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anton\Desktop\Master-Oppgave\Kode\New_Traffic\data\"/>
    </mc:Choice>
  </mc:AlternateContent>
  <xr:revisionPtr revIDLastSave="0" documentId="8_{7C88AB91-A1E2-4C8F-B8A0-25139D9F5A7E}" xr6:coauthVersionLast="47" xr6:coauthVersionMax="47" xr10:uidLastSave="{00000000-0000-0000-0000-000000000000}"/>
  <bookViews>
    <workbookView xWindow="-120" yWindow="-120" windowWidth="29040" windowHeight="15720" activeTab="1" xr2:uid="{B67835DB-5C8B-4C44-B617-DBB491D27EE7}"/>
  </bookViews>
  <sheets>
    <sheet name="Sheet2" sheetId="2" r:id="rId1"/>
    <sheet name="Sheet1" sheetId="1" r:id="rId2"/>
  </sheets>
  <definedNames>
    <definedName name="road_network_with_volume" localSheetId="1">Sheet1!$A$1:$K$9808</definedName>
  </definedNames>
  <calcPr calcId="191029"/>
  <pivotCaches>
    <pivotCache cacheId="0"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1" l="1"/>
  <c r="H7" i="1"/>
  <c r="H8" i="1"/>
  <c r="H9" i="1"/>
  <c r="H10" i="1"/>
  <c r="H16" i="1"/>
  <c r="H20" i="1"/>
  <c r="H22" i="1"/>
  <c r="H23" i="1"/>
  <c r="H25" i="1"/>
  <c r="H27" i="1"/>
  <c r="H30" i="1"/>
  <c r="H31" i="1"/>
  <c r="H32" i="1"/>
  <c r="H34" i="1"/>
  <c r="H35" i="1"/>
  <c r="H36" i="1"/>
  <c r="H37" i="1"/>
  <c r="H44" i="1"/>
  <c r="H50" i="1"/>
  <c r="H51" i="1"/>
  <c r="H54" i="1"/>
  <c r="H55" i="1"/>
  <c r="H56" i="1"/>
  <c r="H57" i="1"/>
  <c r="H59" i="1"/>
  <c r="H60" i="1"/>
  <c r="H62" i="1"/>
  <c r="H68" i="1"/>
  <c r="H73" i="1"/>
  <c r="H74" i="1"/>
  <c r="H77" i="1"/>
  <c r="H81" i="1"/>
  <c r="H83" i="1"/>
  <c r="H86" i="1"/>
  <c r="H88" i="1"/>
  <c r="H89" i="1"/>
  <c r="H90" i="1"/>
  <c r="H94" i="1"/>
  <c r="H95" i="1"/>
  <c r="H102" i="1"/>
  <c r="H103" i="1"/>
  <c r="H104" i="1"/>
  <c r="H105" i="1"/>
  <c r="H106" i="1"/>
  <c r="H112" i="1"/>
  <c r="H114" i="1"/>
  <c r="H120" i="1"/>
  <c r="H121" i="1"/>
  <c r="H122" i="1"/>
  <c r="H123" i="1"/>
  <c r="H124" i="1"/>
  <c r="H126" i="1"/>
  <c r="H130" i="1"/>
  <c r="H131" i="1"/>
  <c r="H135" i="1"/>
  <c r="H139" i="1"/>
  <c r="H140" i="1"/>
  <c r="H144" i="1"/>
  <c r="H145" i="1"/>
  <c r="H146" i="1"/>
  <c r="H147" i="1"/>
  <c r="H151" i="1"/>
  <c r="H153" i="1"/>
  <c r="H154" i="1"/>
  <c r="H157" i="1"/>
  <c r="H159" i="1"/>
  <c r="H161" i="1"/>
  <c r="H165" i="1"/>
  <c r="H167" i="1"/>
  <c r="H169" i="1"/>
  <c r="H170" i="1"/>
  <c r="H172" i="1"/>
  <c r="H173" i="1"/>
  <c r="H174" i="1"/>
  <c r="H175" i="1"/>
  <c r="H177" i="1"/>
  <c r="H178" i="1"/>
  <c r="H183" i="1"/>
  <c r="H187" i="1"/>
  <c r="H188" i="1"/>
  <c r="H189" i="1"/>
  <c r="H193" i="1"/>
  <c r="H196" i="1"/>
  <c r="H199" i="1"/>
  <c r="H200" i="1"/>
  <c r="H201" i="1"/>
  <c r="H202" i="1"/>
  <c r="H204" i="1"/>
  <c r="H205" i="1"/>
  <c r="H207" i="1"/>
  <c r="H211" i="1"/>
  <c r="H212" i="1"/>
  <c r="H213" i="1"/>
  <c r="H214" i="1"/>
  <c r="H215" i="1"/>
  <c r="H217" i="1"/>
  <c r="H218" i="1"/>
  <c r="H219" i="1"/>
  <c r="H220" i="1"/>
  <c r="H221" i="1"/>
  <c r="H223" i="1"/>
  <c r="H225" i="1"/>
  <c r="H233" i="1"/>
  <c r="H234" i="1"/>
  <c r="H242" i="1"/>
  <c r="H243" i="1"/>
  <c r="H250" i="1"/>
  <c r="H251" i="1"/>
  <c r="H252" i="1"/>
  <c r="H253" i="1"/>
  <c r="H255" i="1"/>
  <c r="H259" i="1"/>
  <c r="H260" i="1"/>
  <c r="H261" i="1"/>
  <c r="H262" i="1"/>
  <c r="H263" i="1"/>
  <c r="H264" i="1"/>
  <c r="H265" i="1"/>
  <c r="H266" i="1"/>
  <c r="H267" i="1"/>
  <c r="H268" i="1"/>
  <c r="H274" i="1"/>
  <c r="H276" i="1"/>
  <c r="H279" i="1"/>
  <c r="H280" i="1"/>
  <c r="H284" i="1"/>
  <c r="H285" i="1"/>
  <c r="H286" i="1"/>
  <c r="H288" i="1"/>
  <c r="H289" i="1"/>
  <c r="H290" i="1"/>
  <c r="H297" i="1"/>
  <c r="H300" i="1"/>
  <c r="H302" i="1"/>
  <c r="H303" i="1"/>
  <c r="H304" i="1"/>
  <c r="H306" i="1"/>
  <c r="H307" i="1"/>
  <c r="H308" i="1"/>
  <c r="H310" i="1"/>
  <c r="H311" i="1"/>
  <c r="H312" i="1"/>
  <c r="H313" i="1"/>
  <c r="H316" i="1"/>
  <c r="H318" i="1"/>
  <c r="H321" i="1"/>
  <c r="H322" i="1"/>
  <c r="H324" i="1"/>
  <c r="H325" i="1"/>
  <c r="H326" i="1"/>
  <c r="H328" i="1"/>
  <c r="H329" i="1"/>
  <c r="H330" i="1"/>
  <c r="H335" i="1"/>
  <c r="H338" i="1"/>
  <c r="H339" i="1"/>
  <c r="H340" i="1"/>
  <c r="H342" i="1"/>
  <c r="H343" i="1"/>
  <c r="H344" i="1"/>
  <c r="H345" i="1"/>
  <c r="H346" i="1"/>
  <c r="H350" i="1"/>
  <c r="H354" i="1"/>
  <c r="H355" i="1"/>
  <c r="H359" i="1"/>
  <c r="H360" i="1"/>
  <c r="H371" i="1"/>
  <c r="H373" i="1"/>
  <c r="H374" i="1"/>
  <c r="H375" i="1"/>
  <c r="H376" i="1"/>
  <c r="H382" i="1"/>
  <c r="H390" i="1"/>
  <c r="H398" i="1"/>
  <c r="H400" i="1"/>
  <c r="H401" i="1"/>
  <c r="H405" i="1"/>
  <c r="H406" i="1"/>
  <c r="H409" i="1"/>
  <c r="H411" i="1"/>
  <c r="H418" i="1"/>
  <c r="H419" i="1"/>
  <c r="H422" i="1"/>
  <c r="H423" i="1"/>
  <c r="H426" i="1"/>
  <c r="H428" i="1"/>
  <c r="H429" i="1"/>
  <c r="H431" i="1"/>
  <c r="H432" i="1"/>
  <c r="H433" i="1"/>
  <c r="H437" i="1"/>
  <c r="H439" i="1"/>
  <c r="H441" i="1"/>
  <c r="H442" i="1"/>
  <c r="H444" i="1"/>
  <c r="H451" i="1"/>
  <c r="H452" i="1"/>
  <c r="H453" i="1"/>
  <c r="H455" i="1"/>
  <c r="H456" i="1"/>
  <c r="H458" i="1"/>
  <c r="H463" i="1"/>
  <c r="H464" i="1"/>
  <c r="H465" i="1"/>
  <c r="H466" i="1"/>
  <c r="H467" i="1"/>
  <c r="H468" i="1"/>
  <c r="H469" i="1"/>
  <c r="H470" i="1"/>
  <c r="H472" i="1"/>
  <c r="H473" i="1"/>
  <c r="H474" i="1"/>
  <c r="H476" i="1"/>
  <c r="H477" i="1"/>
  <c r="H481" i="1"/>
  <c r="H483" i="1"/>
  <c r="H489" i="1"/>
  <c r="H490" i="1"/>
  <c r="H491" i="1"/>
  <c r="H494" i="1"/>
  <c r="H501" i="1"/>
  <c r="H504" i="1"/>
  <c r="H505" i="1"/>
  <c r="H511" i="1"/>
  <c r="H515" i="1"/>
  <c r="H517" i="1"/>
  <c r="H518" i="1"/>
  <c r="H519" i="1"/>
  <c r="H520" i="1"/>
  <c r="H521" i="1"/>
  <c r="H522" i="1"/>
  <c r="H528" i="1"/>
  <c r="H529" i="1"/>
  <c r="H532" i="1"/>
  <c r="H533" i="1"/>
  <c r="H534" i="1"/>
  <c r="H535" i="1"/>
  <c r="H536" i="1"/>
  <c r="H538" i="1"/>
  <c r="H539" i="1"/>
  <c r="H541" i="1"/>
  <c r="H542" i="1"/>
  <c r="H543" i="1"/>
  <c r="H544" i="1"/>
  <c r="H546" i="1"/>
  <c r="H548" i="1"/>
  <c r="H551" i="1"/>
  <c r="H552" i="1"/>
  <c r="H554" i="1"/>
  <c r="H555" i="1"/>
  <c r="H556" i="1"/>
  <c r="H557" i="1"/>
  <c r="H559" i="1"/>
  <c r="H560" i="1"/>
  <c r="H562" i="1"/>
  <c r="H564" i="1"/>
  <c r="H565" i="1"/>
  <c r="H566" i="1"/>
  <c r="H568" i="1"/>
  <c r="H573" i="1"/>
  <c r="H574" i="1"/>
  <c r="H575" i="1"/>
  <c r="H576" i="1"/>
  <c r="H577" i="1"/>
  <c r="H579" i="1"/>
  <c r="H580" i="1"/>
  <c r="H582" i="1"/>
  <c r="H584" i="1"/>
  <c r="H586" i="1"/>
  <c r="H587" i="1"/>
  <c r="H588" i="1"/>
  <c r="H591" i="1"/>
  <c r="H593" i="1"/>
  <c r="H599" i="1"/>
  <c r="H601" i="1"/>
  <c r="H602" i="1"/>
  <c r="H604" i="1"/>
  <c r="H605" i="1"/>
  <c r="H606" i="1"/>
  <c r="H608" i="1"/>
  <c r="H611" i="1"/>
  <c r="H614" i="1"/>
  <c r="H616" i="1"/>
  <c r="H619" i="1"/>
  <c r="H625" i="1"/>
  <c r="H629" i="1"/>
  <c r="H632" i="1"/>
  <c r="H635" i="1"/>
  <c r="H636" i="1"/>
  <c r="H637" i="1"/>
  <c r="H638" i="1"/>
  <c r="H639" i="1"/>
  <c r="H641" i="1"/>
  <c r="H643" i="1"/>
  <c r="H644" i="1"/>
  <c r="H645" i="1"/>
  <c r="H646" i="1"/>
  <c r="H648" i="1"/>
  <c r="H651" i="1"/>
  <c r="H653" i="1"/>
  <c r="H654" i="1"/>
  <c r="H655" i="1"/>
  <c r="H660" i="1"/>
  <c r="H661" i="1"/>
  <c r="H662" i="1"/>
  <c r="H664" i="1"/>
  <c r="H665" i="1"/>
  <c r="H667" i="1"/>
  <c r="H670" i="1"/>
  <c r="H671" i="1"/>
  <c r="H672" i="1"/>
  <c r="H674" i="1"/>
  <c r="H678" i="1"/>
  <c r="H681" i="1"/>
  <c r="H686" i="1"/>
  <c r="H688" i="1"/>
  <c r="H689" i="1"/>
  <c r="H690" i="1"/>
  <c r="H691" i="1"/>
  <c r="H692" i="1"/>
  <c r="H693" i="1"/>
  <c r="H694" i="1"/>
  <c r="H699" i="1"/>
  <c r="H702" i="1"/>
  <c r="H708" i="1"/>
  <c r="H709" i="1"/>
  <c r="H711" i="1"/>
  <c r="H712" i="1"/>
  <c r="H715" i="1"/>
  <c r="H716" i="1"/>
  <c r="H718" i="1"/>
  <c r="H719" i="1"/>
  <c r="H720" i="1"/>
  <c r="H721" i="1"/>
  <c r="H722" i="1"/>
  <c r="H723" i="1"/>
  <c r="H724" i="1"/>
  <c r="H725" i="1"/>
  <c r="H726" i="1"/>
  <c r="H729" i="1"/>
  <c r="H731" i="1"/>
  <c r="H733" i="1"/>
  <c r="H735" i="1"/>
  <c r="H737" i="1"/>
  <c r="H738" i="1"/>
  <c r="H739" i="1"/>
  <c r="H740" i="1"/>
  <c r="H743" i="1"/>
  <c r="H744" i="1"/>
  <c r="H746" i="1"/>
  <c r="H747" i="1"/>
  <c r="H750" i="1"/>
  <c r="H751" i="1"/>
  <c r="H752" i="1"/>
  <c r="H753" i="1"/>
  <c r="H755" i="1"/>
  <c r="H756" i="1"/>
  <c r="H758" i="1"/>
  <c r="H761" i="1"/>
  <c r="H763" i="1"/>
  <c r="H764" i="1"/>
  <c r="H765" i="1"/>
  <c r="H766" i="1"/>
  <c r="H767" i="1"/>
  <c r="H769" i="1"/>
  <c r="H771" i="1"/>
  <c r="H772" i="1"/>
  <c r="H775" i="1"/>
  <c r="H776" i="1"/>
  <c r="H777" i="1"/>
  <c r="H779" i="1"/>
  <c r="H780" i="1"/>
  <c r="H781" i="1"/>
  <c r="H784" i="1"/>
  <c r="H789" i="1"/>
  <c r="H791" i="1"/>
  <c r="H793" i="1"/>
  <c r="H796" i="1"/>
  <c r="H798" i="1"/>
  <c r="H799" i="1"/>
  <c r="H800" i="1"/>
  <c r="H801" i="1"/>
  <c r="H802" i="1"/>
  <c r="H803" i="1"/>
  <c r="H806" i="1"/>
  <c r="H812" i="1"/>
  <c r="H813" i="1"/>
  <c r="H815" i="1"/>
  <c r="H818" i="1"/>
  <c r="H821" i="1"/>
  <c r="H824" i="1"/>
  <c r="H825" i="1"/>
  <c r="H828" i="1"/>
  <c r="H829" i="1"/>
  <c r="H831" i="1"/>
  <c r="H833" i="1"/>
  <c r="H840" i="1"/>
  <c r="H845" i="1"/>
  <c r="H849" i="1"/>
  <c r="H850" i="1"/>
  <c r="H851" i="1"/>
  <c r="H852" i="1"/>
  <c r="H853" i="1"/>
  <c r="H856" i="1"/>
  <c r="H859" i="1"/>
  <c r="H862" i="1"/>
  <c r="H866" i="1"/>
  <c r="H868" i="1"/>
  <c r="H869" i="1"/>
  <c r="H880" i="1"/>
  <c r="H881" i="1"/>
  <c r="H882" i="1"/>
  <c r="H884" i="1"/>
  <c r="H885" i="1"/>
  <c r="H886" i="1"/>
  <c r="H887" i="1"/>
  <c r="H889" i="1"/>
  <c r="H890" i="1"/>
  <c r="H893" i="1"/>
  <c r="H894" i="1"/>
  <c r="H896" i="1"/>
  <c r="H898" i="1"/>
  <c r="H900" i="1"/>
  <c r="H902" i="1"/>
  <c r="H903" i="1"/>
  <c r="H904" i="1"/>
  <c r="H908" i="1"/>
  <c r="H909" i="1"/>
  <c r="H911" i="1"/>
  <c r="H912" i="1"/>
  <c r="H913" i="1"/>
  <c r="H914" i="1"/>
  <c r="H916" i="1"/>
  <c r="H917" i="1"/>
  <c r="H918" i="1"/>
  <c r="H919" i="1"/>
  <c r="H921" i="1"/>
  <c r="H925" i="1"/>
  <c r="H927" i="1"/>
  <c r="H929" i="1"/>
  <c r="H930" i="1"/>
  <c r="H931" i="1"/>
  <c r="H933" i="1"/>
  <c r="H937" i="1"/>
  <c r="H938" i="1"/>
  <c r="H939" i="1"/>
  <c r="H940" i="1"/>
  <c r="H945" i="1"/>
  <c r="H947" i="1"/>
  <c r="H948" i="1"/>
  <c r="H951" i="1"/>
  <c r="H952" i="1"/>
  <c r="H953" i="1"/>
  <c r="H954" i="1"/>
  <c r="H955" i="1"/>
  <c r="H957" i="1"/>
  <c r="H958" i="1"/>
  <c r="H959" i="1"/>
  <c r="H962" i="1"/>
  <c r="H963" i="1"/>
  <c r="H965" i="1"/>
  <c r="H966" i="1"/>
  <c r="H967" i="1"/>
  <c r="H968" i="1"/>
  <c r="H969" i="1"/>
  <c r="H970" i="1"/>
  <c r="H971" i="1"/>
  <c r="H972" i="1"/>
  <c r="H978" i="1"/>
  <c r="H979" i="1"/>
  <c r="H981" i="1"/>
  <c r="H983" i="1"/>
  <c r="H986" i="1"/>
  <c r="H987" i="1"/>
  <c r="H988" i="1"/>
  <c r="H989" i="1"/>
  <c r="H990" i="1"/>
  <c r="H993" i="1"/>
  <c r="H995" i="1"/>
  <c r="H997" i="1"/>
  <c r="H999" i="1"/>
  <c r="H1000" i="1"/>
  <c r="H1002" i="1"/>
  <c r="H1005" i="1"/>
  <c r="H1007" i="1"/>
  <c r="H1008" i="1"/>
  <c r="H1009" i="1"/>
  <c r="H1010" i="1"/>
  <c r="H1011" i="1"/>
  <c r="H1012" i="1"/>
  <c r="H1014" i="1"/>
  <c r="H1017" i="1"/>
  <c r="H1020" i="1"/>
  <c r="H1021" i="1"/>
  <c r="H1022" i="1"/>
  <c r="H1026" i="1"/>
  <c r="H1031" i="1"/>
  <c r="H1032" i="1"/>
  <c r="H1033" i="1"/>
  <c r="H1036" i="1"/>
  <c r="H1037" i="1"/>
  <c r="H1041" i="1"/>
  <c r="H1043" i="1"/>
  <c r="H1047" i="1"/>
  <c r="H1056" i="1"/>
  <c r="H1057" i="1"/>
  <c r="H1059" i="1"/>
  <c r="H1060" i="1"/>
  <c r="H1063" i="1"/>
  <c r="H1066" i="1"/>
  <c r="H1074" i="1"/>
  <c r="H1075" i="1"/>
  <c r="H1078" i="1"/>
  <c r="H1079" i="1"/>
  <c r="H1082" i="1"/>
  <c r="H1083" i="1"/>
  <c r="H1085" i="1"/>
  <c r="H1088" i="1"/>
  <c r="H1089" i="1"/>
  <c r="H1091" i="1"/>
  <c r="H1093" i="1"/>
  <c r="H1097" i="1"/>
  <c r="H1101" i="1"/>
  <c r="H1102" i="1"/>
  <c r="H1103" i="1"/>
  <c r="H1104" i="1"/>
  <c r="H1105" i="1"/>
  <c r="H1107" i="1"/>
  <c r="H1108" i="1"/>
  <c r="H1109" i="1"/>
  <c r="H1112" i="1"/>
  <c r="H1120" i="1"/>
  <c r="H1125" i="1"/>
  <c r="H1129" i="1"/>
  <c r="H1131" i="1"/>
  <c r="H1132" i="1"/>
  <c r="H1135" i="1"/>
  <c r="H1136" i="1"/>
  <c r="H1137" i="1"/>
  <c r="H1138" i="1"/>
  <c r="H1146" i="1"/>
  <c r="H1147" i="1"/>
  <c r="H1148" i="1"/>
  <c r="H1149" i="1"/>
  <c r="H1153" i="1"/>
  <c r="H1154" i="1"/>
  <c r="H1155" i="1"/>
  <c r="H1157" i="1"/>
  <c r="H1158" i="1"/>
  <c r="H1159" i="1"/>
  <c r="H1166" i="1"/>
  <c r="H1170" i="1"/>
  <c r="H1172" i="1"/>
  <c r="H1173" i="1"/>
  <c r="H1175" i="1"/>
  <c r="H1177" i="1"/>
  <c r="H1178" i="1"/>
  <c r="H1180" i="1"/>
  <c r="H1181" i="1"/>
  <c r="H1182" i="1"/>
  <c r="H1184" i="1"/>
  <c r="H1189" i="1"/>
  <c r="H1190" i="1"/>
  <c r="H1191" i="1"/>
  <c r="H1193" i="1"/>
  <c r="H1195" i="1"/>
  <c r="H1196" i="1"/>
  <c r="H1197" i="1"/>
  <c r="H1199" i="1"/>
  <c r="H1201" i="1"/>
  <c r="H1204" i="1"/>
  <c r="H1210" i="1"/>
  <c r="H1212" i="1"/>
  <c r="H1218" i="1"/>
  <c r="H1219" i="1"/>
  <c r="H1220" i="1"/>
  <c r="H1227" i="1"/>
  <c r="H1229" i="1"/>
  <c r="H1230" i="1"/>
  <c r="H1234" i="1"/>
  <c r="H1235" i="1"/>
  <c r="H1239" i="1"/>
  <c r="H1241" i="1"/>
  <c r="H1242" i="1"/>
  <c r="H1243" i="1"/>
  <c r="H1245" i="1"/>
  <c r="H1249" i="1"/>
  <c r="H1250" i="1"/>
  <c r="H1252" i="1"/>
  <c r="H1253" i="1"/>
  <c r="H1254" i="1"/>
  <c r="H1255" i="1"/>
  <c r="H1258" i="1"/>
  <c r="H1262" i="1"/>
  <c r="H1263" i="1"/>
  <c r="H1264" i="1"/>
  <c r="H1265" i="1"/>
  <c r="H1266" i="1"/>
  <c r="H1268" i="1"/>
  <c r="H1269" i="1"/>
  <c r="H1272" i="1"/>
  <c r="H1273" i="1"/>
  <c r="H1274" i="1"/>
  <c r="H1275" i="1"/>
  <c r="H1276" i="1"/>
  <c r="H1277" i="1"/>
  <c r="H1279" i="1"/>
  <c r="H1281" i="1"/>
  <c r="H1282" i="1"/>
  <c r="H1283" i="1"/>
  <c r="H1286" i="1"/>
  <c r="H1287" i="1"/>
  <c r="H1288" i="1"/>
  <c r="H1291" i="1"/>
  <c r="H1293" i="1"/>
  <c r="H1294" i="1"/>
  <c r="H1295" i="1"/>
  <c r="H1296" i="1"/>
  <c r="H1298" i="1"/>
  <c r="H1299" i="1"/>
  <c r="H1300" i="1"/>
  <c r="H1301" i="1"/>
  <c r="H1303" i="1"/>
  <c r="H1305" i="1"/>
  <c r="H1306" i="1"/>
  <c r="H1308" i="1"/>
  <c r="H1309" i="1"/>
  <c r="H1312" i="1"/>
  <c r="H1313" i="1"/>
  <c r="H1314" i="1"/>
  <c r="H1316" i="1"/>
  <c r="H1317" i="1"/>
  <c r="H1322" i="1"/>
  <c r="H1330" i="1"/>
  <c r="H1331" i="1"/>
  <c r="H1332" i="1"/>
  <c r="H1338" i="1"/>
  <c r="H1344" i="1"/>
  <c r="H1345" i="1"/>
  <c r="H1346" i="1"/>
  <c r="H1348" i="1"/>
  <c r="H1350" i="1"/>
  <c r="H1351" i="1"/>
  <c r="H1352" i="1"/>
  <c r="H1355" i="1"/>
  <c r="H1359" i="1"/>
  <c r="H1360" i="1"/>
  <c r="H1361" i="1"/>
  <c r="H1369" i="1"/>
  <c r="H1370" i="1"/>
  <c r="H1373" i="1"/>
  <c r="H1376" i="1"/>
  <c r="H1377" i="1"/>
  <c r="H1379" i="1"/>
  <c r="H1380" i="1"/>
  <c r="H1384" i="1"/>
  <c r="H1387" i="1"/>
  <c r="H1388" i="1"/>
  <c r="H1389" i="1"/>
  <c r="H1391" i="1"/>
  <c r="H1392" i="1"/>
  <c r="H1393" i="1"/>
  <c r="H1395" i="1"/>
  <c r="H1396" i="1"/>
  <c r="H1397" i="1"/>
  <c r="H1398" i="1"/>
  <c r="H1400" i="1"/>
  <c r="H1401" i="1"/>
  <c r="H1409" i="1"/>
  <c r="H1412" i="1"/>
  <c r="H1413" i="1"/>
  <c r="H1424" i="1"/>
  <c r="H1426" i="1"/>
  <c r="H1427" i="1"/>
  <c r="H1428" i="1"/>
  <c r="H1429" i="1"/>
  <c r="H1430" i="1"/>
  <c r="H1432" i="1"/>
  <c r="H1434" i="1"/>
  <c r="H1435" i="1"/>
  <c r="H1438" i="1"/>
  <c r="H1439" i="1"/>
  <c r="H1440" i="1"/>
  <c r="H1441" i="1"/>
  <c r="H1442" i="1"/>
  <c r="H1443" i="1"/>
  <c r="H1445" i="1"/>
  <c r="H1446" i="1"/>
  <c r="H1447" i="1"/>
  <c r="H1448" i="1"/>
  <c r="H1451" i="1"/>
  <c r="H1454" i="1"/>
  <c r="H1462" i="1"/>
  <c r="H1463" i="1"/>
  <c r="H1465" i="1"/>
  <c r="H1466" i="1"/>
  <c r="H1469" i="1"/>
  <c r="H1476" i="1"/>
  <c r="H1478" i="1"/>
  <c r="H1481" i="1"/>
  <c r="H1485" i="1"/>
  <c r="H1486" i="1"/>
  <c r="H1487" i="1"/>
  <c r="H1491" i="1"/>
  <c r="H1493" i="1"/>
  <c r="H1496" i="1"/>
  <c r="H1502" i="1"/>
  <c r="H1503" i="1"/>
  <c r="H1511" i="1"/>
  <c r="H1512" i="1"/>
  <c r="H1514" i="1"/>
  <c r="H1522" i="1"/>
  <c r="H1525" i="1"/>
  <c r="H1526" i="1"/>
  <c r="H1528" i="1"/>
  <c r="H1532" i="1"/>
  <c r="H1534" i="1"/>
  <c r="H1537" i="1"/>
  <c r="H1539" i="1"/>
  <c r="H1541" i="1"/>
  <c r="H1542" i="1"/>
  <c r="H1543" i="1"/>
  <c r="H1544" i="1"/>
  <c r="H1545" i="1"/>
  <c r="H1546" i="1"/>
  <c r="H1547" i="1"/>
  <c r="H1553" i="1"/>
  <c r="H1554" i="1"/>
  <c r="H1555" i="1"/>
  <c r="H1558" i="1"/>
  <c r="H1559" i="1"/>
  <c r="H1562" i="1"/>
  <c r="H1563" i="1"/>
  <c r="H1567" i="1"/>
  <c r="H1569" i="1"/>
  <c r="H1570" i="1"/>
  <c r="H1572" i="1"/>
  <c r="H1573" i="1"/>
  <c r="H1578" i="1"/>
  <c r="H1582" i="1"/>
  <c r="H1584" i="1"/>
  <c r="H1587" i="1"/>
  <c r="H1588" i="1"/>
  <c r="H1592" i="1"/>
  <c r="H1595" i="1"/>
  <c r="H1598" i="1"/>
  <c r="H1602" i="1"/>
  <c r="H1605" i="1"/>
  <c r="H1609" i="1"/>
  <c r="H1610" i="1"/>
  <c r="H1611" i="1"/>
  <c r="H1613" i="1"/>
  <c r="H1617" i="1"/>
  <c r="H1618" i="1"/>
  <c r="H1619" i="1"/>
  <c r="H1622" i="1"/>
  <c r="H1623" i="1"/>
  <c r="H1627" i="1"/>
  <c r="H1628" i="1"/>
  <c r="H1629" i="1"/>
  <c r="H1630" i="1"/>
  <c r="H1632" i="1"/>
  <c r="H1633" i="1"/>
  <c r="H1638" i="1"/>
  <c r="H1639" i="1"/>
  <c r="H1644" i="1"/>
  <c r="H1645" i="1"/>
  <c r="H1647" i="1"/>
  <c r="H1648" i="1"/>
  <c r="H1651" i="1"/>
  <c r="H1652" i="1"/>
  <c r="H1653" i="1"/>
  <c r="H1657" i="1"/>
  <c r="H1658" i="1"/>
  <c r="H1660" i="1"/>
  <c r="H1661" i="1"/>
  <c r="H1666" i="1"/>
  <c r="H1667" i="1"/>
  <c r="H1669" i="1"/>
  <c r="H1676" i="1"/>
  <c r="H1677" i="1"/>
  <c r="H1678" i="1"/>
  <c r="H1679" i="1"/>
  <c r="H1683" i="1"/>
  <c r="H1685" i="1"/>
  <c r="H1686" i="1"/>
  <c r="H1687" i="1"/>
  <c r="H1689" i="1"/>
  <c r="H1690" i="1"/>
  <c r="H1694" i="1"/>
  <c r="H1695" i="1"/>
  <c r="H1699" i="1"/>
  <c r="H1700" i="1"/>
  <c r="H1701" i="1"/>
  <c r="H1702" i="1"/>
  <c r="H1703" i="1"/>
  <c r="H1704" i="1"/>
  <c r="H1705" i="1"/>
  <c r="H1706" i="1"/>
  <c r="H1707" i="1"/>
  <c r="H1708" i="1"/>
  <c r="H1710" i="1"/>
  <c r="H1713" i="1"/>
  <c r="H1717" i="1"/>
  <c r="H1723" i="1"/>
  <c r="H1725" i="1"/>
  <c r="H1726" i="1"/>
  <c r="H1727" i="1"/>
  <c r="H1729" i="1"/>
  <c r="H1730" i="1"/>
  <c r="H1731" i="1"/>
  <c r="H1732" i="1"/>
  <c r="H1734" i="1"/>
  <c r="H1736" i="1"/>
  <c r="H1737" i="1"/>
  <c r="H1738" i="1"/>
  <c r="H1739" i="1"/>
  <c r="H1740" i="1"/>
  <c r="H1741" i="1"/>
  <c r="H1744" i="1"/>
  <c r="H1745" i="1"/>
  <c r="H1747" i="1"/>
  <c r="H1748" i="1"/>
  <c r="H1749" i="1"/>
  <c r="H1754" i="1"/>
  <c r="H1755" i="1"/>
  <c r="H1756" i="1"/>
  <c r="H1759" i="1"/>
  <c r="H1761" i="1"/>
  <c r="H1762" i="1"/>
  <c r="H1766" i="1"/>
  <c r="H1768" i="1"/>
  <c r="H1769" i="1"/>
  <c r="H1770" i="1"/>
  <c r="H1771" i="1"/>
  <c r="H1772" i="1"/>
  <c r="H1773" i="1"/>
  <c r="H1774" i="1"/>
  <c r="H1779" i="1"/>
  <c r="H1783" i="1"/>
  <c r="H1784" i="1"/>
  <c r="H1785" i="1"/>
  <c r="H1787" i="1"/>
  <c r="H1789" i="1"/>
  <c r="H1791" i="1"/>
  <c r="H1796" i="1"/>
  <c r="H1800" i="1"/>
  <c r="H1802" i="1"/>
  <c r="H1803" i="1"/>
  <c r="H1810" i="1"/>
  <c r="H1812" i="1"/>
  <c r="H1813" i="1"/>
  <c r="H1814" i="1"/>
  <c r="H1815" i="1"/>
  <c r="H1816" i="1"/>
  <c r="H1817" i="1"/>
  <c r="H1821" i="1"/>
  <c r="H1823" i="1"/>
  <c r="H1824" i="1"/>
  <c r="H1825" i="1"/>
  <c r="H1826" i="1"/>
  <c r="H1827" i="1"/>
  <c r="H1828" i="1"/>
  <c r="H1829" i="1"/>
  <c r="H1831" i="1"/>
  <c r="H1832" i="1"/>
  <c r="H1837" i="1"/>
  <c r="H1838" i="1"/>
  <c r="H1839" i="1"/>
  <c r="H1840" i="1"/>
  <c r="H1841" i="1"/>
  <c r="H1843" i="1"/>
  <c r="H1844" i="1"/>
  <c r="H1845" i="1"/>
  <c r="H1846" i="1"/>
  <c r="H1849" i="1"/>
  <c r="H1850" i="1"/>
  <c r="H1852" i="1"/>
  <c r="H1854" i="1"/>
  <c r="H1855" i="1"/>
  <c r="H1857" i="1"/>
  <c r="H1858" i="1"/>
  <c r="H1860" i="1"/>
  <c r="H1861" i="1"/>
  <c r="H1863" i="1"/>
  <c r="H1864" i="1"/>
  <c r="H1865" i="1"/>
  <c r="H1866" i="1"/>
  <c r="H1869" i="1"/>
  <c r="H1870" i="1"/>
  <c r="H1871" i="1"/>
  <c r="H1872" i="1"/>
  <c r="H1874" i="1"/>
  <c r="H1875" i="1"/>
  <c r="H1877" i="1"/>
  <c r="H1878" i="1"/>
  <c r="H1879" i="1"/>
  <c r="H1881" i="1"/>
  <c r="H1882" i="1"/>
  <c r="H1883" i="1"/>
  <c r="H1884" i="1"/>
  <c r="H1888" i="1"/>
  <c r="H1890" i="1"/>
  <c r="H1892" i="1"/>
  <c r="H1894" i="1"/>
  <c r="H1895" i="1"/>
  <c r="H1896" i="1"/>
  <c r="H1900" i="1"/>
  <c r="H1901" i="1"/>
  <c r="H1903" i="1"/>
  <c r="H1905" i="1"/>
  <c r="H1906" i="1"/>
  <c r="H1907" i="1"/>
  <c r="H1909" i="1"/>
  <c r="H1914" i="1"/>
  <c r="H1915" i="1"/>
  <c r="H1917" i="1"/>
  <c r="H1918" i="1"/>
  <c r="H1923" i="1"/>
  <c r="H1924" i="1"/>
  <c r="H1925" i="1"/>
  <c r="H1926" i="1"/>
  <c r="H1927" i="1"/>
  <c r="H1929" i="1"/>
  <c r="H1932" i="1"/>
  <c r="H1933" i="1"/>
  <c r="H1936" i="1"/>
  <c r="H1937" i="1"/>
  <c r="H1938" i="1"/>
  <c r="H1943" i="1"/>
  <c r="H1944" i="1"/>
  <c r="H1946" i="1"/>
  <c r="H1950" i="1"/>
  <c r="H1951" i="1"/>
  <c r="H1952" i="1"/>
  <c r="H1954" i="1"/>
  <c r="H1955" i="1"/>
  <c r="H1956" i="1"/>
  <c r="H1958" i="1"/>
  <c r="H1959" i="1"/>
  <c r="H1960" i="1"/>
  <c r="H1963" i="1"/>
  <c r="H1965" i="1"/>
  <c r="H1969" i="1"/>
  <c r="H1970" i="1"/>
  <c r="H1971" i="1"/>
  <c r="H1973" i="1"/>
  <c r="H1974" i="1"/>
  <c r="H1978" i="1"/>
  <c r="H1980" i="1"/>
  <c r="H1981" i="1"/>
  <c r="H1982" i="1"/>
  <c r="H1984" i="1"/>
  <c r="H1989" i="1"/>
  <c r="H1992" i="1"/>
  <c r="H1993" i="1"/>
  <c r="H1995" i="1"/>
  <c r="H1996" i="1"/>
  <c r="H1999" i="1"/>
  <c r="H2001" i="1"/>
  <c r="H2002" i="1"/>
  <c r="H2003" i="1"/>
  <c r="H2004" i="1"/>
  <c r="H2006" i="1"/>
  <c r="H2007" i="1"/>
  <c r="H2010" i="1"/>
  <c r="H2011" i="1"/>
  <c r="H2012" i="1"/>
  <c r="H2013" i="1"/>
  <c r="H2015" i="1"/>
  <c r="H2016" i="1"/>
  <c r="H2017" i="1"/>
  <c r="H2018" i="1"/>
  <c r="H2019" i="1"/>
  <c r="H2020" i="1"/>
  <c r="H2022" i="1"/>
  <c r="H2023" i="1"/>
  <c r="H2024" i="1"/>
  <c r="H2025" i="1"/>
  <c r="H2027" i="1"/>
  <c r="H2032" i="1"/>
  <c r="H2033" i="1"/>
  <c r="H2038" i="1"/>
  <c r="H2039" i="1"/>
  <c r="H2047" i="1"/>
  <c r="H2051" i="1"/>
  <c r="H2053" i="1"/>
  <c r="H2057" i="1"/>
  <c r="H2058" i="1"/>
  <c r="H2059" i="1"/>
  <c r="H2061" i="1"/>
  <c r="H2062" i="1"/>
  <c r="H2067" i="1"/>
  <c r="H2069" i="1"/>
  <c r="H2070" i="1"/>
  <c r="H2073" i="1"/>
  <c r="H2076" i="1"/>
  <c r="H2077" i="1"/>
  <c r="H2080" i="1"/>
  <c r="H2081" i="1"/>
  <c r="H2084" i="1"/>
  <c r="H2086" i="1"/>
  <c r="H2087" i="1"/>
  <c r="H2091" i="1"/>
  <c r="H2092" i="1"/>
  <c r="H2094" i="1"/>
  <c r="H2095" i="1"/>
  <c r="H2098" i="1"/>
  <c r="H2099" i="1"/>
  <c r="H2100" i="1"/>
  <c r="H2102" i="1"/>
  <c r="H2103" i="1"/>
  <c r="H2104" i="1"/>
  <c r="H2105" i="1"/>
  <c r="H2106" i="1"/>
  <c r="H2108" i="1"/>
  <c r="H2110" i="1"/>
  <c r="H2111" i="1"/>
  <c r="H2112" i="1"/>
  <c r="H2113" i="1"/>
  <c r="H2114" i="1"/>
  <c r="H2115" i="1"/>
  <c r="H2117" i="1"/>
  <c r="H2118" i="1"/>
  <c r="H2119" i="1"/>
  <c r="H2121" i="1"/>
  <c r="H2125" i="1"/>
  <c r="H2126" i="1"/>
  <c r="H2131" i="1"/>
  <c r="H2137" i="1"/>
  <c r="H2138" i="1"/>
  <c r="H2139" i="1"/>
  <c r="H2140" i="1"/>
  <c r="H2141" i="1"/>
  <c r="H2142" i="1"/>
  <c r="H2145" i="1"/>
  <c r="H2148" i="1"/>
  <c r="H2149" i="1"/>
  <c r="H2151" i="1"/>
  <c r="H2153" i="1"/>
  <c r="H2157" i="1"/>
  <c r="H2159" i="1"/>
  <c r="H2164" i="1"/>
  <c r="H2166" i="1"/>
  <c r="H2168" i="1"/>
  <c r="H2169" i="1"/>
  <c r="H2170" i="1"/>
  <c r="H2172" i="1"/>
  <c r="H2173" i="1"/>
  <c r="H2183" i="1"/>
  <c r="H2184" i="1"/>
  <c r="H2185" i="1"/>
  <c r="H2186" i="1"/>
  <c r="H2190" i="1"/>
  <c r="H2191" i="1"/>
  <c r="H2192" i="1"/>
  <c r="H2193" i="1"/>
  <c r="H2194" i="1"/>
  <c r="H2195" i="1"/>
  <c r="H2196" i="1"/>
  <c r="H2197" i="1"/>
  <c r="H2198" i="1"/>
  <c r="H2200" i="1"/>
  <c r="H2201" i="1"/>
  <c r="H2202" i="1"/>
  <c r="H2203" i="1"/>
  <c r="H2204" i="1"/>
  <c r="H2206" i="1"/>
  <c r="H2208" i="1"/>
  <c r="H2211" i="1"/>
  <c r="H2213" i="1"/>
  <c r="H2214" i="1"/>
  <c r="H2218" i="1"/>
  <c r="H2219" i="1"/>
  <c r="H2225" i="1"/>
  <c r="H2230" i="1"/>
  <c r="H2232" i="1"/>
  <c r="H2234" i="1"/>
  <c r="H2235" i="1"/>
  <c r="H2241" i="1"/>
  <c r="H2242" i="1"/>
  <c r="H2243" i="1"/>
  <c r="H2245" i="1"/>
  <c r="H2246" i="1"/>
  <c r="H2247" i="1"/>
  <c r="H2248" i="1"/>
  <c r="H2250" i="1"/>
  <c r="H2251" i="1"/>
  <c r="H2252" i="1"/>
  <c r="H2253" i="1"/>
  <c r="H2254" i="1"/>
  <c r="H2256" i="1"/>
  <c r="H2258" i="1"/>
  <c r="H2259" i="1"/>
  <c r="H2262" i="1"/>
  <c r="H2263" i="1"/>
  <c r="H2266" i="1"/>
  <c r="H2267" i="1"/>
  <c r="H2268" i="1"/>
  <c r="H2269" i="1"/>
  <c r="H2271" i="1"/>
  <c r="H2272" i="1"/>
  <c r="H2273" i="1"/>
  <c r="H2278" i="1"/>
  <c r="H2279" i="1"/>
  <c r="H2280" i="1"/>
  <c r="H2281" i="1"/>
  <c r="H2282" i="1"/>
  <c r="H2284" i="1"/>
  <c r="H2286" i="1"/>
  <c r="H2288" i="1"/>
  <c r="H2289" i="1"/>
  <c r="H2293" i="1"/>
  <c r="H2295" i="1"/>
  <c r="H2299" i="1"/>
  <c r="H2300" i="1"/>
  <c r="H2303" i="1"/>
  <c r="H2304" i="1"/>
  <c r="H2307" i="1"/>
  <c r="H2316" i="1"/>
  <c r="H2317" i="1"/>
  <c r="H2321" i="1"/>
  <c r="H2322" i="1"/>
  <c r="H2323" i="1"/>
  <c r="H2324" i="1"/>
  <c r="H2325" i="1"/>
  <c r="H2326" i="1"/>
  <c r="H2331" i="1"/>
  <c r="H2332" i="1"/>
  <c r="H2333" i="1"/>
  <c r="H2334" i="1"/>
  <c r="H2335" i="1"/>
  <c r="H2337" i="1"/>
  <c r="H2338" i="1"/>
  <c r="H2339" i="1"/>
  <c r="H2340" i="1"/>
  <c r="H2341" i="1"/>
  <c r="H2342" i="1"/>
  <c r="H2343" i="1"/>
  <c r="H2345" i="1"/>
  <c r="H2347" i="1"/>
  <c r="H2348" i="1"/>
  <c r="H2351" i="1"/>
  <c r="H2352" i="1"/>
  <c r="H2355" i="1"/>
  <c r="H2357" i="1"/>
  <c r="H2362" i="1"/>
  <c r="H2363" i="1"/>
  <c r="H2365" i="1"/>
  <c r="H2367" i="1"/>
  <c r="H2368" i="1"/>
  <c r="H2373" i="1"/>
  <c r="H2374" i="1"/>
  <c r="H2375" i="1"/>
  <c r="H2376" i="1"/>
  <c r="H2377" i="1"/>
  <c r="H2384" i="1"/>
  <c r="H2385" i="1"/>
  <c r="H2386" i="1"/>
  <c r="H2387" i="1"/>
  <c r="H2388" i="1"/>
  <c r="H2391" i="1"/>
  <c r="H2392" i="1"/>
  <c r="H2393" i="1"/>
  <c r="H2394" i="1"/>
  <c r="H2395" i="1"/>
  <c r="H2397" i="1"/>
  <c r="H2398" i="1"/>
  <c r="H2399" i="1"/>
  <c r="H2400" i="1"/>
  <c r="H2401" i="1"/>
  <c r="H2405" i="1"/>
  <c r="H2406" i="1"/>
  <c r="H2411" i="1"/>
  <c r="H2412" i="1"/>
  <c r="H2413" i="1"/>
  <c r="H2414" i="1"/>
  <c r="H2415" i="1"/>
  <c r="H2416" i="1"/>
  <c r="H2419" i="1"/>
  <c r="H2420" i="1"/>
  <c r="H2421" i="1"/>
  <c r="H2423" i="1"/>
  <c r="H2429" i="1"/>
  <c r="H2436" i="1"/>
  <c r="H2441" i="1"/>
  <c r="H2443" i="1"/>
  <c r="H2449" i="1"/>
  <c r="H2450" i="1"/>
  <c r="H2451" i="1"/>
  <c r="H2452" i="1"/>
  <c r="H2453" i="1"/>
  <c r="H2454" i="1"/>
  <c r="H2457" i="1"/>
  <c r="H2459" i="1"/>
  <c r="H2460" i="1"/>
  <c r="H2461" i="1"/>
  <c r="H2462" i="1"/>
  <c r="H2467" i="1"/>
  <c r="H2468" i="1"/>
  <c r="H2470" i="1"/>
  <c r="H2471" i="1"/>
  <c r="H2474" i="1"/>
  <c r="H2475" i="1"/>
  <c r="H2476" i="1"/>
  <c r="H2478" i="1"/>
  <c r="H2479" i="1"/>
  <c r="H2481" i="1"/>
  <c r="H2482" i="1"/>
  <c r="H2483" i="1"/>
  <c r="H2484" i="1"/>
  <c r="H2485" i="1"/>
  <c r="H2487" i="1"/>
  <c r="H2493" i="1"/>
  <c r="H2496" i="1"/>
  <c r="H2497" i="1"/>
  <c r="H2498" i="1"/>
  <c r="H2499" i="1"/>
  <c r="H2502" i="1"/>
  <c r="H2507" i="1"/>
  <c r="H2509" i="1"/>
  <c r="H2512" i="1"/>
  <c r="H2514" i="1"/>
  <c r="H2518" i="1"/>
  <c r="H2519" i="1"/>
  <c r="H2521" i="1"/>
  <c r="H2535" i="1"/>
  <c r="H2537" i="1"/>
  <c r="H2538" i="1"/>
  <c r="H2540" i="1"/>
  <c r="H2541" i="1"/>
  <c r="H2542" i="1"/>
  <c r="H2544" i="1"/>
  <c r="H2545" i="1"/>
  <c r="H2546" i="1"/>
  <c r="H2548" i="1"/>
  <c r="H2551" i="1"/>
  <c r="H2554" i="1"/>
  <c r="H2555" i="1"/>
  <c r="H2557" i="1"/>
  <c r="H2558" i="1"/>
  <c r="H2559" i="1"/>
  <c r="H2565" i="1"/>
  <c r="H2566" i="1"/>
  <c r="H2569" i="1"/>
  <c r="H2570" i="1"/>
  <c r="H2572" i="1"/>
  <c r="H2576" i="1"/>
  <c r="H2577" i="1"/>
  <c r="H2578" i="1"/>
  <c r="H2579" i="1"/>
  <c r="H2583" i="1"/>
  <c r="H2586" i="1"/>
  <c r="H2587" i="1"/>
  <c r="H2588" i="1"/>
  <c r="H2590" i="1"/>
  <c r="H2591" i="1"/>
  <c r="H2593" i="1"/>
  <c r="H2594" i="1"/>
  <c r="H2595" i="1"/>
  <c r="H2599" i="1"/>
  <c r="H2600" i="1"/>
  <c r="H2602" i="1"/>
  <c r="H2604" i="1"/>
  <c r="H2606" i="1"/>
  <c r="H2608" i="1"/>
  <c r="H2613" i="1"/>
  <c r="H2614" i="1"/>
  <c r="H2615" i="1"/>
  <c r="H2616" i="1"/>
  <c r="H2618" i="1"/>
  <c r="H2621" i="1"/>
  <c r="H2622" i="1"/>
  <c r="H2623" i="1"/>
  <c r="H2624" i="1"/>
  <c r="H2627" i="1"/>
  <c r="H2628" i="1"/>
  <c r="H2629" i="1"/>
  <c r="H2630" i="1"/>
  <c r="H2631" i="1"/>
  <c r="H2632" i="1"/>
  <c r="H2633" i="1"/>
  <c r="H2635" i="1"/>
  <c r="H2636" i="1"/>
  <c r="H2637" i="1"/>
  <c r="H2638" i="1"/>
  <c r="H2641" i="1"/>
  <c r="H2642" i="1"/>
  <c r="H2643" i="1"/>
  <c r="H2644" i="1"/>
  <c r="H2645" i="1"/>
  <c r="H2646" i="1"/>
  <c r="H2647" i="1"/>
  <c r="H2649" i="1"/>
  <c r="H2652" i="1"/>
  <c r="H2654" i="1"/>
  <c r="H2657" i="1"/>
  <c r="H2658" i="1"/>
  <c r="H2659" i="1"/>
  <c r="H2660" i="1"/>
  <c r="H2666" i="1"/>
  <c r="H2667" i="1"/>
  <c r="H2668" i="1"/>
  <c r="H2673" i="1"/>
  <c r="H2674" i="1"/>
  <c r="H2675" i="1"/>
  <c r="H2685" i="1"/>
  <c r="H2686" i="1"/>
  <c r="H2687" i="1"/>
  <c r="H2688" i="1"/>
  <c r="H2697" i="1"/>
  <c r="H2698" i="1"/>
  <c r="H2699" i="1"/>
  <c r="H2700" i="1"/>
  <c r="H2701" i="1"/>
  <c r="H2702" i="1"/>
  <c r="H2706" i="1"/>
  <c r="H2707" i="1"/>
  <c r="H2708" i="1"/>
  <c r="H2709" i="1"/>
  <c r="H2710" i="1"/>
  <c r="H2711" i="1"/>
  <c r="H2713" i="1"/>
  <c r="H2715" i="1"/>
  <c r="H2718" i="1"/>
  <c r="H2719" i="1"/>
  <c r="H2720" i="1"/>
  <c r="H2725" i="1"/>
  <c r="H2726" i="1"/>
  <c r="H2728" i="1"/>
  <c r="H2731" i="1"/>
  <c r="H2734" i="1"/>
  <c r="H2743" i="1"/>
  <c r="H2745" i="1"/>
  <c r="H2746" i="1"/>
  <c r="H2751" i="1"/>
  <c r="H2754" i="1"/>
  <c r="H2756" i="1"/>
  <c r="H2758" i="1"/>
  <c r="H2759" i="1"/>
  <c r="H2761" i="1"/>
  <c r="H2762" i="1"/>
  <c r="H2763" i="1"/>
  <c r="H2766" i="1"/>
  <c r="H2767" i="1"/>
  <c r="H2768" i="1"/>
  <c r="H2769" i="1"/>
  <c r="H2770" i="1"/>
  <c r="H2771" i="1"/>
  <c r="H2772" i="1"/>
  <c r="H2773" i="1"/>
  <c r="H2775" i="1"/>
  <c r="H2776" i="1"/>
  <c r="H2779" i="1"/>
  <c r="H2780" i="1"/>
  <c r="H2781" i="1"/>
  <c r="H2782" i="1"/>
  <c r="H2783" i="1"/>
  <c r="H2784" i="1"/>
  <c r="H2790" i="1"/>
  <c r="H2792" i="1"/>
  <c r="H2793" i="1"/>
  <c r="H2794" i="1"/>
  <c r="H2795" i="1"/>
  <c r="H2798" i="1"/>
  <c r="H2799" i="1"/>
  <c r="H2800" i="1"/>
  <c r="H2804" i="1"/>
  <c r="H2808" i="1"/>
  <c r="H2809" i="1"/>
  <c r="H2812" i="1"/>
  <c r="H2813" i="1"/>
  <c r="H2814" i="1"/>
  <c r="H2815" i="1"/>
  <c r="H2817" i="1"/>
  <c r="H2818" i="1"/>
  <c r="H2819" i="1"/>
  <c r="H2820" i="1"/>
  <c r="H2824" i="1"/>
  <c r="H2825" i="1"/>
  <c r="H2827" i="1"/>
  <c r="H2828" i="1"/>
  <c r="H2830" i="1"/>
  <c r="H2833" i="1"/>
  <c r="H2834" i="1"/>
  <c r="H2836" i="1"/>
  <c r="H2838" i="1"/>
  <c r="H2843" i="1"/>
  <c r="H2844" i="1"/>
  <c r="H2848" i="1"/>
  <c r="H2849" i="1"/>
  <c r="H2850" i="1"/>
  <c r="H2851" i="1"/>
  <c r="H2852" i="1"/>
  <c r="H2854" i="1"/>
  <c r="H2863" i="1"/>
  <c r="H2867" i="1"/>
  <c r="H2869" i="1"/>
  <c r="H2870" i="1"/>
  <c r="H2872" i="1"/>
  <c r="H2873" i="1"/>
  <c r="H2874" i="1"/>
  <c r="H2875" i="1"/>
  <c r="H2877" i="1"/>
  <c r="H2879" i="1"/>
  <c r="H2881" i="1"/>
  <c r="H2883" i="1"/>
  <c r="H2886" i="1"/>
  <c r="H2887" i="1"/>
  <c r="H2889" i="1"/>
  <c r="H2892" i="1"/>
  <c r="H2893" i="1"/>
  <c r="H2894" i="1"/>
  <c r="H2899" i="1"/>
  <c r="H2901" i="1"/>
  <c r="H2902" i="1"/>
  <c r="H2903" i="1"/>
  <c r="H2905" i="1"/>
  <c r="H2907" i="1"/>
  <c r="H2909" i="1"/>
  <c r="H2910" i="1"/>
  <c r="H2914" i="1"/>
  <c r="H2915" i="1"/>
  <c r="H2916" i="1"/>
  <c r="H2917" i="1"/>
  <c r="H2919" i="1"/>
  <c r="H2926" i="1"/>
  <c r="H2928" i="1"/>
  <c r="H2931" i="1"/>
  <c r="H2932" i="1"/>
  <c r="H2936" i="1"/>
  <c r="H2937" i="1"/>
  <c r="H2939" i="1"/>
  <c r="H2942" i="1"/>
  <c r="H2943" i="1"/>
  <c r="H2944" i="1"/>
  <c r="H2945" i="1"/>
  <c r="H2948" i="1"/>
  <c r="H2949" i="1"/>
  <c r="H2950" i="1"/>
  <c r="H2951" i="1"/>
  <c r="H2953" i="1"/>
  <c r="H2965" i="1"/>
  <c r="H2967" i="1"/>
  <c r="H2968" i="1"/>
  <c r="H2969" i="1"/>
  <c r="H2972" i="1"/>
  <c r="H2973" i="1"/>
  <c r="H2974" i="1"/>
  <c r="H2975" i="1"/>
  <c r="H2976" i="1"/>
  <c r="H2977" i="1"/>
  <c r="H2978" i="1"/>
  <c r="H2980" i="1"/>
  <c r="H2981" i="1"/>
  <c r="H2982" i="1"/>
  <c r="H2983" i="1"/>
  <c r="H2984" i="1"/>
  <c r="H2990" i="1"/>
  <c r="H2992" i="1"/>
  <c r="H2997" i="1"/>
  <c r="H2998" i="1"/>
  <c r="H2999" i="1"/>
  <c r="H3000" i="1"/>
  <c r="H3001" i="1"/>
  <c r="H3002" i="1"/>
  <c r="H3004" i="1"/>
  <c r="H3005" i="1"/>
  <c r="H3006" i="1"/>
  <c r="H3007" i="1"/>
  <c r="H3008" i="1"/>
  <c r="H3009" i="1"/>
  <c r="H3010" i="1"/>
  <c r="H3012" i="1"/>
  <c r="H3017" i="1"/>
  <c r="H3018" i="1"/>
  <c r="H3019" i="1"/>
  <c r="H3021" i="1"/>
  <c r="H3022" i="1"/>
  <c r="H3023" i="1"/>
  <c r="H3025" i="1"/>
  <c r="H3028" i="1"/>
  <c r="H3030" i="1"/>
  <c r="H3033" i="1"/>
  <c r="H3035" i="1"/>
  <c r="H3036" i="1"/>
  <c r="H3037" i="1"/>
  <c r="H3040" i="1"/>
  <c r="H3042" i="1"/>
  <c r="H3045" i="1"/>
  <c r="H3046" i="1"/>
  <c r="H3048" i="1"/>
  <c r="H3051" i="1"/>
  <c r="H3052" i="1"/>
  <c r="H3053" i="1"/>
  <c r="H3055" i="1"/>
  <c r="H3056" i="1"/>
  <c r="H3060" i="1"/>
  <c r="H3062" i="1"/>
  <c r="H3063" i="1"/>
  <c r="H3064" i="1"/>
  <c r="H3065" i="1"/>
  <c r="H3066" i="1"/>
  <c r="H3068" i="1"/>
  <c r="H3071" i="1"/>
  <c r="H3072" i="1"/>
  <c r="H3073" i="1"/>
  <c r="H3074" i="1"/>
  <c r="H3075" i="1"/>
  <c r="H3077" i="1"/>
  <c r="H3078" i="1"/>
  <c r="H3081" i="1"/>
  <c r="H3082" i="1"/>
  <c r="H3086" i="1"/>
  <c r="H3088" i="1"/>
  <c r="H3093" i="1"/>
  <c r="H3098" i="1"/>
  <c r="H3099" i="1"/>
  <c r="H3100" i="1"/>
  <c r="H3104" i="1"/>
  <c r="H3106" i="1"/>
  <c r="H3107" i="1"/>
  <c r="H3110" i="1"/>
  <c r="H3112" i="1"/>
  <c r="H3113" i="1"/>
  <c r="H3114" i="1"/>
  <c r="H3115" i="1"/>
  <c r="H3121" i="1"/>
  <c r="H3122" i="1"/>
  <c r="H3124" i="1"/>
  <c r="H3125" i="1"/>
  <c r="H3126" i="1"/>
  <c r="H3138" i="1"/>
  <c r="H3139" i="1"/>
  <c r="H3145" i="1"/>
  <c r="H3147" i="1"/>
  <c r="H3148" i="1"/>
  <c r="H3151" i="1"/>
  <c r="H3152" i="1"/>
  <c r="H3153" i="1"/>
  <c r="H3157" i="1"/>
  <c r="H3160" i="1"/>
  <c r="H3162" i="1"/>
  <c r="H3170" i="1"/>
  <c r="H3171" i="1"/>
  <c r="H3173" i="1"/>
  <c r="H3174" i="1"/>
  <c r="H3177" i="1"/>
  <c r="H3178" i="1"/>
  <c r="H3180" i="1"/>
  <c r="H3182" i="1"/>
  <c r="H3183" i="1"/>
  <c r="H3185" i="1"/>
  <c r="H3186" i="1"/>
  <c r="H3187" i="1"/>
  <c r="H3188" i="1"/>
  <c r="H3190" i="1"/>
  <c r="H3192" i="1"/>
  <c r="H3193" i="1"/>
  <c r="H3195" i="1"/>
  <c r="H3196" i="1"/>
  <c r="H3198" i="1"/>
  <c r="H3201" i="1"/>
  <c r="H3202" i="1"/>
  <c r="H3203" i="1"/>
  <c r="H3210" i="1"/>
  <c r="H3211" i="1"/>
  <c r="H3212" i="1"/>
  <c r="H3219" i="1"/>
  <c r="H3220" i="1"/>
  <c r="H3221" i="1"/>
  <c r="H3224" i="1"/>
  <c r="H3237" i="1"/>
  <c r="H3238" i="1"/>
  <c r="H3239" i="1"/>
  <c r="H3241" i="1"/>
  <c r="H3244" i="1"/>
  <c r="H3245" i="1"/>
  <c r="H3253" i="1"/>
  <c r="H3254" i="1"/>
  <c r="H3255" i="1"/>
  <c r="H3256" i="1"/>
  <c r="H3257" i="1"/>
  <c r="H3259" i="1"/>
  <c r="H3261" i="1"/>
  <c r="H3264" i="1"/>
  <c r="H3265" i="1"/>
  <c r="H3266" i="1"/>
  <c r="H3267" i="1"/>
  <c r="H3268" i="1"/>
  <c r="H3269" i="1"/>
  <c r="H3271" i="1"/>
  <c r="H3273" i="1"/>
  <c r="H3276" i="1"/>
  <c r="H3279" i="1"/>
  <c r="H3280" i="1"/>
  <c r="H3281" i="1"/>
  <c r="H3284" i="1"/>
  <c r="H3286" i="1"/>
  <c r="H3287" i="1"/>
  <c r="H3289" i="1"/>
  <c r="H3290" i="1"/>
  <c r="H3291" i="1"/>
  <c r="H3294" i="1"/>
  <c r="H3295" i="1"/>
  <c r="H3298" i="1"/>
  <c r="H3300" i="1"/>
  <c r="H3304" i="1"/>
  <c r="H3305" i="1"/>
  <c r="H3306" i="1"/>
  <c r="H3307" i="1"/>
  <c r="H3308" i="1"/>
  <c r="H3309" i="1"/>
  <c r="H3312" i="1"/>
  <c r="H3317" i="1"/>
  <c r="H3320" i="1"/>
  <c r="H3321" i="1"/>
  <c r="H3323" i="1"/>
  <c r="H3325" i="1"/>
  <c r="H3326" i="1"/>
  <c r="H3328" i="1"/>
  <c r="H3329" i="1"/>
  <c r="H3330" i="1"/>
  <c r="H3331" i="1"/>
  <c r="H3332" i="1"/>
  <c r="H3344" i="1"/>
  <c r="H3345" i="1"/>
  <c r="H3346" i="1"/>
  <c r="H3349" i="1"/>
  <c r="H3352" i="1"/>
  <c r="H3354" i="1"/>
  <c r="H3355" i="1"/>
  <c r="H3358" i="1"/>
  <c r="H3361" i="1"/>
  <c r="H3362" i="1"/>
  <c r="H3363" i="1"/>
  <c r="H3365" i="1"/>
  <c r="H3366" i="1"/>
  <c r="H3367" i="1"/>
  <c r="H3368" i="1"/>
  <c r="H3369" i="1"/>
  <c r="H3374" i="1"/>
  <c r="H3375" i="1"/>
  <c r="H3376" i="1"/>
  <c r="H3377" i="1"/>
  <c r="H3380" i="1"/>
  <c r="H3382" i="1"/>
  <c r="H3386" i="1"/>
  <c r="H3387" i="1"/>
  <c r="H3388" i="1"/>
  <c r="H3389" i="1"/>
  <c r="H3397" i="1"/>
  <c r="H3399" i="1"/>
  <c r="H3400" i="1"/>
  <c r="H3401" i="1"/>
  <c r="H3402" i="1"/>
  <c r="H3403" i="1"/>
  <c r="H3405" i="1"/>
  <c r="H3407" i="1"/>
  <c r="H3408" i="1"/>
  <c r="H3410" i="1"/>
  <c r="H3411" i="1"/>
  <c r="H3412" i="1"/>
  <c r="H3420" i="1"/>
  <c r="H3421" i="1"/>
  <c r="H3422" i="1"/>
  <c r="H3423" i="1"/>
  <c r="H3424" i="1"/>
  <c r="H3426" i="1"/>
  <c r="H3427" i="1"/>
  <c r="H3429" i="1"/>
  <c r="H3430" i="1"/>
  <c r="H3431" i="1"/>
  <c r="H3432" i="1"/>
  <c r="H3433" i="1"/>
  <c r="H3434" i="1"/>
  <c r="H3444" i="1"/>
  <c r="H3447" i="1"/>
  <c r="H3448" i="1"/>
  <c r="H3455" i="1"/>
  <c r="H3456" i="1"/>
  <c r="H3458" i="1"/>
  <c r="H3459" i="1"/>
  <c r="H3460" i="1"/>
  <c r="H3461" i="1"/>
  <c r="H3464" i="1"/>
  <c r="H3466" i="1"/>
  <c r="H3467" i="1"/>
  <c r="H3472" i="1"/>
  <c r="H3473" i="1"/>
  <c r="H3477" i="1"/>
  <c r="H3478" i="1"/>
  <c r="H3480" i="1"/>
  <c r="H3481" i="1"/>
  <c r="H3487" i="1"/>
  <c r="H3488" i="1"/>
  <c r="H3489" i="1"/>
  <c r="H3490" i="1"/>
  <c r="H3491" i="1"/>
  <c r="H3493" i="1"/>
  <c r="H3494" i="1"/>
  <c r="H3496" i="1"/>
  <c r="H3502" i="1"/>
  <c r="H3503" i="1"/>
  <c r="H3504" i="1"/>
  <c r="H3505" i="1"/>
  <c r="H3506" i="1"/>
  <c r="H3510" i="1"/>
  <c r="H3511" i="1"/>
  <c r="H3512" i="1"/>
  <c r="H3513" i="1"/>
  <c r="H3514" i="1"/>
  <c r="H3515" i="1"/>
  <c r="H3516" i="1"/>
  <c r="H3522" i="1"/>
  <c r="H3523" i="1"/>
  <c r="H3526" i="1"/>
  <c r="H3529" i="1"/>
  <c r="H3530" i="1"/>
  <c r="H3531" i="1"/>
  <c r="H3535" i="1"/>
  <c r="H3539" i="1"/>
  <c r="H3540" i="1"/>
  <c r="H3541" i="1"/>
  <c r="H3542" i="1"/>
  <c r="H3544" i="1"/>
  <c r="H3547" i="1"/>
  <c r="H3549" i="1"/>
  <c r="H3552" i="1"/>
  <c r="H3554" i="1"/>
  <c r="H3556" i="1"/>
  <c r="H3559" i="1"/>
  <c r="H3560" i="1"/>
  <c r="H3561" i="1"/>
  <c r="H3563" i="1"/>
  <c r="H3564" i="1"/>
  <c r="H3570" i="1"/>
  <c r="H3576" i="1"/>
  <c r="H3577" i="1"/>
  <c r="H3579" i="1"/>
  <c r="H3581" i="1"/>
  <c r="H3582" i="1"/>
  <c r="H3585" i="1"/>
  <c r="H3586" i="1"/>
  <c r="H3587" i="1"/>
  <c r="H3589" i="1"/>
  <c r="H3590" i="1"/>
  <c r="H3591" i="1"/>
  <c r="H3598" i="1"/>
  <c r="H3599" i="1"/>
  <c r="H3600" i="1"/>
  <c r="H3601" i="1"/>
  <c r="H3602" i="1"/>
  <c r="H3605" i="1"/>
  <c r="H3606" i="1"/>
  <c r="H3608" i="1"/>
  <c r="H3609" i="1"/>
  <c r="H3616" i="1"/>
  <c r="H3619" i="1"/>
  <c r="H3623" i="1"/>
  <c r="H3625" i="1"/>
  <c r="H3626" i="1"/>
  <c r="H3627" i="1"/>
  <c r="H3628" i="1"/>
  <c r="H3629" i="1"/>
  <c r="H3630" i="1"/>
  <c r="H3632" i="1"/>
  <c r="H3633" i="1"/>
  <c r="H3634" i="1"/>
  <c r="H3635" i="1"/>
  <c r="H3636" i="1"/>
  <c r="H3637" i="1"/>
  <c r="H3639" i="1"/>
  <c r="H3646" i="1"/>
  <c r="H3647" i="1"/>
  <c r="H3649" i="1"/>
  <c r="H3650" i="1"/>
  <c r="H3656" i="1"/>
  <c r="H3658" i="1"/>
  <c r="H3659" i="1"/>
  <c r="H3660" i="1"/>
  <c r="H3661" i="1"/>
  <c r="H3662" i="1"/>
  <c r="H3664" i="1"/>
  <c r="H3669" i="1"/>
  <c r="H3670" i="1"/>
  <c r="H3671" i="1"/>
  <c r="H3672" i="1"/>
  <c r="H3673" i="1"/>
  <c r="H3676" i="1"/>
  <c r="H3680" i="1"/>
  <c r="H3681" i="1"/>
  <c r="H3682" i="1"/>
  <c r="H3683" i="1"/>
  <c r="H3684" i="1"/>
  <c r="H3687" i="1"/>
  <c r="H3689" i="1"/>
  <c r="H3690" i="1"/>
  <c r="H3694" i="1"/>
  <c r="H3696" i="1"/>
  <c r="H3698" i="1"/>
  <c r="H3699" i="1"/>
  <c r="H3700" i="1"/>
  <c r="H3701" i="1"/>
  <c r="H3702" i="1"/>
  <c r="H3707" i="1"/>
  <c r="H3708" i="1"/>
  <c r="H3709" i="1"/>
  <c r="H3710" i="1"/>
  <c r="H3712" i="1"/>
  <c r="H3713" i="1"/>
  <c r="H3716" i="1"/>
  <c r="H3718" i="1"/>
  <c r="H3720" i="1"/>
  <c r="H3723" i="1"/>
  <c r="H3724" i="1"/>
  <c r="H3725" i="1"/>
  <c r="H3726" i="1"/>
  <c r="H3727" i="1"/>
  <c r="H3728" i="1"/>
  <c r="H3729" i="1"/>
  <c r="H3730" i="1"/>
  <c r="H3731" i="1"/>
  <c r="H3732" i="1"/>
  <c r="H3735" i="1"/>
  <c r="H3740" i="1"/>
  <c r="H3741" i="1"/>
  <c r="H3742" i="1"/>
  <c r="H3743" i="1"/>
  <c r="H3744" i="1"/>
  <c r="H3745" i="1"/>
  <c r="H3749" i="1"/>
  <c r="H3750" i="1"/>
  <c r="H3753" i="1"/>
  <c r="H3754" i="1"/>
  <c r="H3756" i="1"/>
  <c r="H3760" i="1"/>
  <c r="H3761" i="1"/>
  <c r="H3762" i="1"/>
  <c r="H3766" i="1"/>
  <c r="H3767" i="1"/>
  <c r="H3768" i="1"/>
  <c r="H3769" i="1"/>
  <c r="H3770" i="1"/>
  <c r="H3771" i="1"/>
  <c r="H3775" i="1"/>
  <c r="H3776" i="1"/>
  <c r="H3777" i="1"/>
  <c r="H3779" i="1"/>
  <c r="H3780" i="1"/>
  <c r="H3792" i="1"/>
  <c r="H3793" i="1"/>
  <c r="H3794" i="1"/>
  <c r="H3796" i="1"/>
  <c r="H3797" i="1"/>
  <c r="H3798" i="1"/>
  <c r="H3799" i="1"/>
  <c r="H3800" i="1"/>
  <c r="H3802" i="1"/>
  <c r="H3803" i="1"/>
  <c r="H3804" i="1"/>
  <c r="H3808" i="1"/>
  <c r="H3810" i="1"/>
  <c r="H3814" i="1"/>
  <c r="H3815" i="1"/>
  <c r="H3816" i="1"/>
  <c r="H3817" i="1"/>
  <c r="H3819" i="1"/>
  <c r="H3820" i="1"/>
  <c r="H3821" i="1"/>
  <c r="H3822" i="1"/>
  <c r="H3825" i="1"/>
  <c r="H3827" i="1"/>
  <c r="H3829" i="1"/>
  <c r="H3831" i="1"/>
  <c r="H3834" i="1"/>
  <c r="H3835" i="1"/>
  <c r="H3836" i="1"/>
  <c r="H3840" i="1"/>
  <c r="H3841" i="1"/>
  <c r="H3844" i="1"/>
  <c r="H3849" i="1"/>
  <c r="H3850" i="1"/>
  <c r="H3861" i="1"/>
  <c r="H3862" i="1"/>
  <c r="H3864" i="1"/>
  <c r="H3865" i="1"/>
  <c r="H3866" i="1"/>
  <c r="H3869" i="1"/>
  <c r="H3870" i="1"/>
  <c r="H3871" i="1"/>
  <c r="H3873" i="1"/>
  <c r="H3874" i="1"/>
  <c r="H3876" i="1"/>
  <c r="H3877" i="1"/>
  <c r="H3878" i="1"/>
  <c r="H3879" i="1"/>
  <c r="H3880" i="1"/>
  <c r="H3882" i="1"/>
  <c r="H3885" i="1"/>
  <c r="H3887" i="1"/>
  <c r="H3888" i="1"/>
  <c r="H3907" i="1"/>
  <c r="H3908" i="1"/>
  <c r="H3909" i="1"/>
  <c r="H3911" i="1"/>
  <c r="H3912" i="1"/>
  <c r="H3914" i="1"/>
  <c r="H3915" i="1"/>
  <c r="H3917" i="1"/>
  <c r="H3918" i="1"/>
  <c r="H3920" i="1"/>
  <c r="H3922" i="1"/>
  <c r="H3923" i="1"/>
  <c r="H3925" i="1"/>
  <c r="H3926" i="1"/>
  <c r="H3927" i="1"/>
  <c r="H3928" i="1"/>
  <c r="H3929" i="1"/>
  <c r="H3930" i="1"/>
  <c r="H3931" i="1"/>
  <c r="H3934" i="1"/>
  <c r="H3940" i="1"/>
  <c r="H3946" i="1"/>
  <c r="H3949" i="1"/>
  <c r="H3957" i="1"/>
  <c r="H3959" i="1"/>
  <c r="H3962" i="1"/>
  <c r="H3963" i="1"/>
  <c r="H3964" i="1"/>
  <c r="H3965" i="1"/>
  <c r="H3968" i="1"/>
  <c r="H3970" i="1"/>
  <c r="H3972" i="1"/>
  <c r="H3973" i="1"/>
  <c r="H3975" i="1"/>
  <c r="H3976" i="1"/>
  <c r="H3977" i="1"/>
  <c r="H3978" i="1"/>
  <c r="H3980" i="1"/>
  <c r="H3981" i="1"/>
  <c r="H3982" i="1"/>
  <c r="H3983" i="1"/>
  <c r="H3985" i="1"/>
  <c r="H3986" i="1"/>
  <c r="H3987" i="1"/>
  <c r="H3988" i="1"/>
  <c r="H3990" i="1"/>
  <c r="H3995" i="1"/>
  <c r="H3996" i="1"/>
  <c r="H3997" i="1"/>
  <c r="H4000" i="1"/>
  <c r="H4003" i="1"/>
  <c r="H4004" i="1"/>
  <c r="H4007" i="1"/>
  <c r="H4008" i="1"/>
  <c r="H4009" i="1"/>
  <c r="H4014" i="1"/>
  <c r="H4015" i="1"/>
  <c r="H4016" i="1"/>
  <c r="H4019" i="1"/>
  <c r="H4020" i="1"/>
  <c r="H4021" i="1"/>
  <c r="H4022" i="1"/>
  <c r="H4026" i="1"/>
  <c r="H4030" i="1"/>
  <c r="H4031" i="1"/>
  <c r="H4034" i="1"/>
  <c r="H4037" i="1"/>
  <c r="H4040" i="1"/>
  <c r="H4043" i="1"/>
  <c r="H4044" i="1"/>
  <c r="H4045" i="1"/>
  <c r="H4046" i="1"/>
  <c r="H4049" i="1"/>
  <c r="H4050" i="1"/>
  <c r="H4051" i="1"/>
  <c r="H4053" i="1"/>
  <c r="H4056" i="1"/>
  <c r="H4057" i="1"/>
  <c r="H4059" i="1"/>
  <c r="H4060" i="1"/>
  <c r="H4062" i="1"/>
  <c r="H4063" i="1"/>
  <c r="H4064" i="1"/>
  <c r="H4066" i="1"/>
  <c r="H4069" i="1"/>
  <c r="H4070" i="1"/>
  <c r="H4071" i="1"/>
  <c r="H4073" i="1"/>
  <c r="H4078" i="1"/>
  <c r="H4080" i="1"/>
  <c r="H4081" i="1"/>
  <c r="H4086" i="1"/>
  <c r="H4087" i="1"/>
  <c r="H4088" i="1"/>
  <c r="H4090" i="1"/>
  <c r="H4091" i="1"/>
  <c r="H4095" i="1"/>
  <c r="H4098" i="1"/>
  <c r="H4099" i="1"/>
  <c r="H4101" i="1"/>
  <c r="H4102" i="1"/>
  <c r="H4103" i="1"/>
  <c r="H4105" i="1"/>
  <c r="H4107" i="1"/>
  <c r="H4108" i="1"/>
  <c r="H4109" i="1"/>
  <c r="H4110" i="1"/>
  <c r="H4112" i="1"/>
  <c r="H4115" i="1"/>
  <c r="H4116" i="1"/>
  <c r="H4117" i="1"/>
  <c r="H4118" i="1"/>
  <c r="H4119" i="1"/>
  <c r="H4120" i="1"/>
  <c r="H4125" i="1"/>
  <c r="H4126" i="1"/>
  <c r="H4127" i="1"/>
  <c r="H4130" i="1"/>
  <c r="H4135" i="1"/>
  <c r="H4136" i="1"/>
  <c r="H4137" i="1"/>
  <c r="H4138" i="1"/>
  <c r="H4139" i="1"/>
  <c r="H4141" i="1"/>
  <c r="H4146" i="1"/>
  <c r="H4148" i="1"/>
  <c r="H4149" i="1"/>
  <c r="H4150" i="1"/>
  <c r="H4151" i="1"/>
  <c r="H4153" i="1"/>
  <c r="H4155" i="1"/>
  <c r="H4158" i="1"/>
  <c r="H4161" i="1"/>
  <c r="H4162" i="1"/>
  <c r="H4163" i="1"/>
  <c r="H4169" i="1"/>
  <c r="H4170" i="1"/>
  <c r="H4172" i="1"/>
  <c r="H4173" i="1"/>
  <c r="H4178" i="1"/>
  <c r="H4180" i="1"/>
  <c r="H4181" i="1"/>
  <c r="H4182" i="1"/>
  <c r="H4183" i="1"/>
  <c r="H4187" i="1"/>
  <c r="H4189" i="1"/>
  <c r="H4190" i="1"/>
  <c r="H4192" i="1"/>
  <c r="H4194" i="1"/>
  <c r="H4196" i="1"/>
  <c r="H4200" i="1"/>
  <c r="H4202" i="1"/>
  <c r="H4203" i="1"/>
  <c r="H4204" i="1"/>
  <c r="H4206" i="1"/>
  <c r="H4211" i="1"/>
  <c r="H4212" i="1"/>
  <c r="H4215" i="1"/>
  <c r="H4220" i="1"/>
  <c r="H4222" i="1"/>
  <c r="H4229" i="1"/>
  <c r="H4230" i="1"/>
  <c r="H4236" i="1"/>
  <c r="H4240" i="1"/>
  <c r="H4241" i="1"/>
  <c r="H4242" i="1"/>
  <c r="H4245" i="1"/>
  <c r="H4247" i="1"/>
  <c r="H4248" i="1"/>
  <c r="H4249" i="1"/>
  <c r="H4250" i="1"/>
  <c r="H4251" i="1"/>
  <c r="H4252" i="1"/>
  <c r="H4257" i="1"/>
  <c r="H4262" i="1"/>
  <c r="H4263" i="1"/>
  <c r="H4264" i="1"/>
  <c r="H4265" i="1"/>
  <c r="H4266" i="1"/>
  <c r="H4267" i="1"/>
  <c r="H4270" i="1"/>
  <c r="H4271" i="1"/>
  <c r="H4272" i="1"/>
  <c r="H4274" i="1"/>
  <c r="H4277" i="1"/>
  <c r="H4279" i="1"/>
  <c r="H4280" i="1"/>
  <c r="H4281" i="1"/>
  <c r="H4285" i="1"/>
  <c r="H4289" i="1"/>
  <c r="H4290" i="1"/>
  <c r="H4291" i="1"/>
  <c r="H4292" i="1"/>
  <c r="H4296" i="1"/>
  <c r="H4299" i="1"/>
  <c r="H4303" i="1"/>
  <c r="H4308" i="1"/>
  <c r="H4310" i="1"/>
  <c r="H4312" i="1"/>
  <c r="H4317" i="1"/>
  <c r="H4318" i="1"/>
  <c r="H4319" i="1"/>
  <c r="H4320" i="1"/>
  <c r="H4322" i="1"/>
  <c r="H4323" i="1"/>
  <c r="H4325" i="1"/>
  <c r="H4327" i="1"/>
  <c r="H4328" i="1"/>
  <c r="H4331" i="1"/>
  <c r="H4334" i="1"/>
  <c r="H4336" i="1"/>
  <c r="H4337" i="1"/>
  <c r="H4338" i="1"/>
  <c r="H4339" i="1"/>
  <c r="H4341" i="1"/>
  <c r="H4342" i="1"/>
  <c r="H4345" i="1"/>
  <c r="H4348" i="1"/>
  <c r="H4350" i="1"/>
  <c r="H4351" i="1"/>
  <c r="H4355" i="1"/>
  <c r="H4359" i="1"/>
  <c r="H4361" i="1"/>
  <c r="H4362" i="1"/>
  <c r="H4363" i="1"/>
  <c r="H4364" i="1"/>
  <c r="H4367" i="1"/>
  <c r="H4368" i="1"/>
  <c r="H4369" i="1"/>
  <c r="H4370" i="1"/>
  <c r="H4371" i="1"/>
  <c r="H4373" i="1"/>
  <c r="H4375" i="1"/>
  <c r="H4378" i="1"/>
  <c r="H4379" i="1"/>
  <c r="H4380" i="1"/>
  <c r="H4384" i="1"/>
  <c r="H4387" i="1"/>
  <c r="H4388" i="1"/>
  <c r="H4389" i="1"/>
  <c r="H4390" i="1"/>
  <c r="H4391" i="1"/>
  <c r="H4392" i="1"/>
  <c r="H4394" i="1"/>
  <c r="H4395" i="1"/>
  <c r="H4398" i="1"/>
  <c r="H4399" i="1"/>
  <c r="H4401" i="1"/>
  <c r="H4402" i="1"/>
  <c r="H4404" i="1"/>
  <c r="H4406" i="1"/>
  <c r="H4410" i="1"/>
  <c r="H4411" i="1"/>
  <c r="H4412" i="1"/>
  <c r="H4413" i="1"/>
  <c r="H4414" i="1"/>
  <c r="H4416" i="1"/>
  <c r="H4417" i="1"/>
  <c r="H4418" i="1"/>
  <c r="H4419" i="1"/>
  <c r="H4423" i="1"/>
  <c r="H4426" i="1"/>
  <c r="H4427" i="1"/>
  <c r="H4428" i="1"/>
  <c r="H4429" i="1"/>
  <c r="H4430" i="1"/>
  <c r="H4431" i="1"/>
  <c r="H4432" i="1"/>
  <c r="H4433" i="1"/>
  <c r="H4436" i="1"/>
  <c r="H4440" i="1"/>
  <c r="H4444" i="1"/>
  <c r="H4445" i="1"/>
  <c r="H4446" i="1"/>
  <c r="H4451" i="1"/>
  <c r="H4453" i="1"/>
  <c r="H4457" i="1"/>
  <c r="H4459" i="1"/>
  <c r="H4460" i="1"/>
  <c r="H4462" i="1"/>
  <c r="H4465" i="1"/>
  <c r="H4466" i="1"/>
  <c r="H4468" i="1"/>
  <c r="H4471" i="1"/>
  <c r="H4472" i="1"/>
  <c r="H4473" i="1"/>
  <c r="H4474" i="1"/>
  <c r="H4475" i="1"/>
  <c r="H4480" i="1"/>
  <c r="H4481" i="1"/>
  <c r="H4482" i="1"/>
  <c r="H4483" i="1"/>
  <c r="H4484" i="1"/>
  <c r="H4485" i="1"/>
  <c r="H4486" i="1"/>
  <c r="H4487" i="1"/>
  <c r="H4488" i="1"/>
  <c r="H4491" i="1"/>
  <c r="H4495" i="1"/>
  <c r="H4497" i="1"/>
  <c r="H4498" i="1"/>
  <c r="H4500" i="1"/>
  <c r="H4503" i="1"/>
  <c r="H4504" i="1"/>
  <c r="H4505" i="1"/>
  <c r="H4507" i="1"/>
  <c r="H4508" i="1"/>
  <c r="H4509" i="1"/>
  <c r="H4512" i="1"/>
  <c r="H4519" i="1"/>
  <c r="H4522" i="1"/>
  <c r="H4523" i="1"/>
  <c r="H4524" i="1"/>
  <c r="H4525" i="1"/>
  <c r="H4528" i="1"/>
  <c r="H4530" i="1"/>
  <c r="H4532" i="1"/>
  <c r="H4533" i="1"/>
  <c r="H4537" i="1"/>
  <c r="H4538" i="1"/>
  <c r="H4540" i="1"/>
  <c r="H4542" i="1"/>
  <c r="H4543" i="1"/>
  <c r="H4544" i="1"/>
  <c r="H4547" i="1"/>
  <c r="H4548" i="1"/>
  <c r="H4549" i="1"/>
  <c r="H4550" i="1"/>
  <c r="H4552" i="1"/>
  <c r="H4556" i="1"/>
  <c r="H4557" i="1"/>
  <c r="H4559" i="1"/>
  <c r="H4560" i="1"/>
  <c r="H4561" i="1"/>
  <c r="H4564" i="1"/>
  <c r="H4565" i="1"/>
  <c r="H4568" i="1"/>
  <c r="H4578" i="1"/>
  <c r="H4580" i="1"/>
  <c r="H4581" i="1"/>
  <c r="H4584" i="1"/>
  <c r="H4586" i="1"/>
  <c r="H4589" i="1"/>
  <c r="H4591" i="1"/>
  <c r="H4593" i="1"/>
  <c r="H4595" i="1"/>
  <c r="H4596" i="1"/>
  <c r="H4598" i="1"/>
  <c r="H4599" i="1"/>
  <c r="H4600" i="1"/>
  <c r="H4601" i="1"/>
  <c r="H4602" i="1"/>
  <c r="H4603" i="1"/>
  <c r="H4609" i="1"/>
  <c r="H4610" i="1"/>
  <c r="H4611" i="1"/>
  <c r="H4613" i="1"/>
  <c r="H4615" i="1"/>
  <c r="H4616" i="1"/>
  <c r="H4617" i="1"/>
  <c r="H4618" i="1"/>
  <c r="H4622" i="1"/>
  <c r="H4623" i="1"/>
  <c r="H4625" i="1"/>
  <c r="H4626" i="1"/>
  <c r="H4627" i="1"/>
  <c r="H4628" i="1"/>
  <c r="H4632" i="1"/>
  <c r="H4633" i="1"/>
  <c r="H4634" i="1"/>
  <c r="H4635" i="1"/>
  <c r="H4636" i="1"/>
  <c r="H4637" i="1"/>
  <c r="H4638" i="1"/>
  <c r="H4639" i="1"/>
  <c r="H4641" i="1"/>
  <c r="H4643" i="1"/>
  <c r="H4644" i="1"/>
  <c r="H4646" i="1"/>
  <c r="H4647" i="1"/>
  <c r="H4648" i="1"/>
  <c r="H4649" i="1"/>
  <c r="H4650" i="1"/>
  <c r="H4651" i="1"/>
  <c r="H4653" i="1"/>
  <c r="H4654" i="1"/>
  <c r="H4655" i="1"/>
  <c r="H4657" i="1"/>
  <c r="H4661" i="1"/>
  <c r="H4662" i="1"/>
  <c r="H4664" i="1"/>
  <c r="H4667" i="1"/>
  <c r="H4668" i="1"/>
  <c r="H4674" i="1"/>
  <c r="H4676" i="1"/>
  <c r="H4677" i="1"/>
  <c r="H4678" i="1"/>
  <c r="H4682" i="1"/>
  <c r="H4683" i="1"/>
  <c r="H4685" i="1"/>
  <c r="H4688" i="1"/>
  <c r="H4689" i="1"/>
  <c r="H4690" i="1"/>
  <c r="H4692" i="1"/>
  <c r="H4696" i="1"/>
  <c r="H4698" i="1"/>
  <c r="H4699" i="1"/>
  <c r="H4700" i="1"/>
  <c r="H4701" i="1"/>
  <c r="H4704" i="1"/>
  <c r="H4708" i="1"/>
  <c r="H4709" i="1"/>
  <c r="H4710" i="1"/>
  <c r="H4711" i="1"/>
  <c r="H4712" i="1"/>
  <c r="H4713" i="1"/>
  <c r="H4714" i="1"/>
  <c r="H4715" i="1"/>
  <c r="H4719" i="1"/>
  <c r="H4721" i="1"/>
  <c r="H4724" i="1"/>
  <c r="H4726" i="1"/>
  <c r="H4727" i="1"/>
  <c r="H4729" i="1"/>
  <c r="H4735" i="1"/>
  <c r="H4736" i="1"/>
  <c r="H4738" i="1"/>
  <c r="H4740" i="1"/>
  <c r="H4741" i="1"/>
  <c r="H4742" i="1"/>
  <c r="H4743" i="1"/>
  <c r="H4744" i="1"/>
  <c r="H4745" i="1"/>
  <c r="H4758" i="1"/>
  <c r="H4759" i="1"/>
  <c r="H4762" i="1"/>
  <c r="H4766" i="1"/>
  <c r="H4767" i="1"/>
  <c r="H4768" i="1"/>
  <c r="H4769" i="1"/>
  <c r="H4771" i="1"/>
  <c r="H4772" i="1"/>
  <c r="H4775" i="1"/>
  <c r="H4777" i="1"/>
  <c r="H4780" i="1"/>
  <c r="H4782" i="1"/>
  <c r="H4784" i="1"/>
  <c r="H4786" i="1"/>
  <c r="H4787" i="1"/>
  <c r="H4788" i="1"/>
  <c r="H4789" i="1"/>
  <c r="H4790" i="1"/>
  <c r="H4791" i="1"/>
  <c r="H4792" i="1"/>
  <c r="H4793" i="1"/>
  <c r="H4795" i="1"/>
  <c r="H4796" i="1"/>
  <c r="H4797" i="1"/>
  <c r="H4798" i="1"/>
  <c r="H4799" i="1"/>
  <c r="H4800" i="1"/>
  <c r="H4801" i="1"/>
  <c r="H4803" i="1"/>
  <c r="H4804" i="1"/>
  <c r="H4808" i="1"/>
  <c r="H4811" i="1"/>
  <c r="H4824" i="1"/>
  <c r="H4825" i="1"/>
  <c r="H4826" i="1"/>
  <c r="H4828" i="1"/>
  <c r="H4831" i="1"/>
  <c r="H4832" i="1"/>
  <c r="H4833" i="1"/>
  <c r="H4836" i="1"/>
  <c r="H4837" i="1"/>
  <c r="H4841" i="1"/>
  <c r="H4847" i="1"/>
  <c r="H4850" i="1"/>
  <c r="H4851" i="1"/>
  <c r="H4852" i="1"/>
  <c r="H4854" i="1"/>
  <c r="H4858" i="1"/>
  <c r="H4860" i="1"/>
  <c r="H4868" i="1"/>
  <c r="H4869" i="1"/>
  <c r="H4870" i="1"/>
  <c r="H4872" i="1"/>
  <c r="H4874" i="1"/>
  <c r="H4876" i="1"/>
  <c r="H4877" i="1"/>
  <c r="H4878" i="1"/>
  <c r="H4879" i="1"/>
  <c r="H4884" i="1"/>
  <c r="H4886" i="1"/>
  <c r="H4887" i="1"/>
  <c r="H4891" i="1"/>
  <c r="H4892" i="1"/>
  <c r="H4893" i="1"/>
  <c r="H4894" i="1"/>
  <c r="H4896" i="1"/>
  <c r="H4898" i="1"/>
  <c r="H4899" i="1"/>
  <c r="H4900" i="1"/>
  <c r="H4903" i="1"/>
  <c r="H4904" i="1"/>
  <c r="H4906" i="1"/>
  <c r="H4907" i="1"/>
  <c r="H4908" i="1"/>
  <c r="H4909" i="1"/>
  <c r="H4910" i="1"/>
  <c r="H4911" i="1"/>
  <c r="H4912" i="1"/>
  <c r="H4913" i="1"/>
  <c r="H4915" i="1"/>
  <c r="H4923" i="1"/>
  <c r="H4926" i="1"/>
  <c r="H4927" i="1"/>
  <c r="H4929" i="1"/>
  <c r="H4932" i="1"/>
  <c r="H4935" i="1"/>
  <c r="H4938" i="1"/>
  <c r="H4939" i="1"/>
  <c r="H4941" i="1"/>
  <c r="H4942" i="1"/>
  <c r="H4943" i="1"/>
  <c r="H4944" i="1"/>
  <c r="H4948" i="1"/>
  <c r="H4951" i="1"/>
  <c r="H4952" i="1"/>
  <c r="H4957" i="1"/>
  <c r="H4963" i="1"/>
  <c r="H4967" i="1"/>
  <c r="H4970" i="1"/>
  <c r="H4971" i="1"/>
  <c r="H4973" i="1"/>
  <c r="H4975" i="1"/>
  <c r="H4977" i="1"/>
  <c r="H4979" i="1"/>
  <c r="H4983" i="1"/>
  <c r="H4984" i="1"/>
  <c r="H4987" i="1"/>
  <c r="H4990" i="1"/>
  <c r="H4991" i="1"/>
  <c r="H4992" i="1"/>
  <c r="H4993" i="1"/>
  <c r="H4994" i="1"/>
  <c r="H4996" i="1"/>
  <c r="H4997" i="1"/>
  <c r="H5001" i="1"/>
  <c r="H5006" i="1"/>
  <c r="H5007" i="1"/>
  <c r="H5008" i="1"/>
  <c r="H5009" i="1"/>
  <c r="H5011" i="1"/>
  <c r="H5012" i="1"/>
  <c r="H5013" i="1"/>
  <c r="H5014" i="1"/>
  <c r="H5016" i="1"/>
  <c r="H5017" i="1"/>
  <c r="H5019" i="1"/>
  <c r="H5020" i="1"/>
  <c r="H5021" i="1"/>
  <c r="H5023" i="1"/>
  <c r="H5024" i="1"/>
  <c r="H5025" i="1"/>
  <c r="H5026" i="1"/>
  <c r="H5027" i="1"/>
  <c r="H5029" i="1"/>
  <c r="H5030" i="1"/>
  <c r="H5038" i="1"/>
  <c r="H5039" i="1"/>
  <c r="H5043" i="1"/>
  <c r="H5045" i="1"/>
  <c r="H5048" i="1"/>
  <c r="H5049" i="1"/>
  <c r="H5051" i="1"/>
  <c r="H5053" i="1"/>
  <c r="H5057" i="1"/>
  <c r="H5058" i="1"/>
  <c r="H5059" i="1"/>
  <c r="H5060" i="1"/>
  <c r="H5066" i="1"/>
  <c r="H5068" i="1"/>
  <c r="H5070" i="1"/>
  <c r="H5072" i="1"/>
  <c r="H5077" i="1"/>
  <c r="H5079" i="1"/>
  <c r="H5080" i="1"/>
  <c r="H5082" i="1"/>
  <c r="H5083" i="1"/>
  <c r="H5087" i="1"/>
  <c r="H5088" i="1"/>
  <c r="H5090" i="1"/>
  <c r="H5091" i="1"/>
  <c r="H5092" i="1"/>
  <c r="H5094" i="1"/>
  <c r="H5096" i="1"/>
  <c r="H5098" i="1"/>
  <c r="H5099" i="1"/>
  <c r="H5102" i="1"/>
  <c r="H5103" i="1"/>
  <c r="H5104" i="1"/>
  <c r="H5105" i="1"/>
  <c r="H5106" i="1"/>
  <c r="H5108" i="1"/>
  <c r="H5109" i="1"/>
  <c r="H5111" i="1"/>
  <c r="H5112" i="1"/>
  <c r="H5113" i="1"/>
  <c r="H5114" i="1"/>
  <c r="H5115" i="1"/>
  <c r="H5118" i="1"/>
  <c r="H5119" i="1"/>
  <c r="H5120" i="1"/>
  <c r="H5124" i="1"/>
  <c r="H5127" i="1"/>
  <c r="H5128" i="1"/>
  <c r="H5129" i="1"/>
  <c r="H5133" i="1"/>
  <c r="H5136" i="1"/>
  <c r="H5137" i="1"/>
  <c r="H5139" i="1"/>
  <c r="H5140" i="1"/>
  <c r="H5143" i="1"/>
  <c r="H5146" i="1"/>
  <c r="H5153" i="1"/>
  <c r="H5154" i="1"/>
  <c r="H5157" i="1"/>
  <c r="H5158" i="1"/>
  <c r="H5160" i="1"/>
  <c r="H5162" i="1"/>
  <c r="H5165" i="1"/>
  <c r="H5167" i="1"/>
  <c r="H5168" i="1"/>
  <c r="H5173" i="1"/>
  <c r="H5175" i="1"/>
  <c r="H5180" i="1"/>
  <c r="H5181" i="1"/>
  <c r="H5182" i="1"/>
  <c r="H5184" i="1"/>
  <c r="H5185" i="1"/>
  <c r="H5188" i="1"/>
  <c r="H5189" i="1"/>
  <c r="H5191" i="1"/>
  <c r="H5192" i="1"/>
  <c r="H5193" i="1"/>
  <c r="H5195" i="1"/>
  <c r="H5196" i="1"/>
  <c r="H5197" i="1"/>
  <c r="H5199" i="1"/>
  <c r="H5200" i="1"/>
  <c r="H5204" i="1"/>
  <c r="H5206" i="1"/>
  <c r="H5216" i="1"/>
  <c r="H5218" i="1"/>
  <c r="H5219" i="1"/>
  <c r="H5220" i="1"/>
  <c r="H5221" i="1"/>
  <c r="H5222" i="1"/>
  <c r="H5224" i="1"/>
  <c r="H5226" i="1"/>
  <c r="H5228" i="1"/>
  <c r="H5229" i="1"/>
  <c r="H5230" i="1"/>
  <c r="H5231" i="1"/>
  <c r="H5234" i="1"/>
  <c r="H5235" i="1"/>
  <c r="H5236" i="1"/>
  <c r="H5237" i="1"/>
  <c r="H5239" i="1"/>
  <c r="H5240" i="1"/>
  <c r="H5243" i="1"/>
  <c r="H5244" i="1"/>
  <c r="H5245" i="1"/>
  <c r="H5246" i="1"/>
  <c r="H5247" i="1"/>
  <c r="H5248" i="1"/>
  <c r="H5250" i="1"/>
  <c r="H5252" i="1"/>
  <c r="H5253" i="1"/>
  <c r="H5257" i="1"/>
  <c r="H5258" i="1"/>
  <c r="H5259" i="1"/>
  <c r="H5264" i="1"/>
  <c r="H5265" i="1"/>
  <c r="H5267" i="1"/>
  <c r="H5268" i="1"/>
  <c r="H5269" i="1"/>
  <c r="H5270" i="1"/>
  <c r="H5272" i="1"/>
  <c r="H5275" i="1"/>
  <c r="H5277" i="1"/>
  <c r="H5278" i="1"/>
  <c r="H5279" i="1"/>
  <c r="H5280" i="1"/>
  <c r="H5282" i="1"/>
  <c r="H5287" i="1"/>
  <c r="H5288" i="1"/>
  <c r="H5289" i="1"/>
  <c r="H5291" i="1"/>
  <c r="H5293" i="1"/>
  <c r="H5294" i="1"/>
  <c r="H5295" i="1"/>
  <c r="H5296" i="1"/>
  <c r="H5297" i="1"/>
  <c r="H5298" i="1"/>
  <c r="H5299" i="1"/>
  <c r="H5306" i="1"/>
  <c r="H5308" i="1"/>
  <c r="H5310" i="1"/>
  <c r="H5313" i="1"/>
  <c r="H5314" i="1"/>
  <c r="H5316" i="1"/>
  <c r="H5317" i="1"/>
  <c r="H5320" i="1"/>
  <c r="H5323" i="1"/>
  <c r="H5324" i="1"/>
  <c r="H5332" i="1"/>
  <c r="H5338" i="1"/>
  <c r="H5342" i="1"/>
  <c r="H5348" i="1"/>
  <c r="H5349" i="1"/>
  <c r="H5351" i="1"/>
  <c r="H5352" i="1"/>
  <c r="H5353" i="1"/>
  <c r="H5355" i="1"/>
  <c r="H5356" i="1"/>
  <c r="H5357" i="1"/>
  <c r="H5359" i="1"/>
  <c r="H5360" i="1"/>
  <c r="H5361" i="1"/>
  <c r="H5362" i="1"/>
  <c r="H5363" i="1"/>
  <c r="H5364" i="1"/>
  <c r="H5366" i="1"/>
  <c r="H5367" i="1"/>
  <c r="H5370" i="1"/>
  <c r="H5373" i="1"/>
  <c r="H5374" i="1"/>
  <c r="H5376" i="1"/>
  <c r="H5378" i="1"/>
  <c r="H5380" i="1"/>
  <c r="H5381" i="1"/>
  <c r="H5382" i="1"/>
  <c r="H5383" i="1"/>
  <c r="H5384" i="1"/>
  <c r="H5385" i="1"/>
  <c r="H5386" i="1"/>
  <c r="H5389" i="1"/>
  <c r="H5392" i="1"/>
  <c r="H5393" i="1"/>
  <c r="H5394" i="1"/>
  <c r="H5395" i="1"/>
  <c r="H5396" i="1"/>
  <c r="H5400" i="1"/>
  <c r="H5401" i="1"/>
  <c r="H5404" i="1"/>
  <c r="H5406" i="1"/>
  <c r="H5407" i="1"/>
  <c r="H5409" i="1"/>
  <c r="H5411" i="1"/>
  <c r="H5412" i="1"/>
  <c r="H5414" i="1"/>
  <c r="H5417" i="1"/>
  <c r="H5418" i="1"/>
  <c r="H5419" i="1"/>
  <c r="H5420" i="1"/>
  <c r="H5421" i="1"/>
  <c r="H5422" i="1"/>
  <c r="H5423" i="1"/>
  <c r="H5429" i="1"/>
  <c r="H5430" i="1"/>
  <c r="H5431" i="1"/>
  <c r="H5432" i="1"/>
  <c r="H5434" i="1"/>
  <c r="H5436" i="1"/>
  <c r="H5437" i="1"/>
  <c r="H5438" i="1"/>
  <c r="H5439" i="1"/>
  <c r="H5440" i="1"/>
  <c r="H5441" i="1"/>
  <c r="H5443" i="1"/>
  <c r="H5444" i="1"/>
  <c r="H5448" i="1"/>
  <c r="H5450" i="1"/>
  <c r="H5451" i="1"/>
  <c r="H5455" i="1"/>
  <c r="H5459" i="1"/>
  <c r="H5463" i="1"/>
  <c r="H5464" i="1"/>
  <c r="H5466" i="1"/>
  <c r="H5467" i="1"/>
  <c r="H5468" i="1"/>
  <c r="H5469" i="1"/>
  <c r="H5470" i="1"/>
  <c r="H5471" i="1"/>
  <c r="H5476" i="1"/>
  <c r="H5480" i="1"/>
  <c r="H5481" i="1"/>
  <c r="H5483" i="1"/>
  <c r="H5484" i="1"/>
  <c r="H5485" i="1"/>
  <c r="H5486" i="1"/>
  <c r="H5487" i="1"/>
  <c r="H5491" i="1"/>
  <c r="H5492" i="1"/>
  <c r="H5493" i="1"/>
  <c r="H5494" i="1"/>
  <c r="H5495" i="1"/>
  <c r="H5497" i="1"/>
  <c r="H5500" i="1"/>
  <c r="H5501" i="1"/>
  <c r="H5502" i="1"/>
  <c r="H5507" i="1"/>
  <c r="H5508" i="1"/>
  <c r="H5509" i="1"/>
  <c r="H5510" i="1"/>
  <c r="H5511" i="1"/>
  <c r="H5513" i="1"/>
  <c r="H5514" i="1"/>
  <c r="H5515" i="1"/>
  <c r="H5516" i="1"/>
  <c r="H5522" i="1"/>
  <c r="H5523" i="1"/>
  <c r="H5524" i="1"/>
  <c r="H5525" i="1"/>
  <c r="H5526" i="1"/>
  <c r="H5527" i="1"/>
  <c r="H5528" i="1"/>
  <c r="H5529" i="1"/>
  <c r="H5530" i="1"/>
  <c r="H5534" i="1"/>
  <c r="H5535" i="1"/>
  <c r="H5536" i="1"/>
  <c r="H5538" i="1"/>
  <c r="H5539" i="1"/>
  <c r="H5541" i="1"/>
  <c r="H5542" i="1"/>
  <c r="H5543" i="1"/>
  <c r="H5547" i="1"/>
  <c r="H5548" i="1"/>
  <c r="H5549" i="1"/>
  <c r="H5551" i="1"/>
  <c r="H5553" i="1"/>
  <c r="H5556" i="1"/>
  <c r="H5557" i="1"/>
  <c r="H5558" i="1"/>
  <c r="H5561" i="1"/>
  <c r="H5562" i="1"/>
  <c r="H5565" i="1"/>
  <c r="H5567" i="1"/>
  <c r="H5568" i="1"/>
  <c r="H5569" i="1"/>
  <c r="H5570" i="1"/>
  <c r="H5573" i="1"/>
  <c r="H5578" i="1"/>
  <c r="H5579" i="1"/>
  <c r="H5581" i="1"/>
  <c r="H5583" i="1"/>
  <c r="H5586" i="1"/>
  <c r="H5587" i="1"/>
  <c r="H5592" i="1"/>
  <c r="H5593" i="1"/>
  <c r="H5595" i="1"/>
  <c r="H5597" i="1"/>
  <c r="H5598" i="1"/>
  <c r="H5599" i="1"/>
  <c r="H5601" i="1"/>
  <c r="H5602" i="1"/>
  <c r="H5603" i="1"/>
  <c r="H5604" i="1"/>
  <c r="H5605" i="1"/>
  <c r="H5607" i="1"/>
  <c r="H5614" i="1"/>
  <c r="H5615" i="1"/>
  <c r="H5616" i="1"/>
  <c r="H5619" i="1"/>
  <c r="H5623" i="1"/>
  <c r="H5624" i="1"/>
  <c r="H5626" i="1"/>
  <c r="H5634" i="1"/>
  <c r="H5635" i="1"/>
  <c r="H5636" i="1"/>
  <c r="H5639" i="1"/>
  <c r="H5640" i="1"/>
  <c r="H5642" i="1"/>
  <c r="H5644" i="1"/>
  <c r="H5645" i="1"/>
  <c r="H5646" i="1"/>
  <c r="H5648" i="1"/>
  <c r="H5649" i="1"/>
  <c r="H5651" i="1"/>
  <c r="H5652" i="1"/>
  <c r="H5654" i="1"/>
  <c r="H5656" i="1"/>
  <c r="H5657" i="1"/>
  <c r="H5661" i="1"/>
  <c r="H5662" i="1"/>
  <c r="H5666" i="1"/>
  <c r="H5670" i="1"/>
  <c r="H5671" i="1"/>
  <c r="H5673" i="1"/>
  <c r="H5674" i="1"/>
  <c r="H5675" i="1"/>
  <c r="H5676" i="1"/>
  <c r="H5677" i="1"/>
  <c r="H5680" i="1"/>
  <c r="H5681" i="1"/>
  <c r="H5682" i="1"/>
  <c r="H5687" i="1"/>
  <c r="H5688" i="1"/>
  <c r="H5689" i="1"/>
  <c r="H5692" i="1"/>
  <c r="H5693" i="1"/>
  <c r="H5697" i="1"/>
  <c r="H5698" i="1"/>
  <c r="H5699" i="1"/>
  <c r="H5702" i="1"/>
  <c r="H5703" i="1"/>
  <c r="H5708" i="1"/>
  <c r="H5709" i="1"/>
  <c r="H5711" i="1"/>
  <c r="H5712" i="1"/>
  <c r="H5713" i="1"/>
  <c r="H5714" i="1"/>
  <c r="H5715" i="1"/>
  <c r="H5716" i="1"/>
  <c r="H5717" i="1"/>
  <c r="H5718" i="1"/>
  <c r="H5720" i="1"/>
  <c r="H5723" i="1"/>
  <c r="H5724" i="1"/>
  <c r="H5726" i="1"/>
  <c r="H5727" i="1"/>
  <c r="H5730" i="1"/>
  <c r="H5734" i="1"/>
  <c r="H5736" i="1"/>
  <c r="H5737" i="1"/>
  <c r="H5738" i="1"/>
  <c r="H5739" i="1"/>
  <c r="H5740" i="1"/>
  <c r="H5741" i="1"/>
  <c r="H5742" i="1"/>
  <c r="H5743" i="1"/>
  <c r="H5744" i="1"/>
  <c r="H5745" i="1"/>
  <c r="H5746" i="1"/>
  <c r="H5748" i="1"/>
  <c r="H5749" i="1"/>
  <c r="H5750" i="1"/>
  <c r="H5751" i="1"/>
  <c r="H5753" i="1"/>
  <c r="H5759" i="1"/>
  <c r="H5764" i="1"/>
  <c r="H5765" i="1"/>
  <c r="H5766" i="1"/>
  <c r="H5768" i="1"/>
  <c r="H5774" i="1"/>
  <c r="H5775" i="1"/>
  <c r="H5776" i="1"/>
  <c r="H5778" i="1"/>
  <c r="H5779" i="1"/>
  <c r="H5787" i="1"/>
  <c r="H5790" i="1"/>
  <c r="H5791" i="1"/>
  <c r="H5792" i="1"/>
  <c r="H5793" i="1"/>
  <c r="H5794" i="1"/>
  <c r="H5799" i="1"/>
  <c r="H5803" i="1"/>
  <c r="H5804" i="1"/>
  <c r="H5807" i="1"/>
  <c r="H5812" i="1"/>
  <c r="H5815" i="1"/>
  <c r="H5816" i="1"/>
  <c r="H5817" i="1"/>
  <c r="H5818" i="1"/>
  <c r="H5820" i="1"/>
  <c r="H5821" i="1"/>
  <c r="H5823" i="1"/>
  <c r="H5824" i="1"/>
  <c r="H5831" i="1"/>
  <c r="H5833" i="1"/>
  <c r="H5834" i="1"/>
  <c r="H5835" i="1"/>
  <c r="H5837" i="1"/>
  <c r="H5842" i="1"/>
  <c r="H5843" i="1"/>
  <c r="H5844" i="1"/>
  <c r="H5845" i="1"/>
  <c r="H5846" i="1"/>
  <c r="H5847" i="1"/>
  <c r="H5848" i="1"/>
  <c r="H5849" i="1"/>
  <c r="H5852" i="1"/>
  <c r="H5856" i="1"/>
  <c r="H5857" i="1"/>
  <c r="H5858" i="1"/>
  <c r="H5861" i="1"/>
  <c r="H5863" i="1"/>
  <c r="H5864" i="1"/>
  <c r="H5868" i="1"/>
  <c r="H5870" i="1"/>
  <c r="H5871" i="1"/>
  <c r="H5873" i="1"/>
  <c r="H5874" i="1"/>
  <c r="H5876" i="1"/>
  <c r="H5877" i="1"/>
  <c r="H5879" i="1"/>
  <c r="H5880" i="1"/>
  <c r="H5882" i="1"/>
  <c r="H5883" i="1"/>
  <c r="H5884" i="1"/>
  <c r="H5889" i="1"/>
  <c r="H5892" i="1"/>
  <c r="H5894" i="1"/>
  <c r="H5898" i="1"/>
  <c r="H5899" i="1"/>
  <c r="H5901" i="1"/>
  <c r="H5903" i="1"/>
  <c r="H5904" i="1"/>
  <c r="H5905" i="1"/>
  <c r="H5906" i="1"/>
  <c r="H5907" i="1"/>
  <c r="H5908" i="1"/>
  <c r="H5909" i="1"/>
  <c r="H5911" i="1"/>
  <c r="H5912" i="1"/>
  <c r="H5913" i="1"/>
  <c r="H5915" i="1"/>
  <c r="H5917" i="1"/>
  <c r="H5919" i="1"/>
  <c r="H5922" i="1"/>
  <c r="H5923" i="1"/>
  <c r="H5925" i="1"/>
  <c r="H5926" i="1"/>
  <c r="H5927" i="1"/>
  <c r="H5928" i="1"/>
  <c r="H5930" i="1"/>
  <c r="H5932" i="1"/>
  <c r="H5933" i="1"/>
  <c r="H5934" i="1"/>
  <c r="H5935" i="1"/>
  <c r="H5936" i="1"/>
  <c r="H5937" i="1"/>
  <c r="H5938" i="1"/>
  <c r="H5942" i="1"/>
  <c r="H5943" i="1"/>
  <c r="H5946" i="1"/>
  <c r="H5948" i="1"/>
  <c r="H5951" i="1"/>
  <c r="H5954" i="1"/>
  <c r="H5956" i="1"/>
  <c r="H5957" i="1"/>
  <c r="H5958" i="1"/>
  <c r="H5959" i="1"/>
  <c r="H5960" i="1"/>
  <c r="H5964" i="1"/>
  <c r="H5965" i="1"/>
  <c r="H5967" i="1"/>
  <c r="H5969" i="1"/>
  <c r="H5970" i="1"/>
  <c r="H5971" i="1"/>
  <c r="H5974" i="1"/>
  <c r="H5975" i="1"/>
  <c r="H5976" i="1"/>
  <c r="H5977" i="1"/>
  <c r="H5978" i="1"/>
  <c r="H5979" i="1"/>
  <c r="H5982" i="1"/>
  <c r="H5983" i="1"/>
  <c r="H5985" i="1"/>
  <c r="H5991" i="1"/>
  <c r="H5995" i="1"/>
  <c r="H5998" i="1"/>
  <c r="H6003" i="1"/>
  <c r="H6006" i="1"/>
  <c r="H6009" i="1"/>
  <c r="H6010" i="1"/>
  <c r="H6013" i="1"/>
  <c r="H6014" i="1"/>
  <c r="H6015" i="1"/>
  <c r="H6019" i="1"/>
  <c r="H6020" i="1"/>
  <c r="H6021" i="1"/>
  <c r="H6022" i="1"/>
  <c r="H6024" i="1"/>
  <c r="H6025" i="1"/>
  <c r="H6029" i="1"/>
  <c r="H6034" i="1"/>
  <c r="H6038" i="1"/>
  <c r="H6039" i="1"/>
  <c r="H6040" i="1"/>
  <c r="H6041" i="1"/>
  <c r="H6043" i="1"/>
  <c r="H6044" i="1"/>
  <c r="H6045" i="1"/>
  <c r="H6046" i="1"/>
  <c r="H6047" i="1"/>
  <c r="H6057" i="1"/>
  <c r="H6058" i="1"/>
  <c r="H6060" i="1"/>
  <c r="H6062" i="1"/>
  <c r="H6063" i="1"/>
  <c r="H6066" i="1"/>
  <c r="H6067" i="1"/>
  <c r="H6068" i="1"/>
  <c r="H6070" i="1"/>
  <c r="H6071" i="1"/>
  <c r="H6073" i="1"/>
  <c r="H6074" i="1"/>
  <c r="H6075" i="1"/>
  <c r="H6076" i="1"/>
  <c r="H6077" i="1"/>
  <c r="H6078" i="1"/>
  <c r="H6080" i="1"/>
  <c r="H6081" i="1"/>
  <c r="H6087" i="1"/>
  <c r="H6088" i="1"/>
  <c r="H6089" i="1"/>
  <c r="H6091" i="1"/>
  <c r="H6093" i="1"/>
  <c r="H6094" i="1"/>
  <c r="H6097" i="1"/>
  <c r="H6098" i="1"/>
  <c r="H6099" i="1"/>
  <c r="H6101" i="1"/>
  <c r="H6102" i="1"/>
  <c r="H6105" i="1"/>
  <c r="H6108" i="1"/>
  <c r="H6113" i="1"/>
  <c r="H6114" i="1"/>
  <c r="H6116" i="1"/>
  <c r="H6120" i="1"/>
  <c r="H6121" i="1"/>
  <c r="H6124" i="1"/>
  <c r="H6126" i="1"/>
  <c r="H6127" i="1"/>
  <c r="H6128" i="1"/>
  <c r="H6129" i="1"/>
  <c r="H6130" i="1"/>
  <c r="H6136" i="1"/>
  <c r="H6137" i="1"/>
  <c r="H6145" i="1"/>
  <c r="H6146" i="1"/>
  <c r="H6147" i="1"/>
  <c r="H6148" i="1"/>
  <c r="H6150" i="1"/>
  <c r="H6151" i="1"/>
  <c r="H6152" i="1"/>
  <c r="H6155" i="1"/>
  <c r="H6158" i="1"/>
  <c r="H6159" i="1"/>
  <c r="H6161" i="1"/>
  <c r="H6162" i="1"/>
  <c r="H6163" i="1"/>
  <c r="H6172" i="1"/>
  <c r="H6174" i="1"/>
  <c r="H6176" i="1"/>
  <c r="H6177" i="1"/>
  <c r="H6179" i="1"/>
  <c r="H6180" i="1"/>
  <c r="H6182" i="1"/>
  <c r="H6184" i="1"/>
  <c r="H6185" i="1"/>
  <c r="H6188" i="1"/>
  <c r="H6192" i="1"/>
  <c r="H6194" i="1"/>
  <c r="H6195" i="1"/>
  <c r="H6196" i="1"/>
  <c r="H6197" i="1"/>
  <c r="H6199" i="1"/>
  <c r="H6202" i="1"/>
  <c r="H6212" i="1"/>
  <c r="H6213" i="1"/>
  <c r="H6214" i="1"/>
  <c r="H6216" i="1"/>
  <c r="H6218" i="1"/>
  <c r="H6220" i="1"/>
  <c r="H6221" i="1"/>
  <c r="H6222" i="1"/>
  <c r="H6223" i="1"/>
  <c r="H6225" i="1"/>
  <c r="H6226" i="1"/>
  <c r="H6227" i="1"/>
  <c r="H6229" i="1"/>
  <c r="H6230" i="1"/>
  <c r="H6231" i="1"/>
  <c r="H6232" i="1"/>
  <c r="H6233" i="1"/>
  <c r="H6238" i="1"/>
  <c r="H6239" i="1"/>
  <c r="H6246" i="1"/>
  <c r="H6249" i="1"/>
  <c r="H6251" i="1"/>
  <c r="H6258" i="1"/>
  <c r="H6260" i="1"/>
  <c r="H6261" i="1"/>
  <c r="H6268" i="1"/>
  <c r="H6270" i="1"/>
  <c r="H6271" i="1"/>
  <c r="H6272" i="1"/>
  <c r="H6274" i="1"/>
  <c r="H6275" i="1"/>
  <c r="H6282" i="1"/>
  <c r="H6283" i="1"/>
  <c r="H6285" i="1"/>
  <c r="H6286" i="1"/>
  <c r="H6287" i="1"/>
  <c r="H6289" i="1"/>
  <c r="H6290" i="1"/>
  <c r="H6292" i="1"/>
  <c r="H6297" i="1"/>
  <c r="H6300" i="1"/>
  <c r="H6302" i="1"/>
  <c r="H6303" i="1"/>
  <c r="H6309" i="1"/>
  <c r="H6310" i="1"/>
  <c r="H6311" i="1"/>
  <c r="H6312" i="1"/>
  <c r="H6314" i="1"/>
  <c r="H6315" i="1"/>
  <c r="H6318" i="1"/>
  <c r="H6323" i="1"/>
  <c r="H6327" i="1"/>
  <c r="H6328" i="1"/>
  <c r="H6329" i="1"/>
  <c r="H6330" i="1"/>
  <c r="H6331" i="1"/>
  <c r="H6336" i="1"/>
  <c r="H6339" i="1"/>
  <c r="H6340" i="1"/>
  <c r="H6342" i="1"/>
  <c r="H6343" i="1"/>
  <c r="H6344" i="1"/>
  <c r="H6347" i="1"/>
  <c r="H6352" i="1"/>
  <c r="H6354" i="1"/>
  <c r="H6357" i="1"/>
  <c r="H6358" i="1"/>
  <c r="H6359" i="1"/>
  <c r="H6363" i="1"/>
  <c r="H6364" i="1"/>
  <c r="H6365" i="1"/>
  <c r="H6366" i="1"/>
  <c r="H6367" i="1"/>
  <c r="H6368" i="1"/>
  <c r="H6369" i="1"/>
  <c r="H6370" i="1"/>
  <c r="H6372" i="1"/>
  <c r="H6373" i="1"/>
  <c r="H6376" i="1"/>
  <c r="H6386" i="1"/>
  <c r="H6387" i="1"/>
  <c r="H6388" i="1"/>
  <c r="H6389" i="1"/>
  <c r="H6390" i="1"/>
  <c r="H6397" i="1"/>
  <c r="H6399" i="1"/>
  <c r="H6401" i="1"/>
  <c r="H6403" i="1"/>
  <c r="H6405" i="1"/>
  <c r="H6409" i="1"/>
  <c r="H6411" i="1"/>
  <c r="H6415" i="1"/>
  <c r="H6417" i="1"/>
  <c r="H6420" i="1"/>
  <c r="H6421" i="1"/>
  <c r="H6422" i="1"/>
  <c r="H6426" i="1"/>
  <c r="H6428" i="1"/>
  <c r="H6432" i="1"/>
  <c r="H6433" i="1"/>
  <c r="H6434" i="1"/>
  <c r="H6437" i="1"/>
  <c r="H6438" i="1"/>
  <c r="H6442" i="1"/>
  <c r="H6443" i="1"/>
  <c r="H6444" i="1"/>
  <c r="H6445" i="1"/>
  <c r="H6448" i="1"/>
  <c r="H6449" i="1"/>
  <c r="H6457" i="1"/>
  <c r="H6458" i="1"/>
  <c r="H6459" i="1"/>
  <c r="H6460" i="1"/>
  <c r="H6461" i="1"/>
  <c r="H6462" i="1"/>
  <c r="H6468" i="1"/>
  <c r="H6469" i="1"/>
  <c r="H6470" i="1"/>
  <c r="H6474" i="1"/>
  <c r="H6477" i="1"/>
  <c r="H6478" i="1"/>
  <c r="H6479" i="1"/>
  <c r="H6482" i="1"/>
  <c r="H6484" i="1"/>
  <c r="H6490" i="1"/>
  <c r="H6491" i="1"/>
  <c r="H6498" i="1"/>
  <c r="H6499" i="1"/>
  <c r="H6500" i="1"/>
  <c r="H6502" i="1"/>
  <c r="H6503" i="1"/>
  <c r="H6504" i="1"/>
  <c r="H6505" i="1"/>
  <c r="H6507" i="1"/>
  <c r="H6512" i="1"/>
  <c r="H6513" i="1"/>
  <c r="H6522" i="1"/>
  <c r="H6523" i="1"/>
  <c r="H6524" i="1"/>
  <c r="H6526" i="1"/>
  <c r="H6527" i="1"/>
  <c r="H6528" i="1"/>
  <c r="H6529" i="1"/>
  <c r="H6531" i="1"/>
  <c r="H6532" i="1"/>
  <c r="H6533" i="1"/>
  <c r="H6534" i="1"/>
  <c r="H6536" i="1"/>
  <c r="H6537" i="1"/>
  <c r="H6538" i="1"/>
  <c r="H6541" i="1"/>
  <c r="H6549" i="1"/>
  <c r="H6552" i="1"/>
  <c r="H6554" i="1"/>
  <c r="H6555" i="1"/>
  <c r="H6556" i="1"/>
  <c r="H6557" i="1"/>
  <c r="H6561" i="1"/>
  <c r="H6562" i="1"/>
  <c r="H6563" i="1"/>
  <c r="H6564" i="1"/>
  <c r="H6565" i="1"/>
  <c r="H6566" i="1"/>
  <c r="H6567" i="1"/>
  <c r="H6569" i="1"/>
  <c r="H6570" i="1"/>
  <c r="H6576" i="1"/>
  <c r="H6577" i="1"/>
  <c r="H6579" i="1"/>
  <c r="H6581" i="1"/>
  <c r="H6582" i="1"/>
  <c r="H6585" i="1"/>
  <c r="H6591" i="1"/>
  <c r="H6592" i="1"/>
  <c r="H6594" i="1"/>
  <c r="H6596" i="1"/>
  <c r="H6598" i="1"/>
  <c r="H6599" i="1"/>
  <c r="H6600" i="1"/>
  <c r="H6601" i="1"/>
  <c r="H6602" i="1"/>
  <c r="H6609" i="1"/>
  <c r="H6610" i="1"/>
  <c r="H6611" i="1"/>
  <c r="H6613" i="1"/>
  <c r="H6614" i="1"/>
  <c r="H6615" i="1"/>
  <c r="H6616" i="1"/>
  <c r="H6618" i="1"/>
  <c r="H6622" i="1"/>
  <c r="H6627" i="1"/>
  <c r="H6629" i="1"/>
  <c r="H6630" i="1"/>
  <c r="H6631" i="1"/>
  <c r="H6636" i="1"/>
  <c r="H6638" i="1"/>
  <c r="H6639" i="1"/>
  <c r="H6641" i="1"/>
  <c r="H6642" i="1"/>
  <c r="H6643" i="1"/>
  <c r="H6644" i="1"/>
  <c r="H6645" i="1"/>
  <c r="H6646" i="1"/>
  <c r="H6647" i="1"/>
  <c r="H6648" i="1"/>
  <c r="H6650" i="1"/>
  <c r="H6651" i="1"/>
  <c r="H6654" i="1"/>
  <c r="H6656" i="1"/>
  <c r="H6657" i="1"/>
  <c r="H6658" i="1"/>
  <c r="H6662" i="1"/>
  <c r="H6665" i="1"/>
  <c r="H6666" i="1"/>
  <c r="H6667" i="1"/>
  <c r="H6669" i="1"/>
  <c r="H6672" i="1"/>
  <c r="H6678" i="1"/>
  <c r="H6679" i="1"/>
  <c r="H6681" i="1"/>
  <c r="H6685" i="1"/>
  <c r="H6686" i="1"/>
  <c r="H6687" i="1"/>
  <c r="H6692" i="1"/>
  <c r="H6693" i="1"/>
  <c r="H6694" i="1"/>
  <c r="H6697" i="1"/>
  <c r="H6698" i="1"/>
  <c r="H6699" i="1"/>
  <c r="H6701" i="1"/>
  <c r="H6702" i="1"/>
  <c r="H6704" i="1"/>
  <c r="H6709" i="1"/>
  <c r="H6710" i="1"/>
  <c r="H6711" i="1"/>
  <c r="H6712" i="1"/>
  <c r="H6714" i="1"/>
  <c r="H6717" i="1"/>
  <c r="H6719" i="1"/>
  <c r="H6720" i="1"/>
  <c r="H6721" i="1"/>
  <c r="H6723" i="1"/>
  <c r="H6727" i="1"/>
  <c r="H6728" i="1"/>
  <c r="H6732" i="1"/>
  <c r="H6734" i="1"/>
  <c r="H6735" i="1"/>
  <c r="H6741" i="1"/>
  <c r="H6742" i="1"/>
  <c r="H6743" i="1"/>
  <c r="H6744" i="1"/>
  <c r="H6747" i="1"/>
  <c r="H6751" i="1"/>
  <c r="H6753" i="1"/>
  <c r="H6754" i="1"/>
  <c r="H6755" i="1"/>
  <c r="H6758" i="1"/>
  <c r="H6759" i="1"/>
  <c r="H6760" i="1"/>
  <c r="H6762" i="1"/>
  <c r="H6765" i="1"/>
  <c r="H6766" i="1"/>
  <c r="H6771" i="1"/>
  <c r="H6774" i="1"/>
  <c r="H6778" i="1"/>
  <c r="H6781" i="1"/>
  <c r="H6782" i="1"/>
  <c r="H6783" i="1"/>
  <c r="H6789" i="1"/>
  <c r="H6792" i="1"/>
  <c r="H6794" i="1"/>
  <c r="H6795" i="1"/>
  <c r="H6796" i="1"/>
  <c r="H6797" i="1"/>
  <c r="H6798" i="1"/>
  <c r="H6803" i="1"/>
  <c r="H6804" i="1"/>
  <c r="H6805" i="1"/>
  <c r="H6807" i="1"/>
  <c r="H6809" i="1"/>
  <c r="H6810" i="1"/>
  <c r="H6811" i="1"/>
  <c r="H6812" i="1"/>
  <c r="H6814" i="1"/>
  <c r="H6815" i="1"/>
  <c r="H6817" i="1"/>
  <c r="H6818" i="1"/>
  <c r="H6819" i="1"/>
  <c r="H6820" i="1"/>
  <c r="H6823" i="1"/>
  <c r="H6824" i="1"/>
  <c r="H6826" i="1"/>
  <c r="H6829" i="1"/>
  <c r="H6830" i="1"/>
  <c r="H6831" i="1"/>
  <c r="H6838" i="1"/>
  <c r="H6839" i="1"/>
  <c r="H6840" i="1"/>
  <c r="H6846" i="1"/>
  <c r="H6848" i="1"/>
  <c r="H6853" i="1"/>
  <c r="H6854" i="1"/>
  <c r="H6855" i="1"/>
  <c r="H6857" i="1"/>
  <c r="H6860" i="1"/>
  <c r="H6861" i="1"/>
  <c r="H6862" i="1"/>
  <c r="H6863" i="1"/>
  <c r="H6867" i="1"/>
  <c r="H6868" i="1"/>
  <c r="H6869" i="1"/>
  <c r="H6872" i="1"/>
  <c r="H6875" i="1"/>
  <c r="H6876" i="1"/>
  <c r="H6877" i="1"/>
  <c r="H6878" i="1"/>
  <c r="H6881" i="1"/>
  <c r="H6882" i="1"/>
  <c r="H6885" i="1"/>
  <c r="H6886" i="1"/>
  <c r="H6887" i="1"/>
  <c r="H6888" i="1"/>
  <c r="H6890" i="1"/>
  <c r="H6891" i="1"/>
  <c r="H6892" i="1"/>
  <c r="H6893" i="1"/>
  <c r="H6894" i="1"/>
  <c r="H6896" i="1"/>
  <c r="H6899" i="1"/>
  <c r="H6900" i="1"/>
  <c r="H6902" i="1"/>
  <c r="H6903" i="1"/>
  <c r="H6904" i="1"/>
  <c r="H6906" i="1"/>
  <c r="H6907" i="1"/>
  <c r="H6909" i="1"/>
  <c r="H6911" i="1"/>
  <c r="H6914" i="1"/>
  <c r="H6916" i="1"/>
  <c r="H6919" i="1"/>
  <c r="H6922" i="1"/>
  <c r="H6925" i="1"/>
  <c r="H6927" i="1"/>
  <c r="H6929" i="1"/>
  <c r="H6931" i="1"/>
  <c r="H6932" i="1"/>
  <c r="H6933" i="1"/>
  <c r="H6936" i="1"/>
  <c r="H6937" i="1"/>
  <c r="H6938" i="1"/>
  <c r="H6939" i="1"/>
  <c r="H6941" i="1"/>
  <c r="H6943" i="1"/>
  <c r="H6944" i="1"/>
  <c r="H6945" i="1"/>
  <c r="H6946" i="1"/>
  <c r="H6948" i="1"/>
  <c r="H6949" i="1"/>
  <c r="H6950" i="1"/>
  <c r="H6953" i="1"/>
  <c r="H6956" i="1"/>
  <c r="H6957" i="1"/>
  <c r="H6958" i="1"/>
  <c r="H6967" i="1"/>
  <c r="H6969" i="1"/>
  <c r="H6973" i="1"/>
  <c r="H6975" i="1"/>
  <c r="H6976" i="1"/>
  <c r="H6977" i="1"/>
  <c r="H6979" i="1"/>
  <c r="H6983" i="1"/>
  <c r="H6984" i="1"/>
  <c r="H6986" i="1"/>
  <c r="H6987" i="1"/>
  <c r="H6991" i="1"/>
  <c r="H6994" i="1"/>
  <c r="H6995" i="1"/>
  <c r="H6997" i="1"/>
  <c r="H6999" i="1"/>
  <c r="H7001" i="1"/>
  <c r="H7002" i="1"/>
  <c r="H7005" i="1"/>
  <c r="H7007" i="1"/>
  <c r="H7009" i="1"/>
  <c r="H7010" i="1"/>
  <c r="H7011" i="1"/>
  <c r="H7012" i="1"/>
  <c r="H7015" i="1"/>
  <c r="H7018" i="1"/>
  <c r="H7019" i="1"/>
  <c r="H7020" i="1"/>
  <c r="H7021" i="1"/>
  <c r="H7022" i="1"/>
  <c r="H7024" i="1"/>
  <c r="H7027" i="1"/>
  <c r="H7028" i="1"/>
  <c r="H7030" i="1"/>
  <c r="H7032" i="1"/>
  <c r="H7033" i="1"/>
  <c r="H7035" i="1"/>
  <c r="H7036" i="1"/>
  <c r="H7037" i="1"/>
  <c r="H7041" i="1"/>
  <c r="H7045" i="1"/>
  <c r="H7048" i="1"/>
  <c r="H7049" i="1"/>
  <c r="H7050" i="1"/>
  <c r="H7052" i="1"/>
  <c r="H7053" i="1"/>
  <c r="H7059" i="1"/>
  <c r="H7060" i="1"/>
  <c r="H7064" i="1"/>
  <c r="H7066" i="1"/>
  <c r="H7068" i="1"/>
  <c r="H7069" i="1"/>
  <c r="H7071" i="1"/>
  <c r="H7074" i="1"/>
  <c r="H7080" i="1"/>
  <c r="H7081" i="1"/>
  <c r="H7082" i="1"/>
  <c r="H7083" i="1"/>
  <c r="H7085" i="1"/>
  <c r="H7090" i="1"/>
  <c r="H7092" i="1"/>
  <c r="H7098" i="1"/>
  <c r="H7100" i="1"/>
  <c r="H7103" i="1"/>
  <c r="H7104" i="1"/>
  <c r="H7105" i="1"/>
  <c r="H7109" i="1"/>
  <c r="H7110" i="1"/>
  <c r="H7111" i="1"/>
  <c r="H7113" i="1"/>
  <c r="H7114" i="1"/>
  <c r="H7115" i="1"/>
  <c r="H7116" i="1"/>
  <c r="H7117" i="1"/>
  <c r="H7121" i="1"/>
  <c r="H7122" i="1"/>
  <c r="H7128" i="1"/>
  <c r="H7129" i="1"/>
  <c r="H7131" i="1"/>
  <c r="H7132" i="1"/>
  <c r="H7133" i="1"/>
  <c r="H7134" i="1"/>
  <c r="H7136" i="1"/>
  <c r="H7137" i="1"/>
  <c r="H7139" i="1"/>
  <c r="H7140" i="1"/>
  <c r="H7141" i="1"/>
  <c r="H7142" i="1"/>
  <c r="H7143" i="1"/>
  <c r="H7144" i="1"/>
  <c r="H7145" i="1"/>
  <c r="H7146" i="1"/>
  <c r="H7148" i="1"/>
  <c r="H7149" i="1"/>
  <c r="H7150" i="1"/>
  <c r="H7151" i="1"/>
  <c r="H7152" i="1"/>
  <c r="H7153" i="1"/>
  <c r="H7154" i="1"/>
  <c r="H7155" i="1"/>
  <c r="H7157" i="1"/>
  <c r="H7159" i="1"/>
  <c r="H7160" i="1"/>
  <c r="H7162" i="1"/>
  <c r="H7164" i="1"/>
  <c r="H7165" i="1"/>
  <c r="H7166" i="1"/>
  <c r="H7167" i="1"/>
  <c r="H7168" i="1"/>
  <c r="H7171" i="1"/>
  <c r="H7173" i="1"/>
  <c r="H7175" i="1"/>
  <c r="H7176" i="1"/>
  <c r="H7179" i="1"/>
  <c r="H7181" i="1"/>
  <c r="H7185" i="1"/>
  <c r="H7187" i="1"/>
  <c r="H7191" i="1"/>
  <c r="H7192" i="1"/>
  <c r="H7193" i="1"/>
  <c r="H7194" i="1"/>
  <c r="H7195" i="1"/>
  <c r="H7196" i="1"/>
  <c r="H7199" i="1"/>
  <c r="H7202" i="1"/>
  <c r="H7204" i="1"/>
  <c r="H7205" i="1"/>
  <c r="H7207" i="1"/>
  <c r="H7213" i="1"/>
  <c r="H7214" i="1"/>
  <c r="H7216" i="1"/>
  <c r="H7217" i="1"/>
  <c r="H7218" i="1"/>
  <c r="H7219" i="1"/>
  <c r="H7220" i="1"/>
  <c r="H7223" i="1"/>
  <c r="H7224" i="1"/>
  <c r="H7225" i="1"/>
  <c r="H7227" i="1"/>
  <c r="H7229" i="1"/>
  <c r="H7230" i="1"/>
  <c r="H7231" i="1"/>
  <c r="H7232" i="1"/>
  <c r="H7236" i="1"/>
  <c r="H7237" i="1"/>
  <c r="H7243" i="1"/>
  <c r="H7245" i="1"/>
  <c r="H7247" i="1"/>
  <c r="H7249" i="1"/>
  <c r="H7250" i="1"/>
  <c r="H7253" i="1"/>
  <c r="H7257" i="1"/>
  <c r="H7259" i="1"/>
  <c r="H7260" i="1"/>
  <c r="H7261" i="1"/>
  <c r="H7262" i="1"/>
  <c r="H7263" i="1"/>
  <c r="H7264" i="1"/>
  <c r="H7265" i="1"/>
  <c r="H7266" i="1"/>
  <c r="H7271" i="1"/>
  <c r="H7272" i="1"/>
  <c r="H7275" i="1"/>
  <c r="H7278" i="1"/>
  <c r="H7279" i="1"/>
  <c r="H7281" i="1"/>
  <c r="H7283" i="1"/>
  <c r="H7285" i="1"/>
  <c r="H7286" i="1"/>
  <c r="H7288" i="1"/>
  <c r="H7289" i="1"/>
  <c r="H7290" i="1"/>
  <c r="H7291" i="1"/>
  <c r="H7292" i="1"/>
  <c r="H7294" i="1"/>
  <c r="H7295" i="1"/>
  <c r="H7299" i="1"/>
  <c r="H7303" i="1"/>
  <c r="H7305" i="1"/>
  <c r="H7308" i="1"/>
  <c r="H7309" i="1"/>
  <c r="H7310" i="1"/>
  <c r="H7311" i="1"/>
  <c r="H7315" i="1"/>
  <c r="H7318" i="1"/>
  <c r="H7320" i="1"/>
  <c r="H7321" i="1"/>
  <c r="H7324" i="1"/>
  <c r="H7325" i="1"/>
  <c r="H7326" i="1"/>
  <c r="H7327" i="1"/>
  <c r="H7329" i="1"/>
  <c r="H7331" i="1"/>
  <c r="H7333" i="1"/>
  <c r="H7335" i="1"/>
  <c r="H7336" i="1"/>
  <c r="H7337" i="1"/>
  <c r="H7341" i="1"/>
  <c r="H7345" i="1"/>
  <c r="H7347" i="1"/>
  <c r="H7349" i="1"/>
  <c r="H7351" i="1"/>
  <c r="H7353" i="1"/>
  <c r="H7355" i="1"/>
  <c r="H7356" i="1"/>
  <c r="H7357" i="1"/>
  <c r="H7358" i="1"/>
  <c r="H7359" i="1"/>
  <c r="H7361" i="1"/>
  <c r="H7362" i="1"/>
  <c r="H7363" i="1"/>
  <c r="H7366" i="1"/>
  <c r="H7367" i="1"/>
  <c r="H7368" i="1"/>
  <c r="H7369" i="1"/>
  <c r="H7371" i="1"/>
  <c r="H7374" i="1"/>
  <c r="H7375" i="1"/>
  <c r="H7376" i="1"/>
  <c r="H7382" i="1"/>
  <c r="H7386" i="1"/>
  <c r="H7387" i="1"/>
  <c r="H7390" i="1"/>
  <c r="H7396" i="1"/>
  <c r="H7398" i="1"/>
  <c r="H7403" i="1"/>
  <c r="H7404" i="1"/>
  <c r="H7406" i="1"/>
  <c r="H7411" i="1"/>
  <c r="H7412" i="1"/>
  <c r="H7419" i="1"/>
  <c r="H7420" i="1"/>
  <c r="H7423" i="1"/>
  <c r="H7427" i="1"/>
  <c r="H7429" i="1"/>
  <c r="H7431" i="1"/>
  <c r="H7432" i="1"/>
  <c r="H7435" i="1"/>
  <c r="H7436" i="1"/>
  <c r="H7437" i="1"/>
  <c r="H7438" i="1"/>
  <c r="H7440" i="1"/>
  <c r="H7441" i="1"/>
  <c r="H7445" i="1"/>
  <c r="H7450" i="1"/>
  <c r="H7452" i="1"/>
  <c r="H7453" i="1"/>
  <c r="H7455" i="1"/>
  <c r="H7456" i="1"/>
  <c r="H7458" i="1"/>
  <c r="H7459" i="1"/>
  <c r="H7460" i="1"/>
  <c r="H7462" i="1"/>
  <c r="H7464" i="1"/>
  <c r="H7468" i="1"/>
  <c r="H7473" i="1"/>
  <c r="H7476" i="1"/>
  <c r="H7478" i="1"/>
  <c r="H7483" i="1"/>
  <c r="H7484" i="1"/>
  <c r="H7485" i="1"/>
  <c r="H7486" i="1"/>
  <c r="H7488" i="1"/>
  <c r="H7490" i="1"/>
  <c r="H7491" i="1"/>
  <c r="H7492" i="1"/>
  <c r="H7494" i="1"/>
  <c r="H7495" i="1"/>
  <c r="H7496" i="1"/>
  <c r="H7497" i="1"/>
  <c r="H7499" i="1"/>
  <c r="H7501" i="1"/>
  <c r="H7504" i="1"/>
  <c r="H7505" i="1"/>
  <c r="H7506" i="1"/>
  <c r="H7510" i="1"/>
  <c r="H7511" i="1"/>
  <c r="H7515" i="1"/>
  <c r="H7516" i="1"/>
  <c r="H7518" i="1"/>
  <c r="H7519" i="1"/>
  <c r="H7521" i="1"/>
  <c r="H7522" i="1"/>
  <c r="H7524" i="1"/>
  <c r="H7528" i="1"/>
  <c r="H7529" i="1"/>
  <c r="H7531" i="1"/>
  <c r="H7534" i="1"/>
  <c r="H7536" i="1"/>
  <c r="H7538" i="1"/>
  <c r="H7541" i="1"/>
  <c r="H7544" i="1"/>
  <c r="H7545" i="1"/>
  <c r="H7546" i="1"/>
  <c r="H7548" i="1"/>
  <c r="H7549" i="1"/>
  <c r="H7550" i="1"/>
  <c r="H7551" i="1"/>
  <c r="H7552" i="1"/>
  <c r="H7553" i="1"/>
  <c r="H7554" i="1"/>
  <c r="H7555" i="1"/>
  <c r="H7556" i="1"/>
  <c r="H7557" i="1"/>
  <c r="H7558" i="1"/>
  <c r="H7559" i="1"/>
  <c r="H7560" i="1"/>
  <c r="H7561" i="1"/>
  <c r="H7564" i="1"/>
  <c r="H7565" i="1"/>
  <c r="H7566" i="1"/>
  <c r="H7567" i="1"/>
  <c r="H7569" i="1"/>
  <c r="H7571" i="1"/>
  <c r="H7573" i="1"/>
  <c r="H7574" i="1"/>
  <c r="H7575" i="1"/>
  <c r="H7577" i="1"/>
  <c r="H7579" i="1"/>
  <c r="H7581" i="1"/>
  <c r="H7584" i="1"/>
  <c r="H7586" i="1"/>
  <c r="H7587" i="1"/>
  <c r="H7588" i="1"/>
  <c r="H7589" i="1"/>
  <c r="H7590" i="1"/>
  <c r="H7596" i="1"/>
  <c r="H7597" i="1"/>
  <c r="H7598" i="1"/>
  <c r="H7601" i="1"/>
  <c r="H7602" i="1"/>
  <c r="H7604" i="1"/>
  <c r="H7606" i="1"/>
  <c r="H7607" i="1"/>
  <c r="H7608" i="1"/>
  <c r="H7609" i="1"/>
  <c r="H7610" i="1"/>
  <c r="H7614" i="1"/>
  <c r="H7615" i="1"/>
  <c r="H7619" i="1"/>
  <c r="H7623" i="1"/>
  <c r="H7625" i="1"/>
  <c r="H7628" i="1"/>
  <c r="H7629" i="1"/>
  <c r="H7632" i="1"/>
  <c r="H7634" i="1"/>
  <c r="H7636" i="1"/>
  <c r="H7637" i="1"/>
  <c r="H7638" i="1"/>
  <c r="H7642" i="1"/>
  <c r="H7643" i="1"/>
  <c r="H7646" i="1"/>
  <c r="H7649" i="1"/>
  <c r="H7650" i="1"/>
  <c r="H7653" i="1"/>
  <c r="H7654" i="1"/>
  <c r="H7659" i="1"/>
  <c r="H7660" i="1"/>
  <c r="H7661" i="1"/>
  <c r="H7669" i="1"/>
  <c r="H7670" i="1"/>
  <c r="H7671" i="1"/>
  <c r="H7672" i="1"/>
  <c r="H7673" i="1"/>
  <c r="H7674" i="1"/>
  <c r="H7675" i="1"/>
  <c r="H7682" i="1"/>
  <c r="H7684" i="1"/>
  <c r="H7687" i="1"/>
  <c r="H7689" i="1"/>
  <c r="H7691" i="1"/>
  <c r="H7692" i="1"/>
  <c r="H7694" i="1"/>
  <c r="H7695" i="1"/>
  <c r="H7697" i="1"/>
  <c r="H7699" i="1"/>
  <c r="H7700" i="1"/>
  <c r="H7702" i="1"/>
  <c r="H7703" i="1"/>
  <c r="H7709" i="1"/>
  <c r="H7713" i="1"/>
  <c r="H7720" i="1"/>
  <c r="H7721" i="1"/>
  <c r="H7722" i="1"/>
  <c r="H7724" i="1"/>
  <c r="H7726" i="1"/>
  <c r="H7728" i="1"/>
  <c r="H7730" i="1"/>
  <c r="H7731" i="1"/>
  <c r="H7732" i="1"/>
  <c r="H7733" i="1"/>
  <c r="H7734" i="1"/>
  <c r="H7735" i="1"/>
  <c r="H7736" i="1"/>
  <c r="H7738" i="1"/>
  <c r="H7739" i="1"/>
  <c r="H7743" i="1"/>
  <c r="H7744" i="1"/>
  <c r="H7749" i="1"/>
  <c r="H7750" i="1"/>
  <c r="H7752" i="1"/>
  <c r="H7754" i="1"/>
  <c r="H7759" i="1"/>
  <c r="H7760" i="1"/>
  <c r="H7761" i="1"/>
  <c r="H7762" i="1"/>
  <c r="H7763" i="1"/>
  <c r="H7764" i="1"/>
  <c r="H7765" i="1"/>
  <c r="H7767" i="1"/>
  <c r="H7768" i="1"/>
  <c r="H7769" i="1"/>
  <c r="H7770" i="1"/>
  <c r="H7771" i="1"/>
  <c r="H7774" i="1"/>
  <c r="H7776" i="1"/>
  <c r="H7779" i="1"/>
  <c r="H7780" i="1"/>
  <c r="H7782" i="1"/>
  <c r="H7785" i="1"/>
  <c r="H7786" i="1"/>
  <c r="H7787" i="1"/>
  <c r="H7788" i="1"/>
  <c r="H7790" i="1"/>
  <c r="H7801" i="1"/>
  <c r="H7802" i="1"/>
  <c r="H7805" i="1"/>
  <c r="H7806" i="1"/>
  <c r="H7807" i="1"/>
  <c r="H7808" i="1"/>
  <c r="H7809" i="1"/>
  <c r="H7810" i="1"/>
  <c r="H7811" i="1"/>
  <c r="H7815" i="1"/>
  <c r="H7816" i="1"/>
  <c r="H7819" i="1"/>
  <c r="H7820" i="1"/>
  <c r="H7823" i="1"/>
  <c r="H7825" i="1"/>
  <c r="H7826" i="1"/>
  <c r="H7827" i="1"/>
  <c r="H7828" i="1"/>
  <c r="H7836" i="1"/>
  <c r="H7838" i="1"/>
  <c r="H7839" i="1"/>
  <c r="H7840" i="1"/>
  <c r="H7843" i="1"/>
  <c r="H7845" i="1"/>
  <c r="H7847" i="1"/>
  <c r="H7849" i="1"/>
  <c r="H7850" i="1"/>
  <c r="H7852" i="1"/>
  <c r="H7854" i="1"/>
  <c r="H7855" i="1"/>
  <c r="H7856" i="1"/>
  <c r="H7859" i="1"/>
  <c r="H7861" i="1"/>
  <c r="H7862" i="1"/>
  <c r="H7863" i="1"/>
  <c r="H7866" i="1"/>
  <c r="H7868" i="1"/>
  <c r="H7869" i="1"/>
  <c r="H7870" i="1"/>
  <c r="H7871" i="1"/>
  <c r="H7873" i="1"/>
  <c r="H7878" i="1"/>
  <c r="H7879" i="1"/>
  <c r="H7881" i="1"/>
  <c r="H7885" i="1"/>
  <c r="H7886" i="1"/>
  <c r="H7888" i="1"/>
  <c r="H7890" i="1"/>
  <c r="H7891" i="1"/>
  <c r="H7893" i="1"/>
  <c r="H7895" i="1"/>
  <c r="H7898" i="1"/>
  <c r="H7899" i="1"/>
  <c r="H7903" i="1"/>
  <c r="H7904" i="1"/>
  <c r="H7910" i="1"/>
  <c r="H7911" i="1"/>
  <c r="H7915" i="1"/>
  <c r="H7916" i="1"/>
  <c r="H7917" i="1"/>
  <c r="H7918" i="1"/>
  <c r="H7921" i="1"/>
  <c r="H7922" i="1"/>
  <c r="H7923" i="1"/>
  <c r="H7925" i="1"/>
  <c r="H7926" i="1"/>
  <c r="H7928" i="1"/>
  <c r="H7931" i="1"/>
  <c r="H7932" i="1"/>
  <c r="H7933" i="1"/>
  <c r="H7934" i="1"/>
  <c r="H7940" i="1"/>
  <c r="H7941" i="1"/>
  <c r="H7942" i="1"/>
  <c r="H7943" i="1"/>
  <c r="H7944" i="1"/>
  <c r="H7945" i="1"/>
  <c r="H7946" i="1"/>
  <c r="H7947" i="1"/>
  <c r="H7948" i="1"/>
  <c r="H7949" i="1"/>
  <c r="H7950" i="1"/>
  <c r="H7962" i="1"/>
  <c r="H7963" i="1"/>
  <c r="H7966" i="1"/>
  <c r="H7968" i="1"/>
  <c r="H7970" i="1"/>
  <c r="H7973" i="1"/>
  <c r="H7975" i="1"/>
  <c r="H7977" i="1"/>
  <c r="H7979" i="1"/>
  <c r="H7984" i="1"/>
  <c r="H7985" i="1"/>
  <c r="H7986" i="1"/>
  <c r="H7988" i="1"/>
  <c r="H7990" i="1"/>
  <c r="H7991" i="1"/>
  <c r="H7994" i="1"/>
  <c r="H7996" i="1"/>
  <c r="H8000" i="1"/>
  <c r="H8001" i="1"/>
  <c r="H8004" i="1"/>
  <c r="H8005" i="1"/>
  <c r="H8006" i="1"/>
  <c r="H8007" i="1"/>
  <c r="H8009" i="1"/>
  <c r="H8011" i="1"/>
  <c r="H8013" i="1"/>
  <c r="H8014" i="1"/>
  <c r="H8021" i="1"/>
  <c r="H8023" i="1"/>
  <c r="H8024" i="1"/>
  <c r="H8026" i="1"/>
  <c r="H8029" i="1"/>
  <c r="H8030" i="1"/>
  <c r="H8031" i="1"/>
  <c r="H8032" i="1"/>
  <c r="H8033" i="1"/>
  <c r="H8035" i="1"/>
  <c r="H8036" i="1"/>
  <c r="H8038" i="1"/>
  <c r="H8040" i="1"/>
  <c r="H8043" i="1"/>
  <c r="H8045" i="1"/>
  <c r="H8046" i="1"/>
  <c r="H8049" i="1"/>
  <c r="H8052" i="1"/>
  <c r="H8053" i="1"/>
  <c r="H8055" i="1"/>
  <c r="H8056" i="1"/>
  <c r="H8059" i="1"/>
  <c r="H8060" i="1"/>
  <c r="H8067" i="1"/>
  <c r="H8070" i="1"/>
  <c r="H8071" i="1"/>
  <c r="H8072" i="1"/>
  <c r="H8073" i="1"/>
  <c r="H8075" i="1"/>
  <c r="H8079" i="1"/>
  <c r="H8080" i="1"/>
  <c r="H8081" i="1"/>
  <c r="H8089" i="1"/>
  <c r="H8090" i="1"/>
  <c r="H8092" i="1"/>
  <c r="H8093" i="1"/>
  <c r="H8097" i="1"/>
  <c r="H8098" i="1"/>
  <c r="H8101" i="1"/>
  <c r="H8103" i="1"/>
  <c r="H8104" i="1"/>
  <c r="H8107" i="1"/>
  <c r="H8111" i="1"/>
  <c r="H8114" i="1"/>
  <c r="H8116" i="1"/>
  <c r="H8117" i="1"/>
  <c r="H8118" i="1"/>
  <c r="H8119" i="1"/>
  <c r="H8122" i="1"/>
  <c r="H8123" i="1"/>
  <c r="H8124" i="1"/>
  <c r="H8126" i="1"/>
  <c r="H8128" i="1"/>
  <c r="H8129" i="1"/>
  <c r="H8132" i="1"/>
  <c r="H8134" i="1"/>
  <c r="H8135" i="1"/>
  <c r="H8137" i="1"/>
  <c r="H8138" i="1"/>
  <c r="H8139" i="1"/>
  <c r="H8140" i="1"/>
  <c r="H8141" i="1"/>
  <c r="H8142" i="1"/>
  <c r="H8143" i="1"/>
  <c r="H8144" i="1"/>
  <c r="H8146" i="1"/>
  <c r="H8147" i="1"/>
  <c r="H8153" i="1"/>
  <c r="H8154" i="1"/>
  <c r="H8155" i="1"/>
  <c r="H8157" i="1"/>
  <c r="H8159" i="1"/>
  <c r="H8161" i="1"/>
  <c r="H8164" i="1"/>
  <c r="H8166" i="1"/>
  <c r="H8169" i="1"/>
  <c r="H8170" i="1"/>
  <c r="H8172" i="1"/>
  <c r="H8174" i="1"/>
  <c r="H8178" i="1"/>
  <c r="H8181" i="1"/>
  <c r="H8186" i="1"/>
  <c r="H8187" i="1"/>
  <c r="H8188" i="1"/>
  <c r="H8189" i="1"/>
  <c r="H8190" i="1"/>
  <c r="H8191" i="1"/>
  <c r="H8193" i="1"/>
  <c r="H8194" i="1"/>
  <c r="H8197" i="1"/>
  <c r="H8204" i="1"/>
  <c r="H8205" i="1"/>
  <c r="H8207" i="1"/>
  <c r="H8208" i="1"/>
  <c r="H8210" i="1"/>
  <c r="H8212" i="1"/>
  <c r="H8213" i="1"/>
  <c r="H8214" i="1"/>
  <c r="H8215" i="1"/>
  <c r="H8216" i="1"/>
  <c r="H8217" i="1"/>
  <c r="H8218" i="1"/>
  <c r="H8219" i="1"/>
  <c r="H8221" i="1"/>
  <c r="H8223" i="1"/>
  <c r="H8224" i="1"/>
  <c r="H8227" i="1"/>
  <c r="H8228" i="1"/>
  <c r="H8231" i="1"/>
  <c r="H8232" i="1"/>
  <c r="H8233" i="1"/>
  <c r="H8235" i="1"/>
  <c r="H8238" i="1"/>
  <c r="H8241" i="1"/>
  <c r="H8242" i="1"/>
  <c r="H8243" i="1"/>
  <c r="H8244" i="1"/>
  <c r="H8247" i="1"/>
  <c r="H8248" i="1"/>
  <c r="H8251" i="1"/>
  <c r="H8253" i="1"/>
  <c r="H8254" i="1"/>
  <c r="H8259" i="1"/>
  <c r="H8261" i="1"/>
  <c r="H8264" i="1"/>
  <c r="H8265" i="1"/>
  <c r="H8266" i="1"/>
  <c r="H8268" i="1"/>
  <c r="H8271" i="1"/>
  <c r="H8274" i="1"/>
  <c r="H8279" i="1"/>
  <c r="H8281" i="1"/>
  <c r="H8282" i="1"/>
  <c r="H8284" i="1"/>
  <c r="H8293" i="1"/>
  <c r="H8294" i="1"/>
  <c r="H8296" i="1"/>
  <c r="H8297" i="1"/>
  <c r="H8298" i="1"/>
  <c r="H8300" i="1"/>
  <c r="H8301" i="1"/>
  <c r="H8304" i="1"/>
  <c r="H8306" i="1"/>
  <c r="H8307" i="1"/>
  <c r="H8308" i="1"/>
  <c r="H8309" i="1"/>
  <c r="H8310" i="1"/>
  <c r="H8311" i="1"/>
  <c r="H8312" i="1"/>
  <c r="H8314" i="1"/>
  <c r="H8317" i="1"/>
  <c r="H8319" i="1"/>
  <c r="H8320" i="1"/>
  <c r="H8321" i="1"/>
  <c r="H8324" i="1"/>
  <c r="H8329" i="1"/>
  <c r="H8330" i="1"/>
  <c r="H8331" i="1"/>
  <c r="H8332" i="1"/>
  <c r="H8333" i="1"/>
  <c r="H8334" i="1"/>
  <c r="H8336" i="1"/>
  <c r="H8337" i="1"/>
  <c r="H8339" i="1"/>
  <c r="H8341" i="1"/>
  <c r="H8345" i="1"/>
  <c r="H8346" i="1"/>
  <c r="H8349" i="1"/>
  <c r="H8352" i="1"/>
  <c r="H8353" i="1"/>
  <c r="H8354" i="1"/>
  <c r="H8356" i="1"/>
  <c r="H8358" i="1"/>
  <c r="H8361" i="1"/>
  <c r="H8363" i="1"/>
  <c r="H8365" i="1"/>
  <c r="H8368" i="1"/>
  <c r="H8369" i="1"/>
  <c r="H8373" i="1"/>
  <c r="H8374" i="1"/>
  <c r="H8375" i="1"/>
  <c r="H8379" i="1"/>
  <c r="H8382" i="1"/>
  <c r="H8385" i="1"/>
  <c r="H8386" i="1"/>
  <c r="H8388" i="1"/>
  <c r="H8390" i="1"/>
  <c r="H8393" i="1"/>
  <c r="H8394" i="1"/>
  <c r="H8395" i="1"/>
  <c r="H8398" i="1"/>
  <c r="H8401" i="1"/>
  <c r="H8404" i="1"/>
  <c r="H8407" i="1"/>
  <c r="H8409" i="1"/>
  <c r="H8414" i="1"/>
  <c r="H8415" i="1"/>
  <c r="H8416" i="1"/>
  <c r="H8417" i="1"/>
  <c r="H8418" i="1"/>
  <c r="H8419" i="1"/>
  <c r="H8420" i="1"/>
  <c r="H8421" i="1"/>
  <c r="H8422" i="1"/>
  <c r="H8424" i="1"/>
  <c r="H8427" i="1"/>
  <c r="H8432" i="1"/>
  <c r="H8433" i="1"/>
  <c r="H8438" i="1"/>
  <c r="H8439" i="1"/>
  <c r="H8441" i="1"/>
  <c r="H8445" i="1"/>
  <c r="H8449" i="1"/>
  <c r="H8452" i="1"/>
  <c r="H8453" i="1"/>
  <c r="H8454" i="1"/>
  <c r="H8455" i="1"/>
  <c r="H8458" i="1"/>
  <c r="H8461" i="1"/>
  <c r="H8464" i="1"/>
  <c r="H8465" i="1"/>
  <c r="H8466" i="1"/>
  <c r="H8467" i="1"/>
  <c r="H8472" i="1"/>
  <c r="H8475" i="1"/>
  <c r="H8476" i="1"/>
  <c r="H8479" i="1"/>
  <c r="H8481" i="1"/>
  <c r="H8483" i="1"/>
  <c r="H8484" i="1"/>
  <c r="H8488" i="1"/>
  <c r="H8491" i="1"/>
  <c r="H8492" i="1"/>
  <c r="H8493" i="1"/>
  <c r="H8498" i="1"/>
  <c r="H8500" i="1"/>
  <c r="H8506" i="1"/>
  <c r="H8507" i="1"/>
  <c r="H8508" i="1"/>
  <c r="H8510" i="1"/>
  <c r="H8512" i="1"/>
  <c r="H8513" i="1"/>
  <c r="H8515" i="1"/>
  <c r="H8516" i="1"/>
  <c r="H8520" i="1"/>
  <c r="H8522" i="1"/>
  <c r="H8523" i="1"/>
  <c r="H8526" i="1"/>
  <c r="H8527" i="1"/>
  <c r="H8530" i="1"/>
  <c r="H8531" i="1"/>
  <c r="H8532" i="1"/>
  <c r="H8533" i="1"/>
  <c r="H8534" i="1"/>
  <c r="H8538" i="1"/>
  <c r="H8539" i="1"/>
  <c r="H8541" i="1"/>
  <c r="H8544" i="1"/>
  <c r="H8545" i="1"/>
  <c r="H8547" i="1"/>
  <c r="H8548" i="1"/>
  <c r="H8549" i="1"/>
  <c r="H8552" i="1"/>
  <c r="H8553" i="1"/>
  <c r="H8554" i="1"/>
  <c r="H8556" i="1"/>
  <c r="H8558" i="1"/>
  <c r="H8564" i="1"/>
  <c r="H8565" i="1"/>
  <c r="H8566" i="1"/>
  <c r="H8571" i="1"/>
  <c r="H8573" i="1"/>
  <c r="H8574" i="1"/>
  <c r="H8577" i="1"/>
  <c r="H8580" i="1"/>
  <c r="H8581" i="1"/>
  <c r="H8584" i="1"/>
  <c r="H8585" i="1"/>
  <c r="H8586" i="1"/>
  <c r="H8588" i="1"/>
  <c r="H8589" i="1"/>
  <c r="H8590" i="1"/>
  <c r="H8591" i="1"/>
  <c r="H8592" i="1"/>
  <c r="H8593" i="1"/>
  <c r="H8594" i="1"/>
  <c r="H8595" i="1"/>
  <c r="H8596" i="1"/>
  <c r="H8599" i="1"/>
  <c r="H8605" i="1"/>
  <c r="H8607" i="1"/>
  <c r="H8610" i="1"/>
  <c r="H8611" i="1"/>
  <c r="H8612" i="1"/>
  <c r="H8615" i="1"/>
  <c r="H8616" i="1"/>
  <c r="H8617" i="1"/>
  <c r="H8620" i="1"/>
  <c r="H8621" i="1"/>
  <c r="H8624" i="1"/>
  <c r="H8625" i="1"/>
  <c r="H8627" i="1"/>
  <c r="H8628" i="1"/>
  <c r="H8631" i="1"/>
  <c r="H8632" i="1"/>
  <c r="H8634" i="1"/>
  <c r="H8635" i="1"/>
  <c r="H8636" i="1"/>
  <c r="H8639" i="1"/>
  <c r="H8645" i="1"/>
  <c r="H8646" i="1"/>
  <c r="H8651" i="1"/>
  <c r="H8655" i="1"/>
  <c r="H8657" i="1"/>
  <c r="H8658" i="1"/>
  <c r="H8659" i="1"/>
  <c r="H8660" i="1"/>
  <c r="H8661" i="1"/>
  <c r="H8662" i="1"/>
  <c r="H8663" i="1"/>
  <c r="H8665" i="1"/>
  <c r="H8666" i="1"/>
  <c r="H8667" i="1"/>
  <c r="H8669" i="1"/>
  <c r="H8670" i="1"/>
  <c r="H8672" i="1"/>
  <c r="H8674" i="1"/>
  <c r="H8677" i="1"/>
  <c r="H8680" i="1"/>
  <c r="H8681" i="1"/>
  <c r="H8682" i="1"/>
  <c r="H8683" i="1"/>
  <c r="H8684" i="1"/>
  <c r="H8685" i="1"/>
  <c r="H8686" i="1"/>
  <c r="H8688" i="1"/>
  <c r="H8689" i="1"/>
  <c r="H8691" i="1"/>
  <c r="H8692" i="1"/>
  <c r="H8693" i="1"/>
  <c r="H8694" i="1"/>
  <c r="H8695" i="1"/>
  <c r="H8697" i="1"/>
  <c r="H8698" i="1"/>
  <c r="H8699" i="1"/>
  <c r="H8700" i="1"/>
  <c r="H8703" i="1"/>
  <c r="H8705" i="1"/>
  <c r="H8706" i="1"/>
  <c r="H8708" i="1"/>
  <c r="H8711" i="1"/>
  <c r="H8712" i="1"/>
  <c r="H8713" i="1"/>
  <c r="H8714" i="1"/>
  <c r="H8715" i="1"/>
  <c r="H8720" i="1"/>
  <c r="H8722" i="1"/>
  <c r="H8724" i="1"/>
  <c r="H8725" i="1"/>
  <c r="H8726" i="1"/>
  <c r="H8728" i="1"/>
  <c r="H8729" i="1"/>
  <c r="H8734" i="1"/>
  <c r="H8736" i="1"/>
  <c r="H8737" i="1"/>
  <c r="H8738" i="1"/>
  <c r="H8739" i="1"/>
  <c r="H8740" i="1"/>
  <c r="H8741" i="1"/>
  <c r="H8742" i="1"/>
  <c r="H8743" i="1"/>
  <c r="H8744" i="1"/>
  <c r="H8746" i="1"/>
  <c r="H8747" i="1"/>
  <c r="H8748" i="1"/>
  <c r="H8750" i="1"/>
  <c r="H8752" i="1"/>
  <c r="H8754" i="1"/>
  <c r="H8759" i="1"/>
  <c r="H8760" i="1"/>
  <c r="H8761" i="1"/>
  <c r="H8762" i="1"/>
  <c r="H8763" i="1"/>
  <c r="H8764" i="1"/>
  <c r="H8766" i="1"/>
  <c r="H8771" i="1"/>
  <c r="H8772" i="1"/>
  <c r="H8773" i="1"/>
  <c r="H8775" i="1"/>
  <c r="H8776" i="1"/>
  <c r="H8777" i="1"/>
  <c r="H8779" i="1"/>
  <c r="H8780" i="1"/>
  <c r="H8784" i="1"/>
  <c r="H8785" i="1"/>
  <c r="H8786" i="1"/>
  <c r="H8788" i="1"/>
  <c r="H8789" i="1"/>
  <c r="H8791" i="1"/>
  <c r="H8793" i="1"/>
  <c r="H8794" i="1"/>
  <c r="H8795" i="1"/>
  <c r="H8797" i="1"/>
  <c r="H8799" i="1"/>
  <c r="H8800" i="1"/>
  <c r="H8801" i="1"/>
  <c r="H8802" i="1"/>
  <c r="H8804" i="1"/>
  <c r="H8805" i="1"/>
  <c r="H8806" i="1"/>
  <c r="H8809" i="1"/>
  <c r="H8810" i="1"/>
  <c r="H8811" i="1"/>
  <c r="H8812" i="1"/>
  <c r="H8813" i="1"/>
  <c r="H8814" i="1"/>
  <c r="H8816" i="1"/>
  <c r="H8817" i="1"/>
  <c r="H8819" i="1"/>
  <c r="H8821" i="1"/>
  <c r="H8822" i="1"/>
  <c r="H8824" i="1"/>
  <c r="H8826" i="1"/>
  <c r="H8827" i="1"/>
  <c r="H8828" i="1"/>
  <c r="H8829" i="1"/>
  <c r="H8830" i="1"/>
  <c r="H8835" i="1"/>
  <c r="H8836" i="1"/>
  <c r="H8837" i="1"/>
  <c r="H8839" i="1"/>
  <c r="H8842" i="1"/>
  <c r="H8843" i="1"/>
  <c r="H8844" i="1"/>
  <c r="H8846" i="1"/>
  <c r="H8847" i="1"/>
  <c r="H8848" i="1"/>
  <c r="H8850" i="1"/>
  <c r="H8851" i="1"/>
  <c r="H8855" i="1"/>
  <c r="H8857" i="1"/>
  <c r="H8858" i="1"/>
  <c r="H8859" i="1"/>
  <c r="H8861" i="1"/>
  <c r="H8862" i="1"/>
  <c r="H8864" i="1"/>
  <c r="H8865" i="1"/>
  <c r="H8866" i="1"/>
  <c r="H8867" i="1"/>
  <c r="H8871" i="1"/>
  <c r="H8873" i="1"/>
  <c r="H8874" i="1"/>
  <c r="H8876" i="1"/>
  <c r="H8877" i="1"/>
  <c r="H8879" i="1"/>
  <c r="H8886" i="1"/>
  <c r="H8887" i="1"/>
  <c r="H8888" i="1"/>
  <c r="H8889" i="1"/>
  <c r="H8890" i="1"/>
  <c r="H8894" i="1"/>
  <c r="H8895" i="1"/>
  <c r="H8897" i="1"/>
  <c r="H8898" i="1"/>
  <c r="H8900" i="1"/>
  <c r="H8902" i="1"/>
  <c r="H8903" i="1"/>
  <c r="H8904" i="1"/>
  <c r="H8905" i="1"/>
  <c r="H8906" i="1"/>
  <c r="H8912" i="1"/>
  <c r="H8913" i="1"/>
  <c r="H8914" i="1"/>
  <c r="H8917" i="1"/>
  <c r="H8919" i="1"/>
  <c r="H8920" i="1"/>
  <c r="H8923" i="1"/>
  <c r="H8924" i="1"/>
  <c r="H8925" i="1"/>
  <c r="H8926" i="1"/>
  <c r="H8934" i="1"/>
  <c r="H8935" i="1"/>
  <c r="H8936" i="1"/>
  <c r="H8937" i="1"/>
  <c r="H8938" i="1"/>
  <c r="H8939" i="1"/>
  <c r="H8940" i="1"/>
  <c r="H8944" i="1"/>
  <c r="H8945" i="1"/>
  <c r="H8947" i="1"/>
  <c r="H8951" i="1"/>
  <c r="H8952" i="1"/>
  <c r="H8953" i="1"/>
  <c r="H8955" i="1"/>
  <c r="H8956" i="1"/>
  <c r="H8958" i="1"/>
  <c r="H8959" i="1"/>
  <c r="H8961" i="1"/>
  <c r="H8963" i="1"/>
  <c r="H8964" i="1"/>
  <c r="H8971" i="1"/>
  <c r="H8973" i="1"/>
  <c r="H8977" i="1"/>
  <c r="H8978" i="1"/>
  <c r="H8979" i="1"/>
  <c r="H8980" i="1"/>
  <c r="H8981" i="1"/>
  <c r="H8982" i="1"/>
  <c r="H8986" i="1"/>
  <c r="H8990" i="1"/>
  <c r="H8997" i="1"/>
  <c r="H8998" i="1"/>
  <c r="H9000" i="1"/>
  <c r="H9001" i="1"/>
  <c r="H9002" i="1"/>
  <c r="H9007" i="1"/>
  <c r="H9010" i="1"/>
  <c r="H9012" i="1"/>
  <c r="H9013" i="1"/>
  <c r="H9015" i="1"/>
  <c r="H9019" i="1"/>
  <c r="H9023" i="1"/>
  <c r="H9024" i="1"/>
  <c r="H9028" i="1"/>
  <c r="H9031" i="1"/>
  <c r="H9033" i="1"/>
  <c r="H9034" i="1"/>
  <c r="H9036" i="1"/>
  <c r="H9037" i="1"/>
  <c r="H9038" i="1"/>
  <c r="H9039" i="1"/>
  <c r="H9040" i="1"/>
  <c r="H9042" i="1"/>
  <c r="H9043" i="1"/>
  <c r="H9047" i="1"/>
  <c r="H9050" i="1"/>
  <c r="H9051" i="1"/>
  <c r="H9055" i="1"/>
  <c r="H9058" i="1"/>
  <c r="H9059" i="1"/>
  <c r="H9062" i="1"/>
  <c r="H9063" i="1"/>
  <c r="H9065" i="1"/>
  <c r="H9066" i="1"/>
  <c r="H9067" i="1"/>
  <c r="H9069" i="1"/>
  <c r="H9070" i="1"/>
  <c r="H9071" i="1"/>
  <c r="H9074" i="1"/>
  <c r="H9077" i="1"/>
  <c r="H9078" i="1"/>
  <c r="H9087" i="1"/>
  <c r="H9090" i="1"/>
  <c r="H9092" i="1"/>
  <c r="H9093" i="1"/>
  <c r="H9094" i="1"/>
  <c r="H9095" i="1"/>
  <c r="H9101" i="1"/>
  <c r="H9102" i="1"/>
  <c r="H9103" i="1"/>
  <c r="H9104" i="1"/>
  <c r="H9107" i="1"/>
  <c r="H9109" i="1"/>
  <c r="H9112" i="1"/>
  <c r="H9113" i="1"/>
  <c r="H9116" i="1"/>
  <c r="H9118" i="1"/>
  <c r="H9122" i="1"/>
  <c r="H9125" i="1"/>
  <c r="H9130" i="1"/>
  <c r="H9131" i="1"/>
  <c r="H9133" i="1"/>
  <c r="H9134" i="1"/>
  <c r="H9135" i="1"/>
  <c r="H9136" i="1"/>
  <c r="H9137" i="1"/>
  <c r="H9141" i="1"/>
  <c r="H9144" i="1"/>
  <c r="H9145" i="1"/>
  <c r="H9147" i="1"/>
  <c r="H9150" i="1"/>
  <c r="H9151" i="1"/>
  <c r="H9153" i="1"/>
  <c r="H9154" i="1"/>
  <c r="H9155" i="1"/>
  <c r="H9156" i="1"/>
  <c r="H9157" i="1"/>
  <c r="H9158" i="1"/>
  <c r="H9160" i="1"/>
  <c r="H9163" i="1"/>
  <c r="H9165" i="1"/>
  <c r="H9166" i="1"/>
  <c r="H9167" i="1"/>
  <c r="H9168" i="1"/>
  <c r="H9173" i="1"/>
  <c r="H9174" i="1"/>
  <c r="H9175" i="1"/>
  <c r="H9176" i="1"/>
  <c r="H9177" i="1"/>
  <c r="H9179" i="1"/>
  <c r="H9181" i="1"/>
  <c r="H9183" i="1"/>
  <c r="H9186" i="1"/>
  <c r="H9187" i="1"/>
  <c r="H9188" i="1"/>
  <c r="H9190" i="1"/>
  <c r="H9191" i="1"/>
  <c r="H9194" i="1"/>
  <c r="H9197" i="1"/>
  <c r="H9198" i="1"/>
  <c r="H9200" i="1"/>
  <c r="H9201" i="1"/>
  <c r="H9202" i="1"/>
  <c r="H9203" i="1"/>
  <c r="H9204" i="1"/>
  <c r="H9205" i="1"/>
  <c r="H9206" i="1"/>
  <c r="H9210" i="1"/>
  <c r="H9211" i="1"/>
  <c r="H9212" i="1"/>
  <c r="H9213" i="1"/>
  <c r="H9214" i="1"/>
  <c r="H9215" i="1"/>
  <c r="H9217" i="1"/>
  <c r="H9218" i="1"/>
  <c r="H9220" i="1"/>
  <c r="H9224" i="1"/>
  <c r="H9226" i="1"/>
  <c r="H9229" i="1"/>
  <c r="H9236" i="1"/>
  <c r="H9237" i="1"/>
  <c r="H9238" i="1"/>
  <c r="H9239" i="1"/>
  <c r="H9240" i="1"/>
  <c r="H9242" i="1"/>
  <c r="H9244" i="1"/>
  <c r="H9246" i="1"/>
  <c r="H9249" i="1"/>
  <c r="H9251" i="1"/>
  <c r="H9255" i="1"/>
  <c r="H9256" i="1"/>
  <c r="H9258" i="1"/>
  <c r="H9261" i="1"/>
  <c r="H9263" i="1"/>
  <c r="H9265" i="1"/>
  <c r="H9266" i="1"/>
  <c r="H9269" i="1"/>
  <c r="H9270" i="1"/>
  <c r="H9272" i="1"/>
  <c r="H9273" i="1"/>
  <c r="H9274" i="1"/>
  <c r="H9275" i="1"/>
  <c r="H9276" i="1"/>
  <c r="H9277" i="1"/>
  <c r="H9278" i="1"/>
  <c r="H9279" i="1"/>
  <c r="H9280" i="1"/>
  <c r="H9283" i="1"/>
  <c r="H9286" i="1"/>
  <c r="H9288" i="1"/>
  <c r="H9289" i="1"/>
  <c r="H9290" i="1"/>
  <c r="H9291" i="1"/>
  <c r="H9295" i="1"/>
  <c r="H9300" i="1"/>
  <c r="H9301" i="1"/>
  <c r="H9302" i="1"/>
  <c r="H9303" i="1"/>
  <c r="H9306" i="1"/>
  <c r="H9309" i="1"/>
  <c r="H9311" i="1"/>
  <c r="H9314" i="1"/>
  <c r="H9315" i="1"/>
  <c r="H9316" i="1"/>
  <c r="H9319" i="1"/>
  <c r="H9321" i="1"/>
  <c r="H9323" i="1"/>
  <c r="H9325" i="1"/>
  <c r="H9326" i="1"/>
  <c r="H9332" i="1"/>
  <c r="H9333" i="1"/>
  <c r="H9336" i="1"/>
  <c r="H9337" i="1"/>
  <c r="H9338" i="1"/>
  <c r="H9340" i="1"/>
  <c r="H9341" i="1"/>
  <c r="H9345" i="1"/>
  <c r="H9346" i="1"/>
  <c r="H9348" i="1"/>
  <c r="H9351" i="1"/>
  <c r="H9352" i="1"/>
  <c r="H9357" i="1"/>
  <c r="H9358" i="1"/>
  <c r="H9359" i="1"/>
  <c r="H9361" i="1"/>
  <c r="H9362" i="1"/>
  <c r="H9364" i="1"/>
  <c r="H9366" i="1"/>
  <c r="H9367" i="1"/>
  <c r="H9368" i="1"/>
  <c r="H9370" i="1"/>
  <c r="H9372" i="1"/>
  <c r="H9373" i="1"/>
  <c r="H9374" i="1"/>
  <c r="H9375" i="1"/>
  <c r="H9377" i="1"/>
  <c r="H9378" i="1"/>
  <c r="H9380" i="1"/>
  <c r="H9381" i="1"/>
  <c r="H9383" i="1"/>
  <c r="H9384" i="1"/>
  <c r="H9392" i="1"/>
  <c r="H9395" i="1"/>
  <c r="H9397" i="1"/>
  <c r="H9398" i="1"/>
  <c r="H9407" i="1"/>
  <c r="H9408" i="1"/>
  <c r="H9409" i="1"/>
  <c r="H9410" i="1"/>
  <c r="H9415" i="1"/>
  <c r="H9416" i="1"/>
  <c r="H9419" i="1"/>
  <c r="H9420" i="1"/>
  <c r="H9422" i="1"/>
  <c r="H9425" i="1"/>
  <c r="H9426" i="1"/>
  <c r="H9427" i="1"/>
  <c r="H9428" i="1"/>
  <c r="H9432" i="1"/>
  <c r="H9434" i="1"/>
  <c r="H9435" i="1"/>
  <c r="H9436" i="1"/>
  <c r="H9437" i="1"/>
  <c r="H9440" i="1"/>
  <c r="H9442" i="1"/>
  <c r="H9443" i="1"/>
  <c r="H9444" i="1"/>
  <c r="H9445" i="1"/>
  <c r="H9448" i="1"/>
  <c r="H9449" i="1"/>
  <c r="H9450" i="1"/>
  <c r="H9451" i="1"/>
  <c r="H9452" i="1"/>
  <c r="H9453" i="1"/>
  <c r="H9455" i="1"/>
  <c r="H9456" i="1"/>
  <c r="H9457" i="1"/>
  <c r="H9460" i="1"/>
  <c r="H9461" i="1"/>
  <c r="H9464" i="1"/>
  <c r="H9465" i="1"/>
  <c r="H9467" i="1"/>
  <c r="H9469" i="1"/>
  <c r="H9472" i="1"/>
  <c r="H9474" i="1"/>
  <c r="H9477" i="1"/>
  <c r="H9479" i="1"/>
  <c r="H9480" i="1"/>
  <c r="H9483" i="1"/>
  <c r="H9485" i="1"/>
  <c r="H9486" i="1"/>
  <c r="H9489" i="1"/>
  <c r="H9490" i="1"/>
  <c r="H9491" i="1"/>
  <c r="H9492" i="1"/>
  <c r="H9497" i="1"/>
  <c r="H9498" i="1"/>
  <c r="H9500" i="1"/>
  <c r="H9502" i="1"/>
  <c r="H9503" i="1"/>
  <c r="H9505" i="1"/>
  <c r="H9508" i="1"/>
  <c r="H9509" i="1"/>
  <c r="H9511" i="1"/>
  <c r="H9514" i="1"/>
  <c r="H9516" i="1"/>
  <c r="H9517" i="1"/>
  <c r="H9519" i="1"/>
  <c r="H9522" i="1"/>
  <c r="H9524" i="1"/>
  <c r="H9525" i="1"/>
  <c r="H9526" i="1"/>
  <c r="H9530" i="1"/>
  <c r="H9531" i="1"/>
  <c r="H9532" i="1"/>
  <c r="H9534" i="1"/>
  <c r="H9537" i="1"/>
  <c r="H9538" i="1"/>
  <c r="H9540" i="1"/>
  <c r="H9547" i="1"/>
  <c r="H9548" i="1"/>
  <c r="H9549" i="1"/>
  <c r="H9551" i="1"/>
  <c r="H9553" i="1"/>
  <c r="H9555" i="1"/>
  <c r="H9556" i="1"/>
  <c r="H9557" i="1"/>
  <c r="H9559" i="1"/>
  <c r="H9563" i="1"/>
  <c r="H9564" i="1"/>
  <c r="H9565" i="1"/>
  <c r="H9568" i="1"/>
  <c r="H9569" i="1"/>
  <c r="H9571" i="1"/>
  <c r="H9575" i="1"/>
  <c r="H9576" i="1"/>
  <c r="H9577" i="1"/>
  <c r="H9578" i="1"/>
  <c r="H9579" i="1"/>
  <c r="H9581" i="1"/>
  <c r="H9582" i="1"/>
  <c r="H9583" i="1"/>
  <c r="H9584" i="1"/>
  <c r="H9588" i="1"/>
  <c r="H9592" i="1"/>
  <c r="H9593" i="1"/>
  <c r="H9595" i="1"/>
  <c r="H9598" i="1"/>
  <c r="H9601" i="1"/>
  <c r="H9602" i="1"/>
  <c r="H9603" i="1"/>
  <c r="H9607" i="1"/>
  <c r="H9608" i="1"/>
  <c r="H9610" i="1"/>
  <c r="H9611" i="1"/>
  <c r="H9612" i="1"/>
  <c r="H9613" i="1"/>
  <c r="H9614" i="1"/>
  <c r="H9616" i="1"/>
  <c r="H9619" i="1"/>
  <c r="H9623" i="1"/>
  <c r="H9626" i="1"/>
  <c r="H9630" i="1"/>
  <c r="H9632" i="1"/>
  <c r="H9633" i="1"/>
  <c r="H9634" i="1"/>
  <c r="H9638" i="1"/>
  <c r="H9641" i="1"/>
  <c r="H9643" i="1"/>
  <c r="H9644" i="1"/>
  <c r="H9649" i="1"/>
  <c r="H9650" i="1"/>
  <c r="H9654" i="1"/>
  <c r="H9655" i="1"/>
  <c r="H9656" i="1"/>
  <c r="H9657" i="1"/>
  <c r="H9658" i="1"/>
  <c r="H9660" i="1"/>
  <c r="H9663" i="1"/>
  <c r="H9666" i="1"/>
  <c r="H9667" i="1"/>
  <c r="H9668" i="1"/>
  <c r="H9669" i="1"/>
  <c r="H9674" i="1"/>
  <c r="H9676" i="1"/>
  <c r="H9677" i="1"/>
  <c r="H9679" i="1"/>
  <c r="H9680" i="1"/>
  <c r="H9681" i="1"/>
  <c r="H9688" i="1"/>
  <c r="H9697" i="1"/>
  <c r="H9699" i="1"/>
  <c r="H9700" i="1"/>
  <c r="H9703" i="1"/>
  <c r="H9705" i="1"/>
  <c r="H9709" i="1"/>
  <c r="H9712" i="1"/>
  <c r="H9713" i="1"/>
  <c r="H9718" i="1"/>
  <c r="H9719" i="1"/>
  <c r="H9720" i="1"/>
  <c r="H9721" i="1"/>
  <c r="H9722" i="1"/>
  <c r="H9728" i="1"/>
  <c r="H9733" i="1"/>
  <c r="L2" i="1"/>
  <c r="L25" i="1"/>
  <c r="L30" i="1"/>
  <c r="L35" i="1"/>
  <c r="L37" i="1"/>
  <c r="L44" i="1"/>
  <c r="L73" i="1"/>
  <c r="L102" i="1"/>
  <c r="L105" i="1"/>
  <c r="L114" i="1"/>
  <c r="L122" i="1"/>
  <c r="L126" i="1"/>
  <c r="L140" i="1"/>
  <c r="L146" i="1"/>
  <c r="L153" i="1"/>
  <c r="L175" i="1"/>
  <c r="L187" i="1"/>
  <c r="L200" i="1"/>
  <c r="L207" i="1"/>
  <c r="L211" i="1"/>
  <c r="L219" i="1"/>
  <c r="L234" i="1"/>
  <c r="L250" i="1"/>
  <c r="L255" i="1"/>
  <c r="L259" i="1"/>
  <c r="L261" i="1"/>
  <c r="L263" i="1"/>
  <c r="L267" i="1"/>
  <c r="L288" i="1"/>
  <c r="L307" i="1"/>
  <c r="L311" i="1"/>
  <c r="L325" i="1"/>
  <c r="L330" i="1"/>
  <c r="L409" i="1"/>
  <c r="L439" i="1"/>
  <c r="L441" i="1"/>
  <c r="L456" i="1"/>
  <c r="L467" i="1"/>
  <c r="L470" i="1"/>
  <c r="L491" i="1"/>
  <c r="L494" i="1"/>
  <c r="L505" i="1"/>
  <c r="L511" i="1"/>
  <c r="L519" i="1"/>
  <c r="L521" i="1"/>
  <c r="L529" i="1"/>
  <c r="L532" i="1"/>
  <c r="L542" i="1"/>
  <c r="L568" i="1"/>
  <c r="L580" i="1"/>
  <c r="L599" i="1"/>
  <c r="L601" i="1"/>
  <c r="L604" i="1"/>
  <c r="L608" i="1"/>
  <c r="L648" i="1"/>
  <c r="L672" i="1"/>
  <c r="L718" i="1"/>
  <c r="L720" i="1"/>
  <c r="L724" i="1"/>
  <c r="L726" i="1"/>
  <c r="L729" i="1"/>
  <c r="L735" i="1"/>
  <c r="L743" i="1"/>
  <c r="L751" i="1"/>
  <c r="L755" i="1"/>
  <c r="L756" i="1"/>
  <c r="L761" i="1"/>
  <c r="L764" i="1"/>
  <c r="L772" i="1"/>
  <c r="L776" i="1"/>
  <c r="L779" i="1"/>
  <c r="L781" i="1"/>
  <c r="L812" i="1"/>
  <c r="L815" i="1"/>
  <c r="L821" i="1"/>
  <c r="L851" i="1"/>
  <c r="L881" i="1"/>
  <c r="L886" i="1"/>
  <c r="L887" i="1"/>
  <c r="L894" i="1"/>
  <c r="L908" i="1"/>
  <c r="L913" i="1"/>
  <c r="L914" i="1"/>
  <c r="L925" i="1"/>
  <c r="L929" i="1"/>
  <c r="L937" i="1"/>
  <c r="L939" i="1"/>
  <c r="L945" i="1"/>
  <c r="L978" i="1"/>
  <c r="L986" i="1"/>
  <c r="L988" i="1"/>
  <c r="L989" i="1"/>
  <c r="L1005" i="1"/>
  <c r="L1011" i="1"/>
  <c r="L1014" i="1"/>
  <c r="L1022" i="1"/>
  <c r="L1026" i="1"/>
  <c r="L1041" i="1"/>
  <c r="L1047" i="1"/>
  <c r="L1066" i="1"/>
  <c r="L1085" i="1"/>
  <c r="L1089" i="1"/>
  <c r="L1101" i="1"/>
  <c r="L1102" i="1"/>
  <c r="L1107" i="1"/>
  <c r="L1109" i="1"/>
  <c r="L1146" i="1"/>
  <c r="L1158" i="1"/>
  <c r="L1172" i="1"/>
  <c r="L1191" i="1"/>
  <c r="L1199" i="1"/>
  <c r="L1210" i="1"/>
  <c r="L1239" i="1"/>
  <c r="L1241" i="1"/>
  <c r="L1245" i="1"/>
  <c r="L1252" i="1"/>
  <c r="L1255" i="1"/>
  <c r="L1262" i="1"/>
  <c r="L1269" i="1"/>
  <c r="L1272" i="1"/>
  <c r="L1273" i="1"/>
  <c r="L1276" i="1"/>
  <c r="L1286" i="1"/>
  <c r="L1296" i="1"/>
  <c r="L1299" i="1"/>
  <c r="L1305" i="1"/>
  <c r="L1317" i="1"/>
  <c r="L1322" i="1"/>
  <c r="L1396" i="1"/>
  <c r="L1427" i="1"/>
  <c r="L1429" i="1"/>
  <c r="L1435" i="1"/>
  <c r="L1440" i="1"/>
  <c r="L1463" i="1"/>
  <c r="L1465" i="1"/>
  <c r="L1466" i="1"/>
  <c r="L1503" i="1"/>
  <c r="L1514" i="1"/>
  <c r="L1534" i="1"/>
  <c r="L1541" i="1"/>
  <c r="L1543" i="1"/>
  <c r="L1544" i="1"/>
  <c r="L1554" i="1"/>
  <c r="L1619" i="1"/>
  <c r="L1653" i="1"/>
  <c r="L1657" i="1"/>
  <c r="L1661" i="1"/>
  <c r="L1666" i="1"/>
  <c r="L1669" i="1"/>
  <c r="L1704" i="1"/>
  <c r="L1730" i="1"/>
  <c r="L1734" i="1"/>
  <c r="L1747" i="1"/>
  <c r="L1748" i="1"/>
  <c r="L1754" i="1"/>
  <c r="L1766" i="1"/>
  <c r="L1783" i="1"/>
  <c r="L1785" i="1"/>
  <c r="L1800" i="1"/>
  <c r="L1828" i="1"/>
  <c r="L1837" i="1"/>
  <c r="L1850" i="1"/>
  <c r="L1871" i="1"/>
  <c r="L1872" i="1"/>
  <c r="L1875" i="1"/>
  <c r="L1881" i="1"/>
  <c r="L1888" i="1"/>
  <c r="L1903" i="1"/>
  <c r="L1906" i="1"/>
  <c r="L1944" i="1"/>
  <c r="L1946" i="1"/>
  <c r="L1952" i="1"/>
  <c r="L1958" i="1"/>
  <c r="L1970" i="1"/>
  <c r="L1984" i="1"/>
  <c r="L2002" i="1"/>
  <c r="L2039" i="1"/>
  <c r="L2058" i="1"/>
  <c r="L2080" i="1"/>
  <c r="L2084" i="1"/>
  <c r="L2091" i="1"/>
  <c r="L2105" i="1"/>
  <c r="L2125" i="1"/>
  <c r="L2126" i="1"/>
  <c r="L2138" i="1"/>
  <c r="L2140" i="1"/>
  <c r="L2145" i="1"/>
  <c r="L2159" i="1"/>
  <c r="L2166" i="1"/>
  <c r="L2168" i="1"/>
  <c r="L2170" i="1"/>
  <c r="L2193" i="1"/>
  <c r="L2195" i="1"/>
  <c r="L2197" i="1"/>
  <c r="L2198" i="1"/>
  <c r="L2201" i="1"/>
  <c r="L2206" i="1"/>
  <c r="L2211" i="1"/>
  <c r="L2214" i="1"/>
  <c r="L2219" i="1"/>
  <c r="L2250" i="1"/>
  <c r="L2256" i="1"/>
  <c r="L2258" i="1"/>
  <c r="L2259" i="1"/>
  <c r="L2262" i="1"/>
  <c r="L2279" i="1"/>
  <c r="L2282" i="1"/>
  <c r="L2288" i="1"/>
  <c r="L2323" i="1"/>
  <c r="L2326" i="1"/>
  <c r="L2331" i="1"/>
  <c r="L2342" i="1"/>
  <c r="L2343" i="1"/>
  <c r="L2352" i="1"/>
  <c r="L2357" i="1"/>
  <c r="L2374" i="1"/>
  <c r="L2377" i="1"/>
  <c r="L2392" i="1"/>
  <c r="L2420" i="1"/>
  <c r="L2423" i="1"/>
  <c r="L2441" i="1"/>
  <c r="L2449" i="1"/>
  <c r="L2471" i="1"/>
  <c r="L2474" i="1"/>
  <c r="L2479" i="1"/>
  <c r="L2493" i="1"/>
  <c r="L2499" i="1"/>
  <c r="L2507" i="1"/>
  <c r="L2548" i="1"/>
  <c r="L2554" i="1"/>
  <c r="L2557" i="1"/>
  <c r="L2566" i="1"/>
  <c r="L2572" i="1"/>
  <c r="L2602" i="1"/>
  <c r="L2613" i="1"/>
  <c r="L2627" i="1"/>
  <c r="L2630" i="1"/>
  <c r="L2647" i="1"/>
  <c r="L2654" i="1"/>
  <c r="L2685" i="1"/>
  <c r="L2686" i="1"/>
  <c r="L2706" i="1"/>
  <c r="L2713" i="1"/>
  <c r="L2728" i="1"/>
  <c r="L2743" i="1"/>
  <c r="L2756" i="1"/>
  <c r="L2766" i="1"/>
  <c r="L2768" i="1"/>
  <c r="L2769" i="1"/>
  <c r="L2772" i="1"/>
  <c r="L2790" i="1"/>
  <c r="L2794" i="1"/>
  <c r="L2814" i="1"/>
  <c r="L2827" i="1"/>
  <c r="L2828" i="1"/>
  <c r="L2873" i="1"/>
  <c r="L2881" i="1"/>
  <c r="L2883" i="1"/>
  <c r="L2909" i="1"/>
  <c r="L2915" i="1"/>
  <c r="L2919" i="1"/>
  <c r="L2926" i="1"/>
  <c r="L2950" i="1"/>
  <c r="L2969" i="1"/>
  <c r="L2974" i="1"/>
  <c r="L3025" i="1"/>
  <c r="L3036" i="1"/>
  <c r="L3052" i="1"/>
  <c r="L3063" i="1"/>
  <c r="L3071" i="1"/>
  <c r="L3107" i="1"/>
  <c r="L3145" i="1"/>
  <c r="L3152" i="1"/>
  <c r="L3171" i="1"/>
  <c r="L3180" i="1"/>
  <c r="L3193" i="1"/>
  <c r="L3202" i="1"/>
  <c r="L3224" i="1"/>
  <c r="L3239" i="1"/>
  <c r="L3255" i="1"/>
  <c r="L3261" i="1"/>
  <c r="L3276" i="1"/>
  <c r="L3280" i="1"/>
  <c r="L3294" i="1"/>
  <c r="L3330" i="1"/>
  <c r="L3331" i="1"/>
  <c r="L3349" i="1"/>
  <c r="L3352" i="1"/>
  <c r="L3377" i="1"/>
  <c r="L3386" i="1"/>
  <c r="L3389" i="1"/>
  <c r="L3447" i="1"/>
  <c r="L3487" i="1"/>
  <c r="L3494" i="1"/>
  <c r="L3502" i="1"/>
  <c r="L3549" i="1"/>
  <c r="L3556" i="1"/>
  <c r="L3559" i="1"/>
  <c r="L3589" i="1"/>
  <c r="L3601" i="1"/>
  <c r="L3608" i="1"/>
  <c r="L3609" i="1"/>
  <c r="L3626" i="1"/>
  <c r="L3635" i="1"/>
  <c r="L3639" i="1"/>
  <c r="L3647" i="1"/>
  <c r="L3649" i="1"/>
  <c r="L3661" i="1"/>
  <c r="L3664" i="1"/>
  <c r="L3670" i="1"/>
  <c r="L3673" i="1"/>
  <c r="L3698" i="1"/>
  <c r="L3700" i="1"/>
  <c r="L3702" i="1"/>
  <c r="L3707" i="1"/>
  <c r="L3712" i="1"/>
  <c r="L3743" i="1"/>
  <c r="L3754" i="1"/>
  <c r="L3775" i="1"/>
  <c r="L3798" i="1"/>
  <c r="L3803" i="1"/>
  <c r="L3822" i="1"/>
  <c r="L3827" i="1"/>
  <c r="L3829" i="1"/>
  <c r="L3841" i="1"/>
  <c r="L3850" i="1"/>
  <c r="L3862" i="1"/>
  <c r="L3865" i="1"/>
  <c r="L3869" i="1"/>
  <c r="L3870" i="1"/>
  <c r="L3873" i="1"/>
  <c r="L3885" i="1"/>
  <c r="L3912" i="1"/>
  <c r="L3925" i="1"/>
  <c r="L3930" i="1"/>
  <c r="L3940" i="1"/>
  <c r="L3962" i="1"/>
  <c r="L3970" i="1"/>
  <c r="L3972" i="1"/>
  <c r="L3975" i="1"/>
  <c r="L3976" i="1"/>
  <c r="L3987" i="1"/>
  <c r="L4007" i="1"/>
  <c r="L4019" i="1"/>
  <c r="L4030" i="1"/>
  <c r="L4044" i="1"/>
  <c r="L4045" i="1"/>
  <c r="L4049" i="1"/>
  <c r="L4053" i="1"/>
  <c r="L4056" i="1"/>
  <c r="L4062" i="1"/>
  <c r="L4070" i="1"/>
  <c r="L4078" i="1"/>
  <c r="L4080" i="1"/>
  <c r="L4081" i="1"/>
  <c r="L4090" i="1"/>
  <c r="L4091" i="1"/>
  <c r="L4105" i="1"/>
  <c r="L4115" i="1"/>
  <c r="L4116" i="1"/>
  <c r="L4117" i="1"/>
  <c r="L4125" i="1"/>
  <c r="L4127" i="1"/>
  <c r="L4135" i="1"/>
  <c r="L4136" i="1"/>
  <c r="L4150" i="1"/>
  <c r="L4169" i="1"/>
  <c r="L4190" i="1"/>
  <c r="L4220" i="1"/>
  <c r="L4229" i="1"/>
  <c r="L4249" i="1"/>
  <c r="L4250" i="1"/>
  <c r="L4267" i="1"/>
  <c r="L4271" i="1"/>
  <c r="L4281" i="1"/>
  <c r="L4310" i="1"/>
  <c r="L4327" i="1"/>
  <c r="L4338" i="1"/>
  <c r="L4348" i="1"/>
  <c r="L4350" i="1"/>
  <c r="L4359" i="1"/>
  <c r="L4370" i="1"/>
  <c r="L4375" i="1"/>
  <c r="L4384" i="1"/>
  <c r="L4392" i="1"/>
  <c r="L4401" i="1"/>
  <c r="L4410" i="1"/>
  <c r="L4411" i="1"/>
  <c r="L4412" i="1"/>
  <c r="L4413" i="1"/>
  <c r="L4416" i="1"/>
  <c r="L4418" i="1"/>
  <c r="L4440" i="1"/>
  <c r="L4445" i="1"/>
  <c r="L4451" i="1"/>
  <c r="L4480" i="1"/>
  <c r="L4481" i="1"/>
  <c r="L4485" i="1"/>
  <c r="L4486" i="1"/>
  <c r="L4507" i="1"/>
  <c r="L4508" i="1"/>
  <c r="L4540" i="1"/>
  <c r="L4550" i="1"/>
  <c r="L4557" i="1"/>
  <c r="L4613" i="1"/>
  <c r="L4615" i="1"/>
  <c r="L4625" i="1"/>
  <c r="L4633" i="1"/>
  <c r="L4634" i="1"/>
  <c r="L4637" i="1"/>
  <c r="L4644" i="1"/>
  <c r="L4646" i="1"/>
  <c r="L4654" i="1"/>
  <c r="L4668" i="1"/>
  <c r="L4674" i="1"/>
  <c r="L4688" i="1"/>
  <c r="L4692" i="1"/>
  <c r="L4698" i="1"/>
  <c r="L4700" i="1"/>
  <c r="L4704" i="1"/>
  <c r="L4711" i="1"/>
  <c r="L4714" i="1"/>
  <c r="L4724" i="1"/>
  <c r="L4743" i="1"/>
  <c r="L4744" i="1"/>
  <c r="L4825" i="1"/>
  <c r="L4868" i="1"/>
  <c r="L4893" i="1"/>
  <c r="L4903" i="1"/>
  <c r="L4908" i="1"/>
  <c r="L4927" i="1"/>
  <c r="L4929" i="1"/>
  <c r="L4935" i="1"/>
  <c r="L4984" i="1"/>
  <c r="L4990" i="1"/>
  <c r="L4993" i="1"/>
  <c r="L5008" i="1"/>
  <c r="L5014" i="1"/>
  <c r="L5060" i="1"/>
  <c r="L5079" i="1"/>
  <c r="L5090" i="1"/>
  <c r="L5096" i="1"/>
  <c r="L5113" i="1"/>
  <c r="L5181" i="1"/>
  <c r="L5182" i="1"/>
  <c r="L5193" i="1"/>
  <c r="L5204" i="1"/>
  <c r="L5228" i="1"/>
  <c r="L5229" i="1"/>
  <c r="L5237" i="1"/>
  <c r="L5247" i="1"/>
  <c r="L5250" i="1"/>
  <c r="L5264" i="1"/>
  <c r="L5265" i="1"/>
  <c r="L5287" i="1"/>
  <c r="L5297" i="1"/>
  <c r="L5308" i="1"/>
  <c r="L5320" i="1"/>
  <c r="L5367" i="1"/>
  <c r="L5395" i="1"/>
  <c r="L5407" i="1"/>
  <c r="L5448" i="1"/>
  <c r="L5513" i="1"/>
  <c r="L5538" i="1"/>
  <c r="L5542" i="1"/>
  <c r="L5547" i="1"/>
  <c r="L5562" i="1"/>
  <c r="L5570" i="1"/>
  <c r="L5579" i="1"/>
  <c r="L5597" i="1"/>
  <c r="L5626" i="1"/>
  <c r="L5634" i="1"/>
  <c r="L5635" i="1"/>
  <c r="L5648" i="1"/>
  <c r="L5649" i="1"/>
  <c r="L5720" i="1"/>
  <c r="L5737" i="1"/>
  <c r="L5790" i="1"/>
  <c r="L5792" i="1"/>
  <c r="L5794" i="1"/>
  <c r="L5804" i="1"/>
  <c r="L5812" i="1"/>
  <c r="L5820" i="1"/>
  <c r="L5821" i="1"/>
  <c r="L5823" i="1"/>
  <c r="L5861" i="1"/>
  <c r="L5870" i="1"/>
  <c r="L5877" i="1"/>
  <c r="L5883" i="1"/>
  <c r="L5894" i="1"/>
  <c r="L5928" i="1"/>
  <c r="L5938" i="1"/>
  <c r="L5954" i="1"/>
  <c r="L5979" i="1"/>
  <c r="L6009" i="1"/>
  <c r="L6025" i="1"/>
  <c r="L6034" i="1"/>
  <c r="L6043" i="1"/>
  <c r="L6057" i="1"/>
  <c r="L6062" i="1"/>
  <c r="L6081" i="1"/>
  <c r="L6097" i="1"/>
  <c r="L6105" i="1"/>
  <c r="L6124" i="1"/>
  <c r="L6130" i="1"/>
  <c r="L6147" i="1"/>
  <c r="L6152" i="1"/>
  <c r="L6163" i="1"/>
  <c r="L6182" i="1"/>
  <c r="L6192" i="1"/>
  <c r="L6220" i="1"/>
  <c r="L6223" i="1"/>
  <c r="L6227" i="1"/>
  <c r="L6230" i="1"/>
  <c r="L6231" i="1"/>
  <c r="L6270" i="1"/>
  <c r="L6287" i="1"/>
  <c r="L6289" i="1"/>
  <c r="L6290" i="1"/>
  <c r="L6292" i="1"/>
  <c r="L6309" i="1"/>
  <c r="L6310" i="1"/>
  <c r="L6311" i="1"/>
  <c r="L6314" i="1"/>
  <c r="L6315" i="1"/>
  <c r="L6323" i="1"/>
  <c r="L6327" i="1"/>
  <c r="L6329" i="1"/>
  <c r="L6331" i="1"/>
  <c r="L6339" i="1"/>
  <c r="L6359" i="1"/>
  <c r="L6364" i="1"/>
  <c r="L6365" i="1"/>
  <c r="L6372" i="1"/>
  <c r="L6417" i="1"/>
  <c r="L6422" i="1"/>
  <c r="L6457" i="1"/>
  <c r="L6478" i="1"/>
  <c r="L6549" i="1"/>
  <c r="L6569" i="1"/>
  <c r="L6576" i="1"/>
  <c r="L6579" i="1"/>
  <c r="L6582" i="1"/>
  <c r="L6591" i="1"/>
  <c r="L6592" i="1"/>
  <c r="L6596" i="1"/>
  <c r="L6629" i="1"/>
  <c r="L6644" i="1"/>
  <c r="L6645" i="1"/>
  <c r="L6650" i="1"/>
  <c r="L6658" i="1"/>
  <c r="L6672" i="1"/>
  <c r="L6694" i="1"/>
  <c r="L6709" i="1"/>
  <c r="L6710" i="1"/>
  <c r="L6717" i="1"/>
  <c r="L6753" i="1"/>
  <c r="L6755" i="1"/>
  <c r="L6758" i="1"/>
  <c r="L6762" i="1"/>
  <c r="L6809" i="1"/>
  <c r="L6810" i="1"/>
  <c r="L6812" i="1"/>
  <c r="L6814" i="1"/>
  <c r="L6817" i="1"/>
  <c r="L6818" i="1"/>
  <c r="L6820" i="1"/>
  <c r="L6824" i="1"/>
  <c r="L6826" i="1"/>
  <c r="L6830" i="1"/>
  <c r="L6831" i="1"/>
  <c r="L6838" i="1"/>
  <c r="L6839" i="1"/>
  <c r="L6840" i="1"/>
  <c r="L6853" i="1"/>
  <c r="L6861" i="1"/>
  <c r="L6876" i="1"/>
  <c r="L6878" i="1"/>
  <c r="L6881" i="1"/>
  <c r="L6899" i="1"/>
  <c r="L6903" i="1"/>
  <c r="L6906" i="1"/>
  <c r="L6919" i="1"/>
  <c r="L6936" i="1"/>
  <c r="L6937" i="1"/>
  <c r="L6939" i="1"/>
  <c r="L6941" i="1"/>
  <c r="L6943" i="1"/>
  <c r="L6953" i="1"/>
  <c r="L6956" i="1"/>
  <c r="L6969" i="1"/>
  <c r="L6973" i="1"/>
  <c r="L6977" i="1"/>
  <c r="L6984" i="1"/>
  <c r="L6997" i="1"/>
  <c r="L7022" i="1"/>
  <c r="L7069" i="1"/>
  <c r="L7083" i="1"/>
  <c r="L7085" i="1"/>
  <c r="L7104" i="1"/>
  <c r="L7114" i="1"/>
  <c r="L7131" i="1"/>
  <c r="L7132" i="1"/>
  <c r="L7134" i="1"/>
  <c r="L7137" i="1"/>
  <c r="L7140" i="1"/>
  <c r="L7168" i="1"/>
  <c r="L7175" i="1"/>
  <c r="L7176" i="1"/>
  <c r="L7191" i="1"/>
  <c r="L7195" i="1"/>
  <c r="L7196" i="1"/>
  <c r="L7202" i="1"/>
  <c r="L7216" i="1"/>
  <c r="L7218" i="1"/>
  <c r="L7220" i="1"/>
  <c r="L7223" i="1"/>
  <c r="L7249" i="1"/>
  <c r="L7265" i="1"/>
  <c r="L7271" i="1"/>
  <c r="L7275" i="1"/>
  <c r="L7283" i="1"/>
  <c r="L7294" i="1"/>
  <c r="L7299" i="1"/>
  <c r="L7329" i="1"/>
  <c r="L7331" i="1"/>
  <c r="L7333" i="1"/>
  <c r="L7335" i="1"/>
  <c r="L7351" i="1"/>
  <c r="L7355" i="1"/>
  <c r="L7356" i="1"/>
  <c r="L7369" i="1"/>
  <c r="L7375" i="1"/>
  <c r="L7390" i="1"/>
  <c r="L7412" i="1"/>
  <c r="L7420" i="1"/>
  <c r="L7432" i="1"/>
  <c r="L7435" i="1"/>
  <c r="L7441" i="1"/>
  <c r="L7456" i="1"/>
  <c r="L7473" i="1"/>
  <c r="L7495" i="1"/>
  <c r="L7497" i="1"/>
  <c r="L7528" i="1"/>
  <c r="L7534" i="1"/>
  <c r="L7536" i="1"/>
  <c r="L7551" i="1"/>
  <c r="L7574" i="1"/>
  <c r="L7584" i="1"/>
  <c r="L7586" i="1"/>
  <c r="L7587" i="1"/>
  <c r="L7588" i="1"/>
  <c r="L7596" i="1"/>
  <c r="L7598" i="1"/>
  <c r="L7601" i="1"/>
  <c r="L7602" i="1"/>
  <c r="L7607" i="1"/>
  <c r="L7610" i="1"/>
  <c r="L7636" i="1"/>
  <c r="L7653" i="1"/>
  <c r="L7660" i="1"/>
  <c r="L7669" i="1"/>
  <c r="L7672" i="1"/>
  <c r="L7682" i="1"/>
  <c r="L7687" i="1"/>
  <c r="L7691" i="1"/>
  <c r="L7692" i="1"/>
  <c r="L7702" i="1"/>
  <c r="L7709" i="1"/>
  <c r="L7734" i="1"/>
  <c r="L7760" i="1"/>
  <c r="L7769" i="1"/>
  <c r="L7779" i="1"/>
  <c r="L7780" i="1"/>
  <c r="L7785" i="1"/>
  <c r="L7805" i="1"/>
  <c r="L7808" i="1"/>
  <c r="L7819" i="1"/>
  <c r="L7825" i="1"/>
  <c r="L7826" i="1"/>
  <c r="L7849" i="1"/>
  <c r="L7850" i="1"/>
  <c r="L7855" i="1"/>
  <c r="L7859" i="1"/>
  <c r="L7861" i="1"/>
  <c r="L7866" i="1"/>
  <c r="L7871" i="1"/>
  <c r="L7881" i="1"/>
  <c r="L7918" i="1"/>
  <c r="L7928" i="1"/>
  <c r="L7931" i="1"/>
  <c r="L7934" i="1"/>
  <c r="L7944" i="1"/>
  <c r="L7950" i="1"/>
  <c r="L7966" i="1"/>
  <c r="L7968" i="1"/>
  <c r="L7975" i="1"/>
  <c r="L7979" i="1"/>
  <c r="L8000" i="1"/>
  <c r="L8030" i="1"/>
  <c r="L8031" i="1"/>
  <c r="L8038" i="1"/>
  <c r="L8040" i="1"/>
  <c r="L8043" i="1"/>
  <c r="L8072" i="1"/>
  <c r="L8103" i="1"/>
  <c r="L8114" i="1"/>
  <c r="L8122" i="1"/>
  <c r="L8178" i="1"/>
  <c r="L8212" i="1"/>
  <c r="L8215" i="1"/>
  <c r="L8219" i="1"/>
  <c r="L8251" i="1"/>
  <c r="L8253" i="1"/>
  <c r="L8254" i="1"/>
  <c r="L8259" i="1"/>
  <c r="L8317" i="1"/>
  <c r="L8330" i="1"/>
  <c r="L8332" i="1"/>
  <c r="L8356" i="1"/>
  <c r="L8365" i="1"/>
  <c r="L8375" i="1"/>
  <c r="L8415" i="1"/>
  <c r="L8416" i="1"/>
  <c r="L8417" i="1"/>
  <c r="L8433" i="1"/>
  <c r="L8438" i="1"/>
  <c r="L8445" i="1"/>
  <c r="L8453" i="1"/>
  <c r="L8464" i="1"/>
  <c r="L8466" i="1"/>
  <c r="L8467" i="1"/>
  <c r="L8475" i="1"/>
  <c r="L8481" i="1"/>
  <c r="L8483" i="1"/>
  <c r="L8493" i="1"/>
  <c r="L8498" i="1"/>
  <c r="L8500" i="1"/>
  <c r="L8510" i="1"/>
  <c r="L8512" i="1"/>
  <c r="L8516" i="1"/>
  <c r="L8532" i="1"/>
  <c r="L8534" i="1"/>
  <c r="L8538" i="1"/>
  <c r="L8541" i="1"/>
  <c r="L8580" i="1"/>
  <c r="L8584" i="1"/>
  <c r="L8589" i="1"/>
  <c r="L8591" i="1"/>
  <c r="L8592" i="1"/>
  <c r="L8594" i="1"/>
  <c r="L8612" i="1"/>
  <c r="L8624" i="1"/>
  <c r="L8625" i="1"/>
  <c r="L8628" i="1"/>
  <c r="L8632" i="1"/>
  <c r="L8646" i="1"/>
  <c r="L8657" i="1"/>
  <c r="L8658" i="1"/>
  <c r="L8659" i="1"/>
  <c r="L8662" i="1"/>
  <c r="L8680" i="1"/>
  <c r="L8681" i="1"/>
  <c r="L8683" i="1"/>
  <c r="L8684" i="1"/>
  <c r="L8685" i="1"/>
  <c r="L8686" i="1"/>
  <c r="L8693" i="1"/>
  <c r="L8694" i="1"/>
  <c r="L8695" i="1"/>
  <c r="L8699" i="1"/>
  <c r="L8706" i="1"/>
  <c r="L8708" i="1"/>
  <c r="L8714" i="1"/>
  <c r="L8722" i="1"/>
  <c r="L8728" i="1"/>
  <c r="L8739" i="1"/>
  <c r="L8741" i="1"/>
  <c r="L8773" i="1"/>
  <c r="L8777" i="1"/>
  <c r="L8791" i="1"/>
  <c r="L8802" i="1"/>
  <c r="L8810" i="1"/>
  <c r="L8812" i="1"/>
  <c r="L8817" i="1"/>
  <c r="L8819" i="1"/>
  <c r="L8842" i="1"/>
  <c r="L8864" i="1"/>
  <c r="L8867" i="1"/>
  <c r="L8871" i="1"/>
  <c r="L8873" i="1"/>
  <c r="L8886" i="1"/>
  <c r="L8889" i="1"/>
  <c r="L8904" i="1"/>
  <c r="L8913" i="1"/>
  <c r="L8938" i="1"/>
  <c r="L8951" i="1"/>
  <c r="L8973" i="1"/>
  <c r="L8997" i="1"/>
  <c r="L9010" i="1"/>
  <c r="L9042" i="1"/>
  <c r="L9047" i="1"/>
  <c r="L9059" i="1"/>
  <c r="L9071" i="1"/>
  <c r="L9118" i="1"/>
  <c r="L9130" i="1"/>
  <c r="L9133" i="1"/>
  <c r="L9136" i="1"/>
  <c r="L9147" i="1"/>
  <c r="L9154" i="1"/>
  <c r="L9156" i="1"/>
  <c r="L9158" i="1"/>
  <c r="L9197" i="1"/>
  <c r="L9200" i="1"/>
  <c r="L9202" i="1"/>
  <c r="L9210" i="1"/>
  <c r="L9218" i="1"/>
  <c r="L9220" i="1"/>
  <c r="L9239" i="1"/>
  <c r="L9240" i="1"/>
  <c r="L9244" i="1"/>
  <c r="L9272" i="1"/>
  <c r="L9275" i="1"/>
  <c r="L9280" i="1"/>
  <c r="L9295" i="1"/>
  <c r="L9300" i="1"/>
  <c r="L9306" i="1"/>
  <c r="L9319" i="1"/>
  <c r="L9325" i="1"/>
  <c r="L9333" i="1"/>
  <c r="L9372" i="1"/>
  <c r="L9373" i="1"/>
  <c r="L9380" i="1"/>
  <c r="L9434" i="1"/>
  <c r="L9436" i="1"/>
  <c r="L9500" i="1"/>
  <c r="L9514" i="1"/>
  <c r="L9519" i="1"/>
  <c r="L9555" i="1"/>
  <c r="L9556" i="1"/>
  <c r="L9557" i="1"/>
  <c r="L9563" i="1"/>
  <c r="L9565" i="1"/>
  <c r="L9575" i="1"/>
  <c r="L9607" i="1"/>
  <c r="L9608" i="1"/>
  <c r="L9612" i="1"/>
  <c r="L9616" i="1"/>
  <c r="L9623" i="1"/>
  <c r="L9632" i="1"/>
  <c r="L9634" i="1"/>
  <c r="L9641" i="1"/>
  <c r="L9643" i="1"/>
  <c r="L9644" i="1"/>
  <c r="L9654" i="1"/>
  <c r="L9655" i="1"/>
  <c r="L9656" i="1"/>
  <c r="L9663" i="1"/>
  <c r="L9667" i="1"/>
  <c r="L9677" i="1"/>
  <c r="L9679" i="1"/>
  <c r="L9720" i="1"/>
  <c r="L972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BF9B7C-76C9-B547-8E87-B8A9BF147368}" name="road_network_with_volume" type="6" refreshedVersion="6" background="1" saveData="1">
    <textPr sourceFile="/Users/antonglad/Master/road_env/pyfiles_e/road_network_with_volume.csv" decimal="," thousands=" " tab="0"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18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futureMetadata>
  <valueMetadata count="418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bk>
      <rc t="1" v="384"/>
    </bk>
    <bk>
      <rc t="1" v="385"/>
    </bk>
    <bk>
      <rc t="1" v="386"/>
    </bk>
    <bk>
      <rc t="1" v="387"/>
    </bk>
    <bk>
      <rc t="1" v="388"/>
    </bk>
    <bk>
      <rc t="1" v="389"/>
    </bk>
    <bk>
      <rc t="1" v="390"/>
    </bk>
    <bk>
      <rc t="1" v="391"/>
    </bk>
    <bk>
      <rc t="1" v="392"/>
    </bk>
    <bk>
      <rc t="1" v="393"/>
    </bk>
    <bk>
      <rc t="1" v="394"/>
    </bk>
    <bk>
      <rc t="1" v="395"/>
    </bk>
    <bk>
      <rc t="1" v="396"/>
    </bk>
    <bk>
      <rc t="1" v="397"/>
    </bk>
    <bk>
      <rc t="1" v="398"/>
    </bk>
    <bk>
      <rc t="1" v="399"/>
    </bk>
    <bk>
      <rc t="1" v="400"/>
    </bk>
    <bk>
      <rc t="1" v="401"/>
    </bk>
    <bk>
      <rc t="1" v="402"/>
    </bk>
    <bk>
      <rc t="1" v="403"/>
    </bk>
    <bk>
      <rc t="1" v="404"/>
    </bk>
    <bk>
      <rc t="1" v="405"/>
    </bk>
    <bk>
      <rc t="1" v="406"/>
    </bk>
    <bk>
      <rc t="1" v="407"/>
    </bk>
    <bk>
      <rc t="1" v="408"/>
    </bk>
    <bk>
      <rc t="1" v="409"/>
    </bk>
    <bk>
      <rc t="1" v="410"/>
    </bk>
    <bk>
      <rc t="1" v="411"/>
    </bk>
    <bk>
      <rc t="1" v="412"/>
    </bk>
    <bk>
      <rc t="1" v="413"/>
    </bk>
    <bk>
      <rc t="1" v="414"/>
    </bk>
    <bk>
      <rc t="1" v="415"/>
    </bk>
    <bk>
      <rc t="1" v="416"/>
    </bk>
    <bk>
      <rc t="1" v="417"/>
    </bk>
    <bk>
      <rc t="1" v="418"/>
    </bk>
    <bk>
      <rc t="1" v="419"/>
    </bk>
    <bk>
      <rc t="1" v="420"/>
    </bk>
    <bk>
      <rc t="1" v="421"/>
    </bk>
    <bk>
      <rc t="1" v="422"/>
    </bk>
    <bk>
      <rc t="1" v="423"/>
    </bk>
    <bk>
      <rc t="1" v="424"/>
    </bk>
    <bk>
      <rc t="1" v="425"/>
    </bk>
    <bk>
      <rc t="1" v="426"/>
    </bk>
    <bk>
      <rc t="1" v="427"/>
    </bk>
    <bk>
      <rc t="1" v="428"/>
    </bk>
    <bk>
      <rc t="1" v="429"/>
    </bk>
    <bk>
      <rc t="1" v="430"/>
    </bk>
    <bk>
      <rc t="1" v="431"/>
    </bk>
    <bk>
      <rc t="1" v="432"/>
    </bk>
    <bk>
      <rc t="1" v="433"/>
    </bk>
    <bk>
      <rc t="1" v="434"/>
    </bk>
    <bk>
      <rc t="1" v="435"/>
    </bk>
    <bk>
      <rc t="1" v="436"/>
    </bk>
    <bk>
      <rc t="1" v="437"/>
    </bk>
    <bk>
      <rc t="1" v="438"/>
    </bk>
    <bk>
      <rc t="1" v="439"/>
    </bk>
    <bk>
      <rc t="1" v="440"/>
    </bk>
    <bk>
      <rc t="1" v="441"/>
    </bk>
    <bk>
      <rc t="1" v="442"/>
    </bk>
    <bk>
      <rc t="1" v="443"/>
    </bk>
    <bk>
      <rc t="1" v="444"/>
    </bk>
    <bk>
      <rc t="1" v="445"/>
    </bk>
    <bk>
      <rc t="1" v="446"/>
    </bk>
    <bk>
      <rc t="1" v="447"/>
    </bk>
    <bk>
      <rc t="1" v="448"/>
    </bk>
    <bk>
      <rc t="1" v="449"/>
    </bk>
    <bk>
      <rc t="1" v="450"/>
    </bk>
    <bk>
      <rc t="1" v="451"/>
    </bk>
    <bk>
      <rc t="1" v="452"/>
    </bk>
    <bk>
      <rc t="1" v="453"/>
    </bk>
    <bk>
      <rc t="1" v="454"/>
    </bk>
    <bk>
      <rc t="1" v="455"/>
    </bk>
    <bk>
      <rc t="1" v="456"/>
    </bk>
    <bk>
      <rc t="1" v="457"/>
    </bk>
    <bk>
      <rc t="1" v="458"/>
    </bk>
    <bk>
      <rc t="1" v="459"/>
    </bk>
    <bk>
      <rc t="1" v="460"/>
    </bk>
    <bk>
      <rc t="1" v="461"/>
    </bk>
    <bk>
      <rc t="1" v="462"/>
    </bk>
    <bk>
      <rc t="1" v="463"/>
    </bk>
    <bk>
      <rc t="1" v="464"/>
    </bk>
    <bk>
      <rc t="1" v="465"/>
    </bk>
    <bk>
      <rc t="1" v="466"/>
    </bk>
    <bk>
      <rc t="1" v="467"/>
    </bk>
    <bk>
      <rc t="1" v="468"/>
    </bk>
    <bk>
      <rc t="1" v="469"/>
    </bk>
    <bk>
      <rc t="1" v="470"/>
    </bk>
    <bk>
      <rc t="1" v="471"/>
    </bk>
    <bk>
      <rc t="1" v="472"/>
    </bk>
    <bk>
      <rc t="1" v="473"/>
    </bk>
    <bk>
      <rc t="1" v="474"/>
    </bk>
    <bk>
      <rc t="1" v="475"/>
    </bk>
    <bk>
      <rc t="1" v="476"/>
    </bk>
    <bk>
      <rc t="1" v="477"/>
    </bk>
    <bk>
      <rc t="1" v="478"/>
    </bk>
    <bk>
      <rc t="1" v="479"/>
    </bk>
    <bk>
      <rc t="1" v="480"/>
    </bk>
    <bk>
      <rc t="1" v="481"/>
    </bk>
    <bk>
      <rc t="1" v="482"/>
    </bk>
    <bk>
      <rc t="1" v="483"/>
    </bk>
    <bk>
      <rc t="1" v="484"/>
    </bk>
    <bk>
      <rc t="1" v="485"/>
    </bk>
    <bk>
      <rc t="1" v="486"/>
    </bk>
    <bk>
      <rc t="1" v="487"/>
    </bk>
    <bk>
      <rc t="1" v="488"/>
    </bk>
    <bk>
      <rc t="1" v="489"/>
    </bk>
    <bk>
      <rc t="1" v="490"/>
    </bk>
    <bk>
      <rc t="1" v="491"/>
    </bk>
    <bk>
      <rc t="1" v="492"/>
    </bk>
    <bk>
      <rc t="1" v="493"/>
    </bk>
    <bk>
      <rc t="1" v="494"/>
    </bk>
    <bk>
      <rc t="1" v="495"/>
    </bk>
    <bk>
      <rc t="1" v="496"/>
    </bk>
    <bk>
      <rc t="1" v="497"/>
    </bk>
    <bk>
      <rc t="1" v="498"/>
    </bk>
    <bk>
      <rc t="1" v="499"/>
    </bk>
    <bk>
      <rc t="1" v="500"/>
    </bk>
    <bk>
      <rc t="1" v="501"/>
    </bk>
    <bk>
      <rc t="1" v="502"/>
    </bk>
    <bk>
      <rc t="1" v="503"/>
    </bk>
    <bk>
      <rc t="1" v="504"/>
    </bk>
    <bk>
      <rc t="1" v="505"/>
    </bk>
    <bk>
      <rc t="1" v="506"/>
    </bk>
    <bk>
      <rc t="1" v="507"/>
    </bk>
    <bk>
      <rc t="1" v="508"/>
    </bk>
    <bk>
      <rc t="1" v="509"/>
    </bk>
    <bk>
      <rc t="1" v="510"/>
    </bk>
    <bk>
      <rc t="1" v="511"/>
    </bk>
    <bk>
      <rc t="1" v="512"/>
    </bk>
    <bk>
      <rc t="1" v="513"/>
    </bk>
    <bk>
      <rc t="1" v="514"/>
    </bk>
    <bk>
      <rc t="1" v="515"/>
    </bk>
    <bk>
      <rc t="1" v="516"/>
    </bk>
    <bk>
      <rc t="1" v="517"/>
    </bk>
    <bk>
      <rc t="1" v="518"/>
    </bk>
    <bk>
      <rc t="1" v="519"/>
    </bk>
    <bk>
      <rc t="1" v="520"/>
    </bk>
    <bk>
      <rc t="1" v="521"/>
    </bk>
    <bk>
      <rc t="1" v="522"/>
    </bk>
    <bk>
      <rc t="1" v="523"/>
    </bk>
    <bk>
      <rc t="1" v="524"/>
    </bk>
    <bk>
      <rc t="1" v="525"/>
    </bk>
    <bk>
      <rc t="1" v="526"/>
    </bk>
    <bk>
      <rc t="1" v="527"/>
    </bk>
    <bk>
      <rc t="1" v="528"/>
    </bk>
    <bk>
      <rc t="1" v="529"/>
    </bk>
    <bk>
      <rc t="1" v="530"/>
    </bk>
    <bk>
      <rc t="1" v="531"/>
    </bk>
    <bk>
      <rc t="1" v="532"/>
    </bk>
    <bk>
      <rc t="1" v="533"/>
    </bk>
    <bk>
      <rc t="1" v="534"/>
    </bk>
    <bk>
      <rc t="1" v="535"/>
    </bk>
    <bk>
      <rc t="1" v="536"/>
    </bk>
    <bk>
      <rc t="1" v="537"/>
    </bk>
    <bk>
      <rc t="1" v="538"/>
    </bk>
    <bk>
      <rc t="1" v="539"/>
    </bk>
    <bk>
      <rc t="1" v="540"/>
    </bk>
    <bk>
      <rc t="1" v="541"/>
    </bk>
    <bk>
      <rc t="1" v="542"/>
    </bk>
    <bk>
      <rc t="1" v="543"/>
    </bk>
    <bk>
      <rc t="1" v="544"/>
    </bk>
    <bk>
      <rc t="1" v="545"/>
    </bk>
    <bk>
      <rc t="1" v="546"/>
    </bk>
    <bk>
      <rc t="1" v="547"/>
    </bk>
    <bk>
      <rc t="1" v="548"/>
    </bk>
    <bk>
      <rc t="1" v="549"/>
    </bk>
    <bk>
      <rc t="1" v="550"/>
    </bk>
    <bk>
      <rc t="1" v="551"/>
    </bk>
    <bk>
      <rc t="1" v="552"/>
    </bk>
    <bk>
      <rc t="1" v="553"/>
    </bk>
    <bk>
      <rc t="1" v="554"/>
    </bk>
    <bk>
      <rc t="1" v="555"/>
    </bk>
    <bk>
      <rc t="1" v="556"/>
    </bk>
    <bk>
      <rc t="1" v="557"/>
    </bk>
    <bk>
      <rc t="1" v="558"/>
    </bk>
    <bk>
      <rc t="1" v="559"/>
    </bk>
    <bk>
      <rc t="1" v="560"/>
    </bk>
    <bk>
      <rc t="1" v="561"/>
    </bk>
    <bk>
      <rc t="1" v="562"/>
    </bk>
    <bk>
      <rc t="1" v="563"/>
    </bk>
    <bk>
      <rc t="1" v="564"/>
    </bk>
    <bk>
      <rc t="1" v="565"/>
    </bk>
    <bk>
      <rc t="1" v="566"/>
    </bk>
    <bk>
      <rc t="1" v="567"/>
    </bk>
    <bk>
      <rc t="1" v="568"/>
    </bk>
    <bk>
      <rc t="1" v="569"/>
    </bk>
    <bk>
      <rc t="1" v="570"/>
    </bk>
    <bk>
      <rc t="1" v="571"/>
    </bk>
    <bk>
      <rc t="1" v="572"/>
    </bk>
    <bk>
      <rc t="1" v="573"/>
    </bk>
    <bk>
      <rc t="1" v="574"/>
    </bk>
    <bk>
      <rc t="1" v="575"/>
    </bk>
    <bk>
      <rc t="1" v="576"/>
    </bk>
    <bk>
      <rc t="1" v="577"/>
    </bk>
    <bk>
      <rc t="1" v="578"/>
    </bk>
    <bk>
      <rc t="1" v="579"/>
    </bk>
    <bk>
      <rc t="1" v="580"/>
    </bk>
    <bk>
      <rc t="1" v="581"/>
    </bk>
    <bk>
      <rc t="1" v="582"/>
    </bk>
    <bk>
      <rc t="1" v="583"/>
    </bk>
    <bk>
      <rc t="1" v="584"/>
    </bk>
    <bk>
      <rc t="1" v="585"/>
    </bk>
    <bk>
      <rc t="1" v="586"/>
    </bk>
    <bk>
      <rc t="1" v="587"/>
    </bk>
    <bk>
      <rc t="1" v="588"/>
    </bk>
    <bk>
      <rc t="1" v="589"/>
    </bk>
    <bk>
      <rc t="1" v="590"/>
    </bk>
    <bk>
      <rc t="1" v="591"/>
    </bk>
    <bk>
      <rc t="1" v="592"/>
    </bk>
    <bk>
      <rc t="1" v="593"/>
    </bk>
    <bk>
      <rc t="1" v="594"/>
    </bk>
    <bk>
      <rc t="1" v="595"/>
    </bk>
    <bk>
      <rc t="1" v="596"/>
    </bk>
    <bk>
      <rc t="1" v="597"/>
    </bk>
    <bk>
      <rc t="1" v="598"/>
    </bk>
    <bk>
      <rc t="1" v="599"/>
    </bk>
    <bk>
      <rc t="1" v="600"/>
    </bk>
    <bk>
      <rc t="1" v="601"/>
    </bk>
    <bk>
      <rc t="1" v="602"/>
    </bk>
    <bk>
      <rc t="1" v="603"/>
    </bk>
    <bk>
      <rc t="1" v="604"/>
    </bk>
    <bk>
      <rc t="1" v="605"/>
    </bk>
    <bk>
      <rc t="1" v="606"/>
    </bk>
    <bk>
      <rc t="1" v="607"/>
    </bk>
    <bk>
      <rc t="1" v="608"/>
    </bk>
    <bk>
      <rc t="1" v="609"/>
    </bk>
    <bk>
      <rc t="1" v="610"/>
    </bk>
    <bk>
      <rc t="1" v="611"/>
    </bk>
    <bk>
      <rc t="1" v="612"/>
    </bk>
    <bk>
      <rc t="1" v="613"/>
    </bk>
    <bk>
      <rc t="1" v="614"/>
    </bk>
    <bk>
      <rc t="1" v="615"/>
    </bk>
    <bk>
      <rc t="1" v="616"/>
    </bk>
    <bk>
      <rc t="1" v="617"/>
    </bk>
    <bk>
      <rc t="1" v="618"/>
    </bk>
    <bk>
      <rc t="1" v="619"/>
    </bk>
    <bk>
      <rc t="1" v="620"/>
    </bk>
    <bk>
      <rc t="1" v="621"/>
    </bk>
    <bk>
      <rc t="1" v="622"/>
    </bk>
    <bk>
      <rc t="1" v="623"/>
    </bk>
    <bk>
      <rc t="1" v="624"/>
    </bk>
    <bk>
      <rc t="1" v="625"/>
    </bk>
    <bk>
      <rc t="1" v="626"/>
    </bk>
    <bk>
      <rc t="1" v="627"/>
    </bk>
    <bk>
      <rc t="1" v="628"/>
    </bk>
    <bk>
      <rc t="1" v="629"/>
    </bk>
    <bk>
      <rc t="1" v="630"/>
    </bk>
    <bk>
      <rc t="1" v="631"/>
    </bk>
    <bk>
      <rc t="1" v="632"/>
    </bk>
    <bk>
      <rc t="1" v="633"/>
    </bk>
    <bk>
      <rc t="1" v="634"/>
    </bk>
    <bk>
      <rc t="1" v="635"/>
    </bk>
    <bk>
      <rc t="1" v="636"/>
    </bk>
    <bk>
      <rc t="1" v="637"/>
    </bk>
    <bk>
      <rc t="1" v="638"/>
    </bk>
    <bk>
      <rc t="1" v="639"/>
    </bk>
    <bk>
      <rc t="1" v="640"/>
    </bk>
    <bk>
      <rc t="1" v="641"/>
    </bk>
    <bk>
      <rc t="1" v="642"/>
    </bk>
    <bk>
      <rc t="1" v="643"/>
    </bk>
    <bk>
      <rc t="1" v="644"/>
    </bk>
    <bk>
      <rc t="1" v="645"/>
    </bk>
    <bk>
      <rc t="1" v="646"/>
    </bk>
    <bk>
      <rc t="1" v="647"/>
    </bk>
    <bk>
      <rc t="1" v="648"/>
    </bk>
    <bk>
      <rc t="1" v="649"/>
    </bk>
    <bk>
      <rc t="1" v="650"/>
    </bk>
    <bk>
      <rc t="1" v="651"/>
    </bk>
    <bk>
      <rc t="1" v="652"/>
    </bk>
    <bk>
      <rc t="1" v="653"/>
    </bk>
    <bk>
      <rc t="1" v="654"/>
    </bk>
    <bk>
      <rc t="1" v="655"/>
    </bk>
    <bk>
      <rc t="1" v="656"/>
    </bk>
    <bk>
      <rc t="1" v="657"/>
    </bk>
    <bk>
      <rc t="1" v="658"/>
    </bk>
    <bk>
      <rc t="1" v="659"/>
    </bk>
    <bk>
      <rc t="1" v="660"/>
    </bk>
    <bk>
      <rc t="1" v="661"/>
    </bk>
    <bk>
      <rc t="1" v="662"/>
    </bk>
    <bk>
      <rc t="1" v="663"/>
    </bk>
    <bk>
      <rc t="1" v="664"/>
    </bk>
    <bk>
      <rc t="1" v="665"/>
    </bk>
    <bk>
      <rc t="1" v="666"/>
    </bk>
    <bk>
      <rc t="1" v="667"/>
    </bk>
    <bk>
      <rc t="1" v="668"/>
    </bk>
    <bk>
      <rc t="1" v="669"/>
    </bk>
    <bk>
      <rc t="1" v="670"/>
    </bk>
    <bk>
      <rc t="1" v="671"/>
    </bk>
    <bk>
      <rc t="1" v="672"/>
    </bk>
    <bk>
      <rc t="1" v="673"/>
    </bk>
    <bk>
      <rc t="1" v="674"/>
    </bk>
    <bk>
      <rc t="1" v="675"/>
    </bk>
    <bk>
      <rc t="1" v="676"/>
    </bk>
    <bk>
      <rc t="1" v="677"/>
    </bk>
    <bk>
      <rc t="1" v="678"/>
    </bk>
    <bk>
      <rc t="1" v="679"/>
    </bk>
    <bk>
      <rc t="1" v="680"/>
    </bk>
    <bk>
      <rc t="1" v="681"/>
    </bk>
    <bk>
      <rc t="1" v="682"/>
    </bk>
    <bk>
      <rc t="1" v="683"/>
    </bk>
    <bk>
      <rc t="1" v="684"/>
    </bk>
    <bk>
      <rc t="1" v="685"/>
    </bk>
    <bk>
      <rc t="1" v="686"/>
    </bk>
    <bk>
      <rc t="1" v="687"/>
    </bk>
    <bk>
      <rc t="1" v="688"/>
    </bk>
    <bk>
      <rc t="1" v="689"/>
    </bk>
    <bk>
      <rc t="1" v="690"/>
    </bk>
    <bk>
      <rc t="1" v="691"/>
    </bk>
    <bk>
      <rc t="1" v="692"/>
    </bk>
    <bk>
      <rc t="1" v="693"/>
    </bk>
    <bk>
      <rc t="1" v="694"/>
    </bk>
    <bk>
      <rc t="1" v="695"/>
    </bk>
    <bk>
      <rc t="1" v="696"/>
    </bk>
    <bk>
      <rc t="1" v="697"/>
    </bk>
    <bk>
      <rc t="1" v="698"/>
    </bk>
    <bk>
      <rc t="1" v="699"/>
    </bk>
    <bk>
      <rc t="1" v="700"/>
    </bk>
    <bk>
      <rc t="1" v="701"/>
    </bk>
    <bk>
      <rc t="1" v="702"/>
    </bk>
    <bk>
      <rc t="1" v="703"/>
    </bk>
    <bk>
      <rc t="1" v="704"/>
    </bk>
    <bk>
      <rc t="1" v="705"/>
    </bk>
    <bk>
      <rc t="1" v="706"/>
    </bk>
    <bk>
      <rc t="1" v="707"/>
    </bk>
    <bk>
      <rc t="1" v="708"/>
    </bk>
    <bk>
      <rc t="1" v="709"/>
    </bk>
    <bk>
      <rc t="1" v="710"/>
    </bk>
    <bk>
      <rc t="1" v="711"/>
    </bk>
    <bk>
      <rc t="1" v="712"/>
    </bk>
    <bk>
      <rc t="1" v="713"/>
    </bk>
    <bk>
      <rc t="1" v="714"/>
    </bk>
    <bk>
      <rc t="1" v="715"/>
    </bk>
    <bk>
      <rc t="1" v="716"/>
    </bk>
    <bk>
      <rc t="1" v="717"/>
    </bk>
    <bk>
      <rc t="1" v="718"/>
    </bk>
    <bk>
      <rc t="1" v="719"/>
    </bk>
    <bk>
      <rc t="1" v="720"/>
    </bk>
    <bk>
      <rc t="1" v="721"/>
    </bk>
    <bk>
      <rc t="1" v="722"/>
    </bk>
    <bk>
      <rc t="1" v="723"/>
    </bk>
    <bk>
      <rc t="1" v="724"/>
    </bk>
    <bk>
      <rc t="1" v="725"/>
    </bk>
    <bk>
      <rc t="1" v="726"/>
    </bk>
    <bk>
      <rc t="1" v="727"/>
    </bk>
    <bk>
      <rc t="1" v="728"/>
    </bk>
    <bk>
      <rc t="1" v="729"/>
    </bk>
    <bk>
      <rc t="1" v="730"/>
    </bk>
    <bk>
      <rc t="1" v="731"/>
    </bk>
    <bk>
      <rc t="1" v="732"/>
    </bk>
    <bk>
      <rc t="1" v="733"/>
    </bk>
    <bk>
      <rc t="1" v="734"/>
    </bk>
    <bk>
      <rc t="1" v="735"/>
    </bk>
    <bk>
      <rc t="1" v="736"/>
    </bk>
    <bk>
      <rc t="1" v="737"/>
    </bk>
    <bk>
      <rc t="1" v="738"/>
    </bk>
    <bk>
      <rc t="1" v="739"/>
    </bk>
    <bk>
      <rc t="1" v="740"/>
    </bk>
    <bk>
      <rc t="1" v="741"/>
    </bk>
    <bk>
      <rc t="1" v="742"/>
    </bk>
    <bk>
      <rc t="1" v="743"/>
    </bk>
    <bk>
      <rc t="1" v="744"/>
    </bk>
    <bk>
      <rc t="1" v="745"/>
    </bk>
    <bk>
      <rc t="1" v="746"/>
    </bk>
    <bk>
      <rc t="1" v="747"/>
    </bk>
    <bk>
      <rc t="1" v="748"/>
    </bk>
    <bk>
      <rc t="1" v="749"/>
    </bk>
    <bk>
      <rc t="1" v="750"/>
    </bk>
    <bk>
      <rc t="1" v="751"/>
    </bk>
    <bk>
      <rc t="1" v="752"/>
    </bk>
    <bk>
      <rc t="1" v="753"/>
    </bk>
    <bk>
      <rc t="1" v="754"/>
    </bk>
    <bk>
      <rc t="1" v="755"/>
    </bk>
    <bk>
      <rc t="1" v="756"/>
    </bk>
    <bk>
      <rc t="1" v="757"/>
    </bk>
    <bk>
      <rc t="1" v="758"/>
    </bk>
    <bk>
      <rc t="1" v="759"/>
    </bk>
    <bk>
      <rc t="1" v="760"/>
    </bk>
    <bk>
      <rc t="1" v="761"/>
    </bk>
    <bk>
      <rc t="1" v="762"/>
    </bk>
    <bk>
      <rc t="1" v="763"/>
    </bk>
    <bk>
      <rc t="1" v="764"/>
    </bk>
    <bk>
      <rc t="1" v="765"/>
    </bk>
    <bk>
      <rc t="1" v="766"/>
    </bk>
    <bk>
      <rc t="1" v="767"/>
    </bk>
    <bk>
      <rc t="1" v="768"/>
    </bk>
    <bk>
      <rc t="1" v="769"/>
    </bk>
    <bk>
      <rc t="1" v="770"/>
    </bk>
    <bk>
      <rc t="1" v="771"/>
    </bk>
    <bk>
      <rc t="1" v="772"/>
    </bk>
    <bk>
      <rc t="1" v="773"/>
    </bk>
    <bk>
      <rc t="1" v="774"/>
    </bk>
    <bk>
      <rc t="1" v="775"/>
    </bk>
    <bk>
      <rc t="1" v="776"/>
    </bk>
    <bk>
      <rc t="1" v="777"/>
    </bk>
    <bk>
      <rc t="1" v="778"/>
    </bk>
    <bk>
      <rc t="1" v="779"/>
    </bk>
    <bk>
      <rc t="1" v="780"/>
    </bk>
    <bk>
      <rc t="1" v="781"/>
    </bk>
    <bk>
      <rc t="1" v="782"/>
    </bk>
    <bk>
      <rc t="1" v="783"/>
    </bk>
    <bk>
      <rc t="1" v="784"/>
    </bk>
    <bk>
      <rc t="1" v="785"/>
    </bk>
    <bk>
      <rc t="1" v="786"/>
    </bk>
    <bk>
      <rc t="1" v="787"/>
    </bk>
    <bk>
      <rc t="1" v="788"/>
    </bk>
    <bk>
      <rc t="1" v="789"/>
    </bk>
    <bk>
      <rc t="1" v="790"/>
    </bk>
    <bk>
      <rc t="1" v="791"/>
    </bk>
    <bk>
      <rc t="1" v="792"/>
    </bk>
    <bk>
      <rc t="1" v="793"/>
    </bk>
    <bk>
      <rc t="1" v="794"/>
    </bk>
    <bk>
      <rc t="1" v="795"/>
    </bk>
    <bk>
      <rc t="1" v="796"/>
    </bk>
    <bk>
      <rc t="1" v="797"/>
    </bk>
    <bk>
      <rc t="1" v="798"/>
    </bk>
    <bk>
      <rc t="1" v="799"/>
    </bk>
    <bk>
      <rc t="1" v="800"/>
    </bk>
    <bk>
      <rc t="1" v="801"/>
    </bk>
    <bk>
      <rc t="1" v="802"/>
    </bk>
    <bk>
      <rc t="1" v="803"/>
    </bk>
    <bk>
      <rc t="1" v="804"/>
    </bk>
    <bk>
      <rc t="1" v="805"/>
    </bk>
    <bk>
      <rc t="1" v="806"/>
    </bk>
    <bk>
      <rc t="1" v="807"/>
    </bk>
    <bk>
      <rc t="1" v="808"/>
    </bk>
    <bk>
      <rc t="1" v="809"/>
    </bk>
    <bk>
      <rc t="1" v="810"/>
    </bk>
    <bk>
      <rc t="1" v="811"/>
    </bk>
    <bk>
      <rc t="1" v="812"/>
    </bk>
    <bk>
      <rc t="1" v="813"/>
    </bk>
    <bk>
      <rc t="1" v="814"/>
    </bk>
    <bk>
      <rc t="1" v="815"/>
    </bk>
    <bk>
      <rc t="1" v="816"/>
    </bk>
    <bk>
      <rc t="1" v="817"/>
    </bk>
    <bk>
      <rc t="1" v="818"/>
    </bk>
    <bk>
      <rc t="1" v="819"/>
    </bk>
    <bk>
      <rc t="1" v="820"/>
    </bk>
    <bk>
      <rc t="1" v="821"/>
    </bk>
    <bk>
      <rc t="1" v="822"/>
    </bk>
    <bk>
      <rc t="1" v="823"/>
    </bk>
    <bk>
      <rc t="1" v="824"/>
    </bk>
    <bk>
      <rc t="1" v="825"/>
    </bk>
    <bk>
      <rc t="1" v="826"/>
    </bk>
    <bk>
      <rc t="1" v="827"/>
    </bk>
    <bk>
      <rc t="1" v="828"/>
    </bk>
    <bk>
      <rc t="1" v="829"/>
    </bk>
    <bk>
      <rc t="1" v="830"/>
    </bk>
    <bk>
      <rc t="1" v="831"/>
    </bk>
    <bk>
      <rc t="1" v="832"/>
    </bk>
    <bk>
      <rc t="1" v="833"/>
    </bk>
    <bk>
      <rc t="1" v="834"/>
    </bk>
    <bk>
      <rc t="1" v="835"/>
    </bk>
    <bk>
      <rc t="1" v="836"/>
    </bk>
    <bk>
      <rc t="1" v="837"/>
    </bk>
    <bk>
      <rc t="1" v="838"/>
    </bk>
    <bk>
      <rc t="1" v="839"/>
    </bk>
    <bk>
      <rc t="1" v="840"/>
    </bk>
    <bk>
      <rc t="1" v="841"/>
    </bk>
    <bk>
      <rc t="1" v="842"/>
    </bk>
    <bk>
      <rc t="1" v="843"/>
    </bk>
    <bk>
      <rc t="1" v="844"/>
    </bk>
    <bk>
      <rc t="1" v="845"/>
    </bk>
    <bk>
      <rc t="1" v="846"/>
    </bk>
    <bk>
      <rc t="1" v="847"/>
    </bk>
    <bk>
      <rc t="1" v="848"/>
    </bk>
    <bk>
      <rc t="1" v="849"/>
    </bk>
    <bk>
      <rc t="1" v="850"/>
    </bk>
    <bk>
      <rc t="1" v="851"/>
    </bk>
    <bk>
      <rc t="1" v="852"/>
    </bk>
    <bk>
      <rc t="1" v="853"/>
    </bk>
    <bk>
      <rc t="1" v="854"/>
    </bk>
    <bk>
      <rc t="1" v="855"/>
    </bk>
    <bk>
      <rc t="1" v="856"/>
    </bk>
    <bk>
      <rc t="1" v="857"/>
    </bk>
    <bk>
      <rc t="1" v="858"/>
    </bk>
    <bk>
      <rc t="1" v="859"/>
    </bk>
    <bk>
      <rc t="1" v="860"/>
    </bk>
    <bk>
      <rc t="1" v="861"/>
    </bk>
    <bk>
      <rc t="1" v="862"/>
    </bk>
    <bk>
      <rc t="1" v="863"/>
    </bk>
    <bk>
      <rc t="1" v="864"/>
    </bk>
    <bk>
      <rc t="1" v="865"/>
    </bk>
    <bk>
      <rc t="1" v="866"/>
    </bk>
    <bk>
      <rc t="1" v="867"/>
    </bk>
    <bk>
      <rc t="1" v="868"/>
    </bk>
    <bk>
      <rc t="1" v="869"/>
    </bk>
    <bk>
      <rc t="1" v="870"/>
    </bk>
    <bk>
      <rc t="1" v="871"/>
    </bk>
    <bk>
      <rc t="1" v="872"/>
    </bk>
    <bk>
      <rc t="1" v="873"/>
    </bk>
    <bk>
      <rc t="1" v="874"/>
    </bk>
    <bk>
      <rc t="1" v="875"/>
    </bk>
    <bk>
      <rc t="1" v="876"/>
    </bk>
    <bk>
      <rc t="1" v="877"/>
    </bk>
    <bk>
      <rc t="1" v="878"/>
    </bk>
    <bk>
      <rc t="1" v="879"/>
    </bk>
    <bk>
      <rc t="1" v="880"/>
    </bk>
    <bk>
      <rc t="1" v="881"/>
    </bk>
    <bk>
      <rc t="1" v="882"/>
    </bk>
    <bk>
      <rc t="1" v="883"/>
    </bk>
    <bk>
      <rc t="1" v="884"/>
    </bk>
    <bk>
      <rc t="1" v="885"/>
    </bk>
    <bk>
      <rc t="1" v="886"/>
    </bk>
    <bk>
      <rc t="1" v="887"/>
    </bk>
    <bk>
      <rc t="1" v="888"/>
    </bk>
    <bk>
      <rc t="1" v="889"/>
    </bk>
    <bk>
      <rc t="1" v="890"/>
    </bk>
    <bk>
      <rc t="1" v="891"/>
    </bk>
    <bk>
      <rc t="1" v="892"/>
    </bk>
    <bk>
      <rc t="1" v="893"/>
    </bk>
    <bk>
      <rc t="1" v="894"/>
    </bk>
    <bk>
      <rc t="1" v="895"/>
    </bk>
    <bk>
      <rc t="1" v="896"/>
    </bk>
    <bk>
      <rc t="1" v="897"/>
    </bk>
    <bk>
      <rc t="1" v="898"/>
    </bk>
    <bk>
      <rc t="1" v="899"/>
    </bk>
    <bk>
      <rc t="1" v="900"/>
    </bk>
    <bk>
      <rc t="1" v="901"/>
    </bk>
    <bk>
      <rc t="1" v="902"/>
    </bk>
    <bk>
      <rc t="1" v="903"/>
    </bk>
    <bk>
      <rc t="1" v="904"/>
    </bk>
    <bk>
      <rc t="1" v="905"/>
    </bk>
    <bk>
      <rc t="1" v="906"/>
    </bk>
    <bk>
      <rc t="1" v="907"/>
    </bk>
    <bk>
      <rc t="1" v="908"/>
    </bk>
    <bk>
      <rc t="1" v="909"/>
    </bk>
    <bk>
      <rc t="1" v="910"/>
    </bk>
    <bk>
      <rc t="1" v="911"/>
    </bk>
    <bk>
      <rc t="1" v="912"/>
    </bk>
    <bk>
      <rc t="1" v="913"/>
    </bk>
    <bk>
      <rc t="1" v="914"/>
    </bk>
    <bk>
      <rc t="1" v="915"/>
    </bk>
    <bk>
      <rc t="1" v="916"/>
    </bk>
    <bk>
      <rc t="1" v="917"/>
    </bk>
    <bk>
      <rc t="1" v="918"/>
    </bk>
    <bk>
      <rc t="1" v="919"/>
    </bk>
    <bk>
      <rc t="1" v="920"/>
    </bk>
    <bk>
      <rc t="1" v="921"/>
    </bk>
    <bk>
      <rc t="1" v="922"/>
    </bk>
    <bk>
      <rc t="1" v="923"/>
    </bk>
    <bk>
      <rc t="1" v="924"/>
    </bk>
    <bk>
      <rc t="1" v="925"/>
    </bk>
    <bk>
      <rc t="1" v="926"/>
    </bk>
    <bk>
      <rc t="1" v="927"/>
    </bk>
    <bk>
      <rc t="1" v="928"/>
    </bk>
    <bk>
      <rc t="1" v="929"/>
    </bk>
    <bk>
      <rc t="1" v="930"/>
    </bk>
    <bk>
      <rc t="1" v="931"/>
    </bk>
    <bk>
      <rc t="1" v="932"/>
    </bk>
    <bk>
      <rc t="1" v="933"/>
    </bk>
    <bk>
      <rc t="1" v="934"/>
    </bk>
    <bk>
      <rc t="1" v="935"/>
    </bk>
    <bk>
      <rc t="1" v="936"/>
    </bk>
    <bk>
      <rc t="1" v="937"/>
    </bk>
    <bk>
      <rc t="1" v="938"/>
    </bk>
    <bk>
      <rc t="1" v="939"/>
    </bk>
    <bk>
      <rc t="1" v="940"/>
    </bk>
    <bk>
      <rc t="1" v="941"/>
    </bk>
    <bk>
      <rc t="1" v="942"/>
    </bk>
    <bk>
      <rc t="1" v="943"/>
    </bk>
    <bk>
      <rc t="1" v="944"/>
    </bk>
    <bk>
      <rc t="1" v="945"/>
    </bk>
    <bk>
      <rc t="1" v="946"/>
    </bk>
    <bk>
      <rc t="1" v="947"/>
    </bk>
    <bk>
      <rc t="1" v="948"/>
    </bk>
    <bk>
      <rc t="1" v="949"/>
    </bk>
    <bk>
      <rc t="1" v="950"/>
    </bk>
    <bk>
      <rc t="1" v="951"/>
    </bk>
    <bk>
      <rc t="1" v="952"/>
    </bk>
    <bk>
      <rc t="1" v="953"/>
    </bk>
    <bk>
      <rc t="1" v="954"/>
    </bk>
    <bk>
      <rc t="1" v="955"/>
    </bk>
    <bk>
      <rc t="1" v="956"/>
    </bk>
    <bk>
      <rc t="1" v="957"/>
    </bk>
    <bk>
      <rc t="1" v="958"/>
    </bk>
    <bk>
      <rc t="1" v="959"/>
    </bk>
    <bk>
      <rc t="1" v="960"/>
    </bk>
    <bk>
      <rc t="1" v="961"/>
    </bk>
    <bk>
      <rc t="1" v="962"/>
    </bk>
    <bk>
      <rc t="1" v="963"/>
    </bk>
    <bk>
      <rc t="1" v="964"/>
    </bk>
    <bk>
      <rc t="1" v="965"/>
    </bk>
    <bk>
      <rc t="1" v="966"/>
    </bk>
    <bk>
      <rc t="1" v="967"/>
    </bk>
    <bk>
      <rc t="1" v="968"/>
    </bk>
    <bk>
      <rc t="1" v="969"/>
    </bk>
    <bk>
      <rc t="1" v="970"/>
    </bk>
    <bk>
      <rc t="1" v="971"/>
    </bk>
    <bk>
      <rc t="1" v="972"/>
    </bk>
    <bk>
      <rc t="1" v="973"/>
    </bk>
    <bk>
      <rc t="1" v="974"/>
    </bk>
    <bk>
      <rc t="1" v="975"/>
    </bk>
    <bk>
      <rc t="1" v="976"/>
    </bk>
    <bk>
      <rc t="1" v="977"/>
    </bk>
    <bk>
      <rc t="1" v="978"/>
    </bk>
    <bk>
      <rc t="1" v="979"/>
    </bk>
    <bk>
      <rc t="1" v="980"/>
    </bk>
    <bk>
      <rc t="1" v="981"/>
    </bk>
    <bk>
      <rc t="1" v="982"/>
    </bk>
    <bk>
      <rc t="1" v="983"/>
    </bk>
    <bk>
      <rc t="1" v="984"/>
    </bk>
    <bk>
      <rc t="1" v="985"/>
    </bk>
    <bk>
      <rc t="1" v="986"/>
    </bk>
    <bk>
      <rc t="1" v="987"/>
    </bk>
    <bk>
      <rc t="1" v="988"/>
    </bk>
    <bk>
      <rc t="1" v="989"/>
    </bk>
    <bk>
      <rc t="1" v="990"/>
    </bk>
    <bk>
      <rc t="1" v="991"/>
    </bk>
    <bk>
      <rc t="1" v="992"/>
    </bk>
    <bk>
      <rc t="1" v="993"/>
    </bk>
    <bk>
      <rc t="1" v="994"/>
    </bk>
    <bk>
      <rc t="1" v="995"/>
    </bk>
    <bk>
      <rc t="1" v="996"/>
    </bk>
    <bk>
      <rc t="1" v="997"/>
    </bk>
    <bk>
      <rc t="1" v="998"/>
    </bk>
    <bk>
      <rc t="1" v="999"/>
    </bk>
    <bk>
      <rc t="1" v="1000"/>
    </bk>
    <bk>
      <rc t="1" v="1001"/>
    </bk>
    <bk>
      <rc t="1" v="1002"/>
    </bk>
    <bk>
      <rc t="1" v="1003"/>
    </bk>
    <bk>
      <rc t="1" v="1004"/>
    </bk>
    <bk>
      <rc t="1" v="1005"/>
    </bk>
    <bk>
      <rc t="1" v="1006"/>
    </bk>
    <bk>
      <rc t="1" v="1007"/>
    </bk>
    <bk>
      <rc t="1" v="1008"/>
    </bk>
    <bk>
      <rc t="1" v="1009"/>
    </bk>
    <bk>
      <rc t="1" v="1010"/>
    </bk>
    <bk>
      <rc t="1" v="1011"/>
    </bk>
    <bk>
      <rc t="1" v="1012"/>
    </bk>
    <bk>
      <rc t="1" v="1013"/>
    </bk>
    <bk>
      <rc t="1" v="1014"/>
    </bk>
    <bk>
      <rc t="1" v="1015"/>
    </bk>
    <bk>
      <rc t="1" v="1016"/>
    </bk>
    <bk>
      <rc t="1" v="1017"/>
    </bk>
    <bk>
      <rc t="1" v="1018"/>
    </bk>
    <bk>
      <rc t="1" v="1019"/>
    </bk>
    <bk>
      <rc t="1" v="1020"/>
    </bk>
    <bk>
      <rc t="1" v="1021"/>
    </bk>
    <bk>
      <rc t="1" v="1022"/>
    </bk>
    <bk>
      <rc t="1" v="1023"/>
    </bk>
    <bk>
      <rc t="1" v="1024"/>
    </bk>
    <bk>
      <rc t="1" v="1025"/>
    </bk>
    <bk>
      <rc t="1" v="1026"/>
    </bk>
    <bk>
      <rc t="1" v="1027"/>
    </bk>
    <bk>
      <rc t="1" v="1028"/>
    </bk>
    <bk>
      <rc t="1" v="1029"/>
    </bk>
    <bk>
      <rc t="1" v="1030"/>
    </bk>
    <bk>
      <rc t="1" v="1031"/>
    </bk>
    <bk>
      <rc t="1" v="1032"/>
    </bk>
    <bk>
      <rc t="1" v="1033"/>
    </bk>
    <bk>
      <rc t="1" v="1034"/>
    </bk>
    <bk>
      <rc t="1" v="1035"/>
    </bk>
    <bk>
      <rc t="1" v="1036"/>
    </bk>
    <bk>
      <rc t="1" v="1037"/>
    </bk>
    <bk>
      <rc t="1" v="1038"/>
    </bk>
    <bk>
      <rc t="1" v="1039"/>
    </bk>
    <bk>
      <rc t="1" v="1040"/>
    </bk>
    <bk>
      <rc t="1" v="1041"/>
    </bk>
    <bk>
      <rc t="1" v="1042"/>
    </bk>
    <bk>
      <rc t="1" v="1043"/>
    </bk>
    <bk>
      <rc t="1" v="1044"/>
    </bk>
    <bk>
      <rc t="1" v="1045"/>
    </bk>
    <bk>
      <rc t="1" v="1046"/>
    </bk>
    <bk>
      <rc t="1" v="1047"/>
    </bk>
    <bk>
      <rc t="1" v="1048"/>
    </bk>
    <bk>
      <rc t="1" v="1049"/>
    </bk>
    <bk>
      <rc t="1" v="1050"/>
    </bk>
    <bk>
      <rc t="1" v="1051"/>
    </bk>
    <bk>
      <rc t="1" v="1052"/>
    </bk>
    <bk>
      <rc t="1" v="1053"/>
    </bk>
    <bk>
      <rc t="1" v="1054"/>
    </bk>
    <bk>
      <rc t="1" v="1055"/>
    </bk>
    <bk>
      <rc t="1" v="1056"/>
    </bk>
    <bk>
      <rc t="1" v="1057"/>
    </bk>
    <bk>
      <rc t="1" v="1058"/>
    </bk>
    <bk>
      <rc t="1" v="1059"/>
    </bk>
    <bk>
      <rc t="1" v="1060"/>
    </bk>
    <bk>
      <rc t="1" v="1061"/>
    </bk>
    <bk>
      <rc t="1" v="1062"/>
    </bk>
    <bk>
      <rc t="1" v="1063"/>
    </bk>
    <bk>
      <rc t="1" v="1064"/>
    </bk>
    <bk>
      <rc t="1" v="1065"/>
    </bk>
    <bk>
      <rc t="1" v="1066"/>
    </bk>
    <bk>
      <rc t="1" v="1067"/>
    </bk>
    <bk>
      <rc t="1" v="1068"/>
    </bk>
    <bk>
      <rc t="1" v="1069"/>
    </bk>
    <bk>
      <rc t="1" v="1070"/>
    </bk>
    <bk>
      <rc t="1" v="1071"/>
    </bk>
    <bk>
      <rc t="1" v="1072"/>
    </bk>
    <bk>
      <rc t="1" v="1073"/>
    </bk>
    <bk>
      <rc t="1" v="1074"/>
    </bk>
    <bk>
      <rc t="1" v="1075"/>
    </bk>
    <bk>
      <rc t="1" v="1076"/>
    </bk>
    <bk>
      <rc t="1" v="1077"/>
    </bk>
    <bk>
      <rc t="1" v="1078"/>
    </bk>
    <bk>
      <rc t="1" v="1079"/>
    </bk>
    <bk>
      <rc t="1" v="1080"/>
    </bk>
    <bk>
      <rc t="1" v="1081"/>
    </bk>
    <bk>
      <rc t="1" v="1082"/>
    </bk>
    <bk>
      <rc t="1" v="1083"/>
    </bk>
    <bk>
      <rc t="1" v="1084"/>
    </bk>
    <bk>
      <rc t="1" v="1085"/>
    </bk>
    <bk>
      <rc t="1" v="1086"/>
    </bk>
    <bk>
      <rc t="1" v="1087"/>
    </bk>
    <bk>
      <rc t="1" v="1088"/>
    </bk>
    <bk>
      <rc t="1" v="1089"/>
    </bk>
    <bk>
      <rc t="1" v="1090"/>
    </bk>
    <bk>
      <rc t="1" v="1091"/>
    </bk>
    <bk>
      <rc t="1" v="1092"/>
    </bk>
    <bk>
      <rc t="1" v="1093"/>
    </bk>
    <bk>
      <rc t="1" v="1094"/>
    </bk>
    <bk>
      <rc t="1" v="1095"/>
    </bk>
    <bk>
      <rc t="1" v="1096"/>
    </bk>
    <bk>
      <rc t="1" v="1097"/>
    </bk>
    <bk>
      <rc t="1" v="1098"/>
    </bk>
    <bk>
      <rc t="1" v="1099"/>
    </bk>
    <bk>
      <rc t="1" v="1100"/>
    </bk>
    <bk>
      <rc t="1" v="1101"/>
    </bk>
    <bk>
      <rc t="1" v="1102"/>
    </bk>
    <bk>
      <rc t="1" v="1103"/>
    </bk>
    <bk>
      <rc t="1" v="1104"/>
    </bk>
    <bk>
      <rc t="1" v="1105"/>
    </bk>
    <bk>
      <rc t="1" v="1106"/>
    </bk>
    <bk>
      <rc t="1" v="1107"/>
    </bk>
    <bk>
      <rc t="1" v="1108"/>
    </bk>
    <bk>
      <rc t="1" v="1109"/>
    </bk>
    <bk>
      <rc t="1" v="1110"/>
    </bk>
    <bk>
      <rc t="1" v="1111"/>
    </bk>
    <bk>
      <rc t="1" v="1112"/>
    </bk>
    <bk>
      <rc t="1" v="1113"/>
    </bk>
    <bk>
      <rc t="1" v="1114"/>
    </bk>
    <bk>
      <rc t="1" v="1115"/>
    </bk>
    <bk>
      <rc t="1" v="1116"/>
    </bk>
    <bk>
      <rc t="1" v="1117"/>
    </bk>
    <bk>
      <rc t="1" v="1118"/>
    </bk>
    <bk>
      <rc t="1" v="1119"/>
    </bk>
    <bk>
      <rc t="1" v="1120"/>
    </bk>
    <bk>
      <rc t="1" v="1121"/>
    </bk>
    <bk>
      <rc t="1" v="1122"/>
    </bk>
    <bk>
      <rc t="1" v="1123"/>
    </bk>
    <bk>
      <rc t="1" v="1124"/>
    </bk>
    <bk>
      <rc t="1" v="1125"/>
    </bk>
    <bk>
      <rc t="1" v="1126"/>
    </bk>
    <bk>
      <rc t="1" v="1127"/>
    </bk>
    <bk>
      <rc t="1" v="1128"/>
    </bk>
    <bk>
      <rc t="1" v="1129"/>
    </bk>
    <bk>
      <rc t="1" v="1130"/>
    </bk>
    <bk>
      <rc t="1" v="1131"/>
    </bk>
    <bk>
      <rc t="1" v="1132"/>
    </bk>
    <bk>
      <rc t="1" v="1133"/>
    </bk>
    <bk>
      <rc t="1" v="1134"/>
    </bk>
    <bk>
      <rc t="1" v="1135"/>
    </bk>
    <bk>
      <rc t="1" v="1136"/>
    </bk>
    <bk>
      <rc t="1" v="1137"/>
    </bk>
    <bk>
      <rc t="1" v="1138"/>
    </bk>
    <bk>
      <rc t="1" v="1139"/>
    </bk>
    <bk>
      <rc t="1" v="1140"/>
    </bk>
    <bk>
      <rc t="1" v="1141"/>
    </bk>
    <bk>
      <rc t="1" v="1142"/>
    </bk>
    <bk>
      <rc t="1" v="1143"/>
    </bk>
    <bk>
      <rc t="1" v="1144"/>
    </bk>
    <bk>
      <rc t="1" v="1145"/>
    </bk>
    <bk>
      <rc t="1" v="1146"/>
    </bk>
    <bk>
      <rc t="1" v="1147"/>
    </bk>
    <bk>
      <rc t="1" v="1148"/>
    </bk>
    <bk>
      <rc t="1" v="1149"/>
    </bk>
    <bk>
      <rc t="1" v="1150"/>
    </bk>
    <bk>
      <rc t="1" v="1151"/>
    </bk>
    <bk>
      <rc t="1" v="1152"/>
    </bk>
    <bk>
      <rc t="1" v="1153"/>
    </bk>
    <bk>
      <rc t="1" v="1154"/>
    </bk>
    <bk>
      <rc t="1" v="1155"/>
    </bk>
    <bk>
      <rc t="1" v="1156"/>
    </bk>
    <bk>
      <rc t="1" v="1157"/>
    </bk>
    <bk>
      <rc t="1" v="1158"/>
    </bk>
    <bk>
      <rc t="1" v="1159"/>
    </bk>
    <bk>
      <rc t="1" v="1160"/>
    </bk>
    <bk>
      <rc t="1" v="1161"/>
    </bk>
    <bk>
      <rc t="1" v="1162"/>
    </bk>
    <bk>
      <rc t="1" v="1163"/>
    </bk>
    <bk>
      <rc t="1" v="1164"/>
    </bk>
    <bk>
      <rc t="1" v="1165"/>
    </bk>
    <bk>
      <rc t="1" v="1166"/>
    </bk>
    <bk>
      <rc t="1" v="1167"/>
    </bk>
    <bk>
      <rc t="1" v="1168"/>
    </bk>
    <bk>
      <rc t="1" v="1169"/>
    </bk>
    <bk>
      <rc t="1" v="1170"/>
    </bk>
    <bk>
      <rc t="1" v="1171"/>
    </bk>
    <bk>
      <rc t="1" v="1172"/>
    </bk>
    <bk>
      <rc t="1" v="1173"/>
    </bk>
    <bk>
      <rc t="1" v="1174"/>
    </bk>
    <bk>
      <rc t="1" v="1175"/>
    </bk>
    <bk>
      <rc t="1" v="1176"/>
    </bk>
    <bk>
      <rc t="1" v="1177"/>
    </bk>
    <bk>
      <rc t="1" v="1178"/>
    </bk>
    <bk>
      <rc t="1" v="1179"/>
    </bk>
    <bk>
      <rc t="1" v="1180"/>
    </bk>
    <bk>
      <rc t="1" v="1181"/>
    </bk>
    <bk>
      <rc t="1" v="1182"/>
    </bk>
    <bk>
      <rc t="1" v="1183"/>
    </bk>
    <bk>
      <rc t="1" v="1184"/>
    </bk>
    <bk>
      <rc t="1" v="1185"/>
    </bk>
    <bk>
      <rc t="1" v="1186"/>
    </bk>
    <bk>
      <rc t="1" v="1187"/>
    </bk>
    <bk>
      <rc t="1" v="1188"/>
    </bk>
    <bk>
      <rc t="1" v="1189"/>
    </bk>
    <bk>
      <rc t="1" v="1190"/>
    </bk>
    <bk>
      <rc t="1" v="1191"/>
    </bk>
    <bk>
      <rc t="1" v="1192"/>
    </bk>
    <bk>
      <rc t="1" v="1193"/>
    </bk>
    <bk>
      <rc t="1" v="1194"/>
    </bk>
    <bk>
      <rc t="1" v="1195"/>
    </bk>
    <bk>
      <rc t="1" v="1196"/>
    </bk>
    <bk>
      <rc t="1" v="1197"/>
    </bk>
    <bk>
      <rc t="1" v="1198"/>
    </bk>
    <bk>
      <rc t="1" v="1199"/>
    </bk>
    <bk>
      <rc t="1" v="1200"/>
    </bk>
    <bk>
      <rc t="1" v="1201"/>
    </bk>
    <bk>
      <rc t="1" v="1202"/>
    </bk>
    <bk>
      <rc t="1" v="1203"/>
    </bk>
    <bk>
      <rc t="1" v="1204"/>
    </bk>
    <bk>
      <rc t="1" v="1205"/>
    </bk>
    <bk>
      <rc t="1" v="1206"/>
    </bk>
    <bk>
      <rc t="1" v="1207"/>
    </bk>
    <bk>
      <rc t="1" v="1208"/>
    </bk>
    <bk>
      <rc t="1" v="1209"/>
    </bk>
    <bk>
      <rc t="1" v="1210"/>
    </bk>
    <bk>
      <rc t="1" v="1211"/>
    </bk>
    <bk>
      <rc t="1" v="1212"/>
    </bk>
    <bk>
      <rc t="1" v="1213"/>
    </bk>
    <bk>
      <rc t="1" v="1214"/>
    </bk>
    <bk>
      <rc t="1" v="1215"/>
    </bk>
    <bk>
      <rc t="1" v="1216"/>
    </bk>
    <bk>
      <rc t="1" v="1217"/>
    </bk>
    <bk>
      <rc t="1" v="1218"/>
    </bk>
    <bk>
      <rc t="1" v="1219"/>
    </bk>
    <bk>
      <rc t="1" v="1220"/>
    </bk>
    <bk>
      <rc t="1" v="1221"/>
    </bk>
    <bk>
      <rc t="1" v="1222"/>
    </bk>
    <bk>
      <rc t="1" v="1223"/>
    </bk>
    <bk>
      <rc t="1" v="1224"/>
    </bk>
    <bk>
      <rc t="1" v="1225"/>
    </bk>
    <bk>
      <rc t="1" v="1226"/>
    </bk>
    <bk>
      <rc t="1" v="1227"/>
    </bk>
    <bk>
      <rc t="1" v="1228"/>
    </bk>
    <bk>
      <rc t="1" v="1229"/>
    </bk>
    <bk>
      <rc t="1" v="1230"/>
    </bk>
    <bk>
      <rc t="1" v="1231"/>
    </bk>
    <bk>
      <rc t="1" v="1232"/>
    </bk>
    <bk>
      <rc t="1" v="1233"/>
    </bk>
    <bk>
      <rc t="1" v="1234"/>
    </bk>
    <bk>
      <rc t="1" v="1235"/>
    </bk>
    <bk>
      <rc t="1" v="1236"/>
    </bk>
    <bk>
      <rc t="1" v="1237"/>
    </bk>
    <bk>
      <rc t="1" v="1238"/>
    </bk>
    <bk>
      <rc t="1" v="1239"/>
    </bk>
    <bk>
      <rc t="1" v="1240"/>
    </bk>
    <bk>
      <rc t="1" v="1241"/>
    </bk>
    <bk>
      <rc t="1" v="1242"/>
    </bk>
    <bk>
      <rc t="1" v="1243"/>
    </bk>
    <bk>
      <rc t="1" v="1244"/>
    </bk>
    <bk>
      <rc t="1" v="1245"/>
    </bk>
    <bk>
      <rc t="1" v="1246"/>
    </bk>
    <bk>
      <rc t="1" v="1247"/>
    </bk>
    <bk>
      <rc t="1" v="1248"/>
    </bk>
    <bk>
      <rc t="1" v="1249"/>
    </bk>
    <bk>
      <rc t="1" v="1250"/>
    </bk>
    <bk>
      <rc t="1" v="1251"/>
    </bk>
    <bk>
      <rc t="1" v="1252"/>
    </bk>
    <bk>
      <rc t="1" v="1253"/>
    </bk>
    <bk>
      <rc t="1" v="1254"/>
    </bk>
    <bk>
      <rc t="1" v="1255"/>
    </bk>
    <bk>
      <rc t="1" v="1256"/>
    </bk>
    <bk>
      <rc t="1" v="1257"/>
    </bk>
    <bk>
      <rc t="1" v="1258"/>
    </bk>
    <bk>
      <rc t="1" v="1259"/>
    </bk>
    <bk>
      <rc t="1" v="1260"/>
    </bk>
    <bk>
      <rc t="1" v="1261"/>
    </bk>
    <bk>
      <rc t="1" v="1262"/>
    </bk>
    <bk>
      <rc t="1" v="1263"/>
    </bk>
    <bk>
      <rc t="1" v="1264"/>
    </bk>
    <bk>
      <rc t="1" v="1265"/>
    </bk>
    <bk>
      <rc t="1" v="1266"/>
    </bk>
    <bk>
      <rc t="1" v="1267"/>
    </bk>
    <bk>
      <rc t="1" v="1268"/>
    </bk>
    <bk>
      <rc t="1" v="1269"/>
    </bk>
    <bk>
      <rc t="1" v="1270"/>
    </bk>
    <bk>
      <rc t="1" v="1271"/>
    </bk>
    <bk>
      <rc t="1" v="1272"/>
    </bk>
    <bk>
      <rc t="1" v="1273"/>
    </bk>
    <bk>
      <rc t="1" v="1274"/>
    </bk>
    <bk>
      <rc t="1" v="1275"/>
    </bk>
    <bk>
      <rc t="1" v="1276"/>
    </bk>
    <bk>
      <rc t="1" v="1277"/>
    </bk>
    <bk>
      <rc t="1" v="1278"/>
    </bk>
    <bk>
      <rc t="1" v="1279"/>
    </bk>
    <bk>
      <rc t="1" v="1280"/>
    </bk>
    <bk>
      <rc t="1" v="1281"/>
    </bk>
    <bk>
      <rc t="1" v="1282"/>
    </bk>
    <bk>
      <rc t="1" v="1283"/>
    </bk>
    <bk>
      <rc t="1" v="1284"/>
    </bk>
    <bk>
      <rc t="1" v="1285"/>
    </bk>
    <bk>
      <rc t="1" v="1286"/>
    </bk>
    <bk>
      <rc t="1" v="1287"/>
    </bk>
    <bk>
      <rc t="1" v="1288"/>
    </bk>
    <bk>
      <rc t="1" v="1289"/>
    </bk>
    <bk>
      <rc t="1" v="1290"/>
    </bk>
    <bk>
      <rc t="1" v="1291"/>
    </bk>
    <bk>
      <rc t="1" v="1292"/>
    </bk>
    <bk>
      <rc t="1" v="1293"/>
    </bk>
    <bk>
      <rc t="1" v="1294"/>
    </bk>
    <bk>
      <rc t="1" v="1295"/>
    </bk>
    <bk>
      <rc t="1" v="1296"/>
    </bk>
    <bk>
      <rc t="1" v="1297"/>
    </bk>
    <bk>
      <rc t="1" v="1298"/>
    </bk>
    <bk>
      <rc t="1" v="1299"/>
    </bk>
    <bk>
      <rc t="1" v="1300"/>
    </bk>
    <bk>
      <rc t="1" v="1301"/>
    </bk>
    <bk>
      <rc t="1" v="1302"/>
    </bk>
    <bk>
      <rc t="1" v="1303"/>
    </bk>
    <bk>
      <rc t="1" v="1304"/>
    </bk>
    <bk>
      <rc t="1" v="1305"/>
    </bk>
    <bk>
      <rc t="1" v="1306"/>
    </bk>
    <bk>
      <rc t="1" v="1307"/>
    </bk>
    <bk>
      <rc t="1" v="1308"/>
    </bk>
    <bk>
      <rc t="1" v="1309"/>
    </bk>
    <bk>
      <rc t="1" v="1310"/>
    </bk>
    <bk>
      <rc t="1" v="1311"/>
    </bk>
    <bk>
      <rc t="1" v="1312"/>
    </bk>
    <bk>
      <rc t="1" v="1313"/>
    </bk>
    <bk>
      <rc t="1" v="1314"/>
    </bk>
    <bk>
      <rc t="1" v="1315"/>
    </bk>
    <bk>
      <rc t="1" v="1316"/>
    </bk>
    <bk>
      <rc t="1" v="1317"/>
    </bk>
    <bk>
      <rc t="1" v="1318"/>
    </bk>
    <bk>
      <rc t="1" v="1319"/>
    </bk>
    <bk>
      <rc t="1" v="1320"/>
    </bk>
    <bk>
      <rc t="1" v="1321"/>
    </bk>
    <bk>
      <rc t="1" v="1322"/>
    </bk>
    <bk>
      <rc t="1" v="1323"/>
    </bk>
    <bk>
      <rc t="1" v="1324"/>
    </bk>
    <bk>
      <rc t="1" v="1325"/>
    </bk>
    <bk>
      <rc t="1" v="1326"/>
    </bk>
    <bk>
      <rc t="1" v="1327"/>
    </bk>
    <bk>
      <rc t="1" v="1328"/>
    </bk>
    <bk>
      <rc t="1" v="1329"/>
    </bk>
    <bk>
      <rc t="1" v="1330"/>
    </bk>
    <bk>
      <rc t="1" v="1331"/>
    </bk>
    <bk>
      <rc t="1" v="1332"/>
    </bk>
    <bk>
      <rc t="1" v="1333"/>
    </bk>
    <bk>
      <rc t="1" v="1334"/>
    </bk>
    <bk>
      <rc t="1" v="1335"/>
    </bk>
    <bk>
      <rc t="1" v="1336"/>
    </bk>
    <bk>
      <rc t="1" v="1337"/>
    </bk>
    <bk>
      <rc t="1" v="1338"/>
    </bk>
    <bk>
      <rc t="1" v="1339"/>
    </bk>
    <bk>
      <rc t="1" v="1340"/>
    </bk>
    <bk>
      <rc t="1" v="1341"/>
    </bk>
    <bk>
      <rc t="1" v="1342"/>
    </bk>
    <bk>
      <rc t="1" v="1343"/>
    </bk>
    <bk>
      <rc t="1" v="1344"/>
    </bk>
    <bk>
      <rc t="1" v="1345"/>
    </bk>
    <bk>
      <rc t="1" v="1346"/>
    </bk>
    <bk>
      <rc t="1" v="1347"/>
    </bk>
    <bk>
      <rc t="1" v="1348"/>
    </bk>
    <bk>
      <rc t="1" v="1349"/>
    </bk>
    <bk>
      <rc t="1" v="1350"/>
    </bk>
    <bk>
      <rc t="1" v="1351"/>
    </bk>
    <bk>
      <rc t="1" v="1352"/>
    </bk>
    <bk>
      <rc t="1" v="1353"/>
    </bk>
    <bk>
      <rc t="1" v="1354"/>
    </bk>
    <bk>
      <rc t="1" v="1355"/>
    </bk>
    <bk>
      <rc t="1" v="1356"/>
    </bk>
    <bk>
      <rc t="1" v="1357"/>
    </bk>
    <bk>
      <rc t="1" v="1358"/>
    </bk>
    <bk>
      <rc t="1" v="1359"/>
    </bk>
    <bk>
      <rc t="1" v="1360"/>
    </bk>
    <bk>
      <rc t="1" v="1361"/>
    </bk>
    <bk>
      <rc t="1" v="1362"/>
    </bk>
    <bk>
      <rc t="1" v="1363"/>
    </bk>
    <bk>
      <rc t="1" v="1364"/>
    </bk>
    <bk>
      <rc t="1" v="1365"/>
    </bk>
    <bk>
      <rc t="1" v="1366"/>
    </bk>
    <bk>
      <rc t="1" v="1367"/>
    </bk>
    <bk>
      <rc t="1" v="1368"/>
    </bk>
    <bk>
      <rc t="1" v="1369"/>
    </bk>
    <bk>
      <rc t="1" v="1370"/>
    </bk>
    <bk>
      <rc t="1" v="1371"/>
    </bk>
    <bk>
      <rc t="1" v="1372"/>
    </bk>
    <bk>
      <rc t="1" v="1373"/>
    </bk>
    <bk>
      <rc t="1" v="1374"/>
    </bk>
    <bk>
      <rc t="1" v="1375"/>
    </bk>
    <bk>
      <rc t="1" v="1376"/>
    </bk>
    <bk>
      <rc t="1" v="1377"/>
    </bk>
    <bk>
      <rc t="1" v="1378"/>
    </bk>
    <bk>
      <rc t="1" v="1379"/>
    </bk>
    <bk>
      <rc t="1" v="1380"/>
    </bk>
    <bk>
      <rc t="1" v="1381"/>
    </bk>
    <bk>
      <rc t="1" v="1382"/>
    </bk>
    <bk>
      <rc t="1" v="1383"/>
    </bk>
    <bk>
      <rc t="1" v="1384"/>
    </bk>
    <bk>
      <rc t="1" v="1385"/>
    </bk>
    <bk>
      <rc t="1" v="1386"/>
    </bk>
    <bk>
      <rc t="1" v="1387"/>
    </bk>
    <bk>
      <rc t="1" v="1388"/>
    </bk>
    <bk>
      <rc t="1" v="1389"/>
    </bk>
    <bk>
      <rc t="1" v="1390"/>
    </bk>
    <bk>
      <rc t="1" v="1391"/>
    </bk>
    <bk>
      <rc t="1" v="1392"/>
    </bk>
    <bk>
      <rc t="1" v="1393"/>
    </bk>
    <bk>
      <rc t="1" v="1394"/>
    </bk>
    <bk>
      <rc t="1" v="1395"/>
    </bk>
    <bk>
      <rc t="1" v="1396"/>
    </bk>
    <bk>
      <rc t="1" v="1397"/>
    </bk>
    <bk>
      <rc t="1" v="1398"/>
    </bk>
    <bk>
      <rc t="1" v="1399"/>
    </bk>
    <bk>
      <rc t="1" v="1400"/>
    </bk>
    <bk>
      <rc t="1" v="1401"/>
    </bk>
    <bk>
      <rc t="1" v="1402"/>
    </bk>
    <bk>
      <rc t="1" v="1403"/>
    </bk>
    <bk>
      <rc t="1" v="1404"/>
    </bk>
    <bk>
      <rc t="1" v="1405"/>
    </bk>
    <bk>
      <rc t="1" v="1406"/>
    </bk>
    <bk>
      <rc t="1" v="1407"/>
    </bk>
    <bk>
      <rc t="1" v="1408"/>
    </bk>
    <bk>
      <rc t="1" v="1409"/>
    </bk>
    <bk>
      <rc t="1" v="1410"/>
    </bk>
    <bk>
      <rc t="1" v="1411"/>
    </bk>
    <bk>
      <rc t="1" v="1412"/>
    </bk>
    <bk>
      <rc t="1" v="1413"/>
    </bk>
    <bk>
      <rc t="1" v="1414"/>
    </bk>
    <bk>
      <rc t="1" v="1415"/>
    </bk>
    <bk>
      <rc t="1" v="1416"/>
    </bk>
    <bk>
      <rc t="1" v="1417"/>
    </bk>
    <bk>
      <rc t="1" v="1418"/>
    </bk>
    <bk>
      <rc t="1" v="1419"/>
    </bk>
    <bk>
      <rc t="1" v="1420"/>
    </bk>
    <bk>
      <rc t="1" v="1421"/>
    </bk>
    <bk>
      <rc t="1" v="1422"/>
    </bk>
    <bk>
      <rc t="1" v="1423"/>
    </bk>
    <bk>
      <rc t="1" v="1424"/>
    </bk>
    <bk>
      <rc t="1" v="1425"/>
    </bk>
    <bk>
      <rc t="1" v="1426"/>
    </bk>
    <bk>
      <rc t="1" v="1427"/>
    </bk>
    <bk>
      <rc t="1" v="1428"/>
    </bk>
    <bk>
      <rc t="1" v="1429"/>
    </bk>
    <bk>
      <rc t="1" v="1430"/>
    </bk>
    <bk>
      <rc t="1" v="1431"/>
    </bk>
    <bk>
      <rc t="1" v="1432"/>
    </bk>
    <bk>
      <rc t="1" v="1433"/>
    </bk>
    <bk>
      <rc t="1" v="1434"/>
    </bk>
    <bk>
      <rc t="1" v="1435"/>
    </bk>
    <bk>
      <rc t="1" v="1436"/>
    </bk>
    <bk>
      <rc t="1" v="1437"/>
    </bk>
    <bk>
      <rc t="1" v="1438"/>
    </bk>
    <bk>
      <rc t="1" v="1439"/>
    </bk>
    <bk>
      <rc t="1" v="1440"/>
    </bk>
    <bk>
      <rc t="1" v="1441"/>
    </bk>
    <bk>
      <rc t="1" v="1442"/>
    </bk>
    <bk>
      <rc t="1" v="1443"/>
    </bk>
    <bk>
      <rc t="1" v="1444"/>
    </bk>
    <bk>
      <rc t="1" v="1445"/>
    </bk>
    <bk>
      <rc t="1" v="1446"/>
    </bk>
    <bk>
      <rc t="1" v="1447"/>
    </bk>
    <bk>
      <rc t="1" v="1448"/>
    </bk>
    <bk>
      <rc t="1" v="1449"/>
    </bk>
    <bk>
      <rc t="1" v="1450"/>
    </bk>
    <bk>
      <rc t="1" v="1451"/>
    </bk>
    <bk>
      <rc t="1" v="1452"/>
    </bk>
    <bk>
      <rc t="1" v="1453"/>
    </bk>
    <bk>
      <rc t="1" v="1454"/>
    </bk>
    <bk>
      <rc t="1" v="1455"/>
    </bk>
    <bk>
      <rc t="1" v="1456"/>
    </bk>
    <bk>
      <rc t="1" v="1457"/>
    </bk>
    <bk>
      <rc t="1" v="1458"/>
    </bk>
    <bk>
      <rc t="1" v="1459"/>
    </bk>
    <bk>
      <rc t="1" v="1460"/>
    </bk>
    <bk>
      <rc t="1" v="1461"/>
    </bk>
    <bk>
      <rc t="1" v="1462"/>
    </bk>
    <bk>
      <rc t="1" v="1463"/>
    </bk>
    <bk>
      <rc t="1" v="1464"/>
    </bk>
    <bk>
      <rc t="1" v="1465"/>
    </bk>
    <bk>
      <rc t="1" v="1466"/>
    </bk>
    <bk>
      <rc t="1" v="1467"/>
    </bk>
    <bk>
      <rc t="1" v="1468"/>
    </bk>
    <bk>
      <rc t="1" v="1469"/>
    </bk>
    <bk>
      <rc t="1" v="1470"/>
    </bk>
    <bk>
      <rc t="1" v="1471"/>
    </bk>
    <bk>
      <rc t="1" v="1472"/>
    </bk>
    <bk>
      <rc t="1" v="1473"/>
    </bk>
    <bk>
      <rc t="1" v="1474"/>
    </bk>
    <bk>
      <rc t="1" v="1475"/>
    </bk>
    <bk>
      <rc t="1" v="1476"/>
    </bk>
    <bk>
      <rc t="1" v="1477"/>
    </bk>
    <bk>
      <rc t="1" v="1478"/>
    </bk>
    <bk>
      <rc t="1" v="1479"/>
    </bk>
    <bk>
      <rc t="1" v="1480"/>
    </bk>
    <bk>
      <rc t="1" v="1481"/>
    </bk>
    <bk>
      <rc t="1" v="1482"/>
    </bk>
    <bk>
      <rc t="1" v="1483"/>
    </bk>
    <bk>
      <rc t="1" v="1484"/>
    </bk>
    <bk>
      <rc t="1" v="1485"/>
    </bk>
    <bk>
      <rc t="1" v="1486"/>
    </bk>
    <bk>
      <rc t="1" v="1487"/>
    </bk>
    <bk>
      <rc t="1" v="1488"/>
    </bk>
    <bk>
      <rc t="1" v="1489"/>
    </bk>
    <bk>
      <rc t="1" v="1490"/>
    </bk>
    <bk>
      <rc t="1" v="1491"/>
    </bk>
    <bk>
      <rc t="1" v="1492"/>
    </bk>
    <bk>
      <rc t="1" v="1493"/>
    </bk>
    <bk>
      <rc t="1" v="1494"/>
    </bk>
    <bk>
      <rc t="1" v="1495"/>
    </bk>
    <bk>
      <rc t="1" v="1496"/>
    </bk>
    <bk>
      <rc t="1" v="1497"/>
    </bk>
    <bk>
      <rc t="1" v="1498"/>
    </bk>
    <bk>
      <rc t="1" v="1499"/>
    </bk>
    <bk>
      <rc t="1" v="1500"/>
    </bk>
    <bk>
      <rc t="1" v="1501"/>
    </bk>
    <bk>
      <rc t="1" v="1502"/>
    </bk>
    <bk>
      <rc t="1" v="1503"/>
    </bk>
    <bk>
      <rc t="1" v="1504"/>
    </bk>
    <bk>
      <rc t="1" v="1505"/>
    </bk>
    <bk>
      <rc t="1" v="1506"/>
    </bk>
    <bk>
      <rc t="1" v="1507"/>
    </bk>
    <bk>
      <rc t="1" v="1508"/>
    </bk>
    <bk>
      <rc t="1" v="1509"/>
    </bk>
    <bk>
      <rc t="1" v="1510"/>
    </bk>
    <bk>
      <rc t="1" v="1511"/>
    </bk>
    <bk>
      <rc t="1" v="1512"/>
    </bk>
    <bk>
      <rc t="1" v="1513"/>
    </bk>
    <bk>
      <rc t="1" v="1514"/>
    </bk>
    <bk>
      <rc t="1" v="1515"/>
    </bk>
    <bk>
      <rc t="1" v="1516"/>
    </bk>
    <bk>
      <rc t="1" v="1517"/>
    </bk>
    <bk>
      <rc t="1" v="1518"/>
    </bk>
    <bk>
      <rc t="1" v="1519"/>
    </bk>
    <bk>
      <rc t="1" v="1520"/>
    </bk>
    <bk>
      <rc t="1" v="1521"/>
    </bk>
    <bk>
      <rc t="1" v="1522"/>
    </bk>
    <bk>
      <rc t="1" v="1523"/>
    </bk>
    <bk>
      <rc t="1" v="1524"/>
    </bk>
    <bk>
      <rc t="1" v="1525"/>
    </bk>
    <bk>
      <rc t="1" v="1526"/>
    </bk>
    <bk>
      <rc t="1" v="1527"/>
    </bk>
    <bk>
      <rc t="1" v="1528"/>
    </bk>
    <bk>
      <rc t="1" v="1529"/>
    </bk>
    <bk>
      <rc t="1" v="1530"/>
    </bk>
    <bk>
      <rc t="1" v="1531"/>
    </bk>
    <bk>
      <rc t="1" v="1532"/>
    </bk>
    <bk>
      <rc t="1" v="1533"/>
    </bk>
    <bk>
      <rc t="1" v="1534"/>
    </bk>
    <bk>
      <rc t="1" v="1535"/>
    </bk>
    <bk>
      <rc t="1" v="1536"/>
    </bk>
    <bk>
      <rc t="1" v="1537"/>
    </bk>
    <bk>
      <rc t="1" v="1538"/>
    </bk>
    <bk>
      <rc t="1" v="1539"/>
    </bk>
    <bk>
      <rc t="1" v="1540"/>
    </bk>
    <bk>
      <rc t="1" v="1541"/>
    </bk>
    <bk>
      <rc t="1" v="1542"/>
    </bk>
    <bk>
      <rc t="1" v="1543"/>
    </bk>
    <bk>
      <rc t="1" v="1544"/>
    </bk>
    <bk>
      <rc t="1" v="1545"/>
    </bk>
    <bk>
      <rc t="1" v="1546"/>
    </bk>
    <bk>
      <rc t="1" v="1547"/>
    </bk>
    <bk>
      <rc t="1" v="1548"/>
    </bk>
    <bk>
      <rc t="1" v="1549"/>
    </bk>
    <bk>
      <rc t="1" v="1550"/>
    </bk>
    <bk>
      <rc t="1" v="1551"/>
    </bk>
    <bk>
      <rc t="1" v="1552"/>
    </bk>
    <bk>
      <rc t="1" v="1553"/>
    </bk>
    <bk>
      <rc t="1" v="1554"/>
    </bk>
    <bk>
      <rc t="1" v="1555"/>
    </bk>
    <bk>
      <rc t="1" v="1556"/>
    </bk>
    <bk>
      <rc t="1" v="1557"/>
    </bk>
    <bk>
      <rc t="1" v="1558"/>
    </bk>
    <bk>
      <rc t="1" v="1559"/>
    </bk>
    <bk>
      <rc t="1" v="1560"/>
    </bk>
    <bk>
      <rc t="1" v="1561"/>
    </bk>
    <bk>
      <rc t="1" v="1562"/>
    </bk>
    <bk>
      <rc t="1" v="1563"/>
    </bk>
    <bk>
      <rc t="1" v="1564"/>
    </bk>
    <bk>
      <rc t="1" v="1565"/>
    </bk>
    <bk>
      <rc t="1" v="1566"/>
    </bk>
    <bk>
      <rc t="1" v="1567"/>
    </bk>
    <bk>
      <rc t="1" v="1568"/>
    </bk>
    <bk>
      <rc t="1" v="1569"/>
    </bk>
    <bk>
      <rc t="1" v="1570"/>
    </bk>
    <bk>
      <rc t="1" v="1571"/>
    </bk>
    <bk>
      <rc t="1" v="1572"/>
    </bk>
    <bk>
      <rc t="1" v="1573"/>
    </bk>
    <bk>
      <rc t="1" v="1574"/>
    </bk>
    <bk>
      <rc t="1" v="1575"/>
    </bk>
    <bk>
      <rc t="1" v="1576"/>
    </bk>
    <bk>
      <rc t="1" v="1577"/>
    </bk>
    <bk>
      <rc t="1" v="1578"/>
    </bk>
    <bk>
      <rc t="1" v="1579"/>
    </bk>
    <bk>
      <rc t="1" v="1580"/>
    </bk>
    <bk>
      <rc t="1" v="1581"/>
    </bk>
    <bk>
      <rc t="1" v="1582"/>
    </bk>
    <bk>
      <rc t="1" v="1583"/>
    </bk>
    <bk>
      <rc t="1" v="1584"/>
    </bk>
    <bk>
      <rc t="1" v="1585"/>
    </bk>
    <bk>
      <rc t="1" v="1586"/>
    </bk>
    <bk>
      <rc t="1" v="1587"/>
    </bk>
    <bk>
      <rc t="1" v="1588"/>
    </bk>
    <bk>
      <rc t="1" v="1589"/>
    </bk>
    <bk>
      <rc t="1" v="1590"/>
    </bk>
    <bk>
      <rc t="1" v="1591"/>
    </bk>
    <bk>
      <rc t="1" v="1592"/>
    </bk>
    <bk>
      <rc t="1" v="1593"/>
    </bk>
    <bk>
      <rc t="1" v="1594"/>
    </bk>
    <bk>
      <rc t="1" v="1595"/>
    </bk>
    <bk>
      <rc t="1" v="1596"/>
    </bk>
    <bk>
      <rc t="1" v="1597"/>
    </bk>
    <bk>
      <rc t="1" v="1598"/>
    </bk>
    <bk>
      <rc t="1" v="1599"/>
    </bk>
    <bk>
      <rc t="1" v="1600"/>
    </bk>
    <bk>
      <rc t="1" v="1601"/>
    </bk>
    <bk>
      <rc t="1" v="1602"/>
    </bk>
    <bk>
      <rc t="1" v="1603"/>
    </bk>
    <bk>
      <rc t="1" v="1604"/>
    </bk>
    <bk>
      <rc t="1" v="1605"/>
    </bk>
    <bk>
      <rc t="1" v="1606"/>
    </bk>
    <bk>
      <rc t="1" v="1607"/>
    </bk>
    <bk>
      <rc t="1" v="1608"/>
    </bk>
    <bk>
      <rc t="1" v="1609"/>
    </bk>
    <bk>
      <rc t="1" v="1610"/>
    </bk>
    <bk>
      <rc t="1" v="1611"/>
    </bk>
    <bk>
      <rc t="1" v="1612"/>
    </bk>
    <bk>
      <rc t="1" v="1613"/>
    </bk>
    <bk>
      <rc t="1" v="1614"/>
    </bk>
    <bk>
      <rc t="1" v="1615"/>
    </bk>
    <bk>
      <rc t="1" v="1616"/>
    </bk>
    <bk>
      <rc t="1" v="1617"/>
    </bk>
    <bk>
      <rc t="1" v="1618"/>
    </bk>
    <bk>
      <rc t="1" v="1619"/>
    </bk>
    <bk>
      <rc t="1" v="1620"/>
    </bk>
    <bk>
      <rc t="1" v="1621"/>
    </bk>
    <bk>
      <rc t="1" v="1622"/>
    </bk>
    <bk>
      <rc t="1" v="1623"/>
    </bk>
    <bk>
      <rc t="1" v="1624"/>
    </bk>
    <bk>
      <rc t="1" v="1625"/>
    </bk>
    <bk>
      <rc t="1" v="1626"/>
    </bk>
    <bk>
      <rc t="1" v="1627"/>
    </bk>
    <bk>
      <rc t="1" v="1628"/>
    </bk>
    <bk>
      <rc t="1" v="1629"/>
    </bk>
    <bk>
      <rc t="1" v="1630"/>
    </bk>
    <bk>
      <rc t="1" v="1631"/>
    </bk>
    <bk>
      <rc t="1" v="1632"/>
    </bk>
    <bk>
      <rc t="1" v="1633"/>
    </bk>
    <bk>
      <rc t="1" v="1634"/>
    </bk>
    <bk>
      <rc t="1" v="1635"/>
    </bk>
    <bk>
      <rc t="1" v="1636"/>
    </bk>
    <bk>
      <rc t="1" v="1637"/>
    </bk>
    <bk>
      <rc t="1" v="1638"/>
    </bk>
    <bk>
      <rc t="1" v="1639"/>
    </bk>
    <bk>
      <rc t="1" v="1640"/>
    </bk>
    <bk>
      <rc t="1" v="1641"/>
    </bk>
    <bk>
      <rc t="1" v="1642"/>
    </bk>
    <bk>
      <rc t="1" v="1643"/>
    </bk>
    <bk>
      <rc t="1" v="1644"/>
    </bk>
    <bk>
      <rc t="1" v="1645"/>
    </bk>
    <bk>
      <rc t="1" v="1646"/>
    </bk>
    <bk>
      <rc t="1" v="1647"/>
    </bk>
    <bk>
      <rc t="1" v="1648"/>
    </bk>
    <bk>
      <rc t="1" v="1649"/>
    </bk>
    <bk>
      <rc t="1" v="1650"/>
    </bk>
    <bk>
      <rc t="1" v="1651"/>
    </bk>
    <bk>
      <rc t="1" v="1652"/>
    </bk>
    <bk>
      <rc t="1" v="1653"/>
    </bk>
    <bk>
      <rc t="1" v="1654"/>
    </bk>
    <bk>
      <rc t="1" v="1655"/>
    </bk>
    <bk>
      <rc t="1" v="1656"/>
    </bk>
    <bk>
      <rc t="1" v="1657"/>
    </bk>
    <bk>
      <rc t="1" v="1658"/>
    </bk>
    <bk>
      <rc t="1" v="1659"/>
    </bk>
    <bk>
      <rc t="1" v="1660"/>
    </bk>
    <bk>
      <rc t="1" v="1661"/>
    </bk>
    <bk>
      <rc t="1" v="1662"/>
    </bk>
    <bk>
      <rc t="1" v="1663"/>
    </bk>
    <bk>
      <rc t="1" v="1664"/>
    </bk>
    <bk>
      <rc t="1" v="1665"/>
    </bk>
    <bk>
      <rc t="1" v="1666"/>
    </bk>
    <bk>
      <rc t="1" v="1667"/>
    </bk>
    <bk>
      <rc t="1" v="1668"/>
    </bk>
    <bk>
      <rc t="1" v="1669"/>
    </bk>
    <bk>
      <rc t="1" v="1670"/>
    </bk>
    <bk>
      <rc t="1" v="1671"/>
    </bk>
    <bk>
      <rc t="1" v="1672"/>
    </bk>
    <bk>
      <rc t="1" v="1673"/>
    </bk>
    <bk>
      <rc t="1" v="1674"/>
    </bk>
    <bk>
      <rc t="1" v="1675"/>
    </bk>
    <bk>
      <rc t="1" v="1676"/>
    </bk>
    <bk>
      <rc t="1" v="1677"/>
    </bk>
    <bk>
      <rc t="1" v="1678"/>
    </bk>
    <bk>
      <rc t="1" v="1679"/>
    </bk>
    <bk>
      <rc t="1" v="1680"/>
    </bk>
    <bk>
      <rc t="1" v="1681"/>
    </bk>
    <bk>
      <rc t="1" v="1682"/>
    </bk>
    <bk>
      <rc t="1" v="1683"/>
    </bk>
    <bk>
      <rc t="1" v="1684"/>
    </bk>
    <bk>
      <rc t="1" v="1685"/>
    </bk>
    <bk>
      <rc t="1" v="1686"/>
    </bk>
    <bk>
      <rc t="1" v="1687"/>
    </bk>
    <bk>
      <rc t="1" v="1688"/>
    </bk>
    <bk>
      <rc t="1" v="1689"/>
    </bk>
    <bk>
      <rc t="1" v="1690"/>
    </bk>
    <bk>
      <rc t="1" v="1691"/>
    </bk>
    <bk>
      <rc t="1" v="1692"/>
    </bk>
    <bk>
      <rc t="1" v="1693"/>
    </bk>
    <bk>
      <rc t="1" v="1694"/>
    </bk>
    <bk>
      <rc t="1" v="1695"/>
    </bk>
    <bk>
      <rc t="1" v="1696"/>
    </bk>
    <bk>
      <rc t="1" v="1697"/>
    </bk>
    <bk>
      <rc t="1" v="1698"/>
    </bk>
    <bk>
      <rc t="1" v="1699"/>
    </bk>
    <bk>
      <rc t="1" v="1700"/>
    </bk>
    <bk>
      <rc t="1" v="1701"/>
    </bk>
    <bk>
      <rc t="1" v="1702"/>
    </bk>
    <bk>
      <rc t="1" v="1703"/>
    </bk>
    <bk>
      <rc t="1" v="1704"/>
    </bk>
    <bk>
      <rc t="1" v="1705"/>
    </bk>
    <bk>
      <rc t="1" v="1706"/>
    </bk>
    <bk>
      <rc t="1" v="1707"/>
    </bk>
    <bk>
      <rc t="1" v="1708"/>
    </bk>
    <bk>
      <rc t="1" v="1709"/>
    </bk>
    <bk>
      <rc t="1" v="1710"/>
    </bk>
    <bk>
      <rc t="1" v="1711"/>
    </bk>
    <bk>
      <rc t="1" v="1712"/>
    </bk>
    <bk>
      <rc t="1" v="1713"/>
    </bk>
    <bk>
      <rc t="1" v="1714"/>
    </bk>
    <bk>
      <rc t="1" v="1715"/>
    </bk>
    <bk>
      <rc t="1" v="1716"/>
    </bk>
    <bk>
      <rc t="1" v="1717"/>
    </bk>
    <bk>
      <rc t="1" v="1718"/>
    </bk>
    <bk>
      <rc t="1" v="1719"/>
    </bk>
    <bk>
      <rc t="1" v="1720"/>
    </bk>
    <bk>
      <rc t="1" v="1721"/>
    </bk>
    <bk>
      <rc t="1" v="1722"/>
    </bk>
    <bk>
      <rc t="1" v="1723"/>
    </bk>
    <bk>
      <rc t="1" v="1724"/>
    </bk>
    <bk>
      <rc t="1" v="1725"/>
    </bk>
    <bk>
      <rc t="1" v="1726"/>
    </bk>
    <bk>
      <rc t="1" v="1727"/>
    </bk>
    <bk>
      <rc t="1" v="1728"/>
    </bk>
    <bk>
      <rc t="1" v="1729"/>
    </bk>
    <bk>
      <rc t="1" v="1730"/>
    </bk>
    <bk>
      <rc t="1" v="1731"/>
    </bk>
    <bk>
      <rc t="1" v="1732"/>
    </bk>
    <bk>
      <rc t="1" v="1733"/>
    </bk>
    <bk>
      <rc t="1" v="1734"/>
    </bk>
    <bk>
      <rc t="1" v="1735"/>
    </bk>
    <bk>
      <rc t="1" v="1736"/>
    </bk>
    <bk>
      <rc t="1" v="1737"/>
    </bk>
    <bk>
      <rc t="1" v="1738"/>
    </bk>
    <bk>
      <rc t="1" v="1739"/>
    </bk>
    <bk>
      <rc t="1" v="1740"/>
    </bk>
    <bk>
      <rc t="1" v="1741"/>
    </bk>
    <bk>
      <rc t="1" v="1742"/>
    </bk>
    <bk>
      <rc t="1" v="1743"/>
    </bk>
    <bk>
      <rc t="1" v="1744"/>
    </bk>
    <bk>
      <rc t="1" v="1745"/>
    </bk>
    <bk>
      <rc t="1" v="1746"/>
    </bk>
    <bk>
      <rc t="1" v="1747"/>
    </bk>
    <bk>
      <rc t="1" v="1748"/>
    </bk>
    <bk>
      <rc t="1" v="1749"/>
    </bk>
    <bk>
      <rc t="1" v="1750"/>
    </bk>
    <bk>
      <rc t="1" v="1751"/>
    </bk>
    <bk>
      <rc t="1" v="1752"/>
    </bk>
    <bk>
      <rc t="1" v="1753"/>
    </bk>
    <bk>
      <rc t="1" v="1754"/>
    </bk>
    <bk>
      <rc t="1" v="1755"/>
    </bk>
    <bk>
      <rc t="1" v="1756"/>
    </bk>
    <bk>
      <rc t="1" v="1757"/>
    </bk>
    <bk>
      <rc t="1" v="1758"/>
    </bk>
    <bk>
      <rc t="1" v="1759"/>
    </bk>
    <bk>
      <rc t="1" v="1760"/>
    </bk>
    <bk>
      <rc t="1" v="1761"/>
    </bk>
    <bk>
      <rc t="1" v="1762"/>
    </bk>
    <bk>
      <rc t="1" v="1763"/>
    </bk>
    <bk>
      <rc t="1" v="1764"/>
    </bk>
    <bk>
      <rc t="1" v="1765"/>
    </bk>
    <bk>
      <rc t="1" v="1766"/>
    </bk>
    <bk>
      <rc t="1" v="1767"/>
    </bk>
    <bk>
      <rc t="1" v="1768"/>
    </bk>
    <bk>
      <rc t="1" v="1769"/>
    </bk>
    <bk>
      <rc t="1" v="1770"/>
    </bk>
    <bk>
      <rc t="1" v="1771"/>
    </bk>
    <bk>
      <rc t="1" v="1772"/>
    </bk>
    <bk>
      <rc t="1" v="1773"/>
    </bk>
    <bk>
      <rc t="1" v="1774"/>
    </bk>
    <bk>
      <rc t="1" v="1775"/>
    </bk>
    <bk>
      <rc t="1" v="1776"/>
    </bk>
    <bk>
      <rc t="1" v="1777"/>
    </bk>
    <bk>
      <rc t="1" v="1778"/>
    </bk>
    <bk>
      <rc t="1" v="1779"/>
    </bk>
    <bk>
      <rc t="1" v="1780"/>
    </bk>
    <bk>
      <rc t="1" v="1781"/>
    </bk>
    <bk>
      <rc t="1" v="1782"/>
    </bk>
    <bk>
      <rc t="1" v="1783"/>
    </bk>
    <bk>
      <rc t="1" v="1784"/>
    </bk>
    <bk>
      <rc t="1" v="1785"/>
    </bk>
    <bk>
      <rc t="1" v="1786"/>
    </bk>
    <bk>
      <rc t="1" v="1787"/>
    </bk>
    <bk>
      <rc t="1" v="1788"/>
    </bk>
    <bk>
      <rc t="1" v="1789"/>
    </bk>
    <bk>
      <rc t="1" v="1790"/>
    </bk>
    <bk>
      <rc t="1" v="1791"/>
    </bk>
    <bk>
      <rc t="1" v="1792"/>
    </bk>
    <bk>
      <rc t="1" v="1793"/>
    </bk>
    <bk>
      <rc t="1" v="1794"/>
    </bk>
    <bk>
      <rc t="1" v="1795"/>
    </bk>
    <bk>
      <rc t="1" v="1796"/>
    </bk>
    <bk>
      <rc t="1" v="1797"/>
    </bk>
    <bk>
      <rc t="1" v="1798"/>
    </bk>
    <bk>
      <rc t="1" v="1799"/>
    </bk>
    <bk>
      <rc t="1" v="1800"/>
    </bk>
    <bk>
      <rc t="1" v="1801"/>
    </bk>
    <bk>
      <rc t="1" v="1802"/>
    </bk>
    <bk>
      <rc t="1" v="1803"/>
    </bk>
    <bk>
      <rc t="1" v="1804"/>
    </bk>
    <bk>
      <rc t="1" v="1805"/>
    </bk>
    <bk>
      <rc t="1" v="1806"/>
    </bk>
    <bk>
      <rc t="1" v="1807"/>
    </bk>
    <bk>
      <rc t="1" v="1808"/>
    </bk>
    <bk>
      <rc t="1" v="1809"/>
    </bk>
    <bk>
      <rc t="1" v="1810"/>
    </bk>
    <bk>
      <rc t="1" v="1811"/>
    </bk>
    <bk>
      <rc t="1" v="1812"/>
    </bk>
    <bk>
      <rc t="1" v="1813"/>
    </bk>
    <bk>
      <rc t="1" v="1814"/>
    </bk>
    <bk>
      <rc t="1" v="1815"/>
    </bk>
    <bk>
      <rc t="1" v="1816"/>
    </bk>
    <bk>
      <rc t="1" v="1817"/>
    </bk>
    <bk>
      <rc t="1" v="1818"/>
    </bk>
    <bk>
      <rc t="1" v="1819"/>
    </bk>
    <bk>
      <rc t="1" v="1820"/>
    </bk>
    <bk>
      <rc t="1" v="1821"/>
    </bk>
    <bk>
      <rc t="1" v="1822"/>
    </bk>
    <bk>
      <rc t="1" v="1823"/>
    </bk>
    <bk>
      <rc t="1" v="1824"/>
    </bk>
    <bk>
      <rc t="1" v="1825"/>
    </bk>
    <bk>
      <rc t="1" v="1826"/>
    </bk>
    <bk>
      <rc t="1" v="1827"/>
    </bk>
    <bk>
      <rc t="1" v="1828"/>
    </bk>
    <bk>
      <rc t="1" v="1829"/>
    </bk>
    <bk>
      <rc t="1" v="1830"/>
    </bk>
    <bk>
      <rc t="1" v="1831"/>
    </bk>
    <bk>
      <rc t="1" v="1832"/>
    </bk>
    <bk>
      <rc t="1" v="1833"/>
    </bk>
    <bk>
      <rc t="1" v="1834"/>
    </bk>
    <bk>
      <rc t="1" v="1835"/>
    </bk>
    <bk>
      <rc t="1" v="1836"/>
    </bk>
    <bk>
      <rc t="1" v="1837"/>
    </bk>
    <bk>
      <rc t="1" v="1838"/>
    </bk>
    <bk>
      <rc t="1" v="1839"/>
    </bk>
    <bk>
      <rc t="1" v="1840"/>
    </bk>
    <bk>
      <rc t="1" v="1841"/>
    </bk>
    <bk>
      <rc t="1" v="1842"/>
    </bk>
    <bk>
      <rc t="1" v="1843"/>
    </bk>
    <bk>
      <rc t="1" v="1844"/>
    </bk>
    <bk>
      <rc t="1" v="1845"/>
    </bk>
    <bk>
      <rc t="1" v="1846"/>
    </bk>
    <bk>
      <rc t="1" v="1847"/>
    </bk>
    <bk>
      <rc t="1" v="1848"/>
    </bk>
    <bk>
      <rc t="1" v="1849"/>
    </bk>
    <bk>
      <rc t="1" v="1850"/>
    </bk>
    <bk>
      <rc t="1" v="1851"/>
    </bk>
    <bk>
      <rc t="1" v="1852"/>
    </bk>
    <bk>
      <rc t="1" v="1853"/>
    </bk>
    <bk>
      <rc t="1" v="1854"/>
    </bk>
    <bk>
      <rc t="1" v="1855"/>
    </bk>
    <bk>
      <rc t="1" v="1856"/>
    </bk>
    <bk>
      <rc t="1" v="1857"/>
    </bk>
    <bk>
      <rc t="1" v="1858"/>
    </bk>
    <bk>
      <rc t="1" v="1859"/>
    </bk>
    <bk>
      <rc t="1" v="1860"/>
    </bk>
    <bk>
      <rc t="1" v="1861"/>
    </bk>
    <bk>
      <rc t="1" v="1862"/>
    </bk>
    <bk>
      <rc t="1" v="1863"/>
    </bk>
    <bk>
      <rc t="1" v="1864"/>
    </bk>
    <bk>
      <rc t="1" v="1865"/>
    </bk>
    <bk>
      <rc t="1" v="1866"/>
    </bk>
    <bk>
      <rc t="1" v="1867"/>
    </bk>
    <bk>
      <rc t="1" v="1868"/>
    </bk>
    <bk>
      <rc t="1" v="1869"/>
    </bk>
    <bk>
      <rc t="1" v="1870"/>
    </bk>
    <bk>
      <rc t="1" v="1871"/>
    </bk>
    <bk>
      <rc t="1" v="1872"/>
    </bk>
    <bk>
      <rc t="1" v="1873"/>
    </bk>
    <bk>
      <rc t="1" v="1874"/>
    </bk>
    <bk>
      <rc t="1" v="1875"/>
    </bk>
    <bk>
      <rc t="1" v="1876"/>
    </bk>
    <bk>
      <rc t="1" v="1877"/>
    </bk>
    <bk>
      <rc t="1" v="1878"/>
    </bk>
    <bk>
      <rc t="1" v="1879"/>
    </bk>
    <bk>
      <rc t="1" v="1880"/>
    </bk>
    <bk>
      <rc t="1" v="1881"/>
    </bk>
    <bk>
      <rc t="1" v="1882"/>
    </bk>
    <bk>
      <rc t="1" v="1883"/>
    </bk>
    <bk>
      <rc t="1" v="1884"/>
    </bk>
    <bk>
      <rc t="1" v="1885"/>
    </bk>
    <bk>
      <rc t="1" v="1886"/>
    </bk>
    <bk>
      <rc t="1" v="1887"/>
    </bk>
    <bk>
      <rc t="1" v="1888"/>
    </bk>
    <bk>
      <rc t="1" v="1889"/>
    </bk>
    <bk>
      <rc t="1" v="1890"/>
    </bk>
    <bk>
      <rc t="1" v="1891"/>
    </bk>
    <bk>
      <rc t="1" v="1892"/>
    </bk>
    <bk>
      <rc t="1" v="1893"/>
    </bk>
    <bk>
      <rc t="1" v="1894"/>
    </bk>
    <bk>
      <rc t="1" v="1895"/>
    </bk>
    <bk>
      <rc t="1" v="1896"/>
    </bk>
    <bk>
      <rc t="1" v="1897"/>
    </bk>
    <bk>
      <rc t="1" v="1898"/>
    </bk>
    <bk>
      <rc t="1" v="1899"/>
    </bk>
    <bk>
      <rc t="1" v="1900"/>
    </bk>
    <bk>
      <rc t="1" v="1901"/>
    </bk>
    <bk>
      <rc t="1" v="1902"/>
    </bk>
    <bk>
      <rc t="1" v="1903"/>
    </bk>
    <bk>
      <rc t="1" v="1904"/>
    </bk>
    <bk>
      <rc t="1" v="1905"/>
    </bk>
    <bk>
      <rc t="1" v="1906"/>
    </bk>
    <bk>
      <rc t="1" v="1907"/>
    </bk>
    <bk>
      <rc t="1" v="1908"/>
    </bk>
    <bk>
      <rc t="1" v="1909"/>
    </bk>
    <bk>
      <rc t="1" v="1910"/>
    </bk>
    <bk>
      <rc t="1" v="1911"/>
    </bk>
    <bk>
      <rc t="1" v="1912"/>
    </bk>
    <bk>
      <rc t="1" v="1913"/>
    </bk>
    <bk>
      <rc t="1" v="1914"/>
    </bk>
    <bk>
      <rc t="1" v="1915"/>
    </bk>
    <bk>
      <rc t="1" v="1916"/>
    </bk>
    <bk>
      <rc t="1" v="1917"/>
    </bk>
    <bk>
      <rc t="1" v="1918"/>
    </bk>
    <bk>
      <rc t="1" v="1919"/>
    </bk>
    <bk>
      <rc t="1" v="1920"/>
    </bk>
    <bk>
      <rc t="1" v="1921"/>
    </bk>
    <bk>
      <rc t="1" v="1922"/>
    </bk>
    <bk>
      <rc t="1" v="1923"/>
    </bk>
    <bk>
      <rc t="1" v="1924"/>
    </bk>
    <bk>
      <rc t="1" v="1925"/>
    </bk>
    <bk>
      <rc t="1" v="1926"/>
    </bk>
    <bk>
      <rc t="1" v="1927"/>
    </bk>
    <bk>
      <rc t="1" v="1928"/>
    </bk>
    <bk>
      <rc t="1" v="1929"/>
    </bk>
    <bk>
      <rc t="1" v="1930"/>
    </bk>
    <bk>
      <rc t="1" v="1931"/>
    </bk>
    <bk>
      <rc t="1" v="1932"/>
    </bk>
    <bk>
      <rc t="1" v="1933"/>
    </bk>
    <bk>
      <rc t="1" v="1934"/>
    </bk>
    <bk>
      <rc t="1" v="1935"/>
    </bk>
    <bk>
      <rc t="1" v="1936"/>
    </bk>
    <bk>
      <rc t="1" v="1937"/>
    </bk>
    <bk>
      <rc t="1" v="1938"/>
    </bk>
    <bk>
      <rc t="1" v="1939"/>
    </bk>
    <bk>
      <rc t="1" v="1940"/>
    </bk>
    <bk>
      <rc t="1" v="1941"/>
    </bk>
    <bk>
      <rc t="1" v="1942"/>
    </bk>
    <bk>
      <rc t="1" v="1943"/>
    </bk>
    <bk>
      <rc t="1" v="1944"/>
    </bk>
    <bk>
      <rc t="1" v="1945"/>
    </bk>
    <bk>
      <rc t="1" v="1946"/>
    </bk>
    <bk>
      <rc t="1" v="1947"/>
    </bk>
    <bk>
      <rc t="1" v="1948"/>
    </bk>
    <bk>
      <rc t="1" v="1949"/>
    </bk>
    <bk>
      <rc t="1" v="1950"/>
    </bk>
    <bk>
      <rc t="1" v="1951"/>
    </bk>
    <bk>
      <rc t="1" v="1952"/>
    </bk>
    <bk>
      <rc t="1" v="1953"/>
    </bk>
    <bk>
      <rc t="1" v="1954"/>
    </bk>
    <bk>
      <rc t="1" v="1955"/>
    </bk>
    <bk>
      <rc t="1" v="1956"/>
    </bk>
    <bk>
      <rc t="1" v="1957"/>
    </bk>
    <bk>
      <rc t="1" v="1958"/>
    </bk>
    <bk>
      <rc t="1" v="1959"/>
    </bk>
    <bk>
      <rc t="1" v="1960"/>
    </bk>
    <bk>
      <rc t="1" v="1961"/>
    </bk>
    <bk>
      <rc t="1" v="1962"/>
    </bk>
    <bk>
      <rc t="1" v="1963"/>
    </bk>
    <bk>
      <rc t="1" v="1964"/>
    </bk>
    <bk>
      <rc t="1" v="1965"/>
    </bk>
    <bk>
      <rc t="1" v="1966"/>
    </bk>
    <bk>
      <rc t="1" v="1967"/>
    </bk>
    <bk>
      <rc t="1" v="1968"/>
    </bk>
    <bk>
      <rc t="1" v="1969"/>
    </bk>
    <bk>
      <rc t="1" v="1970"/>
    </bk>
    <bk>
      <rc t="1" v="1971"/>
    </bk>
    <bk>
      <rc t="1" v="1972"/>
    </bk>
    <bk>
      <rc t="1" v="1973"/>
    </bk>
    <bk>
      <rc t="1" v="1974"/>
    </bk>
    <bk>
      <rc t="1" v="1975"/>
    </bk>
    <bk>
      <rc t="1" v="1976"/>
    </bk>
    <bk>
      <rc t="1" v="1977"/>
    </bk>
    <bk>
      <rc t="1" v="1978"/>
    </bk>
    <bk>
      <rc t="1" v="1979"/>
    </bk>
    <bk>
      <rc t="1" v="1980"/>
    </bk>
    <bk>
      <rc t="1" v="1981"/>
    </bk>
    <bk>
      <rc t="1" v="1982"/>
    </bk>
    <bk>
      <rc t="1" v="1983"/>
    </bk>
    <bk>
      <rc t="1" v="1984"/>
    </bk>
    <bk>
      <rc t="1" v="1985"/>
    </bk>
    <bk>
      <rc t="1" v="1986"/>
    </bk>
    <bk>
      <rc t="1" v="1987"/>
    </bk>
    <bk>
      <rc t="1" v="1988"/>
    </bk>
    <bk>
      <rc t="1" v="1989"/>
    </bk>
    <bk>
      <rc t="1" v="1990"/>
    </bk>
    <bk>
      <rc t="1" v="1991"/>
    </bk>
    <bk>
      <rc t="1" v="1992"/>
    </bk>
    <bk>
      <rc t="1" v="1993"/>
    </bk>
    <bk>
      <rc t="1" v="1994"/>
    </bk>
    <bk>
      <rc t="1" v="1995"/>
    </bk>
    <bk>
      <rc t="1" v="1996"/>
    </bk>
    <bk>
      <rc t="1" v="1997"/>
    </bk>
    <bk>
      <rc t="1" v="1998"/>
    </bk>
    <bk>
      <rc t="1" v="1999"/>
    </bk>
    <bk>
      <rc t="1" v="2000"/>
    </bk>
    <bk>
      <rc t="1" v="2001"/>
    </bk>
    <bk>
      <rc t="1" v="2002"/>
    </bk>
    <bk>
      <rc t="1" v="2003"/>
    </bk>
    <bk>
      <rc t="1" v="2004"/>
    </bk>
    <bk>
      <rc t="1" v="2005"/>
    </bk>
    <bk>
      <rc t="1" v="2006"/>
    </bk>
    <bk>
      <rc t="1" v="2007"/>
    </bk>
    <bk>
      <rc t="1" v="2008"/>
    </bk>
    <bk>
      <rc t="1" v="2009"/>
    </bk>
    <bk>
      <rc t="1" v="2010"/>
    </bk>
    <bk>
      <rc t="1" v="2011"/>
    </bk>
    <bk>
      <rc t="1" v="2012"/>
    </bk>
    <bk>
      <rc t="1" v="2013"/>
    </bk>
    <bk>
      <rc t="1" v="2014"/>
    </bk>
    <bk>
      <rc t="1" v="2015"/>
    </bk>
    <bk>
      <rc t="1" v="2016"/>
    </bk>
    <bk>
      <rc t="1" v="2017"/>
    </bk>
    <bk>
      <rc t="1" v="2018"/>
    </bk>
    <bk>
      <rc t="1" v="2019"/>
    </bk>
    <bk>
      <rc t="1" v="2020"/>
    </bk>
    <bk>
      <rc t="1" v="2021"/>
    </bk>
    <bk>
      <rc t="1" v="2022"/>
    </bk>
    <bk>
      <rc t="1" v="2023"/>
    </bk>
    <bk>
      <rc t="1" v="2024"/>
    </bk>
    <bk>
      <rc t="1" v="2025"/>
    </bk>
    <bk>
      <rc t="1" v="2026"/>
    </bk>
    <bk>
      <rc t="1" v="2027"/>
    </bk>
    <bk>
      <rc t="1" v="2028"/>
    </bk>
    <bk>
      <rc t="1" v="2029"/>
    </bk>
    <bk>
      <rc t="1" v="2030"/>
    </bk>
    <bk>
      <rc t="1" v="2031"/>
    </bk>
    <bk>
      <rc t="1" v="2032"/>
    </bk>
    <bk>
      <rc t="1" v="2033"/>
    </bk>
    <bk>
      <rc t="1" v="2034"/>
    </bk>
    <bk>
      <rc t="1" v="2035"/>
    </bk>
    <bk>
      <rc t="1" v="2036"/>
    </bk>
    <bk>
      <rc t="1" v="2037"/>
    </bk>
    <bk>
      <rc t="1" v="2038"/>
    </bk>
    <bk>
      <rc t="1" v="2039"/>
    </bk>
    <bk>
      <rc t="1" v="2040"/>
    </bk>
    <bk>
      <rc t="1" v="2041"/>
    </bk>
    <bk>
      <rc t="1" v="2042"/>
    </bk>
    <bk>
      <rc t="1" v="2043"/>
    </bk>
    <bk>
      <rc t="1" v="2044"/>
    </bk>
    <bk>
      <rc t="1" v="2045"/>
    </bk>
    <bk>
      <rc t="1" v="2046"/>
    </bk>
    <bk>
      <rc t="1" v="2047"/>
    </bk>
    <bk>
      <rc t="1" v="2048"/>
    </bk>
    <bk>
      <rc t="1" v="2049"/>
    </bk>
    <bk>
      <rc t="1" v="2050"/>
    </bk>
    <bk>
      <rc t="1" v="2051"/>
    </bk>
    <bk>
      <rc t="1" v="2052"/>
    </bk>
    <bk>
      <rc t="1" v="2053"/>
    </bk>
    <bk>
      <rc t="1" v="2054"/>
    </bk>
    <bk>
      <rc t="1" v="2055"/>
    </bk>
    <bk>
      <rc t="1" v="2056"/>
    </bk>
    <bk>
      <rc t="1" v="2057"/>
    </bk>
    <bk>
      <rc t="1" v="2058"/>
    </bk>
    <bk>
      <rc t="1" v="2059"/>
    </bk>
    <bk>
      <rc t="1" v="2060"/>
    </bk>
    <bk>
      <rc t="1" v="2061"/>
    </bk>
    <bk>
      <rc t="1" v="2062"/>
    </bk>
    <bk>
      <rc t="1" v="2063"/>
    </bk>
    <bk>
      <rc t="1" v="2064"/>
    </bk>
    <bk>
      <rc t="1" v="2065"/>
    </bk>
    <bk>
      <rc t="1" v="2066"/>
    </bk>
    <bk>
      <rc t="1" v="2067"/>
    </bk>
    <bk>
      <rc t="1" v="2068"/>
    </bk>
    <bk>
      <rc t="1" v="2069"/>
    </bk>
    <bk>
      <rc t="1" v="2070"/>
    </bk>
    <bk>
      <rc t="1" v="2071"/>
    </bk>
    <bk>
      <rc t="1" v="2072"/>
    </bk>
    <bk>
      <rc t="1" v="2073"/>
    </bk>
    <bk>
      <rc t="1" v="2074"/>
    </bk>
    <bk>
      <rc t="1" v="2075"/>
    </bk>
    <bk>
      <rc t="1" v="2076"/>
    </bk>
    <bk>
      <rc t="1" v="2077"/>
    </bk>
    <bk>
      <rc t="1" v="2078"/>
    </bk>
    <bk>
      <rc t="1" v="2079"/>
    </bk>
    <bk>
      <rc t="1" v="2080"/>
    </bk>
    <bk>
      <rc t="1" v="2081"/>
    </bk>
    <bk>
      <rc t="1" v="2082"/>
    </bk>
    <bk>
      <rc t="1" v="2083"/>
    </bk>
    <bk>
      <rc t="1" v="2084"/>
    </bk>
    <bk>
      <rc t="1" v="2085"/>
    </bk>
    <bk>
      <rc t="1" v="2086"/>
    </bk>
    <bk>
      <rc t="1" v="2087"/>
    </bk>
    <bk>
      <rc t="1" v="2088"/>
    </bk>
    <bk>
      <rc t="1" v="2089"/>
    </bk>
    <bk>
      <rc t="1" v="2090"/>
    </bk>
    <bk>
      <rc t="1" v="2091"/>
    </bk>
    <bk>
      <rc t="1" v="2092"/>
    </bk>
    <bk>
      <rc t="1" v="2093"/>
    </bk>
    <bk>
      <rc t="1" v="2094"/>
    </bk>
    <bk>
      <rc t="1" v="2095"/>
    </bk>
    <bk>
      <rc t="1" v="2096"/>
    </bk>
    <bk>
      <rc t="1" v="2097"/>
    </bk>
    <bk>
      <rc t="1" v="2098"/>
    </bk>
    <bk>
      <rc t="1" v="2099"/>
    </bk>
    <bk>
      <rc t="1" v="2100"/>
    </bk>
    <bk>
      <rc t="1" v="2101"/>
    </bk>
    <bk>
      <rc t="1" v="2102"/>
    </bk>
    <bk>
      <rc t="1" v="2103"/>
    </bk>
    <bk>
      <rc t="1" v="2104"/>
    </bk>
    <bk>
      <rc t="1" v="2105"/>
    </bk>
    <bk>
      <rc t="1" v="2106"/>
    </bk>
    <bk>
      <rc t="1" v="2107"/>
    </bk>
    <bk>
      <rc t="1" v="2108"/>
    </bk>
    <bk>
      <rc t="1" v="2109"/>
    </bk>
    <bk>
      <rc t="1" v="2110"/>
    </bk>
    <bk>
      <rc t="1" v="2111"/>
    </bk>
    <bk>
      <rc t="1" v="2112"/>
    </bk>
    <bk>
      <rc t="1" v="2113"/>
    </bk>
    <bk>
      <rc t="1" v="2114"/>
    </bk>
    <bk>
      <rc t="1" v="2115"/>
    </bk>
    <bk>
      <rc t="1" v="2116"/>
    </bk>
    <bk>
      <rc t="1" v="2117"/>
    </bk>
    <bk>
      <rc t="1" v="2118"/>
    </bk>
    <bk>
      <rc t="1" v="2119"/>
    </bk>
    <bk>
      <rc t="1" v="2120"/>
    </bk>
    <bk>
      <rc t="1" v="2121"/>
    </bk>
    <bk>
      <rc t="1" v="2122"/>
    </bk>
    <bk>
      <rc t="1" v="2123"/>
    </bk>
    <bk>
      <rc t="1" v="2124"/>
    </bk>
    <bk>
      <rc t="1" v="2125"/>
    </bk>
    <bk>
      <rc t="1" v="2126"/>
    </bk>
    <bk>
      <rc t="1" v="2127"/>
    </bk>
    <bk>
      <rc t="1" v="2128"/>
    </bk>
    <bk>
      <rc t="1" v="2129"/>
    </bk>
    <bk>
      <rc t="1" v="2130"/>
    </bk>
    <bk>
      <rc t="1" v="2131"/>
    </bk>
    <bk>
      <rc t="1" v="2132"/>
    </bk>
    <bk>
      <rc t="1" v="2133"/>
    </bk>
    <bk>
      <rc t="1" v="2134"/>
    </bk>
    <bk>
      <rc t="1" v="2135"/>
    </bk>
    <bk>
      <rc t="1" v="2136"/>
    </bk>
    <bk>
      <rc t="1" v="2137"/>
    </bk>
    <bk>
      <rc t="1" v="2138"/>
    </bk>
    <bk>
      <rc t="1" v="2139"/>
    </bk>
    <bk>
      <rc t="1" v="2140"/>
    </bk>
    <bk>
      <rc t="1" v="2141"/>
    </bk>
    <bk>
      <rc t="1" v="2142"/>
    </bk>
    <bk>
      <rc t="1" v="2143"/>
    </bk>
    <bk>
      <rc t="1" v="2144"/>
    </bk>
    <bk>
      <rc t="1" v="2145"/>
    </bk>
    <bk>
      <rc t="1" v="2146"/>
    </bk>
    <bk>
      <rc t="1" v="2147"/>
    </bk>
    <bk>
      <rc t="1" v="2148"/>
    </bk>
    <bk>
      <rc t="1" v="2149"/>
    </bk>
    <bk>
      <rc t="1" v="2150"/>
    </bk>
    <bk>
      <rc t="1" v="2151"/>
    </bk>
    <bk>
      <rc t="1" v="2152"/>
    </bk>
    <bk>
      <rc t="1" v="2153"/>
    </bk>
    <bk>
      <rc t="1" v="2154"/>
    </bk>
    <bk>
      <rc t="1" v="2155"/>
    </bk>
    <bk>
      <rc t="1" v="2156"/>
    </bk>
    <bk>
      <rc t="1" v="2157"/>
    </bk>
    <bk>
      <rc t="1" v="2158"/>
    </bk>
    <bk>
      <rc t="1" v="2159"/>
    </bk>
    <bk>
      <rc t="1" v="2160"/>
    </bk>
    <bk>
      <rc t="1" v="2161"/>
    </bk>
    <bk>
      <rc t="1" v="2162"/>
    </bk>
    <bk>
      <rc t="1" v="2163"/>
    </bk>
    <bk>
      <rc t="1" v="2164"/>
    </bk>
    <bk>
      <rc t="1" v="2165"/>
    </bk>
    <bk>
      <rc t="1" v="2166"/>
    </bk>
    <bk>
      <rc t="1" v="2167"/>
    </bk>
    <bk>
      <rc t="1" v="2168"/>
    </bk>
    <bk>
      <rc t="1" v="2169"/>
    </bk>
    <bk>
      <rc t="1" v="2170"/>
    </bk>
    <bk>
      <rc t="1" v="2171"/>
    </bk>
    <bk>
      <rc t="1" v="2172"/>
    </bk>
    <bk>
      <rc t="1" v="2173"/>
    </bk>
    <bk>
      <rc t="1" v="2174"/>
    </bk>
    <bk>
      <rc t="1" v="2175"/>
    </bk>
    <bk>
      <rc t="1" v="2176"/>
    </bk>
    <bk>
      <rc t="1" v="2177"/>
    </bk>
    <bk>
      <rc t="1" v="2178"/>
    </bk>
    <bk>
      <rc t="1" v="2179"/>
    </bk>
    <bk>
      <rc t="1" v="2180"/>
    </bk>
    <bk>
      <rc t="1" v="2181"/>
    </bk>
    <bk>
      <rc t="1" v="2182"/>
    </bk>
    <bk>
      <rc t="1" v="2183"/>
    </bk>
    <bk>
      <rc t="1" v="2184"/>
    </bk>
    <bk>
      <rc t="1" v="2185"/>
    </bk>
    <bk>
      <rc t="1" v="2186"/>
    </bk>
    <bk>
      <rc t="1" v="2187"/>
    </bk>
    <bk>
      <rc t="1" v="2188"/>
    </bk>
    <bk>
      <rc t="1" v="2189"/>
    </bk>
    <bk>
      <rc t="1" v="2190"/>
    </bk>
    <bk>
      <rc t="1" v="2191"/>
    </bk>
    <bk>
      <rc t="1" v="2192"/>
    </bk>
    <bk>
      <rc t="1" v="2193"/>
    </bk>
    <bk>
      <rc t="1" v="2194"/>
    </bk>
    <bk>
      <rc t="1" v="2195"/>
    </bk>
    <bk>
      <rc t="1" v="2196"/>
    </bk>
    <bk>
      <rc t="1" v="2197"/>
    </bk>
    <bk>
      <rc t="1" v="2198"/>
    </bk>
    <bk>
      <rc t="1" v="2199"/>
    </bk>
    <bk>
      <rc t="1" v="2200"/>
    </bk>
    <bk>
      <rc t="1" v="2201"/>
    </bk>
    <bk>
      <rc t="1" v="2202"/>
    </bk>
    <bk>
      <rc t="1" v="2203"/>
    </bk>
    <bk>
      <rc t="1" v="2204"/>
    </bk>
    <bk>
      <rc t="1" v="2205"/>
    </bk>
    <bk>
      <rc t="1" v="2206"/>
    </bk>
    <bk>
      <rc t="1" v="2207"/>
    </bk>
    <bk>
      <rc t="1" v="2208"/>
    </bk>
    <bk>
      <rc t="1" v="2209"/>
    </bk>
    <bk>
      <rc t="1" v="2210"/>
    </bk>
    <bk>
      <rc t="1" v="2211"/>
    </bk>
    <bk>
      <rc t="1" v="2212"/>
    </bk>
    <bk>
      <rc t="1" v="2213"/>
    </bk>
    <bk>
      <rc t="1" v="2214"/>
    </bk>
    <bk>
      <rc t="1" v="2215"/>
    </bk>
    <bk>
      <rc t="1" v="2216"/>
    </bk>
    <bk>
      <rc t="1" v="2217"/>
    </bk>
    <bk>
      <rc t="1" v="2218"/>
    </bk>
    <bk>
      <rc t="1" v="2219"/>
    </bk>
    <bk>
      <rc t="1" v="2220"/>
    </bk>
    <bk>
      <rc t="1" v="2221"/>
    </bk>
    <bk>
      <rc t="1" v="2222"/>
    </bk>
    <bk>
      <rc t="1" v="2223"/>
    </bk>
    <bk>
      <rc t="1" v="2224"/>
    </bk>
    <bk>
      <rc t="1" v="2225"/>
    </bk>
    <bk>
      <rc t="1" v="2226"/>
    </bk>
    <bk>
      <rc t="1" v="2227"/>
    </bk>
    <bk>
      <rc t="1" v="2228"/>
    </bk>
    <bk>
      <rc t="1" v="2229"/>
    </bk>
    <bk>
      <rc t="1" v="2230"/>
    </bk>
    <bk>
      <rc t="1" v="2231"/>
    </bk>
    <bk>
      <rc t="1" v="2232"/>
    </bk>
    <bk>
      <rc t="1" v="2233"/>
    </bk>
    <bk>
      <rc t="1" v="2234"/>
    </bk>
    <bk>
      <rc t="1" v="2235"/>
    </bk>
    <bk>
      <rc t="1" v="2236"/>
    </bk>
    <bk>
      <rc t="1" v="2237"/>
    </bk>
    <bk>
      <rc t="1" v="2238"/>
    </bk>
    <bk>
      <rc t="1" v="2239"/>
    </bk>
    <bk>
      <rc t="1" v="2240"/>
    </bk>
    <bk>
      <rc t="1" v="2241"/>
    </bk>
    <bk>
      <rc t="1" v="2242"/>
    </bk>
    <bk>
      <rc t="1" v="2243"/>
    </bk>
    <bk>
      <rc t="1" v="2244"/>
    </bk>
    <bk>
      <rc t="1" v="2245"/>
    </bk>
    <bk>
      <rc t="1" v="2246"/>
    </bk>
    <bk>
      <rc t="1" v="2247"/>
    </bk>
    <bk>
      <rc t="1" v="2248"/>
    </bk>
    <bk>
      <rc t="1" v="2249"/>
    </bk>
    <bk>
      <rc t="1" v="2250"/>
    </bk>
    <bk>
      <rc t="1" v="2251"/>
    </bk>
    <bk>
      <rc t="1" v="2252"/>
    </bk>
    <bk>
      <rc t="1" v="2253"/>
    </bk>
    <bk>
      <rc t="1" v="2254"/>
    </bk>
    <bk>
      <rc t="1" v="2255"/>
    </bk>
    <bk>
      <rc t="1" v="2256"/>
    </bk>
    <bk>
      <rc t="1" v="2257"/>
    </bk>
    <bk>
      <rc t="1" v="2258"/>
    </bk>
    <bk>
      <rc t="1" v="2259"/>
    </bk>
    <bk>
      <rc t="1" v="2260"/>
    </bk>
    <bk>
      <rc t="1" v="2261"/>
    </bk>
    <bk>
      <rc t="1" v="2262"/>
    </bk>
    <bk>
      <rc t="1" v="2263"/>
    </bk>
    <bk>
      <rc t="1" v="2264"/>
    </bk>
    <bk>
      <rc t="1" v="2265"/>
    </bk>
    <bk>
      <rc t="1" v="2266"/>
    </bk>
    <bk>
      <rc t="1" v="2267"/>
    </bk>
    <bk>
      <rc t="1" v="2268"/>
    </bk>
    <bk>
      <rc t="1" v="2269"/>
    </bk>
    <bk>
      <rc t="1" v="2270"/>
    </bk>
    <bk>
      <rc t="1" v="2271"/>
    </bk>
    <bk>
      <rc t="1" v="2272"/>
    </bk>
    <bk>
      <rc t="1" v="2273"/>
    </bk>
    <bk>
      <rc t="1" v="2274"/>
    </bk>
    <bk>
      <rc t="1" v="2275"/>
    </bk>
    <bk>
      <rc t="1" v="2276"/>
    </bk>
    <bk>
      <rc t="1" v="2277"/>
    </bk>
    <bk>
      <rc t="1" v="2278"/>
    </bk>
    <bk>
      <rc t="1" v="2279"/>
    </bk>
    <bk>
      <rc t="1" v="2280"/>
    </bk>
    <bk>
      <rc t="1" v="2281"/>
    </bk>
    <bk>
      <rc t="1" v="2282"/>
    </bk>
    <bk>
      <rc t="1" v="2283"/>
    </bk>
    <bk>
      <rc t="1" v="2284"/>
    </bk>
    <bk>
      <rc t="1" v="2285"/>
    </bk>
    <bk>
      <rc t="1" v="2286"/>
    </bk>
    <bk>
      <rc t="1" v="2287"/>
    </bk>
    <bk>
      <rc t="1" v="2288"/>
    </bk>
    <bk>
      <rc t="1" v="2289"/>
    </bk>
    <bk>
      <rc t="1" v="2290"/>
    </bk>
    <bk>
      <rc t="1" v="2291"/>
    </bk>
    <bk>
      <rc t="1" v="2292"/>
    </bk>
    <bk>
      <rc t="1" v="2293"/>
    </bk>
    <bk>
      <rc t="1" v="2294"/>
    </bk>
    <bk>
      <rc t="1" v="2295"/>
    </bk>
    <bk>
      <rc t="1" v="2296"/>
    </bk>
    <bk>
      <rc t="1" v="2297"/>
    </bk>
    <bk>
      <rc t="1" v="2298"/>
    </bk>
    <bk>
      <rc t="1" v="2299"/>
    </bk>
    <bk>
      <rc t="1" v="2300"/>
    </bk>
    <bk>
      <rc t="1" v="2301"/>
    </bk>
    <bk>
      <rc t="1" v="2302"/>
    </bk>
    <bk>
      <rc t="1" v="2303"/>
    </bk>
    <bk>
      <rc t="1" v="2304"/>
    </bk>
    <bk>
      <rc t="1" v="2305"/>
    </bk>
    <bk>
      <rc t="1" v="2306"/>
    </bk>
    <bk>
      <rc t="1" v="2307"/>
    </bk>
    <bk>
      <rc t="1" v="2308"/>
    </bk>
    <bk>
      <rc t="1" v="2309"/>
    </bk>
    <bk>
      <rc t="1" v="2310"/>
    </bk>
    <bk>
      <rc t="1" v="2311"/>
    </bk>
    <bk>
      <rc t="1" v="2312"/>
    </bk>
    <bk>
      <rc t="1" v="2313"/>
    </bk>
    <bk>
      <rc t="1" v="2314"/>
    </bk>
    <bk>
      <rc t="1" v="2315"/>
    </bk>
    <bk>
      <rc t="1" v="2316"/>
    </bk>
    <bk>
      <rc t="1" v="2317"/>
    </bk>
    <bk>
      <rc t="1" v="2318"/>
    </bk>
    <bk>
      <rc t="1" v="2319"/>
    </bk>
    <bk>
      <rc t="1" v="2320"/>
    </bk>
    <bk>
      <rc t="1" v="2321"/>
    </bk>
    <bk>
      <rc t="1" v="2322"/>
    </bk>
    <bk>
      <rc t="1" v="2323"/>
    </bk>
    <bk>
      <rc t="1" v="2324"/>
    </bk>
    <bk>
      <rc t="1" v="2325"/>
    </bk>
    <bk>
      <rc t="1" v="2326"/>
    </bk>
    <bk>
      <rc t="1" v="2327"/>
    </bk>
    <bk>
      <rc t="1" v="2328"/>
    </bk>
    <bk>
      <rc t="1" v="2329"/>
    </bk>
    <bk>
      <rc t="1" v="2330"/>
    </bk>
    <bk>
      <rc t="1" v="2331"/>
    </bk>
    <bk>
      <rc t="1" v="2332"/>
    </bk>
    <bk>
      <rc t="1" v="2333"/>
    </bk>
    <bk>
      <rc t="1" v="2334"/>
    </bk>
    <bk>
      <rc t="1" v="2335"/>
    </bk>
    <bk>
      <rc t="1" v="2336"/>
    </bk>
    <bk>
      <rc t="1" v="2337"/>
    </bk>
    <bk>
      <rc t="1" v="2338"/>
    </bk>
    <bk>
      <rc t="1" v="2339"/>
    </bk>
    <bk>
      <rc t="1" v="2340"/>
    </bk>
    <bk>
      <rc t="1" v="2341"/>
    </bk>
    <bk>
      <rc t="1" v="2342"/>
    </bk>
    <bk>
      <rc t="1" v="2343"/>
    </bk>
    <bk>
      <rc t="1" v="2344"/>
    </bk>
    <bk>
      <rc t="1" v="2345"/>
    </bk>
    <bk>
      <rc t="1" v="2346"/>
    </bk>
    <bk>
      <rc t="1" v="2347"/>
    </bk>
    <bk>
      <rc t="1" v="2348"/>
    </bk>
    <bk>
      <rc t="1" v="2349"/>
    </bk>
    <bk>
      <rc t="1" v="2350"/>
    </bk>
    <bk>
      <rc t="1" v="2351"/>
    </bk>
    <bk>
      <rc t="1" v="2352"/>
    </bk>
    <bk>
      <rc t="1" v="2353"/>
    </bk>
    <bk>
      <rc t="1" v="2354"/>
    </bk>
    <bk>
      <rc t="1" v="2355"/>
    </bk>
    <bk>
      <rc t="1" v="2356"/>
    </bk>
    <bk>
      <rc t="1" v="2357"/>
    </bk>
    <bk>
      <rc t="1" v="2358"/>
    </bk>
    <bk>
      <rc t="1" v="2359"/>
    </bk>
    <bk>
      <rc t="1" v="2360"/>
    </bk>
    <bk>
      <rc t="1" v="2361"/>
    </bk>
    <bk>
      <rc t="1" v="2362"/>
    </bk>
    <bk>
      <rc t="1" v="2363"/>
    </bk>
    <bk>
      <rc t="1" v="2364"/>
    </bk>
    <bk>
      <rc t="1" v="2365"/>
    </bk>
    <bk>
      <rc t="1" v="2366"/>
    </bk>
    <bk>
      <rc t="1" v="2367"/>
    </bk>
    <bk>
      <rc t="1" v="2368"/>
    </bk>
    <bk>
      <rc t="1" v="2369"/>
    </bk>
    <bk>
      <rc t="1" v="2370"/>
    </bk>
    <bk>
      <rc t="1" v="2371"/>
    </bk>
    <bk>
      <rc t="1" v="2372"/>
    </bk>
    <bk>
      <rc t="1" v="2373"/>
    </bk>
    <bk>
      <rc t="1" v="2374"/>
    </bk>
    <bk>
      <rc t="1" v="2375"/>
    </bk>
    <bk>
      <rc t="1" v="2376"/>
    </bk>
    <bk>
      <rc t="1" v="2377"/>
    </bk>
    <bk>
      <rc t="1" v="2378"/>
    </bk>
    <bk>
      <rc t="1" v="2379"/>
    </bk>
    <bk>
      <rc t="1" v="2380"/>
    </bk>
    <bk>
      <rc t="1" v="2381"/>
    </bk>
    <bk>
      <rc t="1" v="2382"/>
    </bk>
    <bk>
      <rc t="1" v="2383"/>
    </bk>
    <bk>
      <rc t="1" v="2384"/>
    </bk>
    <bk>
      <rc t="1" v="2385"/>
    </bk>
    <bk>
      <rc t="1" v="2386"/>
    </bk>
    <bk>
      <rc t="1" v="2387"/>
    </bk>
    <bk>
      <rc t="1" v="2388"/>
    </bk>
    <bk>
      <rc t="1" v="2389"/>
    </bk>
    <bk>
      <rc t="1" v="2390"/>
    </bk>
    <bk>
      <rc t="1" v="2391"/>
    </bk>
    <bk>
      <rc t="1" v="2392"/>
    </bk>
    <bk>
      <rc t="1" v="2393"/>
    </bk>
    <bk>
      <rc t="1" v="2394"/>
    </bk>
    <bk>
      <rc t="1" v="2395"/>
    </bk>
    <bk>
      <rc t="1" v="2396"/>
    </bk>
    <bk>
      <rc t="1" v="2397"/>
    </bk>
    <bk>
      <rc t="1" v="2398"/>
    </bk>
    <bk>
      <rc t="1" v="2399"/>
    </bk>
    <bk>
      <rc t="1" v="2400"/>
    </bk>
    <bk>
      <rc t="1" v="2401"/>
    </bk>
    <bk>
      <rc t="1" v="2402"/>
    </bk>
    <bk>
      <rc t="1" v="2403"/>
    </bk>
    <bk>
      <rc t="1" v="2404"/>
    </bk>
    <bk>
      <rc t="1" v="2405"/>
    </bk>
    <bk>
      <rc t="1" v="2406"/>
    </bk>
    <bk>
      <rc t="1" v="2407"/>
    </bk>
    <bk>
      <rc t="1" v="2408"/>
    </bk>
    <bk>
      <rc t="1" v="2409"/>
    </bk>
    <bk>
      <rc t="1" v="2410"/>
    </bk>
    <bk>
      <rc t="1" v="2411"/>
    </bk>
    <bk>
      <rc t="1" v="2412"/>
    </bk>
    <bk>
      <rc t="1" v="2413"/>
    </bk>
    <bk>
      <rc t="1" v="2414"/>
    </bk>
    <bk>
      <rc t="1" v="2415"/>
    </bk>
    <bk>
      <rc t="1" v="2416"/>
    </bk>
    <bk>
      <rc t="1" v="2417"/>
    </bk>
    <bk>
      <rc t="1" v="2418"/>
    </bk>
    <bk>
      <rc t="1" v="2419"/>
    </bk>
    <bk>
      <rc t="1" v="2420"/>
    </bk>
    <bk>
      <rc t="1" v="2421"/>
    </bk>
    <bk>
      <rc t="1" v="2422"/>
    </bk>
    <bk>
      <rc t="1" v="2423"/>
    </bk>
    <bk>
      <rc t="1" v="2424"/>
    </bk>
    <bk>
      <rc t="1" v="2425"/>
    </bk>
    <bk>
      <rc t="1" v="2426"/>
    </bk>
    <bk>
      <rc t="1" v="2427"/>
    </bk>
    <bk>
      <rc t="1" v="2428"/>
    </bk>
    <bk>
      <rc t="1" v="2429"/>
    </bk>
    <bk>
      <rc t="1" v="2430"/>
    </bk>
    <bk>
      <rc t="1" v="2431"/>
    </bk>
    <bk>
      <rc t="1" v="2432"/>
    </bk>
    <bk>
      <rc t="1" v="2433"/>
    </bk>
    <bk>
      <rc t="1" v="2434"/>
    </bk>
    <bk>
      <rc t="1" v="2435"/>
    </bk>
    <bk>
      <rc t="1" v="2436"/>
    </bk>
    <bk>
      <rc t="1" v="2437"/>
    </bk>
    <bk>
      <rc t="1" v="2438"/>
    </bk>
    <bk>
      <rc t="1" v="2439"/>
    </bk>
    <bk>
      <rc t="1" v="2440"/>
    </bk>
    <bk>
      <rc t="1" v="2441"/>
    </bk>
    <bk>
      <rc t="1" v="2442"/>
    </bk>
    <bk>
      <rc t="1" v="2443"/>
    </bk>
    <bk>
      <rc t="1" v="2444"/>
    </bk>
    <bk>
      <rc t="1" v="2445"/>
    </bk>
    <bk>
      <rc t="1" v="2446"/>
    </bk>
    <bk>
      <rc t="1" v="2447"/>
    </bk>
    <bk>
      <rc t="1" v="2448"/>
    </bk>
    <bk>
      <rc t="1" v="2449"/>
    </bk>
    <bk>
      <rc t="1" v="2450"/>
    </bk>
    <bk>
      <rc t="1" v="2451"/>
    </bk>
    <bk>
      <rc t="1" v="2452"/>
    </bk>
    <bk>
      <rc t="1" v="2453"/>
    </bk>
    <bk>
      <rc t="1" v="2454"/>
    </bk>
    <bk>
      <rc t="1" v="2455"/>
    </bk>
    <bk>
      <rc t="1" v="2456"/>
    </bk>
    <bk>
      <rc t="1" v="2457"/>
    </bk>
    <bk>
      <rc t="1" v="2458"/>
    </bk>
    <bk>
      <rc t="1" v="2459"/>
    </bk>
    <bk>
      <rc t="1" v="2460"/>
    </bk>
    <bk>
      <rc t="1" v="2461"/>
    </bk>
    <bk>
      <rc t="1" v="2462"/>
    </bk>
    <bk>
      <rc t="1" v="2463"/>
    </bk>
    <bk>
      <rc t="1" v="2464"/>
    </bk>
    <bk>
      <rc t="1" v="2465"/>
    </bk>
    <bk>
      <rc t="1" v="2466"/>
    </bk>
    <bk>
      <rc t="1" v="2467"/>
    </bk>
    <bk>
      <rc t="1" v="2468"/>
    </bk>
    <bk>
      <rc t="1" v="2469"/>
    </bk>
    <bk>
      <rc t="1" v="2470"/>
    </bk>
    <bk>
      <rc t="1" v="2471"/>
    </bk>
    <bk>
      <rc t="1" v="2472"/>
    </bk>
    <bk>
      <rc t="1" v="2473"/>
    </bk>
    <bk>
      <rc t="1" v="2474"/>
    </bk>
    <bk>
      <rc t="1" v="2475"/>
    </bk>
    <bk>
      <rc t="1" v="2476"/>
    </bk>
    <bk>
      <rc t="1" v="2477"/>
    </bk>
    <bk>
      <rc t="1" v="2478"/>
    </bk>
    <bk>
      <rc t="1" v="2479"/>
    </bk>
    <bk>
      <rc t="1" v="2480"/>
    </bk>
    <bk>
      <rc t="1" v="2481"/>
    </bk>
    <bk>
      <rc t="1" v="2482"/>
    </bk>
    <bk>
      <rc t="1" v="2483"/>
    </bk>
    <bk>
      <rc t="1" v="2484"/>
    </bk>
    <bk>
      <rc t="1" v="2485"/>
    </bk>
    <bk>
      <rc t="1" v="2486"/>
    </bk>
    <bk>
      <rc t="1" v="2487"/>
    </bk>
    <bk>
      <rc t="1" v="2488"/>
    </bk>
    <bk>
      <rc t="1" v="2489"/>
    </bk>
    <bk>
      <rc t="1" v="2490"/>
    </bk>
    <bk>
      <rc t="1" v="2491"/>
    </bk>
    <bk>
      <rc t="1" v="2492"/>
    </bk>
    <bk>
      <rc t="1" v="2493"/>
    </bk>
    <bk>
      <rc t="1" v="2494"/>
    </bk>
    <bk>
      <rc t="1" v="2495"/>
    </bk>
    <bk>
      <rc t="1" v="2496"/>
    </bk>
    <bk>
      <rc t="1" v="2497"/>
    </bk>
    <bk>
      <rc t="1" v="2498"/>
    </bk>
    <bk>
      <rc t="1" v="2499"/>
    </bk>
    <bk>
      <rc t="1" v="2500"/>
    </bk>
    <bk>
      <rc t="1" v="2501"/>
    </bk>
    <bk>
      <rc t="1" v="2502"/>
    </bk>
    <bk>
      <rc t="1" v="2503"/>
    </bk>
    <bk>
      <rc t="1" v="2504"/>
    </bk>
    <bk>
      <rc t="1" v="2505"/>
    </bk>
    <bk>
      <rc t="1" v="2506"/>
    </bk>
    <bk>
      <rc t="1" v="2507"/>
    </bk>
    <bk>
      <rc t="1" v="2508"/>
    </bk>
    <bk>
      <rc t="1" v="2509"/>
    </bk>
    <bk>
      <rc t="1" v="2510"/>
    </bk>
    <bk>
      <rc t="1" v="2511"/>
    </bk>
    <bk>
      <rc t="1" v="2512"/>
    </bk>
    <bk>
      <rc t="1" v="2513"/>
    </bk>
    <bk>
      <rc t="1" v="2514"/>
    </bk>
    <bk>
      <rc t="1" v="2515"/>
    </bk>
    <bk>
      <rc t="1" v="2516"/>
    </bk>
    <bk>
      <rc t="1" v="2517"/>
    </bk>
    <bk>
      <rc t="1" v="2518"/>
    </bk>
    <bk>
      <rc t="1" v="2519"/>
    </bk>
    <bk>
      <rc t="1" v="2520"/>
    </bk>
    <bk>
      <rc t="1" v="2521"/>
    </bk>
    <bk>
      <rc t="1" v="2522"/>
    </bk>
    <bk>
      <rc t="1" v="2523"/>
    </bk>
    <bk>
      <rc t="1" v="2524"/>
    </bk>
    <bk>
      <rc t="1" v="2525"/>
    </bk>
    <bk>
      <rc t="1" v="2526"/>
    </bk>
    <bk>
      <rc t="1" v="2527"/>
    </bk>
    <bk>
      <rc t="1" v="2528"/>
    </bk>
    <bk>
      <rc t="1" v="2529"/>
    </bk>
    <bk>
      <rc t="1" v="2530"/>
    </bk>
    <bk>
      <rc t="1" v="2531"/>
    </bk>
    <bk>
      <rc t="1" v="2532"/>
    </bk>
    <bk>
      <rc t="1" v="2533"/>
    </bk>
    <bk>
      <rc t="1" v="2534"/>
    </bk>
    <bk>
      <rc t="1" v="2535"/>
    </bk>
    <bk>
      <rc t="1" v="2536"/>
    </bk>
    <bk>
      <rc t="1" v="2537"/>
    </bk>
    <bk>
      <rc t="1" v="2538"/>
    </bk>
    <bk>
      <rc t="1" v="2539"/>
    </bk>
    <bk>
      <rc t="1" v="2540"/>
    </bk>
    <bk>
      <rc t="1" v="2541"/>
    </bk>
    <bk>
      <rc t="1" v="2542"/>
    </bk>
    <bk>
      <rc t="1" v="2543"/>
    </bk>
    <bk>
      <rc t="1" v="2544"/>
    </bk>
    <bk>
      <rc t="1" v="2545"/>
    </bk>
    <bk>
      <rc t="1" v="2546"/>
    </bk>
    <bk>
      <rc t="1" v="2547"/>
    </bk>
    <bk>
      <rc t="1" v="2548"/>
    </bk>
    <bk>
      <rc t="1" v="2549"/>
    </bk>
    <bk>
      <rc t="1" v="2550"/>
    </bk>
    <bk>
      <rc t="1" v="2551"/>
    </bk>
    <bk>
      <rc t="1" v="2552"/>
    </bk>
    <bk>
      <rc t="1" v="2553"/>
    </bk>
    <bk>
      <rc t="1" v="2554"/>
    </bk>
    <bk>
      <rc t="1" v="2555"/>
    </bk>
    <bk>
      <rc t="1" v="2556"/>
    </bk>
    <bk>
      <rc t="1" v="2557"/>
    </bk>
    <bk>
      <rc t="1" v="2558"/>
    </bk>
    <bk>
      <rc t="1" v="2559"/>
    </bk>
    <bk>
      <rc t="1" v="2560"/>
    </bk>
    <bk>
      <rc t="1" v="2561"/>
    </bk>
    <bk>
      <rc t="1" v="2562"/>
    </bk>
    <bk>
      <rc t="1" v="2563"/>
    </bk>
    <bk>
      <rc t="1" v="2564"/>
    </bk>
    <bk>
      <rc t="1" v="2565"/>
    </bk>
    <bk>
      <rc t="1" v="2566"/>
    </bk>
    <bk>
      <rc t="1" v="2567"/>
    </bk>
    <bk>
      <rc t="1" v="2568"/>
    </bk>
    <bk>
      <rc t="1" v="2569"/>
    </bk>
    <bk>
      <rc t="1" v="2570"/>
    </bk>
    <bk>
      <rc t="1" v="2571"/>
    </bk>
    <bk>
      <rc t="1" v="2572"/>
    </bk>
    <bk>
      <rc t="1" v="2573"/>
    </bk>
    <bk>
      <rc t="1" v="2574"/>
    </bk>
    <bk>
      <rc t="1" v="2575"/>
    </bk>
    <bk>
      <rc t="1" v="2576"/>
    </bk>
    <bk>
      <rc t="1" v="2577"/>
    </bk>
    <bk>
      <rc t="1" v="2578"/>
    </bk>
    <bk>
      <rc t="1" v="2579"/>
    </bk>
    <bk>
      <rc t="1" v="2580"/>
    </bk>
    <bk>
      <rc t="1" v="2581"/>
    </bk>
    <bk>
      <rc t="1" v="2582"/>
    </bk>
    <bk>
      <rc t="1" v="2583"/>
    </bk>
    <bk>
      <rc t="1" v="2584"/>
    </bk>
    <bk>
      <rc t="1" v="2585"/>
    </bk>
    <bk>
      <rc t="1" v="2586"/>
    </bk>
    <bk>
      <rc t="1" v="2587"/>
    </bk>
    <bk>
      <rc t="1" v="2588"/>
    </bk>
    <bk>
      <rc t="1" v="2589"/>
    </bk>
    <bk>
      <rc t="1" v="2590"/>
    </bk>
    <bk>
      <rc t="1" v="2591"/>
    </bk>
    <bk>
      <rc t="1" v="2592"/>
    </bk>
    <bk>
      <rc t="1" v="2593"/>
    </bk>
    <bk>
      <rc t="1" v="2594"/>
    </bk>
    <bk>
      <rc t="1" v="2595"/>
    </bk>
    <bk>
      <rc t="1" v="2596"/>
    </bk>
    <bk>
      <rc t="1" v="2597"/>
    </bk>
    <bk>
      <rc t="1" v="2598"/>
    </bk>
    <bk>
      <rc t="1" v="2599"/>
    </bk>
    <bk>
      <rc t="1" v="2600"/>
    </bk>
    <bk>
      <rc t="1" v="2601"/>
    </bk>
    <bk>
      <rc t="1" v="2602"/>
    </bk>
    <bk>
      <rc t="1" v="2603"/>
    </bk>
    <bk>
      <rc t="1" v="2604"/>
    </bk>
    <bk>
      <rc t="1" v="2605"/>
    </bk>
    <bk>
      <rc t="1" v="2606"/>
    </bk>
    <bk>
      <rc t="1" v="2607"/>
    </bk>
    <bk>
      <rc t="1" v="2608"/>
    </bk>
    <bk>
      <rc t="1" v="2609"/>
    </bk>
    <bk>
      <rc t="1" v="2610"/>
    </bk>
    <bk>
      <rc t="1" v="2611"/>
    </bk>
    <bk>
      <rc t="1" v="2612"/>
    </bk>
    <bk>
      <rc t="1" v="2613"/>
    </bk>
    <bk>
      <rc t="1" v="2614"/>
    </bk>
    <bk>
      <rc t="1" v="2615"/>
    </bk>
    <bk>
      <rc t="1" v="2616"/>
    </bk>
    <bk>
      <rc t="1" v="2617"/>
    </bk>
    <bk>
      <rc t="1" v="2618"/>
    </bk>
    <bk>
      <rc t="1" v="2619"/>
    </bk>
    <bk>
      <rc t="1" v="2620"/>
    </bk>
    <bk>
      <rc t="1" v="2621"/>
    </bk>
    <bk>
      <rc t="1" v="2622"/>
    </bk>
    <bk>
      <rc t="1" v="2623"/>
    </bk>
    <bk>
      <rc t="1" v="2624"/>
    </bk>
    <bk>
      <rc t="1" v="2625"/>
    </bk>
    <bk>
      <rc t="1" v="2626"/>
    </bk>
    <bk>
      <rc t="1" v="2627"/>
    </bk>
    <bk>
      <rc t="1" v="2628"/>
    </bk>
    <bk>
      <rc t="1" v="2629"/>
    </bk>
    <bk>
      <rc t="1" v="2630"/>
    </bk>
    <bk>
      <rc t="1" v="2631"/>
    </bk>
    <bk>
      <rc t="1" v="2632"/>
    </bk>
    <bk>
      <rc t="1" v="2633"/>
    </bk>
    <bk>
      <rc t="1" v="2634"/>
    </bk>
    <bk>
      <rc t="1" v="2635"/>
    </bk>
    <bk>
      <rc t="1" v="2636"/>
    </bk>
    <bk>
      <rc t="1" v="2637"/>
    </bk>
    <bk>
      <rc t="1" v="2638"/>
    </bk>
    <bk>
      <rc t="1" v="2639"/>
    </bk>
    <bk>
      <rc t="1" v="2640"/>
    </bk>
    <bk>
      <rc t="1" v="2641"/>
    </bk>
    <bk>
      <rc t="1" v="2642"/>
    </bk>
    <bk>
      <rc t="1" v="2643"/>
    </bk>
    <bk>
      <rc t="1" v="2644"/>
    </bk>
    <bk>
      <rc t="1" v="2645"/>
    </bk>
    <bk>
      <rc t="1" v="2646"/>
    </bk>
    <bk>
      <rc t="1" v="2647"/>
    </bk>
    <bk>
      <rc t="1" v="2648"/>
    </bk>
    <bk>
      <rc t="1" v="2649"/>
    </bk>
    <bk>
      <rc t="1" v="2650"/>
    </bk>
    <bk>
      <rc t="1" v="2651"/>
    </bk>
    <bk>
      <rc t="1" v="2652"/>
    </bk>
    <bk>
      <rc t="1" v="2653"/>
    </bk>
    <bk>
      <rc t="1" v="2654"/>
    </bk>
    <bk>
      <rc t="1" v="2655"/>
    </bk>
    <bk>
      <rc t="1" v="2656"/>
    </bk>
    <bk>
      <rc t="1" v="2657"/>
    </bk>
    <bk>
      <rc t="1" v="2658"/>
    </bk>
    <bk>
      <rc t="1" v="2659"/>
    </bk>
    <bk>
      <rc t="1" v="2660"/>
    </bk>
    <bk>
      <rc t="1" v="2661"/>
    </bk>
    <bk>
      <rc t="1" v="2662"/>
    </bk>
    <bk>
      <rc t="1" v="2663"/>
    </bk>
    <bk>
      <rc t="1" v="2664"/>
    </bk>
    <bk>
      <rc t="1" v="2665"/>
    </bk>
    <bk>
      <rc t="1" v="2666"/>
    </bk>
    <bk>
      <rc t="1" v="2667"/>
    </bk>
    <bk>
      <rc t="1" v="2668"/>
    </bk>
    <bk>
      <rc t="1" v="2669"/>
    </bk>
    <bk>
      <rc t="1" v="2670"/>
    </bk>
    <bk>
      <rc t="1" v="2671"/>
    </bk>
    <bk>
      <rc t="1" v="2672"/>
    </bk>
    <bk>
      <rc t="1" v="2673"/>
    </bk>
    <bk>
      <rc t="1" v="2674"/>
    </bk>
    <bk>
      <rc t="1" v="2675"/>
    </bk>
    <bk>
      <rc t="1" v="2676"/>
    </bk>
    <bk>
      <rc t="1" v="2677"/>
    </bk>
    <bk>
      <rc t="1" v="2678"/>
    </bk>
    <bk>
      <rc t="1" v="2679"/>
    </bk>
    <bk>
      <rc t="1" v="2680"/>
    </bk>
    <bk>
      <rc t="1" v="2681"/>
    </bk>
    <bk>
      <rc t="1" v="2682"/>
    </bk>
    <bk>
      <rc t="1" v="2683"/>
    </bk>
    <bk>
      <rc t="1" v="2684"/>
    </bk>
    <bk>
      <rc t="1" v="2685"/>
    </bk>
    <bk>
      <rc t="1" v="2686"/>
    </bk>
    <bk>
      <rc t="1" v="2687"/>
    </bk>
    <bk>
      <rc t="1" v="2688"/>
    </bk>
    <bk>
      <rc t="1" v="2689"/>
    </bk>
    <bk>
      <rc t="1" v="2690"/>
    </bk>
    <bk>
      <rc t="1" v="2691"/>
    </bk>
    <bk>
      <rc t="1" v="2692"/>
    </bk>
    <bk>
      <rc t="1" v="2693"/>
    </bk>
    <bk>
      <rc t="1" v="2694"/>
    </bk>
    <bk>
      <rc t="1" v="2695"/>
    </bk>
    <bk>
      <rc t="1" v="2696"/>
    </bk>
    <bk>
      <rc t="1" v="2697"/>
    </bk>
    <bk>
      <rc t="1" v="2698"/>
    </bk>
    <bk>
      <rc t="1" v="2699"/>
    </bk>
    <bk>
      <rc t="1" v="2700"/>
    </bk>
    <bk>
      <rc t="1" v="2701"/>
    </bk>
    <bk>
      <rc t="1" v="2702"/>
    </bk>
    <bk>
      <rc t="1" v="2703"/>
    </bk>
    <bk>
      <rc t="1" v="2704"/>
    </bk>
    <bk>
      <rc t="1" v="2705"/>
    </bk>
    <bk>
      <rc t="1" v="2706"/>
    </bk>
    <bk>
      <rc t="1" v="2707"/>
    </bk>
    <bk>
      <rc t="1" v="2708"/>
    </bk>
    <bk>
      <rc t="1" v="2709"/>
    </bk>
    <bk>
      <rc t="1" v="2710"/>
    </bk>
    <bk>
      <rc t="1" v="2711"/>
    </bk>
    <bk>
      <rc t="1" v="2712"/>
    </bk>
    <bk>
      <rc t="1" v="2713"/>
    </bk>
    <bk>
      <rc t="1" v="2714"/>
    </bk>
    <bk>
      <rc t="1" v="2715"/>
    </bk>
    <bk>
      <rc t="1" v="2716"/>
    </bk>
    <bk>
      <rc t="1" v="2717"/>
    </bk>
    <bk>
      <rc t="1" v="2718"/>
    </bk>
    <bk>
      <rc t="1" v="2719"/>
    </bk>
    <bk>
      <rc t="1" v="2720"/>
    </bk>
    <bk>
      <rc t="1" v="2721"/>
    </bk>
    <bk>
      <rc t="1" v="2722"/>
    </bk>
    <bk>
      <rc t="1" v="2723"/>
    </bk>
    <bk>
      <rc t="1" v="2724"/>
    </bk>
    <bk>
      <rc t="1" v="2725"/>
    </bk>
    <bk>
      <rc t="1" v="2726"/>
    </bk>
    <bk>
      <rc t="1" v="2727"/>
    </bk>
    <bk>
      <rc t="1" v="2728"/>
    </bk>
    <bk>
      <rc t="1" v="2729"/>
    </bk>
    <bk>
      <rc t="1" v="2730"/>
    </bk>
    <bk>
      <rc t="1" v="2731"/>
    </bk>
    <bk>
      <rc t="1" v="2732"/>
    </bk>
    <bk>
      <rc t="1" v="2733"/>
    </bk>
    <bk>
      <rc t="1" v="2734"/>
    </bk>
    <bk>
      <rc t="1" v="2735"/>
    </bk>
    <bk>
      <rc t="1" v="2736"/>
    </bk>
    <bk>
      <rc t="1" v="2737"/>
    </bk>
    <bk>
      <rc t="1" v="2738"/>
    </bk>
    <bk>
      <rc t="1" v="2739"/>
    </bk>
    <bk>
      <rc t="1" v="2740"/>
    </bk>
    <bk>
      <rc t="1" v="2741"/>
    </bk>
    <bk>
      <rc t="1" v="2742"/>
    </bk>
    <bk>
      <rc t="1" v="2743"/>
    </bk>
    <bk>
      <rc t="1" v="2744"/>
    </bk>
    <bk>
      <rc t="1" v="2745"/>
    </bk>
    <bk>
      <rc t="1" v="2746"/>
    </bk>
    <bk>
      <rc t="1" v="2747"/>
    </bk>
    <bk>
      <rc t="1" v="2748"/>
    </bk>
    <bk>
      <rc t="1" v="2749"/>
    </bk>
    <bk>
      <rc t="1" v="2750"/>
    </bk>
    <bk>
      <rc t="1" v="2751"/>
    </bk>
    <bk>
      <rc t="1" v="2752"/>
    </bk>
    <bk>
      <rc t="1" v="2753"/>
    </bk>
    <bk>
      <rc t="1" v="2754"/>
    </bk>
    <bk>
      <rc t="1" v="2755"/>
    </bk>
    <bk>
      <rc t="1" v="2756"/>
    </bk>
    <bk>
      <rc t="1" v="2757"/>
    </bk>
    <bk>
      <rc t="1" v="2758"/>
    </bk>
    <bk>
      <rc t="1" v="2759"/>
    </bk>
    <bk>
      <rc t="1" v="2760"/>
    </bk>
    <bk>
      <rc t="1" v="2761"/>
    </bk>
    <bk>
      <rc t="1" v="2762"/>
    </bk>
    <bk>
      <rc t="1" v="2763"/>
    </bk>
    <bk>
      <rc t="1" v="2764"/>
    </bk>
    <bk>
      <rc t="1" v="2765"/>
    </bk>
    <bk>
      <rc t="1" v="2766"/>
    </bk>
    <bk>
      <rc t="1" v="2767"/>
    </bk>
    <bk>
      <rc t="1" v="2768"/>
    </bk>
    <bk>
      <rc t="1" v="2769"/>
    </bk>
    <bk>
      <rc t="1" v="2770"/>
    </bk>
    <bk>
      <rc t="1" v="2771"/>
    </bk>
    <bk>
      <rc t="1" v="2772"/>
    </bk>
    <bk>
      <rc t="1" v="2773"/>
    </bk>
    <bk>
      <rc t="1" v="2774"/>
    </bk>
    <bk>
      <rc t="1" v="2775"/>
    </bk>
    <bk>
      <rc t="1" v="2776"/>
    </bk>
    <bk>
      <rc t="1" v="2777"/>
    </bk>
    <bk>
      <rc t="1" v="2778"/>
    </bk>
    <bk>
      <rc t="1" v="2779"/>
    </bk>
    <bk>
      <rc t="1" v="2780"/>
    </bk>
    <bk>
      <rc t="1" v="2781"/>
    </bk>
    <bk>
      <rc t="1" v="2782"/>
    </bk>
    <bk>
      <rc t="1" v="2783"/>
    </bk>
    <bk>
      <rc t="1" v="2784"/>
    </bk>
    <bk>
      <rc t="1" v="2785"/>
    </bk>
    <bk>
      <rc t="1" v="2786"/>
    </bk>
    <bk>
      <rc t="1" v="2787"/>
    </bk>
    <bk>
      <rc t="1" v="2788"/>
    </bk>
    <bk>
      <rc t="1" v="2789"/>
    </bk>
    <bk>
      <rc t="1" v="2790"/>
    </bk>
    <bk>
      <rc t="1" v="2791"/>
    </bk>
    <bk>
      <rc t="1" v="2792"/>
    </bk>
    <bk>
      <rc t="1" v="2793"/>
    </bk>
    <bk>
      <rc t="1" v="2794"/>
    </bk>
    <bk>
      <rc t="1" v="2795"/>
    </bk>
    <bk>
      <rc t="1" v="2796"/>
    </bk>
    <bk>
      <rc t="1" v="2797"/>
    </bk>
    <bk>
      <rc t="1" v="2798"/>
    </bk>
    <bk>
      <rc t="1" v="2799"/>
    </bk>
    <bk>
      <rc t="1" v="2800"/>
    </bk>
    <bk>
      <rc t="1" v="2801"/>
    </bk>
    <bk>
      <rc t="1" v="2802"/>
    </bk>
    <bk>
      <rc t="1" v="2803"/>
    </bk>
    <bk>
      <rc t="1" v="2804"/>
    </bk>
    <bk>
      <rc t="1" v="2805"/>
    </bk>
    <bk>
      <rc t="1" v="2806"/>
    </bk>
    <bk>
      <rc t="1" v="2807"/>
    </bk>
    <bk>
      <rc t="1" v="2808"/>
    </bk>
    <bk>
      <rc t="1" v="2809"/>
    </bk>
    <bk>
      <rc t="1" v="2810"/>
    </bk>
    <bk>
      <rc t="1" v="2811"/>
    </bk>
    <bk>
      <rc t="1" v="2812"/>
    </bk>
    <bk>
      <rc t="1" v="2813"/>
    </bk>
    <bk>
      <rc t="1" v="2814"/>
    </bk>
    <bk>
      <rc t="1" v="2815"/>
    </bk>
    <bk>
      <rc t="1" v="2816"/>
    </bk>
    <bk>
      <rc t="1" v="2817"/>
    </bk>
    <bk>
      <rc t="1" v="2818"/>
    </bk>
    <bk>
      <rc t="1" v="2819"/>
    </bk>
    <bk>
      <rc t="1" v="2820"/>
    </bk>
    <bk>
      <rc t="1" v="2821"/>
    </bk>
    <bk>
      <rc t="1" v="2822"/>
    </bk>
    <bk>
      <rc t="1" v="2823"/>
    </bk>
    <bk>
      <rc t="1" v="2824"/>
    </bk>
    <bk>
      <rc t="1" v="2825"/>
    </bk>
    <bk>
      <rc t="1" v="2826"/>
    </bk>
    <bk>
      <rc t="1" v="2827"/>
    </bk>
    <bk>
      <rc t="1" v="2828"/>
    </bk>
    <bk>
      <rc t="1" v="2829"/>
    </bk>
    <bk>
      <rc t="1" v="2830"/>
    </bk>
    <bk>
      <rc t="1" v="2831"/>
    </bk>
    <bk>
      <rc t="1" v="2832"/>
    </bk>
    <bk>
      <rc t="1" v="2833"/>
    </bk>
    <bk>
      <rc t="1" v="2834"/>
    </bk>
    <bk>
      <rc t="1" v="2835"/>
    </bk>
    <bk>
      <rc t="1" v="2836"/>
    </bk>
    <bk>
      <rc t="1" v="2837"/>
    </bk>
    <bk>
      <rc t="1" v="2838"/>
    </bk>
    <bk>
      <rc t="1" v="2839"/>
    </bk>
    <bk>
      <rc t="1" v="2840"/>
    </bk>
    <bk>
      <rc t="1" v="2841"/>
    </bk>
    <bk>
      <rc t="1" v="2842"/>
    </bk>
    <bk>
      <rc t="1" v="2843"/>
    </bk>
    <bk>
      <rc t="1" v="2844"/>
    </bk>
    <bk>
      <rc t="1" v="2845"/>
    </bk>
    <bk>
      <rc t="1" v="2846"/>
    </bk>
    <bk>
      <rc t="1" v="2847"/>
    </bk>
    <bk>
      <rc t="1" v="2848"/>
    </bk>
    <bk>
      <rc t="1" v="2849"/>
    </bk>
    <bk>
      <rc t="1" v="2850"/>
    </bk>
    <bk>
      <rc t="1" v="2851"/>
    </bk>
    <bk>
      <rc t="1" v="2852"/>
    </bk>
    <bk>
      <rc t="1" v="2853"/>
    </bk>
    <bk>
      <rc t="1" v="2854"/>
    </bk>
    <bk>
      <rc t="1" v="2855"/>
    </bk>
    <bk>
      <rc t="1" v="2856"/>
    </bk>
    <bk>
      <rc t="1" v="2857"/>
    </bk>
    <bk>
      <rc t="1" v="2858"/>
    </bk>
    <bk>
      <rc t="1" v="2859"/>
    </bk>
    <bk>
      <rc t="1" v="2860"/>
    </bk>
    <bk>
      <rc t="1" v="2861"/>
    </bk>
    <bk>
      <rc t="1" v="2862"/>
    </bk>
    <bk>
      <rc t="1" v="2863"/>
    </bk>
    <bk>
      <rc t="1" v="2864"/>
    </bk>
    <bk>
      <rc t="1" v="2865"/>
    </bk>
    <bk>
      <rc t="1" v="2866"/>
    </bk>
    <bk>
      <rc t="1" v="2867"/>
    </bk>
    <bk>
      <rc t="1" v="2868"/>
    </bk>
    <bk>
      <rc t="1" v="2869"/>
    </bk>
    <bk>
      <rc t="1" v="2870"/>
    </bk>
    <bk>
      <rc t="1" v="2871"/>
    </bk>
    <bk>
      <rc t="1" v="2872"/>
    </bk>
    <bk>
      <rc t="1" v="2873"/>
    </bk>
    <bk>
      <rc t="1" v="2874"/>
    </bk>
    <bk>
      <rc t="1" v="2875"/>
    </bk>
    <bk>
      <rc t="1" v="2876"/>
    </bk>
    <bk>
      <rc t="1" v="2877"/>
    </bk>
    <bk>
      <rc t="1" v="2878"/>
    </bk>
    <bk>
      <rc t="1" v="2879"/>
    </bk>
    <bk>
      <rc t="1" v="2880"/>
    </bk>
    <bk>
      <rc t="1" v="2881"/>
    </bk>
    <bk>
      <rc t="1" v="2882"/>
    </bk>
    <bk>
      <rc t="1" v="2883"/>
    </bk>
    <bk>
      <rc t="1" v="2884"/>
    </bk>
    <bk>
      <rc t="1" v="2885"/>
    </bk>
    <bk>
      <rc t="1" v="2886"/>
    </bk>
    <bk>
      <rc t="1" v="2887"/>
    </bk>
    <bk>
      <rc t="1" v="2888"/>
    </bk>
    <bk>
      <rc t="1" v="2889"/>
    </bk>
    <bk>
      <rc t="1" v="2890"/>
    </bk>
    <bk>
      <rc t="1" v="2891"/>
    </bk>
    <bk>
      <rc t="1" v="2892"/>
    </bk>
    <bk>
      <rc t="1" v="2893"/>
    </bk>
    <bk>
      <rc t="1" v="2894"/>
    </bk>
    <bk>
      <rc t="1" v="2895"/>
    </bk>
    <bk>
      <rc t="1" v="2896"/>
    </bk>
    <bk>
      <rc t="1" v="2897"/>
    </bk>
    <bk>
      <rc t="1" v="2898"/>
    </bk>
    <bk>
      <rc t="1" v="2899"/>
    </bk>
    <bk>
      <rc t="1" v="2900"/>
    </bk>
    <bk>
      <rc t="1" v="2901"/>
    </bk>
    <bk>
      <rc t="1" v="2902"/>
    </bk>
    <bk>
      <rc t="1" v="2903"/>
    </bk>
    <bk>
      <rc t="1" v="2904"/>
    </bk>
    <bk>
      <rc t="1" v="2905"/>
    </bk>
    <bk>
      <rc t="1" v="2906"/>
    </bk>
    <bk>
      <rc t="1" v="2907"/>
    </bk>
    <bk>
      <rc t="1" v="2908"/>
    </bk>
    <bk>
      <rc t="1" v="2909"/>
    </bk>
    <bk>
      <rc t="1" v="2910"/>
    </bk>
    <bk>
      <rc t="1" v="2911"/>
    </bk>
    <bk>
      <rc t="1" v="2912"/>
    </bk>
    <bk>
      <rc t="1" v="2913"/>
    </bk>
    <bk>
      <rc t="1" v="2914"/>
    </bk>
    <bk>
      <rc t="1" v="2915"/>
    </bk>
    <bk>
      <rc t="1" v="2916"/>
    </bk>
    <bk>
      <rc t="1" v="2917"/>
    </bk>
    <bk>
      <rc t="1" v="2918"/>
    </bk>
    <bk>
      <rc t="1" v="2919"/>
    </bk>
    <bk>
      <rc t="1" v="2920"/>
    </bk>
    <bk>
      <rc t="1" v="2921"/>
    </bk>
    <bk>
      <rc t="1" v="2922"/>
    </bk>
    <bk>
      <rc t="1" v="2923"/>
    </bk>
    <bk>
      <rc t="1" v="2924"/>
    </bk>
    <bk>
      <rc t="1" v="2925"/>
    </bk>
    <bk>
      <rc t="1" v="2926"/>
    </bk>
    <bk>
      <rc t="1" v="2927"/>
    </bk>
    <bk>
      <rc t="1" v="2928"/>
    </bk>
    <bk>
      <rc t="1" v="2929"/>
    </bk>
    <bk>
      <rc t="1" v="2930"/>
    </bk>
    <bk>
      <rc t="1" v="2931"/>
    </bk>
    <bk>
      <rc t="1" v="2932"/>
    </bk>
    <bk>
      <rc t="1" v="2933"/>
    </bk>
    <bk>
      <rc t="1" v="2934"/>
    </bk>
    <bk>
      <rc t="1" v="2935"/>
    </bk>
    <bk>
      <rc t="1" v="2936"/>
    </bk>
    <bk>
      <rc t="1" v="2937"/>
    </bk>
    <bk>
      <rc t="1" v="2938"/>
    </bk>
    <bk>
      <rc t="1" v="2939"/>
    </bk>
    <bk>
      <rc t="1" v="2940"/>
    </bk>
    <bk>
      <rc t="1" v="2941"/>
    </bk>
    <bk>
      <rc t="1" v="2942"/>
    </bk>
    <bk>
      <rc t="1" v="2943"/>
    </bk>
    <bk>
      <rc t="1" v="2944"/>
    </bk>
    <bk>
      <rc t="1" v="2945"/>
    </bk>
    <bk>
      <rc t="1" v="2946"/>
    </bk>
    <bk>
      <rc t="1" v="2947"/>
    </bk>
    <bk>
      <rc t="1" v="2948"/>
    </bk>
    <bk>
      <rc t="1" v="2949"/>
    </bk>
    <bk>
      <rc t="1" v="2950"/>
    </bk>
    <bk>
      <rc t="1" v="2951"/>
    </bk>
    <bk>
      <rc t="1" v="2952"/>
    </bk>
    <bk>
      <rc t="1" v="2953"/>
    </bk>
    <bk>
      <rc t="1" v="2954"/>
    </bk>
    <bk>
      <rc t="1" v="2955"/>
    </bk>
    <bk>
      <rc t="1" v="2956"/>
    </bk>
    <bk>
      <rc t="1" v="2957"/>
    </bk>
    <bk>
      <rc t="1" v="2958"/>
    </bk>
    <bk>
      <rc t="1" v="2959"/>
    </bk>
    <bk>
      <rc t="1" v="2960"/>
    </bk>
    <bk>
      <rc t="1" v="2961"/>
    </bk>
    <bk>
      <rc t="1" v="2962"/>
    </bk>
    <bk>
      <rc t="1" v="2963"/>
    </bk>
    <bk>
      <rc t="1" v="2964"/>
    </bk>
    <bk>
      <rc t="1" v="2965"/>
    </bk>
    <bk>
      <rc t="1" v="2966"/>
    </bk>
    <bk>
      <rc t="1" v="2967"/>
    </bk>
    <bk>
      <rc t="1" v="2968"/>
    </bk>
    <bk>
      <rc t="1" v="2969"/>
    </bk>
    <bk>
      <rc t="1" v="2970"/>
    </bk>
    <bk>
      <rc t="1" v="2971"/>
    </bk>
    <bk>
      <rc t="1" v="2972"/>
    </bk>
    <bk>
      <rc t="1" v="2973"/>
    </bk>
    <bk>
      <rc t="1" v="2974"/>
    </bk>
    <bk>
      <rc t="1" v="2975"/>
    </bk>
    <bk>
      <rc t="1" v="2976"/>
    </bk>
    <bk>
      <rc t="1" v="2977"/>
    </bk>
    <bk>
      <rc t="1" v="2978"/>
    </bk>
    <bk>
      <rc t="1" v="2979"/>
    </bk>
    <bk>
      <rc t="1" v="2980"/>
    </bk>
    <bk>
      <rc t="1" v="2981"/>
    </bk>
    <bk>
      <rc t="1" v="2982"/>
    </bk>
    <bk>
      <rc t="1" v="2983"/>
    </bk>
    <bk>
      <rc t="1" v="2984"/>
    </bk>
    <bk>
      <rc t="1" v="2985"/>
    </bk>
    <bk>
      <rc t="1" v="2986"/>
    </bk>
    <bk>
      <rc t="1" v="2987"/>
    </bk>
    <bk>
      <rc t="1" v="2988"/>
    </bk>
    <bk>
      <rc t="1" v="2989"/>
    </bk>
    <bk>
      <rc t="1" v="2990"/>
    </bk>
    <bk>
      <rc t="1" v="2991"/>
    </bk>
    <bk>
      <rc t="1" v="2992"/>
    </bk>
    <bk>
      <rc t="1" v="2993"/>
    </bk>
    <bk>
      <rc t="1" v="2994"/>
    </bk>
    <bk>
      <rc t="1" v="2995"/>
    </bk>
    <bk>
      <rc t="1" v="2996"/>
    </bk>
    <bk>
      <rc t="1" v="2997"/>
    </bk>
    <bk>
      <rc t="1" v="2998"/>
    </bk>
    <bk>
      <rc t="1" v="2999"/>
    </bk>
    <bk>
      <rc t="1" v="3000"/>
    </bk>
    <bk>
      <rc t="1" v="3001"/>
    </bk>
    <bk>
      <rc t="1" v="3002"/>
    </bk>
    <bk>
      <rc t="1" v="3003"/>
    </bk>
    <bk>
      <rc t="1" v="3004"/>
    </bk>
    <bk>
      <rc t="1" v="3005"/>
    </bk>
    <bk>
      <rc t="1" v="3006"/>
    </bk>
    <bk>
      <rc t="1" v="3007"/>
    </bk>
    <bk>
      <rc t="1" v="3008"/>
    </bk>
    <bk>
      <rc t="1" v="3009"/>
    </bk>
    <bk>
      <rc t="1" v="3010"/>
    </bk>
    <bk>
      <rc t="1" v="3011"/>
    </bk>
    <bk>
      <rc t="1" v="3012"/>
    </bk>
    <bk>
      <rc t="1" v="3013"/>
    </bk>
    <bk>
      <rc t="1" v="3014"/>
    </bk>
    <bk>
      <rc t="1" v="3015"/>
    </bk>
    <bk>
      <rc t="1" v="3016"/>
    </bk>
    <bk>
      <rc t="1" v="3017"/>
    </bk>
    <bk>
      <rc t="1" v="3018"/>
    </bk>
    <bk>
      <rc t="1" v="3019"/>
    </bk>
    <bk>
      <rc t="1" v="3020"/>
    </bk>
    <bk>
      <rc t="1" v="3021"/>
    </bk>
    <bk>
      <rc t="1" v="3022"/>
    </bk>
    <bk>
      <rc t="1" v="3023"/>
    </bk>
    <bk>
      <rc t="1" v="3024"/>
    </bk>
    <bk>
      <rc t="1" v="3025"/>
    </bk>
    <bk>
      <rc t="1" v="3026"/>
    </bk>
    <bk>
      <rc t="1" v="3027"/>
    </bk>
    <bk>
      <rc t="1" v="3028"/>
    </bk>
    <bk>
      <rc t="1" v="3029"/>
    </bk>
    <bk>
      <rc t="1" v="3030"/>
    </bk>
    <bk>
      <rc t="1" v="3031"/>
    </bk>
    <bk>
      <rc t="1" v="3032"/>
    </bk>
    <bk>
      <rc t="1" v="3033"/>
    </bk>
    <bk>
      <rc t="1" v="3034"/>
    </bk>
    <bk>
      <rc t="1" v="3035"/>
    </bk>
    <bk>
      <rc t="1" v="3036"/>
    </bk>
    <bk>
      <rc t="1" v="3037"/>
    </bk>
    <bk>
      <rc t="1" v="3038"/>
    </bk>
    <bk>
      <rc t="1" v="3039"/>
    </bk>
    <bk>
      <rc t="1" v="3040"/>
    </bk>
    <bk>
      <rc t="1" v="3041"/>
    </bk>
    <bk>
      <rc t="1" v="3042"/>
    </bk>
    <bk>
      <rc t="1" v="3043"/>
    </bk>
    <bk>
      <rc t="1" v="3044"/>
    </bk>
    <bk>
      <rc t="1" v="3045"/>
    </bk>
    <bk>
      <rc t="1" v="3046"/>
    </bk>
    <bk>
      <rc t="1" v="3047"/>
    </bk>
    <bk>
      <rc t="1" v="3048"/>
    </bk>
    <bk>
      <rc t="1" v="3049"/>
    </bk>
    <bk>
      <rc t="1" v="3050"/>
    </bk>
    <bk>
      <rc t="1" v="3051"/>
    </bk>
    <bk>
      <rc t="1" v="3052"/>
    </bk>
    <bk>
      <rc t="1" v="3053"/>
    </bk>
    <bk>
      <rc t="1" v="3054"/>
    </bk>
    <bk>
      <rc t="1" v="3055"/>
    </bk>
    <bk>
      <rc t="1" v="3056"/>
    </bk>
    <bk>
      <rc t="1" v="3057"/>
    </bk>
    <bk>
      <rc t="1" v="3058"/>
    </bk>
    <bk>
      <rc t="1" v="3059"/>
    </bk>
    <bk>
      <rc t="1" v="3060"/>
    </bk>
    <bk>
      <rc t="1" v="3061"/>
    </bk>
    <bk>
      <rc t="1" v="3062"/>
    </bk>
    <bk>
      <rc t="1" v="3063"/>
    </bk>
    <bk>
      <rc t="1" v="3064"/>
    </bk>
    <bk>
      <rc t="1" v="3065"/>
    </bk>
    <bk>
      <rc t="1" v="3066"/>
    </bk>
    <bk>
      <rc t="1" v="3067"/>
    </bk>
    <bk>
      <rc t="1" v="3068"/>
    </bk>
    <bk>
      <rc t="1" v="3069"/>
    </bk>
    <bk>
      <rc t="1" v="3070"/>
    </bk>
    <bk>
      <rc t="1" v="3071"/>
    </bk>
    <bk>
      <rc t="1" v="3072"/>
    </bk>
    <bk>
      <rc t="1" v="3073"/>
    </bk>
    <bk>
      <rc t="1" v="3074"/>
    </bk>
    <bk>
      <rc t="1" v="3075"/>
    </bk>
    <bk>
      <rc t="1" v="3076"/>
    </bk>
    <bk>
      <rc t="1" v="3077"/>
    </bk>
    <bk>
      <rc t="1" v="3078"/>
    </bk>
    <bk>
      <rc t="1" v="3079"/>
    </bk>
    <bk>
      <rc t="1" v="3080"/>
    </bk>
    <bk>
      <rc t="1" v="3081"/>
    </bk>
    <bk>
      <rc t="1" v="3082"/>
    </bk>
    <bk>
      <rc t="1" v="3083"/>
    </bk>
    <bk>
      <rc t="1" v="3084"/>
    </bk>
    <bk>
      <rc t="1" v="3085"/>
    </bk>
    <bk>
      <rc t="1" v="3086"/>
    </bk>
    <bk>
      <rc t="1" v="3087"/>
    </bk>
    <bk>
      <rc t="1" v="3088"/>
    </bk>
    <bk>
      <rc t="1" v="3089"/>
    </bk>
    <bk>
      <rc t="1" v="3090"/>
    </bk>
    <bk>
      <rc t="1" v="3091"/>
    </bk>
    <bk>
      <rc t="1" v="3092"/>
    </bk>
    <bk>
      <rc t="1" v="3093"/>
    </bk>
    <bk>
      <rc t="1" v="3094"/>
    </bk>
    <bk>
      <rc t="1" v="3095"/>
    </bk>
    <bk>
      <rc t="1" v="3096"/>
    </bk>
    <bk>
      <rc t="1" v="3097"/>
    </bk>
    <bk>
      <rc t="1" v="3098"/>
    </bk>
    <bk>
      <rc t="1" v="3099"/>
    </bk>
    <bk>
      <rc t="1" v="3100"/>
    </bk>
    <bk>
      <rc t="1" v="3101"/>
    </bk>
    <bk>
      <rc t="1" v="3102"/>
    </bk>
    <bk>
      <rc t="1" v="3103"/>
    </bk>
    <bk>
      <rc t="1" v="3104"/>
    </bk>
    <bk>
      <rc t="1" v="3105"/>
    </bk>
    <bk>
      <rc t="1" v="3106"/>
    </bk>
    <bk>
      <rc t="1" v="3107"/>
    </bk>
    <bk>
      <rc t="1" v="3108"/>
    </bk>
    <bk>
      <rc t="1" v="3109"/>
    </bk>
    <bk>
      <rc t="1" v="3110"/>
    </bk>
    <bk>
      <rc t="1" v="3111"/>
    </bk>
    <bk>
      <rc t="1" v="3112"/>
    </bk>
    <bk>
      <rc t="1" v="3113"/>
    </bk>
    <bk>
      <rc t="1" v="3114"/>
    </bk>
    <bk>
      <rc t="1" v="3115"/>
    </bk>
    <bk>
      <rc t="1" v="3116"/>
    </bk>
    <bk>
      <rc t="1" v="3117"/>
    </bk>
    <bk>
      <rc t="1" v="3118"/>
    </bk>
    <bk>
      <rc t="1" v="3119"/>
    </bk>
    <bk>
      <rc t="1" v="3120"/>
    </bk>
    <bk>
      <rc t="1" v="3121"/>
    </bk>
    <bk>
      <rc t="1" v="3122"/>
    </bk>
    <bk>
      <rc t="1" v="3123"/>
    </bk>
    <bk>
      <rc t="1" v="3124"/>
    </bk>
    <bk>
      <rc t="1" v="3125"/>
    </bk>
    <bk>
      <rc t="1" v="3126"/>
    </bk>
    <bk>
      <rc t="1" v="3127"/>
    </bk>
    <bk>
      <rc t="1" v="3128"/>
    </bk>
    <bk>
      <rc t="1" v="3129"/>
    </bk>
    <bk>
      <rc t="1" v="3130"/>
    </bk>
    <bk>
      <rc t="1" v="3131"/>
    </bk>
    <bk>
      <rc t="1" v="3132"/>
    </bk>
    <bk>
      <rc t="1" v="3133"/>
    </bk>
    <bk>
      <rc t="1" v="3134"/>
    </bk>
    <bk>
      <rc t="1" v="3135"/>
    </bk>
    <bk>
      <rc t="1" v="3136"/>
    </bk>
    <bk>
      <rc t="1" v="3137"/>
    </bk>
    <bk>
      <rc t="1" v="3138"/>
    </bk>
    <bk>
      <rc t="1" v="3139"/>
    </bk>
    <bk>
      <rc t="1" v="3140"/>
    </bk>
    <bk>
      <rc t="1" v="3141"/>
    </bk>
    <bk>
      <rc t="1" v="3142"/>
    </bk>
    <bk>
      <rc t="1" v="3143"/>
    </bk>
    <bk>
      <rc t="1" v="3144"/>
    </bk>
    <bk>
      <rc t="1" v="3145"/>
    </bk>
    <bk>
      <rc t="1" v="3146"/>
    </bk>
    <bk>
      <rc t="1" v="3147"/>
    </bk>
    <bk>
      <rc t="1" v="3148"/>
    </bk>
    <bk>
      <rc t="1" v="3149"/>
    </bk>
    <bk>
      <rc t="1" v="3150"/>
    </bk>
    <bk>
      <rc t="1" v="3151"/>
    </bk>
    <bk>
      <rc t="1" v="3152"/>
    </bk>
    <bk>
      <rc t="1" v="3153"/>
    </bk>
    <bk>
      <rc t="1" v="3154"/>
    </bk>
    <bk>
      <rc t="1" v="3155"/>
    </bk>
    <bk>
      <rc t="1" v="3156"/>
    </bk>
    <bk>
      <rc t="1" v="3157"/>
    </bk>
    <bk>
      <rc t="1" v="3158"/>
    </bk>
    <bk>
      <rc t="1" v="3159"/>
    </bk>
    <bk>
      <rc t="1" v="3160"/>
    </bk>
    <bk>
      <rc t="1" v="3161"/>
    </bk>
    <bk>
      <rc t="1" v="3162"/>
    </bk>
    <bk>
      <rc t="1" v="3163"/>
    </bk>
    <bk>
      <rc t="1" v="3164"/>
    </bk>
    <bk>
      <rc t="1" v="3165"/>
    </bk>
    <bk>
      <rc t="1" v="3166"/>
    </bk>
    <bk>
      <rc t="1" v="3167"/>
    </bk>
    <bk>
      <rc t="1" v="3168"/>
    </bk>
    <bk>
      <rc t="1" v="3169"/>
    </bk>
    <bk>
      <rc t="1" v="3170"/>
    </bk>
    <bk>
      <rc t="1" v="3171"/>
    </bk>
    <bk>
      <rc t="1" v="3172"/>
    </bk>
    <bk>
      <rc t="1" v="3173"/>
    </bk>
    <bk>
      <rc t="1" v="3174"/>
    </bk>
    <bk>
      <rc t="1" v="3175"/>
    </bk>
    <bk>
      <rc t="1" v="3176"/>
    </bk>
    <bk>
      <rc t="1" v="3177"/>
    </bk>
    <bk>
      <rc t="1" v="3178"/>
    </bk>
    <bk>
      <rc t="1" v="3179"/>
    </bk>
    <bk>
      <rc t="1" v="3180"/>
    </bk>
    <bk>
      <rc t="1" v="3181"/>
    </bk>
    <bk>
      <rc t="1" v="3182"/>
    </bk>
    <bk>
      <rc t="1" v="3183"/>
    </bk>
    <bk>
      <rc t="1" v="3184"/>
    </bk>
    <bk>
      <rc t="1" v="3185"/>
    </bk>
    <bk>
      <rc t="1" v="3186"/>
    </bk>
    <bk>
      <rc t="1" v="3187"/>
    </bk>
    <bk>
      <rc t="1" v="3188"/>
    </bk>
    <bk>
      <rc t="1" v="3189"/>
    </bk>
    <bk>
      <rc t="1" v="3190"/>
    </bk>
    <bk>
      <rc t="1" v="3191"/>
    </bk>
    <bk>
      <rc t="1" v="3192"/>
    </bk>
    <bk>
      <rc t="1" v="3193"/>
    </bk>
    <bk>
      <rc t="1" v="3194"/>
    </bk>
    <bk>
      <rc t="1" v="3195"/>
    </bk>
    <bk>
      <rc t="1" v="3196"/>
    </bk>
    <bk>
      <rc t="1" v="3197"/>
    </bk>
    <bk>
      <rc t="1" v="3198"/>
    </bk>
    <bk>
      <rc t="1" v="3199"/>
    </bk>
    <bk>
      <rc t="1" v="3200"/>
    </bk>
    <bk>
      <rc t="1" v="3201"/>
    </bk>
    <bk>
      <rc t="1" v="3202"/>
    </bk>
    <bk>
      <rc t="1" v="3203"/>
    </bk>
    <bk>
      <rc t="1" v="3204"/>
    </bk>
    <bk>
      <rc t="1" v="3205"/>
    </bk>
    <bk>
      <rc t="1" v="3206"/>
    </bk>
    <bk>
      <rc t="1" v="3207"/>
    </bk>
    <bk>
      <rc t="1" v="3208"/>
    </bk>
    <bk>
      <rc t="1" v="3209"/>
    </bk>
    <bk>
      <rc t="1" v="3210"/>
    </bk>
    <bk>
      <rc t="1" v="3211"/>
    </bk>
    <bk>
      <rc t="1" v="3212"/>
    </bk>
    <bk>
      <rc t="1" v="3213"/>
    </bk>
    <bk>
      <rc t="1" v="3214"/>
    </bk>
    <bk>
      <rc t="1" v="3215"/>
    </bk>
    <bk>
      <rc t="1" v="3216"/>
    </bk>
    <bk>
      <rc t="1" v="3217"/>
    </bk>
    <bk>
      <rc t="1" v="3218"/>
    </bk>
    <bk>
      <rc t="1" v="3219"/>
    </bk>
    <bk>
      <rc t="1" v="3220"/>
    </bk>
    <bk>
      <rc t="1" v="3221"/>
    </bk>
    <bk>
      <rc t="1" v="3222"/>
    </bk>
    <bk>
      <rc t="1" v="3223"/>
    </bk>
    <bk>
      <rc t="1" v="3224"/>
    </bk>
    <bk>
      <rc t="1" v="3225"/>
    </bk>
    <bk>
      <rc t="1" v="3226"/>
    </bk>
    <bk>
      <rc t="1" v="3227"/>
    </bk>
    <bk>
      <rc t="1" v="3228"/>
    </bk>
    <bk>
      <rc t="1" v="3229"/>
    </bk>
    <bk>
      <rc t="1" v="3230"/>
    </bk>
    <bk>
      <rc t="1" v="3231"/>
    </bk>
    <bk>
      <rc t="1" v="3232"/>
    </bk>
    <bk>
      <rc t="1" v="3233"/>
    </bk>
    <bk>
      <rc t="1" v="3234"/>
    </bk>
    <bk>
      <rc t="1" v="3235"/>
    </bk>
    <bk>
      <rc t="1" v="3236"/>
    </bk>
    <bk>
      <rc t="1" v="3237"/>
    </bk>
    <bk>
      <rc t="1" v="3238"/>
    </bk>
    <bk>
      <rc t="1" v="3239"/>
    </bk>
    <bk>
      <rc t="1" v="3240"/>
    </bk>
    <bk>
      <rc t="1" v="3241"/>
    </bk>
    <bk>
      <rc t="1" v="3242"/>
    </bk>
    <bk>
      <rc t="1" v="3243"/>
    </bk>
    <bk>
      <rc t="1" v="3244"/>
    </bk>
    <bk>
      <rc t="1" v="3245"/>
    </bk>
    <bk>
      <rc t="1" v="3246"/>
    </bk>
    <bk>
      <rc t="1" v="3247"/>
    </bk>
    <bk>
      <rc t="1" v="3248"/>
    </bk>
    <bk>
      <rc t="1" v="3249"/>
    </bk>
    <bk>
      <rc t="1" v="3250"/>
    </bk>
    <bk>
      <rc t="1" v="3251"/>
    </bk>
    <bk>
      <rc t="1" v="3252"/>
    </bk>
    <bk>
      <rc t="1" v="3253"/>
    </bk>
    <bk>
      <rc t="1" v="3254"/>
    </bk>
    <bk>
      <rc t="1" v="3255"/>
    </bk>
    <bk>
      <rc t="1" v="3256"/>
    </bk>
    <bk>
      <rc t="1" v="3257"/>
    </bk>
    <bk>
      <rc t="1" v="3258"/>
    </bk>
    <bk>
      <rc t="1" v="3259"/>
    </bk>
    <bk>
      <rc t="1" v="3260"/>
    </bk>
    <bk>
      <rc t="1" v="3261"/>
    </bk>
    <bk>
      <rc t="1" v="3262"/>
    </bk>
    <bk>
      <rc t="1" v="3263"/>
    </bk>
    <bk>
      <rc t="1" v="3264"/>
    </bk>
    <bk>
      <rc t="1" v="3265"/>
    </bk>
    <bk>
      <rc t="1" v="3266"/>
    </bk>
    <bk>
      <rc t="1" v="3267"/>
    </bk>
    <bk>
      <rc t="1" v="3268"/>
    </bk>
    <bk>
      <rc t="1" v="3269"/>
    </bk>
    <bk>
      <rc t="1" v="3270"/>
    </bk>
    <bk>
      <rc t="1" v="3271"/>
    </bk>
    <bk>
      <rc t="1" v="3272"/>
    </bk>
    <bk>
      <rc t="1" v="3273"/>
    </bk>
    <bk>
      <rc t="1" v="3274"/>
    </bk>
    <bk>
      <rc t="1" v="3275"/>
    </bk>
    <bk>
      <rc t="1" v="3276"/>
    </bk>
    <bk>
      <rc t="1" v="3277"/>
    </bk>
    <bk>
      <rc t="1" v="3278"/>
    </bk>
    <bk>
      <rc t="1" v="3279"/>
    </bk>
    <bk>
      <rc t="1" v="3280"/>
    </bk>
    <bk>
      <rc t="1" v="3281"/>
    </bk>
    <bk>
      <rc t="1" v="3282"/>
    </bk>
    <bk>
      <rc t="1" v="3283"/>
    </bk>
    <bk>
      <rc t="1" v="3284"/>
    </bk>
    <bk>
      <rc t="1" v="3285"/>
    </bk>
    <bk>
      <rc t="1" v="3286"/>
    </bk>
    <bk>
      <rc t="1" v="3287"/>
    </bk>
    <bk>
      <rc t="1" v="3288"/>
    </bk>
    <bk>
      <rc t="1" v="3289"/>
    </bk>
    <bk>
      <rc t="1" v="3290"/>
    </bk>
    <bk>
      <rc t="1" v="3291"/>
    </bk>
    <bk>
      <rc t="1" v="3292"/>
    </bk>
    <bk>
      <rc t="1" v="3293"/>
    </bk>
    <bk>
      <rc t="1" v="3294"/>
    </bk>
    <bk>
      <rc t="1" v="3295"/>
    </bk>
    <bk>
      <rc t="1" v="3296"/>
    </bk>
    <bk>
      <rc t="1" v="3297"/>
    </bk>
    <bk>
      <rc t="1" v="3298"/>
    </bk>
    <bk>
      <rc t="1" v="3299"/>
    </bk>
    <bk>
      <rc t="1" v="3300"/>
    </bk>
    <bk>
      <rc t="1" v="3301"/>
    </bk>
    <bk>
      <rc t="1" v="3302"/>
    </bk>
    <bk>
      <rc t="1" v="3303"/>
    </bk>
    <bk>
      <rc t="1" v="3304"/>
    </bk>
    <bk>
      <rc t="1" v="3305"/>
    </bk>
    <bk>
      <rc t="1" v="3306"/>
    </bk>
    <bk>
      <rc t="1" v="3307"/>
    </bk>
    <bk>
      <rc t="1" v="3308"/>
    </bk>
    <bk>
      <rc t="1" v="3309"/>
    </bk>
    <bk>
      <rc t="1" v="3310"/>
    </bk>
    <bk>
      <rc t="1" v="3311"/>
    </bk>
    <bk>
      <rc t="1" v="3312"/>
    </bk>
    <bk>
      <rc t="1" v="3313"/>
    </bk>
    <bk>
      <rc t="1" v="3314"/>
    </bk>
    <bk>
      <rc t="1" v="3315"/>
    </bk>
    <bk>
      <rc t="1" v="3316"/>
    </bk>
    <bk>
      <rc t="1" v="3317"/>
    </bk>
    <bk>
      <rc t="1" v="3318"/>
    </bk>
    <bk>
      <rc t="1" v="3319"/>
    </bk>
    <bk>
      <rc t="1" v="3320"/>
    </bk>
    <bk>
      <rc t="1" v="3321"/>
    </bk>
    <bk>
      <rc t="1" v="3322"/>
    </bk>
    <bk>
      <rc t="1" v="3323"/>
    </bk>
    <bk>
      <rc t="1" v="3324"/>
    </bk>
    <bk>
      <rc t="1" v="3325"/>
    </bk>
    <bk>
      <rc t="1" v="3326"/>
    </bk>
    <bk>
      <rc t="1" v="3327"/>
    </bk>
    <bk>
      <rc t="1" v="3328"/>
    </bk>
    <bk>
      <rc t="1" v="3329"/>
    </bk>
    <bk>
      <rc t="1" v="3330"/>
    </bk>
    <bk>
      <rc t="1" v="3331"/>
    </bk>
    <bk>
      <rc t="1" v="3332"/>
    </bk>
    <bk>
      <rc t="1" v="3333"/>
    </bk>
    <bk>
      <rc t="1" v="3334"/>
    </bk>
    <bk>
      <rc t="1" v="3335"/>
    </bk>
    <bk>
      <rc t="1" v="3336"/>
    </bk>
    <bk>
      <rc t="1" v="3337"/>
    </bk>
    <bk>
      <rc t="1" v="3338"/>
    </bk>
    <bk>
      <rc t="1" v="3339"/>
    </bk>
    <bk>
      <rc t="1" v="3340"/>
    </bk>
    <bk>
      <rc t="1" v="3341"/>
    </bk>
    <bk>
      <rc t="1" v="3342"/>
    </bk>
    <bk>
      <rc t="1" v="3343"/>
    </bk>
    <bk>
      <rc t="1" v="3344"/>
    </bk>
    <bk>
      <rc t="1" v="3345"/>
    </bk>
    <bk>
      <rc t="1" v="3346"/>
    </bk>
    <bk>
      <rc t="1" v="3347"/>
    </bk>
    <bk>
      <rc t="1" v="3348"/>
    </bk>
    <bk>
      <rc t="1" v="3349"/>
    </bk>
    <bk>
      <rc t="1" v="3350"/>
    </bk>
    <bk>
      <rc t="1" v="3351"/>
    </bk>
    <bk>
      <rc t="1" v="3352"/>
    </bk>
    <bk>
      <rc t="1" v="3353"/>
    </bk>
    <bk>
      <rc t="1" v="3354"/>
    </bk>
    <bk>
      <rc t="1" v="3355"/>
    </bk>
    <bk>
      <rc t="1" v="3356"/>
    </bk>
    <bk>
      <rc t="1" v="3357"/>
    </bk>
    <bk>
      <rc t="1" v="3358"/>
    </bk>
    <bk>
      <rc t="1" v="3359"/>
    </bk>
    <bk>
      <rc t="1" v="3360"/>
    </bk>
    <bk>
      <rc t="1" v="3361"/>
    </bk>
    <bk>
      <rc t="1" v="3362"/>
    </bk>
    <bk>
      <rc t="1" v="3363"/>
    </bk>
    <bk>
      <rc t="1" v="3364"/>
    </bk>
    <bk>
      <rc t="1" v="3365"/>
    </bk>
    <bk>
      <rc t="1" v="3366"/>
    </bk>
    <bk>
      <rc t="1" v="3367"/>
    </bk>
    <bk>
      <rc t="1" v="3368"/>
    </bk>
    <bk>
      <rc t="1" v="3369"/>
    </bk>
    <bk>
      <rc t="1" v="3370"/>
    </bk>
    <bk>
      <rc t="1" v="3371"/>
    </bk>
    <bk>
      <rc t="1" v="3372"/>
    </bk>
    <bk>
      <rc t="1" v="3373"/>
    </bk>
    <bk>
      <rc t="1" v="3374"/>
    </bk>
    <bk>
      <rc t="1" v="3375"/>
    </bk>
    <bk>
      <rc t="1" v="3376"/>
    </bk>
    <bk>
      <rc t="1" v="3377"/>
    </bk>
    <bk>
      <rc t="1" v="3378"/>
    </bk>
    <bk>
      <rc t="1" v="3379"/>
    </bk>
    <bk>
      <rc t="1" v="3380"/>
    </bk>
    <bk>
      <rc t="1" v="3381"/>
    </bk>
    <bk>
      <rc t="1" v="3382"/>
    </bk>
    <bk>
      <rc t="1" v="3383"/>
    </bk>
    <bk>
      <rc t="1" v="3384"/>
    </bk>
    <bk>
      <rc t="1" v="3385"/>
    </bk>
    <bk>
      <rc t="1" v="3386"/>
    </bk>
    <bk>
      <rc t="1" v="3387"/>
    </bk>
    <bk>
      <rc t="1" v="3388"/>
    </bk>
    <bk>
      <rc t="1" v="3389"/>
    </bk>
    <bk>
      <rc t="1" v="3390"/>
    </bk>
    <bk>
      <rc t="1" v="3391"/>
    </bk>
    <bk>
      <rc t="1" v="3392"/>
    </bk>
    <bk>
      <rc t="1" v="3393"/>
    </bk>
    <bk>
      <rc t="1" v="3394"/>
    </bk>
    <bk>
      <rc t="1" v="3395"/>
    </bk>
    <bk>
      <rc t="1" v="3396"/>
    </bk>
    <bk>
      <rc t="1" v="3397"/>
    </bk>
    <bk>
      <rc t="1" v="3398"/>
    </bk>
    <bk>
      <rc t="1" v="3399"/>
    </bk>
    <bk>
      <rc t="1" v="3400"/>
    </bk>
    <bk>
      <rc t="1" v="3401"/>
    </bk>
    <bk>
      <rc t="1" v="3402"/>
    </bk>
    <bk>
      <rc t="1" v="3403"/>
    </bk>
    <bk>
      <rc t="1" v="3404"/>
    </bk>
    <bk>
      <rc t="1" v="3405"/>
    </bk>
    <bk>
      <rc t="1" v="3406"/>
    </bk>
    <bk>
      <rc t="1" v="3407"/>
    </bk>
    <bk>
      <rc t="1" v="3408"/>
    </bk>
    <bk>
      <rc t="1" v="3409"/>
    </bk>
    <bk>
      <rc t="1" v="3410"/>
    </bk>
    <bk>
      <rc t="1" v="3411"/>
    </bk>
    <bk>
      <rc t="1" v="3412"/>
    </bk>
    <bk>
      <rc t="1" v="3413"/>
    </bk>
    <bk>
      <rc t="1" v="3414"/>
    </bk>
    <bk>
      <rc t="1" v="3415"/>
    </bk>
    <bk>
      <rc t="1" v="3416"/>
    </bk>
    <bk>
      <rc t="1" v="3417"/>
    </bk>
    <bk>
      <rc t="1" v="3418"/>
    </bk>
    <bk>
      <rc t="1" v="3419"/>
    </bk>
    <bk>
      <rc t="1" v="3420"/>
    </bk>
    <bk>
      <rc t="1" v="3421"/>
    </bk>
    <bk>
      <rc t="1" v="3422"/>
    </bk>
    <bk>
      <rc t="1" v="3423"/>
    </bk>
    <bk>
      <rc t="1" v="3424"/>
    </bk>
    <bk>
      <rc t="1" v="3425"/>
    </bk>
    <bk>
      <rc t="1" v="3426"/>
    </bk>
    <bk>
      <rc t="1" v="3427"/>
    </bk>
    <bk>
      <rc t="1" v="3428"/>
    </bk>
    <bk>
      <rc t="1" v="3429"/>
    </bk>
    <bk>
      <rc t="1" v="3430"/>
    </bk>
    <bk>
      <rc t="1" v="3431"/>
    </bk>
    <bk>
      <rc t="1" v="3432"/>
    </bk>
    <bk>
      <rc t="1" v="3433"/>
    </bk>
    <bk>
      <rc t="1" v="3434"/>
    </bk>
    <bk>
      <rc t="1" v="3435"/>
    </bk>
    <bk>
      <rc t="1" v="3436"/>
    </bk>
    <bk>
      <rc t="1" v="3437"/>
    </bk>
    <bk>
      <rc t="1" v="3438"/>
    </bk>
    <bk>
      <rc t="1" v="3439"/>
    </bk>
    <bk>
      <rc t="1" v="3440"/>
    </bk>
    <bk>
      <rc t="1" v="3441"/>
    </bk>
    <bk>
      <rc t="1" v="3442"/>
    </bk>
    <bk>
      <rc t="1" v="3443"/>
    </bk>
    <bk>
      <rc t="1" v="3444"/>
    </bk>
    <bk>
      <rc t="1" v="3445"/>
    </bk>
    <bk>
      <rc t="1" v="3446"/>
    </bk>
    <bk>
      <rc t="1" v="3447"/>
    </bk>
    <bk>
      <rc t="1" v="3448"/>
    </bk>
    <bk>
      <rc t="1" v="3449"/>
    </bk>
    <bk>
      <rc t="1" v="3450"/>
    </bk>
    <bk>
      <rc t="1" v="3451"/>
    </bk>
    <bk>
      <rc t="1" v="3452"/>
    </bk>
    <bk>
      <rc t="1" v="3453"/>
    </bk>
    <bk>
      <rc t="1" v="3454"/>
    </bk>
    <bk>
      <rc t="1" v="3455"/>
    </bk>
    <bk>
      <rc t="1" v="3456"/>
    </bk>
    <bk>
      <rc t="1" v="3457"/>
    </bk>
    <bk>
      <rc t="1" v="3458"/>
    </bk>
    <bk>
      <rc t="1" v="3459"/>
    </bk>
    <bk>
      <rc t="1" v="3460"/>
    </bk>
    <bk>
      <rc t="1" v="3461"/>
    </bk>
    <bk>
      <rc t="1" v="3462"/>
    </bk>
    <bk>
      <rc t="1" v="3463"/>
    </bk>
    <bk>
      <rc t="1" v="3464"/>
    </bk>
    <bk>
      <rc t="1" v="3465"/>
    </bk>
    <bk>
      <rc t="1" v="3466"/>
    </bk>
    <bk>
      <rc t="1" v="3467"/>
    </bk>
    <bk>
      <rc t="1" v="3468"/>
    </bk>
    <bk>
      <rc t="1" v="3469"/>
    </bk>
    <bk>
      <rc t="1" v="3470"/>
    </bk>
    <bk>
      <rc t="1" v="3471"/>
    </bk>
    <bk>
      <rc t="1" v="3472"/>
    </bk>
    <bk>
      <rc t="1" v="3473"/>
    </bk>
    <bk>
      <rc t="1" v="3474"/>
    </bk>
    <bk>
      <rc t="1" v="3475"/>
    </bk>
    <bk>
      <rc t="1" v="3476"/>
    </bk>
    <bk>
      <rc t="1" v="3477"/>
    </bk>
    <bk>
      <rc t="1" v="3478"/>
    </bk>
    <bk>
      <rc t="1" v="3479"/>
    </bk>
    <bk>
      <rc t="1" v="3480"/>
    </bk>
    <bk>
      <rc t="1" v="3481"/>
    </bk>
    <bk>
      <rc t="1" v="3482"/>
    </bk>
    <bk>
      <rc t="1" v="3483"/>
    </bk>
    <bk>
      <rc t="1" v="3484"/>
    </bk>
    <bk>
      <rc t="1" v="3485"/>
    </bk>
    <bk>
      <rc t="1" v="3486"/>
    </bk>
    <bk>
      <rc t="1" v="3487"/>
    </bk>
    <bk>
      <rc t="1" v="3488"/>
    </bk>
    <bk>
      <rc t="1" v="3489"/>
    </bk>
    <bk>
      <rc t="1" v="3490"/>
    </bk>
    <bk>
      <rc t="1" v="3491"/>
    </bk>
    <bk>
      <rc t="1" v="3492"/>
    </bk>
    <bk>
      <rc t="1" v="3493"/>
    </bk>
    <bk>
      <rc t="1" v="3494"/>
    </bk>
    <bk>
      <rc t="1" v="3495"/>
    </bk>
    <bk>
      <rc t="1" v="3496"/>
    </bk>
    <bk>
      <rc t="1" v="3497"/>
    </bk>
    <bk>
      <rc t="1" v="3498"/>
    </bk>
    <bk>
      <rc t="1" v="3499"/>
    </bk>
    <bk>
      <rc t="1" v="3500"/>
    </bk>
    <bk>
      <rc t="1" v="3501"/>
    </bk>
    <bk>
      <rc t="1" v="3502"/>
    </bk>
    <bk>
      <rc t="1" v="3503"/>
    </bk>
    <bk>
      <rc t="1" v="3504"/>
    </bk>
    <bk>
      <rc t="1" v="3505"/>
    </bk>
    <bk>
      <rc t="1" v="3506"/>
    </bk>
    <bk>
      <rc t="1" v="3507"/>
    </bk>
    <bk>
      <rc t="1" v="3508"/>
    </bk>
    <bk>
      <rc t="1" v="3509"/>
    </bk>
    <bk>
      <rc t="1" v="3510"/>
    </bk>
    <bk>
      <rc t="1" v="3511"/>
    </bk>
    <bk>
      <rc t="1" v="3512"/>
    </bk>
    <bk>
      <rc t="1" v="3513"/>
    </bk>
    <bk>
      <rc t="1" v="3514"/>
    </bk>
    <bk>
      <rc t="1" v="3515"/>
    </bk>
    <bk>
      <rc t="1" v="3516"/>
    </bk>
    <bk>
      <rc t="1" v="3517"/>
    </bk>
    <bk>
      <rc t="1" v="3518"/>
    </bk>
    <bk>
      <rc t="1" v="3519"/>
    </bk>
    <bk>
      <rc t="1" v="3520"/>
    </bk>
    <bk>
      <rc t="1" v="3521"/>
    </bk>
    <bk>
      <rc t="1" v="3522"/>
    </bk>
    <bk>
      <rc t="1" v="3523"/>
    </bk>
    <bk>
      <rc t="1" v="3524"/>
    </bk>
    <bk>
      <rc t="1" v="3525"/>
    </bk>
    <bk>
      <rc t="1" v="3526"/>
    </bk>
    <bk>
      <rc t="1" v="3527"/>
    </bk>
    <bk>
      <rc t="1" v="3528"/>
    </bk>
    <bk>
      <rc t="1" v="3529"/>
    </bk>
    <bk>
      <rc t="1" v="3530"/>
    </bk>
    <bk>
      <rc t="1" v="3531"/>
    </bk>
    <bk>
      <rc t="1" v="3532"/>
    </bk>
    <bk>
      <rc t="1" v="3533"/>
    </bk>
    <bk>
      <rc t="1" v="3534"/>
    </bk>
    <bk>
      <rc t="1" v="3535"/>
    </bk>
    <bk>
      <rc t="1" v="3536"/>
    </bk>
    <bk>
      <rc t="1" v="3537"/>
    </bk>
    <bk>
      <rc t="1" v="3538"/>
    </bk>
    <bk>
      <rc t="1" v="3539"/>
    </bk>
    <bk>
      <rc t="1" v="3540"/>
    </bk>
    <bk>
      <rc t="1" v="3541"/>
    </bk>
    <bk>
      <rc t="1" v="3542"/>
    </bk>
    <bk>
      <rc t="1" v="3543"/>
    </bk>
    <bk>
      <rc t="1" v="3544"/>
    </bk>
    <bk>
      <rc t="1" v="3545"/>
    </bk>
    <bk>
      <rc t="1" v="3546"/>
    </bk>
    <bk>
      <rc t="1" v="3547"/>
    </bk>
    <bk>
      <rc t="1" v="3548"/>
    </bk>
    <bk>
      <rc t="1" v="3549"/>
    </bk>
    <bk>
      <rc t="1" v="3550"/>
    </bk>
    <bk>
      <rc t="1" v="3551"/>
    </bk>
    <bk>
      <rc t="1" v="3552"/>
    </bk>
    <bk>
      <rc t="1" v="3553"/>
    </bk>
    <bk>
      <rc t="1" v="3554"/>
    </bk>
    <bk>
      <rc t="1" v="3555"/>
    </bk>
    <bk>
      <rc t="1" v="3556"/>
    </bk>
    <bk>
      <rc t="1" v="3557"/>
    </bk>
    <bk>
      <rc t="1" v="3558"/>
    </bk>
    <bk>
      <rc t="1" v="3559"/>
    </bk>
    <bk>
      <rc t="1" v="3560"/>
    </bk>
    <bk>
      <rc t="1" v="3561"/>
    </bk>
    <bk>
      <rc t="1" v="3562"/>
    </bk>
    <bk>
      <rc t="1" v="3563"/>
    </bk>
    <bk>
      <rc t="1" v="3564"/>
    </bk>
    <bk>
      <rc t="1" v="3565"/>
    </bk>
    <bk>
      <rc t="1" v="3566"/>
    </bk>
    <bk>
      <rc t="1" v="3567"/>
    </bk>
    <bk>
      <rc t="1" v="3568"/>
    </bk>
    <bk>
      <rc t="1" v="3569"/>
    </bk>
    <bk>
      <rc t="1" v="3570"/>
    </bk>
    <bk>
      <rc t="1" v="3571"/>
    </bk>
    <bk>
      <rc t="1" v="3572"/>
    </bk>
    <bk>
      <rc t="1" v="3573"/>
    </bk>
    <bk>
      <rc t="1" v="3574"/>
    </bk>
    <bk>
      <rc t="1" v="3575"/>
    </bk>
    <bk>
      <rc t="1" v="3576"/>
    </bk>
    <bk>
      <rc t="1" v="3577"/>
    </bk>
    <bk>
      <rc t="1" v="3578"/>
    </bk>
    <bk>
      <rc t="1" v="3579"/>
    </bk>
    <bk>
      <rc t="1" v="3580"/>
    </bk>
    <bk>
      <rc t="1" v="3581"/>
    </bk>
    <bk>
      <rc t="1" v="3582"/>
    </bk>
    <bk>
      <rc t="1" v="3583"/>
    </bk>
    <bk>
      <rc t="1" v="3584"/>
    </bk>
    <bk>
      <rc t="1" v="3585"/>
    </bk>
    <bk>
      <rc t="1" v="3586"/>
    </bk>
    <bk>
      <rc t="1" v="3587"/>
    </bk>
    <bk>
      <rc t="1" v="3588"/>
    </bk>
    <bk>
      <rc t="1" v="3589"/>
    </bk>
    <bk>
      <rc t="1" v="3590"/>
    </bk>
    <bk>
      <rc t="1" v="3591"/>
    </bk>
    <bk>
      <rc t="1" v="3592"/>
    </bk>
    <bk>
      <rc t="1" v="3593"/>
    </bk>
    <bk>
      <rc t="1" v="3594"/>
    </bk>
    <bk>
      <rc t="1" v="3595"/>
    </bk>
    <bk>
      <rc t="1" v="3596"/>
    </bk>
    <bk>
      <rc t="1" v="3597"/>
    </bk>
    <bk>
      <rc t="1" v="3598"/>
    </bk>
    <bk>
      <rc t="1" v="3599"/>
    </bk>
    <bk>
      <rc t="1" v="3600"/>
    </bk>
    <bk>
      <rc t="1" v="3601"/>
    </bk>
    <bk>
      <rc t="1" v="3602"/>
    </bk>
    <bk>
      <rc t="1" v="3603"/>
    </bk>
    <bk>
      <rc t="1" v="3604"/>
    </bk>
    <bk>
      <rc t="1" v="3605"/>
    </bk>
    <bk>
      <rc t="1" v="3606"/>
    </bk>
    <bk>
      <rc t="1" v="3607"/>
    </bk>
    <bk>
      <rc t="1" v="3608"/>
    </bk>
    <bk>
      <rc t="1" v="3609"/>
    </bk>
    <bk>
      <rc t="1" v="3610"/>
    </bk>
    <bk>
      <rc t="1" v="3611"/>
    </bk>
    <bk>
      <rc t="1" v="3612"/>
    </bk>
    <bk>
      <rc t="1" v="3613"/>
    </bk>
    <bk>
      <rc t="1" v="3614"/>
    </bk>
    <bk>
      <rc t="1" v="3615"/>
    </bk>
    <bk>
      <rc t="1" v="3616"/>
    </bk>
    <bk>
      <rc t="1" v="3617"/>
    </bk>
    <bk>
      <rc t="1" v="3618"/>
    </bk>
    <bk>
      <rc t="1" v="3619"/>
    </bk>
    <bk>
      <rc t="1" v="3620"/>
    </bk>
    <bk>
      <rc t="1" v="3621"/>
    </bk>
    <bk>
      <rc t="1" v="3622"/>
    </bk>
    <bk>
      <rc t="1" v="3623"/>
    </bk>
    <bk>
      <rc t="1" v="3624"/>
    </bk>
    <bk>
      <rc t="1" v="3625"/>
    </bk>
    <bk>
      <rc t="1" v="3626"/>
    </bk>
    <bk>
      <rc t="1" v="3627"/>
    </bk>
    <bk>
      <rc t="1" v="3628"/>
    </bk>
    <bk>
      <rc t="1" v="3629"/>
    </bk>
    <bk>
      <rc t="1" v="3630"/>
    </bk>
    <bk>
      <rc t="1" v="3631"/>
    </bk>
    <bk>
      <rc t="1" v="3632"/>
    </bk>
    <bk>
      <rc t="1" v="3633"/>
    </bk>
    <bk>
      <rc t="1" v="3634"/>
    </bk>
    <bk>
      <rc t="1" v="3635"/>
    </bk>
    <bk>
      <rc t="1" v="3636"/>
    </bk>
    <bk>
      <rc t="1" v="3637"/>
    </bk>
    <bk>
      <rc t="1" v="3638"/>
    </bk>
    <bk>
      <rc t="1" v="3639"/>
    </bk>
    <bk>
      <rc t="1" v="3640"/>
    </bk>
    <bk>
      <rc t="1" v="3641"/>
    </bk>
    <bk>
      <rc t="1" v="3642"/>
    </bk>
    <bk>
      <rc t="1" v="3643"/>
    </bk>
    <bk>
      <rc t="1" v="3644"/>
    </bk>
    <bk>
      <rc t="1" v="3645"/>
    </bk>
    <bk>
      <rc t="1" v="3646"/>
    </bk>
    <bk>
      <rc t="1" v="3647"/>
    </bk>
    <bk>
      <rc t="1" v="3648"/>
    </bk>
    <bk>
      <rc t="1" v="3649"/>
    </bk>
    <bk>
      <rc t="1" v="3650"/>
    </bk>
    <bk>
      <rc t="1" v="3651"/>
    </bk>
    <bk>
      <rc t="1" v="3652"/>
    </bk>
    <bk>
      <rc t="1" v="3653"/>
    </bk>
    <bk>
      <rc t="1" v="3654"/>
    </bk>
    <bk>
      <rc t="1" v="3655"/>
    </bk>
    <bk>
      <rc t="1" v="3656"/>
    </bk>
    <bk>
      <rc t="1" v="3657"/>
    </bk>
    <bk>
      <rc t="1" v="3658"/>
    </bk>
    <bk>
      <rc t="1" v="3659"/>
    </bk>
    <bk>
      <rc t="1" v="3660"/>
    </bk>
    <bk>
      <rc t="1" v="3661"/>
    </bk>
    <bk>
      <rc t="1" v="3662"/>
    </bk>
    <bk>
      <rc t="1" v="3663"/>
    </bk>
    <bk>
      <rc t="1" v="3664"/>
    </bk>
    <bk>
      <rc t="1" v="3665"/>
    </bk>
    <bk>
      <rc t="1" v="3666"/>
    </bk>
    <bk>
      <rc t="1" v="3667"/>
    </bk>
    <bk>
      <rc t="1" v="3668"/>
    </bk>
    <bk>
      <rc t="1" v="3669"/>
    </bk>
    <bk>
      <rc t="1" v="3670"/>
    </bk>
    <bk>
      <rc t="1" v="3671"/>
    </bk>
    <bk>
      <rc t="1" v="3672"/>
    </bk>
    <bk>
      <rc t="1" v="3673"/>
    </bk>
    <bk>
      <rc t="1" v="3674"/>
    </bk>
    <bk>
      <rc t="1" v="3675"/>
    </bk>
    <bk>
      <rc t="1" v="3676"/>
    </bk>
    <bk>
      <rc t="1" v="3677"/>
    </bk>
    <bk>
      <rc t="1" v="3678"/>
    </bk>
    <bk>
      <rc t="1" v="3679"/>
    </bk>
    <bk>
      <rc t="1" v="3680"/>
    </bk>
    <bk>
      <rc t="1" v="3681"/>
    </bk>
    <bk>
      <rc t="1" v="3682"/>
    </bk>
    <bk>
      <rc t="1" v="3683"/>
    </bk>
    <bk>
      <rc t="1" v="3684"/>
    </bk>
    <bk>
      <rc t="1" v="3685"/>
    </bk>
    <bk>
      <rc t="1" v="3686"/>
    </bk>
    <bk>
      <rc t="1" v="3687"/>
    </bk>
    <bk>
      <rc t="1" v="3688"/>
    </bk>
    <bk>
      <rc t="1" v="3689"/>
    </bk>
    <bk>
      <rc t="1" v="3690"/>
    </bk>
    <bk>
      <rc t="1" v="3691"/>
    </bk>
    <bk>
      <rc t="1" v="3692"/>
    </bk>
    <bk>
      <rc t="1" v="3693"/>
    </bk>
    <bk>
      <rc t="1" v="3694"/>
    </bk>
    <bk>
      <rc t="1" v="3695"/>
    </bk>
    <bk>
      <rc t="1" v="3696"/>
    </bk>
    <bk>
      <rc t="1" v="3697"/>
    </bk>
    <bk>
      <rc t="1" v="3698"/>
    </bk>
    <bk>
      <rc t="1" v="3699"/>
    </bk>
    <bk>
      <rc t="1" v="3700"/>
    </bk>
    <bk>
      <rc t="1" v="3701"/>
    </bk>
    <bk>
      <rc t="1" v="3702"/>
    </bk>
    <bk>
      <rc t="1" v="3703"/>
    </bk>
    <bk>
      <rc t="1" v="3704"/>
    </bk>
    <bk>
      <rc t="1" v="3705"/>
    </bk>
    <bk>
      <rc t="1" v="3706"/>
    </bk>
    <bk>
      <rc t="1" v="3707"/>
    </bk>
    <bk>
      <rc t="1" v="3708"/>
    </bk>
    <bk>
      <rc t="1" v="3709"/>
    </bk>
    <bk>
      <rc t="1" v="3710"/>
    </bk>
    <bk>
      <rc t="1" v="3711"/>
    </bk>
    <bk>
      <rc t="1" v="3712"/>
    </bk>
    <bk>
      <rc t="1" v="3713"/>
    </bk>
    <bk>
      <rc t="1" v="3714"/>
    </bk>
    <bk>
      <rc t="1" v="3715"/>
    </bk>
    <bk>
      <rc t="1" v="3716"/>
    </bk>
    <bk>
      <rc t="1" v="3717"/>
    </bk>
    <bk>
      <rc t="1" v="3718"/>
    </bk>
    <bk>
      <rc t="1" v="3719"/>
    </bk>
    <bk>
      <rc t="1" v="3720"/>
    </bk>
    <bk>
      <rc t="1" v="3721"/>
    </bk>
    <bk>
      <rc t="1" v="3722"/>
    </bk>
    <bk>
      <rc t="1" v="3723"/>
    </bk>
    <bk>
      <rc t="1" v="3724"/>
    </bk>
    <bk>
      <rc t="1" v="3725"/>
    </bk>
    <bk>
      <rc t="1" v="3726"/>
    </bk>
    <bk>
      <rc t="1" v="3727"/>
    </bk>
    <bk>
      <rc t="1" v="3728"/>
    </bk>
    <bk>
      <rc t="1" v="3729"/>
    </bk>
    <bk>
      <rc t="1" v="3730"/>
    </bk>
    <bk>
      <rc t="1" v="3731"/>
    </bk>
    <bk>
      <rc t="1" v="3732"/>
    </bk>
    <bk>
      <rc t="1" v="3733"/>
    </bk>
    <bk>
      <rc t="1" v="3734"/>
    </bk>
    <bk>
      <rc t="1" v="3735"/>
    </bk>
    <bk>
      <rc t="1" v="3736"/>
    </bk>
    <bk>
      <rc t="1" v="3737"/>
    </bk>
    <bk>
      <rc t="1" v="3738"/>
    </bk>
    <bk>
      <rc t="1" v="3739"/>
    </bk>
    <bk>
      <rc t="1" v="3740"/>
    </bk>
    <bk>
      <rc t="1" v="3741"/>
    </bk>
    <bk>
      <rc t="1" v="3742"/>
    </bk>
    <bk>
      <rc t="1" v="3743"/>
    </bk>
    <bk>
      <rc t="1" v="3744"/>
    </bk>
    <bk>
      <rc t="1" v="3745"/>
    </bk>
    <bk>
      <rc t="1" v="3746"/>
    </bk>
    <bk>
      <rc t="1" v="3747"/>
    </bk>
    <bk>
      <rc t="1" v="3748"/>
    </bk>
    <bk>
      <rc t="1" v="3749"/>
    </bk>
    <bk>
      <rc t="1" v="3750"/>
    </bk>
    <bk>
      <rc t="1" v="3751"/>
    </bk>
    <bk>
      <rc t="1" v="3752"/>
    </bk>
    <bk>
      <rc t="1" v="3753"/>
    </bk>
    <bk>
      <rc t="1" v="3754"/>
    </bk>
    <bk>
      <rc t="1" v="3755"/>
    </bk>
    <bk>
      <rc t="1" v="3756"/>
    </bk>
    <bk>
      <rc t="1" v="3757"/>
    </bk>
    <bk>
      <rc t="1" v="3758"/>
    </bk>
    <bk>
      <rc t="1" v="3759"/>
    </bk>
    <bk>
      <rc t="1" v="3760"/>
    </bk>
    <bk>
      <rc t="1" v="3761"/>
    </bk>
    <bk>
      <rc t="1" v="3762"/>
    </bk>
    <bk>
      <rc t="1" v="3763"/>
    </bk>
    <bk>
      <rc t="1" v="3764"/>
    </bk>
    <bk>
      <rc t="1" v="3765"/>
    </bk>
    <bk>
      <rc t="1" v="3766"/>
    </bk>
    <bk>
      <rc t="1" v="3767"/>
    </bk>
    <bk>
      <rc t="1" v="3768"/>
    </bk>
    <bk>
      <rc t="1" v="3769"/>
    </bk>
    <bk>
      <rc t="1" v="3770"/>
    </bk>
    <bk>
      <rc t="1" v="3771"/>
    </bk>
    <bk>
      <rc t="1" v="3772"/>
    </bk>
    <bk>
      <rc t="1" v="3773"/>
    </bk>
    <bk>
      <rc t="1" v="3774"/>
    </bk>
    <bk>
      <rc t="1" v="3775"/>
    </bk>
    <bk>
      <rc t="1" v="3776"/>
    </bk>
    <bk>
      <rc t="1" v="3777"/>
    </bk>
    <bk>
      <rc t="1" v="3778"/>
    </bk>
    <bk>
      <rc t="1" v="3779"/>
    </bk>
    <bk>
      <rc t="1" v="3780"/>
    </bk>
    <bk>
      <rc t="1" v="3781"/>
    </bk>
    <bk>
      <rc t="1" v="3782"/>
    </bk>
    <bk>
      <rc t="1" v="3783"/>
    </bk>
    <bk>
      <rc t="1" v="3784"/>
    </bk>
    <bk>
      <rc t="1" v="3785"/>
    </bk>
    <bk>
      <rc t="1" v="3786"/>
    </bk>
    <bk>
      <rc t="1" v="3787"/>
    </bk>
    <bk>
      <rc t="1" v="3788"/>
    </bk>
    <bk>
      <rc t="1" v="3789"/>
    </bk>
    <bk>
      <rc t="1" v="3790"/>
    </bk>
    <bk>
      <rc t="1" v="3791"/>
    </bk>
    <bk>
      <rc t="1" v="3792"/>
    </bk>
    <bk>
      <rc t="1" v="3793"/>
    </bk>
    <bk>
      <rc t="1" v="3794"/>
    </bk>
    <bk>
      <rc t="1" v="3795"/>
    </bk>
    <bk>
      <rc t="1" v="3796"/>
    </bk>
    <bk>
      <rc t="1" v="3797"/>
    </bk>
    <bk>
      <rc t="1" v="3798"/>
    </bk>
    <bk>
      <rc t="1" v="3799"/>
    </bk>
    <bk>
      <rc t="1" v="3800"/>
    </bk>
    <bk>
      <rc t="1" v="3801"/>
    </bk>
    <bk>
      <rc t="1" v="3802"/>
    </bk>
    <bk>
      <rc t="1" v="3803"/>
    </bk>
    <bk>
      <rc t="1" v="3804"/>
    </bk>
    <bk>
      <rc t="1" v="3805"/>
    </bk>
    <bk>
      <rc t="1" v="3806"/>
    </bk>
    <bk>
      <rc t="1" v="3807"/>
    </bk>
    <bk>
      <rc t="1" v="3808"/>
    </bk>
    <bk>
      <rc t="1" v="3809"/>
    </bk>
    <bk>
      <rc t="1" v="3810"/>
    </bk>
    <bk>
      <rc t="1" v="3811"/>
    </bk>
    <bk>
      <rc t="1" v="3812"/>
    </bk>
    <bk>
      <rc t="1" v="3813"/>
    </bk>
    <bk>
      <rc t="1" v="3814"/>
    </bk>
    <bk>
      <rc t="1" v="3815"/>
    </bk>
    <bk>
      <rc t="1" v="3816"/>
    </bk>
    <bk>
      <rc t="1" v="3817"/>
    </bk>
    <bk>
      <rc t="1" v="3818"/>
    </bk>
    <bk>
      <rc t="1" v="3819"/>
    </bk>
    <bk>
      <rc t="1" v="3820"/>
    </bk>
    <bk>
      <rc t="1" v="3821"/>
    </bk>
    <bk>
      <rc t="1" v="3822"/>
    </bk>
    <bk>
      <rc t="1" v="3823"/>
    </bk>
    <bk>
      <rc t="1" v="3824"/>
    </bk>
    <bk>
      <rc t="1" v="3825"/>
    </bk>
    <bk>
      <rc t="1" v="3826"/>
    </bk>
    <bk>
      <rc t="1" v="3827"/>
    </bk>
    <bk>
      <rc t="1" v="3828"/>
    </bk>
    <bk>
      <rc t="1" v="3829"/>
    </bk>
    <bk>
      <rc t="1" v="3830"/>
    </bk>
    <bk>
      <rc t="1" v="3831"/>
    </bk>
    <bk>
      <rc t="1" v="3832"/>
    </bk>
    <bk>
      <rc t="1" v="3833"/>
    </bk>
    <bk>
      <rc t="1" v="3834"/>
    </bk>
    <bk>
      <rc t="1" v="3835"/>
    </bk>
    <bk>
      <rc t="1" v="3836"/>
    </bk>
    <bk>
      <rc t="1" v="3837"/>
    </bk>
    <bk>
      <rc t="1" v="3838"/>
    </bk>
    <bk>
      <rc t="1" v="3839"/>
    </bk>
    <bk>
      <rc t="1" v="3840"/>
    </bk>
    <bk>
      <rc t="1" v="3841"/>
    </bk>
    <bk>
      <rc t="1" v="3842"/>
    </bk>
    <bk>
      <rc t="1" v="3843"/>
    </bk>
    <bk>
      <rc t="1" v="3844"/>
    </bk>
    <bk>
      <rc t="1" v="3845"/>
    </bk>
    <bk>
      <rc t="1" v="3846"/>
    </bk>
    <bk>
      <rc t="1" v="3847"/>
    </bk>
    <bk>
      <rc t="1" v="3848"/>
    </bk>
    <bk>
      <rc t="1" v="3849"/>
    </bk>
    <bk>
      <rc t="1" v="3850"/>
    </bk>
    <bk>
      <rc t="1" v="3851"/>
    </bk>
    <bk>
      <rc t="1" v="3852"/>
    </bk>
    <bk>
      <rc t="1" v="3853"/>
    </bk>
    <bk>
      <rc t="1" v="3854"/>
    </bk>
    <bk>
      <rc t="1" v="3855"/>
    </bk>
    <bk>
      <rc t="1" v="3856"/>
    </bk>
    <bk>
      <rc t="1" v="3857"/>
    </bk>
    <bk>
      <rc t="1" v="3858"/>
    </bk>
    <bk>
      <rc t="1" v="3859"/>
    </bk>
    <bk>
      <rc t="1" v="3860"/>
    </bk>
    <bk>
      <rc t="1" v="3861"/>
    </bk>
    <bk>
      <rc t="1" v="3862"/>
    </bk>
    <bk>
      <rc t="1" v="3863"/>
    </bk>
    <bk>
      <rc t="1" v="3864"/>
    </bk>
    <bk>
      <rc t="1" v="3865"/>
    </bk>
    <bk>
      <rc t="1" v="3866"/>
    </bk>
    <bk>
      <rc t="1" v="3867"/>
    </bk>
    <bk>
      <rc t="1" v="3868"/>
    </bk>
    <bk>
      <rc t="1" v="3869"/>
    </bk>
    <bk>
      <rc t="1" v="3870"/>
    </bk>
    <bk>
      <rc t="1" v="3871"/>
    </bk>
    <bk>
      <rc t="1" v="3872"/>
    </bk>
    <bk>
      <rc t="1" v="3873"/>
    </bk>
    <bk>
      <rc t="1" v="3874"/>
    </bk>
    <bk>
      <rc t="1" v="3875"/>
    </bk>
    <bk>
      <rc t="1" v="3876"/>
    </bk>
    <bk>
      <rc t="1" v="3877"/>
    </bk>
    <bk>
      <rc t="1" v="3878"/>
    </bk>
    <bk>
      <rc t="1" v="3879"/>
    </bk>
    <bk>
      <rc t="1" v="3880"/>
    </bk>
    <bk>
      <rc t="1" v="3881"/>
    </bk>
    <bk>
      <rc t="1" v="3882"/>
    </bk>
    <bk>
      <rc t="1" v="3883"/>
    </bk>
    <bk>
      <rc t="1" v="3884"/>
    </bk>
    <bk>
      <rc t="1" v="3885"/>
    </bk>
    <bk>
      <rc t="1" v="3886"/>
    </bk>
    <bk>
      <rc t="1" v="3887"/>
    </bk>
    <bk>
      <rc t="1" v="3888"/>
    </bk>
    <bk>
      <rc t="1" v="3889"/>
    </bk>
    <bk>
      <rc t="1" v="3890"/>
    </bk>
    <bk>
      <rc t="1" v="3891"/>
    </bk>
    <bk>
      <rc t="1" v="3892"/>
    </bk>
    <bk>
      <rc t="1" v="3893"/>
    </bk>
    <bk>
      <rc t="1" v="3894"/>
    </bk>
    <bk>
      <rc t="1" v="3895"/>
    </bk>
    <bk>
      <rc t="1" v="3896"/>
    </bk>
    <bk>
      <rc t="1" v="3897"/>
    </bk>
    <bk>
      <rc t="1" v="3898"/>
    </bk>
    <bk>
      <rc t="1" v="3899"/>
    </bk>
    <bk>
      <rc t="1" v="3900"/>
    </bk>
    <bk>
      <rc t="1" v="3901"/>
    </bk>
    <bk>
      <rc t="1" v="3902"/>
    </bk>
    <bk>
      <rc t="1" v="3903"/>
    </bk>
    <bk>
      <rc t="1" v="3904"/>
    </bk>
    <bk>
      <rc t="1" v="3905"/>
    </bk>
    <bk>
      <rc t="1" v="3906"/>
    </bk>
    <bk>
      <rc t="1" v="3907"/>
    </bk>
    <bk>
      <rc t="1" v="3908"/>
    </bk>
    <bk>
      <rc t="1" v="3909"/>
    </bk>
    <bk>
      <rc t="1" v="3910"/>
    </bk>
    <bk>
      <rc t="1" v="3911"/>
    </bk>
    <bk>
      <rc t="1" v="3912"/>
    </bk>
    <bk>
      <rc t="1" v="3913"/>
    </bk>
    <bk>
      <rc t="1" v="3914"/>
    </bk>
    <bk>
      <rc t="1" v="3915"/>
    </bk>
    <bk>
      <rc t="1" v="3916"/>
    </bk>
    <bk>
      <rc t="1" v="3917"/>
    </bk>
    <bk>
      <rc t="1" v="3918"/>
    </bk>
    <bk>
      <rc t="1" v="3919"/>
    </bk>
    <bk>
      <rc t="1" v="3920"/>
    </bk>
    <bk>
      <rc t="1" v="3921"/>
    </bk>
    <bk>
      <rc t="1" v="3922"/>
    </bk>
    <bk>
      <rc t="1" v="3923"/>
    </bk>
    <bk>
      <rc t="1" v="3924"/>
    </bk>
    <bk>
      <rc t="1" v="3925"/>
    </bk>
    <bk>
      <rc t="1" v="3926"/>
    </bk>
    <bk>
      <rc t="1" v="3927"/>
    </bk>
    <bk>
      <rc t="1" v="3928"/>
    </bk>
    <bk>
      <rc t="1" v="3929"/>
    </bk>
    <bk>
      <rc t="1" v="3930"/>
    </bk>
    <bk>
      <rc t="1" v="3931"/>
    </bk>
    <bk>
      <rc t="1" v="3932"/>
    </bk>
    <bk>
      <rc t="1" v="3933"/>
    </bk>
    <bk>
      <rc t="1" v="3934"/>
    </bk>
    <bk>
      <rc t="1" v="3935"/>
    </bk>
    <bk>
      <rc t="1" v="3936"/>
    </bk>
    <bk>
      <rc t="1" v="3937"/>
    </bk>
    <bk>
      <rc t="1" v="3938"/>
    </bk>
    <bk>
      <rc t="1" v="3939"/>
    </bk>
    <bk>
      <rc t="1" v="3940"/>
    </bk>
    <bk>
      <rc t="1" v="3941"/>
    </bk>
    <bk>
      <rc t="1" v="3942"/>
    </bk>
    <bk>
      <rc t="1" v="3943"/>
    </bk>
    <bk>
      <rc t="1" v="3944"/>
    </bk>
    <bk>
      <rc t="1" v="3945"/>
    </bk>
    <bk>
      <rc t="1" v="3946"/>
    </bk>
    <bk>
      <rc t="1" v="3947"/>
    </bk>
    <bk>
      <rc t="1" v="3948"/>
    </bk>
    <bk>
      <rc t="1" v="3949"/>
    </bk>
    <bk>
      <rc t="1" v="3950"/>
    </bk>
    <bk>
      <rc t="1" v="3951"/>
    </bk>
    <bk>
      <rc t="1" v="3952"/>
    </bk>
    <bk>
      <rc t="1" v="3953"/>
    </bk>
    <bk>
      <rc t="1" v="3954"/>
    </bk>
    <bk>
      <rc t="1" v="3955"/>
    </bk>
    <bk>
      <rc t="1" v="3956"/>
    </bk>
    <bk>
      <rc t="1" v="3957"/>
    </bk>
    <bk>
      <rc t="1" v="3958"/>
    </bk>
    <bk>
      <rc t="1" v="3959"/>
    </bk>
    <bk>
      <rc t="1" v="3960"/>
    </bk>
    <bk>
      <rc t="1" v="3961"/>
    </bk>
    <bk>
      <rc t="1" v="3962"/>
    </bk>
    <bk>
      <rc t="1" v="3963"/>
    </bk>
    <bk>
      <rc t="1" v="3964"/>
    </bk>
    <bk>
      <rc t="1" v="3965"/>
    </bk>
    <bk>
      <rc t="1" v="3966"/>
    </bk>
    <bk>
      <rc t="1" v="3967"/>
    </bk>
    <bk>
      <rc t="1" v="3968"/>
    </bk>
    <bk>
      <rc t="1" v="3969"/>
    </bk>
    <bk>
      <rc t="1" v="3970"/>
    </bk>
    <bk>
      <rc t="1" v="3971"/>
    </bk>
    <bk>
      <rc t="1" v="3972"/>
    </bk>
    <bk>
      <rc t="1" v="3973"/>
    </bk>
    <bk>
      <rc t="1" v="3974"/>
    </bk>
    <bk>
      <rc t="1" v="3975"/>
    </bk>
    <bk>
      <rc t="1" v="3976"/>
    </bk>
    <bk>
      <rc t="1" v="3977"/>
    </bk>
    <bk>
      <rc t="1" v="3978"/>
    </bk>
    <bk>
      <rc t="1" v="3979"/>
    </bk>
    <bk>
      <rc t="1" v="3980"/>
    </bk>
    <bk>
      <rc t="1" v="3981"/>
    </bk>
    <bk>
      <rc t="1" v="3982"/>
    </bk>
    <bk>
      <rc t="1" v="3983"/>
    </bk>
    <bk>
      <rc t="1" v="3984"/>
    </bk>
    <bk>
      <rc t="1" v="3985"/>
    </bk>
    <bk>
      <rc t="1" v="3986"/>
    </bk>
    <bk>
      <rc t="1" v="3987"/>
    </bk>
    <bk>
      <rc t="1" v="3988"/>
    </bk>
    <bk>
      <rc t="1" v="3989"/>
    </bk>
    <bk>
      <rc t="1" v="3990"/>
    </bk>
    <bk>
      <rc t="1" v="3991"/>
    </bk>
    <bk>
      <rc t="1" v="3992"/>
    </bk>
    <bk>
      <rc t="1" v="3993"/>
    </bk>
    <bk>
      <rc t="1" v="3994"/>
    </bk>
    <bk>
      <rc t="1" v="3995"/>
    </bk>
    <bk>
      <rc t="1" v="3996"/>
    </bk>
    <bk>
      <rc t="1" v="3997"/>
    </bk>
    <bk>
      <rc t="1" v="3998"/>
    </bk>
    <bk>
      <rc t="1" v="3999"/>
    </bk>
    <bk>
      <rc t="1" v="4000"/>
    </bk>
    <bk>
      <rc t="1" v="4001"/>
    </bk>
    <bk>
      <rc t="1" v="4002"/>
    </bk>
    <bk>
      <rc t="1" v="4003"/>
    </bk>
    <bk>
      <rc t="1" v="4004"/>
    </bk>
    <bk>
      <rc t="1" v="4005"/>
    </bk>
    <bk>
      <rc t="1" v="4006"/>
    </bk>
    <bk>
      <rc t="1" v="4007"/>
    </bk>
    <bk>
      <rc t="1" v="4008"/>
    </bk>
    <bk>
      <rc t="1" v="4009"/>
    </bk>
    <bk>
      <rc t="1" v="4010"/>
    </bk>
    <bk>
      <rc t="1" v="4011"/>
    </bk>
    <bk>
      <rc t="1" v="4012"/>
    </bk>
    <bk>
      <rc t="1" v="4013"/>
    </bk>
    <bk>
      <rc t="1" v="4014"/>
    </bk>
    <bk>
      <rc t="1" v="4015"/>
    </bk>
    <bk>
      <rc t="1" v="4016"/>
    </bk>
    <bk>
      <rc t="1" v="4017"/>
    </bk>
    <bk>
      <rc t="1" v="4018"/>
    </bk>
    <bk>
      <rc t="1" v="4019"/>
    </bk>
    <bk>
      <rc t="1" v="4020"/>
    </bk>
    <bk>
      <rc t="1" v="4021"/>
    </bk>
    <bk>
      <rc t="1" v="4022"/>
    </bk>
    <bk>
      <rc t="1" v="4023"/>
    </bk>
    <bk>
      <rc t="1" v="4024"/>
    </bk>
    <bk>
      <rc t="1" v="4025"/>
    </bk>
    <bk>
      <rc t="1" v="4026"/>
    </bk>
    <bk>
      <rc t="1" v="4027"/>
    </bk>
    <bk>
      <rc t="1" v="4028"/>
    </bk>
    <bk>
      <rc t="1" v="4029"/>
    </bk>
    <bk>
      <rc t="1" v="4030"/>
    </bk>
    <bk>
      <rc t="1" v="4031"/>
    </bk>
    <bk>
      <rc t="1" v="4032"/>
    </bk>
    <bk>
      <rc t="1" v="4033"/>
    </bk>
    <bk>
      <rc t="1" v="4034"/>
    </bk>
    <bk>
      <rc t="1" v="4035"/>
    </bk>
    <bk>
      <rc t="1" v="4036"/>
    </bk>
    <bk>
      <rc t="1" v="4037"/>
    </bk>
    <bk>
      <rc t="1" v="4038"/>
    </bk>
    <bk>
      <rc t="1" v="4039"/>
    </bk>
    <bk>
      <rc t="1" v="4040"/>
    </bk>
    <bk>
      <rc t="1" v="4041"/>
    </bk>
    <bk>
      <rc t="1" v="4042"/>
    </bk>
    <bk>
      <rc t="1" v="4043"/>
    </bk>
    <bk>
      <rc t="1" v="4044"/>
    </bk>
    <bk>
      <rc t="1" v="4045"/>
    </bk>
    <bk>
      <rc t="1" v="4046"/>
    </bk>
    <bk>
      <rc t="1" v="4047"/>
    </bk>
    <bk>
      <rc t="1" v="4048"/>
    </bk>
    <bk>
      <rc t="1" v="4049"/>
    </bk>
    <bk>
      <rc t="1" v="4050"/>
    </bk>
    <bk>
      <rc t="1" v="4051"/>
    </bk>
    <bk>
      <rc t="1" v="4052"/>
    </bk>
    <bk>
      <rc t="1" v="4053"/>
    </bk>
    <bk>
      <rc t="1" v="4054"/>
    </bk>
    <bk>
      <rc t="1" v="4055"/>
    </bk>
    <bk>
      <rc t="1" v="4056"/>
    </bk>
    <bk>
      <rc t="1" v="4057"/>
    </bk>
    <bk>
      <rc t="1" v="4058"/>
    </bk>
    <bk>
      <rc t="1" v="4059"/>
    </bk>
    <bk>
      <rc t="1" v="4060"/>
    </bk>
    <bk>
      <rc t="1" v="4061"/>
    </bk>
    <bk>
      <rc t="1" v="4062"/>
    </bk>
    <bk>
      <rc t="1" v="4063"/>
    </bk>
    <bk>
      <rc t="1" v="4064"/>
    </bk>
    <bk>
      <rc t="1" v="4065"/>
    </bk>
    <bk>
      <rc t="1" v="4066"/>
    </bk>
    <bk>
      <rc t="1" v="4067"/>
    </bk>
    <bk>
      <rc t="1" v="4068"/>
    </bk>
    <bk>
      <rc t="1" v="4069"/>
    </bk>
    <bk>
      <rc t="1" v="4070"/>
    </bk>
    <bk>
      <rc t="1" v="4071"/>
    </bk>
    <bk>
      <rc t="1" v="4072"/>
    </bk>
    <bk>
      <rc t="1" v="4073"/>
    </bk>
    <bk>
      <rc t="1" v="4074"/>
    </bk>
    <bk>
      <rc t="1" v="4075"/>
    </bk>
    <bk>
      <rc t="1" v="4076"/>
    </bk>
    <bk>
      <rc t="1" v="4077"/>
    </bk>
    <bk>
      <rc t="1" v="4078"/>
    </bk>
    <bk>
      <rc t="1" v="4079"/>
    </bk>
    <bk>
      <rc t="1" v="4080"/>
    </bk>
    <bk>
      <rc t="1" v="4081"/>
    </bk>
    <bk>
      <rc t="1" v="4082"/>
    </bk>
    <bk>
      <rc t="1" v="4083"/>
    </bk>
    <bk>
      <rc t="1" v="4084"/>
    </bk>
    <bk>
      <rc t="1" v="4085"/>
    </bk>
    <bk>
      <rc t="1" v="4086"/>
    </bk>
    <bk>
      <rc t="1" v="4087"/>
    </bk>
    <bk>
      <rc t="1" v="4088"/>
    </bk>
    <bk>
      <rc t="1" v="4089"/>
    </bk>
    <bk>
      <rc t="1" v="4090"/>
    </bk>
    <bk>
      <rc t="1" v="4091"/>
    </bk>
    <bk>
      <rc t="1" v="4092"/>
    </bk>
    <bk>
      <rc t="1" v="4093"/>
    </bk>
    <bk>
      <rc t="1" v="4094"/>
    </bk>
    <bk>
      <rc t="1" v="4095"/>
    </bk>
    <bk>
      <rc t="1" v="4096"/>
    </bk>
    <bk>
      <rc t="1" v="4097"/>
    </bk>
    <bk>
      <rc t="1" v="4098"/>
    </bk>
    <bk>
      <rc t="1" v="4099"/>
    </bk>
    <bk>
      <rc t="1" v="4100"/>
    </bk>
    <bk>
      <rc t="1" v="4101"/>
    </bk>
    <bk>
      <rc t="1" v="4102"/>
    </bk>
    <bk>
      <rc t="1" v="4103"/>
    </bk>
    <bk>
      <rc t="1" v="4104"/>
    </bk>
    <bk>
      <rc t="1" v="4105"/>
    </bk>
    <bk>
      <rc t="1" v="4106"/>
    </bk>
    <bk>
      <rc t="1" v="4107"/>
    </bk>
    <bk>
      <rc t="1" v="4108"/>
    </bk>
    <bk>
      <rc t="1" v="4109"/>
    </bk>
    <bk>
      <rc t="1" v="4110"/>
    </bk>
    <bk>
      <rc t="1" v="4111"/>
    </bk>
    <bk>
      <rc t="1" v="4112"/>
    </bk>
    <bk>
      <rc t="1" v="4113"/>
    </bk>
    <bk>
      <rc t="1" v="4114"/>
    </bk>
    <bk>
      <rc t="1" v="4115"/>
    </bk>
    <bk>
      <rc t="1" v="4116"/>
    </bk>
    <bk>
      <rc t="1" v="4117"/>
    </bk>
    <bk>
      <rc t="1" v="4118"/>
    </bk>
    <bk>
      <rc t="1" v="4119"/>
    </bk>
    <bk>
      <rc t="1" v="4120"/>
    </bk>
    <bk>
      <rc t="1" v="4121"/>
    </bk>
    <bk>
      <rc t="1" v="4122"/>
    </bk>
    <bk>
      <rc t="1" v="4123"/>
    </bk>
    <bk>
      <rc t="1" v="4124"/>
    </bk>
    <bk>
      <rc t="1" v="4125"/>
    </bk>
    <bk>
      <rc t="1" v="4126"/>
    </bk>
    <bk>
      <rc t="1" v="4127"/>
    </bk>
    <bk>
      <rc t="1" v="4128"/>
    </bk>
    <bk>
      <rc t="1" v="4129"/>
    </bk>
    <bk>
      <rc t="1" v="4130"/>
    </bk>
    <bk>
      <rc t="1" v="4131"/>
    </bk>
    <bk>
      <rc t="1" v="4132"/>
    </bk>
    <bk>
      <rc t="1" v="4133"/>
    </bk>
    <bk>
      <rc t="1" v="4134"/>
    </bk>
    <bk>
      <rc t="1" v="4135"/>
    </bk>
    <bk>
      <rc t="1" v="4136"/>
    </bk>
    <bk>
      <rc t="1" v="4137"/>
    </bk>
    <bk>
      <rc t="1" v="4138"/>
    </bk>
    <bk>
      <rc t="1" v="4139"/>
    </bk>
    <bk>
      <rc t="1" v="4140"/>
    </bk>
    <bk>
      <rc t="1" v="4141"/>
    </bk>
    <bk>
      <rc t="1" v="4142"/>
    </bk>
    <bk>
      <rc t="1" v="4143"/>
    </bk>
    <bk>
      <rc t="1" v="4144"/>
    </bk>
    <bk>
      <rc t="1" v="4145"/>
    </bk>
    <bk>
      <rc t="1" v="4146"/>
    </bk>
    <bk>
      <rc t="1" v="4147"/>
    </bk>
    <bk>
      <rc t="1" v="4148"/>
    </bk>
    <bk>
      <rc t="1" v="4149"/>
    </bk>
    <bk>
      <rc t="1" v="4150"/>
    </bk>
    <bk>
      <rc t="1" v="4151"/>
    </bk>
    <bk>
      <rc t="1" v="4152"/>
    </bk>
    <bk>
      <rc t="1" v="4153"/>
    </bk>
    <bk>
      <rc t="1" v="4154"/>
    </bk>
    <bk>
      <rc t="1" v="4155"/>
    </bk>
    <bk>
      <rc t="1" v="4156"/>
    </bk>
    <bk>
      <rc t="1" v="4157"/>
    </bk>
    <bk>
      <rc t="1" v="4158"/>
    </bk>
    <bk>
      <rc t="1" v="4159"/>
    </bk>
    <bk>
      <rc t="1" v="4160"/>
    </bk>
    <bk>
      <rc t="1" v="4161"/>
    </bk>
    <bk>
      <rc t="1" v="4162"/>
    </bk>
    <bk>
      <rc t="1" v="4163"/>
    </bk>
    <bk>
      <rc t="1" v="4164"/>
    </bk>
    <bk>
      <rc t="1" v="4165"/>
    </bk>
    <bk>
      <rc t="1" v="4166"/>
    </bk>
    <bk>
      <rc t="1" v="4167"/>
    </bk>
    <bk>
      <rc t="1" v="4168"/>
    </bk>
    <bk>
      <rc t="1" v="4169"/>
    </bk>
    <bk>
      <rc t="1" v="4170"/>
    </bk>
    <bk>
      <rc t="1" v="4171"/>
    </bk>
    <bk>
      <rc t="1" v="4172"/>
    </bk>
    <bk>
      <rc t="1" v="4173"/>
    </bk>
    <bk>
      <rc t="1" v="4174"/>
    </bk>
    <bk>
      <rc t="1" v="4175"/>
    </bk>
    <bk>
      <rc t="1" v="4176"/>
    </bk>
    <bk>
      <rc t="1" v="4177"/>
    </bk>
    <bk>
      <rc t="1" v="4178"/>
    </bk>
    <bk>
      <rc t="1" v="4179"/>
    </bk>
    <bk>
      <rc t="1" v="4180"/>
    </bk>
  </valueMetadata>
</metadata>
</file>

<file path=xl/sharedStrings.xml><?xml version="1.0" encoding="utf-8"?>
<sst xmlns="http://schemas.openxmlformats.org/spreadsheetml/2006/main" count="79165" uniqueCount="66279">
  <si>
    <t>source</t>
  </si>
  <si>
    <t>target</t>
  </si>
  <si>
    <t>grade</t>
  </si>
  <si>
    <t>volume</t>
  </si>
  <si>
    <t>isBridge</t>
  </si>
  <si>
    <t>geometry</t>
  </si>
  <si>
    <t>id</t>
  </si>
  <si>
    <t>v</t>
  </si>
  <si>
    <t>wa_grade</t>
  </si>
  <si>
    <t>u</t>
  </si>
  <si>
    <t>grade_abs</t>
  </si>
  <si>
    <t>length</t>
  </si>
  <si>
    <t>0.03</t>
  </si>
  <si>
    <t>15.291208102096657</t>
  </si>
  <si>
    <t>[-0.002, 0.013, 0.034, 0.018]</t>
  </si>
  <si>
    <t>LINESTRING (11.127465806112035 60.78620456025842, 11.127540614401756 60.78617894499934, 11.131610286185648 60.784172328182656, 11.133287120428163 60.78335426507841, 11.133833188298052 60.78318205446203)</t>
  </si>
  <si>
    <t>[138014, 2168667, 362740, 363590]</t>
  </si>
  <si>
    <t>[155192, 351173, 351174, 351348]</t>
  </si>
  <si>
    <t>0.018791953057683067</t>
  </si>
  <si>
    <t>[155191, 155192, 351173, 351174]</t>
  </si>
  <si>
    <t>[0.002, 0.013, 0.034, 0.018]</t>
  </si>
  <si>
    <t>485.74388175423786</t>
  </si>
  <si>
    <t>[0.031, 0.027, 0.018, 0.005, -0.018]</t>
  </si>
  <si>
    <t>LINESTRING (11.127184981853482 60.78642854398455, 11.126991489219847 60.78630726707704, 11.12700304550839 60.78624512763299, 11.127047786393202 60.78620965516098, 11.127098351756342 60.786186845566625, 11.127465806112035 60.78620456025842)</t>
  </si>
  <si>
    <t>[138118, 138126, 138134, 138142, 138150]</t>
  </si>
  <si>
    <t>[24154, 155317, 155327, 155337, 155191]</t>
  </si>
  <si>
    <t>0.008433672104882285</t>
  </si>
  <si>
    <t>[155201, 24154, 155317, 155327, 155337]</t>
  </si>
  <si>
    <t>[0.031, 0.027, 0.018, 0.005, 0.018]</t>
  </si>
  <si>
    <t>54.859299688825416</t>
  </si>
  <si>
    <t>0.013</t>
  </si>
  <si>
    <t>11.790339265781334</t>
  </si>
  <si>
    <t>[0.056, 0.053, 0.042, 0.028, 0.025]</t>
  </si>
  <si>
    <t>LINESTRING (11.125266280578165 60.789677274131606, 11.125377615548942 60.789317786571154, 11.125741199602919 60.78876163696242, 11.127138610234928 60.78653577318793, 11.127170525469534 60.78647208242007, 11.127184981853482 60.78642854398455)</t>
  </si>
  <si>
    <t>[363598, 362732, 2168670, 2168673, 138022]</t>
  </si>
  <si>
    <t>[351165, 351166, 1854868, 155200, 155201]</t>
  </si>
  <si>
    <t>0.04490649729731151</t>
  </si>
  <si>
    <t>[351618, 351165, 351166, 1854868, 155200]</t>
  </si>
  <si>
    <t>377.46876889194306</t>
  </si>
  <si>
    <t>[-0.022, -0.007]</t>
  </si>
  <si>
    <t>LINESTRING (11.127534712389643 60.78633428345484, 11.127487262551208 60.78637695889534, 11.127399824588059 60.786415782679235)</t>
  </si>
  <si>
    <t>[138094, 138102]</t>
  </si>
  <si>
    <t>[155281, 155289]</t>
  </si>
  <si>
    <t>[155273, 155281]</t>
  </si>
  <si>
    <t>[0.022, 0.007]</t>
  </si>
  <si>
    <t>11.848007658434195</t>
  </si>
  <si>
    <t>[-0.037, -0.03, 0.0]</t>
  </si>
  <si>
    <t>LINESTRING (11.127534712389643 60.78633428345484, 11.127579728905834 60.786368644972875, 11.12772319305844 60.786480161376126, 11.127724280011572 60.78648349171342)</t>
  </si>
  <si>
    <t>[176720, 176733, 176745]</t>
  </si>
  <si>
    <t>[191500, 191515, 191524]</t>
  </si>
  <si>
    <t>[155273, 191500, 191515]</t>
  </si>
  <si>
    <t>[0.037, 0.03, 0.0]</t>
  </si>
  <si>
    <t>19.941539913581025</t>
  </si>
  <si>
    <t>[-0.022, -0.024, 0.0]</t>
  </si>
  <si>
    <t>LINESTRING (11.127399824588059 60.786415782679235, 11.127466980195944 60.786431430448125, 11.12771739225946 60.78648342762825, 11.127724280011572 60.78648349171342)</t>
  </si>
  <si>
    <t>[239688, 239696, 239704]</t>
  </si>
  <si>
    <t>[242144, 242153, 191524]</t>
  </si>
  <si>
    <t>[155289, 242144, 242153]</t>
  </si>
  <si>
    <t>[0.022, 0.024, 0.0]</t>
  </si>
  <si>
    <t>19.2498302168369</t>
  </si>
  <si>
    <t>[0.025, 0.004, -0.042, -0.046, -0.048, -0.018, -0.008, 0.024, 0.058, 0.05, 0.051]</t>
  </si>
  <si>
    <t>[0, 0, 0, 1, 1, 1, 0, 0, 0, 0, 0]</t>
  </si>
  <si>
    <t>LINESTRING (11.993829462815306 60.189188517538796, 11.993972696508822 60.189170364625134, 11.99447806383991 60.189111071278525, 11.995326165071852 60.189013383204795, 11.996457282961213 60.188822477849456, 11.996673712197937 60.1887753597186, 11.998598050392824 60.18833197791656, 12.006126427700908 60.188065187470016, 12.007896137031041 60.18757944344272, 12.008687614418983 60.186972961931815, 12.008754018616889 60.18687755588619, 12.008829142241824 60.1867450311458)</t>
  </si>
  <si>
    <t>[138799, 138807, 138815, 138823, 138831, 138839, 138847, 138855, 138863, 138871, 138879]</t>
  </si>
  <si>
    <t>[0, 0, 0, 0, 0, 0, 0, 1, 0, 0, 0]</t>
  </si>
  <si>
    <t>[155972, 155979, 155987, 155999, 156009, 156018, 156028, 156037, 156044, 156051, 156057]</t>
  </si>
  <si>
    <t>[155971, 155972, 155979, 155987, 155999, 156009, 156018, 156028, 156037, 156044, 156051]</t>
  </si>
  <si>
    <t>[0.025, 0.004, 0.042, 0.046, 0.048, 0.018, 0.008, 0.024, 0.058, 0.05, 0.051]</t>
  </si>
  <si>
    <t>927.2830658348358</t>
  </si>
  <si>
    <t>[0.036, 0.024]</t>
  </si>
  <si>
    <t>LINESTRING (11.992699865233478 60.18932957614192, 11.992805880096016 60.18929934805448, 11.993829462815306 60.189188517538796)</t>
  </si>
  <si>
    <t>[232579, 232587]</t>
  </si>
  <si>
    <t>[236231, 155971]</t>
  </si>
  <si>
    <t>0.02525245699188449</t>
  </si>
  <si>
    <t>[156688, 236231]</t>
  </si>
  <si>
    <t>64.93509042960575</t>
  </si>
  <si>
    <t>[0.095, 0.026]</t>
  </si>
  <si>
    <t>LINESTRING (11.992837773866784 60.18947034273615, 11.992940479866027 60.18943053302321, 11.993829462815306 60.189188517538796)</t>
  </si>
  <si>
    <t>[222593, 222601]</t>
  </si>
  <si>
    <t>[228506, 155971]</t>
  </si>
  <si>
    <t>0.03378863232132978</t>
  </si>
  <si>
    <t>[156709, 228506]</t>
  </si>
  <si>
    <t>63.967234494749576</t>
  </si>
  <si>
    <t>[-0.019, 0.428]</t>
  </si>
  <si>
    <t>LINESTRING (12.008829142241824 60.1867450311458, 12.009028569787688 60.186459976686784, 12.009060216120746 60.1864046774253)</t>
  </si>
  <si>
    <t>[222609, 222617]</t>
  </si>
  <si>
    <t>[228517, 156827]</t>
  </si>
  <si>
    <t>0.05230888519587489</t>
  </si>
  <si>
    <t>[156057, 228517]</t>
  </si>
  <si>
    <t>[0.019, 0.428]</t>
  </si>
  <si>
    <t>40.15678965477007</t>
  </si>
  <si>
    <t>[0.034, 0.031]</t>
  </si>
  <si>
    <t>LINESTRING (12.008829142241824 60.1867450311458, 12.008786680780034 60.18645755236152, 12.008772921007788 60.186402584707174)</t>
  </si>
  <si>
    <t>[232595, 232603]</t>
  </si>
  <si>
    <t>[236241, 156748]</t>
  </si>
  <si>
    <t>0.03351642634659082</t>
  </si>
  <si>
    <t>[156057, 236241]</t>
  </si>
  <si>
    <t>38.28535601727953</t>
  </si>
  <si>
    <t>[0.034, 0.045]</t>
  </si>
  <si>
    <t>LINESTRING (11.992378444943366 60.18953260692518, 11.992321692738484 60.18946464788627, 11.992386334106081 60.18935379952435)</t>
  </si>
  <si>
    <t>[139471, 139479]</t>
  </si>
  <si>
    <t>[156665, 156671]</t>
  </si>
  <si>
    <t>0.040812608154032516</t>
  </si>
  <si>
    <t>[156658, 156665]</t>
  </si>
  <si>
    <t>21.540294227432035</t>
  </si>
  <si>
    <t>[-0.043, -0.04, -0.019, 0.014]</t>
  </si>
  <si>
    <t>LINESTRING (11.992837773866784 60.18947034273615, 11.9927883423321 60.18951360793844, 11.992648547152436 60.189564346342635, 11.992453527129648 60.189556055714526, 11.992378444943366 60.18953260692518)</t>
  </si>
  <si>
    <t>[139519, 139527, 139535, 139463]</t>
  </si>
  <si>
    <t>[156719, 156728, 156657, 156658]</t>
  </si>
  <si>
    <t>[156709, 156719, 156728, 156657]</t>
  </si>
  <si>
    <t>[0.043, 0.04, 0.019, 0.014]</t>
  </si>
  <si>
    <t>31.25237451586127</t>
  </si>
  <si>
    <t>[0.013, 0.02]</t>
  </si>
  <si>
    <t>LINESTRING (11.991811531246267 60.18950446103631, 11.992273225436838 60.18952634560682, 11.992378444943366 60.18953260692518)</t>
  </si>
  <si>
    <t>[236964, 236972]</t>
  </si>
  <si>
    <t>[239894, 156658]</t>
  </si>
  <si>
    <t>0.014301935238525961</t>
  </si>
  <si>
    <t>[179859, 239894]</t>
  </si>
  <si>
    <t>31.60813380092757</t>
  </si>
  <si>
    <t>[0.028, 0.009]</t>
  </si>
  <si>
    <t>LINESTRING (11.992386334106081 60.18935379952435, 11.992585891117477 60.18931645825998, 11.992699865233478 60.18932957614192)</t>
  </si>
  <si>
    <t>[139487, 139495]</t>
  </si>
  <si>
    <t>[156679, 156688]</t>
  </si>
  <si>
    <t>0.021342019379965983</t>
  </si>
  <si>
    <t>[156671, 156679]</t>
  </si>
  <si>
    <t>18.519789255187263</t>
  </si>
  <si>
    <t>[0.036, 0.039]</t>
  </si>
  <si>
    <t>LINESTRING (11.991811531246267 60.18950446103631, 11.992246405874527 60.18938549470393, 11.992386334106081 60.18935379952435)</t>
  </si>
  <si>
    <t>[174148, 174149]</t>
  </si>
  <si>
    <t>[188952, 156671]</t>
  </si>
  <si>
    <t>0.036705363494293694</t>
  </si>
  <si>
    <t>[179859, 188952]</t>
  </si>
  <si>
    <t>36.27171128903152</t>
  </si>
  <si>
    <t>[-0.02, -0.036]</t>
  </si>
  <si>
    <t>LINESTRING (11.992699865233478 60.18932957614192, 11.992806877369302 60.189387605985054, 11.992837773866784 60.18947034273615)</t>
  </si>
  <si>
    <t>[139503, 139511]</t>
  </si>
  <si>
    <t>[156698, 156709]</t>
  </si>
  <si>
    <t>[156688, 156698]</t>
  </si>
  <si>
    <t>[0.02, 0.036]</t>
  </si>
  <si>
    <t>18.152979393434613</t>
  </si>
  <si>
    <t>[-0.009, 0.015, 0.048, 0.066, 0.048, 0.028, -0.005]</t>
  </si>
  <si>
    <t>LINESTRING (12.008772921007788 60.186402584707174, 12.008714345796939 60.186372967735515, 12.008647039752965 60.18630369957698, 12.008744532854084 60.186178131362695, 12.008845792331583 60.18614991292261, 12.00901873372939 60.1861524068758, 12.009137404069271 60.18618245497283, 12.009186975125491 60.18621525590167)</t>
  </si>
  <si>
    <t>[139543, 139551, 139559, 139567, 139575, 139583, 139591]</t>
  </si>
  <si>
    <t>[156749, 156757, 156769, 156777, 156786, 156795, 156805]</t>
  </si>
  <si>
    <t>0.03356392193658547</t>
  </si>
  <si>
    <t>[156748, 156749, 156757, 156769, 156777, 156786, 156795]</t>
  </si>
  <si>
    <t>[0.009, 0.015, 0.048, 0.066, 0.048, 0.028, 0.005]</t>
  </si>
  <si>
    <t>56.8813446518499</t>
  </si>
  <si>
    <t>[-0.059, -0.04]</t>
  </si>
  <si>
    <t>LINESTRING (12.009060216120746 60.1864046774253, 12.008909698924018 60.18641983359973, 12.008772921007788 60.186402584707174)</t>
  </si>
  <si>
    <t>[139623, 139631]</t>
  </si>
  <si>
    <t>[156833, 156748]</t>
  </si>
  <si>
    <t>[156827, 156833]</t>
  </si>
  <si>
    <t>[0.059, 0.04]</t>
  </si>
  <si>
    <t>16.348316155599555</t>
  </si>
  <si>
    <t>[-0.03, -0.057]</t>
  </si>
  <si>
    <t>LINESTRING (12.009186975125491 60.18621525590167, 12.009200050516569 60.18630351618725, 12.009099701442555 60.1863911026958)</t>
  </si>
  <si>
    <t>[139599, 139607]</t>
  </si>
  <si>
    <t>[156812, 156820]</t>
  </si>
  <si>
    <t>[156805, 156812]</t>
  </si>
  <si>
    <t>[0.03, 0.057]</t>
  </si>
  <si>
    <t>21.0941835440846</t>
  </si>
  <si>
    <t>[0.021, 0.045, 0.007, 0.01, -0.008, 0.0, -0.021]</t>
  </si>
  <si>
    <t>LINESTRING (12.009186975125491 60.18621525590167, 12.009276799285995 60.186245470292434, 12.010799327207902 60.18635491302175, 12.011519256514177 60.18639032961285, 12.011568457046183 60.18639470109723, 12.011617333312175 60.186401050975284, 12.011716285110252 60.186414451616926, 12.012760557434962 60.18667059317993)</t>
  </si>
  <si>
    <t>[233293, 233301, 233317, 233325, 233333, 233341, 233349]</t>
  </si>
  <si>
    <t>[236821, 236828, 236838, 13166, 236847, 236851, 195583]</t>
  </si>
  <si>
    <t>0.013897046668906494</t>
  </si>
  <si>
    <t>[156805, 236821, 236828, 236838, 13166, 236847, 236851]</t>
  </si>
  <si>
    <t>[0.021, 0.045, 0.007, 0.01, 0.008, 0.0, 0.021]</t>
  </si>
  <si>
    <t>208.8665570817458</t>
  </si>
  <si>
    <t>0.057</t>
  </si>
  <si>
    <t>2.662048083912055</t>
  </si>
  <si>
    <t>[0.061, 0.046, 0.004, -0.007, 0.007, -0.004, -0.009, -0.015]</t>
  </si>
  <si>
    <t>LINESTRING (12.009099701442555 60.1863911026958, 12.009235071678535 60.18637466091548, 12.010871336621408 60.186430243319904, 12.011463958958506 60.18646449488966, 12.011523118306448 60.186469468422494, 12.011569418464617 60.186473792448325, 12.011645738208028 60.186480527757105, 12.011706766476419 60.18648677433524, 12.012760557434962 60.18667059317993)</t>
  </si>
  <si>
    <t>[235032, 235040, 235048, 235056, 235064, 235072, 235080, 235088]</t>
  </si>
  <si>
    <t>[238227, 238234, 238241, 194587, 238256, 227004, 238272, 195583]</t>
  </si>
  <si>
    <t>0.018376106223208028</t>
  </si>
  <si>
    <t>[156820, 238227, 238234, 238241, 194587, 238256, 227004, 238272]</t>
  </si>
  <si>
    <t>[0.061, 0.046, 0.004, 0.007, 0.007, 0.004, 0.009, 0.015]</t>
  </si>
  <si>
    <t>208.14308599697472</t>
  </si>
  <si>
    <t>[-0.002, -0.004, -0.003]</t>
  </si>
  <si>
    <t>LINESTRING (11.277430815205612 60.7059673203488, 11.28000909086506 60.709822209464015, 11.280548802473852 60.71069027327801, 11.281131167203952 60.71163385129553)</t>
  </si>
  <si>
    <t>[139831, 139839, 139847]</t>
  </si>
  <si>
    <t>[157040, 157047, 157054]</t>
  </si>
  <si>
    <t>[157039, 157040, 157047]</t>
  </si>
  <si>
    <t>[0.002, 0.004, 0.003]</t>
  </si>
  <si>
    <t>663.6152353689015</t>
  </si>
  <si>
    <t>0.0</t>
  </si>
  <si>
    <t>LINESTRING (11.275265924399918 60.7000653915949, 11.275009763189942 60.700502280711596, 11.277272554922208 60.70576792029384, 11.277430815205612 60.7059673203488)</t>
  </si>
  <si>
    <t>[224309, 224325, 224333]</t>
  </si>
  <si>
    <t>[229878, 229895, 157039]</t>
  </si>
  <si>
    <t>[229866, 229878, 229895]</t>
  </si>
  <si>
    <t>739.6258858652781</t>
  </si>
  <si>
    <t>97.35591549193919</t>
  </si>
  <si>
    <t>0.005</t>
  </si>
  <si>
    <t>178.24208819134645</t>
  </si>
  <si>
    <t>[-0.006, -0.007]</t>
  </si>
  <si>
    <t>LINESTRING (11.281131167203952 60.71163385129553, 11.281236700284094 60.71172055246367, 11.282714175687868 60.71295062778922)</t>
  </si>
  <si>
    <t>[143629, 143637]</t>
  </si>
  <si>
    <t>[160710, 160718]</t>
  </si>
  <si>
    <t>[157054, 160710]</t>
  </si>
  <si>
    <t>[0.006, 0.007]</t>
  </si>
  <si>
    <t>181.65977306675018</t>
  </si>
  <si>
    <t>[-0.008, -0.008, -0.006]</t>
  </si>
  <si>
    <t>[0, 1, 0]</t>
  </si>
  <si>
    <t>LINESTRING (11.282100994234781 60.713161002218264, 11.282511443369387 60.713688410011734, 11.282837169509472 60.71409194415596, 11.283508574251917 60.714837724854895)</t>
  </si>
  <si>
    <t>[139863, 139871, 139879]</t>
  </si>
  <si>
    <t>[157069, 157077, 157084]</t>
  </si>
  <si>
    <t>[157060, 157069, 157077]</t>
  </si>
  <si>
    <t>[0.008, 0.008, 0.006]</t>
  </si>
  <si>
    <t>202.08940260157098</t>
  </si>
  <si>
    <t>[0.013, 0.009, -0.001]</t>
  </si>
  <si>
    <t>LINESTRING (11.282714175687868 60.71295062778922, 11.282584131463688 60.71294890459892, 11.282124364680218 60.71306997188199, 11.282100994234781 60.713161002218264)</t>
  </si>
  <si>
    <t>[143683, 143691, 143699]</t>
  </si>
  <si>
    <t>[160765, 160773, 157060]</t>
  </si>
  <si>
    <t>0.007474066971850365</t>
  </si>
  <si>
    <t>[160718, 160765, 160773]</t>
  </si>
  <si>
    <t>[0.013, 0.009, 0.001]</t>
  </si>
  <si>
    <t>48.381870467746396</t>
  </si>
  <si>
    <t>[0.0, -0.003, 0.004]</t>
  </si>
  <si>
    <t>LINESTRING (11.283200598064543 60.715073743657356, 11.283200598064543 60.715073743657356, 11.283516500644247 60.714927826463565, 11.283508574251917 60.714837724854895)</t>
  </si>
  <si>
    <t>[143659, 143667, 143675]</t>
  </si>
  <si>
    <t>[160746, 160752, 157084]</t>
  </si>
  <si>
    <t>[160745, 160746, 160752]</t>
  </si>
  <si>
    <t>[0.0, 0.003, 0.004]</t>
  </si>
  <si>
    <t>44.11285422036895</t>
  </si>
  <si>
    <t>0.007</t>
  </si>
  <si>
    <t>66.21403629300468</t>
  </si>
  <si>
    <t>[-0.006, -0.007, 0.005, 0.004, 0.005]</t>
  </si>
  <si>
    <t>LINESTRING (11.283318544228672 60.71345096962891, 11.283593329443107 60.71364465226105, 11.283649643015163 60.71368117932554, 11.283532190549247 60.71370395781217, 11.283503273351796 60.71370956367937, 11.283370117970167 60.71373471943406)</t>
  </si>
  <si>
    <t>[233237, 233245, 185570, 185578, 185586]</t>
  </si>
  <si>
    <t>[236775, 200309, 200313, 200318, 200325]</t>
  </si>
  <si>
    <t>[160734, 236775, 200309, 200313, 200318]</t>
  </si>
  <si>
    <t>[0.006, 0.007, 0.005, 0.004, 0.005]</t>
  </si>
  <si>
    <t>47.77354683236498</t>
  </si>
  <si>
    <t>LINESTRING (11.283318544228672 60.71345096962891, 11.283356918882665 60.713690221165585, 11.283370117970167 60.71373471943406)</t>
  </si>
  <si>
    <t>[234976, 234984]</t>
  </si>
  <si>
    <t>[238177, 200325]</t>
  </si>
  <si>
    <t>[160734, 238177]</t>
  </si>
  <si>
    <t>0.004</t>
  </si>
  <si>
    <t>31.754208743049375</t>
  </si>
  <si>
    <t>0.008</t>
  </si>
  <si>
    <t>101.88350325178904</t>
  </si>
  <si>
    <t>[0.011, 0.01]</t>
  </si>
  <si>
    <t>LINESTRING (11.28208235348167 60.714337125601695, 11.2817713400301 60.7141711958662, 11.281721637411591 60.71414096353951)</t>
  </si>
  <si>
    <t>[233253, 233261]</t>
  </si>
  <si>
    <t>[236789, 200369]</t>
  </si>
  <si>
    <t>0.010853011623003814</t>
  </si>
  <si>
    <t>[160806, 236789]</t>
  </si>
  <si>
    <t>29.43076007905007</t>
  </si>
  <si>
    <t>0.006</t>
  </si>
  <si>
    <t>LINESTRING (11.28208235348167 60.714337125601695, 11.282018200663947 60.71409877557937, 11.282001221741908 60.71405525076262)</t>
  </si>
  <si>
    <t>[234992, 235000]</t>
  </si>
  <si>
    <t>[238192, 200351]</t>
  </si>
  <si>
    <t>[160806, 238192]</t>
  </si>
  <si>
    <t>31.72874073111544</t>
  </si>
  <si>
    <t>[0.04, 0.041, 0.037, 0.008, -0.017]</t>
  </si>
  <si>
    <t>[0, 1, 0, 0, 0]</t>
  </si>
  <si>
    <t>LINESTRING (7.938166145484731 58.141123539842795, 7.938461346102994 58.14126046025185, 7.938902822787671 58.14148707998608, 7.938951000939077 58.14205357361886, 7.9384962100416905 58.14222104517974, 7.938081254054311 58.142225985638)</t>
  </si>
  <si>
    <t>[151421, 151423, 151424, 151435, 151436]</t>
  </si>
  <si>
    <t>[168006, 168008, 168009, 168017, 168018]</t>
  </si>
  <si>
    <t>0.025777514658142212</t>
  </si>
  <si>
    <t>[168005, 168006, 168008, 168009, 168017]</t>
  </si>
  <si>
    <t>[0.04, 0.041, 0.037, 0.008, 0.017]</t>
  </si>
  <si>
    <t>185.32806713241877</t>
  </si>
  <si>
    <t>[0.031, 0.04, 0.034]</t>
  </si>
  <si>
    <t>LINESTRING (7.9377345581975325 58.14098515788407, 7.9378360579072025 58.141012931184456, 7.937956605965335 58.141057004228905, 7.938166145484731 58.141123539842795)</t>
  </si>
  <si>
    <t>[1140647, 1140648, 1140661]</t>
  </si>
  <si>
    <t>[1076968, 1076969, 168005]</t>
  </si>
  <si>
    <t>0.03506179677631596</t>
  </si>
  <si>
    <t>[1076967, 1076968, 1076969]</t>
  </si>
  <si>
    <t>29.810179425291693</t>
  </si>
  <si>
    <t>[0.041, 0.041, 0.042]</t>
  </si>
  <si>
    <t>LINESTRING (7.937886253997099 58.14091825554052, 7.937933222285915 58.14095971234621, 7.938020787971552 58.14102325530437, 7.938166145484731 58.141123539842795)</t>
  </si>
  <si>
    <t>[1140684, 1140692, 1140699]</t>
  </si>
  <si>
    <t>[1077010, 1077018, 168005]</t>
  </si>
  <si>
    <t>0.041502529757238005</t>
  </si>
  <si>
    <t>[1077009, 1077010, 1077018]</t>
  </si>
  <si>
    <t>28.472808063957498</t>
  </si>
  <si>
    <t>0.036</t>
  </si>
  <si>
    <t>54.107734695671</t>
  </si>
  <si>
    <t>[0.036, 0.142, 0.075]</t>
  </si>
  <si>
    <t>LINESTRING (7.938081254054311 58.142225985638, 7.937181070456906 58.14209226017515, 7.934700153495251 58.14315886318785, 7.934460920627686 58.143217644712244)</t>
  </si>
  <si>
    <t>[151447, 1614530, 1162490]</t>
  </si>
  <si>
    <t>[168027, 1096934, 612380]</t>
  </si>
  <si>
    <t>0.11480004076019623</t>
  </si>
  <si>
    <t>[168018, 168027, 1096934]</t>
  </si>
  <si>
    <t>262.6774187948518</t>
  </si>
  <si>
    <t>0.065</t>
  </si>
  <si>
    <t>35.28587358559385</t>
  </si>
  <si>
    <t>[0.032, 0.083]</t>
  </si>
  <si>
    <t>LINESTRING (7.937680620020903 58.1409838688199, 7.9375997332284784 58.14102208643254, 7.937384358962942 58.1411143746255)</t>
  </si>
  <si>
    <t>[1140707, 1140715]</t>
  </si>
  <si>
    <t>[1077030, 168098]</t>
  </si>
  <si>
    <t>0.06880321167543473</t>
  </si>
  <si>
    <t>[1077029, 1077030]</t>
  </si>
  <si>
    <t>22.99044191591533</t>
  </si>
  <si>
    <t>[0.071, 0.067]</t>
  </si>
  <si>
    <t>LINESTRING (7.937553453467325 58.14092407011405, 7.937504992656566 58.140978331608416, 7.937384358962942 58.1411143746255)</t>
  </si>
  <si>
    <t>[1140720, 1140721]</t>
  </si>
  <si>
    <t>[1077044, 168098]</t>
  </si>
  <si>
    <t>0.06812924882564791</t>
  </si>
  <si>
    <t>[1077043, 1077044]</t>
  </si>
  <si>
    <t>23.71579891062102</t>
  </si>
  <si>
    <t>0.049</t>
  </si>
  <si>
    <t>37.011594512576735</t>
  </si>
  <si>
    <t>[-0.038, -0.066, -0.038]</t>
  </si>
  <si>
    <t>LINESTRING (7.937225559371234 58.14140880406185, 7.937741455189429 58.14153890118621, 7.940246483192359 58.140834080808354, 7.940406386737366 58.14081413589495)</t>
  </si>
  <si>
    <t>[151526, 1614359, 749688]</t>
  </si>
  <si>
    <t>[168106, 731626, 731627]</t>
  </si>
  <si>
    <t>[168099, 168106, 731626]</t>
  </si>
  <si>
    <t>[0.038, 0.066, 0.038]</t>
  </si>
  <si>
    <t>213.40351684701233</t>
  </si>
  <si>
    <t>[-0.158, -0.138]</t>
  </si>
  <si>
    <t>LINESTRING (7.935317959089268 58.142788236309606, 7.935379742454599 58.14273129230096, 7.937217495592881 58.141734513165154)</t>
  </si>
  <si>
    <t>[1625936, 1614598]</t>
  </si>
  <si>
    <t>[1447912, 168171]</t>
  </si>
  <si>
    <t>[1114154, 1447912]</t>
  </si>
  <si>
    <t>[0.158, 0.138]</t>
  </si>
  <si>
    <t>163.01131850387503</t>
  </si>
  <si>
    <t>2.368</t>
  </si>
  <si>
    <t>5.070000000065193</t>
  </si>
  <si>
    <t>[0.101, 0.082]</t>
  </si>
  <si>
    <t>LINESTRING (7.9395285167290295 58.14114409128873, 7.939351376078236 58.14125752571376, 7.937962660875187 58.14180788215448)</t>
  </si>
  <si>
    <t>[749816, 1354654]</t>
  </si>
  <si>
    <t>[731751, 168215]</t>
  </si>
  <si>
    <t>0.0846169771084992</t>
  </si>
  <si>
    <t>[731682, 731751]</t>
  </si>
  <si>
    <t>119.16764500958564</t>
  </si>
  <si>
    <t>[-0.076, -0.043, -0.004, 0.016]</t>
  </si>
  <si>
    <t>[0, 1, 0, 0]</t>
  </si>
  <si>
    <t>LINESTRING (11.98752917130985 60.18982479385166, 11.988169629392905 60.1897433921473, 11.990186594120619 60.18973971973233, 11.991364064855109 60.18958316457546, 11.991811531246267 60.18950446103631)</t>
  </si>
  <si>
    <t>[164247, 164255, 164264, 164274]</t>
  </si>
  <si>
    <t>[179841, 179843, 179850, 179859]</t>
  </si>
  <si>
    <t>[179840, 179841, 179843, 179850]</t>
  </si>
  <si>
    <t>[0.076, 0.043, 0.004, 0.016]</t>
  </si>
  <si>
    <t>242.8479657467954</t>
  </si>
  <si>
    <t>[-0.072, -0.069]</t>
  </si>
  <si>
    <t>LINESTRING (11.986703857315279 60.189968030128135, 11.986808495776963 60.18994659897682, 11.98752917130985 60.18982479385166)</t>
  </si>
  <si>
    <t>[174135, 174140]</t>
  </si>
  <si>
    <t>[188940, 179840]</t>
  </si>
  <si>
    <t>[179972, 188940]</t>
  </si>
  <si>
    <t>[0.072, 0.069]</t>
  </si>
  <si>
    <t>48.91408385413882</t>
  </si>
  <si>
    <t>[-0.022, -0.044]</t>
  </si>
  <si>
    <t>LINESTRING (11.986777843155679 60.19011356731831, 11.98690922956146 60.190038563132184, 11.98752917130985 60.18982479385166)</t>
  </si>
  <si>
    <t>[236948, 236956]</t>
  </si>
  <si>
    <t>[239880, 179840]</t>
  </si>
  <si>
    <t>[179982, 239880]</t>
  </si>
  <si>
    <t>[0.022, 0.044]</t>
  </si>
  <si>
    <t>53.29371642664289</t>
  </si>
  <si>
    <t>[0.015, -0.027, -0.078, -0.106]</t>
  </si>
  <si>
    <t>LINESTRING (11.986265095074286 60.1900497899777, 11.986306044309222 60.189996809714195, 11.986392750094813 60.189956461270754, 11.986551704433607 60.189935007860925, 11.986703857315279 60.189968030128135)</t>
  </si>
  <si>
    <t>[164398, 164399, 164406, 164407]</t>
  </si>
  <si>
    <t>[179962, 179963, 179971, 179972]</t>
  </si>
  <si>
    <t>[179953, 179962, 179963, 179971]</t>
  </si>
  <si>
    <t>[0.015, 0.027, 0.078, 0.106]</t>
  </si>
  <si>
    <t>31.2524232802618</t>
  </si>
  <si>
    <t>[0.108, 0.067]</t>
  </si>
  <si>
    <t>LINESTRING (11.986511143564432 60.19020013971749, 11.986304684475973 60.19014164862249, 11.986265095074286 60.1900497899777)</t>
  </si>
  <si>
    <t>[164441, 164387]</t>
  </si>
  <si>
    <t>[179952, 179953]</t>
  </si>
  <si>
    <t>0.09030310870291275</t>
  </si>
  <si>
    <t>[179987, 179952]</t>
  </si>
  <si>
    <t>24.249626634706267</t>
  </si>
  <si>
    <t>[-0.085, -0.008, 0.06, 0.021, -0.013, -0.014]</t>
  </si>
  <si>
    <t>LINESTRING (11.975824991882716 60.195111711019365, 11.975948771542043 60.19508650187249, 11.984480523207031 60.19086902272637, 11.985502051241777 60.19042357835517, 11.986146673637434 60.19012900606533, 11.986177689612632 60.19010680811267, 11.986265095074286 60.1900497899777)</t>
  </si>
  <si>
    <t>[336826, 336834, 336842, 336850, 336858, 336866]</t>
  </si>
  <si>
    <t>[326075, 326082, 326091, 326098, 326107, 179953]</t>
  </si>
  <si>
    <t>[326074, 326075, 326082, 326091, 326098, 326107]</t>
  </si>
  <si>
    <t>[0.085, 0.008, 0.06, 0.021, 0.013, 0.014]</t>
  </si>
  <si>
    <t>809.9446532346385</t>
  </si>
  <si>
    <t>[-0.11, -0.056]</t>
  </si>
  <si>
    <t>LINESTRING (11.986703857315279 60.189968030128135, 11.986765129018913 60.19000824012958, 11.986777843155679 60.19011356731831)</t>
  </si>
  <si>
    <t>[164421, 164422]</t>
  </si>
  <si>
    <t>[179981, 179982]</t>
  </si>
  <si>
    <t>[179972, 179981]</t>
  </si>
  <si>
    <t>[0.11, 0.056]</t>
  </si>
  <si>
    <t>17.684213642596323</t>
  </si>
  <si>
    <t>[0.044, 0.082]</t>
  </si>
  <si>
    <t>LINESTRING (11.986777843155679 60.19011356731831, 11.98653455263608 60.19020067216465, 11.986511143564432 60.19020013971749)</t>
  </si>
  <si>
    <t>[164424, 164428]</t>
  </si>
  <si>
    <t>[179984, 179987]</t>
  </si>
  <si>
    <t>0.04663915173518998</t>
  </si>
  <si>
    <t>[179982, 179984]</t>
  </si>
  <si>
    <t>18.718135581545663</t>
  </si>
  <si>
    <t>[0.014, -0.007, 0.058, 0.002, -0.048, -0.076]</t>
  </si>
  <si>
    <t>LINESTRING (11.976062729189618 60.195250299471425, 11.97611299917542 60.19518925028478, 11.984580842748082 60.190932630659674, 11.98562254083874 60.19049844474138, 11.986322877701596 60.19023660568851, 11.986368574271195 60.190221965801314, 11.986511143564432 60.19020013971749)</t>
  </si>
  <si>
    <t>[336890, 336898, 336906, 336914, 336922, 336930]</t>
  </si>
  <si>
    <t>[326130, 326136, 326144, 326152, 326161, 179987]</t>
  </si>
  <si>
    <t>[326129, 326130, 326136, 326144, 326152, 326161]</t>
  </si>
  <si>
    <t>[0.014, 0.007, 0.058, 0.002, 0.048, 0.076]</t>
  </si>
  <si>
    <t>810.4928818001205</t>
  </si>
  <si>
    <t>378.0</t>
  </si>
  <si>
    <t>LINESTRING (12.323257882584095 60.18267490336616, 12.513481087099391 60.25585101206168)</t>
  </si>
  <si>
    <t>19942.794279941754</t>
  </si>
  <si>
    <t>[0.01, 0.004, 0.004, -0.004, -0.091, -0.03, 0.024, 0.019, 0.013, 0.01, 0.007, -0.003, 0.024, -0.016, 0.006, 0.021, -0.001, -0.01, 0.014, 0.024, -0.008, 0.015, 0.003, -0.005, 0.017]</t>
  </si>
  <si>
    <t>[0, 0, 0, 0, 0, 1, 0, 0, 0, 0, 0, 0, 0, 0, 0, 0, 0, 0, 0, 0, 0, 0, 0, 0, 0]</t>
  </si>
  <si>
    <t>LINESTRING (11.675771683428916 60.25789922840169, 11.675963856062294 60.25823900157715, 11.675979373872288 60.25825841505885, 11.676028744843258 60.25832435571245, 11.677228439022745 60.259423008104754, 11.677972856219993 60.259447763842836, 11.678940232106 60.259342669848884, 11.681081273961828 60.25943184281943, 11.68119615368043 60.259443074563286, 11.68140340665923 60.25946811999332, 11.681560611979009 60.25948732994722, 11.682992245059602 60.2596195621467, 11.69066900221018 60.25889080997774, 11.692037843816566 60.25848015573752, 11.693674558064222 60.257955161675795, 11.700493252078147 60.25576210305444, 11.703307761243819 60.254856063999014, 11.705746301664357 60.254072911220774, 11.707228458270645 60.25359730670966, 11.709296650977397 60.25293070719841, 11.709378893200599 60.252903990990134, 11.713717309368857 60.25150777435518, 11.718691702443842 60.249898705293596, 11.722371392177175 60.248720769130166, 11.730155118853254 60.24804208017224, 11.733096931048598 60.24795992288121)</t>
  </si>
  <si>
    <t>[174486, 174497, 174505, 174513, 174536, 174537, 174540, 174541, 174548, 174556, 174557, 174562, 174563, 174564, 174575, 174576, 174596, 174608, 174612, 174613, 174617, 174629, 174645, 174653, 2159538]</t>
  </si>
  <si>
    <t>[189254, 189266, 29321, 45454, 189301, 189302, 189304, 189305, 189310, 189318, 189319, 46132, 189326, 189327, 29253, 29152, 30663, 189365, 29115, 37261, 189370, 29121, 189395, 29088, 326335]</t>
  </si>
  <si>
    <t>0.0023931629505300365</t>
  </si>
  <si>
    <t>[189253, 189254, 189266, 29321, 45454, 189301, 189302, 189304, 189305, 189310, 189318, 189319, 46132, 189326, 189327, 29253, 29152, 30663, 189365, 29115, 37261, 189370, 29121, 189395, 29088]</t>
  </si>
  <si>
    <t>[0.01, 0.004, 0.004, 0.004, 0.091, 0.03, 0.024, 0.019, 0.013, 0.01, 0.007, 0.003, 0.024, 0.016, 0.006, 0.021, 0.001, 0.01, 0.014, 0.024, 0.008, 0.015, 0.003, 0.005, 0.017]</t>
  </si>
  <si>
    <t>3649.8473562500967</t>
  </si>
  <si>
    <t>[-0.062, 0.027]</t>
  </si>
  <si>
    <t>LINESTRING (11.67569755286991 60.25759312044079, 11.675709959487667 60.25763837333216, 11.675771683428916 60.25789922840169)</t>
  </si>
  <si>
    <t>[232435, 232443]</t>
  </si>
  <si>
    <t>[236126, 189253]</t>
  </si>
  <si>
    <t>0.01399488354439794</t>
  </si>
  <si>
    <t>[191235, 236126]</t>
  </si>
  <si>
    <t>[0.062, 0.027]</t>
  </si>
  <si>
    <t>34.82346539460756</t>
  </si>
  <si>
    <t>[-0.424, 0.079]</t>
  </si>
  <si>
    <t>LINESTRING (11.675508710900699 60.257640914280934, 11.67554680545136 60.25767717737396, 11.675771683428916 60.25789922840169)</t>
  </si>
  <si>
    <t>[222433, 222441]</t>
  </si>
  <si>
    <t>[228359, 189253]</t>
  </si>
  <si>
    <t>0.008742983235838026</t>
  </si>
  <si>
    <t>[191263, 228359]</t>
  </si>
  <si>
    <t>[0.424, 0.079]</t>
  </si>
  <si>
    <t>32.6309234587211</t>
  </si>
  <si>
    <t>[-0.016, -0.003, 0.009, 0.016]</t>
  </si>
  <si>
    <t>LINESTRING (11.675532223227227 60.25741478073565, 11.67564957631948 60.2574370161163, 11.675704997736085 60.25746844726603, 11.67573912968646 60.25750722609424, 11.67569755286991 60.25759312044079)</t>
  </si>
  <si>
    <t>[176432, 176433, 176440, 176448]</t>
  </si>
  <si>
    <t>[191216, 191217, 191225, 191235]</t>
  </si>
  <si>
    <t>0.0028547197849890476</t>
  </si>
  <si>
    <t>[191215, 191216, 191217, 191225]</t>
  </si>
  <si>
    <t>[0.016, 0.003, 0.009, 0.016]</t>
  </si>
  <si>
    <t>26.168925016182072</t>
  </si>
  <si>
    <t>[-0.021, -0.025]</t>
  </si>
  <si>
    <t>LINESTRING (11.675331406615527 60.25745477038242, 11.675413000769048 60.25742414918861, 11.675532223227227 60.25741478073565)</t>
  </si>
  <si>
    <t>[176498, 176505]</t>
  </si>
  <si>
    <t>[191289, 191215]</t>
  </si>
  <si>
    <t>[191288, 191289]</t>
  </si>
  <si>
    <t>[0.021, 0.025]</t>
  </si>
  <si>
    <t>12.344148413888266</t>
  </si>
  <si>
    <t>[0.108, -0.006, 0.045]</t>
  </si>
  <si>
    <t>LINESTRING (11.67518520436329 60.25722751927178, 11.675311243279625 60.25728639536203, 11.675471985333523 60.257383767987776, 11.675532223227227 60.25741478073565)</t>
  </si>
  <si>
    <t>[232411, 232419, 232427]</t>
  </si>
  <si>
    <t>[236109, 236113, 191215]</t>
  </si>
  <si>
    <t>0.04193627826343033</t>
  </si>
  <si>
    <t>[228337, 236109, 236113]</t>
  </si>
  <si>
    <t>[0.108, 0.006, 0.045]</t>
  </si>
  <si>
    <t>28.79414330164484</t>
  </si>
  <si>
    <t>[0.02, 0.013]</t>
  </si>
  <si>
    <t>LINESTRING (11.67569755286991 60.25759312044079, 11.675603607526535 60.25763068444611, 11.675508710900699 60.257640914280934)</t>
  </si>
  <si>
    <t>[176456, 176469]</t>
  </si>
  <si>
    <t>[191246, 191263]</t>
  </si>
  <si>
    <t>0.016877488259148966</t>
  </si>
  <si>
    <t>[191235, 191246]</t>
  </si>
  <si>
    <t>12.052489400056832</t>
  </si>
  <si>
    <t>[0.009, 0.004, 0.0, -0.011]</t>
  </si>
  <si>
    <t>LINESTRING (11.675508710900699 60.257640914280934, 11.675361425434444 60.257614244057116, 11.67529954359745 60.25757448201837, 11.675279967457422 60.25752984918319, 11.675331406615527 60.25745477038242)</t>
  </si>
  <si>
    <t>[176480, 176481, 176489, 176497]</t>
  </si>
  <si>
    <t>[191273, 191274, 191280, 191288]</t>
  </si>
  <si>
    <t>0.00011739936728648422</t>
  </si>
  <si>
    <t>[191263, 191273, 191274, 191280]</t>
  </si>
  <si>
    <t>[0.009, 0.004, 0.0, 0.011]</t>
  </si>
  <si>
    <t>28.20604409542743</t>
  </si>
  <si>
    <t>[-0.001, -0.009, 0.494]</t>
  </si>
  <si>
    <t>LINESTRING (11.67518520436329 60.25722751927178, 11.675196757629413 60.25730967676789, 11.675305487705414 60.257427906833286, 11.675331406615527 60.25745477038242)</t>
  </si>
  <si>
    <t>[222409, 222417, 222425]</t>
  </si>
  <si>
    <t>[228338, 228347, 191288]</t>
  </si>
  <si>
    <t>0.05504491455569544</t>
  </si>
  <si>
    <t>[228337, 228338, 228347]</t>
  </si>
  <si>
    <t>[0.001, 0.009, 0.494]</t>
  </si>
  <si>
    <t>27.24958627087446</t>
  </si>
  <si>
    <t>0.027</t>
  </si>
  <si>
    <t>24.111974203747376</t>
  </si>
  <si>
    <t>[-0.002, -0.073, 0.013, -0.006]</t>
  </si>
  <si>
    <t>LINESTRING (12.012760557434962 60.18667059317993, 12.017770751002406 60.187083368624, 12.018561894657532 60.187098138303845, 12.018872911730998 60.18710709598686, 12.020150616174618 60.187269809527486)</t>
  </si>
  <si>
    <t>[180932, 358567, 358575, 358583]</t>
  </si>
  <si>
    <t>[195584, 13563, 346937, 346966]</t>
  </si>
  <si>
    <t>[195583, 195584, 13563, 346937]</t>
  </si>
  <si>
    <t>[0.002, 0.073, 0.013, 0.006]</t>
  </si>
  <si>
    <t>420.79657230493365</t>
  </si>
  <si>
    <t>[-0.006, -0.004, -0.001, -0.009, 0.043, 0.01, 0.074]</t>
  </si>
  <si>
    <t>LINESTRING (12.029504488353046 60.19364404177697, 12.029510618906613 60.19367941880846, 12.029621274669061 60.19409932063392, 12.029721112774586 60.1945185395388, 12.029779202833643 60.19451636447745, 12.02990344959328 60.19451101804651, 12.034014874849902 60.1937296994744, 12.034045211616311 60.19370350414617)</t>
  </si>
  <si>
    <t>[180949, 180962, 180963, 197568, 197576, 197584, 197592]</t>
  </si>
  <si>
    <t>[195600, 195611, 195612, 209893, 209901, 209906, 209022]</t>
  </si>
  <si>
    <t>0.0077082889988336544</t>
  </si>
  <si>
    <t>[195595, 195600, 195611, 195612, 209893, 209901, 209906]</t>
  </si>
  <si>
    <t>[0.006, 0.004, 0.001, 0.009, 0.043, 0.01, 0.074]</t>
  </si>
  <si>
    <t>374.75239818061493</t>
  </si>
  <si>
    <t>[-0.036, 0.023, 0.004, 0.019, 0.032, 0.03, -0.001]</t>
  </si>
  <si>
    <t>LINESTRING (12.029504488353046 60.19364404177697, 12.029555597610994 60.19364201582927, 12.029685297349358 60.1936369985559, 12.03128110775568 60.19354618968734, 12.031566082493534 60.19353189962573, 12.031962750295538 60.193516337208976, 12.032865321666412 60.19352511389089, 12.034045211616311 60.19370350414617)</t>
  </si>
  <si>
    <t>[196304, 196312, 196320, 196328, 196336, 196344, 196352]</t>
  </si>
  <si>
    <t>[208984, 208990, 208995, 209002, 209009, 209014, 209022]</t>
  </si>
  <si>
    <t>0.011193752675151337</t>
  </si>
  <si>
    <t>[195595, 208984, 208990, 208995, 209002, 209009, 209014]</t>
  </si>
  <si>
    <t>[0.036, 0.023, 0.004, 0.019, 0.032, 0.03, 0.001]</t>
  </si>
  <si>
    <t>255.83634796907398</t>
  </si>
  <si>
    <t>[-0.032, -0.033, -0.024, -0.006, 0.004, 0.005, 0.005, 0.013, -0.007, -0.005, -0.006]</t>
  </si>
  <si>
    <t>8073.0</t>
  </si>
  <si>
    <t>[0, 1, 0, 0, 0, 1, 0, 0, 0, 0, 0]</t>
  </si>
  <si>
    <t>LINESTRING (12.021306739744801 60.18771415694941, 12.02150376996782 60.18781364957532, 12.022822624369077 60.18847962104789, 12.023168631186133 60.188654169101305, 12.027508510065681 60.190846284337844, 12.02891394482955 60.19185844313204, 12.029111879035236 60.19218789089992, 12.029243555314713 60.19260113041031, 12.029409666104916 60.19327098372126, 12.029442906630946 60.19342303818081, 12.029479951594107 60.19355038800363, 12.029504488353046 60.19364404177697)</t>
  </si>
  <si>
    <t>[358631, 358639, 358647, 358655, 358663, 358671, 358679, 358687, 180933, 180941, 180942]</t>
  </si>
  <si>
    <t>[347020, 347032, 347040, 3681, 347059, 347069, 347078, 195585, 195586, 195594, 195595]</t>
  </si>
  <si>
    <t>[347019, 347020, 347032, 347040, 3681, 347059, 347069, 347078, 195585, 195586, 195594]</t>
  </si>
  <si>
    <t>[0.032, 0.033, 0.024, 0.006, 0.004, 0.005, 0.005, 0.013, 0.007, 0.005, 0.006]</t>
  </si>
  <si>
    <t>830.1065947343728</t>
  </si>
  <si>
    <t>[0.006, 0.009, 0.008]</t>
  </si>
  <si>
    <t>LINESTRING (11.283370117970167 60.71373471943406, 11.282867828980624 60.713839688677446, 11.282482013921324 60.713926201704425, 11.282001221741908 60.71405525076262)</t>
  </si>
  <si>
    <t>[185594, 185602, 185610]</t>
  </si>
  <si>
    <t>[200334, 200343, 200351]</t>
  </si>
  <si>
    <t>0.007560218524315565</t>
  </si>
  <si>
    <t>[200325, 200334, 200343]</t>
  </si>
  <si>
    <t>82.91319557526158</t>
  </si>
  <si>
    <t>LINESTRING (11.282001221741908 60.71405525076262, 11.281849543811857 60.714097777147344, 11.281721637411591 60.71414096353951)</t>
  </si>
  <si>
    <t>[185618, 185626]</t>
  </si>
  <si>
    <t>[200360, 200369]</t>
  </si>
  <si>
    <t>[200351, 200360]</t>
  </si>
  <si>
    <t>18.022643935321163</t>
  </si>
  <si>
    <t>[0.001, 0.002, 0.002, 0.002, 0.105]</t>
  </si>
  <si>
    <t>[0, 0, 1, 0, 0]</t>
  </si>
  <si>
    <t>LINESTRING (11.101135541845837 63.668650098783296, 11.10123758633848 63.66933322406455, 11.101467367132978 63.67087133853349, 11.101482539456558 63.67095038689964, 11.101505322368933 63.671074594993115, 11.102609488826207 63.67243406855809)</t>
  </si>
  <si>
    <t>[188786, 188794, 188802, 188810, 188818]</t>
  </si>
  <si>
    <t>[203073, 203077, 203081, 203087, 203093]</t>
  </si>
  <si>
    <t>0.04045524514770126</t>
  </si>
  <si>
    <t>[203067, 203073, 203077, 203081, 203087]</t>
  </si>
  <si>
    <t>433.48438178363347</t>
  </si>
  <si>
    <t>[-0.002, -0.004, -0.011, -0.003, -0.013]</t>
  </si>
  <si>
    <t>LINESTRING (11.101135541845837 63.668650098783296, 11.10118824308538 63.66872446757245, 11.102260952468622 63.67076114850161, 11.102286633838302 63.67083206985868, 11.102290948784352 63.67084410371939, 11.102295364143945 63.6708642376428)</t>
  </si>
  <si>
    <t>[189018, 189026, 189034, 189042, 189050]</t>
  </si>
  <si>
    <t>[203259, 203267, 203276, 203282, 203290]</t>
  </si>
  <si>
    <t>[203067, 203259, 203267, 203276, 203282]</t>
  </si>
  <si>
    <t>[0.002, 0.004, 0.011, 0.003, 0.013]</t>
  </si>
  <si>
    <t>255.4007148676846</t>
  </si>
  <si>
    <t>[0.014, 0.04, 0.009, 0.02, 0.038, 0.026, -0.08, 0.001, -0.002, 0.032, 0.029, 0.009, -0.039, -0.087, -0.014]</t>
  </si>
  <si>
    <t>[0, 0, 0, 0, 1, 0, 0, 0, 0, 1, 0, 0, 1, 0, 0]</t>
  </si>
  <si>
    <t>LINESTRING (11.066711369978297 63.62962028740446, 11.066676253142408 63.62974879656792, 11.066363704854886 63.63023300764549, 11.066327617643784 63.63029323147862, 11.065061029687058 63.633577747459036, 11.064541067045624 63.63415371181243, 11.072108614091071 63.64358167861907, 11.072161882061724 63.643718870302216, 11.07268416267369 63.64476421821483, 11.094812506356819 63.65511855245685, 11.094969305806487 63.65517557809425, 11.095948958817935 63.65554747982661, 11.103717497341062 63.661052710343384, 11.103699024589837 63.66116228287852, 11.102732937681019 63.662716960233716, 11.101135541845837 63.668650098783296)</t>
  </si>
  <si>
    <t>[1465887, 2097991, 2097998, 2098006, 2098007, 2098029, 2098038, 2098039, 2098046, 2098047, 2098051, 2098059, 2098060, 2098067, 188778]</t>
  </si>
  <si>
    <t>[1328502, 1814447, 1814453, 1814459, 1814460, 1814472, 1814478, 1814479, 1814484, 1814485, 1814488, 1814494, 1814495, 203066, 203067]</t>
  </si>
  <si>
    <t>0.004246534854190748</t>
  </si>
  <si>
    <t>[1328498, 1328502, 1814447, 1814453, 1814459, 1814460, 1814472, 1814478, 1814479, 1814484, 1814485, 1814488, 1814494, 1814495, 203066]</t>
  </si>
  <si>
    <t>[0.014, 0.04, 0.009, 0.02, 0.038, 0.026, 0.08, 0.001, 0.002, 0.032, 0.029, 0.009, 0.039, 0.087, 0.014]</t>
  </si>
  <si>
    <t>5144.165566415357</t>
  </si>
  <si>
    <t>[-0.019, -0.024, 0.0, -0.023, 0.001, -0.031, -0.002, -0.018, -0.014, -0.013, -0.013, -0.014, -0.025, -0.031, -0.033, -0.031, -0.026, -0.018, 0.008, -0.002, -0.009, 0.0, 0.003, 0.001, 0.002, 0.0, 0.004, -0.0, -0.005, 0.002, 0.037, 0.051, 0.075, 0.011, -0.049, -0.01, -0.011, -0.027]</t>
  </si>
  <si>
    <t>8941.0</t>
  </si>
  <si>
    <t>[0, 0, 0, 1, 0, 1, 0, 1, 0, 0, 0, 0, 0, 0, 0, 0, 0, 1, 0, 0, 0, 0, 0, 0, 0, 0, 0, 0, 0, 0, 1, 1, 0, 0, 1, 0, 0, 1]</t>
  </si>
  <si>
    <t>LINESTRING (11.102609488826207 63.67243406855809, 11.105564817815102 63.673595163890205, 11.121169494266676 63.67962607257478, 11.131216735778994 63.682471422991476, 11.13126171432243 63.6824893848545, 11.13457877941796 63.68347595146797, 11.136813596487332 63.68405604982632, 11.145617811394422 63.69103455745718, 11.145648993952905 63.69106909360825, 11.14892141436222 63.69467538131802, 11.148961933704841 63.69472292776405, 11.149024241881051 63.6947987907088, 11.149063323459435 63.6948433599564, 11.151905390162533 63.69931489940854, 11.152450413523729 63.70024239493937, 11.15247333624885 63.70027762491618, 11.154851274397101 63.702737712448105, 11.155118272195853 63.70294131625836, 11.15702010590718 63.704277861019925, 11.15792503487812 63.70490817479595, 11.159224089346305 63.70587031414494, 11.159304568911816 63.70593715774073, 11.159524233034134 63.7061237797095, 11.159657445276842 63.706240693563785, 11.159708858907774 63.70628673870805, 11.159896722054016 63.70645900415088, 11.159935525160446 63.70649615728953, 11.159975689072333 63.706534182497506, 11.160090182662294 63.70664364056051, 11.16012456857296 63.70667721587394, 11.160193528573316 63.706743877227176, 11.161795402205275 63.7084112289847, 11.161887091540692 63.708507864084105, 11.16429814638537 63.710063666031495, 11.164999865224742 63.710300288267945, 11.165119060527395 63.71033567333056, 11.18410771516539 63.7108720022089, 11.185419595552258 63.71073434604047, 11.18625487792864 63.71069875893292)</t>
  </si>
  <si>
    <t>[188954, 188962, 188970, 188978, 189154, 189162, 189170, 189178, 189186, 189194, 189202, 189210, 189218, 189226, 189234, 189242, 189250, 189266, 189274, 189282, 189290, 189298, 189306, 189314, 189322, 189330, 189338, 189346, 189354, 189362, 189370, 189378, 189386, 189394, 189402, 189410, 189418, 189426]</t>
  </si>
  <si>
    <t>[203206, 203212, 203217, 203224, 203382, 203389, 203394, 203401, 203407, 203414, 203421, 203427, 203431, 203434, 203439, 203446, 203454, 203467, 203475, 203482, 203487, 203494, 203499, 203508, 203513, 203517, 203521, 203526, 203530, 203537, 203543, 203548, 203553, 203559, 203566, 203573, 203581, 203586]</t>
  </si>
  <si>
    <t>[203093, 203206, 203212, 203217, 203224, 203382, 203389, 203394, 203401, 203407, 203414, 203421, 203427, 203431, 203434, 203439, 203446, 203454, 203467, 203475, 203482, 203487, 203494, 203499, 203508, 203513, 203517, 203521, 203526, 203530, 203537, 203543, 203548, 203553, 203559, 203566, 203573, 203581]</t>
  </si>
  <si>
    <t>[0.019, 0.024, 0.0, 0.023, 0.001, 0.031, 0.002, 0.018, 0.014, 0.013, 0.013, 0.014, 0.025, 0.031, 0.033, 0.031, 0.026, 0.018, 0.008, 0.002, 0.009, 0.0, 0.003, 0.001, 0.002, 0.0, 0.004, 0.0, 0.005, 0.002, 0.037, 0.051, 0.075, 0.011, 0.049, 0.01, 0.011, 0.027]</t>
  </si>
  <si>
    <t>6589.133884340191</t>
  </si>
  <si>
    <t>[0.0, 0.104, 0.102]</t>
  </si>
  <si>
    <t>LINESTRING (11.102192431597702 63.670890968578874, 11.102192431597702 63.670890968578874, 11.102338978000278 63.67216535341342, 11.102609488826207 63.67243406855809)</t>
  </si>
  <si>
    <t>[188914, 188922, 588008]</t>
  </si>
  <si>
    <t>[203176, 203182, 203093]</t>
  </si>
  <si>
    <t>0.1022458435424168</t>
  </si>
  <si>
    <t>[203175, 203176, 203182]</t>
  </si>
  <si>
    <t>179.90251587866328</t>
  </si>
  <si>
    <t>[0.001, 0.002, 0.002, 0.108, -0.017]</t>
  </si>
  <si>
    <t>LINESTRING (11.101105896208683 63.66933000196316, 11.10136617913398 63.670874048857215, 11.101381978279283 63.67095457014746, 11.101412877381108 63.67108038243257, 11.102528325450734 63.67246094977892, 11.105497884116607 63.67364603230588)</t>
  </si>
  <si>
    <t>[188842, 188850, 188858, 188866, 188874]</t>
  </si>
  <si>
    <t>[203114, 203120, 203128, 203134, 203142]</t>
  </si>
  <si>
    <t>0.02618679135056349</t>
  </si>
  <si>
    <t>[203108, 203114, 203120, 203128, 203134]</t>
  </si>
  <si>
    <t>[0.001, 0.002, 0.002, 0.108, 0.017]</t>
  </si>
  <si>
    <t>559.9315642015818</t>
  </si>
  <si>
    <t>[0.0, 0.0, -0.003, -0.005, -0.002]</t>
  </si>
  <si>
    <t>LINESTRING (11.100169253538526 63.671017991864026, 11.100169253538526 63.671017991864026, 11.100035238946356 63.67058019884844, 11.100126167350751 63.670455103726084, 11.101095672378007 63.66954484802746, 11.101105896208683 63.66933000196316)</t>
  </si>
  <si>
    <t>[188986, 188994, 189002, 189010, 189586]</t>
  </si>
  <si>
    <t>[203233, 203239, 203247, 203253, 203108]</t>
  </si>
  <si>
    <t>[203232, 203233, 203239, 203247, 203253]</t>
  </si>
  <si>
    <t>[0.0, 0.0, 0.003, 0.005, 0.002]</t>
  </si>
  <si>
    <t>205.19780172779235</t>
  </si>
  <si>
    <t>[0.007, 0.038, 0.007, 0.019, 0.038, 0.027, -0.075, 0.002, -0.002, 0.032, 0.03, 0.007, -0.039, -0.084, -0.015, 0.001]</t>
  </si>
  <si>
    <t>[0, 0, 0, 0, 1, 0, 0, 0, 0, 1, 0, 0, 1, 0, 0, 0]</t>
  </si>
  <si>
    <t>LINESTRING (11.066711369978297 63.62962028740446, 11.066556599440656 63.629738930478645, 11.066225704524555 63.63021932229376, 11.066190895219668 63.630279509215974, 11.06491975937631 63.63355210828552, 11.064397750125375 63.634130280885, 11.07195985177406 63.64359092896339, 11.072014668103908 63.64373138949677, 11.072543649471225 63.64477926697135, 11.094680315421028 63.655144274962396, 11.09483545665369 63.655200563662696, 11.09584779431297 63.65559478882531, 11.103566374251729 63.66104898072164, 11.103548356562827 63.66115538417158, 11.102588167768156 63.66269137478817, 11.10100461227815 63.66865725924722, 11.101105896208683 63.66933000196316)</t>
  </si>
  <si>
    <t>[1465880, 2098068, 2098076, 2098084, 2098089, 2098091, 2098103, 2098104, 2098110, 2098125, 2098126, 2098133, 2098141, 2098157, 188826, 188834]</t>
  </si>
  <si>
    <t>[1328499, 1814501, 1814505, 1814511, 1814513, 1814515, 1814520, 1814521, 1814526, 1814536, 1814537, 1814541, 1814544, 203100, 203101, 203108]</t>
  </si>
  <si>
    <t>0.0040882473706601915</t>
  </si>
  <si>
    <t>[1328498, 1328499, 1814501, 1814505, 1814511, 1814513, 1814515, 1814520, 1814521, 1814526, 1814536, 1814537, 1814541, 1814544, 203100, 203101]</t>
  </si>
  <si>
    <t>[0.007, 0.038, 0.007, 0.019, 0.038, 0.027, 0.075, 0.002, 0.002, 0.032, 0.03, 0.007, 0.039, 0.084, 0.015, 0.001]</t>
  </si>
  <si>
    <t>5221.126284880407</t>
  </si>
  <si>
    <t>[0.178, -0.019, -0.073, -0.062]</t>
  </si>
  <si>
    <t>LINESTRING (11.105497884116607 63.67364603230588, 11.105204689209485 63.67357747017452, 11.098552783119501 63.67164813367768, 11.09830529527194 63.67154209903865, 11.098260122625716 63.671522287429546)</t>
  </si>
  <si>
    <t>[188882, 188890, 188898, 188906]</t>
  </si>
  <si>
    <t>[203150, 203156, 203160, 203169]</t>
  </si>
  <si>
    <t>[203142, 203150, 203156, 203160]</t>
  </si>
  <si>
    <t>[0.178, 0.019, 0.073, 0.062]</t>
  </si>
  <si>
    <t>442.48097849331583</t>
  </si>
  <si>
    <t>[-0.025, 0.001, -0.037, 0.001, -0.03, -0.002, -0.017, -0.014, -0.013, -0.026]</t>
  </si>
  <si>
    <t>[0, 0, 1, 0, 1, 0, 1, 0, 0, 0]</t>
  </si>
  <si>
    <t>LINESTRING (11.105497884116607 63.67364603230588, 11.12109346797244 63.67967470751653, 11.131151133452544 63.6825038346831, 11.131196492761475 63.68252271448592, 11.13452449922751 63.683517386302334, 11.136760386315197 63.6840944047682, 11.145519872713074 63.691051900961185, 11.1455506930785 63.69108612187743, 11.148822874240285 63.694686348563096, 11.148964303902375 63.69485412574993, 11.151803685511116 63.69931893645423)</t>
  </si>
  <si>
    <t>[188930, 188938, 188946, 189058, 189066, 189074, 189082, 189090, 189098, 189106]</t>
  </si>
  <si>
    <t>[203187, 203193, 203200, 203298, 203305, 203310, 203317, 203324, 203331, 203338]</t>
  </si>
  <si>
    <t>[203142, 203187, 203193, 203200, 203298, 203305, 203310, 203317, 203324, 203331]</t>
  </si>
  <si>
    <t>[0.025, 0.001, 0.037, 0.001, 0.03, 0.002, 0.017, 0.014, 0.013, 0.026]</t>
  </si>
  <si>
    <t>3881.5948166400494</t>
  </si>
  <si>
    <t>[-0.031, -0.036, -0.031]</t>
  </si>
  <si>
    <t>LINESTRING (11.151803685511116 63.69931893645423, 11.15235324089218 63.70025479448297, 11.152376380857238 63.700290362796935, 11.154770055064539 63.702765044739465)</t>
  </si>
  <si>
    <t>[189114, 189122, 189130]</t>
  </si>
  <si>
    <t>[203346, 203354, 203361]</t>
  </si>
  <si>
    <t>[203338, 203346, 203354]</t>
  </si>
  <si>
    <t>[0.031, 0.036, 0.031]</t>
  </si>
  <si>
    <t>412.8449150351225</t>
  </si>
  <si>
    <t>[0.01, 0.031, -0.107]</t>
  </si>
  <si>
    <t>LINESTRING (11.152740971884898 63.701689172985425, 11.152775476692439 63.70166735945793, 11.151782969859529 63.69938074107237, 11.151803685511116 63.69931893645423)</t>
  </si>
  <si>
    <t>[765605, 765613, 765773]</t>
  </si>
  <si>
    <t>[744703, 744709, 203338]</t>
  </si>
  <si>
    <t>0.027309423173043215</t>
  </si>
  <si>
    <t>[744645, 744703, 744709]</t>
  </si>
  <si>
    <t>[0.01, 0.031, 0.107]</t>
  </si>
  <si>
    <t>277.36473267059904</t>
  </si>
  <si>
    <t>[-0.026, -0.019, 0.008, -0.002, -0.005, 0.003, 0.001, 0.0, 0.004, -0.0, -0.0, 0.037, 0.048, 0.071, 0.017, -0.034, -0.01, -0.009, -0.026, -0.017, -0.024, -0.026, -0.008]</t>
  </si>
  <si>
    <t>[0, 1, 0, 0, 0, 0, 0, 0, 0, 0, 0, 1, 1, 0, 0, 1, 0, 0, 1, 1, 0, 0, 0]</t>
  </si>
  <si>
    <t>LINESTRING (11.154770055064539 63.702765044739465, 11.15502980195351 63.702963116800916, 11.156930715502346 63.704299107988874, 11.157826619507793 63.70492739296606, 11.15920312263769 63.7059528630819, 11.159429214593805 63.70614451859953, 11.159610428290355 63.70630469962903, 11.159802580727845 63.706481186609246, 11.159842777705956 63.70651881732789, 11.15987948326098 63.706554108172746, 11.159993135859649 63.70666274405775, 11.160099852335767 63.706766359880504, 11.161696213592892 63.70842801195311, 11.161787831295332 63.70852427675774, 11.164221458953827 63.710107857810236, 11.164935011201608 63.71034717728144, 11.165052496608388 63.71038202255586, 11.184089685902025 63.710930421614236, 11.185399781576693 63.71078498086592, 11.186258984457373 63.71074512124812, 11.186357729656285 63.710743146417606, 11.188834460877988 63.710861521115525, 11.189025435765839 63.71088338415155, 11.192357840790251 63.711619243734894)</t>
  </si>
  <si>
    <t>[189138, 189146, 189442, 189450, 189458, 189466, 189474, 189482, 189490, 189498, 189506, 189514, 189522, 189530, 189538, 189546, 189554, 189562, 189570, 189578, 680885, 680900, 680908]</t>
  </si>
  <si>
    <t>[203367, 203376, 203601, 203609, 203615, 203622, 203630, 203636, 203641, 203648, 203653, 203662, 203670, 203676, 203680, 203687, 203693, 203702, 203707, 203713, 671750, 671766, 248129]</t>
  </si>
  <si>
    <t>0.0015548308189861576</t>
  </si>
  <si>
    <t>[203361, 203367, 203376, 203601, 203609, 203615, 203622, 203630, 203636, 203641, 203648, 203653, 203662, 203670, 203676, 203680, 203687, 203693, 203702, 203707, 203713, 671750, 671766]</t>
  </si>
  <si>
    <t>[0.026, 0.019, 0.008, 0.002, 0.005, 0.003, 0.001, 0.0, 0.004, 0.0, 0.0, 0.037, 0.048, 0.071, 0.017, 0.034, 0.01, 0.009, 0.026, 0.017, 0.024, 0.026, 0.008]</t>
  </si>
  <si>
    <t>2425.40443526626</t>
  </si>
  <si>
    <t>[0.026, 0.032]</t>
  </si>
  <si>
    <t>LINESTRING (11.154770055064539 63.702765044739465, 11.154623486243668 63.702712122292255, 11.152740971884898 63.701689172985425)</t>
  </si>
  <si>
    <t>[246909, 765541]</t>
  </si>
  <si>
    <t>[248116, 744645]</t>
  </si>
  <si>
    <t>0.031667521297565636</t>
  </si>
  <si>
    <t>[203361, 248116]</t>
  </si>
  <si>
    <t>168.65617242531772</t>
  </si>
  <si>
    <t>[-0.034, -0.022, -0.027, -0.023, -0.03, -0.005]</t>
  </si>
  <si>
    <t>[1, 0, 0, 0, 0, 0]</t>
  </si>
  <si>
    <t>LINESTRING (11.18625487792864 63.71069875893292, 11.186352891024443 63.7106963513255, 11.188363025642811 63.71075223083462, 11.188857648867828 63.710799328837574, 11.188979499317789 63.7108129626287, 11.189051302754539 63.710821307739515, 11.192440799462394 63.71156834704874)</t>
  </si>
  <si>
    <t>[189434, 533871, 533879, 533887, 533895, 533903]</t>
  </si>
  <si>
    <t>[203593, 541380, 541387, 541395, 541406, 248244]</t>
  </si>
  <si>
    <t>[203586, 203593, 541380, 541387, 541395, 541406]</t>
  </si>
  <si>
    <t>[0.034, 0.022, 0.027, 0.023, 0.03, 0.005]</t>
  </si>
  <si>
    <t>327.67682501242</t>
  </si>
  <si>
    <t>[-0.552, 0.041, 0.094, 0.115, -0.052, -0.057, -0.024, 0.005, -0.007, -0.031]</t>
  </si>
  <si>
    <t>LINESTRING (11.18625487792864 63.71069875893292, 11.186541946322892 63.710663268378596, 11.188239074540366 63.71002802492868, 11.18807216554744 63.7099520976072, 11.188004823706006 63.709903727554575, 11.188143908744962 63.709916794293626, 11.188370746474728 63.70996254194154, 11.191315892664525 63.71121203449738, 11.192411006522276 63.71153224191384, 11.192425031950119 63.711549237990845, 11.192440799462394 63.71156834704874)</t>
  </si>
  <si>
    <t>[765741, 765749, 765757, 765765, 765629, 765637, 765645, 765653, 247061, 247069]</t>
  </si>
  <si>
    <t>[744823, 744832, 744841, 608618, 744718, 744725, 744732, 248235, 248236, 248244]</t>
  </si>
  <si>
    <t>[203586, 744823, 744832, 744841, 608618, 744718, 744725, 744732, 248235, 248236]</t>
  </si>
  <si>
    <t>[0.552, 0.041, 0.094, 0.115, 0.052, 0.057, 0.024, 0.005, 0.007, 0.031]</t>
  </si>
  <si>
    <t>541.7304223783739</t>
  </si>
  <si>
    <t>526.0</t>
  </si>
  <si>
    <t>LINESTRING (12.034045211616311 60.19370350414617, 12.323257882584095 60.18267490336616)</t>
  </si>
  <si>
    <t>35.14446898148761</t>
  </si>
  <si>
    <t>[0.008, 0.003]</t>
  </si>
  <si>
    <t>LINESTRING (10.741159543638704 60.15265193722621, 10.741133473352887 60.152568608772846, 10.741139044198514 60.152417585300874)</t>
  </si>
  <si>
    <t>[296415, 296423]</t>
  </si>
  <si>
    <t>[288837, 210544]</t>
  </si>
  <si>
    <t>0.004775855169198181</t>
  </si>
  <si>
    <t>[211769, 288837]</t>
  </si>
  <si>
    <t>26.46315856876288</t>
  </si>
  <si>
    <t>[0.017, 0.016]</t>
  </si>
  <si>
    <t>LINESTRING (10.741435576530312 60.152594287228325, 10.741332580756106 60.15252626737992, 10.741139044198514 60.152417585300874)</t>
  </si>
  <si>
    <t>[339210, 339218]</t>
  </si>
  <si>
    <t>[328299, 210544]</t>
  </si>
  <si>
    <t>0.01636964863987044</t>
  </si>
  <si>
    <t>[211777, 328299]</t>
  </si>
  <si>
    <t>25.69438751921559</t>
  </si>
  <si>
    <t>LINESTRING (10.740964770898216 60.15211444129668, 10.74079735793146 60.15203774678586, 10.740711292638952 60.15198552136243)</t>
  </si>
  <si>
    <t>[296431, 296439]</t>
  </si>
  <si>
    <t>[288853, 211809]</t>
  </si>
  <si>
    <t>0.010630797591236647</t>
  </si>
  <si>
    <t>[210545, 288853]</t>
  </si>
  <si>
    <t>20.402636757082703</t>
  </si>
  <si>
    <t>[0.002, 0.005]</t>
  </si>
  <si>
    <t>LINESTRING (10.740964770898216 60.15211444129668, 10.740971951122956 60.1519951290871, 10.74094348020593 60.15191154343466)</t>
  </si>
  <si>
    <t>[339226, 339234]</t>
  </si>
  <si>
    <t>[328312, 211847]</t>
  </si>
  <si>
    <t>0.003225835163825586</t>
  </si>
  <si>
    <t>[210545, 328312]</t>
  </si>
  <si>
    <t>23.12387538252417</t>
  </si>
  <si>
    <t>0.058</t>
  </si>
  <si>
    <t>117.77495573970802</t>
  </si>
  <si>
    <t>[-0.036, -0.049]</t>
  </si>
  <si>
    <t>LINESTRING (10.679043633134132 60.251093294571795, 10.678934529338097 60.251078991861604, 10.678544962975606 60.25100608826275)</t>
  </si>
  <si>
    <t>[296527, 296535]</t>
  </si>
  <si>
    <t>[288945, 210995]</t>
  </si>
  <si>
    <t>[211952, 288945]</t>
  </si>
  <si>
    <t>[0.036, 0.049]</t>
  </si>
  <si>
    <t>29.735687823137727</t>
  </si>
  <si>
    <t>[-0.009, -0.021]</t>
  </si>
  <si>
    <t>LINESTRING (10.679051040277221 60.25096863834342, 10.678933271231298 60.250976128252375, 10.678544962975606 60.25100608826275)</t>
  </si>
  <si>
    <t>[339314, 339322]</t>
  </si>
  <si>
    <t>[328392, 210995]</t>
  </si>
  <si>
    <t>[211963, 328392]</t>
  </si>
  <si>
    <t>[0.009, 0.021]</t>
  </si>
  <si>
    <t>28.344177115341317</t>
  </si>
  <si>
    <t>LINESTRING (10.676684061531327 60.25050748629602, 10.676365405375696 60.25038033904987, 10.676273345568182 60.250316046473024)</t>
  </si>
  <si>
    <t>[296543, 296551]</t>
  </si>
  <si>
    <t>[288958, 212002]</t>
  </si>
  <si>
    <t>[210996, 288958]</t>
  </si>
  <si>
    <t>0.053</t>
  </si>
  <si>
    <t>31.771659106170027</t>
  </si>
  <si>
    <t>[-0.053, -0.056]</t>
  </si>
  <si>
    <t>LINESTRING (10.676684061531327 60.25050748629602, 10.676555931064867 60.25034041733745, 10.676507319901654 60.25028411550823)</t>
  </si>
  <si>
    <t>[339330, 339338]</t>
  </si>
  <si>
    <t>[328406, 212041]</t>
  </si>
  <si>
    <t>[210996, 328406]</t>
  </si>
  <si>
    <t>[0.053, 0.056]</t>
  </si>
  <si>
    <t>26.755014304180897</t>
  </si>
  <si>
    <t>0.018</t>
  </si>
  <si>
    <t>32.46846624033513</t>
  </si>
  <si>
    <t>[0.012, 0.01, 0.004]</t>
  </si>
  <si>
    <t>[0, 0, 1]</t>
  </si>
  <si>
    <t>LINESTRING (10.698419987437997 60.208380663710074, 10.69828387245465 60.20835223352141, 10.698142713281163 60.20831680551764, 10.698049370403982 60.20829012436375)</t>
  </si>
  <si>
    <t>[296639, 296647, 296655]</t>
  </si>
  <si>
    <t>[289052, 289061, 211645]</t>
  </si>
  <si>
    <t>0.009151747917186233</t>
  </si>
  <si>
    <t>[212063, 289052, 289061]</t>
  </si>
  <si>
    <t>22.926733965507818</t>
  </si>
  <si>
    <t>[0.02, 0.02, 0.026]</t>
  </si>
  <si>
    <t>LINESTRING (10.69844729885983 60.20824820217917, 10.698307116102136 60.20825767528432, 10.69815621235609 60.20827174543601, 10.698049370403982 60.20829012436375)</t>
  </si>
  <si>
    <t>[339514, 339522, 339530]</t>
  </si>
  <si>
    <t>[328572, 328581, 211645]</t>
  </si>
  <si>
    <t>0.02166224054520316</t>
  </si>
  <si>
    <t>[212076, 328572, 328581]</t>
  </si>
  <si>
    <t>22.6322186010308</t>
  </si>
  <si>
    <t>[0.026, 0.023, 0.025]</t>
  </si>
  <si>
    <t>[1, 0, 0]</t>
  </si>
  <si>
    <t>LINESTRING (10.697467778714275 60.20825702026712, 10.697353944092601 60.20827085534016, 10.697181200360333 60.20828475420916, 10.697015981149997 60.20830051591437)</t>
  </si>
  <si>
    <t>[296663, 296671, 296679]</t>
  </si>
  <si>
    <t>[289077, 289084, 212102]</t>
  </si>
  <si>
    <t>0.024494360165605914</t>
  </si>
  <si>
    <t>[211646, 289077, 289084]</t>
  </si>
  <si>
    <t>25.53589428733043</t>
  </si>
  <si>
    <t>[0.01, 0.013, 0.015]</t>
  </si>
  <si>
    <t>LINESTRING (10.697467778714275 60.20825702026712, 10.697363489295707 60.20823115185319, 10.697199072041665 60.20819811417942, 10.697066802472595 60.20817619186249)</t>
  </si>
  <si>
    <t>[339538, 339546, 339554]</t>
  </si>
  <si>
    <t>[328599, 328608, 212139]</t>
  </si>
  <si>
    <t>0.01283669705353342</t>
  </si>
  <si>
    <t>[211646, 328599, 328608]</t>
  </si>
  <si>
    <t>24.030358290963445</t>
  </si>
  <si>
    <t>[-0.008, -0.02]</t>
  </si>
  <si>
    <t>LINESTRING (10.741159543638704 60.15265193722621, 10.741254883482375 60.152585681823105, 10.741435576530312 60.152594287228325)</t>
  </si>
  <si>
    <t>[200083, 200091]</t>
  </si>
  <si>
    <t>[211770, 211777]</t>
  </si>
  <si>
    <t>[211769, 211770]</t>
  </si>
  <si>
    <t>[0.008, 0.02]</t>
  </si>
  <si>
    <t>19.866902508151192</t>
  </si>
  <si>
    <t>5.023116562599196</t>
  </si>
  <si>
    <t>0.016</t>
  </si>
  <si>
    <t>6.30800285338632</t>
  </si>
  <si>
    <t>[0.012, 0.015]</t>
  </si>
  <si>
    <t>LINESTRING (10.741497613048795 60.152641692242, 10.741212235315064 60.15272970285489, 10.741172886643353 60.15269651565147)</t>
  </si>
  <si>
    <t>[200107, 200115]</t>
  </si>
  <si>
    <t>[211792, 211798]</t>
  </si>
  <si>
    <t>0.012454269513126877</t>
  </si>
  <si>
    <t>[211784, 211792]</t>
  </si>
  <si>
    <t>28.373347152071155</t>
  </si>
  <si>
    <t>[0.0, 0.005, 0.014]</t>
  </si>
  <si>
    <t>LINESTRING (10.747482827404443 60.15233648924957, 10.74727517522368 60.15235642772438, 10.741598818611989 60.15261048591243, 10.741497613048795 60.152641692242)</t>
  </si>
  <si>
    <t>[269210, 269218, 269226]</t>
  </si>
  <si>
    <t>[266183, 266191, 211784]</t>
  </si>
  <si>
    <t>0.005002225594307444</t>
  </si>
  <si>
    <t>[264384, 266183, 266191]</t>
  </si>
  <si>
    <t>340.77187456399986</t>
  </si>
  <si>
    <t>[0.022, 0.01, -0.008]</t>
  </si>
  <si>
    <t>LINESTRING (10.741172886643353 60.15269651565147, 10.74106221034895 60.1527021143274, 10.734445510485909 60.15291815774785, 10.73421124991072 60.152897025146274)</t>
  </si>
  <si>
    <t>[269298, 269306, 269314]</t>
  </si>
  <si>
    <t>[266240, 266245, 264414]</t>
  </si>
  <si>
    <t>0.009581343771040689</t>
  </si>
  <si>
    <t>[211798, 266240, 266245]</t>
  </si>
  <si>
    <t>[0.022, 0.01, 0.008]</t>
  </si>
  <si>
    <t>391.51363630699785</t>
  </si>
  <si>
    <t>0.01</t>
  </si>
  <si>
    <t>6.0855648875333666</t>
  </si>
  <si>
    <t>[0.004, 0.013]</t>
  </si>
  <si>
    <t>LINESTRING (10.74094348020593 60.15191154343466, 10.740859509365652 60.15197887503401, 10.740711292638952 60.15198552136243)</t>
  </si>
  <si>
    <t>[200179, 200187]</t>
  </si>
  <si>
    <t>[211853, 211809]</t>
  </si>
  <si>
    <t>0.008279574103197001</t>
  </si>
  <si>
    <t>[211847, 211853]</t>
  </si>
  <si>
    <t>17.387962836970527</t>
  </si>
  <si>
    <t>[0.006, -0.001, -0.008, -0.011]</t>
  </si>
  <si>
    <t>LINESTRING (10.740626491872176 60.15195096015493, 10.740602370871745 60.151919971546725, 10.740619842728101 60.15186586522813, 10.740707685574707 60.151825444473204, 10.740915144552513 60.15185712191327)</t>
  </si>
  <si>
    <t>[200139, 200147, 200155, 200163]</t>
  </si>
  <si>
    <t>[211816, 211823, 211833, 211839]</t>
  </si>
  <si>
    <t>[211810, 211816, 211823, 211833]</t>
  </si>
  <si>
    <t>[0.006, 0.001, 0.008, 0.011]</t>
  </si>
  <si>
    <t>29.22989577551231</t>
  </si>
  <si>
    <t>[-0.013, -0.007, -0.008]</t>
  </si>
  <si>
    <t>LINESTRING (10.735882981725998 60.15280598639463, 10.736099081641704 60.152758553794136, 10.74055526620193 60.151988409288954, 10.740626491872176 60.15195096015493)</t>
  </si>
  <si>
    <t>[269322, 269330, 269338]</t>
  </si>
  <si>
    <t>[266256, 266262, 211810]</t>
  </si>
  <si>
    <t>[264407, 266256, 266262]</t>
  </si>
  <si>
    <t>[0.013, 0.007, 0.008]</t>
  </si>
  <si>
    <t>283.0149977579594</t>
  </si>
  <si>
    <t>6.266086896387679</t>
  </si>
  <si>
    <t>[-0.01, -0.007, -0.002, 0.001]</t>
  </si>
  <si>
    <t>LINESTRING (10.740915144552513 60.15185712191327, 10.741023510392138 60.15185081960923, 10.747312532909458 60.152296306390255, 10.747535292661448 60.152339434915625, 10.747482827404443 60.15233648924957)</t>
  </si>
  <si>
    <t>[269274, 269282, 269290, 267083]</t>
  </si>
  <si>
    <t>[266229, 266233, 264379, 264384]</t>
  </si>
  <si>
    <t>[211839, 266229, 266233, 264379]</t>
  </si>
  <si>
    <t>[0.01, 0.007, 0.002, 0.001]</t>
  </si>
  <si>
    <t>376.6157503677705</t>
  </si>
  <si>
    <t>[-0.066, -0.051]</t>
  </si>
  <si>
    <t>LINESTRING (10.679043633134132 60.251093294571795, 10.67900493885639 60.25103007862647, 10.679051040277221 60.25096863834342)</t>
  </si>
  <si>
    <t>[200307, 200315]</t>
  </si>
  <si>
    <t>[211959, 211963]</t>
  </si>
  <si>
    <t>[211952, 211959]</t>
  </si>
  <si>
    <t>[0.066, 0.051]</t>
  </si>
  <si>
    <t>14.672459255827071</t>
  </si>
  <si>
    <t>[0.043, 0.083, 0.067, -0.022]</t>
  </si>
  <si>
    <t>LINESTRING (10.679339678378229 60.25094747654771, 10.67937899534132 60.250964853913985, 10.67942785525721 60.25101958908015, 10.67939689179721 60.25108970565622, 10.679043633134132 60.251093294571795)</t>
  </si>
  <si>
    <t>[200347, 200355, 200363, 200299]</t>
  </si>
  <si>
    <t>[211986, 211989, 211951, 211952]</t>
  </si>
  <si>
    <t>0.01752027103469747</t>
  </si>
  <si>
    <t>[211979, 211986, 211989, 211951]</t>
  </si>
  <si>
    <t>[0.043, 0.083, 0.067, 0.022]</t>
  </si>
  <si>
    <t>40.5417857147052</t>
  </si>
  <si>
    <t>4.39113880469765</t>
  </si>
  <si>
    <t>[0.007, 0.041]</t>
  </si>
  <si>
    <t>LINESTRING (10.679110558625617 60.250942614060406, 10.67922808335471 60.25092765274078, 10.679339678378229 60.25094747654771)</t>
  </si>
  <si>
    <t>[200331, 200339]</t>
  </si>
  <si>
    <t>[211975, 211979]</t>
  </si>
  <si>
    <t>0.023800811328513544</t>
  </si>
  <si>
    <t>[211970, 211975]</t>
  </si>
  <si>
    <t>13.28485778822525</t>
  </si>
  <si>
    <t>[0.516, -1.972]</t>
  </si>
  <si>
    <t>LINESTRING (10.679287911274082 60.25066802848594, 10.679112388761244 60.25088872222639, 10.679110558625617 60.250942614060406)</t>
  </si>
  <si>
    <t>[336772, 336780]</t>
  </si>
  <si>
    <t>[326017, 211970]</t>
  </si>
  <si>
    <t>0.05936990588076786</t>
  </si>
  <si>
    <t>[266412, 326017]</t>
  </si>
  <si>
    <t>[0.516, 1.972]</t>
  </si>
  <si>
    <t>32.73036054085679</t>
  </si>
  <si>
    <t>[0.071, 0.081]</t>
  </si>
  <si>
    <t>LINESTRING (10.679287911274082 60.25066802848594, 10.679326952893035 60.2508931101638, 10.679339678378229 60.25094747654771)</t>
  </si>
  <si>
    <t>[293999, 294007]</t>
  </si>
  <si>
    <t>[286646, 211979]</t>
  </si>
  <si>
    <t>0.07295022729458082</t>
  </si>
  <si>
    <t>[266412, 286646]</t>
  </si>
  <si>
    <t>31.27840542972282</t>
  </si>
  <si>
    <t>[-0.057, -0.053, -0.037, 0.004]</t>
  </si>
  <si>
    <t>LINESTRING (10.676273345568182 60.250316046473024, 10.676226021578174 60.250304521402846, 10.676144258985325 60.25025239807804, 10.676138468470903 60.25018665793589, 10.67639229181549 60.25011401191704)</t>
  </si>
  <si>
    <t>[200371, 200379, 200387, 200395]</t>
  </si>
  <si>
    <t>[212003, 212007, 212014, 212021]</t>
  </si>
  <si>
    <t>[212002, 212003, 212007, 212014]</t>
  </si>
  <si>
    <t>[0.057, 0.053, 0.037, 0.004]</t>
  </si>
  <si>
    <t>35.288524239459456</t>
  </si>
  <si>
    <t>[-0.002, -0.035]</t>
  </si>
  <si>
    <t>LINESTRING (10.676507319901654 60.25028411550823, 10.676397875403213 60.25031831099312, 10.676273345568182 60.250316046473024)</t>
  </si>
  <si>
    <t>[200427, 200435]</t>
  </si>
  <si>
    <t>[212044, 212002]</t>
  </si>
  <si>
    <t>[212041, 212044]</t>
  </si>
  <si>
    <t>[0.002, 0.035]</t>
  </si>
  <si>
    <t>14.063903458255584</t>
  </si>
  <si>
    <t>[0.053, 0.049]</t>
  </si>
  <si>
    <t>LINESTRING (10.67639229181549 60.25011401191704, 10.676486726578428 60.25013867352265, 10.676557027556496 60.250222793662914)</t>
  </si>
  <si>
    <t>[200403, 200411]</t>
  </si>
  <si>
    <t>[212028, 212035]</t>
  </si>
  <si>
    <t>0.05045010083372414</t>
  </si>
  <si>
    <t>[212021, 212028]</t>
  </si>
  <si>
    <t>16.30042420166707</t>
  </si>
  <si>
    <t>[0.002, -0.001, 0.012]</t>
  </si>
  <si>
    <t>LINESTRING (10.67639229181549 60.25011401191704, 10.676481341520224 60.25008355711961, 10.676738203963769 60.24999473422472, 10.676919721899901 60.24995587596705)</t>
  </si>
  <si>
    <t>[294015, 294023, 294031]</t>
  </si>
  <si>
    <t>[286658, 286664, 266417]</t>
  </si>
  <si>
    <t>0.0036773005397199303</t>
  </si>
  <si>
    <t>[212021, 286658, 286664]</t>
  </si>
  <si>
    <t>[0.002, 0.001, 0.012]</t>
  </si>
  <si>
    <t>34.269762616164485</t>
  </si>
  <si>
    <t>7.3681748079209095</t>
  </si>
  <si>
    <t>[1.246, -0.098, -0.762]</t>
  </si>
  <si>
    <t>LINESTRING (10.676557027556496 60.250222793662914, 10.676633164026288 60.25016682998087, 10.676812192564718 60.25003860075041, 10.676919721899901 60.24995587596705)</t>
  </si>
  <si>
    <t>[336788, 336796, 336804]</t>
  </si>
  <si>
    <t>[326032, 326043, 266417]</t>
  </si>
  <si>
    <t>[212035, 326032, 326043]</t>
  </si>
  <si>
    <t>[1.246, 0.098, 0.762]</t>
  </si>
  <si>
    <t>35.900888557399796</t>
  </si>
  <si>
    <t>9.921542691932945</t>
  </si>
  <si>
    <t>[0.028, 0.029, 0.026, 0.033, 0.035, 0.037]</t>
  </si>
  <si>
    <t>LINESTRING (10.698587795147587 60.20840301976893, 10.698505574372035 60.208447196174525, 10.697706825195873 60.20921963015842, 10.697483838842125 60.2111671189735, 10.69747779856994 60.21119938322149, 10.697432748289158 60.21139124380215, 10.697390615689113 60.211505779514326)</t>
  </si>
  <si>
    <t>[269450, 269458, 269466, 269474, 269482, 269490]</t>
  </si>
  <si>
    <t>[266354, 266360, 266368, 266376, 266382, 264541]</t>
  </si>
  <si>
    <t>0.02785589057144869</t>
  </si>
  <si>
    <t>[212056, 266354, 266360, 266368, 266376, 266382]</t>
  </si>
  <si>
    <t>360.23590526443104</t>
  </si>
  <si>
    <t>[-0.007, 0.007, 0.024, 0.023]</t>
  </si>
  <si>
    <t>LINESTRING (10.698546486072106 60.20823308107888, 10.698680069859494 60.20826565493565, 10.69871590783176 60.20833129050871, 10.698649948421997 60.20838786444816, 10.698587795147587 60.20840301976893)</t>
  </si>
  <si>
    <t>[200483, 200491, 200499, 200443]</t>
  </si>
  <si>
    <t>[212086, 212092, 212055, 212056]</t>
  </si>
  <si>
    <t>0.009590306772558668</t>
  </si>
  <si>
    <t>[212080, 212086, 212092, 212055]</t>
  </si>
  <si>
    <t>[0.007, 0.007, 0.024, 0.023]</t>
  </si>
  <si>
    <t>26.95961483214432</t>
  </si>
  <si>
    <t>[-0.01, -0.025]</t>
  </si>
  <si>
    <t>LINESTRING (10.698419987437997 60.208380663710074, 10.698371013321784 60.20830911627483, 10.69844729885983 60.20824820217917)</t>
  </si>
  <si>
    <t>[200459, 200467]</t>
  </si>
  <si>
    <t>[212070, 212076]</t>
  </si>
  <si>
    <t>[212063, 212070]</t>
  </si>
  <si>
    <t>[0.01, 0.025]</t>
  </si>
  <si>
    <t>16.70283716749376</t>
  </si>
  <si>
    <t>0.023</t>
  </si>
  <si>
    <t>5.753781365345932</t>
  </si>
  <si>
    <t>[0.007, 0.007, 0.007, 0.01, 0.007, 0.006]</t>
  </si>
  <si>
    <t>LINESTRING (10.698497054598153 60.20589485906415, 10.698487185973276 60.20601143221437, 10.6981621395825 60.20720865426637, 10.698164666318803 60.2074235511511, 10.698418798738698 60.208116984731, 10.698490050346534 60.20818453516165, 10.698546486072106 60.20823308107888)</t>
  </si>
  <si>
    <t>[269346, 269354, 269362, 269370, 269378, 269386]</t>
  </si>
  <si>
    <t>[266271, 266277, 266284, 266289, 266295, 212080]</t>
  </si>
  <si>
    <t>0.007866941633878688</t>
  </si>
  <si>
    <t>[264500, 266271, 266277, 266284, 266289, 266295]</t>
  </si>
  <si>
    <t>265.0170897386497</t>
  </si>
  <si>
    <t>0.025</t>
  </si>
  <si>
    <t>5.37398362469528</t>
  </si>
  <si>
    <t>[0.012, 0.026]</t>
  </si>
  <si>
    <t>LINESTRING (10.697066802472595 60.20817619186249, 10.697097588557442 60.20823761744953, 10.697015981149997 60.20830051591437)</t>
  </si>
  <si>
    <t>[200555, 200563]</t>
  </si>
  <si>
    <t>[212145, 212102]</t>
  </si>
  <si>
    <t>0.019585806096340704</t>
  </si>
  <si>
    <t>[212139, 212145]</t>
  </si>
  <si>
    <t>15.399879515786864</t>
  </si>
  <si>
    <t>[0.013, -0.003, -0.016, -0.029]</t>
  </si>
  <si>
    <t>LINESTRING (10.696922820398273 60.208313763613894, 10.696810552100171 60.20829087252034, 10.696754784175624 60.20824221263437, 10.69676361554412 60.2081955622613, 10.696890101321705 60.208141765497096)</t>
  </si>
  <si>
    <t>[200515, 200523, 200531, 200539]</t>
  </si>
  <si>
    <t>[212110, 212117, 212125, 212132]</t>
  </si>
  <si>
    <t>[212103, 212110, 212117, 212125]</t>
  </si>
  <si>
    <t>[0.013, 0.003, 0.016, 0.029]</t>
  </si>
  <si>
    <t>27.73598185058789</t>
  </si>
  <si>
    <t>[-0.038, -0.021, -0.015, -0.005]</t>
  </si>
  <si>
    <t>LINESTRING (10.69739940635574 60.2107364543129, 10.697374989961421 60.210619576403964, 10.697417236305986 60.209237196120284, 10.69698307906428 60.2083598718089, 10.696922820398273 60.208313763613894)</t>
  </si>
  <si>
    <t>[269394, 269402, 269410, 269418]</t>
  </si>
  <si>
    <t>[266310, 266316, 266323, 212103]</t>
  </si>
  <si>
    <t>[264521, 266310, 266316, 266323]</t>
  </si>
  <si>
    <t>[0.038, 0.021, 0.015, 0.005]</t>
  </si>
  <si>
    <t>274.4075683129382</t>
  </si>
  <si>
    <t>0.014</t>
  </si>
  <si>
    <t>10.994565680711764</t>
  </si>
  <si>
    <t>[-0.026, -0.012, 0.01]</t>
  </si>
  <si>
    <t>LINESTRING (10.696890101321705 60.208141765497096, 10.696952380770353 60.208098110948654, 10.698799037483086 60.20513505909528, 10.698887364466746 60.20502633990413)</t>
  </si>
  <si>
    <t>[269426, 269434, 269442]</t>
  </si>
  <si>
    <t>[266337, 266344, 264493]</t>
  </si>
  <si>
    <t>[212132, 266337, 266344]</t>
  </si>
  <si>
    <t>[0.026, 0.012, 0.01]</t>
  </si>
  <si>
    <t>367.8883978439211</t>
  </si>
  <si>
    <t>12.151524356199046</t>
  </si>
  <si>
    <t>[0.01, 0.018]</t>
  </si>
  <si>
    <t>LINESTRING (10.187839165426224 61.452350789051536, 10.187926642346328 61.45227113521804, 10.18807456545272 61.45225028650855)</t>
  </si>
  <si>
    <t>[202474, 202482]</t>
  </si>
  <si>
    <t>[213698, 213657]</t>
  </si>
  <si>
    <t>0.013559549995621676</t>
  </si>
  <si>
    <t>[213691, 213698]</t>
  </si>
  <si>
    <t>18.49222734901943</t>
  </si>
  <si>
    <t>[0.01, 0.011, 0.017, 0.015, 0.017]</t>
  </si>
  <si>
    <t>LINESTRING (10.187146791386235 61.45172364438519, 10.187176819793311 61.45181267433373, 10.187187174687928 61.45183930505365, 10.187606996742735 61.45208982385573, 10.187932533652734 61.45221147588815, 10.18807456545272 61.45225028650855)</t>
  </si>
  <si>
    <t>[298553, 298561, 298569, 298577, 298585]</t>
  </si>
  <si>
    <t>[290845, 290853, 290861, 290870, 213657]</t>
  </si>
  <si>
    <t>0.015347887425058661</t>
  </si>
  <si>
    <t>[285710, 290845, 290853, 290861, 290870]</t>
  </si>
  <si>
    <t>80.24258970101084</t>
  </si>
  <si>
    <t>[0.003, -0.007, -0.017, -0.019]</t>
  </si>
  <si>
    <t>LINESTRING (10.188257190238001 61.452308918526455, 10.188278315489583 61.45235463901323, 10.18823659117021 61.45241792319668, 10.18816419220793 61.45244864074646, 10.187962823127453 61.4524505082527)</t>
  </si>
  <si>
    <t>[202434, 202442, 202450, 202458]</t>
  </si>
  <si>
    <t>[213664, 213671, 213680, 213685]</t>
  </si>
  <si>
    <t>[213658, 213664, 213671, 213680]</t>
  </si>
  <si>
    <t>[0.003, 0.007, 0.017, 0.019]</t>
  </si>
  <si>
    <t>28.808842576772786</t>
  </si>
  <si>
    <t>[0.066, -0.001, 0.19]</t>
  </si>
  <si>
    <t>LINESTRING (10.1909491883929 61.450170640120156, 10.190883255309373 61.45025933264407, 10.188255860943332 61.45225670299694, 10.188257190238001 61.452308918526455)</t>
  </si>
  <si>
    <t>[264999, 265007, 265015]</t>
  </si>
  <si>
    <t>[262916, 262922, 213658]</t>
  </si>
  <si>
    <t>0.0054405485976144734</t>
  </si>
  <si>
    <t>[233298, 262916, 262922]</t>
  </si>
  <si>
    <t>[0.066, 0.001, 0.19]</t>
  </si>
  <si>
    <t>281.8186416763525</t>
  </si>
  <si>
    <t>13.513063755749986</t>
  </si>
  <si>
    <t>[-0.148, -0.003, -0.003, 0.005, -0.005, -0.005, -0.007]</t>
  </si>
  <si>
    <t>[0, 0, 0, 1, 0, 0, 0]</t>
  </si>
  <si>
    <t>LINESTRING (10.187962823127453 61.4524505082527, 10.187871312555487 61.45245896225697, 10.187766001160462 61.45246551557109, 10.185148317100152 61.453029954313024, 10.18443397338197 61.45337163398509, 10.182776688222287 61.454439048781225, 10.182682060251066 61.45450405503332, 10.182585739014028 61.45456603301375)</t>
  </si>
  <si>
    <t>[265103, 265111, 265119, 265127, 265135, 265144, 265152]</t>
  </si>
  <si>
    <t>[262980, 262987, 262993, 262999, 263004, 263010, 233331]</t>
  </si>
  <si>
    <t>[213685, 262980, 262987, 262993, 262999, 263004, 263010]</t>
  </si>
  <si>
    <t>[0.148, 0.003, 0.003, 0.005, 0.005, 0.005, 0.007]</t>
  </si>
  <si>
    <t>384.66017966266133</t>
  </si>
  <si>
    <t>[0.008, 0.009, 0.017, 0.011, 0.007]</t>
  </si>
  <si>
    <t>LINESTRING (10.18685095979184 61.45181391076482, 10.186993652764643 61.45187310972082, 10.187066812599323 61.451900704579295, 10.187550102974251 61.452117492077925, 10.187779043497079 61.45228027532439, 10.187839165426224 61.452350789051536)</t>
  </si>
  <si>
    <t>[341571, 341579, 341587, 341595, 341603]</t>
  </si>
  <si>
    <t>[330270, 330278, 330284, 330291, 213691]</t>
  </si>
  <si>
    <t>0.012702190867709347</t>
  </si>
  <si>
    <t>[285723, 330270, 330278, 330284, 330291]</t>
  </si>
  <si>
    <t>81.02779558094326</t>
  </si>
  <si>
    <t>8.418669728537916</t>
  </si>
  <si>
    <t>[-0.025, -0.028, -0.027]</t>
  </si>
  <si>
    <t>LINESTRING (10.619402145373561 60.95755250597522, 10.621011041185755 60.95786682178413, 10.622199419277257 60.95802332986738, 10.622254832824638 60.95802649994039)</t>
  </si>
  <si>
    <t>[203601, 203609, 203617]</t>
  </si>
  <si>
    <t>[122200, 214612, 214619]</t>
  </si>
  <si>
    <t>[214601, 122200, 214612]</t>
  </si>
  <si>
    <t>[0.025, 0.028, 0.027]</t>
  </si>
  <si>
    <t>163.77936076090214</t>
  </si>
  <si>
    <t>[0.02, 0.017, 0.017]</t>
  </si>
  <si>
    <t>LINESTRING (10.619402145373561 60.95755250597522, 10.61940433069352 60.95751247336117, 10.619408380525867 60.95743701951164, 10.619465640643073 60.95727411695806)</t>
  </si>
  <si>
    <t>[341723, 341731, 341739]</t>
  </si>
  <si>
    <t>[330422, 330434, 214627]</t>
  </si>
  <si>
    <t>0.017427863386192177</t>
  </si>
  <si>
    <t>[214601, 330422, 330434]</t>
  </si>
  <si>
    <t>31.297121603181136</t>
  </si>
  <si>
    <t>[0.0, -0.004]</t>
  </si>
  <si>
    <t>LINESTRING (10.622254832824638 60.95802649994039, 10.62426769002928 60.95575974580603, 10.62434971518414 60.95566986089996)</t>
  </si>
  <si>
    <t>[1688397, 343596]</t>
  </si>
  <si>
    <t>[332169, 331508]</t>
  </si>
  <si>
    <t>[214619, 332169]</t>
  </si>
  <si>
    <t>[0.0, 0.004]</t>
  </si>
  <si>
    <t>314.79303326690575</t>
  </si>
  <si>
    <t>[0.011, 0.013, 0.029]</t>
  </si>
  <si>
    <t>LINESTRING (10.622588580136057 60.95936834423053, 10.622613464259464 60.95927368739171, 10.62234748981752 60.958045673575214, 10.622254832824638 60.95802649994039)</t>
  </si>
  <si>
    <t>[343612, 1688405, 1688413]</t>
  </si>
  <si>
    <t>[332184, 1511988, 214619]</t>
  </si>
  <si>
    <t>0.013386863869050148</t>
  </si>
  <si>
    <t>[331553, 332184, 1511988]</t>
  </si>
  <si>
    <t>170.7186051805669</t>
  </si>
  <si>
    <t>[0.01, 0.01, -0.005, -0.019, -0.028, -0.037, -0.038, -0.035, -0.019]</t>
  </si>
  <si>
    <t>[0, 0, 0, 0, 0, 0, 1, 0, 0]</t>
  </si>
  <si>
    <t>LINESTRING (10.619465640643073 60.95727411695806, 10.619733540306948 60.95696950962445, 10.620215671902402 60.95645393212682, 10.622378984821456 60.955176541770996, 10.622989318148665 60.95491695393014, 10.623220095144225 60.95486264404399, 10.624990010701802 60.95473746189957, 10.625336861360081 60.95472167714391, 10.626542917245866 60.954597063715134, 10.62662960790992 60.95457767243038)</t>
  </si>
  <si>
    <t>[203625, 203633, 203641, 203649, 203657, 203665, 203673, 203681, 203689]</t>
  </si>
  <si>
    <t>[214628, 127672, 214638, 128803, 214647, 214654, 214660, 214664, 214669]</t>
  </si>
  <si>
    <t>[214627, 214628, 127672, 214638, 128803, 214647, 214654, 214660, 214664]</t>
  </si>
  <si>
    <t>[0.01, 0.01, 0.005, 0.019, 0.028, 0.037, 0.038, 0.035, 0.019]</t>
  </si>
  <si>
    <t>531.9778448141135</t>
  </si>
  <si>
    <t>[0.0, 0.003, 0.003]</t>
  </si>
  <si>
    <t>LINESTRING (10.61915249381773 60.95747459905375, 10.61915249381773 60.95747459905375, 10.619228345563036 60.957417992580076, 10.619465640643073 60.95727411695806)</t>
  </si>
  <si>
    <t>[298675, 298683, 298691]</t>
  </si>
  <si>
    <t>[290946, 290955, 214627]</t>
  </si>
  <si>
    <t>0.0026795234632756163</t>
  </si>
  <si>
    <t>[214588, 290946, 290955]</t>
  </si>
  <si>
    <t>31.610040805071637</t>
  </si>
  <si>
    <t>[-0.082, 0.004, 0.028, 0.006, -0.003]</t>
  </si>
  <si>
    <t>LINESTRING (10.62662960790992 60.95457767243038, 10.626648912789395 60.95462178458451, 10.626234340687695 60.95518736156758, 10.625985986678467 60.955249566339205, 10.623506755578639 60.95754124747312, 10.623432053636654 60.95764465123685)</t>
  </si>
  <si>
    <t>[1688261, 1688269, 1688277, 1688285, 343604]</t>
  </si>
  <si>
    <t>[1511888, 1511893, 1511896, 332176, 331663]</t>
  </si>
  <si>
    <t>0.005130137041737139</t>
  </si>
  <si>
    <t>[214669, 1511888, 1511893, 1511896, 332176]</t>
  </si>
  <si>
    <t>[0.082, 0.004, 0.028, 0.006, 0.003]</t>
  </si>
  <si>
    <t>418.057297104073</t>
  </si>
  <si>
    <t>[0.023, 0.002]</t>
  </si>
  <si>
    <t>LINESTRING (10.62883802273717 60.95243928347046, 10.6287152365389 60.95249884737897, 10.62662960790992 60.95457767243038)</t>
  </si>
  <si>
    <t>[343588, 1688309]</t>
  </si>
  <si>
    <t>[332162, 214669]</t>
  </si>
  <si>
    <t>0.002662463444394141</t>
  </si>
  <si>
    <t>[331611, 332162]</t>
  </si>
  <si>
    <t>297.99864936860433</t>
  </si>
  <si>
    <t>[-0.003, -0.009, -0.012, -0.014, -0.016, -0.013, -0.01, 0.004, 0.017, 0.018, 0.014]</t>
  </si>
  <si>
    <t>LINESTRING (5.335134043376609 60.37928650596723, 5.335142842758344 60.3793157339291, 5.335112772899144 60.3793790176649, 5.335081747898186 60.37940089455456, 5.335018674661352 60.37942729687179, 5.3349833163249505 60.37943555959819, 5.334820535489432 60.37943918631448, 5.334667724733641 60.37937654532691, 5.3347158936826355 60.37923007835385, 5.334856624107559 60.37919570985951, 5.334978808340912 60.379202585058245, 5.335037618329585 60.379217930768135)</t>
  </si>
  <si>
    <t>[209371, 209379, 209387, 209395, 209403, 209411, 209323, 209331, 209339, 209347, 209355]</t>
  </si>
  <si>
    <t>[218882, 218887, 218891, 218897, 218903, 218856, 218857, 218822, 218868, 218843, 218846]</t>
  </si>
  <si>
    <t>[218879, 218882, 218887, 218891, 218897, 218903, 218856, 218857, 218822, 218868, 218843]</t>
  </si>
  <si>
    <t>[0.003, 0.009, 0.012, 0.014, 0.016, 0.013, 0.01, 0.004, 0.017, 0.018, 0.014]</t>
  </si>
  <si>
    <t>77.09227036412314</t>
  </si>
  <si>
    <t>[0.017, 0.02, 0.027, 0.106]</t>
  </si>
  <si>
    <t>LINESTRING (5.335037618329585 60.379217930768135, 5.335083320224519 60.37920348845389, 5.3356493637542615 60.37889028371796, 5.3364716695541565 60.37821155247899, 5.33674387487545 60.37811933997587)</t>
  </si>
  <si>
    <t>[209307, 209315, 2001854, 2006919]</t>
  </si>
  <si>
    <t>[218847, 218851, 1754289, 1757075]</t>
  </si>
  <si>
    <t>0.03381817003754329</t>
  </si>
  <si>
    <t>[218846, 218847, 218851, 1754289]</t>
  </si>
  <si>
    <t>157.75695494192757</t>
  </si>
  <si>
    <t>[-0.17, -0.008, 0.019, -0.823]</t>
  </si>
  <si>
    <t>LINESTRING (5.337453848217863 60.377794823709046, 5.337392037622687 60.37787788825623, 5.335561582144692 60.3792076701528, 5.335248208253232 60.379239489420144, 5.335134043376609 60.37928650596723)</t>
  </si>
  <si>
    <t>[2048145, 2048121, 2048129, 2048137]</t>
  </si>
  <si>
    <t>[1783458, 1783459, 1783466, 218879]</t>
  </si>
  <si>
    <t>[1761636, 1783458, 1783459, 1783466]</t>
  </si>
  <si>
    <t>[0.17, 0.008, 0.019, 0.823]</t>
  </si>
  <si>
    <t>230.68724281593205</t>
  </si>
  <si>
    <t>[0.163, 0.108, 0.075, -0.119, -0.27]</t>
  </si>
  <si>
    <t>LINESTRING (10.301926182909867 59.990717014823296, 10.30192917237363 59.991074757327326, 10.30184489579077 59.992274296971694, 10.301258269710264 59.992890492059466, 10.301076931442118 59.99286594739858, 10.300320457428956 59.99255771585046)</t>
  </si>
  <si>
    <t>[218594, 218602, 218610, 218618, 218626]</t>
  </si>
  <si>
    <t>[225449, 225455, 225459, 225463, 225466]</t>
  </si>
  <si>
    <t>0.03464926828195037</t>
  </si>
  <si>
    <t>[225448, 225449, 225455, 225459, 225463]</t>
  </si>
  <si>
    <t>[0.163, 0.108, 0.075, 0.119, 0.27]</t>
  </si>
  <si>
    <t>326.6411909091979</t>
  </si>
  <si>
    <t>[0.166, 0.065, 0.091, 0.138, 0.18, 0.185, 0.162, -0.047, -0.273, -0.119, 0.073]</t>
  </si>
  <si>
    <t>[0, 0, 0, 0, 1, 0, 0, 0, 0, 0, 0]</t>
  </si>
  <si>
    <t>LINESTRING (10.301926182909867 59.990717014823296, 10.301896143062853 59.99082939938462, 10.30184003353964 59.991103437543124, 10.301684211788373 59.99185326904608, 10.301434502875042 59.99282409178142, 10.301400626945288 59.992930718018975, 10.301339054561035 59.99309933565, 10.30132018849393 59.99313405601328, 10.286038174983942 60.00127354691058, 10.285848859487542 60.00135254746268, 10.285399866597045 60.00154576296032, 10.282484663011644 60.00297982402645)</t>
  </si>
  <si>
    <t>[1090878, 1090886, 1090894, 1090902, 1090910, 1090918, 1090926, 1090934, 1090942, 1090950, 1090958]</t>
  </si>
  <si>
    <t>[0, 0, 0, 0, 0, 0, 1, 1, 0, 0, 0]</t>
  </si>
  <si>
    <t>[1034691, 1034697, 1034704, 1034710, 1034719, 1034727, 1034733, 1034741, 1034748, 1034754, 1034760]</t>
  </si>
  <si>
    <t>[225448, 1034691, 1034697, 1034704, 1034710, 1034719, 1034727, 1034733, 1034741, 1034748, 1034754]</t>
  </si>
  <si>
    <t>[0.166, 0.065, 0.091, 0.138, 0.18, 0.185, 0.162, 0.047, 0.273, 0.119, 0.073]</t>
  </si>
  <si>
    <t>1822.1811847938343</t>
  </si>
  <si>
    <t>[-0.043, -0.069, -0.258, 0.649]</t>
  </si>
  <si>
    <t>LINESTRING (10.30080324006375 59.99233707502884, 10.30157476862186 59.99159996980754, 10.301719959047363 59.99118002531452, 10.301817188208155 59.99082430884552, 10.301926182909867 59.990717014823296)</t>
  </si>
  <si>
    <t>[218674, 218682, 1306508, 1306516]</t>
  </si>
  <si>
    <t>[225494, 225500, 1216136, 225448]</t>
  </si>
  <si>
    <t>[225489, 225494, 225500, 1216136]</t>
  </si>
  <si>
    <t>[0.043, 0.069, 0.258, 0.649]</t>
  </si>
  <si>
    <t>197.0139681566275</t>
  </si>
  <si>
    <t>[0.131, 0.171]</t>
  </si>
  <si>
    <t>LINESTRING (10.302350023080756 59.989566934825845, 10.302136463037755 59.990009014990214, 10.301926182909867 59.990717014823296)</t>
  </si>
  <si>
    <t>[1090862, 1090870]</t>
  </si>
  <si>
    <t>[1034679, 225448]</t>
  </si>
  <si>
    <t>0.15545827798278286</t>
  </si>
  <si>
    <t>[1034678, 1034679]</t>
  </si>
  <si>
    <t>130.48078044219153</t>
  </si>
  <si>
    <t>[-0.112, -0.083, -0.162, -0.133, 0.063]</t>
  </si>
  <si>
    <t>LINESTRING (10.300320457428956 59.99255771585046, 10.300006220932426 59.99257701790779, 10.297849002106258 59.992748218392464, 10.297055667918587 59.99272869593503, 10.297163698853353 59.992674042423765, 10.30080324006375 59.99233707502884)</t>
  </si>
  <si>
    <t>[218634, 218642, 218650, 218658, 218666]</t>
  </si>
  <si>
    <t>[225471, 225474, 225479, 225485, 225489]</t>
  </si>
  <si>
    <t>[225466, 225471, 225474, 225479, 225485]</t>
  </si>
  <si>
    <t>[0.112, 0.083, 0.162, 0.133, 0.063]</t>
  </si>
  <si>
    <t>480.9550528267753</t>
  </si>
  <si>
    <t>[-0.227, -0.024]</t>
  </si>
  <si>
    <t>LINESTRING (10.300320457428956 59.99255771585046, 10.300366157636548 59.99252495097715, 10.30055057835924 59.99246360192629)</t>
  </si>
  <si>
    <t>[280040, 280048]</t>
  </si>
  <si>
    <t>[274949, 274954]</t>
  </si>
  <si>
    <t>[225466, 274949]</t>
  </si>
  <si>
    <t>[0.227, 0.024]</t>
  </si>
  <si>
    <t>16.81636510620006</t>
  </si>
  <si>
    <t>[0.0, -0.146]</t>
  </si>
  <si>
    <t>LINESTRING (10.300741810232132 59.99239841205167, 10.300741810232132 59.99239841205167, 10.30080324006375 59.99233707502884)</t>
  </si>
  <si>
    <t>[280064, 280072]</t>
  </si>
  <si>
    <t>[274964, 225489]</t>
  </si>
  <si>
    <t>[274963, 274964]</t>
  </si>
  <si>
    <t>[0.0, 0.146]</t>
  </si>
  <si>
    <t>20.06820269316723</t>
  </si>
  <si>
    <t>108.28440902090168</t>
  </si>
  <si>
    <t>[-0.021, 0.041, -0.159, -0.001, 0.041]</t>
  </si>
  <si>
    <t>LINESTRING (10.282811236374839 60.05206805497715, 10.283063370619914 60.05213102745667, 10.285198292600995 60.05263256036295, 10.285194884007726 60.052697064008086, 10.288137986048561 60.05429843317032, 10.288393227598915 60.05442345969728)</t>
  </si>
  <si>
    <t>[218746, 218754, 218802, 218810, 218818]</t>
  </si>
  <si>
    <t>[225527, 225531, 225563, 225568, 225574]</t>
  </si>
  <si>
    <t>0.011773896506622455</t>
  </si>
  <si>
    <t>[225526, 225527, 225531, 225563, 225568]</t>
  </si>
  <si>
    <t>[0.021, 0.041, 0.159, 0.001, 0.041]</t>
  </si>
  <si>
    <t>448.2236362066037</t>
  </si>
  <si>
    <t>[-0.042, -0.046]</t>
  </si>
  <si>
    <t>[0, 1]</t>
  </si>
  <si>
    <t>LINESTRING (10.281429271751756 60.05144559683234, 10.2824036361795 60.05188951125463, 10.282811236374839 60.05206805497715)</t>
  </si>
  <si>
    <t>[1369705, 1369713]</t>
  </si>
  <si>
    <t>[1263194, 225526]</t>
  </si>
  <si>
    <t>[1263193, 1263194]</t>
  </si>
  <si>
    <t>[0.042, 0.046]</t>
  </si>
  <si>
    <t>103.67148613613122</t>
  </si>
  <si>
    <t>[-0.014, 0.008]</t>
  </si>
  <si>
    <t>LINESTRING (10.279030527523267 60.050952962361045, 10.279709461559948 60.05125070666397, 10.280222920111882 60.05149833752048)</t>
  </si>
  <si>
    <t>[218762, 218770]</t>
  </si>
  <si>
    <t>[225534, 225540]</t>
  </si>
  <si>
    <t>[225533, 225534]</t>
  </si>
  <si>
    <t>[0.014, 0.008]</t>
  </si>
  <si>
    <t>90.23096158688804</t>
  </si>
  <si>
    <t>[0.0, 0.112]</t>
  </si>
  <si>
    <t>LINESTRING (10.27853199641734 60.050972917526856, 10.27853199641734 60.050972917526856, 10.279030527523267 60.050952962361045)</t>
  </si>
  <si>
    <t>[371017, 371025]</t>
  </si>
  <si>
    <t>[359911, 225533]</t>
  </si>
  <si>
    <t>0.10058742778746818</t>
  </si>
  <si>
    <t>[359910, 359911]</t>
  </si>
  <si>
    <t>33.15862435928264</t>
  </si>
  <si>
    <t>[0.0, 0.151]</t>
  </si>
  <si>
    <t>LINESTRING (10.278670015876223 60.05105317699567, 10.278670015876223 60.05105317699567, 10.279030527523267 60.050952962361045)</t>
  </si>
  <si>
    <t>[371033, 371041]</t>
  </si>
  <si>
    <t>[359931, 225533]</t>
  </si>
  <si>
    <t>0.13262650292938263</t>
  </si>
  <si>
    <t>[359930, 359931]</t>
  </si>
  <si>
    <t>27.214626119857638</t>
  </si>
  <si>
    <t>[0.035, 0.067, -0.286]</t>
  </si>
  <si>
    <t>LINESTRING (10.280222920111882 60.05149833752048, 10.28036115011758 60.05153831610777, 10.280362947632213 60.05098170009356, 10.28021097088819 60.05086759146789)</t>
  </si>
  <si>
    <t>[218778, 218786, 2080524]</t>
  </si>
  <si>
    <t>[225545, 225549, 1803928]</t>
  </si>
  <si>
    <t>0.02531965761873959</t>
  </si>
  <si>
    <t>[225540, 225545, 225549]</t>
  </si>
  <si>
    <t>[0.035, 0.067, 0.286]</t>
  </si>
  <si>
    <t>140.1951430458827</t>
  </si>
  <si>
    <t>[-0.019, 0.015, 0.044, -0.002, 0.004]</t>
  </si>
  <si>
    <t>LINESTRING (10.28427787238597 60.052705180571145, 10.283721484491997 60.05251127640376, 10.28265793676021 60.05206273580495, 10.282241120356122 60.05188147848851, 10.280436301749743 60.051618645202, 10.280222920111882 60.05149833752048)</t>
  </si>
  <si>
    <t>[218826, 218834, 218842, 218850, 218858]</t>
  </si>
  <si>
    <t>[225582, 225587, 225592, 225597, 225540]</t>
  </si>
  <si>
    <t>0.006076214337191205</t>
  </si>
  <si>
    <t>[225581, 225582, 225587, 225592, 225597]</t>
  </si>
  <si>
    <t>[0.019, 0.015, 0.044, 0.002, 0.004]</t>
  </si>
  <si>
    <t>272.4445061525747</t>
  </si>
  <si>
    <t>[0.025, -0.034, -0.017, 0.025, 0.016, 0.004, 0.037, 0.004, -0.001, -0.022, -0.024, -0.046]</t>
  </si>
  <si>
    <t>LINESTRING (10.288393227598915 60.05442345969728, 10.291430410595384 60.055012066744084, 10.292245259966979 60.05513598010018, 10.293940548645917 60.05532540018145, 10.294860897152255 60.0555658678225, 10.294930904732547 60.055597056447404, 10.300260261809276 60.05705676905819, 10.300375439912182 60.057058352868914, 10.301473295842792 60.0572029537398, 10.305287163759838 60.0584899342983, 10.30569357033654 60.05868621362997, 10.306635339581176 60.05945222223282, 10.308281407223772 60.06140727697317)</t>
  </si>
  <si>
    <t>[1369745, 1369753, 1369761, 1369769, 1369777, 1369785, 1369793, 1369801, 1369809, 1369817, 1369825, 1369833]</t>
  </si>
  <si>
    <t>[1263210, 1263215, 287818, 1263227, 1263233, 1263241, 1263250, 1263258, 1263266, 1263271, 1263280, 262087]</t>
  </si>
  <si>
    <t>[225574, 1263210, 1263215, 287818, 1263227, 1263233, 1263241, 1263250, 1263258, 1263266, 1263271, 1263280]</t>
  </si>
  <si>
    <t>[0.025, 0.034, 0.017, 0.025, 0.016, 0.004, 0.037, 0.004, 0.001, 0.022, 0.024, 0.046]</t>
  </si>
  <si>
    <t>1476.7124749520344</t>
  </si>
  <si>
    <t>[-0.016, 0.032]</t>
  </si>
  <si>
    <t>LINESTRING (10.28427787238597 60.052705180571145, 10.285361974337631 60.0531811102053, 10.288393227598915 60.05442345969728)</t>
  </si>
  <si>
    <t>[1369729, 1369737]</t>
  </si>
  <si>
    <t>[1263203, 225574]</t>
  </si>
  <si>
    <t>0.019094442054400237</t>
  </si>
  <si>
    <t>[225581, 1263203]</t>
  </si>
  <si>
    <t>[0.016, 0.032]</t>
  </si>
  <si>
    <t>299.0550888082908</t>
  </si>
  <si>
    <t>[-0.111, -0.071, -0.022, 0.064, 0.11]</t>
  </si>
  <si>
    <t>LINESTRING (10.286432952802818 60.081662792947924, 10.286586051324965 60.0816346108102, 10.286696310622784 60.08164916084741, 10.28679237890208 60.0817012507661, 10.2867350150956 60.081834956349184, 10.286597329003383 60.081863248219115)</t>
  </si>
  <si>
    <t>[1427767, 1427711, 1427719, 1427727, 1427735]</t>
  </si>
  <si>
    <t>[1301088, 1301089, 1301094, 1301100, 594543]</t>
  </si>
  <si>
    <t>0.006443532991529802</t>
  </si>
  <si>
    <t>[225625, 1301088, 1301089, 1301094, 1301100]</t>
  </si>
  <si>
    <t>[0.111, 0.071, 0.022, 0.064, 0.11]</t>
  </si>
  <si>
    <t>47.69173237294616</t>
  </si>
  <si>
    <t>[0.027, 0.024, 0.019, -0.015, -0.045]</t>
  </si>
  <si>
    <t>LINESTRING (10.285037027935308 60.08007884579868, 10.285129006743858 60.08019910414895, 10.28562019083021 60.0810313660308, 10.285704626583891 60.081183995455866, 10.286336952564055 60.08163338924658, 10.286432952802818 60.081662792947924)</t>
  </si>
  <si>
    <t>[639805, 218866, 218874, 218882, 218890]</t>
  </si>
  <si>
    <t>[225606, 225607, 225614, 225619, 225625]</t>
  </si>
  <si>
    <t>0.009171270199036321</t>
  </si>
  <si>
    <t>[634285, 225606, 225607, 225614, 225619]</t>
  </si>
  <si>
    <t>[0.027, 0.024, 0.019, 0.015, 0.045]</t>
  </si>
  <si>
    <t>198.02724838943413</t>
  </si>
  <si>
    <t>0.056</t>
  </si>
  <si>
    <t>19.126112956530925</t>
  </si>
  <si>
    <t>[0.076, 0.062, 0.044, -0.006, -0.027, -0.071, -0.078, -0.057, -0.029, 0.004]</t>
  </si>
  <si>
    <t>LINESTRING (10.283810151854462 60.079848708928836, 10.28374436011742 60.07989067432993, 10.283643011498922 60.07991441475327, 10.283524845020814 60.079910130027045, 10.283441797562471 60.07988486555239, 10.283382731269784 60.079838205462444, 10.283375327069974 60.07977950368312, 10.283467016309528 60.07970866497481, 10.283573473597777 60.07968809339074, 10.283686694117499 60.07969573622584, 10.283750665913006 60.07971516521076)</t>
  </si>
  <si>
    <t>[1744608, 1744616, 1744624, 1744542, 1744550, 1744558, 1744565, 1744573, 1744581, 1744589]</t>
  </si>
  <si>
    <t>[1528243, 1547498, 1547444, 1038672, 1547450, 619597, 1547460, 1547466, 1528307, 225629]</t>
  </si>
  <si>
    <t>[225667, 1528243, 1547498, 1547444, 1038672, 1547450, 619597, 1547460, 1547466, 1528307]</t>
  </si>
  <si>
    <t>[0.076, 0.062, 0.044, 0.006, 0.027, 0.071, 0.078, 0.057, 0.029, 0.004]</t>
  </si>
  <si>
    <t>63.189550721116916</t>
  </si>
  <si>
    <t>[-0.048, -0.014, 0.028]</t>
  </si>
  <si>
    <t>LINESTRING (10.283750665913006 60.07971516521076, 10.283915139841284 60.07971248736392, 10.28583350333709 60.07810615358683, 10.286130397038992 60.07801429965833)</t>
  </si>
  <si>
    <t>[218898, 218906, 589172]</t>
  </si>
  <si>
    <t>[225630, 225635, 262197]</t>
  </si>
  <si>
    <t>[225629, 225630, 225635]</t>
  </si>
  <si>
    <t>[0.048, 0.014, 0.028]</t>
  </si>
  <si>
    <t>249.0251840071807</t>
  </si>
  <si>
    <t>[0.039, 0.064, 0.044, 0.041, 0.038]</t>
  </si>
  <si>
    <t>LINESTRING (10.286392191293661 60.08211123220523, 10.2867604318114 60.08346896304223, 10.286423870709461 60.08461466186231, 10.286395151210236 60.08490967160838, 10.286369808164325 60.08609701765213, 10.286379427616703 60.08627531672462)</t>
  </si>
  <si>
    <t>[218914, 218922, 218930, 1444067, 1444059]</t>
  </si>
  <si>
    <t>[225641, 225646, 225651, 1311112, 1303484]</t>
  </si>
  <si>
    <t>0.04681033550928412</t>
  </si>
  <si>
    <t>[225640, 225641, 225646, 225651, 1311112]</t>
  </si>
  <si>
    <t>467.7783711681271</t>
  </si>
  <si>
    <t>[0.097, 0.085]</t>
  </si>
  <si>
    <t>LINESTRING (10.286597329003383 60.081863248219115, 10.286555843183955 60.08190532728333, 10.286392191293661 60.08211123220523)</t>
  </si>
  <si>
    <t>[589236, 589244]</t>
  </si>
  <si>
    <t>[594544, 225640]</t>
  </si>
  <si>
    <t>0.08709677230087426</t>
  </si>
  <si>
    <t>[594543, 594544]</t>
  </si>
  <si>
    <t>29.922224394444047</t>
  </si>
  <si>
    <t>[0.403, -0.011]</t>
  </si>
  <si>
    <t>LINESTRING (10.28640612561768 60.08182138808361, 10.286391583959931 60.081868548591665, 10.286392191293661 60.08211123220523)</t>
  </si>
  <si>
    <t>[2123669, 2123677]</t>
  </si>
  <si>
    <t>[1829262, 225640]</t>
  </si>
  <si>
    <t>0.056260527753094695</t>
  </si>
  <si>
    <t>[1301117, 1829262]</t>
  </si>
  <si>
    <t>[0.403, 0.011]</t>
  </si>
  <si>
    <t>32.73722648748091</t>
  </si>
  <si>
    <t>[-0.014, -0.012, 0.066]</t>
  </si>
  <si>
    <t>LINESTRING (10.285411920689581 60.08092147220223, 10.285309286416261 60.08080470121058, 10.283946434151776 60.07982389580106, 10.283810151854462 60.079848708928836)</t>
  </si>
  <si>
    <t>[589380, 218954, 218962]</t>
  </si>
  <si>
    <t>[225660, 225661, 225667]</t>
  </si>
  <si>
    <t>[262251, 225660, 225661]</t>
  </si>
  <si>
    <t>[0.014, 0.012, 0.066]</t>
  </si>
  <si>
    <t>169.07478370837174</t>
  </si>
  <si>
    <t>[0.042, 0.134, 0.142, 0.139, 0.143]</t>
  </si>
  <si>
    <t>LINESTRING (10.290930688130565 60.09088094216306, 10.290445655264596 60.09053808045332, 10.290166327985897 60.09056480564584, 10.289779967782085 60.090647264429485, 10.28964456848111 60.0906748143724, 10.289590690253481 60.09068638402104)</t>
  </si>
  <si>
    <t>[219130, 219138, 219146, 219154, 219162]</t>
  </si>
  <si>
    <t>[225772, 225780, 225785, 225789, 225796]</t>
  </si>
  <si>
    <t>0.09233491836227255</t>
  </si>
  <si>
    <t>[225766, 225772, 225780, 225785, 225789]</t>
  </si>
  <si>
    <t>98.16119814763806</t>
  </si>
  <si>
    <t>[-0.078, 0.014, 0.023]</t>
  </si>
  <si>
    <t>LINESTRING (10.290930688130565 60.09088094216306, 10.29101316647286 60.09091369116888, 10.291674440437431 60.092573225263166, 10.291724780483849 60.092751841798936)</t>
  </si>
  <si>
    <t>[219275, 219283, 219291]</t>
  </si>
  <si>
    <t>[225904, 225912, 225918]</t>
  </si>
  <si>
    <t>0.01238815248910856</t>
  </si>
  <si>
    <t>[225766, 225904, 225912]</t>
  </si>
  <si>
    <t>[0.078, 0.014, 0.023]</t>
  </si>
  <si>
    <t>222.5458192751751</t>
  </si>
  <si>
    <t>[-0.036, -0.044]</t>
  </si>
  <si>
    <t>LINESTRING (10.29007186531949 60.09064888019309, 10.290206023994578 60.09075620225652, 10.290930688130565 60.09088094216306)</t>
  </si>
  <si>
    <t>[589412, 219122]</t>
  </si>
  <si>
    <t>[225765, 225766]</t>
  </si>
  <si>
    <t>[594712, 225765]</t>
  </si>
  <si>
    <t>[0.036, 0.044]</t>
  </si>
  <si>
    <t>122.53251040452443</t>
  </si>
  <si>
    <t>[0.039, 0.024, 0.026, 0.03, 0.042]</t>
  </si>
  <si>
    <t>LINESTRING (10.292058171752357 60.093227823499014, 10.291870234286389 60.0930740458313, 10.291413101663922 60.09264281477477, 10.29093956403604 60.09217676395891, 10.290802369744704 60.09205031134093, 10.290761229813215 60.09202088941616)</t>
  </si>
  <si>
    <t>[219170, 219178, 219186, 219194, 219202]</t>
  </si>
  <si>
    <t>[225805, 225815, 225825, 225832, 225839]</t>
  </si>
  <si>
    <t>0.02783567829722168</t>
  </si>
  <si>
    <t>[225804, 225805, 225815, 225825, 225832]</t>
  </si>
  <si>
    <t>152.75241133482868</t>
  </si>
  <si>
    <t>[-0.016, 0.011, -0.019, -0.036, -0.06, -0.005, -0.006, 0.007, 0.008, 0.006, 0.008, 0.004, 0.003, 0.003, 0.005, 0.009, 0.01, 0.008, 0.008, 0.008, 0.012, 0.021, 0.042, 0.031, 0.029, 0.019, 0.035, 0.047, 0.046, 0.041, 0.034, 0.025, 0.025, -0.014, -0.07, -0.029]</t>
  </si>
  <si>
    <t>LINESTRING (10.292058171752357 60.093227823499014, 10.292117796501085 60.09331416415984, 10.292520016405556 60.09525933779028, 10.292394365082316 60.09550862732747, 10.29217249159544 60.09590423473977, 10.290291145629306 60.099758403621024, 10.290270046108926 60.09980340589522, 10.289855822623649 60.10072726640025, 10.289603201808015 60.101270956241436, 10.289581793046953 60.101315335796215, 10.289559691635128 60.10136115673914, 10.289207552562555 60.10205087425991, 10.288023258246914 60.10449851689496, 10.286806872917706 60.107043281188346, 10.286246064134975 60.1082216190866, 10.28563491120302 60.109560940577616, 10.285476278269806 60.10991340260421, 10.285451249012713 60.10996876068626, 10.285431032386713 60.11001165330652, 10.285185607272224 60.11051976973897, 10.285053926241845 60.110776224060594, 10.283423785071673 60.11420780573511, 10.283096456517477 60.11491244805809, 10.283083931496984 60.114939730832106, 10.283064663139644 60.114980111646375, 10.2830179906581 60.11506884870341, 10.28116487699209 60.11955608550996, 10.280847137535906 60.12079440447531, 10.280615669799964 60.12168635964635, 10.280416259104442 60.1224500109828, 10.280306794279905 60.12288243281919, 10.280220388663869 60.1232277391373, 10.279998156459238 60.12433208710003, 10.27999806807779 60.12443672592532, 10.277788767918542 60.127401852960354, 10.2766470578377 60.127875776335046, 10.275553659881428 60.1290471983698)</t>
  </si>
  <si>
    <t>[1370041, 1370049, 1370057, 1370065, 1370073, 1370081, 1370089, 1370097, 1370105, 1370113, 1370121, 1370129, 1370137, 1370145, 1370153, 1370161, 1370169, 1370177, 1370185, 1370193, 1370201, 1370209, 1370217, 1370225, 1370233, 1370241, 1370249, 1407282, 1407290, 1407298, 1407306, 1407314, 1407322, 1407330, 1407338, 1407346]</t>
  </si>
  <si>
    <t>[1263421, 1263425, 1263428, 1263432, 1263438, 1263440, 1263446, 1263451, 1263455, 1263462, 1263466, 1263473, 1263479, 1263486, 1263490, 1263498, 1263501, 1263506, 1263509, 1263514, 1263519, 1263522, 1263527, 1263532, 1263536, 1263544, 1263547, 1287602, 1287608, 1287613, 1090886, 1287626, 1074885, 1287637, 1287643, 1287650]</t>
  </si>
  <si>
    <t>2.5464439239715497e-05</t>
  </si>
  <si>
    <t>[225804, 1263421, 1263425, 1263428, 1263432, 1263438, 1263440, 1263446, 1263451, 1263455, 1263462, 1263466, 1263473, 1263479, 1263486, 1263490, 1263498, 1263501, 1263506, 1263509, 1263514, 1263519, 1263522, 1263527, 1263532, 1263536, 1263544, 1263547, 1287602, 1287608, 1287613, 1090886, 1287626, 1074885, 1287637, 1287643]</t>
  </si>
  <si>
    <t>[0.016, 0.011, 0.019, 0.036, 0.06, 0.005, 0.006, 0.007, 0.008, 0.006, 0.008, 0.004, 0.003, 0.003, 0.005, 0.009, 0.01, 0.008, 0.008, 0.008, 0.012, 0.021, 0.042, 0.031, 0.029, 0.019, 0.035, 0.047, 0.046, 0.041, 0.034, 0.025, 0.025, 0.014, 0.07, 0.029]</t>
  </si>
  <si>
    <t>4159.482100324521</t>
  </si>
  <si>
    <t>[-0.009, -0.008]</t>
  </si>
  <si>
    <t>LINESTRING (10.291724780483849 60.092751841798936, 10.291762730465074 60.092802457455505, 10.292058171752357 60.093227823499014)</t>
  </si>
  <si>
    <t>[1370025, 1370033]</t>
  </si>
  <si>
    <t>[1263411, 225804]</t>
  </si>
  <si>
    <t>[225918, 1263411]</t>
  </si>
  <si>
    <t>[0.009, 0.008]</t>
  </si>
  <si>
    <t>56.20834225091556</t>
  </si>
  <si>
    <t>26.97067270253895</t>
  </si>
  <si>
    <t>[-0.005, -0.031, 0.031, 0.034, -0.013, -0.046, -0.027, -0.027, -0.026]</t>
  </si>
  <si>
    <t>LINESTRING (10.275378994321203 60.1303398439344, 10.274698623012101 60.13063501163414, 10.274692378288798 60.13063417670839, 10.27452417188815 60.130611728892944, 10.27451287016903 60.13061020043626, 10.273596053510337 60.129916655904466, 10.27358503791329 60.12986446237367, 10.273578575567237 60.129837166673795, 10.273682651587167 60.129832847994194, 10.273903717944272 60.1298113783422)</t>
  </si>
  <si>
    <t>[219387, 219395, 219403, 219411, 353303, 353311, 353314, 1427695, 1427703]</t>
  </si>
  <si>
    <t>[226019, 226027, 226035, 226044, 341338, 341345, 341348, 1301082, 597181]</t>
  </si>
  <si>
    <t>[226012, 226019, 226027, 226035, 226044, 341338, 341345, 341348, 1301082]</t>
  </si>
  <si>
    <t>[0.005, 0.031, 0.031, 0.034, 0.013, 0.046, 0.027, 0.027, 0.026]</t>
  </si>
  <si>
    <t>195.8943030798243</t>
  </si>
  <si>
    <t>[-0.074, -0.082, -0.024, -0.216]</t>
  </si>
  <si>
    <t>LINESTRING (10.275378994321203 60.1303398439344, 10.275325208504723 60.130330068706385, 10.275159440781602 60.13030383222295, 10.274854094282619 60.130360850015066, 10.274818440914236 60.130355131861734)</t>
  </si>
  <si>
    <t>[592931, 592939, 592947, 1411920]</t>
  </si>
  <si>
    <t>[597149, 597158, 597164, 1291078]</t>
  </si>
  <si>
    <t>[226012, 597149, 597158, 597164]</t>
  </si>
  <si>
    <t>[0.074, 0.082, 0.024, 0.216]</t>
  </si>
  <si>
    <t>33.44744617270048</t>
  </si>
  <si>
    <t>[0.017, 0.01, 0.081, -0.001]</t>
  </si>
  <si>
    <t>LINESTRING (10.275539992867692 60.12914447122662, 10.275497037286675 60.12927430947861, 10.275217619651174 60.13022191248976, 10.275428990123066 60.13025564376109, 10.275378994321203 60.1303398439344)</t>
  </si>
  <si>
    <t>[1411895, 219363, 219371, 219379]</t>
  </si>
  <si>
    <t>[225996, 225997, 226006, 226012]</t>
  </si>
  <si>
    <t>0.015833987696648264</t>
  </si>
  <si>
    <t>[1291062, 225996, 225997, 226006]</t>
  </si>
  <si>
    <t>[0.017, 0.01, 0.081, 0.001]</t>
  </si>
  <si>
    <t>149.3225912897179</t>
  </si>
  <si>
    <t>[0.007, 0.008, 0.01, 0.005, -0.034, -0.033, -0.008]</t>
  </si>
  <si>
    <t>[0, 0, 0, 0, 0, 1, 0]</t>
  </si>
  <si>
    <t>LINESTRING (10.25874052556782 60.20383770565536, 10.258739405858568 60.20382470431965, 10.258704748898362 60.20334318692117, 10.258694154257483 60.20326724370051, 10.258686140207912 60.203197698146816, 10.258902535093954 60.201172733497714, 10.260039235164008 60.200637734936045, 10.260169745592021 60.20057236855579)</t>
  </si>
  <si>
    <t>[219475, 219483, 219491, 219499, 219507, 219515, 219523]</t>
  </si>
  <si>
    <t>[226108, 226116, 226123, 226131, 226139, 226145, 226152]</t>
  </si>
  <si>
    <t>[226102, 226108, 226116, 226123, 226131, 226139, 226145]</t>
  </si>
  <si>
    <t>[0.007, 0.008, 0.01, 0.005, 0.034, 0.033, 0.008]</t>
  </si>
  <si>
    <t>400.2904623317808</t>
  </si>
  <si>
    <t>[-0.03, -0.054, -0.049]</t>
  </si>
  <si>
    <t>LINESTRING (10.25874052556782 60.20383770565536, 10.258779041417696 60.20388964414713, 10.259415592370297 60.20408669932915, 10.259482613514237 60.204059228947955)</t>
  </si>
  <si>
    <t>[219563, 219571, 233260]</t>
  </si>
  <si>
    <t>[226191, 226200, 236795]</t>
  </si>
  <si>
    <t>[226102, 226191, 226200]</t>
  </si>
  <si>
    <t>[0.03, 0.054, 0.049]</t>
  </si>
  <si>
    <t>57.796694122674715</t>
  </si>
  <si>
    <t>[-0.014, 0.003]</t>
  </si>
  <si>
    <t>LINESTRING (10.258570609364197 60.20520477033622, 10.258673858378986 60.20504189820968, 10.25874052556782 60.20383770565536)</t>
  </si>
  <si>
    <t>[233156, 219467]</t>
  </si>
  <si>
    <t>[226101, 226102]</t>
  </si>
  <si>
    <t>0.0010022835664892722</t>
  </si>
  <si>
    <t>[236709, 226101]</t>
  </si>
  <si>
    <t>[0.014, 0.003]</t>
  </si>
  <si>
    <t>161.9981478025837</t>
  </si>
  <si>
    <t>LINESTRING (10.260169745592021 60.20057236855579, 10.260259444150712 60.20052620991656, 10.260352464839128 60.200473316326274)</t>
  </si>
  <si>
    <t>[219531, 219539]</t>
  </si>
  <si>
    <t>[226159, 226166]</t>
  </si>
  <si>
    <t>[226152, 226159]</t>
  </si>
  <si>
    <t>0.001</t>
  </si>
  <si>
    <t>14.994286966041013</t>
  </si>
  <si>
    <t>[0.04, 0.01, -0.012, -0.043, 0.132]</t>
  </si>
  <si>
    <t>LINESTRING (10.259251531589621 60.200557017323284, 10.259394563250508 60.200656899284844, 10.260921525491478 60.20132277252825, 10.260661519167156 60.20076071671746, 10.26022915839481 60.200591856085154, 10.260169745592021 60.20057236855579)</t>
  </si>
  <si>
    <t>[232988, 593483, 593491, 593499, 593507]</t>
  </si>
  <si>
    <t>[236576, 597555, 597561, 597568, 226152]</t>
  </si>
  <si>
    <t>0.0021382074817978313</t>
  </si>
  <si>
    <t>[236575, 236576, 597555, 597561, 597568]</t>
  </si>
  <si>
    <t>[0.04, 0.01, 0.012, 0.043, 0.132]</t>
  </si>
  <si>
    <t>281.5418955690257</t>
  </si>
  <si>
    <t>[-0.01, 0.035, -0.009, 0.021, 0.021, 0.03]</t>
  </si>
  <si>
    <t>LINESTRING (10.260352464839128 60.200473316326274, 10.260397091329427 60.20050447087008, 10.260577154051882 60.20062319920208, 10.261003082508324 60.20133608185368, 10.260682702298194 60.20156969327427, 10.259841471550997 60.203703070303774, 10.25970934671805 60.203874380153415)</t>
  </si>
  <si>
    <t>[2113500, 2113508, 2113516, 219643, 219651, 233412]</t>
  </si>
  <si>
    <t>[1823342, 1823347, 226252, 226253, 226262, 236898]</t>
  </si>
  <si>
    <t>0.015331466469545082</t>
  </si>
  <si>
    <t>[226166, 1823342, 1823347, 226252, 226253, 226262]</t>
  </si>
  <si>
    <t>[0.01, 0.035, 0.009, 0.021, 0.021, 0.03]</t>
  </si>
  <si>
    <t>411.0188033346676</t>
  </si>
  <si>
    <t>[0.0, 0.028, 0.02, 0.026, 0.071, 0.102, 0.043, -0.03, -0.028, 0.049, 0.107, 0.089, -0.016, -0.015, 0.004, 0.018, 0.023, 0.032, 0.025, 0.025, -0.006, -0.029, -0.031, -0.034, -0.023, -0.013, -0.003]</t>
  </si>
  <si>
    <t>LINESTRING (10.271882912635544 60.182041690745095, 10.271882912635544 60.182041690745095, 10.271922546975118 60.18208997779875, 10.272038788143643 60.18223426702617, 10.272413006123081 60.182873920636546, 10.272372761576841 60.18312945589215, 10.272229870001464 60.18349239615305, 10.269574189948887 60.185718025213745, 10.269563085267158 60.18576874411393, 10.2695520064704 60.18581389631992, 10.26951134085612 60.18597232018634, 10.269032457932552 60.187040558445275, 10.26869065675002 60.1874609549346, 10.263616734777905 60.18875357063072, 10.263009193093163 60.18905101930741, 10.262596851526926 60.189374559552796, 10.262022154045042 60.1900370292321, 10.261904065448963 60.19018930618643, 10.26419839243772 60.19528172180686, 10.26420660388334 60.19538563313953, 10.264096249138685 60.19713359190374, 10.262355045691315 60.19889116403637, 10.261261528314442 60.199788985146775, 10.261189056737173 60.19984549342161, 10.26088226287542 60.200091230477646, 10.260769011060175 60.20017985494283, 10.260411947227514 60.200434314431526, 10.260352464839128 60.200473316326274)</t>
  </si>
  <si>
    <t>[454995, 455003, 455011, 455019, 455027, 455035, 455043, 455051, 455059, 455067, 455075, 455083, 455091, 455099, 455107, 455116, 455124, 455132, 455140, 455148, 455156, 455164, 455172, 455180, 455188, 455196, 455204]</t>
  </si>
  <si>
    <t>[453419, 453427, 453436, 453444, 453454, 453461, 453469, 453478, 453484, 453492, 453499, 453506, 453513, 453521, 453529, 453536, 453542, 453552, 453562, 453570, 453579, 453586, 453596, 453602, 453609, 453619, 226166]</t>
  </si>
  <si>
    <t>0.022161980424952467</t>
  </si>
  <si>
    <t>[453418, 453419, 453427, 453436, 453444, 453454, 453461, 453469, 453478, 453484, 453492, 453499, 453506, 453513, 453521, 453529, 453536, 453542, 453552, 453562, 453570, 453579, 453586, 453596, 453602, 453609, 453619]</t>
  </si>
  <si>
    <t>[0.0, 0.028, 0.02, 0.026, 0.071, 0.102, 0.043, 0.03, 0.028, 0.049, 0.107, 0.089, 0.016, 0.015, 0.004, 0.018, 0.023, 0.032, 0.025, 0.025, 0.006, 0.029, 0.031, 0.034, 0.023, 0.013, 0.003]</t>
  </si>
  <si>
    <t>2430.4337034823097</t>
  </si>
  <si>
    <t>0.081</t>
  </si>
  <si>
    <t>8.420708105441218</t>
  </si>
  <si>
    <t>[-0.002, -0.039]</t>
  </si>
  <si>
    <t>LINESTRING (10.250024296195715 60.146499237342724, 10.250061335181805 60.1465553728992, 10.250035112323443 60.146619606106704)</t>
  </si>
  <si>
    <t>[219763, 219771]</t>
  </si>
  <si>
    <t>[226345, 226286]</t>
  </si>
  <si>
    <t>[226339, 226345]</t>
  </si>
  <si>
    <t>[0.002, 0.039]</t>
  </si>
  <si>
    <t>13.893671264980915</t>
  </si>
  <si>
    <t>[0.025, -0.357]</t>
  </si>
  <si>
    <t>LINESTRING (10.250548224534604 60.146513007972, 10.250141525369175 60.14659228126942, 10.250035112323443 60.146619606106704)</t>
  </si>
  <si>
    <t>[1411968, 1411972]</t>
  </si>
  <si>
    <t>[1291105, 226286]</t>
  </si>
  <si>
    <t>[597274, 1291105]</t>
  </si>
  <si>
    <t>[0.025, 0.357]</t>
  </si>
  <si>
    <t>30.921746843730432</t>
  </si>
  <si>
    <t>[-0.095, -0.075]</t>
  </si>
  <si>
    <t>LINESTRING (10.249928329692747 60.146673200052675, 10.249819183972217 60.14668685354818, 10.249680847763925 60.14666720301666)</t>
  </si>
  <si>
    <t>[219691, 219699]</t>
  </si>
  <si>
    <t>[226296, 226303]</t>
  </si>
  <si>
    <t>[226287, 226296]</t>
  </si>
  <si>
    <t>[0.095, 0.075]</t>
  </si>
  <si>
    <t>14.248440681977545</t>
  </si>
  <si>
    <t>[0.323, -0.061, -0.138]</t>
  </si>
  <si>
    <t>LINESTRING (10.249928329692747 60.146673200052675, 10.249915574244111 60.14671352359813, 10.24988604612623 60.14681185379756, 10.249851551868604 60.146951030299746)</t>
  </si>
  <si>
    <t>[1411989, 1412004, 1412005]</t>
  </si>
  <si>
    <t>[1291121, 1291130, 597282]</t>
  </si>
  <si>
    <t>[226287, 1291121, 1291130]</t>
  </si>
  <si>
    <t>[0.323, 0.061, 0.138]</t>
  </si>
  <si>
    <t>31.264131196603252</t>
  </si>
  <si>
    <t>[-0.023, 0.018, 0.056, 0.082, 0.089, 0.08, 0.044]</t>
  </si>
  <si>
    <t>LINESTRING (10.249680847763925 60.14666720301666, 10.249585821521823 60.146607886116485, 10.24956961146461 60.14655916400573, 10.24961103633526 60.1464958459652, 10.249660721702643 60.14646847970972, 10.249755528618419 60.146445694175675, 10.249873085002582 60.14644448581399, 10.250024296195715 60.146499237342724)</t>
  </si>
  <si>
    <t>[219707, 219715, 219723, 219731, 219739, 219747, 219755]</t>
  </si>
  <si>
    <t>[226308, 226313, 226319, 226324, 226328, 226332, 226339]</t>
  </si>
  <si>
    <t>0.04469782929410556</t>
  </si>
  <si>
    <t>[226303, 226308, 226313, 226319, 226324, 226328, 226332]</t>
  </si>
  <si>
    <t>[0.023, 0.018, 0.056, 0.082, 0.089, 0.08, 0.044]</t>
  </si>
  <si>
    <t>48.473465983705324</t>
  </si>
  <si>
    <t>[-0.001, -0.011, -0.002]</t>
  </si>
  <si>
    <t>LINESTRING (10.249680847763925 60.14666720301666, 10.249707863278935 60.146710062105676, 10.249760948714142 60.146806566889204, 10.249851551868604 60.146951030299746)</t>
  </si>
  <si>
    <t>[1592991, 1592999, 1593007]</t>
  </si>
  <si>
    <t>[1432234, 1432240, 597282]</t>
  </si>
  <si>
    <t>[226303, 1432234, 1432240]</t>
  </si>
  <si>
    <t>[0.001, 0.011, 0.002]</t>
  </si>
  <si>
    <t>33.16863545264974</t>
  </si>
  <si>
    <t>[-0.042, -0.086]</t>
  </si>
  <si>
    <t>LINESTRING (10.250548224534604 60.146513007972, 10.250114368300917 60.14649198613443, 10.250024296195715 60.146499237342724)</t>
  </si>
  <si>
    <t>[1592975, 1592983]</t>
  </si>
  <si>
    <t>[1432222, 226339]</t>
  </si>
  <si>
    <t>[597274, 1432222]</t>
  </si>
  <si>
    <t>[0.042, 0.086]</t>
  </si>
  <si>
    <t>29.5001097575716</t>
  </si>
  <si>
    <t>40.80868516952009</t>
  </si>
  <si>
    <t>[-0.034, -0.03]</t>
  </si>
  <si>
    <t>LINESTRING (10.214604293528703 60.169358681950314, 10.21477573181877 60.16936367118039, 10.21490266118514 60.16939387251474)</t>
  </si>
  <si>
    <t>[219899, 219907]</t>
  </si>
  <si>
    <t>[226445, 226401]</t>
  </si>
  <si>
    <t>[226441, 226445]</t>
  </si>
  <si>
    <t>[0.034, 0.03]</t>
  </si>
  <si>
    <t>17.350191612858524</t>
  </si>
  <si>
    <t>[-0.007, -0.007, -0.002]</t>
  </si>
  <si>
    <t>LINESTRING (10.21496926119497 60.1689667484927, 10.214952279673952 60.16910989965695, 10.214905402050995 60.16934657751776, 10.21490266118514 60.16939387251474)</t>
  </si>
  <si>
    <t>[1432108, 1432116, 1432124]</t>
  </si>
  <si>
    <t>[1303675, 1303681, 226401]</t>
  </si>
  <si>
    <t>[1287926, 1303675, 1303681]</t>
  </si>
  <si>
    <t>[0.007, 0.007, 0.002]</t>
  </si>
  <si>
    <t>47.76834088950508</t>
  </si>
  <si>
    <t>[0.023, 0.027]</t>
  </si>
  <si>
    <t>LINESTRING (10.214857495902393 60.169706862171026, 10.214718077541324 60.169727659791945, 10.214582502819983 60.169724067235066)</t>
  </si>
  <si>
    <t>[219851, 219859]</t>
  </si>
  <si>
    <t>[226409, 226418]</t>
  </si>
  <si>
    <t>0.024930562792311945</t>
  </si>
  <si>
    <t>[226402, 226409]</t>
  </si>
  <si>
    <t>15.623244398706989</t>
  </si>
  <si>
    <t>[-0.0, -0.002]</t>
  </si>
  <si>
    <t>LINESTRING (10.214857495902393 60.169706862171026, 10.214851493325437 60.16974742788997, 10.214807496153984 60.17009896701772)</t>
  </si>
  <si>
    <t>[639472, 639480]</t>
  </si>
  <si>
    <t>[634028, 634037]</t>
  </si>
  <si>
    <t>[226402, 634028]</t>
  </si>
  <si>
    <t>[0.0, 0.002]</t>
  </si>
  <si>
    <t>43.97141153410216</t>
  </si>
  <si>
    <t>[-0.053, -0.025, 0.005, 0.051]</t>
  </si>
  <si>
    <t>LINESTRING (10.214582502819983 60.169724067235066, 10.214352620123424 60.169637133008685, 10.214308640544465 60.169578081985634, 10.214310805884152 60.16950043530932, 10.214604293528703 60.169358681950314)</t>
  </si>
  <si>
    <t>[219867, 219875, 219883, 219891]</t>
  </si>
  <si>
    <t>[226424, 226430, 226436, 226441]</t>
  </si>
  <si>
    <t>0.003729331059882076</t>
  </si>
  <si>
    <t>[226418, 226424, 226430, 226436]</t>
  </si>
  <si>
    <t>[0.053, 0.025, 0.005, 0.051]</t>
  </si>
  <si>
    <t>55.632321702243246</t>
  </si>
  <si>
    <t>[-1.3, 0.143]</t>
  </si>
  <si>
    <t>LINESTRING (10.214582502819983 60.169724067235066, 10.214612580984456 60.16976331204326, 10.214807496153984 60.17009896701772)</t>
  </si>
  <si>
    <t>[2123253, 2123261]</t>
  </si>
  <si>
    <t>[1829033, 634037]</t>
  </si>
  <si>
    <t>[226418, 1829033]</t>
  </si>
  <si>
    <t>[1.3, 0.143]</t>
  </si>
  <si>
    <t>43.85698003137525</t>
  </si>
  <si>
    <t>[-0.388, -0.009, 1.335]</t>
  </si>
  <si>
    <t>LINESTRING (10.21496926119497 60.1689667484927, 10.214841287656867 60.16909471185632, 10.21464568319394 60.16931883006639, 10.214604293528703 60.169358681950314)</t>
  </si>
  <si>
    <t>[2123140, 2123148, 2123156]</t>
  </si>
  <si>
    <t>[1828967, 1828971, 226441]</t>
  </si>
  <si>
    <t>0.00513884401610108</t>
  </si>
  <si>
    <t>[1287926, 1828967, 1828971]</t>
  </si>
  <si>
    <t>[0.388, 0.009, 1.335]</t>
  </si>
  <si>
    <t>48.26294869157358</t>
  </si>
  <si>
    <t>[0.032, 0.022, 0.041, 0.029]</t>
  </si>
  <si>
    <t>LINESTRING (10.346034674384944 59.82074269082984, 10.34575365237619 59.82071568794508, 10.341824417473662 59.82005842010384, 10.340902031196897 59.82006990689651, 10.340837007035379 59.82008313310311)</t>
  </si>
  <si>
    <t>[234036, 220187, 220195, 220203]</t>
  </si>
  <si>
    <t>[226647, 226648, 226654, 226659]</t>
  </si>
  <si>
    <t>0.02589528631829965</t>
  </si>
  <si>
    <t>[236938, 226647, 226648, 226654]</t>
  </si>
  <si>
    <t>305.6540413772468</t>
  </si>
  <si>
    <t>[0.0, 0.067]</t>
  </si>
  <si>
    <t>53709.0</t>
  </si>
  <si>
    <t>LINESTRING (10.336871709646935 59.81861202595161, 10.336871709646935 59.81861202595161, 10.337268996661775 59.81889811907321)</t>
  </si>
  <si>
    <t>[220291, 220299]</t>
  </si>
  <si>
    <t>[226734, 226742]</t>
  </si>
  <si>
    <t>0.059370484195030875</t>
  </si>
  <si>
    <t>[226733, 226734]</t>
  </si>
  <si>
    <t>48.95177846729085</t>
  </si>
  <si>
    <t>[0.008, -0.028]</t>
  </si>
  <si>
    <t>LINESTRING (10.337268996661775 59.81889811907321, 10.341304772382031 59.819566611526376, 10.341496787708225 59.81963584294933)</t>
  </si>
  <si>
    <t>[220307, 234044]</t>
  </si>
  <si>
    <t>[226748, 237352]</t>
  </si>
  <si>
    <t>0.006108796134167152</t>
  </si>
  <si>
    <t>[226742, 226748]</t>
  </si>
  <si>
    <t>[0.008, 0.028]</t>
  </si>
  <si>
    <t>252.3157785425296</t>
  </si>
  <si>
    <t>[0.0, 0.033, 0.08]</t>
  </si>
  <si>
    <t>LINESTRING (10.337152399431664 59.81864570141123, 10.337152399431664 59.81864570141123, 10.337212707078054 59.81886643939997, 10.337268996661775 59.81889811907321)</t>
  </si>
  <si>
    <t>[1386955, 1386963, 1386971]</t>
  </si>
  <si>
    <t>[1273453, 1273456, 226742]</t>
  </si>
  <si>
    <t>0.03379039523541875</t>
  </si>
  <si>
    <t>[253571, 1273453, 1273456]</t>
  </si>
  <si>
    <t>42.620082139884545</t>
  </si>
  <si>
    <t>[0.011, 0.01, 0.035, 0.03, 0.039, 0.016, 0.001]</t>
  </si>
  <si>
    <t>[0, 0, 1, 0, 0, 0, 0]</t>
  </si>
  <si>
    <t>LINESTRING (8.158096091304634 58.192827062714265, 8.157268769184432 58.19235957859458, 8.156290724419618 58.19170898640189, 8.156241906665686 58.19167267579358, 8.154628342196984 58.19022881846257, 8.154517652056068 58.19010015869423, 8.152565835081598 58.18721480293936, 8.152477079009106 58.18707522176699)</t>
  </si>
  <si>
    <t>[220689, 220697, 220705, 220713, 220721, 1118095, 1118106]</t>
  </si>
  <si>
    <t>[227062, 227068, 227073, 227079, 227085, 1057071, 1057080]</t>
  </si>
  <si>
    <t>0.01862694801514669</t>
  </si>
  <si>
    <t>[227057, 227062, 227068, 227073, 227079, 227085, 1057071]</t>
  </si>
  <si>
    <t>730.3423216312539</t>
  </si>
  <si>
    <t>[0.009, 0.01, 0.031, 0.027, 0.036]</t>
  </si>
  <si>
    <t>LINESTRING (8.158096091304634 58.192827062714265, 8.157669276407097 58.19264980282853, 8.156215962667881 58.19173941602814, 8.156160695353716 58.19169965839753, 8.153722527000046 58.190545050822806, 8.153658292073766 58.19051684685344)</t>
  </si>
  <si>
    <t>[220729, 1117993, 1117996, 1117999, 1118000]</t>
  </si>
  <si>
    <t>[227089, 1056969, 1056972, 1056975, 1056976]</t>
  </si>
  <si>
    <t>0.019506464081065097</t>
  </si>
  <si>
    <t>[227057, 227089, 1056969, 1056972, 1056975]</t>
  </si>
  <si>
    <t>369.55567677555734</t>
  </si>
  <si>
    <t>[-0.127, -0.144, 0.012, 0.058, -0.008, -0.268, -0.226, -0.005, 0.112, -0.002, -0.093, -0.082, -0.099, 0.078, 0.01, -0.079, -0.056, 0.134, -0.039, -0.021, -0.119, -0.028, 0.15, 0.21, 0.089, -0.015, -0.054, -0.02, -0.004, 0.007, 0.008]</t>
  </si>
  <si>
    <t>[0, 0, 1, 0, 0, 0, 1, 0, 1, 0, 0, 0, 1, 0, 0, 0, 1, 0, 0, 0, 1, 0, 1, 0, 0, 0, 1, 0, 0, 1, 0]</t>
  </si>
  <si>
    <t>LINESTRING (8.296356790883468 58.236883411653295, 8.29557674870845 58.23653818584807, 8.29518610535563 58.23636924551821, 8.289914275870636 58.23409095193984, 8.282044168546625 58.231881223864114, 8.257439548116436 58.22798850800548, 8.257151746382581 58.22790263895311, 8.256410816590037 58.22767455135665, 8.255792714097971 58.22747574990038, 8.25573048787979 58.22745508799738, 8.251448647104265 58.225805835543156, 8.251365656529456 58.22576861762306, 8.247203948064733 58.22360219771414, 8.247164608572119 58.22357916077969, 8.243797220355079 58.221540992692454, 8.219415103102694 58.20637657710306, 8.215094205474701 58.20391862160226, 8.21498543557564 58.20387448670133, 8.212067837753654 58.202975179723516, 8.206699966998862 58.20195193327238, 8.192608464390334 58.200277093354856, 8.192521533688113 58.20026737336753, 8.185312379737631 58.19959787324306, 8.183622710708002 58.199496348703306, 8.182928158296905 58.199454544623904, 8.17799635639018 58.199090377201884, 8.176951885684419 58.19900027404082, 8.175945986688886 58.19891000768646, 8.16029343058931 58.193958134699, 8.158887521879835 58.193237329020654, 8.158752550798456 58.19316810632879, 8.158096091304634 58.192827062714265)</t>
  </si>
  <si>
    <t>[1125319, 1125322, 1125323, 1123473, 1123489, 1123510, 1123518, 1123526, 1123558, 1123566, 1123567, 1123690, 1123691, 1123703, 1123704, 1123726, 1123727, 1123732, 1123743, 1123756, 1123896, 1123898, 1123899, 1123900, 1123901, 220641, 220649, 220657, 220665, 220673, 220681]</t>
  </si>
  <si>
    <t>[1063839, 1063841, 1062216, 1062217, 1062235, 1062251, 1062258, 1062266, 1062294, 1062301, 1062302, 1062421, 1062422, 1062432, 1062433, 1062449, 1062450, 1062454, 1062462, 1062477, 1062591, 1062592, 1062593, 1062594, 227030, 227031, 227035, 227042, 227048, 227052, 227057]</t>
  </si>
  <si>
    <t>[1063833, 1063839, 1063841, 1062216, 1062217, 1062235, 1062251, 1062258, 1062266, 1062294, 1062301, 1062302, 1062421, 1062422, 1062432, 1062433, 1062449, 1062450, 1062454, 1062462, 1062477, 1062591, 1062592, 1062593, 1062594, 227030, 227031, 227035, 227042, 227048, 227052]</t>
  </si>
  <si>
    <t>[0.127, 0.144, 0.012, 0.058, 0.008, 0.268, 0.226, 0.005, 0.112, 0.002, 0.093, 0.082, 0.099, 0.078, 0.01, 0.079, 0.056, 0.134, 0.039, 0.021, 0.119, 0.028, 0.15, 0.21, 0.089, 0.015, 0.054, 0.02, 0.004, 0.007, 0.008]</t>
  </si>
  <si>
    <t>9883.559299374669</t>
  </si>
  <si>
    <t>91.18316346790013</t>
  </si>
  <si>
    <t>25.674660269978908</t>
  </si>
  <si>
    <t>[0.014, 0.016]</t>
  </si>
  <si>
    <t>LINESTRING (11.276016725791635 60.6959119054483, 11.276050977046074 60.69109857243312, 11.2760379271272 60.691054526546196)</t>
  </si>
  <si>
    <t>[239262, 239270]</t>
  </si>
  <si>
    <t>[241797, 241331]</t>
  </si>
  <si>
    <t>0.014018100759266468</t>
  </si>
  <si>
    <t>[229298, 241797]</t>
  </si>
  <si>
    <t>548.0221455194815</t>
  </si>
  <si>
    <t>25.42331843044227</t>
  </si>
  <si>
    <t>[-0.146, 0.006]</t>
  </si>
  <si>
    <t>LINESTRING (11.27131736743971 60.701573504987266, 11.27131736743971 60.701573504987266, 11.276016725791635 60.6959119054483)</t>
  </si>
  <si>
    <t>[1146082, 238744]</t>
  </si>
  <si>
    <t>[241323, 229298]</t>
  </si>
  <si>
    <t>0.0049533286742721875</t>
  </si>
  <si>
    <t>[1081885, 241323]</t>
  </si>
  <si>
    <t>[0.146, 0.006]</t>
  </si>
  <si>
    <t>733.7820018597106</t>
  </si>
  <si>
    <t>0.002</t>
  </si>
  <si>
    <t>964.7619107496083</t>
  </si>
  <si>
    <t>0.021</t>
  </si>
  <si>
    <t>50.01483080036519</t>
  </si>
  <si>
    <t>[0.0, 0.018]</t>
  </si>
  <si>
    <t>LINESTRING (11.276127466079698 60.6968516304554, 11.276127466079698 60.6968516304554, 11.276120120879446 60.69613434645536)</t>
  </si>
  <si>
    <t>[223511, 239198]</t>
  </si>
  <si>
    <t>[229305, 241744]</t>
  </si>
  <si>
    <t>0.016002256418207437</t>
  </si>
  <si>
    <t>[229304, 229305]</t>
  </si>
  <si>
    <t>89.91102199552809</t>
  </si>
  <si>
    <t>[-0.004, -0.003]</t>
  </si>
  <si>
    <t>LINESTRING (11.276127466079698 60.6968516304554, 11.274984446847807 60.69999864052957, 11.271937586492612 60.702559900949026)</t>
  </si>
  <si>
    <t>[238696, 238704]</t>
  </si>
  <si>
    <t>[241282, 229327]</t>
  </si>
  <si>
    <t>[229304, 241282]</t>
  </si>
  <si>
    <t>[0.004, 0.003]</t>
  </si>
  <si>
    <t>679.9922578272456</t>
  </si>
  <si>
    <t>[-0.0, 0.0, 0.148, -0.02]</t>
  </si>
  <si>
    <t>LINESTRING (11.271937586492612 60.702559900949026, 11.272096506996707 60.70242512633709, 11.271410904141046 60.701576389229714, 11.271397195437716 60.70162123615125, 11.27139495271559 60.702056995166075)</t>
  </si>
  <si>
    <t>[223535, 223527, 1146074, 1146098]</t>
  </si>
  <si>
    <t>[229320, 229321, 1081877, 229931]</t>
  </si>
  <si>
    <t>[229327, 229320, 229321, 1081877]</t>
  </si>
  <si>
    <t>[0.0, 0.0, 0.148, 0.02]</t>
  </si>
  <si>
    <t>451.14769809004343</t>
  </si>
  <si>
    <t>[0.0, 0.002, 0.011, 0.007, 0.009, 0.015, 0.016, 0.004]</t>
  </si>
  <si>
    <t>[0, 0, 0, 1, 0, 0, 1, 0]</t>
  </si>
  <si>
    <t>LINESTRING (11.271937586492612 60.702559900949026, 11.270160047699674 60.70345792194491, 11.265716652549376 60.705226253182715, 11.251035466253445 60.71187388152205, 11.250745270442941 60.712098732639134, 11.246372684457368 60.71518117809183, 11.246087864718149 60.71533777854092, 11.24580262553573 60.71549291954791, 11.236446728959015 60.72021109172185)</t>
  </si>
  <si>
    <t>[238712, 362772, 362780, 363068, 363076, 363084, 363100, 362812]</t>
  </si>
  <si>
    <t>[241295, 351205, 351211, 351465, 351474, 351484, 351243, 351244]</t>
  </si>
  <si>
    <t>0.007319879990768895</t>
  </si>
  <si>
    <t>[229327, 241295, 351205, 351211, 351465, 351474, 351484, 351243]</t>
  </si>
  <si>
    <t>2778.858794571213</t>
  </si>
  <si>
    <t>[0.041, 0.038]</t>
  </si>
  <si>
    <t>LINESTRING (11.277006101439873 60.691079218105514, 11.276439258860595 60.69103793849908, 11.27635594207376 60.69103587187243)</t>
  </si>
  <si>
    <t>[223575, 223583]</t>
  </si>
  <si>
    <t>[229358, 229365]</t>
  </si>
  <si>
    <t>0.04061877192052634</t>
  </si>
  <si>
    <t>[229357, 229358]</t>
  </si>
  <si>
    <t>35.86896858284001</t>
  </si>
  <si>
    <t>[0.04, 0.039]</t>
  </si>
  <si>
    <t>LINESTRING (11.277006101439873 60.691079218105514, 11.276498771094023 60.690954404096, 11.276428026542035 60.69093415362348)</t>
  </si>
  <si>
    <t>[223615, 223623]</t>
  </si>
  <si>
    <t>[229393, 229402]</t>
  </si>
  <si>
    <t>0.03987388100264287</t>
  </si>
  <si>
    <t>[229357, 229393]</t>
  </si>
  <si>
    <t>35.48918359895907</t>
  </si>
  <si>
    <t>[0.027, 0.033, 0.034, 0.038]</t>
  </si>
  <si>
    <t>[0, 1, 0, 1]</t>
  </si>
  <si>
    <t>LINESTRING (11.279277582540853 60.69151513313319, 11.279017570699855 60.69139999136616, 11.278123766796613 60.69125623095587, 11.27782170605773 60.691208443366506, 11.277006101439873 60.691079218105514)</t>
  </si>
  <si>
    <t>[238816, 238824, 238832, 238840]</t>
  </si>
  <si>
    <t>[241366, 241372, 241377, 229357]</t>
  </si>
  <si>
    <t>0.033985094874823873</t>
  </si>
  <si>
    <t>[241303, 241366, 241372, 241377]</t>
  </si>
  <si>
    <t>135.2761107116931</t>
  </si>
  <si>
    <t>0.037</t>
  </si>
  <si>
    <t>18.54308498457479</t>
  </si>
  <si>
    <t>[-0.008, 0.012]</t>
  </si>
  <si>
    <t>LINESTRING (11.276428026542035 60.69093415362348, 11.276417109525333 60.690985711862616, 11.27635594207376 60.69103587187243)</t>
  </si>
  <si>
    <t>[238800, 238808]</t>
  </si>
  <si>
    <t>[241354, 229365]</t>
  </si>
  <si>
    <t>0.002599108081731378</t>
  </si>
  <si>
    <t>[229402, 241354]</t>
  </si>
  <si>
    <t>[0.008, 0.012]</t>
  </si>
  <si>
    <t>12.288863127378532</t>
  </si>
  <si>
    <t>0.034</t>
  </si>
  <si>
    <t>19.09181064162416</t>
  </si>
  <si>
    <t>[-0.002, -0.0, 0.001]</t>
  </si>
  <si>
    <t>LINESTRING (11.275265924399918 60.7000653915949, 11.272147280787465 60.70266829681039, 11.270364875024631 60.703573177828545, 11.26593196984053 60.70533121139983)</t>
  </si>
  <si>
    <t>[224293, 224301, 363244]</t>
  </si>
  <si>
    <t>[229870, 229873, 351513]</t>
  </si>
  <si>
    <t>[229866, 229870, 229873]</t>
  </si>
  <si>
    <t>[0.002, 0.0, 0.001]</t>
  </si>
  <si>
    <t>789.7527808089939</t>
  </si>
  <si>
    <t>[-0.017, -0.004, -0.003]</t>
  </si>
  <si>
    <t>LINESTRING (11.276696234918125 60.695258115424295, 11.276515419576938 60.69684860030388, 11.276498587475785 60.69696073632383, 11.275265924399918 60.7000653915949)</t>
  </si>
  <si>
    <t>[239246, 223519, 224285]</t>
  </si>
  <si>
    <t>[229313, 229314, 229866]</t>
  </si>
  <si>
    <t>[241317, 229313, 229314]</t>
  </si>
  <si>
    <t>[0.017, 0.004, 0.003]</t>
  </si>
  <si>
    <t>543.8394457624298</t>
  </si>
  <si>
    <t>[0.0, 0.0, -0.002, -0.001, 0.011]</t>
  </si>
  <si>
    <t>LINESTRING (11.276483798670363 60.705228082525586, 11.276217751594327 60.70510496773805, 11.27614648865508 60.705071984999904, 11.271594052433924 60.7036295495269, 11.266632021004668 60.7051147058486, 11.26593196984053 60.70533121139983)</t>
  </si>
  <si>
    <t>[224341, 224349, 224357, 362220, 363252]</t>
  </si>
  <si>
    <t>[229906, 229915, 229924, 350695, 351513]</t>
  </si>
  <si>
    <t>[229905, 229906, 229915, 229924, 350695]</t>
  </si>
  <si>
    <t>[0.0, 0.0, 0.002, 0.001, 0.011]</t>
  </si>
  <si>
    <t>702.0547160711304</t>
  </si>
  <si>
    <t>[0.0, 0.004, 0.002]</t>
  </si>
  <si>
    <t>LINESTRING (11.27139495271559 60.702056995166075, 11.271636441934422 60.70241938622632, 11.2721419451115 60.7028709226636, 11.276483798670363 60.705228082525586)</t>
  </si>
  <si>
    <t>[224365, 224373, 224381]</t>
  </si>
  <si>
    <t>[229932, 229938, 229905]</t>
  </si>
  <si>
    <t>0.00206573228766873</t>
  </si>
  <si>
    <t>[229931, 229932, 229938]</t>
  </si>
  <si>
    <t>454.107918935562</t>
  </si>
  <si>
    <t>0.019</t>
  </si>
  <si>
    <t>49.42505594790415</t>
  </si>
  <si>
    <t>10.809078384134828</t>
  </si>
  <si>
    <t>[0.007, 0.02, 0.016, 0.019]</t>
  </si>
  <si>
    <t>LINESTRING (11.415808087063859 63.96902302233082, 11.415791211133728 63.96899689921507, 11.415704134713863 63.96874032080211, 11.414606396141995 63.96651412432363, 11.414561945542156 63.96642063291896)</t>
  </si>
  <si>
    <t>[226160, 226168, 226176, 226272]</t>
  </si>
  <si>
    <t>[231305, 231297, 231321, 231399]</t>
  </si>
  <si>
    <t>0.016403430850579225</t>
  </si>
  <si>
    <t>[231304, 231305, 231297, 231321]</t>
  </si>
  <si>
    <t>298.3649388781258</t>
  </si>
  <si>
    <t>[-0.023, 0.037]</t>
  </si>
  <si>
    <t>LINESTRING (11.415885636922601 63.96914310939547, 11.415713755329863 63.96910579399159, 11.415808087063859 63.96902302233082)</t>
  </si>
  <si>
    <t>[857224, 857200]</t>
  </si>
  <si>
    <t>[231288, 231304]</t>
  </si>
  <si>
    <t>0.008717167358721908</t>
  </si>
  <si>
    <t>[231375, 231288]</t>
  </si>
  <si>
    <t>[0.023, 0.037]</t>
  </si>
  <si>
    <t>21.44223655253443</t>
  </si>
  <si>
    <t>10.310285873997113</t>
  </si>
  <si>
    <t>[-0.009, -0.009, 0.003]</t>
  </si>
  <si>
    <t>LINESTRING (11.417054869436562 63.96898280064724, 11.417073932981928 63.96901116998776, 11.417567058288826 63.970231780468644, 11.417614969024418 63.97032344237337)</t>
  </si>
  <si>
    <t>[226184, 226192, 226208]</t>
  </si>
  <si>
    <t>[231329, 231336, 231348]</t>
  </si>
  <si>
    <t>[231328, 231329, 231336]</t>
  </si>
  <si>
    <t>[0.009, 0.009, 0.003]</t>
  </si>
  <si>
    <t>152.48249257905073</t>
  </si>
  <si>
    <t>10.900587879101892</t>
  </si>
  <si>
    <t>[0.017, 0.002, -0.007, -0.009, -0.014, -0.004, 0.003, 0.017, 0.015, 0.156, -0.004, -0.002, -0.009, -0.07, -0.062, -0.054, 0.011, 0.012]</t>
  </si>
  <si>
    <t>[0, 0, 0, 1, 0, 0, 0, 0, 0, 1, 0, 0, 0, 0, 0, 0, 0, 0]</t>
  </si>
  <si>
    <t>LINESTRING (11.417614969024418 63.97032344237337, 11.418168443128824 63.97090157860266, 11.423886724997518 63.97591386934326, 11.42467881095305 63.9768759976361, 11.424705577242783 63.97691797003198, 11.425000367095123 63.97740361039068, 11.427684975567802 63.98105401162561, 11.433258500758022 63.98357485111237, 11.434803032628398 63.983982977170434, 11.435979024757176 63.98428367971127, 11.436034529704347 63.98429842244347, 11.436576844156074 63.9844589587288, 11.456849406989008 63.99247646354238, 11.460912371182276 63.99444050805309, 11.461449517639833 63.99485365381928, 11.461847933435548 63.99510375684046, 11.462257407178283 63.99532249367844, 11.463626178030662 63.99586872459702, 11.46364248685445 63.99587408174853)</t>
  </si>
  <si>
    <t>[857288, 857296, 857304, 857312, 857328, 1398352, 1398360, 1398368, 1398376, 1398384, 587920, 587928, 587936, 587944, 587952, 587968, 587976, 587984]</t>
  </si>
  <si>
    <t>[831038, 831046, 831054, 831059, 831072, 1280502, 1280506, 1280509, 1280515, 593326, 593327, 593337, 593348, 593356, 593362, 593376, 593384, 593071]</t>
  </si>
  <si>
    <t>[231348, 831038, 831046, 831054, 831059, 831072, 1280502, 1280506, 1280509, 1280515, 593326, 593327, 593337, 593348, 593356, 593362, 593376, 593384]</t>
  </si>
  <si>
    <t>[0.017, 0.002, 0.007, 0.009, 0.014, 0.004, 0.003, 0.017, 0.015, 0.156, 0.004, 0.002, 0.009, 0.07, 0.062, 0.054, 0.011, 0.012]</t>
  </si>
  <si>
    <t>3738.027810483892</t>
  </si>
  <si>
    <t>389.4158695119022</t>
  </si>
  <si>
    <t>[-0.01, -0.005, 0.005, 0.022]</t>
  </si>
  <si>
    <t>LINESTRING (11.417464318524896 63.970351165374154, 11.417346634197497 63.97026849749863, 11.41611283553224 63.969363322998284, 11.415903770219678 63.969167718194896, 11.415885636922601 63.96914310939547)</t>
  </si>
  <si>
    <t>[226216, 226224, 226232, 226240]</t>
  </si>
  <si>
    <t>[231357, 231343, 231370, 231375]</t>
  </si>
  <si>
    <t>[231356, 231357, 231343, 231370]</t>
  </si>
  <si>
    <t>[0.01, 0.005, 0.005, 0.022]</t>
  </si>
  <si>
    <t>155.57051695788934</t>
  </si>
  <si>
    <t>[0.014, 0.002, -0.005, -0.008, -0.014, -0.003, -0.077, 0.003, 0.085, 0.017, 0.014, 0.049, 0.011, -0.004, -0.004, -0.07, -0.065, -0.049]</t>
  </si>
  <si>
    <t>[0, 0, 0, 1, 0, 0, 0, 0, 0, 0, 0, 1, 0, 0, 0, 0, 0, 0]</t>
  </si>
  <si>
    <t>LINESTRING (11.417464318524896 63.970351165374154, 11.418017896281471 63.97092943057571, 11.423730951353496 63.975936369517825, 11.424523962222606 63.976896185511166, 11.424551716089718 63.97693811042128, 11.424841233528722 63.97741985646029, 11.427547751874055 63.98109299337499, 11.427551994213074 63.98109597305425, 11.433144402351706 63.9836276866396, 11.433155405950968 63.983630913344044, 11.434709203149936 63.984042116484744, 11.435905243817558 63.984348128437944, 11.435959570487645 63.98436409111059, 11.436501807371135 63.98452363743179, 11.456731983925906 63.99252831977832, 11.460785400552025 63.99448856770144, 11.461323739618408 63.994900368412985, 11.46172220369894 63.995149763183505, 11.462148362721381 63.99537702048201)</t>
  </si>
  <si>
    <t>[857360, 857368, 857376, 857392, 857400, 1398392, 1398400, 1398408, 1398416, 1398424, 1398426, 1398434, 587880, 587888, 587896, 587904, 587912, 587960]</t>
  </si>
  <si>
    <t>[831094, 831102, 831109, 831119, 831126, 1280522, 1187183, 1187177, 1280533, 1280535, 1280536, 593287, 593288, 593296, 593303, 593311, 593320, 593078]</t>
  </si>
  <si>
    <t>[231356, 831094, 831102, 831109, 831119, 831126, 1280522, 1187183, 1187177, 1280533, 1280535, 1280536, 593287, 593288, 593296, 593303, 593311, 593320]</t>
  </si>
  <si>
    <t>[0.014, 0.002, 0.005, 0.008, 0.014, 0.003, 0.077, 0.003, 0.085, 0.017, 0.014, 0.049, 0.011, 0.004, 0.004, 0.07, 0.065, 0.049]</t>
  </si>
  <si>
    <t>3650.01146642775</t>
  </si>
  <si>
    <t>[-0.005, -0.011]</t>
  </si>
  <si>
    <t>LINESTRING (11.414561945542156 63.96642063291896, 11.415104588051571 63.96701634169089, 11.417464318524896 63.970351165374154)</t>
  </si>
  <si>
    <t>[857344, 857352]</t>
  </si>
  <si>
    <t>[831084, 231356]</t>
  </si>
  <si>
    <t>[231399, 831084]</t>
  </si>
  <si>
    <t>[0.005, 0.011]</t>
  </si>
  <si>
    <t>461.6239480416486</t>
  </si>
  <si>
    <t>0.032</t>
  </si>
  <si>
    <t>10.557926897750242</t>
  </si>
  <si>
    <t>[0.022, -0.012, -0.005]</t>
  </si>
  <si>
    <t>LINESTRING (11.415203362561389 63.96700307065505, 11.415268401862122 63.96703672865594, 11.416952418624325 63.96883438928971, 11.416977286085771 63.96886166223516)</t>
  </si>
  <si>
    <t>[226248, 226256, 226264]</t>
  </si>
  <si>
    <t>[231382, 231387, 231392]</t>
  </si>
  <si>
    <t>[231381, 231382, 231387]</t>
  </si>
  <si>
    <t>[0.022, 0.012, 0.005]</t>
  </si>
  <si>
    <t>225.85557782481794</t>
  </si>
  <si>
    <t>[-0.0, -0.006, 0.002, 0.003, -0.007, 0.002]</t>
  </si>
  <si>
    <t>LINESTRING (11.42037727833619 63.94132198760059, 11.419103068459586 63.944859267830765, 11.418817325861617 63.945347628349886, 11.414908089293387 63.954393633987145, 11.412531467750265 63.9633674727337, 11.414682559172624 63.966409870323346, 11.415203362561389 63.96700307065505)</t>
  </si>
  <si>
    <t>[2147831, 2147839, 2147847, 2147855, 857264, 857272]</t>
  </si>
  <si>
    <t>[1842900, 1842907, 1842912, 831018, 831019, 231381]</t>
  </si>
  <si>
    <t>0.0008194427341922451</t>
  </si>
  <si>
    <t>[630261, 1842900, 1842907, 1842912, 831018, 831019]</t>
  </si>
  <si>
    <t>[0.0, 0.006, 0.002, 0.003, 0.007, 0.002]</t>
  </si>
  <si>
    <t>2921.9178741510095</t>
  </si>
  <si>
    <t>10.445141627340757</t>
  </si>
  <si>
    <t>11.175123955168061</t>
  </si>
  <si>
    <t>[-0.001, -0.006, 0.002, 0.004, -0.006]</t>
  </si>
  <si>
    <t>10492.0</t>
  </si>
  <si>
    <t>LINESTRING (11.42037727833619 63.94132198760059, 11.418982478965734 63.94485300660503, 11.41867405310742 63.945338685569354, 11.414753907428109 63.954413196811565, 11.412415443758114 63.96337314469058, 11.414561945542156 63.96642063291896)</t>
  </si>
  <si>
    <t>[2147799, 2147807, 2147815, 2147823, 857336]</t>
  </si>
  <si>
    <t>[1842879, 1842883, 1842889, 831079, 231399]</t>
  </si>
  <si>
    <t>0.0011270842758859558</t>
  </si>
  <si>
    <t>[630261, 1842879, 1842883, 1842889, 831079]</t>
  </si>
  <si>
    <t>[0.001, 0.006, 0.002, 0.004, 0.006]</t>
  </si>
  <si>
    <t>2853.0413980859357</t>
  </si>
  <si>
    <t>[0.005, 0.003, 0.01, 0.031, 0.013, -0.012, -0.032, 0.028]</t>
  </si>
  <si>
    <t>LINESTRING (10.65464119248814 60.93049546907854, 10.654597987950156 60.93061058675306, 10.654420993674547 60.93110839968049, 10.65394464983696 60.93202074561415, 10.6533176707884 60.9328569526639, 10.653118865906725 60.9330784734878, 10.651649124018066 60.93436712259188, 10.651579574302914 60.93441672840307, 10.649523937358262 60.93578452550465)</t>
  </si>
  <si>
    <t>[227789, 227797, 227805, 227813, 227821, 227829, 227837, 227845]</t>
  </si>
  <si>
    <t>[232510, 232516, 124409, 232528, 124389, 104151, 232545, 232551]</t>
  </si>
  <si>
    <t>0.011828260075257878</t>
  </si>
  <si>
    <t>[118349, 232510, 232516, 124409, 232528, 124389, 104151, 232545]</t>
  </si>
  <si>
    <t>[0.005, 0.003, 0.01, 0.031, 0.013, 0.012, 0.032, 0.028]</t>
  </si>
  <si>
    <t>660.4748313018194</t>
  </si>
  <si>
    <t>[-0.069, -0.04, 0.005]</t>
  </si>
  <si>
    <t>LINESTRING (10.654926709516397 60.929480995293616, 10.654960801800785 60.92954000345985, 10.654980959655946 60.92984843974276, 10.65464119248814 60.93049546907854)</t>
  </si>
  <si>
    <t>[247773, 247781, 247789]</t>
  </si>
  <si>
    <t>[248885, 248895, 118349]</t>
  </si>
  <si>
    <t>[248884, 248885, 248895]</t>
  </si>
  <si>
    <t>[0.069, 0.04, 0.005]</t>
  </si>
  <si>
    <t>116.77648661142996</t>
  </si>
  <si>
    <t>[0.007, 0.0, 0.017]</t>
  </si>
  <si>
    <t>LINESTRING (10.655286257615668 60.9295067319157, 10.655257003991972 60.92956012318989, 10.655104841415435 60.9298679629402, 10.65464119248814 60.93049546907854)</t>
  </si>
  <si>
    <t>[335732, 335740, 335748]</t>
  </si>
  <si>
    <t>[325053, 325061, 118349]</t>
  </si>
  <si>
    <t>0.01128705101621335</t>
  </si>
  <si>
    <t>[263021, 325053, 325061]</t>
  </si>
  <si>
    <t>115.79362123010301</t>
  </si>
  <si>
    <t>[0.036, 0.051, 0.046, 0.024, -0.149, -0.123, -0.374]</t>
  </si>
  <si>
    <t>LINESTRING (10.311473093125388 59.98143338056356, 10.311276258352327 59.9817242689857, 10.311177274692287 59.98191207438343, 10.311130548023266 59.98199520129069, 10.311094097875593 59.98205723337152, 10.310170386413851 59.98260309897789, 10.30857321974554 59.98356946484627, 10.30840693258838 59.98365631179925)</t>
  </si>
  <si>
    <t>[227839, 227847, 227855, 227863, 227871, 227879, 2158948]</t>
  </si>
  <si>
    <t>[232547, 232553, 232562, 232570, 232575, 232580, 1849142]</t>
  </si>
  <si>
    <t>[232546, 232547, 232553, 232562, 232570, 232575, 232580]</t>
  </si>
  <si>
    <t>[0.036, 0.051, 0.046, 0.024, 0.149, 0.123, 0.374]</t>
  </si>
  <si>
    <t>308.7868138216669</t>
  </si>
  <si>
    <t>24.913324065840392</t>
  </si>
  <si>
    <t>[0.029, 0.118, 0.219]</t>
  </si>
  <si>
    <t>LINESTRING (10.309185573653037 59.98301317208627, 10.309691087936544 59.982625045936935, 10.311359521383228 59.981453353871025, 10.311473093125388 59.98143338056356)</t>
  </si>
  <si>
    <t>[2158956, 227927, 227935]</t>
  </si>
  <si>
    <t>[232618, 232619, 232546]</t>
  </si>
  <si>
    <t>0.0999356249760902</t>
  </si>
  <si>
    <t>[1849176, 232618, 232619]</t>
  </si>
  <si>
    <t>219.41541256042916</t>
  </si>
  <si>
    <t>[0.011, -0.006, -0.03, -0.022]</t>
  </si>
  <si>
    <t>12551.0</t>
  </si>
  <si>
    <t>LINESTRING (10.649523937358262 60.93578452550465, 10.648178873696612 60.93677815701891, 10.634074588741905 60.951220600898075, 10.632746750903522 60.95143928993822, 10.62883802273717 60.95243928347046)</t>
  </si>
  <si>
    <t>[342803, 342811, 342988, 342996]</t>
  </si>
  <si>
    <t>[331433, 331441, 331603, 331611]</t>
  </si>
  <si>
    <t>[232551, 331433, 331441, 331603]</t>
  </si>
  <si>
    <t>[0.011, 0.006, 0.03, 0.022]</t>
  </si>
  <si>
    <t>2315.61759202227</t>
  </si>
  <si>
    <t>[0.019, -0.006, -0.03, -0.023, 0.021, 0.012, 0.007, 0.003, -0.002, 0.003]</t>
  </si>
  <si>
    <t>LINESTRING (10.649523937358262 60.93578452550465, 10.64811050835096 60.9367519725249, 10.634046428166076 60.951180734397276, 10.632720399126068 60.95140093852799, 10.628788898648486 60.952406827125216, 10.62715964046439 60.953163908043045, 10.626804582064244 60.953364203438994, 10.626509562557303 60.953550885244894, 10.625133149788152 60.95470857777224, 10.625050227044198 60.954796419689934, 10.62434971518414 60.95566986089996)</t>
  </si>
  <si>
    <t>[342819, 342827, 342835, 342843, 342852, 342860, 342868, 342876, 342884, 342892]</t>
  </si>
  <si>
    <t>[331448, 331455, 331461, 331466, 331472, 331479, 331486, 331493, 331500, 331508]</t>
  </si>
  <si>
    <t>[232551, 331448, 331455, 331461, 331466, 331472, 331479, 331486, 331493, 331500]</t>
  </si>
  <si>
    <t>[0.019, 0.006, 0.03, 0.023, 0.021, 0.012, 0.007, 0.003, 0.002, 0.003]</t>
  </si>
  <si>
    <t>2756.5756276957572</t>
  </si>
  <si>
    <t>[0.002, 0.03, -0.002, -0.0, -0.005, -0.014, -0.012, -0.002, 0.012, -0.001, -0.004, 0.002, -0.018, 0.007, -0.034]</t>
  </si>
  <si>
    <t>[0, 1, 0, 0, 0, 0, 0, 0, 0, 0, 0, 0, 1, 0, 0]</t>
  </si>
  <si>
    <t>LINESTRING (10.434424965712866 61.05347191420264, 10.431516913479982 61.058277036525325, 10.431496581935905 61.05832086306222, 10.430609751351414 61.06727809553307, 10.43059467305193 61.06844737397429, 10.430602082160334 61.068622719828596, 10.430605485732979 61.06867564238839, 10.431321437265009 61.07162022607851, 10.431547851843497 61.07388465725427, 10.430271419664008 61.07757754233703, 10.430257261111095 61.07761644312238, 10.431301716702004 61.08600614363806, 10.433912886908756 61.09242226193565, 10.433969675711966 61.092484347433505, 10.440773680430608 61.10362177162148, 10.441589615197381 61.10436923438541)</t>
  </si>
  <si>
    <t>[227853, 227861, 227869, 227877, 227885, 227893, 227901, 227909, 227917, 227925, 227933, 227941, 227949, 227957, 227965]</t>
  </si>
  <si>
    <t>[232561, 232568, 232574, 232578, 232586, 232592, 113464, 109232, 232612, 232616, 232624, 232630, 232635, 232643, 232649]</t>
  </si>
  <si>
    <t>0.0005474352795507415</t>
  </si>
  <si>
    <t>[232560, 232561, 232568, 232574, 232578, 232586, 232592, 113464, 109232, 232612, 232616, 232624, 232630, 232635, 232643]</t>
  </si>
  <si>
    <t>[0.002, 0.03, 0.002, 0.0, 0.005, 0.014, 0.012, 0.002, 0.012, 0.001, 0.004, 0.002, 0.018, 0.007, 0.034]</t>
  </si>
  <si>
    <t>5828.684659683448</t>
  </si>
  <si>
    <t>[0.007, 0.002]</t>
  </si>
  <si>
    <t>LINESTRING (10.43576984975745 61.049702981136384, 10.435666549921736 61.05011080585102, 10.434424965712866 61.05347191420264)</t>
  </si>
  <si>
    <t>[343420, 343428]</t>
  </si>
  <si>
    <t>[332034, 232560]</t>
  </si>
  <si>
    <t>0.0025359634365975936</t>
  </si>
  <si>
    <t>[332026, 332034]</t>
  </si>
  <si>
    <t>427.277061603684</t>
  </si>
  <si>
    <t>0.003</t>
  </si>
  <si>
    <t>381.2375001952602</t>
  </si>
  <si>
    <t>[-0.032, -0.037, -0.023]</t>
  </si>
  <si>
    <t>LINESTRING (10.441589615197381 61.10436923438541, 10.442231101870885 61.105065555475576, 10.442266072778338 61.10510962409928, 10.442376303768015 61.105274150357054)</t>
  </si>
  <si>
    <t>[227973, 227981, 227989]</t>
  </si>
  <si>
    <t>[232655, 232662, 232668]</t>
  </si>
  <si>
    <t>[232649, 232655, 232662]</t>
  </si>
  <si>
    <t>[0.032, 0.037, 0.023]</t>
  </si>
  <si>
    <t>109.56813669803161</t>
  </si>
  <si>
    <t>[-0.19, -0.026, -0.019, -0.02, -0.029]</t>
  </si>
  <si>
    <t>LINESTRING (10.441589615197381 61.10436923438541, 10.441693824680051 61.10443516594083, 10.442122769967314 61.10480824091491, 10.442241165042226 61.10495157690453, 10.44231540131938 61.10504472438264, 10.443233750263333 61.105572627320306)</t>
  </si>
  <si>
    <t>[264327, 264335, 264343, 264351, 264359]</t>
  </si>
  <si>
    <t>[262378, 262384, 262392, 262399, 262405]</t>
  </si>
  <si>
    <t>[232649, 262378, 262384, 262392, 262399]</t>
  </si>
  <si>
    <t>[0.19, 0.026, 0.019, 0.02, 0.029]</t>
  </si>
  <si>
    <t>167.3305467523989</t>
  </si>
  <si>
    <t>[-0.013, -0.019]</t>
  </si>
  <si>
    <t>LINESTRING (10.442376303768015 61.105274150357054, 10.442805864879015 61.10666049749545, 10.442682942298298 61.10749938157523)</t>
  </si>
  <si>
    <t>[227997, 228005]</t>
  </si>
  <si>
    <t>[232676, 232683]</t>
  </si>
  <si>
    <t>[232668, 232676]</t>
  </si>
  <si>
    <t>[0.013, 0.019]</t>
  </si>
  <si>
    <t>250.76324406288316</t>
  </si>
  <si>
    <t>[-0.016, 0.015, -0.006]</t>
  </si>
  <si>
    <t>LINESTRING (10.442075420305821 61.106968782477196, 10.442697317936934 61.10644481377126, 10.442386469442583 61.1053969418042, 10.442376303768015 61.105274150357054)</t>
  </si>
  <si>
    <t>[264383, 264391, 264399]</t>
  </si>
  <si>
    <t>[262422, 262428, 232668]</t>
  </si>
  <si>
    <t>0.0013364383631603643</t>
  </si>
  <si>
    <t>[262417, 262422, 262428]</t>
  </si>
  <si>
    <t>[0.016, 0.015, 0.006]</t>
  </si>
  <si>
    <t>219.21947387421014</t>
  </si>
  <si>
    <t>0.017</t>
  </si>
  <si>
    <t>158.09485420144597</t>
  </si>
  <si>
    <t>[0.057, -0.012, -0.014, 0.062]</t>
  </si>
  <si>
    <t>LINESTRING (10.443233750263333 61.105572627320306, 10.443055408522337 61.105598080067566, 10.442839211800163 61.10720051735594, 10.442775295960137 61.10739890168744, 10.442682942298298 61.10749938157523)</t>
  </si>
  <si>
    <t>[264407, 264415, 264423, 264431]</t>
  </si>
  <si>
    <t>[262445, 262451, 262458, 232683]</t>
  </si>
  <si>
    <t>[262405, 262445, 262451, 262458]</t>
  </si>
  <si>
    <t>[0.057, 0.012, 0.014, 0.062]</t>
  </si>
  <si>
    <t>230.85274601982755</t>
  </si>
  <si>
    <t>[-0.003, -0.002]</t>
  </si>
  <si>
    <t>17176.0</t>
  </si>
  <si>
    <t>LINESTRING (10.442405540210526 61.10891130442781, 10.44239542778718 61.10922108493394, 10.444673762684094 61.113422541283065)</t>
  </si>
  <si>
    <t>[228021, 228029]</t>
  </si>
  <si>
    <t>[232697, 232704]</t>
  </si>
  <si>
    <t>[232692, 232697]</t>
  </si>
  <si>
    <t>[0.003, 0.002]</t>
  </si>
  <si>
    <t>521.6702152822651</t>
  </si>
  <si>
    <t>[-0.0, 0.017, 0.017, 0.079, 0.069]</t>
  </si>
  <si>
    <t>LINESTRING (10.442405540210526 61.10891130442781, 10.442372934284498 61.10879720675149, 10.442487037201698 61.10796120834195, 10.442556436952142 61.10727999772589, 10.442168623586968 61.1070464102245, 10.442075420305821 61.106968782477196)</t>
  </si>
  <si>
    <t>[264439, 264447, 264455, 264463, 264471]</t>
  </si>
  <si>
    <t>[262470, 262477, 262483, 262490, 262417]</t>
  </si>
  <si>
    <t>0.027584479382214797</t>
  </si>
  <si>
    <t>[232692, 262470, 262477, 262483, 262490]</t>
  </si>
  <si>
    <t>[0.0, 0.017, 0.017, 0.079, 0.069]</t>
  </si>
  <si>
    <t>226.37763919579012</t>
  </si>
  <si>
    <t>[1, 0]</t>
  </si>
  <si>
    <t>LINESTRING (10.444673762684094 61.113422541283065, 10.445090231326276 61.11400233405058, 10.445111366078116 61.114032364292534)</t>
  </si>
  <si>
    <t>[228037, 228045]</t>
  </si>
  <si>
    <t>[232710, 232716]</t>
  </si>
  <si>
    <t>[232704, 232710]</t>
  </si>
  <si>
    <t>71.95668980557323</t>
  </si>
  <si>
    <t>[0, 0, 1, 1]</t>
  </si>
  <si>
    <t>LINESTRING (10.444652015264545 61.11583109587719, 10.44477780123434 61.11575800198268, 10.445004383403013 61.113993141675685, 10.444710101983912 61.11354615270196, 10.444673762684094 61.113422541283065)</t>
  </si>
  <si>
    <t>[264583, 264591, 264599, 264607]</t>
  </si>
  <si>
    <t>[262601, 262610, 262618, 232704]</t>
  </si>
  <si>
    <t>[262588, 262601, 262610, 262618]</t>
  </si>
  <si>
    <t>293.0457951836296</t>
  </si>
  <si>
    <t>[0.0, 0.0, 0.0, 0.004, 0.031]</t>
  </si>
  <si>
    <t>[0, 1, 1, 1, 0]</t>
  </si>
  <si>
    <t>LINESTRING (10.445111366078116 61.114032364292534, 10.44595986337115 61.116299247225584, 10.446009809376754 61.11661787914407, 10.446023369176327 61.1167307752134, 10.446047659430478 61.116978387638106, 10.44606841885268 61.117590912762694)</t>
  </si>
  <si>
    <t>[228053, 228061, 228070, 228078, 228086]</t>
  </si>
  <si>
    <t>[232725, 232730, 232739, 232745, 232751]</t>
  </si>
  <si>
    <t>0.005547807023790631</t>
  </si>
  <si>
    <t>[232716, 232725, 232730, 232739, 232745]</t>
  </si>
  <si>
    <t>401.4937755984887</t>
  </si>
  <si>
    <t>LINESTRING (10.445111366078116 61.114032364292534, 10.445221534259924 61.11413716287506, 10.446973946070083 61.11621610189467, 10.44705890383515 61.11625215166119)</t>
  </si>
  <si>
    <t>[264519, 264527, 336548]</t>
  </si>
  <si>
    <t>[262543, 262551, 325618]</t>
  </si>
  <si>
    <t>[232716, 262543, 262551]</t>
  </si>
  <si>
    <t>283.3733764869182</t>
  </si>
  <si>
    <t>269.06414202238585</t>
  </si>
  <si>
    <t>[-0.21, 0.0, 0.0, 0.0, 0.0]</t>
  </si>
  <si>
    <t>[0, 0, 1, 1, 0]</t>
  </si>
  <si>
    <t>LINESTRING (10.44606841885268 61.117590912762694, 10.44600999181422 61.117500145318516, 10.445964707383089 61.11697612840318, 10.445908172065806 61.11662261540563, 10.445853884151267 61.11630161566906, 10.444652015264545 61.11583109587719)</t>
  </si>
  <si>
    <t>[264535, 264543, 264551, 264559, 264567]</t>
  </si>
  <si>
    <t>[262558, 262565, 262572, 262580, 262588]</t>
  </si>
  <si>
    <t>[232751, 262558, 262565, 262572, 262580]</t>
  </si>
  <si>
    <t>[0.21, 0.0, 0.0, 0.0, 0.0]</t>
  </si>
  <si>
    <t>247.37469601958693</t>
  </si>
  <si>
    <t>[0.057, 0.008, 0.01, 0.03, 0.01]</t>
  </si>
  <si>
    <t>16217.0</t>
  </si>
  <si>
    <t>[0, 0, 0, 1, 0]</t>
  </si>
  <si>
    <t>LINESTRING (10.445417915875813 61.11997845728321, 10.444538273214086 61.1212267951469, 10.442737293802416 61.12293131008879, 10.436975232291719 61.12728046257777, 10.436706739745762 61.12747076181259, 10.435739713823526 61.128144371865226)</t>
  </si>
  <si>
    <t>[228102, 228111, 228120, 228128, 228136]</t>
  </si>
  <si>
    <t>[232766, 232775, 232784, 232792, 232800]</t>
  </si>
  <si>
    <t>0.016644743411178012</t>
  </si>
  <si>
    <t>[232760, 232766, 232775, 232784, 232792]</t>
  </si>
  <si>
    <t>1053.4153482419165</t>
  </si>
  <si>
    <t>[0.0, 0.0, 0.0, 0.018, 0.04]</t>
  </si>
  <si>
    <t>LINESTRING (10.4470890711121 61.11632529249821, 10.447052942369083 61.116364451988375, 10.446493967857421 61.11658486077965, 10.446259266919244 61.11695728928047, 10.445523890979505 61.119865970349416, 10.445417915875813 61.11997845728321)</t>
  </si>
  <si>
    <t>[336564, 264615, 264623, 264631, 264639]</t>
  </si>
  <si>
    <t>[262632, 262633, 262639, 262647, 232760]</t>
  </si>
  <si>
    <t>0.015027275268485232</t>
  </si>
  <si>
    <t>[249363, 262632, 262633, 262639, 262647]</t>
  </si>
  <si>
    <t>428.65981515036265</t>
  </si>
  <si>
    <t>[-0.004, 0.051]</t>
  </si>
  <si>
    <t>LINESTRING (10.435739713823526 61.128144371865226, 10.431231866699907 61.13112952250748, 10.431133659270243 61.131191299652016)</t>
  </si>
  <si>
    <t>[228144, 228152]</t>
  </si>
  <si>
    <t>[232808, 232815]</t>
  </si>
  <si>
    <t>[232800, 232808]</t>
  </si>
  <si>
    <t>[0.004, 0.051]</t>
  </si>
  <si>
    <t>420.7404663047534</t>
  </si>
  <si>
    <t>[0.023, -0.031, 0.036, 0.134]</t>
  </si>
  <si>
    <t>LINESTRING (10.435739713823526 61.128144371865226, 10.43566843495182 61.1282319908631, 10.434334956666792 61.1291977142434, 10.432888921978485 61.131154865957754, 10.432922485940487 61.1311897340936)</t>
  </si>
  <si>
    <t>[264647, 264655, 264663, 264671]</t>
  </si>
  <si>
    <t>[262657, 262665, 262673, 262680]</t>
  </si>
  <si>
    <t>0.01413065776667237</t>
  </si>
  <si>
    <t>[232800, 262657, 262665, 262673]</t>
  </si>
  <si>
    <t>[0.023, 0.031, 0.036, 0.134]</t>
  </si>
  <si>
    <t>384.320961864946</t>
  </si>
  <si>
    <t>[-0.061, -0.086, -0.067, -0.009, -0.011, 0.006, 0.02, 0.013, 0.0, -0.003, -0.004, -0.003]</t>
  </si>
  <si>
    <t>LINESTRING (10.272390570133279 60.18203007133583, 10.273466231978228 60.182288343497184, 10.274648913322425 60.18257153939326, 10.276976743575066 60.183127455543705, 10.28003339427756 60.183857427902595, 10.28049555387786 60.18397044477571, 10.281760965063244 60.18442451490983, 10.283152918128005 60.18571673438335, 10.28378955047386 60.18684673693548, 10.28391181109966 60.187295420686965, 10.283973090663855 60.18755655507847, 10.284011756342673 60.18773149909692, 10.284254590127947 60.18894368287182)</t>
  </si>
  <si>
    <t>[453465, 453473, 453481, 453489, 453497, 453505, 453513, 453521, 453529, 453537, 453545, 453553]</t>
  </si>
  <si>
    <t>[452053, 452062, 452074, 452082, 452092, 452098, 452107, 452114, 452123, 452133, 452139, 452144]</t>
  </si>
  <si>
    <t>[232802, 452053, 452062, 452074, 452082, 452092, 452098, 452107, 452114, 452123, 452133, 452139]</t>
  </si>
  <si>
    <t>[0.061, 0.086, 0.067, 0.009, 0.011, 0.006, 0.02, 0.013, 0.0, 0.003, 0.004, 0.003]</t>
  </si>
  <si>
    <t>1116.6153645718034</t>
  </si>
  <si>
    <t>[-0.099, -0.106, -0.063]</t>
  </si>
  <si>
    <t>LINESTRING (10.271882912635544 60.182041690745095, 10.271911948214703 60.181963243901066, 10.271966894582533 60.18195964913055, 10.272390570133279 60.18203007133583)</t>
  </si>
  <si>
    <t>[1835492, 228130, 228138]</t>
  </si>
  <si>
    <t>[232794, 232795, 232802]</t>
  </si>
  <si>
    <t>[453418, 232794, 232795]</t>
  </si>
  <si>
    <t>[0.099, 0.106, 0.063]</t>
  </si>
  <si>
    <t>37.085389275229886</t>
  </si>
  <si>
    <t>[-0.073, -0.084, -0.1]</t>
  </si>
  <si>
    <t>LINESTRING (10.271882912635544 60.182041690745095, 10.271995567252688 60.182061961253574, 10.272017836615861 60.18205629910465, 10.272390570133279 60.18203007133583)</t>
  </si>
  <si>
    <t>[1835500, 1375489, 1375497]</t>
  </si>
  <si>
    <t>[1267258, 1267259, 232802]</t>
  </si>
  <si>
    <t>[453418, 1267258, 1267259]</t>
  </si>
  <si>
    <t>[0.073, 0.084, 0.1]</t>
  </si>
  <si>
    <t>29.871245213730877</t>
  </si>
  <si>
    <t>[0.048, 0.032]</t>
  </si>
  <si>
    <t>LINESTRING (10.431133659270243 61.131191299652016, 10.429861896339293 61.13199398827642, 10.427433868202636 61.1335242865912)</t>
  </si>
  <si>
    <t>[228160, 228168]</t>
  </si>
  <si>
    <t>[232823, 232828]</t>
  </si>
  <si>
    <t>0.037503110983547826</t>
  </si>
  <si>
    <t>[232815, 232823]</t>
  </si>
  <si>
    <t>327.7166485455871</t>
  </si>
  <si>
    <t>[0.091, -0.011, -0.031]</t>
  </si>
  <si>
    <t>LINESTRING (10.428868480297481 61.132030800912865, 10.428876973230908 61.13208774456432, 10.430981011591404 61.13123537972711, 10.431133659270243 61.131191299652016)</t>
  </si>
  <si>
    <t>[264719, 264727, 264735]</t>
  </si>
  <si>
    <t>[262727, 262733, 232815]</t>
  </si>
  <si>
    <t>[262698, 262727, 262733]</t>
  </si>
  <si>
    <t>[0.091, 0.011, 0.031]</t>
  </si>
  <si>
    <t>193.6617562537332</t>
  </si>
  <si>
    <t>0.012</t>
  </si>
  <si>
    <t>96.82460138823134</t>
  </si>
  <si>
    <t>[0.044, -0.061]</t>
  </si>
  <si>
    <t>LINESTRING (10.427433868202636 61.1335242865912, 10.427465635160171 61.13345995600586, 10.428868480297481 61.132030800912865)</t>
  </si>
  <si>
    <t>[264679, 264687]</t>
  </si>
  <si>
    <t>[262688, 262698]</t>
  </si>
  <si>
    <t>[232828, 262688]</t>
  </si>
  <si>
    <t>[0.044, 0.061]</t>
  </si>
  <si>
    <t>186.66043026181163</t>
  </si>
  <si>
    <t>[0.016, 0.001]</t>
  </si>
  <si>
    <t>13701.0</t>
  </si>
  <si>
    <t>LINESTRING (10.426344437989373 61.134214952351044, 10.425265081938784 61.13489236322738, 10.415216340628987 61.144554610651)</t>
  </si>
  <si>
    <t>[228184, 228192]</t>
  </si>
  <si>
    <t>[232839, 232847]</t>
  </si>
  <si>
    <t>0.002089230663267212</t>
  </si>
  <si>
    <t>[232834, 232839]</t>
  </si>
  <si>
    <t>1312.682027972419</t>
  </si>
  <si>
    <t>[0.003, -0.005, 0.003, -0.052]</t>
  </si>
  <si>
    <t>LINESTRING (10.433127310146803 61.131524817256015, 10.433052796585649 61.131562567491585, 10.43124323593446 61.13216064199029, 10.426517560602507 61.13414998725335, 10.426344437989373 61.134214952351044)</t>
  </si>
  <si>
    <t>[264743, 264751, 264759, 264767]</t>
  </si>
  <si>
    <t>[262745, 262751, 262757, 232834]</t>
  </si>
  <si>
    <t>[262744, 262745, 262751, 262757]</t>
  </si>
  <si>
    <t>[0.003, 0.005, 0.003, 0.052]</t>
  </si>
  <si>
    <t>488.75167556485803</t>
  </si>
  <si>
    <t>49.38523873597254</t>
  </si>
  <si>
    <t>[0.0, -0.006, -0.031, -0.013, -0.003]</t>
  </si>
  <si>
    <t>LINESTRING (10.415216340628987 61.144554610651, 10.415255854973449 61.14462365229839, 10.414820380537883 61.14558462178347, 10.414732495102193 61.14592562491314, 10.415371434816283 61.146495815294095, 10.415456412833526 61.146512450394326)</t>
  </si>
  <si>
    <t>[264775, 264783, 334018, 334026, 334034]</t>
  </si>
  <si>
    <t>[262767, 262770, 323552, 323559, 323129]</t>
  </si>
  <si>
    <t>[232847, 262767, 262770, 323552, 323559]</t>
  </si>
  <si>
    <t>[0.0, 0.006, 0.031, 0.013, 0.003]</t>
  </si>
  <si>
    <t>236.73226787847878</t>
  </si>
  <si>
    <t>[-0.018, -0.046, -0.046, -0.042, -0.034]</t>
  </si>
  <si>
    <t>[0, 1, 1, 0, 0]</t>
  </si>
  <si>
    <t>LINESTRING (10.41499631199189 61.14498469214091, 10.414183777684032 61.14788817978455, 10.414243292606642 61.14810267207714, 10.414323677241976 61.14831722539272, 10.414575780980464 61.148777032528955, 10.41504165660494 61.14938386697658)</t>
  </si>
  <si>
    <t>[228208, 228216, 228224, 228232, 228240]</t>
  </si>
  <si>
    <t>[232864, 232871, 232877, 232884, 232890]</t>
  </si>
  <si>
    <t>[232855, 232864, 232871, 232877, 232884]</t>
  </si>
  <si>
    <t>[0.018, 0.046, 0.046, 0.042, 0.034]</t>
  </si>
  <si>
    <t>501.8698612999385</t>
  </si>
  <si>
    <t>[0.054, 0.054, 0.058, 0.008, -0.039]</t>
  </si>
  <si>
    <t>LINESTRING (10.413294405427731 61.14841888097667, 10.41326439819455 61.14838184444314, 10.413200776011832 61.1482540048022, 10.41390011499256 61.147412848020096, 10.414892625305205 61.145061876232965, 10.41499631199189 61.14498469214091)</t>
  </si>
  <si>
    <t>[333994, 334002, 334010, 264791, 264799]</t>
  </si>
  <si>
    <t>[323533, 323540, 262775, 262776, 232855]</t>
  </si>
  <si>
    <t>0.021908766974121287</t>
  </si>
  <si>
    <t>[323325, 323533, 323540, 262775, 262776]</t>
  </si>
  <si>
    <t>[0.054, 0.054, 0.058, 0.008, 0.039]</t>
  </si>
  <si>
    <t>401.0286797471284</t>
  </si>
  <si>
    <t>0.076</t>
  </si>
  <si>
    <t>223.54023735465316</t>
  </si>
  <si>
    <t>[0.003, 0.006, -0.003, -0.042, -0.045, -0.049, -0.035]</t>
  </si>
  <si>
    <t>[0, 0, 0, 0, 1, 0, 0]</t>
  </si>
  <si>
    <t>LINESTRING (10.415270465429057 61.14683942320015, 10.415171974972024 61.14682690679176, 10.414305622048952 61.14712160604063, 10.414253613617143 61.147384687695286, 10.41429511831279 61.14786722906622, 10.414407231257943 61.148235257063895, 10.415004878923199 61.14926997070744, 10.41504165660494 61.14938386697658)</t>
  </si>
  <si>
    <t>[333898, 333906, 333914, 264847, 264855, 264863, 264871]</t>
  </si>
  <si>
    <t>[323460, 323468, 262818, 262819, 262824, 262829, 232890]</t>
  </si>
  <si>
    <t>[323217, 323460, 323468, 262818, 262819, 262824, 262829]</t>
  </si>
  <si>
    <t>[0.003, 0.006, 0.003, 0.042, 0.045, 0.049, 0.035]</t>
  </si>
  <si>
    <t>328.44836585416556</t>
  </si>
  <si>
    <t>[0.094, 0.045, 0.013, 0.074, -0.009, 0.003, -0.064, -0.013, -0.004]</t>
  </si>
  <si>
    <t>9667.0</t>
  </si>
  <si>
    <t>[1, 0, 0, 1, 0, 0, 0, 0, 0]</t>
  </si>
  <si>
    <t>LINESTRING (10.416259846213336 61.15129195001145, 10.416277132095876 61.151435527051724, 10.409779196270787 61.15764959422972, 10.40920276667598 61.16163181558096, 10.409207880705218 61.16167327691708, 10.40862093904915 61.16487680170777, 10.419063444452796 61.18302350372837, 10.41607858780277 61.18857554947685, 10.416001591533174 61.18874613656719, 10.415799106721497 61.1891940060786)</t>
  </si>
  <si>
    <t>[228256, 228264, 228272, 228280, 228288, 228296, 228304, 228312, 228320]</t>
  </si>
  <si>
    <t>[232906, 232915, 232923, 232929, 232935, 232941, 232950, 232957, 232965]</t>
  </si>
  <si>
    <t>0.0011020264282284563</t>
  </si>
  <si>
    <t>[232898, 232906, 232915, 232923, 232929, 232935, 232941, 232950, 232957]</t>
  </si>
  <si>
    <t>[0.094, 0.045, 0.013, 0.074, 0.009, 0.003, 0.064, 0.013, 0.004]</t>
  </si>
  <si>
    <t>4479.4436439632855</t>
  </si>
  <si>
    <t>[-0.779, -0.033, 0.015, 0.031, 0.027]</t>
  </si>
  <si>
    <t>LINESTRING (10.416259846213336 61.15129195001145, 10.416199616473168 61.151228752917696, 10.41427208081112 61.14899477817441, 10.41386004809027 61.14866615461767, 10.413772277755676 61.148628245000566, 10.413721982876602 61.14860723791926)</t>
  </si>
  <si>
    <t>[264879, 264887, 334202, 334210, 334218]</t>
  </si>
  <si>
    <t>[262841, 262845, 323683, 323691, 323275]</t>
  </si>
  <si>
    <t>[232898, 262841, 262845, 323683, 323691]</t>
  </si>
  <si>
    <t>[0.779, 0.033, 0.015, 0.031, 0.027]</t>
  </si>
  <si>
    <t>332.0388370075242</t>
  </si>
  <si>
    <t>[0.017, 0.035]</t>
  </si>
  <si>
    <t>LINESTRING (10.415799106721497 61.1891940060786, 10.415151121900557 61.19065654864848, 10.415030576480875 61.190926021443616)</t>
  </si>
  <si>
    <t>[228328, 228336]</t>
  </si>
  <si>
    <t>[232972, 232977]</t>
  </si>
  <si>
    <t>0.019801502893975503</t>
  </si>
  <si>
    <t>[232965, 232972]</t>
  </si>
  <si>
    <t>197.4468613583749</t>
  </si>
  <si>
    <t>[0.327, 0.01, -0.376, 0.012, 0.687]</t>
  </si>
  <si>
    <t>LINESTRING (10.415799106721497 61.1891940060786, 10.415796186496083 61.189301752232815, 10.415350757992353 61.19234879600529, 10.41532890624621 61.19253088460778, 10.415319994385074 61.192575457938936, 10.415309747677433 61.19264327812038)</t>
  </si>
  <si>
    <t>[264895, 264903, 2157030, 2157038, 2157046]</t>
  </si>
  <si>
    <t>[262852, 262857, 1848116, 1848119, 281271]</t>
  </si>
  <si>
    <t>0.012839765768524835</t>
  </si>
  <si>
    <t>[232965, 262852, 262857, 1848116, 1848119]</t>
  </si>
  <si>
    <t>[0.327, 0.01, 0.376, 0.012, 0.687]</t>
  </si>
  <si>
    <t>387.83082485562454</t>
  </si>
  <si>
    <t>[-0.015, -0.019, -0.016]</t>
  </si>
  <si>
    <t>LINESTRING (10.415030576480875 61.190926021443616, 10.414433075560455 61.192296134428005, 10.414346994162663 61.19270172632166, 10.414739027514198 61.19524465573373)</t>
  </si>
  <si>
    <t>[1690873, 1690881, 1690889]</t>
  </si>
  <si>
    <t>[1513638, 1513645, 1513650]</t>
  </si>
  <si>
    <t>[232977, 1513638, 1513645]</t>
  </si>
  <si>
    <t>[0.015, 0.019, 0.016]</t>
  </si>
  <si>
    <t>486.92622971516585</t>
  </si>
  <si>
    <t>[-0.011, -0.021, -0.016, -0.012]</t>
  </si>
  <si>
    <t>LINESTRING (10.415030576480875 61.190926021443616, 10.414518986653658 61.19230412946309, 10.414433759950777 61.19268376930544, 10.414836841495017 61.195235337643055, 10.415194224498354 61.195854302178574)</t>
  </si>
  <si>
    <t>[1690985, 1690993, 1691001, 1691009]</t>
  </si>
  <si>
    <t>[1513707, 1513713, 1513719, 1513725]</t>
  </si>
  <si>
    <t>[232977, 1513707, 1513713, 1513719]</t>
  </si>
  <si>
    <t>[0.011, 0.021, 0.016, 0.012]</t>
  </si>
  <si>
    <t>556.8264483479256</t>
  </si>
  <si>
    <t>[-0.034, 0.02, 0.021, 0.02, -0.02]</t>
  </si>
  <si>
    <t>LINESTRING (10.413651373730007 61.192348712506636, 10.413589882221997 61.192387095431165, 10.414292663942293 61.19270500957065, 10.414379510263197 61.19230056777787, 10.414943963476547 61.19103459836628, 10.415030576480875 61.190926021443616)</t>
  </si>
  <si>
    <t>[264935, 264943, 264951, 264959, 264967]</t>
  </si>
  <si>
    <t>[262879, 262885, 262888, 262891, 232977]</t>
  </si>
  <si>
    <t>0.01802494505444317</t>
  </si>
  <si>
    <t>[262878, 262879, 262885, 262888, 262891]</t>
  </si>
  <si>
    <t>[0.034, 0.02, 0.021, 0.02, 0.02]</t>
  </si>
  <si>
    <t>387.5804053935247</t>
  </si>
  <si>
    <t>[-0.015, 0.007, -0.009, -0.014, -0.009, 0.004, 0.004, 0.006, 0.006, 0.004, 0.008, 0.008, 0.008, 0.024, 0.008, -0.017, -0.015, 0.021, 0.04, -0.003, -0.004, 0.007, 0.005, 0.0, -0.006, -0.002, 0.091, 0.006, 0.023, 0.013, 0.02, -0.02, -0.027, -0.002, 0.018, 0.036, 0.048, -0.084, 0.005, -0.074, -0.085, -0.107, -0.068, -0.059, -0.055, -0.091, -0.075, -0.093, -0.065, -0.02, -0.005, 0.006, -0.009, -0.046, -0.013, -0.009, 0.014, 0.005, 0.001, 0.01, 0.005, 0.0, 0.009, -0.039, -0.017, 0.005, 0.02, 0.027, 0.03, 0.027, 0.016, 0.028, 0.004, 0.016, -0.009, -0.01, -0.022, -0.001, -0.011]</t>
  </si>
  <si>
    <t>7002.0</t>
  </si>
  <si>
    <t>[1, 0, 0, 1, 0, 0, 0, 0, 0, 0, 0, 0, 0, 0, 0, 0, 0, 0, 0, 0, 0, 0, 0, 0, 0, 0, 0, 0, 1, 0, 0, 0, 0, 0, 0, 0, 0, 0, 0, 0, 0, 0, 0, 0, 0, 0, 0, 0, 0, 0, 0, 0, 0, 0, 0, 0, 0, 0, 0, 0, 0, 0, 0, 0, 0, 0, 0, 0, 0, 0, 0, 0, 0, 0, 0, 0, 0, 0, 0]</t>
  </si>
  <si>
    <t>LINESTRING (10.301899297244196 61.311698251737646, 10.301871439843778 61.31175241826001, 10.301567403344821 61.31224329394932, 10.29765682811812 61.315284038756054, 10.297403794373475 61.31542923535339, 10.296792657202094 61.31578052167484, 10.289871260272758 61.3213032618759, 10.289554651993775 61.32188138894635, 10.289541916744698 61.32191355834067, 10.289487561811038 61.32205721805277, 10.289374220914059 61.322434657323946, 10.289364831445592 61.3224784191833, 10.289352732171452 61.32253907636806, 10.289338444462823 61.32260171711611, 10.28912928438653 61.325061243219054, 10.28759408465147 61.32839253555918, 10.286066380221747 61.331334138040255, 10.285919062899646 61.33179223062893, 10.28617096846874 61.333328398263056, 10.28833454355278 61.335564645273315, 10.288375264934206 61.343625045636514, 10.287574965742872 61.3447040331396, 10.28751358010141 61.3448380681804, 10.286726563727452 61.35000020884922, 10.286738029441254 61.35020454409286, 10.287144212657527 61.357871074137336, 10.287224539649749 61.35811512569102, 10.287227608645255 61.358123974362755, 10.287594575901709 61.35917707145811, 10.28761019664537 61.35922384261506, 10.287791187354001 61.36258413224278, 10.287362435664056 61.36445425560311, 10.286232217168259 61.36661591680008, 10.285536076968778 61.36718479295912, 10.282742948375358 61.3695366882892, 10.278200553177541 61.37536826940042, 10.277805762633466 61.37563548833451, 10.27556299058495 61.37696633121113, 10.274130779774914 61.3777949437787, 10.260008283102193 61.385698304572585, 10.259868818406382 61.38573025698838, 10.25882192595238 61.385970439696756, 10.258621167490784 61.386013336736895, 10.257650659487485 61.38620923830051, 10.257518004286108 61.38623298981233, 10.256632191893075 61.386377347701824, 10.256554783590854 61.386388467085716, 10.256410823729958 61.38640712765501, 10.256217830910195 61.38643218748085, 10.254781576289925 61.3865889224948, 10.253333816961087 61.38668281217603, 10.251663222195061 61.38675643624738, 10.240521191445886 61.38929659886508, 10.236694977596953 61.392553128075626, 10.236669934983503 61.392623969650096, 10.23392245759301 61.39626062524526, 10.233804107362475 61.39635306063445, 10.2327752042327 61.39714160027675, 10.232735453766018 61.39717207146775, 10.232667233373075 61.39722400184301, 10.232607799434286 61.39726912619354, 10.225883267824612 61.40401985019247, 10.225926711414909 61.40639391577711, 10.226673524248856 61.41054376673166, 10.225726118875055 61.4120943692958, 10.224819918289468 61.41320101720319, 10.223957787263686 61.4212620023923, 10.223924999262826 61.4213471413377, 10.22354140554054 61.42213455610772, 10.223374441173407 61.42240978605421, 10.223358996046045 61.42243413935972, 10.223332968637374 61.42247450829385, 10.223290631998722 61.422540090584384, 10.210797158028553 61.42889104945544, 10.210688282533079 61.428931635633106, 10.200423639905924 61.441880194392546, 10.200543719679148 61.442841141413254, 10.20054185658204 61.44288482478811, 10.200539365684852 61.44294160894485, 10.192088330034643 61.44931588413995)</t>
  </si>
  <si>
    <t>[228409, 228417, 228426, 228434, 228442, 228450, 228458, 228466, 228474, 228482, 228490, 228498, 228506, 228514, 228523, 228531, 228539, 228547, 228556, 228564, 228572, 228580, 228588, 228596, 228604, 228612, 228620, 228629, 228637, 228645, 228654, 228662, 228670, 228678, 228686, 228694, 262663, 262671, 262679, 262687, 262695, 262703, 262711, 262719, 262727, 262735, 262743, 262751, 262759, 262767, 262775, 262783, 262791, 262799, 262807, 262815, 262823, 262831, 262839, 262847, 262855, 262863, 262871, 262879, 262887, 262895, 262903, 262911, 262919, 262927, 262935, 262943, 262951, 262959, 262967, 262975, 262983, 262990, 228702]</t>
  </si>
  <si>
    <t>[233043, 233050, 233060, 233070, 233078, 233084, 233091, 233100, 233107, 233114, 233120, 233127, 233133, 233139, 145402, 159094, 233160, 145439, 145448, 146896, 146855, 146885, 233194, 233199, 114098, 233211, 233217, 233225, 233232, 146773, 233243, 233251, 154825, 233265, 233273, 233281, 260907, 260912, 260921, 260927, 260935, 260941, 260949, 260957, 260964, 260970, 260978, 260985, 260995, 261002, 261009, 261015, 261021, 261029, 261034, 261039, 261045, 261052, 261059, 261067, 261074, 261080, 140302, 151437, 154935, 261099, 261105, 261111, 261119, 248109, 261132, 261138, 261145, 261153, 261160, 261167, 112263, 233288, 233289]</t>
  </si>
  <si>
    <t>[233042, 233043, 233050, 233060, 233070, 233078, 233084, 233091, 233100, 233107, 233114, 233120, 233127, 233133, 233139, 145402, 159094, 233160, 145439, 145448, 146896, 146855, 146885, 233194, 233199, 114098, 233211, 233217, 233225, 233232, 146773, 233243, 233251, 154825, 233265, 233273, 233281, 260907, 260912, 260921, 260927, 260935, 260941, 260949, 260957, 260964, 260970, 260978, 260985, 260995, 261002, 261009, 261015, 261021, 261029, 261034, 261039, 261045, 261052, 261059, 261067, 261074, 261080, 140302, 151437, 154935, 261099, 261105, 261111, 261119, 248109, 261132, 261138, 261145, 261153, 261160, 261167, 112263, 233288]</t>
  </si>
  <si>
    <t>[0.015, 0.007, 0.009, 0.014, 0.009, 0.004, 0.004, 0.006, 0.006, 0.004, 0.008, 0.008, 0.008, 0.024, 0.008, 0.017, 0.015, 0.021, 0.04, 0.003, 0.004, 0.007, 0.005, 0.0, 0.006, 0.002, 0.091, 0.006, 0.023, 0.013, 0.02, 0.02, 0.027, 0.002, 0.018, 0.036, 0.048, 0.084, 0.005, 0.074, 0.085, 0.107, 0.068, 0.059, 0.055, 0.091, 0.075, 0.093, 0.065, 0.02, 0.005, 0.006, 0.009, 0.046, 0.013, 0.009, 0.014, 0.005, 0.001, 0.01, 0.005, 0.0, 0.009, 0.039, 0.017, 0.005, 0.02, 0.027, 0.03, 0.027, 0.016, 0.028, 0.004, 0.016, 0.009, 0.01, 0.022, 0.001, 0.011]</t>
  </si>
  <si>
    <t>17743.38051474207</t>
  </si>
  <si>
    <t>36.90654055635099</t>
  </si>
  <si>
    <t>[0.084, -0.283]</t>
  </si>
  <si>
    <t>LINESTRING (10.302260596314772 61.31047467331155, 10.301993560294523 61.311379990013826, 10.301899297244196 61.311698251737646)</t>
  </si>
  <si>
    <t>[303682, 303686]</t>
  </si>
  <si>
    <t>[295457, 233042]</t>
  </si>
  <si>
    <t>[287253, 295457]</t>
  </si>
  <si>
    <t>[0.084, 0.283]</t>
  </si>
  <si>
    <t>138.00776701300933</t>
  </si>
  <si>
    <t>0.009</t>
  </si>
  <si>
    <t>113.04874569382692</t>
  </si>
  <si>
    <t>[0.004, 0.001, -0.013, -0.017]</t>
  </si>
  <si>
    <t>LINESTRING (10.18702209953728 61.451618490945286, 10.187126480534024 61.45159969970092, 10.191033453428291 61.450053273806994, 10.19192784034268 61.449408518529935, 10.192088330034643 61.44931588413995)</t>
  </si>
  <si>
    <t>[265071, 265079, 265087, 265095]</t>
  </si>
  <si>
    <t>[262963, 262967, 262970, 233289]</t>
  </si>
  <si>
    <t>[262962, 262963, 262967, 262970]</t>
  </si>
  <si>
    <t>[0.004, 0.001, 0.013, 0.017]</t>
  </si>
  <si>
    <t>381.42694175319673</t>
  </si>
  <si>
    <t>[-0.001, -0.005, 0.003]</t>
  </si>
  <si>
    <t>LINESTRING (10.1909491883929 61.450170640120156, 10.185051960356432 61.45302901540283, 10.184384756982604 61.4533505883773, 10.183249923258442 61.454023444411995)</t>
  </si>
  <si>
    <t>[228718, 228726, 228734]</t>
  </si>
  <si>
    <t>[233305, 233314, 233322]</t>
  </si>
  <si>
    <t>[233298, 233305, 233314]</t>
  </si>
  <si>
    <t>[0.001, 0.005, 0.003]</t>
  </si>
  <si>
    <t>595.760749031258</t>
  </si>
  <si>
    <t>70.15477958926829</t>
  </si>
  <si>
    <t>[0.031, 0.005, 0.004, -0.005, -0.001, 0.003]</t>
  </si>
  <si>
    <t>[0, 0, 0, 1, 0, 0]</t>
  </si>
  <si>
    <t>LINESTRING (10.183249923258442 61.454023444411995, 10.183323876823346 61.45395113934297, 10.183522398428952 61.45378547587839, 10.184323761539877 61.45333085249932, 10.185026057313234 61.452969858084266, 10.18668046647644 61.45181057314108, 10.186739157610187 61.45177127595979)</t>
  </si>
  <si>
    <t>[265023, 265031, 265039, 265047, 265055, 265063]</t>
  </si>
  <si>
    <t>[262931, 262934, 262939, 262944, 262950, 262957]</t>
  </si>
  <si>
    <t>0.0007461071105076713</t>
  </si>
  <si>
    <t>[233322, 262931, 262934, 262939, 262944, 262950]</t>
  </si>
  <si>
    <t>[0.031, 0.005, 0.004, 0.005, 0.001, 0.003]</t>
  </si>
  <si>
    <t>313.6456635658373</t>
  </si>
  <si>
    <t>[0.002, 0.003, 0.01]</t>
  </si>
  <si>
    <t>LINESTRING (10.182585739014028 61.45456603301375, 10.181666235289008 61.45615346085008, 10.182004008031075 61.45787775195564, 10.184129699170576 61.46150906805575)</t>
  </si>
  <si>
    <t>[228750, 228758, 228766]</t>
  </si>
  <si>
    <t>[233338, 233345, 233352]</t>
  </si>
  <si>
    <t>0.006452039748421164</t>
  </si>
  <si>
    <t>[233331, 233338, 233345]</t>
  </si>
  <si>
    <t>799.0047556694645</t>
  </si>
  <si>
    <t>[-0.144, 0.009, 0.063, 0.04, 0.058, 0.048, 0.009, 0.066, 0.052, 0.048, 0.054, 0.033, 0.062]</t>
  </si>
  <si>
    <t>LINESTRING (10.184129699170576 61.46150906805575, 10.184213754013747 61.461581078306665, 10.184260374239368 61.46165860768511, 10.184436356290778 61.46195129944913, 10.184862270100004 61.46265576241368, 10.184876944990872 61.462682060512954, 10.184898482136873 61.46271771310582, 10.184904496078751 61.46272683968318, 10.184936710864783 61.4627757415951, 10.184945273307262 61.46279111969819, 10.185522415293075 61.463793618146454, 10.185752266584919 61.464173321383555, 10.185819351946227 61.46428741789944, 10.186554652433772 61.46557384617026)</t>
  </si>
  <si>
    <t>[2066572, 2066580, 2066588, 335764, 335772, 335780, 335788, 335796, 335804, 335812, 335820, 1851437, 1851448]</t>
  </si>
  <si>
    <t>[1795281, 1795283, 325085, 325086, 325095, 325104, 325112, 290900, 325128, 325135, 325142, 1621082, 233359]</t>
  </si>
  <si>
    <t>0.047971746833755</t>
  </si>
  <si>
    <t>[233352, 1795281, 1795283, 325085, 325086, 325095, 325104, 325112, 290900, 325128, 325135, 325142, 1621082]</t>
  </si>
  <si>
    <t>[0.144, 0.009, 0.063, 0.04, 0.058, 0.048, 0.009, 0.066, 0.052, 0.048, 0.054, 0.033, 0.062]</t>
  </si>
  <si>
    <t>471.59542979846117</t>
  </si>
  <si>
    <t>[-0.072, 0.042, 0.033, 0.029, 0.065, 0.005, 0.047, 0.05, 0.048, 0.052, 0.063, 0.067]</t>
  </si>
  <si>
    <t>LINESTRING (10.184129699170576 61.46150906805575, 10.184158951143692 61.46166715857593, 10.18430453105178 61.46196255158929, 10.184696334293662 61.4626860180352, 10.18471163440896 61.46271277003459, 10.184735491024577 61.46274776723263, 10.184741587371171 61.46275721154666, 10.18477419756439 61.462807809491494, 10.184783197581 61.46282327505732, 10.18538084732333 61.46383293148657, 10.185423879001933 61.463898208557154, 10.185629915717993 61.46418719505394, 10.186554652433772 61.46557384617026)</t>
  </si>
  <si>
    <t>[2066596, 2066604, 247797, 247805, 247813, 247821, 247829, 247837, 247845, 247853, 247861, 1851429]</t>
  </si>
  <si>
    <t>[1795290, 248909, 248910, 248917, 248922, 248930, 248938, 248944, 248952, 248958, 248963, 233359]</t>
  </si>
  <si>
    <t>0.04797387867461164</t>
  </si>
  <si>
    <t>[233352, 1795290, 248909, 248910, 248917, 248922, 248930, 248938, 248944, 248952, 248958, 248963]</t>
  </si>
  <si>
    <t>[0.072, 0.042, 0.033, 0.029, 0.065, 0.005, 0.047, 0.05, 0.048, 0.052, 0.063, 0.067]</t>
  </si>
  <si>
    <t>472.01502885772703</t>
  </si>
  <si>
    <t>[0.017, 0.085, 0.02, -0.071, -0.006, -0.02, -0.002, -0.003, 0.004, 0.005, 0.003, 0.006, -0.063, -0.078, -0.11, -0.062, -0.033, -0.064, -0.088, -0.055, 0.0, -0.001, 0.02, 0.037, 0.026, 0.001, 0.025, 0.018, 0.003, 0.079, 0.001, 0.021, 0.023, -0.057, 0.021, -0.067, -0.036, -0.101, -0.131, -0.015, -0.003, -0.008, 0.022, -0.023, 0.001, 0.021, -0.012, 0.023, 0.01]</t>
  </si>
  <si>
    <t>LINESTRING (10.186554652433772 61.46557384617026, 10.187121956327264 61.4664929940355, 10.18712724363182 61.466501600062415, 10.187448488137962 61.46703440108006, 10.187453621876278 61.46704302863916, 10.187909089500288 61.46813448088564, 10.188074470288816 61.47286721642317, 10.189010679337022 61.473943026479596, 10.189785028603573 61.475734152569665, 10.18875223277602 61.47812363804876, 10.185671915323386 61.480025307416454, 10.183747232675895 61.48092072716705, 10.175326995496505 61.494921932235634, 10.175318743691138 61.494929995707786, 10.174808396370846 61.49540960217295, 10.174800436807836 61.49541772095516, 10.17425929391578 61.49631262318331, 10.174002848969602 61.497140697674865, 10.173658175184121 61.49777169146953, 10.17360902302449 61.49784074530129, 10.173088226179106 61.49841490615039, 10.173048500560025 61.49845257000382, 10.172989633879434 61.49850817390996, 10.169837806861644 61.50178435861558, 10.169810403593548 61.50183787589891, 10.169783787768171 61.501889838060194, 10.168487035267612 61.503798196426054, 10.166505837345621 61.51112956080139, 10.16383781648519 61.51599695892427, 10.163793175425678 61.51604903572313, 10.163778906796523 61.51606569080877, 10.163761617949863 61.51608589946195, 10.163511734106699 61.51639690228693, 10.16286681478037 61.51736183702975, 10.159823786485429 61.52075255095144, 10.158221626126746 61.521970237250216, 10.15771470264167 61.522280034487, 10.157703218310056 61.52228712772437, 10.15712786097579 61.52265389088336, 10.156882530420255 61.5228148607742, 10.156626994216309 61.522982555165555, 10.156516292395319 61.523055882710025, 10.156194438591898 61.52327533006762, 10.154832252157108 61.52426864403755, 10.152803852745313 61.525603693058535, 10.150710227782234 61.52663272881733, 10.149475055918169 61.5272534570636, 10.148349872682996 61.52784391341331, 10.148250956011514 61.527899809258834, 10.147423822542166 61.52837296147307)</t>
  </si>
  <si>
    <t>[228774, 228782, 228790, 228799, 228808, 228817, 228825, 228833, 228841, 228849, 228857, 228865, 228873, 228881, 228889, 228898, 228906, 228914, 228922, 228930, 228938, 228946, 228954, 228962, 228970, 228978, 228986, 228994, 229002, 229010, 229018, 229026, 229034, 229042, 229050, 229059, 229068, 229076, 229084, 229092, 229100, 229108, 229116, 229132, 229140, 229148, 229156, 229164, 229172]</t>
  </si>
  <si>
    <t>[233360, 233367, 233374, 233384, 145099, 233398, 233290, 145169, 145130, 233385, 233430, 233436, 233444, 233452, 233458, 233464, 233471, 233477, 233484, 233492, 151791, 233502, 233506, 141567, 233522, 233530, 142633, 233543, 233550, 233554, 233561, 233566, 233570, 233576, 144656, 233593, 233601, 233610, 233618, 233625, 233632, 144638, 144621, 144604, 111457, 233675, 141104, 233688, 233695]</t>
  </si>
  <si>
    <t>[233359, 233360, 233367, 233374, 233384, 145099, 233398, 233290, 145169, 145130, 233385, 233430, 233436, 233444, 233452, 233458, 233464, 233471, 233477, 233484, 233492, 151791, 233502, 233506, 141567, 233522, 233530, 142633, 233543, 233550, 233554, 233561, 233566, 233570, 233576, 144656, 233593, 233601, 233610, 233618, 233625, 233632, 144638, 144621, 144604, 111457, 233675, 141104, 233688]</t>
  </si>
  <si>
    <t>[0.017, 0.085, 0.02, 0.071, 0.006, 0.02, 0.002, 0.003, 0.004, 0.005, 0.003, 0.006, 0.063, 0.078, 0.11, 0.062, 0.033, 0.064, 0.088, 0.055, 0.0, 0.001, 0.02, 0.037, 0.026, 0.001, 0.025, 0.018, 0.003, 0.079, 0.001, 0.021, 0.023, 0.057, 0.021, 0.067, 0.036, 0.101, 0.131, 0.015, 0.003, 0.008, 0.022, 0.023, 0.001, 0.021, 0.012, 0.023, 0.01]</t>
  </si>
  <si>
    <t>7632.410994543951</t>
  </si>
  <si>
    <t>[-0.019, 0.027]</t>
  </si>
  <si>
    <t>LINESTRING (10.147423822542166 61.52837296147307, 10.147273614340564 61.52842143428925, 10.14721825600884 61.52849018808257)</t>
  </si>
  <si>
    <t>[247869, 247877]</t>
  </si>
  <si>
    <t>[248969, 233704]</t>
  </si>
  <si>
    <t>0.002267094129443774</t>
  </si>
  <si>
    <t>[233695, 248969]</t>
  </si>
  <si>
    <t>[0.019, 0.027]</t>
  </si>
  <si>
    <t>18.67598522748508</t>
  </si>
  <si>
    <t>[0.02, -0.022]</t>
  </si>
  <si>
    <t>LINESTRING (10.147423822542166 61.52837296147307, 10.14733695054666 61.528451934899124, 10.14721825600884 61.52849018808257)</t>
  </si>
  <si>
    <t>[335828, 335836]</t>
  </si>
  <si>
    <t>[325148, 233704]</t>
  </si>
  <si>
    <t>0.0017583016726886566</t>
  </si>
  <si>
    <t>[233695, 325148]</t>
  </si>
  <si>
    <t>[0.02, 0.022]</t>
  </si>
  <si>
    <t>18.061448040113962</t>
  </si>
  <si>
    <t>[-0.007, -0.021]</t>
  </si>
  <si>
    <t>LINESTRING (10.14721825600884 61.52849018808257, 10.146906199549973 61.52865651828204, 10.146211019372737 61.528955521799034)</t>
  </si>
  <si>
    <t>[229180, 229188]</t>
  </si>
  <si>
    <t>[233705, 233709]</t>
  </si>
  <si>
    <t>[233704, 233705]</t>
  </si>
  <si>
    <t>[0.007, 0.021]</t>
  </si>
  <si>
    <t>74.79970329270758</t>
  </si>
  <si>
    <t>[-0.038, 0.038]</t>
  </si>
  <si>
    <t>LINESTRING (10.146211019372737 61.528955521799034, 10.146010095055697 61.52899251633968, 10.145927935406068 61.529044087759836)</t>
  </si>
  <si>
    <t>[247885, 247893]</t>
  </si>
  <si>
    <t>[248981, 233717]</t>
  </si>
  <si>
    <t>[233709, 248981]</t>
  </si>
  <si>
    <t>0.038</t>
  </si>
  <si>
    <t>18.97288257102906</t>
  </si>
  <si>
    <t>[0.026, -0.059]</t>
  </si>
  <si>
    <t>LINESTRING (10.146211019372737 61.528955521799034, 10.146068373623711 61.52902548176202, 10.145927935406068 61.529044087759836)</t>
  </si>
  <si>
    <t>[335844, 335852]</t>
  </si>
  <si>
    <t>[325159, 233717]</t>
  </si>
  <si>
    <t>[233709, 325159]</t>
  </si>
  <si>
    <t>[0.026, 0.059]</t>
  </si>
  <si>
    <t>18.90436527333732</t>
  </si>
  <si>
    <t>[0.027, 0.007]</t>
  </si>
  <si>
    <t>LINESTRING (10.145927935406068 61.529044087759836, 10.14565499504246 61.52911608643467, 10.144848185628554 61.52926245568223)</t>
  </si>
  <si>
    <t>[229196, 229204]</t>
  </si>
  <si>
    <t>[219900, 233723]</t>
  </si>
  <si>
    <t>0.012298598561001938</t>
  </si>
  <si>
    <t>[233717, 219900]</t>
  </si>
  <si>
    <t>62.64983395090864</t>
  </si>
  <si>
    <t>[-0.029, -0.032, 0.008]</t>
  </si>
  <si>
    <t>LINESTRING (10.144848185628554 61.52926245568223, 10.144686851434171 61.529258179169354, 10.144677795731173 61.5292592235395, 10.144519184806024 61.52929860598958)</t>
  </si>
  <si>
    <t>[247901, 247909, 247917]</t>
  </si>
  <si>
    <t>[248991, 248996, 233728]</t>
  </si>
  <si>
    <t>[233723, 248991, 248996]</t>
  </si>
  <si>
    <t>[0.029, 0.032, 0.008]</t>
  </si>
  <si>
    <t>19.224280246351547</t>
  </si>
  <si>
    <t>[0.014, 0.143, -0.039]</t>
  </si>
  <si>
    <t>LINESTRING (10.144848185628554 61.52926245568223, 10.144709236408392 61.529304895938814, 10.144699984396869 61.5293058703482, 10.144519184806024 61.52929860598958)</t>
  </si>
  <si>
    <t>[335860, 335868, 335876]</t>
  </si>
  <si>
    <t>[325171, 325179, 233728]</t>
  </si>
  <si>
    <t>[233723, 325171, 325179]</t>
  </si>
  <si>
    <t>[0.014, 0.143, 0.039]</t>
  </si>
  <si>
    <t>19.82163649503621</t>
  </si>
  <si>
    <t>[-0.023, -0.028, -0.017, -0.017, -0.016, -0.019, -0.019, -0.015, 0.001, -0.003, 0.001, 0.001, 0.003, 0.008, 0.009, 0.006, 0.009, 0.053, 0.058, 0.057, 0.06, 0.048, 0.054, 0.05, 0.034, 0.05, 0.208, 0.033, -0.145, -0.032, 0.005, -0.027, 0.004, 0.007, -0.018, 0.021, -0.019, -0.037, -0.059, -0.042, -0.061, -0.029, 0.014, -0.025, 0.012, 0.002, 0.029, -0.017, -0.021, -0.01, -0.021, -0.026, -0.036, -0.038, -0.053, -0.07, -0.062, -0.074, -0.087, 0.015, 0.027, 0.025, -0.012, -0.011, -0.002, -0.008, 0.001, -0.018, -0.009, -0.018, -0.0, -0.004, -0.015, -0.027, -0.015, -0.006]</t>
  </si>
  <si>
    <t>6261.0</t>
  </si>
  <si>
    <t>[0, 1, 0, 0, 0, 0, 0, 0, 0, 0, 0, 0, 0, 0, 0, 0, 0, 0, 0, 0, 0, 0, 0, 0, 0, 0, 0, 0, 0, 0, 0, 0, 0, 0, 0, 0, 0, 0, 0, 0, 0, 0, 0, 0, 0, 0, 0, 0, 0, 0, 0, 0, 0, 0, 0, 0, 0, 0, 0, 0, 1, 1, 0, 0, 0, 0, 0, 0, 0, 0, 0, 0, 0, 0, 0, 0]</t>
  </si>
  <si>
    <t>LINESTRING (10.144519184806024 61.52929860598958, 10.1439477861143 61.5293422494186, 10.143082000461668 61.52938621291149, 10.142851382416913 61.52939837055271, 10.14213528540511 61.52943119700402, 10.141804016236577 61.52944665270501, 10.141163318864319 61.529477882196936, 10.140700602487483 61.52950079760696, 10.140315691330496 61.52951939985974, 10.140202695983188 61.5295252531459, 10.140140680766782 61.52952846408956, 10.140014218275159 61.52953622029585, 10.139362981749048 61.529581547081854, 10.139004608006088 61.52961414438636, 10.138933587165686 61.52962132391496, 10.13886351654201 61.5296283304417, 10.13875735690537 61.52963877107202, 10.137643625351823 61.52976434750327, 10.137498810000556 61.52978064794933, 10.137366166232798 61.529796942079415, 10.137019619041334 61.52983843873376, 10.136128718455401 61.52990675549033, 10.135725309564723 61.529910247484956, 10.135621027102438 61.52990857364677, 10.135527721183585 61.52990706691924, 10.135424334594443 61.529904966187964, 10.135097367494046 61.52989831499675, 10.135041107768737 61.529897249771466, 10.12916512993627 61.53051717731029, 10.128063113070588 61.53080962000797, 10.125392899836978 61.531524548865406, 10.115349642683157 61.53376711701832, 10.114750274356657 61.533882956658566, 10.11118467333436 61.5347474193123, 10.104416216002411 61.536400776485735, 10.098003584067383 61.53731549582824, 10.094250107744944 61.53822650350127, 10.092253500918051 61.53884498108578, 10.091641879019209 61.53905527182555, 10.09156326421366 61.53908247405295, 10.090402339796144 61.53948898509334, 10.090392362708121 61.53949248444615, 10.090289007643687 61.53952868904004, 10.084852850057876 61.54198417874955, 10.083069062159822 61.54294023074117, 10.075847613527687 61.546114527557336, 10.067479664745404 61.54857879580333, 10.064494827187222 61.54948539100706, 10.064385469936795 61.54952288033206, 10.063712384773655 61.54976384231901, 10.063669989783687 61.549779793405015, 10.063599318873827 61.54980637806522, 10.063547766113073 61.54982561347416, 10.063485848568703 61.549848728158985, 10.061930801892972 61.550418584174835, 10.061879847991202 61.550435465909494, 10.061802819061484 61.550460991687295, 10.061694896530051 61.55049676791328, 10.061045941365792 61.550686328767505, 10.060925952166292 61.55071877945766, 10.05683643539209 61.55130125101946, 10.056446090374717 61.55131201477634, 10.0558867659578 61.55131878649431, 10.0477004070919 61.549466164553515, 10.047563255271799 61.54940979634739, 10.045728744639934 61.54875147621058, 10.045271406199914 61.54862188670965, 10.045214165397354 61.548607624905806, 10.045120606014047 61.54858432397056, 10.044987214735162 61.54855108242229, 10.040837951415213 61.548001420615975, 10.040696720506979 61.54799602758004, 10.040501062750028 61.547991099833574, 10.035245993293644 61.548024104092356, 10.031547601844673 61.54805354230102, 10.029894200056093 61.548064828556996, 10.029677849858652 61.54806631786289)</t>
  </si>
  <si>
    <t>[229212, 229220, 229228, 229236, 335884, 229244, 229252, 335892, 229260, 229264, 229274, 229281, 335900, 229289, 229306, 229312, 229320, 229328, 229329, 335908, 229336, 335916, 229349, 229357, 229365, 229366, 2137009, 2137017, 2137025, 229392, 229400, 229408, 229415, 229423, 229431, 229439, 229440, 229455, 229463, 229471, 229479, 229493, 229501, 229509, 229517, 229525, 229533, 229542, 229550, 229558, 229566, 229574, 229576, 229577, 229578, 229586, 229594, 229602, 229610, 229618, 229626, 229641, 229649, 229657, 229665, 229673, 229681, 229689, 229697, 229705, 229713, 229721, 229729, 229737, 1113027, 1113035]</t>
  </si>
  <si>
    <t>[233729, 233734, 233742, 233748, 233755, 233756, 233762, 233768, 233769, 99939, 233779, 233783, 233790, 233791, 99906, 233805, 233814, 99858, 233821, 233824, 233825, 233837, 233838, 233844, 233850, 233851, 1836828, 1836831, 233866, 233867, 233872, 151341, 233882, 141795, 137362, 151315, 233899, 233909, 233915, 233921, 233927, 143465, 151287, 151277, 140920, 233960, 233966, 233973, 233980, 233987, 233995, 234001, 234003, 234004, 234005, 234009, 234014, 234020, 234025, 234029, 234036, 234047, 234055, 234061, 234066, 234072, 234079, 234084, 234091, 234095, 234101, 234105, 139057, 139070, 1052652, 1052664]</t>
  </si>
  <si>
    <t>[233728, 233729, 233734, 233742, 233748, 233755, 233756, 233762, 233768, 233769, 99939, 233779, 233783, 233790, 233791, 99906, 233805, 233814, 99858, 233821, 233824, 233825, 233837, 233838, 233844, 233850, 233851, 1836828, 1836831, 233866, 233867, 233872, 151341, 233882, 141795, 137362, 151315, 233899, 233909, 233915, 233921, 233927, 143465, 151287, 151277, 140920, 233960, 233966, 233973, 233980, 233987, 233995, 234001, 234003, 234004, 234005, 234009, 234014, 234020, 234025, 234029, 234036, 234047, 234055, 234061, 234066, 234072, 234079, 234084, 234091, 234095, 234101, 234105, 139057, 139070, 1052652]</t>
  </si>
  <si>
    <t>[0.023, 0.028, 0.017, 0.017, 0.016, 0.019, 0.019, 0.015, 0.001, 0.003, 0.001, 0.001, 0.003, 0.008, 0.009, 0.006, 0.009, 0.053, 0.058, 0.057, 0.06, 0.048, 0.054, 0.05, 0.034, 0.05, 0.208, 0.033, 0.145, 0.032, 0.005, 0.027, 0.004, 0.007, 0.018, 0.021, 0.019, 0.037, 0.059, 0.042, 0.061, 0.029, 0.014, 0.025, 0.012, 0.002, 0.029, 0.017, 0.021, 0.01, 0.021, 0.026, 0.036, 0.038, 0.053, 0.07, 0.062, 0.074, 0.087, 0.015, 0.027, 0.025, 0.012, 0.011, 0.002, 0.008, 0.001, 0.018, 0.009, 0.018, 0.0, 0.004, 0.015, 0.027, 0.015, 0.006]</t>
  </si>
  <si>
    <t>6978.019576615351</t>
  </si>
  <si>
    <t>[0.035, 0.022, 0.008, 0.004, -0.026, -0.063, -0.015, 0.034, 0.097, -0.01, 0.073, -0.004, -0.03, -0.013, -0.011, -0.022, -0.015, 0.017, 0.02, 0.014, -0.018, -0.02, -0.011, 0.006, -0.032, -0.026, 0.011, -0.003, 0.017, 0.012, 0.009, 0.008, 0.035, 0.022, -0.007, -0.037, 0.039, 0.006, -0.044, -0.018, -0.001, 0.015, 0.003]</t>
  </si>
  <si>
    <t>5271.0</t>
  </si>
  <si>
    <t>LINESTRING (9.549353529003419 61.68004884090561, 9.549157052391058 61.68044552493271, 9.548869893570254 61.681105423379265, 9.548714330214873 61.68148169136718, 9.54861651870123 61.68171024339468, 9.547874819075027 61.68666913921383, 9.547872784035672 61.68670045711321, 9.549370328054373 61.69127443617176, 9.549476330183882 61.69136868698338, 9.550322475181813 61.69204940470751, 9.553037921485148 61.699087234233815, 9.553532229507313 61.69966715229034, 9.55488143262046 61.7042064347695, 9.554878292789263 61.70424585303311, 9.554315610522012 61.70604020431438, 9.553548286520272 61.70741214770446, 9.553032455411701 61.70798605469412, 9.552393761192718 61.70857350274123, 9.552318680915883 61.708644458230744, 9.552003165426035 61.70896656069561, 9.548691279472754 61.712004762131535, 9.548211241143783 61.71227093384667, 9.548000903655046 61.71240208933594, 9.547224424300264 61.71304853947521, 9.544815902935369 61.71572816009495, 9.53989159884001 61.71774438149693, 9.538634585136988 61.72037386686631, 9.541774012153867 61.72446308741328, 9.54318283658774 61.72667455264559, 9.545301163171862 61.72816333382009, 9.54618235332127 61.728783181483266, 9.549183177892301 61.7306738902499, 9.55016139016189 61.73107150066228, 9.550175955500366 61.73107721086195, 9.551596175382905 61.73168115307949, 9.553270686873864 61.733266748713504, 9.554784628632106 61.7350437590692, 9.557410198102389 61.73685473308501, 9.559412179692035 61.7397405909251, 9.559067496917168 61.74158365441461, 9.558642606697227 61.74343189673133, 9.55832042363406 61.744445763036246, 9.556179608592698 61.74711366813641, 9.555694768289518 61.74749430483938)</t>
  </si>
  <si>
    <t>[231545, 231553, 231561, 231569, 231577, 231586, 231594, 231602, 231610, 231618, 231626, 231634, 231642, 231650, 231658, 231666, 231674, 231682, 231690, 231698, 231706, 231714, 231723, 231732, 231740, 231748, 231756, 231764, 231772, 231780, 231788, 231796, 231804, 231812, 231820, 231828, 231836, 231844, 231852, 231860, 231868, 231876, 231884]</t>
  </si>
  <si>
    <t>[235464, 235468, 235474, 235481, 141985, 235490, 235496, 235502, 235506, 144771, 235520, 144779, 235531, 235537, 143511, 235550, 235558, 207681, 235569, 144845, 235579, 235585, 235592, 235600, 235607, 235612, 235619, 235624, 141822, 235637, 235643, 235654, 235662, 221181, 140694, 235684, 144828, 144811, 142004, 235714, 133214, 144787, 235735]</t>
  </si>
  <si>
    <t>[235463, 235464, 235468, 235474, 235481, 141985, 235490, 235496, 235502, 235506, 144771, 235520, 144779, 235531, 235537, 143511, 235550, 235558, 207681, 235569, 144845, 235579, 235585, 235592, 235600, 235607, 235612, 235619, 235624, 141822, 235637, 235643, 235654, 235662, 221181, 140694, 235684, 144828, 144811, 142004, 235714, 133214, 144787]</t>
  </si>
  <si>
    <t>[0.035, 0.022, 0.008, 0.004, 0.026, 0.063, 0.015, 0.034, 0.097, 0.01, 0.073, 0.004, 0.03, 0.013, 0.011, 0.022, 0.015, 0.017, 0.02, 0.014, 0.018, 0.02, 0.011, 0.006, 0.032, 0.026, 0.011, 0.003, 0.017, 0.012, 0.009, 0.008, 0.035, 0.022, 0.007, 0.037, 0.039, 0.006, 0.044, 0.018, 0.001, 0.015, 0.003]</t>
  </si>
  <si>
    <t>8199.397363467617</t>
  </si>
  <si>
    <t>[0.0, -0.016, -0.033, -0.049, -0.036, -0.059, 1.871, 0.006, 0.013, -0.134]</t>
  </si>
  <si>
    <t>LINESTRING (9.551402767026802 61.67792939234088, 9.551402767026802 61.67792939234088, 9.550730249689051 61.678403513640234, 9.550168370288318 61.67887138285176, 9.550101502598304 61.67892928078772, 9.55005542789418 61.678969199604566, 9.550008913715121 61.679009460849635, 9.549979439812882 61.679035508002514, 9.549492658858767 61.67971540211413, 9.549470871869655 61.6797564610644, 9.549353529003419 61.68004884090561)</t>
  </si>
  <si>
    <t>[338948, 338956, 338964, 351741, 351751, 351759, 351767, 247965, 247973, 247981]</t>
  </si>
  <si>
    <t>[328069, 328076, 328080, 339802, 339810, 339820, 249032, 249033, 249038, 235463]</t>
  </si>
  <si>
    <t>[328068, 328069, 328076, 328080, 339802, 339810, 339820, 249032, 249033, 249038]</t>
  </si>
  <si>
    <t>[0.0, 0.016, 0.033, 0.049, 0.036, 0.059, 1.871, 0.006, 0.013, 0.134]</t>
  </si>
  <si>
    <t>270.8381881469211</t>
  </si>
  <si>
    <t>[-0.005, -0.001, 0.033, 0.024, 0.161, 0.041, -0.023, -0.015, 0.028, 0.041, 0.022, 0.012, 0.002, 0.011, 0.03, 0.067, -0.015, -0.039, -0.026, -0.019, -0.032, -0.025, -0.018, -0.019, -0.033, -0.045, -0.034, -0.035, 1.878, 0.002, -0.003, -0.138]</t>
  </si>
  <si>
    <t>[0, 0, 0, 0, 1, 0, 0, 0, 0, 0, 0, 0, 0, 0, 0, 0, 0, 0, 0, 0, 0, 0, 0, 0, 0, 0, 0, 0, 0, 0, 0, 0]</t>
  </si>
  <si>
    <t>LINESTRING (9.667094635483403 61.66318500966399, 9.666001290451648 61.66328569314216, 9.662731721302766 61.663512180727956, 9.661999150101218 61.66356151538482, 9.649651352752677 61.663732689830546, 9.646187583559449 61.66443181197987, 9.626100591399481 61.662811121260695, 9.589163557109227 61.66605023343387, 9.586022209619717 61.66666993856661, 9.56481078658626 61.67173985551126, 9.560774080141954 61.67342693295955, 9.559857088685964 61.673862160634584, 9.559058924565653 61.67425874940609, 9.55883853457832 61.674369029908554, 9.558169330283324 61.67472044594292, 9.557974684110562 61.674824533597, 9.557756663441207 61.67496748475913, 9.552571835377409 61.67759107823792, 9.552463254180534 61.67762247484159, 9.551793787442028 61.67788042107676, 9.551732821737964 61.677907093100266, 9.551643529397985 61.677946152176276, 9.551543980712202 61.67799641129219, 9.550919574524533 61.67840836787042, 9.550865920045473 61.67844713853418, 9.550310585716487 61.67890477608713, 9.550241507135114 61.67896339581428, 9.550198490750429 61.67900208679743, 9.550156128864716 61.67904350372095, 9.550133593254719 61.67906791089036, 9.549688660821726 61.6795853525822, 9.549581536220336 61.679729307423855, 9.549353529003419 61.68004884090561)</t>
  </si>
  <si>
    <t>[339660, 339668, 339676, 339684, 339692, 339052, 339060, 339228, 339236, 339244, 339252, 339260, 339044, 338918, 338926, 338934, 338972, 338980, 338988, 338996, 339004, 339012, 339020, 339028, 339036, 351718, 351724, 351732, 351740, 335924, 335932, 335940]</t>
  </si>
  <si>
    <t>[328709, 328715, 328724, 328732, 328147, 328148, 328153, 328314, 328324, 328332, 328338, 328142, 328044, 328045, 328051, 328056, 328084, 328090, 328096, 328103, 328110, 328116, 328120, 328127, 328133, 339776, 339784, 339794, 325227, 325228, 325234, 235463]</t>
  </si>
  <si>
    <t>0.011623280476084125</t>
  </si>
  <si>
    <t>[328318, 328709, 328715, 328724, 328732, 328147, 328148, 328153, 328314, 328324, 328332, 328338, 328142, 328044, 328045, 328051, 328056, 328084, 328090, 328096, 328103, 328110, 328116, 328120, 328127, 328133, 339776, 339784, 339794, 325227, 325228, 325234]</t>
  </si>
  <si>
    <t>[0.005, 0.001, 0.033, 0.024, 0.161, 0.041, 0.023, 0.015, 0.028, 0.041, 0.022, 0.012, 0.002, 0.011, 0.03, 0.067, 0.015, 0.039, 0.026, 0.019, 0.032, 0.025, 0.018, 0.019, 0.033, 0.045, 0.034, 0.035, 1.878, 0.002, 0.003, 0.138]</t>
  </si>
  <si>
    <t>7120.584098896927</t>
  </si>
  <si>
    <t>[0.853, -0.027, 0.111, 0.217, 0.126, 0.144, 0.22, 0.139, 0.115, 0.1, 0.07, -0.098]</t>
  </si>
  <si>
    <t>LINESTRING (9.555694768289518 61.74749430483938, 9.55565043822605 61.74755446527828, 9.554267583662591 61.748430038699986, 9.552737605422848 61.74931412295054, 9.552698204385358 61.74933741935656, 9.55262010576093 61.74938079136315, 9.552564704062867 61.74941156804011, 9.552535676440064 61.749428068961045, 9.552180905497401 61.74962972890018, 9.552053759341602 61.74970260930366, 9.551465966044894 61.750043603740224, 9.551180176352899 61.75020732251043, 9.547613712932495 61.75223210824852)</t>
  </si>
  <si>
    <t>[2154095, 2154103, 2154111, 2154119, 2154127, 2154135, 2154143, 2154151, 2154159, 2154167, 2154175, 2154183]</t>
  </si>
  <si>
    <t>[1846356, 1846361, 1846366, 1846372, 1846377, 1846382, 1846388, 1846394, 1846398, 1846403, 1846408, 235743]</t>
  </si>
  <si>
    <t>0.003858190838160365</t>
  </si>
  <si>
    <t>[235735, 1846356, 1846361, 1846366, 1846372, 1846377, 1846382, 1846388, 1846394, 1846398, 1846403, 1846408]</t>
  </si>
  <si>
    <t>[0.853, 0.027, 0.111, 0.217, 0.126, 0.144, 0.22, 0.139, 0.115, 0.1, 0.07, 0.098]</t>
  </si>
  <si>
    <t>680.2554104908115</t>
  </si>
  <si>
    <t>[0.825, -0.028, 0.097, 0.137, 0.178, 0.181, 0.09, 0.142, 0.124, 0.097, 0.064, 0.035, -0.11]</t>
  </si>
  <si>
    <t>LINESTRING (9.555694768289518 61.74749430483938, 9.555596344773676 61.74753737332041, 9.554192127900208 61.74839968559539, 9.55259342152762 61.749271366800365, 9.5525529600176 61.74929464793459, 9.552485242630036 61.7493324666538, 9.55242359404079 61.74936689125641, 9.55239502101203 61.74938296928017, 9.552052093008529 61.749581860723936, 9.551929382288247 61.74965220883146, 9.551339939011248 61.749992120091036, 9.551060178667024 61.75015277597489, 9.550538647528919 61.75045058119386, 9.547613712932495 61.75223210824852)</t>
  </si>
  <si>
    <t>[2154191, 2154199, 2154207, 2154215, 2154223, 2154231, 2154239, 2154247, 2154255, 2154263, 2154271, 2154279, 2154287]</t>
  </si>
  <si>
    <t>[1846419, 1846424, 1846427, 1846431, 1846434, 1846439, 1846444, 1846450, 1846455, 1846460, 1846467, 1846471, 235743]</t>
  </si>
  <si>
    <t>0.004218697136318091</t>
  </si>
  <si>
    <t>[235735, 1846419, 1846424, 1846427, 1846431, 1846434, 1846439, 1846444, 1846450, 1846455, 1846460, 1846467, 1846471]</t>
  </si>
  <si>
    <t>[0.825, 0.028, 0.097, 0.137, 0.178, 0.181, 0.09, 0.142, 0.124, 0.097, 0.064, 0.035, 0.11]</t>
  </si>
  <si>
    <t>679.987694156332</t>
  </si>
  <si>
    <t>[-0.02, -0.003, 0.001, 0.003, 0.009]</t>
  </si>
  <si>
    <t>LINESTRING (9.547613712932495 61.75223210824852, 9.545983615205117 61.75446694451312, 9.546064177598973 61.755923930317906, 9.54680504517515 61.75956044630391, 9.547258889189639 61.762621250087165, 9.547338151760107 61.76426140978495)</t>
  </si>
  <si>
    <t>[231892, 231900, 231908, 231916, 231924]</t>
  </si>
  <si>
    <t>[235744, 235751, 235758, 235765, 235771]</t>
  </si>
  <si>
    <t>[235743, 235744, 235751, 235758, 235765]</t>
  </si>
  <si>
    <t>[0.02, 0.003, 0.001, 0.003, 0.009]</t>
  </si>
  <si>
    <t>1368.5147965271788</t>
  </si>
  <si>
    <t>[0.136, -0.01, 0.015, 0.018, 0.016, 0.198, 0.027, 0.015, -0.0, -0.126]</t>
  </si>
  <si>
    <t>LINESTRING (9.547338151760107 61.76426140978495, 9.547317675502185 61.764357941004874, 9.547277896684763 61.765309515474584, 9.547279380766645 61.76533090332273, 9.547284038820065 61.76536672677719, 9.547284724487739 61.765429210330886, 9.547285504133875 61.765441939630485, 9.547329966672796 61.76637808885774, 9.547331142178292 61.76646445848327, 9.547285036163489 61.767063524149954, 9.547246150512953 61.76733758315464)</t>
  </si>
  <si>
    <t>[247989, 247997, 248005, 248013, 248021, 248029, 248037, 248045, 248053, 248061]</t>
  </si>
  <si>
    <t>[249048, 249053, 246728, 249061, 249068, 249075, 249082, 249087, 249096, 235776]</t>
  </si>
  <si>
    <t>9.663013372286282e-07</t>
  </si>
  <si>
    <t>[235771, 249048, 249053, 246728, 249061, 249068, 249075, 249082, 249087, 249096]</t>
  </si>
  <si>
    <t>[0.136, 0.01, 0.015, 0.018, 0.016, 0.198, 0.027, 0.015, 0.0, 0.126]</t>
  </si>
  <si>
    <t>343.4672102119059</t>
  </si>
  <si>
    <t>[0.235, 0.017, 0.096, 0.019, 0.016, 0.014, 0.031, -0.018, -0.216]</t>
  </si>
  <si>
    <t>LINESTRING (9.547338151760107 61.76426140978495, 9.547359239866605 61.76435705034541, 9.547434157884501 61.76529991170652, 9.547437195299679 61.765329991920225, 9.547439115793075 61.765357696771275, 9.547443649824226 61.765422043548234, 9.547443931047193 61.765434905976385, 9.547488136080549 61.76638077316663, 9.547393498791436 61.767070806534676, 9.547246150512953 61.76733758315464)</t>
  </si>
  <si>
    <t>[335948, 335956, 335964, 335972, 335980, 335988, 335996, 336004, 336012]</t>
  </si>
  <si>
    <t>[325245, 325252, 246729, 325263, 325268, 325274, 325280, 325286, 235776]</t>
  </si>
  <si>
    <t>3.425872480099593e-05</t>
  </si>
  <si>
    <t>[235771, 325245, 325252, 246729, 325263, 325268, 325274, 325280, 325286]</t>
  </si>
  <si>
    <t>[0.235, 0.017, 0.096, 0.019, 0.016, 0.014, 0.031, 0.018, 0.216]</t>
  </si>
  <si>
    <t>344.7611603276635</t>
  </si>
  <si>
    <t>[-0.001, 0.026, 0.043]</t>
  </si>
  <si>
    <t>LINESTRING (9.547246150512953 61.76733758315464, 9.545908911117001 61.770429672381795, 9.545782040839917 61.770789994829414, 9.545703606665954 61.77096432060487)</t>
  </si>
  <si>
    <t>[231932, 231940, 231948]</t>
  </si>
  <si>
    <t>[235777, 235784, 235791]</t>
  </si>
  <si>
    <t>0.0037715553436349857</t>
  </si>
  <si>
    <t>[235776, 235777, 235784]</t>
  </si>
  <si>
    <t>[0.001, 0.026, 0.043]</t>
  </si>
  <si>
    <t>413.7789152309262</t>
  </si>
  <si>
    <t>[0.028, 0.012, 0.009, -0.0, 0.01, 0.011, 0.002, 0.009, 0.02, 0.016, -0.489]</t>
  </si>
  <si>
    <t>LINESTRING (9.545703606665954 61.77096432060487, 9.545194004567298 61.77166741557232, 9.545123958321465 61.771769989684316, 9.54470951703052 61.772395088951924, 9.544683257743312 61.77243596186944, 9.54465833176467 61.77247767088213, 9.544646141911 61.772496452895105, 9.544628289569495 61.772528715413685, 9.544320769488188 61.77322356493075, 9.54430975268693 61.77327220896614, 9.544246514085645 61.773518334911536, 9.5442364271415 61.77368911197655)</t>
  </si>
  <si>
    <t>[248069, 248077, 248085, 248093, 248101, 248109, 248117, 248125, 248133, 2123255, 2123263]</t>
  </si>
  <si>
    <t>[249106, 249111, 249117, 249125, 249130, 249136, 249141, 249147, 249155, 1829034, 235797]</t>
  </si>
  <si>
    <t>[235791, 249106, 249111, 249117, 249125, 249130, 249136, 249141, 249147, 249155, 1829034]</t>
  </si>
  <si>
    <t>[0.028, 0.012, 0.009, 0.0, 0.01, 0.011, 0.002, 0.009, 0.02, 0.016, 0.489]</t>
  </si>
  <si>
    <t>314.950282956071</t>
  </si>
  <si>
    <t>[0.037, 0.02, 0.017, 0.011, 0.002, 0.001, 0.011, 0.004, 0.006, 0.012, -0.505]</t>
  </si>
  <si>
    <t>LINESTRING (9.545703606665954 61.77096432060487, 9.54536134742764 61.771643099787724, 9.545333250206147 61.771689623202974, 9.545268213333932 61.77179405292449, 9.544867579322075 61.77240571768629, 9.5448411066112 61.77244554718216, 9.544814500061777 61.77248730622787, 9.544800896990253 61.772508803763834, 9.544778357429486 61.7725405014991, 9.544397589296986 61.77327229933065, 9.544319773294239 61.77352123704608, 9.5442364271415 61.77368911197655)</t>
  </si>
  <si>
    <t>[336020, 336028, 336036, 336044, 336052, 336060, 336068, 336076, 336084, 2123231, 2123239]</t>
  </si>
  <si>
    <t>[325298, 325307, 325315, 325324, 325331, 325339, 286745, 325354, 325362, 1829018, 235797]</t>
  </si>
  <si>
    <t>[235791, 325298, 325307, 325315, 325324, 325331, 325339, 286745, 325354, 325362, 1829018]</t>
  </si>
  <si>
    <t>[0.037, 0.02, 0.017, 0.011, 0.002, 0.001, 0.011, 0.004, 0.006, 0.012, 0.505]</t>
  </si>
  <si>
    <t>314.16364742240677</t>
  </si>
  <si>
    <t>[-0.002, -0.0, 0.005, 0.031, 0.049, 0.039, 0.004, -0.006, -0.025, -0.04, -0.037, -0.052, 0.009, 0.007, 0.019, 0.048, 0.05, 0.037, 0.047, 0.051, 0.05, -0.303, 0.014, 0.061, -0.013, -0.05, -0.05, -0.034, -0.034, -0.015, -0.005, 0.013, -0.025, -0.05, -0.016, 0.023, 0.042, 0.013, 0.014, -0.006, -0.041, -0.012, -0.013, -0.0, 0.037, -0.058, -0.061, -0.023, -0.003, 0.001, 0.041, -0.053, -0.005, -0.011, 0.039, 0.009, 0.096, 0.01, 0.082, 0.029, 0.003, -0.027, -0.075, -0.01, 0.022, -0.059, -0.036, -0.082, -0.021, 0.021, -0.075]</t>
  </si>
  <si>
    <t>[0, 0, 0, 0, 0, 0, 0, 0, 0, 0, 0, 0, 0, 0, 0, 0, 0, 0, 0, 0, 0, 0, 0, 0, 0, 0, 1, 0, 0, 0, 0, 0, 0, 0, 0, 0, 0, 0, 0, 0, 0, 0, 0, 0, 0, 0, 0, 0, 0, 0, 0, 0, 0, 0, 0, 0, 0, 0, 0, 0, 1, 0, 0, 0, 0, 0, 0, 0, 0, 0, 0]</t>
  </si>
  <si>
    <t>LINESTRING (9.5442364271415 61.77368911197655, 9.54421042059115 61.77406392069184, 9.544217995279116 61.774215170924876, 9.544386469385795 61.775050927322184, 9.544399586816718 61.775099867359444, 9.544415912954259 61.775161012588086, 9.544546035612687 61.77565634653197, 9.551123489359052 61.786190551727216, 9.551241758560955 61.78629233534538, 9.551575965304886 61.786589342136644, 9.551620955441713 61.786630567943654, 9.551678669527378 61.786684170298734, 9.55172812772139 61.78673127949362, 9.553588051417144 61.79136357513008, 9.553613601630609 61.792082806583466, 9.553641028022794 61.79280603635126, 9.553690995771955 61.79413242944227, 9.553692991535476 61.79418523630182, 9.553694507763979 61.794233461393326, 9.553694894361449 61.794252276515365, 9.553718545656299 61.795034482048806, 9.553719176111558 61.79510772623733, 9.553734134845179 61.795426179946084, 9.553802324088212 61.79589569066676, 9.554906464475385 61.79886426394739, 9.554810306776337 61.799730573810635, 9.554724897614774 61.799922167824036, 9.55454412692405 61.800283631514574, 9.554517332200533 61.80033569856232, 9.554034942736076 61.801288497554765, 9.5540135360839 61.80133077146897, 9.553988026178626 61.801381053675094, 9.553863111078678 61.80163261442137, 9.5532564044088 61.803002936468076, 9.55301835978117 61.804114273726974, 9.553026595386399 61.80420143648807, 9.55346849532055 61.805636954583065, 9.553685239327965 61.80631314817882, 9.55377292299266 61.80677514482924, 9.553779232707809 61.80683129095923, 9.553782980350292 61.80688397844609, 9.552633553405702 61.80985884272049, 9.551974510051084 61.810722549937324, 9.550767509569253 61.814561726214414, 9.550039179993373 61.81575228564669, 9.541034957452814 61.82085392382275, 9.537369637713585 61.82213479492435, 9.536004654065227 61.822357332632336, 9.533167351941577 61.82347071436579, 9.532496024933154 61.82396404205043, 9.524029869187714 61.827035897654454, 9.518434540339394 61.82926864399931, 9.516341519388234 61.830020299361514, 9.51109095003364 61.831775688414474, 9.509780947699603 61.83220376794178, 9.508544296152222 61.83263873490475, 9.503096621023852 61.83386433402434, 9.502048843568883 61.83407912622163, 9.48147209520023 61.83880673933979, 9.481113365204308 61.83889071116823, 9.478993448149282 61.839343091022364, 9.478759068221231 61.8393852204977, 9.477431688678514 61.83959826502384, 9.476351812405412 61.8397671899092, 9.473581353184757 61.84055708294928, 9.464375793405797 61.84305852088541, 9.463735713975645 61.8431855840899, 9.451765088289868 61.84451890384742, 9.451674505679266 61.84452659594729, 9.445035010640659 61.84598859128362, 9.437163762028344 61.846936139312106, 9.435214200908554 61.84728372399338)</t>
  </si>
  <si>
    <t>[231956, 231964, 231972, 231980, 231988, 231996, 232004, 232012, 232020, 232028, 232036, 232044, 232052, 232060, 232068, 232077, 232085, 232093, 232101, 232109, 232117, 262998, 263006, 263014, 263022, 263030, 263038, 263046, 263055, 263063, 263071, 263079, 263080, 263088, 263096, 263104, 263105, 263111, 263112, 263113, 263122, 263130, 263142, 263157, 263164, 263172, 263180, 263188, 263196, 263204, 263212, 263220, 263228, 263236, 263244, 263252, 263259, 263267, 263275, 263283, 263291, 263298, 263306, 263314, 263322, 263332, 263340, 263348, 263356, 263364, 1241569]</t>
  </si>
  <si>
    <t>[235798, 235804, 235809, 235815, 235823, 235827, 235835, 235840, 235845, 235852, 235859, 235866, 235870, 235876, 235882, 235888, 235895, 235902, 235908, 235914, 235921, 261189, 261194, 261199, 261207, 261216, 261225, 261230, 261238, 261243, 261251, 261256, 261257, 261266, 261274, 261281, 261282, 261288, 261289, 261290, 261300, 261307, 261315, 261326, 261334, 145512, 145492, 261357, 261366, 147645, 146346, 146377, 206620, 146277, 146482, 147661, 147715, 145013, 146529, 261433, 261440, 261448, 147733, 261462, 146366, 261478, 140691, 261493, 147653, 140682, 1161983]</t>
  </si>
  <si>
    <t>0.0012988396092049736</t>
  </si>
  <si>
    <t>[235797, 235798, 235804, 235809, 235815, 235823, 235827, 235835, 235840, 235845, 235852, 235859, 235866, 235870, 235876, 235882, 235888, 235895, 235902, 235908, 235914, 235921, 261189, 261194, 261199, 261207, 261216, 261225, 261230, 261238, 261243, 261251, 261256, 261257, 261266, 261274, 261281, 261282, 261288, 261289, 261290, 261300, 261307, 261315, 261326, 261334, 145512, 145492, 261357, 261366, 147645, 146346, 146377, 206620, 146277, 146482, 147661, 147715, 145013, 146529, 261433, 261440, 261448, 147733, 261462, 146366, 261478, 140691, 261493, 147653, 140682]</t>
  </si>
  <si>
    <t>[0.002, 0.0, 0.005, 0.031, 0.049, 0.039, 0.004, 0.006, 0.025, 0.04, 0.037, 0.052, 0.009, 0.007, 0.019, 0.048, 0.05, 0.037, 0.047, 0.051, 0.05, 0.303, 0.014, 0.061, 0.013, 0.05, 0.05, 0.034, 0.034, 0.015, 0.005, 0.013, 0.025, 0.05, 0.016, 0.023, 0.042, 0.013, 0.014, 0.006, 0.041, 0.012, 0.013, 0.0, 0.037, 0.058, 0.061, 0.023, 0.003, 0.001, 0.041, 0.053, 0.005, 0.011, 0.039, 0.009, 0.096, 0.01, 0.082, 0.029, 0.003, 0.027, 0.075, 0.01, 0.022, 0.059, 0.036, 0.082, 0.021, 0.021, 0.075]</t>
  </si>
  <si>
    <t>12011.680304346795</t>
  </si>
  <si>
    <t>[0.041, 0.036, 0.017]</t>
  </si>
  <si>
    <t>LINESTRING (10.259251531589621 60.200557017323284, 10.259381405792427 60.200702417336075, 10.259478644806844 60.20083296735912, 10.25970934671805 60.203874380153415)</t>
  </si>
  <si>
    <t>[639682, 639687, 639688]</t>
  </si>
  <si>
    <t>[634188, 634193, 236898]</t>
  </si>
  <si>
    <t>0.018906183313316904</t>
  </si>
  <si>
    <t>[236575, 634188, 634193]</t>
  </si>
  <si>
    <t>378.01383710206284</t>
  </si>
  <si>
    <t>0.047</t>
  </si>
  <si>
    <t>6.849689993163415</t>
  </si>
  <si>
    <t>[0.02, 0.004, 0.004, 0.002, 0.001, 0.002, 0.002, -0.0, -0.001, -0.003, -0.004, -0.003, -0.006, -0.007, -0.007, -0.007, -0.001, -0.002]</t>
  </si>
  <si>
    <t>[0, 0, 0, 0, 0, 1, 0, 0, 0, 0, 0, 0, 0, 0, 0, 0, 0, 0]</t>
  </si>
  <si>
    <t>LINESTRING (9.248309867834722 61.98419924083553, 9.248148498805865 61.984341834138, 9.248101396137342 61.98439613538769, 9.248075507680163 61.98442648748255, 9.248049325612781 61.9844555580074, 9.247970027160797 61.98454371031078, 9.247886354002242 61.98463364201691, 9.24779528463254 61.98472584785952, 9.247391382904583 61.98511332165059, 9.247266442391426 61.98521845943084, 9.2470814979018 61.98536078563526, 9.246229826535977 61.985964079255666, 9.246206851019336 61.98597840333269, 9.246150923605192 61.986015176956805, 9.246082484844866 61.98605597306021, 9.246033414506162 61.98608745231326, 9.244889192306276 61.98675126052073, 9.244781108811916 61.98680817588363, 9.243955625860124 61.987259933219384)</t>
  </si>
  <si>
    <t>[248141, 248149, 248157, 248165, 248173, 248181, 248189, 248197, 248205, 248213, 248221, 248229, 248237, 248245, 248253, 248262, 248270, 248278]</t>
  </si>
  <si>
    <t>[213780, 249166, 247011, 249179, 249187, 249196, 249203, 249210, 249216, 249222, 249228, 213770, 249239, 247002, 249253, 249264, 249271, 236603]</t>
  </si>
  <si>
    <t>[236596, 213780, 249166, 247011, 249179, 249187, 249196, 249203, 249210, 249216, 249222, 249228, 213770, 249239, 247002, 249253, 249264, 249271]</t>
  </si>
  <si>
    <t>[0.02, 0.004, 0.004, 0.002, 0.001, 0.002, 0.002, 0.0, 0.001, 0.003, 0.004, 0.003, 0.006, 0.007, 0.007, 0.007, 0.001, 0.002]</t>
  </si>
  <si>
    <t>413.27005884296443</t>
  </si>
  <si>
    <t>[0.073, -0.003, -0.004, -0.002, -0.004, -0.005, -0.005, 0.002, 0.006, 0.005, 0.005, 0.003, -0.008, 0.001, 0.003, -0.003, -0.002, -0.035]</t>
  </si>
  <si>
    <t>LINESTRING (9.248309867834722 61.98419924083553, 9.248206841279222 61.98435066608171, 9.248158912448211 61.984406706186896, 9.248132124478714 61.984437362740266, 9.24810661118515 61.98446664129051, 9.248027937285782 61.98455513481956, 9.247943353704173 61.98464563160699, 9.247850581084583 61.98473864842953, 9.247507954922293 61.98507258523485, 9.247422988124958 61.985150516939264, 9.247132826441021 61.98540449545316, 9.247029474309809 61.98549443165256, 9.246346299341457 61.98600525802908, 9.246322681711032 61.98601913216153, 9.246276710583734 61.986052541578246, 9.246215449951569 61.98609677080736, 9.246159742190148 61.986130357910035, 9.244897595873205 61.98684918540502, 9.243955625860124 61.987259933219384)</t>
  </si>
  <si>
    <t>[336092, 336100, 336108, 336116, 336124, 336132, 336140, 336148, 336156, 336164, 336172, 336180, 336188, 336196, 336204, 336212, 336220, 336228]</t>
  </si>
  <si>
    <t>[213779, 325376, 247010, 325397, 325407, 325417, 325425, 325434, 325443, 325451, 325459, 325468, 213762, 325482, 246998, 325497, 325504, 236603]</t>
  </si>
  <si>
    <t>[236596, 213779, 325376, 247010, 325397, 325407, 325417, 325425, 325434, 325443, 325451, 325459, 325468, 213762, 325482, 246998, 325497, 325504]</t>
  </si>
  <si>
    <t>[0.073, 0.003, 0.004, 0.002, 0.004, 0.005, 0.005, 0.002, 0.006, 0.005, 0.005, 0.003, 0.008, 0.001, 0.003, 0.003, 0.002, 0.035]</t>
  </si>
  <si>
    <t>415.5753391163026</t>
  </si>
  <si>
    <t>[-0.091, 0.039, 0.018, 0.05, -0.01, 0.099, 0.015, 0.021, 0.021, 0.027, 0.016, 0.028, 0.025, 0.096, -0.042, -0.024, 0.041, -0.04, 0.004, 0.088, 0.031, 0.013, -0.008, 0.034, 0.01, -0.034, -0.0, 0.031, 0.009, -0.041, -0.018, -0.03, -0.017, 0.028, 0.027, 0.031, -0.006, -0.007, 0.037, 0.03, 0.013, -0.03, -0.012, -0.017, -0.014, -0.011, -0.028, -0.024, -0.016, -0.011, -0.019, -0.018, -0.025, -0.009, -0.006, -0.005, 0.012, 0.012, 0.026, 0.014, 0.003, -0.031, 0.009, -0.019, -0.028, 0.002, 0.007, 0.014, 0.03, -0.004, -0.013, 0.0, 0.036, 0.002, -0.003, 0.003, 0.014, 0.02, 0.025, 0.005, -0.01, 0.012, 0.004, 0.012, 0.005, -0.008, -0.008, 0.005, 0.011, -0.002, -0.011, -0.006, -0.008, -0.011, -0.01, 0.021, 0.005, 0.006, 0.026, 0.023, 0.018, 0.0, 0.004, 0.0, -0.003, -0.004, 0.0, 0.0, 0.0, 0.005]</t>
  </si>
  <si>
    <t>7510.0</t>
  </si>
  <si>
    <t>[0, 0, 0, 0, 0, 0, 0, 0, 0, 0, 0, 0, 0, 0, 0, 0, 0, 0, 0, 1, 0, 0, 0, 0, 0, 0, 0, 0, 0, 0, 0, 0, 0, 0, 0, 0, 0, 0, 0, 0, 0, 0, 0, 0, 0, 0, 0, 0, 0, 0, 0, 0, 0, 0, 1, 0, 0, 0, 0, 0, 0, 0, 0, 0, 0, 0, 0, 0, 0, 0, 0, 0, 0, 0, 0, 0, 0, 0, 0, 0, 0, 0, 0, 0, 0, 0, 0, 0, 0, 0, 0, 0, 0, 1, 0, 0, 0, 0, 0, 1, 0, 0, 0, 0, 0, 0, 0, 0, 0, 0]</t>
  </si>
  <si>
    <t>LINESTRING (9.430460312809577 61.84917471968637, 9.429114009972238 61.84967233119419, 9.426520554957838 61.850865662182954, 9.408791374974395 61.85892416338584, 9.40866729029975 61.858957626404916, 9.408574735088258 61.85898309535139, 9.408527053233506 61.858996371083, 9.40720518911323 61.85939205347853, 9.407044362228392 61.85944552806098, 9.403139626209663 61.86115288263525, 9.399589242483199 61.86408280097975, 9.399796595270775 61.865225329210254, 9.40022990074986 61.86571221064876, 9.401138392565285 61.866302385697736, 9.410198592565282 61.8682453099919, 9.411429993093565 61.86853974944249, 9.420347159057815 61.87633221522899, 9.419137256645216 61.877277727870805, 9.41843600399437 61.87759674448259, 9.41116060798412 61.87941794645328, 9.409887279937212 61.87983598903744, 9.409802075148301 61.879872218837384, 9.406330633678492 61.88172453316107, 9.4057268356018 61.88883913369474, 9.401528010214703 61.893081278951136, 9.39462083462962 61.89578399067285, 9.39460487003114 61.89578885606763, 9.393624740808304 61.89608679813216, 9.393608760239728 61.89609164476632, 9.39225967174303 61.89649380090829, 9.392213827725273 61.8965065719231, 9.39104849474593 61.896816325915786, 9.390969250015551 61.89683591318134, 9.390295827002612 61.896992850811934, 9.38693273746246 61.89768899910702, 9.385317285400584 61.89801950502825, 9.371200507686284 61.90267727088019, 9.364585786123225 61.907975293967546, 9.362516955255298 61.90967206245841, 9.362431558181708 61.90974151774705, 9.361283916636664 61.91067673711829, 9.361250355435306 61.910704350922735, 9.361207790664485 61.91073937178978, 9.361141931783491 61.91079354413602, 9.360884559889275 61.91100405561257, 9.35979548451191 61.91192819639805, 9.35832590565634 61.91339672209461, 9.356057750714099 61.91619261611832, 9.355992522943808 61.916255336562664, 9.35484729431596 61.917126616566264, 9.354807098151346 61.91715214715984, 9.354756766596026 61.91718282368955, 9.354671565558249 61.91723448820335, 9.35398431223092 61.917615823749045, 9.35275459635239 61.918164904424216, 9.352490689059792 61.91826314318363, 9.341134957902714 61.92026719703921, 9.341116726709323 61.920269749125964, 9.340015384696065 61.920422247087, 9.339997153323692 61.92042479902311, 9.335857521145664 61.92112675931667, 9.335750159363785 61.921154888075975, 9.335676211523158 61.92117500683844, 9.335612669384023 61.92119225136278, 9.334307489450847 61.92158951985004, 9.334114134825105 61.92166013167162, 9.329953022520389 61.92320997574594, 9.328251507962221 61.923870325352105, 9.323941831900635 61.92508638163655, 9.323842540264101 61.92511184693437, 9.32278929950212 61.92538232007942, 9.320358166182897 61.92601002016497, 9.315375254079212 61.92728642810843, 9.31411486318255 61.92761278641264, 9.305417402582618 61.93231605970713, 9.304678436438111 61.936854345808335, 9.304467588256662 61.93959846593016, 9.304410171596778 61.93969337371632, 9.3037213452309 61.94078362905207, 9.30366125425317 61.94087850677878, 9.295366988640755 61.94791978491615, 9.291830813395698 61.94959895724501, 9.290231140300511 61.95001576933502, 9.279467071182365 61.95193697683966, 9.275422531774947 61.9531297046071, 9.273066702343128 61.954266357019335, 9.271192110987416 61.95527015148652, 9.26985892900935 61.9560181652885, 9.26787431230198 61.95699596246791, 9.265773545302432 61.95770216297616, 9.262881339371843 61.95914396607133, 9.262825903562494 61.95918957777338, 9.262757221632224 61.959242576113986, 9.262661584662535 61.95932194083946, 9.261704083177627 61.960045323198486, 9.26151402058165 61.96016224320051, 9.261379627741416 61.960238008468224, 9.255901753294372 61.96308331879999, 9.253031539309143 61.965798174776964, 9.25283953632386 61.96607628309959, 9.252798230540492 61.96613766875604, 9.252331034384165 61.966948618824055, 9.25070887186607 61.97183845151566, 9.250236685384369 61.97473746461237, 9.250630159770107 61.978419416458706, 9.250617933986982 61.97851796314425, 9.250422083496408 61.97949127849561, 9.250415817078542 61.97951766234951, 9.25040708834257 61.97955130686464, 9.250390844031116 61.97961419964198, 9.248309867834722 61.98419924083553)</t>
  </si>
  <si>
    <t>[1241587, 232125, 232133, 232141, 232149, 232157, 232165, 232173, 232181, 232189, 232197, 232205, 232213, 232221, 232229, 232237, 232245, 232253, 232261, 232269, 232277, 232285, 232293, 232301, 232309, 232317, 232325, 232333, 232341, 232349, 232357, 232365, 232373, 232381, 232389, 232397, 232405, 232413, 232421, 232429, 232437, 232445, 232453, 232461, 232469, 232477, 232485, 232493, 232501, 232509, 232517, 232525, 232533, 232541, 232549, 232557, 232565, 232573, 232581, 232589, 232597, 232605, 232613, 232621, 232629, 232637, 232638, 232656, 232664, 232672, 232673, 232681, 232690, 232707, 232713, 232721, 232729, 232737, 232745, 232762, 232773, 232786, 232794, 232795, 232811, 232819, 232827, 232835, 232843, 232851, 232859, 232867, 232875, 232883, 232891, 232899, 232907, 232915, 232923, 232931, 232939, 232947, 232955, 232963, 232971, 232979, 232987, 232995, 233003, 233011]</t>
  </si>
  <si>
    <t>[235926, 235927, 235934, 235940, 235945, 235950, 235957, 235963, 206196, 146569, 235978, 235985, 146590, 146412, 146401, 225272, 236005, 236010, 236016, 236020, 146540, 236028, 236035, 236039, 236044, 236050, 236055, 236063, 140918, 236075, 236080, 236086, 236091, 236096, 113955, 120049, 109571, 236111, 236114, 236118, 219113, 236133, 219097, 236147, 236153, 236159, 236164, 236167, 236173, 236177, 236182, 213715, 236194, 236199, 236207, 236213, 236219, 236225, 236233, 236238, 236242, 236249, 236256, 236263, 236269, 236275, 109724, 236290, 236297, 113978, 236302, 128671, 133187, 119708, 118368, 236342, 119968, 119530, 236362, 109686, 113680, 113506, 109594, 113470, 236414, 119639, 236430, 109616, 236440, 236446, 236454, 236463, 236470, 236479, 113395, 236493, 109385, 113761, 236514, 236523, 236531, 236539, 119732, 236552, 236560, 236567, 236574, 236583, 236590, 236596]</t>
  </si>
  <si>
    <t>0.006916056221977067</t>
  </si>
  <si>
    <t>[1162003, 235926, 235927, 235934, 235940, 235945, 235950, 235957, 235963, 206196, 146569, 235978, 235985, 146590, 146412, 146401, 225272, 236005, 236010, 236016, 236020, 146540, 236028, 236035, 236039, 236044, 236050, 236055, 236063, 140918, 236075, 236080, 236086, 236091, 236096, 113955, 120049, 109571, 236111, 236114, 236118, 219113, 236133, 219097, 236147, 236153, 236159, 236164, 236167, 236173, 236177, 236182, 213715, 236194, 236199, 236207, 236213, 236219, 236225, 236233, 236238, 236242, 236249, 236256, 236263, 236269, 236275, 109724, 236290, 236297, 113978, 236302, 128671, 133187, 119708, 118368, 236342, 119968, 119530, 236362, 109686, 113680, 113506, 109594, 113470, 236414, 119639, 236430, 109616, 236440, 236446, 236454, 236463, 236470, 236479, 113395, 236493, 109385, 113761, 236514, 236523, 236531, 236539, 119732, 236552, 236560, 236567, 236574, 236583, 236590]</t>
  </si>
  <si>
    <t>[0.091, 0.039, 0.018, 0.05, 0.01, 0.099, 0.015, 0.021, 0.021, 0.027, 0.016, 0.028, 0.025, 0.096, 0.042, 0.024, 0.041, 0.04, 0.004, 0.088, 0.031, 0.013, 0.008, 0.034, 0.01, 0.034, 0.0, 0.031, 0.009, 0.041, 0.018, 0.03, 0.017, 0.028, 0.027, 0.031, 0.006, 0.007, 0.037, 0.03, 0.013, 0.03, 0.012, 0.017, 0.014, 0.011, 0.028, 0.024, 0.016, 0.011, 0.019, 0.018, 0.025, 0.009, 0.006, 0.005, 0.012, 0.012, 0.026, 0.014, 0.003, 0.031, 0.009, 0.019, 0.028, 0.002, 0.007, 0.014, 0.03, 0.004, 0.013, 0.0, 0.036, 0.002, 0.003, 0.003, 0.014, 0.02, 0.025, 0.005, 0.01, 0.012, 0.004, 0.012, 0.005, 0.008, 0.008, 0.005, 0.011, 0.002, 0.011, 0.006, 0.008, 0.011, 0.01, 0.021, 0.005, 0.006, 0.026, 0.023, 0.018, 0.0, 0.004, 0.0, 0.003, 0.004, 0.0, 0.0, 0.0, 0.005]</t>
  </si>
  <si>
    <t>20678.00581503565</t>
  </si>
  <si>
    <t>[0.005, 0.004, 0.002, 0.004, 0.003, 0.024, 0.02, 0.011, 0.003, 0.022, 0.006, 0.005, 0.008, 0.0, -0.005, 0.008, 0.003, 0.002, 0.007, -0.004, 0.0, -0.004, -0.005, -0.004, -0.008, -0.001, 0.01, 0.01, 0.016, 0.012, 0.019, 0.019, 0.019, 0.009, 0.006, -0.002, -0.004, -0.0, -0.007, -0.002, -0.012, 0.001, 0.0, 0.0, 0.006, 0.003, 0.002, -0.003, 0.007, -0.005, -0.0, 0.005, 0.003, 0.008, 0.005, 0.008, 0.03, 0.026, 0.024, 0.005, 0.044, 0.046, 0.065, 0.051, 0.076, 0.06, 0.025, 0.036, -0.007, -0.016, 0.064, -0.002, 0.052, 0.076, 0.113, 0.01, 0.038, 0.074, 0.027, -0.005, 0.025, 0.027, 0.022, 0.028, 0.023, 0.018, 0.022]</t>
  </si>
  <si>
    <t>3597.0</t>
  </si>
  <si>
    <t>[0, 0, 0, 1, 0, 0, 0, 0, 0, 0, 0, 0, 0, 0, 0, 0, 0, 0, 0, 0, 0, 0, 0, 0, 0, 0, 0, 0, 0, 0, 0, 0, 0, 0, 0, 0, 0, 0, 0, 0, 0, 0, 0, 0, 0, 0, 0, 0, 0, 0, 0, 0, 0, 0, 0, 0, 0, 0, 0, 0, 0, 1, 0, 0, 0, 0, 0, 0, 0, 0, 0, 0, 0, 0, 0, 0, 0, 0, 0, 0, 0, 0, 0, 0, 0, 0, 0]</t>
  </si>
  <si>
    <t>LINESTRING (9.243955625860124 61.987259933219384, 9.243817909643743 61.98732222404937, 9.243495395058115 61.98745590693224, 9.233837424496574 61.990655090004005, 9.233556204936539 61.99078859295533, 9.22758166352677 61.99587462455529, 9.22751874731569 61.99593881627532, 9.227415137372313 61.99603786695678, 9.223072480023887 61.99905807795752, 9.222983553076482 61.99911155223893, 9.222959134994793 61.999126199564884, 9.222922130386147 61.999149149439916, 9.222882517175183 61.99917373617702, 9.222268642270873 61.99961975005239, 9.220756469801868 62.00337504455062, 9.22073258290622 62.003422734228366, 9.218827497535756 62.00602120284018, 9.218650327625 62.00614499254677, 9.218452324796361 62.006269562951935, 9.218425612977864 62.00628555367903, 9.215328107192049 62.00794444103761, 9.214628760682183 62.00831560027073, 9.21337356516232 62.008981556041874, 9.213314478798992 62.00901304557511, 9.213187099652735 62.009081020725425, 9.210708203503389 62.0106157248722, 9.210278111750371 62.01096609275158, 9.209836073764508 62.01133587905302, 9.207988370079583 62.01289956365181, 9.20733675300968 62.01344248608558, 9.207120595103516 62.01361063340683, 9.206709720443746 62.01389822687378, 9.206678659389848 62.01391837173381, 9.206390725495057 62.01409672048026, 9.203413842232543 62.01537204385988, 9.20252945801917 62.015715964618636, 9.201519629430832 62.016108473587764, 9.198544929681175 62.01726590848061, 9.19536849514613 62.018696211962016, 9.191085980679782 62.02094316091871, 9.189853272372762 62.02140453466754, 9.188747869754987 62.02171607054323, 9.186053823239945 62.022581865918696, 9.18537239803839 62.0228188768656, 9.182699583712356 62.023802867433346, 9.180128909075597 62.02543457541967, 9.178420858294535 62.026357135625524, 9.173697592509237 62.029445951274695, 9.172701420988298 62.03011203860713, 9.171556244200762 62.030815131470355, 9.169855051496558 62.03185155215984, 9.1682456319574 62.03336241648447, 9.165653746170184 62.035858501677076, 9.160557744379217 62.03772497579485, 9.153449977072755 62.04010506131817, 9.151059975344781 62.04106584575731, 9.15067286524788 62.04121241425898, 9.150575603200872 62.04124579685417, 9.150470514235103 62.041285067830046, 9.147904651952055 62.04204817141064, 9.144889531738322 62.04308388410793, 9.143980274096798 62.04410531903655, 9.143948391113312 62.044171863218814, 9.143110945340322 62.04595416408234, 9.141931757191754 62.046759938182085, 9.141031297145211 62.047065349106376, 9.13508942313728 62.05315236203823, 9.129056502405499 62.05669085700438, 9.128973468724862 62.056725265279645, 9.128864220176405 62.05677071911486, 9.127511691521462 62.05740169071719, 9.12557128990863 62.05934394630333, 9.124173500761708 62.06038190968843, 9.12328936739775 62.061956452878206, 9.123281756288204 62.061968201351554, 9.12317382906058 62.06211678489474, 9.121709340997647 62.063224287281116, 9.120730362585162 62.064996948059886, 9.121731378730974 62.066957225952464, 9.122396954037198 62.06810058595183, 9.123190038082802 62.07054992114713, 9.123239133677197 62.07064882631907, 9.123467749673242 62.07100937698534, 9.123514173236485 62.07107752133321, 9.123567557066407 62.07115095029381, 9.12380771867952 62.07147148751432, 9.123981170914389 62.071699030474846, 9.124435970725063 62.07231375104997)</t>
  </si>
  <si>
    <t>[233019, 233027, 233035, 233043, 233051, 233059, 233067, 233075, 233083, 233091, 233099, 233107, 233115, 233123, 233131, 233139, 233147, 233155, 233163, 233171, 233179, 233187, 233195, 233203, 233211, 233219, 233227, 233235, 233243, 233251, 233259, 233267, 233275, 233283, 233291, 233299, 233307, 233315, 233323, 233331, 233339, 233347, 233355, 233363, 233371, 233379, 233387, 233395, 233403, 233411, 233419, 233427, 233435, 233443, 233451, 233459, 233467, 233475, 233483, 233491, 263372, 263380, 263388, 263396, 263404, 263412, 263420, 263428, 263435, 263443, 263451, 263459, 263467, 263475, 263483, 263491, 263499, 263507, 263515, 263523, 263531, 263539, 263547, 263557, 263565, 263566, 263567]</t>
  </si>
  <si>
    <t>[236604, 236609, 236616, 236625, 236635, 236641, 236645, 213877, 236655, 236661, 236667, 236673, 236679, 236687, 236694, 236699, 128337, 236708, 236714, 236722, 236728, 128591, 236742, 236748, 236755, 236762, 125960, 128498, 236782, 236786, 236794, 236801, 125319, 128507, 128518, 128529, 118924, 128553, 125936, 118935, 128785, 127860, 236859, 128613, 128622, 128632, 117934, 128641, 128654, 128673, 128682, 128690, 128918, 236917, 129036, 236930, 236937, 236941, 129064, 128611, 261513, 261521, 129087, 261537, 261545, 129100, 213743, 261565, 246985, 119018, 261588, 124298, 261603, 261610, 261617, 261625, 261632, 261642, 134519, 261651, 261657, 261663, 261670, 261679, 261690, 261691, 261692]</t>
  </si>
  <si>
    <t>0.014791330860545938</t>
  </si>
  <si>
    <t>[236603, 236604, 236609, 236616, 236625, 236635, 236641, 236645, 213877, 236655, 236661, 236667, 236673, 236679, 236687, 236694, 236699, 128337, 236708, 236714, 236722, 236728, 128591, 236742, 236748, 236755, 236762, 125960, 128498, 236782, 236786, 236794, 236801, 125319, 128507, 128518, 128529, 118924, 128553, 125936, 118935, 128785, 127860, 236859, 128613, 128622, 128632, 117934, 128641, 128654, 128673, 128682, 128690, 128918, 236917, 129036, 236930, 236937, 236941, 129064, 128611, 261513, 261521, 129087, 261537, 261545, 129100, 213743, 261565, 246985, 119018, 261588, 124298, 261603, 261610, 261617, 261625, 261632, 261642, 134519, 261651, 261657, 261663, 261670, 261679, 261690, 261691]</t>
  </si>
  <si>
    <t>[0.005, 0.004, 0.002, 0.004, 0.003, 0.024, 0.02, 0.011, 0.003, 0.022, 0.006, 0.005, 0.008, 0.0, 0.005, 0.008, 0.003, 0.002, 0.007, 0.004, 0.0, 0.004, 0.005, 0.004, 0.008, 0.001, 0.01, 0.01, 0.016, 0.012, 0.019, 0.019, 0.019, 0.009, 0.006, 0.002, 0.004, 0.0, 0.007, 0.002, 0.012, 0.001, 0.0, 0.0, 0.006, 0.003, 0.002, 0.003, 0.007, 0.005, 0.0, 0.005, 0.003, 0.008, 0.005, 0.008, 0.03, 0.026, 0.024, 0.005, 0.044, 0.046, 0.065, 0.051, 0.076, 0.06, 0.025, 0.036, 0.007, 0.016, 0.064, 0.002, 0.052, 0.076, 0.113, 0.01, 0.038, 0.074, 0.027, 0.005, 0.025, 0.027, 0.022, 0.028, 0.023, 0.018, 0.022]</t>
  </si>
  <si>
    <t>12112.108673121355</t>
  </si>
  <si>
    <t>[-1.601, 1.455]</t>
  </si>
  <si>
    <t>LINESTRING (10.258570609364197 60.20520477033622, 10.258529646844245 60.20525346572693, 10.258527960122613 60.205312238997)</t>
  </si>
  <si>
    <t>[2123557, 2123565]</t>
  </si>
  <si>
    <t>[1829201, 634214]</t>
  </si>
  <si>
    <t>0.00900911944163191</t>
  </si>
  <si>
    <t>[236709, 1829201]</t>
  </si>
  <si>
    <t>[1.601, 1.455]</t>
  </si>
  <si>
    <t>12.436246510585825</t>
  </si>
  <si>
    <t>[-0.082, 0.184]</t>
  </si>
  <si>
    <t>LINESTRING (10.259482613514237 60.204059228947955, 10.25894403085643 60.20476768025121, 10.258570609364197 60.20520477033622)</t>
  </si>
  <si>
    <t>[2123541, 2123549]</t>
  </si>
  <si>
    <t>[1829191, 236709]</t>
  </si>
  <si>
    <t>0.020492510176531562</t>
  </si>
  <si>
    <t>[236795, 1829191]</t>
  </si>
  <si>
    <t>[0.082, 0.184]</t>
  </si>
  <si>
    <t>137.40154811978175</t>
  </si>
  <si>
    <t>[-0.114, 0.027, 0.025, 0.008, 0.304]</t>
  </si>
  <si>
    <t>LINESTRING (10.259163883322028 60.200513743492074, 10.259263604633887 60.2006918561353, 10.259365918858624 60.20083454188773, 10.259456009602047 60.20095929517588, 10.259604417965202 60.203859198649994, 10.259482613514237 60.204059228947955)</t>
  </si>
  <si>
    <t>[2123501, 2123509, 2123517, 2123525, 2123533]</t>
  </si>
  <si>
    <t>[1829173, 1829176, 1829180, 1829182, 236795]</t>
  </si>
  <si>
    <t>0.020216878461233982</t>
  </si>
  <si>
    <t>[634185, 1829173, 1829176, 1829180, 1829182]</t>
  </si>
  <si>
    <t>[0.114, 0.027, 0.025, 0.008, 0.304]</t>
  </si>
  <si>
    <t>403.9022922160796</t>
  </si>
  <si>
    <t>[0.025, 0.022, 0.02, 0.025, 0.037]</t>
  </si>
  <si>
    <t>LINESTRING (10.25970934671805 60.203874380153415, 10.259584953096892 60.204075199263684, 10.259046572835437 60.204783514273, 10.258656951850838 60.20522428771654, 10.258612926164385 60.2052721718141, 10.258527960122613 60.205312238997)</t>
  </si>
  <si>
    <t>[639695, 639703, 639704, 639712, 639720]</t>
  </si>
  <si>
    <t>[634197, 634204, 634205, 634209, 634214]</t>
  </si>
  <si>
    <t>0.022448207104855417</t>
  </si>
  <si>
    <t>[236898, 634197, 634204, 634205, 634209]</t>
  </si>
  <si>
    <t>173.87709746747313</t>
  </si>
  <si>
    <t>[0.02, -0.024, 0.004, 0.02, 0.035, -0.058, -0.051, -0.059, -0.014, -0.007]</t>
  </si>
  <si>
    <t>[0, 0, 0, 1, 0, 0, 0, 0, 0, 0]</t>
  </si>
  <si>
    <t>LINESTRING (10.346034674384944 59.82074269082984, 10.341348746782014 59.81974956732992, 10.333113415317486 59.81893796697216, 10.327359316779667 59.8186095765501, 10.32676584082726 59.81857379782012, 10.309445573524995 59.81369644000789, 10.309402880806429 59.813678140295764, 10.309304720181206 59.813636137513654, 10.309263367174069 59.813618470249956, 10.296551505145468 59.80957593082339, 10.292739474626181 59.80882953834423)</t>
  </si>
  <si>
    <t>[233476, 233484, 233492, 233500, 233508, 233516, 233524, 233532, 233540, 233548]</t>
  </si>
  <si>
    <t>[236942, 236946, 236951, 236958, 236966, 236970, 236976, 236982, 236990, 236996]</t>
  </si>
  <si>
    <t>0.006617341862053559</t>
  </si>
  <si>
    <t>[236938, 236942, 236946, 236951, 236958, 236966, 236970, 236976, 236982, 236990]</t>
  </si>
  <si>
    <t>[0.02, 0.024, 0.004, 0.02, 0.035, 0.058, 0.051, 0.059, 0.014, 0.007]</t>
  </si>
  <si>
    <t>3349.1882763962913</t>
  </si>
  <si>
    <t>[-0.044, 0.074, 0.033, -0.026, 0.037, 0.034, 0.038, 0.029, -0.035, -0.028, -0.038, -0.033, -0.033, -0.022, 0.013, 0.013, 0.008, 0.004, -0.018, -0.026, -0.017]</t>
  </si>
  <si>
    <t>58756.0</t>
  </si>
  <si>
    <t>LINESTRING (10.406537410744773 59.828878143863484, 10.406301290373813 59.82879852984048, 10.406286995306614 59.82879324521939, 10.404366070933012 59.828215133327106, 10.404275394508293 59.82819220145951, 10.39897374494017 59.827558263932545, 10.394185042967491 59.8274160734027, 10.394167359276208 59.82741515654181, 10.378558074252147 59.82504793085706, 10.378454595599349 59.82504572894542, 10.378402816615795 59.825044527629416, 10.378384906403003 59.825044095301585, 10.378152155208246 59.82503814490824, 10.378060231165756 59.825036349270334, 10.361568454049179 59.824663101286696, 10.350950338296443 59.82232879029289, 10.350865845294003 59.82229787243787, 10.34939662304292 59.821773795343596, 10.349168812171508 59.821695420665996, 10.347358346873154 59.821114065818215, 10.347007870477 59.821011041568894, 10.346034674384944 59.82074269082984)</t>
  </si>
  <si>
    <t>[1553823, 1553831, 1553839, 1553847, 1553855, 1553863, 1553871, 1553879, 1553887, 1553895, 1553903, 1553911, 1553919, 1553927, 1553935, 233428, 233436, 233444, 233452, 233460, 233468]</t>
  </si>
  <si>
    <t>[1402415, 1402423, 1402431, 1402439, 1402447, 1402454, 1402460, 1402466, 1402476, 1402484, 1402490, 1402496, 1402503, 1402507, 236907, 236908, 236913, 236918, 236922, 236931, 236938]</t>
  </si>
  <si>
    <t>0.009789092900122217</t>
  </si>
  <si>
    <t>[1391901, 1402415, 1402423, 1402431, 1402439, 1402447, 1402454, 1402460, 1402466, 1402476, 1402484, 1402490, 1402496, 1402503, 1402507, 236907, 236908, 236913, 236918, 236922, 236931]</t>
  </si>
  <si>
    <t>[0.044, 0.074, 0.033, 0.026, 0.037, 0.034, 0.038, 0.029, 0.035, 0.028, 0.038, 0.033, 0.033, 0.022, 0.013, 0.013, 0.008, 0.004, 0.018, 0.026, 0.017]</t>
  </si>
  <si>
    <t>3596.0587187737883</t>
  </si>
  <si>
    <t>[0.078, 0.106]</t>
  </si>
  <si>
    <t>LINESTRING (9.126772239506417 62.071998144661876, 9.127613621640224 62.07156864074591, 9.128168302134789 62.071886315412286)</t>
  </si>
  <si>
    <t>[248326, 1263607]</t>
  </si>
  <si>
    <t>[249326, 236965]</t>
  </si>
  <si>
    <t>0.08655508265238739</t>
  </si>
  <si>
    <t>[236957, 249326]</t>
  </si>
  <si>
    <t>151.08835969993828</t>
  </si>
  <si>
    <t>[0.147, -0.1]</t>
  </si>
  <si>
    <t>LINESTRING (9.126772239506417 62.071998144661876, 9.127683113372477 62.07153758012001, 9.128168302134789 62.071886315412286)</t>
  </si>
  <si>
    <t>[336236, 1263615]</t>
  </si>
  <si>
    <t>[325521, 236965]</t>
  </si>
  <si>
    <t>0.07808151831820304</t>
  </si>
  <si>
    <t>[236957, 325521]</t>
  </si>
  <si>
    <t>[0.147, 0.1]</t>
  </si>
  <si>
    <t>167.99870955252712</t>
  </si>
  <si>
    <t>[0.035, 0.015, 0.01, -0.002, -0.036]</t>
  </si>
  <si>
    <t>LINESTRING (9.128522313823883 62.07523354848253, 9.128465595359412 62.07462187379981, 9.128366810827425 62.0744504764063, 9.128317457111502 62.07436557158575, 9.127813369293152 62.07350457528822, 9.126772239506417 62.071998144661876)</t>
  </si>
  <si>
    <t>[242976, 242984, 242992, 243000, 233499]</t>
  </si>
  <si>
    <t>[244853, 244861, 244870, 236956, 236957]</t>
  </si>
  <si>
    <t>[244852, 244853, 244861, 244870, 236956]</t>
  </si>
  <si>
    <t>[0.035, 0.015, 0.01, 0.002, 0.036]</t>
  </si>
  <si>
    <t>376.32803205796375</t>
  </si>
  <si>
    <t>[0.075, 0.102]</t>
  </si>
  <si>
    <t>LINESTRING (9.128168302134789 62.071886315412286, 9.131067657985357 62.07358045361605, 9.13127286826593 62.07375584191862)</t>
  </si>
  <si>
    <t>[233507, 1362325]</t>
  </si>
  <si>
    <t>[135932, 1258283]</t>
  </si>
  <si>
    <t>0.0772695755699935</t>
  </si>
  <si>
    <t>[236965, 135932]</t>
  </si>
  <si>
    <t>265.4470092490659</t>
  </si>
  <si>
    <t>[0.023, -0.01, -0.041, -0.045, 0.037, -0.063]</t>
  </si>
  <si>
    <t>LINESTRING (10.292739474626181 59.80882953834423, 10.292673165717565 59.80881812142037, 10.288910608568633 59.808252586363885, 10.287529629070491 59.808082219340726, 10.286614669581807 59.807970600399585, 10.282532025984409 59.807449251362335, 10.280147803807846 59.807054467577174)</t>
  </si>
  <si>
    <t>[233556, 233564, 233572, 233580, 233588, 233596]</t>
  </si>
  <si>
    <t>[236999, 237004, 237009, 237014, 237019, 237024]</t>
  </si>
  <si>
    <t>[236996, 236999, 237004, 237009, 237014, 237019]</t>
  </si>
  <si>
    <t>[0.023, 0.01, 0.041, 0.045, 0.037, 0.063]</t>
  </si>
  <si>
    <t>734.5872775432649</t>
  </si>
  <si>
    <t>[0.029, -0.017, -0.061, -0.039]</t>
  </si>
  <si>
    <t>LINESTRING (10.292739474626181 59.80882953834423, 10.292345955916655 59.80880352910136, 10.286443401426759 59.808557483491654, 10.286415313493578 59.808540329788926, 10.28646073825409 59.808427747204526)</t>
  </si>
  <si>
    <t>[234060, 1387011, 234108, 234116]</t>
  </si>
  <si>
    <t>[237365, 237405, 237406, 237412]</t>
  </si>
  <si>
    <t>[236996, 237365, 237405, 237406]</t>
  </si>
  <si>
    <t>[0.029, 0.017, 0.061, 0.039]</t>
  </si>
  <si>
    <t>374.1136663493302</t>
  </si>
  <si>
    <t>[-0.022, -0.004, -0.063, -0.05, -0.011, -0.002, -0.224, -0.023, -0.057, -0.043, -0.065, -0.066, -0.059, -0.036, -0.045, -0.046, -0.044, -0.017, -0.004, 0.014, 0.013]</t>
  </si>
  <si>
    <t>[0, 0, 0, 0, 0, 0, 0, 0, 0, 0, 0, 0, 1, 0, 0, 1, 0, 0, 0, 1, 1]</t>
  </si>
  <si>
    <t>LINESTRING (10.280147803807846 59.807054467577174, 10.280079208698222 59.807041342871926, 10.276260525981458 59.80604079176083, 10.267513281780237 59.798157368915795, 10.267491751447206 59.797899928205744, 10.268007558068046 59.795533573684516, 10.271351568493586 59.79134235236785, 10.27239864398752 59.78970915579512, 10.272496119013155 59.78945666000943, 10.272766960503965 59.78802363995262, 10.272767996510012 59.788005004283896, 10.273595068995553 59.783025569309174, 10.273699548837277 59.78285952165303, 10.27408482169513 59.78232265279998, 10.274114537243177 59.78228619715461, 10.276033198306362 59.77612761078778, 10.275631156053809 59.77566891455665, 10.27537493416514 59.775433373101514, 10.26993042799307 59.772924643027935, 10.269053655757999 59.772659121668674, 10.268474847766429 59.77248392585203, 10.268428276887494 59.77246971661566)</t>
  </si>
  <si>
    <t>[233604, 233612, 233620, 1243917, 2078080, 2078088, 2078096, 1243921, 233628, 233636, 233644, 233652, 233660, 233668, 233676, 233684, 233692, 233700, 233708, 233716, 233724]</t>
  </si>
  <si>
    <t>[237030, 237038, 237042, 1164015, 1802327, 1802331, 1164021, 237048, 237049, 237055, 237061, 237068, 237074, 237080, 237087, 237091, 237098, 237103, 237108, 237113, 237118]</t>
  </si>
  <si>
    <t>[237024, 237030, 237038, 237042, 1164015, 1802327, 1802331, 1164021, 237048, 237049, 237055, 237061, 237068, 237074, 237080, 237087, 237091, 237098, 237103, 237108, 237113]</t>
  </si>
  <si>
    <t>[0.022, 0.004, 0.063, 0.05, 0.011, 0.002, 0.224, 0.023, 0.057, 0.043, 0.065, 0.066, 0.059, 0.036, 0.045, 0.046, 0.044, 0.017, 0.004, 0.014, 0.013]</t>
  </si>
  <si>
    <t>4444.255239998707</t>
  </si>
  <si>
    <t>[-0.007, -0.06]</t>
  </si>
  <si>
    <t>LINESTRING (10.285017748834271 59.80794789854736, 10.280396949583944 59.80715314580068, 10.280147803807846 59.807054467577174)</t>
  </si>
  <si>
    <t>[1387059, 234373]</t>
  </si>
  <si>
    <t>[237656, 237024]</t>
  </si>
  <si>
    <t>[1273513, 237656]</t>
  </si>
  <si>
    <t>[0.007, 0.06]</t>
  </si>
  <si>
    <t>292.22187232582684</t>
  </si>
  <si>
    <t>[0.018, 0.024, 0.008, -0.014, 0.037, 0.02, -0.003, 0.012]</t>
  </si>
  <si>
    <t>[1, 0, 0, 0, 0, 0, 0, 0]</t>
  </si>
  <si>
    <t>LINESTRING (10.268428276887494 59.77246971661566, 10.268052260130549 59.77235421766498, 10.266742013124885 59.77195465589957, 10.259953593609321 59.76923945128444, 10.258450964196717 59.76835690824923, 10.258240719059911 59.76822084517573, 10.256283691347361 59.76676970274214, 10.2549273444518 59.765475062485336, 10.254909860348901 59.76545643138693)</t>
  </si>
  <si>
    <t>[233732, 233740, 233748, 233756, 233764, 233772, 233780, 233788]</t>
  </si>
  <si>
    <t>[237125, 237131, 237136, 237143, 237147, 237152, 237160, 237167]</t>
  </si>
  <si>
    <t>0.007901593701927808</t>
  </si>
  <si>
    <t>[237118, 237125, 237131, 237136, 237143, 237147, 237152, 237160]</t>
  </si>
  <si>
    <t>[0.018, 0.024, 0.008, 0.014, 0.037, 0.02, 0.003, 0.012]</t>
  </si>
  <si>
    <t>1109.73216691683</t>
  </si>
  <si>
    <t>[0.097, 0.008, -0.011, 0.003, 0.001, 0.006, 0.018, 0.0]</t>
  </si>
  <si>
    <t>LINESTRING (10.268428276887494 59.77246971661566, 10.267976222285188 59.77237209102705, 10.26633263955113 59.77189294212547, 10.265388295421062 59.771672485018236, 10.26432298692978 59.77134116544617, 10.263222088690249 59.77096293025841, 10.262453571854055 59.770647904901786, 10.260636704717113 59.7698251634102, 10.25817080177434 59.768533657524934)</t>
  </si>
  <si>
    <t>[1257838, 1257912, 1634683, 1634684, 1634689, 1634702, 1634731, 1634742]</t>
  </si>
  <si>
    <t>[1175742, 1175793, 1284936, 1461492, 220139, 219763, 1284962, 1461371]</t>
  </si>
  <si>
    <t>0.00819026905308276</t>
  </si>
  <si>
    <t>[237118, 1175742, 1175793, 1284936, 1461492, 220139, 219763, 1284962]</t>
  </si>
  <si>
    <t>[0.097, 0.008, 0.011, 0.003, 0.001, 0.006, 0.018, 0.0]</t>
  </si>
  <si>
    <t>731.6613030040552</t>
  </si>
  <si>
    <t>[0.013, 0.018, 0.021, 0.009, 0.002, 0.003, -0.006, -0.012, -0.01, -0.017, -0.01, -0.02, 0.005, 0.015, 0.021]</t>
  </si>
  <si>
    <t>[0, 0, 1, 0, 0, 1, 0, 0, 0, 1, 0, 0, 0, 0, 0]</t>
  </si>
  <si>
    <t>LINESTRING (10.254909860348901 59.76545643138693, 10.254376297959782 59.76484098843079, 10.25390608173816 59.764229768725144, 10.2537120331548 59.76396205934488, 10.251949574224593 59.761231916142016, 10.251665737873678 59.76077399477405, 10.251547428382024 59.760584148061184, 10.248712879703826 59.75607266593531, 10.248455476298613 59.75568915406888, 10.2475823940177 59.75445850279615, 10.24727232902488 59.75405688882802, 10.24565416549764 59.75227588624134, 10.244008709284723 59.75088079400249, 10.24101808622562 59.749096291780205, 10.238883661880434 59.74802814623114, 10.236461174595977 59.74681040016237)</t>
  </si>
  <si>
    <t>[233796, 233804, 233812, 233820, 233828, 233836, 233844, 233852, 233860, 233868, 233876, 1179147, 1179155, 1179163, 1179171]</t>
  </si>
  <si>
    <t>[237172, 237178, 237188, 237193, 237200, 237204, 237209, 237212, 237216, 237220, 237227, 1109963, 1109969, 1109975, 1109982]</t>
  </si>
  <si>
    <t>0.0008901114121338806</t>
  </si>
  <si>
    <t>[237167, 237172, 237178, 237188, 237193, 237200, 237204, 237209, 237212, 237216, 237220, 237227, 1109963, 1109969, 1109975]</t>
  </si>
  <si>
    <t>[0.013, 0.018, 0.021, 0.009, 0.002, 0.003, 0.006, 0.012, 0.01, 0.017, 0.01, 0.02, 0.005, 0.015, 0.021]</t>
  </si>
  <si>
    <t>2363.676493923018</t>
  </si>
  <si>
    <t>[0.017, 0.001, -0.008]</t>
  </si>
  <si>
    <t>LINESTRING (10.257421608585027 59.767909319739395, 10.25633683853688 59.76691734057751, 10.255066838190405 59.765711194289345, 10.254909860348901 59.76545643138693)</t>
  </si>
  <si>
    <t>[1635105, 1257925, 1257921]</t>
  </si>
  <si>
    <t>[1175805, 1175800, 237167]</t>
  </si>
  <si>
    <t>0.006699818604579597</t>
  </si>
  <si>
    <t>[1461385, 1175805, 1175800]</t>
  </si>
  <si>
    <t>[0.017, 0.001, 0.008]</t>
  </si>
  <si>
    <t>309.11257616519396</t>
  </si>
  <si>
    <t>[0.015, -0.009, -0.022, -0.016, 0.04, 0.039, 0.022, 0.014]</t>
  </si>
  <si>
    <t>[0, 0, 1, 1, 1, 0, 0, 0]</t>
  </si>
  <si>
    <t>LINESTRING (10.24757957555235 59.696851093492846, 10.247670974039936 59.69674809863717, 10.248860692956068 59.69450782078106, 10.248865586230913 59.694475481737484, 10.248912160940156 59.69417220829586, 10.248916316038242 59.69413917685602, 10.248439885342664 59.69192894940629, 10.248202163055762 59.69154692045369, 10.246708568427527 59.68996565283791)</t>
  </si>
  <si>
    <t>[233908, 233916, 233924, 233932, 233940, 233948, 233956, 233964]</t>
  </si>
  <si>
    <t>[237250, 237256, 237260, 237267, 237274, 237280, 237286, 237291]</t>
  </si>
  <si>
    <t>0.013460065716792837</t>
  </si>
  <si>
    <t>[237244, 237250, 237256, 237260, 237267, 237274, 237280, 237286]</t>
  </si>
  <si>
    <t>[0.015, 0.009, 0.022, 0.016, 0.04, 0.039, 0.022, 0.014]</t>
  </si>
  <si>
    <t>802.6421383673713</t>
  </si>
  <si>
    <t>[-0.002, -0.006, -0.005]</t>
  </si>
  <si>
    <t>LINESTRING (10.24757957555235 59.696851093492846, 10.24761692183687 59.69669700756291, 10.247987779837649 59.694478638990226, 10.247956328620363 59.69441063894602)</t>
  </si>
  <si>
    <t>[586226, 1638789, 1638790]</t>
  </si>
  <si>
    <t>[591818, 1465540, 1465541]</t>
  </si>
  <si>
    <t>[237244, 591818, 1465540]</t>
  </si>
  <si>
    <t>[0.002, 0.006, 0.005]</t>
  </si>
  <si>
    <t>282.1288734212733</t>
  </si>
  <si>
    <t>[0.055, 0.007, 0.005, 0.004, 0.013]</t>
  </si>
  <si>
    <t>LINESTRING (10.237344227152679 59.709997553760054, 10.237351230497033 59.70999313094101, 10.241412040721405 59.705831000604704, 10.246776515966719 59.697768688133124, 10.247546921140685 59.69689068268428, 10.24757957555235 59.696851093492846)</t>
  </si>
  <si>
    <t>[1630253, 1630254, 1630264, 233892, 233900]</t>
  </si>
  <si>
    <t>[1457832, 1457833, 237238, 237239, 237244]</t>
  </si>
  <si>
    <t>0.0056353401887053135</t>
  </si>
  <si>
    <t>[1457814, 1457832, 1457833, 237238, 237239]</t>
  </si>
  <si>
    <t>1582.1207844244323</t>
  </si>
  <si>
    <t>[0.019, -0.004, 0.002, 0.007, -0.002, -0.004, 0.025, 0.013, -0.008, 0.019]</t>
  </si>
  <si>
    <t>[0, 0, 0, 0, 0, 0, 1, 0, 0, 0]</t>
  </si>
  <si>
    <t>LINESTRING (10.246708568427527 59.68996565283791, 10.24482417349486 59.6834773990768, 10.241788019160976 59.67310785831737, 10.240675323098667 59.671451744127616, 10.240533730350732 59.67123926342102, 10.237666113026911 59.66693856447809, 10.23412986341408 59.661098954987196, 10.233985062936693 59.66087960200092, 10.233177512833432 59.65973301744718, 10.232956062645322 59.65943286697601, 10.231926284961702 59.65820686694825)</t>
  </si>
  <si>
    <t>[233972, 233980, 233988, 233996, 234004, 1242297, 1242298, 1242303, 1242327, 1242343]</t>
  </si>
  <si>
    <t>[237296, 237301, 237306, 237314, 237321, 1162617, 1162618, 1162621, 1162645, 1148895]</t>
  </si>
  <si>
    <t>0.003096562822767795</t>
  </si>
  <si>
    <t>[237291, 237296, 237301, 237306, 237314, 237321, 1162617, 1162618, 1162621, 1162645]</t>
  </si>
  <si>
    <t>[0.019, 0.004, 0.002, 0.007, 0.002, 0.004, 0.025, 0.013, 0.008, 0.019]</t>
  </si>
  <si>
    <t>3717.593926901548</t>
  </si>
  <si>
    <t>[0.039, 0.038, 0.024, 0.019]</t>
  </si>
  <si>
    <t>LINESTRING (10.24802018011499 59.694179501816585, 10.24805444059551 59.69412343822486, 10.248079342356958 59.69408566354591, 10.246828189894899 59.690150836506795, 10.246708568427527 59.68996565283791)</t>
  </si>
  <si>
    <t>[1634997, 1635005, 1635006, 586650]</t>
  </si>
  <si>
    <t>[1461774, 1461784, 592105, 237291]</t>
  </si>
  <si>
    <t>0.02410297535768517</t>
  </si>
  <si>
    <t>[1461773, 1461774, 1461784, 592105]</t>
  </si>
  <si>
    <t>493.28000866030726</t>
  </si>
  <si>
    <t>[-0.022, 0.005, 0.019, 0.034, -0.06, -0.05, -0.056, -0.013, -0.025]</t>
  </si>
  <si>
    <t>[0, 0, 1, 0, 0, 0, 0, 0, 0]</t>
  </si>
  <si>
    <t>LINESTRING (10.341496787708225 59.81963584294933, 10.333112951278244 59.81880999764838, 10.327406733287347 59.81848165537059, 10.326801576004222 59.81844538916068, 10.30967663661507 59.81362109939989, 10.309634837700461 59.813603173479656, 10.309534004299374 59.81355998706984, 10.309490534683045 59.81354137180907, 10.296757912960272 59.80948085018765, 10.296707490295573 59.809469959468586)</t>
  </si>
  <si>
    <t>[1593575, 1593583, 1593591, 1593599, 1593607, 1593615, 1593623, 1593631, 1593639]</t>
  </si>
  <si>
    <t>[1432620, 1432626, 1432630, 1432635, 1432643, 1432651, 1432657, 1432666, 237506]</t>
  </si>
  <si>
    <t>0.0064480950299783315</t>
  </si>
  <si>
    <t>[237352, 1432620, 1432626, 1432630, 1432635, 1432643, 1432651, 1432657, 1432666]</t>
  </si>
  <si>
    <t>[0.022, 0.005, 0.019, 0.034, 0.06, 0.05, 0.056, 0.013, 0.025]</t>
  </si>
  <si>
    <t>2833.011464229399</t>
  </si>
  <si>
    <t>[-0.766, 0.015, 0.112, 0.1, 0.02, 0.034, 0.041, 0.02, 0.028, -0.041, -0.041, -0.047, -0.044, -0.045, -0.023, 0.002, 0.754, 0.007, 0.001, -0.021, 0.021]</t>
  </si>
  <si>
    <t>LINESTRING (10.40774078314589 59.82912666257951, 10.407696066083982 59.82911151863505, 10.406669482376861 59.828763953716994, 10.406609934363827 59.8287439197765, 10.406443611052289 59.82869098500775, 10.40437124936201 59.82808624390106, 10.39906115566702 59.82743634679684, 10.394254296669027 59.82729136387186, 10.39423653697763 59.82729048032959, 10.37856832562326 59.82491653839315, 10.378469490593048 59.82491485963039, 10.378416174070752 59.82491315451498, 10.378397730259131 59.82491257749578, 10.3781578938916 59.8249064587348, 10.378079510663303 59.82490517555555, 10.36157016006367 59.824535445156364, 10.351117363062006 59.82222990239078, 10.350982363453562 59.82218217653685, 10.349541552289628 59.82166571741972, 10.349310112642467 59.82158685471694, 10.346182644174851 59.82063488610339, 10.341496787708225 59.81963584294933)</t>
  </si>
  <si>
    <t>[1543932, 1543940, 1543948, 1543956, 1543964, 1543972, 1543980, 1543988, 1543996, 1544004, 1544012, 1544020, 1544028, 1544036, 1544044, 1544052, 1593535, 1593543, 1593551, 1593559, 1593567]</t>
  </si>
  <si>
    <t>[1394742, 1394750, 1394759, 1394767, 1394775, 1394781, 1394786, 1394792, 1394799, 1394806, 1394815, 1394824, 1394831, 1394840, 1394849, 1394854, 1432599, 1432603, 1432608, 1432612, 237352]</t>
  </si>
  <si>
    <t>0.009799691366077399</t>
  </si>
  <si>
    <t>[1391887, 1394742, 1394750, 1394759, 1394767, 1394775, 1394781, 1394786, 1394792, 1394799, 1394806, 1394815, 1394824, 1394831, 1394840, 1394849, 1394854, 1432599, 1432603, 1432608, 1432612]</t>
  </si>
  <si>
    <t>[0.766, 0.015, 0.112, 0.1, 0.02, 0.034, 0.041, 0.02, 0.028, 0.041, 0.041, 0.047, 0.044, 0.045, 0.023, 0.002, 0.754, 0.007, 0.001, 0.021, 0.021]</t>
  </si>
  <si>
    <t>3952.4624408402015</t>
  </si>
  <si>
    <t>[-0.052, 0.004, 0.057]</t>
  </si>
  <si>
    <t>LINESTRING (10.28646073825409 59.808427747204526, 10.286415221462134 59.80842146287396, 10.285192360613484 59.80798834872411, 10.285017748834271 59.80794789854736)</t>
  </si>
  <si>
    <t>[234309, 1387043, 1387051]</t>
  </si>
  <si>
    <t>[237606, 1273506, 1273513]</t>
  </si>
  <si>
    <t>0.008332663688185178</t>
  </si>
  <si>
    <t>[237412, 237606, 1273506]</t>
  </si>
  <si>
    <t>[0.052, 0.004, 0.057]</t>
  </si>
  <si>
    <t>97.75463061987232</t>
  </si>
  <si>
    <t>8.410108976919503</t>
  </si>
  <si>
    <t>[-0.012, -0.008, -0.037, -0.044, 0.039, -0.055]</t>
  </si>
  <si>
    <t>LINESTRING (10.296707490295573 59.809469959468586, 10.29287837462969 59.80871426104199, 10.289025700699357 59.808125062450536, 10.287696087298697 59.80795171908191, 10.28676530297782 59.807837509343294, 10.282739071070516 59.80733057717534, 10.282687327468986 59.80732351909274)</t>
  </si>
  <si>
    <t>[1593647, 1593655, 1593663, 1593671, 1593679, 1593687]</t>
  </si>
  <si>
    <t>[1432680, 1432683, 1432688, 1432695, 1432700, 591512]</t>
  </si>
  <si>
    <t>[237506, 1432680, 1432683, 1432688, 1432695, 1432700]</t>
  </si>
  <si>
    <t>[0.012, 0.008, 0.037, 0.044, 0.039, 0.055]</t>
  </si>
  <si>
    <t>824.0048479330725</t>
  </si>
  <si>
    <t>[0.015, 0.026]</t>
  </si>
  <si>
    <t>LINESTRING (10.288552662123344 59.80764755631957, 10.296335041250904 59.809333346893816, 10.296707490295573 59.809469959468586)</t>
  </si>
  <si>
    <t>[1387035, 234212]</t>
  </si>
  <si>
    <t>[237505, 237506]</t>
  </si>
  <si>
    <t>0.015566407193731903</t>
  </si>
  <si>
    <t>[1273494, 237505]</t>
  </si>
  <si>
    <t>502.3710561651511</t>
  </si>
  <si>
    <t>[0.019, 0.009, 0.064, 0.05, 0.06, 0.047, 0.047, 0.04, 0.021, 0.019, 0.024]</t>
  </si>
  <si>
    <t>LINESTRING (9.853388898704235 60.64770679190461, 9.853236410365152 60.64775390831891, 9.851965857725212 60.64823919696586, 9.851902094909695 60.64826399142709, 9.851811838785355 60.64829539411072, 9.851772658539236 60.64830902594439, 9.851707727108488 60.648334594017385, 9.851656870591482 60.648352481213294, 9.850451755805798 60.648723521692055, 9.850390453181356 60.64874014184246, 9.850327486505693 60.6487557080871, 9.848974144037935 60.64905890196097)</t>
  </si>
  <si>
    <t>[248640, 248648, 248656, 248664, 248672, 248680, 248688, 248696, 248704, 248713, 248721]</t>
  </si>
  <si>
    <t>[249587, 249593, 249601, 249605, 175332, 249612, 249616, 249621, 249626, 249634, 237654]</t>
  </si>
  <si>
    <t>0.025602347663302435</t>
  </si>
  <si>
    <t>[237649, 249587, 249593, 249601, 249605, 175332, 249612, 249616, 249621, 249626, 249634]</t>
  </si>
  <si>
    <t>286.1139593704059</t>
  </si>
  <si>
    <t>[0.009, 0.006, 0.002, -0.003, 0.043, 0.055, 0.045, 0.039, 0.031]</t>
  </si>
  <si>
    <t>LINESTRING (9.853388898704235 60.64770679190461, 9.853267137007093 60.64777227748192, 9.852241915273368 60.64822121946304, 9.852057590041028 60.648294692950095, 9.85199573770107 60.64832014593636, 9.851908930290376 60.64835530755712, 9.851814183137847 60.648393132115075, 9.851763670645804 60.64841207630251, 9.850533739429613 60.64878381624513, 9.848974144037935 60.64905890196097)</t>
  </si>
  <si>
    <t>[293022, 293030, 293038, 293046, 293054, 293062, 293070, 293078, 293086]</t>
  </si>
  <si>
    <t>[285791, 285801, 285809, 285817, 285823, 285829, 285834, 285844, 237654]</t>
  </si>
  <si>
    <t>0.025089585420211048</t>
  </si>
  <si>
    <t>[237649, 285791, 285801, 285809, 285817, 285823, 285829, 285834, 285844]</t>
  </si>
  <si>
    <t>[0.009, 0.006, 0.002, 0.003, 0.043, 0.055, 0.045, 0.039, 0.031]</t>
  </si>
  <si>
    <t>289.00520740132015</t>
  </si>
  <si>
    <t>1362.0</t>
  </si>
  <si>
    <t>LINESTRING (9.988731282095815 60.56325322109984, 9.853388898704235 60.64770679190461)</t>
  </si>
  <si>
    <t>21365.400605663388</t>
  </si>
  <si>
    <t>[0.039, -0.01, -0.059, 0.006, 0.015, -0.017, -0.021, -0.006, -0.008, -0.003, 0.001, 0.015, 0.035, 0.049, 0.003, 0.025, 0.025, 0.016, -0.009, -0.015, -0.004, 0.013, 0.065, 0.049, 0.023, -0.015, -0.039, -0.012, -0.035, -0.012, 0.043, 0.015, 0.016, 0.012, -0.066, -0.044, -0.02, -0.02, -0.004, 0.047, -0.048, -0.029, -0.02, 0.003, 0.042, 0.049, 0.063, 0.067, 0.053, 0.067, 0.061, 0.059, -0.012, -0.029, -0.029, 0.019, 0.051, 0.068, 0.047, 0.042, 0.015, 0.032, -0.013, 0.024, -0.015, 0.0, 0.028, -0.003, -0.003, -0.017, -0.007, 0.009, 0.018, 0.003, 0.014, 0.038, 0.037, 0.002, -0.017, 0.011, 0.008, 0.005, 0.035, -0.005, 0.01, 0.039, 0.014, 0.004, -0.028, -0.042, -0.041, 0.042, 0.018, -0.01, 0.026, -0.059, -0.035, 0.07, -0.023, 0.002, 0.047, 0.025, 0.029, -0.006, -0.02]</t>
  </si>
  <si>
    <t>[0, 0, 0, 0, 0, 0, 0, 0, 0, 0, 0, 0, 0, 0, 0, 0, 0, 0, 0, 0, 0, 0, 0, 0, 0, 0, 0, 0, 0, 0, 0, 0, 0, 0, 0, 0, 0, 0, 0, 0, 0, 0, 0, 0, 0, 0, 0, 0, 0, 0, 0, 0, 0, 0, 0, 0, 1, 0, 0, 0, 0, 0, 0, 0, 0, 0, 0, 0, 0, 0, 0, 0, 0, 0, 0, 0, 0, 0, 0, 0, 0, 0, 0, 0, 0, 0, 0, 0, 0, 0, 0, 0, 0, 0, 0, 0, 0, 0, 0, 0, 0, 0, 0, 0, 0]</t>
  </si>
  <si>
    <t>LINESTRING (9.848974144037935 60.64905890196097, 9.848512096838444 60.64911755441469, 9.844147345569102 60.64968588568776, 9.84249156205653 60.650366114236135, 9.835330819749492 60.651590024441504, 9.826991185492309 60.6510851035357, 9.824896176194894 60.651080180327874, 9.8233997983739 60.65107404939519, 9.818656723528777 60.65095366660754, 9.816210407821428 60.650797033035815, 9.816119640928521 60.65079161983181, 9.813788791779677 60.650486339072046, 9.812899748585451 60.65027806257484, 9.81134135740501 60.649883614495735, 9.811080880125605 60.64982706484631, 9.806089759926865 60.64909369418815, 9.799494211704 60.647673866924265, 9.79595491150518 60.64737091977641, 9.793361570899336 60.647111544601884, 9.791951931153267 60.64696658884445, 9.79169173277921 60.64694375218373, 9.791409811860492 60.646919257786806, 9.790531995825736 60.64684002142833, 9.787684669602887 60.64660707319133, 9.78656533438895 60.64656291120435, 9.785876125910042 60.64657327498814, 9.782376186415219 60.64720754906135, 9.78157042924357 60.64748530429856, 9.781518835706956 60.64750398273717, 9.781388273195136 60.64755261456437, 9.777657706701651 60.64899664937751, 9.776712456636014 60.64918070656276, 9.770696399210836 60.648878321807466, 9.765589446339671 60.64800516066048, 9.75792927624197 60.648103234267076, 9.75577021975894 60.64904871884385, 9.754847044173468 60.6495064462793, 9.754398597361366 60.64969398335507, 9.753669592204428 60.64996810594048, 9.751934597102453 60.65060862489469, 9.749497584435694 60.651536703213615, 9.741612936788355 60.65629649713272, 9.74154596779505 60.65642919161906, 9.741524381437161 60.65647153252062, 9.741002690201984 60.657520954065525, 9.740554689373337 60.658419057941984, 9.74052581548863 60.65847691243592, 9.740281872529685 60.658970722568135, 9.740229601436596 60.65906772413951, 9.740166135383824 60.65924372920092, 9.740158855156093 60.65926392218573, 9.740138872677711 60.65931706089465, 9.740111564360042 60.65939526777295, 9.742767356225924 60.66688799893945, 9.742757193752677 60.66725751093624, 9.742752709603284 60.66750928131104, 9.74195268113167 60.670069244632515, 9.741981011238774 60.6702773163048, 9.742588231203994 60.671184831194154, 9.742675338512235 60.67127384053721, 9.742818646853713 60.671419689181754, 9.743573171196793 60.672189107008705, 9.743710937920435 60.672329634488094, 9.744531645340738 60.67318509817949, 9.74528232679626 60.673974247655956, 9.747895067477623 60.675770800711, 9.7489938948758 60.678847501001925, 9.748306457352259 60.681116496652166, 9.74790803976671 60.682113495100666, 9.742375278105605 60.688849532949384, 9.737254970929747 60.69226836595865, 9.73100695032385 60.69453185823949, 9.728485070541156 60.6954468639261, 9.728394436904 60.69548018155613, 9.722913073949943 60.69835304391636, 9.720823704213585 60.6993304364966, 9.719546155564771 60.69994053196984, 9.71934345141545 60.70005843626005, 9.718799612067139 60.7004816163454, 9.718470454564489 60.70086181677465, 9.718359377948373 60.70099984330754, 9.718150820036849 60.70125304688713, 9.717096737809893 60.702331855384834, 9.716243239065639 60.70298978181775, 9.7139279305097 60.70448134659064, 9.711560402206215 60.70600622848485, 9.710989902966428 60.70641764646254, 9.709934343554261 60.707398089067816, 9.708739396745536 60.71003568733925, 9.70873202356467 60.71029007584824, 9.708751561221327 60.710890427297954, 9.708873978339463 60.713364770662174, 9.7083249977404 60.71497250059209, 9.709288301562989 60.719210827003636, 9.70885980252489 60.72147722911028, 9.706899737849968 60.72593976091846, 9.70787731001478 60.72669207397507, 9.708618814612167 60.7278027919358, 9.708115681192929 60.73211200902192, 9.699148217988279 60.748357302884315, 9.69786645206598 60.74953356544359, 9.697679087841266 60.74964941876812, 9.692026460758106 60.752377772636535, 9.682310139343905 60.75418818874742, 9.666781461950736 60.75672594705299, 9.665678226395839 60.757321021346)</t>
  </si>
  <si>
    <t>[234372, 234380, 234388, 234396, 234404, 234412, 234420, 234428, 234436, 234444, 234452, 234460, 234468, 234476, 234484, 234492, 234500, 234508, 234516, 234524, 234532, 234540, 234548, 234556, 234564, 234572, 234580, 234588, 234596, 234604, 234612, 234620, 234628, 234636, 234644, 234652, 234660, 234668, 234676, 234684, 234692, 234700, 234708, 234716, 234724, 234732, 234740, 234748, 234756, 234764, 234772, 234780, 234788, 234796, 234804, 234812, 234820, 234828, 234836, 234844, 234852, 234860, 234869, 234877, 234885, 234893, 234902, 234910, 234918, 234926, 234934, 234942, 234950, 234958, 234966, 234974, 234982, 234990, 234998, 235006, 235014, 265328, 265336, 265344, 265352, 265360, 265368, 265376, 265384, 265392, 265400, 265408, 265416, 265424, 265432, 265440, 265448, 265456, 265464, 265472, 265480, 265488, 265496, 265504, 265512]</t>
  </si>
  <si>
    <t>[237655, 180240, 232296, 175044, 180278, 180272, 237696, 180264, 180234, 233726, 180232, 237724, 174800, 173264, 174797, 174788, 174693, 174686, 174662, 237776, 174666, 174659, 175048, 237808, 237815, 237823, 117360, 237835, 237843, 237851, 237859, 174493, 174469, 175056, 174357, 237894, 175066, 237907, 173245, 233818, 237927, 237936, 178346, 178348, 237950, 237954, 237960, 237970, 237979, 237987, 237995, 238004, 172103, 238021, 238030, 238037, 238045, 238053, 238058, 238065, 238071, 238077, 238086, 238095, 238103, 173188, 238117, 174343, 173184, 173182, 238144, 173186, 238156, 238161, 238169, 175033, 238183, 238189, 238197, 238204, 238213, 263122, 263128, 180830, 263139, 263143, 180823, 263154, 263158, 263164, 258569, 263174, 263180, 171798, 263192, 263196, 263203, 180798, 180791, 263227, 263234, 173561, 263247, 263253, 263259]</t>
  </si>
  <si>
    <t>0.0018611372742937803</t>
  </si>
  <si>
    <t>[237654, 237655, 180240, 232296, 175044, 180278, 180272, 237696, 180264, 180234, 233726, 180232, 237724, 174800, 173264, 174797, 174788, 174693, 174686, 174662, 237776, 174666, 174659, 175048, 237808, 237815, 237823, 117360, 237835, 237843, 237851, 237859, 174493, 174469, 175056, 174357, 237894, 175066, 237907, 173245, 233818, 237927, 237936, 178346, 178348, 237950, 237954, 237960, 237970, 237979, 237987, 237995, 238004, 172103, 238021, 238030, 238037, 238045, 238053, 238058, 238065, 238071, 238077, 238086, 238095, 238103, 173188, 238117, 174343, 173184, 173182, 238144, 173186, 238156, 238161, 238169, 175033, 238183, 238189, 238197, 238204, 238213, 263122, 263128, 180830, 263139, 263143, 180823, 263154, 263158, 263164, 258569, 263174, 263180, 171798, 263192, 263196, 263203, 180798, 180791, 263227, 263234, 173561, 263247, 263253]</t>
  </si>
  <si>
    <t>[0.039, 0.01, 0.059, 0.006, 0.015, 0.017, 0.021, 0.006, 0.008, 0.003, 0.001, 0.015, 0.035, 0.049, 0.003, 0.025, 0.025, 0.016, 0.009, 0.015, 0.004, 0.013, 0.065, 0.049, 0.023, 0.015, 0.039, 0.012, 0.035, 0.012, 0.043, 0.015, 0.016, 0.012, 0.066, 0.044, 0.02, 0.02, 0.004, 0.047, 0.048, 0.029, 0.02, 0.003, 0.042, 0.049, 0.063, 0.067, 0.053, 0.067, 0.061, 0.059, 0.012, 0.029, 0.029, 0.019, 0.051, 0.068, 0.047, 0.042, 0.015, 0.032, 0.013, 0.024, 0.015, 0.0, 0.028, 0.003, 0.003, 0.017, 0.007, 0.009, 0.018, 0.003, 0.014, 0.038, 0.037, 0.002, 0.017, 0.011, 0.008, 0.005, 0.035, 0.005, 0.01, 0.039, 0.014, 0.004, 0.028, 0.042, 0.041, 0.042, 0.018, 0.01, 0.026, 0.059, 0.035, 0.07, 0.023, 0.002, 0.047, 0.025, 0.029, 0.006, 0.02]</t>
  </si>
  <si>
    <t>20137.12210777863</t>
  </si>
  <si>
    <t>[0.001, -0.004, 0.074, 0.171, 0.002, 0.15, 0.103, 0.118, -0.25]</t>
  </si>
  <si>
    <t>LINESTRING (9.247136023175235 60.984954725615886, 9.245904787807488 60.98506479748513, 9.245828837096337 60.98507866793262, 9.245009882728192 60.9852615904954, 9.244964193771628 60.985275036770766, 9.244927980520542 60.98528497285916, 9.24487369142441 60.98529986028856, 9.24475495304976 60.985332422782584, 9.244514134102987 60.985398295568785, 9.244110561347258 60.985518808573545)</t>
  </si>
  <si>
    <t>[248729, 248737, 248745, 248753, 248761, 248769, 248777, 248785, 248793]</t>
  </si>
  <si>
    <t>[249650, 249658, 249664, 249671, 249679, 249685, 249692, 249700, 238775]</t>
  </si>
  <si>
    <t>0.004415566965420792</t>
  </si>
  <si>
    <t>[120302, 249650, 249658, 249664, 249671, 249679, 249685, 249692, 249700]</t>
  </si>
  <si>
    <t>[0.001, 0.004, 0.074, 0.171, 0.002, 0.15, 0.103, 0.118, 0.25]</t>
  </si>
  <si>
    <t>177.87358121372216</t>
  </si>
  <si>
    <t>[0.003, 0.061, 0.114, 0.085, 0.081, 0.081, 0.146, 0.101, 0.087, -0.283]</t>
  </si>
  <si>
    <t>LINESTRING (9.247136023175235 60.984954725615886, 9.246099222966578 60.98510760780059, 9.245960555443236 60.98513359288015, 9.245886026689895 60.985148919552465, 9.245089054696624 60.98532291745147, 9.245042319209913 60.98533365434236, 9.244994959641888 60.985344562542245, 9.244937427488273 60.98535781680527, 9.244811612914702 60.98538679062953, 9.244565065819694 60.98544041852131, 9.244110561347258 60.985518808573545)</t>
  </si>
  <si>
    <t>[293094, 293102, 293110, 293118, 293126, 293134, 293142, 293150, 293158, 293166]</t>
  </si>
  <si>
    <t>[285858, 285867, 285875, 285883, 285889, 285895, 285903, 285910, 248841, 238775]</t>
  </si>
  <si>
    <t>0.004502333008257798</t>
  </si>
  <si>
    <t>[120302, 285858, 285867, 285875, 285883, 285889, 285895, 285903, 285910, 248841]</t>
  </si>
  <si>
    <t>[0.003, 0.061, 0.114, 0.085, 0.081, 0.081, 0.146, 0.101, 0.087, 0.283]</t>
  </si>
  <si>
    <t>175.86720468441493</t>
  </si>
  <si>
    <t>[0.025, -0.053, 0.001, -0.08, -0.096, -0.103, -0.117, -0.463, -0.006, 0.003, -0.005, -0.001]</t>
  </si>
  <si>
    <t>8270.0</t>
  </si>
  <si>
    <t>LINESTRING (9.290805761545295 60.97149757221295, 9.289999686854053 60.971757164495884, 9.288401619475696 60.972206712121555, 9.286144054003309 60.97267039304308, 9.283666299742684 60.97308818781372, 9.282846445178327 60.97322492843237, 9.282297639807856 60.97331706226171, 9.282158367962834 60.97333958195378, 9.282006697188178 60.973364094419594, 9.26117756904773 60.98116185440387, 9.260516071755337 60.981423073244294, 9.248200172213657 60.9848957088279, 9.247136023175235 60.984954725615886)</t>
  </si>
  <si>
    <t>[1763540, 1763548, 266363, 266371, 266379, 266387, 266395, 266403, 235615, 235623, 235631, 235639]</t>
  </si>
  <si>
    <t>[1558482, 263887, 263888, 263895, 263900, 263907, 263912, 238746, 121080, 238754, 238762, 120302]</t>
  </si>
  <si>
    <t>[1558481, 1558482, 263887, 263888, 263895, 263900, 263907, 263912, 238746, 121080, 238754, 238762]</t>
  </si>
  <si>
    <t>[0.025, 0.053, 0.001, 0.08, 0.096, 0.103, 0.117, 0.463, 0.006, 0.003, 0.005, 0.001]</t>
  </si>
  <si>
    <t>2931.6082909679626</t>
  </si>
  <si>
    <t>[0.008, 0.008, 0.031, 0.067, 0.061, 0.015, -0.083, -0.123, -0.106, -0.093]</t>
  </si>
  <si>
    <t>LINESTRING (9.244110561347258 60.985518808573545, 9.24300475188783 60.985754205262324, 9.241515950354588 60.98606575427412, 9.238870883709803 60.986653465939426, 9.238436896179246 60.98675470921357, 9.236768363242776 60.98716125438638, 9.234789078437071 60.987547934654486, 9.233710450501865 60.98743125278924, 9.23332207567733 60.987192769684185, 9.233091464333716 60.98697253173662, 9.232877031484088 60.986728762665216)</t>
  </si>
  <si>
    <t>[235647, 235655, 235663, 235671, 235679, 235687, 235695, 235703, 235711, 235719]</t>
  </si>
  <si>
    <t>[120627, 238783, 238788, 238794, 238801, 238812, 120436, 189368, 122668, 238838]</t>
  </si>
  <si>
    <t>0.0011017787432325563</t>
  </si>
  <si>
    <t>[238775, 120627, 238783, 238788, 238794, 238801, 238812, 120436, 189368, 122668]</t>
  </si>
  <si>
    <t>[0.008, 0.008, 0.031, 0.067, 0.061, 0.015, 0.083, 0.123, 0.106, 0.093]</t>
  </si>
  <si>
    <t>706.9811529083481</t>
  </si>
  <si>
    <t>[2.357, -0.172, -0.203, -0.195, -0.162, -0.173, -0.174, -0.152, -0.136, -0.122, -1.302]</t>
  </si>
  <si>
    <t>LINESTRING (9.232877031484088 60.986728762665216, 9.232748910189713 60.98665046512692, 9.232684812887772 60.98655760341039, 9.23266760788553 60.986533594637855, 9.232661016454221 60.98652439068797, 9.232505264750015 60.98627620702644, 9.23246505904054 60.98620177147496, 9.232449484613063 60.98617379066445, 9.232299271767408 60.98595936834725, 9.232274122314937 60.98593818736283, 9.232149339520321 60.9858662168499, 9.23202861780912 60.98578557135825)</t>
  </si>
  <si>
    <t>[1804832, 1804840, 1804848, 1804856, 1804864, 1804872, 1804880, 1804888, 1804896, 1804904, 1804912]</t>
  </si>
  <si>
    <t>[1590600, 1590617, 1590638, 449574, 1590646, 1590654, 1590659, 1590664, 1590583, 1590594, 238846]</t>
  </si>
  <si>
    <t>[238838, 1590600, 1590617, 1590638, 449574, 1590646, 1590654, 1590659, 1590664, 1590583, 1590594]</t>
  </si>
  <si>
    <t>[2.357, 0.172, 0.203, 0.195, 0.162, 0.173, 0.174, 0.152, 0.136, 0.122, 1.302]</t>
  </si>
  <si>
    <t>116.8186108301149</t>
  </si>
  <si>
    <t>[2.448, -0.172, -0.168, -0.287, -0.168, -0.15, -0.17, -0.156, -0.154, -0.122, -1.158]</t>
  </si>
  <si>
    <t>LINESTRING (9.232877031484088 60.986728762665216, 9.232844373935045 60.98663196571605, 9.232778626718973 60.98654002349675, 9.232764101577526 60.9865180921899, 9.232760494759301 60.98651265317284, 9.232611839395963 60.98627924959381, 9.232593840297667 60.98624564644971, 9.232557252070578 60.98617903598199, 9.23239263602854 60.98592590766766, 9.23235438594791 60.98589932139499, 9.232230297601886 60.985826894640866, 9.23202861780912 60.98578557135825)</t>
  </si>
  <si>
    <t>[1804920, 1804928, 1804936, 1804944, 1804952, 1804960, 1804968, 1804976, 1804984, 1804992, 1805000]</t>
  </si>
  <si>
    <t>[1590599, 1590616, 1590691, 449566, 1590701, 1590707, 1590712, 1590716, 1590575, 1590590, 238846]</t>
  </si>
  <si>
    <t>[238838, 1590599, 1590616, 1590691, 449566, 1590701, 1590707, 1590712, 1590716, 1590575, 1590590]</t>
  </si>
  <si>
    <t>[2.448, 0.172, 0.168, 0.287, 0.168, 0.15, 0.17, 0.156, 0.154, 0.122, 1.158]</t>
  </si>
  <si>
    <t>119.7935028122976</t>
  </si>
  <si>
    <t>[0.012, 0.018, 0.024, 0.077, 0.087, 0.088, 0.081, 0.077, 0.027, -0.005, -0.011, -0.001, -0.003, 0.029, 0.039, 0.017, 0.005, 0.028, 0.039, 0.032, -0.004, 0.034, 0.089, -0.048, -0.077, -0.086, -0.029, 0.006, 0.036, 0.025, -0.048, 0.003, -0.002, -0.026, 0.0, -0.001, -0.009, -0.008, 0.02, 0.016, 0.007, 0.004, 0.011, 0.002, -0.0, -0.0, -0.009, -0.019, -0.033, -0.042, 0.001, -0.003, -0.002, 0.026, 0.163, -0.012, -0.02, -0.007, 0.052, -0.038, -0.044, 0.03, 0.007, 0.025, -0.046, -0.003, -0.004, -0.006, -0.0, -0.004, -0.0, 0.0, 0.002, -0.002, 0.0, 0.0, 0.001, 0.001, 0.001, -0.001, -0.0, 0.013, 0.013, 0.022, -0.026, 0.055, 0.039, -0.04, 0.04, 0.071, -0.102, -0.037, -0.029, 0.002, 0.015, 0.022, 0.003, 0.01, -0.008, -0.005, 0.02, -0.015, -0.016, 0.002, 0.074, 0.05, 0.051, 0.072, 0.286, -0.055, -0.014, -0.001, 0.051, 0.053, 0.041]</t>
  </si>
  <si>
    <t>3512.0</t>
  </si>
  <si>
    <t>[0, 0, 0, 1, 1, 0, 0, 0, 0, 0, 0, 0, 0, 0, 0, 0, 0, 0, 0, 0, 0, 0, 0, 0, 0, 0, 0, 0, 0, 0, 0, 0, 0, 0, 0, 0, 0, 0, 0, 0, 0, 0, 0, 0, 0, 0, 0, 0, 0, 0, 0, 0, 0, 0, 0, 0, 0, 0, 0, 0, 0, 0, 0, 0, 0, 0, 0, 0, 0, 0, 0, 0, 0, 0, 0, 0, 0, 0, 0, 0, 0, 0, 0, 0, 0, 0, 0, 0, 0, 0, 0, 0, 0, 0, 0, 0, 0, 0, 0, 0, 0, 0, 0, 0, 0, 0, 0, 0, 0, 0, 0, 0, 0, 0, 0]</t>
  </si>
  <si>
    <t>LINESTRING (9.23202861780912 60.98578557135825, 9.231178318264606 60.98560948347024, 9.230768531320633 60.98551411639145, 9.229793804343693 60.9852248954797, 9.229368201758565 60.98508480623626, 9.228896024547579 60.98493041878778, 9.228690338831786 60.98484587875191, 9.228619616176154 60.98479786709457, 9.228561013872362 60.98474292202949, 9.228651472604799 60.984400123193055, 9.22912661465626 60.983906329142116, 9.229466508133319 60.98361466840761, 9.230469870745603 60.98279791887169, 9.231007116802045 60.982018644448836, 9.230777663765954 60.98169705025923, 9.230245096239836 60.98126439148567, 9.229527725902875 60.98064378808115, 9.228828362994447 60.980073861378095, 9.228786809333707 60.980048887352424, 9.228062440134435 60.979755275446095, 9.226150196149282 60.979315062814074, 9.223387646808103 60.97875258238613, 9.222894830589132 60.978720244477294, 9.221832075165894 60.978679875076715, 9.220227604710875 60.97853806972787, 9.218016932520234 60.97831809539972, 9.217342103539155 60.97825088071986, 9.21633547392063 60.977916004755734, 9.215030587037278 60.97746785199422, 9.211969829921458 60.977468391852085, 9.206865802844026 60.97747468877539, 9.20144951381715 60.97660258217781, 9.194841383263261 60.975705736280574, 9.192179907085544 60.975615182504924, 9.1910940403051 60.97551354681726, 9.190538862870786 60.97545084409019, 9.188712738806062 60.975251140397134, 9.187620679126274 60.97531976102264, 9.187396693367186 60.97534855810125, 9.185898116975208 60.97565612517387, 9.185481957071076 60.97575692482381, 9.184915821672778 60.97590446525786, 9.18441823476608 60.97603174355817, 9.182666147510659 60.976510336634924, 9.182318397801577 60.97661125284751, 9.182245515712445 60.97663317866709, 9.179063679709316 60.97784555976355, 9.175368575297554 60.97908022590989, 9.17449672667191 60.979373281213675, 9.17392686174977 60.97956013871575, 9.173772260163409 60.979611611172615, 9.169568064058694 60.9806419155561, 9.167519324718578 60.98108237313128, 9.164553711698737 60.982187743166584, 9.161343278154417 60.9825950215783, 9.16008781363937 60.982679834492174, 9.158144351438336 60.98270335631356, 9.154535905126624 60.98265101896142, 9.149114590705008 60.98192440070321, 9.149024712958136 60.981911079628226, 9.147747124708168 60.981981813891586, 9.14762071517099 60.98201183432351, 9.140289096328418 60.98221009070129, 9.139453867994227 60.982056000820464, 9.138576754701958 60.98185796282146, 9.131628651945938 60.98123402341557, 9.126401656145514 60.98307850725666, 9.126172102335726 60.98316572506855, 9.12573499253112 60.98332952524234, 9.123091913440623 60.98430967769335, 9.122841158260268 60.98441080030046, 9.12217952842605 60.984746039325245, 9.118694499657742 60.98843826348947, 9.117677657032191 60.989691564733945, 9.11715825367744 60.99075870631838, 9.115997939174731 60.99324778454372, 9.115978294563206 60.99420599377787, 9.115449885435153 60.995326190268415, 9.11518234047635 60.99577272019873, 9.115157249872556 60.99581600731415, 9.115134765305463 60.995858238106166, 9.114840247753222 60.99649635339042, 9.113255434284307 61.000044803093736, 9.112240953348405 61.00096263603571, 9.10326881182592 61.00725725502936, 9.103186860797233 61.007393976673285, 9.102690587984627 61.00830123922075, 9.10122524213909 61.00995703665445, 9.099868653132788 61.01122090104035, 9.099452717691587 61.011668849195544, 9.098798450207273 61.012277066808245, 9.097519664438568 61.01298177412312, 9.095395690073644 61.01492260317748, 9.091448730152466 61.01772259081851, 9.08893104089609 61.02002249036576, 9.085964406645434 61.02287689615652, 9.085761068339737 61.02307685207674, 9.085661649140436 61.023163585833586, 9.08446044962749 61.02387421385085, 9.081394806145429 61.02550371634044, 9.079775969779954 61.026906294659845, 9.077157454530662 61.028188206077445, 9.075091008988487 61.0289775176069, 9.074736661952423 61.029077883444806, 9.072539261642053 61.030067346554645, 9.071323282370095 61.030698297903356, 9.068956359760175 61.03096760620001, 9.067949509675472 61.03109319686139, 9.067670091776357 61.031136246676056, 9.067081280202913 61.03122768520949, 9.060860702726599 61.031794032188486, 9.060516195804984 61.03187426002997, 9.056564148217344 61.03321934459229, 9.05639438871129 61.033788187006984, 9.056319724633822 61.034237880702456, 9.056247852569172 61.034643435747064)</t>
  </si>
  <si>
    <t>[235727, 235735, 235743, 235751, 235759, 235767, 235775, 235783, 235791, 235799, 235807, 235815, 235823, 235831, 235839, 235847, 235855, 235863, 235871, 235879, 235887, 235895, 235903, 235911, 235919, 235927, 235935, 235943, 235951, 235959, 235967, 235975, 235983, 235991, 235999, 236007, 236015, 236023, 236031, 236039, 236047, 236055, 236063, 236071, 236079, 236087, 236095, 236103, 236111, 236119, 236127, 236135, 236143, 236151, 236159, 236167, 236175, 236183, 236191, 236199, 236207, 236215, 236223, 236231, 236239, 236247, 236255, 236263, 236271, 236281, 236289, 236297, 236305, 236313, 236321, 236329, 236337, 236345, 236353, 236361, 236369, 236377, 236385, 1776924, 1776932, 236393, 236401, 236409, 236417, 236425, 236433, 236441, 236449, 236457, 236465, 236474, 236482, 236490, 236498, 236506, 236514, 236522, 236530, 236538, 236546, 236554, 236562, 236570, 1776856, 1776864, 1776872, 1776880, 1776892, 236578, 236586]</t>
  </si>
  <si>
    <t>[238847, 120543, 238856, 238860, 238866, 238872, 238882, 238891, 238899, 238906, 238915, 121091, 181768, 238934, 238945, 195240, 238962, 238972, 195192, 120430, 238991, 196923, 239001, 195172, 239018, 239022, 239031, 239039, 239046, 118620, 239064, 239071, 239080, 239089, 190082, 187658, 239107, 239112, 186400, 187677, 187597, 239137, 239146, 239153, 187686, 239166, 187694, 239181, 239186, 239194, 187329, 239208, 187332, 239222, 239229, 187343, 186927, 239250, 239257, 239263, 239270, 239280, 239286, 239295, 186254, 239305, 187391, 239315, 239321, 187318, 239334, 187422, 239347, 239353, 239358, 186820, 239367, 239372, 239379, 239385, 239391, 118456, 239402, 1567566, 239408, 198560, 239415, 198502, 190046, 239433, 198515, 239446, 239452, 196885, 239464, 239473, 239479, 108725, 199014, 194881, 194879, 239506, 188996, 199924, 200841, 239530, 239540, 239545, 1567508, 1567516, 1567372, 1567346, 239554, 239555, 239563]</t>
  </si>
  <si>
    <t>0.0024645760364401825</t>
  </si>
  <si>
    <t>[238846, 238847, 120543, 238856, 238860, 238866, 238872, 238882, 238891, 238899, 238906, 238915, 121091, 181768, 238934, 238945, 195240, 238962, 238972, 195192, 120430, 238991, 196923, 239001, 195172, 239018, 239022, 239031, 239039, 239046, 118620, 239064, 239071, 239080, 239089, 190082, 187658, 239107, 239112, 186400, 187677, 187597, 239137, 239146, 239153, 187686, 239166, 187694, 239181, 239186, 239194, 187329, 239208, 187332, 239222, 239229, 187343, 186927, 239250, 239257, 239263, 239270, 239280, 239286, 239295, 186254, 239305, 187391, 239315, 239321, 187318, 239334, 187422, 239347, 239353, 239358, 186820, 239367, 239372, 239379, 239385, 239391, 118456, 239402, 1567566, 239408, 198560, 239415, 198502, 190046, 239433, 198515, 239446, 239452, 196885, 239464, 239473, 239479, 108725, 199014, 194881, 194879, 239506, 188996, 199924, 200841, 239530, 239540, 239545, 1567508, 1567516, 1567372, 1567346, 239554, 239555]</t>
  </si>
  <si>
    <t>[0.012, 0.018, 0.024, 0.077, 0.087, 0.088, 0.081, 0.077, 0.027, 0.005, 0.011, 0.001, 0.003, 0.029, 0.039, 0.017, 0.005, 0.028, 0.039, 0.032, 0.004, 0.034, 0.089, 0.048, 0.077, 0.086, 0.029, 0.006, 0.036, 0.025, 0.048, 0.003, 0.002, 0.026, 0.0, 0.001, 0.009, 0.008, 0.02, 0.016, 0.007, 0.004, 0.011, 0.002, 0.0, 0.0, 0.009, 0.019, 0.033, 0.042, 0.001, 0.003, 0.002, 0.026, 0.163, 0.012, 0.02, 0.007, 0.052, 0.038, 0.044, 0.03, 0.007, 0.025, 0.046, 0.003, 0.004, 0.006, 0.0, 0.004, 0.0, 0.0, 0.002, 0.002, 0.0, 0.0, 0.001, 0.001, 0.001, 0.001, 0.0, 0.013, 0.013, 0.022, 0.026, 0.055, 0.039, 0.04, 0.04, 0.071, 0.102, 0.037, 0.029, 0.002, 0.015, 0.022, 0.003, 0.01, 0.008, 0.005, 0.02, 0.015, 0.016, 0.002, 0.074, 0.05, 0.051, 0.072, 0.286, 0.055, 0.014, 0.001, 0.051, 0.053, 0.041]</t>
  </si>
  <si>
    <t>14252.963891225687</t>
  </si>
  <si>
    <t>[0.041, -0.029]</t>
  </si>
  <si>
    <t>LINESTRING (9.056247852569172 61.034643435747064, 9.056145519760207 61.03485445323959, 9.056074786389544 61.03507768927899)</t>
  </si>
  <si>
    <t>[1778044, 1778052]</t>
  </si>
  <si>
    <t>[1568457, 239569]</t>
  </si>
  <si>
    <t>0.005406788656270983</t>
  </si>
  <si>
    <t>[239563, 1568457]</t>
  </si>
  <si>
    <t>[0.041, 0.029]</t>
  </si>
  <si>
    <t>49.53810060837638</t>
  </si>
  <si>
    <t>[0.05, -0.039]</t>
  </si>
  <si>
    <t>LINESTRING (9.056247852569172 61.034643435747064, 9.05623968227006 61.03486486213159, 9.056074786389544 61.03507768927899)</t>
  </si>
  <si>
    <t>[1778060, 1778083]</t>
  </si>
  <si>
    <t>[1568474, 239569]</t>
  </si>
  <si>
    <t>0.004838295705120661</t>
  </si>
  <si>
    <t>[239563, 1568474]</t>
  </si>
  <si>
    <t>[0.05, 0.039]</t>
  </si>
  <si>
    <t>50.77624742217904</t>
  </si>
  <si>
    <t>[-0.013, -0.024, -0.028, -0.04, -0.05, 0.116]</t>
  </si>
  <si>
    <t>LINESTRING (9.056074786389544 61.03507768927899, 9.055820330177436 61.03536410773042, 9.055581510359826 61.03559798703627, 9.054757217202107 61.03648922920166, 9.054619177861456 61.03664249411385, 9.054217310220977 61.03702962968525, 9.053818000484679 61.037401120954854)</t>
  </si>
  <si>
    <t>[236594, 236602, 236610, 236618, 236626, 1776940]</t>
  </si>
  <si>
    <t>[239570, 108823, 239582, 239587, 239595, 1567587]</t>
  </si>
  <si>
    <t>[239569, 239570, 108823, 239582, 239587, 239595]</t>
  </si>
  <si>
    <t>[0.013, 0.024, 0.028, 0.04, 0.05, 0.116]</t>
  </si>
  <si>
    <t>286.56363101667085</t>
  </si>
  <si>
    <t>[0.018, -0.015]</t>
  </si>
  <si>
    <t>LINESTRING (8.795267691887442 61.14084866241953, 8.79714571890298 61.138984122066525, 8.80543493345436 61.13688711202945)</t>
  </si>
  <si>
    <t>[1803264, 1803272]</t>
  </si>
  <si>
    <t>[1589375, 240306]</t>
  </si>
  <si>
    <t>[240312, 1589375]</t>
  </si>
  <si>
    <t>[0.018, 0.015]</t>
  </si>
  <si>
    <t>763.4051058949523</t>
  </si>
  <si>
    <t>[-0.354, 0.003, 0.014, 0.015, -0.021, 0.014, -0.004, 0.024, 0.217, -0.029, 0.046, 0.016, -0.104, 0.004, 0.019, -0.036, -0.019, 0.033, -0.003, -0.048, -0.052, -0.007, -0.016, 0.049, 0.036, 0.025, 0.009, -0.017, 0.02, 0.008, -0.186, -0.059, -0.01, -0.0, -0.005, -0.004, 0.01, 0.055, 0.053, 0.04, -0.001, -0.0, -0.003, -0.017, 0.011, 0.037, 0.039, 0.046, 0.062, 0.017, 0.004, 0.043, -0.001, -0.082, -0.039, 0.074, 0.081, 0.113, 0.062, -0.034, -0.133, -0.03, 0.004, 0.012, 0.014, 0.013, -0.001, -0.05, -0.053, -0.012, -0.009, -0.002, 0.004, 0.006, 0.012, 0.01, -0.009, -0.017, -0.001, -0.023, 0.076, 0.076, 0.039, -0.012, 0.028, -0.028, -0.015, 0.008, 0.016, -0.059, -0.031, 0.002, 0.008, 0.018, -0.001, 0.012, 0.019, 0.035, -0.058, -0.08, 0.002, -0.039, -0.012, 0.004, 0.016, -0.007, -0.007, 0.024, -0.001, 0.01, 0.002, 0.004, 0.007, 0.009, 0.011, 0.014, 0.014, 0.006, 0.002, 0.013, 0.022, 0.036, 0.035, 0.03]</t>
  </si>
  <si>
    <t>1469.0</t>
  </si>
  <si>
    <t>[0, 0, 0, 0, 0, 0, 0, 0, 0, 0, 0, 0, 0, 0, 0, 0, 0, 0, 0, 0, 0, 0, 0, 0, 0, 0, 0, 0, 0, 0, 0, 0, 0, 0, 1, 0, 0, 1, 0, 1, 0, 0, 0, 0, 0, 0, 0, 0, 0, 0, 0, 0, 0, 0, 0, 0, 0, 0, 0, 0, 0, 0, 0, 0, 0, 0, 0, 0, 0, 0, 0, 0, 0, 0, 0, 0, 0, 0, 0, 0, 0, 0, 0, 0, 0, 0, 0, 0, 0, 0, 0, 0, 0, 0, 0, 0, 0, 0, 0, 0, 0, 0, 0, 0, 0, 0, 0, 0, 0, 0, 0, 0, 0, 0, 0, 1, 0, 0, 0, 0, 0, 0, 0, 0]</t>
  </si>
  <si>
    <t>LINESTRING (9.053649487796367 61.037796741194384, 9.053688337857114 61.03803003325217, 9.053744483513471 61.038128007925586, 9.053988273291228 61.038718953348734, 9.053657209591417 61.03928306073985, 9.051977695778923 61.04055275837281, 9.049073779669195 61.042609347098185, 9.041431586393957 61.05476218659663, 9.03949926852174 61.05698362465138, 9.038471974164885 61.05779405662057, 9.030604475925077 61.061243210213554, 9.027339452043702 61.0635139442542, 9.0228358306823 61.06559420321625, 9.020243075919963 61.06606521313045, 9.013760383425378 61.06951138707805, 9.01322893731996 61.06978178176146, 9.008355392633497 61.0725624098157, 9.008266165212648 61.072602387803556, 9.003340869724793 61.074886609178115, 9.001067785581876 61.07576446974649, 8.99803283014116 61.07727622139141, 8.997718697647098 61.07748717873216, 8.99704036212384 61.077931089591296, 8.996144218162824 61.07840041121671, 8.994574399248306 61.07902832128162, 8.993547353462935 61.07946847745972, 8.993460795724358 61.07950935827296, 8.99204520004601 61.08011576733164, 8.99199664059338 61.08013493171591, 8.991932203111118 61.08015996971817, 8.991767788507993 61.08021998527765, 8.991411531333062 61.08034932690214, 8.989886266684852 61.08089688638367, 8.983637700895859 61.085356866037216, 8.983150445687736 61.08556761493098, 8.983099930825366 61.08558876916307, 8.97961922531548 61.08863155061451, 8.970467215847055 61.096778123812506, 8.970481161493419 61.09682196934155, 8.96979701305107 61.09864085447466, 8.969762524135428 61.098675328272904, 8.96693101222382 61.1021512263844, 8.966890476687208 61.102236754319904, 8.966869201190677 61.102279923377914, 8.966311441737538 61.10311486988459, 8.966128780661018 61.103369619261294, 8.965448152986704 61.10430475482767, 8.965287390031044 61.10453053548798, 8.964772064244665 61.105254264615446, 8.964317606887988 61.105895825140315, 8.96359695501316 61.1068916438736, 8.963463219595578 61.107078420064774, 8.962506552524484 61.1082914558243, 8.962077775483923 61.108685547892435, 8.961614360651014 61.109043554249865, 8.960083515202367 61.11105456816935, 8.960106975178112 61.11122557124182, 8.960143815596632 61.11155315950662, 8.960121229751836 61.11205991232224, 8.959632820693475 61.11355122958462, 8.959008479780096 61.11470931782515, 8.958486203891797 61.11505436828053, 8.956336974799319 61.11735527456042, 8.956343006272402 61.117394219653995, 8.956374629530616 61.117605579245826, 8.95640516423807 61.11784836093767, 8.95641785179578 61.11791619401205, 8.956568718512171 61.11919094594224, 8.95646066934089 61.119335251948016, 8.956091681054831 61.11973355308746, 8.956078116270266 61.11975013444245, 8.955757863962742 61.120376986472785, 8.955743657103586 61.12042993547038, 8.955707923731946 61.12054430263934, 8.955486987196911 61.1212744789294, 8.952437199442048 61.12438741621649, 8.950406613623723 61.12554882841852, 8.946458358298901 61.12748645686688, 8.942904129597885 61.128386018779096, 8.939881210706695 61.12899032701241, 8.929567940964402 61.129636352431376, 8.92791399665747 61.13073950408012, 8.927462116687506 61.13137226678864, 8.924780157733592 61.132904795507, 8.921328948082362 61.13314812359622, 8.916769362660606 61.13387417104247, 8.913161069661149 61.133954060196935, 8.9016357226052 61.13418226443826, 8.899814741662441 61.13444750993144, 8.893881410866213 61.134865978186944, 8.89320722745831 61.13472648411468, 8.892895009767537 61.134661018979436, 8.890665059968237 61.134448045653244, 8.88743573592209 61.134942345728, 8.885884695344952 61.1352065638497, 8.883483382328901 61.13560957105211, 8.882789972731764 61.13575498631408, 8.881016353615868 61.136152197362286, 8.878090900254364 61.13692282345539, 8.87713802025996 61.13714983919739, 8.875203970756067 61.1375361613786, 8.873035379617315 61.13758452621065, 8.869529000618593 61.135967145065244, 8.864944983419702 61.13412139157685, 8.860060109905165 61.13333172251097, 8.853922529408527 61.13317051955634, 8.851971530790705 61.13339384432713, 8.844551654358826 61.13543670036364, 8.84300834160188 61.13564847601706, 8.839693258016316 61.136136011866846, 8.837352699568804 61.13699554425835, 8.82854723682318 61.13716513655285, 8.828203651945834 61.13715043197401, 8.826732559910992 61.137118639796284, 8.826385130585749 61.13711823569249, 8.823550661697757 61.13719180761381, 8.823280014803947 61.13720507229864, 8.822815532271532 61.137229356420065, 8.820279943754715 61.137469817159044, 8.819310793047384 61.137581668873054, 8.811367956737108 61.13692913134632, 8.809356535992098 61.13698772264389, 8.80868415640458 61.13702859894975, 8.806864364172156 61.136983300265626, 8.80543493345436 61.13688711202945)</t>
  </si>
  <si>
    <t>[1776948, 236634, 236642, 236650, 236658, 236666, 236674, 236682, 1776956, 1776964, 1776972, 1776980, 1777004, 1777012, 1777020, 1777028, 1777036, 1777044, 1777052, 1777060, 604539, 604547, 604555, 604563, 604571, 604579, 604587, 604595, 604603, 604611, 604619, 236698, 236706, 236714, 236722, 236730, 236738, 236746, 236754, 236762, 236770, 236778, 236786, 236794, 236802, 236810, 236818, 236826, 236834, 236842, 236850, 236858, 236866, 236874, 236882, 236890, 236898, 236906, 236914, 236922, 236930, 236938, 236946, 236954, 236962, 236970, 236978, 236986, 236994, 237002, 237010, 237018, 237026, 237034, 237042, 237050, 237058, 237066, 237074, 237082, 237090, 237098, 237106, 237114, 237122, 237130, 237138, 237146, 237154, 237162, 237170, 237178, 237186, 237194, 237202, 237210, 237218, 237226, 237234, 237242, 237250, 237258, 237266, 237274, 237282, 237290, 237298, 237306, 237315, 237323, 237331, 237339, 237347, 237355, 237363, 237371, 237379, 237387, 237395, 237403, 237411, 237419, 237427, 237435]</t>
  </si>
  <si>
    <t>[239601, 239602, 239609, 239615, 239623, 199807, 109075, 239642, 1567453, 363756, 363753, 363752, 363747, 363746, 1567653, 1567661, 1567667, 1567628, 1567551, 606401, 606402, 606408, 606415, 606352, 606427, 606432, 606436, 606378, 606446, 606394, 239658, 239659, 239665, 239671, 239678, 239683, 239691, 239699, 239707, 239712, 239720, 239728, 239734, 239744, 239751, 239756, 239764, 189171, 239777, 239784, 239790, 239799, 239805, 198747, 239823, 194933, 239836, 194032, 199074, 239853, 239863, 239872, 239878, 199072, 239891, 239899, 239908, 239917, 239924, 239935, 239941, 239948, 198298, 188921, 198435, 199257, 199217, 199220, 194938, 240002, 240009, 199237, 240020, 240028, 198802, 198777, 193948, 193965, 240065, 240073, 201324, 108673, 240093, 108693, 198772, 240110, 240117, 240125, 240131, 198588, 240146, 240152, 240159, 240166, 240172, 240181, 240186, 197242, 199395, 111484, 240208, 240215, 240222, 240226, 240234, 240240, 111588, 240255, 240264, 240275, 196916, 198206, 240298, 240306]</t>
  </si>
  <si>
    <t>0.0013491133061727801</t>
  </si>
  <si>
    <t>[1567594, 239601, 239602, 239609, 239615, 239623, 199807, 109075, 239642, 1567453, 363756, 363753, 363752, 363747, 363746, 1567653, 1567661, 1567667, 1567628, 1567551, 606401, 606402, 606408, 606415, 606352, 606427, 606432, 606436, 606378, 606446, 606394, 239658, 239659, 239665, 239671, 239678, 239683, 239691, 239699, 239707, 239712, 239720, 239728, 239734, 239744, 239751, 239756, 239764, 189171, 239777, 239784, 239790, 239799, 239805, 198747, 239823, 194933, 239836, 194032, 199074, 239853, 239863, 239872, 239878, 199072, 239891, 239899, 239908, 239917, 239924, 239935, 239941, 239948, 198298, 188921, 198435, 199257, 199217, 199220, 194938, 240002, 240009, 199237, 240020, 240028, 198802, 198777, 193948, 193965, 240065, 240073, 201324, 108673, 240093, 108693, 198772, 240110, 240117, 240125, 240131, 198588, 240146, 240152, 240159, 240166, 240172, 240181, 240186, 197242, 199395, 111484, 240208, 240215, 240222, 240226, 240234, 240240, 111588, 240255, 240264, 240275, 196916, 198206, 240298]</t>
  </si>
  <si>
    <t>[0.354, 0.003, 0.014, 0.015, 0.021, 0.014, 0.004, 0.024, 0.217, 0.029, 0.046, 0.016, 0.104, 0.004, 0.019, 0.036, 0.019, 0.033, 0.003, 0.048, 0.052, 0.007, 0.016, 0.049, 0.036, 0.025, 0.009, 0.017, 0.02, 0.008, 0.186, 0.059, 0.01, 0.0, 0.005, 0.004, 0.01, 0.055, 0.053, 0.04, 0.001, 0.0, 0.003, 0.017, 0.011, 0.037, 0.039, 0.046, 0.062, 0.017, 0.004, 0.043, 0.001, 0.082, 0.039, 0.074, 0.081, 0.113, 0.062, 0.034, 0.133, 0.03, 0.004, 0.012, 0.014, 0.013, 0.001, 0.05, 0.053, 0.012, 0.009, 0.002, 0.004, 0.006, 0.012, 0.01, 0.009, 0.017, 0.001, 0.023, 0.076, 0.076, 0.039, 0.012, 0.028, 0.028, 0.015, 0.008, 0.016, 0.059, 0.031, 0.002, 0.008, 0.018, 0.001, 0.012, 0.019, 0.035, 0.058, 0.08, 0.002, 0.039, 0.012, 0.004, 0.016, 0.007, 0.007, 0.024, 0.001, 0.01, 0.002, 0.004, 0.007, 0.009, 0.011, 0.014, 0.014, 0.006, 0.002, 0.013, 0.022, 0.036, 0.035, 0.03]</t>
  </si>
  <si>
    <t>20557.880435090887</t>
  </si>
  <si>
    <t>LINESTRING (8.795267691887442 61.14084866241953, 8.61469496219722 61.138904456997714)</t>
  </si>
  <si>
    <t>12556.027143805819</t>
  </si>
  <si>
    <t>0.04</t>
  </si>
  <si>
    <t>15.722506767638539</t>
  </si>
  <si>
    <t>[0.036, 0.038]</t>
  </si>
  <si>
    <t>LINESTRING (11.300716013027616 60.633395900731266, 11.300616051417727 60.63339331383033, 11.300191129834417 60.63336627249664)</t>
  </si>
  <si>
    <t>[238262, 238270]</t>
  </si>
  <si>
    <t>[240958, 240964]</t>
  </si>
  <si>
    <t>0.03762124378278577</t>
  </si>
  <si>
    <t>[240957, 240958]</t>
  </si>
  <si>
    <t>28.93173103892004</t>
  </si>
  <si>
    <t>[-0.024, -0.038]</t>
  </si>
  <si>
    <t>LINESTRING (11.30062487632675 60.63350923535143, 11.300639110493544 60.63344895942131, 11.300716013027616 60.633395900731266)</t>
  </si>
  <si>
    <t>[238302, 238310]</t>
  </si>
  <si>
    <t>[240983, 240957]</t>
  </si>
  <si>
    <t>[240969, 240983]</t>
  </si>
  <si>
    <t>[0.024, 0.038]</t>
  </si>
  <si>
    <t>14.01969927555163</t>
  </si>
  <si>
    <t>[0.027, 0.032, 0.029]</t>
  </si>
  <si>
    <t>LINESTRING (11.300191129834417 60.63336627249664, 11.300067520653615 60.63334348140052, 11.298991964550982 60.633145122159384, 11.298866886052934 60.63312207351891)</t>
  </si>
  <si>
    <t>[1406678, 1406686, 1406694]</t>
  </si>
  <si>
    <t>[1287107, 1287115, 1287096]</t>
  </si>
  <si>
    <t>0.031249959538029656</t>
  </si>
  <si>
    <t>[240964, 1287107, 1287115]</t>
  </si>
  <si>
    <t>77.42324031375723</t>
  </si>
  <si>
    <t>[0.016, 0.024]</t>
  </si>
  <si>
    <t>LINESTRING (11.30062487632675 60.63350923535143, 11.30054521349799 60.63347629104403, 11.300191129834417 60.63336627249664)</t>
  </si>
  <si>
    <t>[238278, 238286]</t>
  </si>
  <si>
    <t>[240970, 240964]</t>
  </si>
  <si>
    <t>0.02240743393769347</t>
  </si>
  <si>
    <t>[240969, 240970]</t>
  </si>
  <si>
    <t>28.633035124197246</t>
  </si>
  <si>
    <t>0.028</t>
  </si>
  <si>
    <t>20.38397275893292</t>
  </si>
  <si>
    <t>[0.016, 0.007, 0.006, 0.017]</t>
  </si>
  <si>
    <t>LINESTRING (11.300887553115661 60.63361852061958, 11.30084570813004 60.63364799408549, 11.298591406973594 60.63719762312073, 11.298572301990133 60.637250699361836, 11.298414238396445 60.63738268146993)</t>
  </si>
  <si>
    <t>[238358, 238366, 238374, 239056]</t>
  </si>
  <si>
    <t>[241023, 241030, 241038, 241509]</t>
  </si>
  <si>
    <t>0.007449710529770627</t>
  </si>
  <si>
    <t>[240978, 241023, 241030, 241038]</t>
  </si>
  <si>
    <t>446.195679576711</t>
  </si>
  <si>
    <t>[-0.004, 0.023, 0.024, 0.036]</t>
  </si>
  <si>
    <t>LINESTRING (11.300989783828282 60.633379748906954, 11.301134468447982 60.63349511588389, 11.301104604593588 60.633551274182935, 11.300981727560707 60.633607914355764, 11.300887553115661 60.63361852061958)</t>
  </si>
  <si>
    <t>[238326, 238334, 238342, 238350]</t>
  </si>
  <si>
    <t>[240947, 241008, 240925, 240978]</t>
  </si>
  <si>
    <t>0.013556688886958334</t>
  </si>
  <si>
    <t>[240993, 240947, 241008, 240925]</t>
  </si>
  <si>
    <t>[0.004, 0.023, 0.024, 0.036]</t>
  </si>
  <si>
    <t>36.705491328139495</t>
  </si>
  <si>
    <t>[0.022, 0.025, 0.023, 0.008, 0.007, 0.011, 0.007, 0.014]</t>
  </si>
  <si>
    <t>LINESTRING (11.299900537311894 60.62939841415242, 11.299917155739092 60.62943744234598, 11.299954218481849 60.62959873594485, 11.3000659734565 60.631490309520316, 11.30068352487922 60.6325912198025, 11.300729997894086 60.63266782660948, 11.300962237470028 60.6332989292795, 11.300977258663554 60.63334441148051, 11.300989783828282 60.633379748906954)</t>
  </si>
  <si>
    <t>[238984, 238992, 239000, 239008, 239016, 239024, 239032, 239040]</t>
  </si>
  <si>
    <t>[241522, 241533, 241542, 241550, 241559, 241568, 241577, 240993]</t>
  </si>
  <si>
    <t>0.016344342101994674</t>
  </si>
  <si>
    <t>[241481, 241522, 241533, 241542, 241550, 241559, 241568, 241577]</t>
  </si>
  <si>
    <t>450.87078636154433</t>
  </si>
  <si>
    <t>[-0.008, -0.014, 0.022]</t>
  </si>
  <si>
    <t>LINESTRING (11.27619128422264 60.690822403938505, 11.276221024321897 60.69079019980872, 11.280860677036712 60.68766412333544, 11.281055263047428 60.68751222008226)</t>
  </si>
  <si>
    <t>[238383, 238391, 238399]</t>
  </si>
  <si>
    <t>[241045, 241052, 241059]</t>
  </si>
  <si>
    <t>[241044, 241045, 241052]</t>
  </si>
  <si>
    <t>[0.008, 0.014, 0.022]</t>
  </si>
  <si>
    <t>464.1914871979484</t>
  </si>
  <si>
    <t>[0.03, 0.006, -0.014, -0.036]</t>
  </si>
  <si>
    <t>LINESTRING (11.2760379271272 60.691054526546196, 11.275921282091574 60.69096948773715, 11.275930375585428 60.69090835126572, 11.276014210194422 60.69084908798697, 11.27619128422264 60.690822403938505)</t>
  </si>
  <si>
    <t>[238760, 238768, 238776, 238784]</t>
  </si>
  <si>
    <t>[229334, 241339, 229345, 241044]</t>
  </si>
  <si>
    <t>[241331, 229334, 241339, 229345]</t>
  </si>
  <si>
    <t>[0.03, 0.006, 0.014, 0.036]</t>
  </si>
  <si>
    <t>36.67044100583771</t>
  </si>
  <si>
    <t>[0.014, 0.006]</t>
  </si>
  <si>
    <t>LINESTRING (11.281055263047428 60.68751222008226, 11.282333045771653 60.68586531749381, 11.282383676861391 60.68577926913299)</t>
  </si>
  <si>
    <t>[239222, 239190]</t>
  </si>
  <si>
    <t>[241736, 241691]</t>
  </si>
  <si>
    <t>0.013613383028154237</t>
  </si>
  <si>
    <t>[241059, 241736]</t>
  </si>
  <si>
    <t>206.510232447892</t>
  </si>
  <si>
    <t>[0.008, -0.001, 0.003, -0.061, -0.008, -0.012, -0.014, -0.026, 0.078, 0.028, 0.066, 0.002, 0.124, 0.064, -0.034, -0.019, 0.096, 0.107, 0.102, -0.006, 0.095, 0.117, 0.116, 0.054, 0.03, -0.004, -0.006, 0.065, 0.055, 0.085, 0.124, 0.146, 0.151, -0.118, 0.119, 0.202]</t>
  </si>
  <si>
    <t>[0, 0, 0, 0, 0, 0, 0, 0, 0, 0, 0, 0, 0, 0, 0, 0, 0, 0, 0, 0, 0, 0, 0, 0, 0, 0, 0, 0, 0, 0, 0, 0, 0, 0, 1, 0]</t>
  </si>
  <si>
    <t>LINESTRING (8.390720951451208 61.18409695165392, 8.390749802640508 61.184567690667606, 8.39076393261248 61.18497903581048, 8.389023060631184 61.19067466138538, 8.387711125445403 61.191610902127415, 8.386527249996092 61.192430966859526, 8.385684447732581 61.19328270551074, 8.385526861815357 61.193456320983394, 8.38548993986925 61.19349814555244, 8.383176589107649 61.19602131417022, 8.382583870289823 61.19659622184589, 8.382401358397598 61.19675132192335, 8.378694149895669 61.199450191696535, 8.376968854545046 61.200681503443235, 8.373734674798872 61.201812925577656, 8.3673341939694 61.20318058856354, 8.362365664550031 61.20501171928412, 8.36002074236951 61.20563071688023, 8.359883352213997 61.205659428243436, 8.359741703978873 61.205689461637526, 8.359715059464312 61.20569454750139, 8.359034958625639 61.20583068092261, 8.356855730155383 61.20655070602206, 8.353952439503471 61.207947908438115, 8.35357874597903 61.20805348162287, 8.352666557390926 61.20824199932232, 8.349869065385782 61.20863876120636, 8.343253822323813 61.209642644772366, 8.341982827252746 61.209866282111776, 8.341240862422874 61.209973355865166, 8.32481646036917 61.208773421024375, 8.32059728942906 61.20856704181018, 8.312598174221934 61.20797381409597, 8.310912719822927 61.20787110268332, 8.296625175559388 61.207587497607, 8.296206587731167 61.20743694231943, 8.295239213063613 61.20709917047479)</t>
  </si>
  <si>
    <t>[1760884, 1760892, 1760900, 1343918, 1343938, 1343951, 1343959, 1343988, 1343996, 1344004, 1344014, 1344023, 1344031, 1344039, 1344047, 1760770, 1760780, 1760788, 1760796, 1760804, 1760812, 1760820, 1760681, 1760689, 1760697, 1760705, 1760713, 1760721, 1760729, 1760737, 1760541, 1760542, 1760549, 1760550, 238557, 238565]</t>
  </si>
  <si>
    <t>[1556887, 1556890, 1246153, 302808, 1246163, 1246172, 1246179, 1246204, 1246213, 1246220, 1246227, 1246234, 1246239, 1246245, 1246252, 1556829, 377355, 1556842, 377346, 1556847, 1556852, 1556802, 1556796, 1556804, 1556791, 1556778, 302695, 1556774, 1556815, 1556735, 1556726, 1556721, 377436, 241170, 241171, 241176]</t>
  </si>
  <si>
    <t>0.03108104662557094</t>
  </si>
  <si>
    <t>[338533, 1556887, 1556890, 1246153, 302808, 1246163, 1246172, 1246179, 1246204, 1246213, 1246220, 1246227, 1246234, 1246239, 1246245, 1246252, 1556829, 377355, 1556842, 377346, 1556847, 1556852, 1556802, 1556796, 1556804, 1556791, 1556778, 302695, 1556774, 1556815, 1556735, 1556726, 1556721, 377436, 241170, 241171]</t>
  </si>
  <si>
    <t>[0.008, 0.001, 0.003, 0.061, 0.008, 0.012, 0.014, 0.026, 0.078, 0.028, 0.066, 0.002, 0.124, 0.064, 0.034, 0.019, 0.096, 0.107, 0.102, 0.006, 0.095, 0.117, 0.116, 0.054, 0.03, 0.004, 0.006, 0.065, 0.055, 0.085, 0.124, 0.146, 0.151, 0.118, 0.119, 0.202]</t>
  </si>
  <si>
    <t>6777.541284390588</t>
  </si>
  <si>
    <t>[0.0, 0.034, 0.043, 0.045, 0.019, 0.024, 0.0, 0.023, 0.027, -0.001, -0.008, -0.016, -0.013, -0.011, 0.038, 0.044, 0.079, 0.012, 0.005, 0.004, 0.035, -0.024, -0.099, -0.109, -0.099, -0.093, -0.069, -0.044, -0.072, -0.162, -0.07, -0.071, -0.055, -0.062, -0.077, -0.033, -0.005, 0.018, 0.009, -0.001, -0.015, -0.023, -0.034, 0.0, 0.072, 0.071, 0.053, -0.006, -0.052, -0.079, -0.068, -0.061, -0.064, -0.007, -0.021, 0.041, -1.158]</t>
  </si>
  <si>
    <t>480.0</t>
  </si>
  <si>
    <t>[0, 0, 0, 0, 1, 0, 0, 0, 0, 0, 0, 0, 0, 0, 0, 0, 0, 0, 0, 0, 0, 0, 0, 0, 0, 0, 0, 0, 0, 0, 0, 0, 0, 0, 0, 0, 1, 0, 0, 0, 0, 1, 0, 0, 0, 0, 0, 0, 0, 0, 0, 0, 0, 0, 0, 0, 0]</t>
  </si>
  <si>
    <t>LINESTRING (8.079245577100332 61.17904497770818, 8.079245577100332 61.17904497770818, 8.083607831349996 61.17898974442296, 8.087666653525606 61.17922735822068, 8.092474361610826 61.179837768217645, 8.09279477803108 61.179882894228996, 8.093457838558162 61.17997504889403, 8.09346198741071 61.17997562199388, 8.093978029639318 61.18004474763998, 8.096595836177222 61.18028243990741, 8.11250572517766 61.17928720299741, 8.114458857827424 61.17919069308271, 8.11608655455664 61.17912259854664, 8.116977360542544 61.17909085151955, 8.118712349164083 61.17903820833551, 8.12010513011326 61.179005388995876, 8.121777488920127 61.178976998331606, 8.127262939254402 61.178969118680925, 8.133812120016009 61.178734015477744, 8.133947566010315 61.17872902739506, 8.134069739053887 61.17872532781502, 8.139162879653318 61.179223666374504, 8.23072670602578 61.20403726031651, 8.231939072609999 61.20402823983429, 8.231957632359466 61.20402809871107, 8.232191903830666 61.20402635395996, 8.234900867660913 61.20400568879164, 8.237488195612354 61.20398705358228, 8.237504394354175 61.203986946523656, 8.23758165865803 61.2039860349943, 8.23758602188926 61.20398598339469, 8.237675701486303 61.203985793355606, 8.239619400820558 61.20404371580205, 8.247778356014098 61.20469287830767, 8.24787979575037 61.20470323658941, 8.24799879602647 61.20471532084189, 8.25012054915712 61.20506445176597, 8.250859000637272 61.205193586023555, 8.251328611346016 61.20525840678266, 8.25204720016976 61.20532851687245, 8.25292680864831 61.205372452018096, 8.253915649088102 61.20536477571107, 8.254403058956296 61.20533922761198, 8.258018703930505 61.20467137766627, 8.258022089968081 61.20467048357547, 8.260088022774001 61.204121942161585, 8.262505036488546 61.203488901126114, 8.264085216475841 61.2032371081327, 8.266297792211532 61.20326745845855, 8.266848345932727 61.20334351951495, 8.267425812109954 61.20345653339917, 8.271983956586299 61.20430698949075, 8.275594103871944 61.204778109015045, 8.275938570588576 61.2048197895608, 8.2759773756992 61.20482436404368, 8.276157911282352 61.20484559971453, 8.293887366453292 61.2067976064885, 8.295239213063613 61.20709917047479)</t>
  </si>
  <si>
    <t>[1259382, 1259426, 1259434, 1259450, 1259459, 1259467, 1259475, 1259487, 1259495, 1259503, 1259505, 1259509, 1259510, 1259517, 1259520, 1259521, 1259522, 1259529, 1259543, 1259568, 1259577, 1259591, 1259606, 1259611, 1259624, 1259632, 1259658, 1259666, 1259667, 1259674, 1259683, 1259687, 1259689, 1259694, 1259695, 1259696, 1259703, 1259708, 1259727, 1259728, 1259736, 1259744, 1259767, 1259775, 1259783, 1259805, 1259816, 1259821, 1259822, 1259979, 1260003, 1260018, 1260019, 1260027, 1260035, 1260043, 353035]</t>
  </si>
  <si>
    <t>[1177070, 341101, 1177073, 1177129, 1177137, 1177143, 1177082, 1177157, 1177103, 1177108, 341172, 341139, 341145, 341146, 1177183, 341147, 341150, 1177187, 1177201, 1177225, 1177238, 1177253, 1177266, 1177270, 1177284, 1177290, 1177308, 1177313, 1177314, 1177318, 1177327, 1177333, 377363, 1177339, 377371, 1177340, 1177346, 1177351, 1177363, 341281, 1177369, 1177376, 1177392, 341290, 341321, 1177421, 341336, 1177432, 341343, 1177539, 341350, 341352, 341372, 1177578, 1177584, 341090, 241176]</t>
  </si>
  <si>
    <t>[341391, 1177070, 341101, 1177073, 1177129, 1177137, 1177143, 1177082, 1177157, 1177103, 1177108, 341172, 341139, 341145, 341146, 1177183, 341147, 341150, 1177187, 1177201, 1177225, 1177238, 1177253, 1177266, 1177270, 1177284, 1177290, 1177308, 1177313, 1177314, 1177318, 1177327, 1177333, 377363, 1177339, 377371, 1177340, 1177346, 1177351, 1177363, 341281, 1177369, 1177376, 1177392, 341290, 341321, 1177421, 341336, 1177432, 341343, 1177539, 341350, 341352, 341372, 1177578, 1177584, 341090]</t>
  </si>
  <si>
    <t>[0.0, 0.034, 0.043, 0.045, 0.019, 0.024, 0.0, 0.023, 0.027, 0.001, 0.008, 0.016, 0.013, 0.011, 0.038, 0.044, 0.079, 0.012, 0.005, 0.004, 0.035, 0.024, 0.099, 0.109, 0.099, 0.093, 0.069, 0.044, 0.072, 0.162, 0.07, 0.071, 0.055, 0.062, 0.077, 0.033, 0.005, 0.018, 0.009, 0.001, 0.015, 0.023, 0.034, 0.0, 0.072, 0.071, 0.053, 0.006, 0.052, 0.079, 0.068, 0.061, 0.064, 0.007, 0.021, 0.041, 1.158]</t>
  </si>
  <si>
    <t>12780.474014523179</t>
  </si>
  <si>
    <t>[-0.013, 0.0, -0.016]</t>
  </si>
  <si>
    <t>LINESTRING (11.279277582540853 60.69151513313319, 11.279300770147707 60.691549231901334, 11.276764210719293 60.69508188714781, 11.276696234918125 60.695258115424295)</t>
  </si>
  <si>
    <t>[238720, 238728, 238736]</t>
  </si>
  <si>
    <t>[241304, 241312, 241317]</t>
  </si>
  <si>
    <t>[241303, 241304, 241312]</t>
  </si>
  <si>
    <t>[0.013, 0.0, 0.016]</t>
  </si>
  <si>
    <t>452.3713739195589</t>
  </si>
  <si>
    <t>[-0.04, -0.039, 0.007, 0.024]</t>
  </si>
  <si>
    <t>LINESTRING (11.281135738473813 60.68805293930136, 11.281040669765455 60.68822619612259, 11.281006717234588 60.68828808897088, 11.279358784381866 60.691487945439086, 11.279277582540853 60.69151513313319)</t>
  </si>
  <si>
    <t>[238848, 238856, 238864, 238872]</t>
  </si>
  <si>
    <t>[241392, 241398, 241405, 241303]</t>
  </si>
  <si>
    <t>0.0041134492135490005</t>
  </si>
  <si>
    <t>[241391, 241392, 241398, 241405]</t>
  </si>
  <si>
    <t>[0.04, 0.039, 0.007, 0.024]</t>
  </si>
  <si>
    <t>407.7229921673468</t>
  </si>
  <si>
    <t>842.894423590135</t>
  </si>
  <si>
    <t>[0.001, -0.003, -0.008, -0.006, -0.003, 0.011, 0.012, -0.001, -0.016]</t>
  </si>
  <si>
    <t>LINESTRING (11.298414238396445 60.63738268146993, 11.292217882579562 60.651072439755154, 11.289007891925165 60.667663253662134, 11.28673710799888 60.675565734062275, 11.286390180157523 60.676484932966275, 11.284825805962527 60.68053448240146, 11.284427947656457 60.68156414851368, 11.282735045997281 60.68581362255896, 11.28269934625119 60.68588196565939, 11.281135738473813 60.68805293930136)</t>
  </si>
  <si>
    <t>[238976, 239078, 239150, 239158, 239166, 239174, 239182, 239254, 239230]</t>
  </si>
  <si>
    <t>[241515, 241630, 241699, 241708, 241715, 241722, 241728, 241772, 241391]</t>
  </si>
  <si>
    <t>[241509, 241515, 241630, 241699, 241708, 241715, 241722, 241728, 241772]</t>
  </si>
  <si>
    <t>[0.001, 0.003, 0.008, 0.006, 0.003, 0.011, 0.012, 0.001, 0.016]</t>
  </si>
  <si>
    <t>5738.539653805692</t>
  </si>
  <si>
    <t>[0.028, 0.024, 0.024, 0.002]</t>
  </si>
  <si>
    <t>LINESTRING (11.299666131863741 60.628647526480485, 11.29971384379752 60.62937925080902, 11.299450337206618 60.63316271222949, 11.299431148371907 60.63327045208152, 11.298392835488407 60.63677206360767)</t>
  </si>
  <si>
    <t>[1406766, 1406774, 1406782, 1406790]</t>
  </si>
  <si>
    <t>[0, 0, 1, 0]</t>
  </si>
  <si>
    <t>[1287180, 1287188, 1287196, 241598]</t>
  </si>
  <si>
    <t>0.014823417138645292</t>
  </si>
  <si>
    <t>[241432, 1287180, 1287188, 1287196]</t>
  </si>
  <si>
    <t>910.1714165490969</t>
  </si>
  <si>
    <t>[-0.011, -0.029, 0.001]</t>
  </si>
  <si>
    <t>LINESTRING (11.30509710123894 60.599487871270604, 11.305884942486419 60.60005497370125, 11.305628593918454 60.61223600087233, 11.299666131863741 60.628647526480485)</t>
  </si>
  <si>
    <t>[1406462, 1406470, 238888]</t>
  </si>
  <si>
    <t>[1286918, 241431, 241432]</t>
  </si>
  <si>
    <t>[1286914, 1286918, 241431]</t>
  </si>
  <si>
    <t>[0.011, 0.029, 0.001]</t>
  </si>
  <si>
    <t>3418.73725295814</t>
  </si>
  <si>
    <t>[-0.048, -0.045, -0.03, -0.031, -0.029]</t>
  </si>
  <si>
    <t>LINESTRING (11.298227512111811 60.6328767872781, 11.29828123094353 60.632852443126126, 11.29835756461123 60.63280946367665, 11.299638050175616 60.628895010425694, 11.299652403343716 60.62875347608651, 11.299666131863741 60.628647526480485)</t>
  </si>
  <si>
    <t>[1406734, 1406742, 1406750, 1406758, 238928]</t>
  </si>
  <si>
    <t>[1287152, 1287159, 1287166, 241472, 241432]</t>
  </si>
  <si>
    <t>[1286994, 1287152, 1287159, 1287166, 241472]</t>
  </si>
  <si>
    <t>[0.048, 0.045, 0.03, 0.031, 0.029]</t>
  </si>
  <si>
    <t>487.5209839201723</t>
  </si>
  <si>
    <t>[0.024, 0.023, 0.002, 0.006]</t>
  </si>
  <si>
    <t>LINESTRING (11.299900537311894 60.62939841415242, 11.299645585726793 60.6332057421842, 11.299628122574024 60.63330530568131, 11.29864487023107 60.636779725895224, 11.298414238396445 60.63738268146993)</t>
  </si>
  <si>
    <t>[238944, 238952, 238960, 238968]</t>
  </si>
  <si>
    <t>[241488, 241495, 241502, 241509]</t>
  </si>
  <si>
    <t>0.013003893661963832</t>
  </si>
  <si>
    <t>[241481, 241488, 241495, 241502]</t>
  </si>
  <si>
    <t>895.2068328473783</t>
  </si>
  <si>
    <t>[-0.029, 0.001, 0.027]</t>
  </si>
  <si>
    <t>LINESTRING (11.30605074113208 60.60000877627011, 11.305798117335735 60.61227013359537, 11.299847488377637 60.628628010052324, 11.299900537311894 60.62939841415242)</t>
  </si>
  <si>
    <t>[1406502, 238880, 238936]</t>
  </si>
  <si>
    <t>[241421, 241422, 241481]</t>
  </si>
  <si>
    <t>[1286945, 241421, 241422]</t>
  </si>
  <si>
    <t>[0.029, 0.001, 0.027]</t>
  </si>
  <si>
    <t>3431.0652661217655</t>
  </si>
  <si>
    <t>[0.006, 0.0, -0.003, -0.008, -0.003, 0.014]</t>
  </si>
  <si>
    <t>10754.0</t>
  </si>
  <si>
    <t>LINESTRING (11.298392835488407 60.63677206360767, 11.298129715291186 60.637391592058684, 11.29190890056001 60.65105162039588, 11.288697346993445 60.667653199295934, 11.286081067780252 60.67646553923101, 11.28451829901566 60.68051085198773, 11.282383676861391 60.68577926913299)</t>
  </si>
  <si>
    <t>[1406798, 1406806, 239064, 239126, 239134, 239142]</t>
  </si>
  <si>
    <t>[1287210, 241615, 241616, 241678, 241684, 241691]</t>
  </si>
  <si>
    <t>[241598, 1287210, 241615, 241616, 241678, 241684]</t>
  </si>
  <si>
    <t>[0.006, 0.0, 0.003, 0.008, 0.003, 0.014]</t>
  </si>
  <si>
    <t>5540.601763397857</t>
  </si>
  <si>
    <t>[0.021, -0.005, -0.001]</t>
  </si>
  <si>
    <t>LINESTRING (11.298134020325216 60.63312056299911, 11.298139428407547 60.63315634179479, 11.298383468298125 60.63658712485361, 11.298392835488407 60.63677206360767)</t>
  </si>
  <si>
    <t>[1406718, 1406726, 239048]</t>
  </si>
  <si>
    <t>[1287142, 241597, 241598]</t>
  </si>
  <si>
    <t>[1286962, 1287142, 241597]</t>
  </si>
  <si>
    <t>[0.021, 0.005, 0.001]</t>
  </si>
  <si>
    <t>413.8665544047952</t>
  </si>
  <si>
    <t>0.026</t>
  </si>
  <si>
    <t>10.086788388799047</t>
  </si>
  <si>
    <t>[0.026, 0.031]</t>
  </si>
  <si>
    <t>LINESTRING (9.127601313885638 62.07549193943606, 9.127687557192735 62.07543718509367, 9.127808106885446 62.07540748098897)</t>
  </si>
  <si>
    <t>[242798, 242806]</t>
  </si>
  <si>
    <t>[244701, 244654]</t>
  </si>
  <si>
    <t>0.028420264790216882</t>
  </si>
  <si>
    <t>[244696, 244701]</t>
  </si>
  <si>
    <t>14.71535683243572</t>
  </si>
  <si>
    <t>[0.017, 0.01]</t>
  </si>
  <si>
    <t>LINESTRING (9.127345709116938 62.07525767779734, 9.12773418006402 62.075383713082196, 9.127808106885446 62.07540748098897)</t>
  </si>
  <si>
    <t>[242870, 242878]</t>
  </si>
  <si>
    <t>[244756, 244654]</t>
  </si>
  <si>
    <t>0.01588360619717753</t>
  </si>
  <si>
    <t>[244755, 244756]</t>
  </si>
  <si>
    <t>29.39667635520356</t>
  </si>
  <si>
    <t>[0.004, -0.019]</t>
  </si>
  <si>
    <t>LINESTRING (9.128000661229065 62.0754123564163, 9.128121475917238 62.07545162709321, 9.128192099015271 62.07551513771399)</t>
  </si>
  <si>
    <t>[242742, 242750]</t>
  </si>
  <si>
    <t>[244660, 244664]</t>
  </si>
  <si>
    <t>[244655, 244660]</t>
  </si>
  <si>
    <t>[0.004, 0.019]</t>
  </si>
  <si>
    <t>15.67775826915097</t>
  </si>
  <si>
    <t>[0.037, 0.045]</t>
  </si>
  <si>
    <t>LINESTRING (9.128000661229065 62.0754123564163, 9.128075448229694 62.07538997492296, 9.128522313823883 62.07523354848253)</t>
  </si>
  <si>
    <t>[243008, 243016]</t>
  </si>
  <si>
    <t>[244885, 244852]</t>
  </si>
  <si>
    <t>0.043905244936277274</t>
  </si>
  <si>
    <t>[244655, 244885]</t>
  </si>
  <si>
    <t>33.91098623516527</t>
  </si>
  <si>
    <t>0.031</t>
  </si>
  <si>
    <t>10.230239489334707</t>
  </si>
  <si>
    <t>[0.042, 0.045]</t>
  </si>
  <si>
    <t>LINESTRING (9.128192099015271 62.07551513771399, 9.128243329518 62.07547226049852, 9.128522313823883 62.07523354848253)</t>
  </si>
  <si>
    <t>[243024, 243032]</t>
  </si>
  <si>
    <t>[244900, 244852]</t>
  </si>
  <si>
    <t>0.044544282456528764</t>
  </si>
  <si>
    <t>[244664, 244900]</t>
  </si>
  <si>
    <t>36.086580338672995</t>
  </si>
  <si>
    <t>LINESTRING (9.128173067663706 62.07560642836086, 9.128078690059839 62.07566452759953, 9.127938425234989 62.07569294157182)</t>
  </si>
  <si>
    <t>[242766, 242774]</t>
  </si>
  <si>
    <t>[244679, 244685]</t>
  </si>
  <si>
    <t>[244670, 244679]</t>
  </si>
  <si>
    <t>0.033</t>
  </si>
  <si>
    <t>16.138143270977707</t>
  </si>
  <si>
    <t>[-0.016, -0.019]</t>
  </si>
  <si>
    <t>LINESTRING (9.128173067663706 62.07560642836086, 9.128212724855036 62.075650433008555, 9.128383905609166 62.075850844571036)</t>
  </si>
  <si>
    <t>[242944, 242952]</t>
  </si>
  <si>
    <t>[244828, 244810]</t>
  </si>
  <si>
    <t>[244670, 244828]</t>
  </si>
  <si>
    <t>[0.016, 0.019]</t>
  </si>
  <si>
    <t>29.406983997236193</t>
  </si>
  <si>
    <t>[-0.012, 0.025]</t>
  </si>
  <si>
    <t>LINESTRING (9.127938425234989 62.07569294157182, 9.127664517100452 62.075649216554645, 9.127601313885638 62.07549193943606)</t>
  </si>
  <si>
    <t>[242782, 242790]</t>
  </si>
  <si>
    <t>[244690, 244696]</t>
  </si>
  <si>
    <t>0.008145140715143911</t>
  </si>
  <si>
    <t>[244685, 244690]</t>
  </si>
  <si>
    <t>[0.012, 0.025]</t>
  </si>
  <si>
    <t>34.26280919847405</t>
  </si>
  <si>
    <t>[-0.004, 0.0]</t>
  </si>
  <si>
    <t>LINESTRING (9.127938425234989 62.07569294157182, 9.12801431753402 62.075717567373125, 9.128383905609166 62.075850844571036)</t>
  </si>
  <si>
    <t>[242960, 242968]</t>
  </si>
  <si>
    <t>[244839, 244810]</t>
  </si>
  <si>
    <t>[244685, 244839]</t>
  </si>
  <si>
    <t>[0.004, 0.0]</t>
  </si>
  <si>
    <t>29.213387430644307</t>
  </si>
  <si>
    <t>[0.003, -0.001]</t>
  </si>
  <si>
    <t>LINESTRING (9.127345709116938 62.07525767779734, 9.12755109109392 62.075447781353695, 9.127601313885638 62.07549193943606)</t>
  </si>
  <si>
    <t>[242886, 242895]</t>
  </si>
  <si>
    <t>[244775, 244696]</t>
  </si>
  <si>
    <t>0.002239290036947703</t>
  </si>
  <si>
    <t>[244755, 244775]</t>
  </si>
  <si>
    <t>[0.003, 0.001]</t>
  </si>
  <si>
    <t>29.35059051397772</t>
  </si>
  <si>
    <t>0.024</t>
  </si>
  <si>
    <t>44.79786825268932</t>
  </si>
  <si>
    <t>[0.027, 0.018, 0.016, 0.023, 0.034, 0.047, 0.041, 0.039, 0.043, 0.039, 0.362, 0.03, 0.025]</t>
  </si>
  <si>
    <t>LINESTRING (9.124435970725063 62.07231375104997, 9.124733256894784 62.07299798195598, 9.124827205436755 62.07323806845981, 9.12484963252493 62.07328724560928, 9.124935416848972 62.07345409449433, 9.125351852505018 62.07394778424362, 9.12539715093377 62.07398988769102, 9.125717749799037 62.07426850130727, 9.125781930116005 62.0743200526533, 9.12601605963275 62.07449951855967, 9.126089926391618 62.07455438170918, 9.126176397136636 62.07461958655253, 9.126307469341459 62.07470990281953, 9.126783840478037 62.07495454115507)</t>
  </si>
  <si>
    <t>[2075093, 2075101, 2075109, 2075117, 2075126, 2075134, 2075143, 2075151, 2075159, 2075167, 2075175, 243147, 243155]</t>
  </si>
  <si>
    <t>[1800482, 1800487, 1800493, 1800502, 1800510, 1800517, 1800522, 1800526, 1800532, 1800536, 244999, 245000, 244749]</t>
  </si>
  <si>
    <t>0.03932176392714539</t>
  </si>
  <si>
    <t>[261692, 1800482, 1800487, 1800493, 1800502, 1800510, 1800517, 1800522, 1800526, 1800532, 1800536, 244999, 245000]</t>
  </si>
  <si>
    <t>325.03611387729217</t>
  </si>
  <si>
    <t>[0.04, 0.022, 0.017, 0.015, 0.02, 0.034, 0.047, 0.04, 0.04, 0.042, 0.035, 0.308, 0.03, 0.022]</t>
  </si>
  <si>
    <t>LINESTRING (9.124435970725063 62.07231375104997, 9.124849530257686 62.0729518836499, 9.124866609530859 62.07299359423143, 9.124967246616366 62.07322849193069, 9.124989980275748 62.07327668277636, 9.12507247018644 62.07343567538917, 9.125484581023393 62.073920987414915, 9.125527461759306 62.073962690624626, 9.125775836696048 62.07418213512022, 9.125837368873837 62.07423259219592, 9.126136027160188 62.07446270570948, 9.126209873319468 62.07451916146431, 9.126292998583136 62.07458191880444, 9.126427298958895 62.07467469537906, 9.126783840478037 62.07495454115507)</t>
  </si>
  <si>
    <t>[2075183, 2075191, 2075199, 2075207, 2075215, 2075223, 2075231, 2075239, 2075247, 2075255, 2075263, 2075271, 242854, 242862]</t>
  </si>
  <si>
    <t>[1800550, 1800555, 1800561, 1800567, 1800576, 1800584, 1800588, 1800593, 1800599, 1800605, 1800613, 244742, 244743, 244749]</t>
  </si>
  <si>
    <t>0.039795794593599956</t>
  </si>
  <si>
    <t>[261692, 1800550, 1800555, 1800561, 1800567, 1800576, 1800584, 1800588, 1800593, 1800599, 1800605, 1800613, 244742, 244743]</t>
  </si>
  <si>
    <t>322.2137952772161</t>
  </si>
  <si>
    <t>2697.0</t>
  </si>
  <si>
    <t>LINESTRING (9.128383905609166 62.075850844571036, 8.896900162278033 62.11793348390825)</t>
  </si>
  <si>
    <t>13838.274275619538</t>
  </si>
  <si>
    <t>[0.005, -0.002, 0.076]</t>
  </si>
  <si>
    <t>LINESTRING (10.66586928493102 60.26938980943163, 10.665893397848034 60.269360834262145, 10.66732931400137 60.26843492757344, 10.667704542271132 60.26692323004645)</t>
  </si>
  <si>
    <t>[243512, 243520, 243528]</t>
  </si>
  <si>
    <t>[245324, 245331, 245339]</t>
  </si>
  <si>
    <t>0.04238862210754268</t>
  </si>
  <si>
    <t>[245323, 245324, 245331]</t>
  </si>
  <si>
    <t>[0.005, 0.002, 0.076]</t>
  </si>
  <si>
    <t>309.9704318706218</t>
  </si>
  <si>
    <t>[0.04, 0.046, 0.057, 0.141, -0.092, -0.032, -0.025, -0.027, -0.025, -0.023]</t>
  </si>
  <si>
    <t>11205.0</t>
  </si>
  <si>
    <t>LINESTRING (10.66586928493102 60.26938980943163, 10.665741654968405 60.26945807629614, 10.665663116740356 60.269499839100824, 10.665004335175336 60.26983819482945, 10.65985568857583 60.272542691703045, 10.65412650859186 60.27794708687498, 10.634183339866727 60.285716804528924, 10.633894060968766 60.285852045789426, 10.633736558902356 60.28592599133463, 10.632937709766162 60.28628967802428, 10.631643188547129 60.28679951369045)</t>
  </si>
  <si>
    <t>[267467, 267475, 267483, 267491, 267499, 267507, 267515, 267523, 267531, 267539]</t>
  </si>
  <si>
    <t>[264731, 264739, 264746, 264751, 264760, 264766, 264775, 264784, 264792, 249711]</t>
  </si>
  <si>
    <t>[245323, 264731, 264739, 264746, 264751, 264760, 264766, 264775, 264784, 264792]</t>
  </si>
  <si>
    <t>[0.04, 0.046, 0.057, 0.141, 0.092, 0.032, 0.025, 0.027, 0.025, 0.023]</t>
  </si>
  <si>
    <t>2780.1711713015216</t>
  </si>
  <si>
    <t>[-0.034, 0.032]</t>
  </si>
  <si>
    <t>LINESTRING (10.670873882682642 60.265108332054396, 10.66589710298444 60.26937467716252, 10.66586928493102 60.26938980943163)</t>
  </si>
  <si>
    <t>[267451, 267459]</t>
  </si>
  <si>
    <t>[264717, 245323]</t>
  </si>
  <si>
    <t>[245360, 264717]</t>
  </si>
  <si>
    <t>[0.034, 0.032]</t>
  </si>
  <si>
    <t>555.7027790593203</t>
  </si>
  <si>
    <t>[-0.274, -0.251, -0.248, -0.107, -0.019, 0.043]</t>
  </si>
  <si>
    <t>LINESTRING (10.674103151142873 60.26742747718396, 10.673764035679904 60.26741173514791, 10.672991416487578 60.267297409120644, 10.672342710509994 60.267197374472076, 10.668313172515 60.2678972570091, 10.66618327857862 60.26925782105016, 10.66586928493102 60.26938980943163)</t>
  </si>
  <si>
    <t>[269698, 269706, 269714, 269722, 269730, 269738]</t>
  </si>
  <si>
    <t>[1, 1, 0, 0, 0, 0]</t>
  </si>
  <si>
    <t>[266565, 266570, 266575, 266582, 266591, 245323]</t>
  </si>
  <si>
    <t>[266564, 266565, 266570, 266575, 266582, 266591]</t>
  </si>
  <si>
    <t>[0.274, 0.251, 0.248, 0.107, 0.019, 0.043]</t>
  </si>
  <si>
    <t>575.3773536089094</t>
  </si>
  <si>
    <t>[-0.044, 0.037, 0.219]</t>
  </si>
  <si>
    <t>LINESTRING (10.667704542271132 60.26692323004645, 10.669286175173943 60.26683832052813, 10.670725481342314 60.26522586614728, 10.670873882682642 60.265108332054396)</t>
  </si>
  <si>
    <t>[243536, 243544, 243552]</t>
  </si>
  <si>
    <t>[245346, 245353, 245360]</t>
  </si>
  <si>
    <t>0.015529905494517632</t>
  </si>
  <si>
    <t>[245339, 245346, 245353]</t>
  </si>
  <si>
    <t>[0.044, 0.037, 0.219]</t>
  </si>
  <si>
    <t>335.8932251467068</t>
  </si>
  <si>
    <t>[0.079, -0.038, -0.089, -0.021]</t>
  </si>
  <si>
    <t>LINESTRING (10.667704542271132 60.26692323004645, 10.667713777929693 60.26685348436821, 10.6692479681762 60.26656632421913, 10.669994588624457 60.266723704345026, 10.670576964505495 60.266846132691164)</t>
  </si>
  <si>
    <t>[277599, 277607, 277615, 277623]</t>
  </si>
  <si>
    <t>[272928, 272935, 272940, 266557]</t>
  </si>
  <si>
    <t>[245339, 272928, 272935, 272940]</t>
  </si>
  <si>
    <t>[0.079, 0.038, 0.089, 0.021]</t>
  </si>
  <si>
    <t>195.87766916352825</t>
  </si>
  <si>
    <t>0.166</t>
  </si>
  <si>
    <t>93.86030716478702</t>
  </si>
  <si>
    <t>[0.088, 0.135]</t>
  </si>
  <si>
    <t>LINESTRING (10.250896400502976 60.14863378011049, 10.250934023454997 60.148585660999736, 10.251023305394344 60.14854209612331)</t>
  </si>
  <si>
    <t>[244143, 244151]</t>
  </si>
  <si>
    <t>[245883, 245888]</t>
  </si>
  <si>
    <t>0.11369446853627875</t>
  </si>
  <si>
    <t>[245875, 245883]</t>
  </si>
  <si>
    <t>12.699357169071826</t>
  </si>
  <si>
    <t>[-0.053, -0.098, -0.126, -0.132, -0.116, -0.046, 0.062]</t>
  </si>
  <si>
    <t>LINESTRING (10.251409207697181 60.1486306147464, 10.251407609375352 60.148679128576234, 10.25136819225957 60.14872718335786, 10.251277244822921 60.14876978917179, 10.25112588206374 60.14878466173375, 10.251032089830762 60.148769302435895, 10.250923931359331 60.148715037674265, 10.250896400502976 60.14863378011049)</t>
  </si>
  <si>
    <t>[244183, 244191, 244199, 244207, 244215, 244223, 244135]</t>
  </si>
  <si>
    <t>[245922, 245929, 245934, 245941, 245946, 232872, 245875]</t>
  </si>
  <si>
    <t>[245914, 245922, 245929, 245934, 245941, 245946, 232872]</t>
  </si>
  <si>
    <t>[0.053, 0.098, 0.126, 0.132, 0.116, 0.046, 0.062]</t>
  </si>
  <si>
    <t>49.903952388347456</t>
  </si>
  <si>
    <t>[0.005, 0.073]</t>
  </si>
  <si>
    <t>LINESTRING (10.250489627723123 60.14841394332043, 10.250807920841192 60.148606630584894, 10.250896400502976 60.14863378011049)</t>
  </si>
  <si>
    <t>[1593015, 1593023]</t>
  </si>
  <si>
    <t>[1432251, 245875]</t>
  </si>
  <si>
    <t>0.016285818220929293</t>
  </si>
  <si>
    <t>[597304, 1432251]</t>
  </si>
  <si>
    <t>34.78883050682939</t>
  </si>
  <si>
    <t>0.115</t>
  </si>
  <si>
    <t>12.330415207808883</t>
  </si>
  <si>
    <t>[0.397, -1.408]</t>
  </si>
  <si>
    <t>LINESTRING (10.250489627723123 60.14841394332043, 10.25091920459617 60.14852217487548, 10.251023305394344 60.14854209612331)</t>
  </si>
  <si>
    <t>[1412012, 1412022]</t>
  </si>
  <si>
    <t>[1291137, 245888]</t>
  </si>
  <si>
    <t>0.060691984829177134</t>
  </si>
  <si>
    <t>[597304, 1291137]</t>
  </si>
  <si>
    <t>[0.397, 1.408]</t>
  </si>
  <si>
    <t>33.25928873535203</t>
  </si>
  <si>
    <t>[0.057, 0.004]</t>
  </si>
  <si>
    <t>LINESTRING (10.251239334741664 60.148532766830925, 10.251351078292736 60.148570960710074, 10.251409207697181 60.1486306147464)</t>
  </si>
  <si>
    <t>[244167, 244175]</t>
  </si>
  <si>
    <t>[245906, 245914]</t>
  </si>
  <si>
    <t>0.030742790271456228</t>
  </si>
  <si>
    <t>[245898, 245906]</t>
  </si>
  <si>
    <t>14.921840025177247</t>
  </si>
  <si>
    <t>[-0.107, -0.117, -0.112]</t>
  </si>
  <si>
    <t>LINESTRING (10.251825727118426 60.148352556699315, 10.25151831664118 60.14843610256342, 10.251320623430725 60.148505311918186, 10.251239334741664 60.148532766830925)</t>
  </si>
  <si>
    <t>[1592951, 1592959, 1592967]</t>
  </si>
  <si>
    <t>[1432208, 1432214, 245898]</t>
  </si>
  <si>
    <t>[597252, 1432208, 1432214]</t>
  </si>
  <si>
    <t>[0.107, 0.117, 0.112]</t>
  </si>
  <si>
    <t>38.81521149180683</t>
  </si>
  <si>
    <t>[0.31, -0.04, -1.447]</t>
  </si>
  <si>
    <t>LINESTRING (10.251825727118426 60.148352556699315, 10.251620927820007 60.14849155275791, 10.251478629248947 60.148583161035155, 10.251409207697181 60.1486306147464)</t>
  </si>
  <si>
    <t>[1411952, 1411960, 1411961]</t>
  </si>
  <si>
    <t>[1291097, 1291102, 245914]</t>
  </si>
  <si>
    <t>[597252, 1291097, 1291102]</t>
  </si>
  <si>
    <t>[0.31, 0.04, 1.447]</t>
  </si>
  <si>
    <t>39.22748404541728</t>
  </si>
  <si>
    <t>[-0.085, -0.083]</t>
  </si>
  <si>
    <t>LINESTRING (11.302889424000892 60.59688263037437, 11.302799291804387 60.596894956758355, 11.302469042457357 60.59694703244654)</t>
  </si>
  <si>
    <t>[245987, 245995]</t>
  </si>
  <si>
    <t>[247383, 247389]</t>
  </si>
  <si>
    <t>[247382, 247383]</t>
  </si>
  <si>
    <t>[0.085, 0.083]</t>
  </si>
  <si>
    <t>24.130880708757417</t>
  </si>
  <si>
    <t>[-0.063, -0.026]</t>
  </si>
  <si>
    <t>LINESTRING (11.302889424000892 60.59688263037437, 11.302787903997654 60.59684003849834, 11.302744170668333 60.59676718327851)</t>
  </si>
  <si>
    <t>[246123, 246131]</t>
  </si>
  <si>
    <t>[247500, 247507]</t>
  </si>
  <si>
    <t>[247382, 247500]</t>
  </si>
  <si>
    <t>[0.063, 0.026]</t>
  </si>
  <si>
    <t>15.777406283573706</t>
  </si>
  <si>
    <t>0.087</t>
  </si>
  <si>
    <t>8.230721778790238</t>
  </si>
  <si>
    <t>[-0.356, 0.006, 0.033]</t>
  </si>
  <si>
    <t>LINESTRING (11.302469042457357 60.59694703244654, 11.302362143953047 60.596982551180034, 11.301541195775993 60.59725908058179, 11.30141372577463 60.59730167784898)</t>
  </si>
  <si>
    <t>[1726564, 1726572, 1726578]</t>
  </si>
  <si>
    <t>[1536275, 1536283, 1536273]</t>
  </si>
  <si>
    <t>[247389, 1536275, 1536283]</t>
  </si>
  <si>
    <t>[0.356, 0.006, 0.033]</t>
  </si>
  <si>
    <t>70.04220750255324</t>
  </si>
  <si>
    <t>[-0.475, 0.074]</t>
  </si>
  <si>
    <t>LINESTRING (11.302744170668333 60.59676718327851, 11.302686905335564 60.59681109599761, 11.302469042457357 60.59694703244654)</t>
  </si>
  <si>
    <t>[1726683, 1726691]</t>
  </si>
  <si>
    <t>[1536372, 247389]</t>
  </si>
  <si>
    <t>[247507, 1536372]</t>
  </si>
  <si>
    <t>[0.475, 0.074]</t>
  </si>
  <si>
    <t>25.099941080843088</t>
  </si>
  <si>
    <t>11.973534723170328</t>
  </si>
  <si>
    <t>[0.067, 0.039]</t>
  </si>
  <si>
    <t>LINESTRING (11.301018728174705 60.59737003217522, 11.301100718278985 60.59740742865848, 11.30114285853253 60.59746320778588)</t>
  </si>
  <si>
    <t>[246059, 246067]</t>
  </si>
  <si>
    <t>[247444, 247395]</t>
  </si>
  <si>
    <t>0.05244820146481239</t>
  </si>
  <si>
    <t>[247439, 247444]</t>
  </si>
  <si>
    <t>12.758622617783372</t>
  </si>
  <si>
    <t>[0.043, -0.66]</t>
  </si>
  <si>
    <t>LINESTRING (11.30141372577463 60.59730167784898, 11.30121430627722 60.597420614223616, 11.30114285853253 60.59746320778588)</t>
  </si>
  <si>
    <t>[1726582, 1726603]</t>
  </si>
  <si>
    <t>[1536289, 247395]</t>
  </si>
  <si>
    <t>[1536273, 1536289]</t>
  </si>
  <si>
    <t>[0.043, 0.66]</t>
  </si>
  <si>
    <t>23.33021409754865</t>
  </si>
  <si>
    <t>[-0.054, -0.064, -0.03, 0.01, 0.055]</t>
  </si>
  <si>
    <t>LINESTRING (11.301077762287166 60.597563492448984, 11.300912098067332 60.597603134964835, 11.300646380925778 60.59751732659692, 11.300637455223445 60.59745674184123, 11.300713063902476 60.59738644542908, 11.300839720648318 60.5973546300513)</t>
  </si>
  <si>
    <t>[246011, 246019, 246027, 246035, 246043]</t>
  </si>
  <si>
    <t>[247404, 247410, 247416, 247425, 247433]</t>
  </si>
  <si>
    <t>[247396, 247404, 247410, 247416, 247425]</t>
  </si>
  <si>
    <t>[0.054, 0.064, 0.03, 0.01, 0.055]</t>
  </si>
  <si>
    <t>51.978322787469</t>
  </si>
  <si>
    <t>[0.025, 0.017, -0.002, -0.932]</t>
  </si>
  <si>
    <t>LINESTRING (11.30509710123894 60.599487871270604, 11.304532313664284 60.59916161571579, 11.304193866374444 60.59892162427498, 11.301169267645731 60.59757271387275, 11.301077762287166 60.597563492448984)</t>
  </si>
  <si>
    <t>[1726499, 1726611, 1726619, 1726628]</t>
  </si>
  <si>
    <t>[1536218, 1536309, 1536318, 247396]</t>
  </si>
  <si>
    <t>[1286914, 1536218, 1536309, 1536318]</t>
  </si>
  <si>
    <t>[0.025, 0.017, 0.002, 0.932]</t>
  </si>
  <si>
    <t>313.09836568453255</t>
  </si>
  <si>
    <t>0.078</t>
  </si>
  <si>
    <t>9.95802912228284</t>
  </si>
  <si>
    <t>[1.434, -0.036, 0.034]</t>
  </si>
  <si>
    <t>LINESTRING (11.300839720648318 60.5973546300513, 11.300837561480272 60.597319543387634, 11.297327117605612 60.594179130376986, 11.296759500542104 60.59385398248124)</t>
  </si>
  <si>
    <t>[1726551, 1726559, 1726491]</t>
  </si>
  <si>
    <t>[1536266, 1536211, 1536181]</t>
  </si>
  <si>
    <t>[247433, 1536266, 1536211]</t>
  </si>
  <si>
    <t>[1.434, 0.036, 0.034]</t>
  </si>
  <si>
    <t>457.93895761291105</t>
  </si>
  <si>
    <t>[0.034, -0.802]</t>
  </si>
  <si>
    <t>LINESTRING (11.30141372577463 60.59730167784898, 11.301115607249907 60.59735116168092, 11.301018728174705 60.59737003217522)</t>
  </si>
  <si>
    <t>[1726562, 1726563]</t>
  </si>
  <si>
    <t>[1536274, 247439]</t>
  </si>
  <si>
    <t>[1536273, 1536274]</t>
  </si>
  <si>
    <t>[0.034, 0.802]</t>
  </si>
  <si>
    <t>23.13217553303309</t>
  </si>
  <si>
    <t>[0.077, 0.094, 0.078, 0.007, -0.071]</t>
  </si>
  <si>
    <t>LINESTRING (11.30278079663992 60.59670302411863, 11.302953064045274 60.59664443541596, 11.303081306343417 60.59665045706346, 11.303185708070895 60.5966835201563, 11.30323930511304 60.59681280618791, 11.303037952894874 60.59689362680018)</t>
  </si>
  <si>
    <t>[246075, 246083, 246091, 246099, 246107]</t>
  </si>
  <si>
    <t>[247338, 247465, 247352, 247363, 247488]</t>
  </si>
  <si>
    <t>0.020817837438837958</t>
  </si>
  <si>
    <t>[247458, 247338, 247465, 247352, 247363]</t>
  </si>
  <si>
    <t>[0.077, 0.094, 0.078, 0.007, 0.071]</t>
  </si>
  <si>
    <t>55.567560663872996</t>
  </si>
  <si>
    <t>7.425860556354417</t>
  </si>
  <si>
    <t>[-0.036, 0.042, 0.052, 0.766]</t>
  </si>
  <si>
    <t>LINESTRING (11.297709902159077 60.594175442495384, 11.298402214232917 60.594485625530105, 11.302616822212059 60.596663943249396, 11.302722374450719 60.59668823017586, 11.30278079663992 60.59670302411863)</t>
  </si>
  <si>
    <t>[1726483, 1726699, 1726707, 1726716]</t>
  </si>
  <si>
    <t>[1536204, 1536385, 1536392, 247458]</t>
  </si>
  <si>
    <t>0.038661602413542585</t>
  </si>
  <si>
    <t>[1536159, 1536204, 1536385, 1536392]</t>
  </si>
  <si>
    <t>[0.036, 0.042, 0.052, 0.766]</t>
  </si>
  <si>
    <t>399.10038655060174</t>
  </si>
  <si>
    <t>[-0.689, -0.001, -0.009, -0.017]</t>
  </si>
  <si>
    <t>LINESTRING (11.303037952894874 60.59689362680018, 11.30304081267148 60.59693634574061, 11.304529232036607 60.59880901561748, 11.30562633561906 60.59961369414483, 11.30605074113208 60.60000877627011)</t>
  </si>
  <si>
    <t>[1726639, 1726657, 1726670, 1726507]</t>
  </si>
  <si>
    <t>[1536335, 1536346, 1536227, 1286945]</t>
  </si>
  <si>
    <t>[247488, 1536335, 1536346, 1536227]</t>
  </si>
  <si>
    <t>[0.689, 0.001, 0.009, 0.017]</t>
  </si>
  <si>
    <t>390.95844277693476</t>
  </si>
  <si>
    <t>24.354893603337857</t>
  </si>
  <si>
    <t>[-0.064, -0.025, -0.021, 0.042, 0.127]</t>
  </si>
  <si>
    <t>LINESTRING (11.192357840790251 63.711619243734894, 11.19230551209842 63.71161463284314, 11.192246674098621 63.71160945427082, 11.186206356300424 63.7110180569146, 11.185287422830456 63.71096972095364, 11.185245866573098 63.710940680179554)</t>
  </si>
  <si>
    <t>[246925, 246933, 765661, 765669, 765677]</t>
  </si>
  <si>
    <t>[248130, 248135, 248122, 744754, 645047]</t>
  </si>
  <si>
    <t>[248129, 248130, 248135, 248122, 744754]</t>
  </si>
  <si>
    <t>[0.064, 0.025, 0.021, 0.042, 0.127]</t>
  </si>
  <si>
    <t>383.0430373587355</t>
  </si>
  <si>
    <t>[0.055, 0.019, 0.021, 0.007, 0.007, 0.03, 0.035, 0.014, 0.012, 0.009, 0.008, -0.007, -0.004, 0.001, 0.01, 0.012, 0.011, -0.003]</t>
  </si>
  <si>
    <t>5783.0</t>
  </si>
  <si>
    <t>[0, 1, 0, 0, 0, 0, 0, 0, 0, 0, 0, 0, 0, 0, 0, 0, 0, 0]</t>
  </si>
  <si>
    <t>LINESTRING (11.192782337701152 63.71172021501598, 11.19652939002088 63.7131420855405, 11.196618225640858 63.71317453816149, 11.206704617914628 63.71562418931857, 11.206851627325403 63.715652480288085, 11.207980274346408 63.715869087528475, 11.212581470618954 63.716244336904914, 11.214204373748304 63.71633503552945, 11.21539001367331 63.71642039051242, 11.217304057620392 63.71656102648483, 11.218490288465885 63.71664890520704, 11.220389182156728 63.716771919672425, 11.222121902570871 63.71686577146265, 11.222322734367896 63.71687787297562, 11.222400084840928 63.71688279697196, 11.223135540535267 63.716924664804075, 11.223487077024798 63.7169452847337, 11.22430661830774 63.71703670156655, 11.224452040937631 63.717087991125545)</t>
  </si>
  <si>
    <t>[246941, 246949, 246957, 246965, 246973, 246981, 246989, 246997, 247005, 2083095, 680924, 680932, 680940, 680948, 680965, 680973, 629660, 629668]</t>
  </si>
  <si>
    <t>[248141, 248148, 248155, 248160, 248166, 248172, 248178, 248184, 248191, 671792, 671793, 671803, 671810, 671817, 671833, 625488, 625489, 625495]</t>
  </si>
  <si>
    <t>0.02298482329711127</t>
  </si>
  <si>
    <t>[248140, 248141, 248148, 248155, 248160, 248166, 248172, 248178, 248184, 248191, 671792, 671793, 671803, 671810, 671817, 671833, 625488, 625489]</t>
  </si>
  <si>
    <t>[0.055, 0.019, 0.021, 0.007, 0.007, 0.03, 0.035, 0.014, 0.012, 0.009, 0.008, 0.007, 0.004, 0.001, 0.01, 0.012, 0.011, 0.003]</t>
  </si>
  <si>
    <t>1719.1355294412326</t>
  </si>
  <si>
    <t>[0.066, 0.062, 0.017, 0.007, 0.009, 0.029, 0.037, 0.011, 0.011, 0.008, 0.009, -0.008, -0.006, -0.005, 0.009, 0.016, 0.022]</t>
  </si>
  <si>
    <t>[0, 1, 0, 0, 0, 0, 0, 0, 0, 0, 0, 0, 0, 0, 0, 0, 0]</t>
  </si>
  <si>
    <t>LINESTRING (11.192782337701152 63.71172021501598, 11.196582891516487 63.71308628313895, 11.19666447493971 63.713115398795864, 11.206759944340297 63.71556765872795, 11.206906815752896 63.71559591904937, 11.208026131665367 63.715810761324214, 11.212588935206352 63.71618342638322, 11.214228671073776 63.7162723481899, 11.215409907848258 63.716357874789594, 11.217314701422197 63.71650415345372, 11.218502445219176 63.716592673971654, 11.220097081282695 63.71669570949888, 11.220475884275967 63.71671715190201, 11.222123992712014 63.71680306629602, 11.222329115857319 63.71681307882923, 11.223505680693979 63.71688213229828, 11.224352847505711 63.71689683037641, 11.224521587823107 63.716889107901956)</t>
  </si>
  <si>
    <t>[765573, 765621, 765581, 247013, 247021, 247029, 247037, 247045, 247053, 2083117, 533919, 533927, 533935, 533943, 533951, 629644, 629652]</t>
  </si>
  <si>
    <t>[744673, 744681, 248196, 248197, 248205, 248212, 248219, 248224, 248230, 541428, 541429, 541436, 541445, 541452, 541459, 625479, 625484]</t>
  </si>
  <si>
    <t>0.023319493319275256</t>
  </si>
  <si>
    <t>[248140, 744673, 744681, 248196, 248197, 248205, 248212, 248219, 248224, 248230, 541428, 541429, 541436, 541445, 541452, 541459, 625479]</t>
  </si>
  <si>
    <t>[0.066, 0.062, 0.017, 0.007, 0.009, 0.029, 0.037, 0.011, 0.011, 0.008, 0.009, 0.008, 0.006, 0.005, 0.009, 0.016, 0.022]</t>
  </si>
  <si>
    <t>1714.723530410519</t>
  </si>
  <si>
    <t>0.042</t>
  </si>
  <si>
    <t>25.116277399586025</t>
  </si>
  <si>
    <t>[0.011, 0.055, 0.144, 0.137]</t>
  </si>
  <si>
    <t>LINESTRING (10.658189954903563 60.929016529154815, 10.657579225270778 60.929043659846265, 10.656244735551939 60.92923667100514, 10.655661986855195 60.929244870530006, 10.655545823104807 60.92923880595838)</t>
  </si>
  <si>
    <t>[247741, 247749, 247757, 247765]</t>
  </si>
  <si>
    <t>[248858, 248864, 248871, 248878]</t>
  </si>
  <si>
    <t>0.06777760871382182</t>
  </si>
  <si>
    <t>[248857, 248858, 248864, 248871]</t>
  </si>
  <si>
    <t>147.2815915071463</t>
  </si>
  <si>
    <t>[0.009, 0.05, 0.133, 0.122]</t>
  </si>
  <si>
    <t>LINESTRING (10.658189954903563 60.929016529154815, 10.657595249926565 60.929080602615244, 10.656265413298826 60.92930287929914, 10.655659182887542 60.92938228944738, 10.655533149818181 60.92940887839974)</t>
  </si>
  <si>
    <t>[335700, 335708, 335716, 335724]</t>
  </si>
  <si>
    <t>[325027, 325034, 325041, 263020]</t>
  </si>
  <si>
    <t>0.063339416335696</t>
  </si>
  <si>
    <t>[248857, 325027, 325034, 325041]</t>
  </si>
  <si>
    <t>151.2175140835233</t>
  </si>
  <si>
    <t>[-0.038, -0.042, -0.009, 0.037, 0.01, 0.012, 0.007, -0.039, 0.0, 0.0, 0.0, 0.0, 0.001]</t>
  </si>
  <si>
    <t>14734.0</t>
  </si>
  <si>
    <t>[0, 0, 0, 0, 1, 0, 0, 0, 1, 1, 1, 1, 1]</t>
  </si>
  <si>
    <t>LINESTRING (10.699792355969489 60.91951042452344, 10.696365374036036 60.92053404432351, 10.695937428802663 60.92070833519784, 10.693289164154363 60.922125893159084, 10.692691061631397 60.92247825618714, 10.691635151838273 60.92311509042512, 10.690564275613829 60.92378030004578, 10.68829610710492 60.92519745587126, 10.683967629894367 60.926916111231094, 10.680860106424108 60.92748905620087, 10.676540284483501 60.92781857396857, 10.67115697189936 60.9281830410629, 10.669788164863382 60.92826295420859, 10.658189954903563 60.929016529154815)</t>
  </si>
  <si>
    <t>[1255854, 137814, 137830, 137838, 137846, 137854, 137862, 137870, 137878, 137886, 137894, 137902, 262655]</t>
  </si>
  <si>
    <t>[0, 0, 0, 0, 0, 0, 1, 0, 0, 0, 0, 0, 0]</t>
  </si>
  <si>
    <t>[154946, 25166, 25177, 154974, 154983, 154994, 155005, 155013, 155023, 155033, 155044, 155054, 248857]</t>
  </si>
  <si>
    <t>[365756, 154946, 25166, 25177, 154974, 154983, 154994, 155005, 155013, 155023, 155033, 155044, 155054]</t>
  </si>
  <si>
    <t>[0.038, 0.042, 0.009, 0.037, 0.01, 0.012, 0.007, 0.039, 0.0, 0.0, 0.0, 0.0, 0.001]</t>
  </si>
  <si>
    <t>2627.149774828061</t>
  </si>
  <si>
    <t>[-0.052, 0.01]</t>
  </si>
  <si>
    <t>LINESTRING (10.655545823104807 60.92923880595838, 10.655578390704855 60.929322401841574, 10.655533149818181 60.92940887839974)</t>
  </si>
  <si>
    <t>[265240, 265248]</t>
  </si>
  <si>
    <t>[263070, 263020]</t>
  </si>
  <si>
    <t>[248878, 263070]</t>
  </si>
  <si>
    <t>[0.052, 0.01]</t>
  </si>
  <si>
    <t>19.429581092704986</t>
  </si>
  <si>
    <t>0.111</t>
  </si>
  <si>
    <t>12.784568822971497</t>
  </si>
  <si>
    <t>[0.11, 0.057, 0.009, -0.082]</t>
  </si>
  <si>
    <t>LINESTRING (10.654926709516397 60.929480995293616, 10.654766518066506 60.92936998603482, 10.654748281909736 60.929297822944015, 10.654784165337416 60.92922983676168, 10.65499939159914 60.92912844311867)</t>
  </si>
  <si>
    <t>[265184, 265192, 265200, 265208]</t>
  </si>
  <si>
    <t>[263037, 263042, 263045, 263051]</t>
  </si>
  <si>
    <t>0.018212099580538276</t>
  </si>
  <si>
    <t>[248884, 263037, 263042, 263045]</t>
  </si>
  <si>
    <t>[0.11, 0.057, 0.009, 0.082]</t>
  </si>
  <si>
    <t>47.78030792492043</t>
  </si>
  <si>
    <t>[0.144, 0.137]</t>
  </si>
  <si>
    <t>LINESTRING (10.655286257615668 60.9295067319157, 10.655093788241405 60.929511751488626, 10.654926709516397 60.929480995293616)</t>
  </si>
  <si>
    <t>[265168, 265176]</t>
  </si>
  <si>
    <t>[263027, 248884]</t>
  </si>
  <si>
    <t>0.14063301089689292</t>
  </si>
  <si>
    <t>[263021, 263027]</t>
  </si>
  <si>
    <t>20.144436730481445</t>
  </si>
  <si>
    <t>6.707739559392906</t>
  </si>
  <si>
    <t>[0.083, 0.098]</t>
  </si>
  <si>
    <t>LINESTRING (10.462296118443337 61.113064284648125, 10.462374752170454 61.11308230615377, 10.462448342688639 61.1131007605744)</t>
  </si>
  <si>
    <t>[336452, 336460]</t>
  </si>
  <si>
    <t>[325720, 325589]</t>
  </si>
  <si>
    <t>0.09031805207892316</t>
  </si>
  <si>
    <t>[249332, 325720]</t>
  </si>
  <si>
    <t>9.163015451771821</t>
  </si>
  <si>
    <t>[-0.025, 0.025, -0.006, 0.068, 0.099, 0.143, 0.148, 0.142, 0.15, 0.098]</t>
  </si>
  <si>
    <t>LINESTRING (10.460208049259244 61.1133624101566, 10.460332068964261 61.11312017815648, 10.460368400085233 61.113087227436424, 10.460404731129405 61.11305427670569, 10.46047119902849 61.113023077048275, 10.460882905921492 61.11290985567759, 10.461063805439204 61.112906748977935, 10.461426107826354 61.11292290794381, 10.46155063320108 61.11293094440272, 10.461656757917469 61.112942606606474, 10.462296118443337 61.113064284648125)</t>
  </si>
  <si>
    <t>[336372, 336380, 336388, 336396, 336404, 336412, 336420, 336428, 336436, 336444]</t>
  </si>
  <si>
    <t>[247243, 325657, 214045, 325672, 325680, 325688, 325695, 325701, 325707, 249332]</t>
  </si>
  <si>
    <t>0.08223588921218862</t>
  </si>
  <si>
    <t>[249391, 247243, 325657, 214045, 325672, 325680, 325688, 325695, 325701, 325707]</t>
  </si>
  <si>
    <t>[0.025, 0.025, 0.006, 0.068, 0.099, 0.143, 0.148, 0.142, 0.15, 0.098]</t>
  </si>
  <si>
    <t>146.4104383100226</t>
  </si>
  <si>
    <t>[0.001, -0.008, 0.014]</t>
  </si>
  <si>
    <t>LINESTRING (10.462253956201115 61.11312089773615, 10.4622424678463 61.11313631185757, 10.462208457927632 61.11318274937694, 10.462180436719615 61.11334303950633)</t>
  </si>
  <si>
    <t>[248342, 248350, 248358]</t>
  </si>
  <si>
    <t>[249341, 249350, 249356]</t>
  </si>
  <si>
    <t>0.008312901546826677</t>
  </si>
  <si>
    <t>[249333, 249341, 249350]</t>
  </si>
  <si>
    <t>[0.001, 0.008, 0.014]</t>
  </si>
  <si>
    <t>25.41915191136851</t>
  </si>
  <si>
    <t>[0.096, 0.092]</t>
  </si>
  <si>
    <t>LINESTRING (10.462253956201115 61.11312089773615, 10.462309944570976 61.113132888099024, 10.462400848742712 61.113150368898346)</t>
  </si>
  <si>
    <t>[248486, 248495]</t>
  </si>
  <si>
    <t>[249459, 249467]</t>
  </si>
  <si>
    <t>0.09353985049937927</t>
  </si>
  <si>
    <t>[249333, 249459]</t>
  </si>
  <si>
    <t>8.57792688334104</t>
  </si>
  <si>
    <t>[0.019, 0.03, 0.013, 0.064, 0.098, 0.137, 0.134, 0.143, 0.148, 0.14, 0.099]</t>
  </si>
  <si>
    <t>LINESTRING (10.460208049259244 61.1133624101566, 10.460480271912628 61.11314944373083, 10.46051552101229 61.11312053033251, 10.4605533691192 61.11309344895267, 10.460604305647385 61.11306763512587, 10.460933969336283 61.11298096172056, 10.461040626543136 61.112974944434065, 10.46110384513987 61.112973473406676, 10.461423781626719 61.1129806355986, 10.461540684594398 61.11298726465058, 10.461632140542946 61.11299753431247, 10.462253956201115 61.11312089773615)</t>
  </si>
  <si>
    <t>[248398, 248406, 248414, 248422, 248430, 248438, 248446, 248454, 248462, 248470, 248478]</t>
  </si>
  <si>
    <t>[247242, 249397, 214044, 249411, 249417, 249424, 249430, 249436, 249442, 249446, 249333]</t>
  </si>
  <si>
    <t>0.08887494871546714</t>
  </si>
  <si>
    <t>[249391, 247242, 249397, 214044, 249411, 249417, 249424, 249430, 249436, 249442, 249446]</t>
  </si>
  <si>
    <t>134.1792472131075</t>
  </si>
  <si>
    <t>[0.051, -0.001, 0.044, 0.05, 0.06]</t>
  </si>
  <si>
    <t>LINESTRING (10.462180436719615 61.11334303950633, 10.462089641854678 61.11347322435913, 10.46193121120561 61.11397827593881, 10.461977288899961 61.1140443936957, 10.462021853232589 61.114088697922, 10.462296958968889 61.114340780632325)</t>
  </si>
  <si>
    <t>[264207, 264215, 264223, 264231, 264239]</t>
  </si>
  <si>
    <t>[262271, 262278, 262284, 108999, 108984]</t>
  </si>
  <si>
    <t>0.0273934335073691</t>
  </si>
  <si>
    <t>[249356, 262271, 262278, 262284, 108999]</t>
  </si>
  <si>
    <t>[0.051, 0.001, 0.044, 0.05, 0.06]</t>
  </si>
  <si>
    <t>118.50682378419731</t>
  </si>
  <si>
    <t>[0.0, -0.027, -0.026]</t>
  </si>
  <si>
    <t>LINESTRING (10.462400848742712 61.113150368898346, 10.462386469832657 61.11316507433563, 10.462340608993726 61.11320719257423, 10.462180436719615 61.11334303950633)</t>
  </si>
  <si>
    <t>[336316, 336324, 336332]</t>
  </si>
  <si>
    <t>[325597, 325605, 249356]</t>
  </si>
  <si>
    <t>[249467, 325597, 325605]</t>
  </si>
  <si>
    <t>[0.0, 0.027, 0.026]</t>
  </si>
  <si>
    <t>24.55324483424767</t>
  </si>
  <si>
    <t>[0.03, 0.056]</t>
  </si>
  <si>
    <t>LINESTRING (10.4470890711121 61.11632529249821, 10.448873727101182 61.11606100847831, 10.448980249875376 61.11604014861156)</t>
  </si>
  <si>
    <t>[248366, 248374]</t>
  </si>
  <si>
    <t>[249364, 249369]</t>
  </si>
  <si>
    <t>0.03150660159697192</t>
  </si>
  <si>
    <t>[249363, 249364]</t>
  </si>
  <si>
    <t>106.94944752414678</t>
  </si>
  <si>
    <t>84.30622232278625</t>
  </si>
  <si>
    <t>[-0.275, -0.013]</t>
  </si>
  <si>
    <t>LINESTRING (10.448980249875376 61.11604014861156, 10.448836755658535 61.11598333109293, 10.448802839063728 61.11588974033328)</t>
  </si>
  <si>
    <t>[265312, 265320]</t>
  </si>
  <si>
    <t>[263112, 263081]</t>
  </si>
  <si>
    <t>[249369, 263112]</t>
  </si>
  <si>
    <t>[0.275, 0.013]</t>
  </si>
  <si>
    <t>20.79296002366803</t>
  </si>
  <si>
    <t>0.039</t>
  </si>
  <si>
    <t>25.383032480250776</t>
  </si>
  <si>
    <t>LINESTRING (10.449340803421288 61.11593989420748, 10.44943764057137 61.11589477731735, 10.449995165715421 61.11572265405716)</t>
  </si>
  <si>
    <t>[248382, 248390]</t>
  </si>
  <si>
    <t>[249376, 249386]</t>
  </si>
  <si>
    <t>0.03016122371120266</t>
  </si>
  <si>
    <t>[249375, 249376]</t>
  </si>
  <si>
    <t>43.21833809739911</t>
  </si>
  <si>
    <t>[0.017, 0.376]</t>
  </si>
  <si>
    <t>LINESTRING (10.449162122325841 61.11578926374084, 10.449315477015078 61.11585117961957, 10.449340803421288 61.11593989420748)</t>
  </si>
  <si>
    <t>[265288, 265296]</t>
  </si>
  <si>
    <t>[263098, 249375]</t>
  </si>
  <si>
    <t>0.189676817787562</t>
  </si>
  <si>
    <t>[263094, 263098]</t>
  </si>
  <si>
    <t>20.7544309519364</t>
  </si>
  <si>
    <t>[0.55, 0.071, 0.069, 0.082, 0.033, 0.167]</t>
  </si>
  <si>
    <t>16236.0</t>
  </si>
  <si>
    <t>LINESTRING (10.449995165715421 61.11572265405716, 10.450187754654113 61.1156903959518, 10.453912513631042 61.115108247337865, 10.456251674201726 61.115042914516835, 10.456619317830155 61.115066298106456, 10.460041897896748 61.113742613787736, 10.460208049259244 61.1133624101566)</t>
  </si>
  <si>
    <t>[1186574, 1186582, 1186590, 1186598, 1186606, 1186614]</t>
  </si>
  <si>
    <t>[0, 0, 0, 0, 1, 0]</t>
  </si>
  <si>
    <t>[1115468, 276263, 1115479, 1115486, 1115492, 249391]</t>
  </si>
  <si>
    <t>0.06923270643305457</t>
  </si>
  <si>
    <t>[249386, 1115468, 276263, 1115479, 1115486, 1115492]</t>
  </si>
  <si>
    <t>697.9745880957821</t>
  </si>
  <si>
    <t>[0.496, 0.049]</t>
  </si>
  <si>
    <t>LINESTRING (10.449162122325841 61.11578926374084, 10.449282411628166 61.11577322039958, 10.449995165715421 61.11572265405716)</t>
  </si>
  <si>
    <t>[336356, 336364]</t>
  </si>
  <si>
    <t>[325634, 249386]</t>
  </si>
  <si>
    <t>0.11491507681383023</t>
  </si>
  <si>
    <t>[263094, 325634]</t>
  </si>
  <si>
    <t>45.632494959081086</t>
  </si>
  <si>
    <t>[0.088, 0.064, 0.056, 0.057]</t>
  </si>
  <si>
    <t>LINESTRING (10.462400848742712 61.113150368898346, 10.463203682541184 61.11336718783809, 10.463377195318547 61.11351663553733, 10.463426133292689 61.11356414384117, 10.463479782971817 61.11361378891491)</t>
  </si>
  <si>
    <t>[248503, 248511, 248519, 248527]</t>
  </si>
  <si>
    <t>[249473, 249479, 249486, 249494]</t>
  </si>
  <si>
    <t>0.07763193727644853</t>
  </si>
  <si>
    <t>[249467, 249473, 249479, 249486]</t>
  </si>
  <si>
    <t>81.16223068170258</t>
  </si>
  <si>
    <t>0.02</t>
  </si>
  <si>
    <t>6.094195599214864</t>
  </si>
  <si>
    <t>[0.046, 0.041]</t>
  </si>
  <si>
    <t>LINESTRING (10.434285935182206 61.047433235979824, 10.433634923007332 61.04763843282402, 10.433584531939989 61.047674046500035)</t>
  </si>
  <si>
    <t>[248535, 248544]</t>
  </si>
  <si>
    <t>[249503, 249509]</t>
  </si>
  <si>
    <t>0.04550113324647965</t>
  </si>
  <si>
    <t>[249502, 249503]</t>
  </si>
  <si>
    <t>48.25092246443522</t>
  </si>
  <si>
    <t>[0.048, 0.038]</t>
  </si>
  <si>
    <t>LINESTRING (10.434285935182206 61.047433235979824, 10.433840419264493 61.04768733024031, 10.433806817169206 61.04774300076702)</t>
  </si>
  <si>
    <t>[336500, 336508]</t>
  </si>
  <si>
    <t>[325763, 285295]</t>
  </si>
  <si>
    <t>0.046538424787667586</t>
  </si>
  <si>
    <t>[249502, 325763]</t>
  </si>
  <si>
    <t>44.23833920983483</t>
  </si>
  <si>
    <t>[0.01, 0.06, 0.06, 0.062, 0.299]</t>
  </si>
  <si>
    <t>LINESTRING (10.436301938848711 61.0478588143295, 10.435654360491245 61.04722967385025, 10.434891627348668 61.04732263653124, 10.434695464119532 61.0473582856509, 10.434488055533501 61.047394353908636, 10.434285935182206 61.047433235979824)</t>
  </si>
  <si>
    <t>[1186630, 1186638, 1186646, 1186654, 1186662]</t>
  </si>
  <si>
    <t>[0, 0, 1, 1, 1]</t>
  </si>
  <si>
    <t>[133315, 1115509, 1115512, 1115515, 249502]</t>
  </si>
  <si>
    <t>0.04872109547628965</t>
  </si>
  <si>
    <t>[262320, 133315, 1115509, 1115512, 1115515]</t>
  </si>
  <si>
    <t>173.47892642182825</t>
  </si>
  <si>
    <t>[-0.018, 0.002]</t>
  </si>
  <si>
    <t>LINESTRING (10.433584531939989 61.047674046500035, 10.433700240493891 61.047687140053505, 10.433806817169206 61.04774300076702)</t>
  </si>
  <si>
    <t>[292459, 292467]</t>
  </si>
  <si>
    <t>[285287, 285295]</t>
  </si>
  <si>
    <t>[249509, 285287]</t>
  </si>
  <si>
    <t>[0.018, 0.002]</t>
  </si>
  <si>
    <t>14.903772463380914</t>
  </si>
  <si>
    <t>[0.194, 0.016, -0.006, -0.027, -0.035, -0.047, -0.04]</t>
  </si>
  <si>
    <t>LINESTRING (10.433678074986888 61.047893678655555, 10.4335682457574 61.04790155824871, 10.433463346409075 61.047884244416835, 10.433373733556438 61.04783165617486, 10.43335707739414 61.04780051541354, 10.433382407378083 61.04773545471814, 10.433485554068794 61.04768643049879, 10.433584531939989 61.047674046500035)</t>
  </si>
  <si>
    <t>[292491, 292499, 292507, 292515, 292523, 292531, 292451]</t>
  </si>
  <si>
    <t>[285311, 285320, 285328, 285335, 285344, 285279, 249509]</t>
  </si>
  <si>
    <t>0.006180216223483948</t>
  </si>
  <si>
    <t>[262373, 285311, 285320, 285328, 285335, 285344, 285279]</t>
  </si>
  <si>
    <t>[0.194, 0.016, 0.006, 0.027, 0.035, 0.047, 0.04]</t>
  </si>
  <si>
    <t>43.889928580912446</t>
  </si>
  <si>
    <t>[-0.043, -0.038]</t>
  </si>
  <si>
    <t>LINESTRING (10.443754108919507 61.105572212531406, 10.444268187706703 61.105473560630955, 10.444348739454082 61.105447143028094)</t>
  </si>
  <si>
    <t>[248552, 248560]</t>
  </si>
  <si>
    <t>[249516, 92570]</t>
  </si>
  <si>
    <t>[249515, 249516]</t>
  </si>
  <si>
    <t>[0.043, 0.038]</t>
  </si>
  <si>
    <t>35.55290575908083</t>
  </si>
  <si>
    <t>[-0.035, -0.03]</t>
  </si>
  <si>
    <t>LINESTRING (10.443754108919507 61.105572212531406, 10.44408996306647 61.10538851336108, 10.444148143570434 61.10534094455867)</t>
  </si>
  <si>
    <t>[336516, 336524]</t>
  </si>
  <si>
    <t>[325777, 92578]</t>
  </si>
  <si>
    <t>[249515, 325777]</t>
  </si>
  <si>
    <t>[0.035, 0.03]</t>
  </si>
  <si>
    <t>33.721867481180674</t>
  </si>
  <si>
    <t>28.071337695236398</t>
  </si>
  <si>
    <t>[0.0, -0.121]</t>
  </si>
  <si>
    <t>LINESTRING (10.441266040916656 61.10585509180492, 10.441266040916656 61.10585509180492, 10.441703012480131 61.10591751628769)</t>
  </si>
  <si>
    <t>[248568, 248576]</t>
  </si>
  <si>
    <t>[249527, 249532]</t>
  </si>
  <si>
    <t>[249526, 249527]</t>
  </si>
  <si>
    <t>[0.0, 0.121]</t>
  </si>
  <si>
    <t>28.7546164362345</t>
  </si>
  <si>
    <t>0.052</t>
  </si>
  <si>
    <t>123.45247675169188</t>
  </si>
  <si>
    <t>[0.0, -0.076]</t>
  </si>
  <si>
    <t>LINESTRING (10.441353221648031 61.10574022924646, 10.441353221648031 61.10574022924646, 10.441703012480131 61.10591751628769)</t>
  </si>
  <si>
    <t>[336532, 336540]</t>
  </si>
  <si>
    <t>[325790, 249532]</t>
  </si>
  <si>
    <t>[286492, 325790]</t>
  </si>
  <si>
    <t>[0.0, 0.076]</t>
  </si>
  <si>
    <t>32.05300091522438</t>
  </si>
  <si>
    <t>84.21955426404085</t>
  </si>
  <si>
    <t>125.25641052440528</t>
  </si>
  <si>
    <t>[0.137, 0.121, 0.135]</t>
  </si>
  <si>
    <t>LINESTRING (10.432104066320685 61.13120224583308, 10.432157007417986 61.131238660069315, 10.432484301913941 61.13136451063452, 10.43259166365285 61.13140552657131)</t>
  </si>
  <si>
    <t>[248616, 248624, 248632]</t>
  </si>
  <si>
    <t>[249566, 249571, 249580]</t>
  </si>
  <si>
    <t>0.126236776215726</t>
  </si>
  <si>
    <t>[249565, 249566, 249571]</t>
  </si>
  <si>
    <t>34.87662226503899</t>
  </si>
  <si>
    <t>[0.097, 0.108, 0.113]</t>
  </si>
  <si>
    <t>LINESTRING (10.432104066320685 61.13120224583308, 10.43221429743427 61.13119617284217, 10.432583329526333 61.13123328930738, 10.432700094987565 61.13123706848338)</t>
  </si>
  <si>
    <t>[292998, 293006, 293014]</t>
  </si>
  <si>
    <t>[285772, 285778, 276887]</t>
  </si>
  <si>
    <t>0.10695319790145243</t>
  </si>
  <si>
    <t>[249565, 285772, 285778]</t>
  </si>
  <si>
    <t>32.710851826830456</t>
  </si>
  <si>
    <t>[-0.02, 0.054, 0.102]</t>
  </si>
  <si>
    <t>LINESTRING (10.428868480297481 61.132030800912865, 10.430784935609472 61.13114070245513, 10.431707536816752 61.131154925840356, 10.432104066320685 61.13120224583308)</t>
  </si>
  <si>
    <t>[264695, 264703, 264711]</t>
  </si>
  <si>
    <t>[262706, 262712, 249565]</t>
  </si>
  <si>
    <t>0.008764401658919308</t>
  </si>
  <si>
    <t>[262698, 262706, 262712]</t>
  </si>
  <si>
    <t>[0.02, 0.054, 0.102]</t>
  </si>
  <si>
    <t>222.22595632872884</t>
  </si>
  <si>
    <t>[-0.07, -0.015]</t>
  </si>
  <si>
    <t>LINESTRING (10.43259166365285 61.13140552657131, 10.432605165152037 61.13130706021572, 10.432700094987565 61.13123706848338)</t>
  </si>
  <si>
    <t>[282432, 282440]</t>
  </si>
  <si>
    <t>[276881, 276887]</t>
  </si>
  <si>
    <t>[249580, 276881]</t>
  </si>
  <si>
    <t>[0.07, 0.015]</t>
  </si>
  <si>
    <t>20.330303164148155</t>
  </si>
  <si>
    <t>0.084</t>
  </si>
  <si>
    <t>36.51323394576928</t>
  </si>
  <si>
    <t>[-0.016, 0.011, 0.034, 0.034, 0.036, 0.012, 0.028, 0.018, 0.015]</t>
  </si>
  <si>
    <t>LINESTRING (10.631643188547129 60.28679951369045, 10.62980607903516 60.28730972182828, 10.628424632653113 60.28761858326349, 10.628378259673624 60.287628915359655, 10.628289004029508 60.287648264801, 10.628207583134277 60.28766591215693, 10.628122300018855 60.287684403302315, 10.627651196322969 60.28778500657734, 10.627368014024347 60.28785130346464, 10.62630241169447 60.28816079158756)</t>
  </si>
  <si>
    <t>[248801, 248809, 248817, 248825, 248833, 248841, 248850, 248858, 248866]</t>
  </si>
  <si>
    <t>[249712, 249719, 249727, 249734, 249740, 249746, 249753, 249761, 249765]</t>
  </si>
  <si>
    <t>0.005138864326014604</t>
  </si>
  <si>
    <t>[249711, 249712, 249719, 249727, 249734, 249740, 249746, 249753, 249761]</t>
  </si>
  <si>
    <t>[0.016, 0.011, 0.034, 0.034, 0.036, 0.012, 0.028, 0.018, 0.015]</t>
  </si>
  <si>
    <t>332.89125953580617</t>
  </si>
  <si>
    <t>[-0.018, -0.012, 0.023, 0.032, 0.012, 0.034, 0.03, 0.025, 0.007]</t>
  </si>
  <si>
    <t>LINESTRING (10.631643188547129 60.28679951369045, 10.629991966067706 60.28734520678643, 10.629877215862756 60.28737345571403, 10.628502089220271 60.28768597026529, 10.628455355215605 60.287695750957326, 10.628368510691411 60.2877145414868, 10.628286553543846 60.28773227013123, 10.628200184870863 60.28775102228754, 10.627725065831424 60.28785523423364, 10.62630241169447 60.28816079158756)</t>
  </si>
  <si>
    <t>[293174, 293182, 293190, 293198, 293206, 293214, 293222, 293230, 293238]</t>
  </si>
  <si>
    <t>[285930, 285935, 285944, 285950, 285957, 285962, 285971, 285978, 249765]</t>
  </si>
  <si>
    <t>0.004958527240826725</t>
  </si>
  <si>
    <t>[249711, 285930, 285935, 285944, 285950, 285957, 285962, 285971, 285978]</t>
  </si>
  <si>
    <t>[0.018, 0.012, 0.023, 0.032, 0.012, 0.034, 0.03, 0.025, 0.007]</t>
  </si>
  <si>
    <t>333.6596259552199</t>
  </si>
  <si>
    <t>776.446436023023</t>
  </si>
  <si>
    <t>[-0.016, -0.019, -0.028]</t>
  </si>
  <si>
    <t>LINESTRING (10.610866412138295 60.29503647484047, 10.610753207246525 60.29506798753881, 10.609697822763728 60.295450625540404, 10.609643888339857 60.295470718611156)</t>
  </si>
  <si>
    <t>[248874, 248882, 248890]</t>
  </si>
  <si>
    <t>[249771, 249777, 249782]</t>
  </si>
  <si>
    <t>[249770, 249771, 249777]</t>
  </si>
  <si>
    <t>[0.016, 0.019, 0.028]</t>
  </si>
  <si>
    <t>83.32463841965058</t>
  </si>
  <si>
    <t>[-0.016, -0.019, -0.026]</t>
  </si>
  <si>
    <t>LINESTRING (10.610866412138295 60.29503647484047, 10.6107815894838 60.29508543664186, 10.609888873257935 60.29555184502635, 10.609836600736246 60.29560056176349)</t>
  </si>
  <si>
    <t>[293246, 293254, 293262]</t>
  </si>
  <si>
    <t>[285990, 285995, 266753]</t>
  </si>
  <si>
    <t>[249770, 285990, 285995]</t>
  </si>
  <si>
    <t>[0.016, 0.019, 0.026]</t>
  </si>
  <si>
    <t>85.85649472619882</t>
  </si>
  <si>
    <t>[-0.058, -0.012, -0.013]</t>
  </si>
  <si>
    <t>LINESTRING (10.61637057282862 60.29368540671199, 10.612853196348345 60.294448959763756, 10.612107833288663 60.294633131740206, 10.610866412138295 60.29503647484047)</t>
  </si>
  <si>
    <t>[267555, 267563, 267571]</t>
  </si>
  <si>
    <t>[264813, 264819, 249770]</t>
  </si>
  <si>
    <t>[264812, 264813, 264819]</t>
  </si>
  <si>
    <t>[0.058, 0.012, 0.013]</t>
  </si>
  <si>
    <t>340.6352697144955</t>
  </si>
  <si>
    <t>[0.001, -0.007]</t>
  </si>
  <si>
    <t>LINESTRING (10.609643888339857 60.295470718611156, 10.609756760808263 60.29551653869859, 10.609836600736246 60.29560056176349)</t>
  </si>
  <si>
    <t>[270011, 270019]</t>
  </si>
  <si>
    <t>[266823, 266753]</t>
  </si>
  <si>
    <t>[249782, 266823]</t>
  </si>
  <si>
    <t>[0.001, 0.007]</t>
  </si>
  <si>
    <t>18.42033791194024</t>
  </si>
  <si>
    <t>[0.032, 0.026, 0.017, 0.009]</t>
  </si>
  <si>
    <t>LINESTRING (10.609167846498613 60.29552141388524, 10.609294672143774 60.29546878079062, 10.609403001954739 60.29545132475377, 10.609511703671375 60.29544997718685, 10.609643888339857 60.295470718611156)</t>
  </si>
  <si>
    <t>[269978, 269987, 269995, 270003]</t>
  </si>
  <si>
    <t>[266793, 266801, 266807, 249782]</t>
  </si>
  <si>
    <t>0.02154961902397191</t>
  </si>
  <si>
    <t>[266787, 266793, 266801, 266807]</t>
  </si>
  <si>
    <t>29.13011753569472</t>
  </si>
  <si>
    <t>[-0.074, -0.123, -0.161, -0.203, 0.117]</t>
  </si>
  <si>
    <t>LINESTRING (17.411886936468235 68.40792028605325, 17.41242048251 68.40735792619863, 17.412473836607536 68.40731617793823, 17.413133241859743 68.40683142524365, 17.413273122889592 68.40673916571579, 17.414697793593238 68.40607337751233)</t>
  </si>
  <si>
    <t>[252888, 252896, 252904, 252912, 252920]</t>
  </si>
  <si>
    <t>[253024, 253030, 253036, 253040, 253044]</t>
  </si>
  <si>
    <t>[253023, 253024, 253030, 253036, 253040]</t>
  </si>
  <si>
    <t>[0.074, 0.123, 0.161, 0.203, 0.117]</t>
  </si>
  <si>
    <t>239.51825593588376</t>
  </si>
  <si>
    <t>[-0.113, -0.172, -0.083, 0.001, 0.002, 0.144]</t>
  </si>
  <si>
    <t>LINESTRING (17.411886936468235 68.40792028605325, 17.412613997326062 68.40734653610309, 17.413300833516697 68.4068610817399, 17.41337093433762 68.40681302453487, 17.41343777561903 68.40677005812437, 17.413528453961938 68.40671137393139, 17.414697793593238 68.40607337751233)</t>
  </si>
  <si>
    <t>[252944, 252952, 252960, 252968, 252976, 252984]</t>
  </si>
  <si>
    <t>[253062, 253068, 253073, 253079, 253085, 253044]</t>
  </si>
  <si>
    <t>[253023, 253062, 253068, 253073, 253079, 253085]</t>
  </si>
  <si>
    <t>[0.113, 0.172, 0.083, 0.001, 0.002, 0.144]</t>
  </si>
  <si>
    <t>236.7287292026984</t>
  </si>
  <si>
    <t>[5.396, -0.036]</t>
  </si>
  <si>
    <t>LINESTRING (17.41179132511567 68.40804976086838, 17.411815746015126 68.40801384194344, 17.411886936468235 68.40792028605325)</t>
  </si>
  <si>
    <t>[1021618, 252928]</t>
  </si>
  <si>
    <t>[253050, 253023]</t>
  </si>
  <si>
    <t>1.4629025596645833</t>
  </si>
  <si>
    <t>[488448, 253050]</t>
  </si>
  <si>
    <t>[5.396, 0.036]</t>
  </si>
  <si>
    <t>14.96343693120848</t>
  </si>
  <si>
    <t>[0.2, -0.11, -0.08, -0.103, -0.106, -0.035, -0.005, -0.008, 0.003, 0.006]</t>
  </si>
  <si>
    <t>10980.0</t>
  </si>
  <si>
    <t>[0, 0, 0, 0, 0, 1, 1, 1, 0, 0]</t>
  </si>
  <si>
    <t>LINESTRING (17.414697793593238 68.40607337751233, 17.415038816289297 68.40597888417004, 17.41687571247141 68.40579016628027, 17.418538400144026 68.40604038845764, 17.418694242850265 68.4060912283101, 17.419410504773694 68.40636593731378, 17.419558880074185 68.40642667589097, 17.425508672426645 68.40887338706165, 17.425542101584355 68.40888703733735, 17.42691915170153 68.40964606344275, 17.427062226581814 68.40980580146686)</t>
  </si>
  <si>
    <t>[252936, 1021626, 1021634, 1021642, 1021650, 1021658, 1021666, 1021674, 1021682, 1021690]</t>
  </si>
  <si>
    <t>[253055, 382854, 430627, 976950, 976958, 976963, 976973, 976981, 976988, 430567]</t>
  </si>
  <si>
    <t>[253044, 253055, 382854, 430627, 976950, 976958, 976963, 976973, 976981, 976988]</t>
  </si>
  <si>
    <t>[0.2, 0.11, 0.08, 0.103, 0.106, 0.035, 0.005, 0.008, 0.003, 0.006]</t>
  </si>
  <si>
    <t>722.2132456008864</t>
  </si>
  <si>
    <t>0.127</t>
  </si>
  <si>
    <t>10.039732317245113</t>
  </si>
  <si>
    <t>[-0.255, -0.227]</t>
  </si>
  <si>
    <t>LINESTRING (9.854235871682494 63.296671053925046, 9.854039277094389 63.29669678349895, 9.853824929020313 63.29667017572742)</t>
  </si>
  <si>
    <t>[255357, 255366]</t>
  </si>
  <si>
    <t>[254989, 254937]</t>
  </si>
  <si>
    <t>[254984, 254989]</t>
  </si>
  <si>
    <t>[0.255, 0.227]</t>
  </si>
  <si>
    <t>21.43107761036699</t>
  </si>
  <si>
    <t>[0.016, -0.116]</t>
  </si>
  <si>
    <t>LINESTRING (9.854047618864467 63.297187785858846, 9.8539072234998 63.29672450750968, 9.853824929020313 63.29667017572742)</t>
  </si>
  <si>
    <t>[255398, 255406]</t>
  </si>
  <si>
    <t>[255016, 254937]</t>
  </si>
  <si>
    <t>[255000, 255016]</t>
  </si>
  <si>
    <t>[0.016, 0.116]</t>
  </si>
  <si>
    <t>60.264768957674384</t>
  </si>
  <si>
    <t>[-0.03, 0.104]</t>
  </si>
  <si>
    <t>LINESTRING (9.853688775131944 63.29660420463918, 9.85364355758242 63.29652499903312, 9.85368753314143 63.29644118659964)</t>
  </si>
  <si>
    <t>[255309, 255317]</t>
  </si>
  <si>
    <t>[254948, 254956]</t>
  </si>
  <si>
    <t>0.03873170276979637</t>
  </si>
  <si>
    <t>[254938, 254948]</t>
  </si>
  <si>
    <t>[0.03, 0.104]</t>
  </si>
  <si>
    <t>18.722299657893196</t>
  </si>
  <si>
    <t>[-0.219, -0.235, -0.024]</t>
  </si>
  <si>
    <t>11541.0</t>
  </si>
  <si>
    <t>LINESTRING (9.853688775131944 63.29660420463918, 9.853570308896078 63.29658154458041, 9.851905491397357 63.29659254877535, 9.851784846294965 63.29662086396786)</t>
  </si>
  <si>
    <t>[255446, 255454, 255462]</t>
  </si>
  <si>
    <t>[255057, 255063, 255071]</t>
  </si>
  <si>
    <t>[254938, 255057, 255063]</t>
  </si>
  <si>
    <t>[0.219, 0.235, 0.024]</t>
  </si>
  <si>
    <t>97.7659102860527</t>
  </si>
  <si>
    <t>[0.192, 0.252, 0.253, -0.034]</t>
  </si>
  <si>
    <t>LINESTRING (9.85368753314143 63.29644118659964, 9.853788161684468 63.296386262025905, 9.853973287174325 63.29634963662613, 9.854209277188495 63.29636588993044, 9.854235871682494 63.296671053925046)</t>
  </si>
  <si>
    <t>[255325, 255333, 255341, 255349]</t>
  </si>
  <si>
    <t>[254962, 254969, 254977, 254984]</t>
  </si>
  <si>
    <t>0.08075407204755562</t>
  </si>
  <si>
    <t>[254956, 254962, 254969, 254977]</t>
  </si>
  <si>
    <t>[0.192, 0.252, 0.253, 0.034]</t>
  </si>
  <si>
    <t>70.88511118062922</t>
  </si>
  <si>
    <t>[-0.248, -0.242, -0.023]</t>
  </si>
  <si>
    <t>LINESTRING (9.85368753314143 63.29644118659964, 9.853600265354864 63.2964633164818, 9.851910844691076 63.29648269628609, 9.85178780138131 63.296459032237756)</t>
  </si>
  <si>
    <t>[255470, 255478, 255486]</t>
  </si>
  <si>
    <t>[255077, 255084, 255088]</t>
  </si>
  <si>
    <t>[254956, 255077, 255084]</t>
  </si>
  <si>
    <t>[0.248, 0.242, 0.023]</t>
  </si>
  <si>
    <t>97.67312396599931</t>
  </si>
  <si>
    <t>[0.076, 0.172]</t>
  </si>
  <si>
    <t>LINESTRING (9.854047618864467 63.297187785858846, 9.854174837080814 63.29672750212094, 9.854235871682494 63.296671053925046)</t>
  </si>
  <si>
    <t>[255374, 255382]</t>
  </si>
  <si>
    <t>[255001, 254984]</t>
  </si>
  <si>
    <t>0.08730977400817344</t>
  </si>
  <si>
    <t>[255000, 255001]</t>
  </si>
  <si>
    <t>59.419272305218186</t>
  </si>
  <si>
    <t>[-0.002, 0.023, 0.046]</t>
  </si>
  <si>
    <t>LINESTRING (9.85461857821334 63.30635096881147, 9.85409174536385 63.305829983554474, 9.85404558541888 63.29728336386616, 9.854047618864467 63.297187785858846)</t>
  </si>
  <si>
    <t>[599649, 599657, 255390]</t>
  </si>
  <si>
    <t>[602429, 255010, 255000]</t>
  </si>
  <si>
    <t>0.02171198203892862</t>
  </si>
  <si>
    <t>[602428, 602429, 255010]</t>
  </si>
  <si>
    <t>[0.002, 0.023, 0.046]</t>
  </si>
  <si>
    <t>1048.485182822013</t>
  </si>
  <si>
    <t>[-0.016, -0.023, -0.024, -0.018]</t>
  </si>
  <si>
    <t>LINESTRING (9.851784846294965 63.29662086396786, 9.85172920472747 63.296644228147414, 9.851568981964006 63.29666522595775, 9.851476418188373 63.29665737503773, 9.851308123212187 63.296581105817005)</t>
  </si>
  <si>
    <t>[593125, 593133, 593141, 593149]</t>
  </si>
  <si>
    <t>[597317, 597322, 597330, 556449]</t>
  </si>
  <si>
    <t>[255071, 597317, 597322, 597330]</t>
  </si>
  <si>
    <t>[0.016, 0.023, 0.024, 0.018]</t>
  </si>
  <si>
    <t>29.195040504406414</t>
  </si>
  <si>
    <t>[0.01, 0.011, 0.0, 0.0, -0.011]</t>
  </si>
  <si>
    <t>LINESTRING (9.85178780138131 63.296459032237756, 9.85181440033975 63.29647798878802, 9.85184558760942 63.29651600436327, 9.851850111563031 63.296537993953635, 9.851848325200605 63.296556588198605, 9.851784846294965 63.29662086396786)</t>
  </si>
  <si>
    <t>[593205, 593213, 593221, 593229, 593117]</t>
  </si>
  <si>
    <t>[597376, 597379, 597387, 597310, 255071]</t>
  </si>
  <si>
    <t>[255088, 597376, 597379, 597387, 597310]</t>
  </si>
  <si>
    <t>[0.01, 0.011, 0.0, 0.0, 0.011]</t>
  </si>
  <si>
    <t>19.400348169838935</t>
  </si>
  <si>
    <t>[0.011, 0.021, 0.026, 0.022]</t>
  </si>
  <si>
    <t>LINESTRING (9.851307671746186 63.29650114566203, 9.85137044585846 63.29645288549568, 9.851499244865655 63.29641799259488, 9.851616960317443 63.29641555372885, 9.85178780138131 63.296459032237756)</t>
  </si>
  <si>
    <t>[593173, 593181, 593189, 593197]</t>
  </si>
  <si>
    <t>[597352, 597359, 597365, 255088]</t>
  </si>
  <si>
    <t>0.02022337335025483</t>
  </si>
  <si>
    <t>[597346, 597352, 597359, 597365]</t>
  </si>
  <si>
    <t>29.541449540157984</t>
  </si>
  <si>
    <t>[-0.056, -0.024, -0.012]</t>
  </si>
  <si>
    <t>LINESTRING (10.88198779958223 63.44504837411619, 10.88737413152105 63.44578749715177, 10.887742664380944 63.44580867793784, 10.887853014083875 63.44580789975062)</t>
  </si>
  <si>
    <t>[256828, 256836, 256844]</t>
  </si>
  <si>
    <t>[255967, 255974, 255982]</t>
  </si>
  <si>
    <t>[255966, 255967, 255974]</t>
  </si>
  <si>
    <t>[0.056, 0.024, 0.012]</t>
  </si>
  <si>
    <t>305.7311518037297</t>
  </si>
  <si>
    <t>[-0.06, -0.061, -0.1]</t>
  </si>
  <si>
    <t>LINESTRING (10.88198779958223 63.44504837411619, 10.88732339444164 63.44585915887125, 10.887659513322651 63.44593041706915, 10.887749169156054 63.44595627873403)</t>
  </si>
  <si>
    <t>[256892, 256900, 256908]</t>
  </si>
  <si>
    <t>[256026, 256033, 256038]</t>
  </si>
  <si>
    <t>[255966, 256026, 256033]</t>
  </si>
  <si>
    <t>[0.06, 0.061, 0.1]</t>
  </si>
  <si>
    <t>305.42462198963966</t>
  </si>
  <si>
    <t>[0.028, 0.175, 0.132, 0.047, -0.114, -0.14, -0.07, -0.619, 0.129]</t>
  </si>
  <si>
    <t>9532.0</t>
  </si>
  <si>
    <t>LINESTRING (10.825236733393405 63.415373476633874, 10.826036782923651 63.4159358436564, 10.826047535951652 63.415943412312, 10.827434359685844 63.41699528681448, 10.856682053243455 63.43588061280646, 10.875731060984243 63.44418174624818, 10.878751035748543 63.44465030478598, 10.878904538704301 63.444662868488734, 10.878923744874024 63.44466544507752, 10.88198779958223 63.44504837411619)</t>
  </si>
  <si>
    <t>[571471, 571484, 571485, 571489, 632101, 632109, 632117, 632125, 632133]</t>
  </si>
  <si>
    <t>[0, 0, 0, 1, 1, 0, 0, 0, 0]</t>
  </si>
  <si>
    <t>[579255, 579262, 579263, 579268, 627452, 627457, 627466, 627475, 255966]</t>
  </si>
  <si>
    <t>[579254, 579255, 579262, 579263, 579268, 627452, 627457, 627466, 627475]</t>
  </si>
  <si>
    <t>[0.028, 0.175, 0.132, 0.047, 0.114, 0.14, 0.07, 0.619, 0.129]</t>
  </si>
  <si>
    <t>4449.463767311755</t>
  </si>
  <si>
    <t>[-0.026, -0.296]</t>
  </si>
  <si>
    <t>LINESTRING (10.887853014083875 63.44580789975062, 10.888381894908647 63.44587094376983, 10.888394670888541 63.44589243478836)</t>
  </si>
  <si>
    <t>[2103771, 2103773]</t>
  </si>
  <si>
    <t>[1325268, 255988]</t>
  </si>
  <si>
    <t>[255982, 1325268]</t>
  </si>
  <si>
    <t>[0.026, 0.296]</t>
  </si>
  <si>
    <t>34.322386255382334</t>
  </si>
  <si>
    <t>[0.164, 0.106]</t>
  </si>
  <si>
    <t>LINESTRING (10.887749169156054 63.44595627873403, 10.887751089023908 63.445880020536976, 10.887853014083875 63.44580789975062)</t>
  </si>
  <si>
    <t>[2103797, 2103798]</t>
  </si>
  <si>
    <t>[1818055, 255982]</t>
  </si>
  <si>
    <t>0.13337087084047383</t>
  </si>
  <si>
    <t>[256038, 1818055]</t>
  </si>
  <si>
    <t>18.015912386306958</t>
  </si>
  <si>
    <t>[-0.109, -0.008, -0.005, -0.005, 0.001, 0.007, 0.015]</t>
  </si>
  <si>
    <t>[0, 0, 0, 1, 0, 1, 0]</t>
  </si>
  <si>
    <t>LINESTRING (10.888394670888541 63.44589243478836, 10.888479470364876 63.445932537996036, 10.897745342399642 63.447712012962114, 10.899857860643078 63.44804616645087, 10.903445581882808 63.44876963704241, 10.904245843362947 63.44901008753203, 10.904887641674351 63.44922492176745, 10.905731473777092 63.44956329273632)</t>
  </si>
  <si>
    <t>[256852, 256860, 256868, 256876, 256884, 533735, 533743]</t>
  </si>
  <si>
    <t>[255989, 255998, 256005, 256012, 256019, 541246, 541253]</t>
  </si>
  <si>
    <t>[255988, 255989, 255998, 256005, 256012, 256019, 541246]</t>
  </si>
  <si>
    <t>[0.109, 0.008, 0.005, 0.005, 0.001, 0.007, 0.015]</t>
  </si>
  <si>
    <t>963.0611629104383</t>
  </si>
  <si>
    <t>[-0.115, -0.119]</t>
  </si>
  <si>
    <t>LINESTRING (10.888394670888541 63.44589243478836, 10.888361804728827 63.44598927601408, 10.888228745164968 63.446049453912785)</t>
  </si>
  <si>
    <t>[2103781, 2103782]</t>
  </si>
  <si>
    <t>[1818045, 256046]</t>
  </si>
  <si>
    <t>[255988, 1818045]</t>
  </si>
  <si>
    <t>[0.115, 0.119]</t>
  </si>
  <si>
    <t>20.35910958131815</t>
  </si>
  <si>
    <t>[0.017, 0.079]</t>
  </si>
  <si>
    <t>LINESTRING (10.888228745164968 63.446049453912785, 10.887975402118911 63.44606157655357, 10.887749169156054 63.44595627873403)</t>
  </si>
  <si>
    <t>[2103789, 2103790]</t>
  </si>
  <si>
    <t>[1818035, 256038]</t>
  </si>
  <si>
    <t>0.052046568333111526</t>
  </si>
  <si>
    <t>[256046, 1818035]</t>
  </si>
  <si>
    <t>29.795382397223907</t>
  </si>
  <si>
    <t>[-0.007, -0.005, -0.005, 0.001]</t>
  </si>
  <si>
    <t>LINESTRING (10.888228745164968 63.446049453912785, 10.888336634479984 63.44605462688822, 10.899814102356794 63.448091453182165, 10.903389459457797 63.44881210735421, 10.904185593771302 63.449047864657295)</t>
  </si>
  <si>
    <t>[256916, 256924, 256932, 256940]</t>
  </si>
  <si>
    <t>[256047, 256054, 256061, 256067]</t>
  </si>
  <si>
    <t>[256046, 256047, 256054, 256061]</t>
  </si>
  <si>
    <t>[0.007, 0.005, 0.005, 0.001]</t>
  </si>
  <si>
    <t>865.3972601156566</t>
  </si>
  <si>
    <t>[0.008, 0.015, 0.027, 0.028, -0.023, 0.024, 0.012, 0.008, 0.004, -3.317]</t>
  </si>
  <si>
    <t>[1, 0, 0, 0, 0, 0, 0, 0, 0, 0]</t>
  </si>
  <si>
    <t>LINESTRING (10.904185593771302 63.449047864657295, 10.904815836053695 63.44927006205141, 10.90565160544012 63.44959811724951, 10.907545601971902 63.45063517996861, 10.908098043604012 63.45106327029024, 10.908153501639203 63.451108578716976, 10.908576139941681 63.451516311307934, 10.908704976585627 63.45165523266191, 10.909166590719945 63.452288890190765, 10.909200800165461 63.45234546347849, 10.909202114488618 63.45234764935875)</t>
  </si>
  <si>
    <t>[680794, 680802, 680810, 680818, 1750207, 1750208, 1750214, 1750222, 1750242, 1750243]</t>
  </si>
  <si>
    <t>[671660, 671666, 671677, 671685, 1550918, 1550919, 1550922, 1550926, 1550933, 1307339]</t>
  </si>
  <si>
    <t>0.017160815140336568</t>
  </si>
  <si>
    <t>[256067, 671660, 671666, 671677, 671685, 1550918, 1550919, 1550922, 1550926, 1550933]</t>
  </si>
  <si>
    <t>[0.008, 0.015, 0.027, 0.028, 0.023, 0.024, 0.012, 0.008, 0.004, 3.317]</t>
  </si>
  <si>
    <t>453.9777634203924</t>
  </si>
  <si>
    <t>[-0.018, -0.009, -0.005]</t>
  </si>
  <si>
    <t>LINESTRING (10.906384970136884 63.45096288773221, 10.904773578832655 63.44928735802952, 10.90433820599657 63.44912623358117, 10.904185593771302 63.449047864657295)</t>
  </si>
  <si>
    <t>[597524, 597532, 625538]</t>
  </si>
  <si>
    <t>[600860, 600865, 256067]</t>
  </si>
  <si>
    <t>[600792, 600860, 600865]</t>
  </si>
  <si>
    <t>[0.018, 0.009, 0.005]</t>
  </si>
  <si>
    <t>270.8979239506561</t>
  </si>
  <si>
    <t>[-0.089, -0.039, -0.03, -0.032, -0.037, -0.046, -0.045, -0.049, -0.055, -0.056, -0.054, -0.02]</t>
  </si>
  <si>
    <t>LINESTRING (10.308281407223772 60.06140727697317, 10.308082139247288 60.06218761100724, 10.307764304285582 60.06240245521638, 10.307642285754072 60.062459817881816, 10.30758924053462 60.06248298100274, 10.307297339364679 60.06259139882052, 10.307192008297907 60.06261935834841, 10.307098702233175 60.06264133244559, 10.306716402249 60.06270739994419, 10.306363526614563 60.06273763604201, 10.305901688207923 60.062728926469944, 10.305736367317012 60.06271732550831, 10.304618415868068 60.06258989483128)</t>
  </si>
  <si>
    <t>[264013, 264021, 264029, 264037, 264045, 264053, 264061, 264069, 264077, 264085, 264093, 264101]</t>
  </si>
  <si>
    <t>[262088, 262095, 262103, 262110, 262119, 262127, 262136, 262143, 262152, 262158, 262163, 262169]</t>
  </si>
  <si>
    <t>[262087, 262088, 262095, 262103, 262110, 262119, 262127, 262136, 262143, 262152, 262158, 262163]</t>
  </si>
  <si>
    <t>[0.089, 0.039, 0.03, 0.032, 0.037, 0.046, 0.045, 0.049, 0.055, 0.056, 0.054, 0.02]</t>
  </si>
  <si>
    <t>307.02011637013203</t>
  </si>
  <si>
    <t>[-0.087, -0.023, -0.037, -0.045, -0.047, -0.049, -0.051, -0.055, -0.056, -0.024]</t>
  </si>
  <si>
    <t>LINESTRING (10.308281407223772 60.06140727697317, 10.308175969312494 60.06221632001618, 10.307705456438955 60.062521534622846, 10.30732781277833 60.06266933013301, 10.307278743890786 60.062684017951895, 10.307201044221824 60.06270392072845, 10.307094340572519 60.06272508561825, 10.306752471680717 60.06277937829822, 10.306331002462816 60.06280787644932, 10.305888817942465 60.06278976521346, 10.304618415868068 60.06258989483128)</t>
  </si>
  <si>
    <t>[1431604, 1431612, 1431620, 1431628, 1431636, 1431644, 1431652, 1431660, 1431668, 1431676]</t>
  </si>
  <si>
    <t>[1303342, 1303347, 1065593, 1303354, 1065568, 1303361, 1303366, 1303373, 1303378, 262169]</t>
  </si>
  <si>
    <t>[262087, 1303342, 1303347, 1065593, 1303354, 1065568, 1303361, 1303366, 1303373, 1303378]</t>
  </si>
  <si>
    <t>[0.087, 0.023, 0.037, 0.045, 0.047, 0.049, 0.051, 0.055, 0.056, 0.024]</t>
  </si>
  <si>
    <t>321.0098877943865</t>
  </si>
  <si>
    <t>[0.016, -0.012, -0.005, 0.01, 0.076, 0.075, 0.089]</t>
  </si>
  <si>
    <t>LINESTRING (10.304618415868068 60.06258989483128, 10.302527317783289 60.06242929323428, 10.300626009654104 60.06337634799014, 10.299529176938583 60.064124700147524, 10.298092741477257 60.06516824835895, 10.297810340301375 60.06552611202828, 10.297788460490908 60.065571149973586, 10.29777494601164 60.065610018991535)</t>
  </si>
  <si>
    <t>[1369841, 1369849, 1369857, 1369865, 1369873, 1369881, 1369889]</t>
  </si>
  <si>
    <t>[1263289, 1263298, 1263307, 1263314, 1039313, 1263321, 287773]</t>
  </si>
  <si>
    <t>0.008784998683778963</t>
  </si>
  <si>
    <t>[262169, 1263289, 1263298, 1263307, 1263314, 1039313, 1263321]</t>
  </si>
  <si>
    <t>[0.016, 0.012, 0.005, 0.01, 0.076, 0.075, 0.089]</t>
  </si>
  <si>
    <t>569.9531807776342</t>
  </si>
  <si>
    <t>82.11146637843065</t>
  </si>
  <si>
    <t>[-0.024, -0.013, 0.045]</t>
  </si>
  <si>
    <t>LINESTRING (10.28744947538968 60.07771394897363, 10.286198240421648 60.078055227636796, 10.284887013204669 60.07917572119763, 10.285037027935308 60.08007884579868)</t>
  </si>
  <si>
    <t>[1431692, 1431700, 1431708]</t>
  </si>
  <si>
    <t>[1303394, 1303402, 634285]</t>
  </si>
  <si>
    <t>0.0022276099840271507</t>
  </si>
  <si>
    <t>[262196, 1303394, 1303402]</t>
  </si>
  <si>
    <t>[0.024, 0.013, 0.045]</t>
  </si>
  <si>
    <t>329.7296073123089</t>
  </si>
  <si>
    <t>[0.019, 0.011, -0.008, 0.013, -0.017, -0.025, 0.02, -0.06, -0.039, -0.015, -0.002, 0.001, 0.005, 0.008, -0.002]</t>
  </si>
  <si>
    <t>LINESTRING (10.297736770192344 60.0659309644081, 10.298643898963157 60.06723965955526, 10.300034580110891 60.068572438717325, 10.302594347314358 60.072364968636506, 10.301485891209571 60.07397514840276, 10.30141846069585 60.07400777228937, 10.300351920367156 60.07450613884939, 10.29331768503352 60.07662982914752, 10.292658114441718 60.077081378234475, 10.291259047489774 60.077534044264056, 10.290637064518817 60.07760039764286, 10.289884256408117 60.07763343291146, 10.288970799270416 60.077650135315324, 10.288912367585219 60.07765064040166, 10.287855647354306 60.07767281768051, 10.28744947538968 60.07771394897363)</t>
  </si>
  <si>
    <t>[1369897, 1369905, 1369913, 1369921, 1369929, 1369937, 1369945, 1369953, 1369961, 1369969, 1369977, 1369985, 1369993, 1370001, 1370009]</t>
  </si>
  <si>
    <t>[1263327, 1263330, 1263335, 1263340, 1263342, 1263345, 1263349, 1263354, 1263360, 1263366, 1263371, 1263376, 1263383, 1263387, 262196]</t>
  </si>
  <si>
    <t>0.0018437175705228427</t>
  </si>
  <si>
    <t>[287783, 1263327, 1263330, 1263335, 1263340, 1263342, 1263345, 1263349, 1263354, 1263360, 1263366, 1263371, 1263376, 1263383, 1263387]</t>
  </si>
  <si>
    <t>[0.019, 0.011, 0.008, 0.013, 0.017, 0.025, 0.02, 0.06, 0.039, 0.015, 0.002, 0.001, 0.005, 0.008, 0.002]</t>
  </si>
  <si>
    <t>1895.9334542737665</t>
  </si>
  <si>
    <t>[-0.01, 0.043, 0.04, 0.032, 0.029, 0.026, 0.026]</t>
  </si>
  <si>
    <t>LINESTRING (10.286130397038992 60.07801429965833, 10.284758793560513 60.07926763425149, 10.285038766427451 60.0802599578636, 10.285047946533325 60.0802765747501, 10.285071358057277 60.08031803899463, 10.28512972438733 60.0804181814324, 10.285368691941429 60.080842980592045, 10.285411920689581 60.08092147220223)</t>
  </si>
  <si>
    <t>[264141, 264149, 264157, 264165, 264173, 264181, 264189]</t>
  </si>
  <si>
    <t>[262205, 262211, 262218, 262227, 262234, 262242, 262251]</t>
  </si>
  <si>
    <t>0.014951663912589477</t>
  </si>
  <si>
    <t>[262197, 262205, 262211, 262218, 262227, 262234, 262242]</t>
  </si>
  <si>
    <t>[0.01, 0.043, 0.04, 0.032, 0.029, 0.026, 0.026]</t>
  </si>
  <si>
    <t>353.01677531969585</t>
  </si>
  <si>
    <t>[0.018, 0.023, 0.038, 0.051, 0.048, 0.043, 0.037]</t>
  </si>
  <si>
    <t>[0, 1, 0, 0, 0, 0, 0]</t>
  </si>
  <si>
    <t>LINESTRING (10.285411920689581 60.08092147220223, 10.285445544437493 60.080982792102354, 10.285533826857465 60.08114376199862, 10.286290023543978 60.08358242636639, 10.286297289643889 60.08377440301718, 10.286227942578302 60.08492763607632, 10.286214698934511 60.08508199411294, 10.286208207631327 60.08514347343921)</t>
  </si>
  <si>
    <t>[264197, 264205, 264213, 264221, 264229, 264237, 264245]</t>
  </si>
  <si>
    <t>[262261, 262270, 262276, 262282, 262290, 262296, 262303]</t>
  </si>
  <si>
    <t>0.040571425712601014</t>
  </si>
  <si>
    <t>[262251, 262261, 262270, 262276, 262282, 262290, 262296]</t>
  </si>
  <si>
    <t>475.55649998722004</t>
  </si>
  <si>
    <t>[-0.021, -0.014, -0.012, -0.007]</t>
  </si>
  <si>
    <t>LINESTRING (9.942896854012881 59.75917745905116, 9.942854037790367 59.759300423755676, 9.942775562581891 59.75934436982107, 9.942657606934315 59.75937664454923, 9.942404467857353 59.75936706045111)</t>
  </si>
  <si>
    <t>[264243, 264251, 264259, 264267]</t>
  </si>
  <si>
    <t>[262300, 262309, 262316, 262324]</t>
  </si>
  <si>
    <t>[262299, 262300, 262309, 262316]</t>
  </si>
  <si>
    <t>[0.021, 0.014, 0.012, 0.007]</t>
  </si>
  <si>
    <t>42.83313451898875</t>
  </si>
  <si>
    <t>[-0.015, -0.023]</t>
  </si>
  <si>
    <t>LINESTRING (9.942700914279321 59.75904945112418, 9.942829776431461 59.75910406628235, 9.942896854012881 59.75917745905116)</t>
  </si>
  <si>
    <t>[264299, 264307]</t>
  </si>
  <si>
    <t>[262355, 262299]</t>
  </si>
  <si>
    <t>[262345, 262355]</t>
  </si>
  <si>
    <t>[0.015, 0.023]</t>
  </si>
  <si>
    <t>18.474073800312585</t>
  </si>
  <si>
    <t>[-0.03, 0.006, 0.033, 0.001, -0.015, 0.005, -0.009, -0.014, -0.018]</t>
  </si>
  <si>
    <t>LINESTRING (9.983210948623242 59.7547590921824, 9.981014662340447 59.754644375514886, 9.97807392068768 59.754751342015076, 9.977424849057314 59.75484438041157, 9.948959612484014 59.757346724477955, 9.948519763639215 59.75739829907458, 9.944862662795732 59.75832312943025, 9.94333101777741 59.75895025273564, 9.942956385234815 59.759143191697966, 9.942896854012881 59.75917745905116)</t>
  </si>
  <si>
    <t>[2007449, 2007457, 2007465, 2007473, 2007369, 2007377, 2007385, 2007393, 2007401]</t>
  </si>
  <si>
    <t>[1757402, 1757407, 1757411, 1757347, 1757348, 1757353, 1757358, 1757364, 262299]</t>
  </si>
  <si>
    <t>[278736, 1757402, 1757407, 1757411, 1757347, 1757348, 1757353, 1757358, 1757364]</t>
  </si>
  <si>
    <t>[0.03, 0.006, 0.033, 0.001, 0.015, 0.005, 0.009, 0.014, 0.018]</t>
  </si>
  <si>
    <t>2419.058207057457</t>
  </si>
  <si>
    <t>[0.003, -0.018, -0.011, -0.013, -0.03]</t>
  </si>
  <si>
    <t>LINESTRING (10.286208207631327 60.08514347343921, 10.28955479131103 60.090218867052776, 10.28986513732971 60.09055262289059, 10.289974392065455 60.09066786241267, 10.291411893734363 60.0924189631255, 10.291553061907576 60.09252558007039)</t>
  </si>
  <si>
    <t>[264253, 264261, 264269, 264277, 264285]</t>
  </si>
  <si>
    <t>[262311, 262318, 262326, 262334, 262342]</t>
  </si>
  <si>
    <t>[262303, 262311, 262318, 262326, 262334]</t>
  </si>
  <si>
    <t>[0.003, 0.018, 0.011, 0.013, 0.03]</t>
  </si>
  <si>
    <t>884.8630274719975</t>
  </si>
  <si>
    <t>[0.0, -0.07, -0.031, -0.064]</t>
  </si>
  <si>
    <t>LINESTRING (10.286442830584482 60.08714592460672, 10.286442830584482 60.08714592460672, 10.286465587798899 60.087127066133064, 10.286144766597934 60.08526887593212, 10.286208207631327 60.08514347343921)</t>
  </si>
  <si>
    <t>[786843, 786851, 786827, 786923]</t>
  </si>
  <si>
    <t>[766800, 766786, 766787, 262303]</t>
  </si>
  <si>
    <t>[766799, 766800, 766786, 766787]</t>
  </si>
  <si>
    <t>[0.0, 0.07, 0.031, 0.064]</t>
  </si>
  <si>
    <t>236.82172256923815</t>
  </si>
  <si>
    <t>0.048</t>
  </si>
  <si>
    <t>14.79469446190191</t>
  </si>
  <si>
    <t>[0.018, -0.043, -0.016, -0.037]</t>
  </si>
  <si>
    <t>LINESTRING (10.433825062823356 61.0477888539778, 10.43388524085208 61.04782136136539, 10.434801838894568 61.04765998134394, 10.434152337868394 61.04603413195718, 10.434165960787608 61.04596637231013)</t>
  </si>
  <si>
    <t>[264247, 264255, 342707, 343580]</t>
  </si>
  <si>
    <t>[262306, 262313, 331333, 331992]</t>
  </si>
  <si>
    <t>[262305, 262306, 262313, 331333]</t>
  </si>
  <si>
    <t>[0.018, 0.043, 0.016, 0.037]</t>
  </si>
  <si>
    <t>283.59891519980357</t>
  </si>
  <si>
    <t>0.168</t>
  </si>
  <si>
    <t>5.205429856721238</t>
  </si>
  <si>
    <t>[0.012, 0.03, 0.004, -0.009, 0.117]</t>
  </si>
  <si>
    <t>LINESTRING (10.436301938848711 61.0478588143295, 10.436267180285233 61.047945589058216, 10.435754239471594 61.048655753863706, 10.435753532261382 61.04869310494055, 10.435805997578068 61.05000542680295, 10.43575029760308 61.05011791379066)</t>
  </si>
  <si>
    <t>[264263, 264271, 264279, 264287, 343921]</t>
  </si>
  <si>
    <t>[262321, 109003, 262336, 262343, 332455]</t>
  </si>
  <si>
    <t>0.011111488966812013</t>
  </si>
  <si>
    <t>[262320, 262321, 109003, 262336, 262343]</t>
  </si>
  <si>
    <t>[0.012, 0.03, 0.004, 0.009, 0.117]</t>
  </si>
  <si>
    <t>259.0024148085947</t>
  </si>
  <si>
    <t>[-0.008, 0.004, -0.051]</t>
  </si>
  <si>
    <t>LINESTRING (10.434442639289415 61.04686531963772, 10.434506225527805 61.04692307778224, 10.434906507341948 61.047461363538375, 10.436301938848711 61.0478588143295)</t>
  </si>
  <si>
    <t>[343660, 342715, 1186622]</t>
  </si>
  <si>
    <t>[331340, 331341, 262320]</t>
  </si>
  <si>
    <t>[332224, 331340, 331341]</t>
  </si>
  <si>
    <t>[0.008, 0.004, 0.051]</t>
  </si>
  <si>
    <t>185.5049478877849</t>
  </si>
  <si>
    <t>[0.009, 0.018]</t>
  </si>
  <si>
    <t>LINESTRING (9.942404467857353 59.75936706045111, 9.942272148472712 59.75930972041523, 9.94221224040349 59.75923668483024)</t>
  </si>
  <si>
    <t>[264275, 264283]</t>
  </si>
  <si>
    <t>[262331, 262339]</t>
  </si>
  <si>
    <t>0.013258675705915912</t>
  </si>
  <si>
    <t>[262324, 262331]</t>
  </si>
  <si>
    <t>18.620817107575576</t>
  </si>
  <si>
    <t>[-0.015, -0.02, -0.014, 0.013, 0.003, 0.0, -0.001, -0.021]</t>
  </si>
  <si>
    <t>LINESTRING (9.942404467857353 59.75936706045111, 9.942324896811945 59.7593811662427, 9.941851176807203 59.75949404933438, 9.93891609962952 59.760202524435854, 9.935678380587538 59.76052145728, 9.931130603927983 59.76009879553708, 9.915341502431346 59.76096264972786, 9.909505270361658 59.76174176855027, 9.908896147897618 59.76179807658811)</t>
  </si>
  <si>
    <t>[2007177, 2007185, 2007193, 2007201, 2007209, 2007217, 2007225, 2007233]</t>
  </si>
  <si>
    <t>[1757225, 1757228, 1757233, 1757239, 1757245, 1757251, 1757258, 1757262]</t>
  </si>
  <si>
    <t>[262324, 1757225, 1757228, 1757233, 1757239, 1757245, 1757251, 1757258]</t>
  </si>
  <si>
    <t>[0.015, 0.02, 0.014, 0.013, 0.003, 0.0, 0.001, 0.021]</t>
  </si>
  <si>
    <t>1942.4625661854373</t>
  </si>
  <si>
    <t>41.64082789195554</t>
  </si>
  <si>
    <t>[-0.019, -0.024, -0.016, 0.012, 0.005, -0.0, 0.0, -0.027]</t>
  </si>
  <si>
    <t>19133.0</t>
  </si>
  <si>
    <t>LINESTRING (9.94221224040349 59.75923668483024, 9.942159007860447 59.7592637453996, 9.941768968215728 59.75942966297665, 9.938878611183032 59.760148913219396, 9.935675820934941 59.7604586496644, 9.93117166327441 59.760021623242686, 9.915303269087898 59.7608874808841, 9.909476883844524 59.76169086736435, 9.908896147897618 59.76179807658811)</t>
  </si>
  <si>
    <t>[2007241, 2007249, 2007257, 2007265, 2007273, 2007281, 2007289, 2007297]</t>
  </si>
  <si>
    <t>[1757267, 1757273, 1757276, 1757282, 1757287, 1757291, 1757296, 1757262]</t>
  </si>
  <si>
    <t>[262339, 1757267, 1757273, 1757276, 1757282, 1757287, 1757291, 1757296]</t>
  </si>
  <si>
    <t>[0.019, 0.024, 0.016, 0.012, 0.005, 0.0, 0.0, 0.027]</t>
  </si>
  <si>
    <t>1939.8601707212886</t>
  </si>
  <si>
    <t>[-0.021, -0.01]</t>
  </si>
  <si>
    <t>LINESTRING (10.29007186531949 60.09064888019309, 10.290145377413051 60.090730725436295, 10.291553061907576 60.09252558007039)</t>
  </si>
  <si>
    <t>[1431836, 1431844]</t>
  </si>
  <si>
    <t>[1303503, 262342]</t>
  </si>
  <si>
    <t>[594712, 1303503]</t>
  </si>
  <si>
    <t>[0.021, 0.01]</t>
  </si>
  <si>
    <t>225.665042263466</t>
  </si>
  <si>
    <t>[-0.027, 0.003, 0.034, 0.001, -0.016, 0.006, -0.008, -0.009, -0.009]</t>
  </si>
  <si>
    <t>LINESTRING (9.983210948623242 59.7547590921824, 9.9810110343028 59.75458822353573, 9.978047834769892 59.754696587787244, 9.977389978077413 59.75479018915763, 9.948965462652836 59.75728544730737, 9.94848911142542 59.75734126558582, 9.944793379922295 59.75827722817348, 9.943239606478977 59.75889339371058, 9.942771258797636 59.759032794014736, 9.942700914279321 59.75904945112418)</t>
  </si>
  <si>
    <t>[2007481, 2007489, 2007497, 2007505, 2007409, 2007417, 2007425, 2007433, 2007441]</t>
  </si>
  <si>
    <t>[1757420, 1757427, 1757430, 1757374, 1757375, 1757381, 1757387, 1757392, 262345]</t>
  </si>
  <si>
    <t>[278736, 1757420, 1757427, 1757430, 1757374, 1757375, 1757381, 1757387, 1757392]</t>
  </si>
  <si>
    <t>[0.027, 0.003, 0.034, 0.001, 0.016, 0.006, 0.008, 0.009, 0.009]</t>
  </si>
  <si>
    <t>2424.067941821823</t>
  </si>
  <si>
    <t>[0.039, 0.002, 0.033, 0.051, -0.001]</t>
  </si>
  <si>
    <t>LINESTRING (10.43576984975745 61.049702981136384, 10.435711416629722 61.04958867927107, 10.435588736520538 61.04883090851487, 10.435203024267176 61.04828065466164, 10.433766102806588 61.04791222826568, 10.433678074986888 61.047893678655555)</t>
  </si>
  <si>
    <t>[343620, 264295, 264303, 264311, 264319]</t>
  </si>
  <si>
    <t>[262351, 262352, 262361, 262367, 262373]</t>
  </si>
  <si>
    <t>0.02860528699906714</t>
  </si>
  <si>
    <t>[332026, 262351, 262352, 262361, 262367]</t>
  </si>
  <si>
    <t>[0.039, 0.002, 0.033, 0.051, 0.001]</t>
  </si>
  <si>
    <t>257.03654764179964</t>
  </si>
  <si>
    <t>[0.01, 0.001, -0.008]</t>
  </si>
  <si>
    <t>LINESTRING (10.263650203790041 59.75425362930587, 10.263577692258774 59.75428713353665, 10.263257839480472 59.75434512012079, 10.263131136039501 59.754342549647866)</t>
  </si>
  <si>
    <t>[264341, 264349, 264357]</t>
  </si>
  <si>
    <t>[262390, 262397, 262403]</t>
  </si>
  <si>
    <t>0.0005508110831983405</t>
  </si>
  <si>
    <t>[262389, 262390, 262397]</t>
  </si>
  <si>
    <t>[0.01, 0.001, 0.008]</t>
  </si>
  <si>
    <t>32.096719719830034</t>
  </si>
  <si>
    <t>[-0.014, -0.011, -0.002, 0.003]</t>
  </si>
  <si>
    <t>LINESTRING (10.263650203790041 59.75425362930587, 10.263679091858913 59.7541961346376, 10.263763205076502 59.75414857676031, 10.263899777707095 59.75412467165464, 10.264174884762161 59.754225030681795)</t>
  </si>
  <si>
    <t>[1393031, 1393039, 1393047, 1393055]</t>
  </si>
  <si>
    <t>[1063952, 1277114, 1277117, 1277120]</t>
  </si>
  <si>
    <t>[262389, 1063952, 1277114, 1277117]</t>
  </si>
  <si>
    <t>[0.014, 0.011, 0.002, 0.003]</t>
  </si>
  <si>
    <t>42.144799429369215</t>
  </si>
  <si>
    <t>[0.248, -0.019]</t>
  </si>
  <si>
    <t>LINESTRING (10.263738599532624 59.75435936202765, 10.263679955490476 59.75432036558899, 10.263650203790041 59.75425362930587)</t>
  </si>
  <si>
    <t>[1393015, 1393023]</t>
  </si>
  <si>
    <t>[1277109, 262389]</t>
  </si>
  <si>
    <t>0.09237214549322395</t>
  </si>
  <si>
    <t>[600588, 1277109]</t>
  </si>
  <si>
    <t>[0.248, 0.019]</t>
  </si>
  <si>
    <t>13.080492393557684</t>
  </si>
  <si>
    <t>[-0.003, -0.018, -0.014]</t>
  </si>
  <si>
    <t>LINESTRING (10.263131136039501 59.754342549647866, 10.26301586796283 59.754304736814845, 10.262513670426308 59.75409784127435, 10.26212545261025 59.7539813303468)</t>
  </si>
  <si>
    <t>[1422892, 1422900, 1239705]</t>
  </si>
  <si>
    <t>[1298215, 1160493, 1160470]</t>
  </si>
  <si>
    <t>[262403, 1298215, 1160493]</t>
  </si>
  <si>
    <t>[0.003, 0.018, 0.014]</t>
  </si>
  <si>
    <t>69.70579336730121</t>
  </si>
  <si>
    <t>[0.01, 0.036]</t>
  </si>
  <si>
    <t>LINESTRING (10.263738599532624 59.75435936202765, 10.263660061659262 59.7543789226548, 10.263131136039501 59.754342549647866)</t>
  </si>
  <si>
    <t>[597182, 597190]</t>
  </si>
  <si>
    <t>[600589, 262403]</t>
  </si>
  <si>
    <t>0.03256474894852201</t>
  </si>
  <si>
    <t>[600588, 600589]</t>
  </si>
  <si>
    <t>37.28065516258314</t>
  </si>
  <si>
    <t>[0.004, -0.002]</t>
  </si>
  <si>
    <t>LINESTRING (10.25688784139255 59.76786538473107, 10.256875645013853 59.768178295808376, 10.256892291434829 59.76822391669085)</t>
  </si>
  <si>
    <t>[264405, 2023221]</t>
  </si>
  <si>
    <t>[262442, 1277270]</t>
  </si>
  <si>
    <t>0.003231265095736857</t>
  </si>
  <si>
    <t>[262441, 262442]</t>
  </si>
  <si>
    <t>[0.004, 0.002]</t>
  </si>
  <si>
    <t>40.35452844641279</t>
  </si>
  <si>
    <t>[0.014, -0.001]</t>
  </si>
  <si>
    <t>LINESTRING (10.25688784139255 59.76786538473107, 10.257045679803095 59.768155678210505, 10.257096423197014 59.76821022240482)</t>
  </si>
  <si>
    <t>[597279, 597287]</t>
  </si>
  <si>
    <t>[600677, 600684]</t>
  </si>
  <si>
    <t>0.011520592972367343</t>
  </si>
  <si>
    <t>[262441, 600677]</t>
  </si>
  <si>
    <t>[0.014, 0.001]</t>
  </si>
  <si>
    <t>40.62768460340309</t>
  </si>
  <si>
    <t>[0.06, 0.031, -0.005, -0.012, -0.011, -0.008, -0.011, -0.014, -0.001]</t>
  </si>
  <si>
    <t>LINESTRING (10.255652445725316 59.76378679718769, 10.255119450879217 59.763768759363025, 10.25418703586358 59.76394364444547, 10.253698370549445 59.76415719349865, 10.253462539659306 59.76430078055611, 10.25339380221167 59.76444694179288, 10.253403237427946 59.76448316359306, 10.253418348164146 59.76452010347078, 10.25444226145678 59.765311015711525, 10.25688784139255 59.76786538473107)</t>
  </si>
  <si>
    <t>[2099461, 1423108, 1423116, 1423124, 1423132, 1423140, 1423148, 1423156, 1423164]</t>
  </si>
  <si>
    <t>[1298365, 1298366, 1298371, 1298378, 1298388, 1298397, 1298406, 1298412, 262441]</t>
  </si>
  <si>
    <t>0.0017931675147758604</t>
  </si>
  <si>
    <t>[1815304, 1298365, 1298366, 1298371, 1298378, 1298388, 1298397, 1298406, 1298412]</t>
  </si>
  <si>
    <t>[0.06, 0.031, 0.005, 0.012, 0.011, 0.008, 0.011, 0.014, 0.001]</t>
  </si>
  <si>
    <t>592.6283000767769</t>
  </si>
  <si>
    <t>[0.235, 0.126, 0.109, 0.092, 0.058, 0.01, -0.116]</t>
  </si>
  <si>
    <t>LINESTRING (10.432922485940487 61.1311897340936, 10.43307330178468 61.13119879255052, 10.43320052602999 61.131235434783235, 10.433301525690544 61.13130912236516, 10.433319531608676 61.13134921068274, 10.433298128000743 61.13143032307006, 10.43322241160668 61.13148963390245, 10.433127310146803 61.131524817256015)</t>
  </si>
  <si>
    <t>[282456, 282464, 282472, 282480, 282488, 282496, 282416]</t>
  </si>
  <si>
    <t>[213940, 276901, 247095, 276913, 276917, 276868, 262744]</t>
  </si>
  <si>
    <t>0.07940860544210258</t>
  </si>
  <si>
    <t>[262680, 213940, 276901, 247095, 276913, 276917, 276868]</t>
  </si>
  <si>
    <t>[0.235, 0.126, 0.109, 0.092, 0.058, 0.01, 0.116]</t>
  </si>
  <si>
    <t>53.93958956526671</t>
  </si>
  <si>
    <t>13.285072574452878</t>
  </si>
  <si>
    <t>[-0.016, 0.104, 0.09, 0.042]</t>
  </si>
  <si>
    <t>LINESTRING (10.413419769504824 61.1923012856664, 10.413607674142385 61.19212420097381, 10.413702364915006 61.19213280914975, 10.413791850068488 61.19216462274232, 10.413846581607592 61.19223662562265)</t>
  </si>
  <si>
    <t>[287559, 287567, 287575, 287519]</t>
  </si>
  <si>
    <t>[281239, 281247, 281196, 281197]</t>
  </si>
  <si>
    <t>0.02162831734176372</t>
  </si>
  <si>
    <t>[262873, 281239, 281247, 281196]</t>
  </si>
  <si>
    <t>[0.016, 0.104, 0.09, 0.042]</t>
  </si>
  <si>
    <t>46.55348534183579</t>
  </si>
  <si>
    <t>14.111163812696798</t>
  </si>
  <si>
    <t>[-0.001, 0.004, 0.005, -0.005, 0.007]</t>
  </si>
  <si>
    <t>LINESTRING (10.414739027514198 61.19524465573373, 10.414660981134515 61.19513576439301, 10.414547478820813 61.194925865078105, 10.414199553248087 61.193957288432465, 10.41339113226335 61.19234438035249, 10.413419769504824 61.1923012856664)</t>
  </si>
  <si>
    <t>[1691121, 1691113, 264911, 264919, 264927]</t>
  </si>
  <si>
    <t>[1513785, 262862, 262863, 262868, 262873]</t>
  </si>
  <si>
    <t>[1513650, 1513785, 262862, 262863, 262868]</t>
  </si>
  <si>
    <t>[0.001, 0.004, 0.005, 0.005, 0.007]</t>
  </si>
  <si>
    <t>353.00256126010316</t>
  </si>
  <si>
    <t>0.238</t>
  </si>
  <si>
    <t>3.7696153651325064</t>
  </si>
  <si>
    <t>21.343802398270043</t>
  </si>
  <si>
    <t>[-0.046, -0.057, -0.013, -0.012, -0.024]</t>
  </si>
  <si>
    <t>LINESTRING (10.415133916928868 61.19282706964882, 10.415114552744463 61.192870479128764, 10.414505786963216 61.19368043554286, 10.41508819790016 61.19559046458097, 10.415166332869063 61.1957386944116, 10.415194224498354 61.195854302178574)</t>
  </si>
  <si>
    <t>[264975, 264983, 264991, 1691097, 1691105]</t>
  </si>
  <si>
    <t>[262899, 262905, 262911, 1513777, 1513725]</t>
  </si>
  <si>
    <t>[262898, 262899, 262905, 262911, 1513777]</t>
  </si>
  <si>
    <t>[0.046, 0.057, 0.013, 0.012, 0.024]</t>
  </si>
  <si>
    <t>347.9625983023245</t>
  </si>
  <si>
    <t>[0.033, -0.054, -0.101, 0.254]</t>
  </si>
  <si>
    <t>LINESTRING (10.415309747677433 61.19264327812038, 10.415365525795634 61.19270812129651, 10.415323580640225 61.19277864364619, 10.415203696638656 61.192821342264025, 10.415133916928868 61.19282706964882)</t>
  </si>
  <si>
    <t>[287599, 287607, 287615, 287623]</t>
  </si>
  <si>
    <t>[281281, 281291, 281299, 262898]</t>
  </si>
  <si>
    <t>[281271, 281281, 281291, 281299]</t>
  </si>
  <si>
    <t>[0.033, 0.054, 0.101, 0.254]</t>
  </si>
  <si>
    <t>27.82836493697567</t>
  </si>
  <si>
    <t>[0.005, -0.002, 0.001, 0.001]</t>
  </si>
  <si>
    <t>LINESTRING (10.186739157610187 61.45177127595979, 10.186722729943442 61.451670854555125, 10.186793049388841 61.4516292706686, 10.186895838047047 61.45160862430818, 10.18702209953728 61.451618490945286)</t>
  </si>
  <si>
    <t>[292958, 292966, 292974, 292918]</t>
  </si>
  <si>
    <t>[285735, 285745, 285705, 262962]</t>
  </si>
  <si>
    <t>0.0019363621950909053</t>
  </si>
  <si>
    <t>[262957, 285735, 285745, 285705]</t>
  </si>
  <si>
    <t>[0.005, 0.002, 0.001, 0.001]</t>
  </si>
  <si>
    <t>30.305973452718604</t>
  </si>
  <si>
    <t>0.022</t>
  </si>
  <si>
    <t>7.62758153011937</t>
  </si>
  <si>
    <t>14.156362358256757</t>
  </si>
  <si>
    <t>17.572498559263035</t>
  </si>
  <si>
    <t>[-0.14, -0.153]</t>
  </si>
  <si>
    <t>LINESTRING (10.65499939159914 60.92912844311867, 10.655199700948755 60.92911198793008, 10.655410068130161 60.92914504188549)</t>
  </si>
  <si>
    <t>[265216, 265224]</t>
  </si>
  <si>
    <t>[263056, 263061]</t>
  </si>
  <si>
    <t>[263051, 263056]</t>
  </si>
  <si>
    <t>[0.14, 0.153]</t>
  </si>
  <si>
    <t>23.010082643270003</t>
  </si>
  <si>
    <t>6.470896382962686</t>
  </si>
  <si>
    <t>8.680472337367346</t>
  </si>
  <si>
    <t>[-0.009, -0.004, 0.001, 0.01]</t>
  </si>
  <si>
    <t>LINESTRING (10.448802839063728 61.11588974033328, 10.448821789186153 61.11586142216829, 10.448908782969184 61.115808509613935, 10.449077528963253 61.11578164519655, 10.449162122325841 61.11578926374084)</t>
  </si>
  <si>
    <t>[265256, 265264, 265272, 265280]</t>
  </si>
  <si>
    <t>[263082, 263086, 248622, 263094]</t>
  </si>
  <si>
    <t>[263081, 263082, 263086, 248622]</t>
  </si>
  <si>
    <t>[0.009, 0.004, 0.001, 0.01]</t>
  </si>
  <si>
    <t>25.074891440183734</t>
  </si>
  <si>
    <t>[0.024, -0.249]</t>
  </si>
  <si>
    <t>LINESTRING (10.44705890383515 61.11625215166119, 10.448706969648654 61.115939745592016, 10.448802839063728 61.11588974033328)</t>
  </si>
  <si>
    <t>[336340, 336348]</t>
  </si>
  <si>
    <t>[325619, 263081]</t>
  </si>
  <si>
    <t>0.00407434291734959</t>
  </si>
  <si>
    <t>[325618, 325619]</t>
  </si>
  <si>
    <t>[0.024, 0.249]</t>
  </si>
  <si>
    <t>104.1624735401789</t>
  </si>
  <si>
    <t>[-0.019, 0.067, 0.034, 0.047, -0.076, -0.061, 0.027, 0.027, -0.003, -0.037, -0.056, -0.05, 0.016, -0.112]</t>
  </si>
  <si>
    <t>[0, 0, 0, 0, 0, 0, 0, 0, 0, 1, 0, 0, 0, 0]</t>
  </si>
  <si>
    <t>LINESTRING (9.637307366972149 60.776349135431836, 9.638255443504205 60.775995481524454, 9.640519016016153 60.77423740096394, 9.648978545231486 60.76871213118186, 9.649865451288708 60.768229076089575, 9.65601334339826 60.764821645653164, 9.658293213460377 60.76374012752225, 9.658384899986379 60.76369663373765, 9.65846881864031 60.7636566993123, 9.660612008567542 60.762640195586066, 9.660944185700345 60.76248220281148, 9.662047889149108 60.76191422912075, 9.662572648640756 60.761564188143765, 9.664450625528074 60.758486747575226, 9.665678226395839 60.757321021346)</t>
  </si>
  <si>
    <t>[2149986, 2149994, 2150002, 2150010, 2150018, 2150026, 2150034, 2150042, 2149844, 2149852, 2149860, 2149868, 2149876, 2149884]</t>
  </si>
  <si>
    <t>[1844001, 319398, 319419, 319417, 319424, 320614, 1844015, 320608, 1843951, 1843955, 1843960, 320129, 320149, 263259]</t>
  </si>
  <si>
    <t>[320518, 1844001, 319398, 319419, 319417, 319424, 320614, 1844015, 320608, 1843951, 1843955, 1843960, 320129, 320149]</t>
  </si>
  <si>
    <t>[0.019, 0.067, 0.034, 0.047, 0.076, 0.061, 0.027, 0.027, 0.003, 0.037, 0.056, 0.05, 0.016, 0.112]</t>
  </si>
  <si>
    <t>2674.421042490686</t>
  </si>
  <si>
    <t>[0.003, 0.007, 0.009]</t>
  </si>
  <si>
    <t>LINESTRING (10.747482827404443 60.15233648924957, 10.745371679573788 60.152227368509514, 10.741857158649784 60.1522151792366, 10.735882981725998 60.15280598639463)</t>
  </si>
  <si>
    <t>[267091, 267099, 267107]</t>
  </si>
  <si>
    <t>[264392, 264398, 264407]</t>
  </si>
  <si>
    <t>0.007315115793712638</t>
  </si>
  <si>
    <t>[264384, 264392, 264398]</t>
  </si>
  <si>
    <t>652.0706838391266</t>
  </si>
  <si>
    <t>93.48093733479195</t>
  </si>
  <si>
    <t>[-0.016, -0.034, -0.107, 0.004, -0.0, 0.024, -0.003, -0.003, 0.029, 0.029, -0.003, -0.011, 0.002, -0.017, -0.023]</t>
  </si>
  <si>
    <t>[0, 1, 1, 0, 1, 0, 0, 0, 1, 1, 0, 1, 0, 1, 0]</t>
  </si>
  <si>
    <t>LINESTRING (10.73421124991072 60.152897025146274, 10.73275461724898 60.15293024299463, 10.73150658223688 60.1529603581298, 10.731128547247254 60.152971616627234, 10.726234048964733 60.15382973107748, 10.726156671139485 60.15386023032928, 10.721336219251048 60.156983031644394, 10.718090628430794 60.160122414129184, 10.710212843120043 60.16784054069806, 10.710159877422532 60.16802987167595, 10.710139251331688 60.168107116662206, 10.702533236758876 60.187211372661174, 10.702259622293194 60.187493193608056, 10.699227682779718 60.204368493076316, 10.699106404221668 60.204605228673344, 10.698887364466746 60.20502633990413)</t>
  </si>
  <si>
    <t>[267123, 267131, 1504372, 1504377, 1504378, 1504381, 267139, 267147, 267155, 267163, 267171, 267179, 267187, 267195, 267203]</t>
  </si>
  <si>
    <t>[264419, 264428, 1360404, 1360409, 1360410, 264436, 264437, 264444, 264452, 264459, 264467, 264475, 264481, 264487, 264493]</t>
  </si>
  <si>
    <t>[264414, 264419, 264428, 1360404, 1360409, 1360410, 264436, 264437, 264444, 264452, 264459, 264467, 264475, 264481, 264487]</t>
  </si>
  <si>
    <t>[0.016, 0.034, 0.107, 0.004, 0.0, 0.024, 0.003, 0.003, 0.029, 0.029, 0.003, 0.011, 0.002, 0.017, 0.023]</t>
  </si>
  <si>
    <t>6722.083194910038</t>
  </si>
  <si>
    <t>99.18714634467332</t>
  </si>
  <si>
    <t>[0.007, 0.019, 0.023]</t>
  </si>
  <si>
    <t>LINESTRING (10.698497054598153 60.20589485906415, 10.697956227015489 60.20746058712153, 10.697742750410844 60.20824338543925, 10.69739940635574 60.2107364543129)</t>
  </si>
  <si>
    <t>[267219, 267227, 267235]</t>
  </si>
  <si>
    <t>[264507, 264515, 264521]</t>
  </si>
  <si>
    <t>0.017140893276561424</t>
  </si>
  <si>
    <t>[264500, 264507, 264515]</t>
  </si>
  <si>
    <t>543.7210117097416</t>
  </si>
  <si>
    <t>[0.035, 0.041, 0.036]</t>
  </si>
  <si>
    <t>LINESTRING (10.69739940635574 60.2107364543129, 10.697397190824924 60.21115270411356, 10.69739800680031 60.21118779876839, 10.697390615689113 60.211505779514326)</t>
  </si>
  <si>
    <t>[267243, 267251, 267259]</t>
  </si>
  <si>
    <t>[264528, 264533, 264541]</t>
  </si>
  <si>
    <t>0.03568705251897542</t>
  </si>
  <si>
    <t>[264521, 264528, 264533]</t>
  </si>
  <si>
    <t>85.74321968490423</t>
  </si>
  <si>
    <t>[0.038, 0.05, 0.033, 0.021, 0.022, 0.033, 0.013, -0.006, -0.002, -0.035, -0.002, 0.006]</t>
  </si>
  <si>
    <t>LINESTRING (10.697390615689113 60.211505779514326, 10.697946369111571 60.21443790738579, 10.697950097409377 60.21444667864096, 10.698264560876291 60.21511834156711, 10.698268692262161 60.21512707195209, 10.700605398288873 60.22284546101098, 10.700623783557328 60.22288375145115, 10.6875424970667 60.2445444518314, 10.687533112287817 60.244552122192864, 10.686939961038204 60.24501243429149, 10.686929814164374 60.24501984602166, 10.682171821212998 60.24742953400553, 10.68191805165443 60.24757062050869)</t>
  </si>
  <si>
    <t>[267267, 267275, 267283, 267291, 267299, 267307, 267315, 267323, 267331, 267339, 267347, 267355]</t>
  </si>
  <si>
    <t>[264548, 264556, 264562, 264570, 264578, 264585, 264593, 264598, 264606, 264611, 264617, 264624]</t>
  </si>
  <si>
    <t>0.015429918810248617</t>
  </si>
  <si>
    <t>[264541, 264548, 264556, 264562, 264570, 264578, 264585, 264593, 264598, 264606, 264611, 264617]</t>
  </si>
  <si>
    <t>[0.038, 0.05, 0.033, 0.021, 0.022, 0.033, 0.013, 0.006, 0.002, 0.035, 0.002, 0.006]</t>
  </si>
  <si>
    <t>4509.671626431393</t>
  </si>
  <si>
    <t>87.99200020430632</t>
  </si>
  <si>
    <t>[-0.014, -0.022]</t>
  </si>
  <si>
    <t>LINESTRING (10.677646097312584 60.24972959406156, 10.681732085986358 60.247636495815065, 10.68191805165443 60.24757062050869)</t>
  </si>
  <si>
    <t>[269538, 269546]</t>
  </si>
  <si>
    <t>[266426, 264624]</t>
  </si>
  <si>
    <t>[266418, 266426]</t>
  </si>
  <si>
    <t>[0.014, 0.022]</t>
  </si>
  <si>
    <t>344.9572200500743</t>
  </si>
  <si>
    <t>[0.03, 0.033, 0.029, 0.029, 0.024]</t>
  </si>
  <si>
    <t>LINESTRING (10.680883876277063 60.248169857731085, 10.67854463451035 60.24993145305551, 10.67784137789456 60.250607370781765, 10.677647529837454 60.250814966336115, 10.677436785583408 60.25104089360083, 10.677324867320502 60.25116232081961)</t>
  </si>
  <si>
    <t>[267371, 267379, 267387, 267395, 267403]</t>
  </si>
  <si>
    <t>[264641, 264650, 264658, 264666, 264673]</t>
  </si>
  <si>
    <t>0.030287944322085654</t>
  </si>
  <si>
    <t>[264633, 264641, 264650, 264658, 264666]</t>
  </si>
  <si>
    <t>388.4424562532784</t>
  </si>
  <si>
    <t>[-0.044, 0.04]</t>
  </si>
  <si>
    <t>LINESTRING (10.680883876277063 60.248169857731085, 10.680805270087774 60.248279056133555, 10.679423936941605 60.25036386076081)</t>
  </si>
  <si>
    <t>[269498, 269506]</t>
  </si>
  <si>
    <t>[266393, 266400]</t>
  </si>
  <si>
    <t>0.035972438525452746</t>
  </si>
  <si>
    <t>[264633, 266393]</t>
  </si>
  <si>
    <t>[0.044, 0.04]</t>
  </si>
  <si>
    <t>269.5835682849832</t>
  </si>
  <si>
    <t>0.069</t>
  </si>
  <si>
    <t>103.44224523844268</t>
  </si>
  <si>
    <t>[-0.035, -0.043, -0.029, -0.042, -0.037]</t>
  </si>
  <si>
    <t>LINESTRING (10.677324867320502 60.25116232081961, 10.677371242351809 60.25105772871934, 10.677384032302854 60.251029371727576, 10.677778431592046 60.25059084081226, 10.677799001777956 60.24974986744678, 10.677646097312584 60.24972959406156)</t>
  </si>
  <si>
    <t>[269626, 269634, 269642, 269650, 269658]</t>
  </si>
  <si>
    <t>[266495, 266504, 266511, 266519, 266418]</t>
  </si>
  <si>
    <t>[264673, 266495, 266504, 266511, 266519]</t>
  </si>
  <si>
    <t>[0.035, 0.043, 0.029, 0.042, 0.037]</t>
  </si>
  <si>
    <t>191.85512669589278</t>
  </si>
  <si>
    <t>[0.184, 0.0, -0.19]</t>
  </si>
  <si>
    <t>LINESTRING (10.676591596184066 60.252015923677504, 10.67650774142788 60.25211659529021, 10.671467127355623 60.26428102198996, 10.671443855986082 60.26431519584664)</t>
  </si>
  <si>
    <t>[267419, 267427, 267435]</t>
  </si>
  <si>
    <t>[264688, 264696, 264703]</t>
  </si>
  <si>
    <t>0.0010465615445552983</t>
  </si>
  <si>
    <t>[264680, 264688, 264696]</t>
  </si>
  <si>
    <t>[0.184, 0.0, 0.19]</t>
  </si>
  <si>
    <t>1405.005352443806</t>
  </si>
  <si>
    <t>[-0.06, 0.009, 0.03, 0.048, 0.164]</t>
  </si>
  <si>
    <t>LINESTRING (10.679423936941605 60.25036386076081, 10.679340522467525 60.25028309137536, 10.677934025645396 60.25063188309749, 10.677526989935055 60.25105651439525, 10.676714703758991 60.25191940995257, 10.676591596184066 60.252015923677504)</t>
  </si>
  <si>
    <t>[269554, 269562, 269570, 269578, 269586]</t>
  </si>
  <si>
    <t>[266438, 266444, 266450, 266455, 264680]</t>
  </si>
  <si>
    <t>0.030969002867939945</t>
  </si>
  <si>
    <t>[266400, 266438, 266444, 266450, 266455]</t>
  </si>
  <si>
    <t>[0.06, 0.009, 0.03, 0.048, 0.164]</t>
  </si>
  <si>
    <t>296.87234871215827</t>
  </si>
  <si>
    <t>[-0.056, -0.171, -0.051, 0.04]</t>
  </si>
  <si>
    <t>LINESTRING (10.671443855986082 60.26431519584664, 10.671451624241087 60.264443360078815, 10.670710521123512 60.265459438280764, 10.670555886676555 60.26681118495399, 10.670576964505495 60.266846132691164)</t>
  </si>
  <si>
    <t>[269666, 269674, 269682, 269690]</t>
  </si>
  <si>
    <t>[266532, 266540, 266549, 266557]</t>
  </si>
  <si>
    <t>[264703, 266532, 266540, 266549]</t>
  </si>
  <si>
    <t>[0.056, 0.171, 0.051, 0.04]</t>
  </si>
  <si>
    <t>292.1650964805338</t>
  </si>
  <si>
    <t>[0.039, -0.01]</t>
  </si>
  <si>
    <t>LINESTRING (10.617281183156392 60.293404466131406, 10.61702187211874 60.29352807463177, 10.616946068362077 60.29356378677293)</t>
  </si>
  <si>
    <t>[1781204, 1781212]</t>
  </si>
  <si>
    <t>[1571125, 1571131]</t>
  </si>
  <si>
    <t>0.02796406739917413</t>
  </si>
  <si>
    <t>[264806, 1571125]</t>
  </si>
  <si>
    <t>[0.039, 0.01]</t>
  </si>
  <si>
    <t>25.671313099264093</t>
  </si>
  <si>
    <t>[0.014, -0.028]</t>
  </si>
  <si>
    <t>LINESTRING (10.617281183156392 60.293404466131406, 10.61695200506242 60.29348170367715, 10.61687191782399 60.293500728442275)</t>
  </si>
  <si>
    <t>[1781285, 1781293]</t>
  </si>
  <si>
    <t>[1571190, 1571197]</t>
  </si>
  <si>
    <t>0.005766164328580139</t>
  </si>
  <si>
    <t>[264806, 1571190]</t>
  </si>
  <si>
    <t>[0.014, 0.028]</t>
  </si>
  <si>
    <t>25.05499135070668</t>
  </si>
  <si>
    <t>[-0.012, -0.107]</t>
  </si>
  <si>
    <t>LINESTRING (10.616709195701677 60.29354831537048, 10.616636062125423 60.2935774882819, 10.61637057282862 60.29368540671199)</t>
  </si>
  <si>
    <t>[1781172, 1781180]</t>
  </si>
  <si>
    <t>[1571100, 264812]</t>
  </si>
  <si>
    <t>[1571099, 1571100]</t>
  </si>
  <si>
    <t>[0.012, 0.107]</t>
  </si>
  <si>
    <t>24.17446616872814</t>
  </si>
  <si>
    <t>[-0.03, -0.129]</t>
  </si>
  <si>
    <t>LINESTRING (10.616782816956364 60.2936112663824, 10.616698220858252 60.29362635629843, 10.61637057282862 60.29368540671199)</t>
  </si>
  <si>
    <t>[1781188, 1781196]</t>
  </si>
  <si>
    <t>[1571112, 264812]</t>
  </si>
  <si>
    <t>[1571111, 1571112]</t>
  </si>
  <si>
    <t>[0.03, 0.129]</t>
  </si>
  <si>
    <t>24.257153431321953</t>
  </si>
  <si>
    <t>[-0.021, -0.01, 0.0, 0.009]</t>
  </si>
  <si>
    <t>LINESTRING (5.452559878714733 59.75966206596605, 5.4524354656727985 59.7596665088475, 5.45238185963499 59.75965100519572, 5.452343335771532 59.759623586492204, 5.452332763191743 59.759578776247075)</t>
  </si>
  <si>
    <t>[267817, 267825, 267833, 267841]</t>
  </si>
  <si>
    <t>[265030, 265037, 265043, 265049]</t>
  </si>
  <si>
    <t>[265029, 265030, 265037, 265043]</t>
  </si>
  <si>
    <t>[0.021, 0.01, 0.0, 0.009]</t>
  </si>
  <si>
    <t>19.3145013957543</t>
  </si>
  <si>
    <t>[-0.021, -0.02]</t>
  </si>
  <si>
    <t>LINESTRING (5.4526398029999115 59.759607975573495, 5.45261364899639 59.759637796208125, 5.452559878714733 59.75966206596605)</t>
  </si>
  <si>
    <t>[267897, 267905]</t>
  </si>
  <si>
    <t>[265091, 265029]</t>
  </si>
  <si>
    <t>[265084, 265091]</t>
  </si>
  <si>
    <t>[0.021, 0.02]</t>
  </si>
  <si>
    <t>7.7119809632219605</t>
  </si>
  <si>
    <t>[-0.011, -0.013]</t>
  </si>
  <si>
    <t>LINESTRING (5.452854152220953 59.759728124978054, 5.452645739977617 59.75968400298928, 5.452559878714733 59.75966206596605)</t>
  </si>
  <si>
    <t>[267961, 267969]</t>
  </si>
  <si>
    <t>[265138, 265029]</t>
  </si>
  <si>
    <t>[265123, 265138]</t>
  </si>
  <si>
    <t>[0.011, 0.013]</t>
  </si>
  <si>
    <t>18.168922256144285</t>
  </si>
  <si>
    <t>LINESTRING (5.452332763191743 59.759578776247075, 5.452353639534865 59.75955110056188, 5.452393853659786 59.759529092288545)</t>
  </si>
  <si>
    <t>[267849, 267857]</t>
  </si>
  <si>
    <t>[265055, 265059]</t>
  </si>
  <si>
    <t>0.021005383833296556</t>
  </si>
  <si>
    <t>[265049, 265055]</t>
  </si>
  <si>
    <t>6.654375740628968</t>
  </si>
  <si>
    <t>[-0.016, -0.004]</t>
  </si>
  <si>
    <t>LINESTRING (5.452332763191743 59.759578776247075, 5.452242404521355 59.759570587897244, 5.452086903769878 59.759486516563825)</t>
  </si>
  <si>
    <t>[267977, 267985]</t>
  </si>
  <si>
    <t>[265151, 265157]</t>
  </si>
  <si>
    <t>[265049, 265151]</t>
  </si>
  <si>
    <t>[0.016, 0.004]</t>
  </si>
  <si>
    <t>18.52332037975128</t>
  </si>
  <si>
    <t>[0.025, 0.011, 0.002, -0.011]</t>
  </si>
  <si>
    <t>LINESTRING (5.452393853659786 59.759529092288545, 5.452505823481078 59.759514333482784, 5.452578548297648 59.759528797244215, 5.452628194918804 59.75955929176941, 5.4526398029999115 59.759607975573495)</t>
  </si>
  <si>
    <t>[267865, 267873, 267881, 267889]</t>
  </si>
  <si>
    <t>[265066, 265072, 265076, 265084]</t>
  </si>
  <si>
    <t>0.007690898139338904</t>
  </si>
  <si>
    <t>[265059, 265066, 265072, 265076]</t>
  </si>
  <si>
    <t>[0.025, 0.011, 0.002, 0.011]</t>
  </si>
  <si>
    <t>20.82190625576139</t>
  </si>
  <si>
    <t>[-0.006, -0.018]</t>
  </si>
  <si>
    <t>LINESTRING (5.452393853659786 59.759529092288545, 5.452316386958906 59.75950433445302, 5.452086903769878 59.759486516563825)</t>
  </si>
  <si>
    <t>[268025, 268033]</t>
  </si>
  <si>
    <t>[265189, 265157]</t>
  </si>
  <si>
    <t>[265059, 265189]</t>
  </si>
  <si>
    <t>[0.006, 0.018]</t>
  </si>
  <si>
    <t>18.696198885235894</t>
  </si>
  <si>
    <t>[0.001, -0.012]</t>
  </si>
  <si>
    <t>LINESTRING (5.452854152220953 59.759728124978054, 5.452730782778061 59.759634356718166, 5.4526398029999115 59.759607975573495)</t>
  </si>
  <si>
    <t>[267945, 267953]</t>
  </si>
  <si>
    <t>[265124, 265084]</t>
  </si>
  <si>
    <t>[265123, 265124]</t>
  </si>
  <si>
    <t>[0.001, 0.012]</t>
  </si>
  <si>
    <t>18.80718377409583</t>
  </si>
  <si>
    <t>[0.005, 0.003, -0.024, -0.027, -0.006]</t>
  </si>
  <si>
    <t>LINESTRING (5.455506034232162 59.76188326844215, 5.455505886398296 59.76161986134362, 5.455189465592902 59.76106110995949, 5.455127105262414 59.76100192566924, 5.453984779604462 59.76031618209602, 5.452854152220953 59.759728124978054)</t>
  </si>
  <si>
    <t>[1413213, 2000447, 2000455, 2000463, 2000464]</t>
  </si>
  <si>
    <t>[1292045, 1753564, 1716565, 1644148, 265123]</t>
  </si>
  <si>
    <t>[1292044, 1292045, 1753564, 1716565, 1644148]</t>
  </si>
  <si>
    <t>[0.005, 0.003, 0.024, 0.027, 0.006]</t>
  </si>
  <si>
    <t>294.0392040897025</t>
  </si>
  <si>
    <t>[-0.011, -0.016, -0.004, -0.004, -0.002, -0.004, -0.004, -0.004, -0.007, -0.002, -0.016, -0.025, -0.003, -0.082, -0.073, -0.023, 0.027, 0.025, -0.012, -0.02, 0.008, -0.004, -0.034, -0.231]</t>
  </si>
  <si>
    <t>LINESTRING (5.452086903769878 59.759486516563825, 5.450473705091813 59.759351686104054, 5.449422528792903 59.75947627384151, 5.448707982123766 59.7595807642327, 5.448195271415557 59.75961669385187, 5.447047920371535 59.75910143623685, 5.44700411575307 59.758962626272556, 5.446906360798179 59.75838568850084, 5.446814724323107 59.75787322723109, 5.4467914072376145 59.7577938714335, 5.44678876009645 59.75778489727562, 5.4465644707136525 59.757242631236, 5.446490724136186 59.75711556757614, 5.446089227854897 59.75626710700715, 5.446206786581405 59.75549475592567, 5.447151343621233 59.754193883790236, 5.448022639308157 59.753055656730275, 5.448112345644487 59.75294680439186, 5.448196612375017 59.75285173115265, 5.455301488887274 59.750245184986795, 5.45560183719885 59.750120103371785, 5.458897198172759 59.749042114105606, 5.460775041741021 59.748843060271184, 5.4609596955871815 59.74884443502256, 5.461151393091545 59.7488458643505)</t>
  </si>
  <si>
    <t>[2000465, 2000466, 2000481, 1413316, 1413340, 1413348, 1413356, 2000482, 2000483, 2000484, 2000488, 2000490, 2000496, 2000497, 2000498, 2000506, 2000507, 2000508, 2000516, 2000528, 2000529, 2000530, 2000538, 2000554]</t>
  </si>
  <si>
    <t>[1669615, 1674965, 1292123, 1292124, 1292142, 1292149, 1292158, 1753578, 1753579, 1753580, 1753582, 1753584, 340251, 1753588, 1753589, 1753591, 1753592, 1753593, 1636666, 1679035, 1636918, 1753603, 1753607, 824500]</t>
  </si>
  <si>
    <t>[265157, 1669615, 1674965, 1292123, 1292124, 1292142, 1292149, 1292158, 1753578, 1753579, 1753580, 1753582, 1753584, 340251, 1753588, 1753589, 1753591, 1753592, 1753593, 1636666, 1679035, 1636918, 1753603, 1753607]</t>
  </si>
  <si>
    <t>[0.011, 0.016, 0.004, 0.004, 0.002, 0.004, 0.004, 0.004, 0.007, 0.002, 0.016, 0.025, 0.003, 0.082, 0.073, 0.023, 0.027, 0.025, 0.012, 0.02, 0.008, 0.004, 0.034, 0.231]</t>
  </si>
  <si>
    <t>1926.7645226345394</t>
  </si>
  <si>
    <t>[0.074, 0.072]</t>
  </si>
  <si>
    <t>LINESTRING (10.679423936941605 60.25036386076081, 10.679388276709393 60.250483279736166, 10.679287911274082 60.25066802848594)</t>
  </si>
  <si>
    <t>[269514, 269522]</t>
  </si>
  <si>
    <t>[266405, 266412]</t>
  </si>
  <si>
    <t>0.07277366327888629</t>
  </si>
  <si>
    <t>[266400, 266405]</t>
  </si>
  <si>
    <t>34.78267694812444</t>
  </si>
  <si>
    <t>47.61094454906688</t>
  </si>
  <si>
    <t>[0.251, 0.25, 0.244, 0.25]</t>
  </si>
  <si>
    <t>LINESTRING (10.670576964505495 60.266846132691164, 10.671576632816858 60.26703093833069, 10.672479443238101 60.26717382809887, 10.673022484806205 60.26725957798145, 10.674103151142873 60.26742747718396)</t>
  </si>
  <si>
    <t>[277631, 277639, 277647, 277655]</t>
  </si>
  <si>
    <t>[0, 0, 0, 1]</t>
  </si>
  <si>
    <t>[272954, 272963, 272969, 266564]</t>
  </si>
  <si>
    <t>0.2493670436435422</t>
  </si>
  <si>
    <t>[266557, 272954, 272963, 272969]</t>
  </si>
  <si>
    <t>205.7555185786579</t>
  </si>
  <si>
    <t>[0.023, -0.074, -0.031]</t>
  </si>
  <si>
    <t>LINESTRING (10.674103151142873 60.26742747718396, 10.740267903939694 60.27394833001352, 10.745685241987804 60.27516706900684, 10.745864971021625 60.27518926282607)</t>
  </si>
  <si>
    <t>[277663, 277671, 277680]</t>
  </si>
  <si>
    <t>[272983, 272991, 273000]</t>
  </si>
  <si>
    <t>0.015040469854506399</t>
  </si>
  <si>
    <t>[266564, 272983, 272991]</t>
  </si>
  <si>
    <t>[0.023, 0.074, 0.031]</t>
  </si>
  <si>
    <t>4090.7593860472552</t>
  </si>
  <si>
    <t>[-0.013, -0.042, -0.033, 0.03]</t>
  </si>
  <si>
    <t>LINESTRING (10.609836600736246 60.29560056176349, 10.60938112287464 60.29581910564092, 10.609222483808253 60.29577950362542, 10.609112823666585 60.29570168685258, 10.609089055073992 60.29563318785581)</t>
  </si>
  <si>
    <t>[269930, 269938, 269946, 269954]</t>
  </si>
  <si>
    <t>[266754, 266761, 249791, 266773]</t>
  </si>
  <si>
    <t>[266753, 266754, 266761, 249791]</t>
  </si>
  <si>
    <t>[0.013, 0.042, 0.033, 0.03]</t>
  </si>
  <si>
    <t>69.34564140184014</t>
  </si>
  <si>
    <t>LINESTRING (10.609089055073992 60.29563318785581, 10.609110630738213 60.29557239464507, 10.609167846498613 60.29552141388524)</t>
  </si>
  <si>
    <t>[269962, 269970]</t>
  </si>
  <si>
    <t>[266782, 266787]</t>
  </si>
  <si>
    <t>0.0369719177168855</t>
  </si>
  <si>
    <t>[266773, 266782]</t>
  </si>
  <si>
    <t>13.383973061143637</t>
  </si>
  <si>
    <t>[-0.038, -0.012, 0.013]</t>
  </si>
  <si>
    <t>LINESTRING (10.60865125946395 60.29536421151498, 10.608706458930069 60.29546817381709, 10.609022015462068 60.29561597834263, 10.609089055073992 60.29563318785581)</t>
  </si>
  <si>
    <t>[338273, 338281, 338289]</t>
  </si>
  <si>
    <t>[327424, 327428, 266773]</t>
  </si>
  <si>
    <t>[287991, 327424, 327428]</t>
  </si>
  <si>
    <t>[0.038, 0.012, 0.013]</t>
  </si>
  <si>
    <t>40.15971680239562</t>
  </si>
  <si>
    <t>[-0.02, 0.0, 0.011]</t>
  </si>
  <si>
    <t>LINESTRING (10.60865125946395 60.29536421151498, 10.608800219637065 60.29544022746859, 10.60909360765075 60.295509784111644, 10.609167846498613 60.29552141388524)</t>
  </si>
  <si>
    <t>[295438, 295446, 295454]</t>
  </si>
  <si>
    <t>[287992, 288001, 266787]</t>
  </si>
  <si>
    <t>[287991, 287992, 288001]</t>
  </si>
  <si>
    <t>[0.02, 0.0, 0.011]</t>
  </si>
  <si>
    <t>34.52641385009688</t>
  </si>
  <si>
    <t>[0.064, -0.032, -0.131, -0.071]</t>
  </si>
  <si>
    <t>LINESTRING (8.642620952103096 58.37527140784618, 8.639844376989775 58.37488216431917, 8.630559422363952 58.37422576949459, 8.630305921573115 58.374226350768936, 8.629393830919668 58.37422286258397)</t>
  </si>
  <si>
    <t>[273120, 273128, 273136, 273144]</t>
  </si>
  <si>
    <t>[269220, 269224, 269228, 269231]</t>
  </si>
  <si>
    <t>[269219, 269220, 269224, 269228]</t>
  </si>
  <si>
    <t>[0.064, 0.032, 0.131, 0.071]</t>
  </si>
  <si>
    <t>788.2229982138007</t>
  </si>
  <si>
    <t>[0.073, 0.161, 0.152, 0.02, 0.012, -0.018, -0.053, -0.045, -0.002, 0.003, 0.008, 0.0, -0.001, 0.028, 0.046, 0.046, 0.024, 0.008, 0.012, 0.022, -0.019, -0.042, -0.022, -0.009, 0.061]</t>
  </si>
  <si>
    <t>[0, 1, 0, 0, 1, 0, 0, 1, 0, 1, 0, 0, 0, 1, 0, 1, 0, 1, 0, 1, 0, 0, 1, 0, 0]</t>
  </si>
  <si>
    <t>LINESTRING (8.696166979222447 58.41742156506593, 8.695375654671874 58.417080150763596, 8.695285513985219 58.41704489800582, 8.69363529657362 58.41651726859521, 8.687231157052029 58.413668955979425, 8.68718009375754 58.41362166969178, 8.678973186191266 58.40592403352107, 8.678764823974069 58.40572224002319, 8.678710048024252 58.40566900172135, 8.675967419666195 58.401659420761824, 8.675925984084525 58.4015921616255, 8.675700558635711 58.40122091744341, 8.673293360347964 58.397305479463974, 8.668585676278168 58.392424465012795, 8.668535383458194 58.39238558373123, 8.667285594232675 58.39142526597613, 8.667217153253693 58.39137287443725, 8.663618764954894 58.387964347839386, 8.663603543102862 58.387941255938124, 8.659874090480544 58.38370857564785, 8.65983786363963 58.383685970441825, 8.651078457624122 58.37881395945122, 8.650697034897124 58.378221682976736, 8.650661219357172 58.37816739225176, 8.645932745257069 58.37576997530089, 8.642620952103096 58.37527140784618)</t>
  </si>
  <si>
    <t>[1398388, 1398396, 1398406, 1398414, 1398422, 1398430, 1398438, 1398446, 1398454, 1398462, 1398470, 1398471, 1398478, 1398486, 1398494, 1398502, 1398510, 1398518, 1398582, 1398590, 1398594, 1398595, 1398596, 1398604, 1398612]</t>
  </si>
  <si>
    <t>[1280519, 1280524, 1280528, 1280531, 1280534, 1280537, 1280540, 1280543, 1280546, 1280549, 1280552, 1280553, 1280560, 1280564, 1280569, 1280573, 1280578, 1280583, 1280614, 1280618, 1280620, 1280621, 1280622, 1280623, 269219]</t>
  </si>
  <si>
    <t>0.004553411560261382</t>
  </si>
  <si>
    <t>[1280434, 1280519, 1280524, 1280528, 1280531, 1280534, 1280537, 1280540, 1280543, 1280546, 1280549, 1280552, 1280553, 1280560, 1280564, 1280569, 1280573, 1280578, 1280583, 1280614, 1280618, 1280620, 1280621, 1280622, 1280623]</t>
  </si>
  <si>
    <t>[0.073, 0.161, 0.152, 0.02, 0.012, 0.018, 0.053, 0.045, 0.002, 0.003, 0.008, 0.0, 0.001, 0.028, 0.046, 0.046, 0.024, 0.008, 0.012, 0.022, 0.019, 0.042, 0.022, 0.009, 0.061]</t>
  </si>
  <si>
    <t>5850.237283522653</t>
  </si>
  <si>
    <t>[0.024, 0.013, -0.019, -0.056, -0.047, -0.002, 0.003, 0.006, 0.001, -0.001, 0.032, 0.05, 0.038, 0.024, 0.006, 0.012, 0.017, -0.019, -0.042, -0.011, -0.011, 0.06]</t>
  </si>
  <si>
    <t>[0, 1, 0, 0, 1, 0, 1, 0, 0, 0, 1, 0, 1, 0, 1, 0, 1, 0, 0, 1, 0, 0]</t>
  </si>
  <si>
    <t>LINESTRING (8.693812290338379 58.41650246045209, 8.687323018076302 58.41364197670378, 8.687271428306975 58.41359475448339, 8.679060564855696 58.40589957658361, 8.678863485321175 58.40571271610576, 8.67881019178261 58.40565982145686, 8.676061580969897 58.401652918649354, 8.676009908196491 58.401569120991994, 8.675787234961794 58.40119783323489, 8.673390503082548 58.397277476177905, 8.668675634809315 58.392393533337966, 8.668623664607532 58.392353488098365, 8.667373168583994 58.39139232559654, 8.667304419659686 58.391339738695756, 8.663719676202536 58.38794684301846, 8.663703813331502 58.387922548460914, 8.659963193083977 58.383671843920204, 8.659923305191416 58.38364671512731, 8.651174030454204 58.3787953348968, 8.650779977045799 58.378187713429625, 8.650745066570316 58.378132206861395, 8.645989051471538 58.3757271256278, 8.642620952103096 58.37527140784618)</t>
  </si>
  <si>
    <t>[1398700, 1398708, 1398716, 1398724, 1398732, 1398740, 1398748, 1398756, 1398526, 1398534, 1398542, 1398550, 1398558, 1398566, 1398574, 1398620, 1398628, 1398636, 1398644, 1398652, 1398660, 1398668]</t>
  </si>
  <si>
    <t>[1280661, 1280667, 1280671, 1280677, 1280682, 1280686, 1280690, 1280587, 1280588, 1280594, 1280599, 1280601, 1280605, 1280610, 1280612, 1280628, 1280630, 1280632, 1280637, 1280641, 1280643, 269219]</t>
  </si>
  <si>
    <t>0.0009009116011092436</t>
  </si>
  <si>
    <t>[1280437, 1280661, 1280667, 1280671, 1280677, 1280682, 1280686, 1280690, 1280587, 1280588, 1280594, 1280599, 1280601, 1280605, 1280610, 1280612, 1280628, 1280630, 1280632, 1280637, 1280641, 1280643]</t>
  </si>
  <si>
    <t>[0.024, 0.013, 0.019, 0.056, 0.047, 0.002, 0.003, 0.006, 0.001, 0.001, 0.032, 0.05, 0.038, 0.024, 0.006, 0.012, 0.017, 0.019, 0.042, 0.011, 0.011, 0.06]</t>
  </si>
  <si>
    <t>5680.4601637591495</t>
  </si>
  <si>
    <t>185.59147870678152</t>
  </si>
  <si>
    <t>[0.04, -0.019]</t>
  </si>
  <si>
    <t>LINESTRING (8.629393830919668 58.37422286258397, 8.62627650679768 58.37400167366945, 8.625929236934898 58.373956652079215)</t>
  </si>
  <si>
    <t>[1232348, 1232349]</t>
  </si>
  <si>
    <t>[1153905, 1153906]</t>
  </si>
  <si>
    <t>0.03398052964642367</t>
  </si>
  <si>
    <t>[269231, 1153905]</t>
  </si>
  <si>
    <t>[0.04, 0.019]</t>
  </si>
  <si>
    <t>205.41426762722608</t>
  </si>
  <si>
    <t>[-0.027, -0.024, -0.043, -0.044, -0.044, -0.046, -0.021]</t>
  </si>
  <si>
    <t>LINESTRING (10.745864971021625 60.27518926282607, 10.74717904409182 60.275301845858706, 10.747392055685932 60.275316338323115, 10.74870420598249 60.275360769800756, 10.748911959274139 60.27536181977991, 10.749041259533058 60.27536195483868, 10.749865614243825 60.27534397108127, 10.751135924796511 60.27529589076481)</t>
  </si>
  <si>
    <t>[557756, 557761, 557772, 557773, 557780, 557781, 557789]</t>
  </si>
  <si>
    <t>[565462, 565469, 565482, 565483, 565490, 565491, 273005]</t>
  </si>
  <si>
    <t>[273000, 565462, 565469, 565482, 565483, 565490, 565491]</t>
  </si>
  <si>
    <t>[0.027, 0.024, 0.043, 0.044, 0.044, 0.046, 0.021]</t>
  </si>
  <si>
    <t>293.4323879032057</t>
  </si>
  <si>
    <t>[-0.026, -0.04, -0.038, -0.04, -0.044, -0.046, -0.02]</t>
  </si>
  <si>
    <t>LINESTRING (10.745864971021625 60.27518926282607, 10.747377697250483 60.27538374562206, 10.748699790773934 60.27543401674821, 10.748909226320592 60.275437170715115, 10.749039892448652 60.27543710678796, 10.749870997730971 60.27540550148474, 10.7501524793319 60.27538809738975, 10.751135924796511 60.27529589076481)</t>
  </si>
  <si>
    <t>[557790, 557791, 557792, 557794, 557795, 557796, 557804]</t>
  </si>
  <si>
    <t>[565502, 565503, 565504, 565506, 565507, 565508, 273005]</t>
  </si>
  <si>
    <t>[273000, 565502, 565503, 565504, 565506, 565507, 565508]</t>
  </si>
  <si>
    <t>[0.026, 0.04, 0.038, 0.04, 0.044, 0.046, 0.02]</t>
  </si>
  <si>
    <t>296.26944057759937</t>
  </si>
  <si>
    <t>[-0.044, -0.059, -0.004, -0.018, -0.023, -0.083, -0.001, -0.081, 0.05, 0.048, 0.055, 0.082, 0.006, -0.088, -0.023, -0.022, 0.006, -0.004, 0.024, -0.008, -0.004, -0.017, -0.047, -0.014, -0.075, -0.037, -0.045, -0.018]</t>
  </si>
  <si>
    <t>4381.0</t>
  </si>
  <si>
    <t>[0, 1, 0, 1, 0, 1, 0, 0, 1, 0, 0, 0, 0, 0, 0, 0, 1, 0, 1, 0, 0, 0, 1, 0, 1, 0, 1, 0]</t>
  </si>
  <si>
    <t>LINESTRING (10.751135924796511 60.27529589076481, 10.754915388310797 60.274952263386176, 10.755361172276082 60.27490710072418, 10.769350850505969 60.2749558663762, 10.76992911101747 60.274950037973646, 10.795799304161385 60.275637911575295, 10.796160281494592 60.275632362348745, 10.81064510589081 60.275744604279815, 10.816488250361655 60.27657094596768, 10.816868163630083 60.27662968433278, 10.81742415343233 60.27670941287912, 10.819219024637517 60.2769196057631, 10.819825015797653 60.27697251557101, 10.825392182391681 60.27714914443142, 10.82542824621008 60.27714758239365, 10.844155121904198 60.275793615194715, 10.847115075772498 60.27542413810054, 10.847842188757829 60.275333531370116, 10.885209561405226 60.26012475480164, 10.885704321858176 60.260099742011334, 10.898620660320436 60.258649409254076, 10.899358978897379 60.25853319996246, 10.917279200996632 60.255595783129294, 10.917713632823627 60.25554595878313, 10.934531942246933 60.256675589868635, 10.934884444991399 60.25678277679561, 10.962379529475294 60.25934132905679, 10.963125993399911 60.25931820976395, 10.971228868593004 60.25905754565382)</t>
  </si>
  <si>
    <t>[277688, 277696, 277704, 277712, 277720, 277728, 277736, 277744, 277752, 277760, 277768, 277776, 277784, 277792, 1504614, 1504622, 1504623, 1504638, 1504639, 1504641, 1504656, 1504664, 1504672, 1504680, 1504704, 1504705, 1504712, 1504713]</t>
  </si>
  <si>
    <t>[273006, 273013, 273019, 273026, 273034, 273040, 273048, 273055, 273061, 273068, 273071, 273075, 273078, 273084, 1360620, 1360626, 1360627, 1360640, 1360641, 287582, 287576, 1360665, 1360672, 1360680, 1360700, 1360701, 1360707, 1360708]</t>
  </si>
  <si>
    <t>[273005, 273006, 273013, 273019, 273026, 273034, 273040, 273048, 273055, 273061, 273068, 273071, 273075, 273078, 273084, 1360620, 1360626, 1360627, 1360640, 1360641, 287582, 287576, 1360665, 1360672, 1360680, 1360700, 1360701, 1360707]</t>
  </si>
  <si>
    <t>[0.044, 0.059, 0.004, 0.018, 0.023, 0.083, 0.001, 0.081, 0.05, 0.048, 0.055, 0.082, 0.006, 0.088, 0.023, 0.022, 0.006, 0.004, 0.024, 0.008, 0.004, 0.017, 0.047, 0.014, 0.075, 0.037, 0.045, 0.018]</t>
  </si>
  <si>
    <t>13123.391836461715</t>
  </si>
  <si>
    <t>[-0.002, 0.031, 0.026, -0.002]</t>
  </si>
  <si>
    <t>LINESTRING (10.819682941213927 59.91043864342352, 10.819584857425212 59.91057248380721, 10.818103499022396 59.91147293137127, 10.817712174200349 59.91194052620734, 10.817653264472948 59.91200123395211)</t>
  </si>
  <si>
    <t>[277941, 727404, 727412, 727420]</t>
  </si>
  <si>
    <t>[273190, 716647, 716651, 716655]</t>
  </si>
  <si>
    <t>0.02601449234751248</t>
  </si>
  <si>
    <t>[273189, 273190, 716647, 716651]</t>
  </si>
  <si>
    <t>[0.002, 0.031, 0.026, 0.002]</t>
  </si>
  <si>
    <t>211.70434686926558</t>
  </si>
  <si>
    <t>[-0.004, -0.013]</t>
  </si>
  <si>
    <t>LINESTRING (10.819809870083512 59.90970093711441, 10.819991168198435 59.91025823925888, 10.819682941213927 59.91043864342352)</t>
  </si>
  <si>
    <t>[754212, 277949]</t>
  </si>
  <si>
    <t>[273193, 273189]</t>
  </si>
  <si>
    <t>[719528, 273193]</t>
  </si>
  <si>
    <t>65.7051464197977</t>
  </si>
  <si>
    <t>[0.053, -0.002, -0.031, -0.013]</t>
  </si>
  <si>
    <t>LINESTRING (10.818654749510216 59.91007744194246, 10.81868463961935 59.9101386332471, 10.81859520714122 59.91046487407856, 10.819456879699564 59.91054619262715, 10.819682941213927 59.91043864342352)</t>
  </si>
  <si>
    <t>[751610, 727388, 727396, 752407]</t>
  </si>
  <si>
    <t>[716637, 716638, 716642, 273189]</t>
  </si>
  <si>
    <t>[733245, 716637, 716638, 716642]</t>
  </si>
  <si>
    <t>[0.053, 0.002, 0.031, 0.013]</t>
  </si>
  <si>
    <t>123.49715771492808</t>
  </si>
  <si>
    <t>12.323851427221296</t>
  </si>
  <si>
    <t>[0.019, -0.001, 0.036, 0.026, 0.175, -0.061, 0.185, -0.057, -0.034, -0.018]</t>
  </si>
  <si>
    <t>[0, 0, 0, 0, 0, 1, 0, 0, 0, 0]</t>
  </si>
  <si>
    <t>LINESTRING (10.524048209706539 63.42293001955765, 10.526886808222056 63.422486678728134, 10.528342717606382 63.42228255746447, 10.533417380377161 63.42178912420234, 10.533564898643506 63.42178697095351, 10.533563128959187 63.421870910895166, 10.533571941284595 63.4223935725398, 10.533580376786423 63.42248105070515, 10.533479821502196 63.42248239914421, 10.527915107137837 63.4226210192793, 10.524398347763698 63.42312392714793)</t>
  </si>
  <si>
    <t>[279864, 573036, 573039, 573047, 1588272, 1588280, 1588288, 573055, 573063, 279872]</t>
  </si>
  <si>
    <t>[274803, 580593, 580595, 580604, 1428851, 1428857, 580609, 580610, 274809, 274810]</t>
  </si>
  <si>
    <t>[274794, 274803, 580593, 580595, 580604, 1428851, 1428857, 580609, 580610, 274809]</t>
  </si>
  <si>
    <t>[0.019, 0.001, 0.036, 0.026, 0.175, 0.061, 0.185, 0.057, 0.034, 0.018]</t>
  </si>
  <si>
    <t>1039.5525522052835</t>
  </si>
  <si>
    <t>13.437349626547233</t>
  </si>
  <si>
    <t>[-0.018, 0.002, -0.018, 0.025]</t>
  </si>
  <si>
    <t>LINESTRING (10.51783272958815 63.42442664803934, 10.517884901043123 63.42441390052384, 10.518719571162057 63.424208056357976, 10.521383427651747 63.42353966805122, 10.524048209706539 63.42293001955765)</t>
  </si>
  <si>
    <t>[572988, 573002, 573003, 279856]</t>
  </si>
  <si>
    <t>[580545, 580559, 274793, 274794]</t>
  </si>
  <si>
    <t>0.0029379466467276652</t>
  </si>
  <si>
    <t>[580544, 580545, 580559, 274793]</t>
  </si>
  <si>
    <t>[0.018, 0.002, 0.018, 0.025]</t>
  </si>
  <si>
    <t>352.62625035330836</t>
  </si>
  <si>
    <t>[-0.027, 0.015, 0.016]</t>
  </si>
  <si>
    <t>LINESTRING (10.524398347763698 63.42312392714793, 10.521129674911407 63.42389177676059, 10.518829685794252 63.42490482086923, 10.518775413939794 63.42493098967722)</t>
  </si>
  <si>
    <t>[279880, 572978, 572987]</t>
  </si>
  <si>
    <t>[274819, 580534, 580543]</t>
  </si>
  <si>
    <t>[274810, 274819, 580534]</t>
  </si>
  <si>
    <t>[0.027, 0.015, 0.016]</t>
  </si>
  <si>
    <t>349.72811761630135</t>
  </si>
  <si>
    <t>[-0.009, -0.006]</t>
  </si>
  <si>
    <t>LINESTRING (10.524398347763698 63.42312392714793, 10.524151823013995 63.42312360436346, 10.524137316342737 63.42312358096814)</t>
  </si>
  <si>
    <t>[279888, 279896]</t>
  </si>
  <si>
    <t>[274824, 274832]</t>
  </si>
  <si>
    <t>[274810, 274824]</t>
  </si>
  <si>
    <t>[0.009, 0.006]</t>
  </si>
  <si>
    <t>13.038192707017359</t>
  </si>
  <si>
    <t>0.044</t>
  </si>
  <si>
    <t>13.017026542259783</t>
  </si>
  <si>
    <t>[0.027, 0.03]</t>
  </si>
  <si>
    <t>LINESTRING (10.524137316342737 63.42312358096814, 10.524433878731285 63.42307006014649, 10.524585526044294 63.42304269027419)</t>
  </si>
  <si>
    <t>[627872, 627880]</t>
  </si>
  <si>
    <t>[624089, 274838]</t>
  </si>
  <si>
    <t>0.02801502782824376</t>
  </si>
  <si>
    <t>[274832, 624089]</t>
  </si>
  <si>
    <t>24.13573717639433</t>
  </si>
  <si>
    <t>[0.011, -0.039, -0.035, 0.01, 0.007, 0.002, 0.003, 0.037, 0.026, 0.114]</t>
  </si>
  <si>
    <t>LINESTRING (10.514221982986767 63.42626168626555, 10.515851018856997 63.42570779185971, 10.518166440180925 63.42483364299267, 10.520213149799176 63.42410298629621, 10.52131749607235 63.42378290696367, 10.521677519994457 63.42368300130592, 10.521881130824339 63.4236310103674, 10.522149284541872 63.42356298092656, 10.523993381080134 63.42315103941517, 10.524126267946864 63.42312557217254, 10.524137316342737 63.42312358096814)</t>
  </si>
  <si>
    <t>[627791, 627799, 627807, 627815, 627823, 627831, 627839, 627847, 627856, 627864]</t>
  </si>
  <si>
    <t>[624034, 624040, 624044, 624051, 624055, 624061, 624065, 624069, 624078, 274832]</t>
  </si>
  <si>
    <t>[624026, 624034, 624040, 624044, 624051, 624055, 624061, 624065, 624069, 624078]</t>
  </si>
  <si>
    <t>[0.011, 0.039, 0.035, 0.01, 0.007, 0.002, 0.003, 0.037, 0.026, 0.114]</t>
  </si>
  <si>
    <t>608.8792180056507</t>
  </si>
  <si>
    <t>[0.0, 0.023, 0.018, 0.017, 0.013, 0.02, 0.035]</t>
  </si>
  <si>
    <t>LINESTRING (10.524585526044294 63.42304269027419, 10.52458998671913 63.42304188608334, 10.525275528937334 63.4229195416393, 10.525737726839964 63.422848886495714, 10.5263327341156 63.42276324201014, 10.526506670655973 63.42273923928392, 10.526564310238138 63.42273191102618, 10.53622477855615 63.42226268445889)</t>
  </si>
  <si>
    <t>[627888, 627896, 627904, 627912, 627920, 627928, 627936]</t>
  </si>
  <si>
    <t>[624097, 624103, 624108, 624113, 624118, 624121, 623104]</t>
  </si>
  <si>
    <t>0.032181124593670625</t>
  </si>
  <si>
    <t>[274838, 624097, 624103, 624108, 624113, 624118, 624121]</t>
  </si>
  <si>
    <t>593.2081229506597</t>
  </si>
  <si>
    <t>[-4.074, -0.033, -0.025, -0.006, 0.01, 0.062, 0.068, 0.044, 0.039, 0.034, 0.047, 0.077, 0.027, 0.03, 0.017, 0.002, 0.033, 0.066, 0.052, 0.03, 0.05, 0.076, -0.219]</t>
  </si>
  <si>
    <t>LINESTRING (10.524294812840129 63.4229335548837, 10.524306415762462 63.42293148215596, 10.52446702450775 63.42290275707145, 10.525162588564543 63.42277996327743, 10.5257010694351 63.42269914849874, 10.526295764852248 63.422615481515734, 10.526483698091733 63.4225889774876, 10.5265416341523 63.42258167652206, 10.53625127823934 63.422122253681266, 10.53923775030045 63.42238610663705, 10.539698643830096 63.422449693608314, 10.540381754530427 63.42254993894085, 10.54214842586775 63.42281839477265, 10.548284471838306 63.422971836383624, 10.549757843728418 63.422824840623065, 10.553114237782095 63.42257481344232, 10.562745956565673 63.424253915882396, 10.574492639343418 63.424734235301216, 10.574583100951298 63.424689119044615, 10.575016371074087 63.4245581597969, 10.575130285163182 63.42453660708939, 10.576167637279958 63.4242070272286, 10.579981755758151 63.42332658987217, 10.580117819088045 63.42332947305999)</t>
  </si>
  <si>
    <t>[624861, 624869, 624877, 624885, 624893, 624901, 624925, 624933, 624941, 624949, 624957, 624965, 1713868, 1713876, 1713884, 1713892, 1713900, 1713908, 1713916, 1713924, 1713932, 1713940, 1713948]</t>
  </si>
  <si>
    <t>[621730, 621738, 621748, 621756, 621765, 621770, 621791, 621799, 621807, 621815, 621821, 621827, 1528774, 1528780, 1528783, 1528788, 1528793, 1528799, 1528806, 1528813, 1528816, 1528822, 579009]</t>
  </si>
  <si>
    <t>0.030400730941197735</t>
  </si>
  <si>
    <t>[274845, 621730, 621738, 621748, 621756, 621765, 621770, 621791, 621799, 621807, 621815, 621821, 621827, 1528774, 1528780, 1528783, 1528788, 1528793, 1528799, 1528806, 1528813, 1528816, 1528822]</t>
  </si>
  <si>
    <t>[4.074, 0.033, 0.025, 0.006, 0.01, 0.062, 0.068, 0.044, 0.039, 0.034, 0.047, 0.077, 0.027, 0.03, 0.017, 0.002, 0.033, 0.066, 0.052, 0.03, 0.05, 0.076, 0.219]</t>
  </si>
  <si>
    <t>2979.920395611496</t>
  </si>
  <si>
    <t>[-0.182, 0.128]</t>
  </si>
  <si>
    <t>LINESTRING (10.523861773087265 63.42301690751249, 10.52399761565598 63.42299075986253, 10.524294812840129 63.4229335548837)</t>
  </si>
  <si>
    <t>[624845, 624853]</t>
  </si>
  <si>
    <t>[621713, 274845]</t>
  </si>
  <si>
    <t>0.03075432801182679</t>
  </si>
  <si>
    <t>[274851, 621713]</t>
  </si>
  <si>
    <t>[0.182, 0.128]</t>
  </si>
  <si>
    <t>23.541689510363955</t>
  </si>
  <si>
    <t>[-0.027, -0.017, 0.016, 0.057, 0.045, 0.064, 0.05, 0.013]</t>
  </si>
  <si>
    <t>LINESTRING (10.51416095725496 63.42609129836113, 10.51564260184759 63.425595460968296, 10.520102627402142 63.42396000874493, 10.521144287395419 63.4236576628585, 10.521198227506979 63.42364346816825, 10.521558006158518 63.42354589286738, 10.521722590424577 63.42350128208994, 10.521773604242291 63.4234893690556, 10.523861773087265 63.42301690751249)</t>
  </si>
  <si>
    <t>[624773, 624781, 624789, 624797, 624805, 624813, 624821, 624829]</t>
  </si>
  <si>
    <t>[621645, 621652, 621658, 621665, 621674, 621681, 621690, 274851]</t>
  </si>
  <si>
    <t>[621637, 621645, 621652, 621658, 621665, 621674, 621681, 621690]</t>
  </si>
  <si>
    <t>[0.027, 0.017, 0.016, 0.057, 0.045, 0.064, 0.05, 0.013]</t>
  </si>
  <si>
    <t>595.8558596437879</t>
  </si>
  <si>
    <t>[0.004, 0.008, 0.001, 0.001, 0.007]</t>
  </si>
  <si>
    <t>LINESTRING (10.748750106249586 59.90647755758081, 10.748437107216017 59.90658542667121, 10.745499447323823 59.906950346522976, 10.74581856150159 59.90763074410476, 10.746754158434166 59.908437455094884, 10.746766853522622 59.90848341743973)</t>
  </si>
  <si>
    <t>[282925, 282933, 282941, 282949, 282957]</t>
  </si>
  <si>
    <t>[1, 1, 1, 0, 0]</t>
  </si>
  <si>
    <t>[277300, 277309, 277318, 277328, 277335]</t>
  </si>
  <si>
    <t>0.004384700158558673</t>
  </si>
  <si>
    <t>[277299, 277300, 277309, 277318, 277328]</t>
  </si>
  <si>
    <t>387.82323764549386</t>
  </si>
  <si>
    <t>[0.009, 0.014]</t>
  </si>
  <si>
    <t>LINESTRING (10.748750106249586 59.90647755758081, 10.743332068922975 59.9066159590468, 10.741085801172542 59.90668696501067)</t>
  </si>
  <si>
    <t>[1928954, 2025373]</t>
  </si>
  <si>
    <t>[1692603, 794419]</t>
  </si>
  <si>
    <t>0.010460918403233115</t>
  </si>
  <si>
    <t>[277299, 1692603]</t>
  </si>
  <si>
    <t>431.48949782462427</t>
  </si>
  <si>
    <t>[-0.005, 0.0, 0.003]</t>
  </si>
  <si>
    <t>45791.0</t>
  </si>
  <si>
    <t>LINESTRING (10.75801874280059 59.90387570020286, 10.75192174177245 59.9058769750422, 10.751902293166147 59.90588080713447, 10.748750106249586 59.90647755758081)</t>
  </si>
  <si>
    <t>[1928930, 1928938, 1928946]</t>
  </si>
  <si>
    <t>[1692585, 1692591, 277299]</t>
  </si>
  <si>
    <t>[1692454, 1692585, 1692591]</t>
  </si>
  <si>
    <t>[0.005, 0.0, 0.003]</t>
  </si>
  <si>
    <t>604.9420749417873</t>
  </si>
  <si>
    <t>[-0.001, -0.001, 0.004, 0.01, 0.025]</t>
  </si>
  <si>
    <t>LINESTRING (10.746766853522622 59.90848341743973, 10.746696542355803 59.90845522203579, 10.74569443697739 59.907668902975765, 10.74433235008713 59.9067331816939, 10.741653077109168 59.906707236884706, 10.741085801172542 59.90668696501067)</t>
  </si>
  <si>
    <t>[282965, 282973, 282981, 282989, 816419]</t>
  </si>
  <si>
    <t>[277342, 277347, 277352, 277356, 794419]</t>
  </si>
  <si>
    <t>0.006429668929100731</t>
  </si>
  <si>
    <t>[277335, 277342, 277347, 277352, 277356]</t>
  </si>
  <si>
    <t>[0.001, 0.001, 0.004, 0.01, 0.025]</t>
  </si>
  <si>
    <t>422.61239493116847</t>
  </si>
  <si>
    <t>[0.038, 0.008, 0.009, -0.003]</t>
  </si>
  <si>
    <t>LINESTRING (10.746766853522622 59.90848341743973, 10.74662189539067 59.90851746011869, 10.746525403142716 59.908540174873835, 10.746102420725931 59.90863945802456, 10.745871589754262 59.90869366220797)</t>
  </si>
  <si>
    <t>[2138866, 2138874, 2138882, 2138890]</t>
  </si>
  <si>
    <t>[1837800, 796276, 1837804, 523187]</t>
  </si>
  <si>
    <t>0.010493801579237442</t>
  </si>
  <si>
    <t>[277335, 1837800, 796276, 1837804]</t>
  </si>
  <si>
    <t>[0.038, 0.008, 0.009, 0.003]</t>
  </si>
  <si>
    <t>55.31555235631252</t>
  </si>
  <si>
    <t>[0.008, 0.008, 0.024, 0.004, -0.007]</t>
  </si>
  <si>
    <t>LINESTRING (10.74857807429188 59.90803736795421, 10.748469227750544 59.90806123156655, 10.748188495744223 59.90812476155517, 10.747645220106271 59.9082592142092, 10.747092956008549 59.90839587395351, 10.746766853522622 59.90848341743973)</t>
  </si>
  <si>
    <t>[761404, 761412, 2138842, 2138850, 2138858]</t>
  </si>
  <si>
    <t>[740723, 740731, 1837792, 1837796, 277335]</t>
  </si>
  <si>
    <t>0.008833297010046825</t>
  </si>
  <si>
    <t>[740687, 740723, 740731, 1837792, 1837796]</t>
  </si>
  <si>
    <t>[0.008, 0.008, 0.024, 0.004, 0.007]</t>
  </si>
  <si>
    <t>112.93547715249446</t>
  </si>
  <si>
    <t>64.04475036134785</t>
  </si>
  <si>
    <t>[0.042, 0.049, -0.029, -0.012, -0.008, -0.044, -0.082, 0.025]</t>
  </si>
  <si>
    <t>LINESTRING (10.841278305416203 63.52646985972163, 10.840921157037862 63.52667129731588, 10.837394645119165 63.52842265454366, 10.838291298125412 63.5325394198161, 10.839884505558839 63.53326593344043, 10.840050831042264 63.53333515394909, 10.85761587152327 63.54156614769787, 10.85947453016199 63.54211485005626, 10.860339150761908 63.542312197486)</t>
  </si>
  <si>
    <t>[283005, 283013, 283021, 283029, 283157, 1125790, 1125798, 1125806]</t>
  </si>
  <si>
    <t>[277367, 277374, 277379, 277383, 277477, 1064262, 1064267, 628008]</t>
  </si>
  <si>
    <t>[277366, 277367, 277374, 277379, 277383, 277477, 1064262, 1064267]</t>
  </si>
  <si>
    <t>[0.042, 0.049, 0.029, 0.012, 0.008, 0.044, 0.082, 0.025]</t>
  </si>
  <si>
    <t>2386.2788084628373</t>
  </si>
  <si>
    <t>[0.044, 0.074, 0.054, 0.052, 0.046, 0.087, 0.022, 0.037, 0.023, 0.008, 0.019, 0.015, 0.041, 0.053, 0.009, 0.014, -0.015, -0.002, -0.014, -0.033, -0.04, 0.007, 9.956]</t>
  </si>
  <si>
    <t>LINESTRING (10.855482895963714 63.50681778458239, 10.852626628782822 63.50926188116169, 10.852691619544172 63.509566131313434, 10.852972096918156 63.50999142360055, 10.85333642706442 63.51028593992701, 10.854020887830012 63.510639745526255, 10.857173852066655 63.511655911283924, 10.85882068185862 63.51283413870723, 10.85889051054121 63.512932159829106, 10.858653302769289 63.51539358852885, 10.858649348109452 63.51540239095564, 10.858301168606754 63.51621374553284, 10.857758016621254 63.517480410437685, 10.857495985242183 63.5179056091133, 10.857008310671505 63.51840653185939, 10.854577634930864 63.51983962203901, 10.851413604575166 63.52141368703431, 10.847951103136527 63.523143491430176, 10.845456263183848 63.52438920612492, 10.845002939886532 63.524614162592044, 10.844151912837384 63.52503943904155, 10.842742501449157 63.525737936555146, 10.841291693090291 63.5264632553171, 10.841278305416203 63.52646985972163)</t>
  </si>
  <si>
    <t>[632450, 632458, 632466, 632474, 632482, 632490, 632498, 632506, 632514, 632522, 632530, 632538, 632550, 632558, 632566, 632574, 632582, 632590, 632598, 632606, 632614, 632622, 632630]</t>
  </si>
  <si>
    <t>[627829, 627838, 627844, 505512, 627856, 627863, 627872, 578292, 627887, 627895, 559399, 560203, 627921, 627928, 532741, 536386, 560621, 627961, 627968, 627975, 559674, 627992, 277366]</t>
  </si>
  <si>
    <t>0.02412893039450599</t>
  </si>
  <si>
    <t>[627828, 627829, 627838, 627844, 505512, 627856, 627863, 627872, 578292, 627887, 627895, 559399, 560203, 627921, 627928, 532741, 536386, 560621, 627961, 627968, 627975, 559674, 627992]</t>
  </si>
  <si>
    <t>[0.044, 0.074, 0.054, 0.052, 0.046, 0.087, 0.022, 0.037, 0.023, 0.008, 0.019, 0.015, 0.041, 0.053, 0.009, 0.014, 0.015, 0.002, 0.014, 0.033, 0.04, 0.007, 9.956]</t>
  </si>
  <si>
    <t>2665.917876919321</t>
  </si>
  <si>
    <t>[0.05, -0.03]</t>
  </si>
  <si>
    <t>LINESTRING (10.8403557844057 63.526867465384136, 10.837170398159943 63.52844943740501, 10.838192432229103 63.532586137620605)</t>
  </si>
  <si>
    <t>[2119424, 2119432]</t>
  </si>
  <si>
    <t>[1826840, 315960]</t>
  </si>
  <si>
    <t>[277388, 1826840]</t>
  </si>
  <si>
    <t>[0.05, 0.03]</t>
  </si>
  <si>
    <t>765.2665194552225</t>
  </si>
  <si>
    <t>[0.0, -0.03, -0.011]</t>
  </si>
  <si>
    <t>LINESTRING (10.836211476257922 63.52792677016583, 10.836211476257922 63.52792677016583, 10.840222113873539 63.526892300451856, 10.8403557844057 63.526867465384136)</t>
  </si>
  <si>
    <t>[2119464, 2119472, 283085]</t>
  </si>
  <si>
    <t>[1826857, 277424, 277388]</t>
  </si>
  <si>
    <t>[277450, 1826857, 277424]</t>
  </si>
  <si>
    <t>[0.0, 0.03, 0.011]</t>
  </si>
  <si>
    <t>258.8696149655798</t>
  </si>
  <si>
    <t>[0.006, -0.04]</t>
  </si>
  <si>
    <t>LINESTRING (10.838192432229103 63.532586137620605, 10.838047129410585 63.5325548209333, 10.835965231047288 63.531975539564996)</t>
  </si>
  <si>
    <t>[326088, 2119664]</t>
  </si>
  <si>
    <t>[315961, 277472]</t>
  </si>
  <si>
    <t>[315960, 315961]</t>
  </si>
  <si>
    <t>[0.006, 0.04]</t>
  </si>
  <si>
    <t>142.4287514505329</t>
  </si>
  <si>
    <t>[0.0, -0.031, -0.042]</t>
  </si>
  <si>
    <t>LINESTRING (10.83297183871424 63.52939777254961, 10.83297183871424 63.52939777254961, 10.834758625358642 63.53015038984245, 10.835965231047288 63.531975539564996)</t>
  </si>
  <si>
    <t>[2119640, 2119648, 283149]</t>
  </si>
  <si>
    <t>[1826935, 277391, 277472]</t>
  </si>
  <si>
    <t>[643519, 1826935, 277391]</t>
  </si>
  <si>
    <t>[0.0, 0.031, 0.042]</t>
  </si>
  <si>
    <t>341.77812594294284</t>
  </si>
  <si>
    <t>[-0.023, -0.021, -0.014, -0.008]</t>
  </si>
  <si>
    <t>LINESTRING (9.987294665729271 59.75477214933291, 9.987153430888238 59.75489693035303, 9.98700084673972 59.7549298718438, 9.986835139307237 59.75492434572581, 9.986692693350015 59.75488147327441)</t>
  </si>
  <si>
    <t>[284539, 284547, 284555, 284563]</t>
  </si>
  <si>
    <t>[278660, 278669, 278675, 278681]</t>
  </si>
  <si>
    <t>[278659, 278660, 278669, 278675]</t>
  </si>
  <si>
    <t>[0.023, 0.021, 0.014, 0.008]</t>
  </si>
  <si>
    <t>44.36535057192873</t>
  </si>
  <si>
    <t>[-0.011, -0.015]</t>
  </si>
  <si>
    <t>LINESTRING (9.987133386148868 59.75460179520251, 9.987267323349272 59.75468113797361, 9.987294665729271 59.75477214933291)</t>
  </si>
  <si>
    <t>[284595, 284603]</t>
  </si>
  <si>
    <t>[278709, 278659]</t>
  </si>
  <si>
    <t>[278701, 278709]</t>
  </si>
  <si>
    <t>[0.011, 0.015]</t>
  </si>
  <si>
    <t>21.878961416270577</t>
  </si>
  <si>
    <t>[-0.029, -0.025]</t>
  </si>
  <si>
    <t>LINESTRING (9.988049466434681 59.754556846224546, 9.98734714359147 59.754749334047006, 9.987294665729271 59.75477214933291)</t>
  </si>
  <si>
    <t>[284715, 284723]</t>
  </si>
  <si>
    <t>[278809, 278659]</t>
  </si>
  <si>
    <t>[278721, 278809]</t>
  </si>
  <si>
    <t>[0.029, 0.025]</t>
  </si>
  <si>
    <t>49.717682617044424</t>
  </si>
  <si>
    <t>[0.005, 0.015]</t>
  </si>
  <si>
    <t>LINESTRING (9.986692693350015 59.75488147327441, 9.986592793799218 59.75479038634518, 9.98659680581244 59.75470669140179)</t>
  </si>
  <si>
    <t>[284571, 284579]</t>
  </si>
  <si>
    <t>[278690, 278697]</t>
  </si>
  <si>
    <t>0.009457358039569123</t>
  </si>
  <si>
    <t>[278681, 278690]</t>
  </si>
  <si>
    <t>20.936959173683988</t>
  </si>
  <si>
    <t>[-0.016, 0.025]</t>
  </si>
  <si>
    <t>LINESTRING (9.986692693350015 59.75488147327441, 9.986629392333667 59.754880897141355, 9.985780608427588 59.75484443577662)</t>
  </si>
  <si>
    <t>[284667, 284675]</t>
  </si>
  <si>
    <t>[278772, 278735]</t>
  </si>
  <si>
    <t>0.02220243281715005</t>
  </si>
  <si>
    <t>[278681, 278772]</t>
  </si>
  <si>
    <t>[0.016, 0.025]</t>
  </si>
  <si>
    <t>52.18717821125735</t>
  </si>
  <si>
    <t>37.34095693782713</t>
  </si>
  <si>
    <t>[0.005, 0.021]</t>
  </si>
  <si>
    <t>LINESTRING (9.98659680581244 59.75470669140179, 9.986531335357933 59.754719374223804, 9.985780608427588 59.75484443577662)</t>
  </si>
  <si>
    <t>[284651, 284659]</t>
  </si>
  <si>
    <t>[278757, 278735]</t>
  </si>
  <si>
    <t>0.019714251809216994</t>
  </si>
  <si>
    <t>[278697, 278757]</t>
  </si>
  <si>
    <t>49.085010235821365</t>
  </si>
  <si>
    <t>[-0.022, -0.019]</t>
  </si>
  <si>
    <t>LINESTRING (9.988049466434681 59.754556846224546, 9.987209233256543 59.75459873033676, 9.987133386148868 59.75460179520251)</t>
  </si>
  <si>
    <t>[284731, 284739]</t>
  </si>
  <si>
    <t>[278822, 278701]</t>
  </si>
  <si>
    <t>[278721, 278822]</t>
  </si>
  <si>
    <t>[0.022, 0.019]</t>
  </si>
  <si>
    <t>52.43840478050405</t>
  </si>
  <si>
    <t>[-0.009, -0.009, -0.0, 0.013, -0.033]</t>
  </si>
  <si>
    <t>[1, 0, 0, 0, 0]</t>
  </si>
  <si>
    <t>LINESTRING (10.002318410073231 59.75266530859667, 10.002141204215134 59.75266865670818, 10.001279114620464 59.75266315841414, 9.993472672159518 59.75345773426111, 9.988858793761255 59.754382200429596, 9.988049466434681 59.754556846224546)</t>
  </si>
  <si>
    <t>[1125700, 1125708, 2094704, 2094705, 284611]</t>
  </si>
  <si>
    <t>[1064183, 1064191, 1812328, 278720, 278721]</t>
  </si>
  <si>
    <t>0.0017653957645784228</t>
  </si>
  <si>
    <t>[1064174, 1064183, 1064191, 1812328, 278720]</t>
  </si>
  <si>
    <t>[0.009, 0.009, 0.0, 0.013, 0.033]</t>
  </si>
  <si>
    <t>838.2097171757816</t>
  </si>
  <si>
    <t>145.25305671245422</t>
  </si>
  <si>
    <t>[-0.069, -0.004, -0.078, -0.083]</t>
  </si>
  <si>
    <t>LINESTRING (8.697827339642757 58.42790000244936, 8.69804405600996 58.4276786991993, 8.698587893806764 58.42526198320005, 8.698659755407174 58.42521797707288, 8.698710827455441 58.4251902367845)</t>
  </si>
  <si>
    <t>[1092795, 285652, 285660, 285668]</t>
  </si>
  <si>
    <t>[279633, 279634, 279640, 271987]</t>
  </si>
  <si>
    <t>[1036367, 279633, 279634, 279640]</t>
  </si>
  <si>
    <t>[0.069, 0.004, 0.078, 0.083]</t>
  </si>
  <si>
    <t>330.88246504448745</t>
  </si>
  <si>
    <t>0.079</t>
  </si>
  <si>
    <t>20.65187642796544</t>
  </si>
  <si>
    <t>[0.071, 0.073]</t>
  </si>
  <si>
    <t>LINESTRING (10.413846581607592 61.19223662562265, 10.413923710712075 61.19227216578748, 10.414235860770452 61.19242969252578)</t>
  </si>
  <si>
    <t>[298248, 298256]</t>
  </si>
  <si>
    <t>[290557, 280386]</t>
  </si>
  <si>
    <t>0.0726179698229879</t>
  </si>
  <si>
    <t>[281197, 290557]</t>
  </si>
  <si>
    <t>30.0341127826589</t>
  </si>
  <si>
    <t>[0.092, 0.099]</t>
  </si>
  <si>
    <t>LINESTRING (10.413718095847864 61.192338385628574, 10.413823675600334 61.192359233995774, 10.414235860770452 61.19242969252578)</t>
  </si>
  <si>
    <t>[341283, 341291]</t>
  </si>
  <si>
    <t>[330005, 280386]</t>
  </si>
  <si>
    <t>0.09755168922880858</t>
  </si>
  <si>
    <t>[281215, 330005]</t>
  </si>
  <si>
    <t>29.661795080757955</t>
  </si>
  <si>
    <t>0.092</t>
  </si>
  <si>
    <t>LINESTRING (10.414554344346294 61.19253312394846, 10.414952077031304 61.19259139898411, 10.41504586506579 61.19261274575843)</t>
  </si>
  <si>
    <t>[298264, 298272]</t>
  </si>
  <si>
    <t>[290571, 281262]</t>
  </si>
  <si>
    <t>[280387, 290571]</t>
  </si>
  <si>
    <t>28.13493003767965</t>
  </si>
  <si>
    <t>[0.063, 0.072]</t>
  </si>
  <si>
    <t>LINESTRING (10.414554344346294 61.19253312394846, 10.41483085603174 61.19266759618123, 10.41490687758689 61.192697063801084)</t>
  </si>
  <si>
    <t>[341299, 341307]</t>
  </si>
  <si>
    <t>[330017, 281311]</t>
  </si>
  <si>
    <t>0.06478284587906893</t>
  </si>
  <si>
    <t>[280387, 330017]</t>
  </si>
  <si>
    <t>26.480302173559306</t>
  </si>
  <si>
    <t>[-0.012, -0.023, -0.022, -0.033]</t>
  </si>
  <si>
    <t>LINESTRING (6.333042388302799 62.465385768126744, 6.331124746074383 62.46559669470177, 6.330956113270198 62.46561093367552, 6.330008782953869 62.4656767074323, 6.328743361659173 62.465723256464656)</t>
  </si>
  <si>
    <t>[287313, 287321, 287329, 287337]</t>
  </si>
  <si>
    <t>[281013, 281020, 281028, 281034]</t>
  </si>
  <si>
    <t>[281012, 281013, 281020, 281028]</t>
  </si>
  <si>
    <t>[0.012, 0.023, 0.022, 0.033]</t>
  </si>
  <si>
    <t>226.2745076675863</t>
  </si>
  <si>
    <t>[-0.021, -0.025, -0.019, -0.016, -0.022]</t>
  </si>
  <si>
    <t>LINESTRING (6.333042388302799 62.465385768126744, 6.331099337038246 62.465529117448355, 6.330930943065217 62.465542205730976, 6.329990816975609 62.465618269958455, 6.329887348536148 62.465626575312406, 6.328743361659173 62.465723256464656)</t>
  </si>
  <si>
    <t>[287345, 287353, 287361, 287369, 287377]</t>
  </si>
  <si>
    <t>[281040, 281047, 281052, 281059, 281034]</t>
  </si>
  <si>
    <t>[281012, 281040, 281047, 281052, 281059]</t>
  </si>
  <si>
    <t>[0.021, 0.025, 0.019, 0.016, 0.022]</t>
  </si>
  <si>
    <t>225.70747167548484</t>
  </si>
  <si>
    <t>[0.038, 0.01, -0.016, -0.005, -0.002, 0.015, 0.01, 0.159]</t>
  </si>
  <si>
    <t>17516.0</t>
  </si>
  <si>
    <t>LINESTRING (6.346129255504305 62.46532642386009, 6.343168746338346 62.46496482260765, 6.338678150624025 62.46493674549521, 6.337620486372814 62.465021032534274, 6.33667890773317 62.46509546864294, 6.336258195949165 62.465128778176165, 6.33589523275269 62.46515828077468, 6.33429926082183 62.46528583307644, 6.333042388302799 62.465385768126744)</t>
  </si>
  <si>
    <t>[988096, 988104, 988109, 988110, 988111, 988119, 988120, 988128]</t>
  </si>
  <si>
    <t>[947483, 296286, 947489, 947490, 947491, 947496, 947497, 281012]</t>
  </si>
  <si>
    <t>0.027296646562145727</t>
  </si>
  <si>
    <t>[947482, 947483, 296286, 947489, 947490, 947491, 947496, 947497]</t>
  </si>
  <si>
    <t>[0.038, 0.01, 0.016, 0.005, 0.002, 0.015, 0.01, 0.159]</t>
  </si>
  <si>
    <t>688.2100318653446</t>
  </si>
  <si>
    <t>[-0.088, -0.011, 0.023, -0.007, -0.005, -0.021, -0.027, -0.007, 0.028, -0.027]</t>
  </si>
  <si>
    <t>LINESTRING (6.328743361659173 62.465723256464656, 6.327099886055956 62.46575620523124, 6.3264955002752785 62.46576047337168, 6.326177674393764 62.46576574317881, 6.324417558755648 62.46578363011298, 6.324276572069163 62.46578506344635, 6.3232976154287215 62.46579533781933, 6.3201587597911795 62.46583210212293, 6.317620673702507 62.46591669524452, 6.314616340596101 62.46600325092346, 6.314325329269919 62.46598575138294)</t>
  </si>
  <si>
    <t>[988134, 988135, 988141, 988142, 988143, 988151, 988159, 988167, 988170, 988172]</t>
  </si>
  <si>
    <t>[947507, 947508, 629844, 947513, 947514, 947518, 947524, 947529, 947531, 947533]</t>
  </si>
  <si>
    <t>[281034, 947507, 947508, 629844, 947513, 947514, 947518, 947524, 947529, 947531]</t>
  </si>
  <si>
    <t>[0.088, 0.011, 0.023, 0.007, 0.005, 0.021, 0.027, 0.007, 0.028, 0.027]</t>
  </si>
  <si>
    <t>747.0325401986657</t>
  </si>
  <si>
    <t>[-0.03, -0.076]</t>
  </si>
  <si>
    <t>LINESTRING (10.413846581607592 61.19223662562265, 10.413809515134663 61.19229921927243, 10.413718095847864 61.192338385628574)</t>
  </si>
  <si>
    <t>[287527, 287535]</t>
  </si>
  <si>
    <t>[281208, 281215]</t>
  </si>
  <si>
    <t>[281197, 281208]</t>
  </si>
  <si>
    <t>[0.03, 0.076]</t>
  </si>
  <si>
    <t>13.833194241366353</t>
  </si>
  <si>
    <t>[0.117, 0.097]</t>
  </si>
  <si>
    <t>LINESTRING (10.41504586506579 61.19261274575843, 10.415158812826034 61.19260488514346, 10.415309747677433 61.19264327812038)</t>
  </si>
  <si>
    <t>[287583, 287591]</t>
  </si>
  <si>
    <t>[281263, 281271]</t>
  </si>
  <si>
    <t>0.10501569260489521</t>
  </si>
  <si>
    <t>[281262, 281263]</t>
  </si>
  <si>
    <t>15.317998066641557</t>
  </si>
  <si>
    <t>[0.041, 0.09]</t>
  </si>
  <si>
    <t>LINESTRING (10.41490687758689 61.192697063801084, 10.414940945515186 61.192655052323786, 10.41504586506579 61.19261274575843)</t>
  </si>
  <si>
    <t>[287639, 287647]</t>
  </si>
  <si>
    <t>[281319, 281262]</t>
  </si>
  <si>
    <t>0.07010229409957383</t>
  </si>
  <si>
    <t>[281311, 281319]</t>
  </si>
  <si>
    <t>12.38418660408983</t>
  </si>
  <si>
    <t>[-0.014, -0.011, -0.081, -0.062]</t>
  </si>
  <si>
    <t>LINESTRING (19.016285163490988 69.5476470714101, 19.013325613850462 69.54715226634647, 19.012996910593806 69.54709676186656, 19.009951879398404 69.5465839225372, 19.009864112982193 69.54656921880759)</t>
  </si>
  <si>
    <t>[287824, 287832, 287840, 287848]</t>
  </si>
  <si>
    <t>[281482, 281489, 281496, 281503]</t>
  </si>
  <si>
    <t>[281481, 281482, 281489, 281496]</t>
  </si>
  <si>
    <t>[0.014, 0.011, 0.081, 0.062]</t>
  </si>
  <si>
    <t>278.30750818124636</t>
  </si>
  <si>
    <t>[-0.029, -0.083, -0.133]</t>
  </si>
  <si>
    <t>LINESTRING (19.016285163490988 69.5476470714101, 19.01310357982757 69.54703952320364, 19.010068457657063 69.54652183129282, 19.009963721921544 69.54650349246138)</t>
  </si>
  <si>
    <t>[287896, 287904, 287912]</t>
  </si>
  <si>
    <t>[281543, 281551, 281560]</t>
  </si>
  <si>
    <t>[281481, 281543, 281551]</t>
  </si>
  <si>
    <t>[0.029, 0.083, 0.133]</t>
  </si>
  <si>
    <t>278.48573901213996</t>
  </si>
  <si>
    <t>[0.043, 0.055, 0.009, 0.055, 0.052, 0.044, 0.015]</t>
  </si>
  <si>
    <t>LINESTRING (19.128135630747163 69.56364176102802, 19.12757509584494 69.56361250747058, 19.126054718377862 69.56348699926936, 19.075644949895878 69.55832622030717, 19.074962227515037 69.55828016563261, 19.073020375578324 69.5581394794679, 19.07195340634008 69.5580439642042, 19.016285163490988 69.5476470714101)</t>
  </si>
  <si>
    <t>[1104210, 1104217, 1104222, 1104224, 1104230, 1104232, 1104240]</t>
  </si>
  <si>
    <t>[1045655, 1045660, 920403, 1045663, 1045665, 914127, 281481]</t>
  </si>
  <si>
    <t>0.01414964071010431</t>
  </si>
  <si>
    <t>[1045654, 1045655, 1045660, 920403, 1045663, 1045665, 914127]</t>
  </si>
  <si>
    <t>4764.739616300947</t>
  </si>
  <si>
    <t>0.355</t>
  </si>
  <si>
    <t>8.297583081632432</t>
  </si>
  <si>
    <t>[-0.132, -0.125]</t>
  </si>
  <si>
    <t>LINESTRING (19.009864112982193 69.54656921880759, 19.00970332974088 69.54654229350253, 19.009645049037232 69.54653234789407)</t>
  </si>
  <si>
    <t>[287856, 287864]</t>
  </si>
  <si>
    <t>[281509, 281516]</t>
  </si>
  <si>
    <t>[281503, 281509]</t>
  </si>
  <si>
    <t>[0.132, 0.125]</t>
  </si>
  <si>
    <t>9.484114043978108</t>
  </si>
  <si>
    <t>0.339</t>
  </si>
  <si>
    <t>8.521076223253079</t>
  </si>
  <si>
    <t>[-0.097, -0.08, 0.011]</t>
  </si>
  <si>
    <t>LINESTRING (19.009645049037232 69.54653234789407, 19.00944071637956 69.54649731257108, 19.006507703482786 69.54601084486596, 19.005626534183044 69.54585208237307)</t>
  </si>
  <si>
    <t>[287872, 287880, 287888]</t>
  </si>
  <si>
    <t>[281523, 281530, 281536]</t>
  </si>
  <si>
    <t>[281516, 281523, 281530]</t>
  </si>
  <si>
    <t>[0.097, 0.08, 0.011]</t>
  </si>
  <si>
    <t>174.3634069239188</t>
  </si>
  <si>
    <t>[0.457, -0.016, -0.673, -0.068, -0.023, -0.04, -0.034, -0.046]</t>
  </si>
  <si>
    <t>[0, 0, 1, 0, 1, 0, 1, 0]</t>
  </si>
  <si>
    <t>LINESTRING (19.005626534183044 69.54585208237307, 19.003140186941874 69.54553555333617, 18.947484369452535 69.58158936710277, 18.947425781088608 69.58162033649594, 18.944921818744938 69.58307742516105, 18.94489967204217 69.58309679076851, 18.94426523725641 69.58360341452844, 18.94413871178356 69.58370949216446, 18.939789683716448 69.58677136447679)</t>
  </si>
  <si>
    <t>[1104248, 1104256, 1190576, 1190584, 1190592, 1190600, 1190608, 1190616]</t>
  </si>
  <si>
    <t>[1045675, 1045680, 1118573, 1118579, 1118584, 1118590, 1118596, 461376]</t>
  </si>
  <si>
    <t>[281536, 1045675, 1045680, 1118573, 1118579, 1118584, 1118590, 1118596]</t>
  </si>
  <si>
    <t>[0.457, 0.016, 0.673, 0.068, 0.023, 0.04, 0.034, 0.046]</t>
  </si>
  <si>
    <t>6172.982489601626</t>
  </si>
  <si>
    <t>[-0.115, -0.056, 0.01, 0.007]</t>
  </si>
  <si>
    <t>5775.0</t>
  </si>
  <si>
    <t>LINESTRING (19.009700220351263 69.54645843349456, 19.009516740629397 69.54642568644938, 19.006557821041646 69.54596717194542, 19.006208393184632 69.54591820444303, 19.005626534183044 69.54585208237307)</t>
  </si>
  <si>
    <t>[287936, 287944, 287952, 287960]</t>
  </si>
  <si>
    <t>[281579, 281586, 281591, 281536]</t>
  </si>
  <si>
    <t>[281572, 281579, 281586, 281591]</t>
  </si>
  <si>
    <t>[0.115, 0.056, 0.01, 0.007]</t>
  </si>
  <si>
    <t>172.87753346548885</t>
  </si>
  <si>
    <t>0.291</t>
  </si>
  <si>
    <t>2.829982685487999</t>
  </si>
  <si>
    <t>[-0.105, -0.095]</t>
  </si>
  <si>
    <t>LINESTRING (19.009963721921544 69.54650349246138, 19.009770523077325 69.54647042986954, 19.009700220351263 69.54645843349456)</t>
  </si>
  <si>
    <t>[287920, 287928]</t>
  </si>
  <si>
    <t>[281566, 281572]</t>
  </si>
  <si>
    <t>[281560, 281566]</t>
  </si>
  <si>
    <t>[0.105, 0.095]</t>
  </si>
  <si>
    <t>11.442462077471049</t>
  </si>
  <si>
    <t>0.433</t>
  </si>
  <si>
    <t>2.8036832922598696</t>
  </si>
  <si>
    <t>[0.029, 0.027]</t>
  </si>
  <si>
    <t>LINESTRING (8.745204826389887 58.47350443329505, 8.74562929675005 58.47361328370834, 8.745726638127135 58.473644884705095)</t>
  </si>
  <si>
    <t>[287965, 287973]</t>
  </si>
  <si>
    <t>[281604, 281609]</t>
  </si>
  <si>
    <t>0.028612276684840066</t>
  </si>
  <si>
    <t>[281603, 281604]</t>
  </si>
  <si>
    <t>34.51084099991555</t>
  </si>
  <si>
    <t>[0.27, -0.032]</t>
  </si>
  <si>
    <t>LINESTRING (8.745204826389887 58.47350443329505, 8.745476339956921 58.47368695861953, 8.745521570305806 58.47373535398032)</t>
  </si>
  <si>
    <t>[1231315, 1231323]</t>
  </si>
  <si>
    <t>[1153096, 1153102]</t>
  </si>
  <si>
    <t>0.21295842506196874</t>
  </si>
  <si>
    <t>[281603, 1153096]</t>
  </si>
  <si>
    <t>[0.27, 0.032]</t>
  </si>
  <si>
    <t>31.815711854855326</t>
  </si>
  <si>
    <t>0.396</t>
  </si>
  <si>
    <t>22.716489605585686</t>
  </si>
  <si>
    <t>[0.022, 0.025, 0.023, 0.015, 0.007, 0.003, -0.009, 0.784]</t>
  </si>
  <si>
    <t>LINESTRING (8.745726638127135 58.473644884705095, 8.745852502448015 58.473648612537225, 8.745982062255264 58.47369331741758, 8.746037951464958 58.47375395973506, 8.74602910693347 58.4738315172683, 8.746010533701815 58.473852762689624, 8.745927258983649 58.4739003809909, 8.745795233419173 58.47392444989228, 8.745698557358839 58.473918998396954)</t>
  </si>
  <si>
    <t>[1756394, 1756402, 1756410, 1756415, 1756417, 1756424, 1756426, 1756427]</t>
  </si>
  <si>
    <t>[1002928, 1514112, 1554340, 295700, 439618, 1554346, 439615, 1152773]</t>
  </si>
  <si>
    <t>0.09085212571312565</t>
  </si>
  <si>
    <t>[281609, 1002928, 1514112, 1554340, 295700, 439618, 1554346, 439615]</t>
  </si>
  <si>
    <t>[0.022, 0.025, 0.023, 0.015, 0.007, 0.003, 0.009, 0.784]</t>
  </si>
  <si>
    <t>56.25875268352158</t>
  </si>
  <si>
    <t>[-0.685, 0.009]</t>
  </si>
  <si>
    <t>LINESTRING (8.745521570305806 58.47373535398032, 8.745607717487538 58.47367355726516, 8.745726638127135 58.473644884705095)</t>
  </si>
  <si>
    <t>[1756392, 1756393]</t>
  </si>
  <si>
    <t>[1554327, 281609]</t>
  </si>
  <si>
    <t>[1153102, 1554327]</t>
  </si>
  <si>
    <t>[0.685, 0.009]</t>
  </si>
  <si>
    <t>16.181894637711878</t>
  </si>
  <si>
    <t>[0.036, 0.013]</t>
  </si>
  <si>
    <t>LINESTRING (8.72270311637003 58.463044197517334, 8.72305935974703 58.46311624790895, 8.7231773376367 58.463135219323284)</t>
  </si>
  <si>
    <t>[288639, 288647]</t>
  </si>
  <si>
    <t>[282168, 282174]</t>
  </si>
  <si>
    <t>0.03038239484776211</t>
  </si>
  <si>
    <t>[282167, 282168]</t>
  </si>
  <si>
    <t>29.527677697378202</t>
  </si>
  <si>
    <t>[-0.059, 0.05]</t>
  </si>
  <si>
    <t>LINESTRING (8.72270311637003 58.463044197517334, 8.722984178140075 58.46319919220506, 8.723076703147578 58.46324140960401)</t>
  </si>
  <si>
    <t>[1230976, 1230977]</t>
  </si>
  <si>
    <t>[1152793, 1152794]</t>
  </si>
  <si>
    <t>[282167, 1152793]</t>
  </si>
  <si>
    <t>[0.059, 0.05]</t>
  </si>
  <si>
    <t>31.345262215974646</t>
  </si>
  <si>
    <t>85.57530491647378</t>
  </si>
  <si>
    <t>5.541137067243183</t>
  </si>
  <si>
    <t>[0.261, 0.019]</t>
  </si>
  <si>
    <t>LINESTRING (8.723076703147578 58.46324140960401, 8.7230986326674 58.463179354895495, 8.7231773376367 58.463135219323284)</t>
  </si>
  <si>
    <t>[1752193, 1752201]</t>
  </si>
  <si>
    <t>[1552040, 282174]</t>
  </si>
  <si>
    <t>0.14264874078344034</t>
  </si>
  <si>
    <t>[1152794, 1552040]</t>
  </si>
  <si>
    <t>13.77496547215426</t>
  </si>
  <si>
    <t>[-0.015, -0.011]</t>
  </si>
  <si>
    <t>LINESTRING (8.617416326208197 58.37065536409488, 8.617541260770158 58.37045319849337, 8.617573337683508 58.37038500091276)</t>
  </si>
  <si>
    <t>[288796, 288804]</t>
  </si>
  <si>
    <t>[282298, 282307]</t>
  </si>
  <si>
    <t>[282297, 282298]</t>
  </si>
  <si>
    <t>[0.015, 0.011]</t>
  </si>
  <si>
    <t>31.541019653609712</t>
  </si>
  <si>
    <t>[-0.019, -0.018]</t>
  </si>
  <si>
    <t>LINESTRING (8.617416326208197 58.37065536409488, 8.617712539455031 58.37051454906618, 8.617817141839884 58.370472767713984)</t>
  </si>
  <si>
    <t>[303515, 303523]</t>
  </si>
  <si>
    <t>[295310, 295316]</t>
  </si>
  <si>
    <t>[282297, 295310]</t>
  </si>
  <si>
    <t>[0.019, 0.018]</t>
  </si>
  <si>
    <t>31.107354824658078</t>
  </si>
  <si>
    <t>[-0.01, -0.029, -0.021]</t>
  </si>
  <si>
    <t>LINESTRING (8.615603450966129 58.37110351065486, 8.616395016124617 58.371363166399476, 8.617108976520393 58.37090109089907, 8.617416326208197 58.37065536409488)</t>
  </si>
  <si>
    <t>[1228030, 1228038, 1228046]</t>
  </si>
  <si>
    <t>[1150688, 1150694, 282297]</t>
  </si>
  <si>
    <t>[1150681, 1150688, 1150694]</t>
  </si>
  <si>
    <t>[0.01, 0.029, 0.021]</t>
  </si>
  <si>
    <t>170.74382187292224</t>
  </si>
  <si>
    <t>[-0.012, -0.039, -0.034, -0.016, -0.001, 0.016, 0.028, 0.036]</t>
  </si>
  <si>
    <t>LINESTRING (8.617573337683508 58.37038500091276, 8.617569584182808 58.370360314585874, 8.617607194373816 58.37029563633619, 8.617734771351694 58.370250050973546, 8.617775008573561 58.37024653422005, 8.617903876418882 58.37026702412496, 8.617975584106361 58.37031204345871, 8.617990036713431 58.37033454506175, 8.617998233485876 58.3703655512967)</t>
  </si>
  <si>
    <t>[1753902, 1753903, 1753911, 1753920, 1753921, 1753922, 1753930, 1753931]</t>
  </si>
  <si>
    <t>[1552841, 1552842, 1164982, 305021, 1552855, 1552856, 1175301, 1150928]</t>
  </si>
  <si>
    <t>[282307, 1552841, 1552842, 1164982, 305021, 1552855, 1552856, 1175301]</t>
  </si>
  <si>
    <t>[0.012, 0.039, 0.034, 0.016, 0.001, 0.016, 0.028, 0.036]</t>
  </si>
  <si>
    <t>42.312389826803354</t>
  </si>
  <si>
    <t>[0.015, 0.003]</t>
  </si>
  <si>
    <t>LINESTRING (8.617817141839884 58.370472767713984, 8.617667074569912 58.370455170926014, 8.617573337683508 58.37038500091276)</t>
  </si>
  <si>
    <t>[1753946, 1753949]</t>
  </si>
  <si>
    <t>[1552870, 282307]</t>
  </si>
  <si>
    <t>0.008821871587394049</t>
  </si>
  <si>
    <t>[295316, 1552870]</t>
  </si>
  <si>
    <t>18.571107232781635</t>
  </si>
  <si>
    <t>[0.0, 0.005]</t>
  </si>
  <si>
    <t>LINESTRING (8.581766887262377 58.34620572118809, 8.581766887262377 58.34620572118809, 8.582054831590819 58.346461787168856)</t>
  </si>
  <si>
    <t>[289578, 289586]</t>
  </si>
  <si>
    <t>[282985, 282993]</t>
  </si>
  <si>
    <t>0.004214503228698369</t>
  </si>
  <si>
    <t>[282984, 282985]</t>
  </si>
  <si>
    <t>39.3608679067282</t>
  </si>
  <si>
    <t>0.102</t>
  </si>
  <si>
    <t>44.75569989271509</t>
  </si>
  <si>
    <t>[-0.0, -0.001]</t>
  </si>
  <si>
    <t>LINESTRING (8.58146873812447 58.3463095140261, 8.581566580439473 58.346334796058144, 8.582054831590819 58.346461787168856)</t>
  </si>
  <si>
    <t>[304746, 304754]</t>
  </si>
  <si>
    <t>[296434, 282993]</t>
  </si>
  <si>
    <t>[296433, 296434]</t>
  </si>
  <si>
    <t>[0.0, 0.001]</t>
  </si>
  <si>
    <t>38.33493424972135</t>
  </si>
  <si>
    <t>[-0.0, 0.003, 0.001]</t>
  </si>
  <si>
    <t>LINESTRING (13.608333640791967 68.1424679174128, 13.607929687440828 68.14242047477181, 13.607922332905448 68.14241947996607, 13.607482080221219 68.14238074706898)</t>
  </si>
  <si>
    <t>[289992, 290000, 290008]</t>
  </si>
  <si>
    <t>[283309, 283313, 283317]</t>
  </si>
  <si>
    <t>0.0005384376475626459</t>
  </si>
  <si>
    <t>[283308, 283309, 283313]</t>
  </si>
  <si>
    <t>[0.0, 0.003, 0.001]</t>
  </si>
  <si>
    <t>36.71807293234713</t>
  </si>
  <si>
    <t>[-0.002, 0.0]</t>
  </si>
  <si>
    <t>LINESTRING (13.608333640791967 68.1424679174128, 13.60799079768124 68.1423701761599, 13.607581064496186 68.14229139293212)</t>
  </si>
  <si>
    <t>[290040, 290056]</t>
  </si>
  <si>
    <t>[283336, 283347]</t>
  </si>
  <si>
    <t>[283308, 283336]</t>
  </si>
  <si>
    <t>[0.002, 0.0]</t>
  </si>
  <si>
    <t>37.09239029422376</t>
  </si>
  <si>
    <t>[0.0, -0.005]</t>
  </si>
  <si>
    <t>LINESTRING (13.6091000436273 68.14267674273434, 13.6091000436273 68.14267674273434, 13.608333640791967 68.1424679174128)</t>
  </si>
  <si>
    <t>[1017775, 1017783]</t>
  </si>
  <si>
    <t>[974187, 283308]</t>
  </si>
  <si>
    <t>[974186, 974187]</t>
  </si>
  <si>
    <t>174.290627232509</t>
  </si>
  <si>
    <t>[0.003, 0.001, -0.001, -0.003]</t>
  </si>
  <si>
    <t>LINESTRING (13.607482080221219 68.14238074706898, 13.607338826402199 68.14239689268652, 13.607182149218353 68.14237351532292, 13.607116271940567 68.14233593765958, 13.607106013202872 68.14231850130669)</t>
  </si>
  <si>
    <t>[1019873, 1019881, 1019889, 1019897]</t>
  </si>
  <si>
    <t>[283326, 975628, 283324, 283356]</t>
  </si>
  <si>
    <t>0.0007264016383761481</t>
  </si>
  <si>
    <t>[283317, 283326, 975628, 283324]</t>
  </si>
  <si>
    <t>[0.003, 0.001, 0.001, 0.003]</t>
  </si>
  <si>
    <t>20.225640905084692</t>
  </si>
  <si>
    <t>[0.005, 0.004]</t>
  </si>
  <si>
    <t>LINESTRING (13.607581064496186 68.14229139293212, 13.607560411256875 68.14234663369095, 13.607482080221219 68.14238074706898)</t>
  </si>
  <si>
    <t>[1019953, 1019865]</t>
  </si>
  <si>
    <t>[975617, 283317]</t>
  </si>
  <si>
    <t>0.00455402160313071</t>
  </si>
  <si>
    <t>[283347, 975617]</t>
  </si>
  <si>
    <t>11.224661300500628</t>
  </si>
  <si>
    <t>[-0.004, -0.001, 0.001, 0.004]</t>
  </si>
  <si>
    <t>LINESTRING (13.607178887358863 68.14224212428616, 13.607404781380065 68.14222047464919, 13.60751008283708 68.14224228952745, 13.607567237274042 68.14227404323428, 13.607581064496186 68.14229139293212)</t>
  </si>
  <si>
    <t>[1019921, 1019929, 1019937, 1019945]</t>
  </si>
  <si>
    <t>[283351, 975658, 283330, 283347]</t>
  </si>
  <si>
    <t>[283367, 283351, 975658, 283330]</t>
  </si>
  <si>
    <t>[0.004, 0.001, 0.001, 0.004]</t>
  </si>
  <si>
    <t>21.297202773395053</t>
  </si>
  <si>
    <t>39.42687133195625</t>
  </si>
  <si>
    <t>[-0.003, -0.005]</t>
  </si>
  <si>
    <t>LINESTRING (13.607106013202872 68.14231850130669, 13.607118844446305 68.14227636437055, 13.607178887358863 68.14224212428616)</t>
  </si>
  <si>
    <t>[1019905, 1019913]</t>
  </si>
  <si>
    <t>[975644, 283367]</t>
  </si>
  <si>
    <t>[283356, 975644]</t>
  </si>
  <si>
    <t>[0.003, 0.005]</t>
  </si>
  <si>
    <t>9.28886744236135</t>
  </si>
  <si>
    <t>[0.065, 0.003, -0.001, -0.012, -0.007, -0.003, -0.0, 0.006, 0.006]</t>
  </si>
  <si>
    <t>9765.0</t>
  </si>
  <si>
    <t>LINESTRING (13.606243033506646 68.14217481828341, 13.605679596764903 68.14210522399755, 13.604260282716591 68.14192687367832, 13.601156836765249 68.14104896619253, 13.596226353495606 68.13906024777556, 13.578528805780863 68.13737841250642, 13.57838131956241 68.13734947037223, 13.57700190357663 68.1370146064934, 13.576066680834249 68.13671782990282, 13.567408149818666 68.13463853338962)</t>
  </si>
  <si>
    <t>[1017791, 1017799, 1017807, 1017815, 1017823, 1017831, 1017847, 1017855, 1017863]</t>
  </si>
  <si>
    <t>[974197, 974204, 974211, 440202, 415523, 974232, 415522, 387303, 293901]</t>
  </si>
  <si>
    <t>[283357, 974197, 974204, 974211, 440202, 415523, 974232, 415522, 387303]</t>
  </si>
  <si>
    <t>[0.065, 0.003, 0.001, 0.012, 0.007, 0.003, 0.0, 0.006, 0.006]</t>
  </si>
  <si>
    <t>1892.3877443093647</t>
  </si>
  <si>
    <t>39.60207773589113</t>
  </si>
  <si>
    <t>0.011</t>
  </si>
  <si>
    <t>38.1160494410053</t>
  </si>
  <si>
    <t>37.64123879432898</t>
  </si>
  <si>
    <t>7724.0</t>
  </si>
  <si>
    <t>LINESTRING (13.831657786259864 68.20441416170827, 13.62029585248699 68.14973711641748)</t>
  </si>
  <si>
    <t>16432.770963112045</t>
  </si>
  <si>
    <t>[-0.008, -0.011, -0.012, -0.006]</t>
  </si>
  <si>
    <t>LINESTRING (13.619936632003128 68.14942254223484, 13.619813940740544 68.14939041755325, 13.619743265620153 68.14932618817014, 13.619766286475304 68.14927204234836, 13.619865205029967 68.14922801120555)</t>
  </si>
  <si>
    <t>[1019681, 1019689, 1019697, 1019705]</t>
  </si>
  <si>
    <t>[283395, 975510, 283402, 283407]</t>
  </si>
  <si>
    <t>[283374, 283395, 975510, 283402]</t>
  </si>
  <si>
    <t>[0.008, 0.011, 0.012, 0.006]</t>
  </si>
  <si>
    <t>26.48304365105269</t>
  </si>
  <si>
    <t>[0.003, -0.004]</t>
  </si>
  <si>
    <t>LINESTRING (13.620243264476338 68.14940073984232, 13.620073165236503 68.14942907110765, 13.619936632003128 68.14942254223484)</t>
  </si>
  <si>
    <t>[1019761, 1019673]</t>
  </si>
  <si>
    <t>[975502, 283374]</t>
  </si>
  <si>
    <t>2.5817303661519273e-05</t>
  </si>
  <si>
    <t>[283390, 975502]</t>
  </si>
  <si>
    <t>[0.003, 0.004]</t>
  </si>
  <si>
    <t>13.45704777294319</t>
  </si>
  <si>
    <t>[0.01, 0.011, 0.01, 0.006]</t>
  </si>
  <si>
    <t>LINESTRING (13.620187517921526 68.14922054969144, 13.620296196805995 68.1492590434696, 13.620340927142262 68.14931944122044, 13.62031114595311 68.14936708063439, 13.620243264476338 68.14940073984232)</t>
  </si>
  <si>
    <t>[1019729, 1019737, 1019745, 1019753]</t>
  </si>
  <si>
    <t>[740244, 975535, 740259, 283390]</t>
  </si>
  <si>
    <t>0.009495324323373229</t>
  </si>
  <si>
    <t>[283413, 740244, 975535, 740259]</t>
  </si>
  <si>
    <t>23.36260118409982</t>
  </si>
  <si>
    <t>37.98175993752581</t>
  </si>
  <si>
    <t>[-0.0, 0.005]</t>
  </si>
  <si>
    <t>LINESTRING (13.619865205029967 68.14922801120555, 13.620042359142865 68.14920649412105, 13.620187517921526 68.14922054969144)</t>
  </si>
  <si>
    <t>[1019713, 1019721]</t>
  </si>
  <si>
    <t>[975521, 283413]</t>
  </si>
  <si>
    <t>0.0022297911003698987</t>
  </si>
  <si>
    <t>[283407, 975521]</t>
  </si>
  <si>
    <t>13.969503339798269</t>
  </si>
  <si>
    <t>[-0.004, -0.054]</t>
  </si>
  <si>
    <t>LINESTRING (13.619734650552834 68.14889085030023, 13.618135424683121 68.14677346658556, 13.617910910707913 68.14642665664972)</t>
  </si>
  <si>
    <t>[1190176, 1190184]</t>
  </si>
  <si>
    <t>[450929, 283524]</t>
  </si>
  <si>
    <t>[283408, 450929]</t>
  </si>
  <si>
    <t>[0.004, 0.054]</t>
  </si>
  <si>
    <t>285.05123564916624</t>
  </si>
  <si>
    <t>41.29406670392722</t>
  </si>
  <si>
    <t>[-0.004, -0.005]</t>
  </si>
  <si>
    <t>LINESTRING (13.617336830211523 68.14592070702265, 13.617214501606863 68.14576639751172, 13.617045284661051 68.14555022677592)</t>
  </si>
  <si>
    <t>[290192, 290208]</t>
  </si>
  <si>
    <t>[283458, 283470]</t>
  </si>
  <si>
    <t>[283457, 283458]</t>
  </si>
  <si>
    <t>[0.004, 0.005]</t>
  </si>
  <si>
    <t>43.04675447912269</t>
  </si>
  <si>
    <t>[-0.012, -0.002]</t>
  </si>
  <si>
    <t>LINESTRING (13.617336830211523 68.14592070702265, 13.617501930462284 68.14588143716247, 13.617640046282151 68.14588010481835)</t>
  </si>
  <si>
    <t>[1019809, 1019817]</t>
  </si>
  <si>
    <t>[975576, 283477]</t>
  </si>
  <si>
    <t>[283457, 975576]</t>
  </si>
  <si>
    <t>[0.012, 0.002]</t>
  </si>
  <si>
    <t>13.876889086725313</t>
  </si>
  <si>
    <t>[0.003, -0.0, -0.006, -0.011]</t>
  </si>
  <si>
    <t>LINESTRING (13.617507667983785 68.14610920626946, 13.61736822283558 68.14608176621901, 13.617297158155155 68.14604632051, 13.617265972512383 68.14598874413404, 13.617336830211523 68.14592070702265)</t>
  </si>
  <si>
    <t>[1019777, 1019785, 1019793, 1019801]</t>
  </si>
  <si>
    <t>[283507, 975559, 283518, 283457]</t>
  </si>
  <si>
    <t>[283537, 283507, 975559, 283518]</t>
  </si>
  <si>
    <t>[0.003, 0.0, 0.006, 0.011]</t>
  </si>
  <si>
    <t>26.17039244005884</t>
  </si>
  <si>
    <t>[0.022, -0.006]</t>
  </si>
  <si>
    <t>LINESTRING (13.617045284661051 68.14555022677592, 13.615987940988806 68.14491611315904, 13.614178881524401 68.14423219521314)</t>
  </si>
  <si>
    <t>[1017759, 1017767]</t>
  </si>
  <si>
    <t>[974172, 974178]</t>
  </si>
  <si>
    <t>0.006244577989347739</t>
  </si>
  <si>
    <t>[283470, 974172]</t>
  </si>
  <si>
    <t>[0.022, 0.006]</t>
  </si>
  <si>
    <t>190.5767125444137</t>
  </si>
  <si>
    <t>[-0.004, 0.016, -0.001]</t>
  </si>
  <si>
    <t>LINESTRING (13.617640046282151 68.14588010481835, 13.617378042433982 68.14573302668781, 13.617374691337904 68.14573109685385, 13.617045284661051 68.14555022677592)</t>
  </si>
  <si>
    <t>[290216, 290224, 290232]</t>
  </si>
  <si>
    <t>[283478, 283486, 283470]</t>
  </si>
  <si>
    <t>[283477, 283478, 283486]</t>
  </si>
  <si>
    <t>[0.004, 0.016, 0.001]</t>
  </si>
  <si>
    <t>44.312218384990935</t>
  </si>
  <si>
    <t>[0.005, 0.008, 0.009, 0.006]</t>
  </si>
  <si>
    <t>LINESTRING (13.617640046282151 68.14588010481835, 13.617733346954909 68.1458925098733, 13.61784756906743 68.14593298941368, 13.617894836321753 68.14598902226098, 13.61779192919243 68.14608195598409)</t>
  </si>
  <si>
    <t>[1019825, 1019833, 1019841, 1019849]</t>
  </si>
  <si>
    <t>[283452, 975597, 283433, 283549]</t>
  </si>
  <si>
    <t>0.006997628596956089</t>
  </si>
  <si>
    <t>[283477, 283452, 975597, 283433]</t>
  </si>
  <si>
    <t>28.69681644198616</t>
  </si>
  <si>
    <t>[-0.009, -0.044, -0.008]</t>
  </si>
  <si>
    <t>LINESTRING (13.617910910707913 68.14642665664972, 13.617714780073433 68.14627590333569, 13.617712483451024 68.1462740540769, 13.617507667983785 68.14610920626946)</t>
  </si>
  <si>
    <t>[290272, 290280, 290288]</t>
  </si>
  <si>
    <t>[283525, 283531, 283537]</t>
  </si>
  <si>
    <t>[283524, 283525, 283531]</t>
  </si>
  <si>
    <t>[0.009, 0.044, 0.008]</t>
  </si>
  <si>
    <t>39.1604786696985</t>
  </si>
  <si>
    <t>LINESTRING (13.617910910707913 68.14642665664972, 13.617876068969892 68.1462568130679, 13.61779192919243 68.14608195598409)</t>
  </si>
  <si>
    <t>[290296, 290304]</t>
  </si>
  <si>
    <t>[283543, 283549]</t>
  </si>
  <si>
    <t>[283524, 283543]</t>
  </si>
  <si>
    <t>38.79938580779594</t>
  </si>
  <si>
    <t>[0.001, 0.0]</t>
  </si>
  <si>
    <t>LINESTRING (13.61779192919243 68.14608195598409, 13.6176523704829 68.14610927453413, 13.617507667983785 68.14610920626946)</t>
  </si>
  <si>
    <t>[1019857, 1019769]</t>
  </si>
  <si>
    <t>[975549, 283537]</t>
  </si>
  <si>
    <t>0.0005214065267654026</t>
  </si>
  <si>
    <t>[283549, 975549]</t>
  </si>
  <si>
    <t>12.560433924200623</t>
  </si>
  <si>
    <t>LINESTRING (8.567243767997859 58.340987055523804, 8.567726133943435 58.34094384289358, 8.567855487309915 58.34094181322687)</t>
  </si>
  <si>
    <t>[290616, 290624]</t>
  </si>
  <si>
    <t>[283789, 283795]</t>
  </si>
  <si>
    <t>[283788, 283789]</t>
  </si>
  <si>
    <t>36.83693154686358</t>
  </si>
  <si>
    <t>LINESTRING (8.567243767997859 58.340987055523804, 8.56765287539309 58.341046791365045, 8.567739441709145 58.341071786021914)</t>
  </si>
  <si>
    <t>[2111152, 2111153]</t>
  </si>
  <si>
    <t>[1821995, 1552938]</t>
  </si>
  <si>
    <t>[283788, 1821995]</t>
  </si>
  <si>
    <t>30.693058519335594</t>
  </si>
  <si>
    <t>98.08986252746496</t>
  </si>
  <si>
    <t>[0.003, 0.003, 0.0, -0.003, -0.004, -0.007, -0.008, -0.006, -0.003, -0.336]</t>
  </si>
  <si>
    <t>LINESTRING (8.567855487309915 58.34094181322687, 8.567902271699511 58.34092949221267, 8.568004734068124 58.34092088132853, 8.56810471745683 58.34093430296361, 8.568148854866717 58.34094868972193, 8.568227494032197 58.341002107061264, 8.568246819010387 58.34106892466808, 8.568236283160797 58.34109568484599, 8.568162001031268 58.34115543749828, 8.568037116555388 58.34118741671509, 8.567990168105647 58.34118937124242)</t>
  </si>
  <si>
    <t>[1753957, 1753971, 1753982, 1753990, 1753991, 1754001, 1754005, 1754015, 1754023, 1754048]</t>
  </si>
  <si>
    <t>[919846, 1552886, 1159459, 1552897, 1552898, 1147268, 1170325, 1552911, 1170313, 1162183]</t>
  </si>
  <si>
    <t>[283795, 919846, 1552886, 1159459, 1552897, 1552898, 1147268, 1170325, 1552911, 1170313]</t>
  </si>
  <si>
    <t>[0.003, 0.003, 0.0, 0.003, 0.004, 0.007, 0.008, 0.006, 0.003, 0.336]</t>
  </si>
  <si>
    <t>55.24228589172676</t>
  </si>
  <si>
    <t>[0.006, 0.005]</t>
  </si>
  <si>
    <t>LINESTRING (8.567739441709145 58.341071786021914, 8.567756556390878 58.34100428505076, 8.567855487309915 58.34094181322687)</t>
  </si>
  <si>
    <t>[1754069, 1754070]</t>
  </si>
  <si>
    <t>[1552939, 283795]</t>
  </si>
  <si>
    <t>0.005455830371854131</t>
  </si>
  <si>
    <t>[1552938, 1552939]</t>
  </si>
  <si>
    <t>16.662257287249723</t>
  </si>
  <si>
    <t>0.045</t>
  </si>
  <si>
    <t>12.44668602738674</t>
  </si>
  <si>
    <t>[-0.029, -0.027, 0.0, 0.044, 0.037, 0.048, 0.042, 0.01, -0.026, -0.03, -0.043]</t>
  </si>
  <si>
    <t>LINESTRING (10.634418138654572 59.91329696188329, 10.634589619026091 59.91328077141593, 10.634787390302852 59.91326210757773, 10.635923258492902 59.912996005501675, 10.635937824450012 59.9129533250942, 10.635942274755205 59.91291948148195, 10.635942146656541 59.91289321949647, 10.635894124002846 59.912795408664046, 10.633008329576395 59.911989618269125, 10.632986474436997 59.911981384414915, 10.632959303616309 59.91197068110795, 10.632016005549486 59.91159914910643)</t>
  </si>
  <si>
    <t>[291228, 291236, 291244, 1495175, 1495183, 1495191, 1504250, 1380585, 1380593, 1380601, 1380609]</t>
  </si>
  <si>
    <t>[284279, 284286, 284291, 1353521, 1353526, 1353534, 1270269, 1270270, 1270276, 1270282, 1270287]</t>
  </si>
  <si>
    <t>[284278, 284279, 284286, 284291, 1353521, 1353526, 1353534, 1270269, 1270270, 1270276, 1270282]</t>
  </si>
  <si>
    <t>[0.029, 0.027, 0.0, 0.044, 0.037, 0.048, 0.042, 0.01, 0.026, 0.03, 0.043]</t>
  </si>
  <si>
    <t>375.9020293885374</t>
  </si>
  <si>
    <t>5.494899543954385</t>
  </si>
  <si>
    <t>[0.044, 0.049, -0.025, 0.01, 0.0, -0.025, 0.011, 0.009, 0.026, 0.018]</t>
  </si>
  <si>
    <t>LINESTRING (10.639661871626556 59.913108232028, 10.639291129501009 59.91310174859753, 10.637342538347873 59.91292418112044, 10.637323646221178 59.91292540729947, 10.636510098808019 59.91300539198105, 10.636506623448101 59.913007309032054, 10.63631378081136 59.913174683837774, 10.636081715146542 59.913189560061205, 10.63482467315657 59.913337126662476, 10.634616325801876 59.913364989678946, 10.634499947922874 59.91339546240209)</t>
  </si>
  <si>
    <t>[291276, 291284, 291292, 291300, 291308, 291316, 291324, 291332, 291340, 291348]</t>
  </si>
  <si>
    <t>[284318, 284322, 284327, 284334, 284340, 284347, 284357, 284363, 284371, 284378]</t>
  </si>
  <si>
    <t>0.024452218387272122</t>
  </si>
  <si>
    <t>[284317, 284318, 284322, 284327, 284334, 284340, 284347, 284357, 284363, 284371]</t>
  </si>
  <si>
    <t>[0.044, 0.049, 0.025, 0.01, 0.0, 0.025, 0.011, 0.009, 0.026, 0.018]</t>
  </si>
  <si>
    <t>306.5165524607018</t>
  </si>
  <si>
    <t>[-0.036, 0.054, 0.06, 0.039, 0.03, 0.033, 0.043, 0.031, -0.091, -0.139, -0.003]</t>
  </si>
  <si>
    <t>4294.0</t>
  </si>
  <si>
    <t>LINESTRING (10.639661871626556 59.913108232028, 10.639103800322353 59.91303566146655, 10.637927541165627 59.912883502837644, 10.63753674540694 59.91283833000936, 10.63739931516615 59.912821383032025, 10.637128549747743 59.91278930596273, 10.63674195128948 59.91274082578709, 10.6351971656872 59.912525904633, 10.633639600403981 59.912180277126836, 10.633054074769117 59.91196353853408, 10.633023554853354 59.91195202270427, 10.632205576364909 59.911622733227446)</t>
  </si>
  <si>
    <t>[1552423, 1552431, 1552439, 1552447, 1552455, 1552463, 1552471, 1552479, 1552487, 1552503, 1552511]</t>
  </si>
  <si>
    <t>[1401273, 1401279, 1401286, 1401292, 1401302, 1401311, 1401316, 1401322, 1401330, 1401338, 1270304]</t>
  </si>
  <si>
    <t>0.017606449911816934</t>
  </si>
  <si>
    <t>[284317, 1401273, 1401279, 1401286, 1401292, 1401302, 1401311, 1401316, 1401322, 1401330, 1401338]</t>
  </si>
  <si>
    <t>[0.036, 0.054, 0.06, 0.039, 0.03, 0.033, 0.043, 0.031, 0.091, 0.139, 0.003]</t>
  </si>
  <si>
    <t>455.6453882075458</t>
  </si>
  <si>
    <t>[-0.03, -0.021, -0.017, -1.191, -0.038, 0.107]</t>
  </si>
  <si>
    <t>[0, 0, 1, 1, 1, 0]</t>
  </si>
  <si>
    <t>LINESTRING (10.642908615268524 59.913748105018875, 10.64159696547905 59.91347204362321, 10.64112564214557 59.91337523366418, 10.640773241282357 59.9133042123832, 10.640757324099187 59.913301194290504, 10.64026486238084 59.913207340868716, 10.639661871626556 59.913108232028)</t>
  </si>
  <si>
    <t>[753131, 753139, 753147, 1552399, 1552407, 1552415]</t>
  </si>
  <si>
    <t>[734445, 734453, 734459, 1401253, 1401260, 284317]</t>
  </si>
  <si>
    <t>[734438, 734445, 734453, 734459, 1401253, 1401260]</t>
  </si>
  <si>
    <t>[0.03, 0.021, 0.017, 1.191, 0.038, 0.107]</t>
  </si>
  <si>
    <t>195.27930262406585</t>
  </si>
  <si>
    <t>[-0.005, 0.03, 0.052, 0.047, 0.003]</t>
  </si>
  <si>
    <t>LINESTRING (10.634499947922874 59.91339546240209, 10.634431444390193 59.91346235954799, 10.63429816063416 59.9134899782692, 10.634155396807095 59.91346755448647, 10.634075624901246 59.913404074728675, 10.634188539615005 59.91328572180116)</t>
  </si>
  <si>
    <t>[1495007, 1495015, 1495023, 1495031, 1495039]</t>
  </si>
  <si>
    <t>[1353376, 477993, 1353391, 524238, 1353406]</t>
  </si>
  <si>
    <t>0.02213817129714082</t>
  </si>
  <si>
    <t>[284378, 1353376, 477993, 1353391, 524238]</t>
  </si>
  <si>
    <t>[0.005, 0.03, 0.052, 0.047, 0.003]</t>
  </si>
  <si>
    <t>48.54594184093775</t>
  </si>
  <si>
    <t>0.08</t>
  </si>
  <si>
    <t>11.58650768291299</t>
  </si>
  <si>
    <t>[0.069, 0.016, -0.064]</t>
  </si>
  <si>
    <t>LINESTRING (10.435398567598318 61.242562101310604, 10.435468636155552 61.24252813288443, 10.437517089774051 61.239215501703576, 10.437708589019334 61.23887676403181)</t>
  </si>
  <si>
    <t>[1708971, 1708979, 1708987]</t>
  </si>
  <si>
    <t>[1525421, 1525429, 293304]</t>
  </si>
  <si>
    <t>0.009445083359068473</t>
  </si>
  <si>
    <t>[285567, 1525421, 1525429]</t>
  </si>
  <si>
    <t>[0.069, 0.016, 0.064]</t>
  </si>
  <si>
    <t>434.4648392456789</t>
  </si>
  <si>
    <t>[-0.07, 0.001, 0.069, 0.093]</t>
  </si>
  <si>
    <t>LINESTRING (10.435349541014917 61.242775379044694, 10.435176018456739 61.24270657632902, 10.435183873424894 61.242626804113655, 10.435277105386952 61.242575990839065, 10.435398567598318 61.242562101310604)</t>
  </si>
  <si>
    <t>[292822, 292830, 292838, 292774]</t>
  </si>
  <si>
    <t>[285613, 285621, 285566, 285567]</t>
  </si>
  <si>
    <t>0.00784084199497826</t>
  </si>
  <si>
    <t>[285607, 285613, 285621, 285566]</t>
  </si>
  <si>
    <t>[0.07, 0.001, 0.069, 0.093]</t>
  </si>
  <si>
    <t>35.66135019124623</t>
  </si>
  <si>
    <t>[0.02, -0.036]</t>
  </si>
  <si>
    <t>LINESTRING (10.435577661106024 61.24261400504592, 10.435611668639737 61.24267540454724, 10.435559593524276 61.242738397525336)</t>
  </si>
  <si>
    <t>[292790, 292798]</t>
  </si>
  <si>
    <t>[285583, 285591]</t>
  </si>
  <si>
    <t>[285576, 285583]</t>
  </si>
  <si>
    <t>14.642223292013286</t>
  </si>
  <si>
    <t>[0.096, 0.095, 0.095]</t>
  </si>
  <si>
    <t>LINESTRING (10.435577661106024 61.24261400504592, 10.435696522463203 61.242623804854716, 10.436889039849387 61.24268170335898, 10.437027028053407 61.24268355857445)</t>
  </si>
  <si>
    <t>[298432, 298440, 298448]</t>
  </si>
  <si>
    <t>[290721, 290729, 285639]</t>
  </si>
  <si>
    <t>0.09508260048935234</t>
  </si>
  <si>
    <t>[285576, 290721, 290729]</t>
  </si>
  <si>
    <t>78.41473041970883</t>
  </si>
  <si>
    <t>[-0.088, -0.089]</t>
  </si>
  <si>
    <t>LINESTRING (10.435559593524276 61.242738397525336, 10.435414061442728 61.242776655687166, 10.435349541014917 61.242775379044694)</t>
  </si>
  <si>
    <t>[292806, 292814]</t>
  </si>
  <si>
    <t>[285598, 285607]</t>
  </si>
  <si>
    <t>[285591, 285598]</t>
  </si>
  <si>
    <t>[0.088, 0.089]</t>
  </si>
  <si>
    <t>12.372935116854624</t>
  </si>
  <si>
    <t>[0.093, 0.095, 0.089]</t>
  </si>
  <si>
    <t>LINESTRING (10.435559593524276 61.242738397525336, 10.435703542544026 61.24273121037137, 10.436874648785462 61.242770401020294, 10.436983446460768 61.24279090370129)</t>
  </si>
  <si>
    <t>[341491, 341499, 341507]</t>
  </si>
  <si>
    <t>[330191, 330201, 285686]</t>
  </si>
  <si>
    <t>0.09431511598121078</t>
  </si>
  <si>
    <t>[285591, 330191, 330201]</t>
  </si>
  <si>
    <t>77.66993841258376</t>
  </si>
  <si>
    <t>[-0.23, 0.009, -0.038, -0.04]</t>
  </si>
  <si>
    <t>LINESTRING (10.436447727084348 61.24569362782713, 10.436379502917752 61.24558865540906, 10.435482967716418 61.2429119490278, 10.43539968187467 61.24282554195514, 10.435349541014917 61.242775379044694)</t>
  </si>
  <si>
    <t>[1708931, 1708939, 1708947, 1708955]</t>
  </si>
  <si>
    <t>[1525393, 1525399, 1525403, 285607]</t>
  </si>
  <si>
    <t>[293331, 1525393, 1525399, 1525403]</t>
  </si>
  <si>
    <t>[0.23, 0.009, 0.038, 0.04]</t>
  </si>
  <si>
    <t>331.9209266136907</t>
  </si>
  <si>
    <t>12.8808264436305</t>
  </si>
  <si>
    <t>[-0.006, 0.047]</t>
  </si>
  <si>
    <t>LINESTRING (10.436983446460768 61.24279090370129, 10.436972670628537 61.24273658287069, 10.437027028053407 61.24268355857445)</t>
  </si>
  <si>
    <t>[292902, 292910]</t>
  </si>
  <si>
    <t>[285694, 285639]</t>
  </si>
  <si>
    <t>0.021565540485785413</t>
  </si>
  <si>
    <t>[285686, 285694]</t>
  </si>
  <si>
    <t>[0.006, 0.047]</t>
  </si>
  <si>
    <t>12.675182420355078</t>
  </si>
  <si>
    <t>[0.058, 0.027, -0.017, -0.062]</t>
  </si>
  <si>
    <t>LINESTRING (10.437246587344037 61.24264959287089, 10.43736276005407 61.24268498434722, 10.437412928400716 61.242737935171256, 10.437383441753557 61.24281248172247, 10.437231023307584 61.24286000618276)</t>
  </si>
  <si>
    <t>[292854, 292862, 292870, 292878]</t>
  </si>
  <si>
    <t>[285647, 285656, 285664, 285672]</t>
  </si>
  <si>
    <t>[285640, 285647, 285656, 285664]</t>
  </si>
  <si>
    <t>[0.058, 0.027, 0.017, 0.062]</t>
  </si>
  <si>
    <t>32.30977949360268</t>
  </si>
  <si>
    <t>[0.024, 0.0, 0.031]</t>
  </si>
  <si>
    <t>LINESTRING (10.437358776476566 61.23996217984147, 10.43732564698542 61.24014089445615, 10.43718670220851 61.242594156106215, 10.437246587344037 61.24264959287089)</t>
  </si>
  <si>
    <t>[1708907, 1708915, 1708923]</t>
  </si>
  <si>
    <t>[1525376, 1525383, 285640]</t>
  </si>
  <si>
    <t>0.0022813647552504452</t>
  </si>
  <si>
    <t>[293267, 1525376, 1525383]</t>
  </si>
  <si>
    <t>305.07214439506356</t>
  </si>
  <si>
    <t>[-0.065, -0.06]</t>
  </si>
  <si>
    <t>LINESTRING (10.437231023307584 61.24286000618276, 10.43718581672524 61.24286247507486, 10.436983446460768 61.24279090370129)</t>
  </si>
  <si>
    <t>[292886, 292894]</t>
  </si>
  <si>
    <t>[285680, 285686]</t>
  </si>
  <si>
    <t>[285672, 285680]</t>
  </si>
  <si>
    <t>[0.065, 0.06]</t>
  </si>
  <si>
    <t>16.540163847150392</t>
  </si>
  <si>
    <t>[-0.037, -0.04, -0.029, -0.015]</t>
  </si>
  <si>
    <t>LINESTRING (10.437231023307584 61.24286000618276, 10.437175398989618 61.24290466040427, 10.437086344306394 61.24298031932234, 10.436800109389559 61.24631758419828, 10.436803149078804 61.24640011580953)</t>
  </si>
  <si>
    <t>[1708883, 1708891, 1708899, 1708875]</t>
  </si>
  <si>
    <t>[1525362, 1525368, 1525359, 293294]</t>
  </si>
  <si>
    <t>[285672, 1525362, 1525368, 1525359]</t>
  </si>
  <si>
    <t>[0.037, 0.04, 0.029, 0.015]</t>
  </si>
  <si>
    <t>404.2798495033679</t>
  </si>
  <si>
    <t>[-0.001, -0.005]</t>
  </si>
  <si>
    <t>LINESTRING (10.187146791386235 61.45172364438519, 10.187032318738302 61.45180773879735, 10.18685095979184 61.45181391076482)</t>
  </si>
  <si>
    <t>[292934, 292942]</t>
  </si>
  <si>
    <t>[285718, 285723]</t>
  </si>
  <si>
    <t>[285710, 285718]</t>
  </si>
  <si>
    <t>[0.001, 0.005]</t>
  </si>
  <si>
    <t>21.46804391641958</t>
  </si>
  <si>
    <t>[-0.089, -0.042, 0.015]</t>
  </si>
  <si>
    <t>LINESTRING (10.30469283273347 61.30519091248029, 10.30458057585048 61.3053197717005, 10.30364570140278 61.30765319951778, 10.303658841077883 61.30768783130723)</t>
  </si>
  <si>
    <t>[294367, 294375, 294383]</t>
  </si>
  <si>
    <t>[286998, 287003, 287011]</t>
  </si>
  <si>
    <t>[286997, 286998, 287003]</t>
  </si>
  <si>
    <t>[0.089, 0.042, 0.015]</t>
  </si>
  <si>
    <t>291.33451575877604</t>
  </si>
  <si>
    <t>[-0.024, -0.105]</t>
  </si>
  <si>
    <t>LINESTRING (10.30469283273347 61.30519091248029, 10.302382384255663 61.31048331040288, 10.302116052316638 61.31138757240672)</t>
  </si>
  <si>
    <t>[303599, 303600]</t>
  </si>
  <si>
    <t>[295385, 287096]</t>
  </si>
  <si>
    <t>[286997, 295385]</t>
  </si>
  <si>
    <t>[0.024, 0.105]</t>
  </si>
  <si>
    <t>713.2319597277582</t>
  </si>
  <si>
    <t>[-0.175, -0.174]</t>
  </si>
  <si>
    <t>LINESTRING (10.305613385302312 61.30446534542221, 10.305564968624077 61.30450628087348, 10.30469283273347 61.30519091248029)</t>
  </si>
  <si>
    <t>[303541, 303581]</t>
  </si>
  <si>
    <t>[295334, 286997]</t>
  </si>
  <si>
    <t>[293678, 295334]</t>
  </si>
  <si>
    <t>[0.175, 0.174]</t>
  </si>
  <si>
    <t>94.75194939889579</t>
  </si>
  <si>
    <t>[0.102, -0.02, -0.123, -0.136, 0.999]</t>
  </si>
  <si>
    <t>LINESTRING (10.303658841077883 61.30768783130723, 10.303800088207216 61.307740033144725, 10.303749432693115 61.30790331425981, 10.303652557275813 61.307928197947845, 10.303544624249898 61.30793201263448, 10.303447377686203 61.30791569166982)</t>
  </si>
  <si>
    <t>[1708547, 1708555, 1708563, 1708571, 1708579]</t>
  </si>
  <si>
    <t>[1525126, 295606, 1525139, 295526, 295481]</t>
  </si>
  <si>
    <t>0.09870549138028904</t>
  </si>
  <si>
    <t>[287011, 1525126, 295606, 1525139, 295526]</t>
  </si>
  <si>
    <t>[0.102, 0.02, 0.123, 0.136, 0.999]</t>
  </si>
  <si>
    <t>46.43160130776053</t>
  </si>
  <si>
    <t>0.12</t>
  </si>
  <si>
    <t>16.554366521190246</t>
  </si>
  <si>
    <t>[-0.089, -0.089, -0.043, -0.017]</t>
  </si>
  <si>
    <t>LINESTRING (10.303447377686203 61.30791569166982, 10.303395738123303 61.30793701627196, 10.303296523936412 61.307981245299985, 10.302234624773362 61.311184374644704, 10.302116052316638 61.31138757240672)</t>
  </si>
  <si>
    <t>[303711, 303712, 303713, 294487]</t>
  </si>
  <si>
    <t>[295482, 295483, 287095, 287096]</t>
  </si>
  <si>
    <t>[295481, 295482, 295483, 287095]</t>
  </si>
  <si>
    <t>[0.089, 0.089, 0.043, 0.017]</t>
  </si>
  <si>
    <t>400.0979669466355</t>
  </si>
  <si>
    <t>29.47145228867946</t>
  </si>
  <si>
    <t>[0.061, 0.06, 0.062]</t>
  </si>
  <si>
    <t>LINESTRING (10.302067937238748 61.30770869182039, 10.30213899356715 61.307708816482545, 10.302251599453005 61.307708762430494, 10.302433848678453 61.30770203845285)</t>
  </si>
  <si>
    <t>[294503, 294511, 294519]</t>
  </si>
  <si>
    <t>[287112, 287120, 287103]</t>
  </si>
  <si>
    <t>0.06119151156801738</t>
  </si>
  <si>
    <t>[287111, 287112, 287120]</t>
  </si>
  <si>
    <t>19.642830195021034</t>
  </si>
  <si>
    <t>[0.057, 0.057, 0.05]</t>
  </si>
  <si>
    <t>LINESTRING (10.30209926674945 61.307639446142595, 10.302158422935669 61.30764745959248, 10.30226997660989 61.30766353094958, 10.302433848678453 61.30770203845285)</t>
  </si>
  <si>
    <t>[294972, 294980, 294988]</t>
  </si>
  <si>
    <t>[287543, 287550, 287103]</t>
  </si>
  <si>
    <t>0.053456472143952834</t>
  </si>
  <si>
    <t>[287542, 287543, 287550]</t>
  </si>
  <si>
    <t>19.313568012244446</t>
  </si>
  <si>
    <t>[0.136, 0.126, 0.136]</t>
  </si>
  <si>
    <t>LINESTRING (10.30297387020707 61.30775169375989, 10.30316680787307 61.3077435404592, 10.303290390506607 61.30773514194759, 10.303376912731386 61.30772941631647)</t>
  </si>
  <si>
    <t>[294527, 294535, 294543]</t>
  </si>
  <si>
    <t>[287133, 287139, 287148]</t>
  </si>
  <si>
    <t>0.13292455383324758</t>
  </si>
  <si>
    <t>[287104, 287133, 287139]</t>
  </si>
  <si>
    <t>21.753816162424606</t>
  </si>
  <si>
    <t>[0.123, 0.118, 0.108]</t>
  </si>
  <si>
    <t>LINESTRING (10.30297387020707 61.30775169375989, 10.303155033368537 61.30779214868443, 10.303256341174107 61.307812567890814, 10.303322355436949 61.3078263676635)</t>
  </si>
  <si>
    <t>[294551, 294559, 294568]</t>
  </si>
  <si>
    <t>[287154, 287162, 287169]</t>
  </si>
  <si>
    <t>0.1187309233604384</t>
  </si>
  <si>
    <t>[287104, 287154, 287162]</t>
  </si>
  <si>
    <t>20.453700410989356</t>
  </si>
  <si>
    <t>16.854873802583803</t>
  </si>
  <si>
    <t>[-0.018, -0.025]</t>
  </si>
  <si>
    <t>LINESTRING (10.30209926674945 61.307639446142595, 10.302093648202627 61.30767567635408, 10.302067937238748 61.30770869182039)</t>
  </si>
  <si>
    <t>[1708483, 1708491]</t>
  </si>
  <si>
    <t>[1525080, 287111]</t>
  </si>
  <si>
    <t>[287542, 1525080]</t>
  </si>
  <si>
    <t>[0.018, 0.025]</t>
  </si>
  <si>
    <t>7.9800250685602965</t>
  </si>
  <si>
    <t>[0.017, 0.068]</t>
  </si>
  <si>
    <t>LINESTRING (10.303322355436949 61.3078263676635, 10.30333018859898 61.30777285612561, 10.303376912731386 61.30772941631647)</t>
  </si>
  <si>
    <t>[1708595, 1708603]</t>
  </si>
  <si>
    <t>[1525166, 287148]</t>
  </si>
  <si>
    <t>0.041321870844516606</t>
  </si>
  <si>
    <t>[287169, 1525166]</t>
  </si>
  <si>
    <t>11.431852086270384</t>
  </si>
  <si>
    <t>0.572</t>
  </si>
  <si>
    <t>12.298892170100615</t>
  </si>
  <si>
    <t>[-0.043, 0.018, 0.055, 0.06, 0.059]</t>
  </si>
  <si>
    <t>LINESTRING (10.30179863029233 61.307772116398695, 10.301599054547244 61.307697294466664, 10.301645639292321 61.30756373226115, 10.30173553179538 61.307533031755774, 10.301819547783746 61.30752281327174, 10.301958145525932 61.30753652166615)</t>
  </si>
  <si>
    <t>[1708507, 1708515, 1708523, 1708531, 1708467]</t>
  </si>
  <si>
    <t>[1525096, 287216, 1525107, 287195, 287260]</t>
  </si>
  <si>
    <t>0.015287540646934524</t>
  </si>
  <si>
    <t>[287246, 1525096, 287216, 1525107, 287195]</t>
  </si>
  <si>
    <t>[0.043, 0.018, 0.055, 0.06, 0.059]</t>
  </si>
  <si>
    <t>47.87396660342751</t>
  </si>
  <si>
    <t>[0.001, 0.003, -0.015, -0.01]</t>
  </si>
  <si>
    <t>LINESTRING (10.302260596314772 61.31047467331155, 10.302242865950427 61.31036586314945, 10.301860911307116 61.30785198201117, 10.30182478484895 61.30780351211553, 10.30179863029233 61.307772116398695)</t>
  </si>
  <si>
    <t>[294657, 294633, 294641, 294649]</t>
  </si>
  <si>
    <t>[287231, 287232, 287239, 287246]</t>
  </si>
  <si>
    <t>0.0024183020829420115</t>
  </si>
  <si>
    <t>[287253, 287231, 287232, 287239]</t>
  </si>
  <si>
    <t>[0.001, 0.003, 0.015, 0.01]</t>
  </si>
  <si>
    <t>303.7014220561609</t>
  </si>
  <si>
    <t>[-0.104, -0.072, -0.043]</t>
  </si>
  <si>
    <t>LINESTRING (10.3055482591774 61.30450071948942, 10.304593969021598 61.305163842484305, 10.304039313036167 61.30565723524449, 10.302260596314772 61.31047467331155)</t>
  </si>
  <si>
    <t>[303653, 303666, 303667]</t>
  </si>
  <si>
    <t>[295437, 295445, 287253]</t>
  </si>
  <si>
    <t>[287275, 295437, 295445]</t>
  </si>
  <si>
    <t>[0.104, 0.072, 0.043]</t>
  </si>
  <si>
    <t>703.8944871705569</t>
  </si>
  <si>
    <t>14.221751897553155</t>
  </si>
  <si>
    <t>[0.045, 0.083, 0.261]</t>
  </si>
  <si>
    <t>LINESTRING (10.301958145525932 61.30753652166615, 10.301996780669173 61.3075096203371, 10.305265636330045 61.304633174955036, 10.3055482591774 61.30450071948942)</t>
  </si>
  <si>
    <t>[294665, 294673, 294682]</t>
  </si>
  <si>
    <t>[287261, 287268, 287275]</t>
  </si>
  <si>
    <t>0.09226994767583944</t>
  </si>
  <si>
    <t>[287260, 287261, 287268]</t>
  </si>
  <si>
    <t>391.2944384240211</t>
  </si>
  <si>
    <t>0.575</t>
  </si>
  <si>
    <t>5.266826084365178</t>
  </si>
  <si>
    <t>[0.083, 0.068]</t>
  </si>
  <si>
    <t>LINESTRING (10.29777494601164 60.065610018991535, 10.297679655925995 60.06573286032466, 10.297736770192344 60.0659309644081)</t>
  </si>
  <si>
    <t>[295212, 295220]</t>
  </si>
  <si>
    <t>[287774, 287783]</t>
  </si>
  <si>
    <t>0.07411590425738275</t>
  </si>
  <si>
    <t>[287773, 287774]</t>
  </si>
  <si>
    <t>38.626778781301454</t>
  </si>
  <si>
    <t>[0.068, 0.083]</t>
  </si>
  <si>
    <t>LINESTRING (10.29777494601164 60.065610018991535, 10.297802343652233 60.065738275018376, 10.297736770192344 60.0659309644081)</t>
  </si>
  <si>
    <t>[295228, 295236]</t>
  </si>
  <si>
    <t>[287793, 287783]</t>
  </si>
  <si>
    <t>0.07695939676236029</t>
  </si>
  <si>
    <t>[287773, 287793]</t>
  </si>
  <si>
    <t>37.1009078006483</t>
  </si>
  <si>
    <t>[-0.015, -0.0, -0.021, -0.034, -0.04, -0.031, -0.011, 0.008, 0.004, 0.028, 0.0, 0.026, -0.057, -0.031, -0.02, 0.031, 0.046, 0.053, 0.051, 0.053, -0.025, -0.033, -0.015, 0.002, -0.022, 0.011, -0.012, -0.018, 0.001, -0.039, -0.062, -0.033, -0.025, -0.144, -0.166, -0.041, -0.087, -0.087, -0.065, -0.05, -0.044, -0.038, -0.037]</t>
  </si>
  <si>
    <t>6648.0</t>
  </si>
  <si>
    <t>[0, 0, 0, 0, 0, 1, 0, 1, 0, 0, 0, 0, 0, 0, 0, 0, 0, 0, 0, 0, 1, 0, 0, 0, 0, 0, 0, 0, 0, 0, 0, 1, 0, 0, 0, 0, 0, 0, 0, 0, 0, 0, 0]</t>
  </si>
  <si>
    <t>LINESTRING (10.509766629386743 60.27531943633586, 10.518684159121673 60.278470572238106, 10.51887884648696 60.27850307016622, 10.521160797903699 60.278906781703476, 10.521241894766604 60.27892313647304, 10.522063668192606 60.279110032035035, 10.52218217097882 60.279139933829924, 10.528083022599349 60.28168172748301, 10.528146858762703 60.28171418631945, 10.528303754102685 60.28179187006017, 10.535127802538886 60.28345032357641, 10.535134915461441 60.283451021719394, 10.538582556323734 60.28395658920929, 10.54502880838588 60.287036290713424, 10.549441885304772 60.28856951149538, 10.549521574497817 60.288595539918525, 10.5538348732785 60.28981790493006, 10.554233729244304 60.289912246535195, 10.554297936919527 60.2899273574112, 10.554807994279212 60.2900458562963, 10.557889032667763 60.29098257649064, 10.558419754011284 60.291174899024114, 10.564072423693252 60.293224290969775, 10.567024581968248 60.293903235151845, 10.56714161476546 60.293916328217485, 10.56721531506229 60.29392406113452, 10.567259066514067 60.29392820319667, 10.56789593552021 60.29397765191524, 10.568218087625915 60.293991132722354, 10.571461304883917 60.293887455918394, 10.572018650897173 60.293858386222446, 10.58921438202719 60.29662179555343, 10.589701340615171 60.29658592179664, 10.59411798190767 60.295138348509106, 10.594288367464245 60.29510425281848, 10.594405122066343 60.295081477469886, 10.603139579685976 60.293594654571734, 10.60409573384761 60.29370919485353, 10.607156940330176 60.294582681741865, 10.607490212578822 60.29470518809258, 10.607545335534029 60.29472571763417, 10.60801613805996 60.294906425263534, 10.608059950187668 60.29492943060778, 10.60865125946395 60.29536421151498)</t>
  </si>
  <si>
    <t>[302355, 302363, 302371, 302379, 302387, 302395, 302403, 302411, 302419, 302427, 302435, 302443, 302451, 302459, 302467, 302475, 302483, 302491, 302499, 302507, 302515, 302523, 302531, 302539, 302547, 302555, 302563, 302571, 302579, 302587, 302595, 302603, 302611, 302619, 302627, 302635, 302643, 302651, 302659, 302667, 302675, 302683, 302691]</t>
  </si>
  <si>
    <t>[294256, 294266, 294275, 294286, 294293, 294302, 294310, 294317, 294323, 294333, 294339, 294344, 294352, 294359, 294367, 294375, 294385, 294395, 294401, 294410, 294419, 294427, 288806, 294443, 294455, 294462, 294473, 294480, 294488, 294498, 294508, 294516, 294527, 294535, 288823, 294549, 294558, 294565, 294571, 294579, 294588, 294593, 287991]</t>
  </si>
  <si>
    <t>[294255, 294256, 294266, 294275, 294286, 294293, 294302, 294310, 294317, 294323, 294333, 294339, 294344, 294352, 294359, 294367, 294375, 294385, 294395, 294401, 294410, 294419, 294427, 288806, 294443, 294455, 294462, 294473, 294480, 294488, 294498, 294508, 294516, 294527, 294535, 288823, 294549, 294558, 294565, 294571, 294579, 294588, 294593]</t>
  </si>
  <si>
    <t>[0.015, 0.0, 0.021, 0.034, 0.04, 0.031, 0.011, 0.008, 0.004, 0.028, 0.0, 0.026, 0.057, 0.031, 0.02, 0.031, 0.046, 0.053, 0.051, 0.053, 0.025, 0.033, 0.015, 0.002, 0.022, 0.011, 0.012, 0.018, 0.001, 0.039, 0.062, 0.033, 0.025, 0.144, 0.166, 0.041, 0.087, 0.087, 0.065, 0.05, 0.044, 0.038, 0.037]</t>
  </si>
  <si>
    <t>6468.05261028935</t>
  </si>
  <si>
    <t>[-0.169, -0.002, -0.003, -0.005]</t>
  </si>
  <si>
    <t>LINESTRING (17.385533884957205 68.42121156862116, 17.386495245069206 68.4206726657381, 17.386618113053782 68.42059020466492, 17.38674175627371 68.4205077055051, 17.38698847111125 68.42034424968145)</t>
  </si>
  <si>
    <t>[1021506, 1021514, 1021522, 1021530]</t>
  </si>
  <si>
    <t>[490296, 976868, 976874, 488387]</t>
  </si>
  <si>
    <t>[290450, 490296, 976868, 976874]</t>
  </si>
  <si>
    <t>[0.169, 0.002, 0.003, 0.005]</t>
  </si>
  <si>
    <t>113.81310694845422</t>
  </si>
  <si>
    <t>[-0.076, -0.063, -0.062, -0.046, -0.032, 0.283, 0.02]</t>
  </si>
  <si>
    <t>LINESTRING (17.37898049978173 68.42190762382296, 17.381424699556863 68.4218683594591, 17.38153454755704 68.42186640975024, 17.381655451170552 68.42186387179208, 17.381892895379803 68.42185927056393, 17.3834066293356 68.4217403905033, 17.384221874161756 68.42159987192254, 17.385533884957205 68.42121156862116)</t>
  </si>
  <si>
    <t>[488165, 488173, 488174, 488181, 488205, 488219, 298135]</t>
  </si>
  <si>
    <t>[488309, 488318, 488319, 488329, 488358, 290458, 290450]</t>
  </si>
  <si>
    <t>0.0038956950005257064</t>
  </si>
  <si>
    <t>[488308, 488309, 488318, 488319, 488329, 488358, 290458]</t>
  </si>
  <si>
    <t>[0.076, 0.063, 0.062, 0.046, 0.032, 0.283, 0.02]</t>
  </si>
  <si>
    <t>289.597451912606</t>
  </si>
  <si>
    <t>[-0.052, -0.035, -0.035, -0.029, -0.026, -0.018, 0.256, 0.027]</t>
  </si>
  <si>
    <t>LINESTRING (17.37898049978173 68.42190762382296, 17.38143649852885 68.42194910577719, 17.381557099039114 68.42194785556714, 17.381658220561867 68.42194684669738, 17.381905624712868 68.4219398061825, 17.383477525465032 68.42180506497785, 17.38370764126945 68.42176602260248, 17.384296485721045 68.4216460773726, 17.385533884957205 68.42121156862116)</t>
  </si>
  <si>
    <t>[490517, 490518, 490519, 490526, 490534, 490557, 490565, 298127]</t>
  </si>
  <si>
    <t>[490297, 490966, 490967, 490974, 490983, 491010, 290449, 290450]</t>
  </si>
  <si>
    <t>0.004071717186208704</t>
  </si>
  <si>
    <t>[488308, 490297, 490966, 490967, 490974, 490983, 491010, 290449]</t>
  </si>
  <si>
    <t>[0.052, 0.035, 0.035, 0.029, 0.026, 0.018, 0.256, 0.027]</t>
  </si>
  <si>
    <t>295.4425340930604</t>
  </si>
  <si>
    <t>[-0.037, -0.046, -0.033, -0.046, -0.049]</t>
  </si>
  <si>
    <t>LINESTRING (17.35463361570463 68.42429080025858, 17.35662352369965 68.42395494220945, 17.356833801464404 68.42391536449172, 17.356948122274368 68.42389395642284, 17.35855937855347 68.42361027305739, 17.359961948384505 68.42348053917472)</t>
  </si>
  <si>
    <t>[298143, 298151, 298159, 298167, 298175]</t>
  </si>
  <si>
    <t>[290467, 290474, 290480, 290486, 290493]</t>
  </si>
  <si>
    <t>[290466, 290467, 290474, 290480, 290486]</t>
  </si>
  <si>
    <t>[0.037, 0.046, 0.033, 0.046, 0.049]</t>
  </si>
  <si>
    <t>237.6994284615538</t>
  </si>
  <si>
    <t>[-0.045, -0.038, -0.038, -0.044, -0.033, -0.042]</t>
  </si>
  <si>
    <t>LINESTRING (17.35463361570463 68.42429080025858, 17.356725909061982 68.42401829514274, 17.356940529190123 68.42398084588037, 17.357040913134867 68.42396257769919, 17.35863373898288 68.423675366125, 17.358844212548373 68.4236410061549, 17.359961948384505 68.42348053917472)</t>
  </si>
  <si>
    <t>[298191, 298199, 298207, 298215, 298223, 298231]</t>
  </si>
  <si>
    <t>[290507, 290512, 290518, 290527, 290531, 290493]</t>
  </si>
  <si>
    <t>[290466, 290507, 290512, 290518, 290527, 290531]</t>
  </si>
  <si>
    <t>[0.045, 0.038, 0.038, 0.044, 0.033, 0.042]</t>
  </si>
  <si>
    <t>237.28369812184292</t>
  </si>
  <si>
    <t>2929.0</t>
  </si>
  <si>
    <t>LINESTRING (17.084676333621587 68.38258411562806, 17.35463361570463 68.42429080025858)</t>
  </si>
  <si>
    <t>16566.766998893174</t>
  </si>
  <si>
    <t>[-1.134, 0.012, -0.004, -0.053, 0.016, -0.0, 0.003]</t>
  </si>
  <si>
    <t>LINESTRING (17.359961948384505 68.42348053917472, 17.36013291387387 68.42346742986305, 17.360462705661636 68.42344475636874, 17.369811793252605 68.42259031889904, 17.37110253271968 68.42254660478729, 17.37119868885531 68.42254238799754, 17.37132547600882 68.42253499077297, 17.37898049978173 68.42190762382296)</t>
  </si>
  <si>
    <t>[1021450, 1021458, 1021466, 1021474, 1021482, 1021490, 1021498]</t>
  </si>
  <si>
    <t>[976823, 976830, 976836, 290578, 976850, 290586, 488308]</t>
  </si>
  <si>
    <t>[290493, 976823, 976830, 976836, 290578, 976850, 290586]</t>
  </si>
  <si>
    <t>[1.134, 0.012, 0.004, 0.053, 0.016, 0.0, 0.003]</t>
  </si>
  <si>
    <t>804.2599568069694</t>
  </si>
  <si>
    <t>[-0.028, -0.022, -0.002, 0.011, 0.028]</t>
  </si>
  <si>
    <t>LINESTRING (5.279778671331014 59.365199483722094, 5.279821706752098 59.3652143242895, 5.279896204894233 59.36526819407586, 5.279910958281158 59.36532036332843, 5.2798784415733335 59.365377449901864, 5.2797713276243465 59.36542990981138)</t>
  </si>
  <si>
    <t>[298259, 298267, 298275, 298283, 298291]</t>
  </si>
  <si>
    <t>[290567, 290574, 290582, 290589, 290597]</t>
  </si>
  <si>
    <t>0.0017019651152654634</t>
  </si>
  <si>
    <t>[290566, 290567, 290574, 290582, 290589]</t>
  </si>
  <si>
    <t>[0.028, 0.022, 0.002, 0.011, 0.028]</t>
  </si>
  <si>
    <t>31.33914058369507</t>
  </si>
  <si>
    <t>[-0.035, -0.037]</t>
  </si>
  <si>
    <t>LINESTRING (5.27955542238675 59.36519409986855, 5.279671359860343 59.36518354213235, 5.279778671331014 59.365199483722094)</t>
  </si>
  <si>
    <t>[298355, 298363]</t>
  </si>
  <si>
    <t>[290659, 290566]</t>
  </si>
  <si>
    <t>[290652, 290659]</t>
  </si>
  <si>
    <t>[0.035, 0.037]</t>
  </si>
  <si>
    <t>13.095840199262977</t>
  </si>
  <si>
    <t>[-0.002, 0.007, 0.006, 0.002, -0.005]</t>
  </si>
  <si>
    <t>LINESTRING (5.279235782093868 59.36377265651739, 5.279385842485905 59.363916442927135, 5.27952083432974 59.364202307328156, 5.279536507718587 59.364241224886946, 5.279760617563184 59.36513579800248, 5.279778671331014 59.365199483722094)</t>
  </si>
  <si>
    <t>[298443, 298451, 298459, 298467, 298475]</t>
  </si>
  <si>
    <t>[290733, 290739, 290749, 290757, 290566]</t>
  </si>
  <si>
    <t>0.0023601603040623964</t>
  </si>
  <si>
    <t>[290697, 290733, 290739, 290749, 290757]</t>
  </si>
  <si>
    <t>[0.002, 0.007, 0.006, 0.002, 0.005]</t>
  </si>
  <si>
    <t>163.57140089378686</t>
  </si>
  <si>
    <t>[0.036, 0.035]</t>
  </si>
  <si>
    <t>LINESTRING (5.2797713276243465 59.36542990981138, 5.2796448273464645 59.36544360686181, 5.279554924193458 59.36543241147271)</t>
  </si>
  <si>
    <t>[298299, 298307]</t>
  </si>
  <si>
    <t>[290606, 290615]</t>
  </si>
  <si>
    <t>0.03558288117772408</t>
  </si>
  <si>
    <t>[290597, 290606]</t>
  </si>
  <si>
    <t>12.657752541468994</t>
  </si>
  <si>
    <t>[0.008, 0.005, 0.001]</t>
  </si>
  <si>
    <t>LINESTRING (5.2797713276243465 59.36542990981138, 5.279754061298541 59.36548283525008, 5.279202289051862 59.36716398115841, 5.279171881783983 59.3673343691329)</t>
  </si>
  <si>
    <t>[298539, 298548, 298556]</t>
  </si>
  <si>
    <t>[290832, 290840, 290791]</t>
  </si>
  <si>
    <t>0.004729733172788527</t>
  </si>
  <si>
    <t>[290597, 290832, 290840]</t>
  </si>
  <si>
    <t>216.46269167130384</t>
  </si>
  <si>
    <t>[0.051, 0.06, 0.063, 0.073, 0.067, 0.071]</t>
  </si>
  <si>
    <t>LINESTRING (17.424184534622103 68.43148776081506, 17.42407471076239 68.43185373423518, 17.424060414777358 68.43193942550035, 17.424096559749085 68.4324311023216, 17.424119260076083 68.43250601752202, 17.424142924002957 68.43257922254082, 17.424313652845456 68.43314981197105)</t>
  </si>
  <si>
    <t>[298295, 298303, 298311, 298319, 298327, 298335]</t>
  </si>
  <si>
    <t>[290601, 290610, 290618, 290624, 290633, 290641]</t>
  </si>
  <si>
    <t>0.06358058778913821</t>
  </si>
  <si>
    <t>[290600, 290601, 290610, 290618, 290624, 290633]</t>
  </si>
  <si>
    <t>186.23925761945338</t>
  </si>
  <si>
    <t>[0.039, 0.061, 0.076, 0.07, 0.081]</t>
  </si>
  <si>
    <t>LINESTRING (17.424184534622103 68.43148776081506, 17.42387070517285 68.43193472441125, 17.423900056920573 68.43244068864387, 17.42393125253035 68.43251544491541, 17.42396453116619 68.43258846581544, 17.424313652845456 68.43314981197105)</t>
  </si>
  <si>
    <t>[298343, 298351, 298359, 298367, 298375]</t>
  </si>
  <si>
    <t>[290647, 290655, 290663, 290670, 290641]</t>
  </si>
  <si>
    <t>0.06285626970534244</t>
  </si>
  <si>
    <t>[290600, 290647, 290655, 290663, 290670]</t>
  </si>
  <si>
    <t>189.11566916254873</t>
  </si>
  <si>
    <t>[0.04, 0.082, 0.121, 0.018, -0.199, -0.116, -0.045, -0.072]</t>
  </si>
  <si>
    <t>LINESTRING (17.427231179586872 68.41129118324508, 17.42737368266096 68.41155543143405, 17.429104146455973 68.4126965365175, 17.430257225662654 68.41315849672868, 17.428822050988785 68.42883445236461, 17.427553980955505 68.4292797826127, 17.42590667876418 68.43006428143012, 17.42493361023739 68.43072841586897, 17.424184534622103 68.43148776081506)</t>
  </si>
  <si>
    <t>[429668, 429676, 429684, 429692, 429700, 429708, 429716, 429724]</t>
  </si>
  <si>
    <t>[0, 0, 1, 1, 0, 0, 0, 0]</t>
  </si>
  <si>
    <t>[427857, 427867, 427876, 427883, 427889, 427896, 427904, 290600]</t>
  </si>
  <si>
    <t>0.007786186486914221</t>
  </si>
  <si>
    <t>[427856, 427857, 427867, 427876, 427883, 427889, 427896, 427904]</t>
  </si>
  <si>
    <t>[0.04, 0.082, 0.121, 0.018, 0.199, 0.116, 0.045, 0.072]</t>
  </si>
  <si>
    <t>2601.9417935322335</t>
  </si>
  <si>
    <t>[0.027, 0.021, 0.01, -0.009, -0.025]</t>
  </si>
  <si>
    <t>LINESTRING (5.279554924193458 59.36543241147271, 5.279478143293857 59.365405590504245, 5.279429673338796 59.3653698123079, 5.279401466230506 59.365314785851126, 5.279416260474284 59.36527281597019, 5.27955542238675 59.36519409986855)</t>
  </si>
  <si>
    <t>[298315, 298323, 298331, 298339, 298347]</t>
  </si>
  <si>
    <t>[290621, 290629, 290638, 290645, 290652]</t>
  </si>
  <si>
    <t>[290615, 290621, 290629, 290638, 290645]</t>
  </si>
  <si>
    <t>[0.027, 0.021, 0.01, 0.009, 0.025]</t>
  </si>
  <si>
    <t>33.42156084632916</t>
  </si>
  <si>
    <t>[-0.003, 0.004, -0.008]</t>
  </si>
  <si>
    <t>LINESTRING (5.279554924193458 59.36543241147271, 5.279555736999566 59.36548254619426, 5.279064741061636 59.367164620011685, 5.279171881783983 59.3673343691329)</t>
  </si>
  <si>
    <t>[298483, 298491, 298499]</t>
  </si>
  <si>
    <t>[290774, 290782, 290791]</t>
  </si>
  <si>
    <t>0.002715086865164483</t>
  </si>
  <si>
    <t>[290615, 290774, 290782]</t>
  </si>
  <si>
    <t>[0.003, 0.004, 0.008]</t>
  </si>
  <si>
    <t>216.69106625208786</t>
  </si>
  <si>
    <t>[0.181, 0.063, 0.058]</t>
  </si>
  <si>
    <t>LINESTRING (17.424313652845456 68.43314981197105, 17.424373697062027 68.43329603775763, 17.424407196526854 68.43342420503467, 17.424448792175422 68.43359656319939)</t>
  </si>
  <si>
    <t>[429732, 429740, 429748]</t>
  </si>
  <si>
    <t>[427917, 427926, 427933]</t>
  </si>
  <si>
    <t>0.09988237929453582</t>
  </si>
  <si>
    <t>[290641, 427917, 427926]</t>
  </si>
  <si>
    <t>50.144013969955786</t>
  </si>
  <si>
    <t>[0.015, 0.008, 0.007, 0.003, 0.0]</t>
  </si>
  <si>
    <t>LINESTRING (5.279235782093868 59.36377265651739, 5.279262545661757 59.36394090692717, 5.279381484683936 59.36421738839998, 5.2793974228074045 59.36425520451509, 5.279563115209382 59.36513898912025, 5.27955542238675 59.36519409986855)</t>
  </si>
  <si>
    <t>[298403, 298411, 298419, 298427, 298435]</t>
  </si>
  <si>
    <t>[290698, 290704, 290709, 290714, 290652]</t>
  </si>
  <si>
    <t>0.0053877046863301655</t>
  </si>
  <si>
    <t>[290697, 290698, 290704, 290709, 290714]</t>
  </si>
  <si>
    <t>160.56213784471277</t>
  </si>
  <si>
    <t>[-0.007, -0.007, -0.006, -0.004, 0.0, 0.091]</t>
  </si>
  <si>
    <t>LINESTRING (5.276765658717814 59.35913825190469, 5.2772279308294054 59.360175549939854, 5.277250272052863 59.360212464763904, 5.277844809541537 59.361277855121266, 5.2780984860573845 59.36172334489647, 5.27908452648897 59.36349680889573, 5.279235782093868 59.36377265651739)</t>
  </si>
  <si>
    <t>[369320, 369328, 369336, 369344, 369352, 369360]</t>
  </si>
  <si>
    <t>[358210, 353461, 358224, 358235, 358245, 290697]</t>
  </si>
  <si>
    <t>0.002048955405833313</t>
  </si>
  <si>
    <t>[358209, 358210, 353461, 358224, 358235, 358245]</t>
  </si>
  <si>
    <t>[0.007, 0.007, 0.006, 0.004, 0.0, 0.091]</t>
  </si>
  <si>
    <t>537.016772843675</t>
  </si>
  <si>
    <t>[-0.076, 0.037, 0.053, -0.021, -0.014]</t>
  </si>
  <si>
    <t>12378.0</t>
  </si>
  <si>
    <t>LINESTRING (5.279171881783983 59.3673343691329, 5.279568990385869 59.36799194328307, 5.281272405027631 59.370007930614626, 5.28130102157695 59.3700541969662, 5.282055832338382 59.372268026430675, 5.2821599460435 59.37248609828303)</t>
  </si>
  <si>
    <t>[369368, 369376, 369384, 369392, 369400]</t>
  </si>
  <si>
    <t>[358266, 358277, 358286, 358296, 358306]</t>
  </si>
  <si>
    <t>[290791, 358266, 358277, 358286, 358296]</t>
  </si>
  <si>
    <t>[0.076, 0.037, 0.053, 0.021, 0.014]</t>
  </si>
  <si>
    <t>604.4289687986906</t>
  </si>
  <si>
    <t>0.029</t>
  </si>
  <si>
    <t>82.70785200801109</t>
  </si>
  <si>
    <t>[0.045, 0.087, 0.002, -0.022, -0.077, -0.033, 0.009, 0.085, 0.061, 0.039, -0.017, 0.011, -0.022, 0.174, 0.157, 0.148, 0.049, 0.005, -0.008, -0.01, 0.112, -0.089, -0.036, 0.052, 0.053, 0.056]</t>
  </si>
  <si>
    <t>[0, 0, 0, 0, 1, 0, 1, 1, 0, 0, 0, 0, 0, 1, 0, 0, 0, 0, 0, 0, 1, 0, 0, 0, 0, 0]</t>
  </si>
  <si>
    <t>LINESTRING (9.004917661595275 58.68788534774994, 9.000310907626659 58.68556447410065, 8.998581615212816 58.68469032744628, 8.994749965675732 58.68217025811824, 8.98987065183379 58.67736670420281, 8.989610771734764 58.67715266228414, 8.9869679666605 58.67532096398775, 8.986685759036959 58.67515639010523, 8.98584173744487 58.67467031351897, 8.985674454466526 58.674574133992046, 8.984811382061423 58.67407841386835, 8.980715242504976 58.6708962784642, 8.980587590042092 58.67078321333312, 8.975568669463911 58.668475003669215, 8.975404547252033 58.668447577424075, 8.974800214379655 58.668363100155226, 8.974136418388307 58.668290251402986, 8.971444685510217 58.667933075470486, 8.968018026568565 58.66557086066996, 8.963794239912042 58.66168000720673, 8.95797171278976 58.658575781590514, 8.956439862056376 58.65785386761819, 8.954079489791082 58.656989016827694, 8.950769824947006 58.65586787462806, 8.94992903984065 58.65558217406009, 8.9468741904802 58.654539530197056, 8.945432592711725 58.65402464389193)</t>
  </si>
  <si>
    <t>[637418, 637426, 637434, 637442, 637450, 637458, 637466, 637474, 637482, 637490, 637498, 637506, 637514, 637522, 637530, 637538, 637546, 637554, 637562, 637570, 637578, 299623, 299631, 299639, 299647, 299655]</t>
  </si>
  <si>
    <t>[632235, 632242, 632250, 632258, 632264, 632270, 632276, 632281, 632289, 632295, 632302, 632311, 632317, 632324, 632331, 632337, 632343, 632351, 632354, 632361, 291771, 291772, 291783, 154381, 291796, 291803]</t>
  </si>
  <si>
    <t>0.004622502968424235</t>
  </si>
  <si>
    <t>[632227, 632235, 632242, 632250, 632258, 632264, 632270, 632276, 632281, 632289, 632295, 632302, 632311, 632317, 632324, 632331, 632337, 632343, 632351, 632354, 632361, 291771, 291772, 291783, 154381, 291796]</t>
  </si>
  <si>
    <t>[0.045, 0.087, 0.002, 0.022, 0.077, 0.033, 0.009, 0.085, 0.061, 0.039, 0.017, 0.011, 0.022, 0.174, 0.157, 0.148, 0.049, 0.005, 0.008, 0.01, 0.112, 0.089, 0.036, 0.052, 0.053, 0.056]</t>
  </si>
  <si>
    <t>5255.316864447599</t>
  </si>
  <si>
    <t>[0.107, 0.017, -0.023]</t>
  </si>
  <si>
    <t>LINESTRING (8.942918706431213 58.652292537934116, 8.942825487730717 58.65237138901867, 8.945128693070963 58.653866425954945, 8.945432592711725 58.65402464389193)</t>
  </si>
  <si>
    <t>[1766291, 1766299, 1766307]</t>
  </si>
  <si>
    <t>[1559942, 1559947, 291803]</t>
  </si>
  <si>
    <t>0.016735091229356767</t>
  </si>
  <si>
    <t>[113916, 1559942, 1559947]</t>
  </si>
  <si>
    <t>[0.107, 0.017, 0.023]</t>
  </si>
  <si>
    <t>260.64693536073383</t>
  </si>
  <si>
    <t>[-0.005, -0.047, -0.075]</t>
  </si>
  <si>
    <t>LINESTRING (8.9443267467052 58.65355818979093, 8.943170296822151 58.65294224990545, 8.942659110749576 58.65261104135385, 8.942514915991033 58.65250841567235)</t>
  </si>
  <si>
    <t>[299671, 299679, 299687]</t>
  </si>
  <si>
    <t>[291821, 291829, 291836]</t>
  </si>
  <si>
    <t>[291813, 291821, 291829]</t>
  </si>
  <si>
    <t>[0.005, 0.047, 0.075]</t>
  </si>
  <si>
    <t>157.72622434032647</t>
  </si>
  <si>
    <t>[0.025, -0.091]</t>
  </si>
  <si>
    <t>LINESTRING (8.9443267467052 58.65355818979093, 8.94394963815632 58.653419427899195, 8.941823160659544 58.65256973581796)</t>
  </si>
  <si>
    <t>[1762737, 1762745]</t>
  </si>
  <si>
    <t>[1558014, 1039958]</t>
  </si>
  <si>
    <t>[291813, 1558014]</t>
  </si>
  <si>
    <t>[0.025, 0.091]</t>
  </si>
  <si>
    <t>187.7010622875211</t>
  </si>
  <si>
    <t>0.085</t>
  </si>
  <si>
    <t>98.678447364666</t>
  </si>
  <si>
    <t>[-0.082, -0.095, -0.096]</t>
  </si>
  <si>
    <t>LINESTRING (8.942514915991033 58.65250841567235, 8.941552826280923 58.65174712526481, 8.940841456921325 58.6509421159532, 8.940506944743971 58.650505258866076)</t>
  </si>
  <si>
    <t>[1105738, 1105746, 1105747]</t>
  </si>
  <si>
    <t>[1046778, 1046786, 1046787]</t>
  </si>
  <si>
    <t>[291836, 1046778, 1046786]</t>
  </si>
  <si>
    <t>[0.082, 0.095, 0.096]</t>
  </si>
  <si>
    <t>253.38584415548794</t>
  </si>
  <si>
    <t>[-0.011, -0.013, -0.022, -0.008]</t>
  </si>
  <si>
    <t>LINESTRING (10.437358776476566 61.23996217984147, 10.436442595429908 61.24260189327274, 10.436390379013323 61.242826646558335, 10.43656554769331 61.24568509989002, 10.436803149078804 61.24640011580953)</t>
  </si>
  <si>
    <t>[301368, 301376, 301384, 301392]</t>
  </si>
  <si>
    <t>[293273, 293281, 293288, 293294]</t>
  </si>
  <si>
    <t>[293267, 293273, 293281, 293288]</t>
  </si>
  <si>
    <t>[0.011, 0.013, 0.022, 0.008]</t>
  </si>
  <si>
    <t>723.9099624532457</t>
  </si>
  <si>
    <t>[-0.003, -0.005, 0.004, 0.03, 0.01, -0.003, 0.012, 0.007, 0.039, -0.002, 0.01, 0.01]</t>
  </si>
  <si>
    <t>[0, 0, 1, 0, 0, 0, 0, 0, 0, 0, 0, 0]</t>
  </si>
  <si>
    <t>LINESTRING (10.415194224498354 61.195854302178574, 10.41557222453341 61.19635941046907, 10.429944180328183 61.20749516993865, 10.430193719852438 61.20759973710173, 10.432274574102854 61.20855682059588, 10.432311494705218 61.20857732148606, 10.43284317884459 61.208850542578425, 10.434068929055613 61.20953570856535, 10.444718186948782 61.21935331963129, 10.445065365542233 61.22001257813966, 10.445362856510618 61.23056881932808, 10.43782568711994 61.23888768991439, 10.437358776476566 61.23996217984147)</t>
  </si>
  <si>
    <t>[1691017, 1691025, 1691033, 1691041, 1691049, 1691057, 1691065, 1691073, 1691081, 1691089, 301352, 301360]</t>
  </si>
  <si>
    <t>[1513727, 1513733, 1513737, 1513740, 1513747, 1513751, 1513757, 1513761, 1513768, 293259, 293260, 293267]</t>
  </si>
  <si>
    <t>0.0034179865964651217</t>
  </si>
  <si>
    <t>[1513725, 1513727, 1513733, 1513737, 1513740, 1513747, 1513751, 1513757, 1513761, 1513768, 293259, 293260]</t>
  </si>
  <si>
    <t>[0.003, 0.005, 0.004, 0.03, 0.01, 0.003, 0.012, 0.007, 0.039, 0.002, 0.01, 0.01]</t>
  </si>
  <si>
    <t>5531.0908531217365</t>
  </si>
  <si>
    <t>[0.015, -0.003, 0.013, 0.028]</t>
  </si>
  <si>
    <t>7867.0</t>
  </si>
  <si>
    <t>LINESTRING (10.436803149078804 61.24640011580953, 10.437311061775565 61.25023019015497, 10.421291616335523 61.25910203140017, 10.418575152124346 61.26054560408495, 10.417954321516188 61.260869056782234)</t>
  </si>
  <si>
    <t>[301400, 301464, 301560, 301568]</t>
  </si>
  <si>
    <t>[293298, 293356, 293457, 293466]</t>
  </si>
  <si>
    <t>0.003256153779540665</t>
  </si>
  <si>
    <t>[293294, 293298, 293356, 293457]</t>
  </si>
  <si>
    <t>[0.015, 0.003, 0.013, 0.028]</t>
  </si>
  <si>
    <t>2036.308096718641</t>
  </si>
  <si>
    <t>[-0.004, 0.002, 0.005, -0.013]</t>
  </si>
  <si>
    <t>LINESTRING (10.437708589019334 61.23887676403181, 10.43724113059024 61.23995294383382, 10.436324360290037 61.24259484908829, 10.4362715845356 61.24282267705574, 10.436447727084348 61.24569362782713)</t>
  </si>
  <si>
    <t>[301416, 301424, 301432, 301440]</t>
  </si>
  <si>
    <t>[293312, 293316, 293323, 293331]</t>
  </si>
  <si>
    <t>[293304, 293312, 293316, 293323]</t>
  </si>
  <si>
    <t>[0.004, 0.002, 0.005, 0.013]</t>
  </si>
  <si>
    <t>767.7408471181195</t>
  </si>
  <si>
    <t>[-0.012, -0.003, -0.005, 0.006, 0.029, 0.02, -0.005, 0.012, 0.006, 0.043, 0.008, -0.004]</t>
  </si>
  <si>
    <t>12024.0</t>
  </si>
  <si>
    <t>[0, 0, 0, 1, 0, 0, 0, 0, 0, 0, 0, 0]</t>
  </si>
  <si>
    <t>LINESTRING (10.414739027514198 61.19524465573373, 10.415116080705612 61.19586674271434, 10.415493896684575 61.196372339628525, 10.429862964645151 61.20752039369828, 10.430119557261023 61.20762645835727, 10.432153698787868 61.2085727025521, 10.432197841682237 61.20859353733313, 10.432751567327854 61.20888855577005, 10.433957732387189 61.20957905071138, 10.44459945509923 61.2193709044352, 10.44495839847646 61.2200190935076, 10.44528349381366 61.230547442787696, 10.437708589019334 61.23887676403181)</t>
  </si>
  <si>
    <t>[1690897, 1690905, 1690913, 1690921, 1690929, 1690937, 1690945, 1690953, 1690961, 1690969, 1690977, 301408]</t>
  </si>
  <si>
    <t>[1513656, 1513662, 1513667, 1513670, 1513677, 1513683, 1513686, 1513690, 1513694, 1513698, 293303, 293304]</t>
  </si>
  <si>
    <t>0.0024431260712649183</t>
  </si>
  <si>
    <t>[1513650, 1513656, 1513662, 1513667, 1513670, 1513677, 1513683, 1513686, 1513690, 1513694, 1513698, 293303]</t>
  </si>
  <si>
    <t>[0.012, 0.003, 0.005, 0.006, 0.029, 0.02, 0.005, 0.012, 0.006, 0.043, 0.008, 0.004]</t>
  </si>
  <si>
    <t>5477.270762882766</t>
  </si>
  <si>
    <t>[-0.013, 0.008, -0.003, 0.012]</t>
  </si>
  <si>
    <t>LINESTRING (10.436447727084348 61.24569362782713, 10.43668551309751 61.246409153843025, 10.437126225601714 61.25021622624429, 10.42115198835692 61.25904407083404, 10.41849168705596 61.26050446058626)</t>
  </si>
  <si>
    <t>[301448, 301456, 301472, 301488]</t>
  </si>
  <si>
    <t>[293339, 293346, 293365, 293381]</t>
  </si>
  <si>
    <t>0.0004710637370462704</t>
  </si>
  <si>
    <t>[293331, 293339, 293346, 293365]</t>
  </si>
  <si>
    <t>[0.013, 0.008, 0.003, 0.012]</t>
  </si>
  <si>
    <t>2060.033711467766</t>
  </si>
  <si>
    <t>[0.031, 0.007, -0.04]</t>
  </si>
  <si>
    <t>LINESTRING (10.41849168705596 61.26050446058626, 10.417869749816546 61.26082858590333, 10.4115371047796 61.264238895967594, 10.410292486312889 61.26545707095257)</t>
  </si>
  <si>
    <t>[301496, 301504, 301512]</t>
  </si>
  <si>
    <t>[293388, 293396, 293404]</t>
  </si>
  <si>
    <t>[293381, 293388, 293396]</t>
  </si>
  <si>
    <t>[0.031, 0.007, 0.04]</t>
  </si>
  <si>
    <t>711.5722438138484</t>
  </si>
  <si>
    <t>[0.003, -0.001, -0.003, 0.301]</t>
  </si>
  <si>
    <t>[1, 1, 0, 0]</t>
  </si>
  <si>
    <t>LINESTRING (10.413151174857525 61.26295899834837, 10.413186533159877 61.26294068111221, 10.413531804664625 61.26276325212873, 10.41818760713569 61.260640056326714, 10.41849168705596 61.26050446058626)</t>
  </si>
  <si>
    <t>[1708995, 1709003, 1709011, 1709043]</t>
  </si>
  <si>
    <t>[1525443, 1525451, 1525457, 293381]</t>
  </si>
  <si>
    <t>0.01420788345327259</t>
  </si>
  <si>
    <t>[1525442, 1525443, 1525451, 1525457]</t>
  </si>
  <si>
    <t>[0.003, 0.001, 0.003, 0.301]</t>
  </si>
  <si>
    <t>397.14274393740976</t>
  </si>
  <si>
    <t>[0.081, 0.004, -0.006, 0.035, 0.093, 0.001, 0.088, 0.021, -0.034, -0.064, 0.017, 0.127]</t>
  </si>
  <si>
    <t>LINESTRING (10.410292486312889 61.26545707095257, 10.410249366372705 61.26551273358434, 10.392980346939789 61.27463636602319, 10.39286613322297 61.274679542436765, 10.38630858079919 61.277496588894394, 10.385949326925408 61.27758225191428, 10.359989631972782 61.27897553129306, 10.358255380141353 61.27894917065261, 10.355059691813533 61.27843651336577, 10.35498306169289 61.278417580278784, 10.35289995164523 61.27792659800957, 10.344060252118794 61.27757460625109, 10.343650785423998 61.2776403026774)</t>
  </si>
  <si>
    <t>[301520, 301528, 301536, 301544, 301552, 301743, 301631, 301639, 301647, 301655, 301663, 301671]</t>
  </si>
  <si>
    <t>[293413, 293423, 293433, 287759, 293447, 293531, 293532, 293543, 293548, 293556, 287324, 293574]</t>
  </si>
  <si>
    <t>0.009709982950616033</t>
  </si>
  <si>
    <t>[293404, 293413, 293423, 293433, 287759, 293447, 293531, 293532, 293543, 293548, 293556, 287324]</t>
  </si>
  <si>
    <t>[0.081, 0.004, 0.006, 0.035, 0.093, 0.001, 0.088, 0.021, 0.034, 0.064, 0.017, 0.127]</t>
  </si>
  <si>
    <t>4240.015822633456</t>
  </si>
  <si>
    <t>[-0.03, -0.015, 0.002, -0.018]</t>
  </si>
  <si>
    <t>LINESTRING (10.410292486312889 61.26545707095257, 10.410370522658969 61.26530999885329, 10.412820548502816 61.26313458439128, 10.413115272075197 61.262977207201416, 10.413151174857525 61.26295899834837)</t>
  </si>
  <si>
    <t>[1709051, 1709059, 1709067, 1709075]</t>
  </si>
  <si>
    <t>[1525485, 1525493, 1525500, 1525442]</t>
  </si>
  <si>
    <t>[293404, 1525485, 1525493, 1525500]</t>
  </si>
  <si>
    <t>[0.03, 0.015, 0.002, 0.018]</t>
  </si>
  <si>
    <t>319.89916031319626</t>
  </si>
  <si>
    <t>509.2037263337785</t>
  </si>
  <si>
    <t>[-0.497, 0.049, 0.11]</t>
  </si>
  <si>
    <t>LINESTRING (10.417954321516188 61.260869056782234, 10.417787060383828 61.26098163705564, 10.41611462224048 61.26284774416345, 10.416215792506593 61.26287751864656)</t>
  </si>
  <si>
    <t>[1709099, 1709083, 1709091]</t>
  </si>
  <si>
    <t>[1525510, 1525511, 1525049]</t>
  </si>
  <si>
    <t>0.020388800710036015</t>
  </si>
  <si>
    <t>[293466, 1525510, 1525511]</t>
  </si>
  <si>
    <t>[0.497, 0.049, 0.11]</t>
  </si>
  <si>
    <t>280.902193974875</t>
  </si>
  <si>
    <t>[-0.035, 0.107, 0.003, -0.006, 0.038, 0.124, -0.0, 0.044, -0.032, -0.064, 0.038, 0.004, 0.092, 0.07]</t>
  </si>
  <si>
    <t>[0, 0, 0, 1, 0, 0, 0, 0, 0, 0, 0, 0, 0, 0]</t>
  </si>
  <si>
    <t>LINESTRING (10.411640498436991 61.2642675171541, 10.410398821695201 61.265483859208715, 10.410355846929741 61.26553967967369, 10.393052529606889 61.274682492321475, 10.392938432932207 61.27472499828817, 10.386369873693718 61.27755830192257, 10.38603739230108 61.27765935624558, 10.359998666937454 61.27906100859558, 10.35501783377721 61.27849067551057, 10.354940405402917 61.27847158012496, 10.352856758555774 61.27798016515287, 10.352849572776092 61.27797872247461, 10.345330937750019 61.27751019663261, 10.344074418838147 61.27761702113355, 10.343650785423998 61.2776403026774)</t>
  </si>
  <si>
    <t>[301584, 301591, 301599, 301607, 301615, 301623, 301735, 301679, 301687, 301695, 301703, 301711, 301719, 301727]</t>
  </si>
  <si>
    <t>[293484, 293490, 293499, 293505, 287750, 293522, 293582, 293583, 293592, 293601, 293608, 293615, 293622, 293574]</t>
  </si>
  <si>
    <t>0.007712257458585955</t>
  </si>
  <si>
    <t>[293477, 293484, 293490, 293499, 293505, 287750, 293522, 293582, 293583, 293592, 293601, 293608, 293615, 293622]</t>
  </si>
  <si>
    <t>[0.035, 0.107, 0.003, 0.006, 0.038, 0.124, 0.0, 0.044, 0.032, 0.064, 0.038, 0.004, 0.092, 0.07]</t>
  </si>
  <si>
    <t>4398.562854073347</t>
  </si>
  <si>
    <t>[-0.129, -0.001, -0.048]</t>
  </si>
  <si>
    <t>LINESTRING (10.415977851108911 61.262947973084, 10.41593397380621 61.26290952621396, 10.41201531189815 61.26403008344437, 10.411640498436991 61.2642675171541)</t>
  </si>
  <si>
    <t>[1709107, 1709115, 302641]</t>
  </si>
  <si>
    <t>[1525530, 294557, 293477]</t>
  </si>
  <si>
    <t>[1525045, 1525530, 294557]</t>
  </si>
  <si>
    <t>[0.129, 0.001, 0.048]</t>
  </si>
  <si>
    <t>339.6070858710715</t>
  </si>
  <si>
    <t>[0.125, 0.281, 0.253, 0.28, -0.172]</t>
  </si>
  <si>
    <t>7917.0</t>
  </si>
  <si>
    <t>LINESTRING (10.343650785423998 61.2776403026774, 10.317047256342079 61.29046016499293, 10.317042612635555 61.29046885430215, 10.316719430711727 61.29106749335189, 10.31671469650111 61.29107616153799, 10.305613385302312 61.30446534542221)</t>
  </si>
  <si>
    <t>[301751, 301759, 301767, 301775, 301783]</t>
  </si>
  <si>
    <t>[293647, 293655, 293664, 293671, 293678]</t>
  </si>
  <si>
    <t>0.0030917071569971865</t>
  </si>
  <si>
    <t>[293574, 293647, 293655, 293664, 293671]</t>
  </si>
  <si>
    <t>[0.125, 0.281, 0.253, 0.28, 0.172]</t>
  </si>
  <si>
    <t>3869.864057170247</t>
  </si>
  <si>
    <t>[-0.006, -0.008]</t>
  </si>
  <si>
    <t>LINESTRING (13.567408149818666 68.13463853338962, 13.565471404588303 68.13429743824511, 13.565286729033563 68.13425298268352)</t>
  </si>
  <si>
    <t>[302015, 302023]</t>
  </si>
  <si>
    <t>[293902, 293911]</t>
  </si>
  <si>
    <t>[293901, 293902]</t>
  </si>
  <si>
    <t>[0.006, 0.008]</t>
  </si>
  <si>
    <t>98.39491423306679</t>
  </si>
  <si>
    <t>[-0.007, -0.008]</t>
  </si>
  <si>
    <t>LINESTRING (13.567408149818666 68.13463853338962, 13.565604785148897 68.1342270393973, 13.565231112951903 68.1341302590444)</t>
  </si>
  <si>
    <t>[302031, 302039]</t>
  </si>
  <si>
    <t>[293918, 293924]</t>
  </si>
  <si>
    <t>[293901, 293918]</t>
  </si>
  <si>
    <t>[0.007, 0.008]</t>
  </si>
  <si>
    <t>106.79429834772483</t>
  </si>
  <si>
    <t>66.63668728121239</t>
  </si>
  <si>
    <t>13.877302223578896</t>
  </si>
  <si>
    <t>[0.004, 0.011]</t>
  </si>
  <si>
    <t>LINESTRING (13.565231112951903 68.1341302590444, 13.564972427921752 68.13416468261164, 13.564171010973581 68.13468163588749)</t>
  </si>
  <si>
    <t>[302047, 302055]</t>
  </si>
  <si>
    <t>[293934, 293942]</t>
  </si>
  <si>
    <t>0.009975815767038166</t>
  </si>
  <si>
    <t>[293924, 293934]</t>
  </si>
  <si>
    <t>78.02924920853346</t>
  </si>
  <si>
    <t>1815.0</t>
  </si>
  <si>
    <t>LINESTRING (13.564171010973581 68.13468163588749, 13.44341094269305 68.1054782195722)</t>
  </si>
  <si>
    <t>14206.539524385877</t>
  </si>
  <si>
    <t>0.125</t>
  </si>
  <si>
    <t>21.29446160635853</t>
  </si>
  <si>
    <t>[0.015, 0.006, 0.014, 0.022]</t>
  </si>
  <si>
    <t>LINESTRING (11.255321309924858 60.56315883219703, 11.2552903771473 60.56311390296566, 11.255235864701255 60.5630515306856, 11.253506206995631 60.55985087442905, 11.253456841735092 60.55962356403707)</t>
  </si>
  <si>
    <t>[302316, 302324, 302332, 2105746]</t>
  </si>
  <si>
    <t>[294209, 294218, 294228, 1819179]</t>
  </si>
  <si>
    <t>0.014360220699247622</t>
  </si>
  <si>
    <t>[294208, 294209, 294218, 294228]</t>
  </si>
  <si>
    <t>412.3924664326093</t>
  </si>
  <si>
    <t>[-0.028, -0.003, 0.029, 0.047]</t>
  </si>
  <si>
    <t>LINESTRING (11.255458480395577 60.563404469728475, 11.25535840334284 60.563373060539035, 11.255269908004452 60.56330155528729, 11.255265000584997 60.56321936222454, 11.255321309924858 60.56315883219703)</t>
  </si>
  <si>
    <t>[302444, 302452, 302460, 302468]</t>
  </si>
  <si>
    <t>[294345, 294353, 294360, 294208]</t>
  </si>
  <si>
    <t>0.012464193630419687</t>
  </si>
  <si>
    <t>[294287, 294345, 294353, 294360]</t>
  </si>
  <si>
    <t>[0.028, 0.003, 0.029, 0.047]</t>
  </si>
  <si>
    <t>32.42289170884</t>
  </si>
  <si>
    <t>[0.006, 0.012, 0.015]</t>
  </si>
  <si>
    <t>LINESTRING (10.502614439899647 60.26905772239342, 10.508905561460708 60.27479830028292, 10.509189405923921 60.27498511298097, 10.509766629386743 60.27531943633586)</t>
  </si>
  <si>
    <t>[1851669, 1851670, 1851673]</t>
  </si>
  <si>
    <t>[1621311, 1621312, 294255]</t>
  </si>
  <si>
    <t>0.006743527013868491</t>
  </si>
  <si>
    <t>[1621301, 1621311, 1621312]</t>
  </si>
  <si>
    <t>808.2019845922624</t>
  </si>
  <si>
    <t>[0.001, -0.006, 0.01, 0.022]</t>
  </si>
  <si>
    <t>LINESTRING (10.503715539455968 60.269789443642935, 10.508078322916148 60.274153796752714, 10.50899214467617 60.27476589115841, 10.509276178619748 60.27495251223996, 10.509766629386743 60.27531943633586)</t>
  </si>
  <si>
    <t>[1852910, 1852917, 1852936, 1852946]</t>
  </si>
  <si>
    <t>[1622462, 1622468, 1622488, 294255]</t>
  </si>
  <si>
    <t>0.001959625382172898</t>
  </si>
  <si>
    <t>[1621916, 1622462, 1622468, 1622488]</t>
  </si>
  <si>
    <t>[0.001, 0.006, 0.01, 0.022]</t>
  </si>
  <si>
    <t>706.0361381842857</t>
  </si>
  <si>
    <t>[0.17, 0.07, 0.008, -0.104]</t>
  </si>
  <si>
    <t>LINESTRING (11.255671577044753 60.56309845138863, 11.255805711775135 60.56313376407351, 11.255894033273844 60.56319889128647, 11.255916050327238 60.56327052651774, 11.255859877857167 60.563347230794875)</t>
  </si>
  <si>
    <t>[302404, 302412, 302420, 302428]</t>
  </si>
  <si>
    <t>[294311, 294318, 294324, 294294]</t>
  </si>
  <si>
    <t>0.033566692868516254</t>
  </si>
  <si>
    <t>[294257, 294311, 294318, 294324]</t>
  </si>
  <si>
    <t>[0.17, 0.07, 0.008, 0.104]</t>
  </si>
  <si>
    <t>34.2296442784575</t>
  </si>
  <si>
    <t>[0.014, -0.011, -0.012, -0.033]</t>
  </si>
  <si>
    <t>LINESTRING (11.253433855259203 60.559236146060336, 11.253580040004175 60.55940464881099, 11.255662769364413 60.5629978934352, 11.255665292355125 60.56304990833851, 11.255671577044753 60.56309845138863)</t>
  </si>
  <si>
    <t>[2105778, 302340, 302348, 302356]</t>
  </si>
  <si>
    <t>[294237, 294238, 294247, 294257]</t>
  </si>
  <si>
    <t>[1819189, 294237, 294238, 294247]</t>
  </si>
  <si>
    <t>[0.014, 0.011, 0.012, 0.033]</t>
  </si>
  <si>
    <t>451.8973742434401</t>
  </si>
  <si>
    <t>0.17</t>
  </si>
  <si>
    <t>24.75416674979389</t>
  </si>
  <si>
    <t>[-0.059, -0.034, 0.02]</t>
  </si>
  <si>
    <t>LINESTRING (11.258557793832852 60.566851792215765, 11.258310857540918 60.56668945108589, 11.255491320702058 60.56345705664034, 11.255458480395577 60.563404469728475)</t>
  </si>
  <si>
    <t>[2105826, 302372, 302380]</t>
  </si>
  <si>
    <t>[294276, 294277, 294287]</t>
  </si>
  <si>
    <t>[1819224, 294276, 294277]</t>
  </si>
  <si>
    <t>[0.059, 0.034, 0.02]</t>
  </si>
  <si>
    <t>427.8321179710373</t>
  </si>
  <si>
    <t>[0.034, 0.031, 0.008]</t>
  </si>
  <si>
    <t>LINESTRING (11.255859877857167 60.563347230794875, 11.255888955481346 60.56339131684631, 11.258870708135039 60.566834704062764, 11.259093623071783 60.56711820862458)</t>
  </si>
  <si>
    <t>[302388, 302396, 2105834]</t>
  </si>
  <si>
    <t>[294295, 294303, 1046136]</t>
  </si>
  <si>
    <t>0.029339489879089003</t>
  </si>
  <si>
    <t>[294294, 294295, 294303]</t>
  </si>
  <si>
    <t>459.8854603667023</t>
  </si>
  <si>
    <t>[-0.128, -0.115]</t>
  </si>
  <si>
    <t>LINESTRING (11.241014530365755 60.413799682757755, 11.24068180491686 60.413888904168076, 11.24056964275319 60.41393137887006)</t>
  </si>
  <si>
    <t>[302484, 302492]</t>
  </si>
  <si>
    <t>[294387, 294396]</t>
  </si>
  <si>
    <t>[294386, 294387]</t>
  </si>
  <si>
    <t>[0.128, 0.115]</t>
  </si>
  <si>
    <t>28.64312437751518</t>
  </si>
  <si>
    <t>[-0.143, -0.151]</t>
  </si>
  <si>
    <t>LINESTRING (11.241014530365755 60.413799682757755, 11.240627666732438 60.41380043636312, 11.240512306415086 60.41379367084602)</t>
  </si>
  <si>
    <t>[302508, 302516]</t>
  </si>
  <si>
    <t>[294411, 294420]</t>
  </si>
  <si>
    <t>[294386, 294411]</t>
  </si>
  <si>
    <t>[0.143, 0.151]</t>
  </si>
  <si>
    <t>27.721562013101657</t>
  </si>
  <si>
    <t>10244.0</t>
  </si>
  <si>
    <t>0.145</t>
  </si>
  <si>
    <t>19.85743689402668</t>
  </si>
  <si>
    <t>11.253056539986858</t>
  </si>
  <si>
    <t>[0.075, -0.012]</t>
  </si>
  <si>
    <t>LINESTRING (11.240512306415086 60.41379367084602, 11.24058064698017 60.41385187086556, 11.24056964275319 60.41393137887006)</t>
  </si>
  <si>
    <t>[302692, 302700]</t>
  </si>
  <si>
    <t>[294599, 294396]</t>
  </si>
  <si>
    <t>0.02783273976267606</t>
  </si>
  <si>
    <t>[294420, 294599]</t>
  </si>
  <si>
    <t>[0.075, 0.012]</t>
  </si>
  <si>
    <t>16.38019637003208</t>
  </si>
  <si>
    <t>[-0.156, -0.143]</t>
  </si>
  <si>
    <t>LINESTRING (11.241857263838249 60.413630326598145, 11.241767867961105 60.41365699622569, 11.24136427486288 60.41375680132139)</t>
  </si>
  <si>
    <t>[302540, 302548]</t>
  </si>
  <si>
    <t>[294445, 294402]</t>
  </si>
  <si>
    <t>[294444, 294445]</t>
  </si>
  <si>
    <t>[0.156, 0.143]</t>
  </si>
  <si>
    <t>30.620613084213417</t>
  </si>
  <si>
    <t>[-0.172, -0.152]</t>
  </si>
  <si>
    <t>LINESTRING (11.241910985907067 60.4137317077199, 11.241812004565114 60.413731212662896, 11.24136427486288 60.41375680132139)</t>
  </si>
  <si>
    <t>[302556, 302564]</t>
  </si>
  <si>
    <t>[294464, 294402]</t>
  </si>
  <si>
    <t>[294463, 294464]</t>
  </si>
  <si>
    <t>[0.172, 0.152]</t>
  </si>
  <si>
    <t>30.293012540698072</t>
  </si>
  <si>
    <t>0.137</t>
  </si>
  <si>
    <t>19.573059939782084</t>
  </si>
  <si>
    <t>0.132</t>
  </si>
  <si>
    <t>20.853849817639876</t>
  </si>
  <si>
    <t>[-0.066, 0.02]</t>
  </si>
  <si>
    <t>LINESTRING (11.241910985907067 60.4137317077199, 11.24186177977068 60.413685644273336, 11.241857263838249 60.413630326598145)</t>
  </si>
  <si>
    <t>[302748, 302756]</t>
  </si>
  <si>
    <t>[294642, 294444]</t>
  </si>
  <si>
    <t>[294463, 294642]</t>
  </si>
  <si>
    <t>[0.066, 0.02]</t>
  </si>
  <si>
    <t>11.974493932806286</t>
  </si>
  <si>
    <t>0.143</t>
  </si>
  <si>
    <t>11.780573496850472</t>
  </si>
  <si>
    <t>[0.058, -0.017, 0.225]</t>
  </si>
  <si>
    <t>LINESTRING (11.240180102858949 60.41378383314998, 11.240233934373649 60.413734011491904, 11.239955703429661 60.410981263902535, 11.239837495524604 60.410666268932786)</t>
  </si>
  <si>
    <t>[302572, 302580, 2105417]</t>
  </si>
  <si>
    <t>[294482, 294489, 1819007]</t>
  </si>
  <si>
    <t>0.008649801789100246</t>
  </si>
  <si>
    <t>[294481, 294482, 294489]</t>
  </si>
  <si>
    <t>[0.058, 0.017, 0.225]</t>
  </si>
  <si>
    <t>355.23046846866686</t>
  </si>
  <si>
    <t>[-0.15, -0.117, -0.052, 0.067]</t>
  </si>
  <si>
    <t>LINESTRING (11.240426599845783 60.41400059385236, 11.240260476242486 60.414003719223636, 11.240155058935159 60.41397224603164, 11.240081113590756 60.41387604526609, 11.240180102858949 60.41378383314998)</t>
  </si>
  <si>
    <t>[302652, 302660, 302668, 302676]</t>
  </si>
  <si>
    <t>[294566, 294572, 294580, 294481]</t>
  </si>
  <si>
    <t>[294544, 294566, 294572, 294580]</t>
  </si>
  <si>
    <t>[0.15, 0.117, 0.052, 0.067]</t>
  </si>
  <si>
    <t>39.55737431869498</t>
  </si>
  <si>
    <t>[0.01, 0.012]</t>
  </si>
  <si>
    <t>LINESTRING (8.723537090150312 58.46296016330743, 8.72333540747724 58.463076880351686, 8.723267553195669 58.46311992795963)</t>
  </si>
  <si>
    <t>[302590, 302598]</t>
  </si>
  <si>
    <t>[294504, 294511]</t>
  </si>
  <si>
    <t>0.010523547943638337</t>
  </si>
  <si>
    <t>[294503, 294504]</t>
  </si>
  <si>
    <t>23.78676816971041</t>
  </si>
  <si>
    <t>[-0.109, 0.009]</t>
  </si>
  <si>
    <t>LINESTRING (8.723537090150312 58.46296016330743, 8.723490991896533 58.463112171444635, 8.72347821535396 58.463189355571146)</t>
  </si>
  <si>
    <t>[1103505, 1103513]</t>
  </si>
  <si>
    <t>[1045066, 1045070]</t>
  </si>
  <si>
    <t>[294503, 1045066]</t>
  </si>
  <si>
    <t>[0.109, 0.009]</t>
  </si>
  <si>
    <t>25.805490151539708</t>
  </si>
  <si>
    <t>[0.014, 0.1, -0.004]</t>
  </si>
  <si>
    <t>LINESTRING (8.724413943062514 58.46207714781994, 8.724377092891544 58.462116945527306, 8.72404815174611 58.46244553791663, 8.723537090150312 58.46296016330743)</t>
  </si>
  <si>
    <t>[949078, 1766666, 1766674]</t>
  </si>
  <si>
    <t>[917711, 1560202, 294503]</t>
  </si>
  <si>
    <t>0.035567193621903026</t>
  </si>
  <si>
    <t>[917710, 917711, 1560202]</t>
  </si>
  <si>
    <t>[0.014, 0.1, 0.004]</t>
  </si>
  <si>
    <t>111.01458977746543</t>
  </si>
  <si>
    <t>[0.143, 0.105, -0.006, -0.14]</t>
  </si>
  <si>
    <t>LINESTRING (11.242135960504894 60.41352745955098, 11.242251797282087 60.413548978456596, 11.242329467434276 60.41359141435645, 11.242344095491598 60.41369720105385, 11.24209835327093 60.41377753914662)</t>
  </si>
  <si>
    <t>[302708, 302716, 302724, 302732]</t>
  </si>
  <si>
    <t>[294611, 294618, 294623, 294517]</t>
  </si>
  <si>
    <t>[294509, 294611, 294618, 294623]</t>
  </si>
  <si>
    <t>[0.143, 0.105, 0.006, 0.14]</t>
  </si>
  <si>
    <t>42.314518227193886</t>
  </si>
  <si>
    <t>[-0.228, 0.05, 0.058]</t>
  </si>
  <si>
    <t>LINESTRING (11.239656115986012 60.41011459720315, 11.23981282633782 60.410293109783495, 11.242106963024971 60.413496366793645, 11.242135960504894 60.41352745955098)</t>
  </si>
  <si>
    <t>[2105434, 302588, 302596]</t>
  </si>
  <si>
    <t>[294499, 294500, 294509]</t>
  </si>
  <si>
    <t>0.035177826704659854</t>
  </si>
  <si>
    <t>[1819018, 294499, 294500]</t>
  </si>
  <si>
    <t>[0.228, 0.05, 0.058]</t>
  </si>
  <si>
    <t>404.68360484180715</t>
  </si>
  <si>
    <t>[-0.042, -0.049, -0.312]</t>
  </si>
  <si>
    <t>LINESTRING (8.723267553195669 58.46311992795963, 8.723374656789563 58.46313032265352, 8.723431246179455 58.46315120450972, 8.72347821535396 58.463189355571146)</t>
  </si>
  <si>
    <t>[1752217, 1752225, 1752233]</t>
  </si>
  <si>
    <t>[1552051, 1552057, 1045070]</t>
  </si>
  <si>
    <t>[294511, 1552051, 1552057]</t>
  </si>
  <si>
    <t>[0.042, 0.049, 0.312]</t>
  </si>
  <si>
    <t>15.473674809968935</t>
  </si>
  <si>
    <t>[-0.067, -0.024, 0.065]</t>
  </si>
  <si>
    <t>123.0</t>
  </si>
  <si>
    <t>LINESTRING (11.24209835327093 60.41377753914662, 11.242065596237392 60.41382117040687, 11.241207199268686 60.41668802818935, 11.241100485675062 60.41709104707311)</t>
  </si>
  <si>
    <t>[302604, 302612, 2105458]</t>
  </si>
  <si>
    <t>[294518, 294528, 1819033]</t>
  </si>
  <si>
    <t>[294517, 294518, 294528]</t>
  </si>
  <si>
    <t>[0.067, 0.024, 0.065]</t>
  </si>
  <si>
    <t>374.6032179928457</t>
  </si>
  <si>
    <t>[-0.147, -0.006, -0.075]</t>
  </si>
  <si>
    <t>LINESTRING (11.24084140639747 60.417600860280906, 11.24080135565685 60.417351885470445, 11.240466294229734 60.41403253759296, 11.240426599845783 60.41400059385236)</t>
  </si>
  <si>
    <t>[2105498, 302620, 302628]</t>
  </si>
  <si>
    <t>[294536, 294537, 294544]</t>
  </si>
  <si>
    <t>[1819047, 294536, 294537]</t>
  </si>
  <si>
    <t>[0.147, 0.006, 0.075]</t>
  </si>
  <si>
    <t>404.5209331560463</t>
  </si>
  <si>
    <t>[0.02, 0.029]</t>
  </si>
  <si>
    <t>LINESTRING (10.415594238538004 61.26311691550423, 10.415868832585609 61.26302222521147, 10.415937422244943 61.262999753386254)</t>
  </si>
  <si>
    <t>[302649, 302657]</t>
  </si>
  <si>
    <t>[294564, 294570]</t>
  </si>
  <si>
    <t>0.021774745904582067</t>
  </si>
  <si>
    <t>[294563, 294564]</t>
  </si>
  <si>
    <t>22.58230761051722</t>
  </si>
  <si>
    <t>[0.064, 0.09]</t>
  </si>
  <si>
    <t>LINESTRING (10.415594238538004 61.26311691550423, 10.415894000652171 61.263091730252306, 10.415965987967928 61.263091910033516)</t>
  </si>
  <si>
    <t>[302665, 302673]</t>
  </si>
  <si>
    <t>[294578, 294585]</t>
  </si>
  <si>
    <t>0.06897422448439071</t>
  </si>
  <si>
    <t>[294563, 294578]</t>
  </si>
  <si>
    <t>20.197756541914604</t>
  </si>
  <si>
    <t>[0.144, 0.122]</t>
  </si>
  <si>
    <t>LINESTRING (10.413151174857525 61.26295899834837, 10.413913399405091 61.26327817006875, 10.415594238538004 61.26311691550423)</t>
  </si>
  <si>
    <t>[1709027, 1709035]</t>
  </si>
  <si>
    <t>[1525470, 294563]</t>
  </si>
  <si>
    <t>0.12977239054126619</t>
  </si>
  <si>
    <t>[1525442, 1525470]</t>
  </si>
  <si>
    <t>153.4717598745346</t>
  </si>
  <si>
    <t>1.094</t>
  </si>
  <si>
    <t>6.166498196042394</t>
  </si>
  <si>
    <t>[-1.387, 0.986]</t>
  </si>
  <si>
    <t>LINESTRING (10.415965987967928 61.263091910033516, 10.415937529220031 61.26305146708435, 10.415937422244943 61.262999753386254)</t>
  </si>
  <si>
    <t>[1708410, 1708418]</t>
  </si>
  <si>
    <t>[1525038, 294570]</t>
  </si>
  <si>
    <t>[294585, 1525038]</t>
  </si>
  <si>
    <t>[1.387, 0.986]</t>
  </si>
  <si>
    <t>10.524609362430127</t>
  </si>
  <si>
    <t>[0.096, 0.138, 0.106, 0.068, -0.036, -0.087, -0.117, 1.041]</t>
  </si>
  <si>
    <t>LINESTRING (10.416215792506593 61.26287751864656, 10.416507896697546 61.2629528759966, 10.41654441585635 61.26300591213188, 10.416542406688118 61.263049100706525, 10.416435105634575 61.263139356085055, 10.416192321132497 61.26317133658118, 10.416110065293138 61.263159109346454, 10.416021929087682 61.263129596185586, 10.415965987967928 61.263091910033516)</t>
  </si>
  <si>
    <t>[1708443, 1708451, 1708459, 1708370, 1708378, 1708386, 1708394, 1708402]</t>
  </si>
  <si>
    <t>[294633, 1525059, 294622, 1525010, 294863, 1525020, 294885, 294585]</t>
  </si>
  <si>
    <t>0.10961670311811163</t>
  </si>
  <si>
    <t>[1525049, 294633, 1525059, 294622, 1525010, 294863, 1525020, 294885]</t>
  </si>
  <si>
    <t>[0.096, 0.138, 0.106, 0.068, 0.036, 0.087, 0.117, 1.041]</t>
  </si>
  <si>
    <t>70.71792112337361</t>
  </si>
  <si>
    <t>[-0.064, -0.068]</t>
  </si>
  <si>
    <t>LINESTRING (11.243854529643201 60.514601456582824, 11.243555695309851 60.51464730951058, 11.24344868883563 60.514665884835985)</t>
  </si>
  <si>
    <t>[302780, 302788]</t>
  </si>
  <si>
    <t>[294665, 294672]</t>
  </si>
  <si>
    <t>[294664, 294665]</t>
  </si>
  <si>
    <t>[0.064, 0.068]</t>
  </si>
  <si>
    <t>23.426510588245076</t>
  </si>
  <si>
    <t>[-0.102, -0.115]</t>
  </si>
  <si>
    <t>LINESTRING (11.243854529643201 60.514601456582824, 11.243566109749432 60.514548351621535, 11.243451952841033 60.51452449735834)</t>
  </si>
  <si>
    <t>[302836, 302844]</t>
  </si>
  <si>
    <t>[294713, 294719]</t>
  </si>
  <si>
    <t>[294664, 294713]</t>
  </si>
  <si>
    <t>[0.102, 0.115]</t>
  </si>
  <si>
    <t>23.725777077261696</t>
  </si>
  <si>
    <t>0.096</t>
  </si>
  <si>
    <t>21.002690303869684</t>
  </si>
  <si>
    <t>0.046</t>
  </si>
  <si>
    <t>8.916978187254012</t>
  </si>
  <si>
    <t>[0.082, 0.033]</t>
  </si>
  <si>
    <t>LINESTRING (11.243451952841033 60.51452449735834, 11.243494428616007 60.51460002934499, 11.24344868883563 60.514665884835985)</t>
  </si>
  <si>
    <t>[303104, 303112]</t>
  </si>
  <si>
    <t>[294948, 294672]</t>
  </si>
  <si>
    <t>0.05895219610527092</t>
  </si>
  <si>
    <t>[294719, 294948]</t>
  </si>
  <si>
    <t>16.49122537116383</t>
  </si>
  <si>
    <t>[-0.275, -0.137]</t>
  </si>
  <si>
    <t>LINESTRING (11.244643114380613 60.51467499658733, 11.244559521895168 60.51465956359306, 11.244236734015294 60.514605662779026)</t>
  </si>
  <si>
    <t>[302892, 302900]</t>
  </si>
  <si>
    <t>[294757, 294676]</t>
  </si>
  <si>
    <t>[294756, 294757]</t>
  </si>
  <si>
    <t>[0.275, 0.137]</t>
  </si>
  <si>
    <t>23.62665835571465</t>
  </si>
  <si>
    <t>[-0.224, -0.088]</t>
  </si>
  <si>
    <t>LINESTRING (11.244674135841908 60.51452845863739, 11.244552886668691 60.51455525363127, 11.244236734015294 60.514605662779026)</t>
  </si>
  <si>
    <t>[302921, 302931]</t>
  </si>
  <si>
    <t>[294778, 294676]</t>
  </si>
  <si>
    <t>[294777, 294778]</t>
  </si>
  <si>
    <t>[0.224, 0.088]</t>
  </si>
  <si>
    <t>25.554287205997575</t>
  </si>
  <si>
    <t>[-0.074, -0.109, -0.099, -0.016]</t>
  </si>
  <si>
    <t>LINESTRING (11.243319292008579 60.514714192409926, 11.243247431281624 60.51472070657838, 11.243111810618398 60.51470475035494, 11.243009546317497 60.514652701250505, 11.243141356720528 60.51447664507836)</t>
  </si>
  <si>
    <t>[303061, 303067, 303075, 303083]</t>
  </si>
  <si>
    <t>[294906, 294912, 294919, 294699]</t>
  </si>
  <si>
    <t>[294691, 294906, 294912, 294919]</t>
  </si>
  <si>
    <t>[0.074, 0.109, 0.099, 0.016]</t>
  </si>
  <si>
    <t>43.10178941904697</t>
  </si>
  <si>
    <t>[-0.058, -0.046, -0.116]</t>
  </si>
  <si>
    <t>LINESTRING (11.24304715179056 60.517742219920564, 11.243025062584655 60.51750516320773, 11.243396636427335 60.514741054325995, 11.243319292008579 60.514714192409926)</t>
  </si>
  <si>
    <t>[2105698, 302804, 302812]</t>
  </si>
  <si>
    <t>[294683, 294684, 294691]</t>
  </si>
  <si>
    <t>[1819103, 294683, 294684]</t>
  </si>
  <si>
    <t>[0.058, 0.046, 0.116]</t>
  </si>
  <si>
    <t>344.552897991514</t>
  </si>
  <si>
    <t>18.972031393952037</t>
  </si>
  <si>
    <t>[-0.001, -0.018, 0.017]</t>
  </si>
  <si>
    <t>LINESTRING (11.243141356720528 60.51447664507836, 11.243191501969443 60.514441672580745, 11.243132653296907 60.51096279152734, 11.243097497457944 60.51058544185445)</t>
  </si>
  <si>
    <t>[302820, 302828, 2105530]</t>
  </si>
  <si>
    <t>[294700, 294705, 1819073]</t>
  </si>
  <si>
    <t>[294699, 294700, 294705]</t>
  </si>
  <si>
    <t>[0.001, 0.018, 0.017]</t>
  </si>
  <si>
    <t>440.0017474303573</t>
  </si>
  <si>
    <t>[0.302, 0.249, 0.133, -0.044, -0.077, -0.209, -0.282]</t>
  </si>
  <si>
    <t>LINESTRING (11.244893069496605 60.514483121207256, 11.245018394179077 60.51450453827921, 11.245115936563632 60.514562744761385, 11.245135336460327 60.51462504229005, 11.24512351456111 60.514653113052844, 11.245048223529757 60.51470968751403, 11.244960117054298 60.514735250122136, 11.244857944278122 60.51474216977481)</t>
  </si>
  <si>
    <t>[302939, 302947, 302955, 302968, 302969, 302976, 302997]</t>
  </si>
  <si>
    <t>[294794, 294804, 294812, 294826, 294827, 294833, 294744]</t>
  </si>
  <si>
    <t>0.03882366212108342</t>
  </si>
  <si>
    <t>[294740, 294794, 294804, 294812, 294826, 294827, 294833]</t>
  </si>
  <si>
    <t>[0.302, 0.249, 0.133, 0.044, 0.077, 0.209, 0.282]</t>
  </si>
  <si>
    <t>44.74101804111845</t>
  </si>
  <si>
    <t>0.225</t>
  </si>
  <si>
    <t>13.397079699834858</t>
  </si>
  <si>
    <t>[-0.01, 0.063, 0.228]</t>
  </si>
  <si>
    <t>LINESTRING (11.243551951491968 60.51159687453969, 11.243663867167735 60.511828085091345, 11.244834866282288 60.51444604905251, 11.244893069496605 60.514483121207256)</t>
  </si>
  <si>
    <t>[2105538, 302860, 302868]</t>
  </si>
  <si>
    <t>[294731, 294732, 294740]</t>
  </si>
  <si>
    <t>0.059766875201531094</t>
  </si>
  <si>
    <t>[1046032, 294731, 294732]</t>
  </si>
  <si>
    <t>[0.01, 0.063, 0.228]</t>
  </si>
  <si>
    <t>331.4710369137212</t>
  </si>
  <si>
    <t>0.283</t>
  </si>
  <si>
    <t>14.434707008443166</t>
  </si>
  <si>
    <t>[-0.161, 0.022, -0.024]</t>
  </si>
  <si>
    <t>LINESTRING (11.244857944278122 60.51474216977481, 11.244803020224236 60.51477056349784, 11.24319010076615 60.51806352500321, 11.243003725225385 60.518371451627225)</t>
  </si>
  <si>
    <t>[302876, 302884, 2105690]</t>
  </si>
  <si>
    <t>[294745, 294750, 1819130]</t>
  </si>
  <si>
    <t>0.016157861705651828</t>
  </si>
  <si>
    <t>[294744, 294745, 294750]</t>
  </si>
  <si>
    <t>[0.161, 0.022, 0.024]</t>
  </si>
  <si>
    <t>418.9034899582234</t>
  </si>
  <si>
    <t>[-0.128, 0.03]</t>
  </si>
  <si>
    <t>LINESTRING (11.244643114380613 60.51467499658733, 11.244611004804892 60.514609105087175, 11.244674135841908 60.51452845863739)</t>
  </si>
  <si>
    <t>[303019, 303026]</t>
  </si>
  <si>
    <t>[294869, 294777]</t>
  </si>
  <si>
    <t>[294756, 294869]</t>
  </si>
  <si>
    <t>[0.128, 0.03]</t>
  </si>
  <si>
    <t>17.184339066409407</t>
  </si>
  <si>
    <t>3.176302882281506</t>
  </si>
  <si>
    <t>0.122</t>
  </si>
  <si>
    <t>10.734887051046702</t>
  </si>
  <si>
    <t>[-0.025, -0.026, 0.0, -0.024, -0.046, -0.066, -0.065, -0.037]</t>
  </si>
  <si>
    <t>[0, 0, 0, 0, 0, 1, 1, 0]</t>
  </si>
  <si>
    <t>LINESTRING (8.579647599742307 58.34700014150375, 8.579759360368469 58.34697169595748, 8.579787906959787 58.34696386525551, 8.579793984055575 58.34696219874186, 8.580116201172654 58.3468738076712, 8.580550576430685 58.346725617955734, 8.580906644857006 58.34658313064502, 8.5810989916612 58.346504455872925, 8.58146873812447 58.3463095140261)</t>
  </si>
  <si>
    <t>[1234738, 1234753, 1234769, 1234775, 1234776, 1234807, 1234808, 1234815]</t>
  </si>
  <si>
    <t>[1156059, 1156072, 1156084, 1156086, 1156087, 1156119, 1156120, 296433]</t>
  </si>
  <si>
    <t>[1156058, 1156059, 1156072, 1156084, 1156086, 1156087, 1156119, 1156120]</t>
  </si>
  <si>
    <t>[0.025, 0.026, 0.0, 0.024, 0.046, 0.066, 0.065, 0.037]</t>
  </si>
  <si>
    <t>132.47997567256596</t>
  </si>
  <si>
    <t>[0.001, 0.04, -0.002, -0.013, -0.012, -0.005, -0.026, 0.009, -0.001, -0.011, -0.014, -0.035, -0.004]</t>
  </si>
  <si>
    <t>[1, 0, 0, 1, 1, 1, 1, 1, 1, 1, 1, 1, 1]</t>
  </si>
  <si>
    <t>LINESTRING (11.100022224857065 60.1904177840813, 11.101425888036749 60.19065670223643, 11.102176081058351 60.191246028350584, 11.10203720660074 60.19224382363987, 11.101990088910656 60.19233501976906, 11.101885174478621 60.192546520351186, 11.098362183772165 60.19325942352383, 11.097347006568963 60.193404839118756, 11.094374911366364 60.19380291502211, 11.0941124243656 60.193713097751505, 11.09405280463729 60.193620706199916, 11.093926064663798 60.19155118069411, 11.094476128883764 60.19125861468443, 11.095763906561556 60.19056421289835)</t>
  </si>
  <si>
    <t>[1525906, 1525914, 1525922, 1525930, 1525938, 1525946, 1525618, 991578, 991590, 991591, 991600, 991601, 1525626]</t>
  </si>
  <si>
    <t>[1379669, 1379677, 1379684, 1379692, 376606, 1379431, 950308, 950309, 376623, 950317, 950328, 950329, 298863]</t>
  </si>
  <si>
    <t>[298768, 1379669, 1379677, 1379684, 1379692, 376606, 1379431, 950308, 950309, 376623, 950317, 950328, 950329]</t>
  </si>
  <si>
    <t>[0.001, 0.04, 0.002, 0.013, 0.012, 0.005, 0.026, 0.009, 0.001, 0.011, 0.014, 0.035, 0.004]</t>
  </si>
  <si>
    <t>1182.662753131489</t>
  </si>
  <si>
    <t>[0.007, -0.001, 0.006, 0.015, -0.008, -0.0, 0.002, 0.005, -0.021, -0.012, -0.081, -0.003]</t>
  </si>
  <si>
    <t>[0, 0, 1, 0, 0, 0, 0, 1, 0, 0, 0, 0]</t>
  </si>
  <si>
    <t>LINESTRING (11.093999986433618 60.17981830726118, 11.093317042811963 60.182884153967635, 11.093722726415084 60.18460446087298, 11.094003970637118 60.1852273317739, 11.094931020532883 60.18687280352015, 11.095100105610745 60.18716470193277, 11.095144871688793 60.1872419751728, 11.096026014845899 60.18876144242556, 11.096313182841008 60.18921579208055, 11.096364912803462 60.18927310650518, 11.097852268249877 60.19010348245392, 11.098374660282625 60.19020427781488, 11.100022224857065 60.1904177840813)</t>
  </si>
  <si>
    <t>[1525810, 1525818, 1525826, 1525834, 1525842, 1525850, 1525858, 1525866, 1525874, 1525882, 1525890, 1525898]</t>
  </si>
  <si>
    <t>[1379593, 1379600, 1379606, 1379614, 1379619, 1379622, 1379628, 1379635, 1379642, 1379648, 1379655, 298768]</t>
  </si>
  <si>
    <t>0.0010458944476252321</t>
  </si>
  <si>
    <t>[1379407, 1379593, 1379600, 1379606, 1379614, 1379619, 1379622, 1379628, 1379635, 1379642, 1379648, 1379655]</t>
  </si>
  <si>
    <t>[0.007, 0.001, 0.006, 0.015, 0.008, 0.0, 0.002, 0.005, 0.021, 0.012, 0.081, 0.003]</t>
  </si>
  <si>
    <t>1330.4025437795856</t>
  </si>
  <si>
    <t>[0.0, -0.025, 0.011, 0.021]</t>
  </si>
  <si>
    <t>LINESTRING (11.096645357759163 60.18894241407658, 11.096645357759163 60.18894241407658, 11.097816354621678 60.19001073053302, 11.099821278314993 60.19036334850897, 11.100022224857065 60.1904177840813)</t>
  </si>
  <si>
    <t>[1526002, 1526010, 307324, 307332]</t>
  </si>
  <si>
    <t>[1379755, 298759, 298760, 298768]</t>
  </si>
  <si>
    <t>[1379754, 1379755, 298759, 298760]</t>
  </si>
  <si>
    <t>[0.0, 0.025, 0.011, 0.021]</t>
  </si>
  <si>
    <t>274.63039005968295</t>
  </si>
  <si>
    <t>[0.029, 0.03, -0.026]</t>
  </si>
  <si>
    <t>LINESTRING (11.095763906561556 60.19056421289835, 11.096040006788472 60.1900855958561, 11.09544559203096 60.18914885749198, 11.095378649047511 60.18908179881164)</t>
  </si>
  <si>
    <t>[307444, 1525762, 1525770]</t>
  </si>
  <si>
    <t>[298864, 1379553, 1379559]</t>
  </si>
  <si>
    <t>0.027001607032103973</t>
  </si>
  <si>
    <t>[298863, 298864, 1379553]</t>
  </si>
  <si>
    <t>[0.029, 0.03, 0.026]</t>
  </si>
  <si>
    <t>174.455049889519</t>
  </si>
  <si>
    <t>[0.097, 0.161, 0.011, 0.002, 0.004, 0.0, -0.007, -0.017, 0.008, -0.003, -0.005]</t>
  </si>
  <si>
    <t>9441.0</t>
  </si>
  <si>
    <t>[1, 1, 0, 1, 0, 0, 0, 0, 1, 0, 0]</t>
  </si>
  <si>
    <t>LINESTRING (11.095763906561556 60.19056421289835, 11.096073865541232 60.1902409810111, 11.09615597282265 60.19010220277491, 11.095947493645124 60.18921076306222, 11.09571051085106 60.188797446514585, 11.094823553389121 60.18720206821561, 11.09482089294954 60.1871971173926, 11.094656820602737 60.18690907913687, 11.093655703095608 60.18510657420731, 11.09346928889359 60.1847192860063, 11.093023829997872 60.182888742554326, 11.093098305120964 60.181520989981856)</t>
  </si>
  <si>
    <t>[1525634, 1525642, 1525650, 1525658, 1525666, 1525674, 1525682, 1525690, 1525698, 1525706, 1525714]</t>
  </si>
  <si>
    <t>[1379444, 1379452, 1379459, 1379465, 1379473, 1379479, 1379483, 1379490, 1379498, 1379504, 1379414]</t>
  </si>
  <si>
    <t>0.0034981555788148335</t>
  </si>
  <si>
    <t>[298863, 1379444, 1379452, 1379459, 1379465, 1379473, 1379479, 1379483, 1379490, 1379498, 1379504]</t>
  </si>
  <si>
    <t>[0.097, 0.161, 0.011, 0.002, 0.004, 0.0, 0.007, 0.017, 0.008, 0.003, 0.005]</t>
  </si>
  <si>
    <t>1034.6388579157697</t>
  </si>
  <si>
    <t>14.924713740879756</t>
  </si>
  <si>
    <t>LINESTRING (9.076245217486479 58.82073373903345, 9.076138282299473 58.82075708591679, 9.075932688214666 58.82079497712292, 9.07577013421517 58.82082278537094)</t>
  </si>
  <si>
    <t>[310594, 310602, 310610]</t>
  </si>
  <si>
    <t>[301586, 301593, 301604]</t>
  </si>
  <si>
    <t>[301585, 301586, 301593]</t>
  </si>
  <si>
    <t>29.22782452102384</t>
  </si>
  <si>
    <t>[-0.008, 0.007]</t>
  </si>
  <si>
    <t>LINESTRING (9.076227498429933 58.820895072857816, 9.076188988600672 58.82081479091715, 9.076245217486479 58.82073373903345)</t>
  </si>
  <si>
    <t>[436654, 436669]</t>
  </si>
  <si>
    <t>[435435, 301585]</t>
  </si>
  <si>
    <t>[435423, 435435]</t>
  </si>
  <si>
    <t>[0.008, 0.007]</t>
  </si>
  <si>
    <t>18.829972016679434</t>
  </si>
  <si>
    <t>25.779681922060607</t>
  </si>
  <si>
    <t>[-0.155, -0.013, 0.061]</t>
  </si>
  <si>
    <t>LINESTRING (9.076227498429933 58.820895072857816, 9.076115749693813 58.8208745320487, 9.075938291511735 58.820848444705234, 9.07577013421517 58.82082278537094)</t>
  </si>
  <si>
    <t>[1241845, 1241852, 1241853]</t>
  </si>
  <si>
    <t>[1162198, 1162208, 301604]</t>
  </si>
  <si>
    <t>[435423, 1162198, 1162208]</t>
  </si>
  <si>
    <t>[0.155, 0.013, 0.061]</t>
  </si>
  <si>
    <t>27.661159922025973</t>
  </si>
  <si>
    <t>[0.013, 0.022, 0.042, 0.035, 0.039, 0.043, 0.046, 0.041, 0.047, 0.038, 0.043]</t>
  </si>
  <si>
    <t>LINESTRING (14.19193762235914 66.32197701547406, 14.192810577494445 66.32193692941834, 14.194246975202574 66.3217969400081, 14.194293011994121 66.32179140053499, 14.194490150054328 66.32176774865974, 14.194584019299368 66.3217563379221, 14.195863948628245 66.3215979389219, 14.196001105684951 66.32158105392675, 14.19667477866077 66.32149917541712, 14.196804920900204 66.32148319554362, 14.197004308311007 66.32145883436723, 14.198997657019621 66.32119600623959)</t>
  </si>
  <si>
    <t>[315962, 315970, 315978, 315986, 315994, 316002, 316010, 316018, 316026, 316034, 316042]</t>
  </si>
  <si>
    <t>[306630, 306637, 306642, 306647, 306652, 306662, 306668, 306677, 306685, 306689, 306697]</t>
  </si>
  <si>
    <t>0.034689566362792246</t>
  </si>
  <si>
    <t>[306629, 306630, 306637, 306642, 306647, 306652, 306662, 306668, 306677, 306685, 306689]</t>
  </si>
  <si>
    <t>328.8783859644694</t>
  </si>
  <si>
    <t>[0.021, 0.022, 0.027, 0.006, 0.039, 0.039, 0.042, 0.034, 0.042, 0.035, 0.048, 0.037]</t>
  </si>
  <si>
    <t>LINESTRING (14.19193762235914 66.32197701547406, 14.192382953131627 66.32193841592287, 14.192792333014925 66.3219011538202, 14.194191742581056 66.3217224300843, 14.194237379640182 66.3217168257553, 14.194438567838148 66.32169211830121, 14.194531835831603 66.32168065962423, 14.195661530317839 66.3215439499931, 14.195807631249892 66.3215265102891, 14.196611776233468 66.32143227025564, 14.196740748456477 66.32141728026824, 14.196936739925178 66.32139442685893, 14.198997657019621 66.32119600623959)</t>
  </si>
  <si>
    <t>[316114, 316122, 316130, 316138, 316146, 316154, 316162, 316170, 316178, 316186, 316194, 316202]</t>
  </si>
  <si>
    <t>[306754, 306762, 306768, 306777, 306786, 306793, 306799, 306806, 306815, 306823, 306831, 306697]</t>
  </si>
  <si>
    <t>0.03460824308684625</t>
  </si>
  <si>
    <t>[306629, 306754, 306762, 306768, 306777, 306786, 306793, 306799, 306806, 306815, 306823, 306831]</t>
  </si>
  <si>
    <t>328.38179260548594</t>
  </si>
  <si>
    <t>[0.018, 0.045, 0.03, 0.016, 0.01, 0.017, -0.156]</t>
  </si>
  <si>
    <t>[1, 0, 0, 0, 0, 0, 0]</t>
  </si>
  <si>
    <t>LINESTRING (14.172097454202287 66.3198946937514, 14.172448031469258 66.31982630908495, 14.173894575023022 66.31987670209327, 14.174033332951222 66.31990298162613, 14.17419399260082 66.31993912071425, 14.1752084962235 66.32016227566122, 14.190691932774152 66.32199996917706, 14.19193762235914 66.32197701547406)</t>
  </si>
  <si>
    <t>[1030952, 1030960, 1030968, 1030976, 1030984, 1030992, 1031000]</t>
  </si>
  <si>
    <t>[984852, 673625, 984862, 673641, 984873, 984881, 306629]</t>
  </si>
  <si>
    <t>0.008405579743082273</t>
  </si>
  <si>
    <t>[984851, 984852, 673625, 984862, 673641, 984873, 984881]</t>
  </si>
  <si>
    <t>[0.018, 0.045, 0.03, 0.016, 0.01, 0.017, 0.156]</t>
  </si>
  <si>
    <t>938.035939063004</t>
  </si>
  <si>
    <t>0.106</t>
  </si>
  <si>
    <t>42.08384250517599</t>
  </si>
  <si>
    <t>20.204187099188673</t>
  </si>
  <si>
    <t>[0.028, 0.028, 0.016]</t>
  </si>
  <si>
    <t>LINESTRING (11.325009337142852 59.57729368071148, 11.325163486722909 59.57726628067124, 11.325217716010828 59.57727030303285, 11.325313090448175 59.57729187690405)</t>
  </si>
  <si>
    <t>[320675, 320683, 320691]</t>
  </si>
  <si>
    <t>[311133, 311142, 311077]</t>
  </si>
  <si>
    <t>0.02411520150617859</t>
  </si>
  <si>
    <t>[311127, 311133, 311142]</t>
  </si>
  <si>
    <t>18.23106797629707</t>
  </si>
  <si>
    <t>[-0.009, -0.007]</t>
  </si>
  <si>
    <t>LINESTRING (11.32518302997454 59.577041838560326, 11.325269821326096 59.57723388775213, 11.325313090448175 59.57729187690405)</t>
  </si>
  <si>
    <t>[320832, 320833]</t>
  </si>
  <si>
    <t>[311266, 311077]</t>
  </si>
  <si>
    <t>[311184, 311266]</t>
  </si>
  <si>
    <t>[0.009, 0.007]</t>
  </si>
  <si>
    <t>28.86144634169323</t>
  </si>
  <si>
    <t>[-0.03, -0.03, -0.031, -0.02, -0.008]</t>
  </si>
  <si>
    <t>LINESTRING (11.32537643669288 59.57745813453008, 11.325347030421426 59.577476868218646, 11.325296763884722 59.57749838671857, 11.325170304605386 59.57751708159158, 11.325036750015105 59.57750029573655, 11.324959407658929 59.577463695526795)</t>
  </si>
  <si>
    <t>[320635, 320643, 320651, 320659, 320667]</t>
  </si>
  <si>
    <t>[311091, 311102, 311110, 311118, 311126]</t>
  </si>
  <si>
    <t>[311078, 311091, 311102, 311110, 311118]</t>
  </si>
  <si>
    <t>[0.03, 0.03, 0.031, 0.02, 0.008]</t>
  </si>
  <si>
    <t>27.584439203367047</t>
  </si>
  <si>
    <t>[0.018, 0.024, -0.028, -0.027, -0.025]</t>
  </si>
  <si>
    <t>LINESTRING (11.331061380767888 59.57688342882672, 11.33093240533571 59.57691729466896, 11.325718404121494 59.57745367286053, 11.325578095667767 59.57745833402928, 11.325480243664337 59.577463019130235, 11.32537643669288 59.57745813453008)</t>
  </si>
  <si>
    <t>[1795924, 2054300, 2054308, 2054316, 2054324]</t>
  </si>
  <si>
    <t>[1583791, 1787243, 1787246, 1787254, 311078]</t>
  </si>
  <si>
    <t>0.020894681024185555</t>
  </si>
  <si>
    <t>[1583790, 1583791, 1787243, 1787246, 1787254]</t>
  </si>
  <si>
    <t>[0.018, 0.024, 0.028, 0.027, 0.025]</t>
  </si>
  <si>
    <t>333.1367861612724</t>
  </si>
  <si>
    <t>20.62914589990894</t>
  </si>
  <si>
    <t>[-0.019, -0.045, -0.079]</t>
  </si>
  <si>
    <t>LINESTRING (11.324959407658929 59.577463695526795, 11.324835526312741 59.57744255196259, 11.318135524597617 59.5764930407394, 11.317693709297073 59.57642510657952)</t>
  </si>
  <si>
    <t>[2054284, 2054292, 1795860]</t>
  </si>
  <si>
    <t>[1787235, 1583717, 1583718]</t>
  </si>
  <si>
    <t>[311126, 1787235, 1583717]</t>
  </si>
  <si>
    <t>[0.019, 0.045, 0.079]</t>
  </si>
  <si>
    <t>432.9289677035332</t>
  </si>
  <si>
    <t>[-0.026, -0.023, -0.024]</t>
  </si>
  <si>
    <t>LINESTRING (11.32518302997454 59.577041838560326, 11.325151277374047 59.57707816939355, 11.325055646630599 59.577229363060944, 11.325009337142852 59.57729368071148)</t>
  </si>
  <si>
    <t>[320809, 320815, 320824]</t>
  </si>
  <si>
    <t>[311251, 311255, 311127]</t>
  </si>
  <si>
    <t>[311184, 311251, 311255]</t>
  </si>
  <si>
    <t>[0.026, 0.023, 0.024]</t>
  </si>
  <si>
    <t>29.748853180105634</t>
  </si>
  <si>
    <t>[-0.016, -0.017, -0.017, -0.014, -0.018]</t>
  </si>
  <si>
    <t>[1, 1, 1, 0, 1]</t>
  </si>
  <si>
    <t>LINESTRING (11.325221568896383 59.5766304224902, 11.325216593371998 59.57666901570698, 11.325209581838099 59.57672349796215, 11.325191741769531 59.57696788925861, 11.32519041068656 59.576990306034425, 11.32518302997454 59.577041838560326)</t>
  </si>
  <si>
    <t>[320699, 320704, 320712, 320726, 320734]</t>
  </si>
  <si>
    <t>[311154, 311157, 311163, 311177, 311184]</t>
  </si>
  <si>
    <t>[311153, 311154, 311157, 311163, 311177]</t>
  </si>
  <si>
    <t>[0.016, 0.017, 0.017, 0.014, 0.018]</t>
  </si>
  <si>
    <t>45.89672551216817</t>
  </si>
  <si>
    <t>[-0.006, -0.01]</t>
  </si>
  <si>
    <t>LINESTRING (11.325086190446148 59.57637556036927, 11.325129912126739 59.57642922969634, 11.325221568896383 59.5766304224902)</t>
  </si>
  <si>
    <t>[320840, 320849]</t>
  </si>
  <si>
    <t>[311275, 311153]</t>
  </si>
  <si>
    <t>[311274, 311275]</t>
  </si>
  <si>
    <t>[0.006, 0.01]</t>
  </si>
  <si>
    <t>29.477808754493687</t>
  </si>
  <si>
    <t>[-0.02, -0.023]</t>
  </si>
  <si>
    <t>LINESTRING (11.32537462317622 59.57637978015171, 11.325346953360002 59.5764363427787, 11.325221568896383 59.5766304224902)</t>
  </si>
  <si>
    <t>[320857, 320865]</t>
  </si>
  <si>
    <t>[311291, 311153]</t>
  </si>
  <si>
    <t>[311290, 311291]</t>
  </si>
  <si>
    <t>[0.02, 0.023]</t>
  </si>
  <si>
    <t>29.249110624239528</t>
  </si>
  <si>
    <t>[0.242, 0.07]</t>
  </si>
  <si>
    <t>LINESTRING (11.325086190446148 59.57637556036927, 11.324993753473846 59.576299030014674, 11.325066761875274 59.576183461925055)</t>
  </si>
  <si>
    <t>[1610876, 1610884]</t>
  </si>
  <si>
    <t>[1445345, 1445349]</t>
  </si>
  <si>
    <t>0.14166887454119295</t>
  </si>
  <si>
    <t>[311274, 1445345]</t>
  </si>
  <si>
    <t>23.99973690327832</t>
  </si>
  <si>
    <t>[0.413, -0.421]</t>
  </si>
  <si>
    <t>LINESTRING (11.32537462317622 59.57637978015171, 11.325236035324117 59.576400534321216, 11.325086190446148 59.57637556036927)</t>
  </si>
  <si>
    <t>[1610860, 1610868]</t>
  </si>
  <si>
    <t>[1445334, 311274]</t>
  </si>
  <si>
    <t>[311290, 1445334]</t>
  </si>
  <si>
    <t>[0.413, 0.421]</t>
  </si>
  <si>
    <t>17.08155038495549</t>
  </si>
  <si>
    <t>[-0.024, -0.075, -0.085, -1.788]</t>
  </si>
  <si>
    <t>LINESTRING (11.325454922395258 59.57622160274835, 11.325472722005726 59.57629554173651, 11.325434940010924 59.57634458428304, 11.325407057850681 59.57636300122877, 11.32537462317622 59.57637978015171)</t>
  </si>
  <si>
    <t>[1610828, 1610836, 1610844, 1610852]</t>
  </si>
  <si>
    <t>[1445313, 1445319, 1445324, 311290]</t>
  </si>
  <si>
    <t>[1445308, 1445313, 1445319, 1445324]</t>
  </si>
  <si>
    <t>[0.024, 0.075, 0.085, 1.788]</t>
  </si>
  <si>
    <t>19.37175155209127</t>
  </si>
  <si>
    <t>[0.002, -0.006, -0.009, -0.015]</t>
  </si>
  <si>
    <t>LINESTRING (10.289949107786057 59.749669531244386, 10.289956416470014 59.74975217530581, 10.289913664778274 59.749795720751465, 10.2898357308035 59.749832174031766, 10.28960204486999 59.74983986278081)</t>
  </si>
  <si>
    <t>[325771, 325772, 325779, 325780]</t>
  </si>
  <si>
    <t>[315682, 315683, 315686, 315687]</t>
  </si>
  <si>
    <t>[315681, 315682, 315683, 315686]</t>
  </si>
  <si>
    <t>[0.002, 0.006, 0.009, 0.015]</t>
  </si>
  <si>
    <t>34.09673528349427</t>
  </si>
  <si>
    <t>LINESTRING (10.289796862311032 59.74959392309368, 10.289895778785182 59.749626312620585, 10.289949107786057 59.749669531244386)</t>
  </si>
  <si>
    <t>[325861, 325867]</t>
  </si>
  <si>
    <t>[315758, 315681]</t>
  </si>
  <si>
    <t>0.00453890734918139</t>
  </si>
  <si>
    <t>[315743, 315758]</t>
  </si>
  <si>
    <t>12.307032782421633</t>
  </si>
  <si>
    <t>[0.001, -0.002]</t>
  </si>
  <si>
    <t>LINESTRING (10.290200405340213 59.74946807412722, 10.289983410726776 59.749641530831326, 10.289949107786057 59.749669531244386)</t>
  </si>
  <si>
    <t>[325898, 325910]</t>
  </si>
  <si>
    <t>[315787, 315681]</t>
  </si>
  <si>
    <t>0.000588651008707333</t>
  </si>
  <si>
    <t>[315764, 315787]</t>
  </si>
  <si>
    <t>[0.001, 0.002]</t>
  </si>
  <si>
    <t>26.75944164372278</t>
  </si>
  <si>
    <t>[-0.007, 0.002]</t>
  </si>
  <si>
    <t>LINESTRING (10.28960204486999 59.74983986278081, 10.289503657183731 59.749801573584854, 10.289451483672963 59.74975294554631)</t>
  </si>
  <si>
    <t>[325785, 325816]</t>
  </si>
  <si>
    <t>[315692, 315721]</t>
  </si>
  <si>
    <t>[315687, 315692]</t>
  </si>
  <si>
    <t>13.151891524526729</t>
  </si>
  <si>
    <t>[-0.016, -0.02]</t>
  </si>
  <si>
    <t>LINESTRING (10.28960204486999 59.74983986278081, 10.289516503684512 59.749857711632586, 10.28916597926341 59.749937315100574)</t>
  </si>
  <si>
    <t>[325991, 326013]</t>
  </si>
  <si>
    <t>[315861, 315843]</t>
  </si>
  <si>
    <t>[315687, 315861]</t>
  </si>
  <si>
    <t>[0.016, 0.02]</t>
  </si>
  <si>
    <t>26.95006649593493</t>
  </si>
  <si>
    <t>[0.009, 0.009, 0.007, 0.006]</t>
  </si>
  <si>
    <t>LINESTRING (10.289451483672963 59.74975294554631, 10.289504574633575 59.74963205824075, 10.289566819015155 59.74960524147743, 10.289663539136384 59.749587110554245, 10.289796862311032 59.74959392309368)</t>
  </si>
  <si>
    <t>[325824, 325834, 325838, 325839]</t>
  </si>
  <si>
    <t>[315728, 315738, 315742, 315743]</t>
  </si>
  <si>
    <t>0.007936520463238228</t>
  </si>
  <si>
    <t>[315721, 315728, 315738, 315742]</t>
  </si>
  <si>
    <t>32.176377148371756</t>
  </si>
  <si>
    <t>[-0.014, -0.019]</t>
  </si>
  <si>
    <t>LINESTRING (10.289451483672963 59.74975294554631, 10.289408476539453 59.74978313367293, 10.28916597926341 59.749937315100574)</t>
  </si>
  <si>
    <t>[326016, 326017]</t>
  </si>
  <si>
    <t>[315885, 315843]</t>
  </si>
  <si>
    <t>[315721, 315885]</t>
  </si>
  <si>
    <t>[0.014, 0.019]</t>
  </si>
  <si>
    <t>26.260977317685686</t>
  </si>
  <si>
    <t>[-0.001, -0.004]</t>
  </si>
  <si>
    <t>LINESTRING (10.290200405340213 59.74946807412722, 10.289853876540644 59.74957524734696, 10.289796862311032 59.74959392309368)</t>
  </si>
  <si>
    <t>[325919, 325928]</t>
  </si>
  <si>
    <t>[315807, 315743]</t>
  </si>
  <si>
    <t>[315764, 315807]</t>
  </si>
  <si>
    <t>[0.001, 0.004]</t>
  </si>
  <si>
    <t>26.867324358352732</t>
  </si>
  <si>
    <t>[-0.051, -0.017, -0.021, -0.058, -0.052, -0.039, -0.013, -0.019, -0.016, -0.015, 0.01, 0.008]</t>
  </si>
  <si>
    <t>LINESTRING (10.302891053319119 59.7424149720642, 10.30057298528706 59.74330372677315, 10.300445897803728 59.74340121495085, 10.299258526341795 59.74449689498163, 10.297951523132852 59.744914800168125, 10.297067179679322 59.74500419745017, 10.292036016830185 59.74775521701231, 10.29160141675053 59.74819436184686, 10.291593597240874 59.748202419073564, 10.291352580704872 59.748448779842114, 10.29131285174805 59.74848911519594, 10.290703828266185 59.74909587795046, 10.290200405340213 59.74946807412722)</t>
  </si>
  <si>
    <t>[357817, 357832, 1413099, 1413107, 1413115, 1413130, 1413138, 1413144, 1413157, 1413171, 1413179, 325872]</t>
  </si>
  <si>
    <t>[346205, 346227, 1291943, 1291949, 821096, 824480, 1291977, 1291985, 1291998, 1083890, 315763, 315764]</t>
  </si>
  <si>
    <t>[346204, 346205, 346227, 1291943, 1291949, 821096, 824480, 1291977, 1291985, 1291998, 1083890, 315763]</t>
  </si>
  <si>
    <t>[0.051, 0.017, 0.021, 0.058, 0.052, 0.039, 0.013, 0.019, 0.016, 0.015, 0.01, 0.008]</t>
  </si>
  <si>
    <t>1103.514628976713</t>
  </si>
  <si>
    <t>[-0.027, -0.058, 0.011]</t>
  </si>
  <si>
    <t>LINESTRING (10.28916597926341 59.749937315100574, 10.2888680527469 59.7500568364492, 10.287942742230985 59.75061009452156, 10.287724575214405 59.750971340359676)</t>
  </si>
  <si>
    <t>[325966, 1422803, 1422811]</t>
  </si>
  <si>
    <t>[315844, 1298151, 1298158]</t>
  </si>
  <si>
    <t>[315843, 315844, 1298151]</t>
  </si>
  <si>
    <t>[0.027, 0.058, 0.011]</t>
  </si>
  <si>
    <t>145.0669585016544</t>
  </si>
  <si>
    <t>[-0.014, -0.01, -0.009, -0.044, -0.053, 0.07]</t>
  </si>
  <si>
    <t>LINESTRING (10.838192432229103 63.532586137620605, 10.838823254328783 63.53289235337944, 10.839786816509104 63.53331273148348, 10.83994877346253 63.53337986558511, 10.848506395754296 63.53757359148469, 10.859403799030552 63.54217068357341, 10.860339150761908 63.542312197486)</t>
  </si>
  <si>
    <t>[2119440, 2119416, 283165, 1125814, 1125822, 1125830]</t>
  </si>
  <si>
    <t>[1826835, 277482, 277483, 1064280, 1064283, 628008]</t>
  </si>
  <si>
    <t>[315960, 1826835, 277482, 277483, 1064280, 1064283]</t>
  </si>
  <si>
    <t>[0.014, 0.01, 0.009, 0.044, 0.053, 0.07]</t>
  </si>
  <si>
    <t>1571.6067022014813</t>
  </si>
  <si>
    <t>[-2.345, -0.059, -0.058, -0.06, -0.051, 0.0, 0.0, 0.0, 0.0, 0.0]</t>
  </si>
  <si>
    <t>LINESTRING (23.340936413332262 69.97499322414676, 23.34094729137152 69.97502908148368, 23.340906392788483 69.97521387903055, 23.340432825223594 69.97580977728728, 23.339939916347355 69.9764449187237, 23.338791100195426 69.97766303642224, 23.33829847686927 69.97803151912879, 23.338129995062992 69.97815431284987, 23.33799338661431 69.97823850850955, 23.33712065195763 69.97859719353718, 23.335290807338215 69.97898655463314)</t>
  </si>
  <si>
    <t>[1164038, 1164040, 1164048, 1164056, 1164068, 1164071, 1164081, 1164089, 1164097, 327435]</t>
  </si>
  <si>
    <t>[1098132, 1098134, 1033193, 1098147, 1033183, 1098156, 1098164, 1098170, 317269, 317270]</t>
  </si>
  <si>
    <t>[986829, 1098132, 1098134, 1033193, 1098147, 1033183, 1098156, 1098164, 1098170, 317269]</t>
  </si>
  <si>
    <t>[2.345, 0.059, 0.058, 0.06, 0.051, 0.0, 0.0, 0.0, 0.0, 0.0]</t>
  </si>
  <si>
    <t>516.3991643924759</t>
  </si>
  <si>
    <t>[-0.119, -0.072, -0.078, -0.086, -0.1]</t>
  </si>
  <si>
    <t>LINESTRING (9.634010002008132 60.77725592364715, 9.635032144527994 60.77698482810365, 9.635776714594432 60.7767955702447, 9.63584929909124 60.7767776463781, 9.636027979082922 60.776733782474444, 9.637307366972149 60.776349135431836)</t>
  </si>
  <si>
    <t>[330714, 330722, 330746, 330747, 330756]</t>
  </si>
  <si>
    <t>[320474, 320487, 320510, 320511, 320518]</t>
  </si>
  <si>
    <t>[320473, 320474, 320487, 320510, 320511]</t>
  </si>
  <si>
    <t>[0.119, 0.072, 0.078, 0.086, 0.1]</t>
  </si>
  <si>
    <t>206.4817032973035</t>
  </si>
  <si>
    <t>[-0.101, -0.114, -0.078, -0.081, -0.092, -0.108]</t>
  </si>
  <si>
    <t>LINESTRING (9.634010002008132 60.77725592364715, 9.63485051732813 60.77695809319329, 9.634964051252826 60.776924236117736, 9.635701762124596 60.7767303303344, 9.635774909022425 60.77671311296436, 9.6359525069297 60.77666911581824, 9.637307366972149 60.776349135431836)</t>
  </si>
  <si>
    <t>[330780, 330795, 330805, 330812, 330819, 330827]</t>
  </si>
  <si>
    <t>[320543, 320565, 320573, 320532, 320527, 320518]</t>
  </si>
  <si>
    <t>[320473, 320543, 320565, 320573, 320532, 320527]</t>
  </si>
  <si>
    <t>[0.101, 0.114, 0.078, 0.081, 0.092, 0.108]</t>
  </si>
  <si>
    <t>206.85956350823</t>
  </si>
  <si>
    <t>[0.247, -0.103, -0.098, -0.096, 0.002, -0.059, -0.104, -0.027, 0.177, 0.033, 0.004, -0.011, 0.012, 0.037, 0.035, 0.066, 0.003]</t>
  </si>
  <si>
    <t>LINESTRING (9.580435616954807 60.795662836551266, 9.582901259237044 60.79479058621953, 9.583009067339242 60.7947650697018, 9.58311318603635 60.7947385039271, 9.586387476500786 60.79403830180112, 9.601388149972315 60.783538211342574, 9.603721328481734 60.78265037809188, 9.604655909113891 60.7822645460921, 9.606002928849787 60.781646230594916, 9.606808087999061 60.78134759144075, 9.612854506423625 60.7808078480721, 9.613018540407085 60.78080104019852, 9.62371572356064 60.78058520018992, 9.623852677447339 60.780575221830695, 9.623994441945204 60.780563996676065, 9.62786436016705 60.77989585058641, 9.628781045921626 60.77961649964044, 9.634010002008132 60.77725592364715)</t>
  </si>
  <si>
    <t>[2149796, 2149804, 2149812, 2149820, 2149828, 2149836, 2149892, 2149900, 2149908, 2149916, 2149924, 2149932, 2149940, 2149948, 2149956, 2149967, 2149975]</t>
  </si>
  <si>
    <t>[320428, 1843935, 320171, 341244, 1843943, 1843947, 1843972, 1843976, 1843978, 319038, 1843982, 320431, 1843987, 320437, 341236, 319383, 320473]</t>
  </si>
  <si>
    <t>0.006366075312980464</t>
  </si>
  <si>
    <t>[736345, 320428, 1843935, 320171, 341244, 1843943, 1843947, 1843972, 1843976, 1843978, 319038, 1843982, 320431, 1843987, 320437, 341236, 319383]</t>
  </si>
  <si>
    <t>[0.247, 0.103, 0.098, 0.096, 0.002, 0.059, 0.104, 0.027, 0.177, 0.033, 0.004, 0.011, 0.012, 0.037, 0.035, 0.066, 0.003]</t>
  </si>
  <si>
    <t>3791.9737790773834</t>
  </si>
  <si>
    <t>[0.0, -0.042, -0.048, -0.021, -0.014, 0.002, 0.013, -0.014, 0.03, 0.036, 0.039, 0.041, 0.016, -0.004, 0.001, 0.029, 0.035, 0.041, 0.091, 0.085, 0.073, 0.07, 0.069, 0.054, 0.052, 0.055, 0.05, 0.054, 0.053, 0.05, 0.046, 0.043, 0.04]</t>
  </si>
  <si>
    <t>9401.0</t>
  </si>
  <si>
    <t>[0, 0, 0, 0, 0, 0, 0, 0, 0, 0, 0, 0, 0, 1, 0, 0, 0, 0, 0, 0, 0, 0, 0, 1, 0, 0, 0, 0, 0, 0, 0, 0, 0]</t>
  </si>
  <si>
    <t>LINESTRING (6.061330708056268 62.14641336174978, 6.061330708056268 62.14641336174978, 6.061346702904898 62.14638612907092, 6.063655595122824 62.14493548587817, 6.0641278467556665 62.14486346311236, 6.064508757406914 62.14481468351874, 6.0652725076608185 62.14473961774402, 6.067420947910651 62.14467961135653, 6.070003955205427 62.143928775959544, 6.070472288031875 62.14380346612207, 6.070783629469376 62.14376784556529, 6.072638131687606 62.14377398798052, 6.072909414614768 62.14378956646699, 6.073050232550746 62.14373494104039, 6.0731695625074495 62.1435870773281, 6.073509605701011 62.14331757905968, 6.073656105308438 62.14329729865716, 6.073785691873228 62.143297105650454, 6.0752860587702155 62.14348685991533, 6.076800841321157 62.14373811000466, 6.080511638866058 62.14477007068036, 6.080571629679406 62.14481861629175, 6.0806398906946795 62.14487295023842, 6.080965219187976 62.14513115400575, 6.08138377402483 62.14545951961565, 6.081559875884601 62.14559459057472, 6.081672982333437 62.145685313971434, 6.081785884841698 62.14577490322642, 6.0818698932375845 62.14583803180212, 6.081935432341834 62.14588716277018, 6.08328828632936 62.1463444380223, 6.0839700365521985 62.14645791234972, 6.085359657236664 62.14664794170362, 6.086393022608575 62.14675343433273)</t>
  </si>
  <si>
    <t>[330982, 330983, 330984, 330992, 331002, 331028, 331036, 331044, 331051, 331059, 331067, 331083, 331091, 331099, 331107, 331115, 331123, 331131, 331139, 331147, 331155, 331163, 331171, 331179, 331187, 331195, 331203, 331211, 331219, 331227, 331235, 331243, 331251]</t>
  </si>
  <si>
    <t>[320751, 320752, 272960, 320763, 320774, 320796, 272997, 320804, 270700, 320814, 320819, 274162, 320844, 320853, 320860, 320869, 320876, 277022, 320890, 320898, 320905, 320913, 320923, 320931, 320941, 320951, 320959, 320968, 320975, 274206, 320987, 320993, 321000]</t>
  </si>
  <si>
    <t>0.028017847973051464</t>
  </si>
  <si>
    <t>[320750, 320751, 320752, 272960, 320763, 320774, 320796, 272997, 320804, 270700, 320814, 320819, 274162, 320844, 320853, 320860, 320869, 320876, 277022, 320890, 320898, 320905, 320913, 320923, 320931, 320941, 320951, 320959, 320968, 320975, 274206, 320987, 320993]</t>
  </si>
  <si>
    <t>[0.0, 0.042, 0.048, 0.021, 0.014, 0.002, 0.013, 0.014, 0.03, 0.036, 0.039, 0.041, 0.016, 0.004, 0.001, 0.029, 0.035, 0.041, 0.091, 0.085, 0.073, 0.07, 0.069, 0.054, 0.052, 0.055, 0.05, 0.054, 0.053, 0.05, 0.046, 0.043, 0.04]</t>
  </si>
  <si>
    <t>1621.8937718355332</t>
  </si>
  <si>
    <t>[-0.327, 0.023, 0.049, 0.028, -0.063, 0.052, 0.063, 0.027, 0.017, 0.009, 0.005, -0.005, 0.026, 0.025, 0.029, 0.042, 0.036, 0.019, -0.028, 0.096, 0.097, 0.095, 0.096, 0.097, 0.098]</t>
  </si>
  <si>
    <t>11002.0</t>
  </si>
  <si>
    <t>LINESTRING (6.061330708056268 62.14641336174978, 6.0612606001542675 62.14653192678194, 6.0550021309050805 62.15084534699493, 6.050630706866936 62.152977717927975, 6.042846914692619 62.159310641984106, 6.036778635513742 62.161885608942434, 6.037398119359039 62.16261863364171, 6.038778512510274 62.16397837216953, 6.039042526335375 62.164450592854685, 6.039247047765194 62.16482512503112, 6.039330661168842 62.16497905436734, 6.039423376543797 62.16515237856156, 6.0399515596386655 62.16617612562987, 6.039985626952286 62.166247613822485, 6.040025299083077 62.166325849060854, 6.040314840464354 62.16686085270334, 6.040328059720263 62.16688381525347, 6.040662662920167 62.16749542450551, 6.044402534593435 62.17144979773664, 6.044497591227292 62.17151975303762, 6.045453827046367 62.17210650114802, 6.046833416253587 62.17273550532577, 6.046950538765341 62.172787181515616, 6.047068828559327 62.1728373427383, 6.047298402223767 62.1729375610407, 6.047918371009179 62.17320688962094)</t>
  </si>
  <si>
    <t>[982128, 982135, 982143, 982160, 982163, 982168, 982199, 982202, 982210, 982219, 982223, 982228, 982231, 982232, 982234, 982266, 982285, 982286, 982297, 2147749, 2147757, 2147765, 2147020, 2147028, 2147036]</t>
  </si>
  <si>
    <t>[942881, 942888, 272272, 942910, 942912, 942916, 942932, 942933, 942936, 275610, 942945, 942948, 942951, 942952, 942953, 942977, 942994, 942995, 942998, 1842852, 1756623, 1842422, 1756636, 1842425, 1842415]</t>
  </si>
  <si>
    <t>0.02165820335498119</t>
  </si>
  <si>
    <t>[320750, 942881, 942888, 272272, 942910, 942912, 942916, 942932, 942933, 942936, 275610, 942945, 942948, 942951, 942952, 942953, 942977, 942994, 942995, 942998, 1842852, 1756623, 1842422, 1756636, 1842425]</t>
  </si>
  <si>
    <t>[0.327, 0.023, 0.049, 0.028, 0.063, 0.052, 0.063, 0.027, 0.017, 0.009, 0.005, 0.005, 0.026, 0.025, 0.029, 0.042, 0.036, 0.019, 0.028, 0.096, 0.097, 0.095, 0.096, 0.097, 0.098]</t>
  </si>
  <si>
    <t>3675.335631453776</t>
  </si>
  <si>
    <t>[-0.768, 0.015, 1.188]</t>
  </si>
  <si>
    <t>LINESTRING (6.086393022608575 62.14675343433273, 6.086548994043954 62.1467922693694, 6.086937640241261 62.14686194510546, 6.087054652840221 62.146884603819984)</t>
  </si>
  <si>
    <t>[1299320, 1299336, 1299344]</t>
  </si>
  <si>
    <t>[1211120, 1211136, 321104]</t>
  </si>
  <si>
    <t>0.029182834782524005</t>
  </si>
  <si>
    <t>[321000, 1211120, 1211136]</t>
  </si>
  <si>
    <t>[0.768, 0.015, 1.188]</t>
  </si>
  <si>
    <t>37.603635372756216</t>
  </si>
  <si>
    <t>[0.023, 0.02, 0.019]</t>
  </si>
  <si>
    <t>LINESTRING (6.086393022608575 62.14675343433273, 6.086566368965717 62.14674785183789, 6.086984066033007 62.14675841174142, 6.08710410811245 62.146757287939664)</t>
  </si>
  <si>
    <t>[2079132, 2079143, 2079144]</t>
  </si>
  <si>
    <t>[1803029, 1803038, 321024]</t>
  </si>
  <si>
    <t>0.020563386003408714</t>
  </si>
  <si>
    <t>[321000, 1803029, 1803038]</t>
  </si>
  <si>
    <t>37.21762442590906</t>
  </si>
  <si>
    <t>3.9041748164422008</t>
  </si>
  <si>
    <t>[-0.027, -0.016]</t>
  </si>
  <si>
    <t>LINESTRING (6.087054652840221 62.146884603819984, 6.0870503983869115 62.1468119387507, 6.08710410811245 62.146757287939664)</t>
  </si>
  <si>
    <t>[331355, 331363]</t>
  </si>
  <si>
    <t>[321113, 321024]</t>
  </si>
  <si>
    <t>[321104, 321113]</t>
  </si>
  <si>
    <t>[0.027, 0.016]</t>
  </si>
  <si>
    <t>14.838280344332276</t>
  </si>
  <si>
    <t>[0.016, 0.027]</t>
  </si>
  <si>
    <t>LINESTRING (6.087164179896374 62.146736510254364, 6.087326020593273 62.14673220496686, 6.087444737800371 62.14675087048665)</t>
  </si>
  <si>
    <t>[331283, 331291]</t>
  </si>
  <si>
    <t>[321032, 321041]</t>
  </si>
  <si>
    <t>0.020794435178706352</t>
  </si>
  <si>
    <t>[321025, 321032]</t>
  </si>
  <si>
    <t>15.017238107147225</t>
  </si>
  <si>
    <t>[-0.014, -0.022, 0.0, -0.552]</t>
  </si>
  <si>
    <t>LINESTRING (6.087164179896374 62.146736510254364, 6.087226023449094 62.14668615615236, 6.087337477137478 62.146551763286716, 6.087339851483268 62.14654974809578, 6.087450709560706 62.14645536594862)</t>
  </si>
  <si>
    <t>[2079233, 2079241, 2079249, 2079257]</t>
  </si>
  <si>
    <t>[1803101, 1803106, 1803111, 1211248]</t>
  </si>
  <si>
    <t>[321025, 1803101, 1803106, 1803111]</t>
  </si>
  <si>
    <t>[0.014, 0.022, 0.0, 0.552]</t>
  </si>
  <si>
    <t>34.87507687798633</t>
  </si>
  <si>
    <t>[0.039, 0.029, 0.022, 0.007, -0.006, -0.028, -0.036]</t>
  </si>
  <si>
    <t>LINESTRING (6.087444737800371 62.14675087048665, 6.087494130549337 62.1467858811759, 6.087508991187633 62.146844140031874, 6.087463772956235 62.146901493013516, 6.087417343107065 62.14692023643942, 6.087291791236245 62.14694660000898, 6.0871342148005 62.14693253561786, 6.087054652840221 62.146884603819984)</t>
  </si>
  <si>
    <t>[331299, 331307, 331315, 331323, 331331, 331339, 331347]</t>
  </si>
  <si>
    <t>[321049, 321056, 321068, 321076, 321087, 321095, 321104]</t>
  </si>
  <si>
    <t>0.0005389076280198818</t>
  </si>
  <si>
    <t>[321041, 321049, 321056, 321068, 321076, 321087, 321095]</t>
  </si>
  <si>
    <t>[0.039, 0.029, 0.022, 0.007, 0.006, 0.028, 0.036]</t>
  </si>
  <si>
    <t>43.626987846074414</t>
  </si>
  <si>
    <t>[-1.541, 0.002, 0.0, 0.0]</t>
  </si>
  <si>
    <t>LINESTRING (6.087444737800371 62.14675087048665, 6.087444276923231 62.14670777233928, 6.087463158502588 62.14656178794498, 6.087463672842854 62.14655966112198, 6.087450709560706 62.14645536594862)</t>
  </si>
  <si>
    <t>[1299424, 1299432, 1299440, 1299448]</t>
  </si>
  <si>
    <t>[1211228, 1211233, 1211240, 1211248]</t>
  </si>
  <si>
    <t>[321041, 1211228, 1211233, 1211240]</t>
  </si>
  <si>
    <t>[1.541, 0.002, 0.0, 0.0]</t>
  </si>
  <si>
    <t>33.05799987810809</t>
  </si>
  <si>
    <t>0.237</t>
  </si>
  <si>
    <t>8.573937543708183</t>
  </si>
  <si>
    <t>[0.008, 0.06, 0.039]</t>
  </si>
  <si>
    <t>22787.0</t>
  </si>
  <si>
    <t>LINESTRING (10.75576527024349 59.89766055762443, 10.755902641903782 59.89685797637319, 10.757813973243527 59.8947768434828, 10.757859253135104 59.89471824801358)</t>
  </si>
  <si>
    <t>[333033, 333041, 333049]</t>
  </si>
  <si>
    <t>[322673, 322678, 322684]</t>
  </si>
  <si>
    <t>0.04633088202811732</t>
  </si>
  <si>
    <t>[322664, 322673, 322678]</t>
  </si>
  <si>
    <t>353.10311413991496</t>
  </si>
  <si>
    <t>0.198</t>
  </si>
  <si>
    <t>8.802645113670412</t>
  </si>
  <si>
    <t>[-0.175, -0.181, -0.006, -0.02]</t>
  </si>
  <si>
    <t>LINESTRING (10.760610672629385 59.9008902836788, 10.760484823807255 59.90087345210322, 10.758690515568274 59.90046588350464, 10.755914750836883 59.898222179760126, 10.75576527024349 59.89766055762443)</t>
  </si>
  <si>
    <t>[1088412, 1088419, 1088420, 333025]</t>
  </si>
  <si>
    <t>[1032590, 1032597, 322663, 322664]</t>
  </si>
  <si>
    <t>[728191, 1032590, 1032597, 322663]</t>
  </si>
  <si>
    <t>[0.175, 0.181, 0.006, 0.02]</t>
  </si>
  <si>
    <t>480.4522481077019</t>
  </si>
  <si>
    <t>0.064</t>
  </si>
  <si>
    <t>8.91659239853535</t>
  </si>
  <si>
    <t>0.16</t>
  </si>
  <si>
    <t>23.495171331145006</t>
  </si>
  <si>
    <t>[0.026, -0.13]</t>
  </si>
  <si>
    <t>LINESTRING (10.758431124357678 59.89458002282331, 10.758407301228598 59.89474640090897, 10.758210699876951 59.894807329570156)</t>
  </si>
  <si>
    <t>[333057, 333065]</t>
  </si>
  <si>
    <t>[322692, 322700]</t>
  </si>
  <si>
    <t>[322691, 322692]</t>
  </si>
  <si>
    <t>[0.026, 0.13]</t>
  </si>
  <si>
    <t>32.72181193099441</t>
  </si>
  <si>
    <t>0.154</t>
  </si>
  <si>
    <t>20.85076885750538</t>
  </si>
  <si>
    <t>[-0.016, -0.061, 2.357]</t>
  </si>
  <si>
    <t>LINESTRING (10.759372487492094 59.89305390070099, 10.759315884910047 59.89315917602153, 10.758503038521734 59.89452095500121, 10.758431124357678 59.89458002282331)</t>
  </si>
  <si>
    <t>[741401, 741297, 741305]</t>
  </si>
  <si>
    <t>[725638, 725639, 322691]</t>
  </si>
  <si>
    <t>0.04653724044358766</t>
  </si>
  <si>
    <t>[725713, 725638, 725639]</t>
  </si>
  <si>
    <t>[0.016, 0.061, 2.357]</t>
  </si>
  <si>
    <t>178.59561276733064</t>
  </si>
  <si>
    <t>[-2.664, 0.007]</t>
  </si>
  <si>
    <t>LINESTRING (10.758210699876951 59.894807329570156, 10.758158736800452 59.89485968527425, 10.756141076600725 59.89807183736025)</t>
  </si>
  <si>
    <t>[741313, 741321]</t>
  </si>
  <si>
    <t>[725651, 725657]</t>
  </si>
  <si>
    <t>[322700, 725651]</t>
  </si>
  <si>
    <t>[2.664, 0.007]</t>
  </si>
  <si>
    <t>391.3925285355163</t>
  </si>
  <si>
    <t>[0.005, 0.1]</t>
  </si>
  <si>
    <t>LINESTRING (10.75783086754089 59.89463951891929, 10.757863241778393 59.89457435705212, 10.757967486896842 59.89451633189154)</t>
  </si>
  <si>
    <t>[333089, 333097]</t>
  </si>
  <si>
    <t>[322721, 322727]</t>
  </si>
  <si>
    <t>0.056097549097424815</t>
  </si>
  <si>
    <t>[322714, 322721]</t>
  </si>
  <si>
    <t>16.19596384665435</t>
  </si>
  <si>
    <t>[-0.153, -0.147]</t>
  </si>
  <si>
    <t>LINESTRING (10.75783086754089 59.89463951891929, 10.75773656801548 59.894608037873375, 10.757455401847976 59.89448168477539)</t>
  </si>
  <si>
    <t>[333305, 333313]</t>
  </si>
  <si>
    <t>[322885, 322861]</t>
  </si>
  <si>
    <t>[322714, 322885]</t>
  </si>
  <si>
    <t>[0.153, 0.147]</t>
  </si>
  <si>
    <t>27.46142041026136</t>
  </si>
  <si>
    <t>0.147</t>
  </si>
  <si>
    <t>9.629988577565623</t>
  </si>
  <si>
    <t>[-0.171, -0.173]</t>
  </si>
  <si>
    <t>LINESTRING (10.757967486896842 59.89451633189154, 10.757835264426886 59.89450728532934, 10.757455401847976 59.89448168477539)</t>
  </si>
  <si>
    <t>[333321, 333329]</t>
  </si>
  <si>
    <t>[322898, 322861]</t>
  </si>
  <si>
    <t>[322727, 322898]</t>
  </si>
  <si>
    <t>[0.171, 0.173]</t>
  </si>
  <si>
    <t>28.932403618368898</t>
  </si>
  <si>
    <t>[0.073, 0.018, 0.055]</t>
  </si>
  <si>
    <t>LINESTRING (10.758130583537486 59.89448891439858, 10.758196117565502 59.89444113239551, 10.759112692738968 59.893198789939866, 10.759170086648156 59.89315838806627)</t>
  </si>
  <si>
    <t>[333257, 333265, 333377]</t>
  </si>
  <si>
    <t>[322843, 322854, 322944]</t>
  </si>
  <si>
    <t>0.02150153622326994</t>
  </si>
  <si>
    <t>[322733, 322843, 322854]</t>
  </si>
  <si>
    <t>160.03140724366634</t>
  </si>
  <si>
    <t>[-0.09, 0.173]</t>
  </si>
  <si>
    <t>LINESTRING (10.757455401847976 59.89448168477539, 10.755769943534961 59.89516326027507, 10.756070899750272 59.895221424004205)</t>
  </si>
  <si>
    <t>[333273, 333281]</t>
  </si>
  <si>
    <t>[322862, 322867]</t>
  </si>
  <si>
    <t>[322861, 322862]</t>
  </si>
  <si>
    <t>[0.09, 0.173]</t>
  </si>
  <si>
    <t>185.30020061827474</t>
  </si>
  <si>
    <t>[-0.152, -0.079, 0.036, 0.036, -0.03, -0.016]</t>
  </si>
  <si>
    <t>LINESTRING (10.759170086648156 59.89315838806627, 10.758515956180348 59.89422541075853, 10.758258707857786 59.89450664937103, 10.757904959033267 59.89483931980474, 10.756657259287833 59.8959851069388, 10.755985161766457 59.896906747335535, 10.755829081721325 59.89759061949679)</t>
  </si>
  <si>
    <t>[741329, 741337, 741345, 741353, 741361, 1151015]</t>
  </si>
  <si>
    <t>[0, 1, 1, 0, 0, 0]</t>
  </si>
  <si>
    <t>[725661, 725666, 725673, 725678, 725685, 725739]</t>
  </si>
  <si>
    <t>[322944, 725661, 725666, 725673, 725678, 725685]</t>
  </si>
  <si>
    <t>[0.152, 0.079, 0.036, 0.036, 0.03, 0.016]</t>
  </si>
  <si>
    <t>533.0639741154442</t>
  </si>
  <si>
    <t>[0.304, -0.048, -0.08, -0.055, 0.038, -0.135, 0.033, 0.077, 0.054, -0.06, -0.072, -0.022, 0.052, 0.065, 0.045, -0.075, 0.0, -0.047, -0.076, -0.089, 0.028, 0.021, 0.006, -0.016, -0.044, 0.899]</t>
  </si>
  <si>
    <t>LINESTRING (10.77907741801737 59.8734405218157, 10.778834226508343 59.873792379250645, 10.778493073202052 59.874278474164, 10.778391896703535 59.874402852903756, 10.777217751444459 59.87573400077564, 10.775735880926394 59.87794016338412, 10.775732348192625 59.87794896057963, 10.7747624219651 59.87952953900686, 10.774311115603268 59.87997780212532, 10.774302635089311 59.87998569404354, 10.772889859554159 59.88113933814559, 10.772732338862252 59.88125813523492, 10.771720174041253 59.882042940040364, 10.77168806374244 59.882071759993515, 10.771671718542494 59.88208634047611, 10.771605903073764 59.882146671526186, 10.771597585424955 59.88215482029417, 10.770899275278056 59.88272311074654, 10.77038968182294 59.88313014117977, 10.770117194105001 59.88334976632384, 10.769978481495668 59.88346511907988, 10.768641030006686 59.884860628253, 10.767935944784455 59.88587638878754, 10.761158801116851 59.89125007409514, 10.761067567995491 59.891320263792856, 10.759245037767503 59.893059656685864, 10.759170086648156 59.89315838806627)</t>
  </si>
  <si>
    <t>[780922, 780930, 780938, 780946, 780954, 780962, 780970, 780978, 780986, 780994, 781002, 781010, 781018, 781026, 781034, 781042, 781050, 781058, 781066, 781074, 781082, 781090, 781098, 781106, 781114, 781122]</t>
  </si>
  <si>
    <t>[761059, 761068, 761077, 761085, 761092, 761102, 738703, 761117, 761124, 761134, 522601, 523306, 761156, 735164, 761171, 761182, 761190, 761198, 761204, 761212, 761219, 761227, 761236, 761243, 761253, 322944]</t>
  </si>
  <si>
    <t>0.005808913632851879</t>
  </si>
  <si>
    <t>[734488, 761059, 761068, 761077, 761085, 761092, 761102, 738703, 761117, 761124, 761134, 522601, 523306, 761156, 735164, 761171, 761182, 761190, 761198, 761204, 761212, 761219, 761227, 761236, 761243, 761253]</t>
  </si>
  <si>
    <t>[0.304, 0.048, 0.08, 0.055, 0.038, 0.135, 0.033, 0.077, 0.054, 0.06, 0.072, 0.022, 0.052, 0.065, 0.045, 0.075, 0.0, 0.047, 0.076, 0.089, 0.028, 0.021, 0.006, 0.016, 0.044, 0.899]</t>
  </si>
  <si>
    <t>2483.324177413938</t>
  </si>
  <si>
    <t>[0.0, -0.007, -0.008, -0.013, -0.013, -0.012, -0.007]</t>
  </si>
  <si>
    <t>LINESTRING (10.415456412833526 61.146512450394326, 10.415769595539794 61.14651094037571, 10.415876501076372 61.14653840076742, 10.415970411757632 61.146583586096945, 10.416054601301056 61.14668671678433, 10.416051853836636 61.14674660759632, 10.41600922631037 61.146808202508375, 10.415670609984241 61.1469219832428)</t>
  </si>
  <si>
    <t>[333594, 333602, 333610, 333618, 333626, 333634, 333642]</t>
  </si>
  <si>
    <t>[323130, 323139, 323148, 323157, 323166, 323175, 323187]</t>
  </si>
  <si>
    <t>[323129, 323130, 323139, 323148, 323157, 323166, 323175]</t>
  </si>
  <si>
    <t>[0.0, 0.007, 0.008, 0.013, 0.013, 0.012, 0.007]</t>
  </si>
  <si>
    <t>79.95720471476244</t>
  </si>
  <si>
    <t>43.32928565864302</t>
  </si>
  <si>
    <t>[0.0, 0.006]</t>
  </si>
  <si>
    <t>LINESTRING (10.415670609984241 61.1469219832428, 10.41551592415269 61.14691601315537, 10.41539757646322 61.14689302037714)</t>
  </si>
  <si>
    <t>[333650, 333658]</t>
  </si>
  <si>
    <t>[323197, 323207]</t>
  </si>
  <si>
    <t>0.002706853992675567</t>
  </si>
  <si>
    <t>[323187, 323197]</t>
  </si>
  <si>
    <t>15.232332999104564</t>
  </si>
  <si>
    <t>LINESTRING (10.415670609984241 61.1469219832428, 10.41561626236515 61.14696332343525, 10.415399768390214 61.147144272543464)</t>
  </si>
  <si>
    <t>[334170, 334178]</t>
  </si>
  <si>
    <t>[323657, 323242]</t>
  </si>
  <si>
    <t>[323187, 323657]</t>
  </si>
  <si>
    <t>29.32572431624946</t>
  </si>
  <si>
    <t>9.088063599837547</t>
  </si>
  <si>
    <t>[-0.014, -0.012]</t>
  </si>
  <si>
    <t>LINESTRING (10.41539757646322 61.14689302037714, 10.415394488966646 61.146938852413506, 10.415399768390214 61.147144272543464)</t>
  </si>
  <si>
    <t>[334186, 334194]</t>
  </si>
  <si>
    <t>[323671, 323242]</t>
  </si>
  <si>
    <t>[323207, 323671]</t>
  </si>
  <si>
    <t>[0.014, 0.012]</t>
  </si>
  <si>
    <t>28.641591788985345</t>
  </si>
  <si>
    <t>[-0.036, -0.028, -0.032]</t>
  </si>
  <si>
    <t>LINESTRING (10.415399768390214 61.147144272543464, 10.415081284066062 61.14757529310598, 10.414315985281293 61.1480629084844, 10.414032756011125 61.148212829888344)</t>
  </si>
  <si>
    <t>[333690, 333698, 333706]</t>
  </si>
  <si>
    <t>[323243, 323254, 323263]</t>
  </si>
  <si>
    <t>[323242, 323243, 323254]</t>
  </si>
  <si>
    <t>[0.036, 0.028, 0.032]</t>
  </si>
  <si>
    <t>142.1485695936246</t>
  </si>
  <si>
    <t>[-0.042, -0.047, -0.035]</t>
  </si>
  <si>
    <t>LINESTRING (10.414032756011125 61.148212829888344, 10.413887311153731 61.14835061222034, 10.413813376186217 61.14841593685969, 10.413770347443867 61.14845374875645)</t>
  </si>
  <si>
    <t>[334626, 334634, 334642]</t>
  </si>
  <si>
    <t>[324059, 324065, 323274]</t>
  </si>
  <si>
    <t>[323263, 324059, 324065]</t>
  </si>
  <si>
    <t>[0.042, 0.047, 0.035]</t>
  </si>
  <si>
    <t>30.852232220263055</t>
  </si>
  <si>
    <t>[-0.027, -0.034, -0.038]</t>
  </si>
  <si>
    <t>LINESTRING (10.414032756011125 61.148212829888344, 10.413772618058594 61.14830373056146, 10.41365648024214 61.14835165026161, 10.413593271628995 61.14837902829993)</t>
  </si>
  <si>
    <t>[334650, 334658, 334666]</t>
  </si>
  <si>
    <t>[324082, 324089, 323335]</t>
  </si>
  <si>
    <t>[323263, 324082, 324089]</t>
  </si>
  <si>
    <t>[0.027, 0.034, 0.038]</t>
  </si>
  <si>
    <t>30.51249392085383</t>
  </si>
  <si>
    <t>0.05</t>
  </si>
  <si>
    <t>18.08633418831152</t>
  </si>
  <si>
    <t>[-0.018, -0.04]</t>
  </si>
  <si>
    <t>LINESTRING (10.413593271628995 61.14837902829993, 10.413691660900378 61.14840494208428, 10.413770347443867 61.14845374875645)</t>
  </si>
  <si>
    <t>[333770, 333778]</t>
  </si>
  <si>
    <t>[323346, 323274]</t>
  </si>
  <si>
    <t>[323335, 323346]</t>
  </si>
  <si>
    <t>[0.018, 0.04]</t>
  </si>
  <si>
    <t>12.933600220255812</t>
  </si>
  <si>
    <t>[-0.027, -0.006, 0.017, 0.035, 0.05]</t>
  </si>
  <si>
    <t>LINESTRING (10.413721982876602 61.14860723791926, 10.413556709633047 61.14865099798843, 10.413442322776811 61.1486493619045, 10.413351991197086 61.14863073622699, 10.413268579746237 61.148591391498954, 10.413294405427731 61.14841888097667)</t>
  </si>
  <si>
    <t>[333722, 333730, 333738, 333746, 333754]</t>
  </si>
  <si>
    <t>[323287, 323296, 323306, 323316, 323325]</t>
  </si>
  <si>
    <t>0.021105187911903373</t>
  </si>
  <si>
    <t>[323275, 323287, 323296, 323306, 323316]</t>
  </si>
  <si>
    <t>[0.027, 0.006, 0.017, 0.035, 0.05]</t>
  </si>
  <si>
    <t>48.305046404940256</t>
  </si>
  <si>
    <t>267.6160572614882</t>
  </si>
  <si>
    <t>[-0.033, 0.022, 0.022]</t>
  </si>
  <si>
    <t>LINESTRING (20.281437561101775 69.37043240905946, 20.281488240264284 69.3706535293146, 20.288904304888547 69.37328034562735, 20.2892073759448 69.37337868827929)</t>
  </si>
  <si>
    <t>[333721, 333729, 333737]</t>
  </si>
  <si>
    <t>[323286, 323295, 323305]</t>
  </si>
  <si>
    <t>0.019181229619383573</t>
  </si>
  <si>
    <t>[323285, 323286, 323295]</t>
  </si>
  <si>
    <t>[0.033, 0.022, 0.022]</t>
  </si>
  <si>
    <t>482.931063475234</t>
  </si>
  <si>
    <t>[0.042, 0.032, -0.048, -0.001, -0.057, -0.021, -0.01, -0.002, -0.003, -0.014, 0.067, 0.023, 0.01, -0.003, -0.03, -0.076, -0.035, -0.046, -0.017, 0.003, 0.052, 0.005, -0.029, 0.04, -0.168, -0.093, 0.023, -0.006, -0.014, -0.021, -0.003, 0.008, -0.003, 0.002, 0.025, 0.044, 0.12, 0.007, -0.007, -0.007, 0.014, -0.009, -0.017, -0.025, -0.073, -0.032, -0.005, -0.018, 0.005, -0.001, 0.018, 0.012, -0.012, -0.017, -0.0, 0.001, -0.007, -0.011, -0.015, -0.012, -0.012, -0.011, -0.008, -0.009, -0.012, -0.002, 0.017, 0.027, 0.028, 0.029, 0.002, 0.037, 0.051, 0.036, 0.072, -0.096, 0.025, 0.021]</t>
  </si>
  <si>
    <t>[0, 0, 0, 0, 0, 0, 1, 0, 0, 0, 0, 0, 0, 0, 0, 1, 0, 0, 0, 0, 0, 0, 0, 0, 0, 0, 0, 0, 0, 0, 0, 0, 0, 0, 0, 0, 0, 0, 0, 0, 0, 0, 0, 0, 0, 0, 0, 0, 0, 0, 0, 0, 0, 0, 0, 0, 0, 0, 0, 0, 0, 0, 0, 0, 0, 0, 0, 0, 0, 0, 1, 0, 0, 0, 0, 0, 0, 0]</t>
  </si>
  <si>
    <t>LINESTRING (19.95223603634337 69.27498311083161, 19.961319321125313 69.27845733131088, 19.960304031224528 69.2833180294583, 19.959764287930504 69.28607584737394, 19.981917244249953 69.29957664405104, 19.983307461116866 69.30002182061534, 19.983582473732575 69.30009878304149, 19.983843738304618 69.30017344378852, 19.984291629053033 69.30032009789888, 20.005122418705383 69.31569803064434, 20.008958259527514 69.31807544810158, 20.012622953070316 69.31944344821088, 20.014850930836246 69.32067472828504, 20.039574306324596 69.33203304881717, 20.050865445485652 69.33448187771884, 20.05377331382309 69.33600193016012, 20.053922734185342 69.33609838829351, 20.056170476751163 69.3383151452692, 20.05674067555997 69.34026703931869, 20.058149011270068 69.34398886653283, 20.076310014406623 69.35306248096347, 20.076466117808188 69.3531014165774, 20.079074940181226 69.35365933249037, 20.079201282394315 69.35368193299144, 20.090224677815158 69.35472254735517, 20.092132974400762 69.35515148389013, 20.09353406124008 69.35572176757712, 20.101890756205968 69.35972139810724, 20.10498222809109 69.36089233122293, 20.111049848094233 69.36284437218742, 20.111900236401613 69.36306347053647, 20.123040525665537 69.36635766074062, 20.123293961209743 69.36649210087522, 20.123446797334417 69.36656752483607, 20.125849812154982 69.36733148546645, 20.12600809585131 69.36736554942209, 20.127796976199132 69.36768210749919, 20.128880657430116 69.36790888386814, 20.170152527152364 69.379881676563, 20.17188464391573 69.38094363673889, 20.184199603335713 69.38509460158403, 20.19215212221448 69.38606123340134, 20.195343133944732 69.38523179488827, 20.20117677108924 69.38344669579533, 20.21352068095863 69.38024985622054, 20.214028585475127 69.38014397005267, 20.217582889630098 69.37940380505695, 20.2181471936527 69.3792852137377, 20.220417259528666 69.37881408452425, 20.224839269798423 69.37789583962281, 20.225987559109328 69.37765563477535, 20.232541490458857 69.37629005008736, 20.240781643391408 69.37481944617268, 20.24725251020185 69.37382787498449, 20.250328793805554 69.37335921049964, 20.252047406317065 69.37302445357051, 20.25539718821096 69.37184952462079, 20.2560384033347 69.37160515199078, 20.25668041031297 69.37135049673027, 20.25771925453319 69.37095424059423, 20.2595873322808 69.37022421205303, 20.261010578726946 69.36967317612623, 20.26318994854743 69.36882496592203, 20.264216817685508 69.36842627567292, 20.26699938007076 69.36734114296513, 20.267843084150996 69.36701417853911, 20.271235880672243 69.36583599490383, 20.272485640599207 69.36562816769354, 20.27293713171705 69.36559381263194, 20.273473244778668 69.36556472327395, 20.27382711591439 69.36555536338503, 20.275139098584535 69.36551421545751, 20.278466072428255 69.36569018342068, 20.278587680646442 69.36571478723283, 20.280887544519686 69.36807406366793, 20.28151059397178 69.36941356324157, 20.281523000882405 69.36967939466943, 20.281473645439394 69.3701552020644, 20.281437561101775 69.37043240905946)</t>
  </si>
  <si>
    <t>[1100279, 1059069, 1059077, 1059085, 1059093, 1059101, 1059109, 1059117, 1059125, 1059133, 1059141, 1059149, 1059157, 1059165, 1059173, 1059181, 1059189, 1059197, 1059205, 1059213, 1059221, 1059229, 1059237, 1059245, 1059253, 1059261, 1059269, 1059277, 1059285, 1059293, 1059301, 1059309, 1059317, 1059325, 1059333, 1059341, 1059349, 1059357, 1059365, 1059373, 1059381, 1059389, 1059397, 1059405, 1059413, 1059421, 1059429, 1059437, 1059445, 1059453, 1059461, 1059469, 1059477, 1059485, 1059493, 1059501, 1059509, 1059517, 1059525, 1059533, 1059541, 1059549, 1059557, 1059565, 1059573, 1059581, 1059589, 1059597, 1059605, 1100287, 1100295, 1100296, 1100297, 1100306, 1100314, 1100322, 334137, 334145]</t>
  </si>
  <si>
    <t>[1007084, 1007085, 911043, 1007102, 1007112, 1007121, 1007131, 364642, 1007150, 1007160, 1007169, 911053, 1007186, 364651, 1007203, 1007211, 911247, 1007231, 1007239, 1007249, 1007256, 1007266, 1007276, 1007286, 1007296, 364411, 1007313, 1007321, 1007332, 1007340, 1007348, 1007358, 1007371, 1007381, 1007390, 962387, 962392, 363784, 1007427, 1007437, 1007447, 363925, 1007465, 1007474, 1007483, 1007490, 1007499, 1007508, 962398, 962412, 1007538, 363827, 1007556, 1007568, 1007578, 1007586, 1007593, 1007602, 1007614, 1007623, 363999, 1007643, 1007653, 1007662, 1007672, 1007682, 1007690, 1007699, 1007708, 1042382, 1042389, 1042390, 1042391, 1042398, 1031553, 323641, 323521, 323285]</t>
  </si>
  <si>
    <t>0.0014997054199531476</t>
  </si>
  <si>
    <t>[1017026, 1007084, 1007085, 911043, 1007102, 1007112, 1007121, 1007131, 364642, 1007150, 1007160, 1007169, 911053, 1007186, 364651, 1007203, 1007211, 911247, 1007231, 1007239, 1007249, 1007256, 1007266, 1007276, 1007286, 1007296, 364411, 1007313, 1007321, 1007332, 1007340, 1007348, 1007358, 1007371, 1007381, 1007390, 962387, 962392, 363784, 1007427, 1007437, 1007447, 363925, 1007465, 1007474, 1007483, 1007490, 1007499, 1007508, 962398, 962412, 1007538, 363827, 1007556, 1007568, 1007578, 1007586, 1007593, 1007602, 1007614, 1007623, 363999, 1007643, 1007653, 1007662, 1007672, 1007682, 1007690, 1007699, 1007708, 1042382, 1042389, 1042390, 1042391, 1042398, 1031553, 323641, 323521]</t>
  </si>
  <si>
    <t>[0.042, 0.032, 0.048, 0.001, 0.057, 0.021, 0.01, 0.002, 0.003, 0.014, 0.067, 0.023, 0.01, 0.003, 0.03, 0.076, 0.035, 0.046, 0.017, 0.003, 0.052, 0.005, 0.029, 0.04, 0.168, 0.093, 0.023, 0.006, 0.014, 0.021, 0.003, 0.008, 0.003, 0.002, 0.025, 0.044, 0.12, 0.007, 0.007, 0.007, 0.014, 0.009, 0.017, 0.025, 0.073, 0.032, 0.005, 0.018, 0.005, 0.001, 0.018, 0.012, 0.012, 0.017, 0.0, 0.001, 0.007, 0.011, 0.015, 0.012, 0.012, 0.011, 0.008, 0.009, 0.012, 0.002, 0.017, 0.027, 0.028, 0.029, 0.002, 0.037, 0.051, 0.036, 0.072, 0.096, 0.025, 0.021]</t>
  </si>
  <si>
    <t>21284.87660332562</t>
  </si>
  <si>
    <t>[-0.058, -0.076]</t>
  </si>
  <si>
    <t>LINESTRING (20.2892073759448 69.37337868827929, 20.288847710301678 69.37332417890694, 20.286231505406594 69.37298581755748)</t>
  </si>
  <si>
    <t>[333937, 333945]</t>
  </si>
  <si>
    <t>[323486, 323493]</t>
  </si>
  <si>
    <t>[323305, 323486]</t>
  </si>
  <si>
    <t>[0.058, 0.076]</t>
  </si>
  <si>
    <t>126.08311264042236</t>
  </si>
  <si>
    <t>488.0</t>
  </si>
  <si>
    <t>LINESTRING (20.525027364221465 69.27166220276601, 20.2892073759448 69.37337868827929)</t>
  </si>
  <si>
    <t>19176.50781992076</t>
  </si>
  <si>
    <t>0.015</t>
  </si>
  <si>
    <t>17.38863750838373</t>
  </si>
  <si>
    <t>[-0.107, -0.111]</t>
  </si>
  <si>
    <t>LINESTRING (20.286231505406594 69.37298581755748, 20.28546634848713 69.3731514139962, 20.285421244214294 69.37317348317431)</t>
  </si>
  <si>
    <t>[333985, 333993]</t>
  </si>
  <si>
    <t>[323529, 323532]</t>
  </si>
  <si>
    <t>[323493, 323529]</t>
  </si>
  <si>
    <t>[0.107, 0.111]</t>
  </si>
  <si>
    <t>39.08020848061944</t>
  </si>
  <si>
    <t>[-0.112, -0.079]</t>
  </si>
  <si>
    <t>LINESTRING (20.286231505406594 69.37298581755748, 20.285661797969784 69.37319708838663, 20.28561230045799 69.37321893186446)</t>
  </si>
  <si>
    <t>[334025, 334033]</t>
  </si>
  <si>
    <t>[323558, 323564]</t>
  </si>
  <si>
    <t>[323493, 323558]</t>
  </si>
  <si>
    <t>[0.112, 0.079]</t>
  </si>
  <si>
    <t>35.73350434306149</t>
  </si>
  <si>
    <t>9.132869209905234</t>
  </si>
  <si>
    <t>[0.036, 0.03]</t>
  </si>
  <si>
    <t>LINESTRING (20.285421244214294 69.37317348317431, 20.28549815759123 69.37319179163492, 20.28561230045799 69.37321893186446)</t>
  </si>
  <si>
    <t>[334057, 334065]</t>
  </si>
  <si>
    <t>[323583, 323564]</t>
  </si>
  <si>
    <t>0.032415921198078554</t>
  </si>
  <si>
    <t>[323532, 323583]</t>
  </si>
  <si>
    <t>9.066008232154942</t>
  </si>
  <si>
    <t>104.17016482713136</t>
  </si>
  <si>
    <t>[0.035, 0.042, 0.051, 0.053]</t>
  </si>
  <si>
    <t>1702.0</t>
  </si>
  <si>
    <t>LINESTRING (20.285380559420457 69.37325407565324, 20.285549473373777 69.37329414558096, 20.286734399158718 69.37357467069027, 20.28692499127071 69.37361924159894, 20.287863964078575 69.37382250285619)</t>
  </si>
  <si>
    <t>[334105, 334113, 334121, 334129]</t>
  </si>
  <si>
    <t>[323620, 323624, 323627, 323608]</t>
  </si>
  <si>
    <t>0.046312421446539236</t>
  </si>
  <si>
    <t>[323539, 323620, 323624, 323627]</t>
  </si>
  <si>
    <t>116.5913580986045</t>
  </si>
  <si>
    <t>0.082</t>
  </si>
  <si>
    <t>9.923245436926718</t>
  </si>
  <si>
    <t>108.5514735248829</t>
  </si>
  <si>
    <t>[0.038, 0.045, 0.038]</t>
  </si>
  <si>
    <t>LINESTRING (20.28561230045799 69.37321893186446, 20.28566458765445 69.37323130750107, 20.28684864837795 69.37351600565349, 20.287863964078575 69.37382250285619)</t>
  </si>
  <si>
    <t>[334073, 334081, 334089]</t>
  </si>
  <si>
    <t>[323594, 323601, 323608]</t>
  </si>
  <si>
    <t>0.04154150777002568</t>
  </si>
  <si>
    <t>[323564, 323594, 323601]</t>
  </si>
  <si>
    <t>111.4299168383435</t>
  </si>
  <si>
    <t>LINESTRING (20.287863964078575 69.37382250285619, 20.353522012103674 69.50685467578417)</t>
  </si>
  <si>
    <t>13653.259496142731</t>
  </si>
  <si>
    <t>[0.088, 0.076, 0.09, 0.071]</t>
  </si>
  <si>
    <t>LINESTRING (10.462448342688639 61.1131007605744, 10.463280958943399 61.11333642211395, 10.46353352573174 61.11346343697642, 10.463585676353146 61.11348857117668, 10.46369667208202 61.11355435229639)</t>
  </si>
  <si>
    <t>[336468, 336476, 336484, 336492]</t>
  </si>
  <si>
    <t>[325736, 325744, 325751, 288077]</t>
  </si>
  <si>
    <t>0.08345331583762326</t>
  </si>
  <si>
    <t>[325589, 325736, 325744, 325751]</t>
  </si>
  <si>
    <t>85.499610268522</t>
  </si>
  <si>
    <t>[-0.036, -0.037, -0.042]</t>
  </si>
  <si>
    <t>LINESTRING (11.743250687471118 60.24765469068435, 11.743453239001147 60.24766940557563, 11.743584766948599 60.247678602038455, 11.7436547308435 60.247678594524494)</t>
  </si>
  <si>
    <t>[336634, 336642, 336650]</t>
  </si>
  <si>
    <t>[325881, 325890, 325898]</t>
  </si>
  <si>
    <t>[325880, 325881, 325890]</t>
  </si>
  <si>
    <t>[0.036, 0.037, 0.042]</t>
  </si>
  <si>
    <t>22.567732693906034</t>
  </si>
  <si>
    <t>[-0.049, -0.054, -0.039]</t>
  </si>
  <si>
    <t>LINESTRING (11.743250687471118 60.24765469068435, 11.74343741657358 60.247615961981026, 11.743557834054034 60.247593424645196, 11.74362405476694 60.24758887702544)</t>
  </si>
  <si>
    <t>[336658, 336666, 336674]</t>
  </si>
  <si>
    <t>[325904, 325913, 325922]</t>
  </si>
  <si>
    <t>[325880, 325904, 325913]</t>
  </si>
  <si>
    <t>[0.049, 0.054, 0.039]</t>
  </si>
  <si>
    <t>22.033990018407245</t>
  </si>
  <si>
    <t>[0.024, 0.022, -0.013, -0.045]</t>
  </si>
  <si>
    <t>LINESTRING (11.740780100972673 60.24691873227289, 11.740858146087495 60.247075574147956, 11.741039950630057 60.247441560851115, 11.742629346464142 60.24769295381153, 11.743250687471118 60.24765469068435)</t>
  </si>
  <si>
    <t>[337455, 337463, 337471, 337479]</t>
  </si>
  <si>
    <t>[326603, 326613, 326620, 325880]</t>
  </si>
  <si>
    <t>[326204, 326603, 326613, 326620]</t>
  </si>
  <si>
    <t>[0.024, 0.022, 0.013, 0.045]</t>
  </si>
  <si>
    <t>204.45569659798906</t>
  </si>
  <si>
    <t>[0.035, 0.034, 0.038]</t>
  </si>
  <si>
    <t>LINESTRING (6.3646770935219985 62.47144969664746, 6.36468143680357 62.471402298020486, 6.364700792419055 62.47131168951951, 6.3647816276494655 62.47122406399556)</t>
  </si>
  <si>
    <t>[336647, 336655, 336663]</t>
  </si>
  <si>
    <t>[325895, 325902, 325909]</t>
  </si>
  <si>
    <t>0.03583324101413617</t>
  </si>
  <si>
    <t>[325894, 325895, 325902]</t>
  </si>
  <si>
    <t>26.10711143413331</t>
  </si>
  <si>
    <t>[0.018, 0.001]</t>
  </si>
  <si>
    <t>LINESTRING (6.3646770935219985 62.47144969664746, 6.36478284614625 62.47145133736686, 6.364863907575665 62.4714714878881)</t>
  </si>
  <si>
    <t>[989113, 989114]</t>
  </si>
  <si>
    <t>[948256, 948257]</t>
  </si>
  <si>
    <t>0.010092938459251561</t>
  </si>
  <si>
    <t>[325894, 948256]</t>
  </si>
  <si>
    <t>10.225722949444663</t>
  </si>
  <si>
    <t>[-1.621, -0.023, 0.002, 0.021, 0.032, 0.04, 0.033]</t>
  </si>
  <si>
    <t>LINESTRING (6.364904170694914 62.47161716827096, 6.364812307790825 62.47165051011759, 6.364660081793502 62.471655089035266, 6.364555154219646 62.471625653397425, 6.3644994734636136 62.471577042992635, 6.364503553640249 62.47152518266881, 6.364560194321739 62.471478649695705, 6.3646770935219985 62.47144969664746)</t>
  </si>
  <si>
    <t>[989138, 989147, 989155, 989092, 989100, 989101, 989107]</t>
  </si>
  <si>
    <t>[948273, 948279, 325886, 948242, 948247, 948248, 325894]</t>
  </si>
  <si>
    <t>[945218, 948273, 948279, 325886, 948242, 948247, 948248]</t>
  </si>
  <si>
    <t>[1.621, 0.023, 0.002, 0.021, 0.032, 0.04, 0.033]</t>
  </si>
  <si>
    <t>45.01984501110424</t>
  </si>
  <si>
    <t>[-0.019, -0.029]</t>
  </si>
  <si>
    <t>LINESTRING (11.7436547308435 60.247678594524494, 11.743621275036999 60.24763140380226, 11.74362405476694 60.24758887702544)</t>
  </si>
  <si>
    <t>[337559, 337567]</t>
  </si>
  <si>
    <t>[326727, 325922]</t>
  </si>
  <si>
    <t>[325898, 326727]</t>
  </si>
  <si>
    <t>[0.019, 0.029]</t>
  </si>
  <si>
    <t>10.3154127188287</t>
  </si>
  <si>
    <t>[-0.002, 0.023, 0.036, 0.052, 0.053, 0.037, 0.011]</t>
  </si>
  <si>
    <t>LINESTRING (11.743996853781065 60.24750493202408, 11.744097059028174 60.247557176144575, 11.744122464650705 60.24759805843011, 11.744115159091622 60.24764793272024, 11.744005043993903 60.247720893952305, 11.7438994691534 60.24773906032793, 11.74377488075013 60.24773025023544, 11.7436547308435 60.247678594524494)</t>
  </si>
  <si>
    <t>[337503, 337511, 337519, 337527, 337535, 337543, 337551]</t>
  </si>
  <si>
    <t>[325952, 326664, 325929, 326682, 326692, 326696, 325898]</t>
  </si>
  <si>
    <t>0.029806111293655093</t>
  </si>
  <si>
    <t>[326643, 325952, 326664, 325929, 326682, 326692, 326696]</t>
  </si>
  <si>
    <t>[0.002, 0.023, 0.036, 0.052, 0.053, 0.037, 0.011]</t>
  </si>
  <si>
    <t>50.49819004940009</t>
  </si>
  <si>
    <t>[0.036, 0.036, 0.138]</t>
  </si>
  <si>
    <t>LINESTRING (6.3647816276494655 62.47122406399556, 6.364979473647344 62.470864221346936, 6.365041816334614 62.47075400271627, 6.365459284173688 62.4701784023664)</t>
  </si>
  <si>
    <t>[988977, 988978, 988992]</t>
  </si>
  <si>
    <t>[948167, 948168, 945498]</t>
  </si>
  <si>
    <t>0.09270975460528724</t>
  </si>
  <si>
    <t>[325909, 948167, 948168]</t>
  </si>
  <si>
    <t>122.0465979103707</t>
  </si>
  <si>
    <t>[0.029, 0.03]</t>
  </si>
  <si>
    <t>LINESTRING (6.364863907575665 62.4714714878881, 6.364843949631825 62.471409591017206, 6.3647816276494655 62.47122406399556)</t>
  </si>
  <si>
    <t>[2138661, 2138669]</t>
  </si>
  <si>
    <t>[1837727, 325909]</t>
  </si>
  <si>
    <t>0.029751879956199132</t>
  </si>
  <si>
    <t>[948257, 1837727]</t>
  </si>
  <si>
    <t>28.16818409173688</t>
  </si>
  <si>
    <t>11.584324464138309</t>
  </si>
  <si>
    <t>LINESTRING (11.820529060904654 60.23433429527268, 11.820520410767193 60.23437318576735, 11.82049862433357 60.234471140495344)</t>
  </si>
  <si>
    <t>[336730, 336738]</t>
  </si>
  <si>
    <t>[325978, 325985]</t>
  </si>
  <si>
    <t>[325977, 325978]</t>
  </si>
  <si>
    <t>15.339445883642172</t>
  </si>
  <si>
    <t>[-0.007, -0.023]</t>
  </si>
  <si>
    <t>LINESTRING (11.820529060904654 60.23433429527268, 11.820431490979667 60.23436214844396, 11.820289010112035 60.23436304498649)</t>
  </si>
  <si>
    <t>[336911, 336919]</t>
  </si>
  <si>
    <t>[326149, 325991]</t>
  </si>
  <si>
    <t>[325977, 326149]</t>
  </si>
  <si>
    <t>[0.007, 0.023]</t>
  </si>
  <si>
    <t>14.127751026965637</t>
  </si>
  <si>
    <t>18.563224389251154</t>
  </si>
  <si>
    <t>[0.032, 0.033, 0.032]</t>
  </si>
  <si>
    <t>LINESTRING (11.82049862433357 60.234471140495344, 11.820591223912686 60.23462126982595, 11.820749664797704 60.23487883237509, 11.8209689045135 60.23523436155714)</t>
  </si>
  <si>
    <t>[336959, 336967, 336975]</t>
  </si>
  <si>
    <t>[326194, 326202, 326008]</t>
  </si>
  <si>
    <t>0.032337419833647095</t>
  </si>
  <si>
    <t>[325985, 326194, 326202]</t>
  </si>
  <si>
    <t>88.93569402012693</t>
  </si>
  <si>
    <t>[0.038, 0.034]</t>
  </si>
  <si>
    <t>LINESTRING (11.820289010112035 60.23436304498649, 11.820352599491484 60.2343958410377, 11.82049862433357 60.234471140495344)</t>
  </si>
  <si>
    <t>[336746, 336754]</t>
  </si>
  <si>
    <t>[325992, 325985]</t>
  </si>
  <si>
    <t>0.03521352861861495</t>
  </si>
  <si>
    <t>[325991, 325992]</t>
  </si>
  <si>
    <t>16.730609683351755</t>
  </si>
  <si>
    <t>17.669729572654802</t>
  </si>
  <si>
    <t>[0.037, 0.044]</t>
  </si>
  <si>
    <t>LINESTRING (11.8209689045135 60.23523436155714, 11.821099407630262 60.23530466934471, 11.821160391294994 60.23533752829616)</t>
  </si>
  <si>
    <t>[336762, 336770]</t>
  </si>
  <si>
    <t>[326009, 326015]</t>
  </si>
  <si>
    <t>0.03922942953591244</t>
  </si>
  <si>
    <t>[326008, 326009]</t>
  </si>
  <si>
    <t>15.641719862010962</t>
  </si>
  <si>
    <t>[0.029, 0.026]</t>
  </si>
  <si>
    <t>LINESTRING (11.8209689045135 60.23523436155714, 11.820960232995477 60.2353265922069, 11.82095711299416 60.23535970254739)</t>
  </si>
  <si>
    <t>[337010, 337018]</t>
  </si>
  <si>
    <t>[326231, 326236]</t>
  </si>
  <si>
    <t>0.028207510815112063</t>
  </si>
  <si>
    <t>[326008, 326231]</t>
  </si>
  <si>
    <t>13.980014321354616</t>
  </si>
  <si>
    <t>[-0.014, 0.005, 0.024, 0.033]</t>
  </si>
  <si>
    <t>LINESTRING (11.82010489185036 60.23424360924299, 11.82018023455346 60.234152411391314, 11.82027448301845 60.23412340044378, 11.82040809010504 60.234118966335316, 11.820575762780672 60.234178789829166)</t>
  </si>
  <si>
    <t>[336935, 336943, 336951, 336895]</t>
  </si>
  <si>
    <t>[326171, 326179, 326134, 326021]</t>
  </si>
  <si>
    <t>0.012035843140847154</t>
  </si>
  <si>
    <t>[326013, 326171, 326179, 326134]</t>
  </si>
  <si>
    <t>[0.014, 0.005, 0.024, 0.033]</t>
  </si>
  <si>
    <t>36.51158126937394</t>
  </si>
  <si>
    <t>[0.008, 0.009, 0.01, 0.005]</t>
  </si>
  <si>
    <t>LINESTRING (11.813108814267771 60.236007900880544, 11.813563575262181 60.23588855101964, 11.819919086767017 60.23428634738183, 11.820035146515316 60.2342593873196, 11.82010489185036 60.23424360924299)</t>
  </si>
  <si>
    <t>[337745, 336751, 336759, 336767]</t>
  </si>
  <si>
    <t>[325997, 325998, 326005, 326013]</t>
  </si>
  <si>
    <t>0.008912427645990924</t>
  </si>
  <si>
    <t>[326281, 325997, 325998, 326005]</t>
  </si>
  <si>
    <t>438.17305214169716</t>
  </si>
  <si>
    <t>10.245438009408625</t>
  </si>
  <si>
    <t>[0.008, 0.027]</t>
  </si>
  <si>
    <t>LINESTRING (11.82095711299416 60.23535970254739, 11.82103250735916 60.2353406626983, 11.821160391294994 60.23533752829616)</t>
  </si>
  <si>
    <t>[337055, 337063]</t>
  </si>
  <si>
    <t>[326265, 326015]</t>
  </si>
  <si>
    <t>0.01944287419881575</t>
  </si>
  <si>
    <t>[326236, 326265]</t>
  </si>
  <si>
    <t>11.77843254749413</t>
  </si>
  <si>
    <t>[0.017, -0.0, 0.004]</t>
  </si>
  <si>
    <t>LINESTRING (11.820575762780672 60.234178789829166, 11.820666100733698 60.23416811504365, 11.829724925353725 60.23347316150635, 11.83049633015047 60.23344914497632)</t>
  </si>
  <si>
    <t>[336775, 336783, 337774]</t>
  </si>
  <si>
    <t>[326022, 326029, 326302]</t>
  </si>
  <si>
    <t>0.00046183364562702237</t>
  </si>
  <si>
    <t>[326021, 326022, 326029]</t>
  </si>
  <si>
    <t>[0.017, 0.0, 0.004]</t>
  </si>
  <si>
    <t>560.2657837868264</t>
  </si>
  <si>
    <t>8.652080674514474</t>
  </si>
  <si>
    <t>[-0.011, -0.017, -0.018]</t>
  </si>
  <si>
    <t>LINESTRING (11.821314680430149 60.23538822363464, 11.821388810269095 60.2353827849668, 11.81606034470511 60.23556624527031, 11.815578439742948 60.235623981720124)</t>
  </si>
  <si>
    <t>[336791, 336799, 337753]</t>
  </si>
  <si>
    <t>[326037, 326047, 326255]</t>
  </si>
  <si>
    <t>[326036, 326037, 326047]</t>
  </si>
  <si>
    <t>[0.011, 0.017, 0.018]</t>
  </si>
  <si>
    <t>449.057260354442</t>
  </si>
  <si>
    <t>[0.031, -0.005, -0.027, -0.036, -0.036, -0.031, -0.011]</t>
  </si>
  <si>
    <t>LINESTRING (11.821360979990873 60.2354623893655, 11.821293991873212 60.23554570079165, 11.821196138560744 60.235578310333594, 11.821058815485486 60.23558373455678, 11.820931051673412 60.23555020904796, 11.820866423218257 60.23549734972405, 11.820860013774965 60.235436720552414, 11.82095711299416 60.23535970254739)</t>
  </si>
  <si>
    <t>[336999, 337007, 337015, 337023, 337031, 337039, 337047]</t>
  </si>
  <si>
    <t>[326050, 326230, 326023, 326240, 326245, 326253, 326236]</t>
  </si>
  <si>
    <t>[326063, 326050, 326230, 326023, 326240, 326245, 326253]</t>
  </si>
  <si>
    <t>[0.031, 0.005, 0.027, 0.036, 0.036, 0.031, 0.011]</t>
  </si>
  <si>
    <t>55.94215693762514</t>
  </si>
  <si>
    <t>[0.007, 0.01, 0.011]</t>
  </si>
  <si>
    <t>LINESTRING (11.827811393309213 60.233825076651115, 11.827460599662377 60.23389270471938, 11.821428324841845 60.235447532487974, 11.821360979990873 60.2354623893655)</t>
  </si>
  <si>
    <t>[337768, 336807, 336815]</t>
  </si>
  <si>
    <t>[326055, 326056, 326063]</t>
  </si>
  <si>
    <t>0.009858727563552026</t>
  </si>
  <si>
    <t>[326260, 326055, 326056]</t>
  </si>
  <si>
    <t>413.7618270391851</t>
  </si>
  <si>
    <t>[-0.124, -0.099]</t>
  </si>
  <si>
    <t>LINESTRING (11.975824991882716 60.195111711019365, 11.975959133542254 60.19515233126533, 11.976062729189618 60.195250299471425)</t>
  </si>
  <si>
    <t>[337271, 337279]</t>
  </si>
  <si>
    <t>[326436, 326129]</t>
  </si>
  <si>
    <t>[326074, 326436]</t>
  </si>
  <si>
    <t>[0.124, 0.099]</t>
  </si>
  <si>
    <t>21.043527560861428</t>
  </si>
  <si>
    <t>[0.043, -0.018, -0.064, -0.102]</t>
  </si>
  <si>
    <t>LINESTRING (11.975350685259446 60.1953000894266, 11.97540738694207 60.19518214842343, 11.975501526411975 60.195133889610254, 11.975581416390494 60.19511298029726, 11.975824991882716 60.195111711019365)</t>
  </si>
  <si>
    <t>[337239, 337247, 337255, 337263]</t>
  </si>
  <si>
    <t>[326404, 326412, 326420, 326074]</t>
  </si>
  <si>
    <t>[326403, 326404, 326412, 326420]</t>
  </si>
  <si>
    <t>[0.043, 0.018, 0.064, 0.102]</t>
  </si>
  <si>
    <t>39.94291469417722</t>
  </si>
  <si>
    <t>[-0.038, 0.034, 0.061, 0.1]</t>
  </si>
  <si>
    <t>LINESTRING (11.976062729189618 60.195250299471425, 11.976008599702064 60.19537953108429, 11.975893093767898 60.19543423927923, 11.975746623700445 60.19545909223785, 11.975634481201638 60.19545590363705)</t>
  </si>
  <si>
    <t>[337287, 337295, 337303, 337311]</t>
  </si>
  <si>
    <t>[326450, 326459, 326468, 326477]</t>
  </si>
  <si>
    <t>0.022739403939881126</t>
  </si>
  <si>
    <t>[326129, 326450, 326459, 326468]</t>
  </si>
  <si>
    <t>[0.038, 0.034, 0.061, 0.1]</t>
  </si>
  <si>
    <t>38.62760456831889</t>
  </si>
  <si>
    <t>LINESTRING (11.740799784243459 60.24678262413442, 11.740793779912792 60.24682409216241, 11.740780100972673 60.24691873227289)</t>
  </si>
  <si>
    <t>[336962, 336970]</t>
  </si>
  <si>
    <t>[326197, 326204]</t>
  </si>
  <si>
    <t>0.018085985022778063</t>
  </si>
  <si>
    <t>[326196, 326197]</t>
  </si>
  <si>
    <t>15.203802182542496</t>
  </si>
  <si>
    <t>[-0.012, -0.023]</t>
  </si>
  <si>
    <t>LINESTRING (11.740799784243459 60.24678262413442, 11.74072105233434 60.246799919955066, 11.740629843053062 60.24680271071557)</t>
  </si>
  <si>
    <t>[337407, 337415]</t>
  </si>
  <si>
    <t>[326558, 326210]</t>
  </si>
  <si>
    <t>[326196, 326558]</t>
  </si>
  <si>
    <t>[0.012, 0.023]</t>
  </si>
  <si>
    <t>9.828382278896324</t>
  </si>
  <si>
    <t>19.210883244335825</t>
  </si>
  <si>
    <t>[0.032, 0.028]</t>
  </si>
  <si>
    <t>LINESTRING (11.740629843053062 60.24680271071557, 11.740676649411437 60.24683885372252, 11.740780100972673 60.24691873227289)</t>
  </si>
  <si>
    <t>[336978, 336986]</t>
  </si>
  <si>
    <t>[326211, 326204]</t>
  </si>
  <si>
    <t>0.029246064247234426</t>
  </si>
  <si>
    <t>[326210, 326211]</t>
  </si>
  <si>
    <t>15.373760113698506</t>
  </si>
  <si>
    <t>20.53857265154025</t>
  </si>
  <si>
    <t>707.1195230594567</t>
  </si>
  <si>
    <t>[0.02, 0.011, 0.01, 0.007, 0.007, -0.009, 0.003, 0.009]</t>
  </si>
  <si>
    <t>11627.0</t>
  </si>
  <si>
    <t>LINESTRING (11.750460222021351 60.24661094700167, 11.750465489176666 60.246610698635884, 11.750563440673258 60.246605891649295, 11.752321612250634 60.24651276214264, 11.757972120458678 60.246209815623494, 11.787569916704244 60.242411929165776, 11.80849252220927 60.23704620935536, 11.813143455103441 60.23608302962209, 11.815578439742948 60.235623981720124)</t>
  </si>
  <si>
    <t>[337202, 337210, 337218, 337226, 336994, 337322, 337034, 337042]</t>
  </si>
  <si>
    <t>[326372, 326379, 326385, 326220, 326221, 326246, 326247, 326255]</t>
  </si>
  <si>
    <t>0.0014371147526818868</t>
  </si>
  <si>
    <t>[326368, 326372, 326379, 326385, 326220, 326221, 326246, 326247]</t>
  </si>
  <si>
    <t>[0.02, 0.011, 0.01, 0.007, 0.007, 0.009, 0.003, 0.009]</t>
  </si>
  <si>
    <t>3843.408510979718</t>
  </si>
  <si>
    <t>[-0.003, -0.002, -0.007, -0.002, 0.011, 0.033, -0.039, 0.009, 0.009, 0.002, 0.022]</t>
  </si>
  <si>
    <t>[0, 0, 0, 1, 0, 0, 0, 1, 0, 0, 0]</t>
  </si>
  <si>
    <t>LINESTRING (11.827811393309213 60.233825076651115, 11.830476072802199 60.233529354283895, 11.833176358838534 60.23324216639643, 11.845965894212904 60.231073026828554, 11.847556466835357 60.230646106369036, 11.85757283082026 60.226635123301996, 11.86223196419354 60.22274831890866, 11.867307536141196 60.21785790159091, 11.867675028404829 60.21759539565945, 11.872004152721514 60.215338110679866, 11.880191552021493 60.212895956888495, 11.884894901677846 60.21108687775226)</t>
  </si>
  <si>
    <t>[337058, 337066, 337330, 337338, 337346, 337386, 337394, 337402, 337410, 337418, 656706]</t>
  </si>
  <si>
    <t>[326266, 326273, 326493, 326502, 326507, 326538, 326547, 326553, 326561, 326567, 648163]</t>
  </si>
  <si>
    <t>0.001467793621311556</t>
  </si>
  <si>
    <t>[326260, 326266, 326273, 326493, 326502, 326507, 326538, 326547, 326553, 326561, 326567]</t>
  </si>
  <si>
    <t>[0.003, 0.002, 0.007, 0.002, 0.011, 0.033, 0.039, 0.009, 0.009, 0.002, 0.022]</t>
  </si>
  <si>
    <t>4236.887319926679</t>
  </si>
  <si>
    <t>[0.009, 0.005, -0.003]</t>
  </si>
  <si>
    <t>LINESTRING (11.813108814267771 60.236007900880544, 11.815556858436851 60.235551279036635, 11.827819555515813 60.23374612386016, 11.83049633015047 60.23344914497632)</t>
  </si>
  <si>
    <t>[337082, 337090, 337098]</t>
  </si>
  <si>
    <t>[326288, 326295, 326302]</t>
  </si>
  <si>
    <t>0.004367414030986753</t>
  </si>
  <si>
    <t>[326281, 326288, 326295]</t>
  </si>
  <si>
    <t>[0.009, 0.005, 0.003]</t>
  </si>
  <si>
    <t>1005.7279773266057</t>
  </si>
  <si>
    <t>[0.011, 0.01, 0.01, 0.006, 0.007, -0.008, 0.003]</t>
  </si>
  <si>
    <t>LINESTRING (11.750067132790852 60.24655543096214, 11.750449054594753 60.24653524268174, 11.75054691963065 60.246530029210696, 11.752304688651558 60.24643690810334, 11.757953779920461 60.24613335275916, 11.787506594221972 60.24234246031003, 11.808423804208163 60.23697612691298, 11.813108814267771 60.236007900880544)</t>
  </si>
  <si>
    <t>[337290, 337298, 337306, 337314, 337002, 337026, 337074]</t>
  </si>
  <si>
    <t>[326455, 326464, 326472, 326225, 326226, 326241, 326281]</t>
  </si>
  <si>
    <t>0.001459021142620167</t>
  </si>
  <si>
    <t>[326447, 326455, 326464, 326472, 326225, 326226, 326241]</t>
  </si>
  <si>
    <t>[0.011, 0.01, 0.01, 0.006, 0.007, 0.008, 0.003]</t>
  </si>
  <si>
    <t>3719.1346613760547</t>
  </si>
  <si>
    <t>[-0.002, -0.007, -0.003, 0.01, 0.033, -0.037, 0.009, 0.01, 0.001, 0.022, 0.006]</t>
  </si>
  <si>
    <t>[0, 0, 1, 0, 0, 0, 1, 0, 0, 0, 0]</t>
  </si>
  <si>
    <t>LINESTRING (11.83049633015047 60.23344914497632, 11.83315854107354 60.233165468465565, 11.845895625882184 60.23100521937253, 11.847481002069928 60.2305797038291, 11.857454068059393 60.22658684006589, 11.862093018098028 60.222716041902764, 11.867141233913634 60.21784426655552, 11.867501545935593 60.21758509583263, 11.871916387971412 60.21527649987031, 11.88011680662367 60.212829320572965, 11.88477922510335 60.21103669638524, 11.885531807013034 60.2105707910992)</t>
  </si>
  <si>
    <t>[337106, 337114, 337122, 337130, 337354, 337362, 337370, 337378, 337138, 2069969, 2069977]</t>
  </si>
  <si>
    <t>[326308, 326312, 326317, 326324, 326514, 326519, 326527, 326329, 326330, 1797382, 1797387]</t>
  </si>
  <si>
    <t>0.0017684132819136224</t>
  </si>
  <si>
    <t>[326302, 326308, 326312, 326317, 326324, 326514, 326519, 326527, 326329, 326330, 1797382]</t>
  </si>
  <si>
    <t>[0.002, 0.007, 0.003, 0.01, 0.033, 0.037, 0.009, 0.01, 0.001, 0.022, 0.006]</t>
  </si>
  <si>
    <t>4143.737664778913</t>
  </si>
  <si>
    <t>131.98423702073902</t>
  </si>
  <si>
    <t>[0.02, -0.027]</t>
  </si>
  <si>
    <t>LINESTRING (11.733096931048598 60.24795992288121, 11.735476346627056 60.24786497272253, 11.737828841089192 60.24765637784041)</t>
  </si>
  <si>
    <t>[337146, 337154]</t>
  </si>
  <si>
    <t>[326336, 326339]</t>
  </si>
  <si>
    <t>[326335, 326336]</t>
  </si>
  <si>
    <t>[0.02, 0.027]</t>
  </si>
  <si>
    <t>264.90860236296794</t>
  </si>
  <si>
    <t>[-0.056, -0.035, -0.011, -0.006, 0.011]</t>
  </si>
  <si>
    <t>LINESTRING (11.737828841089192 60.24765637784041, 11.737866801089094 60.2476518838083, 11.73905613346392 60.24750480292642, 11.74293744267823 60.24704811546449, 11.750044140385596 60.24663342545187, 11.750460222021351 60.24661094700167)</t>
  </si>
  <si>
    <t>[337162, 337170, 337178, 337186, 337194]</t>
  </si>
  <si>
    <t>[326343, 326350, 326358, 326364, 326368]</t>
  </si>
  <si>
    <t>[326339, 326343, 326350, 326358, 326364]</t>
  </si>
  <si>
    <t>[0.056, 0.035, 0.011, 0.006, 0.011]</t>
  </si>
  <si>
    <t>710.5194674728657</t>
  </si>
  <si>
    <t>[0.253, -0.024, 0.012, 0.039]</t>
  </si>
  <si>
    <t>LINESTRING (11.743742922648405 60.24750606635836, 11.74375057581604 60.24746725375369, 11.743745525503796 60.24739982242387, 11.7382066055368 60.24764313156732, 11.737828841089192 60.24765637784041)</t>
  </si>
  <si>
    <t>[2159562, 2159570, 2159578, 337682]</t>
  </si>
  <si>
    <t>[1849621, 1849627, 326857, 326339]</t>
  </si>
  <si>
    <t>0.01576946057890816</t>
  </si>
  <si>
    <t>[326635, 1849621, 1849627, 326857]</t>
  </si>
  <si>
    <t>[0.253, 0.024, 0.012, 0.039]</t>
  </si>
  <si>
    <t>356.22990163920434</t>
  </si>
  <si>
    <t>[-0.01, 0.007, 0.021, -0.303]</t>
  </si>
  <si>
    <t>LINESTRING (11.750460222021351 60.24661094700167, 11.75014961427258 60.24665138559037, 11.743916671440694 60.2473912728479, 11.743957070056897 60.24745956302017, 11.743996853781065 60.24750493202408)</t>
  </si>
  <si>
    <t>[337690, 2159586, 2159594, 2159602]</t>
  </si>
  <si>
    <t>[326868, 1849640, 1849646, 326643]</t>
  </si>
  <si>
    <t>0.0021988090616114593</t>
  </si>
  <si>
    <t>[326368, 326868, 1849640, 1849646]</t>
  </si>
  <si>
    <t>[0.01, 0.007, 0.021, 0.303]</t>
  </si>
  <si>
    <t>395.8751479892404</t>
  </si>
  <si>
    <t>[-0.027, -0.035, -0.01, -0.006, 0.011]</t>
  </si>
  <si>
    <t>LINESTRING (11.735457792673769 60.247801512859134, 11.737837359126386 60.2475769865441, 11.739027834665228 60.24742965550079, 11.742913381984149 60.24697280350006, 11.750027295037132 60.24655756396811, 11.750067132790852 60.24655543096214)</t>
  </si>
  <si>
    <t>[337250, 337258, 337266, 337274, 337282]</t>
  </si>
  <si>
    <t>[326415, 326423, 326430, 326439, 326447]</t>
  </si>
  <si>
    <t>[326400, 326415, 326423, 326430, 326439]</t>
  </si>
  <si>
    <t>[0.027, 0.035, 0.01, 0.006, 0.011]</t>
  </si>
  <si>
    <t>822.2763485979236</t>
  </si>
  <si>
    <t>[0.014, -0.029, 0.388]</t>
  </si>
  <si>
    <t>LINESTRING (11.735457792673769 60.247801512859134, 11.73557900030156 60.24778617321015, 11.740320187626764 60.246688207969996, 11.740407690921222 60.24667341948219)</t>
  </si>
  <si>
    <t>[337674, 2159546, 2159554]</t>
  </si>
  <si>
    <t>[326848, 1849611, 326570]</t>
  </si>
  <si>
    <t>[326400, 326848, 1849611]</t>
  </si>
  <si>
    <t>[0.014, 0.029, 0.388]</t>
  </si>
  <si>
    <t>307.58890939178013</t>
  </si>
  <si>
    <t>[0.119, 0.099]</t>
  </si>
  <si>
    <t>LINESTRING (11.975634481201638 60.19545590363705, 11.975441889057043 60.1954048287481, 11.975350685259446 60.1953000894266)</t>
  </si>
  <si>
    <t>[337319, 337327]</t>
  </si>
  <si>
    <t>[326485, 326403]</t>
  </si>
  <si>
    <t>0.10875232877584573</t>
  </si>
  <si>
    <t>[326477, 326485]</t>
  </si>
  <si>
    <t>24.8219277382538</t>
  </si>
  <si>
    <t>[0.004, -0.028, -0.011, 0.026, 0.001, 0.026, 0.027, 0.012, -0.02, -0.037, -0.018, 0.004, 0.024, 0.021]</t>
  </si>
  <si>
    <t>[0, 1, 1, 0, 0, 1, 0, 0, 0, 0, 0, 0, 0, 0]</t>
  </si>
  <si>
    <t>LINESTRING (11.89673347009207 60.20716847863639, 11.899767381001505 60.20712019303642, 11.905919372463273 60.20668856212474, 11.912957461468825 60.205414028518014, 11.914489388986008 60.20508119730772, 11.94206820329442 60.206619887574554, 11.942644011095162 60.206537746773954, 11.945113643386616 60.20604316980587, 11.960338953016523 60.20022045144768, 11.966812956437607 60.19842742882458, 11.967995089817443 60.198076729674, 11.9680162883424 60.19807037687275, 11.973928880482575 60.19598478131959, 11.975284913390999 60.19536561858146, 11.975350685259446 60.1953000894266)</t>
  </si>
  <si>
    <t>[2070001, 2070009, 656752, 656760, 337642, 337650, 337658, 337442, 337490, 337498, 337506, 337514, 337522, 337530]</t>
  </si>
  <si>
    <t>[1797406, 648203, 648204, 326808, 326809, 326816, 326590, 326591, 326638, 326648, 326657, 326668, 326675, 326403]</t>
  </si>
  <si>
    <t>0.0002592840072601649</t>
  </si>
  <si>
    <t>[1797401, 1797406, 648203, 648204, 326808, 326809, 326816, 326590, 326591, 326638, 326648, 326657, 326668, 326675]</t>
  </si>
  <si>
    <t>[0.004, 0.028, 0.011, 0.026, 0.001, 0.026, 0.027, 0.012, 0.02, 0.037, 0.018, 0.004, 0.024, 0.021]</t>
  </si>
  <si>
    <t>4842.26429069284</t>
  </si>
  <si>
    <t>[-0.604, -0.011, -0.005, 0.016]</t>
  </si>
  <si>
    <t>LINESTRING (11.740891704655565 60.24662726325407, 11.740977679387306 60.24661420713528, 11.741070355916262 60.24660338249727, 11.749072340210896 60.24655740626424, 11.750067132790852 60.24655543096214)</t>
  </si>
  <si>
    <t>[2159610, 2159618, 2159626, 337666]</t>
  </si>
  <si>
    <t>[1849655, 1849660, 326838, 326447]</t>
  </si>
  <si>
    <t>[326543, 1849655, 1849660, 326838]</t>
  </si>
  <si>
    <t>[0.604, 0.011, 0.005, 0.016]</t>
  </si>
  <si>
    <t>514.3415622687658</t>
  </si>
  <si>
    <t>[0.013, 0.006, -0.03, -0.011, 0.022, 0.0, 0.027, 0.025, 0.012, -0.02, -0.035, 0.003, 0.014, -0.07]</t>
  </si>
  <si>
    <t>7069.0</t>
  </si>
  <si>
    <t>[0, 0, 1, 1, 0, 0, 1, 0, 0, 0, 0, 0, 0, 0]</t>
  </si>
  <si>
    <t>LINESTRING (11.896266850140512 60.20726870391912, 11.896747290549806 60.2072443985655, 11.899764152123973 60.20719663023624, 11.906098405004373 60.20674519988621, 11.913013168882943 60.20548397605091, 11.91454575944019 60.205151033795715, 11.942109413679278 60.206694968493636, 11.94268821725066 60.206609751694934, 11.945184105905438 60.20611030691719, 11.960420067105064 60.20028562311986, 11.966888291775776 60.19849330876442, 11.968091323293535 60.198136986032516, 11.974020278740216 60.19604546200515, 11.975482393929582 60.19548315297184, 11.975634481201638 60.19545590363705)</t>
  </si>
  <si>
    <t>[656724, 656731, 656732, 656733, 656744, 337618, 337626, 337634, 337426, 337450, 337458, 337466, 337474, 337482]</t>
  </si>
  <si>
    <t>[648178, 648183, 648184, 648185, 326792, 326793, 326797, 326573, 326574, 326597, 326607, 326616, 326622, 326477]</t>
  </si>
  <si>
    <t>[648172, 648178, 648183, 648184, 648185, 326792, 326793, 326797, 326573, 326574, 326597, 326607, 326616, 326622]</t>
  </si>
  <si>
    <t>[0.013, 0.006, 0.03, 0.011, 0.022, 0.0, 0.027, 0.025, 0.012, 0.02, 0.035, 0.003, 0.014, 0.07]</t>
  </si>
  <si>
    <t>4874.804134311199</t>
  </si>
  <si>
    <t>[-0.006, 0.015, 0.019, 0.031]</t>
  </si>
  <si>
    <t>LINESTRING (11.740407690921222 60.24667341948219, 11.740510795642288 60.24657647514279, 11.74058531494852 60.24655790770085, 11.740656377328959 60.24655228540538, 11.740891704655565 60.24662726325407)</t>
  </si>
  <si>
    <t>[337431, 337439, 337447, 337391]</t>
  </si>
  <si>
    <t>[326579, 326586, 326174, 326543]</t>
  </si>
  <si>
    <t>0.015303691163523876</t>
  </si>
  <si>
    <t>[326570, 326579, 326586, 326174]</t>
  </si>
  <si>
    <t>[0.006, 0.015, 0.019, 0.031]</t>
  </si>
  <si>
    <t>37.29997022649495</t>
  </si>
  <si>
    <t>14.565290841136342</t>
  </si>
  <si>
    <t>414.11470565682527</t>
  </si>
  <si>
    <t>[0.004, -0.005, -0.012]</t>
  </si>
  <si>
    <t>LINESTRING (9.673707624166008 61.66135394869356, 9.667103287836797 61.66312399589668, 9.666006726934295 61.66322336595262, 9.666002079426944 61.66322375130148)</t>
  </si>
  <si>
    <t>[338852, 338860, 338868]</t>
  </si>
  <si>
    <t>[327986, 327995, 328004]</t>
  </si>
  <si>
    <t>0.002853450731067973</t>
  </si>
  <si>
    <t>[327985, 327986, 327995]</t>
  </si>
  <si>
    <t>[0.004, 0.005, 0.012]</t>
  </si>
  <si>
    <t>467.9631413804537</t>
  </si>
  <si>
    <t>[0.001, 0.004, -0.006, 0.005]</t>
  </si>
  <si>
    <t>LINESTRING (9.673707624166008 61.66135394869356, 9.673633086733947 61.6614460554476, 9.672486011369763 61.66200735667734, 9.675086587323479 61.661992003208816, 9.675105159873658 61.661937027274774)</t>
  </si>
  <si>
    <t>[339524, 339532, 339540, 339548]</t>
  </si>
  <si>
    <t>[328584, 328592, 328601, 328198]</t>
  </si>
  <si>
    <t>[327985, 328584, 328592, 328601]</t>
  </si>
  <si>
    <t>[0.001, 0.004, 0.006, 0.005]</t>
  </si>
  <si>
    <t>328.6734467965761</t>
  </si>
  <si>
    <t>95.04011224712386</t>
  </si>
  <si>
    <t>[-0.001, 0.0, 0.022, 0.162, 0.04, -0.021, -0.015, 0.027, 0.041, 0.021, 0.012]</t>
  </si>
  <si>
    <t>3644.0</t>
  </si>
  <si>
    <t>[0, 0, 0, 1, 0, 0, 0, 0, 0, 0, 0]</t>
  </si>
  <si>
    <t>LINESTRING (9.666002079426944 61.66322375130148, 9.662715728360498 61.663443661700455, 9.661977614512542 61.663489045148, 9.649603241437324 61.66365098669785, 9.64610680867296 61.66435620553786, 9.626155945100887 61.66274436897164, 9.589104931971606 61.66598941585517, 9.585955647752026 61.66659827578275, 9.564717682836724 61.67169007311374, 9.560699107656577 61.673376574064, 9.559784171229015 61.67381035319946, 9.558961831760888 61.67421870340785)</t>
  </si>
  <si>
    <t>[338876, 338884, 338892, 338900, 338932, 338940, 339188, 339196, 339204, 339212, 339220]</t>
  </si>
  <si>
    <t>[328013, 328019, 328024, 328031, 328055, 328060, 328281, 328287, 328294, 328301, 328308]</t>
  </si>
  <si>
    <t>0.014765771165384169</t>
  </si>
  <si>
    <t>[328004, 328013, 328019, 328024, 328031, 328055, 328060, 328281, 328287, 328294, 328301]</t>
  </si>
  <si>
    <t>[0.001, 0.0, 0.022, 0.162, 0.04, 0.021, 0.015, 0.027, 0.041, 0.021, 0.012]</t>
  </si>
  <si>
    <t>6207.087910092525</t>
  </si>
  <si>
    <t>[0.005, 0.001, -0.005, -0.01]</t>
  </si>
  <si>
    <t>LINESTRING (9.666002079426944 61.66322375130148, 9.66624689716326 61.6631907610856, 9.669537854119934 61.66272752924459, 9.675447462426572 61.66168537291122, 9.675492665206738 61.661744815573)</t>
  </si>
  <si>
    <t>[339198, 339206, 339214, 339222]</t>
  </si>
  <si>
    <t>[328288, 328295, 328302, 328207]</t>
  </si>
  <si>
    <t>[328004, 328288, 328295, 328302]</t>
  </si>
  <si>
    <t>[0.005, 0.001, 0.005, 0.01]</t>
  </si>
  <si>
    <t>663.2160871671651</t>
  </si>
  <si>
    <t>[0.005, 0.004, -0.005, 0.001, 0.09]</t>
  </si>
  <si>
    <t>[0, 0, 0, 1, 1]</t>
  </si>
  <si>
    <t>LINESTRING (9.675203016726158 61.661736309410315, 9.675230378642638 61.66168743523679, 9.671781557322143 61.662118804056206, 9.673614417909391 61.66132392923785, 9.674545895486768 61.66076746532403, 9.674767595639848 61.6606673214788)</t>
  </si>
  <si>
    <t>[339158, 339166, 339174, 339182, 339190]</t>
  </si>
  <si>
    <t>[328251, 328258, 328266, 328275, 328043]</t>
  </si>
  <si>
    <t>0.0039611222825143965</t>
  </si>
  <si>
    <t>[328199, 328251, 328258, 328266, 328275]</t>
  </si>
  <si>
    <t>[0.005, 0.004, 0.005, 0.001, 0.09]</t>
  </si>
  <si>
    <t>625.3488827185716</t>
  </si>
  <si>
    <t>[0.081, 0.183, 0.102, 0.232, 0.127, 0.004, -0.131, -0.528, -0.641, -0.351, -0.218, -0.164]</t>
  </si>
  <si>
    <t>3428.0</t>
  </si>
  <si>
    <t>[0, 0, 0, 0, 0, 0, 0, 0, 0, 0, 0, 1]</t>
  </si>
  <si>
    <t>LINESTRING (9.708022556642517 61.62698098427674, 9.707807058137275 61.62731961270568, 9.707801413320624 61.62732817595914, 9.707189533610293 61.62818549625974, 9.707182840826473 61.6281938838698, 9.70665461036203 61.62880296655836, 9.679187146375074 61.65695608989055, 9.679178270166709 61.65696399547688, 9.678649320129269 61.65742945462707, 9.67864026181544 61.65743731709429, 9.676514952158392 61.65923020773179, 9.67644504332981 61.65928876106946, 9.674767595639848 61.6606673214788)</t>
  </si>
  <si>
    <t>[340969, 340977, 340985, 340993, 341001, 338822, 338830, 338838, 338846, 338854, 338908, 338916]</t>
  </si>
  <si>
    <t>[329760, 329766, 329774, 329781, 327957, 327958, 327964, 327972, 327980, 327988, 328039, 328043]</t>
  </si>
  <si>
    <t>[328697, 329760, 329766, 329774, 329781, 327957, 327958, 327964, 327972, 327980, 327988, 328039]</t>
  </si>
  <si>
    <t>[0.081, 0.183, 0.102, 0.232, 0.127, 0.004, 0.131, 0.528, 0.641, 0.351, 0.218, 0.164]</t>
  </si>
  <si>
    <t>4167.341532895282</t>
  </si>
  <si>
    <t>[0.064, 0.003, 0.041, 0.003, 0.016]</t>
  </si>
  <si>
    <t>LINESTRING (9.551402767026802 61.67792939234088, 9.551586531634886 61.67783621805123, 9.551637830487785 61.67781012337828, 9.55320399447488 61.67715773579984, 9.558719559860219 61.674317762578, 9.558961831760888 61.67421870340785)</t>
  </si>
  <si>
    <t>[339556, 339564, 339910, 339918, 339318]</t>
  </si>
  <si>
    <t>[328618, 328625, 328919, 328396, 328308]</t>
  </si>
  <si>
    <t>0.011417745074512537</t>
  </si>
  <si>
    <t>[328068, 328618, 328625, 328919, 328396]</t>
  </si>
  <si>
    <t>568.740533632174</t>
  </si>
  <si>
    <t>15.213112562095418</t>
  </si>
  <si>
    <t>[0.002, 0.004, 0.011, 0.002, -0.005]</t>
  </si>
  <si>
    <t>LINESTRING (9.6753588060474 61.66199074142854, 9.675284859442975 61.66203096012223, 9.674536149172212 61.66248511046258, 9.670986179062773 61.662519959007746, 9.667361217870704 61.663169118827014, 9.667094635483403 61.66318500966399)</t>
  </si>
  <si>
    <t>[339022, 339030, 339238, 339246, 339230]</t>
  </si>
  <si>
    <t>[328122, 328128, 328326, 328317, 328318]</t>
  </si>
  <si>
    <t>0.005739322690656627</t>
  </si>
  <si>
    <t>[328121, 328122, 328128, 328326, 328317]</t>
  </si>
  <si>
    <t>[0.002, 0.004, 0.011, 0.002, 0.005]</t>
  </si>
  <si>
    <t>492.57886504201576</t>
  </si>
  <si>
    <t>[-0.014, -0.013, -0.008, 0.005]</t>
  </si>
  <si>
    <t>LINESTRING (9.675492665206738 61.661744815573, 9.675593654281194 61.661803464189624, 9.675616335730204 61.66185959898134, 9.67558749071403 61.66191597405871, 9.6753588060474 61.66199074142854)</t>
  </si>
  <si>
    <t>[339118, 339126, 339134, 339142]</t>
  </si>
  <si>
    <t>[328163, 328222, 328179, 328121]</t>
  </si>
  <si>
    <t>[328207, 328163, 328222, 328179]</t>
  </si>
  <si>
    <t>[0.014, 0.013, 0.008, 0.005]</t>
  </si>
  <si>
    <t>36.50225344053029</t>
  </si>
  <si>
    <t>26.679697611315028</t>
  </si>
  <si>
    <t>[0.039, 0.042, 0.037, 0.002, -0.015]</t>
  </si>
  <si>
    <t>LINESTRING (9.724699840027787 61.59358987870792, 9.724585793481683 61.59360868958321, 9.724442627705141 61.59363191634371, 9.72188661205862 61.594373959547625, 9.720356395258788 61.59541409341892, 9.720168545299966 61.59552391070764)</t>
  </si>
  <si>
    <t>[339068, 339076, 339084, 339092, 340336]</t>
  </si>
  <si>
    <t>[328161, 328170, 328177, 328185, 329309]</t>
  </si>
  <si>
    <t>0.01977499345985921</t>
  </si>
  <si>
    <t>[328160, 328161, 328170, 328177, 328185]</t>
  </si>
  <si>
    <t>[0.039, 0.042, 0.037, 0.002, 0.015]</t>
  </si>
  <si>
    <t>332.4919885353863</t>
  </si>
  <si>
    <t>[-0.013, 0.011, 0.028, 0.041]</t>
  </si>
  <si>
    <t>LINESTRING (9.724999555383148 61.59335277004741, 9.725067653585098 61.593438546822696, 9.725032203587727 61.59351356852146, 9.724915908414758 61.59357205499119, 9.724699840027787 61.59358987870792)</t>
  </si>
  <si>
    <t>[339276, 339284, 339292, 339300]</t>
  </si>
  <si>
    <t>[328359, 328368, 328263, 328160]</t>
  </si>
  <si>
    <t>0.017628931617477285</t>
  </si>
  <si>
    <t>[328350, 328359, 328368, 328263]</t>
  </si>
  <si>
    <t>[0.013, 0.011, 0.028, 0.041]</t>
  </si>
  <si>
    <t>39.62987477740815</t>
  </si>
  <si>
    <t>50.200008964262075</t>
  </si>
  <si>
    <t>LINESTRING (9.723278493028944 61.59287441524052, 9.723375896873598 61.592892285270686, 9.723640848676709 61.59293343035838)</t>
  </si>
  <si>
    <t>[340062, 340070]</t>
  </si>
  <si>
    <t>[329056, 328195]</t>
  </si>
  <si>
    <t>[329055, 329056]</t>
  </si>
  <si>
    <t>20.553954415848246</t>
  </si>
  <si>
    <t>[-0.011, -0.009]</t>
  </si>
  <si>
    <t>LINESTRING (9.723497647396572 61.59276979216243, 9.723541461036495 61.592812438069615, 9.723640848676709 61.59293343035838)</t>
  </si>
  <si>
    <t>[340078, 340086]</t>
  </si>
  <si>
    <t>[329069, 328195]</t>
  </si>
  <si>
    <t>[329068, 329069]</t>
  </si>
  <si>
    <t>[0.011, 0.009]</t>
  </si>
  <si>
    <t>19.97392810542343</t>
  </si>
  <si>
    <t>[-0.01, -0.02]</t>
  </si>
  <si>
    <t>LINESTRING (9.724318607767728 61.59324714770143, 9.724414178279 61.59337039406551, 9.724457881249707 61.59340838334841)</t>
  </si>
  <si>
    <t>[339140, 339148]</t>
  </si>
  <si>
    <t>[328235, 328242]</t>
  </si>
  <si>
    <t>[328196, 328235]</t>
  </si>
  <si>
    <t>[0.01, 0.02]</t>
  </si>
  <si>
    <t>19.967763598063478</t>
  </si>
  <si>
    <t>[-0.036, -0.035]</t>
  </si>
  <si>
    <t>LINESTRING (9.724318607767728 61.59324714770143, 9.724580259385013 61.593287956177896, 9.724663486198203 61.59330458378547)</t>
  </si>
  <si>
    <t>[339156, 339164]</t>
  </si>
  <si>
    <t>[328249, 328257]</t>
  </si>
  <si>
    <t>[328196, 328249]</t>
  </si>
  <si>
    <t>19.6700205295906</t>
  </si>
  <si>
    <t>25.924567488176457</t>
  </si>
  <si>
    <t>15.951532533454651</t>
  </si>
  <si>
    <t>[-0.021, -0.035]</t>
  </si>
  <si>
    <t>LINESTRING (9.724457881249707 61.59340838334841, 9.724529448403791 61.59334528708313, 9.724663486198203 61.59330458378547)</t>
  </si>
  <si>
    <t>[339316, 339324]</t>
  </si>
  <si>
    <t>[328394, 328257]</t>
  </si>
  <si>
    <t>[328242, 328394]</t>
  </si>
  <si>
    <t>[0.021, 0.035]</t>
  </si>
  <si>
    <t>16.441028860759502</t>
  </si>
  <si>
    <t>19.527342456276557</t>
  </si>
  <si>
    <t>[0.066, 0.08, 0.037, 0.005]</t>
  </si>
  <si>
    <t>LINESTRING (9.729158207664865 61.591106001967866, 9.72889229465382 61.591204614276414, 9.727149825974994 61.59182440747213, 9.725012633464242 61.59330584741394, 9.724999555383148 61.59335277004741)</t>
  </si>
  <si>
    <t>[1115017, 1115025, 1115033, 1115041]</t>
  </si>
  <si>
    <t>[1054485, 1054490, 1054500, 328350]</t>
  </si>
  <si>
    <t>0.05259551130978386</t>
  </si>
  <si>
    <t>[1053393, 1054485, 1054490, 1054500]</t>
  </si>
  <si>
    <t>340.98298246530004</t>
  </si>
  <si>
    <t>[0.031, 0.025]</t>
  </si>
  <si>
    <t>LINESTRING (9.84701567005828 61.571695750389715, 9.847001000222651 61.57166028701418, 9.846939462161558 61.57148116743649)</t>
  </si>
  <si>
    <t>[339374, 339382]</t>
  </si>
  <si>
    <t>[328441, 328445]</t>
  </si>
  <si>
    <t>0.02599644370999672</t>
  </si>
  <si>
    <t>[328440, 328441]</t>
  </si>
  <si>
    <t>24.267493286218176</t>
  </si>
  <si>
    <t>[-0.015, -0.03]</t>
  </si>
  <si>
    <t>LINESTRING (9.84701567005828 61.571695750389715, 9.84710031969711 61.57166899083198, 9.847223242274021 61.57165888340914)</t>
  </si>
  <si>
    <t>[339854, 339862]</t>
  </si>
  <si>
    <t>[328869, 328876]</t>
  </si>
  <si>
    <t>[328440, 328869]</t>
  </si>
  <si>
    <t>[0.015, 0.03]</t>
  </si>
  <si>
    <t>12.03020847098167</t>
  </si>
  <si>
    <t>10.5950180192862</t>
  </si>
  <si>
    <t>[0.03, 0.03, 0.026]</t>
  </si>
  <si>
    <t>LINESTRING (9.846939462161558 61.57148116743649, 9.846867839916763 61.57139784532593, 9.846403413416501 61.570858092132816, 9.84633308590248 61.57077607821755)</t>
  </si>
  <si>
    <t>[339390, 339398, 339406]</t>
  </si>
  <si>
    <t>[328455, 328460, 328463]</t>
  </si>
  <si>
    <t>0.02953492486385637</t>
  </si>
  <si>
    <t>[328445, 328455, 328460]</t>
  </si>
  <si>
    <t>84.96702868953884</t>
  </si>
  <si>
    <t>[0.032, 0.037]</t>
  </si>
  <si>
    <t>LINESTRING (9.847223242274021 61.57165888340914, 9.847175870853151 61.57162659216752, 9.846939462161558 61.57148116743649)</t>
  </si>
  <si>
    <t>[339894, 339902]</t>
  </si>
  <si>
    <t>[328905, 328445]</t>
  </si>
  <si>
    <t>0.03611803055557566</t>
  </si>
  <si>
    <t>[328876, 328905]</t>
  </si>
  <si>
    <t>24.90815304204614</t>
  </si>
  <si>
    <t>[0.029, 0.032]</t>
  </si>
  <si>
    <t>LINESTRING (9.84633308590248 61.57077607821755, 9.846077023745552 61.57061614290604, 9.846025909265178 61.57058424945278)</t>
  </si>
  <si>
    <t>[339462, 339470]</t>
  </si>
  <si>
    <t>[328513, 328521]</t>
  </si>
  <si>
    <t>0.029498936262561046</t>
  </si>
  <si>
    <t>[328463, 328513]</t>
  </si>
  <si>
    <t>26.909511785105522</t>
  </si>
  <si>
    <t>[0.022, 0.024]</t>
  </si>
  <si>
    <t>LINESTRING (9.84633308590248 61.57077607821755, 9.84627553658432 61.57057641572528, 9.846273359338744 61.57053278747495)</t>
  </si>
  <si>
    <t>[339478, 339486]</t>
  </si>
  <si>
    <t>[328531, 328540]</t>
  </si>
  <si>
    <t>0.022355988563158628</t>
  </si>
  <si>
    <t>[328463, 328531]</t>
  </si>
  <si>
    <t>27.336596786700692</t>
  </si>
  <si>
    <t>15.061825536004598</t>
  </si>
  <si>
    <t>[0.035, 0.014, -0.015]</t>
  </si>
  <si>
    <t>LINESTRING (9.847042252028196 61.57189784029687, 9.846953601439365 61.57190213578566, 9.8394645822193 61.57256307478938, 9.839038404057797 61.57259941648886)</t>
  </si>
  <si>
    <t>[339414, 339422, 339662]</t>
  </si>
  <si>
    <t>[328474, 328479, 328710]</t>
  </si>
  <si>
    <t>0.012737861425311582</t>
  </si>
  <si>
    <t>[328473, 328474, 328479]</t>
  </si>
  <si>
    <t>[0.035, 0.014, 0.015]</t>
  </si>
  <si>
    <t>449.9858612639009</t>
  </si>
  <si>
    <t>[-0.041, -0.035, -0.022, 0.006, 0.034]</t>
  </si>
  <si>
    <t>LINESTRING (9.847223242274021 61.57165888340914, 9.84739967456971 61.571695784435605, 9.84746525711235 61.57174055029935, 9.84748264679886 61.571809585577256, 9.847312115716727 61.57191362214108, 9.847042252028196 61.57189784029687)</t>
  </si>
  <si>
    <t>[339870, 339878, 339886, 339822, 339830]</t>
  </si>
  <si>
    <t>[328432, 328891, 328417, 327199, 328473]</t>
  </si>
  <si>
    <t>[328876, 328432, 328891, 328417, 327199]</t>
  </si>
  <si>
    <t>[0.041, 0.035, 0.022, 0.006, 0.034]</t>
  </si>
  <si>
    <t>54.238056812525016</t>
  </si>
  <si>
    <t>[0.019, 0.002, -0.014]</t>
  </si>
  <si>
    <t>LINESTRING (9.848447465095822 61.570838667055604, 9.8481206343612 61.570936409021975, 9.84686421252965 61.57180536604535, 9.84692857446296 61.57177918900875)</t>
  </si>
  <si>
    <t>[339446, 339430, 339438]</t>
  </si>
  <si>
    <t>[328485, 328486, 328491]</t>
  </si>
  <si>
    <t>0.003137226797012368</t>
  </si>
  <si>
    <t>[328496, 328485, 328486]</t>
  </si>
  <si>
    <t>[0.019, 0.002, 0.014]</t>
  </si>
  <si>
    <t>243.3179253679351</t>
  </si>
  <si>
    <t>[0.017, -0.014, -0.006]</t>
  </si>
  <si>
    <t>LINESTRING (9.848447465095822 61.570838667055604, 9.841056120310805 61.57225971277312, 9.839051350871893 61.572597369587236, 9.839038404057797 61.57259941648886)</t>
  </si>
  <si>
    <t>[1113609, 1113617, 1113625]</t>
  </si>
  <si>
    <t>[1053254, 1053262, 328710]</t>
  </si>
  <si>
    <t>0.010449441587660811</t>
  </si>
  <si>
    <t>[328496, 1053254, 1053262]</t>
  </si>
  <si>
    <t>[0.017, 0.014, 0.006]</t>
  </si>
  <si>
    <t>537.4282663871676</t>
  </si>
  <si>
    <t>[-0.023, -0.004, -0.03, -0.005, -0.004, 0.0, -0.012, 0.0, 0.004, -0.001, 0.055, 0.018, -0.019, 0.018, 0.044, 0.001, 0.003, 0.048, 0.035]</t>
  </si>
  <si>
    <t>[0, 0, 0, 0, 0, 0, 0, 0, 0, 0, 0, 0, 0, 1, 0, 1, 0, 0, 0]</t>
  </si>
  <si>
    <t>LINESTRING (9.9291615856417 61.55944877210174, 9.92843724594942 61.559958685606716, 9.928426569123348 61.55996607013902, 9.92841574496536 61.55997354814778, 9.928405068128964 61.55998093267829, 9.924449244353964 61.56292282971176, 9.924446954669083 61.56292425583542, 9.924050883379977 61.56317690506593, 9.924047135924223 61.563179284487745, 9.917978749890466 61.56598149216771, 9.917960002278097 61.56598709958071, 9.915934954005628 61.56648345647776, 9.900421466574382 61.56965533033747, 9.876518510283743 61.569024003251755, 9.87093577623739 61.56807229267312, 9.858805272491333 61.56904470648654, 9.857312590888482 61.56921519816858, 9.8553585400517 61.5695039320346, 9.850000545033868 61.57053360743676, 9.848447465095822 61.570838667055604)</t>
  </si>
  <si>
    <t>[1113259, 1113267, 1113275, 1113283, 1113291, 1113299, 1113307, 1113315, 1113323, 1113331, 1113348, 1113356, 1113845, 1113853, 1113487, 1113495, 1113503, 1113590, 1113598]</t>
  </si>
  <si>
    <t>[1052885, 1052894, 1052903, 1052910, 1052920, 1052929, 1052937, 1052947, 1052955, 1052963, 1052982, 1052990, 1053467, 1053119, 1053120, 1053131, 1053142, 1053240, 328496]</t>
  </si>
  <si>
    <t>0.010230535799787818</t>
  </si>
  <si>
    <t>[1052884, 1052885, 1052894, 1052903, 1052910, 1052920, 1052929, 1052937, 1052947, 1052955, 1052963, 1052982, 1052990, 1053467, 1053119, 1053120, 1053131, 1053142, 1053240]</t>
  </si>
  <si>
    <t>[0.023, 0.004, 0.03, 0.005, 0.004, 0.0, 0.012, 0.0, 0.004, 0.001, 0.055, 0.018, 0.019, 0.018, 0.044, 0.001, 0.003, 0.048, 0.035]</t>
  </si>
  <si>
    <t>4838.001499480358</t>
  </si>
  <si>
    <t>[0.034, 0.017]</t>
  </si>
  <si>
    <t>LINESTRING (9.849921608868588 61.57046813977004, 9.84836712205219 61.57076907856148, 9.840980519255897 61.572196965959336)</t>
  </si>
  <si>
    <t>[1113535, 1113543]</t>
  </si>
  <si>
    <t>[1053181, 328691]</t>
  </si>
  <si>
    <t>0.019956072405009587</t>
  </si>
  <si>
    <t>[328505, 1053181]</t>
  </si>
  <si>
    <t>512.9261855518605</t>
  </si>
  <si>
    <t>[0.018, -0.021, -0.048]</t>
  </si>
  <si>
    <t>LINESTRING (9.845855123471205 61.57054351129831, 9.845777099704685 61.57054973734775, 9.849588089101099 61.570515140724645, 9.849921608868588 61.57046813977004)</t>
  </si>
  <si>
    <t>[339582, 339590, 339454]</t>
  </si>
  <si>
    <t>[328642, 328504, 328505]</t>
  </si>
  <si>
    <t>[328548, 328642, 328504]</t>
  </si>
  <si>
    <t>[0.018, 0.021, 0.048]</t>
  </si>
  <si>
    <t>352.2604338894991</t>
  </si>
  <si>
    <t>[-0.027, -0.005, -0.005, -0.006, -0.019, 0.027, -0.015, -0.021, 0.005, 0.021, -0.019, 0.019, 0.045, 0.003, 0.001, 0.046]</t>
  </si>
  <si>
    <t>[0, 0, 0, 0, 0, 0, 0, 0, 0, 0, 0, 1, 0, 1, 0, 0]</t>
  </si>
  <si>
    <t>LINESTRING (9.9291615856417 61.55944877210174, 9.928370482999668 61.55993373643907, 9.928359788882226 61.55994111132627, 9.928348966180424 61.55994858038768, 9.928338290800305 61.55995595597087, 9.925702002670118 61.56197570869918, 9.924337335769065 61.56288510438641, 9.92393631883634 61.56313397047873, 9.923932342279743 61.56313625139816, 9.917860151267872 61.565913445684025, 9.900363355673855 61.56957506473893, 9.8766165857167 61.56893295362739, 9.87099369827177 61.56797199808803, 9.858767568111228 61.568961501344425, 9.857265914086772 61.569132643578115, 9.855304468273715 61.569427305411246, 9.849921608868588 61.57046813977004)</t>
  </si>
  <si>
    <t>[1113364, 1113372, 1113384, 1113385, 1113386, 1113393, 1113418, 1113424, 1113432, 1113455, 1113861, 1113869, 1113463, 1113471, 1113479, 1113519]</t>
  </si>
  <si>
    <t>[1052999, 1053005, 1053019, 1053020, 1053021, 1053028, 1053055, 1053058, 1053066, 1053088, 1053481, 1053093, 1053094, 1053103, 1053112, 328505]</t>
  </si>
  <si>
    <t>0.009626588981760041</t>
  </si>
  <si>
    <t>[1052884, 1052999, 1053005, 1053019, 1053020, 1053021, 1053028, 1053055, 1053058, 1053066, 1053088, 1053481, 1053093, 1053094, 1053103, 1053112]</t>
  </si>
  <si>
    <t>[0.027, 0.005, 0.005, 0.006, 0.019, 0.027, 0.015, 0.021, 0.005, 0.021, 0.019, 0.019, 0.045, 0.003, 0.001, 0.046]</t>
  </si>
  <si>
    <t>4745.254970403477</t>
  </si>
  <si>
    <t>10.152053979217367</t>
  </si>
  <si>
    <t>[0.006, 0.019]</t>
  </si>
  <si>
    <t>LINESTRING (9.846273359338744 61.57053278747495, 9.846158993815823 61.57057371768418, 9.846025909265178 61.57058424945278)</t>
  </si>
  <si>
    <t>[339566, 339574]</t>
  </si>
  <si>
    <t>[328627, 328521]</t>
  </si>
  <si>
    <t>0.012310705014611865</t>
  </si>
  <si>
    <t>[328540, 328627]</t>
  </si>
  <si>
    <t>14.773817616947266</t>
  </si>
  <si>
    <t>[0.009, -0.008, -0.019, -0.026, -0.03, -0.022, -0.008]</t>
  </si>
  <si>
    <t>LINESTRING (9.845778361114656 61.570438940872435, 9.845846163513169 61.570364850049906, 9.845952930309013 61.570328761065284, 9.846111947675942 61.57032226917938, 9.846213527154193 61.570343790120184, 9.846310769883921 61.57040034358501, 9.846328812343367 61.57047178801713, 9.846273359338744 61.57053278747495)</t>
  </si>
  <si>
    <t>[339510, 339518, 339526, 339534, 339542, 339550, 339558]</t>
  </si>
  <si>
    <t>[328567, 328576, 328586, 328595, 328603, 328611, 328540]</t>
  </si>
  <si>
    <t>[328559, 328567, 328576, 328586, 328595, 328603, 328611]</t>
  </si>
  <si>
    <t>[0.009, 0.008, 0.019, 0.026, 0.03, 0.022, 0.008]</t>
  </si>
  <si>
    <t>53.95415512917094</t>
  </si>
  <si>
    <t>12.644142661850937</t>
  </si>
  <si>
    <t>[-0.005, -0.007, -0.01]</t>
  </si>
  <si>
    <t>LINESTRING (9.840980519255897 61.572196965959336, 9.8412704731461 61.57212837150669, 9.845711003513376 61.57046158511875, 9.845778361114656 61.570438940872435)</t>
  </si>
  <si>
    <t>[339638, 339646, 339654]</t>
  </si>
  <si>
    <t>[328692, 328699, 328559]</t>
  </si>
  <si>
    <t>[328691, 328692, 328699]</t>
  </si>
  <si>
    <t>[0.005, 0.007, 0.01]</t>
  </si>
  <si>
    <t>337.2680114005818</t>
  </si>
  <si>
    <t>[0.0, -0.013, -0.004, -0.014, 0.016, 0.049, -0.046, -0.085, -0.042, 0.039, 0.032, -0.009, 0.03, 0.039, -0.016, -0.022, -0.027, 0.035]</t>
  </si>
  <si>
    <t>6130.0</t>
  </si>
  <si>
    <t>[0, 0, 0, 0, 0, 0, 0, 1, 0, 1, 0, 0, 0, 0, 0, 1, 0, 0]</t>
  </si>
  <si>
    <t>LINESTRING (9.840980519255897 61.572196965959336, 9.84097169147109 61.572198530170034, 9.838950316762036 61.57253653749925, 9.828826248060215 61.574507390266945, 9.810927360110961 61.577459156969546, 9.80913155185281 61.57733755371209, 9.794394475568776 61.57517265386848, 9.779638417077962 61.57766244856261, 9.778761348492841 61.57787484558335, 9.77649969482319 61.5784222460172, 9.776054369015206 61.578529974879125, 9.773179922883747 61.57919399021898, 9.763452188059482 61.581279329510686, 9.760338925283632 61.58224609889724, 9.755024242237608 61.584066885347774, 9.741464905597113 61.587768964034545, 9.73916712834829 61.588369185778475, 9.736284873612343 61.589129102141584, 9.729296217244766 61.59099308615076)</t>
  </si>
  <si>
    <t>[1113551, 1113564, 1113572, 1113633, 651047, 651055, 1113933, 1113941, 1113949, 1113957, 1113965, 1113973, 1113685, 1113687, 1113701, 1113710, 1113727, 1113789]</t>
  </si>
  <si>
    <t>[1053202, 1053214, 1053222, 643325, 643326, 643333, 1053555, 1053564, 1053573, 1053582, 1053593, 1053320, 1053321, 1053322, 1053340, 1053348, 1053363, 329331]</t>
  </si>
  <si>
    <t>[328691, 1053202, 1053214, 1053222, 643325, 643326, 643333, 1053555, 1053564, 1053573, 1053582, 1053593, 1053320, 1053321, 1053322, 1053340, 1053348, 1053363]</t>
  </si>
  <si>
    <t>[0.0, 0.013, 0.004, 0.014, 0.016, 0.049, 0.046, 0.085, 0.042, 0.039, 0.032, 0.009, 0.03, 0.039, 0.016, 0.022, 0.027, 0.035]</t>
  </si>
  <si>
    <t>6564.650149055394</t>
  </si>
  <si>
    <t>[-0.007, -0.015, -0.018, 0.021, 0.015, 0.025, 0.048, 0.019, 0.031]</t>
  </si>
  <si>
    <t>[0, 0, 0, 0, 0, 1, 1, 0, 0]</t>
  </si>
  <si>
    <t>LINESTRING (9.719879105592547 61.59563657792671, 9.719784345189245 61.595713530745016, 9.719224813427335 61.59618812165744, 9.718661538467453 61.59670158145065, 9.711067960981788 61.611861266572745, 9.709610505719379 61.61917171095925, 9.7094821212 61.619367120667825, 9.709163245190222 61.619886544179515, 9.708879074283878 61.62290286355783, 9.708022556642517 61.62698098427674)</t>
  </si>
  <si>
    <t>[1113829, 339500, 339508, 339516, 340945, 340953, 340961, 339636, 339644]</t>
  </si>
  <si>
    <t>[328556, 328557, 328564, 328574, 329740, 329747, 328687, 328688, 328697]</t>
  </si>
  <si>
    <t>0.01980461906329389</t>
  </si>
  <si>
    <t>[329271, 328556, 328557, 328564, 328574, 329740, 329747, 328687, 328688]</t>
  </si>
  <si>
    <t>[0.007, 0.015, 0.018, 0.021, 0.015, 0.025, 0.048, 0.019, 0.031]</t>
  </si>
  <si>
    <t>3592.7189241172473</t>
  </si>
  <si>
    <t>[-0.013, -0.008, -0.015, -0.019, 0.02, 0.016, 0.023, 0.05, 0.02, 0.035]</t>
  </si>
  <si>
    <t>[0, 0, 0, 0, 0, 0, 1, 1, 0, 0]</t>
  </si>
  <si>
    <t>LINESTRING (9.720168545299966 61.59552391070764, 9.720000151026536 61.595658281167466, 9.719894158362967 61.59574405807898, 9.719337166990885 61.59621727212024, 9.718786766079878 61.596731446981885, 9.71122971995959 61.611860160885506, 9.709784026071034 61.619195986970425, 9.709655747124557 61.61939133792229, 9.709337002813244 61.61991055991682, 9.709022892154081 61.62289647398052, 9.708022556642517 61.62698098427674)</t>
  </si>
  <si>
    <t>[1113775, 1113783, 339476, 339484, 339492, 341009, 341017, 341025, 341033, 341041]</t>
  </si>
  <si>
    <t>[1053411, 328527, 328528, 328537, 328546, 329791, 329796, 329802, 329807, 328697]</t>
  </si>
  <si>
    <t>0.019993948624778157</t>
  </si>
  <si>
    <t>[329309, 1053411, 328527, 328528, 328537, 328546, 329791, 329796, 329802, 329807]</t>
  </si>
  <si>
    <t>[0.013, 0.008, 0.015, 0.019, 0.02, 0.016, 0.023, 0.05, 0.02, 0.035]</t>
  </si>
  <si>
    <t>3608.6660148365645</t>
  </si>
  <si>
    <t>[-0.004, -0.014, 0.036, 0.038, -0.037, -0.089, -0.037, 0.039, 0.031, 0.0, -0.008, 0.029, 0.017, 0.039, -0.016, -0.021, -0.026, 0.036, 0.062, 0.18]</t>
  </si>
  <si>
    <t>[0, 0, 0, 0, 0, 1, 0, 1, 0, 0, 0, 0, 0, 0, 0, 1, 0, 0, 0, 0]</t>
  </si>
  <si>
    <t>LINESTRING (9.839038404057797 61.57259941648886, 9.828907727476933 61.574561945976086, 9.810977744772735 61.57752230230953, 9.80916480402788 61.57740188277796, 9.794391864700762 61.57523310727253, 9.779705377579692 61.577714230297886, 9.77882635718294 61.57792700288504, 9.776557820086182 61.57847603016122, 9.776116425527878 61.57858283019257, 9.773243958740807 61.579246616925154, 9.773239378512574 61.5792475839785, 9.763525360533286 61.58133333788619, 9.760427495002478 61.58230492986872, 9.760421983071069 61.58230682345841, 9.755117661676698 61.58413283482584, 9.741551018234432 61.58784336939847, 9.73925183269164 61.5884440782262, 9.736361185650889 61.589192245069064, 9.729403440719155 61.59103234193666, 9.729166685274999 61.59110345938402, 9.729158207664865 61.591106001967866)</t>
  </si>
  <si>
    <t>[1113629, 1113632, 1113981, 1113989, 1113877, 1113885, 1113893, 1113901, 1113909, 1113917, 1113925, 1113640, 1113648, 1113662, 1113670, 1113678, 1113684, 1113743, 1113751, 1113759]</t>
  </si>
  <si>
    <t>[1053272, 1053273, 1053610, 1053499, 1053500, 1053510, 1053520, 1053529, 1053534, 958721, 1053278, 958723, 1053284, 1053296, 1053304, 1053313, 1053319, 1053379, 1053385, 1053393]</t>
  </si>
  <si>
    <t>[328710, 1053272, 1053273, 1053610, 1053499, 1053500, 1053510, 1053520, 1053529, 1053534, 958721, 1053278, 958723, 1053284, 1053296, 1053304, 1053313, 1053319, 1053379, 1053385]</t>
  </si>
  <si>
    <t>[0.004, 0.014, 0.036, 0.038, 0.037, 0.089, 0.037, 0.039, 0.031, 0.0, 0.008, 0.029, 0.017, 0.039, 0.016, 0.021, 0.026, 0.036, 0.062, 0.18]</t>
  </si>
  <si>
    <t>6464.254234533546</t>
  </si>
  <si>
    <t>[0.0, -0.334, -0.111]</t>
  </si>
  <si>
    <t>LINESTRING (10.006456545316054 61.54845738705814, 10.006456545316054 61.54845738705814, 10.006858479881105 61.54829264292867, 10.007119527212607 61.54826873707941)</t>
  </si>
  <si>
    <t>[339998, 340006, 340014]</t>
  </si>
  <si>
    <t>[328995, 329001, 329010]</t>
  </si>
  <si>
    <t>[328977, 328995, 329001]</t>
  </si>
  <si>
    <t>[0.0, 0.334, 0.111]</t>
  </si>
  <si>
    <t>46.12675648581514</t>
  </si>
  <si>
    <t>[-0.025, 0.006]</t>
  </si>
  <si>
    <t>LINESTRING (10.007119527212607 61.54826873707941, 10.017065952397543 61.54817033071068, 10.01745657441168 61.54818721779414)</t>
  </si>
  <si>
    <t>[340022, 340054]</t>
  </si>
  <si>
    <t>[329017, 329046]</t>
  </si>
  <si>
    <t>[329010, 329017]</t>
  </si>
  <si>
    <t>[0.025, 0.006]</t>
  </si>
  <si>
    <t>550.1723959283034</t>
  </si>
  <si>
    <t>[0.0, -0.817]</t>
  </si>
  <si>
    <t>LINESTRING (10.005712603848021 61.548284913218225, 10.005712603848021 61.548284913218225, 10.007119527212607 61.54826873707941)</t>
  </si>
  <si>
    <t>[2122602, 2122610]</t>
  </si>
  <si>
    <t>[1828650, 329010]</t>
  </si>
  <si>
    <t>[328981, 1828650]</t>
  </si>
  <si>
    <t>[0.0, 0.817]</t>
  </si>
  <si>
    <t>87.00242473633111</t>
  </si>
  <si>
    <t>[0.047, 0.12, 0.295]</t>
  </si>
  <si>
    <t>LINESTRING (10.014076313597121 61.54827848168315, 10.013743308368165 61.54830145819511, 10.009735083175762 61.54893745563297, 10.009738293626162 61.54897280995942)</t>
  </si>
  <si>
    <t>[340046, 340030, 340038]</t>
  </si>
  <si>
    <t>[329025, 329026, 328968]</t>
  </si>
  <si>
    <t>0.1176854804844878</t>
  </si>
  <si>
    <t>[329037, 329025, 329026]</t>
  </si>
  <si>
    <t>266.23136629147825</t>
  </si>
  <si>
    <t>[0.046, 0.033, 0.093, 0.062, 0.109, 0.135]</t>
  </si>
  <si>
    <t>LINESTRING (10.014076313597121 61.54827848168315, 10.00998080938781 61.54842780116854, 10.009962160631082 61.54842887226636, 10.008256768781548 61.548549981434384, 10.008238225258188 61.548551451973076, 10.007723043457803 61.54858347226321, 10.007608997036149 61.548588396704254)</t>
  </si>
  <si>
    <t>[1113107, 1113115, 1113123, 1113131, 1113139, 1113147]</t>
  </si>
  <si>
    <t>[1052741, 1052751, 1052760, 1052765, 1052774, 1052672]</t>
  </si>
  <si>
    <t>0.06506601659740276</t>
  </si>
  <si>
    <t>[329037, 1052741, 1052751, 1052760, 1052765, 1052774]</t>
  </si>
  <si>
    <t>346.0172962892234</t>
  </si>
  <si>
    <t>[-0.006, 0.006, 0.017, 0.02, 0.018]</t>
  </si>
  <si>
    <t>LINESTRING (10.029677849858652 61.54806631786289, 10.026428895900342 61.548160132042945, 10.022174289329667 61.5482088058183, 10.018521844818443 61.54823823847245, 10.016346822978441 61.54825628357808, 10.014076313597121 61.54827848168315)</t>
  </si>
  <si>
    <t>[1113059, 1113067, 1113075, 1113083, 1113091]</t>
  </si>
  <si>
    <t>[1052689, 1052696, 1052706, 1052713, 329037]</t>
  </si>
  <si>
    <t>0.009768486424847784</t>
  </si>
  <si>
    <t>[1052664, 1052689, 1052696, 1052706, 1052713]</t>
  </si>
  <si>
    <t>[0.006, 0.006, 0.017, 0.02, 0.018]</t>
  </si>
  <si>
    <t>830.4182155147888</t>
  </si>
  <si>
    <t>[0.021, 0.018, 0.045, 0.029, 0.091, 0.059, 0.157, 0.212]</t>
  </si>
  <si>
    <t>LINESTRING (10.01745657441168 61.54818721779414, 10.017449365696887 61.548187259996865, 10.01401802858956 61.54821954892201, 10.009948170980849 61.5483877435983, 10.009929528040498 61.54838889586671, 10.008236117967165 61.54851042561832, 10.00821757446668 61.54851189615442, 10.007718627443687 61.548572371468396, 10.007608997036149 61.548588396704254)</t>
  </si>
  <si>
    <t>[1113187, 1113195, 1113203, 1113211, 1113219, 1113227, 1113235, 1113251]</t>
  </si>
  <si>
    <t>[1052815, 1052823, 1052831, 1052837, 1052845, 1052854, 1052863, 1052672]</t>
  </si>
  <si>
    <t>0.051330134459761236</t>
  </si>
  <si>
    <t>[329046, 1052815, 1052823, 1052831, 1052837, 1052845, 1052854, 1052863]</t>
  </si>
  <si>
    <t>526.9342181825534</t>
  </si>
  <si>
    <t>[-0.006, -0.006, 0.001, 0.015]</t>
  </si>
  <si>
    <t>LINESTRING (10.029677849858652 61.54806631786289, 10.02873713809188 61.54806164325058, 10.026694826992188 61.548093412811234, 10.022794721765889 61.54814328936988, 10.01745657441168 61.54818721779414)</t>
  </si>
  <si>
    <t>[1113155, 1113163, 1113171, 1113179]</t>
  </si>
  <si>
    <t>[1052787, 1052792, 1052801, 329046]</t>
  </si>
  <si>
    <t>0.005405453245708988</t>
  </si>
  <si>
    <t>[1052664, 1052787, 1052792, 1052801]</t>
  </si>
  <si>
    <t>[0.006, 0.006, 0.001, 0.015]</t>
  </si>
  <si>
    <t>650.3245829265941</t>
  </si>
  <si>
    <t>0.035</t>
  </si>
  <si>
    <t>16.097122390968032</t>
  </si>
  <si>
    <t>[0.024, 0.035]</t>
  </si>
  <si>
    <t>LINESTRING (9.723497647396572 61.59276979216243, 9.72342191104644 61.592834076246504, 9.723278493028944 61.59287441524052)</t>
  </si>
  <si>
    <t>[340110, 340118]</t>
  </si>
  <si>
    <t>[329100, 329055]</t>
  </si>
  <si>
    <t>0.029702346102281826</t>
  </si>
  <si>
    <t>[329068, 329100]</t>
  </si>
  <si>
    <t>17.067604276716402</t>
  </si>
  <si>
    <t>26.670320302706354</t>
  </si>
  <si>
    <t>[-0.037, -0.051, -0.079, -0.06]</t>
  </si>
  <si>
    <t>LINESTRING (9.723259261855892 61.59258735283532, 9.723367922619635 61.592567659837464, 9.726918493358681 61.59174347550236, 9.728848384961024 61.591104955132224, 9.729296217244766 61.59099308615076)</t>
  </si>
  <si>
    <t>[340158, 340166, 340174, 340358]</t>
  </si>
  <si>
    <t>[329144, 329151, 329157, 329331]</t>
  </si>
  <si>
    <t>[329086, 329144, 329151, 329157]</t>
  </si>
  <si>
    <t>[0.037, 0.051, 0.079, 0.06]</t>
  </si>
  <si>
    <t>368.22791239642373</t>
  </si>
  <si>
    <t>[0.006, -0.025, -0.036, -0.036]</t>
  </si>
  <si>
    <t>LINESTRING (9.72299280414826 61.59284203165992, 9.72289487459062 61.592703090151794, 9.722985995676238 61.592625004970934, 9.723125491884874 61.59258883356872, 9.723259261855892 61.59258735283532)</t>
  </si>
  <si>
    <t>[340134, 340142, 340150, 340094]</t>
  </si>
  <si>
    <t>[329121, 329127, 329085, 329086]</t>
  </si>
  <si>
    <t>[329113, 329121, 329127, 329085]</t>
  </si>
  <si>
    <t>[0.006, 0.025, 0.036, 0.036]</t>
  </si>
  <si>
    <t>42.41796242437879</t>
  </si>
  <si>
    <t>[0.018, 0.005, -0.022, -0.016, -0.011]</t>
  </si>
  <si>
    <t>LINESTRING (9.719879105592547 61.59563657792671, 9.720013647233648 61.5954953897477, 9.721264618985577 61.59455152437332, 9.722949901922894 61.59293548042996, 9.722981310777389 61.592880197425984, 9.72299280414826 61.59284203165992)</t>
  </si>
  <si>
    <t>[340294, 340302, 340310, 340318, 340326]</t>
  </si>
  <si>
    <t>[329272, 329280, 329288, 329294, 329113]</t>
  </si>
  <si>
    <t>[329271, 329272, 329280, 329288, 329294]</t>
  </si>
  <si>
    <t>[0.018, 0.005, 0.022, 0.016, 0.011]</t>
  </si>
  <si>
    <t>354.03872515827635</t>
  </si>
  <si>
    <t>[0.196, 0.063, 0.037, -0.011]</t>
  </si>
  <si>
    <t>LINESTRING (9.729296217244766 61.59099308615076, 9.729288495197434 61.59099540601001, 9.729050043637072 61.5910671685192, 9.72002723180964 61.59551761021399, 9.719879105592547 61.59563657792671)</t>
  </si>
  <si>
    <t>[1113797, 1113805, 1113813, 1113821]</t>
  </si>
  <si>
    <t>[1053430, 1053435, 1053442, 329271]</t>
  </si>
  <si>
    <t>0.036623680477917316</t>
  </si>
  <si>
    <t>[329331, 1053430, 1053435, 1053442]</t>
  </si>
  <si>
    <t>[0.196, 0.063, 0.037, 0.011]</t>
  </si>
  <si>
    <t>727.0909834838317</t>
  </si>
  <si>
    <t>692.1390221463713</t>
  </si>
  <si>
    <t>[-0.244, 0.073]</t>
  </si>
  <si>
    <t>LINESTRING (6.059308761791449 60.64525838640346, 6.059250369935429 60.64530820116467, 6.059808569659559 60.64560132202936)</t>
  </si>
  <si>
    <t>[341160, 341168]</t>
  </si>
  <si>
    <t>[329896, 329901]</t>
  </si>
  <si>
    <t>0.04216394119199554</t>
  </si>
  <si>
    <t>[329895, 329896]</t>
  </si>
  <si>
    <t>[0.244, 0.073]</t>
  </si>
  <si>
    <t>66.0020636478641</t>
  </si>
  <si>
    <t>[-0.11, 0.143, 0.054, -0.255, -0.072, 0.139, -0.068, -0.087, -0.017, -0.012, 0.162, -0.042, 0.152, -0.012, 0.033, 0.072, -0.08, 0.034, 0.048, 0.01, 0.023, -0.033, -0.201, -0.121, 0.046, -0.007, -0.151, 0.03, -0.292, 0.067, 0.073, 0.047, 0.006, -0.01, 0.163, 0.034, -0.151, -0.162, -0.149, 0.007, 0.231, 0.002, -0.316, -0.027, 0.215, 0.453, 0.259, -0.106, -0.385, -0.246, -0.149, -0.106, 0.025, 0.105, 0.079, 0.197, -0.952, -0.199, -0.309, -0.206, -0.129]</t>
  </si>
  <si>
    <t>[0, 0, 0, 0, 0, 0, 0, 0, 0, 0, 0, 0, 0, 0, 0, 0, 0, 0, 0, 0, 0, 0, 0, 0, 0, 0, 0, 0, 0, 0, 0, 0, 0, 0, 0, 0, 0, 0, 1, 0, 0, 0, 0, 0, 0, 0, 0, 0, 0, 0, 1, 0, 0, 0, 0, 0, 0, 0, 1, 0, 0]</t>
  </si>
  <si>
    <t>LINESTRING (6.059308761791449 60.64525838640346, 6.054821832646228 60.64386872247963, 6.054671819822507 60.64374528612633, 6.049977853161287 60.6405629893166, 6.049794374837006 60.64052318762306, 6.048783526710392 60.64040490166135, 6.048428270409017 60.640383770123904, 6.04497522201363 60.64068568250194, 6.044793023578847 60.64070303260551, 6.039372648455652 60.64129085567264, 6.0269555066761615 60.64135182966482, 6.026940034589752 60.641353720860046, 6.026616247495251 60.64141200027677, 6.0266090405217865 60.641413618682634, 6.0237917204803 60.64220680844183, 6.015685487020852 60.64530713987609, 6.014644056358447 60.64632413465547, 6.011458177992351 60.64716514515945, 6.0110794480928975 60.64716817150025, 6.007723953286087 60.6469743379039, 6.007343081539016 60.64695223094733, 6.004568233678272 60.646663605509424, 6.000269425126987 60.64617747100562, 5.999973535017641 60.64619433053363, 5.999088605906299 60.64623351489807, 5.992562113891439 60.644974061029096, 5.963747532006091 60.63670524390949, 5.961197828247721 60.63752611564138, 5.961126760445535 60.63753485954272, 5.961108995366755 60.63753703886187, 5.95788306738588 60.63754166169296, 5.957367383941888 60.63752370467448, 5.9570807264201875 60.63751250932627, 5.956933694903853 60.63750862027334, 5.9500186999411016 60.637418706678105, 5.949788783216045 60.6373622994876, 5.943558590501747 60.63601811560264, 5.9433241217261035 60.635968371614716, 5.942679215251812 60.635845288831895, 5.942397965180733 60.63579030840354, 5.930117352850135 60.63408337046291, 5.9298570757915945 60.63404163423425, 5.912004051260682 60.627038831953755, 5.911690073870984 60.627086894117326, 5.906885387428238 60.627335385461784, 5.906466451732421 60.627271321422285, 5.9044124081349905 60.62706095643497, 5.904050794898302 60.62701920575415, 5.898535147501306 60.62641041893357, 5.898231207334688 60.62644561720894, 5.896322388169125 60.626899986182664, 5.89595814822784 60.6269970121523, 5.895803933349708 60.62702902861465, 5.893898393722561 60.62720849601723, 5.893406857442384 60.6271844444777, 5.893049213815485 60.627146550789526, 5.880916798707291 60.624748343204246, 5.880723980425985 60.6246953318119, 5.874642052978544 60.621670241863, 5.874342294821879 60.6216816206797, 5.8732128982065515 60.621727400252695, 5.87101848306044 60.621614300744476)</t>
  </si>
  <si>
    <t>[2057024, 2057032, 2057040, 2057048, 2057056, 2057064, 2057072, 2057080, 2057088, 2057096, 2057104, 2057112, 2057120, 2057128, 2057136, 2057144, 2057152, 2057160, 2057168, 2057176, 2057184, 2057192, 2057200, 2057208, 2057216, 2057224, 2057232, 2057240, 2057248, 2057256, 2057264, 2057272, 2057280, 2057288, 2057296, 2057308, 2057315, 2057323, 2057331, 2057339, 2057347, 2057355, 2057363, 2057371, 2057379, 2057387, 2057395, 2057403, 2057411, 2057419, 2057427, 2057435, 2057443, 2057451, 2057459, 2057467, 2057475, 2057483, 2057491, 2057499, 2057507]</t>
  </si>
  <si>
    <t>[1789042, 1789048, 1789055, 1789062, 1789067, 1789071, 1789077, 1789080, 1722802, 1789089, 1789097, 1789106, 1789111, 1722825, 1696817, 1789132, 1789137, 1789143, 1789153, 1789160, 1696546, 1722305, 1173511, 1173548, 1789184, 1789190, 1724224, 1789198, 1789206, 1173554, 1789215, 1173569, 1789222, 1789228, 1789235, 1789246, 1789251, 1789256, 1789260, 1789264, 1789270, 1789276, 1789281, 1789285, 1789291, 1789296, 1789300, 1789305, 1789309, 1789314, 1789322, 1749340, 1789330, 1789334, 1789338, 1789341, 1789345, 1789350, 1789351, 1789354, 1703037]</t>
  </si>
  <si>
    <t>[329895, 1789042, 1789048, 1789055, 1789062, 1789067, 1789071, 1789077, 1789080, 1722802, 1789089, 1789097, 1789106, 1789111, 1722825, 1696817, 1789132, 1789137, 1789143, 1789153, 1789160, 1696546, 1722305, 1173511, 1173548, 1789184, 1789190, 1724224, 1789198, 1789206, 1173554, 1789215, 1173569, 1789222, 1789228, 1789235, 1789246, 1789251, 1789256, 1789260, 1789264, 1789270, 1789276, 1789281, 1789285, 1789291, 1789296, 1789300, 1789305, 1789309, 1789314, 1789322, 1749340, 1789330, 1789334, 1789338, 1789341, 1789345, 1789350, 1789351, 1789354]</t>
  </si>
  <si>
    <t>[0.11, 0.143, 0.054, 0.255, 0.072, 0.139, 0.068, 0.087, 0.017, 0.012, 0.162, 0.042, 0.152, 0.012, 0.033, 0.072, 0.08, 0.034, 0.048, 0.01, 0.023, 0.033, 0.201, 0.121, 0.046, 0.007, 0.151, 0.03, 0.292, 0.067, 0.073, 0.047, 0.006, 0.01, 0.163, 0.034, 0.151, 0.162, 0.149, 0.007, 0.231, 0.002, 0.316, 0.027, 0.215, 0.453, 0.259, 0.106, 0.385, 0.246, 0.149, 0.106, 0.025, 0.105, 0.079, 0.197, 0.952, 0.199, 0.309, 0.206, 0.129]</t>
  </si>
  <si>
    <t>12436.48158869667</t>
  </si>
  <si>
    <t>[-0.67, -0.054, -0.055, 0.047, -0.003, 0.135, 0.24, 0.145, -0.24, -0.195, -0.004, 0.021, 0.014, -0.002, -0.154, -0.079, -0.004, -0.025, 0.028, 0.225, 0.007, 0.006, 0.004, -0.082, 0.019, -0.017, -0.07, -0.068, -0.023, -0.025, -0.033, -0.024, -0.006, 0.0, 0.0, 0.0, 0.0, 0.0, 0.001, 0.024, 0.068, 0.201, -0.017, -0.145, 0.051, 0.175, 0.213, 0.341, -0.088, -0.122, -0.041, 0.097]</t>
  </si>
  <si>
    <t>3924.0</t>
  </si>
  <si>
    <t>[0, 0, 0, 0, 0, 0, 0, 0, 0, 0, 0, 0, 0, 0, 0, 0, 0, 0, 0, 0, 0, 0, 0, 0, 0, 0, 0, 0, 1, 0, 0, 0, 0, 0, 0, 0, 0, 1, 0, 1, 0, 0, 0, 0, 0, 0, 0, 0, 0, 0, 0, 0]</t>
  </si>
  <si>
    <t>LINESTRING (6.238298168777537 60.63689097993368, 6.237235926705799 60.63691049373396, 6.235130319749993 60.63661978207023, 6.2312900667978806 60.63507987211667, 6.2239147644653965 60.63318077282877, 6.220102469424566 60.63289616964527, 6.215683470197386 60.63321770161118, 6.215437024555539 60.633249812065806, 6.214240093177879 60.63341179870164, 6.209441779351846 60.6340982849587, 6.2092091795861375 60.63416929820662, 6.203360727084227 60.63807367469363, 6.200368986104662 60.63818941246639, 6.197838451645556 60.63870921750445, 6.1771518478715075 60.63810545618167, 6.176460067786093 60.637963583817, 6.17357429943392 60.63750709984515, 6.16703100794246 60.63894569610759, 6.167015221082716 60.63895017523832, 6.166042260974603 60.639232873227456, 6.166026366961808 60.639237272848405, 6.164693201500086 60.63963412156414, 6.1527643046102805 60.64483551161393, 6.137672813610644 60.64688847206365, 6.133855192801669 60.646191951682525, 6.124431780615644 60.64762154883457, 6.118674181150774 60.64678535130125, 6.11601382400826 60.646829161831796, 6.115247818833779 60.64686923869176, 6.112946480260428 60.64707848082196, 6.112199593537761 60.64717035446437, 6.112106165170347 60.64718605788837, 6.111876777260454 60.64723344783443, 6.110949229415733 60.64739913211802, 6.1108659017408264 60.64741490540878, 6.11065337766654 60.64746185900604, 6.110429968530436 60.647510234115266, 6.109818407270155 60.64764706864896, 6.108821928205836 60.64782250917839, 6.104046286906194 60.64721989712277, 6.103249160520357 60.64703548564994, 6.098257791144675 60.64629247312265, 6.09781867560452 60.6462811366454, 6.089883266342419 60.64613055755318, 6.089554060054952 60.64612533880664, 6.081786796601676 60.64632833222875, 6.080629747733192 60.64622950781953, 6.079075385862076 60.64616475784543, 6.078772694585044 60.646166208867676, 6.069880521477407 60.64729564355118, 6.069498601988502 60.64731551049591, 6.066441759283668 60.64713068867424, 6.059308761791449 60.64525838640346)</t>
  </si>
  <si>
    <t>[2056593, 2056601, 2056609, 2056617, 2056625, 2056633, 2056640, 2056648, 2056656, 2056664, 2056672, 2056680, 2056688, 2056696, 2056704, 2056712, 2056720, 2056728, 2056736, 2056744, 2056752, 2056776, 2056784, 2056792, 2056800, 2056808, 2056816, 2056824, 2056832, 2056840, 2056848, 2056856, 2056864, 2056872, 2056880, 2056888, 2056896, 2056904, 2056912, 2056920, 2056928, 2056936, 2056944, 2056952, 2056960, 2056968, 2056976, 2056984, 2056992, 2057000, 2057008, 2057016]</t>
  </si>
  <si>
    <t>[1788773, 1788779, 1788783, 1788788, 1788793, 1788799, 1788805, 1788811, 1788815, 1788820, 1724730, 1788831, 1669360, 1788837, 1678678, 1669612, 1788849, 1788855, 1788862, 1788869, 1788874, 1722785, 1697442, 1722766, 1788896, 1788900, 1788907, 1788911, 1788918, 1788922, 1777886, 1755337, 1788938, 1788945, 1788947, 1788952, 1788958, 1788964, 1788970, 1788976, 1788983, 1788986, 1788991, 1788997, 1754228, 1754261, 1789014, 1789020, 1789027, 1789030, 1697051, 329895]</t>
  </si>
  <si>
    <t>[329937, 1788773, 1788779, 1788783, 1788788, 1788793, 1788799, 1788805, 1788811, 1788815, 1788820, 1724730, 1788831, 1669360, 1788837, 1678678, 1669612, 1788849, 1788855, 1788862, 1788869, 1788874, 1722785, 1697442, 1722766, 1788896, 1788900, 1788907, 1788911, 1788918, 1788922, 1777886, 1755337, 1788938, 1788945, 1788947, 1788952, 1788958, 1788964, 1788970, 1788976, 1788983, 1788986, 1788991, 1788997, 1754228, 1754261, 1789014, 1789020, 1789027, 1789030, 1697051]</t>
  </si>
  <si>
    <t>[0.67, 0.054, 0.055, 0.047, 0.003, 0.135, 0.24, 0.145, 0.24, 0.195, 0.004, 0.021, 0.014, 0.002, 0.154, 0.079, 0.004, 0.025, 0.028, 0.225, 0.007, 0.006, 0.004, 0.082, 0.019, 0.017, 0.07, 0.068, 0.023, 0.025, 0.033, 0.024, 0.006, 0.0, 0.0, 0.0, 0.0, 0.0, 0.001, 0.024, 0.068, 0.201, 0.017, 0.145, 0.051, 0.175, 0.213, 0.341, 0.088, 0.122, 0.041, 0.097]</t>
  </si>
  <si>
    <t>10946.95256175184</t>
  </si>
  <si>
    <t>[-0.006, 0.011, 0.015, 0.002, 0.043, 0.037, 0.018, -0.015, -0.013, -0.042]</t>
  </si>
  <si>
    <t>LINESTRING (11.254785484873883 59.10652918912949, 11.255164197513844 59.10748425255183, 11.255548182645922 59.10830589951309, 11.255824501913295 59.10873997795099, 11.256198549518857 59.10928277531894, 11.256380989364708 59.109493977281296, 11.256423935923449 59.10954023730564, 11.257083486247163 59.11017560735029, 11.257386168307107 59.11042307331007, 11.260264175789175 59.11252776443491, 11.260343042594618 59.11258518140228)</t>
  </si>
  <si>
    <t>[1671006, 1671014, 1671022, 1671030, 1671038, 1671046, 1671054, 1671062, 1671070, 1671078]</t>
  </si>
  <si>
    <t>[1498754, 1498761, 1498769, 1498774, 1498783, 1498788, 1498798, 1498804, 1498809, 1498817]</t>
  </si>
  <si>
    <t>[329897, 1498754, 1498761, 1498769, 1498774, 1498783, 1498788, 1498798, 1498804, 1498809]</t>
  </si>
  <si>
    <t>[0.006, 0.011, 0.015, 0.002, 0.043, 0.037, 0.018, 0.015, 0.013, 0.042]</t>
  </si>
  <si>
    <t>756.6411104571008</t>
  </si>
  <si>
    <t>[0.0, -0.007, -0.005, 0.009, 0.018, 0.061, 0.061, 0.513]</t>
  </si>
  <si>
    <t>15092.0</t>
  </si>
  <si>
    <t>[1, 0, 0, 1, 1, 0, 0, 0]</t>
  </si>
  <si>
    <t>LINESTRING (11.25110004756096 59.09645377327206, 11.25110004756096 59.09645377327206, 11.251931448972309 59.102995166712475, 11.252007633424382 59.10307377231336, 11.252311836799871 59.10337344479196, 11.252397136089932 59.10345373402718, 11.254723522268906 59.10637288585325, 11.25476937174133 59.1064885311413, 11.254785484873883 59.10652918912949)</t>
  </si>
  <si>
    <t>[1670942, 1670950, 1670958, 1670966, 1670974, 1670982, 1670990, 1670998]</t>
  </si>
  <si>
    <t>[1498704, 1498713, 1498720, 1498727, 1498733, 1498740, 1498744, 329897]</t>
  </si>
  <si>
    <t>0.014197606648202766</t>
  </si>
  <si>
    <t>[1498703, 1498704, 1498713, 1498720, 1498727, 1498733, 1498740, 1498744]</t>
  </si>
  <si>
    <t>[0.0, 0.007, 0.005, 0.009, 0.018, 0.061, 0.061, 0.513]</t>
  </si>
  <si>
    <t>1408.2678962728999</t>
  </si>
  <si>
    <t>[-0.029, -0.03, -0.025, -0.02, -0.008, 0.035]</t>
  </si>
  <si>
    <t>LINESTRING (11.255650258360937 59.111025894176024, 11.255659707495722 59.11097666149725, 11.255692770465219 59.11092103606692, 11.256323388950689 59.110069750213064, 11.256182889301568 59.10971773316335, 11.254759930906838 59.10660138331087, 11.254785484873883 59.10652918912949)</t>
  </si>
  <si>
    <t>[1674354, 1674362, 1674370, 1674378, 341153, 341161]</t>
  </si>
  <si>
    <t>[1501719, 1501727, 1160080, 329892, 329893, 329897]</t>
  </si>
  <si>
    <t>[1501718, 1501719, 1501727, 1160080, 329892, 329893]</t>
  </si>
  <si>
    <t>[0.029, 0.03, 0.025, 0.02, 0.008, 0.035]</t>
  </si>
  <si>
    <t>520.9132143307984</t>
  </si>
  <si>
    <t>81.73330304721011</t>
  </si>
  <si>
    <t>[-2.056, 0.013, 0.06, 0.058, 0.072]</t>
  </si>
  <si>
    <t>LINESTRING (6.374797786942101 60.61872013408553, 6.3749945349164125 60.618757389882994, 6.3754190450166766 60.6192585052213, 6.375154454581653 60.61939215342077, 6.37510775608749 60.61941243174484, 6.3750449917381395 60.61943968691688)</t>
  </si>
  <si>
    <t>[1996055, 1996063, 1996072, 1996080, 1996106]</t>
  </si>
  <si>
    <t>[1751470, 1751473, 1751478, 1751484, 1696605]</t>
  </si>
  <si>
    <t>[329909, 1751470, 1751473, 1751478, 1751484]</t>
  </si>
  <si>
    <t>[2.056, 0.013, 0.06, 0.058, 0.072]</t>
  </si>
  <si>
    <t>107.00222879297218</t>
  </si>
  <si>
    <t>2.656</t>
  </si>
  <si>
    <t>8.927855285554173</t>
  </si>
  <si>
    <t>78.04826533425879</t>
  </si>
  <si>
    <t>[-0.164, 0.006, 0.14]</t>
  </si>
  <si>
    <t>LINESTRING (6.239701017336183 60.63678132923854, 6.239662240848539 60.636762104363285, 6.238360343196014 60.63684966933364, 6.238298168777537 60.63689097993368)</t>
  </si>
  <si>
    <t>[341184, 341192, 341200]</t>
  </si>
  <si>
    <t>[329920, 329929, 329937]</t>
  </si>
  <si>
    <t>0.008843325500179357</t>
  </si>
  <si>
    <t>[329919, 329920, 329929]</t>
  </si>
  <si>
    <t>[0.164, 0.006, 0.14]</t>
  </si>
  <si>
    <t>89.69673362065852</t>
  </si>
  <si>
    <t>[0.005, -0.061, -0.1, -0.123, -0.122, -0.069, 0.057, 0.044, 0.04, 0.003, -0.062, -0.072, 0.026, 0.044, -0.017, 0.01, 0.463]</t>
  </si>
  <si>
    <t>[0, 0, 0, 0, 0, 0, 0, 0, 1, 0, 0, 0, 0, 1, 0, 0, 0]</t>
  </si>
  <si>
    <t>LINESTRING (6.280905766906451 60.63113340822331, 6.27900882693465 60.63132302569905, 6.278337418335743 60.631316547790696, 6.277985051328611 60.631302945179584, 6.276953879343142 60.631223564829945, 6.276152608013953 60.63116108532322, 6.27613445856494 60.63116027247186, 6.272785911741015 60.63145828131557, 6.266803476528785 60.63217593787603, 6.26642454498918 60.63219519154256, 6.26105677020884 60.63254144222538, 6.254911869298331 60.632213722095024, 6.250347744125688 60.63197063117316, 6.24538416928641 60.635429751949125, 6.244980916900975 60.6356064250425, 6.242005754235899 60.63645816260045, 6.241276095357154 60.636590716821985, 6.239701017336183 60.63678132923854)</t>
  </si>
  <si>
    <t>[2056449, 2056457, 2056465, 2056473, 2056481, 2056489, 2056497, 2056505, 2056513, 2056521, 2056529, 2056537, 2056545, 2056553, 2056561, 2056569, 2056577]</t>
  </si>
  <si>
    <t>[1751582, 1788674, 1788680, 1788687, 1788693, 1788699, 1788705, 1788710, 1788716, 1669250, 1788725, 1788733, 1788738, 1788744, 1669294, 1788755, 329919]</t>
  </si>
  <si>
    <t>0.009419093012072095</t>
  </si>
  <si>
    <t>[1751557, 1751582, 1788674, 1788680, 1788687, 1788693, 1788699, 1788705, 1788710, 1788716, 1669250, 1788725, 1788733, 1788738, 1788744, 1669294, 1788755]</t>
  </si>
  <si>
    <t>[0.005, 0.061, 0.1, 0.123, 0.122, 0.069, 0.057, 0.044, 0.04, 0.003, 0.062, 0.072, 0.026, 0.044, 0.017, 0.01, 0.463]</t>
  </si>
  <si>
    <t>2544.025986247107</t>
  </si>
  <si>
    <t>88.42068697407863</t>
  </si>
  <si>
    <t>[-0.113, 0.017, 0.135]</t>
  </si>
  <si>
    <t>LINESTRING (5.361284200587086 60.50114881796639, 5.361299524567223 60.50118696618708, 5.3603553647854945 60.5017745572696, 5.3602919045752895 60.50177047297979)</t>
  </si>
  <si>
    <t>[341424, 341432, 341440]</t>
  </si>
  <si>
    <t>[330123, 330131, 330138]</t>
  </si>
  <si>
    <t>0.015449265443891453</t>
  </si>
  <si>
    <t>[330122, 330123, 330131]</t>
  </si>
  <si>
    <t>[0.113, 0.017, 0.135]</t>
  </si>
  <si>
    <t>95.92919574102484</t>
  </si>
  <si>
    <t>[-0.131, -0.048, -0.046, -0.04, -0.05, -0.026, -0.011, -0.023, -0.015, 0.001, 0.03, 0.019, 0.005, 0.015, 0.011, 0.001, -0.018, -0.125, -0.003, -0.048]</t>
  </si>
  <si>
    <t>LINESTRING (5.375994763039742 60.48534803103942, 5.376312921237821 60.48609901724972, 5.37638782872481 60.48639143134359, 5.376477369652373 60.486717237449106, 5.3767722083342955 60.488569400773265, 5.376811889294174 60.489109704186134, 5.376845878019484 60.4896900060071, 5.376928154383617 60.49032823767025, 5.376263055839151 60.49145475577829, 5.3736820154135465 60.49348193736641, 5.371621223230542 60.495061287554385, 5.371611600607283 60.49506887193972, 5.37129835363076 60.49533314566487, 5.370667627550858 60.49580404687456, 5.370602787787222 60.49584932487712, 5.37056160638651 60.49587890541547, 5.365008634304542 60.49885418938257, 5.363097647844299 60.50002373709712, 5.363047820967127 60.500055381194606, 5.361606309412674 60.50095521651568, 5.361284200587086 60.50114881796639)</t>
  </si>
  <si>
    <t>[2063250, 2063251, 2063260, 2063261, 2063263, 2063270, 2063278, 2063286, 2063288, 2063291, 2063292, 2063299, 2063307, 2063319, 2063323, 2063335, 2063360, 2063368, 2063384, 2063399]</t>
  </si>
  <si>
    <t>[1793282, 1621026, 1793291, 1621065, 1793292, 1621070, 1769501, 1793306, 1793309, 1793311, 1793312, 1591787, 1772093, 1793327, 1772094, 1620654, 1702911, 1715029, 1793354, 330122]</t>
  </si>
  <si>
    <t>[1589985, 1793282, 1621026, 1793291, 1621065, 1793292, 1621070, 1769501, 1793306, 1793309, 1793311, 1793312, 1591787, 1772093, 1793327, 1772094, 1620654, 1702911, 1715029, 1793354]</t>
  </si>
  <si>
    <t>[0.131, 0.048, 0.046, 0.04, 0.05, 0.026, 0.011, 0.023, 0.015, 0.001, 0.03, 0.019, 0.005, 0.015, 0.011, 0.001, 0.018, 0.125, 0.003, 0.048]</t>
  </si>
  <si>
    <t>2063.835711311165</t>
  </si>
  <si>
    <t>[0.06, 0.015, 0.075, -0.031, -0.025, 0.037, 0.002, -0.021, -0.04, -0.046, -0.049, -0.005, 0.015, 0.055, 0.016]</t>
  </si>
  <si>
    <t>LINESTRING (5.3602919045752895 60.50177047297979, 5.359454207075152 60.50227357856077, 5.357569848466827 60.50343361199633, 5.357424341989231 60.503538417480264, 5.355317009363344 60.50481268825834, 5.354151741923669 60.505551980112955, 5.353206956718865 60.506116458584955, 5.353017504064237 60.50623852384408, 5.352890613635767 60.50631358619977, 5.3522483757869805 60.5067110232599, 5.351983325131935 60.50684916249866, 5.351758338133818 60.5069638123711, 5.349617533660571 60.50785602931849, 5.349064110092643 60.508028411006634, 5.349048789263602 60.50803319034266, 5.347213227987505 60.50862026494849)</t>
  </si>
  <si>
    <t>[2063409, 2063417, 2063433, 2063441, 2063449, 2063457, 2063465, 2063473, 2063481, 2063489, 2063497, 2063505, 2063513, 2063521, 2063529]</t>
  </si>
  <si>
    <t>[1628253, 1620609, 1793372, 1632600, 1620658, 1670313, 1793394, 1621220, 1620662, 1793406, 1620682, 1620698, 1793415, 1793419, 775322]</t>
  </si>
  <si>
    <t>6.777685321398773e-05</t>
  </si>
  <si>
    <t>[330138, 1628253, 1620609, 1793372, 1632600, 1620658, 1670313, 1793394, 1621220, 1620662, 1793406, 1620682, 1620698, 1793415, 1793419]</t>
  </si>
  <si>
    <t>[0.06, 0.015, 0.075, 0.031, 0.025, 0.037, 0.002, 0.021, 0.04, 0.046, 0.049, 0.005, 0.015, 0.055, 0.016]</t>
  </si>
  <si>
    <t>1059.9351028083474</t>
  </si>
  <si>
    <t>34.75708273147876</t>
  </si>
  <si>
    <t>[0.027, 0.006]</t>
  </si>
  <si>
    <t>LINESTRING (14.150499189573221 66.31854445678502, 14.15665558239035 66.32173398838559, 14.157928394971172 66.32404634049325)</t>
  </si>
  <si>
    <t>[402578, 402586]</t>
  </si>
  <si>
    <t>[395193, 395203]</t>
  </si>
  <si>
    <t>0.01908916463459479</t>
  </si>
  <si>
    <t>[330471, 395193]</t>
  </si>
  <si>
    <t>706.9287084845039</t>
  </si>
  <si>
    <t>[-0.022, -0.007, -0.011]</t>
  </si>
  <si>
    <t>LINESTRING (14.150499189573221 66.31854445678502, 14.149875910942251 66.31857687722746, 14.149869965485925 66.31857717670162, 14.14946236852083 66.31860159558266)</t>
  </si>
  <si>
    <t>[341995, 342003, 342011]</t>
  </si>
  <si>
    <t>[330669, 330678, 330683]</t>
  </si>
  <si>
    <t>[330472, 330669, 330678]</t>
  </si>
  <si>
    <t>[0.022, 0.007, 0.011]</t>
  </si>
  <si>
    <t>46.907358942013715</t>
  </si>
  <si>
    <t>[-0.002, -0.004, 0.006]</t>
  </si>
  <si>
    <t>LINESTRING (14.150499189573221 66.31854445678502, 14.149872373835388 66.31849931379958, 14.14986113714606 66.31849838212767, 14.149436559580392 66.31846741434887)</t>
  </si>
  <si>
    <t>[342019, 342027, 342035]</t>
  </si>
  <si>
    <t>[330691, 330699, 330709]</t>
  </si>
  <si>
    <t>0.0011638449279373919</t>
  </si>
  <si>
    <t>[330472, 330691, 330699]</t>
  </si>
  <si>
    <t>[0.002, 0.004, 0.006]</t>
  </si>
  <si>
    <t>48.57845424990059</t>
  </si>
  <si>
    <t>10.889881076479945</t>
  </si>
  <si>
    <t>[-0.056, -0.058]</t>
  </si>
  <si>
    <t>LINESTRING (14.149436559580392 66.31846741434887, 14.14949194707163 66.31853850540107, 14.14946236852083 66.31860159558266)</t>
  </si>
  <si>
    <t>[342145, 342153]</t>
  </si>
  <si>
    <t>[330820, 330683]</t>
  </si>
  <si>
    <t>[330709, 330820]</t>
  </si>
  <si>
    <t>[0.056, 0.058]</t>
  </si>
  <si>
    <t>15.460721393198373</t>
  </si>
  <si>
    <t>[0.047, 0.056, 0.056, 0.002]</t>
  </si>
  <si>
    <t>LINESTRING (14.148930045707226 66.31865879637083, 14.148817258187346 66.31858936491864, 14.148797043473023 66.31852734822976, 14.148872165958359 66.31845697092544, 14.149436559580392 66.31846741434887)</t>
  </si>
  <si>
    <t>[342113, 342121, 342129, 342137]</t>
  </si>
  <si>
    <t>[330662, 330795, 330642, 330709]</t>
  </si>
  <si>
    <t>0.025191355745860216</t>
  </si>
  <si>
    <t>[330735, 330662, 330795, 330642]</t>
  </si>
  <si>
    <t>54.51169327069168</t>
  </si>
  <si>
    <t>[-0.061, -0.049]</t>
  </si>
  <si>
    <t>LINESTRING (14.149302019842445 66.318671686639, 14.149234893703671 66.31879857699232, 14.149098505483266 66.31888984693177)</t>
  </si>
  <si>
    <t>[342044, 342053]</t>
  </si>
  <si>
    <t>[330718, 330727]</t>
  </si>
  <si>
    <t>[330717, 330718]</t>
  </si>
  <si>
    <t>[0.061, 0.049]</t>
  </si>
  <si>
    <t>26.95336381417336</t>
  </si>
  <si>
    <t>[-0.02, 0.019]</t>
  </si>
  <si>
    <t>LINESTRING (14.149302019842445 66.318671686639, 14.149125233627242 66.3186867796286, 14.148930045707226 66.31865879637083)</t>
  </si>
  <si>
    <t>[342096, 342105]</t>
  </si>
  <si>
    <t>[330770, 330735]</t>
  </si>
  <si>
    <t>0.0008318349576578837</t>
  </si>
  <si>
    <t>[330717, 330770]</t>
  </si>
  <si>
    <t>[0.02, 0.019]</t>
  </si>
  <si>
    <t>17.38809998044006</t>
  </si>
  <si>
    <t>[-0.057, -0.001, 0.0, 0.0, 0.0, 0.0, 0.0, 0.001, 0.001]</t>
  </si>
  <si>
    <t>LINESTRING (14.149098505483266 66.31888984693177, 14.149080291924466 66.31896257221221, 14.14829622519681 66.31974972019067, 14.148071065761513 66.31980792634373, 14.144946428702518 66.32048919518917, 14.14462906760363 66.32055735095247, 14.143762768713746 66.32073319060366, 14.14212921782173 66.3210690907719, 14.137373861197345 66.32205233776739, 14.136872786971683 66.32217859319313)</t>
  </si>
  <si>
    <t>[402498, 402506, 402514, 402522, 402530, 402538, 402546, 402554, 402562]</t>
  </si>
  <si>
    <t>[395102, 395113, 395122, 379416, 395141, 395150, 395158, 395165, 395173]</t>
  </si>
  <si>
    <t>[330727, 395102, 395113, 395122, 379416, 395141, 395150, 395158, 395165]</t>
  </si>
  <si>
    <t>[0.057, 0.001, 0.0, 0.0, 0.0, 0.0, 0.0, 0.001, 0.001]</t>
  </si>
  <si>
    <t>686.3776188252348</t>
  </si>
  <si>
    <t>[-0.057, 0.0, -0.053]</t>
  </si>
  <si>
    <t>LINESTRING (14.148930045707226 66.31865879637083, 14.148980913729995 66.31879155365395, 14.14898185043312 66.31879420548721, 14.149098505483266 66.31888984693177)</t>
  </si>
  <si>
    <t>[342062, 342071, 342080]</t>
  </si>
  <si>
    <t>[330736, 330747, 330727]</t>
  </si>
  <si>
    <t>[330735, 330736, 330747]</t>
  </si>
  <si>
    <t>[0.057, 0.0, 0.053]</t>
  </si>
  <si>
    <t>27.770284902351797</t>
  </si>
  <si>
    <t>[0.005, 0.0]</t>
  </si>
  <si>
    <t>LINESTRING (10.699777153409066 59.411112735386816, 10.699667378537304 59.41145057781607, 10.703142862236078 59.41767851814696)</t>
  </si>
  <si>
    <t>[1671494, 1671502]</t>
  </si>
  <si>
    <t>[1499153, 331168]</t>
  </si>
  <si>
    <t>0.00024816335167436473</t>
  </si>
  <si>
    <t>[331156, 1499153]</t>
  </si>
  <si>
    <t>768.8840048168129</t>
  </si>
  <si>
    <t>[-0.007, -0.051, -0.041, -0.055, -0.003, -0.003, 0.008, 0.025, 0.001]</t>
  </si>
  <si>
    <t>LINESTRING (10.745250881295476 59.38840669182848, 10.744135452877678 59.388890302830774, 10.744084228450223 59.38891920236393, 10.743998816729007 59.38896766671637, 10.743598476433627 59.38916845410451, 10.707718492705732 59.40657855728351, 10.704086811715761 59.407736811794685, 10.699869105096768 59.410890233563435, 10.699863782833672 59.41090005738708, 10.699777153409066 59.411112735386816)</t>
  </si>
  <si>
    <t>[1671422, 1671430, 1671438, 1671446, 1671454, 1671462, 1671470, 1671478, 1671486]</t>
  </si>
  <si>
    <t>[1499085, 1499093, 1499099, 1499107, 1499115, 1499123, 1499130, 1499140, 331156]</t>
  </si>
  <si>
    <t>[1499074, 1499085, 1499093, 1499099, 1499107, 1499115, 1499123, 1499130, 1499140]</t>
  </si>
  <si>
    <t>[0.007, 0.051, 0.041, 0.055, 0.003, 0.003, 0.008, 0.025, 0.001]</t>
  </si>
  <si>
    <t>3680.529028213841</t>
  </si>
  <si>
    <t>[-0.004, -0.008, -0.006]</t>
  </si>
  <si>
    <t>LINESTRING (10.70007053432719 59.414894937435015, 10.70004113428131 59.414862494404005, 10.69968830285948 59.411174251377545, 10.699777153409066 59.411112735386816)</t>
  </si>
  <si>
    <t>[1675324, 1675332, 342481]</t>
  </si>
  <si>
    <t>[1502555, 331155, 331156]</t>
  </si>
  <si>
    <t>[1502554, 1502555, 331155]</t>
  </si>
  <si>
    <t>[0.004, 0.008, 0.006]</t>
  </si>
  <si>
    <t>426.383255980363</t>
  </si>
  <si>
    <t>[0.003, -0.004, 0.014]</t>
  </si>
  <si>
    <t>LINESTRING (10.699905623890068 59.41146534525754, 10.699945588436723 59.41162628626595, 10.70160178991872 59.414603741305974, 10.701629320740722 59.414637021538624)</t>
  </si>
  <si>
    <t>[342489, 1675308, 1675316]</t>
  </si>
  <si>
    <t>[331163, 1502542, 1502547]</t>
  </si>
  <si>
    <t>[331162, 331163, 1502542]</t>
  </si>
  <si>
    <t>[0.003, 0.004, 0.014]</t>
  </si>
  <si>
    <t>375.5437967259454</t>
  </si>
  <si>
    <t>[0.003, -0.028]</t>
  </si>
  <si>
    <t>LINESTRING (10.699905623890068 59.41146534525754, 10.70335419521777 59.41764391369983, 10.703701839215302 59.41808552800708)</t>
  </si>
  <si>
    <t>[1697671, 1697679]</t>
  </si>
  <si>
    <t>[1518069, 331175]</t>
  </si>
  <si>
    <t>0.000887022090552576</t>
  </si>
  <si>
    <t>[331162, 1518069]</t>
  </si>
  <si>
    <t>[0.003, 0.028]</t>
  </si>
  <si>
    <t>777.9598736280954</t>
  </si>
  <si>
    <t>[-0.016, -0.016, -0.002, -0.003, 0.007, 0.003, 0.011, -0.0]</t>
  </si>
  <si>
    <t>12129.0</t>
  </si>
  <si>
    <t>LINESTRING (10.743776432274194 59.38924876769415, 10.739366420439126 59.39156756001227, 10.7393547004342 59.39157426248082, 10.707858965227848 59.406672603244616, 10.704226041043155 59.4078332487142, 10.700083739761867 59.41095491129002, 10.700079596779474 59.41096475604696, 10.700005406688586 59.41114102113008, 10.699905623890068 59.41146534525754)</t>
  </si>
  <si>
    <t>[1697607, 1697615, 1697623, 1697631, 1697639, 1697647, 1697655, 1697663]</t>
  </si>
  <si>
    <t>[1518037, 1518040, 1518045, 1518047, 1518052, 1518056, 1518059, 331162]</t>
  </si>
  <si>
    <t>[1518033, 1518037, 1518040, 1518045, 1518047, 1518052, 1518056, 1518059]</t>
  </si>
  <si>
    <t>[0.016, 0.016, 0.002, 0.003, 0.007, 0.003, 0.011, 0.0]</t>
  </si>
  <si>
    <t>3583.935249540167</t>
  </si>
  <si>
    <t>[0.005, 0.009, -0.001, 0.002]</t>
  </si>
  <si>
    <t>LINESTRING (10.703142862236078 59.41767851814696, 10.702925919408298 59.41753337045398, 10.700161667586606 59.414960836251566, 10.700109173578147 59.41492408836053, 10.70007053432719 59.414894937435015)</t>
  </si>
  <si>
    <t>[342497, 1675356, 1675364, 1675372]</t>
  </si>
  <si>
    <t>[331169, 1502577, 1502582, 1502554]</t>
  </si>
  <si>
    <t>0.00855436902218892</t>
  </si>
  <si>
    <t>[331168, 331169, 1502577, 1502582]</t>
  </si>
  <si>
    <t>[0.005, 0.009, 0.001, 0.002]</t>
  </si>
  <si>
    <t>357.77167754314723</t>
  </si>
  <si>
    <t>[0.03, -0.01, 0.017, 0.007, -0.009]</t>
  </si>
  <si>
    <t>LINESTRING (10.703142862236078 59.41767851814696, 10.703483743781849 59.41811806673383, 10.703859514680193 59.418588771438635, 10.70512799932868 59.420177605360884, 10.705326569771978 59.420430221488374, 10.706630929067849 59.4222556368695)</t>
  </si>
  <si>
    <t>[1671510, 1671518, 1671526, 1671534, 1671542]</t>
  </si>
  <si>
    <t>[1499166, 1499173, 1499181, 1499190, 688471]</t>
  </si>
  <si>
    <t>0.004612641935806548</t>
  </si>
  <si>
    <t>[331168, 1499166, 1499173, 1499181, 1499190]</t>
  </si>
  <si>
    <t>[0.03, 0.01, 0.017, 0.007, 0.009]</t>
  </si>
  <si>
    <t>547.484021312016</t>
  </si>
  <si>
    <t>[0.025, 0.018, 0.008, 0.032, -0.74]</t>
  </si>
  <si>
    <t>LINESTRING (10.703701839215302 59.41808552800708, 10.704090418517364 59.4185711407345, 10.705344921795687 59.42013089813685, 10.705590022005138 59.4204477859323, 10.706863017248299 59.422239982083155, 10.70691363147695 59.42234456544036)</t>
  </si>
  <si>
    <t>[1697687, 1697695, 1697703, 1697711, 1697719]</t>
  </si>
  <si>
    <t>[1518075, 1518078, 1518080, 1518085, 688441]</t>
  </si>
  <si>
    <t>0.006022559709211435</t>
  </si>
  <si>
    <t>[331175, 1518075, 1518078, 1518080, 1518085]</t>
  </si>
  <si>
    <t>[0.025, 0.018, 0.008, 0.032, 0.74]</t>
  </si>
  <si>
    <t>508.7880312250812</t>
  </si>
  <si>
    <t>[0.013, 0.005, -0.002]</t>
  </si>
  <si>
    <t>LINESTRING (10.701629320740722 59.414637021538624, 10.70165322424777 59.41467108136274, 10.703638353827712 59.41790647634326, 10.703701839215302 59.41808552800708)</t>
  </si>
  <si>
    <t>[1675340, 1675348, 342505]</t>
  </si>
  <si>
    <t>[1502564, 331174, 331175]</t>
  </si>
  <si>
    <t>0.004728400620804367</t>
  </si>
  <si>
    <t>[1502547, 1502564, 331174]</t>
  </si>
  <si>
    <t>[0.013, 0.005, 0.002]</t>
  </si>
  <si>
    <t>403.85363784447316</t>
  </si>
  <si>
    <t>[-0.07, -0.071]</t>
  </si>
  <si>
    <t>LINESTRING (17.557054108097667 68.54926833109185, 17.55689520342298 68.54928831323373, 17.5561828288799 68.54939521156098)</t>
  </si>
  <si>
    <t>[342783, 342791]</t>
  </si>
  <si>
    <t>[331417, 331423]</t>
  </si>
  <si>
    <t>[331416, 331417]</t>
  </si>
  <si>
    <t>[0.07, 0.071]</t>
  </si>
  <si>
    <t>38.28392316522144</t>
  </si>
  <si>
    <t>[-0.451, 0.262]</t>
  </si>
  <si>
    <t>LINESTRING (17.557054108097667 68.54926833109185, 17.55690980021251 68.54922834275584, 17.556856786581836 68.5491501668331)</t>
  </si>
  <si>
    <t>[432288, 432296]</t>
  </si>
  <si>
    <t>[430544, 331436]</t>
  </si>
  <si>
    <t>[331416, 430544]</t>
  </si>
  <si>
    <t>[0.451, 0.262]</t>
  </si>
  <si>
    <t>16.370032456035705</t>
  </si>
  <si>
    <t>0.089</t>
  </si>
  <si>
    <t>4.079215610837698</t>
  </si>
  <si>
    <t>[0.009, -0.002, -0.009, 0.003, 0.009, 0.015, 0.017, 0.024, 0.029, 0.057, 0.018, 0.006, 0.001, 0.004, 0.035, 0.059, 0.051, 0.036, 0.014, 0.022, 0.012, 0.031, 0.027, 0.056, 0.093, 0.07, 0.073, 0.054, 0.02, 0.027, 0.061, 0.064, 0.042]</t>
  </si>
  <si>
    <t>2783.0</t>
  </si>
  <si>
    <t>[0, 0, 0, 0, 0, 0, 0, 1, 0, 0, 0, 0, 0, 0, 0, 0, 0, 0, 0, 0, 0, 0, 0, 0, 0, 0, 0, 0, 0, 0, 0, 0, 0]</t>
  </si>
  <si>
    <t>LINESTRING (17.5561828288799 68.54939521156098, 17.55533744623749 68.54957967389217, 17.55089868394894 68.5503084777991, 17.54890146461205 68.55052415198054, 17.54837611573918 68.55057707494197, 17.54587644629104 68.55087020181983, 17.545470348809637 68.55093322829268, 17.544445402904653 68.55111471674704, 17.54428966479116 68.55114274333782, 17.544101947869898 68.55117922379641, 17.53787412061698 68.55208260978202, 17.53764832696873 68.5520940784369, 17.53480488171228 68.55197373245694, 17.53446122663686 68.55194313048932, 17.532481155377962 68.5517654509989, 17.5306524828607 68.55159812420469, 17.53054996436331 68.55158840384567, 17.52932893320932 68.55147535907817, 17.528185112784584 68.55136996683943, 17.526974478904467 68.55125800540097, 17.52692654539048 68.55125348454766, 17.52414292703825 68.55099671625274, 17.523674012312064 68.55095247359125, 17.521807474171776 68.55074882287177, 17.517763614185746 68.55001992602769, 17.517567566043606 68.54998282483719, 17.51261045276051 68.54906187504416, 17.509326785981262 68.5483224214019, 17.509281399166824 68.54830831715438, 17.507587810105125 68.54773450203099, 17.504225537541664 68.54656616014604, 17.501366002330343 68.5455740450412, 17.500260753114524 68.54519370803594, 17.499412679516844 68.54490085988363)</t>
  </si>
  <si>
    <t>[342799, 433218, 433226, 433234, 433242, 433251, 433259, 433267, 433275, 433283, 433291, 433299, 433307, 433315, 433327, 433335, 433343, 433351, 433358, 433359, 433360, 433368, 433376, 433384, 433392, 433400, 433408, 433420, 433428, 433436, 433444, 433452, 433460]</t>
  </si>
  <si>
    <t>[331429, 431572, 431583, 384420, 431600, 431613, 431624, 431635, 384854, 431656, 431667, 431676, 431684, 431697, 431708, 431716, 431726, 431735, 431743, 431744, 403971, 431753, 403980, 431771, 431781, 404005, 431796, 431814, 430583, 431828, 431835, 431844, 431853]</t>
  </si>
  <si>
    <t>0.03525469201532332</t>
  </si>
  <si>
    <t>[331423, 331429, 431572, 431583, 384420, 431600, 431613, 431624, 431635, 384854, 431656, 431667, 431676, 431684, 431697, 431708, 431716, 431726, 431735, 431743, 431744, 403971, 431753, 403980, 431771, 431781, 404005, 431796, 431814, 430583, 431828, 431835, 431844]</t>
  </si>
  <si>
    <t>[0.009, 0.002, 0.009, 0.003, 0.009, 0.015, 0.017, 0.024, 0.029, 0.057, 0.018, 0.006, 0.001, 0.004, 0.035, 0.059, 0.051, 0.036, 0.014, 0.022, 0.012, 0.031, 0.027, 0.056, 0.093, 0.07, 0.073, 0.054, 0.02, 0.027, 0.061, 0.064, 0.042]</t>
  </si>
  <si>
    <t>2616.8097951294476</t>
  </si>
  <si>
    <t>[-0.05, -0.043]</t>
  </si>
  <si>
    <t>LINESTRING (17.556856786581836 68.5491501668331, 17.55675292382884 68.54920075187465, 17.5561828288799 68.54939521156098)</t>
  </si>
  <si>
    <t>[342807, 342815]</t>
  </si>
  <si>
    <t>[331437, 331423]</t>
  </si>
  <si>
    <t>[331436, 331437]</t>
  </si>
  <si>
    <t>[0.05, 0.043]</t>
  </si>
  <si>
    <t>38.86380846954164</t>
  </si>
  <si>
    <t>0.063</t>
  </si>
  <si>
    <t>21.05606954714932</t>
  </si>
  <si>
    <t>[-0.072, -0.08]</t>
  </si>
  <si>
    <t>LINESTRING (17.558019563993618 68.54893555571269, 17.557411323058183 68.54904551473128, 17.557249172163306 68.54906431701518)</t>
  </si>
  <si>
    <t>[342823, 342831]</t>
  </si>
  <si>
    <t>[331453, 331458]</t>
  </si>
  <si>
    <t>[331452, 331453]</t>
  </si>
  <si>
    <t>[0.072, 0.08]</t>
  </si>
  <si>
    <t>34.632822363418235</t>
  </si>
  <si>
    <t>[-0.048, -0.051]</t>
  </si>
  <si>
    <t>LINESTRING (17.558019563993618 68.54893555571269, 17.55753387047768 68.54914650665617, 17.557439355037317 68.54918438451223)</t>
  </si>
  <si>
    <t>[342847, 342856]</t>
  </si>
  <si>
    <t>[331470, 331476]</t>
  </si>
  <si>
    <t>[331452, 331470]</t>
  </si>
  <si>
    <t>[0.048, 0.051]</t>
  </si>
  <si>
    <t>36.596011910950594</t>
  </si>
  <si>
    <t>[-0.011, -0.008, -0.031, -0.062, -0.061, -0.056, -0.061, 0.008, 0.062, 0.052, 0.004, -0.015, 0.005, 0.04, 0.023, 0.017, -0.038, -0.047, -0.007, 0.003, -0.045, 0.012, -0.025, 0.005, 0.008, 0.069, 0.067, 0.039, 0.011, -0.009, -0.003, -0.06, -0.085, -0.004, -0.05, -0.063, -0.057, -0.005, 0.028, 0.032, 0.021, 0.022, 0.018, -0.024, -0.049, -0.02, 0.007, -0.048, -0.057, -0.03, 0.025, 0.073, 0.027, 0.042, -0.099, -0.025, -0.018, -0.041, -0.039, -0.012, -0.033, -0.054, 0.043, -0.004, -0.016, -0.005, 0.004, 0.04, 0.142, 0.033, 0.023, 0.024, -0.012]</t>
  </si>
  <si>
    <t>3533.0</t>
  </si>
  <si>
    <t>[0, 0, 0, 0, 0, 0, 0, 0, 0, 0, 0, 0, 0, 0, 0, 0, 0, 0, 0, 1, 0, 0, 0, 0, 0, 0, 0, 0, 0, 0, 0, 0, 0, 0, 0, 0, 0, 0, 0, 0, 0, 0, 0, 0, 0, 0, 0, 1, 0, 0, 0, 0, 0, 0, 0, 0, 0, 0, 0, 0, 0, 1, 0, 0, 0, 0, 0, 0, 1, 0, 0, 0, 0]</t>
  </si>
  <si>
    <t>LINESTRING (17.52481150377741 68.48571779083882, 17.522724338767887 68.48820573349896, 17.52158278621383 68.48877265805753, 17.519050150167956 68.49003006603553, 17.518915327206674 68.49337511280774, 17.518964166622975 68.49347965760326, 17.51901596377437 68.49359097906745, 17.519228679857093 68.49400683311119, 17.51996786753036 68.49484639228541, 17.52071890872362 68.49543708755472, 17.521272835524588 68.49583597333607, 17.521468055659767 68.49595920241497, 17.52857616239874 68.49732116796832, 17.530898519955688 68.49733873947586, 17.532465595820515 68.49759019621017, 17.53589997550174 68.49863533463532, 17.536778018198028 68.49879195993736, 17.539364008314532 68.49892237665345, 17.539566302892492 68.49892640475338, 17.53997290520139 68.4989458282894, 17.540142646432194 68.49895842629637, 17.542409019005255 68.49951604684634, 17.543370457238936 68.49999911497919, 17.544250366277083 68.50097457634331, 17.54459825214849 68.50162099340893, 17.54515418891373 68.5026577471564, 17.545242586209152 68.5028238665036, 17.54533365925708 68.50299786140197, 17.545511267995472 68.5043804978316, 17.54527641912146 68.50476658593603, 17.54482338593112 68.50520884704954, 17.544136980859292 68.50566083817219, 17.543415394584972 68.50607169629195, 17.542997586375623 68.50631453530936, 17.545221767027872 68.50901235066785, 17.545638874648734 68.50996221159245, 17.54579344150327 68.51032420839361, 17.54629580675603 68.51086712929025, 17.54641773012312 68.51097683288293, 17.548062789945483 68.51235871054895, 17.550905631194105 68.51294122985976, 17.557102004141058 68.51498853914502, 17.557530594623724 68.51521429041165, 17.55936963438783 68.51617955820022, 17.561289274245542 68.51711360042918, 17.56310072394505 68.51773824330839, 17.563734962802243 68.5179566127414, 17.566497699944566 68.51964264643928, 17.566503459451457 68.51968034461859, 17.56644554567849 68.52013978061795, 17.566256537624543 68.52105479865585, 17.567171112234035 68.52687910281752, 17.568147064552665 68.52829201527946, 17.569401609816047 68.52970843416094, 17.571705740473707 68.53124271705923, 17.572368036694513 68.53438855713767, 17.572333270808155 68.53508006721648, 17.572367588532334 68.53553911641819, 17.572375685860756 68.5356066128396, 17.572433971903457 68.53589070614925, 17.573933508069363 68.53720644932048, 17.57454250645807 68.53806422849271, 17.574572737453412 68.53817865002596, 17.574604303357148 68.53849777943753, 17.570587953540247 68.54170873342899, 17.569396504599965 68.5422146776823, 17.568237321052525 68.54270522054824, 17.56407465246318 68.5454593243165, 17.563240147088464 68.54604557768613, 17.562954831011762 68.54621202342858, 17.562929741990256 68.54622746663085, 17.56235550956999 68.54654283764054, 17.562204983143474 68.54662267933719, 17.558019563993618 68.54893555571269)</t>
  </si>
  <si>
    <t>[1251274, 430581, 430589, 430597, 430605, 430613, 430621, 430629, 430637, 430645, 430653, 430661, 430669, 430677, 430685, 430693, 430701, 430709, 430717, 430725, 430733, 430741, 430749, 430758, 430766, 430775, 430783, 430791, 430799, 430807, 430815, 430823, 430831, 430839, 430847, 430855, 430863, 430870, 430878, 430886, 1022114, 1022122, 1022130, 1022138, 1022146, 1022154, 1022162, 1022170, 1022178, 1022186, 1022194, 1022202, 1022210, 1022218, 1022226, 1022234, 1022242, 1022250, 1022258, 1022266, 1022274, 1022282, 1022290, 1022298, 1022306, 1022314, 1022322, 1022330, 1022338, 343080, 343088, 343096, 342839]</t>
  </si>
  <si>
    <t>[428760, 428761, 428767, 428774, 428783, 402233, 402253, 402278, 428809, 428818, 426539, 428829, 402333, 428845, 428854, 426639, 428869, 402374, 428884, 428893, 428901, 402385, 402394, 428924, 428932, 402404, 402440, 428954, 402451, 402469, 426527, 428985, 428994, 429002, 429010, 402513, 402490, 429034, 429044, 402523, 402532, 402551, 402562, 402582, 977342, 445598, 977353, 977360, 402614, 977371, 445606, 402627, 977383, 977389, 402650, 977400, 446882, 977408, 446876, 977420, 977424, 977429, 402686, 403137, 403165, 403164, 977452, 977461, 331687, 331688, 331692, 250606, 331452]</t>
  </si>
  <si>
    <t>[1170457, 428760, 428761, 428767, 428774, 428783, 402233, 402253, 402278, 428809, 428818, 426539, 428829, 402333, 428845, 428854, 426639, 428869, 402374, 428884, 428893, 428901, 402385, 402394, 428924, 428932, 402404, 402440, 428954, 402451, 402469, 426527, 428985, 428994, 429002, 429010, 402513, 402490, 429034, 429044, 402523, 402532, 402551, 402562, 402582, 977342, 445598, 977353, 977360, 402614, 977371, 445606, 402627, 977383, 977389, 402650, 977400, 446882, 977408, 446876, 977420, 977424, 977429, 402686, 403137, 403165, 403164, 977452, 977461, 331687, 331688, 331692, 250606]</t>
  </si>
  <si>
    <t>[0.011, 0.008, 0.031, 0.062, 0.061, 0.056, 0.061, 0.008, 0.062, 0.052, 0.004, 0.015, 0.005, 0.04, 0.023, 0.017, 0.038, 0.047, 0.007, 0.003, 0.045, 0.012, 0.025, 0.005, 0.008, 0.069, 0.067, 0.039, 0.011, 0.009, 0.003, 0.06, 0.085, 0.004, 0.05, 0.063, 0.057, 0.005, 0.028, 0.032, 0.021, 0.022, 0.018, 0.024, 0.049, 0.02, 0.007, 0.048, 0.057, 0.03, 0.025, 0.073, 0.027, 0.042, 0.099, 0.025, 0.018, 0.041, 0.039, 0.012, 0.033, 0.054, 0.043, 0.004, 0.016, 0.005, 0.004, 0.04, 0.142, 0.033, 0.023, 0.024, 0.012]</t>
  </si>
  <si>
    <t>8447.677469803397</t>
  </si>
  <si>
    <t>[-0.441, 0.627]</t>
  </si>
  <si>
    <t>LINESTRING (17.557249172163306 68.54906431701518, 17.557412140620027 68.54911748402742, 17.557439355037317 68.54918438451223)</t>
  </si>
  <si>
    <t>[432313, 432321]</t>
  </si>
  <si>
    <t>[430563, 331476]</t>
  </si>
  <si>
    <t>0.048596697476295574</t>
  </si>
  <si>
    <t>[331458, 430563]</t>
  </si>
  <si>
    <t>[0.441, 0.627]</t>
  </si>
  <si>
    <t>16.45321375338268</t>
  </si>
  <si>
    <t>2.973213749288288</t>
  </si>
  <si>
    <t>[0.059, 0.054, 0.047]</t>
  </si>
  <si>
    <t>LINESTRING (17.557417726106536 68.54920984440827, 17.557463090671906 68.54925519729962, 17.557533080537556 68.5493323428604, 17.557626225489543 68.5495226733242)</t>
  </si>
  <si>
    <t>[342864, 342872, 342880]</t>
  </si>
  <si>
    <t>[331483, 331490, 331497]</t>
  </si>
  <si>
    <t>0.05054300322606684</t>
  </si>
  <si>
    <t>[331482, 331483, 331490]</t>
  </si>
  <si>
    <t>36.15072257343397</t>
  </si>
  <si>
    <t>[-0.627, 0.519]</t>
  </si>
  <si>
    <t>LINESTRING (17.557417726106536 68.54920984440827, 17.557310214101097 68.54925635670676, 17.557152835162537 68.54927400923481)</t>
  </si>
  <si>
    <t>[432264, 432272]</t>
  </si>
  <si>
    <t>[430526, 331512]</t>
  </si>
  <si>
    <t>[331482, 430526]</t>
  </si>
  <si>
    <t>[0.627, 0.519]</t>
  </si>
  <si>
    <t>13.512745913512909</t>
  </si>
  <si>
    <t>[0.044, 0.032]</t>
  </si>
  <si>
    <t>LINESTRING (17.557626225489543 68.5495226733242, 17.557904210532385 68.55014017852388, 17.558119141946488 68.55357524745362)</t>
  </si>
  <si>
    <t>[342888, 342936]</t>
  </si>
  <si>
    <t>[331504, 331534]</t>
  </si>
  <si>
    <t>0.0338464895249715</t>
  </si>
  <si>
    <t>[331497, 331504]</t>
  </si>
  <si>
    <t>453.5436141908328</t>
  </si>
  <si>
    <t>[0.082, 0.081, 0.072]</t>
  </si>
  <si>
    <t>LINESTRING (17.557152835162537 68.54927400923481, 17.55723461869071 68.54930473483834, 17.557393169319933 68.54937425923823, 17.557626225489543 68.5495226733242)</t>
  </si>
  <si>
    <t>[342896, 342904, 342912]</t>
  </si>
  <si>
    <t>[331513, 331521, 331497]</t>
  </si>
  <si>
    <t>0.07608358946687568</t>
  </si>
  <si>
    <t>[331512, 331513, 331521]</t>
  </si>
  <si>
    <t>33.97180417142645</t>
  </si>
  <si>
    <t>[-0.005, -0.005, -0.006, -0.007, -0.007, -0.008]</t>
  </si>
  <si>
    <t>LINESTRING (10.62434971518414 60.95566986089996, 10.623345106452147 60.957636265499474, 10.623211208672549 60.957964203068116, 10.623122215190511 60.95819481705785, 10.623019929181392 60.95843130181201, 10.62285534635382 60.95879334498246, 10.622588580136057 60.95936834423053)</t>
  </si>
  <si>
    <t>[342900, 342908, 342916, 342924, 342932, 342940]</t>
  </si>
  <si>
    <t>[331517, 331523, 331530, 331537, 331545, 331553]</t>
  </si>
  <si>
    <t>[331508, 331517, 331523, 331530, 331537, 331545]</t>
  </si>
  <si>
    <t>[0.005, 0.005, 0.006, 0.007, 0.007, 0.008]</t>
  </si>
  <si>
    <t>423.3657545283305</t>
  </si>
  <si>
    <t>[0.035, 0.034]</t>
  </si>
  <si>
    <t>LINESTRING (17.558119141946488 68.55357524745362, 17.558158648004362 68.55383507293078, 17.558165797171362 68.55391676482272)</t>
  </si>
  <si>
    <t>[342920, 342928]</t>
  </si>
  <si>
    <t>[331535, 331541]</t>
  </si>
  <si>
    <t>0.03476160038488146</t>
  </si>
  <si>
    <t>[331534, 331535]</t>
  </si>
  <si>
    <t>38.23166923469586</t>
  </si>
  <si>
    <t>[0.007, -0.004]</t>
  </si>
  <si>
    <t>LINESTRING (17.558119141946488 68.55357524745362, 17.557950462604772 68.5538099239932, 17.55784976403919 68.55389823823646)</t>
  </si>
  <si>
    <t>[342944, 342952]</t>
  </si>
  <si>
    <t>[331557, 331566]</t>
  </si>
  <si>
    <t>0.003888942369499737</t>
  </si>
  <si>
    <t>[331534, 331557]</t>
  </si>
  <si>
    <t>[0.007, 0.004]</t>
  </si>
  <si>
    <t>37.73100870784497</t>
  </si>
  <si>
    <t>[0.069, -0.548, 0.016, 0.369]</t>
  </si>
  <si>
    <t>LINESTRING (17.558165797171362 68.55391676482272, 17.558212310669035 68.55393759763714, 17.55826218421801 68.55398799772493, 17.558236362987817 68.5540413448325, 17.558080779111755 68.55409666664957)</t>
  </si>
  <si>
    <t>[343040, 432200, 432208, 432216]</t>
  </si>
  <si>
    <t>[331607, 430467, 430317, 331576]</t>
  </si>
  <si>
    <t>0.012343407655079842</t>
  </si>
  <si>
    <t>[331541, 331607, 430467, 430317]</t>
  </si>
  <si>
    <t>[0.069, 0.548, 0.016, 0.369]</t>
  </si>
  <si>
    <t>23.87166384958435</t>
  </si>
  <si>
    <t>[-0.33, 0.615]</t>
  </si>
  <si>
    <t>LINESTRING (17.55784976403919 68.55389823823646, 17.55803542976016 68.55389182288589, 17.558165797171362 68.55391676482272)</t>
  </si>
  <si>
    <t>[432248, 432256]</t>
  </si>
  <si>
    <t>[430513, 331541]</t>
  </si>
  <si>
    <t>0.08671889463180703</t>
  </si>
  <si>
    <t>[331566, 430513]</t>
  </si>
  <si>
    <t>[0.33, 0.615]</t>
  </si>
  <si>
    <t>13.613851444053628</t>
  </si>
  <si>
    <t>[-0.007, -0.002, 0.018, 0.049, 0.026, 0.032, 0.02, -0.01, -0.01, -0.025]</t>
  </si>
  <si>
    <t>[0, 0, 0, 0, 0, 0, 0, 0, 1, 0]</t>
  </si>
  <si>
    <t>LINESTRING (10.622588580136057 60.95936834423053, 10.6225337622989 60.959470866039716, 10.606176460407498 60.96655849971658, 10.605706262275257 60.966685522586516, 10.596488404245767 60.970849586893564, 10.589171050715317 60.974591211147555, 10.586846823244608 60.97558263764106, 10.586364797124185 60.975818427488676, 10.582929461585104 60.977727676273844, 10.582507291577175 60.97799302398937, 10.581434685275983 60.97867751302972)</t>
  </si>
  <si>
    <t>[342948, 343164, 343172, 343500, 343508, 343516, 343524, 343532, 343540, 343548]</t>
  </si>
  <si>
    <t>[331561, 331773, 331784, 332085, 332091, 332100, 332108, 332113, 332119, 332126]</t>
  </si>
  <si>
    <t>0.014812862196664</t>
  </si>
  <si>
    <t>[331553, 331561, 331773, 331784, 332085, 332091, 332100, 332108, 332113, 332119]</t>
  </si>
  <si>
    <t>[0.007, 0.002, 0.018, 0.049, 0.026, 0.032, 0.02, 0.01, 0.01, 0.025]</t>
  </si>
  <si>
    <t>3180.3113112088504</t>
  </si>
  <si>
    <t>19.42377684227799</t>
  </si>
  <si>
    <t>28.935860204571632</t>
  </si>
  <si>
    <t>[-0.456, 0.266]</t>
  </si>
  <si>
    <t>LINESTRING (17.558080779111755 68.55409666664957, 17.557875015897626 68.55409890020044, 17.55770731700529 68.55404760021491)</t>
  </si>
  <si>
    <t>[432224, 432232]</t>
  </si>
  <si>
    <t>[430488, 331599]</t>
  </si>
  <si>
    <t>[331576, 430488]</t>
  </si>
  <si>
    <t>[0.456, 0.266]</t>
  </si>
  <si>
    <t>17.320236465410755</t>
  </si>
  <si>
    <t>[0.034, 0.028, 0.029, 0.066, -0.003, -0.005, 0.003, 0.005, 0.011, 0.017, 0.035, 0.056, 0.018, 0.024, 0.024, 0.038, 0.02, 0.069, 0.052, 0.052, 0.054, 0.041, 0.057, 0.024, 0.031, 0.024, 0.036, 0.158, 0.09, 0.022, 0.108, 0.067, 0.073, 0.146, 0.057, 0.113, -0.002, -0.086, -0.104, -0.07, -0.082, -0.041, -0.045, -0.032, -0.03, 0.001, -0.006, -0.021, -0.018, -0.013, -0.004, 0.001, 0.004, 0.037, 0.032, 0.014, 0.012, 0.005, 0.015, 0.013, 0.01, 0.014, 0.029, 0.011, -0.032, -0.043, -0.042, -0.015, -0.009, -0.05, -0.053, 0.021, 0.021, -0.015, -0.004]</t>
  </si>
  <si>
    <t>2189.0</t>
  </si>
  <si>
    <t>[0, 0, 0, 0, 0, 0, 0, 0, 0, 0, 0, 0, 0, 0, 0, 0, 0, 0, 0, 0, 0, 0, 0, 0, 0, 1, 0, 0, 0, 0, 0, 0, 0, 0, 0, 0, 0, 0, 0, 0, 0, 0, 0, 0, 0, 0, 0, 0, 0, 0, 0, 0, 0, 0, 0, 0, 0, 0, 1, 0, 0, 0, 0, 0, 0, 0, 0, 0, 0, 0, 0, 0, 0, 0, 0]</t>
  </si>
  <si>
    <t>LINESTRING (17.557936625428436 68.5543475651772, 17.560316884538636 68.55598216874718, 17.56133600133611 68.55646701732725, 17.561882106279516 68.55671574868896, 17.562803956421828 68.5571169855183, 17.563682970204514 68.55766732243883, 17.564234055914657 68.55807339776308, 17.564676872495994 68.5583256707885, 17.56607371128776 68.55904706438652, 17.566603994437717 68.55930446010517, 17.56721915074675 68.55959179252554, 17.568787419920227 68.5601608395406, 17.569623941069786 68.56059879841659, 17.57015350559745 68.56134328625875, 17.570957375437338 68.56211544148121, 17.57195831842131 68.56325463271075, 17.574455537106626 68.56494399546251, 17.5751298267609 68.56702349331093, 17.575285266494834 68.5674402622935, 17.57528831212328 68.56755904935793, 17.5753028535341 68.56822479801616, 17.575862213445426 68.56884836658934, 17.57601451279034 68.56904995418984, 17.576726346492357 68.56989888102095, 17.58379650161664 68.5758461286534, 17.588864151431668 68.5764969367812, 17.58899310318488 68.57650599220037, 17.599854809705263 68.57956742013387, 17.59954775079535 68.57981898981772, 17.597919652876918 68.58081438267298, 17.594576612600477 68.5825055973929, 17.593359372318645 68.58393637633756, 17.598374068755472 68.58924968367624, 17.60437396085005 68.59416419951755, 17.605405799531763 68.59445349028142, 17.611477917392023 68.59598577337795, 17.6123046780835 68.5962131323921, 17.614937685261154 68.59722679414641, 17.6151092635032 68.5973163260043, 17.61801575516086 68.59922643649746, 17.618653941896977 68.59966126037833, 17.620681832373606 68.60198951240632, 17.621037039878516 68.60266057115993, 17.626072337419256 68.60476260201088, 17.626392224043155 68.60485296149673, 17.62662636532601 68.60491953502682, 17.634141719681782 68.6079387455956, 17.637802483258913 68.61275234104775, 17.637870085879793 68.61287663637127, 17.638057439818933 68.61323119361455, 17.638342899869627 68.61376504668948, 17.638754317858186 68.61445036535564, 17.640801762851382 68.61586175021952, 17.64277244818895 68.61817121975929, 17.642778765457404 68.61817974629307, 17.64283236670153 68.61824765021977, 17.64371959604966 68.6188727460875, 17.643734653563538 68.61887945701372, 17.644485218276863 68.61915648073175, 17.644631246464407 68.61920167026898, 17.65046677218649 68.620587025253, 17.651603614690263 68.62085518765082, 17.652256096817137 68.62100469628439, 17.65621522418201 68.62193050345931, 17.65810563811566 68.6223735119059, 17.663789508531092 68.62389904602028, 17.67285110590403 68.62928827293277, 17.673320106203803 68.62952102865191, 17.674379038632217 68.63154910407309, 17.677438388548758 68.63824373002164, 17.67785935679022 68.6393129787519, 17.679916848344714 68.64275037295356, 17.67993921105567 68.64357214199728, 17.679976815707665 68.64473339545764, 17.68677713812475 68.64950902567783, 17.68924290655567 68.65081430606094)</t>
  </si>
  <si>
    <t>[342976, 432192, 343024, 1022346, 1022354, 1022362, 1022370, 1022378, 1022386, 1022394, 1022402, 1022410, 1022418, 1022426, 1022434, 1022442, 1022450, 1022458, 1022466, 1022474, 1022482, 1022490, 1022498, 1022506, 1022514, 1022522, 1022530, 1022538, 1022546, 1022554, 1022562, 430894, 430902, 430910, 430918, 430926, 1096870, 1096878, 1096886, 1096894, 1096902, 1096910, 1096918, 1096926, 1096934, 1096942, 1096950, 1096958, 1096966, 1096974, 1096982, 1096990, 1096998, 1097006, 1097014, 1097022, 1097030, 1097044, 1097053, 1097061, 1097069, 1097077, 1097086, 1097094, 1097103, 1097111, 1097119, 1097127, 1097135, 1097143, 1097151, 1097159, 1097167, 1097175, 1097183]</t>
  </si>
  <si>
    <t>[331592, 331637, 331638, 382584, 977479, 977486, 977494, 977499, 977503, 977505, 977509, 977514, 977520, 977524, 331715, 977538, 977543, 977550, 977557, 977565, 977572, 977579, 977585, 250629, 977597, 977606, 977612, 383628, 977626, 977633, 429058, 429059, 429067, 429075, 429082, 429091, 1039643, 1039649, 1039654, 1039659, 1039664, 1039672, 1039679, 1039685, 1039692, 917328, 1039704, 1039709, 1039714, 1039720, 1039726, 1039733, 1039739, 1039745, 1039751, 1039759, 1039764, 1039782, 1039790, 1039796, 879074, 1039807, 1039816, 917450, 1021075, 917472, 917473, 917483, 917490, 223731, 1039860, 1039865, 1039869, 1039876, 917559]</t>
  </si>
  <si>
    <t>0.012701156441116544</t>
  </si>
  <si>
    <t>[331577, 331592, 331637, 331638, 382584, 977479, 977486, 977494, 977499, 977503, 977505, 977509, 977514, 977520, 977524, 331715, 977538, 977543, 977550, 977557, 977565, 977572, 977579, 977585, 250629, 977597, 977606, 977612, 383628, 977626, 977633, 429058, 429059, 429067, 429075, 429082, 429091, 1039643, 1039649, 1039654, 1039659, 1039664, 1039672, 1039679, 1039685, 1039692, 917328, 1039704, 1039709, 1039714, 1039720, 1039726, 1039733, 1039739, 1039745, 1039751, 1039759, 1039764, 1039782, 1039790, 1039796, 879074, 1039807, 1039816, 917450, 1021075, 917472, 917473, 917483, 917490, 223731, 1039860, 1039865, 1039869, 1039876]</t>
  </si>
  <si>
    <t>[0.034, 0.028, 0.029, 0.066, 0.003, 0.005, 0.003, 0.005, 0.011, 0.017, 0.035, 0.056, 0.018, 0.024, 0.024, 0.038, 0.02, 0.069, 0.052, 0.052, 0.054, 0.041, 0.057, 0.024, 0.031, 0.024, 0.036, 0.158, 0.09, 0.022, 0.108, 0.067, 0.073, 0.146, 0.057, 0.113, 0.002, 0.086, 0.104, 0.07, 0.082, 0.041, 0.045, 0.032, 0.03, 0.001, 0.006, 0.021, 0.018, 0.013, 0.004, 0.001, 0.004, 0.037, 0.032, 0.014, 0.012, 0.005, 0.015, 0.013, 0.01, 0.014, 0.029, 0.011, 0.032, 0.043, 0.042, 0.015, 0.009, 0.05, 0.053, 0.021, 0.021, 0.015, 0.004]</t>
  </si>
  <si>
    <t>13783.505982600595</t>
  </si>
  <si>
    <t>0.051</t>
  </si>
  <si>
    <t>35.94566213666255</t>
  </si>
  <si>
    <t>[0.021, 0.012, 0.007, 0.003, 0.0, 0.003, -0.005]</t>
  </si>
  <si>
    <t>LINESTRING (10.62883802273717 60.95243928347046, 10.627219732197737 60.95319190191884, 10.626873714084375 60.95339113361745, 10.626582170003008 60.95357540186373, 10.625214203150342 60.95472601445502, 10.625131672335813 60.95481329368751, 10.624435141351624 60.95568133478279, 10.623432053636654 60.95764465123685)</t>
  </si>
  <si>
    <t>[343004, 343012, 343020, 343028, 343036, 343044, 343052]</t>
  </si>
  <si>
    <t>[331618, 331626, 331633, 331641, 331648, 331654, 331663]</t>
  </si>
  <si>
    <t>0.004074466794442061</t>
  </si>
  <si>
    <t>[331611, 331618, 331626, 331633, 331641, 331648, 331654]</t>
  </si>
  <si>
    <t>[0.021, 0.012, 0.007, 0.003, 0.0, 0.003, 0.005]</t>
  </si>
  <si>
    <t>665.0541128154832</t>
  </si>
  <si>
    <t>[-0.006, -0.006, -0.006, -0.006, -0.007, -0.008, -0.002, 0.018, 0.049, 0.025, 0.024, 0.023, -0.008, -0.007, -0.025, -0.032, -0.011, 0.008, 0.001, -0.003, -0.008, 0.0, -0.063, -0.06, 0.007, 0.011, -0.005, 0.004, -0.026, -0.029, -0.034, -0.012, 0.003, -0.001, -0.008, -0.098, 0.013, -0.005, -0.005, -0.011, -0.011, 0.021, 0.03]</t>
  </si>
  <si>
    <t>[0, 0, 0, 0, 0, 0, 0, 0, 0, 0, 0, 0, 0, 1, 0, 0, 0, 0, 0, 0, 0, 0, 0, 1, 0, 0, 0, 0, 0, 1, 0, 0, 1, 0, 0, 1, 0, 0, 0, 0, 1, 0, 0]</t>
  </si>
  <si>
    <t>LINESTRING (10.623432053636654 60.95764465123685, 10.623298271076044 60.95797216101218, 10.623208782741683 60.9582043594955, 10.623105962933012 60.958441771078604, 10.622941638245678 60.95880248294599, 10.622674513035609 60.95937902624168, 10.622620218660838 60.95948097165027, 10.606224217574965 60.96660097269442, 10.605754842883766 60.96672792372254, 10.59656881088422 60.97087829508049, 10.589224883680387 60.974624627710064, 10.58699849601091 60.97564570035516, 10.586507685873798 60.97588345067632, 10.583015538011878 60.97781934338848, 10.582595037839587 60.97808465627401, 10.581594538601813 60.97872942135202, 10.581491163262747 60.97879876455357, 10.56444869770437 60.98409949419142, 10.562628147169605 60.98459223745965, 10.562466377732308 60.98463195514674, 10.560607178138238 60.98515046484832, 10.529274225438808 60.99057354979488, 10.500664670665806 60.99962402964244, 10.499686488890221 61.00022060383683, 10.498909901218028 61.00064643293104, 10.488778117678468 61.00486105564833, 10.486554420412384 61.0060259900626, 10.473693005916697 61.01290124289196, 10.456252155915498 61.0203688477563, 10.45611543258881 61.02047940741027, 10.45569264918424 61.020838933808626, 10.454659315176562 61.021726747979365, 10.449104153663825 61.025397393960006, 10.448734676238786 61.025599500465304, 10.448068587705748 61.02597065991514, 10.442664614134628 61.031490088167466, 10.44264559109783 61.03152904977727, 10.440664756678368 61.035778658709994, 10.436623966985277 61.04134039611764, 10.435923817578754 61.04189649949157, 10.4341965951221 61.044787514267085, 10.434222557016641 61.04533966731187, 10.434258469977866 61.04596563060077, 10.434442639289415 61.04686531963772)</t>
  </si>
  <si>
    <t>[343060, 343068, 343076, 343084, 343092, 343100, 343180, 343188, 343108, 343116, 343124, 343132, 343140, 343148, 343156, 343684, 343204, 343212, 343196, 343701, 343709, 343228, 343236, 342956, 342964, 342972, 342980, 343316, 343324, 343332, 343340, 343348, 343790, 343799, 343807, 343815, 343823, 343831, 343840, 343848, 343856, 343864, 343872]</t>
  </si>
  <si>
    <t>[331669, 331678, 331684, 331689, 331696, 331703, 331793, 331711, 331712, 331720, 331729, 331739, 331749, 331755, 331762, 331815, 331816, 331805, 331806, 332261, 331847, 331848, 331571, 331572, 331581, 331589, 331595, 331938, 331946, 331951, 331957, 331964, 332345, 332350, 332357, 332364, 332370, 332378, 332387, 332398, 332406, 332413, 332224]</t>
  </si>
  <si>
    <t>7.337987324188679e-05</t>
  </si>
  <si>
    <t>[331663, 331669, 331678, 331684, 331689, 331696, 331703, 331793, 331711, 331712, 331720, 331729, 331739, 331749, 331755, 331762, 331815, 331816, 331805, 331806, 332261, 331847, 331848, 331571, 331572, 331581, 331589, 331595, 331938, 331946, 331951, 331957, 331964, 332345, 332350, 332357, 332364, 332370, 332378, 332387, 332398, 332406, 332413]</t>
  </si>
  <si>
    <t>[0.006, 0.006, 0.006, 0.006, 0.007, 0.008, 0.002, 0.018, 0.049, 0.025, 0.024, 0.023, 0.008, 0.007, 0.025, 0.032, 0.011, 0.008, 0.001, 0.003, 0.008, 0.0, 0.063, 0.06, 0.007, 0.011, 0.005, 0.004, 0.026, 0.029, 0.034, 0.012, 0.003, 0.001, 0.008, 0.098, 0.013, 0.005, 0.005, 0.011, 0.011, 0.021, 0.03]</t>
  </si>
  <si>
    <t>15041.247030097562</t>
  </si>
  <si>
    <t>[0.0, -0.0, 0.037, 0.025, 0.027]</t>
  </si>
  <si>
    <t>LINESTRING (10.5625294414814 60.984513088843066, 10.5625294414814 60.984513088843066, 10.577132970221049 60.98049391337503, 10.581167772106479 60.97883841252777, 10.581319246186737 60.978747637988285, 10.581434685275983 60.97867751302972)</t>
  </si>
  <si>
    <t>[343220, 342779, 342787, 342795, 343693]</t>
  </si>
  <si>
    <t>[331411, 214563, 331420, 331426, 332126]</t>
  </si>
  <si>
    <t>0.009137966083558127</t>
  </si>
  <si>
    <t>[331836, 331411, 214563, 331420, 331426]</t>
  </si>
  <si>
    <t>[0.0, 0.0, 0.037, 0.025, 0.027]</t>
  </si>
  <si>
    <t>1229.8403846081962</t>
  </si>
  <si>
    <t>[-0.014, -0.008, 0.0, -0.038, -0.062, -0.061, 0.008, 0.011, -0.005, 0.004, -0.023, -0.03, -0.034, -0.012, 0.003, -0.001, -0.008, -0.091, 0.013, -0.024, -0.005, -0.003, -0.011, -0.013, 0.02]</t>
  </si>
  <si>
    <t>10755.0</t>
  </si>
  <si>
    <t>[0, 0, 0, 0, 0, 1, 0, 0, 0, 0, 0, 1, 0, 0, 1, 0, 0, 1, 0, 0, 0, 0, 0, 1, 0]</t>
  </si>
  <si>
    <t>LINESTRING (10.5625294414814 60.984513088843066, 10.560565012803245 60.985118410556666, 10.529255561062971 60.99053332718313, 10.50060151295479 60.999596119078255, 10.500581952784671 60.999608297847814, 10.499621976061443 61.00019362772109, 10.498848626825506 61.000617775182896, 10.488719498745853 61.00483105240057, 10.486488728722197 61.005999741530296, 10.473634502039754 61.01287133588721, 10.45617846643096 61.02034819610569, 10.456043662669657 61.020459584846556, 10.455617974462903 61.020820496855, 10.45458663384844 61.021705383117904, 10.44904069632974 61.02537035753813, 10.4486704766895 61.02557233987099, 10.447994936500722 61.02594878222148, 10.442582410826887 61.031478889876055, 10.442562932587665 61.03151959870368, 10.440583165297749 61.03576480923103, 10.440577461999103 61.03577996728213, 10.436548808109714 61.0413211956545, 10.435842541614935 61.04187431261601, 10.4341040799966 61.04478986540642, 10.434130117660965 61.045341481491626, 10.434165960787608 61.04596637231013)</t>
  </si>
  <si>
    <t>[343717, 343725, 343556, 343564, 343572, 343244, 343252, 343260, 343268, 343276, 343284, 343292, 343300, 343308, 343734, 343742, 343750, 343758, 343766, 343774, 343782, 343356, 343364, 343372, 343380]</t>
  </si>
  <si>
    <t>[332276, 332133, 332134, 332140, 331863, 331864, 331876, 331885, 331892, 331900, 331907, 331916, 331922, 331930, 332289, 332299, 332308, 332316, 332321, 332330, 331968, 331969, 331977, 331984, 331992]</t>
  </si>
  <si>
    <t>[331836, 332276, 332133, 332134, 332140, 331863, 331864, 331876, 331885, 331892, 331900, 331907, 331916, 331922, 331930, 332289, 332299, 332308, 332316, 332321, 332330, 331968, 331969, 331977, 331984]</t>
  </si>
  <si>
    <t>[0.014, 0.008, 0.0, 0.038, 0.062, 0.061, 0.008, 0.011, 0.005, 0.004, 0.023, 0.03, 0.034, 0.012, 0.003, 0.001, 0.008, 0.091, 0.013, 0.024, 0.005, 0.003, 0.011, 0.013, 0.02]</t>
  </si>
  <si>
    <t>10330.689096531878</t>
  </si>
  <si>
    <t>[0.031, 0.007, -0.013, -0.016]</t>
  </si>
  <si>
    <t>LINESTRING (10.434165960787608 61.04596637231013, 10.434350411096412 61.046874389616534, 10.434786310418842 61.04750387579114, 10.435498997424428 61.04850224950587, 10.43576984975745 61.049702981136384)</t>
  </si>
  <si>
    <t>[343388, 343396, 343404, 343412]</t>
  </si>
  <si>
    <t>[332000, 332009, 332018, 332026]</t>
  </si>
  <si>
    <t>[331992, 332000, 332009, 332018]</t>
  </si>
  <si>
    <t>[0.031, 0.007, 0.013, 0.016]</t>
  </si>
  <si>
    <t>428.8456839340598</t>
  </si>
  <si>
    <t>[0.006, -0.013, -0.015, 0.007]</t>
  </si>
  <si>
    <t>LINESTRING (10.434442639289415 61.04686531963772, 10.434872474632186 61.04748772937882, 10.435581023631464 61.048491151412286, 10.435854816744458 61.04970586763442, 10.43575029760308 61.05011791379066)</t>
  </si>
  <si>
    <t>[343881, 343889, 343897, 343905]</t>
  </si>
  <si>
    <t>[332431, 332439, 332446, 332455]</t>
  </si>
  <si>
    <t>[332224, 332431, 332439, 332446]</t>
  </si>
  <si>
    <t>[0.006, 0.013, 0.015, 0.007]</t>
  </si>
  <si>
    <t>374.42688305504805</t>
  </si>
  <si>
    <t>[0.0, 0.135, 0.132, -0.01, -0.103, -0.054, -0.005]</t>
  </si>
  <si>
    <t>19642.0</t>
  </si>
  <si>
    <t>LINESTRING (10.727446954458454 59.53668868828797, 10.727446954458454 59.53668868828797, 10.727946265073946 59.53540348744596, 10.727995012314684 59.53527649500101, 10.729638704696104 59.52736409861607, 10.72962952396486 59.52724905977215, 10.729486858763854 59.52596656051993, 10.729469269298578 59.52588157693342)</t>
  </si>
  <si>
    <t>[344024, 343928, 343936, 343944, 343952, 343960, 344008]</t>
  </si>
  <si>
    <t>[332475, 332476, 332487, 332497, 332504, 332510, 332564]</t>
  </si>
  <si>
    <t>0.0029628894593572213</t>
  </si>
  <si>
    <t>[332584, 332475, 332476, 332487, 332497, 332504, 332510]</t>
  </si>
  <si>
    <t>[0.0, 0.135, 0.132, 0.01, 0.103, 0.054, 0.005]</t>
  </si>
  <si>
    <t>1224.6719353782817</t>
  </si>
  <si>
    <t>[0.001, -0.051, 0.044, 0.007, 0.005, 0.021]</t>
  </si>
  <si>
    <t>LINESTRING (10.726190225573665 59.518768655914855, 10.72671268338521 59.51950404001342, 10.726761667291363 59.51957553825182, 10.727116004971323 59.520124525506404, 10.72723385851894 59.52031815013977, 10.72890298505514 59.5237806689654, 10.729469269298578 59.52588157693342)</t>
  </si>
  <si>
    <t>[1557655, 1557663, 1557671, 1557679, 1557687, 1557695]</t>
  </si>
  <si>
    <t>[1405351, 1405357, 1405361, 1405368, 1405378, 332564]</t>
  </si>
  <si>
    <t>0.011756794073880339</t>
  </si>
  <si>
    <t>[1363664, 1405351, 1405357, 1405361, 1405368, 1405378]</t>
  </si>
  <si>
    <t>[0.001, 0.051, 0.044, 0.007, 0.005, 0.021]</t>
  </si>
  <si>
    <t>816.50524289127</t>
  </si>
  <si>
    <t>[-0.026, -0.138, 0.069, 0.264, 0.117, 0.015, -0.015, -0.119, 0.082, 0.092, 0.002, -0.015, -0.012, -0.061, -0.032, -0.042, -0.069, -0.012, 0.002]</t>
  </si>
  <si>
    <t>[1, 1, 1, 1, 0, 0, 0, 1, 1, 0, 0, 0, 0, 0, 0, 1, 0, 0, 0]</t>
  </si>
  <si>
    <t>LINESTRING (10.727446954458454 59.53668868828797, 10.727363626375958 59.53688687284962, 10.726926188230504 59.537920061018745, 10.725739261971873 59.54075212520224, 10.725719682659658 59.540800095823926, 10.725434295872315 59.541499100916354, 10.722632690167941 59.550572904165016, 10.721667106697268 59.55522020310884, 10.721554153025334 59.55585818081869, 10.721349489931484 59.556994734876554, 10.721243967522131 59.55764662375611, 10.72273787503742 59.57015373203951, 10.722743090751207 59.57016233725751, 10.732613223581422 59.583001991726306, 10.732618645864664 59.58301054024276, 10.732718577071852 59.58316813129367, 10.732771235069126 59.58325617300502, 10.732976204732458 59.58358171830247, 10.733046964829528 59.583685007544275, 10.738545010975109 59.59956436814268)</t>
  </si>
  <si>
    <t>[1557703, 1557711, 1557719, 1557727, 1557735, 1557743, 1557751, 1557759, 1557767, 1557775, 1557783, 1557791, 1557799, 1557807, 1557815, 1557823, 1557831, 1557839, 1557847]</t>
  </si>
  <si>
    <t>[1405393, 1405400, 1405409, 1405416, 1405421, 1405426, 1405432, 1405443, 1405449, 1405457, 1405461, 1405470, 1405477, 1405483, 1405490, 1405494, 1405501, 1405507, 1363794]</t>
  </si>
  <si>
    <t>0.0023317361059673686</t>
  </si>
  <si>
    <t>[332584, 1405393, 1405400, 1405409, 1405416, 1405421, 1405426, 1405432, 1405443, 1405449, 1405457, 1405461, 1405470, 1405477, 1405483, 1405490, 1405494, 1405501, 1405507]</t>
  </si>
  <si>
    <t>[0.026, 0.138, 0.069, 0.264, 0.117, 0.015, 0.015, 0.119, 0.082, 0.092, 0.002, 0.015, 0.012, 0.061, 0.032, 0.042, 0.069, 0.012, 0.002]</t>
  </si>
  <si>
    <t>7191.105693132869</t>
  </si>
  <si>
    <t>2240.0</t>
  </si>
  <si>
    <t>LINESTRING (7.682508833493104 62.55807459731853, 7.408220014521703 62.56369062623124)</t>
  </si>
  <si>
    <t>20290.826371943655</t>
  </si>
  <si>
    <t>[-0.009, 0.037, -0.023]</t>
  </si>
  <si>
    <t>LINESTRING (7.682830351617759 62.558579526555555, 7.682784102585996 62.558519836659485, 7.68251931848996 62.558165476642564, 7.682508833493104 62.55807459731853)</t>
  </si>
  <si>
    <t>[743314, 1296819, 344367]</t>
  </si>
  <si>
    <t>[726940, 332951, 332952]</t>
  </si>
  <si>
    <t>0.02117254742633626</t>
  </si>
  <si>
    <t>[726939, 726940, 332951]</t>
  </si>
  <si>
    <t>[0.009, 0.037, 0.023]</t>
  </si>
  <si>
    <t>59.06433023957784</t>
  </si>
  <si>
    <t>[-0.011, 0.035, -0.023]</t>
  </si>
  <si>
    <t>LINESTRING (7.682956346649905 62.558538247427975, 7.682921040469835 62.558501507621415, 7.682628505957637 62.55814683373204, 7.682508833493104 62.55807459731853)</t>
  </si>
  <si>
    <t>[743322, 1333269, 344375]</t>
  </si>
  <si>
    <t>[726945, 332960, 332952]</t>
  </si>
  <si>
    <t>0.021050783655141857</t>
  </si>
  <si>
    <t>[726944, 726945, 332960]</t>
  </si>
  <si>
    <t>[0.011, 0.035, 0.023]</t>
  </si>
  <si>
    <t>56.98676351415331</t>
  </si>
  <si>
    <t>[-0.01, -0.001, -0.015, 0.359]</t>
  </si>
  <si>
    <t>LINESTRING (11.16132358840326 59.57077494664146, 11.1615642534361 59.57070962571027, 11.164260281814157 59.570490425215134, 11.166601325025065 59.56986361934358, 11.166672572871565 59.5698693576212)</t>
  </si>
  <si>
    <t>[344618, 1689984, 1689992, 1690000]</t>
  </si>
  <si>
    <t>[333223, 1513077, 1513082, 1239796]</t>
  </si>
  <si>
    <t>[333222, 333223, 1513077, 1513082]</t>
  </si>
  <si>
    <t>[0.01, 0.001, 0.015, 0.359]</t>
  </si>
  <si>
    <t>333.21724057603626</t>
  </si>
  <si>
    <t>[0.03, -0.023, -0.011, 0.009, -0.011, 0.003, 0.029, 0.037, 0.142]</t>
  </si>
  <si>
    <t>LINESTRING (11.16132358840326 59.57077494664146, 11.1605192757613 59.57084109720819, 11.16022844629678 59.57086757322713, 11.136077545207879 59.57868360704531, 11.13601756726693 59.57870446251556, 11.135357226777906 59.578937054108565, 11.13530136853736 59.578955981315644, 11.12371786332631 59.58242175802417, 11.121511898325007 59.58327649886178, 11.121428535723007 59.58331261162497)</t>
  </si>
  <si>
    <t>[1672054, 1672062, 1672070, 1672078, 1672086, 1672094, 1672102, 1672110, 1672118]</t>
  </si>
  <si>
    <t>[1499703, 1499710, 1499715, 1499721, 1499725, 1499730, 1499736, 1499743, 1499753]</t>
  </si>
  <si>
    <t>0.004155407716876661</t>
  </si>
  <si>
    <t>[333222, 1499703, 1499710, 1499715, 1499721, 1499725, 1499730, 1499736, 1499743]</t>
  </si>
  <si>
    <t>[0.03, 0.023, 0.011, 0.009, 0.011, 0.003, 0.029, 0.037, 0.142]</t>
  </si>
  <si>
    <t>2686.3527811632584</t>
  </si>
  <si>
    <t>[-0.097, -0.113, -0.097, -0.018, -0.015, -0.032, -0.011, 0.047, 0.023, -0.005, 0.009, 0.017, -0.063]</t>
  </si>
  <si>
    <t>[0, 0, 0, 1, 0, 0, 1, 1, 0, 0, 0, 0, 0]</t>
  </si>
  <si>
    <t>LINESTRING (11.175029075544568 59.5698694320482, 11.174897378594952 59.569878758831926, 11.174822268709901 59.56988407720917, 11.174641826670312 59.569896850307686, 11.171934701664158 59.57014404856234, 11.170090838691006 59.570298891317336, 11.167346773638181 59.570445038850465, 11.166059811064313 59.570505554472454, 11.165975583554792 59.570509845385565, 11.164040549556141 59.57060581719022, 11.16388587501192 59.57061349710608, 11.162728845100844 59.57067729704321, 11.161532430948437 59.570757946173366, 11.16132358840326 59.57077494664146)</t>
  </si>
  <si>
    <t>[1671950, 1671958, 1671966, 1671974, 1671982, 1671990, 1671998, 1672006, 1672014, 1672022, 1672030, 1672038, 1672046]</t>
  </si>
  <si>
    <t>[1499603, 1499611, 1499619, 1499627, 1499635, 1499643, 1499652, 1499659, 1499667, 1499676, 1499684, 1499691, 333222]</t>
  </si>
  <si>
    <t>[1499593, 1499603, 1499611, 1499619, 1499627, 1499635, 1499643, 1499652, 1499659, 1499667, 1499676, 1499684, 1499691]</t>
  </si>
  <si>
    <t>[0.097, 0.113, 0.097, 0.018, 0.015, 0.032, 0.011, 0.047, 0.023, 0.005, 0.009, 0.017, 0.063]</t>
  </si>
  <si>
    <t>781.7662291718888</t>
  </si>
  <si>
    <t>[0.125, 0.02, 0.019, 0.012, 0.019, -0.0, -0.019, 0.055, 0.07, 0.008, -0.06, -0.111, -0.062, 0.004, -0.036, 0, 0, -0.016, 0.0, 0.007, -0.007, -0.006]</t>
  </si>
  <si>
    <t>LINESTRING (7.073919074336787 62.631308269334085, 7.073915066745155 62.63136764820166, 7.0738903864495315 62.63146552817692, 7.073842572774757 62.631594061086396, 7.076414628195835 62.63651973468154, 7.077291247930108 62.63831111926558, 7.078687030671976 62.63942306949879, 7.081361254368124 62.64511102894855, 7.081267041524113 62.64571786698529, 7.081393523566826 62.64612837551047, 7.083125271485435 62.64743027001005, 7.084452384412342 62.64810786689447, 7.085245228604142 62.64853927154937, 7.086214774476418 62.64984458172315, 7.085061377568849 62.65134530851156, 7.085037103633985 62.65163052480215, 7.103818242325196 62.68082137042743, 7.169424489667771 62.73697101728476, 7.170017990451009 62.73708905065395, 7.1701065758231906 62.737094018004036, 7.17417385219421 62.736739623060096, 7.174341863094041 62.73671384265248, 7.17468690473213 62.73666275967553)</t>
  </si>
  <si>
    <t>[984290, 984298, 984306, 984314, 984322, 984337, 984345, 984353, 984361, 984369, 984377, 984385, 984393, 984413, 984421, 984422, 984454, 984483, 984484, 984499, 984503, 984507]</t>
  </si>
  <si>
    <t>[944613, 944620, 944627, 936371, 944639, 944651, 944661, 941246, 944673, 944680, 944686, 944694, 944702, 944722, 944726, 944727, 944747, 944765, 944766, 944784, 944787, 944789]</t>
  </si>
  <si>
    <t>[335222, 944613, 944620, 944627, 936371, 944639, 944651, 944661, 941246, 944673, 944680, 944686, 944694, 944702, 944722, 944726, 944727, 944747, 944765, 944766, 944784, 944787]</t>
  </si>
  <si>
    <t>[0.125, 0.02, 0.019, 0.012, 0.019, 0.0, 0.019, 0.055, 0.07, 0.008, 0.06, 0.111, 0.062, 0.004, 0.036, inf, inf, 0.016, 0.0, 0.007, 0.007, 0.006]</t>
  </si>
  <si>
    <t>2725.7170488861707</t>
  </si>
  <si>
    <t>[0.05, 0.049, -0.029, 0.026]</t>
  </si>
  <si>
    <t>LINESTRING (7.073544541729201 62.63097738887856, 7.073639061447134 62.63102045242014, 7.07380321165063 62.631126328245784, 7.073852983292784 62.63122942997698, 7.073919074336787 62.631308269334085)</t>
  </si>
  <si>
    <t>[355834, 355835, 355847, 346720]</t>
  </si>
  <si>
    <t>[344138, 344139, 335221, 335222]</t>
  </si>
  <si>
    <t>0.022466319180641462</t>
  </si>
  <si>
    <t>[344137, 344138, 344139, 335221]</t>
  </si>
  <si>
    <t>[0.05, 0.049, 0.029, 0.026]</t>
  </si>
  <si>
    <t>42.58064692057965</t>
  </si>
  <si>
    <t>[-0.313, 0.041, 0.04, 0.053]</t>
  </si>
  <si>
    <t>LINESTRING (7.073973835612962 62.63091996964949, 7.073969793677466 62.63096662907514, 7.0739654256458735 62.63109954842238, 7.073970579316922 62.631224462238855, 7.073919074336787 62.631308269334085)</t>
  </si>
  <si>
    <t>[2072304, 2072312, 2072320, 346728]</t>
  </si>
  <si>
    <t>[1798922, 1798925, 335228, 335222]</t>
  </si>
  <si>
    <t>0.0011435641532422177</t>
  </si>
  <si>
    <t>[945733, 1798922, 1798925, 335228]</t>
  </si>
  <si>
    <t>[0.313, 0.041, 0.04, 0.053]</t>
  </si>
  <si>
    <t>43.723844073646916</t>
  </si>
  <si>
    <t>[0.0, 0.004, 0.007, 0.003]</t>
  </si>
  <si>
    <t>LINESTRING (11.117676066655497 60.800665036621766, 11.117676066655497 60.800665036621766, 11.11450167595387 60.80258692076642, 11.112346995291206 60.804158060287094, 11.11172934633314 60.80451877476868)</t>
  </si>
  <si>
    <t>[348434, 348441, 374860, 373444]</t>
  </si>
  <si>
    <t>[336716, 336725, 362459, 362460]</t>
  </si>
  <si>
    <t>0.004951525695006838</t>
  </si>
  <si>
    <t>[336715, 336716, 336725, 362459]</t>
  </si>
  <si>
    <t>552.2025279686641</t>
  </si>
  <si>
    <t>[-0.009, -0.007, -0.008, -0.009]</t>
  </si>
  <si>
    <t>LINESTRING (11.112627115762164 60.803684457193626, 11.113002893521998 60.803312415193695, 11.114094204364603 60.80251390088767, 11.116429578867711 60.800379504463386, 11.116536133192884 60.80025629427332)</t>
  </si>
  <si>
    <t>[373453, 374716, 348457, 348469]</t>
  </si>
  <si>
    <t>[362474, 336737, 336738, 336748]</t>
  </si>
  <si>
    <t>[361978, 362474, 336737, 336738]</t>
  </si>
  <si>
    <t>[0.009, 0.007, 0.008, 0.009]</t>
  </si>
  <si>
    <t>438.080720152989</t>
  </si>
  <si>
    <t>[0.0, -0.013, -0.015, -0.014, -0.013]</t>
  </si>
  <si>
    <t>LINESTRING (11.117179370336363 60.799800208596416, 11.117179370336363 60.799800208596416, 11.119799120508048 60.79759560998481, 11.120076912121823 60.79726431260221, 11.120722252158622 60.79649060211929, 11.121146970535554 60.796132271202964)</t>
  </si>
  <si>
    <t>[348482, 348490, 374861, 374862, 373660]</t>
  </si>
  <si>
    <t>[336755, 336760, 363726, 362677, 362485]</t>
  </si>
  <si>
    <t>[336754, 336755, 336760, 363726, 362677]</t>
  </si>
  <si>
    <t>[0.0, 0.013, 0.015, 0.014, 0.013]</t>
  </si>
  <si>
    <t>478.57169103704325</t>
  </si>
  <si>
    <t>[0.003, 0.004, 0.004, 0.001]</t>
  </si>
  <si>
    <t>LINESTRING (11.100748711462662 60.81470052316311, 11.10078956934469 60.814760948721066, 11.100764256898302 60.81484030577481, 11.10067119156936 60.8148971985143, 11.10048987699269 60.81492870288231)</t>
  </si>
  <si>
    <t>[373536, 373549, 373557, 373571]</t>
  </si>
  <si>
    <t>[362564, 362574, 362579, 336880]</t>
  </si>
  <si>
    <t>0.002887851089918099</t>
  </si>
  <si>
    <t>[336874, 362564, 362574, 362579]</t>
  </si>
  <si>
    <t>34.63245687150484</t>
  </si>
  <si>
    <t>[-0.003, -0.003, 0.003, 0.003, 0.003]</t>
  </si>
  <si>
    <t>LINESTRING (11.102955249104104 60.81116954658514, 11.10253340617482 60.81160377880522, 11.101964720407574 60.812063497055114, 11.100798700722489 60.81454793012984, 11.100767875951876 60.81462781913139, 11.100748711462662 60.81470052316311)</t>
  </si>
  <si>
    <t>[373278, 373006, 348627, 348635, 348643]</t>
  </si>
  <si>
    <t>[362038, 336860, 336861, 336869, 336874]</t>
  </si>
  <si>
    <t>0.0013754629898115648</t>
  </si>
  <si>
    <t>[362298, 362038, 336860, 336861, 336869]</t>
  </si>
  <si>
    <t>418.91106086053793</t>
  </si>
  <si>
    <t>[-0.002, -0.001, 0.0, 0.002]</t>
  </si>
  <si>
    <t>LINESTRING (11.100272246841463 60.814665549869986, 11.10035647713462 60.814638873597396, 11.100458682546625 60.814626293268276, 11.10056605184272 60.814631751233556, 11.100748711462662 60.81470052316311)</t>
  </si>
  <si>
    <t>[373499, 373507, 373515, 373528]</t>
  </si>
  <si>
    <t>[362526, 362537, 362545, 336874]</t>
  </si>
  <si>
    <t>0.00029837246830973353</t>
  </si>
  <si>
    <t>[362525, 362526, 362537, 362545]</t>
  </si>
  <si>
    <t>[0.002, 0.001, 0.0, 0.002]</t>
  </si>
  <si>
    <t>29.86524248027202</t>
  </si>
  <si>
    <t>28.4752834819926</t>
  </si>
  <si>
    <t>[0.002, 0.003, 0.003, 0.003, 0.001, 0.0]</t>
  </si>
  <si>
    <t>[0, 0, 1, 0, 0, 0]</t>
  </si>
  <si>
    <t>LINESTRING (11.10048987699269 60.81492870288231, 11.10042307195243 60.81495208336078, 11.100199786057278 60.815042558304874, 11.100109197313719 60.81507654656825, 11.096638241403946 60.816989038779575, 11.095684843396139 60.817997157757155, 11.095134722381156 60.81846736918729)</t>
  </si>
  <si>
    <t>[348651, 348656, 348660, 348668, 372998, 373174]</t>
  </si>
  <si>
    <t>[336881, 336884, 336885, 336894, 362030, 362201]</t>
  </si>
  <si>
    <t>0.0021400703133298586</t>
  </si>
  <si>
    <t>[336880, 336881, 336884, 336885, 336894, 362030]</t>
  </si>
  <si>
    <t>503.5682828635449</t>
  </si>
  <si>
    <t>27.341932005121212</t>
  </si>
  <si>
    <t>[-0.007, -0.004, 0.003, 0.002]</t>
  </si>
  <si>
    <t>LINESTRING (11.097676126676808 60.8139182155722, 11.097793411806167 60.81384081505986, 11.101452130665926 60.81207008574905, 11.103064368174994 60.81081288383631, 11.103611818339356 60.810486481991695)</t>
  </si>
  <si>
    <t>[348676, 348684, 373190, 373286]</t>
  </si>
  <si>
    <t>[336902, 336909, 362215, 361995]</t>
  </si>
  <si>
    <t>[336901, 336902, 336909, 362215]</t>
  </si>
  <si>
    <t>[0.007, 0.004, 0.003, 0.002]</t>
  </si>
  <si>
    <t>507.92468187453466</t>
  </si>
  <si>
    <t>[0.002, -0.003, -0.007, -0.009]</t>
  </si>
  <si>
    <t>LINESTRING (11.097503736180286 60.81416076089698, 11.09742623949044 60.81407032348523, 11.097450980113411 60.81400326534008, 11.097584286137142 60.81393334253088, 11.097676126676808 60.8139182155722)</t>
  </si>
  <si>
    <t>[374252, 374260, 374268, 374196]</t>
  </si>
  <si>
    <t>[361923, 363201, 362450, 336901]</t>
  </si>
  <si>
    <t>[362648, 361923, 363201, 362450]</t>
  </si>
  <si>
    <t>[0.002, 0.003, 0.007, 0.009]</t>
  </si>
  <si>
    <t>34.442586053406515</t>
  </si>
  <si>
    <t>[-0.01, 0.013, 0.025, 0.006]</t>
  </si>
  <si>
    <t>LINESTRING (11.07929569255805 60.833884957771126, 11.07932595021114 60.834009173366255, 11.079255651151668 60.83406734733425, 11.079151287159434 60.83410295206006, 11.078797739743406 60.8340635881442)</t>
  </si>
  <si>
    <t>[374004, 374012, 374020, 374028]</t>
  </si>
  <si>
    <t>[362046, 363032, 363039, 336984]</t>
  </si>
  <si>
    <t>0.005106986380205747</t>
  </si>
  <si>
    <t>[336975, 362046, 363032, 363039]</t>
  </si>
  <si>
    <t>[0.01, 0.013, 0.025, 0.006]</t>
  </si>
  <si>
    <t>49.44712401447127</t>
  </si>
  <si>
    <t>23.627443487864973</t>
  </si>
  <si>
    <t>[0.022, 0.022, 0.012, -0.007]</t>
  </si>
  <si>
    <t>LINESTRING (11.083821942418554 60.83162913234303, 11.08307247678057 60.8319418376728, 11.082404179384604 60.83215629262464, 11.07931377708384 60.833811055565285, 11.07929569255805 60.833884957771126)</t>
  </si>
  <si>
    <t>[374772, 375479, 348740, 348748]</t>
  </si>
  <si>
    <t>[363630, 336967, 336968, 336975]</t>
  </si>
  <si>
    <t>0.014249313083224276</t>
  </si>
  <si>
    <t>[362779, 363630, 336967, 336968]</t>
  </si>
  <si>
    <t>[0.022, 0.022, 0.012, 0.007]</t>
  </si>
  <si>
    <t>361.8211297521327</t>
  </si>
  <si>
    <t>15.642773169222146</t>
  </si>
  <si>
    <t>[0.009, 0.013, 0.026, 0.011, -0.01]</t>
  </si>
  <si>
    <t>LINESTRING (11.078797739743406 60.8340635881442, 11.078669414413138 60.834051299175414, 11.078568334684814 60.83404960436586, 11.07522758696975 60.8348201312419, 11.072386908257695 60.836418018644984, 11.071774271427566 60.83672145493287)</t>
  </si>
  <si>
    <t>[348756, 348757, 348765, 375463, 374500]</t>
  </si>
  <si>
    <t>[336985, 336986, 336994, 363375, 362785]</t>
  </si>
  <si>
    <t>0.015151126149833489</t>
  </si>
  <si>
    <t>[336984, 336985, 336986, 336994, 363375]</t>
  </si>
  <si>
    <t>[0.009, 0.013, 0.026, 0.011, 0.01]</t>
  </si>
  <si>
    <t>501.42469132557727</t>
  </si>
  <si>
    <t>[0.024, 0.0, -0.015, -0.032]</t>
  </si>
  <si>
    <t>LINESTRING (11.076506697377475 60.8330812620975, 11.076431804175277 60.832942706375505, 11.076503707894764 60.832877479265555, 11.076643450073282 60.832834191303334, 11.076970365556816 60.832881861861964)</t>
  </si>
  <si>
    <t>[374404, 374412, 374420, 374364]</t>
  </si>
  <si>
    <t>[363318, 363323, 362281, 337017]</t>
  </si>
  <si>
    <t>[337011, 363318, 363323, 362281]</t>
  </si>
  <si>
    <t>[0.024, 0.0, 0.015, 0.032]</t>
  </si>
  <si>
    <t>53.13197044142845</t>
  </si>
  <si>
    <t>[-0.006, -0.012, -0.014, 0.011, 0.016]</t>
  </si>
  <si>
    <t>LINESTRING (11.072812530838705 60.83583772322116, 11.073252276507406 60.83550971798559, 11.073712746397236 60.83524083757025, 11.076482824079221 60.83318548621363, 11.07650265838476 60.83313669732259, 11.076506697377475 60.8330812620975)</t>
  </si>
  <si>
    <t>[374508, 375391, 348770, 348778, 348786]</t>
  </si>
  <si>
    <t>[363381, 336997, 336998, 337005, 337011]</t>
  </si>
  <si>
    <t>[362114, 363381, 336997, 336998, 337005]</t>
  </si>
  <si>
    <t>[0.006, 0.012, 0.014, 0.011, 0.016]</t>
  </si>
  <si>
    <t>371.41873200885357</t>
  </si>
  <si>
    <t>20.82184809922657</t>
  </si>
  <si>
    <t>16.456355727378874</t>
  </si>
  <si>
    <t>[-0.024, -0.021, -0.022, -0.008]</t>
  </si>
  <si>
    <t>LINESTRING (11.076970365556816 60.832881861861964, 11.077109830330889 60.83289187129693, 11.081729435112102 60.832093833340565, 11.084326219218978 60.83116291698349, 11.085150110895322 60.830829373061725)</t>
  </si>
  <si>
    <t>[348794, 348809, 375471, 374780]</t>
  </si>
  <si>
    <t>[337018, 337027, 363639, 361987]</t>
  </si>
  <si>
    <t>[337017, 337018, 337027, 363639]</t>
  </si>
  <si>
    <t>[0.024, 0.021, 0.022, 0.008]</t>
  </si>
  <si>
    <t>511.60386460369637</t>
  </si>
  <si>
    <t>[-0.018, -0.023, -0.014, 0.005]</t>
  </si>
  <si>
    <t>LINESTRING (10.811520135306717 60.91216836787103, 10.811539698026117 60.91235247784614, 10.811394790732198 60.912408379829365, 10.8112417138643 60.91241826435732, 10.811000534853562 60.91233423718771)</t>
  </si>
  <si>
    <t>[349169, 349177, 349185, 349193]</t>
  </si>
  <si>
    <t>[337286, 337294, 337300, 337165]</t>
  </si>
  <si>
    <t>[337162, 337286, 337294, 337300]</t>
  </si>
  <si>
    <t>[0.018, 0.023, 0.014, 0.005]</t>
  </si>
  <si>
    <t>56.89040802049318</t>
  </si>
  <si>
    <t>12.530689741238973</t>
  </si>
  <si>
    <t>[0.04, 0.027, -0.001, -0.02, -0.022]</t>
  </si>
  <si>
    <t>LINESTRING (10.817791613470716 60.909152451786774, 10.817381340402285 60.90934125569608, 10.815470817847201 60.91004869256736, 10.811589443281008 60.91207513618233, 10.81154931757343 60.91212756034504, 10.811520135306717 60.91216836787103)</t>
  </si>
  <si>
    <t>[369274, 373901, 348977, 348985, 348993]</t>
  </si>
  <si>
    <t>[358155, 337151, 337152, 337157, 337162]</t>
  </si>
  <si>
    <t>0.008688297189471623</t>
  </si>
  <si>
    <t>[358154, 358155, 337151, 337152, 337157]</t>
  </si>
  <si>
    <t>[0.04, 0.027, 0.001, 0.02, 0.022]</t>
  </si>
  <si>
    <t>483.57732608636485</t>
  </si>
  <si>
    <t>20.64810012560456</t>
  </si>
  <si>
    <t>[-0.015, -0.023, -0.021, -0.0]</t>
  </si>
  <si>
    <t>LINESTRING (10.811000534853562 60.91233423718771, 10.810911305125988 60.9123416157836, 10.80605857922347 60.91333283078563, 10.803455453203267 60.91399826607263, 10.802765184919602 60.91411625031359)</t>
  </si>
  <si>
    <t>[349001, 349009, 373893, 369266]</t>
  </si>
  <si>
    <t>[337166, 337171, 358144, 357882]</t>
  </si>
  <si>
    <t>[337165, 337166, 337171, 358144]</t>
  </si>
  <si>
    <t>[0.015, 0.023, 0.021, 0.0]</t>
  </si>
  <si>
    <t>491.29878228596397</t>
  </si>
  <si>
    <t>[0.03, 0.033, 0.017, 0.013, -0.008, -0.012, -0.031]</t>
  </si>
  <si>
    <t>LINESTRING (10.81039277594296 60.91104985143631, 10.810278306461862 60.91095430824199, 10.810290050606241 60.91088463663795, 10.81032630596338 60.91084620761768, 10.810456629696315 60.91079165046089, 10.81057638995623 60.91077812122043, 10.810732974480976 60.91079486955192, 10.810899177201895 60.91091683909929)</t>
  </si>
  <si>
    <t>[349073, 349081, 349089, 349097, 349105, 349113, 349121]</t>
  </si>
  <si>
    <t>[337220, 337226, 337232, 337237, 337244, 337250, 337201]</t>
  </si>
  <si>
    <t>0.0023195593068455417</t>
  </si>
  <si>
    <t>[337193, 337220, 337226, 337232, 337237, 337244, 337250]</t>
  </si>
  <si>
    <t>[0.03, 0.033, 0.017, 0.013, 0.008, 0.012, 0.031]</t>
  </si>
  <si>
    <t>66.60384382247341</t>
  </si>
  <si>
    <t>9.344864899846828</t>
  </si>
  <si>
    <t>[-0.003, 0.018, 0.039, 0.027, 0.015, 0.016]</t>
  </si>
  <si>
    <t>LINESTRING (10.803297314165896 60.91389928545407, 10.803742495458723 60.91376061097506, 10.804341780845617 60.913594468633654, 10.806300593864846 60.91304566534861, 10.81022361695782 60.9111736852139, 10.810351280709423 60.91108038512811, 10.81039277594296 60.91104985143631)</t>
  </si>
  <si>
    <t>[369226, 373765, 349017, 349025, 349033, 349041]</t>
  </si>
  <si>
    <t>[358103, 337177, 337178, 337184, 337189, 337193]</t>
  </si>
  <si>
    <t>0.027158531031964316</t>
  </si>
  <si>
    <t>[358102, 358103, 337177, 337178, 337184, 337189]</t>
  </si>
  <si>
    <t>[0.003, 0.018, 0.039, 0.027, 0.015, 0.016]</t>
  </si>
  <si>
    <t>504.6957399397574</t>
  </si>
  <si>
    <t>14.351363871528815</t>
  </si>
  <si>
    <t>[-0.007, -0.003, -0.008, -0.029, -0.041]</t>
  </si>
  <si>
    <t>LINESTRING (10.810899177201895 60.91091683909929, 10.810984050009486 60.91091588802744, 10.811124956957974 60.91091425574945, 10.815241210996222 60.909889241635895, 10.817109553316103 60.9092401035848, 10.817601330268955 60.90910130754733)</t>
  </si>
  <si>
    <t>[349049, 349057, 349065, 373885, 369306]</t>
  </si>
  <si>
    <t>[337202, 337207, 337213, 358194, 357899]</t>
  </si>
  <si>
    <t>[337201, 337202, 337207, 337213, 358194]</t>
  </si>
  <si>
    <t>[0.007, 0.003, 0.008, 0.029, 0.041]</t>
  </si>
  <si>
    <t>421.54668369491225</t>
  </si>
  <si>
    <t>[-0.007, 0.005]</t>
  </si>
  <si>
    <t>LINESTRING (10.810815228010519 60.911035777074936, 10.810666930587578 60.91107817634873, 10.810551762122683 60.91108204893743)</t>
  </si>
  <si>
    <t>[349137, 349145]</t>
  </si>
  <si>
    <t>[337265, 337269]</t>
  </si>
  <si>
    <t>[337260, 337265]</t>
  </si>
  <si>
    <t>[0.007, 0.005]</t>
  </si>
  <si>
    <t>15.598270269482542</t>
  </si>
  <si>
    <t>[-0.019, -0.026, -0.025]</t>
  </si>
  <si>
    <t>LINESTRING (10.810815228010519 60.911035777074936, 10.810784208224812 60.9110947783218, 10.810778167713554 60.911161660780785, 10.810793746108875 60.91132281038703)</t>
  </si>
  <si>
    <t>[373329, 373337, 373345]</t>
  </si>
  <si>
    <t>[362347, 362355, 362363]</t>
  </si>
  <si>
    <t>[337260, 362347, 362355]</t>
  </si>
  <si>
    <t>[0.019, 0.026, 0.025]</t>
  </si>
  <si>
    <t>32.23002747071497</t>
  </si>
  <si>
    <t>[-0.028, -0.026, -0.023]</t>
  </si>
  <si>
    <t>LINESTRING (10.810551762122683 60.91108204893743, 10.810596937845478 60.91111762175749, 10.810655108368158 60.911175977482486, 10.810793746108875 60.91132281038703)</t>
  </si>
  <si>
    <t>[373434, 373435, 373454]</t>
  </si>
  <si>
    <t>[362447, 362448, 362363]</t>
  </si>
  <si>
    <t>[337269, 362447, 362448]</t>
  </si>
  <si>
    <t>[0.028, 0.026, 0.023]</t>
  </si>
  <si>
    <t>29.903002362744054</t>
  </si>
  <si>
    <t>[0.018, 0.008]</t>
  </si>
  <si>
    <t>LINESTRING (10.811056312540117 60.91215993737014, 10.811201264816813 60.912119141559195, 10.811321045980769 60.91211532217399)</t>
  </si>
  <si>
    <t>[349209, 349217]</t>
  </si>
  <si>
    <t>[337322, 337331]</t>
  </si>
  <si>
    <t>0.013824212690475892</t>
  </si>
  <si>
    <t>[337316, 337322]</t>
  </si>
  <si>
    <t>15.600373298602129</t>
  </si>
  <si>
    <t>[-0.023, -0.025]</t>
  </si>
  <si>
    <t>LINESTRING (10.811096205063436 60.911907013195346, 10.811079272697542 60.91210185366812, 10.811056312540117 60.91215993737014)</t>
  </si>
  <si>
    <t>[369314, 369322]</t>
  </si>
  <si>
    <t>[358204, 337316]</t>
  </si>
  <si>
    <t>[358203, 358204]</t>
  </si>
  <si>
    <t>[0.023, 0.025]</t>
  </si>
  <si>
    <t>28.327540052720614</t>
  </si>
  <si>
    <t>LINESTRING (10.811096205063436 60.911907013195346, 10.8112787485148 60.912077501759676, 10.811321045980769 60.91211532217399)</t>
  </si>
  <si>
    <t>[373475, 373476]</t>
  </si>
  <si>
    <t>[362499, 337331]</t>
  </si>
  <si>
    <t>[358203, 362499]</t>
  </si>
  <si>
    <t>26.22863503630343</t>
  </si>
  <si>
    <t>[1.436, 0.027, 0.048, -0.412]</t>
  </si>
  <si>
    <t>LINESTRING (10.849262778402876 60.895449439087315, 10.849363945535082 60.89553563634643, 10.849357769065621 60.895601525662144, 10.84931814269138 60.89564651271194, 10.848809323759864 60.89565812516182)</t>
  </si>
  <si>
    <t>[1256987, 1256988, 1256998, 1257022]</t>
  </si>
  <si>
    <t>[362745, 1175047, 362664, 337356]</t>
  </si>
  <si>
    <t>0.05717874695566596</t>
  </si>
  <si>
    <t>[337350, 362745, 1175047, 362664]</t>
  </si>
  <si>
    <t>[1.436, 0.027, 0.048, 0.412]</t>
  </si>
  <si>
    <t>55.81601214232823</t>
  </si>
  <si>
    <t>[0.02, -0.002, 0.077, 0.13]</t>
  </si>
  <si>
    <t>LINESTRING (10.857630557059554 60.8937348938825, 10.857094583349886 60.89380809353245, 10.853537677749049 60.894241245034685, 10.849288147926478 60.895410484804316, 10.849262778402876 60.895449439087315)</t>
  </si>
  <si>
    <t>[373741, 373749, 349233, 349241]</t>
  </si>
  <si>
    <t>[362764, 337342, 337343, 337350]</t>
  </si>
  <si>
    <t>0.042795669856624356</t>
  </si>
  <si>
    <t>[358164, 362764, 337342, 337343]</t>
  </si>
  <si>
    <t>[0.02, 0.002, 0.077, 0.13]</t>
  </si>
  <si>
    <t>503.8282250032107</t>
  </si>
  <si>
    <t>20.617078617127262</t>
  </si>
  <si>
    <t>0.108</t>
  </si>
  <si>
    <t>15.964528791580896</t>
  </si>
  <si>
    <t>[-0.035, -0.036, -0.018, -0.004, 0.131]</t>
  </si>
  <si>
    <t>LINESTRING (10.848809323759864 60.89565812516182, 10.848707753969917 60.895658673296936, 10.848588564597488 60.8956597558419, 10.845201519075445 60.89597507677891, 10.84057368862578 60.89756422404082, 10.840160005687776 60.89770218947492)</t>
  </si>
  <si>
    <t>[349249, 349257, 349265, 373709, 373781]</t>
  </si>
  <si>
    <t>[337357, 337364, 337373, 362725, 362801]</t>
  </si>
  <si>
    <t>[337356, 337357, 337364, 337373, 362725]</t>
  </si>
  <si>
    <t>[0.035, 0.036, 0.018, 0.004, 0.131]</t>
  </si>
  <si>
    <t>534.9896630097877</t>
  </si>
  <si>
    <t>[-0.054, -0.051, -0.049, 0.005]</t>
  </si>
  <si>
    <t>LINESTRING (10.84648216468933 60.89472635665957, 10.846438663143516 60.89458853599031, 10.846501041382503 60.894536071679745, 10.846597116736097 60.89449975303509, 10.846993744427209 60.89455031240364)</t>
  </si>
  <si>
    <t>[2167843, 2167848, 2167853, 2167858]</t>
  </si>
  <si>
    <t>[362503, 1854502, 362567, 337405]</t>
  </si>
  <si>
    <t>[337396, 362503, 1854502, 362567]</t>
  </si>
  <si>
    <t>[0.054, 0.051, 0.049, 0.005]</t>
  </si>
  <si>
    <t>53.33980467298046</t>
  </si>
  <si>
    <t>25.683704027902937</t>
  </si>
  <si>
    <t>[-0.019, 0.019, -0.039, -0.043, -0.047]</t>
  </si>
  <si>
    <t>LINESTRING (10.84071587525553 60.897330573721156, 10.841108149492031 60.89712845291981, 10.844817699871383 60.895697915926796, 10.846377742239287 60.89479997955285, 10.846438875772352 60.894756934798814, 10.84648216468933 60.89472635665957)</t>
  </si>
  <si>
    <t>[373773, 373701, 349273, 349281, 349289]</t>
  </si>
  <si>
    <t>[362716, 337381, 337382, 337390, 337396]</t>
  </si>
  <si>
    <t>[362794, 362716, 337381, 337382, 337390]</t>
  </si>
  <si>
    <t>[0.019, 0.019, 0.039, 0.043, 0.047]</t>
  </si>
  <si>
    <t>429.32832368160945</t>
  </si>
  <si>
    <t>0.066</t>
  </si>
  <si>
    <t>15.846353592859437</t>
  </si>
  <si>
    <t>[-0.01, -0.033, -0.007, -0.008]</t>
  </si>
  <si>
    <t>LINESTRING (10.846993744427209 60.89455031240364, 10.84710312004371 60.894545062123136, 10.853232832359534 60.894040385143875, 10.856685098606805 60.89368317628699, 10.857244246202644 60.89367164802681)</t>
  </si>
  <si>
    <t>[349297, 349305, 373757, 373733]</t>
  </si>
  <si>
    <t>[337406, 337413, 362755, 358128]</t>
  </si>
  <si>
    <t>[337405, 337406, 337413, 362755]</t>
  </si>
  <si>
    <t>[0.01, 0.033, 0.007, 0.008]</t>
  </si>
  <si>
    <t>567.43270222059</t>
  </si>
  <si>
    <t>34.32543460818154</t>
  </si>
  <si>
    <t>[0.004, -0.021, -0.027, -0.042, -0.139, -0.13, -0.148, -0.158]</t>
  </si>
  <si>
    <t>[0, 0, 0, 0, 0, 0, 0, 1]</t>
  </si>
  <si>
    <t>LINESTRING (8.390720951451208 61.18409695165392, 8.390718124704001 61.18367924987714, 8.39066948844682 61.183470954232845, 8.390650496565337 61.183402494319594, 8.390416410778602 61.1828445175081, 8.390389531852845 61.1827922671773, 8.390355021793543 61.18273086717548, 8.390161442620178 61.18243468423818, 8.389496576244836 61.18174482176528)</t>
  </si>
  <si>
    <t>[1841256, 1841264, 1841272, 1841280, 1841304, 1841312, 1841232, 1841240]</t>
  </si>
  <si>
    <t>[1613672, 1613678, 1613684, 365533, 1613698, 365524, 1613664, 338537]</t>
  </si>
  <si>
    <t>[338534, 1613672, 1613678, 1613684, 365533, 1613698, 365524, 1613664]</t>
  </si>
  <si>
    <t>[0.004, 0.021, 0.027, 0.042, 0.139, 0.13, 0.148, 0.158]</t>
  </si>
  <si>
    <t>274.24240328530544</t>
  </si>
  <si>
    <t>[-0.029, -0.027, -0.027, -0.04, -0.046, -0.128, -0.134, -0.142, -0.145]</t>
  </si>
  <si>
    <t>[0, 0, 0, 0, 0, 0, 0, 0, 1]</t>
  </si>
  <si>
    <t>LINESTRING (8.390720951451208 61.18409695165392, 8.39058943826134 61.18368716051258, 8.390530555478975 61.18348206566017, 8.390509242510904 61.18341328472927, 8.390307675001118 61.18293169254502, 8.390277270652412 61.18286896207758, 8.390246331882716 61.182812323121546, 8.390209761011118 61.182745371079335, 8.39002513689698 61.182457195144885, 8.389496576244836 61.18174482176528)</t>
  </si>
  <si>
    <t>[1841288, 1841296, 1841344, 1841352, 1841360, 1841368, 1841376, 376559, 1841248]</t>
  </si>
  <si>
    <t>[1613691, 1613695, 1613727, 1613735, 365532, 1613745, 365523, 365552, 338537]</t>
  </si>
  <si>
    <t>[338534, 1613691, 1613695, 1613727, 1613735, 365532, 1613745, 365523, 365552]</t>
  </si>
  <si>
    <t>[0.029, 0.027, 0.027, 0.04, 0.046, 0.128, 0.134, 0.142, 0.145]</t>
  </si>
  <si>
    <t>271.625305336803</t>
  </si>
  <si>
    <t>[-0.159, 0.107, 0.226, 0.01, 0.05, 0.049, -0.032, -0.064, -0.072, -0.066, -0.069, -0.069, -0.068, -0.067, -0.04, -0.013]</t>
  </si>
  <si>
    <t>[1, 0, 0, 0, 0, 0, 0, 0, 0, 0, 0, 0, 0, 0, 0, 0]</t>
  </si>
  <si>
    <t>LINESTRING (8.389496576244836 61.18174482176528, 8.388168971623388 61.18071468283546, 8.387417698508797 61.1802806869409, 8.387391436267851 61.18026802856591, 8.394870596877668 61.16551631262244, 8.395078599255234 61.16547816650356, 8.399389613639281 61.164569018601526, 8.410315215224056 61.162398156611125, 8.411454309743416 61.162248516424015, 8.418986045504298 61.16155906300051, 8.419522947188643 61.16155319155903, 8.420427776688623 61.16154915046899, 8.420725183835296 61.16154717951421, 8.4208251068874 61.16154584905526, 8.420926296447051 61.16154541822905, 8.42241192020364 61.1615299956707, 8.42694243757241 61.16076303564081)</t>
  </si>
  <si>
    <t>[350479, 350495, 350503, 350504, 350519, 350527, 350538, 350552, 350564, 350565, 350581, 350597, 350605, 350608, 350613, 350615]</t>
  </si>
  <si>
    <t>[338538, 338552, 338561, 338562, 338573, 338579, 338588, 338599, 338607, 338608, 338623, 338638, 338645, 338647, 338651, 338653]</t>
  </si>
  <si>
    <t>[338537, 338538, 338552, 338561, 338562, 338573, 338579, 338588, 338599, 338607, 338608, 338623, 338638, 338645, 338647, 338651]</t>
  </si>
  <si>
    <t>[0.159, 0.107, 0.226, 0.01, 0.05, 0.049, 0.032, 0.064, 0.072, 0.066, 0.069, 0.069, 0.068, 0.067, 0.04, 0.013]</t>
  </si>
  <si>
    <t>4146.2749871583965</t>
  </si>
  <si>
    <t>LINESTRING (8.61469496219722 61.138904456997714, 8.42694243757241 61.16076303564081)</t>
  </si>
  <si>
    <t>[0.0, -0.085, 0.041, 0.045, 0.034, 0.09, 0.025]</t>
  </si>
  <si>
    <t>LINESTRING (10.40306003587325 63.40063373005551, 10.40306003587325 63.40063373005551, 10.402697544070557 63.401133122195795, 10.402695545647134 63.40140821722736, 10.40384213848825 63.40173741845406, 10.406120116289285 63.40212823570899, 10.406311683289205 63.40217940273392, 10.406327876881118 63.40218348520378)</t>
  </si>
  <si>
    <t>[351964, 572324, 572332, 572340, 572348, 626318, 626326]</t>
  </si>
  <si>
    <t>[340037, 579926, 579933, 579939, 579947, 622931, 621357]</t>
  </si>
  <si>
    <t>0.015480527315288423</t>
  </si>
  <si>
    <t>[340036, 340037, 579926, 579933, 579939, 579947, 622931]</t>
  </si>
  <si>
    <t>[0.0, 0.085, 0.041, 0.045, 0.034, 0.09, 0.025]</t>
  </si>
  <si>
    <t>297.2091239434697</t>
  </si>
  <si>
    <t>0.409</t>
  </si>
  <si>
    <t>6.198330420089928</t>
  </si>
  <si>
    <t>[0.043, 0.041, 0.001, -0.02, -0.026]</t>
  </si>
  <si>
    <t>LINESTRING (5.721473595353292 58.954464215010255, 5.721493495410341 58.95453408976945, 5.72155715191896 58.95495875964686, 5.721766356911496 58.95646602604567, 5.72208885817187 58.95827209828574, 5.722041494567479 58.95835135132611)</t>
  </si>
  <si>
    <t>[354527, 354530, 354531, 354534, 354537]</t>
  </si>
  <si>
    <t>[342712, 342717, 342718, 342723, 342728]</t>
  </si>
  <si>
    <t>[342711, 342712, 342717, 342718, 342723]</t>
  </si>
  <si>
    <t>[0.043, 0.041, 0.001, 0.02, 0.026]</t>
  </si>
  <si>
    <t>436.30147752915116</t>
  </si>
  <si>
    <t>[-0.217, 0.12]</t>
  </si>
  <si>
    <t>LINESTRING (5.721788941554797 58.95446701152637, 5.7216257222313525 58.954490217114426, 5.721473595353292 58.954464215010255)</t>
  </si>
  <si>
    <t>[1418212, 1418220]</t>
  </si>
  <si>
    <t>[1295077, 342711]</t>
  </si>
  <si>
    <t>[342733, 1295077]</t>
  </si>
  <si>
    <t>[0.217, 0.12]</t>
  </si>
  <si>
    <t>19.022816132291087</t>
  </si>
  <si>
    <t>[-0.134, 0.136]</t>
  </si>
  <si>
    <t>LINESTRING (5.722041494567479 58.95835135132611, 5.722240833321847 58.958302597262076, 5.722461981818957 58.9583372118526)</t>
  </si>
  <si>
    <t>[1418303, 1418311]</t>
  </si>
  <si>
    <t>[1295138, 342754]</t>
  </si>
  <si>
    <t>0.0042728565596816676</t>
  </si>
  <si>
    <t>[342728, 1295138]</t>
  </si>
  <si>
    <t>[0.134, 0.136]</t>
  </si>
  <si>
    <t>26.509168096029356</t>
  </si>
  <si>
    <t>31.4539498404147</t>
  </si>
  <si>
    <t>[0.027, 0.038, -0.0, -0.023, -0.022]</t>
  </si>
  <si>
    <t>LINESTRING (5.721788941554797 58.95446701152637, 5.72176673021266 58.95453014496392, 5.721774112615218 58.954952968299175, 5.721982948511275 58.95645730639536, 5.7223660129157 58.958251535427706, 5.722461981818957 58.9583372118526)</t>
  </si>
  <si>
    <t>[354541, 354542, 354545, 354558, 354559]</t>
  </si>
  <si>
    <t>[342734, 342735, 342738, 342753, 342754]</t>
  </si>
  <si>
    <t>[342733, 342734, 342735, 342738, 342753]</t>
  </si>
  <si>
    <t>[0.027, 0.038, 0.0, 0.023, 0.022]</t>
  </si>
  <si>
    <t>435.8106491935982</t>
  </si>
  <si>
    <t>0.067</t>
  </si>
  <si>
    <t>19.672954307794274</t>
  </si>
  <si>
    <t>[-0.8, -0.01, 0.544]</t>
  </si>
  <si>
    <t>LINESTRING (5.722461981818957 58.9583372118526, 5.72249957237756 58.95835536457874, 5.722533222397691 58.958551221105246, 5.722495560631133 58.95857633142982)</t>
  </si>
  <si>
    <t>[1418264, 1418265, 1418271]</t>
  </si>
  <si>
    <t>[1295112, 1295113, 342763]</t>
  </si>
  <si>
    <t>[342754, 1295112, 1295113]</t>
  </si>
  <si>
    <t>[0.8, 0.01, 0.544]</t>
  </si>
  <si>
    <t>29.715088081098585</t>
  </si>
  <si>
    <t>[-0.026, -0.025, -0.017]</t>
  </si>
  <si>
    <t>LINESTRING (5.722495560631133 58.95857633142982, 5.7224665928664615 58.95865606519879, 5.723136625635623 58.96059439913954, 5.723261229486085 58.9606611342038)</t>
  </si>
  <si>
    <t>[354566, 354574, 354582]</t>
  </si>
  <si>
    <t>[342764, 342772, 342780]</t>
  </si>
  <si>
    <t>[342763, 342764, 342772]</t>
  </si>
  <si>
    <t>[0.026, 0.025, 0.017]</t>
  </si>
  <si>
    <t>240.57734365713245</t>
  </si>
  <si>
    <t>[-0.154, 0.12]</t>
  </si>
  <si>
    <t>LINESTRING (5.722495560631133 58.95857633142982, 5.72231702000901 58.95862521613003, 5.722089509137824 58.95859903354717)</t>
  </si>
  <si>
    <t>[1418279, 1418287]</t>
  </si>
  <si>
    <t>[1295123, 342781]</t>
  </si>
  <si>
    <t>[342763, 1295123]</t>
  </si>
  <si>
    <t>[0.154, 0.12]</t>
  </si>
  <si>
    <t>25.375150394012906</t>
  </si>
  <si>
    <t>27.44892668134316</t>
  </si>
  <si>
    <t>[0.033, -0.01]</t>
  </si>
  <si>
    <t>LINESTRING (5.722853784152136 58.960740933013625, 5.7230254770969236 58.960657311594055, 5.723261229486085 58.9606611342038)</t>
  </si>
  <si>
    <t>[1418366, 1418384]</t>
  </si>
  <si>
    <t>[1295175, 342780]</t>
  </si>
  <si>
    <t>0.011522725759143386</t>
  </si>
  <si>
    <t>[342810, 1295175]</t>
  </si>
  <si>
    <t>[0.033, 0.01]</t>
  </si>
  <si>
    <t>27.774678922533024</t>
  </si>
  <si>
    <t>[-0.021, -0.025, -0.027]</t>
  </si>
  <si>
    <t>LINESTRING (5.722089509137824 58.95859903354717, 5.722185410408864 58.958675921514384, 5.722853842701424 58.960654455104894, 5.722853784152136 58.960740933013625)</t>
  </si>
  <si>
    <t>[354583, 354598, 354606]</t>
  </si>
  <si>
    <t>[342782, 342800, 342810]</t>
  </si>
  <si>
    <t>[342781, 342782, 342800]</t>
  </si>
  <si>
    <t>[0.021, 0.025, 0.027]</t>
  </si>
  <si>
    <t>244.50089377021166</t>
  </si>
  <si>
    <t>11.849919927836966</t>
  </si>
  <si>
    <t>[-0.005, -0.006, -0.005, 0.002]</t>
  </si>
  <si>
    <t>LINESTRING (5.723419215142863 58.96086901514604, 5.723419641771537 58.96095480512393, 5.72385602281977 58.961759285221106, 5.7239763745950665 58.96232791326609, 5.724045221021047 58.96242211902799)</t>
  </si>
  <si>
    <t>[354648, 354649, 354656, 354672]</t>
  </si>
  <si>
    <t>[342852, 342853, 342861, 342880]</t>
  </si>
  <si>
    <t>[342851, 342852, 342853, 342861]</t>
  </si>
  <si>
    <t>[0.005, 0.006, 0.005, 0.002]</t>
  </si>
  <si>
    <t>178.2888085782876</t>
  </si>
  <si>
    <t>[0.004, -0.014]</t>
  </si>
  <si>
    <t>LINESTRING (5.723419215142863 58.96086901514604, 5.723261782699633 58.96095224021874, 5.723085828902438 58.96096441632717)</t>
  </si>
  <si>
    <t>[1418327, 1418335]</t>
  </si>
  <si>
    <t>[1295152, 342895]</t>
  </si>
  <si>
    <t>[342851, 1295152]</t>
  </si>
  <si>
    <t>[0.004, 0.014]</t>
  </si>
  <si>
    <t>23.47579225804585</t>
  </si>
  <si>
    <t>0.054</t>
  </si>
  <si>
    <t>2.8502317449248107</t>
  </si>
  <si>
    <t>[-0.0, -0.005, -0.006, -0.006]</t>
  </si>
  <si>
    <t>LINESTRING (5.723085828902438 58.96096441632717, 5.723176923722682 58.9610190414814, 5.72362023935789 58.96177653561118, 5.723683365190764 58.96234488607654, 5.723680607068157 58.96241298675819)</t>
  </si>
  <si>
    <t>[354684, 354691, 354705, 354713]</t>
  </si>
  <si>
    <t>[342896, 342904, 342923, 342933]</t>
  </si>
  <si>
    <t>[342895, 342896, 342904, 342923]</t>
  </si>
  <si>
    <t>[0.0, 0.005, 0.006, 0.006]</t>
  </si>
  <si>
    <t>168.32945210326105</t>
  </si>
  <si>
    <t>[-0.0, 0.003, 0.012, 0.013]</t>
  </si>
  <si>
    <t>LINESTRING (5.6871550724597 58.978528890857085, 5.687121413839722 58.97858437769978, 5.687060052828549 58.97862851906639, 5.68689084302007 58.978681608463845, 5.686849424880514 58.97868528183199)</t>
  </si>
  <si>
    <t>[354747, 354760, 354761, 354765]</t>
  </si>
  <si>
    <t>[342975, 342991, 342992, 342997]</t>
  </si>
  <si>
    <t>0.007071780448707028</t>
  </si>
  <si>
    <t>[342974, 342975, 342991, 342992]</t>
  </si>
  <si>
    <t>[0.0, 0.003, 0.012, 0.013]</t>
  </si>
  <si>
    <t>26.415347505126203</t>
  </si>
  <si>
    <t>42.612238669452</t>
  </si>
  <si>
    <t>[0.018, -0.014, 0.003, -0.052, 0.432]</t>
  </si>
  <si>
    <t>LINESTRING (5.690288447767765 58.97614009468312, 5.690109758470306 58.976343304275424, 5.688087536381899 58.97795336021252, 5.687982763114684 58.97802890187322, 5.687267659529186 58.97846060421816, 5.6871550724597 58.978528890857085)</t>
  </si>
  <si>
    <t>[1419171, 1419179, 1419193, 1419201, 1419215]</t>
  </si>
  <si>
    <t>[1295833, 1295838, 1295849, 1295854, 342974]</t>
  </si>
  <si>
    <t>[1295043, 1295833, 1295838, 1295849, 1295854]</t>
  </si>
  <si>
    <t>[0.018, 0.014, 0.003, 0.052, 0.432]</t>
  </si>
  <si>
    <t>323.3672793520047</t>
  </si>
  <si>
    <t>47.97496262307913</t>
  </si>
  <si>
    <t>[-0.897, 0.056, -0.047, -0.021]</t>
  </si>
  <si>
    <t>LINESTRING (5.686849424880514 58.97868528183199, 5.686721546676986 58.978748581688265, 5.685037273073195 58.979513807624485, 5.682910316737207 58.98074731641236, 5.6827304770914235 58.98080665155543)</t>
  </si>
  <si>
    <t>[1419216, 1419217, 1419218, 1419220]</t>
  </si>
  <si>
    <t>[1295866, 1295867, 1295868, 1295062]</t>
  </si>
  <si>
    <t>[342997, 1295866, 1295867, 1295868]</t>
  </si>
  <si>
    <t>[0.897, 0.056, 0.047, 0.021]</t>
  </si>
  <si>
    <t>337.4997516317378</t>
  </si>
  <si>
    <t>[0.007, -0.005, -0.026, -0.031, -0.028]</t>
  </si>
  <si>
    <t>LINESTRING (5.68631787384942 58.97841491537682, 5.686346201917958 58.9783650607342, 5.686520256383342 58.97827269513266, 5.6865976515002785 58.97825909767118, 5.686666393163758 58.9782555543453, 5.686721958124197 58.978256947204486)</t>
  </si>
  <si>
    <t>[354788, 354821, 354822, 354823, 354824]</t>
  </si>
  <si>
    <t>[343022, 343061, 343062, 343063, 343064]</t>
  </si>
  <si>
    <t>[343009, 343022, 343061, 343062, 343063]</t>
  </si>
  <si>
    <t>[0.007, 0.005, 0.026, 0.031, 0.028]</t>
  </si>
  <si>
    <t>32.38573115188381</t>
  </si>
  <si>
    <t>[-0.012, 0.031, 0.463]</t>
  </si>
  <si>
    <t>LINESTRING (5.683252798970017 58.98036422114212, 5.683333668245217 58.98025342801774, 5.686202151799641 58.97847863587787, 5.68631787384942 58.97841491537682)</t>
  </si>
  <si>
    <t>[1419896, 1419904, 1419912]</t>
  </si>
  <si>
    <t>[1296341, 1296344, 343009]</t>
  </si>
  <si>
    <t>0.04388537384598721</t>
  </si>
  <si>
    <t>[1295750, 1296341, 1296344]</t>
  </si>
  <si>
    <t>[0.012, 0.031, 0.463]</t>
  </si>
  <si>
    <t>283.08030215315887</t>
  </si>
  <si>
    <t>[-0.567, 0.012, 0.023, 0.01, 0.008]</t>
  </si>
  <si>
    <t>LINESTRING (5.686721958124197 58.978256947204486, 5.686791857792001 58.97820349359478, 5.688129385301517 58.9773454772682, 5.688732355136601 58.97694183135454, 5.690222680408684 58.97588454108922, 5.690401009276546 58.97578686022147)</t>
  </si>
  <si>
    <t>[1419255, 1419263, 1419264, 1419267, 1419269]</t>
  </si>
  <si>
    <t>[1295892, 1295898, 1295899, 1295901, 1295765]</t>
  </si>
  <si>
    <t>0.0008108075012440544</t>
  </si>
  <si>
    <t>[343064, 1295892, 1295898, 1295899, 1295901]</t>
  </si>
  <si>
    <t>[0.567, 0.012, 0.023, 0.01, 0.008]</t>
  </si>
  <si>
    <t>348.40465551701953</t>
  </si>
  <si>
    <t>[-0.011, 0.01]</t>
  </si>
  <si>
    <t>LINESTRING (5.722227100940102 58.95197972699007, 5.7231372781832395 58.95215280758106, 5.723206813172739 58.95214662971097)</t>
  </si>
  <si>
    <t>[1418722, 355089]</t>
  </si>
  <si>
    <t>[343350, 343351]</t>
  </si>
  <si>
    <t>[1295470, 343350]</t>
  </si>
  <si>
    <t>68.56454912330935</t>
  </si>
  <si>
    <t>[-0.002, -0.014]</t>
  </si>
  <si>
    <t>LINESTRING (5.719080196012784 58.9531644640686, 5.7190720902845085 58.953237880300655, 5.719360959710245 58.95356297318455)</t>
  </si>
  <si>
    <t>[355451, 355452]</t>
  </si>
  <si>
    <t>[343718, 343719]</t>
  </si>
  <si>
    <t>[343717, 343718]</t>
  </si>
  <si>
    <t>[0.002, 0.014]</t>
  </si>
  <si>
    <t>49.46620980199996</t>
  </si>
  <si>
    <t>[0.029, 0.023, 0.025, 0.013, -0.008, -0.026, -0.028, -0.211]</t>
  </si>
  <si>
    <t>LINESTRING (5.718832837274931 58.953165448788944, 5.7188026212935945 58.95315018672732, 5.71876564134651 58.953117608784396, 5.718767869075005 58.9530497497188, 5.718879195993775 58.95298837296832, 5.719071188114508 58.95299955008804, 5.71915051301898 58.953061045350275, 5.719129220132743 58.95313523370786, 5.719080196012784 58.9531644640686)</t>
  </si>
  <si>
    <t>[1423298, 1423306, 1423314, 1423322, 1423330, 1423338, 1423346, 1423274]</t>
  </si>
  <si>
    <t>[1298529, 1056437, 1298541, 975216, 343661, 1298562, 343706, 343717]</t>
  </si>
  <si>
    <t>[1298446, 1298529, 1056437, 1298541, 975216, 343661, 1298562, 343706]</t>
  </si>
  <si>
    <t>[0.029, 0.023, 0.025, 0.013, 0.008, 0.026, 0.028, 0.211]</t>
  </si>
  <si>
    <t>56.336710610384195</t>
  </si>
  <si>
    <t>[-0.015, -0.002, 0.012, 0.046]</t>
  </si>
  <si>
    <t>LINESTRING (5.719360959710245 58.95356297318455, 5.719437689169844 58.95361036374798, 5.720422366838333 58.95414188323834, 5.721244167231368 58.95428839516559, 5.721377307143314 58.95427943473366)</t>
  </si>
  <si>
    <t>[355469, 355477, 355485, 355493]</t>
  </si>
  <si>
    <t>[343739, 343749, 343759, 343766]</t>
  </si>
  <si>
    <t>0.0047559079807118826</t>
  </si>
  <si>
    <t>[343719, 343739, 343749, 343759]</t>
  </si>
  <si>
    <t>[0.015, 0.002, 0.012, 0.046]</t>
  </si>
  <si>
    <t>148.23371479426433</t>
  </si>
  <si>
    <t>[-0.005, -0.03, -0.018, 0.012]</t>
  </si>
  <si>
    <t>LINESTRING (5.719360959710245 58.95356297318455, 5.719449525021219 58.953564490457886, 5.720827631431845 58.95419826727025, 5.721103768513799 58.95349294366079, 5.721166429846383 58.953450429703054)</t>
  </si>
  <si>
    <t>[1439717, 1418769, 1418770, 1418778]</t>
  </si>
  <si>
    <t>[1295511, 1295512, 1295513, 1295521]</t>
  </si>
  <si>
    <t>[343719, 1295511, 1295512, 1295513]</t>
  </si>
  <si>
    <t>[0.005, 0.03, 0.018, 0.012]</t>
  </si>
  <si>
    <t>216.61958425719226</t>
  </si>
  <si>
    <t>0.463</t>
  </si>
  <si>
    <t>5.055355378485489</t>
  </si>
  <si>
    <t>[-0.072, 0.239]</t>
  </si>
  <si>
    <t>LINESTRING (5.721398244284306 58.954424697209184, 5.7213517298514445 58.954358798800214, 5.721377307143314 58.95427943473366)</t>
  </si>
  <si>
    <t>[1418236, 1418240]</t>
  </si>
  <si>
    <t>[1295093, 343766]</t>
  </si>
  <si>
    <t>0.09414871558826073</t>
  </si>
  <si>
    <t>[1295087, 1295093]</t>
  </si>
  <si>
    <t>[0.072, 0.239]</t>
  </si>
  <si>
    <t>16.82767262049244</t>
  </si>
  <si>
    <t>[0.025, -0.175, 0.02, 0.023, 0.019, 0.016, 0.012, 0.089]</t>
  </si>
  <si>
    <t>LINESTRING (9.459707429534026 60.895763083209715, 9.459535262378346 60.895948094439156, 9.45953375730579 60.8959499493539, 9.459108678768908 60.896447942285725, 9.458986770639418 60.89657521245484, 9.458966442581918 60.896596162718964, 9.45842711994494 60.8970572783891, 9.458349779947245 60.89711547538954, 9.457926093013816 60.89742999806718)</t>
  </si>
  <si>
    <t>[355648, 355671, 355679, 355680, 355687, 355695, 355705, 355708]</t>
  </si>
  <si>
    <t>[343910, 343931, 343941, 343942, 343952, 343964, 343978, 343979]</t>
  </si>
  <si>
    <t>0.032919326113650414</t>
  </si>
  <si>
    <t>[343909, 343910, 343931, 343941, 343942, 343952, 343964, 343978]</t>
  </si>
  <si>
    <t>[0.025, 0.175, 0.02, 0.023, 0.019, 0.016, 0.012, 0.089]</t>
  </si>
  <si>
    <t>210.19119935914858</t>
  </si>
  <si>
    <t>[0.038, 0.024, 0.019, 0.03, 0.015, 0.066]</t>
  </si>
  <si>
    <t>LINESTRING (9.459707429534026 60.895763083209715, 9.4596038525998 60.89596182585424, 9.459236432655043 60.896476078258054, 9.459124728919573 60.89659566964443, 9.459105133387862 60.89661761320539, 9.458540618106936 60.897091648464304, 9.457926093013816 60.89742999806718)</t>
  </si>
  <si>
    <t>[355709, 355716, 355726, 355727, 355731, 355740]</t>
  </si>
  <si>
    <t>[343980, 343988, 344004, 344005, 344009, 343979]</t>
  </si>
  <si>
    <t>0.03263330284060652</t>
  </si>
  <si>
    <t>[343909, 343980, 343988, 344004, 344005, 344009]</t>
  </si>
  <si>
    <t>212.6812774581415</t>
  </si>
  <si>
    <t>[0.003, 0.016, 0.015, 0.013, 0.012, 0.368, -0.896, 0.302, -0.003, -0.043, -0.069, -0.063, -0.11, -0.051, 0.061, 0.089, 0.09, 0.041, 0.035, 0.051, 0.018, 0.015, -0.003, -0.006, 0.016, 0.001, 0.009, 0.055, 0.033, 0.007, 0.021, -0.006, -0.007, -0.034, -0.006, 0.048, 0.028, 0.022, 0.02, 0.018, 0.102, 0.042, -0.068, 0.041, -0.022, -0.064, -0.024, -0.014, 0.02, 0.017, 0.036]</t>
  </si>
  <si>
    <t>1486.0</t>
  </si>
  <si>
    <t>[0, 0, 1, 0, 0, 1, 1, 0, 0, 0, 0, 0, 0, 0, 0, 0, 0, 0, 0, 0, 0, 0, 0, 0, 0, 0, 0, 0, 0, 0, 0, 0, 0, 0, 0, 0, 0, 0, 0, 0, 0, 0, 0, 0, 0, 0, 0, 0, 0, 1, 0]</t>
  </si>
  <si>
    <t>LINESTRING (9.554342432599176 60.82290830729825, 9.55422458692227 60.82330012691013, 9.554199219279184 60.823451097943554, 9.554191517573514 60.82393522967288, 9.554278487749365 60.824450018757126, 9.554587488068302 60.82561074573994, 9.554602680665566 60.82687920758783, 9.554591826003863 60.82693682242656, 9.551192561323495 60.83074584357969, 9.516135552231042 60.85391898608405, 9.508567651104368 60.85657657406487, 9.508332335402041 60.8566277662004, 9.506548731172224 60.85701503550033, 9.50366099887042 60.85773557973949, 9.501777655561604 60.8587001055381, 9.500707727907171 60.86128196312624, 9.502294195867648 60.86298518699892, 9.502846421740815 60.86336576281416, 9.504070106948507 60.866596035449746, 9.503397973729342 60.86728200260353, 9.502576191716093 60.86793222305398, 9.500772414326423 60.86925236211845, 9.500078630460147 60.86973456942737, 9.497524851661797 60.87154114075074, 9.49639754204651 60.872487314183964, 9.495326379944467 60.87353235434637, 9.494801005917019 60.87411694088724, 9.49385612283356 60.87534409536194, 9.493515708723795 60.875860130984165, 9.49192512853023 60.87771299730987, 9.491776548542278 60.87784090633001, 9.49074748254595 60.87861692694741, 9.488967815245008 60.87983910765642, 9.488038550166875 60.88051346071916, 9.486821040768437 60.88144479410738, 9.48400854633625 60.8838410353142, 9.48341557388064 60.8843982201618, 9.480597460242102 60.887398404680745, 9.479922770095392 60.88822477527546, 9.479529581291658 60.888709345863454, 9.479328864817017 60.88895428727435, 9.478997931341537 60.88933115794891, 9.47766147081946 60.89052204420689, 9.475827549053925 60.891661299050426, 9.474511650561967 60.89228086652302, 9.473406973254491 60.89271228898826, 9.472888794536605 60.89289128854295, 9.471404962767583 60.89333362746938, 9.467669365647568 60.893943143594065, 9.462314916039947 60.894207560674396, 9.461876865241253 60.89432574517509, 9.459707429534026 60.895763083209715)</t>
  </si>
  <si>
    <t>[367438, 367446, 355805, 355813, 355814, 355821, 355831, 355852, 355783, 355792, 355800, 1848510, 1848516, 1848519, 1848535, 1848553, 1848561, 1848017, 1848022, 1848030, 1848038, 1848046, 1848054, 1848062, 1848070, 1848078, 1848086, 1848094, 1848100, 1848107, 1848115, 1848123, 1848131, 1848139, 1848147, 1848155, 1848163, 1848171, 1848179, 1848186, 1848195, 1848203, 1848211, 1848219, 1848227, 1848235, 1848243, 1848251, 1848259, 1848267, 1848275]</t>
  </si>
  <si>
    <t>[356144, 344098, 344099, 344111, 344112, 344119, 344133, 344068, 344069, 344080, 344092, 1618489, 1618494, 356434, 356537, 343887, 1618099, 1618100, 343885, 343886, 343879, 343880, 343875, 343866, 343874, 1618136, 343860, 343861, 343852, 1618156, 1618162, 343845, 343835, 343836, 343824, 343825, 343799, 343813, 343769, 1618211, 343770, 1618232, 343768, 1618246, 1618254, 1618261, 343764, 343763, 1618276, 1618284, 343909]</t>
  </si>
  <si>
    <t>0.02197202759501541</t>
  </si>
  <si>
    <t>[356143, 356144, 344098, 344099, 344111, 344112, 344119, 344133, 344068, 344069, 344080, 344092, 1618489, 1618494, 356434, 356537, 343887, 1618099, 1618100, 343885, 343886, 343879, 343880, 343875, 343866, 343874, 1618136, 343860, 343861, 343852, 1618156, 1618162, 343845, 343835, 343836, 343824, 343825, 343799, 343813, 343769, 1618211, 343770, 1618232, 343768, 1618246, 1618254, 1618261, 343764, 343763, 1618276, 1618284]</t>
  </si>
  <si>
    <t>[0.003, 0.016, 0.015, 0.013, 0.012, 0.368, 0.896, 0.302, 0.003, 0.043, 0.069, 0.063, 0.11, 0.051, 0.061, 0.089, 0.09, 0.041, 0.035, 0.051, 0.018, 0.015, 0.003, 0.006, 0.016, 0.001, 0.009, 0.055, 0.033, 0.007, 0.021, 0.006, 0.007, 0.034, 0.006, 0.048, 0.028, 0.022, 0.02, 0.018, 0.102, 0.042, 0.068, 0.041, 0.022, 0.064, 0.024, 0.014, 0.02, 0.017, 0.036]</t>
  </si>
  <si>
    <t>10366.276729583495</t>
  </si>
  <si>
    <t>0.218</t>
  </si>
  <si>
    <t>31.533978827100647</t>
  </si>
  <si>
    <t>[0.044, 0.046]</t>
  </si>
  <si>
    <t>LINESTRING (7.087998462508401 62.623171049875516, 7.087991930351672 62.623259563762105, 7.087786581747916 62.62364899594622)</t>
  </si>
  <si>
    <t>[355665, 355666]</t>
  </si>
  <si>
    <t>[343925, 343926]</t>
  </si>
  <si>
    <t>0.04563943461368879</t>
  </si>
  <si>
    <t>[343924, 343925]</t>
  </si>
  <si>
    <t>54.841497654782515</t>
  </si>
  <si>
    <t>[-0.005, 0.59]</t>
  </si>
  <si>
    <t>LINESTRING (7.088423281385854 62.62327969931626, 7.088187471561199 62.62326303147107, 7.087998462508401 62.623171049875516)</t>
  </si>
  <si>
    <t>[985650, 985651]</t>
  </si>
  <si>
    <t>[945715, 343924]</t>
  </si>
  <si>
    <t>0.31475787846898085</t>
  </si>
  <si>
    <t>[945705, 945715]</t>
  </si>
  <si>
    <t>[0.005, 0.59]</t>
  </si>
  <si>
    <t>26.96875153288187</t>
  </si>
  <si>
    <t>[-0.034, 0.085, 0.036, -0.067, -0.043, -0.028, -0.028, -0.032]</t>
  </si>
  <si>
    <t>7442.0</t>
  </si>
  <si>
    <t>[1, 1, 0, 0, 0, 0, 0, 0]</t>
  </si>
  <si>
    <t>LINESTRING (7.087786581747916 62.62364899594622, 7.087021728840382 62.62440325523388, 7.08674146596403 62.62468160061202, 7.081042380399289 62.6284039332155, 7.079678830999878 62.629004729855346, 7.078578757954115 62.62940504922949, 7.078439209065092 62.62945342239837, 7.0782811071886895 62.62950203965303, 7.074672736698842 62.630530750060025)</t>
  </si>
  <si>
    <t>[984226, 984234, 984242, 984250, 984258, 984266, 984274, 984282]</t>
  </si>
  <si>
    <t>[944558, 944567, 292913, 944581, 944587, 944592, 939230, 343936]</t>
  </si>
  <si>
    <t>0.001103636430244957</t>
  </si>
  <si>
    <t>[343926, 944558, 944567, 292913, 944581, 944587, 944592, 939230]</t>
  </si>
  <si>
    <t>[0.034, 0.085, 0.036, 0.067, 0.043, 0.028, 0.028, 0.032]</t>
  </si>
  <si>
    <t>1047.4452801492537</t>
  </si>
  <si>
    <t>[1.265, 0.044]</t>
  </si>
  <si>
    <t>LINESTRING (7.088423281385854 62.62327969931626, 7.088318985983808 62.623321328894136, 7.087786581747916 62.62364899594622)</t>
  </si>
  <si>
    <t>[2071819, 2071827]</t>
  </si>
  <si>
    <t>[1798675, 343926]</t>
  </si>
  <si>
    <t>0.20719041334185978</t>
  </si>
  <si>
    <t>[945705, 1798675]</t>
  </si>
  <si>
    <t>53.08774748461717</t>
  </si>
  <si>
    <t>[0.041, 0.036]</t>
  </si>
  <si>
    <t>LINESTRING (7.074672736698842 62.630530750060025, 7.0739330013898325 62.63064685957972, 7.073825037684197 62.63065539013521)</t>
  </si>
  <si>
    <t>[355674, 355675]</t>
  </si>
  <si>
    <t>[343937, 343938]</t>
  </si>
  <si>
    <t>0.040386723900761715</t>
  </si>
  <si>
    <t>[343936, 343937]</t>
  </si>
  <si>
    <t>45.90035341382631</t>
  </si>
  <si>
    <t>[0.049, 0.402]</t>
  </si>
  <si>
    <t>LINESTRING (7.074672736698842 62.630530750060025, 7.074100357107665 62.63079218919419, 7.074037502508731 62.630841755898224)</t>
  </si>
  <si>
    <t>[2072185, 2072193]</t>
  </si>
  <si>
    <t>[1798860, 945732]</t>
  </si>
  <si>
    <t>0.09603539042239573</t>
  </si>
  <si>
    <t>[343936, 1798860]</t>
  </si>
  <si>
    <t>48.08716071269892</t>
  </si>
  <si>
    <t>[0.225, 0.019]</t>
  </si>
  <si>
    <t>LINESTRING (7.073825037684197 62.63065539013521, 7.073977459971336 62.63072638107694, 7.074037502508731 62.630841755898224)</t>
  </si>
  <si>
    <t>[985720, 985733]</t>
  </si>
  <si>
    <t>[945769, 945732]</t>
  </si>
  <si>
    <t>0.11246088753404843</t>
  </si>
  <si>
    <t>[343938, 945769]</t>
  </si>
  <si>
    <t>24.561494972394883</t>
  </si>
  <si>
    <t>[0.038, -0.049, -0.04, -0.038]</t>
  </si>
  <si>
    <t>LINESTRING (7.073544541729201 62.63097738887856, 7.073433353823713 62.63095215028853, 7.073330470501466 62.630880882921566, 7.073315402324549 62.630760774985, 7.073825037684197 62.63065539013521)</t>
  </si>
  <si>
    <t>[985687, 985699, 985700, 985708]</t>
  </si>
  <si>
    <t>[945747, 945755, 324316, 343938]</t>
  </si>
  <si>
    <t>[344137, 945747, 945755, 324316]</t>
  </si>
  <si>
    <t>[0.038, 0.049, 0.04, 0.038]</t>
  </si>
  <si>
    <t>60.88626081162003</t>
  </si>
  <si>
    <t>[0.028, -0.194, -0.014, -0.003, -0.004, 0.008, -0.017, -0.052, 0.005, -0.021, -0.015, -0.029, 0.003, 0.009, -0.01, 0.019, 0.05, 0.031, -0.007, 0.021, 0.016, -0.055, -0.028, -0.022, -0.005, 0.066, 0.03, -0.005, -0.033, -0.04, -0.04, -0.026, -0.033, 0.012, -0.064, -0.077, -0.007, -0.026, -0.041, -0.017, 0.036, -0.001, 0.061, -0.004, -0.026, 0.031, -0.1, -0.14, -0.172, -0.199, -0.163, 0.022, -0.077, 0.085, 0.114, 0.117, 0.027, -0.058, -0.05, -0.043, 0.04, 0.048, 0.003, -0.019, -0.013, 0.002, -0.003, 0.003, -0.069, -0.076, -0.004, -0.022, -0.004, -0.064, -0.02, -0.018, -0.067, -0.012, -0.055, -0.028, 0.025, 0.002, -0.066, -0.068, -0.073, -0.042, 0.337, 0.023]</t>
  </si>
  <si>
    <t>3921.0</t>
  </si>
  <si>
    <t>LINESTRING (9.457926093013816 60.89742999806718, 9.455767221432582 60.89828647976593, 9.454978972093786 60.89846298724047, 9.45318770546834 60.89906265809849, 9.448652248434454 60.90188553238935, 9.447091799860122 60.902928190690034, 9.444940632735266 60.90445319611279, 9.442850832297866 60.905720403934794, 9.442803059197844 60.90574729913809, 9.4411684896565 60.90719742071778, 9.439700257490005 60.908643707119474, 9.439533612507718 60.90878256545806, 9.438391796748423 60.909611396447595, 9.437575817849048 60.9100285055526, 9.433591975287507 60.91258501333803, 9.430503091659178 60.91455149065256, 9.428985775137862 60.9155585002821, 9.426297905490035 60.91804249990546, 9.426082859101834 60.91817480772787, 9.42494037348634 60.91874435396627, 9.423860038305184 60.919281847993645, 9.42350109065077 60.919474716184716, 9.42237288133158 60.920079128426316, 9.419841554532736 60.921489366027465, 9.419636812578464 60.921616917903364, 9.417759164543892 60.92276120465035, 9.41769712523217 60.92279725573664, 9.415688955596607 60.923968780821525, 9.41488483006019 60.924435542416944, 9.414120354418587 60.92488635322671, 9.413935254066818 60.92498940504179, 9.410999967121692 60.9265440094823, 9.410627028051655 60.92676882082462, 9.410061152040559 60.92711384052846, 9.405473465094284 60.92932163309845, 9.405410151197916 60.929332496165635, 9.403382391971018 60.92959092948345, 9.402315364278838 60.92991504005906, 9.396309767056147 60.931735082086774, 9.392159926154427 60.93291455281101, 9.391608816052093 60.93302480258131, 9.388341203209869 60.93395411503936, 9.384821347602255 60.93499423702877, 9.38019490398434 60.93649724080934, 9.379740863976311 60.93662819468702, 9.376587439381778 60.93742423378337, 9.365424755555335 60.94153182485595, 9.361785380143452 60.942948649550665, 9.361676876647675 60.94298514839553, 9.36127567406733 60.94312015304588, 9.36103346077419 60.943199625499936, 9.359115984017983 60.943830011530075, 9.3535031863854 60.946141751190105, 9.351307960813605 60.9467888022286, 9.351177449556761 60.94683829256235, 9.350354579880817 60.947208330680795, 9.350223626331779 60.9472711143029, 9.341882139593073 60.95027026293712, 9.341367546021356 60.9503922276683, 9.339800780987062 60.950875562692694, 9.337651455015273 60.951727770718904, 9.335690603838117 60.95276693082464, 9.335181350463506 60.95301644915291, 9.334426032103737 60.953320163328705, 9.334346591232078 60.95334899246823, 9.331793306143345 60.95449803498277, 9.331742384567782 60.954530703473736, 9.331053608529098 60.95495363152585, 9.32849682816554 60.9564700770642, 9.32308907685794 60.95886745336503, 9.32219349858183 60.959159427424105, 9.31851877732185 60.96167802208551, 9.316155523391675 60.962883932826244, 9.315211084349544 60.96349909312635, 9.31297888943694 60.96411556599871, 9.311843736656089 60.96464378018983, 9.310836764525963 60.96513020948414, 9.308040297040645 60.96575274199035, 9.30665684659795 60.96635690261832, 9.305900138087972 60.966599357177536, 9.303610921686074 60.967597950913245, 9.30279127196492 60.96835490584854, 9.298240249183467 60.97021707850529, 9.298127370251713 60.970219121077065, 9.298037323576615 60.97022128624166, 9.297721729078038 60.9702143034604, 9.293767671289924 60.97047154685375, 9.293416038270736 60.97057878470053, 9.29234380048892 60.970955125809034)</t>
  </si>
  <si>
    <t>[1848276, 1848283, 235463, 235471, 235479, 235487, 235495, 235503, 235511, 235519, 235527, 235535, 235543, 235551, 235559, 235567, 235575, 235583, 235591, 235599, 235607, 265840, 265848, 265856, 265864, 265872, 265880, 265888, 265896, 265905, 265913, 265921, 265929, 265937, 265945, 265953, 265961, 265969, 265977, 265985, 265993, 266001, 266009, 266017, 266025, 266033, 266041, 266049, 266057, 266065, 266075, 266083, 266091, 266099, 266107, 266115, 266123, 266131, 266139, 266147, 266155, 266163, 266171, 266179, 266187, 266195, 266203, 266211, 266219, 266227, 266235, 266243, 266251, 266259, 266267, 266275, 266283, 266291, 266299, 266307, 266315, 266323, 266331, 266339, 266347, 266355, 1763604, 1763612]</t>
  </si>
  <si>
    <t>[343695, 238622, 184204, 238628, 188181, 184410, 238646, 238654, 238662, 238670, 238675, 238680, 238685, 238694, 197434, 184615, 238713, 122675, 227006, 184201, 191406, 263525, 263532, 226812, 226833, 263551, 263558, 263566, 263571, 263577, 263581, 263587, 263597, 263603, 122850, 263615, 263620, 187969, 263634, 263641, 197499, 182057, 188140, 188131, 197515, 190277, 263676, 263682, 197497, 197998, 263698, 187962, 189983, 263712, 263722, 189994, 263732, 223326, 194973, 194971, 263748, 196806, 223264, 263764, 263771, 263777, 263784, 194956, 263795, 263802, 194945, 263814, 181251, 187956, 194924, 263831, 181702, 122117, 122136, 187952, 225590, 263862, 263866, 263870, 263874, 263879, 1558518, 1558508]</t>
  </si>
  <si>
    <t>[343979, 343695, 238622, 184204, 238628, 188181, 184410, 238646, 238654, 238662, 238670, 238675, 238680, 238685, 238694, 197434, 184615, 238713, 122675, 227006, 184201, 191406, 263525, 263532, 226812, 226833, 263551, 263558, 263566, 263571, 263577, 263581, 263587, 263597, 263603, 122850, 263615, 263620, 187969, 263634, 263641, 197499, 182057, 188140, 188131, 197515, 190277, 263676, 263682, 197497, 197998, 263698, 187962, 189983, 263712, 263722, 189994, 263732, 223326, 194973, 194971, 263748, 196806, 223264, 263764, 263771, 263777, 263784, 194956, 263795, 263802, 194945, 263814, 181251, 187956, 194924, 263831, 181702, 122117, 122136, 187952, 225590, 263862, 263866, 263870, 263874, 263879, 1558518]</t>
  </si>
  <si>
    <t>[0.028, 0.194, 0.014, 0.003, 0.004, 0.008, 0.017, 0.052, 0.005, 0.021, 0.015, 0.029, 0.003, 0.009, 0.01, 0.019, 0.05, 0.031, 0.007, 0.021, 0.016, 0.055, 0.028, 0.022, 0.005, 0.066, 0.03, 0.005, 0.033, 0.04, 0.04, 0.026, 0.033, 0.012, 0.064, 0.077, 0.007, 0.026, 0.041, 0.017, 0.036, 0.001, 0.061, 0.004, 0.026, 0.031, 0.1, 0.14, 0.172, 0.199, 0.163, 0.022, 0.077, 0.085, 0.114, 0.117, 0.027, 0.058, 0.05, 0.043, 0.04, 0.048, 0.003, 0.019, 0.013, 0.002, 0.003, 0.003, 0.069, 0.076, 0.004, 0.022, 0.004, 0.064, 0.02, 0.018, 0.067, 0.012, 0.055, 0.028, 0.025, 0.002, 0.066, 0.068, 0.073, 0.042, 0.337, 0.023]</t>
  </si>
  <si>
    <t>12455.155610659021</t>
  </si>
  <si>
    <t>[-0.002, -0.072]</t>
  </si>
  <si>
    <t>LINESTRING (7.073973835612962 62.63091996964949, 7.073779128325197 62.63097240173496, 7.073544541729201 62.63097738887856)</t>
  </si>
  <si>
    <t>[985678, 985686]</t>
  </si>
  <si>
    <t>[945739, 344137]</t>
  </si>
  <si>
    <t>[945733, 945739]</t>
  </si>
  <si>
    <t>[0.002, 0.072]</t>
  </si>
  <si>
    <t>23.662331660700374</t>
  </si>
  <si>
    <t>17.401321657189406</t>
  </si>
  <si>
    <t>[-0.008, -0.006, -0.003, 0.001, 0.07, 0.035, 0.089]</t>
  </si>
  <si>
    <t>LINESTRING (10.445140597601412 59.72598955597613, 10.445026184562066 59.7260048990427, 10.444271163813493 59.72603037686114, 10.442966676351416 59.72612272177065, 10.435384267140874 59.72737838689075, 10.433020880084616 59.72825478817147, 10.41962270951301 59.73532773252502, 10.418551548396097 59.73565787626339)</t>
  </si>
  <si>
    <t>[355991, 355998, 355999, 356007, 356015, 356031, 356033]</t>
  </si>
  <si>
    <t>[344360, 344366, 344367, 344373, 344380, 344393, 344396]</t>
  </si>
  <si>
    <t>0.029527828586244517</t>
  </si>
  <si>
    <t>[344359, 344360, 344366, 344367, 344373, 344380, 344393]</t>
  </si>
  <si>
    <t>[0.008, 0.006, 0.003, 0.001, 0.07, 0.035, 0.089]</t>
  </si>
  <si>
    <t>1922.248413269073</t>
  </si>
  <si>
    <t>[0.014, 0.015]</t>
  </si>
  <si>
    <t>LINESTRING (10.445114548070917 59.72614154274477, 10.44508261716405 59.72606218866254, 10.445140597601412 59.72598955597613)</t>
  </si>
  <si>
    <t>[1423627, 1423635]</t>
  </si>
  <si>
    <t>[1298685, 344359]</t>
  </si>
  <si>
    <t>0.01449163948255162</t>
  </si>
  <si>
    <t>[344397, 1298685]</t>
  </si>
  <si>
    <t>17.753080863501992</t>
  </si>
  <si>
    <t>[-0.083, 0.051, 0.074]</t>
  </si>
  <si>
    <t>LINESTRING (10.418551548396097 59.73565787626339, 10.41674081569046 59.73643213349667, 10.415238852329137 59.737455401547585, 10.41349305478542 59.73871058475694)</t>
  </si>
  <si>
    <t>[1422778, 1422786, 1422794]</t>
  </si>
  <si>
    <t>[1298133, 1298140, 1297863]</t>
  </si>
  <si>
    <t>0.019682535760787365</t>
  </si>
  <si>
    <t>[344396, 1298133, 1298140]</t>
  </si>
  <si>
    <t>[0.083, 0.051, 0.074]</t>
  </si>
  <si>
    <t>447.14168374364374</t>
  </si>
  <si>
    <t>[0.002, -0.002, -0.001, 0.001, 0.064, 0.035, 0.109]</t>
  </si>
  <si>
    <t>LINESTRING (10.445114548070917 59.72614154274477, 10.444988752874531 59.72611794358619, 10.444274191142865 59.726081610926364, 10.442976830931629 59.726174176680395, 10.435438778551145 59.72742786152892, 10.433107514338296 59.728300130515635, 10.419675366723254 59.735381951851934, 10.418551548396097 59.73565787626339)</t>
  </si>
  <si>
    <t>[356035, 356043, 356049, 356056, 356060, 356078, 356083]</t>
  </si>
  <si>
    <t>[344398, 344411, 344417, 344424, 344427, 344445, 344396]</t>
  </si>
  <si>
    <t>0.029963984423272617</t>
  </si>
  <si>
    <t>[344397, 344398, 344411, 344417, 344424, 344427, 344445]</t>
  </si>
  <si>
    <t>[0.002, 0.002, 0.001, 0.001, 0.064, 0.035, 0.109]</t>
  </si>
  <si>
    <t>1918.0639851824126</t>
  </si>
  <si>
    <t>[-0.011, -0.039, -0.06, -0.034]</t>
  </si>
  <si>
    <t>LINESTRING (10.445617539203077 59.72603130835786, 10.445631737146348 59.72608396468724, 10.445590685976097 59.726149990800884, 10.445486001653157 59.72619941638225, 10.445114548070917 59.72614154274477)</t>
  </si>
  <si>
    <t>[1423595, 1423603, 1423611, 1423619]</t>
  </si>
  <si>
    <t>[1298675, 1298678, 1298680, 344397]</t>
  </si>
  <si>
    <t>[1298674, 1298675, 1298678, 1298680]</t>
  </si>
  <si>
    <t>[0.011, 0.039, 0.06, 0.034]</t>
  </si>
  <si>
    <t>45.83118834297452</t>
  </si>
  <si>
    <t>[0.012, 0.033, 0.043]</t>
  </si>
  <si>
    <t>9981.0</t>
  </si>
  <si>
    <t>LINESTRING (7.1778023032144755 62.73706643358164, 7.179279417240791 62.7371646389379, 7.179561708165154 62.73718631500706, 7.179865180332264 62.73721740719075)</t>
  </si>
  <si>
    <t>[984508, 984509, 984510]</t>
  </si>
  <si>
    <t>[944790, 944791, 344521]</t>
  </si>
  <si>
    <t>0.019489050553136298</t>
  </si>
  <si>
    <t>[344430, 944790, 944791]</t>
  </si>
  <si>
    <t>107.00844205734047</t>
  </si>
  <si>
    <t>[0.012, 0.014, 0.014, -0.214]</t>
  </si>
  <si>
    <t>LINESTRING (7.1750960982995 62.73687571528548, 7.175293494216895 62.736879511908434, 7.176484203575782 62.736938279157854, 7.1777294868521 62.73705277933703, 7.1778023032144755 62.73706643358164)</t>
  </si>
  <si>
    <t>[654777, 1298149, 1298157, 1298165]</t>
  </si>
  <si>
    <t>[646654, 1210115, 1210122, 344430]</t>
  </si>
  <si>
    <t>0.007326493672463911</t>
  </si>
  <si>
    <t>[646653, 646654, 1210115, 1210122]</t>
  </si>
  <si>
    <t>[0.012, 0.014, 0.014, 0.214]</t>
  </si>
  <si>
    <t>140.65662249002315</t>
  </si>
  <si>
    <t>[-0.047, 0.007, 0.017, 0.019]</t>
  </si>
  <si>
    <t>LINESTRING (7.175050518235475 62.73692830211114, 7.1752811188259 62.73693381506763, 7.176468630307324 62.736988197651335, 7.177723928372395 62.73706656452048, 7.1778023032144755 62.73706643358164)</t>
  </si>
  <si>
    <t>[654809, 356039, 356062, 356063]</t>
  </si>
  <si>
    <t>[344405, 344406, 344429, 344430]</t>
  </si>
  <si>
    <t>0.007413744248670818</t>
  </si>
  <si>
    <t>[646677, 344405, 344406, 344429]</t>
  </si>
  <si>
    <t>[0.047, 0.007, 0.017, 0.019]</t>
  </si>
  <si>
    <t>141.85538497335153</t>
  </si>
  <si>
    <t>[0.022, 0.071, 0.06, 0.066, 0.084, 0.093, 0.121, 0.084, 0.101]</t>
  </si>
  <si>
    <t>LINESTRING (7.179865180332264 62.73721740719075, 7.1809182035029036 62.73751432835242, 7.181005075650754 62.73754976821938, 7.181103277639672 62.73759416314349, 7.181147425656752 62.73761412489501, 7.181594411364035 62.73804903332065, 7.181595719027222 62.73844212057046, 7.181587080783783 62.73846548905037, 7.181483350204614 62.73858388741429, 7.181435957126278 62.738626907616826)</t>
  </si>
  <si>
    <t>[356155, 356163, 356171, 356179, 356187, 356195, 356203, 356211, 356219]</t>
  </si>
  <si>
    <t>[328189, 344526, 344533, 344539, 344545, 344551, 344557, 344561, 344569]</t>
  </si>
  <si>
    <t>0.06573090357842554</t>
  </si>
  <si>
    <t>[344521, 328189, 344526, 344533, 344539, 344545, 344551, 344557, 344561]</t>
  </si>
  <si>
    <t>200.22880070964672</t>
  </si>
  <si>
    <t>[-0.003, 0.046, 0.061, 0.053, 0.077, 0.093, 0.084, 0.096, -0.04]</t>
  </si>
  <si>
    <t>LINESTRING (7.179865180332264 62.73721740719075, 7.181023266998723 62.73745671391596, 7.181132199296991 62.73749841566908, 7.181229369565136 62.73754705748883, 7.181271486658487 62.73756991971461, 7.181724356361362 62.73803418036254, 7.181725750133036 62.73845135009462, 7.181720785948634 62.738474220358775, 7.181697825281306 62.738610046178614, 7.181673025998946 62.738706791649015)</t>
  </si>
  <si>
    <t>[1298262, 1298263, 1298279, 1298287, 1298295, 1298303, 1298311, 1298319, 1298327]</t>
  </si>
  <si>
    <t>[328190, 1210212, 1159185, 1210237, 1210247, 1210257, 1210262, 1210271, 945782]</t>
  </si>
  <si>
    <t>0.04948293630399353</t>
  </si>
  <si>
    <t>[344521, 328190, 1210212, 1159185, 1210237, 1210247, 1210257, 1210262, 1210271]</t>
  </si>
  <si>
    <t>[0.003, 0.046, 0.061, 0.053, 0.077, 0.093, 0.084, 0.096, 0.04]</t>
  </si>
  <si>
    <t>217.2712524713569</t>
  </si>
  <si>
    <t>[-0.327, 0.047]</t>
  </si>
  <si>
    <t>LINESTRING (7.181435957126278 62.738626907616826, 7.181592794625223 62.73865185191609, 7.181673025998946 62.738706791649015)</t>
  </si>
  <si>
    <t>[985790, 985791]</t>
  </si>
  <si>
    <t>[945819, 945782]</t>
  </si>
  <si>
    <t>[344569, 945819]</t>
  </si>
  <si>
    <t>[0.327, 0.047]</t>
  </si>
  <si>
    <t>15.88157682129401</t>
  </si>
  <si>
    <t>[-1.634, 0.009, -0.04, -0.047, -0.077, -0.068, 0.796]</t>
  </si>
  <si>
    <t>LINESTRING (7.181537143259122 62.738819509357185, 7.1815043668347265 62.73882689743294, 7.181371221741033 62.738824631909075, 7.181243572232241 62.73876497038001, 7.181228647201703 62.738738694241704, 7.181259470806027 62.73868090254869, 7.181371963718568 62.73863116705536, 7.181435957126278 62.738626907616826)</t>
  </si>
  <si>
    <t>[985749, 985750, 985757, 985765, 985773, 985781, 985783]</t>
  </si>
  <si>
    <t>[945791, 945792, 327943, 324344, 945803, 945810, 344569]</t>
  </si>
  <si>
    <t>[344663, 945791, 945792, 327943, 324344, 945803, 945810]</t>
  </si>
  <si>
    <t>[1.634, 0.009, 0.04, 0.047, 0.077, 0.068, 0.796]</t>
  </si>
  <si>
    <t>39.260579908588035</t>
  </si>
  <si>
    <t>[0.007, -0.011, 0.007, -0.004]</t>
  </si>
  <si>
    <t>LINESTRING (7.181537143259122 62.738819509357185, 7.1816511206648155 62.73882837251325, 7.181708120271731 62.73883280015343, 7.182037354367301 62.738856611358315, 7.182663689000579 62.738917566828476)</t>
  </si>
  <si>
    <t>[356331, 356339, 356347, 356355]</t>
  </si>
  <si>
    <t>[344664, 344670, 344678, 344688]</t>
  </si>
  <si>
    <t>[344663, 344664, 344670, 344678]</t>
  </si>
  <si>
    <t>[0.007, 0.011, 0.007, 0.004]</t>
  </si>
  <si>
    <t>58.84774833537908</t>
  </si>
  <si>
    <t>[0.077, 0.576]</t>
  </si>
  <si>
    <t>LINESTRING (7.181676612605153 62.738722370440016, 7.181633177934577 62.738780385664924, 7.181537143259122 62.738819509357185)</t>
  </si>
  <si>
    <t>[985739, 985744]</t>
  </si>
  <si>
    <t>[945784, 344663]</t>
  </si>
  <si>
    <t>0.321469543838328</t>
  </si>
  <si>
    <t>[945783, 945784]</t>
  </si>
  <si>
    <t>13.424318883628228</t>
  </si>
  <si>
    <t>[-0.023, 0.001, -0.037, 0.024]</t>
  </si>
  <si>
    <t>17602.0</t>
  </si>
  <si>
    <t>LINESTRING (7.182663689000579 62.738917566828476, 7.184935208411663 62.739295438511064, 7.186557760256689 62.73956861882946, 7.189811059984617 62.739725553574715, 7.190290320057347 62.73972334257579)</t>
  </si>
  <si>
    <t>[1313137, 1313145, 1313167, 1313168]</t>
  </si>
  <si>
    <t>[1221018, 1221026, 339980, 344790]</t>
  </si>
  <si>
    <t>[344688, 1221018, 1221026, 339980]</t>
  </si>
  <si>
    <t>[0.023, 0.001, 0.037, 0.024]</t>
  </si>
  <si>
    <t>405.273085139099</t>
  </si>
  <si>
    <t>[0.384, 0.034, 0.015, 0.075]</t>
  </si>
  <si>
    <t>LINESTRING (7.181676612605153 62.738722370440016, 7.181754660957112 62.73873080124929, 7.181793675458051 62.7387350160952, 7.18209557947365 62.73879402734027, 7.182663689000579 62.738917566828476)</t>
  </si>
  <si>
    <t>[1298415, 1298423, 1298431, 1298439]</t>
  </si>
  <si>
    <t>[1210356, 1210362, 1210370, 344688]</t>
  </si>
  <si>
    <t>0.07818445581390267</t>
  </si>
  <si>
    <t>[945783, 1210356, 1210362, 1210370]</t>
  </si>
  <si>
    <t>55.36154960728082</t>
  </si>
  <si>
    <t>[-0.046, -0.048, -0.055, -0.046, -0.05, -0.048, -0.047, -0.023, 0.024, 0.026, 0.024, 0.018, 0.018, 0.018, 0.019, 0.018, 0.018, 0.018, 0.018, 0.017, -0.02]</t>
  </si>
  <si>
    <t>LINESTRING (7.190290320057347 62.73972334257579, 7.191211581310407 62.7397485804991, 7.191954271156171 62.73974880234984, 7.191998002418951 62.73974860325097, 7.1921142405305085 62.73974809019285, 7.19224938977643 62.73974815605372, 7.192440788972975 62.73974829829588, 7.1925633187709295 62.73974750490509, 7.193701909993748 62.73975148579064, 7.193994663226754 62.73975351921734, 7.194387845566087 62.7397550017341, 7.196206006651402 62.73975719157636, 7.196225563683321 62.739757264675326, 7.197737177782003 62.739759342309874, 7.197849333148511 62.73976041930709, 7.19791707142948 62.739759908125905, 7.198008776975855 62.73975931005168, 7.1981681174017975 62.73975866410823, 7.198220250750459 62.73975823757386, 7.198340609671276 62.73975665002443, 7.19841460926212 62.73975567619403, 7.200043859841296 62.73972697554895)</t>
  </si>
  <si>
    <t>[356443, 356451, 356459, 356467, 356475, 356483, 356491, 356499, 356507, 356515, 356523, 356531, 356539, 356547, 356555, 356563, 356571, 356579, 356587, 356595, 356603]</t>
  </si>
  <si>
    <t>[344791, 344798, 344806, 344817, 344828, 328297, 344841, 344850, 344860, 344870, 344878, 344886, 344895, 344904, 344918, 344929, 327245, 344946, 344957, 344968, 344977]</t>
  </si>
  <si>
    <t>[344790, 344791, 344798, 344806, 344817, 344828, 328297, 344841, 344850, 344860, 344870, 344878, 344886, 344895, 344904, 344918, 344929, 327245, 344946, 344957, 344968]</t>
  </si>
  <si>
    <t>[0.046, 0.048, 0.055, 0.046, 0.05, 0.048, 0.047, 0.023, 0.024, 0.026, 0.024, 0.018, 0.018, 0.018, 0.019, 0.018, 0.018, 0.018, 0.018, 0.017, 0.02]</t>
  </si>
  <si>
    <t>500.37694650786</t>
  </si>
  <si>
    <t>[0.168, 0.0, 0.004, 0.003, 0.003, 0.003, 0.003, 0.005, 0.003, 0.003, 0.002, -0.003, -0.003, -0.003, -0.003, -0.003, -0.003, -0.003, -0.003, -0.14]</t>
  </si>
  <si>
    <t>LINESTRING (7.190290320057347 62.73972334257579, 7.19121069911746 62.73969852630701, 7.19195269591223 62.739690542283284, 7.1919963707659065 62.73968988880912, 7.192134187275649 62.73968783877187, 7.192248603941722 62.739688848185, 7.192440746207939 62.73969004273229, 7.192562951827489 62.739688987566026, 7.193698507921228 62.73969549720887, 7.19399245084679 62.73969549446114, 7.194387186629918 62.73969682920811, 7.196212449910173 62.73970019218771, 7.196232098623899 62.73970021626386, 7.197749546666498 62.73969787303589, 7.1978227547335045 62.73969595285907, 7.197924342758468 62.73969733283526, 7.198015403594152 62.739698124606214, 7.198201900954637 62.73969804826856, 7.198343902008012 62.739695422711435, 7.198415682738163 62.73969695103781, 7.200043859841296 62.73972697554895)</t>
  </si>
  <si>
    <t>[1295587, 1295595, 1295603, 1295611, 1295619, 1295627, 1295635, 1295643, 1295651, 1295659, 1295667, 1295675, 1295683, 1295691, 1295699, 1295707, 1295715, 1295723, 1295731, 1295739]</t>
  </si>
  <si>
    <t>[1207986, 1207996, 1208002, 1159332, 1208015, 328292, 1208029, 1208038, 1208043, 1208050, 1208060, 1208068, 1208074, 1208079, 634597, 1208094, 327244, 1208106, 1208116, 344977]</t>
  </si>
  <si>
    <t>[344790, 1207986, 1207996, 1208002, 1159332, 1208015, 328292, 1208029, 1208038, 1208043, 1208050, 1208060, 1208068, 1208074, 1208079, 634597, 1208094, 327244, 1208106, 1208116]</t>
  </si>
  <si>
    <t>[0.168, 0.0, 0.004, 0.003, 0.003, 0.003, 0.003, 0.005, 0.003, 0.003, 0.002, 0.003, 0.003, 0.003, 0.003, 0.003, 0.003, 0.003, 0.003, 0.14]</t>
  </si>
  <si>
    <t>499.975735421275</t>
  </si>
  <si>
    <t>[-0.071, -0.015, -0.015, -0.005, -0.0, -0.005, -0.009, 0.001, 0.004, 0.007, -0.009, 0.015]</t>
  </si>
  <si>
    <t>7264.0</t>
  </si>
  <si>
    <t>LINESTRING (7.200043859841296 62.73972697554895, 7.20074922999231 62.73974078665388, 7.20155911407952 62.739769563157196, 7.2042037017700915 62.74001314559953, 7.207050802611023 62.7402373482402, 7.209149210662848 62.74034126013482, 7.209168727364349 62.740341708171556, 7.211180289552173 62.7403829436628, 7.211746221914329 62.74039509416413, 7.214540716752588 62.7405137181925, 7.215583376343918 62.74058503263768, 7.215845060265692 62.74060408543112, 7.21736922097683 62.740711075632426)</t>
  </si>
  <si>
    <t>[1313176, 1313183, 1313201, 1313202, 1313221, 1313229, 1313237, 1313238, 1313240, 1313248, 1313256, 1313264]</t>
  </si>
  <si>
    <t>[1221049, 1221054, 288439, 1221065, 1221078, 1221083, 935105, 1221092, 231817, 1221098, 446867, 345153]</t>
  </si>
  <si>
    <t>[344977, 1221049, 1221054, 288439, 1221065, 1221078, 1221083, 935105, 1221092, 231817, 1221098, 446867]</t>
  </si>
  <si>
    <t>[0.071, 0.015, 0.015, 0.005, 0.0, 0.005, 0.009, 0.001, 0.004, 0.007, 0.009, 0.015]</t>
  </si>
  <si>
    <t>895.2042852833831</t>
  </si>
  <si>
    <t>[0.01, 0.008, 0.012, 0.014, 0.007, 0.025, 0.006, -0.016, -0.005]</t>
  </si>
  <si>
    <t>LINESTRING (7.21736922097683 62.740711075632426, 7.2182478461128605 62.74078875912707, 7.221044062605145 62.741014868817686, 7.22207222487652 62.741159170348176, 7.222184747105911 62.74117923471577, 7.222260713936671 62.74119290456784, 7.2222972593628345 62.74119829675272, 7.225403634835158 62.74168543724525, 7.225422130200879 62.74168833480298, 7.225728414869532 62.74171718772051)</t>
  </si>
  <si>
    <t>[356756, 356764, 356772, 356788, 356796, 356804, 356812, 356820, 356828]</t>
  </si>
  <si>
    <t>[345154, 345163, 345173, 345188, 327366, 345203, 345212, 345220, 345228]</t>
  </si>
  <si>
    <t>0.007572025760465927</t>
  </si>
  <si>
    <t>[345153, 345154, 345163, 345173, 345188, 327366, 345203, 345212, 345220]</t>
  </si>
  <si>
    <t>[0.01, 0.008, 0.012, 0.014, 0.007, 0.025, 0.006, 0.016, 0.005]</t>
  </si>
  <si>
    <t>443.8578113755006</t>
  </si>
  <si>
    <t>[0.206, -0.007, -0.004, -0.002, -0.008, 0.021, -0.008, -0.023, -0.209]</t>
  </si>
  <si>
    <t>LINESTRING (7.21736922097683 62.740711075632426, 7.218259922294487 62.74075311871198, 7.221064713846913 62.74095641460281, 7.222094997141318 62.74109797353302, 7.222203723432469 62.74111684286336, 7.22231355502402 62.74113451027917, 7.2223317355991385 62.74113688539162, 7.22542760185885 62.741651523311326, 7.225446080169721 62.74165441089322, 7.225728414869532 62.74171718772051)</t>
  </si>
  <si>
    <t>[1295827, 1295835, 1295843, 1295859, 1295867, 1295875, 1295883, 1295891, 1295899]</t>
  </si>
  <si>
    <t>[1208195, 1208201, 1208208, 1208222, 327365, 1208235, 1208239, 1208246, 345228]</t>
  </si>
  <si>
    <t>0.007762660586947807</t>
  </si>
  <si>
    <t>[345153, 1208195, 1208201, 1208208, 1208222, 327365, 1208235, 1208239, 1208246]</t>
  </si>
  <si>
    <t>[0.206, 0.007, 0.004, 0.002, 0.008, 0.021, 0.008, 0.023, 0.209]</t>
  </si>
  <si>
    <t>445.0620790092446</t>
  </si>
  <si>
    <t>[-0.137, 0.052]</t>
  </si>
  <si>
    <t>LINESTRING (7.225728414869532 62.74171718772051, 7.226468807668948 62.74183263107349, 7.228244093988201 62.742114383130755)</t>
  </si>
  <si>
    <t>[1313279, 1313282]</t>
  </si>
  <si>
    <t>[1221125, 345325]</t>
  </si>
  <si>
    <t>[345228, 1221125]</t>
  </si>
  <si>
    <t>[0.137, 0.052]</t>
  </si>
  <si>
    <t>136.2152879074315</t>
  </si>
  <si>
    <t>[-0.003, -0.002, -0.001, -0.006, -0.004, -0.005, -0.013, 0.007, 0.005]</t>
  </si>
  <si>
    <t>LINESTRING (7.228244093988201 62.742114383130755, 7.23009814519378 62.742433060759325, 7.231014513101841 62.742579961884374, 7.231167256287885 62.74260592857599, 7.231271878679208 62.74262182782134, 7.231398345511184 62.74263934809173, 7.2316437101371465 62.742670348652204, 7.231661836050831 62.742672936014785, 7.23379051748455 62.743000438037434, 7.235142164578606 62.74319284563179)</t>
  </si>
  <si>
    <t>[356924, 356932, 356940, 356948, 356956, 356964, 356973, 356981, 356989]</t>
  </si>
  <si>
    <t>[345326, 345335, 345340, 345348, 325851, 345360, 345365, 345371, 345378]</t>
  </si>
  <si>
    <t>0.001650745486030566</t>
  </si>
  <si>
    <t>[345325, 345326, 345335, 345340, 345348, 325851, 345360, 345365, 345371]</t>
  </si>
  <si>
    <t>[0.003, 0.002, 0.001, 0.006, 0.004, 0.005, 0.013, 0.007, 0.005]</t>
  </si>
  <si>
    <t>373.48511878167074</t>
  </si>
  <si>
    <t>[0.006, -0.004, -0.006, -0.005, -0.006, -0.005, -0.008, -0.001, 0.009]</t>
  </si>
  <si>
    <t>LINESTRING (7.228244093988201 62.742114383130755, 7.230129607480561 62.74237041556493, 7.231043132377337 62.74251102208169, 7.231198376813538 62.74253169542483, 7.231335684501758 62.742548248594574, 7.231439694625062 62.74256333759766, 7.231685543669759 62.74259711737602, 7.231708884915745 62.74260081599432, 7.2338267750706535 62.742960041367176, 7.235142164578606 62.74319284563179)</t>
  </si>
  <si>
    <t>[1295995, 1296003, 1296011, 1296019, 1296027, 1296035, 1296043, 1296051, 1296059]</t>
  </si>
  <si>
    <t>[1208344, 1208350, 1208356, 1208363, 325850, 1208373, 1208381, 1208390, 345378]</t>
  </si>
  <si>
    <t>0.00199971615564744</t>
  </si>
  <si>
    <t>[345325, 1208344, 1208350, 1208356, 1208363, 325850, 1208373, 1208381, 1208390]</t>
  </si>
  <si>
    <t>[0.006, 0.004, 0.006, 0.005, 0.006, 0.005, 0.008, 0.001, 0.009]</t>
  </si>
  <si>
    <t>373.5342358924701</t>
  </si>
  <si>
    <t>[-0.035, 0.034]</t>
  </si>
  <si>
    <t>LINESTRING (7.235142164578606 62.74319284563179, 7.235850048866371 62.74330184471474, 7.238678221678187 62.74374747015391)</t>
  </si>
  <si>
    <t>[1313293, 1313294]</t>
  </si>
  <si>
    <t>[1221136, 1115691]</t>
  </si>
  <si>
    <t>0.02021306780807605</t>
  </si>
  <si>
    <t>[345378, 1221136]</t>
  </si>
  <si>
    <t>191.3222188854688</t>
  </si>
  <si>
    <t>[-0.039, -0.025, -0.033, -0.032, 0.152, -2.344]</t>
  </si>
  <si>
    <t>LINESTRING (10.46423489475599 63.419773131988855, 10.464209634883305 63.419824930291284, 10.464528282692827 63.42010274081463, 10.467153805621509 63.421506861633766, 10.469155220519244 63.42244261128337, 10.469279354052384 63.42252457289165, 10.469289693670778 63.422531402116974)</t>
  </si>
  <si>
    <t>[357063, 357071, 572198, 572213, 626262, 626270]</t>
  </si>
  <si>
    <t>[345442, 345451, 579817, 579827, 622902, 621565]</t>
  </si>
  <si>
    <t>[345441, 345442, 345451, 579817, 579827, 622902]</t>
  </si>
  <si>
    <t>[0.039, 0.025, 0.033, 0.032, 0.152, 2.344]</t>
  </si>
  <si>
    <t>403.09171446340275</t>
  </si>
  <si>
    <t>[0.031, -0.005, -0.024, -0.017, -0.041]</t>
  </si>
  <si>
    <t>LINESTRING (10.463908506370322 63.419640559784824, 10.464118577024038 63.419604077734334, 10.464230532062185 63.41962831739276, 10.464287540492322 63.41966535888936, 10.464298977443267 63.4196827346693, 10.46423489475599 63.419773131988855)</t>
  </si>
  <si>
    <t>[357120, 357121, 357128, 357136, 357103]</t>
  </si>
  <si>
    <t>[345507, 345508, 345519, 345488, 345441]</t>
  </si>
  <si>
    <t>[345478, 345507, 345508, 345519, 345488]</t>
  </si>
  <si>
    <t>[0.031, 0.005, 0.024, 0.017, 0.041]</t>
  </si>
  <si>
    <t>35.831334676121195</t>
  </si>
  <si>
    <t>[-0.021, -0.015, -0.011, 0.003, 0.028]</t>
  </si>
  <si>
    <t>LINESTRING (10.459504416296266 63.41808150543758, 10.459707694882368 63.41814102508576, 10.46215408971992 63.41910884656091, 10.463690695974933 63.419634543621235, 10.463814652249551 63.41964521906683, 10.463908506370322 63.419640559784824)</t>
  </si>
  <si>
    <t>[626206, 572174, 357079, 357087, 357095]</t>
  </si>
  <si>
    <t>[579798, 345460, 345461, 345467, 345478]</t>
  </si>
  <si>
    <t>[621546, 579798, 345460, 345461, 345467]</t>
  </si>
  <si>
    <t>[0.021, 0.015, 0.011, 0.003, 0.028]</t>
  </si>
  <si>
    <t>283.12063910208883</t>
  </si>
  <si>
    <t>5942.0</t>
  </si>
  <si>
    <t>LINESTRING (7.267909332350908 62.74888080700154, 7.546122095000506 62.79572554987923)</t>
  </si>
  <si>
    <t>20545.3820902328</t>
  </si>
  <si>
    <t>[0.001, -0.006, -0.01, -0.01, -0.016, -0.009, 0.007, 0.018, 0.021, 0.016, 0.039, 0.019, 0.045]</t>
  </si>
  <si>
    <t>[0, 0, 0, 1, 1, 0, 0, 0, 0, 0, 0, 0, 0]</t>
  </si>
  <si>
    <t>LINESTRING (7.25919373823189 62.747822847893936, 7.259290040800228 62.7478507163869, 7.26015480293265 62.748001312376154, 7.260477188453724 62.7480363731377, 7.261024524175444 62.748095770551025, 7.26108366970829 62.74810215130314, 7.262081760754863 62.74820781084829, 7.264527181721087 62.74847452022308, 7.265953793872059 62.748629677444576, 7.266185814708591 62.74865595873266, 7.266400619566317 62.74868103388758, 7.266442180030958 62.748685373984856, 7.267350041187984 62.748787199297716, 7.267909332350908 62.74888080700154)</t>
  </si>
  <si>
    <t>[1597309, 1597310, 1296331, 1296339, 1296347, 1296355, 1296363, 1296371, 1296379, 1296387, 1296395, 1296403, 1296411]</t>
  </si>
  <si>
    <t>[1435287, 1208609, 1208610, 1208616, 1208622, 1208628, 1208633, 1208637, 327824, 1208646, 1208650, 1208654, 345690]</t>
  </si>
  <si>
    <t>0.008203656346905832</t>
  </si>
  <si>
    <t>[1435166, 1435287, 1208609, 1208610, 1208616, 1208622, 1208628, 1208633, 1208637, 327824, 1208646, 1208650, 1208654]</t>
  </si>
  <si>
    <t>[0.001, 0.006, 0.01, 0.01, 0.016, 0.009, 0.007, 0.018, 0.021, 0.016, 0.039, 0.019, 0.045]</t>
  </si>
  <si>
    <t>462.65406776055363</t>
  </si>
  <si>
    <t>[-0.015, -0.023, -0.006, -0.007, -0.006, 0.011, 0.02, 0.026, 0.028, 0.004, 0.023, 0.009]</t>
  </si>
  <si>
    <t>LINESTRING (7.2591062052141435 62.748014541991935, 7.259214393482723 62.748008138512404, 7.260123792014132 62.74805664176011, 7.260387836474419 62.7480871257253, 7.260998352310712 62.74815253219832, 7.262050084339412 62.748270385733406, 7.264496042305087 62.748538587024086, 7.265923131153723 62.74869441151101, 7.266155171505915 62.74872091950059, 7.266375360337788 62.7487453542878, 7.266416801198022 62.748749326824566, 7.267324652886751 62.74883833823286, 7.267909332350908 62.74888080700154)</t>
  </si>
  <si>
    <t>[1597353, 1597354, 357221, 357229, 357237, 357245, 357253, 357261, 357269, 357277, 357285, 357294]</t>
  </si>
  <si>
    <t>[1435317, 345624, 345625, 345632, 345640, 345648, 345658, 327825, 345673, 345678, 345683, 345690]</t>
  </si>
  <si>
    <t>0.006769170707197805</t>
  </si>
  <si>
    <t>[1435176, 1435317, 345624, 345625, 345632, 345640, 345648, 345658, 327825, 345673, 345678, 345683]</t>
  </si>
  <si>
    <t>[0.015, 0.023, 0.006, 0.007, 0.006, 0.011, 0.02, 0.026, 0.028, 0.004, 0.023, 0.009]</t>
  </si>
  <si>
    <t>461.81232310244496</t>
  </si>
  <si>
    <t>[0.063, 0.056, 0.109, 1.195]</t>
  </si>
  <si>
    <t>LINESTRING (7.998370348983225 63.012148009229044, 7.999634314158578 63.01199374684377, 8.00075733187651 63.01177934999207, 8.000925730796553 63.01174318802476, 8.000999268737091 63.011725884111456)</t>
  </si>
  <si>
    <t>[357326, 357334, 357342, 1254998]</t>
  </si>
  <si>
    <t>[345724, 345735, 345740, 1173462]</t>
  </si>
  <si>
    <t>0.09644629768229487</t>
  </si>
  <si>
    <t>[345723, 345724, 345735, 345740]</t>
  </si>
  <si>
    <t>142.18346187252544</t>
  </si>
  <si>
    <t>[0.103, 0.087, 0.084, 0.092]</t>
  </si>
  <si>
    <t>LINESTRING (7.998370348983225 63.012148009229044, 7.999576209026239 63.011924128573334, 8.00068627584875 63.01170682563106, 8.000834409667657 63.0116779590687, 8.000996416033379 63.01164288556832)</t>
  </si>
  <si>
    <t>[1296739, 1296747, 1296755, 1254991]</t>
  </si>
  <si>
    <t>[1208899, 1208904, 1173489, 1173457]</t>
  </si>
  <si>
    <t>0.09446025246792636</t>
  </si>
  <si>
    <t>[345723, 1208899, 1208904, 1173489]</t>
  </si>
  <si>
    <t>144.7424469518317</t>
  </si>
  <si>
    <t>[0.03, 0.035, 0.043, 0.115, 0.063, -0.092, -0.06, -0.015, -0.038, -0.019, -0.077, -0.076, -0.007, -0.033, -0.013, 0.0, 0.006, 0.087, 0.028, 0.038, -0.008, 0.058, 0.004, 0.027, 0.055, 0.045, 0.023, 0.015, 0.008, -0.043, -0.028, -0.054, -0.106, -0.153, -0.07, -0.042, -0.051, 0.015, 0.01, -0.003, 0.001, -0.026, 0.013, 0.04]</t>
  </si>
  <si>
    <t>2979.0</t>
  </si>
  <si>
    <t>[0, 0, 0, 0, 0, 1, 0, 0, 0, 0, 1, 0, 0, 0, 1, 1, 1, 0, 0, 1, 0, 0, 0, 0, 0, 0, 0, 1, 0, 0, 0, 0, 0, 0, 0, 0, 0, 0, 0, 0, 0, 0, 1, 0]</t>
  </si>
  <si>
    <t>LINESTRING (7.7880812904613625 62.975442135813765, 7.788289755882469 62.97514959870858, 7.788633618288448 62.974731196956846, 7.788754878171045 62.974615374134316, 7.79055500082464 62.973731757587146, 7.807974393294091 62.97148083093613, 7.808175441960653 62.971437011728774, 7.816272253758736 62.96981342976505, 7.816407364059243 62.969815436855974, 7.816519052524839 62.96981624712468, 7.8569399401485835 62.97623820728516, 7.857260503250543 62.976256293008234, 7.8584401239983865 62.976349564656715, 7.869486509486725 62.9819935877578, 7.869291145772571 62.98310984256325, 7.874472921000867 62.98711489304026, 7.875039406426065 62.98739271057418, 7.880435737910472 62.98932389310981, 7.8825158102537936 62.99012014113857, 7.882791444507452 62.9903159003303, 7.882850058279756 62.990365389899665, 7.90203626971522 62.99230227659439, 7.90363946430682 62.99208331770489, 7.922668078704858 62.99527262256995, 7.945435590155981 63.00002731978539, 7.945519663790661 63.00005785981428, 7.945578640279169 63.000079532563454, 7.946800854545552 63.000576571260865, 7.947190656926355 63.000756593328774, 7.957677422482457 63.00551921730349, 7.958009213640858 63.005617506732506, 7.962999495322658 63.00842606573411, 7.963522064394896 63.008790987931754, 7.96447244307451 63.00934037888077, 7.964612404154314 63.00941157269024, 7.968469817012731 63.01066442272753, 7.970436677080551 63.01097665807214, 7.97060027732491 63.01099677263917, 7.970718313298886 63.01101129422392, 7.9746656495185535 63.011476886529465, 7.974808900858499 63.01149305954643, 7.974904016218458 63.01150352172498, 7.982841529163726 63.01276332714905, 7.990925342524177 63.01209486933513, 7.998370348983225 63.012148009229044)</t>
  </si>
  <si>
    <t>[973856, 973857, 973865, 973866, 1315358, 1315359, 1315365, 1315374, 1315381, 1315389, 1315390, 1315397, 1315405, 1315431, 1315432, 1315433, 1315434, 1315442, 1315472, 1315480, 1315488, 1315496, 1315504, 1315512, 1315541, 1315576, 1315581, 1315596, 1324666, 1324681, 1324692, 1324707, 1324708, 1324709, 1324716, 1324717, 1324723, 1324726, 1324743, 1324757, 1324765, 1324773, 1324783, 1324796]</t>
  </si>
  <si>
    <t>[936220, 936221, 936228, 936229, 1222987, 1222988, 1222995, 1223003, 1223002, 1223013, 1223014, 1223023, 1223032, 1223061, 1223062, 1223063, 1223064, 1223073, 1223102, 1223108, 1223116, 1223121, 1223128, 1159120, 1223166, 1223198, 1223202, 1223216, 1230883, 736466, 443478, 1230918, 1230919, 1230920, 1230925, 1230926, 1230931, 1210322, 1230947, 1230954, 1230964, 1230968, 1230978, 345723]</t>
  </si>
  <si>
    <t>0.0008868474658369848</t>
  </si>
  <si>
    <t>[936216, 936220, 936221, 936228, 936229, 1222987, 1222988, 1222995, 1223003, 1223002, 1223013, 1223014, 1223023, 1223032, 1223061, 1223062, 1223063, 1223064, 1223073, 1223102, 1223108, 1223116, 1223121, 1223128, 1159120, 1223166, 1223198, 1223202, 1223216, 1230883, 736466, 443478, 1230918, 1230919, 1230920, 1230925, 1230926, 1230931, 1210322, 1230947, 1230954, 1230964, 1230968, 1230978]</t>
  </si>
  <si>
    <t>[0.03, 0.035, 0.043, 0.115, 0.063, 0.092, 0.06, 0.015, 0.038, 0.019, 0.077, 0.076, 0.007, 0.033, 0.013, 0.0, 0.006, 0.087, 0.028, 0.038, 0.008, 0.058, 0.004, 0.027, 0.055, 0.045, 0.023, 0.015, 0.008, 0.043, 0.028, 0.054, 0.106, 0.153, 0.07, 0.042, 0.051, 0.015, 0.01, 0.003, 0.001, 0.026, 0.013, 0.04]</t>
  </si>
  <si>
    <t>12914.417476042585</t>
  </si>
  <si>
    <t>[0.014, -0.043, -0.025, -0.039, -0.032, -0.024, -0.005, -0.044, -0.093, -0.093, -0.074, 0.012, 0.086, 0.061, 0.023, 0.041, 0.039, 0.059, 0.047, 0.034, 0.003, -0.026, -0.041, -0.025, -0.02, -0.012, 0.034, -0.023, -0.024, -0.008, -0.005, 0.002, 0.004, 0.036, 0.074, -0.014, 0.02, -0.004, -0.064, -0.034, 0.014, 0.014, 0.012, -0.021, -0.025, 0.042, 0.046, 0.046, 0.035, 0.009, -0.024, -0.025, 0.021, 0.014, -0.012, 0.037, 0.063, -0.001, 0.046, 0.1, 0.015, 0.031, 0.111, -0.171, -0.026, 0.035, -0.011, -0.033, -0.049, -0.059, -0.082, -0.081, -0.083, -0.078, -0.072, -0.064, -0.063, -0.028, 0, 0, 0.057, 0.06, 0.061, 0.05, 0.046, 0.008, -0.002, 0.012, 0.059, 0.052, 0.04, 0.035, 0.033, 0.028, 0.043, 0.045, 0.039, 0.021, -0.005, -0.012, -0.02, -0.026, -0.046, -0.036, -0.063, -0.063, -0.035, -0.019, -0.001, 0.012, -0.004, -0.002, 0.024, 0.011, -0.006, 0.024, 0.007, 0.001, -0.017, -0.032, 0.01, 0.019, 0.031, -0.005, -0.046, 0.002, 0.011, 0.007, 0.025, 0.028, 0.026, 0.023, 0.074, 0.056, 0.038, 0.034, 0.071, 0.076, 0.072]</t>
  </si>
  <si>
    <t>1837.0</t>
  </si>
  <si>
    <t>[0, 0, 0, 0, 0, 0, 0, 0, 0, 0, 0, 0, 0, 0, 0, 0, 0, 0, 0, 0, 0, 0, 0, 0, 0, 0, 0, 0, 0, 0, 0, 0, 0, 0, 0, 0, 0, 0, 0, 0, 0, 0, 0, 0, 0, 0, 0, 0, 0, 0, 0, 0, 0, 0, 0, 0, 0, 0, 0, 0, 0, 0, 0, 0, 0, 0, 0, 0, 0, 0, 0, 0, 0, 0, 0, 0, 0, 0, 0, 0, 0, 0, 0, 0, 0, 0, 0, 0, 0, 0, 0, 0, 0, 0, 0, 0, 0, 0, 0, 0, 0, 0, 0, 0, 0, 0, 0, 0, 0, 0, 0, 0, 0, 0, 1, 0, 0, 0, 0, 0, 1, 0, 0, 0, 0, 0, 1, 0, 0, 0, 1, 0, 0, 0, 0, 0, 0, 0, 0]</t>
  </si>
  <si>
    <t>LINESTRING (8.00129102394081 63.01199658504202, 8.001387862645949 63.01214380871035, 8.00141970027181 63.01219713738, 8.001455638639676 63.01226384077406, 8.001520168271588 63.012376346171, 8.001560388196744 63.01244644464563, 8.00157984557539 63.01247876595801, 8.002938788126396 63.01408753673715, 8.003073510285889 63.014765531221904, 8.003052940240647 63.01507898694015, 8.003060116813502 63.015175037415695, 8.00316533757399 63.015497457799654, 8.007214874722921 63.01759889145123, 8.007329784084119 63.01763506851078, 8.008143895755712 63.01798227353636, 8.008749525083854 63.01837798931224, 8.011646062254393 63.019549829100264, 8.012912174190216 63.02015663255531, 8.0136325138585 63.02145587552896, 8.013652686660706 63.021487526808464, 8.014195150460965 63.022070653769084, 8.014947393714468 63.02271405327035, 8.015541157839401 63.02317822496815, 8.01644458020658 63.023744084252925, 8.017699781842643 63.02443235507681, 8.018528487555749 63.024942676698714, 8.023650081491821 63.02879569308918, 8.023996635953527 63.02929856242503, 8.027014577009313 63.03046061229826, 8.029796723461777 63.031732195366246, 8.030810886175782 63.032330448258, 8.031488847521208 63.03272727887983, 8.032128577860748 63.03337277646674, 8.032221773420572 63.033553721644154, 8.032660012286673 63.034387111474224, 8.033343145287258 63.034816638967385, 8.040545684994338 63.035469887328, 8.041589646547406 63.03630563053252, 8.042249776025978 63.036867188846706, 8.043652718736395 63.0382477018637, 8.045274513244703 63.03911601424999, 8.045379040536323 63.039164064899204, 8.045673168854014 63.03934535133037, 8.046075707259318 63.03960742098998, 8.046913328971122 63.040411529205834, 8.047919114535805 63.04255888062228, 8.048643684077815 63.042722092841736, 8.048876779965463 63.042754830206, 8.049480715057886 63.04280093840867, 8.052003343922172 63.042884542557, 8.056258493787551 63.043470475198575, 8.060423906136574 63.044352481367554, 8.063483511221547 63.04482240201464, 8.065297873309156 63.0448724896197, 8.069000966375413 63.04534763807855, 8.071662574774246 63.0459960277541, 8.077579667738073 63.04816865778179, 8.078341201650693 63.04840574279913, 8.086365781960225 63.04961590278675, 8.092478902578607 63.050684591062215, 8.093604799605954 63.05080430622538, 8.094326317951655 63.05080376625897, 8.09592863506923 63.05077600838907, 8.099818875807763 63.050991079349735, 8.102544079176159 63.05042567958344, 8.102684812722362 63.05041759470747, 8.103586471961007 63.05050561356465, 8.110814470391183 63.05158224892272, 8.110993795777027 63.05160890603527, 8.113611209234994 63.05200241716654, 8.117854265037318 63.05198539316182, 8.11942896941933 63.05189168755705, 8.121052914157872 63.05189807572644, 8.122163287266309 63.05200084478507, 8.122388861176027 63.05205600933221, 8.122532339104591 63.05209828941263, 8.124180669123286 63.052860495312395, 8.124269442858692 63.0529107770288, 8.124934346867489 63.05318878444232, 8.17660073541605 63.05943007269409, 8.2273199653394 63.06834793432413, 8.2276185391221 63.068383280217084, 8.227910376106925 63.0684108847119, 8.228018018296854 63.06841955926654, 8.228552224593855 63.06842943748982, 8.228780813272845 63.06842571328889, 8.2301868433445 63.06829920133084, 8.230404454608573 63.06826817167439, 8.232192438753438 63.06809719315599, 8.233277292099395 63.068226755073646, 8.235653636520544 63.06874335168968, 8.236488766605582 63.06891740856095, 8.237319826429152 63.06908944446282, 8.239285501489238 63.069489643747964, 8.240795676172736 63.06980112271427, 8.240850686940837 63.06981243789704, 8.243689577459042 63.070396233883805, 8.24471833753117 63.0706103537523, 8.250947110846411 63.07180179391236, 8.251600290436889 63.0718534408809, 8.253899019713485 63.071973631343866, 8.255651347716098 63.07206012443306, 8.26068548394782 63.07227570409594, 8.261666771612761 63.07231096860068, 8.264884144136277 63.07243090701617, 8.265506419315878 63.072454778442975, 8.267114988119776 63.072504964944706, 8.272694860476495 63.072190371791386, 8.277073155138867 63.07196494861391, 8.281248504199104 63.07175489537971, 8.283326819106685 63.07169891561524, 8.283882086904521 63.071734655081414, 8.296955669066449 63.073081289796455, 8.298664694708094 63.07327034072412, 8.299177268728775 63.07338276103181, 8.299274430135382 63.07341035611038, 8.30409721205783 63.07373399084887, 8.305557511823759 63.0738212131587, 8.311857576592034 63.07520465427064, 8.319985046574034 63.07618044014868, 8.322138002821365 63.07674430867528, 8.3222761160052 63.07679788561446, 8.328200072301213 63.07884267762175, 8.329313554816673 63.078986314662814, 8.331983548195925 63.07956756036444, 8.333551723000413 63.08006905991636, 8.338251742211991 63.08128775344092, 8.338393233442194 63.081338949128536, 8.347211136701555 63.08403299651475, 8.348524998277242 63.08448456544727, 8.348723006490717 63.084615017201955, 8.349044874187248 63.084939900354314, 8.349150316180294 63.08599601851971, 8.350166470152148 63.08705224981452, 8.35056086956551 63.087195853846744, 8.350977273809313 63.08731036022448, 8.352377492179093 63.087648368815984, 8.352912428476788 63.08779873855777, 8.353267494085955 63.087908050659244, 8.353433005144517 63.0879621626898)</t>
  </si>
  <si>
    <t>[1324816, 1324827, 1324844, 1324856, 1324879, 1324887, 1324890, 1324891, 1324892, 1324899, 1324902, 1324903, 1324914, 1324922, 1324936, 1324944, 1324952, 1324954, 1324955, 1324957, 1324972, 1324990, 1325006, 1325034, 1325040, 1325041, 1325048, 1325056, 1325074, 1325094, 1325095, 1325096, 1325103, 1325104, 1325105, 1325111, 1325127, 1325130, 1325131, 1325132, 1325140, 1325148, 1325156, 1325157, 1325167, 1325175, 1325183, 1325205, 1325213, 1325214, 1325223, 1325237, 1325238, 1325245, 1325254, 1325255, 1325258, 1325266, 984512, 984531, 984532, 984538, 984565, 984573, 984574, 984609, 984610, 984611, 984619, 984623, 984639, 984649, 984657, 984664, 984677, 984683, 984696, 984703, 984711, 984719, 1325359, 1325364, 1325381, 1325402, 1325403, 1325422, 1325435, 1325459, 1325465, 1325466, 1325473, 1325474, 1325481, 1325489, 1325497, 1325498, 1325513, 1325532, 1325538, 1325554, 1325557, 1325565, 1325573, 1325580, 1325588, 1325596, 1325604, 1325605, 1325610, 1325611, 1325642, 1325643, 1325658, 1325661, 1325697, 1325710, 1325740, 1325750, 1325751, 1325763, 1325764, 1325771, 1325779, 1325787, 1325804, 1325812, 1325834, 1325859, 1325867, 1325877, 1325893, 1325901, 1325909, 1325910, 1325918, 1325926, 1325933, 1325941, 1325948]</t>
  </si>
  <si>
    <t>[1223033, 1231011, 1231027, 1231038, 1231057, 1231063, 1046486, 1046487, 453638, 926166, 1231074, 1231075, 1231086, 1231095, 1231106, 443896, 1231122, 1231123, 445257, 445234, 1231135, 295641, 1231166, 1231193, 1231198, 445258, 445265, 1231208, 1231226, 295521, 445280, 1231243, 1231252, 1231253, 1231254, 1231261, 1231276, 1231279, 1231280, 1231281, 1231291, 1231299, 1231308, 444377, 1231317, 458952, 1231328, 1231350, 458934, 458944, 1231364, 457651, 1231378, 1231385, 1231394, 1231395, 941620, 944794, 944795, 323868, 323893, 944817, 944837, 944845, 323885, 323876, 944874, 944875, 944880, 944883, 944896, 944905, 295980, 944917, 944928, 944936, 944949, 944955, 944964, 944970, 291887, 1231481, 1231494, 1231509, 1231510, 1231531, 1231542, 1208830, 1231568, 1231569, 1231573, 1174979, 319282, 319347, 1231590, 1174827, 1231599, 1208474, 1231616, 1231626, 736724, 736478, 1231636, 736359, 736464, 1231649, 1231655, 1231656, 639083, 1231662, 1231688, 1231689, 1174958, 1231701, 1231726, 320117, 1231756, 652958, 1231765, 1231774, 1231775, 929195, 1035644, 1231796, 321514, 1231814, 1231835, 1231864, 1231874, 1231887, 1231899, 942167, 1231912, 1231913, 1231923, 989878, 1231934, 1231943, 345756]</t>
  </si>
  <si>
    <t>0.00013375944940564066</t>
  </si>
  <si>
    <t>[345748, 1223033, 1231011, 1231027, 1231038, 1231057, 1231063, 1046486, 1046487, 453638, 926166, 1231074, 1231075, 1231086, 1231095, 1231106, 443896, 1231122, 1231123, 445257, 445234, 1231135, 295641, 1231166, 1231193, 1231198, 445258, 445265, 1231208, 1231226, 295521, 445280, 1231243, 1231252, 1231253, 1231254, 1231261, 1231276, 1231279, 1231280, 1231281, 1231291, 1231299, 1231308, 444377, 1231317, 458952, 1231328, 1231350, 458934, 458944, 1231364, 457651, 1231378, 1231385, 1231394, 1231395, 941620, 944794, 944795, 323868, 323893, 944817, 944837, 944845, 323885, 323876, 944874, 944875, 944880, 944883, 944896, 944905, 295980, 944917, 944928, 944936, 944949, 944955, 944964, 944970, 291887, 1231481, 1231494, 1231509, 1231510, 1231531, 1231542, 1208830, 1231568, 1231569, 1231573, 1174979, 319282, 319347, 1231590, 1174827, 1231599, 1208474, 1231616, 1231626, 736724, 736478, 1231636, 736359, 736464, 1231649, 1231655, 1231656, 639083, 1231662, 1231688, 1231689, 1174958, 1231701, 1231726, 320117, 1231756, 652958, 1231765, 1231774, 1231775, 929195, 1035644, 1231796, 321514, 1231814, 1231835, 1231864, 1231874, 1231887, 1231899, 942167, 1231912, 1231913, 1231923, 989878, 1231934, 1231943]</t>
  </si>
  <si>
    <t>[0.014, 0.043, 0.025, 0.039, 0.032, 0.024, 0.005, 0.044, 0.093, 0.093, 0.074, 0.012, 0.086, 0.061, 0.023, 0.041, 0.039, 0.059, 0.047, 0.034, 0.003, 0.026, 0.041, 0.025, 0.02, 0.012, 0.034, 0.023, 0.024, 0.008, 0.005, 0.002, 0.004, 0.036, 0.074, 0.014, 0.02, 0.004, 0.064, 0.034, 0.014, 0.014, 0.012, 0.021, 0.025, 0.042, 0.046, 0.046, 0.035, 0.009, 0.024, 0.025, 0.021, 0.014, 0.012, 0.037, 0.063, 0.001, 0.046, 0.1, 0.015, 0.031, 0.111, 0.171, 0.026, 0.035, 0.011, 0.033, 0.049, 0.059, 0.082, 0.081, 0.083, 0.078, 0.072, 0.064, 0.063, 0.028, inf, inf, 0.057, 0.06, 0.061, 0.05, 0.046, 0.008, 0.002, 0.012, 0.059, 0.052, 0.04, 0.035, 0.033, 0.028, 0.043, 0.045, 0.039, 0.021, 0.005, 0.012, 0.02, 0.026, 0.046, 0.036, 0.063, 0.063, 0.035, 0.019, 0.001, 0.012, 0.004, 0.002, 0.024, 0.011, 0.006, 0.024, 0.007, 0.001, 0.017, 0.032, 0.01, 0.019, 0.031, 0.005, 0.046, 0.002, 0.011, 0.007, 0.025, 0.028, 0.026, 0.023, 0.074, 0.056, 0.038, 0.034, 0.071, 0.076, 0.072]</t>
  </si>
  <si>
    <t>15871.70985129375</t>
  </si>
  <si>
    <t>[0.079, 0.063, -0.109]</t>
  </si>
  <si>
    <t>LINESTRING (8.000996416033379 63.01164288556832, 8.001134501527417 63.01169407705001, 8.001161376643399 63.01171684172115, 8.00129102394081 63.01199658504202)</t>
  </si>
  <si>
    <t>[1255035, 1255009, 1296763]</t>
  </si>
  <si>
    <t>[1173458, 1173501, 345748]</t>
  </si>
  <si>
    <t>[1173457, 1173458, 1173501]</t>
  </si>
  <si>
    <t>[0.079, 0.063, 0.109]</t>
  </si>
  <si>
    <t>44.39289589122458</t>
  </si>
  <si>
    <t>[-1.751, 0.055]</t>
  </si>
  <si>
    <t>LINESTRING (8.000999268737091 63.011725884111456, 8.001022488232037 63.011745951893815, 8.00129102394081 63.01199658504202)</t>
  </si>
  <si>
    <t>[1255032, 357350]</t>
  </si>
  <si>
    <t>[345747, 345748]</t>
  </si>
  <si>
    <t>[1173462, 345747]</t>
  </si>
  <si>
    <t>[1.751, 0.055]</t>
  </si>
  <si>
    <t>33.63669308196395</t>
  </si>
  <si>
    <t>[0.086, 1.478]</t>
  </si>
  <si>
    <t>LINESTRING (8.353433005144517 63.0879621626898, 8.35406625124535 63.08822568706812, 8.35410531359338 63.08824652191604)</t>
  </si>
  <si>
    <t>[357358, 1303790]</t>
  </si>
  <si>
    <t>[345757, 1214393]</t>
  </si>
  <si>
    <t>0.17727192202138142</t>
  </si>
  <si>
    <t>[345756, 345757]</t>
  </si>
  <si>
    <t>46.523920642176485</t>
  </si>
  <si>
    <t>[0.174, 0.022, 0.058]</t>
  </si>
  <si>
    <t>LINESTRING (8.353433005144517 63.0879621626898, 8.354190599965618 63.08814445969344, 8.354262126072642 63.08814969317036, 8.354305069838993 63.08824258309108)</t>
  </si>
  <si>
    <t>[1296771, 1303798, 1303806]</t>
  </si>
  <si>
    <t>[1208920, 954828, 1214388]</t>
  </si>
  <si>
    <t>0.14302168230091225</t>
  </si>
  <si>
    <t>[345756, 1208920, 954828]</t>
  </si>
  <si>
    <t>57.628267370292164</t>
  </si>
  <si>
    <t>[0.064, 0.027, 0.029, 0.025, 0.016, 0.013, -0.01, -0.036, -0.01, -0.014, -0.034, -0.024, -0.004, 0.019, -0.06, -0.018, -0.003, -0.035, -0.039, 0.053, 0.025, 0.001, 0.021, 0.087, 0.021, 0.02, 0.058, 0.115, 0.125, 0.141, 0.196, 0.025, 0.024, 0.024, 0.023, 0.018, 0.026, 0.057, 0.026, 0.023, 0.017, 0.007, 0.004, 0.005, -0.001, -0.031, -0.035, -0.025, 0.009, -0.003, -0.002, -0.003, -0.041, -0.069, -0.032, -0.039, -0.015, 0.003, 0.032, 0.072, 0.054, 0.045, -0.012, -0.007, 0.031, -0.024, -0.065, 0.004, 0.031, -0.012, -0.031, -0.014, 0.014, 0.017, 0.042, 0.048, -0.003, -0.029, -0.006, -0.029, -0.007, -0.029, 0.089, 0.004, -0.043, 0.011, 0.028, 0.034, -0.002, 0.019, 0.05, 0.031, 0.015, -0.027, -0.091, -0.09, 0.023, 0.087, -0.027, -0.011, -0.025, 0.025, -0.024, 0.008, 0.062, 0.001, -0.038, -0.067, -0.022, 0.006, -0.011, -0.003, 0.027, 0.1, 0.1, 0.095, 0.093, 0.035, -0.045, -0.045, -0.031, -0.095, 0.007, 0.096, 0.007]</t>
  </si>
  <si>
    <t>1247.0</t>
  </si>
  <si>
    <t>[0, 0, 0, 0, 0, 0, 0, 0, 0, 0, 0, 0, 0, 0, 0, 0, 0, 0, 0, 0, 0, 0, 0, 0, 0, 0, 0, 0, 0, 0, 0, 0, 0, 0, 0, 0, 0, 0, 0, 0, 0, 0, 0, 0, 0, 0, 0, 0, 0, 0, 0, 0, 0, 0, 0, 0, 0, 0, 0, 0, 1, 0, 0, 0, 0, 0, 0, 0, 0, 0, 0, 0, 0, 0, 0, 0, 0, 0, 0, 0, 0, 0, 1, 0, 0, 0, 0, 1, 0, 0, 0, 0, 0, 0, 0, 0, 0, 0, 0, 0, 0, 0, 1, 0, 0, 0, 0, 0, 0, 1, 0, 0, 1, 0, 0, 0, 0, 0, 0, 0, 0, 0, 1, 0, 0]</t>
  </si>
  <si>
    <t>LINESTRING (8.353424035058485 63.088742668074346, 8.35321206344317 63.088881124727195, 8.351879803557384 63.090381457573486, 8.351827718794182 63.09052707462851, 8.351474503155377 63.091167282913915, 8.351030237784432 63.09161229220116, 8.35006809390717 63.09236579052775, 8.348853410852133 63.09331231529581, 8.34864761403063 63.093472225194844, 8.347653775239872 63.095328345426644, 8.34294346712598 63.098109259355965, 8.342721260501499 63.098248528413194, 8.342524277158537 63.098427590792554, 8.336936076263374 63.101975157683405, 8.335301155973582 63.10278136129998, 8.335050524845652 63.10335152373034, 8.336061895354323 63.10379167114456, 8.338101399807384 63.10431396665489, 8.338096723690102 63.10539662929312, 8.32944790834923 63.108617681946875, 8.329240771688639 63.10885793431537, 8.324828977478072 63.11286553909387, 8.317903623056814 63.11616757593025, 8.316109020809572 63.11627529897977, 8.31390360003568 63.11679900558425, 8.310323898928777 63.1173370713756, 8.308259174552292 63.117913536189505, 8.308102799148632 63.11799404373123, 8.307735846095321 63.118820411735825, 8.307726537807087 63.118974339373295, 8.307714463570703 63.11926060647961, 8.30776482296717 63.1193658151093, 8.310365223710267 63.119296972935246, 8.310721631563805 63.1192862426611, 8.312238250442489 63.11943325913904, 8.31356272972027 63.11961724746662, 8.314489463547016 63.11974658386333, 8.317215389934839 63.120122434524966, 8.31907620638087 63.12036756567396, 8.32305373792724 63.12085315029442, 8.323418154042 63.120895681128474, 8.325148593137996 63.121104079948964, 8.337968260269633 63.122636492332035, 8.33919663624422 63.122780723776394, 8.343539862467228 63.12330147836084, 8.344260743538621 63.12338382854882, 8.353512310551025 63.1244981963624, 8.359930618746095 63.12526303475986, 8.372030368227612 63.1267194393642, 8.37271302083916 63.12683712292801, 8.376809636253311 63.12819188375842, 8.378088598923394 63.12864097837514, 8.380199830330591 63.129313843442006, 8.38617777943445 63.13113948872373, 8.392481213445556 63.133053431649046, 8.395511886959099 63.13378978830104, 8.396448346641698 63.13391615610417, 8.401318831097562 63.13347902867434, 8.401549363916615 63.13344218227114, 8.40466818668981 63.13348043725707, 8.405045732465018 63.133524693987866, 8.405263785730611 63.13355865875761, 8.405917578908415 63.13370027029312, 8.408288448305726 63.13482711276805, 8.415874835514831 63.13770001130845, 8.423762192149649 63.139290325695356, 8.424483254780522 63.1394589593224, 8.42884473473622 63.138404060787245, 8.430179434918431 63.13744886265258, 8.430284280567347 63.13737299566054, 8.433186253609252 63.1360532851896, 8.434034805174822 63.135941810263084, 8.435739007021343 63.135818954645416, 8.441962984587294 63.13539122929277, 8.444739416993254 63.13540409566246, 8.446544118206877 63.13561108369868, 8.450485467242679 63.13575486176983, 8.452538509716907 63.13526520870549, 8.452615972777432 63.13524810161445, 8.456991603634734 63.13418166723288, 8.457054339729819 63.13416670516007, 8.457202480632034 63.13413136132152, 8.464126363252308 63.13262832694658, 8.464186199027774 63.13261956176835, 8.470240632474226 63.1326876168022, 8.471956636892457 63.13290157844069, 8.473200643445173 63.133109044894404, 8.475930331644781 63.133793320935574, 8.476008949847893 63.13382142999335, 8.478476224821739 63.13497475778811, 8.480566128333946 63.13582964143947, 8.4820083631308 63.13620869436252, 8.485574453558918 63.13669759121833, 8.48701342218868 63.1368898125539, 8.493814024114418 63.13744857079281, 8.4941908709673 63.137462143125134, 8.495236263295602 63.13739881175036, 8.494357284861577 63.1360114216608, 8.495006076554231 63.13472959887282, 8.503164924915728 63.13214091547907, 8.511015159691405 63.13037418074489, 8.515092340447346 63.130098461429505, 8.516710256435378 63.13001335161455, 8.516814183100946 63.13001505651431, 8.51718856249926 63.13003477274908, 8.519365540154903 63.130509657962754, 8.521600242200863 63.13129739751351, 8.522905282655337 63.13195604743832, 8.523380204929566 63.132861920985526, 8.523238441816039 63.1333284291521, 8.522689132523308 63.13439684551406, 8.524495288053686 63.13654411304643, 8.532221153648532 63.14043295591378, 8.533049333031494 63.141439694872794, 8.533108230040925 63.141500489540896, 8.533302673636758 63.141666712202564, 8.534372071174497 63.14229267614769, 8.534967659937658 63.14251210888975, 8.544065527208737 63.14393136387714, 8.547802883113782 63.144170099571696, 8.549925538799368 63.14479644951503, 8.552154544407353 63.14550825428335, 8.553550852919521 63.145591300046696, 8.5604121868797 63.14423554203576, 8.560825330280338 63.14421913581507, 8.561587407635585 63.14424476398649)</t>
  </si>
  <si>
    <t>[1325956, 1325957, 1325971, 1325988, 1326001, 1326009, 1326017, 1326019, 1326024, 1326032, 1326040, 1326048, 1326056, 1326064, 1326072, 1326080, 1326088, 1326096, 1326200, 1326208, 1326216, 1326224, 1326232, 1326240, 1326248, 1326256, 1326264, 1326272, 1326280, 1326288, 1326296, 1326304, 1326312, 1326320, 1326328, 1326336, 1326344, 1326352, 1326360, 1326368, 1326376, 1326384, 1326392, 1326400, 1326408, 1326416, 1326424, 1326432, 1326440, 1326448, 1326456, 1326464, 1326472, 1326480, 1326488, 1326496, 1326504, 1326512, 1326520, 1326528, 1326536, 1326544, 1326552, 1326560, 1326568, 1326576, 1326584, 1326592, 1326600, 1326608, 1326616, 1326624, 1326632, 1326640, 1326648, 1326656, 1326664, 1326672, 1326680, 1326688, 1326696, 1326704, 1326712, 1326720, 1326728, 1326736, 1326744, 1326752, 1326760, 1326768, 1326776, 1326784, 1326792, 1326800, 1326808, 1326816, 1326824, 1326832, 1326840, 1326848, 1326856, 1326864, 1326872, 1326880, 1326888, 1326896, 1326904, 1326912, 1326920, 1326928, 1326936, 1326944, 1326952, 1326960, 1326968, 1326976, 1326984, 1326992, 1327000, 1327008, 1327016, 1327024, 1327032, 1327040, 1327048]</t>
  </si>
  <si>
    <t>[1231955, 1231956, 648016, 1231982, 1231995, 989929, 1232010, 1232013, 649583, 1232024, 1232031, 648021, 1232044, 1232052, 1232060, 1232068, 929211, 929202, 1232179, 1232185, 1232191, 1232199, 565187, 537844, 1232220, 1232229, 728950, 537896, 728956, 1232253, 1208997, 537944, 537976, 537936, 1232287, 535147, 1232301, 728928, 1232314, 321808, 321816, 1209318, 322022, 1174802, 1232346, 1232354, 1232364, 533715, 535323, 990101, 1232380, 1232387, 728919, 1232399, 533741, 533793, 1232415, 1232422, 990143, 1232434, 1232443, 990555, 1232453, 1232462, 1232468, 535360, 1232482, 1232490, 1232496, 1232504, 321584, 1232515, 1232519, 1232526, 1232531, 1232535, 1232538, 1232544, 1232550, 1232554, 1232559, 1232565, 1232572, 1232577, 1232585, 1232591, 1232596, 1232604, 1048908, 654996, 444772, 1232630, 654910, 535671, 1232645, 652540, 1232658, 1232665, 652524, 1232679, 1232684, 1232692, 1232698, 1232704, 1209319, 1232712, 1232721, 663839, 1232734, 1232741, 1232746, 1232753, 1232759, 1232766, 1232769, 663856, 1232782, 1232789, 1232793, 1232799, 1232805, 1232813, 1232821, 1232829, 960480]</t>
  </si>
  <si>
    <t>[345764, 1231955, 1231956, 648016, 1231982, 1231995, 989929, 1232010, 1232013, 649583, 1232024, 1232031, 648021, 1232044, 1232052, 1232060, 1232068, 929211, 929202, 1232179, 1232185, 1232191, 1232199, 565187, 537844, 1232220, 1232229, 728950, 537896, 728956, 1232253, 1208997, 537944, 537976, 537936, 1232287, 535147, 1232301, 728928, 1232314, 321808, 321816, 1209318, 322022, 1174802, 1232346, 1232354, 1232364, 533715, 535323, 990101, 1232380, 1232387, 728919, 1232399, 533741, 533793, 1232415, 1232422, 990143, 1232434, 1232443, 990555, 1232453, 1232462, 1232468, 535360, 1232482, 1232490, 1232496, 1232504, 321584, 1232515, 1232519, 1232526, 1232531, 1232535, 1232538, 1232544, 1232550, 1232554, 1232559, 1232565, 1232572, 1232577, 1232585, 1232591, 1232596, 1232604, 1048908, 654996, 444772, 1232630, 654910, 535671, 1232645, 652540, 1232658, 1232665, 652524, 1232679, 1232684, 1232692, 1232698, 1232704, 1209319, 1232712, 1232721, 663839, 1232734, 1232741, 1232746, 1232753, 1232759, 1232766, 1232769, 663856, 1232782, 1232789, 1232793, 1232799, 1232805, 1232813, 1232821, 1232829]</t>
  </si>
  <si>
    <t>[0.064, 0.027, 0.029, 0.025, 0.016, 0.013, 0.01, 0.036, 0.01, 0.014, 0.034, 0.024, 0.004, 0.019, 0.06, 0.018, 0.003, 0.035, 0.039, 0.053, 0.025, 0.001, 0.021, 0.087, 0.021, 0.02, 0.058, 0.115, 0.125, 0.141, 0.196, 0.025, 0.024, 0.024, 0.023, 0.018, 0.026, 0.057, 0.026, 0.023, 0.017, 0.007, 0.004, 0.005, 0.001, 0.031, 0.035, 0.025, 0.009, 0.003, 0.002, 0.003, 0.041, 0.069, 0.032, 0.039, 0.015, 0.003, 0.032, 0.072, 0.054, 0.045, 0.012, 0.007, 0.031, 0.024, 0.065, 0.004, 0.031, 0.012, 0.031, 0.014, 0.014, 0.017, 0.042, 0.048, 0.003, 0.029, 0.006, 0.029, 0.007, 0.029, 0.089, 0.004, 0.043, 0.011, 0.028, 0.034, 0.002, 0.019, 0.05, 0.031, 0.015, 0.027, 0.091, 0.09, 0.023, 0.087, 0.027, 0.011, 0.025, 0.025, 0.024, 0.008, 0.062, 0.001, 0.038, 0.067, 0.022, 0.006, 0.011, 0.003, 0.027, 0.1, 0.1, 0.095, 0.093, 0.035, 0.045, 0.045, 0.031, 0.095, 0.007, 0.096, 0.007]</t>
  </si>
  <si>
    <t>20115.913224523323</t>
  </si>
  <si>
    <t>[-0.547, 0.067]</t>
  </si>
  <si>
    <t>LINESTRING (8.35410531359338 63.08824652191604, 8.354019473703007 63.08829566299943, 8.353424035058485 63.088742668074346)</t>
  </si>
  <si>
    <t>[1303830, 357366]</t>
  </si>
  <si>
    <t>[345763, 345764]</t>
  </si>
  <si>
    <t>0.0011960817707496658</t>
  </si>
  <si>
    <t>[1214393, 345763]</t>
  </si>
  <si>
    <t>[0.547, 0.067]</t>
  </si>
  <si>
    <t>65.25098238677688</t>
  </si>
  <si>
    <t>[0.048, -0.008]</t>
  </si>
  <si>
    <t>1483.0</t>
  </si>
  <si>
    <t>LINESTRING (8.354305069838993 63.08824258309108, 8.354160341500483 63.08832936589525, 8.353424035058485 63.088742668074346)</t>
  </si>
  <si>
    <t>[1303822, 1296779]</t>
  </si>
  <si>
    <t>[1208927, 345764]</t>
  </si>
  <si>
    <t>0.0015107726256559245</t>
  </si>
  <si>
    <t>[1214388, 1208927]</t>
  </si>
  <si>
    <t>[0.048, 0.008]</t>
  </si>
  <si>
    <t>71.46552888981499</t>
  </si>
  <si>
    <t>[-0.121, 3.017, -4.645, 0.009]</t>
  </si>
  <si>
    <t>LINESTRING (10.303346085854377 59.74198018759284, 10.303142460227873 59.742105931626924, 10.303058393712684 59.742182818590926, 10.303010516923102 59.74223576327026, 10.302891053319119 59.7424149720642)</t>
  </si>
  <si>
    <t>[357860, 2096392, 2096409, 357887]</t>
  </si>
  <si>
    <t>[346250, 1813344, 346270, 346204]</t>
  </si>
  <si>
    <t>[346249, 346250, 1813344, 346270]</t>
  </si>
  <si>
    <t>[0.121, 3.017, 4.645, 0.009]</t>
  </si>
  <si>
    <t>55.45112271314211</t>
  </si>
  <si>
    <t>[0.038, 2.931, -4.56, -0.135]</t>
  </si>
  <si>
    <t>LINESTRING (10.303346085854377 59.74198018759284, 10.303259034055566 59.742134842293524, 10.303187933300817 59.74221596247311, 10.303133387073062 59.74226678843578, 10.302891053319119 59.7424149720642)</t>
  </si>
  <si>
    <t>[357864, 2096383, 2096391, 357882]</t>
  </si>
  <si>
    <t>[346252, 1813338, 346266, 346204]</t>
  </si>
  <si>
    <t>[346249, 346252, 1813338, 346266]</t>
  </si>
  <si>
    <t>[0.038, 2.931, 4.56, 0.135]</t>
  </si>
  <si>
    <t>55.84286656671979</t>
  </si>
  <si>
    <t>[0.077, 0.042, -0.129, -0.095, -0.145, -0.081, 0.013, 0.026, 0.004, -0.033, -0.066, -0.023, -0.01, 0.143, 0.181, 0.077, 0.015, -0.089, -0.066, 0.005, 0.012, -0.039, -0.051, -0.031, -0.078, -0.06, -0.014, -0.06, -0.016, 0.133, 0.202, 0.02, 0.084]</t>
  </si>
  <si>
    <t>LINESTRING (10.313514797428196 59.72757495687386, 10.313347514593596 59.727651401359296, 10.313295003114998 59.727675302035095, 10.312912429091986 59.727847898522064, 10.31227184352996 59.728156150395144, 10.312259605177314 59.72816263848127, 10.311907457961704 59.728361289025266, 10.31139512586775 59.728715840138946, 10.311265244042438 59.72880976501632, 10.31026392333553 59.72948907000747, 10.310136874657138 59.72955615679001, 10.309981936490889 59.72963297606842, 10.308508309496162 59.73040852996807, 10.30711184837583 59.73140459715875, 10.307005374255208 59.731480593748515, 10.306995084164988 59.73148790667823, 10.306723872654413 59.73168056462171, 10.306265786296294 59.732006926526154, 10.305531782490421 59.732523390771966, 10.305039779394924 59.73286681123553, 10.304646934266973 59.73315068501269, 10.304637579065167 59.733158310094645, 10.304329942158084 59.73342540193, 10.304258210874396 59.73350457481538, 10.304208357971111 59.733565984633074, 10.304154190145853 59.73363147629703, 10.304000396996875 59.73384227665111, 10.30381076002316 59.73416233554807, 10.302315389625138 59.73548124483418, 10.302376111598518 59.736001055749284, 10.302591800675302 59.73630569331251, 10.302753381664546 59.73651428213005, 10.303985883521825 59.74010044826833, 10.303346085854377 59.74198018759284)</t>
  </si>
  <si>
    <t>[950504, 950512, 1412806, 1412820, 1412837, 1412844, 1412857, 1412865, 1412873, 1412881, 1412889, 1412890, 1412891, 1412911, 1412923, 1412940, 1412952, 1412953, 1412961, 1412969, 1412996, 1413001, 1413006, 1413014, 1413022, 1413030, 1413034, 1413042, 1413050, 1413067, 1413075, 1413083, 1413091]</t>
  </si>
  <si>
    <t>[918883, 918890, 819360, 1291685, 1291702, 1291707, 1291718, 1291724, 1291730, 1291734, 1291739, 1291740, 1291741, 1291760, 1291773, 1291793, 1130910, 1130975, 1245636, 1291822, 1291854, 1291860, 1291865, 1291874, 1291880, 1130990, 1245613, 1245661, 821436, 1291916, 1291924, 1291930, 346249]</t>
  </si>
  <si>
    <t>0.0010186185310068967</t>
  </si>
  <si>
    <t>[918875, 918883, 918890, 819360, 1291685, 1291702, 1291707, 1291718, 1291724, 1291730, 1291734, 1291739, 1291740, 1291741, 1291760, 1291773, 1291793, 1130910, 1130975, 1245636, 1291822, 1291854, 1291860, 1291865, 1291874, 1291880, 1130990, 1245613, 1245661, 821436, 1291916, 1291924, 1291930]</t>
  </si>
  <si>
    <t>[0.077, 0.042, 0.129, 0.095, 0.145, 0.081, 0.013, 0.026, 0.004, 0.033, 0.066, 0.023, 0.01, 0.143, 0.181, 0.077, 0.015, 0.089, 0.066, 0.005, 0.012, 0.039, 0.051, 0.031, 0.078, 0.06, 0.014, 0.06, 0.016, 0.133, 0.202, 0.02, 0.084]</t>
  </si>
  <si>
    <t>1840.5349953446075</t>
  </si>
  <si>
    <t>[-0.049, -0.03, -0.051, -0.477, -0.039, -0.06, -0.021, 0.025, -0.004, -0.018, -0.069, 0.047, -0.048]</t>
  </si>
  <si>
    <t>40334.0</t>
  </si>
  <si>
    <t>LINESTRING (10.774594774473702 59.737506159957945, 10.776266166817111 59.7388013002235, 10.77639782317739 59.73888836179534, 10.779418402873256 59.740677672245745, 10.779478464535545 59.74071424055484, 10.779536760714047 59.74075181304342, 10.779547781368194 59.74075891135938, 10.780624148599937 59.74157709657252, 10.780851633295095 59.741793091420924, 10.780859866702082 59.74180110702692, 10.78162044731768 59.742725755886816, 10.781626154718891 59.74273431062779, 10.782314886138124 59.744154618120675, 10.78242260076352 59.74436264064402)</t>
  </si>
  <si>
    <t>[357862, 357834, 357841, 1833761, 1505978, 1505979, 1505986, 1505994, 1506014, 1506024, 1506040, 1506048, 1130749]</t>
  </si>
  <si>
    <t>[346230, 346231, 346236, 1361909, 1361910, 1361911, 1361917, 1361926, 1361943, 1361952, 1361966, 1068585, 1068586]</t>
  </si>
  <si>
    <t>[346251, 346230, 346231, 346236, 1361909, 1361910, 1361911, 1361917, 1361926, 1361943, 1361952, 1361966, 1068585]</t>
  </si>
  <si>
    <t>[0.049, 0.03, 0.051, 0.477, 0.039, 0.06, 0.021, 0.025, 0.004, 0.018, 0.069, 0.047, 0.048]</t>
  </si>
  <si>
    <t>895.6233956256291</t>
  </si>
  <si>
    <t>[-0.017, -0.091, -0.174, -0.077, 0.114, 0.02, 0.017]</t>
  </si>
  <si>
    <t>LINESTRING (10.774594774473702 59.737506159957945, 10.774961580984748 59.73754155209611, 10.7762697679965 59.73871726322749, 10.776313372031465 59.73875645027022, 10.777667547647775 59.73956052650769, 10.777992105612936 59.739712574043686, 10.780398583372873 59.73995387300683, 10.780572587052491 59.739949849286916)</t>
  </si>
  <si>
    <t>[1840946, 1498895, 1498907, 1498917, 1498918, 1498925, 1498933]</t>
  </si>
  <si>
    <t>[1, 1, 1, 0, 0, 0, 0]</t>
  </si>
  <si>
    <t>[1356606, 1356607, 1356609, 1356615, 1356616, 1356623, 1356628]</t>
  </si>
  <si>
    <t>[346251, 1356606, 1356607, 1356609, 1356615, 1356616, 1356623]</t>
  </si>
  <si>
    <t>[0.017, 0.091, 0.174, 0.077, 0.114, 0.02, 0.017]</t>
  </si>
  <si>
    <t>471.74515368032235</t>
  </si>
  <si>
    <t>[0.015, 0.022, 0.045, 0.068, -0.002]</t>
  </si>
  <si>
    <t>LINESTRING (10.737921743381635 59.70870297884604, 10.738007611655592 59.70933528461522, 10.738050974527491 59.7095701061667, 10.738314787380844 59.71044666187285, 10.743259953647025 59.71454689500352, 10.774594774473702 59.737506159957945)</t>
  </si>
  <si>
    <t>[357871, 357872, 357873, 357842, 357861]</t>
  </si>
  <si>
    <t>[346258, 346259, 346237, 346238, 346251]</t>
  </si>
  <si>
    <t>0.00954407097331612</t>
  </si>
  <si>
    <t>[346256, 346258, 346259, 346237, 346238]</t>
  </si>
  <si>
    <t>[0.015, 0.022, 0.045, 0.068, 0.002]</t>
  </si>
  <si>
    <t>3861.070973425468</t>
  </si>
  <si>
    <t>[-0.022, 0.184, -0.013, -0.004]</t>
  </si>
  <si>
    <t>LINESTRING (10.737895346374891 59.704176963930095, 10.73796497078843 59.705376949293004, 10.737980987775659 59.706083181525386, 10.737959360596237 59.70710806761969, 10.737921743381635 59.70870297884604)</t>
  </si>
  <si>
    <t>[1505096, 1505097, 357868, 357869]</t>
  </si>
  <si>
    <t>[1361043, 346254, 346255, 346256]</t>
  </si>
  <si>
    <t>0.018518737335235364</t>
  </si>
  <si>
    <t>[1356471, 1361043, 346254, 346255]</t>
  </si>
  <si>
    <t>[0.022, 0.184, 0.013, 0.004]</t>
  </si>
  <si>
    <t>504.49427159442644</t>
  </si>
  <si>
    <t>[-0.031, -0.014, -0.013, 1.997]</t>
  </si>
  <si>
    <t>LINESTRING (10.739163854231755 59.70682046004064, 10.739141986987638 59.70674062056372, 10.738028245787344 59.70783514446325, 10.73797936696997 59.70863158638762, 10.737921743381635 59.70870297884604)</t>
  </si>
  <si>
    <t>[1498797, 1498813, 1498815, 1840930]</t>
  </si>
  <si>
    <t>[1356546, 1356556, 1356557, 346256]</t>
  </si>
  <si>
    <t>0.043564867265304175</t>
  </si>
  <si>
    <t>[1356545, 1356546, 1356556, 1356557]</t>
  </si>
  <si>
    <t>[0.031, 0.014, 0.013, 1.997]</t>
  </si>
  <si>
    <t>299.05568936200575</t>
  </si>
  <si>
    <t>[0.033, 0.033, 0.005, -0.047]</t>
  </si>
  <si>
    <t>LINESTRING (10.776561613382972 59.7392243759171, 10.77641769657818 59.73913790885172, 10.776151000525969 59.738992099341544, 10.742984065694598 59.71471010417389, 10.738598162810241 59.71164374826305)</t>
  </si>
  <si>
    <t>[357939, 357945, 357953, 357954]</t>
  </si>
  <si>
    <t>[346310, 346316, 346323, 346324]</t>
  </si>
  <si>
    <t>[346304, 346310, 346316, 346323]</t>
  </si>
  <si>
    <t>[0.033, 0.033, 0.005, 0.047]</t>
  </si>
  <si>
    <t>3761.279783170907</t>
  </si>
  <si>
    <t>[-0.007, -0.0, 1.265]</t>
  </si>
  <si>
    <t>LINESTRING (10.77877439327292 59.74153656596738, 10.778875144776027 59.741556892233355, 10.776610492394678 59.739299780244245, 10.776561613382972 59.7392243759171)</t>
  </si>
  <si>
    <t>[1499118, 1499119, 1840954]</t>
  </si>
  <si>
    <t>[1356731, 1356732, 346304]</t>
  </si>
  <si>
    <t>0.029596639524623457</t>
  </si>
  <si>
    <t>[1356730, 1356731, 1356732]</t>
  </si>
  <si>
    <t>[0.007, 0.0, 1.265]</t>
  </si>
  <si>
    <t>376.45462071382656</t>
  </si>
  <si>
    <t>[0.649, 0.083, 0.048]</t>
  </si>
  <si>
    <t>LINESTRING (10.7793712591359 59.740818250281244, 10.779245805230111 59.74073837811724, 10.778776092899827 59.74045148191431, 10.776561613382972 59.7392243759171)</t>
  </si>
  <si>
    <t>[1833769, 357909, 357934]</t>
  </si>
  <si>
    <t>[346282, 346283, 346304]</t>
  </si>
  <si>
    <t>0.07008461841516803</t>
  </si>
  <si>
    <t>[1406055, 346282, 346283]</t>
  </si>
  <si>
    <t>232.59385190116694</t>
  </si>
  <si>
    <t>[-0.18, -0.054, -0.032, -0.006, 0.012, 0.023, 0.03, 0.033]</t>
  </si>
  <si>
    <t>[0, 0, 0, 1, 0, 0, 0, 0]</t>
  </si>
  <si>
    <t>LINESTRING (10.738598162810241 59.71164374826305, 10.737970377627846 59.710608280112126, 10.737936364512763 59.71053535597189, 10.737688124103762 59.70976883599489, 10.73766144039122 59.70957969594847, 10.737677550074892 59.70710330144587, 10.737697304786158 59.70608452277114, 10.737649564486556 59.70527811406986, 10.737546575495548 59.70465208461727)</t>
  </si>
  <si>
    <t>[357956, 357877, 357885, 357893, 357900, 357908, 474255, 474263]</t>
  </si>
  <si>
    <t>[346261, 346262, 346268, 346274, 346277, 346281, 472639, 472648]</t>
  </si>
  <si>
    <t>[346324, 346261, 346262, 346268, 346274, 346277, 346281, 472639]</t>
  </si>
  <si>
    <t>[0.18, 0.054, 0.032, 0.006, 0.012, 0.023, 0.03, 0.033]</t>
  </si>
  <si>
    <t>786.3491885823379</t>
  </si>
  <si>
    <t>[1.322, -0.353, -0.297, 0.0, -0.213, -0.027, 0.116, 0.452, 6.532, -0.112]</t>
  </si>
  <si>
    <t>LINESTRING (10.738598162810241 59.71164374826305, 10.738447632308175 59.71159255566764, 10.737896213660695 59.71062757530981, 10.737888237932806 59.71061362133479, 10.737886750483574 59.71061076750117, 10.737774865525274 59.71037554338055, 10.737451351016887 59.70812435904849, 10.736846528865007 59.70766138921987, 10.736470863658596 59.70763478401454, 10.736455898082962 59.707635196441906, 10.736156551063255 59.70764344347701)</t>
  </si>
  <si>
    <t>[1840938, 1498816, 1498822, 1498852, 1498853, 1498870, 1498871, 1498881, 1754557, 1754562]</t>
  </si>
  <si>
    <t>[1, 1, 1, 0, 0, 0, 0, 0, 0, 0]</t>
  </si>
  <si>
    <t>[1356558, 1356559, 1356562, 1356581, 1356582, 1356588, 1356589, 1356595, 1553202, 1360975]</t>
  </si>
  <si>
    <t>[346324, 1356558, 1356559, 1356562, 1356581, 1356582, 1356588, 1356589, 1356595, 1553202]</t>
  </si>
  <si>
    <t>[1.322, 0.353, 0.297, 0.0, 0.213, 0.027, 0.116, 0.452, 6.532, 0.112]</t>
  </si>
  <si>
    <t>508.1385847414085</t>
  </si>
  <si>
    <t>[0.012, -0.012, -0.032, -0.044]</t>
  </si>
  <si>
    <t>LINESTRING (12.020576113953416 60.18732295729461, 12.02078499914319 60.187299621115436, 12.020904970155135 60.18731966025963, 12.021021208360393 60.18737888045907, 12.021056603041778 60.187482017176094)</t>
  </si>
  <si>
    <t>[358479, 358487, 358495, 358503]</t>
  </si>
  <si>
    <t>[346831, 346877, 346889, 346897]</t>
  </si>
  <si>
    <t>[346860, 346831, 346877, 346889]</t>
  </si>
  <si>
    <t>[0.012, 0.012, 0.032, 0.044]</t>
  </si>
  <si>
    <t>40.14445164098706</t>
  </si>
  <si>
    <t>[0.052, 0.034]</t>
  </si>
  <si>
    <t>LINESTRING (12.020441084293253 60.1874152529773, 12.020489727197878 60.18736432292903, 12.020576113953416 60.18732295729461)</t>
  </si>
  <si>
    <t>[358535, 358471]</t>
  </si>
  <si>
    <t>[346859, 346860]</t>
  </si>
  <si>
    <t>0.04274539515761374</t>
  </si>
  <si>
    <t>[346916, 346859]</t>
  </si>
  <si>
    <t>12.93209804638822</t>
  </si>
  <si>
    <t>[-0.007, -0.012]</t>
  </si>
  <si>
    <t>LINESTRING (12.020150616174618 60.187269809527486, 12.020516385254323 60.1873111014055, 12.020576113953416 60.18732295729461)</t>
  </si>
  <si>
    <t>[1829800, 1829808]</t>
  </si>
  <si>
    <t>[1606803, 346860]</t>
  </si>
  <si>
    <t>[346966, 1606803]</t>
  </si>
  <si>
    <t>[0.007, 0.012]</t>
  </si>
  <si>
    <t>24.375322389174165</t>
  </si>
  <si>
    <t>[-0.047, -0.032]</t>
  </si>
  <si>
    <t>LINESTRING (12.021056603041778 60.187482017176094, 12.020985525645372 60.18755751152743, 12.020882015510765 60.187596695351864)</t>
  </si>
  <si>
    <t>[358511, 358519]</t>
  </si>
  <si>
    <t>[346901, 346908]</t>
  </si>
  <si>
    <t>[346897, 346901]</t>
  </si>
  <si>
    <t>[0.047, 0.032]</t>
  </si>
  <si>
    <t>16.50283935854288</t>
  </si>
  <si>
    <t>[-0.036, -0.041]</t>
  </si>
  <si>
    <t>LINESTRING (12.021056603041778 60.187482017176094, 12.021095907964797 60.18751416927662, 12.021306739744801 60.18771415694941)</t>
  </si>
  <si>
    <t>[1829849, 1829857]</t>
  </si>
  <si>
    <t>[1606841, 347019]</t>
  </si>
  <si>
    <t>[346897, 1606841]</t>
  </si>
  <si>
    <t>[0.036, 0.041]</t>
  </si>
  <si>
    <t>29.448357773892944</t>
  </si>
  <si>
    <t>39.26211188165652</t>
  </si>
  <si>
    <t>[-0.012, -0.02]</t>
  </si>
  <si>
    <t>LINESTRING (12.020882015510765 60.187596695351864, 12.020938514270728 60.187612342050635, 12.021306739744801 60.18771415694941)</t>
  </si>
  <si>
    <t>[1829832, 1829840]</t>
  </si>
  <si>
    <t>[1606826, 347019]</t>
  </si>
  <si>
    <t>[346908, 1606826]</t>
  </si>
  <si>
    <t>[0.012, 0.02]</t>
  </si>
  <si>
    <t>26.95360898432064</t>
  </si>
  <si>
    <t>LINESTRING (12.020150616174618 60.187269809527486, 12.020396935908753 60.1873987157541, 12.020441084293253 60.1874152529773)</t>
  </si>
  <si>
    <t>[1829816, 1829824]</t>
  </si>
  <si>
    <t>[1606815, 346916]</t>
  </si>
  <si>
    <t>[346966, 1606815]</t>
  </si>
  <si>
    <t>22.88923141234903</t>
  </si>
  <si>
    <t>[-0.053, -0.016, 0.059]</t>
  </si>
  <si>
    <t>LINESTRING (7.982823834643155 58.14520829599523, 7.982846459540084 58.14516800152286, 7.982382762111039 58.144843619191974, 7.982299213856992 58.1448541402334)</t>
  </si>
  <si>
    <t>[359441, 1184491, 1184499]</t>
  </si>
  <si>
    <t>[347888, 1114015, 1114019]</t>
  </si>
  <si>
    <t>[347887, 347888, 1114015]</t>
  </si>
  <si>
    <t>[0.053, 0.016, 0.059]</t>
  </si>
  <si>
    <t>66.09475539905509</t>
  </si>
  <si>
    <t>[-0.483, 0.027, 0.054]</t>
  </si>
  <si>
    <t>LINESTRING (7.982823834643155 58.14520829599523, 7.982778012086182 58.145171967882405, 7.982444124803134 58.144936762026575, 7.982390896624936 58.144949869605874)</t>
  </si>
  <si>
    <t>[1182044, 1182052, 1182060]</t>
  </si>
  <si>
    <t>[1112149, 1112154, 1112161]</t>
  </si>
  <si>
    <t>[347887, 1112149, 1112154]</t>
  </si>
  <si>
    <t>[0.483, 0.027, 0.054]</t>
  </si>
  <si>
    <t>46.60711985861878</t>
  </si>
  <si>
    <t>[0.0, 0.073]</t>
  </si>
  <si>
    <t>LINESTRING (7.983912494770567 58.14538029544653, 7.983912494770567 58.14538029544653, 7.982823834643155 58.14520829599523)</t>
  </si>
  <si>
    <t>[1184468, 1184476]</t>
  </si>
  <si>
    <t>[1114002, 347887]</t>
  </si>
  <si>
    <t>0.0671831445689846</t>
  </si>
  <si>
    <t>[159316, 1114002]</t>
  </si>
  <si>
    <t>80.43613657868553</t>
  </si>
  <si>
    <t>[0.018, -0.012, -0.026, -0.032]</t>
  </si>
  <si>
    <t>LINESTRING (10.487006681617412 59.90779187920909, 10.487011797650458 59.9080149982048, 10.486910006831843 59.90804721019417, 10.486775231571453 59.908055987376635, 10.486501858498157 59.90791072163668)</t>
  </si>
  <si>
    <t>[359615, 359623, 359579, 359582]</t>
  </si>
  <si>
    <t>[348085, 348053, 348054, 348056]</t>
  </si>
  <si>
    <t>[348077, 348085, 348053, 348054]</t>
  </si>
  <si>
    <t>[0.018, 0.012, 0.026, 0.032]</t>
  </si>
  <si>
    <t>65.77670879976316</t>
  </si>
  <si>
    <t>[-0.03, -0.027, -0.017]</t>
  </si>
  <si>
    <t>LINESTRING (10.486501858498157 59.90791072163668, 10.486395297685203 59.90787648907302, 10.484021088919093 59.90785681635354, 10.48352605839519 59.90790636653533)</t>
  </si>
  <si>
    <t>[359796, 359808, 359809]</t>
  </si>
  <si>
    <t>[348213, 348224, 348177]</t>
  </si>
  <si>
    <t>[348056, 348213, 348224]</t>
  </si>
  <si>
    <t>[0.03, 0.027, 0.017]</t>
  </si>
  <si>
    <t>173.42722837266882</t>
  </si>
  <si>
    <t>[0.023, 0.01, 0.01]</t>
  </si>
  <si>
    <t>LINESTRING (10.489003081790395 59.90640432783417, 10.488641525241638 59.90665957130361, 10.487034956066402 59.9077589533051, 10.487006681617412 59.90779187920909)</t>
  </si>
  <si>
    <t>[359771, 359776, 359784]</t>
  </si>
  <si>
    <t>[348194, 348197, 348077]</t>
  </si>
  <si>
    <t>0.012347425653463749</t>
  </si>
  <si>
    <t>[348178, 348194, 348197]</t>
  </si>
  <si>
    <t>193.34636523598056</t>
  </si>
  <si>
    <t>6342.0</t>
  </si>
  <si>
    <t>2202.4143042166174</t>
  </si>
  <si>
    <t>[0.029, 0.026, 0.03, 0.019, 0.099, 0.07, 0.08]</t>
  </si>
  <si>
    <t>LINESTRING (10.52349686116758 59.8873467301768, 10.523441235186858 59.887389289708125, 10.523388051929956 59.88743018770217, 10.523378171599012 59.887437774317114, 10.523097422162657 59.88776120510554, 10.522170547535945 59.88825904001686, 10.5221130658338 59.88828812719972, 10.521647405923419 59.88847652407349)</t>
  </si>
  <si>
    <t>[1537306, 1537314, 1537322, 1537330, 1537338, 359631, 359648]</t>
  </si>
  <si>
    <t>[1389246, 1389256, 1389264, 1389273, 348097, 348098, 348108]</t>
  </si>
  <si>
    <t>0.07027827515833385</t>
  </si>
  <si>
    <t>[1353744, 1389246, 1389256, 1389264, 1389273, 348097, 348098]</t>
  </si>
  <si>
    <t>166.74787270047503</t>
  </si>
  <si>
    <t>[-0.04, -0.024, -0.014, 0.004, 0.01, 0.941]</t>
  </si>
  <si>
    <t>LINESTRING (10.524128184271628 59.88838533132252, 10.524019995083352 59.888324993377786, 10.523938619210202 59.888278158105415, 10.523576200016498 59.888139021978866, 10.522144656352467 59.88833760342901, 10.52179226769205 59.888436050173745, 10.521647405923419 59.88847652407349)</t>
  </si>
  <si>
    <t>[1505272, 1505280, 1505288, 1505289, 1250626, 1250643]</t>
  </si>
  <si>
    <t>[0, 0, 0, 0, 1, 1]</t>
  </si>
  <si>
    <t>[1361205, 1361213, 1361220, 1169854, 1169855, 348108]</t>
  </si>
  <si>
    <t>0.052216444337986646</t>
  </si>
  <si>
    <t>[1361178, 1361205, 1361213, 1361220, 1169854, 1169855]</t>
  </si>
  <si>
    <t>[0.04, 0.024, 0.014, 0.004, 0.01, 0.941]</t>
  </si>
  <si>
    <t>161.3903167130215</t>
  </si>
  <si>
    <t>[0.031, 0.017, -0.001, -0.01]</t>
  </si>
  <si>
    <t>LINESTRING (10.496242791938425 59.90163906354782, 10.496032748203046 59.90183587546073, 10.495255315566212 59.9024818264725, 10.494777143692158 59.90282860009275, 10.494048246944176 59.903316972640624)</t>
  </si>
  <si>
    <t>[359677, 359684, 359685, 359706]</t>
  </si>
  <si>
    <t>[348127, 348132, 348133, 348147]</t>
  </si>
  <si>
    <t>0.0065804646655062225</t>
  </si>
  <si>
    <t>[348120, 348127, 348132, 348133]</t>
  </si>
  <si>
    <t>[0.031, 0.017, 0.001, 0.01]</t>
  </si>
  <si>
    <t>224.05926878051673</t>
  </si>
  <si>
    <t>[0.119, 0.002, 0.008, 0.02, 0.013, 0.011]</t>
  </si>
  <si>
    <t>LINESTRING (10.496242791938425 59.90163906354782, 10.496137807201556 59.90181776237955, 10.495433186576458 59.9025208678314, 10.495499871933005 59.90313773967879, 10.495560871900722 59.903450697270515, 10.495496397944718 59.90362712248646, 10.495470274366081 59.90368690543924)</t>
  </si>
  <si>
    <t>[1250659, 1250674, 1250677, 378868, 378869, 378884]</t>
  </si>
  <si>
    <t>[1169887, 1169904, 367787, 367788, 367789, 367803]</t>
  </si>
  <si>
    <t>0.017649743229758905</t>
  </si>
  <si>
    <t>[348120, 1169887, 1169904, 367787, 367788, 367789]</t>
  </si>
  <si>
    <t>240.75773068223467</t>
  </si>
  <si>
    <t>45.39389055850685</t>
  </si>
  <si>
    <t>[0.0, -0.015, -0.027, -0.007]</t>
  </si>
  <si>
    <t>LINESTRING (10.49472473628774 59.902651590199746, 10.495053723417112 59.90241323023398, 10.49581318145325 59.90178234018731, 10.495833677162322 59.901763625486666, 10.521910294039442 59.88824419027089)</t>
  </si>
  <si>
    <t>[359709, 359716, 359720, 359747]</t>
  </si>
  <si>
    <t>[0, 1, 1, 1]</t>
  </si>
  <si>
    <t>[348151, 348154, 348156, 348174]</t>
  </si>
  <si>
    <t>[348150, 348151, 348154, 348156]</t>
  </si>
  <si>
    <t>[0.0, 0.015, 0.027, 0.007]</t>
  </si>
  <si>
    <t>2430.3986723469648</t>
  </si>
  <si>
    <t>[0.008, 0.008, 0.011]</t>
  </si>
  <si>
    <t>[1, 0, 1]</t>
  </si>
  <si>
    <t>LINESTRING (10.491022853290696 59.90512025381743, 10.491480744682493 59.9048243466643, 10.493356967346127 59.90357583643107, 10.49472473628774 59.902651590199746)</t>
  </si>
  <si>
    <t>[458430, 359707, 359708]</t>
  </si>
  <si>
    <t>[348148, 348149, 348150]</t>
  </si>
  <si>
    <t>0.00911784683658489</t>
  </si>
  <si>
    <t>[456658, 348148, 348149]</t>
  </si>
  <si>
    <t>344.46512180586745</t>
  </si>
  <si>
    <t>[0.0, 0.003, 0.008, 0.029]</t>
  </si>
  <si>
    <t>LINESTRING (10.493274938193723 59.903163141348266, 10.493274938193723 59.903163141348266, 10.493268082114918 59.90353938185176, 10.494550031118745 59.90271863264132, 10.49472473628774 59.902651590199746)</t>
  </si>
  <si>
    <t>[2100245, 2100246, 2100247, 2100255]</t>
  </si>
  <si>
    <t>[1815905, 1815906, 1815907, 348150]</t>
  </si>
  <si>
    <t>0.005460949384561867</t>
  </si>
  <si>
    <t>[456792, 1815905, 1815906, 1815907]</t>
  </si>
  <si>
    <t>361.49917077197404</t>
  </si>
  <si>
    <t>[-0.073, -0.045, 0.023]</t>
  </si>
  <si>
    <t>LINESTRING (10.521910294039442 59.88824419027089, 10.522061853152378 59.888181902084845, 10.52202189609923 59.88715083411252, 10.52195239155159 59.88710889818895)</t>
  </si>
  <si>
    <t>[458462, 1505434, 1505441]</t>
  </si>
  <si>
    <t>[456923, 1361366, 1361244]</t>
  </si>
  <si>
    <t>[348174, 456923, 1361366]</t>
  </si>
  <si>
    <t>[0.073, 0.045, 0.023]</t>
  </si>
  <si>
    <t>145.37745359016841</t>
  </si>
  <si>
    <t>[-0.072, -0.076, -0.119]</t>
  </si>
  <si>
    <t>LINESTRING (10.521910294039442 59.88824419027089, 10.522002869230075 59.88821815052553, 10.522081419164483 59.888196057826484, 10.522957925383762 59.887680915107424)</t>
  </si>
  <si>
    <t>[458474, 458482, 1537346]</t>
  </si>
  <si>
    <t>[456931, 456940, 1361333]</t>
  </si>
  <si>
    <t>[348174, 456931, 456940]</t>
  </si>
  <si>
    <t>[0.072, 0.076, 0.119]</t>
  </si>
  <si>
    <t>87.43125206705912</t>
  </si>
  <si>
    <t>324.64544242988495</t>
  </si>
  <si>
    <t>[0.561, -0.106, -0.001, 0.002, 0.002, 0.046, 0.045, 0.046, 0.05, 0.023, -0.036, -0.035, -0.04]</t>
  </si>
  <si>
    <t>[0, 0, 1, 0, 1, 0, 0, 0, 0, 0, 0, 0, 0]</t>
  </si>
  <si>
    <t>LINESTRING (10.48352605839519 59.90790636653533, 10.478892578059291 59.90971622011719, 10.478496872681438 59.90998649786148, 10.478269052291454 59.91019127167735, 10.478029866545468 59.91044158356188, 10.47753688202859 59.911223339504154, 10.477399924993671 59.911706080490355, 10.477380375579793 59.91232007651883, 10.477401449589435 59.91356882477177, 10.477399908851677 59.913596291442325, 10.467707010203448 59.92145311809078, 10.46763175569095 59.9214794582957, 10.46727834112051 59.921596333405795, 10.46677004955822 59.921760322673165)</t>
  </si>
  <si>
    <t>[1250609, 1250625, 850317, 850325, 850333, 850341, 850349, 850357, 850365, 850373, 850381, 850389, 850397]</t>
  </si>
  <si>
    <t>[1169840, 825154, 825155, 825163, 825171, 825180, 825187, 825193, 825202, 825208, 825214, 825220, 825224]</t>
  </si>
  <si>
    <t>0.022391292938917253</t>
  </si>
  <si>
    <t>[348176, 1169840, 825154, 825155, 825163, 825171, 825180, 825187, 825193, 825202, 825208, 825214, 825220]</t>
  </si>
  <si>
    <t>[0.561, 0.106, 0.001, 0.002, 0.002, 0.046, 0.045, 0.046, 0.05, 0.023, 0.036, 0.035, 0.04]</t>
  </si>
  <si>
    <t>1606.983437345248</t>
  </si>
  <si>
    <t>350.80611386689594</t>
  </si>
  <si>
    <t>[0.002, 0.008, 0.006, 0.011]</t>
  </si>
  <si>
    <t>LINESTRING (10.489003081790395 59.90640432783417, 10.491029482103707 59.90528617282934, 10.49163176528916 59.90489055883633, 10.492324084202345 59.90444187325194, 10.493553618757737 59.90363970638072)</t>
  </si>
  <si>
    <t>[359752, 359756, 359770, 458459]</t>
  </si>
  <si>
    <t>[348179, 348183, 348193, 456742]</t>
  </si>
  <si>
    <t>0.006000406451116321</t>
  </si>
  <si>
    <t>[348178, 348179, 348183, 348193]</t>
  </si>
  <si>
    <t>400.3575858090662</t>
  </si>
  <si>
    <t>[0.041, -0.001, 0.078, 0.013, -0.031, -5.849, 0.017, 0.024, 0.017, 0.026, 0.024, 0.018, 0.007, 0.064, 0.021, 0.009, 0.004]</t>
  </si>
  <si>
    <t>[0, 0, 0, 0, 0, 0, 1, 0, 0, 0, 0, 0, 0, 0, 0, 0, 0]</t>
  </si>
  <si>
    <t>LINESTRING (15.245159865920316 66.49590038052875, 15.246040215226595 66.49658019081309, 15.255113414949916 66.50077834755963, 15.260988041606154 66.50258596946735, 15.2630102530497 66.50303517557462, 15.264695903972093 66.50333039828456, 15.264768491821451 66.5033418930687, 15.26525928596356 66.50341668833487, 15.272891823787953 66.50454630463283, 15.298736438060173 66.51151456353155, 15.298923858069974 66.5116318436951, 15.299488691272282 66.51203976515906, 15.30042494602435 66.5130029016593, 15.30505013733801 66.51915045627267, 15.30402924119792 66.52154538728576, 15.304719404654325 66.53247596186628, 15.314055539248635 66.54816653892831, 15.315113152220338 66.54914692633928)</t>
  </si>
  <si>
    <t>[359785, 359794, 359806, 359816, 359817, 477523, 477531, 1197216, 1197224, 1197232, 1197240, 1197248, 1197256, 1197264, 1197272, 1197280, 1197288]</t>
  </si>
  <si>
    <t>[348201, 348210, 348222, 348229, 348230, 476204, 476213, 1123262, 1123266, 1123271, 1123276, 1123278, 1123284, 1123289, 1123292, 1123296, 925452]</t>
  </si>
  <si>
    <t>0.014779153634324768</t>
  </si>
  <si>
    <t>[348200, 348201, 348210, 348222, 348229, 348230, 476204, 476213, 1123262, 1123266, 1123271, 1123276, 1123278, 1123284, 1123289, 1123292, 1123296]</t>
  </si>
  <si>
    <t>[0.041, 0.001, 0.078, 0.013, 0.031, 5.849, 0.017, 0.024, 0.017, 0.026, 0.024, 0.018, 0.007, 0.064, 0.021, 0.009, 0.004]</t>
  </si>
  <si>
    <t>7392.920159157742</t>
  </si>
  <si>
    <t>[-0.028, -0.057, -0.04, -0.012, 0.061]</t>
  </si>
  <si>
    <t>LINESTRING (15.241112247858169 66.49293823810096, 15.242974614981316 66.49425837631429, 15.243485377217839 66.49465911894265, 15.243501068503825 66.49467142976034, 15.24360929906926 66.4947562174268, 15.245159865920316 66.49590038052875)</t>
  </si>
  <si>
    <t>[1004805, 1004820, 1004821, 1004822, 1004833]</t>
  </si>
  <si>
    <t>[961801, 961814, 961815, 961816, 348200]</t>
  </si>
  <si>
    <t>0.002856035443372289</t>
  </si>
  <si>
    <t>[467849, 961801, 961814, 961815, 961816]</t>
  </si>
  <si>
    <t>[0.028, 0.057, 0.04, 0.012, 0.061]</t>
  </si>
  <si>
    <t>376.53668783506</t>
  </si>
  <si>
    <t>[-0.032, -0.049, -0.044, -0.004, 0.059]</t>
  </si>
  <si>
    <t>LINESTRING (15.241112247858169 66.49293823810096, 15.243011400875515 66.4941342850557, 15.243126853795335 66.4942274139152, 15.243639069774394 66.49462958018871, 15.243704734999877 66.49468125003483, 15.245159865920316 66.49590038052875)</t>
  </si>
  <si>
    <t>[1005051, 1005052, 1005053, 1005054, 1005061]</t>
  </si>
  <si>
    <t>[962033, 962034, 962035, 961840, 348200]</t>
  </si>
  <si>
    <t>0.002696529544663239</t>
  </si>
  <si>
    <t>[467849, 962033, 962034, 962035, 961840]</t>
  </si>
  <si>
    <t>[0.032, 0.049, 0.044, 0.004, 0.059]</t>
  </si>
  <si>
    <t>377.27529905503036</t>
  </si>
  <si>
    <t>[0.03, 0.029, 0.026, 0.003, 0.003, 0.003, -0.001, -0.007]</t>
  </si>
  <si>
    <t>LINESTRING (18.987662118425778 69.65014185689911, 18.988471163836746 69.65008437057045, 18.988659416968993 69.65007444530909, 18.99012756807407 69.65000369609008, 18.990341624863976 69.64999921896853, 18.990591231017973 69.64999641194059, 18.99075925909079 69.64999590194493, 18.99224277926529 69.65004704066138, 18.993069712763532 69.65013429976922)</t>
  </si>
  <si>
    <t>[359840, 359847, 359848, 359849, 359880, 359881, 359887, 359911]</t>
  </si>
  <si>
    <t>[348254, 348263, 348264, 348265, 348302, 348303, 348311, 348344]</t>
  </si>
  <si>
    <t>0.011501819361085476</t>
  </si>
  <si>
    <t>[348253, 348254, 348263, 348264, 348265, 348302, 348303, 348311]</t>
  </si>
  <si>
    <t>[0.03, 0.029, 0.026, 0.003, 0.003, 0.003, 0.001, 0.007]</t>
  </si>
  <si>
    <t>213.30537600424526</t>
  </si>
  <si>
    <t>[0.022, 0.025, 0.003, 0.003, 0.003, -0.0, 0.003, 0.003]</t>
  </si>
  <si>
    <t>LINESTRING (18.987662118425778 69.65014185689911, 18.988672492873487 69.65015642399814, 18.99013690166024 69.65008963210563, 18.990341683044793 69.65008744145008, 18.990585339897464 69.6500859378062, 18.99074809291697 69.65008592524966, 18.992204758640458 69.65012998535545, 18.99232948527095 69.65013489814375, 18.993069712763532 69.65013429976922)</t>
  </si>
  <si>
    <t>[359918, 359922, 359923, 359924, 359935, 359943, 359944, 359945]</t>
  </si>
  <si>
    <t>[348352, 348356, 348357, 348358, 348371, 348381, 348382, 348344]</t>
  </si>
  <si>
    <t>0.011729278230212647</t>
  </si>
  <si>
    <t>[348253, 348352, 348356, 348357, 348358, 348371, 348381, 348382]</t>
  </si>
  <si>
    <t>[0.022, 0.025, 0.003, 0.003, 0.003, 0.0, 0.003, 0.003]</t>
  </si>
  <si>
    <t>211.07564187197275</t>
  </si>
  <si>
    <t>[0.009, 0.011, 0.334, 0.022]</t>
  </si>
  <si>
    <t>LINESTRING (18.982103672871304 69.64812614711579, 18.984768653849272 69.64981028730031, 18.986832735563414 69.65011166825913, 18.987196535399047 69.6501341195963, 18.987662118425778 69.65014185689911)</t>
  </si>
  <si>
    <t>[1190848, 1190856, 1190864, 359839]</t>
  </si>
  <si>
    <t>[896752, 1118767, 348252, 348253]</t>
  </si>
  <si>
    <t>0.023156441914523544</t>
  </si>
  <si>
    <t>[1012151, 896752, 1118767, 348252]</t>
  </si>
  <si>
    <t>358.20854251475214</t>
  </si>
  <si>
    <t>[-0.261, -0.012, -0.009, -0.007, -0.01, -0.038, -0.027, -0.015, -0.016, -0.013, -0.015, -0.013, -0.009, 0.004, 0.003, 0.001]</t>
  </si>
  <si>
    <t>[0, 0, 0, 0, 0, 0, 0, 0, 0, 0, 0, 0, 0, 1, 0, 0]</t>
  </si>
  <si>
    <t>LINESTRING (18.993069712763532 69.65013429976922, 18.993394302644848 69.65015355273125, 18.993684014472414 69.65017717537528, 18.994461724525785 69.65023982796687, 18.99463304571563 69.65025392831025, 18.99522937961884 69.65029936426039, 18.996244769770453 69.65037270965203, 19.000759272662272 69.65085829065805, 19.00182378291575 69.65109884734451, 19.00196571252181 69.65113280192362, 19.002043696389666 69.65115359893332, 19.002118127167304 69.6511730754917, 19.003433713151804 69.65157032540436, 19.003620220173275 69.65163802963465, 19.00376958826765 69.65169085951973, 19.00407260966787 69.65180088622942, 19.007253393819433 69.65330865216652)</t>
  </si>
  <si>
    <t>[1190872, 1190880, 1190888, 1190896, 1190904, 1190912, 1190920, 1190928, 1190936, 1190944, 1190952, 1190960, 1190968, 1190976, 1190984, 1190992]</t>
  </si>
  <si>
    <t>[1118780, 1118786, 1118795, 1118802, 892441, 1118811, 896727, 230667, 1118828, 1118834, 230654, 1118847, 1118851, 1118860, 1118867, 1017402]</t>
  </si>
  <si>
    <t>[348344, 1118780, 1118786, 1118795, 1118802, 892441, 1118811, 896727, 230667, 1118828, 1118834, 230654, 1118847, 1118851, 1118860, 1118867]</t>
  </si>
  <si>
    <t>[0.261, 0.012, 0.009, 0.007, 0.01, 0.038, 0.027, 0.015, 0.016, 0.013, 0.015, 0.013, 0.009, 0.004, 0.003, 0.001]</t>
  </si>
  <si>
    <t>686.3265670286935</t>
  </si>
  <si>
    <t>[0.003, 0.042]</t>
  </si>
  <si>
    <t>LINESTRING (15.088356758886492 66.4638422165389, 15.089886075656644 66.46317735118929, 15.090391235491518 66.46306488568773)</t>
  </si>
  <si>
    <t>[359995, 1197184]</t>
  </si>
  <si>
    <t>[348436, 466280]</t>
  </si>
  <si>
    <t>0.010506476313616796</t>
  </si>
  <si>
    <t>[348435, 348436]</t>
  </si>
  <si>
    <t>133.86952995774305</t>
  </si>
  <si>
    <t>[-0.012, -0.009]</t>
  </si>
  <si>
    <t>LINESTRING (15.088371043212854 66.4641119684241, 15.088325891584285 66.46393445654266, 15.088356758886492 66.4638422165389)</t>
  </si>
  <si>
    <t>[1005041, 1005042]</t>
  </si>
  <si>
    <t>[962022, 348435]</t>
  </si>
  <si>
    <t>[961913, 962022]</t>
  </si>
  <si>
    <t>[0.012, 0.009]</t>
  </si>
  <si>
    <t>30.262750086528353</t>
  </si>
  <si>
    <t>29.808331865339433</t>
  </si>
  <si>
    <t>[-0.024, -0.018, -0.007, 0.004]</t>
  </si>
  <si>
    <t>LINESTRING (11.128820717360847 60.78669079650472, 11.128862016593962 60.78677055227818, 11.128837152173277 60.7868089363234, 11.128783186800343 60.786841626134105, 11.128602612868926 60.78686751424226)</t>
  </si>
  <si>
    <t>[362106, 362114, 362122, 362130]</t>
  </si>
  <si>
    <t>[350593, 350603, 350609, 350615]</t>
  </si>
  <si>
    <t>[350592, 350593, 350603, 350609]</t>
  </si>
  <si>
    <t>[0.024, 0.018, 0.007, 0.004]</t>
  </si>
  <si>
    <t>28.822490077929693</t>
  </si>
  <si>
    <t>20.249071576489737</t>
  </si>
  <si>
    <t>[-0.038, -0.031, -0.019, -0.015]</t>
  </si>
  <si>
    <t>LINESTRING (11.134275435487295 60.783111874817386, 11.133900347997884 60.783341656777495, 11.132276132133784 60.78410718573039, 11.128845842180443 60.78664873451344, 11.128820717360847 60.78669079650472)</t>
  </si>
  <si>
    <t>[363582, 362748, 2168652, 2168655]</t>
  </si>
  <si>
    <t>[351180, 351181, 1854857, 350592]</t>
  </si>
  <si>
    <t>[351455, 351180, 351181, 1854857]</t>
  </si>
  <si>
    <t>[0.038, 0.031, 0.019, 0.015]</t>
  </si>
  <si>
    <t>500.77719500203955</t>
  </si>
  <si>
    <t>16.74676319011873</t>
  </si>
  <si>
    <t>[-0.0, -0.006, -0.039, -0.053, -0.054, -0.0, 0.0, 0.0]</t>
  </si>
  <si>
    <t>[0, 0, 0, 0, 0, 1, 0, 0]</t>
  </si>
  <si>
    <t>LINESTRING (11.128602612868926 60.78686751424226, 11.128521162985514 60.78689482601834, 11.12842164083269 60.78693473978421, 11.126017855858521 60.78894742292374, 11.125539132988818 60.789717248942964, 11.125318139780282 60.79009846741887, 11.12510967751828 60.79044597955531, 11.124927228709087 60.790750197263954, 11.124558120772933 60.791212439715586)</t>
  </si>
  <si>
    <t>[2168658, 2168661, 2168664, 362724, 373732, 373740, 373748, 373652]</t>
  </si>
  <si>
    <t>[1854860, 1854863, 351159, 351160, 362754, 362763, 362668, 362669]</t>
  </si>
  <si>
    <t>[350615, 1854860, 1854863, 351159, 351160, 362754, 362763, 362668]</t>
  </si>
  <si>
    <t>[0.0, 0.006, 0.039, 0.053, 0.054, 0.0, 0.0, 0.0]</t>
  </si>
  <si>
    <t>537.9607641548498</t>
  </si>
  <si>
    <t>[0.018, 0.011]</t>
  </si>
  <si>
    <t>LINESTRING (11.128405136702792 60.78676392264143, 11.128427402028672 60.78670748571979, 11.128487081448045 60.78667057443149)</t>
  </si>
  <si>
    <t>[362146, 362155]</t>
  </si>
  <si>
    <t>[350632, 350641]</t>
  </si>
  <si>
    <t>0.014849189110842447</t>
  </si>
  <si>
    <t>[350624, 350632]</t>
  </si>
  <si>
    <t>11.648486324509676</t>
  </si>
  <si>
    <t>[-0.027, -0.021]</t>
  </si>
  <si>
    <t>LINESTRING (11.128080773737368 60.78661172186987, 11.128339261305483 60.78673584465927, 11.128405136702792 60.78676392264143)</t>
  </si>
  <si>
    <t>[363477, 363485]</t>
  </si>
  <si>
    <t>[351887, 350624]</t>
  </si>
  <si>
    <t>[350651, 351887]</t>
  </si>
  <si>
    <t>[0.027, 0.021]</t>
  </si>
  <si>
    <t>24.500470253430343</t>
  </si>
  <si>
    <t>LINESTRING (11.128080773737368 60.78661172186987, 11.128410704587893 60.786661079041544, 11.128487081448045 60.78667057443149)</t>
  </si>
  <si>
    <t>[363461, 363469]</t>
  </si>
  <si>
    <t>[351875, 350641]</t>
  </si>
  <si>
    <t>[350651, 351875]</t>
  </si>
  <si>
    <t>23.09002419139589</t>
  </si>
  <si>
    <t>[0.002, 0.158, 0.112, 0.029]</t>
  </si>
  <si>
    <t>LINESTRING (10.319359578050443 59.72965049882648, 10.318605345340297 59.72946880820497, 10.31853299822698 59.72944497072777, 10.31791646287547 59.729188016944704, 10.317403840192208 59.72880541395703)</t>
  </si>
  <si>
    <t>[362479, 362487, 362495, 362503]</t>
  </si>
  <si>
    <t>[350947, 350953, 350960, 350966]</t>
  </si>
  <si>
    <t>0.04966657773024645</t>
  </si>
  <si>
    <t>[350946, 350947, 350953, 350960]</t>
  </si>
  <si>
    <t>149.4323952015093</t>
  </si>
  <si>
    <t>[-0.023, 0.133, 0.112, 0.059]</t>
  </si>
  <si>
    <t>LINESTRING (10.319359578050443 59.72965049882648, 10.318678144808912 59.72940738562079, 10.318607521832924 59.72938344785369, 10.31800424845453 59.72912808338652, 10.317403840192208 59.72880541395703)</t>
  </si>
  <si>
    <t>[362511, 362519, 362527, 362535]</t>
  </si>
  <si>
    <t>[350970, 350976, 350984, 350966]</t>
  </si>
  <si>
    <t>0.051087732321467405</t>
  </si>
  <si>
    <t>[350946, 350970, 350976, 350984]</t>
  </si>
  <si>
    <t>[0.023, 0.133, 0.112, 0.059]</t>
  </si>
  <si>
    <t>145.71895371637243</t>
  </si>
  <si>
    <t>[-0.006, -0.076, -0.085]</t>
  </si>
  <si>
    <t>LINESTRING (10.322194629066654 59.73031869333165, 10.322161994016177 59.73031132265947, 10.32076411095291 59.72998881292286, 10.319359578050443 59.72965049882648)</t>
  </si>
  <si>
    <t>[1412765, 1412774, 1412791]</t>
  </si>
  <si>
    <t>[1291637, 1291645, 350946]</t>
  </si>
  <si>
    <t>[1291636, 1291637, 1291645]</t>
  </si>
  <si>
    <t>[0.006, 0.076, 0.085]</t>
  </si>
  <si>
    <t>176.08637743260937</t>
  </si>
  <si>
    <t>[-0.097, -0.044, -0.017, 0.012]</t>
  </si>
  <si>
    <t>LINESTRING (10.317403840192208 59.72880541395703, 10.316959785879755 59.72777761366102, 10.315464638206958 59.7269966924561, 10.314727375800047 59.72707177307542, 10.314537843107308 59.72712807661026)</t>
  </si>
  <si>
    <t>[1412796, 1412805, 950472, 950480]</t>
  </si>
  <si>
    <t>[1291664, 918851, 918852, 918860]</t>
  </si>
  <si>
    <t>[350966, 1291664, 918851, 918852]</t>
  </si>
  <si>
    <t>[0.097, 0.044, 0.017, 0.012]</t>
  </si>
  <si>
    <t>315.82166900156795</t>
  </si>
  <si>
    <t>99.63217632328943</t>
  </si>
  <si>
    <t>[-0.024, -0.036, -0.042]</t>
  </si>
  <si>
    <t>LINESTRING (11.227474022440212 60.7245050444514, 11.22755799444478 60.724388492824325, 11.228364612432014 60.72379226906689, 11.228469072125108 60.72375907760355)</t>
  </si>
  <si>
    <t>[362636, 362644, 362652]</t>
  </si>
  <si>
    <t>[351083, 351093, 351102]</t>
  </si>
  <si>
    <t>[351082, 351083, 351093]</t>
  </si>
  <si>
    <t>[0.024, 0.036, 0.042]</t>
  </si>
  <si>
    <t>100.8299528889996</t>
  </si>
  <si>
    <t>[-0.016, -0.027, -0.033]</t>
  </si>
  <si>
    <t>LINESTRING (11.224238920122511 60.72631573762135, 11.224564713379886 60.72607962759177, 11.22620715820899 60.72525862551636, 11.227474022440212 60.7245050444514)</t>
  </si>
  <si>
    <t>[363574, 362628, 2168499]</t>
  </si>
  <si>
    <t>[351070, 351071, 351082]</t>
  </si>
  <si>
    <t>[351267, 351070, 351071]</t>
  </si>
  <si>
    <t>[0.016, 0.027, 0.033]</t>
  </si>
  <si>
    <t>268.7885034547161</t>
  </si>
  <si>
    <t>[-0.023, -0.015, -0.003]</t>
  </si>
  <si>
    <t>LINESTRING (11.228469072125108 60.72375907760355, 11.228489675772245 60.72362655696274, 11.228457996822163 60.72355328975731, 11.228443849779211 60.7235252967739)</t>
  </si>
  <si>
    <t>[2168505, 2168508, 2168511]</t>
  </si>
  <si>
    <t>[1854787, 1854789, 1854790]</t>
  </si>
  <si>
    <t>[351102, 1854787, 1854789]</t>
  </si>
  <si>
    <t>[0.023, 0.015, 0.003]</t>
  </si>
  <si>
    <t>26.370001582183384</t>
  </si>
  <si>
    <t>[-0.004, 0.009, 0.032]</t>
  </si>
  <si>
    <t>LINESTRING (11.236446728959015 60.72021109172185, 11.236048586315029 60.72041026529782, 11.230060882487017 60.723404894869795, 11.224238920122511 60.72631573762135)</t>
  </si>
  <si>
    <t>[362820, 362828, 362836]</t>
  </si>
  <si>
    <t>[351252, 351259, 351267]</t>
  </si>
  <si>
    <t>0.019543525504956714</t>
  </si>
  <si>
    <t>[351244, 351252, 351259]</t>
  </si>
  <si>
    <t>[0.004, 0.009, 0.032]</t>
  </si>
  <si>
    <t>952.2679499802608</t>
  </si>
  <si>
    <t>[-0.031, -0.021, 0.0, 0.003]</t>
  </si>
  <si>
    <t>LINESTRING (11.228611934320801 60.72325336634214, 11.228691353861658 60.72325056954091, 11.233166281903342 60.721778201114866, 11.235877026277553 60.72042230493076, 11.236446728959015 60.72021109172185)</t>
  </si>
  <si>
    <t>[2168484, 2168487, 362236, 363268]</t>
  </si>
  <si>
    <t>[1854777, 350706, 350707, 351244]</t>
  </si>
  <si>
    <t>[1854776, 1854777, 350706, 350707]</t>
  </si>
  <si>
    <t>[0.031, 0.021, 0.0, 0.003]</t>
  </si>
  <si>
    <t>552.031063604018</t>
  </si>
  <si>
    <t>[0.014, -0.001, 0.0, 0.004, -0.007, -0.02, -0.02, 0.004, 0.007, -0.003, 0.017, 0.011, -0.025, -0.028, -0.026]</t>
  </si>
  <si>
    <t>[0, 0, 0, 1, 0, 1, 0, 0, 1, 0, 1, 0, 0, 0, 0]</t>
  </si>
  <si>
    <t>LINESTRING (11.224238920122511 60.72631573762135, 11.222527417851312 60.727171370681965, 11.221264891102898 60.727802680180396, 11.20540395912364 60.74350467520595, 11.204934363221135 60.743870240759385, 11.191879024079757 60.75779958778639, 11.191669023784977 60.75801797587497, 11.190052876366424 60.75955154543202, 11.179866689940571 60.76598192081864, 11.179710316767745 60.766055934859274, 11.164748630392587 60.770784943709536, 11.164411158250907 60.77088054564114, 11.16364542559776 60.7711097688856, 11.13481423848394 60.7827737492262, 11.134153043945776 60.78304645710228, 11.133833188298052 60.78318205446203)</t>
  </si>
  <si>
    <t>[362844, 362852, 362860, 362868, 362876, 362884, 362892, 362900, 362908, 362916, 362924, 362932, 362940, 362948, 362956]</t>
  </si>
  <si>
    <t>[351274, 351279, 351285, 351292, 351298, 351304, 351308, 351311, 351315, 351320, 351327, 351332, 351336, 351342, 351348]</t>
  </si>
  <si>
    <t>[351267, 351274, 351279, 351285, 351292, 351298, 351304, 351308, 351311, 351315, 351320, 351327, 351332, 351336, 351342]</t>
  </si>
  <si>
    <t>[0.014, 0.001, 0.0, 0.004, 0.007, 0.02, 0.02, 0.004, 0.007, 0.003, 0.017, 0.011, 0.025, 0.028, 0.026]</t>
  </si>
  <si>
    <t>8282.106446078884</t>
  </si>
  <si>
    <t>[-0.022, -0.014, -0.044]</t>
  </si>
  <si>
    <t>LINESTRING (11.133833188298052 60.78318205446203, 11.128360034096291 60.786402163413385, 11.12788174617003 60.78678575337128, 11.125266280578165 60.789677274131606)</t>
  </si>
  <si>
    <t>[363188, 363196, 363204]</t>
  </si>
  <si>
    <t>[351598, 351608, 351618]</t>
  </si>
  <si>
    <t>[351348, 351598, 351608]</t>
  </si>
  <si>
    <t>[0.022, 0.014, 0.044]</t>
  </si>
  <si>
    <t>872.4791799650869</t>
  </si>
  <si>
    <t>[0.0, 0.0, 0.004, -0.007, -0.019, -0.02, 0.004, 0.009, -0.003, 0.012, 0.012, -0.025, -0.026]</t>
  </si>
  <si>
    <t>[0, 0, 1, 0, 1, 0, 0, 1, 0, 1, 0, 0, 0]</t>
  </si>
  <si>
    <t>LINESTRING (11.222676566605532 60.727250703315576, 11.22142667756671 60.72787536876306, 11.20556018384579 60.743551616093846, 11.205088353426936 60.74391900647197, 11.192045374564197 60.757837483001424, 11.191837901894854 60.758053156690416, 11.190213332434904 60.75959519870741, 11.179996761842352 60.7660454028711, 11.179816475750126 60.76613042076096, 11.164838697293316 60.770863206103535, 11.164497411361792 60.7709599575688, 11.163743805522682 60.771185510423436, 11.134931685587052 60.78284266430307, 11.134275435487295 60.783111874817386)</t>
  </si>
  <si>
    <t>[362964, 362972, 362980, 362988, 362996, 363004, 363012, 363020, 363028, 363036, 363044, 363052, 363060]</t>
  </si>
  <si>
    <t>[351359, 351369, 351378, 351385, 351390, 351396, 351403, 351410, 351419, 351428, 351436, 351445, 351455]</t>
  </si>
  <si>
    <t>[351358, 351359, 351369, 351378, 351385, 351390, 351396, 351403, 351410, 351419, 351428, 351436, 351445]</t>
  </si>
  <si>
    <t>[0.0, 0.0, 0.004, 0.007, 0.019, 0.02, 0.004, 0.009, 0.003, 0.012, 0.012, 0.025, 0.026]</t>
  </si>
  <si>
    <t>8125.44458447085</t>
  </si>
  <si>
    <t>[0.008, 0.033, 0.013]</t>
  </si>
  <si>
    <t>LINESTRING (11.236193491025835 60.72049169270067, 11.23021781861667 60.723480267703515, 11.224384559831202 60.726396821040574, 11.222676566605532 60.727250703315576)</t>
  </si>
  <si>
    <t>[363164, 363172, 363180]</t>
  </si>
  <si>
    <t>[351575, 351584, 351358]</t>
  </si>
  <si>
    <t>0.01941974831208125</t>
  </si>
  <si>
    <t>[351564, 351575, 351584]</t>
  </si>
  <si>
    <t>1054.3541145048423</t>
  </si>
  <si>
    <t>[0.018, 0.03, 0.038, 0.023, 0.009]</t>
  </si>
  <si>
    <t>LINESTRING (11.230922124321028 60.723974206115585, 11.230850654249924 60.72397336299488, 11.230675806502898 60.72397695356677, 11.226742938311094 60.72529081906245, 11.2232426707631 60.7270406993103, 11.222676566605532 60.727250703315576)</t>
  </si>
  <si>
    <t>[2168490, 2168493, 2168496, 362756, 363566]</t>
  </si>
  <si>
    <t>[1854781, 1854783, 351189, 351190, 351358]</t>
  </si>
  <si>
    <t>0.02885362040658899</t>
  </si>
  <si>
    <t>[1854780, 1854781, 1854783, 351189, 351190]</t>
  </si>
  <si>
    <t>587.4793986322719</t>
  </si>
  <si>
    <t>[-0.028, -0.022, -0.013, -0.044, -0.056, -0.002, 0.0]</t>
  </si>
  <si>
    <t>[0, 0, 1, 0, 0, 1, 0]</t>
  </si>
  <si>
    <t>LINESTRING (11.134275435487295 60.783111874817386, 11.133971560768023 60.78324210846815, 11.128529192153504 60.78643877880932, 11.128041728834091 60.786829834876094, 11.12544205574543 60.7897033874859, 11.125228293482147 60.79008715190376, 11.12502073673473 60.79043325185167, 11.124558120772933 60.791212439715586)</t>
  </si>
  <si>
    <t>[363212, 363220, 363228, 363236, 374356, 374556, 375519]</t>
  </si>
  <si>
    <t>[351626, 351635, 351644, 351653, 363283, 363414, 362669]</t>
  </si>
  <si>
    <t>[351455, 351626, 351635, 351644, 351653, 363283, 363414]</t>
  </si>
  <si>
    <t>[0.028, 0.022, 0.013, 0.044, 0.056, 0.002, 0.0]</t>
  </si>
  <si>
    <t>1065.1334909734333</t>
  </si>
  <si>
    <t>[0.011, 0.007, 0.009, 0.016, 0.016, 0.004, -0.005]</t>
  </si>
  <si>
    <t>[0, 1, 0, 0, 1, 0, 0]</t>
  </si>
  <si>
    <t>LINESTRING (11.26593196984053 60.70533121139983, 11.251301756631156 60.71195306499578, 11.251001897233955 60.71218528614527, 11.246536519735345 60.71525290524697, 11.246251550155964 60.71540969059523, 11.245959492343793 60.715568236107416, 11.2365909187607 60.72029298397367, 11.236193491025835 60.72049169270067)</t>
  </si>
  <si>
    <t>[363108, 363116, 363124, 363132, 363140, 363148, 363156]</t>
  </si>
  <si>
    <t>[351514, 351522, 351529, 351537, 351544, 351554, 351564]</t>
  </si>
  <si>
    <t>0.00830163445863222</t>
  </si>
  <si>
    <t>[351513, 351514, 351522, 351529, 351537, 351544, 351554]</t>
  </si>
  <si>
    <t>[0.011, 0.007, 0.009, 0.016, 0.016, 0.004, 0.005]</t>
  </si>
  <si>
    <t>2357.755322388755</t>
  </si>
  <si>
    <t>[-0.003, -0.002, 0.01, 0.006]</t>
  </si>
  <si>
    <t>LINESTRING (11.236193491025835 60.72049169270067, 11.235806754757744 60.720759012809694, 11.234415661481597 60.72145472110979, 11.231359968480719 60.72372916319615, 11.231374304318054 60.72376761467944)</t>
  </si>
  <si>
    <t>[363260, 362228, 2168478, 2168481]</t>
  </si>
  <si>
    <t>[350698, 350699, 1854773, 1854774]</t>
  </si>
  <si>
    <t>0.00606859547648002</t>
  </si>
  <si>
    <t>[351564, 350698, 350699, 1854773]</t>
  </si>
  <si>
    <t>[0.003, 0.002, 0.01, 0.006]</t>
  </si>
  <si>
    <t>456.41013669092075</t>
  </si>
  <si>
    <t>[-0.054, -0.006, 0.0, 0.0, 0.001, 0.003, 0.008]</t>
  </si>
  <si>
    <t>[0, 1, 0, 0, 0, 1, 0]</t>
  </si>
  <si>
    <t>LINESTRING (11.125266280578165 60.789677274131606, 11.125008838252079 60.79005573100421, 11.12480127936393 60.79040183059433, 11.124336927127453 60.791176023684095, 11.124202425587441 60.791451243681045, 11.122600138994278 60.794123009518195, 11.12226499388236 60.7946793547557, 11.121146970535554 60.796132271202964)</t>
  </si>
  <si>
    <t>[374324, 375543, 375431, 375439, 375535, 372982, 373462]</t>
  </si>
  <si>
    <t>[363253, 364258, 364259, 364268, 362011, 362012, 362485]</t>
  </si>
  <si>
    <t>[351618, 363253, 364258, 364259, 364268, 362011, 362012]</t>
  </si>
  <si>
    <t>[0.054, 0.006, 0.0, 0.0, 0.001, 0.003, 0.008]</t>
  </si>
  <si>
    <t>754.0323250106928</t>
  </si>
  <si>
    <t>LINESTRING (11.229125681391297 60.72350099464495, 11.228714843485047 60.72348349254017, 11.228642382354035 60.723481721462136)</t>
  </si>
  <si>
    <t>[363372, 363380]</t>
  </si>
  <si>
    <t>[351789, 351797]</t>
  </si>
  <si>
    <t>[351788, 351789]</t>
  </si>
  <si>
    <t>26.469791553322125</t>
  </si>
  <si>
    <t>[0.017, 0.018]</t>
  </si>
  <si>
    <t>LINESTRING (11.229125681391297 60.72350099464495, 11.22878987224175 60.72338835055556, 11.228734190700262 60.72337338963608)</t>
  </si>
  <si>
    <t>[363388, 363396]</t>
  </si>
  <si>
    <t>[351801, 351810]</t>
  </si>
  <si>
    <t>0.017134976995748365</t>
  </si>
  <si>
    <t>[351788, 351801]</t>
  </si>
  <si>
    <t>25.682557726165978</t>
  </si>
  <si>
    <t>[0.028, 0.027, 0.025]</t>
  </si>
  <si>
    <t>LINESTRING (11.23046200150644 60.723747959091284, 11.230245698646469 60.723707929734275, 11.22933924186597 60.723540445293565, 11.229125681391297 60.72350099464495)</t>
  </si>
  <si>
    <t>[2168607, 2168610, 2168613]</t>
  </si>
  <si>
    <t>[1854832, 1854834, 351788]</t>
  </si>
  <si>
    <t>0.02684228343041969</t>
  </si>
  <si>
    <t>[351827, 1854832, 1854834]</t>
  </si>
  <si>
    <t>77.96014593329298</t>
  </si>
  <si>
    <t>12.063775564334687</t>
  </si>
  <si>
    <t>[0.027, 0.033]</t>
  </si>
  <si>
    <t>LINESTRING (11.228734190700262 60.72337338963608, 11.228714272498506 60.723427388553404, 11.228642382354035 60.723481721462136)</t>
  </si>
  <si>
    <t>[2168604, 2168583]</t>
  </si>
  <si>
    <t>[1854825, 351797]</t>
  </si>
  <si>
    <t>0.030247598870136734</t>
  </si>
  <si>
    <t>[351810, 1854825]</t>
  </si>
  <si>
    <t>13.33004986581112</t>
  </si>
  <si>
    <t>15.348865544159192</t>
  </si>
  <si>
    <t>[0.01, 0.023]</t>
  </si>
  <si>
    <t>LINESTRING (11.230849986605016 60.723883639625754, 11.23079366404126 60.72386317861099, 11.23046200150644 60.723747959091284)</t>
  </si>
  <si>
    <t>[363404, 363412]</t>
  </si>
  <si>
    <t>[351819, 351827]</t>
  </si>
  <si>
    <t>0.021087835633625866</t>
  </si>
  <si>
    <t>[351818, 351819]</t>
  </si>
  <si>
    <t>26.02177659124341</t>
  </si>
  <si>
    <t>[-0.012, -0.017]</t>
  </si>
  <si>
    <t>LINESTRING (11.230849986605016 60.723883639625754, 11.230869796325925 60.72382271630861, 11.23093324054545 60.72377308818257)</t>
  </si>
  <si>
    <t>[2168568, 2168571]</t>
  </si>
  <si>
    <t>[1854818, 351837]</t>
  </si>
  <si>
    <t>[351818, 1854818]</t>
  </si>
  <si>
    <t>[0.012, 0.017]</t>
  </si>
  <si>
    <t>13.399896529745876</t>
  </si>
  <si>
    <t>10.83340205070504</t>
  </si>
  <si>
    <t>[0.016, 0.031]</t>
  </si>
  <si>
    <t>LINESTRING (11.23093324054545 60.72377308818257, 11.230867998036473 60.723767656473306, 11.23046200150644 60.723747959091284)</t>
  </si>
  <si>
    <t>[363420, 363429]</t>
  </si>
  <si>
    <t>[351838, 351827]</t>
  </si>
  <si>
    <t>0.028906465957881728</t>
  </si>
  <si>
    <t>[351837, 351838]</t>
  </si>
  <si>
    <t>25.881227488636746</t>
  </si>
  <si>
    <t>26.62280563700921</t>
  </si>
  <si>
    <t>12.485168561151074</t>
  </si>
  <si>
    <t>37.7245262664353</t>
  </si>
  <si>
    <t>[0.041, 0.016, 0.047, 0.038]</t>
  </si>
  <si>
    <t>LINESTRING (11.192426334162368 60.33409585655505, 11.193538425271846 60.334985818597694, 11.193834615859233 60.33519992008404, 11.194534799227874 60.33567499476557, 11.195673401798253 60.33637297377542)</t>
  </si>
  <si>
    <t>[1747543, 1747557, 1747572, 1747591]</t>
  </si>
  <si>
    <t>[1549292, 1549300, 1549307, 351985]</t>
  </si>
  <si>
    <t>0.038975769232232484</t>
  </si>
  <si>
    <t>[1547266, 1549292, 1549300, 1549307]</t>
  </si>
  <si>
    <t>311.2014059669966</t>
  </si>
  <si>
    <t>[0.0, -0.069]</t>
  </si>
  <si>
    <t>LINESTRING (11.195389202780174 60.33634016738297, 11.195389202780174 60.33634016738297, 11.195097928238408 60.33630553067618)</t>
  </si>
  <si>
    <t>[363605, 363613]</t>
  </si>
  <si>
    <t>[351998, 352008]</t>
  </si>
  <si>
    <t>[351999, 351998]</t>
  </si>
  <si>
    <t>[0.0, 0.069]</t>
  </si>
  <si>
    <t>19.179970725751577</t>
  </si>
  <si>
    <t>90.89713384391918</t>
  </si>
  <si>
    <t>71.3301559018246</t>
  </si>
  <si>
    <t>13.338445186853786</t>
  </si>
  <si>
    <t>[-0.029, 0.193, 0.021, -0.19, -0.162, -0.178, -0.159]</t>
  </si>
  <si>
    <t>11833.0</t>
  </si>
  <si>
    <t>LINESTRING (11.19610691857099 60.33663455438863, 11.196968163613523 60.33714391800828, 11.197104364048037 60.33722187746943, 11.20850107942626 60.345822834339444, 11.208557632187636 60.34595879568996, 11.208584008587223 60.346059594332814, 11.208616018156617 60.34618200112134, 11.208715927494385 60.346592946026064)</t>
  </si>
  <si>
    <t>[1747598, 1747605, 1536322, 1536330, 1747621, 1747626, 1747627]</t>
  </si>
  <si>
    <t>[1549319, 1388396, 1388397, 1388406, 1549331, 1549334, 1549335]</t>
  </si>
  <si>
    <t>0.007424890891746642</t>
  </si>
  <si>
    <t>[352016, 1549319, 1388396, 1388397, 1388406, 1549331, 1549334]</t>
  </si>
  <si>
    <t>[0.029, 0.193, 0.021, 0.19, 0.162, 0.178, 0.159]</t>
  </si>
  <si>
    <t>1333.5104271103312</t>
  </si>
  <si>
    <t>[0.0, 0.039]</t>
  </si>
  <si>
    <t>LINESTRING (11.196121845561212 60.33678419794997, 11.196121845561212 60.33678419794997, 11.196138551218498 60.33693740711273)</t>
  </si>
  <si>
    <t>[363637, 363645]</t>
  </si>
  <si>
    <t>[352031, 352041]</t>
  </si>
  <si>
    <t>0.03427409857919531</t>
  </si>
  <si>
    <t>[352032, 352031]</t>
  </si>
  <si>
    <t>19.455077657885653</t>
  </si>
  <si>
    <t>[-0.111, 0.895]</t>
  </si>
  <si>
    <t>LINESTRING (11.196138551218498 60.33693740711273, 11.196638505181966 60.33723801269784, 11.196768550721812 60.33731976936083)</t>
  </si>
  <si>
    <t>[1748190, 1748197]</t>
  </si>
  <si>
    <t>[1549660, 600471]</t>
  </si>
  <si>
    <t>0.10114718625479024</t>
  </si>
  <si>
    <t>[352041, 1549660]</t>
  </si>
  <si>
    <t>[0.111, 0.895]</t>
  </si>
  <si>
    <t>55.01599780355653</t>
  </si>
  <si>
    <t>[-0.01, -0.003, 0.021, 0.051, 0.03, -0.042, -0.103]</t>
  </si>
  <si>
    <t>[0, 0, 1, 1, 0, 0, 0]</t>
  </si>
  <si>
    <t>LINESTRING (5.63623432962855 59.0114755843806, 5.636155713865669 59.01162304603977, 5.636052517513485 59.01173807660945, 5.635855501570055 59.01192234797319, 5.6358336107746245 59.01194282254729, 5.635655908174621 59.0121244529616, 5.63579792884516 59.0123325600163, 5.635948177430143 59.01236041656123)</t>
  </si>
  <si>
    <t>[363767, 363775, 363783, 363791, 363799, 363807, 363815]</t>
  </si>
  <si>
    <t>[352183, 352192, 352201, 352211, 352221, 352228, 352237]</t>
  </si>
  <si>
    <t>[352182, 352183, 352192, 352201, 352211, 352221, 352228]</t>
  </si>
  <si>
    <t>[0.01, 0.003, 0.021, 0.051, 0.03, 0.042, 0.103]</t>
  </si>
  <si>
    <t>116.52474494980878</t>
  </si>
  <si>
    <t>[-0.0, 0.03, 0.034]</t>
  </si>
  <si>
    <t>LINESTRING (5.63623432962855 59.0114755843806, 5.635980675854673 59.01171313542004, 5.635766205930614 59.01191639716808, 5.635487606542641 59.01219442642912)</t>
  </si>
  <si>
    <t>[367104, 367112, 367120]</t>
  </si>
  <si>
    <t>[355752, 355758, 352382]</t>
  </si>
  <si>
    <t>0.02155933975294041</t>
  </si>
  <si>
    <t>[352182, 355752, 355758]</t>
  </si>
  <si>
    <t>[0.0, 0.03, 0.034]</t>
  </si>
  <si>
    <t>91.13595391188628</t>
  </si>
  <si>
    <t>[-0.019, -0.015]</t>
  </si>
  <si>
    <t>LINESTRING (5.638128944755327 59.0097091447653, 5.6372553657181195 59.0105251492097, 5.63623432962855 59.0114755843806)</t>
  </si>
  <si>
    <t>[367088, 367096]</t>
  </si>
  <si>
    <t>[355739, 352182]</t>
  </si>
  <si>
    <t>[355738, 355739]</t>
  </si>
  <si>
    <t>[0.019, 0.015]</t>
  </si>
  <si>
    <t>225.58237810765036</t>
  </si>
  <si>
    <t>[-0.025, 0.041, 0.086, 0.051, 0.118, 0.082]</t>
  </si>
  <si>
    <t>LINESTRING (5.635948177430143 59.01236041656123, 5.6365378025474735 59.01213995056207, 5.635982722476878 59.011864219084565, 5.635801709909857 59.01180284781262, 5.63578655807324 59.0117975855068, 5.635771423420938 59.011792324451974, 5.635148765722336 59.0115787412216)</t>
  </si>
  <si>
    <t>[363823, 363831, 363839, 363847, 363856, 363865]</t>
  </si>
  <si>
    <t>[352246, 352255, 352264, 352275, 352285, 352293]</t>
  </si>
  <si>
    <t>0.036662449748103655</t>
  </si>
  <si>
    <t>[352237, 352246, 352255, 352264, 352275, 352285]</t>
  </si>
  <si>
    <t>[0.025, 0.041, 0.086, 0.051, 0.118, 0.082]</t>
  </si>
  <si>
    <t>149.31631089960624</t>
  </si>
  <si>
    <t>[0.099, 0.102, 0.112]</t>
  </si>
  <si>
    <t>LINESTRING (5.635948177430143 59.01236041656123, 5.635853039305111 59.012375712971796, 5.635426096788545 59.012379829519666, 5.635342058340495 59.01237208366324)</t>
  </si>
  <si>
    <t>[364018, 364026, 364034]</t>
  </si>
  <si>
    <t>[352434, 352440, 352446]</t>
  </si>
  <si>
    <t>0.10290041989769835</t>
  </si>
  <si>
    <t>[352237, 352434, 352440]</t>
  </si>
  <si>
    <t>35.50798382562808</t>
  </si>
  <si>
    <t>[0.0, -0.101, -0.091]</t>
  </si>
  <si>
    <t>LINESTRING (5.634820267861344 59.01220550413393, 5.634820267861344 59.01220550413393, 5.635370191320693 59.01221939553855, 5.635487606542641 59.01219442642912)</t>
  </si>
  <si>
    <t>[363938, 363946, 363954]</t>
  </si>
  <si>
    <t>[352370, 352377, 352382]</t>
  </si>
  <si>
    <t>[352369, 352370, 352377]</t>
  </si>
  <si>
    <t>[0.0, 0.101, 0.091]</t>
  </si>
  <si>
    <t>43.10839895883021</t>
  </si>
  <si>
    <t>21.551758396269033</t>
  </si>
  <si>
    <t>[0.021, 0.009]</t>
  </si>
  <si>
    <t>LINESTRING (5.635342058340495 59.01237208366324, 5.635096067372116 59.01281150486082, 5.634890655775207 59.0132016996311)</t>
  </si>
  <si>
    <t>[367136, 367144]</t>
  </si>
  <si>
    <t>[355780, 352453]</t>
  </si>
  <si>
    <t>0.01536938340744788</t>
  </si>
  <si>
    <t>[352446, 355780]</t>
  </si>
  <si>
    <t>96.28923402347536</t>
  </si>
  <si>
    <t>[0.024, -0.022, 0.079, 0.09]</t>
  </si>
  <si>
    <t>LINESTRING (5.634890655775207 59.0132016996311, 5.634919307007213 59.0129628808878, 5.635213451781547 59.01241403241518, 5.634881739739617 59.01233923038589, 5.634801301474379 59.0123597102927)</t>
  </si>
  <si>
    <t>[364042, 364050, 364058, 364066]</t>
  </si>
  <si>
    <t>[352454, 352463, 352468, 352477]</t>
  </si>
  <si>
    <t>0.014410376024858005</t>
  </si>
  <si>
    <t>[352453, 352454, 352463, 352468]</t>
  </si>
  <si>
    <t>[0.024, 0.022, 0.079, 0.09]</t>
  </si>
  <si>
    <t>121.38774489425873</t>
  </si>
  <si>
    <t>[-0.023, 0.0, -0.023, -0.031, -0.022, -0.036, -0.005, 0.0, 0.0, 0.0, 0.0, 0.0, 0.0, 0.043, 0.318, -0.011, -0.018]</t>
  </si>
  <si>
    <t>LINESTRING (5.634890655775207 59.0132016996311, 5.634872056554175 59.013236242293665, 5.634867172943416 59.01324485187152, 5.634679283853183 59.01359814781112, 5.634336146621837 59.01425236756083, 5.634331640684349 59.01426100467564, 5.63299764607936 59.01583661044222, 5.613378947103801 59.02772636370692, 5.616679272828507 59.030708476723625, 5.616999130362986 59.03086565124399, 5.617011657426136 59.030871808419406, 5.618568942808508 59.03165295459616, 5.622298515232367 59.03351637946702, 5.625679283789122 59.03540650388424, 5.633799700486159 59.040504979104526, 5.633810502504782 59.040511948553934, 5.656078178866765 59.054550299204784, 5.65810823528502 59.05557351079339)</t>
  </si>
  <si>
    <t>[367152, 367160, 367168, 367176, 367184, 367192, 367200, 367208, 367216, 367224, 367232, 367240, 367248, 804881, 804889, 804897, 804905]</t>
  </si>
  <si>
    <t>[355795, 355802, 355810, 355821, 355829, 355838, 355846, 355859, 355868, 355877, 355886, 355893, 355902, 783284, 783291, 783299, 783308]</t>
  </si>
  <si>
    <t>[352453, 355795, 355802, 355810, 355821, 355829, 355838, 355846, 355859, 355868, 355877, 355886, 355893, 355902, 783284, 783291, 783299]</t>
  </si>
  <si>
    <t>[0.023, 0.0, 0.023, 0.031, 0.022, 0.036, 0.005, 0.0, 0.0, 0.0, 0.0, 0.0, 0.0, 0.043, 0.318, 0.011, 0.018]</t>
  </si>
  <si>
    <t>6341.758363292759</t>
  </si>
  <si>
    <t>[-0.083, -0.046, 0.006, -0.0]</t>
  </si>
  <si>
    <t>LINESTRING (5.702037406940451 59.105578669215504, 5.701939132777678 59.10575385139629, 5.701856639890445 59.105856329544714, 5.7017634095196925 59.10597328681081, 5.701680225585401 59.10665089944338)</t>
  </si>
  <si>
    <t>[364130, 364138, 364146, 364154]</t>
  </si>
  <si>
    <t>[352538, 352544, 352553, 352562]</t>
  </si>
  <si>
    <t>[352537, 352538, 352544, 352553]</t>
  </si>
  <si>
    <t>[0.083, 0.046, 0.006, 0.0]</t>
  </si>
  <si>
    <t>134.50246192082568</t>
  </si>
  <si>
    <t>[-0.064, -0.01, -0.008, 0.008]</t>
  </si>
  <si>
    <t>LINESTRING (5.702037406940451 59.105578669215504, 5.701798827635865 59.105813064985966, 5.7017910378955685 59.10582138579715, 5.701698676658185 59.10592152399407, 5.701612478897035 59.10602225217086)</t>
  </si>
  <si>
    <t>[367304, 367312, 367320, 367328]</t>
  </si>
  <si>
    <t>[355966, 355976, 355987, 352644]</t>
  </si>
  <si>
    <t>[352537, 355966, 355976, 355987]</t>
  </si>
  <si>
    <t>[0.064, 0.01, 0.008, 0.008]</t>
  </si>
  <si>
    <t>55.277184761272196</t>
  </si>
  <si>
    <t>[0.044, -0.013, 0.0, 0.003, -0.005, 0.131, 0.163, 0.165, 0.257, -0.059, -0.183]</t>
  </si>
  <si>
    <t>LINESTRING (5.674137400777704 59.07040905400899, 5.676857777531527 59.07195048970413, 5.690405865897954 59.08036867173898, 5.690416708970632 59.08037563831056, 5.699554644598527 59.08630765213449, 5.701532236782405 59.08758663196101, 5.705782612138577 59.09240730483513, 5.705785513665654 59.09241610895601, 5.706120829656589 59.09341507234269, 5.706207762109176 59.09367859989634, 5.70303511353152 59.10486550756748, 5.702037406940451 59.105578669215504)</t>
  </si>
  <si>
    <t>[805121, 805129, 805137, 805145, 805153, 367256, 367264, 367272, 367280, 367288, 367296]</t>
  </si>
  <si>
    <t>[783529, 783536, 783543, 783549, 355910, 355911, 355919, 355927, 355938, 355949, 352537]</t>
  </si>
  <si>
    <t>0.00045205413635887354</t>
  </si>
  <si>
    <t>[783522, 783529, 783536, 783543, 783549, 355910, 355911, 355919, 355927, 355938, 355949]</t>
  </si>
  <si>
    <t>[0.044, 0.013, 0.0, 0.003, 0.005, 0.131, 0.163, 0.165, 0.257, 0.059, 0.183]</t>
  </si>
  <si>
    <t>4744.106235400971</t>
  </si>
  <si>
    <t>[0.127, 0.098]</t>
  </si>
  <si>
    <t>LINESTRING (5.701680225585401 59.10665089944338, 5.702289514446995 59.106526291497126, 5.7023304291646015 59.10648134994636)</t>
  </si>
  <si>
    <t>[364162, 364170]</t>
  </si>
  <si>
    <t>[352571, 352576]</t>
  </si>
  <si>
    <t>0.12341553919644384</t>
  </si>
  <si>
    <t>[352562, 352571]</t>
  </si>
  <si>
    <t>44.861607348006764</t>
  </si>
  <si>
    <t>[0.041, 0.039, 0.038]</t>
  </si>
  <si>
    <t>LINESTRING (5.701680225585401 59.10665089944338, 5.701607484577536 59.10666923028293, 5.70121918376553 59.1066910819285, 5.701135777840963 59.10669950495769)</t>
  </si>
  <si>
    <t>[364250, 364258, 364266]</t>
  </si>
  <si>
    <t>[352652, 352660, 352671]</t>
  </si>
  <si>
    <t>0.039138346476729396</t>
  </si>
  <si>
    <t>[352562, 352652, 352660]</t>
  </si>
  <si>
    <t>31.99051545945451</t>
  </si>
  <si>
    <t>[-0.041, -0.039, -0.036]</t>
  </si>
  <si>
    <t>LINESTRING (5.701154627322942 59.10597514646336, 5.701236814804305 59.106008740656016, 5.701484874715657 59.106037277760386, 5.701612478897035 59.10602225217086)</t>
  </si>
  <si>
    <t>[364226, 364234, 364242]</t>
  </si>
  <si>
    <t>[352623, 352635, 352644]</t>
  </si>
  <si>
    <t>[352622, 352623, 352635]</t>
  </si>
  <si>
    <t>[0.041, 0.039, 0.036]</t>
  </si>
  <si>
    <t>28.46315142090249</t>
  </si>
  <si>
    <t>LINESTRING (5.701154627322942 59.10597514646336, 5.701091998550811 59.1059188359177, 5.700906519942689 59.10574881282186)</t>
  </si>
  <si>
    <t>[364354, 364362]</t>
  </si>
  <si>
    <t>[352748, 352755]</t>
  </si>
  <si>
    <t>[352622, 352748]</t>
  </si>
  <si>
    <t>29.033498827798063</t>
  </si>
  <si>
    <t>[-0.011, -0.008]</t>
  </si>
  <si>
    <t>LINESTRING (5.700870867917743 59.10721932281181, 5.700854726579929 59.107073042732104, 5.701154627322942 59.10597514646336)</t>
  </si>
  <si>
    <t>[364338, 364346]</t>
  </si>
  <si>
    <t>[352735, 352622]</t>
  </si>
  <si>
    <t>[352734, 352735]</t>
  </si>
  <si>
    <t>[0.011, 0.008]</t>
  </si>
  <si>
    <t>143.28979679456418</t>
  </si>
  <si>
    <t>80.52958393046887</t>
  </si>
  <si>
    <t>60.045830779600564</t>
  </si>
  <si>
    <t>[-0.09, -0.005, -0.003, 0.012]</t>
  </si>
  <si>
    <t>LINESTRING (5.700870867917743 59.10721932281181, 5.7007396672465305 59.107494148208275, 5.7003337915495305 59.10832355731598, 5.699106715380637 59.110773215632996, 5.697955629444955 59.113295639867594)</t>
  </si>
  <si>
    <t>[367352, 367360, 367368, 367376]</t>
  </si>
  <si>
    <t>[356026, 356037, 356048, 356058]</t>
  </si>
  <si>
    <t>[352734, 356026, 356037, 356048]</t>
  </si>
  <si>
    <t>[0.09, 0.005, 0.003, 0.012]</t>
  </si>
  <si>
    <t>699.4381988950765</t>
  </si>
  <si>
    <t>[0.022, 0.025]</t>
  </si>
  <si>
    <t>LINESTRING (5.700906519942689 59.10574881282186, 5.700801495283593 59.105559172955786, 5.7007729464546415 59.10551433559734)</t>
  </si>
  <si>
    <t>[379974, 379992]</t>
  </si>
  <si>
    <t>[369081, 354422]</t>
  </si>
  <si>
    <t>0.02257333185417245</t>
  </si>
  <si>
    <t>[352755, 369081]</t>
  </si>
  <si>
    <t>27.585615957947837</t>
  </si>
  <si>
    <t>[0.036, 0.032]</t>
  </si>
  <si>
    <t>LINESTRING (5.700906519942689 59.10574881282186, 5.700616357103134 59.10559797394437, 5.70056565049586 59.10555468909948)</t>
  </si>
  <si>
    <t>[1112710, 1112718]</t>
  </si>
  <si>
    <t>[1052365, 354437]</t>
  </si>
  <si>
    <t>0.035235377219427925</t>
  </si>
  <si>
    <t>[352755, 1052365]</t>
  </si>
  <si>
    <t>29.54012646834429</t>
  </si>
  <si>
    <t>[0.044, 0.06, 0.066, 0.021, 0.009]</t>
  </si>
  <si>
    <t>LINESTRING (14.528665853091866 66.40512668809225, 14.531726341132954 66.40428237068868, 14.531901571235496 66.40425024085225, 14.532005786852157 66.40423119334419, 14.532981897172549 66.40406550193384, 14.535864635143678 66.40362888384631)</t>
  </si>
  <si>
    <t>[364407, 364415, 364423, 364431, 364439]</t>
  </si>
  <si>
    <t>[352796, 352803, 352811, 352821, 352828]</t>
  </si>
  <si>
    <t>0.028534795181349586</t>
  </si>
  <si>
    <t>[352795, 352796, 352803, 352811, 352821]</t>
  </si>
  <si>
    <t>365.8622493389352</t>
  </si>
  <si>
    <t>[0.044, 0.062, 0.023, 0.006, 0.009]</t>
  </si>
  <si>
    <t>LINESTRING (14.528665853091866 66.40512668809225, 14.531892317708905 66.4043261105545, 14.532103873646175 66.40428736097223, 14.5330547995194 66.40412642912428, 14.533483737786288 66.40405904567571, 14.535864635143678 66.40362888384631)</t>
  </si>
  <si>
    <t>[364447, 364455, 364463, 364471, 364479]</t>
  </si>
  <si>
    <t>[352835, 352838, 352845, 352856, 352828]</t>
  </si>
  <si>
    <t>0.028459602821709822</t>
  </si>
  <si>
    <t>[352795, 352835, 352838, 352845, 352856]</t>
  </si>
  <si>
    <t>364.47892222011984</t>
  </si>
  <si>
    <t>287.6469321335166</t>
  </si>
  <si>
    <t>[-0.106, -0.008, 0.019, 0.01, 0.012, -0.037, -0.033, 0.038, 0.027, 0.012]</t>
  </si>
  <si>
    <t>[0, 1, 0, 0, 0, 0, 0, 0, 0, 0]</t>
  </si>
  <si>
    <t>LINESTRING (14.535864635143678 66.40362888384631, 14.536947978623436 66.40330204763937, 14.537431213254928 66.40308987375124, 14.535169930164354 66.39881464695348, 14.535081786355354 66.39875780207609, 14.530168515474662 66.3951870304697, 14.52954524521715 66.39406507948034, 14.537386696815263 66.38912556098094, 14.537476825657476 66.38905385122084, 14.537792501780247 66.38879953446784, 14.538183547921362 66.3884870637626)</t>
  </si>
  <si>
    <t>[2088559, 2088567, 2088575, 2088583, 2088591, 2088599, 595574, 1819958, 1819966, 1819982]</t>
  </si>
  <si>
    <t>[1808677, 1808682, 456467, 1808691, 456401, 599310, 599311, 1600094, 1600004, 1571835]</t>
  </si>
  <si>
    <t>[352828, 1808677, 1808682, 456467, 1808691, 456401, 599310, 599311, 1600094, 1600004]</t>
  </si>
  <si>
    <t>[0.106, 0.008, 0.019, 0.01, 0.012, 0.037, 0.033, 0.038, 0.027, 0.012]</t>
  </si>
  <si>
    <t>1963.1924361864449</t>
  </si>
  <si>
    <t>0.1</t>
  </si>
  <si>
    <t>132.6456094599202</t>
  </si>
  <si>
    <t>[0.041, 0.084]</t>
  </si>
  <si>
    <t>LINESTRING (5.6388704286886275 59.126454804926304, 5.638757414422297 59.126413143247056, 5.638750113878753 59.12636065149991)</t>
  </si>
  <si>
    <t>[364474, 364482]</t>
  </si>
  <si>
    <t>[352860, 352867]</t>
  </si>
  <si>
    <t>0.05923224949040474</t>
  </si>
  <si>
    <t>[352859, 352860]</t>
  </si>
  <si>
    <t>13.869092410469431</t>
  </si>
  <si>
    <t>[0.017, 0.015, 0.018, -0.005, -0.013, -0.011, -0.007, -0.037, -0.02, 0.009, 0.033, -0.005, 0.054, -0.004, 0.024, -0.001, 0.039, 0.005, 0.005, -0.007, 0.018, 0.014, -0.082, -0.085, -0.009, 0.004, -0.001, -0.001, 1.082]</t>
  </si>
  <si>
    <t>4548.0</t>
  </si>
  <si>
    <t>[0, 0, 0, 0, 0, 0, 0, 0, 0, 0, 0, 0, 0, 0, 0, 0, 0, 0, 0, 0, 0, 0, 0, 0, 0, 1, 1, 0, 0]</t>
  </si>
  <si>
    <t>LINESTRING (5.697955629444955 59.113295639867594, 5.697603314047502 59.11441761206318, 5.697589150930176 59.114468201150906, 5.69757144254494 59.11453098757411, 5.697416798369221 59.11511854021222, 5.6973525549565505 59.115356624258496, 5.696906357011222 59.11650918948419, 5.693193085741794 59.11942200551653, 5.693175998351991 59.11942863246772, 5.693107631491 59.11945513900175, 5.682650329423956 59.12150605688931, 5.6825710829237 59.121523266307605, 5.676617923370144 59.12359939026636, 5.676552196522213 59.12361380698672, 5.670247375578873 59.12494624915293, 5.6702293344959855 59.12494901741191, 5.670157182513716 59.12496010939473, 5.6586562351866325 59.12638397764925, 5.658636347332726 59.12638405257287, 5.658457268032902 59.126384729352765, 5.6476134726557 59.126254977749745, 5.647548289804537 59.12626376208962, 5.643070001497854 59.12646236906854, 5.641603005162791 59.1264265830866, 5.641553068624488 59.12642557304005, 5.641032041782841 59.126417773681446, 5.640749186685931 59.12641455774872, 5.640400105658327 59.12641547280655, 5.638997590432642 59.126449412195626, 5.6388704286886275 59.126454804926304)</t>
  </si>
  <si>
    <t>[367384, 367392, 367400, 367408, 367416, 367424, 367432, 367440, 367448, 367456, 367464, 367472, 367480, 367488, 367496, 367504, 367512, 367520, 367528, 367536, 367544, 367552, 367560, 367568, 367576, 367584, 367592, 367600, 367608]</t>
  </si>
  <si>
    <t>[356070, 356083, 356093, 356100, 356112, 356124, 356134, 356146, 356155, 356165, 356172, 356179, 356186, 356193, 356200, 356208, 356216, 356223, 356230, 356238, 356246, 356257, 356265, 356272, 356282, 356292, 356299, 356307, 352859]</t>
  </si>
  <si>
    <t>0.006495924478470797</t>
  </si>
  <si>
    <t>[356058, 356070, 356083, 356093, 356100, 356112, 356124, 356134, 356146, 356155, 356165, 356172, 356179, 356186, 356193, 356200, 356208, 356216, 356223, 356230, 356238, 356246, 356257, 356265, 356272, 356282, 356292, 356299, 356307]</t>
  </si>
  <si>
    <t>[0.017, 0.015, 0.018, 0.005, 0.013, 0.011, 0.007, 0.037, 0.02, 0.009, 0.033, 0.005, 0.054, 0.004, 0.024, 0.001, 0.039, 0.005, 0.005, 0.007, 0.018, 0.014, 0.082, 0.085, 0.009, 0.004, 0.001, 0.001, 1.082]</t>
  </si>
  <si>
    <t>4075.145280677925</t>
  </si>
  <si>
    <t>[0.0, -0.041, 0.949]</t>
  </si>
  <si>
    <t>LINESTRING (5.638931240030865 59.12614731920055, 5.638931240030865 59.12614731920055, 5.638968060117413 59.12640249801163, 5.6388704286886275 59.126454804926304)</t>
  </si>
  <si>
    <t>[1351166, 1351174, 1351182]</t>
  </si>
  <si>
    <t>[1251311, 1251319, 352859]</t>
  </si>
  <si>
    <t>0.15753685773930906</t>
  </si>
  <si>
    <t>[353925, 1251311, 1251319]</t>
  </si>
  <si>
    <t>[0.0, 0.041, 0.949]</t>
  </si>
  <si>
    <t>41.20738153360087</t>
  </si>
  <si>
    <t>[0.091, 0.093]</t>
  </si>
  <si>
    <t>LINESTRING (5.638750113878753 59.12636065149991, 5.638831525793004 59.12613111850836, 5.638854322906977 59.12609300853621)</t>
  </si>
  <si>
    <t>[364490, 364498]</t>
  </si>
  <si>
    <t>[352873, 352880]</t>
  </si>
  <si>
    <t>0.09129189497376886</t>
  </si>
  <si>
    <t>[352867, 352873]</t>
  </si>
  <si>
    <t>30.52696540013632</t>
  </si>
  <si>
    <t>[0.046, 0.044, 2.309]</t>
  </si>
  <si>
    <t>LINESTRING (5.636598535284886 59.126663023145426, 5.63681315173811 59.12659907344373, 5.638693306463111 59.12637585223143, 5.638750113878753 59.12636065149991)</t>
  </si>
  <si>
    <t>[1351230, 1351238, 1351246]</t>
  </si>
  <si>
    <t>[1251360, 1251368, 352867]</t>
  </si>
  <si>
    <t>0.10881922486214526</t>
  </si>
  <si>
    <t>[356326, 1251360, 1251368]</t>
  </si>
  <si>
    <t>128.98826516031363</t>
  </si>
  <si>
    <t>2.6958238073241163</t>
  </si>
  <si>
    <t>3.7519009847271576</t>
  </si>
  <si>
    <t>[0.018, -0.003, -0.007]</t>
  </si>
  <si>
    <t>LINESTRING (5.70352752537634 58.919806109685695, 5.703822528490619 58.919904194852, 5.707513399692109 58.922106950471736, 5.707586834871838 58.92216097211218)</t>
  </si>
  <si>
    <t>[378609, 803768, 803770]</t>
  </si>
  <si>
    <t>[367538, 782218, 352885]</t>
  </si>
  <si>
    <t>[367537, 367538, 782218]</t>
  </si>
  <si>
    <t>[0.018, 0.003, 0.007]</t>
  </si>
  <si>
    <t>354.3556768832806</t>
  </si>
  <si>
    <t>[0.003, -0.003, -0.014]</t>
  </si>
  <si>
    <t>LINESTRING (5.707633488588453 58.92216105458383, 5.707677179088871 58.92216742886471, 5.707728822908737 58.92218785350177, 5.707759188653047 58.92226139129116)</t>
  </si>
  <si>
    <t>[364514, 364522, 364530]</t>
  </si>
  <si>
    <t>[352891, 352898, 352906]</t>
  </si>
  <si>
    <t>[352886, 352891, 352898]</t>
  </si>
  <si>
    <t>[0.003, 0.003, 0.014]</t>
  </si>
  <si>
    <t>15.042816898796898</t>
  </si>
  <si>
    <t>[0.022, 0.02, 0.977]</t>
  </si>
  <si>
    <t>LINESTRING (5.707633488588453 58.92216105458383, 5.7076656280593 58.92212396474018, 5.70830678854188 58.92178319631157, 5.708451229431669 58.921810824007984)</t>
  </si>
  <si>
    <t>[806291, 806299, 747008]</t>
  </si>
  <si>
    <t>[784659, 729614, 367682]</t>
  </si>
  <si>
    <t>0.15065393776644376</t>
  </si>
  <si>
    <t>[352886, 784659, 729614]</t>
  </si>
  <si>
    <t>67.05892442452887</t>
  </si>
  <si>
    <t>12.82192409865593</t>
  </si>
  <si>
    <t>[1.288, -0.003]</t>
  </si>
  <si>
    <t>LINESTRING (5.707759188653047 58.92226139129116, 5.707858193170403 58.92221067551518, 5.708451229431669 58.921810824007984)</t>
  </si>
  <si>
    <t>[2018489, 2018497]</t>
  </si>
  <si>
    <t>[1763780, 367682]</t>
  </si>
  <si>
    <t>0.15852522679466402</t>
  </si>
  <si>
    <t>[352906, 1763780]</t>
  </si>
  <si>
    <t>[1.288, 0.003]</t>
  </si>
  <si>
    <t>64.35945121206063</t>
  </si>
  <si>
    <t>[0.005, 0.017, 0.02]</t>
  </si>
  <si>
    <t>LINESTRING (5.707581961083979 58.92231695724497, 5.707474945349239 58.92227316274083, 5.707460637875623 58.922233809428256, 5.70752671008697 58.922173649468355)</t>
  </si>
  <si>
    <t>[364546, 364554, 364562]</t>
  </si>
  <si>
    <t>[352921, 352931, 352940]</t>
  </si>
  <si>
    <t>0.013444304650271471</t>
  </si>
  <si>
    <t>[352913, 352921, 352931]</t>
  </si>
  <si>
    <t>20.090797672230696</t>
  </si>
  <si>
    <t>[0.016, 0.016, 0.009, -0.008, 0.008, -0.005, 0.005, 0.015]</t>
  </si>
  <si>
    <t>LINESTRING (5.7052171618445975 58.922409140615, 5.70531538052415 58.922449922749315, 5.705823763473445 58.92251610652155, 5.70658369710808 58.922525323775666, 5.706689016821881 58.922514828891316, 5.706706543723137 58.92251302661441, 5.707066892778476 58.92245973529119, 5.7075093626175475 58.92234271073545, 5.707581961083979 58.92231695724497)</t>
  </si>
  <si>
    <t>[818580, 818588, 818596, 818604, 818612, 818620, 818628, 818636]</t>
  </si>
  <si>
    <t>[796519, 796528, 796538, 796546, 796553, 796561, 796570, 352913]</t>
  </si>
  <si>
    <t>0.007400083526265152</t>
  </si>
  <si>
    <t>[796518, 796519, 796528, 796538, 796546, 796553, 796561, 796570]</t>
  </si>
  <si>
    <t>[0.016, 0.016, 0.009, 0.008, 0.008, 0.005, 0.005, 0.015]</t>
  </si>
  <si>
    <t>144.34250485956605</t>
  </si>
  <si>
    <t>[0.005, 0.002, 0.005, 0.009, 0.007, 0.011, 0.015, 0.014]</t>
  </si>
  <si>
    <t>LINESTRING (5.705250693647433 58.92232959728328, 5.705387722835621 58.922342277310015, 5.705607385614171 58.92238373797963, 5.706499355165105 58.92242463062423, 5.706607347563937 58.92241420301295, 5.706625168630296 58.92241202444547, 5.706984082120335 58.922342941288946, 5.707329085814722 58.92220930164994, 5.70752671008697 58.922173649468355)</t>
  </si>
  <si>
    <t>[376518, 376526, 376534, 376542, 376550, 376558, 376566, 376574]</t>
  </si>
  <si>
    <t>[365514, 365522, 365531, 365538, 365546, 365551, 365559, 352940]</t>
  </si>
  <si>
    <t>0.008429347112289981</t>
  </si>
  <si>
    <t>[365513, 365514, 365522, 365531, 365538, 365546, 365551, 365559]</t>
  </si>
  <si>
    <t>140.68268669984425</t>
  </si>
  <si>
    <t>[0.045, 0.014, 0.006, 0.009, -0.012, -0.027]</t>
  </si>
  <si>
    <t>LINESTRING (14.516116206503987 66.40752856868016, 14.518711499767273 66.40748547633582, 14.519186697507875 66.4074768395576, 14.520081775396607 66.40744372758267, 14.52032139693331 66.40743021788572, 14.520419276853309 66.40742396966428, 14.524105799937047 66.40693232325305)</t>
  </si>
  <si>
    <t>[365025, 365033, 365041, 365049, 365057, 365065]</t>
  </si>
  <si>
    <t>[353428, 353433, 353441, 353401, 353457, 353465]</t>
  </si>
  <si>
    <t>0.002999066648583284</t>
  </si>
  <si>
    <t>[353427, 353428, 353433, 353441, 353401, 353457]</t>
  </si>
  <si>
    <t>[0.045, 0.014, 0.006, 0.009, 0.012, 0.027]</t>
  </si>
  <si>
    <t>367.0942906318711</t>
  </si>
  <si>
    <t>[0.048, 0.009, -0.006, 0.005, 0.027, -0.034]</t>
  </si>
  <si>
    <t>LINESTRING (14.516116206503987 66.40752856868016, 14.51919282854981 66.40754471765688, 14.520111831888263 66.4075111319708, 14.520240479673351 66.40750479008199, 14.520462370947312 66.4074922842718, 14.520478980835277 66.40749134846797, 14.524105799937047 66.40693232325305)</t>
  </si>
  <si>
    <t>[365073, 365081, 365089, 365097, 365105, 365113]</t>
  </si>
  <si>
    <t>[353473, 353481, 353416, 353495, 353402, 353465]</t>
  </si>
  <si>
    <t>0.002878822617520334</t>
  </si>
  <si>
    <t>[353427, 353473, 353481, 353416, 353495, 353402]</t>
  </si>
  <si>
    <t>[0.048, 0.009, 0.006, 0.005, 0.027, 0.034]</t>
  </si>
  <si>
    <t>370.49660657498384</t>
  </si>
  <si>
    <t>[-0.017, -0.008, 0.008, 0.014, 0.019, 0.023, 0.041, 0.065, 1.561]</t>
  </si>
  <si>
    <t>[0, 0, 0, 1, 0, 1, 0, 0, 0]</t>
  </si>
  <si>
    <t>LINESTRING (14.47813554706138 66.4062015820818, 14.496532647216613 66.4067132236948, 14.501738532806408 66.40688506665408, 14.505416196048092 66.40702151341148, 14.5059625010364 66.4070459415418, 14.50944500830192 66.40722675624576, 14.509955856422362 66.40725563428865, 14.515097035125116 66.40750573077523, 14.515969346264287 66.40752600493623, 14.516116206503987 66.40752856868016)</t>
  </si>
  <si>
    <t>[2088479, 2088487, 2088495, 2088503, 2088511, 2088519, 2088527, 2088535, 2088543]</t>
  </si>
  <si>
    <t>[456481, 1186073, 1808638, 1808643, 1808647, 1808652, 1808658, 1808663, 353427]</t>
  </si>
  <si>
    <t>0.006519095487725877</t>
  </si>
  <si>
    <t>[1566973, 456481, 1186073, 1808638, 1808643, 1808647, 1808652, 1808658, 1808663]</t>
  </si>
  <si>
    <t>[0.017, 0.008, 0.008, 0.014, 0.019, 0.023, 0.041, 0.065, 1.561]</t>
  </si>
  <si>
    <t>1723.3204508803387</t>
  </si>
  <si>
    <t>[0.076, -0.014, -0.081, -0.082]</t>
  </si>
  <si>
    <t>LINESTRING (5.676882957934548 58.9834922671886, 5.676868726581877 58.98351050133836, 5.676792713247958 58.98354196158268, 5.6767174280315205 58.98354049713289, 5.676687102352544 58.98353517663216)</t>
  </si>
  <si>
    <t>[365237, 365245, 365253, 365261]</t>
  </si>
  <si>
    <t>[353653, 353663, 353672, 353679]</t>
  </si>
  <si>
    <t>[353652, 353653, 353663, 353672]</t>
  </si>
  <si>
    <t>[0.076, 0.014, 0.081, 0.082]</t>
  </si>
  <si>
    <t>14.009605070001477</t>
  </si>
  <si>
    <t>[0.109, 0.106]</t>
  </si>
  <si>
    <t>LINESTRING (5.676730307880591 58.983410706358214, 5.6768466911895175 58.98342819677719, 5.676882957934548 58.9834922671886)</t>
  </si>
  <si>
    <t>[365301, 365309]</t>
  </si>
  <si>
    <t>[353721, 353652]</t>
  </si>
  <si>
    <t>0.10745154754350016</t>
  </si>
  <si>
    <t>[353712, 353721]</t>
  </si>
  <si>
    <t>14.450538056090544</t>
  </si>
  <si>
    <t>[0.056, 0.009]</t>
  </si>
  <si>
    <t>LINESTRING (5.677869359299563 58.98302131784364, 5.676956026857708 58.98344893478398, 5.676882957934548 58.9834922671886)</t>
  </si>
  <si>
    <t>[1370663, 1370671]</t>
  </si>
  <si>
    <t>[1263813, 353652]</t>
  </si>
  <si>
    <t>0.052128810620688984</t>
  </si>
  <si>
    <t>[783234, 1263813]</t>
  </si>
  <si>
    <t>77.9379687760931</t>
  </si>
  <si>
    <t>[-0.136, -0.083, -0.004]</t>
  </si>
  <si>
    <t>LINESTRING (5.676687102352544 58.98353517663216, 5.676624492691682 58.98348932818539, 5.676633687253375 58.983451677346196, 5.676670807293775 58.98342539043763)</t>
  </si>
  <si>
    <t>[365269, 365277, 365285]</t>
  </si>
  <si>
    <t>[353689, 353697, 353703]</t>
  </si>
  <si>
    <t>[353679, 353689, 353697]</t>
  </si>
  <si>
    <t>[0.136, 0.083, 0.004]</t>
  </si>
  <si>
    <t>14.14341497505982</t>
  </si>
  <si>
    <t>[-0.089, -0.078, -0.093]</t>
  </si>
  <si>
    <t>LINESTRING (5.676687102352544 58.98353517663216, 5.6765797304978864 58.9835354303641, 5.675262774921766 58.983661485443626, 5.674723597109197 58.983643247783924)</t>
  </si>
  <si>
    <t>[1370743, 1370751, 1370759]</t>
  </si>
  <si>
    <t>[1263870, 1263874, 355461]</t>
  </si>
  <si>
    <t>[353679, 1263870, 1263874]</t>
  </si>
  <si>
    <t>[0.089, 0.078, 0.093]</t>
  </si>
  <si>
    <t>115.86793484459818</t>
  </si>
  <si>
    <t>3.8041436619152966</t>
  </si>
  <si>
    <t>[-0.296, -0.086, 0.049]</t>
  </si>
  <si>
    <t>LINESTRING (5.676670807293775 58.98342539043763, 5.676566512985066 58.98342450301901, 5.675069132223264 58.983602376012236, 5.674723597109197 58.983643247783924)</t>
  </si>
  <si>
    <t>[1019878, 1019886, 1019894]</t>
  </si>
  <si>
    <t>[975625, 975631, 355461]</t>
  </si>
  <si>
    <t>[353703, 975625, 975631]</t>
  </si>
  <si>
    <t>[0.296, 0.086, 0.049]</t>
  </si>
  <si>
    <t>116.57240389274173</t>
  </si>
  <si>
    <t>[0.023, 0.128]</t>
  </si>
  <si>
    <t>LINESTRING (5.677869359299563 58.98302131784364, 5.676812912446336 58.98337413976458, 5.676730307880591 58.983410706358214)</t>
  </si>
  <si>
    <t>[1019862, 1019870]</t>
  </si>
  <si>
    <t>[975614, 353712]</t>
  </si>
  <si>
    <t>0.03135190926004624</t>
  </si>
  <si>
    <t>[783234, 975614]</t>
  </si>
  <si>
    <t>78.91185975470843</t>
  </si>
  <si>
    <t>[0.0, 0.022]</t>
  </si>
  <si>
    <t>LINESTRING (5.321706306855407 59.396596232046456, 5.321706306855407 59.396596232046456, 5.321645959866528 59.396791473614414)</t>
  </si>
  <si>
    <t>[365313, 365318]</t>
  </si>
  <si>
    <t>[353733, 353738]</t>
  </si>
  <si>
    <t>0.014551008690598007</t>
  </si>
  <si>
    <t>[353732, 353733]</t>
  </si>
  <si>
    <t>33.400245716387694</t>
  </si>
  <si>
    <t>[0.036, 0.043, 0.033]</t>
  </si>
  <si>
    <t>LINESTRING (5.321645959866528 59.396791473614414, 5.321677618861369 59.3968594594065, 5.323479997678199 59.39723887623554, 5.323793863451639 59.39730515850174)</t>
  </si>
  <si>
    <t>[365326, 365334, 365342]</t>
  </si>
  <si>
    <t>[353744, 353756, 353765]</t>
  </si>
  <si>
    <t>0.04131239978861901</t>
  </si>
  <si>
    <t>[353738, 353744, 353756]</t>
  </si>
  <si>
    <t>147.1325862435241</t>
  </si>
  <si>
    <t>[-0.063, -0.045, 0.043, 0.028, -0.009]</t>
  </si>
  <si>
    <t>LINESTRING (5.318585710356253 59.39688388618618, 5.319061490969332 59.39690362539061, 5.320349196167724 59.39698870335012, 5.320670184839595 59.39701524950181, 5.321582112897779 59.39685847706953, 5.321645959866528 59.396791473614414)</t>
  </si>
  <si>
    <t>[365520, 365521, 365522, 365530, 365539]</t>
  </si>
  <si>
    <t>[353970, 353971, 353972, 353983, 353738]</t>
  </si>
  <si>
    <t>[353969, 353970, 353971, 353972, 353983]</t>
  </si>
  <si>
    <t>[0.063, 0.045, 0.043, 0.028, 0.009]</t>
  </si>
  <si>
    <t>187.77807769878632</t>
  </si>
  <si>
    <t>94.1001968807782</t>
  </si>
  <si>
    <t>81.00964803034256</t>
  </si>
  <si>
    <t>[0.044, 0.026, 0.046]</t>
  </si>
  <si>
    <t>LINESTRING (5.319096207653206 59.3972474175354, 5.319015969500213 59.3972113864909, 5.318767875523536 59.39693924282399, 5.3186948549764805 59.39689588458842)</t>
  </si>
  <si>
    <t>[365350, 365358, 365366]</t>
  </si>
  <si>
    <t>[353773, 353782, 353790]</t>
  </si>
  <si>
    <t>0.031133044490152646</t>
  </si>
  <si>
    <t>[353772, 353773, 353782]</t>
  </si>
  <si>
    <t>46.2591921000693</t>
  </si>
  <si>
    <t>[1.253, 0.014, 0.01, 0.009, 0.008]</t>
  </si>
  <si>
    <t>LINESTRING (5.319096207653206 59.3972474175354, 5.31912398503146 59.397281753900295, 5.3192017138998535 59.39734719472002, 5.319237158937602 59.39736875772711, 5.319621038811627 59.39752215029157, 5.319681442900868 59.39753974019857)</t>
  </si>
  <si>
    <t>[682366, 682374, 682382, 682390, 682398]</t>
  </si>
  <si>
    <t>[673477, 673486, 673498, 673508, 673519]</t>
  </si>
  <si>
    <t>0.11808408539222234</t>
  </si>
  <si>
    <t>[353772, 673477, 673486, 673498, 673508]</t>
  </si>
  <si>
    <t>47.72822808591735</t>
  </si>
  <si>
    <t>[-0.002, -0.003, -0.004, -0.066]</t>
  </si>
  <si>
    <t>LINESTRING (5.322162118461382 59.39717720857183, 5.321484628845218 59.397164681024314, 5.320563959204705 59.3971013345465, 5.320165961651856 59.397066770681334, 5.319096207653206 59.3972474175354)</t>
  </si>
  <si>
    <t>[682334, 682342, 682350, 682358]</t>
  </si>
  <si>
    <t>[673440, 673447, 673458, 353772]</t>
  </si>
  <si>
    <t>[672933, 673440, 673447, 673458]</t>
  </si>
  <si>
    <t>[0.002, 0.003, 0.004, 0.066]</t>
  </si>
  <si>
    <t>189.90235292972866</t>
  </si>
  <si>
    <t>6.364073302496334</t>
  </si>
  <si>
    <t>[-0.003, -0.004, -0.039]</t>
  </si>
  <si>
    <t>LINESTRING (5.322162118461382 59.39717720857183, 5.320617839632617 59.39705719652085, 5.320241720567995 59.39702695664225, 5.3186948549764805 59.39689588458842)</t>
  </si>
  <si>
    <t>[681869, 681872, 681880]</t>
  </si>
  <si>
    <t>[672941, 672945, 353790]</t>
  </si>
  <si>
    <t>[672933, 672941, 672945]</t>
  </si>
  <si>
    <t>[0.003, 0.004, 0.039]</t>
  </si>
  <si>
    <t>200.1204539492432</t>
  </si>
  <si>
    <t>119.34466512357798</t>
  </si>
  <si>
    <t>143.5383146685112</t>
  </si>
  <si>
    <t>[-0.066, -0.064]</t>
  </si>
  <si>
    <t>LINESTRING (5.316516258085067 59.3964496770072, 5.316150012066009 59.396368745427715, 5.314375163184471 59.39595397044543)</t>
  </si>
  <si>
    <t>[365608, 365616]</t>
  </si>
  <si>
    <t>[354082, 354093]</t>
  </si>
  <si>
    <t>[354081, 354082]</t>
  </si>
  <si>
    <t>[0.066, 0.064]</t>
  </si>
  <si>
    <t>138.91235404037192</t>
  </si>
  <si>
    <t>0.059</t>
  </si>
  <si>
    <t>8.758139071819542</t>
  </si>
  <si>
    <t>59.25026344603756</t>
  </si>
  <si>
    <t>[-0.007, -0.008, -0.014]</t>
  </si>
  <si>
    <t>LINESTRING (5.314375163184471 59.39595397044543, 5.31438832394586 59.39592059279779, 5.314451675805051 59.39574990364153, 5.314445658005207 59.39571908619221)</t>
  </si>
  <si>
    <t>[365720, 365728, 365736]</t>
  </si>
  <si>
    <t>[354217, 354226, 354233]</t>
  </si>
  <si>
    <t>[354093, 354217, 354226]</t>
  </si>
  <si>
    <t>[0.007, 0.008, 0.014]</t>
  </si>
  <si>
    <t>27.623353597744174</t>
  </si>
  <si>
    <t>[-0.041, -0.044]</t>
  </si>
  <si>
    <t>LINESTRING (5.313568213546144 59.39628688556921, 5.313216666063246 59.39622075580265, 5.313163918038817 59.3962081221334)</t>
  </si>
  <si>
    <t>[380874, 380880]</t>
  </si>
  <si>
    <t>[369965, 369971]</t>
  </si>
  <si>
    <t>[354103, 369965]</t>
  </si>
  <si>
    <t>[0.041, 0.044]</t>
  </si>
  <si>
    <t>24.893416641330045</t>
  </si>
  <si>
    <t>[-0.038, -0.042]</t>
  </si>
  <si>
    <t>LINESTRING (5.313568213546144 59.39628688556921, 5.3131357278118605 59.39632320820886, 5.313055993397895 59.3963254630132)</t>
  </si>
  <si>
    <t>[1441162, 1441170]</t>
  </si>
  <si>
    <t>[1309170, 1197597]</t>
  </si>
  <si>
    <t>[354103, 1309170]</t>
  </si>
  <si>
    <t>[0.038, 0.042]</t>
  </si>
  <si>
    <t>32.05481211134598</t>
  </si>
  <si>
    <t>20.457450965431253</t>
  </si>
  <si>
    <t>[0.0, 0.054]</t>
  </si>
  <si>
    <t>LINESTRING (5.314514248286535 59.39503877900843, 5.314514248286535 59.39503877900843, 5.31482022870368 59.39519123523736)</t>
  </si>
  <si>
    <t>[380991, 380999]</t>
  </si>
  <si>
    <t>[370089, 354134]</t>
  </si>
  <si>
    <t>0.04702615829323788</t>
  </si>
  <si>
    <t>[370088, 370089]</t>
  </si>
  <si>
    <t>29.469566217701864</t>
  </si>
  <si>
    <t>[0.0, 0.042]</t>
  </si>
  <si>
    <t>LINESTRING (5.314626314796519 59.3949219828252, 5.314626314796519 59.3949219828252, 5.31482022870368 59.39519123523736)</t>
  </si>
  <si>
    <t>[1441178, 1441186]</t>
  </si>
  <si>
    <t>[1309178, 354134]</t>
  </si>
  <si>
    <t>0.03815750443710855</t>
  </si>
  <si>
    <t>[1197536, 1309178]</t>
  </si>
  <si>
    <t>37.724486430939805</t>
  </si>
  <si>
    <t>[0.052, 0.054]</t>
  </si>
  <si>
    <t>LINESTRING (5.314807968208416 59.39537416204987, 5.316374128944533 59.396367012470684, 5.316647191633488 59.39649068254055)</t>
  </si>
  <si>
    <t>[365656, 365664]</t>
  </si>
  <si>
    <t>[354145, 354156]</t>
  </si>
  <si>
    <t>0.052241070576385704</t>
  </si>
  <si>
    <t>[354135, 354145]</t>
  </si>
  <si>
    <t>172.6987062952541</t>
  </si>
  <si>
    <t>[0.026, 0.028, 0.03, 0.031, 0.009]</t>
  </si>
  <si>
    <t>LINESTRING (5.312905474144591 59.39524833077155, 5.313250868215921 59.395298853679634, 5.313791383158506 59.39543554389384, 5.313991610122694 59.39550158472078, 5.3147868080481855 59.395405149890365, 5.314807968208416 59.39537416204987)</t>
  </si>
  <si>
    <t>[365760, 365768, 365776, 365784, 365792]</t>
  </si>
  <si>
    <t>[354260, 354272, 354281, 354292, 354135]</t>
  </si>
  <si>
    <t>0.028637200315157752</t>
  </si>
  <si>
    <t>[354259, 354260, 354272, 354281, 354292]</t>
  </si>
  <si>
    <t>127.02040463105422</t>
  </si>
  <si>
    <t>[-0.01, 0.0, -0.047, -0.036, -0.035, -0.071]</t>
  </si>
  <si>
    <t>LINESTRING (5.314445658005207 59.39571908619221, 5.313943809267602 59.39554133771675, 5.313936194613591 59.39553884102877, 5.313920193371672 59.39553357278178, 5.313744109808665 59.39547635821195, 5.313036929700016 59.395281032766356, 5.312905474144591 59.39524833077155)</t>
  </si>
  <si>
    <t>[681942, 681947, 681961, 681969, 681977, 681980]</t>
  </si>
  <si>
    <t>[673006, 673013, 673026, 673033, 673040, 354259]</t>
  </si>
  <si>
    <t>[354233, 673006, 673013, 673026, 673033, 673040]</t>
  </si>
  <si>
    <t>[0.01, 0.0, 0.047, 0.036, 0.035, 0.071]</t>
  </si>
  <si>
    <t>102.5110494442121</t>
  </si>
  <si>
    <t>317.1734163896368</t>
  </si>
  <si>
    <t>[0.021, -0.003, -0.028, -0.045]</t>
  </si>
  <si>
    <t>LINESTRING (5.446025297811989 59.42105533702056, 5.445987275816742 59.42109639808806, 5.44590099733585 59.421125288171446, 5.445813584479798 59.42112697024843, 5.445744666005994 59.42111103110735)</t>
  </si>
  <si>
    <t>[365800, 365808, 365816, 365824]</t>
  </si>
  <si>
    <t>[354311, 354323, 354334, 354345]</t>
  </si>
  <si>
    <t>[354310, 354311, 354323, 354334]</t>
  </si>
  <si>
    <t>[0.021, 0.003, 0.028, 0.045]</t>
  </si>
  <si>
    <t>20.24616222095957</t>
  </si>
  <si>
    <t>[0.043, 0.047]</t>
  </si>
  <si>
    <t>LINESTRING (5.445873737935384 59.4209507382286, 5.446006042335184 59.420994522176834, 5.446025297811989 59.42105533702056)</t>
  </si>
  <si>
    <t>[365856, 365864]</t>
  </si>
  <si>
    <t>[354385, 354310]</t>
  </si>
  <si>
    <t>0.04470954292866933</t>
  </si>
  <si>
    <t>[354373, 354385]</t>
  </si>
  <si>
    <t>16.108232825048155</t>
  </si>
  <si>
    <t>[0.0, 0.01]</t>
  </si>
  <si>
    <t>LINESTRING (5.446083862523387 59.42103069314618, 5.446083862523387 59.42103069314618, 5.446025297811989 59.42105533702056)</t>
  </si>
  <si>
    <t>[1438351, 1438359]</t>
  </si>
  <si>
    <t>[1307367, 354310]</t>
  </si>
  <si>
    <t>0.0037817726488208418</t>
  </si>
  <si>
    <t>[1307366, 1307367]</t>
  </si>
  <si>
    <t>11.437911266204246</t>
  </si>
  <si>
    <t>[-0.049, -0.04]</t>
  </si>
  <si>
    <t>LINESTRING (5.445744666005994 59.42111103110735, 5.445690763259328 59.42107429351001, 5.445683864512376 59.42101345080877)</t>
  </si>
  <si>
    <t>[365832, 365840]</t>
  </si>
  <si>
    <t>[354356, 354364]</t>
  </si>
  <si>
    <t>[354345, 354356]</t>
  </si>
  <si>
    <t>[0.049, 0.04]</t>
  </si>
  <si>
    <t>11.937503214446043</t>
  </si>
  <si>
    <t>[0.007, -0.004, -0.005]</t>
  </si>
  <si>
    <t>LINESTRING (5.445744666005994 59.42111103110735, 5.4456952962821195 59.421128044837566, 5.444409221362956 59.421478615644126, 5.443764068823091 59.4216203460092)</t>
  </si>
  <si>
    <t>[1438463, 1438471, 1438479]</t>
  </si>
  <si>
    <t>[1307435, 1307441, 369465]</t>
  </si>
  <si>
    <t>[354345, 1307435, 1307441]</t>
  </si>
  <si>
    <t>[0.007, 0.004, 0.005]</t>
  </si>
  <si>
    <t>126.99085719641207</t>
  </si>
  <si>
    <t>13.725205665908376</t>
  </si>
  <si>
    <t>[0.011, -0.002, 0.008, 0.003]</t>
  </si>
  <si>
    <t>LINESTRING (5.445683864512376 59.42101345080877, 5.445605202195727 59.42104662819352, 5.444367089223264 59.42142332584015, 5.444318043038389 59.421436764512585, 5.443764068823091 59.4216203460092)</t>
  </si>
  <si>
    <t>[380300, 380325, 380338, 380357]</t>
  </si>
  <si>
    <t>[369412, 369435, 369451, 369465]</t>
  </si>
  <si>
    <t>0.00030037171638298523</t>
  </si>
  <si>
    <t>[354364, 369412, 369435, 369451]</t>
  </si>
  <si>
    <t>[0.011, 0.002, 0.008, 0.003]</t>
  </si>
  <si>
    <t>129.37051309038313</t>
  </si>
  <si>
    <t>[0.0, -0.009]</t>
  </si>
  <si>
    <t>LINESTRING (5.445953883751191 59.42093417983898, 5.445953883751191 59.42093417983898, 5.445873737935384 59.4209507382286)</t>
  </si>
  <si>
    <t>[380290, 380295]</t>
  </si>
  <si>
    <t>[369406, 354373]</t>
  </si>
  <si>
    <t>[369405, 369406]</t>
  </si>
  <si>
    <t>[0.0, 0.009]</t>
  </si>
  <si>
    <t>12.85131786356784</t>
  </si>
  <si>
    <t>[0.045, 0.034, 0.011, -0.013, -0.03, -0.042, -0.042, -0.03, -0.008, 0.017]</t>
  </si>
  <si>
    <t>LINESTRING (5.70056565049586 59.10555468909948, 5.700532424208589 59.10554839249289, 5.700438455859493 59.10549682943789, 5.700437095264093 59.105425145849885, 5.7004960135643525 59.105383765453844, 5.700591781497828 59.105363394330446, 5.700699674879609 59.10537272881388, 5.700728799732562 59.10538188300137, 5.70080149881558 59.10544165091624, 5.700789156462965 59.105498860291526, 5.7007729464546415 59.10551433559734)</t>
  </si>
  <si>
    <t>[365908, 365916, 365924, 365932, 365940, 365948, 365860, 365868, 365876, 365884]</t>
  </si>
  <si>
    <t>[354445, 354455, 354464, 354476, 354487, 354389, 354390, 354400, 354411, 354422]</t>
  </si>
  <si>
    <t>[354437, 354445, 354455, 354464, 354476, 354487, 354389, 354390, 354400, 354411]</t>
  </si>
  <si>
    <t>[0.045, 0.034, 0.011, 0.013, 0.03, 0.042, 0.042, 0.03, 0.008, 0.017]</t>
  </si>
  <si>
    <t>54.153781433713625</t>
  </si>
  <si>
    <t>[0.013, 0.001, -0.01, -0.008]</t>
  </si>
  <si>
    <t>LINESTRING (5.404544150380299 59.41846495484254, 5.404388441837726 59.41851941098189, 5.40429907892072 59.41851549482636, 5.404226208849478 59.41849110138375, 5.404186085448377 59.41846572820534)</t>
  </si>
  <si>
    <t>[365936, 365944, 365952, 365960]</t>
  </si>
  <si>
    <t>[354482, 354490, 354496, 354504]</t>
  </si>
  <si>
    <t>0.0028546153665081147</t>
  </si>
  <si>
    <t>[354481, 354482, 354490, 354496]</t>
  </si>
  <si>
    <t>[0.013, 0.001, 0.01, 0.008]</t>
  </si>
  <si>
    <t>24.83926307194566</t>
  </si>
  <si>
    <t>LINESTRING (5.404558946717095 59.41838829178365, 5.404566205818246 59.418424997953416, 5.404544150380299 59.41846495484254)</t>
  </si>
  <si>
    <t>[366016, 366024]</t>
  </si>
  <si>
    <t>[354569, 354481]</t>
  </si>
  <si>
    <t>0.018117748366837248</t>
  </si>
  <si>
    <t>[354561, 354569]</t>
  </si>
  <si>
    <t>8.762071028068853</t>
  </si>
  <si>
    <t>[0.09, 0.157, 0.167, 0.04, 0.0, 0.063, -0.002, 0.035, 0.025, -0.049, -0.092, -0.002]</t>
  </si>
  <si>
    <t>LINESTRING (5.419726044215016 59.421709959690155, 5.418945389651698 59.4214365477651, 5.4189067182635124 59.42142283371569, 5.41854332945503 59.42129256475949, 5.413452516741245 59.41956395480334, 5.413449037383224 59.41956309116571, 5.413432570613931 59.41955899560589, 5.413381596397167 59.41954513654559, 5.412154921407529 59.41926470190533, 5.40942019665519 59.41879451115395, 5.407177191379879 59.41856981716977, 5.404637556073804 59.41846776016698, 5.404544150380299 59.41846495484254)</t>
  </si>
  <si>
    <t>[1438568, 1438576, 1438584, 1438592, 1438600, 1438608, 1438616, 1438624, 1438632, 1438640, 1438648, 1438656]</t>
  </si>
  <si>
    <t>[1307510, 1307518, 1307524, 1307531, 1307537, 1307541, 1307546, 1307552, 1307555, 1307559, 1307563, 354481]</t>
  </si>
  <si>
    <t>0.011043790934271215</t>
  </si>
  <si>
    <t>[369541, 1307510, 1307518, 1307524, 1307531, 1307537, 1307541, 1307546, 1307552, 1307555, 1307559, 1307563]</t>
  </si>
  <si>
    <t>[0.09, 0.157, 0.167, 0.04, 0.0, 0.063, 0.002, 0.035, 0.025, 0.049, 0.092, 0.002]</t>
  </si>
  <si>
    <t>957.6823467555911</t>
  </si>
  <si>
    <t>[-0.015, -0.017]</t>
  </si>
  <si>
    <t>LINESTRING (5.404186085448377 59.41846572820534, 5.404166894364775 59.41840930253942, 5.404207059504417 59.41835314770404)</t>
  </si>
  <si>
    <t>[365968, 365976]</t>
  </si>
  <si>
    <t>[354512, 354522]</t>
  </si>
  <si>
    <t>[354504, 354512]</t>
  </si>
  <si>
    <t>[0.015, 0.017]</t>
  </si>
  <si>
    <t>13.080143690976012</t>
  </si>
  <si>
    <t>[-0.001, 0.007, 0.051, 0.051, 0.053, 0.022, -0.02, 0.043]</t>
  </si>
  <si>
    <t>[0, 0, 1, 0, 0, 0, 0, 0]</t>
  </si>
  <si>
    <t>LINESTRING (5.404186085448377 59.41846572820534, 5.404093208761663 59.4184638659863, 5.402363220270183 59.41848599116112, 5.402033665557199 59.41850539348205, 5.401209835662374 59.4185624174351, 5.400923451217203 59.418585707500114, 5.399265843779266 59.41875575478259, 5.394069049293456 59.42057570434624, 5.393975133709445 59.420682326123774)</t>
  </si>
  <si>
    <t>[1438768, 1438776, 1438784, 1438792, 1438808, 2094470, 2094471, 2094475]</t>
  </si>
  <si>
    <t>[1307652, 1307661, 1307665, 1307672, 1307680, 1812207, 1812208, 1812154]</t>
  </si>
  <si>
    <t>0.00026337075484232094</t>
  </si>
  <si>
    <t>[354504, 1307652, 1307661, 1307665, 1307672, 1307680, 1812207, 1812208]</t>
  </si>
  <si>
    <t>[0.001, 0.007, 0.051, 0.051, 0.053, 0.022, 0.02, 0.043]</t>
  </si>
  <si>
    <t>668.3730877631267</t>
  </si>
  <si>
    <t>[-0.012, -0.01, 0.003, 0.011]</t>
  </si>
  <si>
    <t>LINESTRING (5.404207059504417 59.41835314770404, 5.40430928524967 59.418318233583555, 5.404384781697899 59.418314791823875, 5.4044562324052 59.418325517008384, 5.404558946717095 59.41838829178365)</t>
  </si>
  <si>
    <t>[365984, 365992, 366000, 366008]</t>
  </si>
  <si>
    <t>[354532, 354541, 354552, 354561]</t>
  </si>
  <si>
    <t>[354522, 354532, 354541, 354552]</t>
  </si>
  <si>
    <t>[0.012, 0.01, 0.003, 0.011]</t>
  </si>
  <si>
    <t>24.70442403289256</t>
  </si>
  <si>
    <t>[0.008, 0.009, 0.05, 0.051, 0.052, 0.02, -0.019]</t>
  </si>
  <si>
    <t>LINESTRING (5.404207059504417 59.41835314770404, 5.404098186537055 59.41835983704848, 5.402356297811299 59.418451841474656, 5.402026120226546 59.4184698231685, 5.401247202902296 59.418511417549844, 5.400908322686469 59.418535387492014, 5.399230590247252 59.41870707840404, 5.393977329097284 59.420553639588405)</t>
  </si>
  <si>
    <t>[380580, 380588, 380605, 380606, 380607, 2094494, 2094506]</t>
  </si>
  <si>
    <t>[369666, 369675, 369687, 369688, 369689, 1812215, 1812162]</t>
  </si>
  <si>
    <t>[354522, 369666, 369675, 369687, 369688, 369689, 1812215]</t>
  </si>
  <si>
    <t>[0.008, 0.009, 0.05, 0.051, 0.052, 0.02, 0.019]</t>
  </si>
  <si>
    <t>663.3518872181453</t>
  </si>
  <si>
    <t>[0.075, 0.164, 0.166, 0.041, 0.0, 0.066, 0.037, 0.035, 0.025, -0.021, -0.132, -0.089, 0.004]</t>
  </si>
  <si>
    <t>LINESTRING (5.419726044215016 59.421709959690155, 5.4189790284259285 59.42141191375529, 5.418949044861288 59.42139884312315, 5.418583396706101 59.42126853353635, 5.4134697935435305 59.41953449291825, 5.413466702407406 59.419533450088196, 5.413452005219513 59.419528500106125, 5.41340234812399 59.41951593217667, 5.412169473252985 59.41923416113094, 5.409419895473081 59.41876349330666, 5.407805140228693 59.418563938386285, 5.407180091070919 59.41850248923895, 5.404648341987845 59.418385880823735, 5.404558946717095 59.41838829178365)</t>
  </si>
  <si>
    <t>[380440, 380448, 380456, 380464, 380468, 380469, 380470, 380478, 380479, 380514, 380538, 380552, 380560]</t>
  </si>
  <si>
    <t>[369542, 369550, 369560, 369569, 369574, 369575, 369576, 369587, 369588, 369616, 369635, 369646, 354561]</t>
  </si>
  <si>
    <t>0.010833263861659085</t>
  </si>
  <si>
    <t>[369541, 369542, 369550, 369560, 369569, 369574, 369575, 369576, 369587, 369588, 369616, 369635, 369646]</t>
  </si>
  <si>
    <t>[0.075, 0.164, 0.166, 0.041, 0.0, 0.066, 0.037, 0.035, 0.025, 0.021, 0.132, 0.089, 0.004]</t>
  </si>
  <si>
    <t>960.0131335939202</t>
  </si>
  <si>
    <t>[-0.066, -0.055, -0.045, -0.05, -0.072]</t>
  </si>
  <si>
    <t>LINESTRING (14.861141339106767 66.47239424131969, 14.862107867082766 66.47347422614784, 14.862184922498349 66.47355837090015, 14.862617343290262 66.47403803950749, 14.862709003139468 66.47414112576867, 14.863392350220314 66.47502823576255)</t>
  </si>
  <si>
    <t>[366362, 366370, 366378, 366386, 366394]</t>
  </si>
  <si>
    <t>[354958, 354968, 354976, 354985, 354996]</t>
  </si>
  <si>
    <t>[354957, 354958, 354968, 354976, 354985]</t>
  </si>
  <si>
    <t>[0.066, 0.055, 0.045, 0.05, 0.072]</t>
  </si>
  <si>
    <t>310.33166572686844</t>
  </si>
  <si>
    <t>[-0.051, -0.041, -0.036, -0.049, -0.086]</t>
  </si>
  <si>
    <t>LINESTRING (14.861141339106767 66.47239424131969, 14.862230408689431 66.47339924633444, 14.862340011902967 66.47351685484293, 14.862385987363407 66.47356613748589, 14.862804320184688 66.47403228275165, 14.863392350220314 66.47502823576255)</t>
  </si>
  <si>
    <t>[366402, 366410, 366418, 366426, 366434]</t>
  </si>
  <si>
    <t>[355004, 355014, 355023, 355031, 354996]</t>
  </si>
  <si>
    <t>[354957, 355004, 355014, 355023, 355031]</t>
  </si>
  <si>
    <t>[0.051, 0.041, 0.036, 0.049, 0.086]</t>
  </si>
  <si>
    <t>311.6028215895448</t>
  </si>
  <si>
    <t>[0.025, -0.049, 0.003, -0.002, 0.024, -0.001, -0.074, -0.002, 0.196, 0.061, 0.007, 0.039]</t>
  </si>
  <si>
    <t>[0, 1, 0, 0, 0, 0, 0, 0, 1, 0, 0, 0]</t>
  </si>
  <si>
    <t>LINESTRING (14.83385035621848 66.44722995161251, 14.83894913852857 66.44979982307603, 14.839148010453435 66.44995029383121, 14.844238968054647 66.46092806500715, 14.84467290382425 66.46139117151422, 14.846963092870633 66.463874140962, 14.851513062773769 66.46818513919897, 14.851587019090273 66.46822304043779, 14.854073317778136 66.46923501218225, 14.856177975327094 66.46999663259226, 14.85871173567353 66.47094836887761, 14.859370831466375 66.47125783692995, 14.861141339106767 66.47239424131969)</t>
  </si>
  <si>
    <t>[1832732, 1832741, 1832749, 1254269, 1254280, 1254084, 1254092, 1254100, 1254108, 1254119, 1254127, 1254128]</t>
  </si>
  <si>
    <t>[1608702, 1608706, 1173002, 354735, 1172822, 354744, 1172828, 1172837, 1172847, 1172853, 1172854, 354957]</t>
  </si>
  <si>
    <t>0.018390431514169057</t>
  </si>
  <si>
    <t>[355303, 1608702, 1608706, 1173002, 354735, 1172822, 354744, 1172828, 1172837, 1172847, 1172853, 1172854]</t>
  </si>
  <si>
    <t>[0.025, 0.049, 0.003, 0.002, 0.024, 0.001, 0.074, 0.002, 0.196, 0.061, 0.007, 0.039]</t>
  </si>
  <si>
    <t>3163.386161317658</t>
  </si>
  <si>
    <t>[0.03, 0.005, 0.089, -0.007]</t>
  </si>
  <si>
    <t>LINESTRING (14.863392350220314 66.47502823576255, 14.869799711859766 66.47872976905576, 14.88271378308792 66.49273564402097, 14.885381875038872 66.4954574598714, 14.911624151356651 66.50355288791405)</t>
  </si>
  <si>
    <t>[1254143, 1254162, 1254179, 1254190]</t>
  </si>
  <si>
    <t>[1172863, 1172874, 354763, 355075]</t>
  </si>
  <si>
    <t>0.010543403622138367</t>
  </si>
  <si>
    <t>[354996, 1172863, 1172874, 354763]</t>
  </si>
  <si>
    <t>[0.03, 0.005, 0.089, 0.007]</t>
  </si>
  <si>
    <t>4049.370694369146</t>
  </si>
  <si>
    <t>[0.008, 0.015, 0.026, 0.011, -0.002]</t>
  </si>
  <si>
    <t>LINESTRING (14.911624151356651 66.50355288791405, 14.913832220221975 66.50381537300689, 14.914802580217055 66.50391593101762, 14.914929150385436 66.50392907062955, 14.915196169712635 66.50395900827063, 14.917662144220174 66.50416289039586)</t>
  </si>
  <si>
    <t>[366474, 366482, 366490, 366498, 366506]</t>
  </si>
  <si>
    <t>[355076, 355086, 355094, 355101, 355108]</t>
  </si>
  <si>
    <t>0.005595513673052608</t>
  </si>
  <si>
    <t>[355075, 355076, 355086, 355094, 355101]</t>
  </si>
  <si>
    <t>[0.008, 0.015, 0.026, 0.011, 0.002]</t>
  </si>
  <si>
    <t>277.4847530605531</t>
  </si>
  <si>
    <t>[0.022, 0.015, 0.016, 0.025, -0.015]</t>
  </si>
  <si>
    <t>LINESTRING (14.911624151356651 66.50355288791405, 14.913580655289449 66.50371788081968, 14.913894735855514 66.50374844771585, 14.914859102055397 66.50384607752865, 14.91511902848903 66.50387280879009, 14.917662144220174 66.50416289039586)</t>
  </si>
  <si>
    <t>[366530, 366538, 366546, 366554, 366563]</t>
  </si>
  <si>
    <t>[355139, 355144, 355154, 355165, 355108]</t>
  </si>
  <si>
    <t>0.005109019612703411</t>
  </si>
  <si>
    <t>[355075, 355139, 355144, 355154, 355165]</t>
  </si>
  <si>
    <t>[0.022, 0.015, 0.016, 0.025, 0.015]</t>
  </si>
  <si>
    <t>277.3717162410895</t>
  </si>
  <si>
    <t>[0.007, -0.007, -0.021, -0.009, -0.019, -0.371]</t>
  </si>
  <si>
    <t>[0, 0, 1, 0, 1, 0]</t>
  </si>
  <si>
    <t>LINESTRING (14.917662144220174 66.50416289039586, 14.928821029671132 66.50337511788173, 14.929909170692206 66.50325049011178, 14.930025412400274 66.5032373547217, 14.93189787749319 66.50307470170779, 14.932629176384554 66.50303302482952, 14.933930088893328 66.50299380183938)</t>
  </si>
  <si>
    <t>[1254205, 1254213, 1254219, 1254230, 1254239, 1254240]</t>
  </si>
  <si>
    <t>[1172927, 1172936, 1172944, 1172959, 1172970, 355176]</t>
  </si>
  <si>
    <t>[355108, 1172927, 1172936, 1172944, 1172959, 1172970]</t>
  </si>
  <si>
    <t>[0.007, 0.007, 0.021, 0.009, 0.019, 0.371]</t>
  </si>
  <si>
    <t>741.9970969449856</t>
  </si>
  <si>
    <t>[-0.009, 0.021, 0.02, 0.102, 0.037]</t>
  </si>
  <si>
    <t>LINESTRING (14.933930088893328 66.50299380183938, 14.93794983382368 66.50311203424597, 14.93828681949512 66.50314189741678, 14.938388324898867 66.50315066620217, 14.939631905215158 66.50328424474579, 14.944298642996143 66.5041317084843)</t>
  </si>
  <si>
    <t>[366571, 366579, 366587, 366595, 366603]</t>
  </si>
  <si>
    <t>[355177, 355185, 355195, 355207, 355216]</t>
  </si>
  <si>
    <t>0.026960020809530846</t>
  </si>
  <si>
    <t>[355176, 355177, 355185, 355195, 355207]</t>
  </si>
  <si>
    <t>[0.009, 0.021, 0.02, 0.102, 0.037]</t>
  </si>
  <si>
    <t>485.7585446815856</t>
  </si>
  <si>
    <t>[-0.008, 0.021, 0.093, 0.111, 0.036]</t>
  </si>
  <si>
    <t>LINESTRING (14.933930088893328 66.50299380183938, 14.938096900184924 66.50319281368682, 14.938305013599729 66.50321033550705, 14.939546820645823 66.50334396785198, 14.939806058234648 66.50337616605252, 14.944298642996143 66.5041317084843)</t>
  </si>
  <si>
    <t>[366611, 366619, 366627, 366635, 366643]</t>
  </si>
  <si>
    <t>[355227, 355238, 355248, 355257, 355216]</t>
  </si>
  <si>
    <t>0.027295465801668417</t>
  </si>
  <si>
    <t>[355176, 355227, 355238, 355248, 355257]</t>
  </si>
  <si>
    <t>[0.008, 0.021, 0.093, 0.111, 0.036]</t>
  </si>
  <si>
    <t>482.886390660187</t>
  </si>
  <si>
    <t>[-0.022, -0.008, 0.07, -0.009, 0.006, 0.008, 0.007, 0.007, 0.013, 0.023, 0.034, 0.093, 0.01, 0.045, -0.023, 0.018, -0.008, 0.046, -0.022, 0.025, 0.003]</t>
  </si>
  <si>
    <t>LINESTRING (14.944298642996143 66.5041317084843, 14.945594841178377 66.50435477111658, 14.9509688074481 66.50500210974027, 14.967728197748025 66.50752327900702, 14.982580105478785 66.50496985803345, 14.983095488233266 66.50390842847271, 14.983242146828454 66.50358299382734, 14.983917061392802 66.50209033272343, 14.9845218153279 66.50075021364466, 14.98493738416123 66.49983163998141, 14.984999269375535 66.49969426375995, 14.987030348963884 66.4944014712192, 14.987943102831066 66.49239248316258, 14.997773981878154 66.48725728687415, 15.004350923301162 66.4844947380207, 15.032771040491518 66.4784037620496, 15.037878535351377 66.47744136113448, 15.04756655500242 66.47279870926243, 15.059134744469123 66.46968844553157, 15.076686814364242 66.46617582928927, 15.077814474697838 66.46592103220364, 15.084574754039709 66.46457975626092)</t>
  </si>
  <si>
    <t>[1254254, 1254255, 1254256, 1254264, 360014, 360018, 360027, 360043, 360052, 360057, 360061, 360069, 360090, 469421, 469449, 469456, 469457, 469465, 469482, 469483, 469490]</t>
  </si>
  <si>
    <t>[1172989, 1172990, 1172991, 348454, 348455, 348461, 348468, 348367, 348496, 348501, 348359, 348379, 348323, 467524, 348307, 467559, 348305, 467496, 467579, 467580, 467585]</t>
  </si>
  <si>
    <t>0.010952282557605877</t>
  </si>
  <si>
    <t>[355216, 1172989, 1172990, 1172991, 348454, 348455, 348461, 348468, 348367, 348496, 348501, 348359, 348379, 348323, 467524, 348307, 467559, 348305, 467496, 467579, 467580]</t>
  </si>
  <si>
    <t>[0.022, 0.008, 0.07, 0.009, 0.006, 0.008, 0.007, 0.007, 0.013, 0.023, 0.034, 0.093, 0.01, 0.045, 0.023, 0.018, 0.008, 0.046, 0.022, 0.025, 0.003]</t>
  </si>
  <si>
    <t>8799.47483104504</t>
  </si>
  <si>
    <t>[-0.116, 0.196, -0.068, -0.227, -0.293, -0.279]</t>
  </si>
  <si>
    <t>LINESTRING (10.785917887535765 59.90097586129721, 10.785751430224009 59.90103549430712, 10.785033119312333 59.90119501643435, 10.783379598433196 59.901638177935205, 10.78268987314799 59.90239493933596, 10.782726212847113 59.90243296913851, 10.782780911627752 59.90248147794038)</t>
  </si>
  <si>
    <t>[366630, 512640, 512648, 512656, 512664, 512672]</t>
  </si>
  <si>
    <t>[0, 1, 1, 1, 0, 0]</t>
  </si>
  <si>
    <t>[355252, 518677, 518686, 518696, 518706, 518718]</t>
  </si>
  <si>
    <t>[355251, 355252, 518677, 518686, 518696, 518706]</t>
  </si>
  <si>
    <t>[0.116, 0.196, 0.068, 0.227, 0.293, 0.279]</t>
  </si>
  <si>
    <t>272.25830412920703</t>
  </si>
  <si>
    <t>[-0.004, -0.087, 0.101, 0.098]</t>
  </si>
  <si>
    <t>LINESTRING (10.785917887535765 59.90097586129721, 10.783305368362125 59.901494830415594, 10.781968988359651 59.90175733643602, 10.772830199000165 59.90000783505945, 10.772754739166388 59.89993977246386)</t>
  </si>
  <si>
    <t>[1834463, 512592, 512600, 512608]</t>
  </si>
  <si>
    <t>[518616, 518617, 518629, 518640]</t>
  </si>
  <si>
    <t>0.062285519946286276</t>
  </si>
  <si>
    <t>[355251, 518616, 518617, 518629]</t>
  </si>
  <si>
    <t>[0.004, 0.087, 0.101, 0.098]</t>
  </si>
  <si>
    <t>817.3128386360735</t>
  </si>
  <si>
    <t>[-0.317, -0.013, -0.017, -0.014, -0.012, -0.028, -0.055]</t>
  </si>
  <si>
    <t>LINESTRING (10.80471341897392 59.89515677171888, 10.804673453670192 59.89520866361422, 10.804659903723245 59.895554121693294, 10.804690579946543 59.895814807302834, 10.804649468558187 59.89666226650603, 10.803885999098707 59.898330481887264, 10.803878389309755 59.898338583247174, 10.785917887535765 59.90097586129721)</t>
  </si>
  <si>
    <t>[1834370, 1834380, 1834388, 1834396, 1834411, 1834452, 1834462]</t>
  </si>
  <si>
    <t>[0, 0, 0, 0, 0, 1, 1]</t>
  </si>
  <si>
    <t>[1609680, 1609685, 1609686, 1609690, 1609694, 1609712, 355251]</t>
  </si>
  <si>
    <t>[717602, 1609680, 1609685, 1609686, 1609690, 1609694, 1609712]</t>
  </si>
  <si>
    <t>[0.317, 0.013, 0.017, 0.014, 0.012, 0.028, 0.055]</t>
  </si>
  <si>
    <t>1464.0777671373544</t>
  </si>
  <si>
    <t>[0.018, 0.009, 0.02, 0.022, 0.013]</t>
  </si>
  <si>
    <t>LINESTRING (14.829242174606996 66.4454923218763, 14.830875920495414 66.44615491958284, 14.831575950110393 66.44641853813215, 14.831639366230142 66.44644241579358, 14.83185880723314 66.44652501581821, 14.83385035621848 66.44722995161251)</t>
  </si>
  <si>
    <t>[366651, 366659, 366667, 366675, 366683]</t>
  </si>
  <si>
    <t>[355271, 355278, 354942, 354916, 355303]</t>
  </si>
  <si>
    <t>0.014754161035743039</t>
  </si>
  <si>
    <t>[355270, 355271, 355278, 354942, 354916]</t>
  </si>
  <si>
    <t>282.7626344717446</t>
  </si>
  <si>
    <t>[0.018, 0.012, 0.011, 0.023, 0.013]</t>
  </si>
  <si>
    <t>LINESTRING (14.829242174606996 66.4454923218763, 14.830733140322323 66.4460087422686, 14.830990690021709 66.44610575651616, 14.831677276105093 66.44636425551165, 14.831858263264106 66.44643249622246, 14.83385035621848 66.44722995161251)</t>
  </si>
  <si>
    <t>[366691, 366699, 366707, 366715, 366723]</t>
  </si>
  <si>
    <t>[355312, 355321, 355331, 354925, 355303]</t>
  </si>
  <si>
    <t>0.014595767224013397</t>
  </si>
  <si>
    <t>[355270, 355312, 355321, 355331, 354925]</t>
  </si>
  <si>
    <t>282.8830920009648</t>
  </si>
  <si>
    <t>[0.1, -0.004, 0.025, -0.023, -0.008, 0.015, -0.009, -0.016]</t>
  </si>
  <si>
    <t>LINESTRING (14.738918478793611 66.41412895843328, 14.739697699587197 66.41441234072826, 14.759840786120987 66.41904033019159, 14.763696253973302 66.4198936390235, 14.764583843359565 66.42012004855596, 14.77131244959621 66.42211989793552, 14.78261134062381 66.42491933015987, 14.819768669220752 66.44175251482777, 14.829242174606996 66.4454923218763)</t>
  </si>
  <si>
    <t>[595662, 595622, 1832676, 1832684, 1832692, 1832708, 1832716, 1832724]</t>
  </si>
  <si>
    <t>[599338, 599350, 1608671, 1608676, 354864, 354662, 354674, 355270]</t>
  </si>
  <si>
    <t>[599379, 599338, 599350, 1608671, 1608676, 354864, 354662, 354674]</t>
  </si>
  <si>
    <t>[0.1, 0.004, 0.025, 0.023, 0.008, 0.015, 0.009, 0.016]</t>
  </si>
  <si>
    <t>5426.12780835674</t>
  </si>
  <si>
    <t>[-0.0, -0.004, -0.062, -0.089]</t>
  </si>
  <si>
    <t>LINESTRING (11.00072976754026 60.853747742700435, 10.993907825265797 60.854157602173444, 10.986064434663458 60.85476584956238, 10.985663273774923 60.85484284504687, 10.982159298683058 60.85574574720504)</t>
  </si>
  <si>
    <t>[366717, 366725, 366733, 2026389]</t>
  </si>
  <si>
    <t>[355341, 355349, 355356, 355983]</t>
  </si>
  <si>
    <t>[355333, 355341, 355349, 355356]</t>
  </si>
  <si>
    <t>[0.0, 0.004, 0.062, 0.089]</t>
  </si>
  <si>
    <t>1049.006015556568</t>
  </si>
  <si>
    <t>[0.006, 0.014, 0.014, 0.024]</t>
  </si>
  <si>
    <t>LINESTRING (11.00072976754026 60.853747742700435, 11.000110304118275 60.85386476302298, 10.999641646095201 60.85393915924405, 10.993649267680016 60.85478090781477, 10.99360203512375 60.85479603940926)</t>
  </si>
  <si>
    <t>[367349, 367341, 1255858, 1255884]</t>
  </si>
  <si>
    <t>[356010, 356011, 1174196, 1174214]</t>
  </si>
  <si>
    <t>0.013369632469105367</t>
  </si>
  <si>
    <t>[355333, 356010, 356011, 1174196]</t>
  </si>
  <si>
    <t>409.59596159745865</t>
  </si>
  <si>
    <t>[0.023, 0.019, 0.008, 0.006, 0.007]</t>
  </si>
  <si>
    <t>LINESTRING (11.041375604873496 60.84283564553687, 11.035446040017359 60.844844272651954, 11.028357201028681 60.84740447398382, 11.027735760187467 60.84759563210005, 11.002826106584902 60.85338873678825, 11.00072976754026 60.853747742700435)</t>
  </si>
  <si>
    <t>[366973, 2026417, 2026409, 366701, 366709]</t>
  </si>
  <si>
    <t>[355626, 1769228, 355324, 355325, 355333]</t>
  </si>
  <si>
    <t>0.011177665903623148</t>
  </si>
  <si>
    <t>[355615, 355626, 1769228, 355324, 355325]</t>
  </si>
  <si>
    <t>2535.245988743289</t>
  </si>
  <si>
    <t>[0.021, 0.025, 0.032]</t>
  </si>
  <si>
    <t>LINESTRING (11.060413062420022 60.84135965993448, 11.0570200547115 60.84170848545476, 11.050084583995702 60.841962176214196, 11.042183369122682 60.8425322502743)</t>
  </si>
  <si>
    <t>[366757, 366765, 366773]</t>
  </si>
  <si>
    <t>[355382, 355392, 355399]</t>
  </si>
  <si>
    <t>0.027289947992308744</t>
  </si>
  <si>
    <t>[355375, 355382, 355392]</t>
  </si>
  <si>
    <t>1003.3448213456029</t>
  </si>
  <si>
    <t>[-0.045, -0.028, -0.022]</t>
  </si>
  <si>
    <t>LINESTRING (11.050468754348541 60.84114345759438, 11.050568827991922 60.841177037763366, 11.059850291185606 60.84141026508497, 11.060413062420022 60.84135965993448)</t>
  </si>
  <si>
    <t>[367477, 367485, 367509]</t>
  </si>
  <si>
    <t>[356185, 356191, 355375]</t>
  </si>
  <si>
    <t>[356184, 356185, 356191]</t>
  </si>
  <si>
    <t>[0.045, 0.028, 0.022]</t>
  </si>
  <si>
    <t>556.9537468993243</t>
  </si>
  <si>
    <t>[0.004, 0.019, 0.012, 0.006, 0.005, 0.015]</t>
  </si>
  <si>
    <t>[0, 1, 0, 0, 0, 0]</t>
  </si>
  <si>
    <t>LINESTRING (11.072812530838705 60.83583772322116, 11.070620981241348 60.83718740837588, 11.070093528831714 60.83751229865717, 11.068494585803217 60.838496989922035, 11.068349594557263 60.838585808699214, 11.065069453205714 60.840176138056584, 11.060413062420022 60.84135965993448)</t>
  </si>
  <si>
    <t>[373078, 373780, 373700, 367541, 367365, 366749]</t>
  </si>
  <si>
    <t>[362115, 362715, 356244, 356044, 355374, 355375]</t>
  </si>
  <si>
    <t>0.00964220158377462</t>
  </si>
  <si>
    <t>[362114, 362115, 362715, 356244, 356044, 355374]</t>
  </si>
  <si>
    <t>929.8289806179461</t>
  </si>
  <si>
    <t>[0.037, 0.023, 0.02, 0.012, 0.005]</t>
  </si>
  <si>
    <t>LINESTRING (11.042183369122682 60.8425322502743, 11.04126145099963 60.84272078352119, 11.035284252726749 60.84474654369817, 11.028295704007581 60.847251451685494, 11.027420301483481 60.84752031481141, 11.002724594893431 60.85327658066187)</t>
  </si>
  <si>
    <t>[366781, 366789, 366741, 367333, 367645]</t>
  </si>
  <si>
    <t>[355409, 355363, 355364, 356001, 356032]</t>
  </si>
  <si>
    <t>0.011624479816296515</t>
  </si>
  <si>
    <t>[355399, 355409, 355363, 355364, 356001]</t>
  </si>
  <si>
    <t>2467.9885609320772</t>
  </si>
  <si>
    <t>[-0.037, -0.028, 0.002, 0.017, -0.015, -0.015]</t>
  </si>
  <si>
    <t>LINESTRING (11.042183369122682 60.8425322502743, 11.042670050985672 60.84241921922214, 11.048416883307942 60.84161011505973, 11.048747331645451 60.84147016970263, 11.049730670656334 60.84114031962478, 11.049856911259976 60.84111820827697, 11.049993220907437 60.84110047428161)</t>
  </si>
  <si>
    <t>[367397, 367461, 138062, 1808554, 1808562, 1808596]</t>
  </si>
  <si>
    <t>[356089, 155245, 155246, 1593200, 1593206, 1593029]</t>
  </si>
  <si>
    <t>[355399, 356089, 155245, 155246, 1593200, 1593206]</t>
  </si>
  <si>
    <t>[0.037, 0.028, 0.002, 0.017, 0.015, 0.015]</t>
  </si>
  <si>
    <t>461.71911501208257</t>
  </si>
  <si>
    <t>[0.034, 0.051, 0.05, 0.038, 0.045]</t>
  </si>
  <si>
    <t>LINESTRING (5.864380366836587 58.766460353015404, 5.863188594668328 58.76661194579397, 5.862732981435941 58.76674886882885, 5.862682507823246 58.76676739781383, 5.862583991595942 58.76679395946026, 5.862492455664156 58.76681970971115)</t>
  </si>
  <si>
    <t>[1018022, 1018030, 1018038, 1018046, 1018054]</t>
  </si>
  <si>
    <t>[638353, 974409, 974413, 974421, 974427]</t>
  </si>
  <si>
    <t>0.03960601438972748</t>
  </si>
  <si>
    <t>[355403, 638353, 974409, 974413, 974421]</t>
  </si>
  <si>
    <t>119.32774385775349</t>
  </si>
  <si>
    <t>[0.041, 0.045, 0.054, 0.047]</t>
  </si>
  <si>
    <t>LINESTRING (5.864380366836587 58.766460353015404, 5.86278451730535 58.76678702696817, 5.862731196263779 58.766808821862426, 5.862669939258322 58.76684521898693, 5.862588175780106 58.76689823845707)</t>
  </si>
  <si>
    <t>[1116423, 1116431, 1116439, 1116447]</t>
  </si>
  <si>
    <t>[1055659, 1055666, 1055675, 1055681]</t>
  </si>
  <si>
    <t>0.042118511925918346</t>
  </si>
  <si>
    <t>[355403, 1055659, 1055666, 1055675]</t>
  </si>
  <si>
    <t>117.57662160332207</t>
  </si>
  <si>
    <t>[0.033, 0.008, -0.012, 0.084, 0.054, 0.041, 0.024, 0.004, -0.01, -0.035, -0.086, -0.048, -0.017, 0.017, 0.098, 0.105, 0.11, 0.012, -0.048, -0.093, -0.085, 0.033, -0.065, -0.067, -0.07, -0.074, -0.057, -0.076, -0.215, 0.02, 0.034, 0.031, 0.033, 0.032, 0.106, 0.154, 0.049, -0.173, -0.137, 0.041, 0.026, 0.004, -0.014, -0.013, -0.008]</t>
  </si>
  <si>
    <t>14689.0</t>
  </si>
  <si>
    <t>[0, 0, 0, 0, 0, 0, 0, 0, 0, 0, 0, 0, 0, 0, 0, 0, 0, 0, 0, 0, 0, 0, 0, 0, 0, 0, 0, 0, 1, 0, 0, 0, 0, 0, 0, 0, 0, 0, 0, 0, 0, 0, 0, 0, 0]</t>
  </si>
  <si>
    <t>LINESTRING (5.925376029395927 58.74829727832489, 5.924784129211038 58.748759199523306, 5.910332301212611 58.75419338701127, 5.907304755533625 58.755171449844575, 5.9064958729178905 58.755686344512846, 5.906433204070015 58.755731738509425, 5.906361845249697 58.755783326275065, 5.9060706360804085 58.75601304428547, 5.905841431595305 58.75619182807156, 5.905711403901458 58.756293014599095, 5.905307864647054 58.75662592619328, 5.902217206873927 58.759232198529396, 5.897515255140198 58.763073511345524, 5.897438876146622 58.76311751080448, 5.897359717464384 58.76316090585061, 5.894637473760257 58.76413528049292, 5.894537099578314 58.764156366756815, 5.894420953826452 58.76418041361012, 5.893855973448439 58.76427910964156, 5.89093397674144 58.76466794204192, 5.890483331122422 58.764726595797384, 5.888521592183572 58.76498385372323, 5.887608538883524 58.765105120694294, 5.886466031081011 58.76527166427841, 5.886358887892549 58.76528871163213, 5.8862581381154815 58.76530209479599, 5.88618223169782 58.76531129450521, 5.886137737641391 58.76531718544419, 5.884082285233415 58.76552769572674, 5.883735810778055 58.76555418958657, 5.882319682574484 58.76563230684193, 5.882238805326574 58.765635232363834, 5.882117462345257 58.76564005227193, 5.881404394981432 58.765654751793676, 5.880989504498371 58.7656517326552, 5.8797536832775394 58.765610232053376, 5.8787282045685485 58.76553381395877, 5.874810965743114 58.76541883401751, 5.873102183436325 58.76575052856065, 5.8719236636287215 58.76605208068535, 5.871863646125658 58.76606706793173, 5.870507526755804 58.766398286587865, 5.866291334903059 58.766520585770834, 5.865602229001676 58.76648718243204, 5.865388323050008 58.76647660312651, 5.864380366836587 58.766460353015404)</t>
  </si>
  <si>
    <t>[1341377, 371334, 1341417, 1341424, 1341425, 1341443, 1341451, 1341458, 1341459, 1341467, 366551, 366560, 366568, 366576, 366584, 366592, 366600, 366608, 366616, 366624, 366632, 366640, 334479, 334487, 334495, 334503, 334511, 334519, 366648, 366656, 366664, 366672, 366680, 366688, 366696, 366704, 366712, 366720, 366728, 366736, 366744, 366752, 366760, 366768, 366776]</t>
  </si>
  <si>
    <t>[360279, 360280, 1244342, 1244348, 1244349, 1244362, 1244370, 1244374, 933133, 355161, 355162, 355169, 355174, 355181, 355191, 355203, 355212, 355223, 355234, 355244, 355254, 323952, 323953, 323931, 323967, 323908, 323978, 323985, 355268, 355275, 355282, 355292, 355300, 355309, 355318, 355329, 355337, 355345, 355352, 355359, 355367, 355378, 355387, 355395, 355403]</t>
  </si>
  <si>
    <t>[1244227, 360279, 360280, 1244342, 1244348, 1244349, 1244362, 1244370, 1244374, 933133, 355161, 355162, 355169, 355174, 355181, 355191, 355203, 355212, 355223, 355234, 355244, 355254, 323952, 323953, 323931, 323967, 323908, 323978, 323985, 355268, 355275, 355282, 355292, 355300, 355309, 355318, 355329, 355337, 355345, 355352, 355359, 355367, 355378, 355387, 355395]</t>
  </si>
  <si>
    <t>[0.033, 0.008, 0.012, 0.084, 0.054, 0.041, 0.024, 0.004, 0.01, 0.035, 0.086, 0.048, 0.017, 0.017, 0.098, 0.105, 0.11, 0.012, 0.048, 0.093, 0.085, 0.033, 0.065, 0.067, 0.07, 0.074, 0.057, 0.076, 0.215, 0.02, 0.034, 0.031, 0.033, 0.032, 0.106, 0.154, 0.049, 0.173, 0.137, 0.041, 0.026, 0.004, 0.014, 0.013, 0.008]</t>
  </si>
  <si>
    <t>4450.820290505892</t>
  </si>
  <si>
    <t>[-0.01, 0.016, 0.018]</t>
  </si>
  <si>
    <t>LINESTRING (5.674723597109197 58.983643247783924, 5.673312079697261 58.98357413620076, 5.670760951901851 58.98336977133839, 5.670295432014315 58.98332418840186)</t>
  </si>
  <si>
    <t>[366832, 366840, 366848]</t>
  </si>
  <si>
    <t>[355462, 355471, 355478]</t>
  </si>
  <si>
    <t>0.007971013023806177</t>
  </si>
  <si>
    <t>[355461, 355462, 355471]</t>
  </si>
  <si>
    <t>[0.01, 0.016, 0.018]</t>
  </si>
  <si>
    <t>258.02948192924913</t>
  </si>
  <si>
    <t>[-1.183, -0.011, -0.011, -0.009, -0.008, 0.001, 2.833]</t>
  </si>
  <si>
    <t>LINESTRING (5.670295432014315 58.98332418840186, 5.670162875807793 58.983293984490274, 5.670027744215214 58.98328105369101, 5.669591508936887 58.98325404488509, 5.66948111987626 58.983252265793695, 5.669426254596936 58.983252190927, 5.66888188266716 58.98328125060331, 5.668817427406252 58.983299899967946)</t>
  </si>
  <si>
    <t>[1019902, 1019910, 1019918, 1019926, 1019934, 1019942, 1019950]</t>
  </si>
  <si>
    <t>[975641, 975647, 975651, 975655, 975663, 975667, 355488]</t>
  </si>
  <si>
    <t>0.01547823553004072</t>
  </si>
  <si>
    <t>[355478, 975641, 975647, 975651, 975655, 975663, 975667]</t>
  </si>
  <si>
    <t>[1.183, 0.011, 0.011, 0.009, 0.008, 0.001, 2.833]</t>
  </si>
  <si>
    <t>87.5238050415129</t>
  </si>
  <si>
    <t>[0.009, 0.014, 0.023, 0.016, 0.021, 0.014, 0.028]</t>
  </si>
  <si>
    <t>LINESTRING (5.670295432014315 58.98332418840186, 5.670149154762274 58.98333202919398, 5.670082876019521 58.983326814157145, 5.670024389670407 58.98332178589623, 5.669574004720294 58.98329536630473, 5.669498979087976 58.983291602826576, 5.668888244177406 58.98330452373177, 5.668817427406252 58.983299899967946)</t>
  </si>
  <si>
    <t>[1370767, 1370775, 1370783, 1370791, 1370799, 1370807, 1370815]</t>
  </si>
  <si>
    <t>[1263885, 1263895, 1263900, 1263908, 1263914, 1263921, 355488]</t>
  </si>
  <si>
    <t>0.015477035012129693</t>
  </si>
  <si>
    <t>[355478, 1263885, 1263895, 1263900, 1263908, 1263914, 1263921]</t>
  </si>
  <si>
    <t>85.98675063923797</t>
  </si>
  <si>
    <t>[0.021, -0.007, 0.0, 0.004, 0.009, -0.001, 0.006, 0.029, 0.028, -0.013, -0.053, -0.043, -0.044]</t>
  </si>
  <si>
    <t>LINESTRING (5.668817427406252 58.983299899967946, 5.668028305837582 58.983388037166456, 5.665852058156636 58.98494570167079, 5.6658477609632065 58.98495439060494, 5.665229914161076 58.98639922347565, 5.665124888087149 58.98683533075994, 5.6651034971869265 58.98734349422304, 5.665039878158492 58.98767407151277, 5.66353048241446 58.988724819228764, 5.661193818956491 58.98924409120385, 5.6600490173324856 58.98941798070251, 5.659992341626131 58.9894264828131, 5.659458344500707 58.98950407133873, 5.656895408318755 58.989970673871696)</t>
  </si>
  <si>
    <t>[366856, 366864, 366872, 366880, 366888, 366896, 366904, 366912, 366920, 366928, 366936, 366944, 366952]</t>
  </si>
  <si>
    <t>[355489, 355500, 355509, 355519, 355530, 355539, 355548, 355557, 355565, 355575, 355583, 355589, 355598]</t>
  </si>
  <si>
    <t>[355488, 355489, 355500, 355509, 355519, 355530, 355539, 355548, 355557, 355565, 355575, 355583, 355589]</t>
  </si>
  <si>
    <t>[0.021, 0.007, 0.0, 0.004, 0.009, 0.001, 0.006, 0.029, 0.028, 0.013, 0.053, 0.043, 0.044]</t>
  </si>
  <si>
    <t>1143.5077181967224</t>
  </si>
  <si>
    <t>[0.001, 0.015, 0.013, 0.007, 0.0, -0.01, -0.011]</t>
  </si>
  <si>
    <t>LINESTRING (5.725393269836751 58.873968757394245, 5.725584445710302 58.8739820998778, 5.725633715218028 58.874038440074116, 5.725591728851066 58.87409992176177, 5.72556854896273 58.874110804587275, 5.725463519944642 58.874127211593446, 5.725357601661998 58.87410366671729, 5.725318526750593 58.87407304149458)</t>
  </si>
  <si>
    <t>[366929, 366937, 366945, 366881, 366889, 366897, 366905]</t>
  </si>
  <si>
    <t>[355576, 355584, 355520, 355521, 355531, 355540, 355549]</t>
  </si>
  <si>
    <t>0.0024732891899549143</t>
  </si>
  <si>
    <t>[355566, 355576, 355584, 355520, 355521, 355531, 355540]</t>
  </si>
  <si>
    <t>[0.001, 0.015, 0.013, 0.007, 0.0, 0.01, 0.011]</t>
  </si>
  <si>
    <t>44.88132247942249</t>
  </si>
  <si>
    <t>[0.021, 0.021, 0.022, 0.02, -0.138]</t>
  </si>
  <si>
    <t>LINESTRING (5.7243030773780035 58.87406292694744, 5.724464931479912 58.87406394588471, 5.725123896981559 58.87406137337886, 5.725190219900452 58.87406320172425, 5.725233296105581 58.87406439537207, 5.725318526750593 58.87407304149458)</t>
  </si>
  <si>
    <t>[379932, 379940, 379949, 379957, 379965]</t>
  </si>
  <si>
    <t>[369046, 369053, 369062, 369071, 355549]</t>
  </si>
  <si>
    <t>0.007447892011064014</t>
  </si>
  <si>
    <t>[369045, 369046, 369053, 369062, 369071]</t>
  </si>
  <si>
    <t>[0.021, 0.021, 0.022, 0.02, 0.138]</t>
  </si>
  <si>
    <t>58.8619525498445</t>
  </si>
  <si>
    <t>[0.0, 0.0, 0.0, -0.004, -0.0]</t>
  </si>
  <si>
    <t>LINESTRING (5.724435041245335 58.87396711461045, 5.724502500579206 58.873972360098506, 5.725165423286104 58.87398278841674, 5.725235191942747 58.8739782514254, 5.7252875157365635 58.87397343649771, 5.725393269836751 58.873968757394245)</t>
  </si>
  <si>
    <t>[1435839, 1435847, 1435855, 1435863, 1435871]</t>
  </si>
  <si>
    <t>[1305621, 1305628, 1305634, 1305640, 355566]</t>
  </si>
  <si>
    <t>[1251914, 1305621, 1305628, 1305634, 1305640]</t>
  </si>
  <si>
    <t>[0.0, 0.0, 0.0, 0.004, 0.0]</t>
  </si>
  <si>
    <t>55.95652254427282</t>
  </si>
  <si>
    <t>[0.025, 0.032, 0.037]</t>
  </si>
  <si>
    <t>LINESTRING (11.057052562701593 60.84183322316152, 11.050143260418185 60.84208601413765, 11.04227096419951 60.84265349295263, 11.041375604873496 60.84283564553687)</t>
  </si>
  <si>
    <t>[366949, 366957, 366965]</t>
  </si>
  <si>
    <t>[355594, 355606, 355615]</t>
  </si>
  <si>
    <t>0.029252777831967364</t>
  </si>
  <si>
    <t>[355587, 355594, 355606]</t>
  </si>
  <si>
    <t>864.1245218522183</t>
  </si>
  <si>
    <t>[0.021, 0.023, 0.033, 0.034]</t>
  </si>
  <si>
    <t>LINESTRING (11.057052562701593 60.84183322316152, 11.05644017741531 60.84189362053295, 11.050577448195478 60.84256724240341, 11.049511836250119 60.84280233051456, 11.049439713677558 60.842818006886226)</t>
  </si>
  <si>
    <t>[367501, 367805, 2096837, 2096843]</t>
  </si>
  <si>
    <t>[356206, 356524, 1813631, 1813587]</t>
  </si>
  <si>
    <t>0.024419605325440685</t>
  </si>
  <si>
    <t>[355587, 356206, 356524, 1813631]</t>
  </si>
  <si>
    <t>433.83451292767</t>
  </si>
  <si>
    <t>[0.015, 0.02, 0.012, 0.006, 0.006, 0.014, 0.019]</t>
  </si>
  <si>
    <t>LINESTRING (11.071774271427566 60.83672145493287, 11.070862502215535 60.83728131477572, 11.070334188079771 60.83760573129522, 11.068732259798352 60.838589259222914, 11.068587213357805 60.83867777998963, 11.065241641529406 60.84028716907232, 11.060492679531212 60.84147905515007, 11.057052562701593 60.84183322316152)</t>
  </si>
  <si>
    <t>[373892, 374636, 373836, 367517, 367445, 366933, 366941]</t>
  </si>
  <si>
    <t>[362916, 362857, 356221, 356152, 355580, 355581, 355587]</t>
  </si>
  <si>
    <t>0.01290269592089544</t>
  </si>
  <si>
    <t>[362785, 362916, 362857, 356221, 356152, 355580, 355581]</t>
  </si>
  <si>
    <t>1017.9748326865199</t>
  </si>
  <si>
    <t>[-0.033, -0.016, -0.025, -0.021, -0.019, -0.035, -0.03, -0.015]</t>
  </si>
  <si>
    <t>17433.0</t>
  </si>
  <si>
    <t>LINESTRING (5.656895408318755 58.989970673871696, 5.656234848455728 58.990183578161364, 5.654596136664189 58.990876612847174, 5.654559540836702 58.990895693522035, 5.65429745975877 58.99104312541116, 5.654247954446556 58.991072852569665, 5.653668455869226 58.9914686503617, 5.65363161856556 58.991497835497604, 5.652710187985204 58.992404664269735)</t>
  </si>
  <si>
    <t>[1370823, 1370831, 1370839, 1370847, 1370855, 1370863, 1370871, 1370879]</t>
  </si>
  <si>
    <t>[1263931, 1263937, 1263943, 1263948, 1263953, 1263959, 1263963, 355609]</t>
  </si>
  <si>
    <t>[355598, 1263931, 1263937, 1263943, 1263948, 1263953, 1263959, 1263963]</t>
  </si>
  <si>
    <t>[0.033, 0.016, 0.025, 0.021, 0.019, 0.035, 0.03, 0.015]</t>
  </si>
  <si>
    <t>371.6956577945839</t>
  </si>
  <si>
    <t>[-0.021, -0.029, -0.024, -0.021, -0.022, -0.032, -0.034, -0.021, -0.028, -0.013]</t>
  </si>
  <si>
    <t>LINESTRING (5.656895408318755 58.989970673871696, 5.655011042118815 58.99059178858875, 5.6549818438452295 58.9906040511613, 5.654466062174892 58.9908473873649, 5.654196141019204 58.990996914433744, 5.654141774854648 58.99102866460304, 5.6535635834902 58.99142172829426, 5.653544759150287 58.991436011143506, 5.653507586776269 58.9914647561169, 5.653470874870848 58.99149335385235, 5.652710187985204 58.992404664269735)</t>
  </si>
  <si>
    <t>[1375367, 1375375, 1375383, 1375391, 1375399, 1375407, 1375415, 1375423, 1375431, 1375439]</t>
  </si>
  <si>
    <t>[1267174, 1267180, 1267185, 1267190, 1267195, 1267200, 1267205, 1267211, 1267218, 355609]</t>
  </si>
  <si>
    <t>[355598, 1267174, 1267180, 1267185, 1267190, 1267195, 1267200, 1267205, 1267211, 1267218]</t>
  </si>
  <si>
    <t>[0.021, 0.029, 0.024, 0.021, 0.022, 0.032, 0.034, 0.021, 0.028, 0.013]</t>
  </si>
  <si>
    <t>376.1740632655206</t>
  </si>
  <si>
    <t>[-0.008, -0.074, -0.023, -0.022]</t>
  </si>
  <si>
    <t>LINESTRING (5.652710187985204 58.992404664269735, 5.6515795189012055 58.99434236392428, 5.651551264696511 58.994371396448734, 5.65142958769414 58.994508948030955, 5.651379000102983 58.99456585352848)</t>
  </si>
  <si>
    <t>[366960, 1417496, 1417503, 1417514]</t>
  </si>
  <si>
    <t>[355610, 1294614, 1294618, 1294611]</t>
  </si>
  <si>
    <t>[355609, 355610, 1294614, 1294618]</t>
  </si>
  <si>
    <t>[0.008, 0.074, 0.023, 0.022]</t>
  </si>
  <si>
    <t>253.84925016690266</t>
  </si>
  <si>
    <t>[-0.023, -0.011, -0.013, 0.035, 0.039]</t>
  </si>
  <si>
    <t>LINESTRING (11.048927185275135 60.84266637385105, 11.048906898625876 60.84263377462166, 11.048864088537727 60.84257624115967, 11.048760127181723 60.84249182738039, 11.041845843210119 60.842770675146376, 11.041375604873496 60.84283564553687)</t>
  </si>
  <si>
    <t>[2096824, 2096828, 2096831, 367469, 367405]</t>
  </si>
  <si>
    <t>[1813621, 1813624, 356178, 356097, 355615]</t>
  </si>
  <si>
    <t>0.032820914213201116</t>
  </si>
  <si>
    <t>[1813604, 1813621, 1813624, 356178, 356097]</t>
  </si>
  <si>
    <t>[0.023, 0.011, 0.013, 0.035, 0.039]</t>
  </si>
  <si>
    <t>438.03803380733893</t>
  </si>
  <si>
    <t>[-0.026, -0.003, 0.003, 0.004]</t>
  </si>
  <si>
    <t>LINESTRING (5.643144819804145 59.0039435219097, 5.64310046639134 59.00403417541673, 5.641348936658968 59.00669923397552, 5.64115739963766 59.00688682007133, 5.641064285719348 59.00697597123927)</t>
  </si>
  <si>
    <t>[367056, 367064, 367072, 367080]</t>
  </si>
  <si>
    <t>[355707, 355714, 355722, 355731]</t>
  </si>
  <si>
    <t>[355698, 355707, 355714, 355722]</t>
  </si>
  <si>
    <t>[0.026, 0.003, 0.003, 0.004]</t>
  </si>
  <si>
    <t>360.6850710972122</t>
  </si>
  <si>
    <t>[0.188, 0.003, 0.003, 0.002, 0.003]</t>
  </si>
  <si>
    <t>LINESTRING (5.643144819804145 59.0039435219097, 5.643153191808506 59.00404117171929, 5.643824839508175 59.006598024019894, 5.643828777920576 59.00663822225396, 5.643829951965234 59.00699265598203, 5.643840715725656 59.00704004858168)</t>
  </si>
  <si>
    <t>[2117788, 2117796, 2117804, 2117812, 2117820]</t>
  </si>
  <si>
    <t>[1825879, 1825884, 1825887, 1825893, 1825897]</t>
  </si>
  <si>
    <t>0.008525426998333998</t>
  </si>
  <si>
    <t>[355698, 1825879, 1825884, 1825887, 1825893]</t>
  </si>
  <si>
    <t>358.51876273568183</t>
  </si>
  <si>
    <t>[-0.001, 0.123, -0.0, 0.005, -0.009, 0.005, 0.022, 0.024, 0.025, 0.024, 0.026, 0.027, -0.023]</t>
  </si>
  <si>
    <t>[1, 0, 0, 0, 0, 0, 0, 0, 0, 0, 1, 0, 0]</t>
  </si>
  <si>
    <t>LINESTRING (5.650651757111632 58.99526868810158, 5.6506223435453675 58.995296190030565, 5.65057630721696 58.995340285853885, 5.650076006917479 58.99580006188925, 5.649631702969168 58.99620188849077, 5.646986875760102 58.99861443770073, 5.64544711278225 59.00013178512813, 5.645066135073985 59.00058936038932, 5.645016303985622 59.000656224981334, 5.644973788060296 59.000709161979785, 5.644927856829359 59.00076817662964, 5.644868002432507 59.00084606010627, 5.644064869295297 59.00210345429882, 5.643144819804145 59.0039435219097)</t>
  </si>
  <si>
    <t>[1417402, 1417410, 366968, 366976, 366984, 366992, 367000, 367008, 367016, 367024, 367032, 367040, 367048]</t>
  </si>
  <si>
    <t>[1294565, 355619, 355620, 355629, 355636, 355648, 355654, 355660, 355665, 355673, 355679, 355688, 355698]</t>
  </si>
  <si>
    <t>0.0002015614017899157</t>
  </si>
  <si>
    <t>[1294550, 1294565, 355619, 355620, 355629, 355636, 355648, 355654, 355660, 355665, 355673, 355679, 355688]</t>
  </si>
  <si>
    <t>[0.001, 0.123, 0.0, 0.005, 0.009, 0.005, 0.022, 0.024, 0.025, 0.024, 0.026, 0.027, 0.023]</t>
  </si>
  <si>
    <t>1067.7628749861901</t>
  </si>
  <si>
    <t>47.9486225591992</t>
  </si>
  <si>
    <t>[0.051, -0.019]</t>
  </si>
  <si>
    <t>LINESTRING (5.641064285719348 59.00697597123927, 5.640700223090929 59.00735730941481, 5.639135360139508 59.00880238998317)</t>
  </si>
  <si>
    <t>[2117941, 2117949]</t>
  </si>
  <si>
    <t>[1825975, 1825981]</t>
  </si>
  <si>
    <t>[355731, 1825975]</t>
  </si>
  <si>
    <t>[0.051, 0.019]</t>
  </si>
  <si>
    <t>232.64156619915894</t>
  </si>
  <si>
    <t>[-0.021, -0.03]</t>
  </si>
  <si>
    <t>LINESTRING (5.639135360139508 59.00880238998317, 5.638420341705444 59.00947121532279, 5.638128944755327 59.0097091447653)</t>
  </si>
  <si>
    <t>[2117965, 2117973]</t>
  </si>
  <si>
    <t>[1825989, 355738]</t>
  </si>
  <si>
    <t>[1825981, 1825989]</t>
  </si>
  <si>
    <t>[0.021, 0.03]</t>
  </si>
  <si>
    <t>116.79568729340947</t>
  </si>
  <si>
    <t>32.173505140747544</t>
  </si>
  <si>
    <t>[0.0, -0.002, 0.028, 0.01, 0.009, 0.021, 0.023, -0.004, -0.005, -0.012, 0.041, 0.038]</t>
  </si>
  <si>
    <t>[0, 0, 0, 0, 0, 0, 0, 0, 0, 0, 1, 0]</t>
  </si>
  <si>
    <t>LINESTRING (10.917586384824485 60.882746304318665, 10.916401997433065 60.88300554131154, 10.916078924904244 60.883070023379574, 10.915103922409918 60.88324994785858, 10.91315242202142 60.883545154746606, 10.913051578767547 60.883558520810446, 10.907756309663165 60.884181441032716, 10.903873109661046 60.88463763064432, 10.89707808802208 60.88586458226338, 10.8821423183471 60.891019617896994, 10.867916021379221 60.8936511642173, 10.866742786633756 60.8936554454591, 10.857630557059554 60.8937348938825)</t>
  </si>
  <si>
    <t>[383598, 369202, 1005578, 1005594, 1005595, 1005603, 1005619, 368991, 369162, 369186, 369258, 369282]</t>
  </si>
  <si>
    <t>[358078, 358079, 962522, 962538, 962539, 962548, 357849, 357850, 358038, 358061, 358137, 358164]</t>
  </si>
  <si>
    <t>0.005268973842964556</t>
  </si>
  <si>
    <t>[355792, 358078, 358079, 962522, 962538, 962539, 962548, 357849, 357850, 358038, 358061, 358137]</t>
  </si>
  <si>
    <t>[0.0, 0.002, 0.028, 0.01, 0.009, 0.021, 0.023, 0.004, 0.005, 0.012, 0.041, 0.038]</t>
  </si>
  <si>
    <t>3561.8107420794636</t>
  </si>
  <si>
    <t>[0.002, 0.007, 0.013, 0.004, 0.002, -0.005]</t>
  </si>
  <si>
    <t>LINESTRING (10.931758897481108 60.877951339822125, 10.930014730054392 60.878573043000614, 10.926535997044837 60.879812828978245, 10.926156072077912 60.879948312669875, 10.92466952238618 60.88047795575595, 10.91892402809969 60.88240867177266, 10.917586384824485 60.882746304318665)</t>
  </si>
  <si>
    <t>[367861, 367869, 367877, 367829, 383582, 383590]</t>
  </si>
  <si>
    <t>[356586, 356595, 356546, 356547, 373184, 355792]</t>
  </si>
  <si>
    <t>0.003150107133399496</t>
  </si>
  <si>
    <t>[355915, 356586, 356595, 356546, 356547, 373184]</t>
  </si>
  <si>
    <t>[0.002, 0.007, 0.013, 0.004, 0.002, 0.005]</t>
  </si>
  <si>
    <t>938.2573040824159</t>
  </si>
  <si>
    <t>[-0.023, -0.003, 0.001, -0.004]</t>
  </si>
  <si>
    <t>LINESTRING (10.925834979447862 60.8807355420087, 10.925742201478077 60.880706656986426, 10.920934542708315 60.88185856284591, 10.918196836158373 60.88263323916659, 10.917586384824485 60.882746304318665)</t>
  </si>
  <si>
    <t>[1256412, 1256413, 367373, 367149]</t>
  </si>
  <si>
    <t>[1174618, 356053, 355791, 355792]</t>
  </si>
  <si>
    <t>[1174617, 1174618, 356053, 355791]</t>
  </si>
  <si>
    <t>[0.023, 0.003, 0.001, 0.004]</t>
  </si>
  <si>
    <t>512.2372940550839</t>
  </si>
  <si>
    <t>[-0.006, -0.006, -0.001, -0.005]</t>
  </si>
  <si>
    <t>LINESTRING (10.918842932706127 60.8823279674016, 10.9193706858956 60.88214316112552, 10.91976844153247 60.88200600754882, 10.924990882387045 60.879798617361715, 10.925010186917921 60.87975692277197)</t>
  </si>
  <si>
    <t>[367157, 367069, 1256420, 1256429]</t>
  </si>
  <si>
    <t>[355717, 355718, 1174622, 1174631]</t>
  </si>
  <si>
    <t>[355800, 355717, 355718, 1174622]</t>
  </si>
  <si>
    <t>[0.006, 0.006, 0.001, 0.005]</t>
  </si>
  <si>
    <t>445.03048438566213</t>
  </si>
  <si>
    <t>[0.012, -0.014, -0.001, -0.003, -0.025, -0.033, 0.029, 0.035, -0.003, -0.006, -0.011, 0.04, 0.038, 0.019]</t>
  </si>
  <si>
    <t>[0, 0, 0, 0, 0, 0, 0, 0, 0, 0, 0, 1, 0, 0]</t>
  </si>
  <si>
    <t>LINESTRING (10.918842932706127 60.8823279674016, 10.917510129931445 60.88266469434991, 10.91633881312328 60.88292127131293, 10.916008467676455 60.88298709638902, 10.915041186639153 60.88316551102574, 10.913105472113184 60.883458338291675, 10.913003903322577 60.88347175416295, 10.907706955146763 60.88408241245367, 10.90382131048652 60.88453531637079, 10.89699105921234 60.88577872891881, 10.88203848682999 60.890945493136826, 10.86789235529594 60.89356179125656, 10.866733024557101 60.89356560089678, 10.857608734482266 60.89364575514162, 10.857244246202644 60.89367164802681)</t>
  </si>
  <si>
    <t>[2026077, 2026082, 369290, 369050, 369058, 369066, 369074, 369082, 369090, 369194, 369418, 369298, 369234, 369250]</t>
  </si>
  <si>
    <t>[1769014, 358173, 357916, 357917, 357925, 357934, 357943, 357952, 357961, 358069, 358185, 358111, 358112, 358128]</t>
  </si>
  <si>
    <t>0.005047979106117387</t>
  </si>
  <si>
    <t>[355800, 1769014, 358173, 357916, 357917, 357925, 357934, 357943, 357952, 357961, 358069, 358185, 358111, 358112]</t>
  </si>
  <si>
    <t>[0.012, 0.014, 0.001, 0.003, 0.025, 0.033, 0.029, 0.035, 0.003, 0.006, 0.011, 0.04, 0.038, 0.019]</t>
  </si>
  <si>
    <t>3660.5782452017825</t>
  </si>
  <si>
    <t>[0.008, 0.006, 0.007, 0.007, -0.007, 0.001]</t>
  </si>
  <si>
    <t>LINESTRING (10.93273513033326 60.87749220620337, 10.931650240472026 60.877878924727035, 10.92990626443025 60.878500587307364, 10.92642786595514 60.87974023670782, 10.92604786098411 60.87987562775884, 10.9245609112007 60.88040552717947, 10.918842932706127 60.8823279674016)</t>
  </si>
  <si>
    <t>[2026483, 2026491, 2026500, 2026517, 2026293, 2026069]</t>
  </si>
  <si>
    <t>[1769288, 1769296, 1769303, 1769152, 1769009, 355800]</t>
  </si>
  <si>
    <t>0.002999998132138176</t>
  </si>
  <si>
    <t>[355924, 1769288, 1769296, 1769303, 1769152, 1769009]</t>
  </si>
  <si>
    <t>[0.008, 0.006, 0.007, 0.007, 0.007, 0.001]</t>
  </si>
  <si>
    <t>927.69030921079</t>
  </si>
  <si>
    <t>[0.003, 0.003, 0.012, 0.009]</t>
  </si>
  <si>
    <t>LINESTRING (10.931758897481108 60.877951339822125, 10.931296437254531 60.87815462136363, 10.92987776118618 60.87868302122869, 10.92636429441061 60.880585638346666, 10.926330619176529 60.880634152270815)</t>
  </si>
  <si>
    <t>[367261, 367205, 1256383, 1256391]</t>
  </si>
  <si>
    <t>[355854, 355855, 1174599, 1174604]</t>
  </si>
  <si>
    <t>0.009210198784733763</t>
  </si>
  <si>
    <t>[355915, 355854, 355855, 1174599]</t>
  </si>
  <si>
    <t>428.432251536181</t>
  </si>
  <si>
    <t>[-0.045, -0.065, -0.073, -0.008, -0.024, 0.014, 0.013, 0.011, 0.01, 0.004, 0.0, -0.009, -0.032, -0.03, -0.023, 0.0, 0.002, 0.002]</t>
  </si>
  <si>
    <t>[0, 0, 1, 0, 0, 1, 0, 0, 1, 0, 1, 0, 0, 1, 0, 0, 0, 0]</t>
  </si>
  <si>
    <t>LINESTRING (10.982159298683058 60.85574574720504, 10.969286913006817 60.860163387137575, 10.965060299780383 60.86109892749657, 10.96460682329413 60.861188143983284, 10.959379646404848 60.86226851627311, 10.958438856206055 60.86250736499961, 10.958028361340915 60.86262077783083, 10.957469972673966 60.86278556439324, 10.957087658392625 60.862906385451964, 10.95691785131953 60.86296195458926, 10.955439244028916 60.86350644505336, 10.955296854857567 60.86356526532965, 10.947371366876473 60.87053822233823, 10.946941364151257 60.871008356139846, 10.946701538933475 60.87125184767464, 10.944981657649855 60.872652939569946, 10.934346474968974 60.87702900690112, 10.932847418211514 60.87756334587536, 10.931758897481108 60.877951339822125)</t>
  </si>
  <si>
    <t>[2026397, 383614, 2026190, 2026143, 2026144, 367901, 367173, 367181, 367061, 2026360, 366925, 367189, 367197, 383606, 367165, 367837, 367845, 367853]</t>
  </si>
  <si>
    <t>[373226, 373227, 1769054, 1769055, 356632, 355817, 355818, 355710, 355711, 355570, 355571, 355835, 355843, 355807, 355808, 356556, 356566, 355915]</t>
  </si>
  <si>
    <t>[355983, 373226, 373227, 1769054, 1769055, 356632, 355817, 355818, 355710, 355711, 355570, 355571, 355835, 355843, 355807, 355808, 356556, 356566]</t>
  </si>
  <si>
    <t>[0.045, 0.065, 0.073, 0.008, 0.024, 0.014, 0.013, 0.011, 0.01, 0.004, 0.0, 0.009, 0.032, 0.03, 0.023, 0.0, 0.002, 0.002]</t>
  </si>
  <si>
    <t>3812.9867833916815</t>
  </si>
  <si>
    <t>[-0.06, -0.008, -0.066, -0.061, -0.07, -0.011, -0.04, 0.016, 0.025, 0.001, -0.022, 0.004, 0.0, -0.009, -0.032, 0.113, -0.011, -0.007, -0.0]</t>
  </si>
  <si>
    <t>[0, 0, 0, 0, 1, 0, 0, 1, 0, 0, 1, 0, 1, 0, 0, 1, 0, 0, 0]</t>
  </si>
  <si>
    <t>LINESTRING (10.985996513236929 60.85468232724219, 10.98559582498144 60.854759381585886, 10.982059928884809 60.85567026239242, 10.969200865483536 60.86008412111837, 10.965082678592232 60.86099765529902, 10.9646371311193 60.86108540204552, 10.959300418806771 60.8621875069304, 10.958634323368889 60.86235385759017, 10.95815202230975 60.86248263989662, 10.957368872978655 60.86271062880464, 10.957102231043361 60.86279418107671, 10.956915228104082 60.862854536505715, 10.955393806911527 60.86340816558134, 10.955247826805325 60.86346768673119, 10.947207233455163 60.87049721095656, 10.946774687727139 60.87097051289168, 10.946536352013641 60.871212430916614, 10.94483322651743 60.87260017320828, 10.934236798023692 60.87695690470055, 10.93273513033326 60.87749220620337)</t>
  </si>
  <si>
    <t>[367677, 2026536, 2026563, 2026307, 367685, 2026161, 2026165, 367909, 383566, 383574, 2026285, 367765, 367293, 367277, 367285, 2026111, 2026520, 2026473, 2026482]</t>
  </si>
  <si>
    <t>[356388, 1769332, 1769165, 356398, 356399, 1769067, 356642, 356643, 373162, 373174, 356485, 355953, 355933, 355934, 355944, 1769035, 1769281, 1769282, 355924]</t>
  </si>
  <si>
    <t>[355991, 356388, 1769332, 1769165, 356398, 356399, 1769067, 356642, 356643, 373162, 373174, 356485, 355953, 355933, 355934, 355944, 1769035, 1769281, 1769282]</t>
  </si>
  <si>
    <t>[0.06, 0.008, 0.066, 0.061, 0.07, 0.011, 0.04, 0.016, 0.025, 0.001, 0.022, 0.004, 0.0, 0.009, 0.032, 0.113, 0.011, 0.007, 0.0]</t>
  </si>
  <si>
    <t>3981.665744896474</t>
  </si>
  <si>
    <t>[0.014, -0.009, -0.002, -0.001]</t>
  </si>
  <si>
    <t>LINESTRING (10.925517793318932 60.87962122469545, 10.925682741207924 60.879614990241876, 10.929711816623584 60.878508827714164, 10.932380875750262 60.87758603287043, 10.93273513033326 60.87749220620337)</t>
  </si>
  <si>
    <t>[1256437, 1256452, 367381, 367269]</t>
  </si>
  <si>
    <t>[1174637, 356065, 355923, 355924]</t>
  </si>
  <si>
    <t>[1174636, 1174637, 356065, 355923]</t>
  </si>
  <si>
    <t>[0.014, 0.009, 0.002, 0.001]</t>
  </si>
  <si>
    <t>461.1330304855458</t>
  </si>
  <si>
    <t>[-0.038, -0.027, -0.017, -0.084, -0.105]</t>
  </si>
  <si>
    <t>LINESTRING (10.993050910455985 60.854767456883884, 10.992997735065362 60.85475444405075, 10.992868579253606 60.85472319791787, 10.986189865906242 60.85479794394188, 10.982673644883183 60.85562575243029, 10.982159298683058 60.85574574720504)</t>
  </si>
  <si>
    <t>[1255887, 1255888, 1255898, 367453, 367317]</t>
  </si>
  <si>
    <t>[1174217, 1174218, 356161, 355982, 355983]</t>
  </si>
  <si>
    <t>[1174216, 1174217, 1174218, 356161, 355982]</t>
  </si>
  <si>
    <t>[0.038, 0.027, 0.017, 0.084, 0.105]</t>
  </si>
  <si>
    <t>626.2638804457088</t>
  </si>
  <si>
    <t>[0.041, 0.024, -0.002, -0.023, -0.019]</t>
  </si>
  <si>
    <t>LINESTRING (10.985996513236929 60.85468232724219, 10.986615980733596 60.854540918818124, 10.987011169589838 60.854458159503686, 10.99329445451984 60.85355581571821, 10.993426613539103 60.85353207145412, 10.99348223394253 60.853522044682116)</t>
  </si>
  <si>
    <t>[367325, 367301, 1255906, 1255912, 1255923]</t>
  </si>
  <si>
    <t>[355961, 355962, 1174231, 1174233, 1174239]</t>
  </si>
  <si>
    <t>0.0026519196132648386</t>
  </si>
  <si>
    <t>[355991, 355961, 355962, 1174231, 1174233]</t>
  </si>
  <si>
    <t>[0.041, 0.024, 0.002, 0.023, 0.019]</t>
  </si>
  <si>
    <t>428.0220666004716</t>
  </si>
  <si>
    <t>[0.007, 0.001, -0.004]</t>
  </si>
  <si>
    <t>LINESTRING (11.002724594893431 60.85327658066187, 11.000650005063934 60.853635603449774, 10.993831803349691 60.854050055854906, 10.985996513236929 60.85468232724219)</t>
  </si>
  <si>
    <t>[367653, 367661, 367669]</t>
  </si>
  <si>
    <t>[356364, 356370, 355991]</t>
  </si>
  <si>
    <t>[356032, 356364, 356370]</t>
  </si>
  <si>
    <t>[0.007, 0.001, 0.004]</t>
  </si>
  <si>
    <t>929.2897707971853</t>
  </si>
  <si>
    <t>[0.014, 0.001, -0.006, -0.002]</t>
  </si>
  <si>
    <t>LINESTRING (10.994096229212007 60.85356050254033, 10.994149176947072 60.85357179115274, 10.999328761921292 60.85375629160147, 11.002164940948324 60.853348734673766, 11.002724594893431 60.85327658066187)</t>
  </si>
  <si>
    <t>[1255934, 1255965, 367389, 367357]</t>
  </si>
  <si>
    <t>[1174246, 356079, 356031, 356032]</t>
  </si>
  <si>
    <t>[1174245, 1174246, 356079, 356031]</t>
  </si>
  <si>
    <t>[0.014, 0.001, 0.006, 0.002]</t>
  </si>
  <si>
    <t>484.6459157198422</t>
  </si>
  <si>
    <t>[0.003, 0.005, -0.001]</t>
  </si>
  <si>
    <t>LINESTRING (5.697955629444955 59.113295639867594, 5.6979894325858504 59.11342059503396, 5.698110322436142 59.114473411993856, 5.698116194624403 59.11450207848818)</t>
  </si>
  <si>
    <t>[679774, 679775, 679782]</t>
  </si>
  <si>
    <t>[670344, 670345, 662056]</t>
  </si>
  <si>
    <t>0.004673058884073882</t>
  </si>
  <si>
    <t>[356058, 670344, 670345]</t>
  </si>
  <si>
    <t>[0.003, 0.005, 0.001]</t>
  </si>
  <si>
    <t>145.34352090950966</t>
  </si>
  <si>
    <t>18.22975610807198</t>
  </si>
  <si>
    <t>[0.026, 0.029]</t>
  </si>
  <si>
    <t>LINESTRING (10.99365229428926 60.8536560312248, 10.99365135386999 60.85368998410465, 10.9936673991041 60.85386917747245)</t>
  </si>
  <si>
    <t>[367429, 367437]</t>
  </si>
  <si>
    <t>[356130, 356142]</t>
  </si>
  <si>
    <t>0.028522464675428186</t>
  </si>
  <si>
    <t>[356129, 356130]</t>
  </si>
  <si>
    <t>23.773843062687398</t>
  </si>
  <si>
    <t>[0.252, -0.286]</t>
  </si>
  <si>
    <t>LINESTRING (10.993850818003631 60.85367031540427, 10.993739866838455 60.85367042081989, 10.99365229428926 60.8536560312248)</t>
  </si>
  <si>
    <t>[1256101, 1255974]</t>
  </si>
  <si>
    <t>[1174283, 356129]</t>
  </si>
  <si>
    <t>0.007530136246519136</t>
  </si>
  <si>
    <t>[356494, 1174283]</t>
  </si>
  <si>
    <t>[0.252, 0.286]</t>
  </si>
  <si>
    <t>11.055784772557242</t>
  </si>
  <si>
    <t>[-0.003, 0.001, -0.002, -0.007, -0.008, -0.003, -0.016]</t>
  </si>
  <si>
    <t>LINESTRING (9.55601052672299 60.821094924988046, 9.555353554444117 60.82153027334876, 9.554837363881617 60.82202101789959, 9.554819714845282 60.82204152151447, 9.554780975361489 60.822088121575426, 9.554740192421283 60.82213719444543, 9.554731715446538 60.82214670441276, 9.554342432599176 60.82290830729825)</t>
  </si>
  <si>
    <t>[367838, 367846, 367854, 367862, 367870, 367878, 367886]</t>
  </si>
  <si>
    <t>[356557, 356567, 356577, 356587, 356596, 356603, 356143]</t>
  </si>
  <si>
    <t>[356132, 356557, 356567, 356577, 356587, 356596, 356603]</t>
  </si>
  <si>
    <t>[0.003, 0.001, 0.002, 0.007, 0.008, 0.003, 0.016]</t>
  </si>
  <si>
    <t>225.28921324144153</t>
  </si>
  <si>
    <t>[-0.005, -0.008, -0.002, -0.002, -0.002, -0.007, -0.003, -0.013]</t>
  </si>
  <si>
    <t>LINESTRING (9.55601052672299 60.821094924988046, 9.555568122096346 60.8214837265347, 9.555473659771256 60.82156316054119, 9.554967192760026 60.82204801001151, 9.554949170011957 60.82206811147445, 9.554908525299405 60.82211323921359, 9.554869479635109 60.82216152776617, 9.554861806519224 60.82217107940936, 9.554342432599176 60.82290830729825)</t>
  </si>
  <si>
    <t>[367894, 367902, 367910, 367918, 367926, 367934, 367942, 367950]</t>
  </si>
  <si>
    <t>[356623, 356633, 356644, 356652, 356661, 356670, 356682, 356143]</t>
  </si>
  <si>
    <t>[356132, 356623, 356633, 356644, 356652, 356661, 356670, 356682]</t>
  </si>
  <si>
    <t>[0.005, 0.008, 0.002, 0.002, 0.002, 0.007, 0.003, 0.013]</t>
  </si>
  <si>
    <t>222.6878392500831</t>
  </si>
  <si>
    <t>[0.0, 0.092, -0.001, 0.076, 0.386, -0.054, -0.119, -0.03, -0.0, 0.004, 0.008, 0.003]</t>
  </si>
  <si>
    <t>1791.0</t>
  </si>
  <si>
    <t>LINESTRING (9.580435616954807 60.795662836551266, 9.580435616954807 60.795662836551266, 9.57922061404921 60.79603491712187, 9.568591622471073 60.79869479028466, 9.566194577860399 60.800824335318204, 9.565025013657992 60.80248283892039, 9.565971183696268 60.808149311555425, 9.566730785903031 60.80972685855652, 9.565083322048617 60.81393263719455, 9.557187568122515 60.82019054406987, 9.556758995022228 60.82052893746921, 9.556652223438132 60.82061153485447, 9.55601052672299 60.821094924988046)</t>
  </si>
  <si>
    <t>[755668, 755676, 755684, 755692, 755700, 755708, 755716, 755724, 755732, 755740, 755748, 367430]</t>
  </si>
  <si>
    <t>[0, 0, 0, 0, 0, 1, 0, 0, 0, 0, 0, 0]</t>
  </si>
  <si>
    <t>[736346, 341180, 736355, 736362, 736370, 736374, 736378, 736382, 736388, 736394, 356131, 356132]</t>
  </si>
  <si>
    <t>0.0090659229004894</t>
  </si>
  <si>
    <t>[736345, 736346, 341180, 736355, 736362, 736370, 736374, 736378, 736382, 736388, 736394, 356131]</t>
  </si>
  <si>
    <t>[0.0, 0.092, 0.001, 0.076, 0.386, 0.054, 0.119, 0.03, 0.0, 0.004, 0.008, 0.003]</t>
  </si>
  <si>
    <t>3520.2723139757686</t>
  </si>
  <si>
    <t>[0.075, -0.38]</t>
  </si>
  <si>
    <t>LINESTRING (10.9936673991041 60.85386917747245, 10.993477083845438 60.85439047271692, 10.993456080866343 60.85444773943042)</t>
  </si>
  <si>
    <t>[1256460, 1256468]</t>
  </si>
  <si>
    <t>[1174646, 356511]</t>
  </si>
  <si>
    <t>0.029957858664687174</t>
  </si>
  <si>
    <t>[356142, 1174646]</t>
  </si>
  <si>
    <t>[0.075, 0.38]</t>
  </si>
  <si>
    <t>65.49431073103594</t>
  </si>
  <si>
    <t>LINESTRING (10.993850818003631 60.85367031540427, 10.993824638759053 60.853701267774966, 10.9936673991041 60.85386917747245)</t>
  </si>
  <si>
    <t>[367773, 367781]</t>
  </si>
  <si>
    <t>[356495, 356142]</t>
  </si>
  <si>
    <t>[356494, 356495]</t>
  </si>
  <si>
    <t>24.304713279984348</t>
  </si>
  <si>
    <t>[0.506, 0.008]</t>
  </si>
  <si>
    <t>LINESTRING (11.050468754348541 60.84114345759438, 11.05044558303404 60.84116774822685, 11.0502284585341 60.84122025770384)</t>
  </si>
  <si>
    <t>[1808300, 1808304]</t>
  </si>
  <si>
    <t>[1593023, 1593026]</t>
  </si>
  <si>
    <t>0.09752179923136621</t>
  </si>
  <si>
    <t>[356184, 1593023]</t>
  </si>
  <si>
    <t>16.61089740919173</t>
  </si>
  <si>
    <t>[0.026, 0.004, -0.001, -0.039, -0.048, -0.052, -0.26]</t>
  </si>
  <si>
    <t>LINESTRING (11.049993220907437 60.84110047428161, 11.050061642902962 60.841015425843715, 11.050111211958605 60.8409966404592, 11.050170456903386 60.84098302998498, 11.050402074706739 60.841007617249296, 11.0504602470965 60.84104234678037, 11.0504849861755 60.84107887027806, 11.050468754348541 60.84114345759438)</t>
  </si>
  <si>
    <t>[1808308, 1808309, 1808323, 1808284, 1808290, 1808291, 1808292]</t>
  </si>
  <si>
    <t>[1593030, 1593031, 1593011, 1593012, 1593016, 1593017, 356184]</t>
  </si>
  <si>
    <t>[1593029, 1593030, 1593031, 1593011, 1593012, 1593016, 1593017]</t>
  </si>
  <si>
    <t>[0.026, 0.004, 0.001, 0.039, 0.048, 0.052, 0.26]</t>
  </si>
  <si>
    <t>47.204686987506825</t>
  </si>
  <si>
    <t>[-0.036, -0.028, -0.034, -0.007, 0.024, 0.03, 0.025, 0.028, -0.003, 0.011, 0.014, -0.014, -0.03, -0.02, 0.016, -0.037]</t>
  </si>
  <si>
    <t>LINESTRING (5.636598535284886 59.126663023145426, 5.635669194156362 59.126784568359895, 5.632351310475524 59.12722948055571, 5.632278518976791 59.12723790243498, 5.62548312924082 59.12735027231093, 5.625402834876233 59.127351075839165, 5.624083291915355 59.127410294636256, 5.624068775828929 59.12741141536948, 5.6239961732622055 59.12741703547578, 5.613617904133568 59.12959654733452, 5.613552913459547 59.12961807346005, 5.609054008067361 59.13166933576637, 5.6090070547247945 59.13169683993047, 5.606020097170024 59.133513857547534, 5.60596549662027 59.13354820536016, 5.601837848466136 59.13749446026411, 5.597956085192671 59.13801413463803)</t>
  </si>
  <si>
    <t>[367624, 367632, 367640, 367648, 367656, 367664, 367672, 367680, 367688, 367696, 367704, 367712, 367720, 367728, 805241, 805249]</t>
  </si>
  <si>
    <t>[356332, 356342, 356348, 356357, 356366, 356373, 356381, 356391, 356400, 356409, 356418, 356428, 356437, 356448, 783641, 670285]</t>
  </si>
  <si>
    <t>[356326, 356332, 356342, 356348, 356357, 356366, 356373, 356381, 356391, 356400, 356409, 356418, 356428, 356437, 356448, 783641]</t>
  </si>
  <si>
    <t>[0.036, 0.028, 0.034, 0.007, 0.024, 0.03, 0.025, 0.028, 0.003, 0.011, 0.014, 0.014, 0.03, 0.02, 0.016, 0.037]</t>
  </si>
  <si>
    <t>2752.6412619311536</t>
  </si>
  <si>
    <t>129.56722986848249</t>
  </si>
  <si>
    <t>[0.0, -0.034, 0.001, 0.004, 0.133]</t>
  </si>
  <si>
    <t>LINESTRING (5.458971452735985 59.42191370210947, 5.458971452735985 59.42191370210947, 5.459469233330765 59.423300253905246, 5.459422135296643 59.423872616545424, 5.459277658112991 59.42546446661224, 5.459258662753564 59.425620573254285)</t>
  </si>
  <si>
    <t>[367736, 367744, 367752, 367760, 1955314]</t>
  </si>
  <si>
    <t>[356456, 356466, 356473, 356481, 1714915]</t>
  </si>
  <si>
    <t>[356455, 356456, 356466, 356473, 356481]</t>
  </si>
  <si>
    <t>[0.0, 0.034, 0.001, 0.004, 0.133]</t>
  </si>
  <si>
    <t>845.5953898177222</t>
  </si>
  <si>
    <t>[0.0, -0.042, -0.011, -0.009, 0.141, 0.056, -0.08, -0.093, -0.046, -0.042]</t>
  </si>
  <si>
    <t>LINESTRING (8.324996592499696 59.48947499735416, 8.324996592499696 59.48947499735416, 8.341005350999668 59.48432113408301, 8.347761866812926 59.481993784478945, 8.351371503678362 59.48009447598443, 8.352472217309307 59.47968116980029, 8.361454070030309 59.47821487929318, 8.3703177688406 59.47769172021534, 8.373874771286888 59.47828814338371, 8.376340094913548 59.478512849738166, 8.37820817759636 59.478779621523486)</t>
  </si>
  <si>
    <t>[367804, 367756, 367764, 367700, 367708, 367716, 367724, 367732, 367740, 367748]</t>
  </si>
  <si>
    <t>[356477, 356478, 356405, 356414, 356423, 356433, 356442, 356396, 356461, 356470]</t>
  </si>
  <si>
    <t>[356523, 356477, 356478, 356405, 356414, 356423, 356433, 356442, 356396, 356461]</t>
  </si>
  <si>
    <t>[0.0, 0.042, 0.011, 0.009, 0.141, 0.056, 0.08, 0.093, 0.046, 0.042]</t>
  </si>
  <si>
    <t>3820.3868088710774</t>
  </si>
  <si>
    <t>[0.12, -0.063, -0.071, 0.019, 0.056, 0.013, -0.083, 0.05, 0.004, -0.031, -0.02, 0.015, 0.013, 0.028, 0.037, -0.013, 0.015, 0.017, -0.025, -0.035, 0.072, 0.026, -0.033, 0.004, 0.013, -0.019, -0.03, 0.0, 0.014, -0.002, 0.012, 0.062, 0.063, 0.086, -0.001, 0.033, 0.059, 0.097, 0.086, 0.018, -0.002, 0.042, -0.014, -0.022, 0.03]</t>
  </si>
  <si>
    <t>2187.0</t>
  </si>
  <si>
    <t>LINESTRING (8.48562768045577 59.43720360609427, 8.482316012053932 59.43564215016133, 8.475773079765892 59.435720826425396, 8.474456357266067 59.43654459154325, 8.474136846391962 59.437083783928955, 8.47393406086426 59.43773403257645, 8.473687127558403 59.4381227143541, 8.473048271402053 59.4385570764845, 8.471282621109717 59.44003726081055, 8.470583930829081 59.44049181552086, 8.469346476525217 59.44106033658015, 8.466747086970582 59.44176878788531, 8.458710302791541 59.44236969859703, 8.4582875672075 59.44252059242287, 8.45623799324274 59.443262899039226, 8.4523722248072 59.4447642703317, 8.447632104867779 59.44524841483161, 8.441984117938363 59.44783927470823, 8.43804620792795 59.45385213076901, 8.437951561721345 59.45419566103755, 8.437466597715469 59.45531458656876, 8.43719523355489 59.45636546847472, 8.436675885918245 59.45752789153222, 8.435698909626463 59.45847355713483, 8.433646263540195 59.461135959676575, 8.433370731394138 59.46246790953086, 8.43283227333211 59.46481350875888, 8.432152872659024 59.46690721787956, 8.43012468952591 59.469139566765804, 8.424228828308664 59.472259031307566, 8.421192247457572 59.474010611772705, 8.420653590630788 59.4743484493771, 8.42056342191499 59.47440453892297, 8.420512817872861 59.47443491721564, 8.419764484422885 59.47491611359331, 8.413751531378084 59.4794302111285, 8.409397659911956 59.481246688235196, 8.40768169119644 59.481385423668584, 8.407368253963584 59.4813789545186, 8.405746960062356 59.481221793137614, 8.397800123855948 59.4802792753911, 8.392092063261973 59.48057928356514, 8.385263727053532 59.4795909655202, 8.384594100716113 59.47958458195395, 8.38443306751588 59.47958360451557, 8.37820817759636 59.478779621523486)</t>
  </si>
  <si>
    <t>[990263, 990271, 990279, 990287, 990295, 990303, 990311, 990319, 990327, 990335, 990343, 990351, 990359, 990367, 990375, 990383, 990391, 990399, 990407, 990415, 990423, 990431, 990439, 990447, 990455, 990463, 990471, 990479, 990487, 990495, 990503, 990511, 990519, 990527, 990535, 990543, 990551, 990559, 990567, 990575, 990583, 990591, 990599, 990607, 990615]</t>
  </si>
  <si>
    <t>[949153, 949160, 949169, 743007, 501260, 743015, 743025, 949203, 501272, 949219, 754987, 747672, 742945, 949250, 754968, 936139, 949278, 771510, 754958, 754937, 949301, 754928, 746945, 746935, 771377, 949337, 807540, 764311, 949358, 949364, 807826, 770942, 949382, 949388, 949398, 742768, 742789, 742781, 742802, 949429, 770903, 807805, 949449, 949457, 356470]</t>
  </si>
  <si>
    <t>0.011121656522322575</t>
  </si>
  <si>
    <t>[519871, 949153, 949160, 949169, 743007, 501260, 743015, 743025, 949203, 501272, 949219, 754987, 747672, 742945, 949250, 754968, 936139, 949278, 771510, 754958, 754937, 949301, 754928, 746945, 746935, 771377, 949337, 807540, 764311, 949358, 949364, 807826, 770942, 949382, 949388, 949398, 742768, 742789, 742781, 742802, 949429, 770903, 807805, 949449, 949457]</t>
  </si>
  <si>
    <t>[0.12, 0.063, 0.071, 0.019, 0.056, 0.013, 0.083, 0.05, 0.004, 0.031, 0.02, 0.015, 0.013, 0.028, 0.037, 0.013, 0.015, 0.017, 0.025, 0.035, 0.072, 0.026, 0.033, 0.004, 0.013, 0.019, 0.03, 0.0, 0.014, 0.002, 0.012, 0.062, 0.063, 0.086, 0.001, 0.033, 0.059, 0.097, 0.086, 0.018, 0.002, 0.042, 0.014, 0.022, 0.03]</t>
  </si>
  <si>
    <t>9416.725278158789</t>
  </si>
  <si>
    <t>[0.009, 0.007, 0.049, 0.07, 0.05, -0.013, -0.007, 0.006, -0.005, -0.024, -0.022, -0.004, 0.011, 0.029, -0.011, -0.014, 0.001, -0.005, -0.024, -0.014, -0.004, 0.0, -0.007, 0.003, 0.07, 0.038, 0.018, 0.02, -0.006, -0.022, -0.019, 0.057]</t>
  </si>
  <si>
    <t>9488.0</t>
  </si>
  <si>
    <t>[0, 0, 0, 0, 0, 0, 0, 0, 0, 0, 0, 0, 0, 0, 0, 0, 0, 0, 0, 0, 0, 0, 0, 0, 0, 0, 0, 0, 1, 0, 0, 0]</t>
  </si>
  <si>
    <t>LINESTRING (5.459200767027214 59.426308265934075, 5.459149662017376 59.42684501885309, 5.459087917503353 59.42757928886875, 5.459190331433525 59.428250638739215, 5.459203903238946 59.428287949022554, 5.459233161893145 59.42836636914535, 5.460774036844474 59.43245837951888, 5.460623696467918 59.43303217448211, 5.460426924185506 59.43481403635866, 5.460540649201334 59.435962410822114, 5.460673270192188 59.43656398953153, 5.46074529836804 59.43700273553838, 5.46069040281206 59.438445965987576, 5.460657831316468 59.43855511614474, 5.460036564996758 59.44009830599441, 5.460085991074041 59.44053067637901, 5.4601963250065 59.441271674812604, 5.460876463741299 59.44309399624346, 5.4625132966982575 59.445684445854916, 5.4663196024344645 59.45229418278778, 5.466394345497727 59.4529098957992, 5.466271101186837 59.45435614690653, 5.4655061862634 59.456497963942724, 5.46511339625774 59.45782201246466, 5.465126490182897 59.45809673621025, 5.465203888301777 59.45845761173829, 5.466354540414109 59.46082377654267, 5.466861522891999 59.46201080348759, 5.467558115047923 59.46306447706438, 5.467630421720175 59.46310995201778, 5.467936570189364 59.46327344141376, 5.46806409176978 59.46332883930375, 5.4711155678327055 59.46360393133655)</t>
  </si>
  <si>
    <t>[367768, 367776, 367784, 367792, 367800, 367808, 367816, 367824, 367832, 367840, 367848, 367856, 367864, 367872, 367880, 367888, 367896, 367904, 367912, 367920, 367928, 367936, 367944, 367952, 367960, 367968, 367976, 367984, 367992, 368000, 368008, 368016]</t>
  </si>
  <si>
    <t>[356489, 356496, 356505, 356514, 248063, 356527, 356533, 356540, 356550, 356560, 356570, 356579, 356590, 343200, 356606, 356615, 356626, 356636, 356646, 356655, 248026, 356673, 356685, 356694, 356702, 356711, 247840, 356728, 356736, 356743, 356753, 356761]</t>
  </si>
  <si>
    <t>0.001124571176670422</t>
  </si>
  <si>
    <t>[356488, 356489, 356496, 356505, 356514, 248063, 356527, 356533, 356540, 356550, 356560, 356570, 356579, 356590, 343200, 356606, 356615, 356626, 356636, 356646, 356655, 248026, 356673, 356685, 356694, 356702, 356711, 247840, 356728, 356736, 356743, 356753]</t>
  </si>
  <si>
    <t>[0.009, 0.007, 0.049, 0.07, 0.05, 0.013, 0.007, 0.006, 0.005, 0.024, 0.022, 0.004, 0.011, 0.029, 0.011, 0.014, 0.001, 0.005, 0.024, 0.014, 0.004, 0.0, 0.007, 0.003, 0.07, 0.038, 0.018, 0.02, 0.006, 0.022, 0.019, 0.057]</t>
  </si>
  <si>
    <t>4444.201762707853</t>
  </si>
  <si>
    <t>[0.094, -0.17]</t>
  </si>
  <si>
    <t>LINESTRING (5.459328925887618 59.426116105199064, 5.459306999388722 59.426153637002415, 5.459200767027214 59.426308265934075)</t>
  </si>
  <si>
    <t>[1955218, 1955226]</t>
  </si>
  <si>
    <t>[1714858, 356488]</t>
  </si>
  <si>
    <t>[1714782, 1714858]</t>
  </si>
  <si>
    <t>[0.094, 0.17]</t>
  </si>
  <si>
    <t>23.352920301367682</t>
  </si>
  <si>
    <t>[0.002, -0.325]</t>
  </si>
  <si>
    <t>LINESTRING (5.45905524426634 59.42609447871217, 5.459082611685604 59.426147688139, 5.459200767027214 59.426308265934075)</t>
  </si>
  <si>
    <t>[1955234, 1955242]</t>
  </si>
  <si>
    <t>[1714874, 356488]</t>
  </si>
  <si>
    <t>[1714798, 1714874]</t>
  </si>
  <si>
    <t>[0.002, 0.325]</t>
  </si>
  <si>
    <t>25.711983179832895</t>
  </si>
  <si>
    <t>18.84313384016417</t>
  </si>
  <si>
    <t>[0.027, 0.032]</t>
  </si>
  <si>
    <t>LINESTRING (10.993456080866343 60.85444773943042, 10.993291392346814 60.85467426389363, 10.993274739741752 60.854700511209984)</t>
  </si>
  <si>
    <t>[367789, 367797]</t>
  </si>
  <si>
    <t>[356512, 356519]</t>
  </si>
  <si>
    <t>0.02751294175386001</t>
  </si>
  <si>
    <t>[356511, 356512]</t>
  </si>
  <si>
    <t>29.84808970331543</t>
  </si>
  <si>
    <t>[0.029, 0.031]</t>
  </si>
  <si>
    <t>LINESTRING (10.993456080866343 60.85444773943042, 10.993454161953668 60.8546877332647, 10.993450885504176 60.85471547649351)</t>
  </si>
  <si>
    <t>[367885, 367893]</t>
  </si>
  <si>
    <t>[356612, 356622]</t>
  </si>
  <si>
    <t>0.029207548893405627</t>
  </si>
  <si>
    <t>[356511, 356612]</t>
  </si>
  <si>
    <t>29.843758588359684</t>
  </si>
  <si>
    <t>[0.65, -0.62]</t>
  </si>
  <si>
    <t>LINESTRING (10.993274739741752 60.854700511209984, 10.993363426457913 60.85470162953443, 10.993450885504176 60.85471547649351)</t>
  </si>
  <si>
    <t>[1256113, 1256121]</t>
  </si>
  <si>
    <t>[1174405, 356622]</t>
  </si>
  <si>
    <t>0.003633336941062733</t>
  </si>
  <si>
    <t>[356519, 1174405]</t>
  </si>
  <si>
    <t>[0.65, 0.62]</t>
  </si>
  <si>
    <t>9.82180685190061</t>
  </si>
  <si>
    <t>0.227</t>
  </si>
  <si>
    <t>14.580459848954053</t>
  </si>
  <si>
    <t>[-0.784, -0.137, -0.129, -0.03, -0.106, -0.171, -0.177, -0.078, 0.004, 0.073, 0.081, 0.082]</t>
  </si>
  <si>
    <t>[0, 0, 0, 0, 0, 0, 1, 1, 0, 0, 0, 0]</t>
  </si>
  <si>
    <t>LINESTRING (8.324996592499696 59.48947499735416, 8.318683658120648 59.49049987342671, 8.317743792543457 59.49072813208429, 8.317333925155909 59.49082675984885, 8.309921158710235 59.492922662351205, 8.307760905955817 59.49292593347224, 8.307402178727656 59.49289036351784, 8.30734120012689 59.49288284970108, 8.304921708485653 59.49229221803745, 8.302194445329786 59.490849436001426, 8.301176395524793 59.49051703812754, 8.301081427187356 59.490492770421575, 8.300986448442211 59.490469267952165)</t>
  </si>
  <si>
    <t>[990636, 990637, 990638, 990641, 990642, 990643, 990651, 990655, 990656, 990657, 990663, 990664]</t>
  </si>
  <si>
    <t>[0, 0, 0, 0, 1, 0, 0, 0, 0, 0, 0, 0]</t>
  </si>
  <si>
    <t>[949476, 949477, 949478, 949481, 949482, 949483, 949492, 949495, 949496, 283400, 949502, 283417]</t>
  </si>
  <si>
    <t>[356523, 949476, 949477, 949478, 949481, 949482, 949483, 949492, 949495, 949496, 283400, 949502]</t>
  </si>
  <si>
    <t>[0.784, 0.137, 0.129, 0.03, 0.106, 0.171, 0.177, 0.078, 0.004, 0.073, 0.081, 0.082]</t>
  </si>
  <si>
    <t>1203.937753701176</t>
  </si>
  <si>
    <t>0.303</t>
  </si>
  <si>
    <t>12.369375955069518</t>
  </si>
  <si>
    <t>[-0.088, -0.076, -0.058, -0.084, -0.061]</t>
  </si>
  <si>
    <t>LINESTRING (5.47316959021257 59.464425438597, 5.473274176979501 59.46434765807884, 5.473381687322853 59.464283600047445, 5.473627952797427 59.46414554067044, 5.471459843486371 59.463587178661946, 5.4711155678327055 59.46360393133655)</t>
  </si>
  <si>
    <t>[368096, 368104, 368112, 368121, 368129]</t>
  </si>
  <si>
    <t>[356860, 356871, 356880, 356889, 356761]</t>
  </si>
  <si>
    <t>[356849, 356860, 356871, 356880, 356889]</t>
  </si>
  <si>
    <t>[0.088, 0.076, 0.058, 0.084, 0.061]</t>
  </si>
  <si>
    <t>309.3802501618223</t>
  </si>
  <si>
    <t>83.90175016262788</t>
  </si>
  <si>
    <t>[-0.001, 0.075, 0.108, 0.033, 0.039]</t>
  </si>
  <si>
    <t>[0, 1, 0, 1, 0]</t>
  </si>
  <si>
    <t>LINESTRING (5.474275031280178 59.46249744338462, 5.4740841747247515 59.46285804016633, 5.474292424012116 59.463189790231944, 5.473701388639812 59.46419113999313, 5.473648764540526 59.46421343366375, 5.47316959021257 59.464425438597)</t>
  </si>
  <si>
    <t>[368056, 368064, 368072, 368080, 368088]</t>
  </si>
  <si>
    <t>[356811, 356822, 356830, 356841, 356849]</t>
  </si>
  <si>
    <t>0.07168196121414377</t>
  </si>
  <si>
    <t>[356803, 356811, 356822, 356830, 356841]</t>
  </si>
  <si>
    <t>[0.001, 0.075, 0.108, 0.033, 0.039]</t>
  </si>
  <si>
    <t>248.76426786226793</t>
  </si>
  <si>
    <t>[0.071, 0.074, 0.659]</t>
  </si>
  <si>
    <t>LINESTRING (5.474275031280178 59.46249744338462, 5.4743489945020825 59.462458790861106, 5.479941940654581 59.46190631048671, 5.480268088968996 59.461885680160755)</t>
  </si>
  <si>
    <t>[1351494, 1351502, 1351510]</t>
  </si>
  <si>
    <t>[1251548, 1251555, 672427]</t>
  </si>
  <si>
    <t>0.10457899529212447</t>
  </si>
  <si>
    <t>[356803, 1251548, 1251555]</t>
  </si>
  <si>
    <t>357.0554554201683</t>
  </si>
  <si>
    <t>[-0.064, 0.059, 0.106, 0.108, -0.036]</t>
  </si>
  <si>
    <t>LINESTRING (5.472509305899611 59.46335907020718, 5.47280985095131 59.463262047876015, 5.474102310837252 59.46300241402098, 5.474234587754111 59.46297553737857, 5.474462226008475 59.46292992651869, 5.474275031280178 59.46249744338462)</t>
  </si>
  <si>
    <t>[1828036, 368024, 368032, 368040, 368048]</t>
  </si>
  <si>
    <t>[356771, 356772, 356784, 356794, 356803]</t>
  </si>
  <si>
    <t>0.013187107860361267</t>
  </si>
  <si>
    <t>[672473, 356771, 356772, 356784, 356794]</t>
  </si>
  <si>
    <t>[0.064, 0.059, 0.106, 0.108, 0.036]</t>
  </si>
  <si>
    <t>205.25109343788034</t>
  </si>
  <si>
    <t>17.648897642751987</t>
  </si>
  <si>
    <t>0.129</t>
  </si>
  <si>
    <t>6.155434184241476</t>
  </si>
  <si>
    <t>[-0.483, -0.13, 0.019]</t>
  </si>
  <si>
    <t>LINESTRING (6.1022934664753095 58.52060286031392, 6.10057659938976 58.52097423401155, 6.100016098853095 58.521193824171675, 6.098894573644984 58.521849986012846)</t>
  </si>
  <si>
    <t>[1843842, 1843850, 1843858]</t>
  </si>
  <si>
    <t>[1615393, 1615396, 1055557]</t>
  </si>
  <si>
    <t>[356907, 1615393, 1615396]</t>
  </si>
  <si>
    <t>[0.483, 0.13, 0.019]</t>
  </si>
  <si>
    <t>248.44507033000485</t>
  </si>
  <si>
    <t>[-0.209, -0.025, 0.009, 0.082, -0.122, 0.081, 0.103, 0.098, 0.084, 0.044, -0.053, 0.001, -0.12, 0.006, 0.014, 0.013, 0.008, 0.002, 0.155, -0.005, -0.006, -0.001, 0.037, 0.033, 0.123, 0.049, -0.065, -0.042, -0.045, -0.041, 6.386]</t>
  </si>
  <si>
    <t>8488.0</t>
  </si>
  <si>
    <t>[0, 0, 0, 0, 0, 1, 0, 0, 0, 0, 0, 0, 0, 0, 0, 0, 0, 0, 0, 0, 0, 0, 0, 0, 0, 0, 0, 0, 0, 0, 0]</t>
  </si>
  <si>
    <t>LINESTRING (6.157588539024937 58.53431948484176, 6.15695037367508 58.53416673180438, 6.156439989910996 58.5340997043643, 6.15186968585638 58.533875547232626, 6.149953659412391 58.533911131132314, 6.149698748917938 58.53388598532989, 6.148966061945691 58.53380935691441, 6.148897002529392 58.533803241501616, 6.148315836647746 58.5337480251145, 6.147909869061406 58.53370645799607, 6.14682326621219 58.53356115947963, 6.14625553077624 58.53345894857216, 6.136333418200461 58.5312289036963, 6.133469158928581 58.53063577748948, 6.126417332629578 58.52684868412673, 6.126379022714438 58.526807299560026, 6.126342593227379 58.52676788829325, 6.126181655408777 58.526596376909595, 6.121953291574972 58.52504447868182, 6.12170129027878 58.52499810792617, 6.117024030738032 58.52309540046317, 6.114431505516932 58.522740315988166, 6.114241579831177 58.52271458744915, 6.1117622527765425 58.52237743857929, 6.106431464631425 58.52098936481232, 6.106181266124459 58.52090362004228, 6.105348141000631 58.52070058788973, 6.104132901216976 58.52056081777106, 6.104020957299737 58.520555709580826, 6.103847930137339 58.52054913516692, 6.102405913409128 58.52059111652505, 6.1022934664753095 58.52060286031392)</t>
  </si>
  <si>
    <t>[1378162, 370719, 370727, 1843616, 1843624, 1843632, 1843641, 1843649, 1843657, 1843665, 1843673, 1843681, 1843689, 1843697, 1843705, 1843713, 1843721, 1843729, 1843737, 1843745, 1843753, 1843761, 1843770, 1843778, 1843786, 1843794, 1843802, 1843810, 1843818, 1843826, 1843834]</t>
  </si>
  <si>
    <t>[359638, 359639, 359645, 1615237, 1615245, 1615250, 1254901, 1615262, 1615268, 1615273, 357248, 1612297, 1184307, 1615294, 1615299, 1615306, 1612352, 1615320, 1615324, 1615330, 1615335, 1174798, 997492, 1615349, 997505, 1615364, 1615370, 1615376, 1615379, 1615383, 356907]</t>
  </si>
  <si>
    <t>0.013206446243705696</t>
  </si>
  <si>
    <t>[374676, 359638, 359639, 359645, 1615237, 1615245, 1615250, 1254901, 1615262, 1615268, 1615273, 357248, 1612297, 1184307, 1615294, 1615299, 1615306, 1612352, 1615320, 1615324, 1615330, 1615335, 1174798, 997492, 1615349, 997505, 1615364, 1615370, 1615376, 1615379, 1615383]</t>
  </si>
  <si>
    <t>[0.209, 0.025, 0.009, 0.082, 0.122, 0.081, 0.103, 0.098, 0.084, 0.044, 0.053, 0.001, 0.12, 0.006, 0.014, 0.013, 0.008, 0.002, 0.155, 0.005, 0.006, 0.001, 0.037, 0.033, 0.123, 0.049, 0.065, 0.042, 0.045, 0.041, 6.386]</t>
  </si>
  <si>
    <t>3774.648654926515</t>
  </si>
  <si>
    <t>LINESTRING (6.082125728453217 61.84627795243651, 6.082046725213028 61.84625558811518, 6.0820114537989785 61.84615950405915, 6.082688179481962 61.845785847914094, 6.082828120680735 61.84578226184845)</t>
  </si>
  <si>
    <t>0.11</t>
  </si>
  <si>
    <t>66.77041779040898</t>
  </si>
  <si>
    <t>[0.05, -0.174, 0, 0, 0, 0.093]</t>
  </si>
  <si>
    <t>LINESTRING (6.082125728453217 61.84627795243651, 6.0820259936994505 61.846370949198985, 6.082017704117971 61.84637901139972, 6.081622877993305 61.846764037585004, 6.086686713911162 61.85435150126675, 6.07948499159832 61.86403143054196, 6.079228103747598 61.86422883938815)</t>
  </si>
  <si>
    <t>[992955, 992963, 992971, 1028282, 1028290, 1894100]</t>
  </si>
  <si>
    <t>[951452, 951458, 951461, 982764, 982771, 664979]</t>
  </si>
  <si>
    <t>0.07335690939606664</t>
  </si>
  <si>
    <t>[357075, 951452, 951458, 951461, 982764, 982771]</t>
  </si>
  <si>
    <t>[0.05, 0.174, inf, inf, inf, 0.093]</t>
  </si>
  <si>
    <t>39.10128580704743</t>
  </si>
  <si>
    <t>[0.239, 0.108, -0.057, -0.137, -0.11, -0.085, -0.076]</t>
  </si>
  <si>
    <t>LINESTRING (6.0895516033935255 61.844211773412866, 6.087786144804551 61.844685531834116, 6.087169351556839 61.844799182274286, 6.084981934101213 61.845411913816534, 6.084754246723167 61.84553567456761, 6.08383809118659 61.84588126217276, 6.08322212443332 61.84601703033937, 6.082125728453217 61.84627795243651)</t>
  </si>
  <si>
    <t>[1427350, 1427358, 1427366, 1427374, 1427382, 1427390, 1427398]</t>
  </si>
  <si>
    <t>[1300886, 1300891, 1300897, 1300902, 1300908, 1300914, 357075]</t>
  </si>
  <si>
    <t>0.009308352149225499</t>
  </si>
  <si>
    <t>[951446, 1300886, 1300891, 1300897, 1300902, 1300908, 1300914]</t>
  </si>
  <si>
    <t>[0.239, 0.108, 0.057, 0.137, 0.11, 0.085, 0.076]</t>
  </si>
  <si>
    <t>461.17813100428265</t>
  </si>
  <si>
    <t>[0.255, 0.115, -0.034, -0.112]</t>
  </si>
  <si>
    <t>LINESTRING (6.0895516033935255 61.844211773412866, 6.087770596341981 61.84462532674863, 6.0871643426163144 61.84473485757246, 6.084744952479194 61.84508465232876, 6.082828120680735 61.84578226184845)</t>
  </si>
  <si>
    <t>[1427310, 1427318, 1427326, 1427334]</t>
  </si>
  <si>
    <t>[1300851, 1300856, 1300864, 357105]</t>
  </si>
  <si>
    <t>0.029084588264470804</t>
  </si>
  <si>
    <t>[951446, 1300851, 1300856, 1300864]</t>
  </si>
  <si>
    <t>[0.255, 0.115, 0.034, 0.112]</t>
  </si>
  <si>
    <t>401.5136386468322</t>
  </si>
  <si>
    <t>53.93123182579505</t>
  </si>
  <si>
    <t>[-0.17, 0.042, -0.063]</t>
  </si>
  <si>
    <t>LINESTRING (5.652984723095396 59.523477425260765, 5.652874911340713 59.523461899886364, 5.652217234828956 59.52369272466068, 5.652208011043393 59.52375206946861)</t>
  </si>
  <si>
    <t>[992950, 992958, 992966]</t>
  </si>
  <si>
    <t>[951448, 951453, 357724]</t>
  </si>
  <si>
    <t>0.009345616136698107</t>
  </si>
  <si>
    <t>[357714, 951448, 951453]</t>
  </si>
  <si>
    <t>[0.17, 0.042, 0.063]</t>
  </si>
  <si>
    <t>63.400291579904724</t>
  </si>
  <si>
    <t>4905.0</t>
  </si>
  <si>
    <t>LINESTRING (5.793901198911979 59.60258982289302, 5.652984723095396 59.523477425260765)</t>
  </si>
  <si>
    <t>13095.607546955804</t>
  </si>
  <si>
    <t>[-0.074, -0.06, -0.034, 0.012, 0.018, 0.005, -0.043, -0.041, 0.052, 0.055, 0.002, -0.095, -0.02, -0.014, -0.012, 0.003, -0.01, -0.025, -0.032, -0.005, -0.009, -0.017, 0.038, 0.024]</t>
  </si>
  <si>
    <t>LINESTRING (5.652208011043393 59.52375206946861, 5.652169812882552 59.523770611955214, 5.651028758728211 59.52423081607548, 5.6509576079770065 59.52425942944692, 5.650441258813404 59.52457680492337, 5.650410161930349 59.524603930743126, 5.647538262649623 59.52537645130052, 5.647206517096357 59.52540158226726, 5.647098487836836 59.525409971416, 5.646487703922213 59.5254455558818, 5.646216368476065 59.5254340491993, 5.644629070695005 59.5250511510652, 5.6415996024597295 59.52393702021313, 5.636403337056172 59.52112496260012, 5.634474427986469 59.520359161266825, 5.632947365059138 59.5198563081126, 5.631830260313554 59.51934100262966, 5.631352438038329 59.519077056825104, 5.6306372898641746 59.518556520947314, 5.630484615971319 59.51842058521066, 5.630317829903348 59.518271770041466, 5.629343486932833 59.51743551167958, 5.62784954649986 59.516395591694355, 5.627564370206129 59.51619789946859, 5.625376808373054 59.5146178943842)</t>
  </si>
  <si>
    <t>[368898, 368906, 368914, 368922, 368930, 368938, 368946, 368954, 368962, 368970, 368978, 368986, 368994, 369001, 369010, 369018, 369026, 369034, 369047, 369055, 369063, 369071, 369079, 369087]</t>
  </si>
  <si>
    <t>[357734, 357740, 357750, 357760, 357771, 357780, 357791, 357801, 357811, 357823, 357833, 357844, 357854, 357862, 357875, 356324, 357891, 357900, 357913, 357922, 357931, 357940, 357949, 357958]</t>
  </si>
  <si>
    <t>[357724, 357734, 357740, 357750, 357760, 357771, 357780, 357791, 357801, 357811, 357823, 357833, 357844, 357854, 357862, 357875, 356324, 357891, 357900, 357913, 357922, 357931, 357940, 357949]</t>
  </si>
  <si>
    <t>[0.074, 0.06, 0.034, 0.012, 0.018, 0.005, 0.043, 0.041, 0.052, 0.055, 0.002, 0.095, 0.02, 0.014, 0.012, 0.003, 0.01, 0.025, 0.032, 0.005, 0.009, 0.017, 0.038, 0.024]</t>
  </si>
  <si>
    <t>2133.6383716387622</t>
  </si>
  <si>
    <t>[-0.002, -0.029, 0.006, 0.015, -0.037, 0.01, 0.009, -0.013, -0.017, -0.022, -0.019, -0.22, -0.055, -0.049, 0.006]</t>
  </si>
  <si>
    <t>[0, 0, 1, 0, 0, 0, 0, 0, 0, 0, 0, 0, 0, 0, 0]</t>
  </si>
  <si>
    <t>LINESTRING (10.802765184919602 60.91411625031359, 10.787786886728252 60.91540811182844, 10.763404156390715 60.913678247739924, 10.761406539694356 60.91322559759823, 10.752251794951905 60.91114553049894, 10.73338130137398 60.90903575768866, 10.732979446113836 60.90904622352777, 10.72478464444307 60.91012246811188, 10.7207793001388 60.91166840488569, 10.717253514611558 60.914030366506836, 10.716364279739015 60.914642964055574, 10.716159124054524 60.914779405044584, 10.715588754321962 60.915147032628354, 10.715471519541143 60.91521298716082, 10.71494103670073 60.91553259346594, 10.708696316848636 60.9180252078284)</t>
  </si>
  <si>
    <t>[369017, 368983, 1005451, 1005358, 1005705, 1005419, 1255797, 1255805, 1255813, 1255825, 1255833, 1255853, 376934, 377073, 376985]</t>
  </si>
  <si>
    <t>[357839, 357840, 962318, 962319, 962375, 962376, 1174158, 1174163, 1174171, 1174175, 1174182, 365922, 365923, 365981, 365562]</t>
  </si>
  <si>
    <t>[357882, 357839, 357840, 962318, 962319, 962375, 962376, 1174158, 1174163, 1174171, 1174175, 1174182, 365922, 365923, 365981]</t>
  </si>
  <si>
    <t>[0.002, 0.029, 0.006, 0.015, 0.037, 0.01, 0.009, 0.013, 0.017, 0.022, 0.019, 0.22, 0.055, 0.049, 0.006]</t>
  </si>
  <si>
    <t>5659.823806859649</t>
  </si>
  <si>
    <t>[0.333, 0.01, -0.023, -0.035]</t>
  </si>
  <si>
    <t>LINESTRING (10.817791613470716 60.909152451786774, 10.817718765924544 60.909179143940214, 10.811271383194578 60.91149997868272, 10.803376676488478 60.91398034249015, 10.802765184919602 60.91411625031359)</t>
  </si>
  <si>
    <t>[1005379, 1005389, 1005404, 1005414]</t>
  </si>
  <si>
    <t>[962333, 962342, 962358, 357882]</t>
  </si>
  <si>
    <t>[358154, 962333, 962342, 962358]</t>
  </si>
  <si>
    <t>[0.333, 0.01, 0.023, 0.035]</t>
  </si>
  <si>
    <t>987.4360738208926</t>
  </si>
  <si>
    <t>[0.013, -0.024]</t>
  </si>
  <si>
    <t>LINESTRING (10.817601330268955 60.90910130754733, 10.811127877605593 60.91141881563293, 10.803297314165896 60.91389928545407)</t>
  </si>
  <si>
    <t>[373981, 373989]</t>
  </si>
  <si>
    <t>[363003, 358102]</t>
  </si>
  <si>
    <t>[357899, 363003]</t>
  </si>
  <si>
    <t>[0.013, 0.024]</t>
  </si>
  <si>
    <t>944.0594093510008</t>
  </si>
  <si>
    <t>[0.312, 0.04, 0.029, 0.043]</t>
  </si>
  <si>
    <t>LINESTRING (10.84071587525553 60.897330573721156, 10.84002240428035 60.89762789325118, 10.820718626334964 60.907879364922024, 10.817668198364556 60.90907684788308, 10.817601330268955 60.90910130754733)</t>
  </si>
  <si>
    <t>[1005677, 1005691, 369025, 369033]</t>
  </si>
  <si>
    <t>[962606, 357889, 357890, 357899]</t>
  </si>
  <si>
    <t>0.046219928225838286</t>
  </si>
  <si>
    <t>[362794, 962606, 357889, 357890]</t>
  </si>
  <si>
    <t>1819.4057194116258</t>
  </si>
  <si>
    <t>[0.003, 0.083, 0.073, 0.046, 0.068, 0.001, -0.023, -0.05]</t>
  </si>
  <si>
    <t>LINESTRING (5.625376808373054 59.5146178943842, 5.624830168850483 59.51422302605239, 5.624792912029096 59.51419269898063, 5.6244821838773875 59.5139408493249, 5.6244494092509365 59.513914145579875, 5.6237870022307135 59.51331364478076, 5.619123856888293 59.50823177399488, 5.614033156011928 59.5072582679864, 5.6138458132907285 59.507236803358396)</t>
  </si>
  <si>
    <t>[1301829, 1301837, 1301845, 1301853, 1301861, 1301869, 1309387, 1309395]</t>
  </si>
  <si>
    <t>[0, 0, 0, 0, 0, 0, 1, 0]</t>
  </si>
  <si>
    <t>[1213111, 1213117, 1213120, 1213126, 1213133, 1213137, 1218208, 1218215]</t>
  </si>
  <si>
    <t>0.001090362149458837</t>
  </si>
  <si>
    <t>[357958, 1213111, 1213117, 1213120, 1213126, 1213133, 1213137, 1218208]</t>
  </si>
  <si>
    <t>[0.003, 0.083, 0.073, 0.046, 0.068, 0.001, 0.023, 0.05]</t>
  </si>
  <si>
    <t>1136.5615189844852</t>
  </si>
  <si>
    <t>[-0.034, 0.072, 0.073, 0.067, 0.003, -0.019, -0.053, -0.049]</t>
  </si>
  <si>
    <t>LINESTRING (5.625376808373054 59.5146178943842, 5.6249089580917815 59.51418708812731, 5.624654840631599 59.51397940347304, 5.624543905027556 59.51388766884133, 5.623851793309591 59.5132623950757, 5.619188264440179 59.50818423232548, 5.614052616519367 59.507215474238365, 5.613659680672128 59.50716831261631, 5.613419860812356 59.50713992909624)</t>
  </si>
  <si>
    <t>[1301877, 1301885, 1301893, 1301909, 1301917, 1309435, 1309443, 1309451]</t>
  </si>
  <si>
    <t>[1213141, 1213146, 1213151, 1213162, 1213168, 1218244, 1218249, 1218257]</t>
  </si>
  <si>
    <t>0.0003413673491179533</t>
  </si>
  <si>
    <t>[357958, 1213141, 1213146, 1213151, 1213162, 1213168, 1218244, 1218249]</t>
  </si>
  <si>
    <t>[0.034, 0.072, 0.073, 0.067, 0.003, 0.019, 0.053, 0.049]</t>
  </si>
  <si>
    <t>1166.8647978640345</t>
  </si>
  <si>
    <t>[0.0, -0.002, -0.029, 0.003, 0.015, -0.043]</t>
  </si>
  <si>
    <t>LINESTRING (10.803297314165896 60.91389928545407, 10.802690367619785 60.91403420197903, 10.787782757014154 60.915318379587575, 10.763473549571609 60.91359520028725, 10.761488855070679 60.91314538615315, 10.75233102368589 60.911064507430766, 10.733373635127325 60.90894696906172)</t>
  </si>
  <si>
    <t>[373925, 373933, 1005475, 373917, 1005724, 1005669]</t>
  </si>
  <si>
    <t>[362950, 362958, 362939, 362940, 962600, 357969]</t>
  </si>
  <si>
    <t>[358102, 362950, 362958, 362939, 362940, 962600]</t>
  </si>
  <si>
    <t>[0.0, 0.002, 0.029, 0.003, 0.015, 0.043]</t>
  </si>
  <si>
    <t>3950.2620345749165</t>
  </si>
  <si>
    <t>[0.0, 0.067, 0.015, -0.004, 0.002]</t>
  </si>
  <si>
    <t>LINESTRING (10.71530422954733 60.915054613495705, 10.71530422954733 60.915054613495705, 10.716814904120035 60.91390887193918, 10.72022546974437 60.91159736187142, 10.732974850485034 60.90895643542115, 10.733373635127325 60.90894696906172)</t>
  </si>
  <si>
    <t>[377081, 374429, 374437, 374445, 369098]</t>
  </si>
  <si>
    <t>[363332, 363333, 363338, 357968, 357969]</t>
  </si>
  <si>
    <t>0.00933764434360423</t>
  </si>
  <si>
    <t>[366078, 363332, 363333, 363338, 357968]</t>
  </si>
  <si>
    <t>[0.0, 0.067, 0.015, 0.004, 0.002]</t>
  </si>
  <si>
    <t>1272.8768381077264</t>
  </si>
  <si>
    <t>[0.011, -0.011, -0.02, -0.038, 0.048, 0.01, -0.022, 0.002, -0.011, -0.017, -0.024, -0.033, 0.001, 0.032, 0.03, 0.03, 0.013, 0.003, -0.011, 0.006, 0.035, 0.001, 0.01, 0.052, -0.015, 0.007, 0.012, 0.072, -0.012, -0.02, -0.025, -0.02, -0.033, -0.036, -0.016, -0.009, 0.004, 0.054]</t>
  </si>
  <si>
    <t>[0, 0, 0, 0, 0, 0, 0, 0, 0, 0, 0, 0, 0, 0, 0, 0, 0, 0, 0, 0, 0, 0, 0, 0, 0, 0, 0, 0, 0, 0, 0, 0, 0, 0, 0, 1, 0, 0]</t>
  </si>
  <si>
    <t>LINESTRING (10.926332858099103 59.64503449648273, 10.923936578161921 59.64684909188439, 10.923693065748887 59.647199978676085, 10.923659810886058 59.64724738641438, 10.923612070732936 59.647316946332666, 10.923424401101787 59.64768620426727, 10.923292075281653 59.648015107579454, 10.92239040176683 59.64957797362732, 10.920085044504267 59.653373250547695, 10.91991021830645 59.65360328500277, 10.919761066146995 59.653795008688306, 10.919464010045541 59.65416596120315, 10.91909071164808 59.65453284717752, 10.918991974725115 59.654614285096144, 10.918898520723655 59.65468150210689, 10.91876574546974 59.65477986101809, 10.918699575517861 59.65482724902876, 10.9181296873714 59.6552752360529, 10.915253159504955 59.657027236690105, 10.913690865965895 59.65780620874631, 10.913023860680996 59.65814252620216, 10.91068060827212 59.659360208336416, 10.910261640683656 59.659612180349434, 10.908109744994654 59.66156848751429, 10.907737795359452 59.662061341815544, 10.906377022200015 59.663860083555576, 10.90531377638177 59.665181522541296, 10.901859021446496 59.667484241606694, 10.901744480708176 59.66755762122441, 10.900236481588395 59.66844828702747, 10.898128408170482 59.669568463152984, 10.8929150033278 59.671444756966316, 10.891062323781524 59.67196755616403, 10.89104667850862 59.671971785768896, 10.889679051708805 59.67228121694322, 10.889500085670804 59.67231138629566, 10.889245514123775 59.67234493738177, 10.88791461098914 59.67249602835852, 10.88649130411682 59.67270760085353)</t>
  </si>
  <si>
    <t>[1821154, 1503187, 1503188, 1503197, 1503205, 369110, 1503235, 1503236, 1503244, 1503262, 1503270, 1503281, 1503285, 1503293, 1503294, 1503307, 1503310, 1503319, 1503327, 1503328, 1503348, 1503349, 1503360, 1503366, 1503374, 1503382, 1503383, 1503390, 1503398, 1503399, 1503404, 1503413, 1503414, 1503415, 1503425, 1503426, 1503435, 1503451]</t>
  </si>
  <si>
    <t>[1359463, 357997, 1359464, 358013, 357973, 357974, 1359500, 1359501, 1359508, 1359519, 1359525, 1085057, 1359536, 1085253, 1359542, 1359551, 1359554, 1359558, 1359565, 1359566, 1359583, 1359584, 1359593, 1359598, 1359604, 1359610, 661348, 1359617, 1359625, 1359626, 1359630, 1359638, 1359639, 517281, 1359648, 1359649, 1359656, 1359667]</t>
  </si>
  <si>
    <t>[358057, 1359463, 357997, 1359464, 358013, 357973, 357974, 1359500, 1359501, 1359508, 1359519, 1359525, 1085057, 1359536, 1085253, 1359542, 1359551, 1359554, 1359558, 1359565, 1359566, 1359583, 1359584, 1359593, 1359598, 1359604, 1359610, 661348, 1359617, 1359625, 1359626, 1359630, 1359638, 1359639, 517281, 1359648, 1359649, 1359656]</t>
  </si>
  <si>
    <t>[0.011, 0.011, 0.02, 0.038, 0.048, 0.01, 0.022, 0.002, 0.011, 0.017, 0.024, 0.033, 0.001, 0.032, 0.03, 0.03, 0.013, 0.003, 0.011, 0.006, 0.035, 0.001, 0.01, 0.052, 0.015, 0.007, 0.012, 0.072, 0.012, 0.02, 0.025, 0.02, 0.033, 0.036, 0.016, 0.009, 0.004, 0.054]</t>
  </si>
  <si>
    <t>3974.939712797571</t>
  </si>
  <si>
    <t>[0.064, 0.064, -0.019, 0.044, 0.009, 0.029, 0.072, 0.027, 0.011, -0.019, -0.072, -0.082, -0.086]</t>
  </si>
  <si>
    <t>15837.0</t>
  </si>
  <si>
    <t>[0, 0, 0, 1, 0, 1, 1, 0, 0, 0, 0, 0, 0]</t>
  </si>
  <si>
    <t>LINESTRING (10.948427851380401 59.632388949169915, 10.948399383201004 59.6324124151156, 10.948295150632424 59.63249833266818, 10.945434507250312 59.634910956513416, 10.94485100219156 59.635407336784404, 10.940032548988718 59.63936448052114, 10.939640102849776 59.63962140563075, 10.939613836214482 59.63963787139582, 10.937422985497554 59.64081255920664, 10.935060390579098 59.64173535283909, 10.928698878139162 59.643838940782274, 10.927827840091275 59.64425809871406, 10.927695876692242 59.64432399760909, 10.926332858099103 59.64503449648273)</t>
  </si>
  <si>
    <t>[1821364, 1821372, 1821380, 1821388, 1821396, 1821404, 1821412, 1821419, 369150, 369158, 369166, 369174, 369182]</t>
  </si>
  <si>
    <t>[1601187, 1601193, 1601197, 1601202, 1601206, 1601214, 1601221, 358023, 358024, 358033, 358041, 358050, 358057]</t>
  </si>
  <si>
    <t>[465883, 1601187, 1601193, 1601197, 1601202, 1601206, 1601214, 1601221, 358023, 358024, 358033, 358041, 358050]</t>
  </si>
  <si>
    <t>[0.064, 0.064, 0.019, 0.044, 0.009, 0.029, 0.072, 0.027, 0.011, 0.019, 0.072, 0.082, 0.086]</t>
  </si>
  <si>
    <t>1916.4295022585113</t>
  </si>
  <si>
    <t>[0.1, 0.083, 0.066, -0.023, 0.043, 0.008, 0.031, 0.042, 0.061, 0.026, -0.02, -0.034, -0.052, -0.052]</t>
  </si>
  <si>
    <t>[0, 0, 0, 0, 1, 0, 0, 1, 1, 0, 0, 0, 0, 0]</t>
  </si>
  <si>
    <t>LINESTRING (10.949603711852472 59.63131587508353, 10.949488811125768 59.63140006981597, 10.948287100352625 59.63234378389866, 10.948181826199189 59.6324308289355, 10.9452955962465 59.63486711285202, 10.944708439874258 59.635363577227245, 10.939898521668988 59.63931437236412, 10.939828399505505 59.639361476499374, 10.9395099305188 59.63956863847426, 10.939397137418059 59.639639359566644, 10.937338189994083 59.640730404289904, 10.928537242016679 59.64377309167431, 10.927640657530672 59.64418498958217, 10.927502114378964 59.644247006378656, 10.926332858099103 59.64503449648273)</t>
  </si>
  <si>
    <t>[1821061, 1821069, 1821078, 1821086, 1821094, 1821110, 1821116, 1821117, 1821129, 1821134, 369190, 369198, 369206, 369214]</t>
  </si>
  <si>
    <t>[1600959, 1600967, 1600973, 1600981, 1600987, 1600997, 1601002, 1601003, 1601013, 358064, 358065, 358073, 358084, 358057]</t>
  </si>
  <si>
    <t>[465890, 1600959, 1600967, 1600973, 1600981, 1600987, 1600997, 1601002, 1601003, 1601013, 358064, 358065, 358073, 358084]</t>
  </si>
  <si>
    <t>[0.1, 0.083, 0.066, 0.023, 0.043, 0.008, 0.031, 0.042, 0.061, 0.026, 0.02, 0.034, 0.052, 0.052]</t>
  </si>
  <si>
    <t>2052.4783913852457</t>
  </si>
  <si>
    <t>[0.004, 0.003, 0.017, -0.034, -0.037]</t>
  </si>
  <si>
    <t>LINESTRING (5.275171386691388 59.343137097987444, 5.275100125548022 59.34380411213327, 5.275097863562115 59.34384341645719, 5.275036845746991 59.346028033796465, 5.274924266029826 59.346431522031736, 5.27478520660139 59.3467984703348)</t>
  </si>
  <si>
    <t>[369200, 369208, 369216, 369224, 369232]</t>
  </si>
  <si>
    <t>[358076, 358086, 358093, 358100, 358109]</t>
  </si>
  <si>
    <t>0.0033341532647297657</t>
  </si>
  <si>
    <t>[358075, 358076, 358086, 358093, 358100]</t>
  </si>
  <si>
    <t>[0.004, 0.003, 0.017, 0.034, 0.037]</t>
  </si>
  <si>
    <t>410.6114839422049</t>
  </si>
  <si>
    <t>[-0.038, -0.004, -0.78]</t>
  </si>
  <si>
    <t>LINESTRING (5.275264157978699 59.34233168424071, 5.275241940080236 59.342392347578794, 5.275166918067337 59.3431252220389, 5.275171386691388 59.343137097987444)</t>
  </si>
  <si>
    <t>[1348817, 1348825, 1348833]</t>
  </si>
  <si>
    <t>[1249608, 1249616, 358075]</t>
  </si>
  <si>
    <t>[1249607, 1249608, 1249616]</t>
  </si>
  <si>
    <t>[0.038, 0.004, 0.78]</t>
  </si>
  <si>
    <t>90.64787418723465</t>
  </si>
  <si>
    <t>[-0.033, 0.001, -0.756]</t>
  </si>
  <si>
    <t>LINESTRING (5.27545021465173 59.34234707879917, 5.275422697611535 59.34241125891822, 5.275180084846382 59.34312567095436, 5.275171386691388 59.343137097987444)</t>
  </si>
  <si>
    <t>[1370296, 1370304, 1370312]</t>
  </si>
  <si>
    <t>[1263576, 1263579, 358075]</t>
  </si>
  <si>
    <t>[1250987, 1263576, 1263579]</t>
  </si>
  <si>
    <t>[0.033, 0.001, 0.756]</t>
  </si>
  <si>
    <t>89.9016922658374</t>
  </si>
  <si>
    <t>[0.353, 0.003, 0.002, 0.004]</t>
  </si>
  <si>
    <t>LINESTRING (5.27478520660139 59.3467984703348, 5.2747916783852915 59.34692381171947, 5.274796912194777 59.34696591428715, 5.274805718950887 59.34700428869458, 5.274810133273282 59.34705873718294)</t>
  </si>
  <si>
    <t>[1370408, 1370416, 1370424, 1370432]</t>
  </si>
  <si>
    <t>[1263644, 1263647, 1263654, 1251042]</t>
  </si>
  <si>
    <t>0.17139212932635178</t>
  </si>
  <si>
    <t>[358109, 1263644, 1263647, 1263654]</t>
  </si>
  <si>
    <t>29.139611880765237</t>
  </si>
  <si>
    <t>[0.336, 0.003, 0.003, 0.002]</t>
  </si>
  <si>
    <t>LINESTRING (5.27478520660139 59.3467984703348, 5.274693435560111 59.34692100784285, 5.274670392303343 59.346952986645675, 5.2746450182922064 59.34698659862596, 5.274618122550733 59.347041122068866)</t>
  </si>
  <si>
    <t>[2023657, 2023665, 2023673, 2023674]</t>
  </si>
  <si>
    <t>[1767326, 1767333, 1767341, 1251095]</t>
  </si>
  <si>
    <t>0.1729710420017627</t>
  </si>
  <si>
    <t>[358109, 1767326, 1767333, 1767341]</t>
  </si>
  <si>
    <t>28.879489136112955</t>
  </si>
  <si>
    <t>[0.025, 0.026, 0.011, -0.002, -0.005, -0.006, -0.007, 0.008, 0.021]</t>
  </si>
  <si>
    <t>[0, 0, 0, 0, 1, 0, 1, 0, 0]</t>
  </si>
  <si>
    <t>LINESTRING (5.274631223356426 59.34744532960534, 5.274790694432316 59.3484287871748, 5.276373677508278 59.35063864956616, 5.276499185974751 59.35081186617889, 5.276736787397464 59.351145830891596, 5.276762057492851 59.35118350007942, 5.2771170727160985 59.35343484065272, 5.277117775252215 59.35347154663314, 5.277122986568324 59.35380630235401, 5.277125647991724 59.35416258852996)</t>
  </si>
  <si>
    <t>[369248, 369256, 369264, 369272, 369280, 369288, 369296, 369304, 369312]</t>
  </si>
  <si>
    <t>[354576, 358135, 358142, 358152, 358162, 358171, 358182, 358193, 358200]</t>
  </si>
  <si>
    <t>0.012055609925683577</t>
  </si>
  <si>
    <t>[358126, 354576, 358135, 358142, 358152, 358162, 358171, 358182, 358193]</t>
  </si>
  <si>
    <t>[0.025, 0.026, 0.011, 0.002, 0.005, 0.006, 0.007, 0.008, 0.021]</t>
  </si>
  <si>
    <t>773.3344539828721</t>
  </si>
  <si>
    <t>[0.002, -0.132]</t>
  </si>
  <si>
    <t>LINESTRING (5.2747535821552605 59.34719795330694, 5.2747365122938685 59.3472467777411, 5.274631223356426 59.34744532960534)</t>
  </si>
  <si>
    <t>[1370440, 1370448]</t>
  </si>
  <si>
    <t>[1263666, 358126]</t>
  </si>
  <si>
    <t>[1251061, 1263666]</t>
  </si>
  <si>
    <t>[0.002, 0.132]</t>
  </si>
  <si>
    <t>28.66471676873942</t>
  </si>
  <si>
    <t>[0.001, -0.119]</t>
  </si>
  <si>
    <t>LINESTRING (5.27456050353272 59.347173791650036, 5.274558027586497 59.347225731742334, 5.274631223356426 59.34744532960534)</t>
  </si>
  <si>
    <t>[2023763, 2023772]</t>
  </si>
  <si>
    <t>[1767416, 358126]</t>
  </si>
  <si>
    <t>[1251075, 1767416]</t>
  </si>
  <si>
    <t>[0.001, 0.119]</t>
  </si>
  <si>
    <t>31.173700591852597</t>
  </si>
  <si>
    <t>[0.051, -0.042]</t>
  </si>
  <si>
    <t>LINESTRING (10.857244246202644 60.89367164802681, 10.846540498336863 60.89539770100514, 10.84071587525553 60.897330573721156)</t>
  </si>
  <si>
    <t>[1005560, 1005482]</t>
  </si>
  <si>
    <t>[962433, 362794]</t>
  </si>
  <si>
    <t>0.015295894128170071</t>
  </si>
  <si>
    <t>[358128, 962433]</t>
  </si>
  <si>
    <t>[0.051, 0.042]</t>
  </si>
  <si>
    <t>998.5082858575729</t>
  </si>
  <si>
    <t>[0.046, 0.025]</t>
  </si>
  <si>
    <t>LINESTRING (10.840160005687776 60.89770218947492, 10.820842240967433 60.90794783359706, 10.817791613470716 60.909152451786774)</t>
  </si>
  <si>
    <t>[1005365, 1005376]</t>
  </si>
  <si>
    <t>[962324, 358154]</t>
  </si>
  <si>
    <t>0.04346377758058042</t>
  </si>
  <si>
    <t>[362801, 962324]</t>
  </si>
  <si>
    <t>1765.305166442859</t>
  </si>
  <si>
    <t>[0.373, 0.04, -0.012, -0.087]</t>
  </si>
  <si>
    <t>LINESTRING (10.857630557059554 60.8937348938825, 10.857265860717122 60.89376096024191, 10.84664492176942 60.895491571137725, 10.84084994850374 60.897410415073395, 10.840160005687776 60.89770218947492)</t>
  </si>
  <si>
    <t>[1005568, 1005569, 1005441, 1005450]</t>
  </si>
  <si>
    <t>[962514, 962405, 962406, 362801]</t>
  </si>
  <si>
    <t>0.02167834457874182</t>
  </si>
  <si>
    <t>[358164, 962514, 962405, 962406]</t>
  </si>
  <si>
    <t>[0.373, 0.04, 0.012, 0.087]</t>
  </si>
  <si>
    <t>1061.6886729438859</t>
  </si>
  <si>
    <t>[-0.022, 0.013, 0.043, 0.0, 0.02, -0.132, -0.099]</t>
  </si>
  <si>
    <t>[1, 0, 0, 0, 0, 0, 1]</t>
  </si>
  <si>
    <t>LINESTRING (5.588324636838726 59.50464977038006, 5.588164335734653 59.50458461588188, 5.586549459227324 59.50356953953339, 5.584511433587598 59.50242225688556, 5.584507042366944 59.502421052004046, 5.5823639264953915 59.50183320743267, 5.578959950805581 59.50087538180593, 5.578682614111882 59.50077564493602)</t>
  </si>
  <si>
    <t>[369295, 369303, 369311, 369319, 369327, 369335, 369343]</t>
  </si>
  <si>
    <t>[0, 0, 0, 1, 1, 0, 0]</t>
  </si>
  <si>
    <t>[358181, 358192, 358199, 358208, 358217, 358223, 358234]</t>
  </si>
  <si>
    <t>[358180, 358181, 358192, 358199, 358208, 358217, 358223]</t>
  </si>
  <si>
    <t>[0.022, 0.013, 0.043, 0.0, 0.02, 0.132, 0.099]</t>
  </si>
  <si>
    <t>711.4578574865911</t>
  </si>
  <si>
    <t>[-0.037, 0.006, -0.051]</t>
  </si>
  <si>
    <t>LINESTRING (5.606280537770681 59.50633631636976, 5.598951736398546 59.50573053869388, 5.592508859114569 59.50535866701124, 5.588324636838726 59.50464977038006)</t>
  </si>
  <si>
    <t>[1309427, 1309491, 1301813]</t>
  </si>
  <si>
    <t>[1218238, 1213101, 358180]</t>
  </si>
  <si>
    <t>[1218232, 1218238, 1213101]</t>
  </si>
  <si>
    <t>[0.037, 0.006, 0.051]</t>
  </si>
  <si>
    <t>1045.7847273156294</t>
  </si>
  <si>
    <t>[-0.039, -0.037, 0.006, -0.051]</t>
  </si>
  <si>
    <t>LINESTRING (5.60670903721269 59.506341640186214, 5.606379723465264 59.50630241919408, 5.598964118828217 59.5056864194711, 5.592525928790899 59.505306119686566, 5.588324636838726 59.50464977038006)</t>
  </si>
  <si>
    <t>[1309475, 1309483, 1301805, 1301821]</t>
  </si>
  <si>
    <t>[1218271, 1213093, 1213094, 358180]</t>
  </si>
  <si>
    <t>[1218267, 1218271, 1213093, 1213094]</t>
  </si>
  <si>
    <t>[0.039, 0.037, 0.006, 0.051]</t>
  </si>
  <si>
    <t>1067.8770938700454</t>
  </si>
  <si>
    <t>[-0.028, 0.004, -0.018]</t>
  </si>
  <si>
    <t>LINESTRING (5.277125647991724 59.35416258852996, 5.277212148542903 59.35433533638488, 5.277252555905202 59.354445361948116, 5.277239860028919 59.354505350109925)</t>
  </si>
  <si>
    <t>[1370456, 1370464, 1370472]</t>
  </si>
  <si>
    <t>[1263681, 1263689, 1176907]</t>
  </si>
  <si>
    <t>[358200, 1263681, 1263689]</t>
  </si>
  <si>
    <t>[0.028, 0.004, 0.018]</t>
  </si>
  <si>
    <t>39.55211223738241</t>
  </si>
  <si>
    <t>[-0.031, 0.003, 0.049]</t>
  </si>
  <si>
    <t>LINESTRING (5.277125647991724 59.35416258852996, 5.277031942100767 59.3543273605112, 5.2769839189170975 59.354421252113966, 5.276962313907422 59.35447903225642)</t>
  </si>
  <si>
    <t>[2023819, 2023826, 2023828]</t>
  </si>
  <si>
    <t>[1767462, 1767466, 1176953]</t>
  </si>
  <si>
    <t>[358200, 1767462, 1767466]</t>
  </si>
  <si>
    <t>[0.031, 0.003, 0.049]</t>
  </si>
  <si>
    <t>36.68858460718082</t>
  </si>
  <si>
    <t>LINESTRING (10.810793746108875 60.91132281038703, 10.811040792383809 60.911794790395454, 10.811096205063436 60.911907013195346)</t>
  </si>
  <si>
    <t>[374405, 374413]</t>
  </si>
  <si>
    <t>[363319, 358203]</t>
  </si>
  <si>
    <t>[362363, 363319]</t>
  </si>
  <si>
    <t>67.14957790765062</t>
  </si>
  <si>
    <t>[0.084, 0.004, 0.005, 0.005, 0.005, -0.01, -0.024, -0.027, -0.023, -0.019, -0.023, -0.025, -0.023, -0.026, -0.027, -0.035]</t>
  </si>
  <si>
    <t>LINESTRING (5.277186177558788 59.354721969504936, 5.277141449342765 59.35477935661457, 5.276951902640631 59.35514928191182, 5.2769457874963 59.35517782396513, 5.276879485457961 59.355851110537266, 5.276827588896008 59.35619709555181, 5.276778170825673 59.35657681843632, 5.2767133487035185 59.35702141726268, 5.276708298610151 59.357059272892045, 5.27666478340697 59.35738517044356, 5.276661274833362 59.357411123349344, 5.276634944187049 59.357849259727175, 5.276634736585229 59.35787887049671, 5.27663345275814 59.35794275638669, 5.276656543871363 59.35838879098433, 5.276669939987295 59.35852654559605, 5.276765658717814 59.35913825190469)</t>
  </si>
  <si>
    <t>[1370480, 1370488, 1370496, 1370504, 1370512, 1370520, 1370528, 1370536, 1370544, 1370552, 1370560, 1370568, 1370576, 1370584, 1370592, 1370600]</t>
  </si>
  <si>
    <t>[1263701, 1263707, 1263711, 1263715, 1125943, 1263722, 1263725, 1176520, 1263735, 1263741, 1263745, 1263749, 1263755, 1263759, 1263764, 358209]</t>
  </si>
  <si>
    <t>[1176917, 1263701, 1263707, 1263711, 1263715, 1125943, 1263722, 1263725, 1176520, 1263735, 1263741, 1263745, 1263749, 1263755, 1263759, 1263764]</t>
  </si>
  <si>
    <t>[0.084, 0.004, 0.005, 0.005, 0.005, 0.01, 0.024, 0.027, 0.023, 0.019, 0.023, 0.025, 0.023, 0.026, 0.027, 0.035]</t>
  </si>
  <si>
    <t>496.8745072872903</t>
  </si>
  <si>
    <t>[0.01, 0.005, 0.005, 0.005, -0.0, -0.023, -0.024, -0.021, -0.022, -0.018, -0.02, -0.027, -0.022, -0.021, -0.023, -0.027, -0.03, -0.043]</t>
  </si>
  <si>
    <t>LINESTRING (5.2768618273569095 59.354692128461444, 5.27685700955541 59.3547505301754, 5.276849862621362 59.35513985558193, 5.276845711510993 59.35516821991122, 5.276753849449608 59.3558242086444, 5.276646395728958 59.356525407888554, 5.276581414054566 59.35695043369855, 5.276574845074058 59.35698655621623, 5.2765633562541066 59.357081552141054, 5.276528977657394 59.35732820225985, 5.276526129841945 59.357353400035464, 5.27652281088503 59.35738145625628, 5.276520855393049 59.35740663076633, 5.276487225734963 59.35783899970412, 5.2764851226377925 59.357892288295815, 5.276503151925881 59.35835124494076, 5.276542998471588 59.358572219015514, 5.276554818317426 59.35862010762531, 5.276765658717814 59.35913825190469)</t>
  </si>
  <si>
    <t>[2023838, 2023846, 2023872, 2023881, 2023897, 2023905, 2023913, 2023919, 2023920, 2023927, 2023932, 2023933, 2023943, 2023951, 2023959, 2023971, 2023983, 2023991]</t>
  </si>
  <si>
    <t>[1767474, 1767479, 1767495, 1767503, 1767516, 1767519, 1306068, 1176519, 1767524, 1767527, 1767530, 1767531, 1767536, 1268586, 1767545, 1767553, 1767562, 358209]</t>
  </si>
  <si>
    <t>[1176926, 1767474, 1767479, 1767495, 1767503, 1767516, 1767519, 1306068, 1176519, 1767524, 1767527, 1767530, 1767531, 1767536, 1268586, 1767545, 1767553, 1767562]</t>
  </si>
  <si>
    <t>[0.01, 0.005, 0.005, 0.005, 0.0, 0.023, 0.024, 0.021, 0.022, 0.018, 0.02, 0.027, 0.022, 0.021, 0.023, 0.027, 0.03, 0.043]</t>
  </si>
  <si>
    <t>499.58819336852815</t>
  </si>
  <si>
    <t>[0.011, -0.034, -0.035, -0.022, -0.004]</t>
  </si>
  <si>
    <t>LINESTRING (5.578682614111882 59.50077564493602, 5.5773694683880795 59.50015971605977, 5.577313717802577 59.5001303513219, 5.577242113729428 59.500090974910734, 5.576621072396258 59.49977354160863, 5.575663115679659 59.49926355493503)</t>
  </si>
  <si>
    <t>[380110, 380133, 380134, 380135, 380143]</t>
  </si>
  <si>
    <t>[369235, 359762, 369262, 369263, 358243]</t>
  </si>
  <si>
    <t>[358234, 369235, 359762, 369262, 369263]</t>
  </si>
  <si>
    <t>[0.011, 0.034, 0.035, 0.022, 0.004]</t>
  </si>
  <si>
    <t>241.18733263348676</t>
  </si>
  <si>
    <t>[0.072, -0.053, -0.058, -0.054, -0.06]</t>
  </si>
  <si>
    <t>LINESTRING (5.578682614111882 59.50077564493602, 5.577264660896051 59.500203623754814, 5.577213225037586 59.50018022257845, 5.577153158173065 59.50015122195647, 5.5765380690358874 59.49982255051572, 5.575663115679659 59.49926355493503)</t>
  </si>
  <si>
    <t>[1112734, 1112742, 1112750, 1112758, 1112766]</t>
  </si>
  <si>
    <t>[359763, 1052388, 1052395, 1052402, 358243]</t>
  </si>
  <si>
    <t>[358234, 359763, 1052388, 1052395, 1052402]</t>
  </si>
  <si>
    <t>[0.072, 0.053, 0.058, 0.054, 0.06]</t>
  </si>
  <si>
    <t>242.68460368526095</t>
  </si>
  <si>
    <t>[0.037, 0.025, 0.034, 0.029, 0.027, 0.034, 0.028, 0.006, 0.002, 0.031, 0.032, 0.044, 0.03, 0.036, 0.037, 0.046, 0.044, 0.032, 0.035, 0.024, 0.033, 0.016, 0.024, 0.036, 0.016, -0.007, -0.024, -0.017, -0.016, 0.008, 0.023, 0.003, 0.011, 0.009, -0.003, -0.032, -0.038, -0.02, -0.004, 0.018, 0.055, 0.056, 0.056, 0.056, 0.055, 0.046]</t>
  </si>
  <si>
    <t>[0, 0, 0, 0, 0, 0, 0, 0, 0, 0, 0, 0, 0, 0, 0, 0, 0, 0, 0, 0, 0, 0, 0, 0, 0, 0, 0, 0, 0, 0, 0, 0, 0, 0, 0, 0, 0, 0, 0, 0, 0, 0, 1, 0, 0, 0]</t>
  </si>
  <si>
    <t>LINESTRING (5.575663115679659 59.49926355493503, 5.575008418339543 59.49882063214059, 5.574322137422936 59.49843290208175, 5.572963373378761 59.498014370394394, 5.572292890203937 59.497872343098756, 5.57205455860768 59.497822425893446, 5.571534878487081 59.49771428975846, 5.571028442680445 59.497607811021425, 5.569333600480261 59.49716621428318, 5.567706023419883 59.49651694966171, 5.567306241018021 59.49631211485057, 5.565227540256899 59.49536187011651, 5.564710009786968 59.49515884950966, 5.562649391966212 59.494341884943495, 5.562416458831041 59.494249319611406, 5.561892166913703 59.49404176183272, 5.561405631029507 59.49384711260698, 5.560631745047905 59.4935393129465, 5.559755111260753 59.49318629873233, 5.55844344143329 59.492631112831546, 5.55716483787344 59.491763273168644, 5.554782739417387 59.49060114327612, 5.554278200066122 59.49037859068822, 5.552853422845409 59.489768138882404, 5.551814284488344 59.4893337586366, 5.550965035287814 59.48898011372096, 5.550674170498387 59.48885714608282, 5.550612767852401 59.488831197758785, 5.550201540977522 59.48866268477629, 5.5496825874742886 59.48844927564968, 5.548274282029186 59.48786428514617, 5.54730286267807 59.487463198313804, 5.546304437902691 59.48704670793132, 5.544851755233209 59.486441359586784, 5.543317344787996 59.48579947116493, 5.541088199653968 59.484805412439414, 5.539674855837354 59.4838650682693, 5.5375202662244165 59.48274007071227, 5.5350900826016405 59.481516507124844, 5.533203012382806 59.480569509778505, 5.5313917612884 59.47965894887952, 5.53018946561683 59.47905370955188, 5.527629763491309 59.477745657430724, 5.527451233402639 59.477636394008265, 5.527190552668649 59.47746770276925, 5.526940976556408 59.47727959037833, 5.525559206582074 59.475452715169546)</t>
  </si>
  <si>
    <t>[369351, 369359, 369367, 369375, 369383, 369391, 369399, 369407, 369415, 369423, 369431, 369439, 369447, 369455, 369463, 369471, 369479, 369487, 369495, 369503, 369511, 369519, 369527, 369535, 369543, 369551, 369559, 369567, 369575, 369583, 369591, 369599, 369607, 369615, 369623, 369631, 369639, 369647, 369655, 681253, 1982235, 1982243, 1982247, 1982248, 1982249, 1982256]</t>
  </si>
  <si>
    <t>[358244, 358254, 358265, 358276, 358285, 358295, 358305, 358315, 358324, 358332, 358344, 358354, 358364, 358373, 358381, 358389, 358400, 358410, 358419, 358427, 358433, 358441, 358449, 358456, 358466, 358473, 358482, 358492, 358500, 358507, 358516, 358524, 358534, 358541, 358549, 358560, 358568, 358577, 358585, 672197, 1742428, 1742433, 1742435, 1742436, 1742437, 1742442]</t>
  </si>
  <si>
    <t>0.018180874259632617</t>
  </si>
  <si>
    <t>[358243, 358244, 358254, 358265, 358276, 358285, 358295, 358305, 358315, 358324, 358332, 358344, 358354, 358364, 358373, 358381, 358389, 358400, 358410, 358419, 358427, 358433, 358441, 358449, 358456, 358466, 358473, 358482, 358492, 358500, 358507, 358516, 358524, 358534, 358541, 358549, 358560, 358568, 358577, 358585, 672197, 1742428, 1742433, 1742435, 1742436, 1742437]</t>
  </si>
  <si>
    <t>[0.037, 0.025, 0.034, 0.029, 0.027, 0.034, 0.028, 0.006, 0.002, 0.031, 0.032, 0.044, 0.03, 0.036, 0.037, 0.046, 0.044, 0.032, 0.035, 0.024, 0.033, 0.016, 0.024, 0.036, 0.016, 0.007, 0.024, 0.017, 0.016, 0.008, 0.023, 0.003, 0.011, 0.009, 0.003, 0.032, 0.038, 0.02, 0.004, 0.018, 0.055, 0.056, 0.056, 0.056, 0.055, 0.046]</t>
  </si>
  <si>
    <t>3946.4341452266212</t>
  </si>
  <si>
    <t>[-0.017, -0.012]</t>
  </si>
  <si>
    <t>LINESTRING (5.2821599460435 59.37248609828303, 5.282425388820854 59.372899070505746, 5.2825456695916655 59.373040484748245)</t>
  </si>
  <si>
    <t>[369408, 369416]</t>
  </si>
  <si>
    <t>[358316, 358325]</t>
  </si>
  <si>
    <t>[358306, 358316]</t>
  </si>
  <si>
    <t>[0.017, 0.012]</t>
  </si>
  <si>
    <t>65.80954737288373</t>
  </si>
  <si>
    <t>[0.024, -0.001, 0.031]</t>
  </si>
  <si>
    <t>LINESTRING (5.2821599460435 59.37248609828303, 5.282316772176923 59.372630858179605, 5.285971507964002 59.37377196379581, 5.286103869985327 59.37376660363437)</t>
  </si>
  <si>
    <t>[1350131, 1350138, 1350146]</t>
  </si>
  <si>
    <t>[1250660, 1250664, 1250668]</t>
  </si>
  <si>
    <t>0.0013198011614855862</t>
  </si>
  <si>
    <t>[358306, 1250660, 1250664]</t>
  </si>
  <si>
    <t>[0.024, 0.001, 0.031]</t>
  </si>
  <si>
    <t>303.71831115149405</t>
  </si>
  <si>
    <t>[-0.0, 0.008, 0.023, 0.028, 0.027, 0.045, 0.032]</t>
  </si>
  <si>
    <t>LINESTRING (5.2825456695916655 59.373040484748245, 5.2836428904965755 59.37381718517814, 5.284202542083028 59.37405954144653, 5.284743980728608 59.37425016287143, 5.285169641067785 59.374377229290886, 5.285869707756659 59.374553500049835, 5.286359926998439 59.37466039228665, 5.2888630918289685 59.37498202135604)</t>
  </si>
  <si>
    <t>[369424, 369432, 369440, 369448, 369456, 369464, 369472]</t>
  </si>
  <si>
    <t>[358333, 358345, 358355, 358365, 358374, 358382, 358390]</t>
  </si>
  <si>
    <t>0.021199814023411603</t>
  </si>
  <si>
    <t>[358325, 358333, 358345, 358355, 358365, 358374, 358382]</t>
  </si>
  <si>
    <t>[0.0, 0.008, 0.023, 0.028, 0.027, 0.045, 0.032]</t>
  </si>
  <si>
    <t>437.76443237238686</t>
  </si>
  <si>
    <t>[-0.038, -0.036, 0.004, -0.057]</t>
  </si>
  <si>
    <t>LINESTRING (5.285825869974548 59.374968967663825, 5.285760562438102 59.37494939883736, 5.284133927225371 59.37410053991468, 5.282589544265584 59.37316089664064, 5.2825456695916655 59.373040484748245)</t>
  </si>
  <si>
    <t>[1350234, 1350242, 1350246, 1350254]</t>
  </si>
  <si>
    <t>[1250720, 1250727, 1250730, 358325]</t>
  </si>
  <si>
    <t>[1250719, 1250720, 1250727, 1250730]</t>
  </si>
  <si>
    <t>[0.038, 0.036, 0.004, 0.057]</t>
  </si>
  <si>
    <t>290.663444563593</t>
  </si>
  <si>
    <t>[0.012, 0.01]</t>
  </si>
  <si>
    <t>LINESTRING (5.2888630918289685 59.37498202135604, 5.28908511027862 59.374998706007865, 5.289372168636477 59.3750185143626)</t>
  </si>
  <si>
    <t>[369480, 369488]</t>
  </si>
  <si>
    <t>[358401, 358411]</t>
  </si>
  <si>
    <t>0.010873060104034094</t>
  </si>
  <si>
    <t>[358390, 358401]</t>
  </si>
  <si>
    <t>29.322150767991243</t>
  </si>
  <si>
    <t>[-0.033, 0.014, 0.036, 0.035, 0.033, -0.042]</t>
  </si>
  <si>
    <t>LINESTRING (5.286087179214287 59.37389490440962, 5.2859831457636 59.373891876727775, 5.285888364766245 59.37450397023522, 5.286380029182809 59.374610826373086, 5.286758548575757 59.37468937068387, 5.2887570885112245 59.37495056046198, 5.2888630918289685 59.37498202135604)</t>
  </si>
  <si>
    <t>[1350336, 1350344, 1350352, 1350360, 1350368, 1350376]</t>
  </si>
  <si>
    <t>[1250778, 1250782, 1250785, 1250788, 1250793, 358390]</t>
  </si>
  <si>
    <t>0.02239022451751629</t>
  </si>
  <si>
    <t>[1250777, 1250778, 1250782, 1250785, 1250788, 1250793]</t>
  </si>
  <si>
    <t>[0.033, 0.014, 0.036, 0.035, 0.033, 0.042]</t>
  </si>
  <si>
    <t>325.1779264424549</t>
  </si>
  <si>
    <t>[-0.022, -0.074, -0.066, 0.002, 0.06, 0.034, 0.035, 0.019, 0.007, 0.005, 0.01, 0.011]</t>
  </si>
  <si>
    <t>24545.0</t>
  </si>
  <si>
    <t>[0, 0, 1, 1, 1, 0, 0, 0, 0, 0, 0, 0]</t>
  </si>
  <si>
    <t>LINESTRING (5.289372168636477 59.3750185143626, 5.290258409696481 59.37508516353977, 5.290373628960643 59.37509390240313, 5.295024434887442 59.375446029399605, 5.29699289161009 59.37559501444674, 5.302299663368521 59.376414740263776, 5.302760270642186 59.37664608394502, 5.302947803384093 59.376752966027304, 5.303884030316732 59.3776055918112, 5.303926184786093 59.37766896391571, 5.304283127558841 59.37830432107565, 5.3042961426767885 59.37833043748762, 5.304808422330418 59.379332073414275)</t>
  </si>
  <si>
    <t>[369496, 369504, 369512, 369520, 369528, 369536, 369544, 369552, 369560, 369568, 369576, 369584]</t>
  </si>
  <si>
    <t>[358420, 358428, 358434, 358442, 358450, 358457, 358467, 358474, 358483, 358493, 358501, 358508]</t>
  </si>
  <si>
    <t>0.005207239700038503</t>
  </si>
  <si>
    <t>[358411, 358420, 358428, 358434, 358442, 358450, 358457, 358467, 358474, 358483, 358493, 358501]</t>
  </si>
  <si>
    <t>[0.022, 0.074, 0.066, 0.002, 0.06, 0.034, 0.035, 0.019, 0.007, 0.005, 0.01, 0.011]</t>
  </si>
  <si>
    <t>1124.1221802660182</t>
  </si>
  <si>
    <t>[0.031, -0.026, -0.028]</t>
  </si>
  <si>
    <t>LINESTRING (5.289372168636477 59.3750185143626, 5.2890498072743 59.37503629590803, 5.286219697760523 59.37503384212916, 5.28611924180984 59.37502086463239)</t>
  </si>
  <si>
    <t>[1350432, 1350440, 1350448]</t>
  </si>
  <si>
    <t>[1250824, 1250831, 1250834]</t>
  </si>
  <si>
    <t>[358411, 1250824, 1250831]</t>
  </si>
  <si>
    <t>[0.031, 0.026, 0.028]</t>
  </si>
  <si>
    <t>187.66877197210232</t>
  </si>
  <si>
    <t>[0.032, 0.012, 0.012, -0.391]</t>
  </si>
  <si>
    <t>LINESTRING (5.304808422330418 59.379332073414275, 5.305083929666823 59.379751688675825, 5.30546391380701 59.38039013472295, 5.305515965352903 59.38044433715224, 5.305540015513598 59.3804719593555)</t>
  </si>
  <si>
    <t>[1370608, 1370616, 1370624, 1370632]</t>
  </si>
  <si>
    <t>[1263774, 1263781, 1263787, 1177041]</t>
  </si>
  <si>
    <t>0.009255522130601934</t>
  </si>
  <si>
    <t>[358508, 1263774, 1263781, 1263787]</t>
  </si>
  <si>
    <t>[0.032, 0.012, 0.012, 0.391]</t>
  </si>
  <si>
    <t>134.3905251939334</t>
  </si>
  <si>
    <t>[0.029, 0.01, 0.01, -0.712]</t>
  </si>
  <si>
    <t>LINESTRING (5.304808422330418 59.379332073414275, 5.304952675307843 59.37977141353649, 5.305133015844685 59.38043132794819, 5.305140835669281 59.380476831855965, 5.305143281918701 59.3804996503552)</t>
  </si>
  <si>
    <t>[2024038, 2024039, 2024046, 2024059]</t>
  </si>
  <si>
    <t>[1767598, 1767599, 1767602, 1177085]</t>
  </si>
  <si>
    <t>0.0032234114611016523</t>
  </si>
  <si>
    <t>[358508, 1767598, 1767599, 1767602]</t>
  </si>
  <si>
    <t>[0.029, 0.01, 0.01, 0.712]</t>
  </si>
  <si>
    <t>132.1249213603636</t>
  </si>
  <si>
    <t>[0.016, -0.003, -0.005]</t>
  </si>
  <si>
    <t>LINESTRING (5.299768861791125 59.39075895984823, 5.299281027621646 59.39135710574812, 5.299011098865315 59.39163514048708, 5.298703953231281 59.39197640668225)</t>
  </si>
  <si>
    <t>[1370776, 1370784, 1370792]</t>
  </si>
  <si>
    <t>[1263896, 1263901, 1263909]</t>
  </si>
  <si>
    <t>0.0057471719009633635</t>
  </si>
  <si>
    <t>[358561, 1263896, 1263901]</t>
  </si>
  <si>
    <t>[0.016, 0.003, 0.005]</t>
  </si>
  <si>
    <t>150.22682562931226</t>
  </si>
  <si>
    <t>[0.012, -0.003, -0.004, -0.002, -0.006]</t>
  </si>
  <si>
    <t>LINESTRING (5.299768861791125 59.39075895984823, 5.2991211826405555 59.391316886104896, 5.299087840783101 59.391347898222534, 5.298844148520949 59.39160424446332, 5.298816981588711 59.39163271759312, 5.29857356377392 59.391908255859605)</t>
  </si>
  <si>
    <t>[2024077, 2024078, 2024081, 2024082, 2024083]</t>
  </si>
  <si>
    <t>[1767623, 1767624, 1767625, 1767626, 1767627]</t>
  </si>
  <si>
    <t>0.003617896137530802</t>
  </si>
  <si>
    <t>[358561, 1767623, 1767624, 1767625, 1767626]</t>
  </si>
  <si>
    <t>[0.012, 0.003, 0.004, 0.002, 0.006]</t>
  </si>
  <si>
    <t>146.30565194253944</t>
  </si>
  <si>
    <t>[0.003, 0.002, 0.006]</t>
  </si>
  <si>
    <t>LINESTRING (5.303025169305397 59.387002141842814, 5.301050057555352 59.389396948882485, 5.300851477947086 59.38961150233576, 5.299768861791125 59.39075895984823)</t>
  </si>
  <si>
    <t>[1342779, 369624, 369632]</t>
  </si>
  <si>
    <t>[358550, 358551, 358561]</t>
  </si>
  <si>
    <t>0.0038715315404615883</t>
  </si>
  <si>
    <t>[1245273, 358550, 358551]</t>
  </si>
  <si>
    <t>459.5045518520053</t>
  </si>
  <si>
    <t>[0.001, -0.002, -0.011, -0.019]</t>
  </si>
  <si>
    <t>LINESTRING (5.306304270582007 59.39459702451408, 5.30622853862284 59.394613944622826, 5.306090354009215 59.39460516527708, 5.305994929468348 59.39456590643339, 5.30597696986278 59.394552306192956)</t>
  </si>
  <si>
    <t>[369743, 369751, 369759, 369767]</t>
  </si>
  <si>
    <t>[358678, 358687, 358697, 358711]</t>
  </si>
  <si>
    <t>[358677, 358678, 358687, 358697]</t>
  </si>
  <si>
    <t>[0.001, 0.002, 0.011, 0.019]</t>
  </si>
  <si>
    <t>21.47246531042496</t>
  </si>
  <si>
    <t>[0.016, 0.008]</t>
  </si>
  <si>
    <t>LINESTRING (5.3063913478494795 59.39445236126618, 5.306406040218685 59.39452145852388, 5.306304270582007 59.39459702451408)</t>
  </si>
  <si>
    <t>[369823, 369831]</t>
  </si>
  <si>
    <t>[358770, 358677]</t>
  </si>
  <si>
    <t>0.011449743330883038</t>
  </si>
  <si>
    <t>[358763, 358770]</t>
  </si>
  <si>
    <t>18.01466713923942</t>
  </si>
  <si>
    <t>[-0.03, -0.029, -0.01]</t>
  </si>
  <si>
    <t>LINESTRING (5.307520562738385 59.394560614116074, 5.306938508875617 59.39456716265353, 5.306437498296125 59.39459433597827, 5.306304270582007 59.39459702451408)</t>
  </si>
  <si>
    <t>[1438976, 1438984, 1438992]</t>
  </si>
  <si>
    <t>[1307802, 1307812, 358677]</t>
  </si>
  <si>
    <t>[369798, 1307802, 1307812]</t>
  </si>
  <si>
    <t>[0.03, 0.029, 0.01]</t>
  </si>
  <si>
    <t>69.50833642114446</t>
  </si>
  <si>
    <t>[-0.016, -0.01]</t>
  </si>
  <si>
    <t>LINESTRING (5.30597696986278 59.394552306192956, 5.305956351355077 59.39447455325573, 5.306035890400669 59.39440696957792)</t>
  </si>
  <si>
    <t>[369775, 369783]</t>
  </si>
  <si>
    <t>[358720, 358728]</t>
  </si>
  <si>
    <t>[358711, 358720]</t>
  </si>
  <si>
    <t>[0.016, 0.01]</t>
  </si>
  <si>
    <t>17.579607161689722</t>
  </si>
  <si>
    <t>[-0.018, -0.007, -0.006]</t>
  </si>
  <si>
    <t>LINESTRING (5.30597696986278 59.394552306192956, 5.3058594536485755 59.394536168927495, 5.305380844486502 59.3945057490041, 5.304850751869696 59.394493260270565)</t>
  </si>
  <si>
    <t>[1440627, 1440635, 1440643]</t>
  </si>
  <si>
    <t>[1308907, 1308912, 369863]</t>
  </si>
  <si>
    <t>[358711, 1308907, 1308912]</t>
  </si>
  <si>
    <t>[0.018, 0.007, 0.006]</t>
  </si>
  <si>
    <t>64.90379923459741</t>
  </si>
  <si>
    <t>[-0.003, 0.004, 0.009, 0.014]</t>
  </si>
  <si>
    <t>LINESTRING (5.306035890400669 59.39440696957792, 5.306108331861462 59.3943876234547, 5.306245332763678 59.394387035773505, 5.306357752013992 59.39442405099144, 5.3063913478494795 59.39445236126618)</t>
  </si>
  <si>
    <t>[369791, 369799, 369807, 369815]</t>
  </si>
  <si>
    <t>[358737, 358746, 358754, 358763]</t>
  </si>
  <si>
    <t>0.0057857224874365565</t>
  </si>
  <si>
    <t>[358728, 358737, 358746, 358754]</t>
  </si>
  <si>
    <t>[0.003, 0.004, 0.009, 0.014]</t>
  </si>
  <si>
    <t>23.797667273952353</t>
  </si>
  <si>
    <t>[-0.012, -0.004, -0.003]</t>
  </si>
  <si>
    <t>LINESTRING (5.306035890400669 59.39440696957792, 5.305916502411872 59.39440341572504, 5.305375652040577 59.39443747246536, 5.304850751869696 59.394493260270565)</t>
  </si>
  <si>
    <t>[380763, 380781, 380795]</t>
  </si>
  <si>
    <t>[369823, 369848, 369863]</t>
  </si>
  <si>
    <t>[358728, 369823, 369848]</t>
  </si>
  <si>
    <t>[0.012, 0.004, 0.003]</t>
  </si>
  <si>
    <t>68.67470838717551</t>
  </si>
  <si>
    <t>LINESTRING (5.307520562738385 59.394560614116074, 5.306927372661971 59.394495628247, 5.306476148703213 59.39446253618706, 5.3063913478494795 59.39445236126618)</t>
  </si>
  <si>
    <t>[380733, 380740, 380755]</t>
  </si>
  <si>
    <t>[369799, 369803, 358763]</t>
  </si>
  <si>
    <t>[369798, 369799, 369803]</t>
  </si>
  <si>
    <t>65.88262095972908</t>
  </si>
  <si>
    <t>[0.051, -0.014]</t>
  </si>
  <si>
    <t>LINESTRING (5.714715576195419 58.89423743549744, 5.714567701271828 58.89424789499249, 5.713071460947305 58.89443880667789)</t>
  </si>
  <si>
    <t>[370652, 370660]</t>
  </si>
  <si>
    <t>[359573, 359579]</t>
  </si>
  <si>
    <t>[359572, 359573]</t>
  </si>
  <si>
    <t>[0.051, 0.014]</t>
  </si>
  <si>
    <t>98.36265495617135</t>
  </si>
  <si>
    <t>[-0.086, -0.03]</t>
  </si>
  <si>
    <t>LINESTRING (5.714715576195419 58.89423743549744, 5.714612521112081 58.89417844158991, 5.714590026412889 58.89413366135699)</t>
  </si>
  <si>
    <t>[1440090, 1440098]</t>
  </si>
  <si>
    <t>[1308551, 779519]</t>
  </si>
  <si>
    <t>[359572, 1308551]</t>
  </si>
  <si>
    <t>[0.086, 0.03]</t>
  </si>
  <si>
    <t>14.056548498780579</t>
  </si>
  <si>
    <t>[0.009, 0.016, 0.027, 0.025, 0.028, 0.034]</t>
  </si>
  <si>
    <t>LINESTRING (5.714887611051291 58.893993111150756, 5.714936186817948 58.89399969385494, 5.7150595464286695 58.894051013325594, 5.715090641534847 58.89408665684215, 5.715100865039669 58.89413000574267, 5.715078385085382 58.89417825995333, 5.714715576195419 58.89423743549744)</t>
  </si>
  <si>
    <t>[1440131, 1440140, 1440150, 1440158, 1440166, 1440081]</t>
  </si>
  <si>
    <t>[779496, 1308582, 1308589, 1308595, 359567, 359572]</t>
  </si>
  <si>
    <t>0.027296261698896842</t>
  </si>
  <si>
    <t>[1308573, 779496, 1308582, 1308589, 1308595, 359567]</t>
  </si>
  <si>
    <t>51.48368284793888</t>
  </si>
  <si>
    <t>120.10008841120967</t>
  </si>
  <si>
    <t>[0.019, 0.0]</t>
  </si>
  <si>
    <t>LINESTRING (5.714590026412889 58.89413366135699, 5.714511610552787 58.89416032254939, 5.713071460947305 58.89443880667789)</t>
  </si>
  <si>
    <t>[800992, 801000]</t>
  </si>
  <si>
    <t>[779520, 359579]</t>
  </si>
  <si>
    <t>0.0010914791007209771</t>
  </si>
  <si>
    <t>[779519, 779520]</t>
  </si>
  <si>
    <t>94.4500300812926</t>
  </si>
  <si>
    <t>[0.051, -0.042, -0.037, -0.015, -0.059, -0.052, 0.054, 0.063, 0.089, 0.078, 0.061]</t>
  </si>
  <si>
    <t>LINESTRING (6.1907398147993495 58.539426252445985, 6.189928684283314 58.53936165953566, 6.189225327939718 58.53928462709359, 6.188459409318801 58.53916857029661, 6.184679405944836 58.53862681736837, 6.16908088494813 58.53785195776589, 6.167575335070274 58.53757081060684, 6.166232250839707 58.5370726925441, 6.166174631414842 58.53704928250413, 6.165995616789163 58.53697745145908, 6.165922954393183 58.536948663781864, 6.165174605330304 58.53665120487006)</t>
  </si>
  <si>
    <t>[1379478, 1379486, 1379494, 1379502, 1379510, 1379518, 1379526, 1378168, 1378184, 1378192, 1378206]</t>
  </si>
  <si>
    <t>[1269820, 1269280, 1269824, 1269831, 1269836, 1269841, 1269177, 1269178, 1269188, 1269192, 1269067]</t>
  </si>
  <si>
    <t>[359628, 1269820, 1269280, 1269824, 1269831, 1269836, 1269841, 1269177, 1269178, 1269188, 1269192]</t>
  </si>
  <si>
    <t>[0.051, 0.042, 0.037, 0.015, 0.059, 0.052, 0.054, 0.063, 0.089, 0.078, 0.061]</t>
  </si>
  <si>
    <t>1559.1988931247479</t>
  </si>
  <si>
    <t>[0.053, -0.041, -0.036, -0.016, -0.058, -0.045, 0.054, 0.083, 0.09, 0.051, 0.04, -0.019]</t>
  </si>
  <si>
    <t>LINESTRING (6.1907398147993495 58.539426252445985, 6.189974567123706 58.539323499124386, 6.189250874119718 58.539244455951064, 6.188482696490037 58.53912825212004, 6.184688557786963 58.53858135894028, 6.169132777289781 58.53779678226995, 6.1676418964475115 58.53751193830968, 6.166308495216744 58.53701991050542, 6.166071716021981 58.53692592378901, 6.165999597540831 58.536897715698316, 6.165066694160415 58.53653748672553, 6.164928742485388 58.53648401550356, 6.16377858006518 58.53608445687002)</t>
  </si>
  <si>
    <t>[1379534, 1379542, 1379550, 1379558, 1379566, 1379574, 1379582, 1377984, 1378003, 1378018, 1378019, 1378046]</t>
  </si>
  <si>
    <t>[1269848, 942485, 1269856, 1269860, 1269864, 1269867, 1269094, 1269095, 1269103, 1269108, 1269109, 1269091]</t>
  </si>
  <si>
    <t>[359628, 1269848, 942485, 1269856, 1269860, 1269864, 1269867, 1269094, 1269095, 1269103, 1269108, 1269109]</t>
  </si>
  <si>
    <t>[0.053, 0.041, 0.036, 0.016, 0.058, 0.045, 0.054, 0.083, 0.09, 0.051, 0.04, 0.019]</t>
  </si>
  <si>
    <t>1658.973437594521</t>
  </si>
  <si>
    <t>[0.04, 0.126, 0.025, -0.038, -0.048, -0.026, -0.05, -0.113, 0.032, 0.019, 0.037, 0.007, 0.017, -0.012, -0.07, -0.019, -0.039, 0.022, -0.017, 0.004, -0.049, 0.04, 0.047, 0.021, -0.015, -0.035, -0.005, 0.006, -0.003, -0.023, -0.028, -0.028, -0.044, 0.02, 0.015, -0.011, 0.038, -0.009, -0.14, -0.063, -0.016, 0.014, -0.043, -0.045, 0.044, -0.003, 0.079, 0.034, -0.137, 0.047, 0.035, -0.065]</t>
  </si>
  <si>
    <t>[0, 0, 0, 0, 0, 0, 0, 0, 0, 0, 0, 0, 0, 0, 0, 0, 0, 1, 0, 0, 0, 0, 1, 0, 0, 0, 0, 1, 0, 0, 0, 0, 0, 0, 0, 0, 0, 0, 0, 0, 0, 0, 0, 1, 0, 0, 0, 0, 0, 0, 0, 0]</t>
  </si>
  <si>
    <t>LINESTRING (6.33169451724257 58.53211828815571, 6.330028531307846 58.532510205197006, 6.326135328629843 58.533423580990316, 6.3251490553665635 58.5336571689478, 6.3249886200424 58.533695638139626, 6.318139609943236 58.53530638730486, 6.314254058185657 58.53730413977712, 6.313189571450651 58.53778745548839, 6.312750539363701 58.537947660185495, 6.312679349493457 58.53797147571597, 6.310007020122259 58.53852791185538, 6.309945339593229 58.538534559935826, 6.30986199323716 58.538543333575134, 6.304040535502589 58.53858211745628, 6.303024303306104 58.53859531376504, 6.302886957491522 58.53859903530087, 6.295146696053786 58.539749866797216, 6.293398027163557 58.540056350702145, 6.293334351085159 58.5400672248136, 6.288879100363408 58.54085026697483, 6.286974824211331 58.541181699250096, 6.285156450803825 58.54150142430489, 6.284720512823137 58.541576189252794, 6.284660042180931 58.54158616779392, 6.283659717806525 58.54174807499897, 6.279590461644728 58.54215015711626, 6.278647350957267 58.54218713598139, 6.273162407299465 58.54207417873685, 6.273077929379191 58.54207104097256, 6.270119941759513 58.54196371560509, 6.269497436403924 58.54194246394502, 6.269477715033556 58.541941700154766, 6.2694185679083 58.541939409928744, 6.266608049428598 58.54184012438542, 6.265767416158723 58.541843901376126, 6.264018314866347 58.54201324081387, 6.263927483576701 58.54202697118285, 6.256489016861635 58.54384414797842, 6.234335509675871 58.54424578000796, 6.234294692843795 58.54425389031474, 6.230138996252705 58.544444817895155, 6.219784345213235 58.54300296116274, 6.214835605329491 58.54227597019156, 6.21433432803717 58.54211590001246, 6.214206147248048 58.54207086279745, 6.213923469511145 58.541969194271594, 6.2113853439677476 58.54106493363756, 6.2088964048324025 58.54027219089568, 6.205433089184366 58.54008368690854, 6.202341364873204 58.540237446480624, 6.200385740189291 58.54033262249776, 6.192706397441564 58.53963598182824, 6.1907398147993495 58.539426252445985)</t>
  </si>
  <si>
    <t>[1843528, 1843536, 1843544, 1843552, 1843560, 1843568, 1843576, 370359, 370367, 370375, 370383, 370391, 370399, 370407, 370415, 370423, 370431, 370439, 370447, 370455, 370463, 370471, 370479, 370487, 370495, 370503, 370511, 370519, 370527, 370535, 370543, 370551, 370559, 370567, 370575, 370583, 370591, 370599, 370607, 370615, 370623, 370631, 370639, 370647, 370655, 370663, 370671, 370679, 370687, 370695, 370703, 370711]</t>
  </si>
  <si>
    <t>[353360, 1594196, 1615168, 1594205, 1615182, 1615190, 359294, 359295, 359304, 359313, 359321, 359328, 359336, 359343, 359351, 359358, 359367, 359375, 359382, 359389, 359397, 359403, 359411, 215642, 359423, 359430, 359436, 359442, 359448, 359454, 359462, 359468, 359475, 359481, 359487, 359495, 359505, 359513, 359523, 359534, 359543, 359553, 359562, 359570, 359575, 359583, 359589, 359596, 359602, 359612, 359621, 359628]</t>
  </si>
  <si>
    <t>[1055519, 353360, 1594196, 1615168, 1594205, 1615182, 1615190, 359294, 359295, 359304, 359313, 359321, 359328, 359336, 359343, 359351, 359358, 359367, 359375, 359382, 359389, 359397, 359403, 359411, 215642, 359423, 359430, 359436, 359442, 359448, 359454, 359462, 359468, 359475, 359481, 359487, 359495, 359505, 359513, 359523, 359534, 359543, 359553, 359562, 359570, 359575, 359583, 359589, 359596, 359602, 359612, 359621]</t>
  </si>
  <si>
    <t>[0.04, 0.126, 0.025, 0.038, 0.048, 0.026, 0.05, 0.113, 0.032, 0.019, 0.037, 0.007, 0.017, 0.012, 0.07, 0.019, 0.039, 0.022, 0.017, 0.004, 0.049, 0.04, 0.047, 0.021, 0.015, 0.035, 0.005, 0.006, 0.003, 0.023, 0.028, 0.028, 0.044, 0.02, 0.015, 0.011, 0.038, 0.009, 0.14, 0.063, 0.016, 0.014, 0.043, 0.045, 0.044, 0.003, 0.079, 0.034, 0.137, 0.047, 0.035, 0.065]</t>
  </si>
  <si>
    <t>8780.22009510957</t>
  </si>
  <si>
    <t>[-0.131, -0.059, -0.02, -0.063, -0.088, -0.094, -0.089, -0.101, -0.047]</t>
  </si>
  <si>
    <t>LINESTRING (5.856358178078146 58.76934269256262, 5.855444260611747 58.76964617978614, 5.854007832819586 58.770040981267655, 5.853690770327165 58.7701241962507, 5.852335941053244 58.770481755893606, 5.852207616825615 58.77051504164928, 5.851916759063622 58.77059182381634, 5.851820186141733 58.770617143732615, 5.851722352414801 58.77064288838771, 5.849320144742763 58.77127761513323)</t>
  </si>
  <si>
    <t>[371374, 371382, 371390, 371398, 371406, 371414, 371422, 371430, 371438]</t>
  </si>
  <si>
    <t>[360326, 360337, 360347, 360357, 360368, 360378, 360384, 360392, 360401]</t>
  </si>
  <si>
    <t>[360325, 360326, 360337, 360347, 360357, 360368, 360378, 360384, 360392]</t>
  </si>
  <si>
    <t>[0.131, 0.059, 0.02, 0.063, 0.088, 0.094, 0.089, 0.101, 0.047]</t>
  </si>
  <si>
    <t>462.3728860418996</t>
  </si>
  <si>
    <t>[-0.058, -0.177]</t>
  </si>
  <si>
    <t>LINESTRING (5.857052622715437 58.769157505117754, 5.85696264658797 58.76917542184024, 5.856358178078146 58.76934269256262)</t>
  </si>
  <si>
    <t>[422941, 422948]</t>
  </si>
  <si>
    <t>[420772, 360325]</t>
  </si>
  <si>
    <t>[420669, 420772]</t>
  </si>
  <si>
    <t>[0.058, 0.177]</t>
  </si>
  <si>
    <t>46.15444064455237</t>
  </si>
  <si>
    <t>[-0.025, -0.157]</t>
  </si>
  <si>
    <t>LINESTRING (5.856896194436544 58.7690720572215, 5.8568403549832215 58.769104574900794, 5.856358178078146 58.76934269256262)</t>
  </si>
  <si>
    <t>[422949, 422964]</t>
  </si>
  <si>
    <t>[420782, 360325]</t>
  </si>
  <si>
    <t>[420697, 420782]</t>
  </si>
  <si>
    <t>[0.025, 0.157]</t>
  </si>
  <si>
    <t>44.186053466630156</t>
  </si>
  <si>
    <t>[0.026, 0.058, -0.058]</t>
  </si>
  <si>
    <t>LINESTRING (5.849320144742763 58.77127761513323, 5.8486327789562305 58.77143720526112, 5.847060557449382 58.77179513309184, 5.846973754154348 58.771795661399)</t>
  </si>
  <si>
    <t>[1717808, 1717816, 1717821]</t>
  </si>
  <si>
    <t>[1531329, 1531334, 1531303]</t>
  </si>
  <si>
    <t>0.044582579363269884</t>
  </si>
  <si>
    <t>[360401, 1531329, 1531334]</t>
  </si>
  <si>
    <t>[0.026, 0.058, 0.058]</t>
  </si>
  <si>
    <t>149.83216190864732</t>
  </si>
  <si>
    <t>[0.071, 0.093]</t>
  </si>
  <si>
    <t>LINESTRING (5.849320144742763 58.77127761513323, 5.847126977334742 58.771905413389185, 5.84704767183968 58.77193813648832)</t>
  </si>
  <si>
    <t>[1717836, 1717837]</t>
  </si>
  <si>
    <t>[1531348, 1531268]</t>
  </si>
  <si>
    <t>0.07185229024609008</t>
  </si>
  <si>
    <t>[360401, 1531348]</t>
  </si>
  <si>
    <t>151.71714985393191</t>
  </si>
  <si>
    <t>[-0.175, 0.033, 0.059, 0.039, -0.046]</t>
  </si>
  <si>
    <t>LINESTRING (5.842436800793204 58.773657876880925, 5.841993694202978 58.773925289692436, 5.841622058821654 58.774199074543596, 5.841506016636051 58.77429674569076, 5.840785583635002 58.774946271962804, 5.840407342571205 58.775356442817525)</t>
  </si>
  <si>
    <t>[1018134, 1018142, 1018150, 1018158, 1018166]</t>
  </si>
  <si>
    <t>[974483, 974489, 974495, 974500, 360429]</t>
  </si>
  <si>
    <t>[360418, 974483, 974489, 974495, 974500]</t>
  </si>
  <si>
    <t>[0.175, 0.033, 0.059, 0.039, 0.046]</t>
  </si>
  <si>
    <t>224.8109283428273</t>
  </si>
  <si>
    <t>[-0.143, 0.026, 0.06, 0.06, 0.038, -0.056]</t>
  </si>
  <si>
    <t>LINESTRING (5.842436800793204 58.773657876880925, 5.842027377620092 58.77399074713156, 5.841664149921632 58.77429216663942, 5.8416145034481834 58.774330949676774, 5.841556476939699 58.77437534872382, 5.840828218218827 58.77501463852527, 5.840407342571205 58.775356442817525)</t>
  </si>
  <si>
    <t>[1116495, 1116503, 1116511, 1116519, 1116527, 1116535]</t>
  </si>
  <si>
    <t>[1055724, 1055729, 1055734, 1055741, 1055747, 360429]</t>
  </si>
  <si>
    <t>[360418, 1055724, 1055729, 1055734, 1055741, 1055747]</t>
  </si>
  <si>
    <t>[0.143, 0.026, 0.06, 0.06, 0.038, 0.056]</t>
  </si>
  <si>
    <t>223.85358740850327</t>
  </si>
  <si>
    <t>[0.187, -3.271, 0.002, 0.019]</t>
  </si>
  <si>
    <t>LINESTRING (5.845936710669313 58.772165094101425, 5.8450393394577755 58.772449198431964, 5.844977199650342 58.77247136752959, 5.844794727819399 58.77253479623899, 5.842436800793204 58.773657876880925)</t>
  </si>
  <si>
    <t>[1717776, 1717784, 371446, 371454]</t>
  </si>
  <si>
    <t>[1531314, 360409, 360410, 360418]</t>
  </si>
  <si>
    <t>0.0024889174424346005</t>
  </si>
  <si>
    <t>[672986, 1531314, 360409, 360410]</t>
  </si>
  <si>
    <t>[0.187, 3.271, 0.002, 0.019]</t>
  </si>
  <si>
    <t>264.2856944110712</t>
  </si>
  <si>
    <t>206.54452774423063</t>
  </si>
  <si>
    <t>123.27504218549456</t>
  </si>
  <si>
    <t>[0.027, 0.006, -0.24]</t>
  </si>
  <si>
    <t>LINESTRING (5.836191814351652 58.779133314433835, 5.836249934422428 58.7790884268753, 5.838584291730532 58.77708880620161, 5.838762377151538 58.77699585141757)</t>
  </si>
  <si>
    <t>[1346882, 1346890, 1346898]</t>
  </si>
  <si>
    <t>[1248137, 1248144, 360430]</t>
  </si>
  <si>
    <t>[1212998, 1248137, 1248144]</t>
  </si>
  <si>
    <t>[0.027, 0.006, 0.24]</t>
  </si>
  <si>
    <t>282.6781374027814</t>
  </si>
  <si>
    <t>[-0.0, -0.009, -0.047, 0.009, 0.008]</t>
  </si>
  <si>
    <t>LINESTRING (5.837782086064482 58.77797473790629, 5.837307984389792 58.77844394723961, 5.836498896600921 58.779199123345876, 5.836489193955957 58.77920663209216, 5.836379997067202 58.77928836482351, 5.834807722027441 58.780261699242885)</t>
  </si>
  <si>
    <t>[371478, 371486, 371494, 371502, 371510]</t>
  </si>
  <si>
    <t>[360444, 360454, 360463, 360471, 360482]</t>
  </si>
  <si>
    <t>0.0010359938252984932</t>
  </si>
  <si>
    <t>[360436, 360444, 360454, 360463, 360471]</t>
  </si>
  <si>
    <t>[0.0, 0.009, 0.047, 0.009, 0.008]</t>
  </si>
  <si>
    <t>310.16892021105537</t>
  </si>
  <si>
    <t>[0.345, -0.015]</t>
  </si>
  <si>
    <t>LINESTRING (5.837782086064482 58.77797473790629, 5.837651819978227 58.77817708834109, 5.8369501023139865 58.77930519727013)</t>
  </si>
  <si>
    <t>[1346842, 1346850]</t>
  </si>
  <si>
    <t>[1248104, 1248111]</t>
  </si>
  <si>
    <t>0.03981230120763735</t>
  </si>
  <si>
    <t>[360436, 1248104]</t>
  </si>
  <si>
    <t>[0.345, 0.015]</t>
  </si>
  <si>
    <t>156.5662604594294</t>
  </si>
  <si>
    <t>103.18450937986208</t>
  </si>
  <si>
    <t>[0.547, -0.088, 0.031, 0.03]</t>
  </si>
  <si>
    <t>LINESTRING (5.834807722027441 58.780261699242885, 5.8350247290124715 58.78010422600254, 5.8361019072324165 58.7792091736887, 5.836150574581103 58.77916980701245, 5.836191814351652 58.779133314433835)</t>
  </si>
  <si>
    <t>[1346946, 1346954, 1346962, 1346970]</t>
  </si>
  <si>
    <t>[1248189, 1248197, 1248204, 1212998]</t>
  </si>
  <si>
    <t>0.011615233151000258</t>
  </si>
  <si>
    <t>[360482, 1248189, 1248197, 1248204]</t>
  </si>
  <si>
    <t>[0.547, 0.088, 0.031, 0.03]</t>
  </si>
  <si>
    <t>149.7557351330662</t>
  </si>
  <si>
    <t>9.595950187002435</t>
  </si>
  <si>
    <t>[-0.132, -0.129, 0.024, 0.086, -0.975]</t>
  </si>
  <si>
    <t>LINESTRING (5.836787833293348 58.77943063479007, 5.836701219202558 58.77946567524188, 5.8366487739743755 58.77948376509697, 5.836113808358567 58.77971319548748, 5.833705010693629 58.78077106921839, 5.8334120114728245 58.780832934547284)</t>
  </si>
  <si>
    <t>[1346906, 1346914, 1346922, 1346930, 1346938]</t>
  </si>
  <si>
    <t>[1248157, 1248163, 1248170, 1248175, 360488]</t>
  </si>
  <si>
    <t>[1248156, 1248157, 1248163, 1248170, 1248175]</t>
  </si>
  <si>
    <t>[0.132, 0.129, 0.024, 0.086, 0.975]</t>
  </si>
  <si>
    <t>251.88080766926709</t>
  </si>
  <si>
    <t>[-0.067, 0.006, -0.003]</t>
  </si>
  <si>
    <t>LINESTRING (5.833277573959397 58.780882968585, 5.832921481827735 58.78101094783806, 5.8327525193755365 58.7810712648107, 5.832054854176239 58.78132086972963)</t>
  </si>
  <si>
    <t>[371534, 371542, 371550]</t>
  </si>
  <si>
    <t>[360504, 360513, 360525]</t>
  </si>
  <si>
    <t>[360497, 360504, 360513]</t>
  </si>
  <si>
    <t>[0.067, 0.006, 0.003]</t>
  </si>
  <si>
    <t>86.1726166537378</t>
  </si>
  <si>
    <t>[0.136, 0.076, -1.192]</t>
  </si>
  <si>
    <t>LINESTRING (5.830900762821302 58.78136592802724, 5.832863070673384 58.78097775045673, 5.833061628879552 58.7809185513047, 5.833277573959397 58.780882968585)</t>
  </si>
  <si>
    <t>[1347098, 1347106, 1347114]</t>
  </si>
  <si>
    <t>[1248318, 1248323, 360497]</t>
  </si>
  <si>
    <t>0.02178542717067109</t>
  </si>
  <si>
    <t>[1248312, 1248318, 1248323]</t>
  </si>
  <si>
    <t>[0.136, 0.076, 1.192]</t>
  </si>
  <si>
    <t>159.80415233101212</t>
  </si>
  <si>
    <t>[-0.025, 0.089, 0.093]</t>
  </si>
  <si>
    <t>LINESTRING (5.832054854176239 58.78132086972963, 5.830539693952493 58.78186167931515, 5.829851399695979 58.78210614483068, 5.829723300933312 58.78215114567236)</t>
  </si>
  <si>
    <t>[371558, 371566, 371574]</t>
  </si>
  <si>
    <t>[360534, 360542, 360550]</t>
  </si>
  <si>
    <t>0.015080687840093261</t>
  </si>
  <si>
    <t>[360525, 360534, 360542]</t>
  </si>
  <si>
    <t>[0.025, 0.089, 0.093]</t>
  </si>
  <si>
    <t>164.01722854355756</t>
  </si>
  <si>
    <t>[0.668, -0.088]</t>
  </si>
  <si>
    <t>LINESTRING (5.832054854176239 58.78132086972963, 5.831877011144408 58.78141864110885, 5.830721356502108 58.782241037218405)</t>
  </si>
  <si>
    <t>[1346994, 1347002]</t>
  </si>
  <si>
    <t>[1248237, 1248246]</t>
  </si>
  <si>
    <t>[360525, 1248237]</t>
  </si>
  <si>
    <t>[0.668, 0.088]</t>
  </si>
  <si>
    <t>135.93589358294088</t>
  </si>
  <si>
    <t>[0.082, 0.024]</t>
  </si>
  <si>
    <t>LINESTRING (5.829723300933312 58.78215114567236, 5.829688712979778 58.78216395363367, 5.828538440629202 58.78257319116509)</t>
  </si>
  <si>
    <t>[371582, 371590]</t>
  </si>
  <si>
    <t>[360560, 360570]</t>
  </si>
  <si>
    <t>0.02571484632136362</t>
  </si>
  <si>
    <t>[360550, 360560]</t>
  </si>
  <si>
    <t>83.3575146030377</t>
  </si>
  <si>
    <t>[-0.112, -0.017, 0.002]</t>
  </si>
  <si>
    <t>LINESTRING (5.829723300933312 58.78215114567236, 5.830006083247874 58.78200808000934, 5.830982696627785 58.7814511016535, 5.830900762821302 58.78136592802724)</t>
  </si>
  <si>
    <t>[1850676, 1850678, 1850691]</t>
  </si>
  <si>
    <t>[1620374, 1620376, 1248312]</t>
  </si>
  <si>
    <t>[360550, 1620374, 1620376]</t>
  </si>
  <si>
    <t>[0.112, 0.017, 0.002]</t>
  </si>
  <si>
    <t>124.35731897248252</t>
  </si>
  <si>
    <t>[0.013, -0.034, -0.072, -0.081, -0.058, -0.037, 0.005, -0.029, -0.015]</t>
  </si>
  <si>
    <t>[0, 0, 0, 0, 0, 0, 0, 1, 0]</t>
  </si>
  <si>
    <t>LINESTRING (5.828538440629202 58.78257319116509, 5.824774133025787 58.783912917078105, 5.824757499867281 58.78391898839096, 5.824707619792256 58.78393719467444, 5.823186164473853 58.78447743999197, 5.82313873403805 58.78449467399107, 5.822823890894576 58.7846071556973, 5.815741321384609 58.787856576301756, 5.815581579489387 58.78792742906402, 5.807656832435916 58.78950495149883)</t>
  </si>
  <si>
    <t>[371598, 371606, 371614, 371622, 371630, 371638, 371646, 371654, 371662]</t>
  </si>
  <si>
    <t>[360581, 360590, 360600, 360609, 360618, 360628, 360636, 360644, 360654]</t>
  </si>
  <si>
    <t>[360570, 360581, 360590, 360600, 360609, 360618, 360628, 360636, 360644]</t>
  </si>
  <si>
    <t>[0.013, 0.034, 0.072, 0.081, 0.058, 0.037, 0.005, 0.029, 0.015]</t>
  </si>
  <si>
    <t>1461.8645851754823</t>
  </si>
  <si>
    <t>[-0.01, 0.012, 0.017, 0.041, 0.114]</t>
  </si>
  <si>
    <t>LINESTRING (5.830721356502108 58.782241037218405, 5.830744733786239 58.782161026579274, 5.829904690688498 58.78214825566568, 5.8297528213415495 58.78220242181467, 5.828758218055935 58.78252685829009, 5.828538440629202 58.78257319116509)</t>
  </si>
  <si>
    <t>[1850486, 1850487, 1850488, 1850496, 1850547]</t>
  </si>
  <si>
    <t>[1620205, 1620206, 1620207, 1620213, 360570]</t>
  </si>
  <si>
    <t>0.030980605971650317</t>
  </si>
  <si>
    <t>[1248246, 1620205, 1620206, 1620207, 1620213]</t>
  </si>
  <si>
    <t>[0.01, 0.012, 0.017, 0.041, 0.114]</t>
  </si>
  <si>
    <t>170.31913520768614</t>
  </si>
  <si>
    <t>[-0.002, -0.068, -0.038, 0.079]</t>
  </si>
  <si>
    <t>LINESTRING (5.807656832435916 58.78950495149883, 5.807023609681583 58.78971777435673, 5.8050231032881 58.790533328640535, 5.804845279764414 58.79061270960287, 5.802823568305327 58.79163057700389)</t>
  </si>
  <si>
    <t>[371670, 371678, 371686, 371694]</t>
  </si>
  <si>
    <t>[360665, 360673, 360683, 360691]</t>
  </si>
  <si>
    <t>0.006156373430494922</t>
  </si>
  <si>
    <t>[360654, 360665, 360673, 360683]</t>
  </si>
  <si>
    <t>[0.002, 0.068, 0.038, 0.079]</t>
  </si>
  <si>
    <t>368.31865401979707</t>
  </si>
  <si>
    <t>[0.398, -0.031, 0.185, 0.215]</t>
  </si>
  <si>
    <t>LINESTRING (5.807656832435916 58.78950495149883, 5.807402585430202 58.78962549411045, 5.80502481243692 58.790592181689206, 5.804843862026872 58.790676759187264, 5.804709376198063 58.791106847419535)</t>
  </si>
  <si>
    <t>[1850816, 1850823, 1850824, 1850832]</t>
  </si>
  <si>
    <t>[1620507, 1620514, 1620515, 1620526]</t>
  </si>
  <si>
    <t>0.07814888371626992</t>
  </si>
  <si>
    <t>[360654, 1620507, 1620514, 1620515]</t>
  </si>
  <si>
    <t>[0.398, 0.031, 0.185, 0.215]</t>
  </si>
  <si>
    <t>291.4113806586505</t>
  </si>
  <si>
    <t>0.317</t>
  </si>
  <si>
    <t>56.811916118106524</t>
  </si>
  <si>
    <t>[2.124, 0.003, 0.033]</t>
  </si>
  <si>
    <t>LINESTRING (5.802823568305327 58.79163057700389, 5.802988647370864 58.79148697993674, 5.805129759082129 58.79012957534561, 5.805287076932757 58.79009828870331)</t>
  </si>
  <si>
    <t>[1851007, 1851009, 1851014]</t>
  </si>
  <si>
    <t>[1620676, 1620677, 1176971]</t>
  </si>
  <si>
    <t>0.18013959197739382</t>
  </si>
  <si>
    <t>[360691, 1620676, 1620677]</t>
  </si>
  <si>
    <t>225.36866797932407</t>
  </si>
  <si>
    <t>[0.31, 0.053, -0.093, -0.033, -0.086, -0.094, -0.002, -0.009, 0.014, 0.018, -0.035, 0.003, 0.011, -0.024]</t>
  </si>
  <si>
    <t>LINESTRING (5.802147538352599 58.79199853956664, 5.801901505553958 58.79213328899414, 5.7983516515039115 58.794079583955025, 5.797731607753298 58.79441891782408, 5.7953383929625115 58.7956132311283, 5.79474000477024 58.79579387459105, 5.792753863760388 58.796088721641986, 5.792226026482626 58.79610364956928, 5.786560617598493 58.79626128139604, 5.785881198977947 58.796421720367, 5.78442590363175 58.796936847422515, 5.7823284109674375 58.79864434772136, 5.782021440122329 58.799401138853774, 5.781758809762185 58.80037548782541, 5.781669315278977 58.80069930508012)</t>
  </si>
  <si>
    <t>[371710, 371718, 371726, 371734, 371742, 371750, 371758, 371766, 371774, 371782, 371790, 371798, 371806, 371814]</t>
  </si>
  <si>
    <t>[360709, 360717, 360725, 360734, 360744, 360754, 360763, 360771, 360781, 360789, 360799, 360812, 360821, 360832]</t>
  </si>
  <si>
    <t>[360699, 360709, 360717, 360725, 360734, 360744, 360754, 360763, 360771, 360781, 360789, 360799, 360812, 360821]</t>
  </si>
  <si>
    <t>[0.31, 0.053, 0.093, 0.033, 0.086, 0.094, 0.002, 0.009, 0.014, 0.018, 0.035, 0.003, 0.011, 0.024]</t>
  </si>
  <si>
    <t>1696.6310870350376</t>
  </si>
  <si>
    <t>[8.234, -0.135, -1.754]</t>
  </si>
  <si>
    <t>LINESTRING (5.804709376198063 58.791106847419535, 5.804687607680661 58.791144216510716, 5.802557471336766 58.79182306730653, 5.802147538352599 58.79199853956664)</t>
  </si>
  <si>
    <t>[1850985, 1850986, 1851001]</t>
  </si>
  <si>
    <t>[1620656, 1620657, 360699]</t>
  </si>
  <si>
    <t>[1620526, 1620656, 1620657]</t>
  </si>
  <si>
    <t>[8.234, 0.135, 1.754]</t>
  </si>
  <si>
    <t>185.2083522713243</t>
  </si>
  <si>
    <t>[-0.025, -0.018, -0.014, -0.023, -0.01, -0.011, -0.01, -0.002, 0.004, 0.053, -0.009]</t>
  </si>
  <si>
    <t>LINESTRING (5.781669315278977 58.80069930508012, 5.781285986021673 58.80202092150628, 5.781266441540916 58.80211610539958, 5.7812486909081136 58.80220087383537, 5.7812451260581685 58.802216086180515, 5.781236279377906 58.80225390490125, 5.781184221792787 58.8024754965716, 5.781168925082043 58.80253918073402, 5.781081906765748 58.802801236699985, 5.780965235589466 58.80321661618586, 5.780962829611404 58.80322547858399, 5.780828118578391 58.80381838475799)</t>
  </si>
  <si>
    <t>[1018214, 1018222, 1018230, 1018238, 1018246, 1018254, 1018262, 1018270, 1018278, 1018286, 1018294]</t>
  </si>
  <si>
    <t>[974535, 974539, 974546, 974551, 974555, 974560, 974565, 974572, 974578, 974581, 360841]</t>
  </si>
  <si>
    <t>[360832, 974535, 974539, 974546, 974551, 974555, 974560, 974565, 974572, 974578, 974581]</t>
  </si>
  <si>
    <t>[0.025, 0.018, 0.014, 0.023, 0.01, 0.011, 0.01, 0.002, 0.004, 0.053, 0.009]</t>
  </si>
  <si>
    <t>352.27532369444214</t>
  </si>
  <si>
    <t>[-0.025, -0.023, -0.022, -0.018, -0.02, -0.016, -0.009, -0.009, 0.002, -0.011, 0.001]</t>
  </si>
  <si>
    <t>LINESTRING (5.781669315278977 58.80069930508012, 5.7814145488521556 58.802030454647934, 5.781404880258979 58.802069849621894, 5.781382371863426 58.802157889588536, 5.781362697629903 58.802241453231716, 5.781354498667789 58.80227815300951, 5.781305677703561 58.802483614164245, 5.781284901236762 58.802554764639, 5.781205986489273 58.802809118687556, 5.781069941864149 58.80322408738014, 5.781067025780501 58.80323290399338, 5.780828118578391 58.80381838475799)</t>
  </si>
  <si>
    <t>[1116543, 1116551, 1116559, 1116575, 1116583, 1116591, 1116599, 1116607, 1116615, 1116623, 1116631]</t>
  </si>
  <si>
    <t>[1055755, 1055759, 1055765, 1055776, 1055780, 1055789, 1055796, 1055804, 1055809, 1055816, 360841]</t>
  </si>
  <si>
    <t>[360832, 1055755, 1055759, 1055765, 1055776, 1055780, 1055789, 1055796, 1055804, 1055809, 1055816]</t>
  </si>
  <si>
    <t>[0.025, 0.023, 0.022, 0.018, 0.02, 0.016, 0.009, 0.009, 0.002, 0.011, 0.001]</t>
  </si>
  <si>
    <t>352.6282709985063</t>
  </si>
  <si>
    <t>[0.004, -0.043, 0.063, -0.014, 0.023, -0.032, -0.024, -0.028, 0.004, 0.007, 0.012, -0.001, -0.002, -0.007]</t>
  </si>
  <si>
    <t>20876.0</t>
  </si>
  <si>
    <t>[0, 0, 0, 0, 0, 0, 1, 0, 0, 0, 0, 0, 0, 0]</t>
  </si>
  <si>
    <t>LINESTRING (5.780828118578391 58.80381838475799, 5.776524531591088 58.80806894988273, 5.77645411892767 58.8080962141076, 5.776440285457479 58.80810156924128, 5.775707811327883 58.808383858642, 5.773335861093841 58.80929449306881, 5.769546788832951 58.81190682004194, 5.769414954937582 58.812060861301035, 5.7688616728827435 58.812711270609356, 5.768667600674527 58.812937049168845, 5.768564856970077 58.81305706264352, 5.7683191512844685 58.81334211491764, 5.766814643289226 58.815095030100466, 5.766718775460401 58.81520532817298, 5.766447510141671 58.815520359062155)</t>
  </si>
  <si>
    <t>[371822, 371830, 371838, 371846, 371854, 371862, 371870, 371878, 371886, 371894, 371902, 371910, 371918, 371926]</t>
  </si>
  <si>
    <t>[360842, 360852, 360863, 360873, 360886, 360896, 360906, 360915, 360925, 360934, 360940, 360945, 360950, 360954]</t>
  </si>
  <si>
    <t>[360841, 360842, 360852, 360863, 360873, 360886, 360896, 360906, 360915, 360925, 360934, 360940, 360945, 360950]</t>
  </si>
  <si>
    <t>[0.004, 0.043, 0.063, 0.014, 0.023, 0.032, 0.024, 0.028, 0.004, 0.007, 0.012, 0.001, 0.002, 0.007]</t>
  </si>
  <si>
    <t>1602.7313029458248</t>
  </si>
  <si>
    <t>[0.015, 0.017, -0.005, -0.0, -0.025]</t>
  </si>
  <si>
    <t>LINESTRING (5.766447510141671 58.815520359062155, 5.7654214534763915 58.81663040249219, 5.764845899233289 58.817315908150114, 5.764838665723398 58.81732436796932, 5.76418513519115 58.818095653455075, 5.762242926889968 58.81975519141862)</t>
  </si>
  <si>
    <t>[1375872, 1375880, 1375888, 1375896, 1375904]</t>
  </si>
  <si>
    <t>[1267556, 1267561, 1267567, 1267572, 1267545]</t>
  </si>
  <si>
    <t>[360954, 1267556, 1267561, 1267567, 1267572]</t>
  </si>
  <si>
    <t>[0.015, 0.017, 0.005, 0.0, 0.025]</t>
  </si>
  <si>
    <t>534.7596012256635</t>
  </si>
  <si>
    <t>[0.015, 0.016, 0.015, -0.018, 0.003, 0.007]</t>
  </si>
  <si>
    <t>LINESTRING (5.766447510141671 58.815520359062155, 5.765525071826455 58.81665416134622, 5.7649401476361675 58.81733843109724, 5.764932909389183 58.81734690865113, 5.762314124623913 58.819789624558666, 5.761695847017413 58.82011982392612, 5.760669117535083 58.82056019890678)</t>
  </si>
  <si>
    <t>[1376125, 1376141, 1376155, 1376156, 1376158, 1376171]</t>
  </si>
  <si>
    <t>[1267780, 1267790, 1267802, 1267803, 1267804, 1267547]</t>
  </si>
  <si>
    <t>[360954, 1267780, 1267790, 1267802, 1267803, 1267804]</t>
  </si>
  <si>
    <t>[0.015, 0.016, 0.015, 0.018, 0.003, 0.007]</t>
  </si>
  <si>
    <t>665.5752097587558</t>
  </si>
  <si>
    <t>LINESTRING (5.721063336821023 58.87369920085804, 5.721093021755907 58.87371379427291, 5.721113600921702 58.873728505330455)</t>
  </si>
  <si>
    <t>[1352015, 1352023]</t>
  </si>
  <si>
    <t>[1131054, 1251840]</t>
  </si>
  <si>
    <t>[361356, 1131054]</t>
  </si>
  <si>
    <t>4.398212184380372</t>
  </si>
  <si>
    <t>[-0.002, 0.003, 0.002]</t>
  </si>
  <si>
    <t>LINESTRING (5.718404326743006 58.87152845613467, 5.718746867463849 58.8718171431537, 5.7210369501511185 58.87362884636689, 5.721063336821023 58.87369920085804)</t>
  </si>
  <si>
    <t>[1435709, 372326, 372334]</t>
  </si>
  <si>
    <t>[361349, 361350, 361356]</t>
  </si>
  <si>
    <t>0.002316848980452704</t>
  </si>
  <si>
    <t>[1055926, 361349, 361350]</t>
  </si>
  <si>
    <t>[0.002, 0.003, 0.002]</t>
  </si>
  <si>
    <t>289.9787959948192</t>
  </si>
  <si>
    <t>12.973846622839172</t>
  </si>
  <si>
    <t>[-0.001, 0.005, 0.005]</t>
  </si>
  <si>
    <t>LINESTRING (5.71800397886735 58.87405682414012, 5.719041897910932 58.87369645142115, 5.720030941228698 58.8737301429007, 5.720178096315266 58.87373447636563)</t>
  </si>
  <si>
    <t>[372350, 372358, 372366]</t>
  </si>
  <si>
    <t>[361370, 361378, 361383]</t>
  </si>
  <si>
    <t>0.0016805657976058323</t>
  </si>
  <si>
    <t>[361363, 361370, 361378]</t>
  </si>
  <si>
    <t>[0.001, 0.005, 0.005]</t>
  </si>
  <si>
    <t>147.4675907831557</t>
  </si>
  <si>
    <t>[0.033, -0.006, -0.007, 0.0, 0.001, -0.002, -0.0]</t>
  </si>
  <si>
    <t>LINESTRING (5.71800397886735 58.87405682414012, 5.7181197395923 58.87421612325913, 5.719353028747837 58.87412722068844, 5.719357682528664 58.87411858442005, 5.7193667851035634 58.87375342238626, 5.719345473391333 58.87365789746119, 5.718348993761994 58.87177205144028, 5.718194382426881 58.87156927253416)</t>
  </si>
  <si>
    <t>[2099226, 2099233, 2099241, 2099249, 2099257, 2099261, 1435879]</t>
  </si>
  <si>
    <t>[1815247, 1815253, 1815257, 1815263, 1815267, 1305654, 974682]</t>
  </si>
  <si>
    <t>[361363, 1815247, 1815253, 1815257, 1815263, 1815267, 1305654]</t>
  </si>
  <si>
    <t>[0.033, 0.006, 0.007, 0.0, 0.001, 0.002, 0.0]</t>
  </si>
  <si>
    <t>409.0842968367485</t>
  </si>
  <si>
    <t>[0.031, 0.031, 0.007]</t>
  </si>
  <si>
    <t>LINESTRING (5.718694780154696 58.87708716046317, 5.718701237138104 58.87701804593901, 5.718819769427152 58.87675372545997, 5.71800397886735 58.87405682414012)</t>
  </si>
  <si>
    <t>[1435717, 1435725, 372342]</t>
  </si>
  <si>
    <t>[1305542, 361362, 361363]</t>
  </si>
  <si>
    <t>0.009487872444668834</t>
  </si>
  <si>
    <t>[974734, 1305542, 361362]</t>
  </si>
  <si>
    <t>367.0819178986633</t>
  </si>
  <si>
    <t>LINESTRING (5.720178096315266 58.87373447636563, 5.720684929203078 58.87369902072907, 5.720849986794098 58.87368739917896)</t>
  </si>
  <si>
    <t>[1435789, 1435798]</t>
  </si>
  <si>
    <t>[1305582, 1251827]</t>
  </si>
  <si>
    <t>0.004245683141003658</t>
  </si>
  <si>
    <t>[361383, 1305582]</t>
  </si>
  <si>
    <t>39.23270139384295</t>
  </si>
  <si>
    <t>[-0.036, 0.201]</t>
  </si>
  <si>
    <t>LINESTRING (5.720178096315266 58.87373447636563, 5.720638378223669 58.87380999852588, 5.7207400995169895 58.87381353464627)</t>
  </si>
  <si>
    <t>[2018893, 2018901]</t>
  </si>
  <si>
    <t>[1764051, 1251880]</t>
  </si>
  <si>
    <t>0.005318182056635586</t>
  </si>
  <si>
    <t>[361383, 1764051]</t>
  </si>
  <si>
    <t>[0.036, 0.201]</t>
  </si>
  <si>
    <t>33.83798164051964</t>
  </si>
  <si>
    <t>24.80972645000095</t>
  </si>
  <si>
    <t>[-0.068, 0.011]</t>
  </si>
  <si>
    <t>LINESTRING (5.29815412008093 59.39733171591006, 5.2982601851958915 59.39723884295161, 5.298121569987856 59.397093740888955)</t>
  </si>
  <si>
    <t>[379692, 379702]</t>
  </si>
  <si>
    <t>[368833, 368845]</t>
  </si>
  <si>
    <t>[361633, 368833]</t>
  </si>
  <si>
    <t>[0.068, 0.011]</t>
  </si>
  <si>
    <t>30.736600105716438</t>
  </si>
  <si>
    <t>77.14261403690861</t>
  </si>
  <si>
    <t>LINESTRING (5.2979748257521395 59.39713302702453, 5.297976124775702 59.397080592074616, 5.297993983725937 59.39704064069799)</t>
  </si>
  <si>
    <t>[372645, 372653]</t>
  </si>
  <si>
    <t>[361643, 361651]</t>
  </si>
  <si>
    <t>[361634, 361643]</t>
  </si>
  <si>
    <t>10.44106812478722</t>
  </si>
  <si>
    <t>[-0.022, 0.001, 0.002, 0.003, 0.003, -0.014]</t>
  </si>
  <si>
    <t>LINESTRING (5.2979748257521395 59.39713302702453, 5.297406260339146 59.397229921836946, 5.29714778534101 59.397253026212894, 5.296992629871522 59.39726399849653, 5.296048810783149 59.397314626938446, 5.295556384603502 59.397357443749016, 5.295408072563812 59.39736706495291)</t>
  </si>
  <si>
    <t>[1440819, 1440827, 1440835, 1440843, 1440851, 1440859]</t>
  </si>
  <si>
    <t>[1309011, 1309014, 1309018, 1309021, 1309025, 1177175]</t>
  </si>
  <si>
    <t>[361634, 1309011, 1309014, 1309018, 1309021, 1309025]</t>
  </si>
  <si>
    <t>[0.022, 0.001, 0.002, 0.003, 0.003, 0.014]</t>
  </si>
  <si>
    <t>149.14499595560693</t>
  </si>
  <si>
    <t>[-0.011, 0.101]</t>
  </si>
  <si>
    <t>LINESTRING (5.298121569987856 59.397093740888955, 5.298078406568899 59.397108127010334, 5.2979748257521395 59.39713302702453)</t>
  </si>
  <si>
    <t>[1440803, 1440811]</t>
  </si>
  <si>
    <t>[1309002, 361634]</t>
  </si>
  <si>
    <t>0.06622566330296092</t>
  </si>
  <si>
    <t>[368845, 1309002]</t>
  </si>
  <si>
    <t>[0.011, 0.101]</t>
  </si>
  <si>
    <t>9.466313332782349</t>
  </si>
  <si>
    <t>[-0.018, -0.001, 0.001, 0.002, 0.002, 0.004, 0.004]</t>
  </si>
  <si>
    <t>LINESTRING (5.297993983725937 59.39704064069799, 5.2974142170296075 59.39714421886183, 5.297091031534698 59.39718546357468, 5.296963610811223 59.39719815566896, 5.296921182104397 59.39720255851584, 5.296026879735859 59.39725562807907, 5.295564645103052 59.39724686720595, 5.29545694865665 59.397244362583415)</t>
  </si>
  <si>
    <t>[380824, 380831, 380838, 380839, 380845, 380847, 380848]</t>
  </si>
  <si>
    <t>[369905, 369909, 369920, 369921, 369931, 369934, 369935]</t>
  </si>
  <si>
    <t>[361651, 369905, 369909, 369920, 369921, 369931, 369934]</t>
  </si>
  <si>
    <t>[0.018, 0.001, 0.001, 0.002, 0.002, 0.004, 0.004]</t>
  </si>
  <si>
    <t>147.7721726337411</t>
  </si>
  <si>
    <t>9.386823211332295</t>
  </si>
  <si>
    <t>[-0.017, 0.061]</t>
  </si>
  <si>
    <t>LINESTRING (5.298972269329236 59.39677131411503, 5.298125200958554 59.397010055547526, 5.297993983725937 59.39704064069799)</t>
  </si>
  <si>
    <t>[380806, 380823]</t>
  </si>
  <si>
    <t>[369882, 361651]</t>
  </si>
  <si>
    <t>[369881, 369882]</t>
  </si>
  <si>
    <t>[0.017, 0.061]</t>
  </si>
  <si>
    <t>63.67876416261476</t>
  </si>
  <si>
    <t>[0.005, 0.005, 0.008, -0.0]</t>
  </si>
  <si>
    <t>LINESTRING (11.112627115762164 60.803684457193626, 11.111147241980081 60.80477759278521, 11.110571793032507 60.80520721333823, 11.10810822406111 60.80706152394082, 11.103611818339356 60.810486481991695)</t>
  </si>
  <si>
    <t>[375351, 373467, 373668, 373772]</t>
  </si>
  <si>
    <t>[362491, 362492, 362684, 361995]</t>
  </si>
  <si>
    <t>0.0033078972633356625</t>
  </si>
  <si>
    <t>[361978, 362491, 362492, 362684]</t>
  </si>
  <si>
    <t>[0.005, 0.005, 0.008, 0.0]</t>
  </si>
  <si>
    <t>903.0761675319375</t>
  </si>
  <si>
    <t>[0.014, 0.015, 0.015, 0.006]</t>
  </si>
  <si>
    <t>LINESTRING (11.121146970535554 60.796132271202964, 11.120190903421095 60.7972661182216, 11.119911990021347 60.79759939689566, 11.117471533749388 60.80007695233428, 11.112627115762164 60.803684457193626)</t>
  </si>
  <si>
    <t>[375077, 373868, 372942, 372950]</t>
  </si>
  <si>
    <t>[362889, 361968, 361969, 361978]</t>
  </si>
  <si>
    <t>0.010370240265007451</t>
  </si>
  <si>
    <t>[362485, 362889, 361968, 361969]</t>
  </si>
  <si>
    <t>964.3912672787458</t>
  </si>
  <si>
    <t>[0.006, 0.018, 0.017]</t>
  </si>
  <si>
    <t>LINESTRING (11.085150110895322 60.830829373061725, 11.084384470077753 60.83118963337997, 11.077887644062496 60.83339345879384, 11.072812530838705 60.83583772322116)</t>
  </si>
  <si>
    <t>[374628, 374540, 374548]</t>
  </si>
  <si>
    <t>[363400, 363401, 362114]</t>
  </si>
  <si>
    <t>0.01676563306549212</t>
  </si>
  <si>
    <t>[361987, 363400, 363401]</t>
  </si>
  <si>
    <t>877.5521044010868</t>
  </si>
  <si>
    <t>[0.0, 0.004, 0.002, -0.003]</t>
  </si>
  <si>
    <t>LINESTRING (11.103611818339356 60.810486481991695, 11.099042747891232 60.81423026708608, 11.090042007241504 60.82367756125585, 11.089262379334967 60.82599175766687, 11.085150110895322 60.830829373061725)</t>
  </si>
  <si>
    <t>[372966, 372974, 374316, 372958]</t>
  </si>
  <si>
    <t>[361996, 362004, 361986, 361987]</t>
  </si>
  <si>
    <t>0.0013480970609706679</t>
  </si>
  <si>
    <t>[361995, 361996, 362004, 361986]</t>
  </si>
  <si>
    <t>[0.0, 0.004, 0.002, 0.003]</t>
  </si>
  <si>
    <t>2506.7335163556636</t>
  </si>
  <si>
    <t>[0.0, -0.006, -0.0, -0.0, -0.002, -0.003]</t>
  </si>
  <si>
    <t>LINESTRING (11.089957784941461 60.8232301717331, 11.089957784941461 60.8232301717331, 11.093883640529473 60.818868856965736, 11.094224968051101 60.81856569363153, 11.094962691266796 60.8178529003911, 11.097212050347906 60.814917158610676, 11.097228100846241 60.81486809556789)</t>
  </si>
  <si>
    <t>[372990, 138030, 138038, 375551, 374188, 373844]</t>
  </si>
  <si>
    <t>[155210, 155211, 155220, 363159, 362864, 362865]</t>
  </si>
  <si>
    <t>[362021, 155210, 155211, 155220, 363159, 362864]</t>
  </si>
  <si>
    <t>[0.0, 0.006, 0.0, 0.0, 0.002, 0.003]</t>
  </si>
  <si>
    <t>1294.4482886144544</t>
  </si>
  <si>
    <t>[-0.004, -0.006, 0.02, 0.018, 0.01, 0.004, 0.004, 0.014, 0.019, 0.023, 0.026, -0.003, 0.003, -0.004, -0.003]</t>
  </si>
  <si>
    <t>LINESTRING (11.492300311355145 64.04664699739695, 11.493292187717145 64.04760805351609, 11.492750652859316 64.0525475476716, 11.492595869831138 64.05265086789178, 11.492513853149342 64.05270619867825, 11.492232006784336 64.05289019352006, 11.491836395850694 64.05314708868087, 11.491762318599342 64.05319731905318, 11.49162000310211 64.0532924402663, 11.490553595495618 64.05435183843795, 11.490417676833241 64.0548504212193, 11.490417329085894 64.05494115487693, 11.491059304288923 64.05694880975508, 11.491340006257103 64.05792325838668, 11.491350757266748 64.0579610366987, 11.49137606795587 64.05805033253465)</t>
  </si>
  <si>
    <t>[635274, 635282, 635290, 635298, 635306, 635314, 635322, 635330, 635338, 635346, 635354, 635362, 635370, 635378, 635386]</t>
  </si>
  <si>
    <t>[528159, 434633, 630395, 630404, 630411, 630422, 630430, 630439, 630444, 630450, 630457, 630464, 630470, 630477, 630485]</t>
  </si>
  <si>
    <t>0.00047715613732465806</t>
  </si>
  <si>
    <t>[362159, 528159, 434633, 630395, 630404, 630411, 630422, 630430, 630439, 630444, 630450, 630457, 630464, 630470, 630477]</t>
  </si>
  <si>
    <t>[0.004, 0.006, 0.02, 0.018, 0.01, 0.004, 0.004, 0.014, 0.019, 0.023, 0.026, 0.003, 0.003, 0.004, 0.003]</t>
  </si>
  <si>
    <t>1347.1844610568328</t>
  </si>
  <si>
    <t>[0.022, 0.02, -0.035, 0.031, 0.021]</t>
  </si>
  <si>
    <t>LINESTRING (11.489286297328302 64.04329604209688, 11.489945569654159 64.04392350888132, 11.491477130802803 64.04568707975608, 11.491773863359649 64.04604347011917, 11.49187555172912 64.0461494352833, 11.492300311355145 64.04664699739695)</t>
  </si>
  <si>
    <t>[625041, 625049, 625057, 373119, 373127]</t>
  </si>
  <si>
    <t>[621900, 621907, 362150, 362151, 362159]</t>
  </si>
  <si>
    <t>0.015097579515302125</t>
  </si>
  <si>
    <t>[621894, 621900, 621907, 362150, 362151]</t>
  </si>
  <si>
    <t>[0.022, 0.02, 0.035, 0.031, 0.021]</t>
  </si>
  <si>
    <t>402.1230859704338</t>
  </si>
  <si>
    <t>[0.022, -0.044, 0.014, 0.029]</t>
  </si>
  <si>
    <t>LINESTRING (11.489809375651802 64.04394181544295, 11.491343068795183 64.04570809877075, 11.49166345591375 64.0460708737355, 11.491753029171102 64.04616557642498, 11.492300311355145 64.04664699739695)</t>
  </si>
  <si>
    <t>[681801, 681816, 373167, 373175]</t>
  </si>
  <si>
    <t>[672852, 362193, 362194, 362159]</t>
  </si>
  <si>
    <t>0.014241506161119714</t>
  </si>
  <si>
    <t>[622414, 672852, 362193, 362194]</t>
  </si>
  <si>
    <t>[0.022, 0.044, 0.014, 0.029]</t>
  </si>
  <si>
    <t>326.06378545511166</t>
  </si>
  <si>
    <t>LINESTRING (11.07702882768332 60.83302227415299, 11.07707812095997 60.833064795650316, 11.07729227584873 60.833219556777316)</t>
  </si>
  <si>
    <t>[373142, 373150]</t>
  </si>
  <si>
    <t>[362174, 362181]</t>
  </si>
  <si>
    <t>[362173, 362174]</t>
  </si>
  <si>
    <t>26.257980822969724</t>
  </si>
  <si>
    <t>[-0.004, 0.013]</t>
  </si>
  <si>
    <t>LINESTRING (11.07702882768332 60.83302227415299, 11.076963462441919 60.83307924279934, 11.076863620701298 60.833115517274074)</t>
  </si>
  <si>
    <t>[374380, 374388]</t>
  </si>
  <si>
    <t>[363300, 363306]</t>
  </si>
  <si>
    <t>0.0041937632557688285</t>
  </si>
  <si>
    <t>[362173, 363300]</t>
  </si>
  <si>
    <t>14.047443311433405</t>
  </si>
  <si>
    <t>[-0.025, -0.022, -0.02]</t>
  </si>
  <si>
    <t>LINESTRING (11.07729227584873 60.833219556777316, 11.077345109888313 60.833242225622485, 11.078272417548494 60.83364093871532, 11.078458056184939 60.8337219621477)</t>
  </si>
  <si>
    <t>[374436, 374444, 374452]</t>
  </si>
  <si>
    <t>[363337, 363342, 362663]</t>
  </si>
  <si>
    <t>[362181, 363337, 363342]</t>
  </si>
  <si>
    <t>[0.025, 0.022, 0.02]</t>
  </si>
  <si>
    <t>84.5972048795929</t>
  </si>
  <si>
    <t>[-0.035, -0.025]</t>
  </si>
  <si>
    <t>LINESTRING (11.076863620701298 60.833115517274074, 11.076948917706785 60.83313625866688, 11.07729227584873 60.833219556777316)</t>
  </si>
  <si>
    <t>[375327, 375335]</t>
  </si>
  <si>
    <t>[364167, 362181]</t>
  </si>
  <si>
    <t>[363306, 364167]</t>
  </si>
  <si>
    <t>[0.035, 0.025]</t>
  </si>
  <si>
    <t>26.042146482236046</t>
  </si>
  <si>
    <t>[0.004, 0.003, -0.003, 0.003, 0.025]</t>
  </si>
  <si>
    <t>LINESTRING (11.095134722381156 60.81846736918729, 11.09026294801554 60.82371277321538, 11.089501349708991 60.825997382391186, 11.085410135245471 60.83095408663922, 11.08463885903856 60.83130743317035, 11.083821942418554 60.83162913234303)</t>
  </si>
  <si>
    <t>[373302, 374820, 374828, 374836, 374332]</t>
  </si>
  <si>
    <t>[362323, 363681, 363690, 363262, 362779]</t>
  </si>
  <si>
    <t>0.0019138331898866572</t>
  </si>
  <si>
    <t>[362201, 362323, 363681, 363690, 363262]</t>
  </si>
  <si>
    <t>[0.004, 0.003, 0.003, 0.003, 0.025]</t>
  </si>
  <si>
    <t>1626.3434059652673</t>
  </si>
  <si>
    <t>LINESTRING (11.102955249104104 60.81116954658514, 11.099267919554558 60.814308070816736, 11.095134722381156 60.81846736918729)</t>
  </si>
  <si>
    <t>[375085, 375093]</t>
  </si>
  <si>
    <t>[363938, 362201]</t>
  </si>
  <si>
    <t>0.0015609493070905735</t>
  </si>
  <si>
    <t>[362298, 363938]</t>
  </si>
  <si>
    <t>918.6033005209191</t>
  </si>
  <si>
    <t>[0.014, 0.014, 0.014, 0.015, 0.018, 0.015]</t>
  </si>
  <si>
    <t>LINESTRING (11.121254204275171 60.79627353337628, 11.120982807109074 60.79673445913055, 11.12053532307197 60.79726561858095, 11.1202462899363 60.797610794211664, 11.119645958333908 60.7983162304727, 11.118351802000735 60.80006066887728, 11.118288127288716 60.800214155854334)</t>
  </si>
  <si>
    <t>[373724, 374870, 374882, 374890, 2168676, 2168679]</t>
  </si>
  <si>
    <t>[362744, 363737, 363749, 363755, 1854870, 363114]</t>
  </si>
  <si>
    <t>0.015985240459416652</t>
  </si>
  <si>
    <t>[362208, 362744, 363737, 363749, 363755, 1854870]</t>
  </si>
  <si>
    <t>468.4904060781411</t>
  </si>
  <si>
    <t>[0.014, 0.014, 0.016, 0.007, 0.006, 0.008, 0.005, 0.008, 0.007, 0.006]</t>
  </si>
  <si>
    <t>LINESTRING (11.121254204275171 60.79627353337628, 11.120421652813185 60.79726556640524, 11.120135522267667 60.79760651107305, 11.11786566053511 60.7999554497438, 11.11774971745165 60.80005600649485, 11.117672853551174 60.80012069566044, 11.117397341291875 60.80034810615016, 11.117341075168135 60.80039492802106, 11.117259428732595 60.80046142015462, 11.117135288171424 60.80055976154963, 11.11172934633314 60.80451877476868)</t>
  </si>
  <si>
    <t>[374844, 373884, 374564, 374572, 374580, 374588, 374596, 374604, 374612, 374620]</t>
  </si>
  <si>
    <t>[362907, 362908, 363423, 363428, 363437, 363445, 363453, 363462, 363469, 362460]</t>
  </si>
  <si>
    <t>0.010039455088811378</t>
  </si>
  <si>
    <t>[362208, 362907, 362908, 363423, 363428, 363437, 363445, 363453, 363462, 363469]</t>
  </si>
  <si>
    <t>1058.8642892603445</t>
  </si>
  <si>
    <t>[0.0, 0.0, 0.002, 0.009]</t>
  </si>
  <si>
    <t>LINESTRING (11.124558120772933 60.791212439715586, 11.124392055720463 60.791454117700354, 11.12278413796476 60.794137588129935, 11.122433335592786 60.79471694227345, 11.121254204275171 60.79627353337628)</t>
  </si>
  <si>
    <t>[375527, 375343, 373294, 373182]</t>
  </si>
  <si>
    <t>[364181, 362314, 362207, 362208]</t>
  </si>
  <si>
    <t>0.003038685750897364</t>
  </si>
  <si>
    <t>[362669, 364181, 362314, 362207]</t>
  </si>
  <si>
    <t>592.4076415482575</t>
  </si>
  <si>
    <t>[0.004, 0.005, 0.007, -0.001]</t>
  </si>
  <si>
    <t>LINESTRING (11.11172934633314 60.80451877476868, 11.111311391404252 60.80482882511609, 11.110729581052896 60.80525781244251, 11.108262964262805 60.80710969126548, 11.102955249104104 60.81116954658514)</t>
  </si>
  <si>
    <t>[374532, 374348, 374852, 374340]</t>
  </si>
  <si>
    <t>[363276, 363277, 363270, 362298]</t>
  </si>
  <si>
    <t>0.0018587042353024933</t>
  </si>
  <si>
    <t>[362460, 363276, 363277, 363270]</t>
  </si>
  <si>
    <t>[0.004, 0.005, 0.007, 0.001]</t>
  </si>
  <si>
    <t>881.7875632367336</t>
  </si>
  <si>
    <t>LINESTRING (11.100172728026088 60.81476180666542, 11.100203515821102 60.814710025568985, 11.100272246841463 60.814665549869986)</t>
  </si>
  <si>
    <t>[373587, 373595]</t>
  </si>
  <si>
    <t>[362608, 362525]</t>
  </si>
  <si>
    <t>[362600, 362608]</t>
  </si>
  <si>
    <t>12.218906037817685</t>
  </si>
  <si>
    <t>LINESTRING (11.099827359918358 60.81460857069062, 11.100195441069229 60.81465244047491, 11.100272246841463 60.814665549869986)</t>
  </si>
  <si>
    <t>[375423, 375415]</t>
  </si>
  <si>
    <t>[364244, 362525]</t>
  </si>
  <si>
    <t>0.0011748645710005516</t>
  </si>
  <si>
    <t>[362703, 364244]</t>
  </si>
  <si>
    <t>25.325369696481232</t>
  </si>
  <si>
    <t>[-0.104, -0.094]</t>
  </si>
  <si>
    <t>LINESTRING (10.848753298094442 60.895521446951776, 10.848702661954158 60.895482302278545, 10.84846682537501 60.895331977046716)</t>
  </si>
  <si>
    <t>[373559, 373568]</t>
  </si>
  <si>
    <t>[362582, 362591]</t>
  </si>
  <si>
    <t>[362581, 362582]</t>
  </si>
  <si>
    <t>[0.104, 0.094]</t>
  </si>
  <si>
    <t>26.244108366322568</t>
  </si>
  <si>
    <t>[2.052, -2.487]</t>
  </si>
  <si>
    <t>LINESTRING (10.848753298094442 60.895521446951776, 10.848816680438544 60.89546550634013, 10.848903507678553 60.89542934985343)</t>
  </si>
  <si>
    <t>[1257035, 1257038]</t>
  </si>
  <si>
    <t>[1175082, 362612]</t>
  </si>
  <si>
    <t>[362581, 1175082]</t>
  </si>
  <si>
    <t>[2.052, 2.487]</t>
  </si>
  <si>
    <t>13.323468264353458</t>
  </si>
  <si>
    <t>[-0.076, -0.065, -0.052]</t>
  </si>
  <si>
    <t>LINESTRING (10.84846682537501 60.895331977046716, 10.84830967328832 60.89527326833201, 10.84753601191429 60.894959147853335, 10.8473097196811 60.89486881229031)</t>
  </si>
  <si>
    <t>[2167818, 2167823, 2167828]</t>
  </si>
  <si>
    <t>[1854486, 1854488, 362597]</t>
  </si>
  <si>
    <t>[362591, 1854486, 1854488]</t>
  </si>
  <si>
    <t>[0.076, 0.065, 0.052]</t>
  </si>
  <si>
    <t>81.32219414324992</t>
  </si>
  <si>
    <t>[-0.047, -0.069]</t>
  </si>
  <si>
    <t>LINESTRING (10.848903507678553 60.89542934985343, 10.848817349306033 60.89541500042645, 10.84846682537501 60.895331977046716)</t>
  </si>
  <si>
    <t>[373592, 373600]</t>
  </si>
  <si>
    <t>[362613, 362591]</t>
  </si>
  <si>
    <t>[362612, 362613]</t>
  </si>
  <si>
    <t>[0.047, 0.069]</t>
  </si>
  <si>
    <t>26.106615382049537</t>
  </si>
  <si>
    <t>[-0.035, -0.018]</t>
  </si>
  <si>
    <t>LINESTRING (10.8473097196811 60.89486881229031, 10.84696981329905 60.89478368549734, 10.846906308025625 60.89476544980426)</t>
  </si>
  <si>
    <t>[373576, 373584]</t>
  </si>
  <si>
    <t>[362598, 362606]</t>
  </si>
  <si>
    <t>[362597, 362598]</t>
  </si>
  <si>
    <t>[0.035, 0.018]</t>
  </si>
  <si>
    <t>24.754742103198414</t>
  </si>
  <si>
    <t>[-0.058, -0.045]</t>
  </si>
  <si>
    <t>LINESTRING (10.8473097196811 60.89486881229031, 10.847086089253606 60.89472119916558, 10.84703148341775 60.89468705568243)</t>
  </si>
  <si>
    <t>[373621, 373629]</t>
  </si>
  <si>
    <t>[362641, 362649]</t>
  </si>
  <si>
    <t>[362597, 362641]</t>
  </si>
  <si>
    <t>[0.058, 0.045]</t>
  </si>
  <si>
    <t>25.27180830055111</t>
  </si>
  <si>
    <t>LINESTRING (11.099827359918358 60.81460857069062, 11.10010897570917 60.81473370532954, 11.100172728026088 60.81476180666542)</t>
  </si>
  <si>
    <t>[374524, 374516]</t>
  </si>
  <si>
    <t>[363386, 362600]</t>
  </si>
  <si>
    <t>[362703, 363386]</t>
  </si>
  <si>
    <t>25.59764342642389</t>
  </si>
  <si>
    <t>[0.052, 0.058]</t>
  </si>
  <si>
    <t>LINESTRING (10.84703148341775 60.89468705568243, 10.846977618160496 60.8947336698073, 10.846906308025625 60.89476544980426)</t>
  </si>
  <si>
    <t>[2167868, 2167833]</t>
  </si>
  <si>
    <t>[1854493, 362606]</t>
  </si>
  <si>
    <t>0.05480883489856286</t>
  </si>
  <si>
    <t>[362649, 1854493]</t>
  </si>
  <si>
    <t>11.209628912258413</t>
  </si>
  <si>
    <t>[0.008, 0.006]</t>
  </si>
  <si>
    <t>LINESTRING (11.097733292538853 60.81420860831442, 11.097612853521026 60.81419563951295, 11.097503736180286 60.81416076089698)</t>
  </si>
  <si>
    <t>[374236, 374244]</t>
  </si>
  <si>
    <t>[363187, 362648]</t>
  </si>
  <si>
    <t>0.006972112628593198</t>
  </si>
  <si>
    <t>[362633, 363187]</t>
  </si>
  <si>
    <t>13.81136219857859</t>
  </si>
  <si>
    <t>[0.006, -0.032, -0.005, -0.005]</t>
  </si>
  <si>
    <t>LINESTRING (11.097228100846241 60.81486809556789, 11.097375068698494 60.814624442409745, 11.097421782601378 60.81454080033316, 11.097677994019719 60.8142651593147, 11.097733292538853 60.81420860831442)</t>
  </si>
  <si>
    <t>[1048900, 1048908, 373603, 373612]</t>
  </si>
  <si>
    <t>[998794, 362622, 362623, 362633]</t>
  </si>
  <si>
    <t>[362865, 998794, 362622, 362623]</t>
  </si>
  <si>
    <t>[0.006, 0.032, 0.005, 0.005]</t>
  </si>
  <si>
    <t>78.76791127153388</t>
  </si>
  <si>
    <t>7.801140942130692</t>
  </si>
  <si>
    <t>[0.006, -0.028, -0.003, -0.003]</t>
  </si>
  <si>
    <t>LINESTRING (11.097228100846241 60.81486809556789, 11.097300799470082 60.814584806361005, 11.097347296320528 60.81449132391455, 11.097473557363223 60.81423634433253, 11.097503736180286 60.81416076089698)</t>
  </si>
  <si>
    <t>[1048916, 1048924, 373620, 373628]</t>
  </si>
  <si>
    <t>[998807, 362639, 362640, 362648]</t>
  </si>
  <si>
    <t>[362865, 998807, 362639, 362640]</t>
  </si>
  <si>
    <t>[0.006, 0.028, 0.003, 0.003]</t>
  </si>
  <si>
    <t>80.75075924059807</t>
  </si>
  <si>
    <t>[-0.019, -0.016]</t>
  </si>
  <si>
    <t>LINESTRING (11.078458056184939 60.8337219621477, 11.07881257422073 60.83380594180289, 11.078912571804459 60.83382396515974)</t>
  </si>
  <si>
    <t>[373644, 373636]</t>
  </si>
  <si>
    <t>[362655, 362656]</t>
  </si>
  <si>
    <t>[362663, 362655]</t>
  </si>
  <si>
    <t>[0.019, 0.016]</t>
  </si>
  <si>
    <t>27.234933806812467</t>
  </si>
  <si>
    <t>[0.003, -0.006]</t>
  </si>
  <si>
    <t>LINESTRING (11.078728143087789 60.83393130135865, 11.078797100691498 60.83386454872688, 11.078912571804459 60.83382396515974)</t>
  </si>
  <si>
    <t>[374044, 374052]</t>
  </si>
  <si>
    <t>[363056, 362656]</t>
  </si>
  <si>
    <t>[362735, 363056]</t>
  </si>
  <si>
    <t>[0.003, 0.006]</t>
  </si>
  <si>
    <t>16.07170713827378</t>
  </si>
  <si>
    <t>[-0.017, -0.016]</t>
  </si>
  <si>
    <t>LINESTRING (11.078458056184939 60.8337219621477, 11.078680448014346 60.833881725773225, 11.078728143087789 60.83393130135865)</t>
  </si>
  <si>
    <t>[373852, 373716]</t>
  </si>
  <si>
    <t>[362734, 362735]</t>
  </si>
  <si>
    <t>[362663, 362734]</t>
  </si>
  <si>
    <t>27.629616581235705</t>
  </si>
  <si>
    <t>[-0.001, 0.002]</t>
  </si>
  <si>
    <t>LINESTRING (11.098572617118357 60.814283358140045, 11.099464823429773 60.81451317380696, 11.099827359918358 60.81460857069062)</t>
  </si>
  <si>
    <t>[373676, 373684]</t>
  </si>
  <si>
    <t>[362693, 362703]</t>
  </si>
  <si>
    <t>[362692, 362693]</t>
  </si>
  <si>
    <t>77.31817458475945</t>
  </si>
  <si>
    <t>LINESTRING (11.09802137942989 60.814057161429254, 11.098145600828385 60.81411156276562, 11.098572617118357 60.814283358140045)</t>
  </si>
  <si>
    <t>[373860, 374300]</t>
  </si>
  <si>
    <t>[362882, 362692]</t>
  </si>
  <si>
    <t>[362881, 362882]</t>
  </si>
  <si>
    <t>39.19448184753894</t>
  </si>
  <si>
    <t>[-0.008, -0.007]</t>
  </si>
  <si>
    <t>LINESTRING (11.097870635077864 60.81418860224344, 11.09804426990034 60.814204529299694, 11.098572617118357 60.814283358140045)</t>
  </si>
  <si>
    <t>[375173, 375181]</t>
  </si>
  <si>
    <t>[364018, 362692]</t>
  </si>
  <si>
    <t>[363174, 364018]</t>
  </si>
  <si>
    <t>39.68695408697756</t>
  </si>
  <si>
    <t>30.9610981719168</t>
  </si>
  <si>
    <t>[-0.289, -0.015, 0.022, -0.018, -0.022, 0.085, 0.057, -1.772]</t>
  </si>
  <si>
    <t>LINESTRING (7.827618939345505 58.11041720023238, 7.826840438874359 58.110132516425566, 7.822918214513689 58.10885542647614, 7.790139378954129 58.1055553019191, 7.757182732727592 58.101670229669395, 7.755824093763246 58.10133075913826, 7.755213136736801 58.10118903649346, 7.751698759118807 58.100500255443364, 7.751296914245287 58.100434466210565)</t>
  </si>
  <si>
    <t>[1260139, 374312, 374320, 374344, 374352, 374360, 374368, 1260288]</t>
  </si>
  <si>
    <t>[363245, 363246, 363250, 363272, 363279, 363287, 363292, 1177758]</t>
  </si>
  <si>
    <t>[362740, 363245, 363246, 363250, 363272, 363279, 363287, 363292]</t>
  </si>
  <si>
    <t>[0.289, 0.015, 0.022, 0.018, 0.022, 0.085, 0.057, 1.772]</t>
  </si>
  <si>
    <t>4689.511710825117</t>
  </si>
  <si>
    <t>[-0.068, -0.005, 0.061]</t>
  </si>
  <si>
    <t>LINESTRING (7.827618939345505 58.11041720023238, 7.833465234505259 58.11285660585629, 7.838307115944954 58.114954549015934, 7.841344382535785 58.11625076005693)</t>
  </si>
  <si>
    <t>[373728, 373736, 373744]</t>
  </si>
  <si>
    <t>[362749, 362759, 362768]</t>
  </si>
  <si>
    <t>[362741, 362749, 362759]</t>
  </si>
  <si>
    <t>[0.068, 0.005, 0.061]</t>
  </si>
  <si>
    <t>1039.6665517652732</t>
  </si>
  <si>
    <t>[0.019, -0.006]</t>
  </si>
  <si>
    <t>LINESTRING (7.827914441240196 58.11056631664045, 7.827914441240196 58.11056631664045, 7.827618939345505 58.11041720023238)</t>
  </si>
  <si>
    <t>[1259643, 374104]</t>
  </si>
  <si>
    <t>[363115, 362741]</t>
  </si>
  <si>
    <t>0.017465792183342172</t>
  </si>
  <si>
    <t>[1177298, 363115]</t>
  </si>
  <si>
    <t>[0.019, 0.006]</t>
  </si>
  <si>
    <t>392.9002571301494</t>
  </si>
  <si>
    <t>[0.009, 0.026]</t>
  </si>
  <si>
    <t>LINESTRING (7.841344382535785 58.11625076005693, 7.843448203861769 58.117018244033375, 7.844741776371103 58.11742596891251)</t>
  </si>
  <si>
    <t>[373752, 1260142]</t>
  </si>
  <si>
    <t>[362775, 363094]</t>
  </si>
  <si>
    <t>0.015302063310899276</t>
  </si>
  <si>
    <t>[362768, 362775]</t>
  </si>
  <si>
    <t>239.80977974155877</t>
  </si>
  <si>
    <t>[-0.077, 0.02, 0.087, -0.055, -0.024]</t>
  </si>
  <si>
    <t>LINESTRING (7.841344382535785 58.11625076005693, 7.841016020048708 58.11615687752284, 7.838308576506213 58.11507486790046, 7.83609712173261 58.11430842207049, 7.834237010098771 58.11364037989777, 7.834123300214714 58.11364432094249)</t>
  </si>
  <si>
    <t>[374072, 1259645, 1259647, 1259649, 1259650]</t>
  </si>
  <si>
    <t>[363083, 1177299, 1177300, 1177302, 1169989]</t>
  </si>
  <si>
    <t>0.015533551911394433</t>
  </si>
  <si>
    <t>[362768, 363083, 1177299, 1177300, 1177302]</t>
  </si>
  <si>
    <t>[0.077, 0.02, 0.087, 0.055, 0.024]</t>
  </si>
  <si>
    <t>524.1734728886712</t>
  </si>
  <si>
    <t>[0.018, 0.013]</t>
  </si>
  <si>
    <t>LINESTRING (11.083821942418554 60.83162913234303, 11.078128809455684 60.833514525228104, 11.071774271427566 60.83672145493287)</t>
  </si>
  <si>
    <t>[373756, 373764]</t>
  </si>
  <si>
    <t>[362780, 362785]</t>
  </si>
  <si>
    <t>0.015143741947539056</t>
  </si>
  <si>
    <t>[362779, 362780]</t>
  </si>
  <si>
    <t>873.0775362645586</t>
  </si>
  <si>
    <t>17.89988175828587</t>
  </si>
  <si>
    <t>[-0.117, -0.12, -0.11]</t>
  </si>
  <si>
    <t>LINESTRING (7.903643974844455 58.14213259807216, 7.9036699605210385 58.14210151533607, 7.903722370656304 58.14203459767299, 7.903759505193356 58.14195125197455)</t>
  </si>
  <si>
    <t>[373768, 373776, 373784]</t>
  </si>
  <si>
    <t>[362790, 362797, 362805]</t>
  </si>
  <si>
    <t>[362789, 362790, 362797]</t>
  </si>
  <si>
    <t>[0.117, 0.12, 0.11]</t>
  </si>
  <si>
    <t>21.42683271254931</t>
  </si>
  <si>
    <t>[0.653, 0.014, -0.11, -0.114, -0.152, -0.109, -0.139, -0.737]</t>
  </si>
  <si>
    <t>LINESTRING (7.90411280128121 58.14226065497393, 7.904036238773912 58.14245348122176, 7.903550346487142 58.1424883202062, 7.903458699312846 58.142442908997864, 7.9034012434083545 58.14238760299914, 7.903381658371103 58.14230485305086, 7.903401956561308 58.142255336857325, 7.903444189142199 58.14221119299912, 7.903643974844455 58.14213259807216)</t>
  </si>
  <si>
    <t>[1260184, 1260203, 1260226, 1260230, 1260143, 1260144, 1260145, 1260146]</t>
  </si>
  <si>
    <t>[1177695, 363075, 1177716, 363042, 1177673, 1177674, 1177675, 362789]</t>
  </si>
  <si>
    <t>[362852, 1177695, 363075, 1177716, 363042, 1177673, 1177674, 1177675]</t>
  </si>
  <si>
    <t>[0.653, 0.014, 0.11, 0.114, 0.152, 0.109, 0.139, 0.737]</t>
  </si>
  <si>
    <t>103.96320582612618</t>
  </si>
  <si>
    <t>[0.0, -0.077, -0.08, -0.091, -0.027, 0.033, 0.051, 0.048, 0.041, 0.044, -0.039, -0.206, -0.206]</t>
  </si>
  <si>
    <t>24687.0</t>
  </si>
  <si>
    <t>LINESTRING (7.9037653538074935 58.14165342191416, 7.9037653538074935 58.14165342191416, 7.901482320058847 58.140150769610045, 7.901386184383633 58.14009546196964, 7.9012694435099435 58.140028997582, 7.899923181660032 58.13937083389521, 7.899055087493369 58.13894048462863, 7.898780572875733 58.138769113821866, 7.895512417169364 58.13725456126226, 7.890819604140353 58.13492736931586, 7.884122326014098 58.13153610265543, 7.8710853121032 58.12663201684222, 7.869878200332222 58.12627009091306, 7.869506988136939 58.126161442111126)</t>
  </si>
  <si>
    <t>[373800, 373808, 373816, 373824, 374200, 374208, 374216, 1259720, 1259729, 1259730, 1259731, 1259733, 374112]</t>
  </si>
  <si>
    <t>[362819, 362829, 362837, 362845, 363164, 363167, 363171, 1177357, 1177364, 1177365, 1177366, 363119, 362962]</t>
  </si>
  <si>
    <t>[362820, 362819, 362829, 362837, 362845, 363164, 363167, 363171, 1177357, 1177364, 1177365, 1177366, 363119]</t>
  </si>
  <si>
    <t>[0.0, 0.077, 0.08, 0.091, 0.027, 0.033, 0.051, 0.048, 0.041, 0.044, 0.039, 0.206, 0.206]</t>
  </si>
  <si>
    <t>2710.2852460769823</t>
  </si>
  <si>
    <t>[-0.108, -0.111]</t>
  </si>
  <si>
    <t>LINESTRING (7.90411280128121 58.14226065497393, 7.9041437021126 58.14222885557242, 7.904349218235175 58.14205765942084)</t>
  </si>
  <si>
    <t>[373832, 373840]</t>
  </si>
  <si>
    <t>[362853, 362860]</t>
  </si>
  <si>
    <t>[362852, 362853]</t>
  </si>
  <si>
    <t>[0.108, 0.111]</t>
  </si>
  <si>
    <t>26.613648366030887</t>
  </si>
  <si>
    <t>[1.457, -1.268]</t>
  </si>
  <si>
    <t>LINESTRING (7.903939479071369 58.14214894073562, 7.904042020323345 58.142194419952624, 7.90411280128121 58.14226065497393)</t>
  </si>
  <si>
    <t>[1260169, 1260177]</t>
  </si>
  <si>
    <t>[1177689, 362852]</t>
  </si>
  <si>
    <t>0.04525731844743143</t>
  </si>
  <si>
    <t>[362920, 1177689]</t>
  </si>
  <si>
    <t>[1.457, 1.268]</t>
  </si>
  <si>
    <t>16.384643465475442</t>
  </si>
  <si>
    <t>[0.712, -0.21]</t>
  </si>
  <si>
    <t>LINESTRING (7.904349218235175 58.14205765942084, 7.9045381827734245 58.14197350120584, 7.905509039458695 58.14154091310512)</t>
  </si>
  <si>
    <t>[1260241, 1260242]</t>
  </si>
  <si>
    <t>[1177728, 362870]</t>
  </si>
  <si>
    <t>[362860, 1177728]</t>
  </si>
  <si>
    <t>[0.712, 0.21]</t>
  </si>
  <si>
    <t>89.48117708187193</t>
  </si>
  <si>
    <t>[-0.074, -0.085]</t>
  </si>
  <si>
    <t>LINESTRING (7.903939479071369 58.14214894073562, 7.904002750983347 58.14213850881772, 7.904349218235175 58.14205765942084)</t>
  </si>
  <si>
    <t>[373896, 373904]</t>
  </si>
  <si>
    <t>[362921, 362860]</t>
  </si>
  <si>
    <t>[362920, 362921]</t>
  </si>
  <si>
    <t>[0.074, 0.085]</t>
  </si>
  <si>
    <t>26.253972022358383</t>
  </si>
  <si>
    <t>[-0.072, -0.066, -0.062]</t>
  </si>
  <si>
    <t>LINESTRING (7.905509039458695 58.14154091310512, 7.905578286142992 58.14148097448503, 7.905721108326279 58.14138206823208, 7.905763052996344 58.14134872282453)</t>
  </si>
  <si>
    <t>[373848, 373856, 373864]</t>
  </si>
  <si>
    <t>[362871, 362877, 362886]</t>
  </si>
  <si>
    <t>[362870, 362871, 362877]</t>
  </si>
  <si>
    <t>[0.072, 0.066, 0.062]</t>
  </si>
  <si>
    <t>26.190036914073996</t>
  </si>
  <si>
    <t>[-0.007, -0.028, -0.029]</t>
  </si>
  <si>
    <t>LINESTRING (7.905509039458695 58.14154091310512, 7.9056366025879665 58.141517491087086, 7.905847238820773 58.14145959774314, 7.905919003691172 58.14144333081929)</t>
  </si>
  <si>
    <t>[373872, 373880, 373888]</t>
  </si>
  <si>
    <t>[362895, 362904, 362913]</t>
  </si>
  <si>
    <t>[362870, 362895, 362904]</t>
  </si>
  <si>
    <t>[0.007, 0.028, 0.029]</t>
  </si>
  <si>
    <t>26.580286438805867</t>
  </si>
  <si>
    <t>[0.004, 0.007]</t>
  </si>
  <si>
    <t>LINESTRING (11.09802137942989 60.814057161429254, 11.097984609882358 60.81413231954585, 11.097870635077864 60.81418860224344)</t>
  </si>
  <si>
    <t>[374212, 374220]</t>
  </si>
  <si>
    <t>[363170, 363174]</t>
  </si>
  <si>
    <t>0.005518106990012818</t>
  </si>
  <si>
    <t>[362881, 363170]</t>
  </si>
  <si>
    <t>17.433734869923896</t>
  </si>
  <si>
    <t>0.098</t>
  </si>
  <si>
    <t>18.283695587190582</t>
  </si>
  <si>
    <t>[0.487, -0.66]</t>
  </si>
  <si>
    <t>LINESTRING (7.905919003691172 58.14144333081929, 7.905821468938056 58.14140435172101, 7.905763052996344 58.14134872282453)</t>
  </si>
  <si>
    <t>[1260137, 1260138]</t>
  </si>
  <si>
    <t>[1177672, 362886]</t>
  </si>
  <si>
    <t>[362913, 1177672]</t>
  </si>
  <si>
    <t>[0.487, 0.66]</t>
  </si>
  <si>
    <t>14.312709642171171</t>
  </si>
  <si>
    <t>0.164</t>
  </si>
  <si>
    <t>16.476495886479988</t>
  </si>
  <si>
    <t>[0.0, 0.027, 0.173]</t>
  </si>
  <si>
    <t>LINESTRING (7.865730260766212 58.12498923864904, 7.865730260766212 58.12498923864904, 7.86807795940767 58.12574844973033, 7.869506988136939 58.126161442111126)</t>
  </si>
  <si>
    <t>[373920, 373928, 373936]</t>
  </si>
  <si>
    <t>[362946, 362954, 362962]</t>
  </si>
  <si>
    <t>0.03403150275622559</t>
  </si>
  <si>
    <t>[362945, 362946, 362954]</t>
  </si>
  <si>
    <t>617.5143197769436</t>
  </si>
  <si>
    <t>[0.653, 0.043, -0.021, -0.034, 0.006]</t>
  </si>
  <si>
    <t>LINESTRING (7.865730260766212 58.12498923864904, 7.860656683320607 58.12284092360964, 7.858819680745663 58.12198593173167, 7.848669932747618 58.11844650332661, 7.845113305419462 58.117534804169175, 7.844741776371103 58.11742596891251)</t>
  </si>
  <si>
    <t>[374120, 1259849, 1259850, 1259857, 374080]</t>
  </si>
  <si>
    <t>[363123, 1177454, 1177455, 363093, 363094]</t>
  </si>
  <si>
    <t>[362945, 363123, 1177454, 1177455, 363093]</t>
  </si>
  <si>
    <t>[0.653, 0.043, 0.021, 0.034, 0.006]</t>
  </si>
  <si>
    <t>1147.591820320951</t>
  </si>
  <si>
    <t>[0.008, -0.045, 0.028, -0.056, -0.057, -0.059, 0.048, 0.017, -0.024, 0.024]</t>
  </si>
  <si>
    <t>[0, 1, 0, 0, 0, 1, 0, 0, 0, 0]</t>
  </si>
  <si>
    <t>LINESTRING (7.715583197917009 58.10031963040168, 7.7426450430813025 58.09948279591287, 7.743346846770764 58.099506108804974, 7.751387141871691 58.10027340657366, 7.751794042719927 58.100337771950564, 7.755209355490462 58.10098375300811, 7.755928850474568 58.10114510765007, 7.7573529189380315 58.101491830090836, 7.790127887271751 58.10534003367038, 7.822994941415251 58.108650929047876, 7.826998740102234 58.11001140736046)</t>
  </si>
  <si>
    <t>[373968, 373976, 373984, 1260345, 374280, 374288, 374296, 374304, 374264, 374272]</t>
  </si>
  <si>
    <t>[0, 0, 0, 0, 0, 0, 0, 1, 1, 0]</t>
  </si>
  <si>
    <t>[362991, 362998, 363006, 363218, 363219, 363226, 363233, 363204, 363205, 363213]</t>
  </si>
  <si>
    <t>0.0007661049570826542</t>
  </si>
  <si>
    <t>[362990, 362991, 362998, 363006, 363218, 363219, 363226, 363233, 363204, 363205]</t>
  </si>
  <si>
    <t>[0.008, 0.045, 0.028, 0.056, 0.057, 0.059, 0.048, 0.017, 0.024, 0.024]</t>
  </si>
  <si>
    <t>6812.133397366638</t>
  </si>
  <si>
    <t>[0.063, -0.107, -0.039]</t>
  </si>
  <si>
    <t>LINESTRING (7.705457207111415 58.09743019676186, 7.706891051034934 58.09786091527104, 7.707655289561815 58.09810752014042, 7.715583197917009 58.10031963040168)</t>
  </si>
  <si>
    <t>[1260037, 1260044, 1260049]</t>
  </si>
  <si>
    <t>[1177586, 1177592, 362990]</t>
  </si>
  <si>
    <t>[363147, 1177586, 1177592]</t>
  </si>
  <si>
    <t>[0.063, 0.107, 0.039]</t>
  </si>
  <si>
    <t>682.3147086301848</t>
  </si>
  <si>
    <t>[-0.037, 0.13]</t>
  </si>
  <si>
    <t>LINESTRING (7.715212576224231 58.10022721293639, 7.715212576224231 58.10022721293639, 7.715583197917009 58.10031963040168)</t>
  </si>
  <si>
    <t>[1259953, 374136]</t>
  </si>
  <si>
    <t>[363132, 362990]</t>
  </si>
  <si>
    <t>[1177518, 363132]</t>
  </si>
  <si>
    <t>[0.037, 0.13]</t>
  </si>
  <si>
    <t>381.72471417654884</t>
  </si>
  <si>
    <t>[0.016, -0.009, 0.038, 0.018, -0.041, -0.01, 0.038, 0.04, -0.154, 0.201, 0.189, 0.042, -0.046, -0.04, -0.05, -0.025, -0.031, 0.003, 0.237, 0.084, 0.081, 0.029, -0.048, -0.052]</t>
  </si>
  <si>
    <t>20704.0</t>
  </si>
  <si>
    <t>[0, 0, 0, 0, 0, 0, 0, 1, 0, 0, 0, 0, 0, 0, 0, 0, 0, 1, 1, 0, 0, 0, 0, 0]</t>
  </si>
  <si>
    <t>LINESTRING (7.843572036854691 58.116913376984385, 7.8448622602493225 58.117312349250064, 7.845232481385489 58.117419217642976, 7.849023578066175 58.118342239080214, 7.8590867898280745 58.12183170254417, 7.860815861929932 58.12275073818193, 7.861118571397759 58.122906663683764, 7.8658289858924455 58.12491078926425, 7.868164673760267 58.12566616890188, 7.869600711097006 58.12606630523227, 7.869981446631623 58.126164853700466, 7.8712401970362995 58.12647830647185, 7.884380201903007 58.13136057391063, 7.891070835723578 58.134790930877436, 7.8957599387413016 58.1371119574261, 7.899439436706929 58.13889592722702, 7.899791736475478 58.13902009584873, 7.90031209423539 58.139244693742356, 7.901700237505678 58.13987581441241, 7.901841021360634 58.13993028439324, 7.901962660143598 58.13997737452388, 7.904269949183098 58.14085922982553, 7.905615043039412 58.14120075297353, 7.905753746106124 58.141200034605625, 7.905841530303767 58.14119655991317)</t>
  </si>
  <si>
    <t>[1260244, 374224, 1259865, 1259867, 1259888, 374152, 1260348, 1260349, 1260350, 374088, 1259740, 1259741, 1259748, 1259749, 1259757, 374400, 374408, 374416, 1260052, 1260058, 1260062, 1260070, 1260088, 1260089]</t>
  </si>
  <si>
    <t>[363177, 363178, 1177465, 1177467, 363143, 363144, 1177802, 1177803, 363102, 363103, 1177373, 1177374, 1177379, 1177380, 363314, 363315, 363320, 363325, 1177595, 1177601, 1177604, 1177612, 1177634, 1177635]</t>
  </si>
  <si>
    <t>0.009797029500674912</t>
  </si>
  <si>
    <t>[363111, 363177, 363178, 1177465, 1177467, 363143, 363144, 1177802, 1177803, 363102, 363103, 1177373, 1177374, 1177379, 1177380, 363314, 363315, 363320, 363325, 1177595, 1177601, 1177604, 1177612, 1177634]</t>
  </si>
  <si>
    <t>[0.016, 0.009, 0.038, 0.018, 0.041, 0.01, 0.038, 0.04, 0.154, 0.201, 0.189, 0.042, 0.046, 0.04, 0.05, 0.025, 0.031, 0.003, 0.237, 0.084, 0.081, 0.029, 0.048, 0.052]</t>
  </si>
  <si>
    <t>4603.555067119608</t>
  </si>
  <si>
    <t>[-0.058, -0.054, 0.066, -0.009]</t>
  </si>
  <si>
    <t>LINESTRING (7.826998740102234 58.11001140736046, 7.827343364974326 58.11014239265066, 7.83343819286608 58.11272303357356, 7.838098333416851 58.11474239647817, 7.843572036854691 58.116913376984385)</t>
  </si>
  <si>
    <t>[1260353, 1260245, 1260246, 1260249]</t>
  </si>
  <si>
    <t>[1177729, 1177730, 1177731, 363111]</t>
  </si>
  <si>
    <t>[363213, 1177729, 1177730, 1177731]</t>
  </si>
  <si>
    <t>[0.058, 0.054, 0.066, 0.009]</t>
  </si>
  <si>
    <t>1245.9822237159988</t>
  </si>
  <si>
    <t>[0.0, 0.012, -0.015, 0.021]</t>
  </si>
  <si>
    <t>LINESTRING (7.835354029475473 58.113295181804375, 7.835354029475473 58.113295181804375, 7.837996049784954 58.114562936188875, 7.843180668999656 58.116745823236315, 7.843572036854691 58.116913376984385)</t>
  </si>
  <si>
    <t>[1259680, 1259681, 1259698, 374096]</t>
  </si>
  <si>
    <t>[1177323, 1177325, 363110, 363111]</t>
  </si>
  <si>
    <t>[1177324, 1177323, 1177325, 363110]</t>
  </si>
  <si>
    <t>[0.0, 0.012, 0.015, 0.021]</t>
  </si>
  <si>
    <t>698.0517121234706</t>
  </si>
  <si>
    <t>[-0.133, 0.038, 0.093, 0.102]</t>
  </si>
  <si>
    <t>LINESTRING (7.715323044181718 58.10037688767434, 7.714797415418576 58.10032216666922, 7.707584566308192 58.099588931591434, 7.707450155715069 58.09956605615521, 7.707382760781508 58.099560106245654)</t>
  </si>
  <si>
    <t>[374128, 1259827, 1259834, 1259848]</t>
  </si>
  <si>
    <t>[363128, 1177436, 1177443, 366815]</t>
  </si>
  <si>
    <t>0.028429081103526908</t>
  </si>
  <si>
    <t>[363127, 363128, 1177436, 1177443]</t>
  </si>
  <si>
    <t>[0.133, 0.038, 0.093, 0.102]</t>
  </si>
  <si>
    <t>490.50291344934584</t>
  </si>
  <si>
    <t>[1.411, -0.022, -0.011, -0.007]</t>
  </si>
  <si>
    <t>LINESTRING (7.715323044181718 58.10037688767434, 7.715534005145577 58.1004101021244, 7.7426677244477355 58.09961101221233, 7.743367997910049 58.099637662649755, 7.751296914245287 58.100434466210565)</t>
  </si>
  <si>
    <t>[1260285, 1260293, 1260312, 1260317]</t>
  </si>
  <si>
    <t>[1177755, 1177762, 1177776, 1177758]</t>
  </si>
  <si>
    <t>[363127, 1177755, 1177762, 1177776]</t>
  </si>
  <si>
    <t>[1.411, 0.022, 0.011, 0.007]</t>
  </si>
  <si>
    <t>2149.602988789139</t>
  </si>
  <si>
    <t>[-0.022, -0.056, -0.045]</t>
  </si>
  <si>
    <t>LINESTRING (7.7033924443819375 58.09706997042769, 7.706846562724973 58.097994743644215, 7.707607466534752 58.09823106077675, 7.715323044181718 58.10037688767434)</t>
  </si>
  <si>
    <t>[1260275, 1260283, 1260284]</t>
  </si>
  <si>
    <t>[1177750, 1177754, 363127]</t>
  </si>
  <si>
    <t>[363265, 1177750, 1177754]</t>
  </si>
  <si>
    <t>[0.022, 0.056, 0.045]</t>
  </si>
  <si>
    <t>768.8548251401224</t>
  </si>
  <si>
    <t>[-0.121, 0.113, -0.108, -0.001, 0.11, 0.103]</t>
  </si>
  <si>
    <t>LINESTRING (7.705457207111415 58.09743019676186, 7.7057859970691105 58.09748976929729, 7.706929749192751 58.097821675270914, 7.707704017725434 58.09807084001363, 7.708822800450891 58.097031648459456, 7.70870919172653 58.09699455584097, 7.708649737707349 58.09697896705637)</t>
  </si>
  <si>
    <t>[374160, 1259967, 1259968, 1259969, 1259977, 1259986]</t>
  </si>
  <si>
    <t>[363148, 1177531, 1177532, 1177533, 1177538, 366750]</t>
  </si>
  <si>
    <t>0.002976666773102814</t>
  </si>
  <si>
    <t>[363147, 363148, 1177531, 1177532, 1177533, 1177538]</t>
  </si>
  <si>
    <t>[0.121, 0.113, 0.108, 0.001, 0.11, 0.103]</t>
  </si>
  <si>
    <t>474.3045876885466</t>
  </si>
  <si>
    <t>[0.016, 0.09, -0.002, -0.008, -0.058, -0.03, -0.068, 0.004, 0.112, 0.021, 0.158, 0.02, -0.064, -0.028, -0.086]</t>
  </si>
  <si>
    <t>[0, 0, 0, 0, 0, 1, 0, 1, 0, 0, 0, 0, 0, 0, 0]</t>
  </si>
  <si>
    <t>LINESTRING (7.633748252530983 58.09539620027374, 7.635493517186144 58.09533320238902, 7.645272352480879 58.09414932404204, 7.64593986000697 58.09405156608079, 7.646156817966536 58.094019168519665, 7.652848210067664 58.09285194285921, 7.652931844518893 58.09283524496298, 7.673615621411521 58.092875543368834, 7.682414679582611 58.094111359012395, 7.685554554903791 58.09449458680287, 7.68596360411232 58.094534504662874, 7.689605960765542 58.09485385971159, 7.699276856367971 58.09599792996386, 7.703532466361488 58.0969136965847, 7.703975615831876 58.09702655057392, 7.705457207111415 58.09743019676186)</t>
  </si>
  <si>
    <t>[1250227, 373944, 373952, 373960, 1260289, 1260290, 1260292, 1260004, 1260005, 374328, 1259889, 1259902, 1259907, 374144, 1260030]</t>
  </si>
  <si>
    <t>[362971, 362972, 362978, 362984, 1177759, 1177760, 1177559, 1177560, 363256, 363257, 1177478, 1177483, 363137, 363138, 363147]</t>
  </si>
  <si>
    <t>[1168672, 362971, 362972, 362978, 362984, 1177759, 1177760, 1177559, 1177560, 363256, 363257, 1177478, 1177483, 363137, 363138]</t>
  </si>
  <si>
    <t>[0.016, 0.09, 0.002, 0.008, 0.058, 0.03, 0.068, 0.004, 0.112, 0.021, 0.158, 0.02, 0.064, 0.028, 0.086]</t>
  </si>
  <si>
    <t>4389.618535951734</t>
  </si>
  <si>
    <t>[0.071, -0.024, -0.157, -0.026]</t>
  </si>
  <si>
    <t>10493.0</t>
  </si>
  <si>
    <t>LINESTRING (7.7033924443819375 58.09706997042769, 7.699153837569551 58.09619898906532, 7.689429800942049 58.09504733935153, 7.685927776477152 58.094669729428894, 7.68550883372247 58.09461914432308)</t>
  </si>
  <si>
    <t>[1259987, 1259988, 1260000, 374232]</t>
  </si>
  <si>
    <t>[1177545, 1177546, 363183, 363184]</t>
  </si>
  <si>
    <t>[363266, 1177545, 1177546, 363183]</t>
  </si>
  <si>
    <t>[0.071, 0.024, 0.157, 0.026]</t>
  </si>
  <si>
    <t>1094.6449179850997</t>
  </si>
  <si>
    <t>[0.019, 0.021, 0.093, 0.042, 0.033, -0.033, -0.015, -0.079, 0.025, 0.058]</t>
  </si>
  <si>
    <t>[0, 0, 0, 0, 0, 0, 1, 0, 1, 0]</t>
  </si>
  <si>
    <t>LINESTRING (7.633007975021045 58.09548822427448, 7.633750372196894 58.09549045854719, 7.635514830043406 58.09542679959781, 7.645319933487976 58.09424025085775, 7.64597742971873 58.094143985206514, 7.64600782333419 58.09413943806825, 7.652881354374621 58.09294608608596, 7.652964989036822 58.092929388172465, 7.673569944293603 58.09296665604576, 7.68236902291523 58.09420247531524, 7.68550883372247 58.09461914432308)</t>
  </si>
  <si>
    <t>[1249805, 1250209, 1260012, 1260013, 1260029, 1260252, 1260253, 1260267, 1260318, 1260334]</t>
  </si>
  <si>
    <t>[1169123, 1169469, 1177568, 1177569, 1177580, 1177733, 1177734, 1177746, 1177780, 363184]</t>
  </si>
  <si>
    <t>[1168662, 1169123, 1169469, 1177568, 1177569, 1177580, 1177733, 1177734, 1177746, 1177780]</t>
  </si>
  <si>
    <t>[0.019, 0.021, 0.093, 0.042, 0.033, 0.033, 0.015, 0.079, 0.025, 0.058]</t>
  </si>
  <si>
    <t>3203.347699185656</t>
  </si>
  <si>
    <t>[-0.08, -0.093, 0.144, 0.085]</t>
  </si>
  <si>
    <t>LINESTRING (7.826998740102234 58.11001140736046, 7.827366487250176 58.11011305503311, 7.833268830398996 58.112223565807, 7.833455143104223 58.1121966251402, 7.833544273405185 58.112178587336935)</t>
  </si>
  <si>
    <t>[1259699, 1259704, 1259711, 1259719]</t>
  </si>
  <si>
    <t>[1177341, 1177347, 1177353, 366613]</t>
  </si>
  <si>
    <t>[363213, 1177341, 1177347, 1177353]</t>
  </si>
  <si>
    <t>[0.08, 0.093, 0.144, 0.085]</t>
  </si>
  <si>
    <t>466.9269148485082</t>
  </si>
  <si>
    <t>29.013936306499446</t>
  </si>
  <si>
    <t>[0.0, 0.097, 0.014, 0.087]</t>
  </si>
  <si>
    <t>LINESTRING (7.707561877021028 58.09827152716731, 7.707561877021028 58.09827152716731, 7.706800083945701 58.0980370516433, 7.703690464009247 58.09717573433599, 7.7033924443819375 58.09706997042769)</t>
  </si>
  <si>
    <t>[1259807, 1259808, 1259823, 1259824]</t>
  </si>
  <si>
    <t>[1177422, 1177424, 1177433, 363266]</t>
  </si>
  <si>
    <t>0.020975221023270416</t>
  </si>
  <si>
    <t>[1177423, 1177422, 1177424, 1177433]</t>
  </si>
  <si>
    <t>467.1070788016923</t>
  </si>
  <si>
    <t>[-0.001, 0.0, 0.002, 0.0, -0.004]</t>
  </si>
  <si>
    <t>LINESTRING (5.703636062541703 58.92121904286989, 5.703675966757081 58.92126071350861, 5.70434985366719 58.92183847408015, 5.704391458963418 58.92186923364815, 5.705119262858789 58.9222631917237, 5.7052012408075505 58.92231140889577)</t>
  </si>
  <si>
    <t>[376430, 376438, 376446, 376454, 376462]</t>
  </si>
  <si>
    <t>[365413, 365425, 365435, 365446, 365457]</t>
  </si>
  <si>
    <t>[365412, 365413, 365425, 365435, 365446]</t>
  </si>
  <si>
    <t>[0.001, 0.0, 0.002, 0.0, 0.004]</t>
  </si>
  <si>
    <t>153.16842303624628</t>
  </si>
  <si>
    <t>[0.416, -0.01, -0.545]</t>
  </si>
  <si>
    <t>LINESTRING (5.703636062541703 58.92121904286989, 5.703519012430001 58.92126720910397, 5.703459985055016 58.92127371053574, 5.7033405174007505 58.92125692450602)</t>
  </si>
  <si>
    <t>[1261991, 1262004, 1262012]</t>
  </si>
  <si>
    <t>[1179173, 1179184, 796400]</t>
  </si>
  <si>
    <t>[365412, 1179173, 1179184]</t>
  </si>
  <si>
    <t>[0.416, 0.01, 0.545]</t>
  </si>
  <si>
    <t>19.28488590717999</t>
  </si>
  <si>
    <t>4.686899614602346</t>
  </si>
  <si>
    <t>3.506565271210324</t>
  </si>
  <si>
    <t>[1.597, 0.003, -1.993]</t>
  </si>
  <si>
    <t>LINESTRING (5.705066525021106 58.92235994984749, 5.705097532447711 58.922323953250796, 5.705141092579394 58.9223110160844, 5.7052012408075505 58.92231140889577)</t>
  </si>
  <si>
    <t>[1262092, 1262096, 1262115]</t>
  </si>
  <si>
    <t>[1179264, 1179268, 365457]</t>
  </si>
  <si>
    <t>0.010511931353046886</t>
  </si>
  <si>
    <t>[796432, 1179264, 1179268]</t>
  </si>
  <si>
    <t>[1.597, 0.003, 1.993]</t>
  </si>
  <si>
    <t>10.781693419650122</t>
  </si>
  <si>
    <t>[1.146, -1.988]</t>
  </si>
  <si>
    <t>LINESTRING (5.705250693647433 58.92232959728328, 5.705262021896592 58.92238567020625, 5.7052171618445975 58.922409140615)</t>
  </si>
  <si>
    <t>[1262047, 1262056]</t>
  </si>
  <si>
    <t>[1179223, 796518]</t>
  </si>
  <si>
    <t>[365513, 1179223]</t>
  </si>
  <si>
    <t>[1.146, 1.988]</t>
  </si>
  <si>
    <t>9.987047440576033</t>
  </si>
  <si>
    <t>26.66510828746245</t>
  </si>
  <si>
    <t>[0.034, 0.009, -0.055]</t>
  </si>
  <si>
    <t>LINESTRING (10.700228041381656 60.91939974108649, 10.70058564059131 60.91930651961398, 10.706035081828144 60.917895713139934, 10.706023940090349 60.91782216758202)</t>
  </si>
  <si>
    <t>[376528, 376942, 376950]</t>
  </si>
  <si>
    <t>[365526, 365932, 365871]</t>
  </si>
  <si>
    <t>0.009063648061939362</t>
  </si>
  <si>
    <t>[365525, 365526, 365932]</t>
  </si>
  <si>
    <t>[0.034, 0.009, 0.055]</t>
  </si>
  <si>
    <t>380.23492617637106</t>
  </si>
  <si>
    <t>[0.005, -0.004, -0.007, -0.01, -0.014, -0.025]</t>
  </si>
  <si>
    <t>LINESTRING (10.71474316610305 60.915459209993855, 10.708635122811415 60.917957797224744, 10.707850073605094 60.91813318453625, 10.706961880221938 60.91831339244236, 10.705849751496356 60.91851157181116, 10.704075551176869 60.918783857006346, 10.700228041381656 60.91939974108649)</t>
  </si>
  <si>
    <t>[377065, 376918, 376926, 376678, 376758, 376774]</t>
  </si>
  <si>
    <t>[365904, 365905, 365661, 365662, 365735, 365525]</t>
  </si>
  <si>
    <t>[365570, 365904, 365905, 365661, 365662, 365735]</t>
  </si>
  <si>
    <t>[0.005, 0.004, 0.007, 0.01, 0.014, 0.025]</t>
  </si>
  <si>
    <t>921.1690980078055</t>
  </si>
  <si>
    <t>[0.008, -0.007, -0.011, -0.004, 0.03]</t>
  </si>
  <si>
    <t>LINESTRING (10.708696316848636 60.9180252078284, 10.708255574768065 60.918175587867545, 10.706845570736599 60.91847079367827, 10.705736733489202 60.9186649233657, 10.704249572873294 60.91966480885791, 10.704372427082811 60.91968240178281)</t>
  </si>
  <si>
    <t>[376568, 376993, 377001, 377009, 377017]</t>
  </si>
  <si>
    <t>[365563, 365989, 365997, 366003, 365765]</t>
  </si>
  <si>
    <t>[365562, 365563, 365989, 365997, 366003]</t>
  </si>
  <si>
    <t>[0.008, 0.007, 0.011, 0.004, 0.03]</t>
  </si>
  <si>
    <t>376.50565344122185</t>
  </si>
  <si>
    <t>[0.035, -0.029, -0.023, -0.016, -0.025, -0.046]</t>
  </si>
  <si>
    <t>LINESTRING (10.708696316848636 60.9180252078284, 10.707837736135836 60.91821735416703, 10.70686226605328 60.91841008682542, 10.705761949817294 60.91860528006202, 10.704113436610898 60.918849976469986, 10.700254993153248 60.91943118292615, 10.699792355969489 60.91951042452344)</t>
  </si>
  <si>
    <t>[818966, 818974, 818990, 818934, 818950, 818958]</t>
  </si>
  <si>
    <t>[796902, 796911, 796864, 796865, 796882, 365756]</t>
  </si>
  <si>
    <t>[365562, 796902, 796911, 796864, 796865, 796882]</t>
  </si>
  <si>
    <t>[0.035, 0.029, 0.023, 0.016, 0.025, 0.046]</t>
  </si>
  <si>
    <t>511.45268030242494</t>
  </si>
  <si>
    <t>[0.0, 0.002, 0.043]</t>
  </si>
  <si>
    <t>LINESTRING (10.706725465073307 60.91768866627162, 10.706725465073307 60.91768866627162, 10.714393631522734 60.91560228452282, 10.71474316610305 60.915459209993855)</t>
  </si>
  <si>
    <t>[377025, 377033, 376576]</t>
  </si>
  <si>
    <t>[366018, 365569, 365570]</t>
  </si>
  <si>
    <t>0.003860611204715182</t>
  </si>
  <si>
    <t>[365830, 366018, 365569]</t>
  </si>
  <si>
    <t>539.2159698711888</t>
  </si>
  <si>
    <t>45.40022431634393</t>
  </si>
  <si>
    <t>[0.0, -0.027, -0.033]</t>
  </si>
  <si>
    <t>LINESTRING (10.7041228101694 60.91975426798983, 10.7041228101694 60.91975426798983, 10.70026699117474 60.91946284775783, 10.699792355969489 60.91951042452344)</t>
  </si>
  <si>
    <t>[376961, 376969, 376977]</t>
  </si>
  <si>
    <t>[365955, 365963, 365756]</t>
  </si>
  <si>
    <t>[365813, 365955, 365963]</t>
  </si>
  <si>
    <t>[0.0, 0.027, 0.033]</t>
  </si>
  <si>
    <t>265.44342920110535</t>
  </si>
  <si>
    <t>[-0.015, -0.006, -0.006, -0.006, 0.0]</t>
  </si>
  <si>
    <t>LINESTRING (18.356232818398563 68.87612208935664, 18.356098641932544 68.87654732555069, 18.35604531117764 68.87662084465566, 18.356019956299882 68.87665557585126, 18.355800295613857 68.87694909456583, 18.355535840355323 68.8771652826532)</t>
  </si>
  <si>
    <t>[376972, 376980, 376988, 376996, 377004]</t>
  </si>
  <si>
    <t>[365969, 365938, 365985, 365993, 366000]</t>
  </si>
  <si>
    <t>[365968, 365969, 365938, 365985, 365993]</t>
  </si>
  <si>
    <t>[0.015, 0.006, 0.006, 0.006, 0.0]</t>
  </si>
  <si>
    <t>120.95131422332648</t>
  </si>
  <si>
    <t>[-0.001, -0.009, -0.014, -0.009, -0.01, -0.023]</t>
  </si>
  <si>
    <t>LINESTRING (18.356232818398563 68.87612208935664, 18.355884207862072 68.87652380878933, 18.355830368512386 68.87660218693351, 18.355807115574986 68.87663600558409, 18.355607596866612 68.87692905479447, 18.355569225518078 68.87699140407967, 18.355535840355323 68.8771652826532)</t>
  </si>
  <si>
    <t>[377012, 377020, 377028, 377036, 377044, 377052]</t>
  </si>
  <si>
    <t>[366007, 365937, 366023, 366031, 366039, 366000]</t>
  </si>
  <si>
    <t>[365968, 366007, 365937, 366023, 366031, 366039]</t>
  </si>
  <si>
    <t>[0.001, 0.009, 0.014, 0.009, 0.01, 0.023]</t>
  </si>
  <si>
    <t>120.23594087438467</t>
  </si>
  <si>
    <t>[-0.019, -0.01, -0.018, -0.009, -0.004, -0.001, -0.004, -0.004, -0.002, 0.0, 0.0, 0.0, -0.002, 0.012, 0.013, -0.014, -0.025, -0.032, -0.03, 0.005, 0.017, 0.025, 0.015, 0.027, 0.029, 0.033, 0.008, 0.012, 0.005, -0.013, -0.019, -0.019, -0.024, -0.022]</t>
  </si>
  <si>
    <t>LINESTRING (18.348458552925457 68.8612839051235, 18.34840368215322 68.86137514254102, 18.348373013170328 68.86142405763842, 18.348331115470124 68.86149250033995, 18.34786848886689 68.86217464321574, 18.347737374944042 68.86236935567962, 18.347504305302557 68.86271091875109, 18.347401296109563 68.86286132817452, 18.34690411623284 68.86354207339875, 18.346671424513055 68.86382686655936, 18.346441503311315 68.86410006581127, 18.34633962153865 68.86422114232312, 18.346088109132175 68.86451864300433, 18.345741427325233 68.8649916120178, 18.345714063398095 68.86512505039343, 18.345821713635985 68.86539780135689, 18.346258010649212 68.86573498848661, 18.3465010873976 68.86585823733301, 18.346710215168528 68.86594882135103, 18.3469232655318 68.8660380168851, 18.34972128125343 68.86716124796739, 18.352356290328007 68.8682181300479, 18.352775549390287 68.8683852387862, 18.355243216513408 68.86940273523189, 18.355887602433167 68.86973841750874, 18.355942777293386 68.86977058081115, 18.356186198482924 68.86992794281079, 18.357382331979178 68.87168053567576, 18.357310933594004 68.87220591635828, 18.356719334881564 68.87448332135106, 18.356711967914826 68.8745146804983, 18.35663945901967 68.87480310560798, 18.356594495323012 68.87497442938201, 18.35635452180893 68.87582146914684, 18.356232818398563 68.87612208935664)</t>
  </si>
  <si>
    <t>[1129912, 1129920, 1129928, 1129936, 1129944, 1129952, 1129960, 1129968, 1129976, 1129984, 1129992, 1130000, 1056627, 1056635, 1056643, 1056651, 1056659, 1056667, 1056675, 1056683, 1056691, 1056699, 1056707, 1056715, 1056723, 1056731, 1056739, 1056747, 1056755, 1056763, 1056771, 1056779, 1056787, 1056795]</t>
  </si>
  <si>
    <t>[1067788, 1067798, 1067805, 1067813, 1067819, 1067828, 1067836, 1067843, 1041382, 918200, 1067860, 1004767, 1004768, 1004776, 1004781, 1004787, 1004793, 904176, 893003, 904149, 904203, 928682, 928697, 1004829, 1004835, 891087, 903576, 904086, 1004853, 1004859, 1004864, 1004873, 1004880, 365968]</t>
  </si>
  <si>
    <t>0.0027142921389074984</t>
  </si>
  <si>
    <t>[1067779, 1067788, 1067798, 1067805, 1067813, 1067819, 1067828, 1067836, 1067843, 1041382, 918200, 1067860, 1004767, 1004768, 1004776, 1004781, 1004787, 1004793, 904176, 893003, 904149, 904203, 928682, 928697, 1004829, 1004835, 891087, 903576, 904086, 1004853, 1004859, 1004864, 1004873, 1004880]</t>
  </si>
  <si>
    <t>[0.019, 0.01, 0.018, 0.009, 0.004, 0.001, 0.004, 0.004, 0.002, 0.0, 0.0, 0.0, 0.002, 0.012, 0.013, 0.014, 0.025, 0.032, 0.03, 0.005, 0.017, 0.025, 0.015, 0.027, 0.029, 0.033, 0.008, 0.012, 0.005, 0.013, 0.019, 0.019, 0.024, 0.022]</t>
  </si>
  <si>
    <t>1831.7665660023858</t>
  </si>
  <si>
    <t>[-0.009, 0.012, -0.023, -0.043, -0.044, -0.023, -0.033, -0.023, 0.024, 0.098, 0.075]</t>
  </si>
  <si>
    <t>[0, 0, 0, 0, 0, 0, 0, 0, 0, 1, 0]</t>
  </si>
  <si>
    <t>LINESTRING (18.355535840355323 68.8771652826532, 18.355410644416857 68.87733298028118, 18.355075343142698 68.87778985810273, 18.35441113113471 68.87890206369318, 18.35390839773808 68.88030464857545, 18.35291206356035 68.88152820472783, 18.351507231249467 68.88228157492449, 18.35140416585266 68.8823904282972, 18.352189693803155 68.88360333828571, 18.353851809104672 68.88500047568651, 18.354086959444956 68.88540810154495, 18.357409721165286 68.88742848556741)</t>
  </si>
  <si>
    <t>[1056803, 1056811, 1056819, 1056827, 1056835, 1056843, 1056851, 2084886, 2084887, 2084910, 2084911]</t>
  </si>
  <si>
    <t>[1004893, 1004902, 928926, 893290, 1004918, 1004925, 1004931, 1806528, 1806529, 1806541, 1806461]</t>
  </si>
  <si>
    <t>0.005803956643364417</t>
  </si>
  <si>
    <t>[366000, 1004893, 1004902, 928926, 893290, 1004918, 1004925, 1004931, 1806528, 1806529, 1806541]</t>
  </si>
  <si>
    <t>[0.009, 0.012, 0.023, 0.043, 0.044, 0.023, 0.033, 0.023, 0.024, 0.098, 0.075]</t>
  </si>
  <si>
    <t>1246.503241312195</t>
  </si>
  <si>
    <t>[0.0, 0.21]</t>
  </si>
  <si>
    <t>LINESTRING (5.726645990103853 58.94462762790107, 5.726645990103853 58.94462762790107, 5.726454207893929 58.94458703367787)</t>
  </si>
  <si>
    <t>[377289, 377291]</t>
  </si>
  <si>
    <t>[366318, 366321]</t>
  </si>
  <si>
    <t>0.1278133917363286</t>
  </si>
  <si>
    <t>[366303, 366318]</t>
  </si>
  <si>
    <t>19.662565882471092</t>
  </si>
  <si>
    <t>0.294</t>
  </si>
  <si>
    <t>9.708243919651009</t>
  </si>
  <si>
    <t>[0.007, 0.009, 0.009, 0.007, 0.009]</t>
  </si>
  <si>
    <t>LINESTRING (5.726454207893929 58.94458703367787, 5.725980947092599 58.94450013707291, 5.725631922285588 58.94443360669112, 5.7244602606087005 58.9442931381886, 5.724242730802668 58.94428798241664, 5.724033340798482 58.9442844088921)</t>
  </si>
  <si>
    <t>[377292, 377293, 377295, 377296, 377297]</t>
  </si>
  <si>
    <t>[366322, 366323, 366324, 366325, 366326]</t>
  </si>
  <si>
    <t>0.00842560340392442</t>
  </si>
  <si>
    <t>[366321, 366322, 366323, 366324, 366325]</t>
  </si>
  <si>
    <t>144.76606285281264</t>
  </si>
  <si>
    <t>[-0.018, -0.012, -0.006, -0.001, -0.002]</t>
  </si>
  <si>
    <t>LINESTRING (5.7256139626397795 58.941677011497454, 5.725773403685629 58.94211507204001, 5.72660020703251 58.9445063169334, 5.726591090862134 58.94453999745598, 5.72652753682439 58.94456160971099, 5.726454207893929 58.94458703367787)</t>
  </si>
  <si>
    <t>[378997, 804265, 378998, 378999, 379000]</t>
  </si>
  <si>
    <t>[367953, 367954, 367955, 367956, 366321]</t>
  </si>
  <si>
    <t>[367952, 367953, 367954, 367955, 367956]</t>
  </si>
  <si>
    <t>[0.018, 0.012, 0.006, 0.001, 0.002]</t>
  </si>
  <si>
    <t>338.40729496261343</t>
  </si>
  <si>
    <t>[0.05, -0.101, -0.001, -0.001, -0.002, 0.008, -0.006, -0.003, -0.001, 0.001, -0.003, -0.006, 0.006, -0.008, 0.014, 0.015, 0.018, 0.014, 0.016, 0.008, -0.002, -0.006, -0.009, -0.009, -0.011, -0.007, 0.009, 0.119, 0.003, 0.003]</t>
  </si>
  <si>
    <t>LINESTRING (10.749976359258001 59.90898603445817, 10.750099245694107 59.909009847358554, 10.750133282699698 59.909039899738644, 10.750522870777479 59.90942744228996, 10.750711310773482 59.909479608912704, 10.75094305022301 59.90942667546446, 10.752930111596209 59.90894536679139, 10.753167378393695 59.908887653522896, 10.753464199189349 59.908815046952924, 10.75374427678528 59.90874693488932, 10.755037932352252 59.90843277585995, 10.755307349399207 59.908367194094616, 10.755621102540903 59.90829090286647, 10.755960643049136 59.908211746910894, 10.758822806789736 59.90752054190697, 10.759028152189428 59.90746687008813, 10.759225287616076 59.907417339326, 10.759282575991152 59.90740248779591, 10.759338878578072 59.90738848566004, 10.759506588182955 59.90734983036118, 10.760105851040924 59.907201910878356, 10.760295225824901 59.907154385465105, 10.760472048597286 59.907111499762635, 10.760527157741127 59.90710024610435, 10.760597567113122 59.90708245381464, 10.76076653307407 59.90704276743699, 10.761139972803749 59.90695421530201, 10.761574293281894 59.90684353422815, 10.761789444016108 59.90678913103084, 10.761898044750408 59.906766516589876, 10.762045696468977 59.906730251435974)</t>
  </si>
  <si>
    <t>[2146046, 2146054, 755898, 755906, 755914, 755922, 755935, 755951, 755955, 755963, 755971, 755991, 756229, 756237, 756245, 756253, 756261, 756269, 756277, 756285, 756293, 756301, 756309, 756317, 756325, 756333, 756341, 756349, 377461, 377462]</t>
  </si>
  <si>
    <t>[1841917, 736501, 736502, 638903, 736512, 736519, 736530, 638970, 736544, 736550, 736554, 638927, 736759, 736764, 736772, 736216, 736784, 736202, 736796, 736803, 736809, 639205, 736820, 639228, 736828, 736833, 736841, 366502, 366499, 366503]</t>
  </si>
  <si>
    <t>0.002239422511288079</t>
  </si>
  <si>
    <t>[647963, 1841917, 736501, 736502, 638903, 736512, 736519, 736530, 638970, 736544, 736550, 736554, 638927, 736759, 736764, 736772, 736216, 736784, 736202, 736796, 736803, 736809, 639205, 736820, 639228, 736828, 736833, 736841, 366502, 366499]</t>
  </si>
  <si>
    <t>[0.05, 0.101, 0.001, 0.001, 0.002, 0.008, 0.006, 0.003, 0.001, 0.001, 0.003, 0.006, 0.006, 0.008, 0.014, 0.015, 0.018, 0.014, 0.016, 0.008, 0.002, 0.006, 0.009, 0.009, 0.011, 0.007, 0.009, 0.119, 0.003, 0.003]</t>
  </si>
  <si>
    <t>776.6616233678278</t>
  </si>
  <si>
    <t>[0.012, -0.029, -0.064]</t>
  </si>
  <si>
    <t>LINESTRING (7.708097629884563 58.09711001180007, 7.707799612309413 58.097339413333565, 7.707053043560309 58.09888435214935, 7.707084966470999 58.09907891600481)</t>
  </si>
  <si>
    <t>[377684, 377692, 377700]</t>
  </si>
  <si>
    <t>[366709, 366718, 366726]</t>
  </si>
  <si>
    <t>[366708, 366709, 366718]</t>
  </si>
  <si>
    <t>[0.012, 0.029, 0.064]</t>
  </si>
  <si>
    <t>233.34650454628814</t>
  </si>
  <si>
    <t>[-1.524, 0.382]</t>
  </si>
  <si>
    <t>LINESTRING (7.708480165042766 58.09698147378121, 7.708407941837666 58.09699742190481, 7.708097629884563 58.09711001180007)</t>
  </si>
  <si>
    <t>[1264044, 1264052]</t>
  </si>
  <si>
    <t>[1181148, 366708]</t>
  </si>
  <si>
    <t>0.05378949986483303</t>
  </si>
  <si>
    <t>[366751, 1181148]</t>
  </si>
  <si>
    <t>[1.524, 0.382]</t>
  </si>
  <si>
    <t>26.84896511394347</t>
  </si>
  <si>
    <t>[-1.848, 0.376]</t>
  </si>
  <si>
    <t>LINESTRING (7.708287791532453 58.09688765739256, 7.708263248424699 58.09692762172241, 7.708097629884563 58.09711001180007)</t>
  </si>
  <si>
    <t>[1264073, 1264074]</t>
  </si>
  <si>
    <t>[1181180, 366708]</t>
  </si>
  <si>
    <t>[366764, 1181180]</t>
  </si>
  <si>
    <t>[1.848, 0.376]</t>
  </si>
  <si>
    <t>27.271722302429364</t>
  </si>
  <si>
    <t>[0.506, -2.976]</t>
  </si>
  <si>
    <t>LINESTRING (7.707084966470999 58.09907891600481, 7.707050063176063 58.09927720784088, 7.707038550532723 58.09931422571418)</t>
  </si>
  <si>
    <t>[1263997, 1264013]</t>
  </si>
  <si>
    <t>[1181103, 366873]</t>
  </si>
  <si>
    <t>[366726, 1181103]</t>
  </si>
  <si>
    <t>[0.506, 2.976]</t>
  </si>
  <si>
    <t>26.40892407622975</t>
  </si>
  <si>
    <t>[0.48, -2.86]</t>
  </si>
  <si>
    <t>LINESTRING (7.707084966470999 58.09907891600481, 7.707246887132823 58.099255627267546, 7.707291786413872 58.099288227862246)</t>
  </si>
  <si>
    <t>[1264030, 1264031]</t>
  </si>
  <si>
    <t>[1181136, 366804]</t>
  </si>
  <si>
    <t>[366726, 1181136]</t>
  </si>
  <si>
    <t>[0.48, 2.86]</t>
  </si>
  <si>
    <t>26.418734315952165</t>
  </si>
  <si>
    <t>10.022699237270029</t>
  </si>
  <si>
    <t>18.205933477625504</t>
  </si>
  <si>
    <t>[0.107, 0.097]</t>
  </si>
  <si>
    <t>LINESTRING (7.708480165042766 58.09698147378121, 7.708360206883622 58.09694545794323, 7.708287791532453 58.09688765739256)</t>
  </si>
  <si>
    <t>[377740, 377748]</t>
  </si>
  <si>
    <t>[366757, 366764]</t>
  </si>
  <si>
    <t>0.1021283287419927</t>
  </si>
  <si>
    <t>[366751, 366757]</t>
  </si>
  <si>
    <t>15.887426776232282</t>
  </si>
  <si>
    <t>[0.06, 0.007, -0.034, -0.099]</t>
  </si>
  <si>
    <t>LINESTRING (7.708287791532453 58.09688765739256, 7.708275804796104 58.096801692009755, 7.708325615607929 58.096743872205316, 7.708414963296664 58.09670179384754, 7.708696257235835 58.09670075486588)</t>
  </si>
  <si>
    <t>[377759, 377767, 377768, 377776]</t>
  </si>
  <si>
    <t>[366772, 366779, 366780, 366788]</t>
  </si>
  <si>
    <t>[366764, 366772, 366779, 366780]</t>
  </si>
  <si>
    <t>[0.06, 0.007, 0.034, 0.099]</t>
  </si>
  <si>
    <t>40.95098237430665</t>
  </si>
  <si>
    <t>[-0.104, -0.084]</t>
  </si>
  <si>
    <t>LINESTRING (7.708696257235835 58.09670075486588, 7.7087945106837 58.096747961936146, 7.708843557950939 58.09681676791357)</t>
  </si>
  <si>
    <t>[377777, 377785]</t>
  </si>
  <si>
    <t>[366789, 366793]</t>
  </si>
  <si>
    <t>[366788, 366789]</t>
  </si>
  <si>
    <t>[0.104, 0.084]</t>
  </si>
  <si>
    <t>16.04534966879057</t>
  </si>
  <si>
    <t>[-0.427, 0.038, 2.066]</t>
  </si>
  <si>
    <t>LINESTRING (7.709165447601578 58.0966186648854, 7.708899019067654 58.09667314061661, 7.708770046302126 58.09669210815388, 7.708696257235835 58.09670075486588)</t>
  </si>
  <si>
    <t>[1264084, 1264091, 1264097]</t>
  </si>
  <si>
    <t>[1181190, 1181197, 366788]</t>
  </si>
  <si>
    <t>0.07932912041851801</t>
  </si>
  <si>
    <t>[367381, 1181190, 1181197]</t>
  </si>
  <si>
    <t>[0.427, 0.038, 2.066]</t>
  </si>
  <si>
    <t>29.248124865553606</t>
  </si>
  <si>
    <t>4.7169905662134015</t>
  </si>
  <si>
    <t>[-0.42, 0.042, 1.653]</t>
  </si>
  <si>
    <t>LINESTRING (7.709165447601578 58.0966186648854, 7.708962868172834 58.096725147695125, 7.708884590786309 58.0967818984593, 7.708843557950939 58.09681676791357)</t>
  </si>
  <si>
    <t>[1264136, 1264137, 1264144]</t>
  </si>
  <si>
    <t>[1181242, 1181243, 366793]</t>
  </si>
  <si>
    <t>0.028129706805077023</t>
  </si>
  <si>
    <t>[367381, 1181242, 1181243]</t>
  </si>
  <si>
    <t>[0.42, 0.042, 1.653]</t>
  </si>
  <si>
    <t>29.291440098653776</t>
  </si>
  <si>
    <t>[-0.09, -0.095, -0.08]</t>
  </si>
  <si>
    <t>LINESTRING (7.708841698411581 58.09685902848684, 7.708876087658811 58.09689472000329, 7.708971195726654 58.096964732643485, 7.710314201681824 58.09853226980479)</t>
  </si>
  <si>
    <t>[1259915, 1259929, 1259937]</t>
  </si>
  <si>
    <t>[1177490, 1177499, 1177506]</t>
  </si>
  <si>
    <t>[366797, 1177490, 1177499]</t>
  </si>
  <si>
    <t>[0.09, 0.095, 0.08]</t>
  </si>
  <si>
    <t>214.17181303104488</t>
  </si>
  <si>
    <t>0.083</t>
  </si>
  <si>
    <t>25.332861545130214</t>
  </si>
  <si>
    <t>[-0.064, -0.083]</t>
  </si>
  <si>
    <t>LINESTRING (7.707038550532723 58.09931422571418, 7.707156069361262 58.09928582970995, 7.707291786413872 58.099288227862246)</t>
  </si>
  <si>
    <t>[377892, 377915]</t>
  </si>
  <si>
    <t>[366887, 366804]</t>
  </si>
  <si>
    <t>[366873, 366887]</t>
  </si>
  <si>
    <t>[0.064, 0.083]</t>
  </si>
  <si>
    <t>15.654217919585928</t>
  </si>
  <si>
    <t>12.868318823266264</t>
  </si>
  <si>
    <t>[-0.098, -0.11, -0.064]</t>
  </si>
  <si>
    <t>LINESTRING (7.707498514060101 58.09946481178987, 7.7075436244994 58.09948228026599, 7.707655622549452 58.09951729789491, 7.709784164351779 58.0993702716892)</t>
  </si>
  <si>
    <t>[1259770, 1259778, 1259794]</t>
  </si>
  <si>
    <t>[1177393, 1177398, 1177408]</t>
  </si>
  <si>
    <t>[366805, 1177393, 1177398]</t>
  </si>
  <si>
    <t>[0.098, 0.11, 0.064]</t>
  </si>
  <si>
    <t>166.34375530272678</t>
  </si>
  <si>
    <t>[0.053, 0.09, 0.096, 0.102, 0.065, 0.046, -0.011]</t>
  </si>
  <si>
    <t>LINESTRING (7.707382760781508 58.099560106245654, 7.707274909441903 58.09958536268207, 7.707149200163387 58.09958480224095, 7.707041296624901 58.09955804248614, 7.706954063091884 58.09950191289913, 7.706925901051051 58.09943836406381, 7.706949403041016 58.09937445185901, 7.707038550532723 58.09931422571418)</t>
  </si>
  <si>
    <t>[377816, 377823, 377839, 377853, 377861, 377880, 377882]</t>
  </si>
  <si>
    <t>[366816, 366822, 366838, 366848, 366855, 366871, 366873]</t>
  </si>
  <si>
    <t>0.06183543358946548</t>
  </si>
  <si>
    <t>[366815, 366816, 366822, 366838, 366848, 366855, 366871]</t>
  </si>
  <si>
    <t>[0.053, 0.09, 0.096, 0.102, 0.065, 0.046, 0.011]</t>
  </si>
  <si>
    <t>52.632314336033474</t>
  </si>
  <si>
    <t>0.043</t>
  </si>
  <si>
    <t>43.009977824686615</t>
  </si>
  <si>
    <t>[0.0, 0.037, 0.453]</t>
  </si>
  <si>
    <t>LINESTRING (7.710003933377151 58.09618200093581, 7.710003933377151 58.09618200093581, 7.709915864939879 58.09624035266132, 7.7097141990916125 58.09636780235956)</t>
  </si>
  <si>
    <t>[1264075, 1264077, 1264078]</t>
  </si>
  <si>
    <t>[1181181, 1181182, 367380]</t>
  </si>
  <si>
    <t>0.28432273337243474</t>
  </si>
  <si>
    <t>[367224, 1181181, 1181182]</t>
  </si>
  <si>
    <t>30.864538231334016</t>
  </si>
  <si>
    <t>[0.0, 0.03, 0.488]</t>
  </si>
  <si>
    <t>LINESTRING (7.709819914898302 58.09615618484915, 7.709819914898302 58.09615618484915, 7.70979885650353 58.09622100404862, 7.7097141990916125 58.09636780235956)</t>
  </si>
  <si>
    <t>[1264105, 1264114, 1264122]</t>
  </si>
  <si>
    <t>[1181204, 1181215, 367380]</t>
  </si>
  <si>
    <t>0.3170192939615413</t>
  </si>
  <si>
    <t>[367242, 1181204, 1181215]</t>
  </si>
  <si>
    <t>27.059311881617553</t>
  </si>
  <si>
    <t>[-0.006, -0.03, -0.025, -0.02, -0.023, -0.02, 0.018]</t>
  </si>
  <si>
    <t>LINESTRING (5.6954287484608725 58.91302854344897, 5.698655032975415 58.917339435054984, 5.698667239797976 58.91734706221445, 5.698728305859256 58.91738520934536, 5.700147443773206 58.918180783893405, 5.701010079972144 58.91861120070144, 5.703205131061988 58.91964908687528, 5.70352752537634 58.919806109685695)</t>
  </si>
  <si>
    <t>[1117141, 1117147, 1117157, 1117166, 1117170, 1117175, 1117183]</t>
  </si>
  <si>
    <t>[1056169, 1056172, 1056174, 1056184, 1056185, 1056186, 367537]</t>
  </si>
  <si>
    <t>[367411, 1056169, 1056172, 1056174, 1056184, 1056185, 1056186]</t>
  </si>
  <si>
    <t>[0.006, 0.03, 0.025, 0.02, 0.023, 0.02, 0.018]</t>
  </si>
  <si>
    <t>920.2789111982433</t>
  </si>
  <si>
    <t>[-0.014, 0.0, -0.005, 0.001, -0.015, -0.009]</t>
  </si>
  <si>
    <t>LINESTRING (5.698414002314633 58.90923087843139, 5.698509509307885 58.90922840984544, 5.697626136172176 58.910050911722585, 5.695584361169236 58.9120266605238, 5.695573563290292 58.91208778947756, 5.695503305970819 58.91277306476077, 5.6954287484608725 58.91302854344897)</t>
  </si>
  <si>
    <t>[803753, 803758, 803759, 803765, 803766, 378488]</t>
  </si>
  <si>
    <t>[782203, 782208, 782209, 782216, 367410, 367411]</t>
  </si>
  <si>
    <t>[782195, 782203, 782208, 782209, 782216, 367410]</t>
  </si>
  <si>
    <t>[0.014, 0.0, 0.005, 0.001, 0.015, 0.009]</t>
  </si>
  <si>
    <t>523.1383344101656</t>
  </si>
  <si>
    <t>[0.034, -0.0, -0.007, -0.001, 0.002, 0.001, -0.015]</t>
  </si>
  <si>
    <t>LINESTRING (5.698652979838435 58.90766861798844, 5.697342042400969 58.90888553499447, 5.6972527135727535 58.908979507767356, 5.695502088820794 58.91197360645128, 5.69550029162662 58.91198396799742, 5.695491332689265 58.912035804802066, 5.695480284149913 58.91209927422658, 5.6954287484608725 58.91302854344897)</t>
  </si>
  <si>
    <t>[1117076, 1117084, 1117104, 1117112, 1117120, 1117128, 1117136]</t>
  </si>
  <si>
    <t>[1056146, 1056151, 1056158, 1056161, 1056164, 1056167, 367411]</t>
  </si>
  <si>
    <t>0.0020331075914748983</t>
  </si>
  <si>
    <t>[1056139, 1056146, 1056151, 1056158, 1056161, 1056164, 1056167]</t>
  </si>
  <si>
    <t>[0.034, 0.0, 0.007, 0.001, 0.002, 0.001, 0.015]</t>
  </si>
  <si>
    <t>636.6512562766025</t>
  </si>
  <si>
    <t>[0.009, 0.01, 0.009, 0.007, 0.011, -0.02, -0.044, -0.038, -0.041, -0.042]</t>
  </si>
  <si>
    <t>LINESTRING (5.695222415018482 58.91209357149136, 5.695195232564892 58.912026197601406, 5.695200358002035 58.91195661398456, 5.69521025539518 58.911806576668894, 5.6955536920395815 58.91083801830405, 5.696173694266705 58.90912559796205, 5.695129170360184 58.908216662145996, 5.695053240538182 58.90817007737598, 5.694983559388327 58.90812608790383, 5.6941053377688595 58.907421294749106, 5.6940516035607684 58.90730828075002)</t>
  </si>
  <si>
    <t>[378566, 378581, 378582, 803767, 1383335, 1383343, 1383351, 1383359, 1383367, 1383575]</t>
  </si>
  <si>
    <t>[367488, 367503, 367504, 782217, 1271533, 1271535, 1271539, 1271543, 1271550, 1271672]</t>
  </si>
  <si>
    <t>[367487, 367488, 367503, 367504, 782217, 1271533, 1271535, 1271539, 1271543, 1271550]</t>
  </si>
  <si>
    <t>[0.009, 0.01, 0.009, 0.007, 0.011, 0.02, 0.044, 0.038, 0.041, 0.042]</t>
  </si>
  <si>
    <t>578.4406594765936</t>
  </si>
  <si>
    <t>[0.011, -0.01, -0.004, -0.033, -0.027, -0.021, -0.035]</t>
  </si>
  <si>
    <t>LINESTRING (5.695222415018482 58.91209357149136, 5.695175695348472 58.913032561880016, 5.698481029304019 58.917438038979604, 5.698492140823175 58.917444872771625, 5.698503249943082 58.917451715425415, 5.698547676541645 58.91747905820113, 5.699968348801741 58.918274773196096, 5.7008396378831 58.91870562901309)</t>
  </si>
  <si>
    <t>[1018838, 1018846, 1018854, 1018862, 1018870, 1018878, 1018886]</t>
  </si>
  <si>
    <t>[974959, 974964, 974970, 974976, 974982, 974988, 367572]</t>
  </si>
  <si>
    <t>[367487, 974959, 974964, 974970, 974976, 974982, 974988]</t>
  </si>
  <si>
    <t>[0.011, 0.01, 0.004, 0.033, 0.027, 0.021, 0.035]</t>
  </si>
  <si>
    <t>839.3576846978546</t>
  </si>
  <si>
    <t>[0.002, 0.024, 0.033, 0.036, -0.002, -0.007, 0.001, 0.013, 0.004, -0.117]</t>
  </si>
  <si>
    <t>LINESTRING (5.699858095853455 58.906489886364675, 5.699325249818978 58.90689580898305, 5.698546907345969 58.907515552595065, 5.698463000920428 58.90758549236509, 5.697124470746213 58.90882478697284, 5.697033710094606 58.90892171924628, 5.695248519792853 58.91196036264476, 5.695246000919965 58.911971774328144, 5.695243501581889 58.91198317839242, 5.695233445598777 58.91202881750576, 5.695222415018482 58.91209357149136)</t>
  </si>
  <si>
    <t>[1018758, 1018766, 1018774, 1018782, 1018790, 1018798, 1018806, 1018814, 1018822, 1018830]</t>
  </si>
  <si>
    <t>[974903, 974908, 974914, 974920, 974925, 974931, 974936, 974941, 974947, 367487]</t>
  </si>
  <si>
    <t>0.006934535703901237</t>
  </si>
  <si>
    <t>[974896, 974903, 974908, 974914, 974920, 974925, 974931, 974936, 974941, 974947]</t>
  </si>
  <si>
    <t>[0.002, 0.024, 0.033, 0.036, 0.002, 0.007, 0.001, 0.013, 0.004, 0.117]</t>
  </si>
  <si>
    <t>688.8089789822546</t>
  </si>
  <si>
    <t>[-0.002, 0.002, -0.006, -0.013, -0.009, 0.051, 0.059, 0.059, 0.047, 0.046, -1.624]</t>
  </si>
  <si>
    <t>[0, 0, 0, 0, 1, 1, 1, 0, 0, 0, 0]</t>
  </si>
  <si>
    <t>LINESTRING (5.70352752537634 58.919806109685695, 5.704319477050102 58.92022218492492, 5.705278503980935 58.92082534761594, 5.706684398554967 58.9221107521967, 5.7067179872209755 58.92215652758336, 5.706926612526479 58.92244428213093, 5.707385433885702 58.923314016565804, 5.707403318194707 58.9233587439764, 5.707837154597633 58.925317256454925, 5.707929178495409 58.92596150521637, 5.708053950130304 58.926794467656556, 5.708058854544316 58.926828928294704)</t>
  </si>
  <si>
    <t>[1117191, 1117195, 1117196, 1117197, 1117198, 1117206, 1117214, 1117222, 1117235, 1117236, 1117243]</t>
  </si>
  <si>
    <t>[1056197, 1056200, 1056201, 1056202, 1056203, 1056209, 1056211, 1056215, 1056222, 1056223, 367898]</t>
  </si>
  <si>
    <t>0.021717557479177</t>
  </si>
  <si>
    <t>[367537, 1056197, 1056200, 1056201, 1056202, 1056203, 1056209, 1056211, 1056215, 1056222, 1056223]</t>
  </si>
  <si>
    <t>[0.002, 0.002, 0.006, 0.013, 0.009, 0.051, 0.059, 0.059, 0.047, 0.046, 1.624]</t>
  </si>
  <si>
    <t>853.3742402927451</t>
  </si>
  <si>
    <t>[-0.014, 0.005, -0.001, -0.011, 0.303]</t>
  </si>
  <si>
    <t>LINESTRING (5.7008396378831 58.91870562901309, 5.703073501871668 58.91975691462285, 5.703298416753923 58.919866402498954, 5.706451008151551 58.9221757834362, 5.706500027209204 58.92223625973166, 5.706680126650279 58.9224855375671)</t>
  </si>
  <si>
    <t>[1018894, 1018902, 1018910, 1018918, 1018926]</t>
  </si>
  <si>
    <t>[974996, 975001, 975006, 975011, 367780]</t>
  </si>
  <si>
    <t>0.011418309225191306</t>
  </si>
  <si>
    <t>[367572, 974996, 975001, 975006, 975011]</t>
  </si>
  <si>
    <t>[0.014, 0.005, 0.001, 0.011, 0.303]</t>
  </si>
  <si>
    <t>547.9112267036069</t>
  </si>
  <si>
    <t>[0.019, 0.009, 0.024]</t>
  </si>
  <si>
    <t>LINESTRING (5.703580098779093 58.921069147182806, 5.703669327996886 58.921049409335545, 5.701093673369973 58.918880184963385, 5.7008396378831 58.91870562901309)</t>
  </si>
  <si>
    <t>[803778, 803782, 378640]</t>
  </si>
  <si>
    <t>[782229, 367571, 367572]</t>
  </si>
  <si>
    <t>0.010205439909646027</t>
  </si>
  <si>
    <t>[782228, 782229, 367571]</t>
  </si>
  <si>
    <t>350.29764000916134</t>
  </si>
  <si>
    <t>[-0.026, -0.006, -0.004]</t>
  </si>
  <si>
    <t>LINESTRING (7.533886757998152 58.06912587555298, 7.53369078743943 58.06913380013719, 7.530655319533909 58.06947030327233, 7.530411919105826 58.06939861028987)</t>
  </si>
  <si>
    <t>[378650, 378657, 378664]</t>
  </si>
  <si>
    <t>[367584, 367592, 367599]</t>
  </si>
  <si>
    <t>[367583, 367584, 367592]</t>
  </si>
  <si>
    <t>[0.026, 0.006, 0.004]</t>
  </si>
  <si>
    <t>225.5023144683126</t>
  </si>
  <si>
    <t>[-0.026, -0.004, -0.003, 0.01]</t>
  </si>
  <si>
    <t>LINESTRING (7.533886757998152 58.06912587555298, 7.533255707678624 58.06912755020803, 7.533136947691964 58.06914545236712, 7.532965351338588 58.069182915185635, 7.532903423061004 58.0691999114357)</t>
  </si>
  <si>
    <t>[1436528, 1436536, 1436544, 1436552]</t>
  </si>
  <si>
    <t>[1306046, 1306053, 1306060, 1306066]</t>
  </si>
  <si>
    <t>[367583, 1306046, 1306053, 1306060]</t>
  </si>
  <si>
    <t>[0.026, 0.004, 0.003, 0.01]</t>
  </si>
  <si>
    <t>59.8018274860465</t>
  </si>
  <si>
    <t>[0.0, -0.047]</t>
  </si>
  <si>
    <t>LINESTRING (7.544835399496939 58.069920864296655, 7.544835399496939 58.069920864296655, 7.533886757998152 58.06912587555298)</t>
  </si>
  <si>
    <t>[1249273, 1436520]</t>
  </si>
  <si>
    <t>[1168631, 367583]</t>
  </si>
  <si>
    <t>[1168630, 1168631]</t>
  </si>
  <si>
    <t>[0.0, 0.047]</t>
  </si>
  <si>
    <t>694.0110950624306</t>
  </si>
  <si>
    <t>[0.023, -0.172, -0.021, 0.014]</t>
  </si>
  <si>
    <t>LINESTRING (5.708451229431669 58.921810824007984, 5.708520224008301 58.92181255216289, 5.708338743392061 58.922285803033176, 5.708294955556087 58.92234530989706, 5.70824738033989 58.922476512099664)</t>
  </si>
  <si>
    <t>[378744, 803858, 803859, 803866]</t>
  </si>
  <si>
    <t>[367683, 782303, 782304, 782312]</t>
  </si>
  <si>
    <t>[367682, 367683, 782303, 782304]</t>
  </si>
  <si>
    <t>[0.023, 0.172, 0.021, 0.014]</t>
  </si>
  <si>
    <t>84.48207041686697</t>
  </si>
  <si>
    <t>[-0.032, -0.577, 0.002, -0.019, -0.019]</t>
  </si>
  <si>
    <t>[1, 1, 0, 0, 0]</t>
  </si>
  <si>
    <t>LINESTRING (5.706680126650279 58.9224855375671, 5.7064831895399495 58.92231618180532, 5.706381734879582 58.922199066239294, 5.704409908014206 58.92097848103299, 5.703755122445305 58.921147282208025, 5.703667051436545 58.92118027996089)</t>
  </si>
  <si>
    <t>[378863, 803982, 803983, 803991, 804007]</t>
  </si>
  <si>
    <t>[367781, 782433, 782434, 782441, 782457]</t>
  </si>
  <si>
    <t>[367780, 367781, 782433, 782434, 782441]</t>
  </si>
  <si>
    <t>[0.032, 0.577, 0.002, 0.019, 0.019]</t>
  </si>
  <si>
    <t>274.2533228048128</t>
  </si>
  <si>
    <t>[-0.544, 0.05, 0.053, 0.054, 0.048, 0.048, 0.046, 0.018, -0.024, 0.024, -0.147, -0.014, 0.029]</t>
  </si>
  <si>
    <t>[1, 1, 0, 0, 0, 0, 0, 0, 0, 0, 0, 0, 0]</t>
  </si>
  <si>
    <t>LINESTRING (5.706680126650279 58.9224855375671, 5.706762679692466 58.92261475695568, 5.70714720448651 58.92338469021027, 5.707171435904641 58.923451972880756, 5.70766535739375 58.92589716747902, 5.707677130694093 58.92596747826265, 5.707807506557927 58.926846546954145, 5.707833830837882 58.92701587214068, 5.712560995886887 58.933524793903864, 5.712573679568157 58.93353114353635, 5.716968250940295 58.93576960826626, 5.717089205628312 58.93583073981329, 5.723924128992902 58.93970554743883, 5.723972260482823 58.939751862221904)</t>
  </si>
  <si>
    <t>[1018934, 1018942, 1018950, 1018958, 1018966, 1018974, 1018982, 1018990, 1018998, 1019006, 1019014, 1019022, 1019030]</t>
  </si>
  <si>
    <t>[975020, 975024, 975027, 975033, 975039, 975043, 975047, 975053, 975056, 975060, 975064, 975069, 975074]</t>
  </si>
  <si>
    <t>0.01356283466212274</t>
  </si>
  <si>
    <t>[367780, 975020, 975024, 975027, 975033, 975039, 975043, 975047, 975053, 975056, 975060, 975064, 975069]</t>
  </si>
  <si>
    <t>[0.544, 0.05, 0.053, 0.054, 0.048, 0.048, 0.046, 0.018, 0.024, 0.024, 0.147, 0.014, 0.029]</t>
  </si>
  <si>
    <t>2271.499677861251</t>
  </si>
  <si>
    <t>[0.0, -0.053, -0.001]</t>
  </si>
  <si>
    <t>LINESTRING (5.709710210263671 58.921011390851596, 5.709710210263671 58.921011390851596, 5.708413915734423 58.92227324873293, 5.70824738033989 58.922476512099664)</t>
  </si>
  <si>
    <t>[378926, 804203, 804211]</t>
  </si>
  <si>
    <t>[367844, 782644, 782312]</t>
  </si>
  <si>
    <t>[367843, 367844, 782644]</t>
  </si>
  <si>
    <t>[0.0, 0.053, 0.001]</t>
  </si>
  <si>
    <t>208.17385331516186</t>
  </si>
  <si>
    <t>[0.025, 0.025, -0.015, 0.001, -0.004, -0.014, 0.091]</t>
  </si>
  <si>
    <t>74440.0</t>
  </si>
  <si>
    <t>LINESTRING (5.708058854544316 58.926828928294704, 5.7128225103272685 58.93334672748228, 5.717397205518252 58.935676849390234, 5.724355195821469 58.939690993766135, 5.725495736887339 58.94133862344417, 5.7255002267284 58.941348391437366, 5.725522571773373 58.94140743536254, 5.7256139626397795 58.941677011497454)</t>
  </si>
  <si>
    <t>[1117251, 1117259, 1117262, 1117263, 1117264, 1117265, 1117273]</t>
  </si>
  <si>
    <t>[1056234, 1056243, 1056247, 1056248, 1056249, 1056250, 367952]</t>
  </si>
  <si>
    <t>0.011488460672260151</t>
  </si>
  <si>
    <t>[367898, 1056234, 1056243, 1056247, 1056248, 1056249, 1056250]</t>
  </si>
  <si>
    <t>[0.025, 0.025, 0.015, 0.001, 0.004, 0.014, 0.091]</t>
  </si>
  <si>
    <t>2010.9789256946399</t>
  </si>
  <si>
    <t>[0.052, 0.053, 0.036, -0.002]</t>
  </si>
  <si>
    <t>[1, 0, 0, 0]</t>
  </si>
  <si>
    <t>LINESTRING (5.70824738033989 58.922476512099664, 5.708160202773582 58.922624427517505, 5.707813362273381 58.92360278682336, 5.7081085642311296 58.926607402909504, 5.708058854544316 58.926828928294704)</t>
  </si>
  <si>
    <t>[804219, 804227, 804235, 378964]</t>
  </si>
  <si>
    <t>[782659, 782667, 367897, 367898]</t>
  </si>
  <si>
    <t>0.03849260690519562</t>
  </si>
  <si>
    <t>[782312, 782659, 782667, 367897]</t>
  </si>
  <si>
    <t>[0.052, 0.053, 0.036, 0.002]</t>
  </si>
  <si>
    <t>489.90266987902646</t>
  </si>
  <si>
    <t>[-0.107, -0.012, -0.018, -0.013, -0.004, -0.017, -0.025, -0.017, -0.017]</t>
  </si>
  <si>
    <t>LINESTRING (5.7256139626397795 58.941677011497454, 5.725698167383938 58.94201836172577, 5.725342497268717 58.94426899812841, 5.725337804357814 58.944278066073245, 5.725262298608231 58.94442314998987, 5.724255386374846 58.94587529792561, 5.724115205670296 58.9460571929909, 5.724108524302869 58.946065981593115, 5.724088215358467 58.94609229210214, 5.724076795272592 58.946108636184356)</t>
  </si>
  <si>
    <t>[1117281, 1117291, 1117299, 1117312, 1117320, 1117329, 1117337, 1117341, 1117342]</t>
  </si>
  <si>
    <t>[0, 0, 1, 1, 0, 0, 0, 0, 0]</t>
  </si>
  <si>
    <t>[1056269, 1056277, 1056285, 1056303, 1056311, 1056319, 1056329, 1056332, 1056333]</t>
  </si>
  <si>
    <t>[367952, 1056269, 1056277, 1056285, 1056303, 1056311, 1056319, 1056329, 1056332]</t>
  </si>
  <si>
    <t>[0.107, 0.012, 0.018, 0.013, 0.004, 0.017, 0.025, 0.017, 0.017]</t>
  </si>
  <si>
    <t>510.30163551789235</t>
  </si>
  <si>
    <t>[0.023, 0.004, 0.008, -0.005, -0.026]</t>
  </si>
  <si>
    <t>LINESTRING (5.723762435365732 58.9442069484266, 5.723762783573006 58.94416833247084, 5.725089049733908 58.941394164065876, 5.725057586409365 58.94132953572104, 5.7242277514817665 58.94007397209837, 5.723972260482823 58.939751862221904)</t>
  </si>
  <si>
    <t>[379040, 804320, 804328, 804336, 1438910]</t>
  </si>
  <si>
    <t>[368009, 782742, 782752, 782762, 975074]</t>
  </si>
  <si>
    <t>[367967, 368009, 782742, 782752, 782762]</t>
  </si>
  <si>
    <t>[0.023, 0.004, 0.008, 0.005, 0.026]</t>
  </si>
  <si>
    <t>532.6974655823756</t>
  </si>
  <si>
    <t>0.431</t>
  </si>
  <si>
    <t>9.455281328430349</t>
  </si>
  <si>
    <t>[-0.038, 0.867, 0.028]</t>
  </si>
  <si>
    <t>LINESTRING (5.723926131317613 58.94420497719052, 5.723923317511581 58.94425069846937, 5.723875099758511 58.94428308773522, 5.723762435365732 58.9442069484266)</t>
  </si>
  <si>
    <t>[1439390, 1439398, 379007]</t>
  </si>
  <si>
    <t>[1308082, 366333, 367967]</t>
  </si>
  <si>
    <t>0.19548162937332067</t>
  </si>
  <si>
    <t>[1308078, 1308082, 366333]</t>
  </si>
  <si>
    <t>[0.038, 0.867, 0.028]</t>
  </si>
  <si>
    <t>20.86029248020886</t>
  </si>
  <si>
    <t>[-0.01, -0.007, -0.005, -0.004, -0.002]</t>
  </si>
  <si>
    <t>LINESTRING (5.938112926609499 59.66510166115134, 5.937309212784168 59.66510595274848, 5.937161529520754 59.66509880189906, 5.937045733084192 59.66509004978623, 5.93639592858456 59.66500445275469, 5.935855060341348 59.66490268627636)</t>
  </si>
  <si>
    <t>[379042, 379050, 379064, 379100, 379101]</t>
  </si>
  <si>
    <t>[368013, 368022, 368034, 368077, 368078]</t>
  </si>
  <si>
    <t>[368012, 368013, 368022, 368034, 368077]</t>
  </si>
  <si>
    <t>[0.01, 0.007, 0.005, 0.004, 0.002]</t>
  </si>
  <si>
    <t>132.26499515555741</t>
  </si>
  <si>
    <t>[-0.013, -0.01, -0.005, -0.004, 0.004]</t>
  </si>
  <si>
    <t>LINESTRING (5.938112926609499 59.66510166115134, 5.937275046960632 59.665173292117956, 5.937138893057747 59.66516958268553, 5.937049703784962 59.66516373194068, 5.936343656802089 59.66507019642783, 5.935855060341348 59.66490268627636)</t>
  </si>
  <si>
    <t>[379145, 379153, 379161, 379169, 379177]</t>
  </si>
  <si>
    <t>[368124, 368134, 368085, 368157, 368078]</t>
  </si>
  <si>
    <t>[368012, 368124, 368134, 368085, 368157]</t>
  </si>
  <si>
    <t>[0.013, 0.01, 0.005, 0.004, 0.004]</t>
  </si>
  <si>
    <t>137.79711564129641</t>
  </si>
  <si>
    <t>[-0.145, -0.018, -0.01, -0.004, -0.009, 0.018]</t>
  </si>
  <si>
    <t>LINESTRING (5.94334964994721 59.66361073164794, 5.943026726870783 59.66374484063279, 5.942631901183815 59.6639029841463, 5.942003376890863 59.664123214552134, 5.939725630110462 59.66479222826845, 5.939296187048895 59.66488509170564, 5.938112926609499 59.66510166115134)</t>
  </si>
  <si>
    <t>[2069045, 2069053, 2069061, 2069069, 2069077, 2069092]</t>
  </si>
  <si>
    <t>[1631620, 1796814, 1632369, 1796825, 444145, 368012]</t>
  </si>
  <si>
    <t>[960414, 1631620, 1796814, 1632369, 1796825, 444145]</t>
  </si>
  <si>
    <t>[0.145, 0.018, 0.01, 0.004, 0.009, 0.018]</t>
  </si>
  <si>
    <t>341.8785428142014</t>
  </si>
  <si>
    <t>LINESTRING (20.825674569558917 69.4951246685349, 20.794657504185885 69.50943674594288)</t>
  </si>
  <si>
    <t>12897.273664193312</t>
  </si>
  <si>
    <t>[-0.047, -0.035, -0.002, -0.0, -0.001, -0.003, 0.0, -0.001, -0.001, 0.001, 0.073, 0.066, 0.072, 0.06, 0.05, 0.028]</t>
  </si>
  <si>
    <t>[0, 0, 1, 1, 0, 0, 0, 0, 0, 0, 0, 0, 0, 0, 0, 0]</t>
  </si>
  <si>
    <t>LINESTRING (20.823745734656278 69.49229467907257, 20.824287567214036 69.4924853148006, 20.824582000166988 69.4926177779306, 20.824858109663033 69.49275563505432, 20.824927001879306 69.49279077902654, 20.8255577897814 69.49322338176468, 20.82558467220535 69.49324607763333, 20.82561279778025 69.49327389950318, 20.825677830097675 69.49333820689098, 20.82575318299155 69.49341277386854, 20.82609996121626 69.49403589426774, 20.826073821992104 69.49454600055195, 20.825985008857867 69.49477231995222, 20.825962071118642 69.49480677728941, 20.825794006276485 69.49503902885542, 20.82573778496446 69.4950918507899, 20.825674569558917 69.4951246685349)</t>
  </si>
  <si>
    <t>[379112, 379113, 1080132, 1080140, 1080148, 1080156, 1080164, 1080172, 1080180, 1080188, 1080196, 379054, 379076, 379077, 379090, 379091]</t>
  </si>
  <si>
    <t>[368091, 368092, 1025208, 1025216, 1025223, 1007057, 1025232, 1025238, 1025243, 1025252, 368027, 368028, 368049, 368050, 368067, 368068]</t>
  </si>
  <si>
    <t>0.017571865499413992</t>
  </si>
  <si>
    <t>[368090, 368091, 368092, 1025208, 1025216, 1025223, 1007057, 1025232, 1025238, 1025243, 1025252, 368027, 368028, 368049, 368050, 368067]</t>
  </si>
  <si>
    <t>[0.047, 0.035, 0.002, 0.0, 0.001, 0.003, 0.0, 0.001, 0.001, 0.001, 0.073, 0.066, 0.072, 0.06, 0.05, 0.028]</t>
  </si>
  <si>
    <t>344.2055146518683</t>
  </si>
  <si>
    <t>[-0.043, -0.034, -0.075, 0.003, 0.003, 0.003, 0.004, 0.03, 0.094, 0.068, 0.079, 0.06, 0.067, 0.057]</t>
  </si>
  <si>
    <t>[0, 0, 1, 0, 0, 0, 0, 0, 0, 0, 0, 0, 0, 0]</t>
  </si>
  <si>
    <t>LINESTRING (20.823745734656278 69.49229467907257, 20.824186778203106 69.49250441904272, 20.824444986817227 69.49263794276834, 20.824747395538537 69.49281012028901, 20.82535370594636 69.49324280543675, 20.825418385239242 69.49329828389408, 20.82553242203579 69.49341416552477, 20.825891430301017 69.49403328425349, 20.825913420456384 69.49409699913309, 20.825918162869684 69.49454302335221, 20.825849328487852 69.49476407277777, 20.82583631294815 69.49479856677449, 20.82569232153957 69.49503133507422, 20.825656550100568 69.49508588461633, 20.825674569558917 69.4951246685349)</t>
  </si>
  <si>
    <t>[379114, 379115, 1069966, 1069974, 1069982, 1069990, 1069998, 1070006, 1070014, 379037, 379046, 379095, 379103, 379104]</t>
  </si>
  <si>
    <t>[368093, 368094, 1017031, 1017036, 1007056, 1017045, 1017049, 1017053, 368005, 368006, 368017, 368072, 368081, 368068]</t>
  </si>
  <si>
    <t>0.01809832054586519</t>
  </si>
  <si>
    <t>[368090, 368093, 368094, 1017031, 1017036, 1007056, 1017045, 1017049, 1017053, 368005, 368006, 368017, 368072, 368081]</t>
  </si>
  <si>
    <t>[0.043, 0.034, 0.075, 0.003, 0.003, 0.003, 0.004, 0.03, 0.094, 0.068, 0.079, 0.06, 0.067, 0.057]</t>
  </si>
  <si>
    <t>337.3512509817804</t>
  </si>
  <si>
    <t>3984.0</t>
  </si>
  <si>
    <t>LINESTRING (5.935855060341348 59.66490268627636, 5.793901198911979 59.60258982289302)</t>
  </si>
  <si>
    <t>[0.038, -0.438, 0.0, 0.002, 0.002, 0.011, -0.055, -0.053, 0.027, 0.043, 0.051, 0.016, -0.039, -0.053, 0.145, 0.183, 0.213, 1.6, 0.363, -0.057, -0.21, -0.002, -0.036, -0.068, -0.007, -0.091, -0.006, 0.059, -0.051, 0.055, 0.008, 0.39, 0.137, -0.2, -2.974, -0.138, -0.027, -0.095, -0.005, -0.023, -0.024, -0.009, 1.155]</t>
  </si>
  <si>
    <t>[0, 0, 0, 0, 0, 0, 0, 0, 0, 0, 0, 0, 0, 0, 0, 0, 0, 0, 0, 0, 0, 0, 0, 0, 0, 0, 0, 0, 0, 0, 0, 0, 0, 0, 0, 0, 0, 1, 0, 1, 0, 0, 0]</t>
  </si>
  <si>
    <t>LINESTRING (20.552959398680212 69.54314207533571, 20.55467751640928 69.54377399791865, 20.554839546749673 69.54383399128693, 20.557002217036807 69.54465949176699, 20.618131398923193 69.52175197069714, 20.621011565272525 69.52018491986176, 20.62360624047713 69.51891126700846, 20.624424081100248 69.51870933758438, 20.630427203239464 69.51837488023493, 20.633777180704342 69.51673190019667, 20.633895803790782 69.51665551625607, 20.63394543114058 69.51662834838528, 20.63506602073513 69.51624015309959, 20.63513348559599 69.51622546727275, 20.636255222241832 69.51602343992415, 20.63962655403772 69.51540030841304, 20.639871181580073 69.51534720811877, 20.64056582841605 69.51516509060896, 20.64088168049404 69.51507062675392, 20.646542633752237 69.51340464697101, 20.694341929447127 69.51055335972826, 20.698164673924335 69.51139079760797, 20.6990085352412 69.51150470230868, 20.700641275929417 69.51170624394513, 20.701038257918267 69.51175507006035, 20.701186925355934 69.51177486356521, 20.70177349583367 69.51185160133423, 20.702382877773942 69.5119396516709, 20.704004757760952 69.5122097412743, 20.704879827631544 69.51236960192381, 20.71362067892387 69.51243332289354, 20.71625217992158 69.51243727417743, 20.72270619357272 69.51251951551701, 20.761963519749802 69.503098070629, 20.79219264486507 69.49692948521437, 20.792828805722536 69.49684662869271, 20.79369090503243 69.49671375983111, 20.813941788000296 69.49149186166807, 20.815359204900894 69.49137531654118, 20.819403553457537 69.49142070634184, 20.81950500692898 69.49143045461655, 20.820719202753526 69.49157093651563, 20.823681206312706 69.4922721456198, 20.823745734656278 69.49229467907257)</t>
  </si>
  <si>
    <t>[1104572, 1104580, 1100761, 1100769, 1100777, 1100785, 1100793, 1100801, 1100809, 1100817, 1100825, 1100833, 1100841, 1100849, 1100857, 1100865, 1100873, 1100881, 367604, 367612, 1100889, 1100897, 1100905, 1100913, 1100921, 1100929, 1100937, 1100945, 1100953, 1100963, 1100989, 1100996, 367588, 367580, 1101002, 1101009, 1101014, 1101018, 1101019, 1101024, 1101052, 1101053, 1101060]</t>
  </si>
  <si>
    <t>[1045896, 1042820, 1042821, 1042829, 1042836, 998887, 998880, 1021219, 1030347, 1038044, 1042875, 1042882, 1042890, 1042897, 1042903, 1042910, 1042917, 356312, 356313, 356321, 1042930, 1042938, 1042945, 1042949, 466922, 1042957, 1042960, 466941, 1042970, 1042980, 1042998, 356298, 356289, 356290, 1043004, 1043011, 1043013, 1043016, 1043017, 1043021, 1043041, 1043042, 368090]</t>
  </si>
  <si>
    <t>[665648, 1045896, 1042820, 1042821, 1042829, 1042836, 998887, 998880, 1021219, 1030347, 1038044, 1042875, 1042882, 1042890, 1042897, 1042903, 1042910, 1042917, 356312, 356313, 356321, 1042930, 1042938, 1042945, 1042949, 466922, 1042957, 1042960, 466941, 1042970, 1042980, 1042998, 356298, 356289, 356290, 1043004, 1043011, 1043013, 1043016, 1043017, 1043021, 1043041, 1043042]</t>
  </si>
  <si>
    <t>[0.038, 0.438, 0.0, 0.002, 0.002, 0.011, 0.055, 0.053, 0.027, 0.043, 0.051, 0.016, 0.039, 0.053, 0.145, 0.183, 0.213, 1.6, 0.363, 0.057, 0.21, 0.002, 0.036, 0.068, 0.007, 0.091, 0.006, 0.059, 0.051, 0.055, 0.008, 0.39, 0.137, 0.2, 2.974, 0.138, 0.027, 0.095, 0.005, 0.023, 0.024, 0.009, 1.155]</t>
  </si>
  <si>
    <t>13933.403875216389</t>
  </si>
  <si>
    <t>28.106228068865228</t>
  </si>
  <si>
    <t>[0.037, 0.024]</t>
  </si>
  <si>
    <t>LINESTRING (10.253952351852057 60.14674533175313, 10.253974667173294 60.146718096601965, 10.254709153825432 60.14611457857781)</t>
  </si>
  <si>
    <t>[379320, 593059]</t>
  </si>
  <si>
    <t>[368383, 597259]</t>
  </si>
  <si>
    <t>0.024296226319536426</t>
  </si>
  <si>
    <t>[368382, 368383]</t>
  </si>
  <si>
    <t>143.9148917460757</t>
  </si>
  <si>
    <t>244.92427082885362</t>
  </si>
  <si>
    <t>[0.038, 0.032, 0.043, 0.048, 0.045, 0.054]</t>
  </si>
  <si>
    <t>LINESTRING (14.315935445925003 66.34383117987619, 14.316473557075112 66.34479781369843, 14.316495305192817 66.34486293553083, 14.316585168815976 66.34527903038791, 14.316590476360194 66.34531957852951, 14.316612374753152 66.34554096883122, 14.316507627528102 66.3462301941018)</t>
  </si>
  <si>
    <t>[379572, 379573, 379574, 379575, 379590, 379594]</t>
  </si>
  <si>
    <t>[368713, 368718, 368719, 368720, 368726, 368727]</t>
  </si>
  <si>
    <t>0.04406071267840784</t>
  </si>
  <si>
    <t>[368717, 368713, 368718, 368719, 368720, 368726]</t>
  </si>
  <si>
    <t>270.7812895093392</t>
  </si>
  <si>
    <t>[0.032, 0.027, 0.04, 0.045, 0.041, 0.044, 0.06]</t>
  </si>
  <si>
    <t>LINESTRING (14.315935445925003 66.34383117987619, 14.316632358314685 66.3447553930051, 14.316645243593976 66.34478915596281, 14.316660715493448 66.34482965002034, 14.316670494471408 66.34485526207631, 14.31675439222849 66.34527892961704, 14.316766576525543 66.34554381658656, 14.316507627528102 66.3462301941018)</t>
  </si>
  <si>
    <t>[379601, 379609, 379610, 379611, 379615, 379617, 379624]</t>
  </si>
  <si>
    <t>[368716, 368742, 368714, 368743, 368747, 368750, 368727]</t>
  </si>
  <si>
    <t>0.042996359720597135</t>
  </si>
  <si>
    <t>[368717, 368716, 368742, 368714, 368743, 368747, 368750]</t>
  </si>
  <si>
    <t>274.29120184225667</t>
  </si>
  <si>
    <t>[0.006, -0.036, -0.027, 0.011, 0.02, 0.028, 0.033, 0.034, 0.038, 0.017, 0.017, 0.01, -0.024, -0.024, -0.006, 0.05, 0.01, -0.028, 0.025, -0.053, 0.036, 0.046, -0.044, -0.033, -0.067, -0.061, 0.01, -0.026, -0.005, 0.005, 0.001, 0.004, 0.023, 0.04, -0.029, 0.075, 0.075, 0.033]</t>
  </si>
  <si>
    <t>4296.0</t>
  </si>
  <si>
    <t>LINESTRING (14.176957104687203 66.32392407426644, 14.183485216453299 66.32405439131558, 14.18439930734362 66.32417651855867, 14.18747073786076 66.32460721020547, 14.189590345512618 66.32492238094713, 14.1903082422161 66.32503771838643, 14.19301659140574 66.32546127827051, 14.193963571885098 66.32560200139862, 14.194237860517445 66.32563733529108, 14.197322558766006 66.32580223522685, 14.197389217059882 66.32580255210655, 14.197757634857346 66.32580358146785, 14.199970471366106 66.32574214869277, 14.200550632967978 66.32571158449466, 14.201743119538882 66.32564676570323, 14.202848809903596 66.32558374514993, 14.206997160016867 66.3254288763483, 14.222687808800131 66.32529775008405, 14.22488597104797 66.32517792351817, 14.229408488696182 66.32514287428586, 14.233578199971536 66.32451531839472, 14.23443186722365 66.32437547870138, 14.24091457718363 66.32318314725067, 14.242373104705777 66.32278170844383, 14.242416227501069 66.32276888243334, 14.242788412849292 66.32265809845556, 14.24821531703301 66.32167607704964, 14.261034076339614 66.32707999156395, 14.261191608676333 66.32718804127816, 14.26233018603394 66.32791817769463, 14.276788483009415 66.33521582187481, 14.280160772434854 66.33543345849338, 14.294025482742326 66.33546294871117, 14.30057896045019 66.33670451183046, 14.302430940988797 66.339656062378, 14.306912568314342 66.34079223961675, 14.307413782445428 66.34091110129503, 14.311017012834943 66.34173839270848, 14.315935445925003 66.34383117987619)</t>
  </si>
  <si>
    <t>[476939, 476947, 476955, 476963, 476971, 476979, 476987, 476995, 477003, 477011, 477019, 477027, 477035, 477043, 477051, 477059, 477067, 477075, 477083, 477091, 477099, 477107, 477115, 477123, 477131, 477139, 477147, 477155, 477163, 477171, 477179, 477187, 477195, 477203, 477211, 477219, 695628, 695629]</t>
  </si>
  <si>
    <t>[435484, 404577, 434389, 404655, 433784, 475667, 475676, 398833, 475696, 450173, 475712, 475719, 475727, 402011, 475742, 402022, 475757, 402032, 475773, 402043, 402051, 475792, 429333, 402060, 475814, 475822, 475830, 402082, 402119, 475852, 475860, 475868, 475878, 475887, 475895, 475903, 690205, 368717]</t>
  </si>
  <si>
    <t>0.008922470252348344</t>
  </si>
  <si>
    <t>[475631, 435484, 404577, 434389, 404655, 433784, 475667, 475676, 398833, 475696, 450173, 475712, 475719, 475727, 402011, 475742, 402022, 475757, 402032, 475773, 402043, 402051, 475792, 429333, 402060, 475814, 475822, 475830, 402082, 402119, 475852, 475860, 475868, 475878, 475887, 475895, 475903, 690205]</t>
  </si>
  <si>
    <t>[0.006, 0.036, 0.027, 0.011, 0.02, 0.028, 0.033, 0.034, 0.038, 0.017, 0.017, 0.01, 0.024, 0.024, 0.006, 0.05, 0.01, 0.028, 0.025, 0.053, 0.036, 0.046, 0.044, 0.033, 0.067, 0.061, 0.01, 0.026, 0.005, 0.005, 0.001, 0.004, 0.023, 0.04, 0.029, 0.075, 0.075, 0.033]</t>
  </si>
  <si>
    <t>7751.744265658371</t>
  </si>
  <si>
    <t>[0.002, -0.02, -0.053, -0.053, -0.051, -0.052, -0.04]</t>
  </si>
  <si>
    <t>LINESTRING (14.316507627528102 66.3462301941018, 14.31557143962616 66.34760062561124, 14.31332656133989 66.35311968856995, 14.313345842678645 66.3531989930113, 14.313895519954066 66.35445744236638, 14.314213241867792 66.35491630444749, 14.314245184070264 66.35495762480951, 14.315351866677448 66.3565008562493)</t>
  </si>
  <si>
    <t>[695630, 695639, 695647, 695655, 695663, 695671, 695679]</t>
  </si>
  <si>
    <t>[690206, 690214, 690222, 690231, 690238, 690243, 690247]</t>
  </si>
  <si>
    <t>[368727, 690206, 690214, 690222, 690231, 690238, 690243]</t>
  </si>
  <si>
    <t>[0.002, 0.02, 0.053, 0.053, 0.051, 0.052, 0.04]</t>
  </si>
  <si>
    <t>1174.634936388272</t>
  </si>
  <si>
    <t>[-0.017, -0.018]</t>
  </si>
  <si>
    <t>LINESTRING (5.298972269329236 59.39677131411503, 5.298931756811435 59.396819721237414, 5.298121569987856 59.397093740888955)</t>
  </si>
  <si>
    <t>[1440787, 1440795]</t>
  </si>
  <si>
    <t>[1308994, 368845]</t>
  </si>
  <si>
    <t>[369881, 1308994]</t>
  </si>
  <si>
    <t>62.024074008233285</t>
  </si>
  <si>
    <t>LINESTRING (5.721070199483351 58.87387958091357, 5.721200326009714 58.87387628191201, 5.723287897544196 58.8739922243856)</t>
  </si>
  <si>
    <t>[379909, 379914]</t>
  </si>
  <si>
    <t>[369020, 369027]</t>
  </si>
  <si>
    <t>[369019, 369020]</t>
  </si>
  <si>
    <t>129.2589214135903</t>
  </si>
  <si>
    <t>[0.216, -0.004, -0.004, -0.003]</t>
  </si>
  <si>
    <t>LINESTRING (5.721070199483351 58.87387958091357, 5.720948143702277 58.87389460648663, 5.720795702022359 58.8738641005137, 5.720752419534297 58.87383072001485, 5.7207400995169895 58.87381353464627)</t>
  </si>
  <si>
    <t>[1352047, 1352055, 1352063, 1352071]</t>
  </si>
  <si>
    <t>[662556, 1251866, 1251871, 1251880]</t>
  </si>
  <si>
    <t>0.06475876278143336</t>
  </si>
  <si>
    <t>[369019, 662556, 1251866, 1251871]</t>
  </si>
  <si>
    <t>[0.216, 0.004, 0.004, 0.003]</t>
  </si>
  <si>
    <t>23.257049673393535</t>
  </si>
  <si>
    <t>[0.001, -0.169]</t>
  </si>
  <si>
    <t>LINESTRING (5.721113600921702 58.873728505330455, 5.721141235338237 58.87380593547497, 5.721070199483351 58.87387958091357)</t>
  </si>
  <si>
    <t>[1352031, 1352039]</t>
  </si>
  <si>
    <t>[1251848, 369019]</t>
  </si>
  <si>
    <t>[1251840, 1251848]</t>
  </si>
  <si>
    <t>[0.001, 0.169]</t>
  </si>
  <si>
    <t>18.219315290371867</t>
  </si>
  <si>
    <t>[-0.005, 0.019]</t>
  </si>
  <si>
    <t>LINESTRING (5.723287897544196 58.8739922243856, 5.724068338156809 58.874033777225335, 5.724158525027252 58.874039900313434)</t>
  </si>
  <si>
    <t>[379920, 379923]</t>
  </si>
  <si>
    <t>[369031, 369034]</t>
  </si>
  <si>
    <t>[369027, 369031]</t>
  </si>
  <si>
    <t>[0.005, 0.019]</t>
  </si>
  <si>
    <t>50.660369756484975</t>
  </si>
  <si>
    <t>[0.062, 0.004, 0.007, 0.006, 0.006, -0.008, -0.03, -0.032, -0.03]</t>
  </si>
  <si>
    <t>LINESTRING (5.723287897544196 58.8739922243856, 5.722919856661624 58.87399810617098, 5.720351654675743 58.87434527281239, 5.720210167885053 58.87443623490563, 5.720079054336111 58.874552103180896, 5.7200709774340215 58.874560039689754, 5.719091171202387 58.87694417845612, 5.719021870824624 58.877052116626004, 5.718938255695857 58.877135522526125, 5.718904953202807 58.87716835307646)</t>
  </si>
  <si>
    <t>[1435887, 2099299, 2099305, 2099313, 2099314, 2099322, 1435895, 1435903, 1435911]</t>
  </si>
  <si>
    <t>[1305661, 1815293, 1815296, 1815301, 1815302, 1305665, 1305666, 1305674, 1055983]</t>
  </si>
  <si>
    <t>[369027, 1305661, 1815293, 1815296, 1815301, 1815302, 1305665, 1305666, 1305674]</t>
  </si>
  <si>
    <t>[0.062, 0.004, 0.007, 0.006, 0.006, 0.008, 0.03, 0.032, 0.03]</t>
  </si>
  <si>
    <t>510.72772756712925</t>
  </si>
  <si>
    <t>[0.061, 0.007]</t>
  </si>
  <si>
    <t>LINESTRING (5.724158525027252 58.874039900313434, 5.724110849032922 58.87397592141769, 5.72416875289156 58.873914761196794)</t>
  </si>
  <si>
    <t>[1352151, 1352159]</t>
  </si>
  <si>
    <t>[1251931, 1251897]</t>
  </si>
  <si>
    <t>0.03409123347975516</t>
  </si>
  <si>
    <t>[369034, 1251931]</t>
  </si>
  <si>
    <t>15.273726735133643</t>
  </si>
  <si>
    <t>9.00228003345629</t>
  </si>
  <si>
    <t>[-0.003, -0.033]</t>
  </si>
  <si>
    <t>LINESTRING (5.724435041245335 58.87396711461045, 5.724422167516891 58.87401479936661, 5.7243030773780035 58.87406292694744)</t>
  </si>
  <si>
    <t>[1352127, 1352135]</t>
  </si>
  <si>
    <t>[1251918, 369045]</t>
  </si>
  <si>
    <t>[1251914, 1251918]</t>
  </si>
  <si>
    <t>[0.003, 0.033]</t>
  </si>
  <si>
    <t>14.371422429397228</t>
  </si>
  <si>
    <t>[0.017, -0.016, -0.067, -0.126, -0.136, 0.084, 0.023, -0.059, 0.055, 0.004, 0.017, 0.122, 0.011]</t>
  </si>
  <si>
    <t>LINESTRING (6.412485425698237 60.62883218617543, 6.41217116577984 60.62881873239051, 6.41123520639151 60.6287364498512, 6.410768061876754 60.62866234993969, 6.4094552846429655 60.62827733608107, 6.408679978400445 60.62807304076922, 6.407244738147413 60.628211533009775, 6.406891621990715 60.628205342806055, 6.405488830944306 60.62812406484412, 6.403658364686199 60.62807937103221, 6.403482297443035 60.62805861012437, 6.402555289437435 60.62788426077551, 6.401727377088876 60.62733205204459, 6.401297832166051 60.627031481003726)</t>
  </si>
  <si>
    <t>[380234, 380242, 380243, 380247, 380248, 380264, 380265, 2056185, 2056193, 2056201, 2056209, 2112854, 2112862]</t>
  </si>
  <si>
    <t>[369354, 369274, 369254, 369363, 369364, 358211, 369385, 1788508, 1788513, 946312, 1788524, 1822956, 1822960]</t>
  </si>
  <si>
    <t>[369340, 369354, 369274, 369254, 369363, 369364, 358211, 369385, 1788508, 1788513, 946312, 1788524, 1822956]</t>
  </si>
  <si>
    <t>[0.017, 0.016, 0.067, 0.126, 0.136, 0.084, 0.023, 0.059, 0.055, 0.004, 0.017, 0.122, 0.011]</t>
  </si>
  <si>
    <t>694.5001408228707</t>
  </si>
  <si>
    <t>[0.054, 0.062, 0.045, 0.332, 0.065, 0.011]</t>
  </si>
  <si>
    <t>LINESTRING (6.415795062779531 60.62848165220801, 6.414887752504625 60.62869124636925, 6.414804644909617 60.62870700839885, 6.41466975641113 60.628729538754136, 6.414144832628558 60.62879495525909, 6.4131592770856205 60.62886007119499, 6.412485425698237 60.62883218617543)</t>
  </si>
  <si>
    <t>[2013653, 2013661, 2013669, 2013677, 380232, 380233]</t>
  </si>
  <si>
    <t>[1753777, 1760970, 1760973, 369352, 369353, 369340]</t>
  </si>
  <si>
    <t>0.0920305974354778</t>
  </si>
  <si>
    <t>[1694778, 1753777, 1760970, 1760973, 369352, 369353]</t>
  </si>
  <si>
    <t>189.8874619669172</t>
  </si>
  <si>
    <t>[-0.037, 0.404, 0.059, 0.058]</t>
  </si>
  <si>
    <t>LINESTRING (6.415795062779531 60.62848165220801, 6.414737141443329 60.62864267662966, 6.414113397808409 60.628726993794544, 6.413183620630072 60.62878840881879, 6.412485425698237 60.62883218617543)</t>
  </si>
  <si>
    <t>[2017030, 2017038, 380216, 380217]</t>
  </si>
  <si>
    <t>[1753782, 369338, 369339, 369340]</t>
  </si>
  <si>
    <t>0.09283465192965797</t>
  </si>
  <si>
    <t>[1694778, 1753782, 369338, 369339]</t>
  </si>
  <si>
    <t>[0.037, 0.404, 0.059, 0.058]</t>
  </si>
  <si>
    <t>187.5177888969611</t>
  </si>
  <si>
    <t>[0.006, -0.018, -0.034, -0.057, -0.028]</t>
  </si>
  <si>
    <t>LINESTRING (5.445953883751191 59.42093417983898, 5.446878157057377 59.42070071993337, 5.44721791854974 59.42059415584807, 5.447706722118023 59.42029226226517, 5.447790085832312 59.420068603818315, 5.447784313342771 59.419998107024554)</t>
  </si>
  <si>
    <t>[1835974, 1835982, 1835990, 1835998, 1119888]</t>
  </si>
  <si>
    <t>[1610583, 1610585, 1610588, 1058809, 1058810]</t>
  </si>
  <si>
    <t>[369405, 1610583, 1610585, 1610588, 1058809]</t>
  </si>
  <si>
    <t>[0.006, 0.018, 0.034, 0.057, 0.028]</t>
  </si>
  <si>
    <t>151.2104059435181</t>
  </si>
  <si>
    <t>[0.182, 0.017, -0.009, 0.019, 0.012]</t>
  </si>
  <si>
    <t>LINESTRING (5.443764068823091 59.4216203460092, 5.443374312431915 59.4217251349715, 5.442872533463335 59.42186539937667, 5.442856488303991 59.42187003681295, 5.442726943443234 59.42190749183743, 5.439479462497654 59.4228270631875)</t>
  </si>
  <si>
    <t>[681610, 681624, 681627, 681636, 681644]</t>
  </si>
  <si>
    <t>[672619, 672637, 672639, 672650, 672660]</t>
  </si>
  <si>
    <t>0.02802053826067489</t>
  </si>
  <si>
    <t>[369465, 672619, 672637, 672639, 672650]</t>
  </si>
  <si>
    <t>[0.182, 0.017, 0.009, 0.019, 0.012]</t>
  </si>
  <si>
    <t>278.81881048778223</t>
  </si>
  <si>
    <t>[-0.029, 0.022, 0.045]</t>
  </si>
  <si>
    <t>15944.0</t>
  </si>
  <si>
    <t>LINESTRING (5.437500976273188 59.42326461270859, 5.428841640195358 59.42375430794181, 5.420143976462005 59.42186563840693, 5.419726044215016 59.421709959690155)</t>
  </si>
  <si>
    <t>[681676, 681683, 681684]</t>
  </si>
  <si>
    <t>[672698, 672707, 369541]</t>
  </si>
  <si>
    <t>[672697, 672698, 672707]</t>
  </si>
  <si>
    <t>[0.029, 0.022, 0.045]</t>
  </si>
  <si>
    <t>1075.4772111675459</t>
  </si>
  <si>
    <t>[0.077, 0.071, 0.058, 0.084, 0.125, 0.125, 0.118, 0.102]</t>
  </si>
  <si>
    <t>LINESTRING (5.363901973475251 59.41200031240223, 5.3625101464839195 59.4120397931277, 5.36146361946172 59.41210526409998, 5.361397652880439 59.41210703937741, 5.361314895274322 59.41211045685085, 5.360532139505796 59.41216153299923, 5.360114983474312 59.412181078829185, 5.3592691516366715 59.41223558431825, 5.357928504878764 59.412349534830554)</t>
  </si>
  <si>
    <t>[380655, 380695, 380700, 380702, 380704, 380712, 380720, 380732]</t>
  </si>
  <si>
    <t>[369721, 369757, 369761, 369763, 369766, 369773, 369782, 369797]</t>
  </si>
  <si>
    <t>0.09693033701150879</t>
  </si>
  <si>
    <t>[369720, 369721, 369757, 369761, 369763, 369766, 369773, 369782]</t>
  </si>
  <si>
    <t>343.09043255746275</t>
  </si>
  <si>
    <t>[0.083, 0.065, 0.065, 0.121, 0.109, 0.126, 0.119, 0.119, 0.107]</t>
  </si>
  <si>
    <t>LINESTRING (5.363901973475251 59.41200031240223, 5.362689936482711 59.41209718192838, 5.361396077341151 59.41218613410618, 5.361344566309822 59.412190822289794, 5.360604046435186 59.41225098753103, 5.360536393559971 59.41225245585168, 5.360468240956526 59.41225442944087, 5.360165773414717 59.412267648537416, 5.359312189514516 59.412307244236366, 5.357928504878764 59.412349534830554)</t>
  </si>
  <si>
    <t>[1438904, 1438912, 1438920, 1438928, 1438936, 1438944, 1438952, 1438960, 1438968]</t>
  </si>
  <si>
    <t>[1307750, 1251033, 1307760, 1303148, 1307769, 1269024, 1307785, 1307790, 369797]</t>
  </si>
  <si>
    <t>0.09693061279643983</t>
  </si>
  <si>
    <t>[369720, 1307750, 1251033, 1307760, 1303148, 1307769, 1269024, 1307785, 1307790]</t>
  </si>
  <si>
    <t>343.3746212686979</t>
  </si>
  <si>
    <t>[0.027, -0.019, -0.004, -0.032, -0.038, -0.008, 0.068, 0.072, 0.053]</t>
  </si>
  <si>
    <t>LINESTRING (5.377871390077949 59.42177757095311, 5.3735960108726335 59.41756922986406, 5.3732618644574535 59.41711359383209, 5.37325306072208 59.41709973680345, 5.373221548425522 59.41704946711208, 5.37274301853344 59.41624037856042, 5.371635149697859 59.41488592688779, 5.367093605986593 59.41211523439212, 5.365817324690848 59.41191528692622, 5.363901973475251 59.41200031240223)</t>
  </si>
  <si>
    <t>[681731, 681732, 681733, 681741, 681743, 681744, 681745, 681760, 681765]</t>
  </si>
  <si>
    <t>[672767, 672768, 672769, 672779, 672781, 672782, 672783, 672803, 369720]</t>
  </si>
  <si>
    <t>0.032643482130962354</t>
  </si>
  <si>
    <t>[373525, 672767, 672768, 672769, 672779, 672781, 672782, 672783, 672803]</t>
  </si>
  <si>
    <t>[0.027, 0.019, 0.004, 0.032, 0.038, 0.008, 0.068, 0.072, 0.053]</t>
  </si>
  <si>
    <t>1445.880815208943</t>
  </si>
  <si>
    <t>[-0.018, -0.002, -0.001, -0.035, -0.062, -0.059, -0.058, -0.057, -0.052, -0.051, -0.065, -0.062, -0.058, -0.044]</t>
  </si>
  <si>
    <t>18901.0</t>
  </si>
  <si>
    <t>[0, 0, 0, 0, 0, 0, 0, 0, 0, 0, 1, 0, 0, 0]</t>
  </si>
  <si>
    <t>LINESTRING (5.357928504878764 59.412349534830554, 5.3488152919328655 59.4104406800789, 5.347700796725268 59.41038323026237, 5.346104525690952 59.41038943999173, 5.343283098114905 59.41023549141282, 5.343003848727301 59.4102045295916, 5.341269786072401 59.40994445279962, 5.341161995954193 59.40992202427033, 5.341012780657585 59.409888815307745, 5.339682852931589 59.40948238490819, 5.339274067290186 59.40931091634905, 5.339204473449749 59.40927990031275, 5.338562819714988 59.408929818130424, 5.3382817211264335 59.408737872293344, 5.336917786443922 59.406682528638385)</t>
  </si>
  <si>
    <t>[681766, 681767, 681772, 681773, 681774, 681781, 681782, 681783, 681791, 681796, 681799, 681807, 1339052, 681815]</t>
  </si>
  <si>
    <t>[672811, 672812, 672818, 672819, 672820, 672831, 672832, 672833, 672843, 672849, 672850, 672858, 672869, 672870]</t>
  </si>
  <si>
    <t>[369797, 672811, 672812, 672818, 672819, 672820, 672831, 672832, 672833, 672843, 672849, 672850, 672858, 672869]</t>
  </si>
  <si>
    <t>[0.018, 0.002, 0.001, 0.035, 0.062, 0.059, 0.058, 0.057, 0.052, 0.051, 0.065, 0.062, 0.058, 0.044]</t>
  </si>
  <si>
    <t>1489.9723318863716</t>
  </si>
  <si>
    <t>17790.0</t>
  </si>
  <si>
    <t>427.03144564368256</t>
  </si>
  <si>
    <t>[-0.033, 0.001]</t>
  </si>
  <si>
    <t>LINESTRING (5.29545694865665 59.397244362583415, 5.295467639883383 59.397299415999875, 5.295408072563812 59.39736706495291)</t>
  </si>
  <si>
    <t>[1259502, 1259504]</t>
  </si>
  <si>
    <t>[1177174, 1177175]</t>
  </si>
  <si>
    <t>[369935, 1177174]</t>
  </si>
  <si>
    <t>[0.033, 0.001]</t>
  </si>
  <si>
    <t>14.471943193556893</t>
  </si>
  <si>
    <t>0.116</t>
  </si>
  <si>
    <t>2.0463259761722483</t>
  </si>
  <si>
    <t>[0.0, -0.116, -0.309, -0.071, -0.042, -0.002]</t>
  </si>
  <si>
    <t>LINESTRING (5.329174028872595 59.39822819108781, 5.329174028872595 59.39822819108781, 5.329215026113533 59.39793972448171, 5.329241528846026 59.39785436176947, 5.329306250251556 59.39764807897201, 5.329368569903101 59.39753238886164, 5.329393308730728 59.39749699171596)</t>
  </si>
  <si>
    <t>[380853, 380865, 1430031, 1430039, 1430047, 1430055]</t>
  </si>
  <si>
    <t>[368962, 369956, 1302413, 1302417, 1302423, 1302231]</t>
  </si>
  <si>
    <t>[369942, 368962, 369956, 1302413, 1302417, 1302423]</t>
  </si>
  <si>
    <t>[0.0, 0.116, 0.309, 0.071, 0.042, 0.002]</t>
  </si>
  <si>
    <t>87.29683770547771</t>
  </si>
  <si>
    <t>[0.211, -0.998, -0.025, 0.0, -0.021, -0.014]</t>
  </si>
  <si>
    <t>LINESTRING (5.329174028872595 59.39822819108781, 5.3292103915828895 59.39830460135655, 5.3292319289025425 59.39833570112915, 5.329311044886633 59.39779244531313, 5.329020861065332 59.39776733041602, 5.32687420487827 59.39757751308108, 5.326601469531707 59.39752707569785)</t>
  </si>
  <si>
    <t>[2010567, 2010575, 682243, 682270, 682271, 682278]</t>
  </si>
  <si>
    <t>[1759196, 673335, 673336, 673370, 673371, 672915]</t>
  </si>
  <si>
    <t>[369942, 1759196, 673335, 673336, 673370, 673371]</t>
  </si>
  <si>
    <t>[0.211, 0.998, 0.025, 0.0, 0.021, 0.014]</t>
  </si>
  <si>
    <t>345.97492969626757</t>
  </si>
  <si>
    <t>[0.053, 0.051]</t>
  </si>
  <si>
    <t>LINESTRING (10.419902915981194 59.938004769838024, 10.419816771386419 59.93801985014511, 10.419617511788312 59.93792999579271)</t>
  </si>
  <si>
    <t>[382386, 382394]</t>
  </si>
  <si>
    <t>[371725, 371650]</t>
  </si>
  <si>
    <t>0.05147641611070818</t>
  </si>
  <si>
    <t>[371616, 371725]</t>
  </si>
  <si>
    <t>21.420635726436824</t>
  </si>
  <si>
    <t>[-0.007, 0.032]</t>
  </si>
  <si>
    <t>LINESTRING (10.41998295166156 59.93791455953843, 10.419973433652235 59.93796009621463, 10.419902915981194 59.938004769838024)</t>
  </si>
  <si>
    <t>[382368, 382378]</t>
  </si>
  <si>
    <t>[371705, 371616]</t>
  </si>
  <si>
    <t>0.014625595005246891</t>
  </si>
  <si>
    <t>[371626, 371705]</t>
  </si>
  <si>
    <t>[0.007, 0.032]</t>
  </si>
  <si>
    <t>11.455001991698975</t>
  </si>
  <si>
    <t>[0.546, 0.065, 0.069]</t>
  </si>
  <si>
    <t>LINESTRING (10.421902912587452 59.93819350076288, 10.420634769503756 59.93811216148035, 10.42001110690587 59.938021466685534, 10.419902915981194 59.938004769838024)</t>
  </si>
  <si>
    <t>[1834812, 382272, 382283]</t>
  </si>
  <si>
    <t>[371603, 371604, 371616]</t>
  </si>
  <si>
    <t>0.3681652561582088</t>
  </si>
  <si>
    <t>[824789, 371603, 371604]</t>
  </si>
  <si>
    <t>115.20242872357596</t>
  </si>
  <si>
    <t>[-0.06, -0.044]</t>
  </si>
  <si>
    <t>LINESTRING (10.419699378842251 59.93785118141716, 10.419875876376924 59.937843741485835, 10.41998295166156 59.93791455953843)</t>
  </si>
  <si>
    <t>[382338, 382360]</t>
  </si>
  <si>
    <t>[371675, 371626]</t>
  </si>
  <si>
    <t>[371674, 371675]</t>
  </si>
  <si>
    <t>[0.06, 0.044]</t>
  </si>
  <si>
    <t>20.45637867810518</t>
  </si>
  <si>
    <t>[0.576, 0.061, 0.071]</t>
  </si>
  <si>
    <t>LINESTRING (10.421902912587452 59.93819350076288, 10.42072147299033 59.93806319389899, 10.420065488010774 59.937932207540086, 10.41998295166156 59.93791455953843)</t>
  </si>
  <si>
    <t>[1834726, 382284, 382299]</t>
  </si>
  <si>
    <t>[371617, 371618, 371626]</t>
  </si>
  <si>
    <t>0.37334414732864896</t>
  </si>
  <si>
    <t>[824789, 371617, 371618]</t>
  </si>
  <si>
    <t>113.16691055216165</t>
  </si>
  <si>
    <t>[0.064, 0.058, 0.02, 0.027, -0.015, -0.04, -2.975]</t>
  </si>
  <si>
    <t>LINESTRING (10.419617511788312 59.93792999579271, 10.41952395843547 59.93790582149956, 10.419115963137173 59.93780327143181, 10.409459099283438 59.938920912255654, 10.407918652445339 59.93940296557892, 10.406422866881067 59.939991301657905, 10.406411002230112 59.939998145655224, 10.406263189397155 59.9400614307524)</t>
  </si>
  <si>
    <t>[382320, 382332, 1834808, 1834802, 1834782, 1834790, 1834798]</t>
  </si>
  <si>
    <t>[371651, 371667, 1609918, 1609901, 1609902, 1609909, 1388976]</t>
  </si>
  <si>
    <t>[371650, 371651, 371667, 1609918, 1609901, 1609902, 1609909]</t>
  </si>
  <si>
    <t>[0.064, 0.058, 0.02, 0.027, 0.015, 0.04, 2.975]</t>
  </si>
  <si>
    <t>824.68784449989</t>
  </si>
  <si>
    <t>[-0.006, -0.033]</t>
  </si>
  <si>
    <t>LINESTRING (10.419617511788312 59.93792999579271, 10.419638193759782 59.93788538717148, 10.419699378842251 59.93785118141716)</t>
  </si>
  <si>
    <t>[382395, 382403]</t>
  </si>
  <si>
    <t>[371736, 371674]</t>
  </si>
  <si>
    <t>[371650, 371736]</t>
  </si>
  <si>
    <t>[0.006, 0.033]</t>
  </si>
  <si>
    <t>10.227573898137326</t>
  </si>
  <si>
    <t>[0.061, 0.06, 0.02, 0.027, -0.015, -0.039, -2.863]</t>
  </si>
  <si>
    <t>LINESTRING (10.419699378842251 59.93785118141716, 10.4195876608098 59.93783225705595, 10.419155560636687 59.93775797200669, 10.409378150825233 59.938885217462214, 10.407880649290489 59.93935318161174, 10.406352069794735 59.939963585903776, 10.40634046172538 59.939970906523634, 10.406263189397155 59.9400614307524)</t>
  </si>
  <si>
    <t>[382470, 382478, 1834734, 1834742, 1834750, 1834758, 1834766]</t>
  </si>
  <si>
    <t>[371827, 371837, 1609870, 1609875, 1609880, 1609885, 1388976]</t>
  </si>
  <si>
    <t>[371674, 371827, 371837, 1609870, 1609875, 1609880, 1609885]</t>
  </si>
  <si>
    <t>[0.061, 0.06, 0.02, 0.027, 0.015, 0.039, 2.863]</t>
  </si>
  <si>
    <t>833.2770093734536</t>
  </si>
  <si>
    <t>LINESTRING (10.384505648264557 59.94749778503134, 10.384525492173069 59.94756512547058, 10.384466324595092 59.94761404689322)</t>
  </si>
  <si>
    <t>[382580, 382601]</t>
  </si>
  <si>
    <t>[371951, 371794]</t>
  </si>
  <si>
    <t>0.08845669704125388</t>
  </si>
  <si>
    <t>[371772, 371951]</t>
  </si>
  <si>
    <t>13.9648792346172</t>
  </si>
  <si>
    <t>25.493706885774255</t>
  </si>
  <si>
    <t>[0.059, 0.032, 0.018]</t>
  </si>
  <si>
    <t>LINESTRING (10.392484091471466 59.94656520108209, 10.3856379912015 59.947592146516136, 10.384636378520577 59.94752268473921, 10.384505648264557 59.94749778503134)</t>
  </si>
  <si>
    <t>[1834605, 382414, 382425]</t>
  </si>
  <si>
    <t>[371756, 371757, 371772]</t>
  </si>
  <si>
    <t>0.05510524231251476</t>
  </si>
  <si>
    <t>[1358098, 371756, 371757]</t>
  </si>
  <si>
    <t>479.47166218194764</t>
  </si>
  <si>
    <t>8.78039862426107</t>
  </si>
  <si>
    <t>[0.061, 0.04, 0.043]</t>
  </si>
  <si>
    <t>LINESTRING (10.392484091471466 59.94656520108209, 10.385653869845106 59.947641629787505, 10.3845944760311 59.947614087019545, 10.384466324595092 59.94761404689322)</t>
  </si>
  <si>
    <t>[1834629, 382433, 382442]</t>
  </si>
  <si>
    <t>[371782, 371783, 371794]</t>
  </si>
  <si>
    <t>0.058127661065349646</t>
  </si>
  <si>
    <t>[1358098, 371782, 371783]</t>
  </si>
  <si>
    <t>479.06754867184617</t>
  </si>
  <si>
    <t>[0.101, 0.075, 0.086, 0.048]</t>
  </si>
  <si>
    <t>LINESTRING (10.384162404906908 59.94753440977565, 10.384065054963601 59.94757736064068, 10.383105207244501 59.94779891034927, 10.380513760836008 59.94881041363526, 10.379700100945186 59.94927229586576)</t>
  </si>
  <si>
    <t>[382499, 382508, 1834613, 1834621]</t>
  </si>
  <si>
    <t>[371864, 371872, 1609791, 1571849]</t>
  </si>
  <si>
    <t>0.07609633467974909</t>
  </si>
  <si>
    <t>[371863, 371864, 371872, 1609791]</t>
  </si>
  <si>
    <t>319.5783520069965</t>
  </si>
  <si>
    <t>[-0.013, -0.078]</t>
  </si>
  <si>
    <t>LINESTRING (10.384315093587114 59.947635277637374, 10.384198999365251 59.94759990913001, 10.384162404906908 59.94753440977565)</t>
  </si>
  <si>
    <t>[382616, 382631]</t>
  </si>
  <si>
    <t>[371989, 371863]</t>
  </si>
  <si>
    <t>[371880, 371989]</t>
  </si>
  <si>
    <t>[0.013, 0.078]</t>
  </si>
  <si>
    <t>15.175962636431862</t>
  </si>
  <si>
    <t>[0.072, 0.069, 0.084, 0.05]</t>
  </si>
  <si>
    <t>LINESTRING (10.384315093587114 59.947635277637374, 10.384189662233762 59.94765586568757, 10.383304518940362 59.947807068046814, 10.38060407638687 59.9488254361382, 10.379700100945186 59.94927229586576)</t>
  </si>
  <si>
    <t>[382516, 382535, 1834637, 1834645]</t>
  </si>
  <si>
    <t>[371881, 371900, 1609802, 1571849]</t>
  </si>
  <si>
    <t>0.0737299916274515</t>
  </si>
  <si>
    <t>[371880, 371881, 371900, 1609802]</t>
  </si>
  <si>
    <t>320.18454488124905</t>
  </si>
  <si>
    <t>[0.155, 0.028, 0.042, 0.076, 0.042, -0.028, -0.004]</t>
  </si>
  <si>
    <t>LINESTRING (5.727150918579271 58.839783550469484, 5.726668991806901 58.83992209268472, 5.7251220143677015 58.84040719816642, 5.724157054304716 58.84074758721715, 5.72175883184159 58.84176911189244, 5.719946854261887 58.8430445627429, 5.719935421189065 58.843055599123005, 5.719766063837674 58.84322807718511)</t>
  </si>
  <si>
    <t>[1423690, 1423698, 1423706, 1423714, 460243, 460264, 460274]</t>
  </si>
  <si>
    <t>[1298713, 1298717, 1298723, 458664, 458665, 458690, 458700]</t>
  </si>
  <si>
    <t>0.05425547874368899</t>
  </si>
  <si>
    <t>[372460, 1298713, 1298717, 1298723, 458664, 458665, 458690]</t>
  </si>
  <si>
    <t>[0.155, 0.028, 0.042, 0.076, 0.042, 0.028, 0.004]</t>
  </si>
  <si>
    <t>584.7415186480039</t>
  </si>
  <si>
    <t>[0.023, 0.027, 0.032, 0.03, 0.004, -0.078, -0.038, -0.064]</t>
  </si>
  <si>
    <t>LINESTRING (5.723639185021727 58.839190551236975, 5.723490499673449 58.83919347786713, 5.722654126396005 58.83937107044039, 5.722580301438202 58.839405391401975, 5.722527116340281 58.83943570467108, 5.724105458553393 58.840709158113704, 5.725074199616635 58.840369097596735, 5.726691846531833 58.83986582417131, 5.727150918579271 58.839783550469484)</t>
  </si>
  <si>
    <t>[1420512, 1420520, 1420528, 1420536, 1420544, 1420552, 1420560, 383002]</t>
  </si>
  <si>
    <t>[1296805, 1296573, 1296815, 1296556, 1296823, 1296828, 372459, 372460]</t>
  </si>
  <si>
    <t>[1296649, 1296805, 1296573, 1296815, 1296556, 1296823, 1296828, 372459]</t>
  </si>
  <si>
    <t>[0.023, 0.027, 0.032, 0.03, 0.004, 0.078, 0.038, 0.064]</t>
  </si>
  <si>
    <t>529.9477826303198</t>
  </si>
  <si>
    <t>[-0.076, -0.073, -0.04, 0.051, 0.05]</t>
  </si>
  <si>
    <t>LINESTRING (5.734634970919359 58.83643622800615, 5.733227514042376 58.837490470856544, 5.7329968605746355 58.83763351262227, 5.729414434902532 58.83913666758547, 5.728561749866188 58.83938353746387, 5.727150918579271 58.839783550469484)</t>
  </si>
  <si>
    <t>[1423650, 1423658, 1423666, 1423674, 1423682]</t>
  </si>
  <si>
    <t>[1298697, 1298702, 1298704, 1298707, 372460]</t>
  </si>
  <si>
    <t>[1296759, 1298697, 1298702, 1298704, 1298707]</t>
  </si>
  <si>
    <t>[0.076, 0.073, 0.04, 0.051, 0.05]</t>
  </si>
  <si>
    <t>582.060692840761</t>
  </si>
  <si>
    <t>[0.001, 0.042, 0.072]</t>
  </si>
  <si>
    <t>LINESTRING (5.384156256873275 59.424318523350344, 5.381553744399604 59.423345189202536, 5.380743819243579 59.42302503071732, 5.379284810406431 59.422441091807244)</t>
  </si>
  <si>
    <t>[383903, 383911, 383919]</t>
  </si>
  <si>
    <t>[373555, 373568, 373466]</t>
  </si>
  <si>
    <t>0.029439706398172425</t>
  </si>
  <si>
    <t>[373446, 373555, 373568]</t>
  </si>
  <si>
    <t>347.9420436734993</t>
  </si>
  <si>
    <t>[-0.043, -0.044]</t>
  </si>
  <si>
    <t>LINESTRING (5.385080073395953 59.42456826485235, 5.384205919600296 59.42433311055647, 5.384156256873275 59.424318523350344)</t>
  </si>
  <si>
    <t>[383887, 383895]</t>
  </si>
  <si>
    <t>[373535, 373446]</t>
  </si>
  <si>
    <t>[373478, 373535]</t>
  </si>
  <si>
    <t>[0.043, 0.044]</t>
  </si>
  <si>
    <t>60.33026473953213</t>
  </si>
  <si>
    <t>[0.018, 0.007, 0.026, -0.017, -0.022, -0.021, 0.055]</t>
  </si>
  <si>
    <t>LINESTRING (5.381932420039439 59.42317318426076, 5.381877153007676 59.42315053868836, 5.381778762565796 59.4230703340103, 5.381454231876966 59.42320779905385, 5.381985620387882 59.42347326384525, 5.382601841489217 59.4237148496886, 5.383982249229226 59.424241905202244, 5.384156256873275 59.424318523350344)</t>
  </si>
  <si>
    <t>[1250212, 1250220, 1250221, 1250148, 1250149, 1250163, 383815]</t>
  </si>
  <si>
    <t>[1169473, 1169481, 1169430, 1169431, 1169432, 373445, 373446]</t>
  </si>
  <si>
    <t>[1169472, 1169473, 1169481, 1169430, 1169431, 1169432, 373445]</t>
  </si>
  <si>
    <t>[0.018, 0.007, 0.026, 0.017, 0.022, 0.021, 0.055]</t>
  </si>
  <si>
    <t>251.5521299131932</t>
  </si>
  <si>
    <t>[0.076, 0.048]</t>
  </si>
  <si>
    <t>LINESTRING (5.380468334260633 59.42298265483569, 5.379224391299532 59.422480064663034, 5.377871390077949 59.42177757095311)</t>
  </si>
  <si>
    <t>[383871, 383879]</t>
  </si>
  <si>
    <t>[373517, 373525]</t>
  </si>
  <si>
    <t>0.06058168520086112</t>
  </si>
  <si>
    <t>[373456, 373517]</t>
  </si>
  <si>
    <t>201.20876575634242</t>
  </si>
  <si>
    <t>[-0.042, 0.002, 0.043, 0.053]</t>
  </si>
  <si>
    <t>LINESTRING (5.385080073395953 59.42456826485235, 5.384165886529473 59.424373962577825, 5.381503013889136 59.42338528129623, 5.380684506158645 59.42306813740427, 5.380468334260633 59.42298265483569)</t>
  </si>
  <si>
    <t>[383839, 383847, 383855, 383863]</t>
  </si>
  <si>
    <t>[373479, 373488, 373497, 373456]</t>
  </si>
  <si>
    <t>0.004121318580471267</t>
  </si>
  <si>
    <t>[373478, 373479, 373488, 373497]</t>
  </si>
  <si>
    <t>[0.042, 0.002, 0.043, 0.053]</t>
  </si>
  <si>
    <t>319.17300802980515</t>
  </si>
  <si>
    <t>[-0.113, -0.115, -0.112, -0.112, -0.091, -0.077, 0.065, -0.055, 0.042, 0.017, 0.023, 0.009, 0.043]</t>
  </si>
  <si>
    <t>[0, 0, 1, 0, 0, 0, 0, 0, 0, 0, 0, 0, 0]</t>
  </si>
  <si>
    <t>LINESTRING (5.3853736627852005 59.424618124146576, 5.385137615544207 59.42461577217536, 5.384435522636793 59.424490258181336, 5.384211808132969 59.42442957653207, 5.383536467511633 59.4243194824634, 5.383267326606029 59.42434948859449, 5.383044675566439 59.42444458193816, 5.382881289833525 59.42451736989808, 5.382945660089714 59.424415194519526, 5.383002548380016 59.424121780443315, 5.382286047274503 59.42373558016613, 5.382089597071587 59.42365841187909, 5.380603741673175 59.423060920267986, 5.380468334260633 59.42298265483569)</t>
  </si>
  <si>
    <t>[2071686, 2071694, 2071702, 2071710, 2071718, 2071726, 1417781, 1417788, 2071534, 2071542, 2071630, 2071647, 383823]</t>
  </si>
  <si>
    <t>[1798585, 1798593, 1798597, 1798603, 1798609, 1294780, 1203381, 1294786, 1798486, 1798492, 1798548, 373455, 373456]</t>
  </si>
  <si>
    <t>[1223192, 1798585, 1798593, 1798597, 1798603, 1798609, 1294780, 1203381, 1294786, 1798486, 1798492, 1798548, 373455]</t>
  </si>
  <si>
    <t>[0.113, 0.115, 0.112, 0.112, 0.091, 0.077, 0.065, 0.055, 0.042, 0.017, 0.023, 0.009, 0.043]</t>
  </si>
  <si>
    <t>396.41688224551484</t>
  </si>
  <si>
    <t>109.86597808502768</t>
  </si>
  <si>
    <t>[-0.095, -0.051, -0.04, -0.023]</t>
  </si>
  <si>
    <t>LINESTRING (5.379284810406431 59.422441091807244, 5.379505710647435 59.42251196334841, 5.380965532150138 59.42301754544701, 5.381226485976065 59.42301350194973, 5.381932420039439 59.42317318426076)</t>
  </si>
  <si>
    <t>[383831, 1250175, 1250244, 1250245]</t>
  </si>
  <si>
    <t>[373467, 1169445, 1169501, 1169472]</t>
  </si>
  <si>
    <t>[373466, 373467, 1169445, 1169501]</t>
  </si>
  <si>
    <t>[0.095, 0.051, 0.04, 0.023]</t>
  </si>
  <si>
    <t>185.41326797769813</t>
  </si>
  <si>
    <t>0.692</t>
  </si>
  <si>
    <t>17.62396101914375</t>
  </si>
  <si>
    <t>[0.088, -0.037, 0.0, -0.052, -0.035, -0.012, 0.002, 0.039, 0.0, -0.081]</t>
  </si>
  <si>
    <t>LINESTRING (5.336781233498914 59.40644924783088, 5.336807697599799 59.406425245477315, 5.3362089990260975 59.40561311487484, 5.3362055328744145 59.40560882275014, 5.335488389904014 59.40476848401716, 5.335384486988916 59.40462218245741, 5.334708946461996 59.40320679475124, 5.334697852708776 59.40317068045493, 5.334561054953315 59.40104965468676, 5.3345610536942285 59.4010453411727, 5.3345473778688905 59.40036410977463)</t>
  </si>
  <si>
    <t>[383935, 1339060, 1339068, 1339076, 1339084, 1339092, 1339100, 1339108, 1339116, 1339124]</t>
  </si>
  <si>
    <t>[373599, 1242599, 1242604, 1242613, 1242620, 1242623, 1242629, 1242633, 1242639, 1092178]</t>
  </si>
  <si>
    <t>[373598, 373599, 1242599, 1242604, 1242613, 1242620, 1242623, 1242629, 1242633, 1242639]</t>
  </si>
  <si>
    <t>[0.088, 0.037, 0.0, 0.052, 0.035, 0.012, 0.002, 0.039, 0.0, 0.081]</t>
  </si>
  <si>
    <t>701.7327375566756</t>
  </si>
  <si>
    <t>[-0.126, -0.061, -0.101]</t>
  </si>
  <si>
    <t>LINESTRING (5.336781233498914 59.40644924783088, 5.3367347871480115 59.406438244359386, 5.336125563315165 59.40562633049842, 5.336122936094274 59.405623068647046)</t>
  </si>
  <si>
    <t>[383943, 1157237, 1157245]</t>
  </si>
  <si>
    <t>[373611, 1092224, 1092001]</t>
  </si>
  <si>
    <t>[373598, 373611, 1092224]</t>
  </si>
  <si>
    <t>[0.126, 0.061, 0.101]</t>
  </si>
  <si>
    <t>100.51432310343465</t>
  </si>
  <si>
    <t>27.20937266804052</t>
  </si>
  <si>
    <t>[-0.016, 0.006, -0.001, -0.001, -0.014]</t>
  </si>
  <si>
    <t>LINESTRING (14.648233415074731 66.39089151715729, 14.651415951481887 66.39207059592772, 14.65161680092042 66.39214532668602, 14.652393031090114 66.39243389652948, 14.6524603826393 66.392458475346, 14.653570512360387 66.39282463068848)</t>
  </si>
  <si>
    <t>[384866, 384870, 384877, 384889, 384897]</t>
  </si>
  <si>
    <t>[371003, 374625, 374629, 374644, 374652]</t>
  </si>
  <si>
    <t>[374620, 371003, 374625, 374629, 374644]</t>
  </si>
  <si>
    <t>[0.016, 0.006, 0.001, 0.001, 0.014]</t>
  </si>
  <si>
    <t>321.725631652017</t>
  </si>
  <si>
    <t>[-0.018, 0.005, -0.002, -0.001, -0.007]</t>
  </si>
  <si>
    <t>LINESTRING (14.648233415074731 66.39089151715729, 14.651441428041421 66.3919877136131, 14.651626870953192 66.39205674906668, 14.651726338697149 66.39209374438396, 14.652505270657544 66.39238432926524, 14.653570512360387 66.39282463068848)</t>
  </si>
  <si>
    <t>[384900, 384908, 384916, 384931, 384933]</t>
  </si>
  <si>
    <t>[371002, 371013, 374671, 374695, 374652]</t>
  </si>
  <si>
    <t>[374620, 371002, 371013, 374671, 374695]</t>
  </si>
  <si>
    <t>[0.018, 0.005, 0.002, 0.001, 0.007]</t>
  </si>
  <si>
    <t>322.10282198955986</t>
  </si>
  <si>
    <t>[-0.004, 0.038, -0.038, -0.046]</t>
  </si>
  <si>
    <t>LINESTRING (14.54151834366411 66.38680744739848, 14.54760067433238 66.38580091809101, 14.605395054632732 66.38557077082949, 14.646262178547165 66.39034601984825, 14.648233415074731 66.39089151715729)</t>
  </si>
  <si>
    <t>[1819990, 1819998, 1820013, 1820021]</t>
  </si>
  <si>
    <t>[1600116, 677210, 1600133, 374620]</t>
  </si>
  <si>
    <t>0.003956680875396738</t>
  </si>
  <si>
    <t>[1571858, 1600116, 677210, 1600133]</t>
  </si>
  <si>
    <t>[0.004, 0.038, 0.038, 0.046]</t>
  </si>
  <si>
    <t>4903.285970482002</t>
  </si>
  <si>
    <t>[-0.022, 0.009, -0.017, -0.041, -0.043, 0.06, 0.031, 0.013, 0.009, 0.007, 0.009, -0.027, -0.057, -0.026, 0.042, -0.006, -0.04, -0.045, 0.014]</t>
  </si>
  <si>
    <t>[0, 0, 0, 1, 0, 0, 0, 0, 0, 0, 0, 0, 0, 0, 0, 0, 0, 0, 0]</t>
  </si>
  <si>
    <t>LINESTRING (14.653570512360387 66.39282463068848, 14.65501134722723 66.39336070767818, 14.658085137932458 66.39450424997415, 14.660346084316386 66.39534530087589, 14.661009163977637 66.39559194539376, 14.661735601941684 66.3958645257694, 14.662259811566107 66.39605979938085, 14.672108856205199 66.39904168007693, 14.675861601158585 66.39939500474264, 14.679094627804188 66.39966418686964, 14.68037414526192 66.39977290736077, 14.680872296326793 66.39981570619098, 14.686564668847623 66.40033196780973, 14.688433947033822 66.40057997164207, 14.690187101047348 66.400944240668, 14.715156804270142 66.4088061851807, 14.716202566770152 66.40882361966578, 14.719571929236984 66.40879448096949, 14.727498840795054 66.40935173908571, 14.738918478793611 66.41412895843328)</t>
  </si>
  <si>
    <t>[1820039, 1820053, 1820054, 1820056, 1820069, 1820073, 1820092, 1820093, 1820094, 1820109, 1820130, 1820138, 595670, 595678, 595686, 595630, 595638, 595646, 595654]</t>
  </si>
  <si>
    <t>[1600024, 1600164, 1600165, 1600167, 1600040, 1600033, 1600048, 1600052, 1600070, 1600081, 1600087, 599393, 599394, 599402, 599356, 599357, 599364, 599329, 599379]</t>
  </si>
  <si>
    <t>0.011058838328373946</t>
  </si>
  <si>
    <t>[374652, 1600024, 1600164, 1600165, 1600167, 1600040, 1600033, 1600048, 1600052, 1600070, 1600081, 1600087, 599393, 599394, 599402, 599356, 599357, 599364, 599329]</t>
  </si>
  <si>
    <t>[0.022, 0.009, 0.017, 0.041, 0.043, 0.06, 0.031, 0.013, 0.009, 0.007, 0.009, 0.027, 0.057, 0.026, 0.042, 0.006, 0.04, 0.045, 0.014]</t>
  </si>
  <si>
    <t>4689.549990314057</t>
  </si>
  <si>
    <t>[-0.027, -0.078, -0.068, -0.067, -0.112, -0.027, 0.147]</t>
  </si>
  <si>
    <t>LINESTRING (6.164859356586233 58.5365247286334, 6.163569538824416 58.53609572647284, 6.163258132566613 58.536034632587786, 6.161064556741225 58.53584375196993, 6.16048039098853 58.53573891525275, 6.159176007885411 58.535268035530905, 6.157621849342014 58.53435658274763, 6.157588539024937 58.53431948484176)</t>
  </si>
  <si>
    <t>[1378266, 1378267, 1378270, 1378274, 1378280, 1378288, 384919]</t>
  </si>
  <si>
    <t>[1269227, 1269228, 1269231, 1269234, 1269236, 374675, 374676]</t>
  </si>
  <si>
    <t>[1269059, 1269227, 1269228, 1269231, 1269234, 1269236, 374675]</t>
  </si>
  <si>
    <t>[0.027, 0.078, 0.068, 0.067, 0.112, 0.027, 0.147]</t>
  </si>
  <si>
    <t>509.9628729077683</t>
  </si>
  <si>
    <t>[-0.097, -0.069, -0.064, -0.115, -0.029, 0.021]</t>
  </si>
  <si>
    <t>LINESTRING (6.163405828069994 58.536004308354734, 6.163289293048744 58.53598373802469, 6.161100251608361 58.53579242277495, 6.160516679530188 58.53568858462812, 6.159217778270253 58.53521638775711, 6.1576706420182346 58.53431864374928, 6.157588539024937 58.53431948484176)</t>
  </si>
  <si>
    <t>[1378087, 1378100, 1378119, 1378132, 1378148, 384941]</t>
  </si>
  <si>
    <t>[1269136, 1269139, 1269151, 1269161, 374704, 374676]</t>
  </si>
  <si>
    <t>[1269083, 1269136, 1269139, 1269151, 1269161, 374704]</t>
  </si>
  <si>
    <t>[0.097, 0.069, 0.064, 0.115, 0.029, 0.021]</t>
  </si>
  <si>
    <t>406.6242878690463</t>
  </si>
  <si>
    <t>[0.021, -0.043, -0.035, -0.03, -0.021, -0.023, -0.012, -0.012]</t>
  </si>
  <si>
    <t>LINESTRING (13.36551271789853 65.37351557438892, 13.36496059105087 65.37426006519767, 13.364409803773457 65.37542853484743, 13.364388600894674 65.37551619476378, 13.364324110510546 65.37602669690945, 13.364322879025428 65.37612358370563, 13.364324699677825 65.37620426826975, 13.364642563728202 65.37765060352005, 13.364693933267109 65.3778910988997)</t>
  </si>
  <si>
    <t>[385286, 385294, 385311, 385333, 385341, 385349, 385357, 385369]</t>
  </si>
  <si>
    <t>[375164, 375171, 375187, 375211, 375151, 375221, 375228, 375235]</t>
  </si>
  <si>
    <t>[375163, 375164, 375171, 375187, 375211, 375151, 375221, 375228]</t>
  </si>
  <si>
    <t>[0.021, 0.043, 0.035, 0.03, 0.021, 0.023, 0.012, 0.012]</t>
  </si>
  <si>
    <t>495.5866939441232</t>
  </si>
  <si>
    <t>[0.017, -0.047, -0.029, -0.02, -0.027, -0.023, -0.023, -0.008, -0.003, 0.013]</t>
  </si>
  <si>
    <t>LINESTRING (13.36551271789853 65.37351557438892, 13.364805318124239 65.37424437472582, 13.36420312782874 65.37551170923764, 13.364139968999364 65.37602875935777, 13.364139161167536 65.37607492558429, 13.364138257983521 65.3761260807266, 13.364137547146631 65.37616654007618, 13.364136930949007 65.3762065158152, 13.36454740638593 65.37765291190698, 13.364582619953245 65.37773394900205, 13.364693933267109 65.3778910988997)</t>
  </si>
  <si>
    <t>[385371, 385384, 385392, 385399, 385406, 385416, 385424, 385432, 385440, 385448]</t>
  </si>
  <si>
    <t>[375237, 375251, 375259, 375152, 375268, 375277, 375284, 375292, 375298, 375235]</t>
  </si>
  <si>
    <t>[375163, 375237, 375251, 375259, 375152, 375268, 375277, 375284, 375292, 375298]</t>
  </si>
  <si>
    <t>[0.017, 0.047, 0.029, 0.02, 0.027, 0.023, 0.023, 0.008, 0.003, 0.013]</t>
  </si>
  <si>
    <t>499.85581584504877</t>
  </si>
  <si>
    <t>[-0.03, -0.03, -0.008, -0.004, -0.01, -0.011, -0.012, -0.011, -0.005, 0.036]</t>
  </si>
  <si>
    <t>[0, 1, 0, 0, 0, 0, 0, 1, 0, 0]</t>
  </si>
  <si>
    <t>LINESTRING (13.370445557656938 65.34446939559292, 13.370400945508592 65.34478737367334, 13.370377145728703 65.34495590467968, 13.371230089271679 65.3523319275289, 13.377964640473586 65.36533170478191, 13.377858032378212 65.36542138354066, 13.376549828165375 65.36642069409444, 13.376470453858719 65.36648015970891, 13.37623979112239 65.36665299144772, 13.374935884590467 65.36763399979719, 13.36551271789853 65.37351557438892)</t>
  </si>
  <si>
    <t>[683265, 683273, 683281, 683217, 683225, 683233, 683000, 683008, 683016, 683024]</t>
  </si>
  <si>
    <t>[674492, 674501, 674445, 674117, 674455, 674216, 674217, 674224, 674125, 375163]</t>
  </si>
  <si>
    <t>0.0032919847849390248</t>
  </si>
  <si>
    <t>[375471, 674492, 674501, 674445, 674117, 674455, 674216, 674217, 674224, 674125]</t>
  </si>
  <si>
    <t>[0.03, 0.03, 0.008, 0.004, 0.01, 0.011, 0.012, 0.011, 0.005, 0.036]</t>
  </si>
  <si>
    <t>3521.3927421384833</t>
  </si>
  <si>
    <t>[-0.001, -0.032, -0.009, -0.015, -0.008, -0.004, -0.002, -0.001, -0.001, -0.002, -0.001, 0.007, 0.022, -0.004, 0.003, 0.021, 0.025, -0.005]</t>
  </si>
  <si>
    <t>[0, 0, 0, 1, 0, 0, 0, 0, 0, 0, 0, 0, 0, 1, 0, 1, 0, 0]</t>
  </si>
  <si>
    <t>LINESTRING (13.364693933267109 65.3778910988997, 13.364974048134222 65.37843516328007, 13.37444000174165 65.3926409538952, 13.383929769924341 65.40230719116587, 13.383853336668052 65.40242232641783, 13.383227171848961 65.40455941266852, 13.386774181846336 65.40814649125373, 13.389699536833353 65.41407776696157, 13.389622832982534 65.41448466678912, 13.38950892717715 65.41490157197887, 13.389992379771616 65.41785488755562, 13.390008229402186 65.41789016493979, 13.390347524178193 65.4186095729728, 13.405271104881779 65.4269938314774, 13.40557120451149 65.42730550380233, 13.407162034441095 65.42895671480008, 13.407464344167456 65.42926964467512, 13.41158467247944 65.43408892572097, 13.412487355627096 65.43555406646796)</t>
  </si>
  <si>
    <t>[683033, 2161554, 2161538, 2161546, 2161514, 2161522, 2161490, 2161498, 2161506, 2161530, 2095002, 2095010, 2095018, 2095026, 2095034, 2095042, 2095050, 2095058]</t>
  </si>
  <si>
    <t>[674247, 1850847, 1850848, 1850831, 1850832, 1850813, 1850814, 451055, 1850823, 1812512, 1812513, 672571, 1812524, 1812530, 1812534, 1812540, 978075, 1186105]</t>
  </si>
  <si>
    <t>[375235, 674247, 1850847, 1850848, 1850831, 1850832, 1850813, 1850814, 451055, 1850823, 1812512, 1812513, 672571, 1812524, 1812530, 1812534, 1812540, 978075]</t>
  </si>
  <si>
    <t>[0.001, 0.032, 0.009, 0.015, 0.008, 0.004, 0.002, 0.001, 0.001, 0.002, 0.001, 0.007, 0.022, 0.004, 0.003, 0.021, 0.025, 0.005]</t>
  </si>
  <si>
    <t>7099.422577979672</t>
  </si>
  <si>
    <t>[0.013, -0.023, -0.025, -0.028, -0.028]</t>
  </si>
  <si>
    <t>LINESTRING (13.373084388937238 65.33972994772486, 13.371019257165877 65.34218182449035, 13.370986619466887 65.34225369192613, 13.37080399759616 65.34275444067922, 13.370781504271395 65.34286062035491, 13.370445557656938 65.34446939559292)</t>
  </si>
  <si>
    <t>[385568, 385576, 385584, 385592, 385600]</t>
  </si>
  <si>
    <t>[375434, 375445, 375454, 375403, 375471]</t>
  </si>
  <si>
    <t>[375433, 375434, 375445, 375454, 375403]</t>
  </si>
  <si>
    <t>[0.013, 0.023, 0.025, 0.028, 0.028]</t>
  </si>
  <si>
    <t>547.0430581818547</t>
  </si>
  <si>
    <t>[0.012, -0.026, -0.029, -0.026, -0.029]</t>
  </si>
  <si>
    <t>LINESTRING (13.373084388937238 65.33972994772486, 13.370805632253838 65.34224229652544, 13.370621873530556 65.34274816636788, 13.370609521350726 65.34280644063624, 13.370587047557601 65.34291263844976, 13.370445557656938 65.34446939559292)</t>
  </si>
  <si>
    <t>[385608, 385616, 385624, 385632, 385640]</t>
  </si>
  <si>
    <t>[375482, 375490, 375404, 375418, 375471]</t>
  </si>
  <si>
    <t>[375433, 375482, 375490, 375404, 375418]</t>
  </si>
  <si>
    <t>[0.012, 0.026, 0.029, 0.026, 0.029]</t>
  </si>
  <si>
    <t>549.9481259744317</t>
  </si>
  <si>
    <t>[0.015, -0.029, -0.02, -0.025, -0.032, -0.036, 0.036, -0.011, -0.01, -0.001, -0.001, -0.002, 0.006, 0.011, 0.02, 0.025]</t>
  </si>
  <si>
    <t>[0, 0, 0, 0, 0, 0, 0, 0, 0, 0, 0, 1, 0, 0, 0, 0]</t>
  </si>
  <si>
    <t>LINESTRING (13.342791598131493 65.26801268211932, 13.344029254833922 65.27210192936049, 13.343118709322903 65.27324949597892, 13.33787811145612 65.27574716985464, 13.334952953674076 65.28172248868991, 13.335320209562434 65.28799426841843, 13.342837971072493 65.29735915504449, 13.348687767707903 65.30385861302025, 13.372716973187925 65.31817224112135, 13.378367159956486 65.32190887219869, 13.379540826250246 65.32461633391978, 13.379256625183455 65.32782962008434, 13.379165802468679 65.32808379591441, 13.37539253659392 65.33495898691113, 13.374499048546147 65.33633524226065, 13.37427746810483 65.33689709677256, 13.373084388937238 65.33972994772486)</t>
  </si>
  <si>
    <t>[683113, 683185, 683193, 683201, 683209, 683169, 683177, 683161, 683121, 683129, 683137, 683145, 683153, 683241, 683249, 683257]</t>
  </si>
  <si>
    <t>[674335, 674026, 674035, 674186, 674401, 674046, 674393, 674346, 674347, 674082, 674366, 674376, 674383, 674471, 674100, 375433]</t>
  </si>
  <si>
    <t>[674334, 674335, 674026, 674035, 674186, 674401, 674046, 674393, 674346, 674347, 674082, 674366, 674376, 674383, 674471, 674100]</t>
  </si>
  <si>
    <t>[0.015, 0.029, 0.02, 0.025, 0.032, 0.036, 0.036, 0.011, 0.01, 0.001, 0.001, 0.002, 0.006, 0.011, 0.02, 0.025]</t>
  </si>
  <si>
    <t>8766.362971923254</t>
  </si>
  <si>
    <t>[-0.169, -0.166, -0.377, -0.132, -0.128]</t>
  </si>
  <si>
    <t>LINESTRING (6.68022574953607 58.296843310475, 6.680042468757546 58.29711535481981, 6.6796665250678275 58.29786490608759, 6.679664855864508 58.29786856001472, 6.6795115856759155 58.29828839009873, 6.679481718932783 58.298574319584716)</t>
  </si>
  <si>
    <t>[388155, 388163, 388189, 388197, 388205]</t>
  </si>
  <si>
    <t>[378391, 378401, 378437, 378447, 378304]</t>
  </si>
  <si>
    <t>[378167, 378391, 378401, 378437, 378447]</t>
  </si>
  <si>
    <t>[0.169, 0.166, 0.377, 0.132, 0.128]</t>
  </si>
  <si>
    <t>199.19142332177452</t>
  </si>
  <si>
    <t>[0.056, -0.019, -0.079, -0.12, -0.161]</t>
  </si>
  <si>
    <t>LINESTRING (6.689048352348651 58.29505026664696, 6.68642619314018 58.295317608185535, 6.683273438943151 58.295516618164484, 6.682762435426619 58.29559412193439, 6.6806877870182575 58.29641465518744, 6.68022574953607 58.296843310475)</t>
  </si>
  <si>
    <t>[388111, 388122, 388137, 388147, 388148]</t>
  </si>
  <si>
    <t>[378320, 378339, 378367, 378380, 378167]</t>
  </si>
  <si>
    <t>[378200, 378320, 378339, 378367, 378380]</t>
  </si>
  <si>
    <t>[0.056, 0.019, 0.079, 0.12, 0.161]</t>
  </si>
  <si>
    <t>585.4918508135852</t>
  </si>
  <si>
    <t>[-0.111, 0.023, 0.134, 0.163, 0.182]</t>
  </si>
  <si>
    <t>LINESTRING (6.677999061917587 58.29842303534217, 6.678037616552942 58.29847095549518, 6.679449245988217 58.298295406572024, 6.679603429261687 58.29787439997108, 6.680102994647074 58.2969536725107, 6.68022574953607 58.296843310475)</t>
  </si>
  <si>
    <t>[2136930, 2136938, 2136946, 2136954, 387997]</t>
  </si>
  <si>
    <t>[1836780, 1836783, 1836787, 378166, 378167]</t>
  </si>
  <si>
    <t>0.09710201198995376</t>
  </si>
  <si>
    <t>[443013, 1836780, 1836783, 1836787, 378166]</t>
  </si>
  <si>
    <t>[0.111, 0.023, 0.134, 0.163, 0.182]</t>
  </si>
  <si>
    <t>294.0681057054771</t>
  </si>
  <si>
    <t>[-0.136, -0.165, -0.165, 0.068]</t>
  </si>
  <si>
    <t>LINESTRING (6.680123008575994 58.2971402592292, 6.680095613918978 58.29726778770313, 6.679827713582331 58.297840720333674, 6.679667972711581 58.29827074864717, 6.680420268021328 58.29865177308639)</t>
  </si>
  <si>
    <t>[388004, 1614599, 1614602, 1614611]</t>
  </si>
  <si>
    <t>[378177, 1447913, 1447916, 1447922]</t>
  </si>
  <si>
    <t>[378176, 378177, 1447913, 1447916]</t>
  </si>
  <si>
    <t>[0.136, 0.165, 0.165, 0.068]</t>
  </si>
  <si>
    <t>200.18720293668167</t>
  </si>
  <si>
    <t>[-0.168, 0.0, -0.152, -0.126]</t>
  </si>
  <si>
    <t>[0, 1, 1, 0]</t>
  </si>
  <si>
    <t>LINESTRING (6.680123008575994 58.2971402592292, 6.679762128626992 58.29785059271393, 6.679760484793202 58.29785428440231, 6.679606877710448 58.29827757599324, 6.679481718932783 58.298574319584716)</t>
  </si>
  <si>
    <t>[388069, 388070, 388082, 388099]</t>
  </si>
  <si>
    <t>[378261, 378262, 378283, 378304]</t>
  </si>
  <si>
    <t>[378176, 378261, 378262, 378283]</t>
  </si>
  <si>
    <t>[0.168, 0.0, 0.152, 0.126]</t>
  </si>
  <si>
    <t>164.76666150404543</t>
  </si>
  <si>
    <t>[0.056, -0.027, -0.121, -0.161, -0.163]</t>
  </si>
  <si>
    <t>LINESTRING (6.689048352348651 58.29505026664696, 6.686478485793869 58.295368283721274, 6.682828556794891 58.29563775409696, 6.680756385976195 58.296456212661894, 6.680299035587743 58.29688577986716, 6.680123008575994 58.2971402592292)</t>
  </si>
  <si>
    <t>[388023, 388024, 388044, 388045, 388058]</t>
  </si>
  <si>
    <t>[378201, 378202, 378229, 378230, 378176]</t>
  </si>
  <si>
    <t>[378200, 378201, 378202, 378229, 378230]</t>
  </si>
  <si>
    <t>[0.056, 0.027, 0.121, 0.161, 0.163]</t>
  </si>
  <si>
    <t>613.9065801821298</t>
  </si>
  <si>
    <t>[-0.11, -0.209, 0.104, 0.277, 0.089, -0.066, -0.049, -0.033, 0.011, 0.037, 0.05, 0.036, -0.119, -0.099, -0.073, -0.088, -0.086, 0.014, -0.036, 0.022, -0.04, -0.113, 0.039, -0.086, -0.109, -0.067, -0.067, -0.045, -0.015, 0.071, 0.018, -0.099, -0.15, -0.188, -0.041, -0.018, -0.064, -0.047, -0.035, -0.043, 0.002, 0.001, 0.055, 0.097, 0.024, 0.009, 0.122, 0.127, 0.121, 0.125, 0.135, 0.079, -0.077, 0.025, -0.015, -0.047, -0.014, -0.041, -0.051, 1.289]</t>
  </si>
  <si>
    <t>[0, 1, 1, 0, 0, 0, 0, 0, 0, 0, 0, 0, 0, 0, 0, 0, 0, 0, 0, 0, 0, 0, 0, 0, 0, 0, 0, 0, 0, 0, 0, 0, 0, 0, 0, 0, 0, 0, 0, 0, 0, 0, 0, 0, 0, 0, 0, 0, 0, 0, 0, 0, 0, 0, 0, 0, 0, 0, 0, 0]</t>
  </si>
  <si>
    <t>LINESTRING (6.782361186501546 58.27371783418992, 6.780450376398984 58.273691334109294, 6.779342082984765 58.27350238987409, 6.777545142776624 58.272809056563545, 6.776079622694426 58.272029256642945, 6.766784414446813 58.270070119134566, 6.7664531396672984 58.270019987118644, 6.762585600201018 58.269493344387264, 6.76185924215593 58.26945273222296, 6.757927530052978 58.26970559218382, 6.757749302616995 58.26972615598309, 6.756140997735091 58.26984327332798, 6.753196311453552 58.26978500663915, 6.752540602384532 58.26977101092617, 6.747264652073135 58.270492638287706, 6.747222413736215 58.27050018905067, 6.74344651738604 58.27066753310868, 6.742628325844388 58.2706130237837, 6.742503189616631 58.27060194345371, 6.737289456480578 58.27058402523583, 6.737255973161726 58.270586655942815, 6.727418285748215 58.27325532176515, 6.726496353732982 58.27473340036514, 6.722400211684861 58.27828331807393, 6.717936431054909 58.28072603948717, 6.716643524686434 58.28085909978386, 6.7163450762212165 58.28086734424921, 6.7156859929356445 58.28088534199783, 6.715535213690271 58.28089064769904, 6.712242474366799 58.281254227649626, 6.710429682027517 58.28105654771291, 6.707728533088925 58.280491278855315, 6.707658604799464 58.280484411019934, 6.7068318279424775 58.28045356314961, 6.704630880439219 58.28080027896133, 6.702754417045163 58.28230311151546, 6.703317704249833 58.283861415782894, 6.703877618091623 58.28424647260546, 6.705245281148335 58.2850520239262, 6.705354190019485 58.28512660371406, 6.705460146804303 58.285210520280444, 6.7060395629328555 58.285654180277305, 6.707047417476527 58.28700126680614, 6.707091228646618 58.287594869707604, 6.705400710251412 58.289465662903694, 6.703457593837281 58.290562172494276, 6.703176963407189 58.29070957223048, 6.703080639158387 58.29075792206746, 6.703014200078924 58.29078729670357, 6.702964866148696 58.2908091705121, 6.702576666427536 58.29098774173527, 6.7021345630487525 58.291200502992396, 6.700061351880961 58.292186023727474, 6.693522653006474 58.29359375312564, 6.691819434350111 58.29416617820385, 6.690489114267672 58.29461499623885, 6.69039523912829 58.294646594899596, 6.69031399483242 58.29467383982182, 6.689564960610829 58.29491368759972, 6.689369660929174 58.29496935049873, 6.689048352348651 58.29505026664696)</t>
  </si>
  <si>
    <t>[1191552, 1191560, 1353243, 1353251, 1353259, 1353267, 1353275, 1353283, 1353291, 1353299, 1353307, 1353315, 1353323, 1353331, 1353339, 1353347, 1353355, 1353363, 1353371, 1353379, 1353387, 1353395, 1353403, 1353411, 1353419, 1353427, 1353435, 1353443, 1353451, 1353459, 1353467, 1353476, 1353484, 1353492, 1353500, 1353508, 1353516, 1353524, 1353532, 1353540, 1353548, 1353556, 1353564, 1353572, 1353580, 1353588, 1353596, 1353604, 1353612, 1353620, 1353628, 1353636, 1353644, 1353652, 1353660, 1353668, 1353676, 1353684, 1353692, 1353700]</t>
  </si>
  <si>
    <t>[1119281, 1119289, 1252752, 1252757, 1252763, 1252773, 1171557, 1097627, 1252794, 1252802, 1252811, 1252819, 1066135, 1252833, 1252838, 1252846, 1252852, 1252860, 1252865, 1252870, 213435, 1103606, 244890, 1220562, 1220578, 1252899, 1252903, 1252907, 1108910, 1252919, 1121179, 1252928, 1252934, 1252940, 1252948, 235007, 1252958, 1252963, 244538, 1252970, 1252975, 1252980, 1252985, 1252994, 742749, 1220595, 1253009, 1220586, 1253019, 1253027, 1253034, 1253042, 1253048, 229741, 1220556, 1253063, 1220548, 1253071, 1253077, 378200]</t>
  </si>
  <si>
    <t>[1119242, 1119281, 1119289, 1252752, 1252757, 1252763, 1252773, 1171557, 1097627, 1252794, 1252802, 1252811, 1252819, 1066135, 1252833, 1252838, 1252846, 1252852, 1252860, 1252865, 1252870, 213435, 1103606, 244890, 1220562, 1220578, 1252899, 1252903, 1252907, 1108910, 1252919, 1121179, 1252928, 1252934, 1252940, 1252948, 235007, 1252958, 1252963, 244538, 1252970, 1252975, 1252980, 1252985, 1252994, 742749, 1220595, 1253009, 1220586, 1253019, 1253027, 1253034, 1253042, 1253048, 229741, 1220556, 1253063, 1220548, 1253071, 1253077]</t>
  </si>
  <si>
    <t>[0.11, 0.209, 0.104, 0.277, 0.089, 0.066, 0.049, 0.033, 0.011, 0.037, 0.05, 0.036, 0.119, 0.099, 0.073, 0.088, 0.086, 0.014, 0.036, 0.022, 0.04, 0.113, 0.039, 0.086, 0.109, 0.067, 0.067, 0.045, 0.015, 0.071, 0.018, 0.099, 0.15, 0.188, 0.041, 0.018, 0.064, 0.047, 0.035, 0.043, 0.002, 0.001, 0.055, 0.097, 0.024, 0.009, 0.122, 0.127, 0.121, 0.125, 0.135, 0.079, 0.077, 0.025, 0.015, 0.047, 0.014, 0.041, 0.051, 1.289]</t>
  </si>
  <si>
    <t>7579.871997272094</t>
  </si>
  <si>
    <t>[-0.198, 0.058, 0.15, 0.15, 0.155]</t>
  </si>
  <si>
    <t>LINESTRING (6.679481718932783 58.298574319584716, 6.679446019443849 58.298760830584165, 6.679391920963072 58.299458456232585, 6.679429838772336 58.299836103609074, 6.679453619168975 58.299968229950224, 6.679509202141928 58.30023205150249)</t>
  </si>
  <si>
    <t>[1353708, 1353716, 1353724, 1353732, 1353740]</t>
  </si>
  <si>
    <t>[0, 0, 0, 0, 1]</t>
  </si>
  <si>
    <t>[1253089, 1253097, 1253101, 1253107, 1253113]</t>
  </si>
  <si>
    <t>0.07289843728776428</t>
  </si>
  <si>
    <t>[378304, 1253089, 1253097, 1253101, 1253107]</t>
  </si>
  <si>
    <t>[0.198, 0.058, 0.15, 0.15, 0.155]</t>
  </si>
  <si>
    <t>185.58205066438643</t>
  </si>
  <si>
    <t>[-0.008, -0.018]</t>
  </si>
  <si>
    <t>LINESTRING (10.622249432063223 59.90837584830408, 10.622739875660153 59.908434022744125, 10.6242239888841 59.908747983148075)</t>
  </si>
  <si>
    <t>[389663, 1504636]</t>
  </si>
  <si>
    <t>[380272, 1360613]</t>
  </si>
  <si>
    <t>[380271, 380272]</t>
  </si>
  <si>
    <t>[0.008, 0.018]</t>
  </si>
  <si>
    <t>118.40238430237528</t>
  </si>
  <si>
    <t>[0.002, -0.006, 0.007, 0.016, 0.0, 0.003, 0.017, 0.018, 0.052, 0.016, -0.005, -0.02, -0.001, 0.002, -0.013, -0.012, -0.012, -0.016, 0.004, 0.009, -0.008, -0.018, -0.003]</t>
  </si>
  <si>
    <t>98878.0</t>
  </si>
  <si>
    <t>LINESTRING (10.622249432063223 59.90837584830408, 10.615388546146008 59.90669209119597, 10.605708954085037 59.90470368518981, 10.603220911005804 59.90423965570376, 10.603204741346676 59.9042360309443, 10.602992622932522 59.904188620148, 10.60146010620247 59.90384345012487, 10.599486715233787 59.90339752155759, 10.595975650230214 59.90296580399762, 10.595859655619822 59.902941418329604, 10.59392206498555 59.902497779670504, 10.587834557646262 59.90104839147681, 10.58602617179796 59.9006797367007, 10.581674047561656 59.90013069452664, 10.581621832532868 59.90012489431778, 10.581484145863588 59.90010815723082, 10.581466938167484 59.9001060415841, 10.58139812284444 59.90009759747884, 10.58132843163154 59.900089951249925, 10.578785215004459 59.899752042901234, 10.578728134395174 59.89974165359209, 10.577614017679497 59.89951832954509, 10.57756012897109 59.899505618963154, 10.576043521002006 59.89910651323829)</t>
  </si>
  <si>
    <t>[389672, 1542668, 1283932, 1283940, 1283948, 1283956, 1283964, 1283972, 1542676, 1542684, 1542692, 1542700, 1542708, 1542716, 1542724, 1542732, 1542740, 1542748, 1542756, 1542764, 1542772, 1542780, 1542788]</t>
  </si>
  <si>
    <t>[380281, 1197851, 1197852, 1197862, 1197866, 1197873, 1197881, 1197888, 1393634, 1393639, 1393646, 1393652, 1393660, 1393669, 1393677, 1393684, 1393689, 1393697, 1393704, 1393712, 1393719, 1393724, 1393732]</t>
  </si>
  <si>
    <t>0.0006696788925978175</t>
  </si>
  <si>
    <t>[380271, 380281, 1197851, 1197852, 1197862, 1197866, 1197873, 1197881, 1197888, 1393634, 1393639, 1393646, 1393652, 1393660, 1393669, 1393677, 1393684, 1393689, 1393697, 1393704, 1393712, 1393719, 1393724]</t>
  </si>
  <si>
    <t>[0.002, 0.006, 0.007, 0.016, 0.0, 0.003, 0.017, 0.018, 0.052, 0.016, 0.005, 0.02, 0.001, 0.002, 0.013, 0.012, 0.012, 0.016, 0.004, 0.009, 0.008, 0.018, 0.003]</t>
  </si>
  <si>
    <t>2804.13197034818</t>
  </si>
  <si>
    <t>142.68408740986757</t>
  </si>
  <si>
    <t>[0.003, -0.012, -0.005, 0.035, 0.007, 0.005, 0.033, 0.012, 0.006, 0.015]</t>
  </si>
  <si>
    <t>103996.0</t>
  </si>
  <si>
    <t>LINESTRING (10.62219962332323 59.90847113004717, 10.615310154555551 59.90677944014838, 10.605703760450062 59.90480108104439, 10.605633613808854 59.90479406231887, 10.603083741892853 59.90452065845933, 10.60306637119091 59.904518531282946, 10.602840617878869 59.90448740884002, 10.601239326015072 59.90421113252468, 10.599231861695662 59.903780490962035, 10.595861930748248 59.90303088114823, 10.59392230310428 59.9025877139873)</t>
  </si>
  <si>
    <t>[389666, 1552631, 1552639, 1552647, 1552655, 1552663, 1552671, 1552679, 1552687, 1552695]</t>
  </si>
  <si>
    <t>[380276, 1401453, 1401459, 1401466, 1401474, 1401481, 1401484, 1401491, 1401497, 1401504]</t>
  </si>
  <si>
    <t>0.004105113243673801</t>
  </si>
  <si>
    <t>[380275, 380276, 1401453, 1401459, 1401466, 1401474, 1401481, 1401484, 1401491, 1401497]</t>
  </si>
  <si>
    <t>[0.003, 0.012, 0.005, 0.035, 0.007, 0.005, 0.033, 0.012, 0.006, 0.015]</t>
  </si>
  <si>
    <t>1725.0275413028476</t>
  </si>
  <si>
    <t>[0.014, 0.007, 0.018]</t>
  </si>
  <si>
    <t>LINESTRING (10.627760825384742 59.909871792812986, 10.627012231158384 59.909655380801055, 10.624493957230547 59.90902538424588, 10.62219962332323 59.90847113004717)</t>
  </si>
  <si>
    <t>[1552607, 1552615, 1552623]</t>
  </si>
  <si>
    <t>[1401433, 1401439, 380275]</t>
  </si>
  <si>
    <t>0.012471857408902044</t>
  </si>
  <si>
    <t>[1401426, 1401433, 1401439]</t>
  </si>
  <si>
    <t>348.31805066302695</t>
  </si>
  <si>
    <t>[-1.053, -0.025, -0.037, -0.02, 0.023, 0.003, 0.285]</t>
  </si>
  <si>
    <t>[0, 0, 1, 1, 1, 0, 0]</t>
  </si>
  <si>
    <t>LINESTRING (10.627481539021987 59.91117630731271, 10.627481539021987 59.91117630731271, 10.627460682083543 59.911130472352475, 10.627457641095832 59.91112378885798, 10.627141774310168 59.91058489856437, 10.626702822482361 59.90996522953411, 10.622375918305087 59.90853274799752, 10.62219962332323 59.90847113004717)</t>
  </si>
  <si>
    <t>[2097203, 1504737, 1504745, 1504746, 1504753, 1504767, 1554063]</t>
  </si>
  <si>
    <t>[1, 1, 0, 0, 0, 0, 0]</t>
  </si>
  <si>
    <t>[1360729, 1360730, 1360737, 1360738, 1360743, 1360757, 380275]</t>
  </si>
  <si>
    <t>[1813848, 1360729, 1360730, 1360737, 1360738, 1360743, 1360757]</t>
  </si>
  <si>
    <t>[1.053, 0.025, 0.037, 0.02, 0.023, 0.003, 0.285]</t>
  </si>
  <si>
    <t>456.4306393629009</t>
  </si>
  <si>
    <t>[-0.005, -0.009]</t>
  </si>
  <si>
    <t>LINESTRING (11.09728844638879 59.259980273183224, 11.098464687119622 59.2601302268261, 11.099570490005279 59.26031137389672)</t>
  </si>
  <si>
    <t>[1779258, 1779266]</t>
  </si>
  <si>
    <t>[1569389, 381770]</t>
  </si>
  <si>
    <t>[381759, 1569389]</t>
  </si>
  <si>
    <t>[0.005, 0.009]</t>
  </si>
  <si>
    <t>135.45105015988938</t>
  </si>
  <si>
    <t>[0.0, 0.005, -0.006]</t>
  </si>
  <si>
    <t>LINESTRING (11.093813468475478 59.25963935997509, 11.093813468475478 59.25963935997509, 11.097228670420407 59.25995705468675, 11.09728844638879 59.259980273183224)</t>
  </si>
  <si>
    <t>[1476633, 1779090, 390789]</t>
  </si>
  <si>
    <t>[1337504, 381758, 381759]</t>
  </si>
  <si>
    <t>0.004611769134911561</t>
  </si>
  <si>
    <t>[1337503, 1337504, 381758]</t>
  </si>
  <si>
    <t>[0.0, 0.005, 0.006]</t>
  </si>
  <si>
    <t>214.54471932469494</t>
  </si>
  <si>
    <t>[0.011, -0.0]</t>
  </si>
  <si>
    <t>LINESTRING (11.095839623099147 59.2597989989505, 11.095923535927732 59.25980722807796, 11.09728844638879 59.259980273183224)</t>
  </si>
  <si>
    <t>[1779242, 1779250]</t>
  </si>
  <si>
    <t>[1569378, 381759]</t>
  </si>
  <si>
    <t>0.0006272634783222247</t>
  </si>
  <si>
    <t>[1569293, 1569378]</t>
  </si>
  <si>
    <t>[0.011, 0.0]</t>
  </si>
  <si>
    <t>85.48227703086042</t>
  </si>
  <si>
    <t>[0.014, 0.016, 0.008, 0.485]</t>
  </si>
  <si>
    <t>LINESTRING (11.099570490005279 59.26031137389672, 11.099602506809397 59.26029856154424, 11.099695359877638 59.260271185393535, 11.100333681818965 59.25962432203033, 11.100320931658016 59.25956343521777)</t>
  </si>
  <si>
    <t>[390797, 1779186, 1779194, 1779202]</t>
  </si>
  <si>
    <t>[381771, 1569328, 1569339, 450606]</t>
  </si>
  <si>
    <t>0.029367288555892997</t>
  </si>
  <si>
    <t>[381770, 381771, 1569328, 1569339]</t>
  </si>
  <si>
    <t>155.2564322565951</t>
  </si>
  <si>
    <t>[-0.003, 0.155]</t>
  </si>
  <si>
    <t>LINESTRING (11.099570490005279 59.26031137389672, 11.100740217500181 59.260314327508496, 11.10088099996148 59.26030584729641)</t>
  </si>
  <si>
    <t>[1779274, 1779282]</t>
  </si>
  <si>
    <t>[1569402, 450560]</t>
  </si>
  <si>
    <t>0.013840732630692552</t>
  </si>
  <si>
    <t>[381770, 1569402]</t>
  </si>
  <si>
    <t>[0.003, 0.155]</t>
  </si>
  <si>
    <t>75.87604671123303</t>
  </si>
  <si>
    <t>[0.0, -0.002, -0.002]</t>
  </si>
  <si>
    <t>LINESTRING (14.134311469281714 66.32038212902539, 14.134311469281714 66.32038212902539, 14.135610521424505 66.32129479696512, 14.136872786971683 66.32217859319313)</t>
  </si>
  <si>
    <t>[403394, 403402, 403410]</t>
  </si>
  <si>
    <t>[396204, 396216, 395173]</t>
  </si>
  <si>
    <t>[396197, 396204, 396216]</t>
  </si>
  <si>
    <t>[0.0, 0.002, 0.002]</t>
  </si>
  <si>
    <t>442.2158685500485</t>
  </si>
  <si>
    <t>32.420255924784904</t>
  </si>
  <si>
    <t>34.540736803058955</t>
  </si>
  <si>
    <t>[0.002, -0.004]</t>
  </si>
  <si>
    <t>LINESTRING (14.134311469281714 66.32038212902539, 14.131338566706347 66.31778765693181, 14.130965937245307 66.31766517272062)</t>
  </si>
  <si>
    <t>[597399, 597407]</t>
  </si>
  <si>
    <t>[600775, 600782]</t>
  </si>
  <si>
    <t>0.0011889468725514057</t>
  </si>
  <si>
    <t>[396197, 600775]</t>
  </si>
  <si>
    <t>[0.002, 0.004]</t>
  </si>
  <si>
    <t>159.58807594506874</t>
  </si>
  <si>
    <t>169.0488522173452</t>
  </si>
  <si>
    <t>LINESTRING (11.339341497327085 60.12909166232929, 11.339432574789008 60.12912227160362, 11.339942227570493 60.12927762759975)</t>
  </si>
  <si>
    <t>[1734061, 1734062]</t>
  </si>
  <si>
    <t>[1540901, 415877]</t>
  </si>
  <si>
    <t>[1540900, 1540901]</t>
  </si>
  <si>
    <t>39.890245094902674</t>
  </si>
  <si>
    <t>LINESTRING (11.339210609953353 60.12924632433412, 11.339364089408694 60.12924801954744, 11.339942227570493 60.12927762759975)</t>
  </si>
  <si>
    <t>[1734065, 1734074]</t>
  </si>
  <si>
    <t>[1540905, 415877]</t>
  </si>
  <si>
    <t>0.004791613892163901</t>
  </si>
  <si>
    <t>[1540904, 1540905]</t>
  </si>
  <si>
    <t>40.95151599726865</t>
  </si>
  <si>
    <t>[0.008, 0.005, 0.005, 0.005]</t>
  </si>
  <si>
    <t>LINESTRING (11.342813705545451 60.1297772607686, 11.343522239786058 60.12992922996113, 11.343719178919764 60.12996110879844, 11.345038446643185 60.13016383686045, 11.346642717525024 60.130377255124955)</t>
  </si>
  <si>
    <t>[419236, 419244, 419257, 419265]</t>
  </si>
  <si>
    <t>[415896, 415909, 415924, 415889]</t>
  </si>
  <si>
    <t>0.005576319123849095</t>
  </si>
  <si>
    <t>[415878, 415896, 415909, 415924]</t>
  </si>
  <si>
    <t>223.51762683408043</t>
  </si>
  <si>
    <t>[0.007, 0.005, 0.005, 0.006]</t>
  </si>
  <si>
    <t>LINESTRING (11.342813705545451 60.1297772607686, 11.343525946509741 60.12986001453966, 11.343748188354477 60.12989004913509, 11.34508053973626 60.13010132684739, 11.346642717525024 60.130377255124955)</t>
  </si>
  <si>
    <t>[419281, 419289, 419297, 419305]</t>
  </si>
  <si>
    <t>[415958, 415969, 415980, 415889]</t>
  </si>
  <si>
    <t>0.00577682570876601</t>
  </si>
  <si>
    <t>[415878, 415958, 415969, 415980]</t>
  </si>
  <si>
    <t>223.4162492411039</t>
  </si>
  <si>
    <t>[0.007, 0.06, 0.005, 0.008, 0.009, 0.009, 0.006, 0.019, 0.024, 0.036, -0.007, 0.006, 0.018, 0.016, 0.017, -0.065, -0.047, -0.029, -0.004, -0.008, -0.002, 0.01, 0.048, -0.001, 0.022, 0.003, 0.014, -0.031, -0.005, -0.008, -0.007, -0.017, -0.044]</t>
  </si>
  <si>
    <t>LINESTRING (11.346642717525024 60.130377255124955, 11.34698041007008 60.13042720918048, 11.347175214656078 60.1304577564473, 11.353999135698965 60.131590701089834, 11.354142852659121 60.13161084136352, 11.354326992426316 60.13164018504985, 11.360274675800365 60.13263539173886, 11.36278597343379 60.13306399809134, 11.363884740309302 60.133255095306446, 11.364780094184969 60.133411830911975, 11.36934170530079 60.134268750876245, 11.37078079567554 60.13465069070072, 11.370919165141288 60.13468684429536, 11.37131451334167 60.134794762127314, 11.371995853972754 60.13498755132244, 11.3729818108254 60.13526472920483, 11.373933639108056 60.13553091516177, 11.374619553303521 60.1357182789218, 11.37636580449419 60.13619147084037, 11.378130113636205 60.13667311461855, 11.380013845173421 60.13717587921088, 11.384998706872386 60.138682876646264, 11.38525845490466 60.138762777738165, 11.385413807311362 60.13881852421893, 11.390079885763287 60.14038375167176, 11.39139107777753 60.14082839852999, 11.39174601297095 60.14095140972172, 11.393962653940612 60.14169314017378, 11.394652288464131 60.14192944576455, 11.398710539670311 60.14345019437474, 11.400928420259715 60.14444709531659, 11.403753946535474 60.14582268989971, 11.405838162903606 60.14682485765092, 11.409586913051166 60.14869726179424)</t>
  </si>
  <si>
    <t>[419232, 1538186, 1495617, 1495625, 1495633, 1495641, 1495649, 1495657, 1495665, 1495676, 1495680, 1495681, 1495688, 1495696, 1495704, 1495712, 1495720, 1495728, 1495736, 1495744, 1495752, 1495760, 1495768, 1495776, 1495784, 1495792, 1495800, 1495808, 1495816, 1495837, 1495856, 1495869, 1495877]</t>
  </si>
  <si>
    <t>[415890, 1353901, 1353902, 1353910, 1353917, 1353927, 1353933, 1353940, 1353947, 1353954, 1353958, 1353959, 1353962, 495536, 1353972, 1353978, 1353983, 1353990, 497611, 1354005, 1354011, 1354017, 1354024, 1354032, 1354040, 1354044, 1354051, 1354055, 1354062, 1354083, 1354101, 1354114, 1354120]</t>
  </si>
  <si>
    <t>[415889, 415890, 1353901, 1353902, 1353910, 1353917, 1353927, 1353933, 1353940, 1353947, 1353954, 1353958, 1353959, 1353962, 495536, 1353972, 1353978, 1353983, 1353990, 497611, 1354005, 1354011, 1354017, 1354024, 1354032, 1354040, 1354044, 1354051, 1354055, 1354062, 1354083, 1354101, 1354114]</t>
  </si>
  <si>
    <t>[0.007, 0.06, 0.005, 0.008, 0.009, 0.009, 0.006, 0.019, 0.024, 0.036, 0.007, 0.006, 0.018, 0.016, 0.017, 0.065, 0.047, 0.029, 0.004, 0.008, 0.002, 0.01, 0.048, 0.001, 0.022, 0.003, 0.014, 0.031, 0.005, 0.008, 0.007, 0.017, 0.044]</t>
  </si>
  <si>
    <t>4105.028643719195</t>
  </si>
  <si>
    <t>[0.002, 0.002, 0.001, 0.0]</t>
  </si>
  <si>
    <t>LINESTRING (9.2140899805323 59.56713463362734, 9.214056206681681 59.56719744872914, 9.213937964995614 59.567251703021476, 9.213811405123103 59.567262458493, 9.213699593471626 59.56724371902428)</t>
  </si>
  <si>
    <t>[420464, 420472, 420502, 420514]</t>
  </si>
  <si>
    <t>[417584, 417596, 417647, 417666]</t>
  </si>
  <si>
    <t>0.0013184369967709896</t>
  </si>
  <si>
    <t>[417583, 417584, 417596, 417647]</t>
  </si>
  <si>
    <t>30.202485859650338</t>
  </si>
  <si>
    <t>LINESTRING (9.213944154148594 59.56701555936267, 9.214060958647893 59.56707371592702, 9.2140899805323 59.56713463362734)</t>
  </si>
  <si>
    <t>[420570, 420578]</t>
  </si>
  <si>
    <t>[417747, 417583]</t>
  </si>
  <si>
    <t>[417746, 417747]</t>
  </si>
  <si>
    <t>16.247235236134095</t>
  </si>
  <si>
    <t>[-0.0, 0.001]</t>
  </si>
  <si>
    <t>LINESTRING (9.215765592971419 59.56672656210658, 9.21418709394629 59.56709695204405, 9.2140899805323 59.56713463362734)</t>
  </si>
  <si>
    <t>[1391504, 1391518]</t>
  </si>
  <si>
    <t>[1276185, 417583]</t>
  </si>
  <si>
    <t>6.553205246213682e-05</t>
  </si>
  <si>
    <t>[1276144, 1276185]</t>
  </si>
  <si>
    <t>105.55103889803826</t>
  </si>
  <si>
    <t>[-0.001, -0.002]</t>
  </si>
  <si>
    <t>LINESTRING (9.213699593471626 59.56724371902428, 9.213607716115028 59.56719380608169, 9.213577449390414 59.567133940341904)</t>
  </si>
  <si>
    <t>[420515, 420524]</t>
  </si>
  <si>
    <t>[417667, 417678]</t>
  </si>
  <si>
    <t>[417666, 417667]</t>
  </si>
  <si>
    <t>14.507187333676576</t>
  </si>
  <si>
    <t>LINESTRING (9.213699593471626 59.56724371902428, 9.213602591574947 59.567255298579376, 9.211993286721972 59.56760152178047)</t>
  </si>
  <si>
    <t>[1391534, 1391542]</t>
  </si>
  <si>
    <t>[1276214, 1276220]</t>
  </si>
  <si>
    <t>[417666, 1276214]</t>
  </si>
  <si>
    <t>104.87324620784543</t>
  </si>
  <si>
    <t>[-0.002, -0.001, -0.0, 0.0]</t>
  </si>
  <si>
    <t>LINESTRING (9.213577449390414 59.567133940341904, 9.213608586194944 59.56707078337076, 9.213724543557795 59.567015266813, 9.213882728924187 59.56700527432835, 9.213944154148594 59.56701555936267)</t>
  </si>
  <si>
    <t>[420525, 420532, 420561, 420569]</t>
  </si>
  <si>
    <t>[417511, 417689, 417449, 417746]</t>
  </si>
  <si>
    <t>[417678, 417511, 417689, 417449]</t>
  </si>
  <si>
    <t>[0.002, 0.001, 0.0, 0.0]</t>
  </si>
  <si>
    <t>28.958369922635697</t>
  </si>
  <si>
    <t>[0.002, 0.003]</t>
  </si>
  <si>
    <t>LINESTRING (9.213577449390414 59.567133940341904, 9.213508259199166 59.56716246183314, 9.211993286721972 59.56760152178047)</t>
  </si>
  <si>
    <t>[1391558, 1391566]</t>
  </si>
  <si>
    <t>[1276235, 1276220]</t>
  </si>
  <si>
    <t>0.002951499243839958</t>
  </si>
  <si>
    <t>[417678, 1276235]</t>
  </si>
  <si>
    <t>103.99280691206147</t>
  </si>
  <si>
    <t>LINESTRING (9.215765592971419 59.56672656210658, 9.214097287295477 59.567002966041386, 9.213944154148594 59.56701555936267)</t>
  </si>
  <si>
    <t>[1391488, 1391496]</t>
  </si>
  <si>
    <t>[1276171, 417746]</t>
  </si>
  <si>
    <t>8.10257634680331e-05</t>
  </si>
  <si>
    <t>[1276144, 1276171]</t>
  </si>
  <si>
    <t>108.325511651821</t>
  </si>
  <si>
    <t>LINESTRING (14.157929531970412 66.32433564483301, 14.15810880151762 66.32430072728691, 14.158304716969043 66.32431524489367)</t>
  </si>
  <si>
    <t>[1021230, 1021238]</t>
  </si>
  <si>
    <t>[976667, 976673]</t>
  </si>
  <si>
    <t>0.027999969881486234</t>
  </si>
  <si>
    <t>[420056, 976667]</t>
  </si>
  <si>
    <t>17.85331340988882</t>
  </si>
  <si>
    <t>[-0.015, -0.023, -0.028, -0.004]</t>
  </si>
  <si>
    <t>LINESTRING (14.158420905424883 66.32449800238156, 14.158368961677683 66.32452293243247, 14.158227558588145 66.3245533897408, 14.158041783761997 66.32454924456933, 14.157929531970412 66.32433564483301)</t>
  </si>
  <si>
    <t>[1021198, 1021206, 1021214, 1021222]</t>
  </si>
  <si>
    <t>[489118, 976642, 491711, 420056]</t>
  </si>
  <si>
    <t>[489117, 489118, 976642, 491711]</t>
  </si>
  <si>
    <t>[0.015, 0.023, 0.028, 0.004]</t>
  </si>
  <si>
    <t>47.89195732191557</t>
  </si>
  <si>
    <t>8.060048262855084</t>
  </si>
  <si>
    <t>[-4.855, -0.092, 7.91]</t>
  </si>
  <si>
    <t>LINESTRING (17.43634931458188 68.4419906952529, 17.436377031335436 68.4420124236515, 17.436387371822843 68.44202052994544, 17.436404241827276 68.44203375554962)</t>
  </si>
  <si>
    <t>[490904, 490905, 490906]</t>
  </si>
  <si>
    <t>[491391, 491392, 449377]</t>
  </si>
  <si>
    <t>[420193, 491391, 491392]</t>
  </si>
  <si>
    <t>[4.855, 0.092, 7.91]</t>
  </si>
  <si>
    <t>5.303818436028275</t>
  </si>
  <si>
    <t>[-0.016, -0.026, -0.022, -0.023, -0.026, -0.024, -0.045, -0.061, 0.676]</t>
  </si>
  <si>
    <t>LINESTRING (17.432013220852394 68.44023209507586, 17.43368792500273 68.44093032223425, 17.4339166793184 68.44102830345858, 17.434588781119384 68.44129346287357, 17.434715737914015 68.44134310464462, 17.43484327628636 68.44139179551716, 17.434915244499834 68.44141931539998, 17.435944572185022 68.44182171188112, 17.43607618010101 68.44187347485449, 17.43634931458188 68.4419906952529)</t>
  </si>
  <si>
    <t>[490876, 490885, 490895, 490896, 490897, 490898, 490899, 490901, 490903]</t>
  </si>
  <si>
    <t>[490338, 491373, 491385, 491386, 449451, 491387, 491388, 491390, 420193]</t>
  </si>
  <si>
    <t>0.018817264590047955</t>
  </si>
  <si>
    <t>[488618, 490338, 491373, 491385, 491386, 449451, 491387, 491388, 491390]</t>
  </si>
  <si>
    <t>[0.016, 0.026, 0.022, 0.023, 0.026, 0.024, 0.045, 0.061, 0.676]</t>
  </si>
  <si>
    <t>264.8372129273989</t>
  </si>
  <si>
    <t>[-0.022, -0.017]</t>
  </si>
  <si>
    <t>LINESTRING (17.436532249708463 68.44196427658827, 17.43657815509764 68.44195796331597, 17.437127999213473 68.44194189115578)</t>
  </si>
  <si>
    <t>[450666, 450674]</t>
  </si>
  <si>
    <t>[449411, 449389]</t>
  </si>
  <si>
    <t>[420194, 449411]</t>
  </si>
  <si>
    <t>[0.022, 0.017]</t>
  </si>
  <si>
    <t>25.019511069474635</t>
  </si>
  <si>
    <t>[-5.566, -0.06, 4.152]</t>
  </si>
  <si>
    <t>LINESTRING (17.436532249708463 68.44196427658827, 17.436554051642165 68.4419820613761, 17.436564672206185 68.44199072899372, 17.436593429953344 68.44201419228747)</t>
  </si>
  <si>
    <t>[488460, 488468, 488469]</t>
  </si>
  <si>
    <t>[488669, 488676, 449378]</t>
  </si>
  <si>
    <t>[420194, 488669, 488676]</t>
  </si>
  <si>
    <t>[5.566, 0.06, 4.152]</t>
  </si>
  <si>
    <t>6.1055130933644985</t>
  </si>
  <si>
    <t>[-0.02, -0.019, -0.027, -0.026, -0.029, -0.033, 0.391]</t>
  </si>
  <si>
    <t>LINESTRING (17.432013220852394 68.44023209507586, 17.433832067825193 68.44087949366893, 17.434074301053855 68.44097347341172, 17.43474598197868 68.4412394819469, 17.43500077137336 68.44133873447367, 17.435071578954336 68.44136703402684, 17.436117550739432 68.44176921426963, 17.436532249708463 68.44196427658827)</t>
  </si>
  <si>
    <t>[488421, 488429, 488430, 488439, 488447, 488455, 488458]</t>
  </si>
  <si>
    <t>[488619, 488626, 488627, 449452, 488650, 488663, 420194]</t>
  </si>
  <si>
    <t>0.017929449514397556</t>
  </si>
  <si>
    <t>[488618, 488619, 488626, 488627, 449452, 488650, 488663]</t>
  </si>
  <si>
    <t>[0.02, 0.019, 0.027, 0.026, 0.029, 0.033, 0.391]</t>
  </si>
  <si>
    <t>268.2718919141083</t>
  </si>
  <si>
    <t>[-0.004, -0.001, 0.001, 0.002, 0.007, 0.018, 0.005, -0.007]</t>
  </si>
  <si>
    <t>LINESTRING (10.217281229957644 59.731233733206096, 10.217344641766976 59.73124138995416, 10.217474313937487 59.731294559624054, 10.217517697778256 59.73137382396566, 10.217512006364931 59.73139218215381, 10.217192048274548 59.73149924318887, 10.217030857122392 59.731442989230786, 10.216989621582986 59.73134523724621, 10.217006637884623 59.73131347586246)</t>
  </si>
  <si>
    <t>[422542, 422550, 422559, 422585, 422493, 422500, 422501, 422508]</t>
  </si>
  <si>
    <t>[420293, 420304, 420317, 420227, 420228, 420238, 420239, 420249]</t>
  </si>
  <si>
    <t>0.005236980080105208</t>
  </si>
  <si>
    <t>[420282, 420293, 420304, 420317, 420227, 420228, 420238, 420239]</t>
  </si>
  <si>
    <t>[0.004, 0.001, 0.001, 0.002, 0.007, 0.018, 0.005, 0.007]</t>
  </si>
  <si>
    <t>74.62077002619554</t>
  </si>
  <si>
    <t>[0.008, 0.015, 0.022, 0.026]</t>
  </si>
  <si>
    <t>LINESTRING (10.217006637884623 59.73131347586246, 10.21697217292045 59.73125554926935, 10.216525632500908 59.730849389771265, 10.216201416677364 59.730622314435756, 10.21611696776615 59.73057843969518)</t>
  </si>
  <si>
    <t>[586762, 586770, 586778, 586786]</t>
  </si>
  <si>
    <t>[592195, 592204, 592212, 592221]</t>
  </si>
  <si>
    <t>0.01755453435525613</t>
  </si>
  <si>
    <t>[420249, 592195, 592204, 592212]</t>
  </si>
  <si>
    <t>96.62839776718278</t>
  </si>
  <si>
    <t>[0.017, 0.017, 0.014]</t>
  </si>
  <si>
    <t>LINESTRING (10.217281229957644 59.731233733206096, 10.217200659064876 59.731190126664494, 10.21642815594579 59.73055202611722, 10.216397672890524 59.730502385193745)</t>
  </si>
  <si>
    <t>[1719009, 1719017, 1719029]</t>
  </si>
  <si>
    <t>[1532048, 1532053, 1300689]</t>
  </si>
  <si>
    <t>0.016818968377745627</t>
  </si>
  <si>
    <t>[420282, 1532048, 1532053]</t>
  </si>
  <si>
    <t>95.99876704564552</t>
  </si>
  <si>
    <t>[0.01, 0.014, 0.008, -0.005, -0.017, -0.015, -0.018, -0.02, -0.013, -0.002, 0.004, 0.009, 0.011]</t>
  </si>
  <si>
    <t>LINESTRING (10.228420114613948 59.74255803730318, 10.228323408079092 59.74256372869379, 10.228135965360064 59.74253855698376, 10.227995765497393 59.74247084905922, 10.227944503437474 59.742328211474046, 10.227965563316369 59.74229231435076, 10.227999530510848 59.7422598733493, 10.228028747138765 59.74223997837264, 10.228186740175714 59.742183123431225, 10.228379396225435 59.74217178524219, 10.228700753213289 59.74230890650026, 10.228715132796667 59.74234460023687, 10.22871673138187 59.74238081830829, 10.228710355392952 59.742405619362685)</t>
  </si>
  <si>
    <t>[422795, 422803, 422811, 422819, 422827, 422835, 422850, 422861, 422877, 422755, 422763, 422771, 422779]</t>
  </si>
  <si>
    <t>[420591, 420603, 420611, 265500, 420631, 420641, 420661, 420676, 420540, 420541, 420551, 420563, 420571]</t>
  </si>
  <si>
    <t>[420581, 420591, 420603, 420611, 265500, 420631, 420641, 420661, 420676, 420540, 420541, 420551, 420563]</t>
  </si>
  <si>
    <t>[0.01, 0.014, 0.008, 0.005, 0.017, 0.015, 0.018, 0.02, 0.013, 0.002, 0.004, 0.009, 0.011]</t>
  </si>
  <si>
    <t>112.29871706608546</t>
  </si>
  <si>
    <t>[-0.009, -0.001, 0.013, -0.005, -0.002]</t>
  </si>
  <si>
    <t>LINESTRING (10.228710355392952 59.742405619362685, 10.228812081772455 59.742448746330254, 10.231070034277826 59.74360660423679, 10.232218102066902 59.74405367940469, 10.233340059246379 59.74450859161481, 10.23397992824185 59.744682967265405)</t>
  </si>
  <si>
    <t>[1638634, 1638641, 1638649, 1638650, 1638658]</t>
  </si>
  <si>
    <t>[1465382, 1326354, 1326326, 419798, 1460410]</t>
  </si>
  <si>
    <t>0.0008253073367576147</t>
  </si>
  <si>
    <t>[420571, 1465382, 1326354, 1326326, 419798]</t>
  </si>
  <si>
    <t>[0.009, 0.001, 0.013, 0.005, 0.002]</t>
  </si>
  <si>
    <t>393.02825864423687</t>
  </si>
  <si>
    <t>[0.015, -0.048, 0.003, -0.005, 0.007, -0.015]</t>
  </si>
  <si>
    <t>LINESTRING (10.236461174595977 59.74681040016237, 10.236051914165936 59.74665903334827, 10.232258827421145 59.74478666767979, 10.231771890317921 59.74453841040471, 10.22944709534344 59.74297863105231, 10.22851440481851 59.742588723638036, 10.228420114613948 59.74255803730318)</t>
  </si>
  <si>
    <t>[1179371, 1664224, 1664232, 1664240, 1633268, 1633280]</t>
  </si>
  <si>
    <t>[1110162, 1492734, 1492744, 419943, 1460324, 420581]</t>
  </si>
  <si>
    <t>[1109982, 1110162, 1492734, 1492744, 419943, 1460324]</t>
  </si>
  <si>
    <t>[0.015, 0.048, 0.003, 0.005, 0.007, 0.015]</t>
  </si>
  <si>
    <t>659.6429672105165</t>
  </si>
  <si>
    <t>[0.044, -0.005, -0.058, -0.098]</t>
  </si>
  <si>
    <t>LINESTRING (5.857256770334601 58.76905339082793, 5.857248228451592 58.769093246842274, 5.857176260116244 58.76914259085607, 5.857086659042859 58.7691575168668, 5.857052622715437 58.769157505117754)</t>
  </si>
  <si>
    <t>[422832, 422844, 422853, 422855]</t>
  </si>
  <si>
    <t>[420639, 420653, 420666, 420669]</t>
  </si>
  <si>
    <t>[420638, 420639, 420653, 420666]</t>
  </si>
  <si>
    <t>[0.044, 0.005, 0.058, 0.098]</t>
  </si>
  <si>
    <t>18.833044123082914</t>
  </si>
  <si>
    <t>[0.088, 0.078]</t>
  </si>
  <si>
    <t>LINESTRING (5.85713642960894 58.768975311286475, 5.8572229566941 58.76900763406462, 5.857256770334601 58.76905339082793)</t>
  </si>
  <si>
    <t>[422927, 422940]</t>
  </si>
  <si>
    <t>[420753, 420638]</t>
  </si>
  <si>
    <t>0.08330413283754712</t>
  </si>
  <si>
    <t>[420752, 420753]</t>
  </si>
  <si>
    <t>11.66122344424456</t>
  </si>
  <si>
    <t>[0.087, 0.102, 0.077, 0.024, 0.007, -0.001, -0.014, -0.027]</t>
  </si>
  <si>
    <t>LINESTRING (5.862419478020144 58.76696796790803, 5.86232795370612 58.76698716875717, 5.86217415699262 58.76703516803894, 5.860382602120461 58.76775582964755, 5.859738694945703 58.76801845833093, 5.858621329661426 58.76846961729435, 5.8585452717325035 58.7685006634222, 5.857311526014707 58.76903034523948, 5.857256770334601 58.76905339082793)</t>
  </si>
  <si>
    <t>[423107, 423115, 423129, 423155, 423170, 423176, 423181, 423182]</t>
  </si>
  <si>
    <t>[420988, 420998, 421015, 421051, 421068, 421077, 421082, 420638]</t>
  </si>
  <si>
    <t>0.03153777046530349</t>
  </si>
  <si>
    <t>[420987, 420988, 420998, 421015, 421051, 421068, 421077, 421082]</t>
  </si>
  <si>
    <t>[0.087, 0.102, 0.077, 0.024, 0.007, 0.001, 0.014, 0.027]</t>
  </si>
  <si>
    <t>379.9867436110329</t>
  </si>
  <si>
    <t>[-0.1, -0.069]</t>
  </si>
  <si>
    <t>LINESTRING (5.857052622715437 58.769157505117754, 5.856933341820918 58.76912229873412, 5.856896194436544 58.7690720572215)</t>
  </si>
  <si>
    <t>[422871, 422879]</t>
  </si>
  <si>
    <t>[420690, 420697]</t>
  </si>
  <si>
    <t>[420669, 420690]</t>
  </si>
  <si>
    <t>[0.1, 0.069]</t>
  </si>
  <si>
    <t>13.974951048705574</t>
  </si>
  <si>
    <t>[-0.055, -0.018, 0.009, 0.078]</t>
  </si>
  <si>
    <t>LINESTRING (5.856896194436544 58.7690720572215, 5.856896360750238 58.76905436100641, 5.856915222950736 58.76902039255849, 5.8569815042793305 58.7689831914137, 5.85713642960894 58.768975311286475)</t>
  </si>
  <si>
    <t>[422899, 422910, 422918, 422926]</t>
  </si>
  <si>
    <t>[420719, 420732, 420743, 420752]</t>
  </si>
  <si>
    <t>0.028518734222182457</t>
  </si>
  <si>
    <t>[420697, 420719, 420732, 420743]</t>
  </si>
  <si>
    <t>[0.055, 0.018, 0.009, 0.078]</t>
  </si>
  <si>
    <t>20.87486373520506</t>
  </si>
  <si>
    <t>[0.111, 0.108, 0.11, 0.091, 0.035, 0.012, 0.007, -0.02, -0.02]</t>
  </si>
  <si>
    <t>LINESTRING (5.862293705656657 58.766885557268196, 5.862233128514715 58.7669275952497, 5.862120131922193 58.766990778555005, 5.8617682413659224 58.76713629272034, 5.860969494519722 58.767460917852745, 5.8600790803348835 58.767817620380384, 5.858571382903815 58.768434922820305, 5.858492915643671 58.76846652852538, 5.857204551893396 58.76895328448683, 5.85713642960894 58.768975311286475)</t>
  </si>
  <si>
    <t>[423026, 423027, 423028, 423040, 423055, 423075, 423083, 423098, 423104]</t>
  </si>
  <si>
    <t>[420878, 420879, 420880, 420894, 420919, 420944, 420955, 420979, 420752]</t>
  </si>
  <si>
    <t>0.030612639900308818</t>
  </si>
  <si>
    <t>[420877, 420878, 420879, 420880, 420894, 420919, 420944, 420955, 420979]</t>
  </si>
  <si>
    <t>[0.111, 0.108, 0.11, 0.091, 0.035, 0.012, 0.007, 0.02, 0.02]</t>
  </si>
  <si>
    <t>380.1192606742959</t>
  </si>
  <si>
    <t>[-4.615, -0.05, -0.029, -0.021]</t>
  </si>
  <si>
    <t>LINESTRING (5.862293705656657 58.766885557268196, 5.862300140694517 58.766867559177186, 5.862348036416273 58.76683203261542, 5.86244863603513 58.76681514253328, 5.862492455664156 58.76681970971115)</t>
  </si>
  <si>
    <t>[1351911, 1351919, 1351927, 1351935]</t>
  </si>
  <si>
    <t>[1251773, 1251779, 1251783, 974427]</t>
  </si>
  <si>
    <t>[420877, 1251773, 1251779, 1251783]</t>
  </si>
  <si>
    <t>[4.615, 0.05, 0.029, 0.021]</t>
  </si>
  <si>
    <t>15.620920119305243</t>
  </si>
  <si>
    <t>[-1.507, 1.487]</t>
  </si>
  <si>
    <t>LINESTRING (5.862419478020144 58.76696796790803, 5.862323616159522 58.766938387815095, 5.862293705656657 58.766885557268196)</t>
  </si>
  <si>
    <t>[1351895, 1351903]</t>
  </si>
  <si>
    <t>[1251765, 420877]</t>
  </si>
  <si>
    <t>[420987, 1251765]</t>
  </si>
  <si>
    <t>[1.507, 1.487]</t>
  </si>
  <si>
    <t>12.623695711274436</t>
  </si>
  <si>
    <t>[0.055, 0.04, 0.037, 5.376]</t>
  </si>
  <si>
    <t>LINESTRING (5.862588175780106 58.76689823845707, 5.862581779521288 58.76691595925179, 5.862529852169872 58.76695304997048, 5.862450716931667 58.76696841992285, 5.862419478020144 58.76696796790803)</t>
  </si>
  <si>
    <t>[1351863, 1351871, 1351879, 1351887]</t>
  </si>
  <si>
    <t>[354978, 1251750, 1251758, 420987]</t>
  </si>
  <si>
    <t>0.739620437979414</t>
  </si>
  <si>
    <t>[1055681, 354978, 1251750, 1251758]</t>
  </si>
  <si>
    <t>13.855471749905645</t>
  </si>
  <si>
    <t>LINESTRING (11.303183796723417 60.123098136791164, 11.303400248990515 60.1230811768167, 11.303502580102146 60.12310354233171, 11.303580821419905 60.123143121584526, 11.30363052406305 60.12323151975738)</t>
  </si>
  <si>
    <t>[423215, 423223, 423230, 423235]</t>
  </si>
  <si>
    <t>[421124, 421131, 421140, 421147]</t>
  </si>
  <si>
    <t>[421123, 421124, 421131, 421140]</t>
  </si>
  <si>
    <t>35.03875377819068</t>
  </si>
  <si>
    <t>LINESTRING (11.303039136668074 60.12322172989374, 11.303079549825645 60.1231505919016, 11.303183796723417 60.123098136791164)</t>
  </si>
  <si>
    <t>[423276, 423277]</t>
  </si>
  <si>
    <t>[421202, 421123]</t>
  </si>
  <si>
    <t>[421191, 421202]</t>
  </si>
  <si>
    <t>16.470505242953724</t>
  </si>
  <si>
    <t>[-0.034, -0.038, -0.018, -0.014, 0.006, -0.015, 0.013, 0.012, -0.001, 0.022, 0.016, 0.005, 0.015, 0.001]</t>
  </si>
  <si>
    <t>[0, 1, 0, 1, 0, 1, 0, 1, 0, 1, 0, 0, 0, 0]</t>
  </si>
  <si>
    <t>LINESTRING (11.222237520869006 60.092697903083256, 11.229288397311015 60.09337406702899, 11.231990270191234 60.093632975656035, 11.24544651370622 60.09498647225662, 11.246215393673822 60.09511968466736, 11.258297068169249 60.102552810250764, 11.258901910623699 60.10319563837366, 11.262520905128975 60.10686618726774, 11.263176105403334 60.107495045462194, 11.280359543216587 60.11646655291717, 11.282053800969772 60.11693568130024, 11.297573507765883 60.12222441856675, 11.30066811747431 60.122632750677504, 11.303046915260474 60.12307576692545, 11.303183796723417 60.123098136791164)</t>
  </si>
  <si>
    <t>[423702, 423710, 423718, 423726, 423734, 423320, 423341, 423349, 423357, 423430, 423438, 423446, 423454, 423462]</t>
  </si>
  <si>
    <t>[421738, 421750, 421761, 421768, 421254, 421255, 421273, 421282, 421290, 421385, 421394, 421403, 421413, 421123]</t>
  </si>
  <si>
    <t>[421244, 421738, 421750, 421761, 421768, 421254, 421255, 421273, 421282, 421290, 421385, 421394, 421403, 421413]</t>
  </si>
  <si>
    <t>[0.034, 0.038, 0.018, 0.014, 0.006, 0.015, 0.013, 0.012, 0.001, 0.022, 0.016, 0.005, 0.015, 0.001]</t>
  </si>
  <si>
    <t>6042.8743883185525</t>
  </si>
  <si>
    <t>[0.001, -0.0]</t>
  </si>
  <si>
    <t>LINESTRING (11.30363052406305 60.12323151975738, 11.30358709938419 60.123302214179915, 11.303480638652571 60.12335352910315)</t>
  </si>
  <si>
    <t>[423236, 423237]</t>
  </si>
  <si>
    <t>[421148, 421149]</t>
  </si>
  <si>
    <t>0.0005002787393576593</t>
  </si>
  <si>
    <t>[421147, 421148]</t>
  </si>
  <si>
    <t>16.46879217521647</t>
  </si>
  <si>
    <t>LINESTRING (11.30363052406305 60.12323151975738, 11.303764424490595 60.123307089647405, 11.304059975641307 60.12347389852577)</t>
  </si>
  <si>
    <t>[423606, 423614]</t>
  </si>
  <si>
    <t>[421617, 421593]</t>
  </si>
  <si>
    <t>[421147, 421617]</t>
  </si>
  <si>
    <t>36.04884741852453</t>
  </si>
  <si>
    <t>LINESTRING (11.303480638652571 60.12335352910315, 11.303337612330763 60.12337272152603, 11.303204914036867 60.12335768656786, 11.303092310321514 60.12330968601578, 11.303039136668074 60.12322172989374)</t>
  </si>
  <si>
    <t>[423245, 423253, 423261, 423269]</t>
  </si>
  <si>
    <t>[421161, 421171, 421180, 421191]</t>
  </si>
  <si>
    <t>[421149, 421161, 421171, 421180]</t>
  </si>
  <si>
    <t>34.27141616169144</t>
  </si>
  <si>
    <t>LINESTRING (11.303480638652571 60.12335352910315, 11.303636448448145 60.12338590146324, 11.304059975641307 60.12347389852577)</t>
  </si>
  <si>
    <t>[423582, 423590]</t>
  </si>
  <si>
    <t>[421583, 421593]</t>
  </si>
  <si>
    <t>[421149, 421583]</t>
  </si>
  <si>
    <t>34.89120519591633</t>
  </si>
  <si>
    <t>[-0.035, -0.036, -0.018, -0.014, 0.006, -0.016, 0.013, 0.011, -0.001, 0.022, 0.016, 0.009, 0.008, 0.001]</t>
  </si>
  <si>
    <t>13706.0</t>
  </si>
  <si>
    <t>LINESTRING (11.222224836576338 60.09277089047739, 11.229261401782102 60.093444848682324, 11.231962941886488 60.09370356848687, 11.24540450529465 60.09505503229684, 11.246163523161497 60.095186346817925, 11.258163126344975 60.10258290639433, 11.258771863955284 60.103226294850494, 11.262392936377758 60.10689906355766, 11.26304830413793 60.10752801704081, 11.280298701481271 60.11653162700281, 11.281969591170279 60.116993986757755, 11.297493181324244 60.12229333199715, 11.301666942812817 60.122878839678975, 11.30293168033463 60.12317939204539, 11.303039136668074 60.12322172989374)</t>
  </si>
  <si>
    <t>[423662, 423670, 423678, 423686, 423694, 423373, 423381, 423389, 423397, 423405, 423406, 423407, 423414, 423422]</t>
  </si>
  <si>
    <t>[421688, 421701, 421710, 421721, 421310, 421311, 421320, 421331, 421342, 421353, 421354, 421355, 421364, 421191]</t>
  </si>
  <si>
    <t>[421234, 421688, 421701, 421710, 421721, 421310, 421311, 421320, 421331, 421342, 421353, 421354, 421355, 421364]</t>
  </si>
  <si>
    <t>[0.035, 0.036, 0.018, 0.014, 0.006, 0.016, 0.013, 0.011, 0.001, 0.022, 0.016, 0.009, 0.008, 0.001]</t>
  </si>
  <si>
    <t>6038.802425111062</t>
  </si>
  <si>
    <t>[0.027, -0.016]</t>
  </si>
  <si>
    <t>1573.0</t>
  </si>
  <si>
    <t>LINESTRING (11.208738574794197 60.09146761550727, 11.210556179431162 60.091641801890354, 11.222224836576338 60.09277089047739)</t>
  </si>
  <si>
    <t>[423288, 423304]</t>
  </si>
  <si>
    <t>[421215, 421234]</t>
  </si>
  <si>
    <t>[421214, 421215]</t>
  </si>
  <si>
    <t>764.4682220103888</t>
  </si>
  <si>
    <t>[0.028, 0.004, -0.017, -0.023]</t>
  </si>
  <si>
    <t>LINESTRING (11.208738574794197 60.09146761550727, 11.209181117944015 60.0915567088727, 11.21431453596766 60.092225506845274, 11.215382266380916 60.09251732781054, 11.215461281249093 60.092525145843865)</t>
  </si>
  <si>
    <t>[602510, 589440, 589449, 589457]</t>
  </si>
  <si>
    <t>[594730, 594731, 594740, 421656]</t>
  </si>
  <si>
    <t>0.0016775167655857092</t>
  </si>
  <si>
    <t>[421214, 594730, 594731, 594740]</t>
  </si>
  <si>
    <t>[0.028, 0.004, 0.017, 0.023]</t>
  </si>
  <si>
    <t>396.50237024272496</t>
  </si>
  <si>
    <t>[-0.023, -0.024, -0.026, -0.019, -0.147, 0.019, -0.014, 0.031, 0.012]</t>
  </si>
  <si>
    <t>[0, 0, 0, 0, 0, 1, 0, 1, 0]</t>
  </si>
  <si>
    <t>LINESTRING (11.154832178096836 60.08037153589818, 11.154994556339085 60.08039238869122, 11.155641085404563 60.080467611611674, 11.1571281615027 60.08074546076594, 11.160292551224815 60.08112127690909, 11.16098618574891 60.08113256185725, 11.165392492500194 60.08080280998068, 11.174683277941117 60.08120294555537, 11.177122345461962 60.081806720672056, 11.208738574794197 60.09146761550727)</t>
  </si>
  <si>
    <t>[602550, 602558, 602566, 602574, 602582, 589306, 589309, 589399, 589415]</t>
  </si>
  <si>
    <t>[604722, 604731, 604739, 604749, 594609, 594610, 594614, 594703, 421214]</t>
  </si>
  <si>
    <t>0.004494791325619239</t>
  </si>
  <si>
    <t>[604721, 604722, 604731, 604739, 604749, 594609, 594610, 594614, 594703]</t>
  </si>
  <si>
    <t>[0.023, 0.024, 0.026, 0.019, 0.147, 0.019, 0.014, 0.031, 0.012]</t>
  </si>
  <si>
    <t>3450.146243555306</t>
  </si>
  <si>
    <t>[0.006, 0.024, 0.03]</t>
  </si>
  <si>
    <t>LINESTRING (11.222224836576338 60.09277089047739, 11.221802877291108 60.09277250878965, 11.21553234660408 60.092529778795466, 11.215461281249093 60.092525145843865)</t>
  </si>
  <si>
    <t>[423622, 423630, 423638]</t>
  </si>
  <si>
    <t>[421636, 421646, 421656]</t>
  </si>
  <si>
    <t>0.02295029357856993</t>
  </si>
  <si>
    <t>[421234, 421636, 421646]</t>
  </si>
  <si>
    <t>379.88699892184013</t>
  </si>
  <si>
    <t>13382.0</t>
  </si>
  <si>
    <t>660.5690005584872</t>
  </si>
  <si>
    <t>[0.024, -0.016, -0.018]</t>
  </si>
  <si>
    <t>LINESTRING (11.210583530327769 60.09157343357013, 11.21101492759254 60.09157712888581, 11.215658548959837 60.091780878329836, 11.215743162599352 60.091795724156526)</t>
  </si>
  <si>
    <t>[602518, 589465, 589479]</t>
  </si>
  <si>
    <t>[594755, 594756, 421667]</t>
  </si>
  <si>
    <t>[421243, 594755, 594756]</t>
  </si>
  <si>
    <t>[0.024, 0.016, 0.018]</t>
  </si>
  <si>
    <t>289.87556819529294</t>
  </si>
  <si>
    <t>[-0.026, -0.024, -0.026, -0.02, -0.016, -0.002, -0.013, 0.032, 0.012, 0.026]</t>
  </si>
  <si>
    <t>[0, 0, 0, 0, 0, 1, 0, 1, 0, 0]</t>
  </si>
  <si>
    <t>LINESTRING (11.154841022323195 60.08026482023759, 11.155027689125411 60.08029601648248, 11.155659359223817 60.08039589611786, 11.157142805595463 60.080671670887526, 11.160295071232598 60.08105080208863, 11.160986662119832 60.08106200969001, 11.16536775388684 60.080733944235426, 11.174736013365838 60.08113749370361, 11.177195779355317 60.081743350045905, 11.208816384126326 60.0914045064472, 11.210583530327769 60.09157343357013)</t>
  </si>
  <si>
    <t>[602590, 602598, 602606, 602614, 602622, 602630, 589307, 589407, 589408, 589487]</t>
  </si>
  <si>
    <t>[604763, 604772, 604779, 604785, 604793, 594611, 594612, 594707, 594708, 421243]</t>
  </si>
  <si>
    <t>0.005171451980147086</t>
  </si>
  <si>
    <t>[604762, 604763, 604772, 604779, 604785, 604793, 594611, 594612, 594707, 594708]</t>
  </si>
  <si>
    <t>[0.026, 0.024, 0.026, 0.02, 0.016, 0.002, 0.013, 0.032, 0.012, 0.026]</t>
  </si>
  <si>
    <t>3555.6303312140894</t>
  </si>
  <si>
    <t>[-0.032, -0.019, 0.019]</t>
  </si>
  <si>
    <t>LINESTRING (11.215743162599352 60.091795724156526, 11.215892541093591 60.091774436947574, 11.222105779264435 60.09263911554274, 11.222237520869006 60.092697903083256)</t>
  </si>
  <si>
    <t>[423646, 423654, 1354822]</t>
  </si>
  <si>
    <t>[421668, 421678, 421244]</t>
  </si>
  <si>
    <t>[421667, 421668, 421678]</t>
  </si>
  <si>
    <t>[0.032, 0.019, 0.019]</t>
  </si>
  <si>
    <t>379.29382118494925</t>
  </si>
  <si>
    <t>[0.002, -0.026, -0.015, -0.053, -0.05, 0.045, 0.011, -0.01, -0.003, -0.007, 0.003, -0.002, -0.018, -0.011, 0.016, 0.007]</t>
  </si>
  <si>
    <t>LINESTRING (11.304059975641307 60.12347389852577, 11.304403797669368 60.12360372857317, 11.304828763020883 60.1237686780166, 11.30705034660357 60.12460298162096, 11.30721960765616 60.124667931006975, 11.309191853262305 60.12541060721149, 11.312379505986577 60.1265619666717, 11.317196170534368 60.12763187878505, 11.3176164220813 60.12769211795345, 11.326786969675798 60.128788444002865, 11.32857409136716 60.128917521848216, 11.33201234636826 60.128929865972246, 11.332750467382189 60.12890269559527, 11.332937267774238 60.12889169582562, 11.337051856146655 60.12887987435103, 11.337691034332916 60.12894359484308, 11.338392963613616 60.12902792494916)</t>
  </si>
  <si>
    <t>[423598, 1538082, 1538090, 1538098, 1538106, 1538114, 1538122, 1538130, 1538138, 1538146, 1538154, 1538162, 1538170, 1538178, 419221, 1734026]</t>
  </si>
  <si>
    <t>[421605, 1389982, 1389987, 1356513, 1390003, 1390011, 494988, 1390026, 1390034, 1390041, 1390047, 1390055, 494960, 415872, 415873, 1540872]</t>
  </si>
  <si>
    <t>[421593, 421605, 1389982, 1389987, 1356513, 1390003, 1390011, 494988, 1390026, 1390034, 1390041, 1390047, 1390055, 494960, 415872, 415873]</t>
  </si>
  <si>
    <t>[0.002, 0.026, 0.015, 0.053, 0.05, 0.045, 0.011, 0.01, 0.003, 0.007, 0.003, 0.002, 0.018, 0.011, 0.016, 0.007]</t>
  </si>
  <si>
    <t>2068.3814466733293</t>
  </si>
  <si>
    <t>41.41684124535577</t>
  </si>
  <si>
    <t>[0.168, 0.012, -0.101]</t>
  </si>
  <si>
    <t>LINESTRING (11.215743162599352 60.091795724156526, 11.215702944299636 60.09190822942807, 11.215506386487682 60.09242934730684, 11.215461281249093 60.092525145843865)</t>
  </si>
  <si>
    <t>[1506835, 1506842, 1506843]</t>
  </si>
  <si>
    <t>[1362655, 1362663, 421656]</t>
  </si>
  <si>
    <t>0.021028312820145674</t>
  </si>
  <si>
    <t>[421667, 1362655, 1362663]</t>
  </si>
  <si>
    <t>[0.168, 0.012, 0.101]</t>
  </si>
  <si>
    <t>82.79005403193366</t>
  </si>
  <si>
    <t>[0.096, -0.041]</t>
  </si>
  <si>
    <t>LINESTRING (11.215951027271554 60.09153006468821, 11.215915779847444 60.09157983426821, 11.215743162599352 60.091795724156526)</t>
  </si>
  <si>
    <t>[1505729, 1505730]</t>
  </si>
  <si>
    <t>[1361668, 421667]</t>
  </si>
  <si>
    <t>[1355042, 1361668]</t>
  </si>
  <si>
    <t>[0.096, 0.041]</t>
  </si>
  <si>
    <t>32.13501499449156</t>
  </si>
  <si>
    <t>[0.017, -0.037]</t>
  </si>
  <si>
    <t>LINESTRING (11.215726231878534 60.0915018741868, 11.215744982430644 60.09157605804291, 11.215743162599352 60.091795724156526)</t>
  </si>
  <si>
    <t>[1542632, 1542640]</t>
  </si>
  <si>
    <t>[1393605, 421667]</t>
  </si>
  <si>
    <t>[1355067, 1393605]</t>
  </si>
  <si>
    <t>[0.017, 0.037]</t>
  </si>
  <si>
    <t>33.28960044071187</t>
  </si>
  <si>
    <t>[0.019, -0.015, -0.049, -0.072]</t>
  </si>
  <si>
    <t>LINESTRING (23.348877563983518 69.9744848983259, 23.349029723200587 69.97442509027374, 23.349201203196223 69.97440740361029, 23.349390604628628 69.97442114580065, 23.349501206346364 69.97445081688173)</t>
  </si>
  <si>
    <t>[426354, 426362, 426370, 426378]</t>
  </si>
  <si>
    <t>[424417, 424426, 424436, 424445]</t>
  </si>
  <si>
    <t>[424416, 424417, 424426, 424436]</t>
  </si>
  <si>
    <t>[0.019, 0.015, 0.049, 0.072]</t>
  </si>
  <si>
    <t>28.495062968264012</t>
  </si>
  <si>
    <t>[0.082, 0.069]</t>
  </si>
  <si>
    <t>LINESTRING (23.3489157279996 69.97460794936994, 23.34885095257269 69.97454989395288, 23.348877563983518 69.9744848983259)</t>
  </si>
  <si>
    <t>[426434, 426442]</t>
  </si>
  <si>
    <t>[424510, 424416]</t>
  </si>
  <si>
    <t>0.07532311555933818</t>
  </si>
  <si>
    <t>[424499, 424510]</t>
  </si>
  <si>
    <t>14.268119708626012</t>
  </si>
  <si>
    <t>[-0.005, -0.021, -0.001]</t>
  </si>
  <si>
    <t>LINESTRING (23.348054952302082 69.97458244302418, 23.348394390743604 69.97453227534959, 23.34876632857241 69.97449666400944, 23.348877563983518 69.9744848983259)</t>
  </si>
  <si>
    <t>[1623799, 1623815, 1623823]</t>
  </si>
  <si>
    <t>[1453375, 1453385, 424416]</t>
  </si>
  <si>
    <t>[424575, 1453375, 1453385]</t>
  </si>
  <si>
    <t>[0.005, 0.021, 0.001]</t>
  </si>
  <si>
    <t>33.37689493154019</t>
  </si>
  <si>
    <t>[-0.079, -0.062]</t>
  </si>
  <si>
    <t>LINESTRING (23.349501206346364 69.97445081688173, 23.349584622890273 69.97450799118491, 23.34957680515027 69.97457182763806)</t>
  </si>
  <si>
    <t>[426386, 426394]</t>
  </si>
  <si>
    <t>[424457, 424463]</t>
  </si>
  <si>
    <t>[424445, 424457]</t>
  </si>
  <si>
    <t>[0.079, 0.062]</t>
  </si>
  <si>
    <t>14.271299467997682</t>
  </si>
  <si>
    <t>LINESTRING (23.349501206346364 69.97445081688173, 23.3496247240166 69.97445325211913, 23.350183966722614 69.97445679300615)</t>
  </si>
  <si>
    <t>[426474, 426482]</t>
  </si>
  <si>
    <t>[424559, 424527]</t>
  </si>
  <si>
    <t>[424445, 424559]</t>
  </si>
  <si>
    <t>26.13754002469536</t>
  </si>
  <si>
    <t>14.268134421748275</t>
  </si>
  <si>
    <t>[0.005, -0.004]</t>
  </si>
  <si>
    <t>LINESTRING (23.34957680515027 69.97457182763806, 23.34966708304169 69.97455498542399, 23.350183966722614 69.97445679300615)</t>
  </si>
  <si>
    <t>[426458, 426466]</t>
  </si>
  <si>
    <t>[424542, 424527]</t>
  </si>
  <si>
    <t>[424463, 424542]</t>
  </si>
  <si>
    <t>26.848179043625894</t>
  </si>
  <si>
    <t>[0.037, 0.057]</t>
  </si>
  <si>
    <t>LINESTRING (23.34931757250338 69.9746579421446, 23.349164598204062 69.97466065058647, 23.34901651874378 69.97464142949538)</t>
  </si>
  <si>
    <t>[426410, 426418]</t>
  </si>
  <si>
    <t>[424481, 424491]</t>
  </si>
  <si>
    <t>0.04716585863765045</t>
  </si>
  <si>
    <t>[424473, 424481]</t>
  </si>
  <si>
    <t>11.920440865608047</t>
  </si>
  <si>
    <t>[-0.039, -0.049]</t>
  </si>
  <si>
    <t>LINESTRING (23.34931757250338 69.9746579421446, 23.34927558516128 69.97469448957065, 23.349019734126305 69.97487602385073)</t>
  </si>
  <si>
    <t>[1623887, 1623895]</t>
  </si>
  <si>
    <t>[1453434, 1453439]</t>
  </si>
  <si>
    <t>[424473, 1453434]</t>
  </si>
  <si>
    <t>[0.039, 0.049]</t>
  </si>
  <si>
    <t>27.006378699870478</t>
  </si>
  <si>
    <t>5.371126511578476</t>
  </si>
  <si>
    <t>[-0.065, -0.072]</t>
  </si>
  <si>
    <t>LINESTRING (23.34901651874378 69.97464142949538, 23.349021456101458 69.9746840589678, 23.349019734126305 69.97487602385073)</t>
  </si>
  <si>
    <t>[1623927, 1623935]</t>
  </si>
  <si>
    <t>[1453461, 1453439]</t>
  </si>
  <si>
    <t>[424491, 1453461]</t>
  </si>
  <si>
    <t>[0.065, 0.072]</t>
  </si>
  <si>
    <t>26.197551289192464</t>
  </si>
  <si>
    <t>[-0.049, -0.041, -0.039]</t>
  </si>
  <si>
    <t>LINESTRING (23.348054952302082 69.97458244302418, 23.34842718548397 69.97459647996392, 23.348804721611067 69.97460540157303, 23.3489157279996 69.97460794936994)</t>
  </si>
  <si>
    <t>[426490, 426506, 426514]</t>
  </si>
  <si>
    <t>[424576, 424595, 424499]</t>
  </si>
  <si>
    <t>[424575, 424576, 424595]</t>
  </si>
  <si>
    <t>[0.049, 0.041, 0.039]</t>
  </si>
  <si>
    <t>33.06744507469479</t>
  </si>
  <si>
    <t>[-0.017, -0.003, -0.007, -0.011, -0.266, -0.004, -0.007, -0.001, 0.005, 0.0, 0.0, 0.004, -0.005, -0.007, -0.007, 0.217, 0.003, 0.008, 0.007, 0.003]</t>
  </si>
  <si>
    <t>LINESTRING (23.350183966722614 69.97445679300615, 23.352309740491055 69.97433099830565, 23.35444009600485 69.97423110686252, 23.354826137230493 69.9742207899775, 23.354927429896502 69.97421880267773, 23.355699402820377 69.97419796312379, 23.35618754567554 69.9741903546342, 23.35640594523257 69.97418686903914, 23.357293140191253 69.97415710089912, 23.357472196683783 69.97415287118329, 23.357628727326706 69.97414917344241, 23.357746881837105 69.97414647726946, 23.358009808532515 69.97414049452246, 23.358514962455395 69.97413837639058, 23.35871194653295 69.97413254684565, 23.35967633746668 69.97409271321882, 23.359830668604037 69.97408466936511, 23.361014798408572 69.9740060506352, 23.361427626850055 69.97397258999248, 23.362154235170355 69.97390013731417, 23.362584753037627 69.97385100911987)</t>
  </si>
  <si>
    <t>[426450, 1033604, 1033612, 1033620, 1033628, 1033636, 1033644, 1033652, 1033660, 1033668, 1033676, 1033684, 1033692, 1033700, 1033708, 1080226, 1080234, 1080242, 1080250, 1080258]</t>
  </si>
  <si>
    <t>[424528, 986847, 986854, 986860, 986866, 986874, 986879, 986886, 986890, 986897, 986905, 986914, 986923, 986930, 986938, 1025291, 1025010, 1025303, 1025311, 1025265]</t>
  </si>
  <si>
    <t>[424527, 424528, 986847, 986854, 986860, 986866, 986874, 986879, 986886, 986890, 986897, 986905, 986914, 986923, 986930, 986938, 1025291, 1025010, 1025303, 1025311]</t>
  </si>
  <si>
    <t>[0.017, 0.003, 0.007, 0.011, 0.266, 0.004, 0.007, 0.001, 0.005, 0.0, 0.0, 0.004, 0.005, 0.007, 0.007, 0.217, 0.003, 0.008, 0.007, 0.003]</t>
  </si>
  <si>
    <t>480.57175450339065</t>
  </si>
  <si>
    <t>[0.006, -0.021, -0.025]</t>
  </si>
  <si>
    <t>LINESTRING (23.340936413332262 69.97499322414676, 23.346244865123754 69.97467989192401, 23.3468879618677 69.9746430025291, 23.348054952302082 69.97458244302418)</t>
  </si>
  <si>
    <t>[1033588, 1033596, 426522]</t>
  </si>
  <si>
    <t>[986836, 424616, 424575]</t>
  </si>
  <si>
    <t>[986829, 986836, 424616]</t>
  </si>
  <si>
    <t>[0.006, 0.021, 0.025]</t>
  </si>
  <si>
    <t>276.23090876137775</t>
  </si>
  <si>
    <t>[-0.013, -0.019, -0.024, -0.035, -0.029, -0.016, -0.039]</t>
  </si>
  <si>
    <t>LINESTRING (15.859538557067815 67.89752051538932, 15.85965255639255 67.89831763502924, 15.859668846560343 67.89838276281033, 15.85979910160855 67.89881351861348, 15.859807836389109 67.89883656206779, 15.859837684208822 67.89890889363578, 15.859843686991178 67.8989230978461, 15.860240953092694 67.8998352737343)</t>
  </si>
  <si>
    <t>[968338, 968346, 968361, 968369, 968377, 968385, 968393]</t>
  </si>
  <si>
    <t>[931923, 931928, 931941, 931948, 931954, 931960, 425421]</t>
  </si>
  <si>
    <t>[425412, 931923, 931928, 931941, 931948, 931954, 931960]</t>
  </si>
  <si>
    <t>[0.013, 0.019, 0.024, 0.035, 0.029, 0.016, 0.039]</t>
  </si>
  <si>
    <t>260.5718138942877</t>
  </si>
  <si>
    <t>[-0.012, -0.021, -0.021, -0.027, -0.041]</t>
  </si>
  <si>
    <t>LINESTRING (15.859538557067815 67.89752051538932, 15.859520306192445 67.8983831368191, 15.859649953966851 67.89881622814936, 15.859659166961888 67.89884190633444, 15.859686600657794 67.89891853830429, 15.860240953092694 67.8998352737343)</t>
  </si>
  <si>
    <t>[968401, 968408, 968413, 968414, 968460]</t>
  </si>
  <si>
    <t>[931970, 931974, 931977, 931978, 425421]</t>
  </si>
  <si>
    <t>[425412, 931970, 931974, 931977, 931978]</t>
  </si>
  <si>
    <t>[0.012, 0.021, 0.021, 0.027, 0.041]</t>
  </si>
  <si>
    <t>261.87221669668673</t>
  </si>
  <si>
    <t>962.0</t>
  </si>
  <si>
    <t>LINESTRING (15.827418912265161 67.81167344929793, 15.859538557067815 67.89752051538932)</t>
  </si>
  <si>
    <t>11667.912640201068</t>
  </si>
  <si>
    <t>[-0.058, -0.033, 0.002, 0.002, 0.001, 0.003, -0.007, 0.041, -0.014, -0.134, -0.08, 0.155, 0.105, 0.051, -0.036, 0.036, 0.0, 0.08, 0.008, -0.023, -0.057, 0.038, -0.223, -0.032, -0.051, -0.004, 0.007, 0.005, -0.008, 0.004, 0.009, -0.003, 0.014, 0.018, 0.003, -0.009, -0.016, -0.031, 0.03, -0.021]</t>
  </si>
  <si>
    <t>[0, 0, 0, 0, 0, 0, 0, 0, 0, 0, 0, 1, 0, 0, 0, 0, 0, 0, 0, 0, 0, 0, 0, 0, 0, 0, 0, 0, 0, 0, 0, 0, 0, 0, 0, 0, 0, 0, 0, 0]</t>
  </si>
  <si>
    <t>LINESTRING (15.860240953092694 67.8998352737343, 15.860281448625381 67.89988690910049, 15.872339979055972 67.90673168827752, 15.872913802307762 67.9071142493205, 15.872986803259462 67.9071604793122, 15.873064860479804 67.90720556112285, 15.88258173888478 67.91261957670638, 15.88333851162863 67.91309882271246, 15.887043332112203 67.91626040668132, 15.890507193040232 67.92252471350409, 15.890528550706346 67.92260053937952, 15.890558545832192 67.92306199167452, 15.890535155604775 67.92315914894859, 15.890026680398673 67.9239733287101, 15.889968340569547 67.9240302375564, 15.884424287300996 67.92588894378622, 15.877493105448208 67.92725999523587, 15.875319335582637 67.93263265263631, 15.87549586392716 67.93295667426608, 15.875140146014433 67.93420275497581, 15.874346520538783 67.93465003121695, 15.871728620335709 67.93637694317181, 15.880892447283403 67.94160317912821, 15.882422269341646 67.9419768185932, 15.892093356591674 67.94598538920678, 15.892160808539252 67.94636273009827, 15.892700714608015 67.94753661455245, 15.894446450895174 67.94858424674678, 15.89598268754381 67.94949945439748, 15.897194072858781 67.95021486055003, 15.898753204944594 67.95114238679712, 15.90198331079571 67.95306188872615, 15.919795988150694 67.96009696804347, 15.920540177585387 67.96040977762344, 15.925107397224721 67.9619865937181, 15.926309302482203 67.9622835281654, 15.926807244030988 67.96240512347413, 15.9278960009536 67.9626720952836, 15.92821203031169 67.96275068619464, 15.928907962327706 67.96292813719674, 15.929976284204525 67.9631953363821)</t>
  </si>
  <si>
    <t>[427268, 427276, 427284, 427292, 427301, 427309, 427317, 427325, 427333, 427341, 427349, 427357, 427365, 427373, 427381, 427389, 427397, 427405, 427413, 427421, 427429, 480205, 480213, 480221, 480229, 480237, 480245, 480253, 480261, 480269, 480277, 480285, 480293, 480301, 480309, 480317, 480325, 480333, 1387967, 1387975]</t>
  </si>
  <si>
    <t>[425422, 425432, 420156, 425447, 425457, 425464, 425473, 425480, 425488, 425496, 425505, 425515, 425523, 392695, 392720, 425546, 392729, 425562, 425570, 425579, 425588, 479182, 479189, 479194, 392762, 479207, 392800, 392828, 392845, 479242, 392890, 479255, 392898, 392920, 479280, 479288, 392961, 392988, 1274008, 1274011]</t>
  </si>
  <si>
    <t>[425421, 425422, 425432, 420156, 425447, 425457, 425464, 425473, 425480, 425488, 425496, 425505, 425515, 425523, 392695, 392720, 425546, 392729, 425562, 425570, 425579, 425588, 479182, 479189, 479194, 392762, 479207, 392800, 392828, 392845, 479242, 392890, 479255, 392898, 392920, 479280, 479288, 392961, 392988, 1274008]</t>
  </si>
  <si>
    <t>[0.058, 0.033, 0.002, 0.002, 0.001, 0.003, 0.007, 0.041, 0.014, 0.134, 0.08, 0.155, 0.105, 0.051, 0.036, 0.036, 0.0, 0.08, 0.008, 0.023, 0.057, 0.038, 0.223, 0.032, 0.051, 0.004, 0.007, 0.005, 0.008, 0.004, 0.009, 0.003, 0.014, 0.018, 0.003, 0.009, 0.016, 0.031, 0.03, 0.021]</t>
  </si>
  <si>
    <t>8953.142488888989</t>
  </si>
  <si>
    <t>[-0.068, -0.04, -0.011, -0.016, -0.006, -0.01, -0.01]</t>
  </si>
  <si>
    <t>LINESTRING (16.07062199990777 68.2204556903341, 16.07110770440798 68.22093406275238, 16.07118118991756 68.22103808301075, 16.071245544169365 68.22112915530367, 16.07161413826953 68.2215985218906, 16.071620821847663 68.22160714400972, 16.071687343002953 68.22168818242943, 16.072280788747147 68.22255945189185)</t>
  </si>
  <si>
    <t>[487951, 487963, 487964, 487973, 487983, 487991, 488003]</t>
  </si>
  <si>
    <t>[488074, 488088, 488089, 488099, 488108, 488115, 426211]</t>
  </si>
  <si>
    <t>[426202, 488074, 488088, 488089, 488099, 488108, 488115]</t>
  </si>
  <si>
    <t>[0.068, 0.04, 0.011, 0.016, 0.006, 0.01, 0.01]</t>
  </si>
  <si>
    <t>246.00519884613797</t>
  </si>
  <si>
    <t>[0.04, -0.015, -0.014, -0.062, -0.008, -0.012, -0.082]</t>
  </si>
  <si>
    <t>LINESTRING (16.07062199990777 68.2204556903341, 16.070947219904227 68.22106161341856, 16.071011687155266 68.22115202127243, 16.07138662439659 68.2216264425292, 16.07139369761515 68.22163513390583, 16.071422397322294 68.2216723994771, 16.071469592703714 68.22171829171631, 16.072280788747147 68.22255945189185)</t>
  </si>
  <si>
    <t>[490367, 490368, 490369, 490375, 490390, 490399, 490407]</t>
  </si>
  <si>
    <t>[490830, 490831, 490832, 490838, 490855, 490864, 426211]</t>
  </si>
  <si>
    <t>[426202, 490830, 490831, 490832, 490838, 490855, 490864]</t>
  </si>
  <si>
    <t>[0.04, 0.015, 0.014, 0.062, 0.008, 0.012, 0.082]</t>
  </si>
  <si>
    <t>245.3979731917376</t>
  </si>
  <si>
    <t>LINESTRING (16.025461517496144 68.12932875300143, 16.07062199990777 68.2204556903341)</t>
  </si>
  <si>
    <t>11535.50774066956</t>
  </si>
  <si>
    <t>[-0.016, -0.022, -0.027, -0.028, -0.041, -0.074, -0.077, 0, 0, 0, 1.031]</t>
  </si>
  <si>
    <t>LINESTRING (16.072280788747147 68.22255945189185, 16.072369820304484 68.22270688586093, 16.073077361589046 68.22357861817025, 16.07367831741748 68.22387604527597, 16.074002212688697 68.22400523995141, 16.075428052066947 68.22456081781122, 16.07562007625567 68.22468874599065, 16.075768003293717 68.22480359385256, 16.075928255883436 68.22492365420463, 16.135026672784456 68.23333395498413, 16.234832046353805 68.23238663389175, 16.234827618543882 68.23234306976481)</t>
  </si>
  <si>
    <t>[428081, 428089, 428097, 428105, 428113, 428121, 428129, 428137, 428145, 428153, 481045]</t>
  </si>
  <si>
    <t>[426212, 426218, 426225, 426232, 426238, 426246, 426258, 426265, 426274, 426282, 480048]</t>
  </si>
  <si>
    <t>[426211, 426212, 426218, 426225, 426232, 426238, 426246, 426258, 426265, 426274, 426282]</t>
  </si>
  <si>
    <t>[0.016, 0.022, 0.027, 0.028, 0.041, 0.074, 0.077, inf, inf, inf, 1.031]</t>
  </si>
  <si>
    <t>301.20761201434976</t>
  </si>
  <si>
    <t>121.07190688392492</t>
  </si>
  <si>
    <t>[0.01, -0.0]</t>
  </si>
  <si>
    <t>LINESTRING (17.427062226581814 68.40980580146686, 17.427375253403056 68.4098845431652, 17.427136638369717 68.41000019142045)</t>
  </si>
  <si>
    <t>[432317, 432325]</t>
  </si>
  <si>
    <t>[430568, 427850]</t>
  </si>
  <si>
    <t>0.004910596146971964</t>
  </si>
  <si>
    <t>[430567, 430568]</t>
  </si>
  <si>
    <t>[0.01, 0.0]</t>
  </si>
  <si>
    <t>34.83776761886051</t>
  </si>
  <si>
    <t>34.55997615352811</t>
  </si>
  <si>
    <t>19.296901710291614</t>
  </si>
  <si>
    <t>17.11139414183743</t>
  </si>
  <si>
    <t>[0.051, 0.043, 0.043, 0.044, 0.04, 0.017, 0.002, -0.006, 0.019, -0.002, 0.033, 0.011, 0.02, 0.028, 0.037, 0.022, 0.025, 0.032, 0.064, 0.043]</t>
  </si>
  <si>
    <t>LINESTRING (17.424448792175422 68.43359656319939, 17.424738406232002 68.43419925575601, 17.424789309506938 68.43428943214427, 17.42498879182932 68.43464614983887, 17.425156430182746 68.43494166349542, 17.425241859292463 68.43509339069864, 17.425463756313597 68.43548410249936, 17.425517329084208 68.4355772824696, 17.425697713017605 68.43589577477111, 17.425746502542417 68.43598322634162, 17.42577259079506 68.43603023476331, 17.425796955433754 68.43607436035363, 17.425818450455285 68.43611333116891, 17.425970124409965 68.43637803204867, 17.426027669342506 68.43648115216514, 17.426456233093475 68.43723915539435, 17.426493735133008 68.43730317589025, 17.426798071085692 68.4378446512798, 17.42691918845152 68.43803504407049, 17.42719654447877 68.43825492386011, 17.42726871873643 68.43829661490857)</t>
  </si>
  <si>
    <t>[488279, 488281, 488285, 488286, 488287, 488294, 488302, 488317, 488318, 488319, 488320, 488321, 488334, 488335, 488347, 488348, 488357, 488358, 488376, 488377]</t>
  </si>
  <si>
    <t>[488449, 488452, 488457, 488458, 488459, 488467, 488479, 488496, 488497, 488498, 488499, 488500, 488517, 488518, 488533, 488534, 488546, 488547, 488569, 430509]</t>
  </si>
  <si>
    <t>0.0321520787043651</t>
  </si>
  <si>
    <t>[427933, 488449, 488452, 488457, 488458, 488459, 488467, 488479, 488496, 488497, 488498, 488499, 488500, 488517, 488518, 488533, 488534, 488546, 488547, 488569]</t>
  </si>
  <si>
    <t>[0.051, 0.043, 0.043, 0.044, 0.04, 0.017, 0.002, 0.006, 0.019, 0.002, 0.033, 0.011, 0.02, 0.028, 0.037, 0.022, 0.025, 0.032, 0.064, 0.043]</t>
  </si>
  <si>
    <t>537.9002829715857</t>
  </si>
  <si>
    <t>[0.027, 0.035, 0.047, 0.042, 0.041, 0.037, 0.042, 0.036, 0.036, 0.035, 0.039, 0.029, 0.03, 0.034, 0.032, 0.037, 0.029, 0.026, 0.021, 0.022, 0.027, 0.021, 0.02, -0.296]</t>
  </si>
  <si>
    <t>17309.0</t>
  </si>
  <si>
    <t>LINESTRING (17.424448792175422 68.43359656319939, 17.424530880740804 68.4342156256737, 17.424572629619973 68.43430734376821, 17.424775957569455 68.4346672009638, 17.424827360181236 68.43475838425962, 17.42494026875637 68.43496060010138, 17.425024408200525 68.43511601674444, 17.425247044986598 68.43550091142617, 17.425298677221562 68.4355928361904, 17.425482197098425 68.43591330255752, 17.42553204209686 68.43600127736822, 17.425559416419954 68.43604981980671, 17.42558216163318 68.4360902174592, 17.425604072459436 68.43612851814228, 17.42575380036736 68.4363889664489, 17.425784254014506 68.43644438374129, 17.425828263769677 68.43652363885782, 17.426235998204934 68.43725647419387, 17.42625579034564 68.43729160155009, 17.42626597161252 68.43730966367791, 17.42661010193535 68.43785552552298, 17.426660364885294 68.43791908277731, 17.42678095903013 68.43808137440503, 17.426954629033563 68.43829473441996, 17.426995015714986 68.43833646466558)</t>
  </si>
  <si>
    <t>[490687, 490699, 490707, 490715, 490716, 490721, 490722, 490723, 490731, 490753, 490761, 490779, 490787, 490788, 490794, 490795, 490796, 490809, 490812, 490823, 490830, 490837, 490840, 490841]</t>
  </si>
  <si>
    <t>[490389, 491170, 491180, 491188, 490408, 491196, 491197, 491198, 491209, 490370, 491242, 491261, 491269, 491270, 491277, 491278, 490507, 491292, 491295, 491305, 491312, 491320, 491324, 430547]</t>
  </si>
  <si>
    <t>0.02902418382642418</t>
  </si>
  <si>
    <t>[427933, 490389, 491170, 491180, 491188, 490408, 491196, 491197, 491198, 491209, 490370, 491242, 491261, 491269, 491270, 491277, 491278, 490507, 491292, 491295, 491305, 491312, 491320, 491324]</t>
  </si>
  <si>
    <t>[0.027, 0.035, 0.047, 0.042, 0.041, 0.037, 0.042, 0.036, 0.036, 0.035, 0.039, 0.029, 0.03, 0.034, 0.032, 0.037, 0.029, 0.026, 0.021, 0.022, 0.027, 0.021, 0.02, 0.296]</t>
  </si>
  <si>
    <t>539.9961410985054</t>
  </si>
  <si>
    <t>[0.006, 0.008, 0.016, 0.02, 0.017]</t>
  </si>
  <si>
    <t>LINESTRING (13.406224214514145 65.53338283237315, 13.406300905306114 65.5333674836996, 13.406800310481948 65.53327041832925, 13.407330941804801 65.53269713677639, 13.407254030689284 65.53250337939805, 13.40724102513997 65.53246824263054)</t>
  </si>
  <si>
    <t>[430934, 430942, 430950, 430958, 430966]</t>
  </si>
  <si>
    <t>[429100, 429109, 429118, 429125, 429135]</t>
  </si>
  <si>
    <t>0.014808581018378357</t>
  </si>
  <si>
    <t>[429099, 429100, 429109, 429118, 429125]</t>
  </si>
  <si>
    <t>127.38982621708878</t>
  </si>
  <si>
    <t>[0.034, 0.034, 0.089, 0.11, 0.094, -0.002, 0.073, 0.022, 0.018, 0.041, -0.006, -0.056, -0.104, -0.055, -0.022, -0.024, 0.025, -0.026, -0.033, -0.002, 0.011, -0.02, -0.009, 0.011, -0.007, 0.016, 0.014, -0.009, 0.036, -0.004, 0.003, -0.001, 0.011, 0.018, 0.005, 0.014, 0.03, 0.034, -0.032, 0.016, 0.047, -0.007, -0.028, -0.016, -0.01, -0.002, -0.006, 0.007, 0.04, -0.033, -0.002, 0.002, 0.001, -0.024, -0.021, 0.006, 0.021, 0.037, 0.033, 0.108, 0.092, 0.137]</t>
  </si>
  <si>
    <t>2214.0</t>
  </si>
  <si>
    <t>[0, 0, 0, 0, 0, 0, 0, 0, 0, 0, 0, 0, 0, 0, 0, 0, 0, 0, 0, 0, 0, 0, 0, 0, 0, 0, 0, 0, 0, 0, 0, 0, 0, 0, 0, 0, 0, 0, 0, 0, 1, 0, 0, 0, 0, 0, 0, 0, 0, 0, 0, 0, 0, 0, 0, 0, 0, 0, 0, 0, 0, 0]</t>
  </si>
  <si>
    <t>LINESTRING (13.406224214514145 65.53338283237315, 13.407007698125723 65.53504953229083, 13.406760033795209 65.53621541242201, 13.406747870894476 65.5362416067521, 13.406417820001653 65.53684002104531, 13.406219996833554 65.53710179227434, 13.397682482362415 65.54451720613304, 13.397994154729647 65.54668554361524, 13.397520490870065 65.54720966050904, 13.396964507777108 65.54825739142838, 13.397019628259953 65.55051439929551, 13.397021845708464 65.5513407173546, 13.397008713298828 65.55406602587212, 13.3969859589805 65.55455231682498, 13.396405441092162 65.55828123188586, 13.396497730067843 65.5584904399899, 13.397055519005649 65.55942697603327, 13.400884331396 65.56091604661323, 13.402160125292324 65.563307511857, 13.402181360968763 65.56340645374242, 13.402547127156648 65.56396850872162, 13.40368062796269 65.56752710836967, 13.40356111926205 65.56818295844214, 13.403245676144296 65.56988549804659, 13.40318115711859 65.57008943636558, 13.400988786129941 65.57151260612574, 13.399988684388324 65.57225069681661, 13.399445265833844 65.57261681061131, 13.398635107504354 65.57338366418966, 13.399406767036293 65.57563135738698, 13.400069713367648 65.57748392428381, 13.395698601288037 65.58270049430307, 13.394264728093288 65.58340863768389, 13.393963858390412 65.58413777120563, 13.393956554840122 65.58425615628488, 13.393562975537256 65.58543303019742, 13.393432400883091 65.58582688340454, 13.393222640708744 65.58645296506299, 13.393145356773024 65.58665443144255, 13.38918675585571 65.5908961187189, 13.3893636813462 65.59157735651415, 13.389464894370738 65.59211509879111, 13.387205549708424 65.593463339361, 13.386909820813324 65.59364947290526, 13.38455526438127 65.59488457541266, 13.384402429508027 65.59500500387625, 13.383703901203976 65.59548709086681, 13.381117577334399 65.59642033665024, 13.353099701833889 65.59669564121259, 13.34916337284919 65.5970840327228, 13.34229214004443 65.59717770905152, 13.325611473942146 65.60394937016585, 13.322773157982027 65.60596161428482, 13.319992618806321 65.60705254847193, 13.317928929521608 65.6076625150378, 13.30948293690829 65.61341241377816, 13.307566769001546 65.61615917510697, 13.307126946942123 65.61679155316973, 13.306706747799366 65.61839531166439, 13.30668479987745 65.61857653453214, 13.306636853059414 65.61890615083601, 13.306327175286697 65.61989469760084, 13.306102434108052 65.62033078644598)</t>
  </si>
  <si>
    <t>[1195200, 1195208, 1195216, 1195224, 1195232, 1195240, 1195248, 1195256, 1195264, 1195272, 1195280, 1195288, 1195296, 1195304, 1195312, 1195320, 1195328, 1195336, 1195344, 1195352, 1195360, 1195368, 1195376, 1195384, 1195392, 1195400, 1195408, 1195416, 1195424, 1195432, 1195440, 1195448, 1195456, 1195464, 1195472, 1195480, 1195488, 1195496, 1195504, 1195512, 1195520, 1195528, 1195536, 1195544, 1195552, 1195560, 1195568, 1195576, 1195584, 1195592, 1195600, 1195608, 1195616, 1195624, 1195632, 1195640, 1195648, 1195656, 1195664, 1195672, 1195680, 1717693]</t>
  </si>
  <si>
    <t>[1121984, 1121990, 1121993, 996395, 1122002, 443437, 443415, 1122018, 1122025, 443404, 1122038, 451816, 443379, 452211, 772657, 1122065, 1122072, 1122079, 443634, 1122093, 1122100, 1122107, 1122113, 1122120, 1122127, 779511, 1122141, 1122147, 1122153, 1122160, 1122167, 1122173, 375888, 995782, 389273, 1122196, 995499, 375925, 375927, 1122214, 1122222, 375957, 452145, 1122235, 375959, 1122251, 376004, 1122262, 1122270, 376459, 1122280, 376475, 452229, 452108, 1122303, 1122307, 1122315, 1122321, 1122326, 700249, 1122337, 619605]</t>
  </si>
  <si>
    <t>0.0010974462149262016</t>
  </si>
  <si>
    <t>[429099, 1121984, 1121990, 1121993, 996395, 1122002, 443437, 443415, 1122018, 1122025, 443404, 1122038, 451816, 443379, 452211, 772657, 1122065, 1122072, 1122079, 443634, 1122093, 1122100, 1122107, 1122113, 1122120, 1122127, 779511, 1122141, 1122147, 1122153, 1122160, 1122167, 1122173, 375888, 995782, 389273, 1122196, 995499, 375925, 375927, 1122214, 1122222, 375957, 452145, 1122235, 375959, 1122251, 376004, 1122262, 1122270, 376459, 1122280, 376475, 452229, 452108, 1122303, 1122307, 1122315, 1122321, 1122326, 700249, 1122337]</t>
  </si>
  <si>
    <t>[0.034, 0.034, 0.089, 0.11, 0.094, 0.002, 0.073, 0.022, 0.018, 0.041, 0.006, 0.056, 0.104, 0.055, 0.022, 0.024, 0.025, 0.026, 0.033, 0.002, 0.011, 0.02, 0.009, 0.011, 0.007, 0.016, 0.014, 0.009, 0.036, 0.004, 0.003, 0.001, 0.011, 0.018, 0.005, 0.014, 0.03, 0.034, 0.032, 0.016, 0.047, 0.007, 0.028, 0.016, 0.01, 0.002, 0.006, 0.007, 0.04, 0.033, 0.002, 0.002, 0.001, 0.024, 0.021, 0.006, 0.021, 0.037, 0.033, 0.108, 0.092, 0.137]</t>
  </si>
  <si>
    <t>12902.284023335598</t>
  </si>
  <si>
    <t>[-0.005, 0.054, 0.042, 0.066, 0.041, -0.025, -0.035, -0.115, -0.069, 0.08, -0.105, -0.1, -0.031, -0.0, -0.035, -0.023, -0.005, -0.03, 0.046, -0.034, -0.016, -0.016, -0.022, -0.022, -0.022, -0.022, -0.021, -0.02]</t>
  </si>
  <si>
    <t>[0, 0, 0, 0, 0, 0, 0, 1, 0, 0, 0, 0, 0, 0, 0, 0, 0, 0, 0, 0, 0, 0, 0, 0, 1, 0, 0, 0]</t>
  </si>
  <si>
    <t>LINESTRING (13.407711981060054 65.46719686957779, 13.40457177358583 65.47933201518414, 13.411165723358671 65.48605686934103, 13.411466520615456 65.48648587001047, 13.411852016229156 65.48691885371821, 13.413326855320118 65.49186735576745, 13.400160811199486 65.51488568612314, 13.397219001368368 65.51647236123561, 13.396840083221674 65.51669020631725, 13.395994051446436 65.51891675194976, 13.395885583524912 65.52005595609513, 13.396100054170072 65.52159698725917, 13.396190206016923 65.52193609847275, 13.39610754525696 65.52336967764059, 13.396093868667709 65.52343381721742, 13.395888594880269 65.52364922428141, 13.395135330257835 65.52625064094408, 13.397781748367088 65.52906394866181, 13.397830269549537 65.52908609836709, 13.397968085324825 65.52917124914205, 13.402763025224989 65.53122435009196, 13.402826081861024 65.53125065370445, 13.403395039503433 65.53151333635931, 13.403856846733504 65.53168736217938, 13.404143925278097 65.53183083113406, 13.405627801043135 65.53280040957337, 13.406115046415657 65.53325698621515, 13.406158722181466 65.53330732477862, 13.406224214514145 65.53338283237315)</t>
  </si>
  <si>
    <t>[2095082, 2095090, 2095098, 2095106, 2095114, 2095122, 2095130, 2095138, 2095146, 2095154, 1195056, 1195064, 1195072, 1195080, 1195088, 1195096, 1195104, 1195112, 1195120, 1195128, 1195136, 1195144, 1195152, 1195160, 1195168, 1195176, 1195184, 1195192]</t>
  </si>
  <si>
    <t>[370594, 370563, 672861, 672883, 1812583, 1812590, 1812594, 1812599, 978097, 1121884, 1121885, 400582, 1121896, 400622, 1121905, 1121911, 1121917, 1121923, 996545, 1056528, 1121940, 995909, 400691, 1121955, 1121962, 1121968, 1121972, 429099]</t>
  </si>
  <si>
    <t>[1764767, 370594, 370563, 672861, 672883, 1812583, 1812590, 1812594, 1812599, 978097, 1121884, 1121885, 400582, 1121896, 400622, 1121905, 1121911, 1121917, 1121923, 996545, 1056528, 1121940, 995909, 400691, 1121955, 1121962, 1121968, 1121972]</t>
  </si>
  <si>
    <t>[0.005, 0.054, 0.042, 0.066, 0.041, 0.025, 0.035, 0.115, 0.069, 0.08, 0.105, 0.1, 0.031, 0.0, 0.035, 0.023, 0.005, 0.03, 0.046, 0.034, 0.016, 0.016, 0.022, 0.022, 0.022, 0.022, 0.021, 0.02]</t>
  </si>
  <si>
    <t>7940.900700677696</t>
  </si>
  <si>
    <t>[0.037, 0.044, 0.034, 0.025, 0.029, 0.032, 0.019, -0.01]</t>
  </si>
  <si>
    <t>LINESTRING (15.391901307686027 67.26248166413653, 15.392403391728772 67.26265984376681, 15.394135104406496 67.26324549791221, 15.395424650733549 67.26346231493426, 15.395599058466985 67.26348499282133, 15.398210264898097 67.26369437268319, 15.39852258677347 67.26369314035371, 15.399512575100175 67.26360689767655, 15.40024169600404 67.26343611737484)</t>
  </si>
  <si>
    <t>[431014, 431022, 431030, 431038, 431046, 431054, 431062, 431070]</t>
  </si>
  <si>
    <t>[429184, 407218, 405962, 406054, 429215, 429225, 405975, 405920]</t>
  </si>
  <si>
    <t>0.029404594036751802</t>
  </si>
  <si>
    <t>[429183, 429184, 407218, 405962, 406054, 429215, 429225, 405975]</t>
  </si>
  <si>
    <t>[0.037, 0.044, 0.034, 0.025, 0.029, 0.032, 0.019, 0.01]</t>
  </si>
  <si>
    <t>407.08649237153503</t>
  </si>
  <si>
    <t>[0.72, -0.184, 0.381]</t>
  </si>
  <si>
    <t>LINESTRING (15.391182928697233 67.26222022751104, 15.391259834887173 67.2622402950486, 15.391745770238554 67.262415502052, 15.391901307686027 67.26248166413653)</t>
  </si>
  <si>
    <t>[488662, 488663, 488671]</t>
  </si>
  <si>
    <t>[488886, 488887, 429183]</t>
  </si>
  <si>
    <t>0.03259791710332371</t>
  </si>
  <si>
    <t>[477756, 488886, 488887]</t>
  </si>
  <si>
    <t>[0.72, 0.184, 0.381]</t>
  </si>
  <si>
    <t>42.706895574893394</t>
  </si>
  <si>
    <t>[-0.808, 0.036, 0.401]</t>
  </si>
  <si>
    <t>LINESTRING (15.39103877011394 67.2622988982905, 15.391124257707807 67.26231771606355, 15.391713903338763 67.26244045442148, 15.391901307686027 67.26248166413653)</t>
  </si>
  <si>
    <t>[491012, 491019, 491029]</t>
  </si>
  <si>
    <t>[491523, 491532, 429183]</t>
  </si>
  <si>
    <t>0.0315938886637885</t>
  </si>
  <si>
    <t>[477778, 491523, 491532]</t>
  </si>
  <si>
    <t>[0.808, 0.036, 0.401]</t>
  </si>
  <si>
    <t>42.41964245430585</t>
  </si>
  <si>
    <t>[0.015, 0.017, 0.017, 0.019, 0.023, 0.02, 0.026, 0.035, 0.035, 0.026, 0.027]</t>
  </si>
  <si>
    <t>LINESTRING (15.395441511883105 67.27166248252975, 15.39548436202911 67.27163073882691, 15.395754197411007 67.27141373778858, 15.395800622603794 67.27137097864805, 15.396144541852308 67.27103640917464, 15.396216460308574 67.27096443359491, 15.396352014591741 67.27082742783612, 15.39749780280927 67.26967651581303, 15.399728025056195 67.26680651476877, 15.399802057945834 67.26669438119443, 15.400227679721805 67.2660460244709, 15.400355808895085 67.26584494985397)</t>
  </si>
  <si>
    <t>[431078, 431086, 431094, 431095, 431103, 431113, 431121, 431127, 431135, 431143, 431151]</t>
  </si>
  <si>
    <t>[429249, 429259, 429270, 429271, 429278, 429289, 429294, 429300, 429309, 429318, 429330]</t>
  </si>
  <si>
    <t>0.0295281640556561</t>
  </si>
  <si>
    <t>[429248, 429249, 429259, 429270, 429271, 429278, 429289, 429294, 429300, 429309, 429318]</t>
  </si>
  <si>
    <t>683.5153410286421</t>
  </si>
  <si>
    <t>[-0.007, -0.002, -0.0, 0.001, 0.002, 0.003, 0.0, 0.0, 0.011, 0.017, 0.018, 0.019, 0.018, 0.017, 0.022, 0.017, 0.011, 0.006, 0.004, -0.0, 0.001, 0.001, -0.0, 0.0, -0.002, -0.002, -0.001, -0.006, 0.0, 0.002, 0.008, 0.008, 0.004, 0.007, -0.003, 0.002, -0.001, -0.008, -0.007, -0.008, 0.003, 0.011, 0.005, 0.018, 0.116, 0.025, -0.016, 0.005, -0.047, -0.069, -0.011, -0.021, 0.047]</t>
  </si>
  <si>
    <t>4498.0</t>
  </si>
  <si>
    <t>[0, 0, 0, 0, 0, 0, 0, 0, 0, 0, 0, 0, 0, 0, 0, 0, 0, 0, 0, 0, 0, 0, 0, 0, 0, 0, 0, 0, 0, 0, 0, 0, 0, 0, 0, 0, 0, 1, 1, 1, 0, 0, 0, 0, 0, 0, 0, 0, 0, 0, 0, 0, 0]</t>
  </si>
  <si>
    <t>LINESTRING (15.395441511883105 67.27166248252975, 15.39726395159494 67.27247586018305, 15.397727659547039 67.27280500754944, 15.398569968743386 67.27336583205624, 15.3987128009328 67.27345908251529, 15.39973489498008 67.27413228286534, 15.399838783285313 67.27420147225976, 15.402319049999633 67.2758378914082, 15.40603964913635 67.27761831797515, 15.410434727528877 67.28027125352902, 15.413048457616846 67.28179770318897, 15.414695133392767 67.28264392569983, 15.41497510201858 67.28278788466609, 15.41534292507021 67.2829773017565, 15.41785945833492 67.28426031001737, 15.41787357513673 67.28426740468645, 15.420207676649214 67.28550054545964, 15.42144166778288 67.28631011187801, 15.423040319387693 67.28742057758429, 15.424804601401945 67.28868276182922, 15.425360562818167 67.28908232606449, 15.426350060691842 67.28980083471585, 15.429698963767894 67.29180721742952, 15.431632389518063 67.29281641537115, 15.4353948400415 67.29476196197423, 15.437182473186459 67.29569202084505, 15.43868688018681 67.29654276436094, 15.44192585459075 67.29859401055779, 15.44969166620354 67.30281546216347, 15.449756969498194 67.30284873871116, 15.455051671462337 67.30553323716201, 15.456045542198718 67.3060508782178, 15.458018880652347 67.30724595309374, 15.460102048154996 67.30865227227027, 15.463127661010834 67.31067501055732, 15.47730754648631 67.31867633899941, 15.477770840215053 67.31878302900407, 15.484392774558971 67.31956750470356, 15.48459064555669 67.31958481355004, 15.484882737227721 67.31961032411883, 15.484996235623838 67.31962024403586, 15.499321117812347 67.32347319159143, 15.499532049407787 67.32358641505671, 15.523373527822457 67.33431052862866, 15.524260067827376 67.3346055571856, 15.524279109501695 67.33461067104561, 15.551771118891565 67.3390264982628, 15.556565578173633 67.34009768600214, 15.559129479917726 67.34062859337831, 15.559911073087514 67.34079252840728, 15.56213465455999 67.34123582769237, 15.572705826239128 67.3460147450275, 15.573063368551049 67.3461938670964, 15.576680920512333 67.34821769294518)</t>
  </si>
  <si>
    <t>[479125, 479133, 479141, 479149, 479157, 479165, 479173, 479181, 479189, 479197, 479205, 479213, 479221, 479229, 479237, 479245, 479253, 479261, 479269, 479277, 479285, 479293, 479301, 479309, 479317, 479325, 479333, 479341, 479349, 479357, 479365, 479373, 479381, 479389, 479397, 479405, 479413, 479421, 479429, 479437, 479445, 479453, 479461, 1198608, 1198616, 1198624, 1198632, 1198640, 1198648, 1198656, 1198664, 1198672, 1160360]</t>
  </si>
  <si>
    <t>[477974, 477986, 477995, 478007, 478017, 478028, 478038, 418300, 451421, 418339, 418349, 478088, 437947, 478108, 418381, 478127, 418392, 478146, 418431, 478163, 478172, 418495, 478189, 478198, 419477, 419466, 419454, 419442, 419430, 419418, 419395, 478267, 419386, 438035, 478296, 478304, 478315, 478327, 478338, 478346, 478356, 478366, 478377, 1124203, 1124209, 418770, 1124220, 1124227, 1124233, 1124238, 1124243, 1095055, 1095056]</t>
  </si>
  <si>
    <t>0.004397299886514806</t>
  </si>
  <si>
    <t>[429248, 477974, 477986, 477995, 478007, 478017, 478028, 478038, 418300, 451421, 418339, 418349, 478088, 437947, 478108, 418381, 478127, 418392, 478146, 418431, 478163, 478172, 418495, 478189, 478198, 419477, 419466, 419454, 419442, 419430, 419418, 419395, 478267, 419386, 438035, 478296, 478304, 478315, 478327, 478338, 478346, 478356, 478366, 478377, 1124203, 1124209, 418770, 1124220, 1124227, 1124233, 1124238, 1124243, 1095055]</t>
  </si>
  <si>
    <t>[0.007, 0.002, 0.0, 0.001, 0.002, 0.003, 0.0, 0.0, 0.011, 0.017, 0.018, 0.019, 0.018, 0.017, 0.022, 0.017, 0.011, 0.006, 0.004, 0.0, 0.001, 0.001, 0.0, 0.0, 0.002, 0.002, 0.001, 0.006, 0.0, 0.002, 0.008, 0.008, 0.004, 0.007, 0.003, 0.002, 0.001, 0.008, 0.007, 0.008, 0.003, 0.011, 0.005, 0.018, 0.116, 0.025, 0.016, 0.005, 0.047, 0.069, 0.011, 0.021, 0.047]</t>
  </si>
  <si>
    <t>11971.069478574625</t>
  </si>
  <si>
    <t>[-0.015, -0.012, -0.0, -0.001, -0.001, -0.0, 0.0, 0.001, 0.003, 0.003, 0.004, 0.004, 0.002, -0.0, -0.001, -0.002, -0.005]</t>
  </si>
  <si>
    <t>LINESTRING (15.385735500533658 67.26578340686439, 15.38561172393026 67.26595696519593, 15.385219675582931 67.2664848655028, 15.386527272992776 67.26934773806913, 15.386658540126126 67.26938389525972, 15.387404303364288 67.269577228636, 15.387719268902618 67.26965889650722, 15.3881756142767 67.26977780760369, 15.388270085619512 67.26980281264949, 15.389534905894473 67.27012691410957, 15.391238021029933 67.27056698286357, 15.392229400831964 67.27081983224924, 15.393660798747938 67.2711898888257, 15.393746352717388 67.27121211379554, 15.393934231306089 67.27126088202593, 15.394105900717113 67.27130555451008, 15.394840902484633 67.27149866466765, 15.395441511883105 67.27166248252975)</t>
  </si>
  <si>
    <t>[478989, 478997, 479005, 479013, 479021, 479029, 479037, 479045, 479053, 479061, 479069, 479077, 479085, 479093, 479101, 479109, 479117]</t>
  </si>
  <si>
    <t>[477808, 406160, 477827, 477837, 420113, 477858, 477864, 477873, 407340, 405769, 477905, 477915, 477926, 477936, 477947, 477956, 429248]</t>
  </si>
  <si>
    <t>[477807, 477808, 406160, 477827, 477837, 420113, 477858, 477864, 477873, 407340, 405769, 477905, 477915, 477926, 477936, 477947, 477956]</t>
  </si>
  <si>
    <t>[0.015, 0.012, 0.0, 0.001, 0.001, 0.0, 0.0, 0.001, 0.003, 0.003, 0.004, 0.004, 0.002, 0.0, 0.001, 0.002, 0.005]</t>
  </si>
  <si>
    <t>899.4518679169116</t>
  </si>
  <si>
    <t>5.7900287564120525</t>
  </si>
  <si>
    <t>[0.004, -0.011]</t>
  </si>
  <si>
    <t>LINESTRING (13.212599756169558 65.83480538111336, 13.212554456622634 65.83485884431086, 13.212419691392595 65.83490236058807)</t>
  </si>
  <si>
    <t>[431256, 431159]</t>
  </si>
  <si>
    <t>[429340, 429341]</t>
  </si>
  <si>
    <t>[429450, 429340]</t>
  </si>
  <si>
    <t>14.146511751527902</t>
  </si>
  <si>
    <t>44.08904499823907</t>
  </si>
  <si>
    <t>LINESTRING (13.212293848818135 65.8349085384396, 13.212164892498018 65.83488830320607, 13.212076038064154 65.83484498632174)</t>
  </si>
  <si>
    <t>[431195, 431196]</t>
  </si>
  <si>
    <t>[429380, 429381]</t>
  </si>
  <si>
    <t>[429372, 429380]</t>
  </si>
  <si>
    <t>12.616285030592135</t>
  </si>
  <si>
    <t>[0.03, -0.023]</t>
  </si>
  <si>
    <t>LINESTRING (13.212293848818135 65.8349085384396, 13.212115115258754 65.83502604029611, 13.211517856590293 65.83519416458036)</t>
  </si>
  <si>
    <t>[590645, 590653]</t>
  </si>
  <si>
    <t>[595745, 595737]</t>
  </si>
  <si>
    <t>[429372, 595745]</t>
  </si>
  <si>
    <t>[0.03, 0.023]</t>
  </si>
  <si>
    <t>49.38463130262231</t>
  </si>
  <si>
    <t>[-0.017, 0.0, 0.019, 0.033, 0.027, 0.023, 0.018]</t>
  </si>
  <si>
    <t>LINESTRING (13.212076038064154 65.83484498632174, 13.212053816720404 65.8347752627794, 13.21211258176262 65.83472404799228, 13.212224528720185 65.83469092762012, 13.212395761187082 65.83468702062866, 13.212506983159631 65.83471160787886, 13.2125884478983 65.83476295141102, 13.212599756169558 65.83480538111336)</t>
  </si>
  <si>
    <t>[431199, 431200, 431205, 431223, 431232, 431240, 431248]</t>
  </si>
  <si>
    <t>[429384, 429385, 429393, 429417, 429428, 429440, 429450]</t>
  </si>
  <si>
    <t>0.014101189267786538</t>
  </si>
  <si>
    <t>[429381, 429384, 429385, 429393, 429417, 429428, 429440]</t>
  </si>
  <si>
    <t>[0.017, 0.0, 0.019, 0.033, 0.027, 0.023, 0.018]</t>
  </si>
  <si>
    <t>45.646585691522965</t>
  </si>
  <si>
    <t>[0.038, -0.017]</t>
  </si>
  <si>
    <t>LINESTRING (13.212076038064154 65.83484498632174, 13.211956050424288 65.83498307954694, 13.211517856590293 65.83519416458036)</t>
  </si>
  <si>
    <t>[590629, 590637]</t>
  </si>
  <si>
    <t>[595733, 595737]</t>
  </si>
  <si>
    <t>0.0019574032663874892</t>
  </si>
  <si>
    <t>[429381, 595733]</t>
  </si>
  <si>
    <t>[0.038, 0.017]</t>
  </si>
  <si>
    <t>47.40636428560677</t>
  </si>
  <si>
    <t>39.47992927877739</t>
  </si>
  <si>
    <t>9.429100198682882</t>
  </si>
  <si>
    <t>[0.063, 0.059]</t>
  </si>
  <si>
    <t>LINESTRING (13.202480809388936 65.84326543860377, 13.202532531330817 65.84332150915178, 13.20249323046255 65.84337920429796)</t>
  </si>
  <si>
    <t>[431324, 431258]</t>
  </si>
  <si>
    <t>[429460, 429461]</t>
  </si>
  <si>
    <t>0.06100068925722562</t>
  </si>
  <si>
    <t>[429532, 429460]</t>
  </si>
  <si>
    <t>13.358629375243432</t>
  </si>
  <si>
    <t>[-0.037, -0.046, -0.52]</t>
  </si>
  <si>
    <t>LINESTRING (13.20367254202906 65.84327402997603, 13.203533035003455 65.84329394266693, 13.202672268608506 65.84337511200457, 13.20249323046255 65.84337920429796)</t>
  </si>
  <si>
    <t>[448700, 448708, 448730]</t>
  </si>
  <si>
    <t>[447440, 447449, 429461]</t>
  </si>
  <si>
    <t>[447422, 447440, 447449]</t>
  </si>
  <si>
    <t>[0.037, 0.046, 0.52]</t>
  </si>
  <si>
    <t>55.273631624204924</t>
  </si>
  <si>
    <t>[-0.039, -0.059]</t>
  </si>
  <si>
    <t>LINESTRING (13.202320489838076 65.84342169233233, 13.202186311767209 65.84341078431551, 13.20208529027907 65.84336741775907)</t>
  </si>
  <si>
    <t>[431273, 431281]</t>
  </si>
  <si>
    <t>[429479, 429490]</t>
  </si>
  <si>
    <t>[429470, 429479]</t>
  </si>
  <si>
    <t>[0.039, 0.059]</t>
  </si>
  <si>
    <t>12.929427975429078</t>
  </si>
  <si>
    <t>[0.662, -0.005, -0.02, -0.027, -0.03, -0.031, -0.033, -0.001, -0.003, -0.001, -0.004, -0.005, 0.024, 0.03, 0.025, 0.02, 0.016, 0.011, 0.011, 0.016, 0.019]</t>
  </si>
  <si>
    <t>LINESTRING (13.202320489838076 65.84342169233233, 13.202281960845525 65.84346676905139, 13.20082088485916 65.84473261958695, 13.200749279770372 65.84479198125644, 13.200473952257308 65.84501017249194, 13.200424142864465 65.84504919299124, 13.200157729970151 65.84526044323775, 13.200075486990954 65.84532589017573, 13.199313912010416 65.84598699576716, 13.199239522588213 65.84605441927438, 13.19918670172006 65.84609947093047, 13.19885706422121 65.84638450222383, 13.198762903525738 65.84646798226113, 13.198193108273752 65.84705294267958, 13.19814376877673 65.84710891231673, 13.197786603338725 65.84751626651496, 13.197725612193473 65.84758996769307, 13.197708302548541 65.84761092653336, 13.196538618520945 65.84906033442664, 13.19648155241586 65.84916668656754, 13.196353168067912 65.8495172544864, 13.19626073655791 65.84988875274503)</t>
  </si>
  <si>
    <t>[448738, 448746, 448754, 448762, 448770, 448778, 448786, 448794, 448802, 448810, 448818, 448826, 448834, 448842, 448850, 448858, 448866, 448874, 448882, 448890, 448898]</t>
  </si>
  <si>
    <t>[447486, 447493, 447500, 447507, 447515, 447522, 447531, 447536, 447542, 447550, 447559, 447566, 447573, 447581, 447591, 447599, 447607, 447614, 447621, 447630, 447638]</t>
  </si>
  <si>
    <t>0.009077710806254542</t>
  </si>
  <si>
    <t>[429470, 447486, 447493, 447500, 447507, 447515, 447522, 447531, 447536, 447542, 447550, 447559, 447566, 447573, 447581, 447591, 447599, 447607, 447614, 447621, 447630]</t>
  </si>
  <si>
    <t>[0.662, 0.005, 0.02, 0.027, 0.03, 0.031, 0.033, 0.001, 0.003, 0.001, 0.004, 0.005, 0.024, 0.03, 0.025, 0.02, 0.016, 0.011, 0.011, 0.016, 0.019]</t>
  </si>
  <si>
    <t>776.4052254034684</t>
  </si>
  <si>
    <t>[-0.06, -0.034, -0.019, 0.043]</t>
  </si>
  <si>
    <t>LINESTRING (13.20208529027907 65.84336741775907, 13.202073839349078 65.84329620358606, 13.202136927173552 65.84325548063673, 13.202240404386481 65.84323237328198, 13.202480809388936 65.84326543860377)</t>
  </si>
  <si>
    <t>[431289, 431297, 431308, 431316]</t>
  </si>
  <si>
    <t>[347774, 429508, 347934, 429532]</t>
  </si>
  <si>
    <t>[429490, 347774, 429508, 347934]</t>
  </si>
  <si>
    <t>[0.06, 0.034, 0.019, 0.043]</t>
  </si>
  <si>
    <t>30.774695097770422</t>
  </si>
  <si>
    <t>[0.461, -0.004, -0.027, -0.027, -0.031, -0.024, -0.0, -0.001, -0.028, -0.008, -0.01, -0.013, -0.003, -0.001, -0.001, -0.004, 0.005, -0.002, -0.001, 0.002, 0.026, 0.033, 0.212]</t>
  </si>
  <si>
    <t>LINESTRING (13.20208529027907 65.84336741775907, 13.202049226845837 65.84343049074948, 13.20067779935231 65.84470177157431, 13.200601610413159 65.84476120499635, 13.200276358036813 65.84501817275513, 13.200226496638038 65.84505887085626, 13.200016256904826 65.84523062771333, 13.199934531559977 65.8452958742402, 13.19914632329271 65.84595558919098, 13.199071289379837 65.84602282555122, 13.19902036321915 65.84606834815683, 13.198698641924318 65.84635700820691, 13.198634822223799 65.8464145578399, 13.19860535184835 65.84644118944004, 13.197972082063393 65.84708243730613, 13.197625104532767 65.84749319570726, 13.19756218997646 65.84756776270045, 13.197545817994769 65.84758815816947, 13.196366180561968 65.84903847087793, 13.196302116047429 65.84915149856802, 13.196239117426751 65.84928180617254, 13.196181253369918 65.84950912826227, 13.196178930117094 65.84959314931685, 13.19626073655791 65.84988875274503)</t>
  </si>
  <si>
    <t>[448906, 448914, 448922, 448930, 448938, 448946, 448954, 448962, 448970, 448978, 448986, 448994, 449002, 449010, 449018, 449026, 449034, 449042, 449050, 449058, 449066, 449074, 449082]</t>
  </si>
  <si>
    <t>[447643, 447650, 447659, 447668, 447674, 447681, 447688, 447698, 447705, 447714, 447722, 447731, 447738, 447748, 447756, 447766, 447772, 447778, 447786, 447793, 447804, 447814, 447638]</t>
  </si>
  <si>
    <t>0.009912229483347612</t>
  </si>
  <si>
    <t>[429490, 447643, 447650, 447659, 447668, 447674, 447681, 447688, 447698, 447705, 447714, 447722, 447731, 447738, 447748, 447756, 447766, 447772, 447778, 447786, 447793, 447804, 447814]</t>
  </si>
  <si>
    <t>[0.461, 0.004, 0.027, 0.027, 0.031, 0.024, 0.0, 0.001, 0.028, 0.008, 0.01, 0.013, 0.003, 0.001, 0.001, 0.004, 0.005, 0.002, 0.001, 0.002, 0.026, 0.033, 0.212]</t>
  </si>
  <si>
    <t>781.9867751230431</t>
  </si>
  <si>
    <t>[-0.056, -0.059, -0.526]</t>
  </si>
  <si>
    <t>LINESTRING (13.20367254202906 65.84327402997603, 13.203529224531163 65.8432672700011, 13.20266683435408 65.84325884357027, 13.202480809388936 65.84326543860377)</t>
  </si>
  <si>
    <t>[448684, 448685, 448692]</t>
  </si>
  <si>
    <t>[447423, 447424, 429532]</t>
  </si>
  <si>
    <t>[447422, 447423, 447424]</t>
  </si>
  <si>
    <t>[0.056, 0.059, 0.526]</t>
  </si>
  <si>
    <t>54.511075381545304</t>
  </si>
  <si>
    <t>[0.052, 0.048, 0.015, 0.007, -0.027]</t>
  </si>
  <si>
    <t>LINESTRING (14.132300458034829 66.30517346320538, 14.132363054354382 66.30516322555236, 14.132497078301965 66.30516280685829, 14.132614633096132 66.30518858397687, 14.132642636078534 66.30520110348874, 14.132694881484111 66.30524725941301)</t>
  </si>
  <si>
    <t>[431340, 431348, 431356, 431364, 431372]</t>
  </si>
  <si>
    <t>[429562, 429572, 420048, 429590, 429600]</t>
  </si>
  <si>
    <t>0.017569307142211037</t>
  </si>
  <si>
    <t>[429551, 429562, 429572, 420048, 429590]</t>
  </si>
  <si>
    <t>[0.052, 0.048, 0.015, 0.007, 0.027]</t>
  </si>
  <si>
    <t>22.57517296719466</t>
  </si>
  <si>
    <t>[0.084, 0.054]</t>
  </si>
  <si>
    <t>LINESTRING (14.132165099555916 66.30527597495771, 14.13218816054948 66.30522290003914, 14.132300458034829 66.30517346320538)</t>
  </si>
  <si>
    <t>[431404, 431332]</t>
  </si>
  <si>
    <t>[429550, 429551]</t>
  </si>
  <si>
    <t>0.06737519009712466</t>
  </si>
  <si>
    <t>[429629, 429550]</t>
  </si>
  <si>
    <t>13.471055048659565</t>
  </si>
  <si>
    <t>[-0.008, 0.338]</t>
  </si>
  <si>
    <t>LINESTRING (14.13119968799895 66.3050362376379, 14.13213745172446 66.3051529050987, 14.132300458034829 66.30517346320538)</t>
  </si>
  <si>
    <t>[451918, 451926]</t>
  </si>
  <si>
    <t>[450522, 429551]</t>
  </si>
  <si>
    <t>0.04328954645133519</t>
  </si>
  <si>
    <t>[450508, 450522]</t>
  </si>
  <si>
    <t>[0.008, 0.338]</t>
  </si>
  <si>
    <t>51.67921456707793</t>
  </si>
  <si>
    <t>[-0.079, -0.085]</t>
  </si>
  <si>
    <t>LINESTRING (14.132694881484111 66.30524725941301, 14.132685891794642 66.30530104091204, 14.132558473269516 66.3053621469229)</t>
  </si>
  <si>
    <t>[431380, 431388]</t>
  </si>
  <si>
    <t>[429610, 429621]</t>
  </si>
  <si>
    <t>[429600, 429610]</t>
  </si>
  <si>
    <t>[0.079, 0.085]</t>
  </si>
  <si>
    <t>14.899267456453906</t>
  </si>
  <si>
    <t>[-0.541, -0.017, -0.004, 0.006, 0.488]</t>
  </si>
  <si>
    <t>LINESTRING (14.132694881484111 66.30524725941301, 14.132823714880542 66.30527193291688, 14.133020710241729 66.3053060838569, 14.1334603637343 66.30534106642456, 14.133938355489104 66.30534492227149, 14.134146395077167 66.30534138834214)</t>
  </si>
  <si>
    <t>[451990, 451998, 452006, 452014, 452023]</t>
  </si>
  <si>
    <t>[450603, 450611, 450619, 450627, 429650]</t>
  </si>
  <si>
    <t>0.014647370566212771</t>
  </si>
  <si>
    <t>[429600, 450603, 450611, 450619, 450627]</t>
  </si>
  <si>
    <t>[0.541, 0.017, 0.004, 0.006, 0.488]</t>
  </si>
  <si>
    <t>66.8929552370051</t>
  </si>
  <si>
    <t>23.543972894998205</t>
  </si>
  <si>
    <t>[-0.331, -0.001, -0.001, -0.007, 0.554]</t>
  </si>
  <si>
    <t>LINESTRING (14.132558473269516 66.3053621469229, 14.132742848045018 66.30536906078872, 14.132989267497901 66.3053759345478, 14.133237819944506 66.30538692895118, 14.133865720341756 66.3054492292381, 14.134005673329527 66.30547617077616)</t>
  </si>
  <si>
    <t>[451934, 451942, 451950, 451958, 451966]</t>
  </si>
  <si>
    <t>[450537, 450547, 450556, 450567, 429744]</t>
  </si>
  <si>
    <t>0.013206192344564006</t>
  </si>
  <si>
    <t>[429621, 450537, 450547, 450556, 450567]</t>
  </si>
  <si>
    <t>[0.331, 0.001, 0.001, 0.007, 0.554]</t>
  </si>
  <si>
    <t>66.63542644009046</t>
  </si>
  <si>
    <t>[-0.02, 0.326]</t>
  </si>
  <si>
    <t>LINESTRING (14.13119968799895 66.3050362376379, 14.13203266530497 66.30524709091289, 14.132165099555916 66.30527597495771)</t>
  </si>
  <si>
    <t>[451902, 451910]</t>
  </si>
  <si>
    <t>[450509, 429629]</t>
  </si>
  <si>
    <t>0.025802224836753783</t>
  </si>
  <si>
    <t>[450508, 450509]</t>
  </si>
  <si>
    <t>[0.02, 0.326]</t>
  </si>
  <si>
    <t>51.03267627660224</t>
  </si>
  <si>
    <t>5.121962612136526</t>
  </si>
  <si>
    <t>[0.091, 0.069]</t>
  </si>
  <si>
    <t>LINESTRING (14.134005673329527 66.30547617077616, 14.13400308790425 66.30542232476027, 14.134146395077167 66.30534138834214)</t>
  </si>
  <si>
    <t>[431508, 431412]</t>
  </si>
  <si>
    <t>[429649, 429650]</t>
  </si>
  <si>
    <t>0.07662092051070896</t>
  </si>
  <si>
    <t>[429744, 429649]</t>
  </si>
  <si>
    <t>17.33026629692914</t>
  </si>
  <si>
    <t>[-0.005, -0.039]</t>
  </si>
  <si>
    <t>LINESTRING (14.134253952334122 66.3053259273609, 14.13443419605249 66.30533688948289, 14.134577250514765 66.30539232469259)</t>
  </si>
  <si>
    <t>[431428, 431436]</t>
  </si>
  <si>
    <t>[429668, 429678]</t>
  </si>
  <si>
    <t>[429658, 429668]</t>
  </si>
  <si>
    <t>[0.005, 0.039]</t>
  </si>
  <si>
    <t>17.08190478714984</t>
  </si>
  <si>
    <t>[-0.511, 0.06, 0.056, 0.026, 0.032, 0.033, 0.033, 0.039, 0.032, 0.029, 0.044, 0.045]</t>
  </si>
  <si>
    <t>LINESTRING (14.134253952334122 66.3053259273609, 14.134353350994424 66.3052766325825, 14.134551244185685 66.30518744039694, 14.136187917032426 66.30457104339297, 14.137470194955998 66.30428152149841, 14.137581745032415 66.30425997947441, 14.137757928741872 66.30422717709025, 14.138287961968826 66.30413620572301, 14.138326093105277 66.30413042375496, 14.138536359881062 66.30409928970946, 14.138613856381607 66.30408814518833, 14.140283439259168 66.30393369115397, 14.142721051338393 66.30406642951672)</t>
  </si>
  <si>
    <t>[452079, 452087, 753298, 753306, 961065, 961073, 961081, 961089, 961097, 961105, 961113, 961121]</t>
  </si>
  <si>
    <t>[450681, 450691, 734578, 734583, 926789, 926791, 926795, 926798, 926799, 926802, 926806, 926783]</t>
  </si>
  <si>
    <t>0.03423661803959565</t>
  </si>
  <si>
    <t>[429658, 450681, 450691, 734578, 734583, 926789, 926791, 926795, 926798, 926799, 926802, 926806]</t>
  </si>
  <si>
    <t>[0.511, 0.06, 0.056, 0.026, 0.032, 0.033, 0.033, 0.039, 0.032, 0.029, 0.044, 0.045]</t>
  </si>
  <si>
    <t>431.6823220155127</t>
  </si>
  <si>
    <t>10.24851302207468</t>
  </si>
  <si>
    <t>[-0.47, 0.057, 0.033, 0.054, 0.027, 0.034, 0.032, 0.035, 0.031, 0.032, 0.044, 0.053, 0.048]</t>
  </si>
  <si>
    <t>LINESTRING (14.134577250514765 66.30539232469259, 14.134614501774058 66.30533632280292, 14.134704856391432 66.30523415969219, 14.134715464861438 66.30522528266835, 14.136313078194643 66.30463514320404, 14.137312274426094 66.30438525827927, 14.13782815917739 66.30429146456132, 14.138355446626056 66.3042097277982, 14.138405467276346 66.3042025492602, 14.138621736151132 66.3041719866664, 14.138684124583518 66.30416376402344, 14.14030728989217 66.30401431914404, 14.140532437345286 66.30400249151687, 14.142721051338393 66.30406642951672)</t>
  </si>
  <si>
    <t>[452055, 452063, 452071, 753314, 753322, 961001, 961009, 961017, 961025, 961033, 961041, 961049, 961057]</t>
  </si>
  <si>
    <t>[450656, 450664, 450673, 734589, 734596, 926740, 926746, 926752, 926760, 926764, 926771, 926777, 926783]</t>
  </si>
  <si>
    <t>0.03601352668758093</t>
  </si>
  <si>
    <t>[429678, 450656, 450664, 450673, 734589, 734596, 926740, 926746, 926752, 926760, 926764, 926771, 926777]</t>
  </si>
  <si>
    <t>[0.47, 0.057, 0.033, 0.054, 0.027, 0.034, 0.032, 0.035, 0.031, 0.032, 0.044, 0.053, 0.048]</t>
  </si>
  <si>
    <t>420.36147845884136</t>
  </si>
  <si>
    <t>0.489</t>
  </si>
  <si>
    <t>6.245320888732</t>
  </si>
  <si>
    <t>[-0.067, -0.047]</t>
  </si>
  <si>
    <t>LINESTRING (14.134596463751304 66.3054821509633, 14.134523345158383 66.30553378130074, 14.134307993185006 66.30557026484618)</t>
  </si>
  <si>
    <t>[431452, 431460]</t>
  </si>
  <si>
    <t>[429693, 429704]</t>
  </si>
  <si>
    <t>[429685, 429693]</t>
  </si>
  <si>
    <t>[0.067, 0.047]</t>
  </si>
  <si>
    <t>17.309004500094012</t>
  </si>
  <si>
    <t>0.297</t>
  </si>
  <si>
    <t>9.805281484754252</t>
  </si>
  <si>
    <t>[-0.019, 0.013, 0.034, 0.036, 0.076]</t>
  </si>
  <si>
    <t>LINESTRING (14.134307993185006 66.30557026484618, 14.13426647691255 66.30556933393382, 14.134152085943619 66.30555456631686, 14.134057728223738 66.30551952592221, 14.134033691671089 66.30550512670567, 14.134005673329527 66.30547617077616)</t>
  </si>
  <si>
    <t>[431468, 431476, 431484, 431492, 431500]</t>
  </si>
  <si>
    <t>[429712, 429721, 429731, 429735, 429744]</t>
  </si>
  <si>
    <t>0.030598077593117765</t>
  </si>
  <si>
    <t>[429704, 429712, 429721, 429731, 429735]</t>
  </si>
  <si>
    <t>[0.019, 0.013, 0.034, 0.036, 0.076]</t>
  </si>
  <si>
    <t>18.40756882048492</t>
  </si>
  <si>
    <t>[-0.002, -0.001, -0.0, 0.001]</t>
  </si>
  <si>
    <t>LINESTRING (14.15110666369761 66.30818666292915, 14.151184777119258 66.30818520514443, 14.15136435309748 66.30821677925731, 14.151462495223827 66.3082828096245, 14.151470345722414 66.3083152410327)</t>
  </si>
  <si>
    <t>[431620, 431628, 431636, 431644]</t>
  </si>
  <si>
    <t>[429881, 429889, 429898, 429906]</t>
  </si>
  <si>
    <t>[429873, 429881, 429889, 429898]</t>
  </si>
  <si>
    <t>[0.002, 0.001, 0.0, 0.001]</t>
  </si>
  <si>
    <t>24.50164357004118</t>
  </si>
  <si>
    <t>[-0.005, -0.004]</t>
  </si>
  <si>
    <t>LINESTRING (14.150846067573138 66.3083081555243, 14.150922408811608 66.30822701766458, 14.15110666369761 66.30818666292915)</t>
  </si>
  <si>
    <t>[431700, 431612]</t>
  </si>
  <si>
    <t>[429872, 429873]</t>
  </si>
  <si>
    <t>[429961, 429872]</t>
  </si>
  <si>
    <t>19.077499657814762</t>
  </si>
  <si>
    <t>54.790873884285</t>
  </si>
  <si>
    <t>48.684996720093885</t>
  </si>
  <si>
    <t>LINESTRING (14.151470345722414 66.3083152410327, 14.15138737642785 66.30839454860983, 14.151200868146692 66.30843489138414)</t>
  </si>
  <si>
    <t>[431652, 431660]</t>
  </si>
  <si>
    <t>[429914, 429922]</t>
  </si>
  <si>
    <t>0.004492450848065873</t>
  </si>
  <si>
    <t>[429906, 429914]</t>
  </si>
  <si>
    <t>19.086444795233323</t>
  </si>
  <si>
    <t>47.33861372122644</t>
  </si>
  <si>
    <t>[0.006, 0.004, -0.001, -0.003]</t>
  </si>
  <si>
    <t>LINESTRING (14.151200868146692 66.30843489138414, 14.15113621497236 66.30843534601367, 14.150954299555872 66.3084056429736, 14.150864563805207 66.3083549104183, 14.150846067573138 66.3083081555243)</t>
  </si>
  <si>
    <t>[431668, 431676, 431684, 431692]</t>
  </si>
  <si>
    <t>[429933, 429944, 429954, 429961]</t>
  </si>
  <si>
    <t>0.00124733879803984</t>
  </si>
  <si>
    <t>[429922, 429933, 429944, 429954]</t>
  </si>
  <si>
    <t>[0.006, 0.004, 0.001, 0.003]</t>
  </si>
  <si>
    <t>23.920372198267</t>
  </si>
  <si>
    <t>53.922869702822304</t>
  </si>
  <si>
    <t>[0.01, 0.001]</t>
  </si>
  <si>
    <t>LINESTRING (14.15962541345697 66.31437418237759, 14.159917560274867 66.31437674720067, 14.16001617107934 66.31443012408855)</t>
  </si>
  <si>
    <t>[431716, 431724]</t>
  </si>
  <si>
    <t>[429993, 430004]</t>
  </si>
  <si>
    <t>0.006835438127272555</t>
  </si>
  <si>
    <t>[429982, 429993]</t>
  </si>
  <si>
    <t>21.08053097347547</t>
  </si>
  <si>
    <t>[0.009, 0.015]</t>
  </si>
  <si>
    <t>LINESTRING (14.15950547392076 66.31449115583898, 14.15951658970574 66.31442554168923, 14.15962541345697 66.31437418237759)</t>
  </si>
  <si>
    <t>[431780, 431708]</t>
  </si>
  <si>
    <t>[429981, 429982]</t>
  </si>
  <si>
    <t>0.012038504362127514</t>
  </si>
  <si>
    <t>[430053, 429981]</t>
  </si>
  <si>
    <t>14.852469924659616</t>
  </si>
  <si>
    <t>49.52130854479087</t>
  </si>
  <si>
    <t>[-0.006, -0.011]</t>
  </si>
  <si>
    <t>LINESTRING (14.16001617107934 66.31443012408855, 14.160023567268246 66.31449459113207, 14.159927333552798 66.31455175174247)</t>
  </si>
  <si>
    <t>[431732, 431740]</t>
  </si>
  <si>
    <t>[430015, 430023]</t>
  </si>
  <si>
    <t>[430004, 430015]</t>
  </si>
  <si>
    <t>[0.006, 0.011]</t>
  </si>
  <si>
    <t>14.888418569312535</t>
  </si>
  <si>
    <t>[-0.846, 0.006, 0.016, 0.016]</t>
  </si>
  <si>
    <t>LINESTRING (14.16001617107934 66.31443012408855, 14.160082412364993 66.31444069175106, 14.160371248491074 66.31448098256266, 14.160381993057891 66.314481910826, 14.160951089888743 66.31449258944971)</t>
  </si>
  <si>
    <t>[451574, 451582, 451590, 451598]</t>
  </si>
  <si>
    <t>[450272, 450277, 450282, 450288]</t>
  </si>
  <si>
    <t>[430004, 450272, 450277, 450282]</t>
  </si>
  <si>
    <t>[0.846, 0.006, 0.016, 0.016]</t>
  </si>
  <si>
    <t>42.93098530830132</t>
  </si>
  <si>
    <t>[-0.015, -0.012, -0.004, 0.006]</t>
  </si>
  <si>
    <t>LINESTRING (14.159927333552798 66.31455175174247, 14.159837511815994 66.31456921044347, 14.159648096361657 66.31456271451187, 14.159529151727053 66.31451631532532, 14.15950547392076 66.31449115583898)</t>
  </si>
  <si>
    <t>[431748, 431756, 431764, 431772]</t>
  </si>
  <si>
    <t>[430033, 430037, 430045, 430053]</t>
  </si>
  <si>
    <t>[430023, 430033, 430037, 430045]</t>
  </si>
  <si>
    <t>[0.015, 0.012, 0.004, 0.006]</t>
  </si>
  <si>
    <t>23.421024029993564</t>
  </si>
  <si>
    <t>[-0.803, 0.018, 0.023]</t>
  </si>
  <si>
    <t>LINESTRING (14.159927333552798 66.31455175174247, 14.16001031719533 66.31455200245657, 14.160366244856663 66.31454534677285, 14.160951089888743 66.31449258944971)</t>
  </si>
  <si>
    <t>[451606, 451614, 451622]</t>
  </si>
  <si>
    <t>[450293, 450297, 450288]</t>
  </si>
  <si>
    <t>[430023, 450293, 450297]</t>
  </si>
  <si>
    <t>[0.803, 0.018, 0.023]</t>
  </si>
  <si>
    <t>46.65290598938206</t>
  </si>
  <si>
    <t>50.7644946105155</t>
  </si>
  <si>
    <t>8.763617974305937</t>
  </si>
  <si>
    <t>[-0.006, 0.008]</t>
  </si>
  <si>
    <t>LINESTRING (14.170904081155326 66.32010456121472, 14.171026598556857 66.3200433081598, 14.171256792349636 66.32001223570802)</t>
  </si>
  <si>
    <t>[431868, 431876]</t>
  </si>
  <si>
    <t>[430144, 430065]</t>
  </si>
  <si>
    <t>0.0017557252491338018</t>
  </si>
  <si>
    <t>[430135, 430144]</t>
  </si>
  <si>
    <t>19.64453720669607</t>
  </si>
  <si>
    <t>[-0.048, 0.007]</t>
  </si>
  <si>
    <t>LINESTRING (14.169826137324046 66.319487111915, 14.170745932630421 66.3198732402597, 14.171256792349636 66.32001223570802)</t>
  </si>
  <si>
    <t>[1029124, 1029132]</t>
  </si>
  <si>
    <t>[983378, 430065]</t>
  </si>
  <si>
    <t>[490716, 983378]</t>
  </si>
  <si>
    <t>[0.048, 0.007]</t>
  </si>
  <si>
    <t>88.04578709381663</t>
  </si>
  <si>
    <t>[0.002, -0.003]</t>
  </si>
  <si>
    <t>LINESTRING (14.171446507548563 66.32003127951315, 14.1715601868538 66.3200689386086, 14.171643534676484 66.32013999090323)</t>
  </si>
  <si>
    <t>[431796, 431804]</t>
  </si>
  <si>
    <t>[430072, 430080]</t>
  </si>
  <si>
    <t>[430066, 430072]</t>
  </si>
  <si>
    <t>15.358323991209476</t>
  </si>
  <si>
    <t>[-0.09, 0.003, -0.001]</t>
  </si>
  <si>
    <t>LINESTRING (14.171446507548563 66.32003127951315, 14.17154106157839 66.32000530702959, 14.171645701664008 66.31997594299119, 14.172097454202287 66.3198946937514)</t>
  </si>
  <si>
    <t>[1378830, 1378838, 1378846]</t>
  </si>
  <si>
    <t>[1269519, 1269521, 984851]</t>
  </si>
  <si>
    <t>[430066, 1269519, 1269521]</t>
  </si>
  <si>
    <t>[0.09, 0.003, 0.001]</t>
  </si>
  <si>
    <t>33.36830761420102</t>
  </si>
  <si>
    <t>8.762083085660583</t>
  </si>
  <si>
    <t>[-0.117, 0.015, 0.013]</t>
  </si>
  <si>
    <t>LINESTRING (14.171643534676484 66.32013999090323, 14.17173323077763 66.32008942748502, 14.171817064533052 66.32004408135143, 14.172097454202287 66.3198946937514)</t>
  </si>
  <si>
    <t>[1378806, 1378814, 1378822]</t>
  </si>
  <si>
    <t>[1269513, 1269516, 984851]</t>
  </si>
  <si>
    <t>[430080, 1269513, 1269516]</t>
  </si>
  <si>
    <t>[0.117, 0.015, 0.013]</t>
  </si>
  <si>
    <t>34.08285414377833</t>
  </si>
  <si>
    <t>54.10539337272338</t>
  </si>
  <si>
    <t>[-0.006, -0.003]</t>
  </si>
  <si>
    <t>LINESTRING (14.171630686795693 66.32021842628524, 14.171558914467253 66.32027017067433, 14.171352589742247 66.32032173682494)</t>
  </si>
  <si>
    <t>[431820, 431828]</t>
  </si>
  <si>
    <t>[430094, 430101]</t>
  </si>
  <si>
    <t>[430088, 430094]</t>
  </si>
  <si>
    <t>[0.006, 0.003]</t>
  </si>
  <si>
    <t>17.492092338400226</t>
  </si>
  <si>
    <t>5.870485499509102</t>
  </si>
  <si>
    <t>58.96579039174275</t>
  </si>
  <si>
    <t>LINESTRING (14.17122192649877 66.3203254371181, 14.1710805557519 66.3203087141336, 14.170891098715341 66.32022085708608)</t>
  </si>
  <si>
    <t>[431844, 431852]</t>
  </si>
  <si>
    <t>[430118, 430127]</t>
  </si>
  <si>
    <t>0.0033325365914666076</t>
  </si>
  <si>
    <t>[430110, 430118]</t>
  </si>
  <si>
    <t>19.803710366284776</t>
  </si>
  <si>
    <t>[-0.284, -0.02, -0.023, -0.022, -0.027, -0.017, -0.028, -0.031]</t>
  </si>
  <si>
    <t>LINESTRING (14.17122192649877 66.3203254371181, 14.171170301269948 66.32035760437991, 14.17093844687214 66.3205066568195, 14.17086802994698 66.32056866295731, 14.170790236666017 66.32063238823932, 14.170197003472472 66.32113525662696, 14.170179371220952 66.32115158110193, 14.170112256283254 66.32121349685568, 14.168663188369651 66.32217106232959)</t>
  </si>
  <si>
    <t>[488777, 488782, 488785, 488793, 488801, 488839, 488840, 488846]</t>
  </si>
  <si>
    <t>[489022, 489028, 489031, 489043, 489049, 489097, 489098, 489103]</t>
  </si>
  <si>
    <t>[430110, 489022, 489028, 489031, 489043, 489049, 489097, 489098]</t>
  </si>
  <si>
    <t>[0.284, 0.02, 0.023, 0.022, 0.027, 0.017, 0.028, 0.031]</t>
  </si>
  <si>
    <t>240.2139419729781</t>
  </si>
  <si>
    <t>13.21339952025981</t>
  </si>
  <si>
    <t>[-0.132, -0.028, -0.022, -0.027, -0.019, -0.029, -0.033, -0.029, -0.033]</t>
  </si>
  <si>
    <t>LINESTRING (14.170891098715341 66.32022085708608, 14.170869120205593 66.3202790301562, 14.170771005169557 66.3204765880621, 14.170623108899958 66.32059210204848, 14.170031327979554 66.32107658524068, 14.170015046193585 66.32109255802631, 14.169984817542126 66.32112272167535, 14.169947737588032 66.32115965841393, 14.16986368205354 66.32124328531773, 14.168663188369651 66.32217106232959)</t>
  </si>
  <si>
    <t>[491098, 491103, 491107, 491110, 491113, 491128, 491129, 491140, 491158]</t>
  </si>
  <si>
    <t>[491609, 491616, 491620, 491623, 491626, 491645, 491646, 491660, 489103]</t>
  </si>
  <si>
    <t>[430127, 491609, 491616, 491620, 491623, 491626, 491645, 491646, 491660]</t>
  </si>
  <si>
    <t>[0.132, 0.028, 0.022, 0.027, 0.019, 0.029, 0.033, 0.029, 0.033]</t>
  </si>
  <si>
    <t>241.5782388481009</t>
  </si>
  <si>
    <t>[-0.036, -0.02]</t>
  </si>
  <si>
    <t>LINESTRING (14.169826137324046 66.319487111915, 14.170600362510317 66.3199365862629, 14.170904081155326 66.32010456121472)</t>
  </si>
  <si>
    <t>[490260, 490261]</t>
  </si>
  <si>
    <t>[490717, 430135]</t>
  </si>
  <si>
    <t>[490716, 490717]</t>
  </si>
  <si>
    <t>[0.036, 0.02]</t>
  </si>
  <si>
    <t>85.35781531882604</t>
  </si>
  <si>
    <t>[-0.045, -0.058, -0.049, -0.045]</t>
  </si>
  <si>
    <t>LINESTRING (14.174130720874576 66.32187903849905, 14.174202011309577 66.32189700169272, 14.17426913976143 66.3219458956662, 14.174261665194335 66.32199071527509, 14.174237540474898 66.32201113279925)</t>
  </si>
  <si>
    <t>[431892, 431900, 431908, 431916]</t>
  </si>
  <si>
    <t>[430167, 430178, 430184, 430192]</t>
  </si>
  <si>
    <t>[430159, 430167, 430178, 430184]</t>
  </si>
  <si>
    <t>[0.045, 0.058, 0.049, 0.045]</t>
  </si>
  <si>
    <t>17.522674582485234</t>
  </si>
  <si>
    <t>[0.033, -0.014]</t>
  </si>
  <si>
    <t>LINESTRING (14.173846442526202 66.32192570829412, 14.173965607809706 66.32187959756978, 14.174130720874576 66.32187903849905)</t>
  </si>
  <si>
    <t>[431972, 431884]</t>
  </si>
  <si>
    <t>[430158, 430159]</t>
  </si>
  <si>
    <t>0.009519503708080933</t>
  </si>
  <si>
    <t>[430248, 430158]</t>
  </si>
  <si>
    <t>[0.033, 0.014]</t>
  </si>
  <si>
    <t>14.811752930780024</t>
  </si>
  <si>
    <t>38.73245229726331</t>
  </si>
  <si>
    <t>0.176</t>
  </si>
  <si>
    <t>30.158165028146588</t>
  </si>
  <si>
    <t>[-0.031, 0.012]</t>
  </si>
  <si>
    <t>LINESTRING (14.174237540474898 66.32201113279925, 14.174129712126128 66.32204635823969, 14.174000356746372 66.32205006784335)</t>
  </si>
  <si>
    <t>[431924, 431932]</t>
  </si>
  <si>
    <t>[430202, 430210]</t>
  </si>
  <si>
    <t>[430192, 430202]</t>
  </si>
  <si>
    <t>[0.031, 0.012]</t>
  </si>
  <si>
    <t>12.038129048438268</t>
  </si>
  <si>
    <t>0.185</t>
  </si>
  <si>
    <t>29.48391086721123</t>
  </si>
  <si>
    <t>[0.037, 0.059, 0.053, 0.047]</t>
  </si>
  <si>
    <t>LINESTRING (14.174000356746372 66.32205006784335, 14.173901101870916 66.32202944397999, 14.173838860685784 66.32199211360047, 14.173829910031218 66.32194733240699, 14.173846442526202 66.32192570829412)</t>
  </si>
  <si>
    <t>[431940, 431948, 431956, 431964]</t>
  </si>
  <si>
    <t>[430220, 430228, 430240, 430248]</t>
  </si>
  <si>
    <t>0.04928493065166677</t>
  </si>
  <si>
    <t>[430210, 430220, 430228, 430240]</t>
  </si>
  <si>
    <t>17.546109765207287</t>
  </si>
  <si>
    <t>0.14</t>
  </si>
  <si>
    <t>40.73623945199629</t>
  </si>
  <si>
    <t>0.041</t>
  </si>
  <si>
    <t>6.937903141774887</t>
  </si>
  <si>
    <t>[-0.032, 0.005]</t>
  </si>
  <si>
    <t>LINESTRING (14.175739080205677 66.3239758546865, 14.17583555318785 66.3239127552386, 14.176013608270605 66.32389360120843)</t>
  </si>
  <si>
    <t>[432036, 432044]</t>
  </si>
  <si>
    <t>[430312, 430262]</t>
  </si>
  <si>
    <t>[430307, 430312]</t>
  </si>
  <si>
    <t>[0.032, 0.005]</t>
  </si>
  <si>
    <t>16.515513530995626</t>
  </si>
  <si>
    <t>0.135</t>
  </si>
  <si>
    <t>33.99383620580127</t>
  </si>
  <si>
    <t>0.088</t>
  </si>
  <si>
    <t>36.34578157264092</t>
  </si>
  <si>
    <t>[0.056, 0.04]</t>
  </si>
  <si>
    <t>LINESTRING (14.176154021544392 66.32391982469463, 14.176232618174287 66.32398681190031, 14.176174740417272 66.32405720367959)</t>
  </si>
  <si>
    <t>[431988, 431996]</t>
  </si>
  <si>
    <t>[430270, 430277]</t>
  </si>
  <si>
    <t>0.04799608076692005</t>
  </si>
  <si>
    <t>[430263, 430270]</t>
  </si>
  <si>
    <t>16.520004070638826</t>
  </si>
  <si>
    <t>38.069799053755546</t>
  </si>
  <si>
    <t>[0.01, -0.005, -0.036, -0.047]</t>
  </si>
  <si>
    <t>LINESTRING (14.176174740417272 66.32405720367959, 14.176135958515014 66.32407198135215, 14.176012453427857 66.3240923215654, 14.17579926892391 66.32405970140695, 14.175739080205677 66.3239758546865)</t>
  </si>
  <si>
    <t>[432004, 432012, 432020, 432028]</t>
  </si>
  <si>
    <t>[430287, 430294, 420059, 430307]</t>
  </si>
  <si>
    <t>[430277, 430287, 430294, 420059]</t>
  </si>
  <si>
    <t>[0.01, 0.005, 0.036, 0.047]</t>
  </si>
  <si>
    <t>28.874638553070213</t>
  </si>
  <si>
    <t>34.406274322587144</t>
  </si>
  <si>
    <t>8.340349752977621</t>
  </si>
  <si>
    <t>[0.077, 0.084]</t>
  </si>
  <si>
    <t>LINESTRING (15.392161958154377 67.25881141423754, 15.392163431225717 67.2588576614955, 15.392124640064937 67.25889552119968)</t>
  </si>
  <si>
    <t>[432236, 432148]</t>
  </si>
  <si>
    <t>[430414, 430415]</t>
  </si>
  <si>
    <t>0.08027771445652516</t>
  </si>
  <si>
    <t>[430493, 430414]</t>
  </si>
  <si>
    <t>9.696368513997825</t>
  </si>
  <si>
    <t>[0.015, 0.569]</t>
  </si>
  <si>
    <t>LINESTRING (15.393094467972466 67.25891826635404, 15.392181741005341 67.25889295974311, 15.392124640064937 67.25889552119968)</t>
  </si>
  <si>
    <t>[1390885, 1390893]</t>
  </si>
  <si>
    <t>[1275801, 430415]</t>
  </si>
  <si>
    <t>0.04774461668424073</t>
  </si>
  <si>
    <t>[598298, 1275801]</t>
  </si>
  <si>
    <t>41.95430340917806</t>
  </si>
  <si>
    <t>[0.036, -0.008]</t>
  </si>
  <si>
    <t>LINESTRING (15.391967647375543 67.2589391862555, 15.391812415372197 67.25894014824318, 15.391677411630207 67.25890639053223)</t>
  </si>
  <si>
    <t>[432164, 432172]</t>
  </si>
  <si>
    <t>[430433, 430440]</t>
  </si>
  <si>
    <t>0.013618048194736991</t>
  </si>
  <si>
    <t>[430426, 430433]</t>
  </si>
  <si>
    <t>[0.036, 0.008]</t>
  </si>
  <si>
    <t>13.6312897615332</t>
  </si>
  <si>
    <t>[-0.355, 0.049, 0.044, 0.045]</t>
  </si>
  <si>
    <t>LINESTRING (15.391967647375543 67.2589391862555, 15.39191858735701 67.25896715880043, 15.391624060468931 67.2594735331645, 15.391633563856747 67.25997290433247, 15.391652210221187 67.2603788813579)</t>
  </si>
  <si>
    <t>[1390807, 1390825, 1390832, 1390835]</t>
  </si>
  <si>
    <t>[1275751, 1275763, 1275769, 1275772]</t>
  </si>
  <si>
    <t>0.036838086213933495</t>
  </si>
  <si>
    <t>[430426, 1275751, 1275763, 1275769]</t>
  </si>
  <si>
    <t>[0.355, 0.049, 0.044, 0.045]</t>
  </si>
  <si>
    <t>163.0847023081849</t>
  </si>
  <si>
    <t>[-0.056, -0.056, -0.079, -0.072, -0.04, -0.022, 0.034]</t>
  </si>
  <si>
    <t>LINESTRING (15.391677411630207 67.25890639053223, 15.391639943986755 67.25888324886566, 15.391617998564143 67.25881683249378, 15.391656791857946 67.2587790626108, 15.391802427869889 67.25873414282036, 15.391927216628654 67.25873005276513, 15.39202709632493 67.2587422776189, 15.392161958154377 67.25881141423754)</t>
  </si>
  <si>
    <t>[432180, 432188, 432196, 432204, 432212, 432220, 432228]</t>
  </si>
  <si>
    <t>[430447, 430453, 430462, 430471, 430476, 430484, 430493]</t>
  </si>
  <si>
    <t>[430440, 430447, 430453, 430462, 430471, 430476, 430484]</t>
  </si>
  <si>
    <t>[0.056, 0.056, 0.079, 0.072, 0.04, 0.022, 0.034]</t>
  </si>
  <si>
    <t>42.65220785004799</t>
  </si>
  <si>
    <t>[-0.265, 0.048, 0.044, 0.042]</t>
  </si>
  <si>
    <t>LINESTRING (15.391677411630207 67.25890639053223, 15.39170048561959 67.25895242362641, 15.391508456979777 67.25947960095345, 15.391520770510775 67.25997800544862, 15.391652210221187 67.2603788813579)</t>
  </si>
  <si>
    <t>[1390854, 1390862, 1390870, 1390878]</t>
  </si>
  <si>
    <t>[1275784, 1275791, 1275796, 1275772]</t>
  </si>
  <si>
    <t>0.035130203730457</t>
  </si>
  <si>
    <t>[430440, 1275784, 1275791, 1275796]</t>
  </si>
  <si>
    <t>[0.265, 0.048, 0.044, 0.042]</t>
  </si>
  <si>
    <t>165.51710011633895</t>
  </si>
  <si>
    <t>[0.005, 0.428]</t>
  </si>
  <si>
    <t>LINESTRING (15.393094467972466 67.25891826635404, 15.392209843163469 67.25882228587744, 15.392161958154377 67.25881141423754)</t>
  </si>
  <si>
    <t>[1390907, 1390915]</t>
  </si>
  <si>
    <t>[1275810, 430493]</t>
  </si>
  <si>
    <t>0.029104876257393723</t>
  </si>
  <si>
    <t>[598298, 1275810]</t>
  </si>
  <si>
    <t>42.02808635820868</t>
  </si>
  <si>
    <t>12.83812429200657</t>
  </si>
  <si>
    <t>[0.131, 0.109]</t>
  </si>
  <si>
    <t>LINESTRING (17.426995015714986 68.43833646466558, 17.42712589897471 68.43829647812608, 17.42726871873643 68.43829661490857)</t>
  </si>
  <si>
    <t>[432300, 432308]</t>
  </si>
  <si>
    <t>[430554, 430509]</t>
  </si>
  <si>
    <t>0.12096024155809766</t>
  </si>
  <si>
    <t>[430547, 430554]</t>
  </si>
  <si>
    <t>12.836930590341376</t>
  </si>
  <si>
    <t>[-0.063, -0.104]</t>
  </si>
  <si>
    <t>LINESTRING (17.427424089866637 68.43838858742991, 17.427349296932697 68.43843970617199, 17.42715760353721 68.43846004049269)</t>
  </si>
  <si>
    <t>[432252, 432260]</t>
  </si>
  <si>
    <t>[430517, 430522]</t>
  </si>
  <si>
    <t>[430510, 430517]</t>
  </si>
  <si>
    <t>[0.063, 0.104]</t>
  </si>
  <si>
    <t>14.65659138384094</t>
  </si>
  <si>
    <t>[0.05, 0.049, 0.036]</t>
  </si>
  <si>
    <t>LINESTRING (17.427424089866637 68.43838858742991, 17.42750116727297 68.43842775718127, 17.427974993908627 68.43863124351702, 17.42819990485371 68.43874458067825)</t>
  </si>
  <si>
    <t>[488384, 488392, 488410]</t>
  </si>
  <si>
    <t>[488578, 488587, 488607]</t>
  </si>
  <si>
    <t>0.04511080926787474</t>
  </si>
  <si>
    <t>[430510, 488578, 488587]</t>
  </si>
  <si>
    <t>50.91542660417778</t>
  </si>
  <si>
    <t>[-0.102, -0.106, -0.008, 0.12]</t>
  </si>
  <si>
    <t>LINESTRING (17.42715760353721 68.43846004049269, 17.427102207152107 68.43845378962251, 17.4269798057224 68.43840399564382, 17.42697398971161 68.43835632545881, 17.426995015714986 68.43833646466558)</t>
  </si>
  <si>
    <t>[432268, 432276, 432284, 432292]</t>
  </si>
  <si>
    <t>[430530, 430536, 430541, 430547]</t>
  </si>
  <si>
    <t>[430522, 430530, 430536, 430541]</t>
  </si>
  <si>
    <t>[0.102, 0.106, 0.008, 0.12]</t>
  </si>
  <si>
    <t>17.56030401766963</t>
  </si>
  <si>
    <t>[0.248, 0.05, 0.026]</t>
  </si>
  <si>
    <t>LINESTRING (17.42715760353721 68.43846004049269, 17.427294141152007 68.43848828745729, 17.42789766886879 68.43865578018905, 17.42819990485371 68.43874458067825)</t>
  </si>
  <si>
    <t>[490849, 490858, 490868]</t>
  </si>
  <si>
    <t>[491333, 491344, 488607]</t>
  </si>
  <si>
    <t>0.06672445782999632</t>
  </si>
  <si>
    <t>[430522, 491333, 491344]</t>
  </si>
  <si>
    <t>53.302082829902794</t>
  </si>
  <si>
    <t>[0.1, -0.031, -0.031, -0.033, -0.002, 0.0]</t>
  </si>
  <si>
    <t>LINESTRING (17.426915064134302 68.41120880623706, 17.426785111348163 68.41121686691854, 17.4265009960332 68.41123357263461, 17.425392918003034 68.41127484068353, 17.42454046841592 68.41130876925884, 17.418373711178003 68.41132403779068, 17.418156221457288 68.41132274062895)</t>
  </si>
  <si>
    <t>[1046831, 1046839, 1046846, 1046854, 1046862, 1046870]</t>
  </si>
  <si>
    <t>[997193, 997196, 997201, 448989, 997212, 997219]</t>
  </si>
  <si>
    <t>[430596, 997193, 997196, 997201, 448989, 997212]</t>
  </si>
  <si>
    <t>[0.1, 0.031, 0.031, 0.033, 0.002, 0.0]</t>
  </si>
  <si>
    <t>361.1591892377365</t>
  </si>
  <si>
    <t>[0.0, -0.011, -0.008, 0.006, 0.024, 0.02, 0.014, 0.015, 0.022, 0.04, 0.001, -0.008, -0.014, -0.016, -0.075, -0.033, 0.003, 0.008, -0.0, -0.03, -0.037, -0.008, -0.002, 0.005, -0.013, 0.07, -0.027, -0.058, -0.042, -0.076, 0.003, -0.029, -0.013, -0.008, -0.023, -0.034, -0.04, -0.015, -0.015, -0.013, -0.014, -0.016, -0.018, -0.03, -0.029, -0.031, 0.005, 0.029, 0.063, 0.056, 0.083, -0.005, 0.022, 0.043, -0.014, -0.008, -0.042, -0.071, -0.021, 0.062, 0.057, 0.051, 0.04, 0.035, -0.026, -0.011, -0.01, 0.001, -0.012, -0.009, -0.016, -0.024, -0.028, -0.029, 0.048, 0.103, 0.098, 0.103, 0.095, -0.015, -0.035, 0.03, -0.0, 0.026, -0.08, -0.146, -0.009, 0.011, 0.012, -0.077, -0.115, -0.072, -0.098, -0.089, -0.106, -0.06, -0.024, 0.049, 0.029, -0.072, -0.048, -0.054, -0.031, -0.054, -0.045, -0.026, -0.089, -0.158, -0.46, 0.053, -0.05, -0.076, -0.084, -0.045, 0.043, -0.053, -0.122, -0.12, 9.525]</t>
  </si>
  <si>
    <t>1087.0</t>
  </si>
  <si>
    <t>[0, 0, 0, 0, 0, 0, 0, 0, 0, 0, 0, 0, 0, 0, 0, 0, 0, 0, 0, 0, 0, 0, 0, 0, 0, 0, 0, 0, 0, 0, 0, 0, 0, 0, 0, 0, 0, 0, 0, 0, 0, 0, 1, 0, 0, 0, 0, 0, 0, 0, 0, 0, 0, 0, 0, 0, 0, 0, 0, 0, 0, 0, 0, 0, 0, 0, 0, 0, 1, 0, 0, 0, 0, 0, 0, 0, 0, 0, 0, 0, 0, 0, 0, 0, 0, 0, 0, 0, 0, 0, 0, 0, 0, 0, 0, 0, 0, 0, 0, 0, 0, 0, 0, 0, 0, 0, 0, 0, 0, 0, 0, 0, 0, 0, 0, 0, 1, 0, 0]</t>
  </si>
  <si>
    <t>LINESTRING (18.10455598337935 68.43568530360983, 18.10455598337935 68.43568530360983, 18.10276267818658 68.43632946579362, 18.10011534392541 68.43742733920692, 18.095815874106183 68.43848906905251, 18.095749780826164 68.43850803325643, 18.09539685620732 68.43861124215785, 18.094599551217193 68.43884973197444, 18.0943594532724 68.43891984936612, 18.09432633970722 68.43892938627235, 18.084350806180144 68.44065326965305, 18.067076230032896 68.44304537141723, 18.066898808824817 68.44307520746081, 18.065922465865302 68.44328747555784, 18.06567886615956 68.44336190541367, 18.057213867029073 68.4441342471437, 18.047258753803437 68.44595538431015, 18.038739233977104 68.4490263492538, 18.034316629433878 68.44993838968784, 18.03287520841891 68.45050938698189, 18.032528298437857 68.45268809174404, 18.034856418645283 68.45614968904479, 18.031588612376115 68.46180382786588, 18.019263159960982 68.46477934253913, 18.008159067779186 68.47068275132173, 17.9964311358858 68.47371294272284, 17.99547930013055 68.4740103381443, 17.980601137774357 68.4775114167448, 17.97920283421413 68.47853880077632, 17.979271549758305 68.48916525844066, 17.978786228677148 68.49028531713651, 17.975302943530693 68.49746161661915, 17.97525445149371 68.49751236566149, 17.97445685256197 68.4983008348335, 17.974387144332507 68.49837742939138, 17.96751757847306 68.50309444462268, 17.959882818248 68.5044712907718, 17.95713993905073 68.50496342434006, 17.946206000601503 68.5086532562719, 17.94583683666116 68.50875659620706, 17.94576729860659 68.5087779086777, 17.945445426384147 68.5088857140609, 17.945145740328766 68.50900070630199, 17.944857193120956 68.50912903146964, 17.943929192657748 68.50974378923007, 17.943572788435006 68.51006502474235, 17.943447927615534 68.51017822123328, 17.92438975922826 68.51246075848584, 17.92089265590057 68.51228673135982, 17.911651931235436 68.5127277306432, 17.903441241158397 68.51375478757635, 17.8991181884458 68.51434037338267, 17.883781439441304 68.51555412427867, 17.880385395287863 68.51579422970588, 17.869827247014918 68.51602896371831, 17.865893363896372 68.51466118682745, 17.865690899353638 68.51461992980406, 17.81126445280174 68.50674031753903, 17.810660814730774 68.50668522428967, 17.801906420969203 68.50222914409318, 17.801883898591583 68.50185315705605, 17.801879319957354 68.50177546897373, 17.801689803920492 68.50108781975473, 17.801629968939515 68.50101072242997, 17.8015361131668 68.50091011796266, 17.7977043393669 68.49913314675725, 17.788089280836356 68.49717782990781, 17.78210235393258 68.49623777305806, 17.777816452341586 68.4955632163561, 17.777644701402327 68.4955373361817, 17.77740496695017 68.49549936829156, 17.77691911343773 68.49542242414614, 17.776664205151615 68.4953820045502, 17.776265513381478 68.4953190819802, 17.76206844874565 68.49045229729248, 17.76118850471821 68.48964102224198, 17.761175772159255 68.48963330573928, 17.76077343361509 68.48938667018611, 17.759902987720025 68.48852669770017, 17.759729572759 68.4868490517305, 17.763641982682962 68.48239746437264, 17.75598054776713 68.47943063921713, 17.74322681612448 68.47663849655393, 17.741413540039826 68.476248460913, 17.740132059171476 68.47596636859303, 17.73640643231828 68.47514530257858, 17.735851313080705 68.47502394031595, 17.729814293368726 68.47367892292472, 17.72912871376905 68.4735043617964, 17.727181115431634 68.47297458665868, 17.71386452494579 68.47102778804296, 17.713770514254477 68.47101783009369, 17.71071568006837 68.47077674544954, 17.71066796704776 68.47077319080705, 17.70684781923748 68.47025058168968, 17.704121393267073 68.47001059025868, 17.70397497507338 68.470009623011, 17.697439134355896 68.47054793782277, 17.69734755897148 68.47056035383564, 17.69523561759897 68.47086755128934, 17.6951519616901 68.47088020670377, 17.680035013332063 68.4691148377379, 17.67192871696569 68.46789386983437, 17.663225547139955 68.46908629536847, 17.66213317831904 68.46972632126189, 17.66050995592314 68.4706731809249, 17.658139656346524 68.47168631389269, 17.656298762489865 68.47173275670396, 17.65579626467473 68.47164907780567, 17.65572867479019 68.4716368467754, 17.653197695355587 68.47314466917936, 17.652737467283153 68.47329431180773, 17.651236966979962 68.47376595108943, 17.650518429520904 68.47399145323577, 17.6463975647533 68.47529402625584, 17.64179613479951 68.47648498516224, 17.626461167039032 68.47676790920046, 17.626314793567985 68.47674300648544, 17.62622019835697 68.47672343172454, 17.626176818648627 68.4767146510449)</t>
  </si>
  <si>
    <t>[432365, 432373, 432381, 432389, 432397, 432405, 432413, 432422, 432430, 432438, 432446, 432454, 432462, 432470, 432478, 432486, 432494, 432502, 432510, 432518, 432526, 432534, 432542, 432550, 432558, 432566, 432574, 432582, 432590, 432598, 432606, 432614, 432622, 432630, 432638, 432646, 432654, 432662, 432670, 432678, 432686, 432694, 432702, 432710, 432718, 432726, 432734, 432742, 432750, 432758, 432766, 432774, 432782, 432790, 432805, 432813, 432821, 432830, 432843, 432851, 432859, 432867, 432875, 432876, 432877, 432883, 432890, 432891, 432898, 432906, 432922, 432923, 432930, 432938, 432946, 432954, 432962, 432970, 432978, 432986, 432994, 433005, 433013, 433019, 433029, 433037, 433047, 433055, 433063, 433071, 433079, 433087, 433095, 433103, 433113, 433121, 433122, 433125, 433130, 433138, 433146, 433154, 433162, 433170, 433178, 433186, 433194, 433202, 433210, 430341, 430349, 430357, 430365, 430373, 430381, 430389, 430397, 430405, 2074125]</t>
  </si>
  <si>
    <t>[430615, 430625, 430637, 430646, 430654, 430663, 430674, 430685, 430697, 430707, 430715, 430727, 430736, 430746, 430754, 430763, 430772, 430780, 402019, 430373, 430811, 430550, 430486, 402009, 430848, 430858, 430867, 430878, 401981, 401990, 430903, 401970, 401969, 430930, 401944, 430953, 430964, 430975, 430984, 430993, 431003, 431011, 431020, 431031, 431038, 431045, 401937, 431065, 431072, 431084, 431095, 401927, 401928, 431119, 431133, 431140, 431147, 431157, 431170, 431176, 401917, 401916, 431197, 401862, 401883, 431204, 401832, 431213, 431222, 431232, 401820, 431253, 431262, 401810, 401809, 431292, 431301, 431308, 401787, 431324, 430360, 401776, 431356, 431362, 430339, 401694, 401646, 431396, 431407, 431417, 401636, 401635, 431444, 431454, 401622, 431475, 431476, 401614, 401613, 431494, 401593, 431509, 431518, 401586, 401585, 401539, 431550, 431558, 428512, 428521, 428532, 401519, 428551, 428559, 402116, 428574, 428584, 428593, 1225626]</t>
  </si>
  <si>
    <t>[430614, 430615, 430625, 430637, 430646, 430654, 430663, 430674, 430685, 430697, 430707, 430715, 430727, 430736, 430746, 430754, 430763, 430772, 430780, 402019, 430373, 430811, 430550, 430486, 402009, 430848, 430858, 430867, 430878, 401981, 401990, 430903, 401970, 401969, 430930, 401944, 430953, 430964, 430975, 430984, 430993, 431003, 431011, 431020, 431031, 431038, 431045, 401937, 431065, 431072, 431084, 431095, 401927, 401928, 431119, 431133, 431140, 431147, 431157, 431170, 431176, 401917, 401916, 431197, 401862, 401883, 431204, 401832, 431213, 431222, 431232, 401820, 431253, 431262, 401810, 401809, 431292, 431301, 431308, 401787, 431324, 430360, 401776, 431356, 431362, 430339, 401694, 401646, 431396, 431407, 431417, 401636, 401635, 431444, 431454, 401622, 431475, 431476, 401614, 401613, 431494, 401593, 431509, 431518, 401586, 401585, 401539, 431550, 431558, 428512, 428521, 428532, 401519, 428551, 428559, 402116, 428574, 428584, 428593]</t>
  </si>
  <si>
    <t>[0.0, 0.011, 0.008, 0.006, 0.024, 0.02, 0.014, 0.015, 0.022, 0.04, 0.001, 0.008, 0.014, 0.016, 0.075, 0.033, 0.003, 0.008, 0.0, 0.03, 0.037, 0.008, 0.002, 0.005, 0.013, 0.07, 0.027, 0.058, 0.042, 0.076, 0.003, 0.029, 0.013, 0.008, 0.023, 0.034, 0.04, 0.015, 0.015, 0.013, 0.014, 0.016, 0.018, 0.03, 0.029, 0.031, 0.005, 0.029, 0.063, 0.056, 0.083, 0.005, 0.022, 0.043, 0.014, 0.008, 0.042, 0.071, 0.021, 0.062, 0.057, 0.051, 0.04, 0.035, 0.026, 0.011, 0.01, 0.001, 0.012, 0.009, 0.016, 0.024, 0.028, 0.029, 0.048, 0.103, 0.098, 0.103, 0.095, 0.015, 0.035, 0.03, 0.0, 0.026, 0.08, 0.146, 0.009, 0.011, 0.012, 0.077, 0.115, 0.072, 0.098, 0.089, 0.106, 0.06, 0.024, 0.049, 0.029, 0.072, 0.048, 0.054, 0.031, 0.054, 0.045, 0.026, 0.089, 0.158, 0.46, 0.053, 0.05, 0.076, 0.084, 0.045, 0.043, 0.053, 0.122, 0.12, 9.525]</t>
  </si>
  <si>
    <t>28765.00916621476</t>
  </si>
  <si>
    <t>[0.131, -0.054, -0.066, -0.097, -0.045, -0.057, 0.032]</t>
  </si>
  <si>
    <t>LINESTRING (17.499412679516844 68.54490085988363, 17.497325492439508 68.5442715560286, 17.49715696052357 68.54422272364494, 17.49595636250495 68.54387837541712, 17.49582937398055 68.54384225254917, 17.495674448474126 68.54379801827778, 17.49558556869922 68.54377263772017, 17.493215694364125 68.54306029173976)</t>
  </si>
  <si>
    <t>[439774, 439782, 439795, 439803, 439811, 439824, 439832]</t>
  </si>
  <si>
    <t>[438910, 438921, 438936, 438884, 438956, 438850, 431864]</t>
  </si>
  <si>
    <t>0.03874365245221384</t>
  </si>
  <si>
    <t>[431853, 438910, 438921, 438936, 438884, 438956, 438850]</t>
  </si>
  <si>
    <t>[0.131, 0.054, 0.066, 0.097, 0.045, 0.057, 0.032]</t>
  </si>
  <si>
    <t>325.86389713986034</t>
  </si>
  <si>
    <t>[0.104, -0.074, -0.058, -0.079, -0.112, 0.051]</t>
  </si>
  <si>
    <t>LINESTRING (17.499412679516844 68.54490085988363, 17.497274844720426 68.54416519233591, 17.496073248696174 68.54381470295715, 17.495943927128344 68.54377898280643, 17.49579353258554 68.54373736486431, 17.495707245547425 68.5437134805841, 17.493215694364125 68.54306029173976)</t>
  </si>
  <si>
    <t>[439841, 439849, 439857, 439867, 439876, 439893]</t>
  </si>
  <si>
    <t>[438986, 438996, 438885, 439018, 438851, 431864]</t>
  </si>
  <si>
    <t>0.038984212807710875</t>
  </si>
  <si>
    <t>[431853, 438986, 438996, 438885, 439018, 438851]</t>
  </si>
  <si>
    <t>[0.104, 0.074, 0.058, 0.079, 0.112, 0.051]</t>
  </si>
  <si>
    <t>326.61466517888886</t>
  </si>
  <si>
    <t>[-0.017, 0.039, 0.01, 0.114, 0.074, 0.018, 0.028, 0.015, 0.232, 0.113, -0.005, 0.0, 0.006]</t>
  </si>
  <si>
    <t>[0, 0, 0, 1, 0, 0, 0, 0, 0, 0, 0, 1, 0]</t>
  </si>
  <si>
    <t>LINESTRING (17.493215694364125 68.54306029173976, 17.48796478383332 68.5415583869915, 17.486209398758213 68.54100367390201, 17.4697967016039 68.53609378531932, 17.469696044493883 68.53606771232796, 17.466649586809474 68.53530635117957, 17.450746561688444 68.53114338599096, 17.447890278952638 68.53033442867311, 17.439331675669173 68.52871457656659, 17.43930784190931 68.52871368421918, 17.43166313861784 68.52876098245423, 17.384859054201897 68.52223925252646, 17.38473368328026 68.52223959718953, 17.38420549497096 68.52224132716105)</t>
  </si>
  <si>
    <t>[433468, 433476, 433484, 433492, 433500, 433508, 433516, 433524, 433544, 433552, 433563, 433571, 433579]</t>
  </si>
  <si>
    <t>[431865, 431875, 431885, 431894, 431905, 431918, 431926, 431938, 431962, 431970, 431983, 431991, 432000]</t>
  </si>
  <si>
    <t>0.01206615098031955</t>
  </si>
  <si>
    <t>[431864, 431865, 431875, 431885, 431894, 431905, 431918, 431926, 431938, 431962, 431970, 431983, 431991]</t>
  </si>
  <si>
    <t>[0.017, 0.039, 0.01, 0.114, 0.074, 0.018, 0.028, 0.015, 0.232, 0.113, 0.005, 0.0, 0.006]</t>
  </si>
  <si>
    <t>5567.655133534588</t>
  </si>
  <si>
    <t>[0.001, 0.011, 0.018, 0.017, 0.029]</t>
  </si>
  <si>
    <t>LINESTRING (17.38420549497096 68.52224132716105, 17.3816786046204 68.52229292839442, 17.37994108966631 68.52244114183407, 17.379802953299187 68.52245628306713, 17.37954772210987 68.5224859259786, 17.376837965732186 68.52293508075861)</t>
  </si>
  <si>
    <t>[439932, 439933, 439940, 439948, 439956]</t>
  </si>
  <si>
    <t>[439105, 439106, 439064, 439093, 432008]</t>
  </si>
  <si>
    <t>0.01500953482821895</t>
  </si>
  <si>
    <t>[432000, 439105, 439106, 439064, 439093]</t>
  </si>
  <si>
    <t>315.3166521066237</t>
  </si>
  <si>
    <t>[0.001, 0.009, 0.011, 0.016, 0.016, 0.029]</t>
  </si>
  <si>
    <t>LINESTRING (17.38420549497096 68.52224132716105, 17.38189554657449 68.52236127870331, 17.3817178352937 68.52237315081915, 17.3800042305936 68.52251895260464, 17.379883399287575 68.52253169475877, 17.379600621064423 68.52256253586097, 17.376837965732186 68.52293508075861)</t>
  </si>
  <si>
    <t>[439964, 439972, 439980, 439988, 439996, 440005]</t>
  </si>
  <si>
    <t>[439139, 439149, 439161, 439063, 439092, 432008]</t>
  </si>
  <si>
    <t>0.015113457387508009</t>
  </si>
  <si>
    <t>[432000, 439139, 439149, 439161, 439063, 439092]</t>
  </si>
  <si>
    <t>312.1512450811876</t>
  </si>
  <si>
    <t>[0.0, 0.0, 0.0, 0.002, -0.06, -0.084, -0.004, -0.049, -0.001, -0.007, -0.001, -0.028, -0.001, 0.013, -0.005]</t>
  </si>
  <si>
    <t>[0, 0, 0, 0, 1, 0, 0, 0, 0, 0, 0, 1, 0, 0, 0]</t>
  </si>
  <si>
    <t>LINESTRING (17.376837965732186 68.52293508075861, 17.363686799262606 68.52545591096383, 17.3620594678266 68.52577287863677, 17.359011697849287 68.52646871644353, 17.321784136013626 68.53074372421284, 17.320270415817305 68.53094973210628, 17.31678519561274 68.53160218211754, 17.290991808903083 68.53415250836919, 17.28162181540259 68.5356565497336, 17.269541851839183 68.53594075755971, 17.266646105618385 68.5360932882367, 17.262135090462465 68.5372033907436, 17.26208803288368 68.5372245206047, 17.25622350283658 68.5390977283423, 17.228669620004307 68.53706898525488, 17.21924193783989 68.53682928807564)</t>
  </si>
  <si>
    <t>[433587, 433595, 433603, 1022586, 1022594, 1022602, 1022610, 1022618, 1022626, 1022634, 1022642, 1022650, 1022658, 1022666, 1022674]</t>
  </si>
  <si>
    <t>[432009, 432018, 432027, 977658, 977665, 650511, 977673, 424379, 424253, 396080, 977693, 977700, 396292, 396267, 439222]</t>
  </si>
  <si>
    <t>[432008, 432009, 432018, 432027, 977658, 977665, 650511, 977673, 424379, 424253, 396080, 977693, 977700, 396292, 396267]</t>
  </si>
  <si>
    <t>[0.0, 0.0, 0.0, 0.002, 0.06, 0.084, 0.004, 0.049, 0.001, 0.007, 0.001, 0.028, 0.001, 0.013, 0.005]</t>
  </si>
  <si>
    <t>6960.424281349747</t>
  </si>
  <si>
    <t>[-0.009, -0.004, -0.001, 0.0, -0.0]</t>
  </si>
  <si>
    <t>LINESTRING (16.704780552629213 68.4913108751758, 16.702940317242916 68.49178694145489, 16.702073080101876 68.49208472001304, 16.701906324279 68.49215200367499, 16.70095951460621 68.49260872720421, 16.700904527858924 68.49264054200142)</t>
  </si>
  <si>
    <t>[681192, 440197, 440205, 440213, 440221]</t>
  </si>
  <si>
    <t>[439395, 439396, 439404, 439410, 439419]</t>
  </si>
  <si>
    <t>[432412, 439395, 439396, 439404, 439410]</t>
  </si>
  <si>
    <t>[0.009, 0.004, 0.001, 0.0, 0.0]</t>
  </si>
  <si>
    <t>219.30297050198845</t>
  </si>
  <si>
    <t>[-0.01, -0.003, 0.0, 0.0]</t>
  </si>
  <si>
    <t>LINESTRING (16.704780552629213 68.4913108751758, 16.702842350207366 68.49173921957151, 16.70175757108516 68.49210581014029, 16.700793594827463 68.49257354463678, 16.700739157820024 68.49260649320902)</t>
  </si>
  <si>
    <t>[681200, 440269, 440277, 440290]</t>
  </si>
  <si>
    <t>[439473, 439474, 439483, 439499]</t>
  </si>
  <si>
    <t>[432412, 439473, 439474, 439483]</t>
  </si>
  <si>
    <t>[0.01, 0.003, 0.0, 0.0]</t>
  </si>
  <si>
    <t>223.2848476102413</t>
  </si>
  <si>
    <t>LINESTRING (16.95756728786729 68.51818048276184, 16.704780552629213 68.4913108751758)</t>
  </si>
  <si>
    <t>12292.74897281028</t>
  </si>
  <si>
    <t>[-0.001, 0.013, 0.038, 0.038, 0.034, 0.025, 0.019, 0.027, 0.006, 0.002, -0.033, -0.03, -0.026, -0.027, -0.017, 0.006, 0.076, 0.06, 0.034, 0.035, 0.006, 0.018, 0.053, 0.026, 0.002, 0.0, -0.028, -0.008, -0.044, -0.04, -0.038]</t>
  </si>
  <si>
    <t>[1, 0, 0, 0, 0, 0, 0, 0, 0, 0, 0, 0, 0, 0, 0, 0, 0, 0, 0, 0, 0, 0, 0, 0, 0, 0, 0, 0, 0, 0, 0]</t>
  </si>
  <si>
    <t>LINESTRING (16.700018290403758 68.49326559140661, 16.699959119972196 68.49334029698288, 16.699494956917636 68.49480662848822, 16.699497511698844 68.49661963402467, 16.69939504317679 68.4972760523447, 16.699193258815928 68.49777288330452, 16.69915473688992 68.49784301912104, 16.69774512512207 68.50034392623887, 16.69757957679695 68.5008274598152, 16.696143466899123 68.50745633978056, 16.69604850959072 68.50790202382713, 16.695998464492643 68.50810537840378, 16.695940454999537 68.50841440970676, 16.69565815186626 68.50966234644869, 16.695644624442995 68.50970375264713, 16.695628031029642 68.50974994478247, 16.677932625420322 68.53196454179536, 16.676146946641822 68.53303193797369, 16.67574477605029 68.53320756609722, 16.675656626680425 68.53324415195151, 16.675572980658934 68.53327871910919, 16.67359411635629 68.53406622506344, 16.673512640323082 68.53410041066603, 16.67340336584926 68.53414617720658, 16.672834044010905 68.5344051573463, 16.670981002677074 68.5357000823128, 16.664070411305644 68.56520083285919, 16.664041906031986 68.56525352622252, 16.663206620675826 68.56695470445432, 16.663125831909348 68.56711286282366, 16.65360683415826 68.57552325228951, 16.64880557036766 68.57697138850216)</t>
  </si>
  <si>
    <t>[433955, 433963, 433971, 433979, 433986, 433994, 434002, 434010, 434018, 434026, 1064546, 1064554, 1064562, 1064570, 1064578, 1064586, 1064594, 1064602, 1064610, 1064618, 1064626, 1064634, 1064642, 1064650, 1064658, 1064666, 1064674, 1064682, 1064690, 1064698, 1064706]</t>
  </si>
  <si>
    <t>[432421, 432428, 432434, 432441, 432448, 432455, 432463, 432472, 432480, 432488, 1012482, 1012490, 1012496, 1012503, 1012511, 1012519, 1012526, 1012534, 1012538, 1012545, 1012549, 1012557, 1012563, 1012568, 1012574, 1012581, 902389, 902404, 1012597, 1012604, 1012611]</t>
  </si>
  <si>
    <t>[432420, 432421, 432428, 432434, 432441, 432448, 432455, 432463, 432472, 432480, 432488, 1012482, 1012490, 1012496, 1012503, 1012511, 1012519, 1012526, 1012534, 1012538, 1012545, 1012549, 1012557, 1012563, 1012568, 1012574, 1012581, 902389, 902404, 1012597, 1012604]</t>
  </si>
  <si>
    <t>[0.001, 0.013, 0.038, 0.038, 0.034, 0.025, 0.019, 0.027, 0.006, 0.002, 0.033, 0.03, 0.026, 0.027, 0.017, 0.006, 0.076, 0.06, 0.034, 0.035, 0.006, 0.018, 0.053, 0.026, 0.002, 0.0, 0.028, 0.008, 0.044, 0.04, 0.038]</t>
  </si>
  <si>
    <t>10185.659651701333</t>
  </si>
  <si>
    <t>[-0.0, -0.001, -0.002]</t>
  </si>
  <si>
    <t>LINESTRING (16.70077136746185 68.49272354318066, 16.70071463831109 68.49276469714829, 16.700254107104342 68.49310768678535, 16.700018290403758 68.49326559140661)</t>
  </si>
  <si>
    <t>[440245, 440253, 440261]</t>
  </si>
  <si>
    <t>[439447, 439454, 432420]</t>
  </si>
  <si>
    <t>[439440, 439447, 439454]</t>
  </si>
  <si>
    <t>[0.0, 0.001, 0.002]</t>
  </si>
  <si>
    <t>68.57255293852121</t>
  </si>
  <si>
    <t>[-0.0, -0.001, -0.0]</t>
  </si>
  <si>
    <t>LINESTRING (16.70061579554341 68.49269136870748, 16.70055621604437 68.4927323361914, 16.700148643601473 68.49308640706302, 16.700018290403758 68.49326559140661)</t>
  </si>
  <si>
    <t>[440319, 440325, 440337]</t>
  </si>
  <si>
    <t>[439533, 439540, 432420]</t>
  </si>
  <si>
    <t>[439521, 439533, 439540]</t>
  </si>
  <si>
    <t>[0.0, 0.001, 0.0]</t>
  </si>
  <si>
    <t>68.93982925579088</t>
  </si>
  <si>
    <t>[0.018, 0.007, -0.001, -0.02]</t>
  </si>
  <si>
    <t>LINESTRING (9.076471949063615 58.820677823534034, 9.076702169709538 58.8207475743978, 9.076740928381481 58.82082336595414, 9.076685482109518 58.82090796534541, 9.076423116163422 58.820963140983665)</t>
  </si>
  <si>
    <t>[436614, 436620, 436626, 436636]</t>
  </si>
  <si>
    <t>[303485, 435401, 435410, 435415]</t>
  </si>
  <si>
    <t>[435391, 303485, 435401, 435410]</t>
  </si>
  <si>
    <t>[0.018, 0.007, 0.001, 0.02]</t>
  </si>
  <si>
    <t>51.60318790300059</t>
  </si>
  <si>
    <t>[-0.012, 0.008, 0.019]</t>
  </si>
  <si>
    <t>LINESTRING (9.074887469366212 58.81818513163141, 9.075051262674581 58.81839236857678, 9.07637394705793 58.82064999291814, 9.076471949063615 58.820677823534034)</t>
  </si>
  <si>
    <t>[1323345, 1229594, 1229602]</t>
  </si>
  <si>
    <t>[1151794, 1151795, 435391]</t>
  </si>
  <si>
    <t>0.006567957812241668</t>
  </si>
  <si>
    <t>[1229532, 1151794, 1151795]</t>
  </si>
  <si>
    <t>[0.012, 0.008, 0.019]</t>
  </si>
  <si>
    <t>299.16532926517635</t>
  </si>
  <si>
    <t>13.953002196711187</t>
  </si>
  <si>
    <t>[-0.168, -0.004, -0.006, 0.005, -0.013]</t>
  </si>
  <si>
    <t>LINESTRING (9.076423116163422 58.820963140983665, 9.076340083186896 58.8209898393366, 9.075937384119044 58.82127461979744, 9.075671656462735 58.82186254549406, 9.075778765807737 58.82358449953781, 9.07581460462261 58.82380817140041)</t>
  </si>
  <si>
    <t>[1102252, 1102260, 1102268, 1102276, 1323361]</t>
  </si>
  <si>
    <t>[1044013, 1044019, 1044024, 1044032, 1229525]</t>
  </si>
  <si>
    <t>[435415, 1044013, 1044019, 1044024, 1044032]</t>
  </si>
  <si>
    <t>[0.168, 0.004, 0.006, 0.005, 0.013]</t>
  </si>
  <si>
    <t>330.4732098296471</t>
  </si>
  <si>
    <t>[0.03, -0.214, -0.023, 0.02, 0.124]</t>
  </si>
  <si>
    <t>LINESTRING (8.625929236934898 58.373956652079215, 8.626166193535092 58.373972635886034, 8.626422578081929 58.373989644042126, 8.627566560436989 58.374090969133135, 8.630332969861112 58.373730063195836, 8.630408190944927 58.373707934177084)</t>
  </si>
  <si>
    <t>[1232372, 1232382, 436671, 436677, 436682]</t>
  </si>
  <si>
    <t>[1153917, 435449, 435450, 435457, 435463]</t>
  </si>
  <si>
    <t>[1153906, 1153917, 435449, 435450, 435457]</t>
  </si>
  <si>
    <t>[0.03, 0.214, 0.023, 0.02, 0.124]</t>
  </si>
  <si>
    <t>271.49133939486296</t>
  </si>
  <si>
    <t>[-0.041, -0.041, -0.041, -0.044, -0.041, -0.051, -0.032, -0.027]</t>
  </si>
  <si>
    <t>LINESTRING (17.21924193783989 68.53682928807564, 17.21855481091642 68.53684197879186, 17.218284686872707 68.53683941631496, 17.21637658132842 68.53681858933169, 17.216293493975567 68.53681735217961, 17.2160603778305 68.53681387620799, 17.216052255957564 68.5368137589881, 17.21467094805715 68.53679055830476, 17.211822422586085 68.53670380467686)</t>
  </si>
  <si>
    <t>[440037, 440045, 440053, 440061, 440069, 440077, 440085, 440093]</t>
  </si>
  <si>
    <t>[439223, 439229, 439235, 439242, 439195, 439260, 439268, 439279]</t>
  </si>
  <si>
    <t>[439222, 439223, 439229, 439235, 439242, 439195, 439260, 439268]</t>
  </si>
  <si>
    <t>[0.041, 0.041, 0.041, 0.044, 0.041, 0.051, 0.032, 0.027]</t>
  </si>
  <si>
    <t>303.70308407242555</t>
  </si>
  <si>
    <t>[-0.042, -0.041, -0.039, -0.042, -0.048, -0.032, -0.028, -0.026]</t>
  </si>
  <si>
    <t>LINESTRING (17.21924193783989 68.53682928807564, 17.21829215183843 68.5367930315843, 17.21638448830037 68.53674825717789, 17.216258502336984 68.53674557579303, 17.21610705076271 68.53674281740903, 17.21607354773476 68.53674223630048, 17.21468518479744 68.53671850965232, 17.21453357127545 68.53671609298767, 17.211822422586085 68.53670380467686)</t>
  </si>
  <si>
    <t>[440101, 440109, 440117, 440125, 440133, 440141, 440149, 440157]</t>
  </si>
  <si>
    <t>[439288, 439298, 439309, 439194, 439330, 439339, 439348, 439279]</t>
  </si>
  <si>
    <t>[439222, 439288, 439298, 439309, 439194, 439330, 439339, 439348]</t>
  </si>
  <si>
    <t>[0.042, 0.041, 0.039, 0.042, 0.048, 0.032, 0.028, 0.026]</t>
  </si>
  <si>
    <t>303.6232186332212</t>
  </si>
  <si>
    <t>LINESTRING (17.211822422586085 68.53670380467686, 16.95756728786729 68.51818048276184)</t>
  </si>
  <si>
    <t>7.75877599921357</t>
  </si>
  <si>
    <t>LINESTRING (16.700904527858924 68.49264054200142, 16.700840025514054 68.49268008814401, 16.70077136746185 68.49272354318066)</t>
  </si>
  <si>
    <t>[440229, 440237]</t>
  </si>
  <si>
    <t>[439430, 439440]</t>
  </si>
  <si>
    <t>[439419, 439430]</t>
  </si>
  <si>
    <t>10.739952534935718</t>
  </si>
  <si>
    <t>7.30686937069254</t>
  </si>
  <si>
    <t>LINESTRING (16.700739157820024 68.49260649320902, 16.700680114348973 68.49264710541193, 16.70061579554341 68.49269136870748)</t>
  </si>
  <si>
    <t>[440300, 440308]</t>
  </si>
  <si>
    <t>[439511, 439521]</t>
  </si>
  <si>
    <t>[439499, 439511]</t>
  </si>
  <si>
    <t>10.725916805270451</t>
  </si>
  <si>
    <t>[-0.005, 0.002]</t>
  </si>
  <si>
    <t>LINESTRING (16.700739157820024 68.49260649320902, 16.70069496758766 68.49259790667845, 16.699954552857918 68.49251279581325)</t>
  </si>
  <si>
    <t>[440373, 1204643]</t>
  </si>
  <si>
    <t>[439584, 490103]</t>
  </si>
  <si>
    <t>0.001577704195490441</t>
  </si>
  <si>
    <t>[439499, 439584]</t>
  </si>
  <si>
    <t>[0.005, 0.002]</t>
  </si>
  <si>
    <t>33.91418648844293</t>
  </si>
  <si>
    <t>[0.043, 0.038, 0.028, -0.0, -0.027, -0.038, -0.034]</t>
  </si>
  <si>
    <t>LINESTRING (9.07463771750032 58.82096826082596, 9.07456872022822 58.82096265230725, 9.074456262238623 58.82093023799441, 9.074379627067438 58.82086562093731, 9.074397643680701 58.82076039153779, 9.074487925653951 58.82070656812855, 9.074617117559358 58.82068199678331, 9.074651946369483 58.82068134996879)</t>
  </si>
  <si>
    <t>[440306, 440307, 440310, 440311, 440330, 440333, 440342]</t>
  </si>
  <si>
    <t>[439519, 439520, 439524, 439525, 439547, 439549, 439557]</t>
  </si>
  <si>
    <t>0.00215709199062401</t>
  </si>
  <si>
    <t>[439518, 439519, 439520, 439524, 439525, 439547, 439549]</t>
  </si>
  <si>
    <t>[0.043, 0.038, 0.028, 0.0, 0.027, 0.038, 0.034]</t>
  </si>
  <si>
    <t>49.86251943165509</t>
  </si>
  <si>
    <t>14.66342486329895</t>
  </si>
  <si>
    <t>[-0.024, -0.005, 0.002, 0.0, 0.067]</t>
  </si>
  <si>
    <t>LINESTRING (9.07566856354662 58.82369988982836, 9.075545697802982 58.82348463536371, 9.075397581409446 58.822540749949766, 9.075272541500762 58.8216263772643, 9.074730258772412 58.821004664553676, 9.07463771750032 58.82096826082596)</t>
  </si>
  <si>
    <t>[1323353, 1240226, 1240247, 1240255, 1240263]</t>
  </si>
  <si>
    <t>[1160889, 1160890, 1160903, 1160913, 439518]</t>
  </si>
  <si>
    <t>[1229706, 1160889, 1160890, 1160903, 1160913]</t>
  </si>
  <si>
    <t>[0.024, 0.005, 0.002, 0.0, 0.067]</t>
  </si>
  <si>
    <t>316.98954795017744</t>
  </si>
  <si>
    <t>LINESTRING (16.70061579554341 68.49269136870748, 16.70056995336201 68.49268292449109, 16.699954552857918 68.49251279581325)</t>
  </si>
  <si>
    <t>[440351, 489725]</t>
  </si>
  <si>
    <t>[439567, 490103]</t>
  </si>
  <si>
    <t>0.0015679826941594178</t>
  </si>
  <si>
    <t>[439521, 439567]</t>
  </si>
  <si>
    <t>34.00654084974164</t>
  </si>
  <si>
    <t>15.334762996267159</t>
  </si>
  <si>
    <t>[-0.018, -0.0, -0.043]</t>
  </si>
  <si>
    <t>LINESTRING (9.074651946369483 58.82068134996879, 9.074725976404997 58.820646405182735, 9.074419349937845 58.817758152068535, 9.07431586354738 58.81754036691427)</t>
  </si>
  <si>
    <t>[1105192, 1105193, 1323337]</t>
  </si>
  <si>
    <t>[1046409, 1046410, 1229711]</t>
  </si>
  <si>
    <t>[439557, 1046409, 1046410]</t>
  </si>
  <si>
    <t>[0.018, 0.0, 0.043]</t>
  </si>
  <si>
    <t>366.2188283535351</t>
  </si>
  <si>
    <t>[0.004, -0.013]</t>
  </si>
  <si>
    <t>LINESTRING (9.074876321800737 58.820746693489305, 9.074921020867983 58.820825280210975, 9.07486153310419 58.82091419448768)</t>
  </si>
  <si>
    <t>[440361, 440371]</t>
  </si>
  <si>
    <t>[439573, 439583]</t>
  </si>
  <si>
    <t>[439565, 439573]</t>
  </si>
  <si>
    <t>19.630846201260123</t>
  </si>
  <si>
    <t>[-0.018, -0.02, -0.02]</t>
  </si>
  <si>
    <t>LINESTRING (9.075324429838165 58.82082639089618, 9.075168452590509 58.82080462286165, 9.074967478603153 58.820769888449114, 9.074876321800737 58.820746693489305)</t>
  </si>
  <si>
    <t>[1758008, 1758016, 1758024]</t>
  </si>
  <si>
    <t>[1555230, 1555236, 439565]</t>
  </si>
  <si>
    <t>[1152182, 1555230, 1555236]</t>
  </si>
  <si>
    <t>[0.018, 0.02, 0.02]</t>
  </si>
  <si>
    <t>27.465060505534062</t>
  </si>
  <si>
    <t>[-0.057, -0.016, 0.015]</t>
  </si>
  <si>
    <t>LINESTRING (9.075324429838165 58.82082639089618, 9.075165744863172 58.820854916760496, 9.074975496552744 58.82089036199119, 9.07486153310419 58.82091419448768)</t>
  </si>
  <si>
    <t>[1242601, 1242620, 1242627]</t>
  </si>
  <si>
    <t>[1162861, 1162880, 439583]</t>
  </si>
  <si>
    <t>[1152182, 1162861, 1162880]</t>
  </si>
  <si>
    <t>[0.057, 0.016, 0.015]</t>
  </si>
  <si>
    <t>28.510370647668154</t>
  </si>
  <si>
    <t>[0.0, -0.093, 0.025, 0.111]</t>
  </si>
  <si>
    <t>LINESTRING (8.630738714321838 58.374591189238316, 8.630738714321838 58.374591189238316, 8.629565301723423 58.37436265400656, 8.626803448953146 58.37412606813632, 8.626253397025394 58.374049677668715)</t>
  </si>
  <si>
    <t>[441741, 441749, 441757, 1232293]</t>
  </si>
  <si>
    <t>[441115, 441125, 441136, 1153865]</t>
  </si>
  <si>
    <t>0.0035114927145436198</t>
  </si>
  <si>
    <t>[441114, 441115, 441125, 441136]</t>
  </si>
  <si>
    <t>[0.0, 0.093, 0.025, 0.111]</t>
  </si>
  <si>
    <t>276.12058213573096</t>
  </si>
  <si>
    <t>[0.004, -0.003, -0.011, -0.014]</t>
  </si>
  <si>
    <t>LINESTRING (7.307786349019326 58.079295887753574, 7.307689326625804 58.079374494677694, 7.307522950083987 58.07942273707234, 7.307384034346638 58.079421965546, 7.307150056378513 58.07934129165376)</t>
  </si>
  <si>
    <t>[443735, 443736, 443737, 443745]</t>
  </si>
  <si>
    <t>[442792, 442793, 442794, 442800]</t>
  </si>
  <si>
    <t>[442791, 442792, 442793, 442794]</t>
  </si>
  <si>
    <t>[0.004, 0.003, 0.011, 0.014]</t>
  </si>
  <si>
    <t>46.78690756701032</t>
  </si>
  <si>
    <t>[-0.099, -0.017]</t>
  </si>
  <si>
    <t>LINESTRING (7.307749926107357 58.079134597106965, 7.307799432518928 58.07920082032575, 7.307786349019326 58.079295887753574)</t>
  </si>
  <si>
    <t>[443865, 443871]</t>
  </si>
  <si>
    <t>[442909, 442791]</t>
  </si>
  <si>
    <t>[442899, 442909]</t>
  </si>
  <si>
    <t>[0.099, 0.017]</t>
  </si>
  <si>
    <t>18.589108695566267</t>
  </si>
  <si>
    <t>[-0.045, -0.014, -0.038]</t>
  </si>
  <si>
    <t>LINESTRING (7.312454014479844 58.07864653972366, 7.3086477735027575 58.079123280885476, 7.307887275474347 58.07923699688085, 7.307786349019326 58.079295887753574)</t>
  </si>
  <si>
    <t>[613621, 613629, 613637]</t>
  </si>
  <si>
    <t>[613260, 613265, 442791]</t>
  </si>
  <si>
    <t>[613259, 613260, 613265]</t>
  </si>
  <si>
    <t>[0.045, 0.014, 0.038]</t>
  </si>
  <si>
    <t>287.08447297081887</t>
  </si>
  <si>
    <t>[-0.014, 0.038]</t>
  </si>
  <si>
    <t>LINESTRING (7.307150056378513 58.07934129165376, 7.307098876115319 58.07927415485033, 7.307105163334011 58.079179035363644)</t>
  </si>
  <si>
    <t>[443746, 443770]</t>
  </si>
  <si>
    <t>[442801, 442818]</t>
  </si>
  <si>
    <t>0.015533202997219187</t>
  </si>
  <si>
    <t>[442800, 442801]</t>
  </si>
  <si>
    <t>[0.014, 0.038]</t>
  </si>
  <si>
    <t>18.704697726397853</t>
  </si>
  <si>
    <t>[0.032, -0.012, -0.012, 0.003, 0.032]</t>
  </si>
  <si>
    <t>LINESTRING (7.307150056378513 58.07934129165376, 7.307049413893347 58.07933829921062, 7.306858817668934 58.079345065554215, 7.306224224749357 58.079408793636205, 7.304300961371857 58.07962840884737, 7.302618723017339 58.07993978437383)</t>
  </si>
  <si>
    <t>[613669, 613677, 613685, 613693, 613701]</t>
  </si>
  <si>
    <t>[613288, 613295, 613303, 613309, 613314]</t>
  </si>
  <si>
    <t>0.01200201562621778</t>
  </si>
  <si>
    <t>[442800, 613288, 613295, 613303, 613309]</t>
  </si>
  <si>
    <t>[0.032, 0.012, 0.012, 0.003, 0.032]</t>
  </si>
  <si>
    <t>277.56968439444483</t>
  </si>
  <si>
    <t>[0.085, 0.079, 0.042, -0.026]</t>
  </si>
  <si>
    <t>LINESTRING (7.307105163334011 58.079179035363644, 7.307170849000121 58.079117012625986, 7.30726973174342 58.07907071357664, 7.307395480129676 58.07904579570405, 7.307749926107357 58.079134597106965)</t>
  </si>
  <si>
    <t>[443789, 443795, 443817, 443854]</t>
  </si>
  <si>
    <t>[442836, 442843, 442864, 442899]</t>
  </si>
  <si>
    <t>0.02070929326046074</t>
  </si>
  <si>
    <t>[442818, 442836, 442843, 442864]</t>
  </si>
  <si>
    <t>[0.085, 0.079, 0.042, 0.026]</t>
  </si>
  <si>
    <t>47.96086305373334</t>
  </si>
  <si>
    <t>[-0.037, -0.006, -0.01, 0.004, 0.032]</t>
  </si>
  <si>
    <t>LINESTRING (7.307105163334011 58.079179035363644, 7.307004270135234 58.079229901590175, 7.306832661381691 58.079271169954154, 7.306200620819967 58.07935606501794, 7.304261350453234 58.07959434861042, 7.302618723017339 58.07993978437383)</t>
  </si>
  <si>
    <t>[1185427, 1185435, 1185443, 1185451, 1185459]</t>
  </si>
  <si>
    <t>[1114645, 1114653, 1114661, 1114666, 613314]</t>
  </si>
  <si>
    <t>0.010983601767169752</t>
  </si>
  <si>
    <t>[442818, 1114645, 1114653, 1114661, 1114666]</t>
  </si>
  <si>
    <t>[0.037, 0.006, 0.01, 0.004, 0.032]</t>
  </si>
  <si>
    <t>281.0527063270071</t>
  </si>
  <si>
    <t>[-0.045, -0.014, 0.12]</t>
  </si>
  <si>
    <t>LINESTRING (7.312454014479844 58.07864653972366, 7.308630802570803 58.079067339397916, 7.307837866875784 58.07913885570479, 7.307749926107357 58.079134597106965)</t>
  </si>
  <si>
    <t>[1185403, 1185411, 1185419]</t>
  </si>
  <si>
    <t>[1114628, 1114635, 442899]</t>
  </si>
  <si>
    <t>[613259, 1114628, 1114635]</t>
  </si>
  <si>
    <t>[0.045, 0.014, 0.12]</t>
  </si>
  <si>
    <t>283.9483274475372</t>
  </si>
  <si>
    <t>0.094</t>
  </si>
  <si>
    <t>2.812561110132898</t>
  </si>
  <si>
    <t>[-0.093, -0.116]</t>
  </si>
  <si>
    <t>LINESTRING (6.677965883478223 58.29828855998896, 6.67802796670477 58.29833991695386, 6.678020981875607 58.298400646467584)</t>
  </si>
  <si>
    <t>[444043, 444044]</t>
  </si>
  <si>
    <t>[443069, 443012]</t>
  </si>
  <si>
    <t>[443068, 443069]</t>
  </si>
  <si>
    <t>[0.093, 0.116]</t>
  </si>
  <si>
    <t>13.591158327748897</t>
  </si>
  <si>
    <t>[-0.012, -0.05, -0.057, -0.066]</t>
  </si>
  <si>
    <t>LINESTRING (6.678416239816395 58.298269514559536, 6.678213215900627 58.29835116107332, 6.678124149969782 58.29837464659533, 6.678086728088877 58.2983840801745, 6.678020981875607 58.298400646467584)</t>
  </si>
  <si>
    <t>[1626120, 1626128, 1626136, 1626144]</t>
  </si>
  <si>
    <t>[1454779, 1454784, 1454789, 443012]</t>
  </si>
  <si>
    <t>[1115020, 1454779, 1454784, 1454789]</t>
  </si>
  <si>
    <t>[0.012, 0.05, 0.057, 0.066]</t>
  </si>
  <si>
    <t>27.761278097870544</t>
  </si>
  <si>
    <t>12.247877392046934</t>
  </si>
  <si>
    <t>[0.043, 0.066, 0.122, 0.038]</t>
  </si>
  <si>
    <t>LINESTRING (6.677812227803451 58.29846142196444, 6.677767574683364 58.29845380334957, 6.677678363066583 58.29840698596201, 6.677661259838127 58.29835243931024, 6.677965883478223 58.29828855998896)</t>
  </si>
  <si>
    <t>[444007, 444008, 444018, 444042]</t>
  </si>
  <si>
    <t>[443034, 443035, 443046, 443068]</t>
  </si>
  <si>
    <t>0.056703036757836986</t>
  </si>
  <si>
    <t>[443024, 443034, 443035, 443046]</t>
  </si>
  <si>
    <t>39.5491682380854</t>
  </si>
  <si>
    <t>[-0.231, -0.125, -0.119, -0.117, 0.015, 0.099]</t>
  </si>
  <si>
    <t>LINESTRING (6.679525800939522 58.30029505691269, 6.679421022920652 58.30011048894104, 6.679374951090258 58.29996091064862, 6.679350781969077 58.29984000352233, 6.679285145577878 58.29927792658422, 6.677868210952923 58.29851030364266, 6.677812227803451 58.29846142196444)</t>
  </si>
  <si>
    <t>[2137130, 2137138, 2137146, 2137154, 2137162, 2137170]</t>
  </si>
  <si>
    <t>[1836898, 1836904, 1836908, 1836913, 1836915, 443024]</t>
  </si>
  <si>
    <t>[1253118, 1836898, 1836904, 1836908, 1836913, 1836915]</t>
  </si>
  <si>
    <t>[0.231, 0.125, 0.119, 0.117, 0.015, 0.099]</t>
  </si>
  <si>
    <t>247.1865144161216</t>
  </si>
  <si>
    <t>[-0.017, -0.064, -0.019, 0.276]</t>
  </si>
  <si>
    <t>LINESTRING (6.678416239816395 58.298269514559536, 6.678173320331305 58.29827352518216, 6.678075231436211 58.29828137537907, 6.678037865786447 58.298283827541056, 6.677965883478223 58.29828855998896)</t>
  </si>
  <si>
    <t>[1185907, 1185915, 1185923, 1185931]</t>
  </si>
  <si>
    <t>[1115021, 1115026, 1115031, 443068]</t>
  </si>
  <si>
    <t>0.019503796829246717</t>
  </si>
  <si>
    <t>[1115020, 1115021, 1115026, 1115031]</t>
  </si>
  <si>
    <t>[0.017, 0.064, 0.019, 0.276]</t>
  </si>
  <si>
    <t>26.598440476216336</t>
  </si>
  <si>
    <t>[0.009, -0.004, -0.011, -0.016]</t>
  </si>
  <si>
    <t>LINESTRING (9.68743963633807 62.591535984728225, 9.687650590961429 62.591573535302125, 9.687744542755937 62.59164087127864, 9.687760072401408 62.591686479928704, 9.687701733734396 62.591769517406625)</t>
  </si>
  <si>
    <t>[444881, 444896, 444897, 444915]</t>
  </si>
  <si>
    <t>[443902, 443916, 443917, 443926]</t>
  </si>
  <si>
    <t>[443901, 443902, 443916, 443917]</t>
  </si>
  <si>
    <t>[0.009, 0.004, 0.011, 0.016]</t>
  </si>
  <si>
    <t>35.64818199959261</t>
  </si>
  <si>
    <t>LINESTRING (9.687202870171694 62.591580333465814, 9.687316198825217 62.591545891282365, 9.68743963633807 62.591535984728225)</t>
  </si>
  <si>
    <t>[444988, 444989]</t>
  </si>
  <si>
    <t>[443985, 443901]</t>
  </si>
  <si>
    <t>0.017560029029384503</t>
  </si>
  <si>
    <t>[443984, 443985]</t>
  </si>
  <si>
    <t>13.418686869525638</t>
  </si>
  <si>
    <t>LINESTRING (9.687029077713676 62.59120709884341, 9.687395777074034 62.59150033866807, 9.68743963633807 62.591535984728225)</t>
  </si>
  <si>
    <t>[445225, 445229]</t>
  </si>
  <si>
    <t>[444205, 443901]</t>
  </si>
  <si>
    <t>[444183, 444205]</t>
  </si>
  <si>
    <t>42.411904923795255</t>
  </si>
  <si>
    <t>[-0.02, -0.016]</t>
  </si>
  <si>
    <t>LINESTRING (9.687701733734396 62.591769517406625, 9.687622487085372 62.59180689450938, 9.687487768048593 62.59183248762514)</t>
  </si>
  <si>
    <t>[444923, 444924]</t>
  </si>
  <si>
    <t>[443933, 443934]</t>
  </si>
  <si>
    <t>[443926, 443933]</t>
  </si>
  <si>
    <t>[0.02, 0.016]</t>
  </si>
  <si>
    <t>13.318418864566686</t>
  </si>
  <si>
    <t>[-0.004, 0.016]</t>
  </si>
  <si>
    <t>LINESTRING (9.687701733734396 62.591769517406625, 9.687744378411983 62.5917982155554, 9.687948248413118 62.59198392037352)</t>
  </si>
  <si>
    <t>[445321, 445329]</t>
  </si>
  <si>
    <t>[444281, 444219]</t>
  </si>
  <si>
    <t>0.013153948394530263</t>
  </si>
  <si>
    <t>[443926, 444281]</t>
  </si>
  <si>
    <t>[0.004, 0.016]</t>
  </si>
  <si>
    <t>27.258947479448004</t>
  </si>
  <si>
    <t>[-0.014, -0.004, 0.004, 0.014]</t>
  </si>
  <si>
    <t>LINESTRING (9.687487768048593 62.59183248762514, 9.68733072043311 62.59182711410298, 9.687214311862215 62.59179438492151, 9.687142666515635 62.59174756743197, 9.687202870171694 62.591580333465814)</t>
  </si>
  <si>
    <t>[444938, 444954, 444977, 444985]</t>
  </si>
  <si>
    <t>[443945, 443957, 443974, 443984]</t>
  </si>
  <si>
    <t>0.003915763871702749</t>
  </si>
  <si>
    <t>[443934, 443945, 443957, 443974]</t>
  </si>
  <si>
    <t>[0.014, 0.004, 0.004, 0.014]</t>
  </si>
  <si>
    <t>41.32426882753941</t>
  </si>
  <si>
    <t>[1.269, -0.226]</t>
  </si>
  <si>
    <t>LINESTRING (9.687487768048593 62.59183248762514, 9.687565159095888 62.59185648831025, 9.687948248413118 62.59198392037352)</t>
  </si>
  <si>
    <t>[2133045, 2133053]</t>
  </si>
  <si>
    <t>[1834672, 444219]</t>
  </si>
  <si>
    <t>0.02050542738973649</t>
  </si>
  <si>
    <t>[443934, 1834672]</t>
  </si>
  <si>
    <t>[1.269, 0.226]</t>
  </si>
  <si>
    <t>29.079205706947302</t>
  </si>
  <si>
    <t>[-0.011, -0.012]</t>
  </si>
  <si>
    <t>LINESTRING (9.687029077713676 62.59120709884341, 9.68718407593904 62.59153148712995, 9.687202870171694 62.591580333465814)</t>
  </si>
  <si>
    <t>[445201, 445202]</t>
  </si>
  <si>
    <t>[444184, 443984]</t>
  </si>
  <si>
    <t>[444183, 444184]</t>
  </si>
  <si>
    <t>[0.011, 0.012]</t>
  </si>
  <si>
    <t>42.648160956548814</t>
  </si>
  <si>
    <t>[-0.001, 0.023, 0.022, 0.025]</t>
  </si>
  <si>
    <t>LINESTRING (9.692201734781737 62.593618035823724, 9.692615919582186 62.59360920806414, 9.69269198717723 62.59364654452212, 9.692734929555668 62.59369053102654, 9.692743531584842 62.5937124984607)</t>
  </si>
  <si>
    <t>[444996, 445004, 445020, 445036]</t>
  </si>
  <si>
    <t>[443993, 443999, 444011, 444024]</t>
  </si>
  <si>
    <t>0.007938267088345219</t>
  </si>
  <si>
    <t>[443992, 443993, 443999, 444011]</t>
  </si>
  <si>
    <t>[0.001, 0.023, 0.022, 0.025]</t>
  </si>
  <si>
    <t>36.41768608018636</t>
  </si>
  <si>
    <t>[-0.026, -0.022]</t>
  </si>
  <si>
    <t>LINESTRING (9.692096647702433 62.59371463036037, 9.692131722183221 62.59366086845615, 9.692201734781737 62.593618035823724)</t>
  </si>
  <si>
    <t>[445084, 445090]</t>
  </si>
  <si>
    <t>[444062, 443992]</t>
  </si>
  <si>
    <t>[444061, 444062]</t>
  </si>
  <si>
    <t>[0.026, 0.022]</t>
  </si>
  <si>
    <t>12.240680628144794</t>
  </si>
  <si>
    <t>LINESTRING (9.691675156232932 62.59352832474403, 9.69212781318049 62.59360689317094, 9.692201734781737 62.593618035823724)</t>
  </si>
  <si>
    <t>[445268, 445276]</t>
  </si>
  <si>
    <t>[444232, 443992]</t>
  </si>
  <si>
    <t>0.010584437993504848</t>
  </si>
  <si>
    <t>[444209, 444232]</t>
  </si>
  <si>
    <t>28.860126154259056</t>
  </si>
  <si>
    <t>[0.031, 0.029]</t>
  </si>
  <si>
    <t>LINESTRING (9.692743531584842 62.5937124984607, 9.692734990167892 62.59376907775144, 9.69268254804216 62.593818121409846)</t>
  </si>
  <si>
    <t>[445056, 445064]</t>
  </si>
  <si>
    <t>[444042, 444048]</t>
  </si>
  <si>
    <t>0.03001830073933395</t>
  </si>
  <si>
    <t>[444024, 444042]</t>
  </si>
  <si>
    <t>12.421710939787989</t>
  </si>
  <si>
    <t>[0.343, -0.067]</t>
  </si>
  <si>
    <t>LINESTRING (9.692743531584842 62.5937124984607, 9.692837841040062 62.593738326857014, 9.693249451150427 62.59385192637879)</t>
  </si>
  <si>
    <t>[2133077, 2133085]</t>
  </si>
  <si>
    <t>[1834698, 444252]</t>
  </si>
  <si>
    <t>0.009303304561312519</t>
  </si>
  <si>
    <t>[444024, 1834698]</t>
  </si>
  <si>
    <t>[0.343, 0.067]</t>
  </si>
  <si>
    <t>30.29861041775849</t>
  </si>
  <si>
    <t>[0.008, -0.014, -0.028, -0.029]</t>
  </si>
  <si>
    <t>LINESTRING (9.69268254804216 62.593818121409846, 9.692308868533988 62.59387057349778, 9.692194626917056 62.593837553311744, 9.692116725904507 62.59378449916825, 9.692096647702433 62.59371463036037)</t>
  </si>
  <si>
    <t>[445072, 445073, 445080, 445082]</t>
  </si>
  <si>
    <t>[444056, 444057, 444060, 444061]</t>
  </si>
  <si>
    <t>[444048, 444056, 444057, 444060]</t>
  </si>
  <si>
    <t>[0.008, 0.014, 0.028, 0.029]</t>
  </si>
  <si>
    <t>43.09780183379282</t>
  </si>
  <si>
    <t>[0.289, -0.069]</t>
  </si>
  <si>
    <t>LINESTRING (9.69268254804216 62.593818121409846, 9.692787261498285 62.593822677912776, 9.693249451150427 62.59385192637879)</t>
  </si>
  <si>
    <t>[2133061, 2133069]</t>
  </si>
  <si>
    <t>[1834686, 444252]</t>
  </si>
  <si>
    <t>[444048, 1834686]</t>
  </si>
  <si>
    <t>[0.289, 0.069]</t>
  </si>
  <si>
    <t>29.38653372444125</t>
  </si>
  <si>
    <t>LINESTRING (9.691675156232932 62.59352832474403, 9.69203899538652 62.593690456082115, 9.692096647702433 62.59371463036037)</t>
  </si>
  <si>
    <t>[445231, 445236]</t>
  </si>
  <si>
    <t>[444210, 444061]</t>
  </si>
  <si>
    <t>0.019466179950683372</t>
  </si>
  <si>
    <t>[444209, 444210]</t>
  </si>
  <si>
    <t>30.018389881354057</t>
  </si>
  <si>
    <t>[-0.02, -0.001, 0.014, 0.03]</t>
  </si>
  <si>
    <t>LINESTRING (9.699293846253074 62.595202639344016, 9.699584755329294 62.5951900728001, 9.699690226073441 62.595220792017976, 9.69976554467527 62.595269928244996, 9.699776243261107 62.595376772215275)</t>
  </si>
  <si>
    <t>[445098, 445113, 445114, 445115]</t>
  </si>
  <si>
    <t>[444071, 444082, 444083, 444084]</t>
  </si>
  <si>
    <t>0.0035057877082473534</t>
  </si>
  <si>
    <t>[444070, 444071, 444082, 444083]</t>
  </si>
  <si>
    <t>[0.02, 0.001, 0.014, 0.03]</t>
  </si>
  <si>
    <t>40.688063713445636</t>
  </si>
  <si>
    <t>[-0.03, -0.036]</t>
  </si>
  <si>
    <t>LINESTRING (9.69915935219075 62.595280369102746, 9.699212684148401 62.595235694079065, 9.699293846253074 62.595202639344016)</t>
  </si>
  <si>
    <t>[445186, 445194]</t>
  </si>
  <si>
    <t>[444168, 444070]</t>
  </si>
  <si>
    <t>[444161, 444168]</t>
  </si>
  <si>
    <t>[0.03, 0.036]</t>
  </si>
  <si>
    <t>11.252962867481553</t>
  </si>
  <si>
    <t>[-0.006, -0.0]</t>
  </si>
  <si>
    <t>LINESTRING (9.698809672367137 62.59509637245034, 9.699219696462851 62.595182907834456, 9.699293846253074 62.595202639344016)</t>
  </si>
  <si>
    <t>[445306, 445313]</t>
  </si>
  <si>
    <t>[444266, 444070]</t>
  </si>
  <si>
    <t>[444243, 444266]</t>
  </si>
  <si>
    <t>[0.006, 0.0]</t>
  </si>
  <si>
    <t>27.579871023030716</t>
  </si>
  <si>
    <t>[0.031, 0.034]</t>
  </si>
  <si>
    <t>LINESTRING (9.699776243261107 62.595376772215275, 9.69972030147185 62.59542403877606, 9.699629945286146 62.59545993003276)</t>
  </si>
  <si>
    <t>[445127, 445135]</t>
  </si>
  <si>
    <t>[444096, 444107]</t>
  </si>
  <si>
    <t>0.03251566965996939</t>
  </si>
  <si>
    <t>[444084, 444096]</t>
  </si>
  <si>
    <t>12.134865073386827</t>
  </si>
  <si>
    <t>[0.035, 0.019]</t>
  </si>
  <si>
    <t>LINESTRING (9.699776243261107 62.595376772215275, 9.699821264526525 62.5954004545322, 9.70011955983491 62.59557217709809)</t>
  </si>
  <si>
    <t>[2133125, 2133133]</t>
  </si>
  <si>
    <t>[1834734, 1834710]</t>
  </si>
  <si>
    <t>0.021003426811466188</t>
  </si>
  <si>
    <t>[444084, 1834734]</t>
  </si>
  <si>
    <t>28.041971449714236</t>
  </si>
  <si>
    <t>[0.019, -0.005, -0.014, -0.03]</t>
  </si>
  <si>
    <t>LINESTRING (9.699629945286146 62.59545993003276, 9.69934156717975 62.59546869667963, 9.699231389082582 62.595433947329425, 9.699150666383556 62.59536687947418, 9.69915935219075 62.595280369102746)</t>
  </si>
  <si>
    <t>[445156, 445170, 445171, 445179]</t>
  </si>
  <si>
    <t>[444137, 444152, 444153, 444161]</t>
  </si>
  <si>
    <t>[444107, 444137, 444152, 444153]</t>
  </si>
  <si>
    <t>[0.019, 0.005, 0.014, 0.03]</t>
  </si>
  <si>
    <t>40.32696592055147</t>
  </si>
  <si>
    <t>[0.03, 0.003]</t>
  </si>
  <si>
    <t>LINESTRING (9.699629945286146 62.59545993003276, 9.699702938163583 62.595476854979026, 9.70011955983491 62.59557217709809)</t>
  </si>
  <si>
    <t>[2133109, 2133117]</t>
  </si>
  <si>
    <t>[1834721, 1834710]</t>
  </si>
  <si>
    <t>0.007034369155532555</t>
  </si>
  <si>
    <t>[444107, 1834721]</t>
  </si>
  <si>
    <t>28.1065436927706</t>
  </si>
  <si>
    <t>LINESTRING (9.698809672367137 62.59509637245034, 9.699106911075207 62.5952545152519, 9.69915935219075 62.595280369102746)</t>
  </si>
  <si>
    <t>[445282, 445290]</t>
  </si>
  <si>
    <t>[444244, 444161]</t>
  </si>
  <si>
    <t>0.008578725139276237</t>
  </si>
  <si>
    <t>[444243, 444244]</t>
  </si>
  <si>
    <t>27.27909844978072</t>
  </si>
  <si>
    <t>[0.015, 0.022, 0.03, 0.024, 0.025, 0.03]</t>
  </si>
  <si>
    <t>1288.0</t>
  </si>
  <si>
    <t>LINESTRING (9.658544630487143 62.57865708439307, 9.659264341822244 62.578904010211076, 9.660472698402902 62.57918203752118, 9.660515098692255 62.57919059752767, 9.660647905285396 62.57921700484496, 9.660813893498378 62.579247794939036, 9.661836075442142 62.57938044498183)</t>
  </si>
  <si>
    <t>[2066647, 2066655, 2066663, 2066671, 2066679, 2066687]</t>
  </si>
  <si>
    <t>[1795314, 1795319, 1795324, 1795329, 1795334, 444179]</t>
  </si>
  <si>
    <t>0.022923730308745893</t>
  </si>
  <si>
    <t>[444178, 1795314, 1795319, 1795324, 1795329, 1795334]</t>
  </si>
  <si>
    <t>189.76509479766122</t>
  </si>
  <si>
    <t>[0.02, 0.019, 0.023, 0.024, 0.027, 0.026]</t>
  </si>
  <si>
    <t>LINESTRING (9.658544630487143 62.57865708439307, 9.659219238661782 62.57881158037653, 9.659343721574293 62.57884248460454, 9.660536266609956 62.57911327451965, 9.660629588125452 62.579130099605145, 9.660877769310488 62.579174823331556, 9.661836075442142 62.57938044498183)</t>
  </si>
  <si>
    <t>[2066727, 2066735, 2066743, 2066751, 2066759, 2066767]</t>
  </si>
  <si>
    <t>[1795353, 1795357, 1795362, 1795341, 1795370, 444179]</t>
  </si>
  <si>
    <t>0.023413204910131595</t>
  </si>
  <si>
    <t>[444178, 1795353, 1795357, 1795362, 1795341, 1795370]</t>
  </si>
  <si>
    <t>188.11953127378595</t>
  </si>
  <si>
    <t>LINESTRING (9.535044916992877 62.37598297377158, 9.658544630487143 62.57865708439307)</t>
  </si>
  <si>
    <t>18870.27767173504</t>
  </si>
  <si>
    <t>[0.03, 0.023, -0.012, -0.009, -0.013, -0.01, -0.011, -0.01, -0.011, -0.009]</t>
  </si>
  <si>
    <t>[0, 0, 0, 1, 0, 0, 0, 1, 0, 0]</t>
  </si>
  <si>
    <t>LINESTRING (9.661836075442142 62.57938044498183, 9.662526176664574 62.579494205174434, 9.673749071524455 62.583187095596486, 9.673837978264947 62.58323732431628, 9.673898872236814 62.58327173585309, 9.674024221045952 62.58334257535107, 9.684800946321888 62.58961585426352, 9.68610867416933 62.59049463178339, 9.686642444701466 62.590882973340925, 9.686687690162845 62.59091686382015, 9.687029077713676 62.59120709884341)</t>
  </si>
  <si>
    <t>[445198, 2133141, 2133149, 2133157, 2133165, 2133173, 445203, 445207, 445209, 445217]</t>
  </si>
  <si>
    <t>[444180, 1834740, 1834746, 1834753, 1834757, 444185, 444186, 444190, 444192, 444183]</t>
  </si>
  <si>
    <t>0.0033931145524948936</t>
  </si>
  <si>
    <t>[444179, 444180, 1834740, 1834746, 1834753, 1834757, 444185, 444186, 444190, 444192]</t>
  </si>
  <si>
    <t>[0.03, 0.023, 0.012, 0.009, 0.013, 0.01, 0.011, 0.01, 0.011, 0.009]</t>
  </si>
  <si>
    <t>1888.4382372257776</t>
  </si>
  <si>
    <t>[0.029, 0.02]</t>
  </si>
  <si>
    <t>LINESTRING (9.687948248413118 62.59198392037352, 9.690257018527392 62.59295158765605, 9.691675156232932 62.59352832474403)</t>
  </si>
  <si>
    <t>[445243, 445253]</t>
  </si>
  <si>
    <t>[444220, 444209]</t>
  </si>
  <si>
    <t>0.025603820383895644</t>
  </si>
  <si>
    <t>[444219, 444220]</t>
  </si>
  <si>
    <t>257.61324302177184</t>
  </si>
  <si>
    <t>317.7914080458395</t>
  </si>
  <si>
    <t>[-0.02, -0.024, 0.021, 0.016]</t>
  </si>
  <si>
    <t>LINESTRING (10.806724819654056 59.915508137872706, 10.804267856691485 59.914335955434545, 10.803348545413037 59.91388998823976, 10.803279927353746 59.91386055661597, 10.803158430663608 59.9138075000053)</t>
  </si>
  <si>
    <t>[770192, 770200, 770201, 770208]</t>
  </si>
  <si>
    <t>[749563, 749572, 749573, 749584]</t>
  </si>
  <si>
    <t>[447314, 749563, 749572, 749573]</t>
  </si>
  <si>
    <t>[0.02, 0.024, 0.021, 0.016]</t>
  </si>
  <si>
    <t>275.2402432759484</t>
  </si>
  <si>
    <t>[0.144, 0.011, -0.001, -0.007, -0.01, 0.007, -0.015, -0.175, -0.019]</t>
  </si>
  <si>
    <t>LINESTRING (10.808118805253537 59.91965889220113, 10.808126897742753 59.919623184429895, 10.808156636703448 59.9195228706441, 10.808551100774803 59.918758747734564, 10.809395846407961 59.91794664858466, 10.809958350690092 59.917568241847334, 10.80971642411519 59.91703392659734, 10.80725709090555 59.91581731194487, 10.806883448181406 59.91563007876693, 10.806724819654056 59.915508137872706)</t>
  </si>
  <si>
    <t>[751714, 514488, 514496, 345453, 345454, 514504, 514512, 2079729, 448582]</t>
  </si>
  <si>
    <t>[520824, 520825, 334036, 334037, 334038, 520846, 520853, 447313, 447314]</t>
  </si>
  <si>
    <t>[733315, 520824, 520825, 334036, 334037, 334038, 520846, 520853, 447313]</t>
  </si>
  <si>
    <t>[0.144, 0.011, 0.001, 0.007, 0.01, 0.007, 0.015, 0.175, 0.019]</t>
  </si>
  <si>
    <t>562.806349104765</t>
  </si>
  <si>
    <t>[-0.059, 0.007, 0.014, 0.016, -0.014, 0.012, 0.007, 0.232, 0.016, 0.028, 0.013, 0.019, 0.021, -0.002, -0.035, -0.01, -0.051, -0.183, -0.155, 0.032, 0.076, -0.01, -0.022, -0.026, -0.005, -0.011, -0.027, -0.582]</t>
  </si>
  <si>
    <t>[0, 0, 0, 0, 0, 0, 0, 0, 0, 0, 0, 0, 0, 0, 0, 0, 0, 0, 1, 1, 0, 0, 0, 0, 0, 0, 0, 0]</t>
  </si>
  <si>
    <t>LINESTRING (10.835792571335011 59.923791373565, 10.835991619655557 59.92372810406175, 10.833666240818022 59.923726603539016, 10.8322732684351 59.9236478818979, 10.831923719468156 59.92361739532458, 10.831878343452306 59.92361346823635, 10.831528593065265 59.92358330689646, 10.827685153023214 59.922809014535694, 10.827671479202754 59.922803240399354, 10.820441134147302 59.920068301571206, 10.817665116166244 59.91921450297528, 10.81764968223391 59.9192099305929, 10.81746444535089 59.91915501595591, 10.817417563028126 59.919141927659055, 10.814345221807594 59.91832380398379, 10.81358106081882 59.91812525298587, 10.812280963738774 59.91778449015929, 10.811671552783935 59.91761854362006, 10.811442193723881 59.91755140869396, 10.811288963127387 59.91750596416807, 10.81060988214339 59.91727973847788, 10.810211070755251 59.91712861504871, 10.810154968770942 59.917106329160596, 10.80853983293929 59.9163720725531, 10.807493438109404 59.91586979646177, 10.80721980327912 59.91574095643492, 10.807166205223343 59.915717310311464, 10.806788712021268 59.915537605842005, 10.806724819654056 59.915508137872706)</t>
  </si>
  <si>
    <t>[769953, 769962, 769981, 769982, 769989, 769993, 769994, 770004, 770005, 770006, 770018, 770020, 770034, 770060, 770068, 770082, 770105, 770115, 770123, 770131, 770139, 770140, 770152, 770160, 770168, 770176, 770184, 770185]</t>
  </si>
  <si>
    <t>[749254, 749267, 749289, 749290, 749299, 749303, 749304, 749317, 749318, 749319, 749333, 743047, 749351, 749387, 749400, 749414, 749441, 749457, 749470, 749481, 749494, 749495, 749513, 749523, 749531, 749542, 749554, 447314]</t>
  </si>
  <si>
    <t>0.0017653201654859695</t>
  </si>
  <si>
    <t>[735292, 749254, 749267, 749289, 749290, 749299, 749303, 749304, 749317, 749318, 749319, 749333, 743047, 749351, 749387, 749400, 749414, 749441, 749457, 749470, 749481, 749494, 749495, 749513, 749523, 749531, 749542, 749554]</t>
  </si>
  <si>
    <t>[0.059, 0.007, 0.014, 0.016, 0.014, 0.012, 0.007, 0.232, 0.016, 0.028, 0.013, 0.019, 0.021, 0.002, 0.035, 0.01, 0.051, 0.183, 0.155, 0.032, 0.076, 0.01, 0.022, 0.026, 0.005, 0.011, 0.027, 0.582]</t>
  </si>
  <si>
    <t>1924.7488253063993</t>
  </si>
  <si>
    <t>226.33595882281858</t>
  </si>
  <si>
    <t>101.0</t>
  </si>
  <si>
    <t>289.6246957487646</t>
  </si>
  <si>
    <t>[-0.034, -0.038, -0.043, -0.041, -0.034]</t>
  </si>
  <si>
    <t>LINESTRING (13.196620323025064 65.8524750151079, 13.19630871170344 65.85298720685695, 13.196004934639847 65.85343786078242, 13.195964097292189 65.85348547570815, 13.195890931425534 65.85357561829095, 13.19550594919538 65.85420227926092)</t>
  </si>
  <si>
    <t>[449330, 449338, 449347, 449355, 449363]</t>
  </si>
  <si>
    <t>[448104, 448113, 448120, 448129, 448138]</t>
  </si>
  <si>
    <t>[448103, 448104, 448113, 448120, 448129]</t>
  </si>
  <si>
    <t>[0.034, 0.038, 0.043, 0.041, 0.034]</t>
  </si>
  <si>
    <t>199.42922947312314</t>
  </si>
  <si>
    <t>[-0.018, -0.029, -0.036, -0.044, -0.042, -0.046]</t>
  </si>
  <si>
    <t>LINESTRING (13.196620323025064 65.8524750151079, 13.1965372471904 65.8529001578184, 13.19649066809129 65.85300496409229, 13.196187597175644 65.85346183717421, 13.19615064637746 65.85350965943212, 13.196094229592722 65.85358285748889, 13.19550594919538 65.85420227926092)</t>
  </si>
  <si>
    <t>[449371, 449379, 449387, 449395, 449403, 449411]</t>
  </si>
  <si>
    <t>[448148, 448156, 448166, 448177, 448190, 448138]</t>
  </si>
  <si>
    <t>[448103, 448148, 448156, 448166, 448177, 448190]</t>
  </si>
  <si>
    <t>[0.018, 0.029, 0.036, 0.044, 0.042, 0.046]</t>
  </si>
  <si>
    <t>200.80967206616458</t>
  </si>
  <si>
    <t>107.72619941811976</t>
  </si>
  <si>
    <t>[0.005, -0.005, -0.008, -0.008, -0.019]</t>
  </si>
  <si>
    <t>LINESTRING (13.195167494818438 65.85515544958041, 13.195246192246175 65.85588557322706, 13.19523767860413 65.85596624557435, 13.195227064386739 65.85601190968309, 13.195156317208314 65.85632839627493, 13.19491292702259 65.85674878762538)</t>
  </si>
  <si>
    <t>[449475, 449483, 449491, 449499, 449507]</t>
  </si>
  <si>
    <t>[448264, 448271, 448281, 448289, 448296]</t>
  </si>
  <si>
    <t>[448263, 448264, 448271, 448281, 448289]</t>
  </si>
  <si>
    <t>[0.005, 0.005, 0.008, 0.008, 0.019]</t>
  </si>
  <si>
    <t>179.27856874020551</t>
  </si>
  <si>
    <t>[-0.004, -0.008, 0.001, -0.006, -0.007, -0.005]</t>
  </si>
  <si>
    <t>LINESTRING (13.195167494818438 65.85515544958041, 13.195076259791382 65.85588357232425, 13.195064083003498 65.85596958637207, 13.19505884172277 65.85600708391009, 13.194996310684646 65.85631983498337, 13.194975077536315 65.85640372306518, 13.19491292702259 65.85674878762538)</t>
  </si>
  <si>
    <t>[449515, 449523, 449531, 449539, 449547, 449555]</t>
  </si>
  <si>
    <t>[448303, 448311, 448319, 448327, 448336, 448296]</t>
  </si>
  <si>
    <t>[448263, 448303, 448311, 448319, 448327, 448336]</t>
  </si>
  <si>
    <t>[0.004, 0.008, 0.001, 0.006, 0.007, 0.005]</t>
  </si>
  <si>
    <t>178.06740244445206</t>
  </si>
  <si>
    <t>349.72256659994457</t>
  </si>
  <si>
    <t>[-0.012, -0.007, -0.01, -0.008, -0.006, -0.01, -0.007, 0.012, 0.089, 0.091, 0.096, 0.097, 0.102, 0.106, 0.104]</t>
  </si>
  <si>
    <t>LINESTRING (13.193877363842049 65.86167305148106, 13.194618192575653 65.86202608380945, 13.194977498207294 65.86218015659533, 13.195180628737711 65.86226565399265, 13.195253036811371 65.86229624861896, 13.195866176984017 65.86254913021202, 13.19598236676146 65.86259719292924, 13.196272083026889 65.86272349256956, 13.197329245416116 65.86316319472316, 13.197433323282182 65.86320335971936, 13.197512512473644 65.86323486760033, 13.197624844966198 65.863279563017, 13.197970109596865 65.86340896239565, 13.198662588735028 65.8636163295983, 13.19875874819559 65.86363878326216, 13.199038905670758 65.86369288023916)</t>
  </si>
  <si>
    <t>[449683, 449699, 449707, 449715, 449723, 449731, 449739, 449747, 449755, 449763, 449771, 449779, 449787, 449795, 449803]</t>
  </si>
  <si>
    <t>[448450, 448467, 448476, 448484, 448493, 448502, 448510, 448517, 448521, 448531, 448542, 448551, 448556, 448565, 448573]</t>
  </si>
  <si>
    <t>0.0281428174458697</t>
  </si>
  <si>
    <t>[448449, 448450, 448467, 448476, 448484, 448493, 448502, 448510, 448517, 448521, 448531, 448542, 448551, 448556, 448565]</t>
  </si>
  <si>
    <t>[0.012, 0.007, 0.01, 0.008, 0.006, 0.01, 0.007, 0.012, 0.089, 0.091, 0.096, 0.097, 0.102, 0.106, 0.104]</t>
  </si>
  <si>
    <t>327.5787590048684</t>
  </si>
  <si>
    <t>[-0.003, -0.007, -0.004, -0.008, -0.008, -0.007, -0.007, -0.005, 0.008, 0.089, 0.086, 0.094, 0.096, 0.1, 0.111, 0.105]</t>
  </si>
  <si>
    <t>LINESTRING (13.193877363842049 65.86167305148106, 13.194735166833228 65.86198147474934, 13.19510200421407 65.86213037674166, 13.195310066995262 65.86221431658336, 13.195380970636327 65.86224479471811, 13.195988050643352 65.86250124822908, 13.196105308834108 65.86254908110764, 13.196302701599832 65.86262959129355, 13.196404964064266 65.86267089340701, 13.197466238833819 65.86310947628216, 13.197566980329398 65.86315126228482, 13.19764242958441 65.8631823312434, 13.197746655662836 65.8632244542519, 13.198079475023274 65.86335937911048, 13.19872436151687 65.86358202705175, 13.198808882408207 65.86361038392886, 13.199038905670758 65.86369288023916)</t>
  </si>
  <si>
    <t>[449811, 449819, 449827, 449835, 449843, 449851, 449860, 449869, 449877, 449885, 449893, 449901, 449909, 449917, 449925, 449933]</t>
  </si>
  <si>
    <t>[448580, 448587, 448592, 448597, 448604, 448609, 448620, 448630, 448638, 448644, 448651, 448659, 448669, 448675, 448683, 448573]</t>
  </si>
  <si>
    <t>0.028203397117121713</t>
  </si>
  <si>
    <t>[448449, 448580, 448587, 448592, 448597, 448604, 448609, 448620, 448630, 448638, 448644, 448651, 448659, 448669, 448675, 448683]</t>
  </si>
  <si>
    <t>[0.003, 0.007, 0.004, 0.008, 0.008, 0.007, 0.007, 0.005, 0.008, 0.089, 0.086, 0.094, 0.096, 0.1, 0.111, 0.105]</t>
  </si>
  <si>
    <t>326.0699307165525</t>
  </si>
  <si>
    <t>[0.002, 0.23]</t>
  </si>
  <si>
    <t>LINESTRING (13.192969559328414 65.86128852941391, 13.193559212403747 65.86153683598786, 13.193877363842049 65.86167305148106)</t>
  </si>
  <si>
    <t>[474788, 474796]</t>
  </si>
  <si>
    <t>[473281, 448449]</t>
  </si>
  <si>
    <t>0.08235180358688499</t>
  </si>
  <si>
    <t>[473280, 473281]</t>
  </si>
  <si>
    <t>59.61228268467575</t>
  </si>
  <si>
    <t>[1.297, 0.069, 0.086, 0.08]</t>
  </si>
  <si>
    <t>LINESTRING (13.199038905670758 65.86369288023916, 13.199154117438425 65.86371845627757, 13.202447718004631 65.86417810087823, 13.206753924073595 65.86609463282743, 13.20754876955867 65.86744824405412)</t>
  </si>
  <si>
    <t>[474804, 474812, 474820, 474828]</t>
  </si>
  <si>
    <t>[473296, 473305, 473314, 473323]</t>
  </si>
  <si>
    <t>0.09185899330237625</t>
  </si>
  <si>
    <t>[448573, 473296, 473305, 473314]</t>
  </si>
  <si>
    <t>614.8863933815185</t>
  </si>
  <si>
    <t>8.059655699688186</t>
  </si>
  <si>
    <t>[-2.225, 0.001, -0.001, -0.0, -0.003, -0.004, -0.007, -0.016, -0.032, -0.036, -0.044, -0.044, -0.058, -0.03, -0.032, -0.022, -0.023, -0.009, 0.006]</t>
  </si>
  <si>
    <t>[0, 1, 1, 1, 0, 0, 0, 0, 0, 0, 0, 0, 0, 0, 0, 0, 0, 0, 0]</t>
  </si>
  <si>
    <t>LINESTRING (17.436404241827276 68.44203375554962, 17.436451482165914 68.44208497807381, 17.436542888227574 68.44224524739846, 17.436582359899514 68.44231429915617, 17.436602438700895 68.44234940340058, 17.436632618777757 68.44239242893651, 17.43667489043159 68.4424466764294, 17.43670932605631 68.44248865278932, 17.436996158159577 68.44268089043227, 17.437559229161753 68.4428686749613, 17.437580738197873 68.44287261582451, 17.437651765345784 68.44288587843846, 17.437738098156355 68.44290144903914, 17.442396562594787 68.44261172052646, 17.4455791646769 68.44275019305256, 17.44569615974049 68.44276649635948, 17.44578405249767 68.44277883607656, 17.445950969367335 68.44280228975455, 17.44698812741683 68.44296622563274, 17.45102928990159 68.44389090340539)</t>
  </si>
  <si>
    <t>[490911, 490912, 490913, 490920, 490921, 490922, 490929, 490930, 490931, 490938, 490944, 490945, 490957, 490972, 490980, 490988, 490989, 491001, 491011]</t>
  </si>
  <si>
    <t>[491397, 491398, 491399, 491410, 491411, 491412, 490311, 491423, 491424, 449269, 491440, 449292, 491453, 491472, 449208, 491489, 449248, 491504, 488885]</t>
  </si>
  <si>
    <t>[449377, 491397, 491398, 491399, 491410, 491411, 491412, 490311, 491423, 491424, 449269, 491440, 449292, 491453, 491472, 449208, 491489, 449248, 491504]</t>
  </si>
  <si>
    <t>[2.225, 0.001, 0.001, 0.0, 0.003, 0.004, 0.007, 0.016, 0.032, 0.036, 0.044, 0.044, 0.058, 0.03, 0.032, 0.022, 0.023, 0.009, 0.006]</t>
  </si>
  <si>
    <t>704.6511918181411</t>
  </si>
  <si>
    <t>[-0.023, -0.006]</t>
  </si>
  <si>
    <t>LINESTRING (17.436593429953344 68.44201419228747, 17.436640784629365 68.4420095541361, 17.437127999213473 68.44194189115578)</t>
  </si>
  <si>
    <t>[450626, 450634]</t>
  </si>
  <si>
    <t>[449383, 449389]</t>
  </si>
  <si>
    <t>[449378, 449383]</t>
  </si>
  <si>
    <t>[0.023, 0.006]</t>
  </si>
  <si>
    <t>23.368096674127187</t>
  </si>
  <si>
    <t>[-1.809, -0.01, -0.01, -0.012, -0.014, -0.013, -0.026, -0.024, -0.005, -0.036, -0.045, -0.06, -0.07, -0.078, -0.071, -0.06, -0.043, -0.033, -0.034, -0.03, -0.024, -0.013, -0.006, 0.015, 0.018]</t>
  </si>
  <si>
    <t>[0, 1, 1, 1, 0, 0, 0, 0, 0, 0, 0, 0, 0, 0, 0, 0, 0, 0, 0, 0, 0, 0, 0, 0, 0]</t>
  </si>
  <si>
    <t>LINESTRING (17.436593429953344 68.44201419228747, 17.43665734963512 68.44207119406072, 17.43670888410983 68.44215936596635, 17.436749841101918 68.44222951791602, 17.436808402700954 68.44232991884681, 17.4368357463339 68.4423744754499, 17.436874493108533 68.44243065890852, 17.43688976136625 68.44244826952438, 17.436926547216835 68.44248759100061, 17.436934681958903 68.44249628580958, 17.43705794094912 68.44257471698818, 17.43716832343688 68.442628960065, 17.437658860965236 68.44278926040765, 17.43767614869205 68.44279343324473, 17.437727424987973 68.4428052602592, 17.43780684642132 68.44282191868523, 17.442220440767517 68.44256464136775, 17.442411209265405 68.44254909610378, 17.44562632014064 68.44268090071859, 17.445744293988934 68.44269768330403, 17.44586534129969 68.44271919550582, 17.44600848493408 68.44274464781411, 17.4470492275734 68.44291806217144, 17.447520201024194 68.44300320509831, 17.450070665673607 68.44357022776182, 17.45102928990159 68.44389090340539)</t>
  </si>
  <si>
    <t>[488476, 488484, 488485, 488493, 488509, 488510, 488522, 488531, 488532, 488540, 488547, 488554, 488585, 488586, 488592, 488593, 488594, 488595, 488610, 488626, 488634, 488635, 488642, 488654, 488661]</t>
  </si>
  <si>
    <t>[488686, 488695, 488696, 488705, 488722, 488723, 488736, 488743, 488744, 488755, 488761, 488769, 449268, 488797, 449291, 488804, 488805, 488806, 449207, 488846, 449247, 488855, 335013, 335026, 488885]</t>
  </si>
  <si>
    <t>[449378, 488686, 488695, 488696, 488705, 488722, 488723, 488736, 488743, 488744, 488755, 488761, 488769, 449268, 488797, 449291, 488804, 488805, 488806, 449207, 488846, 449247, 488855, 335013, 335026]</t>
  </si>
  <si>
    <t>[1.809, 0.01, 0.01, 0.012, 0.014, 0.013, 0.026, 0.024, 0.005, 0.036, 0.045, 0.06, 0.07, 0.078, 0.071, 0.06, 0.043, 0.033, 0.034, 0.03, 0.024, 0.013, 0.006, 0.015, 0.018]</t>
  </si>
  <si>
    <t>698.2617714705143</t>
  </si>
  <si>
    <t>[-0.235, 0.027]</t>
  </si>
  <si>
    <t>LINESTRING (17.437127999213473 68.44194189115578, 17.438451550260556 68.44184556890151, 17.441115800732458 68.44140913848597)</t>
  </si>
  <si>
    <t>[1022570, 1022578]</t>
  </si>
  <si>
    <t>[381279, 386136]</t>
  </si>
  <si>
    <t>[449389, 381279]</t>
  </si>
  <si>
    <t>[0.235, 0.027]</t>
  </si>
  <si>
    <t>176.29097415328644</t>
  </si>
  <si>
    <t>[0.006, 0.004, -0.092]</t>
  </si>
  <si>
    <t>LINESTRING (14.15205639351087 66.30868248112984, 14.152801774785576 66.30909564376837, 14.158106583391186 66.3141794266695, 14.158581735150072 66.31422857943164)</t>
  </si>
  <si>
    <t>[1196752, 1196760, 1196768]</t>
  </si>
  <si>
    <t>[1123016, 1123022, 450262]</t>
  </si>
  <si>
    <t>0.0012187665070530287</t>
  </si>
  <si>
    <t>[926875, 1123016, 1123022]</t>
  </si>
  <si>
    <t>[0.006, 0.004, 0.092]</t>
  </si>
  <si>
    <t>718.2017777298199</t>
  </si>
  <si>
    <t>[0.116, -0.008, -0.023]</t>
  </si>
  <si>
    <t>16108.0</t>
  </si>
  <si>
    <t>LINESTRING (14.160951089888743 66.31449258944971, 14.161361592510055 66.31446029709171, 14.161568274870872 66.3144440415864, 14.167332673627476 66.31560054166829)</t>
  </si>
  <si>
    <t>[1196776, 1196784, 1196792]</t>
  </si>
  <si>
    <t>[1123032, 1123037, 450461]</t>
  </si>
  <si>
    <t>[450288, 1123032, 1123037]</t>
  </si>
  <si>
    <t>[0.116, 0.008, 0.023]</t>
  </si>
  <si>
    <t>359.03775455409215</t>
  </si>
  <si>
    <t>LINESTRING (14.172575365756922 66.32051387183462, 14.17331025758869 66.32089899228998, 14.173778081218618 66.32156180573278)</t>
  </si>
  <si>
    <t>[1196808, 1196816]</t>
  </si>
  <si>
    <t>[404595, 450370]</t>
  </si>
  <si>
    <t>[490718, 404595]</t>
  </si>
  <si>
    <t>131.35295335665032</t>
  </si>
  <si>
    <t>[-0.037, 0.094]</t>
  </si>
  <si>
    <t>LINESTRING (14.174348487011555 66.32227450714564, 14.175237844449605 66.32351231493158, 14.175436484606946 66.32369567563332)</t>
  </si>
  <si>
    <t>[1196824, 1196832]</t>
  </si>
  <si>
    <t>[1123058, 490719]</t>
  </si>
  <si>
    <t>[450383, 1123058]</t>
  </si>
  <si>
    <t>[0.037, 0.094]</t>
  </si>
  <si>
    <t>165.9116356149641</t>
  </si>
  <si>
    <t>[-0.025, -0.24, -0.069, -0.057, -0.034, -0.038, -0.045, -0.034, -0.04, -0.034, 0.166, -0.027]</t>
  </si>
  <si>
    <t>LINESTRING (14.167332673627476 66.31560054166829, 14.16762066489346 66.31582422636411, 14.167785460533155 66.31600203330541, 14.167890843913971 66.31611778685206, 14.16807760457139 66.31632776743457, 14.168111331579162 66.31636982847343, 14.1681416699876 66.31640776226902, 14.168165110253517 66.31643704617981, 14.16820903649936 66.31649184795295, 14.1682279158432 66.31651534752761, 14.168659589336748 66.31705434305974, 14.168888511444122 66.31733926558773, 14.169040597931385 66.3176322019734)</t>
  </si>
  <si>
    <t>[451846, 1029044, 1029052, 1029060, 1029068, 1029076, 1029084, 1029092, 1029100, 1029108, 1029116, 451870]</t>
  </si>
  <si>
    <t>[450462, 983322, 983327, 983332, 983336, 983341, 420032, 983357, 983363, 983370, 450481, 450473]</t>
  </si>
  <si>
    <t>[450461, 450462, 983322, 983327, 983332, 983336, 983341, 420032, 983357, 983363, 983370, 450481]</t>
  </si>
  <si>
    <t>[0.025, 0.24, 0.069, 0.057, 0.034, 0.038, 0.045, 0.034, 0.04, 0.034, 0.166, 0.027]</t>
  </si>
  <si>
    <t>239.73162501453194</t>
  </si>
  <si>
    <t>[-0.024, -0.026, -0.026, -0.026, -0.027, -0.022, -0.03, -0.021, -0.027, -0.03, -0.028, -0.03]</t>
  </si>
  <si>
    <t>LINESTRING (14.167332673627476 66.31560054166829, 14.167486593248537 66.31584396483885, 14.167718821722525 66.31613679320459, 14.167883833358191 66.31634794962255, 14.167915869161616 66.31638986708134, 14.167945931952666 66.31642870560098, 14.167973684020247 66.31646320731483, 14.168015931025655 66.31651615195798, 14.168034842362427 66.31654002854637, 14.168490427412538 66.31708451760548, 14.168558658479979 66.31715941157294, 14.168746928721038 66.31736327154796, 14.169040597931385 66.3176322019734)</t>
  </si>
  <si>
    <t>[451854, 490177, 490190, 490198, 490207, 490210, 490211, 490234, 490237, 490256, 490259, 451862]</t>
  </si>
  <si>
    <t>[450468, 490627, 490642, 490652, 490662, 420031, 490666, 490688, 490692, 490713, 450472, 450473]</t>
  </si>
  <si>
    <t>[450461, 450468, 490627, 490642, 490652, 490662, 420031, 490666, 490688, 490692, 490713, 450472]</t>
  </si>
  <si>
    <t>[0.024, 0.026, 0.026, 0.026, 0.027, 0.022, 0.03, 0.021, 0.027, 0.03, 0.028, 0.03]</t>
  </si>
  <si>
    <t>239.29540119843244</t>
  </si>
  <si>
    <t>213.963889280024</t>
  </si>
  <si>
    <t>15.911777241945575</t>
  </si>
  <si>
    <t>[0.05, 0.04]</t>
  </si>
  <si>
    <t>LINESTRING (11.100986733507582 59.26024644681213, 11.100970101857865 59.26018156887648, 11.100320931658016 59.25956343521777)</t>
  </si>
  <si>
    <t>[451986, 1779218]</t>
  </si>
  <si>
    <t>[450600, 450606]</t>
  </si>
  <si>
    <t>0.04081961060484124</t>
  </si>
  <si>
    <t>[450493, 450600]</t>
  </si>
  <si>
    <t>88.95532098646989</t>
  </si>
  <si>
    <t>[-0.004, -0.004, -0.009]</t>
  </si>
  <si>
    <t>LINESTRING (11.10088099996148 59.26030584729641, 11.100909753270956 59.26028595132755, 11.100940113112118 59.26026582484459, 11.100986733507582 59.26024644681213)</t>
  </si>
  <si>
    <t>[451962, 451970, 451978]</t>
  </si>
  <si>
    <t>[450573, 450582, 450493]</t>
  </si>
  <si>
    <t>[450560, 450573, 450582]</t>
  </si>
  <si>
    <t>[0.004, 0.004, 0.009]</t>
  </si>
  <si>
    <t>9.017266873271195</t>
  </si>
  <si>
    <t>[-0.04, -0.025, -0.006, 0.004, 0.017, 0.029, 0.033]</t>
  </si>
  <si>
    <t>LINESTRING (11.101256579882211 59.26024289828538, 11.101346726660362 59.26027293234509, 11.101410802515009 59.260366644383964, 11.101380182019641 59.260424045645884, 11.101320181612227 59.260463538228734, 11.101180875953911 59.26049639978139, 11.101027562441185 59.26048748595514, 11.100940661040624 59.260458241274634)</t>
  </si>
  <si>
    <t>[451890, 451898, 451906, 451914, 451922, 451930, 451938]</t>
  </si>
  <si>
    <t>[450501, 450506, 450512, 450518, 450526, 450533, 450541]</t>
  </si>
  <si>
    <t>0.0011407903311083244</t>
  </si>
  <si>
    <t>[450494, 450501, 450506, 450512, 450518, 450526, 450533]</t>
  </si>
  <si>
    <t>[0.04, 0.025, 0.006, 0.004, 0.017, 0.029, 0.033]</t>
  </si>
  <si>
    <t>52.89077918240754</t>
  </si>
  <si>
    <t>[0.018, -0.044, -0.007, -0.016]</t>
  </si>
  <si>
    <t>LINESTRING (11.100434025011003 59.25663414944108, 11.100449346270029 59.25669265907612, 11.099818882721369 59.25922510132937, 11.101207365887653 59.26017014762893, 11.101256579882211 59.26024289828538)</t>
  </si>
  <si>
    <t>[1630675, 1630651, 1779210, 1630659]</t>
  </si>
  <si>
    <t>[1458172, 1458173, 1458179, 450494]</t>
  </si>
  <si>
    <t>[1058976, 1458172, 1458173, 1458179]</t>
  </si>
  <si>
    <t>[0.018, 0.044, 0.007, 0.016]</t>
  </si>
  <si>
    <t>452.64522997545464</t>
  </si>
  <si>
    <t>[0.011, 0.012, -0.008]</t>
  </si>
  <si>
    <t>LINESTRING (14.130253455242848 66.30479767812875, 14.13029148750421 66.30480710500923, 14.130462633188284 66.30484952137135, 14.13119968799895 66.3050362376379)</t>
  </si>
  <si>
    <t>[476915, 476923, 476931]</t>
  </si>
  <si>
    <t>[475606, 475613, 450508]</t>
  </si>
  <si>
    <t>[475605, 475606, 475613]</t>
  </si>
  <si>
    <t>[0.011, 0.012, 0.008]</t>
  </si>
  <si>
    <t>50.07789935408273</t>
  </si>
  <si>
    <t>[0.027, 0.011]</t>
  </si>
  <si>
    <t>LINESTRING (11.100940661040624 59.260458241274634, 11.10086209808862 59.26037913508861, 11.10088099996148 59.26030584729641)</t>
  </si>
  <si>
    <t>[451946, 451954]</t>
  </si>
  <si>
    <t>[450551, 450560]</t>
  </si>
  <si>
    <t>0.019728969881345867</t>
  </si>
  <si>
    <t>[450541, 450551]</t>
  </si>
  <si>
    <t>18.125209941912136</t>
  </si>
  <si>
    <t>[-0.178, 0.036]</t>
  </si>
  <si>
    <t>LINESTRING (11.100940661040624 59.260458241274634, 11.100791501653777 59.260446628836405, 11.098682094465135 59.26033000639124)</t>
  </si>
  <si>
    <t>[1778906, 1778914]</t>
  </si>
  <si>
    <t>[1569131, 1058933]</t>
  </si>
  <si>
    <t>0.02180537140228631</t>
  </si>
  <si>
    <t>[450541, 1569131]</t>
  </si>
  <si>
    <t>[0.178, 0.036]</t>
  </si>
  <si>
    <t>129.77074463295145</t>
  </si>
  <si>
    <t>[0.02, -0.016, -0.003]</t>
  </si>
  <si>
    <t>LINESTRING (11.100320931658016 59.25956343521777, 11.099860387336454 59.25942057181023, 11.097126930836987 59.26220108670588, 11.097051449717885 59.2622378471317)</t>
  </si>
  <si>
    <t>[451994, 1630718, 1630703]</t>
  </si>
  <si>
    <t>[450607, 1458217, 1058987]</t>
  </si>
  <si>
    <t>[450606, 450607, 1458217]</t>
  </si>
  <si>
    <t>[0.02, 0.016, 0.003]</t>
  </si>
  <si>
    <t>426.2118082445114</t>
  </si>
  <si>
    <t>19.19101453081093</t>
  </si>
  <si>
    <t>[0.022, 0.021, -0.002]</t>
  </si>
  <si>
    <t>LINESTRING (10.349459055064257 59.29372208347574, 10.349438027279193 59.293770809584494, 10.353551789985094 59.29741512392292, 10.353716137806982 59.297617094355104)</t>
  </si>
  <si>
    <t>[453758, 453766, 453750]</t>
  </si>
  <si>
    <t>[452346, 452338, 452268]</t>
  </si>
  <si>
    <t>0.01989431620732087</t>
  </si>
  <si>
    <t>[451912, 452346, 452338]</t>
  </si>
  <si>
    <t>[0.022, 0.021, 0.002]</t>
  </si>
  <si>
    <t>502.1475516508971</t>
  </si>
  <si>
    <t>[0.052, 0.055, 0.049, 0.013]</t>
  </si>
  <si>
    <t>LINESTRING (10.349128558057773 59.29348446221928, 10.34939692903742 59.293489737937506, 10.34949181102734 59.293533823443944, 10.349541725498712 59.29359866926698, 10.349459055064257 59.29372208347574)</t>
  </si>
  <si>
    <t>[453373, 453381, 453389, 453333]</t>
  </si>
  <si>
    <t>[451957, 451966, 451911, 451912]</t>
  </si>
  <si>
    <t>0.03926325149811941</t>
  </si>
  <si>
    <t>[451945, 451957, 451966, 451911]</t>
  </si>
  <si>
    <t>45.71693441940913</t>
  </si>
  <si>
    <t>[-0.036, -0.037]</t>
  </si>
  <si>
    <t>LINESTRING (10.349143306657188 59.293755174039205, 10.349025160679664 59.29370826811077, 10.34896924101588 59.29364863984278)</t>
  </si>
  <si>
    <t>[453349, 453357]</t>
  </si>
  <si>
    <t>[451929, 451937]</t>
  </si>
  <si>
    <t>[451921, 451929]</t>
  </si>
  <si>
    <t>[0.036, 0.037]</t>
  </si>
  <si>
    <t>15.897096096627621</t>
  </si>
  <si>
    <t>[-0.012, 0.01, 0.023]</t>
  </si>
  <si>
    <t>LINESTRING (10.349143306657188 59.293755174039205, 10.34904480164165 59.29376574381287, 10.347975698150501 59.29418731866447, 10.347920723609677 59.29424767375345)</t>
  </si>
  <si>
    <t>[453830, 453838, 453846]</t>
  </si>
  <si>
    <t>[452418, 452426, 451996]</t>
  </si>
  <si>
    <t>0.00967169280420659</t>
  </si>
  <si>
    <t>[451921, 452418, 452426]</t>
  </si>
  <si>
    <t>[0.012, 0.01, 0.023]</t>
  </si>
  <si>
    <t>90.66468749557137</t>
  </si>
  <si>
    <t>21.58357029315494</t>
  </si>
  <si>
    <t>[0.014, 0.01, -0.007]</t>
  </si>
  <si>
    <t>LINESTRING (10.34896924101588 59.29364863984278, 10.348913855366597 59.29368463261828, 10.347844885538493 59.29410626512234, 10.347735626310259 59.29411805905383)</t>
  </si>
  <si>
    <t>[453806, 453814, 453822]</t>
  </si>
  <si>
    <t>[452393, 452402, 452040]</t>
  </si>
  <si>
    <t>0.009012737051212865</t>
  </si>
  <si>
    <t>[451937, 452393, 452402]</t>
  </si>
  <si>
    <t>[0.014, 0.01, 0.007]</t>
  </si>
  <si>
    <t>88.9362596737942</t>
  </si>
  <si>
    <t>[-0.004, 0.007, 0.014]</t>
  </si>
  <si>
    <t>LINESTRING (10.344751799103124 59.291921042971914, 10.345067259311634 59.29201626817338, 10.349025530059942 59.2934798943766, 10.349128558057773 59.29348446221928)</t>
  </si>
  <si>
    <t>[454031, 454039, 454040]</t>
  </si>
  <si>
    <t>[452557, 452562, 451945]</t>
  </si>
  <si>
    <t>0.0063864312935207005</t>
  </si>
  <si>
    <t>[452556, 452557, 452562]</t>
  </si>
  <si>
    <t>[0.004, 0.007, 0.014]</t>
  </si>
  <si>
    <t>307.1346134073743</t>
  </si>
  <si>
    <t>21.681390750756353</t>
  </si>
  <si>
    <t>[0.03, 0.035]</t>
  </si>
  <si>
    <t>LINESTRING (10.347735626310259 59.29411805905383, 10.347861752721426 59.294166780834736, 10.347920723609677 59.29424767375345)</t>
  </si>
  <si>
    <t>[453461, 453469]</t>
  </si>
  <si>
    <t>[452050, 451996]</t>
  </si>
  <si>
    <t>0.0325820512222907</t>
  </si>
  <si>
    <t>[452040, 452050]</t>
  </si>
  <si>
    <t>18.632622651222256</t>
  </si>
  <si>
    <t>[-0.017, -0.029, -0.036, -0.025]</t>
  </si>
  <si>
    <t>LINESTRING (10.347719976800764 59.29440023058137, 10.347512018865391 59.29439467637268, 10.347401691384576 59.2943500006034, 10.347348793017046 59.294293492881096, 10.347430432093537 59.29415043498371)</t>
  </si>
  <si>
    <t>[453421, 453429, 453437, 453445]</t>
  </si>
  <si>
    <t>[452004, 452013, 452022, 452030]</t>
  </si>
  <si>
    <t>[451997, 452004, 452013, 452022]</t>
  </si>
  <si>
    <t>[0.017, 0.029, 0.036, 0.025]</t>
  </si>
  <si>
    <t>44.29320505363338</t>
  </si>
  <si>
    <t>[-0.021, -0.021, -0.014]</t>
  </si>
  <si>
    <t>LINESTRING (10.352498042711055 59.296854420706374, 10.352231989770615 59.296696239754276, 10.34783425087819 59.29440294428282, 10.347719976800764 59.29440023058137)</t>
  </si>
  <si>
    <t>[453742, 453725, 453733]</t>
  </si>
  <si>
    <t>[452314, 452315, 451997]</t>
  </si>
  <si>
    <t>[452232, 452314, 452315]</t>
  </si>
  <si>
    <t>[0.021, 0.021, 0.014]</t>
  </si>
  <si>
    <t>392.4322818833018</t>
  </si>
  <si>
    <t>18.47427266183321</t>
  </si>
  <si>
    <t>[-0.025, -0.011, 0.004, 0.006, 0.009]</t>
  </si>
  <si>
    <t>LINESTRING (10.347430432093537 59.29415043498371, 10.347463557814791 59.29409864330184, 10.34462849885704 59.29210484526299, 10.343955253686406 59.29182028664243, 10.342520412713542 59.291233178404184, 10.342140961998071 59.29105209475102)</t>
  </si>
  <si>
    <t>[453861, 453869, 453925, 453937, 454041]</t>
  </si>
  <si>
    <t>[452443, 452447, 452489, 452499, 452563]</t>
  </si>
  <si>
    <t>[452030, 452443, 452447, 452489, 452499]</t>
  </si>
  <si>
    <t>[0.025, 0.011, 0.004, 0.006, 0.009]</t>
  </si>
  <si>
    <t>472.96276267220867</t>
  </si>
  <si>
    <t>23.125039113866038</t>
  </si>
  <si>
    <t>[-0.014, -0.013, 0.0]</t>
  </si>
  <si>
    <t>LINESTRING (10.3343605929368 59.28775093454529, 10.33436115517467 59.28780939224229, 10.338838370986693 59.28973568713782, 10.339322562763401 59.28992366717006)</t>
  </si>
  <si>
    <t>[968248, 968253, 968306]</t>
  </si>
  <si>
    <t>[931876, 931877, 931902]</t>
  </si>
  <si>
    <t>[452069, 931876, 931877]</t>
  </si>
  <si>
    <t>[0.014, 0.013, 0.0]</t>
  </si>
  <si>
    <t>384.14079710824586</t>
  </si>
  <si>
    <t>[-0.011, -0.02, -0.018, -0.012]</t>
  </si>
  <si>
    <t>LINESTRING (10.333771492162871 59.28759328444094, 10.33406567482289 59.28750949334843, 10.334237528253665 59.287535594762595, 10.33434312527237 59.2875902586753, 10.3343605929368 59.28775093454529)</t>
  </si>
  <si>
    <t>[453517, 453525, 453533, 453477]</t>
  </si>
  <si>
    <t>[452112, 452119, 452068, 452069]</t>
  </si>
  <si>
    <t>[452103, 452112, 452119, 452068]</t>
  </si>
  <si>
    <t>[0.011, 0.02, 0.018, 0.012]</t>
  </si>
  <si>
    <t>57.1519650452491</t>
  </si>
  <si>
    <t>[0.021, 0.023]</t>
  </si>
  <si>
    <t>LINESTRING (10.334023533035971 59.28784752432048, 10.333875874897323 59.2878200966448, 10.333766514532398 59.28776031426156)</t>
  </si>
  <si>
    <t>[453493, 453501]</t>
  </si>
  <si>
    <t>[452086, 452095]</t>
  </si>
  <si>
    <t>0.022009310937221593</t>
  </si>
  <si>
    <t>[452079, 452086]</t>
  </si>
  <si>
    <t>18.083211191259874</t>
  </si>
  <si>
    <t>[0.007, 0.086]</t>
  </si>
  <si>
    <t>LINESTRING (10.334023533035971 59.28784752432048, 10.33394812472553 59.28787474192899, 10.333602721554879 59.28802188627752)</t>
  </si>
  <si>
    <t>[968223, 968244]</t>
  </si>
  <si>
    <t>[931864, 880807]</t>
  </si>
  <si>
    <t>0.07254265847286978</t>
  </si>
  <si>
    <t>[452079, 931864]</t>
  </si>
  <si>
    <t>30.89128848625839</t>
  </si>
  <si>
    <t>19.227994900208664</t>
  </si>
  <si>
    <t>[-0.01, 0.076]</t>
  </si>
  <si>
    <t>LINESTRING (10.333766514532398 59.28776031426156, 10.33374331149033 59.287809382926355, 10.333602721554879 59.28802188627752)</t>
  </si>
  <si>
    <t>[968215, 968216]</t>
  </si>
  <si>
    <t>[931860, 880807]</t>
  </si>
  <si>
    <t>0.06020248629597859</t>
  </si>
  <si>
    <t>[452095, 931860]</t>
  </si>
  <si>
    <t>[0.01, 0.076]</t>
  </si>
  <si>
    <t>30.63044599114598</t>
  </si>
  <si>
    <t>[0.011, -0.006, -0.016]</t>
  </si>
  <si>
    <t>LINESTRING (10.331944683954964 59.28781011302441, 10.33218382930373 59.28779820353702, 10.333694591679441 59.28759767414008, 10.333771492162871 59.28759328444094)</t>
  </si>
  <si>
    <t>[976361, 976362, 976377]</t>
  </si>
  <si>
    <t>[938353, 938354, 452103]</t>
  </si>
  <si>
    <t>[938346, 938353, 938354]</t>
  </si>
  <si>
    <t>[0.011, 0.006, 0.016]</t>
  </si>
  <si>
    <t>107.63608415213405</t>
  </si>
  <si>
    <t>6.290068442206306</t>
  </si>
  <si>
    <t>[-0.009, -0.014]</t>
  </si>
  <si>
    <t>LINESTRING (10.332006069247965 59.28884720397113, 10.332134771292715 59.288889801305125, 10.332201953078929 59.28895203684607)</t>
  </si>
  <si>
    <t>[453605, 453613]</t>
  </si>
  <si>
    <t>[452191, 452137]</t>
  </si>
  <si>
    <t>[452183, 452191]</t>
  </si>
  <si>
    <t>16.664113450518013</t>
  </si>
  <si>
    <t>[-0.013, -0.011]</t>
  </si>
  <si>
    <t>LINESTRING (10.332459377339829 59.28872636207376, 10.332245737549018 59.288905596401186, 10.332201953078929 59.28895203684607)</t>
  </si>
  <si>
    <t>[454138, 454144]</t>
  </si>
  <si>
    <t>[452615, 452137]</t>
  </si>
  <si>
    <t>[452606, 452615]</t>
  </si>
  <si>
    <t>[0.013, 0.011]</t>
  </si>
  <si>
    <t>29.453966753815763</t>
  </si>
  <si>
    <t>20.902917673894144</t>
  </si>
  <si>
    <t>[-0.016, 0.002, -0.003]</t>
  </si>
  <si>
    <t>LINESTRING (10.332209346276843 59.289008347410395, 10.332241283611225 59.28905670679482, 10.328270833898628 59.287440102583936, 10.327657826643579 59.287286628564146)</t>
  </si>
  <si>
    <t>[968631, 968642, 968623]</t>
  </si>
  <si>
    <t>[932121, 932115, 932076]</t>
  </si>
  <si>
    <t>0.0013638398032558266</t>
  </si>
  <si>
    <t>[452138, 932121, 932115]</t>
  </si>
  <si>
    <t>[0.016, 0.002, 0.003]</t>
  </si>
  <si>
    <t>466.836040123197</t>
  </si>
  <si>
    <t>[0.006, 0.009, 0.013, 0.01, 0.008, -0.001]</t>
  </si>
  <si>
    <t>LINESTRING (10.331972333031983 59.28913713697209, 10.331838139614595 59.289133783377665, 10.331696816378525 59.289087836192344, 10.331626810741156 59.288993784148644, 10.331634303595768 59.28895622218425, 10.331824185389811 59.288848550615285, 10.332006069247965 59.28884720397113)</t>
  </si>
  <si>
    <t>[453557, 453565, 453573, 453581, 453589, 453597]</t>
  </si>
  <si>
    <t>[452151, 452158, 452164, 452171, 452177, 452183]</t>
  </si>
  <si>
    <t>0.007420041042918133</t>
  </si>
  <si>
    <t>[452142, 452151, 452158, 452164, 452171, 452177]</t>
  </si>
  <si>
    <t>[0.006, 0.009, 0.013, 0.01, 0.008, 0.001]</t>
  </si>
  <si>
    <t>59.699353942072385</t>
  </si>
  <si>
    <t>[0.001, 0.011, 0.007]</t>
  </si>
  <si>
    <t>LINESTRING (10.338632998116031 59.28986634263498, 10.338070040865434 59.28973202932275, 10.332090124561804 59.28914650336028, 10.331972333031983 59.28913713697209)</t>
  </si>
  <si>
    <t>[968278, 968289, 968297]</t>
  </si>
  <si>
    <t>[931890, 931896, 452142]</t>
  </si>
  <si>
    <t>0.010079570758390248</t>
  </si>
  <si>
    <t>[931889, 931890, 931896]</t>
  </si>
  <si>
    <t>414.33372324487993</t>
  </si>
  <si>
    <t>LINESTRING (10.284254590127947 60.18894368287182, 10.28428866906638 60.18946647611701, 10.28421510441508 60.189615734237485)</t>
  </si>
  <si>
    <t>[1100180, 1100188]</t>
  </si>
  <si>
    <t>[1042300, 452152]</t>
  </si>
  <si>
    <t>0.015543135919174125</t>
  </si>
  <si>
    <t>[452144, 1042300]</t>
  </si>
  <si>
    <t>76.49569129719552</t>
  </si>
  <si>
    <t>LINESTRING (10.284254590127947 60.18894368287182, 10.284185690832185 60.189462230096304, 10.28421510441508 60.189615734237485)</t>
  </si>
  <si>
    <t>[1100196, 1100204]</t>
  </si>
  <si>
    <t>[1042311, 452152]</t>
  </si>
  <si>
    <t>0.01537026212161909</t>
  </si>
  <si>
    <t>[452144, 1042311]</t>
  </si>
  <si>
    <t>75.85194611503928</t>
  </si>
  <si>
    <t>[0.022, 0.017, 0.009, 0.005, 0.001, -0.032, -0.013, 0.031, 0.021, 0.059, 0.087, -0.006, 0.06, 0.089, 0.077, 0.033, 0.011, 0.001, -0.075, -0.033, 0.071, 0.098, 0.115, 0.009, 0.013, 0.033, 0.028, -0.001, -0.003, -0.004, -0.037, -0.037, -0.035, -0.037, -0.034]</t>
  </si>
  <si>
    <t>9591.0</t>
  </si>
  <si>
    <t>LINESTRING (10.28421510441508 60.189615734237485, 10.284204524708949 60.189667974628925, 10.284192083591762 60.189720598397095, 10.2823918164233 60.19419969749555, 10.282122015187007 60.19465134053688, 10.28208871303801 60.19475212326519, 10.282566022496654 60.19634936640729, 10.283617022438062 60.197604533649816, 10.284290807266157 60.19841956197404, 10.284340896107397 60.19848699728052, 10.28448689072722 60.20049114974743, 10.286664314816866 60.201366127499405, 10.291944522478259 60.20307665478452, 10.294549487265044 60.20442231151671, 10.294899713662135 60.20457242138876, 10.307953658513837 60.204922866382425, 10.30994024693161 60.20517387357927, 10.310268624179551 60.2052305167219, 10.311380244794666 60.205419879412695, 10.315094926764683 60.206279986462015, 10.316135789600848 60.20666576433284, 10.316221547575225 60.20670074654905, 10.316306466074197 60.20673224521802, 10.318280722908462 60.20746179009991, 10.321439801135238 60.2086624082479, 10.323294476656407 60.20936621289984, 10.325672744049184 60.21026848920404, 10.32985649370161 60.21184434863717, 10.336416435352763 60.21544683530416, 10.337900305741934 60.21642571442244, 10.341849836006407 60.21903907421019, 10.342015307313526 60.219150342185046, 10.342178915535127 60.21925895409503, 10.342302411141063 60.21934300395311, 10.3425301310873 60.21949623275165, 10.344592662913332 60.22043985316448)</t>
  </si>
  <si>
    <t>[453561, 453569, 453577, 453585, 453593, 453601, 453609, 453617, 453625, 453633, 453641, 453649, 453657, 453665, 453673, 453681, 453689, 453697, 453705, 453713, 453721, 453729, 453737, 453746, 453754, 453762, 453770, 453778, 453786, 453794, 453802, 453810, 453818, 1851949, 1851950]</t>
  </si>
  <si>
    <t>[452153, 452162, 452167, 452174, 452179, 452187, 452194, 452201, 452209, 452219, 452227, 452237, 452242, 452249, 452258, 452264, 452274, 452283, 452292, 452301, 452310, 452319, 452327, 452334, 452342, 452351, 452357, 452366, 452373, 452382, 452390, 452399, 452408, 1621562, 1620935]</t>
  </si>
  <si>
    <t>0.019601095917039835</t>
  </si>
  <si>
    <t>[452152, 452153, 452162, 452167, 452174, 452179, 452187, 452194, 452201, 452209, 452219, 452227, 452237, 452242, 452249, 452258, 452264, 452274, 452283, 452292, 452301, 452310, 452319, 452327, 452334, 452342, 452351, 452357, 452366, 452373, 452382, 452390, 452399, 452408, 1621562]</t>
  </si>
  <si>
    <t>[0.022, 0.017, 0.009, 0.005, 0.001, 0.032, 0.013, 0.031, 0.021, 0.059, 0.087, 0.006, 0.06, 0.089, 0.077, 0.033, 0.011, 0.001, 0.075, 0.033, 0.071, 0.098, 0.115, 0.009, 0.013, 0.033, 0.028, 0.001, 0.003, 0.004, 0.037, 0.037, 0.035, 0.037, 0.034]</t>
  </si>
  <si>
    <t>5485.24442953543</t>
  </si>
  <si>
    <t>[-0.007, -0.004]</t>
  </si>
  <si>
    <t>LINESTRING (10.332459377339829 59.28872636207376, 10.332101716429671 59.28882857552072, 10.332006069247965 59.28884720397113)</t>
  </si>
  <si>
    <t>[454119, 454135]</t>
  </si>
  <si>
    <t>[452607, 452183]</t>
  </si>
  <si>
    <t>[452606, 452607]</t>
  </si>
  <si>
    <t>29.645401200212838</t>
  </si>
  <si>
    <t>[-0.022, -0.033, -0.009, 0.004, 0.007]</t>
  </si>
  <si>
    <t>LINESTRING (10.352498042711055 59.296854420706374, 10.348714245261798 59.29413071128708, 10.348103333458068 59.29376643097066, 10.344688973448028 59.29206971111471, 10.344015745934156 59.29178515343531, 10.342140961998071 59.29105209475102)</t>
  </si>
  <si>
    <t>[453653, 453661, 968549, 968550, 968551]</t>
  </si>
  <si>
    <t>[452240, 452245, 932067, 932068, 452563]</t>
  </si>
  <si>
    <t>[452232, 452240, 452245, 932067, 932068]</t>
  </si>
  <si>
    <t>[0.022, 0.033, 0.009, 0.004, 0.007]</t>
  </si>
  <si>
    <t>882.1133791392685</t>
  </si>
  <si>
    <t>[-0.003, -0.022, -0.007, -0.006, -0.008]</t>
  </si>
  <si>
    <t>LINESTRING (10.363594661394938 59.3088223131066, 10.36248461536659 59.307591478115306, 10.358406449552309 59.302572225036286, 10.358177294593553 59.30231086057428, 10.353480459390466 59.29767798154555, 10.352498042711055 59.296854420706374)</t>
  </si>
  <si>
    <t>[841032, 453621, 453629, 453637, 453645]</t>
  </si>
  <si>
    <t>[452203, 452204, 452214, 452223, 452232]</t>
  </si>
  <si>
    <t>[816210, 452203, 452204, 452214, 452223]</t>
  </si>
  <si>
    <t>[0.003, 0.022, 0.007, 0.006, 0.008]</t>
  </si>
  <si>
    <t>1478.2322159951962</t>
  </si>
  <si>
    <t>[-0.007, -0.025, -0.033, -0.008]</t>
  </si>
  <si>
    <t>LINESTRING (10.353716137806982 59.297617094355104, 10.352728321885756 59.29678862029459, 10.348902238638999 59.29403408290439, 10.348335436747607 59.29369761881251, 10.344751799103124 59.291921042971914)</t>
  </si>
  <si>
    <t>[453693, 453701, 453709, 968576]</t>
  </si>
  <si>
    <t>[452278, 452287, 452296, 452556]</t>
  </si>
  <si>
    <t>[452268, 452278, 452287, 452296]</t>
  </si>
  <si>
    <t>[0.007, 0.025, 0.033, 0.008]</t>
  </si>
  <si>
    <t>819.2980473058199</t>
  </si>
  <si>
    <t>[0.0, 0.007, 0.008, -0.022, -0.008, -0.007]</t>
  </si>
  <si>
    <t>23893.0</t>
  </si>
  <si>
    <t>LINESTRING (10.3642902112048 59.30922343635936, 10.364287808628777 59.3092209312238, 10.363852613180867 59.30876337866269, 10.362744091998554 59.307537430396266, 10.358640483333454 59.30250759092262, 10.358425887646048 59.3022606700087, 10.353716137806982 59.297617094355104)</t>
  </si>
  <si>
    <t>[841136, 841144, 841152, 453669, 453677, 453685]</t>
  </si>
  <si>
    <t>[817327, 817338, 452253, 452254, 452261, 452268]</t>
  </si>
  <si>
    <t>[816167, 817327, 817338, 452253, 452254, 452261]</t>
  </si>
  <si>
    <t>[0.0, 0.007, 0.008, 0.022, 0.008, 0.007]</t>
  </si>
  <si>
    <t>1428.4435554326578</t>
  </si>
  <si>
    <t>[0.004, 0.007, 0.003]</t>
  </si>
  <si>
    <t>LINESTRING (10.344751799103124 59.291921042971914, 10.344198707789356 59.29168752411783, 10.34230683253467 59.29094729859956, 10.339322562763401 59.28992366717006)</t>
  </si>
  <si>
    <t>[968584, 968591, 968599]</t>
  </si>
  <si>
    <t>[932089, 932095, 931902]</t>
  </si>
  <si>
    <t>0.004530688685924135</t>
  </si>
  <si>
    <t>[452556, 932089, 932095]</t>
  </si>
  <si>
    <t>381.5804112584792</t>
  </si>
  <si>
    <t>LINESTRING (10.342140961998071 59.29105209475102, 10.339181268078365 59.29003743594293, 10.338632998116031 59.28986634263498)</t>
  </si>
  <si>
    <t>[968553, 968560]</t>
  </si>
  <si>
    <t>[932069, 931889]</t>
  </si>
  <si>
    <t>0.0005418772308883388</t>
  </si>
  <si>
    <t>[452563, 932069]</t>
  </si>
  <si>
    <t>239.79101845070687</t>
  </si>
  <si>
    <t>[-0.025, -0.007, -0.106]</t>
  </si>
  <si>
    <t>LINESTRING (10.333602721554879 59.28802188627752, 10.333507457437435 59.288092985692245, 10.332675047184061 59.28861176321181, 10.332459377339829 59.28872636207376)</t>
  </si>
  <si>
    <t>[906537, 906538, 906547]</t>
  </si>
  <si>
    <t>[880808, 880809, 452606]</t>
  </si>
  <si>
    <t>[880807, 880808, 880809]</t>
  </si>
  <si>
    <t>[0.025, 0.007, 0.106]</t>
  </si>
  <si>
    <t>102.16664284003632</t>
  </si>
  <si>
    <t>99.4366481569379</t>
  </si>
  <si>
    <t>[0.04, -0.025]</t>
  </si>
  <si>
    <t>LINESTRING (10.731050946611482 63.42346742672113, 10.730949946367115 63.42350018513871, 10.729699181947952 63.423998380042384)</t>
  </si>
  <si>
    <t>[454331, 454367]</t>
  </si>
  <si>
    <t>[452759, 452787]</t>
  </si>
  <si>
    <t>[452758, 452759]</t>
  </si>
  <si>
    <t>[0.04, 0.025]</t>
  </si>
  <si>
    <t>90.14499073328508</t>
  </si>
  <si>
    <t>[-0.05, -0.016]</t>
  </si>
  <si>
    <t>LINESTRING (10.73348281752647 63.42159717294242, 10.733399765362538 63.421719665301126, 10.731050946611482 63.42346742672113)</t>
  </si>
  <si>
    <t>[454430, 454438]</t>
  </si>
  <si>
    <t>[452840, 452758]</t>
  </si>
  <si>
    <t>[452839, 452840]</t>
  </si>
  <si>
    <t>[0.05, 0.016]</t>
  </si>
  <si>
    <t>242.83898263430189</t>
  </si>
  <si>
    <t>[-0.06, -0.042]</t>
  </si>
  <si>
    <t>LINESTRING (10.729699181947952 63.423998380042384, 10.726493331324253 63.42480518730856, 10.72639253882147 63.42482572286798)</t>
  </si>
  <si>
    <t>[454375, 454380]</t>
  </si>
  <si>
    <t>[452794, 452798]</t>
  </si>
  <si>
    <t>[452787, 452794]</t>
  </si>
  <si>
    <t>[0.06, 0.042]</t>
  </si>
  <si>
    <t>189.91734473518045</t>
  </si>
  <si>
    <t>[0.126, 0.113, 0.043]</t>
  </si>
  <si>
    <t>LINESTRING (10.729620762043394 63.42420675338766, 10.729673441928899 63.424189900440254, 10.729731474923124 63.42401732560448, 10.729699181947952 63.423998380042384)</t>
  </si>
  <si>
    <t>[454478, 454486, 454494]</t>
  </si>
  <si>
    <t>[452884, 452890, 452787]</t>
  </si>
  <si>
    <t>0.10810464061767734</t>
  </si>
  <si>
    <t>[452816, 452884, 452890]</t>
  </si>
  <si>
    <t>29.415231091617883</t>
  </si>
  <si>
    <t>[-0.077, -0.01, 0.362]</t>
  </si>
  <si>
    <t>LINESTRING (10.72639253882147 63.42482572286798, 10.721996514146042 63.42524376706767, 10.7219338225226 63.42523516383947, 10.721922771050984 63.425233645972085)</t>
  </si>
  <si>
    <t>[454551, 990837, 990838]</t>
  </si>
  <si>
    <t>[452945, 949650, 624215]</t>
  </si>
  <si>
    <t>[452798, 452945, 949650]</t>
  </si>
  <si>
    <t>[0.077, 0.01, 0.362]</t>
  </si>
  <si>
    <t>228.36029123726004</t>
  </si>
  <si>
    <t>[-0.05, 0.179, 0.057]</t>
  </si>
  <si>
    <t>LINESTRING (10.730776049353787 63.4245512771656, 10.72775369222035 63.42506675972302, 10.72741448753519 63.42484516817292, 10.72639253882147 63.42482572286798)</t>
  </si>
  <si>
    <t>[454526, 454534, 454542]</t>
  </si>
  <si>
    <t>[452920, 452928, 452798]</t>
  </si>
  <si>
    <t>[452874, 452920, 452928]</t>
  </si>
  <si>
    <t>[0.05, 0.179, 0.057]</t>
  </si>
  <si>
    <t>280.90084246483394</t>
  </si>
  <si>
    <t>[-0.048, -0.086]</t>
  </si>
  <si>
    <t>LINESTRING (10.729620762043394 63.42420675338766, 10.730410750320615 63.42432288954806, 10.730640233164403 63.424384051454766)</t>
  </si>
  <si>
    <t>[454401, 454406]</t>
  </si>
  <si>
    <t>[452817, 452822]</t>
  </si>
  <si>
    <t>[452816, 452817]</t>
  </si>
  <si>
    <t>[0.048, 0.086]</t>
  </si>
  <si>
    <t>54.97017985516732</t>
  </si>
  <si>
    <t>[-0.054, -0.046, -0.03, -0.145, -0.233, 0.038, 0.11]</t>
  </si>
  <si>
    <t>LINESTRING (10.729143284011853 63.42297907774232, 10.72911180027957 63.42302672525357, 10.727969129532962 63.42400028107387, 10.727946522474436 63.42401731427578, 10.72847119737718 63.4244242499037, 10.728487152797006 63.42442612077675, 10.72921012005377 63.42434990023045, 10.729620762043394 63.42420675338766)</t>
  </si>
  <si>
    <t>[642602, 642610, 642618, 454388, 454390, 454391, 454400]</t>
  </si>
  <si>
    <t>[636386, 636393, 452805, 452806, 452807, 452808, 452816]</t>
  </si>
  <si>
    <t>[71007, 636386, 636393, 452805, 452806, 452807, 452808]</t>
  </si>
  <si>
    <t>[0.054, 0.046, 0.03, 0.145, 0.233, 0.038, 0.11]</t>
  </si>
  <si>
    <t>264.13915760321134</t>
  </si>
  <si>
    <t>[-0.171, -0.159]</t>
  </si>
  <si>
    <t>LINESTRING (10.730640233164403 63.424384051454766, 10.730760451548651 63.42449570362385, 10.730776049353787 63.4245512771656)</t>
  </si>
  <si>
    <t>[454462, 454470]</t>
  </si>
  <si>
    <t>[452867, 452874]</t>
  </si>
  <si>
    <t>[452822, 452867]</t>
  </si>
  <si>
    <t>[0.171, 0.159]</t>
  </si>
  <si>
    <t>20.064451996797334</t>
  </si>
  <si>
    <t>[0.057, 0.007]</t>
  </si>
  <si>
    <t>LINESTRING (10.730640233164403 63.424384051454766, 10.730783273897282 63.424363032583855, 10.730939195701659 63.424345257549476)</t>
  </si>
  <si>
    <t>[454502, 454510]</t>
  </si>
  <si>
    <t>[452904, 452846]</t>
  </si>
  <si>
    <t>0.03116899235524412</t>
  </si>
  <si>
    <t>[452822, 452904]</t>
  </si>
  <si>
    <t>15.553956798630836</t>
  </si>
  <si>
    <t>9.484273298289594</t>
  </si>
  <si>
    <t>13.828561891974863</t>
  </si>
  <si>
    <t>[-0.158, -0.202, -0.15]</t>
  </si>
  <si>
    <t>LINESTRING (10.730939195701659 63.424345257549476, 10.730836278977867 63.42448766927563, 10.730829816184883 63.42449616006203, 10.730776049353787 63.4245512771656)</t>
  </si>
  <si>
    <t>[454446, 454454, 454518]</t>
  </si>
  <si>
    <t>[452853, 452860, 452874]</t>
  </si>
  <si>
    <t>[452846, 452853, 452860]</t>
  </si>
  <si>
    <t>[0.158, 0.202, 0.15]</t>
  </si>
  <si>
    <t>24.394177799975598</t>
  </si>
  <si>
    <t>[-0.001, 0.006, 0.041]</t>
  </si>
  <si>
    <t>LINESTRING (10.729143284011853 63.42297907774232, 10.733269157201926 63.42163197694357, 10.733590276827105 63.42153768183082, 10.73360769532136 63.42153308734326)</t>
  </si>
  <si>
    <t>[454589, 454597, 454605]</t>
  </si>
  <si>
    <t>[452974, 452980, 452992]</t>
  </si>
  <si>
    <t>[71007, 452974, 452980]</t>
  </si>
  <si>
    <t>[0.001, 0.006, 0.041]</t>
  </si>
  <si>
    <t>308.1871413863077</t>
  </si>
  <si>
    <t>[0.073, 0.069, 0.042, 0.025]</t>
  </si>
  <si>
    <t>LINESTRING (10.727799047651363 63.42430246026578, 10.72795183696229 63.424229271797614, 10.728599362876514 63.42401689431254, 10.72915925237484 63.42298449090244, 10.729143284011853 63.42297907774232)</t>
  </si>
  <si>
    <t>[454613, 454559, 454573, 454581]</t>
  </si>
  <si>
    <t>[452951, 452952, 452961, 71007]</t>
  </si>
  <si>
    <t>0.04839666988666136</t>
  </si>
  <si>
    <t>[453001, 452951, 452952, 452961]</t>
  </si>
  <si>
    <t>220.66281780047126</t>
  </si>
  <si>
    <t>[0.008, -0.002, 0.078, 0.077]</t>
  </si>
  <si>
    <t>LINESTRING (10.73360769532136 63.42153308734326, 10.737039834993494 63.42031829630255, 10.743300724256347 63.4200301893861, 10.743730863844112 63.42005200686412, 10.743991744497166 63.420065180122585)</t>
  </si>
  <si>
    <t>[571294, 571295, 571296, 571303]</t>
  </si>
  <si>
    <t>[579123, 579124, 579125, 579130]</t>
  </si>
  <si>
    <t>0.006665446057181765</t>
  </si>
  <si>
    <t>[452992, 579123, 579124, 579125]</t>
  </si>
  <si>
    <t>[0.008, 0.002, 0.078, 0.077]</t>
  </si>
  <si>
    <t>573.6857093221803</t>
  </si>
  <si>
    <t>[0.002, 0.037, 0.005, 0.096, 0.102, 0.021, 0.027]</t>
  </si>
  <si>
    <t>LINESTRING (10.727799047651363 63.42430246026578, 10.727898380634997 63.424276486245205, 10.728162031540261 63.42420497037607, 10.728180690018172 63.42419974836389, 10.72832539576404 63.42415855483857, 10.728425796988027 63.42412904351209, 10.733149376176929 63.42175856728461, 10.733319423010851 63.42169730649908)</t>
  </si>
  <si>
    <t>[625125, 625133, 625141, 625149, 625157, 625165, 625173]</t>
  </si>
  <si>
    <t>[621983, 621992, 621998, 622004, 622013, 622018, 579112]</t>
  </si>
  <si>
    <t>0.024246919683781155</t>
  </si>
  <si>
    <t>[453001, 621983, 621992, 621998, 622004, 622013, 622018]</t>
  </si>
  <si>
    <t>404.99445866252444</t>
  </si>
  <si>
    <t>[0.015, -0.01, -0.061, 0.032, 0.016, 0.018, 0.057, 0.061, 0.091, 0.027, 0.134, 0.019, 0.156]</t>
  </si>
  <si>
    <t>LINESTRING (10.68580865774381 63.4257440467393, 10.686105756235554 63.42574218388482, 10.692061162295843 63.42569950291615, 10.692385372806443 63.425696161781296, 10.698388970773786 63.42589579105655, 10.716875049810147 63.42602491168812, 10.721219467387312 63.42524764421059, 10.721566569681533 63.425207957121906, 10.72188527085036 63.42517031272754, 10.726313572485076 63.42462584465879, 10.72727627102419 63.42442870702372, 10.727295554284327 63.42442400724837, 10.727784687575909 63.424305905054545, 10.727799047651363 63.42430246026578)</t>
  </si>
  <si>
    <t>[990585, 990593, 990601, 990609, 990617, 990624, 990625, 990632, 625085, 625093, 625101, 625109, 625117]</t>
  </si>
  <si>
    <t>[949436, 949442, 949450, 949458, 949465, 949468, 949469, 621944, 621945, 621952, 621960, 621967, 453001]</t>
  </si>
  <si>
    <t>0.023197741863701063</t>
  </si>
  <si>
    <t>[949431, 949436, 949442, 949450, 949458, 949465, 949468, 949469, 621944, 621945, 621952, 621960, 621967]</t>
  </si>
  <si>
    <t>[0.015, 0.01, 0.061, 0.032, 0.016, 0.018, 0.057, 0.061, 0.091, 0.027, 0.134, 0.019, 0.156]</t>
  </si>
  <si>
    <t>2208.974473863154</t>
  </si>
  <si>
    <t>[-0.103, -0.11, -0.117, -0.112]</t>
  </si>
  <si>
    <t>LINESTRING (6.119906781992918 59.72738976620997, 6.120085881384439 59.72629437349691, 6.120079684716696 59.72625014786306, 6.120066337904561 59.72619746747921, 6.119709319438262 59.72528487627621)</t>
  </si>
  <si>
    <t>[457950, 457958, 457966, 457974]</t>
  </si>
  <si>
    <t>[456434, 456442, 456452, 456045]</t>
  </si>
  <si>
    <t>[456037, 456434, 456442, 456452]</t>
  </si>
  <si>
    <t>[0.103, 0.11, 0.117, 0.112]</t>
  </si>
  <si>
    <t>239.5782720978225</t>
  </si>
  <si>
    <t>[-0.099, -0.12]</t>
  </si>
  <si>
    <t>LINESTRING (6.119906781992918 59.72738976620997, 6.119926320482799 59.72625486478285, 6.119709319438262 59.72528487627621)</t>
  </si>
  <si>
    <t>[457982, 457990]</t>
  </si>
  <si>
    <t>[456468, 456045]</t>
  </si>
  <si>
    <t>[456037, 456468]</t>
  </si>
  <si>
    <t>[0.099, 0.12]</t>
  </si>
  <si>
    <t>237.4887114272707</t>
  </si>
  <si>
    <t>[-18.453, 0.151, 0.065, 0.009, -0.011, -0.076, -0.241, -0.189, -0.095, 0.078, 0.033, -0.225, -0.204, -0.084, -0.106, -0.044, 0.033, 0.001, 0.006, 0.033, 0.012, -0.062, -0.002, -0.07, 0.099, 0.169, 0.141, -0.128, 0.0, 0.305, -0.002, -0.228, -0.224, -0.177, -0.038, 0.092, -0.004, -0.067, 0.046, 0.104, 0.117, 0.0, -0.017, -0.064, -0.118, 0.008, 0.12, 0.016, -0.133, -0.141, 0.149, 0.178, 0.183, -0.024, 0.089, 0.108, 0.129, -0.231, -0.26, -0.136, -0.008, 0.148, 0.136, 0.099, 0.059, 0.039, -0.047, 0.002, -0.002, 0.007, 0.067, 0.027, 0.116, 0.082, 0.047, 0.057, 0.053]</t>
  </si>
  <si>
    <t>[0, 1, 0, 1, 0, 1, 0, 0, 0, 0, 0, 0, 0, 0, 1, 0, 0, 0, 0, 0, 0, 0, 0, 0, 0, 1, 0, 0, 0, 0, 0, 0, 0, 0, 0, 0, 0, 0, 0, 0, 1, 0, 0, 0, 0, 0, 0, 0, 0, 1, 0, 0, 1, 0, 0, 0, 0, 0, 0, 0, 0, 0, 1, 0, 0, 0, 0, 1, 0, 0, 0, 0, 0, 0, 0, 1, 0]</t>
  </si>
  <si>
    <t>LINESTRING (6.340764719795873 59.84639931822561, 6.340633964063621 59.84635173945782, 6.340474756951101 59.84630307901255, 6.339892177582313 59.84617136393678, 6.339663738656542 59.846130757948615, 6.339467243422383 59.84610319605261, 6.339246615245221 59.84607800812692, 6.335091494017467 59.84556932893849, 6.334877477458823 59.845487459115404, 6.334331566722578 59.845223188357686, 6.334304221631875 59.84520931851593, 6.324917684463309 59.84147651933677, 6.3246018118896465 59.84144246163766, 6.3241622485037565 59.841368120689985, 6.320983951304653 59.840103285903155, 6.320911275385962 59.84007317101588, 6.31962999242606 59.83957229355301, 6.314864427682596 59.838612720615664, 6.314565826354602 59.83858149189729, 6.3143961875648165 59.83856443495016, 6.313600802604809 59.83848634247223, 6.305697663956054 59.83668283505173, 6.29991613029946 59.83698959315624, 6.2868055645332594 59.83459602196083, 6.286155059700357 59.83434752505194, 6.2856658037693975 59.834148346019894, 6.285506905717061 59.834085362840895, 6.276156484585282 59.83157957194432, 6.27599034800068 59.831562542826425, 6.275777549930892 59.83153875734781, 6.275559874085618 59.831501757380664, 6.261964003645041 59.830565253173745, 6.26122349771321 59.83060926791338, 6.260398032147351 59.83065037600816, 6.259212988957126 59.83068329612894, 6.2581384059484995 59.83065500915548, 6.257992220714919 59.830644945700755, 6.251218254617581 59.82962818179375, 6.247542925595965 59.82838797164746, 6.246568455021215 59.827870990031805, 6.2462258867202 59.82765027273339, 6.246046441502989 59.827527972660235, 6.220711482327317 59.81080770577815, 6.2206984236001 59.8107519015792, 6.219650969595104 59.80893766424329, 6.218810796880399 59.808139865686925, 6.217997508052308 59.80658125965705, 6.217953610716157 59.80651688613808, 6.216099732750383 59.80462993048857, 6.215662111181406 59.804265379393385, 6.215478395719013 59.804126562491575, 6.215032781908682 59.803805729990394, 6.213733522318316 59.80305739077666, 6.213534924777494 59.80296041894093, 6.208212386668311 59.80122914347198, 6.207752985032268 59.80108249385259, 6.207633642052823 59.80104312138397, 6.153417893744327 59.76633377824934, 6.124331001671004 59.751582225451195, 6.124271629845485 59.75153290801178, 6.123345676671425 59.7501185694612, 6.120684841428292 59.73844675245564, 6.1207979003575215 59.73833241118498, 6.1209327374823435 59.73820889378954, 6.122506624698464 59.737435328076835, 6.122576768193799 59.73741390814581, 6.125358513300713 59.734077847340885, 6.124535452619885 59.733384674794266, 6.12429365547521 59.73325167773749, 6.123857348317548 59.73304310308522, 6.122599477913104 59.73251329463209, 6.122520420239056 59.73247483830775, 6.12241205498385 59.732429155312275, 6.121108560298579 59.73181341272587, 6.120577061948162 59.731445674392994, 6.1190489686514 59.72904198731734, 6.119096485735161 59.728938693164984, 6.119906781992918 59.72738976620997)</t>
  </si>
  <si>
    <t>[2067819, 2067827, 2067835, 2067843, 2067851, 2067859, 2067867, 2067875, 2067883, 2067891, 2067899, 2067907, 2067915, 2067924, 2067932, 2067940, 2067948, 2067956, 2067964, 2067972, 2067980, 2067988, 2067996, 2068004, 2068012, 2068020, 2068028, 2068036, 2068044, 2068052, 2068060, 2068068, 2068076, 2068084, 2068092, 2068100, 2068108, 2068116, 2068124, 2068132, 2068140, 2068148, 2068156, 2068164, 2068172, 2068180, 2068188, 2068196, 2068204, 2068212, 2068220, 2068228, 2068236, 2068244, 2068252, 2068260, 2008632, 2008640, 2008648, 2008656, 2008664, 2008672, 2008680, 2008688, 2008696, 2008704, 2008712, 2008720, 2008728, 2008736, 2008744, 2008752, 2008760, 2068268, 457551, 457559, 457567]</t>
  </si>
  <si>
    <t>[1796023, 1796029, 1796033, 1796038, 1796045, 1796051, 1796056, 1634287, 1796067, 1796075, 1796083, 1796090, 1631529, 1796101, 1796107, 1796114, 1796118, 1282214, 1796131, 1282189, 332759, 1282178, 332794, 332778, 1796161, 1796167, 1796174, 1796178, 1627182, 1796188, 1796194, 1796200, 1796205, 1796213, 1698576, 332807, 1796225, 1659592, 1796233, 1796238, 1796241, 1796245, 1796249, 1796254, 1796258, 1282158, 1659715, 1796268, 1796275, 1796279, 1796284, 1796290, 1796294, 1796298, 1796304, 1758138, 1758139, 1758144, 1758150, 1628791, 1758159, 1758165, 1758170, 1758177, 1758181, 1758185, 1758190, 1758193, 1758196, 1758202, 1758209, 1758214, 1758220, 456017, 456018, 456029, 456037]</t>
  </si>
  <si>
    <t>[1178154, 1796023, 1796029, 1796033, 1796038, 1796045, 1796051, 1796056, 1634287, 1796067, 1796075, 1796083, 1796090, 1631529, 1796101, 1796107, 1796114, 1796118, 1282214, 1796131, 1282189, 332759, 1282178, 332794, 332778, 1796161, 1796167, 1796174, 1796178, 1627182, 1796188, 1796194, 1796200, 1796205, 1796213, 1698576, 332807, 1796225, 1659592, 1796233, 1796238, 1796241, 1796245, 1796249, 1796254, 1796258, 1282158, 1659715, 1796268, 1796275, 1796279, 1796284, 1796290, 1796294, 1796298, 1796304, 1758138, 1758139, 1758144, 1758150, 1628791, 1758159, 1758165, 1758170, 1758177, 1758181, 1758185, 1758190, 1758193, 1758196, 1758202, 1758209, 1758214, 1758220, 456017, 456018, 456029]</t>
  </si>
  <si>
    <t>[18.453, 0.151, 0.065, 0.009, 0.011, 0.076, 0.241, 0.189, 0.095, 0.078, 0.033, 0.225, 0.204, 0.084, 0.106, 0.044, 0.033, 0.001, 0.006, 0.033, 0.012, 0.062, 0.002, 0.07, 0.099, 0.169, 0.141, 0.128, 0.0, 0.305, 0.002, 0.228, 0.224, 0.177, 0.038, 0.092, 0.004, 0.067, 0.046, 0.104, 0.117, 0.0, 0.017, 0.064, 0.118, 0.008, 0.12, 0.016, 0.133, 0.141, 0.149, 0.178, 0.183, 0.024, 0.089, 0.108, 0.129, 0.231, 0.26, 0.136, 0.008, 0.148, 0.136, 0.099, 0.059, 0.039, 0.047, 0.002, 0.002, 0.007, 0.067, 0.027, 0.116, 0.082, 0.047, 0.057, 0.053]</t>
  </si>
  <si>
    <t>20190.91500541866</t>
  </si>
  <si>
    <t>[-0.097, -0.005, 0.123, -0.034, -0.134, -0.083, 0.014]</t>
  </si>
  <si>
    <t>LINESTRING (6.119709319438262 59.72528487627621, 6.119412640168613 59.72477640756649, 6.119201658257837 59.724491494395785, 6.114855839323726 59.72188038233572, 6.099142172043596 59.71569946201712, 6.0986321575775 59.715533105005996, 6.094052646605343 59.71320492119876, 6.094023421380236 59.71316682433256)</t>
  </si>
  <si>
    <t>[457575, 457583, 457591, 457862, 457870, 457878, 457886]</t>
  </si>
  <si>
    <t>[456046, 456054, 456063, 456337, 456344, 456354, 456366]</t>
  </si>
  <si>
    <t>[456045, 456046, 456054, 456063, 456337, 456344, 456354]</t>
  </si>
  <si>
    <t>[0.097, 0.005, 0.123, 0.034, 0.134, 0.083, 0.014]</t>
  </si>
  <si>
    <t>2027.0163194432707</t>
  </si>
  <si>
    <t>[0.0, 0.02, -0.082, -0.004, -0.04, 0.016, 0.066, 0.013, -0.088, -0.091, -0.179, 0.017, 0.029, 0.198, -1.103]</t>
  </si>
  <si>
    <t>LINESTRING (6.119916674083049 59.724471990123895, 6.119916674083049 59.724471990123895, 6.115399793682067 59.7206100204161, 6.115043179728317 59.71941498482503, 6.114803060405857 59.719056059342705, 6.112512069175283 59.71736538141419, 6.112429156685554 59.717341848421746, 6.11167402995293 59.7171294317229, 6.10569363484479 59.716331989282075, 6.105190858541931 59.716152206114565, 6.104280452030412 59.71539084405387, 6.1038637983921555 59.71472913500933, 6.09731060763548 59.71449993715532, 6.096178971608062 59.71427101709727, 6.095452619682304 59.713879626778024, 6.0952881228202145 59.713764043458895)</t>
  </si>
  <si>
    <t>[457639, 457647, 2068276, 2068284, 2068292, 2068300, 2068308, 2068316, 2068324, 2068332, 2068340, 2068348, 2068356, 458102, 458110]</t>
  </si>
  <si>
    <t>[456113, 456118, 785801, 1768813, 1796333, 1796339, 1796345, 1764662, 1796354, 1622717, 1630929, 1768756, 456588, 456589, 456125]</t>
  </si>
  <si>
    <t>[456094, 456113, 456118, 785801, 1768813, 1796333, 1796339, 1796345, 1764662, 1796354, 1622717, 1630929, 1768756, 456588, 456589]</t>
  </si>
  <si>
    <t>[0.0, 0.02, 0.082, 0.004, 0.04, 0.016, 0.066, 0.013, 0.088, 0.091, 0.179, 0.017, 0.029, 0.198, 1.103]</t>
  </si>
  <si>
    <t>2127.0710171977234</t>
  </si>
  <si>
    <t>[-0.175, -0.04, -0.094, -0.05, 0.1, 0.083, -0.005, -0.019, -0.018, -0.065, 0.018, 0.041, 0.045, -0.064, 0.465, 0.463, 0.033, -0.225, -0.377]</t>
  </si>
  <si>
    <t>LINESTRING (6.0952881228202145 59.713764043458895, 6.0953781242772935 59.71291451632071, 6.094212239112454 59.71108588185983, 6.0941720126500885 59.710934977884456, 6.093252871430361 59.7098229642017, 6.092652559482301 59.70965430724071, 6.091550930145955 59.70941505869799, 6.09138886716572 59.70938328846306, 6.085113141180371 59.70856911466353, 6.084861059753977 59.70853362340943, 6.0830490698366475 59.70798517824873, 6.078163065197126 59.706224156298035, 6.076169947197381 59.707682124287345, 6.076017685999875 59.70780512532274, 6.07458855164485 59.7080214305373, 6.074593129380797 59.70809264316658, 6.074572230504314 59.70829375386315, 6.073861564425986 59.708424256589836, 6.0734247141629965 59.708363153474146, 6.073396560781978 59.70832642508313)</t>
  </si>
  <si>
    <t>[457655, 2068364, 2068372, 2068380, 2068388, 2068396, 2068404, 2068412, 2068420, 2068428, 2068436, 2068444, 457703, 457711, 457727, 457735, 457743, 457751, 457759]</t>
  </si>
  <si>
    <t>[456126, 1768767, 1622729, 1796393, 1796397, 1768761, 1621634, 1796409, 1796412, 1796419, 1621640, 456169, 456170, 456177, 456196, 456202, 456211, 456221, 456231]</t>
  </si>
  <si>
    <t>[456125, 456126, 1768767, 1622729, 1796393, 1796397, 1768761, 1621634, 1796409, 1796412, 1796419, 1621640, 456169, 456170, 456177, 456196, 456202, 456211, 456221]</t>
  </si>
  <si>
    <t>[0.175, 0.04, 0.094, 0.05, 0.1, 0.083, 0.005, 0.019, 0.018, 0.065, 0.018, 0.041, 0.045, 0.064, 0.465, 0.463, 0.033, 0.225, 0.377]</t>
  </si>
  <si>
    <t>1869.119618280118</t>
  </si>
  <si>
    <t>[0.03, -0.166, -0.004]</t>
  </si>
  <si>
    <t>LINESTRING (6.0952881228202145 59.713764043458895, 6.094773672304682 59.712877653898026, 6.094760184712044 59.712772581535006, 6.093840467495246 59.712192218913216)</t>
  </si>
  <si>
    <t>[458118, 458126, 458134]</t>
  </si>
  <si>
    <t>[456609, 456617, 456626]</t>
  </si>
  <si>
    <t>0.003914682056561709</t>
  </si>
  <si>
    <t>[456125, 456609, 456617]</t>
  </si>
  <si>
    <t>[0.03, 0.166, 0.004]</t>
  </si>
  <si>
    <t>208.88036078725867</t>
  </si>
  <si>
    <t>[-0.009, -0.037, -0.01, -0.089, -0.04, 0.018, -0.137, -0.083, 0.237, 0.072, 0.068, -0.048, -0.044, -0.047, -0.011, 0.13, 0.081]</t>
  </si>
  <si>
    <t>[0, 0, 1, 0, 0, 0, 1, 0, 1, 0, 1, 0, 1, 0, 0, 1, 0]</t>
  </si>
  <si>
    <t>LINESTRING (6.073396560781978 59.70832642508313, 6.062806510487639 59.708246170964586, 6.060965765444429 59.70817235082066, 6.060810047222065 59.70816563952995, 6.060608756043339 59.70815818548996, 6.056394275004863 59.707731923646435, 6.044913050461557 59.70592978589847, 6.044792133798948 59.7058900146413, 6.0422756544463745 59.70514853339311, 6.042176365723713 59.70511145751214, 6.039725478438603 59.70362442958637, 6.03968841049267 59.70358696128623, 6.039625050127953 59.703509920133435, 6.039596723268525 59.703466683887875, 6.038604529264309 59.70028199346279, 6.025395312953428 59.69408771169866, 6.025266812570718 59.69398749720355, 6.01884207952988 59.69076436856743)</t>
  </si>
  <si>
    <t>[457830, 457838, 457846, 457854, 2068452, 2068460, 2068468, 2068476, 2068484, 2068492, 2068500, 2068508, 2068516, 2068524, 2068532, 2068540, 2068548]</t>
  </si>
  <si>
    <t>[456301, 456310, 456320, 456326, 1796433, 1796438, 1796444, 1796450, 1796456, 1796462, 1796467, 1796473, 1796479, 1621661, 1796492, 1796497, 1581707]</t>
  </si>
  <si>
    <t>0.0021758247254073854</t>
  </si>
  <si>
    <t>[456231, 456301, 456310, 456320, 456326, 1796433, 1796438, 1796444, 1796450, 1796456, 1796462, 1796467, 1796473, 1796479, 1621661, 1796492, 1796497]</t>
  </si>
  <si>
    <t>[0.009, 0.037, 0.01, 0.089, 0.04, 0.018, 0.137, 0.083, 0.237, 0.072, 0.068, 0.048, 0.044, 0.047, 0.011, 0.13, 0.081]</t>
  </si>
  <si>
    <t>4180.8249076680395</t>
  </si>
  <si>
    <t>[-0.008, 0.049, -0.003, -0.187, -0.123, -0.037]</t>
  </si>
  <si>
    <t>LINESTRING (6.09271308586823 59.711465160181184, 6.081120915798821 59.70838035922025, 6.080345943482942 59.70826656991096, 6.07754429938965 59.7080714104085, 6.07719044647844 59.70807087749087, 6.0748301906768845 59.70818812354723, 6.073396560781978 59.70832642508313)</t>
  </si>
  <si>
    <t>[457894, 457902, 457910, 457806, 457814, 457822]</t>
  </si>
  <si>
    <t>[0, 0, 1, 1, 0, 0]</t>
  </si>
  <si>
    <t>[456374, 456383, 456276, 456277, 456286, 456231]</t>
  </si>
  <si>
    <t>[456373, 456374, 456383, 456276, 456277, 456286]</t>
  </si>
  <si>
    <t>[0.008, 0.049, 0.003, 0.187, 0.123, 0.037]</t>
  </si>
  <si>
    <t>1223.0814180534667</t>
  </si>
  <si>
    <t>105.6894260837926</t>
  </si>
  <si>
    <t>[-0.002, 0.026]</t>
  </si>
  <si>
    <t>LINESTRING (6.094023421380236 59.71316682433256, 6.093276613199795 59.71227854471989, 6.09326972296312 59.71226955478131)</t>
  </si>
  <si>
    <t>[458078, 458086]</t>
  </si>
  <si>
    <t>[456566, 456573]</t>
  </si>
  <si>
    <t>[456366, 456566]</t>
  </si>
  <si>
    <t>[0.002, 0.026]</t>
  </si>
  <si>
    <t>109.44392395225564</t>
  </si>
  <si>
    <t>92.50211914695402</t>
  </si>
  <si>
    <t>95.82329180198396</t>
  </si>
  <si>
    <t>0.284</t>
  </si>
  <si>
    <t>8.408144860793183</t>
  </si>
  <si>
    <t>LINESTRING (6.093416345989015 59.7122829215056, 6.093386344129836 59.71224799640145, 6.09336046199429 59.7122178517709)</t>
  </si>
  <si>
    <t>[458054, 458062]</t>
  </si>
  <si>
    <t>[456541, 456549]</t>
  </si>
  <si>
    <t>0.021389739783948702</t>
  </si>
  <si>
    <t>[456533, 456541]</t>
  </si>
  <si>
    <t>7.923282181955546</t>
  </si>
  <si>
    <t>[0.23, -0.571]</t>
  </si>
  <si>
    <t>LINESTRING (6.093840467495246 59.712192218913216, 6.09348517869148 59.71227414893609, 6.093416345989015 59.7122829215056)</t>
  </si>
  <si>
    <t>[458142, 458150]</t>
  </si>
  <si>
    <t>[456636, 456533]</t>
  </si>
  <si>
    <t>0.10820176124236347</t>
  </si>
  <si>
    <t>[456626, 456636]</t>
  </si>
  <si>
    <t>[0.23, 0.571]</t>
  </si>
  <si>
    <t>26.34653169147193</t>
  </si>
  <si>
    <t>[-0.002, -0.003, -0.005, 0.001, 0.018, 0.011, 0.001]</t>
  </si>
  <si>
    <t>LINESTRING (10.4835822857156 59.90725367382905, 10.48346916697337 59.90724016807428, 10.483372858309263 59.90720524163458, 10.48330788553788 59.90713649677982, 10.483777005115146 59.90698462281606, 10.48384899616232 59.90702666437741, 10.483890051812399 59.90708419177126, 10.483849036470431 59.90718296939138)</t>
  </si>
  <si>
    <t>[458066, 458074, 458082, 458090, 458098, 458042, 458050]</t>
  </si>
  <si>
    <t>[456552, 456561, 456569, 456578, 456527, 456528, 456536]</t>
  </si>
  <si>
    <t>0.0018850739921218473</t>
  </si>
  <si>
    <t>[456544, 456552, 456561, 456569, 456578, 456527, 456528]</t>
  </si>
  <si>
    <t>[0.002, 0.003, 0.005, 0.001, 0.018, 0.011, 0.001]</t>
  </si>
  <si>
    <t>86.05320815742306</t>
  </si>
  <si>
    <t>[0.019, 0.021, 0.023]</t>
  </si>
  <si>
    <t>LINESTRING (10.483849036470431 59.90718296939138, 10.483895367390595 59.90721607216472, 10.485401648905446 59.90731760476175, 10.485613571738817 59.907320595206706)</t>
  </si>
  <si>
    <t>[458138, 458146, 458154]</t>
  </si>
  <si>
    <t>[456630, 456641, 456649]</t>
  </si>
  <si>
    <t>0.021133433178117257</t>
  </si>
  <si>
    <t>[456536, 456630, 456641]</t>
  </si>
  <si>
    <t>110.28426039735143</t>
  </si>
  <si>
    <t>[-0.003, -0.002, -0.004, -0.005]</t>
  </si>
  <si>
    <t>LINESTRING (10.482654595902078 59.90799947868159, 10.482840824416808 59.907920525661524, 10.483440995653208 59.907710360388926, 10.483631858956993 59.90729334518688, 10.4835822857156 59.90725367382905)</t>
  </si>
  <si>
    <t>[458106, 458114, 458122, 458130]</t>
  </si>
  <si>
    <t>[456596, 456604, 456613, 456544]</t>
  </si>
  <si>
    <t>[456595, 456596, 456604, 456613]</t>
  </si>
  <si>
    <t>[0.003, 0.002, 0.004, 0.005]</t>
  </si>
  <si>
    <t>111.92722815401272</t>
  </si>
  <si>
    <t>0.287</t>
  </si>
  <si>
    <t>7.71868512130857</t>
  </si>
  <si>
    <t>[0.184, -0.264]</t>
  </si>
  <si>
    <t>LINESTRING (6.093840467495246 59.712192218913216, 6.093432865216851 59.712183866115325, 6.09336046199429 59.7122178517709)</t>
  </si>
  <si>
    <t>[458166, 458174]</t>
  </si>
  <si>
    <t>[456663, 456549]</t>
  </si>
  <si>
    <t>0.10089909230795376</t>
  </si>
  <si>
    <t>[456626, 456663]</t>
  </si>
  <si>
    <t>[0.184, 0.264]</t>
  </si>
  <si>
    <t>30.06811464453928</t>
  </si>
  <si>
    <t>182.0977114080354</t>
  </si>
  <si>
    <t>281.84279588133006</t>
  </si>
  <si>
    <t>LINESTRING (10.485613571738817 59.907320595206706, 10.490870685318097 59.905220260055856, 10.491022853290696 59.90512025381743)</t>
  </si>
  <si>
    <t>[458397, 458422]</t>
  </si>
  <si>
    <t>[456873, 456658]</t>
  </si>
  <si>
    <t>0.0013904978753438032</t>
  </si>
  <si>
    <t>[456649, 456873]</t>
  </si>
  <si>
    <t>395.1699470618359</t>
  </si>
  <si>
    <t>[0.006, 0.006, 0.0, 0.003, 0.017]</t>
  </si>
  <si>
    <t>LINESTRING (10.491022853290696 59.90512025381743, 10.491061596941133 59.905061614503786, 10.491371484353786 59.90478919813572, 10.491546062998786 59.90459139322441, 10.493147694090283 59.903079947790296, 10.493215180479933 59.90305035150427)</t>
  </si>
  <si>
    <t>[458162, 458170, 458178, 458186, 458194]</t>
  </si>
  <si>
    <t>[456659, 456666, 456673, 456682, 456691]</t>
  </si>
  <si>
    <t>0.0034323111760207357</t>
  </si>
  <si>
    <t>[456658, 456659, 456666, 456673, 456682]</t>
  </si>
  <si>
    <t>285.52224038984735</t>
  </si>
  <si>
    <t>[0.0, -0.001, -0.012, -0.023, -0.016, -0.018]</t>
  </si>
  <si>
    <t>[0, 1, 0, 0, 1, 1]</t>
  </si>
  <si>
    <t>LINESTRING (10.495319655851462 59.90358763437012, 10.495319655851462 59.90358763437012, 10.495444900691563 59.90342397385321, 10.495404825064341 59.903307389416746, 10.494858510218839 59.90311557265595, 10.49374762096772 59.90356245321333, 10.493553618757737 59.90363970638072)</t>
  </si>
  <si>
    <t>[458202, 458210, 458218, 458226, 458234, 458242]</t>
  </si>
  <si>
    <t>[456698, 456708, 456717, 456726, 456734, 456742]</t>
  </si>
  <si>
    <t>[456697, 456698, 456708, 456717, 456726, 456734]</t>
  </si>
  <si>
    <t>[0.0, 0.001, 0.012, 0.023, 0.016, 0.018]</t>
  </si>
  <si>
    <t>172.22831918361908</t>
  </si>
  <si>
    <t>[0.435, -0.101, 0.002, 0.003, 0.0, 0.042, 0.044, 0.043, 0.031, 0.022, -0.029, -0.038, -0.038, -0.041]</t>
  </si>
  <si>
    <t>[0, 0, 1, 0, 1, 0, 0, 0, 0, 0, 0, 0, 0, 0]</t>
  </si>
  <si>
    <t>LINESTRING (10.482654595902078 59.90799947868159, 10.478658996159725 59.90965008817036, 10.478286174643152 59.90993614351818, 10.478054245923385 59.91014438213418, 10.477813448165588 59.91039889210698, 10.477315344318994 59.911185327791785, 10.47717194330024 59.911674987844016, 10.477137155380055 59.91229813700672, 10.477090981884047 59.91356545671996, 10.477087974069757 59.91359330464868, 10.4675041036051 59.92130336925217, 10.467428038080174 59.921327648898334, 10.467104437222332 59.92143846347428, 10.466635709973074 59.92159111614722, 10.466332404591828 59.92168957858413)</t>
  </si>
  <si>
    <t>[1250578, 1250579, 850437, 850445, 850453, 850461, 850469, 850477, 850485, 850493, 850501, 850509, 850517, 850525]</t>
  </si>
  <si>
    <t>[1169813, 825246, 825247, 825252, 825260, 825267, 825272, 825279, 825283, 825289, 825296, 825302, 825309, 824295]</t>
  </si>
  <si>
    <t>0.020525458701605083</t>
  </si>
  <si>
    <t>[456852, 1169813, 825246, 825247, 825252, 825260, 825267, 825272, 825279, 825283, 825289, 825296, 825302, 825309]</t>
  </si>
  <si>
    <t>[0.435, 0.101, 0.002, 0.003, 0.0, 0.042, 0.044, 0.043, 0.031, 0.022, 0.029, 0.038, 0.038, 0.041]</t>
  </si>
  <si>
    <t>1612.1454633895864</t>
  </si>
  <si>
    <t>[-0.035, -0.031, -0.031, 0.006, 0.012, 0.02, 0.011, 0.011]</t>
  </si>
  <si>
    <t>LINESTRING (5.717119395645378 58.84679052701967, 5.717098368348919 58.84681772100808, 5.71695850200543 58.84699146743246, 5.716512303126205 58.84756044304835, 5.713156167726045 58.853548110369395, 5.71290657448542 58.85426776482132, 5.712903637198815 58.85427599207388, 5.712595240868553 58.85515692533397, 5.71258819748253 58.855175897646426)</t>
  </si>
  <si>
    <t>[460185, 460195, 460196, 460197, 460198, 460199, 460200, 460212]</t>
  </si>
  <si>
    <t>[458607, 458619, 458620, 458621, 458622, 458623, 458624, 458634]</t>
  </si>
  <si>
    <t>0.0035043169891392483</t>
  </si>
  <si>
    <t>[458593, 458607, 458619, 458620, 458621, 458622, 458623, 458624]</t>
  </si>
  <si>
    <t>[0.035, 0.031, 0.031, 0.006, 0.012, 0.02, 0.011, 0.011]</t>
  </si>
  <si>
    <t>976.6603186471486</t>
  </si>
  <si>
    <t>[-0.037, 0.001, 0.089, 0.066, -0.018, -0.031, 0.184]</t>
  </si>
  <si>
    <t>LINESTRING (5.725446333225693 58.84099223699602, 5.725571132063341 58.840988119704164, 5.725246059915182 58.84055549953255, 5.724478333965474 58.840824385584526, 5.7205567259083505 58.842801174277206, 5.720481088482179 58.842863439730756, 5.717320143027926 58.84664903574864, 5.717119395645378 58.84679052701967)</t>
  </si>
  <si>
    <t>[1420040, 1420048, 371934, 371942, 371950, 371958, 1824231]</t>
  </si>
  <si>
    <t>[1296456, 360960, 360961, 360967, 360978, 360986, 458593]</t>
  </si>
  <si>
    <t>0.014943989529247595</t>
  </si>
  <si>
    <t>[1296455, 1296456, 360960, 360961, 360967, 360978, 360986]</t>
  </si>
  <si>
    <t>[0.037, 0.001, 0.089, 0.066, 0.018, 0.031, 0.184]</t>
  </si>
  <si>
    <t>995.6435872288162</t>
  </si>
  <si>
    <t>[0.068, 0.075, 0.089, 0.03, 0.043, 0.075, 0.052, 0.001, 0.001, -0.013, -0.032]</t>
  </si>
  <si>
    <t>[1, 0, 0, 0, 1, 0, 0, 0, 0, 0, 0]</t>
  </si>
  <si>
    <t>LINESTRING (5.729555308941337 58.83920794504336, 5.728653177131554 58.83946978719305, 5.727244967998671 58.83986898819099, 5.726765124294691 58.840006913572175, 5.725224840928011 58.84048981237692, 5.724267374970064 58.8408276185555, 5.721893797045869 58.84183817165723, 5.720473646595202 58.8427836136156, 5.72046427500573 58.842791727001746, 5.720319549415885 58.84291724751665, 5.7185851002396655 58.84494243917431, 5.717119395645378 58.84679052701967)</t>
  </si>
  <si>
    <t>[1423786, 1423794, 1423802, 1423810, 1423818, 1423826, 460143, 460148, 460164, 460170, 460175]</t>
  </si>
  <si>
    <t>[1298758, 1298762, 1298767, 1298772, 1298777, 458557, 458558, 458564, 458580, 458589, 458593]</t>
  </si>
  <si>
    <t>0.025823638758691377</t>
  </si>
  <si>
    <t>[1296777, 1298758, 1298762, 1298767, 1298772, 1298777, 458557, 458558, 458564, 458580, 458589]</t>
  </si>
  <si>
    <t>[0.068, 0.075, 0.089, 0.03, 0.043, 0.075, 0.052, 0.001, 0.001, 0.013, 0.032]</t>
  </si>
  <si>
    <t>1156.5623653723635</t>
  </si>
  <si>
    <t>1.9767926037079158</t>
  </si>
  <si>
    <t>[0.007, 0.006]</t>
  </si>
  <si>
    <t>LINESTRING (5.719585111285198 58.88639912919465, 5.719502021873491 58.886396337781804, 5.718691252132036 58.8864638958504)</t>
  </si>
  <si>
    <t>[460180, 460188]</t>
  </si>
  <si>
    <t>[458601, 458610]</t>
  </si>
  <si>
    <t>0.006091575893359978</t>
  </si>
  <si>
    <t>[458600, 458601]</t>
  </si>
  <si>
    <t>52.59298265041472</t>
  </si>
  <si>
    <t>[-0.024, -0.001]</t>
  </si>
  <si>
    <t>LINESTRING (5.719597580355807 58.88652791013428, 5.719542798203145 58.88644259461589, 5.719585111285198 58.88639912919465)</t>
  </si>
  <si>
    <t>[2103356, 2103364]</t>
  </si>
  <si>
    <t>[1817782, 458600]</t>
  </si>
  <si>
    <t>[1301608, 1817782]</t>
  </si>
  <si>
    <t>[0.024, 0.001]</t>
  </si>
  <si>
    <t>15.8448697857908</t>
  </si>
  <si>
    <t>[0.016, 0.026, -0.1]</t>
  </si>
  <si>
    <t>LINESTRING (5.718691252132036 58.8864638958504, 5.718263677355222 58.88646735619776, 5.717169909139394 58.88647099398728, 5.7169719878133085 58.88647021130593)</t>
  </si>
  <si>
    <t>[1369095, 1369103, 1369111]</t>
  </si>
  <si>
    <t>[1262736, 1262741, 458611]</t>
  </si>
  <si>
    <t>0.009008007514809556</t>
  </si>
  <si>
    <t>[458610, 1262736, 1262741]</t>
  </si>
  <si>
    <t>[0.016, 0.026, 0.1]</t>
  </si>
  <si>
    <t>99.4519531375098</t>
  </si>
  <si>
    <t>[0.004, 0.001]</t>
  </si>
  <si>
    <t>LINESTRING (5.719597580355807 58.88652791013428, 5.719497689785178 58.886519139642346, 5.718691252132036 58.8864638958504)</t>
  </si>
  <si>
    <t>[1428669, 1428677]</t>
  </si>
  <si>
    <t>[1301609, 458610]</t>
  </si>
  <si>
    <t>0.0013305928790578693</t>
  </si>
  <si>
    <t>[1301608, 1301609]</t>
  </si>
  <si>
    <t>53.18141948271271</t>
  </si>
  <si>
    <t>[0.011, 0.007]</t>
  </si>
  <si>
    <t>LINESTRING (5.7169719878133085 58.88647021130593, 5.716179634261758 58.886418863418776, 5.716097682166386 58.886432074860615)</t>
  </si>
  <si>
    <t>[460189, 460194]</t>
  </si>
  <si>
    <t>[458612, 458618]</t>
  </si>
  <si>
    <t>0.010613981371834169</t>
  </si>
  <si>
    <t>[458611, 458612]</t>
  </si>
  <si>
    <t>51.447288365959665</t>
  </si>
  <si>
    <t>[0.082, 0.016, 0.016]</t>
  </si>
  <si>
    <t>LINESTRING (5.7169719878133085 58.88647021130593, 5.71656486796524 58.88650345073516, 5.716153919684743 58.886546650130676, 5.716028531561244 58.88656226319194)</t>
  </si>
  <si>
    <t>[1428741, 1428749, 1428757]</t>
  </si>
  <si>
    <t>[1301654, 1301658, 1301663]</t>
  </si>
  <si>
    <t>0.04450166146627799</t>
  </si>
  <si>
    <t>[458611, 1301654, 1301658]</t>
  </si>
  <si>
    <t>55.821354997744784</t>
  </si>
  <si>
    <t>[-0.015, -0.008, 0.369]</t>
  </si>
  <si>
    <t>LINESTRING (5.716097682166386 58.886432074860615, 5.716125050597321 58.8864889737816, 5.7161000817566805 58.88652876983401, 5.716028531561244 58.88656226319194)</t>
  </si>
  <si>
    <t>[2103597, 2103598, 2103609]</t>
  </si>
  <si>
    <t>[1817940, 1817941, 1301663]</t>
  </si>
  <si>
    <t>0.11443240984431793</t>
  </si>
  <si>
    <t>[458618, 1817940, 1817941]</t>
  </si>
  <si>
    <t>[0.015, 0.008, 0.369]</t>
  </si>
  <si>
    <t>16.807172046689253</t>
  </si>
  <si>
    <t>2.147432420413444</t>
  </si>
  <si>
    <t>[0.007, 0.007, 0.005, 0.487, -0.015, -0.015, -0.03, -0.045, -0.044]</t>
  </si>
  <si>
    <t>LINESTRING (5.71258819748253 58.855175897646426, 5.712017467116403 58.85704628333176, 5.7120150928457845 58.85705526532008, 5.711965427558463 58.8572451030607, 5.711950465073196 58.857301518466514, 5.711781457430055 58.85800060362851, 5.711779574649786 58.858009250759494, 5.7114634695032445 58.86026150674215, 5.711459055276831 58.86049093594027, 5.711466701862234 58.86083137021017)</t>
  </si>
  <si>
    <t>[460219, 460229, 460237, 1116647, 1116655, 1116663, 1116671, 1116679, 1116687]</t>
  </si>
  <si>
    <t>[458640, 458649, 458656, 1055839, 1055847, 1055855, 1055861, 1055867, 1055873]</t>
  </si>
  <si>
    <t>[458634, 458640, 458649, 458656, 1055839, 1055847, 1055855, 1055861, 1055867]</t>
  </si>
  <si>
    <t>[0.007, 0.007, 0.005, 0.487, 0.015, 0.015, 0.03, 0.045, 0.044]</t>
  </si>
  <si>
    <t>636.1719070555029</t>
  </si>
  <si>
    <t>[0.158, 0.013, -0.011, 0.008, -0.009, -0.014, -0.013, -0.021, -0.032, 0.017, 0.032, 0.033, 0.01, -0.025, -0.047]</t>
  </si>
  <si>
    <t>[0, 0, 0, 0, 1, 0, 0, 0, 0, 0, 0, 0, 1, 0, 0]</t>
  </si>
  <si>
    <t>LINESTRING (5.71258819748253 58.855175897646426, 5.712604293591498 58.85535533160012, 5.712247883975166 58.856902203324225, 5.712252396818665 58.85691087146054, 5.713482799924642 58.856586213659185, 5.713440100100385 58.85657072819971, 5.713292635701553 58.856533847108686, 5.713251848281086 58.85651961176252, 5.713180124643774 58.85648656890514, 5.713177758403288 58.85643379480613, 5.713369435336721 58.856432647601366, 5.713418045608085 58.85645285408647, 5.713533021097998 58.85650934744105, 5.713572011766924 58.856526877310976, 5.711530340436931 58.86051542607141, 5.711466701862234 58.86083137021017)</t>
  </si>
  <si>
    <t>[1824244, 371998, 372006, 372014, 372022, 372030, 809486, 809494, 809502, 809539, 809555, 372246, 372254, 372262, 1824267]</t>
  </si>
  <si>
    <t>[361025, 361026, 361032, 361041, 361050, 361058, 787801, 787807, 787815, 787851, 361268, 361269, 361276, 361283, 1055873]</t>
  </si>
  <si>
    <t>[458634, 361025, 361026, 361032, 361041, 361050, 361058, 787801, 787807, 787815, 787851, 361268, 361269, 361276, 361283]</t>
  </si>
  <si>
    <t>[0.158, 0.013, 0.011, 0.008, 0.009, 0.014, 0.013, 0.021, 0.032, 0.017, 0.032, 0.033, 0.01, 0.025, 0.047]</t>
  </si>
  <si>
    <t>935.2430162024884</t>
  </si>
  <si>
    <t>[-0.019, -0.033, -0.032, -0.03, -0.029, 0.011, 0.012]</t>
  </si>
  <si>
    <t>48478.0</t>
  </si>
  <si>
    <t>LINESTRING (5.719766063837674 58.84322807718511, 5.718255318680089 58.845103287625754, 5.716894461120651 58.84681851783106, 5.716787531286157 58.84695544199822, 5.716335959395686 58.84752390106686, 5.7157445501478 58.84826789633897, 5.712948627719603 58.85352481862454, 5.712937071092797 58.8535566933257)</t>
  </si>
  <si>
    <t>[460291, 460292, 460299, 460304, 460310, 460318, 460319]</t>
  </si>
  <si>
    <t>[458718, 458719, 458727, 458732, 458738, 458743, 458744]</t>
  </si>
  <si>
    <t>[458700, 458718, 458719, 458727, 458732, 458738, 458743]</t>
  </si>
  <si>
    <t>[0.019, 0.033, 0.032, 0.03, 0.029, 0.011, 0.012]</t>
  </si>
  <si>
    <t>1223.8016474447033</t>
  </si>
  <si>
    <t>[0.001, 0.028, -0.024, -0.064, -0.032, -0.045, -0.049, -0.053, -0.05]</t>
  </si>
  <si>
    <t>LINESTRING (5.719766063837674 58.84322807718511, 5.71988690080928 58.84302858743151, 5.720121825640729 58.84280085856454, 5.72019938405029 58.84273199124871, 5.722311385901005 58.84118056962466, 5.722457427367493 58.8394019368246, 5.7225116784516485 58.83937187252119, 5.722593096176685 58.8393324087656, 5.723383904875289 58.839089696456746, 5.7234669653152315 58.839035793419434)</t>
  </si>
  <si>
    <t>[1824229, 371966, 371974, 371982, 1423490, 1423498, 1423506, 1423514, 1423522]</t>
  </si>
  <si>
    <t>[360994, 360995, 361002, 361011, 1296555, 1298646, 1296572, 1298648, 1296655]</t>
  </si>
  <si>
    <t>[458700, 360994, 360995, 361002, 361011, 1296555, 1298646, 1296572, 1298648]</t>
  </si>
  <si>
    <t>[0.001, 0.028, 0.024, 0.064, 0.032, 0.045, 0.049, 0.053, 0.05]</t>
  </si>
  <si>
    <t>550.9334728117828</t>
  </si>
  <si>
    <t>[0.041, 0.018, 0.008, 0.007, 0.006, -0.015, -0.011, -0.022, -0.021, -0.01, 0.01, -0.003, -0.03, -0.032, -0.025]</t>
  </si>
  <si>
    <t>LINESTRING (5.71128678941112 58.859557990604166, 5.711247018230805 58.8592881618148, 5.7114460382345404 58.85744957368617, 5.711398101663352 58.857380779773, 5.711390361999019 58.85737256436053, 5.711297984408776 58.85728427216855, 5.7102500962421505 58.85759466913337, 5.710276885407503 58.857624626094385, 5.7102971398112805 58.8576658567898, 5.710302511317712 58.85771052632645, 5.7101090093895595 58.85767398930309, 5.710080362511603 58.85764832554424, 5.712580874575691 58.85428042765094, 5.712618561038493 58.85417331980723, 5.712751674719172 58.85386039079174, 5.712937071092797 58.8535566933257)</t>
  </si>
  <si>
    <t>[1824253, 372286, 372294, 372302, 372310, 372318, 809679, 809687, 809695, 809510, 809518, 372182, 372190, 372198, 1824243]</t>
  </si>
  <si>
    <t>[361307, 361308, 361317, 361325, 361334, 361342, 787956, 787960, 787824, 787825, 361211, 361212, 361220, 361227, 458744]</t>
  </si>
  <si>
    <t>[974613, 361307, 361308, 361317, 361325, 361334, 361342, 787956, 787960, 787824, 787825, 361211, 361212, 361220, 361227]</t>
  </si>
  <si>
    <t>[0.041, 0.018, 0.008, 0.007, 0.006, 0.015, 0.011, 0.022, 0.021, 0.01, 0.01, 0.003, 0.03, 0.032, 0.025]</t>
  </si>
  <si>
    <t>918.3743281121585</t>
  </si>
  <si>
    <t>[-0.065, -0.057, -0.065, -0.064, -0.004, 0.114, 0.081, 0.042]</t>
  </si>
  <si>
    <t>LINESTRING (5.5077026195990815 61.10482225348526, 5.507837358080774 61.10478093282357, 5.508065809535449 61.10474254295491, 5.508589308464092 61.104469293146636, 5.508634468517587 61.10441185776827, 5.510697243654142 61.10325366316115, 5.5118560649064055 61.103153877189605, 5.512832413468558 61.10299289908581, 5.514006858616955 61.10270984841018)</t>
  </si>
  <si>
    <t>[2031474, 2031485, 2031491, 2031501, 2031502, 2031515, 2031516, 2031520]</t>
  </si>
  <si>
    <t>[1772939, 1772946, 1772953, 1772962, 1772963, 1772973, 1772974, 460432]</t>
  </si>
  <si>
    <t>0.02109967754364223</t>
  </si>
  <si>
    <t>[460424, 1772939, 1772946, 1772953, 1772962, 1772963, 1772973, 1772974]</t>
  </si>
  <si>
    <t>[0.065, 0.057, 0.065, 0.064, 0.004, 0.114, 0.081, 0.042]</t>
  </si>
  <si>
    <t>453.9252443039355</t>
  </si>
  <si>
    <t>[0.056, -0.044, -0.061, -0.033, 0.001, 0.141, 0.116, 0.088, 0.059, 0.067, 0.046, -0.01]</t>
  </si>
  <si>
    <t>LINESTRING (5.5077026195990815 61.10482225348526, 5.507557418524534 61.10528195753347, 5.5079130968197125 61.10528153311082, 5.509013869574961 61.10458791518548, 5.5088740275015216 61.1044257079469, 5.510714909169057 61.10331353182397, 5.510772013391003 61.10330959006679, 5.511941699397652 61.103205643532434, 5.51278410409415 61.103078837630385, 5.512898404282451 61.10305463360852, 5.512996493986374 61.10303385812702, 5.513583739227348 61.10288682674747, 5.514006858616955 61.10270984841018)</t>
  </si>
  <si>
    <t>[2031528, 2031529, 2031530, 2031537, 2031545, 2031547, 2031556, 2031567, 2031568, 2031574, 2031575, 2031585]</t>
  </si>
  <si>
    <t>[1772984, 965157, 1772985, 1772991, 1772994, 1772996, 1773006, 1773014, 1773015, 1773019, 1773020, 460432]</t>
  </si>
  <si>
    <t>0.016409833069608908</t>
  </si>
  <si>
    <t>[460424, 1772984, 965157, 1772985, 1772991, 1772994, 1772996, 1773006, 1773014, 1773015, 1773019, 1773020]</t>
  </si>
  <si>
    <t>[0.056, 0.044, 0.061, 0.033, 0.001, 0.141, 0.116, 0.088, 0.059, 0.067, 0.046, 0.01]</t>
  </si>
  <si>
    <t>585.3198207144403</t>
  </si>
  <si>
    <t>[-0.065, 0, 0, 0, 0, 0, 0, 0.007]</t>
  </si>
  <si>
    <t>LINESTRING (5.5053582259371945 61.054355502388496, 5.504330221488063 61.05469896577041, 5.499903115160213 61.06565733171619, 5.500229940142303 61.07894916841528, 5.502777040701043 61.09129056597814, 5.506243136644395 61.104113019944435, 5.5069909043836365 61.104515423485445, 5.507429218247654 61.104711017643496, 5.5077026195990815 61.10482225348526)</t>
  </si>
  <si>
    <t>[1482797, 1482798, 1482642, 1482799, 1482650, 1026481, 462075, 462083]</t>
  </si>
  <si>
    <t>[1342960, 1342839, 1342840, 1342847, 981286, 460413, 460414, 460424]</t>
  </si>
  <si>
    <t>[1342897, 1342960, 1342839, 1342840, 1342847, 981286, 460413, 460414]</t>
  </si>
  <si>
    <t>[0.065, inf, inf, inf, inf, inf, inf, 0.007]</t>
  </si>
  <si>
    <t>86.94446214790328</t>
  </si>
  <si>
    <t>LINESTRING (5.514006858616955 61.10270984841018, 5.649463606117813 61.14943995314912)</t>
  </si>
  <si>
    <t>19348.654036240307</t>
  </si>
  <si>
    <t>[-0.051, -0.019, -0.011]</t>
  </si>
  <si>
    <t>LINESTRING (11.043146247797448 59.94889586390941, 11.043428776181157 59.948911136273274, 11.045070741118863 59.94869119357631, 11.045180579468816 59.94866419435101)</t>
  </si>
  <si>
    <t>[462595, 462579, 462587]</t>
  </si>
  <si>
    <t>[460867, 460868, 460875]</t>
  </si>
  <si>
    <t>[460884, 460867, 460868]</t>
  </si>
  <si>
    <t>[0.051, 0.019, 0.011]</t>
  </si>
  <si>
    <t>136.57065368645326</t>
  </si>
  <si>
    <t>[-0.105, -0.08]</t>
  </si>
  <si>
    <t>LINESTRING (11.043146247797448 59.94889586390941, 11.04411558887724 59.94913668771529, 11.044232938026786 59.94916331549876)</t>
  </si>
  <si>
    <t>[1512248, 1512255]</t>
  </si>
  <si>
    <t>[1367519, 1357131]</t>
  </si>
  <si>
    <t>[460884, 1367519]</t>
  </si>
  <si>
    <t>[0.105, 0.08]</t>
  </si>
  <si>
    <t>67.6640308526282</t>
  </si>
  <si>
    <t>[-0.066, 0.157, 0.143, 0.014, -0.011, -0.008, -0.071, -0.139, -0.096, -0.28, -0.444, -0.323, -0.296, 0.118]</t>
  </si>
  <si>
    <t>LINESTRING (11.014186140822154 59.939846502247256, 11.01451758809738 59.939921260519775, 11.014527252356963 59.939923440867055, 11.015113983868702 59.940055807907264, 11.02104998455744 59.94131263821226, 11.022306449797586 59.94162298643651, 11.03638213675611 59.946390563299644, 11.036399065459683 59.946397662337915, 11.037136609495764 59.9467068398339, 11.041904483538845 59.948541755099335, 11.042444204687854 59.94869875263673, 11.042495038286175 59.94871701004802, 11.042524769020922 59.948727684257925, 11.042949492422125 59.948842622075034, 11.043146247797448 59.94889586390941)</t>
  </si>
  <si>
    <t>[1512154, 1512162, 1512170, 1512180, 1512188, 1512196, 1512204, 1512205, 1512220, 1512221, 1512229, 1512230, 1512239, 1512240]</t>
  </si>
  <si>
    <t>[1367432, 1367439, 1367447, 1367457, 1367465, 1367472, 1367477, 1367478, 1367495, 1367496, 1367503, 1367504, 1367512, 460884]</t>
  </si>
  <si>
    <t>[1365668, 1367432, 1367439, 1367447, 1367457, 1367465, 1367472, 1367477, 1367478, 1367495, 1367496, 1367503, 1367504, 1367512]</t>
  </si>
  <si>
    <t>[0.066, 0.157, 0.143, 0.014, 0.011, 0.008, 0.071, 0.139, 0.096, 0.28, 0.444, 0.323, 0.296, 0.118]</t>
  </si>
  <si>
    <t>1919.704329768958</t>
  </si>
  <si>
    <t>[-0.022, -0.011, 0.009]</t>
  </si>
  <si>
    <t>LINESTRING (5.59413054607849 59.13762843804071, 5.594048809740893 59.13767026238868, 5.593588347357949 59.13778459664955, 5.593108405191509 59.13775264057888)</t>
  </si>
  <si>
    <t>[462603, 462611, 462619]</t>
  </si>
  <si>
    <t>[460893, 460904, 460914]</t>
  </si>
  <si>
    <t>[460892, 460893, 460904]</t>
  </si>
  <si>
    <t>[0.022, 0.011, 0.009]</t>
  </si>
  <si>
    <t>64.65275424456814</t>
  </si>
  <si>
    <t>[0.013, 0.017, 0.005, -0.015]</t>
  </si>
  <si>
    <t>LINESTRING (5.59413054607849 59.13762843804071, 5.593189054059865 59.137515815127536, 5.592675276739672 59.137421122624964, 5.590084382209899 59.13660089657558, 5.588658454934043 59.13643329725159)</t>
  </si>
  <si>
    <t>[1375871, 1375879, 1375887, 1375895]</t>
  </si>
  <si>
    <t>[1267555, 1267560, 1267566, 677139]</t>
  </si>
  <si>
    <t>0.002396997681852643</t>
  </si>
  <si>
    <t>[460892, 1267555, 1267560, 1267566]</t>
  </si>
  <si>
    <t>[0.013, 0.017, 0.005, 0.015]</t>
  </si>
  <si>
    <t>348.07041750992266</t>
  </si>
  <si>
    <t>[0.005, 0.013]</t>
  </si>
  <si>
    <t>LINESTRING (5.59413054607849 59.13762843804071, 5.5934836616190715 59.13762828488692, 5.5927205345663245 59.13752763566508)</t>
  </si>
  <si>
    <t>[2100758, 2100772]</t>
  </si>
  <si>
    <t>[1816219, 461039]</t>
  </si>
  <si>
    <t>0.009390492227833483</t>
  </si>
  <si>
    <t>[460892, 1816219]</t>
  </si>
  <si>
    <t>82.54751791356875</t>
  </si>
  <si>
    <t>[0.001, 0.013, 0.009]</t>
  </si>
  <si>
    <t>LINESTRING (5.597956085192671 59.13801413463803, 5.596354043939275 59.13785384554541, 5.594695373165238 59.13765530343186, 5.59413054607849 59.13762843804071)</t>
  </si>
  <si>
    <t>[805257, 805265, 805273]</t>
  </si>
  <si>
    <t>[783652, 783658, 460892]</t>
  </si>
  <si>
    <t>0.007398582914768231</t>
  </si>
  <si>
    <t>[670285, 783652, 783658]</t>
  </si>
  <si>
    <t>224.24198823680376</t>
  </si>
  <si>
    <t>[0.019, 0.02, 0.036]</t>
  </si>
  <si>
    <t>LINESTRING (5.593108405191509 59.13775264057888, 5.592783840065363 59.137683463863226, 5.592715245433993 59.13765822169897, 5.5927205345663245 59.13752763566508)</t>
  </si>
  <si>
    <t>[462627, 462739, 462747]</t>
  </si>
  <si>
    <t>[460923, 461033, 461039]</t>
  </si>
  <si>
    <t>0.02538524090260896</t>
  </si>
  <si>
    <t>[460914, 460923, 461033]</t>
  </si>
  <si>
    <t>39.61840114769659</t>
  </si>
  <si>
    <t>[-0.027, -0.03, -0.039]</t>
  </si>
  <si>
    <t>LINESTRING (5.593108405191509 59.13775264057888, 5.593047317789305 59.13778893219372, 5.592861559708676 59.13803323399186, 5.59287820173038 59.13808095501475)</t>
  </si>
  <si>
    <t>[1251053, 1251061, 1251069]</t>
  </si>
  <si>
    <t>[1170280, 1170286, 1170291]</t>
  </si>
  <si>
    <t>[460914, 1170280, 1170286]</t>
  </si>
  <si>
    <t>[0.027, 0.03, 0.039]</t>
  </si>
  <si>
    <t>41.539200286657746</t>
  </si>
  <si>
    <t>[-0.006, -0.002]</t>
  </si>
  <si>
    <t>LINESTRING (5.672123340944945 59.056323249768, 5.671968487089234 59.05637226609561, 5.671188019740905 59.056489753702046)</t>
  </si>
  <si>
    <t>[462635, 462643]</t>
  </si>
  <si>
    <t>[460933, 460937]</t>
  </si>
  <si>
    <t>[460932, 460933]</t>
  </si>
  <si>
    <t>[0.006, 0.002]</t>
  </si>
  <si>
    <t>57.31265217294997</t>
  </si>
  <si>
    <t>[0.651, -0.004, -0.004, -0.006, 0.0, 0.005, 0.014, 0.013, 0.044]</t>
  </si>
  <si>
    <t>[0, 0, 0, 0, 0, 1, 0, 0, 0]</t>
  </si>
  <si>
    <t>LINESTRING (5.672123340944945 59.056323249768, 5.672160085342914 59.056322653668, 5.672277764785495 59.05631737487359, 5.673707653394831 59.0563347394949, 5.6773226818120675 59.058657086940016, 5.677317044912571 59.05878528292373, 5.677247089483311 59.06031461063398, 5.677200544254984 59.061442099473595, 5.6771874592181435 59.06173225131469, 5.676931826498176 59.06334022643686)</t>
  </si>
  <si>
    <t>[805009, 805017, 805025, 805033, 805041, 805049, 805057, 805065, 805073]</t>
  </si>
  <si>
    <t>[783419, 783430, 783437, 783444, 783453, 783461, 783469, 783474, 783484]</t>
  </si>
  <si>
    <t>0.01000495542353325</t>
  </si>
  <si>
    <t>[460932, 783419, 783430, 783437, 783444, 783453, 783461, 783469, 783474]</t>
  </si>
  <si>
    <t>[0.651, 0.004, 0.004, 0.006, 0.0, 0.005, 0.014, 0.013, 0.044]</t>
  </si>
  <si>
    <t>981.3169236519071</t>
  </si>
  <si>
    <t>[0.178, -0.001, -0.197]</t>
  </si>
  <si>
    <t>LINESTRING (5.670813235431321 59.056336848044644, 5.670949076231897 59.056336630183544, 5.67200772413158 59.0562876923957, 5.672123340944945 59.056323249768)</t>
  </si>
  <si>
    <t>[804985, 804993, 805001]</t>
  </si>
  <si>
    <t>[783394, 783404, 460932]</t>
  </si>
  <si>
    <t>[461013, 783394, 783404]</t>
  </si>
  <si>
    <t>[0.178, 0.001, 0.197]</t>
  </si>
  <si>
    <t>76.7492651669873</t>
  </si>
  <si>
    <t>189.80681507880416</t>
  </si>
  <si>
    <t>41.24021251373652</t>
  </si>
  <si>
    <t>LINESTRING (5.6679718448775605 59.05669246358839, 5.666224294343894 59.05653661138899, 5.665861695343071 59.05650522859778)</t>
  </si>
  <si>
    <t>[462659, 462667]</t>
  </si>
  <si>
    <t>[460953, 460963]</t>
  </si>
  <si>
    <t>[460945, 460953]</t>
  </si>
  <si>
    <t>123.33072177769135</t>
  </si>
  <si>
    <t>24.690931053956575</t>
  </si>
  <si>
    <t>[0.053, -0.017]</t>
  </si>
  <si>
    <t>LINESTRING (5.665861695343071 59.05650522859778, 5.6662336205002015 59.05649881505409, 5.667413021986382 59.056503329457)</t>
  </si>
  <si>
    <t>[804945, 804953]</t>
  </si>
  <si>
    <t>[783354, 460983]</t>
  </si>
  <si>
    <t>[460963, 783354]</t>
  </si>
  <si>
    <t>[0.053, 0.017]</t>
  </si>
  <si>
    <t>89.3423790095474</t>
  </si>
  <si>
    <t>[-0.009, -0.005, -0.003, -0.021]</t>
  </si>
  <si>
    <t>10099.0</t>
  </si>
  <si>
    <t>LINESTRING (5.65810823528502 59.05557351079339, 5.6634546401653205 59.05641241823798, 5.664234624545125 59.056450905859016, 5.664787503496522 59.05647304859161, 5.665861695343071 59.05650522859778)</t>
  </si>
  <si>
    <t>[804913, 804921, 804929, 804937]</t>
  </si>
  <si>
    <t>[783318, 783325, 783334, 460963]</t>
  </si>
  <si>
    <t>[783308, 783318, 783325, 783334]</t>
  </si>
  <si>
    <t>[0.009, 0.005, 0.003, 0.021]</t>
  </si>
  <si>
    <t>464.40688118336743</t>
  </si>
  <si>
    <t>24.503386096139003</t>
  </si>
  <si>
    <t>[-0.005, -0.0, -0.0]</t>
  </si>
  <si>
    <t>LINESTRING (5.6682538849723025 59.056529076912774, 5.66864083586424 59.056555080886255, 5.670012393360767 59.05651039268013, 5.670503559032031 59.05648009524071)</t>
  </si>
  <si>
    <t>[462699, 1422364, 462707]</t>
  </si>
  <si>
    <t>[460994, 461003, 460971]</t>
  </si>
  <si>
    <t>[460976, 460994, 461003]</t>
  </si>
  <si>
    <t>[0.005, 0.0, 0.0]</t>
  </si>
  <si>
    <t>131.10311453608452</t>
  </si>
  <si>
    <t>51.36581674640273</t>
  </si>
  <si>
    <t>0.097</t>
  </si>
  <si>
    <t>12.418201158115062</t>
  </si>
  <si>
    <t>[0.008, -0.014]</t>
  </si>
  <si>
    <t>LINESTRING (5.667628074296846 59.05649441499878, 5.668725928083964 59.05639053635432, 5.670813235431321 59.056336848044644)</t>
  </si>
  <si>
    <t>[804969, 804977]</t>
  </si>
  <si>
    <t>[783379, 461013]</t>
  </si>
  <si>
    <t>[783369, 783379]</t>
  </si>
  <si>
    <t>[0.008, 0.014]</t>
  </si>
  <si>
    <t>184.8087118645854</t>
  </si>
  <si>
    <t>[0.019, 0.004, -0.004, -0.016, -0.02]</t>
  </si>
  <si>
    <t>LINESTRING (5.5927205345663245 59.13752763566508, 5.592450439070721 59.13747233644434, 5.590121465066607 59.13673995878386, 5.589977098354624 59.136698590933364, 5.5887924367881565 59.136568960185656, 5.588557581074579 59.136563221892985)</t>
  </si>
  <si>
    <t>[2100773, 2100774, 2100775, 2100785, 685556]</t>
  </si>
  <si>
    <t>[1816228, 1816229, 1816230, 677128, 677129]</t>
  </si>
  <si>
    <t>[461039, 1816228, 1816229, 1816230, 677128]</t>
  </si>
  <si>
    <t>[0.019, 0.004, 0.004, 0.016, 0.02]</t>
  </si>
  <si>
    <t>266.59275262445493</t>
  </si>
  <si>
    <t>[-0.011, -0.003, -0.001, -0.0]</t>
  </si>
  <si>
    <t>LINESTRING (18.937953047750714 69.5898354808706, 18.938019853450147 69.59422511665133, 18.93554741150683 69.60201747515185, 18.935667152935682 69.60617756232993, 18.935793866086197 69.60768766106185)</t>
  </si>
  <si>
    <t>[1190624, 1190632, 1190640, 1190648]</t>
  </si>
  <si>
    <t>[1118608, 1118614, 1118620, 1017229]</t>
  </si>
  <si>
    <t>[461367, 1118608, 1118614, 1118620]</t>
  </si>
  <si>
    <t>[0.011, 0.003, 0.001, 0.0]</t>
  </si>
  <si>
    <t>2011.0095671448532</t>
  </si>
  <si>
    <t>[-0.036, -0.013, -0.019, -0.018, -0.022, -0.018, -0.024, -0.02, -0.019, 0.637, -0.002]</t>
  </si>
  <si>
    <t>LINESTRING (18.939789683716448 69.58677136447679, 18.93940482901521 69.58726132855243, 18.939138529446698 69.58763840869952, 18.93904047202214 69.58778694418588, 18.938879477898162 69.58804611214163, 18.93887030360794 69.58806094426161, 18.93881789819471 69.58814500832666, 18.93880021164846 69.58817338195817, 18.93861766046438 69.58846675093821, 18.938471180443088 69.58873542856058, 18.938438413573753 69.58880600581514, 18.937953047750714 69.5898354808706)</t>
  </si>
  <si>
    <t>[463077, 287656, 287664, 287672, 287680, 287688, 287696, 287704, 287712, 463093, 463101]</t>
  </si>
  <si>
    <t>[281331, 281332, 281338, 281344, 281351, 281358, 281365, 281372, 281379, 461393, 461367]</t>
  </si>
  <si>
    <t>[461376, 281331, 281332, 281338, 281344, 281351, 281358, 281365, 281372, 281379, 461393]</t>
  </si>
  <si>
    <t>[0.036, 0.013, 0.019, 0.018, 0.022, 0.018, 0.024, 0.02, 0.019, 0.637, 0.002]</t>
  </si>
  <si>
    <t>349.75743714314893</t>
  </si>
  <si>
    <t>[-0.044, -0.018, -0.02, -0.023, -0.02, -0.023, -0.019, -0.017, -0.016, 0.646, 0.001, 0.002]</t>
  </si>
  <si>
    <t>LINESTRING (18.939789683716448 69.58677136447679, 18.939288811889746 69.58725020613674, 18.93888737627975 69.58778381669788, 18.938715341657108 69.58803937914533, 18.93870561660325 69.58805401703476, 18.938658510954685 69.58813208632745, 18.938642057798557 69.58816072862086, 18.938470291991965 69.58845662146528, 18.938387107617725 69.58861910552412, 18.93833510785532 69.58872543083223, 18.938301784964658 69.58879829345081, 18.938278358601654 69.5888495070604, 18.937953047750714 69.5898354808706)</t>
  </si>
  <si>
    <t>[463085, 287720, 287728, 287736, 287744, 287752, 287760, 287768, 287776, 463053, 463061, 463069]</t>
  </si>
  <si>
    <t>[281386, 281387, 281394, 281399, 281406, 281413, 281420, 281429, 281437, 461348, 461358, 461367]</t>
  </si>
  <si>
    <t>[461376, 281386, 281387, 281394, 281399, 281406, 281413, 281420, 281429, 281437, 461348, 461358]</t>
  </si>
  <si>
    <t>[0.044, 0.018, 0.02, 0.023, 0.02, 0.023, 0.019, 0.017, 0.016, 0.646, 0.001, 0.002]</t>
  </si>
  <si>
    <t>350.99381293934465</t>
  </si>
  <si>
    <t>12.1940623669428</t>
  </si>
  <si>
    <t>[0.033, 0.029, -0.031, -0.003, 0.036, 0.054, -0.006, -0.049]</t>
  </si>
  <si>
    <t>[0, 0, 0, 1, 1, 1, 0, 0]</t>
  </si>
  <si>
    <t>LINESTRING (11.271344333797611 59.128428658643145, 11.271243552129038 59.12848261937011, 11.271070328952188 59.12857663074, 11.269806920891739 59.12896929226589, 11.269550152879308 59.12897265770233, 11.268721087861937 59.12898370318073, 11.268498874801136 59.128985966217606, 11.269908187820503 59.12747326985699, 11.270020967777764 59.12739679500845)</t>
  </si>
  <si>
    <t>[463630, 463638, 1674466, 1674474, 1674482, 1674490, 1674498, 1739733]</t>
  </si>
  <si>
    <t>[461844, 461853, 1501818, 1501823, 1501830, 1501834, 1501839, 1498856]</t>
  </si>
  <si>
    <t>[461843, 461844, 461853, 1501818, 1501823, 1501830, 1501834, 1501839]</t>
  </si>
  <si>
    <t>[0.033, 0.029, 0.031, 0.003, 0.036, 0.054, 0.006, 0.049]</t>
  </si>
  <si>
    <t>663.8146276010506</t>
  </si>
  <si>
    <t>8.860134649160695</t>
  </si>
  <si>
    <t>[0.017, 0.015]</t>
  </si>
  <si>
    <t>LINESTRING (30.00359911559699 69.68729739977599, 30.00403414291834 69.68742567007945, 30.004109597792368 69.6874596557808)</t>
  </si>
  <si>
    <t>[464386, 464394]</t>
  </si>
  <si>
    <t>[462607, 462617]</t>
  </si>
  <si>
    <t>0.016644034142998813</t>
  </si>
  <si>
    <t>[462606, 462607]</t>
  </si>
  <si>
    <t>27.00128094999617</t>
  </si>
  <si>
    <t>[0.024, 0.027]</t>
  </si>
  <si>
    <t>14.0</t>
  </si>
  <si>
    <t>LINESTRING (30.00359911559699 69.68729739977599, 30.004190445106943 69.68732256382289, 30.004296157057023 69.68732769816043)</t>
  </si>
  <si>
    <t>[464395, 464402]</t>
  </si>
  <si>
    <t>[462618, 462625]</t>
  </si>
  <si>
    <t>0.02445583595952587</t>
  </si>
  <si>
    <t>[462606, 462618]</t>
  </si>
  <si>
    <t>27.326887579821324</t>
  </si>
  <si>
    <t>[-0.006, -0.0, 0.0, 0.001, 0.001, 0.0, 0.023]</t>
  </si>
  <si>
    <t>9559.0</t>
  </si>
  <si>
    <t>LINESTRING (29.998873358002765 69.68693499007887, 29.999631579343404 69.68699311690511, 29.999914212890943 69.68701448650455, 30.000142838833824 69.68703154612967, 30.0018755134208 69.68716307167851, 30.002457568164814 69.68720774527156, 30.003211386081425 69.68726721858032, 30.00359911559699 69.68729739977599)</t>
  </si>
  <si>
    <t>[1163609, 1163617, 1163625, 1163633, 1163634, 1163644, 1303315]</t>
  </si>
  <si>
    <t>[1097815, 1097824, 1097831, 1097837, 1097838, 1097847, 462606]</t>
  </si>
  <si>
    <t>0.0014153526451083844</t>
  </si>
  <si>
    <t>[1084173, 1097815, 1097824, 1097831, 1097837, 1097838, 1097847]</t>
  </si>
  <si>
    <t>[0.006, 0.0, 0.0, 0.001, 0.001, 0.0, 0.023]</t>
  </si>
  <si>
    <t>188.26003099746828</t>
  </si>
  <si>
    <t>[0.007, 0.018]</t>
  </si>
  <si>
    <t>LINESTRING (30.004109597792368 69.6874596557808, 30.004176992932457 69.68737401996042, 30.004296157057023 69.68732769816043)</t>
  </si>
  <si>
    <t>[464542, 464550]</t>
  </si>
  <si>
    <t>[462752, 462625]</t>
  </si>
  <si>
    <t>0.011528605359478307</t>
  </si>
  <si>
    <t>[462617, 462752]</t>
  </si>
  <si>
    <t>16.896441534610304</t>
  </si>
  <si>
    <t>33.155033437922604</t>
  </si>
  <si>
    <t>14.466669236388944</t>
  </si>
  <si>
    <t>[0.013, 0.01]</t>
  </si>
  <si>
    <t>LINESTRING (30.00470989478177 69.68761158083126, 30.00479465145526 69.68762812246341, 30.00529388108558 69.68775120742572)</t>
  </si>
  <si>
    <t>[464405, 464412]</t>
  </si>
  <si>
    <t>[462628, 462634]</t>
  </si>
  <si>
    <t>0.010411125474902872</t>
  </si>
  <si>
    <t>[462627, 462628]</t>
  </si>
  <si>
    <t>27.594512165977523</t>
  </si>
  <si>
    <t>[-0.019, -0.02]</t>
  </si>
  <si>
    <t>LINESTRING (30.005017312590876 69.68750415394982, 30.004880168993278 69.68757764769742, 30.00470989478177 69.68761158083126)</t>
  </si>
  <si>
    <t>[464516, 464524]</t>
  </si>
  <si>
    <t>[462730, 462627]</t>
  </si>
  <si>
    <t>[462644, 462730]</t>
  </si>
  <si>
    <t>[0.019, 0.02]</t>
  </si>
  <si>
    <t>17.44280337399969</t>
  </si>
  <si>
    <t>[-0.011, -0.016, -0.024, -0.012, 0.004, 0.005, 0.045, 0.018, 0.003, -0.001, 0.003, -0.006, 0.021, 0.609, 0.018]</t>
  </si>
  <si>
    <t>LINESTRING (30.00529388108558 69.68775120742572, 30.005727732701203 69.68876788745361, 30.005973212829726 69.6900373454625, 30.007382896993246 69.69241323175805, 30.01234154119633 69.69612501237395, 30.012978145539954 69.69650440157032, 30.014879096565057 69.69759231071141, 30.014921022133425 69.69761606475143, 30.0167189120915 69.69870283292249, 30.01697820831852 69.69888806619093, 30.018087442180313 69.69984247240086, 30.02078770836512 69.70269863250537, 30.024551774805367 69.70540221766237, 30.0259528648633 69.7064032113252, 30.026026268835093 69.70647668280691, 30.026861411685065 69.70750698690699)</t>
  </si>
  <si>
    <t>[464678, 464685, 1163652, 1163660, 1163668, 1163676, 1163684, 1163692, 1163700, 1163708, 1163724, 1163732, 1163740, 2095196, 2095204]</t>
  </si>
  <si>
    <t>[462899, 462905, 1097855, 1097863, 1097872, 1084853, 1097883, 1097888, 1097895, 1097903, 1097915, 1097923, 1008730, 1812624, 1812615]</t>
  </si>
  <si>
    <t>[462634, 462899, 462905, 1097855, 1097863, 1097872, 1084853, 1097883, 1097888, 1097895, 1097903, 1097915, 1097923, 1008730, 1812624]</t>
  </si>
  <si>
    <t>[0.011, 0.016, 0.024, 0.012, 0.004, 0.005, 0.045, 0.018, 0.003, 0.001, 0.003, 0.006, 0.021, 0.609, 0.018]</t>
  </si>
  <si>
    <t>2390.539331210367</t>
  </si>
  <si>
    <t>LINESTRING (30.005017312590876 69.68750415394982, 30.00505506544647 69.6875427765515, 30.00529388108558 69.68775120742572)</t>
  </si>
  <si>
    <t>[464428, 464436]</t>
  </si>
  <si>
    <t>[462645, 462634]</t>
  </si>
  <si>
    <t>[462644, 462645]</t>
  </si>
  <si>
    <t>29.68538841377795</t>
  </si>
  <si>
    <t>13.51979777953665</t>
  </si>
  <si>
    <t>LINESTRING (30.004992680540166 69.68738585051734, 30.005030152996557 69.68735264841894, 30.005211303235438 69.6871264003167)</t>
  </si>
  <si>
    <t>[464444, 464452]</t>
  </si>
  <si>
    <t>[462659, 462668]</t>
  </si>
  <si>
    <t>0.01639378505751377</t>
  </si>
  <si>
    <t>[462658, 462659]</t>
  </si>
  <si>
    <t>30.420960499424528</t>
  </si>
  <si>
    <t>[0.022, 0.011]</t>
  </si>
  <si>
    <t>LINESTRING (30.004647998828638 69.6872966952167, 30.00484619065775 69.6873266290886, 30.004992680540166 69.68738585051734)</t>
  </si>
  <si>
    <t>[464492, 464500]</t>
  </si>
  <si>
    <t>[462705, 462658]</t>
  </si>
  <si>
    <t>0.016392136651882726</t>
  </si>
  <si>
    <t>[462676, 462705]</t>
  </si>
  <si>
    <t>17.149719553744006</t>
  </si>
  <si>
    <t>[0.02, 0.019, 0.013, 0.026, 0.026, 0.054, 0.037, 0.045, 0.008, -0.015, 0.035, 0.021, -0.019, -0.062, -0.071, -0.073, -0.078, -0.046, 0.073, 0.069, -0.058, -0.153, -0.154, -0.143, -0.012, 0.005, 0.001, -0.004, -0.008, -0.007, -0.01]</t>
  </si>
  <si>
    <t>2839.0</t>
  </si>
  <si>
    <t>[0, 0, 0, 0, 0, 0, 1, 0, 0, 0, 0, 0, 0, 0, 0, 0, 0, 0, 0, 0, 0, 0, 0, 0, 1, 1, 0, 0, 0, 0, 0]</t>
  </si>
  <si>
    <t>LINESTRING (30.005211303235438 69.6871264003167, 30.00627549712834 69.68600995396646, 30.00635923889329 69.68597059169676, 30.016223465200984 69.68331457920324, 30.01629370431076 69.6832966510485, 30.023062232569917 69.68285260490168, 30.028119180925366 69.68317597293075, 30.028266717577527 69.68317365619615, 30.02995369031093 69.6831210063904, 30.03249684244702 69.68303485625172, 30.034970065429327 69.68310122790929, 30.04758166092825 69.68474934927644, 30.052395146188214 69.6847624337447, 30.05373647283131 69.68477853152052, 30.059270751737486 69.68490574552649, 30.05938254422043 69.68490856312499, 30.059510673425507 69.68491197472326, 30.0650825544787 69.68506113386287, 30.087163398920044 69.68529495976095, 30.090708931102537 69.68480759747729, 30.090940513137653 69.68476862265891, 30.10634238251661 69.68185074002307, 30.106693878096085 69.68179707244128, 30.106988000179705 69.68175311301154, 30.107997207336993 69.68160067468021, 30.11270260065768 69.68088235379439, 30.11517692031644 69.68050657046462, 30.116787438507174 69.68025899725254, 30.116902325150406 69.68024223083259, 30.11700068012571 69.68022787794301, 30.117437397581348 69.68016040730521, 30.117783996219632 69.68010713484979)</t>
  </si>
  <si>
    <t>[464558, 464566, 464574, 464582, 464590, 464598, 464606, 464614, 464622, 464630, 464638, 464646, 464661, 464669, 464677, 1319051, 1319061, 1319062, 1319069, 1319082, 1318971, 1319000, 1319008, 1319024, 1319025, 1319040, 1319043, 1319050, 1303044, 1303052, 1303060]</t>
  </si>
  <si>
    <t>[462769, 462779, 462788, 462799, 462808, 462818, 462825, 462834, 462842, 462850, 462859, 462866, 462883, 462892, 462898, 959648, 959667, 1226283, 1226289, 1226187, 1226188, 1226224, 1226231, 1226248, 1226249, 1226259, 959618, 1213858, 959597, 1213860, 1213863]</t>
  </si>
  <si>
    <t>[462668, 462769, 462779, 462788, 462799, 462808, 462818, 462825, 462834, 462842, 462850, 462859, 462866, 462883, 462892, 462898, 959648, 959667, 1226283, 1226289, 1226187, 1226188, 1226224, 1226231, 1226248, 1226249, 1226259, 959618, 1213858, 959597, 1213860]</t>
  </si>
  <si>
    <t>[0.02, 0.019, 0.013, 0.026, 0.026, 0.054, 0.037, 0.045, 0.008, 0.015, 0.035, 0.021, 0.019, 0.062, 0.071, 0.073, 0.078, 0.046, 0.073, 0.069, 0.058, 0.153, 0.154, 0.143, 0.012, 0.005, 0.001, 0.004, 0.008, 0.007, 0.01]</t>
  </si>
  <si>
    <t>4786.004942796524</t>
  </si>
  <si>
    <t>LINESTRING (30.004647998828638 69.6872966952167, 30.004731093256233 69.68727562479607, 30.005211303235438 69.6871264003167)</t>
  </si>
  <si>
    <t>[464460, 464476]</t>
  </si>
  <si>
    <t>[462677, 462668]</t>
  </si>
  <si>
    <t>0.02658693700119088</t>
  </si>
  <si>
    <t>[462676, 462677]</t>
  </si>
  <si>
    <t>29.064056500143394</t>
  </si>
  <si>
    <t>[0.058, 0.042, -0.01, 0.001, 0.012, 0.015]</t>
  </si>
  <si>
    <t>LINESTRING (10.183084373913946 59.15431208076952, 10.183030993424593 59.154257122315876, 10.182122245621715 59.152770207579714, 10.181696016265867 59.15251008971637, 10.179338773314363 59.150935842769975, 10.179131277962066 59.150739290293174, 10.178804743165205 59.150402719310975)</t>
  </si>
  <si>
    <t>[466582, 466590, 959206, 959214, 959222, 959263]</t>
  </si>
  <si>
    <t>[464857, 464864, 925602, 925609, 925615, 925645]</t>
  </si>
  <si>
    <t>0.016995138563549752</t>
  </si>
  <si>
    <t>[464856, 464857, 464864, 925602, 925609, 925615]</t>
  </si>
  <si>
    <t>[0.058, 0.042, 0.01, 0.001, 0.012, 0.015]</t>
  </si>
  <si>
    <t>512.8798249670516</t>
  </si>
  <si>
    <t>[0.047, 0.026]</t>
  </si>
  <si>
    <t>LINESTRING (10.183084373913946 59.15431208076952, 10.18312808738815 59.15424543807309, 10.18330926975417 59.1541801166551)</t>
  </si>
  <si>
    <t>[958836, 958844]</t>
  </si>
  <si>
    <t>[925354, 464882]</t>
  </si>
  <si>
    <t>0.033928607155893</t>
  </si>
  <si>
    <t>[464856, 925354]</t>
  </si>
  <si>
    <t>20.760061364192953</t>
  </si>
  <si>
    <t>[-0.056, 0.01, 0.053, 0.067, 0.06]</t>
  </si>
  <si>
    <t>LINESTRING (10.183643978206115 59.15427454828721, 10.183526893729354 59.154450423281304, 10.183299876188203 59.154469747777476, 10.183171801276082 59.15443193886012, 10.183093912185026 59.154364969180506, 10.183084373913946 59.15431208076952)</t>
  </si>
  <si>
    <t>[958796, 958804, 958812, 958820, 958828]</t>
  </si>
  <si>
    <t>[925326, 925330, 925336, 925343, 464856]</t>
  </si>
  <si>
    <t>0.004755537838152112</t>
  </si>
  <si>
    <t>[925325, 925326, 925330, 925336, 925343]</t>
  </si>
  <si>
    <t>[0.056, 0.01, 0.053, 0.067, 0.06]</t>
  </si>
  <si>
    <t>58.67160388071119</t>
  </si>
  <si>
    <t>6.422897321308769</t>
  </si>
  <si>
    <t>[-0.058, 0.009, 0.01, -0.026]</t>
  </si>
  <si>
    <t>LINESTRING (10.18896067723567 59.156325794700855, 10.188443580327723 59.156022595691056, 10.186345351970083 59.15492723853673, 10.183209589858233 59.15416527603812, 10.18330926975417 59.1541801166551)</t>
  </si>
  <si>
    <t>[959068, 959052, 466598, 466606]</t>
  </si>
  <si>
    <t>[925509, 464873, 464874, 464882]</t>
  </si>
  <si>
    <t>0.003793853921325868</t>
  </si>
  <si>
    <t>[925520, 925509, 464873, 464874]</t>
  </si>
  <si>
    <t>[0.058, 0.009, 0.01, 0.026]</t>
  </si>
  <si>
    <t>554.3569380725294</t>
  </si>
  <si>
    <t>[0.021, -0.044, -0.057, -0.044, -0.036, -0.021, -0.011, 0.01, 0.011]</t>
  </si>
  <si>
    <t>LINESTRING (11.01445523846404 59.615128125268086, 11.014442892478232 59.61513317951029, 11.012785534127357 59.61581432056311, 11.012537438125216 59.61591565409762, 11.006084940892935 59.61855214179196, 11.005870549203543 59.61863964869132, 11.005284498533795 59.61887927703555, 11.005239061978276 59.61889784010676, 11.00005607965236 59.621015219452765, 11.00003175404895 59.62102515677231)</t>
  </si>
  <si>
    <t>[1725744, 1725752, 1820877, 1820885, 1820893, 1820901, 1820909, 1820910, 1820918]</t>
  </si>
  <si>
    <t>[1535723, 1535730, 1600797, 1600804, 1600809, 1600816, 1600821, 1600822, 1600506]</t>
  </si>
  <si>
    <t>[465850, 1535723, 1535730, 1600797, 1600804, 1600809, 1600816, 1600821, 1600822]</t>
  </si>
  <si>
    <t>[0.021, 0.044, 0.057, 0.044, 0.036, 0.021, 0.011, 0.01, 0.011]</t>
  </si>
  <si>
    <t>1046.3398724080025</t>
  </si>
  <si>
    <t>[0.032, 0.041, 0.048, -0.007]</t>
  </si>
  <si>
    <t>LINESTRING (11.005678342481843 59.61813550414368, 11.005744509479596 59.61811689931565, 11.012580637753901 59.61583363792513, 11.014260917477076 59.61515032948645, 11.01445523846404 59.615128125268086)</t>
  </si>
  <si>
    <t>[1820848, 1820862, 467750, 467702]</t>
  </si>
  <si>
    <t>[1600777, 465898, 465849, 465850]</t>
  </si>
  <si>
    <t>0.041454771646001955</t>
  </si>
  <si>
    <t>[645664, 1600777, 465898, 465849]</t>
  </si>
  <si>
    <t>[0.032, 0.041, 0.048, 0.007]</t>
  </si>
  <si>
    <t>600.763638622481</t>
  </si>
  <si>
    <t>[0.007, 0.0, -0.002, -0.079, -0.1, -0.056, 0.077, 0.118, 0.002, -0.005, -0.041, -0.009, 0.003, 0.019, 0.024, 0.006, -0.021, 0.016, 0.019, -0.003]</t>
  </si>
  <si>
    <t>14704.0</t>
  </si>
  <si>
    <t>[0, 0, 0, 0, 0, 1, 1, 0, 0, 0, 0, 1, 0, 1, 0, 0, 0, 1, 1, 0]</t>
  </si>
  <si>
    <t>LINESTRING (11.113455671105157 59.58774907364533, 11.113006724159623 59.58799203728598, 11.112689269160773 59.5881602451163, 11.097072684980413 59.592052702660474, 11.097044419635155 59.59205684885832, 11.094420791714763 59.592441131465826, 11.09148162526745 59.59287133256672, 11.089539847725913 59.593155763635416, 11.087631755829479 59.59346218362678, 11.084646328826462 59.594165344814584, 11.07351319379932 59.598251479714705, 11.073467324909819 59.598263696230134, 11.071094512501453 59.598812874016254, 11.064262107474196 59.6003107149493, 11.062026186909053 59.60100724490449, 11.050857716302117 59.60487051049001, 11.021465359661706 59.61226214565679, 11.0188899830006 59.6133145668322, 11.018789251135656 59.61335609490684, 11.018539973439001 59.613457834715966, 11.01445523846404 59.615128125268086)</t>
  </si>
  <si>
    <t>[1725567, 1725575, 1725583, 1725591, 1725599, 1725607, 1725615, 1725471, 1725479, 1725487, 1725495, 1725503, 1725623, 1725631, 1725639, 1725711, 1725718, 1725720, 1725728, 1725736]</t>
  </si>
  <si>
    <t>[1535625, 1535631, 1535635, 1535641, 1535646, 1535651, 1535565, 1535566, 1535571, 1535575, 1535580, 1535586, 1535658, 1535660, 1535665, 1535701, 1535704, 1535706, 1535712, 465850]</t>
  </si>
  <si>
    <t>0.0030327514199584393</t>
  </si>
  <si>
    <t>[1535514, 1535625, 1535631, 1535635, 1535641, 1535646, 1535651, 1535565, 1535566, 1535571, 1535575, 1535580, 1535586, 1535658, 1535660, 1535665, 1535701, 1535704, 1535706, 1535712]</t>
  </si>
  <si>
    <t>[0.007, 0.0, 0.002, 0.079, 0.1, 0.056, 0.077, 0.118, 0.002, 0.005, 0.041, 0.009, 0.003, 0.019, 0.024, 0.006, 0.021, 0.016, 0.019, 0.003]</t>
  </si>
  <si>
    <t>6465.167659770905</t>
  </si>
  <si>
    <t>[-0.004, -0.0, -0.021, -0.054, -0.02, -0.011, -0.012]</t>
  </si>
  <si>
    <t>17451.0</t>
  </si>
  <si>
    <t>[0, 1, 1, 0, 0, 0, 0]</t>
  </si>
  <si>
    <t>LINESTRING (10.999155935622465 59.62149135592824, 10.999103067020329 59.62151295338257, 10.99901757098558 59.62154787534932, 10.996909775201841 59.62240879464085, 10.996455909568494 59.62259416098151, 10.960034607482003 59.62692571395624, 10.959517246544497 59.62705494552996, 10.959346472186052 59.627099302851995)</t>
  </si>
  <si>
    <t>[1821200, 1821216, 1821231, 1821256, 1821278, 1821292, 1821293]</t>
  </si>
  <si>
    <t>[1601067, 1601080, 1601095, 1601118, 1601132, 1601143, 465868]</t>
  </si>
  <si>
    <t>[465862, 1601067, 1601080, 1601095, 1601118, 1601132, 1601143]</t>
  </si>
  <si>
    <t>[0.004, 0.0, 0.021, 0.054, 0.02, 0.011, 0.012]</t>
  </si>
  <si>
    <t>2398.7315409186635</t>
  </si>
  <si>
    <t>[0.013, 0.017, 0.018, -0.011]</t>
  </si>
  <si>
    <t>LINESTRING (11.00545385368598 59.619452454839944, 11.005398854092496 59.61946159180032, 11.005243306761942 59.61948742099772, 10.999302040697332 59.62148472750738, 10.999155935622465 59.62149135592824)</t>
  </si>
  <si>
    <t>[653511, 653519, 653527, 467710]</t>
  </si>
  <si>
    <t>[645577, 645584, 465861, 465862]</t>
  </si>
  <si>
    <t>0.017378329907146817</t>
  </si>
  <si>
    <t>[645576, 645577, 645584, 465861]</t>
  </si>
  <si>
    <t>[0.013, 0.017, 0.018, 0.011]</t>
  </si>
  <si>
    <t>427.415911111771</t>
  </si>
  <si>
    <t>[-0.045, -0.036, -0.022, -0.007, 0.012, 0.005]</t>
  </si>
  <si>
    <t>LINESTRING (11.012670092999574 59.61597263136142, 11.006157477436822 59.618630873118285, 11.005900503425998 59.61873592470474, 11.005323076600522 59.61897181565827, 11.00515660471677 59.61903983621927, 11.00013958327813 59.62108956042969, 10.999155935622465 59.62149135592824)</t>
  </si>
  <si>
    <t>[1821155, 1821161, 1821162, 1821174, 1821188, 1821189]</t>
  </si>
  <si>
    <t>[1601026, 1601032, 1601033, 1601044, 1601058, 465862]</t>
  </si>
  <si>
    <t>[1535744, 1601026, 1601032, 1601033, 1601044, 1601058]</t>
  </si>
  <si>
    <t>[0.045, 0.036, 0.022, 0.007, 0.012, 0.005]</t>
  </si>
  <si>
    <t>979.9056497643282</t>
  </si>
  <si>
    <t>[-0.016, -0.011, -0.012, 0.023, 0.086, 0.047, -0.067, -0.088, -0.073]</t>
  </si>
  <si>
    <t>LINESTRING (10.959346472186052 59.627099302851995, 10.959272688331142 59.62716843849182, 10.95899245113734 59.627249020433126, 10.958937043102674 59.627265309334064, 10.954765981741197 59.62868381801221, 10.954573163175144 59.62876809933839, 10.95483983279298 59.629908444905006, 10.955701030500494 59.629766531832615, 10.955797946092014 59.62973228636367, 10.955862172158595 59.62970959997946)</t>
  </si>
  <si>
    <t>[467718, 654160, 654168, 654176, 654184, 654192, 654200, 654208, 654216]</t>
  </si>
  <si>
    <t>[465869, 646109, 646114, 646117, 646121, 646128, 646133, 646141, 646026]</t>
  </si>
  <si>
    <t>0.019122845220118298</t>
  </si>
  <si>
    <t>[465868, 465869, 646109, 646114, 646117, 646121, 646128, 646133, 646141]</t>
  </si>
  <si>
    <t>[0.016, 0.011, 0.012, 0.023, 0.086, 0.047, 0.067, 0.088, 0.073]</t>
  </si>
  <si>
    <t>556.2400345012927</t>
  </si>
  <si>
    <t>[-0.013, -0.01, -0.008, 0.023, 0.082, 0.087, 0.08, 0.107, 0.084]</t>
  </si>
  <si>
    <t>LINESTRING (10.959346472186052 59.627099302851995, 10.959316498642094 59.627107206495396, 10.958943567396194 59.62720696320048, 10.958893975527667 59.62722050066163, 10.954695560768526 59.62864816029465, 10.954503247889626 59.628728833876515, 10.951582070681011 59.63017284983376, 10.949696266784576 59.63139645491302, 10.949583352829062 59.63147963230718, 10.948427851380401 59.632388949169915)</t>
  </si>
  <si>
    <t>[1821294, 1821299, 1821307, 1821315, 1821324, 1821332, 1821340, 1821348, 1821356]</t>
  </si>
  <si>
    <t>[1601144, 1601148, 1601153, 1601161, 1601164, 1601170, 1601174, 1601180, 465883]</t>
  </si>
  <si>
    <t>0.060949428143330195</t>
  </si>
  <si>
    <t>[465868, 1601144, 1601148, 1601153, 1601161, 1601164, 1601170, 1601174, 1601180]</t>
  </si>
  <si>
    <t>[0.013, 0.01, 0.008, 0.023, 0.082, 0.087, 0.08, 0.107, 0.084]</t>
  </si>
  <si>
    <t>864.164268825243</t>
  </si>
  <si>
    <t>[-0.011, -0.011, -0.011, -0.019, 0.022, 0.081, 0.086]</t>
  </si>
  <si>
    <t>[0, 0, 0, 0, 1, 1, 0]</t>
  </si>
  <si>
    <t>LINESTRING (10.95989806105778 59.62686528969131, 10.959442347804682 59.626979629001156, 10.95923933831708 59.62703239543749, 10.958863528725733 59.6271329171686, 10.958814262814311 59.627146401725994, 10.9545896193287 59.628583030044766, 10.954394875763926 59.62866472521792, 10.949603711852472 59.63131587508353)</t>
  </si>
  <si>
    <t>[1821000, 1821016, 1821040, 1821048, 1821056, 1821059, 1821060]</t>
  </si>
  <si>
    <t>[1600901, 1600916, 1600938, 1600946, 1600954, 1600958, 465890]</t>
  </si>
  <si>
    <t>0.0534058251863446</t>
  </si>
  <si>
    <t>[465877, 1600901, 1600916, 1600938, 1600946, 1600954, 1600958]</t>
  </si>
  <si>
    <t>[0.011, 0.011, 0.011, 0.019, 0.022, 0.081, 0.086]</t>
  </si>
  <si>
    <t>772.2201249630316</t>
  </si>
  <si>
    <t>[0.066, 0.051, 0.062, 0.065, -0.058, -0.084, -0.021, 0.015, 0.011, 0.011, 0.007]</t>
  </si>
  <si>
    <t>[0, 0, 0, 0, 0, 1, 1, 0, 0, 0, 0]</t>
  </si>
  <si>
    <t>LINESTRING (10.954422182598426 59.62756522834583, 10.954383827593512 59.62756474422381, 10.954347793671353 59.62756429586393, 10.954250097960122 59.62756306555972, 10.952090531982273 59.628371092890404, 10.954327371362583 59.628627700931034, 10.95452894732833 59.62854440088144, 10.958773290981684 59.6271008485431, 10.958819584332542 59.62708934908772, 10.959415710171717 59.62694284389749, 10.959621845914699 59.62689418355808, 10.95989806105778 59.62686528969131)</t>
  </si>
  <si>
    <t>[1820739, 1820747, 1820755, 1820763, 1820771, 1820779, 1820787, 1820796, 1820804, 1820812, 467726]</t>
  </si>
  <si>
    <t>[1600678, 1600687, 1600695, 1600704, 1600712, 1600718, 1600726, 1600736, 1600744, 465876, 465877]</t>
  </si>
  <si>
    <t>[645922, 1600678, 1600687, 1600695, 1600704, 1600712, 1600718, 1600726, 1600736, 1600744, 465876]</t>
  </si>
  <si>
    <t>[0.066, 0.051, 0.062, 0.065, 0.058, 0.084, 0.021, 0.015, 0.011, 0.011, 0.007]</t>
  </si>
  <si>
    <t>714.7997954674256</t>
  </si>
  <si>
    <t>[0.005, 0.001, -0.002, -0.025, -0.057, -0.02, -0.014]</t>
  </si>
  <si>
    <t>LINESTRING (11.00003175404895 59.62102515677231, 10.999058312070387 59.621422777150066, 10.998998652663921 59.621447151831326, 10.998953563311291 59.621465570628985, 10.996515802068439 59.62246125200273, 10.996349537936831 59.62252916050719, 10.959962634429564 59.62684967887455, 10.95989806105778 59.62686528969131)</t>
  </si>
  <si>
    <t>[1820929, 1820939, 1820947, 1820964, 1820972, 1820973, 1820985]</t>
  </si>
  <si>
    <t>[1600834, 1600841, 1600848, 1600867, 1600877, 1600878, 465877]</t>
  </si>
  <si>
    <t>[1600506, 1600834, 1600841, 1600848, 1600867, 1600877, 1600878]</t>
  </si>
  <si>
    <t>[0.005, 0.001, 0.002, 0.025, 0.057, 0.02, 0.014]</t>
  </si>
  <si>
    <t>2428.3034217416816</t>
  </si>
  <si>
    <t>[0.062, 0.085, 0.065, 0.055, 0.082, 0.08]</t>
  </si>
  <si>
    <t>LINESTRING (10.955942404626953 59.62978778057559, 10.95587068935967 59.629804994037855, 10.955774603931742 59.62982807174883, 10.954825772534262 59.62995736957267, 10.951803954321152 59.63012091209821, 10.948543998053548 59.632364510505695, 10.948427851380401 59.632388949169915)</t>
  </si>
  <si>
    <t>[1820222, 1820233, 1820234, 1820241, 1820249, 467734]</t>
  </si>
  <si>
    <t>[1600291, 1600301, 1600302, 1600306, 465882, 465883]</t>
  </si>
  <si>
    <t>0.07103671030790798</t>
  </si>
  <si>
    <t>[646017, 1600291, 1600301, 1600302, 1600306, 465882]</t>
  </si>
  <si>
    <t>582.6300603859827</t>
  </si>
  <si>
    <t>[-0.094, -0.077, -0.048, -0.066, -0.058, -0.049, -0.061]</t>
  </si>
  <si>
    <t>LINESTRING (10.949603711852472 59.63131587508353, 10.949729213213887 59.631157339944835, 10.951546822578273 59.62999050612339, 10.951994521052201 59.62837972195867, 10.954230513830218 59.62750770664813, 10.954299656826253 59.62749633956287, 10.954333747811843 59.62749037143368, 10.954389961840477 59.62748052872989)</t>
  </si>
  <si>
    <t>[467742, 654112, 654120, 654128, 654136, 654144, 654152]</t>
  </si>
  <si>
    <t>[465891, 646066, 646072, 646078, 646087, 646094, 645929]</t>
  </si>
  <si>
    <t>[465890, 465891, 646066, 646072, 646078, 646087, 646094]</t>
  </si>
  <si>
    <t>[0.094, 0.077, 0.048, 0.066, 0.058, 0.049, 0.061]</t>
  </si>
  <si>
    <t>577.8924687265809</t>
  </si>
  <si>
    <t>[0.013, 0.014, 0.012]</t>
  </si>
  <si>
    <t>LINESTRING (15.084574754039709 66.46457975626092, 15.084866075950625 66.46452110704642, 15.085229344807287 66.46446894901659, 15.088371043212854 66.4641119684241)</t>
  </si>
  <si>
    <t>[1004929, 1004930, 1004931]</t>
  </si>
  <si>
    <t>[961911, 961912, 961913]</t>
  </si>
  <si>
    <t>0.012276547987561857</t>
  </si>
  <si>
    <t>[467585, 961911, 961912]</t>
  </si>
  <si>
    <t>177.4534299110826</t>
  </si>
  <si>
    <t>[0.014, 0.013, 0.013]</t>
  </si>
  <si>
    <t>LINESTRING (15.084574754039709 66.46457975626092, 15.085252753766937 66.46450244318095, 15.088371360249853 66.46418256156288, 15.088545222327108 66.46416551684291)</t>
  </si>
  <si>
    <t>[1004960, 1004964, 1004967]</t>
  </si>
  <si>
    <t>[961945, 961948, 961950]</t>
  </si>
  <si>
    <t>0.013172114142488459</t>
  </si>
  <si>
    <t>[467585, 961945, 961948]</t>
  </si>
  <si>
    <t>182.9905653244644</t>
  </si>
  <si>
    <t>[0.037, 0.037, 0.028, 0.05, 0.028, 0.016, 0.007, -0.004, -0.016, -0.004, 0.039, 0.035, 0.029, 0.018, -0.021]</t>
  </si>
  <si>
    <t>LINESTRING (15.093577055779388 66.46344082765928, 15.093853843044833 66.46338723005358, 15.095849816036642 66.46293997749248, 15.100265160691771 66.4615300865942, 15.102730030472976 66.46064283502547, 15.10500731593603 66.45982255885092, 15.105248380034904 66.45973576306031, 15.105938071078885 66.45948780315143, 15.106059989486376 66.4594439954569, 15.10881450511125 66.45845301416622, 15.122640614983021 66.45347210704676, 15.123067463381249 66.45331965777193, 15.123605718493012 66.45312506279947, 15.123859648441265 66.45303515089257, 15.125422117665963 66.45247081653562, 15.129881359576999 66.45086553862149)</t>
  </si>
  <si>
    <t>[469505, 469511, 469512, 469519, 469527, 469536, 469537, 469539, 469541, 469542, 469550, 469558, 469559, 469561, 469570]</t>
  </si>
  <si>
    <t>[467607, 467614, 467615, 467620, 467627, 467635, 467636, 348283, 467641, 348281, 467652, 467662, 467663, 467666, 467676]</t>
  </si>
  <si>
    <t>0.007334257432973688</t>
  </si>
  <si>
    <t>[467606, 467607, 467614, 467615, 467620, 467627, 467635, 467636, 348283, 467641, 348281, 467652, 467662, 467663, 467666]</t>
  </si>
  <si>
    <t>[0.037, 0.037, 0.028, 0.05, 0.028, 0.016, 0.007, 0.004, 0.016, 0.004, 0.039, 0.035, 0.029, 0.018, 0.021]</t>
  </si>
  <si>
    <t>2144.4041109720793</t>
  </si>
  <si>
    <t>[0.011, 0.011, 0.056]</t>
  </si>
  <si>
    <t>LINESTRING (15.088599013051091 66.4640890797981, 15.088780029165267 66.46407090937858, 15.089638109625552 66.46398524842488, 15.093577055779388 66.46344082765928)</t>
  </si>
  <si>
    <t>[1004947, 1004954, 1004959]</t>
  </si>
  <si>
    <t>[961932, 961940, 467606]</t>
  </si>
  <si>
    <t>0.046811565766589895</t>
  </si>
  <si>
    <t>[961931, 961932, 961940]</t>
  </si>
  <si>
    <t>233.74204606540764</t>
  </si>
  <si>
    <t>[0.011, 0.011, 0.063, 0.055]</t>
  </si>
  <si>
    <t>LINESTRING (15.088545222327108 66.46416551684291, 15.08881494361652 66.46413906964929, 15.089669250757009 66.46405191250201, 15.089998521005668 66.46401693349763, 15.093577055779388 66.46344082765928)</t>
  </si>
  <si>
    <t>[1004970, 1004983, 1004995, 1005003]</t>
  </si>
  <si>
    <t>[961955, 961968, 961980, 467606]</t>
  </si>
  <si>
    <t>0.04600465090355302</t>
  </si>
  <si>
    <t>[961950, 961955, 961968, 961980]</t>
  </si>
  <si>
    <t>239.2056658982017</t>
  </si>
  <si>
    <t>[0.007, 0.022, 0.022, 0.022, 0.043]</t>
  </si>
  <si>
    <t>LINESTRING (15.129881359576999 66.45086553862149, 15.136266136292223 66.4493328626958, 15.13649966913729 66.4493017085955, 15.137506342182203 66.44917977900457, 15.137723004951733 66.44915655939369, 15.14152386803665 66.44883334360307)</t>
  </si>
  <si>
    <t>[1004788, 1004789, 1004790, 1004798, 1004803]</t>
  </si>
  <si>
    <t>[961785, 961786, 961787, 961794, 467677]</t>
  </si>
  <si>
    <t>0.01961513244651141</t>
  </si>
  <si>
    <t>[467676, 961785, 961786, 961787, 961794]</t>
  </si>
  <si>
    <t>575.1331852226256</t>
  </si>
  <si>
    <t>[0.006, 0.022, 0.023, 0.022, 0.043]</t>
  </si>
  <si>
    <t>LINESTRING (15.129881359576999 66.45086553862149, 15.136053979875228 66.44929447186433, 15.136354513060835 66.44925231489529, 15.136489540747453 66.4492335550764, 15.137499598169853 66.44911170330951, 15.14152386803665 66.44883334360307)</t>
  </si>
  <si>
    <t>[1004869, 1004884, 1004898, 1004901, 1004909]</t>
  </si>
  <si>
    <t>[961857, 961870, 961882, 961886, 467677]</t>
  </si>
  <si>
    <t>0.019530937146175265</t>
  </si>
  <si>
    <t>[467676, 961857, 961870, 961882, 961886]</t>
  </si>
  <si>
    <t>578.8138083521303</t>
  </si>
  <si>
    <t>[0.059, 0.055, 0.048, 0.044, 0.066, 0.057, 0.023, 0.018, -0.018, -0.034, 0.035, 0.049, 0.047, 0.021, 0.03, 0.031, 0.012, 0.084, 0.025, 0.011]</t>
  </si>
  <si>
    <t>[0, 0, 0, 0, 0, 0, 0, 0, 0, 0, 0, 0, 0, 0, 1, 0, 0, 1, 0, 0]</t>
  </si>
  <si>
    <t>LINESTRING (15.14152386803665 66.44883334360307, 15.14418432695898 66.44866200352743, 15.145321171508803 66.44858593405819, 15.147340796603624 66.44845924576295, 15.148859229400879 66.44836119681479, 15.171293181925332 66.44780443321137, 15.182306040397668 66.44900504517146, 15.191476298244247 66.45014273790119, 15.214982895811572 66.45935916707263, 15.228889368173293 66.46618695272763, 15.231352234350911 66.46806788768295, 15.232566707175149 66.47039972104913, 15.234284292682968 66.47671040634995, 15.234156041775634 66.47814211594505, 15.234156598435545 66.4843061510286, 15.234118279815142 66.48443521260141, 15.233552330349946 66.48892533223464, 15.233844078370712 66.4892809945379, 15.23391892770545 66.48935749567889, 15.238807326535223 66.4917911420639, 15.241112247858169 66.49293823810096)</t>
  </si>
  <si>
    <t>[469571, 469585, 469593, 469594, 469597, 469621, 469631, 469651, 469658, 469666, 469672, 469673, 469682, 469695, 469704, 469705, 469706, 469715, 469723, 469729]</t>
  </si>
  <si>
    <t>[467678, 467693, 467700, 467701, 467504, 467724, 348405, 467755, 348275, 348266, 467780, 467781, 467792, 467804, 467816, 467817, 467818, 467829, 467840, 467849]</t>
  </si>
  <si>
    <t>0.027439723487023192</t>
  </si>
  <si>
    <t>[467677, 467678, 467693, 467700, 467701, 467504, 467724, 348405, 467755, 348275, 348266, 467780, 467781, 467792, 467804, 467816, 467817, 467818, 467829, 467840]</t>
  </si>
  <si>
    <t>[0.059, 0.055, 0.048, 0.044, 0.066, 0.057, 0.023, 0.018, 0.018, 0.034, 0.035, 0.049, 0.047, 0.021, 0.03, 0.031, 0.012, 0.084, 0.025, 0.011]</t>
  </si>
  <si>
    <t>7943.031638908702</t>
  </si>
  <si>
    <t>[0.069, 0.033, -0.061, -0.053]</t>
  </si>
  <si>
    <t>LINESTRING (7.494832607535437 58.03733824894393, 7.495626992317998 58.03792811622873, 7.500913783520104 58.04231155612966, 7.502241226562801 58.04356110271385, 7.502889271843802 58.04420193691684)</t>
  </si>
  <si>
    <t>[471282, 471290, 471298, 471306]</t>
  </si>
  <si>
    <t>[469708, 469719, 469731, 469742]</t>
  </si>
  <si>
    <t>0.011834809348314414</t>
  </si>
  <si>
    <t>[469707, 469708, 469719, 469731]</t>
  </si>
  <si>
    <t>[0.069, 0.033, 0.061, 0.053]</t>
  </si>
  <si>
    <t>902.9890432259397</t>
  </si>
  <si>
    <t>[-0.053, -0.041, 0.026]</t>
  </si>
  <si>
    <t>LINESTRING (7.491532373217568 58.034477441088505, 7.491547785550346 58.03454624785455, 7.491824741356892 58.0349653410168, 7.494832607535437 58.03733824894393)</t>
  </si>
  <si>
    <t>[471426, 471434, 471442]</t>
  </si>
  <si>
    <t>[469878, 469887, 469707]</t>
  </si>
  <si>
    <t>0.015539892188431584</t>
  </si>
  <si>
    <t>[469783, 469878, 469887]</t>
  </si>
  <si>
    <t>[0.053, 0.041, 0.026]</t>
  </si>
  <si>
    <t>377.55256420777033</t>
  </si>
  <si>
    <t>[-0.019, -0.031, 0.027]</t>
  </si>
  <si>
    <t>LINESTRING (7.491228893176181 58.03452526045838, 7.491321119194099 58.034587713481734, 7.491719748250516 58.03499166300312, 7.494832607535437 58.03733824894393)</t>
  </si>
  <si>
    <t>[471498, 471506, 471514]</t>
  </si>
  <si>
    <t>[469942, 469950, 469707]</t>
  </si>
  <si>
    <t>0.018167012384237086</t>
  </si>
  <si>
    <t>[469799, 469942, 469950]</t>
  </si>
  <si>
    <t>[0.019, 0.031, 0.027]</t>
  </si>
  <si>
    <t>381.00683232435284</t>
  </si>
  <si>
    <t>[-0.019, 0.013, -0.019, 0.007, 0.014, -0.036]</t>
  </si>
  <si>
    <t>LINESTRING (7.502889271843802 58.04420193691684, 7.506937155968173 58.0477948854527, 7.510992836044596 58.04984528800993, 7.51672147474636 58.05293063084198, 7.5265000848149155 58.06177928305737, 7.533126042635197 58.06770899399472, 7.533146817294275 58.067749437858765)</t>
  </si>
  <si>
    <t>[471522, 471530, 1249625, 1249889, 1249895, 1249905]</t>
  </si>
  <si>
    <t>[469963, 469970, 1169001, 1169200, 1169207, 1169218]</t>
  </si>
  <si>
    <t>0.001781917065053698</t>
  </si>
  <si>
    <t>[469742, 469963, 469970, 1169001, 1169200, 1169207]</t>
  </si>
  <si>
    <t>[0.019, 0.013, 0.019, 0.007, 0.014, 0.036]</t>
  </si>
  <si>
    <t>3287.438245921788</t>
  </si>
  <si>
    <t>[-0.019, 0.013, -0.02, 0.008, 0.014, -0.03]</t>
  </si>
  <si>
    <t>LINESTRING (7.502889271843802 58.04420193691684, 7.506857429170243 58.04782836925749, 7.510922051451691 58.04988395556681, 7.516652996086075 58.05297038456835, 7.526424175171301 58.06181510569633, 7.532889449625106 58.06770135935102, 7.532862009171444 58.06773968248956)</t>
  </si>
  <si>
    <t>[471570, 471578, 1250137, 1249955, 1249963, 1249971]</t>
  </si>
  <si>
    <t>[469996, 470003, 1169252, 1169253, 1169259, 1169265]</t>
  </si>
  <si>
    <t>0.001976793616227633</t>
  </si>
  <si>
    <t>[469742, 469996, 470003, 1169252, 1169253, 1169259]</t>
  </si>
  <si>
    <t>[0.019, 0.013, 0.02, 0.008, 0.014, 0.03]</t>
  </si>
  <si>
    <t>3284.259225883006</t>
  </si>
  <si>
    <t>[0.009, -0.023, -0.051, -0.077]</t>
  </si>
  <si>
    <t>LINESTRING (7.491365499989886 58.03422157937221, 7.4914825657200845 58.03424844860048, 7.491591165789978 58.03432918385458, 7.491599069950947 58.03440457801585, 7.491532373217568 58.034477441088505)</t>
  </si>
  <si>
    <t>[471314, 471322, 471330, 471338]</t>
  </si>
  <si>
    <t>[469755, 469764, 469774, 469783]</t>
  </si>
  <si>
    <t>[469754, 469755, 469764, 469774]</t>
  </si>
  <si>
    <t>[0.009, 0.023, 0.051, 0.077]</t>
  </si>
  <si>
    <t>36.0855799394945</t>
  </si>
  <si>
    <t>[0.069, 0.048]</t>
  </si>
  <si>
    <t>LINESTRING (7.491071144635788 58.03428337376273, 7.4911895075841795 58.034232329262046, 7.491365499989886 58.03422157937221)</t>
  </si>
  <si>
    <t>[471370, 471386]</t>
  </si>
  <si>
    <t>[469816, 469754]</t>
  </si>
  <si>
    <t>0.057716344922188856</t>
  </si>
  <si>
    <t>[469808, 469816]</t>
  </si>
  <si>
    <t>19.51678969476984</t>
  </si>
  <si>
    <t>[-0.014, -0.018]</t>
  </si>
  <si>
    <t>LINESTRING (7.490994216562477 58.03401129738989, 7.491269725021647 58.03416306335245, 7.491365499989886 58.03422157937221)</t>
  </si>
  <si>
    <t>[471410, 471418]</t>
  </si>
  <si>
    <t>[469858, 469754]</t>
  </si>
  <si>
    <t>[469848, 469858]</t>
  </si>
  <si>
    <t>[0.014, 0.018]</t>
  </si>
  <si>
    <t>32.30210405414681</t>
  </si>
  <si>
    <t>[-0.064, -0.049]</t>
  </si>
  <si>
    <t>LINESTRING (7.491532373217568 58.034477441088505, 7.491417266806215 58.034520293918376, 7.491228893176181 58.03452526045838)</t>
  </si>
  <si>
    <t>[471346, 471354]</t>
  </si>
  <si>
    <t>[469790, 469799]</t>
  </si>
  <si>
    <t>[469783, 469790]</t>
  </si>
  <si>
    <t>[0.064, 0.049]</t>
  </si>
  <si>
    <t>19.488954134560075</t>
  </si>
  <si>
    <t>33.15201579108913</t>
  </si>
  <si>
    <t>[-0.053, -0.052]</t>
  </si>
  <si>
    <t>LINESTRING (7.490994216562477 58.03401129738989, 7.491052883536658 58.03421115206624, 7.491071144635788 58.03428337376273)</t>
  </si>
  <si>
    <t>[471450, 471458]</t>
  </si>
  <si>
    <t>[469903, 469808]</t>
  </si>
  <si>
    <t>[469848, 469903]</t>
  </si>
  <si>
    <t>[0.053, 0.052]</t>
  </si>
  <si>
    <t>30.70506417367087</t>
  </si>
  <si>
    <t>[0.0, -0.026]</t>
  </si>
  <si>
    <t>LINESTRING (7.490820338770824 58.03387818189065, 7.490820338770824 58.03387818189065, 7.490994216562477 58.03401129738989)</t>
  </si>
  <si>
    <t>[471394, 471402]</t>
  </si>
  <si>
    <t>[469838, 469848]</t>
  </si>
  <si>
    <t>[469837, 469838]</t>
  </si>
  <si>
    <t>[0.0, 0.026]</t>
  </si>
  <si>
    <t>154.96522776104774</t>
  </si>
  <si>
    <t>[-0.955, -0.069, -0.068]</t>
  </si>
  <si>
    <t>LINESTRING (7.490820338770824 58.03387818189065, 7.488554155197805 58.03342436504669, 7.488040172278809 58.033357251920016, 7.48794488589344 58.033341346182304)</t>
  </si>
  <si>
    <t>[1349389, 1349397, 1349405]</t>
  </si>
  <si>
    <t>[1250112, 1250120, 1250125]</t>
  </si>
  <si>
    <t>[469837, 1250112, 1250120]</t>
  </si>
  <si>
    <t>[0.955, 0.069, 0.068]</t>
  </si>
  <si>
    <t>46.82615048513161</t>
  </si>
  <si>
    <t>[-0.02, 0.102, -0.018]</t>
  </si>
  <si>
    <t>LINESTRING (5.327065613917614 60.28974108139079, 5.3270317602548705 60.289846049746615, 5.32555635312475 60.29083916568831, 5.325502053626591 60.29089836406754)</t>
  </si>
  <si>
    <t>[2091343, 2091351, 473955]</t>
  </si>
  <si>
    <t>[1810365, 472343, 472344]</t>
  </si>
  <si>
    <t>0.08790603332746999</t>
  </si>
  <si>
    <t>[1810201, 1810365, 472343]</t>
  </si>
  <si>
    <t>[0.02, 0.102, 0.018]</t>
  </si>
  <si>
    <t>164.73877548929826</t>
  </si>
  <si>
    <t>[0.009, -0.117, -0.05, -0.024, 0.037]</t>
  </si>
  <si>
    <t>LINESTRING (5.323376999929696 60.29039553500716, 5.3247840415804975 60.30334186296712, 5.327522089001189 60.30593550336157, 5.328172393023705 60.30693566997007, 5.329793772977193 60.309109000284494, 5.329868366441217 60.309196590550805)</t>
  </si>
  <si>
    <t>[1341014, 1341022, 2091486, 2091494, 474219]</t>
  </si>
  <si>
    <t>[1244076, 1244081, 1810424, 472604, 472605]</t>
  </si>
  <si>
    <t>[1244075, 1244076, 1244081, 1810424, 472604]</t>
  </si>
  <si>
    <t>[0.009, 0.117, 0.05, 0.024, 0.037]</t>
  </si>
  <si>
    <t>2364.4053260222513</t>
  </si>
  <si>
    <t>[0.0, 0.011, -0.003, -0.159, -0.001, 0.022, 0.003, -0.062, -0.077]</t>
  </si>
  <si>
    <t>794.0</t>
  </si>
  <si>
    <t>LINESTRING (5.335598301189986 60.32366606029607, 5.335598301189986 60.32366606029607, 5.335247758787043 60.323165171366476, 5.333612754130883 60.31904924395249, 5.333600742880022 60.31895368696813, 5.333277709598986 60.31486491420043, 5.332635410829817 60.31280847796379, 5.331084537669473 60.31053112043389, 5.330354026494799 60.309734272436586, 5.329868366441217 60.309196590550805)</t>
  </si>
  <si>
    <t>[1613894, 1613851, 1613763, 1613800, 1613664, 1613672, 1613679, 1613687, 1613695]</t>
  </si>
  <si>
    <t>[1447404, 1447343, 1447344, 1447273, 1447274, 1447278, 1447283, 1447286, 472605]</t>
  </si>
  <si>
    <t>[1447426, 1447404, 1447343, 1447344, 1447273, 1447274, 1447278, 1447283, 1447286]</t>
  </si>
  <si>
    <t>[0.0, 0.011, 0.003, 0.159, 0.001, 0.022, 0.003, 0.062, 0.077]</t>
  </si>
  <si>
    <t>1674.48636511533</t>
  </si>
  <si>
    <t>[0.037, -0.004, -0.083, 0.022, -0.153]</t>
  </si>
  <si>
    <t>23158.0</t>
  </si>
  <si>
    <t>LINESTRING (10.737546575495548 59.70465208461727, 10.737214091079078 59.70349030793916, 10.733664510069966 59.69539088318354, 10.733225606100035 59.693840636408325, 10.733194508910492 59.693076343326325, 10.733194611534415 59.69301969746263)</t>
  </si>
  <si>
    <t>[474271, 474279, 474287, 474295, 1505977]</t>
  </si>
  <si>
    <t>[472658, 472669, 472680, 472691, 1361908]</t>
  </si>
  <si>
    <t>[472648, 472658, 472669, 472680, 472691]</t>
  </si>
  <si>
    <t>[0.037, 0.004, 0.083, 0.022, 0.153]</t>
  </si>
  <si>
    <t>1321.6890918029637</t>
  </si>
  <si>
    <t>[0.038, 1.378]</t>
  </si>
  <si>
    <t>LINESTRING (10.737542073073161 59.70594497409069, 10.737502983989051 59.70472889662589, 10.737546575495548 59.70465208461727)</t>
  </si>
  <si>
    <t>[1498768, 1498781]</t>
  </si>
  <si>
    <t>[1356532, 472648]</t>
  </si>
  <si>
    <t>0.12052488506655902</t>
  </si>
  <si>
    <t>[1356527, 1356532]</t>
  </si>
  <si>
    <t>144.59606150117654</t>
  </si>
  <si>
    <t>0.565</t>
  </si>
  <si>
    <t>12.321087082511252</t>
  </si>
  <si>
    <t>[0.036, 0.023, 0.018, 0.017, -0.002, 0.166]</t>
  </si>
  <si>
    <t>LINESTRING (10.782497583930217 59.7566542554745, 10.782467411856963 59.75661417216267, 10.78240368126056 59.75630338762493, 10.782402578650244 59.756294477460024, 10.783692609763692 59.753647589232145, 10.783854933907461 59.752080748432114, 10.783901724601169 59.75204645641756)</t>
  </si>
  <si>
    <t>[474351, 474359, 474367, 474375, 1130895, 2088219]</t>
  </si>
  <si>
    <t>[472757, 472766, 472777, 472787, 1068709, 1068469]</t>
  </si>
  <si>
    <t>0.012586655911984162</t>
  </si>
  <si>
    <t>[472756, 472757, 472766, 472777, 472787, 1068709]</t>
  </si>
  <si>
    <t>[0.036, 0.023, 0.018, 0.017, 0.002, 0.166]</t>
  </si>
  <si>
    <t>529.3729251802183</t>
  </si>
  <si>
    <t>[-0.013, -0.039, -0.004, 0.015, 0.012, 0.019, 1.119]</t>
  </si>
  <si>
    <t>LINESTRING (10.782741225836528 59.75678536135593, 10.78255244233942 59.756874694760626, 10.782443900340889 59.75686769930749, 10.78235532239238 59.75683526978226, 10.782305450337583 59.75675741784793, 10.782325871457475 59.75671707248238, 10.782395756260867 59.75667454053713, 10.782497583930217 59.7566542554745)</t>
  </si>
  <si>
    <t>[1536498, 1536506, 1536514, 1536522, 1536458, 1536466, 1536474]</t>
  </si>
  <si>
    <t>[1069090, 1388541, 1069077, 522887, 1388508, 1371960, 472756]</t>
  </si>
  <si>
    <t>0.125447123472334</t>
  </si>
  <si>
    <t>[1356754, 1069090, 1388541, 1069077, 522887, 1388508, 1371960]</t>
  </si>
  <si>
    <t>[0.013, 0.039, 0.004, 0.015, 0.012, 0.019, 1.119]</t>
  </si>
  <si>
    <t>53.67886001680739</t>
  </si>
  <si>
    <t>[0.015, 0.008, 0.0, -0.015, -0.013, -0.019, -0.002]</t>
  </si>
  <si>
    <t>LINESTRING (10.727705302440013 59.51605676135846, 10.727838320242528 59.51606830668521, 10.727915235938305 59.51608970627479, 10.728005175399948 59.51613401205735, 10.728030534352254 59.516157321815754, 10.728066421472136 59.516223238731925, 10.728013700535909 59.516332116630416, 10.727449754261146 59.51635592988026)</t>
  </si>
  <si>
    <t>[474847, 474855, 474863, 474871, 474879, 474887, 474895]</t>
  </si>
  <si>
    <t>[473344, 473353, 473363, 473372, 473384, 473394, 473403]</t>
  </si>
  <si>
    <t>[472811, 473344, 473353, 473363, 473372, 473384, 473394]</t>
  </si>
  <si>
    <t>[0.015, 0.008, 0.0, 0.015, 0.013, 0.019, 0.002]</t>
  </si>
  <si>
    <t>79.59299194979569</t>
  </si>
  <si>
    <t>[0.014, 0.019, 0.019]</t>
  </si>
  <si>
    <t>LINESTRING (10.72741098809835 59.516145146084746, 10.727652038833604 59.51605971267181, 10.727669731152295 59.51605847508941, 10.727705302440013 59.51605676135846)</t>
  </si>
  <si>
    <t>[474823, 474831, 474839]</t>
  </si>
  <si>
    <t>[473317, 473327, 472811]</t>
  </si>
  <si>
    <t>0.01475540059784391</t>
  </si>
  <si>
    <t>[473309, 473317, 473327]</t>
  </si>
  <si>
    <t>20.087627342369352</t>
  </si>
  <si>
    <t>[0.31, -0.015, 0.021, 0.001]</t>
  </si>
  <si>
    <t>LINESTRING (10.721804402521707 59.51199516946574, 10.72190161134618 59.51208370746641, 10.725035621557764 59.51541098512915, 10.72765361712291 59.51600381559126, 10.727705302440013 59.51605676135846)</t>
  </si>
  <si>
    <t>[1507968, 474383, 474391, 474399]</t>
  </si>
  <si>
    <t>[472794, 472795, 472803, 472811]</t>
  </si>
  <si>
    <t>0.0014995983924942734</t>
  </si>
  <si>
    <t>[1361096, 472794, 472795, 472803]</t>
  </si>
  <si>
    <t>[0.31, 0.015, 0.021, 0.001]</t>
  </si>
  <si>
    <t>602.6047471489809</t>
  </si>
  <si>
    <t>14.065978739575614</t>
  </si>
  <si>
    <t>[-0.048, -0.024, -0.313]</t>
  </si>
  <si>
    <t>LINESTRING (10.722102238061682 59.51688674466003, 10.722100171003257 59.516835664706136, 10.722063578898123 59.51304854423954, 10.722110348891427 59.51297274428082)</t>
  </si>
  <si>
    <t>[474407, 474415, 1507969]</t>
  </si>
  <si>
    <t>[472819, 472830, 1363657]</t>
  </si>
  <si>
    <t>[472818, 472819, 472830]</t>
  </si>
  <si>
    <t>[0.048, 0.024, 0.313]</t>
  </si>
  <si>
    <t>463.280059585757</t>
  </si>
  <si>
    <t>[0.052, -0.009, -0.05, -0.063]</t>
  </si>
  <si>
    <t>LINESTRING (10.72249378671444 59.517023418702976, 10.722115219975985 59.517091290818485, 10.722022271298039 59.5170288980688, 10.722016181025905 59.516951366409295, 10.722102238061682 59.51688674466003)</t>
  </si>
  <si>
    <t>[474791, 474799, 474807, 474751]</t>
  </si>
  <si>
    <t>[473284, 473291, 473238, 472818]</t>
  </si>
  <si>
    <t>0.005680969134285033</t>
  </si>
  <si>
    <t>[473274, 473284, 473291, 473238]</t>
  </si>
  <si>
    <t>[0.052, 0.009, 0.05, 0.063]</t>
  </si>
  <si>
    <t>52.11512545631816</t>
  </si>
  <si>
    <t>228.99941047964072</t>
  </si>
  <si>
    <t>[-0.956, 0.253]</t>
  </si>
  <si>
    <t>LINESTRING (10.722396354551059 59.51688379002829, 10.72253294352969 59.51687668218817, 10.722940645859875 59.51687554041962)</t>
  </si>
  <si>
    <t>[1510516, 1510524]</t>
  </si>
  <si>
    <t>[1365998, 472921]</t>
  </si>
  <si>
    <t>[473257, 1365998]</t>
  </si>
  <si>
    <t>[0.956, 0.253]</t>
  </si>
  <si>
    <t>30.863763446717495</t>
  </si>
  <si>
    <t>[-1.022, 0.261]</t>
  </si>
  <si>
    <t>LINESTRING (10.72249378671444 59.517023418702976, 10.722608711470295 59.516983850031025, 10.722940645859875 59.51687554041962)</t>
  </si>
  <si>
    <t>[1516589, 1516597]</t>
  </si>
  <si>
    <t>[1371543, 472921]</t>
  </si>
  <si>
    <t>[473274, 1371543]</t>
  </si>
  <si>
    <t>[1.022, 0.261]</t>
  </si>
  <si>
    <t>30.200026297919283</t>
  </si>
  <si>
    <t>[0.073, 0.11, -0.227]</t>
  </si>
  <si>
    <t>LINESTRING (10.726837647181178 59.51632690993046, 10.727115589730909 59.51624626346677, 10.727227391558092 59.516218008658434, 10.72737393651022 59.51618619661811)</t>
  </si>
  <si>
    <t>[1510525, 1510532, 1510540]</t>
  </si>
  <si>
    <t>[1366005, 1366012, 473308]</t>
  </si>
  <si>
    <t>0.0015315830347098051</t>
  </si>
  <si>
    <t>[472922, 1366005, 1366012]</t>
  </si>
  <si>
    <t>[0.073, 0.11, 0.227]</t>
  </si>
  <si>
    <t>34.22058357299126</t>
  </si>
  <si>
    <t>[0.06, 0.104, -0.207]</t>
  </si>
  <si>
    <t>LINESTRING (10.726837647181178 59.51632690993046, 10.727161663553805 59.51634209792256, 10.7272937861902 59.516348426064205, 10.727449754261146 59.51635592988026)</t>
  </si>
  <si>
    <t>[1516605, 1516613, 1516621]</t>
  </si>
  <si>
    <t>[1371561, 1371568, 473403]</t>
  </si>
  <si>
    <t>0.0014565202021909439</t>
  </si>
  <si>
    <t>[472922, 1371561, 1371568]</t>
  </si>
  <si>
    <t>[0.06, 0.104, 0.207]</t>
  </si>
  <si>
    <t>34.81438669131295</t>
  </si>
  <si>
    <t>[-0.025, 0.013, 0.013, 0.008, 0.011, 0.011, 0.012]</t>
  </si>
  <si>
    <t>LINESTRING (13.248939733918638 65.81822935309062, 13.248879539758443 65.81915950998071, 13.248858101480332 65.81929388375579, 13.24874405306681 65.8199204332101, 13.248739353175882 65.81994641476138, 13.248729935653671 65.8200008905479, 13.248718422581495 65.82006751191946, 13.248354565611182 65.82121443168909)</t>
  </si>
  <si>
    <t>[1760965, 1760973, 1760978, 1760986, 1760993, 1761008, 1761016]</t>
  </si>
  <si>
    <t>[1556920, 1556921, 1556922, 1556925, 1556926, 1556934, 473226]</t>
  </si>
  <si>
    <t>0.0006951273137260705</t>
  </si>
  <si>
    <t>[473215, 1556920, 1556921, 1556922, 1556925, 1556926, 1556934]</t>
  </si>
  <si>
    <t>[0.025, 0.013, 0.013, 0.008, 0.011, 0.011, 0.012]</t>
  </si>
  <si>
    <t>334.16976758581393</t>
  </si>
  <si>
    <t>[-0.014, 0.011, 0.017, 0.011, 0.009, 0.008]</t>
  </si>
  <si>
    <t>LINESTRING (13.248939733918638 65.81822935309062, 13.248673358484695 65.81928761546429, 13.248559809620023 65.81991479875845, 13.248554801554196 65.81994080370437, 13.248544500358475 65.81999539501918, 13.248531883614689 65.82006214734982, 13.248354565611182 65.82121443168909)</t>
  </si>
  <si>
    <t>[1761021, 1761029, 1761037, 1761042, 1761044, 1761078]</t>
  </si>
  <si>
    <t>[1556939, 1556943, 1556947, 1556950, 1556951, 473226]</t>
  </si>
  <si>
    <t>0.0009654170631335506</t>
  </si>
  <si>
    <t>[473215, 1556939, 1556943, 1556947, 1556950, 1556951]</t>
  </si>
  <si>
    <t>[0.014, 0.011, 0.017, 0.011, 0.009, 0.008]</t>
  </si>
  <si>
    <t>334.0931124011539</t>
  </si>
  <si>
    <t>2178.0</t>
  </si>
  <si>
    <t>LINESTRING (13.281151580098765 65.72688171853531, 13.248939733918638 65.81822935309062)</t>
  </si>
  <si>
    <t>12401.972361755172</t>
  </si>
  <si>
    <t>[0.007, -0.002, -0.017, -0.002, 0.003, -0.01, -0.005]</t>
  </si>
  <si>
    <t>LINESTRING (13.248354565611182 65.82121443168909, 13.248199697356172 65.82182104791532, 13.246115225124028 65.82387301172628, 13.242368945968106 65.82474151960842, 13.236153426109299 65.8274365735278, 13.235844020186022 65.82808277292867, 13.234359802297893 65.8288822708635, 13.229648498036507 65.83183690383451)</t>
  </si>
  <si>
    <t>[474740, 474748, 474749, 474756, 1196008, 1196016, 1196024]</t>
  </si>
  <si>
    <t>[473227, 473234, 473235, 473245, 1122549, 1122555, 1122561]</t>
  </si>
  <si>
    <t>[473226, 473227, 473234, 473235, 473245, 1122549, 1122555]</t>
  </si>
  <si>
    <t>[0.007, 0.002, 0.017, 0.002, 0.003, 0.01, 0.005]</t>
  </si>
  <si>
    <t>1586.8646780711783</t>
  </si>
  <si>
    <t>3.6249137920677734</t>
  </si>
  <si>
    <t>[0.086, -0.043, 0.001, 0.059, 0.913]</t>
  </si>
  <si>
    <t>LINESTRING (10.726190225573665 59.518768655914855, 10.726057191715574 59.51872923313255, 10.724560954914775 59.51686068956754, 10.724551439975436 59.516853112443194, 10.722314387711412 59.51680513079285, 10.722339905621446 59.51686845282899)</t>
  </si>
  <si>
    <t>[1507977, 1498123, 1498124, 1498161, 1498173]</t>
  </si>
  <si>
    <t>[1356047, 1356048, 1356049, 1356075, 473249]</t>
  </si>
  <si>
    <t>0.020356511709943917</t>
  </si>
  <si>
    <t>[1363664, 1356047, 1356048, 1356049, 1356075]</t>
  </si>
  <si>
    <t>[0.086, 0.043, 0.001, 0.059, 0.913]</t>
  </si>
  <si>
    <t>431.1031744979561</t>
  </si>
  <si>
    <t>[0.02, 0.05]</t>
  </si>
  <si>
    <t>LINESTRING (10.722396354551059 59.51688379002829, 10.722487541334829 59.51694612479506, 10.72249378671444 59.517023418702976)</t>
  </si>
  <si>
    <t>[474775, 474783]</t>
  </si>
  <si>
    <t>[473265, 473274]</t>
  </si>
  <si>
    <t>0.03496979553653058</t>
  </si>
  <si>
    <t>[473257, 473265]</t>
  </si>
  <si>
    <t>17.276479553109198</t>
  </si>
  <si>
    <t>[-0.012, -0.004, -0.009, -0.008, -0.005, -0.001, -0.0, 0.001]</t>
  </si>
  <si>
    <t>LINESTRING (13.192307390461911 65.8596749002517, 13.192034930302848 65.86006119082329, 13.19203116095076 65.8600748866933, 13.192018989956251 65.86011920400607, 13.192012591192219 65.860142543633, 13.192138521471254 65.86068877737654, 13.192198665351572 65.86075929212487, 13.19225049480982 65.86081276450064, 13.192969559328414 65.86128852941391)</t>
  </si>
  <si>
    <t>[1028973, 1028981, 1028989, 1028997, 1029005, 1029021, 1029028, 1029036]</t>
  </si>
  <si>
    <t>[983274, 983280, 983285, 983292, 983299, 983308, 983313, 473280]</t>
  </si>
  <si>
    <t>[473270, 983274, 983280, 983285, 983292, 983299, 983308, 983313]</t>
  </si>
  <si>
    <t>[0.012, 0.004, 0.009, 0.008, 0.005, 0.001, 0.0, 0.001]</t>
  </si>
  <si>
    <t>192.6950946004954</t>
  </si>
  <si>
    <t>[-0.014, -0.009, -0.008, -0.005, 0.001, 0.0, 0.002, 0.003]</t>
  </si>
  <si>
    <t>LINESTRING (13.192307390461911 65.8596749002517, 13.191862451712936 65.8600625849385, 13.191837060590643 65.86010848741122, 13.19182733812983 65.86013295454555, 13.191924727079288 65.86071185197507, 13.191929583949877 65.86072039935914, 13.192002964092866 65.86078660087709, 13.192079277218625 65.86085037786651, 13.192969559328414 65.86128852941391)</t>
  </si>
  <si>
    <t>[1201320, 1201328, 1201336, 1201344, 1201352, 1201360, 1201368, 1201376]</t>
  </si>
  <si>
    <t>[1126220, 1126226, 1126232, 1126238, 1126245, 1126250, 1126256, 473280]</t>
  </si>
  <si>
    <t>[473270, 1126220, 1126226, 1126232, 1126238, 1126245, 1126250, 1126256]</t>
  </si>
  <si>
    <t>[0.014, 0.009, 0.008, 0.005, 0.001, 0.0, 0.002, 0.003]</t>
  </si>
  <si>
    <t>202.28164262112833</t>
  </si>
  <si>
    <t>5.0328918130344285</t>
  </si>
  <si>
    <t>LINESTRING (10.727449754261146 59.51635592988026, 10.727367877559681 59.51627591918705, 10.72737393651022 59.51618619661811)</t>
  </si>
  <si>
    <t>[474903, 474911]</t>
  </si>
  <si>
    <t>[473415, 473308]</t>
  </si>
  <si>
    <t>[473403, 473415]</t>
  </si>
  <si>
    <t>20.054374608763148</t>
  </si>
  <si>
    <t>[0.396, -0.044, -0.004, -0.03, 0.013, 0.093]</t>
  </si>
  <si>
    <t>LINESTRING (10.72741098809835 59.516145146084746, 10.727367199100561 59.516071776760825, 10.725338443274534 59.51607911921588, 10.725350319088532 59.51664628850125, 10.725352982336425 59.51665515195922, 10.72704832042782 59.51941924725997, 10.727016535950828 59.51953754122171)</t>
  </si>
  <si>
    <t>[1498050, 1498057, 1498073, 1498091, 1498092, 1507976]</t>
  </si>
  <si>
    <t>[1355989, 1355994, 1356009, 1356021, 1356022, 1361153]</t>
  </si>
  <si>
    <t>0.0024165013842451914</t>
  </si>
  <si>
    <t>[473309, 1355989, 1355994, 1356009, 1356021, 1356022]</t>
  </si>
  <si>
    <t>[0.396, 0.044, 0.004, 0.03, 0.013, 0.093]</t>
  </si>
  <si>
    <t>572.230428730318</t>
  </si>
  <si>
    <t>[0.054, 0.119, 0.062, 0.021, 0.045, 0.0, 0.04, 0.034]</t>
  </si>
  <si>
    <t>LINESTRING (13.20754876955867 65.86744824405412, 13.208220948337322 65.8683642476265, 13.208260533009806 65.86841225799789, 13.208719426776884 65.86889586175155, 13.208748535033045 65.86892370017618, 13.208839519923309 65.86900944798569, 13.208842359649891 65.86901211970942, 13.208983824321477 65.86914187651843, 13.209771558396941 65.8697938049001)</t>
  </si>
  <si>
    <t>[969071, 969075, 969083, 969091, 969105, 969107, 969114, 969134]</t>
  </si>
  <si>
    <t>[932468, 932471, 932475, 932463, 932491, 932439, 932496, 473332]</t>
  </si>
  <si>
    <t>0.04960297944529996</t>
  </si>
  <si>
    <t>[473323, 932468, 932471, 932475, 932463, 932491, 932439, 932496]</t>
  </si>
  <si>
    <t>281.12234139519967</t>
  </si>
  <si>
    <t>[0.062, 0.061, 0.041, 0.046, 0.037, 0.027, 0.025]</t>
  </si>
  <si>
    <t>LINESTRING (13.20754876955867 65.86744824405412, 13.208126370559174 65.86842971661754, 13.20857509268884 65.86892016631127, 13.208607751114963 65.86895212074025, 13.208697675112127 65.86903672543467, 13.208850311481235 65.8691675821383, 13.2088930369712 65.86920360294337, 13.209771558396941 65.8697938049001)</t>
  </si>
  <si>
    <t>[969154, 969162, 969163, 969164, 969193, 969200, 969201]</t>
  </si>
  <si>
    <t>[932533, 932536, 932464, 932440, 932567, 932575, 473332]</t>
  </si>
  <si>
    <t>0.048853903304011265</t>
  </si>
  <si>
    <t>[473323, 932533, 932536, 932464, 932440, 932567, 932575]</t>
  </si>
  <si>
    <t>283.2022365926423</t>
  </si>
  <si>
    <t>[0.001, 0.018, -0.026, -0.048, -0.012, -0.003, 0.011, 0.012]</t>
  </si>
  <si>
    <t>LINESTRING (13.209771558396941 65.8697938049001, 13.211540086094804 65.87057163327623, 13.213827905259075 65.87148346793984, 13.216422977137896 65.87192982551198, 13.216547019447288 65.87193385277995, 13.217090136073534 65.87196109672816, 13.22361430555916 65.87310640125219, 13.223735501787688 65.8731583321012, 13.224667739200482 65.87359694637054)</t>
  </si>
  <si>
    <t>[474836, 474844, 474852, 474860, 474868, 1330222, 1330580, 1330588]</t>
  </si>
  <si>
    <t>[441197, 473340, 389450, 473359, 473369, 1235349, 1235685, 659061]</t>
  </si>
  <si>
    <t>[473332, 441197, 473340, 389450, 473359, 473369, 1235349, 1235685]</t>
  </si>
  <si>
    <t>[0.001, 0.018, 0.026, 0.048, 0.012, 0.003, 0.011, 0.012]</t>
  </si>
  <si>
    <t>831.2590265106168</t>
  </si>
  <si>
    <t>[-0.004, -0.012, -0.011, -0.005, 0.002, 0.001, 0.002, -0.0, 0.0]</t>
  </si>
  <si>
    <t>[0, 1, 0, 0, 0, 0, 0, 0, 0]</t>
  </si>
  <si>
    <t>LINESTRING (13.56962913337724 66.05731950700097, 13.571081929326795 66.05715983712997, 13.571647397105448 66.05706775706582, 13.572032496267385 66.05699424953445, 13.574187963272106 66.05636603740777, 13.574250221672306 66.05634084121554, 13.574468515427824 66.05625258616209, 13.574508104148734 66.05623662039919, 13.576431305181694 66.05545901389821, 13.576818543257335 66.0553307318734)</t>
  </si>
  <si>
    <t>[969262, 969270, 969276, 969294, 969312, 969314, 969341, 969342, 969343]</t>
  </si>
  <si>
    <t>[932630, 932636, 932643, 932662, 932676, 932679, 932707, 932708, 474038]</t>
  </si>
  <si>
    <t>[474029, 932630, 932636, 932643, 932662, 932676, 932679, 932707, 932708]</t>
  </si>
  <si>
    <t>[0.004, 0.012, 0.011, 0.005, 0.002, 0.001, 0.002, 0.0, 0.0]</t>
  </si>
  <si>
    <t>401.6560922635617</t>
  </si>
  <si>
    <t>[-0.004, -0.012, -0.011, -0.005, 0.002, 0.001, 0.001, -0.0, -0.002, -0.001]</t>
  </si>
  <si>
    <t>LINESTRING (13.56962913337724 66.05731950700097, 13.57112582925681 66.05721116780497, 13.571708675013609 66.05712548497833, 13.572102647982557 66.05705365668834, 13.574308177612554 66.05641695077786, 13.574377661693656 66.05638814221842, 13.574587265918229 66.0563012424394, 13.574629145955956 66.05628379925977, 13.576502330735012 66.05548867131465, 13.57665547093393 66.05542308901873, 13.576818543257335 66.0553307318734)</t>
  </si>
  <si>
    <t>[969344, 969351, 969359, 969368, 969372, 969377, 969385, 969400, 969415, 969431]</t>
  </si>
  <si>
    <t>[932709, 932715, 932723, 932732, 932736, 932738, 932742, 932758, 932766, 474038]</t>
  </si>
  <si>
    <t>[474029, 932709, 932715, 932723, 932732, 932736, 932738, 932742, 932758, 932766]</t>
  </si>
  <si>
    <t>[0.004, 0.012, 0.011, 0.005, 0.002, 0.001, 0.001, 0.0, 0.002, 0.001]</t>
  </si>
  <si>
    <t>406.07525984508175</t>
  </si>
  <si>
    <t>[-0.044, -0.094, -0.004, -0.03, 0.024, -0.021, -0.014, -0.006, 1.024, -0.016, -0.04]</t>
  </si>
  <si>
    <t>[0, 1, 0, 1, 0, 0, 0, 0, 0, 0, 0]</t>
  </si>
  <si>
    <t>LINESTRING (13.51516685391917 66.04487269660662, 13.518475663639709 66.04608840179245, 13.518577427865958 66.04611522322912, 13.534817306956317 66.0492983911624, 13.534939573727062 66.04930709037335, 13.548205394791301 66.05178857055472, 13.54939721152441 66.05224255241504, 13.54995481235259 66.05244138882854, 13.550789224653688 66.05270366418637, 13.551060837143611 66.05277839832873, 13.557558518675165 66.05593089910398, 13.56962913337724 66.05731950700097)</t>
  </si>
  <si>
    <t>[668641, 668649, 668657, 668673, 668681, 668689, 668697, 668712, 668720, 475422, 475430]</t>
  </si>
  <si>
    <t>[658979, 658985, 658994, 659007, 659015, 441225, 659027, 441132, 474017, 474018, 474029]</t>
  </si>
  <si>
    <t>[658978, 658979, 658985, 658994, 659007, 659015, 441225, 659027, 441132, 474017, 474018]</t>
  </si>
  <si>
    <t>[0.044, 0.094, 0.004, 0.03, 0.024, 0.021, 0.014, 0.006, 1.024, 0.016, 0.04]</t>
  </si>
  <si>
    <t>2942.495185314334</t>
  </si>
  <si>
    <t>[0.035, 0.05, 0.042]</t>
  </si>
  <si>
    <t>2055.0</t>
  </si>
  <si>
    <t>LINESTRING (13.576818543257335 66.0553307318734, 13.601037574661296 66.04849043185733, 13.601996782318027 66.04839234671742, 13.60573137615795 66.04835382806299)</t>
  </si>
  <si>
    <t>[475438, 475446, 475454]</t>
  </si>
  <si>
    <t>[474039, 474049, 474058]</t>
  </si>
  <si>
    <t>0.03617774152986399</t>
  </si>
  <si>
    <t>[474038, 474039, 474049]</t>
  </si>
  <si>
    <t>1579.7237221697962</t>
  </si>
  <si>
    <t>[0.026, 0.059, 0.056, 0.069, 0.074, 0.082, 0.055, 0.074, 0.049, 0.04, 0.029, 0.225]</t>
  </si>
  <si>
    <t>[0, 0, 0, 0, 0, 0, 0, 0, 0, 1, 0, 0]</t>
  </si>
  <si>
    <t>LINESTRING (13.60573137615795 66.04835382806299, 13.608772632250789 66.0483592887925, 13.608985008761195 66.04836095311195, 13.609248836729845 66.04836329646011, 13.611313393144965 66.04836118895346, 13.6113790940433 66.04836009352206, 13.611396187042503 66.04835961928596, 13.6116442205981 66.04835278918237, 13.611738239009611 66.04834944495006, 13.613091710215024 66.0482784572167, 13.613510830611718 66.04824610799332, 13.614195518414226 66.04818123791038, 13.615049059973806 66.04810056269855)</t>
  </si>
  <si>
    <t>[969595, 969603, 969611, 969619, 969620, 969634, 969635, 969636, 969637, 969662, 969679, 969687]</t>
  </si>
  <si>
    <t>[932897, 932904, 932911, 932917, 932891, 932928, 932880, 932929, 932930, 932951, 932957, 474067]</t>
  </si>
  <si>
    <t>0.06154879033307839</t>
  </si>
  <si>
    <t>[474058, 932897, 932904, 932911, 932917, 932891, 932928, 932880, 932929, 932930, 932951, 932957]</t>
  </si>
  <si>
    <t>424.9284684398025</t>
  </si>
  <si>
    <t>[0.031, 0.064, 0.071, 0.078, 0.077, 0.059, 0.071, 0.046, 0.033, 0.029, 0.025, 0.261]</t>
  </si>
  <si>
    <t>[0, 0, 0, 0, 0, 0, 0, 0, 1, 0, 0, 0]</t>
  </si>
  <si>
    <t>LINESTRING (13.60573137615795 66.04835382806299, 13.608765585551078 66.04843172065127, 13.60924322718257 66.04844016513441, 13.611321786078195 66.04843242286958, 13.611386094204727 66.04843014836334, 13.6114050640372 66.04842967307717, 13.611671041782829 66.04842296858817, 13.61175120928389 66.04841895229372, 13.613114179831971 66.0483313056535, 13.613534670306585 66.04829327063129, 13.614219887207863 66.04821869607473, 13.614414857364054 66.04819572632941, 13.615049059973806 66.04810056269855)</t>
  </si>
  <si>
    <t>[969695, 969696, 969711, 969737, 969753, 969761, 969762, 969769, 969777, 969785, 969786, 969793]</t>
  </si>
  <si>
    <t>[932974, 932975, 932986, 932883, 933020, 932876, 933028, 933035, 933040, 933047, 933048, 474067]</t>
  </si>
  <si>
    <t>0.06154035753358037</t>
  </si>
  <si>
    <t>[474058, 932974, 932975, 932986, 932883, 933020, 932876, 933028, 933035, 933040, 933047, 933048]</t>
  </si>
  <si>
    <t>427.1554758652227</t>
  </si>
  <si>
    <t>[-0.023, -0.04, 0.046, 0.112, 0.101, 0.093, 0.104, -0.094, -0.106, -0.071, -0.215, -0.191, -0.192, -0.049, -0.047, -0.044, -0.046, -0.027, -0.004, -0.003, -0.001, -0.002, 0.012, 0.01, -0.031, -0.031, 0.009, 0.01, 0.054, 0.039, 0.007, -0.006, -0.02, -0.085, 0.037, -0.056, 0.003, 0.051, 0.09, 0.019, -0.001, -0.03, -0.029, -0.017, -0.027, -0.028, -0.036, -0.029, -0.033, -0.012, 0.002]</t>
  </si>
  <si>
    <t>2068.0</t>
  </si>
  <si>
    <t>[0, 1, 0, 1, 0, 0, 0, 0, 0, 0, 0, 0, 0, 0, 0, 0, 0, 1, 0, 0, 0, 0, 0, 0, 0, 0, 0, 1, 0, 0, 0, 0, 0, 0, 0, 0, 0, 0, 0, 0, 0, 0, 0, 0, 0, 0, 0, 0, 0, 0, 0]</t>
  </si>
  <si>
    <t>LINESTRING (13.615049059973806 66.04810056269855, 13.619655377233713 66.04721617289603, 13.620373426188776 66.04708440921074, 13.625450201392258 66.04702385524519, 13.626113180292414 66.04713474998225, 13.627553377083302 66.04744156414249, 13.628177666035876 66.04757717686843, 13.694582932589396 66.0597579246137, 13.805257279047078 66.07342203448178, 13.806133150272963 66.07354936098514, 13.81577556787576 66.07578197965717, 13.817719946049564 66.07638076058208, 13.817885500125461 66.07642339294426, 13.818005035546971 66.07645275196869, 13.818724294564369 66.07667397217018, 13.818787687168674 66.07669533690782, 13.819140912559432 66.07682808180357, 13.819931670688243 66.07721850459527, 13.8208285568419 66.07834936036501, 13.821001544295484 66.07882150135886, 13.8252974098571 66.0813216786196, 13.825946355131993 66.08148910237763, 13.826191443174185 66.08155107437533, 13.82683974447989 66.08172120815466, 13.82437353275428 66.08504203431437, 13.822115433113352 66.08537932272239, 13.820671673997076 66.08595427042845, 13.819547058458229 66.08724198371323, 13.819249931840098 66.087774660165, 13.815759886921912 66.09044639331897, 13.814975922383866 66.09608666295415, 13.807938489521735 66.10211524043278, 13.807224160686607 66.10284327954133, 13.806951160871538 66.1033281068939, 13.809916011432838 66.10896151387045, 13.807591758521095 66.11237279479849, 13.807357343361396 66.11492193644042, 13.807407345392303 66.11519539957484, 13.811534137713874 66.11895462266357, 13.811655069457002 66.11984902361452, 13.81325764976571 66.12182209615116, 13.815425863166032 66.12321346591426, 13.81553273830892 66.12330857931174, 13.818562687985134 66.13035646194832, 13.819411618459652 66.13287236569353, 13.819492087693204 66.13311201334356, 13.819524914653801 66.13320252055017, 13.819533420490508 66.13322538516734, 13.81956227704651 66.13328410758598, 13.819657259133043 66.13348993104951, 13.83151875438161 66.14050219432865, 13.830891937561418 66.14429989578328)</t>
  </si>
  <si>
    <t>[475462, 475470, 475478, 475486, 475494, 475502, 475510, 475518, 475526, 475534, 475542, 475550, 475558, 475566, 475574, 475582, 475590, 475598, 475606, 475614, 475622, 475630, 475638, 475646, 475654, 475662, 475670, 475678, 475686, 475694, 475702, 475710, 475718, 475726, 475734, 475742, 475750, 475758, 475766, 475774, 475782, 475790, 475800, 475808, 475816, 475817, 475824, 475832, 475849, 475857, 475865]</t>
  </si>
  <si>
    <t>[474068, 474077, 474085, 474093, 474103, 474112, 474120, 474129, 474136, 474145, 457175, 474167, 457190, 474184, 474194, 474202, 474210, 474218, 439916, 474235, 474244, 474254, 474264, 474274, 474283, 437907, 474304, 474312, 474323, 474331, 474339, 474350, 474360, 474368, 474376, 474387, 474396, 474406, 474416, 474425, 474433, 474443, 400961, 474462, 474470, 474471, 474479, 474488, 474507, 474516, 474526]</t>
  </si>
  <si>
    <t>[474067, 474068, 474077, 474085, 474093, 474103, 474112, 474120, 474129, 474136, 474145, 457175, 474167, 457190, 474184, 474194, 474202, 474210, 474218, 439916, 474235, 474244, 474254, 474264, 474274, 474283, 437907, 474304, 474312, 474323, 474331, 474339, 474350, 474360, 474368, 474376, 474387, 474396, 474406, 474416, 474425, 474433, 474443, 400961, 474462, 474470, 474471, 474479, 474488, 474507, 474516]</t>
  </si>
  <si>
    <t>[0.023, 0.04, 0.046, 0.112, 0.101, 0.093, 0.104, 0.094, 0.106, 0.071, 0.215, 0.191, 0.192, 0.049, 0.047, 0.044, 0.046, 0.027, 0.004, 0.003, 0.001, 0.002, 0.012, 0.01, 0.031, 0.031, 0.009, 0.01, 0.054, 0.039, 0.007, 0.006, 0.02, 0.085, 0.037, 0.056, 0.003, 0.051, 0.09, 0.019, 0.001, 0.03, 0.029, 0.017, 0.027, 0.028, 0.036, 0.029, 0.033, 0.012, 0.002]</t>
  </si>
  <si>
    <t>18470.579445053532</t>
  </si>
  <si>
    <t>[0.074, 0.012, 0.01, 0.011, 0.007, -0.002]</t>
  </si>
  <si>
    <t>LINESTRING (13.830891937561418 66.14429989578328, 13.830818234004617 66.14448534262048, 13.830335438194396 66.145275955643, 13.830283042130242 66.14538656960633, 13.830245597693205 66.14546707658586, 13.830050814042576 66.14601806112952, 13.829994875148307 66.14692211189235)</t>
  </si>
  <si>
    <t>[973713, 973721, 973722, 973729, 973737, 973738]</t>
  </si>
  <si>
    <t>[936121, 936129, 936130, 936135, 936142, 474537]</t>
  </si>
  <si>
    <t>0.010484213909138815</t>
  </si>
  <si>
    <t>[474526, 936121, 936129, 936130, 936135, 936142]</t>
  </si>
  <si>
    <t>[0.074, 0.012, 0.01, 0.011, 0.007, 0.002]</t>
  </si>
  <si>
    <t>296.4383336982377</t>
  </si>
  <si>
    <t>[0.067, 0.011, 0.009, 0.009, 0.006, -0.012, 0.002]</t>
  </si>
  <si>
    <t>LINESTRING (13.830891937561418 66.14429989578328, 13.83070899624498 66.14448109845912, 13.830170018989579 66.14526011537725, 13.83010623171872 66.14537119048802, 13.830063727350408 66.14545567893019, 13.829881835772625 66.14603746530827, 13.829871037444306 66.146118747974, 13.829994875148307 66.14692211189235)</t>
  </si>
  <si>
    <t>[973744, 973754, 973755, 973756, 973757, 973773, 973774]</t>
  </si>
  <si>
    <t>[936148, 936156, 936157, 936158, 936159, 936165, 474537]</t>
  </si>
  <si>
    <t>0.010469383072238693</t>
  </si>
  <si>
    <t>[474526, 936148, 936156, 936157, 936158, 936159, 936165]</t>
  </si>
  <si>
    <t>[0.067, 0.011, 0.009, 0.009, 0.006, 0.012, 0.002]</t>
  </si>
  <si>
    <t>299.0199222162051</t>
  </si>
  <si>
    <t>[0.005, 0.006, -0.007]</t>
  </si>
  <si>
    <t>LINESTRING (13.829994875148307 66.14692211189235, 13.830047739264337 66.14706902663191, 13.830104292032706 66.14719220956503, 13.834561582602245 66.15187216716939)</t>
  </si>
  <si>
    <t>[475873, 475885, 475886]</t>
  </si>
  <si>
    <t>[474538, 474551, 474552]</t>
  </si>
  <si>
    <t>[474537, 474538, 474551]</t>
  </si>
  <si>
    <t>[0.005, 0.006, 0.007]</t>
  </si>
  <si>
    <t>590.0902976182925</t>
  </si>
  <si>
    <t>[-0.024, 0.0, 0.0, 0.0, 0.0, 0.0, 0.0, 0.0]</t>
  </si>
  <si>
    <t>LINESTRING (13.834561582602245 66.15187216716939, 13.83471176637201 66.1519759455141, 13.83480068551142 66.15206172981992, 13.835755461538591 66.15296980770755, 13.835776905199646 66.15299042671289, 13.83587413787837 66.15308360355961, 13.835919393855857 66.15312830485266, 13.836497964635651 66.15370688848242, 13.837239884466381 66.15453108553628)</t>
  </si>
  <si>
    <t>[974029, 974037, 974043, 974044, 974048, 974054, 974056, 974057]</t>
  </si>
  <si>
    <t>[936385, 936394, 936401, 936402, 936407, 936414, 936417, 474559]</t>
  </si>
  <si>
    <t>[474552, 936385, 936394, 936401, 936402, 936407, 936414, 936417]</t>
  </si>
  <si>
    <t>[0.024, 0.0, 0.0, 0.0, 0.0, 0.0, 0.0, 0.0]</t>
  </si>
  <si>
    <t>320.40031037378594</t>
  </si>
  <si>
    <t>[-0.013, 0.0, 0.0, 0.0, 0.0, 0.0, 0.0, 0.0]</t>
  </si>
  <si>
    <t>LINESTRING (13.834561582602245 66.15187216716939, 13.834720909052939 66.15208329161018, 13.835600924882796 66.15299581425488, 13.835621004414229 66.1530157231503, 13.835709575893395 66.15310970528417, 13.835750494256919 66.15315375487991, 13.836329221083009 66.15372065792225, 13.836402536704831 66.15379163563765, 13.837239884466381 66.15453108553628)</t>
  </si>
  <si>
    <t>[974058, 974066, 974084, 974092, 974100, 974140, 974141, 974142]</t>
  </si>
  <si>
    <t>[936418, 936428, 936444, 936451, 936456, 936499, 936500, 474559]</t>
  </si>
  <si>
    <t>[474552, 936418, 936428, 936444, 936451, 936456, 936499, 936500]</t>
  </si>
  <si>
    <t>[0.013, 0.0, 0.0, 0.0, 0.0, 0.0, 0.0, 0.0]</t>
  </si>
  <si>
    <t>320.3811565317559</t>
  </si>
  <si>
    <t>[0.0, 0.002, 0.008, 0.019, 0.042, -0.008, 0.0, 0.004, -0.003, 0.0, 0.017, -0.043, -0.002, -0.009, 0.092, 0.107, 0.094, -0.02]</t>
  </si>
  <si>
    <t>[0, 1, 1, 0, 0, 0, 0, 0, 0, 0, 0, 0, 0, 0, 0, 0, 0, 0]</t>
  </si>
  <si>
    <t>LINESTRING (13.837239884466381 66.15453108553628, 13.838483321454573 66.15576205032637, 13.838793267935335 66.15607100773879, 13.839061322603571 66.15633821451891, 13.839971038648729 66.1572440058765, 13.840846141292419 66.15811292375902, 13.844410181603969 66.16187434620232, 13.844451810566271 66.16195208186353, 13.844489071042664 66.16202154802005, 13.844534678374632 66.16212877052328, 13.8446096889685 66.16232119232642, 13.836945618017879 66.16658803470457, 13.833056728753611 66.16714028940483, 13.826517178210352 66.16995146471096, 13.82521093825213 66.17047504751187, 13.82417241001997 66.17117122324379, 13.824037168388601 66.1713007755002, 13.822769980154563 66.17242304946754, 13.805291339741673 66.17683107789502)</t>
  </si>
  <si>
    <t>[475893, 475906, 475914, 475922, 475932, 475954, 475962, 475971, 475979, 475987, 475995, 476003, 476011, 476019, 476027, 476035, 476043, 476051]</t>
  </si>
  <si>
    <t>[474560, 474572, 474581, 474590, 474601, 474626, 474633, 474642, 474652, 436856, 474672, 474681, 474691, 436837, 436821, 474716, 474726, 437364]</t>
  </si>
  <si>
    <t>0.0025239731045715082</t>
  </si>
  <si>
    <t>[474559, 474560, 474572, 474581, 474590, 474601, 474626, 474633, 474642, 474652, 436856, 474672, 474681, 474691, 436837, 436821, 474716, 474726]</t>
  </si>
  <si>
    <t>[0.0, 0.002, 0.008, 0.019, 0.042, 0.008, 0.0, 0.004, 0.003, 0.0, 0.017, 0.043, 0.002, 0.009, 0.092, 0.107, 0.094, 0.02]</t>
  </si>
  <si>
    <t>3466.7309988445045</t>
  </si>
  <si>
    <t>[0.073, -0.037, -0.062, -0.086, -0.084, -0.088, -0.038, -0.148]</t>
  </si>
  <si>
    <t>LINESTRING (13.805291339741673 66.17683107789502, 13.80347617006341 66.17729199012692, 13.803261190081818 66.17734222722866, 13.802004261209936 66.1776390891924, 13.801923932853068 66.17765827955914, 13.80174296088601 66.17770766504846, 13.801672546154515 66.17772743446021, 13.79977215796473 66.17838930647508, 13.799598281750175 66.17845077691523)</t>
  </si>
  <si>
    <t>[973832, 973848, 973849, 973867, 973883, 973893, 973908, 973909]</t>
  </si>
  <si>
    <t>[936201, 936213, 936214, 936230, 936241, 936246, 936259, 474745]</t>
  </si>
  <si>
    <t>[437364, 936201, 936213, 936214, 936230, 936241, 936246, 936259]</t>
  </si>
  <si>
    <t>[0.073, 0.037, 0.062, 0.086, 0.084, 0.088, 0.038, 0.148]</t>
  </si>
  <si>
    <t>315.4535452790593</t>
  </si>
  <si>
    <t>[0.05, -0.059, -0.085, -0.086, -0.07, -0.032, -0.113]</t>
  </si>
  <si>
    <t>LINESTRING (13.805291339741673 66.17683107789502, 13.803168010294398 66.1772803043162, 13.801910361662936 66.17757553588451, 13.801805251214073 66.17760119222852, 13.801632371265622 66.1776483970137, 13.801567714309062 66.1776665420044, 13.799701467215495 66.17836567183751, 13.799598281750175 66.17845077691523)</t>
  </si>
  <si>
    <t>[973910, 973919, 973927, 973935, 973941, 973949, 973957]</t>
  </si>
  <si>
    <t>[936260, 936266, 936273, 936281, 936288, 936297, 474745]</t>
  </si>
  <si>
    <t>[437364, 936260, 936266, 936273, 936281, 936288, 936297]</t>
  </si>
  <si>
    <t>[0.05, 0.059, 0.085, 0.086, 0.07, 0.032, 0.113]</t>
  </si>
  <si>
    <t>318.0230833781981</t>
  </si>
  <si>
    <t>[-0.025, 0.006, 0.027, 0.035, -0.135]</t>
  </si>
  <si>
    <t>LINESTRING (13.799598281750175 66.17845077691523, 13.799104336793699 66.17875088960662, 13.798410926141466 66.17935293771313, 13.798115842142355 66.18131306248135, 13.799820554553513 66.18889709424515, 13.799688833351 66.18914201565416)</t>
  </si>
  <si>
    <t>[476059, 476067, 476075, 476083, 476091]</t>
  </si>
  <si>
    <t>[474746, 474755, 474765, 474773, 474781]</t>
  </si>
  <si>
    <t>0.025883556625448903</t>
  </si>
  <si>
    <t>[474745, 474746, 474755, 474765, 474773]</t>
  </si>
  <si>
    <t>[0.025, 0.006, 0.027, 0.035, 0.135]</t>
  </si>
  <si>
    <t>1215.40301713989</t>
  </si>
  <si>
    <t>[-0.085, -0.114, -0.073, -0.067, -0.079, -0.049, 0.033, -0.007, -0.082]</t>
  </si>
  <si>
    <t>LINESTRING (13.799688833351 66.18914201565416, 13.799426404131824 66.18978817053923, 13.799399665884284 66.18983513285553, 13.798972622400559 66.19060513571068, 13.79889694190523 66.19073691439279, 13.798856878743402 66.19080449130217, 13.798793995858063 66.19090378028307, 13.7987869266523 66.19091519259464, 13.798234201350246 66.19185859469151, 13.798047118822634 66.19210490687013)</t>
  </si>
  <si>
    <t>[974168, 974176, 974195, 974212, 974228, 974236, 974244, 974245, 974259]</t>
  </si>
  <si>
    <t>[936516, 936522, 936542, 936558, 936573, 936580, 936590, 936591, 474788]</t>
  </si>
  <si>
    <t>[474781, 936516, 936522, 936542, 936558, 936573, 936580, 936590, 936591]</t>
  </si>
  <si>
    <t>[0.085, 0.114, 0.073, 0.067, 0.079, 0.049, 0.033, 0.007, 0.082]</t>
  </si>
  <si>
    <t>338.80287026142037</t>
  </si>
  <si>
    <t>[-0.127, -0.068, -0.005, -0.008, 0.002, 0.018, -0.004, 0.002, -0.109]</t>
  </si>
  <si>
    <t>LINESTRING (13.799688833351 66.18914201565416, 13.799218637472764 66.18982948585322, 13.798787719492966 66.19059493596167, 13.798711652573049 66.19072594888335, 13.79867226151642 66.19079292081516, 13.798630359132199 66.19088519424103, 13.798625134048672 66.19089610940041, 13.798134347041923 66.19184377789274, 13.798092433546019 66.19195396959142, 13.798047118822634 66.19210490687013)</t>
  </si>
  <si>
    <t>[974266, 974270, 974271, 974272, 974274, 974281, 974289, 974297, 974321]</t>
  </si>
  <si>
    <t>[936612, 936617, 936618, 936619, 936622, 936628, 936634, 936642, 474788]</t>
  </si>
  <si>
    <t>[474781, 936612, 936617, 936618, 936619, 936622, 936628, 936634, 936642]</t>
  </si>
  <si>
    <t>[0.127, 0.068, 0.005, 0.008, 0.002, 0.018, 0.004, 0.002, 0.109]</t>
  </si>
  <si>
    <t>338.77375435812763</t>
  </si>
  <si>
    <t>[0.0, 0.031, 0.097, 0.026, -0.087, -0.084, -0.093, -0.122, 0.029, -0.015, -0.037, -0.147, -0.036, -0.042, 0.003, 0.014, -0.004, 0.065, 0.023, -0.107, 0.003, -0.011, 0.014, 0.101, 0.061, 0.049, 0.15, 0.033, -0.038, -0.063, -0.039, 0.029, 0.008, -0.068, -0.04, -0.03, 0.012, 0.03, 0.059, 0.042, 0.02, 0.017, 0.016, -0.001, 0.055, 0.017, -0.064, -0.025, 0.032, -0.441, 0.068, 0.023, 0.164, 0.059, -0.06, -0.076, 0.012, -0.013, 0.091, 0.03, -0.033, -0.058, -0.079, -0.02, 0.001, -0.001, -0.001]</t>
  </si>
  <si>
    <t>[0, 0, 0, 0, 0, 0, 0, 0, 0, 0, 0, 0, 0, 0, 0, 0, 0, 0, 1, 0, 0, 0, 0, 0, 0, 0, 0, 1, 0, 0, 0, 0, 0, 0, 0, 0, 0, 0, 0, 0, 0, 0, 0, 0, 1, 0, 0, 0, 0, 0, 0, 0, 0, 0, 0, 0, 0, 0, 0, 0, 0, 0, 0, 0, 1, 1, 0]</t>
  </si>
  <si>
    <t>LINESTRING (13.798047118822634 66.19210490687013, 13.79788777638532 66.1923930404912, 13.796994606389369 66.19400254163418, 13.796242879024229 66.19535786333057, 13.793287800562124 66.20040194846065, 13.79320803642757 66.20055010385856, 13.793046694871144 66.20085456558323, 13.792886002086357 66.2011639671945, 13.79205919991881 66.20273003752017, 13.80048598887235 66.20727850365014, 13.801042281689618 66.20748165072256, 13.802990307855445 66.20834263978601, 13.804509162380596 66.20903682144315, 13.811057925370603 66.21128207432729, 13.81204093289552 66.212019983428, 13.820871937925144 66.2142964842899, 13.820958993893175 66.21431343160877, 13.823627453139098 66.21485260429412, 13.825012455148181 66.21523394399786, 13.82526558960144 66.21530548947061, 13.826329015153968 66.21560165301392, 13.838689891320415 66.21888038341699, 13.842468808036086 66.22017346416523, 13.8438081844738 66.22067490106028, 13.846064988969871 66.22112865536239, 13.84782470485415 66.2214141005252, 13.848052721490198 66.22145521075794, 13.851417625783862 66.22219493879263, 13.852813825162697 66.22273922883035, 13.85488021748161 66.2240075960963, 13.855953808762045 66.224759593685, 13.858374173329953 66.22754198213042, 13.858429574861717 66.22757065333356, 13.872201799468371 66.22978836585615, 13.87521810120334 66.23030321340676, 13.882577139255712 66.23100492438792, 13.883171570305596 66.2310620077482, 13.88388188548957 66.2311567545728, 13.887337660749495 66.23184782830465, 13.89207317070878 66.23279654981958, 13.901934619599071 66.23339082653072, 13.902956582079009 66.23338396913509, 13.903045409616544 66.23338181572505, 13.903156289936398 66.23337883119747, 13.909221041546871 66.23277279964486, 13.91033129852328 66.23270324999532, 13.915877301800784 66.23312908210706, 13.921997654073076 66.23487935372333, 13.92329116266246 66.23499905444625, 13.93562768592159 66.23846211377561, 13.9368026322271 66.23857556656873, 13.93866317547413 66.23865792814073, 13.94508653889868 66.23953947468264, 13.945435191534761 66.23961361413336, 13.95012967211332 66.24098609970294, 13.9510404969397 66.24145505162184, 13.955065307743897 66.24489359674578, 13.955908856369069 66.24529968113632, 13.958265918970655 66.24626111971938, 13.960479944065515 66.24653556779725, 13.962380239224688 66.24678941317161, 13.96297105024153 66.24690174688166, 13.972852596397512 66.24879807374205, 13.972991894562128 66.24883146607934, 13.97655585683903 66.25043861048141, 13.976936363568136 66.25071387564252, 13.977054514544744 66.25080215182514, 13.977641648812755 66.25131123016584)</t>
  </si>
  <si>
    <t>[476099, 476107, 476115, 476123, 476139, 476147, 476155, 476163, 476175, 476183, 476191, 476199, 476207, 476215, 476223, 476231, 476239, 1435341, 1435349, 1435357, 476247, 476255, 476263, 476271, 228682, 228690, 228698, 228706, 228714, 1254141, 1254142, 1254155, 1254156, 1254160, 1254168, 1254186, 1254207, 1254236, 1254244, 1254252, 1254253, 1254257, 1254265, 1254266, 1254267, 1254268, 1254283, 1254291, 1254292, 1254300, 476327, 476335, 476343, 476351, 476359, 476367, 476377, 476385, 476393, 476401, 476409, 476417, 476425, 476435, 476443, 476451, 476459]</t>
  </si>
  <si>
    <t>[474789, 474800, 474808, 474818, 474837, 474845, 474853, 436615, 474872, 474882, 436535, 436569, 436219, 379317, 474924, 379370, 474943, 1305304, 1305311, 474953, 379381, 474961, 474970, 233268, 233269, 233277, 233284, 233294, 233301, 1172861, 1172862, 1172867, 1172868, 1172873, 1172880, 1172902, 1172929, 1172968, 1172977, 1172987, 1172988, 1172992, 1172998, 1172999, 1173000, 1173001, 1173015, 1173022, 404028, 475038, 404017, 403999, 445045, 445058, 445061, 475080, 403984, 445005, 403956, 403929, 403912, 475133, 475140, 475151, 475159, 475166, 475173]</t>
  </si>
  <si>
    <t>[474788, 474789, 474800, 474808, 474818, 474837, 474845, 474853, 436615, 474872, 474882, 436535, 436569, 436219, 379317, 474924, 379370, 474943, 1305304, 1305311, 474953, 379381, 474961, 474970, 233268, 233269, 233277, 233284, 233294, 233301, 1172861, 1172862, 1172867, 1172868, 1172873, 1172880, 1172902, 1172929, 1172968, 1172977, 1172987, 1172988, 1172992, 1172998, 1172999, 1173000, 1173001, 1173015, 1173022, 404028, 475038, 404017, 403999, 445045, 445058, 445061, 475080, 403984, 445005, 403956, 403929, 403912, 475133, 475140, 475151, 475159, 475166]</t>
  </si>
  <si>
    <t>[0.0, 0.031, 0.097, 0.026, 0.087, 0.084, 0.093, 0.122, 0.029, 0.015, 0.037, 0.147, 0.036, 0.042, 0.003, 0.014, 0.004, 0.065, 0.023, 0.107, 0.003, 0.011, 0.014, 0.101, 0.061, 0.049, 0.15, 0.033, 0.038, 0.063, 0.039, 0.029, 0.008, 0.068, 0.04, 0.03, 0.012, 0.03, 0.059, 0.042, 0.02, 0.017, 0.016, 0.001, 0.055, 0.017, 0.064, 0.025, 0.032, 0.441, 0.068, 0.023, 0.164, 0.059, 0.06, 0.076, 0.012, 0.013, 0.091, 0.03, 0.033, 0.058, 0.079, 0.02, 0.001, 0.001, 0.001]</t>
  </si>
  <si>
    <t>11870.182382022602</t>
  </si>
  <si>
    <t>[0.016, 0.013, 0.012, 0.012, -0.021]</t>
  </si>
  <si>
    <t>LINESTRING (13.977641648812755 66.25131123016584, 13.978168024313698 66.2518319470151, 13.978222508482189 66.2519153888275, 13.978263121853294 66.25198139593543, 13.9783933068628 66.25228775840468, 13.978401538154545 66.25272649366843)</t>
  </si>
  <si>
    <t>[960172, 960180, 960188, 960196, 960204]</t>
  </si>
  <si>
    <t>[926247, 926252, 926256, 926262, 475180]</t>
  </si>
  <si>
    <t>0.0036735912151702045</t>
  </si>
  <si>
    <t>[475173, 926247, 926252, 926256, 926262]</t>
  </si>
  <si>
    <t>[0.016, 0.013, 0.012, 0.012, 0.021]</t>
  </si>
  <si>
    <t>164.16593287044637</t>
  </si>
  <si>
    <t>[0.013, 0.011, 0.01, 0.012, 0.012, -0.023]</t>
  </si>
  <si>
    <t>LINESTRING (13.977641648812755 66.25131123016584, 13.978006579582294 66.25185080275257, 13.978056289217102 66.2519367254306, 13.978090876743572 66.25199874512121, 13.978247555859914 66.25230041017124, 13.978282098003392 66.25237291809437, 13.978401538154545 66.25272649366843)</t>
  </si>
  <si>
    <t>[960212, 960220, 960228, 960236, 960244, 960252]</t>
  </si>
  <si>
    <t>[926274, 926279, 926283, 926290, 926296, 475180]</t>
  </si>
  <si>
    <t>0.0036001507171008456</t>
  </si>
  <si>
    <t>[475173, 926274, 926279, 926283, 926290, 926296]</t>
  </si>
  <si>
    <t>[0.013, 0.011, 0.01, 0.012, 0.012, 0.023]</t>
  </si>
  <si>
    <t>161.87513562887102</t>
  </si>
  <si>
    <t>[0.041, 0.032, 0.016, -0.003, 0.03, 0.007, 0.067, 0.07, 0.049, 0.065, 0.061, -0.044, -0.095, -0.101, -0.032, -0.001, -0.01, -0.021, -0.022, -0.005, -0.008, -0.0, -0.011, 0.003, 0.035, 0.028, -0.004, -0.016, -0.0, 0.081, -0.021, -0.062, 0.002, 0.011]</t>
  </si>
  <si>
    <t>4448.0</t>
  </si>
  <si>
    <t>LINESTRING (13.978401538154545 66.25272649366843, 13.976344418219483 66.25515880253096, 13.976149188735752 66.25546497698323, 13.975251366660398 66.25700300218004, 13.975169710563636 66.25715059541965, 13.974908149623037 66.25767616911979, 13.974882482692232 66.25773261468859, 13.974410601290119 66.26074862198547, 13.974343378395748 66.26096241778805, 13.974345312786498 66.26179574768052, 13.974724135308097 66.26284555457305, 13.975248283716743 66.26422166234224, 13.975862990477948 66.26578837046115, 13.976760930375095 66.26731419772736, 13.977679287800816 66.26854619544888, 13.983630950393316 66.27095904663966, 13.985248684739942 66.27135531200335, 13.986396916414874 66.27163754694986, 13.987904630481024 66.27200859003975, 13.991739409683975 66.27281628960405, 13.997032075279613 66.27282229592477, 13.998041346290458 66.27281121403595, 13.99945241306298 66.27280220244805, 14.000858016167095 66.27282423159369, 14.008769150957297 66.27282135479761, 14.012679478825476 66.27259236050848, 14.01467213264088 66.27262519912303, 14.023017391681245 66.27384827844952, 14.024127461755343 66.27407178031523, 14.029020683583164 66.27514031059296, 14.033455328052767 66.27593774490468, 14.03618022452341 66.27768231069057, 14.038597915264848 66.27991439142124, 14.047653333674923 66.28598751257661, 14.04815262605552 66.28638091150859)</t>
  </si>
  <si>
    <t>[476467, 476476, 476486, 476494, 476502, 476510, 476518, 476526, 476534, 476542, 476548, 476556, 476564, 476572, 476580, 476587, 476595, 476603, 476611, 476619, 476627, 476635, 476643, 476651, 476659, 476667, 476675, 476683, 476691, 476699, 476707, 476715, 476723, 476731]</t>
  </si>
  <si>
    <t>[475181, 475190, 475198, 475205, 475209, 475219, 475228, 434640, 475242, 475251, 377914, 360790, 475267, 475274, 403532, 403514, 403503, 403493, 403465, 403453, 403441, 403430, 475339, 403396, 475357, 475364, 475372, 475380, 475387, 475393, 402958, 403178, 475415, 475424]</t>
  </si>
  <si>
    <t>0.0013125353224864276</t>
  </si>
  <si>
    <t>[475180, 475181, 475190, 475198, 475205, 475209, 475219, 475228, 434640, 475242, 475251, 377914, 360790, 475267, 475274, 403532, 403514, 403503, 403493, 403465, 403453, 403441, 403430, 475339, 403396, 475357, 475364, 475372, 475380, 475387, 475393, 402958, 403178, 475415]</t>
  </si>
  <si>
    <t>[0.041, 0.032, 0.016, 0.003, 0.03, 0.007, 0.067, 0.07, 0.049, 0.065, 0.061, 0.044, 0.095, 0.101, 0.032, 0.001, 0.01, 0.021, 0.022, 0.005, 0.008, 0.0, 0.011, 0.003, 0.035, 0.028, 0.004, 0.016, 0.0, 0.081, 0.021, 0.062, 0.002, 0.011]</t>
  </si>
  <si>
    <t>5985.151032004992</t>
  </si>
  <si>
    <t>[0.006, -0.005, -0.003, -0.006, -0.002, -0.024]</t>
  </si>
  <si>
    <t>LINESTRING (14.04815262605552 66.28638091150859, 14.049154521290316 66.28703222786999, 14.049292802062078 66.28710610665652, 14.049391660259866 66.28715576178548, 14.050104974458469 66.28748528066795, 14.050215411655934 66.28753173120384, 14.050912959924826 66.28776801058656)</t>
  </si>
  <si>
    <t>[960316, 960324, 960332, 960340, 960348, 960360]</t>
  </si>
  <si>
    <t>[926339, 926346, 926352, 926357, 926365, 475432]</t>
  </si>
  <si>
    <t>[475424, 926339, 926346, 926352, 926357, 926365]</t>
  </si>
  <si>
    <t>[0.006, 0.005, 0.003, 0.006, 0.002, 0.024]</t>
  </si>
  <si>
    <t>200.05608518855354</t>
  </si>
  <si>
    <t>[0.012, -0.002, -0.003, -0.007, -0.03]</t>
  </si>
  <si>
    <t>LINESTRING (14.04815262605552 66.28638091150859, 14.049288077924896 66.28698917130006, 14.049429088099256 66.2870610030773, 14.049528352068213 66.28711171930853, 14.050226602342615 66.28744357695102, 14.050912959924826 66.28776801058656)</t>
  </si>
  <si>
    <t>[960536, 960544, 960552, 960560, 960568]</t>
  </si>
  <si>
    <t>[926473, 926474, 926478, 926484, 475432]</t>
  </si>
  <si>
    <t>[475424, 926473, 926474, 926478, 926484]</t>
  </si>
  <si>
    <t>[0.012, 0.002, 0.003, 0.007, 0.03]</t>
  </si>
  <si>
    <t>198.32951867527174</t>
  </si>
  <si>
    <t>[-0.005, -0.014, -0.014, 0.001, 0.004, 0.007, 0.012, 0.012, 0.006, 0.001, 0.001]</t>
  </si>
  <si>
    <t>LINESTRING (14.050912959924826 66.28776801058656, 14.051346772249055 66.28792759882035, 14.051837338548252 66.28808109007045, 14.054731932041033 66.2886179803452, 14.069674908908999 66.29000880787017, 14.073226770758064 66.29002945112691, 14.075346991839774 66.29011927335029, 14.077019304902388 66.29024109359679, 14.07929411631129 66.29051961838115, 14.080865342434404 66.29073935612304, 14.082693251604399 66.2910007874996, 14.083562111175159 66.29113475073036)</t>
  </si>
  <si>
    <t>[476739, 476747, 476755, 476763, 476771, 476779, 476787, 476795, 476803, 476811, 476819]</t>
  </si>
  <si>
    <t>[399872, 475441, 475449, 475455, 475464, 403007, 402907, 475485, 475494, 402862, 475506]</t>
  </si>
  <si>
    <t>0.0014606570016775255</t>
  </si>
  <si>
    <t>[475432, 399872, 475441, 475449, 475455, 475464, 403007, 402907, 475485, 475494, 402862]</t>
  </si>
  <si>
    <t>[0.005, 0.014, 0.014, 0.001, 0.004, 0.007, 0.012, 0.012, 0.006, 0.001, 0.001]</t>
  </si>
  <si>
    <t>1535.6035513596055</t>
  </si>
  <si>
    <t>14.925131165710162</t>
  </si>
  <si>
    <t>[0.758, -0.012, -0.006, -0.048]</t>
  </si>
  <si>
    <t>LINESTRING (10.74439863428972 59.66233954458512, 10.744442777024922 59.66229111890481, 10.744087776681237 59.66005629232532, 10.7433456254611 59.65859526640185, 10.743356897051054 59.658511792297766)</t>
  </si>
  <si>
    <t>[1498574, 1498575, 1498582, 1509103]</t>
  </si>
  <si>
    <t>[1356387, 1356388, 1356392, 1364713]</t>
  </si>
  <si>
    <t>5.507788167071082e-05</t>
  </si>
  <si>
    <t>[475459, 1356387, 1356388, 1356392]</t>
  </si>
  <si>
    <t>[0.758, 0.012, 0.006, 0.048]</t>
  </si>
  <si>
    <t>435.4202583140161</t>
  </si>
  <si>
    <t>[-0.003, -0.01, -0.016, -0.018]</t>
  </si>
  <si>
    <t>LINESTRING (10.744244360861266 59.662518865360596, 10.744195405127671 59.66247051669533, 10.744207356524074 59.66240436505066, 10.744319395472642 59.66234776005846, 10.74439863428972 59.66233954458512)</t>
  </si>
  <si>
    <t>[476807, 476815, 476823, 476831]</t>
  </si>
  <si>
    <t>[475497, 475502, 475508, 475459]</t>
  </si>
  <si>
    <t>[475488, 475497, 475502, 475508]</t>
  </si>
  <si>
    <t>[0.003, 0.01, 0.016, 0.018]</t>
  </si>
  <si>
    <t>26.944813904841666</t>
  </si>
  <si>
    <t>LINESTRING (10.744604492957404 59.66241187436387, 10.744596147105824 59.66249163101651, 10.744506369811628 59.662540866890495)</t>
  </si>
  <si>
    <t>[476783, 476791]</t>
  </si>
  <si>
    <t>[475473, 475480]</t>
  </si>
  <si>
    <t>0.014280745876191292</t>
  </si>
  <si>
    <t>[475460, 475473]</t>
  </si>
  <si>
    <t>16.365814622593454</t>
  </si>
  <si>
    <t>[0.63, -0.109, -0.104, 0.03, 0.069, 0.073, -0.336]</t>
  </si>
  <si>
    <t>LINESTRING (10.744604492957404 59.66241187436387, 10.744712564809824 59.66243622901442, 10.744846851561858 59.66246883563055, 10.745192215747581 59.6625372895291, 10.745697849297166 59.66260097672798, 10.745783163676135 59.66260482705418, 10.745934564847198 59.66260327078369, 10.74610403519915 59.662615339466406)</t>
  </si>
  <si>
    <t>[1510888, 1510896, 1510904, 1510912, 1510920, 1510928, 1510936]</t>
  </si>
  <si>
    <t>[1366311, 1366318, 1366323, 1366333, 1366342, 1366349, 475527]</t>
  </si>
  <si>
    <t>[475460, 1366311, 1366318, 1366323, 1366333, 1366342, 1366349]</t>
  </si>
  <si>
    <t>[0.63, 0.109, 0.104, 0.03, 0.069, 0.073, 0.336]</t>
  </si>
  <si>
    <t>88.49655964306993</t>
  </si>
  <si>
    <t>15.863837684532427</t>
  </si>
  <si>
    <t>[0.552, -0.115, -0.116, 0.012, 0.046, 0.037, -0.213]</t>
  </si>
  <si>
    <t>LINESTRING (10.744506369811628 59.662540866890495, 10.744650775264967 59.66254822055989, 10.744803143683084 59.66255500553645, 10.745166431656758 59.66258739989682, 10.745657995063047 59.66267079892349, 10.745735200893346 59.662688691966764, 10.745848761161454 59.66272050734932, 10.746022162715084 59.6627759727593)</t>
  </si>
  <si>
    <t>[1516862, 1516870, 1516894, 1516895, 1516910, 1516911, 1516926]</t>
  </si>
  <si>
    <t>[1371766, 1371772, 1371796, 1371797, 1371811, 1371812, 475570]</t>
  </si>
  <si>
    <t>[475480, 1371766, 1371772, 1371796, 1371797, 1371811, 1371812]</t>
  </si>
  <si>
    <t>[0.552, 0.115, 0.116, 0.012, 0.046, 0.037, 0.213]</t>
  </si>
  <si>
    <t>90.51472118109649</t>
  </si>
  <si>
    <t>[0.083, 0.029, -0.347]</t>
  </si>
  <si>
    <t>LINESTRING (10.745215809507904 59.66602315822322, 10.745184625155254 59.66596273580339, 10.744329932259003 59.66260077461906, 10.744244360861266 59.662518865360596)</t>
  </si>
  <si>
    <t>[1509120, 1536362, 1536370]</t>
  </si>
  <si>
    <t>[1364731, 1388434, 475488]</t>
  </si>
  <si>
    <t>0.020186995435144663</t>
  </si>
  <si>
    <t>[1364730, 1364731, 1388434]</t>
  </si>
  <si>
    <t>[0.083, 0.029, 0.347]</t>
  </si>
  <si>
    <t>397.8550674504848</t>
  </si>
  <si>
    <t>[-0.005, 0.022, 0.027, 0.02, 0.019, 0.014, 0.007, 0.012]</t>
  </si>
  <si>
    <t>LINESTRING (14.083562111175159 66.29113475073036, 14.085353397706864 66.2915548741896, 14.085421729069163 66.29158089137997, 14.08550993579093 66.29161447225138, 14.085633537518769 66.29165852527528, 14.086092995064785 66.29182991030369, 14.086472140142794 66.29197201280938, 14.086640646776566 66.29203670437494, 14.087479371429184 66.29234874256177)</t>
  </si>
  <si>
    <t>[960721, 960729, 960737, 960745, 960753, 960761, 960775, 960783]</t>
  </si>
  <si>
    <t>[926579, 926583, 926588, 926594, 926599, 926605, 926613, 475514]</t>
  </si>
  <si>
    <t>0.006537908135585716</t>
  </si>
  <si>
    <t>[475506, 926579, 926583, 926588, 926594, 926599, 926605, 926613]</t>
  </si>
  <si>
    <t>[0.005, 0.022, 0.027, 0.02, 0.019, 0.014, 0.007, 0.012]</t>
  </si>
  <si>
    <t>224.14560645338528</t>
  </si>
  <si>
    <t>[-0.01, 0.029, 0.023, 0.023, 0.019, 0.012, 0.01, 0.015, 0.022]</t>
  </si>
  <si>
    <t>LINESTRING (14.083562111175159 66.29113475073036, 14.085249661184696 66.29161258199429, 14.085307094074453 66.29163304421802, 14.085406578065284 66.29166850385499, 14.085519560133132 66.29170975801792, 14.085984731713065 66.2918840031683, 14.086374605283565 66.29203083444582, 14.086528850753385 66.29208557308218, 14.086670646986873 66.29213449632064, 14.087479371429184 66.29234874256177)</t>
  </si>
  <si>
    <t>[960793, 960801, 960809, 960817, 960825, 960833, 960841, 960849, 960857]</t>
  </si>
  <si>
    <t>[926623, 926627, 926635, 926639, 926644, 926647, 926653, 926658, 475514]</t>
  </si>
  <si>
    <t>0.0066193869886699355</t>
  </si>
  <si>
    <t>[475506, 926623, 926627, 926635, 926639, 926644, 926647, 926653, 926658]</t>
  </si>
  <si>
    <t>[0.01, 0.029, 0.023, 0.023, 0.019, 0.012, 0.01, 0.015, 0.022]</t>
  </si>
  <si>
    <t>222.6576798761344</t>
  </si>
  <si>
    <t>[0.015, -0.096, 0.031, -0.03, -0.095, -0.101, -0.036, 0.017, 0.018, 0.018, 0.014, 0.018]</t>
  </si>
  <si>
    <t>4728.0</t>
  </si>
  <si>
    <t>LINESTRING (14.087479371429184 66.29234874256177, 14.103853152869693 66.29951713997508, 14.104892808400752 66.29961906591319, 14.108355848507152 66.29978115987873, 14.112308608426238 66.30095780573987, 14.112523001260959 66.3010818020254, 14.112819908010536 66.3012745096461, 14.117594826698516 66.30404799785536, 14.118020123685367 66.30414273198194, 14.123687067858294 66.3043726267098, 14.125613438666722 66.30443666440222, 14.127272411779508 66.30449932137844, 14.128204494506445 66.30450592198204)</t>
  </si>
  <si>
    <t>[476827, 476835, 476843, 476851, 476859, 476867, 476875, 476883, 476891, 476899, 476907, 1666629]</t>
  </si>
  <si>
    <t>[402630, 475523, 475534, 475541, 475551, 475559, 475567, 475575, 475579, 475587, 475597, 1494993]</t>
  </si>
  <si>
    <t>0.00036177609997503033</t>
  </si>
  <si>
    <t>[475514, 402630, 475523, 475534, 475541, 475551, 475559, 475567, 475575, 475579, 475587, 475597]</t>
  </si>
  <si>
    <t>[0.015, 0.096, 0.031, 0.03, 0.095, 0.101, 0.036, 0.017, 0.018, 0.018, 0.014, 0.018]</t>
  </si>
  <si>
    <t>2462.53270339158</t>
  </si>
  <si>
    <t>8.416703630233837</t>
  </si>
  <si>
    <t>LINESTRING (10.746022162715084 59.6627759727593, 10.745985779580087 59.66267893752018, 10.74610403519915 59.662615339466406)</t>
  </si>
  <si>
    <t>[476887, 476895]</t>
  </si>
  <si>
    <t>[475576, 475527]</t>
  </si>
  <si>
    <t>[475570, 475576]</t>
  </si>
  <si>
    <t>21.331986611459634</t>
  </si>
  <si>
    <t>[-0.008, -0.006, 0.003, 0.01]</t>
  </si>
  <si>
    <t>LINESTRING (10.7462533090541 59.6626154221873, 10.746317339880752 59.66263602513207, 10.746377386905134 59.66273005223799, 10.746228608620893 59.6628101034273, 10.746178094941925 59.662813228454915)</t>
  </si>
  <si>
    <t>[476847, 476855, 476863, 476871]</t>
  </si>
  <si>
    <t>[475537, 475544, 475555, 475562]</t>
  </si>
  <si>
    <t>[475528, 475537, 475544, 475555]</t>
  </si>
  <si>
    <t>[0.008, 0.006, 0.003, 0.01]</t>
  </si>
  <si>
    <t>31.2633630079186</t>
  </si>
  <si>
    <t>[0.02, 0.007, -0.442]</t>
  </si>
  <si>
    <t>LINESTRING (10.743905165476006 59.65897492692193, 10.744022160375712 59.659019192710694, 10.7462119584084 59.66255179237168, 10.7462533090541 59.6626154221873)</t>
  </si>
  <si>
    <t>[1509095, 1498551, 1498558]</t>
  </si>
  <si>
    <t>[1356370, 1356371, 475528]</t>
  </si>
  <si>
    <t>[1361685, 1356370, 1356371]</t>
  </si>
  <si>
    <t>[0.02, 0.007, 0.442]</t>
  </si>
  <si>
    <t>428.7987777000886</t>
  </si>
  <si>
    <t>9.961528549510547</t>
  </si>
  <si>
    <t>[0.534, -0.031, -0.023, -0.041]</t>
  </si>
  <si>
    <t>LINESTRING (10.746178094941925 59.662813228454915, 10.746163785064944 59.66285457592002, 10.745723644118618 59.66468451471332, 10.745588819011335 59.665956982659736, 10.745530392104785 59.66602522148949)</t>
  </si>
  <si>
    <t>[1536338, 1536346, 1536354, 1509112]</t>
  </si>
  <si>
    <t>[1388413, 1388421, 1364722, 1361738]</t>
  </si>
  <si>
    <t>[475562, 1388413, 1388421, 1364722]</t>
  </si>
  <si>
    <t>[0.534, 0.031, 0.023, 0.041]</t>
  </si>
  <si>
    <t>360.76808693241725</t>
  </si>
  <si>
    <t>[0.04, 0.023, 0.007]</t>
  </si>
  <si>
    <t>LINESTRING (14.128204494506445 66.30450592198204, 14.128388525302013 66.30448198459172, 14.129813504085774 66.30467558513088, 14.130253455242848 66.30479767812875)</t>
  </si>
  <si>
    <t>[1666632, 1666637, 1666645]</t>
  </si>
  <si>
    <t>[1494997, 1495001, 475605]</t>
  </si>
  <si>
    <t>0.020712489990318633</t>
  </si>
  <si>
    <t>[1494993, 1494997, 1495001]</t>
  </si>
  <si>
    <t>101.0902502113403</t>
  </si>
  <si>
    <t>[-0.014, 0.026, 0.019, 0.024]</t>
  </si>
  <si>
    <t>LINESTRING (14.128204494506445 66.30450592198204, 14.128360480894624 66.30455188934162, 14.129764090885852 66.30472314704018, 14.129983869429775 66.3047579497277, 14.130253455242848 66.30479767812875)</t>
  </si>
  <si>
    <t>[1666678, 1666693, 1666694, 1666699]</t>
  </si>
  <si>
    <t>[1495035, 1495044, 1495045, 475605]</t>
  </si>
  <si>
    <t>0.021445797615879312</t>
  </si>
  <si>
    <t>[1494993, 1495035, 1495044, 1495045]</t>
  </si>
  <si>
    <t>[0.014, 0.026, 0.019, 0.024]</t>
  </si>
  <si>
    <t>98.09421569163804</t>
  </si>
  <si>
    <t>[-1.24, 0.001, 0.004, 0.006, 0.09, -0.168]</t>
  </si>
  <si>
    <t>LINESTRING (15.40223442418095 66.81241197435995, 15.402066424508828 66.81250727688294, 15.40196074807936 66.81255578157857, 15.400631189622377 66.81315728420303, 15.400468460244305 66.81323171451557, 15.39974726982721 66.81355595897453, 15.398653159507385 66.81405085927558)</t>
  </si>
  <si>
    <t>[1260069, 1260077, 1260078, 1260079, 1260082, 1260090]</t>
  </si>
  <si>
    <t>[1177611, 1177621, 1177622, 1177623, 1177626, 476550]</t>
  </si>
  <si>
    <t>[476541, 1177611, 1177621, 1177622, 1177623, 1177626]</t>
  </si>
  <si>
    <t>[1.24, 0.001, 0.004, 0.006, 0.09, 0.168]</t>
  </si>
  <si>
    <t>241.28417540568938</t>
  </si>
  <si>
    <t>[-0.718, 0.004, 0.005, 0.007, 0.079, 0.124, -0.217]</t>
  </si>
  <si>
    <t>LINESTRING (15.40223442418095 66.81241197435995, 15.401863178099834 66.81254889776409, 15.400485693405187 66.81311744557468, 15.400424345505968 66.81314482732803, 15.400268749504534 66.8132142785148, 15.399585516268559 66.81352838782223, 15.399420596009291 66.81360700297314, 15.398653159507385 66.81405085927558)</t>
  </si>
  <si>
    <t>[1260098, 1260099, 1260106, 1260108, 1260114, 1260115, 1260130]</t>
  </si>
  <si>
    <t>[1177638, 1177639, 1177647, 1177648, 1177652, 1177653, 476550]</t>
  </si>
  <si>
    <t>[476541, 1177638, 1177639, 1177647, 1177648, 1177652, 1177653]</t>
  </si>
  <si>
    <t>[0.718, 0.004, 0.005, 0.007, 0.079, 0.124, 0.217]</t>
  </si>
  <si>
    <t>241.99467071335852</t>
  </si>
  <si>
    <t>[-0.115, -0.073, -0.037, 0.2, -0.041, -0.134]</t>
  </si>
  <si>
    <t>LINESTRING (15.413977066179655 66.80710512170971, 15.409637991491 66.80906429349983, 15.407422904408614 66.81006287083345, 15.406115085184554 66.81065812958616, 15.404260200742636 66.81149546378337, 15.4034675685206 66.8118550916366, 15.40223442418095 66.81241197435995)</t>
  </si>
  <si>
    <t>[1197608, 1197616, 1197624, 1197632, 477822, 477830]</t>
  </si>
  <si>
    <t>[1123499, 404841, 404871, 404915, 476533, 476541]</t>
  </si>
  <si>
    <t>[957794, 1123499, 404841, 404871, 404915, 476533]</t>
  </si>
  <si>
    <t>[0.115, 0.073, 0.037, 0.2, 0.041, 0.134]</t>
  </si>
  <si>
    <t>785.0054856690612</t>
  </si>
  <si>
    <t>[-0.092, -0.088, -0.02, 0.004, 0.107, 0.121, 0.121, 0.097, -0.095, 0.009, 0.021, 0.058, 0.027, -0.024, 0.017, 0.031, -0.056, -0.011, -0.019, -0.033, 0.089, -0.002, -0.035, -0.005, 0.002, 0.007, -0.009, -0.007, -0.004, -0.003, -0.01, -0.002, -0.0, -0.02, -0.006, -0.002, 0.009, -0.007, -0.005, -0.001]</t>
  </si>
  <si>
    <t>LINESTRING (15.398653159507385 66.81405085927558, 15.398246911758731 66.8142919415797, 15.39764909518735 66.81480585823556, 15.397274502699055 66.81559820394158, 15.3971532913542 66.81621058622659, 15.397088237572367 66.81653746617768, 15.394781459618947 66.81860966451767, 15.3911611640409 66.82022999320347, 15.38751314443262 66.82185647755306, 15.374790758120662 66.8276328517104, 15.366171812741925 66.83134530199659, 15.364036332858475 66.83235055877877, 15.3636267104934 66.8325147684149, 15.350911078791501 66.83650280652834, 15.337917076306116 66.83947151207106, 15.321080780635913 66.84425503302876, 15.320347654115395 66.84462126768412, 15.316440648437922 66.8484728071373, 15.316245413294517 66.84963837586628, 15.316037227510572 66.85018962000109, 15.314894655572035 66.85612424144585, 15.31477351264891 66.85666004209861, 15.312723195158377 66.85814899682366, 15.307627226285577 66.86085933507495, 15.307587301548923 66.86088342715256, 15.305303047032629 66.8623097905312, 15.304323392354641 66.86301623351616, 15.300531121142557 66.86544971181434, 15.299875791322728 66.86643467860769, 15.299796282521772 66.86672597253151, 15.29729347861799 66.87225236432022, 15.291538220335385 66.87527345261147, 15.290939474121801 66.88231886390133, 15.29896891486255 66.89311245978827, 15.302033776008475 66.89624027890184, 15.303518818957775 66.89768128730381, 15.304362015628046 66.8984037640117, 15.30642803738853 66.90003484750419, 15.30998895505235 66.90487537748767, 15.310851866009292 66.90804000241164, 15.32184552377754 66.92285669061258)</t>
  </si>
  <si>
    <t>[477838, 477846, 477854, 477862, 477870, 477878, 477885, 477893, 477901, 477909, 477917, 477925, 477933, 477941, 477949, 477957, 477965, 477973, 477981, 477989, 477997, 478005, 478013, 478021, 478029, 478037, 478045, 478053, 478061, 478069, 478077, 478085, 478093, 478101, 478109, 478117, 478125, 478133, 478141, 478149]</t>
  </si>
  <si>
    <t>[476551, 423954, 476569, 476577, 476587, 423632, 404957, 476611, 457673, 457715, 476629, 476636, 405009, 423774, 476663, 405030, 423141, 476683, 476693, 476701, 476710, 405041, 415063, 422787, 476740, 476748, 470966, 457783, 476772, 476782, 423939, 423539, 400882, 459050, 476819, 400872, 423163, 476843, 476851, 476859]</t>
  </si>
  <si>
    <t>[476550, 476551, 423954, 476569, 476577, 476587, 423632, 404957, 476611, 457673, 457715, 476629, 476636, 405009, 423774, 476663, 405030, 423141, 476683, 476693, 476701, 476710, 405041, 415063, 422787, 476740, 476748, 470966, 457783, 476772, 476782, 423939, 423539, 400882, 459050, 476819, 400872, 423163, 476843, 476851]</t>
  </si>
  <si>
    <t>[0.092, 0.088, 0.02, 0.004, 0.107, 0.121, 0.121, 0.097, 0.095, 0.009, 0.021, 0.058, 0.027, 0.024, 0.017, 0.031, 0.056, 0.011, 0.019, 0.033, 0.089, 0.002, 0.035, 0.005, 0.002, 0.007, 0.009, 0.007, 0.004, 0.003, 0.01, 0.002, 0.0, 0.02, 0.006, 0.002, 0.009, 0.007, 0.005, 0.001]</t>
  </si>
  <si>
    <t>14428.860251270606</t>
  </si>
  <si>
    <t>[0.095, 0.028, 0.037, 0.038, 0.044, -0.093]</t>
  </si>
  <si>
    <t>LINESTRING (15.32184552377754 66.92285669061258, 15.322486360837495 66.92371641781095, 15.322551165529216 66.92378303658441, 15.323315093853145 66.92439821311278, 15.323471002602274 66.92450534566072, 15.32354719947718 66.92455651133146, 15.3249494975483 66.92563851877593)</t>
  </si>
  <si>
    <t>[1771006, 1771014, 1771022, 1771030, 1771038, 1771046]</t>
  </si>
  <si>
    <t>[1562941, 1562951, 1562959, 1562965, 352535, 476864]</t>
  </si>
  <si>
    <t>0.002207325306944482</t>
  </si>
  <si>
    <t>[476859, 1562941, 1562951, 1562959, 1562965, 352535]</t>
  </si>
  <si>
    <t>[0.095, 0.028, 0.037, 0.038, 0.044, 0.093]</t>
  </si>
  <si>
    <t>340.0831968037618</t>
  </si>
  <si>
    <t>[0.079, 0.038, 0.039, 0.044, -0.086]</t>
  </si>
  <si>
    <t>LINESTRING (15.32184552377754 66.92285669061258, 15.322345496886289 66.92381142481297, 15.323136494598769 66.92443892668508, 15.32329273829769 66.92454549357521, 15.32336174731063 66.92459257439656, 15.3249494975483 66.92563851877593)</t>
  </si>
  <si>
    <t>[1771054, 1771062, 1771070, 1771078, 1771086]</t>
  </si>
  <si>
    <t>[1562985, 1562992, 1562998, 352536, 476864]</t>
  </si>
  <si>
    <t>0.00207833408992794</t>
  </si>
  <si>
    <t>[476859, 1562985, 1562992, 1562998, 352536]</t>
  </si>
  <si>
    <t>[0.079, 0.038, 0.039, 0.044, 0.086]</t>
  </si>
  <si>
    <t>342.62762060107855</t>
  </si>
  <si>
    <t>1242.0351480857694</t>
  </si>
  <si>
    <t>[0.136, -0.003, 0.015, 0.011, 0.01, 0.009, 0.006, -0.051]</t>
  </si>
  <si>
    <t>LINESTRING (15.315364911701845 66.93539410908505, 15.315304917886273 66.93549901393632, 15.314867675469497 66.93665908177088, 15.314854611041016 66.93668371405748, 15.314803247586996 66.93678065362124, 15.314778838409737 66.9368267032944, 15.31424877850615 66.93749577642794, 15.314170879473313 66.93757708765582, 15.313369916859168 66.93828820941694)</t>
  </si>
  <si>
    <t>[1770854, 1770862, 1770870, 1770878, 1770886, 1770894, 1770902, 1770910]</t>
  </si>
  <si>
    <t>[1562829, 1562835, 1562800, 1562780, 1562849, 1562855, 1562862, 476875]</t>
  </si>
  <si>
    <t>[476865, 1562829, 1562835, 1562800, 1562780, 1562849, 1562855, 1562862]</t>
  </si>
  <si>
    <t>[0.136, 0.003, 0.015, 0.011, 0.01, 0.009, 0.006, 0.051]</t>
  </si>
  <si>
    <t>336.3001821870258</t>
  </si>
  <si>
    <t>[0.156, -0.003, -0.011, -0.016, -0.017, 0.011, -0.044]</t>
  </si>
  <si>
    <t>LINESTRING (15.315364911701845 66.93539410908505, 15.315378316508978 66.93550220524115, 15.315032484804973 66.93667451625596, 15.315021870828975 66.93669580662826, 15.314971708459963 66.93679181989191, 15.31494187155732 66.93684445581307, 15.314395547453179 66.93751859420814, 15.313369916859168 66.93828820941694)</t>
  </si>
  <si>
    <t>[1770918, 1770926, 1770934, 1770942, 1770950, 1770958, 1770966]</t>
  </si>
  <si>
    <t>[1562876, 1562882, 1562801, 1562781, 1562897, 1562904, 476875]</t>
  </si>
  <si>
    <t>[476865, 1562876, 1562882, 1562801, 1562781, 1562897, 1562904]</t>
  </si>
  <si>
    <t>[0.156, 0.003, 0.011, 0.016, 0.017, 0.011, 0.044]</t>
  </si>
  <si>
    <t>339.11845116178995</t>
  </si>
  <si>
    <t>537.4389208808002</t>
  </si>
  <si>
    <t>[0.171, -0.044, -0.021, -0.054, -0.057, -0.135]</t>
  </si>
  <si>
    <t>LINESTRING (15.305806618122844 66.94208657380638, 15.30429116477209 66.94297882944521, 15.304229174227196 66.94302061661617, 15.30320241286119 66.94380431354368, 15.303170609097924 66.94383212030094, 15.303072623821247 66.943927575012, 15.302143633516424 66.94501997170431)</t>
  </si>
  <si>
    <t>[1770686, 1770694, 1770702, 1770710, 1770718, 1770726]</t>
  </si>
  <si>
    <t>[1562697, 1562705, 1562710, 1562686, 1562672, 476884]</t>
  </si>
  <si>
    <t>[476876, 1562697, 1562705, 1562710, 1562686, 1562672]</t>
  </si>
  <si>
    <t>[0.171, 0.044, 0.021, 0.054, 0.057, 0.135]</t>
  </si>
  <si>
    <t>366.58220016342716</t>
  </si>
  <si>
    <t>[0.167, -0.014, -0.021, -0.062, -0.145]</t>
  </si>
  <si>
    <t>LINESTRING (15.305806618122844 66.94208657380638, 15.304078690858617 66.94298069857392, 15.303032349940608 66.94377629998064, 15.303001997233258 66.94380488437733, 15.302904097366724 66.94389989029123, 15.302143633516424 66.94501997170431)</t>
  </si>
  <si>
    <t>[1770734, 1770742, 1770750, 1770758, 1770766]</t>
  </si>
  <si>
    <t>[1562736, 1562742, 1562678, 1562668, 476884]</t>
  </si>
  <si>
    <t>[476876, 1562736, 1562742, 1562678, 1562668]</t>
  </si>
  <si>
    <t>[0.167, 0.014, 0.021, 0.062, 0.145]</t>
  </si>
  <si>
    <t>369.54836453168684</t>
  </si>
  <si>
    <t>[-0.005, -0.026, 0.003, -0.008, -0.004, 0.003, -0.001]</t>
  </si>
  <si>
    <t>LINESTRING (15.302143633516424 66.94501997170431, 15.311139032026565 66.96965439903329, 15.313563104349477 66.97345889875274, 15.314610099303941 66.97511118238133, 15.31523618166722 66.97611269909532, 15.315272882668758 66.9776250724441, 15.315322575477147 66.97925919511701, 15.315471744799822 66.97988516106591)</t>
  </si>
  <si>
    <t>[478173, 478181, 478189, 478197, 478205, 478213, 478221]</t>
  </si>
  <si>
    <t>[476885, 476895, 457898, 476914, 476923, 476932, 476941]</t>
  </si>
  <si>
    <t>[476884, 476885, 476895, 457898, 476914, 476923, 476932]</t>
  </si>
  <si>
    <t>[0.005, 0.026, 0.003, 0.008, 0.004, 0.003, 0.001]</t>
  </si>
  <si>
    <t>4005.9231438948523</t>
  </si>
  <si>
    <t>[-0.047, -0.012, 0.069]</t>
  </si>
  <si>
    <t>LINESTRING (10.784385866691016 59.724289467289864, 10.785188422478917 59.72429278635414, 10.786108577269685 59.72429538376902, 10.786840785794514 59.72429885982338)</t>
  </si>
  <si>
    <t>[478212, 478220, 478228]</t>
  </si>
  <si>
    <t>[476931, 476940, 476947]</t>
  </si>
  <si>
    <t>0.0007173835853325763</t>
  </si>
  <si>
    <t>[476930, 476931, 476940]</t>
  </si>
  <si>
    <t>[0.047, 0.012, 0.069]</t>
  </si>
  <si>
    <t>138.166584552221</t>
  </si>
  <si>
    <t>[-0.041, -0.039]</t>
  </si>
  <si>
    <t>LINESTRING (10.783871504506024 59.72436923087052, 10.783999208576713 59.724353887850505, 10.784385866691016 59.724289467289864)</t>
  </si>
  <si>
    <t>[478531, 478539]</t>
  </si>
  <si>
    <t>[477289, 476930]</t>
  </si>
  <si>
    <t>[477288, 477289]</t>
  </si>
  <si>
    <t>[0.041, 0.039]</t>
  </si>
  <si>
    <t>30.565593569797898</t>
  </si>
  <si>
    <t>[-0.052, -0.051]</t>
  </si>
  <si>
    <t>LINESTRING (10.783868544037439 59.72422393889315, 10.783987787680488 59.724237996242586, 10.784385866691016 59.724289467289864)</t>
  </si>
  <si>
    <t>[515973, 515981]</t>
  </si>
  <si>
    <t>[522540, 476930]</t>
  </si>
  <si>
    <t>[477789, 522540]</t>
  </si>
  <si>
    <t>[0.052, 0.051]</t>
  </si>
  <si>
    <t>30.01790621995767</t>
  </si>
  <si>
    <t>[0.111, 0.022, 0.007, -0.001, -0.012, -0.01, -0.025, -0.233]</t>
  </si>
  <si>
    <t>LINESTRING (15.315471744799822 66.97988516106591, 15.315863971210028 66.9806329668311, 15.315890409201367 66.98068541003788, 15.316371548687744 66.98157904271575, 15.316387787869722 66.98160833516972, 15.316432186278165 66.98168655085198, 15.316473633936686 66.98175988343843, 15.317052732595924 66.98267005811014, 15.317234789414798 66.9829687555612)</t>
  </si>
  <si>
    <t>[1770470, 1770478, 1770486, 1770494, 1770502, 1770510, 1770518, 1770526]</t>
  </si>
  <si>
    <t>[1562520, 1562526, 1562532, 1562535, 1562545, 1562550, 1562558, 476948]</t>
  </si>
  <si>
    <t>[476941, 1562520, 1562526, 1562532, 1562535, 1562545, 1562550, 1562558]</t>
  </si>
  <si>
    <t>[0.111, 0.022, 0.007, 0.001, 0.012, 0.01, 0.025, 0.233]</t>
  </si>
  <si>
    <t>352.3557821964914</t>
  </si>
  <si>
    <t>[0.085, 0.012, 0.004, 0.001, 0.002, -0.018, -0.042, -0.33]</t>
  </si>
  <si>
    <t>LINESTRING (15.315471744799822 66.97988516106591, 15.315699606935068 66.980697872265, 15.316169046787508 66.98159818492248, 15.316191720310531 66.98163413870051, 15.316244117876801 66.98171070588843, 15.316291843528937 66.98178043781364, 15.316941656153226 66.98268309843166, 15.317025690299063 66.9827952333698, 15.317234789414798 66.9829687555612)</t>
  </si>
  <si>
    <t>[1770534, 1770542, 1770550, 1770558, 1770566, 1770574, 1770582, 1770590]</t>
  </si>
  <si>
    <t>[1562570, 1562578, 1562583, 1562591, 1562600, 1562605, 1562614, 476948]</t>
  </si>
  <si>
    <t>[476941, 1562570, 1562578, 1562583, 1562591, 1562600, 1562605, 1562614]</t>
  </si>
  <si>
    <t>[0.085, 0.012, 0.004, 0.001, 0.002, 0.018, 0.042, 0.33]</t>
  </si>
  <si>
    <t>353.6896791741447</t>
  </si>
  <si>
    <t>[0.052, 0.057]</t>
  </si>
  <si>
    <t>LINESTRING (10.786840785794514 59.72429885982338, 10.787101481845179 59.724344892382824, 10.787215516376804 59.72435720587064)</t>
  </si>
  <si>
    <t>[478547, 478555]</t>
  </si>
  <si>
    <t>[477304, 477311]</t>
  </si>
  <si>
    <t>0.053450991148532426</t>
  </si>
  <si>
    <t>[476947, 477304]</t>
  </si>
  <si>
    <t>22.615192036004274</t>
  </si>
  <si>
    <t>[0.078, 0.074]</t>
  </si>
  <si>
    <t>LINESTRING (10.786840785794514 59.72429885982338, 10.787087548687031 59.72424207528437, 10.787233316582926 59.72421589015353)</t>
  </si>
  <si>
    <t>[515989, 515997]</t>
  </si>
  <si>
    <t>[522557, 522565]</t>
  </si>
  <si>
    <t>0.07658564240628228</t>
  </si>
  <si>
    <t>[476947, 522557]</t>
  </si>
  <si>
    <t>24.625523671791754</t>
  </si>
  <si>
    <t>[-0.005, -0.008, -0.007, 0.0, 0.0, 0.022, -0.016, -0.004, 0.002, 0.012, -0.026, -0.005, 0.008, 0.008, -0.0, -0.006, -0.003]</t>
  </si>
  <si>
    <t>1931.0</t>
  </si>
  <si>
    <t>[0, 0, 0, 0, 0, 0, 0, 0, 0, 0, 0, 0, 0, 0, 0, 1, 0]</t>
  </si>
  <si>
    <t>LINESTRING (15.317234789414798 66.9829687555612, 15.317555411014668 66.98332135837042, 15.317607657595502 66.98337518504181, 15.317705971470474 66.98347643672767, 15.317729944210651 66.98350098610959, 15.324734061504923 66.9881889201065, 15.334560624124943 66.99305075706958, 15.348226581098576 66.99987461962849, 15.350124909787601 67.00131004068855, 15.350958294931349 67.00220921687776, 15.35245756503928 67.01023275580401, 15.35204720929376 67.01559497387545, 15.351900847762057 67.01570674745882, 15.350822434935635 67.01657329548651, 15.35063655776544 67.01674672873017, 15.349746480489951 67.01797690576319, 15.349519436879458 67.018803949742, 15.35898409338701 67.02638946359173)</t>
  </si>
  <si>
    <t>[478229, 478237, 478245, 478253, 478261, 478269, 478277, 478285, 478293, 478301, 478309, 478317, 478325, 478333, 478341, 478349, 478357]</t>
  </si>
  <si>
    <t>[476949, 476960, 476972, 476983, 476992, 414971, 477006, 477016, 477022, 446076, 477039, 410610, 410647, 477065, 477074, 477084, 477095]</t>
  </si>
  <si>
    <t>[476948, 476949, 476960, 476972, 476983, 476992, 414971, 477006, 477016, 477022, 446076, 477039, 410610, 410647, 477065, 477074, 477084]</t>
  </si>
  <si>
    <t>[0.005, 0.008, 0.007, 0.0, 0.0, 0.022, 0.016, 0.004, 0.002, 0.012, 0.026, 0.005, 0.008, 0.008, 0.0, 0.006, 0.003]</t>
  </si>
  <si>
    <t>5468.293251154273</t>
  </si>
  <si>
    <t>[0.207, -0.009, -0.011, -0.014, -0.012, -0.014, 0.008, 0.004, -0.032]</t>
  </si>
  <si>
    <t>LINESTRING (15.35898409338701 67.02638946359173, 15.359063761473537 67.02646705856193, 15.359373316816585 67.02664182411145, 15.360843815514695 67.02745598451038, 15.360906836771004 67.02748961579692, 15.360971038484637 67.02752387232107, 15.361040841332679 67.02756112125343, 15.36233600695892 67.028255424233, 15.362449425596953 67.0283162914305, 15.363797438106847 67.02903355251622)</t>
  </si>
  <si>
    <t>[490265, 490272, 490293, 490301, 490302, 490309, 490317, 490318, 490326]</t>
  </si>
  <si>
    <t>[490720, 490728, 490751, 490762, 490763, 490773, 490781, 490782, 477106]</t>
  </si>
  <si>
    <t>[477095, 490720, 490728, 490751, 490762, 490763, 490773, 490781, 490782]</t>
  </si>
  <si>
    <t>[0.207, 0.009, 0.011, 0.014, 0.012, 0.014, 0.008, 0.004, 0.032]</t>
  </si>
  <si>
    <t>361.9849851773318</t>
  </si>
  <si>
    <t>[0.041, -0.005, -0.008, -0.01, -0.01, -0.009, -0.003, -0.01]</t>
  </si>
  <si>
    <t>[0, 1, 0, 0, 0, 0, 0, 0]</t>
  </si>
  <si>
    <t>LINESTRING (15.35898409338701 67.02638946359173, 15.359139679322535 67.02644616546172, 15.359478513912883 67.02661350894682, 15.361009334230742 67.0274077067899, 15.361051439783115 67.02743215474106, 15.36112726701992 67.02747618067599, 15.361193923079316 67.02751488990293, 15.36248068271635 67.02822278319636, 15.363797438106847 67.02903355251622)</t>
  </si>
  <si>
    <t>[1029164, 1029172, 1029180, 1029188, 1029196, 1029204, 1029212, 1029220]</t>
  </si>
  <si>
    <t>[983406, 983415, 983423, 983430, 983438, 983444, 983449, 477106]</t>
  </si>
  <si>
    <t>[477095, 983406, 983415, 983423, 983430, 983438, 983444, 983449]</t>
  </si>
  <si>
    <t>[0.041, 0.005, 0.008, 0.01, 0.01, 0.009, 0.003, 0.01]</t>
  </si>
  <si>
    <t>362.440117202678</t>
  </si>
  <si>
    <t>[-0.001, 0.001, -0.003, -0.002]</t>
  </si>
  <si>
    <t>LINESTRING (15.363797438106847 67.02903355251622, 15.385237416135723 67.05057987044123, 15.383735779818386 67.06475622941682, 15.38365395445724 67.06497844639999, 15.383599620259199 67.06511994335968)</t>
  </si>
  <si>
    <t>[478365, 478373, 478381, 478389]</t>
  </si>
  <si>
    <t>[477107, 477116, 477125, 477134]</t>
  </si>
  <si>
    <t>[477106, 477107, 477116, 477125]</t>
  </si>
  <si>
    <t>[0.001, 0.001, 0.003, 0.002]</t>
  </si>
  <si>
    <t>4220.705801259915</t>
  </si>
  <si>
    <t>[-0.001, 0.002, 0.002, 0.0, 0.002, -0.011, -0.013]</t>
  </si>
  <si>
    <t>LINESTRING (15.383599620259199 67.06511994335968, 15.383276485702982 67.06642817189304, 15.383268077480961 67.06646222620581, 15.383253041820614 67.06651640832216, 15.383243338012125 67.06654269728652, 15.382931199412026 67.06742064599113, 15.382769092998126 67.06786745234521, 15.382509492508614 67.06838761091893)</t>
  </si>
  <si>
    <t>[487848, 487872, 487873, 487881, 487897, 487901, 487928]</t>
  </si>
  <si>
    <t>[487967, 487991, 487992, 488000, 488013, 488017, 477144]</t>
  </si>
  <si>
    <t>[477134, 487967, 487991, 487992, 488000, 488013, 488017]</t>
  </si>
  <si>
    <t>[0.001, 0.002, 0.002, 0.0, 0.002, 0.011, 0.013]</t>
  </si>
  <si>
    <t>367.7943587886492</t>
  </si>
  <si>
    <t>[-0.006, -0.003, -0.002, -0.002, -0.002, -0.002, -0.002, -0.0]</t>
  </si>
  <si>
    <t>LINESTRING (15.383599620259199 67.06511994335968, 15.38308603915399 67.06642359698412, 15.383079156780829 67.06644797741406, 15.383061861915587 67.0665091260519, 15.383054414709564 67.06653560693579, 15.382758562893171 67.06741714025928, 15.382735279661645 67.0674851208067, 15.382616292993509 67.06784736620625, 15.382509492508614 67.06838761091893)</t>
  </si>
  <si>
    <t>[490333, 490340, 490344, 490345, 490355, 490356, 490359, 490366]</t>
  </si>
  <si>
    <t>[490015, 490803, 490808, 490809, 490817, 490818, 490822, 477144]</t>
  </si>
  <si>
    <t>[477134, 490015, 490803, 490808, 490809, 490817, 490818, 490822]</t>
  </si>
  <si>
    <t>[0.006, 0.003, 0.002, 0.002, 0.002, 0.002, 0.002, 0.0]</t>
  </si>
  <si>
    <t>367.55578589149565</t>
  </si>
  <si>
    <t>LINESTRING (15.382509492508614 67.06838761091893, 15.382080204026215 67.08137301348346, 15.38285074082591 67.08197413613115)</t>
  </si>
  <si>
    <t>[478397, 478405]</t>
  </si>
  <si>
    <t>[477145, 477157]</t>
  </si>
  <si>
    <t>[477144, 477145]</t>
  </si>
  <si>
    <t>1544.2459935814265</t>
  </si>
  <si>
    <t>[0.001, 0.001, 0.002, -0.001, -0.005, -0.004, -0.004, -0.005, 0.001, -0.005]</t>
  </si>
  <si>
    <t>LINESTRING (15.38285074082591 67.08197413613115, 15.383562984626549 67.08238945489107, 15.384131529356935 67.0827128549709, 15.384325312060819 67.0828138356708, 15.38563308056905 67.0834794039654, 15.385696515458285 67.0835103423848, 15.385759394630211 67.08354105786026, 15.38582336385143 67.08357229096423, 15.385850194454068 67.08358508080796, 15.388487369502693 67.08469755432154, 15.388727185057109 67.08479514342778)</t>
  </si>
  <si>
    <t>[1770230, 1770238, 1770246, 1770254, 1770262, 1770270, 1770278, 1770286, 1770294, 1770302]</t>
  </si>
  <si>
    <t>[1562374, 1562381, 1562387, 1562396, 1562401, 1562409, 1562414, 1562417, 1562424, 477163]</t>
  </si>
  <si>
    <t>0.0001504417968729208</t>
  </si>
  <si>
    <t>[477157, 1562374, 1562381, 1562387, 1562396, 1562401, 1562409, 1562414, 1562417, 1562424]</t>
  </si>
  <si>
    <t>[0.001, 0.001, 0.002, 0.001, 0.005, 0.004, 0.004, 0.005, 0.001, 0.005]</t>
  </si>
  <si>
    <t>406.05349980847393</t>
  </si>
  <si>
    <t>[0.0, 0.002, -0.001, -0.004, -0.004, -0.005, -0.004, 0.0, -0.004]</t>
  </si>
  <si>
    <t>LINESTRING (15.38285074082591 67.08197413613115, 15.383448648024855 67.08241797774063, 15.384174599371494 67.08285453885858, 15.385472178836999 67.0835264033652, 15.385541876837001 67.08355900419909, 15.385604619047896 67.08358834758104, 15.385675013788315 67.08362132343433, 15.385700446888274 67.08363306713306, 15.388448844034704 67.0847134541029, 15.388727185057109 67.08479514342778)</t>
  </si>
  <si>
    <t>[1770310, 1770318, 1770326, 1770334, 1770342, 1770350, 1770358, 1770366, 1770374]</t>
  </si>
  <si>
    <t>[1562435, 1562440, 1562441, 1562444, 1562451, 1562457, 1562465, 1562470, 477163]</t>
  </si>
  <si>
    <t>[477157, 1562435, 1562440, 1562441, 1562444, 1562451, 1562457, 1562465, 1562470]</t>
  </si>
  <si>
    <t>[0.0, 0.002, 0.001, 0.004, 0.004, 0.005, 0.004, 0.0, 0.004]</t>
  </si>
  <si>
    <t>408.17987875716517</t>
  </si>
  <si>
    <t>1431.0</t>
  </si>
  <si>
    <t>LINESTRING (15.388727185057109 67.08479514342778, 15.452635997195879 67.14579224357686)</t>
  </si>
  <si>
    <t>12753.9143078371</t>
  </si>
  <si>
    <t>5.166822233766168</t>
  </si>
  <si>
    <t>[-0.036, -0.002]</t>
  </si>
  <si>
    <t>LINESTRING (10.783868544037439 59.72422393889315, 10.783917102398304 59.72429634516087, 10.783871504506024 59.72436923087052)</t>
  </si>
  <si>
    <t>[478980, 478988]</t>
  </si>
  <si>
    <t>[477797, 477288]</t>
  </si>
  <si>
    <t>[477789, 477797]</t>
  </si>
  <si>
    <t>[0.036, 0.002]</t>
  </si>
  <si>
    <t>17.037290069252144</t>
  </si>
  <si>
    <t>[-0.053, 0.134]</t>
  </si>
  <si>
    <t>LINESTRING (10.787215516376804 59.72435720587064, 10.787179021261629 59.72428508962371, 10.787233316582926 59.72421589015353)</t>
  </si>
  <si>
    <t>[1532818, 1532826]</t>
  </si>
  <si>
    <t>[1385536, 522565]</t>
  </si>
  <si>
    <t>0.040499999995007314</t>
  </si>
  <si>
    <t>[477311, 1385536]</t>
  </si>
  <si>
    <t>[0.053, 0.134]</t>
  </si>
  <si>
    <t>16.589840264697614</t>
  </si>
  <si>
    <t>6.6694902353587135</t>
  </si>
  <si>
    <t>LINESTRING (15.391182928697233 67.26222022751104, 15.391110741813208 67.26226220493075, 15.39103877011394 67.2622988982905)</t>
  </si>
  <si>
    <t>[478957, 478965]</t>
  </si>
  <si>
    <t>[477767, 477778]</t>
  </si>
  <si>
    <t>[477756, 477767]</t>
  </si>
  <si>
    <t>10.756025472036601</t>
  </si>
  <si>
    <t>[1.766, 0.067, 0.027]</t>
  </si>
  <si>
    <t>LINESTRING (15.391652210221187 67.2603788813579, 15.39165665017933 67.26040665153323, 15.391733063010225 67.2607581096736, 15.391182928697233 67.26222022751104)</t>
  </si>
  <si>
    <t>[1390846, 478941, 478949]</t>
  </si>
  <si>
    <t>[405412, 477746, 477756]</t>
  </si>
  <si>
    <t>0.0600576059270177</t>
  </si>
  <si>
    <t>[1275772, 405412, 477746]</t>
  </si>
  <si>
    <t>210.74600147001166</t>
  </si>
  <si>
    <t>[-0.011, -0.032]</t>
  </si>
  <si>
    <t>LINESTRING (15.39103877011394 67.2622988982905, 15.387864381282576 67.26397103509785, 15.387176472532484 67.26437622367506)</t>
  </si>
  <si>
    <t>[478973, 478981]</t>
  </si>
  <si>
    <t>[405488, 477798]</t>
  </si>
  <si>
    <t>[477778, 405488]</t>
  </si>
  <si>
    <t>[0.011, 0.032]</t>
  </si>
  <si>
    <t>285.33268487048156</t>
  </si>
  <si>
    <t>[0.047, 0.029, -0.0, -0.026, -0.035, -0.053, -0.043]</t>
  </si>
  <si>
    <t>LINESTRING (10.783551367530949 59.72440380568888, 10.783464775706637 59.724360523059076, 10.783430593857624 59.72430147288427, 10.783492091379504 59.72421588086644, 10.783538386752934 59.72419551083201, 10.783684104492385 59.72417483085919, 10.783825825905259 59.72420166886978, 10.783868544037439 59.72422393889315)</t>
  </si>
  <si>
    <t>[479012, 479020, 479028, 479036, 479044, 479052, 478972]</t>
  </si>
  <si>
    <t>[477836, 477847, 477857, 477267, 477872, 477788, 477789]</t>
  </si>
  <si>
    <t>[477826, 477836, 477847, 477857, 477267, 477872, 477788]</t>
  </si>
  <si>
    <t>[0.047, 0.029, 0.0, 0.026, 0.035, 0.053, 0.043]</t>
  </si>
  <si>
    <t>47.807631308128755</t>
  </si>
  <si>
    <t>[-0.015, -0.021, -0.029]</t>
  </si>
  <si>
    <t>LINESTRING (15.387176472532484 67.26437622367506, 15.38652636635847 67.26484097065779, 15.386431699910457 67.26492363543626, 15.385735500533658 67.26578340686439)</t>
  </si>
  <si>
    <t>[1336679, 1336687, 1336695]</t>
  </si>
  <si>
    <t>[580481, 580495, 477807]</t>
  </si>
  <si>
    <t>[477798, 580481, 580495]</t>
  </si>
  <si>
    <t>[0.015, 0.021, 0.029]</t>
  </si>
  <si>
    <t>169.79401715154103</t>
  </si>
  <si>
    <t>[-0.014, -0.021, -0.018, -0.035]</t>
  </si>
  <si>
    <t>LINESTRING (15.387176472532484 67.26437622367506, 15.386625433618383 67.26485894184695, 15.38653031092304 67.26494205629676, 15.38631030888417 67.26514980830359, 15.385735500533658 67.26578340686439)</t>
  </si>
  <si>
    <t>[1336703, 1336711, 1336719, 1336727]</t>
  </si>
  <si>
    <t>[1240797, 1240805, 1240812, 477807]</t>
  </si>
  <si>
    <t>[477798, 1240797, 1240805, 1240812]</t>
  </si>
  <si>
    <t>[0.014, 0.021, 0.018, 0.035]</t>
  </si>
  <si>
    <t>168.8481035039074</t>
  </si>
  <si>
    <t>14.820722914776209</t>
  </si>
  <si>
    <t>[0.115, 0.005, 0.015]</t>
  </si>
  <si>
    <t>LINESTRING (10.783804882926418 59.724401131143274, 10.783785962946013 59.724454751323826, 10.785260244595667 59.72204185785933, 10.785260894536222 59.72194613597496)</t>
  </si>
  <si>
    <t>[1503765, 1503780, 1120472]</t>
  </si>
  <si>
    <t>[1359909, 1059418, 1059419]</t>
  </si>
  <si>
    <t>0.006714692481457508</t>
  </si>
  <si>
    <t>[477818, 1359909, 1059418]</t>
  </si>
  <si>
    <t>451.58148648450356</t>
  </si>
  <si>
    <t>[0.037, 0.032, -0.069]</t>
  </si>
  <si>
    <t>LINESTRING (10.785378056156471 59.72764106555283, 10.785354205042516 59.72755170461999, 10.783569753231559 59.72445229527328, 10.783551367530949 59.72440380568888)</t>
  </si>
  <si>
    <t>[1120456, 1503739, 1503764]</t>
  </si>
  <si>
    <t>[1059399, 1359890, 477826]</t>
  </si>
  <si>
    <t>0.030751124253122892</t>
  </si>
  <si>
    <t>[1059398, 1059399, 1359890]</t>
  </si>
  <si>
    <t>[0.037, 0.032, 0.069]</t>
  </si>
  <si>
    <t>404.71952018552844</t>
  </si>
  <si>
    <t>[-0.025, 0.09, 0.026, -0.047, -0.026, -0.011, 0.011, 0.021, 0.06, 0.071, 0.048, 0.103]</t>
  </si>
  <si>
    <t>LINESTRING (16.234827618543882 68.23234306976481, 16.234523450553578 68.23184600013217, 16.2345517872824 68.23178035819879, 16.235162213622456 68.23151066972564, 16.23697759891446 68.23145575829803, 16.23722085879511 68.23145891707873, 16.238062457193394 68.23144337353973, 16.238189920158483 68.23144087195301, 16.239654203719976 68.23141046205424, 16.240957643251654 68.23144935418351, 16.243208998752827 68.23185114879232, 16.243739943761295 68.23195793595423, 16.244583558475842 68.23208902276973)</t>
  </si>
  <si>
    <t>[488009, 488017, 488023, 488048, 488056, 488057, 488060, 488062, 488073, 488081, 488087, 488095]</t>
  </si>
  <si>
    <t>[488129, 488140, 488146, 488174, 488179, 488180, 488185, 488188, 488203, 488211, 488218, 480059]</t>
  </si>
  <si>
    <t>0.02567603671449643</t>
  </si>
  <si>
    <t>[480048, 488129, 488140, 488146, 488174, 488179, 488180, 488185, 488188, 488203, 488211, 488218]</t>
  </si>
  <si>
    <t>[0.025, 0.09, 0.026, 0.047, 0.026, 0.011, 0.011, 0.021, 0.06, 0.071, 0.048, 0.103]</t>
  </si>
  <si>
    <t>513.1383144860148</t>
  </si>
  <si>
    <t>[0.358, -0.015, -0.019, -0.025, -0.042, -0.048, -0.05, 0.012, 0.092, 0.094, 0.088, 0.059, 0.089, -0.172]</t>
  </si>
  <si>
    <t>LINESTRING (16.234827618543882 68.23234306976481, 16.23499473257344 68.23225789020297, 16.235554683235648 68.23202584823356, 16.235654908862234 68.23198698701812, 16.236153891759578 68.23182152741956, 16.23709575786145 68.23164604195473, 16.237271121493027 68.23162657095499, 16.237453569399314 68.23160627554473, 16.238070896059625 68.23155251863925, 16.23818259636955 68.23154497640684, 16.239638355683272 68.23146144354803, 16.24091763037322 68.23150521686235, 16.243114058927723 68.23189899056366, 16.24367938841458 68.23201546013647, 16.244583558475842 68.23208902276973)</t>
  </si>
  <si>
    <t>[490415, 490419, 490430, 490431, 490438, 490439, 490446, 490456, 490457, 490464, 490472, 490473, 490474, 490475]</t>
  </si>
  <si>
    <t>[490881, 490884, 490896, 490897, 490901, 490902, 490909, 490919, 490920, 490925, 490933, 490934, 490935, 480059]</t>
  </si>
  <si>
    <t>0.02928272600901817</t>
  </si>
  <si>
    <t>[480048, 490881, 490884, 490896, 490897, 490901, 490902, 490909, 490919, 490920, 490925, 490933, 490934, 490935]</t>
  </si>
  <si>
    <t>[0.358, 0.015, 0.019, 0.025, 0.042, 0.048, 0.05, 0.012, 0.092, 0.094, 0.088, 0.059, 0.089, 0.172]</t>
  </si>
  <si>
    <t>451.4204202125947</t>
  </si>
  <si>
    <t>[0.041, 0.053, 0.002, 0.047, 0.009, 0.002, 0.026, 0.005, -0.003, 0.005, 0.039, 0.058, 0.028, 0.102, 0.015, 0.085, 0.148, 0.191, 0.185, 0.059, -0.059, -0.064, -0.049, -0.077, -0.073, -0.033, -0.066, -0.041, -0.006, 0.005, 0.01, -0.037, -0.068, -0.036]</t>
  </si>
  <si>
    <t>289.0</t>
  </si>
  <si>
    <t>[0, 0, 0, 0, 0, 0, 0, 0, 0, 0, 0, 0, 0, 0, 0, 0, 0, 0, 0, 0, 0, 0, 0, 0, 0, 1, 0, 0, 0, 0, 0, 0, 0, 0]</t>
  </si>
  <si>
    <t>LINESTRING (16.244583558475842 68.23208902276973, 16.24499860382873 68.23213525219778, 16.2456870382429 68.23218696683858, 16.32606806103862 68.24686846317111, 16.328659226647325 68.2462884475491, 16.331885673462864 68.24558219673425, 16.3415197604176 68.24304977982406, 16.34275319851168 68.2425973798037, 16.34809325229221 68.2406544920452, 16.34891935211168 68.24035549276299, 16.353073913673104 68.23957474901928, 16.354595674087065 68.23961797421232, 16.358093191998808 68.24035798935425, 16.360675579296906 68.24108897300664, 16.376658583943392 68.24633060919427, 16.37718949312287 68.24962171201531, 16.377339226282587 68.24968709894925, 16.378247669605667 68.24996000320763, 16.3784092345413 68.24999607280809, 16.37861775802027 68.2500415581779, 16.395305745812248 68.2562250848508, 16.395096407973966 68.25676339487701, 16.394009377700343 68.25818050285677, 16.39364514031831 68.2590444091692, 16.393641640725054 68.25919739349361, 16.43078962265631 68.26753675667723, 16.43105641902435 68.26761870058134, 16.43780368471802 68.27017111834277, 16.43969676024828 68.270612276201, 16.44220289901444 68.27197786503507, 16.44504610710633 68.27812827581434, 16.44523241313536 68.2783514739417, 16.455765378687385 68.28367214649063, 16.45723965880282 68.28390460916647, 16.472277930672465 68.28541268137887)</t>
  </si>
  <si>
    <t>[481053, 481061, 481069, 481077, 481085, 481093, 481101, 481109, 481117, 481125, 481133, 481141, 481149, 481157, 481165, 481173, 481181, 481189, 481197, 481205, 481213, 481221, 481229, 481237, 481245, 481253, 481261, 481269, 481277, 481285, 481293, 481301, 481309, 481317]</t>
  </si>
  <si>
    <t>[431763, 431798, 384067, 384078, 480094, 384085, 384111, 384138, 480134, 480147, 480154, 480162, 431854, 480177, 480184, 435489, 480198, 384186, 480217, 480226, 480234, 480240, 480246, 480254, 480263, 480272, 436724, 480292, 480299, 480307, 480317, 480328, 480338, 480347]</t>
  </si>
  <si>
    <t>[480059, 431763, 431798, 384067, 384078, 480094, 384085, 384111, 384138, 480134, 480147, 480154, 480162, 431854, 480177, 480184, 435489, 480198, 384186, 480217, 480226, 480234, 480240, 480246, 480254, 480263, 480272, 436724, 480292, 480299, 480307, 480317, 480328, 480338]</t>
  </si>
  <si>
    <t>[0.041, 0.053, 0.002, 0.047, 0.009, 0.002, 0.026, 0.005, 0.003, 0.005, 0.039, 0.058, 0.028, 0.102, 0.015, 0.085, 0.148, 0.191, 0.185, 0.059, 0.059, 0.064, 0.049, 0.077, 0.073, 0.033, 0.066, 0.041, 0.006, 0.005, 0.01, 0.037, 0.068, 0.036]</t>
  </si>
  <si>
    <t>13724.773975011552</t>
  </si>
  <si>
    <t>[-0.0, 0.011, -0.013, -0.077, -0.056, -0.024, -0.043, -0.054, -0.059]</t>
  </si>
  <si>
    <t>LINESTRING (16.472277930672465 68.28541268137887, 16.47523858606914 68.28625525255754, 16.475273184995615 68.28627406357303, 16.47532691674107 68.28630328206697, 16.475336413339207 68.28630928037619, 16.475363287532023 68.28632626690265, 16.475410664334113 68.28635723723269, 16.47596604789963 68.2870464147479, 16.47593493096783 68.28753122365423, 16.475723484113185 68.28784548295313)</t>
  </si>
  <si>
    <t>[488114, 488115, 488116, 488117, 488118, 488126, 488137, 488150, 488157]</t>
  </si>
  <si>
    <t>[488248, 488249, 488250, 488251, 488252, 488262, 488277, 488290, 480357]</t>
  </si>
  <si>
    <t>[480347, 488248, 488249, 488250, 488251, 488252, 488262, 488277, 488290]</t>
  </si>
  <si>
    <t>[0.0, 0.011, 0.013, 0.077, 0.056, 0.024, 0.043, 0.054, 0.059]</t>
  </si>
  <si>
    <t>340.54876808898905</t>
  </si>
  <si>
    <t>[0.009, 0.023, 0.018, 0.024, 0.006, -0.009, -0.014, -0.309]</t>
  </si>
  <si>
    <t>LINESTRING (16.472277930672465 68.28541268137887, 16.475100215869148 68.28631126542122, 16.475158263082005 68.28634616037334, 16.47518410219383 68.28636250120277, 16.4752296584932 68.28639229454616, 16.475798161851536 68.28705176044444, 16.475824656008665 68.28715280119587, 16.47580302078567 68.28754933938107, 16.475723484113185 68.28784548295313)</t>
  </si>
  <si>
    <t>[490482, 490488, 490492, 490495, 490498, 490504, 490512, 490513]</t>
  </si>
  <si>
    <t>[490079, 490946, 490948, 490950, 490951, 490956, 490962, 480357]</t>
  </si>
  <si>
    <t>[480347, 490079, 490946, 490948, 490950, 490951, 490956, 490962]</t>
  </si>
  <si>
    <t>[0.009, 0.023, 0.018, 0.024, 0.006, 0.009, 0.014, 0.309]</t>
  </si>
  <si>
    <t>332.0140848973674</t>
  </si>
  <si>
    <t>[-0.046, -0.015, 0.013, 0.043, 0.064, -0.048, -0.04, -0.04, 0.003, 0.007, -0.017, -0.027, -0.029, -0.015, -0.038, 0.004, 0.041, -0.003, -0.016, -0.012, 0.033, 0.03, -0.02, -0.027, 0.018, -0.006, 0.057, 0.003, -0.04, -0.039, -0.104, -0.089, -0.03, -0.006, -0.017, 0.003, 0.065, 0.044, -0.057, 0.121, 0.027, 0.095, -0.006, 0.222, 0.204, 0.016, -0.24, -0.366, -0.229, -0.033, 0.055, -0.014, -0.07, -0.01, 0.01, -0.027, -0.005, -0.031, -0.049, 0.043, 0.058, 0.064, 0.008, 0.069, 0.057, 0.057, 0.021, -0.024, -0.038, -0.052, -0.054, -0.025, 0.004, -0.001, 0.015, 0.015, 0.002, -0.025, -0.026, -0.022, 0.016, 0.009, -0.008, -0.018, 0.01, 0.005, 0.002, 0.017, 0.073, 0.037, 0.073, 0.105, 0.019, 0.032, -0.009, 0.005, 0.009, 0.013, 0.014, -0.01, 0.002, 0.029, 0.019, 0.023, -0.004, -0.002, -0.026, -0.021, -0.016, 0.017, -0.035, -0.003, -0.032, -0.014, -0.101, -0.101, -0.024, -0.113, -0.047, -0.018, -0.004, 0.031, 0.04, -0.103, -0.117, -0.126, -0.129, -0.033, 0.001, -0.024, -0.007, -0.006]</t>
  </si>
  <si>
    <t>[0, 0, 1, 0, 0, 0, 0, 0, 1, 0, 0, 0, 0, 0, 0, 1, 0, 0, 0, 0, 0, 0, 0, 0, 0, 0, 0, 0, 0, 0, 0, 0, 0, 0, 0, 0, 0, 0, 0, 0, 0, 0, 0, 0, 0, 0, 0, 0, 0, 0, 0, 0, 0, 0, 0, 0, 0, 0, 0, 0, 0, 0, 0, 0, 0, 0, 0, 0, 0, 0, 0, 0, 1, 0, 0, 0, 0, 0, 0, 0, 1, 0, 0, 0, 0, 0, 0, 0, 0, 0, 0, 0, 0, 0, 0, 0, 0, 0, 0, 0, 0, 0, 0, 0, 0, 0, 0, 0, 0, 0, 0, 0, 0, 0, 0, 0, 0, 0, 0, 0, 0, 0, 0, 0, 0, 0, 0, 0, 0, 0, 0, 0]</t>
  </si>
  <si>
    <t>LINESTRING (16.475723484113185 68.28784548295313, 16.475571823394848 68.2880704782879, 16.475218529103053 68.28857213656924, 16.474191312771293 68.2900478400069, 16.473339974221616 68.29129213881717, 16.473824901426834 68.29257579290376, 16.474230345943678 68.29279087651463, 16.47506606292703 68.2930817679787, 16.477480445924954 68.293441820932, 16.480832969083462 68.29379341115181, 16.492738674859424 68.29317020731817, 16.493841862404246 68.29319359906869, 16.498633109502062 68.29368116726731, 16.498758249559554 68.2937157825838, 16.499018442394522 68.29378906843472, 16.500746471253944 68.29460478147125, 16.50532322371414 68.29929608323427, 16.50604305308776 68.29959199778577, 16.508551257818233 68.29987863184896, 16.509275466268104 68.29983378272586, 16.5106198795725 68.29956975551289, 16.518152528610088 68.29724223526281, 16.52048922791269 68.29701712066839, 16.534716175898037 68.29524798364393, 16.536622594991307 68.29500334139247, 16.540459879939664 68.29439327898729, 16.541890694277484 68.29416320106625, 16.546809987474838 68.29337577860785, 16.552824841732612 68.29227217953623, 16.553997665587474 68.29154523201129, 16.554714807174673 68.29070896144589, 16.554790340096428 68.2906528039762, 16.554896255825504 68.2905781059654, 16.555875423703252 68.29015157442589, 16.556162813414204 68.2900664417384, 16.556259890875854 68.29003956227882, 16.5696630406642 68.2879313838998, 16.570959720305126 68.28769495839605, 16.571327896111185 68.28763020925408, 16.5756906660601 68.28684703954497, 16.57677010656912 68.28664859912976, 16.59079852016895 68.28522011828633, 16.5975138731104 68.28536099783456, 16.602425355496205 68.28512449894751, 16.60404691359031 68.28505720772591, 16.604158852215175 68.28505397603742, 16.620658499704117 68.28557081991968, 16.620909770816063 68.28558506103151, 16.62198728257759 68.28570662955728, 16.623509946946136 68.286086073794, 16.6247025466175 68.28682924171325, 16.625034550896373 68.28793869941954, 16.625822465921818 68.28874005182558, 16.62632074674771 68.28895149196292, 16.627840902431327 68.28924987353605, 16.633442129008312 68.28897390618542, 16.634326493082057 68.28896995650894, 16.63790120722071 68.29142539490778, 16.63815651593241 68.29172138901284, 16.64028738350989 68.29261960702769, 16.64110665385731 68.29273197138434, 16.645363756590832 68.29542639435114, 16.64737913333529 68.29596263663073, 16.65256850467623 68.29616218470201, 16.648741756671086 68.29920627502352, 16.64705057667099 68.30065947210477, 16.645191327992546 68.3014542541204, 16.643357994096476 68.30221274629392, 16.63961152375563 68.3044925950506, 16.639553753819204 68.30454198735097, 16.637124074982644 68.3058919618089, 16.635129926801486 68.3070751842405, 16.63389827106566 68.30786929734627, 16.633742595356935 68.30795138012891, 16.633355663649475 68.30816074954564, 16.62837267945692 68.31321871581311, 16.628479600349728 68.31781964329059, 16.628499030239563 68.31782503381261, 16.628576748609618 68.31784657794704, 16.628634662710816 68.31786292360363, 16.63621157364526 68.32142425302155, 16.63634072510055 68.32148528443524, 16.640003269350032 68.3224423486008, 16.652375896002898 68.32161706854322, 16.654665390637437 68.32125119305317, 16.65711504405955 68.32066656935051, 16.65800389863377 68.32036118066863, 16.658743561297108 68.32017053047707, 16.665838456885997 68.31895023480612, 16.671805407411796 68.31969905956511, 16.67410699119789 68.31974721511288, 16.67516991500784 68.31977257671502, 16.675987402957027 68.31984822782576, 16.681428852389757 68.32214425384106, 16.681665941820697 68.32236670432714, 16.68292628822455 68.32284986604668, 16.685737075056394 68.3235088701129, 16.687300372334345 68.32374764001554, 16.68781326657551 68.32378231924756, 16.692124894969737 68.32413819283856, 16.698126904653957 68.32520568282415, 16.706385089168354 68.32610483907624, 16.709097538001963 68.32646318923648, 16.711436922349346 68.32651933063158, 16.716550265167538 68.32734594212307, 16.71748333708379 68.32750036722031, 16.719755267669942 68.3277756075427, 16.72312559492985 68.32941833758453, 16.724424100648243 68.329943445415, 16.725002511121495 68.3300456286988, 16.72971916771788 68.33041510642828, 16.73351630059438 68.33086875839793, 16.736316616956174 68.33078358677037, 16.739878808566306 68.33104807063465, 16.741588518015366 68.33136083276648, 16.743017636387076 68.33186773950409, 16.747849166542334 68.33182238495033, 16.753250971009937 68.3293912919456, 16.755179895261183 68.32961010467534, 16.760380102718184 68.32998146111835, 16.761750821833687 68.33009986152888, 16.76544643077589 68.33052119691328, 16.76574296015041 68.33055504920033, 16.768605055675454 68.33110521255806, 16.768713776792037 68.33129951610887, 16.768696047376856 68.33140978251241, 16.768584717666922 68.33160929985986, 16.76830684768878 68.3320024149369, 16.770832722030736 68.3334031697578, 16.772750737765115 68.3335602792375, 16.78017456927507 68.33481110354984, 16.791148771933 68.33748847022304, 16.79947796120094 68.33880359545337)</t>
  </si>
  <si>
    <t>[481325, 481333, 481341, 481349, 481357, 481365, 481373, 481381, 481389, 481397, 481405, 481413, 481421, 481429, 481437, 481445, 481453, 481461, 481469, 481477, 481485, 481493, 481501, 481509, 481517, 481525, 481533, 481541, 481549, 481557, 481565, 481573, 481581, 481589, 481597, 481605, 481613, 481621, 481629, 481637, 481645, 481653, 481661, 481669, 481677, 481685, 481693, 481701, 481709, 481717, 481725, 481733, 481741, 481749, 481757, 481765, 481773, 481781, 481789, 481797, 481805, 481813, 481821, 481829, 481837, 481845, 481853, 481861, 481869, 481877, 481885, 481893, 481901, 481909, 481917, 481925, 481933, 481941, 481949, 481957, 481965, 481973, 481981, 481989, 481997, 482005, 482013, 482021, 482029, 482037, 482045, 482053, 482061, 482069, 482077, 482085, 482093, 482101, 482109, 482117, 482125, 482133, 482141, 482149, 482157, 482165, 482173, 482181, 482189, 482197, 482205, 482213, 482221, 482229, 482237, 482245, 482253, 482261, 482269, 482277, 482285, 482293, 482301, 482309, 482317, 482325, 482333, 482341, 482349, 482357, 482365, 1782437]</t>
  </si>
  <si>
    <t>[385960, 480365, 480375, 385968, 480391, 385983, 480410, 480420, 480430, 480440, 480452, 480461, 371685, 480481, 480492, 480499, 480509, 386029, 480526, 386021, 480541, 480549, 480559, 480564, 480572, 480581, 455401, 480598, 480607, 480614, 480622, 480629, 480636, 480643, 480653, 480662, 480669, 386412, 480684, 480689, 386425, 386434, 480712, 480723, 480727, 480733, 480740, 480747, 383005, 480766, 386448, 386460, 436678, 386471, 480803, 480811, 386483, 386494, 386504, 480847, 386518, 480862, 436472, 386527, 386537, 436466, 386562, 386582, 386572, 386591, 386601, 480930, 480940, 386613, 386624, 386634, 480968, 480976, 480982, 480989, 481000, 436455, 481012, 481024, 481033, 481041, 481052, 481059, 398516, 398527, 398538, 398548, 481098, 428862, 398594, 398604, 398618, 481138, 398641, 398652, 382934, 398663, 398684, 398692, 398701, 398712, 398722, 398748, 398777, 398786, 481233, 481242, 398919, 398929, 398940, 481272, 481281, 481289, 481298, 481306, 481312, 481321, 381486, 481337, 269306, 481352, 269300, 436820, 481377, 382897, 481394, 1000179]</t>
  </si>
  <si>
    <t>0.002033816176226607</t>
  </si>
  <si>
    <t>[480357, 385960, 480365, 480375, 385968, 480391, 385983, 480410, 480420, 480430, 480440, 480452, 480461, 371685, 480481, 480492, 480499, 480509, 386029, 480526, 386021, 480541, 480549, 480559, 480564, 480572, 480581, 455401, 480598, 480607, 480614, 480622, 480629, 480636, 480643, 480653, 480662, 480669, 386412, 480684, 480689, 386425, 386434, 480712, 480723, 480727, 480733, 480740, 480747, 383005, 480766, 386448, 386460, 436678, 386471, 480803, 480811, 386483, 386494, 386504, 480847, 386518, 480862, 436472, 386527, 386537, 436466, 386562, 386582, 386572, 386591, 386601, 480930, 480940, 386613, 386624, 386634, 480968, 480976, 480982, 480989, 481000, 436455, 481012, 481024, 481033, 481041, 481052, 481059, 398516, 398527, 398538, 398548, 481098, 428862, 398594, 398604, 398618, 481138, 398641, 398652, 382934, 398663, 398684, 398692, 398701, 398712, 398722, 398748, 398777, 398786, 481233, 481242, 398919, 398929, 398940, 481272, 481281, 481289, 481298, 481306, 481312, 481321, 381486, 481337, 269306, 481352, 269300, 436820, 481377, 382897, 481394]</t>
  </si>
  <si>
    <t>[0.046, 0.015, 0.013, 0.043, 0.064, 0.048, 0.04, 0.04, 0.003, 0.007, 0.017, 0.027, 0.029, 0.015, 0.038, 0.004, 0.041, 0.003, 0.016, 0.012, 0.033, 0.03, 0.02, 0.027, 0.018, 0.006, 0.057, 0.003, 0.04, 0.039, 0.104, 0.089, 0.03, 0.006, 0.017, 0.003, 0.065, 0.044, 0.057, 0.121, 0.027, 0.095, 0.006, 0.222, 0.204, 0.016, 0.24, 0.366, 0.229, 0.033, 0.055, 0.014, 0.07, 0.01, 0.01, 0.027, 0.005, 0.031, 0.049, 0.043, 0.058, 0.064, 0.008, 0.069, 0.057, 0.057, 0.021, 0.024, 0.038, 0.052, 0.054, 0.025, 0.004, 0.001, 0.015, 0.015, 0.002, 0.025, 0.026, 0.022, 0.016, 0.009, 0.008, 0.018, 0.01, 0.005, 0.002, 0.017, 0.073, 0.037, 0.073, 0.105, 0.019, 0.032, 0.009, 0.005, 0.009, 0.013, 0.014, 0.01, 0.002, 0.029, 0.019, 0.023, 0.004, 0.002, 0.026, 0.021, 0.016, 0.017, 0.035, 0.003, 0.032, 0.014, 0.101, 0.101, 0.024, 0.113, 0.047, 0.018, 0.004, 0.031, 0.04, 0.103, 0.117, 0.126, 0.129, 0.033, 0.001, 0.024, 0.007, 0.006]</t>
  </si>
  <si>
    <t>21118.318510565256</t>
  </si>
  <si>
    <t>[0.027, 0.0, 0.008, -0.001, -0.017, 0.032]</t>
  </si>
  <si>
    <t>LINESTRING (17.38698847111125 68.42034424968145, 17.38817033242276 68.41946954763374, 17.3882205889577 68.41943589347329, 17.388270868741184 68.41940222998937, 17.388343236484392 68.41935377514747, 17.389340688111467 68.41879207282538, 17.390530619187356 68.41831754723465)</t>
  </si>
  <si>
    <t>[488227, 488236, 488237, 488252, 488253, 488257]</t>
  </si>
  <si>
    <t>[290441, 488399, 290434, 488416, 488417, 488424]</t>
  </si>
  <si>
    <t>0.014805288712169466</t>
  </si>
  <si>
    <t>[488387, 290441, 488399, 290434, 488416, 488417]</t>
  </si>
  <si>
    <t>[0.027, 0.0, 0.008, 0.001, 0.017, 0.032]</t>
  </si>
  <si>
    <t>270.8038255790449</t>
  </si>
  <si>
    <t>[0.054, 0.054, 0.053, 0.059, 0.033, 0.001, -0.103]</t>
  </si>
  <si>
    <t>LINESTRING (17.38698847111125 68.42034424968145, 17.388359681941548 68.41949992432413, 17.388410371231934 68.41946783447256, 17.38846108377644 68.41943573529718, 17.388535257684836 68.41938892384589, 17.389482256644854 68.41883102834537, 17.389775082106038 68.41867800176043, 17.390530619187356 68.41831754723465)</t>
  </si>
  <si>
    <t>[490573, 490581, 490596, 490605, 490606, 490614, 490617]</t>
  </si>
  <si>
    <t>[491027, 491035, 490286, 491064, 491065, 491077, 488424]</t>
  </si>
  <si>
    <t>0.0146316898121258</t>
  </si>
  <si>
    <t>[488387, 491027, 491035, 490286, 491064, 491065, 491077]</t>
  </si>
  <si>
    <t>[0.054, 0.054, 0.053, 0.059, 0.033, 0.001, 0.103]</t>
  </si>
  <si>
    <t>269.0422986506559</t>
  </si>
  <si>
    <t>259.96805046868565</t>
  </si>
  <si>
    <t>[-0.005, -0.085, -0.09, -0.094, -0.008, -0.004]</t>
  </si>
  <si>
    <t>LINESTRING (17.394963059784995 68.41665755078945, 17.396391900959657 68.41611382038138, 17.396488698442912 68.41608344544751, 17.396557449456253 68.41606168410429, 17.396639228242833 68.41603588594171, 17.39790980991757 68.41568048886785, 17.399706833946315 68.4152899766659)</t>
  </si>
  <si>
    <t>[488258, 488259, 488260, 488261, 488262, 488263]</t>
  </si>
  <si>
    <t>[290421, 488426, 290427, 488427, 488428, 488429]</t>
  </si>
  <si>
    <t>[488425, 290421, 488426, 290427, 488427, 488428]</t>
  </si>
  <si>
    <t>[0.005, 0.085, 0.09, 0.094, 0.008, 0.004]</t>
  </si>
  <si>
    <t>249.2433600396152</t>
  </si>
  <si>
    <t>[0.067, 0.034, 0.032, 0.009, -0.006, -0.029, -0.115]</t>
  </si>
  <si>
    <t>LINESTRING (17.394963059784995 68.41665755078945, 17.396530589137548 68.41616568971084, 17.39662009250188 68.41613963728189, 17.39670957227004 68.41611359411523, 17.39679199724605 68.41608952769053, 17.39802407779436 68.41573790339696, 17.39841010436109 68.41563205876518, 17.399706833946315 68.4152899766659)</t>
  </si>
  <si>
    <t>[490618, 490619, 490627, 490628, 490636, 490637, 490653]</t>
  </si>
  <si>
    <t>[490273, 491079, 491087, 491088, 491099, 491100, 488429]</t>
  </si>
  <si>
    <t>[488425, 490273, 491079, 491087, 491088, 491099, 491100]</t>
  </si>
  <si>
    <t>[0.067, 0.034, 0.032, 0.009, 0.006, 0.029, 0.115]</t>
  </si>
  <si>
    <t>247.50746071412334</t>
  </si>
  <si>
    <t>[-0.002, 0.003, -0.054, -0.0, -0.03, -0.002, -0.012, 0.001, 0.0]</t>
  </si>
  <si>
    <t>LINESTRING (17.399706833946315 68.4152899766659, 17.40387725758189 68.41386861434329, 17.404003415293634 68.41380615923428, 17.405133101681876 68.41326612890207, 17.40603529992862 68.412820213852, 17.40716348461539 68.41226280627329, 17.409026049597696 68.41117776394881, 17.40957142032794 68.41079208162155, 17.410063666108144 68.41039944477511, 17.4102816916504 68.41022771299086)</t>
  </si>
  <si>
    <t>[1021546, 1021554, 1021562, 1021570, 1021578, 1021586, 1021594, 1021602, 1021610]</t>
  </si>
  <si>
    <t>[650499, 976894, 383497, 976904, 448730, 976914, 452045, 449111, 488432]</t>
  </si>
  <si>
    <t>[488429, 650499, 976894, 383497, 976904, 448730, 976914, 452045, 449111]</t>
  </si>
  <si>
    <t>[0.002, 0.003, 0.054, 0.0, 0.03, 0.002, 0.012, 0.001, 0.0]</t>
  </si>
  <si>
    <t>721.7662754525037</t>
  </si>
  <si>
    <t>[-0.015, 0.0, 0.0, 0.037, 0.009]</t>
  </si>
  <si>
    <t>LINESTRING (17.4102816916504 68.41022771299086, 17.410615742375775 68.40987176338511, 17.411050387249684 68.40937292159913, 17.41109897662764 68.40929751575307, 17.41139860717123 68.40861919658532, 17.41179132511567 68.40804976086838)</t>
  </si>
  <si>
    <t>[488267, 488268, 488269, 488270, 488278]</t>
  </si>
  <si>
    <t>[488433, 488434, 488435, 488436, 488448]</t>
  </si>
  <si>
    <t>0.011125508747478358</t>
  </si>
  <si>
    <t>[488432, 488433, 488434, 488435, 488436]</t>
  </si>
  <si>
    <t>[0.015, 0.0, 0.0, 0.037, 0.009]</t>
  </si>
  <si>
    <t>251.3693962258296</t>
  </si>
  <si>
    <t>[-0.015, 0.0, 0.0, 0.084, 0.099, -0.096]</t>
  </si>
  <si>
    <t>LINESTRING (17.4102816916504 68.41022771299086, 17.410732160473895 68.40988885099641, 17.411249074942084 68.40939374959274, 17.4113053004438 68.40931820663477, 17.41159930143955 68.40863214230572, 17.411655880774248 68.40848570310195, 17.41179132511567 68.40804976086838)</t>
  </si>
  <si>
    <t>[490655, 490656, 490657, 490665, 490672, 490680]</t>
  </si>
  <si>
    <t>[491123, 490312, 491124, 491130, 491138, 488448]</t>
  </si>
  <si>
    <t>0.011112906166607237</t>
  </si>
  <si>
    <t>[488432, 491123, 490312, 491124, 491130, 491138]</t>
  </si>
  <si>
    <t>[0.015, 0.0, 0.0, 0.084, 0.099, 0.096]</t>
  </si>
  <si>
    <t>252.8972272738546</t>
  </si>
  <si>
    <t>[0.04, 0.022, 0.001, 0.009, -0.003, -0.018]</t>
  </si>
  <si>
    <t>LINESTRING (17.42819990485371 68.43874458067825, 17.428437843236384 68.4388367187154, 17.429204409896354 68.43913872419259, 17.429454628440013 68.43923767398773, 17.430883397841058 68.43979616095442, 17.431403797054564 68.43999992224833, 17.432013220852394 68.44023209507586)</t>
  </si>
  <si>
    <t>[1021698, 1021706, 1021714, 1021722, 1021730, 1021738]</t>
  </si>
  <si>
    <t>[450049, 450050, 384227, 380472, 383483, 488618]</t>
  </si>
  <si>
    <t>0.007122520604491479</t>
  </si>
  <si>
    <t>[488607, 450049, 450050, 384227, 380472, 383483]</t>
  </si>
  <si>
    <t>[0.04, 0.022, 0.001, 0.009, 0.003, 0.018]</t>
  </si>
  <si>
    <t>227.9876864985995</t>
  </si>
  <si>
    <t>[0.038, 0.064, 0.398]</t>
  </si>
  <si>
    <t>LINESTRING (17.45102928990159 68.44389090340539, 17.452409251499937 68.44448781393, 17.45260974304164 68.44458107832874, 17.453001853029335 68.44479198650548)</t>
  </si>
  <si>
    <t>[1021746, 1021754, 1781525]</t>
  </si>
  <si>
    <t>[396030, 977038, 1571298]</t>
  </si>
  <si>
    <t>0.12006911012521325</t>
  </si>
  <si>
    <t>[488885, 396030, 977038]</t>
  </si>
  <si>
    <t>129.17085738061795</t>
  </si>
  <si>
    <t>[0.04, 0.071, 0.063, 0.049, 0.056, 0.039, 0.043, 0.027, 0.033, 0.026, 0.002, -0.005, -0.07]</t>
  </si>
  <si>
    <t>LINESTRING (14.5354966680988 68.23393784950545, 14.534512335635988 68.2333589896584, 14.534399188768187 68.2332880306539, 14.533775865099935 68.23290079245028, 14.533685987379371 68.23284434773564, 14.533596897611723 68.23278838952353, 14.533526800159265 68.23274435093273, 14.533147641508691 68.2325107665684, 14.532656591857942 68.23220360558717, 14.532596371544985 68.23216594462122, 14.532533100603867 68.23212503713954, 14.532492787471256 68.23209940612453, 14.531943822464308 68.23169597412706, 14.53140376860121 68.23067376504726)</t>
  </si>
  <si>
    <t>[488679, 488683, 488695, 488718, 488723, 488724, 488725, 488734, 488744, 488745, 488749, 488767, 488769]</t>
  </si>
  <si>
    <t>[488905, 488907, 488923, 420177, 488963, 488964, 488965, 293726, 488985, 293809, 488990, 489010, 489013]</t>
  </si>
  <si>
    <t>0.005173482351892909</t>
  </si>
  <si>
    <t>[488904, 488905, 488907, 488923, 420177, 488963, 488964, 488965, 293726, 488985, 293809, 488990, 489010]</t>
  </si>
  <si>
    <t>[0.04, 0.071, 0.063, 0.049, 0.056, 0.039, 0.043, 0.027, 0.033, 0.026, 0.002, 0.005, 0.07]</t>
  </si>
  <si>
    <t>407.21965436038056</t>
  </si>
  <si>
    <t>[0.024, 0.06, 0.065, 0.046, 0.043, 0.044, 0.0, 0.03, 0.016, 0.026, 0.004, 0.0, -0.024, -0.064]</t>
  </si>
  <si>
    <t>LINESTRING (14.5354966680988 68.23393784950545, 14.534567250180359 68.23326566555096, 14.533966574520909 68.23286971055485, 14.533863954676198 68.23280531032901, 14.533770353545842 68.2327466039256, 14.533703332341007 68.23270456522027, 14.533317921178742 68.23246944789474, 14.533315248972984 68.23246777210417, 14.532844726997082 68.23217176432777, 14.532779745937813 68.23213056511719, 14.532713595077126 68.23208868092566, 14.532671620293197 68.23206158328846, 14.532111637307414 68.23166748480583, 14.531982797627315 68.23156000182546, 14.53140376860121 68.23067376504726)</t>
  </si>
  <si>
    <t>[491037, 491045, 491046, 491053, 491061, 491075, 491080, 491081, 491085, 491086, 491089, 491090, 491091, 491092]</t>
  </si>
  <si>
    <t>[491550, 491558, 420178, 491564, 491572, 491587, 491591, 293725, 491594, 293808, 491599, 491600, 491601, 489013]</t>
  </si>
  <si>
    <t>0.005130161203569127</t>
  </si>
  <si>
    <t>[488904, 491550, 491558, 420178, 491564, 491572, 491587, 491591, 293725, 491594, 293808, 491599, 491600, 491601]</t>
  </si>
  <si>
    <t>[0.024, 0.06, 0.065, 0.046, 0.043, 0.044, 0.0, 0.03, 0.016, 0.026, 0.004, 0.0, 0.024, 0.064]</t>
  </si>
  <si>
    <t>404.6701011089051</t>
  </si>
  <si>
    <t>[-0.028, 0.002, 0.137, 0.008, -0.043, 0.072]</t>
  </si>
  <si>
    <t>LINESTRING (14.55075638391705 68.23627959465564, 14.549727051488727 68.23627088994228, 14.54583363803495 68.23624122946354, 14.543981892786313 68.23613828717932, 14.53955971332325 68.23523995022744, 14.539190245779753 68.23515495600185, 14.5354966680988 68.23393784950545)</t>
  </si>
  <si>
    <t>[1028468, 1028476, 1028484, 1028492, 1028500, 1028508]</t>
  </si>
  <si>
    <t>[982920, 982925, 394729, 445551, 982938, 488904]</t>
  </si>
  <si>
    <t>0.035716508378075856</t>
  </si>
  <si>
    <t>[822430, 982920, 982925, 394729, 445551, 982938]</t>
  </si>
  <si>
    <t>[0.028, 0.002, 0.137, 0.008, 0.043, 0.072]</t>
  </si>
  <si>
    <t>715.277534217942</t>
  </si>
  <si>
    <t>2577.0</t>
  </si>
  <si>
    <t>LINESTRING (14.53140376860121 68.23067376504726, 14.287211744316973 68.24488248602316)</t>
  </si>
  <si>
    <t>477.75266146053866</t>
  </si>
  <si>
    <t>53.00734383091937</t>
  </si>
  <si>
    <t>49.554384266264805</t>
  </si>
  <si>
    <t>[0.009, -0.009]</t>
  </si>
  <si>
    <t>LINESTRING (14.15837036602503 66.32433426146582, 14.158466442817035 66.32440440281628, 14.158420905424883 66.32449800238156)</t>
  </si>
  <si>
    <t>[1021254, 1021262]</t>
  </si>
  <si>
    <t>[976688, 489117]</t>
  </si>
  <si>
    <t>[491693, 976688]</t>
  </si>
  <si>
    <t>19.74920473336718</t>
  </si>
  <si>
    <t>[-0.008, 0.002, 0.002, 0.0]</t>
  </si>
  <si>
    <t>1949.0</t>
  </si>
  <si>
    <t>LINESTRING (16.699954552857918 68.49251279581325, 16.69801110378562 68.49211269179712, 16.696120170287656 68.4918953350072, 16.69199930502695 68.4914773184995, 16.691177025869198 68.4913975975477)</t>
  </si>
  <si>
    <t>[1065236, 1065244, 1065252, 1065260]</t>
  </si>
  <si>
    <t>[397058, 1013028, 1013033, 439585]</t>
  </si>
  <si>
    <t>[490103, 397058, 1013028, 1013033]</t>
  </si>
  <si>
    <t>[0.008, 0.002, 0.002, 0.0]</t>
  </si>
  <si>
    <t>382.13185425955896</t>
  </si>
  <si>
    <t>3.6259205727847905</t>
  </si>
  <si>
    <t>[0.051, 0.052, 0.065, 0.053, 0.047, 0.032, -0.088]</t>
  </si>
  <si>
    <t>LINESTRING (10.35239145636367 63.329372382070204, 10.35246962553826 63.32940245162507, 10.353226013830204 63.32985483215554, 10.35325263320499 63.329875448789494, 10.353810035739661 63.3303624614889, 10.356033743769174 63.332111324559285, 10.356762639471139 63.3319628053036, 10.356985979643786 63.33191793359346)</t>
  </si>
  <si>
    <t>[682504, 682512, 682680, 682688, 682696, 480654, 493169]</t>
  </si>
  <si>
    <t>[673648, 673658, 673852, 673304, 479631, 479632, 475258]</t>
  </si>
  <si>
    <t>0.04340406607934943</t>
  </si>
  <si>
    <t>[673225, 673648, 673658, 673852, 673304, 479631, 479632]</t>
  </si>
  <si>
    <t>[0.051, 0.052, 0.065, 0.053, 0.047, 0.032, 0.088]</t>
  </si>
  <si>
    <t>418.7930932150683</t>
  </si>
  <si>
    <t>[0.021, 0.021, 0.023, 0.026]</t>
  </si>
  <si>
    <t>LINESTRING (7.603313144406882 59.73696976846757, 7.603378003707383 59.73720825603651, 7.603474424521231 59.737595756775065, 7.603584762585395 59.73797440614079, 7.603592607437202 59.73800398353846)</t>
  </si>
  <si>
    <t>[504836, 504844, 504852, 504860]</t>
  </si>
  <si>
    <t>[509427, 509437, 509446, 509456]</t>
  </si>
  <si>
    <t>0.021876243964962638</t>
  </si>
  <si>
    <t>[509426, 509427, 509437, 509446]</t>
  </si>
  <si>
    <t>116.49085576447219</t>
  </si>
  <si>
    <t>LINESTRING (7.603307510900826 59.736676123209875, 7.6033244974782255 59.73674109520038, 7.603313144406882 59.73696976846757)</t>
  </si>
  <si>
    <t>[1231422, 1231423]</t>
  </si>
  <si>
    <t>[1153182, 509426]</t>
  </si>
  <si>
    <t>0.01622132447014489</t>
  </si>
  <si>
    <t>[885208, 1153182]</t>
  </si>
  <si>
    <t>33.045047973732565</t>
  </si>
  <si>
    <t>[0.017, 0.023]</t>
  </si>
  <si>
    <t>LINESTRING (7.603128885620013 59.73668777841113, 7.603148685227798 59.73675343265203, 7.603313144406882 59.73696976846757)</t>
  </si>
  <si>
    <t>[1231419, 1231421]</t>
  </si>
  <si>
    <t>[1153180, 509426]</t>
  </si>
  <si>
    <t>0.02167742798616727</t>
  </si>
  <si>
    <t>[885221, 1153180]</t>
  </si>
  <si>
    <t>33.622491927984335</t>
  </si>
  <si>
    <t>[0.32, -0.093, -0.165]</t>
  </si>
  <si>
    <t>LINESTRING (7.603592607437202 59.73800398353846, 7.603746291514049 59.738110605042685, 7.603495948444203 59.73815288041066, 7.603592607437202 59.73800398353846)</t>
  </si>
  <si>
    <t>[810708, 810692, 810700]</t>
  </si>
  <si>
    <t>[788800, 788790, 509456]</t>
  </si>
  <si>
    <t>0.00022874885784483995</t>
  </si>
  <si>
    <t>[509456, 788800, 788790]</t>
  </si>
  <si>
    <t>[0.32, 0.093, 0.165]</t>
  </si>
  <si>
    <t>56.48717378130941</t>
  </si>
  <si>
    <t>[0.039, 0.042, 0.014, -0.006]</t>
  </si>
  <si>
    <t>LINESTRING (9.255754475150283 59.55751669479198, 9.255732911521088 59.557543246601945, 9.255645194459959 59.557592307998085, 9.255525354746899 59.55761387664551, 9.255461473614067 59.55761239691868)</t>
  </si>
  <si>
    <t>[505060, 505068, 505076, 505084]</t>
  </si>
  <si>
    <t>[509671, 509680, 509688, 509699]</t>
  </si>
  <si>
    <t>0.02402210239241858</t>
  </si>
  <si>
    <t>[509670, 509671, 509680, 509688]</t>
  </si>
  <si>
    <t>[0.039, 0.042, 0.014, 0.006]</t>
  </si>
  <si>
    <t>21.404439871867854</t>
  </si>
  <si>
    <t>[0.041, 0.063]</t>
  </si>
  <si>
    <t>LINESTRING (9.255587713109719 59.557357203055645, 9.255723451300188 59.557413435995265, 9.255754475150283 59.55751669479198)</t>
  </si>
  <si>
    <t>[505140, 505148]</t>
  </si>
  <si>
    <t>[509764, 509670]</t>
  </si>
  <si>
    <t>0.05299879814039623</t>
  </si>
  <si>
    <t>[509753, 509764]</t>
  </si>
  <si>
    <t>21.812673601735508</t>
  </si>
  <si>
    <t>[-0.018, -0.021, -0.021, -0.023, -0.002, 0.008, 0.177]</t>
  </si>
  <si>
    <t>LINESTRING (9.259411614363295 59.55716650070255, 9.258618473072291 59.55717102771784, 9.258548856520443 59.557171565638846, 9.257733903298819 59.55716838517041, 9.256224286734168 59.557271816175614, 9.256136154195273 59.55729985800647, 9.25584743669548 59.55744700663707, 9.255754475150283 59.55751669479198)</t>
  </si>
  <si>
    <t>[512722, 512730, 512738, 512746, 512754, 512762, 512770]</t>
  </si>
  <si>
    <t>[518782, 518791, 518800, 518811, 518820, 518831, 509670]</t>
  </si>
  <si>
    <t>[518781, 518782, 518791, 518800, 518811, 518820, 518831]</t>
  </si>
  <si>
    <t>[0.018, 0.021, 0.021, 0.023, 0.002, 0.008, 0.177]</t>
  </si>
  <si>
    <t>220.6628139543768</t>
  </si>
  <si>
    <t>[-0.039, -0.065]</t>
  </si>
  <si>
    <t>LINESTRING (9.255461473614067 59.55761239691868, 9.25528504823304 59.55755419258536, 9.255247269178222 59.55746494038367)</t>
  </si>
  <si>
    <t>[505092, 505100]</t>
  </si>
  <si>
    <t>[509710, 509720]</t>
  </si>
  <si>
    <t>[509699, 509710]</t>
  </si>
  <si>
    <t>[0.039, 0.065]</t>
  </si>
  <si>
    <t>22.32686841323057</t>
  </si>
  <si>
    <t>[-0.273, -0.012]</t>
  </si>
  <si>
    <t>LINESTRING (9.255461473614067 59.55761239691868, 9.255322430248649 59.55762947424779, 9.254786522860824 59.55775509867212)</t>
  </si>
  <si>
    <t>[512778, 512786]</t>
  </si>
  <si>
    <t>[518849, 518859]</t>
  </si>
  <si>
    <t>[509699, 518849]</t>
  </si>
  <si>
    <t>[0.273, 0.012]</t>
  </si>
  <si>
    <t>41.584105969408846</t>
  </si>
  <si>
    <t>[-0.059, -0.045, -0.004, 0.029]</t>
  </si>
  <si>
    <t>LINESTRING (9.255247269178222 59.55746494038367, 9.255261574664477 59.557433640163914, 9.255353500300751 59.557373547839724, 9.255525594288935 59.557350498765494, 9.255587713109719 59.557357203055645)</t>
  </si>
  <si>
    <t>[505108, 505116, 505124, 505132]</t>
  </si>
  <si>
    <t>[509728, 509738, 509746, 509753]</t>
  </si>
  <si>
    <t>[509720, 509728, 509738, 509746]</t>
  </si>
  <si>
    <t>[0.059, 0.045, 0.004, 0.029]</t>
  </si>
  <si>
    <t>25.732877356710155</t>
  </si>
  <si>
    <t>[-0.401, 0.052]</t>
  </si>
  <si>
    <t>LINESTRING (9.255247269178222 59.55746494038367, 9.25516189589379 59.557522701522565, 9.254786522860824 59.55775509867212)</t>
  </si>
  <si>
    <t>[899530, 899555]</t>
  </si>
  <si>
    <t>[874006, 518859]</t>
  </si>
  <si>
    <t>[509720, 874006]</t>
  </si>
  <si>
    <t>[0.401, 0.052]</t>
  </si>
  <si>
    <t>41.55947473227922</t>
  </si>
  <si>
    <t>[-0.046, -0.025, -0.022, -0.021, -0.012, 0.366]</t>
  </si>
  <si>
    <t>LINESTRING (9.259411614363295 59.55716650070255, 9.258612910343423 59.55713090439245, 9.257733436387069 59.55712335489737, 9.256180411163223 59.557227575820214, 9.256131722243925 59.5572392237892, 9.255701362493015 59.5573358389956, 9.255587713109719 59.557357203055645)</t>
  </si>
  <si>
    <t>[899494, 899500, 899504, 899505, 899521, 899529]</t>
  </si>
  <si>
    <t>[873966, 873975, 873980, 873981, 873999, 509753]</t>
  </si>
  <si>
    <t>[518781, 873966, 873975, 873980, 873981, 873999]</t>
  </si>
  <si>
    <t>[0.046, 0.025, 0.022, 0.021, 0.012, 0.366]</t>
  </si>
  <si>
    <t>221.4004097054305</t>
  </si>
  <si>
    <t>199.2771977313734</t>
  </si>
  <si>
    <t>[0.077, -0.011, -0.011, 0.021, 0.013]</t>
  </si>
  <si>
    <t>LINESTRING (10.808447208180164 59.91968193667742, 10.80842306258216 59.91976122697293, 10.808230860565192 59.92142296882922, 10.808282695140383 59.921919144065484, 10.810389096164025 59.92296212320988, 10.811575585713207 59.923090372748305)</t>
  </si>
  <si>
    <t>[754296, 512312, 512320, 512328, 512336]</t>
  </si>
  <si>
    <t>[518260, 518261, 518269, 518278, 518287]</t>
  </si>
  <si>
    <t>0.005481272314769836</t>
  </si>
  <si>
    <t>[733299, 518260, 518261, 518269, 518278]</t>
  </si>
  <si>
    <t>[0.077, 0.011, 0.011, 0.021, 0.013]</t>
  </si>
  <si>
    <t>499.7285777128774</t>
  </si>
  <si>
    <t>[-0.007, 0.013, 0.02, 0.018, 0.011, 0.02, 0.019, 0.002, 0.017, 0.013]</t>
  </si>
  <si>
    <t>18658.0</t>
  </si>
  <si>
    <t>LINESTRING (10.804810208621792 59.925289099644715, 10.804810208621792 59.925289099644715, 10.805185038871294 59.92508704777359, 10.805715439845114 59.92480201538983, 10.806214977838563 59.92448192067475, 10.806998481203715 59.92251573734676, 10.808444593334054 59.92270834521212, 10.809644433207941 59.92289399777792, 10.810128669682454 59.92295976082622, 10.811458862768324 59.92310015534835, 10.811575585713207 59.923090372748305)</t>
  </si>
  <si>
    <t>[2079769, 727660, 2149542, 2149550, 1790574, 727668, 727676, 727684, 1811278, 1811279]</t>
  </si>
  <si>
    <t>[716840, 716841, 1843803, 1579421, 716847, 716848, 716852, 716858, 1594903, 518287]</t>
  </si>
  <si>
    <t>0.013914083079662024</t>
  </si>
  <si>
    <t>[763014, 716840, 716841, 1843803, 1579421, 716847, 716848, 716852, 716858, 1594903]</t>
  </si>
  <si>
    <t>[0.007, 0.013, 0.02, 0.018, 0.011, 0.02, 0.019, 0.002, 0.017, 0.013]</t>
  </si>
  <si>
    <t>703.1470986432073</t>
  </si>
  <si>
    <t>83.30427848464643</t>
  </si>
  <si>
    <t>[-0.003, -0.037, -0.051]</t>
  </si>
  <si>
    <t>LINESTRING (9.287267764275404 58.89934358716619, 9.28647034033198 58.89872213498804, 9.285665593736091 58.898177434286794, 9.283732934759666 58.896979523473895)</t>
  </si>
  <si>
    <t>[899124, 899131, 899139]</t>
  </si>
  <si>
    <t>[873515, 873523, 861726]</t>
  </si>
  <si>
    <t>[518290, 873515, 873523]</t>
  </si>
  <si>
    <t>[0.003, 0.037, 0.051]</t>
  </si>
  <si>
    <t>334.0194741553054</t>
  </si>
  <si>
    <t>[0.08, 0.024, -0.017, -0.025, 0.027, 0.014, -0.017, -0.084, -0.039, 0.056, 0.038, -0.023, -0.031, 0.008, 0.021]</t>
  </si>
  <si>
    <t>7066.0</t>
  </si>
  <si>
    <t>[0, 0, 0, 0, 0, 1, 0, 0, 0, 1, 1, 0, 0, 0, 0]</t>
  </si>
  <si>
    <t>LINESTRING (9.315648557582914 58.92720134042935, 9.315629027985638 58.92718189139209, 9.309351593898679 58.92137426477751, 9.309301970997353 58.92129092550625, 9.304984064189052 58.916084694303166, 9.304888795420744 58.91602314567736, 9.303997770554394 58.91537266269495, 9.301427314789553 58.91126629827839, 9.30139989640316 58.911169245917975, 9.299262536751906 58.90787509245245, 9.299058511286614 58.907710385772155, 9.298735228121116 58.90747136140947, 9.297092294449602 58.90645306004538, 9.296904454288164 58.90634338152348, 9.292916831436962 58.90336846874404, 9.287267764275404 58.89934358716619)</t>
  </si>
  <si>
    <t>[937110, 937118, 937126, 937134, 937142, 937150, 937158, 937166, 937174, 937182, 937190, 937198, 937206, 937214, 937222]</t>
  </si>
  <si>
    <t>[905952, 905959, 905966, 905972, 905980, 905988, 905995, 906003, 906009, 906015, 906021, 906028, 906035, 906041, 518290]</t>
  </si>
  <si>
    <t>[884140, 905952, 905959, 905966, 905972, 905980, 905988, 905995, 906003, 906009, 906015, 906021, 906028, 906035, 906041]</t>
  </si>
  <si>
    <t>[0.08, 0.024, 0.017, 0.025, 0.027, 0.014, 0.017, 0.084, 0.039, 0.056, 0.038, 0.023, 0.031, 0.008, 0.021]</t>
  </si>
  <si>
    <t>3574.0734783912053</t>
  </si>
  <si>
    <t>[-0.04, -0.054]</t>
  </si>
  <si>
    <t>LINESTRING (9.286400544284286 58.89874844038838, 9.285543945657956 58.89819416669707, 9.283676646430244 58.8970654330132)</t>
  </si>
  <si>
    <t>[512346, 512354]</t>
  </si>
  <si>
    <t>[518300, 518311]</t>
  </si>
  <si>
    <t>[518291, 518300]</t>
  </si>
  <si>
    <t>[0.04, 0.054]</t>
  </si>
  <si>
    <t>244.80225489006634</t>
  </si>
  <si>
    <t>[-0.031, -0.054, 0.167]</t>
  </si>
  <si>
    <t>LINESTRING (9.286400544284286 58.89874844038838, 9.286192733620851 58.89863689552688, 9.282842539675082 58.89747006817319, 9.282591538676867 58.89748285067368)</t>
  </si>
  <si>
    <t>[512570, 910586, 910594]</t>
  </si>
  <si>
    <t>[518588, 884160, 861711]</t>
  </si>
  <si>
    <t>[518291, 518588, 884160]</t>
  </si>
  <si>
    <t>[0.031, 0.054, 0.167]</t>
  </si>
  <si>
    <t>281.0454087866759</t>
  </si>
  <si>
    <t>[0.057, 0.065, 0.021, -0.032, -0.112, -0.099]</t>
  </si>
  <si>
    <t>LINESTRING (10.815117784848695 59.92326410116026, 10.81567354125651 59.923271164639424, 10.815691482786187 59.92327120436866, 10.819122015454804 59.923182739318904, 10.8227091363826 59.922917979359, 10.822726742684626 59.92291683863019, 10.823836733351644 59.92283693701153)</t>
  </si>
  <si>
    <t>[512352, 512360, 512368, 512376, 512384, 512392]</t>
  </si>
  <si>
    <t>[518308, 518318, 518328, 518338, 518348, 518358]</t>
  </si>
  <si>
    <t>[518297, 518308, 518318, 518328, 518338, 518348]</t>
  </si>
  <si>
    <t>[0.057, 0.065, 0.021, 0.032, 0.112, 0.099]</t>
  </si>
  <si>
    <t>490.9745863230505</t>
  </si>
  <si>
    <t>[-0.578, 0.025, 0.048, 0.049, -0.003, 0.377]</t>
  </si>
  <si>
    <t>LINESTRING (10.815117784848695 59.92326410116026, 10.815308936777159 59.92323960654146, 10.818119699014092 59.9226085057396, 10.817261262882997 59.922557165992124, 10.817065774116456 59.922535552979745, 10.81686862728102 59.922517717287384, 10.81682816247837 59.92251193592121)</t>
  </si>
  <si>
    <t>[727748, 727756, 727764, 727772, 727780, 751730]</t>
  </si>
  <si>
    <t>[716899, 716910, 716915, 716920, 716926, 733331]</t>
  </si>
  <si>
    <t>0.0114303491957665</t>
  </si>
  <si>
    <t>[518297, 716899, 716910, 716915, 716920, 716926]</t>
  </si>
  <si>
    <t>[0.578, 0.025, 0.048, 0.049, 0.003, 0.377]</t>
  </si>
  <si>
    <t>350.73014130441476</t>
  </si>
  <si>
    <t>10.55367234625564</t>
  </si>
  <si>
    <t>10.114285194258914</t>
  </si>
  <si>
    <t>[-0.013, 0.084]</t>
  </si>
  <si>
    <t>LINESTRING (9.282591538676867 58.89748285067368, 9.28362413523051 58.89709818366568, 9.283676646430244 58.8970654330132)</t>
  </si>
  <si>
    <t>[887904, 887905]</t>
  </si>
  <si>
    <t>[861712, 518311]</t>
  </si>
  <si>
    <t>[861711, 861712]</t>
  </si>
  <si>
    <t>[0.013, 0.084]</t>
  </si>
  <si>
    <t>78.9975108174941</t>
  </si>
  <si>
    <t>10.849855529049494</t>
  </si>
  <si>
    <t>[-0.043, 0.053, 0.055, 0.047, 0.035, 0.021]</t>
  </si>
  <si>
    <t>LINESTRING (9.283548313219372 58.89699798854798, 9.283452559959288 58.89694745414121, 9.282845069512579 58.89661241141189, 9.282833175348541 58.89660587957666, 9.282342382114877 58.89634283125692, 9.280805151658047 58.89559786604945, 9.279529112172236 58.89509544302802)</t>
  </si>
  <si>
    <t>[512370, 512378, 512386, 512394, 512402, 512410]</t>
  </si>
  <si>
    <t>[518330, 518341, 518351, 518361, 518373, 518382]</t>
  </si>
  <si>
    <t>0.03347778825732118</t>
  </si>
  <si>
    <t>[518321, 518330, 518341, 518351, 518361, 518373]</t>
  </si>
  <si>
    <t>[0.043, 0.053, 0.055, 0.047, 0.035, 0.021]</t>
  </si>
  <si>
    <t>314.96826036381447</t>
  </si>
  <si>
    <t>[-0.037, 0.363]</t>
  </si>
  <si>
    <t>LINESTRING (9.282591538676867 58.89748285067368, 9.283478389338399 58.89701761635385, 9.283548313219372 58.89699798854798)</t>
  </si>
  <si>
    <t>[926505, 926513]</t>
  </si>
  <si>
    <t>[896519, 518321]</t>
  </si>
  <si>
    <t>[861711, 896519]</t>
  </si>
  <si>
    <t>[0.037, 0.363]</t>
  </si>
  <si>
    <t>77.45428770268484</t>
  </si>
  <si>
    <t>[-0.102, -0.038, -0.004, 0.013, -0.032, -0.042, -0.036, -0.042, -0.038, -0.198]</t>
  </si>
  <si>
    <t>320.0</t>
  </si>
  <si>
    <t>[0, 0, 1, 0, 0, 0, 0, 0, 0, 0]</t>
  </si>
  <si>
    <t>LINESTRING (10.823836733351644 59.92283693701153, 10.824223676286172 59.92280785046524, 10.826578581835372 59.92265692957506, 10.828402812062448 59.92272759216124, 10.832662363255677 59.92346904488189, 10.833823117916104 59.92355289436803, 10.83384116068174 59.92355341135583, 10.834130010117187 59.92355737226782, 10.834148075682752 59.923557422391816, 10.835791911195809 59.92357315419766, 10.836111281677805 59.923615353597015)</t>
  </si>
  <si>
    <t>[512400, 512408, 512416, 512424, 512432, 512440, 512448, 512456, 512464, 754304]</t>
  </si>
  <si>
    <t>[518370, 518379, 518390, 518404, 518416, 518427, 518438, 518449, 518459, 735276]</t>
  </si>
  <si>
    <t>[518358, 518370, 518379, 518390, 518404, 518416, 518427, 518438, 518449, 518459]</t>
  </si>
  <si>
    <t>[0.102, 0.038, 0.004, 0.013, 0.032, 0.042, 0.036, 0.042, 0.038, 0.198]</t>
  </si>
  <si>
    <t>704.1745166351336</t>
  </si>
  <si>
    <t>[-0.003, -0.066, -0.779]</t>
  </si>
  <si>
    <t>LINESTRING (10.817271739567666 59.9224882657641, 10.822832534706306 59.92286082581002, 10.823717455995334 59.922816969181156, 10.823836733351644 59.92283693701153)</t>
  </si>
  <si>
    <t>[727836, 727844, 727852]</t>
  </si>
  <si>
    <t>[716973, 716978, 518358]</t>
  </si>
  <si>
    <t>[716967, 716973, 716978]</t>
  </si>
  <si>
    <t>[0.003, 0.066, 0.779]</t>
  </si>
  <si>
    <t>378.99579452484573</t>
  </si>
  <si>
    <t>[0.021, 0.001]</t>
  </si>
  <si>
    <t>LINESTRING (9.279529112172236 58.89509544302802, 9.274078077644665 58.893143448956664, 9.273284533895465 58.892665934947615)</t>
  </si>
  <si>
    <t>[915025, 915033]</t>
  </si>
  <si>
    <t>[887362, 887369]</t>
  </si>
  <si>
    <t>0.017916465348416986</t>
  </si>
  <si>
    <t>[518382, 887362]</t>
  </si>
  <si>
    <t>455.49025832775556</t>
  </si>
  <si>
    <t>[-0.037, 0.027, 0.027, 0.048, 0.036, 0.021]</t>
  </si>
  <si>
    <t>LINESTRING (9.283732934759666 58.896979523473895, 9.283634480599332 58.89692439553531, 9.283012412671697 58.89658231577428, 9.283000479509852 58.89657580923044, 9.282495045823483 58.896308628355214, 9.280892307341125 58.895564826665925, 9.279529112172236 58.89509544302802)</t>
  </si>
  <si>
    <t>[899140, 899154, 899162, 899163, 899172, 899182]</t>
  </si>
  <si>
    <t>[873531, 873552, 873563, 873564, 873575, 518382]</t>
  </si>
  <si>
    <t>0.02975592901295878</t>
  </si>
  <si>
    <t>[861726, 873531, 873552, 873563, 873564, 873575]</t>
  </si>
  <si>
    <t>[0.037, 0.027, 0.027, 0.048, 0.036, 0.021]</t>
  </si>
  <si>
    <t>322.53837773177327</t>
  </si>
  <si>
    <t>[0.054, 0.041, 0.021]</t>
  </si>
  <si>
    <t>LINESTRING (9.71103088002505 59.12096700800858, 9.710812946495405 59.121291893267625, 9.710576507480651 59.121505005622375, 9.710202487900066 59.1217787361298)</t>
  </si>
  <si>
    <t>[512426, 512434, 512442]</t>
  </si>
  <si>
    <t>[518408, 518418, 518394]</t>
  </si>
  <si>
    <t>0.0386638832072188</t>
  </si>
  <si>
    <t>[518407, 518408, 518418]</t>
  </si>
  <si>
    <t>103.42812933714609</t>
  </si>
  <si>
    <t>[0.484, -0.025, -0.054, -0.071, -0.063, -0.035, 0.205, 0.01]</t>
  </si>
  <si>
    <t>[0, 0, 0, 1, 1, 0, 0, 0]</t>
  </si>
  <si>
    <t>LINESTRING (9.715118144443482 59.120667674736524, 9.71484122634892 59.120696676276665, 9.713723691423105 59.120719443846156, 9.713617386622019 59.1207170382724, 9.712990203794812 59.120701102991994, 9.712532527233286 59.120687569655225, 9.711702623907223 59.12077387096423, 9.710389383800422 59.12168145601703, 9.710202487900066 59.1217787361298)</t>
  </si>
  <si>
    <t>[994144, 915041, 915049, 915057, 915065, 915073, 915081, 512418]</t>
  </si>
  <si>
    <t>[887376, 887377, 887383, 887393, 887400, 887405, 518393, 518394]</t>
  </si>
  <si>
    <t>0.07710451863456544</t>
  </si>
  <si>
    <t>[951989, 887376, 887377, 887383, 887393, 887400, 887405, 518393]</t>
  </si>
  <si>
    <t>[0.484, 0.025, 0.054, 0.071, 0.063, 0.035, 0.205, 0.01]</t>
  </si>
  <si>
    <t>340.5794346689098</t>
  </si>
  <si>
    <t>[-0.059, -0.024]</t>
  </si>
  <si>
    <t>LINESTRING (10.890185611458676 59.93683763579487, 10.890032347956728 59.936845440269074, 10.889919211938324 59.93680414789112)</t>
  </si>
  <si>
    <t>[512430, 512438]</t>
  </si>
  <si>
    <t>[518414, 518424]</t>
  </si>
  <si>
    <t>[518401, 518414]</t>
  </si>
  <si>
    <t>[0.059, 0.024]</t>
  </si>
  <si>
    <t>16.437565508145894</t>
  </si>
  <si>
    <t>[-0.104, -0.003]</t>
  </si>
  <si>
    <t>LINESTRING (10.890185611458676 59.93683763579487, 10.890107115517873 59.93725416150845, 10.890147017866651 59.93774181354987)</t>
  </si>
  <si>
    <t>[753358, 753366]</t>
  </si>
  <si>
    <t>[734625, 733378]</t>
  </si>
  <si>
    <t>[518401, 734625]</t>
  </si>
  <si>
    <t>[0.104, 0.003]</t>
  </si>
  <si>
    <t>101.63084856116616</t>
  </si>
  <si>
    <t>[0.065, 0.053, 0.054, 0.023, -0.021, -0.069, -0.063]</t>
  </si>
  <si>
    <t>LINESTRING (10.889923359322786 59.9366550286068, 10.889972428277446 59.93663498179951, 10.890064110533254 59.936618062977246, 10.890245272905002 59.93663090902879, 10.890328741919427 59.93668026627156, 10.89033683209057 59.93677402391612, 10.89026259334283 59.93681746192561, 10.890185611458676 59.93683763579487)</t>
  </si>
  <si>
    <t>[512454, 512462, 512470, 512398, 512406, 512414, 512422]</t>
  </si>
  <si>
    <t>[518447, 518456, 518366, 518367, 518377, 518387, 518401]</t>
  </si>
  <si>
    <t>0.005953867791646185</t>
  </si>
  <si>
    <t>[518435, 518447, 518456, 518366, 518367, 518377, 518387]</t>
  </si>
  <si>
    <t>[0.065, 0.053, 0.054, 0.023, 0.021, 0.069, 0.063]</t>
  </si>
  <si>
    <t>48.82349124594999</t>
  </si>
  <si>
    <t>0.121</t>
  </si>
  <si>
    <t>101.33662152126024</t>
  </si>
  <si>
    <t>[-0.138, 0.26]</t>
  </si>
  <si>
    <t>LINESTRING (9.710941913348094 59.11940993283322, 9.71139577320176 59.12016867620989, 9.71103088002505 59.12096700800858)</t>
  </si>
  <si>
    <t>[915121, 915129]</t>
  </si>
  <si>
    <t>[887447, 518407]</t>
  </si>
  <si>
    <t>0.057212480662883966</t>
  </si>
  <si>
    <t>[887440, 887447]</t>
  </si>
  <si>
    <t>[0.138, 0.26]</t>
  </si>
  <si>
    <t>186.65001710061057</t>
  </si>
  <si>
    <t>17.123320775929457</t>
  </si>
  <si>
    <t>[-0.088, -0.007, -0.001]</t>
  </si>
  <si>
    <t>LINESTRING (10.889919211938324 59.93680414789112, 10.889932365535417 59.93722569149079, 10.88997771891056 59.93771126602715, 10.889980803261986 59.93773842484436)</t>
  </si>
  <si>
    <t>[755499, 755507, 755515]</t>
  </si>
  <si>
    <t>[736229, 736235, 733379]</t>
  </si>
  <si>
    <t>[518424, 736229, 736235]</t>
  </si>
  <si>
    <t>[0.088, 0.007, 0.001]</t>
  </si>
  <si>
    <t>104.18460963756974</t>
  </si>
  <si>
    <t>[0.055, 0.04, 0.024, 0.063, 0.045, -0.101]</t>
  </si>
  <si>
    <t>LINESTRING (10.881129075382635 59.93492824764433, 10.881379150129504 59.934919885004824, 10.882984969330636 59.93533422788512, 10.886722890132539 59.93615321679343, 10.88874985474965 59.9365329425406, 10.889783580533518 59.93664077638304, 10.889923359322786 59.9366550286068)</t>
  </si>
  <si>
    <t>[751794, 728228, 728236, 728244, 728252, 728260]</t>
  </si>
  <si>
    <t>[717226, 717227, 717232, 717234, 717238, 518435]</t>
  </si>
  <si>
    <t>0.03720690414311883</t>
  </si>
  <si>
    <t>[733373, 717226, 717227, 717232, 717234, 717238]</t>
  </si>
  <si>
    <t>[0.055, 0.04, 0.024, 0.063, 0.045, 0.101]</t>
  </si>
  <si>
    <t>531.5066273310017</t>
  </si>
  <si>
    <t>[0.049, 0.036]</t>
  </si>
  <si>
    <t>LINESTRING (9.68820204351777 59.10021865739729, 9.688141061298845 59.100171313331835, 9.687969739862945 59.09999560750031)</t>
  </si>
  <si>
    <t>[512450, 512458]</t>
  </si>
  <si>
    <t>[518442, 518451]</t>
  </si>
  <si>
    <t>0.0388826190426045</t>
  </si>
  <si>
    <t>[518441, 518442]</t>
  </si>
  <si>
    <t>28.553447788674532</t>
  </si>
  <si>
    <t>[-2.561, 1.169]</t>
  </si>
  <si>
    <t>LINESTRING (9.68820204351777 59.10021865739729, 9.688270635670346 59.10016774952052, 9.68842306044521 59.100139557692266)</t>
  </si>
  <si>
    <t>[910738, 910746]</t>
  </si>
  <si>
    <t>[884252, 873604]</t>
  </si>
  <si>
    <t>[518441, 884252]</t>
  </si>
  <si>
    <t>[2.561, 1.169]</t>
  </si>
  <si>
    <t>16.19459704369515</t>
  </si>
  <si>
    <t>1.403</t>
  </si>
  <si>
    <t>11.070853039794983</t>
  </si>
  <si>
    <t>[-0.468, 0.093, 0.12, 0.171, 0.521]</t>
  </si>
  <si>
    <t>LINESTRING (9.687969739862945 59.09999560750031, 9.687500744717742 59.09979000007197, 9.68627310633902 59.09941555338612, 9.686167765208173 59.09938413271478, 9.686122779578543 59.09937069513212, 9.685573733992321 59.09918364255939)</t>
  </si>
  <si>
    <t>[915265, 915273, 915281, 915289, 915297]</t>
  </si>
  <si>
    <t>[887551, 887555, 887560, 887565, 518461]</t>
  </si>
  <si>
    <t>0.0733582470268389</t>
  </si>
  <si>
    <t>[518451, 887551, 887555, 887560, 887565]</t>
  </si>
  <si>
    <t>[0.468, 0.093, 0.12, 0.171, 0.521]</t>
  </si>
  <si>
    <t>164.92362923484535</t>
  </si>
  <si>
    <t>[0.04, 0.311]</t>
  </si>
  <si>
    <t>LINESTRING (9.68842306044521 59.100139557692266, 9.688335441967574 59.10010707548112, 9.687969739862945 59.09999560750031)</t>
  </si>
  <si>
    <t>[899196, 899218]</t>
  </si>
  <si>
    <t>[873605, 518451]</t>
  </si>
  <si>
    <t>0.25674813035288396</t>
  </si>
  <si>
    <t>[873604, 873605]</t>
  </si>
  <si>
    <t>30.939048328668612</t>
  </si>
  <si>
    <t>[0.051, 0.017, 0.01, -0.017, -0.01]</t>
  </si>
  <si>
    <t>LINESTRING (9.685573733992321 59.09918364255939, 9.685182782290909 59.099018800997214, 9.685122136553709 59.09897338591349, 9.685002874781329 59.098855273478485, 9.684990569178769 59.09883594249799, 9.684969956842195 59.098807469487774)</t>
  </si>
  <si>
    <t>[512466, 512474, 512482, 2109040, 2109048]</t>
  </si>
  <si>
    <t>[518462, 518471, 518481, 1820952, 1277018]</t>
  </si>
  <si>
    <t>0.03000619568084065</t>
  </si>
  <si>
    <t>[518461, 518462, 518471, 518481, 1820952]</t>
  </si>
  <si>
    <t>[0.051, 0.017, 0.01, 0.017, 0.01]</t>
  </si>
  <si>
    <t>56.11178331068706</t>
  </si>
  <si>
    <t>[-0.141, 0.042, 0.914]</t>
  </si>
  <si>
    <t>LINESTRING (9.685573733992321 59.09918364255939, 9.685273224150533 59.098942974233886, 9.685145026957374 59.098824728967145, 9.685113073397428 59.09878186899866)</t>
  </si>
  <si>
    <t>[899226, 899227, 1392755]</t>
  </si>
  <si>
    <t>[873643, 873644, 1277008]</t>
  </si>
  <si>
    <t>0.014798393938866691</t>
  </si>
  <si>
    <t>[518461, 873643, 873644]</t>
  </si>
  <si>
    <t>[0.141, 0.042, 0.914]</t>
  </si>
  <si>
    <t>52.38162850120773</t>
  </si>
  <si>
    <t>3.252691193318178</t>
  </si>
  <si>
    <t>[0.063, 0.045]</t>
  </si>
  <si>
    <t>LINESTRING (10.889980202817929 59.938032408056046, 10.890104451949957 59.937998523649114, 10.890287970672997 59.938021332986324)</t>
  </si>
  <si>
    <t>[512550, 512558]</t>
  </si>
  <si>
    <t>[518564, 518475]</t>
  </si>
  <si>
    <t>0.05251018655928414</t>
  </si>
  <si>
    <t>[518553, 518564]</t>
  </si>
  <si>
    <t>18.952477689782462</t>
  </si>
  <si>
    <t>32.49949465570705</t>
  </si>
  <si>
    <t>13.225438783606624</t>
  </si>
  <si>
    <t>[0.077, -0.041, 0.023, 0.016, -0.012, 0.008, -0.002, 0.851]</t>
  </si>
  <si>
    <t>LINESTRING (10.890326470103146 59.93804321335042, 10.890430206324975 59.93803026667923, 10.891166205734446 59.9379020933047, 10.893072206258323 59.937769290032726, 10.893089357910682 59.93777156909991, 10.893242253270564 59.937794543231924, 10.89901985043595 59.93909640228484, 10.900209537125331 59.939263797976395, 10.900318929742792 59.93933553334838)</t>
  </si>
  <si>
    <t>[728332, 728340, 728348, 728356, 728364, 728372, 728380, 751826]</t>
  </si>
  <si>
    <t>[717286, 717291, 717295, 717301, 717309, 717315, 717322, 733396]</t>
  </si>
  <si>
    <t>0.02050463071552907</t>
  </si>
  <si>
    <t>[518476, 717286, 717291, 717295, 717301, 717309, 717315, 717322]</t>
  </si>
  <si>
    <t>[0.077, 0.041, 0.023, 0.016, 0.012, 0.008, 0.002, 0.851]</t>
  </si>
  <si>
    <t>603.4519936077457</t>
  </si>
  <si>
    <t>[-0.042, -0.058, -0.053, -0.036, -0.001, 0.032, 0.064]</t>
  </si>
  <si>
    <t>LINESTRING (10.890339258120722 59.938156897511384, 10.890265771500552 59.93820045795118, 10.890133818297919 59.93822421214358, 10.89002604987601 59.93821185829001, 10.889964901900875 59.93818477561787, 10.889912208062226 59.93811839684595, 10.889920954243436 59.93806069655677, 10.889980202817929 59.938032408056046)</t>
  </si>
  <si>
    <t>[512494, 512502, 512510, 512518, 512526, 512534, 512542]</t>
  </si>
  <si>
    <t>[518496, 518505, 518514, 518525, 518532, 518544, 518553]</t>
  </si>
  <si>
    <t>[518486, 518496, 518505, 518514, 518525, 518532, 518544]</t>
  </si>
  <si>
    <t>[0.042, 0.058, 0.053, 0.036, 0.001, 0.032, 0.064]</t>
  </si>
  <si>
    <t>43.925395156362384</t>
  </si>
  <si>
    <t>[-0.151, 0.042, 0.0, -0.014, -0.099, 0.007, -0.063]</t>
  </si>
  <si>
    <t>LINESTRING (10.896972909270863 59.93897869691728, 10.89676789712007 59.93901366800471, 10.896380167118167 59.938944855812316, 10.893601316817794 59.93848161821277, 10.893211965108621 59.93841514641611, 10.893195011266195 59.93841228014293, 10.890485388078089 59.93814886997204, 10.890339258120722 59.938156897511384)</t>
  </si>
  <si>
    <t>[751834, 728476, 728484, 728492, 728500, 728508, 728516]</t>
  </si>
  <si>
    <t>[717373, 717374, 717377, 717380, 717385, 717388, 518486]</t>
  </si>
  <si>
    <t>[733403, 717373, 717374, 717377, 717380, 717385, 717388]</t>
  </si>
  <si>
    <t>[0.151, 0.042, 0.0, 0.014, 0.099, 0.007, 0.063]</t>
  </si>
  <si>
    <t>387.0093290284908</t>
  </si>
  <si>
    <t>[0.06, 0.013]</t>
  </si>
  <si>
    <t>LINESTRING (10.82450998232932 59.92290954101277, 10.824092167633502 59.92292775883561, 10.814833525444817 59.92335936464116)</t>
  </si>
  <si>
    <t>[512496, 512504]</t>
  </si>
  <si>
    <t>[518499, 518507]</t>
  </si>
  <si>
    <t>0.015024753741777749</t>
  </si>
  <si>
    <t>[518488, 518499]</t>
  </si>
  <si>
    <t>544.6285011071094</t>
  </si>
  <si>
    <t>[1.073, 0.078, -0.016, -0.023]</t>
  </si>
  <si>
    <t>LINESTRING (10.82450998232932 59.92290954101277, 10.824367323242221 59.92294727547399, 10.82414072606188 59.92296886058994, 10.820241571112739 59.92365164915395, 10.820211836212044 59.92370285464537)</t>
  </si>
  <si>
    <t>[727860, 727868, 727876, 727884]</t>
  </si>
  <si>
    <t>[716989, 716993, 716999, 714694]</t>
  </si>
  <si>
    <t>0.02436606704048017</t>
  </si>
  <si>
    <t>[518488, 716989, 716993, 716999]</t>
  </si>
  <si>
    <t>[1.073, 0.078, 0.016, 0.023]</t>
  </si>
  <si>
    <t>272.3883700457035</t>
  </si>
  <si>
    <t>[0.186, 0.041, -0.007, 0.024]</t>
  </si>
  <si>
    <t>28386.0</t>
  </si>
  <si>
    <t>LINESTRING (10.835792571335011 59.923791373565, 10.835792571335011 59.923791373565, 10.832306778101303 59.92377607852681, 10.826199556554116 59.9229481623257, 10.82450998232932 59.92290954101277)</t>
  </si>
  <si>
    <t>[754320, 512472, 512480, 512488]</t>
  </si>
  <si>
    <t>[518467, 518468, 518479, 518488]</t>
  </si>
  <si>
    <t>0.01699311987716363</t>
  </si>
  <si>
    <t>[735292, 518467, 518468, 518479]</t>
  </si>
  <si>
    <t>[0.186, 0.041, 0.007, 0.024]</t>
  </si>
  <si>
    <t>664.0228443035841</t>
  </si>
  <si>
    <t>[0.0, -0.012, 0.127]</t>
  </si>
  <si>
    <t>LINESTRING (9.675194223771442 59.100326225981036, 9.675194223771442 59.100326225981036, 9.67517338042049 59.10031391278158, 9.674836325387854 59.1000330465118)</t>
  </si>
  <si>
    <t>[512490, 512498, 915337]</t>
  </si>
  <si>
    <t>[518492, 518502, 887596]</t>
  </si>
  <si>
    <t>0.09775861148722667</t>
  </si>
  <si>
    <t>[518491, 518492, 518502]</t>
  </si>
  <si>
    <t>[0.0, 0.012, 0.127]</t>
  </si>
  <si>
    <t>48.0604718050828</t>
  </si>
  <si>
    <t>[-0.049, -0.011, -0.011]</t>
  </si>
  <si>
    <t>LINESTRING (10.814833525444817 59.92335936464116, 10.813052521689203 59.92329187577578, 10.812989079727439 59.92328805991303, 10.811584796027836 59.92318681915737)</t>
  </si>
  <si>
    <t>[512512, 512520, 512528]</t>
  </si>
  <si>
    <t>[518516, 518526, 518534]</t>
  </si>
  <si>
    <t>[518507, 518516, 518526]</t>
  </si>
  <si>
    <t>[0.049, 0.011, 0.011]</t>
  </si>
  <si>
    <t>182.86269874500988</t>
  </si>
  <si>
    <t>[0.022, -0.001, 0.211]</t>
  </si>
  <si>
    <t>LINESTRING (10.819984392612703 59.923688440725876, 10.81999104930838 59.92363560344425, 10.814998908389185 59.92341137666091, 10.814833525444817 59.92335936464116)</t>
  </si>
  <si>
    <t>[727788, 727796, 727804]</t>
  </si>
  <si>
    <t>[716930, 716937, 518507]</t>
  </si>
  <si>
    <t>0.006831540764081517</t>
  </si>
  <si>
    <t>[714686, 716930, 716937]</t>
  </si>
  <si>
    <t>[0.022, 0.001, 0.211]</t>
  </si>
  <si>
    <t>312.87451946978064</t>
  </si>
  <si>
    <t>[0.134, 0.119, 0.117]</t>
  </si>
  <si>
    <t>LINESTRING (9.662701318052354 59.07607425845181, 9.662889412228559 59.07605073836152, 9.66359959370448 59.075815798972734, 9.663694060260607 59.07578825337543)</t>
  </si>
  <si>
    <t>[512506, 512514, 512522]</t>
  </si>
  <si>
    <t>[518510, 518519, 518528]</t>
  </si>
  <si>
    <t>0.12132867448031398</t>
  </si>
  <si>
    <t>[518509, 518510, 518519]</t>
  </si>
  <si>
    <t>66.20540081929755</t>
  </si>
  <si>
    <t>[-0.481, -0.021]</t>
  </si>
  <si>
    <t>LINESTRING (9.662701318052354 59.07607425845181, 9.662819623860198 59.07611153606635, 9.662824107582628 59.076228708268914)</t>
  </si>
  <si>
    <t>[910642, 910650]</t>
  </si>
  <si>
    <t>[884193, 873651]</t>
  </si>
  <si>
    <t>[518509, 884193]</t>
  </si>
  <si>
    <t>[0.481, 0.021]</t>
  </si>
  <si>
    <t>21.329736298469598</t>
  </si>
  <si>
    <t>0.267</t>
  </si>
  <si>
    <t>14.102623149692793</t>
  </si>
  <si>
    <t>0.349</t>
  </si>
  <si>
    <t>23.22008261399688</t>
  </si>
  <si>
    <t>[0.607, 2.292]</t>
  </si>
  <si>
    <t>LINESTRING (9.663788825316121 59.07585436372082, 9.663724403606773 59.075823305370335, 9.663694060260607 59.07578825337543)</t>
  </si>
  <si>
    <t>[910714, 910722]</t>
  </si>
  <si>
    <t>[884236, 518528]</t>
  </si>
  <si>
    <t>1.3785100737037346</t>
  </si>
  <si>
    <t>[873669, 884236]</t>
  </si>
  <si>
    <t>9.34341590911002</t>
  </si>
  <si>
    <t>[-0.01, -0.026, -0.032, -0.034, -0.006, 0.003, 0.017, 0.014, -0.045]</t>
  </si>
  <si>
    <t>[0, 0, 0, 0, 1, 0, 0, 0, 0]</t>
  </si>
  <si>
    <t>LINESTRING (10.811584796027836 59.92318681915737, 10.81082472665954 59.92310689033387, 10.809634392958062 59.922959315084455, 10.809186239538787 59.92289247792172, 10.80842061917012 59.92277052144694, 10.8069878700482 59.922585532062236, 10.80781617894045 59.92098548925524, 10.807907195608113 59.92057197048968, 10.808092196409905 59.91974349883571, 10.808118805253537 59.91965889220113)</t>
  </si>
  <si>
    <t>[512536, 512544, 512552, 512560, 512568, 1790566, 512576, 512584, 754328]</t>
  </si>
  <si>
    <t>[518546, 518555, 518565, 518576, 518586, 518595, 518596, 518607, 733315]</t>
  </si>
  <si>
    <t>[518534, 518546, 518555, 518565, 518576, 518586, 518595, 518596, 518607]</t>
  </si>
  <si>
    <t>[0.01, 0.026, 0.032, 0.034, 0.006, 0.003, 0.017, 0.014, 0.045]</t>
  </si>
  <si>
    <t>863.0585760946282</t>
  </si>
  <si>
    <t>[-0.118, 0.015, -0.012, -0.096, -0.038, -0.027, -0.015, 0.006]</t>
  </si>
  <si>
    <t>LINESTRING (10.811584796027836 59.92318681915737, 10.811476517993992 59.92319326491201, 10.811375513585737 59.923184656706546, 10.808136425239939 59.92324790568646, 10.808100719800526 59.923266549831915, 10.807554400066643 59.923785938414625, 10.807001772026137 59.92427545265916, 10.80476924084405 59.92554225026965, 10.804628247498616 59.92556653003857)</t>
  </si>
  <si>
    <t>[727692, 727700, 727708, 727716, 727724, 727732, 727740, 751722]</t>
  </si>
  <si>
    <t>[716862, 716866, 716873, 716879, 716883, 716886, 716893, 733326]</t>
  </si>
  <si>
    <t>[518534, 716862, 716866, 716873, 716879, 716883, 716886, 716893]</t>
  </si>
  <si>
    <t>[0.118, 0.015, 0.012, 0.096, 0.038, 0.027, 0.015, 0.006]</t>
  </si>
  <si>
    <t>530.0059956035872</t>
  </si>
  <si>
    <t>32.761104987655436</t>
  </si>
  <si>
    <t>[-0.111, -0.094, -0.1, -0.08, -0.091, -0.138, -0.008]</t>
  </si>
  <si>
    <t>LINESTRING (9.269699589691044 59.565648677155586, 9.268367913853416 59.565193844628084, 9.268176502390341 59.56508887589786, 9.268132042537335 59.5650609170358, 9.268088650084346 59.565032212868196, 9.268022873749912 59.56498778060734, 9.267687644071087 59.56466951503969, 9.26751040250407 59.563832721375306)</t>
  </si>
  <si>
    <t>[512578, 512586, 512594, 512602, 512610, 512618, 512626]</t>
  </si>
  <si>
    <t>[518599, 518610, 518620, 518632, 518643, 518653, 518661]</t>
  </si>
  <si>
    <t>[518598, 518599, 518610, 518620, 518632, 518643, 518653]</t>
  </si>
  <si>
    <t>[0.111, 0.094, 0.1, 0.08, 0.091, 0.138, 0.008]</t>
  </si>
  <si>
    <t>256.71828726554725</t>
  </si>
  <si>
    <t>[-0.138, -0.054, -0.046, -0.044, -0.043, -0.039]</t>
  </si>
  <si>
    <t>LINESTRING (9.269699589691044 59.565648677155586, 9.26847190388546 59.56513789165239, 9.268239880710643 59.56500663655083, 9.268145673136212 59.56494063858925, 9.26781924712714 59.56463971051757, 9.26779464628649 59.56460733959351, 9.26751040250407 59.563832721375306)</t>
  </si>
  <si>
    <t>[899328, 899336, 899337, 899344, 899356, 899366]</t>
  </si>
  <si>
    <t>[873776, 844853, 873786, 873796, 873810, 518661]</t>
  </si>
  <si>
    <t>[518598, 873776, 844853, 873786, 873796, 873810]</t>
  </si>
  <si>
    <t>[0.138, 0.054, 0.046, 0.044, 0.043, 0.039]</t>
  </si>
  <si>
    <t>249.2361229272746</t>
  </si>
  <si>
    <t>[0.002, -0.046, -0.034, -0.014, 0.028, 0.029, 0.02, -0.047, -0.118, -0.085, -0.071, -0.064, -0.09, -0.088, -0.069, -0.058, -0.064, -0.073, -0.079, -0.068, -0.065, -0.073, -0.079, -0.084, -0.087, -0.091, -0.09, -0.077, -0.032, -0.025, -0.006, -0.007, -0.004, -0.013, -0.023, -0.067, -0.034, -0.049]</t>
  </si>
  <si>
    <t>LINESTRING (9.291389122097312 59.572886119745604, 9.290462308862429 59.5718291701612, 9.290313034069811 59.57135827977683, 9.290298408184915 59.57120273890355, 9.290467282114141 59.57045012133579, 9.290579324395258 59.57019315366269, 9.290624162416176 59.570083493811936, 9.2905942542306 59.5688167458802, 9.28984200244159 59.5682676204708, 9.288904124985654 59.567926589382495, 9.28816129836428 59.56773467508303, 9.28658449606118 59.56723357468618, 9.285486181960538 59.56664359099802, 9.285070299660061 59.56641518332541, 9.284436644760051 59.56609226190111, 9.284302799055688 59.56602808758977, 9.283855049244718 59.565803456098266, 9.283115218176254 59.56543635997347, 9.2823769595036 59.56506543030229, 9.28157551518408 59.56466653175817, 9.281515700374245 59.56463690583577, 9.281053274430336 59.56442784182048, 9.280331471209207 59.56425379588236, 9.280177546946673 59.5642333677922, 9.280078326184949 59.56422255628635, 9.279650986025628 59.56419535706161, 9.278948464333974 59.564186664731196, 9.278717963787162 59.56418466260964, 9.277675695350204 59.564170261063886, 9.277252059634211 59.56415944654441, 9.276352172369531 59.564138971690255, 9.276039202875769 59.564134671540934, 9.27505484080773 59.564144401799915, 9.27410200809473 59.564238009516615, 9.273888207467703 59.56427156852722, 9.273815374567096 59.56428465748232, 9.271649456200585 59.56583420589104, 9.271506177785612 59.565869326090386, 9.269699589691044 59.565648677155586)</t>
  </si>
  <si>
    <t>[986622, 986626, 986627, 986628, 986635, 986650, 986657, 986666, 986682, 986688, 986691, 986698, 986701, 986720, 986735, 986744, 986757, 986764, 986769, 986780, 986788, 986789, 986796, 986820, 986879, 986885, 986886, 986890, 986898, 986905, 986913, 986923, 986926, 986933, 986936, 986943, 986951, 986967]</t>
  </si>
  <si>
    <t>[806858, 946424, 946425, 813902, 946430, 803295, 799564, 795490, 809484, 809818, 805032, 787145, 806986, 793369, 813685, 790581, 795405, 795325, 813678, 795050, 809462, 809453, 809469, 787210, 813672, 787245, 794712, 946587, 946593, 790246, 791398, 946608, 946612, 946617, 946620, 946624, 795432, 518598]</t>
  </si>
  <si>
    <t>[946421, 806858, 946424, 946425, 813902, 946430, 803295, 799564, 795490, 809484, 809818, 805032, 787145, 806986, 793369, 813685, 790581, 795405, 795325, 813678, 795050, 809462, 809453, 809469, 787210, 813672, 787245, 794712, 946587, 946593, 790246, 791398, 946608, 946612, 946617, 946620, 946624, 795432]</t>
  </si>
  <si>
    <t>[0.002, 0.046, 0.034, 0.014, 0.028, 0.029, 0.02, 0.047, 0.118, 0.085, 0.071, 0.064, 0.09, 0.088, 0.069, 0.058, 0.064, 0.073, 0.079, 0.068, 0.065, 0.073, 0.079, 0.084, 0.087, 0.091, 0.09, 0.077, 0.032, 0.025, 0.006, 0.007, 0.004, 0.013, 0.023, 0.067, 0.034, 0.049]</t>
  </si>
  <si>
    <t>1971.4575337983954</t>
  </si>
  <si>
    <t>198.52722735178332</t>
  </si>
  <si>
    <t>[0.088, 0.253]</t>
  </si>
  <si>
    <t>LINESTRING (10.779505924863535 59.901377526182685, 10.772959538703281 59.89997602354662, 10.772754739166388 59.89993977246386)</t>
  </si>
  <si>
    <t>[753232, 753240]</t>
  </si>
  <si>
    <t>[734527, 518640]</t>
  </si>
  <si>
    <t>0.09287205280517202</t>
  </si>
  <si>
    <t>[519787, 734527]</t>
  </si>
  <si>
    <t>411.69897773076514</t>
  </si>
  <si>
    <t>0.184</t>
  </si>
  <si>
    <t>326.93745801648214</t>
  </si>
  <si>
    <t>[0.356, -0.153, -0.02, -2.124]</t>
  </si>
  <si>
    <t>LINESTRING (10.778754324344193 59.90080337009718, 10.77901366971503 59.90078627900966, 10.780595854501087 59.90122365550734, 10.783223221574016 59.90128189556499, 10.783358348227205 59.90126423218359)</t>
  </si>
  <si>
    <t>[512616, 512624, 512632, 1834347]</t>
  </si>
  <si>
    <t>[518650, 518658, 518667, 1609668]</t>
  </si>
  <si>
    <t>[518649, 518650, 518658, 518667]</t>
  </si>
  <si>
    <t>[0.356, 0.153, 0.02, 2.124]</t>
  </si>
  <si>
    <t>276.12032868117615</t>
  </si>
  <si>
    <t>782.7255907206743</t>
  </si>
  <si>
    <t>10193.0</t>
  </si>
  <si>
    <t>83.01832015322941</t>
  </si>
  <si>
    <t>[-0.027, -0.025, -0.05, -0.072, -0.047]</t>
  </si>
  <si>
    <t>LINESTRING (9.26751711818272 59.563088192628484, 9.267370866330477 59.56245415841941, 9.267352650047616 59.56240828592225, 9.267028638620856 59.561925110059256, 9.266945599268613 59.561838519107106, 9.265938138833345 59.56086392439569)</t>
  </si>
  <si>
    <t>[512634, 512642, 512650, 512658, 512666]</t>
  </si>
  <si>
    <t>[518670, 518680, 518689, 518699, 518709]</t>
  </si>
  <si>
    <t>[518669, 518670, 518680, 518689, 518699]</t>
  </si>
  <si>
    <t>[0.027, 0.025, 0.05, 0.072, 0.047]</t>
  </si>
  <si>
    <t>267.3539268856277</t>
  </si>
  <si>
    <t>[0.016, -0.098, -0.11, -0.12, -0.116, -0.042]</t>
  </si>
  <si>
    <t>LINESTRING (9.26751711818272 59.563088192628484, 9.26748382006118 59.56239553051056, 9.267173912124838 59.561896735153574, 9.267118053217345 59.561839334065326, 9.267084336052514 59.56180707558889, 9.267030780938818 59.56175977673375, 9.265938138833345 59.56086392439569)</t>
  </si>
  <si>
    <t>[899369, 899385, 899416, 899424, 899432, 899435]</t>
  </si>
  <si>
    <t>[873822, 873839, 861472, 873887, 873898, 518709]</t>
  </si>
  <si>
    <t>[518669, 873822, 873839, 861472, 873887, 873898]</t>
  </si>
  <si>
    <t>[0.016, 0.098, 0.11, 0.12, 0.116, 0.042]</t>
  </si>
  <si>
    <t>270.89462271177433</t>
  </si>
  <si>
    <t>112.1766465982981</t>
  </si>
  <si>
    <t>[-0.209, -0.283, -0.331, -0.058]</t>
  </si>
  <si>
    <t>LINESTRING (10.782780911627752 59.90248147794038, 10.782833787985995 59.90250205460493, 10.782873465975666 59.90254198964221, 10.782867893257785 59.902585869506, 10.78264031395468 59.90264421453004)</t>
  </si>
  <si>
    <t>[513816, 513824, 513832, 513840]</t>
  </si>
  <si>
    <t>[520069, 520079, 520088, 520036]</t>
  </si>
  <si>
    <t>[518718, 520069, 520079, 520088]</t>
  </si>
  <si>
    <t>[0.209, 0.283, 0.331, 0.058]</t>
  </si>
  <si>
    <t>29.14952988703738</t>
  </si>
  <si>
    <t>15.796232064770068</t>
  </si>
  <si>
    <t>[-0.054, -0.054, -0.051, -0.04, -0.026, -0.021]</t>
  </si>
  <si>
    <t>LINESTRING (9.265587030170746 59.559888077464855, 9.2655824653114 59.55925522442282, 9.265584574982977 59.55921623994054, 9.265556324181011 59.55880822140914, 9.265529676719904 59.558707615669654, 9.264732623792613 59.557969740098706, 9.263670853792977 59.55762127543192)</t>
  </si>
  <si>
    <t>[512674, 512682, 512690, 512698, 512706, 512714]</t>
  </si>
  <si>
    <t>[518722, 518731, 518743, 501526, 518760, 518771]</t>
  </si>
  <si>
    <t>[518721, 518722, 518731, 518743, 501526, 518760]</t>
  </si>
  <si>
    <t>[0.054, 0.054, 0.051, 0.04, 0.026, 0.021]</t>
  </si>
  <si>
    <t>299.0870580739172</t>
  </si>
  <si>
    <t>[-0.058, -0.067, -0.067, -0.06, -0.045, 0.025]</t>
  </si>
  <si>
    <t>LINESTRING (9.265587030170746 59.559888077464855, 9.26570672057114 59.55920474646855, 9.265683311426352 59.55878091739466, 9.265670467718403 59.5587331021528, 9.265642469666568 59.55866422275297, 9.264816521419162 59.55793581730037, 9.263670853792977 59.55762127543192)</t>
  </si>
  <si>
    <t>[899474, 899475, 899482, 899483, 899491, 899493]</t>
  </si>
  <si>
    <t>[873945, 873946, 502037, 501527, 873964, 518771]</t>
  </si>
  <si>
    <t>[518721, 873945, 873946, 502037, 501527, 873964]</t>
  </si>
  <si>
    <t>[0.058, 0.067, 0.067, 0.06, 0.045, 0.025]</t>
  </si>
  <si>
    <t>306.48322510483575</t>
  </si>
  <si>
    <t>[0.275, 0.258, 0.288, 0.223, 0.086, -1.484]</t>
  </si>
  <si>
    <t>LINESTRING (10.782537439103095 59.902524027871706, 10.782509661475453 59.90247185900559, 10.782493943058876 59.90243819452612, 10.78242637442162 59.90227187082859, 10.783161504499212 59.90134659901506, 10.783221113735365 59.90132668670536, 10.783358348227205 59.90126423218359)</t>
  </si>
  <si>
    <t>[512680, 512688, 512696, 512704, 512712, 1834340]</t>
  </si>
  <si>
    <t>[0, 0, 1, 1, 1, 1]</t>
  </si>
  <si>
    <t>[518728, 518740, 518751, 518757, 518768, 1609668]</t>
  </si>
  <si>
    <t>0.12105991750380805</t>
  </si>
  <si>
    <t>[518727, 518728, 518740, 518751, 518757, 518768]</t>
  </si>
  <si>
    <t>[0.275, 0.258, 0.288, 0.223, 0.086, 1.484]</t>
  </si>
  <si>
    <t>162.5197282762458</t>
  </si>
  <si>
    <t>0.312</t>
  </si>
  <si>
    <t>3.8470768121466525</t>
  </si>
  <si>
    <t>[-0.009, -0.03]</t>
  </si>
  <si>
    <t>LINESTRING (9.263670853792977 59.55762127543192, 9.26316364533786 59.557517197064854, 9.259411614363295 59.55716650070255)</t>
  </si>
  <si>
    <t>[986987, 986995]</t>
  </si>
  <si>
    <t>[946651, 518781]</t>
  </si>
  <si>
    <t>[518771, 946651]</t>
  </si>
  <si>
    <t>[0.009, 0.03]</t>
  </si>
  <si>
    <t>248.72527702454383</t>
  </si>
  <si>
    <t>[-0.084, -0.092]</t>
  </si>
  <si>
    <t>LINESTRING (10.84791728252922 59.81848789873017, 10.848307004887355 59.818425515487064, 10.848751774292143 59.818423996524935)</t>
  </si>
  <si>
    <t>[512768, 512776]</t>
  </si>
  <si>
    <t>[518838, 518846]</t>
  </si>
  <si>
    <t>[518828, 518838]</t>
  </si>
  <si>
    <t>[0.084, 0.092]</t>
  </si>
  <si>
    <t>48.11476246715151</t>
  </si>
  <si>
    <t>[0.03, -0.033, -0.038]</t>
  </si>
  <si>
    <t>LINESTRING (10.84791728252922 59.81848789873017, 10.847821754051049 59.818579530140234, 10.846971276991692 59.820502015104346, 10.846860078552593 59.82057762285806)</t>
  </si>
  <si>
    <t>[512848, 512856, 754984]</t>
  </si>
  <si>
    <t>[518930, 518940, 734655]</t>
  </si>
  <si>
    <t>[518828, 518930, 518940]</t>
  </si>
  <si>
    <t>[0.03, 0.033, 0.038]</t>
  </si>
  <si>
    <t>246.604098422739</t>
  </si>
  <si>
    <t>[-0.037, 0.026, 0.008, -0.059, -0.026]</t>
  </si>
  <si>
    <t>LINESTRING (10.84583861414047 59.81899387027715, 10.846366796741664 59.81848155348712, 10.84697325987189 59.81824004297559, 10.847412014428675 59.81815482816073, 10.847844983128377 59.818207578903966, 10.84791728252922 59.81848789873017)</t>
  </si>
  <si>
    <t>[512800, 512808, 512816, 512824, 998982]</t>
  </si>
  <si>
    <t>[518879, 518889, 518898, 518907, 518828]</t>
  </si>
  <si>
    <t>[518866, 518879, 518889, 518898, 518907]</t>
  </si>
  <si>
    <t>[0.037, 0.026, 0.008, 0.059, 0.026]</t>
  </si>
  <si>
    <t>192.01418860797</t>
  </si>
  <si>
    <t>[0.002, -0.046]</t>
  </si>
  <si>
    <t>LINESTRING (10.845397306775608 59.81680092180593, 10.845543724377947 59.81684756782572, 10.84791728252922 59.81848789873017)</t>
  </si>
  <si>
    <t>[754968, 512760]</t>
  </si>
  <si>
    <t>[518827, 518828]</t>
  </si>
  <si>
    <t>[734641, 518827]</t>
  </si>
  <si>
    <t>[0.002, 0.046]</t>
  </si>
  <si>
    <t>259.235038172199</t>
  </si>
  <si>
    <t>[-0.026, -0.041, -0.05, -0.012, 0.016]</t>
  </si>
  <si>
    <t>LINESTRING (9.254786522860824 59.55775509867212, 9.25394669422938 59.55807572605175, 9.253665371311056 59.558182317928434, 9.253591388659743 59.55820890177445, 9.252112129419132 59.55873885054254, 9.251195529278393 59.559020207301714)</t>
  </si>
  <si>
    <t>[987003, 987011, 987021, 987022, 987023]</t>
  </si>
  <si>
    <t>[501073, 946667, 946673, 946674, 518869]</t>
  </si>
  <si>
    <t>[518859, 501073, 946667, 946673, 946674]</t>
  </si>
  <si>
    <t>[0.026, 0.041, 0.05, 0.012, 0.016]</t>
  </si>
  <si>
    <t>247.56183021576226</t>
  </si>
  <si>
    <t>[-0.132, 0.021, -0.006, -0.05]</t>
  </si>
  <si>
    <t>LINESTRING (10.84583861414047 59.81899387027715, 10.845877198310212 59.819037825467525, 10.844773614748814 59.81670567112048, 10.840908517835338 59.81454505482164, 10.840923698293526 59.81445202647177)</t>
  </si>
  <si>
    <t>[512832, 512840, 1498189, 1507984]</t>
  </si>
  <si>
    <t>[518915, 518922, 1356094, 1363672]</t>
  </si>
  <si>
    <t>0.00729734456515291</t>
  </si>
  <si>
    <t>[518866, 518915, 518922, 1356094]</t>
  </si>
  <si>
    <t>[0.132, 0.021, 0.006, 0.05]</t>
  </si>
  <si>
    <t>753.0889357153316</t>
  </si>
  <si>
    <t>[0.118, 0.031, 0.024]</t>
  </si>
  <si>
    <t>LINESTRING (10.845441590825656 59.82287498896654, 10.845381168108366 59.82278676281353, 10.845786644009351 59.81944622042223, 10.84583861414047 59.81899387027715)</t>
  </si>
  <si>
    <t>[754976, 512784, 512792]</t>
  </si>
  <si>
    <t>[518856, 518857, 518866]</t>
  </si>
  <si>
    <t>0.03220166927418848</t>
  </si>
  <si>
    <t>[735844, 518856, 518857]</t>
  </si>
  <si>
    <t>451.6131999360703</t>
  </si>
  <si>
    <t>[0.013, 0.004, 0.004, 0.059, 0.079, 0.046, 0.024, 0.012, 0.028, 0.046, 0.033, 0.017]</t>
  </si>
  <si>
    <t>LINESTRING (9.251195529278393 59.559020207301714, 9.250058517353027 59.559367787812214, 9.249966539434455 59.55939781683092, 9.249442273770345 59.55960460061382, 9.249326449478982 59.559659963328436, 9.24882105614397 59.55991355874533, 9.248220105821561 59.56021730412643, 9.248118638177013 59.56026866259105, 9.248009268076693 59.5603240116597, 9.247488175892395 59.560582050715134, 9.24714078676487 59.56074679633274, 9.247091022410807 59.56076892612706, 9.246528151323181 59.56092701591711)</t>
  </si>
  <si>
    <t>[512794, 512802, 512810, 512818, 512826, 512834, 512842, 512850, 512858, 512866, 512874, 512882]</t>
  </si>
  <si>
    <t>[518870, 518882, 518892, 518900, 518910, 518918, 518925, 518933, 518943, 518955, 501523, 518975]</t>
  </si>
  <si>
    <t>0.030757232775863612</t>
  </si>
  <si>
    <t>[518869, 518870, 518882, 518892, 518900, 518910, 518918, 518925, 518933, 518943, 518955, 501523]</t>
  </si>
  <si>
    <t>341.64018165686497</t>
  </si>
  <si>
    <t>[0.006, -0.007, -0.007, -0.005, 0.025, 0.096, 0.083, 0.059, 0.081, 0.105, 0.092, 0.072, -0.124]</t>
  </si>
  <si>
    <t>LINESTRING (9.251195529278393 59.559020207301714, 9.249897181921593 59.55934050578506, 9.249356007049732 59.55954898371342, 9.249272927785304 59.55958940562974, 9.249234788429055 59.55960819555614, 9.249171741111248 59.559639246852335, 9.248754364670033 59.559852592710776, 9.248070044187275 59.56019709726253, 9.247957865941206 59.560252583574496, 9.247413613609814 59.56052323958978, 9.247342295662586 59.560559065691784, 9.24706173955245 59.56069740146339, 9.24701018219976 59.56072161267429, 9.246528151323181 59.56092701591711)</t>
  </si>
  <si>
    <t>[899556, 899569, 899570, 899571, 899572, 899580, 899588, 899596, 899597, 899598, 899605, 899613, 899617]</t>
  </si>
  <si>
    <t>[874032, 874045, 863672, 874046, 840928, 874056, 844834, 874072, 874073, 874074, 874083, 874092, 518975]</t>
  </si>
  <si>
    <t>0.030751584261720165</t>
  </si>
  <si>
    <t>[518869, 874032, 874045, 863672, 874046, 840928, 874056, 844834, 874072, 874073, 874074, 874083, 874092]</t>
  </si>
  <si>
    <t>[0.006, 0.007, 0.007, 0.005, 0.025, 0.096, 0.083, 0.059, 0.081, 0.105, 0.092, 0.072, 0.124]</t>
  </si>
  <si>
    <t>342.37862945141023</t>
  </si>
  <si>
    <t>[0.564, 0.035, 0.026, -0.178]</t>
  </si>
  <si>
    <t>LINESTRING (10.840662063966521 59.838804153483544, 10.84083637892402 59.83878221936644, 10.840947277710686 59.83879828932655, 10.841059624667118 59.83884924602072, 10.840861357665325 59.83907678019979)</t>
  </si>
  <si>
    <t>[728620, 728628, 728636, 728644]</t>
  </si>
  <si>
    <t>[717470, 717477, 717484, 519028]</t>
  </si>
  <si>
    <t>0.005793442601840337</t>
  </si>
  <si>
    <t>[518963, 717470, 717477, 717484]</t>
  </si>
  <si>
    <t>[0.564, 0.035, 0.026, 0.178]</t>
  </si>
  <si>
    <t>57.60061780829285</t>
  </si>
  <si>
    <t>0.341</t>
  </si>
  <si>
    <t>17.127287697163958</t>
  </si>
  <si>
    <t>[0.078, 0.037, -0.001]</t>
  </si>
  <si>
    <t>LINESTRING (10.839655833009875 59.83587398220009, 10.839718825330854 59.83595599819637, 10.840606797870475 59.838779351054484, 10.840662063966521 59.838804153483544)</t>
  </si>
  <si>
    <t>[754992, 512864, 512872]</t>
  </si>
  <si>
    <t>[518951, 518952, 518963]</t>
  </si>
  <si>
    <t>0.03772584131159037</t>
  </si>
  <si>
    <t>[734676, 518951, 518952]</t>
  </si>
  <si>
    <t>[0.078, 0.037, 0.001]</t>
  </si>
  <si>
    <t>336.08485348666744</t>
  </si>
  <si>
    <t>[0.014, -0.001, -0.014, 0.007, -0.047, -0.054]</t>
  </si>
  <si>
    <t>14693.0</t>
  </si>
  <si>
    <t>LINESTRING (9.246528151323181 59.56092701591711, 9.245004115827138 59.56121232058043, 9.243237471465687 59.561299339857186, 9.241711261218393 59.561071582434174, 9.236659282438973 59.56109011127966, 9.236094412884478 59.56111158826915, 9.235346645538446 59.56111536074694)</t>
  </si>
  <si>
    <t>[987034, 987044, 987052, 987060, 987079, 987087]</t>
  </si>
  <si>
    <t>[812776, 812802, 793394, 946698, 946710, 518981]</t>
  </si>
  <si>
    <t>[518975, 812776, 812802, 793394, 946698, 946710]</t>
  </si>
  <si>
    <t>[0.014, 0.001, 0.014, 0.007, 0.047, 0.054]</t>
  </si>
  <si>
    <t>649.2335144337998</t>
  </si>
  <si>
    <t>[0.203, -0.01, -0.011, -0.094]</t>
  </si>
  <si>
    <t>LINESTRING (10.838818862033069 59.83965007010138, 10.838642505137082 59.83965370277835, 10.838566084356136 59.83963091811131, 10.838515351331967 59.839598579799194, 10.838732745895179 59.83942685156435)</t>
  </si>
  <si>
    <t>[728676, 728684, 728692, 728700]</t>
  </si>
  <si>
    <t>[717511, 717516, 717521, 519007]</t>
  </si>
  <si>
    <t>[518979, 717511, 717516, 717521]</t>
  </si>
  <si>
    <t>[0.203, 0.01, 0.011, 0.094]</t>
  </si>
  <si>
    <t>46.885257813781</t>
  </si>
  <si>
    <t>15.517745824023299</t>
  </si>
  <si>
    <t>[-0.013, -0.027, -0.003]</t>
  </si>
  <si>
    <t>LINESTRING (10.838663619354561 59.841683280512, 10.83863058959596 59.84158504852503, 10.838874497798159 59.83967720472178, 10.838818862033069 59.83965007010138)</t>
  </si>
  <si>
    <t>[755000, 512880, 512888]</t>
  </si>
  <si>
    <t>[518971, 518972, 518979]</t>
  </si>
  <si>
    <t>[735861, 518971, 518972]</t>
  </si>
  <si>
    <t>[0.013, 0.027, 0.003]</t>
  </si>
  <si>
    <t>236.04476721517494</t>
  </si>
  <si>
    <t>[-0.007, 0.018, -0.007, -0.033, 0.019]</t>
  </si>
  <si>
    <t>LINESTRING (9.235346645538446 59.56111536074694, 9.232602697998157 59.56145041759079, 9.232467823606134 59.561487163201306, 9.231481398327348 59.56185707925371, 9.231370768819783 59.56191150442628, 9.229500772931761 59.563069124710076)</t>
  </si>
  <si>
    <t>[512890, 512898, 512906, 512914, 512922]</t>
  </si>
  <si>
    <t>[518982, 518991, 519000, 519011, 519021]</t>
  </si>
  <si>
    <t>0.0034366904102216805</t>
  </si>
  <si>
    <t>[518981, 518982, 518991, 519000, 519011]</t>
  </si>
  <si>
    <t>[0.007, 0.018, 0.007, 0.033, 0.019]</t>
  </si>
  <si>
    <t>415.25722083577796</t>
  </si>
  <si>
    <t>[0.022, -0.059, -0.058, -0.067, -0.01, 0.015]</t>
  </si>
  <si>
    <t>LINESTRING (9.235346645538446 59.56111536074694, 9.232395808691368 59.561423774240275, 9.23137899588857 59.56180259097866, 9.231308840079246 59.56183700189769, 9.231260158956678 59.56186328785811, 9.2311987750591 59.56189485469536, 9.229500772931761 59.563069124710076)</t>
  </si>
  <si>
    <t>[899618, 899641, 899660, 899661, 899669, 899677]</t>
  </si>
  <si>
    <t>[874097, 874122, 863673, 874139, 840957, 519021]</t>
  </si>
  <si>
    <t>0.0032922050770814635</t>
  </si>
  <si>
    <t>[518981, 874097, 874122, 863673, 874139, 840957]</t>
  </si>
  <si>
    <t>[0.022, 0.059, 0.058, 0.067, 0.01, 0.015]</t>
  </si>
  <si>
    <t>421.8428010338064</t>
  </si>
  <si>
    <t>[-0.042, -0.033]</t>
  </si>
  <si>
    <t>22439.0</t>
  </si>
  <si>
    <t>LINESTRING (10.83924359861153 59.83938729620402, 10.84011388416226 59.83913295858106, 10.84026160479353 59.83908953962539)</t>
  </si>
  <si>
    <t>[512896, 512904]</t>
  </si>
  <si>
    <t>[518988, 518997]</t>
  </si>
  <si>
    <t>[518987, 518988]</t>
  </si>
  <si>
    <t>[0.042, 0.033]</t>
  </si>
  <si>
    <t>66.03713605621917</t>
  </si>
  <si>
    <t>[-0.528, -0.045]</t>
  </si>
  <si>
    <t>LINESTRING (10.838841930124426 59.839443642242564, 10.838938298726301 59.839435040458945, 10.83924359861153 59.83938729620402)</t>
  </si>
  <si>
    <t>[755008, 755016]</t>
  </si>
  <si>
    <t>[735866, 518987]</t>
  </si>
  <si>
    <t>[717531, 735866]</t>
  </si>
  <si>
    <t>[0.528, 0.045]</t>
  </si>
  <si>
    <t>23.419559102559106</t>
  </si>
  <si>
    <t>[-0.002, -0.205]</t>
  </si>
  <si>
    <t>LINESTRING (10.83895424063533 59.839536049215674, 10.839025473053814 59.83949585661414, 10.83924359861153 59.83938729620402)</t>
  </si>
  <si>
    <t>[780346, 780354]</t>
  </si>
  <si>
    <t>[760470, 518987]</t>
  </si>
  <si>
    <t>[717544, 760470]</t>
  </si>
  <si>
    <t>[0.002, 0.205]</t>
  </si>
  <si>
    <t>23.20707231543041</t>
  </si>
  <si>
    <t>[-0.031, 0.747]</t>
  </si>
  <si>
    <t>LINESTRING (10.84026160479353 59.83908953962539, 10.84044199761551 59.83898308296967, 10.840521266863043 59.83893430557715)</t>
  </si>
  <si>
    <t>[755024, 755032]</t>
  </si>
  <si>
    <t>[735876, 717464]</t>
  </si>
  <si>
    <t>0.2105906223329771</t>
  </si>
  <si>
    <t>[518997, 735876]</t>
  </si>
  <si>
    <t>[0.031, 0.747]</t>
  </si>
  <si>
    <t>22.614109808748417</t>
  </si>
  <si>
    <t>[0.331, -0.001]</t>
  </si>
  <si>
    <t>LINESTRING (10.84026160479353 59.83908953962539, 10.840549952214324 59.83905646908687, 10.84064937251302 59.839052026689416)</t>
  </si>
  <si>
    <t>[780362, 780370]</t>
  </si>
  <si>
    <t>[760484, 717493]</t>
  </si>
  <si>
    <t>0.2475989329441306</t>
  </si>
  <si>
    <t>[518997, 760484]</t>
  </si>
  <si>
    <t>[0.331, 0.001]</t>
  </si>
  <si>
    <t>22.28427937961939</t>
  </si>
  <si>
    <t>0.391</t>
  </si>
  <si>
    <t>6.403103153934308</t>
  </si>
  <si>
    <t>[-0.053, -0.043, -0.071]</t>
  </si>
  <si>
    <t>LINESTRING (10.838732745895179 59.83942685156435, 10.838771127938637 59.83939391798389, 10.839363982617142 59.83606524807579, 10.839424770188717 59.83597905826152)</t>
  </si>
  <si>
    <t>[512912, 512920, 755064]</t>
  </si>
  <si>
    <t>[519008, 519018, 735910]</t>
  </si>
  <si>
    <t>[519007, 519008, 519018]</t>
  </si>
  <si>
    <t>[0.053, 0.043, 0.071]</t>
  </si>
  <si>
    <t>391.8828828661266</t>
  </si>
  <si>
    <t>[-0.019, 0.337]</t>
  </si>
  <si>
    <t>LINESTRING (9.229500772931761 59.563069124710076, 9.226339622050888 59.5645836289273, 9.225602460166966 59.56478474893657)</t>
  </si>
  <si>
    <t>[987089, 1391263]</t>
  </si>
  <si>
    <t>[946717, 1275989]</t>
  </si>
  <si>
    <t>0.03815375604158468</t>
  </si>
  <si>
    <t>[519021, 946717]</t>
  </si>
  <si>
    <t>[0.019, 0.337]</t>
  </si>
  <si>
    <t>294.97784024457985</t>
  </si>
  <si>
    <t>0.502</t>
  </si>
  <si>
    <t>12.448010129188383</t>
  </si>
  <si>
    <t>[0.016, 0.035, 0.076]</t>
  </si>
  <si>
    <t>5245.0</t>
  </si>
  <si>
    <t>LINESTRING (10.840861357665325 59.83907678019979, 10.840776157504054 59.83913713963441, 10.838683093909536 59.842100479134075, 10.838588142971291 59.842172711818904)</t>
  </si>
  <si>
    <t>[512928, 512936, 755096]</t>
  </si>
  <si>
    <t>[519029, 519040, 734712]</t>
  </si>
  <si>
    <t>0.03564321944266432</t>
  </si>
  <si>
    <t>[519028, 519029, 519040]</t>
  </si>
  <si>
    <t>371.4746240008281</t>
  </si>
  <si>
    <t>[-0.008, -0.02, -0.019, -0.021, -0.023, -0.021, -0.02, -0.01, 0.003]</t>
  </si>
  <si>
    <t>LINESTRING (9.174190244358895 59.578766094791106, 9.173091561455962 59.57937472510124, 9.173052471905061 59.57939563084079, 9.172745696763071 59.579556857776396, 9.17260713464315 59.57962710461438, 9.172551572393338 59.57965527820296, 9.172511735416126 59.57967547523863, 9.17243867744349 59.579712518564534, 9.171908877927965 59.57996395059917, 9.170669806279154 59.58050914653779)</t>
  </si>
  <si>
    <t>[512930, 512938, 512946, 512954, 512962, 512970, 512978, 512986, 512994]</t>
  </si>
  <si>
    <t>[519033, 519043, 519055, 519062, 519072, 519083, 519093, 519104, 519114]</t>
  </si>
  <si>
    <t>[519032, 519033, 519043, 519055, 519062, 519072, 519083, 519093, 519104]</t>
  </si>
  <si>
    <t>[0.008, 0.02, 0.019, 0.021, 0.023, 0.021, 0.02, 0.01, 0.003]</t>
  </si>
  <si>
    <t>278.6433917799443</t>
  </si>
  <si>
    <t>[0.01, 0.008, 0.006, 0.003, 0.002, -0.001, -0.037]</t>
  </si>
  <si>
    <t>LINESTRING (9.174190244358895 59.578766094791106, 9.17296480152584 59.57935455474022, 9.172649331293659 59.579511576219055, 9.172461817757661 59.579608824191105, 9.172347994589598 59.57966496973188, 9.171827228170534 59.57991978454992, 9.17177414549761 59.57994532274438, 9.170669806279154 59.58050914653779)</t>
  </si>
  <si>
    <t>[899685, 899693, 899701, 899709, 899717, 899722, 899738]</t>
  </si>
  <si>
    <t>[874166, 874177, 874183, 874191, 874198, 874206, 519114]</t>
  </si>
  <si>
    <t>[519032, 874166, 874177, 874183, 874191, 874198, 874206]</t>
  </si>
  <si>
    <t>[0.01, 0.008, 0.006, 0.003, 0.002, 0.001, 0.037]</t>
  </si>
  <si>
    <t>278.51565020380673</t>
  </si>
  <si>
    <t>[-0.001, -0.004, -0.006, 0.029, 0.04, -0.019, -0.006, 0.015]</t>
  </si>
  <si>
    <t>LINESTRING (9.189052320248978 59.576530592130915, 9.188012533653842 59.576747083794174, 9.186840047409046 59.57699703511875, 9.184644983314776 59.577429819367, 9.183651990724004 59.57761566532126, 9.182085408509074 59.57793521423547, 9.181147805268356 59.57808165772047, 9.175694821198793 59.57823188708569, 9.174190244358895 59.578766094791106)</t>
  </si>
  <si>
    <t>[987143, 987154, 987162, 987165, 987167, 987175, 987177, 987178]</t>
  </si>
  <si>
    <t>[809654, 803891, 803622, 946774, 923223, 802974, 946776, 519032]</t>
  </si>
  <si>
    <t>0.003408410569174445</t>
  </si>
  <si>
    <t>[946758, 809654, 803891, 803622, 946774, 923223, 802974, 946776]</t>
  </si>
  <si>
    <t>[0.001, 0.004, 0.006, 0.029, 0.04, 0.019, 0.006, 0.015]</t>
  </si>
  <si>
    <t>895.4057851691143</t>
  </si>
  <si>
    <t>[0.021, 0.031, -0.042, -0.0, 0.024, 0.015, -0.003, 0.019, 0.009, -0.029, -0.015, 0.004, -0.012, -0.004, -0.012, -0.009, -0.009, -0.002, 0.013, 0.007, 0.003, -0.005, -0.006, 0.003, 0.009, 0.009, 0.007, -0.006, 0.006, 0.026, 0.001, 0.014, -0.012, -0.007, -0.022, -0.011, 0.01, 0.01, 0.003, 0.008, 0.011, 0.005, 0.004, 0.027, 0.025, -0.014, 0.003, 0.028, 0.043, -0.03, -0.033, 0.054, 0.066, 0.035, -0.006, -0.031, -0.013, 0.031, -0.022, -0.022, -0.021, -0.022, 0.023, 0.022, -0.004, -0.024, -0.006, -0.003, -0.004, 0.015, 0.01, 0.03, -0.048, -0.003, 0.022, 0.029, 0.012, 0.012, 0.017, 0.047, 0.045, 0.044, 0.02, -0.002, 0.061, 0.003, -0.047, -0.034, 0.01, 0.027, 0.017, 0.022, 0.02, 0.013, 0.005, -0.011, 0.014, 0.011, -0.052, -0.045, -0.021, -0.003, -0.006, -0.007, -0.037, 0.035, 0.008, 0.012, 0.014, -0.055]</t>
  </si>
  <si>
    <t>[0, 0, 0, 0, 0, 0, 0, 0, 0, 0, 0, 0, 0, 0, 0, 0, 0, 0, 0, 0, 0, 0, 0, 0, 0, 0, 0, 0, 0, 0, 0, 0, 0, 1, 0, 0, 0, 0, 0, 0, 0, 0, 0, 0, 0, 0, 0, 0, 0, 0, 0, 0, 0, 0, 0, 0, 0, 0, 0, 0, 0, 0, 0, 0, 0, 0, 0, 0, 0, 0, 0, 0, 0, 0, 0, 0, 0, 0, 0, 0, 0, 0, 0, 0, 0, 0, 0, 0, 0, 0, 0, 0, 0, 0, 0, 0, 0, 0, 0, 0, 0, 0, 0, 0, 0, 0, 0, 1, 0, 0]</t>
  </si>
  <si>
    <t>LINESTRING (9.170669806279154 59.58050914653779, 9.169654051405582 59.58105754472026, 9.167879474427885 59.58203429707326, 9.166545975401544 59.582653499616114, 9.163277504056532 59.58417430201025, 9.162956585106985 59.584343536811566, 9.158999816538188 59.586845336147434, 9.158240228345361 59.58732041012352, 9.156874242195647 59.58818504354577, 9.155817568714431 59.58885060438886, 9.155522536440209 59.589037799151164, 9.155117052314722 59.58929544688588, 9.153687287365198 59.590205010196364, 9.153656764302193 59.590226024338975, 9.152838169068628 59.59073967085865, 9.152546114938904 59.59091853963153, 9.148546160111806 59.592209057192086, 9.14500744379009 59.5931159620706, 9.144122566273893 59.593540736649516, 9.143140894409504 59.594019412652, 9.140658027835583 59.59517971152391, 9.140544759188968 59.59523184201689, 9.140434189181697 59.59528305819178, 9.13942016642788 59.595744511494054, 9.13854354435437 59.5959997745149, 9.138104110980386 59.596066800184, 9.137568451793507 59.59613153899682, 9.136482771286214 59.59627985655778, 9.135991113255804 59.5963585027385, 9.1343763459777 59.59665936419719, 9.134023022601571 59.596738284219136, 9.131898221807628 59.597400565414404, 9.131622244991066 59.59749602738144, 9.128359284367084 59.598166060462006, 9.128199876970958 59.5981922306076, 9.127347465512326 59.598332697199, 9.125268327110634 59.59879695640958, 9.12503960137101 59.59886945774189, 9.124341627014685 59.59908999388011, 9.123831503802029 59.59924931456001, 9.122055424967073 59.59980715425634, 9.121158517224321 59.60010214196961, 9.11883847007637 59.60075084277792, 9.116157009389234 59.60099083229353, 9.116038586420986 59.60099169062761, 9.115898098288161 59.60099258098342, 9.112692246724322 59.601008192399235, 9.111287646110663 59.60091486263462, 9.109520841590786 59.6005698384778, 9.109194093647751 59.6004996039321, 9.108142795231556 59.60027433631755, 9.107949021222092 59.600233884306846, 9.107190117005274 59.60007395632468, 9.106529284775604 59.599931378396384, 9.106300907728022 59.599882177618724, 9.105701800978984 59.59975355404595, 9.10559713646705 59.59972989603237, 9.099869328448253 59.59861068773168, 9.09641187551054 59.59845744439874, 9.09527285370434 59.5984738094144, 9.095142710865924 59.598475802147924, 9.095017808380959 59.59847778864254, 9.094695415990993 59.598483079238484, 9.09281991027934 59.59845875821918, 9.087504071951551 59.596638774762916, 9.079985130605301 59.595166547765196, 9.076737827472972 59.59574368363377, 9.074717190733042 59.59643478301749, 9.072943085166628 59.59659012390157, 9.070424928576891 59.596558847622426, 9.068101049569393 59.59658209541061, 9.067467648194478 59.59673057766737, 9.063471094323138 59.59782806261978, 9.061139731115071 59.59845735140245, 9.06061248086399 59.59860235612493, 9.058398766006844 59.59920784207207, 9.057768553183793 59.599381688942735, 9.049828032467863 59.60155551439172, 9.048105225934398 59.60202513824437, 9.047857226235465 59.602093786100184, 9.045276517032086 59.60279570786974, 9.045189259134418 59.60281524622168, 9.044494302721118 59.60294672566348, 9.029841532863065 59.60419953200293, 9.027913467123511 59.60414420449541, 9.026239993652739 59.60433113622505, 9.024933479043169 59.60460753504224, 9.023110493718947 59.605434023727554, 9.021596177003369 59.606610688663295, 9.021243479886996 59.608058832778426, 9.020466931792171 59.609249941766606, 9.019221464067257 59.61048450986198, 9.019163074363025 59.61051840944724, 9.019114533424434 59.610545403912, 9.018361830786874 59.610864979844884, 9.018329015845744 59.61087552399906, 9.016633647378343 59.611265152638786, 9.016472854190157 59.61129835721599, 9.015870938440637 59.61142459142703, 9.01432843421521 59.6117461846809, 9.013855597919093 59.611844705498804, 9.013019609737519 59.612017723899896, 9.01200858837143 59.61218676385559, 9.010803253941551 59.612234912882016, 9.008774665709836 59.61193165345831, 9.008042387181339 59.61174772862453, 9.006532107133259 59.611367404011666, 9.004987565037897 59.611077931656595, 9.004331717751635 59.6110033798895, 9.004077464896467 59.610983135129786, 9.001501071120364 59.61099611820285)</t>
  </si>
  <si>
    <t>[987185, 987194, 987201, 987203, 987211, 987212, 987216, 987236, 987237, 987238, 987239, 987251, 987271, 987289, 987290, 987297, 987304, 987325, 987336, 987353, 987360, 987374, 987385, 987396, 987404, 987411, 987419, 987421, 987435, 987443, 987449, 987462, 987481, 987482, 987496, 987502, 987511, 987528, 987529, 987535, 987544, 987545, 987546, 987547, 987552, 987563, 987570, 987577, 987584, 987592, 987593, 987597, 987605, 987611, 987615, 987623, 987635, 987643, 987664, 987666, 987674, 987675, 987681, 987683, 987684, 987685, 987690, 987691, 987692, 987698, 987701, 987702, 987703, 987704, 987707, 987708, 987709, 987717, 987725, 987733, 987749, 987758, 987769, 987783, 987805, 987817, 987818, 987839, 987853, 987854, 987859, 987872, 987888, 987889, 987905, 987913, 987921, 987937, 987945, 987953, 987968, 987982, 987992, 987993, 988000, 1106820, 1106821, 1106828, 1106843, 1106844]</t>
  </si>
  <si>
    <t>[806772, 946786, 806545, 748848, 748637, 748878, 806509, 804961, 946819, 806610, 946820, 812782, 806519, 807553, 798427, 749149, 804753, 806031, 806334, 502028, 946921, 501495, 749455, 946951, 805983, 804086, 807859, 808242, 946986, 798482, 804694, 807914, 947019, 947020, 809723, 809228, 809273, 807999, 809843, 805892, 812623, 749585, 947075, 798452, 947081, 803849, 750170, 806604, 947103, 947107, 809868, 809867, 806056, 808190, 799275, 799260, 806722, 947146, 841031, 947165, 863724, 947172, 947177, 750273, 750293, 806080, 947183, 806100, 809875, 809253, 799396, 809264, 750313, 805899, 805871, 805817, 805351, 750479, 812718, 808156, 809714, 799475, 809803, 809802, 750499, 806123, 805765, 750542, 806284, 947301, 896442, 947314, 861629, 804366, 947341, 804393, 947354, 746693, 947371, 809080, 947389, 947401, 800915, 752856, 947412, 1047614, 1047615, 1047622, 1047610, 519124]</t>
  </si>
  <si>
    <t>0.003965714076530056</t>
  </si>
  <si>
    <t>[519114, 806772, 946786, 806545, 748848, 748637, 748878, 806509, 804961, 946819, 806610, 946820, 812782, 806519, 807553, 798427, 749149, 804753, 806031, 806334, 502028, 946921, 501495, 749455, 946951, 805983, 804086, 807859, 808242, 946986, 798482, 804694, 807914, 947019, 947020, 809723, 809228, 809273, 807999, 809843, 805892, 812623, 749585, 947075, 798452, 947081, 803849, 750170, 806604, 947103, 947107, 809868, 809867, 806056, 808190, 799275, 799260, 806722, 947146, 841031, 947165, 863724, 947172, 947177, 750273, 750293, 806080, 947183, 806100, 809875, 809253, 799396, 809264, 750313, 805899, 805871, 805817, 805351, 750479, 812718, 808156, 809714, 799475, 809803, 809802, 750499, 806123, 805765, 750542, 806284, 947301, 896442, 947314, 861629, 804366, 947341, 804393, 947354, 746693, 947371, 809080, 947389, 947401, 800915, 752856, 947412, 1047614, 1047615, 1047622, 1047610]</t>
  </si>
  <si>
    <t>[0.021, 0.031, 0.042, 0.0, 0.024, 0.015, 0.003, 0.019, 0.009, 0.029, 0.015, 0.004, 0.012, 0.004, 0.012, 0.009, 0.009, 0.002, 0.013, 0.007, 0.003, 0.005, 0.006, 0.003, 0.009, 0.009, 0.007, 0.006, 0.006, 0.026, 0.001, 0.014, 0.012, 0.007, 0.022, 0.011, 0.01, 0.01, 0.003, 0.008, 0.011, 0.005, 0.004, 0.027, 0.025, 0.014, 0.003, 0.028, 0.043, 0.03, 0.033, 0.054, 0.066, 0.035, 0.006, 0.031, 0.013, 0.031, 0.022, 0.022, 0.021, 0.022, 0.023, 0.022, 0.004, 0.024, 0.006, 0.003, 0.004, 0.015, 0.01, 0.03, 0.048, 0.003, 0.022, 0.029, 0.012, 0.012, 0.017, 0.047, 0.045, 0.044, 0.02, 0.002, 0.061, 0.003, 0.047, 0.034, 0.01, 0.027, 0.017, 0.022, 0.02, 0.013, 0.005, 0.011, 0.014, 0.011, 0.052, 0.045, 0.021, 0.003, 0.006, 0.007, 0.037, 0.035, 0.008, 0.012, 0.014, 0.055]</t>
  </si>
  <si>
    <t>11404.229918418305</t>
  </si>
  <si>
    <t>[0.012, 0.006, -0.004, -0.001, -0.014, -0.015, -0.014, -0.017, -0.018, -0.024]</t>
  </si>
  <si>
    <t>LINESTRING (9.001501071120364 59.61099611820285, 9.000063492747886 59.61116994598945, 8.999958903134987 59.61117950218396, 8.999068045241138 59.611234192436385, 8.998970033310398 59.61123618060127, 8.998916358090145 59.61123745081501, 8.998858751279185 59.61123874743458, 8.998766808901912 59.61123879036639, 8.998750132383286 59.61123864531093, 8.997981413840039 59.61121648210935, 8.996353110130045 59.611128284053976)</t>
  </si>
  <si>
    <t>[513002, 513010, 513018, 513026, 513034, 513042, 513050, 513058, 513066, 513074]</t>
  </si>
  <si>
    <t>[519125, 519133, 519142, 519154, 519165, 519173, 519184, 519194, 519205, 519215]</t>
  </si>
  <si>
    <t>[519124, 519125, 519133, 519142, 519154, 519165, 519173, 519184, 519194, 519205]</t>
  </si>
  <si>
    <t>[0.012, 0.006, 0.004, 0.001, 0.014, 0.015, 0.014, 0.017, 0.018, 0.024]</t>
  </si>
  <si>
    <t>295.13604646889195</t>
  </si>
  <si>
    <t>[0.024, -0.017, -0.022, -0.026, -0.002, -0.023, -0.021, -0.024, -0.032, -0.028]</t>
  </si>
  <si>
    <t>LINESTRING (9.001501071120364 59.61099611820285, 8.99982301476357 59.61111512012666, 8.9989851110955 59.61115450483547, 8.998936341235902 59.611154775915665, 8.998893180263078 59.61115478248396, 8.998818153331943 59.61115502648259, 8.998770543349154 59.61115517071982, 8.998687515689477 59.611155938384165, 8.997950230645042 59.611148374271295, 8.997813846992322 59.61114326765274, 8.996353110130045 59.611128284053976)</t>
  </si>
  <si>
    <t>[899748, 899749, 899756, 899764, 899778, 899786, 899796, 899803, 899811, 899818]</t>
  </si>
  <si>
    <t>[874236, 502107, 874242, 874245, 874260, 873120, 874281, 874292, 874300, 519215]</t>
  </si>
  <si>
    <t>[519124, 874236, 502107, 874242, 874245, 874260, 873120, 874281, 874292, 874300]</t>
  </si>
  <si>
    <t>[0.024, 0.017, 0.022, 0.026, 0.002, 0.023, 0.021, 0.024, 0.032, 0.028]</t>
  </si>
  <si>
    <t>292.34578962953844</t>
  </si>
  <si>
    <t>19.04205871178455</t>
  </si>
  <si>
    <t>[-0.036, 0.003, -0.057, -0.033, -0.041, 0.02, -0.0]</t>
  </si>
  <si>
    <t>LINESTRING (10.836719645917666 59.84759820542869, 10.836755629546017 59.84766767848446, 10.836497505707655 59.84895963796502, 10.836834344977945 59.849252630485616, 10.836635509493926 59.84991348408776, 10.836548285116333 59.85003929657918, 10.836298501973765 59.85017884230483, 10.836273331425089 59.85020861536045)</t>
  </si>
  <si>
    <t>[755104, 513032, 513040, 513048, 513056, 513064, 513072]</t>
  </si>
  <si>
    <t>[519161, 519162, 519170, 519182, 519191, 519203, 519212]</t>
  </si>
  <si>
    <t>[734738, 519161, 519162, 519170, 519182, 519191, 519203]</t>
  </si>
  <si>
    <t>[0.036, 0.003, 0.057, 0.033, 0.041, 0.02, 0.0]</t>
  </si>
  <si>
    <t>308.26395748414205</t>
  </si>
  <si>
    <t>[-0.06, -0.028, -0.023, -0.029, 0.052, 0.047, 0.049, 0.065, 0.078, 0.01, 0.064, -0.003, 0.045, -0.027, -0.028, 0.01, -0.006, -0.022, -0.022, -0.01, -0.01, -0.011, -0.012, -0.011, -0.011, -0.011, -0.013, -0.01, -0.02, -0.031, -0.001, 0.017, 0.018, 0.023]</t>
  </si>
  <si>
    <t>[0, 0, 1, 1, 0, 0, 0, 0, 0, 0, 0, 0, 0, 0, 0, 0, 0, 0, 0, 0, 0, 1, 0, 0, 0, 0, 0, 0, 1, 0, 0, 0, 0, 0]</t>
  </si>
  <si>
    <t>LINESTRING (8.996353110130045 59.611128284053976, 8.996273200046794 59.61112404319788, 8.995760288589146 59.61109578051103, 8.995197504324306 59.61106700541785, 8.995120356693553 59.61106301692112, 8.992479389717312 59.61088123751591, 8.99234274364165 59.610868378559, 8.991320508337695 59.61079397670947, 8.990731629590243 59.610796531148125, 8.989488707170652 59.610868693612545, 8.971217782289 59.60955268501286, 8.971123695134018 59.609596693989474, 8.968280678544078 59.61056344041575, 8.96768835341308 59.61060445879461, 8.966808575380766 59.61058101435878, 8.96418960973963 59.6103797638942, 8.962751859416697 59.61028646998691, 8.960643156232454 59.61025788354157, 8.9601693646459 59.61026029158347, 8.959347356756702 59.61026202411545, 8.959191860887918 59.61026203460913, 8.959041412926696 59.61026223341199, 8.958382439560168 59.610269250658995, 8.957262482428245 59.61046317737446, 8.9572042840795 59.610478096810425, 8.955942556857357 59.61082026411119, 8.955618082060948 59.61091930407084, 8.955536272033902 59.610946123206226, 8.955434882226474 59.61097943758406, 8.955099866735523 59.61109809518261, 8.955045133341565 59.61111664979192, 8.952152046180803 59.612125154339026, 8.950998593445822 59.61252643494333, 8.950524741425847 59.612690308992065, 8.950141475216602 59.61282139692566)</t>
  </si>
  <si>
    <t>[988010, 988018, 988041, 988048, 988049, 988056, 988064, 988072, 988090, 988097, 988098, 988105, 988106, 988118, 988133, 988148, 988149, 988150, 988157, 988165, 988169, 988171, 988179, 988187, 988189, 988190, 988192, 988199, 988206, 988214, 988222, 988230, 988238, 988246]</t>
  </si>
  <si>
    <t>[746899, 947420, 947434, 947440, 800830, 800794, 498869, 947460, 754906, 755247, 947484, 947486, 752130, 754916, 800779, 752833, 947517, 752128, 800698, 765206, 947530, 947532, 746839, 746841, 751987, 754953, 947547, 947553, 947561, 947570, 752823, 947583, 746829, 519223]</t>
  </si>
  <si>
    <t>0.0075615886585154194</t>
  </si>
  <si>
    <t>[519215, 746899, 947420, 947434, 947440, 800830, 800794, 498869, 947460, 754906, 755247, 947484, 947486, 752130, 754916, 800779, 752833, 947517, 752128, 800698, 765206, 947530, 947532, 746839, 746841, 751987, 754953, 947547, 947553, 947561, 947570, 752823, 947583, 746829]</t>
  </si>
  <si>
    <t>[0.06, 0.028, 0.023, 0.029, 0.052, 0.047, 0.049, 0.065, 0.078, 0.01, 0.064, 0.003, 0.045, 0.027, 0.028, 0.01, 0.006, 0.022, 0.022, 0.01, 0.01, 0.011, 0.012, 0.011, 0.011, 0.011, 0.013, 0.01, 0.02, 0.031, 0.001, 0.017, 0.018, 0.023]</t>
  </si>
  <si>
    <t>2808.653450443829</t>
  </si>
  <si>
    <t>[0.01, -0.007, -0.007, -0.013, -0.026, -0.025, -0.02, -0.023, -0.028, -0.025, -0.021, -0.02, 0.008, 0.007, -0.007, -0.006, -0.003, -0.002]</t>
  </si>
  <si>
    <t>LINESTRING (8.950141475216602 59.61282139692566, 8.949058830776247 59.61320323296025, 8.94866420932035 59.61332706447128, 8.948615051423117 59.613343533806415, 8.94824658892296 59.61347029613642, 8.948068443835087 59.613532491265964, 8.947923607235689 59.61358470412755, 8.947857264902309 59.613607274209606, 8.94779615056526 59.613628249643774, 8.9477857500608 59.613631819634385, 8.94770308270407 59.61366035938169, 8.947435144341071 59.61375265409414, 8.947036873844182 59.61388786461871, 8.946576761066643 59.61404608621068, 8.945590745161532 59.61438450723102, 8.945350482788987 59.61446636629182, 8.944993753130625 59.61458902684813, 8.94484339821486 59.61464172808867, 8.944586620320127 59.61470657608135)</t>
  </si>
  <si>
    <t>[513082, 513098, 513106, 513114, 513122, 513130, 513138, 513146, 513154, 513162, 513170, 513178, 513186, 513194, 513202, 513210, 513218, 513226]</t>
  </si>
  <si>
    <t>[519224, 519240, 519248, 519259, 519269, 519280, 519292, 519303, 519313, 519323, 519331, 519339, 519350, 519359, 519371, 519378, 519390, 519399]</t>
  </si>
  <si>
    <t>[519223, 519224, 519240, 519248, 519259, 519269, 519280, 519292, 519303, 519313, 519323, 519331, 519339, 519350, 519359, 519371, 519378, 519390]</t>
  </si>
  <si>
    <t>[0.01, 0.007, 0.007, 0.013, 0.026, 0.025, 0.02, 0.023, 0.028, 0.025, 0.021, 0.02, 0.008, 0.007, 0.007, 0.006, 0.003, 0.002]</t>
  </si>
  <si>
    <t>378.02172340281055</t>
  </si>
  <si>
    <t>[-0.004, 0.003, 0.002, 0.0, 0.002, -0.002, 0.002, -0.001, -0.001, -0.002, -0.003, -0.004, -0.004, -0.006, 0.0, 0.001, 0.029, -0.048]</t>
  </si>
  <si>
    <t>LINESTRING (8.950141475216602 59.61282139692566, 8.948995663521929 59.6131540594823, 8.948564947890823 59.613293659809926, 8.948022627008012 59.61347787227253, 8.947900593676339 59.61352347008682, 8.94783568474487 59.61354814158152, 8.94776278111649 59.61357398229653, 8.94773637508904 59.6135831316247, 8.947649517993748 59.613613224023204, 8.947378081997527 59.61370284428015, 8.947263521756865 59.613739225205315, 8.946974330258172 59.61383849390536, 8.946882714996024 59.61386993206412, 8.94651636484603 59.61400244257102, 8.945550656363968 59.61435752632424, 8.945316369888719 59.61444122913603, 8.944964400962661 59.61456360607575, 8.944812000972428 59.61461552812103, 8.944586620320127 59.61470657608135)</t>
  </si>
  <si>
    <t>[899845, 899855, 899863, 899871, 899879, 899887, 899895, 899903, 899911, 899919, 899934, 899947, 899955, 899965, 899973, 899981, 899985, 899993]</t>
  </si>
  <si>
    <t>[874332, 874339, 874344, 501811, 874364, 520427, 874378, 874389, 874395, 874405, 874425, 874439, 874450, 501615, 874471, 873043, 874485, 519399]</t>
  </si>
  <si>
    <t>[519223, 874332, 874339, 874344, 501811, 874364, 520427, 874378, 874389, 874395, 874405, 874425, 874439, 874450, 501615, 874471, 873043, 874485]</t>
  </si>
  <si>
    <t>[0.004, 0.003, 0.002, 0.0, 0.002, 0.002, 0.002, 0.001, 0.001, 0.002, 0.003, 0.004, 0.004, 0.006, 0.0, 0.001, 0.029, 0.048]</t>
  </si>
  <si>
    <t>378.2074076956526</t>
  </si>
  <si>
    <t>[-0.087, -0.076, -0.031, -0.011, 0.011, 0.003, -0.009]</t>
  </si>
  <si>
    <t>LINESTRING (10.83327754501937 59.85041310930526, 10.83337464937229 59.85043686681617, 10.834140865893868 59.85068323267863, 10.835494899555078 59.84993130482373, 10.835628909158707 59.84974583444987, 10.835812319999617 59.849437193163006, 10.836442967209415 59.84798146122069, 10.836510008763794 59.84790266328597)</t>
  </si>
  <si>
    <t>[513104, 513112, 513120, 513128, 513136, 513144, 755112]</t>
  </si>
  <si>
    <t>[519246, 519256, 519266, 519277, 519289, 519300, 735949]</t>
  </si>
  <si>
    <t>[519245, 519246, 519256, 519266, 519277, 519289, 519300]</t>
  </si>
  <si>
    <t>[0.087, 0.076, 0.031, 0.011, 0.011, 0.003, 0.009]</t>
  </si>
  <si>
    <t>433.1990631654153</t>
  </si>
  <si>
    <t>[-0.101, -0.066, -0.031, -0.07]</t>
  </si>
  <si>
    <t>LINESTRING (10.83327754501937 59.85041310930526, 10.833725810627355 59.85018228607466, 10.83454774899647 59.84985269125596, 10.835508174264254 59.84984893388648, 10.836091222351659 59.850064382356074)</t>
  </si>
  <si>
    <t>[696576, 696584, 696592, 696600]</t>
  </si>
  <si>
    <t>[691183, 691194, 691200, 519309]</t>
  </si>
  <si>
    <t>[519245, 691183, 691194, 691200]</t>
  </si>
  <si>
    <t>[0.101, 0.066, 0.031, 0.07]</t>
  </si>
  <si>
    <t>191.20247878118437</t>
  </si>
  <si>
    <t>[0.088, 0.044, 0.009, 0.068, 0.073]</t>
  </si>
  <si>
    <t>LINESTRING (10.83389088866194 59.852737007186384, 10.83387204896803 59.85265908536303, 10.833926392129825 59.85249626734809, 10.83425034993548 59.85079369787205, 10.833356610380218 59.850452479372485, 10.83327754501937 59.85041310930526)</t>
  </si>
  <si>
    <t>[755128, 513224, 513232, 513240, 513248]</t>
  </si>
  <si>
    <t>[519395, 519396, 519403, 519415, 519245]</t>
  </si>
  <si>
    <t>0.027256228611447133</t>
  </si>
  <si>
    <t>[735957, 519395, 519396, 519403, 519415]</t>
  </si>
  <si>
    <t>298.27908064572904</t>
  </si>
  <si>
    <t>[-0.111, -0.063, 0.035, 0.036, 0.063, -0.019, -0.004, 0.023, 0.039, 0.082]</t>
  </si>
  <si>
    <t>LINESTRING (10.836091222351659 59.850064382356074, 10.83618978453632 59.85007649531712, 10.836489892393137 59.850020363934306, 10.836583340735457 59.849901941582864, 10.836782712175081 59.849265381373044, 10.836370237034544 59.84920556391946, 10.835937337123651 59.8498374244151, 10.83580588032239 59.85003106805935, 10.835498012033 59.8504205275109, 10.835455798074134 59.850472238669184, 10.835360056511506 59.85053753929847)</t>
  </si>
  <si>
    <t>[513152, 513160, 513168, 513176, 513184, 513192, 513200, 513208, 513216, 755120]</t>
  </si>
  <si>
    <t>[519310, 519321, 519328, 519337, 519347, 519357, 519368, 519375, 519387, 734760]</t>
  </si>
  <si>
    <t>0.012131310532260227</t>
  </si>
  <si>
    <t>[519309, 519310, 519321, 519328, 519337, 519347, 519357, 519368, 519375, 519387]</t>
  </si>
  <si>
    <t>[0.111, 0.063, 0.035, 0.036, 0.063, 0.019, 0.004, 0.023, 0.039, 0.082]</t>
  </si>
  <si>
    <t>299.4799393182389</t>
  </si>
  <si>
    <t>2386.0</t>
  </si>
  <si>
    <t>LINESTRING (8.944586620320127 59.61470657608135, 8.78347443921047 59.61110597330354)</t>
  </si>
  <si>
    <t>14157.361994951349</t>
  </si>
  <si>
    <t>[-0.012, -0.004, 0.036, -0.002, -0.055, -0.015, -0.058, -0.073, 0.009, 0.003, -0.004, -0.006, -0.029, -0.008, -0.011]</t>
  </si>
  <si>
    <t>LINESTRING (8.642039110010062 59.49067329676153, 8.642090999560464 59.49063249759462, 8.642133615186811 59.490597199251596, 8.642341430932202 59.490486111146076, 8.642849141559532 59.49021519789774, 8.642909602276951 59.49018293212072, 8.642957943267389 59.49015764053797, 8.643114946138997 59.490072244681684, 8.644006321348071 59.48945423798032, 8.644045522318937 59.48941880849244, 8.644099898772877 59.48936555635882, 8.64413410199456 59.48932901826304, 8.644211167794316 59.48924224180159, 8.644627690907432 59.48813574855219, 8.644620419967048 59.488063995758154, 8.644628136597387 59.48789431248126)</t>
  </si>
  <si>
    <t>[513234, 513242, 513250, 513258, 513266, 513274, 513282, 513283, 513291, 513299, 513307, 513315, 513323, 513331, 513339]</t>
  </si>
  <si>
    <t>[519406, 501814, 519426, 519437, 519446, 519454, 519465, 519466, 519476, 519484, 519494, 519503, 519515, 519526, 519536]</t>
  </si>
  <si>
    <t>[519405, 519406, 501814, 519426, 519437, 519446, 519454, 519465, 519466, 519476, 519484, 519494, 519503, 519515, 519526]</t>
  </si>
  <si>
    <t>[0.012, 0.004, 0.036, 0.002, 0.055, 0.015, 0.058, 0.073, 0.009, 0.003, 0.004, 0.006, 0.029, 0.008, 0.011]</t>
  </si>
  <si>
    <t>356.34869385773135</t>
  </si>
  <si>
    <t>[0.704, 0.093, 0.061, 0.051, 0.051, 0.035, -0.026, -0.064, -0.06, -0.069, -0.102, -0.075, -0.09, -0.02, -0.151]</t>
  </si>
  <si>
    <t>LINESTRING (8.642039110010062 59.49067329676153, 8.642117775091855 59.49064452306546, 8.64218589710125 59.49062046765446, 8.642400043180768 59.49051806496769, 8.6429240607899 59.49026866348656, 8.643036333126902 59.490215238533104, 8.643196234343378 59.4901350369512, 8.644114284595648 59.48951870087559, 8.64415677499128 59.48948198178242, 8.644212464787124 59.489425992545655, 8.644260749735846 59.489376207953164, 8.64427439866287 59.489360562529406, 8.644346031519818 59.48928314925499, 8.644705742836367 59.488135054259914, 8.644696252912814 59.488062202420316, 8.644628136597387 59.48789431248126)</t>
  </si>
  <si>
    <t>[900001, 900018, 900026, 900040, 900048, 900056, 900064, 900072, 900080, 900088, 900096, 900104, 900112, 900120, 900128]</t>
  </si>
  <si>
    <t>[874501, 501813, 874527, 874542, 873079, 874556, 874565, 874572, 874584, 874590, 874596, 874603, 874609, 874619, 519536]</t>
  </si>
  <si>
    <t>[519405, 874501, 501813, 874527, 874542, 873079, 874556, 874565, 874572, 874584, 874590, 874596, 874603, 874609, 874619]</t>
  </si>
  <si>
    <t>[0.704, 0.093, 0.061, 0.051, 0.051, 0.035, 0.026, 0.064, 0.06, 0.069, 0.102, 0.075, 0.09, 0.02, 0.151]</t>
  </si>
  <si>
    <t>363.15940690915255</t>
  </si>
  <si>
    <t>2486.0</t>
  </si>
  <si>
    <t>LINESTRING (8.78347443921047 59.61110597330354, 8.642039110010062 59.49067329676153)</t>
  </si>
  <si>
    <t>0.272</t>
  </si>
  <si>
    <t>5.3235725786824535</t>
  </si>
  <si>
    <t>19.673351294365183</t>
  </si>
  <si>
    <t>[-0.038, -0.043, 0.027, 0.044, 0.03, 0.058, 0.116]</t>
  </si>
  <si>
    <t>LINESTRING (10.830881487447604 59.86092167447787, 10.830912997482319 59.86101258623112, 10.830931164614727 59.86150948035334, 10.830928027422592 59.86267554859079, 10.831015290555692 59.86326232506134, 10.831072300273638 59.86337874413974, 10.831278733513935 59.86358191849756, 10.831332822635956 59.8636123872392)</t>
  </si>
  <si>
    <t>[755136, 513256, 513264, 513272, 513280, 513288, 513296]</t>
  </si>
  <si>
    <t>[519434, 519435, 519444, 519452, 519462, 519472, 519480]</t>
  </si>
  <si>
    <t>0.0198065344056929</t>
  </si>
  <si>
    <t>[734783, 519434, 519435, 519444, 519452, 519462, 519472]</t>
  </si>
  <si>
    <t>[0.038, 0.043, 0.027, 0.044, 0.03, 0.058, 0.116]</t>
  </si>
  <si>
    <t>304.9945492069794</t>
  </si>
  <si>
    <t>[-0.059, -0.026]</t>
  </si>
  <si>
    <t>3832.0</t>
  </si>
  <si>
    <t>LINESTRING (10.831610095272758 59.863449218716596, 10.831613385579297 59.862584884779736, 10.830289982124137 59.8624458215829)</t>
  </si>
  <si>
    <t>[513304, 513312]</t>
  </si>
  <si>
    <t>[519490, 519500]</t>
  </si>
  <si>
    <t>[519489, 519490]</t>
  </si>
  <si>
    <t>[0.059, 0.026]</t>
  </si>
  <si>
    <t>176.76153284215155</t>
  </si>
  <si>
    <t>[6.393, -1.818]</t>
  </si>
  <si>
    <t>LINESTRING (10.831422233562504 59.86359625901062, 10.83146710347264 59.86356149153194, 10.831610095272758 59.863449218716596)</t>
  </si>
  <si>
    <t>[2027333, 2027344]</t>
  </si>
  <si>
    <t>[1769915, 519489]</t>
  </si>
  <si>
    <t>0.12924379274997563</t>
  </si>
  <si>
    <t>[717584, 1769915]</t>
  </si>
  <si>
    <t>[6.393, 1.818]</t>
  </si>
  <si>
    <t>19.47717316087796</t>
  </si>
  <si>
    <t>[5.883, -1.802]</t>
  </si>
  <si>
    <t>LINESTRING (10.831593748766712 59.863622870351094, 10.831601455834752 59.863579920617006, 10.831610095272758 59.863449218716596)</t>
  </si>
  <si>
    <t>[2027345, 2027352]</t>
  </si>
  <si>
    <t>[1769925, 519489]</t>
  </si>
  <si>
    <t>0.10376851213414531</t>
  </si>
  <si>
    <t>[717590, 1769925]</t>
  </si>
  <si>
    <t>[5.883, 1.802]</t>
  </si>
  <si>
    <t>19.379192610300553</t>
  </si>
  <si>
    <t>[-0.003, 0.088, -0.699]</t>
  </si>
  <si>
    <t>LINESTRING (10.830289982124137 59.8624458215829, 10.829889953220453 59.86246846304641, 10.829408537947765 59.8625176718008, 10.8292870974484 59.862530903566906)</t>
  </si>
  <si>
    <t>[755144, 755152, 755160]</t>
  </si>
  <si>
    <t>[735965, 735973, 717549]</t>
  </si>
  <si>
    <t>[519500, 735965, 735973]</t>
  </si>
  <si>
    <t>[0.003, 0.088, 0.699]</t>
  </si>
  <si>
    <t>57.05917136524512</t>
  </si>
  <si>
    <t>[-0.159, 0.005, 0.008]</t>
  </si>
  <si>
    <t>LINESTRING (10.830289982124137 59.8624458215829, 10.829875070579963 59.86243502007416, 10.829386608030772 59.8624216687186, 10.829254499801038 59.8624201760602)</t>
  </si>
  <si>
    <t>[780402, 780410, 780418]</t>
  </si>
  <si>
    <t>[760523, 760531, 717569]</t>
  </si>
  <si>
    <t>[519500, 760523, 760531]</t>
  </si>
  <si>
    <t>[0.159, 0.005, 0.008]</t>
  </si>
  <si>
    <t>58.108585624259184</t>
  </si>
  <si>
    <t>0.107</t>
  </si>
  <si>
    <t>10.04553484004958</t>
  </si>
  <si>
    <t>[0.062, -0.03, -0.019, -0.027, 0.041, 0.041]</t>
  </si>
  <si>
    <t>LINESTRING (10.829205698435759 59.86256698431665, 10.829221772612675 59.862624139208, 10.829867083375994 59.86302403699296, 10.83055618023839 59.862675447557166, 10.830559442720128 59.86150848389961, 10.830662700163415 59.86101274233992, 10.830699864532589 59.86091591585598)</t>
  </si>
  <si>
    <t>[513320, 513328, 513336, 513344, 513352, 755168]</t>
  </si>
  <si>
    <t>[519511, 519522, 519533, 519541, 519551, 735985]</t>
  </si>
  <si>
    <t>[519510, 519511, 519522, 519533, 519541, 519551]</t>
  </si>
  <si>
    <t>[0.062, 0.03, 0.019, 0.027, 0.041, 0.041]</t>
  </si>
  <si>
    <t>333.43605666157464</t>
  </si>
  <si>
    <t>1.081</t>
  </si>
  <si>
    <t>6.081118318064369</t>
  </si>
  <si>
    <t>[-0.009, 0.005, 0.008]</t>
  </si>
  <si>
    <t>LINESTRING (8.644628136597387 59.48789431248126, 8.64269961585745 59.48510004947918, 8.641151318143761 59.48378493958149, 8.638421066037395 59.48194639626357)</t>
  </si>
  <si>
    <t>[989739, 989747, 989755]</t>
  </si>
  <si>
    <t>[948705, 948712, 519545]</t>
  </si>
  <si>
    <t>[519536, 948705, 948712]</t>
  </si>
  <si>
    <t>[0.009, 0.005, 0.008]</t>
  </si>
  <si>
    <t>759.711280090603</t>
  </si>
  <si>
    <t>[0.009, -0.0, -0.001, -0.002, 0.0, -0.004, -0.009, -0.008, -0.006, -0.003, 0.001, 0.003, 0.005]</t>
  </si>
  <si>
    <t>[0, 0, 0, 0, 0, 0, 0, 0, 0, 0, 0, 1, 0]</t>
  </si>
  <si>
    <t>LINESTRING (8.638421066037395 59.48194639626357, 8.637177841399186 59.48115020161782, 8.636203375837518 59.480637933860514, 8.636047980260383 59.480558877136964, 8.635996564454068 59.480533936638835, 8.635295998784185 59.480190662406635, 8.635223993044791 59.48015381658223, 8.635163607135857 59.48012294294635, 8.635119766602706 59.480101209579175, 8.63422587844128 59.479656813873476, 8.633678812085762 59.47938439001092, 8.63354519422359 59.4793178517092, 8.633056885130141 59.479072400774164, 8.632771898426105 59.47890520954082)</t>
  </si>
  <si>
    <t>[513347, 513355, 513363, 513371, 513379, 513387, 513395, 513403, 513411, 513419, 513427, 513435, 513443]</t>
  </si>
  <si>
    <t>[519546, 519555, 519565, 519573, 501877, 519592, 519601, 519612, 519620, 519632, 519639, 519648, 519657]</t>
  </si>
  <si>
    <t>0.0012879134017814062</t>
  </si>
  <si>
    <t>[519545, 519546, 519555, 519565, 519573, 501877, 519592, 519601, 519612, 519620, 519632, 519639, 519648]</t>
  </si>
  <si>
    <t>[0.009, 0.0, 0.001, 0.002, 0.0, 0.004, 0.009, 0.008, 0.006, 0.003, 0.001, 0.003, 0.005]</t>
  </si>
  <si>
    <t>467.55276223060406</t>
  </si>
  <si>
    <t>[-0.002, 0.007, 0.006, 0.005, 0.002, 0.015, 0.023, 0.031, 0.027, -0.138]</t>
  </si>
  <si>
    <t>LINESTRING (8.638421066037395 59.48194639626357, 8.637293282341725 59.48111841884408, 8.63633330468702 59.480606121499406, 8.636120338652566 59.48050386826324, 8.635321627830754 59.480101845144475, 8.635217467873494 59.48004944863083, 8.634311125196609 59.47961128100421, 8.633602633473172 59.479277156412394, 8.633552071657496 59.47925333742777, 8.633120577089645 59.479053898529216, 8.632771898426105 59.47890520954082)</t>
  </si>
  <si>
    <t>[900136, 900144, 900152, 900165, 900173, 900181, 900189, 900197, 900205, 900216]</t>
  </si>
  <si>
    <t>[874637, 874645, 873062, 501890, 874674, 874682, 874688, 874695, 874705, 519657]</t>
  </si>
  <si>
    <t>0.0011515344007881655</t>
  </si>
  <si>
    <t>[519545, 874637, 874645, 873062, 501890, 874674, 874682, 874688, 874695, 874705]</t>
  </si>
  <si>
    <t>[0.002, 0.007, 0.006, 0.005, 0.002, 0.015, 0.023, 0.031, 0.027, 0.138]</t>
  </si>
  <si>
    <t>468.7022335561599</t>
  </si>
  <si>
    <t>[-0.132, 0.034, 0.069, 0.032, -0.004]</t>
  </si>
  <si>
    <t>LINESTRING (10.831306635533439 59.8637681130244, 10.83120919968515 59.863798480706194, 10.83100013528749 59.863939489520135, 10.830670664255672 59.865356147212886, 10.830337448646649 59.866587807299716, 10.830239066783383 59.86667370151609)</t>
  </si>
  <si>
    <t>[513360, 513368, 513376, 513384, 755176]</t>
  </si>
  <si>
    <t>[519562, 519570, 519579, 519588, 734819]</t>
  </si>
  <si>
    <t>0.04534987921961005</t>
  </si>
  <si>
    <t>[519561, 519562, 519570, 519579, 519588]</t>
  </si>
  <si>
    <t>[0.132, 0.034, 0.069, 0.032, 0.004]</t>
  </si>
  <si>
    <t>335.12722956928815</t>
  </si>
  <si>
    <t>[0.055, 0.04]</t>
  </si>
  <si>
    <t>LINESTRING (10.831593748766712 59.863622870351094, 10.831645643243817 59.86367470456435, 10.831306635533439 59.8637681130244)</t>
  </si>
  <si>
    <t>[728844, 728852]</t>
  </si>
  <si>
    <t>[702722, 519561]</t>
  </si>
  <si>
    <t>0.042767264900462516</t>
  </si>
  <si>
    <t>[717590, 702722]</t>
  </si>
  <si>
    <t>35.05588950118888</t>
  </si>
  <si>
    <t>[-1.308, -0.18, -0.081, -0.004]</t>
  </si>
  <si>
    <t>LINESTRING (10.829033195054137 59.86255971456706, 10.828971576816041 59.86252359322663, 10.82895672227041 59.86247097262069, 10.829026458777353 59.862413842156926, 10.829254499801038 59.8624201760602)</t>
  </si>
  <si>
    <t>[728756, 728764, 728772, 728780]</t>
  </si>
  <si>
    <t>[523194, 717561, 717565, 717569]</t>
  </si>
  <si>
    <t>[519636, 523194, 717561, 717565]</t>
  </si>
  <si>
    <t>[1.308, 0.18, 0.081, 0.004]</t>
  </si>
  <si>
    <t>32.4044145222518</t>
  </si>
  <si>
    <t>[0.008, -0.055, -0.073, -0.059, 0.042, -0.07]</t>
  </si>
  <si>
    <t>LINESTRING (10.830557102244944 59.86474741627193, 10.830497833802085 59.86465257635684, 10.830506057942625 59.864458625667595, 10.830424429347785 59.86336989189058, 10.829832415995874 59.86307238962519, 10.829063835297523 59.86262902016569, 10.829033195054137 59.86255971456706)</t>
  </si>
  <si>
    <t>[755184, 513392, 513400, 513408, 513416, 513424]</t>
  </si>
  <si>
    <t>[519596, 519597, 519608, 519616, 519627, 519636]</t>
  </si>
  <si>
    <t>[735996, 519596, 519597, 519608, 519616, 519627]</t>
  </si>
  <si>
    <t>[0.008, 0.055, 0.073, 0.059, 0.042, 0.07]</t>
  </si>
  <si>
    <t>282.2929104711497</t>
  </si>
  <si>
    <t>[0.043, 0.006, 0.001, 0.024, 0.053, 0.049, 0.022, 0.007, 0.029, -0.007]</t>
  </si>
  <si>
    <t>LINESTRING (8.632771898426105 59.47890520954082, 8.630492094099179 59.477828394374875, 8.630424825674307 59.477802504721716, 8.630355358204193 59.47777682269175, 8.627678578326547 59.47708010247196, 8.626050238483154 59.47686322393731, 8.623995811442253 59.476548176846144, 8.606990510164051 59.473023908747486, 8.596891698005061 59.4714050004035, 8.585254627026151 59.46724826862069, 8.582706818315135 59.465508137817785)</t>
  </si>
  <si>
    <t>[989763, 989771, 989779, 989787, 989795, 989803, 989811, 989819, 989827, 989835]</t>
  </si>
  <si>
    <t>[844716, 948727, 866285, 742884, 742870, 942648, 753793, 382785, 928340, 519667]</t>
  </si>
  <si>
    <t>0.021935859477312154</t>
  </si>
  <si>
    <t>[519657, 844716, 948727, 866285, 742884, 742870, 942648, 753793, 382785, 928340]</t>
  </si>
  <si>
    <t>[0.043, 0.006, 0.001, 0.024, 0.053, 0.049, 0.022, 0.007, 0.029, 0.007]</t>
  </si>
  <si>
    <t>3281.453363606146</t>
  </si>
  <si>
    <t>[-0.061, 0.029, -0.006, 0.002, -0.032, -0.011, -0.032, -0.025, 0.032, 0.04, 0.034, 0.024, 0.024, 0.02, 0.039, 0.05, 0.04]</t>
  </si>
  <si>
    <t>[0, 0, 0, 1, 1, 0, 0, 0, 0, 0, 0, 0, 0, 0, 0, 0, 0]</t>
  </si>
  <si>
    <t>LINESTRING (8.582706818315135 59.465508137817785, 8.581172553936115 59.46487298352266, 8.580958018319471 59.46478457853786, 8.580917689475358 59.4647677272352, 8.580599183230916 59.464633570118, 8.58056103828611 59.46461547528542, 8.580450496265307 59.464562868950935, 8.58041742256753 59.464547140956455, 8.58032892927733 59.46450440430636, 8.580266597142796 59.46447484784496, 8.580221700306597 59.464453177176, 8.579464336619138 59.46403441425458, 8.579265428747531 59.46390888260017, 8.579179821416126 59.46385286628417, 8.578990621006202 59.463723858756715, 8.578883459831514 59.46365269114118, 8.578642565905739 59.46347723016038, 8.57817084814924 59.46311603053293)</t>
  </si>
  <si>
    <t>[513451, 513459, 513467, 513475, 513483, 513491, 513499, 513507, 513515, 513523, 513531, 513539, 513547, 513555, 513563, 513571, 513579]</t>
  </si>
  <si>
    <t>[519668, 519680, 519688, 519696, 519707, 519719, 501818, 519737, 519746, 519753, 519763, 519772, 519780, 519790, 519799, 519808, 519818]</t>
  </si>
  <si>
    <t>0.00039560011223334574</t>
  </si>
  <si>
    <t>[519667, 519668, 519680, 519688, 519696, 519707, 519719, 501818, 519737, 519746, 519753, 519763, 519772, 519780, 519790, 519799, 519808]</t>
  </si>
  <si>
    <t>[0.061, 0.029, 0.006, 0.002, 0.032, 0.011, 0.032, 0.025, 0.032, 0.04, 0.034, 0.024, 0.024, 0.02, 0.039, 0.05, 0.04]</t>
  </si>
  <si>
    <t>373.45945126713343</t>
  </si>
  <si>
    <t>[-0.009, -0.041, -0.044, -0.059, -0.06, -0.068, -0.069, 0.046, 0.036, 0.032, 0.029, 0.026, 0.033, -0.003]</t>
  </si>
  <si>
    <t>[0, 0, 1, 1, 0, 0, 0, 0, 0, 0, 0, 0, 0, 0]</t>
  </si>
  <si>
    <t>LINESTRING (8.582706818315135 59.465508137817785, 8.581254649226311 59.464832301099534, 8.581018325502342 59.46472810349082, 8.580979133648286 59.46471085790698, 8.580631498856931 59.464556798949765, 8.580527071645502 59.4645060976002, 8.580421067199659 59.464453642971826, 8.580319428948746 59.464403169070316, 8.579572745108301 59.46398826633122, 8.579376563017057 59.46386338274187, 8.579292782259271 59.46380799706021, 8.579095741713209 59.46368400740876, 8.578992627717739 59.46361844404395, 8.578728129690697 59.46344983538195, 8.57817084814924 59.46311603053293)</t>
  </si>
  <si>
    <t>[900224, 900232, 900240, 900249, 900257, 900265, 900273, 900281, 900289, 900297, 900305, 900312, 900314, 900322]</t>
  </si>
  <si>
    <t>[874727, 874735, 874745, 874755, 874763, 501840, 874776, 874784, 874792, 874803, 874815, 873121, 874825, 519818]</t>
  </si>
  <si>
    <t>0.00042938075124736834</t>
  </si>
  <si>
    <t>[519667, 874727, 874735, 874745, 874755, 874763, 501840, 874776, 874784, 874792, 874803, 874815, 873121, 874825]</t>
  </si>
  <si>
    <t>[0.009, 0.041, 0.044, 0.059, 0.06, 0.068, 0.069, 0.046, 0.036, 0.032, 0.029, 0.026, 0.033, 0.003]</t>
  </si>
  <si>
    <t>372.0294964751827</t>
  </si>
  <si>
    <t>[-0.068, -0.095, -0.083]</t>
  </si>
  <si>
    <t>LINESTRING (10.782138344612346 59.90272073957953, 10.781657759270175 59.90283604531281, 10.781554338243241 59.90285685442834, 10.780876996580316 59.90299211443866)</t>
  </si>
  <si>
    <t>[513456, 513464, 513472]</t>
  </si>
  <si>
    <t>[519676, 519684, 356552]</t>
  </si>
  <si>
    <t>[519675, 519676, 519684]</t>
  </si>
  <si>
    <t>[0.068, 0.095, 0.083]</t>
  </si>
  <si>
    <t>76.9300675239673</t>
  </si>
  <si>
    <t>[-0.502, 0.069]</t>
  </si>
  <si>
    <t>LINESTRING (10.78264031395468 59.90264421453004, 10.782552922643214 59.90265580029354, 10.782138344612346 59.90272073957953)</t>
  </si>
  <si>
    <t>[770495, 770500]</t>
  </si>
  <si>
    <t>[749925, 519675]</t>
  </si>
  <si>
    <t>[520036, 749925]</t>
  </si>
  <si>
    <t>[0.502, 0.069]</t>
  </si>
  <si>
    <t>29.369724469989496</t>
  </si>
  <si>
    <t>[-0.648, -0.057]</t>
  </si>
  <si>
    <t>LINESTRING (10.78252242065444 59.902557714340226, 10.782478233046556 59.902581474464505, 10.782138344612346 59.90272073957953)</t>
  </si>
  <si>
    <t>[763607, 763615]</t>
  </si>
  <si>
    <t>[742807, 519675]</t>
  </si>
  <si>
    <t>[520043, 742807]</t>
  </si>
  <si>
    <t>[0.648, 0.057]</t>
  </si>
  <si>
    <t>28.293359706290204</t>
  </si>
  <si>
    <t>[-0.073, 0.008, -0.003, -0.053, -0.167, 0.211, 1.064]</t>
  </si>
  <si>
    <t>[0, 0, 0, 1, 1, 1, 1]</t>
  </si>
  <si>
    <t>LINESTRING (10.780876996580316 59.90299211443866, 10.780579345350677 59.90303936181267, 10.780400281571238 59.903101686346375, 10.780355033408545 59.90313292872032, 10.780314328456962 59.90317588886011, 10.781207088004885 59.90358374741246, 10.781430163975045 59.903408613245745, 10.781485880589127 59.90336330166175)</t>
  </si>
  <si>
    <t>[763623, 763631, 763639, 763647, 763655, 763663, 763671]</t>
  </si>
  <si>
    <t>[742822, 736337, 742834, 736503, 742853, 742860, 734627]</t>
  </si>
  <si>
    <t>[356552, 742822, 736337, 742834, 736503, 742853, 742860]</t>
  </si>
  <si>
    <t>[0.073, 0.008, 0.003, 0.053, 0.167, 0.211, 1.064]</t>
  </si>
  <si>
    <t>156.71823564335784</t>
  </si>
  <si>
    <t>[-0.123, -0.012, -0.013, -0.171, 0.242, 0.795]</t>
  </si>
  <si>
    <t>LINESTRING (10.780876996580316 59.90299211443866, 10.780611072005511 59.9030757877003, 10.780502812953987 59.90312507893085, 10.780473499739912 59.903148685938504, 10.781100765133212 59.90354707027206, 10.781254531282018 59.90337109011969, 10.78128032710673 59.90330880552587)</t>
  </si>
  <si>
    <t>[770503, 770525, 770533, 770545, 770554, 770555]</t>
  </si>
  <si>
    <t>[749932, 736343, 749969, 749985, 749997, 734595]</t>
  </si>
  <si>
    <t>[356552, 749932, 736343, 749969, 749985, 749997]</t>
  </si>
  <si>
    <t>[0.123, 0.012, 0.013, 0.171, 0.242, 0.795]</t>
  </si>
  <si>
    <t>133.36068935339273</t>
  </si>
  <si>
    <t>[0.056, 0.028, 0.016, 0.777]</t>
  </si>
  <si>
    <t>LINESTRING (10.78431139364171 59.903411683099904, 10.784430354094821 59.90347573692657, 10.78444966486559 59.903506926638194, 10.784958297536757 59.90473167698972, 10.784983382451392 59.9048089082071)</t>
  </si>
  <si>
    <t>[513480, 513488, 513496, 1364344]</t>
  </si>
  <si>
    <t>[519703, 519714, 519721, 1259662]</t>
  </si>
  <si>
    <t>0.05940673337639842</t>
  </si>
  <si>
    <t>[519702, 519703, 519714, 519721]</t>
  </si>
  <si>
    <t>162.89022679013362</t>
  </si>
  <si>
    <t>[-0.198, -0.265, -0.055, -0.011, 0.062, 0.014]</t>
  </si>
  <si>
    <t>324.0</t>
  </si>
  <si>
    <t>LINESTRING (10.782796637813641 59.9028227604939, 10.782940170668663 59.90286242696623, 10.783060457526114 59.90297238137821, 10.78323775686157 59.90309854891195, 10.783835638383996 59.90360594419461, 10.784297063425598 59.90348225697849, 10.78431139364171 59.903411683099904)</t>
  </si>
  <si>
    <t>[513560, 513568, 513576, 513584, 513592, 513600]</t>
  </si>
  <si>
    <t>[519796, 519805, 519815, 519822, 519832, 519702]</t>
  </si>
  <si>
    <t>[519795, 519796, 519805, 519815, 519822, 519832]</t>
  </si>
  <si>
    <t>[0.198, 0.265, 0.055, 0.011, 0.062, 0.014]</t>
  </si>
  <si>
    <t>160.5692574400727</t>
  </si>
  <si>
    <t>[-0.468, 0.058, 0.129]</t>
  </si>
  <si>
    <t>[1, 1, 0]</t>
  </si>
  <si>
    <t>LINESTRING (10.783398564871437 59.903312304633225, 10.783525957532438 59.90328978045637, 10.783596108239243 59.903279071291045, 10.78431139364171 59.903411683099904)</t>
  </si>
  <si>
    <t>[770614, 770622, 770630]</t>
  </si>
  <si>
    <t>[750069, 750076, 519702]</t>
  </si>
  <si>
    <t>0.05365716596024587</t>
  </si>
  <si>
    <t>[520106, 750069, 750076]</t>
  </si>
  <si>
    <t>[0.468, 0.058, 0.129]</t>
  </si>
  <si>
    <t>63.77249118063003</t>
  </si>
  <si>
    <t>[-0.377, 0.023, 0.177]</t>
  </si>
  <si>
    <t>LINESTRING (10.783489647995953 59.903426717775496, 10.783592409072707 59.90335331259693, 10.78365471633776 59.90332500746761, 10.78431139364171 59.903411683099904)</t>
  </si>
  <si>
    <t>[763719, 763727, 763735]</t>
  </si>
  <si>
    <t>[742911, 742919, 519702]</t>
  </si>
  <si>
    <t>0.06774830998710868</t>
  </si>
  <si>
    <t>[520120, 742911, 742919]</t>
  </si>
  <si>
    <t>[0.377, 0.023, 0.177]</t>
  </si>
  <si>
    <t>57.339817573184945</t>
  </si>
  <si>
    <t>16.952799134506904</t>
  </si>
  <si>
    <t>[0.076, 0.009, 0.238, 0.272, 0.263, 0.205, 0.183]</t>
  </si>
  <si>
    <t>LINESTRING (10.781407292111092 59.903164686231335, 10.781537041700606 59.90311417696455, 10.78217986261548 59.90295235215776, 10.782206742472754 59.90290096392756, 10.782016735848922 59.90264940542128, 10.78188633388686 59.90254231772608, 10.779639167299505 59.901469916524206, 10.779505924863535 59.901377526182685)</t>
  </si>
  <si>
    <t>[513504, 513512, 513520, 513528, 513536, 513544, 513552]</t>
  </si>
  <si>
    <t>[519733, 519742, 519750, 519758, 519768, 519777, 519787]</t>
  </si>
  <si>
    <t>0.18264323067102956</t>
  </si>
  <si>
    <t>[519732, 519733, 519742, 519750, 519758, 519768, 519777]</t>
  </si>
  <si>
    <t>286.8130748610288</t>
  </si>
  <si>
    <t>0.103</t>
  </si>
  <si>
    <t>19.85663593194962</t>
  </si>
  <si>
    <t>[-0.033, -0.022, 0.537, 0.253, 0.197]</t>
  </si>
  <si>
    <t>1067.0</t>
  </si>
  <si>
    <t>LINESTRING (10.783695370460451 59.903952308154075, 10.782840506246187 59.90317797357025, 10.78258096093148 59.902961996949, 10.782516827800459 59.90291180103123, 10.781803431978158 59.9024313395431, 10.779505924863535 59.901377526182685)</t>
  </si>
  <si>
    <t>[1849888, 1849902, 1849914, 753216, 753224]</t>
  </si>
  <si>
    <t>[1619627, 1619638, 734515, 734516, 519787]</t>
  </si>
  <si>
    <t>0.1360614687079439</t>
  </si>
  <si>
    <t>[1259654, 1619627, 1619638, 734515, 734516]</t>
  </si>
  <si>
    <t>[0.033, 0.022, 0.537, 0.253, 0.197]</t>
  </si>
  <si>
    <t>374.93501158296255</t>
  </si>
  <si>
    <t>[-0.53, -0.026, 0.049]</t>
  </si>
  <si>
    <t>11217.0</t>
  </si>
  <si>
    <t>LINESTRING (10.782796637813641 59.9028227604939, 10.782856471545445 59.902881018759935, 10.783159501758638 59.90316377451505, 10.784983382451392 59.9048089082071)</t>
  </si>
  <si>
    <t>[1849938, 1849945, 1849957]</t>
  </si>
  <si>
    <t>[1619675, 1619684, 1259662]</t>
  </si>
  <si>
    <t>0.021665884026517392</t>
  </si>
  <si>
    <t>[519795, 1619675, 1619684]</t>
  </si>
  <si>
    <t>[0.53, 0.026, 0.049]</t>
  </si>
  <si>
    <t>252.93982643004694</t>
  </si>
  <si>
    <t>[0.147, 0.012, 0.028, 0.019, 0.007, 0.066, -0.019, -0.021, 0.081, 0.017, 0.001, -0.035, 0.059, 0.072, 0.036, 0.06, 0.147, 0.173, 0.146, 0.06, 0.092, 0.093, -0.113, 0.033, 0.065, -0.079, 0.002, 0.045, 0.087, 0.117, 0.121, 0.091, -0.024, -0.047, 0.044, 0.117, 0.126, 0.039, -0.023, 0.011, 0.057, 0.064, -0.003, -0.075, -0.017, 0.123, 0.026, 0.013, 0.09, 0.09, 0.05, 0.031]</t>
  </si>
  <si>
    <t>3643.0</t>
  </si>
  <si>
    <t>LINESTRING (8.57817084814924 59.46311603053293, 8.577977018005466 59.46298349608935, 8.577639766619814 59.46274971968044, 8.576836383041124 59.46219702353917, 8.575989443405392 59.461613554787455, 8.5753584708795 59.461179285770875, 8.571781408461788 59.45883544485041, 8.57006524507557 59.45811762901078, 8.569495887719174 59.45794016860354, 8.5654862471015 59.45679069820942, 8.565145439811252 59.456707982491814, 8.563661152256927 59.456329435288644, 8.56135691989358 59.45559126098646, 8.560580318621986 59.45520702937622, 8.56033421285853 59.453449673018845, 8.56290373173591 59.44901506287099, 8.56215087296727 59.4472203626077, 8.561325654225486 59.44656952100824, 8.561273387308626 59.44654197423801, 8.56023729430163 59.446119787332215, 8.558138199938293 59.44580064178375, 8.553185722967385 59.44544455355662, 8.553006691985207 59.44543996065835, 8.550765342143844 59.44545059484418, 8.548285738613375 59.44561506398231, 8.548083621811438 59.44562028189637, 8.545133083458499 59.44449293350545, 8.540726920335658 59.44409543721831, 8.539491592424879 59.44395366591183, 8.539047579159229 59.44384205958742, 8.538872072904924 59.443790006524885, 8.538749922308469 59.443751853962304, 8.53445885574841 59.443325742927875, 8.528322922581108 59.44269175379764, 8.522292937348046 59.441989850327204, 8.518744235964986 59.44218584362355, 8.518580572505497 59.44223189954119, 8.517889520483136 59.44245889726337, 8.511919701382814 59.4439642697924, 8.511339223558037 59.44401366098451, 8.506337843671428 59.443397932383284, 8.505897446178306 59.44324942002529, 8.505798969458164 59.443211597261154, 8.50396038146683 59.44241620889001, 8.503766175862241 59.44232312239692, 8.50186636388732 59.44136293843676, 8.50123058943233 59.44103285411669, 8.497503135651456 59.43949409775779, 8.495171418580187 59.43907535183763, 8.494731879255248 59.43903877710895, 8.492607023345869 59.43896284919427, 8.490171560443024 59.43871654369574, 8.488984051347781 59.43839483074912)</t>
  </si>
  <si>
    <t>[989843, 989851, 989859, 989867, 989875, 989883, 989891, 989899, 989907, 989915, 989923, 989931, 989939, 989947, 989955, 989963, 989971, 989979, 989987, 989995, 990003, 990011, 990019, 990027, 990035, 990043, 990051, 990060, 990068, 990076, 990084, 990092, 990100, 990108, 990116, 990124, 990133, 990141, 990149, 990157, 990165, 990174, 990182, 990191, 990199, 990207, 990215, 990223, 990231, 990239, 990247, 990255]</t>
  </si>
  <si>
    <t>[948777, 948788, 948796, 948803, 765199, 499822, 763017, 499801, 948838, 765140, 948853, 766492, 766508, 948873, 757019, 806841, 948897, 948905, 948914, 935931, 948926, 948934, 948942, 948950, 935926, 948969, 766281, 936224, 948992, 935876, 949006, 742356, 949020, 756981, 742387, 949042, 756959, 949055, 949061, 766271, 807046, 949084, 752953, 743136, 742488, 742497, 949113, 742514, 807364, 501311, 501310, 519826]</t>
  </si>
  <si>
    <t>0.02919515482165004</t>
  </si>
  <si>
    <t>[519818, 948777, 948788, 948796, 948803, 765199, 499822, 763017, 499801, 948838, 765140, 948853, 766492, 766508, 948873, 757019, 806841, 948897, 948905, 948914, 935931, 948926, 948934, 948942, 948950, 935926, 948969, 766281, 936224, 948992, 935876, 949006, 742356, 949020, 756981, 742387, 949042, 756959, 949055, 949061, 766271, 807046, 949084, 752953, 743136, 742488, 742497, 949113, 742514, 807364, 501311, 501310]</t>
  </si>
  <si>
    <t>[0.147, 0.012, 0.028, 0.019, 0.007, 0.066, 0.019, 0.021, 0.081, 0.017, 0.001, 0.035, 0.059, 0.072, 0.036, 0.06, 0.147, 0.173, 0.146, 0.06, 0.092, 0.093, 0.113, 0.033, 0.065, 0.079, 0.002, 0.045, 0.087, 0.117, 0.121, 0.091, 0.024, 0.047, 0.044, 0.117, 0.126, 0.039, 0.023, 0.011, 0.057, 0.064, 0.003, 0.075, 0.017, 0.123, 0.026, 0.013, 0.09, 0.09, 0.05, 0.031]</t>
  </si>
  <si>
    <t>6898.143128362894</t>
  </si>
  <si>
    <t>[-0.025, -0.058, -0.081, -0.027, 0.12, 0.098]</t>
  </si>
  <si>
    <t>LINESTRING (8.488984051347781 59.43839483074912, 8.48789248751998 59.43797415255615, 8.487146066728247 59.43762364340813, 8.487084002566043 59.437595267493926, 8.486581377116163 59.437425786081484, 8.486084273855033 59.43730468335989, 8.48562768045577 59.43720360609427)</t>
  </si>
  <si>
    <t>[513587, 513595, 513603, 513611, 513619, 513627]</t>
  </si>
  <si>
    <t>[519827, 519835, 519843, 519854, 519863, 519871]</t>
  </si>
  <si>
    <t>[519826, 519827, 519835, 519843, 519854, 519863]</t>
  </si>
  <si>
    <t>[0.025, 0.058, 0.081, 0.027, 0.12, 0.098]</t>
  </si>
  <si>
    <t>234.30647903900135</t>
  </si>
  <si>
    <t>[0.181, 0.035, 0.007, 0.004, 0.048, 0.064, -0.691]</t>
  </si>
  <si>
    <t>LINESTRING (8.488984051347781 59.43839483074912, 8.487967951847908 59.437921638049346, 8.487214738013234 59.43756848306685, 8.487147197583216 59.437539067272226, 8.487107052442395 59.43752165295873, 8.486629406074199 59.437374862176725, 8.486115138665607 59.437263890142255, 8.48562768045577 59.43720360609427)</t>
  </si>
  <si>
    <t>[900330, 900338, 900346, 900354, 900362, 900370, 900378]</t>
  </si>
  <si>
    <t>[874841, 874848, 874856, 850652, 874871, 520500, 519871]</t>
  </si>
  <si>
    <t>0.00010095682048356831</t>
  </si>
  <si>
    <t>[519826, 874841, 874848, 874856, 850652, 874871, 520500]</t>
  </si>
  <si>
    <t>[0.181, 0.035, 0.007, 0.004, 0.048, 0.064, 0.691]</t>
  </si>
  <si>
    <t>236.50300739803689</t>
  </si>
  <si>
    <t>[-0.043, -0.071, -0.067, -0.016, -0.012, -0.011, -0.026, -0.008, 0.008, 0.026, 0.04, 0.051, 0.04, 0.058, 0.075, 0.084, 0.093, 0.092, 0.097, 0.129, 0.079, 0.097, 0.044, 0.034, 0.033, 0.024, 0.017, 0.031, 0.028, -0.048, -0.045, 0.001]</t>
  </si>
  <si>
    <t>LINESTRING (7.9939879653858235 59.57138662501625, 7.993670467073017 59.57114067442901, 7.993338874701241 59.570685389604876, 7.9932844672269505 59.57060567478165, 7.993271866589587 59.57058656599657, 7.993216058163592 59.570509137178064, 7.992953884002964 59.57014807249724, 7.992927528629789 59.570113767452675, 7.992577783003205 59.569800411853535, 7.992507409232675 59.56975683584566, 7.9915647095282365 59.56941466390986, 7.9914584490931615 59.56939322160197, 7.991134983201581 59.56935148981214, 7.991042618388842 59.56934414258714, 7.9899453548307555 59.56939151849923, 7.989769947129989 59.569423172322864, 7.98971875495755 59.56943267596162, 7.989602786261488 59.56945888373968, 7.988821796966214 59.56969302229372, 7.988707530483988 59.56972977587649, 7.988684699512044 59.5697370196284, 7.98864991281136 59.569750469923676, 7.988529686424637 59.56978981386855, 7.987990386821155 59.57000013388954, 7.987945590086211 59.57002093168821, 7.987492424408674 59.570237020225356, 7.987417719194903 59.57026857414952, 7.987358553100711 59.570293862063785, 7.987322322632447 59.570313363131625, 7.987125158196625 59.57041276461352, 7.987121825780854 59.570414514045325, 7.986711977646073 59.57062499095603, 7.986144015451067 59.57088399069574)</t>
  </si>
  <si>
    <t>[513635, 513643, 513651, 513659, 513667, 513675, 513683, 513691, 513699, 513707, 513715, 513723, 513731, 513739, 513747, 513755, 513763, 513771, 513779, 513787, 513795, 513803, 513811, 513819, 513827, 513835, 513843, 513851, 513859, 513867, 513875, 513883]</t>
  </si>
  <si>
    <t>[519879, 519888, 519896, 310526, 519913, 519921, 519930, 519939, 519947, 519954, 519961, 519968, 519979, 519988, 501900, 520004, 520015, 520023, 520030, 520038, 520047, 520054, 520062, 520073, 520083, 520092, 501977, 520109, 520116, 520125, 520131, 520142]</t>
  </si>
  <si>
    <t>0.01654369712724702</t>
  </si>
  <si>
    <t>[519878, 519879, 519888, 519896, 310526, 519913, 519921, 519930, 519939, 519947, 519954, 519961, 519968, 519979, 519988, 501900, 520004, 520015, 520023, 520030, 520038, 520047, 520054, 520062, 520073, 520083, 520092, 501977, 520109, 520116, 520125, 520131]</t>
  </si>
  <si>
    <t>[0.043, 0.071, 0.067, 0.016, 0.012, 0.011, 0.026, 0.008, 0.008, 0.026, 0.04, 0.051, 0.04, 0.058, 0.075, 0.084, 0.093, 0.092, 0.097, 0.129, 0.079, 0.097, 0.044, 0.034, 0.033, 0.024, 0.017, 0.031, 0.028, 0.048, 0.045, 0.001]</t>
  </si>
  <si>
    <t>636.3486517543994</t>
  </si>
  <si>
    <t>[-0.068, -0.071, -0.032, -0.01, -0.011, -0.018, -0.014, -0.005, 0.024, 0.053, 0.037, 0.052, 0.048, 0.057, 0.072, 0.077, 0.082, 0.093, 0.092, 0.095, 0.041, 0.03, 0.033, 0.027, -0.018, 0.033, 0.023, 0.025, 0.0, -0.014]</t>
  </si>
  <si>
    <t>LINESTRING (7.9939879653858235 59.57138662501625, 7.993765946313008 59.57111365879198, 7.9934341566084575 59.57064851258814, 7.993374774291717 59.57056880072018, 7.993322584834398 59.57048731246376, 7.993044329051028 59.57009777695712, 7.993020578204083 59.57006954243714, 7.992986256848858 59.57002872540072, 7.992602475829642 59.56971987582132, 7.991615781079095 59.569353527346166, 7.991542947583151 59.569337379818286, 7.991485978056234 59.569326925353444, 7.991408908297984 59.56931575034058, 7.991059985773021 59.56928346466582, 7.989921426257735 59.569331250952644, 7.989801215824328 59.56935004743732, 7.98973794815465 59.56936267788063, 7.98962696486596 59.56938483668748, 7.988831820504285 59.56961956568261, 7.988678602383405 59.56967269999352, 7.988496092048134 59.56973449674732, 7.987915453871271 59.569960122336845, 7.987865753382391 59.569981178991334, 7.9874341710269805 59.57018707242837, 7.987366804792272 59.5702204002235, 7.98735984112113 59.5702240542611, 7.987268352947613 59.570270711899006, 7.987222947756082 59.57029161192826, 7.987048371547431 59.57037507727431, 7.987045519565489 59.57037648302919, 7.986144015451067 59.57088399069574)</t>
  </si>
  <si>
    <t>[900386, 900394, 900402, 900410, 900418, 900426, 900434, 900442, 900450, 900458, 900466, 900474, 900482, 900490, 900498, 900499, 900506, 900507, 900511, 900531, 900539, 900543, 900550, 900558, 900566, 900574, 900575, 900576, 900583, 900591]</t>
  </si>
  <si>
    <t>[874895, 874903, 310525, 874919, 874929, 874940, 874946, 874956, 874964, 874972, 874982, 850612, 875003, 875012, 501901, 875019, 520526, 875029, 850368, 875058, 875066, 875070, 875080, 520554, 875098, 875109, 501966, 875110, 875119, 520142]</t>
  </si>
  <si>
    <t>0.01622989581620638</t>
  </si>
  <si>
    <t>[519878, 874895, 874903, 310525, 874919, 874929, 874940, 874946, 874956, 874964, 874972, 874982, 850612, 875003, 875012, 501901, 875019, 520526, 875029, 850368, 875058, 875066, 875070, 875080, 520554, 875098, 875109, 501966, 875110, 875119]</t>
  </si>
  <si>
    <t>[0.068, 0.071, 0.032, 0.01, 0.011, 0.018, 0.014, 0.005, 0.024, 0.053, 0.037, 0.052, 0.048, 0.057, 0.072, 0.077, 0.082, 0.093, 0.092, 0.095, 0.041, 0.03, 0.033, 0.027, 0.018, 0.033, 0.023, 0.025, 0.0, 0.014]</t>
  </si>
  <si>
    <t>648.5842962306486</t>
  </si>
  <si>
    <t>[-0.108, 0.022, -0.027, -0.089, -0.061, -0.016, -0.036, 0.047, 0.053, 0.0, 0.058, 0.059, 0.062, 0.051, 0.049, 0.048, 0.046, 0.045, 0.024, 0.024, 0.032, 0.042, 0.08, 0.084, 0.057, 0.03, 0.044, -0.051, 0.031, -0.01, 0.065, -0.009, 0.004, 0.055, 0.051, 0.034, -0.028, 0.023, 0.096, 0.005, -0.0, -0.008, 0.135, 0.141, 0.017, -0.029, -0.013, 0.005, -0.016, 0.013, -0.008, -0.09, -0.091, -0.022, 0.024, 0.047, -0.002, 0.012, -0.026, -0.043, -0.056, -0.029, -0.062, -0.025, 0.025, -0.062, -0.058, -0.069, -0.034, -0.033, -0.007, -0.033, -0.005, -0.073, 0.008, 0.033, 0.02, -0.022, -0.034, -0.011, -0.033, -0.04, -0.063, -0.043, -0.045, -0.07, -0.092, -0.061, -0.035, -0.027, 0.074, 0.038, -0.038, -0.002]</t>
  </si>
  <si>
    <t>[0, 0, 0, 0, 0, 0, 0, 0, 0, 0, 0, 1, 0, 0, 0, 0, 0, 0, 0, 0, 0, 0, 0, 0, 0, 0, 0, 0, 0, 0, 0, 0, 0, 0, 0, 0, 0, 0, 0, 0, 1, 0, 0, 0, 0, 0, 0, 0, 0, 0, 0, 0, 0, 0, 0, 0, 0, 0, 0, 0, 0, 0, 0, 0, 0, 0, 0, 0, 0, 0, 0, 0, 0, 0, 0, 0, 0, 0, 0, 0, 0, 0, 0, 0, 0, 0, 0, 0, 0, 0, 0, 0, 1, 0]</t>
  </si>
  <si>
    <t>LINESTRING (8.203504957263956 59.494947336226, 8.20314500711696 59.49542797631166, 8.202924940167822 59.49573451384786, 8.201754757907336 59.49688415685737, 8.201576397576462 59.49698043992814, 8.201014832747518 59.49723727664059, 8.199366418212643 59.49809590357747, 8.198555139429475 59.49862597880909, 8.19826114680949 59.49882620319363, 8.198153640468188 59.498900206060135, 8.198149503595852 59.498902873385966, 8.198036152738549 59.498975363322465, 8.197833841865576 59.49910488424384, 8.197642350684934 59.49922839233981, 8.197450662122751 59.499349538041976, 8.19638452466944 59.50005442233775, 8.196304641104756 59.50010773684451, 8.196203341650275 59.500175016259156, 8.195879231126536 59.50039160280859, 8.195359266518778 59.500738350310115, 8.19519253198376 59.500849335765, 8.194125371327239 59.50153249806689, 8.193854107920037 59.501680548816864, 8.192174063628718 59.50238015854178, 8.192032419600238 59.502433358851476, 8.189396031891015 59.5034344915464, 8.187945654284942 59.50402235570558, 8.183344758751293 59.506167413560576, 8.180021945787106 59.507646928789846, 8.176959648423376 59.50928261371858, 8.174681370475753 59.51052045257696, 8.172306916807893 59.511846281031, 8.171655866888566 59.512215504641674, 8.170425879277841 59.51305866911953, 8.16890665103845 59.51397470697059, 8.162274616183177 59.5184859126433, 8.160129705508199 59.51959671383763, 8.15647095392799 59.52208489115569, 8.154099270882082 59.524075206969115, 8.14846328217064 59.52595973192589, 8.14835163207544 59.52598604658843, 8.148232359290812 59.5260140777912, 8.14130093146869 59.527008825590435, 8.140473105313873 59.52729676602499, 8.139770609153585 59.527542028963886, 8.13306569803086 59.529904053167385, 8.12432237137481 59.53190028611537, 8.122395286851871 59.532153542475584, 8.118766402477469 59.532329594678444, 8.116335498607027 59.53223335479286, 8.11034770936877 59.53164274294947, 8.108085459603007 59.531558602136215, 8.105571847700563 59.53159415627156, 8.105096020850882 59.5316210998142, 8.101901682328066 59.53201899148208, 8.099287192340714 59.53277258838674, 8.094123724319385 59.53306282044788, 8.086485208552885 59.53452677363196, 8.083034214938733 59.53568996047838, 8.08257802883383 59.53580439139039, 8.078082277615124 59.53646091287059, 8.066243922748635 59.53828637936469, 8.065563053531827 59.538570270382856, 8.06305562864267 59.53982631179961, 8.057645221075305 59.542122073226956, 8.051603315918468 59.542372950238445, 8.049161502787928 59.54219335563715, 8.044104919533952 59.540973725911904, 8.036001344845392 59.54086218331881, 8.021539578603203 59.54514051240567, 8.016060850619153 59.54610609372962, 8.01313603888064 59.546277548580576, 8.00994744437839 59.55017117192111, 8.011300915054825 59.55294685322764, 8.011708902856219 59.55412568673344, 8.010988184967612 59.55736791916516, 8.010552854661624 59.55791669112284, 8.008987141871694 59.55989199917163, 8.008264285702841 59.56206410093395, 8.008101414163644 59.562965617985824, 8.007936497348929 59.563270473986016, 8.007354867484544 59.563949527346054, 8.005395734279672 59.566569837632464, 8.003298469731867 59.56815930551442, 7.999980918682679 59.56997486719785, 7.99961652214141 59.570163515660866, 7.998966732735674 59.570499782956965, 7.998827916430651 59.57057164700354, 7.998641361214247 59.570667452824715, 7.998583607148258 59.570697931697154, 7.9980416743324225 59.57099022993032, 7.9971758191302795 59.571523887564894, 7.99699542306502 59.571606223717566, 7.995839952693635 59.57183772041743, 7.9939879653858235 59.57138662501625)</t>
  </si>
  <si>
    <t>[1309778, 990715, 990716, 990735, 990751, 990759, 990771, 990779, 990803, 990826, 990844, 990858, 990871, 990873, 990875, 990882, 990890, 990891, 990904, 990910, 990918, 990928, 990929, 990935, 990943, 990957, 990973, 990980, 990988, 990989, 991003, 991019, 991024, 991025, 991032, 991048, 991049, 991052, 991053, 991061, 991066, 991067, 991068, 991091, 991130, 991131, 991143, 991157, 991158, 991165, 991181, 991189, 991197, 991204, 991207, 991215, 991223, 991231, 991239, 991247, 991255, 991263, 991271, 991279, 991287, 991295, 991303, 991311, 991319, 991323, 991326, 991335, 991343, 991351, 991359, 991367, 991375, 991405, 1821300, 1821242, 1821252, 1821253, 1821260, 991411, 991412, 991427, 991429, 991430, 991438, 991439, 991446, 991454, 991462, 991476]</t>
  </si>
  <si>
    <t>[749011, 949542, 949543, 949559, 748965, 786828, 748981, 949596, 516423, 949639, 949656, 949666, 949672, 887008, 949677, 748784, 949687, 748773, 748813, 949707, 750529, 949726, 949727, 949733, 748666, 748661, 949769, 748649, 750579, 501252, 949789, 949799, 748640, 750623, 750689, 949825, 949826, 750709, 949829, 949839, 949843, 749955, 749947, 750731, 949902, 749964, 949914, 750767, 949929, 750778, 942272, 750810, 750827, 750853, 949982, 750876, 950002, 950008, 950016, 950028, 950035, 755501, 950050, 750019, 950064, 750947, 750955, 950085, 950093, 902527, 950100, 950106, 950116, 751070, 950129, 950138, 767599, 755456, 1601105, 1601090, 654711, 1601098, 950173, 950174, 313985, 950187, 950189, 950190, 950197, 788952, 795072, 950211, 950219, 519878]</t>
  </si>
  <si>
    <t>[1218464, 749011, 949542, 949543, 949559, 748965, 786828, 748981, 949596, 516423, 949639, 949656, 949666, 949672, 887008, 949677, 748784, 949687, 748773, 748813, 949707, 750529, 949726, 949727, 949733, 748666, 748661, 949769, 748649, 750579, 501252, 949789, 949799, 748640, 750623, 750689, 949825, 949826, 750709, 949829, 949839, 949843, 749955, 749947, 750731, 949902, 749964, 949914, 750767, 949929, 750778, 942272, 750810, 750827, 750853, 949982, 750876, 950002, 950008, 950016, 950028, 950035, 755501, 950050, 750019, 950064, 750947, 750955, 950085, 950093, 902527, 950100, 950106, 950116, 751070, 950129, 950138, 767599, 755456, 1601105, 1601090, 654711, 1601098, 950173, 950174, 313985, 950187, 950189, 950190, 950197, 788952, 795072, 950211, 950219]</t>
  </si>
  <si>
    <t>[0.108, 0.022, 0.027, 0.089, 0.061, 0.016, 0.036, 0.047, 0.053, 0.0, 0.058, 0.059, 0.062, 0.051, 0.049, 0.048, 0.046, 0.045, 0.024, 0.024, 0.032, 0.042, 0.08, 0.084, 0.057, 0.03, 0.044, 0.051, 0.031, 0.01, 0.065, 0.009, 0.004, 0.055, 0.051, 0.034, 0.028, 0.023, 0.096, 0.005, 0.0, 0.008, 0.135, 0.141, 0.017, 0.029, 0.013, 0.005, 0.016, 0.013, 0.008, 0.09, 0.091, 0.022, 0.024, 0.047, 0.002, 0.012, 0.026, 0.043, 0.056, 0.029, 0.062, 0.025, 0.025, 0.062, 0.058, 0.069, 0.034, 0.033, 0.007, 0.033, 0.005, 0.073, 0.008, 0.033, 0.02, 0.022, 0.034, 0.011, 0.033, 0.04, 0.063, 0.043, 0.045, 0.07, 0.092, 0.061, 0.035, 0.027, 0.074, 0.038, 0.038, 0.002]</t>
  </si>
  <si>
    <t>16585.579388345</t>
  </si>
  <si>
    <t>[0.092, 0.067]</t>
  </si>
  <si>
    <t>LINESTRING (10.792140334540843 59.91012620293757, 10.792299457100262 59.91014207972059, 10.792369345358216 59.910185935401365)</t>
  </si>
  <si>
    <t>[513656, 513664]</t>
  </si>
  <si>
    <t>[519903, 519910]</t>
  </si>
  <si>
    <t>0.08179784622063704</t>
  </si>
  <si>
    <t>[519892, 519903]</t>
  </si>
  <si>
    <t>15.339474804135843</t>
  </si>
  <si>
    <t>[-0.427, -0.201, 0.132]</t>
  </si>
  <si>
    <t>LINESTRING (10.792140334540843 59.91012620293757, 10.792219411731896 59.9101075920778, 10.79226562823784 59.91009242638525, 10.792511788525914 59.909992416113745)</t>
  </si>
  <si>
    <t>[770423, 770437, 770445]</t>
  </si>
  <si>
    <t>[749843, 749860, 723626]</t>
  </si>
  <si>
    <t>[519892, 749843, 749860]</t>
  </si>
  <si>
    <t>[0.427, 0.201, 0.132]</t>
  </si>
  <si>
    <t>25.697981425870005</t>
  </si>
  <si>
    <t>[-0.073, -0.093, -0.075, -0.056, -0.023, 0.05, 0.089]</t>
  </si>
  <si>
    <t>LINESTRING (10.79225326436751 59.910346471465495, 10.792198137694545 59.91035579558721, 10.79207082931409 59.910349666522926, 10.79198593024817 59.910317873863306, 10.791955447564517 59.910290976915604, 10.791942318165484 59.91020529111878, 10.792062182842084 59.9101353933142, 10.792140334540843 59.91012620293757)</t>
  </si>
  <si>
    <t>[513688, 513608, 513616, 513624, 513632, 513640, 513648]</t>
  </si>
  <si>
    <t>[519851, 519852, 519860, 519868, 519875, 519885, 519892]</t>
  </si>
  <si>
    <t>[519927, 519851, 519852, 519860, 519868, 519875, 519885]</t>
  </si>
  <si>
    <t>[0.073, 0.093, 0.075, 0.056, 0.023, 0.05, 0.089]</t>
  </si>
  <si>
    <t>44.13866797431479</t>
  </si>
  <si>
    <t>3.351811003094125</t>
  </si>
  <si>
    <t>[-0.419, 0.038]</t>
  </si>
  <si>
    <t>LINESTRING (10.792369345358216 59.910185935401365, 10.79240209932142 59.91013954353914, 10.792511788525914 59.909992416113745)</t>
  </si>
  <si>
    <t>[763575, 763583]</t>
  </si>
  <si>
    <t>[742778, 723626]</t>
  </si>
  <si>
    <t>[519910, 742778]</t>
  </si>
  <si>
    <t>[0.419, 0.038]</t>
  </si>
  <si>
    <t>22.99307951243276</t>
  </si>
  <si>
    <t>17.604078334918796</t>
  </si>
  <si>
    <t>[-0.191, 0.012, -0.008, 0.0, -0.002, 0.011]</t>
  </si>
  <si>
    <t>LINESTRING (10.792385111220883 59.91021495132279, 10.792452399387995 59.910277345145666, 10.7930814273082 59.90994768439866, 10.793105825532665 59.90985405394958, 10.79310729166167 59.909850396331315, 10.7932896713786 59.909533540226626, 10.79339670936191 59.909447271521756)</t>
  </si>
  <si>
    <t>[738481, 738489, 738497, 738505, 738513, 1364352]</t>
  </si>
  <si>
    <t>[0, 0, 0, 1, 1, 1]</t>
  </si>
  <si>
    <t>[723647, 723650, 723654, 723658, 723666, 1259667]</t>
  </si>
  <si>
    <t>[519918, 723647, 723650, 723654, 723658, 723666]</t>
  </si>
  <si>
    <t>[0.191, 0.012, 0.008, 0.0, 0.002, 0.011]</t>
  </si>
  <si>
    <t>160.4420790484611</t>
  </si>
  <si>
    <t>[0.016, 0.024, 0.047, 0.056, 0.056, 0.02, -0.011, -0.039, -0.059, -0.028]</t>
  </si>
  <si>
    <t>LINESTRING (10.421740892968447 59.8329628091327, 10.421762586428105 59.83298694883054, 10.421764022614884 59.83305445184524, 10.42170770963751 59.833100156133746, 10.421638716939418 59.83312113544333, 10.421514669637377 59.833126705424, 10.42141792423789 59.83310264812718, 10.4213508746632 59.833044550176844, 10.421363541420282 59.83297843803247, 10.421430277328264 59.8329348958901, 10.421740892968447 59.8329628091327)</t>
  </si>
  <si>
    <t>[513685, 513693, 513701, 513629, 513637, 513645, 513653, 513661, 513669, 513677]</t>
  </si>
  <si>
    <t>[519933, 519940, 519872, 519873, 519882, 519889, 519899, 519907, 519915, 519924]</t>
  </si>
  <si>
    <t>[519924, 519933, 519940, 519872, 519873, 519882, 519889, 519899, 519907, 519915]</t>
  </si>
  <si>
    <t>[0.016, 0.024, 0.047, 0.056, 0.056, 0.02, 0.011, 0.039, 0.059, 0.028]</t>
  </si>
  <si>
    <t>74.58670937529462</t>
  </si>
  <si>
    <t>[0.098, 0.073, 0.029, -1.434]</t>
  </si>
  <si>
    <t>LINESTRING (10.428385272225484 59.831741712275445, 10.428272425936068 59.831795344838646, 10.42544088522951 59.832184234415244, 10.421833240948448 59.832905166817376, 10.421740892968447 59.8329628091327)</t>
  </si>
  <si>
    <t>[1540452, 1494825, 1494833, 1494840]</t>
  </si>
  <si>
    <t>[1353191, 1353192, 1353200, 519924]</t>
  </si>
  <si>
    <t>0.01855687998707468</t>
  </si>
  <si>
    <t>[1391875, 1353191, 1353192, 1353200]</t>
  </si>
  <si>
    <t>[0.098, 0.073, 0.029, 1.434]</t>
  </si>
  <si>
    <t>404.3680831199318</t>
  </si>
  <si>
    <t>[-0.044, -0.046, -0.05, -0.048, -0.046, 0.165]</t>
  </si>
  <si>
    <t>LINESTRING (10.79514604851065 59.911401038889885, 10.793633962871228 59.91081503604796, 10.793345717460838 59.91067364960444, 10.792921806120905 59.910543211642334, 10.792414154637862 59.91038132262765, 10.79236123629014 59.91037054057779, 10.79225326436751 59.910346471465495)</t>
  </si>
  <si>
    <t>[738401, 738409, 738417, 738425, 738433, 738441]</t>
  </si>
  <si>
    <t>[723596, 723603, 723607, 723611, 723616, 519927]</t>
  </si>
  <si>
    <t>[723525, 723596, 723603, 723607, 723611, 723616]</t>
  </si>
  <si>
    <t>[0.044, 0.046, 0.05, 0.048, 0.046, 0.165]</t>
  </si>
  <si>
    <t>200.9853841147476</t>
  </si>
  <si>
    <t>[0.022, 0.026, 0.028, 0.018, 0.017, -0.003, -0.004]</t>
  </si>
  <si>
    <t>LINESTRING (10.794122196587573 59.90964806471874, 10.794181824672624 59.90964007953019, 10.794250025880098 59.90963903991717, 10.794348774534793 59.90966595071104, 10.794382082334115 59.90969359372297, 10.79439962092358 59.90973703434959, 10.79435376647337 59.909791891591844, 10.79432558123581 59.90980761616835)</t>
  </si>
  <si>
    <t>[513696, 513704, 513712, 513720, 513728, 513736, 513744]</t>
  </si>
  <si>
    <t>[519944, 519950, 519958, 519966, 519975, 519985, 519992]</t>
  </si>
  <si>
    <t>0.015143691576908855</t>
  </si>
  <si>
    <t>[519943, 519944, 519950, 519958, 519966, 519975, 519985]</t>
  </si>
  <si>
    <t>[0.022, 0.026, 0.028, 0.018, 0.017, 0.003, 0.004]</t>
  </si>
  <si>
    <t>31.08894709192225</t>
  </si>
  <si>
    <t>[-0.008, -0.001]</t>
  </si>
  <si>
    <t>LINESTRING (10.794051597025305 59.909778396610044, 10.794021958381348 59.90971699097645, 10.794122196587573 59.90964806471874)</t>
  </si>
  <si>
    <t>[513768, 513776]</t>
  </si>
  <si>
    <t>[520020, 519943]</t>
  </si>
  <si>
    <t>[520011, 520020]</t>
  </si>
  <si>
    <t>[0.008, 0.001]</t>
  </si>
  <si>
    <t>16.889106049404226</t>
  </si>
  <si>
    <t>LINESTRING (10.793397598570131 59.90971322219396, 10.793933578740178 59.90966561287094, 10.794122196587573 59.90964806471874)</t>
  </si>
  <si>
    <t>[770448, 770450]</t>
  </si>
  <si>
    <t>[749872, 519943]</t>
  </si>
  <si>
    <t>0.012112150664879305</t>
  </si>
  <si>
    <t>[723627, 749872]</t>
  </si>
  <si>
    <t>41.42173716719268</t>
  </si>
  <si>
    <t>15.471608579702234</t>
  </si>
  <si>
    <t>[0.294, 0.024, 0.046]</t>
  </si>
  <si>
    <t>LINESTRING (10.79432558123581 59.90980761616835, 10.794327041159736 59.909852620060434, 10.795462502048611 59.91129156180902, 10.796233007450752 59.911555344614506)</t>
  </si>
  <si>
    <t>[738457, 738465, 738473]</t>
  </si>
  <si>
    <t>[723632, 723637, 723576]</t>
  </si>
  <si>
    <t>0.03328821227400237</t>
  </si>
  <si>
    <t>[519992, 723632, 723637]</t>
  </si>
  <si>
    <t>269.42164762096326</t>
  </si>
  <si>
    <t>1.8323416705947437</t>
  </si>
  <si>
    <t>[0.031, 0.037, 0.007, -0.186]</t>
  </si>
  <si>
    <t>LINESTRING (10.793358723819766 59.90986232583386, 10.793395587249368 59.90991276818709, 10.793779219580273 59.910148106594, 10.794131429468267 59.90985626005521, 10.794071611908441 59.90979140842975)</t>
  </si>
  <si>
    <t>[1364360, 738521, 738529, 738537]</t>
  </si>
  <si>
    <t>[723671, 723672, 723677, 520001]</t>
  </si>
  <si>
    <t>0.004385173630057787</t>
  </si>
  <si>
    <t>[1259673, 723671, 723672, 723677]</t>
  </si>
  <si>
    <t>[0.031, 0.037, 0.007, 0.186]</t>
  </si>
  <si>
    <t>99.43016956020348</t>
  </si>
  <si>
    <t>[0.03, -0.037]</t>
  </si>
  <si>
    <t>LINESTRING (10.793397598570131 59.90971322219396, 10.79390538978024 59.90976092057332, 10.794051597025305 59.909778396610044)</t>
  </si>
  <si>
    <t>[763591, 763599]</t>
  </si>
  <si>
    <t>[742793, 520011]</t>
  </si>
  <si>
    <t>0.01490075850114075</t>
  </si>
  <si>
    <t>[723627, 742793]</t>
  </si>
  <si>
    <t>[0.03, 0.037]</t>
  </si>
  <si>
    <t>37.324040435951275</t>
  </si>
  <si>
    <t>[0.076, 0.062, -0.009, -0.062, -0.074, -0.053, -0.006]</t>
  </si>
  <si>
    <t>LINESTRING (10.411137423970567 59.82944682308141, 10.411099760942184 59.829396041510634, 10.411163534698353 59.82930923073416, 10.411390093938309 59.82928566661577, 10.411493366607141 59.829327047945135, 10.411525500535316 59.82939202633056, 10.411439231120967 59.82947355458122, 10.411340138174136 59.82949257765271)</t>
  </si>
  <si>
    <t>[513797, 513805, 513813, 513821, 513829, 513837, 513781]</t>
  </si>
  <si>
    <t>[520050, 520057, 520065, 520075, 520086, 520033, 520034]</t>
  </si>
  <si>
    <t>[520039, 520050, 520057, 520065, 520075, 520086, 520033]</t>
  </si>
  <si>
    <t>[0.076, 0.062, 0.009, 0.062, 0.074, 0.053, 0.006]</t>
  </si>
  <si>
    <t>61.56582761971256</t>
  </si>
  <si>
    <t>[1.113, -0.044, -0.258]</t>
  </si>
  <si>
    <t>LINESTRING (10.411340138174136 59.82949257765271, 10.411290645606702 59.82955354455052, 10.414002531259477 59.83120083415136, 10.41407386017122 59.831253689366996)</t>
  </si>
  <si>
    <t>[1494848, 1494856, 1540460]</t>
  </si>
  <si>
    <t>[1353216, 1353225, 1391882]</t>
  </si>
  <si>
    <t>[520034, 1353216, 1353225]</t>
  </si>
  <si>
    <t>[1.113, 0.044, 0.258]</t>
  </si>
  <si>
    <t>283.8048904091059</t>
  </si>
  <si>
    <t>[0.214, 0.269]</t>
  </si>
  <si>
    <t>LINESTRING (10.78264031395468 59.90264421453004, 10.782542033268928 59.90260060303446, 10.78252242065444 59.902557714340226)</t>
  </si>
  <si>
    <t>[513784, 513792]</t>
  </si>
  <si>
    <t>[520037, 520043]</t>
  </si>
  <si>
    <t>0.23602719944774828</t>
  </si>
  <si>
    <t>[520036, 520037]</t>
  </si>
  <si>
    <t>12.245060795148218</t>
  </si>
  <si>
    <t>[-0.121, -0.005, -1.062]</t>
  </si>
  <si>
    <t>LINESTRING (10.40774078314589 59.82912666257951, 10.407912307340563 59.82912909725604, 10.411057072108004 59.829498761372456, 10.411137423970567 59.82944682308141)</t>
  </si>
  <si>
    <t>[1540468, 1494864, 1494872]</t>
  </si>
  <si>
    <t>[1353234, 1353235, 520039]</t>
  </si>
  <si>
    <t>[1391887, 1353234, 1353235]</t>
  </si>
  <si>
    <t>[0.121, 0.005, 1.062]</t>
  </si>
  <si>
    <t>229.9235960832638</t>
  </si>
  <si>
    <t>6.906518659947973</t>
  </si>
  <si>
    <t>[0.052, 0.114]</t>
  </si>
  <si>
    <t>LINESTRING (10.7832245852629 59.903455989226764, 10.783173219108466 59.90336712562073, 10.783275212082069 59.90331104969332)</t>
  </si>
  <si>
    <t>[513904, 513912]</t>
  </si>
  <si>
    <t>[520165, 520105]</t>
  </si>
  <si>
    <t>0.07929144529044205</t>
  </si>
  <si>
    <t>[520155, 520165]</t>
  </si>
  <si>
    <t>19.22973287548217</t>
  </si>
  <si>
    <t>[-0.819, -0.134, 0.106, -0.034, -0.003, 0.398]</t>
  </si>
  <si>
    <t>LINESTRING (10.781664111734447 59.903258068388745, 10.78173814369159 59.90330234190916, 10.782185290895606 59.903336185420855, 10.782416599162639 59.9033204005573, 10.782470939458955 59.903318185796394, 10.783116946817337 59.903298290736856, 10.783275212082069 59.90331104969332)</t>
  </si>
  <si>
    <t>[770556, 770564, 770580, 770589, 770599, 770607]</t>
  </si>
  <si>
    <t>[749998, 750008, 750031, 750039, 750051, 520105]</t>
  </si>
  <si>
    <t>[734607, 749998, 750008, 750031, 750039, 750051]</t>
  </si>
  <si>
    <t>[0.819, 0.134, 0.106, 0.034, 0.003, 0.398]</t>
  </si>
  <si>
    <t>93.83857271303778</t>
  </si>
  <si>
    <t>[0.018, -0.059]</t>
  </si>
  <si>
    <t>LINESTRING (10.783398564871437 59.903312304633225, 10.78347860278947 59.90334454109719, 10.783489647995953 59.903426717775496)</t>
  </si>
  <si>
    <t>[513856, 513864]</t>
  </si>
  <si>
    <t>[520113, 520120]</t>
  </si>
  <si>
    <t>[520106, 520113]</t>
  </si>
  <si>
    <t>[0.018, 0.059]</t>
  </si>
  <si>
    <t>15.234910432371297</t>
  </si>
  <si>
    <t>[-0.092, -0.102, -0.091, -0.06]</t>
  </si>
  <si>
    <t>LINESTRING (10.783489647995953 59.903426717775496, 10.783454032656639 59.90345345034708, 10.783378095489452 59.90347349605667, 10.783279814825438 59.903472145315135, 10.7832245852629 59.903455989226764)</t>
  </si>
  <si>
    <t>[513872, 513880, 513888, 513896]</t>
  </si>
  <si>
    <t>[520129, 520137, 520147, 520155]</t>
  </si>
  <si>
    <t>[520120, 520129, 520137, 520147]</t>
  </si>
  <si>
    <t>[0.092, 0.102, 0.091, 0.06]</t>
  </si>
  <si>
    <t>17.46811647344984</t>
  </si>
  <si>
    <t>[0.01, 0.068, 0.124, 0.118, 0.08, 0.084, 0.001, -0.04, 0.021, 0.015, -0.019, -0.048, 0.052, -0.05, 0.017, 0.025, 0.036, 0.026, -0.064, 0.014, -0.047, -0.007, -0.039, 0.011, 0.104, 0.075, 0.03, -0.032, 0.044, -0.026, 0.1, 0.095, 0.058, -0.005, -0.052, -0.023, -0.017, 0.032, 0.022, 0.021, -0.005, -0.025, -0.044, 0.017, -0.011, -0.017, -0.016, 0.011, 0.032, 0.046, 0.043, 0.011]</t>
  </si>
  <si>
    <t>LINESTRING (7.986144015451067 59.57088399069574, 7.985987385896919 59.57096570784782, 7.984036375118192 59.57202527411299, 7.983078200751139 59.5722742406236, 7.982102954351096 59.57242887988034, 7.977689535422758 59.57333175885831, 7.977215924021643 59.57345656569951, 7.974243452153706 59.57372144159619, 7.9726149904946135 59.57345475747562, 7.972191356134875 59.57331932170442, 7.969557572936259 59.57228353384494, 7.967724830225413 59.571420317760925, 7.963793978118 59.57049438352532, 7.960451924349014 59.57206701884985, 7.95792131810795 59.57233132504113, 7.9566096440681155 59.572621181710794, 7.949404217191083 59.57483934720824, 7.9429936884202705 59.57552123623655, 7.942724849275516 59.57560249886921, 7.941681114986032 59.575767449281265, 7.9364369716298695 59.5790958323188, 7.93163877180596 59.58206147761029, 7.922978297725384 59.58647424154935, 7.922126231516688 59.586549677040914, 7.918849311552079 59.587743426419195, 7.918344473187641 59.58807553387471, 7.9163754988856265 59.5888360791709, 7.909695812932673 59.59093973433722, 7.906507459013547 59.591574124229076, 7.900761637476668 59.59994443554857, 7.898835418701367 59.60238251153727, 7.898936121553103 59.60299003592197, 7.898935640526432 59.603089026147, 7.898934891088491 59.603110429123774, 7.898040408870744 59.60468713100513, 7.8973479181512225 59.6056499962703, 7.89632381553512 59.606952605959485, 7.894398823359186 59.60801795790463, 7.893710949604019 59.60983444716515, 7.893424712997446 59.61005439769237, 7.892853980180631 59.610501044350535, 7.891881122486641 59.61124121005004, 7.890793674815957 59.61213053116474, 7.886620385428245 59.61492801806134, 7.8855423148835095 59.61511549651483, 7.884766001144523 59.615194272230795, 7.883229974682746 59.61533266909093, 7.883082172152593 59.61534773293992, 7.881036840320393 59.615777782144946, 7.879397368028981 59.6162227236645, 7.879241043665423 59.61626059216526, 7.878704112727009 59.61637910311893, 7.875762160997023 59.61658160563686)</t>
  </si>
  <si>
    <t>[991481, 991504, 991505, 991513, 991514, 991535, 991543, 991544, 991551, 991575, 991587, 991593, 991596, 991598, 991613, 991621, 991622, 991623, 991630, 991631, 991635, 991650, 991658, 991666, 991667, 991668, 991674, 991682, 991692, 991693, 991694, 991710, 991714, 991715, 991718, 991747, 991756, 991768, 991776, 991777, 991784, 991792, 991813, 991825, 991826, 991833, 991841, 991849, 991857, 991858, 991875, 991876]</t>
  </si>
  <si>
    <t>[950236, 793497, 793588, 950255, 793525, 314021, 758513, 950281, 950286, 764556, 764535, 764570, 758932, 950325, 758915, 764560, 950346, 758502, 758488, 950355, 950360, 756483, 762784, 950387, 764593, 751391, 950391, 950398, 950403, 949065, 950404, 949064, 490209, 490188, 490176, 490174, 950472, 765690, 950493, 950494, 949263, 788595, 756436, 950539, 490164, 756431, 950552, 490162, 950566, 950567, 765723, 950581]</t>
  </si>
  <si>
    <t>0.010631760834326693</t>
  </si>
  <si>
    <t>[520142, 950236, 793497, 793588, 950255, 793525, 314021, 758513, 950281, 950286, 764556, 764535, 764570, 758932, 950325, 758915, 764560, 950346, 758502, 758488, 950355, 950360, 756483, 762784, 950387, 764593, 751391, 950391, 950398, 950403, 949065, 950404, 949064, 490209, 490188, 490176, 490174, 950472, 765690, 950493, 950494, 949263, 788595, 756436, 950539, 490164, 756431, 950552, 490162, 950566, 950567, 765723]</t>
  </si>
  <si>
    <t>[0.01, 0.068, 0.124, 0.118, 0.08, 0.084, 0.001, 0.04, 0.021, 0.015, 0.019, 0.048, 0.052, 0.05, 0.017, 0.025, 0.036, 0.026, 0.064, 0.014, 0.047, 0.007, 0.039, 0.011, 0.104, 0.075, 0.03, 0.032, 0.044, 0.026, 0.1, 0.095, 0.058, 0.005, 0.052, 0.023, 0.017, 0.032, 0.022, 0.021, 0.005, 0.025, 0.044, 0.017, 0.011, 0.017, 0.016, 0.011, 0.032, 0.046, 0.043, 0.011]</t>
  </si>
  <si>
    <t>9490.937154490577</t>
  </si>
  <si>
    <t>[-0.053, -0.059, -0.089, -0.081, -0.056, -0.025, -0.001, 0.143, 0.156, 0.163, 0.14, 0.079, 0.069]</t>
  </si>
  <si>
    <t>LINESTRING (7.5540442362868525 59.734585457484904, 7.552624540260217 59.73465055017768, 7.552538218409339 59.734662852862705, 7.551831579438558 59.734806336072644, 7.551602660052552 59.7348570295898, 7.551335556608597 59.73490259717229, 7.550463018632119 59.73495646895729, 7.550413958434831 59.73495549318383, 7.54995544192123 59.734923667950135, 7.549813295844497 59.73490677962715, 7.549548377917281 59.734863845532175, 7.548871664478083 59.73467751386994, 7.5478407865350094 59.734300143613474, 7.547485800883165 59.73419919873253)</t>
  </si>
  <si>
    <t>[513891, 513899, 513907, 513915, 513923, 513931, 513939, 513947, 513955, 513963, 513971, 513979, 513987]</t>
  </si>
  <si>
    <t>[520151, 520159, 520169, 520179, 520188, 520197, 520205, 520217, 520228, 520237, 520246, 520256, 520266]</t>
  </si>
  <si>
    <t>0.023132502349003308</t>
  </si>
  <si>
    <t>[520150, 520151, 520159, 520169, 520179, 520188, 520197, 520205, 520217, 520228, 520237, 520246, 520256]</t>
  </si>
  <si>
    <t>[0.053, 0.059, 0.089, 0.081, 0.056, 0.025, 0.001, 0.143, 0.156, 0.163, 0.14, 0.079, 0.069]</t>
  </si>
  <si>
    <t>399.6949784923075</t>
  </si>
  <si>
    <t>[-0.032, -0.092, -0.086, -0.058, -0.108, -0.043, -0.026, -0.004, 0.129, 0.136, 0.161, 0.136, 0.106, 0.074, 0.074]</t>
  </si>
  <si>
    <t>LINESTRING (7.5540442362868525 59.734585457484904, 7.552552474551563 59.73458193229243, 7.551846629839697 59.73472634448952, 7.551622958533024 59.73477960956818, 7.551553527304547 59.7347940107193, 7.551485166469759 59.73480666037018, 7.551292813304218 59.73483473042048, 7.550468672412419 59.73488033309178, 7.550416020519698 59.73487968455097, 7.549991429884388 59.73485277852304, 7.549855762706014 59.73483671053688, 7.549593293069595 59.73479273484519, 7.548962401104332 59.73461483274933, 7.548871484401999 59.73457989046273, 7.54788080898104 59.73425849369159, 7.547485800883165 59.73419919873253)</t>
  </si>
  <si>
    <t>[900592, 900599, 900605, 900606, 900607, 900615, 900622, 900630, 900651, 900659, 900694, 900723, 900735, 900741, 900742]</t>
  </si>
  <si>
    <t>[875131, 875138, 875144, 875145, 875146, 875154, 875162, 875171, 873113, 875201, 875244, 875277, 875293, 875301, 520266]</t>
  </si>
  <si>
    <t>0.023401818653086288</t>
  </si>
  <si>
    <t>[520150, 875131, 875138, 875144, 875145, 875146, 875154, 875162, 875171, 873113, 875201, 875244, 875277, 875293, 875301]</t>
  </si>
  <si>
    <t>[0.032, 0.092, 0.086, 0.058, 0.108, 0.043, 0.026, 0.004, 0.129, 0.136, 0.161, 0.136, 0.106, 0.074, 0.074]</t>
  </si>
  <si>
    <t>396.41962995781006</t>
  </si>
  <si>
    <t>[-0.021, -0.02, 0.004, 0.004, 0.035, 0.01, 0.064, 0.114, 0.116, -0.025, 0.001, -0.003, 0.001, -0.003, 0.009, 0.054, 0.081, 0.118, 0.046]</t>
  </si>
  <si>
    <t>[0, 0, 0, 0, 0, 1, 0, 1, 0, 0, 0, 0, 0, 0, 0, 0, 0, 0, 0]</t>
  </si>
  <si>
    <t>LINESTRING (7.603128885620013 59.73668777841113, 7.603037793370643 59.73669349616432, 7.602533506698498 59.736715460685716, 7.601429229537419 59.73673222555944, 7.60129215618442 59.736732345026006, 7.592320644963416 59.737282123140496, 7.591790629883521 59.73731092879821, 7.588699521578506 59.73717235046598, 7.588535571308229 59.737155017191554, 7.584993039774201 59.736796454633364, 7.5669969520762 59.73654551817158, 7.565136788688519 59.736464761766484, 7.565036919784475 59.73645966512167, 7.564935998430006 59.73645392239201, 7.5648500150392755 59.736448714012226, 7.563443099988254 59.73632489546588, 7.555590592210827 59.73485402914389, 7.555538670790178 59.73483972699951, 7.555387899927742 59.73480164967804, 7.5540442362868525 59.734585457484904)</t>
  </si>
  <si>
    <t>[912162, 912170, 912178, 912186, 912194, 912202, 912210, 912218, 992197, 992198, 992205, 992208, 992209, 992214, 992222, 992230, 992248, 992254, 992255]</t>
  </si>
  <si>
    <t>[885227, 885234, 681731, 885243, 885248, 885254, 885259, 885266, 950859, 950860, 950865, 950868, 950869, 950874, 950878, 950886, 950902, 950907, 520150]</t>
  </si>
  <si>
    <t>0.02085038681667797</t>
  </si>
  <si>
    <t>[885221, 885227, 885234, 681731, 885243, 885248, 885254, 885259, 885266, 950859, 950860, 950865, 950868, 950869, 950874, 950878, 950886, 950902, 950907]</t>
  </si>
  <si>
    <t>[0.021, 0.02, 0.004, 0.004, 0.035, 0.01, 0.064, 0.114, 0.116, 0.025, 0.001, 0.003, 0.001, 0.003, 0.009, 0.054, 0.081, 0.118, 0.046]</t>
  </si>
  <si>
    <t>2840.3654882180704</t>
  </si>
  <si>
    <t>[-0.822, -0.109, 0.101, -0.044, 0.539]</t>
  </si>
  <si>
    <t>LINESTRING (10.781538033427886 59.90335858046001, 10.781657787455893 59.90337548381657, 10.782113750574545 59.9033793896294, 10.782401998032997 59.90336489022048, 10.783093222252669 59.90342336681242, 10.7832245852629 59.903455989226764)</t>
  </si>
  <si>
    <t>[763679, 763687, 763695, 763703, 763711]</t>
  </si>
  <si>
    <t>[742873, 742879, 742887, 742896, 520155]</t>
  </si>
  <si>
    <t>[734619, 742873, 742879, 742887, 742896]</t>
  </si>
  <si>
    <t>[0.822, 0.109, 0.101, 0.044, 0.539]</t>
  </si>
  <si>
    <t>96.52322938765563</t>
  </si>
  <si>
    <t>LINESTRING (7.547485800883165 59.73419919873253, 7.330717113007725 59.79160262757651)</t>
  </si>
  <si>
    <t>17366.90531857906</t>
  </si>
  <si>
    <t>[-0.065, 0.007]</t>
  </si>
  <si>
    <t>LINESTRING (10.866491270606927 59.92893474716795, 10.866339043662217 59.92893446401914, 10.866207342567247 59.928870089685084)</t>
  </si>
  <si>
    <t>[514088, 514096]</t>
  </si>
  <si>
    <t>[520372, 520382]</t>
  </si>
  <si>
    <t>[520362, 520372]</t>
  </si>
  <si>
    <t>[0.065, 0.007]</t>
  </si>
  <si>
    <t>19.008466846471258</t>
  </si>
  <si>
    <t>[-0.124, -0.04, 0.001, -0.129]</t>
  </si>
  <si>
    <t>LINESTRING (10.866491270606927 59.92893474716795, 10.865586208981526 59.929513227601596, 10.86473680635725 59.92994185254652, 10.864412150383892 59.93012566525236, 10.864320605530192 59.93021651269778)</t>
  </si>
  <si>
    <t>[757878, 757886, 757894, 757902]</t>
  </si>
  <si>
    <t>[737987, 737991, 738001, 520437]</t>
  </si>
  <si>
    <t>[520362, 737987, 737991, 738001]</t>
  </si>
  <si>
    <t>[0.124, 0.04, 0.001, 0.129]</t>
  </si>
  <si>
    <t>188.5227639781093</t>
  </si>
  <si>
    <t>[0.106, 0.077, 0.035, -0.049, -0.079, -0.129, -0.099]</t>
  </si>
  <si>
    <t>LINESTRING (10.866316817557848 59.928717792877194, 10.866359917747841 59.92870944458027, 10.866471327292476 59.92870664821249, 10.866606939567175 59.92873977537847, 10.866642088584022 59.92877022541358, 10.866659787661648 59.92883304382255, 10.866633202048657 59.928876337242336, 10.866491270606927 59.92893474716795)</t>
  </si>
  <si>
    <t>[514120, 514128, 514136, 514056, 514064, 514072, 514080]</t>
  </si>
  <si>
    <t>[520412, 520422, 520335, 520336, 520343, 520351, 520362]</t>
  </si>
  <si>
    <t>[520401, 520412, 520422, 520335, 520336, 520343, 520351]</t>
  </si>
  <si>
    <t>[0.106, 0.077, 0.035, 0.049, 0.079, 0.129, 0.099]</t>
  </si>
  <si>
    <t>43.865240805304765</t>
  </si>
  <si>
    <t>6.306346010720395</t>
  </si>
  <si>
    <t>[-0.157, -0.02, 0.069, -0.177]</t>
  </si>
  <si>
    <t>LINESTRING (10.866207342567247 59.928870089685084, 10.865477815513533 59.92944868525795, 10.864624840575827 59.929880820699005, 10.864246044591304 59.93003564494421, 10.864076368933011 59.930071674511794)</t>
  </si>
  <si>
    <t>[763767, 763775, 763783, 763791]</t>
  </si>
  <si>
    <t>[742955, 742964, 742973, 520481]</t>
  </si>
  <si>
    <t>[520382, 742955, 742964, 742973]</t>
  </si>
  <si>
    <t>[0.157, 0.02, 0.069, 0.177]</t>
  </si>
  <si>
    <t>184.14818057405606</t>
  </si>
  <si>
    <t>0.104</t>
  </si>
  <si>
    <t>13.418654314572159</t>
  </si>
  <si>
    <t>[-0.991, -0.044, -0.093, -0.063]</t>
  </si>
  <si>
    <t>LINESTRING (10.866185601018344 59.92881456188686, 10.866115679904054 59.9287862928227, 10.865792501663192 59.928691630881026, 10.865550616305182 59.928663356914704, 10.865039557119005 59.929228130130234)</t>
  </si>
  <si>
    <t>[728108, 728116, 728124, 728132]</t>
  </si>
  <si>
    <t>[717146, 717151, 717156, 717094]</t>
  </si>
  <si>
    <t>[520391, 717146, 717151, 717156]</t>
  </si>
  <si>
    <t>[0.991, 0.044, 0.093, 0.063]</t>
  </si>
  <si>
    <t>121.91173294792792</t>
  </si>
  <si>
    <t>[0.033, 0.803]</t>
  </si>
  <si>
    <t>LINESTRING (10.865839350901272 59.92858880585577, 10.86620925559249 59.92868223730476, 10.866316817557848 59.928717792877194)</t>
  </si>
  <si>
    <t>[727980, 727988]</t>
  </si>
  <si>
    <t>[717063, 520401]</t>
  </si>
  <si>
    <t>0.21567004888385943</t>
  </si>
  <si>
    <t>[717057, 717063]</t>
  </si>
  <si>
    <t>30.366409190800844</t>
  </si>
  <si>
    <t>14.79384313426689</t>
  </si>
  <si>
    <t>[0.01, -0.033]</t>
  </si>
  <si>
    <t>LINESTRING (10.864076368933011 59.930071674511794, 10.864262449723654 59.930110677892806, 10.864320605530192 59.93021651269778)</t>
  </si>
  <si>
    <t>[514192, 514200]</t>
  </si>
  <si>
    <t>[520488, 520437]</t>
  </si>
  <si>
    <t>[520481, 520488]</t>
  </si>
  <si>
    <t>[0.01, 0.033]</t>
  </si>
  <si>
    <t>24.11308467415469</t>
  </si>
  <si>
    <t>[-0.021, -0.007, 0.017, 0.033]</t>
  </si>
  <si>
    <t>LINESTRING (10.864144782941123 59.93030916367386, 10.864054165357777 59.93031153231577, 10.86393770251718 59.93028742868524, 10.863853697159914 59.93022312054415, 10.863865628677294 59.93014524631344)</t>
  </si>
  <si>
    <t>[514152, 514160, 514168, 514176]</t>
  </si>
  <si>
    <t>[520446, 520452, 520459, 520469]</t>
  </si>
  <si>
    <t>0.009423694538750388</t>
  </si>
  <si>
    <t>[520438, 520446, 520452, 520459]</t>
  </si>
  <si>
    <t>[0.021, 0.007, 0.017, 0.033]</t>
  </si>
  <si>
    <t>29.39457240433447</t>
  </si>
  <si>
    <t>[0.25, 0.009, 0.032, 0.041, -0.338]</t>
  </si>
  <si>
    <t>LINESTRING (10.867046515061693 59.93090502530914, 10.86687610191684 59.930878098224674, 10.865383797067205 59.9304329482325, 10.864883508605397 59.93036830972144, 10.86430379136008 59.93031631558162, 10.864144782941123 59.93030916367386)</t>
  </si>
  <si>
    <t>[751786, 728196, 728204, 728212, 728220]</t>
  </si>
  <si>
    <t>[717208, 717209, 717214, 717219, 520438]</t>
  </si>
  <si>
    <t>0.014749718975150148</t>
  </si>
  <si>
    <t>[733369, 717208, 717209, 717214, 717219]</t>
  </si>
  <si>
    <t>[0.25, 0.009, 0.032, 0.041, 0.338]</t>
  </si>
  <si>
    <t>178.84935941429433</t>
  </si>
  <si>
    <t>14.94659791253894</t>
  </si>
  <si>
    <t>[0.269, -0.026, -0.047, -0.043, -0.038, -0.031, 0.386]</t>
  </si>
  <si>
    <t>LINESTRING (10.863865628677294 59.93014524631344, 10.863833861989763 59.93006239409449, 10.863797178551465 59.93001179112706, 10.863525635075499 59.92961276254675, 10.861979593456976 59.92825447896959, 10.860920397657864 59.927756350874446, 10.860349710399406 59.927535212522194, 10.860248027430936 59.92746008720981)</t>
  </si>
  <si>
    <t>[728060, 728068, 728076, 728084, 728092, 728100, 751770]</t>
  </si>
  <si>
    <t>[717114, 717118, 717124, 717129, 717135, 717142, 733360]</t>
  </si>
  <si>
    <t>[520469, 717114, 717118, 717124, 717129, 717135, 717142]</t>
  </si>
  <si>
    <t>[0.269, 0.026, 0.047, 0.043, 0.038, 0.031, 0.386]</t>
  </si>
  <si>
    <t>369.29910282859606</t>
  </si>
  <si>
    <t>0.732</t>
  </si>
  <si>
    <t>7.411214542695987</t>
  </si>
  <si>
    <t>[-0.029, -0.006, -0.002, 0.007, 0.014, -0.006, 0.029, -0.004]</t>
  </si>
  <si>
    <t>LINESTRING (10.804841063628725 59.89093734761278, 10.80424400778995 59.89283434095129, 10.804241588520965 59.89325330810764, 10.804373522623777 59.893644514112005, 10.804529037762112 59.89392696554647, 10.804707895569937 59.89422638148413, 10.80475264532747 59.89441998144892, 10.804715459326255 59.894786391161496, 10.80473130560835 59.894830954252306)</t>
  </si>
  <si>
    <t>[727068, 727076, 727084, 727092, 727100, 727108, 727116, 727124]</t>
  </si>
  <si>
    <t>[716383, 716389, 716394, 716401, 716407, 716413, 716419, 716426]</t>
  </si>
  <si>
    <t>[520728, 716383, 716389, 716394, 716401, 716407, 716413, 716419]</t>
  </si>
  <si>
    <t>[0.029, 0.006, 0.002, 0.007, 0.014, 0.006, 0.029, 0.004]</t>
  </si>
  <si>
    <t>440.49162423049756</t>
  </si>
  <si>
    <t>[0.718, 0.002, 0.051, 0.002, -0.024]</t>
  </si>
  <si>
    <t>LINESTRING (10.808252157804153 59.88859884672025, 10.80821459616721 59.888612935321135, 10.80756116871608 59.888700910558306, 10.806840328227366 59.88874600308891, 10.806044238008337 59.8892283181996, 10.804841063628725 59.89093734761278)</t>
  </si>
  <si>
    <t>[751482, 514400, 449223, 449231, 514408]</t>
  </si>
  <si>
    <t>[520718, 447963, 447964, 447973, 520728]</t>
  </si>
  <si>
    <t>[733112, 520718, 447963, 447964, 447973]</t>
  </si>
  <si>
    <t>[0.718, 0.002, 0.051, 0.002, 0.024]</t>
  </si>
  <si>
    <t>356.00151241504886</t>
  </si>
  <si>
    <t>0.654</t>
  </si>
  <si>
    <t>8.632641600363023</t>
  </si>
  <si>
    <t>0.77</t>
  </si>
  <si>
    <t>8.091971329807759</t>
  </si>
  <si>
    <t>[0.022, 0.018, 0.037, -1.54]</t>
  </si>
  <si>
    <t>3786.0</t>
  </si>
  <si>
    <t>LINESTRING (10.8044931524277 59.89089321947767, 10.805846344655597 59.88903288474125, 10.806234941428983 59.888596349892396, 10.806326621489402 59.887651831155615, 10.806354727707316 59.887609883078234)</t>
  </si>
  <si>
    <t>[514416, 514424, 514432, 1813711]</t>
  </si>
  <si>
    <t>[520737, 520748, 520757, 748560]</t>
  </si>
  <si>
    <t>0.0058495405461589664</t>
  </si>
  <si>
    <t>[520736, 520737, 520748, 520757]</t>
  </si>
  <si>
    <t>[0.022, 0.018, 0.037, 1.54]</t>
  </si>
  <si>
    <t>388.7946087497409</t>
  </si>
  <si>
    <t>[-0.002, -0.016, 0.004, 0.003, 0.035]</t>
  </si>
  <si>
    <t>LINESTRING (10.804340657668485 59.894863455383344, 10.804322803295838 59.89482062648331, 10.803857520838982 59.89415481167416, 10.803765767936493 59.89332287807033, 10.803921786274234 59.89265439754208, 10.8044931524277 59.89089321947767)</t>
  </si>
  <si>
    <t>[727132, 727140, 727148, 727156, 727164]</t>
  </si>
  <si>
    <t>[716436, 716442, 716449, 716456, 520736]</t>
  </si>
  <si>
    <t>0.013931143624986698</t>
  </si>
  <si>
    <t>[716435, 716436, 716442, 716449, 716456]</t>
  </si>
  <si>
    <t>[0.002, 0.016, 0.004, 0.003, 0.035]</t>
  </si>
  <si>
    <t>451.11502752010176</t>
  </si>
  <si>
    <t>0.777</t>
  </si>
  <si>
    <t>7.892401408777974</t>
  </si>
  <si>
    <t>6.815423685257531</t>
  </si>
  <si>
    <t>[0.021, -0.029, -0.035]</t>
  </si>
  <si>
    <t>LINESTRING (10.810114375094612 59.89644738809543, 10.81296344436638 59.89767768452412, 10.81395516320053 59.898169314376865, 10.814160310994065 59.89824847227109)</t>
  </si>
  <si>
    <t>[514576, 514584, 514592]</t>
  </si>
  <si>
    <t>[520930, 520940, 520950]</t>
  </si>
  <si>
    <t>0.005445966443723329</t>
  </si>
  <si>
    <t>[520929, 520930, 520940]</t>
  </si>
  <si>
    <t>[0.021, 0.029, 0.035]</t>
  </si>
  <si>
    <t>302.8908521732106</t>
  </si>
  <si>
    <t>[-0.077, -0.002, 0.066]</t>
  </si>
  <si>
    <t>LINESTRING (10.806093588320975 59.89529324564204, 10.80680868354827 59.89545655328335, 10.809178886690363 59.896117285504225, 10.810114375094612 59.89644738809543)</t>
  </si>
  <si>
    <t>[727220, 727228, 727236]</t>
  </si>
  <si>
    <t>[716507, 716514, 520929]</t>
  </si>
  <si>
    <t>0.002030378860254764</t>
  </si>
  <si>
    <t>[716502, 716507, 716514]</t>
  </si>
  <si>
    <t>[0.077, 0.002, 0.066]</t>
  </si>
  <si>
    <t>259.86068207996334</t>
  </si>
  <si>
    <t>7.406078584471769</t>
  </si>
  <si>
    <t>[0.0, 0.095]</t>
  </si>
  <si>
    <t>LINESTRING (10.815406372527464 59.89906053059026, 10.815406372527464 59.89906053059026, 10.815456262294939 59.89914753472664)</t>
  </si>
  <si>
    <t>[514648, 751922]</t>
  </si>
  <si>
    <t>[521011, 733470]</t>
  </si>
  <si>
    <t>0.009733986414466402</t>
  </si>
  <si>
    <t>[521003, 521011]</t>
  </si>
  <si>
    <t>98.47547588848792</t>
  </si>
  <si>
    <t>[-0.417, -0.005, 0.022, 0.046, 0.043, 0.047, 0.027]</t>
  </si>
  <si>
    <t>LINESTRING (10.787233316582926 59.72421589015353, 10.787276864901976 59.72419525975309, 10.787387172481262 59.7241732672794, 10.787504974271453 59.724180828098554, 10.787557268035227 59.72419536598118, 10.787642025871744 59.72425041984262, 10.787643747323349 59.72433005084935, 10.787580050126158 59.724380605578325)</t>
  </si>
  <si>
    <t>[1532746, 1532754, 1532762, 1532770, 1532778, 1532786, 1532794]</t>
  </si>
  <si>
    <t>[1385471, 1385475, 1385482, 522575, 1385498, 477319, 1359923]</t>
  </si>
  <si>
    <t>[522565, 1385471, 1385475, 1385482, 522575, 1385498, 477319]</t>
  </si>
  <si>
    <t>[0.417, 0.005, 0.022, 0.046, 0.043, 0.047, 0.027]</t>
  </si>
  <si>
    <t>43.401182787432205</t>
  </si>
  <si>
    <t>[0.027, 0.029, 0.023, -0.006, -0.004, -0.007, -0.005, -0.004, -0.004]</t>
  </si>
  <si>
    <t>LINESTRING (10.905731473777092 63.44956329273632, 10.907639724380582 63.45060853774866, 10.90819881921127 63.45103926311311, 10.908804203327977 63.45163279859649, 10.90928026121046 63.45227740383053, 10.909316186937714 63.45233489811053, 10.909503998487631 63.45265885414338, 10.909778000179012 63.453139735350554, 10.909943171382888 63.453451851751886, 10.910009666162324 63.45359241150598)</t>
  </si>
  <si>
    <t>[533751, 533759, 533767, 533775, 533783, 533791, 533799, 533815, 533823]</t>
  </si>
  <si>
    <t>[541260, 541269, 541277, 541286, 541293, 541301, 541309, 541322, 541329]</t>
  </si>
  <si>
    <t>0.012117563170228563</t>
  </si>
  <si>
    <t>[541253, 541260, 541269, 541277, 541286, 541293, 541301, 541309, 541322]</t>
  </si>
  <si>
    <t>[0.027, 0.029, 0.023, 0.006, 0.004, 0.007, 0.005, 0.004, 0.004]</t>
  </si>
  <si>
    <t>505.8152508248413</t>
  </si>
  <si>
    <t>[0.02, 0.021, 0.023, -0.002]</t>
  </si>
  <si>
    <t>LINESTRING (10.905731473777092 63.44956329273632, 10.905870728399327 63.449599615323876, 10.905989684195523 63.449639841311416, 10.912318021419576 63.45144574824293, 10.912614209794919 63.45148118787348)</t>
  </si>
  <si>
    <t>[625466, 597395, 597403, 597411]</t>
  </si>
  <si>
    <t>[600772, 600773, 600779, 600786]</t>
  </si>
  <si>
    <t>0.022024981291252972</t>
  </si>
  <si>
    <t>[541253, 600772, 600773, 600779]</t>
  </si>
  <si>
    <t>[0.02, 0.021, 0.023, 0.002]</t>
  </si>
  <si>
    <t>432.22918173134036</t>
  </si>
  <si>
    <t>[-0.116, 0.007, 0.0, 0.002, -0.001, -0.001, 0.001, 0.004, 0.004, 0.003, 0.005, 0.0, 0.006, -0.004, -0.009, -0.013, -0.005, 0.116, 0.002, -0.175, -0.004, -0.0]</t>
  </si>
  <si>
    <t>10792.0</t>
  </si>
  <si>
    <t>LINESTRING (10.910009666162324 63.45359241150598, 10.910052013246538 63.45367849292845, 10.910338026077591 63.4549152604077, 10.910340929611353 63.454960151046286, 10.91034518511579 63.45504336228135, 10.910322726336222 63.455415776949174, 10.910307419205262 63.45552286789223, 10.910260637165363 63.45576612312115, 10.910207845300924 63.455994645001894, 10.910167582348812 63.45615897928505, 10.910103227049353 63.456403322450676, 10.910040080530637 63.45692753831269, 10.910039939922157 63.45693077013788, 10.910039524834803 63.45694069950664, 10.910037279351556 63.45714568025706, 10.91033606979463 63.458369428610595, 10.911099510429988 63.459593978210584, 10.9125744758185 63.46209361887484, 10.91263728251975 63.46224755380149, 10.912840404801644 63.46299428120464, 10.912871061656354 63.46315866685736, 10.912600512799518 63.46529214870561, 10.912561368394547 63.46537329147605)</t>
  </si>
  <si>
    <t>[1750139, 632141, 632149, 632157, 632165, 632173, 632181, 632189, 632197, 632205, 632213, 632221, 632229, 632237, 632245, 632253, 632261, 1750284, 1750299, 1750307, 628955, 628963]</t>
  </si>
  <si>
    <t>[627490, 627491, 627499, 627507, 627516, 627526, 627534, 627541, 627548, 627556, 627566, 627574, 627582, 627594, 627602, 627611, 627618, 1550950, 1550954, 624878, 624879, 624887]</t>
  </si>
  <si>
    <t>[541329, 627490, 627491, 627499, 627507, 627516, 627526, 627534, 627541, 627548, 627556, 627566, 627574, 627582, 627594, 627602, 627611, 627618, 1550950, 1550954, 624878, 624879]</t>
  </si>
  <si>
    <t>[0.116, 0.007, 0.0, 0.002, 0.001, 0.001, 0.001, 0.004, 0.004, 0.003, 0.005, 0.0, 0.006, 0.004, 0.009, 0.013, 0.005, 0.116, 0.002, 0.175, 0.004, 0.0]</t>
  </si>
  <si>
    <t>1333.5310558576857</t>
  </si>
  <si>
    <t>[-0.005, -0.013, -0.005, -0.011]</t>
  </si>
  <si>
    <t>LINESTRING (10.911051050219426 63.45148589389355, 10.910755224264252 63.451532256437666, 10.909825241070493 63.45308084701932, 10.91001386951871 63.45345227567885, 10.910009666162324 63.45359241150598)</t>
  </si>
  <si>
    <t>[597540, 1750138, 1438283, 1438305]</t>
  </si>
  <si>
    <t>[600868, 1307318, 1307319, 541329]</t>
  </si>
  <si>
    <t>[600817, 600868, 1307318, 1307319]</t>
  </si>
  <si>
    <t>[0.005, 0.013, 0.005, 0.011]</t>
  </si>
  <si>
    <t>268.57954973465246</t>
  </si>
  <si>
    <t>[0.04, 0.103, 0.086, -0.014, -0.068]</t>
  </si>
  <si>
    <t>LINESTRING (11.065607728077566 63.619023777024346, 11.066575211809086 63.61933330706834, 11.067525470940566 63.61963812516558, 11.06834826757477 63.61990922055369, 11.069683260385203 63.620483998882804, 11.069776209435037 63.62063026017932)</t>
  </si>
  <si>
    <t>[533831, 533839, 533847, 533855, 2117484]</t>
  </si>
  <si>
    <t>[541336, 541345, 541356, 541363, 1328512]</t>
  </si>
  <si>
    <t>0.037058813065377325</t>
  </si>
  <si>
    <t>[541335, 541336, 541345, 541356, 541363]</t>
  </si>
  <si>
    <t>[0.04, 0.103, 0.086, 0.014, 0.068]</t>
  </si>
  <si>
    <t>277.27961954921125</t>
  </si>
  <si>
    <t>[0.03, 0.094, -0.009, -0.057]</t>
  </si>
  <si>
    <t>LINESTRING (11.065607728077566 63.619023777024346, 11.066517544722323 63.6193710731006, 11.068271493989009 63.619953689661294, 11.069596236821729 63.62052123182352, 11.069776209435037 63.62063026017932)</t>
  </si>
  <si>
    <t>[680861, 680869, 680877, 2117476]</t>
  </si>
  <si>
    <t>[671725, 671733, 671741, 1328512]</t>
  </si>
  <si>
    <t>0.03755321075793612</t>
  </si>
  <si>
    <t>[541335, 671725, 671733, 671741]</t>
  </si>
  <si>
    <t>[0.03, 0.094, 0.009, 0.057]</t>
  </si>
  <si>
    <t>274.6371295118097</t>
  </si>
  <si>
    <t>[-0.035, -0.082, -0.09, 0.594, -0.123, -0.112, 0.015, 0.032, 0.135, 0.045, -0.006, -0.037, 0.019, 0.013, 0.006, -0.044, 0.108, 0.009, -0.015, 0.089, -0.019, -0.037, -0.011, -0.0, 0.019, -0.03, -0.013, 0.032, 0.009, 0.006, 0.035, 0.056, 0.053, 0.063, 0.061, 0.032, 0.06, 0.078, -0.089, 0.051, 0.003, -0.022, -0.027, -0.055, 0.017, -0.018, 0.021, -0.012, -0.094, -0.041, -0.011, 0.038, -0.012, -0.051, -0.05, -0.055, -0.031, -0.021, 0.015, 0.011, -0.001, 0.002, 0.003, -0.044, -0.072, -0.058, -0.045, 0.02, 0.018, 0.011, 0.007, 0.001, -0.002, 0.011, 0.007, 0.003, -0.011, -0.021, -0.017, -0.026, -0.029, -0.045, 0.0, -0.008, -0.036, 0.009, -0.031, -0.099, -0.024, 0.049, -0.016, -0.089, -0.022]</t>
  </si>
  <si>
    <t>8447.0</t>
  </si>
  <si>
    <t>[0, 0, 0, 0, 1, 0, 0, 0, 0, 0, 0, 0, 0, 0, 0, 0, 0, 0, 0, 0, 0, 0, 0, 0, 0, 0, 0, 0, 0, 0, 0, 0, 0, 0, 0, 0, 0, 0, 0, 0, 0, 0, 0, 0, 0, 0, 0, 0, 0, 0, 0, 0, 0, 0, 1, 0, 0, 0, 0, 0, 0, 0, 0, 0, 0, 0, 0, 0, 0, 0, 0, 0, 0, 0, 0, 0, 0, 0, 0, 0, 0, 0, 0, 0, 0, 0, 0, 0, 0, 0, 0, 0, 0]</t>
  </si>
  <si>
    <t>LINESTRING (10.899603996009947 63.54681223304813, 10.900244176181895 63.54721274972895, 10.900283346716158 63.547246247469246, 10.900676072791505 63.54762179142389, 10.901039338875385 63.548126140758335, 10.901090392027285 63.5482098553384, 10.903635431852505 63.54984001508226, 10.90365230128765 63.54984491085736, 10.904142709116085 63.549984485692725, 10.904159646656893 63.549989329421024, 10.905547848548249 63.55047900661548, 10.921573015472067 63.556243890319664, 10.92264903116836 63.55686683107072, 10.9294504190719 63.55904240418894, 10.931870264296366 63.5596398051237, 10.945337463981085 63.56517915754039, 10.94630247879264 63.56551036705266, 10.950590596435953 63.566976570716015, 10.984592419626297 63.57474382490821, 10.988944443271556 63.57652542559415, 10.991390659515766 63.57742591215208, 10.996425893444057 63.57879772315326, 10.99672345359474 63.57888574580244, 11.001111691013802 63.58047447833495, 11.00781537999313 63.58352376785455, 11.008705038268701 63.58407552338645, 11.008716682155246 63.58408283997625, 11.009814840586245 63.584774946911885, 11.01063911628729 63.585286455724265, 11.010784012923796 63.585375600780885, 11.011981698664545 63.58610097117029, 11.016561344162858 63.588261993757044, 11.017290992285329 63.58854911399285, 11.01744587688795 63.588610559286664, 11.018209407554783 63.588902399278986, 11.018991655155995 63.58920767873921, 11.019101673695749 63.58925019780335, 11.02234243172256 63.59051156677913, 11.022550989829117 63.59058907278397, 11.022566232366211 63.59059494205294, 11.026612559685905 63.592162727009345, 11.030181841520678 63.59284869633805, 11.039903121633545 63.59500009013996, 11.040773633281416 63.59530101054697, 11.040807746019428 63.59531374383358, 11.040822250480812 63.59531915925349, 11.041522175035352 63.59558946368307, 11.041571944421097 63.59560992674089, 11.04407711227371 63.59799614529815, 11.043702362164778 63.59878886850567, 11.041442887095442 63.6006500628694, 11.040655624794388 63.601290085488436, 11.039514798627797 63.60246416003841, 11.039236429911366 63.602729173694684, 11.039066862326667 63.60286456227679, 11.038817016587522 63.603023330459195, 11.038752677691356 63.60306823504237, 11.039836595806989 63.60496574841075, 11.041829864712524 63.6067843648713, 11.0418999287743 63.606848886776845, 11.042083394100198 63.607018347446925, 11.04309683551295 63.607839905904115, 11.04317230597963 63.60788912668328, 11.043245386502997 63.60793593577264, 11.044123195216418 63.608339817640534, 11.044687591259994 63.608513917048704, 11.045957227483438 63.60884207465058, 11.046956346233817 63.60909228784007, 11.04822003871185 63.60943450567306, 11.050666998364022 63.610238265406565, 11.050747027590061 63.61026658565222, 11.051218857318565 63.61042828661281, 11.05177524363565 63.610620074817504, 11.052386570225073 63.61083944476556, 11.052670472099432 63.610940230144344, 11.052756987441542 63.610971603593626, 11.052861941038673 63.61100965856038, 11.0538124212136 63.611371140373755, 11.05485979840369 63.61172199613493, 11.056773156425477 63.612060856225604, 11.057294577270445 63.61211577132232, 11.05766237335661 63.61216402823933, 11.057739144196711 63.612175160787295, 11.058338839945783 63.61228659616946, 11.058544302652022 63.61234046628893, 11.060645225398757 63.61357550448837, 11.060736611590544 63.6136645166563, 11.060954662971088 63.614765433239015, 11.061527302400027 63.61568020148378, 11.062299602721332 63.61605884014696, 11.062907275778171 63.61637054066998, 11.063689865942683 63.6170520483321, 11.063972565605004 63.61784795628774, 11.065607728077566 63.619023777024346)</t>
  </si>
  <si>
    <t>[632782, 632790, 632798, 843919, 843927, 843928, 843945, 843957, 843973, 843974, 632806, 632814, 632822, 632830, 632838, 632847, 632855, 632863, 632871, 632879, 632887, 632895, 632903, 632911, 632919, 632927, 632935, 632943, 632951, 632959, 632967, 632975, 632983, 632991, 632999, 633007, 633015, 633023, 633031, 633039, 633047, 633055, 633063, 633071, 633079, 633087, 633095, 633103, 633111, 633119, 633127, 633135, 633143, 633151, 633159, 633167, 633175, 633183, 633191, 633199, 633207, 633215, 633223, 633231, 633239, 633247, 633255, 633263, 633271, 633279, 633287, 633295, 633303, 633311, 633319, 633327, 633335, 633343, 633351, 633359, 633367, 633375, 633383, 633391, 633399, 633407, 633415, 633423, 633431, 633439, 633447, 633455, 633463]</t>
  </si>
  <si>
    <t>[628155, 628166, 628174, 819690, 819699, 819700, 819715, 819726, 819742, 628180, 579400, 628188, 558840, 628204, 565028, 628217, 628224, 628231, 621975, 548946, 548937, 628259, 548963, 621850, 628283, 628291, 548980, 628306, 548996, 549004, 628324, 628331, 628341, 628348, 628356, 628362, 553320, 628376, 628382, 553332, 628397, 628404, 628413, 628423, 628430, 628437, 628443, 628449, 550565, 628464, 553314, 518908, 507337, 628494, 628500, 548830, 553340, 628518, 628526, 628533, 628540, 628548, 623042, 548736, 628571, 628581, 552928, 628591, 628600, 553017, 628615, 572749, 628630, 628636, 628643, 628649, 628660, 500546, 628672, 628678, 628685, 628693, 628702, 628712, 519976, 628729, 563753, 550917, 628753, 628762, 552064, 628776, 541335]</t>
  </si>
  <si>
    <t>0.0014630668680830114</t>
  </si>
  <si>
    <t>[628154, 628155, 628166, 628174, 819690, 819699, 819700, 819715, 819726, 819742, 628180, 579400, 628188, 558840, 628204, 565028, 628217, 628224, 628231, 621975, 548946, 548937, 628259, 548963, 621850, 628283, 628291, 548980, 628306, 548996, 549004, 628324, 628331, 628341, 628348, 628356, 628362, 553320, 628376, 628382, 553332, 628397, 628404, 628413, 628423, 628430, 628437, 628443, 628449, 550565, 628464, 553314, 518908, 507337, 628494, 628500, 548830, 553340, 628518, 628526, 628533, 628540, 628548, 623042, 548736, 628571, 628581, 552928, 628591, 628600, 553017, 628615, 572749, 628630, 628636, 628643, 628649, 628660, 500546, 628672, 628678, 628685, 628693, 628702, 628712, 519976, 628729, 563753, 550917, 628753, 628762, 552064, 628776]</t>
  </si>
  <si>
    <t>[0.035, 0.082, 0.09, 0.594, 0.123, 0.112, 0.015, 0.032, 0.135, 0.045, 0.006, 0.037, 0.019, 0.013, 0.006, 0.044, 0.108, 0.009, 0.015, 0.089, 0.019, 0.037, 0.011, 0.0, 0.019, 0.03, 0.013, 0.032, 0.009, 0.006, 0.035, 0.056, 0.053, 0.063, 0.061, 0.032, 0.06, 0.078, 0.089, 0.051, 0.003, 0.022, 0.027, 0.055, 0.017, 0.018, 0.021, 0.012, 0.094, 0.041, 0.011, 0.038, 0.012, 0.051, 0.05, 0.055, 0.031, 0.021, 0.015, 0.011, 0.001, 0.002, 0.003, 0.044, 0.072, 0.058, 0.045, 0.02, 0.018, 0.011, 0.007, 0.001, 0.002, 0.011, 0.007, 0.003, 0.011, 0.021, 0.017, 0.026, 0.029, 0.045, 0.0, 0.008, 0.036, 0.009, 0.031, 0.099, 0.024, 0.049, 0.016, 0.089, 0.022]</t>
  </si>
  <si>
    <t>12409.948344750725</t>
  </si>
  <si>
    <t>[0.028, 0.045, -0.057, -0.039]</t>
  </si>
  <si>
    <t>1213.0</t>
  </si>
  <si>
    <t>LINESTRING (11.290627572723654 63.73151823707136, 11.292842621076481 63.731738047940595, 11.29396167922591 63.73186717480158, 11.296125493664924 63.732069971077365, 11.298100287789504 63.73215185008481)</t>
  </si>
  <si>
    <t>[534031, 534039, 851297, 851305]</t>
  </si>
  <si>
    <t>[541521, 541529, 826013, 825880]</t>
  </si>
  <si>
    <t>[541516, 541521, 541529, 826013]</t>
  </si>
  <si>
    <t>[0.028, 0.045, 0.057, 0.039]</t>
  </si>
  <si>
    <t>376.594981801395</t>
  </si>
  <si>
    <t>[0.036, 0.037, -0.106, -0.113, -0.115, -0.107, -0.104, -0.036, -0.037, 0.029, 0.036, 0.106, 0.108, 0.113, 0.12, 0.148, -0.041, -0.036, -0.035]</t>
  </si>
  <si>
    <t>[0, 0, 0, 0, 0, 0, 1, 0, 0, 0, 0, 1, 0, 0, 0, 0, 0, 0, 0]</t>
  </si>
  <si>
    <t>LINESTRING (11.290627572723654 63.73151823707136, 11.290794264189348 63.73150743540468, 11.291201035942228 63.730798464890626, 11.290741734739372 63.73112961218374, 11.290689165949408 63.731177778685804, 11.290622491175897 63.731245215763785, 11.290546231381253 63.73132775364612, 11.290245910634237 63.73172251767961, 11.290162755399862 63.73185882861449, 11.290099290506118 63.731898842604586, 11.290089639148315 63.7318510858662, 11.290178791911599 63.73171496544758, 11.290485407642432 63.73132106462126, 11.290581707320955 63.73121853743982, 11.290629965626357 63.73115918039974, 11.290676459415149 63.73111342734796, 11.291209031499848 63.73074430666279, 11.292784192825623 63.73140624320635, 11.297934447156806 63.73212827557636, 11.298100287789504 63.73215185008481)</t>
  </si>
  <si>
    <t>[625546, 597564, 597572, 597580, 597588, 597596, 597604, 597612, 597620, 597676, 597684, 597692, 597700, 597708, 597716, 597724, 597732, 851097, 851169]</t>
  </si>
  <si>
    <t>[600885, 566357, 600892, 600899, 600907, 600911, 600917, 600922, 530698, 600965, 600970, 600977, 600983, 600987, 600994, 562955, 601006, 825807, 825880]</t>
  </si>
  <si>
    <t>[541516, 600885, 566357, 600892, 600899, 600907, 600911, 600917, 600922, 530698, 600965, 600970, 600977, 600983, 600987, 600994, 562955, 601006, 825807]</t>
  </si>
  <si>
    <t>[0.036, 0.037, 0.106, 0.113, 0.115, 0.107, 0.104, 0.036, 0.037, 0.029, 0.036, 0.106, 0.108, 0.113, 0.12, 0.148, 0.041, 0.036, 0.035]</t>
  </si>
  <si>
    <t>979.2608843701288</t>
  </si>
  <si>
    <t>[0.269, -0.046, -0.002, 0.069, 0.045, 0.025]</t>
  </si>
  <si>
    <t>LINESTRING (11.276969663965719 63.729241643769335, 11.277290192088753 63.72946574691169, 11.278560773828165 63.73026203791847, 11.284449444206935 63.731335685263616, 11.286363767689796 63.731405194662734, 11.286775597714831 63.73140509653093, 11.290627572723654 63.73151823707136)</t>
  </si>
  <si>
    <t>[1135638, 1135646, 1135654, 534007, 534015, 534023]</t>
  </si>
  <si>
    <t>[1072485, 1072494, 541505, 541506, 541512, 541516]</t>
  </si>
  <si>
    <t>0.019079837626451376</t>
  </si>
  <si>
    <t>[628919, 1072485, 1072494, 541505, 541506, 541512]</t>
  </si>
  <si>
    <t>[0.269, 0.046, 0.002, 0.069, 0.045, 0.025]</t>
  </si>
  <si>
    <t>765.0943802198025</t>
  </si>
  <si>
    <t>[-0.004, -0.012, -0.012, -0.014]</t>
  </si>
  <si>
    <t>LINESTRING (11.383126171153846 63.75470000121711, 11.383392396302266 63.7547444222692, 11.383488100800488 63.754805228647044, 11.383516634679774 63.75488033364136, 11.383502085728516 63.754917895120734)</t>
  </si>
  <si>
    <t>[597988, 597996, 598004, 598012]</t>
  </si>
  <si>
    <t>[601192, 601198, 505760, 541562]</t>
  </si>
  <si>
    <t>[541553, 601192, 601198, 505760]</t>
  </si>
  <si>
    <t>[0.004, 0.012, 0.012, 0.014]</t>
  </si>
  <si>
    <t>35.303777003071495</t>
  </si>
  <si>
    <t>[0.009, 0.005]</t>
  </si>
  <si>
    <t>LINESTRING (11.382786296464632 63.754802885571685, 11.382904352857402 63.75473666314408, 11.383126171153846 63.75470000121711)</t>
  </si>
  <si>
    <t>[598068, 598076]</t>
  </si>
  <si>
    <t>[601232, 541553]</t>
  </si>
  <si>
    <t>0.006783613749913118</t>
  </si>
  <si>
    <t>[601229, 601232]</t>
  </si>
  <si>
    <t>21.091530643855485</t>
  </si>
  <si>
    <t>[0.022, -0.003, 0.007, 0.003, -0.012, -0.013, -0.01, -0.008]</t>
  </si>
  <si>
    <t>LINESTRING (11.344132286086188 63.73965101220638, 11.351456560617475 63.741725064417615, 11.3812340282758 63.75224929359679, 11.381809718419492 63.75320593705106, 11.38207899263341 63.75365311114279, 11.382484692692131 63.75430329029258, 11.382578377928803 63.75440883806613, 11.382970923705958 63.754651932374294, 11.383126171153846 63.75470000121711)</t>
  </si>
  <si>
    <t>[851546, 851105, 851113, 851121, 851129, 534047, 534055, 534063]</t>
  </si>
  <si>
    <t>[825816, 825817, 825827, 825835, 541536, 541537, 541544, 541553]</t>
  </si>
  <si>
    <t>0.0010624635443595906</t>
  </si>
  <si>
    <t>[825976, 825816, 825817, 825827, 825835, 541536, 541537, 541544]</t>
  </si>
  <si>
    <t>[0.022, 0.003, 0.007, 0.003, 0.012, 0.013, 0.01, 0.008]</t>
  </si>
  <si>
    <t>2751.485167868186</t>
  </si>
  <si>
    <t>[-0.012, -0.012, -0.009, -0.012, -0.01]</t>
  </si>
  <si>
    <t>LINESTRING (11.383502085728516 63.754917895120734, 11.383577254059764 63.75499614742246, 11.383738706794611 63.75513747628935, 11.383778574233299 63.755160355975235, 11.383866918225738 63.755216538609815, 11.38415001264718 63.75538841472382)</t>
  </si>
  <si>
    <t>[534071, 534079, 534087, 534095, 534103]</t>
  </si>
  <si>
    <t>[541563, 541573, 541581, 541590, 541600]</t>
  </si>
  <si>
    <t>[541562, 541563, 541573, 541581, 541590]</t>
  </si>
  <si>
    <t>[0.012, 0.012, 0.009, 0.012, 0.01]</t>
  </si>
  <si>
    <t>61.86155485049101</t>
  </si>
  <si>
    <t>[-0.01, -0.004]</t>
  </si>
  <si>
    <t>LINESTRING (11.383502085728516 63.754917895120734, 11.38337150834035 63.75500267271679, 11.383109462942697 63.755036528162194)</t>
  </si>
  <si>
    <t>[598020, 598028]</t>
  </si>
  <si>
    <t>[601211, 601215]</t>
  </si>
  <si>
    <t>[541562, 601211]</t>
  </si>
  <si>
    <t>[0.01, 0.004]</t>
  </si>
  <si>
    <t>25.112358348293377</t>
  </si>
  <si>
    <t>[-0.011, -0.014, -0.013, -0.101, -0.139, -0.034, -0.003]</t>
  </si>
  <si>
    <t>LINESTRING (11.38415001264718 63.75538841472382, 11.385030676290961 63.755725274909125, 11.38749377221654 63.756485697877245, 11.387519875924072 63.75649373819887, 11.391276075491227 63.75760883386405, 11.39277981961714 63.75794027601767, 11.397601613815574 63.75924208509556, 11.40402418935505 63.76049843831349)</t>
  </si>
  <si>
    <t>[633623, 633631, 633639, 633647, 633655, 633663, 633671]</t>
  </si>
  <si>
    <t>[628924, 628933, 628942, 628952, 628957, 628963, 628971]</t>
  </si>
  <si>
    <t>[541600, 628924, 628933, 628942, 628952, 628957, 628963]</t>
  </si>
  <si>
    <t>[0.011, 0.014, 0.013, 0.101, 0.139, 0.034, 0.003]</t>
  </si>
  <si>
    <t>1141.4469097663427</t>
  </si>
  <si>
    <t>[-0.005, -0.008, -0.01, -0.009, -0.009]</t>
  </si>
  <si>
    <t>LINESTRING (11.383109462942697 63.755036528162194, 11.383339804085772 63.75508118954473, 11.383609014556537 63.75517285753593, 11.383652881534744 63.75519001521579, 11.383790034831849 63.75525106202204, 11.38415001264718 63.75538841472382)</t>
  </si>
  <si>
    <t>[681102, 681118, 681119, 681134, 681150]</t>
  </si>
  <si>
    <t>[671997, 672017, 672018, 672040, 541600]</t>
  </si>
  <si>
    <t>[601215, 671997, 672017, 672018, 672040]</t>
  </si>
  <si>
    <t>[0.005, 0.008, 0.01, 0.009, 0.009]</t>
  </si>
  <si>
    <t>65.23873065257973</t>
  </si>
  <si>
    <t>[0.018, 0.016, 0.013, 0.014, 0.016, 0.014, 0.013, 0.012, 0.011, 0.01]</t>
  </si>
  <si>
    <t>LINESTRING (11.466072166513056 63.77034186893909, 11.466178908356177 63.77039041576448, 11.467632509183016 63.77129004201626, 11.467662751519732 63.77131120536752, 11.467710757050325 63.77134292976738, 11.467743286051762 63.7713652901921, 11.467807478515066 63.77141579393544, 11.467900650860974 63.771486845999114, 11.468556524755293 63.77203987778401, 11.468775613604265 63.77225041974851, 11.469202601543675 63.772746106975916)</t>
  </si>
  <si>
    <t>[534111, 534119, 534127, 534143, 534151, 534159, 534167, 534175, 534183, 534191]</t>
  </si>
  <si>
    <t>[541608, 541615, 541622, 541638, 541645, 541653, 541661, 541670, 541676, 541684]</t>
  </si>
  <si>
    <t>0.013410712115472612</t>
  </si>
  <si>
    <t>[541607, 541608, 541615, 541622, 541638, 541645, 541653, 541661, 541670, 541676]</t>
  </si>
  <si>
    <t>311.47719687756177</t>
  </si>
  <si>
    <t>[0.016, 0.016, 0.013, 0.013, 0.014, 0.013, 0.012, 0.011, 0.011]</t>
  </si>
  <si>
    <t>LINESTRING (11.466072166513056 63.77034186893909, 11.46614931556672 63.770400085604734, 11.467490223530216 63.771329987373726, 11.467519941515416 63.771353231346104, 11.467559571570854 63.77138422943688, 11.467651201667739 63.771461110903594, 11.468419625018884 63.77207943493326, 11.468485607165832 63.772137726987225, 11.468650827935832 63.77228337362109, 11.469202601543675 63.772746106975916)</t>
  </si>
  <si>
    <t>[681151, 681158, 681174, 681190, 681199, 681207, 681215, 681223, 681224]</t>
  </si>
  <si>
    <t>[672064, 672074, 672097, 622900, 672128, 672137, 672149, 672160, 541684]</t>
  </si>
  <si>
    <t>0.013777455367740507</t>
  </si>
  <si>
    <t>[541607, 672064, 672074, 672097, 622900, 672128, 672137, 672149, 672160]</t>
  </si>
  <si>
    <t>309.63141624332906</t>
  </si>
  <si>
    <t>[-0.013, -0.017, -0.023, -0.033, -0.009, -0.0, 0.005, 0.007, -0.006, -0.02, -0.012, -0.01, 0.0, -0.001, 0.0, 0.002, -0.005, -0.004, -0.024, -0.015, 0.001, 0.003, 0.002, 0.004, 0.008, 0.03, 0.017, 0.019, 0.013, 0.007, 0.008, 0.012, 0.017, 0.015]</t>
  </si>
  <si>
    <t>17197.0</t>
  </si>
  <si>
    <t>[0, 0, 0, 0, 0, 0, 0, 0, 0, 0, 0, 0, 0, 0, 0, 0, 0, 0, 0, 0, 0, 0, 1, 1, 0, 0, 0, 0, 0, 0, 0, 0, 0, 0]</t>
  </si>
  <si>
    <t>LINESTRING (11.407363384144805 63.761146799961836, 11.410950896671057 63.761782666917384, 11.417149418061552 63.762315467975505, 11.41726420582366 63.76232612079878, 11.417781071955877 63.76239681541328, 11.425628257551534 63.764120897184974, 11.431086491206667 63.765024856689855, 11.431883852977473 63.765100135712146, 11.432622204253324 63.76515232286188, 11.435284946545456 63.76526818198771, 11.436997382942375 63.76533955736182, 11.439453396259653 63.76544070392125, 11.439576518317045 63.765445299968555, 11.439708703466346 63.76545078467832, 11.44039246953185 63.76547898615017, 11.44049601493235 63.76548284631745, 11.44139773831647 63.765517117673014, 11.444358730099102 63.765630378118324, 11.447952713489205 63.765843124445404, 11.448275321737984 63.765879314262754, 11.452735965741029 63.766513343368096, 11.453768396008712 63.7667396408302, 11.45384943092875 63.766758723723, 11.453914797080632 63.76677326110007, 11.453984093674991 63.76678979992489, 11.456495446334488 63.767386671522864, 11.456756681032374 63.76744641845634, 11.46049568938388 63.7683330516865, 11.462676081365657 63.768914944312215, 11.463573022502716 63.76922516601524, 11.464688670880843 63.76967286664791, 11.464763788726124 63.769704466458755, 11.465570439182782 63.77007593747352, 11.465838834021168 63.770211323398705, 11.466072166513056 63.77034186893909)</t>
  </si>
  <si>
    <t>[633679, 633687, 633695, 633703, 633711, 633719, 633727, 633735, 633743, 633751, 633759, 633767, 633775, 633783, 633791, 633799, 633807, 633815, 633823, 633831, 633839, 633847, 633855, 633863, 633871, 633879, 633887, 633895, 633903, 633911, 633919, 633927, 633935, 633943]</t>
  </si>
  <si>
    <t>[628982, 628990, 628995, 629003, 564049, 629014, 629022, 629030, 629039, 629046, 629053, 629062, 629067, 629074, 629080, 629089, 553619, 543278, 565146, 565154, 629127, 629132, 629138, 629145, 567858, 620545, 569154, 602860, 629172, 602834, 629184, 568755, 629195, 541607]</t>
  </si>
  <si>
    <t>[628981, 628982, 628990, 628995, 629003, 564049, 629014, 629022, 629030, 629039, 629046, 629053, 629062, 629067, 629074, 629080, 629089, 553619, 543278, 565146, 565154, 629127, 629132, 629138, 629145, 567858, 620545, 569154, 602860, 629172, 602834, 629184, 568755, 629195]</t>
  </si>
  <si>
    <t>[0.013, 0.017, 0.023, 0.033, 0.009, 0.0, 0.005, 0.007, 0.006, 0.02, 0.012, 0.01, 0.0, 0.001, 0.0, 0.002, 0.005, 0.004, 0.024, 0.015, 0.001, 0.003, 0.002, 0.004, 0.008, 0.03, 0.017, 0.019, 0.013, 0.007, 0.008, 0.012, 0.017, 0.015]</t>
  </si>
  <si>
    <t>3134.138833049097</t>
  </si>
  <si>
    <t>[0.003, 0.011, 0.007, -0.018, -0.019, -0.013, -0.014, -0.014, -0.008, -0.003, -0.004]</t>
  </si>
  <si>
    <t>LINESTRING (11.469202601543675 63.772746106975916, 11.469359293278544 63.77291600911231, 11.469618282798217 63.7732287394878, 11.47029304715609 63.77419001316931, 11.470998760656538 63.775491203662554, 11.471649862914067 63.777757796576395, 11.47166013151931 63.77783175827678, 11.47169723956545 63.778257606298496, 11.471699099054561 63.77829519882244, 11.470854008640442 63.780837156494464, 11.46839537636316 63.78288486819215, 11.466597229950539 63.784079773028914)</t>
  </si>
  <si>
    <t>[633951, 633959, 633967, 633975, 633983, 633991, 633999, 634007, 634015, 634023, 634031]</t>
  </si>
  <si>
    <t>[629206, 629213, 573859, 573484, 629234, 629242, 629249, 569445, 629260, 629267, 541694]</t>
  </si>
  <si>
    <t>[541684, 629206, 629213, 573859, 573484, 629234, 629242, 629249, 569445, 629260, 629267]</t>
  </si>
  <si>
    <t>[0.003, 0.011, 0.007, 0.018, 0.019, 0.013, 0.014, 0.014, 0.008, 0.003, 0.004]</t>
  </si>
  <si>
    <t>1340.743062196573</t>
  </si>
  <si>
    <t>LINESTRING (11.466597229950539 63.784079773028914, 11.466300339160284 63.78431355774093, 11.466227804625646 63.784363181783725)</t>
  </si>
  <si>
    <t>[534199, 534207]</t>
  </si>
  <si>
    <t>[541695, 541703]</t>
  </si>
  <si>
    <t>[541694, 541695]</t>
  </si>
  <si>
    <t>36.65948682013161</t>
  </si>
  <si>
    <t>[0.001, -0.001, 0.011]</t>
  </si>
  <si>
    <t>LINESTRING (11.466597229950539 63.784079773028914, 11.466161487081779 63.78433900494067, 11.46521750273695 63.784962354743385, 11.465214511935507 63.78496433893209)</t>
  </si>
  <si>
    <t>[681247, 681248, 681254]</t>
  </si>
  <si>
    <t>[672189, 672190, 672198]</t>
  </si>
  <si>
    <t>[541694, 672189, 672190]</t>
  </si>
  <si>
    <t>[0.001, 0.001, 0.011]</t>
  </si>
  <si>
    <t>120.02656325586766</t>
  </si>
  <si>
    <t>[-0.001, -0.003, -0.003, -0.001, 0.004, 0.003, 0.006, 0.011]</t>
  </si>
  <si>
    <t>4014.0</t>
  </si>
  <si>
    <t>LINESTRING (11.466227804625646 63.784363181783725, 11.465288822310765 63.78501405802135, 11.46473063229276 63.78540195574428, 11.464629690990519 63.78546830404698, 11.463930532742658 63.785936067291566, 11.463793651642566 63.786022036946044, 11.462833305118624 63.78666547500445, 11.462280094512451 63.78702640655146, 11.46227350003805 63.787030557451395)</t>
  </si>
  <si>
    <t>[534215, 534223, 534231, 534239, 534247, 534255, 534263, 534271]</t>
  </si>
  <si>
    <t>[541710, 541718, 541725, 541732, 541739, 541748, 541757, 541763]</t>
  </si>
  <si>
    <t>0.0007691495106891368</t>
  </si>
  <si>
    <t>[541703, 541710, 541718, 541725, 541732, 541739, 541748, 541757]</t>
  </si>
  <si>
    <t>[0.001, 0.003, 0.003, 0.001, 0.004, 0.003, 0.006, 0.011]</t>
  </si>
  <si>
    <t>355.58063002552456</t>
  </si>
  <si>
    <t>[0.017, -0.005]</t>
  </si>
  <si>
    <t>4004.0</t>
  </si>
  <si>
    <t>LINESTRING (11.466227804625646 63.784363181783725, 11.466088975539577 63.78451314868981, 11.465766208408525 63.785729316446776)</t>
  </si>
  <si>
    <t>[625594, 597852]</t>
  </si>
  <si>
    <t>[601092, 601093]</t>
  </si>
  <si>
    <t>[541703, 601092]</t>
  </si>
  <si>
    <t>[0.017, 0.005]</t>
  </si>
  <si>
    <t>170.96077392403546</t>
  </si>
  <si>
    <t>[0.005, 0.003, 0.004]</t>
  </si>
  <si>
    <t>LINESTRING (11.46227350003805 63.787030557451395, 11.461184552795135 63.78771738988053, 11.46041524224592 63.78823575278431, 11.460264362132776 63.78830957891004)</t>
  </si>
  <si>
    <t>[534279, 534287, 534295]</t>
  </si>
  <si>
    <t>[541772, 541778, 541786]</t>
  </si>
  <si>
    <t>0.004140405809272977</t>
  </si>
  <si>
    <t>[541763, 541772, 541778]</t>
  </si>
  <si>
    <t>173.72057807906867</t>
  </si>
  <si>
    <t>[0.006, 0.002, 0.011]</t>
  </si>
  <si>
    <t>1977.0</t>
  </si>
  <si>
    <t>LINESTRING (11.465766208408525 63.785729316446776, 11.465694899684735 63.78567069549004, 11.4625013106676 63.78693410622759, 11.46227350003805 63.787030557451395)</t>
  </si>
  <si>
    <t>[597884, 1623816, 1623840]</t>
  </si>
  <si>
    <t>[601119, 1453386, 541763]</t>
  </si>
  <si>
    <t>0.0026224468362562666</t>
  </si>
  <si>
    <t>[601093, 601119, 1453386]</t>
  </si>
  <si>
    <t>272.4964652292336</t>
  </si>
  <si>
    <t>[-0.002, 0.002, -0.004, -0.003, -0.003, 0.011, 0.045, 0.052, 0.022, -0.078, -0.009, 0.009, 0.007, -0.008, -0.005, -0.006, -0.01, -0.012, -0.013, -0.013, -0.002, 0.004, -0.018, 0.004, 0.018, 0.089, 0.043, -0.104, -0.06, 0.036, 0.008, 0.04, -0.015, -0.034, -0.007, 0.025, 0.026, 0.046, 0.045, 0.046, 0.038, 0.038, 0.034, 0.04, 0.043, 0.012, 0.016, 0.018, 0.021, 0.022]</t>
  </si>
  <si>
    <t>[0, 0, 0, 1, 0, 1, 0, 1, 0, 1, 0, 1, 0, 0, 0, 0, 0, 0, 0, 1, 0, 1, 0, 0, 0, 0, 0, 0, 0, 0, 0, 0, 0, 0, 0, 0, 0, 0, 0, 0, 0, 0, 0, 0, 0, 0, 0, 0, 0, 0]</t>
  </si>
  <si>
    <t>LINESTRING (11.460264362132776 63.78830957891004, 11.46017005656256 63.788378728852365, 11.45947413391513 63.78892553747304, 11.45938856053552 63.801466389240765, 11.459390957537318 63.8015244985023, 11.45934212334901 63.8023362037189, 11.458652909688846 63.80487794562499, 11.456821590711845 63.80766222956281, 11.456733497346304 63.80775753293249, 11.453714311917267 63.81025773997363, 11.453529387840122 63.81039274665092, 11.449934998744707 63.81567697966223, 11.449937053709997 63.81572522462231, 11.44996340663692 63.819376365229274, 11.449579048659107 63.8213709320811, 11.449557890852388 63.82144003477126, 11.449169381978937 63.82256611934433, 11.449142649819477 63.822641023822044, 11.44912212558793 63.82269782391852, 11.448999720037948 63.82298224514013, 11.448463427163718 63.82411785570438, 11.44750703616368 63.825727030499905, 11.44748704216485 63.82575990800345, 11.440073127837497 63.8315459861737, 11.439160389496251 63.832034167683396, 11.429212568270422 63.83356181622287, 11.42803210305191 63.833796648190436, 11.422579356413717 63.83498131390107, 11.421057916017393 63.83503513171644, 11.417269163426065 63.83557958180294, 11.415343890092002 63.836642072689926, 11.414613783411701 63.837061685498455, 11.413035106564024 63.83822629723508, 11.409914120376024 63.8445224346516, 11.40621821961951 63.846726937660144, 11.405155773238576 63.84723139723119, 11.403670001983068 63.84794502140664, 11.40248941450225 63.84856843964269, 11.401496557081705 63.849103324173, 11.401455772739444 63.849122452614914, 11.401417236028902 63.8491413585052, 11.401345968527849 63.849174049662, 11.400951550869802 63.84932624130946, 11.400745373022136 63.84940224804834, 11.40060729421939 63.84945187314713, 11.399014929929143 63.85298701086138, 11.39826976546234 63.85506816403236, 11.398236861365739 63.8553012430195, 11.398201043948264 63.855741040737854, 11.398199656175438 63.855856823678565, 11.398356705518623 63.857225346101416)</t>
  </si>
  <si>
    <t>[634039, 634047, 634055, 634063, 634071, 634079, 634087, 634095, 634103, 634111, 634119, 634127, 634135, 634143, 634151, 634159, 634167, 634175, 634183, 634191, 634199, 634207, 634215, 634223, 634231, 634239, 634247, 634255, 634263, 634271, 634279, 634287, 634295, 634303, 634311, 634319, 634327, 634335, 634343, 634351, 634359, 634367, 634375, 634383, 634391, 634399, 634407, 634415, 634423, 634431]</t>
  </si>
  <si>
    <t>[629280, 629288, 629294, 629300, 629306, 629314, 629320, 629327, 629337, 629345, 629352, 629362, 629370, 505828, 629383, 629389, 629398, 629407, 629416, 629425, 629434, 629441, 629449, 629458, 568090, 570975, 629479, 629486, 629494, 629501, 629508, 510630, 565779, 629527, 564474, 566840, 564184, 505924, 629563, 629572, 624247, 629590, 629597, 629606, 542131, 629620, 629627, 542414, 542153, 541794]</t>
  </si>
  <si>
    <t>0.003590801214186967</t>
  </si>
  <si>
    <t>[541786, 629280, 629288, 629294, 629300, 629306, 629314, 629320, 629327, 629337, 629345, 629352, 629362, 629370, 505828, 629383, 629389, 629398, 629407, 629416, 629425, 629434, 629441, 629449, 629458, 568090, 570975, 629479, 629486, 629494, 629501, 629508, 510630, 565779, 629527, 564474, 566840, 564184, 505924, 629563, 629572, 624247, 629590, 629597, 629606, 542131, 629620, 629627, 542414, 542153]</t>
  </si>
  <si>
    <t>[0.002, 0.002, 0.004, 0.003, 0.003, 0.011, 0.045, 0.052, 0.022, 0.078, 0.009, 0.009, 0.007, 0.008, 0.005, 0.006, 0.01, 0.012, 0.013, 0.013, 0.002, 0.004, 0.018, 0.004, 0.018, 0.089, 0.043, 0.104, 0.06, 0.036, 0.008, 0.04, 0.015, 0.034, 0.007, 0.025, 0.026, 0.046, 0.045, 0.046, 0.038, 0.038, 0.034, 0.04, 0.043, 0.012, 0.016, 0.018, 0.021, 0.022]</t>
  </si>
  <si>
    <t>9032.526791761253</t>
  </si>
  <si>
    <t>[0.003, -0.0]</t>
  </si>
  <si>
    <t>LINESTRING (11.461120482962382 63.7876916217402, 11.460351487855942 63.78821637122631, 11.460264362132776 63.78830957891004)</t>
  </si>
  <si>
    <t>[681304, 681305]</t>
  </si>
  <si>
    <t>[672272, 541786]</t>
  </si>
  <si>
    <t>0.0025833356851875195</t>
  </si>
  <si>
    <t>[622399, 672272]</t>
  </si>
  <si>
    <t>[0.003, 0.0]</t>
  </si>
  <si>
    <t>80.94873255435824</t>
  </si>
  <si>
    <t>[0.024, 0.019, 0.019, 0.024, 0.025, 0.027, 0.027, 0.025, 0.027, 0.019, 0.023, 0.018, 0.015, 0.013, 0.011]</t>
  </si>
  <si>
    <t>LINESTRING (11.398356705518623 63.857225346101416, 11.398734454451454 63.858210342787544, 11.398750133743263 63.858239467837, 11.399182987743673 63.85882154443476, 11.399306128213793 63.85893652222358, 11.39993364641808 63.85940348768875, 11.40007455552977 63.85949267108037, 11.400850278995922 63.85997184237109, 11.400934471148023 63.860023141682426, 11.40186129444312 63.860753464783826, 11.401890710404395 63.86078844828694, 11.401907578299436 63.86081054923828, 11.401957090207429 63.860885225904966, 11.402284552935738 63.861490750229684, 11.402539484316206 63.862073272043595, 11.402700066533724 63.86252578497672)</t>
  </si>
  <si>
    <t>[534303, 534311, 534319, 534327, 534335, 534343, 534351, 534359, 534367, 534375, 534383, 534391, 534399, 534407, 534415]</t>
  </si>
  <si>
    <t>[541795, 541803, 541813, 541822, 541830, 541835, 541843, 541852, 541860, 541867, 541872, 541880, 541889, 541895, 541900]</t>
  </si>
  <si>
    <t>0.021070773219409103</t>
  </si>
  <si>
    <t>[541794, 541795, 541803, 541813, 541822, 541830, 541835, 541843, 541852, 541860, 541867, 541872, 541880, 541889, 541895]</t>
  </si>
  <si>
    <t>638.2409686134575</t>
  </si>
  <si>
    <t>[0.021, 0.019, 0.023, 0.024, 0.027, 0.028, 0.025, 0.025, 0.02, 0.016, 0.015, 0.015, 0.017]</t>
  </si>
  <si>
    <t>LINESTRING (11.398356705518623 63.857225346101416, 11.398578337780954 63.858244754727586, 11.398992819710625 63.858820929064414, 11.39910706671241 63.85893584711352, 11.399195253828513 63.8590136362492, 11.400732881167405 63.85998344679807, 11.400799064349258 63.8600217274925, 11.400877345864554 63.86007464965629, 11.401714383711436 63.860807696943986, 11.401788360263792 63.86091116001905, 11.402142389524563 63.86153651138237, 11.402161206261441 63.86157315368662, 11.402434720297151 63.8620986251755, 11.402700066533724 63.86252578497672)</t>
  </si>
  <si>
    <t>[681312, 681319, 681335, 681345, 681346, 681353, 681365, 681366, 681367, 681373, 681375, 681383, 681391]</t>
  </si>
  <si>
    <t>[672282, 672292, 672315, 623053, 672329, 672338, 672355, 647029, 672356, 672362, 672365, 672374, 541900]</t>
  </si>
  <si>
    <t>0.02129957497176239</t>
  </si>
  <si>
    <t>[541794, 672282, 672292, 672315, 623053, 672329, 672338, 672355, 647029, 672356, 672362, 672365, 672374]</t>
  </si>
  <si>
    <t>639.2811217283178</t>
  </si>
  <si>
    <t>[0.004, 0.019, 0.028, -0.005, 0.01, 0.005, -0.007, -0.0, 0.013, -0.003, 0.016, 0.009, 0.027, 0.024, 0.022, 0.053, 0.051, -0.088]</t>
  </si>
  <si>
    <t>LINESTRING (11.402700066533724 63.86252578497672, 11.403062561210673 63.86336788329294, 11.403106977007317 63.863482290161876, 11.40341955620277 63.86487890467799, 11.403720462903031 63.86678180313535, 11.404040320358437 63.86978984410889, 11.404142828574592 63.87055567220696, 11.404224241655092 63.870901788094336, 11.406246999957943 63.87330423831729, 11.406732256752777 63.87377601133462, 11.409165916862129 63.8759013757185, 11.411840260260284 63.87732810965713, 11.413572594131196 63.87810066861902, 11.416464028077275 63.87922371091858, 11.419872686124092 63.879613383696004, 11.427883820292134 63.88136267411377, 11.428163807644808 63.881597295252746, 11.4275932588067 63.88405207915692, 11.427362614497474 63.88428615946662)</t>
  </si>
  <si>
    <t>[634439, 634447, 634455, 634463, 634471, 634479, 634487, 634495, 634503, 634511, 634519, 634527, 634535, 634543, 634552, 634560, 634568, 634576]</t>
  </si>
  <si>
    <t>[629661, 629669, 566601, 542227, 629693, 542255, 629703, 590093, 629715, 564771, 566119, 629736, 566065, 588496, 596443, 629767, 567099, 629779]</t>
  </si>
  <si>
    <t>0.014742102789910854</t>
  </si>
  <si>
    <t>[541900, 629661, 629669, 566601, 542227, 629693, 542255, 629703, 590093, 629715, 564771, 566119, 629736, 566065, 588496, 596443, 629767, 567099]</t>
  </si>
  <si>
    <t>[0.004, 0.019, 0.028, 0.005, 0.01, 0.005, 0.007, 0.0, 0.013, 0.003, 0.016, 0.009, 0.027, 0.024, 0.022, 0.053, 0.051, 0.088]</t>
  </si>
  <si>
    <t>3035.455795946008</t>
  </si>
  <si>
    <t>[0.043, 0.035, 0.018, -0.813, -0.036, 0.016, 0.012, 0.05, -0.199]</t>
  </si>
  <si>
    <t>LINESTRING (10.39194610043247 63.39735415569369, 10.392269193473982 63.39725902747881, 10.39287816389282 63.39707457155068, 10.39331732761942 63.39695118790045, 10.393333253126197 63.39697688058079, 10.393632196363823 63.39740510722518, 10.394148426635685 63.3981361050327, 10.395408708817406 63.399721358734375, 10.397059687850538 63.400523777968125, 10.397209956671189 63.40061090649609)</t>
  </si>
  <si>
    <t>[544935, 544949, 544950, 572732, 572740, 572748, 572756, 1773614, 1773622]</t>
  </si>
  <si>
    <t>[552256, 552274, 552275, 580300, 580307, 580318, 580322, 1564874, 601834]</t>
  </si>
  <si>
    <t>0.01045515717236738</t>
  </si>
  <si>
    <t>[552255, 552256, 552274, 552275, 580300, 580307, 580318, 580322, 1564874]</t>
  </si>
  <si>
    <t>[0.043, 0.035, 0.018, 0.813, 0.036, 0.016, 0.012, 0.05, 0.199]</t>
  </si>
  <si>
    <t>543.4448607216209</t>
  </si>
  <si>
    <t>[0.043, 0.153]</t>
  </si>
  <si>
    <t>LINESTRING (10.391724434602509 63.39747987043901, 10.39180490407662 63.397440234447, 10.39194610043247 63.39735415569369)</t>
  </si>
  <si>
    <t>[821137, 821145]</t>
  </si>
  <si>
    <t>[799010, 552255]</t>
  </si>
  <si>
    <t>0.11625452167236001</t>
  </si>
  <si>
    <t>[799009, 799010]</t>
  </si>
  <si>
    <t>17.890113587398197</t>
  </si>
  <si>
    <t>[0.076, 0.184]</t>
  </si>
  <si>
    <t>LINESTRING (10.391544402653434 63.39739109002241, 10.39171688660758 63.39738035235883, 10.39194610043247 63.39735415569369)</t>
  </si>
  <si>
    <t>[2020551, 2020559]</t>
  </si>
  <si>
    <t>[1765180, 552255]</t>
  </si>
  <si>
    <t>0.13820541998514263</t>
  </si>
  <si>
    <t>[799090, 1765180]</t>
  </si>
  <si>
    <t>20.532049650632583</t>
  </si>
  <si>
    <t>[0.0, 0.071, -0.053]</t>
  </si>
  <si>
    <t>LINESTRING (11.068647452506575 63.6261250321432, 11.068647452506575 63.6261250321432, 11.06845458218783 63.62559225764017, 11.067758381908344 63.62512560139274)</t>
  </si>
  <si>
    <t>[546194, 546196, 546203]</t>
  </si>
  <si>
    <t>[548512, 288994, 553487]</t>
  </si>
  <si>
    <t>0.002800231521399514</t>
  </si>
  <si>
    <t>[553481, 548512, 288994]</t>
  </si>
  <si>
    <t>[0.0, 0.071, 0.053]</t>
  </si>
  <si>
    <t>384.59163196866064</t>
  </si>
  <si>
    <t>[-0.529, 0.013]</t>
  </si>
  <si>
    <t>LINESTRING (11.068647452506575 63.6261250321432, 11.067126419667083 63.62862651706013, 11.067135454611025 63.62868281847453)</t>
  </si>
  <si>
    <t>[1465906, 1465914]</t>
  </si>
  <si>
    <t>[1328518, 1328490]</t>
  </si>
  <si>
    <t>[553481, 1328518]</t>
  </si>
  <si>
    <t>[0.529, 0.013]</t>
  </si>
  <si>
    <t>35.518353040869556</t>
  </si>
  <si>
    <t>[-0.056, -0.048, 0.055, 0.026, 0.025, -0.002, -0.016, 0.039]</t>
  </si>
  <si>
    <t>LINESTRING (11.069776209435037 63.62063026017932, 11.069257861676167 63.621425084508175, 11.069013390891651 63.62169966489003, 11.068427946158671 63.62234724364675, 11.068380321638568 63.62239314048787, 11.067989861589346 63.62276107106536, 11.0678942202786 63.62284035239735, 11.067533040947577 63.62313093938817, 11.067758381908344 63.62512560139274)</t>
  </si>
  <si>
    <t>[1465899, 597548, 597556, 622698, 622706, 622714, 622722, 622730]</t>
  </si>
  <si>
    <t>[600874, 600875, 600881, 620094, 620098, 289033, 289026, 553487]</t>
  </si>
  <si>
    <t>0.01374240954450894</t>
  </si>
  <si>
    <t>[1328512, 600874, 600875, 600881, 620094, 620098, 289033, 289026]</t>
  </si>
  <si>
    <t>[0.056, 0.048, 0.055, 0.026, 0.025, 0.002, 0.016, 0.039]</t>
  </si>
  <si>
    <t>560.5874855457855</t>
  </si>
  <si>
    <t>[-0.014, -0.012, -0.009, 0.001]</t>
  </si>
  <si>
    <t>LINESTRING (10.275718167596867 63.28167271872526, 10.275641112946207 63.28164317836494, 10.275470443906519 63.28157545327936, 10.274792014526003 63.28138832835464, 10.274546015245223 63.28134148025372)</t>
  </si>
  <si>
    <t>[549388, 549396, 549397, 549405]</t>
  </si>
  <si>
    <t>[556361, 556370, 556371, 556379]</t>
  </si>
  <si>
    <t>[556360, 556361, 556370, 556371]</t>
  </si>
  <si>
    <t>[0.014, 0.012, 0.009, 0.001]</t>
  </si>
  <si>
    <t>69.98264098644698</t>
  </si>
  <si>
    <t>LINESTRING (10.275718167596867 63.28167271872526, 10.275753753844715 63.28162623762527, 10.275833273937938 63.2815920083928)</t>
  </si>
  <si>
    <t>[590389, 590390]</t>
  </si>
  <si>
    <t>[595490, 595491]</t>
  </si>
  <si>
    <t>[556360, 595490]</t>
  </si>
  <si>
    <t>11.004468538293565</t>
  </si>
  <si>
    <t>12.486085315663512</t>
  </si>
  <si>
    <t>14.931126636538249</t>
  </si>
  <si>
    <t>[0.009, 0.01, 0.003]</t>
  </si>
  <si>
    <t>LINESTRING (10.27464479013787 63.28126292588308, 10.274615602631128 63.28130692149577, 10.274563076035625 63.28133598599975, 10.274546015245223 63.28134148025372)</t>
  </si>
  <si>
    <t>[590503, 590504, 590523]</t>
  </si>
  <si>
    <t>[595614, 595615, 556379]</t>
  </si>
  <si>
    <t>0.00879324341143539</t>
  </si>
  <si>
    <t>[595598, 595614, 595615]</t>
  </si>
  <si>
    <t>10.35038679211709</t>
  </si>
  <si>
    <t>[-0.024, -0.025]</t>
  </si>
  <si>
    <t>LINESTRING (9.851308123212187 63.296581105817005, 9.851226091936583 63.29657797258602, 9.850394519349091 63.2965471113955)</t>
  </si>
  <si>
    <t>[549478, 549487]</t>
  </si>
  <si>
    <t>[556450, 556460]</t>
  </si>
  <si>
    <t>[556449, 556450]</t>
  </si>
  <si>
    <t>[0.024, 0.025]</t>
  </si>
  <si>
    <t>46.00011951349717</t>
  </si>
  <si>
    <t>LINESTRING (9.851308123212187 63.296581105817005, 9.851292988031531 63.29654277187485, 9.851307671746186 63.29650114566203)</t>
  </si>
  <si>
    <t>[593157, 593165]</t>
  </si>
  <si>
    <t>[597342, 597346]</t>
  </si>
  <si>
    <t>[556449, 597342]</t>
  </si>
  <si>
    <t>9.041620371126143</t>
  </si>
  <si>
    <t>110.08151525127568</t>
  </si>
  <si>
    <t>LINESTRING (9.851307671746186 63.29650114566203, 9.85122539420316 63.29650542570132, 9.850394519349091 63.2965471113955)</t>
  </si>
  <si>
    <t>[629498, 629506]</t>
  </si>
  <si>
    <t>[625362, 556460]</t>
  </si>
  <si>
    <t>[597346, 625362]</t>
  </si>
  <si>
    <t>46.10688991987031</t>
  </si>
  <si>
    <t>[-0.025, -0.021, -0.022]</t>
  </si>
  <si>
    <t>LINESTRING (9.848201294584529 63.29656930080328, 9.846943117813044 63.296699192318954, 9.84686607288396 63.29670952536744, 9.84681729972833 63.296717059737475)</t>
  </si>
  <si>
    <t>[549499, 549500, 549501]</t>
  </si>
  <si>
    <t>[556474, 556475, 556476]</t>
  </si>
  <si>
    <t>[556473, 556474, 556475]</t>
  </si>
  <si>
    <t>[0.025, 0.021, 0.022]</t>
  </si>
  <si>
    <t>71.39576431258189</t>
  </si>
  <si>
    <t>[-0.028, -0.03, -0.029]</t>
  </si>
  <si>
    <t>LINESTRING (9.848201294584529 63.29656930080328, 9.846936075091758 63.296577833253494, 9.84684583091535 63.296571214934666, 9.846788010982952 63.29656696859517)</t>
  </si>
  <si>
    <t>[629514, 629522, 629530]</t>
  </si>
  <si>
    <t>[625378, 625386, 611980]</t>
  </si>
  <si>
    <t>[556473, 625378, 625386]</t>
  </si>
  <si>
    <t>[0.028, 0.03, 0.029]</t>
  </si>
  <si>
    <t>71.02234509669746</t>
  </si>
  <si>
    <t>[-0.013, -0.023, -0.062, -0.053]</t>
  </si>
  <si>
    <t>LINESTRING (9.84681729972833 63.296717059737475, 9.846706708870983 63.296765230981286, 9.84655673706926 63.29678768348301, 9.846362574091733 63.296755453450956, 9.846306116111565 63.296724617239555)</t>
  </si>
  <si>
    <t>[611724, 611732, 611740, 611748]</t>
  </si>
  <si>
    <t>[610248, 611931, 583018, 556483]</t>
  </si>
  <si>
    <t>[556476, 610248, 611931, 583018]</t>
  </si>
  <si>
    <t>[0.013, 0.023, 0.062, 0.053]</t>
  </si>
  <si>
    <t>30.494231139808836</t>
  </si>
  <si>
    <t>[0.019, 0.009, -0.001, 0.01]</t>
  </si>
  <si>
    <t>LINESTRING (9.846788010982952 63.29656696859517, 9.846859899249957 63.29664663096852, 9.846855909623905 63.29665674250314, 9.846824386260113 63.29670863488669, 9.84681729972833 63.296717059737475)</t>
  </si>
  <si>
    <t>[611804, 611812, 611820, 611828]</t>
  </si>
  <si>
    <t>[611987, 611995, 612002, 556476]</t>
  </si>
  <si>
    <t>0.011080074505372491</t>
  </si>
  <si>
    <t>[611980, 611987, 611995, 612002]</t>
  </si>
  <si>
    <t>[0.019, 0.009, 0.001, 0.01]</t>
  </si>
  <si>
    <t>17.736527447308845</t>
  </si>
  <si>
    <t>[-0.079, -0.077]</t>
  </si>
  <si>
    <t>LINESTRING (9.846306116111565 63.296724617239555, 9.84617237222131 63.29670858527313, 9.844983100688362 63.29670248162678)</t>
  </si>
  <si>
    <t>[549508, 549510]</t>
  </si>
  <si>
    <t>[556484, 556486]</t>
  </si>
  <si>
    <t>[556483, 556484]</t>
  </si>
  <si>
    <t>[0.079, 0.077]</t>
  </si>
  <si>
    <t>66.74951692725902</t>
  </si>
  <si>
    <t>[-0.025, 0.026]</t>
  </si>
  <si>
    <t>LINESTRING (9.846306116111565 63.296724617239555, 9.846255863109741 63.296625631477525, 9.846351711496354 63.29654813681337)</t>
  </si>
  <si>
    <t>[611756, 611764]</t>
  </si>
  <si>
    <t>[611955, 611960]</t>
  </si>
  <si>
    <t>[556483, 611955]</t>
  </si>
  <si>
    <t>[0.025, 0.026]</t>
  </si>
  <si>
    <t>21.475358964942274</t>
  </si>
  <si>
    <t>[-0.055, -0.014, -0.014, -0.009, 0.003]</t>
  </si>
  <si>
    <t>LINESTRING (9.844983100688362 63.29670248162678, 9.843150876606412 63.29680475520948, 9.842944487493451 63.29681689827915, 9.842827848930886 63.29682402037423, 9.840115770889449 63.296977684993756, 9.83690339712527 63.29716230358965)</t>
  </si>
  <si>
    <t>[610292, 610300, 610308, 610316, 610324]</t>
  </si>
  <si>
    <t>[610907, 610912, 610917, 610921, 610925]</t>
  </si>
  <si>
    <t>[556486, 610907, 610912, 610917, 610921]</t>
  </si>
  <si>
    <t>[0.055, 0.014, 0.014, 0.009, 0.003]</t>
  </si>
  <si>
    <t>408.65724899638246</t>
  </si>
  <si>
    <t>[-0.069, -0.073]</t>
  </si>
  <si>
    <t>LINESTRING (9.846351711496354 63.29654813681337, 9.846175912342353 63.29657269335119, 9.844983100688362 63.29670248162678)</t>
  </si>
  <si>
    <t>[629538, 629546]</t>
  </si>
  <si>
    <t>[625397, 556486]</t>
  </si>
  <si>
    <t>[611960, 625397]</t>
  </si>
  <si>
    <t>[0.069, 0.073]</t>
  </si>
  <si>
    <t>70.81559032800274</t>
  </si>
  <si>
    <t>[-0.168, 0.004, 0.049, 0.867, 0.013]</t>
  </si>
  <si>
    <t>LINESTRING (10.284799727025348 63.068110196424826, 10.2787502939332 63.06923300149162, 10.270716371844522 63.07016688066697, 10.268161730675507 63.070905188359966, 10.267807123165062 63.07107689109715, 10.264339670893321 63.073837586561)</t>
  </si>
  <si>
    <t>[598239, 598247, 598255, 1291253, 1291261]</t>
  </si>
  <si>
    <t>[601375, 601380, 601386, 1204476, 1204437]</t>
  </si>
  <si>
    <t>[556935, 601375, 601380, 601386, 1204476]</t>
  </si>
  <si>
    <t>[0.168, 0.004, 0.049, 0.867, 0.013]</t>
  </si>
  <si>
    <t>1289.11645425849</t>
  </si>
  <si>
    <t>0.25</t>
  </si>
  <si>
    <t>54.804548370025095</t>
  </si>
  <si>
    <t>[-0.482, -0.358, -0.169, 0.143, 0.131, 0.32, 0.153, 0.041, 0.162, -0.13]</t>
  </si>
  <si>
    <t>LINESTRING (10.28556649823151 63.06776283039395, 10.2856260511332 63.06764852556168, 10.2862137807089 63.06724584023953, 10.28656907266786 63.066968349269246, 10.287179307725971 63.06645707203299, 10.287207516502885 63.06643532268355, 10.287270416103805 63.066464758803285, 10.287367540464105 63.067035510283155, 10.287059764697682 63.06718867384559, 10.284991083430198 63.068103988164005, 10.284799727025348 63.068110196424826)</t>
  </si>
  <si>
    <t>[549928, 549935, 549943, 549951, 549954, 549884, 549892, 549907, 549915, 549927]</t>
  </si>
  <si>
    <t>[556937, 556943, 556954, 556963, 556875, 556885, 543587, 556910, 556919, 556935]</t>
  </si>
  <si>
    <t>0.031977666745164925</t>
  </si>
  <si>
    <t>[556936, 556937, 556943, 556954, 556963, 556875, 556885, 543587, 556910, 556919]</t>
  </si>
  <si>
    <t>[0.482, 0.358, 0.169, 0.143, 0.131, 0.32, 0.153, 0.041, 0.162, 0.13]</t>
  </si>
  <si>
    <t>425.3638586208585</t>
  </si>
  <si>
    <t>[0.029, 0.017, 0.063, -0.061, -0.025, 0.041, -0.027, 0.225]</t>
  </si>
  <si>
    <t>LINESTRING (10.294956150226376 63.03613901859296, 10.297917164969176 63.03850657148239, 10.300499003773686 63.05171588830261, 10.297825913222079 63.05368613399942, 10.295423443281335 63.05511404207493, 10.289563126836835 63.06443449089271, 10.287332190603056 63.06672371692652, 10.28680788680786 63.06707531728415, 10.28556649823151 63.06776283039395)</t>
  </si>
  <si>
    <t>[598167, 598175, 598183, 598191, 598199, 598207, 598215, 598223]</t>
  </si>
  <si>
    <t>[601311, 601315, 601323, 601330, 601338, 601345, 601353, 556936]</t>
  </si>
  <si>
    <t>0.011309967556444957</t>
  </si>
  <si>
    <t>[601310, 601311, 601315, 601323, 601330, 601338, 601345, 601353]</t>
  </si>
  <si>
    <t>[0.029, 0.017, 0.063, 0.061, 0.025, 0.041, 0.027, 0.225]</t>
  </si>
  <si>
    <t>3806.0349959590453</t>
  </si>
  <si>
    <t>[0.001, 0.001, 0.003, 0.017, 0.054]</t>
  </si>
  <si>
    <t>LINESTRING (10.439944026376146 63.40942527941274, 10.44010410617031 63.409407440401274, 10.44095366117728 63.40927052045507, 10.441903675213046 63.409061696860206, 10.44273377170826 63.40883734682003, 10.442935919246183 63.408802442440205)</t>
  </si>
  <si>
    <t>[550737, 550745, 550753, 550754, 550761]</t>
  </si>
  <si>
    <t>[557765, 557772, 557782, 557783, 557791]</t>
  </si>
  <si>
    <t>0.00978608886807042</t>
  </si>
  <si>
    <t>[557764, 557765, 557772, 557782, 557783]</t>
  </si>
  <si>
    <t>165.57115704384057</t>
  </si>
  <si>
    <t>[0.016, 0.01, 0.002, -0.005, -0.018, -0.028, 0.356]</t>
  </si>
  <si>
    <t>LINESTRING (10.439944026376146 63.40942527941274, 10.439890431383795 63.40947212214171, 10.43979719809338 63.40950331073489, 10.439693124631903 63.40951437064333, 10.439551263882615 63.40949814604867, 10.439453594236554 63.40945635855295, 10.43942606634161 63.40940242650956, 10.439506170711374 63.40931506890914)</t>
  </si>
  <si>
    <t>[1570274, 1570282, 1570290, 1570298, 1570306, 1570314, 1570234]</t>
  </si>
  <si>
    <t>[626779, 1415072, 606902, 557757, 1415085, 579663, 580665]</t>
  </si>
  <si>
    <t>0.07492628477818818</t>
  </si>
  <si>
    <t>[557764, 626779, 1415072, 606902, 557757, 1415085, 579663]</t>
  </si>
  <si>
    <t>[0.016, 0.01, 0.002, 0.005, 0.018, 0.028, 0.356]</t>
  </si>
  <si>
    <t>47.791192531118845</t>
  </si>
  <si>
    <t>[-0.401, 0.027]</t>
  </si>
  <si>
    <t>LINESTRING (10.439861594588093 63.40931294366256, 10.439937456928712 63.40937831176631, 10.439944026376146 63.40942527941274)</t>
  </si>
  <si>
    <t>[1570258, 1570266]</t>
  </si>
  <si>
    <t>[1415056, 557764]</t>
  </si>
  <si>
    <t>[579669, 1415056]</t>
  </si>
  <si>
    <t>[0.401, 0.027]</t>
  </si>
  <si>
    <t>13.46213360853437</t>
  </si>
  <si>
    <t>[-0.055, 0.584]</t>
  </si>
  <si>
    <t>LINESTRING (10.442935919246183 63.408802442440205, 10.442768104129652 63.40876021471839, 10.442738162793129 63.40869404938339)</t>
  </si>
  <si>
    <t>[1570578, 1570586]</t>
  </si>
  <si>
    <t>[1415281, 579692]</t>
  </si>
  <si>
    <t>0.2255445416535464</t>
  </si>
  <si>
    <t>[557791, 1415281]</t>
  </si>
  <si>
    <t>[0.055, 0.584]</t>
  </si>
  <si>
    <t>17.144961987632257</t>
  </si>
  <si>
    <t>[-2.526, 0.052, 0.015, -0.03, -0.055]</t>
  </si>
  <si>
    <t>LINESTRING (10.443073849689464 63.408591044833265, 10.44311217201633 63.40860122492537, 10.443216290499775 63.40864145346638, 10.443246963284638 63.40870088018607, 10.44314177813471 63.40878204327317, 10.442935919246183 63.408802442440205)</t>
  </si>
  <si>
    <t>[1570538, 1570546, 1570554, 1570562, 1570570]</t>
  </si>
  <si>
    <t>[579693, 1415256, 557799, 486516, 557791]</t>
  </si>
  <si>
    <t>[580657, 579693, 1415256, 557799, 486516]</t>
  </si>
  <si>
    <t>[2.526, 0.052, 0.015, 0.03, 0.055]</t>
  </si>
  <si>
    <t>36.897909131461226</t>
  </si>
  <si>
    <t>4.64357071658148</t>
  </si>
  <si>
    <t>[0.034, 0.034, 0.03, 0.003, -0.02, -0.023]</t>
  </si>
  <si>
    <t>LINESTRING (10.3768854078738 63.37026261918291, 10.377676060268872 63.37028620987038, 10.378613085861966 63.37032475869058, 10.37864097208101 63.37032651736689, 10.380355213493331 63.370458609671616, 10.38102208625117 63.37056492652265, 10.381116342868125 63.37058490534704)</t>
  </si>
  <si>
    <t>[551038, 551046, 551054, 551062, 551070, 551078]</t>
  </si>
  <si>
    <t>[558094, 558099, 558107, 558115, 558124, 558131]</t>
  </si>
  <si>
    <t>0.0112310202799136</t>
  </si>
  <si>
    <t>[558087, 558094, 558099, 558107, 558115, 558124]</t>
  </si>
  <si>
    <t>[0.034, 0.034, 0.03, 0.003, 0.02, 0.023]</t>
  </si>
  <si>
    <t>215.87518137777187</t>
  </si>
  <si>
    <t>[-0.009, 0.013, 0.011, 0.011, 0.01, 0.017, 0.009, 0.013]</t>
  </si>
  <si>
    <t>LINESTRING (10.3768854078738 63.37026261918291, 10.37689023542173 63.370290490229316, 10.379505419540237 63.37079705387788, 10.379515173901575 63.370599538927834, 10.379493941638838 63.37005931069981, 10.379014942647192 63.36845483251073, 10.37900640454242 63.36841378437095, 10.37900157640774 63.368389141664764, 10.378994067711005 63.36834804597687)</t>
  </si>
  <si>
    <t>[626446, 599529, 599537, 599545, 599553, 626454, 626462, 626470]</t>
  </si>
  <si>
    <t>[602353, 602354, 602359, 602364, 602369, 623017, 623023, 623029]</t>
  </si>
  <si>
    <t>0.01162260896709465</t>
  </si>
  <si>
    <t>[558087, 602353, 602354, 602359, 602364, 602369, 623017, 623023]</t>
  </si>
  <si>
    <t>[0.009, 0.013, 0.011, 0.011, 0.01, 0.017, 0.009, 0.013]</t>
  </si>
  <si>
    <t>557.3843165740717</t>
  </si>
  <si>
    <t>0.239</t>
  </si>
  <si>
    <t>9.644104365177583</t>
  </si>
  <si>
    <t>[-0.244, -0.01, 1.441]</t>
  </si>
  <si>
    <t>LINESTRING (10.379720314731333 63.37076895169098, 10.379765399483441 63.37087472449963, 10.381180532757218 63.37059687754331, 10.381116342868125 63.37058490534704)</t>
  </si>
  <si>
    <t>[626398, 572452, 626406]</t>
  </si>
  <si>
    <t>[580049, 580050, 558131]</t>
  </si>
  <si>
    <t>[621204, 580049, 580050]</t>
  </si>
  <si>
    <t>[0.244, 0.01, 1.441]</t>
  </si>
  <si>
    <t>302.13428021630654</t>
  </si>
  <si>
    <t>[-0.034, -0.052, -0.04, -0.014, 0.026, 0.047, 0.042]</t>
  </si>
  <si>
    <t>LINESTRING (10.28562794671234 63.298860149258616, 10.285309235014536 63.29895120568342, 10.28520598914126 63.29892260226083, 10.28514528449368 63.29887832225763, 10.285161187074015 63.29879341516565, 10.28523779390046 63.2987527880582, 10.285347106824913 63.29873213064541, 10.28562794671234 63.298860149258616)</t>
  </si>
  <si>
    <t>[559688, 559689, 559697, 559717, 559723, 559730, 559662]</t>
  </si>
  <si>
    <t>[567537, 567538, 567546, 567569, 567577, 567511, 567512]</t>
  </si>
  <si>
    <t>[567512, 567537, 567538, 567546, 567569, 567577, 567511]</t>
  </si>
  <si>
    <t>[0.034, 0.052, 0.04, 0.014, 0.026, 0.047, 0.042]</t>
  </si>
  <si>
    <t>77.69669161265537</t>
  </si>
  <si>
    <t>[-0.269, -0.006, 0.008, 0.072]</t>
  </si>
  <si>
    <t>LINESTRING (10.28562794671234 63.298860149258616, 10.285709011368533 63.298865534393045, 10.287705643141809 63.30195624435118, 10.287738194241932 63.302135214613436, 10.287706707835385 63.302242088179064)</t>
  </si>
  <si>
    <t>[572153, 572154, 572158, 626198]</t>
  </si>
  <si>
    <t>[579782, 579783, 579786, 621106]</t>
  </si>
  <si>
    <t>[567512, 579782, 579783, 579786]</t>
  </si>
  <si>
    <t>[0.269, 0.006, 0.008, 0.072]</t>
  </si>
  <si>
    <t>406.19820977312503</t>
  </si>
  <si>
    <t>[-0.012, -0.05, -0.078]</t>
  </si>
  <si>
    <t>LINESTRING (9.966600330187344 62.722633989884145, 9.967663504110496 62.72468634261099, 9.974676244954036 62.73053629696531, 9.974929854635063 62.730844958909216)</t>
  </si>
  <si>
    <t>[845880, 845888, 845892]</t>
  </si>
  <si>
    <t>[821271, 821274, 578148]</t>
  </si>
  <si>
    <t>[578126, 821271, 821274]</t>
  </si>
  <si>
    <t>[0.012, 0.05, 0.078]</t>
  </si>
  <si>
    <t>1031.1983060300345</t>
  </si>
  <si>
    <t>[-0.041, -0.092]</t>
  </si>
  <si>
    <t>LINESTRING (9.966600330187344 62.722633989884145, 9.974552884060001 62.73056610170544, 9.974929854635063 62.730844958909216)</t>
  </si>
  <si>
    <t>[845900, 845912]</t>
  </si>
  <si>
    <t>[821283, 578148]</t>
  </si>
  <si>
    <t>[578126, 821283]</t>
  </si>
  <si>
    <t>[0.041, 0.092]</t>
  </si>
  <si>
    <t>1033.6756795573172</t>
  </si>
  <si>
    <t>[0.001, 0.0, -0.003, -0.004, -0.0, 0.0, 0.0, 0.0, 0.001, 0.002, 0.002, 0.001, 0.001, 0.005, 0.005, 0.004, 0.005, 0.003, -0.0, 0.0, 0.0, 0.003, 0.009, -0.001, 0.016, 0.023, 0.023, 0.017, 0.002, -0.012, -0.02, -0.012, -0.008, 0.005, -0.031, -0.041, -0.02, -0.011, -0.036, -0.011, -0.005, -0.007, 0.004, -0.007, -0.015, -0.012, 0.007, 0.014, 0.003, -0.005, -0.001, 0.017, -0.006, 0.006, 0.019, -0.002, 0.011, 0.01, -0.011, 0.001, -0.003, 0.003, 0.002, -0.038, 0.002, 0.015, 0.009, 0.006, -0.015, -0.021, -0.006, -0.006, -0.002, -0.0, -0.026, 0.0, 0.007, 0.007, -0.01, -0.008, -0.029, -0.007, -0.001, 0.006, -0.019, -0.02, -0.025, -0.039, -0.06, -0.058, -0.08, -0.072, -0.091, -0.078, -0.009, -0.013, -0.012, -0.007, -0.006, -0.04, -0.028, -0.042, -0.02, -0.001, -0.005, 0.0, -0.006, -0.009, -0.046, -0.019, -0.044]</t>
  </si>
  <si>
    <t>[0, 0, 0, 0, 0, 0, 0, 0, 0, 0, 0, 0, 0, 0, 0, 0, 0, 0, 0, 0, 0, 0, 0, 0, 0, 0, 0, 0, 0, 0, 0, 0, 0, 0, 0, 0, 0, 0, 0, 0, 0, 0, 0, 0, 0, 0, 0, 0, 0, 0, 0, 0, 0, 0, 0, 0, 0, 0, 0, 0, 0, 0, 0, 0, 0, 0, 0, 0, 0, 0, 0, 0, 0, 0, 0, 0, 0, 0, 0, 0, 0, 0, 0, 0, 0, 0, 0, 0, 0, 0, 0, 1, 1, 1, 0, 0, 0, 0, 0, 0, 0, 0, 0, 0, 0, 0, 0, 0, 0, 0, 0]</t>
  </si>
  <si>
    <t>LINESTRING (9.71147156953128 62.59770727066027, 9.713991443235553 62.598305043921556, 9.714142423693058 62.59834630130721, 9.71671747992357 62.59898689874141, 9.717939014283438 62.599280797205346, 9.7185159092851 62.59946188117854, 9.718661635791896 62.599509683023655, 9.718833081081735 62.59956655550987, 9.718888603884508 62.59959157302925, 9.71928689382705 62.59976251524216, 9.720964631333489 62.60047594063388, 9.721696344632178 62.60078796924826, 9.721984194046374 62.60091053080937, 9.722070332543868 62.60094687167271, 9.731158123728441 62.604873306378344, 9.731261854049645 62.6049180247167, 9.731415146099367 62.604984056902694, 9.73165306271963 62.60508804865983, 9.733513427843308 62.60588417268596, 9.736490579317282 62.60717904202658, 9.7369090431072 62.60735866955454, 9.737474445559592 62.60759298687705, 9.740951435485298 62.60862012399236, 9.741821456626834 62.60884871507762, 9.74510835782226 62.60991160201141, 9.750454660627005 62.612865466810106, 9.750599780175355 62.61294986550402, 9.751176617519775 62.61328104140661, 9.753901781267126 62.61484284856356, 9.754592145170397 62.61532057730957, 9.755365849760693 62.615899054535, 9.75546767063216 62.615975172607556, 9.756768500045133 62.61695417879818, 9.765523944956625 62.62165610480761, 9.773239561343397 62.62629429350778, 9.776946033078787 62.62697029659806, 9.777367332241374 62.627042591507184, 9.780327557079582 62.62807735940086, 9.782975000407259 62.62936095436614, 9.784754863925698 62.630217658900975, 9.78668385689822 62.63115613519582, 9.78987488364276 62.63260441915217, 9.792766369736114 62.63358800036192, 9.799039546523591 62.636118538332965, 9.799787940778936 62.636448842644626, 9.805146740302746 62.63920280431429, 9.806776371757223 62.63979840750811, 9.819030957817834 62.64304098035815, 9.820973046347754 62.643492676991876, 9.822524329511861 62.64372340930603, 9.8327452325026 62.645393779392215, 9.843655373555555 62.64749028299848, 9.84658008902068 62.64786670178637, 9.85200942238481 62.64858898476623, 9.855023388756402 62.64929338809744, 9.855519008325356 62.64944597178374, 9.85654062776294 62.64976488237265, 9.864302558318508 62.65244409897632, 9.872581968525644 62.65394473343517, 9.874538903216639 62.65453431273879, 9.875554619567442 62.65487832695904, 9.878248898808648 62.655880296687855, 9.878858360049177 62.656123804033484, 9.879202483811543 62.6562570931047, 9.87921638261515 62.656262334185904, 9.87994285727959 62.656549030716555, 9.880524821350036 62.65678804174143, 9.881636007673833 62.65722421705281, 9.88262733401129 62.65758355724719, 9.885068301377645 62.658270557208574, 9.88632972344666 62.65877590805944, 9.89083203873674 62.66127351988046, 9.894894922511542 62.66439411536778, 9.900657392408494 62.668249431269174, 9.90226858929784 62.66900097633024, 9.904418998473366 62.669427014396675, 9.908862170180166 62.67089080444286, 9.910268730395469 62.671831981879755, 9.912436773812072 62.67363775543965, 9.913341977573085 62.674251149290605, 9.915301063580158 62.67543873378165, 9.923917179527923 62.67992113894261, 9.92463907665104 62.68031781972888, 9.92891232842169 62.68396667259339, 9.930227638555321 62.68610430080724, 9.932459337258756 62.688692239684144, 9.933052336250727 62.68955807974322, 9.93756873244573 62.694302280249815, 9.938437158743117 62.69482045683831, 9.938595737806306 62.694914441277746, 9.939442047713696 62.69541936957332, 9.939892743248654 62.69568540787102, 9.940013836251797 62.69575762358844, 9.94005822079953 62.695783759919266, 9.94022791260053 62.69588381136525, 9.946221287490294 62.69975151217994, 9.94766245155796 62.700678920004975, 9.94803077876889 62.700915399763105, 9.948834234931448 62.701451740323456, 9.951215542318241 62.703538607649676, 9.952173113991275 62.70456601942873, 9.952625943277814 62.705277178314866, 9.953723398616708 62.7070893754794, 9.954419561315353 62.70817570681724, 9.954779351950673 62.70862591495111, 9.95523686681592 62.709138115409765, 9.958019348452178 62.71094526595264, 9.958864036441815 62.711790293129, 9.959397919783859 62.71253814648568, 9.96230890057736 62.71585097538963, 9.966206204843767 62.7214656666424, 9.966600330187344 62.722633989884145)</t>
  </si>
  <si>
    <t>[596964, 596972, 596980, 596988, 596996, 597004, 597012, 597020, 597028, 597036, 597044, 597052, 597060, 597068, 597076, 597084, 597092, 597100, 597108, 597116, 597124, 597132, 597140, 597148, 597156, 597164, 597172, 597180, 597188, 597196, 597204, 569420, 569428, 569444, 569445, 569453, 569454, 569456, 569469, 569470, 569483, 569484, 569485, 569492, 569500, 569508, 569509, 569514, 569522, 569523, 569536, 569552, 569569, 569581, 569589, 569593, 569594, 569608, 569616, 569630, 569654, 569659, 569675, 569676, 569683, 569693, 569699, 569707, 569708, 569723, 569726, 569727, 569740, 569752, 569753, 569764, 569787, 569795, 569807, 569815, 569823, 569824, 569828, 569829, 569830, 569831, 569842, 569846, 569847, 569848, 569857, 569858, 569860, 569868, 569876, 569877, 569879, 569886, 569890, 569900, 569916, 569924, 569931, 569939, 569947, 569958, 569959, 569964, 569965, 569972, 569987]</t>
  </si>
  <si>
    <t>[600420, 570102, 600431, 600439, 600448, 600454, 582897, 600462, 600470, 600476, 600481, 600485, 600490, 600497, 600504, 600508, 508103, 600517, 572154, 600526, 376586, 566921, 536029, 600554, 600560, 600571, 600578, 600585, 517037, 600598, 577664, 577665, 577675, 577688, 516508, 534190, 517538, 516229, 577708, 516239, 508051, 577721, 577722, 577729, 517773, 568433, 577745, 337420, 376642, 577756, 577765, 577776, 577790, 577801, 516909, 516897, 577810, 577825, 577831, 577840, 577863, 577867, 577881, 495988, 577889, 516814, 577898, 577905, 577906, 577921, 500713, 577924, 577935, 577948, 577949, 577958, 548784, 577986, 517806, 516249, 578010, 578011, 568520, 516644, 578015, 536009, 516957, 578026, 578027, 578028, 578037, 578038, 578040, 578046, 578051, 578052, 543379, 578057, 578061, 546188, 520405, 520404, 578083, 578087, 578094, 578099, 578100, 512500, 512897, 578112, 578126]</t>
  </si>
  <si>
    <t>[600419, 600420, 570102, 600431, 600439, 600448, 600454, 582897, 600462, 600470, 600476, 600481, 600485, 600490, 600497, 600504, 600508, 508103, 600517, 572154, 600526, 376586, 566921, 536029, 600554, 600560, 600571, 600578, 600585, 517037, 600598, 577664, 577665, 577675, 577688, 516508, 534190, 517538, 516229, 577708, 516239, 508051, 577721, 577722, 577729, 517773, 568433, 577745, 337420, 376642, 577756, 577765, 577776, 577790, 577801, 516909, 516897, 577810, 577825, 577831, 577840, 577863, 577867, 577881, 495988, 577889, 516814, 577898, 577905, 577906, 577921, 500713, 577924, 577935, 577948, 577949, 577958, 548784, 577986, 517806, 516249, 578010, 578011, 568520, 516644, 578015, 536009, 516957, 578026, 578027, 578028, 578037, 578038, 578040, 578046, 578051, 578052, 543379, 578057, 578061, 546188, 520405, 520404, 578083, 578087, 578094, 578099, 578100, 512500, 512897, 578112]</t>
  </si>
  <si>
    <t>[0.001, 0.0, 0.003, 0.004, 0.0, 0.0, 0.0, 0.0, 0.001, 0.002, 0.002, 0.001, 0.001, 0.005, 0.005, 0.004, 0.005, 0.003, 0.0, 0.0, 0.0, 0.003, 0.009, 0.001, 0.016, 0.023, 0.023, 0.017, 0.002, 0.012, 0.02, 0.012, 0.008, 0.005, 0.031, 0.041, 0.02, 0.011, 0.036, 0.011, 0.005, 0.007, 0.004, 0.007, 0.015, 0.012, 0.007, 0.014, 0.003, 0.005, 0.001, 0.017, 0.006, 0.006, 0.019, 0.002, 0.011, 0.01, 0.011, 0.001, 0.003, 0.003, 0.002, 0.038, 0.002, 0.015, 0.009, 0.006, 0.015, 0.021, 0.006, 0.006, 0.002, 0.0, 0.026, 0.0, 0.007, 0.007, 0.01, 0.008, 0.029, 0.007, 0.001, 0.006, 0.019, 0.02, 0.025, 0.039, 0.06, 0.058, 0.08, 0.072, 0.091, 0.078, 0.009, 0.013, 0.012, 0.007, 0.006, 0.04, 0.028, 0.042, 0.02, 0.001, 0.005, 0.0, 0.006, 0.009, 0.046, 0.019, 0.044]</t>
  </si>
  <si>
    <t>19974.920017531567</t>
  </si>
  <si>
    <t>[-0.027, -0.034, -0.047, -0.036, -0.035, 0.033, 0.006, 0.184, 0.063, -0.049, -0.11, -0.102, -0.079]</t>
  </si>
  <si>
    <t>[0, 0, 0, 1, 0, 0, 0, 0, 0, 0, 0, 0, 0]</t>
  </si>
  <si>
    <t>LINESTRING (9.974929854635063 62.730844958909216, 9.975515430769006 62.73160759197218, 9.976649341579172 62.733780806826815, 9.977043164605377 62.73402449378961, 9.977473294231064 62.73440932810694, 9.977489986733875 62.73443002278012, 9.979153401215221 62.740454228980795, 9.980295002979647 62.74511444248883, 9.980906483869989 62.74596728730019, 9.98225706843797 62.7481180163278, 9.982568294231772 62.74888277696793, 9.982689505575653 62.74922929236228, 9.982810166141784 62.749527768970026, 9.983459875847695 62.75072302790106)</t>
  </si>
  <si>
    <t>[570012, 570013, 570014, 570034, 570035, 570041, 597212, 850988, 850996, 851004, 851012, 1184892, 1184900]</t>
  </si>
  <si>
    <t>[578149, 545829, 578150, 578169, 521913, 544523, 600612, 593979, 825710, 825719, 825727, 654498, 1114288]</t>
  </si>
  <si>
    <t>0.009864486279100053</t>
  </si>
  <si>
    <t>[578148, 578149, 545829, 578150, 578169, 521913, 544523, 600612, 593979, 825710, 825719, 825727, 654498]</t>
  </si>
  <si>
    <t>[0.027, 0.034, 0.047, 0.036, 0.035, 0.033, 0.006, 0.184, 0.063, 0.049, 0.11, 0.102, 0.079]</t>
  </si>
  <si>
    <t>2309.6335678814125</t>
  </si>
  <si>
    <t>[0.0, -0.028, -0.05, -0.089, -0.114, -0.084, -0.001]</t>
  </si>
  <si>
    <t>[0, 1, 0, 1, 0, 0, 0]</t>
  </si>
  <si>
    <t>LINESTRING (10.153697447988488 62.92451091189464, 10.153697447988488 62.92451091189464, 10.154222173757432 62.92458581057481, 10.155018537278773 62.92478517839079, 10.15590404064677 62.92510651118035, 10.156247094599118 62.925285962343224, 10.156915377170119 62.92633797388415, 10.159042685280605 62.92718254054864)</t>
  </si>
  <si>
    <t>[570237, 570239, 570241, 570243, 570244, 570245, 1981787]</t>
  </si>
  <si>
    <t>[578340, 578343, 578344, 578346, 543089, 578347, 621736]</t>
  </si>
  <si>
    <t>[578339, 578340, 578343, 578344, 578346, 543089, 578347]</t>
  </si>
  <si>
    <t>[0.0, 0.028, 0.05, 0.089, 0.114, 0.084, 0.001]</t>
  </si>
  <si>
    <t>565.0047041812493</t>
  </si>
  <si>
    <t>[-0.056, -0.039, -0.024]</t>
  </si>
  <si>
    <t>[0, 1, 1]</t>
  </si>
  <si>
    <t>LINESTRING (10.39775603710479 63.40086853158761, 10.39754884655992 63.40083486859119, 10.39692186667532 63.40073010628718, 10.3937875205127 63.39942934289089)</t>
  </si>
  <si>
    <t>[571060, 571061, 571062]</t>
  </si>
  <si>
    <t>[578964, 578965, 578966]</t>
  </si>
  <si>
    <t>[578952, 578964, 578965]</t>
  </si>
  <si>
    <t>[0.056, 0.039, 0.024]</t>
  </si>
  <si>
    <t>263.192909609261</t>
  </si>
  <si>
    <t>[-0.005, -0.026, -0.051]</t>
  </si>
  <si>
    <t>LINESTRING (10.400810224150181 63.401883361640664, 10.399308086289292 63.401157801314376, 10.397970475965693 63.40091951330529, 10.39775603710479 63.40086853158761)</t>
  </si>
  <si>
    <t>[572268, 572276, 572284]</t>
  </si>
  <si>
    <t>[579875, 579883, 578952]</t>
  </si>
  <si>
    <t>[579866, 579875, 579883]</t>
  </si>
  <si>
    <t>[0.005, 0.026, 0.051]</t>
  </si>
  <si>
    <t>204.38069522817</t>
  </si>
  <si>
    <t>[0.0, -0.053]</t>
  </si>
  <si>
    <t>LINESTRING (10.39818809001672 63.4009382253154, 10.39818809001672 63.4009382253154, 10.39775603710479 63.40086853158761)</t>
  </si>
  <si>
    <t>[624909, 571045]</t>
  </si>
  <si>
    <t>[578951, 578952]</t>
  </si>
  <si>
    <t>[621778, 578951]</t>
  </si>
  <si>
    <t>[0.0, 0.053]</t>
  </si>
  <si>
    <t>25.961535073974698</t>
  </si>
  <si>
    <t>[-0.02, -0.004, 0.013, 0.016, 0.022]</t>
  </si>
  <si>
    <t>LINESTRING (10.3937875205127 63.39942934289089, 10.393702963765662 63.3993564724193, 10.392459243633706 63.39735910115752, 10.392245125079109 63.39714674622426, 10.392010502094044 63.39688468470959, 10.391959206353187 63.39677961651198)</t>
  </si>
  <si>
    <t>[571069, 571102, 571103, 571113, 624917]</t>
  </si>
  <si>
    <t>[578970, 578991, 578992, 578998, 621785]</t>
  </si>
  <si>
    <t>[578966, 578970, 578991, 578992, 578998]</t>
  </si>
  <si>
    <t>[0.02, 0.004, 0.013, 0.016, 0.022]</t>
  </si>
  <si>
    <t>310.37123126079337</t>
  </si>
  <si>
    <t>[-0.021, -0.024, -0.013, -0.012, 0.014, -0.062]</t>
  </si>
  <si>
    <t>LINESTRING (10.3937875205127 63.39942934289089, 10.393710047827728 63.399387274749756, 10.393661910703925 63.39936234011971, 10.393383385707807 63.39908737148808, 10.39302294191113 63.3987118125123, 10.392205190318625 63.39819259984722, 10.392137070068365 63.39818221576324)</t>
  </si>
  <si>
    <t>[572604, 572612, 572620, 572628, 821335, 821343]</t>
  </si>
  <si>
    <t>[580186, 580193, 580197, 580205, 799182, 799189]</t>
  </si>
  <si>
    <t>[578966, 580186, 580193, 580197, 580205, 799182]</t>
  </si>
  <si>
    <t>[0.021, 0.024, 0.013, 0.012, 0.014, 0.062]</t>
  </si>
  <si>
    <t>164.90858334456527</t>
  </si>
  <si>
    <t>[0.024, 0.331, 0.266, 0.261, 0.281, 0.268, 0.217, 0.208, -0.157, -0.193, -0.082, -0.015, -0.005, -0.014]</t>
  </si>
  <si>
    <t>22779.0</t>
  </si>
  <si>
    <t>LINESTRING (10.580117819088045 63.42332947305999, 10.581332167183119 63.423195971244034, 10.581351831995654 63.42319429641576, 10.581804702964108 63.423159424877724, 10.581824457202483 63.42315795055143, 10.581996255145457 63.42314513440732, 10.583470691329243 63.42305694164706, 10.59487036994423 63.42248895748182, 10.595638157620883 63.422455113503425, 10.615871658322147 63.421797833354056, 10.618126916443375 63.42191938329231, 10.618146654496947 63.42192087936907, 10.61937306489766 63.42202191143231, 10.61939273988346 63.42202355823664, 10.619497173386215 63.42203232880412)</t>
  </si>
  <si>
    <t>[571127, 571136, 571144, 571145, 571161, 571177, 571185, 571201, 571209, 571230, 571246, 571254, 571270, 571271]</t>
  </si>
  <si>
    <t>[579010, 579013, 579019, 579020, 579029, 579043, 579047, 579061, 579066, 579082, 579095, 579098, 579106, 579107]</t>
  </si>
  <si>
    <t>[579009, 579010, 579013, 579019, 579020, 579029, 579043, 579047, 579061, 579066, 579082, 579095, 579098, 579106]</t>
  </si>
  <si>
    <t>[0.024, 0.331, 0.266, 0.261, 0.281, 0.268, 0.217, 0.208, 0.157, 0.193, 0.082, 0.015, 0.005, 0.014]</t>
  </si>
  <si>
    <t>1979.450442357077</t>
  </si>
  <si>
    <t>[0.028, 0.019, 0.002, 0.032, 0.01, 0.061, 0.073, 0.056, 0.078, -0.173]</t>
  </si>
  <si>
    <t>LINESTRING (10.548300812681886 63.423031336332336, 10.54978593985437 63.422891755865884, 10.553118950209493 63.42262124598106, 10.56271202519147 63.42431230000497, 10.574621260924863 63.42482273745324, 10.574764618619724 63.424806773189744, 10.57518657430872 63.42466071760797, 10.5752749736129 63.424605557170246, 10.576253374444988 63.42425913432815, 10.580007751213966 63.4233640055267, 10.580117819088045 63.42332947305999)</t>
  </si>
  <si>
    <t>[1713852, 1713860, 1086398, 1086406, 1086414, 1086422, 1086430, 1086438, 1086446, 1086454]</t>
  </si>
  <si>
    <t>[1528766, 1030688, 1030689, 1030697, 1030704, 1030708, 1030716, 1030723, 1030729, 579009]</t>
  </si>
  <si>
    <t>0.02768603179669033</t>
  </si>
  <si>
    <t>[824189, 1528766, 1030688, 1030689, 1030697, 1030704, 1030708, 1030716, 1030723, 1030729]</t>
  </si>
  <si>
    <t>[0.028, 0.019, 0.002, 0.032, 0.01, 0.061, 0.073, 0.056, 0.078, 0.173]</t>
  </si>
  <si>
    <t>1757.5783679387625</t>
  </si>
  <si>
    <t>[0.048, -0.022, -0.028]</t>
  </si>
  <si>
    <t>LINESTRING (10.619497173386215 63.42203232880412, 10.620489070900089 63.42209735632, 10.621101234236889 63.4221551857158, 10.624694686620007 63.42243899993919)</t>
  </si>
  <si>
    <t>[624973, 624981, 624989]</t>
  </si>
  <si>
    <t>[621835, 621842, 621849]</t>
  </si>
  <si>
    <t>[579107, 621835, 621842]</t>
  </si>
  <si>
    <t>[0.048, 0.022, 0.028]</t>
  </si>
  <si>
    <t>264.08544451420204</t>
  </si>
  <si>
    <t>[0.048, -0.024]</t>
  </si>
  <si>
    <t>LINESTRING (10.619497173386215 63.42203232880412, 10.62047465184004 63.42215189985093, 10.621089973725606 63.422219661812065)</t>
  </si>
  <si>
    <t>[627968, 627976]</t>
  </si>
  <si>
    <t>[624142, 623147]</t>
  </si>
  <si>
    <t>0.020440357900489117</t>
  </si>
  <si>
    <t>[579107, 624142]</t>
  </si>
  <si>
    <t>[0.048, 0.024]</t>
  </si>
  <si>
    <t>82.68482491464275</t>
  </si>
  <si>
    <t>[0.09, 0.025, 0.134, 0.027, 0.028, 0.045, 0.004, 0.095, 0.101, 0.023, 0.054]</t>
  </si>
  <si>
    <t>LINESTRING (10.721922771050984 63.425233645972085, 10.726377716471967 63.424683627468525, 10.727346908403527 63.42448574879846, 10.727366487313002 63.42448121967804, 10.72785738208458 63.424363017120136, 10.727972011765262 63.42433310487581, 10.728236508765278 63.42426156923536, 10.728255247179051 63.42425634960513, 10.72840116230157 63.42421565965827, 10.728502212365745 63.424185835071754, 10.733228718052404 63.42179438084213, 10.733319423010851 63.42169730649908)</t>
  </si>
  <si>
    <t>[628080, 628088, 628096, 628104, 628112, 628120, 628128, 628136, 628144, 628152, 628160]</t>
  </si>
  <si>
    <t>[624216, 624223, 624230, 624234, 624239, 624243, 624250, 624256, 624261, 624267, 579112]</t>
  </si>
  <si>
    <t>0.04742025510836892</t>
  </si>
  <si>
    <t>[624215, 624216, 624223, 624230, 624234, 624239, 624243, 624250, 624256, 624261, 624267]</t>
  </si>
  <si>
    <t>722.1328973480557</t>
  </si>
  <si>
    <t>[0.188, -0.022, -0.004, -0.013]</t>
  </si>
  <si>
    <t>LINESTRING (10.743991744497166 63.420065180122585, 10.747339022752382 63.420160638514794, 10.749504534155042 63.420128506319585, 10.751009585373042 63.42004719530435, 10.752926068961658 63.419876439841225)</t>
  </si>
  <si>
    <t>[625181, 625189, 625197, 625205]</t>
  </si>
  <si>
    <t>[622032, 622036, 622039, 622044]</t>
  </si>
  <si>
    <t>0.06134942646871501</t>
  </si>
  <si>
    <t>[579130, 622032, 622036, 622039]</t>
  </si>
  <si>
    <t>[0.188, 0.022, 0.004, 0.013]</t>
  </si>
  <si>
    <t>449.2501060695472</t>
  </si>
  <si>
    <t>[0.177, -0.02]</t>
  </si>
  <si>
    <t>LINESTRING (10.743991744497166 63.420065180122585, 10.747337210101845 63.42022868083256, 10.749515246563647 63.420201011816665)</t>
  </si>
  <si>
    <t>[628168, 628176]</t>
  </si>
  <si>
    <t>[624276, 623183]</t>
  </si>
  <si>
    <t>0.09970135476277554</t>
  </si>
  <si>
    <t>[579130, 624276]</t>
  </si>
  <si>
    <t>[0.177, 0.02]</t>
  </si>
  <si>
    <t>277.4344670449176</t>
  </si>
  <si>
    <t>[-0.018, 0.118, 0.035, 0.13, 0.043, 0.117, -0.03, -0.292, -0.31, -0.311, -0.31, -0.315, -0.044, 0.361]</t>
  </si>
  <si>
    <t>21770.0</t>
  </si>
  <si>
    <t>[0, 0, 0, 0, 0, 0, 0, 0, 0, 0, 0, 0, 1, 0]</t>
  </si>
  <si>
    <t>LINESTRING (10.770945914966505 63.41215258655952, 10.771956025356463 63.41157949725184, 10.771968871914238 63.41157263238884, 10.77215069023626 63.41147719374485, 10.77216395624356 63.41147047613534, 10.772328436362972 63.41138610200405, 10.773384268019809 63.41085880212561, 10.802821222588925 63.40332622677408, 10.804492160905745 63.40332153673878, 10.80451215639457 63.40332191798502, 10.805112524390932 63.403334438579726, 10.805132495021331 63.40333498980293, 10.805282006682082 63.40334109363437, 10.80942883365053 63.40366880653555, 10.810739758000278 63.40385023246349)</t>
  </si>
  <si>
    <t>[571304, 571317, 571331, 571339, 571347, 571354, 571359, 571392, 571408, 571416, 571417, 571431, 571432, 571434]</t>
  </si>
  <si>
    <t>[579132, 579144, 579153, 579160, 579169, 579173, 579177, 579197, 579211, 579215, 579216, 579228, 579229, 579231]</t>
  </si>
  <si>
    <t>[579131, 579132, 579144, 579153, 579160, 579169, 579173, 579177, 579197, 579211, 579215, 579216, 579228, 579229]</t>
  </si>
  <si>
    <t>[0.018, 0.118, 0.035, 0.13, 0.043, 0.117, 0.03, 0.292, 0.31, 0.311, 0.31, 0.315, 0.044, 0.361]</t>
  </si>
  <si>
    <t>2311.033249516949</t>
  </si>
  <si>
    <t>[-0.04, -0.374, -0.006, -0.324]</t>
  </si>
  <si>
    <t>LINESTRING (10.760944131098638 63.41877356586422, 10.764066985483504 63.41809369871198, 10.76471960311772 63.4178900012764, 10.770535339845393 63.41247439455166, 10.770945914966505 63.41215258655952)</t>
  </si>
  <si>
    <t>[628216, 1292437, 1292452, 1292460]</t>
  </si>
  <si>
    <t>[624311, 1205552, 1205560, 579131]</t>
  </si>
  <si>
    <t>[623192, 624311, 1205552, 1205560]</t>
  </si>
  <si>
    <t>[0.04, 0.374, 0.006, 0.324]</t>
  </si>
  <si>
    <t>941.0053691140789</t>
  </si>
  <si>
    <t>[-0.005, -0.362]</t>
  </si>
  <si>
    <t>LINESTRING (10.764647359464545 63.417831906810235, 10.770432041509304 63.41244230596171, 10.770945914966505 63.41215258655952)</t>
  </si>
  <si>
    <t>[1292476, 1292484]</t>
  </si>
  <si>
    <t>[1205577, 579131]</t>
  </si>
  <si>
    <t>[1205572, 1205577]</t>
  </si>
  <si>
    <t>[0.005, 0.362]</t>
  </si>
  <si>
    <t>723.7911903535972</t>
  </si>
  <si>
    <t>[0.042, -0.097, -0.028, 0.001, -0.015, -0.026, 0.01, 0.104, 0.122]</t>
  </si>
  <si>
    <t>[0, 0, 0, 0, 1, 1, 0, 0, 0]</t>
  </si>
  <si>
    <t>LINESTRING (10.810739758000278 63.40385023246349, 10.81285294563184 63.40421413893157, 10.814971875232555 63.40488635645045, 10.816726618599688 63.406228772598574, 10.81674527350467 63.40625484868478, 10.81679648949662 63.40634363477795, 10.81681068632286 63.406370029608496, 10.816144844883404 63.40909282498988, 10.81609679875984 63.40998268970756, 10.816103090622992 63.41000966182686)</t>
  </si>
  <si>
    <t>[625238, 625246, 625254, 625262, 625270, 625278, 625286, 625294, 625302]</t>
  </si>
  <si>
    <t>[622074, 622082, 622089, 622098, 622106, 622114, 622122, 622127, 622137]</t>
  </si>
  <si>
    <t>0.0009224381485936173</t>
  </si>
  <si>
    <t>[579231, 622074, 622082, 622089, 622098, 622106, 622114, 622122, 622127]</t>
  </si>
  <si>
    <t>[0.042, 0.097, 0.028, 0.001, 0.015, 0.026, 0.01, 0.104, 0.122]</t>
  </si>
  <si>
    <t>846.6879877816901</t>
  </si>
  <si>
    <t>[0.017, -0.086, -0.028, -0.019, -0.026, 0.008]</t>
  </si>
  <si>
    <t>[0, 0, 0, 1, 1, 0]</t>
  </si>
  <si>
    <t>LINESTRING (10.810739758000278 63.40385023246349, 10.812775899535913 63.4042869643515, 10.814875952963531 63.404967222882874, 10.816562429629709 63.4062710618553, 10.816587157181086 63.40630774341448, 10.81664307017554 63.406405566532214, 10.815943938996558 63.40912136266194)</t>
  </si>
  <si>
    <t>[628224, 628232, 628240, 628248, 628256, 628264]</t>
  </si>
  <si>
    <t>[624317, 624326, 624333, 624341, 624344, 623212]</t>
  </si>
  <si>
    <t>[579231, 624317, 624326, 624333, 624341, 624344]</t>
  </si>
  <si>
    <t>[0.017, 0.086, 0.028, 0.019, 0.026, 0.008]</t>
  </si>
  <si>
    <t>736.4551310784777</t>
  </si>
  <si>
    <t>[1.85, 0.065, 0.046, -4.612]</t>
  </si>
  <si>
    <t>LINESTRING (10.82406398659016 63.41468315286255, 10.824300966759782 63.41482741297452, 10.824812743318352 63.4151419738658, 10.825055025493372 63.41529588012765, 10.825236733393405 63.415373476633874)</t>
  </si>
  <si>
    <t>[1393976, 1393984, 1393990, 1393991]</t>
  </si>
  <si>
    <t>[1277727, 1277732, 1277741, 579254]</t>
  </si>
  <si>
    <t>[623219, 1277727, 1277732, 1277741]</t>
  </si>
  <si>
    <t>[1.85, 0.065, 0.046, 4.612]</t>
  </si>
  <si>
    <t>96.90676132749455</t>
  </si>
  <si>
    <t>[0.046, -4.703]</t>
  </si>
  <si>
    <t>LINESTRING (10.824908403204363 63.41511706798824, 10.825145717714278 63.41526789832738, 10.825236733393405 63.415373476633874)</t>
  </si>
  <si>
    <t>[1393934, 1393938]</t>
  </si>
  <si>
    <t>[1277698, 579254]</t>
  </si>
  <si>
    <t>[1277697, 1277698]</t>
  </si>
  <si>
    <t>[0.046, 4.703]</t>
  </si>
  <si>
    <t>33.19231446074567</t>
  </si>
  <si>
    <t>[-0.019, -0.019, 0.033, 0.034, 0.003]</t>
  </si>
  <si>
    <t>LINESTRING (10.439861594588093 63.40931294366256, 10.440060762545484 63.40930941943061, 10.44084543418893 63.409206816095235, 10.441784613266586 63.40900304213186, 10.442582627281935 63.408765978417804, 10.442738162793129 63.40869404938339)</t>
  </si>
  <si>
    <t>[572017, 572030, 572038, 572039, 572046]</t>
  </si>
  <si>
    <t>[579670, 579681, 579687, 579688, 579692]</t>
  </si>
  <si>
    <t>0.014919593402651917</t>
  </si>
  <si>
    <t>[579669, 579670, 579681, 579687, 579688]</t>
  </si>
  <si>
    <t>[0.019, 0.019, 0.033, 0.034, 0.003]</t>
  </si>
  <si>
    <t>162.012517525993</t>
  </si>
  <si>
    <t>0.074</t>
  </si>
  <si>
    <t>5.818934610512101</t>
  </si>
  <si>
    <t>12.220493449232382</t>
  </si>
  <si>
    <t>[0.01, 0.012, 0.005, -0.0, -0.001, -0.002, -0.002, -0.004, -0.008]</t>
  </si>
  <si>
    <t>LINESTRING (10.274544672657836 63.281166968042946, 10.274598198690846 63.2811375320837, 10.275646673419747 63.280741852264306, 10.27696574924268 63.28026476657461, 10.279114613082937 63.279313161842985, 10.279671092144476 63.27905138053701, 10.279801654972417 63.27899018329358, 10.28029596523843 63.278757424597465, 10.280513835024959 63.27871910843873, 10.28052835484817 63.27871655085873)</t>
  </si>
  <si>
    <t>[572028, 572036, 1027478, 1027486, 1027494, 1029667, 1029675, 1029643, 1029651]</t>
  </si>
  <si>
    <t>[579680, 579685, 982153, 982160, 982166, 983895, 983871, 983872, 981960]</t>
  </si>
  <si>
    <t>0.002717279538062277</t>
  </si>
  <si>
    <t>[579679, 579680, 579685, 982153, 982160, 982166, 983895, 983871, 983872]</t>
  </si>
  <si>
    <t>[0.01, 0.012, 0.005, 0.0, 0.001, 0.002, 0.002, 0.004, 0.008]</t>
  </si>
  <si>
    <t>407.62026998052033</t>
  </si>
  <si>
    <t>[-0.001, 0.144, 0.003, -0.063]</t>
  </si>
  <si>
    <t>LINESTRING (10.274264428633549 63.281341112455564, 10.274168138785122 63.28124618089208, 10.274197326905384 63.28120218537614, 10.274266914359067 63.28116762678898, 10.274544672657836 63.281166968042946)</t>
  </si>
  <si>
    <t>[590450, 590466, 590474, 590482]</t>
  </si>
  <si>
    <t>[556392, 595574, 595583, 579679]</t>
  </si>
  <si>
    <t>[595550, 556392, 595574, 595583]</t>
  </si>
  <si>
    <t>[0.001, 0.144, 0.003, 0.063]</t>
  </si>
  <si>
    <t>36.916082626300096</t>
  </si>
  <si>
    <t>0.788</t>
  </si>
  <si>
    <t>2.255436321099109</t>
  </si>
  <si>
    <t>[-0.272, -0.011, -0.024]</t>
  </si>
  <si>
    <t>LINESTRING (10.288285407872714 63.03317645046678, 10.28850446636926 63.03321793171345, 10.293390542966792 63.03397610227095, 10.293429532386574 63.03399942561727)</t>
  </si>
  <si>
    <t>[626158, 572083, 572089]</t>
  </si>
  <si>
    <t>[579721, 579722, 579725]</t>
  </si>
  <si>
    <t>[621008, 579721, 579722]</t>
  </si>
  <si>
    <t>[0.272, 0.011, 0.024]</t>
  </si>
  <si>
    <t>296.32984583787413</t>
  </si>
  <si>
    <t>[0.0, 0.018, -0.004, 0.272, 0.02]</t>
  </si>
  <si>
    <t>LINESTRING (10.290864764258957 63.03525355295753, 10.290864764258957 63.03525355295753, 10.289997947109173 63.03488201302133, 10.286440389188476 63.032902652842104, 10.286239745801552 63.03286378830809, 10.286221480873847 63.0328602739537)</t>
  </si>
  <si>
    <t>[572105, 572111, 572119, 626166, 626174]</t>
  </si>
  <si>
    <t>[579740, 579746, 579753, 622847, 622852]</t>
  </si>
  <si>
    <t>0.006739123818029173</t>
  </si>
  <si>
    <t>[556603, 579740, 579746, 579753, 622847]</t>
  </si>
  <si>
    <t>[0.0, 0.018, 0.004, 0.272, 0.02]</t>
  </si>
  <si>
    <t>416.94472252231117</t>
  </si>
  <si>
    <t>[0.022, 0.025, -0.02, -0.053]</t>
  </si>
  <si>
    <t>LINESTRING (10.293529152599836 63.03543408283581, 10.293346070782633 63.03536593002268, 10.290194704684614 63.03487778186673, 10.290918626338009 63.03516541708613, 10.290996608750847 63.035175535089216)</t>
  </si>
  <si>
    <t>[626182, 572126, 572141, 572142]</t>
  </si>
  <si>
    <t>[579760, 579761, 579771, 579772]</t>
  </si>
  <si>
    <t>0.016367338358339353</t>
  </si>
  <si>
    <t>[622858, 579760, 579761, 579771]</t>
  </si>
  <si>
    <t>[0.022, 0.025, 0.02, 0.053]</t>
  </si>
  <si>
    <t>307.47064763951624</t>
  </si>
  <si>
    <t>[0.0, -0.008, 0.073]</t>
  </si>
  <si>
    <t>LINESTRING (10.293231607945833 63.034030160978396, 10.293231607945833 63.034030160978396, 10.29415378703493 63.0356500443961, 10.294284009625251 63.03573891798061)</t>
  </si>
  <si>
    <t>[572148, 572151, 626190]</t>
  </si>
  <si>
    <t>[579777, 579780, 621023]</t>
  </si>
  <si>
    <t>[579776, 579777, 579780]</t>
  </si>
  <si>
    <t>[0.0, 0.008, 0.073]</t>
  </si>
  <si>
    <t>323.0984455570692</t>
  </si>
  <si>
    <t>4.708938309171599</t>
  </si>
  <si>
    <t>[0.035, 0.036, 0.032, 0.039, 0.017, -0.047, -0.052, -0.043, -0.03, -0.028, -0.041, -0.031, -0.009, -0.001, 0.017, 0.033, -0.023, -0.044, 0.493, -0.028]</t>
  </si>
  <si>
    <t>LINESTRING (10.376842184464348 63.370178325345584, 10.377610397993884 63.37019207019633, 10.377670515638066 63.37019385849129, 10.378643632592238 63.37023159063171, 10.378670162490868 63.37023380888722, 10.37946351289044 63.370292538229926, 10.379839028887709 63.37032403875319, 10.380398459280043 63.37037712944274, 10.381035000853224 63.37046536856079, 10.38109747858057 63.37047926361216, 10.381177656388235 63.37049148428402, 10.381216009668366 63.37050091046322, 10.381274363980813 63.37051179423745, 10.381544211804032 63.370565502160986, 10.382153457920477 63.37082694251534, 10.381481292208774 63.37170368824565, 10.38066424232831 63.37182557803261, 10.378956526162355 63.37314873441353, 10.377941509517457 63.37448714837722, 10.377859544698156 63.3745480478264, 10.377818594939308 63.374578480610715)</t>
  </si>
  <si>
    <t>[572238, 572246, 572247, 572254, 572262, 572270, 572286, 572294, 572302, 572310, 572318, 626478, 572460, 572468, 572476, 626486, 572484, 572492, 626494, 626502]</t>
  </si>
  <si>
    <t>[579848, 579854, 579855, 579860, 579868, 579877, 579889, 579898, 579906, 579913, 579921, 580054, 580055, 580063, 580070, 580080, 580081, 580089, 623044, 621211]</t>
  </si>
  <si>
    <t>[579836, 579848, 579854, 579855, 579860, 579868, 579877, 579889, 579898, 579906, 579913, 579921, 580054, 580055, 580063, 580070, 580080, 580081, 580089, 623044]</t>
  </si>
  <si>
    <t>[0.035, 0.036, 0.032, 0.039, 0.017, 0.047, 0.052, 0.043, 0.03, 0.028, 0.041, 0.031, 0.009, 0.001, 0.017, 0.033, 0.023, 0.044, 0.493, 0.028]</t>
  </si>
  <si>
    <t>792.3111892176304</t>
  </si>
  <si>
    <t>LINESTRING (10.400864235303967 63.40214677507199, 10.400864235303967 63.40214677507199, 10.400810224150181 63.401883361640664)</t>
  </si>
  <si>
    <t>[626294, 572260]</t>
  </si>
  <si>
    <t>[579865, 579866]</t>
  </si>
  <si>
    <t>[606600, 579865]</t>
  </si>
  <si>
    <t>41.59829436753833</t>
  </si>
  <si>
    <t>[0.0, -0.024, -0.147]</t>
  </si>
  <si>
    <t>LINESTRING (10.401170411575775 63.40200108421849, 10.401170411575775 63.40200108421849, 10.401128145500536 63.401993246938986, 10.400810224150181 63.401883361640664)</t>
  </si>
  <si>
    <t>[1319143, 1319167, 1319105]</t>
  </si>
  <si>
    <t>[606608, 1226323, 579866]</t>
  </si>
  <si>
    <t>[626535, 606608, 1226323]</t>
  </si>
  <si>
    <t>[0.0, 0.024, 0.147]</t>
  </si>
  <si>
    <t>29.445133541824276</t>
  </si>
  <si>
    <t>[0.017, 0.046]</t>
  </si>
  <si>
    <t>LINESTRING (10.400886919133708 63.401742859727726, 10.401393279182813 63.401787063844765, 10.401545739212287 63.40169936070442)</t>
  </si>
  <si>
    <t>[572316, 626310]</t>
  </si>
  <si>
    <t>[579920, 606624]</t>
  </si>
  <si>
    <t>0.025909905889293136</t>
  </si>
  <si>
    <t>[579911, 579920]</t>
  </si>
  <si>
    <t>40.35169802317566</t>
  </si>
  <si>
    <t>[0.115, 0.022, 0.023]</t>
  </si>
  <si>
    <t>LINESTRING (10.400886919133708 63.401742859727726, 10.401202550178958 63.401938276301074, 10.401242443548162 63.40195215171191, 10.401348730381665 63.401989749146004)</t>
  </si>
  <si>
    <t>[1319108, 1319121, 1319125]</t>
  </si>
  <si>
    <t>[1226325, 606617, 626540]</t>
  </si>
  <si>
    <t>0.0914547146303583</t>
  </si>
  <si>
    <t>[579911, 1226325, 606617]</t>
  </si>
  <si>
    <t>36.4122918622985</t>
  </si>
  <si>
    <t>[-0.084, -0.042, -0.037, -0.002]</t>
  </si>
  <si>
    <t>LINESTRING (10.403684546958678 63.40183215220853, 10.403448964012435 63.401812869696904, 10.402197176786864 63.40162684582117, 10.401423382149751 63.4014993865432, 10.400886919133708 63.401742859727726)</t>
  </si>
  <si>
    <t>[626302, 572292, 572300, 572308]</t>
  </si>
  <si>
    <t>[579895, 579896, 579905, 579911]</t>
  </si>
  <si>
    <t>[622922, 579895, 579896, 579905]</t>
  </si>
  <si>
    <t>[0.084, 0.042, 0.037, 0.002]</t>
  </si>
  <si>
    <t>169.48388733840414</t>
  </si>
  <si>
    <t>[0.0, 0.029, 0.051, 0.082, 0.051, 0.101, 0.41, 0.04]</t>
  </si>
  <si>
    <t>LINESTRING (10.375839122194186 63.385694456654726, 10.375839122194186 63.385694456654726, 10.375548770978064 63.38484695051568, 10.375540868951562 63.384808926281046, 10.374984074696549 63.38307781788065, 10.374662053813426 63.38149460506976, 10.374453546085487 63.380239330084436, 10.374483860399227 63.38015895096907, 10.374494861763505 63.380132231988746)</t>
  </si>
  <si>
    <t>[572500, 572508, 572516, 572524, 572532, 572540, 592420, 592428]</t>
  </si>
  <si>
    <t>[580096, 580103, 580110, 580117, 580124, 580131, 596807, 596812]</t>
  </si>
  <si>
    <t>0.07227029623110734</t>
  </si>
  <si>
    <t>[550044, 580096, 580103, 580110, 580117, 580124, 580131, 596807]</t>
  </si>
  <si>
    <t>637.653801581247</t>
  </si>
  <si>
    <t>[-0.183, 0.01, 0.006, 0.725]</t>
  </si>
  <si>
    <t>LINESTRING (10.421940683032865 63.40720308613348, 10.422201854466284 63.4071880891933, 10.422451027842943 63.40723565064626, 10.422540443557567 63.407304683184634, 10.422558196822658 63.40733080813382)</t>
  </si>
  <si>
    <t>[1586533, 1586541, 1586549, 1586557]</t>
  </si>
  <si>
    <t>[581586, 1427608, 609216, 580411]</t>
  </si>
  <si>
    <t>[580351, 581586, 1427608, 609216]</t>
  </si>
  <si>
    <t>[0.183, 0.01, 0.006, 0.725]</t>
  </si>
  <si>
    <t>39.360760956146635</t>
  </si>
  <si>
    <t>37.42501636082734</t>
  </si>
  <si>
    <t>[-0.104, 0.027, 0.039, 0.04, 0.023]</t>
  </si>
  <si>
    <t>LINESTRING (10.418447578692438 63.4061027068006, 10.418653253519278 63.406158769258546, 10.421697744080532 63.40714300020104, 10.421789042427845 63.40716419334903, 10.42190220457671 63.407193812296676, 10.421940683032865 63.40720308613348)</t>
  </si>
  <si>
    <t>[626526, 572764, 572772, 572780, 572788]</t>
  </si>
  <si>
    <t>[580331, 580332, 580340, 580344, 580351]</t>
  </si>
  <si>
    <t>0.02026923792734811</t>
  </si>
  <si>
    <t>[621440, 580331, 580332, 580340, 580344]</t>
  </si>
  <si>
    <t>[0.104, 0.027, 0.039, 0.04, 0.023]</t>
  </si>
  <si>
    <t>213.64115666235165</t>
  </si>
  <si>
    <t>[-0.039, -0.038, -0.02, 0.075, 0.001]</t>
  </si>
  <si>
    <t>LINESTRING (10.421438216167488 63.40743513727637, 10.421353414806093 63.407389972995105, 10.421304494383486 63.40736896196455, 10.41787513298805 63.40601957544913, 10.417768022589932 63.405954664988926, 10.417736189835253 63.40593508278777)</t>
  </si>
  <si>
    <t>[572796, 572807, 572815, 626534, 626542]</t>
  </si>
  <si>
    <t>[580362, 580375, 580381, 623071, 623076]</t>
  </si>
  <si>
    <t>[580361, 580362, 580375, 580381, 623071]</t>
  </si>
  <si>
    <t>[0.039, 0.038, 0.02, 0.075, 0.001]</t>
  </si>
  <si>
    <t>250.09033123333643</t>
  </si>
  <si>
    <t>[-0.277, -0.011, -0.003, 0.624]</t>
  </si>
  <si>
    <t>LINESTRING (10.421929563064495 63.40757409844242, 10.42168764144803 63.40756903125428, 10.421533407643631 63.407529911130716, 10.421467562063539 63.40746315414168, 10.421438216167488 63.40743513727637)</t>
  </si>
  <si>
    <t>[1586573, 1586584, 1586592, 1586600]</t>
  </si>
  <si>
    <t>[609152, 1427634, 581503, 580361]</t>
  </si>
  <si>
    <t>[580405, 609152, 1427634, 581503]</t>
  </si>
  <si>
    <t>[0.277, 0.011, 0.003, 0.624]</t>
  </si>
  <si>
    <t>32.54933347697288</t>
  </si>
  <si>
    <t>44.45850959153372</t>
  </si>
  <si>
    <t>[-0.266, -0.013, 0.05, 0.05, 0.036]</t>
  </si>
  <si>
    <t>LINESTRING (10.425398354494822 63.40799920783561, 10.425160845119375 63.408004179307795, 10.422219544846792 63.40761235044654, 10.42215669131376 63.407601952718025, 10.42204365000017 63.40758701282337, 10.421929563064495 63.40757409844242)</t>
  </si>
  <si>
    <t>[626550, 572823, 572831, 572839, 572847]</t>
  </si>
  <si>
    <t>[580388, 580389, 580392, 580400, 580405]</t>
  </si>
  <si>
    <t>[623083, 580388, 580389, 580392, 580400]</t>
  </si>
  <si>
    <t>[0.266, 0.013, 0.05, 0.05, 0.036]</t>
  </si>
  <si>
    <t>181.26654364625503</t>
  </si>
  <si>
    <t>[-0.031, -0.03, 0.014, 0.048, 0.206, 0.121]</t>
  </si>
  <si>
    <t>LINESTRING (10.422558196822658 63.40733080813382, 10.4226580893047 63.40738122169127, 10.422713464952214 63.40740465140986, 10.425106427599687 63.407854965752655, 10.42766681979701 63.40788850509566, 10.427870497613839 63.40789439536754, 10.427904468426261 63.4078952234749)</t>
  </si>
  <si>
    <t>[572856, 572864, 572872, 572880, 626558, 626566]</t>
  </si>
  <si>
    <t>[580412, 580420, 580428, 580435, 623090, 621454]</t>
  </si>
  <si>
    <t>0.035301188729341106</t>
  </si>
  <si>
    <t>[580411, 580412, 580420, 580428, 580435, 623090]</t>
  </si>
  <si>
    <t>[0.031, 0.03, 0.014, 0.048, 0.206, 0.121]</t>
  </si>
  <si>
    <t>281.4864509306147</t>
  </si>
  <si>
    <t>35.26491467193151</t>
  </si>
  <si>
    <t>[-0.016, -0.02, -0.015, -0.432, -0.007, 0.007, -0.007, -0.019]</t>
  </si>
  <si>
    <t>LINESTRING (10.47398253309918 63.424768437238626, 10.474250612011987 63.42485453643255, 10.475565377963433 63.42544994454803, 10.476372055712888 63.425812979048246, 10.476539855099814 63.42588849488266, 10.476041298776286 63.42564872074242, 10.476040623846194 63.42605146797718, 10.476340103223498 63.42666917785934, 10.476378997400253 63.42672017901668)</t>
  </si>
  <si>
    <t>[998164, 998146, 998147, 998148, 572888, 572902, 572912, 572913]</t>
  </si>
  <si>
    <t>[955600, 955601, 955602, 580441, 580442, 580458, 580469, 580470]</t>
  </si>
  <si>
    <t>[955573, 955600, 955601, 955602, 580441, 580442, 580458, 580469]</t>
  </si>
  <si>
    <t>[0.016, 0.02, 0.015, 0.432, 0.007, 0.007, 0.007, 0.019]</t>
  </si>
  <si>
    <t>608.0067645703281</t>
  </si>
  <si>
    <t>0.292</t>
  </si>
  <si>
    <t>15.372655207017548</t>
  </si>
  <si>
    <t>[-0.255, 0.048, 0.058]</t>
  </si>
  <si>
    <t>LINESTRING (10.518775413939794 63.42493098967722, 10.518719250061476 63.42494885407367, 10.51867658375659 63.424962421863505, 10.51851289474141 63.425001608840915)</t>
  </si>
  <si>
    <t>[682651, 682659, 682667]</t>
  </si>
  <si>
    <t>[673816, 673826, 673839]</t>
  </si>
  <si>
    <t>[580543, 673816, 673826]</t>
  </si>
  <si>
    <t>[0.255, 0.048, 0.058]</t>
  </si>
  <si>
    <t>15.323323919145166</t>
  </si>
  <si>
    <t>[-0.002, 0.078, -0.121]</t>
  </si>
  <si>
    <t>LINESTRING (10.518775413939794 63.42493098967722, 10.518608118315017 63.42484571439249, 10.517965190057364 63.424503637327796, 10.51783272958815 63.42442664803934)</t>
  </si>
  <si>
    <t>[1589939, 1589947, 1589955]</t>
  </si>
  <si>
    <t>[1430059, 1430065, 580544]</t>
  </si>
  <si>
    <t>0.03479402195136868</t>
  </si>
  <si>
    <t>[580543, 1430059, 1430065]</t>
  </si>
  <si>
    <t>[0.002, 0.078, 0.121]</t>
  </si>
  <si>
    <t>73.35193980222873</t>
  </si>
  <si>
    <t>[0.273, -0.028, -0.024, -0.339]</t>
  </si>
  <si>
    <t>LINESTRING (10.51416095725496 63.42609129836113, 10.514426828136079 63.42597160970611, 10.517731268148314 63.42449888020412, 10.517777005322198 63.424466329682254, 10.51783272958815 63.42442664803934)</t>
  </si>
  <si>
    <t>[682643, 682691, 682699, 682707]</t>
  </si>
  <si>
    <t>[673804, 673863, 673872, 580544]</t>
  </si>
  <si>
    <t>[621637, 673804, 673863, 673872]</t>
  </si>
  <si>
    <t>[0.273, 0.028, 0.024, 0.339]</t>
  </si>
  <si>
    <t>262.03187903335777</t>
  </si>
  <si>
    <t>[0.0, -0.051, -0.062, 0.193]</t>
  </si>
  <si>
    <t>LINESTRING (10.540954197726284 63.42351375243023, 10.540954197726284 63.42351375243023, 10.53836693503298 63.42247699174334, 10.536453599634259 63.42231022967289, 10.53622477855615 63.42226268445889)</t>
  </si>
  <si>
    <t>[573071, 573079, 573087, 626582]</t>
  </si>
  <si>
    <t>[580627, 580634, 580641, 623104]</t>
  </si>
  <si>
    <t>[580626, 580627, 580634, 580641]</t>
  </si>
  <si>
    <t>[0.0, 0.051, 0.062, 0.193]</t>
  </si>
  <si>
    <t>303.06459805465494</t>
  </si>
  <si>
    <t>20.616636688132893</t>
  </si>
  <si>
    <t>[0.295, 0.05, 0.011, -0.018]</t>
  </si>
  <si>
    <t>LINESTRING (10.438915514867137 63.40795909439988, 10.439118678651683 63.4080186425003, 10.441486512083317 63.40854392403093, 10.442987019797696 63.408569388117655, 10.443073849689464 63.408591044833265)</t>
  </si>
  <si>
    <t>[626590, 573095, 573102, 573108]</t>
  </si>
  <si>
    <t>[580646, 580647, 580652, 580657]</t>
  </si>
  <si>
    <t>0.04768077984858906</t>
  </si>
  <si>
    <t>[621474, 580646, 580647, 580652]</t>
  </si>
  <si>
    <t>[0.295, 0.05, 0.011, 0.018]</t>
  </si>
  <si>
    <t>245.31066008134204</t>
  </si>
  <si>
    <t>13.03317046079845</t>
  </si>
  <si>
    <t>[0.006, -0.001, -0.03, -0.194, 0.001]</t>
  </si>
  <si>
    <t>LINESTRING (10.439506170711374 63.40931506890914, 10.439457398956609 63.40925596176814, 10.439579070415398 63.40889478224276, 10.43786251007323 63.40771860708848, 10.437703620859013 63.40766172305199, 10.437674603815742 63.40765145240436)</t>
  </si>
  <si>
    <t>[573116, 573128, 573148, 626598, 626606]</t>
  </si>
  <si>
    <t>[580666, 580677, 580689, 623114, 623121]</t>
  </si>
  <si>
    <t>[580665, 580666, 580677, 580689, 623114]</t>
  </si>
  <si>
    <t>[0.006, 0.001, 0.03, 0.194, 0.001]</t>
  </si>
  <si>
    <t>241.56412424791537</t>
  </si>
  <si>
    <t>[0.206, 0.001, 0.001]</t>
  </si>
  <si>
    <t>LINESTRING (10.441980239902797 63.409538912432176, 10.441802861206634 63.409468503359896, 10.439707744271308 63.40923339293187, 10.43975452053025 63.40929243618281)</t>
  </si>
  <si>
    <t>[626614, 573160, 573182]</t>
  </si>
  <si>
    <t>[580702, 580703, 580720]</t>
  </si>
  <si>
    <t>0.013834107747849838</t>
  </si>
  <si>
    <t>[623126, 580702, 580703]</t>
  </si>
  <si>
    <t>189.1307683149724</t>
  </si>
  <si>
    <t>[0.034, -0.009, -0.014, -0.014, -0.032]</t>
  </si>
  <si>
    <t>LINESTRING (10.442737708295855 63.408673821222074, 10.442706329521409 63.40863145629522, 10.441530287733967 63.40857139930237, 10.443026228053037 63.409935663525225, 10.443633761049359 63.41029309952368, 10.44377237536227 63.41038025163193)</t>
  </si>
  <si>
    <t>[573215, 573216, 573223, 573226, 626622]</t>
  </si>
  <si>
    <t>[580743, 580744, 580747, 580751, 621503]</t>
  </si>
  <si>
    <t>[580742, 580743, 580744, 580747, 580751]</t>
  </si>
  <si>
    <t>[0.034, 0.009, 0.014, 0.014, 0.032]</t>
  </si>
  <si>
    <t>325.8617424751662</t>
  </si>
  <si>
    <t>0.055</t>
  </si>
  <si>
    <t>78.59262115705978</t>
  </si>
  <si>
    <t>[0.944, -0.036, -0.08, -0.069, -0.008, -0.024]</t>
  </si>
  <si>
    <t>LINESTRING (10.68580865774381 63.4257440467393, 10.685878254112605 63.4257296714371, 10.692061014543325 63.425657784851346, 10.6925156043318 63.425784202217585, 10.693186995629663 63.42603959421467, 10.693200608655278 63.426046226017164, 10.694439734521854 63.426895555374166)</t>
  </si>
  <si>
    <t>[990805, 573327, 573328, 573336, 573338, 573339]</t>
  </si>
  <si>
    <t>[580828, 580829, 580830, 580838, 580839, 580840]</t>
  </si>
  <si>
    <t>[949431, 580828, 580829, 580830, 580838, 580839]</t>
  </si>
  <si>
    <t>[0.944, 0.036, 0.08, 0.069, 0.008, 0.024]</t>
  </si>
  <si>
    <t>503.73764938553575</t>
  </si>
  <si>
    <t>[-1.259, -0.051, -0.024]</t>
  </si>
  <si>
    <t>LINESTRING (10.698210939831693 63.42592599920331, 10.698126516675991 63.425933307957486, 10.694398377063088 63.426850257014564, 10.694439734521854 63.426895555374166)</t>
  </si>
  <si>
    <t>[990816, 573404, 573419]</t>
  </si>
  <si>
    <t>[580887, 580888, 580840]</t>
  </si>
  <si>
    <t>[949588, 580887, 580888]</t>
  </si>
  <si>
    <t>[1.259, 0.051, 0.024]</t>
  </si>
  <si>
    <t>311.09091065410644</t>
  </si>
  <si>
    <t>[-0.021, -0.078, -0.037, -0.081, -0.056]</t>
  </si>
  <si>
    <t>LINESTRING (10.69528845542975 63.42748844667461, 10.697579587092527 63.42861920637937, 10.705199472686164 63.43099033867707, 10.707614392053786 63.431347658643084, 10.707810298431717 63.431368552758876, 10.707849499484428 63.431372706971906)</t>
  </si>
  <si>
    <t>[573343, 573353, 573362, 573363, 573371]</t>
  </si>
  <si>
    <t>[580843, 580849, 580857, 580858, 575553]</t>
  </si>
  <si>
    <t>[580841, 580843, 580849, 580857, 580858]</t>
  </si>
  <si>
    <t>[0.021, 0.078, 0.037, 0.081, 0.056]</t>
  </si>
  <si>
    <t>775.3318167812075</t>
  </si>
  <si>
    <t>[-0.041, 0.048, 0.026]</t>
  </si>
  <si>
    <t>LINESTRING (10.69528845542975 63.42748844667461, 10.695133430794142 63.427455228521325, 10.68726000132045 63.42580731393172, 10.68655051451418 63.42580206709818)</t>
  </si>
  <si>
    <t>[573385, 573388, 573403]</t>
  </si>
  <si>
    <t>[580872, 580875, 580886]</t>
  </si>
  <si>
    <t>0.044991812320622625</t>
  </si>
  <si>
    <t>[580841, 580872, 580875]</t>
  </si>
  <si>
    <t>[0.041, 0.048, 0.026]</t>
  </si>
  <si>
    <t>513.0738289359291</t>
  </si>
  <si>
    <t>[-0.365, -0.351, -0.312, -0.355, -0.287]</t>
  </si>
  <si>
    <t>LINESTRING (10.820571616191454 63.41266385095698, 10.820320655484071 63.412760415138116, 10.82026558610895 63.41278786405114, 10.820078110473247 63.41288315899782, 10.820031342865907 63.41290731826449, 10.819809642226582 63.41301997520216)</t>
  </si>
  <si>
    <t>[573546, 573547, 573556, 573557, 573565]</t>
  </si>
  <si>
    <t>[581006, 581007, 581017, 581018, 581026]</t>
  </si>
  <si>
    <t>[581002, 581006, 581007, 581017, 581018]</t>
  </si>
  <si>
    <t>[0.365, 0.351, 0.312, 0.355, 0.287]</t>
  </si>
  <si>
    <t>55.1162290354947</t>
  </si>
  <si>
    <t>[0.123, -0.11, 5.499]</t>
  </si>
  <si>
    <t>LINESTRING (10.820571616191454 63.41266385095698, 10.820626233446603 63.41267443959538, 10.82478406864203 63.41502472642265, 10.824908403204363 63.41511706798824)</t>
  </si>
  <si>
    <t>[573669, 573670, 1393967]</t>
  </si>
  <si>
    <t>[581106, 581107, 1277697]</t>
  </si>
  <si>
    <t>0.08467382308635515</t>
  </si>
  <si>
    <t>[581002, 581106, 581107]</t>
  </si>
  <si>
    <t>[0.123, 0.11, 5.499]</t>
  </si>
  <si>
    <t>349.9784606310131</t>
  </si>
  <si>
    <t>[0.459, 0.009, -0.006]</t>
  </si>
  <si>
    <t>LINESTRING (10.816103090622992 63.41000966182686, 10.816176459518216 63.410111592438795, 10.8189058001662 63.41206800455834, 10.820571616191454 63.41266385095698)</t>
  </si>
  <si>
    <t>[626702, 573520, 573538]</t>
  </si>
  <si>
    <t>[580981, 580982, 581002]</t>
  </si>
  <si>
    <t>0.01865147167676247</t>
  </si>
  <si>
    <t>[622137, 580981, 580982]</t>
  </si>
  <si>
    <t>[0.459, 0.009, 0.006]</t>
  </si>
  <si>
    <t>384.40925624715817</t>
  </si>
  <si>
    <t>0.268</t>
  </si>
  <si>
    <t>11.202937561523184</t>
  </si>
  <si>
    <t>[-1.482, 0.041, 0.005, 0.087]</t>
  </si>
  <si>
    <t>LINESTRING (10.82406398659016 63.41468315286255, 10.82389412913644 63.414611969088284, 10.820028061023693 63.41309019553519, 10.81985322930733 63.413037432329006, 10.819809642226582 63.41301997520216)</t>
  </si>
  <si>
    <t>[626726, 573677, 573678, 573699]</t>
  </si>
  <si>
    <t>[581112, 581113, 581114, 581026]</t>
  </si>
  <si>
    <t>[623219, 581112, 581113, 581114]</t>
  </si>
  <si>
    <t>[1.482, 0.041, 0.005, 0.087]</t>
  </si>
  <si>
    <t>284.28923987851044</t>
  </si>
  <si>
    <t>[-0.327, -0.231]</t>
  </si>
  <si>
    <t>LINESTRING (10.819659230521125 63.4130945027719, 10.819633343015012 63.413107380950045, 10.818973813504963 63.41344224939112)</t>
  </si>
  <si>
    <t>[573587, 573591]</t>
  </si>
  <si>
    <t>[581043, 581046]</t>
  </si>
  <si>
    <t>[581033, 581043]</t>
  </si>
  <si>
    <t>[0.327, 0.231]</t>
  </si>
  <si>
    <t>51.72672368105677</t>
  </si>
  <si>
    <t>[2.067, -0.055, -1.93]</t>
  </si>
  <si>
    <t>LINESTRING (10.819659230521125 63.4130945027719, 10.819607022781476 63.413076604290644, 10.819251205823774 63.412955524917656, 10.819192336849543 63.41294795738763)</t>
  </si>
  <si>
    <t>[795887, 795895, 795903]</t>
  </si>
  <si>
    <t>[775061, 775068, 581070]</t>
  </si>
  <si>
    <t>[581033, 775061, 775068]</t>
  </si>
  <si>
    <t>[2.067, 0.055, 1.93]</t>
  </si>
  <si>
    <t>28.665240699553703</t>
  </si>
  <si>
    <t>[-0.198, -0.036]</t>
  </si>
  <si>
    <t>LINESTRING (10.818973813504963 63.41344224939112, 10.818389342386551 63.413666195272675, 10.81273592719433 63.414314338025136)</t>
  </si>
  <si>
    <t>[573592, 573603]</t>
  </si>
  <si>
    <t>[581047, 581052]</t>
  </si>
  <si>
    <t>[581046, 581047]</t>
  </si>
  <si>
    <t>[0.198, 0.036]</t>
  </si>
  <si>
    <t>332.67980701177544</t>
  </si>
  <si>
    <t>[0.216, 0.201]</t>
  </si>
  <si>
    <t>LINESTRING (10.818973813504963 63.41344224939112, 10.819074319628672 63.41334451574487, 10.819192336849543 63.41294795738763)</t>
  </si>
  <si>
    <t>[573624, 573625]</t>
  </si>
  <si>
    <t>[581069, 581070]</t>
  </si>
  <si>
    <t>0.20411427509311092</t>
  </si>
  <si>
    <t>[581046, 581069]</t>
  </si>
  <si>
    <t>57.78431233734229</t>
  </si>
  <si>
    <t>[0.018, -0.06, -0.061, -0.054, -0.043, -0.019]</t>
  </si>
  <si>
    <t>LINESTRING (10.81273592719433 63.414314338025136, 10.811981356639365 63.414617146203746, 10.811826946154488 63.41469783222349, 10.811762289417477 63.414738093977036, 10.811698607734545 63.41477909446455, 10.811252949902912 63.41532303804504, 10.811245538679286 63.415353158982896)</t>
  </si>
  <si>
    <t>[795655, 795663, 795671, 795679, 795687, 795695]</t>
  </si>
  <si>
    <t>[774879, 774886, 774893, 774897, 774904, 774913]</t>
  </si>
  <si>
    <t>[581052, 774879, 774886, 774893, 774897, 774904]</t>
  </si>
  <si>
    <t>[0.018, 0.06, 0.061, 0.054, 0.043, 0.019]</t>
  </si>
  <si>
    <t>142.45794245577292</t>
  </si>
  <si>
    <t>[0.008, -0.062, -0.057, -0.042, -0.017]</t>
  </si>
  <si>
    <t>LINESTRING (10.81273592719433 63.414314338025136, 10.811827865302629 63.41457623574588, 10.811672289433886 63.41465940437092, 10.811545578609417 63.41473639045493, 10.811072356811291 63.415319310658845, 10.811067069213898 63.41535356601788)</t>
  </si>
  <si>
    <t>[795807, 795815, 795823, 795831, 795839]</t>
  </si>
  <si>
    <t>[775000, 775004, 775010, 774988, 775023]</t>
  </si>
  <si>
    <t>[581052, 775000, 775004, 775010, 774988]</t>
  </si>
  <si>
    <t>[0.008, 0.062, 0.057, 0.042, 0.017]</t>
  </si>
  <si>
    <t>151.56853153415508</t>
  </si>
  <si>
    <t>[0.045, -0.081, -0.403, -0.141]</t>
  </si>
  <si>
    <t>LINESTRING (10.819192336849543 63.41294795738763, 10.815912553491609 63.410282468948125, 10.815884590262606 63.40922569434668, 10.815935465965595 63.409136269914775, 10.815943938996558 63.40912136266194)</t>
  </si>
  <si>
    <t>[573632, 573668, 626710, 626718]</t>
  </si>
  <si>
    <t>[581076, 581105, 623205, 623212]</t>
  </si>
  <si>
    <t>0.0031493547094912787</t>
  </si>
  <si>
    <t>[581070, 581076, 581105, 623205]</t>
  </si>
  <si>
    <t>[0.045, 0.081, 0.403, 0.141]</t>
  </si>
  <si>
    <t>474.9235845426936</t>
  </si>
  <si>
    <t>14.17391971171751</t>
  </si>
  <si>
    <t>[0.174, 0.009, -0.029, -0.061, -0.046, -0.069, -0.022, -0.009, 0.202]</t>
  </si>
  <si>
    <t>LINESTRING (10.259017849212576 63.322315853503184, 10.259255553621887 63.32228150447269, 10.260579864078439 63.32214755129365, 10.26555615957764 63.32198128195803, 10.265643181782286 63.32198694716126, 10.265700581099455 63.32199065549227, 10.265761812094325 63.32199539060051, 10.26856210892062 63.32251930185779, 10.27072317290161 63.32291669257084, 10.2709259733484 63.322972894755935)</t>
  </si>
  <si>
    <t>[575985, 575993, 576001, 576009, 576017, 575905, 575913, 575921, 575929]</t>
  </si>
  <si>
    <t>[583246, 583253, 583259, 583266, 565702, 583169, 583176, 583181, 581371]</t>
  </si>
  <si>
    <t>[581434, 583246, 583253, 583259, 583266, 565702, 583169, 583176, 583181]</t>
  </si>
  <si>
    <t>[0.174, 0.009, 0.029, 0.061, 0.046, 0.069, 0.022, 0.009, 0.202]</t>
  </si>
  <si>
    <t>624.041414498017</t>
  </si>
  <si>
    <t>[-0.004, -0.022, 0.013, 0.014, 0.005, -0.035, -0.015, 0.002, -0.037, -0.047, 0.0, -0.001]</t>
  </si>
  <si>
    <t>LINESTRING (10.299391785261495 63.32365494009186, 10.299340324898324 63.32366222428156, 10.296337017752085 63.323884678035135, 10.295603545303166 63.32390278134639, 10.295583782136983 63.3239033870484, 10.295206873248048 63.32391641307721, 10.290228191013679 63.32453301775601, 10.28072657965745 63.32440710072622, 10.276774835490459 63.32409523628036, 10.275647297231165 63.3238993945022, 10.274823034360105 63.323738165023045, 10.271125600144158 63.32301190412057, 10.2709259733484 63.322972894755935)</t>
  </si>
  <si>
    <t>[666256, 666264, 573888, 573908, 573909, 573910, 573941, 573949, 573950, 573957, 573965, 573973]</t>
  </si>
  <si>
    <t>[656746, 581293, 581294, 581312, 581313, 581314, 478461, 497509, 581350, 581356, 581362, 581371]</t>
  </si>
  <si>
    <t>[656745, 656746, 581293, 581294, 581312, 581313, 581314, 478461, 497509, 581350, 581356, 581362]</t>
  </si>
  <si>
    <t>[0.004, 0.022, 0.013, 0.014, 0.005, 0.035, 0.015, 0.002, 0.037, 0.047, 0.0, 0.001]</t>
  </si>
  <si>
    <t>1470.8663924271737</t>
  </si>
  <si>
    <t>[-0.001, -0.025, 0.068, 0.027]</t>
  </si>
  <si>
    <t>LINESTRING (10.270668573464523 63.32292027393016, 10.268540448432686 63.32252937350417, 10.26592417135964 63.32221213289655, 10.265353047017612 63.32216974906253, 10.259017849212576 63.322315853503184)</t>
  </si>
  <si>
    <t>[573988, 573996, 574010, 574034]</t>
  </si>
  <si>
    <t>[581388, 581395, 581410, 581434]</t>
  </si>
  <si>
    <t>0.011821520405528732</t>
  </si>
  <si>
    <t>[581380, 581388, 581395, 581410]</t>
  </si>
  <si>
    <t>[0.001, 0.025, 0.068, 0.027]</t>
  </si>
  <si>
    <t>600.0558811711097</t>
  </si>
  <si>
    <t>[-0.214, 0.008, 0.003, 0.013, 0.011, 0.034, 0.038, 0.036, -0.008, -0.012]</t>
  </si>
  <si>
    <t>LINESTRING (10.270668573464523 63.32292027393016, 10.270439329770271 63.32289107138246, 10.268510388571865 63.32254186383274, 10.265630498769198 63.32239211970942, 10.26557295143611 63.32238930576803, 10.26551540411522 63.322386491803485, 10.265427562145181 63.32238106008039, 10.264225816119634 63.3222699434734, 10.260185289223374 63.32224772422366, 10.257504081256837 63.32247045837323, 10.257250165963741 63.322481781043436)</t>
  </si>
  <si>
    <t>[575873, 575881, 575889, 575897, 575937, 575945, 575953, 575961, 575969, 575977]</t>
  </si>
  <si>
    <t>[583140, 583146, 583155, 565634, 583201, 583210, 583218, 583225, 583233, 581441]</t>
  </si>
  <si>
    <t>0.010720418032543862</t>
  </si>
  <si>
    <t>[581380, 583140, 583146, 583155, 565634, 583201, 583210, 583218, 583225, 583233]</t>
  </si>
  <si>
    <t>[0.214, 0.008, 0.003, 0.013, 0.011, 0.034, 0.038, 0.036, 0.008, 0.012]</t>
  </si>
  <si>
    <t>686.9226115004801</t>
  </si>
  <si>
    <t>90.52071586106685</t>
  </si>
  <si>
    <t>[0.012, -0.013, 0.005, -0.012, -0.003, -0.01, -0.003, -0.002, 0.018, -0.004]</t>
  </si>
  <si>
    <t>16069.0</t>
  </si>
  <si>
    <t>LINESTRING (10.257250165963741 63.322481781043436, 10.255356018469163 63.32266235649571, 10.252536496656642 63.32292833955068, 10.25223710386454 63.32295493573061, 10.249935931151029 63.32314074598221, 10.24164913217478 63.32376862435593, 10.240347577224494 63.323867192748565, 10.240268506639262 63.32387354145032, 10.238837498306745 63.323981346353584, 10.234664824978472 63.32429755466451, 10.224334797698356 63.32461767599662)</t>
  </si>
  <si>
    <t>[574050, 574058, 574073, 574087, 574094, 574113, 574130, 574133, 574135, 574136]</t>
  </si>
  <si>
    <t>[581447, 581455, 12574, 581484, 581493, 581511, 581530, 581532, 581534, 581535]</t>
  </si>
  <si>
    <t>[581441, 581447, 581455, 12574, 581484, 581493, 581511, 581530, 581532, 581534]</t>
  </si>
  <si>
    <t>[0.012, 0.013, 0.005, 0.012, 0.003, 0.01, 0.003, 0.002, 0.018, 0.004]</t>
  </si>
  <si>
    <t>1672.1444364610295</t>
  </si>
  <si>
    <t>48.20840175735955</t>
  </si>
  <si>
    <t>[0.308, 0.075, 0.091, 0.149, -0.036, -0.044, -0.717]</t>
  </si>
  <si>
    <t>LINESTRING (10.20989565644863 63.322256285382174, 10.210127116743653 63.32228386306468, 10.213887550771933 63.32311830366027, 10.216359044186266 63.32349539335609, 10.216415546751623 63.323504487681184, 10.216469464916386 63.323517092549494, 10.223890193609392 63.32453620222187, 10.224334797698356 63.32461767599662)</t>
  </si>
  <si>
    <t>[576066, 576074, 576082, 576090, 576042, 576050, 576058]</t>
  </si>
  <si>
    <t>[583304, 583308, 583314, 583289, 583290, 583295, 581535]</t>
  </si>
  <si>
    <t>[581563, 583304, 583308, 583314, 583289, 583290, 583295]</t>
  </si>
  <si>
    <t>[0.308, 0.075, 0.091, 0.149, 0.036, 0.044, 0.717]</t>
  </si>
  <si>
    <t>777.2426068557735</t>
  </si>
  <si>
    <t>[0.014, -0.016]</t>
  </si>
  <si>
    <t>LINESTRING (10.223377195872565 63.32457744169491, 10.2145900394895 63.323474586197015, 10.20989565644863 63.322256285382174)</t>
  </si>
  <si>
    <t>[574154, 574161]</t>
  </si>
  <si>
    <t>[581557, 581563]</t>
  </si>
  <si>
    <t>0.0028588242072471364</t>
  </si>
  <si>
    <t>[581536, 581557]</t>
  </si>
  <si>
    <t>731.7550928295934</t>
  </si>
  <si>
    <t>[1.227, 0.027, -0.04, -0.011, -0.012, -0.03, 0.036, -0.133]</t>
  </si>
  <si>
    <t>LINESTRING (10.223377195872565 63.32457744169491, 10.223143649978384 63.32459838156423, 10.21822834271115 63.3242742823809, 10.215922968856548 63.324108487451404, 10.215865572591063 63.32410475907975, 10.215816227622456 63.324088710310086, 10.209195240137761 63.32208970568484, 10.209144275643805 63.32206540665825, 10.209017177719167 63.32199377372025)</t>
  </si>
  <si>
    <t>[576025, 576033, 576035, 576036, 576098, 576106, 576113, 576121]</t>
  </si>
  <si>
    <t>[583279, 583285, 583287, 583288, 583328, 583335, 583339, 581565]</t>
  </si>
  <si>
    <t>0.004252626697812602</t>
  </si>
  <si>
    <t>[581536, 583279, 583285, 583287, 583288, 583328, 583335, 583339]</t>
  </si>
  <si>
    <t>[1.227, 0.027, 0.04, 0.011, 0.012, 0.03, 0.036, 0.133]</t>
  </si>
  <si>
    <t>798.26646809543</t>
  </si>
  <si>
    <t>[0.019, 0.037]</t>
  </si>
  <si>
    <t>LINESTRING (10.20989565644863 63.322256285382174, 10.209239643993481 63.32206332033219, 10.209017177719167 63.32199377372025)</t>
  </si>
  <si>
    <t>[574162, 574163]</t>
  </si>
  <si>
    <t>[581564, 581565]</t>
  </si>
  <si>
    <t>0.023623464753556776</t>
  </si>
  <si>
    <t>[581563, 581564]</t>
  </si>
  <si>
    <t>52.881423728102185</t>
  </si>
  <si>
    <t>[0.079, 0.075, 0.063, -0.443, -0.059, 0.025, -0.083]</t>
  </si>
  <si>
    <t>13846.0</t>
  </si>
  <si>
    <t>LINESTRING (10.209017177719167 63.32199377372025, 10.208553126137064 63.32184085983376, 10.208421616654316 63.321796922164445, 10.197973538900673 63.31237951341109, 10.196711535900565 63.31180414282902, 10.188739969071406 63.30918949013643, 10.186258563902937 63.30846346441299, 10.183907674358185 63.30794992974865)</t>
  </si>
  <si>
    <t>[574164, 574186, 574187, 574194, 574202, 574209, 574218]</t>
  </si>
  <si>
    <t>[581566, 581589, 581590, 581596, 581606, 581613, 581625]</t>
  </si>
  <si>
    <t>0.0010705838096554785</t>
  </si>
  <si>
    <t>[581565, 581566, 581589, 581590, 581596, 581606, 581613]</t>
  </si>
  <si>
    <t>[0.079, 0.075, 0.063, 0.443, 0.059, 0.025, 0.083]</t>
  </si>
  <si>
    <t>2102.9704812262594</t>
  </si>
  <si>
    <t>[-0.061, -0.072]</t>
  </si>
  <si>
    <t>LINESTRING (10.183907674358185 63.30794992974865, 10.182863836776285 63.307770139956624, 10.180492569487022 63.30747206906063)</t>
  </si>
  <si>
    <t>[574225, 574226]</t>
  </si>
  <si>
    <t>[581632, 581633]</t>
  </si>
  <si>
    <t>[581625, 581632]</t>
  </si>
  <si>
    <t>[0.061, 0.072]</t>
  </si>
  <si>
    <t>179.62829942079222</t>
  </si>
  <si>
    <t>[0.156, 0.082, 0.053, 0.001, 0.025, 0.019, -0.043, -0.027, 0.101, 0.133]</t>
  </si>
  <si>
    <t>[1, 1, 0, 0, 0, 0, 0, 1, 0, 0]</t>
  </si>
  <si>
    <t>LINESTRING (10.167816551198584 63.30793697300206, 10.168007350707219 63.30787240240729, 10.168188343961017 63.30783645912461, 10.17143711359128 63.30735196023506, 10.173513250150076 63.30709493866628, 10.173576704634192 63.3070921272547, 10.17362386063542 63.30708635237543, 10.178729502577298 63.307283075023804, 10.182889630596973 63.307726179022595, 10.183705055700756 63.307875075268676, 10.183907674358185 63.30794992974865)</t>
  </si>
  <si>
    <t>[576209, 576217, 576225, 576233, 576241, 576169, 576177, 576185, 576193, 576201]</t>
  </si>
  <si>
    <t>[583425, 583434, 583443, 583450, 571365, 583389, 583396, 583403, 583410, 581625]</t>
  </si>
  <si>
    <t>0.0016325219447490978</t>
  </si>
  <si>
    <t>[581659, 583425, 583434, 583443, 583450, 571365, 583389, 583396, 583403, 583410]</t>
  </si>
  <si>
    <t>[0.156, 0.082, 0.053, 0.001, 0.025, 0.019, 0.043, 0.027, 0.101, 0.133]</t>
  </si>
  <si>
    <t>837.1325531034494</t>
  </si>
  <si>
    <t>[0.124, 0.004, -0.114]</t>
  </si>
  <si>
    <t>LINESTRING (10.180492569487022 63.30747206906063, 10.178717240956471 63.307332395741, 10.168235955595494 63.30786847624403, 10.167816551198584 63.30793697300206)</t>
  </si>
  <si>
    <t>[574227, 574241, 574249]</t>
  </si>
  <si>
    <t>[581634, 581648, 581659]</t>
  </si>
  <si>
    <t>0.016705012702850207</t>
  </si>
  <si>
    <t>[581633, 581634, 581648]</t>
  </si>
  <si>
    <t>[0.124, 0.004, 0.114]</t>
  </si>
  <si>
    <t>646.2585805404677</t>
  </si>
  <si>
    <t>[0.586, 0.084, 0.09, -0.027, -0.02, -0.034, -0.031, 0.026, 0.031, 0.167]</t>
  </si>
  <si>
    <t>LINESTRING (10.180492569487022 63.30747206906063, 10.180327833323789 63.30748758667384, 10.178707111796474 63.307378416024164, 10.175892332115835 63.30739584000361, 10.173774160974636 63.30756146752789, 10.173727015262488 63.307564553632645, 10.173654035185429 63.30756621446546, 10.168251000381582 63.307917015272416, 10.165060586931599 63.30864396416264, 10.15703490077478 63.31103407254786, 10.156808870258526 63.31101540393076)</t>
  </si>
  <si>
    <t>[576129, 576137, 576145, 576153, 576161, 576249, 576257, 576265, 576273, 576281]</t>
  </si>
  <si>
    <t>[583352, 583361, 583368, 583374, 571358, 583461, 583465, 583471, 583480, 581698]</t>
  </si>
  <si>
    <t>0.026699191458281996</t>
  </si>
  <si>
    <t>[581633, 583352, 583361, 583368, 583374, 571358, 583461, 583465, 583471, 583480]</t>
  </si>
  <si>
    <t>[0.586, 0.084, 0.09, 0.027, 0.02, 0.034, 0.031, 0.026, 0.031, 0.167]</t>
  </si>
  <si>
    <t>1300.380846928648</t>
  </si>
  <si>
    <t>[0.047, 0.058, -0.024, -0.026]</t>
  </si>
  <si>
    <t>LINESTRING (10.167816551198584 63.30793697300206, 10.165007082181972 63.308604190620805, 10.15954767177806 63.31052213552804, 10.158099045360409 63.31082199991057, 10.156808870258526 63.31101540393076)</t>
  </si>
  <si>
    <t>[574257, 574265, 574280, 574288]</t>
  </si>
  <si>
    <t>[581670, 581677, 581689, 581698]</t>
  </si>
  <si>
    <t>0.0365954637503076</t>
  </si>
  <si>
    <t>[581659, 581670, 581677, 581689]</t>
  </si>
  <si>
    <t>[0.047, 0.058, 0.024, 0.026]</t>
  </si>
  <si>
    <t>656.2258688617932</t>
  </si>
  <si>
    <t>[0.03, -0.004, 0.199, 0.44, 0.028, 0.066, -0.123, -0.24, -0.17, 0.026, 0.412, -0.004, -0.454, -0.038, 0.259, 0.016, -0.499, -0.389, -0.013, -0.011]</t>
  </si>
  <si>
    <t>12532.0</t>
  </si>
  <si>
    <t>[0, 1, 0, 0, 0, 0, 0, 0, 0, 0, 0, 0, 0, 0, 0, 0, 0, 0, 0, 0]</t>
  </si>
  <si>
    <t>LINESTRING (10.156808870258526 63.31101540393076, 10.152984439807884 63.311400498666124, 10.152902795426336 63.31141030835716, 10.150751279855598 63.31171865246332, 10.15039871980911 63.311780061140816, 10.131066274602464 63.318807178280316, 10.131051457230573 63.318813174049765, 10.124074331788188 63.321658947162334, 10.123455631667403 63.32191064034759, 10.12217431704271 63.322422560657074, 10.113933931214754 63.324505042655396, 10.112859067356382 63.32468484031158, 10.098924965436938 63.32603774899187, 10.098724813371751 63.326030477042444, 10.087623893477183 63.3249884562235, 10.087501113175797 63.32497550140601, 10.082132318252514 63.32435829340441, 10.081904338772377 63.324322529793, 10.081133037361052 63.32418793078973, 10.077044132748796 63.323338043266624, 10.076018263847072 63.32315201664093)</t>
  </si>
  <si>
    <t>[574292, 574293, 574302, 574310, 574318, 574323, 574324, 574325, 574326, 574327, 574335, 574343, 574358, 574359, 574363, 574364, 574372, 574379, 574390, 574400]</t>
  </si>
  <si>
    <t>[581701, 581702, 581711, 581717, 581726, 581733, 581734, 581735, 581736, 581737, 581741, 581747, 581766, 581767, 581773, 581774, 581784, 581790, 581799, 581806]</t>
  </si>
  <si>
    <t>[581698, 581701, 581702, 581711, 581717, 581726, 581733, 581734, 581735, 581736, 581737, 581741, 581747, 581766, 581767, 581773, 581774, 581784, 581790, 581799]</t>
  </si>
  <si>
    <t>[0.03, 0.004, 0.199, 0.44, 0.028, 0.066, 0.123, 0.24, 0.17, 0.026, 0.412, 0.004, 0.454, 0.038, 0.259, 0.016, 0.499, 0.389, 0.013, 0.011]</t>
  </si>
  <si>
    <t>4640.972842292838</t>
  </si>
  <si>
    <t>LINESTRING (10.076018263847072 63.32315201664093, 10.071788066453992 63.322455073190355, 10.069861194858321 63.322199424909016)</t>
  </si>
  <si>
    <t>[574401, 574408]</t>
  </si>
  <si>
    <t>[581807, 581811]</t>
  </si>
  <si>
    <t>[581806, 581807]</t>
  </si>
  <si>
    <t>326.5752703776803</t>
  </si>
  <si>
    <t>[-0.029, -0.044, -0.026, -0.029, -0.031, -0.027, -0.029, -0.034, -0.04, 0.014, 0.043, -0.153]</t>
  </si>
  <si>
    <t>LINESTRING (10.056036923884527 63.322440189348264, 10.056265978268712 63.32241126977785, 10.060527077365323 63.32213881679813, 10.061739189216683 63.32186826959846, 10.061881185756079 63.32183362095484, 10.061935352015633 63.32182110926911, 10.061992881729655 63.32181231224357, 10.062183582394233 63.32178717028075, 10.063905870803904 63.32174005920903, 10.069619185286513 63.3221289743979, 10.071815310957147 63.322412842027795, 10.075842785186998 63.3230784829984, 10.076018263847072 63.32315201664093)</t>
  </si>
  <si>
    <t>[576401, 576409, 576417, 576425, 576433, 576345, 576353, 576361, 576369, 576377, 576385, 576393]</t>
  </si>
  <si>
    <t>[583586, 583593, 583600, 583607, 583541, 583542, 583548, 583555, 583561, 583568, 583574, 581806]</t>
  </si>
  <si>
    <t>[581825, 583586, 583593, 583600, 583607, 583541, 583542, 583548, 583555, 583561, 583568, 583574]</t>
  </si>
  <si>
    <t>[0.029, 0.044, 0.026, 0.029, 0.031, 0.027, 0.029, 0.034, 0.04, 0.014, 0.043, 0.153]</t>
  </si>
  <si>
    <t>1040.1830347496498</t>
  </si>
  <si>
    <t>[0.013, 0.041]</t>
  </si>
  <si>
    <t>LINESTRING (10.069861194858321 63.322199424909016, 10.069597904497021 63.32217141188711, 10.056036923884527 63.322440189348264)</t>
  </si>
  <si>
    <t>[574416, 574424]</t>
  </si>
  <si>
    <t>[581819, 581825]</t>
  </si>
  <si>
    <t>0.04045681547394687</t>
  </si>
  <si>
    <t>[581811, 581819]</t>
  </si>
  <si>
    <t>699.172190600892</t>
  </si>
  <si>
    <t>[0.12, -0.004, 0.047, 0.044, 0.017, 0.017, 0.016, 0.012, 0.043, 0.019]</t>
  </si>
  <si>
    <t>[1, 1, 0, 0, 0, 0, 0, 0, 0, 0]</t>
  </si>
  <si>
    <t>LINESTRING (10.069861194858321 63.322199424909016, 10.069621912056396 63.322206424038214, 10.06957632113763 63.322203944626025, 10.064578249901643 63.322172821392336, 10.062879767496868 63.32233331079616, 10.062734412857129 63.32235255270493, 10.06267489340062 63.32236128100179, 10.06261552743276 63.32236911511721, 10.062511178077793 63.32238258396423, 10.053782317295644 63.32238071269696, 10.053568476875958 63.322332801012905)</t>
  </si>
  <si>
    <t>[576297, 576305, 576313, 576321, 576329, 576337, 576441, 576449, 576457, 576465]</t>
  </si>
  <si>
    <t>[583497, 583503, 583508, 583516, 583526, 583536, 583622, 583630, 583633, 581827]</t>
  </si>
  <si>
    <t>0.044330844550326744</t>
  </si>
  <si>
    <t>[581811, 583497, 583503, 583508, 583516, 583526, 583536, 583622, 583630, 583633]</t>
  </si>
  <si>
    <t>[0.12, 0.004, 0.047, 0.044, 0.017, 0.017, 0.016, 0.012, 0.043, 0.019]</t>
  </si>
  <si>
    <t>825.4368628114753</t>
  </si>
  <si>
    <t>124.40418006687207</t>
  </si>
  <si>
    <t>[0.188, 0.271, 0.064, -0.121, -0.103, -0.157, -0.17, -0.167, -0.099, -0.084, 0.054, -0.077, 0.012, -0.023, -0.046, 0.396, 0.406, 0.083, -0.014, -0.066, -0.08, -0.041, -0.115, 0.08, 0.008, 0.008]</t>
  </si>
  <si>
    <t>9953.0</t>
  </si>
  <si>
    <t>[0, 0, 0, 0, 0, 0, 0, 0, 0, 0, 0, 0, 0, 0, 1, 0, 0, 0, 0, 0, 0, 0, 0, 0, 0, 0]</t>
  </si>
  <si>
    <t>LINESTRING (10.053568476875958 63.322332801012905, 10.05122943578496 63.322085636937594, 10.051056304921222 63.322061040029965, 10.016499738271213 63.32422399599501, 10.01076295802985 63.32533658260366, 10.001513758436369 63.328469742643165, 10.001366505657407 63.328522571555816, 10.000969222202471 63.32866650037248, 10.000805761341853 63.328725748693145, 9.999525201456212 63.32919056268585, 9.999245336515646 63.329292269487816, 9.997403290624149 63.329952545596974, 9.994931953515065 63.33075774696396, 9.994151042640748 63.33099226786482, 9.993720025460352 63.331117441502016, 9.991348426597613 63.33175991343862, 9.990797551855369 63.3318975015212, 9.990664268378715 63.33193013159147, 9.962611717923672 63.332951227125925, 9.962591844847278 63.33295052360786, 9.918571235339543 63.33131871908695, 9.91840840011703 63.33129429085631, 9.910651399619935 63.329552198637195, 9.90996233768758 63.32937704396809, 9.907491363622292 63.328748224399725, 9.901201274484364 63.32703047262805, 9.897756996684656 63.32584633584975)</t>
  </si>
  <si>
    <t>[574442, 574443, 574450, 574451, 574461, 574469, 574472, 574511, 574512, 574517, 574525, 574536, 574544, 574552, 574553, 574561, 574569, 574572, 574573, 574585, 574586, 574619, 574627, 574640, 574648, 574658]</t>
  </si>
  <si>
    <t>[581843, 581844, 581849, 581850, 581859, 581865, 581868, 581901, 581902, 581906, 581913, 581920, 581928, 581935, 581936, 581943, 581951, 581954, 581955, 581965, 581966, 581998, 582010, 582022, 582028, 582037]</t>
  </si>
  <si>
    <t>[581827, 581843, 581844, 581849, 581850, 581859, 581865, 581868, 581901, 581902, 581906, 581913, 581920, 581928, 581935, 581936, 581943, 581951, 581954, 581955, 581965, 581966, 581998, 582010, 582022, 582028]</t>
  </si>
  <si>
    <t>[0.188, 0.271, 0.064, 0.121, 0.103, 0.157, 0.17, 0.167, 0.099, 0.084, 0.054, 0.077, 0.012, 0.023, 0.046, 0.396, 0.406, 0.083, 0.014, 0.066, 0.08, 0.041, 0.115, 0.08, 0.008, 0.008]</t>
  </si>
  <si>
    <t>8376.071250261048</t>
  </si>
  <si>
    <t>948.1766758692759</t>
  </si>
  <si>
    <t>[-0.009, -0.007, -0.298]</t>
  </si>
  <si>
    <t>LINESTRING (9.897756996684656 63.32584633584975, 9.897315812514961 63.32576124116675, 9.891801299261742 63.32388527386345, 9.891743084893548 63.323905215242426)</t>
  </si>
  <si>
    <t>[576473, 576481, 576489]</t>
  </si>
  <si>
    <t>[583648, 583656, 571077]</t>
  </si>
  <si>
    <t>[582037, 583648, 583656]</t>
  </si>
  <si>
    <t>[0.009, 0.007, 0.298]</t>
  </si>
  <si>
    <t>382.15204073498796</t>
  </si>
  <si>
    <t>0.173</t>
  </si>
  <si>
    <t>43.00488948929476</t>
  </si>
  <si>
    <t>[0.003, 0.02, -0.028, -0.088]</t>
  </si>
  <si>
    <t>LINESTRING (9.876479309771657 63.31718135238666, 9.87652616971545 63.31719525754092, 9.88357587168071 63.32006696584578, 9.883685045411823 63.32015262447162, 9.883695320246815 63.32016032606039)</t>
  </si>
  <si>
    <t>[576497, 576505, 576513, 576521]</t>
  </si>
  <si>
    <t>[583671, 583678, 583685, 583692]</t>
  </si>
  <si>
    <t>0.018610551482045237</t>
  </si>
  <si>
    <t>[583670, 583671, 583678, 583685]</t>
  </si>
  <si>
    <t>[0.003, 0.02, 0.028, 0.088]</t>
  </si>
  <si>
    <t>492.6092924915938</t>
  </si>
  <si>
    <t>[0.092, 0.024, 0.067]</t>
  </si>
  <si>
    <t>LINESTRING (9.8716556361561 63.31593205208142, 9.871871261162028 63.31597941141599, 9.875477914871027 63.316981072618326, 9.876479309771657 63.31718135238666)</t>
  </si>
  <si>
    <t>[576529, 576537, 576545]</t>
  </si>
  <si>
    <t>[583705, 583712, 583670]</t>
  </si>
  <si>
    <t>0.03533205510206025</t>
  </si>
  <si>
    <t>[583704, 583705, 583712]</t>
  </si>
  <si>
    <t>280.7389984914134</t>
  </si>
  <si>
    <t>[-0.027, -0.026, -0.038, -0.018]</t>
  </si>
  <si>
    <t>LINESTRING (9.883695320246815 63.32016032606039, 9.876270392462706 63.31737316814062, 9.876196206879168 63.31735160316708, 9.875620836548043 63.31719051221131, 9.8716556361561 63.31593205208142)</t>
  </si>
  <si>
    <t>[599569, 599577, 599585, 599593]</t>
  </si>
  <si>
    <t>[602380, 602385, 602389, 583704]</t>
  </si>
  <si>
    <t>[583692, 602380, 602385, 602389]</t>
  </si>
  <si>
    <t>[0.027, 0.026, 0.038, 0.018]</t>
  </si>
  <si>
    <t>768.2492035648083</t>
  </si>
  <si>
    <t>104.71406856727026</t>
  </si>
  <si>
    <t>[-0.151, -0.176]</t>
  </si>
  <si>
    <t>LINESTRING (9.876024245289164 63.31750824264533, 9.87595436165762 63.317572010336306, 9.875933835843908 63.31759647872759)</t>
  </si>
  <si>
    <t>[576561, 576569]</t>
  </si>
  <si>
    <t>[583739, 571102]</t>
  </si>
  <si>
    <t>[583729, 583739]</t>
  </si>
  <si>
    <t>[0.151, 0.176]</t>
  </si>
  <si>
    <t>10.84353430413219</t>
  </si>
  <si>
    <t>[0.002, -0.006, 0.072]</t>
  </si>
  <si>
    <t>LINESTRING (9.876024245289164 63.31750824264533, 9.875974947397006 63.31749297201372, 9.870336917023298 63.31533931009428, 9.870248783400282 63.31523896966258)</t>
  </si>
  <si>
    <t>[576577, 576585, 576593]</t>
  </si>
  <si>
    <t>[583750, 583760, 583768]</t>
  </si>
  <si>
    <t>[583729, 583750, 583760]</t>
  </si>
  <si>
    <t>[0.002, 0.006, 0.072]</t>
  </si>
  <si>
    <t>387.49781840154657</t>
  </si>
  <si>
    <t>[-0.051, 0.009, 0.003, -0.017, -0.027]</t>
  </si>
  <si>
    <t>LINESTRING (9.870248783400282 63.31523896966258, 9.86866657902202 63.31427324970359, 9.86458152121219 63.31181196131669, 9.859810748625467 63.30945312301456, 9.858745820931565 63.308947055066206, 9.858505944091107 63.30883154777064)</t>
  </si>
  <si>
    <t>[599609, 599617, 599625, 599633, 599641]</t>
  </si>
  <si>
    <t>[602399, 602405, 602412, 602416, 602423]</t>
  </si>
  <si>
    <t>[583768, 602399, 602405, 602412, 602416]</t>
  </si>
  <si>
    <t>[0.051, 0.009, 0.003, 0.017, 0.027]</t>
  </si>
  <si>
    <t>927.3476435855795</t>
  </si>
  <si>
    <t>[-0.161, -0.059, -0.013, 0.004, -0.02, -0.0, -0.018, -0.04, -0.039, -0.025, -0.033, -0.037, -0.018, 0.03, 0.056, 0.035, 0.021, -0.124, -0.108, 0.032, -0.028, 0.026, -0.014, 0.02, 0.001, 0.012, 0.008, 0.004, 0.083, 0.036, 0.051, 0.008]</t>
  </si>
  <si>
    <t>[0, 0, 0, 0, 0, 0, 0, 0, 0, 1, 1, 1, 0, 0, 0, 0, 0, 0, 0, 0, 0, 0, 0, 0, 0, 0, 0, 1, 0, 0, 0, 0]</t>
  </si>
  <si>
    <t>LINESTRING (8.597559120399401 63.16783556917241, 8.606884400220517 63.16847463365565, 8.607965474329665 63.16850446796048, 8.609257901977646 63.168555624804775, 8.61849142137123 63.17007160064577, 8.619350851724581 63.170184502224814, 8.633267098002717 63.172515720920295, 8.643635370131914 63.1732038868793, 8.643986243282562 63.17325195179631, 8.64456479821962 63.17333542921866, 8.644690447462457 63.1733532337848, 8.645311432177397 63.17344174857608, 8.645419690680823 63.173457059893856, 8.64658429001403 63.17362430023793, 8.650167694887353 63.17442701950083, 8.652212880927673 63.17496759542337, 8.653468407627667 63.17529875429395, 8.666304818445026 63.17882292667935, 8.666441135943119 63.17888816373441, 8.666694271019649 63.17900837860304, 8.673439195966429 63.18014502248525, 8.690621283503477 63.18188593182641, 8.697265398937567 63.1823208038051, 8.732806617912699 63.18475514182891, 8.733056290928229 63.1847085595816, 8.740560488881007 63.181990414616635, 8.740773727675238 63.18195124273605, 8.741722339666847 63.1818202003804, 8.742308728228696 63.181773214828596, 8.743713572577198 63.18175891131783, 8.758466442314967 63.18424088243015, 8.759889650697197 63.18418479314622, 8.764279209935578 63.18416303116039)</t>
  </si>
  <si>
    <t>[1327128, 581244, 581252, 581260, 581924, 581932, 581700, 581708, 581276, 581284, 581716, 581724, 581732, 581740, 581748, 581300, 581308, 581756, 581764, 581772, 581780, 581884, 581892, 581900, 581788, 581348, 581340, 581804, 581812, 581364, 581372, 581380]</t>
  </si>
  <si>
    <t>[587591, 587592, 587597, 587605, 588126, 587961, 587962, 587617, 587618, 587623, 587974, 587980, 587986, 587992, 587641, 587642, 587650, 588003, 588008, 588015, 587662, 588098, 588102, 588026, 587685, 587669, 587677, 588041, 587692, 587699, 587707, 587711]</t>
  </si>
  <si>
    <t>[960488, 587591, 587592, 587597, 587605, 588126, 587961, 587962, 587617, 587618, 587623, 587974, 587980, 587986, 587992, 587641, 587642, 587650, 588003, 588008, 588015, 587662, 588098, 588102, 588026, 587685, 587669, 587677, 588041, 587692, 587699, 587707]</t>
  </si>
  <si>
    <t>[0.161, 0.059, 0.013, 0.004, 0.02, 0.0, 0.018, 0.04, 0.039, 0.025, 0.033, 0.037, 0.018, 0.03, 0.056, 0.035, 0.021, 0.124, 0.108, 0.032, 0.028, 0.026, 0.014, 0.02, 0.001, 0.012, 0.008, 0.004, 0.083, 0.036, 0.051, 0.008]</t>
  </si>
  <si>
    <t>8714.016320456436</t>
  </si>
  <si>
    <t>LINESTRING (8.981183345112381 63.199839282154436, 8.764279209935578 63.18416303116039)</t>
  </si>
  <si>
    <t>12507.47468830385</t>
  </si>
  <si>
    <t>[0.055, 0.059, 0.053]</t>
  </si>
  <si>
    <t>LINESTRING (10.358177914904985 63.33335141833835, 10.358297076623368 63.33331892017543, 10.35875672165746 63.3332408075615, 10.358870423580742 63.33321063984473)</t>
  </si>
  <si>
    <t>[660435, 660443, 660451]</t>
  </si>
  <si>
    <t>[651591, 651599, 651465]</t>
  </si>
  <si>
    <t>0.05723576021270246</t>
  </si>
  <si>
    <t>[590963, 651591, 651599]</t>
  </si>
  <si>
    <t>38.335991399278385</t>
  </si>
  <si>
    <t>[0.06, 0.062, 0.062, 0.066]</t>
  </si>
  <si>
    <t>LINESTRING (10.358177914904985 63.33335141833835, 10.358327355038734 63.333373430855794, 10.358596923927465 63.333348030787526, 10.35881986529583 63.33333542609383, 10.358916338038952 63.33333650309009)</t>
  </si>
  <si>
    <t>[661470, 629330, 660403, 660411]</t>
  </si>
  <si>
    <t>[625223, 625224, 651567, 651532]</t>
  </si>
  <si>
    <t>0.06209482130489624</t>
  </si>
  <si>
    <t>[590963, 625223, 625224, 651567]</t>
  </si>
  <si>
    <t>37.77551715917312</t>
  </si>
  <si>
    <t>[0.001, -0.0, 0.05]</t>
  </si>
  <si>
    <t>LINESTRING (10.355902146654225 63.33356031343141, 10.356223812011793 63.333533263110006, 10.35715345804534 63.33345476777151, 10.358177914904985 63.33335141833835)</t>
  </si>
  <si>
    <t>[661334, 585203, 585211]</t>
  </si>
  <si>
    <t>[590955, 590956, 590963]</t>
  </si>
  <si>
    <t>0.022738854436906666</t>
  </si>
  <si>
    <t>[652520, 590955, 590956]</t>
  </si>
  <si>
    <t>[0.001, 0.0, 0.05]</t>
  </si>
  <si>
    <t>116.40424354504384</t>
  </si>
  <si>
    <t>[0.118, 0.149]</t>
  </si>
  <si>
    <t>LINESTRING (10.233940996572324 59.713925407112576, 10.234006564910366 59.71389136225493, 10.23409353553029 59.71387455658558)</t>
  </si>
  <si>
    <t>[585692, 585700]</t>
  </si>
  <si>
    <t>[591386, 591394]</t>
  </si>
  <si>
    <t>0.13342466389044244</t>
  </si>
  <si>
    <t>[591378, 591386]</t>
  </si>
  <si>
    <t>10.5375697786532</t>
  </si>
  <si>
    <t>[0.293, -0.14]</t>
  </si>
  <si>
    <t>LINESTRING (10.233940996572324 59.713925407112576, 10.233915256941419 59.71388537874738, 10.233752026341424 59.713663436242406)</t>
  </si>
  <si>
    <t>[1630106, 1630108]</t>
  </si>
  <si>
    <t>[1457720, 591556]</t>
  </si>
  <si>
    <t>[591378, 1457720]</t>
  </si>
  <si>
    <t>[0.293, 0.14]</t>
  </si>
  <si>
    <t>31.081318433084984</t>
  </si>
  <si>
    <t>[0.05, -0.154, -0.22, -0.099]</t>
  </si>
  <si>
    <t>LINESTRING (10.234264279655108 59.71389861252781, 10.234269030346296 59.71405993928944, 10.234175267310144 59.71408567292336, 10.234077242670699 59.714086335412006, 10.233940996572324 59.713925407112576)</t>
  </si>
  <si>
    <t>[585716, 585724, 585732, 585684]</t>
  </si>
  <si>
    <t>[591411, 591419, 591377, 591378]</t>
  </si>
  <si>
    <t>[591402, 591411, 591419, 591377]</t>
  </si>
  <si>
    <t>[0.05, 0.154, 0.22, 0.099]</t>
  </si>
  <si>
    <t>53.96492001526724</t>
  </si>
  <si>
    <t>0.199</t>
  </si>
  <si>
    <t>9.981171273809103</t>
  </si>
  <si>
    <t>[-0.121, -0.122]</t>
  </si>
  <si>
    <t>LINESTRING (10.23409353553029 59.71387455658558, 10.234045018938726 59.713845924014656, 10.233752026341424 59.713663436242406)</t>
  </si>
  <si>
    <t>[585876, 585884]</t>
  </si>
  <si>
    <t>[591546, 591556]</t>
  </si>
  <si>
    <t>[591394, 591546]</t>
  </si>
  <si>
    <t>[0.121, 0.122]</t>
  </si>
  <si>
    <t>30.39082515837543</t>
  </si>
  <si>
    <t>[0.058, -0.02, 0.001, -0.129]</t>
  </si>
  <si>
    <t>LINESTRING (10.236367956706701 59.710845774613325, 10.236000795508629 59.71113747219187, 10.234313609375661 59.71384794789534, 10.234298812763797 59.713865192827896, 10.234264279655108 59.71389861252781)</t>
  </si>
  <si>
    <t>[1630296, 1630115, 1630117, 1630118]</t>
  </si>
  <si>
    <t>[1457725, 1457726, 1457728, 591402]</t>
  </si>
  <si>
    <t>[1457801, 1457725, 1457726, 1457728]</t>
  </si>
  <si>
    <t>[0.058, 0.02, 0.001, 0.129]</t>
  </si>
  <si>
    <t>375.01202727805435</t>
  </si>
  <si>
    <t>[-0.045, -0.307, -0.283, -0.209, -0.047]</t>
  </si>
  <si>
    <t>LINESTRING (10.233384543620765 59.71176822906585, 10.233468866827817 59.71162629738206, 10.233625361988816 59.711615079509464, 10.233709209549156 59.71163638929436, 10.233767343151335 59.71167322450783, 10.233779974574869 59.71174825235052)</t>
  </si>
  <si>
    <t>[585748, 585756, 585764, 585772, 585780]</t>
  </si>
  <si>
    <t>[370396, 591445, 591451, 591459, 591465]</t>
  </si>
  <si>
    <t>[591438, 370396, 591445, 591451, 591459]</t>
  </si>
  <si>
    <t>[0.045, 0.307, 0.283, 0.209, 0.047]</t>
  </si>
  <si>
    <t>45.61663607734698</t>
  </si>
  <si>
    <t>[0.294, 0.263]</t>
  </si>
  <si>
    <t>LINESTRING (10.233573375194498 59.71182744890065, 10.233466575411418 59.711812275226514, 10.233384543620765 59.71176822906585)</t>
  </si>
  <si>
    <t>[585796, 585804]</t>
  </si>
  <si>
    <t>[591477, 591438]</t>
  </si>
  <si>
    <t>0.27791091543340785</t>
  </si>
  <si>
    <t>[591471, 591477]</t>
  </si>
  <si>
    <t>12.98833445159455</t>
  </si>
  <si>
    <t>[0.022, 0.795]</t>
  </si>
  <si>
    <t>LINESTRING (10.233214936847768 59.71218248464017, 10.233371030813267 59.71181307221705, 10.233384543620765 59.71176822906585)</t>
  </si>
  <si>
    <t>[1630132, 1630133]</t>
  </si>
  <si>
    <t>[1457737, 591438]</t>
  </si>
  <si>
    <t>0.10402450457255527</t>
  </si>
  <si>
    <t>[1457715, 1457737]</t>
  </si>
  <si>
    <t>47.646378370819384</t>
  </si>
  <si>
    <t>0.189</t>
  </si>
  <si>
    <t>15.428734302794911</t>
  </si>
  <si>
    <t>[-0.254, 0.013, 0.117]</t>
  </si>
  <si>
    <t>LINESTRING (10.233779974574869 59.71174825235052, 10.233840558238285 59.71175540326212, 10.236741311277182 59.71029939309243, 10.237344227152679 59.709997553760054)</t>
  </si>
  <si>
    <t>[1630146, 1630154, 1630289]</t>
  </si>
  <si>
    <t>[1457748, 1457757, 1457814]</t>
  </si>
  <si>
    <t>0.02680114610526268</t>
  </si>
  <si>
    <t>[591465, 1457748, 1457757]</t>
  </si>
  <si>
    <t>[0.254, 0.013, 0.117]</t>
  </si>
  <si>
    <t>292.4095532168683</t>
  </si>
  <si>
    <t>[-0.023, 0.531]</t>
  </si>
  <si>
    <t>LINESTRING (10.233214936847768 59.71218248464017, 10.233522567507391 59.71185539209857, 10.233573375194498 59.71182744890065)</t>
  </si>
  <si>
    <t>[1630125, 1630131]</t>
  </si>
  <si>
    <t>[1457732, 591471]</t>
  </si>
  <si>
    <t>0.029109663499029177</t>
  </si>
  <si>
    <t>[1457715, 1457732]</t>
  </si>
  <si>
    <t>[0.023, 0.531]</t>
  </si>
  <si>
    <t>44.96256426116764</t>
  </si>
  <si>
    <t>121.23955074809575</t>
  </si>
  <si>
    <t>[0.04, 0.037, 0.009]</t>
  </si>
  <si>
    <t>LINESTRING (10.215262642842465 59.73204823227402, 10.21514172715782 59.73051375343805, 10.215396824497073 59.72974245318109, 10.216662960497873 59.728263808289576)</t>
  </si>
  <si>
    <t>[1179211, 1179307, 1630169]</t>
  </si>
  <si>
    <t>[1110013, 1110100, 591487]</t>
  </si>
  <si>
    <t>0.02662311390581972</t>
  </si>
  <si>
    <t>[1110008, 1110013, 1110100]</t>
  </si>
  <si>
    <t>440.5392149521905</t>
  </si>
  <si>
    <t>[0.041, 0.036, 0.01]</t>
  </si>
  <si>
    <t>LINESTRING (10.215340504773627 59.73052019982918, 10.215348817122667 59.7304835424177, 10.215593175799388 59.729762456283694, 10.216662960497873 59.728263808289576)</t>
  </si>
  <si>
    <t>[1179267, 1179275, 1630304]</t>
  </si>
  <si>
    <t>[1110065, 1110074, 591487]</t>
  </si>
  <si>
    <t>0.018521958111423046</t>
  </si>
  <si>
    <t>[1110064, 1110065, 1110074]</t>
  </si>
  <si>
    <t>263.8835027989389</t>
  </si>
  <si>
    <t>140.05836204387776</t>
  </si>
  <si>
    <t>[0.054, 0.011, -0.095, 0.056]</t>
  </si>
  <si>
    <t>LINESTRING (10.217686089098768 59.72731949114027, 10.219024847320398 59.72647452674227, 10.232909964509112 59.71319075557695, 10.23388649903157 59.71237754794352, 10.234975822377809 59.71168371533638)</t>
  </si>
  <si>
    <t>[585820, 585828, 1630177, 1630199]</t>
  </si>
  <si>
    <t>[591495, 591501, 1457772, 1457792]</t>
  </si>
  <si>
    <t>0.010242307904775401</t>
  </si>
  <si>
    <t>[591488, 591495, 591501, 1457772]</t>
  </si>
  <si>
    <t>[0.054, 0.011, 0.095, 0.056]</t>
  </si>
  <si>
    <t>2030.115480957764</t>
  </si>
  <si>
    <t>[1.021, 0.015, 0.014, 0.015, 0.017]</t>
  </si>
  <si>
    <t>LINESTRING (10.216045988708649 59.730567654693765, 10.215933392663654 59.7305882457769, 10.213736353948768 59.73019025286711, 10.215086388581986 59.72968589388334, 10.217290685050173 59.72756307852892, 10.217686089098768 59.72731949114027)</t>
  </si>
  <si>
    <t>[2094386, 2094387, 1179251, 1630155, 1630158]</t>
  </si>
  <si>
    <t>[1812175, 1110049, 1110050, 1457758, 591488]</t>
  </si>
  <si>
    <t>0.026154637445077372</t>
  </si>
  <si>
    <t>[1300646, 1812175, 1110049, 1110050, 1457758]</t>
  </si>
  <si>
    <t>605.6574816984142</t>
  </si>
  <si>
    <t>[0.048, -0.066]</t>
  </si>
  <si>
    <t>LINESTRING (10.282687327468986 59.80732351909274, 10.283060643912233 59.80734577391696, 10.28651753320474 59.807380224618775)</t>
  </si>
  <si>
    <t>[585840, 1387155]</t>
  </si>
  <si>
    <t>[591513, 1273578]</t>
  </si>
  <si>
    <t>[591512, 591513]</t>
  </si>
  <si>
    <t>[0.048, 0.066]</t>
  </si>
  <si>
    <t>216.062790859853</t>
  </si>
  <si>
    <t>[-0.073, 0.004, -0.061]</t>
  </si>
  <si>
    <t>LINESTRING (10.282687327468986 59.80732351909274, 10.280299754876543 59.80692899528694, 10.276254589214162 59.80586353617053, 10.267824649955541 59.79815641567474)</t>
  </si>
  <si>
    <t>[1593695, 1593703, 1593711]</t>
  </si>
  <si>
    <t>[1432711, 1432717, 1164013]</t>
  </si>
  <si>
    <t>[591512, 1432711, 1432717]</t>
  </si>
  <si>
    <t>[0.073, 0.004, 0.061]</t>
  </si>
  <si>
    <t>1415.9424456610195</t>
  </si>
  <si>
    <t>169.94035205226766</t>
  </si>
  <si>
    <t>[0.034, 0.045, 0.055, 0.052]</t>
  </si>
  <si>
    <t>LINESTRING (10.28651753320474 59.807380224618775, 10.286829555468225 59.8073959236702, 10.287543865150363 59.80754996271232, 10.287582081575781 59.80755761266069, 10.287686036695018 59.807591035065954)</t>
  </si>
  <si>
    <t>[1387275, 1387283, 585929, 585937]</t>
  </si>
  <si>
    <t>[1273643, 591595, 591596, 591603]</t>
  </si>
  <si>
    <t>0.04328877147635876</t>
  </si>
  <si>
    <t>[1273578, 1273643, 591595, 591596]</t>
  </si>
  <si>
    <t>71.36195257392923</t>
  </si>
  <si>
    <t>[0.0, 0.023, 0.047, 0.05]</t>
  </si>
  <si>
    <t>LINESTRING (10.287775680141934 59.80750699605831, 10.287775680141934 59.80750699605831, 10.287814641921976 59.8075089971052, 10.288419417495325 59.807617589805, 10.288552662123344 59.80764755631957)</t>
  </si>
  <si>
    <t>[585985, 585993, 1387363, 1387371]</t>
  </si>
  <si>
    <t>[591644, 591649, 1273693, 1273494]</t>
  </si>
  <si>
    <t>0.04026978210015556</t>
  </si>
  <si>
    <t>[591643, 591644, 591649, 1273693]</t>
  </si>
  <si>
    <t>53.66790729367767</t>
  </si>
  <si>
    <t>[0.005, 0.006]</t>
  </si>
  <si>
    <t>LINESTRING (10.248180994639682 59.69424327181463, 10.24829697089098 59.694262518429, 10.248740993287829 59.69433140683396)</t>
  </si>
  <si>
    <t>[586306, 586314]</t>
  </si>
  <si>
    <t>[591869, 591875]</t>
  </si>
  <si>
    <t>0.005793216280254545</t>
  </si>
  <si>
    <t>[591868, 591869]</t>
  </si>
  <si>
    <t>33.25862126864977</t>
  </si>
  <si>
    <t>[-0.029, 0.061]</t>
  </si>
  <si>
    <t>LINESTRING (10.248180994639682 59.69424327181463, 10.248199283285821 59.69431499492609, 10.24813158648652 59.694378201856026)</t>
  </si>
  <si>
    <t>[2094477, 2094479]</t>
  </si>
  <si>
    <t>[1812210, 1531845]</t>
  </si>
  <si>
    <t>0.01586236805395289</t>
  </si>
  <si>
    <t>[591868, 1812210]</t>
  </si>
  <si>
    <t>[0.029, 0.061]</t>
  </si>
  <si>
    <t>16.071639113630145</t>
  </si>
  <si>
    <t>0.148</t>
  </si>
  <si>
    <t>11.806409861861951</t>
  </si>
  <si>
    <t>31.313176395879026</t>
  </si>
  <si>
    <t>LINESTRING (10.24813158648652 59.694378201856026, 10.248277337242243 59.69436746922556, 10.248740993287829 59.69433140683396)</t>
  </si>
  <si>
    <t>[1718730, 1718743]</t>
  </si>
  <si>
    <t>[1531846, 591875]</t>
  </si>
  <si>
    <t>[1531845, 1531846]</t>
  </si>
  <si>
    <t>34.7285156045576</t>
  </si>
  <si>
    <t>[-0.007, -0.006]</t>
  </si>
  <si>
    <t>LINESTRING (10.249294727715663 59.69435550246546, 10.249703217188282 59.694312803545564, 10.249812906874702 59.694303756770694)</t>
  </si>
  <si>
    <t>[586386, 586394]</t>
  </si>
  <si>
    <t>[591921, 591925]</t>
  </si>
  <si>
    <t>[591920, 591921]</t>
  </si>
  <si>
    <t>29.905270876927915</t>
  </si>
  <si>
    <t>LINESTRING (10.249294727715663 59.69435550246546, 10.249685349399442 59.69441988731011, 10.249779774589589 59.69443564356889)</t>
  </si>
  <si>
    <t>[1718850, 1718854]</t>
  </si>
  <si>
    <t>[1531923, 1531927]</t>
  </si>
  <si>
    <t>0.012974297256142044</t>
  </si>
  <si>
    <t>[591920, 1531923]</t>
  </si>
  <si>
    <t>28.750694734035687</t>
  </si>
  <si>
    <t>12.51353842146707</t>
  </si>
  <si>
    <t>[-0.02, -0.053]</t>
  </si>
  <si>
    <t>LINESTRING (10.249779774589589 59.69443564356889, 10.249759120492332 59.69436764881115, 10.249812906874702 59.694303756770694)</t>
  </si>
  <si>
    <t>[2094565, 2094569]</t>
  </si>
  <si>
    <t>[1812246, 591925]</t>
  </si>
  <si>
    <t>[1531927, 1812246]</t>
  </si>
  <si>
    <t>[0.02, 0.053]</t>
  </si>
  <si>
    <t>15.406866892365207</t>
  </si>
  <si>
    <t>8.392</t>
  </si>
  <si>
    <t>3.304617980820236</t>
  </si>
  <si>
    <t>[0.0, 0.372, -0.05, -0.143, -0.072, 0.067, 0.114, 0.14, 0.111, 0.123, 0.191, 0.135, 0.175, -0.028, 0.015, -0.018, -0.158, -0.223, -0.019, 0.054, 0.064, 0.064, 0.131, 0.129, -0.058, -1.296, -0.013, 0.015, -0.091, -0.09, 0.091, -0.044, 0.073, 0.118, -0.291, -0.263, -0.239, -0.237, 0.05, 1.394, 0.106, 0.021, 0.021, -0.163, -0.241, 0.057, 0.529, 0.492, 0.187, -0.174, 0.021, 0.081, 0.093, 0.134, -0.139, -0.238, -0.76, -0.114, -0.02, -0.025, 0.041, -0.094, -0.079, -0.018, -0.024, 0.012, -0.013, -0.006, -0.002, -0.0, -0.001, -0.028, -0.039, -0.044, 0.004, 0.046, 0.017, -0.037, -0.032, 0.04, 0.068, 0.077, 0.046, -0.044, -0.012, -0.016, 0.001, 0.005, 0.007, 0.057, -0.027, -0.078, 0.007, 0.011, -0.01, -0.027, -0.027, -0.007, 0.011, -0.012, -0.013, -0.011, -0.004, 0.008, 0.011, 0.017, 0.018, 0.006]</t>
  </si>
  <si>
    <t>1993.0</t>
  </si>
  <si>
    <t>[0, 0, 0, 0, 0, 1, 0, 1, 1, 0, 0, 0, 0, 0, 0, 0, 0, 0, 0, 0, 0, 0, 0, 0, 0, 1, 1, 0, 0, 0, 0, 0, 0, 0, 0, 0, 0, 0, 0, 0, 0, 0, 0, 1, 0, 0, 0, 0, 0, 0, 0, 0, 0, 0, 0, 0, 0, 0, 0, 0, 0, 0, 0, 0, 0, 0, 0, 0, 0, 0, 0, 0, 0, 0, 0, 0, 0, 0, 0, 0, 0, 0, 0, 0, 0, 0, 0, 0, 0, 0, 0, 0, 1, 0, 0, 0, 0, 0, 0, 0, 0, 0, 0, 0, 0, 0, 0, 0]</t>
  </si>
  <si>
    <t>LINESTRING (7.891699564455548 61.074176003527555, 7.891699564455548 61.074176003527555, 7.891693599734676 61.07417612987237, 7.856647806751969 61.07837500548883, 7.856635952355758 61.078377053159514, 7.852683296554516 61.079146579650875, 7.852224517898751 61.07923352832414, 7.850515650422164 61.079475871006935, 7.8485505395523605 61.079555935401196, 7.84772882375435 61.07952796401579, 7.846629955522594 61.07943525986592, 7.846037510562766 61.079357018081126, 7.845879902646397 61.079333846053274, 7.845743462766569 61.07931089874133, 7.83087752612644 61.072547325688255, 7.822610170777621 61.06709012958622, 7.82063303726105 61.065516952560486, 7.82049227934757 61.06537509995696, 7.820099092479418 61.064878969639416, 7.818632494980293 61.06203280591143, 7.818474288431484 61.061880993187636, 7.8183435377369195 61.06177195733675, 7.817983754099112 61.06149512450967, 7.815589233115982 61.06002723321636, 7.815578002131143 61.060020592240015, 7.7651961237007034 61.04830760088591, 7.76518215828975 61.04830167343291, 7.763812917341582 61.047786126914175, 7.754192366203471 61.04806423123956, 7.754152305225607 61.048082564520406, 7.754112774462373 61.04810231490966, 7.750649291501123 61.04984831856379, 7.7214293224945285 61.05232061813534, 7.721411699862951 61.05231767062271, 7.717777850274198 61.051722111571436, 7.7161307175170455 61.05162091779559, 7.715776318115111 61.05161344087764, 7.715507943128469 61.05161256647837, 7.715327477020231 61.05161254542514, 7.704191808568806 61.052337451879936, 7.7039203625629105 61.052368334584166, 7.70225259360147 61.052444284812324, 7.701489450705034 61.05242236412762, 7.701369183541641 61.05241567651229, 7.700189167661421 61.05230070280254, 7.699241325704956 61.05213972671742, 7.686363483348901 61.052629100061274, 7.685473117512635 61.053356181887814, 7.685264453958154 61.05352056315753, 7.6747241727168936 61.056594477059754, 7.668886009501326 61.05753572026522, 7.660385419657099 61.058327810901076, 7.660213029321724 61.058324127542555, 7.659034664816513 61.058207342426485, 7.658886159449865 61.05818424052765, 7.64293882539571 61.05358123038215, 7.639674763381488 61.05251631912671, 7.637511149215638 61.05138177278643, 7.636984496013591 61.0510912482883, 7.6357105262712635 61.050386824846534, 7.635618360280436 61.05033507811988, 7.634974750104595 61.04998281737337, 7.632248248362721 61.048472144783396, 7.630045985129668 61.04739112078863, 7.626799133025791 61.04656935885616, 7.625246772581883 61.046208406568724, 7.619648543271203 61.046229573025165, 7.617226549499636 61.0463176400908, 7.611038105961661 61.047240634222966, 7.610125903690894 61.04735069151968, 7.60864251602951 61.04753220282137, 7.608479827821124 61.04755102423629, 7.606792815681458 61.047573414289715, 7.600765381008096 61.04814481925427, 7.599469951956207 61.04837877425201, 7.597487127395145 61.04856456828916, 7.594013619713629 61.04949410609121, 7.593408166128433 61.049663886463, 7.591194682218152 61.049954386463185, 7.584235002415127 61.0509850237015, 7.583596174456793 61.051076526840305, 7.581508616287035 61.05145733660658, 7.580713691492377 61.051702226245965, 7.579789266420284 61.051971539008434, 7.574343971869693 61.05246766865173, 7.570388993264772 61.05329230586123, 7.569615028094451 61.0534479482372, 7.565456325230653 61.05345008983867, 7.562095115509073 61.053322465891135, 7.56038754405721 61.05325966235556, 7.555616008085406 61.053615833125576, 7.537748690365037 61.053456942367575, 7.536795725206059 61.05357904312883, 7.535101076859731 61.0534679057977, 7.529368776664234 61.05451917627373, 7.526128740171209 61.05550733889954, 7.524766743725016 61.05617054567718, 7.524214741050252 61.05643233068725, 7.5207953697286225 61.05736045883996, 7.517461425895265 61.05837924444217, 7.5164591132356655 61.059289693722775, 7.516087638437518 61.059622530554456, 7.515485981722375 61.060171009183634, 7.5141211217102395 61.06133001841501, 7.513530188012022 61.06162644844999, 7.512959950143143 61.061859462851714, 7.511763992551014 61.06231057750068, 7.509485488478614 61.06316345560835, 7.509321694566586 61.06324974324108)</t>
  </si>
  <si>
    <t>[586470, 586478, 586486, 586494, 586502, 586510, 586518, 586526, 586534, 586542, 586550, 586558, 1984814, 1984816, 1984982, 1984994, 1888346, 1888347, 1888362, 1888370, 1888378, 1888379, 1888386, 1888387, 1888388, 1888395, 1888403, 1888405, 1888406, 1888410, 1888412, 1888420, 1888428, 1888450, 1888465, 1888478, 1888489, 1888490, 1888491, 2122525, 2122533, 2122541, 2122549, 2122557, 2122565, 2122573, 2122581, 2122589, 2122597, 2122429, 2122461, 2122469, 2122477, 2122485, 2122493, 2122501, 2122509, 1025545, 1025553, 1025561, 1025569, 1025577, 1025585, 1025593, 1025601, 1025609, 1025617, 1025625, 1025633, 1025641, 1025649, 1025657, 1025665, 1025673, 1025681, 1025689, 1025697, 1025705, 1025713, 1025721, 1025729, 1025737, 1025745, 1025753, 1025761, 1025769, 1025777, 1025785, 1025793, 1025801, 1025809, 1025817, 1025825, 1025833, 1025841, 1025849, 1025857, 1025865, 1888504, 1888505, 1888510, 1888511, 1888512, 1888519, 1888533, 1888541, 1888542, 1888554]</t>
  </si>
  <si>
    <t>[591987, 591994, 591998, 592003, 592008, 592012, 592018, 592021, 592028, 592032, 592037, 592042, 1744443, 1744446, 612874, 1660622, 1651935, 1660623, 434107, 1660639, 434004, 1660646, 1660652, 1660653, 1660654, 1660659, 1660664, 434074, 1660666, 434056, 1660671, 1660676, 1660683, 1660700, 1660710, 434100, 1660723, 433994, 1660724, 1802794, 776437, 1828610, 1828618, 1828625, 1828631, 1828634, 1801617, 1828527, 1828539, 1828540, 1828561, 1801498, 1801531, 1828576, 1828582, 1701630, 980356, 980357, 980363, 980370, 980377, 980384, 980395, 980404, 980412, 980421, 980428, 980437, 980446, 980455, 980463, 980471, 980481, 980488, 980496, 980503, 980511, 980521, 980530, 980538, 980547, 980557, 980562, 980572, 980581, 980586, 980595, 980600, 980609, 980618, 980627, 980635, 980641, 980650, 980660, 980666, 980673, 980681, 1571166, 1651378, 1660736, 1660737, 1651220, 1660743, 1571390, 1660759, 1571770, 1655795]</t>
  </si>
  <si>
    <t>[591986, 591987, 591994, 591998, 592003, 592008, 592012, 592018, 592021, 592028, 592032, 592037, 592042, 1744443, 1744446, 612874, 1660622, 1651935, 1660623, 434107, 1660639, 434004, 1660646, 1660652, 1660653, 1660654, 1660659, 1660664, 434074, 1660666, 434056, 1660671, 1660676, 1660683, 1660700, 1660710, 434100, 1660723, 433994, 1660724, 1802794, 776437, 1828610, 1828618, 1828625, 1828631, 1828634, 1801617, 1828527, 1828539, 1828540, 1828561, 1801498, 1801531, 1828576, 1828582, 1701630, 980356, 980357, 980363, 980370, 980377, 980384, 980395, 980404, 980412, 980421, 980428, 980437, 980446, 980455, 980463, 980471, 980481, 980488, 980496, 980503, 980511, 980521, 980530, 980538, 980547, 980557, 980562, 980572, 980581, 980586, 980595, 980600, 980609, 980618, 980627, 980635, 980641, 980650, 980660, 980666, 980673, 980681, 1571166, 1651378, 1660736, 1660737, 1651220, 1660743, 1571390, 1660759, 1571770]</t>
  </si>
  <si>
    <t>[0.0, 0.372, 0.05, 0.143, 0.072, 0.067, 0.114, 0.14, 0.111, 0.123, 0.191, 0.135, 0.175, 0.028, 0.015, 0.018, 0.158, 0.223, 0.019, 0.054, 0.064, 0.064, 0.131, 0.129, 0.058, 1.296, 0.013, 0.015, 0.091, 0.09, 0.091, 0.044, 0.073, 0.118, 0.291, 0.263, 0.239, 0.237, 0.05, 1.394, 0.106, 0.021, 0.021, 0.163, 0.241, 0.057, 0.529, 0.492, 0.187, 0.174, 0.021, 0.081, 0.093, 0.134, 0.139, 0.238, 0.76, 0.114, 0.02, 0.025, 0.041, 0.094, 0.079, 0.018, 0.024, 0.012, 0.013, 0.006, 0.002, 0.0, 0.001, 0.028, 0.039, 0.044, 0.004, 0.046, 0.017, 0.037, 0.032, 0.04, 0.068, 0.077, 0.046, 0.044, 0.012, 0.016, 0.001, 0.005, 0.007, 0.057, 0.027, 0.078, 0.007, 0.011, 0.01, 0.027, 0.027, 0.007, 0.011, 0.012, 0.013, 0.011, 0.004, 0.008, 0.011, 0.017, 0.018, 0.006]</t>
  </si>
  <si>
    <t>24126.22267038722</t>
  </si>
  <si>
    <t>[-0.001, 0.005, 0.007, -0.015, -0.015, 0.042, 0.026, 0.0]</t>
  </si>
  <si>
    <t>[0, 0, 0, 0, 1, 0, 0, 0]</t>
  </si>
  <si>
    <t>LINESTRING (10.247055956703988 59.69778386439087, 10.247083825048671 59.69775242192195, 10.247988474446473 59.696738946432205, 10.248168733508315 59.69652135064613, 10.249145675096804 59.69452388680569, 10.249199282700005 59.694147982819935, 10.248703656097218 59.69188670713282, 10.248469803893824 59.69149920630168, 10.24846746443111 59.69149563141605)</t>
  </si>
  <si>
    <t>[1593967, 1593975, 1593983, 1593991, 1593999, 1594007, 1594015, 1594023]</t>
  </si>
  <si>
    <t>[1432895, 1432899, 1432904, 1432911, 1432915, 1432921, 1432929, 1432935]</t>
  </si>
  <si>
    <t>0.0118204405799272</t>
  </si>
  <si>
    <t>[591991, 1432895, 1432899, 1432904, 1432911, 1432915, 1432921, 1432929]</t>
  </si>
  <si>
    <t>[0.001, 0.005, 0.007, 0.015, 0.015, 0.042, 0.026, 0.0]</t>
  </si>
  <si>
    <t>726.2830652655072</t>
  </si>
  <si>
    <t>[0.075, 0.091, 0.007, 0.002]</t>
  </si>
  <si>
    <t>LINESTRING (10.236367956706701 59.710845774613325, 10.237038870474041 59.71041759163165, 10.237576432273196 59.71008072388776, 10.241669373255736 59.70589594434277, 10.247055956703988 59.69778386439087)</t>
  </si>
  <si>
    <t>[1630215, 1630216, 1630222, 1630227]</t>
  </si>
  <si>
    <t>[1457802, 1457803, 1457808, 591991]</t>
  </si>
  <si>
    <t>0.009154614065552626</t>
  </si>
  <si>
    <t>[1457801, 1457802, 1457803, 1457808]</t>
  </si>
  <si>
    <t>1587.4346815342822</t>
  </si>
  <si>
    <t>[0.037, 0.006, -0.021]</t>
  </si>
  <si>
    <t>LINESTRING (10.249986470691095 59.6945090535385, 10.249945323698059 59.69455247289515, 10.247262444360905 59.69765409395982, 10.247055956703988 59.69778386439087)</t>
  </si>
  <si>
    <t>[1639017, 1639024, 586474]</t>
  </si>
  <si>
    <t>[1465771, 591990, 591991]</t>
  </si>
  <si>
    <t>0.005168605662036822</t>
  </si>
  <si>
    <t>[1465770, 1465771, 591990]</t>
  </si>
  <si>
    <t>[0.037, 0.006, 0.021]</t>
  </si>
  <si>
    <t>402.70992525606295</t>
  </si>
  <si>
    <t>[-0.027, 0.023, 0.058, 0.03, 0.03, 0.045, 0.07, 0.088, -0.005, -0.023, -0.066, -0.09, -0.117, -0.126, -0.115, -0.024, -0.007, -0.002, 0.035, 0.06]</t>
  </si>
  <si>
    <t>248.0</t>
  </si>
  <si>
    <t>[0, 0, 0, 0, 0, 0, 0, 0, 0, 0, 0, 1, 0, 1, 0, 0, 1, 0, 0, 0]</t>
  </si>
  <si>
    <t>LINESTRING (7.954655146132964 61.07365564761146, 7.953464021350762 61.073614227313485, 7.953310557827216 61.07362493360766, 7.953167415990417 61.073636829757426, 7.952905506625476 61.073657959978014, 7.9523549447932655 61.0737046492898, 7.951254622922558 61.073800325937334, 7.9487407092840865 61.07401626543296, 7.948314839122973 61.07404880840506, 7.9351664973756 61.072821714028024, 7.934181063840023 61.07248558253034, 7.93366277055299 61.07228033241558, 7.932291496140698 61.07164790814476, 7.931017343311818 61.07106141054824, 7.930971060136423 61.0710429310161, 7.930020682223288 61.0707036417025, 7.912387836679554 61.069122052897946, 7.9123350806104975 61.06913162141781, 7.897824910195809 61.073450240839875, 7.896212950850162 61.07379251088742, 7.894911563723137 61.07398393332352)</t>
  </si>
  <si>
    <t>[980510, 1025177, 1025185, 1025193, 1025201, 1984824, 1984831, 1984839, 1984847, 1984908, 1984916, 1984923, 1984929, 1984934, 1984936, 1984938, 1984942, 1984943, 586574, 586582]</t>
  </si>
  <si>
    <t>[941569, 980025, 941716, 980039, 980046, 1176270, 1176284, 1176290, 1744428, 1744520, 1744528, 1744536, 1744544, 1744549, 1744507, 1744554, 1744560, 592052, 592053, 592047]</t>
  </si>
  <si>
    <t>[941568, 941569, 980025, 941716, 980039, 980046, 1176270, 1176284, 1176290, 1744428, 1744520, 1744528, 1744536, 1744544, 1744549, 1744507, 1744554, 1744560, 592052, 592053]</t>
  </si>
  <si>
    <t>[0.027, 0.023, 0.058, 0.03, 0.03, 0.045, 0.07, 0.088, 0.005, 0.023, 0.066, 0.09, 0.117, 0.126, 0.115, 0.024, 0.007, 0.002, 0.035, 0.06]</t>
  </si>
  <si>
    <t>3544.511900822812</t>
  </si>
  <si>
    <t>4.1716857504538645</t>
  </si>
  <si>
    <t>[0.022, 0.031]</t>
  </si>
  <si>
    <t>LINESTRING (10.216397672890524 59.730502385193745, 10.216282119097391 59.73056293273495, 10.21611696776615 59.73057843969518)</t>
  </si>
  <si>
    <t>[1427101, 1427109]</t>
  </si>
  <si>
    <t>[1300696, 592221]</t>
  </si>
  <si>
    <t>0.026519559286116875</t>
  </si>
  <si>
    <t>[1300689, 1300696]</t>
  </si>
  <si>
    <t>18.82642844479786</t>
  </si>
  <si>
    <t>[-0.005, 0.002, -0.008, -0.003]</t>
  </si>
  <si>
    <t>LINESTRING (11.467190142500817 63.99690410007824, 11.467129305694927 63.99688896166385, 11.465953152364321 63.99660800284559, 11.462178855106272 63.995435400381446, 11.462148362721381 63.99537702048201)</t>
  </si>
  <si>
    <t>[587626, 587634, 587642, 587682]</t>
  </si>
  <si>
    <t>[593026, 593035, 593042, 593078]</t>
  </si>
  <si>
    <t>[592876, 593026, 593035, 593042]</t>
  </si>
  <si>
    <t>[0.005, 0.002, 0.008, 0.003]</t>
  </si>
  <si>
    <t>303.39800660404507</t>
  </si>
  <si>
    <t>[0.026, 0.021]</t>
  </si>
  <si>
    <t>LINESTRING (11.467190142500817 63.99690410007824, 11.467545788011442 63.99665424135514, 11.467584306359932 63.996627677821316)</t>
  </si>
  <si>
    <t>[587800, 587808]</t>
  </si>
  <si>
    <t>[593201, 593207]</t>
  </si>
  <si>
    <t>0.02551721271178906</t>
  </si>
  <si>
    <t>[592876, 593201]</t>
  </si>
  <si>
    <t>36.3531019469632</t>
  </si>
  <si>
    <t>[-0.038, -0.004, 0.005]</t>
  </si>
  <si>
    <t>LINESTRING (11.471041352185386 63.998115353151604, 11.470853632230774 63.99808093902234, 11.4686152071754 63.99734224709017, 11.467190142500817 63.99690410007824)</t>
  </si>
  <si>
    <t>[587474, 587458, 587466]</t>
  </si>
  <si>
    <t>[592869, 592870, 592876]</t>
  </si>
  <si>
    <t>[592884, 592869, 592870]</t>
  </si>
  <si>
    <t>[0.038, 0.004, 0.005]</t>
  </si>
  <si>
    <t>232.28067446796047</t>
  </si>
  <si>
    <t>[0.029, 0.05, 0.01, 0.037, 0.002, -0.075, -0.122, -0.137, -0.105, -0.063, 0.179]</t>
  </si>
  <si>
    <t>15201.0</t>
  </si>
  <si>
    <t>LINESTRING (11.471041352185386 63.998115353151604, 11.471770205882695 63.99838374413244, 11.475534723118868 63.9997649941872, 11.490869983072075 64.00350895151243, 11.491613686057464 64.00369896429628, 11.493948912358485 64.00427861067004, 11.494886523310289 64.00450940941623, 11.494933096505399 64.0045206690849, 11.49514816923114 64.004571775589, 11.497344661712708 64.00513600062325, 11.497603606306672 64.00525495229697, 11.497684844222563 64.00529803498556)</t>
  </si>
  <si>
    <t>[587706, 857128, 857144, 857152, 857160, 857168, 857176, 857184, 857192, 681409, 681426]</t>
  </si>
  <si>
    <t>[593101, 830920, 830932, 830939, 830944, 830948, 830955, 830961, 672409, 672410, 601285]</t>
  </si>
  <si>
    <t>0.0030941365804288373</t>
  </si>
  <si>
    <t>[592884, 593101, 830920, 830932, 830939, 830944, 830948, 830955, 830961, 672409, 672410]</t>
  </si>
  <si>
    <t>[0.029, 0.05, 0.01, 0.037, 0.002, 0.075, 0.122, 0.137, 0.105, 0.063, 0.179]</t>
  </si>
  <si>
    <t>1536.5927289946503</t>
  </si>
  <si>
    <t>[0.015, 0.011, 0.0, 0.006]</t>
  </si>
  <si>
    <t>LINESTRING (11.462148362721381 63.99537702048201, 11.463526002571294 63.995926110146385, 11.463542322745395 63.99593153946218, 11.468918709344425 63.997343868468576, 11.471041352185386 63.998115353151604)</t>
  </si>
  <si>
    <t>[587738, 587746, 587760, 587768]</t>
  </si>
  <si>
    <t>[593128, 593136, 593153, 592884]</t>
  </si>
  <si>
    <t>0.004095159642509692</t>
  </si>
  <si>
    <t>[593078, 593128, 593136, 593153]</t>
  </si>
  <si>
    <t>534.2614559451793</t>
  </si>
  <si>
    <t>[0.211, -0.011]</t>
  </si>
  <si>
    <t>LINESTRING (11.467537310508908 63.996539302248145, 11.467738614149022 63.996524259436406, 11.46775570670601 63.996616542672946)</t>
  </si>
  <si>
    <t>[1398312, 1398320]</t>
  </si>
  <si>
    <t>[592889, 1280487]</t>
  </si>
  <si>
    <t>0.09769025662210337</t>
  </si>
  <si>
    <t>[593063, 592889]</t>
  </si>
  <si>
    <t>[0.211, 0.011]</t>
  </si>
  <si>
    <t>22.194907768146958</t>
  </si>
  <si>
    <t>[0.024, 0.006, 0.011]</t>
  </si>
  <si>
    <t>LINESTRING (11.46364248685445 63.99587408174853, 11.4637655931638 63.99587582564108, 11.467474117021053 63.99653374698279, 11.467537310508908 63.996539302248145)</t>
  </si>
  <si>
    <t>[587674, 587658, 587666]</t>
  </si>
  <si>
    <t>[593055, 593056, 593063]</t>
  </si>
  <si>
    <t>0.006603070508791982</t>
  </si>
  <si>
    <t>[593071, 593055, 593056]</t>
  </si>
  <si>
    <t>206.056267871198</t>
  </si>
  <si>
    <t>11.030837636266632</t>
  </si>
  <si>
    <t>[0.0, 0.008, 0.027]</t>
  </si>
  <si>
    <t>LINESTRING (11.46364248685445 63.99587408174853, 11.469027919902615 63.997290248167545, 11.47115428725289 63.99806351098361, 11.471874335175048 63.99832901880005)</t>
  </si>
  <si>
    <t>[587776, 587784, 587792]</t>
  </si>
  <si>
    <t>[593172, 593181, 593191]</t>
  </si>
  <si>
    <t>0.0047515965186953465</t>
  </si>
  <si>
    <t>[593071, 593172, 593181]</t>
  </si>
  <si>
    <t>488.96545324352087</t>
  </si>
  <si>
    <t>[0.055, 0.009, 0.03, 0.0, -0.086, -0.134, -0.106, -0.065, 0.119]</t>
  </si>
  <si>
    <t>LINESTRING (11.471874335175048 63.99832901880005, 11.47564489007948 63.99970197646465, 11.490944741011027 64.00345012420686, 11.491678862772938 64.00364730805022, 11.493999390448378 64.00423818804278, 11.494986179731859 64.00447970712459, 11.495200850963819 64.00453189096334, 11.497428539940964 64.00508224191498, 11.497761813968008 64.0051530528375, 11.497894349989648 64.00517821018954)</t>
  </si>
  <si>
    <t>[857064, 857080, 857088, 857096, 857104, 857112, 857120, 624624, 624632]</t>
  </si>
  <si>
    <t>[830869, 830883, 830890, 830897, 830903, 830908, 621524, 621525, 601241]</t>
  </si>
  <si>
    <t>0.0014915943565647594</t>
  </si>
  <si>
    <t>[593191, 830869, 830883, 830890, 830897, 830903, 830908, 621524, 621525]</t>
  </si>
  <si>
    <t>[0.055, 0.009, 0.03, 0.0, 0.086, 0.134, 0.106, 0.065, 0.119]</t>
  </si>
  <si>
    <t>1489.5060947959337</t>
  </si>
  <si>
    <t>[0.002, 0.001, 0.007, -0.428]</t>
  </si>
  <si>
    <t>LINESTRING (11.46775570670601 63.996616542672946, 11.467800227292264 63.99663786912787, 11.468924004323995 63.99716571724848, 11.471844376516183 63.99827903692616, 11.471874335175048 63.99832901880005)</t>
  </si>
  <si>
    <t>[1398450, 1398458, 1398466, 1398442]</t>
  </si>
  <si>
    <t>[1280544, 1280548, 1280542, 593191]</t>
  </si>
  <si>
    <t>[1280487, 1280544, 1280548, 1280542]</t>
  </si>
  <si>
    <t>[0.002, 0.001, 0.007, 0.428]</t>
  </si>
  <si>
    <t>278.96836223650007</t>
  </si>
  <si>
    <t>0.262</t>
  </si>
  <si>
    <t>8.975162792391448</t>
  </si>
  <si>
    <t>[0.087, 0.04]</t>
  </si>
  <si>
    <t>LINESTRING (10.286597329003383 60.081863248219115, 10.286491665641718 60.081853944085296, 10.28640612561768 60.08182138808361)</t>
  </si>
  <si>
    <t>[1427743, 1427751]</t>
  </si>
  <si>
    <t>[1301111, 1301117]</t>
  </si>
  <si>
    <t>0.06347355835153647</t>
  </si>
  <si>
    <t>[594543, 1301111]</t>
  </si>
  <si>
    <t>11.962933035877136</t>
  </si>
  <si>
    <t>[-0.006, -0.016, -0.017]</t>
  </si>
  <si>
    <t>LINESTRING (10.286379427616703 60.08627531672462, 10.289651189710211 60.09019731938458, 10.289963667364818 60.0905326710766, 10.29007186531949 60.09064888019309)</t>
  </si>
  <si>
    <t>[1431812, 1431820, 1431828]</t>
  </si>
  <si>
    <t>[1303489, 1303493, 594712]</t>
  </si>
  <si>
    <t>[1303484, 1303489, 1303493]</t>
  </si>
  <si>
    <t>[0.006, 0.016, 0.017]</t>
  </si>
  <si>
    <t>530.6921369844011</t>
  </si>
  <si>
    <t>[0.004, -0.007, -0.017, 0.002]</t>
  </si>
  <si>
    <t>LINESTRING (10.27581109467359 63.281772726373696, 10.275747110342845 63.281809297532035, 10.273218315716175 63.283497205419664, 10.272816888594543 63.28402061565696, 10.272608561896902 63.28417016957422)</t>
  </si>
  <si>
    <t>[674401, 674409, 674417, 1029635]</t>
  </si>
  <si>
    <t>[664484, 664489, 664497, 621046]</t>
  </si>
  <si>
    <t>[595476, 664484, 664489, 664497]</t>
  </si>
  <si>
    <t>[0.004, 0.007, 0.017, 0.002]</t>
  </si>
  <si>
    <t>315.83731559483215</t>
  </si>
  <si>
    <t>[0.013, 0.007, 0.003, 0.004, -0.009]</t>
  </si>
  <si>
    <t>LINESTRING (10.276104198659972 63.28160149750338, 10.27619137402107 63.28169833700208, 10.276158214998311 63.281742200906734, 10.276100264872664 63.281770114469026, 10.276082814903 63.28177566791888, 10.27581109467359 63.281772726373696)</t>
  </si>
  <si>
    <t>[590399, 590418, 590426, 590434, 590377]</t>
  </si>
  <si>
    <t>[595501, 595521, 595531, 595475, 595476]</t>
  </si>
  <si>
    <t>0.0022093546241712734</t>
  </si>
  <si>
    <t>[595493, 595501, 595521, 595531, 595475]</t>
  </si>
  <si>
    <t>[0.013, 0.007, 0.003, 0.004, 0.009]</t>
  </si>
  <si>
    <t>36.798331645867854</t>
  </si>
  <si>
    <t>[0.008, 0.011]</t>
  </si>
  <si>
    <t>LINESTRING (10.275833273937938 63.2815920083928, 10.276067182670674 63.281590788610785, 10.276104198659972 63.28160149750338)</t>
  </si>
  <si>
    <t>[590391, 590392]</t>
  </si>
  <si>
    <t>[595492, 595493]</t>
  </si>
  <si>
    <t>0.008462460090693371</t>
  </si>
  <si>
    <t>[595491, 595492]</t>
  </si>
  <si>
    <t>14.327999732085658</t>
  </si>
  <si>
    <t>[-0.012, -0.01, -0.01, -0.0]</t>
  </si>
  <si>
    <t>LINESTRING (10.275833273937938 63.2815920083928, 10.275742246149928 63.28157459414003, 10.275528990641561 63.28153513124088, 10.274853281864342 63.281343600429565, 10.27464479013787 63.28126292588308)</t>
  </si>
  <si>
    <t>[629402, 629410, 629418, 629426]</t>
  </si>
  <si>
    <t>[625289, 625296, 625301, 595598]</t>
  </si>
  <si>
    <t>[595491, 625289, 625296, 625301]</t>
  </si>
  <si>
    <t>[0.012, 0.01, 0.01, 0.0]</t>
  </si>
  <si>
    <t>70.5289352154392</t>
  </si>
  <si>
    <t>[0.0, 0.021, -0.005, -0.005, -0.005, 0.009]</t>
  </si>
  <si>
    <t>LINESTRING (10.281296369565053 63.27849070010829, 10.281183178832297 63.27859647867006, 10.2801779294978 63.27908677272498, 10.27946899000157 63.2794201683334, 10.277521078084478 63.28037319359971, 10.27613453812438 63.28155399660983, 10.276104198659972 63.28160149750338)</t>
  </si>
  <si>
    <t>[1029659, 1029683, 674425, 674433, 674441, 674449]</t>
  </si>
  <si>
    <t>[983887, 664503, 664504, 664509, 664514, 595493]</t>
  </si>
  <si>
    <t>[982084, 983887, 664503, 664504, 664509, 664514]</t>
  </si>
  <si>
    <t>[0.0, 0.021, 0.005, 0.005, 0.005, 0.009]</t>
  </si>
  <si>
    <t>438.3911701627657</t>
  </si>
  <si>
    <t>[-0.036, 0.014, 0.003, -0.005]</t>
  </si>
  <si>
    <t>LINESTRING (10.272329241151706 63.28427816997222, 10.272302230698058 63.2841806668643, 10.273275562933371 63.28289815740563, 10.27423468971195 63.28139151080273, 10.274264428633549 63.281341112455564)</t>
  </si>
  <si>
    <t>[674924, 674377, 674385, 674393]</t>
  </si>
  <si>
    <t>[664464, 664465, 664472, 595550]</t>
  </si>
  <si>
    <t>0.006470033196513819</t>
  </si>
  <si>
    <t>[623449, 664464, 664465, 664472]</t>
  </si>
  <si>
    <t>[0.036, 0.014, 0.003, 0.005]</t>
  </si>
  <si>
    <t>342.710593247018</t>
  </si>
  <si>
    <t>177.08925751822454</t>
  </si>
  <si>
    <t>665.8486147153114</t>
  </si>
  <si>
    <t>[-0.081, -0.057, -0.085, -0.076, -0.048, 0.0, -0.109, -0.043, 0.06, 0.079, 0.093, 0.104, 0.071, 0.0, 0.028]</t>
  </si>
  <si>
    <t>[0, 0, 0, 0, 0, 0, 1, 1, 1, 1, 0, 0, 0, 0, 0]</t>
  </si>
  <si>
    <t>LINESTRING (10.374494861763505 63.380132231988746, 10.374495111932289 63.38014957738327, 10.374629700710521 63.38108957335617, 10.37560023047646 63.383234492588905, 10.37605618793195 63.38397760153904, 10.381417801125458 63.38983588245385, 10.384528736240497 63.39191277308578, 10.385173802594373 63.392316005325796, 10.388727363587833 63.39450436711906, 10.389253441221587 63.394832232526674, 10.389358047746597 63.39489798527492, 10.39006576919745 63.395345364602406, 10.390370997146473 63.39554949159462, 10.391018865242652 63.39601687152573, 10.391023952760603 63.396020650845266, 10.391959206353187 63.39677961651198)</t>
  </si>
  <si>
    <t>[627247, 627255, 627263, 627271, 627279, 627287, 627295, 627303, 627311, 627319, 627327, 627335, 627343, 627351, 627359]</t>
  </si>
  <si>
    <t>[623604, 623610, 623617, 623627, 623634, 623640, 623648, 623654, 623659, 623666, 623672, 623680, 623685, 623693, 621785]</t>
  </si>
  <si>
    <t>[596812, 623604, 623610, 623617, 623627, 623634, 623640, 623648, 623654, 623659, 623666, 623672, 623680, 623685, 623693]</t>
  </si>
  <si>
    <t>[0.081, 0.057, 0.085, 0.076, 0.048, 0.0, 0.109, 0.043, 0.06, 0.079, 0.093, 0.104, 0.071, 0.0, 0.028]</t>
  </si>
  <si>
    <t>2081.883920810185</t>
  </si>
  <si>
    <t>[-0.058, -0.041]</t>
  </si>
  <si>
    <t>LINESTRING (10.37741946128543 63.374655457962874, 10.377387601112645 63.37468904503985, 10.374494861763505 63.380132231988746)</t>
  </si>
  <si>
    <t>[627231, 627239]</t>
  </si>
  <si>
    <t>[623592, 596812]</t>
  </si>
  <si>
    <t>[622986, 623592]</t>
  </si>
  <si>
    <t>[0.058, 0.041]</t>
  </si>
  <si>
    <t>633.0654653499985</t>
  </si>
  <si>
    <t>21.011250415008348</t>
  </si>
  <si>
    <t>[-0.039, -0.025, 0.015, -0.272]</t>
  </si>
  <si>
    <t>LINESTRING (10.274261519685538 60.12975077905162, 10.274314578438487 60.12972407390356, 10.274711139278411 60.1296644997288, 10.275113622662223 60.12960899481215, 10.2751541696688 60.12961227046945)</t>
  </si>
  <si>
    <t>[592867, 592875, 592883, 1411906]</t>
  </si>
  <si>
    <t>[597088, 597096, 597105, 1291070]</t>
  </si>
  <si>
    <t>[597087, 597088, 597096, 597105]</t>
  </si>
  <si>
    <t>[0.039, 0.025, 0.015, 0.272]</t>
  </si>
  <si>
    <t>53.03135950658215</t>
  </si>
  <si>
    <t>[-0.004, -0.016]</t>
  </si>
  <si>
    <t>LINESTRING (10.274628856598161 60.130499793639075, 10.274671164592295 60.13037123660701, 10.274261519685538 60.12975077905162)</t>
  </si>
  <si>
    <t>[1411951, 592955]</t>
  </si>
  <si>
    <t>[597174, 597087]</t>
  </si>
  <si>
    <t>[1291096, 597174]</t>
  </si>
  <si>
    <t>117.46435899560792</t>
  </si>
  <si>
    <t>[-0.038, -0.041, -0.044, -0.04, -0.035, -0.038, -0.043, -0.062, -0.075, -0.083]</t>
  </si>
  <si>
    <t>LINESTRING (10.255339852925545 60.14701371977753, 10.255278009359403 60.14703661307891, 10.255183783084819 60.14707151217817, 10.254445602627813 60.147349977588135, 10.253761373562446 60.14760478646973, 10.253687278880943 60.14763292383359, 10.253637334767264 60.147651476501174, 10.252589649032204 60.14805944156845, 10.2525276597972 60.148084064413645, 10.252470453191286 60.14810580080793, 10.251825727118426 60.148352556699315)</t>
  </si>
  <si>
    <t>[592987, 592995, 593003, 593011, 593019, 593027, 676076, 593035, 593043, 593051]</t>
  </si>
  <si>
    <t>[597202, 597207, 597213, 597220, 597227, 597231, 597237, 597238, 597246, 597252]</t>
  </si>
  <si>
    <t>[597195, 597202, 597207, 597213, 597220, 597227, 597231, 597237, 597238, 597246]</t>
  </si>
  <si>
    <t>[0.038, 0.041, 0.044, 0.04, 0.035, 0.038, 0.043, 0.062, 0.075, 0.083]</t>
  </si>
  <si>
    <t>248.54086238304177</t>
  </si>
  <si>
    <t>[0.24, -0.048, -0.075]</t>
  </si>
  <si>
    <t>LINESTRING (10.255339852925545 60.14701371977753, 10.255361141885887 60.14697022122899, 10.252519040284238 60.14705869551026, 10.25215351160174 60.14706663279989)</t>
  </si>
  <si>
    <t>[593171, 593179, 593187]</t>
  </si>
  <si>
    <t>[597351, 597358, 597364]</t>
  </si>
  <si>
    <t>[597195, 597351, 597358]</t>
  </si>
  <si>
    <t>[0.24, 0.048, 0.075]</t>
  </si>
  <si>
    <t>262.3130838426866</t>
  </si>
  <si>
    <t>[0.214, -0.002, -0.02]</t>
  </si>
  <si>
    <t>LINESTRING (10.258334075067502 60.145452446230564, 10.258202250977227 60.14557133067852, 10.255939043024433 60.14659991122823, 10.255339852925545 60.14701371977753)</t>
  </si>
  <si>
    <t>[675926, 592971, 592979]</t>
  </si>
  <si>
    <t>[597187, 597188, 597195]</t>
  </si>
  <si>
    <t>0.006689549832135489</t>
  </si>
  <si>
    <t>[665872, 597187, 597188]</t>
  </si>
  <si>
    <t>[0.214, 0.002, 0.02]</t>
  </si>
  <si>
    <t>249.54615499802222</t>
  </si>
  <si>
    <t>[-0.033, -0.026]</t>
  </si>
  <si>
    <t>LINESTRING (10.254709153825432 60.14611457857781, 10.251677131813283 60.14655903319011, 10.250548224534604 60.146513007972)</t>
  </si>
  <si>
    <t>[593067, 593075]</t>
  </si>
  <si>
    <t>[597267, 597274]</t>
  </si>
  <si>
    <t>[597259, 597267]</t>
  </si>
  <si>
    <t>[0.033, 0.026]</t>
  </si>
  <si>
    <t>242.5795656764395</t>
  </si>
  <si>
    <t>[0.021, 0.007, -0.014]</t>
  </si>
  <si>
    <t>LINESTRING (10.254709153825432 60.14611457857781, 10.25476279633479 60.14608538274416, 10.258202891921647 60.145449863184915, 10.258520486241961 60.14536229673448)</t>
  </si>
  <si>
    <t>[593115, 593123, 593131]</t>
  </si>
  <si>
    <t>[597309, 597316, 597321]</t>
  </si>
  <si>
    <t>0.0055344739237908145</t>
  </si>
  <si>
    <t>[597259, 597309, 597316]</t>
  </si>
  <si>
    <t>[0.021, 0.007, 0.014]</t>
  </si>
  <si>
    <t>246.87053006129236</t>
  </si>
  <si>
    <t>[-0.021, -0.026, -0.077, -0.05]</t>
  </si>
  <si>
    <t>LINESTRING (10.249851551868604 60.146951030299746, 10.249873994557985 60.147025404303186, 10.250027569134886 60.147496910456226, 10.250199223675024 60.14803606734571, 10.250489627723123 60.14841394332043)</t>
  </si>
  <si>
    <t>[593083, 593091, 593099, 593107]</t>
  </si>
  <si>
    <t>[597283, 597291, 597297, 597304]</t>
  </si>
  <si>
    <t>[597282, 597283, 597291, 597297]</t>
  </si>
  <si>
    <t>[0.021, 0.026, 0.077, 0.05]</t>
  </si>
  <si>
    <t>168.01131280806516</t>
  </si>
  <si>
    <t>0.183</t>
  </si>
  <si>
    <t>14.433174460129793</t>
  </si>
  <si>
    <t>[0.0, -0.009, -0.005, -0.007, -0.011, -0.013, -0.011, -0.006, 0.002, 0.0, 0.009, 0.039, 0.065, 0.057, 0.051, 0.043, 0.04]</t>
  </si>
  <si>
    <t>[0, 0, 0, 0, 0, 0, 0, 0, 0, 0, 0, 0, 0, 1, 0, 0, 0]</t>
  </si>
  <si>
    <t>LINESTRING (10.269847114844088 60.136694672599816, 10.269847114844088 60.136694672599816, 10.268377179976786 60.13734432391894, 10.268128447469042 60.13744598906775, 10.267023428428772 60.13789405366039, 10.26590533054385 60.1383496914005, 10.265466762493393 60.13853215932668, 10.26398103946574 60.13933387441023, 10.261868372759379 60.14204795842296, 10.261808519650359 60.14213985149505, 10.261590890208522 60.142470903834074, 10.26023035724845 60.144204335141225, 10.259477956380508 60.14480089679315, 10.259381368177648 60.14486700622007, 10.259190773431738 60.14499032285594, 10.258854534015413 60.14519079719416, 10.258752081637898 60.145243896528385, 10.258520486241961 60.14536229673448)</t>
  </si>
  <si>
    <t>[1407378, 1407386, 1407394, 1407402, 1407410, 1407418, 1407426, 1407434, 1407442, 1407450, 1407458, 1407466, 1407474, 1407482, 1407490, 1407498, 1407506]</t>
  </si>
  <si>
    <t>[1287675, 1287685, 1287691, 1287700, 1287708, 1287713, 992068, 991913, 1024414, 1287728, 1287732, 1287741, 1287745, 1287750, 1287756, 1287762, 597321]</t>
  </si>
  <si>
    <t>0.00241885119786474</t>
  </si>
  <si>
    <t>[1287674, 1287675, 1287685, 1287691, 1287700, 1287708, 1287713, 992068, 991913, 1024414, 1287728, 1287732, 1287741, 1287745, 1287750, 1287756, 1287762]</t>
  </si>
  <si>
    <t>[0.0, 0.009, 0.005, 0.007, 0.011, 0.013, 0.011, 0.006, 0.002, 0.0, 0.009, 0.039, 0.065, 0.057, 0.051, 0.043, 0.04]</t>
  </si>
  <si>
    <t>1197.2044139843906</t>
  </si>
  <si>
    <t>[0.101, -0.031, -0.03, -0.1, -0.063, 0.003, -0.025, 0.018, 0.032, 0.055, 0.07, 0.044, -0.012, -0.036, -0.046]</t>
  </si>
  <si>
    <t>[0, 0, 0, 0, 0, 0, 0, 1, 1, 1, 0, 0, 0, 0, 0]</t>
  </si>
  <si>
    <t>LINESTRING (10.25215351160174 60.14706663279989, 10.251569601595929 60.14713732386912, 10.250602664198274 60.147226901953154, 10.250330743316372 60.14724568100958, 10.248208008306744 60.147292826423765, 10.24157979480425 60.14657146738031, 10.239674953668914 60.146081263321165, 10.233350697730362 60.14556804254484, 10.232682830812173 60.14565390026048, 10.231025794624967 60.14599986484796, 10.230284745443663 60.14622852563691, 10.228384501407426 60.14712471987427, 10.224816676785226 60.149188088202564, 10.223706254000161 60.149575640892884, 10.22320741936685 60.149738898760816, 10.223152401537572 60.14975683429197)</t>
  </si>
  <si>
    <t>[1407562, 1407578, 1407586, 1407594, 1407602, 1407610, 1407618, 1407626, 1407627, 1407634, 1407642, 1407650, 1407658, 1716805, 1716813]</t>
  </si>
  <si>
    <t>[1287814, 1287831, 1287837, 1287843, 1287851, 1287855, 1287860, 1287867, 1287868, 1287875, 1287880, 1287888, 1287893, 1530695, 1530672]</t>
  </si>
  <si>
    <t>[597364, 1287814, 1287831, 1287837, 1287843, 1287851, 1287855, 1287860, 1287867, 1287868, 1287875, 1287880, 1287888, 1287893, 1530695]</t>
  </si>
  <si>
    <t>[0.101, 0.031, 0.03, 0.1, 0.063, 0.003, 0.025, 0.018, 0.032, 0.055, 0.07, 0.044, 0.012, 0.036, 0.046]</t>
  </si>
  <si>
    <t>1834.277379641681</t>
  </si>
  <si>
    <t>[-0.048, -0.038, -0.022, -0.257]</t>
  </si>
  <si>
    <t>LINESTRING (10.253506560345755 60.14685912740735, 10.253118932375125 60.146926538040574, 10.252513564113242 60.147017806957976, 10.252501219395446 60.14701959428193, 10.25215351160174 60.14706663279989)</t>
  </si>
  <si>
    <t>[1407530, 1407538, 1407546, 1407554]</t>
  </si>
  <si>
    <t>[1287789, 1287796, 1287801, 597364]</t>
  </si>
  <si>
    <t>[1287788, 1287789, 1287796, 1287801]</t>
  </si>
  <si>
    <t>[0.048, 0.038, 0.022, 0.257]</t>
  </si>
  <si>
    <t>78.70306182332017</t>
  </si>
  <si>
    <t>70.68021670880736</t>
  </si>
  <si>
    <t>[-0.035, -0.023, -0.03]</t>
  </si>
  <si>
    <t>LINESTRING (10.219180330294929 60.17348584076155, 10.219091078603151 60.17348800238376, 10.218876431331 60.17358826248433, 10.218876755795211 60.173611570952964)</t>
  </si>
  <si>
    <t>[593443, 593451, 1412558]</t>
  </si>
  <si>
    <t>[597528, 597533, 634091]</t>
  </si>
  <si>
    <t>[597416, 597528, 597533]</t>
  </si>
  <si>
    <t>[0.035, 0.023, 0.03]</t>
  </si>
  <si>
    <t>26.838084544512913</t>
  </si>
  <si>
    <t>[0.023, 0.029]</t>
  </si>
  <si>
    <t>LINESTRING (10.216521477818574 60.17186746808338, 10.217060512688148 60.17222258103867, 10.219180330294929 60.17348584076155)</t>
  </si>
  <si>
    <t>[1412246, 593259]</t>
  </si>
  <si>
    <t>[597415, 597416]</t>
  </si>
  <si>
    <t>0.027735194273937724</t>
  </si>
  <si>
    <t>[634066, 597415]</t>
  </si>
  <si>
    <t>236.9666474482394</t>
  </si>
  <si>
    <t>[0.071, -0.022]</t>
  </si>
  <si>
    <t>LINESTRING (10.220343411587333 60.173743350907785, 10.22104430129134 60.17402631847487, 10.221061755919509 60.174055121089225)</t>
  </si>
  <si>
    <t>[1412286, 1412294]</t>
  </si>
  <si>
    <t>[1291294, 452988]</t>
  </si>
  <si>
    <t>0.06534602146083368</t>
  </si>
  <si>
    <t>[597421, 1291294]</t>
  </si>
  <si>
    <t>[0.071, 0.022]</t>
  </si>
  <si>
    <t>55.16296776125373</t>
  </si>
  <si>
    <t>[-0.007, 0.015]</t>
  </si>
  <si>
    <t>LINESTRING (10.220343411587333 60.173743350907785, 10.220774972978775 60.174062433249055, 10.220786581413876 60.17409096168544)</t>
  </si>
  <si>
    <t>[1593031, 1593039]</t>
  </si>
  <si>
    <t>[1432262, 453008]</t>
  </si>
  <si>
    <t>[597421, 1432262]</t>
  </si>
  <si>
    <t>[0.007, 0.015]</t>
  </si>
  <si>
    <t>47.34478608284146</t>
  </si>
  <si>
    <t>76.57230791070536</t>
  </si>
  <si>
    <t>[0.011, -0.001, 0.002]</t>
  </si>
  <si>
    <t>LINESTRING (10.219667690506112 60.17503490633419, 10.219797277707615 60.17500029137228, 10.218532228478926 60.173478998069726, 10.218063708114954 60.17310087816643)</t>
  </si>
  <si>
    <t>[593395, 593403, 1412494]</t>
  </si>
  <si>
    <t>[597501, 597504, 1291443]</t>
  </si>
  <si>
    <t>[597465, 597501, 597504]</t>
  </si>
  <si>
    <t>[0.011, 0.001, 0.002]</t>
  </si>
  <si>
    <t>269.6777253510427</t>
  </si>
  <si>
    <t>[0.013, 0.007]</t>
  </si>
  <si>
    <t>LINESTRING (10.222638876575633 60.17587746441773, 10.221943172454083 60.17557451849373, 10.219667690506112 60.17503490633419)</t>
  </si>
  <si>
    <t>[1412358, 593339]</t>
  </si>
  <si>
    <t>[597464, 597465]</t>
  </si>
  <si>
    <t>0.008505458112336403</t>
  </si>
  <si>
    <t>[1291336, 597464]</t>
  </si>
  <si>
    <t>204.91883620219159</t>
  </si>
  <si>
    <t>[0.096, -0.011]</t>
  </si>
  <si>
    <t>LINESTRING (10.218529956611425 60.17472941142482, 10.218234014096096 60.17445535993142, 10.218205501674543 60.17442402530935)</t>
  </si>
  <si>
    <t>[1412478, 1412486]</t>
  </si>
  <si>
    <t>[1291432, 453052]</t>
  </si>
  <si>
    <t>0.08544462806763312</t>
  </si>
  <si>
    <t>[597468, 1291432]</t>
  </si>
  <si>
    <t>[0.096, 0.011]</t>
  </si>
  <si>
    <t>38.87435554837765</t>
  </si>
  <si>
    <t>[0.077, -0.02]</t>
  </si>
  <si>
    <t>LINESTRING (10.218529956611425 60.17472941142482, 10.218452352233923 60.17442513336067, 10.218442017614265 60.17439134374479)</t>
  </si>
  <si>
    <t>[1593047, 1593055]</t>
  </si>
  <si>
    <t>[1432274, 453036]</t>
  </si>
  <si>
    <t>0.06732369291159941</t>
  </si>
  <si>
    <t>[597468, 1432274]</t>
  </si>
  <si>
    <t>[0.077, 0.02]</t>
  </si>
  <si>
    <t>38.19217148043626</t>
  </si>
  <si>
    <t>27.452336028019108</t>
  </si>
  <si>
    <t>[0.069, 0.071]</t>
  </si>
  <si>
    <t>LINESTRING (15.401194510610619 67.2591764880202, 15.401257927170745 67.2592259353185, 15.40124899990719 67.25928830124566)</t>
  </si>
  <si>
    <t>[594191, 594205]</t>
  </si>
  <si>
    <t>[598112, 598071]</t>
  </si>
  <si>
    <t>0.07006170175978296</t>
  </si>
  <si>
    <t>[598097, 598112]</t>
  </si>
  <si>
    <t>13.117223153438776</t>
  </si>
  <si>
    <t>[0.024, 0.049]</t>
  </si>
  <si>
    <t>LINESTRING (15.401967296469245 67.25916222086268, 15.40133411090189 67.25926111480426, 15.40124899990719 67.25928830124566)</t>
  </si>
  <si>
    <t>[594305, 594306]</t>
  </si>
  <si>
    <t>[598222, 598071]</t>
  </si>
  <si>
    <t>0.027478495589386455</t>
  </si>
  <si>
    <t>[598221, 598222]</t>
  </si>
  <si>
    <t>34.21617756953352</t>
  </si>
  <si>
    <t>[-0.07, -0.078]</t>
  </si>
  <si>
    <t>LINESTRING (15.400730241979668 67.25931946802392, 15.400672210300012 67.25925924271603, 15.400696339753482 67.25920482245324)</t>
  </si>
  <si>
    <t>[594138, 594140]</t>
  </si>
  <si>
    <t>[598073, 598075]</t>
  </si>
  <si>
    <t>[598072, 598073]</t>
  </si>
  <si>
    <t>[0.07, 0.078]</t>
  </si>
  <si>
    <t>13.320993016820594</t>
  </si>
  <si>
    <t>[-0.034, -0.01]</t>
  </si>
  <si>
    <t>LINESTRING (15.400730241979668 67.25931946802392, 15.40061215896599 67.25930176828777, 15.399909558065817 67.25927531730214)</t>
  </si>
  <si>
    <t>[594363, 594364]</t>
  </si>
  <si>
    <t>[598269, 598270]</t>
  </si>
  <si>
    <t>[598072, 598269]</t>
  </si>
  <si>
    <t>[0.034, 0.01]</t>
  </si>
  <si>
    <t>35.91439127620938</t>
  </si>
  <si>
    <t>[-0.047, -0.021, 0.004, 0.056]</t>
  </si>
  <si>
    <t>LINESTRING (15.400696339753482 67.25920482245324, 15.400791081204677 67.25915874771444, 15.400932357698634 67.25913686623856, 15.401078526189243 67.25914421560897, 15.401194510610619 67.2591764880202)</t>
  </si>
  <si>
    <t>[594141, 594151, 594166, 594174]</t>
  </si>
  <si>
    <t>[598076, 598082, 598090, 598097]</t>
  </si>
  <si>
    <t>[598075, 598076, 598082, 598090]</t>
  </si>
  <si>
    <t>[0.047, 0.021, 0.004, 0.056]</t>
  </si>
  <si>
    <t>25.649488094806685</t>
  </si>
  <si>
    <t>[0.035, 0.011]</t>
  </si>
  <si>
    <t>LINESTRING (15.400696339753482 67.25920482245324, 15.400607605659678 67.25922050869632, 15.399909558065817 67.25927531730214)</t>
  </si>
  <si>
    <t>[594404, 594412]</t>
  </si>
  <si>
    <t>[598305, 598270]</t>
  </si>
  <si>
    <t>0.013891147619403799</t>
  </si>
  <si>
    <t>[598075, 598305]</t>
  </si>
  <si>
    <t>34.93425167908169</t>
  </si>
  <si>
    <t>LINESTRING (15.401967296469245 67.25916222086268, 15.401295314968799 67.25918121460576, 15.401194510610619 67.2591764880202)</t>
  </si>
  <si>
    <t>[594333, 594355]</t>
  </si>
  <si>
    <t>[598243, 598097]</t>
  </si>
  <si>
    <t>0.0012160343836909982</t>
  </si>
  <si>
    <t>[598221, 598243]</t>
  </si>
  <si>
    <t>33.52419348377618</t>
  </si>
  <si>
    <t>[-0.007, -0.006, -0.006, -0.007, 0.02, 0.021, 0.02, 0.033, 0.043, -0.005, -0.025, -0.026, -0.044, -0.049, -0.024, -0.025, 0.026, -0.004, -0.012, -0.017, -0.015, -0.019, -0.014, -0.032, 0.004, 0.025, 0.033, 0.046, 0.01, -0.01, -0.024, -0.035, -0.013, -0.012, -0.006, 0.014, 0.013, 0.002, -0.0, -0.003, -0.006, -0.013, -0.02, -0.008, 0.0, 0.015, 0.001]</t>
  </si>
  <si>
    <t>[0, 0, 1, 0, 0, 0, 0, 0, 0, 0, 0, 0, 0, 0, 0, 0, 0, 0, 0, 0, 0, 0, 0, 0, 0, 0, 0, 0, 0, 0, 0, 0, 0, 0, 0, 0, 0, 0, 0, 0, 0, 0, 0, 0, 0, 0, 0]</t>
  </si>
  <si>
    <t>LINESTRING (15.426554780517543 67.24766129146148, 15.426645895748958 67.24788377376423, 15.426662078351322 67.24792347830663, 15.426897921312005 67.24849569685345, 15.429059743497971 67.2512375281381, 15.430197904384983 67.25220524232931, 15.43043263741684 67.25239376151427, 15.431690432561036 67.25305828790698, 15.431954563412166 67.2531598212127, 15.43275679731322 67.25437107764574, 15.432250946015904 67.25476142121452, 15.43212795561801 67.25483312033029, 15.432016881690197 67.25489857980818, 15.431253453297808 67.25531620122496, 15.429457338530739 67.2563188311869, 15.429317834474423 67.25640126490978, 15.429272468352183 67.25642958894537, 15.43278404540619 67.25913498624222, 15.432818349661428 67.25920423441347, 15.43290185893704 67.25942221252691, 15.43292061333897 67.25948786064947, 15.433124384728005 67.26017486884203, 15.433134584803257 67.26020958340831, 15.432387336439023 67.26146666300305, 15.42892938954642 67.26128079759597, 15.42667400069293 67.26135772635281, 15.42658314943292 67.2613685796488, 15.425713329286229 67.26150474341813, 15.423452008664178 67.26206131244243, 15.421510907618607 67.26218930433994, 15.421071229306955 67.26216810394966, 15.420088467500861 67.26205918613576, 15.42002947730604 67.26205075587127, 15.416154678781824 67.26148943655676, 15.416102706643535 67.26148179399294, 15.413949593630887 67.26116281361895, 15.411666229844384 67.2607954745599, 15.410739169853487 67.26062464114867, 15.410686133465388 67.26061420082416, 15.409162127253833 67.26030753079277, 15.409114339628294 67.26029756097194, 15.405955046421939 67.25960269387848, 15.405473411478447 67.2594955765846, 15.404339228866366 67.25927831465062, 15.403146440518292 67.25916613552558, 15.402905046725074 67.25915780707788, 15.402375576666062 67.25914977892047, 15.401967296469245 67.25916222086268)</t>
  </si>
  <si>
    <t>[1431771, 1431779, 1431787, 1431795, 478613, 478621, 478629, 478637, 478645, 478653, 478661, 478669, 478677, 478685, 478693, 478701, 478709, 478717, 478725, 478733, 478741, 478749, 478757, 478765, 478773, 478781, 478789, 478797, 478805, 478813, 478821, 478829, 478837, 478845, 478853, 478861, 478869, 478877, 478885, 478893, 478901, 478909, 478917, 478925, 478933, 594314, 594325]</t>
  </si>
  <si>
    <t>[1303460, 1303465, 1303469, 411030, 477376, 405720, 477391, 411092, 477407, 477416, 477426, 477432, 477441, 477450, 477458, 435889, 405429, 477485, 435942, 477504, 477512, 477524, 435591, 411250, 477550, 435528, 477565, 435461, 411329, 477592, 477599, 477608, 477619, 477629, 434325, 477648, 477656, 477667, 411358, 477685, 477695, 477706, 477717, 436093, 477737, 598226, 598221]</t>
  </si>
  <si>
    <t>0.0008799276917589108</t>
  </si>
  <si>
    <t>[1303459, 1303460, 1303465, 1303469, 411030, 477376, 405720, 477391, 411092, 477407, 477416, 477426, 477432, 477441, 477450, 477458, 435889, 405429, 477485, 435942, 477504, 477512, 477524, 435591, 411250, 477550, 435528, 477565, 435461, 411329, 477592, 477599, 477608, 477619, 477629, 434325, 477648, 477656, 477667, 411358, 477685, 477695, 477706, 477717, 436093, 477737, 598226]</t>
  </si>
  <si>
    <t>[0.007, 0.006, 0.006, 0.007, 0.02, 0.021, 0.02, 0.033, 0.043, 0.005, 0.025, 0.026, 0.044, 0.049, 0.024, 0.025, 0.026, 0.004, 0.012, 0.017, 0.015, 0.019, 0.014, 0.032, 0.004, 0.025, 0.033, 0.046, 0.01, 0.01, 0.024, 0.035, 0.013, 0.012, 0.006, 0.014, 0.013, 0.002, 0.0, 0.003, 0.006, 0.013, 0.02, 0.008, 0.0, 0.015, 0.001]</t>
  </si>
  <si>
    <t>3149.364443566438</t>
  </si>
  <si>
    <t>[-0.007, -0.006, 0.007, 0.009]</t>
  </si>
  <si>
    <t>LINESTRING (15.399909558065817 67.25927531730214, 15.398321461062594 67.25925633715391, 15.396602542022627 67.2591454857139, 15.394948031775918 67.25903848513138, 15.393094467972466 67.25891826635404)</t>
  </si>
  <si>
    <t>[594372, 594380, 594388, 594396]</t>
  </si>
  <si>
    <t>[598190, 598282, 598290, 598298]</t>
  </si>
  <si>
    <t>0.0010247990194697442</t>
  </si>
  <si>
    <t>[598270, 598190, 598282, 598290]</t>
  </si>
  <si>
    <t>[0.007, 0.006, 0.007, 0.009]</t>
  </si>
  <si>
    <t>297.25938983451084</t>
  </si>
  <si>
    <t>50.46912934591554</t>
  </si>
  <si>
    <t>[0.032, 0.033, -0.007, -0.024, 0.013, 0.001, -0.006, 0.002, -0.023, 0.014, 0.05, 0.026, -0.001, -0.022]</t>
  </si>
  <si>
    <t>LINESTRING (11.417151883585284 63.96890379627875, 11.417222637685622 63.96889590477223, 11.417509289438275 63.968901580697604, 11.417649350762265 63.96951233007194, 11.417820275238835 63.96979019812751, 11.418773098899297 63.97113895943962, 11.42387002897401 63.97553667889792, 11.424338549711237 63.97603015639429, 11.425267252429505 63.97682090549282, 11.425796895127704 63.978070995008665, 11.429102032085257 63.98124061425248, 11.4315954137124 63.98191980330764, 11.433276582662009 63.982496028632, 11.434379694755624 63.98292298536204, 11.435623378458805 63.98340901374159)</t>
  </si>
  <si>
    <t>[857440, 857448, 857456, 857464, 635146, 596386, 857408, 587506, 587514, 587562, 596394, 596402, 596410, 596418]</t>
  </si>
  <si>
    <t>[831156, 831164, 560007, 630269, 599974, 599975, 592908, 592909, 592916, 592965, 559771, 559752, 592979, 497797]</t>
  </si>
  <si>
    <t>0.006264428707969695</t>
  </si>
  <si>
    <t>[831001, 831156, 831164, 560007, 630269, 599974, 599975, 592908, 592909, 592916, 592965, 559771, 559752, 592979]</t>
  </si>
  <si>
    <t>[0.032, 0.033, 0.007, 0.024, 0.013, 0.001, 0.006, 0.002, 0.023, 0.014, 0.05, 0.026, 0.001, 0.022]</t>
  </si>
  <si>
    <t>1932.6785676797774</t>
  </si>
  <si>
    <t>[-0.008, -0.017]</t>
  </si>
  <si>
    <t>LINESTRING (11.495371312753292 64.01105121361178, 11.492628703538964 64.01292137268969, 11.492050410266508 64.01316069877163)</t>
  </si>
  <si>
    <t>[596546, 596554]</t>
  </si>
  <si>
    <t>[600106, 600113]</t>
  </si>
  <si>
    <t>[600105, 600106]</t>
  </si>
  <si>
    <t>[0.008, 0.017]</t>
  </si>
  <si>
    <t>286.9156153737796</t>
  </si>
  <si>
    <t>[-0.119, -0.001]</t>
  </si>
  <si>
    <t>LINESTRING (11.495897268886269 64.01081798776325, 11.495799335058072 64.01085565687605, 11.495371312753292 64.01105121361178)</t>
  </si>
  <si>
    <t>[624688, 624696]</t>
  </si>
  <si>
    <t>[621570, 600105]</t>
  </si>
  <si>
    <t>[601308, 621570]</t>
  </si>
  <si>
    <t>[0.119, 0.001]</t>
  </si>
  <si>
    <t>36.738487929966084</t>
  </si>
  <si>
    <t>[-0.112, 0.007]</t>
  </si>
  <si>
    <t>LINESTRING (11.4956374808431 64.01075061974312, 11.49558667259047 64.01079833042148, 11.495371312753292 64.01105121361178)</t>
  </si>
  <si>
    <t>[681475, 681483]</t>
  </si>
  <si>
    <t>[672476, 600105]</t>
  </si>
  <si>
    <t>[601321, 672476]</t>
  </si>
  <si>
    <t>[0.112, 0.007]</t>
  </si>
  <si>
    <t>36.175499911508304</t>
  </si>
  <si>
    <t>[-0.015, 0.131]</t>
  </si>
  <si>
    <t>LINESTRING (11.492050410266508 64.01316069877163, 11.491562727553385 64.01339607729697, 11.491480660396675 64.01345778329505)</t>
  </si>
  <si>
    <t>[624704, 624713]</t>
  </si>
  <si>
    <t>[621581, 601371]</t>
  </si>
  <si>
    <t>0.011738000149130184</t>
  </si>
  <si>
    <t>[600113, 621581]</t>
  </si>
  <si>
    <t>[0.015, 0.131]</t>
  </si>
  <si>
    <t>43.48597872288176</t>
  </si>
  <si>
    <t>[-0.018, 0.133]</t>
  </si>
  <si>
    <t>LINESTRING (11.492050410266508 64.01316069877163, 11.491394568609879 64.01332705413833, 11.491259617487692 64.01335900074227)</t>
  </si>
  <si>
    <t>[681491, 681499]</t>
  </si>
  <si>
    <t>[672492, 601432]</t>
  </si>
  <si>
    <t>0.00741942239586333</t>
  </si>
  <si>
    <t>[600113, 672492]</t>
  </si>
  <si>
    <t>[0.018, 0.133]</t>
  </si>
  <si>
    <t>44.54929787695686</t>
  </si>
  <si>
    <t>130.3208948596228</t>
  </si>
  <si>
    <t>[0.181, -0.009]</t>
  </si>
  <si>
    <t>LINESTRING (11.489728776120948 64.01600741157138, 11.489715399600994 64.01605859553975, 11.489640590483043 64.01631793535515)</t>
  </si>
  <si>
    <t>[624777, 624785]</t>
  </si>
  <si>
    <t>[621648, 600118]</t>
  </si>
  <si>
    <t>0.02212596904749958</t>
  </si>
  <si>
    <t>[601474, 621648]</t>
  </si>
  <si>
    <t>[0.181, 0.009]</t>
  </si>
  <si>
    <t>35.056664792527464</t>
  </si>
  <si>
    <t>[0.166, -0.008]</t>
  </si>
  <si>
    <t>LINESTRING (11.48949645994488 64.01599819789264, 11.489506330731286 64.01605294502608, 11.489640590483043 64.01631793535515)</t>
  </si>
  <si>
    <t>[681539, 681540]</t>
  </si>
  <si>
    <t>[672545, 600118]</t>
  </si>
  <si>
    <t>0.02106475695076845</t>
  </si>
  <si>
    <t>[601485, 672545]</t>
  </si>
  <si>
    <t>[0.166, 0.008]</t>
  </si>
  <si>
    <t>36.64953879999306</t>
  </si>
  <si>
    <t>[0.02, 0.021, 0.02]</t>
  </si>
  <si>
    <t>LINESTRING (11.489791887792153 64.01748512837527, 11.490260541935317 64.01817343765778, 11.490776367589808 64.01868916348135, 11.490860784957825 64.01874987280685)</t>
  </si>
  <si>
    <t>[624793, 624801, 624809]</t>
  </si>
  <si>
    <t>[621660, 621670, 621677]</t>
  </si>
  <si>
    <t>0.02041661269861442</t>
  </si>
  <si>
    <t>[600119, 621660, 621670]</t>
  </si>
  <si>
    <t>150.92398203344177</t>
  </si>
  <si>
    <t>[0.02, 0.022, 0.258]</t>
  </si>
  <si>
    <t>16226.0</t>
  </si>
  <si>
    <t>LINESTRING (11.489791887792153 64.01748512837527, 11.490127524419758 64.01818442490486, 11.490519630453285 64.0187067098185, 11.490537164716626 64.01878247693786)</t>
  </si>
  <si>
    <t>[681547, 681555, 681556]</t>
  </si>
  <si>
    <t>[672552, 672562, 634258]</t>
  </si>
  <si>
    <t>0.03427212865664217</t>
  </si>
  <si>
    <t>[600119, 672552, 672562]</t>
  </si>
  <si>
    <t>150.1731479160958</t>
  </si>
  <si>
    <t>126.84782261029034</t>
  </si>
  <si>
    <t>[0.026, 0.025]</t>
  </si>
  <si>
    <t>LINESTRING (11.490969909390714 64.01897352736125, 11.490973852241792 64.01904010716162, 11.491043064950311 64.01931635250388)</t>
  </si>
  <si>
    <t>[624817, 624825]</t>
  </si>
  <si>
    <t>[621684, 600127]</t>
  </si>
  <si>
    <t>0.025192127125403786</t>
  </si>
  <si>
    <t>[621683, 621684]</t>
  </si>
  <si>
    <t>38.6429836226827</t>
  </si>
  <si>
    <t>LINESTRING (11.490695070328874 64.01900910826147, 11.490752740447123 64.01906377123007, 11.491043064950311 64.01931635250388)</t>
  </si>
  <si>
    <t>[681566, 681574]</t>
  </si>
  <si>
    <t>[672570, 600127]</t>
  </si>
  <si>
    <t>0.022476013598446015</t>
  </si>
  <si>
    <t>[634220, 672570]</t>
  </si>
  <si>
    <t>38.44165393094793</t>
  </si>
  <si>
    <t>[0.041, 0.03, 0.04, 0.047, 0.036, 0.042]</t>
  </si>
  <si>
    <t>LINESTRING (11.491355709177665 64.0204347317793, 11.491209862702513 64.02082921397256, 11.491193176249167 64.02085441604535, 11.491171012776855 64.02089386071499, 11.491157129008165 64.02091957976403, 11.491126985031844 64.02097493150202, 11.491085850882335 64.02104992691996)</t>
  </si>
  <si>
    <t>[624833, 624841, 624849, 624857, 624865, 624873]</t>
  </si>
  <si>
    <t>[621701, 621708, 621716, 621725, 621733, 621744]</t>
  </si>
  <si>
    <t>0.04039890450842998</t>
  </si>
  <si>
    <t>[600128, 621701, 621708, 621716, 621725, 621733]</t>
  </si>
  <si>
    <t>70.12415238640575</t>
  </si>
  <si>
    <t>[0.038, 0.033, 0.027, 0.419]</t>
  </si>
  <si>
    <t>LINESTRING (11.491355709177665 64.0204347317793, 11.49105690938797 64.02080754723136, 11.490979708196479 64.02086767292703, 11.490889457236802 64.02092406000992, 11.490761080909541 64.02097738690829)</t>
  </si>
  <si>
    <t>[681580, 681588, 681596, 681604]</t>
  </si>
  <si>
    <t>[672586, 672594, 672601, 634328]</t>
  </si>
  <si>
    <t>0.08452862154530791</t>
  </si>
  <si>
    <t>[600128, 672586, 672594, 672601]</t>
  </si>
  <si>
    <t>68.14671583795082</t>
  </si>
  <si>
    <t>[-0.001, 0.004, 0.003, 0.002, 0.007]</t>
  </si>
  <si>
    <t>LINESTRING (9.709028173789296 62.59736968886913, 9.709555339277285 62.59749405845304, 9.710167385393774 62.59758782737025, 9.71024004819746 62.597597904539704, 9.710394879665849 62.59761861683318, 9.71147156953128 62.59770727066027)</t>
  </si>
  <si>
    <t>[1853624, 1853634, 1853649, 1853657, 1853665]</t>
  </si>
  <si>
    <t>[1623251, 1623263, 1623277, 1623221, 600419]</t>
  </si>
  <si>
    <t>0.003969059261886184</t>
  </si>
  <si>
    <t>[600412, 1623251, 1623263, 1623277, 1623221]</t>
  </si>
  <si>
    <t>[0.001, 0.004, 0.003, 0.002, 0.007]</t>
  </si>
  <si>
    <t>132.51132364435836</t>
  </si>
  <si>
    <t>[-0.007, 0.002, 0.003, 0.002, 0.01]</t>
  </si>
  <si>
    <t>LINESTRING (9.709028173789296 62.59736968886913, 9.709513515933924 62.5974156132057, 9.709611671678301 62.59742866319524, 9.710222097196933 62.597511698929964, 9.71037767225516 62.597533384211175, 9.71147156953128 62.59770727066027)</t>
  </si>
  <si>
    <t>[1853673, 1853681, 1853691, 1853692, 1853699]</t>
  </si>
  <si>
    <t>[1623310, 1623319, 1623328, 1623220, 600419]</t>
  </si>
  <si>
    <t>0.004129635642201813</t>
  </si>
  <si>
    <t>[600412, 1623310, 1623319, 1623328, 1623220]</t>
  </si>
  <si>
    <t>[0.007, 0.002, 0.003, 0.002, 0.01]</t>
  </si>
  <si>
    <t>131.56205784114206</t>
  </si>
  <si>
    <t>[0.015, 0.0, 0.013, 0.015, 0.011, 0.006]</t>
  </si>
  <si>
    <t>5234.0</t>
  </si>
  <si>
    <t>LINESTRING (9.70011955983491 62.59557217709809, 9.701291070453252 62.59598856670831, 9.70188048047622 62.59613652842675, 9.703892423015425 62.59653054334416, 9.705148937518459 62.59676892066227, 9.70768013995448 62.597191512845, 9.709028173789296 62.59736968886913)</t>
  </si>
  <si>
    <t>[2133093, 2133101, 596932, 596940, 596948, 596956]</t>
  </si>
  <si>
    <t>[1834711, 600394, 492880, 495518, 600405, 600412]</t>
  </si>
  <si>
    <t>0.011136197850678478</t>
  </si>
  <si>
    <t>[1834710, 1834711, 600394, 492880, 495518, 600405]</t>
  </si>
  <si>
    <t>503.3727231367561</t>
  </si>
  <si>
    <t>[0.763, 0.051, -0.038]</t>
  </si>
  <si>
    <t>LINESTRING (11.208094055537327 60.346633166011664, 11.207800114910365 60.34602852718963, 11.20691113605209 60.34461651744988, 11.196768550721812 60.33731976936083)</t>
  </si>
  <si>
    <t>[1747619, 597021, 597029]</t>
  </si>
  <si>
    <t>[600463, 600464, 600471]</t>
  </si>
  <si>
    <t>[1547278, 600463, 600464]</t>
  </si>
  <si>
    <t>[0.763, 0.051, 0.038]</t>
  </si>
  <si>
    <t>1178.9671764028997</t>
  </si>
  <si>
    <t>[0.022, 0.026, 0.008, -0.149]</t>
  </si>
  <si>
    <t>LINESTRING (10.264154929189669 59.754318089491086, 10.26413200624888 59.75433843539851, 10.26404453973601 59.754376706751344, 10.2639114139689 59.75439364862921, 10.263738599532624 59.75435936202765)</t>
  </si>
  <si>
    <t>[1392983, 1392991, 1392999, 1393007]</t>
  </si>
  <si>
    <t>[1277099, 1277103, 1064298, 600588]</t>
  </si>
  <si>
    <t>[1277098, 1277099, 1277103, 1064298]</t>
  </si>
  <si>
    <t>[0.022, 0.026, 0.008, 0.149]</t>
  </si>
  <si>
    <t>27.284317937059903</t>
  </si>
  <si>
    <t>0.269</t>
  </si>
  <si>
    <t>3.7889312480288453</t>
  </si>
  <si>
    <t>[-0.042, 0.09]</t>
  </si>
  <si>
    <t>LINESTRING (10.256892291434829 59.76822391669085, 10.256984391559907 59.768201674449934, 10.257096423197014 59.76821022240482)</t>
  </si>
  <si>
    <t>[1393344, 1393345]</t>
  </si>
  <si>
    <t>[1277271, 600684]</t>
  </si>
  <si>
    <t>0.02742913567455258</t>
  </si>
  <si>
    <t>[1277270, 1277271]</t>
  </si>
  <si>
    <t>[0.042, 0.09]</t>
  </si>
  <si>
    <t>12.11010913350831</t>
  </si>
  <si>
    <t>[-0.008, -0.008, -0.008, -0.006]</t>
  </si>
  <si>
    <t>16731.0</t>
  </si>
  <si>
    <t>LINESTRING (10.912614209794919 63.45148118787348, 10.913337209555442 63.45148119759219, 10.9142412470097 63.45147919042222, 10.914505288651277 63.451478867505415, 10.915020507327963 63.45147900289022)</t>
  </si>
  <si>
    <t>[597476, 597484, 597492, 597500]</t>
  </si>
  <si>
    <t>[600830, 600836, 600841, 600846]</t>
  </si>
  <si>
    <t>[600786, 600830, 600836, 600841]</t>
  </si>
  <si>
    <t>[0.008, 0.008, 0.008, 0.006]</t>
  </si>
  <si>
    <t>120.06055478164278</t>
  </si>
  <si>
    <t>[0.013, 0.003]</t>
  </si>
  <si>
    <t>LINESTRING (10.911051050219426 63.45148589389355, 10.911712044802915 63.451484137177474, 10.912614209794919 63.45148118787348)</t>
  </si>
  <si>
    <t>[597460, 597468]</t>
  </si>
  <si>
    <t>[600822, 600786]</t>
  </si>
  <si>
    <t>0.00722855852853759</t>
  </si>
  <si>
    <t>[600817, 600822]</t>
  </si>
  <si>
    <t>77.99418389464086</t>
  </si>
  <si>
    <t>[0.027, 0.02, 0.02, 0.015]</t>
  </si>
  <si>
    <t>LINESTRING (10.906384970136884 63.45096288773221, 10.90761636544641 63.45149163514521, 10.908045764567476 63.45149153054694, 10.909088324130613 63.4514899280744, 10.911051050219426 63.45148589389355)</t>
  </si>
  <si>
    <t>[597427, 597436, 597444, 597452]</t>
  </si>
  <si>
    <t>[600796, 600803, 600810, 600817]</t>
  </si>
  <si>
    <t>0.020841190522815366</t>
  </si>
  <si>
    <t>[600792, 600796, 600803, 600810]</t>
  </si>
  <si>
    <t>274.28193461747264</t>
  </si>
  <si>
    <t>[-0.006, -0.007, -0.021]</t>
  </si>
  <si>
    <t>LINESTRING (10.909202114488618 63.45234764935875, 10.909101408874095 63.45229612012952, 10.908031596298152 63.45107922721897, 10.906384970136884 63.45096288773221)</t>
  </si>
  <si>
    <t>[1438313, 1438291, 597419]</t>
  </si>
  <si>
    <t>[1307323, 600791, 600792]</t>
  </si>
  <si>
    <t>[1307339, 1307323, 600791]</t>
  </si>
  <si>
    <t>[0.006, 0.007, 0.021]</t>
  </si>
  <si>
    <t>257.5483763116799</t>
  </si>
  <si>
    <t>[-0.002, -0.001, -0.001, -0.048]</t>
  </si>
  <si>
    <t>LINESTRING (10.915020507327963 63.45147900289022, 10.915139118435576 63.45147394516202, 10.915432278883001 63.45145041801514, 10.915565910408812 63.45143622567425, 10.915721937241704 63.45141906010243)</t>
  </si>
  <si>
    <t>[625482, 625490, 625498, 625506]</t>
  </si>
  <si>
    <t>[622302, 622310, 622318, 601125]</t>
  </si>
  <si>
    <t>[600846, 622302, 622310, 622318]</t>
  </si>
  <si>
    <t>[0.002, 0.001, 0.001, 0.048]</t>
  </si>
  <si>
    <t>35.674201207722284</t>
  </si>
  <si>
    <t>[0.002, -0.0, -0.0, 0.012]</t>
  </si>
  <si>
    <t>LINESTRING (10.915020507327963 63.45147900289022, 10.915134529262108 63.45148639776482, 10.915418198756011 63.45150826054718, 10.915555610521697 63.45151711478266, 10.915702094272666 63.451529949449615)</t>
  </si>
  <si>
    <t>[682287, 682295, 682296, 682310]</t>
  </si>
  <si>
    <t>[673386, 673396, 673397, 601174]</t>
  </si>
  <si>
    <t>0.0029249739471716094</t>
  </si>
  <si>
    <t>[600846, 673386, 673396, 673397]</t>
  </si>
  <si>
    <t>[0.002, 0.0, 0.0, 0.012]</t>
  </si>
  <si>
    <t>34.48426967195141</t>
  </si>
  <si>
    <t>LINESTRING (10.916523172753237 63.45175745766935, 10.916659818606677 63.451841360290814, 10.917266033545316 63.45218136990961)</t>
  </si>
  <si>
    <t>[597508, 597516]</t>
  </si>
  <si>
    <t>[538560, 545211]</t>
  </si>
  <si>
    <t>0.00219269214144756</t>
  </si>
  <si>
    <t>[600853, 538560]</t>
  </si>
  <si>
    <t>60.0675302114942</t>
  </si>
  <si>
    <t>[0.055, 0.004, 0.003]</t>
  </si>
  <si>
    <t>LINESTRING (10.91617792673642 63.45151420463094, 10.916264143735955 63.45154601634602, 10.916434441765897 63.4516882273377, 10.916523172753237 63.45175745766935)</t>
  </si>
  <si>
    <t>[625514, 625522, 625530]</t>
  </si>
  <si>
    <t>[622328, 622333, 600853]</t>
  </si>
  <si>
    <t>0.012485349659849501</t>
  </si>
  <si>
    <t>[601157, 622328, 622333]</t>
  </si>
  <si>
    <t>32.45970562803264</t>
  </si>
  <si>
    <t>[-0.025, -0.003, 0.061]</t>
  </si>
  <si>
    <t>LINESTRING (10.915978709379486 63.45158999004672, 10.916104069413926 63.45162883519461, 10.91638575853992 63.45171272250334, 10.916523172753237 63.45175745766935)</t>
  </si>
  <si>
    <t>[682311, 682319, 682327]</t>
  </si>
  <si>
    <t>[673412, 673424, 600853]</t>
  </si>
  <si>
    <t>0.00838194306176495</t>
  </si>
  <si>
    <t>[601170, 673412, 673424]</t>
  </si>
  <si>
    <t>[0.025, 0.003, 0.061]</t>
  </si>
  <si>
    <t>32.96707917080217</t>
  </si>
  <si>
    <t>[0.066, 0.035, 0.03, 0.025, -0.031]</t>
  </si>
  <si>
    <t>LINESTRING (10.008430790552469 62.8270763732946, 10.008896513589162 62.82760469000967, 10.009250934495281 62.82798596912941, 10.009335991454597 62.82809549689552, 10.009499333465047 62.828324899270655, 10.009750978849944 62.8286039896018)</t>
  </si>
  <si>
    <t>[1333564, 1333572, 1333580, 1333596, 1333604]</t>
  </si>
  <si>
    <t>[1238387, 1238351, 1238370, 1238417, 600928]</t>
  </si>
  <si>
    <t>0.03181997689325122</t>
  </si>
  <si>
    <t>[600925, 1238387, 1238351, 1238370, 1238417]</t>
  </si>
  <si>
    <t>[0.066, 0.035, 0.03, 0.025, 0.031]</t>
  </si>
  <si>
    <t>184.11847665947136</t>
  </si>
  <si>
    <t>[0.076, 0.035, 0.034, 0.028, 0.026, 0.024, -0.036]</t>
  </si>
  <si>
    <t>LINESTRING (10.008430790552469 62.8270763732946, 10.008975637813753 62.827507256157546, 10.009044990065874 62.82757235543853, 10.009386472596114 62.827958130971744, 10.009471773019975 62.828066228024866, 10.009476324963908 62.82807231772632, 10.009632246590705 62.82830348927524, 10.009750978849944 62.8286039896018)</t>
  </si>
  <si>
    <t>[1333612, 1333620, 1333628, 1333636, 1333644, 1333652, 1333660]</t>
  </si>
  <si>
    <t>[1238433, 1238441, 1238357, 1238379, 1238468, 1238475, 600928]</t>
  </si>
  <si>
    <t>0.03184937874960208</t>
  </si>
  <si>
    <t>[600925, 1238433, 1238441, 1238357, 1238379, 1238468, 1238475]</t>
  </si>
  <si>
    <t>[0.076, 0.035, 0.034, 0.028, 0.026, 0.024, 0.036]</t>
  </si>
  <si>
    <t>184.9581052847424</t>
  </si>
  <si>
    <t>[0.111, 0.221, 0.019, -0.002, -0.03, -0.021, 0.049, 0.028, 0.024, -0.009, -0.009, -0.015, -0.051, -0.083, -0.125, 0.006, 0.018, 0.182, 0.024, -0.023, -0.031, -0.004, -0.01, -0.011, -0.017, -0.041, -0.048, -0.055, 0.027, 0.102, 0.091, 0.082, 0.007, -0.018, 0.034, -0.025, -0.022, -0.012, 0.074, -0.009, 0.041, 0.025, -0.031, -0.053, -0.047, -0.026, 0.01, -0.04, -0.007, 0.031, 0.003, -0.006, -0.014, -0.04, -0.056, -0.052, -0.044, -0.029, 0.001, -0.009, 0.024, 0.044]</t>
  </si>
  <si>
    <t>4382.0</t>
  </si>
  <si>
    <t>[0, 0, 0, 0, 1, 0, 0, 0, 0, 0, 0, 0, 0, 0, 0, 0, 0, 0, 0, 0, 0, 0, 0, 0, 0, 0, 0, 0, 0, 0, 1, 0, 0, 0, 0, 0, 0, 0, 0, 0, 0, 0, 0, 0, 0, 0, 0, 0, 0, 0, 0, 0, 0, 0, 0, 0, 0, 0, 0, 0, 0, 0]</t>
  </si>
  <si>
    <t>LINESTRING (9.985968920363396 62.75266202576834, 9.986344498137324 62.75284148906144, 9.987021153150028 62.75311374737645, 9.98858269303757 62.7537419607943, 9.993739151572866 62.75638311161606, 9.993793037827484 62.75644963274608, 9.990478440135334 62.765274425711446, 9.989916781712058 62.7660642379583, 9.988253643461384 62.77470448348142, 9.995984436046035 62.78482856411667, 10.000980448002693 62.78727174358574, 10.001512993514167 62.787547499268115, 10.002354086781342 62.78816290089612, 10.003437743084806 62.790012523935125, 10.003758436302906 62.79062674699355, 10.004219392017427 62.79121495441279, 10.00938886584058 62.793261460384585, 10.009596599495376 62.79328773714773, 10.011325962740374 62.79356241626223, 10.011976417128604 62.7936941448148, 10.02197796341871 62.79680614547944, 10.02321763175969 62.79820751739534, 10.023541072218254 62.79868910719041, 10.025247120489267 62.80005261278737, 10.025512201813306 62.80017588712244, 10.027656412628973 62.80085345799612, 10.030488716382976 62.80211254720841, 10.031043176542607 62.802521569345195, 10.031302211800504 62.80270497575341, 10.032976462708193 62.80347024046119, 10.033500754209093 62.803982717727095, 10.034368725315401 62.80513593587401, 10.034613347435538 62.80552985354339, 10.033792917269473 62.80661238720622, 10.03318451091356 62.80707705023497, 10.032237662108418 62.808388343268255, 10.031870196380838 62.80895418661812, 10.03139636987425 62.810361730519624, 10.032019662359687 62.812780444503254, 10.035249408732648 62.81396738660072, 10.035388603778346 62.814257618314095, 10.035418798318794 62.81457941066462, 10.034790411170032 62.81557902597621, 10.033276625722493 62.81604578166506, 10.0320599088063 62.81606454307537, 10.027376252092218 62.81588978502031, 10.027184152618052 62.815879096950624, 10.020671278278678 62.81713017221259, 10.019720265875725 62.81768687840068, 10.017079261568762 62.819650440746294, 10.016866164568754 62.81982596301209, 10.015589733564482 62.82083791468572, 10.014354815167872 62.82180831459248, 10.014159026338602 62.821953611726066, 10.012640204938291 62.822926154751165, 10.011647124154162 62.823439429616855, 10.010583572372353 62.82397415894466, 10.010403368753924 62.82406361297676, 10.00956197989634 62.82450965233591, 10.008629440795298 62.82511071412231, 10.008250212549884 62.82542107385968, 10.008337503380199 62.82698197953295, 10.008430790552469 62.8270763732946)</t>
  </si>
  <si>
    <t>[1184916, 1184924, 597220, 597228, 597236, 597244, 597252, 597260, 597269, 597277, 597285, 597293, 597301, 597309, 1613967, 1613984, 1613993, 1614000, 597317, 597325, 597333, 597341, 597349, 597357, 597365, 597373, 597381, 597389, 381651, 381660, 381661, 381673, 381678, 381693, 597397, 597405, 597413, 597421, 597430, 597438, 597446, 597454, 597462, 597470, 597478, 597486, 597494, 597502, 597510, 597518, 597526, 597534, 597542, 597550, 597558, 597566, 597574, 597582, 597590, 597598, 597606, 597614]</t>
  </si>
  <si>
    <t>[1114301, 600618, 600619, 600625, 600634, 600642, 600650, 544775, 600667, 600676, 600683, 600693, 600699, 600706, 1447487, 655761, 593995, 600711, 593996, 600719, 600724, 600729, 512038, 600743, 509514, 600755, 600763, 370872, 370851, 370886, 370887, 370859, 370908, 370929, 600774, 600781, 600787, 593987, 600799, 600804, 600811, 544547, 509858, 543684, 600832, 600838, 600843, 542646, 600855, 600857, 600861, 600866, 600871, 600877, 518039, 600888, 600894, 600902, 600909, 600914, 600919, 600925]</t>
  </si>
  <si>
    <t>0.0018893129503337691</t>
  </si>
  <si>
    <t>[1114300, 1114301, 600618, 600619, 600625, 600634, 600642, 600650, 544775, 600667, 600676, 600683, 600693, 600699, 600706, 1447487, 655761, 593995, 600711, 593996, 600719, 600724, 600729, 512038, 600743, 509514, 600755, 600763, 370872, 370851, 370886, 370887, 370859, 370908, 370929, 600774, 600781, 600787, 593987, 600799, 600804, 600811, 544547, 509858, 543684, 600832, 600838, 600843, 542646, 600855, 600857, 600861, 600866, 600871, 600877, 518039, 600888, 600894, 600902, 600909, 600914, 600919]</t>
  </si>
  <si>
    <t>[0.111, 0.221, 0.019, 0.002, 0.03, 0.021, 0.049, 0.028, 0.024, 0.009, 0.009, 0.015, 0.051, 0.083, 0.125, 0.006, 0.018, 0.182, 0.024, 0.023, 0.031, 0.004, 0.01, 0.011, 0.017, 0.041, 0.048, 0.055, 0.027, 0.102, 0.091, 0.082, 0.007, 0.018, 0.034, 0.025, 0.022, 0.012, 0.074, 0.009, 0.041, 0.025, 0.031, 0.053, 0.047, 0.026, 0.01, 0.04, 0.007, 0.031, 0.003, 0.006, 0.014, 0.04, 0.056, 0.052, 0.044, 0.029, 0.001, 0.009, 0.024, 0.044]</t>
  </si>
  <si>
    <t>10510.635732236886</t>
  </si>
  <si>
    <t>[0.024, 0.023, 0.02, 0.019, 0.017, 0.009, 0.014, 0.018, 0.013, 0.004, 0.01, 0.008, 0.003, -0.016, -0.003, 0.008, 0.01, -0.027, -0.017, -0.06, -0.005, 0.008, 0.008, -0.023, -0.028, 0.006, 0.026, 0.027, 0.014, -0.058, 0.01, -0.034, -0.01, 0.0, 0.016, -0.02, 0.011, -0.002, -0.004, -0.023, -0.017, -0.003, -0.018, -0.031, -0.012, -0.005, 0.017, 0.007, -0.002, 0.015, -0.003, -0.012, -0.022, 0.006, 0.033, 0.006, 0.001, -0.009, 0.044, -0.044, -0.365, -0.049, -0.019, -0.011, -0.017, -0.032, -0.035, 0.024, 0.026, -0.022, 0.608, -0.009, -0.029, 0.015, 0.0, -0.005]</t>
  </si>
  <si>
    <t>[0, 0, 0, 0, 0, 0, 0, 0, 0, 0, 0, 0, 0, 0, 0, 0, 0, 0, 0, 0, 0, 0, 0, 0, 0, 0, 0, 0, 0, 0, 0, 0, 1, 0, 0, 0, 0, 0, 0, 0, 1, 0, 0, 0, 0, 0, 0, 0, 0, 0, 0, 0, 0, 0, 0, 0, 0, 0, 0, 0, 0, 0, 0, 0, 0, 0, 0, 0, 0, 0, 0, 0, 0, 0, 0, 0]</t>
  </si>
  <si>
    <t>LINESTRING (10.009750978849944 62.8286039896018, 10.009842478471576 62.828778557893614, 10.009866375986615 62.82882929544092, 10.010013397052806 62.82912992773922, 10.010047472249353 62.82919915254663, 10.010079443688937 62.829250653587295, 10.010739526851363 62.83047075939201, 10.0112686732474 62.83143966475089, 10.011712484453723 62.83226994043324, 10.01173376511701 62.83231156218439, 10.011736854528197 62.832317581862775, 10.011767442795021 62.83237147099297, 10.011955382627896 62.832685184139464, 10.01205795897567 62.83284112725467, 10.012403460682629 62.83329081286462, 10.014774295849673 62.83738726040791, 10.01538546548448 62.839510615054614, 10.01559423986538 62.84200416369143, 10.01756661868623 62.846686391189785, 10.017841794672208 62.847111246111304, 10.017847684218406 62.84711980258269, 10.019207379393732 62.84931913413431, 10.019251775560884 62.84943033369866, 10.020129613300432 62.85216777655207, 10.020304484706816 62.85244590086066, 10.020402085058404 62.85260048013316, 10.021065498422153 62.85880269303015, 10.021064927053068 62.859998385925884, 10.02156515698617 62.86165904247784, 10.026474919325736 62.86743942424537, 10.02852072596982 62.86827247932556, 10.029961347641832 62.86874664800421, 10.040852583272091 62.870218631401215, 10.040992821902668 62.87021638055754, 10.044941131965366 62.87014533714066, 10.049480545700073 62.86977465933813, 10.052396661038395 62.86914623596324, 10.052663237860727 62.869088367336246, 10.054641053514926 62.86866361041997, 10.066652631664782 62.867088214134895, 10.0686777770858 62.86656557965346, 10.068877317007146 62.86649162252275, 10.070587949679247 62.866020303982516, 10.071169920962578 62.8659930846866, 10.073334534639597 62.86617867758725, 10.073809617222471 62.86622887245679, 10.078155174343264 62.867291948461805, 10.079211578156578 62.86781067436241, 10.079376745956923 62.86788923122523, 10.085988930216406 62.87518073360329, 10.086448793236809 62.87552843745579, 10.092959389026321 62.881710400181845, 10.094163820856355 62.8823861136725, 10.101621159605667 62.8868279546556, 10.101870363825673 62.89098389589745, 10.101949522336593 62.89119556167485, 10.104242742020832 62.89426175500491, 10.105023785214433 62.894780536717164, 10.112909662553108 62.9011297375722, 10.114032169586105 62.90221718834255, 10.114524731975646 62.90257291338885, 10.114527879878368 62.90257496547712, 10.114590540978568 62.902614359906806, 10.115589451623487 62.90318852100336, 10.116872289280844 62.90388918341806, 10.11696847454003 62.903942799710116, 10.118837460110255 62.90478518286478, 10.120704409920682 62.90543601044508, 10.127381847625662 62.9085644254908, 10.129212899979498 62.909330256809284, 10.131707079461254 62.91007042427764, 10.131808283560183 62.91009804693474, 10.135969766038686 62.911566274714865, 10.1402693192996 62.915572082551655, 10.141762579282227 62.91742716944657, 10.144646714599968 62.91986166495293, 10.147195408866365 62.92198987689863)</t>
  </si>
  <si>
    <t>[597622, 597630, 597638, 597646, 597654, 597662, 597670, 597678, 597686, 597694, 597702, 597710, 597718, 597726, 597734, 597742, 597750, 597758, 597766, 597774, 597782, 597790, 597798, 597806, 597814, 597822, 597830, 597838, 597846, 597854, 597862, 597870, 597878, 597886, 597894, 597902, 597910, 597918, 597926, 597934, 597942, 597950, 597958, 597966, 570049, 570050, 570051, 570052, 570064, 570074, 570089, 570095, 570115, 570136, 570137, 570147, 570148, 570163, 570164, 570178, 570186, 570191, 570195, 570203, 570204, 570212, 570218, 570220, 570221, 570222, 1981749, 1981757, 1981758, 625179, 625195, 625203]</t>
  </si>
  <si>
    <t>[600929, 600934, 600940, 600946, 600952, 600955, 600961, 600966, 600972, 600978, 600984, 600989, 600995, 601001, 601008, 601015, 601019, 542292, 601031, 601037, 601044, 601052, 601057, 601064, 541951, 601074, 601082, 542470, 542611, 601095, 601101, 601108, 601115, 601121, 601128, 601133, 542491, 601142, 521249, 601152, 601159, 601165, 542509, 542516, 578179, 451950, 578180, 452081, 542576, 544358, 451887, 536660, 578235, 529313, 578254, 578266, 546801, 578282, 578283, 578295, 578298, 578301, 578304, 578313, 578314, 578321, 530009, 529640, 530018, 578328, 1742062, 619659, 622028, 622029, 619687, 621775]</t>
  </si>
  <si>
    <t>[600928, 600929, 600934, 600940, 600946, 600952, 600955, 600961, 600966, 600972, 600978, 600984, 600989, 600995, 601001, 601008, 601015, 601019, 542292, 601031, 601037, 601044, 601052, 601057, 601064, 541951, 601074, 601082, 542470, 542611, 601095, 601101, 601108, 601115, 601121, 601128, 601133, 542491, 601142, 521249, 601152, 601159, 601165, 542509, 542516, 578179, 451950, 578180, 452081, 542576, 544358, 451887, 536660, 578235, 529313, 578254, 578266, 546801, 578282, 578283, 578295, 578298, 578301, 578304, 578313, 578314, 578321, 530009, 529640, 530018, 578328, 1742062, 619659, 622028, 622029, 619687]</t>
  </si>
  <si>
    <t>[0.024, 0.023, 0.02, 0.019, 0.017, 0.009, 0.014, 0.018, 0.013, 0.004, 0.01, 0.008, 0.003, 0.016, 0.003, 0.008, 0.01, 0.027, 0.017, 0.06, 0.005, 0.008, 0.008, 0.023, 0.028, 0.006, 0.026, 0.027, 0.014, 0.058, 0.01, 0.034, 0.01, 0.0, 0.016, 0.02, 0.011, 0.002, 0.004, 0.023, 0.017, 0.003, 0.018, 0.031, 0.012, 0.005, 0.017, 0.007, 0.002, 0.015, 0.003, 0.012, 0.022, 0.006, 0.033, 0.006, 0.001, 0.009, 0.044, 0.044, 0.365, 0.049, 0.019, 0.011, 0.017, 0.032, 0.035, 0.024, 0.026, 0.022, 0.608, 0.009, 0.029, 0.015, 0.0, 0.005]</t>
  </si>
  <si>
    <t>14629.303083897374</t>
  </si>
  <si>
    <t>[0.0, 0.036, 0.035, 0.032, 0.025, 0.005, -0.041, -0.047]</t>
  </si>
  <si>
    <t>LINESTRING (11.33838504996953 63.73914359312279, 11.33838504996953 63.73914359312279, 11.338621401816075 63.73921286046336, 11.338754350241516 63.73925182317501, 11.339664025062172 63.73933005541168, 11.339848953911837 63.73929150835224, 11.340041599884607 63.73904109913755, 11.335486903993537 63.738651032665, 11.335201770617882 63.738602236579055)</t>
  </si>
  <si>
    <t>[597812, 597820, 597828, 597836, 597844, 1380672, 851185, 851177]</t>
  </si>
  <si>
    <t>[601068, 601073, 601079, 566349, 601089, 825898, 825887, 825888]</t>
  </si>
  <si>
    <t>[532028, 601068, 601073, 601079, 566349, 601089, 825898, 825887]</t>
  </si>
  <si>
    <t>[0.0, 0.036, 0.035, 0.032, 0.025, 0.005, 0.041, 0.047]</t>
  </si>
  <si>
    <t>361.43741678778736</t>
  </si>
  <si>
    <t>34.13529139109575</t>
  </si>
  <si>
    <t>[-0.015, -0.004, 0.0, -0.001]</t>
  </si>
  <si>
    <t>LINESTRING (11.465585597430836 63.78602138559674, 11.465455937267672 63.786186275813705, 11.465349353170133 63.786258092795634, 11.46530343201211 63.786271163075014, 11.465153012401853 63.78631410672433)</t>
  </si>
  <si>
    <t>[1267770, 1267771, 1267772, 1267780]</t>
  </si>
  <si>
    <t>[1184173, 1184174, 1184116, 1183932]</t>
  </si>
  <si>
    <t>[601098, 1184173, 1184174, 1184116]</t>
  </si>
  <si>
    <t>[0.015, 0.004, 0.0, 0.001]</t>
  </si>
  <si>
    <t>40.95427338213402</t>
  </si>
  <si>
    <t>[-0.011, -0.005, -0.006]</t>
  </si>
  <si>
    <t>LINESTRING (11.465585597430836 63.78602138559674, 11.465284545862602 63.786138175508924, 11.465180793899648 63.78621559637979, 11.4651736338167 63.7862370740505)</t>
  </si>
  <si>
    <t>[1267785, 1267786, 1267793]</t>
  </si>
  <si>
    <t>[1184182, 1184183, 1184086]</t>
  </si>
  <si>
    <t>[601098, 1184182, 1184183]</t>
  </si>
  <si>
    <t>[0.011, 0.005, 0.006]</t>
  </si>
  <si>
    <t>32.19572761213789</t>
  </si>
  <si>
    <t>[-0.035, -0.01, 0.012, 0.022, 0.036, 0.036, 0.041]</t>
  </si>
  <si>
    <t>LINESTRING (10.915721937241704 63.45141906010243, 10.91577402960193 63.451391786321146, 10.91595013201883 63.45136805760636, 10.916096156485056 63.451389876175625, 10.916132442583859 63.451399335593486, 10.916187082177872 63.451438648896726, 10.916192568050555 63.45148464672346, 10.91617792673642 63.45151420463094)</t>
  </si>
  <si>
    <t>[597892, 597900, 597908, 597916, 597924, 597932, 597940]</t>
  </si>
  <si>
    <t>[601126, 601131, 601136, 601141, 601146, 601150, 601157]</t>
  </si>
  <si>
    <t>0.011346753795198858</t>
  </si>
  <si>
    <t>[601125, 601126, 601131, 601136, 601141, 601146, 601150]</t>
  </si>
  <si>
    <t>[0.035, 0.01, 0.012, 0.022, 0.036, 0.036, 0.041]</t>
  </si>
  <si>
    <t>36.6240324140927</t>
  </si>
  <si>
    <t>[-0.039, -0.042]</t>
  </si>
  <si>
    <t>LINESTRING (10.915702094272666 63.451529949449615, 10.915689630607243 63.45147656135395, 10.915721937241704 63.45141906010243)</t>
  </si>
  <si>
    <t>[597972, 597980]</t>
  </si>
  <si>
    <t>[601180, 601125]</t>
  </si>
  <si>
    <t>[601174, 601180]</t>
  </si>
  <si>
    <t>[0.039, 0.042]</t>
  </si>
  <si>
    <t>12.593986867466345</t>
  </si>
  <si>
    <t>[0.022, -0.0]</t>
  </si>
  <si>
    <t>LINESTRING (10.91617792673642 63.45151420463094, 10.916119320653822 63.45156165116335, 10.915978709379486 63.45158999004672)</t>
  </si>
  <si>
    <t>[597948, 597956]</t>
  </si>
  <si>
    <t>[601164, 601170]</t>
  </si>
  <si>
    <t>0.009678579238491811</t>
  </si>
  <si>
    <t>[601157, 601164]</t>
  </si>
  <si>
    <t>[0.022, 0.0]</t>
  </si>
  <si>
    <t>13.737975759827393</t>
  </si>
  <si>
    <t>16.04654054179101</t>
  </si>
  <si>
    <t>[0.005, 0.011, 0.012, 0.014]</t>
  </si>
  <si>
    <t>LINESTRING (11.383109462942697 63.755036528162194, 11.382893344654514 63.75499695868903, 11.382787986004752 63.754932315430956, 11.382757926690616 63.75486596850774, 11.382786296464632 63.754802885571685)</t>
  </si>
  <si>
    <t>[598036, 598044, 598052, 598060]</t>
  </si>
  <si>
    <t>[601219, 601222, 505160, 601229]</t>
  </si>
  <si>
    <t>0.009855910891451403</t>
  </si>
  <si>
    <t>[601215, 601219, 601222, 505160]</t>
  </si>
  <si>
    <t>35.143188579845564</t>
  </si>
  <si>
    <t>[0.031, 0.021, -0.003, 0.007, 0.004, -0.013, -0.012, -0.012, -0.012]</t>
  </si>
  <si>
    <t>LINESTRING (11.343591800639494 63.73957150786372, 11.344068438194563 63.739704337618825, 11.351431707545826 63.74176109539937, 11.381155449962257 63.75226493087378, 11.38173005550006 63.75321988517525, 11.381998819288995 63.75366628287297, 11.382383510922494 63.754317767761115, 11.38246087392275 63.75443335561145, 11.38274051560788 63.75473254084948, 11.382786296464632 63.754802885571685)</t>
  </si>
  <si>
    <t>[851249, 851257, 851137, 851145, 851153, 851161, 681078, 681086, 681094]</t>
  </si>
  <si>
    <t>[825961, 825850, 825851, 825858, 825866, 671967, 671968, 671976, 601229]</t>
  </si>
  <si>
    <t>0.0011702783153693555</t>
  </si>
  <si>
    <t>[825953, 825961, 825850, 825851, 825858, 825866, 671967, 671968, 671976]</t>
  </si>
  <si>
    <t>[0.031, 0.021, 0.003, 0.007, 0.004, 0.013, 0.012, 0.012, 0.012]</t>
  </si>
  <si>
    <t>2778.224413483706</t>
  </si>
  <si>
    <t>[-0.092, -0.089, -0.073, -0.04]</t>
  </si>
  <si>
    <t>LINESTRING (11.497894349989648 64.00517821018954, 11.49807633936911 64.005179908131, 11.498181146572815 64.00520939115275, 11.498250827495186 64.0052577917919, 11.498267441358083 64.0053049114645)</t>
  </si>
  <si>
    <t>[598084, 598092, 598100, 598108]</t>
  </si>
  <si>
    <t>[601242, 601248, 601255, 601262]</t>
  </si>
  <si>
    <t>[601241, 601242, 601248, 601255]</t>
  </si>
  <si>
    <t>[0.092, 0.089, 0.073, 0.04]</t>
  </si>
  <si>
    <t>26.692289595833817</t>
  </si>
  <si>
    <t>[0.016, -0.046]</t>
  </si>
  <si>
    <t>LINESTRING (11.497684844222563 64.00529803498556, 11.497747679770198 64.00522138804403, 11.497894349989648 64.00517821018954)</t>
  </si>
  <si>
    <t>[598141, 598149]</t>
  </si>
  <si>
    <t>[601291, 601241]</t>
  </si>
  <si>
    <t>[601285, 601291]</t>
  </si>
  <si>
    <t>[0.016, 0.046]</t>
  </si>
  <si>
    <t>17.720221384111326</t>
  </si>
  <si>
    <t>[0.699, -0.023, -0.071, -0.085, -0.099, -0.111, -0.515]</t>
  </si>
  <si>
    <t>LINESTRING (10.25279548959787 63.024642806610814, 10.253652994370812 63.02502013625729, 10.25483215772963 63.02554314358671, 10.25503607596512 63.02562154734177, 10.255227455066894 63.02569586014633, 10.255639802444254 63.02585150459531, 10.255743241554317 63.025892086623486, 10.256850051701035 63.0263184924405)</t>
  </si>
  <si>
    <t>[1462988, 1463001, 1463002, 1463009, 1463019, 1463039, 1463048]</t>
  </si>
  <si>
    <t>[1326433, 1326444, 1326445, 1326451, 1326461, 1326474, 601249]</t>
  </si>
  <si>
    <t>[601243, 1326433, 1326444, 1326445, 1326451, 1326461, 1326474]</t>
  </si>
  <si>
    <t>[0.699, 0.023, 0.071, 0.085, 0.099, 0.111, 0.515]</t>
  </si>
  <si>
    <t>278.30246255832486</t>
  </si>
  <si>
    <t>[0.693, -0.024, -0.071, -0.065, -0.084, -0.089, -0.101, -0.122, -0.513]</t>
  </si>
  <si>
    <t>LINESTRING (10.25279548959787 63.024642806610814, 10.253543728864022 63.025070775046785, 10.254728546013775 63.02560113204395, 10.25487582138012 63.0256595738258, 10.254934237312535 63.02568275221762, 10.254989069526212 63.02570301320844, 10.255133188100812 63.025755556854826, 10.255542656770816 63.02591283159174, 10.255646981988718 63.02595295781401, 10.256850051701035 63.0263184924405)</t>
  </si>
  <si>
    <t>[1463049, 1463050, 1463051, 1463052, 1463053, 1463080, 1463085, 1463097, 1463098]</t>
  </si>
  <si>
    <t>[1326481, 1326482, 1326483, 1326484, 1326485, 1326503, 1326508, 1326517, 601249]</t>
  </si>
  <si>
    <t>[601243, 1326481, 1326482, 1326483, 1326484, 1326485, 1326503, 1326508, 1326517]</t>
  </si>
  <si>
    <t>[0.693, 0.024, 0.071, 0.065, 0.084, 0.089, 0.101, 0.122, 0.513]</t>
  </si>
  <si>
    <t>280.17981505084265</t>
  </si>
  <si>
    <t>[-0.031, 0.04, 0.076, -0.007, -0.062, -0.042, -0.013, -0.02, 0.02, -0.012, -0.08, -0.018, -0.022, -0.012, -0.004, -0.006, -0.018, 0.004, -0.037, -0.023, -0.017, -0.067, -0.013, -0.007, -0.026, -0.008, -0.023, -0.03, -0.008, -0.01]</t>
  </si>
  <si>
    <t>5668.0</t>
  </si>
  <si>
    <t>[0, 1, 0, 0, 0, 0, 0, 0, 0, 0, 0, 0, 0, 0, 1, 0, 0, 0, 0, 0, 0, 0, 0, 0, 0, 0, 0, 0, 0, 0]</t>
  </si>
  <si>
    <t>LINESTRING (10.192329805634014 62.94842007705606, 10.192602068903497 62.948881580289424, 10.193246563788033 62.94997384230932, 10.193415818983516 62.95026085526155, 10.229832981960913 62.97730025692913, 10.23205893779397 62.97860045724327, 10.233223525185748 62.979431547314356, 10.233526030696346 62.97967378771496, 10.233577900835073 62.979716911208, 10.234617577535964 62.98077272565379, 10.234659188341192 62.98082179757153, 10.235512315297546 62.98178394613944, 10.235915158595779 62.98213483944807, 10.23633508310648 62.98245102634964, 10.237873922867529 62.983216357063085, 10.239634782106561 62.98382709740082, 10.244484012081822 62.987013283630006, 10.244505003220729 62.987056170865834, 10.2450047405036 62.98780181477776, 10.245520671214907 62.993599193213605, 10.239445050752762 62.99725708017841, 10.238117187166507 63.0007872932822, 10.238061862315075 63.00101648929018, 10.239548173691233 63.00603548511307, 10.246411045191934 63.014787349603196, 10.246014567412116 63.01759640324441, 10.24601935012857 63.01777155987028, 10.247116450663732 63.019941861760955, 10.247343455167496 63.02018144521219, 10.248098352803261 63.02093721433295, 10.25279548959787 63.024642806610814)</t>
  </si>
  <si>
    <t>[670171, 670179, 670187, 670195, 670203, 670211, 670219, 670227, 670232, 670233, 670235, 570359, 570360, 570376, 570388, 597974, 597982, 597990, 597998, 598006, 598014, 598022, 598030, 598038, 598046, 598054, 598062, 598070, 598078, 598086]</t>
  </si>
  <si>
    <t>[660272, 660280, 660285, 660292, 660300, 660310, 660316, 660323, 660330, 660331, 578453, 546176, 578454, 578472, 578481, 561251, 601188, 601194, 556968, 593330, 601206, 525937, 386322, 547023, 386251, 601226, 528865, 601234, 601237, 601243]</t>
  </si>
  <si>
    <t>[660264, 660272, 660280, 660285, 660292, 660300, 660310, 660316, 660323, 660330, 660331, 578453, 546176, 578454, 578472, 578481, 561251, 601188, 601194, 556968, 593330, 601206, 525937, 386322, 547023, 386251, 601226, 528865, 601234, 601237]</t>
  </si>
  <si>
    <t>[0.031, 0.04, 0.076, 0.007, 0.062, 0.042, 0.013, 0.02, 0.02, 0.012, 0.08, 0.018, 0.022, 0.012, 0.004, 0.006, 0.018, 0.004, 0.037, 0.023, 0.017, 0.067, 0.013, 0.007, 0.026, 0.008, 0.023, 0.03, 0.008, 0.01]</t>
  </si>
  <si>
    <t>9743.037720814644</t>
  </si>
  <si>
    <t>[0.047, -0.017, 0.015, -0.011, -0.024, -0.051, -0.004, -0.003, -0.011]</t>
  </si>
  <si>
    <t>LINESTRING (10.256850051701035 63.0263184924405, 10.2586057866951 63.026851017819794, 10.26265074569283 63.02773340584746, 10.262797557402187 63.02776076004091, 10.264891741012288 63.028137979763734, 10.264980592232106 63.02815477259705, 10.266733293135532 63.028540155478595, 10.269194836398505 63.02929879603095, 10.280255057337312 63.03225783561337, 10.28496126021264 63.03269320546083)</t>
  </si>
  <si>
    <t>[598094, 598102, 598110, 598118, 598126, 598135, 598143, 598151, 598159]</t>
  </si>
  <si>
    <t>[601250, 601256, 20703, 601270, 601279, 20729, 601294, 601298, 601303]</t>
  </si>
  <si>
    <t>[601249, 601250, 601256, 20703, 601270, 601279, 20729, 601294, 601298]</t>
  </si>
  <si>
    <t>[0.047, 0.017, 0.015, 0.011, 0.024, 0.051, 0.004, 0.003, 0.011]</t>
  </si>
  <si>
    <t>1615.392587780835</t>
  </si>
  <si>
    <t>[-0.001, 0.03]</t>
  </si>
  <si>
    <t>LINESTRING (11.498267441358083 64.0053049114645, 11.498213781638562 64.00537369417881, 11.49808536811793 64.0054182115058)</t>
  </si>
  <si>
    <t>[598116, 598124]</t>
  </si>
  <si>
    <t>[601268, 601277]</t>
  </si>
  <si>
    <t>0.014405039973718487</t>
  </si>
  <si>
    <t>[601262, 601268]</t>
  </si>
  <si>
    <t>[0.001, 0.03]</t>
  </si>
  <si>
    <t>16.109942860189022</t>
  </si>
  <si>
    <t>[-0.13, -0.047, -0.039]</t>
  </si>
  <si>
    <t>LINESTRING (11.498267441358083 64.0053049114645, 11.49836969971757 64.00535375698635, 11.498558507358668 64.00545134715496, 11.498729951508224 64.00557625268385)</t>
  </si>
  <si>
    <t>[624640, 624648, 624656]</t>
  </si>
  <si>
    <t>[621535, 621540, 621544]</t>
  </si>
  <si>
    <t>[601262, 621535, 621540]</t>
  </si>
  <si>
    <t>[0.13, 0.047, 0.039]</t>
  </si>
  <si>
    <t>38.16162594508388</t>
  </si>
  <si>
    <t>27.840642646605193</t>
  </si>
  <si>
    <t>[-0.138, -0.047, -0.045]</t>
  </si>
  <si>
    <t>LINESTRING (11.49808536811793 64.0054182115058, 11.498254507271412 64.0054494360404, 11.498482593572382 64.00550429248163, 11.498729951508224 64.00557625268385)</t>
  </si>
  <si>
    <t>[681428, 681429, 681435]</t>
  </si>
  <si>
    <t>[672430, 672431, 621544]</t>
  </si>
  <si>
    <t>[601277, 672430, 672431]</t>
  </si>
  <si>
    <t>[0.138, 0.047, 0.045]</t>
  </si>
  <si>
    <t>36.39642391077699</t>
  </si>
  <si>
    <t>66.46961711948066</t>
  </si>
  <si>
    <t>[0.062, -0.022]</t>
  </si>
  <si>
    <t>LINESTRING (10.28496126021264 63.03269320546083, 10.286263502088174 63.032809875560154, 10.288285407872714 63.03317645046678)</t>
  </si>
  <si>
    <t>[623976, 623984]</t>
  </si>
  <si>
    <t>[621003, 621008]</t>
  </si>
  <si>
    <t>0.009795449349384767</t>
  </si>
  <si>
    <t>[601303, 621003]</t>
  </si>
  <si>
    <t>[0.062, 0.022]</t>
  </si>
  <si>
    <t>177.54749228851398</t>
  </si>
  <si>
    <t>28.492416143199236</t>
  </si>
  <si>
    <t>LINESTRING (11.495921014784463 64.01056340529962, 11.496047602317038 64.01058263429395, 11.49615596752192 64.0106328683915)</t>
  </si>
  <si>
    <t>[598221, 598229]</t>
  </si>
  <si>
    <t>[601360, 601307]</t>
  </si>
  <si>
    <t>0.015918788065794682</t>
  </si>
  <si>
    <t>[601351, 601360]</t>
  </si>
  <si>
    <t>14.262481510625651</t>
  </si>
  <si>
    <t>[0.007, 0.006, 0.12]</t>
  </si>
  <si>
    <t>LINESTRING (11.496416324175426 64.01032528688552, 11.496325975829267 64.01044305538217, 11.496203534054905 64.01056561013873, 11.49615596752192 64.0106328683915)</t>
  </si>
  <si>
    <t>[624664, 624672, 624680]</t>
  </si>
  <si>
    <t>[621549, 621555, 601307]</t>
  </si>
  <si>
    <t>0.030712329202324556</t>
  </si>
  <si>
    <t>[621548, 621549, 621555]</t>
  </si>
  <si>
    <t>36.78048000923557</t>
  </si>
  <si>
    <t>[-0.021, -0.024]</t>
  </si>
  <si>
    <t>LINESTRING (11.495897268886269 64.01081798776325, 11.495735975830126 64.01079792045348, 11.4956374808431 64.01075061974312)</t>
  </si>
  <si>
    <t>[598173, 598181]</t>
  </si>
  <si>
    <t>[601313, 601321]</t>
  </si>
  <si>
    <t>[601308, 601313]</t>
  </si>
  <si>
    <t>[0.021, 0.024]</t>
  </si>
  <si>
    <t>15.342128534210126</t>
  </si>
  <si>
    <t>56.10561469228102</t>
  </si>
  <si>
    <t>[-0.024, -0.004]</t>
  </si>
  <si>
    <t>LINESTRING (10.293529152599836 63.03543408283581, 10.294195684229994 63.03577563523399, 10.294956150226376 63.03613901859296)</t>
  </si>
  <si>
    <t>[626990, 626998]</t>
  </si>
  <si>
    <t>[623421, 601310]</t>
  </si>
  <si>
    <t>[622858, 623421]</t>
  </si>
  <si>
    <t>[0.024, 0.004]</t>
  </si>
  <si>
    <t>106.77027499255048</t>
  </si>
  <si>
    <t>[-0.012, 0.003, 0.018, 0.017]</t>
  </si>
  <si>
    <t>LINESTRING (11.4956374808431 64.01075061974312, 11.49560642863133 64.01067170576064, 11.49566068588702 64.01061461784485, 11.495778583078566 64.0105725434952, 11.495921014784463 64.01056340529962)</t>
  </si>
  <si>
    <t>[598189, 598197, 598205, 598213]</t>
  </si>
  <si>
    <t>[601327, 601336, 601343, 601351]</t>
  </si>
  <si>
    <t>0.005513905659190293</t>
  </si>
  <si>
    <t>[601321, 601327, 601336, 601343]</t>
  </si>
  <si>
    <t>[0.012, 0.003, 0.018, 0.017]</t>
  </si>
  <si>
    <t>30.295482172345377</t>
  </si>
  <si>
    <t>[-0.002, 0.001, 0.145]</t>
  </si>
  <si>
    <t>LINESTRING (11.496416324175426 64.01032528688552, 11.49620588978863 64.01041362465656, 11.496005687252794 64.01051962993031, 11.495921014784463 64.01056340529962)</t>
  </si>
  <si>
    <t>[681443, 681457, 681465]</t>
  </si>
  <si>
    <t>[672443, 672460, 601351]</t>
  </si>
  <si>
    <t>0.0252892806267273</t>
  </si>
  <si>
    <t>[621548, 672443, 672460]</t>
  </si>
  <si>
    <t>[0.002, 0.001, 0.145]</t>
  </si>
  <si>
    <t>36.16374326525914</t>
  </si>
  <si>
    <t>[-0.017, -0.026, -0.03, -0.024]</t>
  </si>
  <si>
    <t>LINESTRING (11.491480660396675 64.01345778329505, 11.491424395998504 64.01356333705878, 11.491357616958208 64.01358957393731, 11.491273475774058 64.01360730500502, 11.491105836209503 64.01360504810413)</t>
  </si>
  <si>
    <t>[598237, 598245, 598253, 598261]</t>
  </si>
  <si>
    <t>[601372, 601378, 601384, 601392]</t>
  </si>
  <si>
    <t>[601371, 601372, 601378, 601384]</t>
  </si>
  <si>
    <t>[0.017, 0.026, 0.03, 0.024]</t>
  </si>
  <si>
    <t>29.576995285221216</t>
  </si>
  <si>
    <t>[0.02, 0.003]</t>
  </si>
  <si>
    <t>LINESTRING (11.491259617487692 64.01335900074227, 11.491389059791883 64.01338818548224, 11.491480660396675 64.01345778329505)</t>
  </si>
  <si>
    <t>[598317, 598325]</t>
  </si>
  <si>
    <t>[601440, 601371]</t>
  </si>
  <si>
    <t>0.010526503945153755</t>
  </si>
  <si>
    <t>[601432, 601440]</t>
  </si>
  <si>
    <t>16.076378421232935</t>
  </si>
  <si>
    <t>[-0.017, -0.002]</t>
  </si>
  <si>
    <t>LINESTRING (11.491105836209503 64.01360504810413, 11.49097366038438 64.01356501575067, 11.490914630206225 64.01351327561612)</t>
  </si>
  <si>
    <t>[598269, 598277]</t>
  </si>
  <si>
    <t>[601399, 601404]</t>
  </si>
  <si>
    <t>[601392, 601399]</t>
  </si>
  <si>
    <t>[0.017, 0.002]</t>
  </si>
  <si>
    <t>14.304740953284963</t>
  </si>
  <si>
    <t>[-0.166, -0.012, -0.007, -0.003, -0.009, -0.011, -0.128]</t>
  </si>
  <si>
    <t>LINESTRING (11.491105836209503 64.01360504810413, 11.491010302567615 64.01363293440718, 11.49057316120158 64.01386963993457, 11.490343340025353 64.014158491019, 11.49032828761382 64.01419271686511, 11.489971613729056 64.01515078362631, 11.489791128774675 64.01574679111636, 11.489800972543133 64.01582407941925)</t>
  </si>
  <si>
    <t>[624721, 624729, 624737, 624745, 624753, 624761, 624769]</t>
  </si>
  <si>
    <t>[621592, 621600, 621609, 621617, 621625, 621632, 601453]</t>
  </si>
  <si>
    <t>[601392, 621592, 621600, 621609, 621617, 621625, 621632]</t>
  </si>
  <si>
    <t>[0.166, 0.012, 0.007, 0.003, 0.009, 0.011, 0.128]</t>
  </si>
  <si>
    <t>262.18293666036493</t>
  </si>
  <si>
    <t>[0.014, 0.03, 0.028, 0.029]</t>
  </si>
  <si>
    <t>LINESTRING (11.490914630206225 64.01351327561612, 11.490964884078544 64.01340667822319, 11.491048783766084 64.01337456647599, 11.491151186451052 64.01335817558737, 11.491259617487692 64.01335900074227)</t>
  </si>
  <si>
    <t>[598285, 598293, 598301, 598309]</t>
  </si>
  <si>
    <t>[601411, 601418, 601425, 601432]</t>
  </si>
  <si>
    <t>0.02245804014229574</t>
  </si>
  <si>
    <t>[601404, 601411, 601418, 601425]</t>
  </si>
  <si>
    <t>28.530730253370066</t>
  </si>
  <si>
    <t>[-0.132, -0.01, -0.007, -0.009, -0.011, -0.126]</t>
  </si>
  <si>
    <t>LINESTRING (11.490914630206225 64.01351327561612, 11.490848253839818 64.01356759823025, 11.490511798722622 64.01383613545336, 11.490284578951206 64.01413068258505, 11.489863189783092 64.01513355229967, 11.489592251685238 64.0157338852478, 11.489532918851772 64.01580591533028)</t>
  </si>
  <si>
    <t>[681507, 681508, 681515, 681516, 681523, 681531]</t>
  </si>
  <si>
    <t>[672505, 672506, 672517, 672518, 672525, 601510]</t>
  </si>
  <si>
    <t>[601404, 672505, 672506, 672517, 672518, 672525]</t>
  </si>
  <si>
    <t>[0.132, 0.01, 0.007, 0.009, 0.011, 0.126]</t>
  </si>
  <si>
    <t>266.25419078389893</t>
  </si>
  <si>
    <t>[-0.015, -0.018, -0.01, 0.0]</t>
  </si>
  <si>
    <t>LINESTRING (11.489800972543133 64.01582407941925, 11.489871115089036 64.01586890122648, 11.489878089750771 64.01592746851132, 11.489829132174343 64.01597480000603, 11.489728776120948 64.01600741157138)</t>
  </si>
  <si>
    <t>[598334, 598342, 598350, 598358]</t>
  </si>
  <si>
    <t>[601454, 601459, 601466, 601474]</t>
  </si>
  <si>
    <t>[601453, 601454, 601459, 601466]</t>
  </si>
  <si>
    <t>[0.015, 0.018, 0.01, 0.0]</t>
  </si>
  <si>
    <t>24.49944664969057</t>
  </si>
  <si>
    <t>[0.004, -0.004]</t>
  </si>
  <si>
    <t>LINESTRING (11.489532918851772 64.01580591533028, 11.489669141163667 64.01579753097226, 11.489800972543133 64.01582407941925)</t>
  </si>
  <si>
    <t>[598414, 598422]</t>
  </si>
  <si>
    <t>[601515, 601453]</t>
  </si>
  <si>
    <t>[601510, 601515]</t>
  </si>
  <si>
    <t>13.820471164285538</t>
  </si>
  <si>
    <t>LINESTRING (11.489728776120948 64.01600741157138, 11.489615012740725 64.01601633930503, 11.48949645994488 64.01599819789264)</t>
  </si>
  <si>
    <t>[598366, 598374]</t>
  </si>
  <si>
    <t>[601481, 601485]</t>
  </si>
  <si>
    <t>[601474, 601481]</t>
  </si>
  <si>
    <t>11.79158103335466</t>
  </si>
  <si>
    <t>[0.005, 0.014, 0.014, 0.01]</t>
  </si>
  <si>
    <t>LINESTRING (11.48949645994488 64.01599819789264, 11.489398745775604 64.01594462292147, 11.489387125511792 64.01589043540616, 11.489434492272665 64.01583947180445, 11.489532918851772 64.01580591533028)</t>
  </si>
  <si>
    <t>[598382, 598390, 598398, 598406]</t>
  </si>
  <si>
    <t>[601491, 601496, 601503, 601510]</t>
  </si>
  <si>
    <t>0.010407236022652122</t>
  </si>
  <si>
    <t>[601485, 601491, 601496, 601503]</t>
  </si>
  <si>
    <t>25.946698716891717</t>
  </si>
  <si>
    <t>0.099</t>
  </si>
  <si>
    <t>34.40849690134665</t>
  </si>
  <si>
    <t>[0.002, -0.072]</t>
  </si>
  <si>
    <t>LINESTRING (11.477099133570416 64.02830835242811, 11.477350746324001 64.02836027937104, 11.477467913074019 64.02847093616641)</t>
  </si>
  <si>
    <t>[598486, 598494]</t>
  </si>
  <si>
    <t>[601569, 601528]</t>
  </si>
  <si>
    <t>[601562, 601569]</t>
  </si>
  <si>
    <t>27.612167086180463</t>
  </si>
  <si>
    <t>[0.026, 0.021, 0.026, 0.03, 0.067, 0.164, 0.175, 0.171, 0.153, -0.016, -0.105, -0.158, -0.097, -0.112]</t>
  </si>
  <si>
    <t>11016.0</t>
  </si>
  <si>
    <t>[0, 0, 0, 0, 0, 1, 0, 0, 0, 0, 0, 0, 0, 0]</t>
  </si>
  <si>
    <t>LINESTRING (11.490813528831652 64.02124459290485, 11.490722443367664 64.02127973861164, 11.490555442420092 64.02134031620561, 11.489597223157144 64.02179186889855, 11.489542401293065 64.02181830468214, 11.487954797971964 64.02260576012038, 11.486701394317608 64.0235313660943, 11.486691626856304 64.0235415875154, 11.486111816693404 64.02420156206422, 11.485229857623143 64.02509927742105, 11.4816009279918 64.02696389092297, 11.479397387636064 64.02765145520844, 11.479386122334013 64.0276550003742, 11.477554336469975 64.02838360201817, 11.477467913074019 64.02847093616641)</t>
  </si>
  <si>
    <t>[624881, 624889, 624897, 624905, 624913, 624921, 624929, 624937, 624945, 624953, 624961, 624969, 624977, 624985]</t>
  </si>
  <si>
    <t>[621752, 621759, 621766, 621774, 621781, 621787, 621795, 621803, 621811, 621818, 621825, 621831, 621839, 601528]</t>
  </si>
  <si>
    <t>0.027303684414262546</t>
  </si>
  <si>
    <t>[621751, 621752, 621759, 621766, 621774, 621781, 621787, 621795, 621803, 621811, 621818, 621825, 621831, 621839]</t>
  </si>
  <si>
    <t>[0.026, 0.021, 0.026, 0.03, 0.067, 0.164, 0.175, 0.171, 0.153, 0.016, 0.105, 0.158, 0.097, 0.112]</t>
  </si>
  <si>
    <t>1056.847907460672</t>
  </si>
  <si>
    <t>[-0.002, 0.071]</t>
  </si>
  <si>
    <t>LINESTRING (11.477029511255168 64.02866514279853, 11.47677948682141 64.02861684767572, 11.476661538153989 64.02852863247001)</t>
  </si>
  <si>
    <t>[598438, 598446]</t>
  </si>
  <si>
    <t>[601536, 601542]</t>
  </si>
  <si>
    <t>0.03134228825183089</t>
  </si>
  <si>
    <t>[601529, 601536]</t>
  </si>
  <si>
    <t>[0.002, 0.071]</t>
  </si>
  <si>
    <t>24.957374135900253</t>
  </si>
  <si>
    <t>[0.022, -0.08]</t>
  </si>
  <si>
    <t>LINESTRING (11.477029511255168 64.02866514279853, 11.476854531742953 64.02868784944728, 11.475569127716394 64.02926130119155)</t>
  </si>
  <si>
    <t>[624993, 625001]</t>
  </si>
  <si>
    <t>[621853, 621861]</t>
  </si>
  <si>
    <t>[601529, 621853]</t>
  </si>
  <si>
    <t>[0.022, 0.08]</t>
  </si>
  <si>
    <t>99.25379258943487</t>
  </si>
  <si>
    <t>[0.113, 0.115, 0.097, 0.046]</t>
  </si>
  <si>
    <t>LINESTRING (11.476661538153989 64.02852863247001, 11.476655832645571 64.02846021205345, 11.476757809360107 64.0283665534336, 11.4769446886705 64.02831448701822, 11.477099133570416 64.02830835242811)</t>
  </si>
  <si>
    <t>[598454, 598462, 598470, 598478]</t>
  </si>
  <si>
    <t>[601548, 601552, 601556, 601562]</t>
  </si>
  <si>
    <t>0.09550472376536454</t>
  </si>
  <si>
    <t>[601542, 601548, 601552, 601556]</t>
  </si>
  <si>
    <t>37.60442371041714</t>
  </si>
  <si>
    <t>[-0.046, -0.082]</t>
  </si>
  <si>
    <t>LINESTRING (11.476661538153989 64.02852863247001, 11.476600976914543 64.02859967613482, 11.475569127716394 64.02926130119155)</t>
  </si>
  <si>
    <t>[681750, 681758]</t>
  </si>
  <si>
    <t>[672792, 621861]</t>
  </si>
  <si>
    <t>[601542, 672792]</t>
  </si>
  <si>
    <t>[0.046, 0.082]</t>
  </si>
  <si>
    <t>98.29245942255908</t>
  </si>
  <si>
    <t>[-0.467, 0.038, 0.028, 0.019, 0.069, 0.163, 0.175, 0.17, 0.152, -0.015, -0.106, -0.07, -0.094, -0.033]</t>
  </si>
  <si>
    <t>LINESTRING (11.490523346422314 64.02115761522363, 11.490470584250643 64.02122015547619, 11.490390468512965 64.02130654366607, 11.489527936168372 64.02177711175418, 11.489473981695275 64.02180300247589, 11.487905768964554 64.0225884017887, 11.486641363643944 64.02352003013264, 11.486631540530531 64.02353020528085, 11.486052197269869 64.02418808856336, 11.485174695464137 64.02508358455725, 11.481556565058431 64.02694313070681, 11.479340237589275 64.02761674577661, 11.479329109629862 64.02762033919123, 11.477295152353514 64.0282789954932, 11.477099133570416 64.02830835242811)</t>
  </si>
  <si>
    <t>[681625, 681632, 681640, 681648, 681656, 681664, 681672, 681680, 681688, 681696, 681704, 681712, 681720, 681735]</t>
  </si>
  <si>
    <t>[672638, 672645, 672655, 672662, 672672, 672684, 672692, 672703, 672712, 672722, 672732, 672739, 672751, 601562]</t>
  </si>
  <si>
    <t>0.02522604038525968</t>
  </si>
  <si>
    <t>[634304, 672638, 672645, 672655, 672662, 672672, 672684, 672692, 672703, 672712, 672722, 672732, 672739, 672751]</t>
  </si>
  <si>
    <t>[0.467, 0.038, 0.028, 0.019, 0.069, 0.163, 0.175, 0.17, 0.152, 0.015, 0.106, 0.07, 0.094, 0.033]</t>
  </si>
  <si>
    <t>1056.8334556456293</t>
  </si>
  <si>
    <t>[0.055, -0.187, 0.033]</t>
  </si>
  <si>
    <t>LINESTRING (10.397209956671189 63.40061090649609, 10.398271997700409 63.40085280954825, 10.398344056688327 63.400866195078635, 10.39839653630736 63.40087661084432)</t>
  </si>
  <si>
    <t>[598816, 624395, 624403]</t>
  </si>
  <si>
    <t>[601840, 621330, 621336]</t>
  </si>
  <si>
    <t>0.039843032938427864</t>
  </si>
  <si>
    <t>[601834, 601840, 621330]</t>
  </si>
  <si>
    <t>[0.055, 0.187, 0.033]</t>
  </si>
  <si>
    <t>66.41808268132786</t>
  </si>
  <si>
    <t>[-0.185, 0.001, 0.014, 0.017, 0.026, 0.026, 0.017, 0.021]</t>
  </si>
  <si>
    <t>LINESTRING (10.393144563566306 63.39754542309764, 10.393280901519214 63.39762348285697, 10.393907053189379 63.39829251539305, 10.394676110313611 63.39910008943589, 10.395120739732231 63.39955463386523, 10.395392996514436 63.39978459707306, 10.395904450979483 63.40010653020551, 10.396921255939027 63.40052506479944, 10.397209956671189 63.40061090649609)</t>
  </si>
  <si>
    <t>[1131182, 598760, 598768, 598776, 598784, 598792, 598800, 598808]</t>
  </si>
  <si>
    <t>[601802, 601803, 601809, 601813, 601818, 601823, 601828, 601834]</t>
  </si>
  <si>
    <t>0.009355894318615455</t>
  </si>
  <si>
    <t>[621325, 601802, 601803, 601809, 601813, 601818, 601823, 601828]</t>
  </si>
  <si>
    <t>[0.185, 0.001, 0.014, 0.017, 0.026, 0.026, 0.017, 0.021]</t>
  </si>
  <si>
    <t>404.75342784365347</t>
  </si>
  <si>
    <t>[-0.007, -0.015, -0.021, 0.009, 0.006, 0.003, 0.001, -0.001, -0.02, -0.023, -0.024, -0.024]</t>
  </si>
  <si>
    <t>LINESTRING (10.39743764733045 63.41658251395655, 10.39669408353773 63.41808457784684, 10.396139612656288 63.41916221357396, 10.395720313635174 63.41999747353631, 10.395653157682673 63.42012846269326, 10.395430661438251 63.42056369812903, 10.395190772668009 63.42104228092436, 10.395138216322367 63.42114684547815, 10.395068290600587 63.42128216925086, 10.394900281575433 63.42162107590317, 10.394758139810424 63.421901190094204, 10.394658148759595 63.422098021141785, 10.394613777320888 63.42219909102313)</t>
  </si>
  <si>
    <t>[598824, 598832, 598840, 598848, 598856, 598864, 598872, 598880, 598888, 598896, 598905, 598913]</t>
  </si>
  <si>
    <t>[601846, 601849, 601854, 601858, 601864, 601868, 601872, 601876, 601879, 601883, 601891, 601899]</t>
  </si>
  <si>
    <t>[601845, 601846, 601849, 601854, 601858, 601864, 601868, 601872, 601876, 601879, 601883, 601891]</t>
  </si>
  <si>
    <t>[0.007, 0.015, 0.021, 0.009, 0.006, 0.003, 0.001, 0.001, 0.02, 0.023, 0.024, 0.024]</t>
  </si>
  <si>
    <t>641.9253634837816</t>
  </si>
  <si>
    <t>[-0.2, 0.0, 0.01, 0.019, 0.019, 0.017, 0.021, 0.016, 0.011, 0.005, -0.016, -0.018, -0.02, -0.022, -0.024, -0.021, 0.0, -0.022, -0.024, -0.024, -0.018, -0.017, -0.016, -0.017, -0.015, -0.017, -0.018, -0.001, 0.005, 0.002, -0.003, -0.004, -0.003, -0.006, -0.011, -0.01, -0.01, -0.01, -0.009, -0.013, -0.009, 0.002, 0.002, 0.001, -0.007, -0.006, -0.006, -0.005, -0.007, -0.005, -0.004, -0.001, -0.011, -0.021]</t>
  </si>
  <si>
    <t>LINESTRING (10.393144563566306 63.39754542309764, 10.39321810021724 63.397637289297464, 10.393800077120671 63.398311900169915, 10.394461729538483 63.39924174411558, 10.394870045081465 63.39995693344124, 10.394968268475534 63.40015887781779, 10.395559866324502 63.40145156251673, 10.395565011199407 63.401462860960486, 10.39573501246141 63.401835599658085, 10.395965029096084 63.40233533888817, 10.396505937179455 63.40353053328902, 10.396623907877217 63.40378900872386, 10.39676306264497 63.40409019719868, 10.39687088378894 63.404312852587566, 10.396886797339278 63.40435140311905, 10.396921533656895 63.404435495069094, 10.396933198220344 63.40446827935398, 10.396933972672544 63.40447020169891, 10.396958850188756 63.40453212444955, 10.397003671137213 63.404638482757676, 10.39707857211641 63.40480197696946, 10.397337274107725 63.405376814981665, 10.397352900559317 63.40540641794019, 10.397551966752639 63.40583577973507, 10.398562920889667 63.40806348520023, 10.398753575686493 63.40850559368487, 10.398803288910715 63.40863940912125, 10.398849676657903 63.408782693913984, 10.39900077487345 63.409335406361905, 10.39905543159655 63.40959813987527, 10.39914980574649 63.41008671564626, 10.399252771537943 63.41076234453968, 10.399262485886418 63.41083054866349, 10.399329137738658 63.41226958251672, 10.399306567737172 63.41244276298634, 10.399293152269363 63.412471581824285, 10.399256797418523 63.41254667185972, 10.399232849499871 63.41262821375007, 10.39919435217736 63.412781871122824, 10.399185458535714 63.41282688679662, 10.399172537619608 63.412886861431254, 10.399170331135712 63.41289585436725, 10.398817718736437 63.413903024051166, 10.398764376074702 63.4140201530091, 10.398572016900257 63.41439267168839, 10.398371684506964 63.41477444675571, 10.398327387806608 63.41486546640747, 10.398309926072026 63.41490134841935, 10.398288671577747 63.414943978107154, 10.398272434271547 63.41497198650501, 10.398254244710532 63.41500590272862, 10.398197846784498 63.41511304164017, 10.397963057183654 63.41559845468138, 10.397730113734278 63.416145397544206, 10.39743764733045 63.41658251395655)</t>
  </si>
  <si>
    <t>[625534, 625542, 625550, 625558, 625566, 625574, 625582, 625590, 625598, 625606, 625614, 625622, 625630, 625638, 625646, 625654, 625662, 625670, 625678, 625686, 625694, 625702, 625710, 625718, 625726, 625734, 625742, 625750, 625758, 625766, 625774, 625782, 625790, 625798, 625806, 625814, 625822, 625830, 625838, 625846, 625854, 625862, 625870, 625878, 625886, 625894, 625902, 625910, 625918, 625926, 625934, 625942, 625950, 625958]</t>
  </si>
  <si>
    <t>[622343, 622349, 622357, 622364, 622369, 622377, 622384, 622389, 622395, 622404, 622412, 622419, 622424, 622431, 606448, 622443, 622449, 622458, 622464, 622472, 622481, 622490, 622497, 622502, 622508, 622514, 622521, 622528, 622534, 622542, 622548, 622556, 622561, 622569, 622576, 622584, 622589, 622598, 622607, 622616, 622624, 622630, 622636, 622644, 622650, 622655, 607724, 622665, 557081, 622677, 622689, 622698, 622702, 601845]</t>
  </si>
  <si>
    <t>[621325, 622343, 622349, 622357, 622364, 622369, 622377, 622384, 622389, 622395, 622404, 622412, 622419, 622424, 622431, 606448, 622443, 622449, 622458, 622464, 622472, 622481, 622490, 622497, 622502, 622508, 622514, 622521, 622528, 622534, 622542, 622548, 622556, 622561, 622569, 622576, 622584, 622589, 622598, 622607, 622616, 622624, 622630, 622636, 622644, 622650, 622655, 607724, 622665, 557081, 622677, 622689, 622698, 622702]</t>
  </si>
  <si>
    <t>[0.2, 0.0, 0.01, 0.019, 0.019, 0.017, 0.021, 0.016, 0.011, 0.005, 0.016, 0.018, 0.02, 0.022, 0.024, 0.021, 0.0, 0.022, 0.024, 0.024, 0.018, 0.017, 0.016, 0.017, 0.015, 0.017, 0.018, 0.001, 0.005, 0.002, 0.003, 0.004, 0.003, 0.006, 0.011, 0.01, 0.01, 0.01, 0.009, 0.013, 0.009, 0.002, 0.002, 0.001, 0.007, 0.006, 0.006, 0.005, 0.007, 0.005, 0.004, 0.001, 0.011, 0.021]</t>
  </si>
  <si>
    <t>2167.6077734365076</t>
  </si>
  <si>
    <t>[0.034, -0.002, 0.007, -0.001, 0.014, 0.016, 0.015, 0.016, 0.007, -0.001, -0.005, -0.006, -0.007, -0.008, -0.009, -0.008, -0.01, -0.009, -0.017, -0.023, -0.019, -0.015, 0.002, 0.003, 0.001, -0.0, -0.001, -0.003, -0.007, -0.012, -0.012, -0.012, -0.014, -0.014, -0.013, -0.014, -0.022, -0.002, -0.002, -0.01, -0.005, 0.0, 0.0, 0.0, 0.005, -0.002, 0.002, 0.006, 0.014, -0.035]</t>
  </si>
  <si>
    <t>LINESTRING (10.391959206353187 63.39677961651198, 10.392202940036187 63.39702840328405, 10.39286411609855 63.397596178732385, 10.392937540701933 63.3976798765443, 10.394191603650652 63.399274977529046, 10.394603671510536 63.399987744164406, 10.39470771381103 63.400188536841355, 10.395303441572233 63.40147741765488, 10.39547930691279 63.40186045330064, 10.395706079270681 63.40235926102442, 10.396257589612906 63.40355057256594, 10.39637309412675 63.40380865392688, 10.396508970852576 63.40411312695486, 10.39661029045337 63.404332164697166, 10.396627138357625 63.40436989116598, 10.39665951321022 63.404437208493995, 10.396687194723238 63.404503025502294, 10.396712090515463 63.40455796197185, 10.396758303900016 63.40465926675218, 10.397087974903775 63.405382824542905, 10.397104894979138 63.40541736102846, 10.397299275214655 63.40584290323169, 10.398296995376883 63.40804983473197, 10.398488177376441 63.40848750955842, 10.398553644754863 63.408655140321216, 10.398591369980837 63.40876203324161, 10.398659565343793 63.408966907554884, 10.398761698763616 63.4093083974823, 10.398831135383254 63.40956703087689, 10.399050317030195 63.410761210048356, 10.39908238518621 63.41221088162003, 10.399055902822521 63.4124199135412, 10.399047946277829 63.41249332970299, 10.399025348372444 63.41261531689534, 10.398990169158218 63.41276792126733, 10.39897961744509 63.41281251478032, 10.398965557486864 63.41287195810062, 10.398963442276342 63.41288088204149, 10.39860414134928 63.41387955386899, 10.398547177664016 63.413995361022444, 10.398360136194826 63.414365362341975, 10.398163835714685 63.414744380746455, 10.398120209436325 63.41483472058532, 10.39810307148344 63.414870334264755, 10.398082939893447 63.41491334185272, 10.398068277300915 63.414939665539094, 10.398049994119877 63.414974163213074, 10.397992767678204 63.415083082760894, 10.397731203441097 63.41557425905104, 10.39746715638759 63.41614590684512, 10.39743764733045 63.41658251395655)</t>
  </si>
  <si>
    <t>[627367, 627375, 628480, 628488, 628497, 628505, 628513, 628521, 628529, 628537, 628545, 628553, 628561, 628569, 628577, 628585, 628601, 628609, 628617, 628625, 628633, 628641, 628649, 628657, 628665, 628673, 628681, 628689, 628697, 628705, 628713, 628721, 628729, 628737, 628745, 628753, 628761, 628769, 628777, 628785, 628793, 628801, 628809, 628817, 628825, 628833, 628841, 628849, 628857, 628865]</t>
  </si>
  <si>
    <t>[623703, 623709, 624511, 624517, 624527, 624534, 624540, 624548, 624553, 624559, 624564, 624569, 624574, 624579, 624585, 606447, 624599, 624605, 624610, 624617, 624622, 624628, 624636, 624643, 624648, 624652, 624658, 624663, 624670, 624676, 624682, 624688, 624695, 624701, 624706, 624711, 624718, 624724, 624729, 624737, 624744, 624750, 607723, 624762, 557080, 624773, 624779, 624784, 624791, 601845]</t>
  </si>
  <si>
    <t>[621785, 623703, 623709, 624511, 624517, 624527, 624534, 624540, 624548, 624553, 624559, 624564, 624569, 624574, 624579, 624585, 606447, 624599, 624605, 624610, 624617, 624622, 624628, 624636, 624643, 624648, 624652, 624658, 624663, 624670, 624676, 624682, 624688, 624695, 624701, 624706, 624711, 624718, 624724, 624729, 624737, 624744, 624750, 607723, 624762, 557080, 624773, 624779, 624784, 624791]</t>
  </si>
  <si>
    <t>[0.034, 0.002, 0.007, 0.001, 0.014, 0.016, 0.015, 0.016, 0.007, 0.001, 0.005, 0.006, 0.007, 0.008, 0.009, 0.008, 0.01, 0.009, 0.017, 0.023, 0.019, 0.015, 0.002, 0.003, 0.001, 0.0, 0.001, 0.003, 0.007, 0.012, 0.012, 0.012, 0.014, 0.014, 0.013, 0.014, 0.022, 0.002, 0.002, 0.01, 0.005, 0.0, 0.0, 0.0, 0.005, 0.002, 0.002, 0.006, 0.014, 0.035]</t>
  </si>
  <si>
    <t>2262.622293664895</t>
  </si>
  <si>
    <t>[-0.021, -0.081]</t>
  </si>
  <si>
    <t>LINESTRING (10.394613777320888 63.42219909102313, 10.394514340979235 63.42265083257674, 10.394344344240508 63.42282614273657)</t>
  </si>
  <si>
    <t>[625966, 625974]</t>
  </si>
  <si>
    <t>[622714, 601906]</t>
  </si>
  <si>
    <t>[601899, 622714]</t>
  </si>
  <si>
    <t>[0.021, 0.081]</t>
  </si>
  <si>
    <t>73.42732127759344</t>
  </si>
  <si>
    <t>[-0.138, 0.214]</t>
  </si>
  <si>
    <t>LINESTRING (10.394613777320888 63.42219909102313, 10.394315058879585 63.422641675834406, 10.394344344240508 63.42282614273657)</t>
  </si>
  <si>
    <t>[628873, 628881]</t>
  </si>
  <si>
    <t>[624802, 601906]</t>
  </si>
  <si>
    <t>[601899, 624802]</t>
  </si>
  <si>
    <t>[0.138, 0.214]</t>
  </si>
  <si>
    <t>73.60781860240014</t>
  </si>
  <si>
    <t>[-0.089, -0.1, 0.024, 0.102]</t>
  </si>
  <si>
    <t>LINESTRING (10.394344344240508 63.42282614273657, 10.394333856803957 63.42289347947752, 10.394193184504573 63.423482765438706, 10.393787520631546 63.42496539708294, 10.393729904138558 63.42516136559378)</t>
  </si>
  <si>
    <t>[598921, 598929, 598937, 598945]</t>
  </si>
  <si>
    <t>[601907, 601913, 601918, 601924]</t>
  </si>
  <si>
    <t>[601906, 601907, 601913, 601918]</t>
  </si>
  <si>
    <t>[0.089, 0.1, 0.024, 0.102]</t>
  </si>
  <si>
    <t>262.18643407181133</t>
  </si>
  <si>
    <t>[0.046, -0.008, -0.012, -0.012, -0.013, -0.004, 0.004, 0.012]</t>
  </si>
  <si>
    <t>LINESTRING (10.393729904138558 63.42516136559378, 10.393636251408806 63.42577865124534, 10.393458318576716 63.42628091282438, 10.393448339126545 63.42630900603191, 10.393388245162338 63.42646743304299, 10.393364745976697 63.42655959985575, 10.39312920905639 63.427385528387305, 10.393028986433526 63.42749513614592, 10.3929990415092 63.4275089436452)</t>
  </si>
  <si>
    <t>[625982, 625990, 625998, 626006, 626014, 626022, 626030, 626038]</t>
  </si>
  <si>
    <t>[622725, 622731, 622736, 622742, 622747, 622752, 622757, 601930]</t>
  </si>
  <si>
    <t>0.007721944949020309</t>
  </si>
  <si>
    <t>[601924, 622725, 622731, 622736, 622742, 622747, 622752, 622757]</t>
  </si>
  <si>
    <t>[0.046, 0.008, 0.012, 0.012, 0.013, 0.004, 0.004, 0.012]</t>
  </si>
  <si>
    <t>265.89287210439477</t>
  </si>
  <si>
    <t>[-0.054, 0.045, 0.049, 0.046, 0.045, 0.011, 0.284]</t>
  </si>
  <si>
    <t>LINESTRING (10.393729904138558 63.42516136559378, 10.39343450884859 63.425767310198445, 10.393265911293385 63.42627004381814, 10.393257283884061 63.42629821663131, 10.393210800989944 63.42645750560875, 10.393186739192254 63.426549672228305, 10.392985220119758 63.427491412277696, 10.3929990415092 63.4275089436452)</t>
  </si>
  <si>
    <t>[628889, 628897, 628905, 628913, 628921, 628929, 628937]</t>
  </si>
  <si>
    <t>[624816, 624822, 624832, 624840, 624846, 624853, 601930]</t>
  </si>
  <si>
    <t>0.007566462310587174</t>
  </si>
  <si>
    <t>[601924, 624816, 624822, 624832, 624840, 624846, 624853]</t>
  </si>
  <si>
    <t>[0.054, 0.045, 0.049, 0.046, 0.045, 0.011, 0.284]</t>
  </si>
  <si>
    <t>265.3272058437086</t>
  </si>
  <si>
    <t>[-0.003, -0.014, -0.014, -0.016, -0.012, -0.015, -0.012, -0.013, -0.07, -0.021]</t>
  </si>
  <si>
    <t>9832.0</t>
  </si>
  <si>
    <t>LINESTRING (10.3929990415092 63.4275089436452, 10.392669937721365 63.42881754715206, 10.392652002013604 63.428895946640566, 10.392601238569581 63.42906980863557, 10.392478437624849 63.429560073616116, 10.39237518320441 63.42996103859651, 10.39236856954204 63.429986290999906, 10.392261889774849 63.4303936737202, 10.392223730808503 63.43049367599984, 10.392145587488004 63.43060247661561, 10.39210145507513 63.43067147872413)</t>
  </si>
  <si>
    <t>[598953, 598961, 598969, 598977, 598985, 598993, 599001, 599009, 1805653, 1805661]</t>
  </si>
  <si>
    <t>[601931, 601939, 601945, 601949, 601954, 601958, 601963, 601967, 1392973, 1591175]</t>
  </si>
  <si>
    <t>[601930, 601931, 601939, 601945, 601949, 601954, 601958, 601963, 601967, 1392973]</t>
  </si>
  <si>
    <t>[0.003, 0.014, 0.014, 0.016, 0.012, 0.015, 0.012, 0.013, 0.07, 0.021]</t>
  </si>
  <si>
    <t>355.79677785475195</t>
  </si>
  <si>
    <t>[0.122, 0.121, 0.131, 0.135, 0.145, 0.125, 0.14, 0.133, 0.137, 0.132, 0.109]</t>
  </si>
  <si>
    <t>LINESTRING (11.741201314179165 63.41455015099733, 11.741807557865535 63.41430183650266, 11.74183291084525 63.41429588392421, 11.742639195738029 63.414104988395515, 11.74286095854158 63.414053495372606, 11.742978107145055 63.414025955731084, 11.743081148287882 63.414000313187515, 11.743257977513833 63.41395808090391, 11.743521036419274 63.413892957438414, 11.743809257509325 63.413817186877296, 11.744031454470045 63.4137551194953, 11.744834602106058 63.41352376890491)</t>
  </si>
  <si>
    <t>[625762, 625770, 625778, 625786, 625794, 625802, 625810, 625818, 625826, 625834, 625842]</t>
  </si>
  <si>
    <t>[622538, 622545, 622551, 622559, 622564, 505382, 622579, 622587, 622592, 622603, 602188]</t>
  </si>
  <si>
    <t>0.12591390540567368</t>
  </si>
  <si>
    <t>[602181, 622538, 622545, 622551, 622559, 622564, 505382, 622579, 622587, 622592, 622603]</t>
  </si>
  <si>
    <t>216.35420808157596</t>
  </si>
  <si>
    <t>[0.147, 0.134, 0.135, 0.125, 0.135, 0.138, 0.136, 0.132, 0.138, 0.124, 0.161, 0.09]</t>
  </si>
  <si>
    <t>LINESTRING (11.741201314179165 63.41455015099733, 11.741970669504468 63.414333280636264, 11.742719545984976 63.41416177288104, 11.74293894957156 63.41410881552, 11.743041036770732 63.41408292665743, 11.743143999981578 63.41405885439463, 11.743323447428514 63.41401581033812, 11.74358907562892 63.41394836471368, 11.743883008313784 63.413872257092684, 11.743944797083403 63.41385612115779, 11.744094331570059 63.413809034360405, 11.744103272117538 63.41380603109579, 11.744834602106058 63.41352376890491)</t>
  </si>
  <si>
    <t>[682447, 682455, 682463, 682471, 682479, 682487, 682495, 682503, 682511, 682519, 682527, 682535]</t>
  </si>
  <si>
    <t>[673583, 673594, 505352, 673612, 505372, 673631, 673639, 673647, 673657, 673667, 673677, 602188]</t>
  </si>
  <si>
    <t>0.12659440367488126</t>
  </si>
  <si>
    <t>[602181, 673583, 673594, 505352, 673612, 505372, 673631, 673639, 673647, 673657, 673667, 673677]</t>
  </si>
  <si>
    <t>215.48270051800654</t>
  </si>
  <si>
    <t>LINESTRING (11.541280521751471 63.4373230505893, 11.741201314179165 63.41455015099733)</t>
  </si>
  <si>
    <t>11551.631569352941</t>
  </si>
  <si>
    <t>[0.058, -0.002, -0.004, -0.012, -0.002, -0.01, 0.087, 0.041, -0.071, -0.034, -0.039, 0.163, 0.148, 0.097, -0.028, -0.049, -0.013, 0.024, 0.026, 0.018, 0.03, -0.014, -0.074, 0.038, 0.048, 0.046, 0.033, -0.003, -0.01, 0.013, 1.011, -0.03, -0.028, 0.006, 0.018, 0.012, 0.036, -0.01, -0.016, 0.061, 0.073, 0.064, 0.043]</t>
  </si>
  <si>
    <t>1920.0</t>
  </si>
  <si>
    <t>[0, 0, 0, 0, 0, 0, 0, 0, 0, 0, 0, 0, 0, 0, 0, 0, 0, 0, 0, 0, 0, 0, 0, 1, 0, 0, 0, 0, 0, 0, 0, 0, 0, 0, 0, 0, 0, 0, 0, 0, 0, 0, 0]</t>
  </si>
  <si>
    <t>LINESTRING (11.744834602106058 63.41352376890491, 11.746531974561728 63.41263470926548, 11.747943171836118 63.41052833564101, 11.747955921779482 63.410494722499735, 11.747983755879646 63.410419634962516, 11.748490237282228 63.40912144599685, 11.75812940490095 63.4054435317638, 11.763296487672777 63.40530367883748, 11.770019489921355 63.40375420981756, 11.771185889390203 63.40349452690051, 11.772521688692857 63.40318958836406, 11.77550891679782 63.40192733090491, 11.775999197981266 63.40174207307161, 11.776769097782523 63.401498554778044, 11.77985096327228 63.40066647405571, 11.78461989994796 63.39877491507992, 11.787248758828301 63.39805969992367, 11.787930601801403 63.39798220128718, 11.795745134467973 63.39756369254889, 11.797561203801898 63.397378139043305, 11.797726650233685 63.397364414015385, 11.800259772587069 63.39724317614866, 11.80111409828553 63.39719610748091, 11.804189400597147 63.39651354487486, 11.805184458592286 63.39612006849368, 11.808716363073435 63.39521218219382, 11.865647718569559 63.38115088071425, 11.891333868516496 63.37912634413783, 11.909375682664045 63.37627632154475, 11.936671616940925 63.37034409021936, 11.960089440966255 63.365215624119216, 11.960270492968203 63.36515954279545, 11.962307343685762 63.36452327088804, 11.962317314798367 63.364520177708044, 11.971307543253472 63.361712030991065, 11.990586809766429 63.355730838967006, 12.011806701718115 63.34754841492289, 12.016495553313332 63.34585269918738, 12.028693828300447 63.34204660901004, 12.028953130267999 63.34200536898791, 12.036260292416962 63.34124409991856, 12.037915964046894 63.34084177571346, 12.038487610539217 63.34069521764951, 12.059370049156364 63.33625768744996)</t>
  </si>
  <si>
    <t>[599295, 599303, 599311, 599319, 599327, 599335, 599343, 640915, 640923, 640931, 640939, 640947, 640955, 640963, 640971, 640979, 640987, 640995, 641003, 641011, 641019, 641027, 641035, 641043, 641051, 641059, 641067, 641075, 641083, 599351, 599359, 599367, 599375, 599383, 599391, 599399, 599407, 599415, 599423, 599431, 599439, 599447, 599455]</t>
  </si>
  <si>
    <t>[602189, 602194, 531293, 538380, 538401, 578827, 530913, 635146, 635153, 531353, 635163, 635168, 635175, 531345, 635185, 531336, 531818, 635202, 635207, 607969, 635217, 635223, 635227, 635232, 571916, 633475, 579069, 633626, 532130, 602229, 499768, 499767, 602246, 532050, 602258, 532026, 602270, 531943, 579136, 602288, 602293, 537993, 602303]</t>
  </si>
  <si>
    <t>0.02062707977164079</t>
  </si>
  <si>
    <t>[602188, 602189, 602194, 531293, 538380, 538401, 578827, 530913, 635146, 635153, 531353, 635163, 635168, 635175, 531345, 635185, 531336, 531818, 635202, 635207, 607969, 635217, 635223, 635227, 635232, 571916, 633475, 579069, 633626, 532130, 602229, 499768, 499767, 602246, 532050, 602258, 532026, 602270, 531943, 579136, 602288, 602293, 537993]</t>
  </si>
  <si>
    <t>[0.058, 0.002, 0.004, 0.012, 0.002, 0.01, 0.087, 0.041, 0.071, 0.034, 0.039, 0.163, 0.148, 0.097, 0.028, 0.049, 0.013, 0.024, 0.026, 0.018, 0.03, 0.014, 0.074, 0.038, 0.048, 0.046, 0.033, 0.003, 0.01, 0.013, 1.011, 0.03, 0.028, 0.006, 0.018, 0.012, 0.036, 0.01, 0.016, 0.061, 0.073, 0.064, 0.043]</t>
  </si>
  <si>
    <t>18855.648155876395</t>
  </si>
  <si>
    <t>[0.003, -0.004, -0.009, -0.012]</t>
  </si>
  <si>
    <t>LINESTRING (10.923171486620173 63.467264895160056, 10.923263673889062 63.46723194868318, 10.923369749645387 63.46722124902965, 10.923477213058074 63.46723083968661, 10.92359332967484 63.467278967534014)</t>
  </si>
  <si>
    <t>[599463, 599471, 599479, 599487]</t>
  </si>
  <si>
    <t>[602309, 602315, 602318, 602323]</t>
  </si>
  <si>
    <t>[602308, 602309, 602315, 602318]</t>
  </si>
  <si>
    <t>[0.003, 0.004, 0.009, 0.012]</t>
  </si>
  <si>
    <t>24.664987579257033</t>
  </si>
  <si>
    <t>[0.014, 0.013]</t>
  </si>
  <si>
    <t>LINESTRING (10.923159072827264 63.467389749162216, 10.923127636299528 63.467311300744754, 10.923171486620173 63.467264895160056)</t>
  </si>
  <si>
    <t>[599543, 599551]</t>
  </si>
  <si>
    <t>[602363, 602308]</t>
  </si>
  <si>
    <t>0.013612692906947974</t>
  </si>
  <si>
    <t>[602358, 602363]</t>
  </si>
  <si>
    <t>14.501353116228143</t>
  </si>
  <si>
    <t>[0.009, 0.009, 0.011, 0.009, 0.002]</t>
  </si>
  <si>
    <t>LINESTRING (10.915408515858893 63.466885307530575, 10.91553523697886 63.466898339891024, 10.915957920516338 63.46692266088787, 10.918629983966358 63.46702288080619, 10.923042156621069 63.46726970910144, 10.923171486620173 63.467264895160056)</t>
  </si>
  <si>
    <t>[2135140, 2135148, 2135156, 625634, 625642]</t>
  </si>
  <si>
    <t>[1835809, 1835813, 622426, 622427, 602308]</t>
  </si>
  <si>
    <t>0.009570001728846447</t>
  </si>
  <si>
    <t>[1835749, 1835809, 1835813, 622426, 622427]</t>
  </si>
  <si>
    <t>390.2736511686734</t>
  </si>
  <si>
    <t>[-0.012, -0.008]</t>
  </si>
  <si>
    <t>LINESTRING (10.92359332967484 63.467278967534014, 10.923623756584224 63.46734632233916, 10.923576600040825 63.467398305416665)</t>
  </si>
  <si>
    <t>[599495, 599503]</t>
  </si>
  <si>
    <t>[602330, 602337]</t>
  </si>
  <si>
    <t>[602323, 602330]</t>
  </si>
  <si>
    <t>[0.012, 0.008]</t>
  </si>
  <si>
    <t>13.91456347670244</t>
  </si>
  <si>
    <t>LINESTRING (10.92359332967484 63.467278967534014, 10.923720733791164 63.46729626349722, 10.92429158647704 63.467347489902)</t>
  </si>
  <si>
    <t>[625650, 625658]</t>
  </si>
  <si>
    <t>[622438, 622445]</t>
  </si>
  <si>
    <t>[602323, 622438]</t>
  </si>
  <si>
    <t>35.672841969565056</t>
  </si>
  <si>
    <t>[-0.006, 0.0, 0.008, 0.012]</t>
  </si>
  <si>
    <t>LINESTRING (10.923576600040825 63.467398305416665, 10.923538836714718 63.46741681403084, 10.92339847832961 63.46744373077234, 10.923200168497587 63.46741256537908, 10.923159072827264 63.467389749162216)</t>
  </si>
  <si>
    <t>[599511, 599519, 599527, 599535]</t>
  </si>
  <si>
    <t>[602344, 602348, 602352, 602358]</t>
  </si>
  <si>
    <t>0.004439213923868502</t>
  </si>
  <si>
    <t>[602337, 602344, 602348, 602352]</t>
  </si>
  <si>
    <t>[0.006, 0.0, 0.008, 0.012]</t>
  </si>
  <si>
    <t>24.42303202797139</t>
  </si>
  <si>
    <t>[-0.1, 0.021]</t>
  </si>
  <si>
    <t>LINESTRING (10.923576600040825 63.467398305416665, 10.923718833386362 63.46738825922892, 10.92429158647704 63.467347489902)</t>
  </si>
  <si>
    <t>[682343, 682351]</t>
  </si>
  <si>
    <t>[673448, 622445]</t>
  </si>
  <si>
    <t>[602337, 673448]</t>
  </si>
  <si>
    <t>[0.1, 0.021]</t>
  </si>
  <si>
    <t>36.100931019269574</t>
  </si>
  <si>
    <t>[0.01, 0.009, 0.009, 0.005, 0.146]</t>
  </si>
  <si>
    <t>LINESTRING (10.91540204047752 63.4670375662388, 10.915529821019366 63.46702250407288, 10.915949624661213 63.467001153457524, 10.918612860908487 63.467078515457594, 10.923048053761569 63.46736337442323, 10.923159072827264 63.467389749162216)</t>
  </si>
  <si>
    <t>[2135116, 2135124, 2135132, 682328, 682335]</t>
  </si>
  <si>
    <t>[1835795, 1835799, 673432, 673433, 602358]</t>
  </si>
  <si>
    <t>0.008926561402602983</t>
  </si>
  <si>
    <t>[1835761, 1835795, 1835799, 673432, 673433]</t>
  </si>
  <si>
    <t>390.68212841516015</t>
  </si>
  <si>
    <t>[0.086, -0.01, -0.036, -0.018, -0.025, -0.024]</t>
  </si>
  <si>
    <t>LINESTRING (9.858505944091107 63.30883154777064, 9.858206438714593 63.30872055024194, 9.85680757587846 63.307993580308256, 9.856780017501546 63.30797790110359, 9.856630453243787 63.30789263761548, 9.855539894137632 63.307176742161545, 9.85461857821334 63.30635096881147)</t>
  </si>
  <si>
    <t>[1851089, 1851097, 1851105, 1851114, 1851134, 1851135]</t>
  </si>
  <si>
    <t>[1620766, 1620773, 1620780, 1620787, 1620810, 602428]</t>
  </si>
  <si>
    <t>[602423, 1620766, 1620773, 1620780, 1620787, 1620810]</t>
  </si>
  <si>
    <t>[0.086, 0.01, 0.036, 0.018, 0.025, 0.024]</t>
  </si>
  <si>
    <t>341.58011552869664</t>
  </si>
  <si>
    <t>[0.113, -0.008, -0.013, -0.016, -0.025, -0.032]</t>
  </si>
  <si>
    <t>LINESTRING (9.858505944091107 63.30883154777064, 9.858292901638407 63.308690578527965, 9.856963712928122 63.3079682438151, 9.856852889826472 63.307903454546995, 9.856718291728049 63.30782420239643, 9.855651946075897 63.30712691588576, 9.85461857821334 63.30635096881147)</t>
  </si>
  <si>
    <t>[1851150, 1851158, 1851175, 1851183, 1851191, 1851199]</t>
  </si>
  <si>
    <t>[1620829, 1620839, 1620856, 1620863, 1620870, 602428]</t>
  </si>
  <si>
    <t>[602423, 1620829, 1620839, 1620856, 1620863, 1620870]</t>
  </si>
  <si>
    <t>[0.113, 0.008, 0.013, 0.016, 0.025, 0.032]</t>
  </si>
  <si>
    <t>339.37753893224635</t>
  </si>
  <si>
    <t>[0.179, 0.05, 0.061, 0.059]</t>
  </si>
  <si>
    <t>LINESTRING (11.154832178096836 60.08037153589818, 11.154794452254032 60.080401900548445, 11.154709373246874 60.080437179472185, 11.154608347387432 60.08045491444875, 11.154298882889739 60.08036230575758)</t>
  </si>
  <si>
    <t>[1496886, 1496887, 1496893, 1496923]</t>
  </si>
  <si>
    <t>[1354973, 1354974, 1354982, 1355006]</t>
  </si>
  <si>
    <t>0.07057722470835306</t>
  </si>
  <si>
    <t>[604721, 1354973, 1354974, 1354982]</t>
  </si>
  <si>
    <t>37.52359616430519</t>
  </si>
  <si>
    <t>[0.029, -0.063]</t>
  </si>
  <si>
    <t>LINESTRING (11.154841022323195 60.08026482023759, 11.154856377015813 60.08031830420506, 11.154832178096836 60.08037153589818)</t>
  </si>
  <si>
    <t>[1496844, 1496855]</t>
  </si>
  <si>
    <t>[1354936, 604721]</t>
  </si>
  <si>
    <t>[604762, 1354936]</t>
  </si>
  <si>
    <t>[0.029, 0.063]</t>
  </si>
  <si>
    <t>12.10355982005014</t>
  </si>
  <si>
    <t>[-0.044, -0.073, -0.088, -0.073]</t>
  </si>
  <si>
    <t>LINESTRING (11.154320472628726 60.08023888136954, 11.154393521922975 60.08019875786323, 11.154490003433995 60.08017369931928, 11.154596738524745 60.08016871569633, 11.154841022323195 60.08026482023759)</t>
  </si>
  <si>
    <t>[1496820, 1496828, 1496836, 1496837]</t>
  </si>
  <si>
    <t>[1354918, 1354925, 1354930, 604762]</t>
  </si>
  <si>
    <t>[1354917, 1354918, 1354925, 1354930]</t>
  </si>
  <si>
    <t>[0.044, 0.073, 0.088, 0.073]</t>
  </si>
  <si>
    <t>36.10284719409079</t>
  </si>
  <si>
    <t>36.533038871877935</t>
  </si>
  <si>
    <t>32.81082293475273</t>
  </si>
  <si>
    <t>[-0.014, -0.015, -0.008]</t>
  </si>
  <si>
    <t>LINESTRING (11.462272436435894 63.785464832735926, 11.463070951245408 63.785688346929575, 11.464293487509002 63.786034481708626, 11.464578360324055 63.78611457478554)</t>
  </si>
  <si>
    <t>[846689, 610054, 610062]</t>
  </si>
  <si>
    <t>[610774, 610775, 610779]</t>
  </si>
  <si>
    <t>[822035, 610774, 610775]</t>
  </si>
  <si>
    <t>[0.014, 0.015, 0.008]</t>
  </si>
  <si>
    <t>134.80441296823588</t>
  </si>
  <si>
    <t>[0.002, 0.003, 0.001, 0.001]</t>
  </si>
  <si>
    <t>LINESTRING (9.83690339712527 63.29716230358965, 9.836138491978334 63.297243990454064, 9.836123916841526 63.297245548211556, 9.836005992428573 63.297258142079336, 9.8358962635224 63.29726985501922)</t>
  </si>
  <si>
    <t>[1355028, 1355035, 1355043, 1355044]</t>
  </si>
  <si>
    <t>[1253900, 1253906, 1253912, 1253793]</t>
  </si>
  <si>
    <t>0.0017884340573579573</t>
  </si>
  <si>
    <t>[610925, 1253900, 1253906, 1253912]</t>
  </si>
  <si>
    <t>51.9396196930404</t>
  </si>
  <si>
    <t>[0.002, 0.001, 0.002, 0.002]</t>
  </si>
  <si>
    <t>LINESTRING (9.83690339712527 63.29716230358965, 9.836119125834816 63.29716571711407, 9.836098496509903 63.297165804385436, 9.835979018666134 63.29716633115243, 9.83586196365759 63.29716683787956)</t>
  </si>
  <si>
    <t>[1355051, 1355052, 1355062, 1355075]</t>
  </si>
  <si>
    <t>[1253916, 1253917, 1253924, 1253875]</t>
  </si>
  <si>
    <t>0.001980191464483398</t>
  </si>
  <si>
    <t>[610925, 1253916, 1253917, 1253924]</t>
  </si>
  <si>
    <t>52.25959146235435</t>
  </si>
  <si>
    <t>[0.002, 0.035, 0.045, 0.044, 0.035, 0.025, -0.011, 0.013, -0.022, 0.004, 0.023, 0.021, 0.003, -0.01]</t>
  </si>
  <si>
    <t>LINESTRING (9.83436787815645 63.297301202772914, 9.833005385362641 63.29738017445137, 9.829561585405795 63.29757336487955, 9.828375901074889 63.29771692426294, 9.828262566242149 63.29773621050159, 9.828064375131072 63.29778397899561, 9.822130976097785 63.30204034894173, 9.820416334078656 63.3028053106266, 9.818604779178372 63.30371333516789, 9.815777205829082 63.306122242695864, 9.81349422617058 63.308781627108104, 9.813277388564067 63.30903407027017, 9.813232449384671 63.30908739315402, 9.812326562106941 63.31013669338123, 9.812287549576016 63.31018209006574)</t>
  </si>
  <si>
    <t>[610332, 610340, 610348, 610356, 610364, 610372, 610380, 610388, 610396, 610404, 610412, 610420, 610428, 610436]</t>
  </si>
  <si>
    <t>[610931, 610935, 610942, 604080, 610953, 610959, 610964, 610970, 603665, 610980, 505695, 610985, 610989, 610996]</t>
  </si>
  <si>
    <t>0.010395324263606556</t>
  </si>
  <si>
    <t>[610930, 610931, 610935, 610942, 604080, 610953, 610959, 610964, 610970, 603665, 610980, 505695, 610985, 610989]</t>
  </si>
  <si>
    <t>[0.002, 0.035, 0.045, 0.044, 0.035, 0.025, 0.011, 0.013, 0.022, 0.004, 0.023, 0.021, 0.003, 0.01]</t>
  </si>
  <si>
    <t>1946.1773690033567</t>
  </si>
  <si>
    <t>LINESTRING (9.835401465819457 63.29729831054062, 9.835293064894476 63.297298609431635, 9.83520000586589 63.297298871895045, 9.834713508462173 63.297300231558815, 9.83436787815645 63.297301202772914)</t>
  </si>
  <si>
    <t>[1355076, 1355085, 1355102, 1355110]</t>
  </si>
  <si>
    <t>[1253932, 1253938, 1253951, 610930]</t>
  </si>
  <si>
    <t>[1253821, 1253932, 1253938, 1253951]</t>
  </si>
  <si>
    <t>51.86424183544278</t>
  </si>
  <si>
    <t>[0.004, 0.003, 0.003, 0.001, 0.003]</t>
  </si>
  <si>
    <t>LINESTRING (9.835377203899998 63.29719474027889, 9.835272942399973 63.2972057337191, 9.835175568220821 63.29721600568592, 9.83471215380151 63.29726488811362, 9.834694708722777 63.29726672829907, 9.83436787815645 63.297301202772914)</t>
  </si>
  <si>
    <t>[1355118, 1355126, 1355134, 1355142, 1355150]</t>
  </si>
  <si>
    <t>[1253961, 1253966, 1253971, 1253978, 610930]</t>
  </si>
  <si>
    <t>0.003068728522022595</t>
  </si>
  <si>
    <t>[1253835, 1253961, 1253966, 1253971, 1253978]</t>
  </si>
  <si>
    <t>52.01877332642678</t>
  </si>
  <si>
    <t>[0.313, -0.018]</t>
  </si>
  <si>
    <t>LINESTRING (9.812287549576016 63.31018209006574, 9.812166438273358 63.310218085572, 9.811643107748985 63.310130929024716)</t>
  </si>
  <si>
    <t>[1819602, 2138863]</t>
  </si>
  <si>
    <t>[1599896, 612442]</t>
  </si>
  <si>
    <t>0.05032793840296952</t>
  </si>
  <si>
    <t>[610996, 1599896]</t>
  </si>
  <si>
    <t>[0.313, 0.018]</t>
  </si>
  <si>
    <t>35.27057398805041</t>
  </si>
  <si>
    <t>[0.347, -0.02]</t>
  </si>
  <si>
    <t>LINESTRING (9.812287549576016 63.31018209006574, 9.812235400328731 63.31012530615325, 9.811643107748985 63.310130929024716)</t>
  </si>
  <si>
    <t>[1819620, 2139015]</t>
  </si>
  <si>
    <t>[1599911, 612442]</t>
  </si>
  <si>
    <t>0.04799288904139595</t>
  </si>
  <si>
    <t>[610996, 1599911]</t>
  </si>
  <si>
    <t>[0.347, 0.02]</t>
  </si>
  <si>
    <t>36.97988911090936</t>
  </si>
  <si>
    <t>[0.063, 0.054, 0.03, 0.025]</t>
  </si>
  <si>
    <t>LINESTRING (9.846351711496354 63.29654813681337, 9.846391593956632 63.296538444951835, 9.846549930725368 63.29651303914274, 9.84675950361889 63.29654852661185, 9.846788010982952 63.29656696859517)</t>
  </si>
  <si>
    <t>[611772, 611780, 611788, 611796]</t>
  </si>
  <si>
    <t>[582971, 611970, 610211, 611980]</t>
  </si>
  <si>
    <t>0.04075082769725847</t>
  </si>
  <si>
    <t>[611960, 582971, 611970, 610211]</t>
  </si>
  <si>
    <t>24.646999841491724</t>
  </si>
  <si>
    <t>[0.053, 0.049, 0.053, 0.032, -0.001]</t>
  </si>
  <si>
    <t>LINESTRING (7.9566098756676995 58.137586628345744, 7.956362504828732 58.13762121387598, 7.955941261464857 58.13767378896334, 7.955908551166979 58.13767727260141, 7.953848180162155 58.137863427963396, 7.953700279623238 58.137894960365905)</t>
  </si>
  <si>
    <t>[612277, 612285, 612293, 612301, 612309]</t>
  </si>
  <si>
    <t>[612325, 612332, 612339, 612344, 612349]</t>
  </si>
  <si>
    <t>0.03474699124668935</t>
  </si>
  <si>
    <t>[612324, 612325, 612332, 612339, 612344]</t>
  </si>
  <si>
    <t>[0.053, 0.049, 0.053, 0.032, 0.001]</t>
  </si>
  <si>
    <t>175.48220513982713</t>
  </si>
  <si>
    <t>[0.059, 0.099, 0.073, 0.092, -0.016, 0.07, 0.047]</t>
  </si>
  <si>
    <t>LINESTRING (7.965194395956504 58.14003640641602, 7.964848032962879 58.139903114268535, 7.963934385206857 58.139547496159736, 7.963404893454272 58.13933870921998, 7.9629649086172964 58.13922644613347, 7.958446952658321 58.137575096986346, 7.956880471052001 58.137586315876796, 7.9566098756676995 58.137586628345744)</t>
  </si>
  <si>
    <t>[1138706, 1138714, 1135252, 1135253, 1135255, 1135257, 1135258]</t>
  </si>
  <si>
    <t>[1075094, 1072165, 1072166, 1072167, 1072168, 1072170, 612324]</t>
  </si>
  <si>
    <t>0.02623039993645212</t>
  </si>
  <si>
    <t>[1072160, 1075094, 1072165, 1072166, 1072167, 1072168, 1072170]</t>
  </si>
  <si>
    <t>[0.059, 0.099, 0.073, 0.092, 0.016, 0.07, 0.047]</t>
  </si>
  <si>
    <t>595.6575502788072</t>
  </si>
  <si>
    <t>[0.055, 0.006, 0.044, -0.023, -0.034, 0.104, 0.062]</t>
  </si>
  <si>
    <t>LINESTRING (7.962878825179337 58.13604764859662, 7.962799814111719 58.13604566465043, 7.962229820454042 58.13616515467465, 7.962177705246112 58.13617284488747, 7.96072182944112 58.13664191456633, 7.960032178372054 58.13689141882314, 7.956853163684683 58.13754324516386, 7.9566098756676995 58.137586628345744)</t>
  </si>
  <si>
    <t>[1138776, 1138784, 1138807, 1138808, 1138821, 1138822, 1138799]</t>
  </si>
  <si>
    <t>[1075169, 1075177, 1075201, 1075202, 1075217, 1075192, 612324]</t>
  </si>
  <si>
    <t>0.04477969709931162</t>
  </si>
  <si>
    <t>[1072243, 1075169, 1075177, 1075201, 1075202, 1075217, 1075192]</t>
  </si>
  <si>
    <t>[0.055, 0.006, 0.044, 0.023, 0.034, 0.104, 0.062]</t>
  </si>
  <si>
    <t>412.33762227590705</t>
  </si>
  <si>
    <t>[0.25, -0.003, 0.021, -2.068]</t>
  </si>
  <si>
    <t>LINESTRING (7.953700279623238 58.137894960365905, 7.953477214632602 58.13796571316863, 7.953334125261726 58.13795686713441, 7.953226937840371 58.13792442866354, 7.9531946829246705 58.13790346869014)</t>
  </si>
  <si>
    <t>[2137690, 2137698, 2137706, 2137714]</t>
  </si>
  <si>
    <t>[215585, 1837166, 1122475, 731635]</t>
  </si>
  <si>
    <t>[612349, 215585, 1837166, 1122475]</t>
  </si>
  <si>
    <t>[0.25, 0.003, 0.021, 2.068]</t>
  </si>
  <si>
    <t>34.47968060784897</t>
  </si>
  <si>
    <t>[0.515, -0.415]</t>
  </si>
  <si>
    <t>LINESTRING (7.953711134699156 58.13771854486634, 7.953754669233633 58.13779222163396, 7.953700279623238 58.137894960365905)</t>
  </si>
  <si>
    <t>[2137770, 2137778]</t>
  </si>
  <si>
    <t>[1837198, 612349]</t>
  </si>
  <si>
    <t>[1114141, 1837198]</t>
  </si>
  <si>
    <t>[0.515, 0.415]</t>
  </si>
  <si>
    <t>20.5155266182138</t>
  </si>
  <si>
    <t>[0.055, 0.068, 0.077, 0.064, -0.017, -0.053, -0.054, -0.048, -0.06, -0.048, -0.019, -0.028, -0.01, -0.035, -0.036, -0.033, -0.032, -0.024, -0.031, -0.025, -0.024, -0.028, -0.035, -0.001, -0.001, 0.003, 0.004]</t>
  </si>
  <si>
    <t>27651.0</t>
  </si>
  <si>
    <t>LINESTRING (7.934460920627686 58.143217644712244, 7.93192327710721 58.143838765360364, 7.931560813578516 58.143897429410494, 7.931544462938736 58.14389985341429, 7.929986228391877 58.14406633054019, 7.927896115118603 58.144154044706724, 7.9275151294643305 58.14416704474617, 7.927021517188462 58.144187394154386, 7.926928184192564 58.144190556481476, 7.926804215366352 58.14419503962454, 7.92271694228767 58.14455736724954, 7.922090285527244 58.144638404446944, 7.921041478690489 58.14477177052634, 7.921033430210488 58.14477289881727, 7.920941291790871 58.14478390122986, 7.920856155545155 58.14479432077792, 7.919274621325792 58.14498272997346, 7.919053515402971 58.14500640874569, 7.918320973329565 58.14507746480328, 7.916798529408535 58.14515763757121, 7.916374205227618 58.145157361845555, 7.916107445691901 58.14515698360717, 7.915719113873853 58.145149053063435, 7.915712416257652 58.1451488775025, 7.914972600477889 58.145118603751484, 7.91495606213749 58.14511768955266, 7.914774252978582 58.14510638675826, 7.914075073645076 58.14504794070308)</t>
  </si>
  <si>
    <t>[612381, 612389, 612397, 612405, 612413, 612421, 612429, 612437, 612445, 612453, 612461, 612469, 612477, 612485, 612493, 612501, 612509, 612517, 612525, 612533, 612541, 612549, 612557, 612565, 612573, 612581, 612589]</t>
  </si>
  <si>
    <t>[612384, 612390, 612395, 612398, 612403, 612408, 612412, 612417, 612425, 612431, 612435, 612444, 284169, 612451, 284161, 612462, 612465, 612471, 612476, 612481, 612487, 612491, 612494, 612499, 612504, 612508, 612516]</t>
  </si>
  <si>
    <t>[612380, 612384, 612390, 612395, 612398, 612403, 612408, 612412, 612417, 612425, 612431, 612435, 612444, 284169, 612451, 284161, 612462, 612465, 612471, 612476, 612481, 612487, 612491, 612494, 612499, 612504, 612508]</t>
  </si>
  <si>
    <t>[0.055, 0.068, 0.077, 0.064, 0.017, 0.053, 0.054, 0.048, 0.06, 0.048, 0.019, 0.028, 0.01, 0.035, 0.036, 0.033, 0.032, 0.024, 0.031, 0.025, 0.024, 0.028, 0.035, 0.001, 0.001, 0.003, 0.004]</t>
  </si>
  <si>
    <t>1233.4325020479369</t>
  </si>
  <si>
    <t>[0.126, 0.054, 0.108, 0.107]</t>
  </si>
  <si>
    <t>LINESTRING (7.9395285167290295 58.14114409128873, 7.938470822603783 58.14149327217838, 7.938462044493513 58.14149619044732, 7.93528894806986 58.14288774051811, 7.934460920627686 58.143217644712244)</t>
  </si>
  <si>
    <t>[749755, 612357, 612365, 612373]</t>
  </si>
  <si>
    <t>[612369, 612370, 612374, 612380]</t>
  </si>
  <si>
    <t>0.11124257902402064</t>
  </si>
  <si>
    <t>[731682, 612369, 612370, 612374]</t>
  </si>
  <si>
    <t>379.3164090335731</t>
  </si>
  <si>
    <t>[0.048, 0.045, 0.041, 0.035, 0.063, 0.042, -0.035, 0.013, 0.047, -0.037, -0.125, -0.113, -0.014, 0.025, -0.053, 0.09, 0.031, 0.01, 0.092, 0.079, 0.02, 0.056, -0.055, -0.013, -0.007, 0.043, -0.046, -0.04, -0.035, 0.033, 0.014, 0.03, 0.094, 0.098, 0.116, 0.104, 0.008, -0.162, -0.122, -0.109, -0.027, -0.007, -0.013]</t>
  </si>
  <si>
    <t>4116.0</t>
  </si>
  <si>
    <t>[0, 0, 0, 0, 0, 0, 0, 0, 0, 0, 0, 1, 0, 0, 0, 0, 0, 0, 0, 0, 0, 0, 0, 0, 0, 0, 0, 0, 0, 0, 0, 0, 0, 0, 0, 0, 0, 0, 0, 0, 1, 0, 0]</t>
  </si>
  <si>
    <t>LINESTRING (9.811643107748985 63.310130929024716, 9.811338563490125 63.3101277875082, 9.808919427573656 63.31012063354696, 9.807846539355198 63.31011789802979, 9.807546113444763 63.31011676112823, 9.803525941955321 63.30977638809976, 9.800859495489249 63.309314956506135, 9.798957544551286 63.309140419594655, 9.78569850085109 63.307253819999254, 9.783895060260173 63.30691480081384, 9.7765338416073 63.306099279067325, 9.776163816026736 63.306115599292454, 9.775544394948126 63.306170574366284, 9.774728548699922 63.30629861008418, 9.76929018719173 63.306461711703605, 9.767528978009775 63.30583483120089, 9.762750240537702 63.304168150851076, 9.75536778144524 63.30399429953282, 9.743476861425716 63.300547326216495, 9.74244272819002 63.300184493998366, 9.738692786343519 63.29887783979202, 9.733525661562311 63.29726603675009, 9.717918297845287 63.293592993306994, 9.714238153744892 63.29192667512609, 9.709167254251284 63.28984082358359, 9.708951535696123 63.289777922768025, 9.700016191643185 63.287627562822, 9.697490936422716 63.287275143133506, 9.695630218441707 63.287016716988994, 9.692650373872574 63.286605791991505, 9.692486281269987 63.28658508577984, 9.679449802984129 63.28441531815003, 9.67183920012208 63.283182598067896, 9.671639365346342 63.283150637348946, 9.670429933725552 63.28295562344097, 9.668751567325446 63.28268446903179, 9.666055450411152 63.28231409559461, 9.650650739503746 63.28293146814803, 9.64693236060347 63.28369313281563, 9.646822575290985 63.28371565825308, 9.646011689770823 63.28388240870177, 9.64568536804446 63.2839496561938, 9.640567971759273 63.28497026016392, 9.637259046874645 63.28550724186002)</t>
  </si>
  <si>
    <t>[612468, 612476, 612484, 612492, 612500, 612508, 612516, 612524, 612532, 612540, 612548, 612556, 612564, 612572, 612580, 612588, 612596, 612604, 612612, 612620, 612628, 612636, 612644, 612652, 612660, 612668, 612676, 612684, 612692, 612700, 612708, 612716, 612724, 612732, 612740, 1296260, 1296268, 1296164, 1296172, 1296180, 1296188, 1296196, 1296204]</t>
  </si>
  <si>
    <t>[612443, 520420, 518612, 612455, 612461, 506091, 612470, 612475, 612480, 612486, 612490, 612493, 612498, 526405, 612507, 612515, 518397, 612528, 612534, 527241, 612545, 612550, 612555, 612559, 612565, 612570, 612577, 603908, 612591, 612599, 612607, 612614, 612621, 612627, 612634, 1208557, 1208486, 944372, 1208495, 1208501, 1208506, 1208512, 1208516]</t>
  </si>
  <si>
    <t>0.015598795770576601</t>
  </si>
  <si>
    <t>[612442, 612443, 520420, 518612, 612455, 612461, 506091, 612470, 612475, 612480, 612486, 612490, 612493, 612498, 526405, 612507, 612515, 518397, 612528, 612534, 527241, 612545, 612550, 612555, 612559, 612565, 612570, 612577, 603908, 612591, 612599, 612607, 612614, 612621, 612627, 612634, 1208557, 1208486, 944372, 1208495, 1208501, 1208506, 1208512]</t>
  </si>
  <si>
    <t>[0.048, 0.045, 0.041, 0.035, 0.063, 0.042, 0.035, 0.013, 0.047, 0.037, 0.125, 0.113, 0.014, 0.025, 0.053, 0.09, 0.031, 0.01, 0.092, 0.079, 0.02, 0.056, 0.055, 0.013, 0.007, 0.043, 0.046, 0.04, 0.035, 0.033, 0.014, 0.03, 0.094, 0.098, 0.116, 0.104, 0.008, 0.162, 0.122, 0.109, 0.027, 0.007, 0.013]</t>
  </si>
  <si>
    <t>9708.296685012665</t>
  </si>
  <si>
    <t>0.44</t>
  </si>
  <si>
    <t>12.967287226076609</t>
  </si>
  <si>
    <t>[-0.049, -0.045, -0.038, -0.004, 0.024, 0.047, 0.1]</t>
  </si>
  <si>
    <t>LINESTRING (7.485604788494946 58.03272059516849, 7.485507710417683 58.03272358759165, 7.485422982930118 58.032696882904325, 7.485316684429263 58.03266438049365, 7.484564498240275 58.03242362209798, 7.484519253088175 58.03240902541155, 7.484421342829726 58.0323768939457, 7.484089453364004 58.03223151978797)</t>
  </si>
  <si>
    <t>[613309, 613317, 613325, 613333, 613341, 613349, 613357]</t>
  </si>
  <si>
    <t>[613062, 613071, 613078, 613085, 613094, 613101, 613106]</t>
  </si>
  <si>
    <t>0.01824508807928846</t>
  </si>
  <si>
    <t>[613061, 613062, 613071, 613078, 613085, 613094, 613101]</t>
  </si>
  <si>
    <t>[0.049, 0.045, 0.038, 0.004, 0.024, 0.047, 0.1]</t>
  </si>
  <si>
    <t>106.58910863606715</t>
  </si>
  <si>
    <t>[-0.027, -0.038, 0.008, 0.026, 0.077, 0.05]</t>
  </si>
  <si>
    <t>LINESTRING (7.485604788494946 58.03272059516849, 7.485474823515638 58.03264211127811, 7.485397530678409 58.032617551973466, 7.484720934236371 58.03240209126347, 7.484639915448644 58.03237618321842, 7.484569967030733 58.032353556092794, 7.484089453364004 58.03223151978797)</t>
  </si>
  <si>
    <t>[1185131, 1185139, 1185147, 1185155, 1185163, 1185171]</t>
  </si>
  <si>
    <t>[1114451, 1114459, 1114466, 1114473, 1114481, 613106]</t>
  </si>
  <si>
    <t>0.018418098530695252</t>
  </si>
  <si>
    <t>[613061, 1114451, 1114459, 1114466, 1114473, 1114481]</t>
  </si>
  <si>
    <t>[0.027, 0.038, 0.008, 0.026, 0.077, 0.05]</t>
  </si>
  <si>
    <t>106.1249884928102</t>
  </si>
  <si>
    <t>53.950469108027605</t>
  </si>
  <si>
    <t>[0.078, 0.034, -0.046, -0.075]</t>
  </si>
  <si>
    <t>18779.0</t>
  </si>
  <si>
    <t>LINESTRING (7.484089453364004 58.03223151978797, 7.482898688645072 58.03178265251956, 7.480744845407172 58.03091442773297, 7.479983473861829 58.030609834950226, 7.4794801325452775 58.0304177727155)</t>
  </si>
  <si>
    <t>[1349421, 1349429, 1349437, 1349445]</t>
  </si>
  <si>
    <t>[1250138, 334716, 334731, 613109]</t>
  </si>
  <si>
    <t>0.020131398681742144</t>
  </si>
  <si>
    <t>[613106, 1250138, 334716, 334731]</t>
  </si>
  <si>
    <t>[0.078, 0.034, 0.046, 0.075]</t>
  </si>
  <si>
    <t>339.79024332092473</t>
  </si>
  <si>
    <t>[-0.093, -0.04, -0.024, -0.046, -0.058, -0.065, -0.069, -0.046, -0.004, 0.011, 0.011, 0.011, 0.01]</t>
  </si>
  <si>
    <t>[0, 0, 0, 0, 0, 0, 0, 0, 1, 0, 0, 0, 0]</t>
  </si>
  <si>
    <t>LINESTRING (7.4794801325452775 58.0304177727155, 7.478771312191692 58.03022075797756, 7.478723218610385 58.030207116835165, 7.478671813600658 58.03019265678768, 7.477633544851639 58.02995647649263, 7.477524345501208 58.02994099790305, 7.4768219931298905 58.02987174887716, 7.476497396560863 58.029853521097344, 7.476000479245246 58.02984168546574, 7.473107245459438 58.03013222741409, 7.472894572751262 58.030156548978724, 7.472641699821454 58.03019222079559, 7.471561095479709 58.03032950349558, 7.471412140744803 58.03034772106425)</t>
  </si>
  <si>
    <t>[613365, 613373, 613381, 613389, 613397, 613405, 613413, 613421, 613429, 613437, 613445, 613453, 613461]</t>
  </si>
  <si>
    <t>[613110, 613115, 613120, 613125, 221623, 613135, 613140, 613144, 613149, 613155, 613159, 613164, 613168]</t>
  </si>
  <si>
    <t>[613109, 613110, 613115, 613120, 613125, 221623, 613135, 613140, 613144, 613149, 613155, 613159, 613164]</t>
  </si>
  <si>
    <t>[0.093, 0.04, 0.024, 0.046, 0.058, 0.065, 0.069, 0.046, 0.004, 0.011, 0.011, 0.011, 0.01]</t>
  </si>
  <si>
    <t>497.0793860356377</t>
  </si>
  <si>
    <t>[-0.074, -0.03, -0.047, -0.045, -0.063, -0.063, -0.068, -0.071, -0.042, -0.003, 0.011, 0.011, 0.01]</t>
  </si>
  <si>
    <t>[0, 0, 0, 0, 0, 0, 0, 0, 0, 1, 0, 0, 0]</t>
  </si>
  <si>
    <t>LINESTRING (7.4794801325452775 58.0304177727155, 7.478776688305337 58.030130976469025, 7.478746586907797 58.03012123549998, 7.477680325116259 58.02987837916201, 7.477646254462514 58.02987327090382, 7.477567176283713 58.02986228721508, 7.477475237187227 58.02984998919619, 7.4768661201738125 58.029795035911114, 7.476500456556807 58.02978390681526, 7.475907485636469 58.029792698860696, 7.473001644392516 58.0300737429283, 7.4725453739136904 58.03012757018586, 7.471536954611641 58.03025047200048, 7.471476256871959 58.03025843923248)</t>
  </si>
  <si>
    <t>[1185179, 1185187, 1185195, 1185203, 1185211, 1185219, 1185227, 1185235, 1185243, 1185251, 1185259, 1185267, 1185275]</t>
  </si>
  <si>
    <t>[1114492, 1114497, 1114501, 1114506, 1114510, 221624, 1114519, 1114528, 1114533, 1114538, 1114543, 1114548, 1114554]</t>
  </si>
  <si>
    <t>[613109, 1114492, 1114497, 1114501, 1114506, 1114510, 221624, 1114519, 1114528, 1114533, 1114538, 1114543, 1114548]</t>
  </si>
  <si>
    <t>[0.074, 0.03, 0.047, 0.045, 0.063, 0.063, 0.068, 0.071, 0.042, 0.003, 0.011, 0.011, 0.01]</t>
  </si>
  <si>
    <t>497.42264380699663</t>
  </si>
  <si>
    <t>9.840298164743178</t>
  </si>
  <si>
    <t>[0.01, 0.01, 0.045, 0.073]</t>
  </si>
  <si>
    <t>LINESTRING (7.471412140744803 58.03034772106425, 7.471313650912661 58.03035781354951, 7.4707513459974475 58.0304241004004, 7.469704052329046 58.030534469195864, 7.467903609453001 58.030808208962235)</t>
  </si>
  <si>
    <t>[613469, 613477, 613485, 613493]</t>
  </si>
  <si>
    <t>[613173, 613177, 613181, 613187]</t>
  </si>
  <si>
    <t>0.05297292962478642</t>
  </si>
  <si>
    <t>[613168, 613173, 613177, 613181]</t>
  </si>
  <si>
    <t>214.33559272824854</t>
  </si>
  <si>
    <t>[-0.005, 0.0]</t>
  </si>
  <si>
    <t>LINESTRING (7.471412140744803 58.03034772106425, 7.471463107752922 58.030312531455195, 7.471476256871959 58.03025843923248)</t>
  </si>
  <si>
    <t>[1185859, 1185867]</t>
  </si>
  <si>
    <t>[1114980, 1114554]</t>
  </si>
  <si>
    <t>[613168, 1114980]</t>
  </si>
  <si>
    <t>11.039397148981177</t>
  </si>
  <si>
    <t>[0.045, -0.052, -0.029, -0.009, -0.143]</t>
  </si>
  <si>
    <t>LINESTRING (7.467903609453001 58.030808208962235, 7.455294479400787 58.0340892203715, 7.455052541328328 58.034119577368834, 7.453790186525234 58.03427405902726, 7.452170644624693 58.03447482090971, 7.449379639134745 58.03482464709298)</t>
  </si>
  <si>
    <t>[1349453, 1349461, 1349469, 1349477, 1349485]</t>
  </si>
  <si>
    <t>[1250160, 1250169, 1250176, 1250186, 613192]</t>
  </si>
  <si>
    <t>0.008129477561427522</t>
  </si>
  <si>
    <t>[613187, 1250160, 1250169, 1250176, 1250186]</t>
  </si>
  <si>
    <t>[0.045, 0.052, 0.029, 0.009, 0.143]</t>
  </si>
  <si>
    <t>1202.4545329239918</t>
  </si>
  <si>
    <t>[0.01, 0.02, 0.043, 0.073]</t>
  </si>
  <si>
    <t>LINESTRING (7.471313571761226 58.03027961797793, 7.470730588878941 58.03035584628134, 7.470724760070792 58.03035664467789, 7.469683671646602 58.03050142858418, 7.467903609453001 58.030808208962235)</t>
  </si>
  <si>
    <t>[1185307, 1185315, 1185323, 1185331]</t>
  </si>
  <si>
    <t>[1114572, 1114576, 1114581, 613187]</t>
  </si>
  <si>
    <t>0.05322475890748698</t>
  </si>
  <si>
    <t>[1096606, 1114572, 1114576, 1114581]</t>
  </si>
  <si>
    <t>210.86278367585965</t>
  </si>
  <si>
    <t>[-0.102, 0.043, 0.043, 0.036, 0.025, 0.042, 0.03, 0.04, 0.062, 0.056, 0.04]</t>
  </si>
  <si>
    <t>LINESTRING (7.449379639134745 58.03482464709298, 7.446881917124985 58.035497669271194, 7.446760178926505 58.035557147357416, 7.446682997858242 58.03559562407821, 7.446262361023556 58.03580787231426, 7.446237979751942 58.03582151146463, 7.4461716650970065 58.03585908543802, 7.446133858960717 58.035880633648546, 7.44608036937399 58.03591056026748, 7.4452754728537744 58.036307810398355, 7.4445011321773515 58.03663523280011, 7.442383360406553 58.03723363124717)</t>
  </si>
  <si>
    <t>[613501, 613509, 613517, 613525, 613533, 613541, 613549, 613557, 613565, 613573, 613581]</t>
  </si>
  <si>
    <t>[613193, 613199, 613205, 613208, 613213, 613220, 214553, 613229, 613233, 613236, 613240]</t>
  </si>
  <si>
    <t>[613192, 613193, 613199, 613205, 613208, 613213, 613220, 214553, 613229, 613233, 613236]</t>
  </si>
  <si>
    <t>[0.102, 0.043, 0.043, 0.036, 0.025, 0.042, 0.03, 0.04, 0.062, 0.056, 0.04]</t>
  </si>
  <si>
    <t>500.60609923037765</t>
  </si>
  <si>
    <t>[-0.098, 0.039, 0.038, 0.037, 0.066, 0.066, 0.057, 0.045]</t>
  </si>
  <si>
    <t>LINESTRING (7.449379639134745 58.03482464709298, 7.446661967087415 58.03551027040121, 7.446171068702367 58.03575594373352, 7.446078026082926 58.03580635854113, 7.4459901154359525 58.03585533929856, 7.445202717912516 58.03625288475613, 7.445061067998171 58.036319567688274, 7.4444496842589 58.03659406653937, 7.442383360406553 58.03723363124717)</t>
  </si>
  <si>
    <t>[1185339, 1185347, 1185355, 1185363, 1185371, 1185379, 1185387, 1185395]</t>
  </si>
  <si>
    <t>[1114593, 1114598, 214565, 1114608, 1114612, 1114616, 1114621, 613240]</t>
  </si>
  <si>
    <t>[613192, 1114593, 1114598, 214565, 1114608, 1114612, 1114616, 1114621]</t>
  </si>
  <si>
    <t>[0.098, 0.039, 0.038, 0.037, 0.066, 0.066, 0.057, 0.045]</t>
  </si>
  <si>
    <t>501.0064011214534</t>
  </si>
  <si>
    <t>[0.016, -0.046, 0.026, 0.035, 0.033, 0.04, -0.005, -0.018, -0.029, 0.002, -0.073, -0.019, 0.023, 0.051, 0.133, 0.069, 0.052, -0.069, -0.05, -0.005, -0.034, -0.068, -0.004, 0.05, 0.003, -0.01, -0.017, -0.029, 0.005, 0.015, 0.044, 0.037, 0.045, -0.053, 0.016, 0.029, -0.051, -0.087, -0.023, -0.033, -0.013, -0.068, 0.044, -0.007, 0.066, 0.05, 0.056, -0.006, 0.033, 0.022, -0.004, -0.012, -0.0, -0.004, -0.073, -0.0, 0.057, 0.048, 0.019, -0.0, -0.075, -0.083, -0.1, -0.078, -0.078]</t>
  </si>
  <si>
    <t>9982.0</t>
  </si>
  <si>
    <t>[0, 0, 0, 0, 0, 0, 0, 0, 0, 0, 0, 0, 0, 0, 0, 0, 0, 0, 0, 0, 0, 0, 0, 0, 0, 1, 0, 0, 0, 0, 0, 0, 0, 0, 0, 0, 0, 0, 0, 0, 0, 0, 0, 0, 0, 0, 0, 0, 0, 0, 0, 0, 0, 0, 0, 0, 0, 0, 0, 0, 0, 0, 0, 1, 0]</t>
  </si>
  <si>
    <t>LINESTRING (7.442383360406553 58.03723363124717, 7.43983680121538 58.0376282643731, 7.439380071194198 58.03768556534894, 7.434963362840603 58.03941524636138, 7.434889134508813 58.03944108019759, 7.434409767531195 58.03958411416368, 7.4343471522227045 58.03959745910775, 7.4342976264731835 58.03960785330758, 7.4342414637892595 58.03961963618545, 7.433025705818097 58.03982154601287, 7.425373487779936 58.04174577976477, 7.421505661034516 58.042695561682926, 7.418209566983093 58.044323943513874, 7.418114405286396 58.04446423869014, 7.417997853472383 58.04495238150867, 7.418006067333592 58.04508515258619, 7.417578457829966 58.046240508262414, 7.415654303050838 58.04688105577967, 7.415237801462472 58.04692258783862, 7.413696750954871 58.04707280874277, 7.413243073192637 58.04711814825141, 7.409966614677079 58.0474074411236, 7.406866021224648 58.04740513443054, 7.406136597201374 58.04747687779371, 7.402591997221831 58.04815976424257, 7.400599833439568 58.04838140641262, 7.400400942228267 58.04840328278566, 7.400124969526538 58.048434661908495, 7.39914865137907 58.0485375244999, 7.398290943230517 58.04854041317383, 7.398041037412765 58.04853174764628, 7.3971662933595885 58.04849495814405, 7.396979394509071 58.04848870337311, 7.384812029043848 58.051934850507465, 7.382510712311768 58.052461887894104, 7.376646759879961 58.053617822336804, 7.376115507609327 58.0537223679675, 7.374295595303363 58.05407029938428, 7.373087130442558 58.05429198518172, 7.369397942076047 58.05551516280046, 7.369223730433106 58.05558996916043, 7.367194486526948 58.056210285212465, 7.3649223010202425 58.05685718666992, 7.364616486817686 58.05699231430157, 7.3634975940236025 58.05770250069036, 7.363212545605287 58.05792604104455, 7.362715662266397 58.05831430522468, 7.360228429985543 58.05970348735905, 7.355197605325595 58.06235084269671, 7.352432700654467 58.06355469901276, 7.352394209971902 58.06359317024162, 7.35199975716754 58.06459967509677, 7.351656452534207 58.06689923205026, 7.348273701840356 58.07004885702383, 7.3431808084399055 58.072633982074095, 7.343051676419117 58.072727967307394, 7.33856520133227 58.075191368550904, 7.338155343186733 58.07528452813523, 7.335627278779713 58.075563353669644, 7.333024058340883 58.075728419918754, 7.319338730658296 58.077837718824924, 7.317519891534351 58.07805237268874, 7.316280543357653 58.0781933640897, 7.314077658310185 58.0784553272212, 7.313688871056856 58.07850090236934, 7.312454014479844 58.07864653972366)</t>
  </si>
  <si>
    <t>[1349493, 1349501, 1349509, 1349517, 1349525, 1349533, 1349541, 1349549, 1349557, 1349565, 1349573, 1349581, 1349589, 1349597, 1349605, 1349613, 1349621, 1349629, 1349637, 1349645, 1349653, 1349661, 1349669, 1349677, 1349685, 1349693, 1349701, 1349709, 1349717, 1349725, 1349733, 1349741, 1349749, 1349757, 1349765, 1349773, 1349781, 1349789, 1349797, 1349805, 1349813, 1349821, 1349829, 1349837, 1349845, 1349853, 1349861, 1147313, 1147321, 1147329, 1147337, 1147345, 1147353, 1147361, 1147369, 1147377, 1147385, 1147393, 1147401, 1147409, 1147417, 1147425, 1147433, 1147441, 1147449]</t>
  </si>
  <si>
    <t>[1250198, 841367, 1250212, 1250218, 1250228, 1110751, 1250241, 1109094, 1102456, 1250259, 1148153, 1250271, 332912, 332930, 1250284, 1102744, 1250292, 1250295, 1250299, 1102751, 1103432, 1148005, 1102794, 1090016, 1250330, 1250338, 1250342, 1242910, 1250358, 1090124, 1250370, 1250380, 1250386, 1250393, 1250402, 1147943, 1250417, 1250423, 1250432, 1250439, 443220, 1250453, 1250459, 604511, 1250473, 1250478, 1082958, 1082959, 1082967, 1082972, 872012, 872085, 1082987, 860214, 1082999, 870397, 1083010, 1083017, 1083021, 1083026, 1083032, 1083039, 1083043, 1083047, 613259]</t>
  </si>
  <si>
    <t>[613240, 1250198, 841367, 1250212, 1250218, 1250228, 1110751, 1250241, 1109094, 1102456, 1250259, 1148153, 1250271, 332912, 332930, 1250284, 1102744, 1250292, 1250295, 1250299, 1102751, 1103432, 1148005, 1102794, 1090016, 1250330, 1250338, 1250342, 1242910, 1250358, 1090124, 1250370, 1250380, 1250386, 1250393, 1250402, 1147943, 1250417, 1250423, 1250432, 1250439, 443220, 1250453, 1250459, 604511, 1250473, 1250478, 1082958, 1082959, 1082967, 1082972, 872012, 872085, 1082987, 860214, 1082999, 870397, 1083010, 1083017, 1083021, 1083026, 1083032, 1083039, 1083043, 1083047]</t>
  </si>
  <si>
    <t>[0.016, 0.046, 0.026, 0.035, 0.033, 0.04, 0.005, 0.018, 0.029, 0.002, 0.073, 0.019, 0.023, 0.051, 0.133, 0.069, 0.052, 0.069, 0.05, 0.005, 0.034, 0.068, 0.004, 0.05, 0.003, 0.01, 0.017, 0.029, 0.005, 0.015, 0.044, 0.037, 0.045, 0.053, 0.016, 0.029, 0.051, 0.087, 0.023, 0.033, 0.013, 0.068, 0.044, 0.007, 0.066, 0.05, 0.056, 0.006, 0.033, 0.022, 0.004, 0.012, 0.0, 0.004, 0.073, 0.0, 0.057, 0.048, 0.019, 0.0, 0.075, 0.083, 0.1, 0.078, 0.078]</t>
  </si>
  <si>
    <t>9574.436598013692</t>
  </si>
  <si>
    <t>[-0.04, 0.057, 0.021, 0.023, 0.019, 0.045, 0.009, -0.029, 0.012, -0.002, -0.006, 0.007, 0.008, -0.001, 0.097, 0.067, -0.013, 0.009, -0.046, -0.068, 0.021, 0.104, -0.016, -0.087, -0.1, -0.129, 0.066, 0.831, 0.028]</t>
  </si>
  <si>
    <t>[1, 0, 0, 0, 0, 0, 0, 0, 0, 0, 0, 0, 1, 0, 0, 0, 0, 0, 0, 0, 0, 0, 0, 0, 0, 0, 0, 0, 0]</t>
  </si>
  <si>
    <t>LINESTRING (7.302618723017339 58.07993978437383, 7.302187154875527 58.080073150018514, 7.2980627475312465 58.08373716613628, 7.298025355792588 58.08378140822403, 7.29627704724265 58.08588951350341, 7.2961651007360855 58.08599794861019, 7.296149378290768 58.08601156579608, 7.294978440730766 58.08680942130911, 7.294922950225239 58.086839566671316, 7.2946646498230185 58.086972087073434, 7.294591714024025 58.0870092604684, 7.294535481999865 58.08703661904736, 7.294031362632713 58.08724917384586, 7.293853119453728 58.08731472388653, 7.293565569816419 58.087414449356935, 7.292514464786687 58.08777155101799, 7.2914464099162695 58.08814105947055, 7.289760078800927 58.088814197888254, 7.284992945840183 58.09160857888932, 7.284124172663527 58.09194587104502, 7.283273283996048 58.09230541324021, 7.282714163196629 58.093251870499984, 7.281727432716462 58.093590827943686, 7.270734837691728 58.09415809620165, 7.270682498051393 58.09417548292425, 7.2705896398869925 58.09420641422266, 7.270224781083277 58.09432668902993, 7.270013943215109 58.09439660470936, 7.269688325045929 58.09450606044057, 7.269175010988923 58.094645357124485)</t>
  </si>
  <si>
    <t>[1349973, 1349981, 1349989, 1349997, 1350005, 1350013, 1350021, 1350029, 1350037, 1350045, 1350053, 1350061, 1350069, 1350077, 1350085, 1350093, 1350101, 1350109, 1350128, 1350136, 1350144, 1350152, 1350160, 1350168, 1350176, 1350184, 1350192, 1350200, 1141134]</t>
  </si>
  <si>
    <t>[1250559, 1250567, 1250573, 1250576, 1250581, 1250587, 1250592, 1250600, 1250604, 1215274, 1250613, 1250619, 1250626, 1250632, 1185979, 867776, 1250644, 922497, 1250658, 922664, 1250666, 1250672, 1250676, 1250682, 1250687, 1250690, 1250694, 1077442, 1077405]</t>
  </si>
  <si>
    <t>0.0199628552968665</t>
  </si>
  <si>
    <t>[613314, 1250559, 1250567, 1250573, 1250576, 1250581, 1250587, 1250592, 1250600, 1250604, 1215274, 1250613, 1250619, 1250626, 1250632, 1185979, 867776, 1250644, 922497, 1250658, 922664, 1250666, 1250672, 1250676, 1250682, 1250687, 1250690, 1250694, 1077442]</t>
  </si>
  <si>
    <t>[0.04, 0.057, 0.021, 0.023, 0.019, 0.045, 0.009, 0.029, 0.012, 0.002, 0.006, 0.007, 0.008, 0.001, 0.097, 0.067, 0.013, 0.009, 0.046, 0.068, 0.021, 0.104, 0.016, 0.087, 0.1, 0.129, 0.066, 0.831, 0.028]</t>
  </si>
  <si>
    <t>2849.159903987381</t>
  </si>
  <si>
    <t>[-0.054, -0.032, -0.026]</t>
  </si>
  <si>
    <t>LINESTRING (9.13658727529653 58.85996372906692, 9.136181889515555 58.85972280796102, 9.13547647185996 58.85953367147938, 9.135386115015686 58.85951110022937)</t>
  </si>
  <si>
    <t>[621372, 621380, 621388]</t>
  </si>
  <si>
    <t>[619162, 619168, 619175]</t>
  </si>
  <si>
    <t>[619158, 619162, 619168]</t>
  </si>
  <si>
    <t>[0.054, 0.032, 0.026]</t>
  </si>
  <si>
    <t>87.31606884129884</t>
  </si>
  <si>
    <t>[-0.023, -0.039, -0.067]</t>
  </si>
  <si>
    <t>LINESTRING (9.13658727529653 58.85996372906692, 9.136489183057698 58.85994269700355, 9.135414028069773 58.859541180726616, 9.135386115015686 58.85951110022937)</t>
  </si>
  <si>
    <t>[1754085, 1754110, 1754133]</t>
  </si>
  <si>
    <t>[1552948, 1552960, 619175]</t>
  </si>
  <si>
    <t>[619158, 1552948, 1552960]</t>
  </si>
  <si>
    <t>[0.023, 0.039, 0.067]</t>
  </si>
  <si>
    <t>90.69805912163635</t>
  </si>
  <si>
    <t>[-0.021, -0.038, -0.039, -0.026]</t>
  </si>
  <si>
    <t>LINESTRING (9.141871235937675 58.86195727833223, 9.14153432435484 58.86180734048263, 9.139267173178922 58.86076472766293, 9.13836253938627 58.8603916334363, 9.13658727529653 58.85996372906692)</t>
  </si>
  <si>
    <t>[1290969, 621348, 621356, 621364]</t>
  </si>
  <si>
    <t>[619145, 619146, 619152, 619158]</t>
  </si>
  <si>
    <t>[1204259, 619145, 619146, 619152]</t>
  </si>
  <si>
    <t>[0.021, 0.038, 0.039, 0.026]</t>
  </si>
  <si>
    <t>385.32878764100735</t>
  </si>
  <si>
    <t>[-0.029, -0.0]</t>
  </si>
  <si>
    <t>LINESTRING (9.135386115015686 58.85951110022937, 9.135303933262316 58.85948991858619, 9.134298700632215 58.858922926098636)</t>
  </si>
  <si>
    <t>[621396, 621404]</t>
  </si>
  <si>
    <t>[619179, 619187]</t>
  </si>
  <si>
    <t>[619175, 619179]</t>
  </si>
  <si>
    <t>[0.029, 0.0]</t>
  </si>
  <si>
    <t>94.99315807712901</t>
  </si>
  <si>
    <t>[-0.005, 0.005, -0.563]</t>
  </si>
  <si>
    <t>LINESTRING (9.134298700632215 58.858922926098636, 9.134336490059107 58.85836854014783, 9.131625462412075 58.856641143988256, 9.131402889021674 58.856502888145585)</t>
  </si>
  <si>
    <t>[621412, 621420, 799999]</t>
  </si>
  <si>
    <t>[619193, 619199, 778667]</t>
  </si>
  <si>
    <t>[619187, 619193, 619199]</t>
  </si>
  <si>
    <t>[0.005, 0.005, 0.563]</t>
  </si>
  <si>
    <t>335.40424082243374</t>
  </si>
  <si>
    <t>[1.269, 0.05, 0.002, 0.004]</t>
  </si>
  <si>
    <t>LINESTRING (9.134298700632215 58.858922926098636, 9.134247608807446 58.85892293933747, 9.133814158715484 58.85891170924406, 9.133118189637269 58.858031694134155, 9.133137066591843 58.85800545559034)</t>
  </si>
  <si>
    <t>[1234305, 1234313, 1234317, 1234325]</t>
  </si>
  <si>
    <t>[1155660, 1065182, 1155669, 441708]</t>
  </si>
  <si>
    <t>0.03456022043904957</t>
  </si>
  <si>
    <t>[619187, 1155660, 1065182, 1155669]</t>
  </si>
  <si>
    <t>152.00030678287067</t>
  </si>
  <si>
    <t>[0.011, 0.001, 0.031, 0.109, 0.071, 0.079, 0.072]</t>
  </si>
  <si>
    <t>LINESTRING (13.306102434108052 65.62033078644598, 13.3056834390191 65.62099482195273, 13.305629465945252 65.62105952045748, 13.305161010591851 65.62154415744371, 13.305076520171317 65.62161619818072, 13.304985359951415 65.62169326217816, 13.303910867805746 65.6223532934816, 13.303725098954631 65.62242330726728)</t>
  </si>
  <si>
    <t>[621915, 621923, 621931, 621939, 621947, 621955, 621963]</t>
  </si>
  <si>
    <t>[619606, 619611, 619620, 619627, 619633, 619641, 619647]</t>
  </si>
  <si>
    <t>0.046534443373565985</t>
  </si>
  <si>
    <t>[619605, 619606, 619611, 619620, 619627, 619633, 619641]</t>
  </si>
  <si>
    <t>261.388066780345</t>
  </si>
  <si>
    <t>[-0.008, 0.023, 0.081, 0.111, 0.071, 0.099, 0.105]</t>
  </si>
  <si>
    <t>LINESTRING (13.306102434108052 65.62033078644598, 13.305467948340858 65.6210336071593, 13.304995170841485 65.62151321460841, 13.304950108438021 65.62155313444947, 13.304879346826352 65.62161579693564, 13.304827138548102 65.62166138091288, 13.30386611296338 65.62233920707718, 13.303725098954631 65.62242330726728)</t>
  </si>
  <si>
    <t>[1717756, 1717764, 1717769, 1717777, 1717785, 1717793, 1717801]</t>
  </si>
  <si>
    <t>[1531304, 1531309, 619664, 619691, 1531318, 1531324, 619647]</t>
  </si>
  <si>
    <t>0.04712004055514582</t>
  </si>
  <si>
    <t>[619605, 1531304, 1531309, 619664, 619691, 1531318, 1531324]</t>
  </si>
  <si>
    <t>[0.008, 0.023, 0.081, 0.111, 0.071, 0.099, 0.105]</t>
  </si>
  <si>
    <t>258.64934296062484</t>
  </si>
  <si>
    <t>LINESTRING (13.303725098954631 65.62242330726728, 13.281151580098765 65.72688171853531)</t>
  </si>
  <si>
    <t>[-0.158, -0.17, -0.082]</t>
  </si>
  <si>
    <t>LINESTRING (10.78187078217927 59.75489881498592, 10.782013675113644 59.7548788614768, 10.782239299669165 59.75490061783787, 10.782289955793225 59.75494951509348)</t>
  </si>
  <si>
    <t>[622475, 622483, 622491]</t>
  </si>
  <si>
    <t>[619978, 619982, 619985]</t>
  </si>
  <si>
    <t>[619977, 619978, 619982]</t>
  </si>
  <si>
    <t>[0.158, 0.17, 0.082]</t>
  </si>
  <si>
    <t>27.564177430191016</t>
  </si>
  <si>
    <t>[-0.13, -0.13, -0.152]</t>
  </si>
  <si>
    <t>LINESTRING (10.78187078217927 59.75489881498592, 10.782006488617853 59.75484361709368, 10.782242117707398 59.75474986505984, 10.78229819136665 59.75472960210892)</t>
  </si>
  <si>
    <t>[2088251, 2088259, 2088267]</t>
  </si>
  <si>
    <t>[1808486, 1808492, 1385707]</t>
  </si>
  <si>
    <t>[619977, 1808486, 1808492]</t>
  </si>
  <si>
    <t>[0.13, 0.13, 0.152]</t>
  </si>
  <si>
    <t>30.552231055984173</t>
  </si>
  <si>
    <t>[-1.403, 0.007]</t>
  </si>
  <si>
    <t>LINESTRING (10.77765173467058 59.7577579061423, 10.777725970053552 59.75770217291567, 10.78187078217927 59.75489881498592)</t>
  </si>
  <si>
    <t>[1840981, 1499175]</t>
  </si>
  <si>
    <t>[1356758, 619977]</t>
  </si>
  <si>
    <t>[1613340, 1356758]</t>
  </si>
  <si>
    <t>[1.403, 0.007]</t>
  </si>
  <si>
    <t>417.77321847493454</t>
  </si>
  <si>
    <t>21.295963795424754</t>
  </si>
  <si>
    <t>[0.015, 0.034, 0.027, 0.025, 0.076]</t>
  </si>
  <si>
    <t>LINESTRING (8.70347957460211 58.44767683794983, 8.703289124891489 58.44807498689197, 8.703322518775643 58.448096554612945, 8.70348529733465 58.44819040709087, 8.705306198577764 58.44951417106834, 8.705470872783485 58.449700606980564)</t>
  </si>
  <si>
    <t>[1750493, 1750515, 1750530, 1750538, 1092961]</t>
  </si>
  <si>
    <t>[1551034, 1551044, 1551050, 1036509, 1036510]</t>
  </si>
  <si>
    <t>0.027599455795118567</t>
  </si>
  <si>
    <t>[620810, 1551034, 1551044, 1551050, 1036509]</t>
  </si>
  <si>
    <t>273.9140435676293</t>
  </si>
  <si>
    <t>[-0.013, 0.028]</t>
  </si>
  <si>
    <t>LINESTRING (8.700757731553761 58.44705948602213, 8.701034198007363 58.447145349190194, 8.70347957460211 58.44767683794983)</t>
  </si>
  <si>
    <t>[1092953, 623721]</t>
  </si>
  <si>
    <t>[620809, 620810]</t>
  </si>
  <si>
    <t>0.023905696282137186</t>
  </si>
  <si>
    <t>[1036502, 620809]</t>
  </si>
  <si>
    <t>[0.013, 0.028]</t>
  </si>
  <si>
    <t>188.1391414999889</t>
  </si>
  <si>
    <t>[-0.019, -0.02, -0.007]</t>
  </si>
  <si>
    <t>LINESTRING (10.288285407872714 63.03317645046678, 10.289448571981652 63.03350302777812, 10.293614811923382 63.03539547854866, 10.294284009625251 63.03573891798061)</t>
  </si>
  <si>
    <t>[623992, 624000, 624008]</t>
  </si>
  <si>
    <t>[621013, 621017, 621023]</t>
  </si>
  <si>
    <t>[621008, 621013, 621017]</t>
  </si>
  <si>
    <t>[0.019, 0.02, 0.007]</t>
  </si>
  <si>
    <t>419.3167463671084</t>
  </si>
  <si>
    <t>[0.021, 0.026, 0.026, -0.001]</t>
  </si>
  <si>
    <t>17194.0</t>
  </si>
  <si>
    <t>LINESTRING (10.272608561896902 63.28417016957422, 10.272055346916906 63.28521652988968, 10.271848495970293 63.286216024810265, 10.27184523299841 63.286503698468785, 10.278725422672958 63.294948684645455)</t>
  </si>
  <si>
    <t>[624049, 624057, 624065, 624073]</t>
  </si>
  <si>
    <t>[621054, 621060, 621065, 621071]</t>
  </si>
  <si>
    <t>0.003980983711067485</t>
  </si>
  <si>
    <t>[621046, 621054, 621060, 621065]</t>
  </si>
  <si>
    <t>[0.021, 0.026, 0.026, 0.001]</t>
  </si>
  <si>
    <t>1310.9444813508348</t>
  </si>
  <si>
    <t>[0.002, 0.002, 0.002, 0.002, -0.001, 0.015, -0.173, -0.003, -0.016, -0.011]</t>
  </si>
  <si>
    <t>LINESTRING (10.281296369565053 63.27849070010829, 10.281112101626661 63.27857802132819, 10.280330437426237 63.27894572525336, 10.280086356007194 63.27906052973257, 10.279377614783341 63.27939393147942, 10.275576990185627 63.28128478297535, 10.275372968435772 63.28141560653437, 10.275310332121524 63.28145711457788, 10.273271651936112 63.283298979448524, 10.273211378308616 63.283364640051985, 10.272608561896902 63.28417016957422)</t>
  </si>
  <si>
    <t>[1027406, 1027414, 1027422, 1027254, 1027230, 1027238, 1253737, 624025, 624033, 624041]</t>
  </si>
  <si>
    <t>[982092, 982100, 981953, 981928, 981929, 981937, 621035, 621036, 621042, 621046]</t>
  </si>
  <si>
    <t>[982084, 982092, 982100, 981953, 981928, 981929, 981937, 621035, 621036, 621042]</t>
  </si>
  <si>
    <t>[0.002, 0.002, 0.002, 0.002, 0.001, 0.015, 0.173, 0.003, 0.016, 0.011]</t>
  </si>
  <si>
    <t>780.0110401028414</t>
  </si>
  <si>
    <t>[0.0, 0.017, 0.042, -0.006, -0.013]</t>
  </si>
  <si>
    <t>LINESTRING (10.278725422672958 63.294948684645455, 10.278731650201129 63.29495177820461, 10.284652940448819 63.29816233658495, 10.2857424766756 63.299076182485436, 10.287293084214305 63.30117650046883, 10.287706707835385 63.302242088179064)</t>
  </si>
  <si>
    <t>[624081, 624089, 624097, 624105, 624121]</t>
  </si>
  <si>
    <t>[621077, 621083, 621089, 621096, 621106]</t>
  </si>
  <si>
    <t>0.010239436059518886</t>
  </si>
  <si>
    <t>[621071, 621077, 621083, 621089, 621096]</t>
  </si>
  <si>
    <t>[0.0, 0.017, 0.042, 0.006, 0.013]</t>
  </si>
  <si>
    <t>949.9626370429608</t>
  </si>
  <si>
    <t>[0.28, -0.005, 0.008, 0.024, 0.025]</t>
  </si>
  <si>
    <t>LINESTRING (10.278725422672958 63.294948684645455, 10.278992605562351 63.29503844847782, 10.282563331087875 63.296597483020506, 10.283757423674748 63.29675131974332, 10.283996452892737 63.29670053985514, 10.284057540715178 63.29668386903341)</t>
  </si>
  <si>
    <t>[2136372, 2136388, 2136396, 2136404, 2136412]</t>
  </si>
  <si>
    <t>[1836487, 1836493, 1836496, 1836499, 567437]</t>
  </si>
  <si>
    <t>0.012504518735728566</t>
  </si>
  <si>
    <t>[621071, 1836487, 1836493, 1836496, 1836499]</t>
  </si>
  <si>
    <t>[0.28, 0.005, 0.008, 0.024, 0.025]</t>
  </si>
  <si>
    <t>348.6206779867969</t>
  </si>
  <si>
    <t>[-0.008, -0.005, -0.003, 0.006, 0.005, 0.002, 0.009, 0.003, 0.002, 0.004, 0.004, 0.005]</t>
  </si>
  <si>
    <t>[0, 1, 0, 0, 0, 0, 0, 0, 0, 0, 0, 0]</t>
  </si>
  <si>
    <t>LINESTRING (10.287706707835385 63.302242088179064, 10.287783783697943 63.30245507948016, 10.287911875953972 63.30280825403364, 10.28796302459054 63.30294799205472, 10.288600683240883 63.30471810325967, 10.288699076228708 63.3049902456603, 10.28871757620336 63.305041372407665, 10.28874192078908 63.3051087003722, 10.288990081744814 63.30579217202962, 10.29279142050057 63.31208953422011, 10.292859132995066 63.31218667795981, 10.294871409720658 63.31507227995016, 10.296070317218675 63.31656845488024)</t>
  </si>
  <si>
    <t>[624129, 624137, 624145, 624153, 624161, 624169, 1109864, 1109872, 1109880, 682608, 682616, 682624]</t>
  </si>
  <si>
    <t>[621111, 621117, 621126, 621136, 621142, 621149, 1050145, 1050149, 673755, 673756, 673766, 673778]</t>
  </si>
  <si>
    <t>0.0029983683351995243</t>
  </si>
  <si>
    <t>[621106, 621111, 621117, 621126, 621136, 621142, 621149, 1050145, 1050149, 673755, 673756, 673766]</t>
  </si>
  <si>
    <t>[0.008, 0.005, 0.003, 0.006, 0.005, 0.002, 0.009, 0.003, 0.002, 0.004, 0.004, 0.005]</t>
  </si>
  <si>
    <t>1655.6381064856403</t>
  </si>
  <si>
    <t>437.32341518195284</t>
  </si>
  <si>
    <t>[-0.014, -0.012, -0.011, -0.01, -0.014, -0.012, -0.012, -0.012]</t>
  </si>
  <si>
    <t>[0, 1, 0, 0, 0, 0, 1, 0]</t>
  </si>
  <si>
    <t>LINESTRING (10.378327603393137 63.36693814795122, 10.378500818659562 63.367222555883274, 10.378529682913884 63.36726289653142, 10.379155409765174 63.3683314270064, 10.379321951208594 63.368677933943026, 10.379615390950503 63.369503925927745, 10.379713878573435 63.37007453531279, 10.379727286452956 63.37061361047688, 10.379720314731333 63.37076895169098)</t>
  </si>
  <si>
    <t>[657680, 624177, 624185, 624193, 624201, 624209, 624217, 624225]</t>
  </si>
  <si>
    <t>[621159, 621160, 621167, 621174, 621181, 621188, 621197, 621204]</t>
  </si>
  <si>
    <t>[648992, 621159, 621160, 621167, 621174, 621181, 621188, 621197]</t>
  </si>
  <si>
    <t>[0.014, 0.012, 0.011, 0.01, 0.014, 0.012, 0.012, 0.012]</t>
  </si>
  <si>
    <t>434.86789471666066</t>
  </si>
  <si>
    <t>[-0.048, -0.044, -0.06, -0.083, -0.068, -0.052]</t>
  </si>
  <si>
    <t>LINESTRING (10.377818594939308 63.374578480610715, 10.377696996662161 63.37470393642332, 10.374807198662621 63.380131100406174, 10.374929068862063 63.38106613300158, 10.375731799986736 63.382965393440195, 10.376354259230512 63.3839342783031, 10.381713538291667 63.38977226541522)</t>
  </si>
  <si>
    <t>[624241, 624249, 624257, 624266, 624274, 624282]</t>
  </si>
  <si>
    <t>[621217, 621226, 621232, 621239, 621246, 621252]</t>
  </si>
  <si>
    <t>[621211, 621217, 621226, 621232, 621239, 621246]</t>
  </si>
  <si>
    <t>[0.048, 0.044, 0.06, 0.083, 0.068, 0.052]</t>
  </si>
  <si>
    <t>1780.5114298046599</t>
  </si>
  <si>
    <t>0.06</t>
  </si>
  <si>
    <t>11.52089705729676</t>
  </si>
  <si>
    <t>[-0.04, -0.032, 0.012, -0.122, -0.038, 0.067, 0.078, 0.095, 0.074, 0.07, 0.048, -0.012, -0.002]</t>
  </si>
  <si>
    <t>60675.0</t>
  </si>
  <si>
    <t>[0, 0, 0, 1, 1, 1, 0, 0, 0, 0, 0, 0, 0]</t>
  </si>
  <si>
    <t>LINESTRING (10.381713538291667 63.38977226541522, 10.381816054848423 63.389847794461055, 10.381930669558914 63.38993036960765, 10.38480853978933 63.3918435977967, 10.385452634309031 63.39225275913796, 10.389039419076553 63.394461539371775, 10.389633323233614 63.3948196614414, 10.389702880990335 63.39486345463102, 10.39037502663826 63.39528381138639, 10.3906947578137 63.39549115812883, 10.39136359970376 63.39596992412134, 10.392331638747375 63.396751905784676, 10.392563011409166 63.39695895522377, 10.393144563566306 63.39754542309764)</t>
  </si>
  <si>
    <t>[624290, 624298, 624306, 624314, 624322, 624330, 624338, 624346, 624354, 624362, 624370, 624378, 624387]</t>
  </si>
  <si>
    <t>[621259, 621267, 621272, 621279, 621285, 621291, 621297, 621302, 621307, 621313, 621316, 621320, 621325]</t>
  </si>
  <si>
    <t>0.003903874253842009</t>
  </si>
  <si>
    <t>[621252, 621259, 621267, 621272, 621279, 621285, 621291, 621297, 621302, 621307, 621313, 621316, 621320]</t>
  </si>
  <si>
    <t>[0.04, 0.032, 0.012, 0.122, 0.038, 0.067, 0.078, 0.095, 0.074, 0.07, 0.048, 0.012, 0.002]</t>
  </si>
  <si>
    <t>1040.2736030779927</t>
  </si>
  <si>
    <t>[0.019, 0.033, 0.04, 0.032]</t>
  </si>
  <si>
    <t>LINESTRING (10.39839653630736 63.40087661084432, 10.401532100586092 63.401396784778484, 10.402303897646487 63.40152417912293, 10.403755954257864 63.4017620669058, 10.406327876881118 63.40218348520378)</t>
  </si>
  <si>
    <t>[624411, 624419, 624427, 624435]</t>
  </si>
  <si>
    <t>[621341, 621345, 621352, 621357]</t>
  </si>
  <si>
    <t>0.028417319991680606</t>
  </si>
  <si>
    <t>[621336, 621341, 621345, 621352]</t>
  </si>
  <si>
    <t>422.3991545956523</t>
  </si>
  <si>
    <t>[0.122, 0.007, 0.003, 0.158]</t>
  </si>
  <si>
    <t>LINESTRING (10.39839653630736 63.40087661084432, 10.398631389918398 63.400900374527716, 10.399344751779298 63.40100431891383, 10.402134307032597 63.40110597226131, 10.402319663547383 63.40103821252091)</t>
  </si>
  <si>
    <t>[626278, 572221, 572252, 626286]</t>
  </si>
  <si>
    <t>[579834, 579835, 579858, 606671]</t>
  </si>
  <si>
    <t>0.019858534696939475</t>
  </si>
  <si>
    <t>[621336, 579834, 579835, 579858]</t>
  </si>
  <si>
    <t>203.79347693387365</t>
  </si>
  <si>
    <t>[0.043, 0.024, 0.034, 0.011, 0.036, 0.039, 0.025, 0.042, 0.043, 0.019, 0.017]</t>
  </si>
  <si>
    <t>53974.0</t>
  </si>
  <si>
    <t>LINESTRING (10.406327876881118 63.40218348520378, 10.406747163635712 63.40225597796623, 10.406765675547815 63.40225936172821, 10.407658752044673 63.402428623519725, 10.407677065851134 63.402432243565734, 10.407773205226484 63.40245123726543, 10.407862701309721 63.402468506318776, 10.407952340810823 63.40248488072124, 10.408634084211789 63.40264890502312, 10.408930358576505 63.40271509290671, 10.417832700317211 63.40587469960609, 10.418447578692438 63.4061027068006)</t>
  </si>
  <si>
    <t>[624443, 624452, 624460, 624468, 624476, 624484, 624492, 624500, 624508, 624516, 624524]</t>
  </si>
  <si>
    <t>[621367, 621375, 621383, 621391, 621398, 621406, 621412, 621419, 621427, 621435, 621440]</t>
  </si>
  <si>
    <t>0.02257633652827723</t>
  </si>
  <si>
    <t>[621357, 621367, 621375, 621383, 621391, 621398, 621406, 621412, 621419, 621427, 621435]</t>
  </si>
  <si>
    <t>750.9599697594913</t>
  </si>
  <si>
    <t>[0.021, 0.046]</t>
  </si>
  <si>
    <t>LINESTRING (10.418447578692438 63.4061027068006, 10.425408614128402 63.4079097970669, 10.427904468426261 63.4078952234749)</t>
  </si>
  <si>
    <t>[624532, 624540]</t>
  </si>
  <si>
    <t>[621448, 621454]</t>
  </si>
  <si>
    <t>0.026865702588676318</t>
  </si>
  <si>
    <t>[621440, 621448]</t>
  </si>
  <si>
    <t>533.1529236207645</t>
  </si>
  <si>
    <t>[0.066, 0.065, 0.001]</t>
  </si>
  <si>
    <t>47718.0</t>
  </si>
  <si>
    <t>LINESTRING (10.427904468426261 63.4078952234749, 10.430229243654983 63.4076325233289, 10.437771819314229 63.40758640337896, 10.438915514867137 63.40795909439988)</t>
  </si>
  <si>
    <t>[624548, 624556, 624564]</t>
  </si>
  <si>
    <t>[621460, 621466, 621474]</t>
  </si>
  <si>
    <t>0.05744882665264606</t>
  </si>
  <si>
    <t>[621454, 621460, 621466]</t>
  </si>
  <si>
    <t>583.6661171684202</t>
  </si>
  <si>
    <t>[0.021, 0.02, 0.013, -0.008]</t>
  </si>
  <si>
    <t>LINESTRING (10.438915514867137 63.40795909439988, 10.442087548513578 63.40948101684976, 10.443059280460265 63.41000511123833, 10.443719413419148 63.41035374261756, 10.44377237536227 63.41038025163193)</t>
  </si>
  <si>
    <t>[624572, 624580, 624588, 624596]</t>
  </si>
  <si>
    <t>[621479, 621488, 621494, 621503]</t>
  </si>
  <si>
    <t>0.019351993891008328</t>
  </si>
  <si>
    <t>[621474, 621479, 621488, 621494]</t>
  </si>
  <si>
    <t>[0.021, 0.02, 0.013, 0.008]</t>
  </si>
  <si>
    <t>363.3997360883458</t>
  </si>
  <si>
    <t>[-0.006, -0.011, -0.01, 0.001, -0.013, -0.047, -0.027, -0.022]</t>
  </si>
  <si>
    <t>LINESTRING (10.44377237536227 63.41038025163193, 10.444880189966113 63.41095015762123, 10.444998348632167 63.41101016531084, 10.44533419188394 63.411181841879376, 10.446051813224837 63.41155183576205, 10.454858292973238 63.415970062788325, 10.45917437429302 63.41793172089901, 10.459448060846249 63.41805597397956, 10.459504416296266 63.41808150543758)</t>
  </si>
  <si>
    <t>[624604, 624612, 624620, 624628, 624636, 624644, 624652, 624660]</t>
  </si>
  <si>
    <t>[621509, 621517, 621521, 621530, 621533, 621538, 621542, 621546]</t>
  </si>
  <si>
    <t>[621503, 621509, 621517, 621521, 621530, 621533, 621538, 621542]</t>
  </si>
  <si>
    <t>[0.006, 0.011, 0.01, 0.001, 0.013, 0.047, 0.027, 0.022]</t>
  </si>
  <si>
    <t>1164.678189648268</t>
  </si>
  <si>
    <t>[-0.026, -0.028, -0.009, 0.009, 0.019, 0.063, 0.035, 0.016, 0.011]</t>
  </si>
  <si>
    <t>[1, 1, 1, 0, 0, 0, 0, 0, 0]</t>
  </si>
  <si>
    <t>LINESTRING (11.498729951508224 64.00557625268385, 11.499004541085311 64.00573119321663, 11.499522507676158 64.00611477270542, 11.49968585209851 64.00628788915928, 11.49985535937348 64.00653635303816, 11.499998158162699 64.00715230577045, 11.499998091552282 64.00715855726612, 11.499893977545584 64.00753544532274, 11.499374050300608 64.00815824693915, 11.496416324175426 64.01032528688552)</t>
  </si>
  <si>
    <t>[635154, 635162, 635170, 635178, 635186, 635194, 635202, 635210, 635218]</t>
  </si>
  <si>
    <t>[0, 0, 0, 0, 0, 0, 1, 1, 0]</t>
  </si>
  <si>
    <t>[630275, 630283, 630292, 630298, 630305, 630312, 630319, 630324, 621548]</t>
  </si>
  <si>
    <t>0.008880622669895593</t>
  </si>
  <si>
    <t>[621544, 630275, 630283, 630292, 630298, 630305, 630312, 630319, 630324]</t>
  </si>
  <si>
    <t>[0.026, 0.028, 0.009, 0.009, 0.019, 0.063, 0.035, 0.016, 0.011]</t>
  </si>
  <si>
    <t>589.4753331739655</t>
  </si>
  <si>
    <t>[-0.019, -0.03, -0.023]</t>
  </si>
  <si>
    <t>LINESTRING (10.459504416296266 63.41808150543758, 10.464260628960306 63.42024304524286, 10.469219319932348 63.422499225643826, 10.469289693670778 63.422531402116974)</t>
  </si>
  <si>
    <t>[624668, 624676, 624684]</t>
  </si>
  <si>
    <t>[621552, 621559, 621565]</t>
  </si>
  <si>
    <t>[621546, 621552, 621559]</t>
  </si>
  <si>
    <t>[0.019, 0.03, 0.023]</t>
  </si>
  <si>
    <t>696.4850820572838</t>
  </si>
  <si>
    <t>[-0.014, 0.006, 0.003, -0.018, -0.043, -0.028]</t>
  </si>
  <si>
    <t>LINESTRING (10.469289693670778 63.422531402116974, 10.469764805079844 63.42275059575397, 10.469899249667122 63.42281420848137, 10.47033983751029 63.42302103752897, 10.471787519314217 63.42369866954568, 10.472219591988846 63.42390163428487, 10.47398253309918 63.424768437238626)</t>
  </si>
  <si>
    <t>[624692, 624700, 624708, 624717, 624725, 998110]</t>
  </si>
  <si>
    <t>[621573, 621577, 621584, 621590, 621596, 955573]</t>
  </si>
  <si>
    <t>[621565, 621573, 621577, 621584, 621590, 621596]</t>
  </si>
  <si>
    <t>[0.014, 0.006, 0.003, 0.018, 0.043, 0.028]</t>
  </si>
  <si>
    <t>342.2994461939501</t>
  </si>
  <si>
    <t>[0.048, 0.051, 0.039, -0.013, -0.007]</t>
  </si>
  <si>
    <t>LINESTRING (10.496958880214768 63.43033762453159, 10.49718374379233 63.43026688874053, 10.497262889799577 63.430240909714506, 10.497364460853365 63.43021083664658, 10.51021013352254 63.42708337386564, 10.51416095725496 63.42609129836113)</t>
  </si>
  <si>
    <t>[624733, 624741, 624749, 624757, 624765]</t>
  </si>
  <si>
    <t>[621606, 621613, 621621, 621629, 621637]</t>
  </si>
  <si>
    <t>[621605, 621606, 621613, 621621, 621629]</t>
  </si>
  <si>
    <t>[0.048, 0.051, 0.039, 0.013, 0.007]</t>
  </si>
  <si>
    <t>987.4830541310985</t>
  </si>
  <si>
    <t>[-0.025, -0.035]</t>
  </si>
  <si>
    <t>LINESTRING (10.482346525237116 63.428547070738546, 10.495180444021589 63.430816379807595, 10.496958880214768 63.43033762453159)</t>
  </si>
  <si>
    <t>[998143, 998144]</t>
  </si>
  <si>
    <t>[955599, 621605]</t>
  </si>
  <si>
    <t>[955598, 955599]</t>
  </si>
  <si>
    <t>[0.025, 0.035]</t>
  </si>
  <si>
    <t>881.8896948149879</t>
  </si>
  <si>
    <t>[-0.004, -0.06, -0.035, -0.234, 0.16]</t>
  </si>
  <si>
    <t>LINESTRING (10.488023958416418 63.43076170544539, 10.488092033365035 63.43081636759995, 10.490661638042884 63.43127952780621, 10.496771247078042 63.43035837343365, 10.496946376298872 63.43033901035339, 10.496958880214768 63.43033762453159)</t>
  </si>
  <si>
    <t>[1113100, 1113108, 1113116, 1112672, 1112680]</t>
  </si>
  <si>
    <t>[1052731, 1052742, 1052328, 1052329, 621605]</t>
  </si>
  <si>
    <t>[1052730, 1052731, 1052742, 1052328, 1052329]</t>
  </si>
  <si>
    <t>[0.004, 0.06, 0.035, 0.234, 0.16]</t>
  </si>
  <si>
    <t>485.73642405957196</t>
  </si>
  <si>
    <t>[0.012, 0.024, 0.023, 0.018]</t>
  </si>
  <si>
    <t>LINESTRING (11.490860784957825 64.01874987280685, 11.490976407343519 64.01878393422152, 11.491055731130134 64.01884622729283, 11.491036573335737 64.01893201418899, 11.490969909390714 64.01897352736125)</t>
  </si>
  <si>
    <t>[639680, 639690, 639699, 639700]</t>
  </si>
  <si>
    <t>[623503, 634194, 634201, 621683]</t>
  </si>
  <si>
    <t>0.019828141749915828</t>
  </si>
  <si>
    <t>[621677, 623503, 634194, 634201]</t>
  </si>
  <si>
    <t>30.033193605582166</t>
  </si>
  <si>
    <t>[-0.027, -0.202]</t>
  </si>
  <si>
    <t>LINESTRING (11.490537164716626 64.01878247693786, 11.490670539862538 64.01874796779937, 11.490860784957825 64.01874987280685)</t>
  </si>
  <si>
    <t>[639776, 639784]</t>
  </si>
  <si>
    <t>[634264, 621677]</t>
  </si>
  <si>
    <t>[634258, 634264]</t>
  </si>
  <si>
    <t>[0.027, 0.202]</t>
  </si>
  <si>
    <t>16.876495130112865</t>
  </si>
  <si>
    <t>[0.013, -0.002]</t>
  </si>
  <si>
    <t>LINESTRING (11.490969909390714 64.01897352736125, 11.490836646090132 64.01900714105297, 11.490695070328874 64.01900910826147)</t>
  </si>
  <si>
    <t>[639710, 639726]</t>
  </si>
  <si>
    <t>[634207, 634220]</t>
  </si>
  <si>
    <t>0.005806700408977864</t>
  </si>
  <si>
    <t>[621683, 634207]</t>
  </si>
  <si>
    <t>[0.013, 0.002]</t>
  </si>
  <si>
    <t>14.442686017841535</t>
  </si>
  <si>
    <t>[0.046, -0.055, -0.1, 0.064]</t>
  </si>
  <si>
    <t>LINESTRING (10.159042685280605 62.92718254054864, 10.168295937872061 62.92826207081135, 10.172700324040527 62.92822289533712, 10.181058617984249 62.93015389106747, 10.1822325628804 62.930758872258636)</t>
  </si>
  <si>
    <t>[625171, 625027, 625652, 670155]</t>
  </si>
  <si>
    <t>[621887, 621888, 622441, 660252]</t>
  </si>
  <si>
    <t>[621736, 621887, 621888, 622441]</t>
  </si>
  <si>
    <t>[0.046, 0.055, 0.1, 0.064]</t>
  </si>
  <si>
    <t>1306.527369180463</t>
  </si>
  <si>
    <t>[-0.08, -0.216, -0.245, -0.014]</t>
  </si>
  <si>
    <t>LINESTRING (10.151311078970776 62.92479709127407, 10.155353326217522 62.926223667563676, 10.155751863395741 62.926331958915085, 10.156641474719855 62.9265668124796, 10.159042685280605 62.92718254054864)</t>
  </si>
  <si>
    <t>[624875, 624883, 1981824, 624867]</t>
  </si>
  <si>
    <t>[619682, 621754, 621735, 621736]</t>
  </si>
  <si>
    <t>[621747, 619682, 621754, 621735]</t>
  </si>
  <si>
    <t>[0.08, 0.216, 0.245, 0.014]</t>
  </si>
  <si>
    <t>476.3798205961093</t>
  </si>
  <si>
    <t>[0.751, 0.04, 0.047, -0.236]</t>
  </si>
  <si>
    <t>LINESTRING (11.491085850882335 64.02104992691996, 11.491110501494886 64.02108196824945, 11.491104100881666 64.02114919638579, 11.491025194351092 64.02120658557376, 11.490813528831652 64.02124459290485)</t>
  </si>
  <si>
    <t>[639792, 639800, 639808, 639816]</t>
  </si>
  <si>
    <t>[634275, 634280, 634286, 621751]</t>
  </si>
  <si>
    <t>0.026306460873697708</t>
  </si>
  <si>
    <t>[621744, 634275, 634280, 634286]</t>
  </si>
  <si>
    <t>[0.751, 0.04, 0.047, 0.236]</t>
  </si>
  <si>
    <t>30.13641638792093</t>
  </si>
  <si>
    <t>[-0.024, -0.293]</t>
  </si>
  <si>
    <t>LINESTRING (11.490761080909541 64.02097738690829, 11.490953962075213 64.02099103495338, 11.491085850882335 64.02104992691996)</t>
  </si>
  <si>
    <t>[639872, 639880]</t>
  </si>
  <si>
    <t>[634337, 621744]</t>
  </si>
  <si>
    <t>[634328, 634337]</t>
  </si>
  <si>
    <t>[0.024, 0.293]</t>
  </si>
  <si>
    <t>18.754660243650164</t>
  </si>
  <si>
    <t>[-0.002, 0.005, 0.014, -0.004, -0.022, -0.042, -0.077, -0.056, -0.081, -0.046, -0.021, -0.016]</t>
  </si>
  <si>
    <t>LINESTRING (10.147195408866365 62.92198987689863, 10.147639279615486 62.9223292722714, 10.148769014950755 62.92324187212936, 10.149107370077436 62.923493683511516, 10.149311499502225 62.92363902859636, 10.149430487139874 62.923717464570665, 10.149814518090079 62.92396377757832, 10.149831610715848 62.92397399010875, 10.149934451002048 62.92403545492556, 10.150067184861426 62.924114669467706, 10.150352006249362 62.92427706545612, 10.150570092989614 62.92439624796432, 10.151311078970776 62.92479709127407)</t>
  </si>
  <si>
    <t>[624907, 624915, 624923, 624931, 624939, 624947, 624955, 624963, 624971, 624987, 624995, 625003]</t>
  </si>
  <si>
    <t>[621776, 621783, 621788, 621797, 621805, 621813, 621819, 621826, 621833, 621846, 621855, 621747]</t>
  </si>
  <si>
    <t>[621775, 621776, 621783, 621788, 621797, 621805, 621813, 621819, 621826, 621833, 621846, 621855]</t>
  </si>
  <si>
    <t>[0.002, 0.005, 0.014, 0.004, 0.022, 0.042, 0.077, 0.056, 0.081, 0.046, 0.021, 0.016]</t>
  </si>
  <si>
    <t>377.4769457695176</t>
  </si>
  <si>
    <t>[0.012, 0.005, 0.015, -0.001, -0.021, -0.021, 0.0, -0.04, -0.061, -0.068, -0.043, -0.021, -0.032]</t>
  </si>
  <si>
    <t>LINESTRING (10.147195408866365 62.92198987689863, 10.147584138297187 62.92234445252555, 10.148692076780119 62.92326628568514, 10.149030611206305 62.92351915576984, 10.149143844508338 62.92360051483289, 10.149236407015213 62.923664684286216, 10.149356102716292 62.923743252645004, 10.149358490199877 62.923744800944, 10.149758491549267 62.92400059548513, 10.149861730812338 62.92406227197115, 10.149994797359977 62.92414174088621, 10.15028064473152 62.92430461307398, 10.150499459888895 62.92442416255921, 10.151311078970776 62.92479709127407)</t>
  </si>
  <si>
    <t>[625067, 625075, 625083, 625091, 625099, 625107, 625115, 625123, 625131, 625139, 625147, 625155, 625163]</t>
  </si>
  <si>
    <t>[621926, 621934, 621941, 621917, 621958, 621965, 621909, 621981, 621989, 621997, 622003, 622011, 621747]</t>
  </si>
  <si>
    <t>[621775, 621926, 621934, 621941, 621917, 621958, 621965, 621909, 621981, 621989, 621997, 622003, 622011]</t>
  </si>
  <si>
    <t>[0.012, 0.005, 0.015, 0.001, 0.021, 0.021, 0.0, 0.04, 0.061, 0.068, 0.043, 0.021, 0.032]</t>
  </si>
  <si>
    <t>378.6572788553543</t>
  </si>
  <si>
    <t>[0.386, -0.008]</t>
  </si>
  <si>
    <t>LINESTRING (11.490813528831652 64.02124459290485, 11.490644236009333 64.02122253069071, 11.490523346422314 64.02115761522363)</t>
  </si>
  <si>
    <t>[639824, 639832]</t>
  </si>
  <si>
    <t>[634299, 634304]</t>
  </si>
  <si>
    <t>0.18123502016093646</t>
  </si>
  <si>
    <t>[621751, 634299]</t>
  </si>
  <si>
    <t>[0.386, 0.008]</t>
  </si>
  <si>
    <t>17.978260159009764</t>
  </si>
  <si>
    <t>[-0.104, 0.019, 0.034, 0.041]</t>
  </si>
  <si>
    <t>LINESTRING (10.39818809001672 63.4009382253154, 10.398327596569253 63.40095999184366, 10.401450783956223 63.401466099946674, 10.402222725971383 63.401592600153556, 10.403684546958678 63.40183215220853)</t>
  </si>
  <si>
    <t>[627391, 627399, 627407, 627415]</t>
  </si>
  <si>
    <t>[623727, 623732, 623736, 622922]</t>
  </si>
  <si>
    <t>0.02518687053097241</t>
  </si>
  <si>
    <t>[621778, 623727, 623732, 623736]</t>
  </si>
  <si>
    <t>[0.104, 0.019, 0.034, 0.041]</t>
  </si>
  <si>
    <t>289.26934778143266</t>
  </si>
  <si>
    <t>[0.015, 0.171, 0.088]</t>
  </si>
  <si>
    <t>LINESTRING (10.624694686620007 63.42243899993919, 10.634176585730488 63.42255114532055, 10.636406921760488 63.422800626065204, 10.639100408165707 63.4234319027319)</t>
  </si>
  <si>
    <t>[624997, 625005, 625013]</t>
  </si>
  <si>
    <t>[621857, 621864, 621873]</t>
  </si>
  <si>
    <t>0.0542207876533228</t>
  </si>
  <si>
    <t>[621849, 621857, 621864]</t>
  </si>
  <si>
    <t>741.3084167108724</t>
  </si>
  <si>
    <t>[0.025, 0.006, 0.048, 0.014, 0.015, 0.012, 0.049, 1.388, 0.097]</t>
  </si>
  <si>
    <t>LINESTRING (10.624694686620007 63.42243899993919, 10.624932156182236 63.42243459204382, 10.629935598377937 63.42230984367272, 10.630862083616547 63.42229854334697, 10.630880622747235 63.42229895804684, 10.630917702375312 63.422299778490675, 10.630983207679133 63.42230039923645, 10.63892499446115 63.4233582160996, 10.639086988352899 63.42342619736571, 10.639100408165707 63.4234319027319)</t>
  </si>
  <si>
    <t>[626630, 573233, 573241, 573251, 573252, 573309, 573310, 626662, 626670]</t>
  </si>
  <si>
    <t>[580756, 580757, 580763, 580769, 574811, 580813, 580814, 623162, 621873]</t>
  </si>
  <si>
    <t>0.05378435948667598</t>
  </si>
  <si>
    <t>[621849, 580756, 580757, 580763, 580769, 574811, 580813, 580814, 623162]</t>
  </si>
  <si>
    <t>747.5408481987076</t>
  </si>
  <si>
    <t>[-0.254, -0.052, -0.014, 0.018, 0.044, 0.052]</t>
  </si>
  <si>
    <t>LINESTRING (11.475569127716394 64.02926130119155, 11.475328834344715 64.02940688221183, 11.473799477654289 64.0306342791452, 11.473759316905854 64.03067642912782, 11.47414191214191 64.03540077522037, 11.474438033493561 64.03563617176398, 11.475175594510482 64.03612486588668)</t>
  </si>
  <si>
    <t>[635226, 635234, 635242, 635250, 635258, 635266]</t>
  </si>
  <si>
    <t>[630338, 630344, 630349, 630357, 630364, 621868]</t>
  </si>
  <si>
    <t>0.001496034776440701</t>
  </si>
  <si>
    <t>[621861, 630338, 630344, 630349, 630357, 630364]</t>
  </si>
  <si>
    <t>[0.254, 0.052, 0.014, 0.018, 0.044, 0.052]</t>
  </si>
  <si>
    <t>820.6440401125153</t>
  </si>
  <si>
    <t>[0.042, 0.032, 0.021, 0.02]</t>
  </si>
  <si>
    <t>LINESTRING (11.475175594510482 64.03612486588668, 11.487058690050421 64.04081252335993, 11.487275175886438 64.04106303432229, 11.48867123472169 64.04266056649317, 11.489286297328302 64.04329604209688)</t>
  </si>
  <si>
    <t>[625009, 625017, 625025, 625033]</t>
  </si>
  <si>
    <t>[621869, 621878, 621885, 621894]</t>
  </si>
  <si>
    <t>0.03652804895540404</t>
  </si>
  <si>
    <t>[621868, 621869, 621878, 621885]</t>
  </si>
  <si>
    <t>1095.79272539829</t>
  </si>
  <si>
    <t>[0.042, 0.033, 0.022, 0.017, 0.022]</t>
  </si>
  <si>
    <t>LINESTRING (11.475175594510482 64.03612486588668, 11.4869170166491 64.04083065847273, 11.48713736302695 64.04108305993687, 11.488533811536017 64.04267841977475, 11.489153262850285 64.04331223218848, 11.489809375651802 64.04394181544295)</t>
  </si>
  <si>
    <t>[681770, 681771, 681780, 681784, 681792]</t>
  </si>
  <si>
    <t>[672816, 672817, 672830, 672834, 622414]</t>
  </si>
  <si>
    <t>0.03555120205680241</t>
  </si>
  <si>
    <t>[621868, 672816, 672817, 672830, 672834]</t>
  </si>
  <si>
    <t>1170.0383422074885</t>
  </si>
  <si>
    <t>[0.04, -0.02, -0.013, -0.076, -0.048, -0.03, -0.064, -0.09, -0.021, -0.03, -0.033, -0.03, 0.015, 0.015, 0.016]</t>
  </si>
  <si>
    <t>[0, 0, 0, 0, 0, 0, 0, 0, 0, 0, 1, 0, 1, 0, 0]</t>
  </si>
  <si>
    <t>LINESTRING (10.639100408165707 63.4234319027319, 10.649865262572892 63.42659222433074, 10.656687585034806 63.42673762917652, 10.66069177420054 63.42642292693956, 10.66158317424565 63.42635598493075, 10.668237752534914 63.42649582894249, 10.669018434709482 63.42650409984969, 10.671378796022674 63.42643202502781, 10.673827745371163 63.42618124742933, 10.673891192442252 63.426173487980805, 10.674699534378652 63.42607267996379, 10.674866452257445 63.42605047071244, 10.684549190840391 63.42575128512509, 10.684949449566648 63.42574898338484, 10.68557256390393 63.42574540648114, 10.68580865774381 63.4257440467393)</t>
  </si>
  <si>
    <t>[625021, 625029, 625037, 625045, 625053, 625061, 625069, 625077, 990529, 990537, 990545, 990553, 990561, 990569, 990577]</t>
  </si>
  <si>
    <t>[621881, 621890, 621898, 621904, 621912, 621919, 621929, 621936, 949390, 949400, 949407, 949410, 949418, 949423, 949431]</t>
  </si>
  <si>
    <t>[621873, 621881, 621890, 621898, 621904, 621912, 621919, 621929, 621936, 949390, 949400, 949407, 949410, 949418, 949423]</t>
  </si>
  <si>
    <t>[0.04, 0.02, 0.013, 0.076, 0.048, 0.03, 0.064, 0.09, 0.021, 0.03, 0.033, 0.03, 0.015, 0.015, 0.016]</t>
  </si>
  <si>
    <t>2461.552495549776</t>
  </si>
  <si>
    <t>[-0.024, -0.024, -0.004, -0.012, 0.024, 0.016, 0.018]</t>
  </si>
  <si>
    <t>LINESTRING (11.489809375651802 64.04394181544295, 11.489441376378213 64.04367087276978, 11.486825319322836 64.04169319694854, 11.487307988094804 64.04067207263991, 11.487309384006924 64.04054117686394, 11.488102054184106 64.04157653780143, 11.489127637301243 64.0430353609768, 11.489286297328302 64.04329604209688)</t>
  </si>
  <si>
    <t>[625618, 639647, 639648, 639655, 639663, 639677, 625626]</t>
  </si>
  <si>
    <t>[622415, 556234, 634166, 528673, 634177, 622421, 621894]</t>
  </si>
  <si>
    <t>[622414, 622415, 556234, 634166, 528673, 634177, 622421]</t>
  </si>
  <si>
    <t>[0.024, 0.024, 0.004, 0.012, 0.024, 0.016, 0.018]</t>
  </si>
  <si>
    <t>749.9293075487318</t>
  </si>
  <si>
    <t>[-0.023, -0.041, -0.024, -0.015, -0.015, -0.006, -0.009]</t>
  </si>
  <si>
    <t>LINESTRING (11.508623681231017 64.06700585086543, 11.508838156473699 64.06719460565218, 11.508851996611321 64.0672082707672, 11.509423373722353 64.06815832493378, 11.509449285992755 64.06820485679394, 11.509864284822132 64.0688589400336, 11.509937188815703 64.06895459411115, 11.510819202676375 64.07024541577934)</t>
  </si>
  <si>
    <t>[625065, 625073, 625081, 625089, 625097, 625105, 625113]</t>
  </si>
  <si>
    <t>[621924, 621932, 621940, 621949, 621956, 621964, 621971]</t>
  </si>
  <si>
    <t>[621923, 621924, 621932, 621940, 621949, 621956, 621964]</t>
  </si>
  <si>
    <t>[0.023, 0.041, 0.024, 0.015, 0.015, 0.006, 0.009]</t>
  </si>
  <si>
    <t>377.77018421537497</t>
  </si>
  <si>
    <t>[-0.03, -0.025, -0.016, -0.008, -0.01, -0.009, -0.006]</t>
  </si>
  <si>
    <t>LINESTRING (11.508623681231017 64.06700585086543, 11.508756003673344 64.0672054165502, 11.509300664455399 64.06821998312866, 11.50972193149254 64.06888002121264, 11.509772948282018 64.0689420428033, 11.509801056671309 64.06897744194256, 11.509833662664498 64.06901739628707, 11.510819202676375 64.07024541577934)</t>
  </si>
  <si>
    <t>[681824, 681832, 681840, 681848, 681858, 681859, 681865]</t>
  </si>
  <si>
    <t>[672881, 672893, 672905, 672916, 672928, 622620, 621971]</t>
  </si>
  <si>
    <t>[621923, 672881, 672893, 672905, 672916, 672928, 622620]</t>
  </si>
  <si>
    <t>[0.03, 0.025, 0.016, 0.008, 0.01, 0.009, 0.006]</t>
  </si>
  <si>
    <t>377.39601945009474</t>
  </si>
  <si>
    <t>[-0.006, -0.007, 0.014, 0.013, -0.001, 0.005, -0.022, -0.03, -0.048, -0.059, -0.065, -0.057, -0.066, -0.047, -0.038, -0.049, -0.047, -0.059, -0.034, -0.03]</t>
  </si>
  <si>
    <t>LINESTRING (11.49137606795587 64.05805033253465, 11.49144972896132 64.0583277963745, 11.491817568423478 64.05952292801345, 11.492121527115541 64.05977351853896, 11.492978523528985 64.06022988547603, 11.503124991434527 64.0635700535383, 11.503558441579319 64.06372122302294, 11.504020036512948 64.06393589531442, 11.50447547613756 64.06421114262213, 11.505096780984257 64.06461015604279, 11.50520684159377 64.06468185622622, 11.505426228364449 64.06482147424016, 11.505766700127106 64.0650409538643, 11.506039874217947 64.06521355173416, 11.5066677958645 64.06561921229559, 11.50670148015571 64.06564264442997, 11.50677044226435 64.06568661811193, 11.506831352525214 64.06572608575539, 11.507457763439445 64.06613350299519, 11.508097045767704 64.06657964312674, 11.508623681231017 64.06700585086543)</t>
  </si>
  <si>
    <t>[635394, 635402, 635410, 635418, 635426, 635434, 635442, 635450, 635458, 635466, 635474, 635482, 635490, 635498, 635506, 635514, 635522, 635530, 635538, 635546]</t>
  </si>
  <si>
    <t>[561222, 630499, 568252, 630512, 630519, 630526, 630534, 526907, 630548, 630556, 630563, 434610, 630578, 630587, 434794, 630603, 434859, 630619, 630625, 621923]</t>
  </si>
  <si>
    <t>[630485, 561222, 630499, 568252, 630512, 630519, 630526, 630534, 526907, 630548, 630556, 630563, 434610, 630578, 630587, 434794, 630603, 434859, 630619, 630625]</t>
  </si>
  <si>
    <t>[0.006, 0.007, 0.014, 0.013, 0.001, 0.005, 0.022, 0.03, 0.048, 0.059, 0.065, 0.057, 0.066, 0.047, 0.038, 0.049, 0.047, 0.059, 0.034, 0.03]</t>
  </si>
  <si>
    <t>1355.0824511832116</t>
  </si>
  <si>
    <t>2840.0</t>
  </si>
  <si>
    <t>LINESTRING (11.510819202676375 64.07024541577934, 11.72075273058356 64.13099957582696)</t>
  </si>
  <si>
    <t>15612.84297523766</t>
  </si>
  <si>
    <t>[-0.021, -0.02, -0.019, -0.027, -0.018, -0.027, -0.015, -0.032, -0.018, -0.019, -0.02, -0.01]</t>
  </si>
  <si>
    <t>LINESTRING (12.341081516846314 64.38805800463746, 12.341081674537973 64.3882628680397, 12.341071866328065 64.38833014500275, 12.340894498443436 64.38941357817005, 12.340892899190534 64.38942260061657, 12.340883151378117 64.38947402069651, 12.340877442070507 64.38950150253385, 12.340872945635118 64.38952995819274, 12.340870513078752 64.38954523329375, 12.340839067949368 64.3897130217932, 12.340744917899178 64.3902343857375, 12.340645267663511 64.39071413726309, 12.34048978838169 64.39114532973812)</t>
  </si>
  <si>
    <t>[625121, 625129, 625137, 625145, 625153, 625161, 625169, 625177, 625185, 625193, 625201, 625209]</t>
  </si>
  <si>
    <t>[621979, 621986, 621996, 622001, 622009, 622017, 622022, 622027, 622034, 622038, 622042, 622046]</t>
  </si>
  <si>
    <t>[621978, 621979, 621986, 621996, 622001, 622009, 622017, 622022, 622027, 622034, 622038, 622042]</t>
  </si>
  <si>
    <t>[0.021, 0.02, 0.019, 0.027, 0.018, 0.027, 0.015, 0.032, 0.018, 0.019, 0.02, 0.01]</t>
  </si>
  <si>
    <t>345.7532197956108</t>
  </si>
  <si>
    <t>[-0.008, -0.017, -0.029, -0.017, -0.016, -0.02, -0.02, -0.022, -0.019]</t>
  </si>
  <si>
    <t>LINESTRING (12.341081516846314 64.38805800463746, 12.340971736770701 64.38832525908646, 12.340728581654274 64.38940946621577, 12.340726772629662 64.38941851179752, 12.340710555760221 64.38949882768809, 12.340702596667573 64.3895414083418, 12.34057809417186 64.39023230459111, 12.340558148807624 64.39034191616805, 12.340509222612773 64.39071215603556, 12.34048978838169 64.39114532973812)</t>
  </si>
  <si>
    <t>[681884, 681892, 681902, 681908, 681926, 681938, 681948, 681957, 681965]</t>
  </si>
  <si>
    <t>[672960, 672967, 672975, 622929, 672992, 672999, 673014, 673021, 622046]</t>
  </si>
  <si>
    <t>[621978, 672960, 672967, 672975, 622929, 672992, 672999, 673014, 673021]</t>
  </si>
  <si>
    <t>[0.008, 0.017, 0.029, 0.017, 0.016, 0.02, 0.02, 0.022, 0.019]</t>
  </si>
  <si>
    <t>345.9220990413507</t>
  </si>
  <si>
    <t>LINESTRING (12.135883887668536 64.28990587025604, 12.341081516846314 64.38805800463746)</t>
  </si>
  <si>
    <t>[-0.086, -0.063, -0.034, -0.376]</t>
  </si>
  <si>
    <t>LINESTRING (10.752926068961658 63.419876439841225, 10.754126843823533 63.419736401546174, 10.760889907983314 63.41871154580236, 10.763991234747776 63.418037891014336, 10.764647359464545 63.417831906810235)</t>
  </si>
  <si>
    <t>[625213, 625221, 625229, 1292468]</t>
  </si>
  <si>
    <t>[622050, 622058, 622065, 1205572]</t>
  </si>
  <si>
    <t>[622044, 622050, 622058, 622065]</t>
  </si>
  <si>
    <t>[0.086, 0.063, 0.034, 0.376]</t>
  </si>
  <si>
    <t>631.1978623106204</t>
  </si>
  <si>
    <t>[-3.004, 0.003, -0.042, -0.052, -0.053, -0.023, -0.106, -1.235]</t>
  </si>
  <si>
    <t>LINESTRING (10.752926068961658 63.419876439841225, 10.753053860378925 63.419851763431744, 10.75626337921177 63.41925014235281, 10.756386268666427 63.41923143022629, 10.756445522233092 63.419224202427046, 10.756708064506446 63.41919225636076, 10.763660432005798 63.41809866693029, 10.764448468893715 63.417879788622294, 10.764647359464545 63.417831906810235)</t>
  </si>
  <si>
    <t>[626678, 573420, 573436, 573506, 573509, 573511, 573519, 1292492]</t>
  </si>
  <si>
    <t>[580898, 580899, 526501, 580964, 580968, 580970, 580980, 1205572]</t>
  </si>
  <si>
    <t>[622044, 580898, 580899, 526501, 580964, 580968, 580970, 580980]</t>
  </si>
  <si>
    <t>[3.004, 0.003, 0.042, 0.052, 0.053, 0.023, 0.106, 1.235]</t>
  </si>
  <si>
    <t>631.2303736406035</t>
  </si>
  <si>
    <t>[-0.0, -0.0, -0.082, -0.015, 0.022, 0.051, -0.041, -0.02, -0.028]</t>
  </si>
  <si>
    <t>[0, 0, 1, 0, 1, 0, 0, 0, 0]</t>
  </si>
  <si>
    <t>LINESTRING (12.34048978838169 64.39114532973812, 12.340448796455727 64.39130580634233, 12.3256650509879 64.40266990600442, 12.325529200464455 64.40308651083197, 12.314847597685091 64.4350527558023, 12.314804599689147 64.43543881409629, 12.307992603210211 64.4421192541228, 12.299585479000251 64.45399226717454, 12.295723951784522 64.45651223341325, 12.295228615296915 64.45685546589716)</t>
  </si>
  <si>
    <t>[637339, 637347, 637355, 637363, 637371, 637379, 637387, 637395, 637403]</t>
  </si>
  <si>
    <t>[632165, 632174, 632183, 632189, 632195, 521769, 570268, 632215, 622054]</t>
  </si>
  <si>
    <t>[622046, 632165, 632174, 632183, 632189, 632195, 521769, 570268, 632215]</t>
  </si>
  <si>
    <t>[0.0, 0.0, 0.082, 0.015, 0.022, 0.051, 0.041, 0.02, 0.028]</t>
  </si>
  <si>
    <t>7996.680139478025</t>
  </si>
  <si>
    <t>[-0.062, -0.059, -0.071, -0.083, -0.068, -0.08, -0.079, -0.078, -0.074, -0.056]</t>
  </si>
  <si>
    <t>[0, 0, 0, 0, 0, 0, 0, 0, 0, 1]</t>
  </si>
  <si>
    <t>LINESTRING (12.295228615296915 64.45685546589716, 12.295172812038413 64.45693255375302, 12.29514919815784 64.4569547391621, 12.294247245195695 64.45789402284912, 12.294201916456627 64.45795767196252, 12.294162872546224 64.4580141272491, 12.294102741721819 64.45809959402015, 12.294034286143138 64.45819689547568, 12.293764243262366 64.45861727647008, 12.293460490437694 64.45919138028032, 12.293310815107436 64.45968577902377)</t>
  </si>
  <si>
    <t>[625217, 625225, 625233, 625242, 625250, 625258, 625266, 625274, 625282, 625290]</t>
  </si>
  <si>
    <t>[622055, 622063, 622069, 622078, 622085, 622093, 622101, 622109, 622118, 622125]</t>
  </si>
  <si>
    <t>[622054, 622055, 622063, 622069, 622078, 622085, 622093, 622101, 622109, 622118]</t>
  </si>
  <si>
    <t>[0.062, 0.059, 0.071, 0.083, 0.068, 0.08, 0.079, 0.078, 0.074, 0.056]</t>
  </si>
  <si>
    <t>330.32028368632785</t>
  </si>
  <si>
    <t>[-0.054, -0.07, -0.076, -0.074, -0.077, -0.072, -0.072, -0.075, -0.056]</t>
  </si>
  <si>
    <t>LINESTRING (12.295228615296915 64.45685546589716, 12.295128362020105 64.45691108233149, 12.294105473237472 64.45787989193892, 12.29403440995787 64.45796106265486, 12.293963490358095 64.45805425088912, 12.293612762245614 64.45859906018562, 12.293584194084016 64.4586494673043, 12.293509335572262 64.4588014361083, 12.293367714306484 64.4591855143118, 12.293310815107436 64.45968577902377)</t>
  </si>
  <si>
    <t>[681973, 681985, 682002, 682009, 682010, 682017, 682018, 682025, 682041]</t>
  </si>
  <si>
    <t>[673035, 673046, 624357, 673069, 673070, 673078, 673079, 673086, 622125]</t>
  </si>
  <si>
    <t>[622054, 673035, 673046, 624357, 673069, 673070, 673078, 673079, 673086]</t>
  </si>
  <si>
    <t>[0.054, 0.07, 0.076, 0.074, 0.077, 0.072, 0.072, 0.075, 0.056]</t>
  </si>
  <si>
    <t>332.8621063224069</t>
  </si>
  <si>
    <t>[-0.013, -0.012, -0.012, -0.001, 0.016, 0.006, 0.006]</t>
  </si>
  <si>
    <t>[1, 0, 1, 0, 1, 1, 0]</t>
  </si>
  <si>
    <t>LINESTRING (12.293310815107436 64.45968577902377, 12.293382412159445 64.46065376729446, 12.29364533113308 64.46134434652373, 12.293665924713542 64.46138394021882, 12.294593661595677 64.46257312523913, 12.295569463702169 64.46334862891528, 12.296658740873731 64.46399058216558, 12.297103860222686 64.4642066474806)</t>
  </si>
  <si>
    <t>[637411, 637419, 637427, 637435, 637443, 637451, 637459]</t>
  </si>
  <si>
    <t>[632228, 632236, 632243, 632251, 632259, 632265, 622130]</t>
  </si>
  <si>
    <t>[622125, 632228, 632236, 632243, 632251, 632259, 632265]</t>
  </si>
  <si>
    <t>[0.013, 0.012, 0.012, 0.001, 0.016, 0.006, 0.006]</t>
  </si>
  <si>
    <t>550.05800374484</t>
  </si>
  <si>
    <t>[0.005, 0.004, 0.004, 0.003, 0.011, 0.024, 0.022, 0.022, 0.02, 0.035]</t>
  </si>
  <si>
    <t>LINESTRING (12.297103860222686 64.4642066474806, 12.29760771158968 64.46439306236896, 12.29802606826627 64.46455451193641, 12.298497905427372 64.46472370474281, 12.298653339535262 64.46477646123451, 12.299962591474351 64.46520197792833, 12.300137825377734 64.4652578172607, 12.300169568863728 64.4652675864607, 12.300264800341653 64.46529688505657, 12.302155909643378 64.46584459319038, 12.302287840910756 64.46590225727245)</t>
  </si>
  <si>
    <t>[625298, 625306, 625314, 625322, 625330, 625338, 625346, 625354, 625362, 625370]</t>
  </si>
  <si>
    <t>[622131, 622141, 622150, 622157, 622164, 622171, 622179, 622188, 622195, 622201]</t>
  </si>
  <si>
    <t>0.013418623183252836</t>
  </si>
  <si>
    <t>[622130, 622131, 622141, 622150, 622157, 622164, 622171, 622179, 622188, 622195]</t>
  </si>
  <si>
    <t>313.47323425975316</t>
  </si>
  <si>
    <t>[0.005, 0.004, 0.013, 0.026, 0.018, 0.02, 0.032, 0.022, 0.019, 0.026]</t>
  </si>
  <si>
    <t>LINESTRING (12.297103860222686 64.4642066474806, 12.297524106662832 64.46442816276799, 12.298552676079801 64.46482757389359, 12.29980719963781 64.46524074490976, 12.299861153354515 64.46525736954415, 12.299977582112783 64.4652932446722, 12.30004681876492 64.46531397527421, 12.300091406309708 64.46532747348228, 12.300187986955468 64.46535638383656, 12.302111569774752 64.4658748133708, 12.302287840910756 64.46590225727245)</t>
  </si>
  <si>
    <t>[682049, 682059, 682074, 682082, 682090, 682098, 682106, 682130, 682146, 682154]</t>
  </si>
  <si>
    <t>[673110, 673124, 673144, 673153, 623210, 673166, 673176, 673205, 673228, 622201]</t>
  </si>
  <si>
    <t>0.013382380885614413</t>
  </si>
  <si>
    <t>[622130, 673110, 673124, 673144, 673153, 623210, 673166, 673176, 673205, 673228]</t>
  </si>
  <si>
    <t>315.19054937552676</t>
  </si>
  <si>
    <t>[0.159, -0.013, -0.016, -0.055, -0.003, 1.846, 0.064, -0.01]</t>
  </si>
  <si>
    <t>LINESTRING (10.816103090622992 63.41000966182686, 10.816239435204208 63.41035344888184, 10.81954977301648 63.41251429405782, 10.819813224828783 63.412617053187695, 10.820971412528166 63.413087098245484, 10.824154928256856 63.41465303960924, 10.824389470401146 63.41479806421909, 10.824902718876645 63.41511353978374, 10.824908403204363 63.41511706798824)</t>
  </si>
  <si>
    <t>[625310, 625318, 625326, 625334, 625342, 1393918, 1393925, 1393933]</t>
  </si>
  <si>
    <t>[622147, 622155, 622161, 622168, 622176, 1277685, 1277690, 1277697]</t>
  </si>
  <si>
    <t>0.05004871587771644</t>
  </si>
  <si>
    <t>[622137, 622147, 622155, 622161, 622168, 622176, 1277685, 1277690]</t>
  </si>
  <si>
    <t>[0.159, 0.013, 0.016, 0.055, 0.003, 1.846, 0.064, 0.01]</t>
  </si>
  <si>
    <t>732.7680946350173</t>
  </si>
  <si>
    <t>[0.027, 0.007, -0.01]</t>
  </si>
  <si>
    <t>LINESTRING (12.302287840910756 64.46590225727245, 12.30251043702456 64.4659530450915, 12.307304769156273 64.46696235641322, 12.307412483563958 64.46698079788474)</t>
  </si>
  <si>
    <t>[637467, 637475, 637483]</t>
  </si>
  <si>
    <t>[632277, 632282, 622207]</t>
  </si>
  <si>
    <t>0.007537577179312303</t>
  </si>
  <si>
    <t>[622201, 632277, 632282]</t>
  </si>
  <si>
    <t>[0.027, 0.007, 0.01]</t>
  </si>
  <si>
    <t>274.3527936267981</t>
  </si>
  <si>
    <t>[-0.015, -0.013, -0.013, -0.018, -0.014, -0.015, -0.015, -0.014, 0.006, 0.029, 0.009]</t>
  </si>
  <si>
    <t>LINESTRING (12.307412483563958 64.46698079788474, 12.307597738390147 64.46699889029264, 12.309395328266811 64.46738139482542, 12.3096111394313 64.46743583677936, 12.30963097862756 64.46744103087563, 12.30968503948128 64.46745518430733, 12.309797683412416 64.46748342120071, 12.30995654641879 64.46752303681004, 12.310015053060106 64.46753790003477, 12.310522702226772 64.46768670420389, 12.311387633196727 64.46801404580877, 12.312684518287403 64.46888072937409)</t>
  </si>
  <si>
    <t>[625378, 625386, 625394, 625402, 625410, 625418, 625426, 625434, 625442, 625450, 625458]</t>
  </si>
  <si>
    <t>[622208, 622216, 622224, 622230, 622237, 622245, 622250, 622259, 622269, 622275, 622281]</t>
  </si>
  <si>
    <t>0.0027750740355043805</t>
  </si>
  <si>
    <t>[622207, 622208, 622216, 622224, 622230, 622237, 622245, 622250, 622259, 622269, 622275]</t>
  </si>
  <si>
    <t>[0.015, 0.013, 0.013, 0.018, 0.014, 0.015, 0.015, 0.014, 0.006, 0.029, 0.009]</t>
  </si>
  <si>
    <t>341.19580173155674</t>
  </si>
  <si>
    <t>[-0.006, -0.013, -0.013, -0.018, -0.015, -0.013, -0.014, -0.001, 0.033, 0.022, 0.019, 0.004]</t>
  </si>
  <si>
    <t>LINESTRING (12.307412483563958 64.46698079788474, 12.30756436150361 64.46702960016896, 12.30932764979238 64.46743468079933, 12.309541718101011 64.46748971055194, 12.309561606788924 64.46749482474586, 12.309615773689428 64.46750874667123, 12.309686501776861 64.46752776676198, 12.309826622160692 64.46756775792183, 12.310430767885316 64.46774905641968, 12.311324690845595 64.46807697362853, 12.311472801488135 64.46814011514113, 12.311633276808452 64.46821232754188, 12.312684518287403 64.46888072937409)</t>
  </si>
  <si>
    <t>[682172, 682195, 682203, 682204, 682211, 682212, 682219, 682220, 682227, 682228, 682256, 682279]</t>
  </si>
  <si>
    <t>[673259, 673280, 673291, 673292, 673300, 624352, 673306, 673307, 673317, 673318, 673354, 622281]</t>
  </si>
  <si>
    <t>0.0027642987527246453</t>
  </si>
  <si>
    <t>[622207, 673259, 673280, 673291, 673292, 673300, 624352, 673306, 673307, 673317, 673318, 673354]</t>
  </si>
  <si>
    <t>[0.006, 0.013, 0.013, 0.018, 0.015, 0.013, 0.014, 0.001, 0.033, 0.022, 0.019, 0.004]</t>
  </si>
  <si>
    <t>336.75636251255344</t>
  </si>
  <si>
    <t>4131.0</t>
  </si>
  <si>
    <t>LINESTRING (12.312684518287403 64.46888072937409, 12.526239665618132 64.5780260730179)</t>
  </si>
  <si>
    <t>17988.19476979319</t>
  </si>
  <si>
    <t>[-0.193, 0.011, 0.049]</t>
  </si>
  <si>
    <t>773.0</t>
  </si>
  <si>
    <t>LINESTRING (11.278531765904042 63.73032499810362, 11.278537805868266 63.73032763433726, 11.285525755917464 63.73143946888363, 11.28636741207218 63.73145541171893)</t>
  </si>
  <si>
    <t>[1135677, 1135691, 681029]</t>
  </si>
  <si>
    <t>[1072512, 671905, 622372]</t>
  </si>
  <si>
    <t>0.014594863524732311</t>
  </si>
  <si>
    <t>[1072471, 1072512, 671905]</t>
  </si>
  <si>
    <t>[0.193, 0.011, 0.049]</t>
  </si>
  <si>
    <t>416.1513033497323</t>
  </si>
  <si>
    <t>[0.044, 0.025, 0.032, 0.046, -0.055, -0.051, -0.049, -0.037, -0.018, -0.035, 0.017, 0.017, 0.033]</t>
  </si>
  <si>
    <t>LINESTRING (11.28636741207218 63.73145541171893, 11.286775969287316 63.73146294799483, 11.290603419455254 63.73157097259215, 11.292830434070678 63.73179187363163, 11.293929115041312 63.731918687854126, 11.296107980054765 63.7321148178844, 11.296172177740734 63.73211790709571, 11.29637406488456 63.7321275843616, 11.29809461836274 63.73219035212948, 11.30522275159072 63.732438909616135, 11.3068892290021 63.73249923134583, 11.324632831471343 63.73673379533537, 11.328897780814188 63.73746857728081, 11.335201770617882 63.738602236579055)</t>
  </si>
  <si>
    <t>[681045, 681053, 681061, 681069, 851386, 851394, 851402, 851410, 851418, 851426, 851434, 851442, 851450]</t>
  </si>
  <si>
    <t>[671921, 671933, 671943, 671955, 826101, 826106, 826113, 826122, 826129, 826135, 826142, 826148, 825888]</t>
  </si>
  <si>
    <t>0.009673232890419927</t>
  </si>
  <si>
    <t>[622372, 671921, 671933, 671943, 671955, 826101, 826106, 826113, 826122, 826129, 826135, 826142, 826148]</t>
  </si>
  <si>
    <t>[0.044, 0.025, 0.032, 0.046, 0.055, 0.051, 0.049, 0.037, 0.018, 0.035, 0.017, 0.017, 0.033]</t>
  </si>
  <si>
    <t>2632.1725848724213</t>
  </si>
  <si>
    <t>[0.003, -0.015]</t>
  </si>
  <si>
    <t>LINESTRING (10.985369550731386 59.934686807161505, 10.985052115514993 59.9345923786822, 10.98116073157111 59.93358904155564)</t>
  </si>
  <si>
    <t>[625580, 625596]</t>
  </si>
  <si>
    <t>[622382, 622386]</t>
  </si>
  <si>
    <t>[622381, 622382]</t>
  </si>
  <si>
    <t>[0.003, 0.015]</t>
  </si>
  <si>
    <t>284.3765144191367</t>
  </si>
  <si>
    <t>[-0.085, -0.004, 0.001, -0.002, 0.007, -0.015, 0.01, 0.056, 0.047, 0.012, 0.009, -0.019, 0.014, 0.019, 0.021, 0.015, 0.03, 0.019]</t>
  </si>
  <si>
    <t>LINESTRING (10.985369550731386 59.934686807161505, 10.985891797269417 59.934902580677765, 10.986397228783474 59.93510931671313, 10.988016782833494 59.93575727336387, 10.988184791840586 59.93581580258089, 10.991250221939417 59.93649017416649, 10.991267987617196 59.9364926028469, 10.993287094822637 59.93676321786531, 10.993586769334836 59.93680287375912, 10.99360389220871 59.93680513871957, 10.997207403968668 59.93709157481247, 10.997761221614818 59.937064163026854, 11.000139567772097 59.9367649854995, 11.000156775823715 59.93676298180533, 11.003694120662182 59.936883670188536, 11.003699756343389 59.936884776166174, 11.003933206292896 59.93693053508419, 11.005611455299134 59.93745740219048, 11.006882471838683 59.93794592003315)</t>
  </si>
  <si>
    <t>[1512585, 1512593, 1512601, 1512609, 1512617, 1512625, 1512633, 1512641, 1512649, 1512657, 1512665, 1512673, 1512681, 1512689, 1512697, 1512705, 1512713, 1512714]</t>
  </si>
  <si>
    <t>[1367824, 1367830, 1367836, 1367841, 1367849, 1367855, 1367864, 1367870, 1367877, 1367883, 1367891, 1367900, 1367907, 1367914, 1367923, 1367930, 1367937, 1365666]</t>
  </si>
  <si>
    <t>0.0071685811583062364</t>
  </si>
  <si>
    <t>[622381, 1367824, 1367830, 1367836, 1367841, 1367849, 1367855, 1367864, 1367870, 1367877, 1367883, 1367891, 1367900, 1367907, 1367914, 1367923, 1367930, 1367937]</t>
  </si>
  <si>
    <t>[0.085, 0.004, 0.001, 0.002, 0.007, 0.015, 0.01, 0.056, 0.047, 0.012, 0.009, 0.019, 0.014, 0.019, 0.021, 0.015, 0.03, 0.019]</t>
  </si>
  <si>
    <t>1316.2719891234817</t>
  </si>
  <si>
    <t>[-0.002, 0.004, 0.002, 0.07, 0.022, 0.017, -0.036, -0.021, 0.001, 0.026, 0.037]</t>
  </si>
  <si>
    <t>LINESTRING (10.977077714195323 59.93202115716786, 10.980165185638802 59.93287538983141, 10.980243736107044 59.932896846985045, 10.981724623402522 59.93331576812921, 10.981740009266986 59.93332037313047, 10.982505565448422 59.93356983609315, 10.982520087115864 59.93357477425174, 10.98253490136296 59.9335798112372, 10.983490041949727 59.933910929847315, 10.983558805027082 59.93393927873841, 10.983712717951075 59.93400267947058, 10.985369550731386 59.934686807161505)</t>
  </si>
  <si>
    <t>[1512511, 1512513, 1512520, 1512528, 1512529, 1512536, 1512537, 1512538, 1512554, 1512562, 1512570]</t>
  </si>
  <si>
    <t>[1367756, 1367757, 1367763, 1367771, 1367772, 1367777, 1367778, 1367779, 1367798, 1367804, 622381]</t>
  </si>
  <si>
    <t>0.007894910214983307</t>
  </si>
  <si>
    <t>[622401, 1367756, 1367757, 1367763, 1367771, 1367772, 1367777, 1367778, 1367779, 1367798, 1367804]</t>
  </si>
  <si>
    <t>[0.002, 0.004, 0.002, 0.07, 0.022, 0.017, 0.036, 0.021, 0.001, 0.026, 0.037]</t>
  </si>
  <si>
    <t>552.2907078083348</t>
  </si>
  <si>
    <t>110.51368851941795</t>
  </si>
  <si>
    <t>[-0.001, -0.01]</t>
  </si>
  <si>
    <t>LINESTRING (10.98116073157111 59.93358904155564, 10.977334224935639 59.9321131426091, 10.977077714195323 59.93202115716786)</t>
  </si>
  <si>
    <t>[625588, 625604]</t>
  </si>
  <si>
    <t>[622387, 622401]</t>
  </si>
  <si>
    <t>[622386, 622387]</t>
  </si>
  <si>
    <t>[0.001, 0.01]</t>
  </si>
  <si>
    <t>303.1349921082024</t>
  </si>
  <si>
    <t>[0.007, 0.004, 0.001, 0.002]</t>
  </si>
  <si>
    <t>1834.0</t>
  </si>
  <si>
    <t>LINESTRING (11.461120482962382 63.7876916217402, 11.46138617812161 63.78746554446658, 11.461054744827763 63.78564884494755, 11.461312699887603 63.78535136507089, 11.46133091614743 63.78531722980496)</t>
  </si>
  <si>
    <t>[625602, 597868, 846877, 846881]</t>
  </si>
  <si>
    <t>[601104, 601105, 822223, 821962]</t>
  </si>
  <si>
    <t>0.0039047719831499473</t>
  </si>
  <si>
    <t>[622399, 601104, 601105, 822223]</t>
  </si>
  <si>
    <t>308.97866506229724</t>
  </si>
  <si>
    <t>[-0.003, -0.001, 0.003, 0.003, 0.006, 0.005]</t>
  </si>
  <si>
    <t>3971.0</t>
  </si>
  <si>
    <t>LINESTRING (11.465214511935507 63.78496433893209, 11.464607384948005 63.7853626358843, 11.463895120574968 63.785841470241124, 11.463763266552231 63.78593174103113, 11.462775748982143 63.786587764866475, 11.462174673816957 63.78699117879417, 11.461120482962382 63.7876916217402)</t>
  </si>
  <si>
    <t>[681255, 681265, 681273, 681281, 681289, 681297]</t>
  </si>
  <si>
    <t>[672199, 672212, 672224, 672237, 672249, 622399]</t>
  </si>
  <si>
    <t>0.0023760414548637566</t>
  </si>
  <si>
    <t>[672198, 672199, 672212, 672224, 672237, 672249]</t>
  </si>
  <si>
    <t>[0.003, 0.001, 0.003, 0.003, 0.006, 0.005]</t>
  </si>
  <si>
    <t>364.92433055896345</t>
  </si>
  <si>
    <t>[0.008, 0.015, 0.002]</t>
  </si>
  <si>
    <t>LINESTRING (10.971111150876336 59.930369995371386, 10.97118951094166 59.930391452348886, 10.972165316118174 59.93065918780543, 10.977077714195323 59.93202115716786)</t>
  </si>
  <si>
    <t>[1512464, 1512487, 1512495]</t>
  </si>
  <si>
    <t>[1367711, 1367734, 622401]</t>
  </si>
  <si>
    <t>0.004200515518776249</t>
  </si>
  <si>
    <t>[1365600, 1367711, 1367734]</t>
  </si>
  <si>
    <t>381.06514548113216</t>
  </si>
  <si>
    <t>189.86013510363208</t>
  </si>
  <si>
    <t>[0.007, 0.009, 0.009, 0.009, 0.009, 0.009, 0.008, 0.008, 0.008, 0.008, 0.007, 0.007]</t>
  </si>
  <si>
    <t>LINESTRING (10.928098287790636 63.46734555117356, 10.929148633946891 63.46728218099368, 10.929251570628614 63.467279117578514, 10.930177025220035 63.467255991936106, 10.930415557352248 63.467251656339634, 10.930559067332254 63.46724800349514, 10.931049959912793 63.46723549080918, 10.9325313838444 63.467202128470774, 10.93277818173795 63.46720465755121, 10.932840477035121 63.467204632586, 10.932900771021169 63.46720455064492, 10.933064496706924 63.46721190597529, 10.933241085952353 63.46722771660618)</t>
  </si>
  <si>
    <t>[625666, 625674, 625682, 625690, 625698, 625706, 625714, 625722, 625730, 625738, 625746, 625754]</t>
  </si>
  <si>
    <t>[622454, 622461, 622468, 622477, 622484, 622493, 622500, 622504, 622510, 622518, 622525, 622531]</t>
  </si>
  <si>
    <t>0.008096169122924617</t>
  </si>
  <si>
    <t>[622453, 622454, 622461, 622468, 622477, 622484, 622493, 622500, 622504, 622510, 622518, 622525]</t>
  </si>
  <si>
    <t>257.5363171861424</t>
  </si>
  <si>
    <t>[0.013, 0.007, 0.007, 0.007, 0.007, 0.006, 0.008, 0.007, 0.007, -0.004, 0.047]</t>
  </si>
  <si>
    <t>LINESTRING (10.928098287790636 63.46734555117356, 10.929270541132821 63.4673446075975, 10.930057760148085 63.46732945505326, 10.930197849532384 63.46732668488672, 10.930355865571896 63.46732446097229, 10.930435077741897 63.467322761532856, 10.930494847987287 63.46732212638947, 10.930579755376206 63.4673195194163, 10.931081540199118 63.467304323606676, 10.931133261851917 63.4673027759539, 10.932850376397967 63.467248058180935, 10.933241085952353 63.46722771660618)</t>
  </si>
  <si>
    <t>[682359, 682367, 682375, 682383, 682391, 682399, 682407, 682415, 682423, 682431, 682439]</t>
  </si>
  <si>
    <t>[673468, 673478, 673487, 670987, 673509, 646763, 673529, 673541, 673554, 673564, 622531]</t>
  </si>
  <si>
    <t>0.007750856389043904</t>
  </si>
  <si>
    <t>[622453, 673468, 673478, 673487, 670987, 673509, 646763, 673529, 673541, 673554, 673564]</t>
  </si>
  <si>
    <t>[0.013, 0.007, 0.007, 0.007, 0.007, 0.006, 0.008, 0.007, 0.007, 0.004, 0.047]</t>
  </si>
  <si>
    <t>257.040473246787</t>
  </si>
  <si>
    <t>[-0.011, -0.034]</t>
  </si>
  <si>
    <t>LINESTRING (10.933241085952353 63.46722771660618, 10.937303439105083 63.467659894079965, 10.937747522509914 63.467732477028086)</t>
  </si>
  <si>
    <t>[639896, 1027762]</t>
  </si>
  <si>
    <t>[634356, 982297]</t>
  </si>
  <si>
    <t>[622531, 634356]</t>
  </si>
  <si>
    <t>[0.011, 0.034]</t>
  </si>
  <si>
    <t>232.99095565018834</t>
  </si>
  <si>
    <t>[-0.014, -0.014, -0.019]</t>
  </si>
  <si>
    <t>LINESTRING (10.286221480873847 63.0328602739537, 10.288241644764971 63.03322049606032, 10.28939939367339 63.033549950779886, 10.293529152599836 63.03543408283581)</t>
  </si>
  <si>
    <t>[626966, 626974, 626982]</t>
  </si>
  <si>
    <t>[623403, 623410, 622858]</t>
  </si>
  <si>
    <t>[622852, 623403, 623410]</t>
  </si>
  <si>
    <t>[0.014, 0.014, 0.019]</t>
  </si>
  <si>
    <t>476.187635860223</t>
  </si>
  <si>
    <t>[0.0, 0.041, 0.032]</t>
  </si>
  <si>
    <t>LINESTRING (10.460614393291753 63.42020739177545, 10.460614393291753 63.42020739177545, 10.45923119372622 63.41810877747126, 10.459092495401237 63.418021639769606)</t>
  </si>
  <si>
    <t>[626214, 572182, 626222]</t>
  </si>
  <si>
    <t>[579802, 579803, 622880]</t>
  </si>
  <si>
    <t>0.040145361927957944</t>
  </si>
  <si>
    <t>[622875, 579802, 579803]</t>
  </si>
  <si>
    <t>300.2915328893512</t>
  </si>
  <si>
    <t>[0.06, -0.022, -0.021]</t>
  </si>
  <si>
    <t>LINESTRING (10.459092495401237 63.418021639769606, 10.459190297179475 63.41806674354801, 10.459462859121713 63.41819177003021, 10.464180274164312 63.42033607241256)</t>
  </si>
  <si>
    <t>[627663, 627671, 627679]</t>
  </si>
  <si>
    <t>[623938, 623943, 622890]</t>
  </si>
  <si>
    <t>[622880, 623938, 623943]</t>
  </si>
  <si>
    <t>[0.06, 0.022, 0.021]</t>
  </si>
  <si>
    <t>362.1987870692691</t>
  </si>
  <si>
    <t>[0.013, 0.019, 0.011, -0.004, -0.011, -0.01, -0.003, -0.003, -0.024]</t>
  </si>
  <si>
    <t>53181.0</t>
  </si>
  <si>
    <t>LINESTRING (10.441980239902797 63.409538912432176, 10.442094757496697 63.40960092854923, 10.44307016977878 63.4101270106518, 10.44373719472528 63.41047534050867, 10.44484780237477 63.41104851898531, 10.444901910523239 63.41107603523915, 10.445196338222377 63.41122869380813, 10.445946335177053 63.411622201446995, 10.446065416433296 63.41168085284396, 10.459092495401237 63.418021639769606)</t>
  </si>
  <si>
    <t>[627591, 627599, 627607, 627615, 627623, 627631, 627639, 627647, 627655]</t>
  </si>
  <si>
    <t>[623883, 623891, 623898, 623904, 623910, 623918, 623925, 623929, 622880]</t>
  </si>
  <si>
    <t>[623126, 623883, 623891, 623898, 623904, 623910, 623918, 623925, 623929]</t>
  </si>
  <si>
    <t>[0.013, 0.019, 0.011, 0.004, 0.011, 0.01, 0.003, 0.003, 0.024]</t>
  </si>
  <si>
    <t>1275.6863362854604</t>
  </si>
  <si>
    <t>[-0.017, -0.02, -0.026, 3.337]</t>
  </si>
  <si>
    <t>LINESTRING (10.464180274164312 63.42033607241256, 10.463981389296203 63.42027400190976, 10.460752196132663 63.42023695230529, 10.460727496137226 63.42026060597888, 10.460721417427527 63.420266544939096)</t>
  </si>
  <si>
    <t>[626238, 572190, 626246, 626254]</t>
  </si>
  <si>
    <t>[579812, 579813, 622895, 595532]</t>
  </si>
  <si>
    <t>[622890, 579812, 579813, 622895]</t>
  </si>
  <si>
    <t>[0.017, 0.02, 0.026, 3.337]</t>
  </si>
  <si>
    <t>240.18713533927692</t>
  </si>
  <si>
    <t>[0.012, -0.024, -0.02, -0.025, -0.025]</t>
  </si>
  <si>
    <t>LINESTRING (10.464180274164312 63.42033607241256, 10.464279161077055 63.42038075722637, 10.469242487283775 63.42263951127071, 10.469620251298256 63.42281434302189, 10.469754978871302 63.42287616654477, 10.470263147627264 63.423114444914155)</t>
  </si>
  <si>
    <t>[627687, 627695, 627703, 627711, 627719]</t>
  </si>
  <si>
    <t>[623954, 623961, 623966, 623971, 623977]</t>
  </si>
  <si>
    <t>[622890, 623954, 623961, 623966, 623971]</t>
  </si>
  <si>
    <t>[0.012, 0.024, 0.02, 0.025, 0.025]</t>
  </si>
  <si>
    <t>433.92011530935815</t>
  </si>
  <si>
    <t>[0.034, 0.043, 0.026, 0.036, 0.012, 0.037, 0.041, 0.04, 0.041, 0.016, 0.023]</t>
  </si>
  <si>
    <t>LINESTRING (10.403684546958678 63.40183215220853, 10.406284918222415 63.40226006311145, 10.406693918809921 63.40233003960572, 10.40671252778054 63.402333318594266, 10.407582628081519 63.40249802817066, 10.407600849206515 63.40250172617009, 10.407693895861412 63.402520620331366, 10.407779257955479 63.40253865552881, 10.407864620158454 63.40255669067603, 10.4089287091733 63.4028130536034, 10.414958358540918 63.40490955333349, 10.417736189835253 63.40593508278777)</t>
  </si>
  <si>
    <t>[627423, 627431, 627439, 627447, 627455, 627463, 627471, 627479, 627487, 627495, 627503]</t>
  </si>
  <si>
    <t>[623749, 623756, 623760, 623764, 623770, 623776, 623783, 623788, 623797, 623806, 623076]</t>
  </si>
  <si>
    <t>0.024439105484155288</t>
  </si>
  <si>
    <t>[622922, 623749, 623756, 623760, 623764, 623770, 623776, 623783, 623788, 623797, 623806]</t>
  </si>
  <si>
    <t>846.1032703369474</t>
  </si>
  <si>
    <t>[0.011, 0.013, 0.012, 0.013, 0.015, 0.013]</t>
  </si>
  <si>
    <t>LINESTRING (10.377234915141884 63.36609563701523, 10.377083187625185 63.36601280436439, 10.374067376887455 63.36324057891491, 10.37404614111307 63.3631112984367, 10.374052745439185 63.36308273728449, 10.374091145700236 63.363001533073714, 10.374107491082825 63.36296671478868)</t>
  </si>
  <si>
    <t>[657557, 657559, 626342, 626350, 626358, 626366]</t>
  </si>
  <si>
    <t>[648862, 622941, 622942, 608043, 622948, 557387]</t>
  </si>
  <si>
    <t>0.012948228457682546</t>
  </si>
  <si>
    <t>[648861, 648862, 622941, 622942, 608043, 622948]</t>
  </si>
  <si>
    <t>387.625614127203</t>
  </si>
  <si>
    <t>[0.0, 0.002, 0.001, -0.018, -0.023]</t>
  </si>
  <si>
    <t>LINESTRING (10.376216993340948 63.362852649826884, 10.376216993340948 63.362852649826884, 10.37629508796491 63.36287766528051, 10.376447700585523 63.36293747156636, 10.376876923257393 63.36494724429104, 10.376874565361964 63.36500169740073)</t>
  </si>
  <si>
    <t>[626374, 626382, 626390, 2121714, 2121722]</t>
  </si>
  <si>
    <t>[608020, 622959, 622967, 1828142, 1828019]</t>
  </si>
  <si>
    <t>[557380, 608020, 622959, 622967, 1828142]</t>
  </si>
  <si>
    <t>[0.0, 0.002, 0.001, 0.018, 0.023]</t>
  </si>
  <si>
    <t>266.52957428278927</t>
  </si>
  <si>
    <t>[0.036, 0.029, 0.008, -0.005, 0.005, 0.003, -0.001]</t>
  </si>
  <si>
    <t>LINESTRING (10.37741946128543 63.374655457962874, 10.377470494943747 63.374550104441965, 10.378551356780596 63.37311401370674, 10.377270143470941 63.37155732873736, 10.376867114944124 63.37114311403756, 10.376705862044481 63.37029080290409, 10.376698658091732 63.37026089441077, 10.376652120705561 63.370176654840435)</t>
  </si>
  <si>
    <t>[626414, 599497, 599505, 599513, 599521, 626422, 626430]</t>
  </si>
  <si>
    <t>[602332, 602333, 602338, 602345, 602349, 558071, 579822]</t>
  </si>
  <si>
    <t>0.01327042146724268</t>
  </si>
  <si>
    <t>[622986, 602332, 602333, 602338, 602345, 602349, 558071]</t>
  </si>
  <si>
    <t>[0.036, 0.029, 0.008, 0.005, 0.005, 0.003, 0.001]</t>
  </si>
  <si>
    <t>538.4512737347173</t>
  </si>
  <si>
    <t>[-0.009, -0.011, -0.012, -0.011, -0.011, -0.024, -0.04]</t>
  </si>
  <si>
    <t>LINESTRING (10.378994067711005 63.36834804597687, 10.37916927647857 63.3686965787367, 10.379461016649904 63.36952949407381, 10.379555295393805 63.37006399784596, 10.37957453568486 63.37060416144688, 10.379565539603016 63.37079198926332, 10.377506866224229 63.37456315408708, 10.37741946128543 63.374655457962874)</t>
  </si>
  <si>
    <t>[627175, 627183, 627191, 627199, 627207, 627215, 627223]</t>
  </si>
  <si>
    <t>[623558, 623564, 623569, 623573, 623577, 623581, 622986]</t>
  </si>
  <si>
    <t>[623029, 623558, 623564, 623569, 623573, 623577, 623581]</t>
  </si>
  <si>
    <t>[0.009, 0.011, 0.012, 0.011, 0.011, 0.024, 0.04]</t>
  </si>
  <si>
    <t>721.2081083571885</t>
  </si>
  <si>
    <t>[-0.015, -0.014, -0.013, -0.011]</t>
  </si>
  <si>
    <t>LINESTRING (10.37786366210564 63.36665882237897, 10.378109058150073 63.36697266640875, 10.37832628997186 63.36725703665963, 10.3783559436909 63.36729682744588, 10.378994067711005 63.36834804597687)</t>
  </si>
  <si>
    <t>[657785, 657786, 627159, 627167]</t>
  </si>
  <si>
    <t>[649105, 623547, 623548, 623029]</t>
  </si>
  <si>
    <t>[649004, 649105, 623547, 623548]</t>
  </si>
  <si>
    <t>[0.015, 0.014, 0.013, 0.011]</t>
  </si>
  <si>
    <t>196.79529073587202</t>
  </si>
  <si>
    <t>[0.004, 0.016, 0.023]</t>
  </si>
  <si>
    <t>LINESTRING (10.417736189835253 63.40593508278777, 10.417813637053422 63.40596382756743, 10.41842703244972 63.406196103334004, 10.425398354494822 63.40799920783561)</t>
  </si>
  <si>
    <t>[627511, 627519, 627527]</t>
  </si>
  <si>
    <t>[623822, 623828, 623083]</t>
  </si>
  <si>
    <t>0.022169528510170098</t>
  </si>
  <si>
    <t>[623076, 623822, 623828]</t>
  </si>
  <si>
    <t>453.2417198384186</t>
  </si>
  <si>
    <t>[0.04, 0.047, 0.068, 0.064]</t>
  </si>
  <si>
    <t>LINESTRING (10.425398354494822 63.40799920783561, 10.425478401986688 63.40800294394358, 10.427997262415506 63.407972471241195, 10.430281270903249 63.40770882311154, 10.437674603815742 63.40765145240436)</t>
  </si>
  <si>
    <t>[627535, 627543, 627551, 627559]</t>
  </si>
  <si>
    <t>[623841, 623847, 623854, 623121]</t>
  </si>
  <si>
    <t>0.06119986038404988</t>
  </si>
  <si>
    <t>[623083, 623841, 623847, 623854]</t>
  </si>
  <si>
    <t>633.4969692775937</t>
  </si>
  <si>
    <t>[0.072, 0.129, 0.091, -0.007]</t>
  </si>
  <si>
    <t>LINESTRING (10.53622477855615 63.42226268445889, 10.539638788061403 63.42256871725644, 10.540324592728672 63.422649743106184, 10.542098851254584 63.422885861804296, 10.548300812681886 63.423031336332336)</t>
  </si>
  <si>
    <t>[627944, 627952, 627960, 1713844]</t>
  </si>
  <si>
    <t>[624130, 624135, 624138, 824189]</t>
  </si>
  <si>
    <t>0.037944567788699965</t>
  </si>
  <si>
    <t>[623104, 624130, 624135, 624138]</t>
  </si>
  <si>
    <t>[0.072, 0.129, 0.091, 0.007]</t>
  </si>
  <si>
    <t>614.7397937790502</t>
  </si>
  <si>
    <t>[-0.003, 0.002, 0.021]</t>
  </si>
  <si>
    <t>LINESTRING (10.437674603815742 63.40765145240436, 10.437776781750463 63.4076799876367, 10.438905556400828 63.40806074369135, 10.441980239902797 63.409538912432176)</t>
  </si>
  <si>
    <t>[627567, 627575, 627583]</t>
  </si>
  <si>
    <t>[623867, 623872, 623126]</t>
  </si>
  <si>
    <t>0.016077249970672187</t>
  </si>
  <si>
    <t>[623121, 623867, 623872]</t>
  </si>
  <si>
    <t>[0.003, 0.002, 0.021]</t>
  </si>
  <si>
    <t>302.3028762880208</t>
  </si>
  <si>
    <t>[-2.138, -0.049, -0.012, 0.001, 0.001, 0.001, -0.028, 0.004, -0.019, 0.033]</t>
  </si>
  <si>
    <t>LINESTRING (10.636356505360808 63.422856263597076, 10.636237475889944 63.422847230109035, 10.63359424076685 63.42269825976501, 10.630967138427962 63.422789436791106, 10.630924729209916 63.42278947813469, 10.630903535270642 63.42278949463316, 10.630840122933572 63.42278909078547, 10.630123503276263 63.42275096845805, 10.621305170903081 63.42225593297068, 10.621106593547859 63.422222392393664, 10.621089973725606 63.422219661812065)</t>
  </si>
  <si>
    <t>[626654, 573269, 573274, 573280, 573298, 573257, 573258, 573268, 626638, 626646]</t>
  </si>
  <si>
    <t>[580782, 580783, 580788, 580791, 574801, 580772, 580773, 580781, 623139, 623147]</t>
  </si>
  <si>
    <t>[623153, 580782, 580783, 580788, 580791, 574801, 580772, 580773, 580781, 623139]</t>
  </si>
  <si>
    <t>[2.138, 0.049, 0.012, 0.001, 0.001, 0.001, 0.028, 0.004, 0.019, 0.033]</t>
  </si>
  <si>
    <t>769.7375697940354</t>
  </si>
  <si>
    <t>[0.079, 0.04, -0.018, -0.013, -0.077, -0.044, -0.031, -0.065, -0.089, -0.027, -0.03, -0.025, -0.03, 0.018, 0.018, 0.017, 0.017, -0.014, -0.066, 0.034]</t>
  </si>
  <si>
    <t>[0, 0, 0, 0, 0, 0, 0, 0, 0, 0, 0, 1, 0, 1, 0, 0, 0, 0, 1, 0]</t>
  </si>
  <si>
    <t>LINESTRING (10.636356505360808 63.422856263597076, 10.639028603686368 63.42350019338099, 10.649858304008017 63.426657200942714, 10.65669914813767 63.42680550680618, 10.660710246994803 63.426478508683076, 10.661603371229255 63.426420069729744, 10.668247874424052 63.426557889589816, 10.669027551542207 63.42656326204586, 10.671392958704267 63.42649023418821, 10.673850601433166 63.426230298055266, 10.673915916904312 63.42622212773322, 10.67474339734686 63.426115264758934, 10.674911936642614 63.42609295174855, 10.684553320095214 63.42579993827798, 10.68495036636949 63.42579791698116, 10.68556237443111 63.42579453476974, 10.686089263607911 63.42579132846919, 10.686499742598402 63.42578992458732, 10.692265101747076 63.42574593283648, 10.692565895980971 63.42574350281186, 10.698210939831693 63.42592599920331)</t>
  </si>
  <si>
    <t>[628008, 628016, 628024, 628032, 628040, 628048, 628056, 628064, 628072, 990649, 990661, 990662, 990671, 990675, 990692, 990693, 990714, 990734, 990758, 990772]</t>
  </si>
  <si>
    <t>[624165, 624169, 624175, 624180, 624186, 624191, 624198, 624202, 624209, 949489, 949500, 949501, 949507, 949511, 949521, 949522, 949541, 949558, 949575, 949588]</t>
  </si>
  <si>
    <t>[623153, 624165, 624169, 624175, 624180, 624186, 624191, 624198, 624202, 624209, 949489, 949500, 949501, 949507, 949511, 949521, 949522, 949541, 949558, 949575]</t>
  </si>
  <si>
    <t>[0.079, 0.04, 0.018, 0.013, 0.077, 0.044, 0.031, 0.065, 0.089, 0.027, 0.03, 0.025, 0.03, 0.018, 0.018, 0.017, 0.017, 0.014, 0.066, 0.034]</t>
  </si>
  <si>
    <t>3237.4680631403776</t>
  </si>
  <si>
    <t>[-0.121, 0.027, -0.043, -0.03, -0.044, -0.033, -0.053, 0.014, 0.105, 1.075]</t>
  </si>
  <si>
    <t>LINESTRING (10.760944131098638 63.41877356586422, 10.760759888081987 63.418839110770925, 10.756745716360596 63.41966282796798, 10.756707361742698 63.419668879328256, 10.75668819441556 63.41967190530141, 10.756629072523777 63.41967823818035, 10.75656955460681 63.41968385807629, 10.756337855459178 63.41970733594826, 10.751266786057155 63.420146626572304, 10.749755618745537 63.42020367514204, 10.749515246563647 63.420201011816665)</t>
  </si>
  <si>
    <t>[626694, 573469, 573490, 573498, 573449, 573450, 573451, 573453, 573461, 626686]</t>
  </si>
  <si>
    <t>[580935, 580936, 580953, 526519, 580919, 580920, 580921, 580923, 580927, 623183]</t>
  </si>
  <si>
    <t>0.046794275477466084</t>
  </si>
  <si>
    <t>[623192, 580935, 580936, 580953, 526519, 580919, 580920, 580921, 580923, 580927]</t>
  </si>
  <si>
    <t>[0.121, 0.027, 0.043, 0.03, 0.044, 0.033, 0.053, 0.014, 0.105, 1.075]</t>
  </si>
  <si>
    <t>599.3663476846672</t>
  </si>
  <si>
    <t>[0.096, 0.107, 0.115, -0.013, 0.007, -0.037, -0.004]</t>
  </si>
  <si>
    <t>LINESTRING (10.815943938996558 63.40912136266194, 10.815934693430405 63.4091572279238, 10.815930071426262 63.41004908508929, 10.816095181337117 63.410421132622425, 10.819424330911106 63.41257055878086, 10.819685041090143 63.41267410078617, 10.820865828109465 63.413130156431876, 10.82406398659016 63.41468315286255)</t>
  </si>
  <si>
    <t>[628272, 628280, 628288, 628296, 628304, 628312, 628320]</t>
  </si>
  <si>
    <t>[624350, 624353, 624358, 624364, 624371, 624375, 623219]</t>
  </si>
  <si>
    <t>0.010780229589156618</t>
  </si>
  <si>
    <t>[623212, 624350, 624353, 624358, 624364, 624371, 624375]</t>
  </si>
  <si>
    <t>[0.096, 0.107, 0.115, 0.013, 0.007, 0.037, 0.004]</t>
  </si>
  <si>
    <t>774.4261158610577</t>
  </si>
  <si>
    <t>[0.025, 0.029, 0.026, 0.019, -0.001, 0.017, 0.043, -0.004, -0.017, -0.013, -0.01, -0.008, -0.005, 0.006, 0.005, 0.004, 0.004]</t>
  </si>
  <si>
    <t>[0, 0, 1, 1, 0, 0, 0, 0, 0, 0, 0, 1, 0, 0, 0, 0, 0]</t>
  </si>
  <si>
    <t>LINESTRING (10.272329241151706 63.28427816997222, 10.271649185987942 63.28620948604395, 10.271647379504454 63.28623631561412, 10.271645471738054 63.28649624541909, 10.27164624833915 63.28652316089943, 10.278561964465956 63.29500162297134, 10.284481440401011 63.29820881001904, 10.285560509903682 63.29911331727554, 10.287101099512558 63.301201623561404, 10.28735479601402 63.3018275389454, 10.28751095849791 63.30225670926539, 10.287587777880853 63.302467839638375, 10.287714975870566 63.30282389855088, 10.287765538213474 63.30296367119978, 10.28840240762158 63.30473328080609, 10.288518718999953 63.305055937364685, 10.28854399411003 63.30512344008537, 10.288791157871145 63.30580625865236)</t>
  </si>
  <si>
    <t>[627030, 627038, 627046, 627054, 627062, 627070, 627078, 627086, 627102, 627110, 627118, 627126, 627134, 627143, 627151, 1109856, 1109888]</t>
  </si>
  <si>
    <t>[623455, 623461, 623467, 623472, 623476, 623481, 623488, 623495, 623506, 623512, 623517, 623523, 623528, 623535, 623541, 1050141, 1050156]</t>
  </si>
  <si>
    <t>0.0061911817143748575</t>
  </si>
  <si>
    <t>[623449, 623455, 623461, 623467, 623472, 623476, 623481, 623488, 623495, 623506, 623512, 623517, 623523, 623528, 623535, 623541, 1050141]</t>
  </si>
  <si>
    <t>[0.025, 0.029, 0.026, 0.019, 0.001, 0.017, 0.043, 0.004, 0.017, 0.013, 0.01, 0.008, 0.005, 0.006, 0.005, 0.004, 0.004]</t>
  </si>
  <si>
    <t>2650.872385964012</t>
  </si>
  <si>
    <t>[0.002, 0.002, 0.001, -0.001, 0.012, -0.173, -0.004, -0.013, 0.015]</t>
  </si>
  <si>
    <t>LINESTRING (10.28052835484817 63.27871655085873, 10.280014341199282 63.27895828767395, 10.279883066445395 63.27902005500408, 10.279196418287096 63.27934294809364, 10.275411840413309 63.28123445411992, 10.275208286156735 63.281365104133855, 10.275144572916641 63.28140733173899, 10.273032479248505 63.2833300032196, 10.27241584417739 63.284146673761654, 10.272329241151706 63.28427816997222)</t>
  </si>
  <si>
    <t>[1027270, 1027278, 1027246, 1027214, 1027222, 1253720, 627006, 627014, 627022]</t>
  </si>
  <si>
    <t>[981967, 981946, 981914, 981915, 981922, 623433, 623434, 623442, 623449]</t>
  </si>
  <si>
    <t>[981960, 981967, 981946, 981914, 981915, 981922, 623433, 623434, 623442]</t>
  </si>
  <si>
    <t>[0.002, 0.002, 0.001, 0.001, 0.012, 0.173, 0.004, 0.013, 0.015]</t>
  </si>
  <si>
    <t>755.4289732070378</t>
  </si>
  <si>
    <t>[-0.031, -0.036, -0.032, -0.025, -0.022, -0.019, -0.016, -0.019, -0.02]</t>
  </si>
  <si>
    <t>LINESTRING (10.470263147627264 63.423114444914155, 10.471709476122996 63.42379240335005, 10.471807646113952 63.423837958784006, 10.472081385261555 63.42396217761008, 10.473845430056926 63.424824026950155, 10.474696017716711 63.42524530029942, 10.475466095849127 63.425603583154924, 10.476254799008753 63.42596250570888, 10.481512244359578 63.428283230634975, 10.481579583282059 63.42831382068724)</t>
  </si>
  <si>
    <t>[627727, 627735, 627743, 1112560, 1112568, 1112576, 1112584, 1112592, 1112600]</t>
  </si>
  <si>
    <t>[623982, 623988, 623994, 1052221, 1052228, 1052236, 1052244, 1052253, 1052261]</t>
  </si>
  <si>
    <t>[623977, 623982, 623988, 623994, 1052221, 1052228, 1052236, 1052244, 1052253]</t>
  </si>
  <si>
    <t>[0.031, 0.036, 0.032, 0.025, 0.022, 0.019, 0.016, 0.019, 0.02]</t>
  </si>
  <si>
    <t>809.8278249858994</t>
  </si>
  <si>
    <t>[0.03, 0.027, 0.008]</t>
  </si>
  <si>
    <t>LINESTRING (10.475968359778436 63.42677574152592, 10.475980249983673 63.42671648630493, 10.47051786294587 63.42327803095385, 10.470263147627264 63.423114444914155)</t>
  </si>
  <si>
    <t>[2069614, 2069622, 2069606]</t>
  </si>
  <si>
    <t>[1797144, 1797138, 623977]</t>
  </si>
  <si>
    <t>0.026207386278176908</t>
  </si>
  <si>
    <t>[1797143, 1797144, 1797138]</t>
  </si>
  <si>
    <t>507.96487279998456</t>
  </si>
  <si>
    <t>[0.0, -0.162]</t>
  </si>
  <si>
    <t>LINESTRING (10.51455044039391 63.42619991724615, 10.51455044039391 63.42619991724615, 10.514221982986767 63.42626168626555)</t>
  </si>
  <si>
    <t>[682683, 682635]</t>
  </si>
  <si>
    <t>[673794, 624026]</t>
  </si>
  <si>
    <t>[673855, 673794]</t>
  </si>
  <si>
    <t>[0.0, 0.162]</t>
  </si>
  <si>
    <t>256.3750515579371</t>
  </si>
  <si>
    <t>[-0.034, 0.025, 0.013, 0.057, -0.016, 0.018]</t>
  </si>
  <si>
    <t>LINESTRING (10.495364460210896 63.430962714373074, 10.497175944667521 63.430478606336806, 10.497324808319235 63.43043312133626, 10.497402772403785 63.4304080220646, 10.497500213681 63.430376128229284, 10.51038709046219 63.427234860559786, 10.514221982986767 63.42626168626555)</t>
  </si>
  <si>
    <t>[1112640, 627751, 627759, 627767, 627775, 627783]</t>
  </si>
  <si>
    <t>[624000, 624001, 624007, 624013, 624019, 624026]</t>
  </si>
  <si>
    <t>[1052295, 624000, 624001, 624007, 624013, 624019]</t>
  </si>
  <si>
    <t>[0.034, 0.025, 0.013, 0.057, 0.016, 0.018]</t>
  </si>
  <si>
    <t>1083.892125006655</t>
  </si>
  <si>
    <t>[0.015, 0.017, 0.058, 0.061]</t>
  </si>
  <si>
    <t>LINESTRING (10.698210939831693 63.42592599920331, 10.716929061989884 63.42607237143717, 10.72126050930768 63.425310634333506, 10.721605446833687 63.425270531643946, 10.721922771050984 63.425233645972085)</t>
  </si>
  <si>
    <t>[990780, 990793, 990794, 990795]</t>
  </si>
  <si>
    <t>[949597, 949607, 949608, 624215]</t>
  </si>
  <si>
    <t>0.016553639145080068</t>
  </si>
  <si>
    <t>[949588, 949597, 949607, 949608]</t>
  </si>
  <si>
    <t>1277.1933693048916</t>
  </si>
  <si>
    <t>[0.057, 0.002, 0.012, 0.018]</t>
  </si>
  <si>
    <t>LINESTRING (10.912561368394547 63.46537329147605, 10.912560047882774 63.465375923279176, 10.912123990214715 63.46614611192293, 10.911883211027742 63.46666238882455, 10.911904676696413 63.466748941423006)</t>
  </si>
  <si>
    <t>[628971, 628979, 628987, 628995]</t>
  </si>
  <si>
    <t>[624895, 624901, 624907, 624911]</t>
  </si>
  <si>
    <t>0.006839714686182076</t>
  </si>
  <si>
    <t>[624887, 624895, 624901, 624907]</t>
  </si>
  <si>
    <t>157.73226729138722</t>
  </si>
  <si>
    <t>[0.164, 0.004, 0.032]</t>
  </si>
  <si>
    <t>LINESTRING (10.912561368394547 63.46537329147605, 10.912537029004664 63.465562431432474, 10.913044536701614 63.46689403118332, 10.913515274945075 63.46691307314902)</t>
  </si>
  <si>
    <t>[2134900, 2134892, 2134908]</t>
  </si>
  <si>
    <t>[1835650, 1835651, 1835660]</t>
  </si>
  <si>
    <t>0.02183059081112497</t>
  </si>
  <si>
    <t>[624887, 1835650, 1835651]</t>
  </si>
  <si>
    <t>226.53389091422252</t>
  </si>
  <si>
    <t>0.131</t>
  </si>
  <si>
    <t>11.279252456855295</t>
  </si>
  <si>
    <t>[0.105, -0.071]</t>
  </si>
  <si>
    <t>LINESTRING (10.911373490104175 63.46669383790692, 10.911675629234217 63.466684809646324, 10.911904676696413 63.466748941423006)</t>
  </si>
  <si>
    <t>[2051503, 2051511]</t>
  </si>
  <si>
    <t>[1785559, 624911]</t>
  </si>
  <si>
    <t>0.02212485952465858</t>
  </si>
  <si>
    <t>[624945, 1785559]</t>
  </si>
  <si>
    <t>[0.105, 0.071]</t>
  </si>
  <si>
    <t>28.930358407051504</t>
  </si>
  <si>
    <t>0.18</t>
  </si>
  <si>
    <t>145.71992929402455</t>
  </si>
  <si>
    <t>[0.0, 0.026, -0.017]</t>
  </si>
  <si>
    <t>LINESTRING (10.227465991740045 59.72315303869721, 10.227465991740045 59.72315303869721, 10.229727065680411 59.71966912446644, 10.2331966957502 59.71427666262693)</t>
  </si>
  <si>
    <t>[629021, 629029, 629037]</t>
  </si>
  <si>
    <t>[624931, 624940, 624946]</t>
  </si>
  <si>
    <t>[624930, 624931, 624940]</t>
  </si>
  <si>
    <t>[0.0, 0.026, 0.017]</t>
  </si>
  <si>
    <t>1605.3437028580001</t>
  </si>
  <si>
    <t>[0.046, -0.002, 0.013, -0.07]</t>
  </si>
  <si>
    <t>LINESTRING (10.911188481928264 63.46701470939619, 10.91110031437436 63.46693245042932, 10.911091413852432 63.466863577899964, 10.911185460744157 63.466758550780945, 10.911373490104175 63.46669383790692)</t>
  </si>
  <si>
    <t>[2051466, 2051479, 2051487, 2051495]</t>
  </si>
  <si>
    <t>[1784057, 1785541, 1784045, 624945]</t>
  </si>
  <si>
    <t>[625026, 1784057, 1785541, 1784045]</t>
  </si>
  <si>
    <t>[0.046, 0.002, 0.013, 0.07]</t>
  </si>
  <si>
    <t>42.304207104595996</t>
  </si>
  <si>
    <t>[0.005, -0.191, -0.003, -0.001, 0.008, 0.008, -0.003]</t>
  </si>
  <si>
    <t>LINESTRING (10.912131549194722 63.46213497908237, 10.912568120918216 63.46300485710766, 10.912619536227169 63.46317145449009, 10.912389357000313 63.4652835568423, 10.912344394711598 63.46536617805456, 10.911887184641241 63.46612658390814, 10.911503312317562 63.466620367828405, 10.911373490104175 63.46669383790692)</t>
  </si>
  <si>
    <t>[1750291, 1750292, 629003, 629011, 629019, 629027, 629035]</t>
  </si>
  <si>
    <t>[1550952, 624917, 624918, 624923, 624929, 624938, 624945]</t>
  </si>
  <si>
    <t>[1550914, 1550952, 624917, 624918, 624923, 624929, 624938]</t>
  </si>
  <si>
    <t>[0.005, 0.191, 0.003, 0.001, 0.008, 0.008, 0.003]</t>
  </si>
  <si>
    <t>505.41737635906895</t>
  </si>
  <si>
    <t>[-0.047, 0.034, 0.024]</t>
  </si>
  <si>
    <t>LINESTRING (10.234975822377809 59.71168371533638, 10.23400509676155 59.7127036299979, 10.233294871020465 59.71387520785977, 10.2331966957502 59.71427666262693)</t>
  </si>
  <si>
    <t>[1630272, 1630280, 1630285]</t>
  </si>
  <si>
    <t>[1457843, 1457850, 624946]</t>
  </si>
  <si>
    <t>[1457792, 1457843, 1457850]</t>
  </si>
  <si>
    <t>[0.047, 0.034, 0.024]</t>
  </si>
  <si>
    <t>309.16627030548085</t>
  </si>
  <si>
    <t>[-0.009, 0.002, 0.004]</t>
  </si>
  <si>
    <t>LINESTRING (10.91174474329202 63.46707563616996, 10.911602931247995 63.46713583812615, 10.910815494193953 63.46827508753211, 10.910753454590964 63.4683722305725)</t>
  </si>
  <si>
    <t>[629043, 629051, 629059]</t>
  </si>
  <si>
    <t>[624955, 624965, 624973]</t>
  </si>
  <si>
    <t>0.0014506123435231528</t>
  </si>
  <si>
    <t>[624954, 624955, 624965]</t>
  </si>
  <si>
    <t>[0.009, 0.002, 0.004]</t>
  </si>
  <si>
    <t>154.20508797296037</t>
  </si>
  <si>
    <t>[0.013, -0.066]</t>
  </si>
  <si>
    <t>LINESTRING (10.91174474329202 63.46707563616996, 10.911432712832788 63.46708663781111, 10.911188481928264 63.46701470939619)</t>
  </si>
  <si>
    <t>[2051450, 2051458]</t>
  </si>
  <si>
    <t>[1785525, 625026]</t>
  </si>
  <si>
    <t>[624954, 1785525]</t>
  </si>
  <si>
    <t>[0.013, 0.066]</t>
  </si>
  <si>
    <t>30.612521766492023</t>
  </si>
  <si>
    <t>10.16949182608012</t>
  </si>
  <si>
    <t>[0.007, 0.011, 0.016, 0.002, 0.006, -0.001, 0.013, 0.0]</t>
  </si>
  <si>
    <t>7270.0</t>
  </si>
  <si>
    <t>LINESTRING (10.910753454590964 63.4683722305725, 10.910590176943934 63.46861043626259, 10.909996284107013 63.46936022195723, 10.909349257305784 63.47004304913867, 10.907125649824076 63.47226379945643, 10.906036554361592 63.47337614495234, 10.904832911132255 63.474577541273426, 10.904797270905721 63.47472419228501, 10.904811207259288 63.4748246065222)</t>
  </si>
  <si>
    <t>[629067, 629075, 629083, 629091, 629099, 629107, 1342271, 1342279]</t>
  </si>
  <si>
    <t>[624980, 624989, 624995, 625004, 625013, 625020, 1244912, 1244751]</t>
  </si>
  <si>
    <t>0.00501923313061074</t>
  </si>
  <si>
    <t>[624973, 624980, 624989, 624995, 625004, 625013, 625020, 1244912]</t>
  </si>
  <si>
    <t>[0.007, 0.011, 0.016, 0.002, 0.006, 0.001, 0.013, 0.0]</t>
  </si>
  <si>
    <t>780.3704461141953</t>
  </si>
  <si>
    <t>[-0.031, -0.017, 0.03]</t>
  </si>
  <si>
    <t>LINESTRING (10.91350951659401 63.46698922937055, 10.913033689294734 63.46701520882869, 10.910935973232455 63.4682019527103, 10.910753454590964 63.4683722305725)</t>
  </si>
  <si>
    <t>[2134860, 2134852, 2134844]</t>
  </si>
  <si>
    <t>[1835627, 1835623, 624973]</t>
  </si>
  <si>
    <t>[1835632, 1835627, 1835623]</t>
  </si>
  <si>
    <t>[0.031, 0.017, 0.03]</t>
  </si>
  <si>
    <t>230.0088768784915</t>
  </si>
  <si>
    <t>[0.017, 0.003, 0.008, 0.008, 0.012, 0.016, 0.002, 0.007, -0.001, 0.007, -0.004]</t>
  </si>
  <si>
    <t>LINESTRING (10.911188481928264 63.46701470939619, 10.911228697478556 63.467090976429944, 10.910627434041004 63.46824058440121, 10.910565655591997 63.46833688094051, 10.910402722316071 63.468578008561046, 10.909807285638545 63.46932731794413, 10.909166605240593 63.47000677554235, 10.906944380887666 63.47222662807022, 10.905812709249343 63.47333631472149, 10.904615190085428 63.47453068498706, 10.904393432219695 63.47463870139017, 10.90418506004768 63.47471402332472)</t>
  </si>
  <si>
    <t>[629115, 629123, 629131, 629139, 629147, 629155, 629163, 629172, 629180, 1342262, 1342263]</t>
  </si>
  <si>
    <t>[625027, 625036, 625044, 625053, 625061, 625069, 625076, 625085, 625095, 1244908, 1244855]</t>
  </si>
  <si>
    <t>0.0049772306325576565</t>
  </si>
  <si>
    <t>[625026, 625027, 625036, 625044, 625053, 625061, 625069, 625076, 625085, 625095, 1244908]</t>
  </si>
  <si>
    <t>[0.017, 0.003, 0.008, 0.008, 0.012, 0.016, 0.002, 0.007, 0.001, 0.007, 0.004]</t>
  </si>
  <si>
    <t>933.6597853835841</t>
  </si>
  <si>
    <t>[-0.017, 0.004, 0.061]</t>
  </si>
  <si>
    <t>LINESTRING (9.735953905918718 59.674994896244655, 9.735693437348246 59.674675063898896, 9.734677083459625 59.673807063113024, 9.733020055354947 59.67293706987333)</t>
  </si>
  <si>
    <t>[629198, 629206, 1827710]</t>
  </si>
  <si>
    <t>[625112, 625120, 1605433]</t>
  </si>
  <si>
    <t>0.028056874381574348</t>
  </si>
  <si>
    <t>[625111, 625112, 625120]</t>
  </si>
  <si>
    <t>[0.017, 0.004, 0.061]</t>
  </si>
  <si>
    <t>286.15176655984374</t>
  </si>
  <si>
    <t>[-0.021, -0.019, -0.023, -0.019, 0.037, 0.033, -0.031, -0.04, 0.014, -0.004, -0.0, 0.045, 0.0, 0.005, -0.001, -0.003]</t>
  </si>
  <si>
    <t>[0, 0, 0, 0, 1, 0, 0, 1, 0, 0, 1, 0, 1, 0, 1, 0]</t>
  </si>
  <si>
    <t>LINESTRING (9.773290097809646 59.70086316601429, 9.772687798789468 59.70065393323984, 9.77240352890693 59.700553485389, 9.771886178711867 59.70037994325214, 9.769277848335825 59.6996207639657, 9.76838674466157 59.699393314037025, 9.762206167821573 59.69792371233102, 9.75892666398423 59.6957965874916, 9.758245324452226 59.694206898021754, 9.756602822107467 59.69125829419958, 9.755293790917293 59.690475292103656, 9.753268455765566 59.68965000845747, 9.747544325709633 59.68712964666655, 9.747310932772077 59.68698698098551, 9.741904835406782 59.68177770303006, 9.74129470628061 59.681152282577095, 9.735953905918718 59.674994896244655)</t>
  </si>
  <si>
    <t>[1437579, 1437587, 1437595, 1437603, 1437611, 1437619, 1437627, 1437635, 1437643, 1437651, 1437659, 1437667, 1437675, 1437683, 1437691, 1437699]</t>
  </si>
  <si>
    <t>[1306758, 1306762, 1306768, 1306775, 1306782, 1306788, 1306795, 1306802, 1306809, 1306815, 1306822, 1306831, 1306838, 1306844, 1306852, 625111]</t>
  </si>
  <si>
    <t>0.004664875843578333</t>
  </si>
  <si>
    <t>[1306751, 1306758, 1306762, 1306768, 1306775, 1306782, 1306788, 1306795, 1306802, 1306809, 1306815, 1306822, 1306831, 1306838, 1306844, 1306852]</t>
  </si>
  <si>
    <t>[0.021, 0.019, 0.023, 0.019, 0.037, 0.033, 0.031, 0.04, 0.014, 0.004, 0.0, 0.045, 0.0, 0.005, 0.001, 0.003]</t>
  </si>
  <si>
    <t>3739.827283839089</t>
  </si>
  <si>
    <t>[-0.023, -0.016, 0.038, 0.033, -0.03, -0.039, 0.014, -0.007, -0.001, 0.045, 0.0, 0.005, -0.001, -0.003]</t>
  </si>
  <si>
    <t>[0, 0, 1, 0, 0, 1, 0, 0, 1, 0, 1, 0, 1, 0]</t>
  </si>
  <si>
    <t>LINESTRING (9.772351406068632 59.70059386656229, 9.771832319982762 59.70042163163046, 9.769238879772043 59.69965693642477, 9.768350638461369 59.69942973558695, 9.762145565720932 59.697967367725916, 9.758827457113005 59.695815192681835, 9.75813996835837 59.69421285684458, 9.756523166002953 59.691284770962206, 9.755236913515919 59.690506684841274, 9.753217212651561 59.68968417264842, 9.747472358983865 59.687160781551, 9.747236968731988 59.68701780163744, 9.741832936671624 59.68180991717881, 9.741214472973192 59.68117265263354, 9.735953905918718 59.674994896244655)</t>
  </si>
  <si>
    <t>[1438035, 1438043, 1438051, 1438059, 1438067, 1438075, 1438083, 1438091, 1438099, 1438107, 1438115, 1438123, 1438131, 1438139]</t>
  </si>
  <si>
    <t>[1307143, 1307149, 1307156, 1307162, 1307169, 1307172, 1307177, 1307183, 1307190, 1307196, 1307200, 1307205, 1307213, 625111]</t>
  </si>
  <si>
    <t>0.005193867467913812</t>
  </si>
  <si>
    <t>[1307137, 1307143, 1307149, 1307156, 1307162, 1307169, 1307172, 1307177, 1307183, 1307190, 1307196, 1307200, 1307205, 1307213]</t>
  </si>
  <si>
    <t>[0.023, 0.016, 0.038, 0.033, 0.03, 0.039, 0.014, 0.007, 0.001, 0.045, 0.0, 0.005, 0.001, 0.003]</t>
  </si>
  <si>
    <t>3683.3487849811445</t>
  </si>
  <si>
    <t>[0.034, 0.023]</t>
  </si>
  <si>
    <t>LINESTRING (11.236911790311689 63.717793752107376, 11.236725697070842 63.71779007227034, 11.235144580435735 63.71804995370386)</t>
  </si>
  <si>
    <t>[629604, 629596]</t>
  </si>
  <si>
    <t>[625442, 625303]</t>
  </si>
  <si>
    <t>0.024059724262495776</t>
  </si>
  <si>
    <t>[625449, 625442]</t>
  </si>
  <si>
    <t>95.56864250647271</t>
  </si>
  <si>
    <t>73.76732644798471</t>
  </si>
  <si>
    <t>[0.026, 0.001, -0.015, -0.03, -0.031, -0.028, -0.03, -0.03, -0.031, -0.033, -0.033, -0.033, -0.037]</t>
  </si>
  <si>
    <t>LINESTRING (11.224983438941457 63.717127083809466, 11.225162340680537 63.71710518621787, 11.226716097526808 63.717143524443, 11.22922730147763 63.717304714607565, 11.23091770453479 63.71741278875462, 11.230982958054703 63.717416950938706, 11.2310876624035 63.71742361999107, 11.231705768942795 63.71746262185891, 11.233541459865624 63.717576365032784, 11.233822825304559 63.717593316695556, 11.234121281457075 63.71761327608019, 11.234854023913021 63.7176634233544, 11.236207155254556 63.71775029039325, 11.236911790311689 63.717793752107376)</t>
  </si>
  <si>
    <t>[629612, 629620, 680981, 680989, 680997, 681005, 681013, 681021, 760672, 760680, 760688, 760696, 760704]</t>
  </si>
  <si>
    <t>[625457, 625463, 671849, 671857, 671865, 671875, 671888, 671897, 740082, 740089, 740098, 740104, 625449]</t>
  </si>
  <si>
    <t>[625456, 625457, 625463, 671849, 671857, 671865, 671875, 671888, 671897, 740082, 740089, 740098, 740104]</t>
  </si>
  <si>
    <t>[0.026, 0.001, 0.015, 0.03, 0.031, 0.028, 0.03, 0.03, 0.031, 0.033, 0.033, 0.033, 0.037]</t>
  </si>
  <si>
    <t>595.4071537422527</t>
  </si>
  <si>
    <t>[-0.029, -0.024, -0.012, 0.007]</t>
  </si>
  <si>
    <t>LINESTRING (11.224983438941457 63.717127083809466, 11.22488497961932 63.71715276280129, 11.224717831463924 63.7171629717563, 11.224560874341966 63.717137817415725, 11.224452040937631 63.717087991125545)</t>
  </si>
  <si>
    <t>[760776, 760784, 760792, 760800]</t>
  </si>
  <si>
    <t>[625350, 740177, 625364, 625495]</t>
  </si>
  <si>
    <t>[625456, 625350, 740177, 625364]</t>
  </si>
  <si>
    <t>[0.029, 0.024, 0.012, 0.007]</t>
  </si>
  <si>
    <t>29.967150610763518</t>
  </si>
  <si>
    <t>[-0.022, -0.035]</t>
  </si>
  <si>
    <t>LINESTRING (11.2250624753521 63.716928898631764, 11.22510310869838 63.71703478896551, 11.224983438941457 63.717127083809466)</t>
  </si>
  <si>
    <t>[760760, 760768]</t>
  </si>
  <si>
    <t>[740156, 625456]</t>
  </si>
  <si>
    <t>[625470, 740156]</t>
  </si>
  <si>
    <t>[0.022, 0.035]</t>
  </si>
  <si>
    <t>24.217369659828634</t>
  </si>
  <si>
    <t>[0.001, -0.003, -0.014, -0.03, -0.03, -0.033, -0.025, -0.03, -0.033, -0.033, -0.033, -0.035, -0.025, -0.038]</t>
  </si>
  <si>
    <t>LINESTRING (11.2250624753521 63.716928898631764, 11.225198913471388 63.71696930305524, 11.226728777354232 63.717089328451465, 11.22905325037407 63.71724081812399, 11.22924938428579 63.71725337984896, 11.230937607201117 63.717360453147876, 11.231015628325999 63.717365381034156, 11.231108520063087 63.71737111168016, 11.233558654259298 63.7175333758029, 11.233834574738443 63.71755209900762, 11.234134478560833 63.71757244671889, 11.23485182013824 63.717619674898465, 11.237115606300748 63.71776856424543, 11.237129350951642 63.717769453798695, 11.238385161161577 63.71787206930967)</t>
  </si>
  <si>
    <t>[629628, 629636, 533959, 533967, 533975, 533983, 533991, 533999, 760624, 760632, 760640, 760648, 760656, 760664]</t>
  </si>
  <si>
    <t>[625471, 541466, 541467, 541472, 541482, 541487, 541492, 541498, 740045, 740051, 740058, 740065, 740070, 628790]</t>
  </si>
  <si>
    <t>[625470, 625471, 541466, 541467, 541472, 541482, 541487, 541492, 541498, 740045, 740051, 740058, 740065, 740070]</t>
  </si>
  <si>
    <t>[0.001, 0.003, 0.014, 0.03, 0.03, 0.033, 0.025, 0.03, 0.033, 0.033, 0.033, 0.035, 0.025, 0.038]</t>
  </si>
  <si>
    <t>668.2864806680745</t>
  </si>
  <si>
    <t>[0.029, 0.023, 0.008, -0.009]</t>
  </si>
  <si>
    <t>LINESTRING (11.224521587823107 63.716889107901956, 11.224654012949747 63.71685690657067, 11.224798471187775 63.71685147628266, 11.224938584678764 63.71687268392209, 11.2250624753521 63.716928898631764)</t>
  </si>
  <si>
    <t>[760728, 760736, 760744, 760752]</t>
  </si>
  <si>
    <t>[625428, 740136, 625411, 625470]</t>
  </si>
  <si>
    <t>0.011754589512652264</t>
  </si>
  <si>
    <t>[625484, 625428, 740136, 625411]</t>
  </si>
  <si>
    <t>[0.029, 0.023, 0.008, 0.009]</t>
  </si>
  <si>
    <t>30.710623599962336</t>
  </si>
  <si>
    <t>[0.026, 0.035]</t>
  </si>
  <si>
    <t>LINESTRING (11.224452040937631 63.717087991125545, 11.22440752256245 63.71697918594205, 11.224521587823107 63.716889107901956)</t>
  </si>
  <si>
    <t>[760808, 760816]</t>
  </si>
  <si>
    <t>[740196, 625484]</t>
  </si>
  <si>
    <t>0.030309388590621746</t>
  </si>
  <si>
    <t>[625495, 740196]</t>
  </si>
  <si>
    <t>24.0507814871982</t>
  </si>
  <si>
    <t>[-0.001, 0.016, 0.06, 0.204, -0.003]</t>
  </si>
  <si>
    <t>LINESTRING (8.584942883249157 58.3486871802283, 8.583616145838882 58.347811292493546, 8.582103596784302 58.34712613623792, 8.581971900103456 58.34707187696202, 8.581734986528094 58.34697581481687, 8.580198291774987 58.34622722404893)</t>
  </si>
  <si>
    <t>[630806, 630814, 630822, 2133692, 2133700]</t>
  </si>
  <si>
    <t>[626362, 626371, 626377, 1835020, 1835024]</t>
  </si>
  <si>
    <t>0.014133906819900873</t>
  </si>
  <si>
    <t>[626207, 626362, 626371, 626377, 1835020]</t>
  </si>
  <si>
    <t>[0.001, 0.016, 0.06, 0.204, 0.003]</t>
  </si>
  <si>
    <t>392.55345494691244</t>
  </si>
  <si>
    <t>[-0.033, -0.03, -0.021, -0.018, 0.006, -0.015]</t>
  </si>
  <si>
    <t>LINESTRING (8.598112258502647 58.354353518233935, 8.597961070543526 58.35416636464552, 8.597577098355812 58.353766243849755, 8.597535131662383 58.3537256228248, 8.5969242272964 58.35314613363369, 8.595417155771651 58.35198528135831, 8.584942883249157 58.3486871802283)</t>
  </si>
  <si>
    <t>[630758, 630766, 630774, 630782, 630790, 630798]</t>
  </si>
  <si>
    <t>[626322, 626328, 626336, 626341, 626349, 626207]</t>
  </si>
  <si>
    <t>[626235, 626322, 626328, 626336, 626341, 626349]</t>
  </si>
  <si>
    <t>[0.033, 0.03, 0.021, 0.018, 0.006, 0.015]</t>
  </si>
  <si>
    <t>1044.9984542791428</t>
  </si>
  <si>
    <t>[-0.026, 0.102, -0.018, -0.104]</t>
  </si>
  <si>
    <t>LINESTRING (8.582320219065203 58.34681633512436, 8.582763338614274 58.34735659260788, 8.58347284029 58.34768781681169, 8.584756955281584 58.34852016515134, 8.584942883249157 58.3486871802283)</t>
  </si>
  <si>
    <t>[1234851, 1234874, 302297, 630614]</t>
  </si>
  <si>
    <t>[1156160, 294184, 294185, 626207]</t>
  </si>
  <si>
    <t>[1156136, 1156160, 294184, 294185]</t>
  </si>
  <si>
    <t>[0.026, 0.102, 0.018, 0.104]</t>
  </si>
  <si>
    <t>265.8741545222009</t>
  </si>
  <si>
    <t>[-0.02, -0.017, 0.008, -0.015, -0.004, 0.021, 0.06]</t>
  </si>
  <si>
    <t>LINESTRING (8.597491670388248 58.35379100166715, 8.597449090001039 58.35375045787927, 8.596838438778294 58.35317127818587, 8.595344518494242 58.35202009242733, 8.58487918828468 58.34872893847368, 8.583561768408172 58.3478487362631, 8.582048162744522 58.34716392249688, 8.581915337801258 58.347110119768985)</t>
  </si>
  <si>
    <t>[630686, 630694, 630702, 630710, 630718, 630726, 630734]</t>
  </si>
  <si>
    <t>[626266, 626273, 626282, 626287, 626293, 626297, 626304]</t>
  </si>
  <si>
    <t>[626221, 626266, 626273, 626282, 626287, 626293, 626297]</t>
  </si>
  <si>
    <t>[0.02, 0.017, 0.008, 0.015, 0.004, 0.021, 0.06]</t>
  </si>
  <si>
    <t>1222.080335752445</t>
  </si>
  <si>
    <t>[0.055, 0.053, -0.024, -0.032, -0.024]</t>
  </si>
  <si>
    <t>LINESTRING (8.597597897748178 58.35590374734009, 8.597807195494594 58.355963443173486, 8.598075163810018 58.355965548595705, 8.597912566565169 58.35430211395814, 8.597600060730045 58.353930485811446, 8.597491670388248 58.35379100166715)</t>
  </si>
  <si>
    <t>[1234226, 1234233, 1234234, 630638, 630630]</t>
  </si>
  <si>
    <t>[1155581, 1155588, 626230, 626220, 626221]</t>
  </si>
  <si>
    <t>[1153147, 1155581, 1155588, 626230, 626220]</t>
  </si>
  <si>
    <t>[0.055, 0.053, 0.024, 0.032, 0.024]</t>
  </si>
  <si>
    <t>287.7012560620536</t>
  </si>
  <si>
    <t>[0.026, 0.017, -0.027, -0.033, -0.035, -0.031]</t>
  </si>
  <si>
    <t>LINESTRING (8.597727726950115 58.35772052919387, 8.597775827279722 58.35739016421399, 8.598312779468715 58.3560862102688, 8.598130272088301 58.35451228751203, 8.598028311953295 58.354368515231926, 8.597876240554115 58.35418443358006, 8.597491670388248 58.35379100166715)</t>
  </si>
  <si>
    <t>[1232189, 1232221, 630654, 630662, 630670, 630678]</t>
  </si>
  <si>
    <t>[1153792, 626242, 626243, 626248, 626253, 626221]</t>
  </si>
  <si>
    <t>[1153759, 1153792, 626242, 626243, 626248, 626253]</t>
  </si>
  <si>
    <t>[0.026, 0.017, 0.027, 0.033, 0.035, 0.031]</t>
  </si>
  <si>
    <t>452.53274621727314</t>
  </si>
  <si>
    <t>[0.037, -0.044, -0.026]</t>
  </si>
  <si>
    <t>LINESTRING (8.598112258502647 58.354353518233935, 8.598280345395509 58.35455961499883, 8.598693714861321 58.355807456791496, 8.599138402023302 58.35586984321486)</t>
  </si>
  <si>
    <t>[630646, 1230499, 1230507]</t>
  </si>
  <si>
    <t>[626236, 1152427, 1152434]</t>
  </si>
  <si>
    <t>[626235, 626236, 1152427]</t>
  </si>
  <si>
    <t>[0.037, 0.044, 0.026]</t>
  </si>
  <si>
    <t>195.67447841832384</t>
  </si>
  <si>
    <t>[0.017, -0.027, -0.035]</t>
  </si>
  <si>
    <t>LINESTRING (8.597879307551496 58.35734683925815, 8.598399109258118 58.35609404813602, 8.59821137619208 58.35449973272092, 8.598112258502647 58.354353518233935)</t>
  </si>
  <si>
    <t>[1232414, 630742, 630750]</t>
  </si>
  <si>
    <t>[626311, 626312, 626235]</t>
  </si>
  <si>
    <t>[1153752, 626311, 626312]</t>
  </si>
  <si>
    <t>[0.017, 0.027, 0.035]</t>
  </si>
  <si>
    <t>340.34926444810253</t>
  </si>
  <si>
    <t>[0.195, 0.003, -0.002, 0.005, 0.01, 0.022]</t>
  </si>
  <si>
    <t>LINESTRING (8.581915337801258 58.347110119768985, 8.581682798838207 58.34701214308164, 8.581614538247678 58.34698292823856, 8.580144556171511 58.34626377098188, 8.579851943795658 58.34607497329001, 8.577346779395885 58.34447587271952, 8.577221647960387 58.34442074080637)</t>
  </si>
  <si>
    <t>[2133572, 2133580, 2133588, 2133596, 2133604, 2133612]</t>
  </si>
  <si>
    <t>[1834953, 1834958, 1834964, 1834969, 1834974, 1834979]</t>
  </si>
  <si>
    <t>0.01430688698600112</t>
  </si>
  <si>
    <t>[626304, 1834953, 1834958, 1834964, 1834969, 1834974]</t>
  </si>
  <si>
    <t>[0.195, 0.003, 0.002, 0.005, 0.01, 0.022]</t>
  </si>
  <si>
    <t>408.78033423402564</t>
  </si>
  <si>
    <t>[0.065, 0.061, 0.026]</t>
  </si>
  <si>
    <t>LINESTRING (8.581915337801258 58.347110119768985, 8.581508879459097 58.346962927233946, 8.580460454328351 58.346491498182395, 8.579530234182343 58.346463109246756)</t>
  </si>
  <si>
    <t>[2133804, 1234706, 1234718]</t>
  </si>
  <si>
    <t>[1156028, 1156029, 1156038]</t>
  </si>
  <si>
    <t>0.049368805259912954</t>
  </si>
  <si>
    <t>[626304, 1156028, 1156029]</t>
  </si>
  <si>
    <t>169.6466126010679</t>
  </si>
  <si>
    <t>[0.05, 0.039, 0.033, -0.012, -0.005, -0.003, 0.0, -0.028, 0.018, 0.052, 0.033, 0.031, 0.021, 0.006, -0.012]</t>
  </si>
  <si>
    <t>LINESTRING (10.883255788137694 63.49433291429824, 10.882235487276306 63.49532266533092, 10.881246082438077 63.49596781275467, 10.87960993684439 63.49678472241137, 10.879325969991797 63.49690164589794, 10.879013158133215 63.497030115190014, 10.878728507606525 63.49713487421717, 10.877526906945207 63.497515119021436, 10.866929629918907 63.499001137446335, 10.860876464697515 63.50236767456387, 10.859838855727098 63.50281142893533, 10.85977204780965 63.50284340109911, 10.858737434153483 63.503580314479194, 10.858419287218844 63.50400458881605, 10.85797678791441 63.50476083204612, 10.856512528450132 63.50615834662127)</t>
  </si>
  <si>
    <t>[632325, 632333, 632341, 632349, 632357, 632365, 632373, 632381, 632389, 632397, 632405, 632413, 632421, 632429, 632437]</t>
  </si>
  <si>
    <t>[546780, 627699, 546846, 627717, 546772, 627733, 546761, 627751, 627762, 627772, 627782, 627793, 627800, 627805, 627813]</t>
  </si>
  <si>
    <t>0.0063510073610707355</t>
  </si>
  <si>
    <t>[627691, 546780, 627699, 546846, 627717, 546772, 627733, 546761, 627751, 627762, 627772, 627782, 627793, 627800, 627805]</t>
  </si>
  <si>
    <t>[0.05, 0.039, 0.033, 0.012, 0.005, 0.003, 0.0, 0.028, 0.018, 0.052, 0.033, 0.031, 0.021, 0.006, 0.012]</t>
  </si>
  <si>
    <t>1991.2913791097747</t>
  </si>
  <si>
    <t>[0.033, 0.025, 0.027, 0.036]</t>
  </si>
  <si>
    <t>LINESTRING (10.884063239140694 63.49242860556772, 10.883883650916802 63.49296599953292, 10.88383461161862 63.49310797474237, 10.883673188021106 63.49354996474368, 10.883255788137694 63.49433291429824)</t>
  </si>
  <si>
    <t>[2161556, 2161564, 2161572, 2161580]</t>
  </si>
  <si>
    <t>[1850857, 1850863, 1850868, 627691]</t>
  </si>
  <si>
    <t>0.03226924634873104</t>
  </si>
  <si>
    <t>[1850595, 1850857, 1850863, 1850868]</t>
  </si>
  <si>
    <t>216.3701820956323</t>
  </si>
  <si>
    <t>[0.023, 0.026, 0.038]</t>
  </si>
  <si>
    <t>LINESTRING (10.884061094300078 63.4929771196854, 10.884010598204133 63.49312153387216, 10.883818571938855 63.49356417133053, 10.883255788137694 63.49433291429824)</t>
  </si>
  <si>
    <t>[2161484, 2161492, 2161500]</t>
  </si>
  <si>
    <t>[1850811, 1850816, 627691]</t>
  </si>
  <si>
    <t>0.032602294748979854</t>
  </si>
  <si>
    <t>[1850801, 1850811, 1850816]</t>
  </si>
  <si>
    <t>157.03064700365928</t>
  </si>
  <si>
    <t>[-0.044, 0.025]</t>
  </si>
  <si>
    <t>LINESTRING (10.856512528450132 63.50615834662127, 10.856152503543038 63.50631520075659, 10.856023707130182 63.50634715572657)</t>
  </si>
  <si>
    <t>[1251325, 1251333]</t>
  </si>
  <si>
    <t>[1170501, 1170429]</t>
  </si>
  <si>
    <t>[627813, 1170501]</t>
  </si>
  <si>
    <t>[0.044, 0.025]</t>
  </si>
  <si>
    <t>32.61641980130138</t>
  </si>
  <si>
    <t>[-0.052, 0.016]</t>
  </si>
  <si>
    <t>LINESTRING (10.856512528450132 63.50615834662127, 10.85630666694071 63.50635247510992, 10.856264636066568 63.50641606704273)</t>
  </si>
  <si>
    <t>[1251341, 1251349]</t>
  </si>
  <si>
    <t>[1170509, 1170383]</t>
  </si>
  <si>
    <t>[627813, 1170509]</t>
  </si>
  <si>
    <t>[0.052, 0.016]</t>
  </si>
  <si>
    <t>31.570753312171078</t>
  </si>
  <si>
    <t>[0.067, 0.023]</t>
  </si>
  <si>
    <t>LINESTRING (10.855902465248771 63.50662787000939, 10.855821088636212 63.506660299513285, 10.855482895963714 63.50681778458239)</t>
  </si>
  <si>
    <t>[1251278, 1251286]</t>
  </si>
  <si>
    <t>[1170471, 627828]</t>
  </si>
  <si>
    <t>0.030971967738868157</t>
  </si>
  <si>
    <t>[1170401, 1170471]</t>
  </si>
  <si>
    <t>29.97413226653789</t>
  </si>
  <si>
    <t>[0.092, 0.028]</t>
  </si>
  <si>
    <t>LINESTRING (10.855713246261177 63.506563152667454, 10.855677769095479 63.506625945537614, 10.855482895963714 63.50681778458239)</t>
  </si>
  <si>
    <t>[1251262, 1251270]</t>
  </si>
  <si>
    <t>[1170461, 627828]</t>
  </si>
  <si>
    <t>0.04294155879468094</t>
  </si>
  <si>
    <t>[1170414, 1170461]</t>
  </si>
  <si>
    <t>30.92514056316243</t>
  </si>
  <si>
    <t>[0.165, 0.06, -0.043, -0.021, -0.048, -0.037, -0.035, -0.098, -0.148, -0.17, 0.045, 0.0, -0.063, -0.092, 0.04, 0.021, -0.016, -0.1]</t>
  </si>
  <si>
    <t>7833.0</t>
  </si>
  <si>
    <t>[0, 0, 0, 0, 0, 0, 0, 0, 0, 1, 0, 0, 0, 0, 0, 0, 0, 0]</t>
  </si>
  <si>
    <t>LINESTRING (10.860339150761908 63.542312197486, 10.860585778900905 63.54235440985453, 10.862492175809603 63.542665889304075, 10.862820513687495 63.54271933033679, 10.86402795282413 63.542914648084235, 10.869668266993523 63.54386838779333, 10.87619470466845 63.54460091978605, 10.879053115492953 63.54454935808677, 10.879825517712652 63.544587177065154, 10.880834573075507 63.54476276286968, 10.882452999626217 63.54503867451475, 10.88994585054386 63.544353311977396, 10.890820741024429 63.54443622290297, 10.891542638771018 63.54455117004888, 10.892420320857147 63.54470928623067, 10.89740566545593 63.545855966306085, 10.898155295827765 63.546124297833984, 10.898270115936272 63.546169211948495, 10.898593332790567 63.546306383461925)</t>
  </si>
  <si>
    <t>[632638, 632646, 632654, 632662, 632670, 632678, 632686, 632694, 632702, 632710, 632718, 632726, 632734, 632742, 632750, 632758, 632766, 632774]</t>
  </si>
  <si>
    <t>[628009, 628017, 628024, 628033, 579403, 561411, 499976, 627268, 628075, 628083, 628090, 628098, 627245, 627238, 628120, 628129, 628137, 628147]</t>
  </si>
  <si>
    <t>[628008, 628009, 628017, 628024, 628033, 579403, 561411, 499976, 627268, 628075, 628083, 628090, 628098, 627245, 627238, 628120, 628129, 628137]</t>
  </si>
  <si>
    <t>[0.165, 0.06, 0.043, 0.021, 0.048, 0.037, 0.035, 0.098, 0.148, 0.17, 0.045, 0.0, 0.063, 0.092, 0.04, 0.021, 0.016, 0.1]</t>
  </si>
  <si>
    <t>2026.14623799596</t>
  </si>
  <si>
    <t>[1.175, 0.062]</t>
  </si>
  <si>
    <t>LINESTRING (10.898593332790567 63.546306383461925, 10.898985846799862 63.54647312411606, 10.899078617052501 63.54650058868478)</t>
  </si>
  <si>
    <t>[2028276, 2028277]</t>
  </si>
  <si>
    <t>[1770622, 1770623]</t>
  </si>
  <si>
    <t>0.9874074667787804</t>
  </si>
  <si>
    <t>[628147, 1770622]</t>
  </si>
  <si>
    <t>32.85100747210511</t>
  </si>
  <si>
    <t>[1.125, -0.057]</t>
  </si>
  <si>
    <t>LINESTRING (10.898593332790567 63.546306383461925, 10.898860482788518 63.546516723995204, 10.898895035668016 63.5465678691843)</t>
  </si>
  <si>
    <t>[2028283, 2028295]</t>
  </si>
  <si>
    <t>[1770629, 1770637]</t>
  </si>
  <si>
    <t>0.9110919493251634</t>
  </si>
  <si>
    <t>[628147, 1770629]</t>
  </si>
  <si>
    <t>[1.125, 0.057]</t>
  </si>
  <si>
    <t>32.906133695391304</t>
  </si>
  <si>
    <t>[-0.066, -2.01]</t>
  </si>
  <si>
    <t>LINESTRING (10.899315633947868 63.54661649527808, 10.899363088199358 63.54666621201902, 10.899603996009947 63.54681223304813)</t>
  </si>
  <si>
    <t>[2028245, 2028252]</t>
  </si>
  <si>
    <t>[1770593, 628154]</t>
  </si>
  <si>
    <t>[1770592, 1770593]</t>
  </si>
  <si>
    <t>[0.066, 2.01]</t>
  </si>
  <si>
    <t>26.609496028442727</t>
  </si>
  <si>
    <t>[0.104, -1.957]</t>
  </si>
  <si>
    <t>LINESTRING (10.899135943234025 63.54669314562972, 10.899259088183783 63.54671258116045, 10.899603996009947 63.54681223304813)</t>
  </si>
  <si>
    <t>[2028262, 2028268]</t>
  </si>
  <si>
    <t>[1770609, 628154]</t>
  </si>
  <si>
    <t>[1770608, 1770609]</t>
  </si>
  <si>
    <t>[0.104, 1.957]</t>
  </si>
  <si>
    <t>26.93100669116861</t>
  </si>
  <si>
    <t>[-0.049, -0.028, -0.041, -0.018, 0.0, 0.002, 0.001, -0.031, -0.029, -0.031, -0.025, -0.009, 0.003, 0.015, 0.018, -0.004, -0.039, -0.007, -0.024]</t>
  </si>
  <si>
    <t>LINESTRING (11.238385161161577 63.71787206930967, 11.238929079869115 63.717917511707356, 11.243874400353867 63.71873895534679, 11.244561075160991 63.71892177905205, 11.247915815184564 63.72026407701434, 11.251334165241003 63.72240436464324, 11.251363062294617 63.72242798678383, 11.258986599048852 63.72489393347389, 11.259909053279305 63.72503233192966, 11.260074426631487 63.725059686728606, 11.26022961030385 63.72508560842154, 11.261032731168097 63.725227692533075, 11.261456412027547 63.72531567985044, 11.268323135558846 63.72661047576904, 11.268988616931873 63.72674196370627, 11.270130555781993 63.726972580469315, 11.27152287410791 63.72725685800067, 11.27441294888144 63.72789671620952, 11.276536895208212 63.72889437846492, 11.276969663965719 63.729241643769335)</t>
  </si>
  <si>
    <t>[633471, 633479, 633487, 633495, 633503, 633511, 633519, 633527, 633535, 633543, 633551, 633559, 633567, 633575, 633583, 633591, 633599, 633607, 633615]</t>
  </si>
  <si>
    <t>[628791, 628798, 628807, 547052, 628825, 563923, 573305, 624074, 628848, 505615, 628861, 628870, 563685, 628886, 544107, 613708, 552984, 628912, 628919]</t>
  </si>
  <si>
    <t>[628790, 628791, 628798, 628807, 547052, 628825, 563923, 573305, 624074, 628848, 505615, 628861, 628870, 563685, 628886, 544107, 613708, 552984, 628912]</t>
  </si>
  <si>
    <t>[0.049, 0.028, 0.041, 0.018, 0.0, 0.002, 0.001, 0.031, 0.029, 0.031, 0.025, 0.009, 0.003, 0.015, 0.018, 0.004, 0.039, 0.007, 0.024]</t>
  </si>
  <si>
    <t>2370.654920567435</t>
  </si>
  <si>
    <t>[0.248, -0.047]</t>
  </si>
  <si>
    <t>LINESTRING (11.276969663965719 63.729241643769335, 11.277205172819171 63.72949812621075, 11.278531765904042 63.73032499810362)</t>
  </si>
  <si>
    <t>[1135661, 1135669]</t>
  </si>
  <si>
    <t>[1072503, 1072471]</t>
  </si>
  <si>
    <t>0.016468552871345975</t>
  </si>
  <si>
    <t>[628919, 1072503]</t>
  </si>
  <si>
    <t>[0.248, 0.047]</t>
  </si>
  <si>
    <t>144.7277869940271</t>
  </si>
  <si>
    <t>[0.496, 0.012, 0.006, 0.004, -0.394]</t>
  </si>
  <si>
    <t>LINESTRING (11.40402418935505 63.76049843831349, 11.405086073978579 63.760736280871996, 11.405964960236167 63.76090861433374, 11.406059532146292 63.760926858655225, 11.406249216624206 63.76096420518711, 11.407363384144805 63.761146799961836)</t>
  </si>
  <si>
    <t>[1331508, 1331516, 1331524, 1331532, 1331540]</t>
  </si>
  <si>
    <t>[1236535, 1236544, 1236552, 1236558, 628981]</t>
  </si>
  <si>
    <t>0.03673570886088927</t>
  </si>
  <si>
    <t>[628971, 1236535, 1236544, 1236552, 1236558]</t>
  </si>
  <si>
    <t>[0.496, 0.012, 0.006, 0.004, 0.394]</t>
  </si>
  <si>
    <t>181.07206579639595</t>
  </si>
  <si>
    <t>[0.544, 0.024, 0.015, 0.007, -0.366]</t>
  </si>
  <si>
    <t>LINESTRING (11.40402418935505 63.76049843831349, 11.40505481065734 63.760641948074806, 11.405170451829024 63.760665426821724, 11.406020860241892 63.76083377897745, 11.40623398483862 63.760874962752744, 11.407363384144805 63.761146799961836)</t>
  </si>
  <si>
    <t>[1331548, 1331556, 1331564, 1331572, 1331580]</t>
  </si>
  <si>
    <t>[1236573, 1236581, 1236588, 1236598, 628981]</t>
  </si>
  <si>
    <t>0.03680000525342344</t>
  </si>
  <si>
    <t>[628971, 1236573, 1236581, 1236588, 1236598]</t>
  </si>
  <si>
    <t>[0.544, 0.024, 0.015, 0.007, 0.366]</t>
  </si>
  <si>
    <t>181.5948835993941</t>
  </si>
  <si>
    <t>[-0.139, -0.083, -0.027, 0.035, -0.019, -0.036, -0.06, -0.069, -0.04, -0.009, -0.008, -0.01, 0.0, 0.002, -0.006, -0.012, -0.023, -0.026, -0.025, -0.025, -0.067, -0.045, -0.014, -0.015, -0.013, -0.01, 0.002, 0.003, 0.004, 0.008, 0.007, 0.003, 0.002, 0.003, 0.003, -0.006, -0.011, -0.015, -0.009, 0.04, 0.038, 0.025, 0.006, 0.005, 0.008, -0.014, -0.045, -0.049, -0.045, -0.044, -0.017, 0.009, -0.001, -0.001, 0.011, -0.014, -0.016, -0.005, 0.015, 0.015, 0.013, 0.016, 0.012, -0.008, -0.013, -0.022, -0.036, -0.018]</t>
  </si>
  <si>
    <t>LINESTRING (11.427362614497474 63.88428615946662, 11.426006013730964 63.885663806241155, 11.42532024230797 63.886429347128, 11.425113524430959 63.887330263065536, 11.427553806879597 63.890019303041335, 11.42797424895009 63.890615106903645, 11.432562304176717 63.8931182214593, 11.43281215602879 63.893288052165225, 11.433121844174499 63.893502790827114, 11.433823453909461 63.89405557080769, 11.433941763923212 63.894162208877766, 11.434190042717374 63.89439192683716, 11.434641125905154 63.894797975513775, 11.435506879341196 63.89549031934335, 11.438499456524937 63.8994406931356, 11.438563023754002 63.89961049852166, 11.440994920505181 63.905596892745066, 11.441145848395209 63.90619893751366, 11.441154613491504 63.90656334186318, 11.441151260175248 63.90663482308019, 11.441058162030435 63.90718453036144, 11.440400368812481 63.909765828017456, 11.440243867780353 63.910387434776915, 11.44019757027351 63.91058331385414, 11.440185381628394 63.91063225952489, 11.439960186513812 63.91142465677031, 11.439952218913698 63.91144258302641, 11.438091009201504 63.913444679851295, 11.437810991041237 63.91368723138406, 11.435502934235503 63.91573459861438, 11.43492072174496 63.916254681370255, 11.434719109067753 63.91644318411809, 11.434073787283431 63.91715201634294, 11.433626563364173 63.91773631105671, 11.433279749861518 63.91838934239516, 11.433259278640522 63.918430590278746, 11.432968160073994 63.91904741029578, 11.432719909384307 63.91956026310762, 11.432671762458634 63.91965556423987, 11.432592150666093 63.91981850912137, 11.432501866635649 63.92000645619892, 11.432362923900971 63.92031519957463, 11.432416361030917 63.92179546193107, 11.432439747131946 63.92188921088106, 11.432452147229883 63.921939031829915, 11.4324682674356 63.92200389519974, 11.432667997984842 63.923111703621004, 11.432656313764674 63.92317289869611, 11.432640905222215 63.923233202330344, 11.432556789556727 63.92341766276857, 11.432512856944584 63.92348218702892, 11.431027201018095 63.92442337948592, 11.429943125728927 63.92488293085344, 11.42741424591393 63.926956905544316, 11.426260120734316 63.9279640726544, 11.42373549581909 63.9300665349681, 11.422690961877043 63.9322560350882, 11.422409895092779 63.933415630577414, 11.422161100241432 63.93437870674103, 11.421634090276962 63.93642063817239, 11.42158738309247 63.936601687935024, 11.421464124665835 63.9370800867188, 11.42144718473713 63.93714684789577, 11.42132448192607 63.93762629362003, 11.42122102846353 63.93803062537887, 11.421040841027798 63.9387338019937, 11.420929097185388 63.9391706696097, 11.42065861925539 63.94022716347756, 11.42037727833619 63.94132198760059)</t>
  </si>
  <si>
    <t>[634584, 634592, 634600, 634625, 634633, 634641, 634649, 634657, 634665, 634673, 634681, 634689, 634697, 634705, 634713, 634721, 634729, 634737, 634745, 634753, 634761, 634769, 634777, 634785, 634793, 634801, 634809, 634817, 634825, 634833, 634841, 634849, 634857, 634865, 634873, 634881, 634889, 634897, 634905, 634913, 634921, 634929, 634937, 634945, 634953, 634962, 634970, 634978, 634986, 634994, 635002, 635010, 635018, 635026, 635034, 635042, 635050, 635058, 635066, 635074, 635082, 635090, 635098, 635106, 635114, 635122, 635130, 635138]</t>
  </si>
  <si>
    <t>[541527, 629793, 566100, 564227, 629831, 629841, 562656, 629857, 629863, 629871, 538704, 629883, 556636, 629898, 578977, 563282, 557431, 563291, 629930, 499316, 563305, 556685, 629954, 563315, 563333, 629975, 538827, 562896, 556045, 629999, 561275, 540670, 563935, 630029, 630036, 527383, 564036, 557448, 630063, 630070, 630079, 630088, 624270, 630102, 630110, 624273, 630119, 630126, 630133, 630140, 530000, 630152, 630158, 556580, 563624, 630180, 630187, 630192, 630201, 630207, 630213, 630220, 630227, 630234, 630239, 630248, 630254, 630261]</t>
  </si>
  <si>
    <t>[629779, 541527, 629793, 566100, 564227, 629831, 629841, 562656, 629857, 629863, 629871, 538704, 629883, 556636, 629898, 578977, 563282, 557431, 563291, 629930, 499316, 563305, 556685, 629954, 563315, 563333, 629975, 538827, 562896, 556045, 629999, 561275, 540670, 563935, 630029, 630036, 527383, 564036, 557448, 630063, 630070, 630079, 630088, 624270, 630102, 630110, 624273, 630119, 630126, 630133, 630140, 530000, 630152, 630158, 556580, 563624, 630180, 630187, 630192, 630201, 630207, 630213, 630220, 630227, 630234, 630239, 630248, 630254]</t>
  </si>
  <si>
    <t>[0.139, 0.083, 0.027, 0.035, 0.019, 0.036, 0.06, 0.069, 0.04, 0.009, 0.008, 0.01, 0.0, 0.002, 0.006, 0.012, 0.023, 0.026, 0.025, 0.025, 0.067, 0.045, 0.014, 0.015, 0.013, 0.01, 0.002, 0.003, 0.004, 0.008, 0.007, 0.003, 0.002, 0.003, 0.003, 0.006, 0.011, 0.015, 0.009, 0.04, 0.038, 0.025, 0.006, 0.005, 0.008, 0.014, 0.045, 0.049, 0.045, 0.044, 0.017, 0.009, 0.001, 0.001, 0.011, 0.014, 0.016, 0.005, 0.015, 0.015, 0.013, 0.016, 0.012, 0.008, 0.013, 0.022, 0.036, 0.018]</t>
  </si>
  <si>
    <t>6797.330124122309</t>
  </si>
  <si>
    <t>[0.0, -0.068, 4.611]</t>
  </si>
  <si>
    <t>LINESTRING (11.428017417698227 63.884114652933654, 11.428017417698227 63.884114652933654, 11.427421614774403 63.88429428409581, 11.427362614497474 63.88428615946662)</t>
  </si>
  <si>
    <t>[1258992, 1258993, 1259005]</t>
  </si>
  <si>
    <t>[1176750, 1176751, 629779]</t>
  </si>
  <si>
    <t>0.21641287170460843</t>
  </si>
  <si>
    <t>[567100, 1176750, 1176751]</t>
  </si>
  <si>
    <t>[0.0, 0.068, 4.611]</t>
  </si>
  <si>
    <t>50.6906845310474</t>
  </si>
  <si>
    <t>1.396</t>
  </si>
  <si>
    <t>3.7988421919933573</t>
  </si>
  <si>
    <t>[0.003, 0.139, 0.079, -0.19]</t>
  </si>
  <si>
    <t>LINESTRING (9.037926042159 58.72972009478815, 9.039525697217972 58.72764140230314, 9.039932105273525 58.726870288239155, 9.040259547180465 58.725847730691285, 9.040276358224812 58.725696260306634)</t>
  </si>
  <si>
    <t>[637186, 637194, 637202, 637210]</t>
  </si>
  <si>
    <t>[632043, 632048, 632054, 632058]</t>
  </si>
  <si>
    <t>0.04038929547538995</t>
  </si>
  <si>
    <t>[632042, 632043, 632048, 632054]</t>
  </si>
  <si>
    <t>[0.003, 0.139, 0.079, 0.19]</t>
  </si>
  <si>
    <t>472.1575800532233</t>
  </si>
  <si>
    <t>[-0.047, -0.286]</t>
  </si>
  <si>
    <t>LINESTRING (9.037963584770269 58.73004605691842, 9.03793677576907 58.72996621110114, 9.037926042159 58.72972009478815)</t>
  </si>
  <si>
    <t>[958328, 958336]</t>
  </si>
  <si>
    <t>[924947, 632042]</t>
  </si>
  <si>
    <t>[924946, 924947]</t>
  </si>
  <si>
    <t>[0.047, 0.286]</t>
  </si>
  <si>
    <t>36.48925282947354</t>
  </si>
  <si>
    <t>[-0.03, -0.259]</t>
  </si>
  <si>
    <t>LINESTRING (9.037572555321681 58.72999405183688, 9.037645259106437 58.72993665255261, 9.037926042159 58.72972009478815)</t>
  </si>
  <si>
    <t>[1240467, 1240503]</t>
  </si>
  <si>
    <t>[1161123, 632042]</t>
  </si>
  <si>
    <t>[931449, 1161123]</t>
  </si>
  <si>
    <t>[0.03, 0.259]</t>
  </si>
  <si>
    <t>36.788292530950486</t>
  </si>
  <si>
    <t>[-0.182, 0.096, 0.084]</t>
  </si>
  <si>
    <t>LINESTRING (9.040276358224812 58.725696260306634, 9.040159366180152 58.72465569005515, 9.040076973832015 58.72440840980086, 9.040020483859 58.72425939009585)</t>
  </si>
  <si>
    <t>[637218, 637226, 637234]</t>
  </si>
  <si>
    <t>[632065, 632073, 632079]</t>
  </si>
  <si>
    <t>[632058, 632065, 632073]</t>
  </si>
  <si>
    <t>[0.182, 0.096, 0.084]</t>
  </si>
  <si>
    <t>161.2912511152123</t>
  </si>
  <si>
    <t>[-0.185, 0.032, 0.704]</t>
  </si>
  <si>
    <t>LINESTRING (9.040762067853475 58.724691490535506, 9.04037275918092 58.72542920380903, 9.040359084823509 58.725527176436486, 9.040276358224812 58.725696260306634)</t>
  </si>
  <si>
    <t>[1241323, 1241331, 1241332]</t>
  </si>
  <si>
    <t>[1161780, 1161787, 632058]</t>
  </si>
  <si>
    <t>[1147726, 1161780, 1161787]</t>
  </si>
  <si>
    <t>[0.185, 0.032, 0.704]</t>
  </si>
  <si>
    <t>117.0516201241539</t>
  </si>
  <si>
    <t>77.58809766986197</t>
  </si>
  <si>
    <t>[1.293, -0.292]</t>
  </si>
  <si>
    <t>LINESTRING (9.040020483859 58.72425939009585, 9.039905029795626 58.72417143331309, 9.039205946584435 58.72424652706359)</t>
  </si>
  <si>
    <t>[2110745, 2110753]</t>
  </si>
  <si>
    <t>[1821794, 1161884]</t>
  </si>
  <si>
    <t>[632079, 1821794]</t>
  </si>
  <si>
    <t>[1.293, 0.292]</t>
  </si>
  <si>
    <t>64.58903228463886</t>
  </si>
  <si>
    <t>17.294811361024543</t>
  </si>
  <si>
    <t>[0.037, 0.049, 0.075]</t>
  </si>
  <si>
    <t>LINESTRING (9.039205946584435 58.72424652706359, 9.039280179802919 58.72407620329482, 9.039664760459507 58.72376182014855, 9.039730555376877 58.723580120222096)</t>
  </si>
  <si>
    <t>[1241448, 1241450, 1241451]</t>
  </si>
  <si>
    <t>[1161885, 1161886, 632085]</t>
  </si>
  <si>
    <t>0.052640247600904445</t>
  </si>
  <si>
    <t>[1161884, 1161885, 1161886]</t>
  </si>
  <si>
    <t>82.24677002414462</t>
  </si>
  <si>
    <t>[0.021, 0.105, -0.017, -0.082, -0.025, -0.052, -0.008, -0.061, -0.145, -0.049, 0.015, 0.02, 0.0, -0.13, 0.017, -0.078, -0.109]</t>
  </si>
  <si>
    <t>9012.0</t>
  </si>
  <si>
    <t>[0, 0, 0, 0, 0, 0, 0, 0, 1, 0, 0, 0, 0, 0, 0, 0, 0]</t>
  </si>
  <si>
    <t>LINESTRING (9.039663524196337 58.72342899041406, 9.039563332180093 58.723212846260125, 9.038833760775361 58.72116740209681, 9.038853105319086 58.71958366874104, 9.03906598035308 58.71784739496335, 9.039277913552793 58.71610313661229, 9.039224137598962 58.71497789344611, 9.037508529922206 58.71162430843028, 9.037483312735317 58.71159537931567, 9.037031126673206 58.71111528644175, 9.03613513593514 58.71032652563857, 9.031634658466894 58.7080141777856, 9.022362396856906 58.70120628399473, 9.016591752999346 58.695867301335426, 9.014696417890855 58.69443506963236, 9.010490148660475 58.69071267155036, 9.006476174186549 58.688673036740454, 9.00620813607581 58.68853762563085)</t>
  </si>
  <si>
    <t>[637258, 637266, 637274, 637282, 637290, 637298, 637306, 637314, 637322, 637330, 637338, 637346, 637354, 637362, 637370, 637378, 637386]</t>
  </si>
  <si>
    <t>[0, 0, 1, 0, 0, 0, 0, 0, 0, 0, 0, 0, 0, 0, 0, 0, 0]</t>
  </si>
  <si>
    <t>[632099, 632106, 632110, 632115, 632123, 632128, 632135, 632143, 632152, 632161, 632164, 632173, 632182, 632188, 632194, 632201, 632207]</t>
  </si>
  <si>
    <t>[632092, 632099, 632106, 632110, 632115, 632123, 632128, 632135, 632143, 632152, 632161, 632164, 632173, 632182, 632188, 632194, 632201]</t>
  </si>
  <si>
    <t>[0.021, 0.105, 0.017, 0.082, 0.025, 0.052, 0.008, 0.061, 0.145, 0.049, 0.015, 0.02, 0.0, 0.13, 0.017, 0.078, 0.109]</t>
  </si>
  <si>
    <t>4556.200689528233</t>
  </si>
  <si>
    <t>[0.364, 0.043]</t>
  </si>
  <si>
    <t>LINESTRING (9.039663524196337 58.72342899041406, 9.039880653596564 58.72366379668758, 9.040702688468105 58.72418993729985)</t>
  </si>
  <si>
    <t>[1756384, 1756388]</t>
  </si>
  <si>
    <t>[1554323, 1143527]</t>
  </si>
  <si>
    <t>0.13108550096193555</t>
  </si>
  <si>
    <t>[632092, 1554323]</t>
  </si>
  <si>
    <t>105.87716721247193</t>
  </si>
  <si>
    <t>45.3963632903814</t>
  </si>
  <si>
    <t>[1.017, -0.062]</t>
  </si>
  <si>
    <t>LINESTRING (9.00620813607581 58.68853762563085, 9.006028973396873 58.68849144201726, 9.0052158472696 58.68850028300491)</t>
  </si>
  <si>
    <t>[1225364, 1225369]</t>
  </si>
  <si>
    <t>[1148217, 1148220]</t>
  </si>
  <si>
    <t>0.14213212902074518</t>
  </si>
  <si>
    <t>[632207, 1148217]</t>
  </si>
  <si>
    <t>[1.017, 0.062]</t>
  </si>
  <si>
    <t>61.349901008615916</t>
  </si>
  <si>
    <t>44.669385489455294</t>
  </si>
  <si>
    <t>[0.039, 0.043, -1.221]</t>
  </si>
  <si>
    <t>LINESTRING (9.005522437374777 58.68779591727829, 9.005530612829352 58.68788596836413, 9.005602983788947 58.6881865743621, 9.005647799282794 58.68825367528874)</t>
  </si>
  <si>
    <t>[1223042, 1223064, 1223065]</t>
  </si>
  <si>
    <t>[1145785, 1145810, 632214]</t>
  </si>
  <si>
    <t>[1145784, 1145785, 1145810]</t>
  </si>
  <si>
    <t>[0.039, 0.043, 1.221]</t>
  </si>
  <si>
    <t>52.20806035479575</t>
  </si>
  <si>
    <t>14.354236308509893</t>
  </si>
  <si>
    <t>[-0.008, -0.041, -0.624]</t>
  </si>
  <si>
    <t>LINESTRING (9.0052158472696 58.68850028300491, 9.005279329749087 58.68842071909377, 9.005183575694371 58.6880643402719, 9.005095031305823 58.68797502789223)</t>
  </si>
  <si>
    <t>[1756926, 1756931, 1756932]</t>
  </si>
  <si>
    <t>[1554666, 1554668, 632222]</t>
  </si>
  <si>
    <t>[1148220, 1554666, 1554668]</t>
  </si>
  <si>
    <t>[0.008, 0.041, 0.624]</t>
  </si>
  <si>
    <t>62.69415965311759</t>
  </si>
  <si>
    <t>[0.915, 0.04]</t>
  </si>
  <si>
    <t>LINESTRING (9.004917661595275 58.68788534774994, 9.005022426899771 58.68789357307157, 9.005522437374777 58.68779591727829)</t>
  </si>
  <si>
    <t>[1757340, 1757356]</t>
  </si>
  <si>
    <t>[1554856, 1145784]</t>
  </si>
  <si>
    <t>0.17650582570270637</t>
  </si>
  <si>
    <t>[632227, 1554856]</t>
  </si>
  <si>
    <t>39.428689692372856</t>
  </si>
  <si>
    <t>14.392530063162416</t>
  </si>
  <si>
    <t>[1.496, 0.005]</t>
  </si>
  <si>
    <t>LINESTRING (8.699339394318818 58.41769606230991, 8.699235257947592 58.41771721189047, 8.698614733626961 58.417890224064465)</t>
  </si>
  <si>
    <t>[1751263, 1751280]</t>
  </si>
  <si>
    <t>[1551480, 1551469]</t>
  </si>
  <si>
    <t>0.20897196479982677</t>
  </si>
  <si>
    <t>[633548, 1551480]</t>
  </si>
  <si>
    <t>47.76416256488429</t>
  </si>
  <si>
    <t>[0.031, 0.05, 0.044, 0.03, 0.005, -0.026, -0.046]</t>
  </si>
  <si>
    <t>LINESTRING (8.699213724223082 58.41754396021934, 8.699453507566858 58.417489418702196, 8.699554362509522 58.41752429648716, 8.699601412825091 58.417589301353246, 8.699599300747803 58.41760702032028, 8.699557320495405 58.41765908462556, 8.699465936849599 58.417693931688135, 8.699339394318818 58.41769606230991)</t>
  </si>
  <si>
    <t>[638972, 638980, 638988, 638996, 639004, 639012, 638948]</t>
  </si>
  <si>
    <t>[633570, 633577, 304779, 537436, 633598, 633547, 633548]</t>
  </si>
  <si>
    <t>0.01455037532811149</t>
  </si>
  <si>
    <t>[633563, 633570, 633577, 304779, 537436, 633598, 633547]</t>
  </si>
  <si>
    <t>[0.031, 0.05, 0.044, 0.03, 0.005, 0.026, 0.046]</t>
  </si>
  <si>
    <t>53.37832179921432</t>
  </si>
  <si>
    <t>6.4051385622358685</t>
  </si>
  <si>
    <t>[-0.009, 0.022, -0.015, -0.008, -1.587]</t>
  </si>
  <si>
    <t>LINESTRING (8.69962790033813 58.42131087494018, 8.699558895953778 58.421125094914636, 8.69728014377316 58.41848476776977, 8.698025213681726 58.418045751820365, 8.69912296633509 58.417645402507546, 8.69919213035399 58.41760026377057)</t>
  </si>
  <si>
    <t>[1398236, 1751790, 1751793, 1751806, 1751807]</t>
  </si>
  <si>
    <t>[1280443, 1551822, 1551824, 1551833, 633556]</t>
  </si>
  <si>
    <t>[1280442, 1280443, 1551822, 1551824, 1551833]</t>
  </si>
  <si>
    <t>[0.009, 0.022, 0.015, 0.008, 1.587]</t>
  </si>
  <si>
    <t>537.2946229127044</t>
  </si>
  <si>
    <t>[-0.151, -0.177, -0.039, 0.009, -1.004]</t>
  </si>
  <si>
    <t>LINESTRING (8.693812290338379 58.41650246045209, 8.694263091303744 58.416614970079976, 8.695352023927589 58.41696118271059, 8.69543835340431 58.416994716160296, 8.699095647682531 58.41761137083181, 8.699213724223082 58.41754396021934)</t>
  </si>
  <si>
    <t>[1398228, 1751327, 1751328, 1751339, 1751347]</t>
  </si>
  <si>
    <t>[1280438, 1551520, 1551521, 1551529, 633563]</t>
  </si>
  <si>
    <t>[1280437, 1280438, 1551520, 1551521, 1551529]</t>
  </si>
  <si>
    <t>[0.151, 0.177, 0.039, 0.009, 1.004]</t>
  </si>
  <si>
    <t>379.67072976763825</t>
  </si>
  <si>
    <t>210.31114950533538</t>
  </si>
  <si>
    <t>[0.438, -0.386]</t>
  </si>
  <si>
    <t>LINESTRING (13.158532503118561 64.927484599085, 13.15856823360997 64.92761345805924, 13.158732470637746 64.92775517832217)</t>
  </si>
  <si>
    <t>[2126612, 2126620]</t>
  </si>
  <si>
    <t>[1831017, 634052]</t>
  </si>
  <si>
    <t>[634046, 1831017]</t>
  </si>
  <si>
    <t>[0.438, 0.386]</t>
  </si>
  <si>
    <t>32.54855352955941</t>
  </si>
  <si>
    <t>[0.442, -0.378]</t>
  </si>
  <si>
    <t>LINESTRING (13.158532503118561 64.927484599085, 13.158674680077388 64.92759725232857, 13.158732470637746 64.92775517832217)</t>
  </si>
  <si>
    <t>[2126628, 2126636]</t>
  </si>
  <si>
    <t>[1831025, 634052]</t>
  </si>
  <si>
    <t>[634046, 1831025]</t>
  </si>
  <si>
    <t>[0.442, 0.378]</t>
  </si>
  <si>
    <t>32.69057029616563</t>
  </si>
  <si>
    <t>1212.0</t>
  </si>
  <si>
    <t>LINESTRING (12.949163658033704 64.80732800787334, 13.158532503118561 64.927484599085)</t>
  </si>
  <si>
    <t>LINESTRING (13.158732470637746 64.92775517832217, 13.270200587193695 65.02982159516019)</t>
  </si>
  <si>
    <t>14367.622670773006</t>
  </si>
  <si>
    <t>11.400279382579852</t>
  </si>
  <si>
    <t>[-0.019, 0.03, 0.033, 0.051]</t>
  </si>
  <si>
    <t>LINESTRING (10.216372750441861 60.17179697454088, 10.216452476342955 60.171889771246505, 10.21722080307573 60.17245884497735, 10.217563855334006 60.17271929364967, 10.218063708114954 60.17310087816643)</t>
  </si>
  <si>
    <t>[2123333, 2123341, 2123349, 2123357]</t>
  </si>
  <si>
    <t>[1829079, 1829083, 1829086, 1291443]</t>
  </si>
  <si>
    <t>0.03350155782199677</t>
  </si>
  <si>
    <t>[634065, 1829079, 1829083, 1829086]</t>
  </si>
  <si>
    <t>[0.019, 0.03, 0.033, 0.051]</t>
  </si>
  <si>
    <t>173.4613799230885</t>
  </si>
  <si>
    <t>[0.034, 0.026, 0.016, 0.01]</t>
  </si>
  <si>
    <t>LINESTRING (10.216521477818574 60.17186746808338, 10.21728527687479 60.172437511017776, 10.218142006239152 60.173074008048005, 10.21878494814616 60.173546861984924, 10.218876755795211 60.173611570952964)</t>
  </si>
  <si>
    <t>[639520, 639528, 639536, 639544]</t>
  </si>
  <si>
    <t>[634072, 634079, 634085, 634091]</t>
  </si>
  <si>
    <t>0.025288305949608667</t>
  </si>
  <si>
    <t>[634066, 634072, 634079, 634085]</t>
  </si>
  <si>
    <t>234.31805618712517</t>
  </si>
  <si>
    <t>[0.005, -0.002, 0.014, -0.015, -0.022, -0.04]</t>
  </si>
  <si>
    <t>LINESTRING (10.218876755795211 60.173611570952964, 10.219676395138704 60.17416664890826, 10.21981665567029 60.17425845595124, 10.221460171371309 60.17522744320222, 10.222069637610776 60.17554534734674, 10.222191806268539 60.175603621791545, 10.222899517053333 60.17597569367918)</t>
  </si>
  <si>
    <t>[639552, 639560, 639568, 639576, 639584, 639603]</t>
  </si>
  <si>
    <t>[634096, 634100, 634105, 634111, 634117, 634132]</t>
  </si>
  <si>
    <t>[634091, 634096, 634100, 634105, 634111, 634117]</t>
  </si>
  <si>
    <t>[0.005, 0.002, 0.014, 0.015, 0.022, 0.04]</t>
  </si>
  <si>
    <t>346.25665168985296</t>
  </si>
  <si>
    <t>[-0.032, -0.042, 0.01, 0.003, 0.036, -0.024, -0.049, -0.06, -0.052, -0.029, -0.03, -0.031, -0.031, 0.001, -0.015, -0.017, -0.017, 0.016, 0.02, 0.021, 0.048]</t>
  </si>
  <si>
    <t>[0, 1, 0, 0, 0, 0, 0, 0, 0, 0, 1, 1, 0, 1, 0, 1, 1, 0, 0, 0, 0]</t>
  </si>
  <si>
    <t>LINESTRING (10.222899517053333 60.17597569367918, 10.226474905909852 60.177501695662144, 10.22662957276118 60.17756655336193, 10.228108717355317 60.178200756419315, 10.232815815272433 60.18197992505116, 10.232818562707907 60.18640690530112, 10.232284050404916 60.18757402825583, 10.23206280925648 60.18847720878974, 10.232055045773963 60.18853883111685, 10.232052202003612 60.188579403051584, 10.232029524357152 60.18906281107292, 10.232031946541696 60.189152657333466, 10.23203283095921 60.18921120028829, 10.23319618470547 60.191766459745686, 10.233593953193923 60.1921765510557, 10.236335332529006 60.19387679621885, 10.23770945731561 60.194378220228366, 10.239043022230328 60.19474538922277, 10.246726908698214 60.19640245219525, 10.250583447125067 60.19722391233685, 10.254195391003716 60.19801787343958, 10.259163883322028 60.200513743492074)</t>
  </si>
  <si>
    <t>[1407818, 1407826, 1407834, 1407842, 1407850, 1407858, 1407866, 1407874, 1407882, 1407890, 1407898, 1407906, 1407914, 1407922, 1407930, 1407938, 1407946, 1407954, 1407962, 1407970, 1407978]</t>
  </si>
  <si>
    <t>[1288024, 1288030, 1288036, 1288042, 1288049, 1288053, 1288060, 1288066, 1288073, 1288078, 1288083, 1288089, 1288095, 1288101, 1288107, 1288112, 1288119, 1288124, 1288132, 1288138, 634185]</t>
  </si>
  <si>
    <t>0.005540469452079705</t>
  </si>
  <si>
    <t>[634132, 1288024, 1288030, 1288036, 1288042, 1288049, 1288053, 1288060, 1288066, 1288073, 1288078, 1288083, 1288089, 1288095, 1288101, 1288107, 1288112, 1288119, 1288124, 1288132, 1288138]</t>
  </si>
  <si>
    <t>[0.032, 0.042, 0.01, 0.003, 0.036, 0.024, 0.049, 0.06, 0.052, 0.029, 0.03, 0.031, 0.031, 0.001, 0.015, 0.017, 0.017, 0.016, 0.02, 0.021, 0.048]</t>
  </si>
  <si>
    <t>3784.19908831824</t>
  </si>
  <si>
    <t>18.14820666061217</t>
  </si>
  <si>
    <t>[0.001, 0.033, 0.042, 0.021, 0.018, 0.035, 0.036, 0.013, 0.015, 0.015, 0.016, 0.016, 0.016, 0.016, 0.016, 0.019, -0.012, 0.015, -0.012, 0.015, 0.022, 0.025, 0.016, -0.034, 0.017, -0.046, -0.062, -0.06, -0.052, -0.064, -0.072, 0.042, -0.017, -0.026, -0.027, -0.028, 0.004, 0.036, 0.037, -0.005, 0.033, 0.028, -0.017, -0.023, 0.002, 0.017, -0.015, -0.018, 0.003, 0.022, 0.021, -0.053, -0.087, -0.056, 0.017, 0.016, 0.019, 0.008, 0.002, 0.001, 0.003, 0.002, 0.006, 0.013, 0.014, 0.0, -0.01, -0.018, -0.004, -0.005, 0.04, 0.037, 0.051, 0.006, -0.044, 0.037, 0.053, 0.048, 0.024, -0.006, -0.006, -0.018, 0.011, 0.01, 0.006, 0.001, -0.02, -0.02, 0.014, -0.031, -0.034, -0.007, -0.055, 0.005, 0.029, 0.024, 0.113, 0.115, 0.063, -0.005, 0.005, 0.01, 0.012, 0.022, 0.016, 0.002, 0.021, 0.015, -0.007, -0.047, -0.025, -0.001, -0.0, -0.009, 0.022, -0.015, -0.068, 0.058, 0.11, -0.064, -0.026, -0.067, -0.046, 0.035, 0.036, 0.035, 0.032, 0.008, -0.028, -0.012, 0.006, -0.041, -0.014, -0.002, 0.004, 0.015, 0.014, 0.012, 0.009, 0.007, 0.009, -0.007, -0.022, -0.017, -0.022, -0.027, -0.034, -0.044, -0.036, -0.041]</t>
  </si>
  <si>
    <t>[0, 0, 1, 0, 0, 0, 0, 0, 0, 0, 0, 0, 0, 0, 0, 0, 0, 1, 0, 0, 0, 0, 0, 0, 0, 0, 0, 0, 0, 0, 0, 0, 0, 0, 0, 0, 0, 0, 0, 0, 0, 0, 0, 0, 0, 0, 0, 0, 0, 0, 0, 0, 0, 0, 1, 0, 0, 0, 0, 0, 0, 0, 0, 1, 1, 0, 0, 0, 0, 0, 0, 0, 0, 0, 0, 0, 1, 0, 0, 0, 0, 0, 0, 0, 0, 0, 0, 0, 0, 0, 1, 0, 0, 0, 0, 0, 0, 0, 0, 0, 0, 0, 0, 0, 0, 0, 0, 0, 0, 0, 0, 0, 0, 0, 0, 0, 0, 0, 0, 0, 0, 0, 1, 0, 0, 0, 0, 0, 0, 0, 0, 0, 0, 0, 0, 0, 0, 0, 0, 0, 0, 0, 0, 0, 0, 0, 0, 0, 0, 0]</t>
  </si>
  <si>
    <t>LINESTRING (10.258527960122613 60.205312238997, 10.257245140525418 60.20680489291278, 10.256945557620236 60.20729241376583, 10.256884093594493 60.207409074917344, 10.2564629559322 60.20853935639436, 10.257796126655776 60.214559726890414, 10.258692371009293 60.21741085503735, 10.258932656832656 60.21887552377423, 10.258927126654104 60.21893973601392, 10.258919644703708 60.21901106503647, 10.258887485329213 60.21923120732864, 10.258721469460273 60.219927496786205, 10.258325123532478 60.220831182355475, 10.258291021551173 60.22089241944605, 10.258265163233313 60.220938669966074, 10.258048788180952 60.22129102782346, 10.251961965852677 60.22517480433454, 10.239760129129989 60.22905174940865, 10.23947039538827 60.229165316184435, 10.236977499114783 60.230140076058234, 10.236180855521138 60.23045211140726, 10.235843663399043 60.23058428255231, 10.235554863456999 60.230697452244954, 10.232157246176163 60.231955773300804, 10.220735693143595 60.233673595298455, 10.207757057162203 60.23721429419995, 10.207246759262178 60.23762198870587, 10.207172511405801 60.23768270685609, 10.2071231899695 60.23772353981824, 10.207090624004316 60.23775087512719, 10.206859561070068 60.23794658933542, 10.206781518097971 60.23801443784833, 10.205238649735318 60.239269823883305, 10.202818363954478 60.24121602556282, 10.199725198961973 60.243700529671685, 10.197292386745142 60.245651633860426, 10.19645379015324 60.24632602650797, 10.19634228244525 60.24641508074262, 10.19486042048133 60.2476084877288, 10.194674793604516 60.24775736722373, 10.192831667175204 60.24959338515059, 10.191963641219445 60.25120377894386, 10.191541873903235 60.25200257373654, 10.190690892836935 60.2539065041453, 10.189883950710492 60.256410011612324, 10.189028471310678 60.25931846529547, 10.188948470211736 60.25999288706534, 10.188796486737246 60.26153082781917, 10.188465381054447 60.26280919741943, 10.186839900508662 60.264301491376834, 10.186435777754353 60.26462339684029, 10.186056038484626 60.264992880510164, 10.185333630172973 60.26647997159386, 10.185240173732966 60.26686975913842, 10.184811828536107 60.268771682024244, 10.184789519862868 60.26886648895865, 10.184688407361229 60.26931320683686, 10.184485425800302 60.27077657868192, 10.184608505834902 60.27131320848762, 10.184632868175578 60.27138178164299, 10.18464892895538 60.27142372457137, 10.184657634233453 60.27144638464551, 10.184734365718674 60.2716187568288, 10.186316469513342 60.27345990978174, 10.186384409068273 60.27352959757536, 10.186444187882692 60.273590875374396, 10.1891504957619 60.27636714774529, 10.190363365915923 60.277615170779654, 10.191775032260498 60.27892287824135, 10.192542093441737 60.279476182558845, 10.192610672356208 60.27952309633647, 10.19262128819318 60.279530353567125, 10.193255038280757 60.27996333987215, 10.193265653085593 60.27997060600157, 10.195445686693665 60.28326162401462, 10.195381558372375 60.283363767420674, 10.195198625291017 60.28362918114253, 10.195137270251358 60.2837057982551, 10.194999388971569 60.28387645447058, 10.193988124611476 60.284798453271044, 10.190457109935812 60.28719467640624, 10.18429729066608 60.29189480115415, 10.182749489172831 60.293192093953145, 10.18113668241758 60.294780896279505, 10.181066047463059 60.2948724984904, 10.180690251095587 60.29536624287898, 10.180538543155638 60.29556488085603, 10.17958956003133 60.296816770175525, 10.179202337296532 60.29732953438157, 10.173524962992124 60.30099623977895, 10.172534650441023 60.30147415388771, 10.17230960247955 60.30158275346354, 10.171148673126503 60.302144829485066, 10.171015999200046 60.302208981739376, 10.169632282061317 60.302874723983486, 10.16908797541378 60.30313921441143, 10.159253950662354 60.30886463994839, 10.159227416431657 60.308882066651904, 10.159092845458494 60.3089705160172, 10.157252948269866 60.31017978504148, 10.155789031581495 60.311140445797705, 10.154641394309474 60.311922047215226, 10.154565396383955 60.3119747354506, 10.154498898328384 60.31202083538158, 10.153831144113976 60.31244280026646, 10.153060823350826 60.31292612167986, 10.151235448757335 60.314114349949406, 10.149729888368052 60.31508773244548, 10.148144408530404 60.315937540641016, 10.147183890889254 60.31637506871448, 10.139143305285975 60.31970984729288, 10.136424435762622 60.32087936112318, 10.134713424520786 60.32194118321288, 10.133883302976237 60.32269788500535, 10.13185584642758 60.324882126190495, 10.128913456728226 60.32789882286676, 10.128787751505314 60.32798838046293, 10.127533564312783 60.328664855262105, 10.127444387293686 60.3287059725525, 10.125569846111956 60.32957702917322, 10.119846774258457 60.331446284204155, 10.118971110397927 60.33161897149853, 10.11859837984306 60.331689213535434, 10.11831910652004 60.331742113649874, 10.111859895065393 60.334701607762526, 10.111693961410404 60.334868856645954, 10.111641462014898 60.334926625880264, 10.110521789473914 60.337026643583634, 10.107461856400898 60.34306699256679, 10.107113086585649 60.34361717555405, 10.106652070389318 60.34434744844647, 10.105777699007541 60.345710887156486, 10.103511132420856 60.349025186163296, 10.103457544180229 60.34914298544902, 10.102214801347484 60.35112742007701, 10.101823313159729 60.35146018549465, 10.101637298377238 60.35160995219822, 10.101090870698446 60.35204168853547, 10.100594767490128 60.352432164606434, 10.099847032187816 60.35302197603269, 10.099591805217788 60.35322499397316, 10.09958214782414 60.35323258955571, 10.099013411293706 60.35367948925701, 10.099003807795054 60.35368708679404, 10.098868906281744 60.35379416418672, 10.098421624899853 60.3541356378195, 10.097893995445292 60.35453030256767, 10.097277618220568 60.35500220753548, 10.097234021219645 60.35503613000954, 10.097178704981921 60.355079154981475, 10.09712954595728 60.35511745976049)</t>
  </si>
  <si>
    <t>[1407986, 1407994, 1408002, 1408010, 1408019, 1408027, 1408035, 1408043, 1408051, 1408059, 1408067, 1408075, 1408083, 1408091, 1408099, 1408107, 1408115, 1408123, 1408131, 1408139, 1408147, 1408155, 1408163, 1408171, 1408179, 1408187, 1408195, 1408203, 1408211, 1408219, 1408227, 1408236, 1408244, 1408252, 1408260, 1408268, 1408276, 1408284, 1408292, 1408300, 1408308, 1408316, 1408324, 1408332, 1408340, 1408348, 1408356, 1408364, 1408372, 1408380, 1408388, 1408396, 1408404, 1408412, 1408420, 1408428, 1408436, 1408444, 1408452, 1408460, 1408468, 1408476, 1408484, 1408492, 1408500, 1408508, 1408516, 1408524, 1408532, 1408540, 1408548, 1408556, 1408564, 1408572, 1408580, 1408588, 1408596, 1408604, 1408612, 1408620, 1408628, 1408636, 1408644, 1408652, 1408660, 1408668, 1408676, 1408684, 1408692, 1408700, 1408708, 1408716, 1408724, 1090990, 1090998, 1091006, 1091014, 1091022, 1091030, 1091038, 1091046, 1091054, 1091062, 1091070, 1091078, 1091086, 1091094, 1091102, 1091110, 1091118, 1091126, 1091135, 1091143, 1091151, 1091159, 1091167, 1091175, 1091183, 1091191, 1091199, 1091209, 1091217, 1091225, 1091233, 1091241, 1091249, 1091257, 1091265, 1091280, 1091288, 1091296, 1091304, 1091312, 1091320, 1091328, 1091336, 1091344, 1091359, 1091367, 1091375, 1091383, 1091391, 1091399, 1091407, 1091415, 1091423, 1091431, 1091439, 1091447, 1091455]</t>
  </si>
  <si>
    <t>[1288146, 1288153, 1288160, 1288169, 1287841, 1288185, 1288194, 1288203, 1288211, 1288220, 1288231, 353053, 1288242, 353045, 1288256, 1288262, 1288268, 1288274, 1288282, 1288289, 1288297, 1288306, 1288314, 1288321, 1288327, 1288334, 1288339, 926064, 1288351, 1288360, 1288367, 1288373, 1288378, 1288387, 1288394, 1288400, 1288405, 1288413, 1060733, 1288423, 1288427, 1288434, 1288440, 1288446, 1288454, 1288461, 1288465, 1288473, 1288481, 1079709, 1288491, 1288498, 1079676, 1288507, 1288513, 1288517, 1288523, 1288531, 1288535, 1288540, 1288543, 1288549, 1288554, 1288562, 1288569, 1288574, 1288581, 1288588, 1288594, 1288603, 1288610, 1288618, 1288624, 1288629, 1090939, 1288644, 1288653, 1091107, 356007, 1288671, 1288677, 1288685, 1288690, 1288694, 1288696, 1288701, 1288706, 1288713, 1091278, 1288721, 1288726, 1288731, 1034778, 1034779, 1034783, 1034789, 1034796, 1034801, 1034807, 1034814, 1034821, 1034829, 1034838, 1034845, 1034849, 1034856, 1034861, 1034869, 1034873, 1034879, 1034885, 1034892, 1034897, 1034903, 1034911, 1034918, 1034925, 1034931, 1034936, 1034943, 213162, 1034962, 1034969, 1034976, 1034983, 1034991, 213264, 213363, 1035017, 1035024, 1035033, 1035041, 1035048, 1035055, 1035062, 213577, 1035077, 213696, 1035099, 1035105, 1035112, 1035119, 1035126, 1035134, 1035142, 1035149, 1035156, 1035163, 1035171, 1035179]</t>
  </si>
  <si>
    <t>0.0001295298512100753</t>
  </si>
  <si>
    <t>[634214, 1288146, 1288153, 1288160, 1288169, 1287841, 1288185, 1288194, 1288203, 1288211, 1288220, 1288231, 353053, 1288242, 353045, 1288256, 1288262, 1288268, 1288274, 1288282, 1288289, 1288297, 1288306, 1288314, 1288321, 1288327, 1288334, 1288339, 926064, 1288351, 1288360, 1288367, 1288373, 1288378, 1288387, 1288394, 1288400, 1288405, 1288413, 1060733, 1288423, 1288427, 1288434, 1288440, 1288446, 1288454, 1288461, 1288465, 1288473, 1288481, 1079709, 1288491, 1288498, 1079676, 1288507, 1288513, 1288517, 1288523, 1288531, 1288535, 1288540, 1288543, 1288549, 1288554, 1288562, 1288569, 1288574, 1288581, 1288588, 1288594, 1288603, 1288610, 1288618, 1288624, 1288629, 1090939, 1288644, 1288653, 1091107, 356007, 1288671, 1288677, 1288685, 1288690, 1288694, 1288696, 1288701, 1288706, 1288713, 1091278, 1288721, 1288726, 1288731, 1034778, 1034779, 1034783, 1034789, 1034796, 1034801, 1034807, 1034814, 1034821, 1034829, 1034838, 1034845, 1034849, 1034856, 1034861, 1034869, 1034873, 1034879, 1034885, 1034892, 1034897, 1034903, 1034911, 1034918, 1034925, 1034931, 1034936, 1034943, 213162, 1034962, 1034969, 1034976, 1034983, 1034991, 213264, 213363, 1035017, 1035024, 1035033, 1035041, 1035048, 1035055, 1035062, 213577, 1035077, 213696, 1035099, 1035105, 1035112, 1035119, 1035126, 1035134, 1035142, 1035149, 1035156, 1035163, 1035171]</t>
  </si>
  <si>
    <t>[0.001, 0.033, 0.042, 0.021, 0.018, 0.035, 0.036, 0.013, 0.015, 0.015, 0.016, 0.016, 0.016, 0.016, 0.016, 0.019, 0.012, 0.015, 0.012, 0.015, 0.022, 0.025, 0.016, 0.034, 0.017, 0.046, 0.062, 0.06, 0.052, 0.064, 0.072, 0.042, 0.017, 0.026, 0.027, 0.028, 0.004, 0.036, 0.037, 0.005, 0.033, 0.028, 0.017, 0.023, 0.002, 0.017, 0.015, 0.018, 0.003, 0.022, 0.021, 0.053, 0.087, 0.056, 0.017, 0.016, 0.019, 0.008, 0.002, 0.001, 0.003, 0.002, 0.006, 0.013, 0.014, 0.0, 0.01, 0.018, 0.004, 0.005, 0.04, 0.037, 0.051, 0.006, 0.044, 0.037, 0.053, 0.048, 0.024, 0.006, 0.006, 0.018, 0.011, 0.01, 0.006, 0.001, 0.02, 0.02, 0.014, 0.031, 0.034, 0.007, 0.055, 0.005, 0.029, 0.024, 0.113, 0.115, 0.063, 0.005, 0.005, 0.01, 0.012, 0.022, 0.016, 0.002, 0.021, 0.015, 0.007, 0.047, 0.025, 0.001, 0.0, 0.009, 0.022, 0.015, 0.068, 0.058, 0.11, 0.064, 0.026, 0.067, 0.046, 0.035, 0.036, 0.035, 0.032, 0.008, 0.028, 0.012, 0.006, 0.041, 0.014, 0.002, 0.004, 0.015, 0.014, 0.012, 0.009, 0.007, 0.009, 0.007, 0.022, 0.017, 0.022, 0.027, 0.034, 0.044, 0.036, 0.041]</t>
  </si>
  <si>
    <t>20755.956773575515</t>
  </si>
  <si>
    <t>[-0.011, -0.02, 0.149, -0.038]</t>
  </si>
  <si>
    <t>LINESTRING (11.490695070328874 64.01900910826147, 11.49058886893349 64.01899036822802, 11.49047934050487 64.01893291477984, 11.49047447185973 64.01882498436024, 11.490537164716626 64.01878247693786)</t>
  </si>
  <si>
    <t>[639733, 639735, 639761, 639768]</t>
  </si>
  <si>
    <t>[634226, 634228, 634251, 634258]</t>
  </si>
  <si>
    <t>0.04363728161467064</t>
  </si>
  <si>
    <t>[634220, 634226, 634228, 634251]</t>
  </si>
  <si>
    <t>[0.011, 0.02, 0.149, 0.038]</t>
  </si>
  <si>
    <t>31.907331206174963</t>
  </si>
  <si>
    <t>[0.027, 0.037, 0.031, 0.024, 0.018, 0.022, 0.038, 0.051, 0.048, 0.041, 0.043, 0.037]</t>
  </si>
  <si>
    <t>LINESTRING (10.285037027935308 60.08007884579868, 10.285055486450878 60.08011315342845, 10.285101670643556 60.08019891034926, 10.285213560233958 60.08040649661764, 10.285499149437422 60.08090935968398, 10.285556504341729 60.08101369315962, 10.285641856829617 60.08116897276456, 10.28639198757173 60.08358364733675, 10.286398819380556 60.083773755600596, 10.286330152485515 60.08493018796127, 10.286317355900474 60.08508431910709, 10.286310699525398 60.085194776443835, 10.286379427616703 60.08627531672462)</t>
  </si>
  <si>
    <t>[1431716, 1431724, 1431732, 1431740, 1431748, 1431756, 1431764, 1431772, 1431780, 1431788, 1431796, 1431804]</t>
  </si>
  <si>
    <t>[1303412, 1303420, 1303425, 1303433, 1303441, 1303449, 1303456, 1303461, 1303466, 1303470, 1303478, 1303484]</t>
  </si>
  <si>
    <t>0.03798907298683878</t>
  </si>
  <si>
    <t>[634285, 1303412, 1303420, 1303425, 1303433, 1303441, 1303449, 1303456, 1303461, 1303466, 1303470, 1303478]</t>
  </si>
  <si>
    <t>699.4850564850564</t>
  </si>
  <si>
    <t>[-0.042, -0.04, -0.042, -0.045]</t>
  </si>
  <si>
    <t>LINESTRING (11.490523346422314 64.02115761522363, 11.490506977763758 64.02112487561286, 11.490515437563195 64.02107386916869, 11.490592415156298 64.02101553516296, 11.490761080909541 64.02097738690829)</t>
  </si>
  <si>
    <t>[639840, 639848, 639856, 639864]</t>
  </si>
  <si>
    <t>[634309, 634316, 634321, 634328]</t>
  </si>
  <si>
    <t>[634304, 634309, 634316, 634321]</t>
  </si>
  <si>
    <t>[0.042, 0.04, 0.042, 0.045]</t>
  </si>
  <si>
    <t>26.2289766680046</t>
  </si>
  <si>
    <t>[-0.004, -0.002]</t>
  </si>
  <si>
    <t>1725.0</t>
  </si>
  <si>
    <t>LINESTRING (5.405345250556236 59.74148960502257, 5.403355851323598 59.7417847132733, 5.403197524233747 59.74180079390833)</t>
  </si>
  <si>
    <t>[643323, 643331]</t>
  </si>
  <si>
    <t>[636875, 636884]</t>
  </si>
  <si>
    <t>[636874, 636875]</t>
  </si>
  <si>
    <t>138.25402568622175</t>
  </si>
  <si>
    <t>[0.063, 0.117, -0.026, -0.01, 0.019]</t>
  </si>
  <si>
    <t>LINESTRING (5.405345250556236 59.74148960502257, 5.406933310830126 59.74099372467086, 5.4069405023125965 59.74070127130641, 5.406922522824951 59.740677339644215, 5.406352521156084 59.74034958494757, 5.405048415849705 59.74025469160639)</t>
  </si>
  <si>
    <t>[643427, 2001118, 2001135, 2001143, 2001154]</t>
  </si>
  <si>
    <t>[636961, 1753933, 636866, 1753944, 1753950]</t>
  </si>
  <si>
    <t>0.043125567874763196</t>
  </si>
  <si>
    <t>[636874, 636961, 1753933, 636866, 1753944]</t>
  </si>
  <si>
    <t>[0.063, 0.117, 0.026, 0.01, 0.019]</t>
  </si>
  <si>
    <t>270.4623663540935</t>
  </si>
  <si>
    <t>[-0.037, -0.071, -0.056, 0.001]</t>
  </si>
  <si>
    <t>LINESTRING (5.406645429486435 59.74052464344791, 5.406601930937167 59.7406353397129, 5.406454577597795 59.740691052985376, 5.405110834254129 59.741242823554664, 5.405345250556236 59.74148960502257)</t>
  </si>
  <si>
    <t>[643395, 643403, 643411, 643419]</t>
  </si>
  <si>
    <t>[636938, 636945, 636952, 636874]</t>
  </si>
  <si>
    <t>[636937, 636938, 636945, 636952]</t>
  </si>
  <si>
    <t>[0.037, 0.071, 0.056, 0.001]</t>
  </si>
  <si>
    <t>155.19760266590401</t>
  </si>
  <si>
    <t>[0.032, -0.037, 0.0, 0.063, 0.036, -0.022, 0.0, -0.028, -0.012, 0.0, -0.02, -0.037, -0.037, 0.063, 0.066, 0.066]</t>
  </si>
  <si>
    <t>[1, 1, 1, 1, 0, 0, 0, 0, 0, 0, 0, 0, 1, 0, 1, 0]</t>
  </si>
  <si>
    <t>LINESTRING (5.403197524233747 59.74180079390833, 5.402427238047427 59.74223955028561, 5.401618157403876 59.74305433494757, 5.40310085933003 59.74805584889429, 5.404477083402773 59.7510319007723, 5.404676509678065 59.751467899102, 5.404686990798464 59.751490817182855, 5.404688579195642 59.75149430718238, 5.404696865636347 59.75151242459855, 5.405229487802734 59.75265875903835, 5.405231685587319 59.75266348757314, 5.405245731034506 59.752693721564675, 5.405310699044057 59.7528376766805, 5.405507506140615 59.75326235730207, 5.405892656674791 59.75409140740638, 5.406030862209235 59.75440496512812, 5.406278980702067 59.75491596643787)</t>
  </si>
  <si>
    <t>[2060607, 2060615, 2060623, 2060631, 2060639, 2060647, 2060655, 2060663, 2060671, 2060679, 2060687, 2060695, 2060703, 2060711, 2060719, 2060727]</t>
  </si>
  <si>
    <t>[1791467, 1791472, 1791478, 1791483, 1791490, 1791496, 1791501, 1791507, 1791513, 1791519, 1791525, 1791532, 1791538, 1791543, 1791549, 1633182]</t>
  </si>
  <si>
    <t>0.019451170048101304</t>
  </si>
  <si>
    <t>[636884, 1791467, 1791472, 1791478, 1791483, 1791490, 1791496, 1791501, 1791507, 1791513, 1791519, 1791525, 1791532, 1791538, 1791543, 1791549]</t>
  </si>
  <si>
    <t>[0.032, 0.037, 0.0, 0.063, 0.036, 0.022, 0.0, 0.028, 0.012, 0.0, 0.02, 0.037, 0.037, 0.063, 0.066, 0.066]</t>
  </si>
  <si>
    <t>1526.700380356131</t>
  </si>
  <si>
    <t>[-0.007, -0.006, -0.008]</t>
  </si>
  <si>
    <t>LINESTRING (5.403905894300244 59.74081309725109, 5.40403185326235 59.7409046710651, 5.403237872942998 59.74173006996689, 5.403197524233747 59.74180079390833)</t>
  </si>
  <si>
    <t>[643371, 643379, 643387]</t>
  </si>
  <si>
    <t>[636919, 636926, 636884]</t>
  </si>
  <si>
    <t>[636918, 636919, 636926]</t>
  </si>
  <si>
    <t>[0.007, 0.006, 0.008]</t>
  </si>
  <si>
    <t>138.9219341996858</t>
  </si>
  <si>
    <t>[0.392, 0.01, -0.005, -0.003, 0.013, 0.029, 0.022, 0.018, 0.014, -0.234]</t>
  </si>
  <si>
    <t>4389.0</t>
  </si>
  <si>
    <t>LINESTRING (5.406645429486435 59.74052464344791, 5.406523832164246 59.74056928758425, 5.406075155942204 59.74073142677245, 5.406060764562533 59.74073665084195, 5.4059256220168255 59.74078563144191, 5.4050513621184395 59.74110099082466, 5.40484978997255 59.74117294391343, 5.404339751465881 59.741356896590254, 5.404223215113447 59.74139820440503, 5.403975592057971 59.7414859686181, 5.403197524233747 59.74180079390833)</t>
  </si>
  <si>
    <t>[2060529, 2060537, 2060545, 2060551, 2060559, 2060567, 2060575, 2060583, 2060591, 2060599]</t>
  </si>
  <si>
    <t>[1791416, 1791426, 1791434, 1791438, 1791442, 1791447, 1791452, 1791456, 1791461, 636884]</t>
  </si>
  <si>
    <t>[636937, 1791416, 1791426, 1791434, 1791438, 1791442, 1791447, 1791452, 1791456, 1791461]</t>
  </si>
  <si>
    <t>[0.392, 0.01, 0.005, 0.003, 0.013, 0.029, 0.022, 0.018, 0.014, 0.234]</t>
  </si>
  <si>
    <t>241.25993233195254</t>
  </si>
  <si>
    <t>[0.045, 0.082, 0.095]</t>
  </si>
  <si>
    <t>1728.0</t>
  </si>
  <si>
    <t>LINESTRING (5.404158753689312 59.74086790732507, 5.407198365562724 59.740253462412134, 5.408111730114036 59.739885784608376, 5.408299030245358 59.73985098995917)</t>
  </si>
  <si>
    <t>[643347, 643355, 643363]</t>
  </si>
  <si>
    <t>[636896, 636903, 636911]</t>
  </si>
  <si>
    <t>0.05533527501069589</t>
  </si>
  <si>
    <t>[636895, 636896, 636903]</t>
  </si>
  <si>
    <t>290.40878116174383</t>
  </si>
  <si>
    <t>[1.211, -0.017, 0.011, 0.025]</t>
  </si>
  <si>
    <t>LINESTRING (5.404158753689312 59.74086790732507, 5.404275664729496 59.740922642993, 5.4046670872172795 59.740850216173335, 5.405082583333213 59.7403427992908, 5.405048415849705 59.74025469160639)</t>
  </si>
  <si>
    <t>[2001194, 2001208, 2001209, 2001216]</t>
  </si>
  <si>
    <t>[1753972, 1753982, 1753983, 1753950]</t>
  </si>
  <si>
    <t>0.09994435909637886</t>
  </si>
  <si>
    <t>[636895, 1753972, 1753982, 1753983]</t>
  </si>
  <si>
    <t>[1.211, 0.017, 0.011, 0.025]</t>
  </si>
  <si>
    <t>114.6823552598136</t>
  </si>
  <si>
    <t>[-0.014, -2.32]</t>
  </si>
  <si>
    <t>LINESTRING (5.404101020744429 59.74075785170424, 5.404134943268548 59.74082636417684, 5.404158753689312 59.74086790732507)</t>
  </si>
  <si>
    <t>[2001163, 2001186]</t>
  </si>
  <si>
    <t>[1753954, 636895]</t>
  </si>
  <si>
    <t>[1753953, 1753954]</t>
  </si>
  <si>
    <t>[0.014, 2.32]</t>
  </si>
  <si>
    <t>12.725619798554941</t>
  </si>
  <si>
    <t>[0.065, 0.0, -0.071, -0.054, -0.056, -0.051, -0.259]</t>
  </si>
  <si>
    <t>LINESTRING (5.408299030245358 59.73985098995917, 5.4081535823413205 59.739913518730845, 5.408150571263397 59.73991482507918, 5.407403920168566 59.74023082007812, 5.406920748191164 59.740420595292655, 5.406906596748619 59.7404259818069, 5.406885394606409 59.740434067941045, 5.406645429486435 59.74052464344791)</t>
  </si>
  <si>
    <t>[2060473, 2060481, 2060489, 2060497, 2060505, 2060513, 2060521]</t>
  </si>
  <si>
    <t>[1791380, 1791386, 1791390, 1791395, 1791399, 1791405, 636937]</t>
  </si>
  <si>
    <t>[636911, 1791380, 1791386, 1791390, 1791395, 1791399, 1791405]</t>
  </si>
  <si>
    <t>[0.065, 0.0, 0.071, 0.054, 0.056, 0.051, 0.259]</t>
  </si>
  <si>
    <t>119.908406242799</t>
  </si>
  <si>
    <t>[-0.01, 0.005, 0.03, 0.058, 0.005, 0.055, -0.003, 0.049, -0.016, -0.002, -0.009, -0.009, -0.026, -0.005, 0.003, 0.0, 0.0, 0.017]</t>
  </si>
  <si>
    <t>LINESTRING (5.481316023012715 59.67966071112275, 5.481994052398395 59.680243636724235, 5.482001971164707 59.68025163941736, 5.4823811291486155 59.680725101700354, 5.4824169120150295 59.680783931821715, 5.482421893439978 59.68079251515978, 5.482699412751453 59.68139911527322, 5.482489142175804 59.683213862146964, 5.482472280602522 59.68326096428443, 5.461690448348911 59.70780652072789, 5.458484194178413 59.70985375620267, 5.454048537635098 59.71268405671427, 5.4539585998082964 59.71274165676537, 5.45335296878601 59.71312943198031, 5.449965382659927 59.71529230861999, 5.424888529176279 59.730969450795335, 5.424294148937885 59.73121836447642, 5.420445462415402 59.73253387456003, 5.408299030245358 59.73985098995917)</t>
  </si>
  <si>
    <t>[2060329, 2060337, 2060345, 2060353, 2060361, 2060369, 2060377, 2060385, 2060393, 2060401, 2060409, 2060417, 2060425, 2060433, 2060441, 2060449, 2060457, 2060465]</t>
  </si>
  <si>
    <t>[1791250, 1791255, 1791263, 1791269, 1791278, 1791285, 1791293, 1791301, 1791309, 1791315, 1791323, 1791331, 1791336, 1791346, 1791356, 1791362, 1791370, 636911]</t>
  </si>
  <si>
    <t>[1753932, 1791250, 1791255, 1791263, 1791269, 1791278, 1791285, 1791293, 1791301, 1791309, 1791315, 1791323, 1791331, 1791336, 1791346, 1791356, 1791362, 1791370]</t>
  </si>
  <si>
    <t>[0.01, 0.005, 0.03, 0.058, 0.005, 0.055, 0.003, 0.049, 0.016, 0.002, 0.009, 0.009, 0.026, 0.005, 0.003, 0.0, 0.0, 0.017]</t>
  </si>
  <si>
    <t>8295.886297949004</t>
  </si>
  <si>
    <t>[0.692, -0.031, -0.021, 0.003]</t>
  </si>
  <si>
    <t>LINESTRING (5.403905894300244 59.74081309725109, 5.40372319693992 59.74076345872615, 5.403687343247443 59.74068304818393, 5.403774446582365 59.74061170156171, 5.403962483446627 59.740592104595024)</t>
  </si>
  <si>
    <t>[2007832, 2007840, 2007848, 2007856]</t>
  </si>
  <si>
    <t>[1755677, 1757632, 1757637, 1757641]</t>
  </si>
  <si>
    <t>0.18933718885043016</t>
  </si>
  <si>
    <t>[636918, 1755677, 1757632, 1757637]</t>
  </si>
  <si>
    <t>[0.692, 0.031, 0.021, 0.003]</t>
  </si>
  <si>
    <t>41.75497923350957</t>
  </si>
  <si>
    <t>0.862</t>
  </si>
  <si>
    <t>13.080443546351908</t>
  </si>
  <si>
    <t>[0.002, -0.001, -0.011, -0.001, -0.001]</t>
  </si>
  <si>
    <t>LINESTRING (10.743316208557028 59.90520010919875, 10.743349315110127 59.90524083364157, 10.743551392744877 59.905373613814014, 10.744401406110896 59.90616666020025, 10.746948633690465 59.90650149140524, 10.74726189539195 59.90651557101563)</t>
  </si>
  <si>
    <t>[645911, 645919, 1151053, 1151069, 1151077]</t>
  </si>
  <si>
    <t>[638910, 638915, 1086204, 1086225, 1086235]</t>
  </si>
  <si>
    <t>[638909, 638910, 638915, 1086204, 1086225]</t>
  </si>
  <si>
    <t>[0.002, 0.001, 0.011, 0.001, 0.001]</t>
  </si>
  <si>
    <t>294.8805428754179</t>
  </si>
  <si>
    <t>[-0.001, 0.0]</t>
  </si>
  <si>
    <t>LINESTRING (10.743316208557028 59.90520010919875, 10.743055556151393 59.90514916504973, 10.743035607216045 59.905120033892494)</t>
  </si>
  <si>
    <t>[755617, 755625]</t>
  </si>
  <si>
    <t>[736310, 736316]</t>
  </si>
  <si>
    <t>[638909, 736310]</t>
  </si>
  <si>
    <t>19.941573755747694</t>
  </si>
  <si>
    <t>11.321620002820719</t>
  </si>
  <si>
    <t>9.033184222585728</t>
  </si>
  <si>
    <t>[0.004, 0.015, 0.004]</t>
  </si>
  <si>
    <t>LINESTRING (10.799849018151843 59.91244129221011, 10.799940708204014 59.91239659044869, 10.800735521679519 59.91226234316761, 10.800787208843397 59.91222713634235)</t>
  </si>
  <si>
    <t>[647231, 647239, 647247]</t>
  </si>
  <si>
    <t>[640085, 640089, 640093]</t>
  </si>
  <si>
    <t>0.012759086620983113</t>
  </si>
  <si>
    <t>[640084, 640085, 640089]</t>
  </si>
  <si>
    <t>59.03300991009695</t>
  </si>
  <si>
    <t>9.658242093800208</t>
  </si>
  <si>
    <t>[0.022, 0.023, 0.005, 0.038]</t>
  </si>
  <si>
    <t>LINESTRING (10.800787208843397 59.91222713634235, 10.801608124686732 59.91221091065135, 10.801848850702056 59.91222029707603, 10.803583428847839 59.91245705540363, 10.803905245927956 59.912446634697034)</t>
  </si>
  <si>
    <t>[1380377, 1380385, 1380393, 770375]</t>
  </si>
  <si>
    <t>[1270112, 1270117, 749786, 749787]</t>
  </si>
  <si>
    <t>0.014061116658652796</t>
  </si>
  <si>
    <t>[640093, 1270112, 1270117, 749786]</t>
  </si>
  <si>
    <t>179.15908644449974</t>
  </si>
  <si>
    <t>[0.033, 0.022]</t>
  </si>
  <si>
    <t>LINESTRING (10.798476868041371 59.91225369142196, 10.798705287072451 59.91230259470117, 10.800787208843397 59.91222713634235)</t>
  </si>
  <si>
    <t>[1380361, 1380369]</t>
  </si>
  <si>
    <t>[1270106, 640093]</t>
  </si>
  <si>
    <t>0.023139955188598738</t>
  </si>
  <si>
    <t>[1270102, 1270106]</t>
  </si>
  <si>
    <t>134.09232040990392</t>
  </si>
  <si>
    <t>[-0.193, -0.006, -0.016, -0.035, -0.058, -0.073, -0.06, -0.049, -0.023]</t>
  </si>
  <si>
    <t>LINESTRING (8.029349518243711 58.16442174935619, 8.029197807077331 58.16434340119283, 8.027453949074555 58.1632962143804, 8.026570011150246 58.16290083527568, 8.026340411952535 58.16282305407864, 8.025182068313704 58.16251198310406, 8.024341994855227 58.16233750141275, 8.023433586047766 58.16215332066381, 8.023060727035768 58.16207245609417, 8.02096451007319 58.16164786225343)</t>
  </si>
  <si>
    <t>[1338328, 1338336, 1338344, 1338352, 1338360, 1338368, 1338376, 1338384, 1338392]</t>
  </si>
  <si>
    <t>[1242035, 1242040, 1242044, 1242048, 1242051, 1242055, 1242060, 1242066, 1242074]</t>
  </si>
  <si>
    <t>[642730, 1242035, 1242040, 1242044, 1242048, 1242051, 1242055, 1242060, 1242066]</t>
  </si>
  <si>
    <t>[0.193, 0.006, 0.016, 0.035, 0.058, 0.073, 0.06, 0.049, 0.023]</t>
  </si>
  <si>
    <t>596.1766063676052</t>
  </si>
  <si>
    <t>[0.025, -0.049, -0.048, -0.036, -0.029, -0.023, -0.006]</t>
  </si>
  <si>
    <t>LINESTRING (8.037739636199616 58.16537207952233, 8.034857483149862 58.165570174041896, 8.034407559882839 58.16554069227516, 8.033810575383285 58.16546659073079, 8.033551118036705 58.16542493516117, 8.030696717655916 58.164882535050594, 8.030681088443375 58.16487893775681, 8.029349518243711 58.16442174935619)</t>
  </si>
  <si>
    <t>[1338264, 1338272, 1338280, 1338288, 1338296, 1338304, 1338320]</t>
  </si>
  <si>
    <t>[1241981, 1241986, 1241994, 1242000, 1242008, 1242014, 642730]</t>
  </si>
  <si>
    <t>[1098477, 1241981, 1241986, 1241994, 1242000, 1242008, 1242014]</t>
  </si>
  <si>
    <t>[0.025, 0.049, 0.048, 0.036, 0.029, 0.023, 0.006]</t>
  </si>
  <si>
    <t>524.5896251626351</t>
  </si>
  <si>
    <t>[0.0, -1.055, 0.007, -0.019, -0.009, -0.011]</t>
  </si>
  <si>
    <t>LINESTRING (8.033503515809173 58.16579963753948, 8.033503515809173 58.16579963753948, 8.033435473314077 58.16580233899728, 8.031249262316084 58.16513177712386, 8.029571101811909 58.164562778441756, 8.029505557682267 58.16452007028515, 8.029349518243711 58.16442174935619)</t>
  </si>
  <si>
    <t>[1622429, 1622437, 1173724, 1173732, 650372, 650380]</t>
  </si>
  <si>
    <t>[1120238, 1106029, 642710, 642724, 642725, 642730]</t>
  </si>
  <si>
    <t>[1105372, 1120238, 1106029, 642710, 642724, 642725]</t>
  </si>
  <si>
    <t>[0.0, 1.055, 0.007, 0.019, 0.009, 0.011]</t>
  </si>
  <si>
    <t>308.35939263485295</t>
  </si>
  <si>
    <t>529.4411772448277</t>
  </si>
  <si>
    <t>[0.012, 0.012, -0.152]</t>
  </si>
  <si>
    <t>LINESTRING (10.074501076956293 59.74342534909276, 10.069527220557976 59.74479468256269, 10.048102815855207 59.74692440764153, 10.039560885321027 59.74640614625423)</t>
  </si>
  <si>
    <t>[2094605, 2094628, 2094629]</t>
  </si>
  <si>
    <t>[1812269, 1812284, 642952]</t>
  </si>
  <si>
    <t>[642988, 1812269, 1812284]</t>
  </si>
  <si>
    <t>[0.012, 0.012, 0.152]</t>
  </si>
  <si>
    <t>2051.4066131519403</t>
  </si>
  <si>
    <t>59.435007692153874</t>
  </si>
  <si>
    <t>[-0.001, 0.005, 0.001]</t>
  </si>
  <si>
    <t>LINESTRING (10.032180548456846 59.749184900369016, 10.031556666440586 59.74961026394284, 10.031275022955322 59.74978103669809, 10.030621389606914 59.75017711939552)</t>
  </si>
  <si>
    <t>[1416725, 1416733, 1416741]</t>
  </si>
  <si>
    <t>[1294158, 1294161, 1265436]</t>
  </si>
  <si>
    <t>0.0008574404172992708</t>
  </si>
  <si>
    <t>[642953, 1294158, 1294161]</t>
  </si>
  <si>
    <t>[0.001, 0.005, 0.001]</t>
  </si>
  <si>
    <t>141.86754235472017</t>
  </si>
  <si>
    <t>[-0.036, -0.004, 0.001]</t>
  </si>
  <si>
    <t>LINESTRING (10.150491947130517 59.739186477234455, 10.150254256607642 59.73925760031458, 10.107212555281896 59.74370075900224, 10.074501076956293 59.74342534909276)</t>
  </si>
  <si>
    <t>[650654, 650662, 650670]</t>
  </si>
  <si>
    <t>[642971, 642978, 642988]</t>
  </si>
  <si>
    <t>[642970, 642971, 642978]</t>
  </si>
  <si>
    <t>[0.036, 0.004, 0.001]</t>
  </si>
  <si>
    <t>4375.9141553658565</t>
  </si>
  <si>
    <t>[0.047, -0.004, 0.001]</t>
  </si>
  <si>
    <t>LINESTRING (10.150491947130517 59.739186477234455, 10.150220068945428 59.73921629652173, 10.107191854969498 59.743653244281894, 10.074501076956293 59.74342534909276)</t>
  </si>
  <si>
    <t>[650678, 650686, 650694]</t>
  </si>
  <si>
    <t>[642996, 643004, 642988]</t>
  </si>
  <si>
    <t>[642970, 642996, 643004]</t>
  </si>
  <si>
    <t>[0.047, 0.004, 0.001]</t>
  </si>
  <si>
    <t>4375.712887758338</t>
  </si>
  <si>
    <t>[1.067, 0.068, -0.038, 0.028, -0.013]</t>
  </si>
  <si>
    <t>21729.0</t>
  </si>
  <si>
    <t>LINESTRING (10.216110406294298 59.728969348058854, 10.216079630413176 59.72889911556494, 10.188387852888859 59.73011764083256, 10.157886942713878 59.73795993409137, 10.15363061664447 59.738621040170955, 10.150491947130517 59.739186477234455)</t>
  </si>
  <si>
    <t>[2094570, 2094581, 2094589, 2094591, 2094593]</t>
  </si>
  <si>
    <t>[1812249, 1812257, 1812262, 1558430, 642970]</t>
  </si>
  <si>
    <t>0.014546928006342713</t>
  </si>
  <si>
    <t>[1294102, 1812249, 1812257, 1812262, 1558430]</t>
  </si>
  <si>
    <t>[1.067, 0.068, 0.038, 0.028, 0.013]</t>
  </si>
  <si>
    <t>4151.346193070198</t>
  </si>
  <si>
    <t>11.134114244067046</t>
  </si>
  <si>
    <t>10.43014860840116</t>
  </si>
  <si>
    <t>[0.023, 0.311, 0.168, 0.232, 0.117]</t>
  </si>
  <si>
    <t>LINESTRING (19.554628204577913 69.21909484283775, 19.55453812831489 69.21914876961495, 19.55449626368042 69.21917330285243, 19.553231706344707 69.2196745066337, 19.55310089698609 69.21970793519172, 19.55123717847544 69.22001725625746)</t>
  </si>
  <si>
    <t>[652713, 1070070, 1070078, 1070086, 1070094]</t>
  </si>
  <si>
    <t>[644814, 1017090, 1017096, 1017104, 1011342]</t>
  </si>
  <si>
    <t>0.14315745404283356</t>
  </si>
  <si>
    <t>[644770, 644814, 1017090, 1017096, 1017104]</t>
  </si>
  <si>
    <t>173.85997991735806</t>
  </si>
  <si>
    <t>[0.018, 0.024, 0.033, 0.039, -0.512, 0.021]</t>
  </si>
  <si>
    <t>LINESTRING (19.555050412262343 69.21764880614998, 19.555245840639277 69.21825949292771, 19.555110937737197 69.21867836635417, 19.55494976459928 69.2188665411682, 19.554748599685837 69.21902929103862, 19.554737905759158 69.21903611806879, 19.554628204577913 69.21909484283775)</t>
  </si>
  <si>
    <t>[1069798, 1069806, 1069814, 1069822, 1069830, 652705]</t>
  </si>
  <si>
    <t>[1016915, 1016922, 1016928, 1016933, 644805, 644770]</t>
  </si>
  <si>
    <t>0.02154714148105992</t>
  </si>
  <si>
    <t>[1016914, 1016915, 1016922, 1016928, 1016933, 644805]</t>
  </si>
  <si>
    <t>[0.018, 0.024, 0.033, 0.039, 0.512, 0.021]</t>
  </si>
  <si>
    <t>166.28935150638975</t>
  </si>
  <si>
    <t>7.824378569370895</t>
  </si>
  <si>
    <t>[-0.021, 0.012, 0.042]</t>
  </si>
  <si>
    <t>LINESTRING (19.55490861886213 69.21910171941751, 19.555439009957368 69.21915850803562, 19.556080065107963 69.2192738542358, 19.55615411203439 69.21929593265783)</t>
  </si>
  <si>
    <t>[1079964, 1079972, 1079980]</t>
  </si>
  <si>
    <t>[1025051, 1025057, 1016951]</t>
  </si>
  <si>
    <t>0.0007677241819553302</t>
  </si>
  <si>
    <t>[644771, 1025051, 1025057]</t>
  </si>
  <si>
    <t>[0.021, 0.012, 0.042]</t>
  </si>
  <si>
    <t>54.24088290175233</t>
  </si>
  <si>
    <t>[0.014, 0.023, 0.029, 0.034, 0.037, -0.356, 0.016]</t>
  </si>
  <si>
    <t>LINESTRING (19.555050412262343 69.21764880614998, 19.555462073426675 69.21826456023545, 19.555304062562936 69.21869393338478, 19.555215448855993 69.21882662200744, 19.555152660238843 69.21889102803556, 19.554962952158377 69.21905818553489, 19.554954174044877 69.21906545631884, 19.55490861886213 69.21910171941751)</t>
  </si>
  <si>
    <t>[1079916, 1079924, 1079932, 1079940, 1079948, 1079956, 652721]</t>
  </si>
  <si>
    <t>[1025002, 1025013, 1025022, 1025031, 1025038, 644822, 644771]</t>
  </si>
  <si>
    <t>0.01971810618396771</t>
  </si>
  <si>
    <t>[1016914, 1025002, 1025013, 1025022, 1025031, 1025038, 644822]</t>
  </si>
  <si>
    <t>[0.014, 0.023, 0.029, 0.034, 0.037, 0.356, 0.016]</t>
  </si>
  <si>
    <t>168.02904043998578</t>
  </si>
  <si>
    <t>[0.021, 0.248, 0.191, 0.102]</t>
  </si>
  <si>
    <t>LINESTRING (19.554809979045945 69.21916248895988, 19.554729140667348 69.21921302526697, 19.554674308725744 69.21924271975875, 19.553328684651216 69.21973955095834, 19.55123717847544 69.22001725625746)</t>
  </si>
  <si>
    <t>[652697, 1080244, 1080252, 1080260]</t>
  </si>
  <si>
    <t>[644796, 1025305, 1025312, 1011342]</t>
  </si>
  <si>
    <t>0.14103237508893582</t>
  </si>
  <si>
    <t>[644779, 644796, 1025305, 1025312]</t>
  </si>
  <si>
    <t>177.47439082298843</t>
  </si>
  <si>
    <t>[-0.005, 0.032]</t>
  </si>
  <si>
    <t>LINESTRING (19.554809979045945 69.21916248895988, 19.556055327351995 69.21929591219532, 19.55615411203439 69.21929593265783)</t>
  </si>
  <si>
    <t>[1069838, 1069846]</t>
  </si>
  <si>
    <t>[1016944, 1016951]</t>
  </si>
  <si>
    <t>[644779, 1016944]</t>
  </si>
  <si>
    <t>[0.005, 0.032]</t>
  </si>
  <si>
    <t>55.51818228322973</t>
  </si>
  <si>
    <t>[0.015, 0.019]</t>
  </si>
  <si>
    <t>LINESTRING (6.327761277080666 62.4139721926489, 6.3279967806635105 62.41436706431817, 6.3281737157515785 62.414518921144)</t>
  </si>
  <si>
    <t>[653090, 653098]</t>
  </si>
  <si>
    <t>[645166, 645174]</t>
  </si>
  <si>
    <t>0.01621924021593394</t>
  </si>
  <si>
    <t>[645165, 645166]</t>
  </si>
  <si>
    <t>66.66415447433303</t>
  </si>
  <si>
    <t>[0.015, 0.051, 0.015]</t>
  </si>
  <si>
    <t>LINESTRING (6.327761277080666 62.4139721926489, 6.328157581553557 62.41432495559199, 6.328165109166048 62.414335158777554, 6.3281737157515785 62.414518921144)</t>
  </si>
  <si>
    <t>[653106, 653114, 653122]</t>
  </si>
  <si>
    <t>[645180, 645190, 645174]</t>
  </si>
  <si>
    <t>0.015633177668796277</t>
  </si>
  <si>
    <t>[645165, 645180, 645190]</t>
  </si>
  <si>
    <t>68.4744089518586</t>
  </si>
  <si>
    <t>[-0.085, 0, 0, 0.011]</t>
  </si>
  <si>
    <t>LINESTRING (6.331389752574942 62.37486484495555, 6.3313992750898365 62.37514601969292, 6.330708230192474 62.39083071494797, 6.327614748464862 62.41377158806049, 6.327761277080666 62.4139721926489)</t>
  </si>
  <si>
    <t>[982979, 982987, 982995, 1312364]</t>
  </si>
  <si>
    <t>[943509, 943514, 943521, 645165]</t>
  </si>
  <si>
    <t>[943505, 943509, 943514, 943521]</t>
  </si>
  <si>
    <t>[0.085, inf, inf, 0.011]</t>
  </si>
  <si>
    <t>62.37229526037694</t>
  </si>
  <si>
    <t>[0.046, 0.023, 0.02, 0.023, -0.004, -0.08, 0.017, -0.01, -0.015, -0.017, -0.013, 0.051, 0.043, 0.021, 0.01, 0.021]</t>
  </si>
  <si>
    <t>LINESTRING (6.3281737157515785 62.414518921144, 6.328246103783208 62.41482677331994, 6.32822690679499 62.41493086112937, 6.328173382083655 62.41511521024094, 6.328201373722206 62.41602345640152, 6.328284338684482 62.41692633895355, 6.328145872646975 62.41714958375428, 6.327239924351283 62.41851405856742, 6.326802168081616 62.41917072541143, 6.325821152246626 62.42098456562451, 6.3257873910340034 62.42104920386336, 6.325276748582983 62.421689571487875, 6.325241239778429 62.42172150871026, 6.324508196825445 62.42225272202699, 6.323512956594328 62.422851386202474, 6.3146184771822975 62.42639353188605, 6.314492167835736 62.42649075246236)</t>
  </si>
  <si>
    <t>[1312372, 1312380, 1312388, 1312396, 1312404, 1312412, 1312420, 1312428, 1312436, 1312444, 1312452, 1312460, 1312468, 1312476, 1312484, 1312492]</t>
  </si>
  <si>
    <t>[1220408, 1220416, 1220422, 1220429, 1220435, 1220442, 1220448, 279249, 1220456, 1220465, 1220472, 1220479, 1046601, 1220493, 1220501, 1220506]</t>
  </si>
  <si>
    <t>0.007004960622424421</t>
  </si>
  <si>
    <t>[645174, 1220408, 1220416, 1220422, 1220429, 1220435, 1220442, 1220448, 279249, 1220456, 1220465, 1220472, 1220479, 1046601, 1220493, 1220501]</t>
  </si>
  <si>
    <t>[0.046, 0.023, 0.02, 0.023, 0.004, 0.08, 0.017, 0.01, 0.015, 0.017, 0.013, 0.051, 0.043, 0.021, 0.01, 0.021]</t>
  </si>
  <si>
    <t>1625.2742498586838</t>
  </si>
  <si>
    <t>24.79501127790772</t>
  </si>
  <si>
    <t>6.214764677676691</t>
  </si>
  <si>
    <t>[-0.026, -0.02, 0.002, 0.021, 0.008]</t>
  </si>
  <si>
    <t>LINESTRING (11.00003175404895 59.62102515677231, 11.000086317501221 59.62095473841171, 11.00103296216797 59.62055212056404, 11.005145839860624 59.61841436408399, 11.005240526609626 59.61835396120289, 11.00528734354993 59.61832617109916)</t>
  </si>
  <si>
    <t>[1820486, 653479, 653487, 653495, 653503]</t>
  </si>
  <si>
    <t>[645543, 645544, 645552, 645559, 645567]</t>
  </si>
  <si>
    <t>[1600506, 645543, 645544, 645552, 645559]</t>
  </si>
  <si>
    <t>[0.026, 0.02, 0.002, 0.021, 0.008]</t>
  </si>
  <si>
    <t>425.9932103135705</t>
  </si>
  <si>
    <t>19.767764826015657</t>
  </si>
  <si>
    <t>[-0.039, -0.008, 0.022, 0.062]</t>
  </si>
  <si>
    <t>LINESTRING (11.005920175314959 59.61931555617212, 11.005791686292081 59.61954098199699, 11.005684854993621 59.61954708985745, 11.005542613406842 59.619516388824856, 11.00545385368598 59.619452454839944)</t>
  </si>
  <si>
    <t>[1820424, 1820432, 1820385, 1820386]</t>
  </si>
  <si>
    <t>[1600455, 1600421, 1600422, 645576]</t>
  </si>
  <si>
    <t>[1600416, 1600455, 1600421, 1600422]</t>
  </si>
  <si>
    <t>[0.039, 0.008, 0.022, 0.062]</t>
  </si>
  <si>
    <t>54.27578253006696</t>
  </si>
  <si>
    <t>47.46633233148635</t>
  </si>
  <si>
    <t>[-0.049, -0.047]</t>
  </si>
  <si>
    <t>LINESTRING (11.005617580336708 59.618329237448954, 11.005628982296635 59.61837721694006, 11.005536754855184 59.61858812371291)</t>
  </si>
  <si>
    <t>[1820532, 1820549]</t>
  </si>
  <si>
    <t>[1600536, 645594]</t>
  </si>
  <si>
    <t>[645607, 1600536]</t>
  </si>
  <si>
    <t>[0.049, 0.047]</t>
  </si>
  <si>
    <t>29.45627086916165</t>
  </si>
  <si>
    <t>[-0.047, -0.054]</t>
  </si>
  <si>
    <t>LINESTRING (11.005385893205805 59.61835102579698, 11.005393499095176 59.61839048336457, 11.005536754855184 59.61858812371291)</t>
  </si>
  <si>
    <t>[1820550, 1820552]</t>
  </si>
  <si>
    <t>[1600546, 645594]</t>
  </si>
  <si>
    <t>[645627, 1600546]</t>
  </si>
  <si>
    <t>[0.047, 0.054]</t>
  </si>
  <si>
    <t>27.87882368126273</t>
  </si>
  <si>
    <t>[-0.045, -0.04]</t>
  </si>
  <si>
    <t>LINESTRING (11.005626301162327 59.61901167354762, 11.005795856743429 59.61922516619369, 11.005832246479203 59.61928194568338)</t>
  </si>
  <si>
    <t>[1820518, 1820519]</t>
  </si>
  <si>
    <t>[1600525, 1600436]</t>
  </si>
  <si>
    <t>[645595, 1600525]</t>
  </si>
  <si>
    <t>[0.045, 0.04]</t>
  </si>
  <si>
    <t>32.29515365388674</t>
  </si>
  <si>
    <t>[-0.047, -0.049]</t>
  </si>
  <si>
    <t>LINESTRING (11.005626301162327 59.61901167354762, 11.005566391221006 59.61923478674802, 11.00555801809151 59.6192928164308)</t>
  </si>
  <si>
    <t>[1820525, 1820531]</t>
  </si>
  <si>
    <t>[1600530, 1600423]</t>
  </si>
  <si>
    <t>[645595, 1600530]</t>
  </si>
  <si>
    <t>[0.047, 0.049]</t>
  </si>
  <si>
    <t>31.574138318715555</t>
  </si>
  <si>
    <t>[-0.015, 0.033]</t>
  </si>
  <si>
    <t>LINESTRING (11.005617580336708 59.618329237448954, 11.005496932763347 59.6183556104954, 11.005385893205805 59.61835102579698)</t>
  </si>
  <si>
    <t>[653551, 653559]</t>
  </si>
  <si>
    <t>[645618, 645627]</t>
  </si>
  <si>
    <t>0.007023990695754101</t>
  </si>
  <si>
    <t>[645607, 645618]</t>
  </si>
  <si>
    <t>[0.015, 0.033]</t>
  </si>
  <si>
    <t>13.707393536821588</t>
  </si>
  <si>
    <t>[-0.038, -0.046]</t>
  </si>
  <si>
    <t>LINESTRING (11.005678342481843 59.61813550414368, 11.005729492174053 59.61820007037124, 11.005617580336708 59.618329237448954)</t>
  </si>
  <si>
    <t>[653607, 653543]</t>
  </si>
  <si>
    <t>[645606, 645607]</t>
  </si>
  <si>
    <t>[645664, 645606]</t>
  </si>
  <si>
    <t>[0.038, 0.046]</t>
  </si>
  <si>
    <t>24.036884679519424</t>
  </si>
  <si>
    <t>[0.016, -0.016]</t>
  </si>
  <si>
    <t>LINESTRING (11.005246658495189 59.61812659948579, 11.00533273499833 59.61809218593457, 11.005482611124814 59.61807788027667)</t>
  </si>
  <si>
    <t>[653583, 653591]</t>
  </si>
  <si>
    <t>[645646, 645655]</t>
  </si>
  <si>
    <t>[645639, 645646]</t>
  </si>
  <si>
    <t>14.800241318814578</t>
  </si>
  <si>
    <t>[-0.047, -0.055]</t>
  </si>
  <si>
    <t>LINESTRING (11.005127989259384 59.61788742699654, 11.00519626417783 59.61806195720881, 11.005246658495189 59.61812659948579)</t>
  </si>
  <si>
    <t>[1820830, 1820831]</t>
  </si>
  <si>
    <t>[1600764, 645639]</t>
  </si>
  <si>
    <t>[645797, 1600764]</t>
  </si>
  <si>
    <t>[0.047, 0.055]</t>
  </si>
  <si>
    <t>28.064877771264314</t>
  </si>
  <si>
    <t>13.08881873732937</t>
  </si>
  <si>
    <t>[-0.047, -0.052]</t>
  </si>
  <si>
    <t>LINESTRING (11.005127989259384 59.61788742699654, 11.005397066798395 59.61802006791847, 11.005482611124814 59.61807788027667)</t>
  </si>
  <si>
    <t>[1820821, 1820822]</t>
  </si>
  <si>
    <t>[1600759, 645655]</t>
  </si>
  <si>
    <t>[645797, 1600759]</t>
  </si>
  <si>
    <t>[0.047, 0.052]</t>
  </si>
  <si>
    <t>29.618609063086787</t>
  </si>
  <si>
    <t>[0.0, 0.047, 0.009, -0.022, -0.047, -0.047, -0.055, -0.05]</t>
  </si>
  <si>
    <t>LINESTRING (11.004320932298322 59.61769566667004, 11.004320932298322 59.61769566667004, 11.004212463634135 59.617598917100516, 11.004018202680054 59.61712199284393, 11.004551555776137 59.617344985143355, 11.004650966018174 59.617432107808796, 11.004893483000945 59.61766300511798, 11.004929448821498 59.61769810494538, 11.005127989259384 59.61788742699654)</t>
  </si>
  <si>
    <t>[653711, 653719, 653727, 653735, 653743, 653751, 653759, 653767]</t>
  </si>
  <si>
    <t>[645756, 645763, 645768, 645774, 645778, 645785, 645791, 645797]</t>
  </si>
  <si>
    <t>[645755, 645756, 645763, 645768, 645774, 645778, 645785, 645791]</t>
  </si>
  <si>
    <t>[0.0, 0.047, 0.009, 0.022, 0.047, 0.047, 0.055, 0.05]</t>
  </si>
  <si>
    <t>349.9803434511338</t>
  </si>
  <si>
    <t>175.19158990043147</t>
  </si>
  <si>
    <t>30.148819297468783</t>
  </si>
  <si>
    <t>29.590041165207687</t>
  </si>
  <si>
    <t>33.159102001727035</t>
  </si>
  <si>
    <t>30.134208136238023</t>
  </si>
  <si>
    <t>9.559267754135226</t>
  </si>
  <si>
    <t>[0.054, 0.057]</t>
  </si>
  <si>
    <t>LINESTRING (10.954848759633798 59.62760043868462, 10.954724591012948 59.62763580112071, 10.95454576329188 59.62762389117079)</t>
  </si>
  <si>
    <t>[654016, 653928]</t>
  </si>
  <si>
    <t>[645914, 645915]</t>
  </si>
  <si>
    <t>0.05567617606525113</t>
  </si>
  <si>
    <t>[645978, 645914]</t>
  </si>
  <si>
    <t>18.219667202688797</t>
  </si>
  <si>
    <t>9.611878068815576</t>
  </si>
  <si>
    <t>[-0.026, -0.057, -0.065, -0.051, -0.037, -0.013, 0.0, 0.032]</t>
  </si>
  <si>
    <t>LINESTRING (10.954389961840477 59.62748052872989, 10.954479167421425 59.62739427736558, 10.954628579192734 59.62735948851449, 10.954747132554633 59.62736542693782, 10.954873298010108 59.62740852545015, 10.954917303453234 59.627445506626664, 10.95493108767861 59.62746812173038, 10.95492788880626 59.62753446443574, 10.954848759633798 59.62760043868462)</t>
  </si>
  <si>
    <t>[653952, 653960, 653968, 653976, 653984, 653992, 654000, 654008]</t>
  </si>
  <si>
    <t>[645936, 645943, 645947, 645954, 645963, 645966, 645973, 645978]</t>
  </si>
  <si>
    <t>[645929, 645936, 645943, 645947, 645954, 645963, 645966, 645973]</t>
  </si>
  <si>
    <t>[0.026, 0.057, 0.065, 0.051, 0.037, 0.013, 0.0, 0.032]</t>
  </si>
  <si>
    <t>58.88956107567707</t>
  </si>
  <si>
    <t>9.81829414914911</t>
  </si>
  <si>
    <t>[0.034, 0.089, 0.086, 0.03]</t>
  </si>
  <si>
    <t>LINESTRING (10.956205656564594 59.62955352283286, 10.956363498291838 59.62976410650445, 10.956284581091033 59.62980441967522, 10.956165733496512 59.62982605729781, 10.955942404626953 59.62978778057559)</t>
  </si>
  <si>
    <t>[654096, 654104, 654048, 654056]</t>
  </si>
  <si>
    <t>[646053, 646011, 646012, 646017]</t>
  </si>
  <si>
    <t>0.04584202686934117</t>
  </si>
  <si>
    <t>[646047, 646053, 646011, 646012]</t>
  </si>
  <si>
    <t>56.070884887317774</t>
  </si>
  <si>
    <t>10.984229604413827</t>
  </si>
  <si>
    <t>[-0.079, -0.061]</t>
  </si>
  <si>
    <t>LINESTRING (10.95590184369425 59.62961309631384, 10.95601993649593 59.62955880826224, 10.956205656564594 59.62955352283286)</t>
  </si>
  <si>
    <t>[654080, 654088]</t>
  </si>
  <si>
    <t>[646041, 646047]</t>
  </si>
  <si>
    <t>[646035, 646041]</t>
  </si>
  <si>
    <t>[0.079, 0.061]</t>
  </si>
  <si>
    <t>19.498601776148906</t>
  </si>
  <si>
    <t>6.317287787706306</t>
  </si>
  <si>
    <t>[0.123, 0.01, 0.009, 0.009]</t>
  </si>
  <si>
    <t>LINESTRING (7.17468690473213 62.73666275967553, 7.174959320775077 62.73667879303289, 7.17503131570487 62.736744430301535, 7.175089417353066 62.73685536919174, 7.1750960982995 62.73687571528548)</t>
  </si>
  <si>
    <t>[1826300, 1826308, 1298141, 654793]</t>
  </si>
  <si>
    <t>[1604452, 1210110, 646668, 646653]</t>
  </si>
  <si>
    <t>0.05366194776522607</t>
  </si>
  <si>
    <t>[944789, 1604452, 1210110, 646668]</t>
  </si>
  <si>
    <t>38.08406619677379</t>
  </si>
  <si>
    <t>[0.223, -0.097, 0.012, 0.282, 0.014]</t>
  </si>
  <si>
    <t>LINESTRING (7.17468690473213 62.73666275967553, 7.174770749404237 62.736720614035484, 7.174837207486522 62.73676367713671, 7.174892863418311 62.736852178989146, 7.174900640431299 62.73687195479021, 7.175050518235475 62.73692830211114)</t>
  </si>
  <si>
    <t>[1826316, 1826324, 356038, 654785, 654817]</t>
  </si>
  <si>
    <t>[1604461, 344403, 344404, 646663, 646677]</t>
  </si>
  <si>
    <t>0.0568796703236242</t>
  </si>
  <si>
    <t>[944789, 1604461, 344403, 344404, 646663]</t>
  </si>
  <si>
    <t>[0.223, 0.097, 0.012, 0.282, 0.014]</t>
  </si>
  <si>
    <t>36.09387318057264</t>
  </si>
  <si>
    <t>5.757118463662078</t>
  </si>
  <si>
    <t>[0.0, 0.001, 0.005]</t>
  </si>
  <si>
    <t>LINESTRING (10.749935448308376 59.90890283487519, 10.749935448308376 59.90890283487519, 10.749968709426545 59.908944119863975, 10.749976359258001 59.90898603445817)</t>
  </si>
  <si>
    <t>[756157, 756165, 756173]</t>
  </si>
  <si>
    <t>[736708, 736714, 647963]</t>
  </si>
  <si>
    <t>0.0006106299074072525</t>
  </si>
  <si>
    <t>[736707, 736708, 736714]</t>
  </si>
  <si>
    <t>46.53667863594128</t>
  </si>
  <si>
    <t>[-0.117, -0.009, -0.006, 0.005, 0.007, 0.004, 0.003, 0.001, -0.006, -0.013, -0.016, -0.012, -0.013, -0.015, -0.002, 0.026, -0.006, -0.004, -0.006, -0.006, -0.014, -0.005, 0.001, 0.001, 0.002, 0.002, 0.007, 0.005, -0.01, 0.002, 0.002, 0.001, 0.001, 0.001, -0.001]</t>
  </si>
  <si>
    <t>8711.0</t>
  </si>
  <si>
    <t>LINESTRING (10.761901084703927 59.90696414278306, 10.761901084703927 59.90696414278306, 10.761760406096917 59.90699724251106, 10.761213902385418 59.9071253425673, 10.760930079761236 59.90719862739553, 10.760738921343957 59.90724512515841, 10.760682200222021 59.90725750489001, 10.760617821302048 59.90727377408122, 10.760465285760022 59.90731166073773, 10.759908175304284 59.90744604974181, 10.759693146563041 59.907499437889584, 10.759498912148782 59.907545601034556, 10.759439896843771 59.907560936517875, 10.75938198295551 59.90757479686744, 10.759192501257594 59.90761948522765, 10.757961603947198 59.90791973727282, 10.756660322537353 59.908228400077476, 10.75660234063806 59.90824291345087, 10.756128400877397 59.90835638351424, 10.755844300399986 59.90843068290723, 10.755765671119018 59.90845264957396, 10.75568256575564 59.908473356879554, 10.755477698113527 59.90852473725861, 10.75468924048861 59.908716455782695, 10.753912829609822 59.90890587890488, 10.753698766426615 59.90895758038487, 10.753627301152713 59.90897460674826, 10.75354115435363 59.908995835052785, 10.753296151398327 59.90905328139392, 10.751402632940316 59.90951560362801, 10.75108779299131 59.909594196988024, 10.750570630967275 59.90961911388428, 10.750335901021925 59.909460015711026, 10.750119455884041 59.909241460897576, 10.749960945801186 59.90907691942981, 10.749956301318322 59.909036702408144)</t>
  </si>
  <si>
    <t>[2020567, 756357, 756365, 756373, 756381, 756389, 756397, 756405, 756413, 756421, 756429, 756437, 756445, 756453, 756461, 756469, 756477, 756485, 756493, 756501, 756066, 756067, 756068, 756078, 756089, 756098, 756099, 756100, 756104, 756119, 756127, 756133, 756141, 756149, 656430]</t>
  </si>
  <si>
    <t>[736854, 736855, 736861, 736865, 639221, 736879, 639197, 736891, 736900, 736904, 736196, 736917, 736209, 736927, 736933, 736937, 736944, 736951, 736957, 736627, 736628, 736629, 736630, 736643, 639003, 736658, 638971, 736659, 736662, 736674, 638904, 736686, 736694, 647969, 647964]</t>
  </si>
  <si>
    <t>[366498, 736854, 736855, 736861, 736865, 639221, 736879, 639197, 736891, 736900, 736904, 736196, 736917, 736209, 736927, 736933, 736937, 736944, 736951, 736957, 736627, 736628, 736629, 736630, 736643, 639003, 736658, 638971, 736659, 736662, 736674, 638904, 736686, 736694, 647969]</t>
  </si>
  <si>
    <t>[0.117, 0.009, 0.006, 0.005, 0.007, 0.004, 0.003, 0.001, 0.006, 0.013, 0.016, 0.012, 0.013, 0.015, 0.002, 0.026, 0.006, 0.004, 0.006, 0.006, 0.014, 0.005, 0.001, 0.001, 0.002, 0.002, 0.007, 0.005, 0.01, 0.002, 0.002, 0.001, 0.001, 0.001, 0.001]</t>
  </si>
  <si>
    <t>789.9030937784264</t>
  </si>
  <si>
    <t>LINESTRING (11.884894901677846 60.21108687775226, 11.88564805696249 60.21062082355009, 11.896266850140512 60.20726870391912)</t>
  </si>
  <si>
    <t>[656713, 656716]</t>
  </si>
  <si>
    <t>[648169, 648172]</t>
  </si>
  <si>
    <t>0.014322405883773356</t>
  </si>
  <si>
    <t>[648163, 648169]</t>
  </si>
  <si>
    <t>786.6819386712697</t>
  </si>
  <si>
    <t>[-0.058, -0.017, -0.012]</t>
  </si>
  <si>
    <t>LINESTRING (11.890422801622647 60.20893738146837, 11.890331853534443 60.208940638926286, 11.885292245075036 60.21089754240813, 11.884894901677846 60.21108687775226)</t>
  </si>
  <si>
    <t>[2070042, 2070050, 2070058]</t>
  </si>
  <si>
    <t>[1797438, 1797441, 648163]</t>
  </si>
  <si>
    <t>[1797437, 1797438, 1797441]</t>
  </si>
  <si>
    <t>[0.058, 0.017, 0.012]</t>
  </si>
  <si>
    <t>402.05774366338784</t>
  </si>
  <si>
    <t>[-0.006, -0.011, 0.005, 0.009]</t>
  </si>
  <si>
    <t>LINESTRING (11.896266850140512 60.20726870391912, 11.895743057088206 60.207333892197475, 11.890937149671842 60.2087081023235, 11.890883456424852 60.20875571581044, 11.890843282832007 60.20880051044704)</t>
  </si>
  <si>
    <t>[2070098, 2070106, 2070114, 2070122]</t>
  </si>
  <si>
    <t>[1797474, 1797479, 1797485, 1797491]</t>
  </si>
  <si>
    <t>[648172, 1797474, 1797479, 1797485]</t>
  </si>
  <si>
    <t>[0.006, 0.011, 0.005, 0.009]</t>
  </si>
  <si>
    <t>360.18950743529274</t>
  </si>
  <si>
    <t>[0.287, -0.03, -0.03, -0.388]</t>
  </si>
  <si>
    <t>LINESTRING (10.884146691756984 63.490303615157245, 10.883999563702755 63.49026547556213, 10.883975482211278 63.490211515847726, 10.884057291610706 63.49015513874843, 10.884202836873673 63.490146051441016)</t>
  </si>
  <si>
    <t>[2128275, 2128283, 2128291, 2128299]</t>
  </si>
  <si>
    <t>[1831916, 1831924, 1831930, 648530]</t>
  </si>
  <si>
    <t>[648476, 1831916, 1831924, 1831930]</t>
  </si>
  <si>
    <t>[0.287, 0.03, 0.03, 0.388]</t>
  </si>
  <si>
    <t>29.69703752645999</t>
  </si>
  <si>
    <t>0.338</t>
  </si>
  <si>
    <t>6.950793120247454</t>
  </si>
  <si>
    <t>[-0.037, -0.04, -0.032, -0.038]</t>
  </si>
  <si>
    <t>LINESTRING (10.884063239140694 63.49242860556772, 10.884041947599501 63.49228017484713, 10.884252103374175 63.490549233955385, 10.884155823477796 63.49034003921791, 10.884146691756984 63.490303615157245)</t>
  </si>
  <si>
    <t>[2161140, 657173, 657180, 657188]</t>
  </si>
  <si>
    <t>[648458, 648459, 648468, 648476]</t>
  </si>
  <si>
    <t>[1850595, 648458, 648459, 648468]</t>
  </si>
  <si>
    <t>[0.037, 0.04, 0.032, 0.038]</t>
  </si>
  <si>
    <t>238.42816410043073</t>
  </si>
  <si>
    <t>[0.253, 0.024, 0.029, -0.137]</t>
  </si>
  <si>
    <t>LINESTRING (10.885644898548893 63.4902356719926, 10.885779606282023 63.49027195143135, 10.885806615454888 63.49030881774835, 10.885773102979595 63.49036361001401, 10.885551682822623 63.49038886175806)</t>
  </si>
  <si>
    <t>[2128243, 2128251, 2128259, 2128203]</t>
  </si>
  <si>
    <t>[1831897, 1831904, 1831876, 648521]</t>
  </si>
  <si>
    <t>0.020074195006750433</t>
  </si>
  <si>
    <t>[648519, 1831897, 1831904, 1831876]</t>
  </si>
  <si>
    <t>[0.253, 0.024, 0.029, 0.137]</t>
  </si>
  <si>
    <t>30.582191076451966</t>
  </si>
  <si>
    <t>0.241</t>
  </si>
  <si>
    <t>9.100643601873896</t>
  </si>
  <si>
    <t>[0.017, 0.017, 0.037, 0.045, 0.044]</t>
  </si>
  <si>
    <t>LINESTRING (10.885806558239839 63.48788912552291, 10.885817777070208 63.48804415138239, 10.885584559911926 63.490076662201346, 10.885599909360433 63.4901436555339, 10.885626948252474 63.490199443786416, 10.885644898548893 63.4902356719926)</t>
  </si>
  <si>
    <t>[2161188, 657189, 657216, 657230, 657232]</t>
  </si>
  <si>
    <t>[648477, 648478, 648506, 648517, 648519]</t>
  </si>
  <si>
    <t>0.018674334467681932</t>
  </si>
  <si>
    <t>[1850554, 648477, 648478, 648506, 648517]</t>
  </si>
  <si>
    <t>262.8051154465425</t>
  </si>
  <si>
    <t>0.311</t>
  </si>
  <si>
    <t>5.9047663797814005</t>
  </si>
  <si>
    <t>[0.027, 0.033, 0.039, 0.025]</t>
  </si>
  <si>
    <t>LINESTRING (10.885551682822623 63.49038886175806, 10.88551409678407 63.49042096635819, 10.88533586401469 63.49059974548794, 10.884171811790063 63.4928487304908, 10.884061094300078 63.4929771196854)</t>
  </si>
  <si>
    <t>[657234, 657236, 657242, 2161596]</t>
  </si>
  <si>
    <t>[648522, 648524, 648529, 1850801]</t>
  </si>
  <si>
    <t>0.03768364402701107</t>
  </si>
  <si>
    <t>[648521, 648522, 648524, 648529]</t>
  </si>
  <si>
    <t>299.4184893853931</t>
  </si>
  <si>
    <t>0.393</t>
  </si>
  <si>
    <t>7.034513558269731</t>
  </si>
  <si>
    <t>[-0.056, -0.051, -0.055, -0.017, -0.015]</t>
  </si>
  <si>
    <t>LINESTRING (10.884202836873673 63.490146051441016, 10.884233769185256 63.49011239838429, 10.88429182043422 63.4900608114782, 10.884334199202236 63.490024341809445, 10.885476750163468 63.488022159893596, 10.885609093261538 63.48787314323226)</t>
  </si>
  <si>
    <t>[657243, 657251, 657253, 657255, 2161412]</t>
  </si>
  <si>
    <t>[648531, 648538, 648540, 648541, 1850591]</t>
  </si>
  <si>
    <t>[648530, 648531, 648538, 648540, 648541]</t>
  </si>
  <si>
    <t>[0.056, 0.051, 0.055, 0.017, 0.015]</t>
  </si>
  <si>
    <t>264.2335701346469</t>
  </si>
  <si>
    <t>0.086</t>
  </si>
  <si>
    <t>17.057372800775106</t>
  </si>
  <si>
    <t>[-0.02, -0.015, -0.012, -0.009, 0.053, -0.035, -0.031, -0.019]</t>
  </si>
  <si>
    <t>LINESTRING (10.37358099964915 63.36041966693527, 10.373616774416487 63.36046862324135, 10.373662157855648 63.360555902362314, 10.374532764774077 63.36172739997914, 10.374749524285464 63.361938150717165, 10.375094556995546 63.36231292263607, 10.375302044923247 63.36261064223108, 10.375632925582087 63.363081216297616, 10.376874565361964 63.36500169740073)</t>
  </si>
  <si>
    <t>[657383, 657391, 657395, 657396, 657397, 572436, 572444, 2121474]</t>
  </si>
  <si>
    <t>[648693, 648701, 648707, 648708, 580034, 580035, 580042, 1828019]</t>
  </si>
  <si>
    <t>[648692, 648693, 648701, 648707, 648708, 580034, 580035, 580042]</t>
  </si>
  <si>
    <t>[0.02, 0.015, 0.012, 0.009, 0.053, 0.035, 0.031, 0.019]</t>
  </si>
  <si>
    <t>537.7849231299399</t>
  </si>
  <si>
    <t>[-0.171, -0.012, -0.017, -0.021, -0.017, 0.176]</t>
  </si>
  <si>
    <t>LINESTRING (10.37351132463853 63.36015994334263, 10.373661573393134 63.360179723207686, 10.37373966874409 63.36021176336762, 10.373791585176088 63.360262466791966, 10.373794054490235 63.360318128865735, 10.373719889994234 63.3603829024453, 10.37358099964915 63.36041966693527)</t>
  </si>
  <si>
    <t>[2121338, 2121346, 2121354, 2121282, 2121290, 2121298]</t>
  </si>
  <si>
    <t>[664798, 1827960, 1827925, 1827926, 664843, 648692]</t>
  </si>
  <si>
    <t>[648835, 664798, 1827960, 1827925, 1827926, 664843]</t>
  </si>
  <si>
    <t>[0.171, 0.012, 0.017, 0.021, 0.017, 0.176]</t>
  </si>
  <si>
    <t>41.7549004388587</t>
  </si>
  <si>
    <t>21.490581118480677</t>
  </si>
  <si>
    <t>[0.008, 0.008, 0.004, 0.068, -0.313]</t>
  </si>
  <si>
    <t>LINESTRING (10.371770278843394 63.36033754221913, 10.371771695248801 63.36027742912946, 10.371769668711607 63.360207735192944, 10.370818533332763 63.35635513225477, 10.370885745773574 63.35625792355537, 10.370904960625863 63.35623015000452)</t>
  </si>
  <si>
    <t>[657398, 657413, 657443, 2121498, 2121506]</t>
  </si>
  <si>
    <t>[648710, 648725, 648757, 1828033, 649016]</t>
  </si>
  <si>
    <t>0.0034717226755046522</t>
  </si>
  <si>
    <t>[648709, 648710, 648725, 648757, 1828033]</t>
  </si>
  <si>
    <t>[0.008, 0.008, 0.004, 0.068, 0.313]</t>
  </si>
  <si>
    <t>461.30666473080623</t>
  </si>
  <si>
    <t>[-0.218, 0.315]</t>
  </si>
  <si>
    <t>LINESTRING (10.371981578578936 63.36057577215537, 10.37165394455978 63.36047268610206, 10.371770278843394 63.36033754221913)</t>
  </si>
  <si>
    <t>[2121386, 2121394]</t>
  </si>
  <si>
    <t>[1603328, 648709]</t>
  </si>
  <si>
    <t>0.014771196724088971</t>
  </si>
  <si>
    <t>[649190, 1603328]</t>
  </si>
  <si>
    <t>[0.218, 0.315]</t>
  </si>
  <si>
    <t>38.641311657250114</t>
  </si>
  <si>
    <t>[-0.006, -0.009, -0.022, -0.023, -0.02, -0.025]</t>
  </si>
  <si>
    <t>LINESTRING (10.37137733325397 63.357228540422085, 10.371512986725977 63.35734276344375, 10.37255864338746 63.359247278724105, 10.373391837252353 63.36004184152781, 10.373457660131793 63.36010691694725, 10.373502374619832 63.36015110092292, 10.37351132463853 63.36015994334263)</t>
  </si>
  <si>
    <t>[2121490, 657471, 657489, 657503, 657518, 657526]</t>
  </si>
  <si>
    <t>[648784, 648785, 648800, 648817, 648828, 648835]</t>
  </si>
  <si>
    <t>[648936, 648784, 648785, 648800, 648817, 648828]</t>
  </si>
  <si>
    <t>[0.006, 0.009, 0.022, 0.023, 0.02, 0.025]</t>
  </si>
  <si>
    <t>346.74256944644185</t>
  </si>
  <si>
    <t>19.192568966304115</t>
  </si>
  <si>
    <t>[0.014, 0.008, 0.013, 0.034, 0.025, 0.028]</t>
  </si>
  <si>
    <t>LINESTRING (10.377234915141884 63.36609563701523, 10.374666023121803 63.363275006029966, 10.374139463372966 63.362696884652685, 10.373231959849148 63.36169501497092, 10.372164572184616 63.36069238630039, 10.372059252164046 63.36062148597186, 10.371981578578936 63.36057577215537)</t>
  </si>
  <si>
    <t>[657790, 657808, 657835, 657847, 657851, 657860]</t>
  </si>
  <si>
    <t>[649110, 649131, 649167, 649177, 649182, 649190]</t>
  </si>
  <si>
    <t>0.01718604666893515</t>
  </si>
  <si>
    <t>[648861, 649110, 649131, 649167, 649177, 649182]</t>
  </si>
  <si>
    <t>669.806525612349</t>
  </si>
  <si>
    <t>LINESTRING (10.37786366210564 63.36665882237897, 10.377656894796482 63.36657490633119, 10.377234915141884 63.36609563701523)</t>
  </si>
  <si>
    <t>[657690, 657787]</t>
  </si>
  <si>
    <t>[649005, 648861]</t>
  </si>
  <si>
    <t>0.01343707281999188</t>
  </si>
  <si>
    <t>[649004, 649005]</t>
  </si>
  <si>
    <t>71.40978242586087</t>
  </si>
  <si>
    <t>[-0.007, -0.016, -0.017, -0.023, -0.01, -0.007, -0.014, -0.015]</t>
  </si>
  <si>
    <t>[0, 0, 1, 0, 0, 1, 0, 0]</t>
  </si>
  <si>
    <t>LINESTRING (10.37137733325397 63.357228540422085, 10.372193652587352 63.35923864112068, 10.372680401026932 63.36008124907733, 10.372993890392237 63.360600283662585, 10.373758900580192 63.361767412734785, 10.374504321892902 63.362629274569265, 10.375030502791782 63.36320704943457, 10.378097986344676 63.36662371014317, 10.378327603393137 63.36693814795122)</t>
  </si>
  <si>
    <t>[657639, 657642, 657654, 657662, 657673, 657674, 657675, 657679]</t>
  </si>
  <si>
    <t>[648945, 648948, 648959, 648969, 648985, 648986, 648987, 648992]</t>
  </si>
  <si>
    <t>[648936, 648945, 648948, 648959, 648969, 648985, 648986, 648987]</t>
  </si>
  <si>
    <t>[0.007, 0.016, 0.017, 0.023, 0.01, 0.007, 0.014, 0.015]</t>
  </si>
  <si>
    <t>1140.9436227589172</t>
  </si>
  <si>
    <t>[-0.004, 0.002, -1.674, 0.004, 0.007, 0.006]</t>
  </si>
  <si>
    <t>LINESTRING (10.370473000670211 63.349664343363266, 10.371037750976035 63.35510225026754, 10.371049168442747 63.355214558717314, 10.371050235360972 63.35522496162792, 10.371163899051513 63.35622138935602, 10.37118939499678 63.35638315484654, 10.37137733325397 63.357228540422085)</t>
  </si>
  <si>
    <t>[1109952, 1109960, 1109968, 657618, 657631, 657632]</t>
  </si>
  <si>
    <t>[1050187, 1050191, 648926, 648927, 648935, 648936]</t>
  </si>
  <si>
    <t>[1050182, 1050187, 1050191, 648926, 648927, 648935]</t>
  </si>
  <si>
    <t>[0.004, 0.002, 1.674, 0.004, 0.007, 0.006]</t>
  </si>
  <si>
    <t>844.7090334646232</t>
  </si>
  <si>
    <t>[-0.019, 0.057]</t>
  </si>
  <si>
    <t>LINESTRING (10.376874565361964 63.36500169740073, 10.378341296706392 63.36680082048341, 10.378327603393137 63.36693814795122)</t>
  </si>
  <si>
    <t>[2121482, 2121514]</t>
  </si>
  <si>
    <t>[1828026, 648992]</t>
  </si>
  <si>
    <t>[1828019, 1828026]</t>
  </si>
  <si>
    <t>[0.019, 0.057]</t>
  </si>
  <si>
    <t>229.05029788875183</t>
  </si>
  <si>
    <t>[0.004, 0.006, -0.006, -0.016, -0.017, -0.026, -0.011, -0.007, -0.014, -0.018]</t>
  </si>
  <si>
    <t>[0, 0, 0, 0, 1, 0, 0, 1, 0, 0]</t>
  </si>
  <si>
    <t>LINESTRING (10.370904960625863 63.35623015000452, 10.370930644102225 63.35639273098711, 10.371119510846107 63.357242373687264, 10.371940299647983 63.35926427563834, 10.372429810503501 63.36011182126246, 10.372743529631018 63.360631268621056, 10.373517134658057 63.361810260567104, 10.374264582778986 63.36267330467781, 10.374791061570024 63.363251692685125, 10.377783499666855 63.36655400587678, 10.37786366210564 63.36665882237897)</t>
  </si>
  <si>
    <t>[657702, 657708, 657716, 657717, 657724, 657725, 657732, 657748, 657768, 657777]</t>
  </si>
  <si>
    <t>[649017, 649024, 649035, 649036, 649042, 649043, 649048, 649064, 649084, 649004]</t>
  </si>
  <si>
    <t>[649016, 649017, 649024, 649035, 649036, 649042, 649043, 649048, 649064, 649084]</t>
  </si>
  <si>
    <t>[0.004, 0.006, 0.006, 0.016, 0.017, 0.026, 0.011, 0.007, 0.014, 0.018]</t>
  </si>
  <si>
    <t>1220.0693096265918</t>
  </si>
  <si>
    <t>[-0.008, -0.006, -0.004, 0.0, 0.001, -0.008]</t>
  </si>
  <si>
    <t>LINESTRING (10.370200125144347 63.34955247368594, 10.370200942364 63.3495589568029, 10.370214475385438 63.349679229593576, 10.370781692436594 63.35514041927158, 10.370790440619468 63.35522492642973, 10.370791280873316 63.355232759143284, 10.370904960625863 63.35623015000452)</t>
  </si>
  <si>
    <t>[1109720, 1109728, 1109736, 1109744, 1109752, 2121418]</t>
  </si>
  <si>
    <t>[1050047, 1050053, 1050059, 1050065, 1050070, 649016]</t>
  </si>
  <si>
    <t>[1050042, 1050047, 1050053, 1050059, 1050065, 1050070]</t>
  </si>
  <si>
    <t>[0.008, 0.006, 0.004, 0.0, 0.001, 0.008]</t>
  </si>
  <si>
    <t>745.3701284229215</t>
  </si>
  <si>
    <t>0.271</t>
  </si>
  <si>
    <t>17.177935190711473</t>
  </si>
  <si>
    <t>4.156368607769471</t>
  </si>
  <si>
    <t>[-0.027, 0.005]</t>
  </si>
  <si>
    <t>LINESTRING (10.358916338038952 63.33333650309009, 10.358858317658711 63.3332819154081, 10.358870423580742 63.33321063984473)</t>
  </si>
  <si>
    <t>[660371, 660379]</t>
  </si>
  <si>
    <t>[651539, 651465]</t>
  </si>
  <si>
    <t>[651532, 651539]</t>
  </si>
  <si>
    <t>[0.027, 0.005]</t>
  </si>
  <si>
    <t>14.715069434105562</t>
  </si>
  <si>
    <t>17.907930293684984</t>
  </si>
  <si>
    <t>[-0.152, 0.036, -0.064, -0.079, -0.028, 0.024, 0.01, 0.023, 0.01]</t>
  </si>
  <si>
    <t>LINESTRING (10.35891070085139 63.33317805125468, 10.35890608948622 63.333122327244446, 10.358842397094604 63.33299726921464, 10.357975372216622 63.33285385869296, 10.357903196759112 63.332861801500194, 10.356854083861714 63.33348133323005, 10.356857805342498 63.33349013239301, 10.357190806239688 63.33399136428405, 10.358630350548768 63.335484840451684, 10.358705341502693 63.335630176206685)</t>
  </si>
  <si>
    <t>[2093616, 2093617, 572396, 572404, 572412, 572420, 572428, 1256983, 682496]</t>
  </si>
  <si>
    <t>[1811728, 579996, 579997, 580008, 580016, 580026, 580031, 673640, 673499]</t>
  </si>
  <si>
    <t>[651466, 1811728, 579996, 579997, 580008, 580016, 580026, 580031, 673640]</t>
  </si>
  <si>
    <t>[0.152, 0.036, 0.064, 0.079, 0.028, 0.024, 0.01, 0.023, 0.01]</t>
  </si>
  <si>
    <t>429.254176720354</t>
  </si>
  <si>
    <t>[0.05, 0.032, -0.008, -0.03, -0.053, -0.063, -0.051]</t>
  </si>
  <si>
    <t>LINESTRING (10.359236842515099 63.33313598787063, 10.359340564939062 63.333166526560234, 10.359415244221337 63.333229480566864, 10.35940412353257 63.33329961923645, 10.359350560902607 63.33334013788816, 10.35921936888892 63.33337812581225, 10.359049596336948 63.33337744704422, 10.358916338038952 63.33333650309009)</t>
  </si>
  <si>
    <t>[660315, 660323, 660331, 660339, 660347, 660355, 660363]</t>
  </si>
  <si>
    <t>[651486, 651497, 651503, 651400, 651516, 651524, 651532]</t>
  </si>
  <si>
    <t>[651476, 651486, 651497, 651503, 651400, 651516, 651524]</t>
  </si>
  <si>
    <t>[0.05, 0.032, 0.008, 0.03, 0.053, 0.063, 0.051]</t>
  </si>
  <si>
    <t>51.678092439456826</t>
  </si>
  <si>
    <t>[0.039, 0.068, 0.078, 0.076, 0.062, -0.011, 0.243]</t>
  </si>
  <si>
    <t>LINESTRING (10.355201219580357 63.331952511386945, 10.357452161074733 63.33287608441121, 10.357892822499101 63.33281427049953, 10.357960684128376 63.332808507096104, 10.35813887661025 63.332795433491896, 10.35897876310633 63.33297209381009, 10.35916679750028 63.33310259031368, 10.359236842515099 63.33313598787063)</t>
  </si>
  <si>
    <t>[682160, 572356, 572364, 572372, 572380, 2093620, 2093628]</t>
  </si>
  <si>
    <t>[579953, 579954, 579963, 579972, 579980, 1811730, 651476]</t>
  </si>
  <si>
    <t>0.04779189618239039</t>
  </si>
  <si>
    <t>[673244, 579953, 579954, 579963, 579972, 579980, 1811730]</t>
  </si>
  <si>
    <t>[0.039, 0.068, 0.078, 0.076, 0.062, 0.011, 0.243]</t>
  </si>
  <si>
    <t>277.3867670733819</t>
  </si>
  <si>
    <t>[-0.07, 0.038, -0.006, 0.061, 0.044, 0.04]</t>
  </si>
  <si>
    <t>LINESTRING (5.267794890926534 60.54231345912044, 5.267745301116806 60.542346178586655, 5.265553198668779 60.54228550167613, 5.265157542655626 60.542434065201896, 5.2649860790070315 60.54222549769764, 5.263511099497967 60.541850167510084, 5.263387662076978 60.541769704619576)</t>
  </si>
  <si>
    <t>[660751, 660703, 660711, 660719, 660727, 660743]</t>
  </si>
  <si>
    <t>[651875, 651876, 651882, 651889, 651892, 651903]</t>
  </si>
  <si>
    <t>0.036021445520151</t>
  </si>
  <si>
    <t>[651911, 651875, 651876, 651882, 651889, 651892]</t>
  </si>
  <si>
    <t>[0.07, 0.038, 0.006, 0.061, 0.044, 0.04]</t>
  </si>
  <si>
    <t>281.8692329558795</t>
  </si>
  <si>
    <t>[0.034, 0.043, 0.318, 0.032, 0.008]</t>
  </si>
  <si>
    <t>LINESTRING (5.257958594339333 60.533502185874, 5.258571166466854 60.5342186865103, 5.2589223944072705 60.53466309035469, 5.258954618017844 60.53473602785534, 5.261424163289194 60.540532429742115, 5.263387662076978 60.541769704619576)</t>
  </si>
  <si>
    <t>[1412263, 1412271, 1822815, 1822829, 1822834]</t>
  </si>
  <si>
    <t>[1291278, 1291283, 1602248, 1602256, 651903]</t>
  </si>
  <si>
    <t>0.030891760402390125</t>
  </si>
  <si>
    <t>[1291241, 1291278, 1291283, 1602248, 1602256]</t>
  </si>
  <si>
    <t>1013.1074454816676</t>
  </si>
  <si>
    <t>[-0.067, -0.11]</t>
  </si>
  <si>
    <t>LINESTRING (5.267794890926534 60.54231345912044, 5.267982190288263 60.54232537355782, 5.2683372030530515 60.54233353963284)</t>
  </si>
  <si>
    <t>[1822913, 1822933]</t>
  </si>
  <si>
    <t>[1602297, 1602247]</t>
  </si>
  <si>
    <t>[651911, 1602297]</t>
  </si>
  <si>
    <t>[0.067, 0.11]</t>
  </si>
  <si>
    <t>30.323850606101722</t>
  </si>
  <si>
    <t>31.684974528608993</t>
  </si>
  <si>
    <t>[-0.012, -0.001]</t>
  </si>
  <si>
    <t>LINESTRING (10.355218608618427 63.333707836361974, 10.355075962478207 63.333779393720306, 10.354888718640122 63.333792707874004)</t>
  </si>
  <si>
    <t>[661189, 661197]</t>
  </si>
  <si>
    <t>[652395, 652355]</t>
  </si>
  <si>
    <t>[652390, 652395]</t>
  </si>
  <si>
    <t>[0.012, 0.001]</t>
  </si>
  <si>
    <t>20.2105803979508</t>
  </si>
  <si>
    <t>[0.015, 0.016, 0.024, 0.015, 0.014, 0.012]</t>
  </si>
  <si>
    <t>LINESTRING (10.355783301591543 63.33457474992995, 10.355852433676107 63.33452089187775, 10.355880001288073 63.33442815204523, 10.355878556246163 63.33442111771156, 10.35584227132489 63.334348812102434, 10.355037937316597 63.33383516564299, 10.354888718640122 63.333792707874004)</t>
  </si>
  <si>
    <t>[661549, 661557, 661567, 661575, 661580, 661588]</t>
  </si>
  <si>
    <t>[652709, 652718, 652727, 652735, 652742, 652355]</t>
  </si>
  <si>
    <t>0.014248257942681957</t>
  </si>
  <si>
    <t>[652431, 652709, 652718, 652727, 652735, 652742]</t>
  </si>
  <si>
    <t>105.68886472515754</t>
  </si>
  <si>
    <t>24.808183889080176</t>
  </si>
  <si>
    <t>[0.018, -0.04, 0.014]</t>
  </si>
  <si>
    <t>LINESTRING (10.354716027807038 63.33356981316176, 10.354745807508833 63.333508106958384, 10.353263023960656 63.33077723690466, 10.353252682308888 63.33069389809681)</t>
  </si>
  <si>
    <t>[661342, 661350, 682464]</t>
  </si>
  <si>
    <t>[652527, 652534, 673409]</t>
  </si>
  <si>
    <t>[652356, 652527, 652534]</t>
  </si>
  <si>
    <t>[0.018, 0.04, 0.014]</t>
  </si>
  <si>
    <t>334.8713567496417</t>
  </si>
  <si>
    <t>LINESTRING (10.355158753113752 63.33356915193742, 10.355230603933018 63.33362850896119, 10.355230172238915 63.33369063326329)</t>
  </si>
  <si>
    <t>[661165, 661173]</t>
  </si>
  <si>
    <t>[652373, 652383]</t>
  </si>
  <si>
    <t>[652365, 652373]</t>
  </si>
  <si>
    <t>14.460607891567715</t>
  </si>
  <si>
    <t>[-0.006, -0.001, -0.001]</t>
  </si>
  <si>
    <t>LINESTRING (10.355158753113752 63.33356915193742, 10.355277618086006 63.3335764204778, 10.355537450228631 63.33356846864805, 10.355902146654225 63.33356031343141)</t>
  </si>
  <si>
    <t>[661382, 661390, 661398]</t>
  </si>
  <si>
    <t>[652564, 652571, 652520]</t>
  </si>
  <si>
    <t>[652365, 652564, 652571]</t>
  </si>
  <si>
    <t>[0.006, 0.001, 0.001]</t>
  </si>
  <si>
    <t>37.5838265034077</t>
  </si>
  <si>
    <t>2.0036831087531692</t>
  </si>
  <si>
    <t>[0.007, 0.006, 0.003]</t>
  </si>
  <si>
    <t>LINESTRING (10.355230172238915 63.33369063326329, 10.355313495211231 63.333669072074954, 10.355585206010362 63.33361471958473, 10.355902146654225 63.33356031343141)</t>
  </si>
  <si>
    <t>[661358, 661366, 661374]</t>
  </si>
  <si>
    <t>[652542, 652551, 652520]</t>
  </si>
  <si>
    <t>0.004742313487282338</t>
  </si>
  <si>
    <t>[652383, 652542, 652551]</t>
  </si>
  <si>
    <t>36.72005175092219</t>
  </si>
  <si>
    <t>[0.012, 0.016, 0.014, 0.016, 0.014, 0.014, 0.018, 0.017]</t>
  </si>
  <si>
    <t>LINESTRING (10.356130616665997 63.33460118754487, 10.356061664805896 63.33452707899437, 10.356019310977326 63.33444130250206, 10.356008844454934 63.334409100550054, 10.355986044580316 63.334362324037876, 10.355958278378795 63.334320897924506, 10.35531332615828 63.33381627427649, 10.355256972126051 63.333760201629836, 10.355218608618427 63.333707836361974)</t>
  </si>
  <si>
    <t>[661478, 661486, 661494, 661502, 661510, 661518, 661526, 661541]</t>
  </si>
  <si>
    <t>[652651, 652658, 652667, 652674, 652679, 652686, 652693, 652390]</t>
  </si>
  <si>
    <t>0.014524813752700982</t>
  </si>
  <si>
    <t>[652440, 652651, 652658, 652667, 652674, 652679, 652686, 652693]</t>
  </si>
  <si>
    <t>110.97119131154409</t>
  </si>
  <si>
    <t>LINESTRING (10.355783301591543 63.33457474992995, 10.355952262621527 63.33456191716348, 10.356130616665997 63.33460118754487)</t>
  </si>
  <si>
    <t>[661230, 661238]</t>
  </si>
  <si>
    <t>[652432, 652440]</t>
  </si>
  <si>
    <t>0.0001685018215101116</t>
  </si>
  <si>
    <t>[652431, 652432]</t>
  </si>
  <si>
    <t>18.537319247312343</t>
  </si>
  <si>
    <t>[-0.015, -0.008, 0.005, 0.013, 0.016, 0.016, 0.016]</t>
  </si>
  <si>
    <t>LINESTRING (10.356182187246718 63.334757631137464, 10.356082294322773 63.334807428440875, 10.355841651417474 63.33482547667203, 10.35567803829235 63.33477670515658, 10.355640531355002 63.33474751476656, 10.35562435932305 63.334666773821596, 10.35569392402268 63.33460528630007, 10.355783301591543 63.33457474992995)</t>
  </si>
  <si>
    <t>[661254, 661262, 661270, 661278, 661286, 661294, 661302]</t>
  </si>
  <si>
    <t>[652452, 652458, 652465, 652468, 652473, 652476, 652431]</t>
  </si>
  <si>
    <t>0.004355580697630109</t>
  </si>
  <si>
    <t>[652447, 652452, 652458, 652465, 652468, 652473, 652476]</t>
  </si>
  <si>
    <t>[0.015, 0.008, 0.005, 0.013, 0.016, 0.016, 0.016]</t>
  </si>
  <si>
    <t>55.92641889561742</t>
  </si>
  <si>
    <t>18.541905840808976</t>
  </si>
  <si>
    <t>[-0.205, -0.017, -0.007, -0.012]</t>
  </si>
  <si>
    <t>LINESTRING (10.361250621150235 63.33833588188892, 10.36112070226509 63.33828524764271, 10.356444976696206 63.33472003559813, 10.356303614629345 63.334733085805176, 10.356182187246718 63.334757631137464)</t>
  </si>
  <si>
    <t>[1340984, 661310, 661318, 661326]</t>
  </si>
  <si>
    <t>[652493, 652494, 652502, 652447]</t>
  </si>
  <si>
    <t>[673434, 652493, 652494, 652502]</t>
  </si>
  <si>
    <t>[0.205, 0.017, 0.007, 0.012]</t>
  </si>
  <si>
    <t>495.2330623462454</t>
  </si>
  <si>
    <t>[-0.076, -0.08]</t>
  </si>
  <si>
    <t>LINESTRING (28.191784155311876 70.19806922404503, 28.19230922940745 70.19819685942906, 28.192435019840435 70.19821546809578)</t>
  </si>
  <si>
    <t>[663097, 663105]</t>
  </si>
  <si>
    <t>[654103, 654112]</t>
  </si>
  <si>
    <t>[654095, 654103]</t>
  </si>
  <si>
    <t>[0.076, 0.08]</t>
  </si>
  <si>
    <t>29.705804895346528</t>
  </si>
  <si>
    <t>[-0.052, -0.042]</t>
  </si>
  <si>
    <t>LINESTRING (28.191784155311876 70.19806922404503, 28.192040154396455 70.19827264080321, 28.192071064942642 70.19831683697387)</t>
  </si>
  <si>
    <t>[663113, 663121]</t>
  </si>
  <si>
    <t>[654119, 654127]</t>
  </si>
  <si>
    <t>[654095, 654119]</t>
  </si>
  <si>
    <t>[0.052, 0.042]</t>
  </si>
  <si>
    <t>29.81830358101606</t>
  </si>
  <si>
    <t>LINESTRING (27.986601220972663 70.08572536798974, 28.191784155311876 70.19806922404503)</t>
  </si>
  <si>
    <t>13078.160710764614</t>
  </si>
  <si>
    <t>0.071</t>
  </si>
  <si>
    <t>20.063306848856826</t>
  </si>
  <si>
    <t>[-0.026, -0.059]</t>
  </si>
  <si>
    <t>LINESTRING (28.192071064942642 70.19831683697387, 28.19221528202065 70.19824920125606, 28.192435019840435 70.19821546809578)</t>
  </si>
  <si>
    <t>[663306, 663318]</t>
  </si>
  <si>
    <t>[654291, 654112]</t>
  </si>
  <si>
    <t>[654127, 654291]</t>
  </si>
  <si>
    <t>18.482530772277716</t>
  </si>
  <si>
    <t>[0.052, 0.074, 0.053, 0.019]</t>
  </si>
  <si>
    <t>LINESTRING (28.192924776067564 70.19844736366339, 28.19240809459663 70.1985277443786, 28.19217176487293 70.19848242855313, 28.192057052446152 70.19841318815217, 28.192071064942642 70.19831683697387)</t>
  </si>
  <si>
    <t>[663276, 663287, 663295, 663305]</t>
  </si>
  <si>
    <t>[654264, 654274, 654282, 654127]</t>
  </si>
  <si>
    <t>0.049710796243548835</t>
  </si>
  <si>
    <t>[654178, 654264, 654274, 654282]</t>
  </si>
  <si>
    <t>52.720167517964015</t>
  </si>
  <si>
    <t>[-0.073, -0.077, -0.072, 0.064, 0.201, 0.172]</t>
  </si>
  <si>
    <t>LINESTRING (28.19290059939313 70.19828401497205, 28.193024221046947 70.19830177841061, 28.193376620228733 70.19832834318143, 28.195301299011255 70.19830278395222, 28.202140536385848 70.19818893744984, 28.202942486016916 70.19813945445674, 28.203062284634438 70.19811565773118)</t>
  </si>
  <si>
    <t>[663129, 663137, 663152, 663158, 663166, 663176]</t>
  </si>
  <si>
    <t>[654133, 654140, 654154, 654158, 654166, 654177]</t>
  </si>
  <si>
    <t>0.04411026447613985</t>
  </si>
  <si>
    <t>[654132, 654133, 654140, 654154, 654158, 654166]</t>
  </si>
  <si>
    <t>[0.073, 0.077, 0.072, 0.064, 0.201, 0.172]</t>
  </si>
  <si>
    <t>387.97595086549046</t>
  </si>
  <si>
    <t>[-0.041, -0.002]</t>
  </si>
  <si>
    <t>LINESTRING (28.19290059939313 70.19828401497205, 28.192978992713222 70.19836466800813, 28.192924776067564 70.19844736366339)</t>
  </si>
  <si>
    <t>[663241, 663256]</t>
  </si>
  <si>
    <t>[654239, 654178]</t>
  </si>
  <si>
    <t>[654132, 654239]</t>
  </si>
  <si>
    <t>[0.041, 0.002]</t>
  </si>
  <si>
    <t>18.97429503282739</t>
  </si>
  <si>
    <t>0.141</t>
  </si>
  <si>
    <t>13.247384805455017</t>
  </si>
  <si>
    <t>[-0.081, 0.022]</t>
  </si>
  <si>
    <t>LINESTRING (28.203067087305264 70.19826654409398, 28.203009942079746 70.19819785270636, 28.203062284634438 70.19811565773118)</t>
  </si>
  <si>
    <t>[663378, 663379]</t>
  </si>
  <si>
    <t>[654360, 654177]</t>
  </si>
  <si>
    <t>[654219, 654360]</t>
  </si>
  <si>
    <t>[0.081, 0.022]</t>
  </si>
  <si>
    <t>17.389054512665428</t>
  </si>
  <si>
    <t>[-0.05, -0.065, -0.071, 0.065, 0.209, 0.221]</t>
  </si>
  <si>
    <t>LINESTRING (28.192924776067564 70.19844736366339, 28.193044126527123 70.1984245235895, 28.19338996540244 70.19838621210519, 28.19530795020973 70.19834952676122, 28.20214737358813 70.1982359417597, 28.202953021313835 70.19825310742443, 28.203067087305264 70.19826654409398)</t>
  </si>
  <si>
    <t>[663177, 663184, 663185, 663193, 663211, 663219]</t>
  </si>
  <si>
    <t>[654179, 654185, 654186, 654193, 654212, 654219]</t>
  </si>
  <si>
    <t>0.046505050799415956</t>
  </si>
  <si>
    <t>[654178, 654179, 654185, 654186, 654193, 654212]</t>
  </si>
  <si>
    <t>[0.05, 0.065, 0.071, 0.065, 0.209, 0.221]</t>
  </si>
  <si>
    <t>386.85929333375316</t>
  </si>
  <si>
    <t>[-0.011, -0.203, -0.212, -0.141]</t>
  </si>
  <si>
    <t>LINESTRING (28.203788270918555 70.1980710313548, 28.20365362134319 70.19833745768712, 28.203386327677983 70.19834583395776, 28.203184356217125 70.19831434810615, 28.203067087305264 70.19826654409398)</t>
  </si>
  <si>
    <t>[663350, 663361, 663369, 663370]</t>
  </si>
  <si>
    <t>[654339, 654345, 654353, 654219]</t>
  </si>
  <si>
    <t>[654338, 654339, 654345, 654353]</t>
  </si>
  <si>
    <t>[0.011, 0.203, 0.212, 0.141]</t>
  </si>
  <si>
    <t>61.29139908714613</t>
  </si>
  <si>
    <t>[0.21, 0.199]</t>
  </si>
  <si>
    <t>LINESTRING (28.20332293533936 70.19803984642496, 28.203567588691882 70.19803444610676, 28.203788270918555 70.1980710313548)</t>
  </si>
  <si>
    <t>[663342, 663349]</t>
  </si>
  <si>
    <t>[654326, 654338]</t>
  </si>
  <si>
    <t>0.20449460408087528</t>
  </si>
  <si>
    <t>[654306, 654326]</t>
  </si>
  <si>
    <t>18.61333571737614</t>
  </si>
  <si>
    <t>[0.115, 0.086]</t>
  </si>
  <si>
    <t>LINESTRING (28.20332293533936 70.19803984642496, 28.203413868272868 70.19800365265776, 28.203676192994106 70.19784788090375)</t>
  </si>
  <si>
    <t>[684032, 684040]</t>
  </si>
  <si>
    <t>[675252, 675246]</t>
  </si>
  <si>
    <t>0.09207612460744419</t>
  </si>
  <si>
    <t>[654306, 675252]</t>
  </si>
  <si>
    <t>25.38189725691595</t>
  </si>
  <si>
    <t>[-0.094, -0.048]</t>
  </si>
  <si>
    <t>LINESTRING (28.203788270918555 70.1980710313548, 28.203743183721745 70.19802542463457, 28.203676192994106 70.19784788090375)</t>
  </si>
  <si>
    <t>[684016, 684024]</t>
  </si>
  <si>
    <t>[675240, 675246]</t>
  </si>
  <si>
    <t>[654338, 675240]</t>
  </si>
  <si>
    <t>[0.094, 0.048]</t>
  </si>
  <si>
    <t>25.40135769524141</t>
  </si>
  <si>
    <t>[0.0, -0.001, -0.22, -0.025, -0.028, -0.023, 0.007, -0.024, -0.019, -0.005, 0.007]</t>
  </si>
  <si>
    <t>[0, 0, 1, 0, 0, 0, 0, 0, 0, 0, 0]</t>
  </si>
  <si>
    <t>LINESTRING (10.728653509535208 59.91262534639425, 10.728653509535208 59.91262534639425, 10.728589994914781 59.91259656146515, 10.728385588432728 59.91248742087114, 10.72747051219623 59.912046567666465, 10.72727695024381 59.9119528295594, 10.727071996579399 59.91185398261405, 10.727061341766715 59.91184884405633, 10.726945789038492 59.911793272619086, 10.726837947094937 59.91174248330328, 10.730977911730207 59.91126566448094, 10.731150319622822 59.911313985609844)</t>
  </si>
  <si>
    <t>[664245, 664246, 732837, 732845, 732853, 732861, 732869, 732877, 732885, 732893, 816427]</t>
  </si>
  <si>
    <t>[655076, 655077, 720133, 720137, 720140, 720146, 720150, 720153, 720158, 720161, 794428]</t>
  </si>
  <si>
    <t>[655059, 655076, 655077, 720133, 720137, 720140, 720146, 720150, 720153, 720158, 720161]</t>
  </si>
  <si>
    <t>[0.0, 0.001, 0.22, 0.025, 0.028, 0.023, 0.007, 0.024, 0.019, 0.005, 0.007]</t>
  </si>
  <si>
    <t>936.7364038104312</t>
  </si>
  <si>
    <t>[-0.051, -0.096, -0.05, 0.051, -0.012, -0.078, 0.014]</t>
  </si>
  <si>
    <t>LINESTRING (10.728653509535208 59.91262534639425, 10.728946950889872 59.91264456212174, 10.730121275250523 59.91236579210422, 10.730168191222427 59.91235463564817, 10.731067203098311 59.912152788707864, 10.731147173806656 59.91216654131593, 10.731513203910056 59.912535495308504, 10.731543544064861 59.912589737751674)</t>
  </si>
  <si>
    <t>[664283, 781650, 781658, 781666, 377233, 781674, 781682]</t>
  </si>
  <si>
    <t>[655104, 761761, 761766, 366258, 366259, 761780, 720901]</t>
  </si>
  <si>
    <t>[655059, 655104, 761761, 761766, 366258, 366259, 761780]</t>
  </si>
  <si>
    <t>[0.051, 0.096, 0.05, 0.051, 0.012, 0.078, 0.014]</t>
  </si>
  <si>
    <t>196.5695837456384</t>
  </si>
  <si>
    <t>[-0.013, -0.013, -0.013, -0.004]</t>
  </si>
  <si>
    <t>LINESTRING (30.038197988101967 69.71986167591585, 30.04063206841168 69.71989900637928, 30.040690904583727 69.719901525127, 30.040905044769964 69.71990065143494, 30.041051225480878 69.71989387503774)</t>
  </si>
  <si>
    <t>[664626, 664634, 664635, 664642]</t>
  </si>
  <si>
    <t>[655345, 655353, 655354, 655359]</t>
  </si>
  <si>
    <t>[655251, 655345, 655353, 655354]</t>
  </si>
  <si>
    <t>[0.013, 0.013, 0.013, 0.004]</t>
  </si>
  <si>
    <t>111.4101059241564</t>
  </si>
  <si>
    <t>[-0.015, -0.028, -0.03, -0.036]</t>
  </si>
  <si>
    <t>LINESTRING (30.038197988101967 69.71986167591585, 30.04059018053449 69.71995050793876, 30.04065051045368 69.71995884606044, 30.040851267183154 69.71999896870334, 30.040961852468204 69.72002520193003)</t>
  </si>
  <si>
    <t>[664659, 664675, 664697, 664705]</t>
  </si>
  <si>
    <t>[655374, 655391, 655416, 655421]</t>
  </si>
  <si>
    <t>[655251, 655374, 655391, 655416]</t>
  </si>
  <si>
    <t>[0.015, 0.028, 0.03, 0.036]</t>
  </si>
  <si>
    <t>110.46229713314486</t>
  </si>
  <si>
    <t>[-0.036, -0.011, -0.011, -0.003, -0.043, -0.013, -0.012]</t>
  </si>
  <si>
    <t>LINESTRING (30.027404048759625 69.70846602435265, 30.027650647335086 69.70906780230528, 30.028144116949942 69.70991445061117, 30.028531906392807 69.71058190034948, 30.034303025776804 69.7183994888472, 30.036822806795282 69.71980744505234, 30.037734887323147 69.71985736967854, 30.038197988101967 69.71986167591585)</t>
  </si>
  <si>
    <t>[2095132, 1163748, 1163756, 1163764, 1163772, 664508, 664509]</t>
  </si>
  <si>
    <t>[1097933, 1097934, 1049459, 1097942, 655249, 655250, 655251]</t>
  </si>
  <si>
    <t>[1812596, 1097933, 1097934, 1049459, 1097942, 655249, 655250]</t>
  </si>
  <si>
    <t>[0.036, 0.011, 0.011, 0.003, 0.043, 0.013, 0.012]</t>
  </si>
  <si>
    <t>1404.851968404546</t>
  </si>
  <si>
    <t>[0.117, 0.111, -0.141, -0.093, -0.099, -0.082, -0.004, -0.01, -0.03, -0.033, -0.031, -0.027, -0.038, -0.051, -0.033, -0.033, -0.031, -0.007, -0.002, 0.008, 0.03, 0.016, 0.025, 0.036, -0.003, -0.076, -0.06, -0.06, -0.067, -0.037, -0.029, -0.007, 0.003, 0.004, 0.002, 0.002, -0.006, -0.005]</t>
  </si>
  <si>
    <t>3385.0</t>
  </si>
  <si>
    <t>LINESTRING (30.042200025579227 69.72011882975399, 30.042950687294304 69.7202646611226, 30.04313790956356 69.72029977575556, 30.044002889044744 69.72055976511126, 30.044287300798434 69.72094596043851, 30.044320396225167 69.72101739554469, 30.0441072704614 69.72216469867112, 30.042729472846606 69.72325035111882, 30.041092094625363 69.72503104223273, 30.040798357527375 69.72597555925431, 30.040765035636326 69.72608172172922, 30.040487128867735 69.72650399958351, 30.04009282962968 69.726767621685, 30.03962102726489 69.72705837135926, 30.038710854340195 69.72766033675344, 30.038102786637292 69.72805638190027, 30.037580115064326 69.72840516271503, 30.037615595856078 69.72865056816246, 30.039383337452033 69.72897088295431, 30.044853281114964 69.72914282920058, 30.05635195835962 69.7291338294128, 30.06018792868513 69.72752156908723, 30.06083545729002 69.72723719133657, 30.063848888965467 69.72622847556164, 30.064014293094544 69.72617521425076, 30.064495330484796 69.72602035010084, 30.066880676719485 69.72544904420573, 30.06738549525652 69.72537743924971, 30.06757995075005 69.72535303992866, 30.070460085609604 69.72515042220812, 30.071610962590942 69.72533820065605, 30.072219830062302 69.7255085625137, 30.072539183182535 69.72560388122041, 30.07287976808068 69.72570865124575, 30.075398933815016 69.72714903598022, 30.07519408050104 69.72718761936467, 30.07510518257012 69.72720593744286, 30.073202362566867 69.72789832659316, 30.072544379396785 69.72821960286801)</t>
  </si>
  <si>
    <t>[664555, 664563, 1163780, 1163788, 1163796, 1163804, 1163812, 1163820, 1163828, 1163836, 1163844, 1163852, 1163860, 1163868, 1163876, 1163884, 1163891, 1163901, 1163909, 1163917, 1163925, 1163933, 1163935, 1163936, 1163938, 1163946, 1163954, 1163962, 1163970, 1163978, 1163986, 1163994, 1164002, 1164010, 1164018, 1164026, 1164034, 1164037]</t>
  </si>
  <si>
    <t>[655286, 655291, 970897, 1097959, 1097963, 985170, 985153, 1097979, 1097984, 1008705, 992591, 992590, 982564, 992840, 1098015, 1098022, 984594, 1098034, 984650, 998295, 998285, 1098054, 1098056, 982555, 1098058, 1098066, 1098073, 971015, 1098085, 1098094, 1098100, 960512, 1098111, 970826, 1098122, 1098125, 969403, 1098131]</t>
  </si>
  <si>
    <t>[655285, 655286, 655291, 970897, 1097959, 1097963, 985170, 985153, 1097979, 1097984, 1008705, 992591, 992590, 982564, 992840, 1098015, 1098022, 984594, 1098034, 984650, 998295, 998285, 1098054, 1098056, 982555, 1098058, 1098066, 1098073, 971015, 1098085, 1098094, 1098100, 960512, 1098111, 970826, 1098122, 1098125, 969403]</t>
  </si>
  <si>
    <t>[0.117, 0.111, 0.141, 0.093, 0.099, 0.082, 0.004, 0.01, 0.03, 0.033, 0.031, 0.027, 0.038, 0.051, 0.033, 0.033, 0.031, 0.007, 0.002, 0.008, 0.03, 0.016, 0.025, 0.036, 0.003, 0.076, 0.06, 0.06, 0.067, 0.037, 0.029, 0.007, 0.003, 0.004, 0.002, 0.002, 0.006, 0.005]</t>
  </si>
  <si>
    <t>3017.6802223983614</t>
  </si>
  <si>
    <t>[-0.044, -0.016]</t>
  </si>
  <si>
    <t>LINESTRING (30.041632927136877 69.71994497147581, 30.04173902472643 69.71998033742386, 30.042200025579227 69.72011882975399)</t>
  </si>
  <si>
    <t>[664878, 664884]</t>
  </si>
  <si>
    <t>[655578, 655285]</t>
  </si>
  <si>
    <t>[655460, 655578]</t>
  </si>
  <si>
    <t>[0.044, 0.016]</t>
  </si>
  <si>
    <t>29.401869041833447</t>
  </si>
  <si>
    <t>[-0.015, 0.003]</t>
  </si>
  <si>
    <t>5621.0</t>
  </si>
  <si>
    <t>LINESTRING (30.041527074168 69.72007663468037, 30.041650837951906 69.72007646007397, 30.042200025579227 69.72011882975399)</t>
  </si>
  <si>
    <t>[664876, 664877]</t>
  </si>
  <si>
    <t>[655577, 655285]</t>
  </si>
  <si>
    <t>[655471, 655577]</t>
  </si>
  <si>
    <t>26.658867081348745</t>
  </si>
  <si>
    <t>[0.009, -0.017, -0.031, -0.038]</t>
  </si>
  <si>
    <t>LINESTRING (30.041051225480878 69.71989387503774, 30.041200677109476 69.71986459684236, 30.041408625461443 69.7198664928396, 30.041553613150924 69.71989867013542, 30.041632927136877 69.71994497147581)</t>
  </si>
  <si>
    <t>[664713, 664721, 664733, 664751]</t>
  </si>
  <si>
    <t>[655313, 655438, 655332, 655460]</t>
  </si>
  <si>
    <t>[655359, 655313, 655438, 655332]</t>
  </si>
  <si>
    <t>[0.009, 0.017, 0.031, 0.038]</t>
  </si>
  <si>
    <t>27.46196827046086</t>
  </si>
  <si>
    <t>[0.042, 0.028]</t>
  </si>
  <si>
    <t>LINESTRING (30.040961852468204 69.72002520193003, 30.040952636189985 69.71995149509578, 30.041051225480878 69.71989387503774)</t>
  </si>
  <si>
    <t>[664816, 664823]</t>
  </si>
  <si>
    <t>[655518, 655359]</t>
  </si>
  <si>
    <t>0.035336671426203566</t>
  </si>
  <si>
    <t>[655421, 655518]</t>
  </si>
  <si>
    <t>15.763001926463861</t>
  </si>
  <si>
    <t>[-0.003, 0.017, 0.03, 0.039]</t>
  </si>
  <si>
    <t>LINESTRING (30.041527074168 69.72007663468037, 30.041406688855652 69.72010023999007, 30.041182636428395 69.72009993612656, 30.041062985690793 69.72007631931803, 30.040961852468204 69.72002520193003)</t>
  </si>
  <si>
    <t>[664783, 664790, 664805, 664815]</t>
  </si>
  <si>
    <t>[655490, 655494, 655509, 655421]</t>
  </si>
  <si>
    <t>0.021354990965273307</t>
  </si>
  <si>
    <t>[655471, 655490, 655494, 655509]</t>
  </si>
  <si>
    <t>[0.003, 0.017, 0.03, 0.039]</t>
  </si>
  <si>
    <t>26.36213162561703</t>
  </si>
  <si>
    <t>[-0.044, -0.028]</t>
  </si>
  <si>
    <t>LINESTRING (30.041632927136877 69.71994497147581, 30.04162422446666 69.72002982420915, 30.041527074168 69.72007663468037)</t>
  </si>
  <si>
    <t>[664759, 664763]</t>
  </si>
  <si>
    <t>[655466, 655471]</t>
  </si>
  <si>
    <t>[655460, 655466]</t>
  </si>
  <si>
    <t>[0.044, 0.028]</t>
  </si>
  <si>
    <t>15.96507410797911</t>
  </si>
  <si>
    <t>[0.0, 0.028]</t>
  </si>
  <si>
    <t>LINESTRING (10.814598010888771 59.89878995243002, 10.814598010888771 59.89878995243002, 10.814541247308176 59.89872570214865)</t>
  </si>
  <si>
    <t>[665807, 665889]</t>
  </si>
  <si>
    <t>[656405, 656453]</t>
  </si>
  <si>
    <t>0.0014430434713970576</t>
  </si>
  <si>
    <t>[656404, 656405]</t>
  </si>
  <si>
    <t>152.00012455005916</t>
  </si>
  <si>
    <t>[0.028, 0.024]</t>
  </si>
  <si>
    <t>LINESTRING (10.817386230356503 59.90074582345999, 10.817277548024155 59.90070306805296, 10.816223651855429 59.899978744749525)</t>
  </si>
  <si>
    <t>[665897, 665815]</t>
  </si>
  <si>
    <t>[656409, 656410]</t>
  </si>
  <si>
    <t>0.02428441618855537</t>
  </si>
  <si>
    <t>[656459, 656409]</t>
  </si>
  <si>
    <t>108.68469186583755</t>
  </si>
  <si>
    <t>[0.0, 0.024, -0.028, 0.042, 0.262]</t>
  </si>
  <si>
    <t>LINESTRING (10.819943609799719 59.90622555935826, 10.819943609799719 59.90622555935826, 10.820024942789294 59.90597922725443, 10.820515856587877 59.90480010756874, 10.820298402193584 59.9038339375697, 10.820318230382282 59.90376173773909)</t>
  </si>
  <si>
    <t>[665820, 665827, 727348, 727356, 751602]</t>
  </si>
  <si>
    <t>[656414, 656420, 716607, 716612, 733236]</t>
  </si>
  <si>
    <t>0.012525519969946322</t>
  </si>
  <si>
    <t>[656413, 656414, 656420, 716607, 716612]</t>
  </si>
  <si>
    <t>[0.0, 0.024, 0.028, 0.042, 0.262]</t>
  </si>
  <si>
    <t>290.0261298325329</t>
  </si>
  <si>
    <t>[0.022, 0.004, -0.0]</t>
  </si>
  <si>
    <t>LINESTRING (10.819943609799719 59.90622555935826, 10.820325790064047 59.90609542761943, 10.821384183141749 59.90529083971547, 10.821477357273023 59.90520478413185)</t>
  </si>
  <si>
    <t>[730872, 730880, 730888]</t>
  </si>
  <si>
    <t>[718811, 707362, 718824]</t>
  </si>
  <si>
    <t>0.00680943749418141</t>
  </si>
  <si>
    <t>[656413, 718811, 707362]</t>
  </si>
  <si>
    <t>[0.022, 0.004, 0.0]</t>
  </si>
  <si>
    <t>143.25227624073818</t>
  </si>
  <si>
    <t>[-2.957, -0.027, -0.015, -0.034, -0.033]</t>
  </si>
  <si>
    <t>LINESTRING (10.814541247308176 59.89872570214865, 10.814545378116033 59.8987281443088, 10.815343900997844 59.89924241680427, 10.815966665753663 59.89967930904123, 10.816289841690987 59.899904135070706, 10.817386230356503 59.90074582345999)</t>
  </si>
  <si>
    <t>[779445, 779453, 779461, 779469, 779477]</t>
  </si>
  <si>
    <t>[759572, 759582, 759589, 759594, 656459]</t>
  </si>
  <si>
    <t>[656453, 759572, 759582, 759589, 759594]</t>
  </si>
  <si>
    <t>[2.957, 0.027, 0.015, 0.034, 0.033]</t>
  </si>
  <si>
    <t>275.9617382710628</t>
  </si>
  <si>
    <t>[-0.012, 0.084, -0.011]</t>
  </si>
  <si>
    <t>LINESTRING (10.81044250521518 59.896754550889824, 10.8121417226039 59.89748182372112, 10.812154779135906 59.897487849855395, 10.814541247308176 59.89872570214865)</t>
  </si>
  <si>
    <t>[779421, 779429, 779437]</t>
  </si>
  <si>
    <t>[759547, 759555, 656453]</t>
  </si>
  <si>
    <t>[733170, 759547, 759555]</t>
  </si>
  <si>
    <t>[0.012, 0.084, 0.011]</t>
  </si>
  <si>
    <t>318.13584508325937</t>
  </si>
  <si>
    <t>[-2.664, -0.05, -0.035, -0.019]</t>
  </si>
  <si>
    <t>LINESTRING (10.817386230356503 59.90074582345999, 10.817392935625975 59.90075113465546, 10.819798390400887 59.90303815072199, 10.819850266054987 59.903099275956414, 10.820318230382282 59.90376173773909)</t>
  </si>
  <si>
    <t>[779485, 779493, 779501, 779509]</t>
  </si>
  <si>
    <t>[759609, 759616, 759624, 733236]</t>
  </si>
  <si>
    <t>[656459, 759609, 759616, 759624]</t>
  </si>
  <si>
    <t>[2.664, 0.05, 0.035, 0.019]</t>
  </si>
  <si>
    <t>375.02477623887165</t>
  </si>
  <si>
    <t>14.831394928915248</t>
  </si>
  <si>
    <t>[-0.019, -0.012, 0.46, -0.006]</t>
  </si>
  <si>
    <t>LINESTRING (10.30125393496165 63.32151954814474, 10.301275233996483 63.32147242691406, 10.29699703986888 63.31761553968686, 10.296965266850515 63.31757047782492, 10.296897938141711 63.31748159597494)</t>
  </si>
  <si>
    <t>[665993, 665994, 1225192, 1225193]</t>
  </si>
  <si>
    <t>[656525, 656526, 1148039, 673584]</t>
  </si>
  <si>
    <t>[656524, 656525, 656526, 1148039]</t>
  </si>
  <si>
    <t>[0.019, 0.012, 0.46, 0.006]</t>
  </si>
  <si>
    <t>519.4390611211452</t>
  </si>
  <si>
    <t>[0.009, -0.003, -0.017, -0.025]</t>
  </si>
  <si>
    <t>LINESTRING (10.301254291897656 63.32174879024029, 10.301143435622139 63.32170178378493, 10.301102332426186 63.321645569544735, 10.301118817155972 63.321588738844305, 10.30125393496165 63.32151954814474)</t>
  </si>
  <si>
    <t>[666072, 666081, 666082, 666089]</t>
  </si>
  <si>
    <t>[656587, 656592, 656593, 656524]</t>
  </si>
  <si>
    <t>[656586, 656587, 656592, 656593]</t>
  </si>
  <si>
    <t>[0.009, 0.003, 0.017, 0.025]</t>
  </si>
  <si>
    <t>30.89266978477665</t>
  </si>
  <si>
    <t>[-0.009, 0.006, 0.015, 0.025]</t>
  </si>
  <si>
    <t>LINESTRING (10.301540224271234 63.321522885752294, 10.3016469597582 63.321574791896154, 10.301678639202722 63.32162943580553, 10.30165635888211 63.3216825679449, 10.301550134163364 63.321742640888544)</t>
  </si>
  <si>
    <t>[666127, 666152, 666153, 666170]</t>
  </si>
  <si>
    <t>[656629, 656657, 656658, 656662]</t>
  </si>
  <si>
    <t>0.009428256460818909</t>
  </si>
  <si>
    <t>[656542, 656629, 656657, 656658]</t>
  </si>
  <si>
    <t>[0.009, 0.006, 0.015, 0.025]</t>
  </si>
  <si>
    <t>28.763165023782108</t>
  </si>
  <si>
    <t>[-0.138, -0.001, 0.016, 0.021, 0.009, 0.012, 0.001]</t>
  </si>
  <si>
    <t>LINESTRING (10.296070317218675 63.31656845488024, 10.29626655031789 63.31668525928457, 10.296762707965028 63.317092765792665, 10.297217270022932 63.31745384058228, 10.297633426219805 63.31775384107508, 10.3015241445342 63.3210219062423, 10.30149385131788 63.32146966316163, 10.301540224271234 63.321522885752294)</t>
  </si>
  <si>
    <t>[1225191, 666280, 666288, 666296, 665995, 665996, 666016]</t>
  </si>
  <si>
    <t>[656776, 656777, 656786, 656527, 656528, 656529, 656542]</t>
  </si>
  <si>
    <t>0.00597912189663303</t>
  </si>
  <si>
    <t>[673778, 656776, 656777, 656786, 656527, 656528, 656529]</t>
  </si>
  <si>
    <t>[0.138, 0.001, 0.016, 0.021, 0.009, 0.012, 0.001]</t>
  </si>
  <si>
    <t>668.8773449564806</t>
  </si>
  <si>
    <t>[0.027, 0.024]</t>
  </si>
  <si>
    <t>LINESTRING (10.301550134163364 63.321742640888544, 10.301408435318852 63.321763951952754, 10.301254291897656 63.32174879024029)</t>
  </si>
  <si>
    <t>[666181, 666189]</t>
  </si>
  <si>
    <t>[656673, 656586]</t>
  </si>
  <si>
    <t>0.025459120325407616</t>
  </si>
  <si>
    <t>[656662, 656673]</t>
  </si>
  <si>
    <t>15.399703256219315</t>
  </si>
  <si>
    <t>[-0.008, -0.001, -0.001, 0.002]</t>
  </si>
  <si>
    <t>LINESTRING (10.302236291326386 63.32282610167591, 10.302222431796295 63.322775013886684, 10.301385125492475 63.32187738376983, 10.301302817585881 63.32179128345591, 10.301254291897656 63.32174879024029)</t>
  </si>
  <si>
    <t>[666610, 666618, 666625, 666628]</t>
  </si>
  <si>
    <t>[657096, 657104, 657110, 656586]</t>
  </si>
  <si>
    <t>[656694, 657096, 657104, 657110]</t>
  </si>
  <si>
    <t>[0.008, 0.001, 0.001, 0.002]</t>
  </si>
  <si>
    <t>130.1206177172142</t>
  </si>
  <si>
    <t>[0.652, -0.008, -0.01, -0.592]</t>
  </si>
  <si>
    <t>LINESTRING (10.30250993564514 63.32273792109281, 10.302430355164597 63.32271200244192, 10.301539796538309 63.32186164498619, 10.301541926444816 63.32178284715329, 10.301550134163364 63.321742640888544)</t>
  </si>
  <si>
    <t>[1225105, 1225111, 1225133, 1225147]</t>
  </si>
  <si>
    <t>[1147949, 1147954, 1147981, 656662]</t>
  </si>
  <si>
    <t>[656705, 1147949, 1147954, 1147981]</t>
  </si>
  <si>
    <t>[0.652, 0.008, 0.01, 0.592]</t>
  </si>
  <si>
    <t>124.13365402767005</t>
  </si>
  <si>
    <t>[0.012, -0.001]</t>
  </si>
  <si>
    <t>LINESTRING (10.30240312200286 63.32302082036426, 10.302270468986691 63.32297201629139, 10.302211471702892 63.322907028193136)</t>
  </si>
  <si>
    <t>[666190, 666203]</t>
  </si>
  <si>
    <t>[656682, 656693]</t>
  </si>
  <si>
    <t>0.005803197604100039</t>
  </si>
  <si>
    <t>[656681, 656682]</t>
  </si>
  <si>
    <t>16.41838834650688</t>
  </si>
  <si>
    <t>[0.639, 0.01, 0.004, 0.007]</t>
  </si>
  <si>
    <t>LINESTRING (10.30240312200286 63.32302082036426, 10.302304410580701 63.32302997212521, 10.300784038669782 63.32342610468305, 10.300770544260883 63.323429238277924, 10.299391785261495 63.32365494009186)</t>
  </si>
  <si>
    <t>[1225065, 1225083, 1225084, 1225088]</t>
  </si>
  <si>
    <t>[1147911, 1147930, 1147931, 656745]</t>
  </si>
  <si>
    <t>0.027517368780351544</t>
  </si>
  <si>
    <t>[656681, 1147911, 1147930, 1147931]</t>
  </si>
  <si>
    <t>168.40686178450858</t>
  </si>
  <si>
    <t>[0.004, -0.016, -0.035, -0.028]</t>
  </si>
  <si>
    <t>LINESTRING (10.3028632110558 63.32286397225906, 10.302832668593965 63.32295055535854, 10.302729705519921 63.32300534112834, 10.302564747821195 63.32303308010401, 10.30240312200286 63.32302082036426)</t>
  </si>
  <si>
    <t>[666241, 666243, 666244, 666245]</t>
  </si>
  <si>
    <t>[656731, 656733, 656734, 656681]</t>
  </si>
  <si>
    <t>[656727, 656731, 656733, 656734]</t>
  </si>
  <si>
    <t>[0.004, 0.016, 0.035, 0.028]</t>
  </si>
  <si>
    <t>34.81571322617766</t>
  </si>
  <si>
    <t>9.10848505500461</t>
  </si>
  <si>
    <t>[0.612, 0.01, 0.008]</t>
  </si>
  <si>
    <t>LINESTRING (10.302211471702892 63.322907028193136, 10.30216106757424 63.32294619223186, 10.300727458977493 63.32337853415742, 10.299391785261495 63.32365494009186)</t>
  </si>
  <si>
    <t>[1225038, 1225053, 1225054]</t>
  </si>
  <si>
    <t>[1147890, 1147902, 656745]</t>
  </si>
  <si>
    <t>0.027388327861597606</t>
  </si>
  <si>
    <t>[656693, 1147890, 1147902]</t>
  </si>
  <si>
    <t>166.13459130829352</t>
  </si>
  <si>
    <t>[-0.026, 0.002]</t>
  </si>
  <si>
    <t>LINESTRING (10.302236291326386 63.32282610167591, 10.302344993896913 63.32276557037845, 10.30250993564514 63.32273792109281)</t>
  </si>
  <si>
    <t>[666206, 666218]</t>
  </si>
  <si>
    <t>[656696, 656705]</t>
  </si>
  <si>
    <t>[656694, 656696]</t>
  </si>
  <si>
    <t>[0.026, 0.002]</t>
  </si>
  <si>
    <t>17.498118225652107</t>
  </si>
  <si>
    <t>9.482325664152711</t>
  </si>
  <si>
    <t>15.12352738749862</t>
  </si>
  <si>
    <t>[0.603, -0.005, 0.034, 0.028, 0.048, 0.041, -0.024, -0.029, 0.024, -0.007, 0.009]</t>
  </si>
  <si>
    <t>[0, 0, 0, 0, 0, 1, 0, 0, 0, 0, 0]</t>
  </si>
  <si>
    <t>LINESTRING (10.302694830643867 63.32275589494104, 10.30278219678138 63.32274394036224, 10.303931242231151 63.32237565225091, 10.304688194128394 63.32208290946229, 10.30519145717998 63.321872280464994, 10.306462179992087 63.32145194397388, 10.308627582171683 63.32124861526366, 10.309642152055313 63.3213400996253, 10.310123660163285 63.32142697727702, 10.311055450269473 63.32165957313397, 10.317168285046854 63.32320681572148, 10.317393899675984 63.32331630809959)</t>
  </si>
  <si>
    <t>[1257014, 1257044, 1257052, 666024, 666046, 666048, 666055, 666063, 1257006, 1257013, 682289]</t>
  </si>
  <si>
    <t>[1175063, 1175088, 656548, 656549, 656564, 656567, 656572, 656577, 1175060, 673387, 673388]</t>
  </si>
  <si>
    <t>0.01225602207467045</t>
  </si>
  <si>
    <t>[656715, 1175063, 1175088, 656548, 656549, 656564, 656567, 656572, 656577, 1175060, 673387]</t>
  </si>
  <si>
    <t>[0.603, 0.005, 0.034, 0.028, 0.048, 0.041, 0.024, 0.029, 0.024, 0.007, 0.009]</t>
  </si>
  <si>
    <t>852.0171510189189</t>
  </si>
  <si>
    <t>[0.005, -0.014, 0.003, -0.506]</t>
  </si>
  <si>
    <t>LINESTRING (10.315713369413524 63.32294688218473, 10.315425223301377 63.32290574244043, 10.305105348073981 63.32221331987953, 10.302917240713988 63.32283077307397, 10.3028632110558 63.32286397225906)</t>
  </si>
  <si>
    <t>[1110000, 682257, 682263, 682273]</t>
  </si>
  <si>
    <t>[673355, 673356, 673363, 656727]</t>
  </si>
  <si>
    <t>[1050101, 673355, 673356, 673363]</t>
  </si>
  <si>
    <t>[0.005, 0.014, 0.003, 0.506]</t>
  </si>
  <si>
    <t>693.7403924754744</t>
  </si>
  <si>
    <t>[-0.012, 0.021, 0.033, 0.029, 0.011, -0.009, -0.019, -0.032]</t>
  </si>
  <si>
    <t>LINESTRING (10.286795733061766 63.30290544871571, 10.286634385348618 63.30285912053241, 10.286621465522284 63.30273914748398, 10.286715486842947 63.302697207930336, 10.286848190844566 63.302682720002416, 10.287036424961556 63.30272708806657, 10.287083294724047 63.30277657418727, 10.287074757513409 63.30282872088863, 10.286795733061766 63.30290544871571)</t>
  </si>
  <si>
    <t>[666331, 666337, 666345, 666401, 666304, 666310, 666311, 666318]</t>
  </si>
  <si>
    <t>[656823, 656828, 656836, 656799, 656800, 656804, 656805, 656811]</t>
  </si>
  <si>
    <t>[656811, 656823, 656828, 656836, 656799, 656800, 656804, 656805]</t>
  </si>
  <si>
    <t>[0.012, 0.021, 0.033, 0.029, 0.011, 0.009, 0.019, 0.032]</t>
  </si>
  <si>
    <t>77.30298534490177</t>
  </si>
  <si>
    <t>[-0.007, -0.009, -0.028]</t>
  </si>
  <si>
    <t>LINESTRING (10.288791157871145 63.30580625865236, 10.288662988897253 63.30564859200627, 10.286888187481114 63.302936570773106, 10.286795733061766 63.30290544871571)</t>
  </si>
  <si>
    <t>[1109976, 682520, 682528]</t>
  </si>
  <si>
    <t>[673668, 673669, 656811]</t>
  </si>
  <si>
    <t>[1050156, 673668, 673669]</t>
  </si>
  <si>
    <t>[0.007, 0.009, 0.028]</t>
  </si>
  <si>
    <t>343.01252093156256</t>
  </si>
  <si>
    <t>[0.362, 0.011, 0.022, 0.029, 0.019, 0.028, 0.028, 0.027, 0.052]</t>
  </si>
  <si>
    <t>LINESTRING (13.30267438162446 65.90683628237139, 13.3028519623244 65.90683070702485, 13.303048294145286 65.90684341303532, 13.306242239942126 65.90703212480446, 13.306345384743668 65.90703809084083, 13.30637400450915 65.90703998603067, 13.306588074938077 65.90705413956435, 13.306655884269011 65.90705881821626, 13.308360758144927 65.90717090018384, 13.3107413139001 65.90734677538387)</t>
  </si>
  <si>
    <t>[1436375, 1436383, 1436391, 1436399, 1436407, 1436415, 1436423, 1436431, 1436439]</t>
  </si>
  <si>
    <t>[1305939, 1305943, 1305948, 469433, 1305957, 469405, 1305970, 1305974, 658647]</t>
  </si>
  <si>
    <t>0.039379956251794225</t>
  </si>
  <si>
    <t>[658638, 1305939, 1305943, 1305948, 469433, 1305957, 469405, 1305970, 1305974]</t>
  </si>
  <si>
    <t>372.2708002087743</t>
  </si>
  <si>
    <t>[0.183, 0.021, 0.026, 0.026, 0.028, 0.027, 0.026, 0.055]</t>
  </si>
  <si>
    <t>LINESTRING (13.30267438162446 65.90683628237139, 13.303039758586042 65.90687483655319, 13.306197321667007 65.90709978027733, 13.306330196858106 65.90710845250553, 13.306433991467856 65.9071152243624, 13.306626843604391 65.90712780660932, 13.308325693179716 65.90723507506821, 13.308509320718098 65.90724737380856, 13.3107413139001 65.90734677538387)</t>
  </si>
  <si>
    <t>[1436447, 1436455, 1436463, 1436471, 1436479, 1436487, 1436495, 1436503]</t>
  </si>
  <si>
    <t>[1305989, 1305996, 1306003, 1305934, 1306014, 1306020, 1306025, 658647]</t>
  </si>
  <si>
    <t>0.03952494971252021</t>
  </si>
  <si>
    <t>[658638, 1305989, 1305996, 1306003, 1305934, 1306014, 1306020, 1306025]</t>
  </si>
  <si>
    <t>372.16748955019216</t>
  </si>
  <si>
    <t>[0.001, 0.002, 0.004, 0.01, 0.042, 0.053, -0.031, -0.014, -0.032, 0.013, 0.047, 0.001, -0.05, -0.1, -0.096, -0.085, -0.03, -0.014, 0.046]</t>
  </si>
  <si>
    <t>[0, 0, 1, 0, 1, 0, 1, 0, 1, 0, 1, 0, 0, 1, 0, 0, 0, 1, 0]</t>
  </si>
  <si>
    <t>LINESTRING (13.257332076961042 65.88835671868702, 13.257928464859912 65.88860696893548, 13.260570110624494 65.89018342099138, 13.261363890566386 65.890837502616, 13.262947578616 65.89322263514029, 13.262949851415515 65.89327659745345, 13.267793856175727 65.89934504255719, 13.268054943240458 65.89940587396688, 13.272018713759234 65.90017972097594, 13.272294012459058 65.90023191003898, 13.282953794553816 65.90231314611678, 13.283109183997443 65.90235006377306, 13.290516379500213 65.90466392972147, 13.290714066392459 65.90472680662813, 13.290868271878749 65.90477527994972, 13.29171936013746 65.90502894530151, 13.296308041479861 65.906077705009, 13.299190025483222 65.90650955615115, 13.301863760779598 65.90677813925262, 13.30267438162446 65.90683628237139)</t>
  </si>
  <si>
    <t>[1330393, 668144, 668152, 668160, 668161, 668168, 668174, 668175, 668176, 668184, 668192, 668200, 668216, 668224, 668232, 668233, 668240, 668248, 668259]</t>
  </si>
  <si>
    <t>[658558, 658559, 658564, 658570, 658571, 658578, 658583, 658584, 658585, 658589, 658592, 658597, 658605, 658611, 658617, 658618, 658623, 658632, 658638]</t>
  </si>
  <si>
    <t>0.0054789833797494695</t>
  </si>
  <si>
    <t>[1235508, 658558, 658559, 658564, 658570, 658571, 658578, 658583, 658584, 658585, 658589, 658592, 658597, 658605, 658611, 658617, 658618, 658623, 658632]</t>
  </si>
  <si>
    <t>[0.001, 0.002, 0.004, 0.01, 0.042, 0.053, 0.031, 0.014, 0.032, 0.013, 0.047, 0.001, 0.05, 0.1, 0.096, 0.085, 0.03, 0.014, 0.046]</t>
  </si>
  <si>
    <t>3186.8469149873654</t>
  </si>
  <si>
    <t>[0.042, 0.066, 0.153, -0.064, -0.016, -0.045]</t>
  </si>
  <si>
    <t>LINESTRING (13.3107413139001 65.90734677538387, 13.310899424043 65.90735677127186, 13.32840325891931 65.90755374252983, 13.32846426181526 65.90755241439106, 13.34363068311273 65.9079880704247, 13.353301069307213 65.90877304975967, 13.359880957283714 65.90912744494966)</t>
  </si>
  <si>
    <t>[668268, 668270, 668271, 668286, 668302, 668303]</t>
  </si>
  <si>
    <t>[658648, 658651, 658652, 658668, 658682, 658683]</t>
  </si>
  <si>
    <t>[658647, 658648, 658651, 658652, 658668, 658682]</t>
  </si>
  <si>
    <t>[0.042, 0.066, 0.153, 0.064, 0.016, 0.045]</t>
  </si>
  <si>
    <t>2261.0971757580473</t>
  </si>
  <si>
    <t>[0.038, 0.005, 0.016, -0.001, 0.003, 0.004, -0.018, -0.031, -0.986]</t>
  </si>
  <si>
    <t>LINESTRING (13.359880957283714 65.90912744494966, 13.362442031879546 65.90964734428735, 13.363168891795386 65.9098316158669, 13.363259904198864 65.90985563164278, 13.36335074463562 65.90987959168534, 13.36342643407946 65.90990145177383, 13.364306280717717 65.91014994298858, 13.366557221764037 65.9107759614805, 13.366674128058326 65.91080834529185, 13.36677760525173 65.91086054465642)</t>
  </si>
  <si>
    <t>[2013048, 2013056, 2013064, 2013072, 2013080, 2013088, 2013096, 2013104, 2013112]</t>
  </si>
  <si>
    <t>[1760661, 469355, 1760668, 469340, 1760673, 1760676, 1760679, 1760682, 658696]</t>
  </si>
  <si>
    <t>[658683, 1760661, 469355, 1760668, 469340, 1760673, 1760676, 1760679, 1760682]</t>
  </si>
  <si>
    <t>[0.038, 0.005, 0.016, 0.001, 0.003, 0.004, 0.018, 0.031, 0.986]</t>
  </si>
  <si>
    <t>370.4576647104462</t>
  </si>
  <si>
    <t>[0.043, 0.008, 0.008, 0.002, -0.001, -0.022, -0.027, -1.063]</t>
  </si>
  <si>
    <t>LINESTRING (13.359880957283714 65.90912744494966, 13.362363872474964 65.90970475294864, 13.363170040631601 65.90992370286868, 13.363343054209622 65.9099704806437, 13.364221664284425 65.91020670944089, 13.364329925621913 65.91023544025634, 13.366510604882782 65.91080374308619, 13.366629348344437 65.91083762720702, 13.36677760525173 65.91086054465642)</t>
  </si>
  <si>
    <t>[2013120, 2013128, 2013136, 2013144, 2013152, 2013160, 2013168, 2013176]</t>
  </si>
  <si>
    <t>[1760690, 1760656, 1760697, 1760702, 1760708, 1760713, 1760721, 658696]</t>
  </si>
  <si>
    <t>[658683, 1760690, 1760656, 1760697, 1760702, 1760708, 1760713, 1760721]</t>
  </si>
  <si>
    <t>[0.043, 0.008, 0.008, 0.002, 0.001, 0.022, 0.027, 1.063]</t>
  </si>
  <si>
    <t>369.2114458279944</t>
  </si>
  <si>
    <t>[-0.008, 0.001, -0.012]</t>
  </si>
  <si>
    <t>LINESTRING (13.36677760525173 65.91086054465642, 13.374825400771158 65.9194241919445, 13.395751898940677 65.92440598947178, 13.39728799228757 65.92489567242878)</t>
  </si>
  <si>
    <t>[668318, 668323, 668331]</t>
  </si>
  <si>
    <t>[658697, 658700, 658705]</t>
  </si>
  <si>
    <t>[658696, 658697, 658700]</t>
  </si>
  <si>
    <t>[0.008, 0.001, 0.012]</t>
  </si>
  <si>
    <t>2309.6827983611342</t>
  </si>
  <si>
    <t>[0.02, 0.016, 0.013, 0.01, -0.044]</t>
  </si>
  <si>
    <t>LINESTRING (13.39728799228757 65.92489567242878, 13.400261084481162 65.92588113807783, 13.4004006634012 65.9259252270301, 13.40128863947366 65.9262057098796, 13.40139910720504 65.92624060170135, 13.403099304895326 65.92679346690304)</t>
  </si>
  <si>
    <t>[1262990, 1262993, 1263001, 1263009, 1263017]</t>
  </si>
  <si>
    <t>[1180086, 1180097, 1180105, 1180112, 658712]</t>
  </si>
  <si>
    <t>[658705, 1180086, 1180097, 1180105, 1180112]</t>
  </si>
  <si>
    <t>[0.02, 0.016, 0.013, 0.01, 0.044]</t>
  </si>
  <si>
    <t>338.92550875213635</t>
  </si>
  <si>
    <t>[0.019, 0.013, 0.012, 0.013, -0.039]</t>
  </si>
  <si>
    <t>LINESTRING (13.39728799228757 65.92489567242878, 13.400264553347647 65.9258009464528, 13.400455879140118 65.92586198767648, 13.400493463938112 65.92587347986046, 13.401386184044545 65.92615575250596, 13.403099304895326 65.92679346690304)</t>
  </si>
  <si>
    <t>[1263025, 1263040, 1263049, 1263057, 1263058]</t>
  </si>
  <si>
    <t>[1180087, 469335, 1180147, 1180156, 658712]</t>
  </si>
  <si>
    <t>[658705, 1180087, 469335, 1180147, 1180156]</t>
  </si>
  <si>
    <t>[0.019, 0.013, 0.012, 0.013, 0.039]</t>
  </si>
  <si>
    <t>339.44455621384043</t>
  </si>
  <si>
    <t>[0.048, 0.045, -0.015]</t>
  </si>
  <si>
    <t>LINESTRING (13.403099304895326 65.92679346690304, 13.404021414347078 65.92719122852144, 13.406857360053854 65.92997227899984, 13.407297549957232 65.93832893634205)</t>
  </si>
  <si>
    <t>[668339, 668348, 668356]</t>
  </si>
  <si>
    <t>[469531, 658718, 658725]</t>
  </si>
  <si>
    <t>0.0023408951234250752</t>
  </si>
  <si>
    <t>[658712, 469531, 658718]</t>
  </si>
  <si>
    <t>[0.048, 0.045, 0.015]</t>
  </si>
  <si>
    <t>1394.2899464019183</t>
  </si>
  <si>
    <t>[0.052, -0.025, -0.023, -0.019, 0.008, 0.031]</t>
  </si>
  <si>
    <t>LINESTRING (13.407297549957232 65.93832893634205, 13.407044809194412 65.93927879796635, 13.407038939819923 65.93931871624277, 13.407026957588997 65.9394003450685, 13.406924855348239 65.9400222339974, 13.406913557454834 65.9401225357971, 13.406685304562785 65.9422273153969)</t>
  </si>
  <si>
    <t>[1262787, 1262788, 1262761, 1262766, 1262771, 1262772]</t>
  </si>
  <si>
    <t>[1179907, 1179880, 1179881, 1179873, 1179872, 658731]</t>
  </si>
  <si>
    <t>0.02587947531315769</t>
  </si>
  <si>
    <t>[658725, 1179907, 1179880, 1179881, 1179873, 1179872]</t>
  </si>
  <si>
    <t>[0.052, 0.025, 0.023, 0.019, 0.008, 0.031]</t>
  </si>
  <si>
    <t>435.94785551577195</t>
  </si>
  <si>
    <t>[0.05, -0.025, -0.023, -0.02, 0.006, 0.032]</t>
  </si>
  <si>
    <t>LINESTRING (13.407297549957232 65.93832893634205, 13.407202298111187 65.93928232369556, 13.407196609436747 65.93932252204219, 13.407185032821678 65.93940329357699, 13.407093182194656 65.94001879166119, 13.407085044838258 65.94007325120978, 13.406685304562785 65.9422273153969)</t>
  </si>
  <si>
    <t>[1262799, 1262802, 1262822, 1262827, 1262834, 1262885]</t>
  </si>
  <si>
    <t>[1179919, 1179922, 1179941, 1179945, 1179871, 658731]</t>
  </si>
  <si>
    <t>0.026108066463054122</t>
  </si>
  <si>
    <t>[658725, 1179919, 1179922, 1179941, 1179945, 1179871]</t>
  </si>
  <si>
    <t>[0.05, 0.025, 0.023, 0.02, 0.006, 0.032]</t>
  </si>
  <si>
    <t>435.7956426813464</t>
  </si>
  <si>
    <t>519.0508841627146</t>
  </si>
  <si>
    <t>[0.01, -0.002, -0.005, -0.008, -0.011, -0.011, -0.019]</t>
  </si>
  <si>
    <t>LINESTRING (13.40751374496614 65.94684552881442, 13.408364140592406 65.94798120658994, 13.408404214042452 65.9480254054843, 13.40903135149219 65.94862505838485, 13.40910396396935 65.9486875417443, 13.409785416039181 65.94924119633733, 13.409902550400082 65.94933305391055, 13.411280134443741 65.9502766840722)</t>
  </si>
  <si>
    <t>[1262893, 1262894, 1262906, 1262907, 1262911, 1262926, 1262927]</t>
  </si>
  <si>
    <t>[1180015, 1180016, 1179895, 1180025, 1180029, 1180041, 658738]</t>
  </si>
  <si>
    <t>[658732, 1180015, 1180016, 1179895, 1180025, 1180029, 1180041]</t>
  </si>
  <si>
    <t>[0.01, 0.002, 0.005, 0.008, 0.011, 0.011, 0.019]</t>
  </si>
  <si>
    <t>421.29500092334587</t>
  </si>
  <si>
    <t>[0.008, -0.005, -0.006, -0.008, -0.006, -0.011, -0.016]</t>
  </si>
  <si>
    <t>LINESTRING (13.40751374496614 65.94684552881442, 13.408500889015171 65.94796013352527, 13.408542984244797 65.94800436228574, 13.409138096551528 65.94856020432408, 13.409216095669263 65.94863298267042, 13.409236950098173 65.94865238480499, 13.40991899178364 65.94920578464793, 13.411280134443741 65.9502766840722)</t>
  </si>
  <si>
    <t>[1262942, 1262946, 1262947, 1262960, 1262967, 1262975, 1262976]</t>
  </si>
  <si>
    <t>[1180057, 1180060, 1179894, 1179900, 1180077, 1180085, 658738]</t>
  </si>
  <si>
    <t>[658732, 1180057, 1180060, 1179894, 1179900, 1180077, 1180085]</t>
  </si>
  <si>
    <t>[0.008, 0.005, 0.006, 0.008, 0.006, 0.011, 0.016]</t>
  </si>
  <si>
    <t>419.9291113115661</t>
  </si>
  <si>
    <t>[-0.009, -0.027, -0.027, -0.008, -0.008, -0.007, -0.007, -0.003, 0.002, 0.006, 0.005, 0.004, -0.002, 0.012, 0.068, 0.104, 0.067, 0.058, 0.059, 0.056, 0.002, -0.085, -0.02, -0.043, -0.011]</t>
  </si>
  <si>
    <t>[0, 0, 0, 0, 0, 0, 1, 0, 0, 0, 1, 0, 0, 1, 0, 1, 0, 0, 0, 0, 0, 1, 0, 1, 0]</t>
  </si>
  <si>
    <t>LINESTRING (13.411280134443741 65.9502766840722, 13.41549794347315 65.95334093117987, 13.41613466092181 65.95377101651907, 13.416464433125363 65.95397345510247, 13.420736082475525 65.95677332567676, 13.420759302890122 65.95682628596848, 13.42092205792077 65.95747058021345, 13.420929354793035 65.9575163324257, 13.421787475631518 65.96294727425771, 13.422077288904099 65.96478092664907, 13.422221691030074 65.96567585083443, 13.422267318453482 65.96589591050403, 13.422659648543378 65.96685727098958, 13.426769358758362 65.96996950688285, 13.427899921727082 65.9705459706938, 13.430660923374026 65.97195344570758, 13.430739688665719 65.9719936444627, 13.433738859221581 65.97358646767321, 13.433841777340678 65.97364584548946, 13.433934035540435 65.97369955093086, 13.436749329045098 65.97552259406986, 13.443175455685358 65.9828438133321, 13.4431990194404 65.98288721583525, 13.446417412048966 65.98884084479255, 13.446565732276728 65.98911505599452, 13.448779949583594 65.99571799530581)</t>
  </si>
  <si>
    <t>[668372, 668390, 668398, 668406, 668414, 668422, 668430, 668438, 668446, 668454, 668462, 668470, 668478, 668486, 668502, 668509, 668517, 668525, 668533, 668541, 668549, 668557, 668558, 668560, 668561]</t>
  </si>
  <si>
    <t>[460688, 658755, 658762, 658771, 658777, 658785, 658794, 658802, 658808, 658815, 658824, 658833, 658840, 658847, 658859, 658864, 658876, 658884, 658892, 658900, 658907, 658910, 658911, 658912, 658913]</t>
  </si>
  <si>
    <t>0.002268748017042653</t>
  </si>
  <si>
    <t>[658738, 460688, 658755, 658762, 658771, 658777, 658785, 658794, 658802, 658808, 658815, 658824, 658833, 658840, 658847, 658859, 658864, 658876, 658884, 658892, 658900, 658907, 658910, 658911, 658912]</t>
  </si>
  <si>
    <t>[0.009, 0.027, 0.027, 0.008, 0.008, 0.007, 0.007, 0.003, 0.002, 0.006, 0.005, 0.004, 0.002, 0.012, 0.068, 0.104, 0.067, 0.058, 0.059, 0.056, 0.002, 0.085, 0.02, 0.043, 0.011]</t>
  </si>
  <si>
    <t>5471.2502213819735</t>
  </si>
  <si>
    <t>[0.018, 0.004, 0.007, 0.007, 0.011, 0.012, 0.015, -0.369]</t>
  </si>
  <si>
    <t>LINESTRING (13.448779949583594 65.99571799530581, 13.449047625515773 65.99702049351654, 13.449307759242684 65.9977197139145, 13.449335719281073 65.99778691313112, 13.44938383586436 65.99787890354072, 13.449420631748136 65.99795664619523, 13.450072466052546 65.99909345874885, 13.45018190911553 65.99924550855353, 13.45039675070013 65.99950919407839)</t>
  </si>
  <si>
    <t>[1262467, 1262481, 1262482, 1262489, 1262490, 1262491, 1262498, 1262506]</t>
  </si>
  <si>
    <t>[1179619, 1179630, 1179612, 1179637, 1179638, 1179639, 1179642, 658914]</t>
  </si>
  <si>
    <t>[658913, 1179619, 1179630, 1179612, 1179637, 1179638, 1179639, 1179642]</t>
  </si>
  <si>
    <t>[0.018, 0.004, 0.007, 0.007, 0.011, 0.012, 0.015, 0.369]</t>
  </si>
  <si>
    <t>430.29878668947674</t>
  </si>
  <si>
    <t>[0.03, 0.002, 0.004, 0.001, 0.007, 0.008, -0.241]</t>
  </si>
  <si>
    <t>LINESTRING (13.448779949583594 65.99571799530581, 13.449172752032961 65.99691551298997, 13.44920372136797 65.9970129663237, 13.449466164209387 65.99771088155465, 13.449514577727712 65.99782484277603, 13.44954877853074 65.99790504500942, 13.450157044147428 65.99908005965435, 13.45039675070013 65.99950919407839)</t>
  </si>
  <si>
    <t>[1262529, 1262530, 1262539, 1262547, 1262555, 1262576, 1262589]</t>
  </si>
  <si>
    <t>[1179665, 1179666, 1179674, 1179611, 1179688, 1179704, 658914]</t>
  </si>
  <si>
    <t>[658913, 1179665, 1179666, 1179674, 1179611, 1179688, 1179704]</t>
  </si>
  <si>
    <t>[0.03, 0.002, 0.004, 0.001, 0.007, 0.008, 0.241]</t>
  </si>
  <si>
    <t>429.5119663462515</t>
  </si>
  <si>
    <t>[0.073, 0.06, -0.067, -0.034, 0.039, 0.043]</t>
  </si>
  <si>
    <t>[0, 1, 0, 0, 1, 0]</t>
  </si>
  <si>
    <t>LINESTRING (13.45039675070013 65.99950919407839, 13.454383550210467 66.00787537845599, 13.454380563085362 66.00792470424915, 13.454991797239611 66.01566802110594, 13.454381961225781 66.017085682129, 13.454045318166546 66.01776807987068, 13.453944793974035 66.0179715564168)</t>
  </si>
  <si>
    <t>[668562, 668570, 668574, 668575, 668582, 668590]</t>
  </si>
  <si>
    <t>[658915, 658921, 658925, 658926, 658933, 658941]</t>
  </si>
  <si>
    <t>0.005150679296012228</t>
  </si>
  <si>
    <t>[658914, 658915, 658921, 658925, 658926, 658933]</t>
  </si>
  <si>
    <t>[0.073, 0.06, 0.067, 0.034, 0.039, 0.043]</t>
  </si>
  <si>
    <t>2089.223427041874</t>
  </si>
  <si>
    <t>[0.078, 0.055, 0.06, 0.053, 0.026]</t>
  </si>
  <si>
    <t>LINESTRING (13.453944793974035 66.0179715564168, 13.45334461941613 66.01909229706399, 13.453195205695458 66.01973958258634, 13.453190249363217 66.01977767133879, 13.453178322270512 66.01989325037636, 13.45414545634745 66.0220768500651)</t>
  </si>
  <si>
    <t>[1433812, 1433820, 1433828, 1433836, 1433844]</t>
  </si>
  <si>
    <t>[1304531, 1304533, 659084, 659082, 658947]</t>
  </si>
  <si>
    <t>0.04583622272813383</t>
  </si>
  <si>
    <t>[658941, 1304531, 1304533, 659084, 659082]</t>
  </si>
  <si>
    <t>466.7235757715936</t>
  </si>
  <si>
    <t>[0.08, 0.049, 0.053, 0.052, 0.028]</t>
  </si>
  <si>
    <t>LINESTRING (13.453944793974035 66.0179715564168, 13.453529382767641 66.01903574134262, 13.453507998999061 66.019098522558, 13.45336297087247 66.01973101859073, 13.453353243543814 66.01983470255512, 13.45414545634745 66.0220768500651)</t>
  </si>
  <si>
    <t>[1433852, 1433860, 1433868, 1433876, 1433884]</t>
  </si>
  <si>
    <t>[1304550, 1304554, 1304560, 1304523, 658947]</t>
  </si>
  <si>
    <t>0.04624798504992753</t>
  </si>
  <si>
    <t>[658941, 1304550, 1304554, 1304560, 1304523]</t>
  </si>
  <si>
    <t>463.39338315091425</t>
  </si>
  <si>
    <t>[-0.0, -0.029, 0.031, 0.04, -0.014]</t>
  </si>
  <si>
    <t>LINESTRING (13.45414545634745 66.0220768500651, 13.456932786288519 66.02411589422074, 13.457005401301883 66.02415897740212, 13.494429907369236 66.03879794498803, 13.495097745914391 66.03898564256828, 13.508854330975218 66.04229124074865)</t>
  </si>
  <si>
    <t>[668601, 668609, 668617, 668625, 668633]</t>
  </si>
  <si>
    <t>[658948, 658956, 658961, 469529, 658969]</t>
  </si>
  <si>
    <t>0.019071146927020458</t>
  </si>
  <si>
    <t>[658947, 658948, 658956, 658961, 469529]</t>
  </si>
  <si>
    <t>[0.0, 0.029, 0.031, 0.04, 0.014]</t>
  </si>
  <si>
    <t>3415.507211320782</t>
  </si>
  <si>
    <t>[0.033, -0.074, -0.092, -0.077, -0.005]</t>
  </si>
  <si>
    <t>LINESTRING (13.508854330975218 66.04229124074865, 13.512201423510891 66.04369459999108, 13.512328609579122 66.04374739819966, 13.513067006183826 66.04405331311197, 13.513225422590626 66.04411764659925, 13.51516685391917 66.04487269660662)</t>
  </si>
  <si>
    <t>[2032330, 2032331, 2032341, 2032349, 2032350]</t>
  </si>
  <si>
    <t>[1773565, 1773578, 1773581, 1773586, 658978]</t>
  </si>
  <si>
    <t>0.00195548110577522</t>
  </si>
  <si>
    <t>[658969, 1773565, 1773578, 1773581, 1773586]</t>
  </si>
  <si>
    <t>[0.033, 0.074, 0.092, 0.077, 0.005]</t>
  </si>
  <si>
    <t>406.0777642569058</t>
  </si>
  <si>
    <t>[0.029, -0.071, -0.088, -0.091, -0.001]</t>
  </si>
  <si>
    <t>LINESTRING (13.508854330975218 66.04229124074865, 13.512231356755489 66.04361296003978, 13.512377137897168 66.04367583547064, 13.51242383252458 66.04369466381407, 13.513173908034695 66.04400207281206, 13.51516685391917 66.04487269660662)</t>
  </si>
  <si>
    <t>[2032356, 2032367, 2032368, 2032369, 2032378]</t>
  </si>
  <si>
    <t>[469458, 469449, 1773596, 1773597, 658978]</t>
  </si>
  <si>
    <t>0.001722871068753393</t>
  </si>
  <si>
    <t>[658969, 469458, 469449, 1773596, 1773597]</t>
  </si>
  <si>
    <t>[0.029, 0.071, 0.088, 0.091, 0.001]</t>
  </si>
  <si>
    <t>406.43614262173537</t>
  </si>
  <si>
    <t>[0.019, 0.021]</t>
  </si>
  <si>
    <t>LINESTRING (13.224667739200482 65.87359694637054, 13.225080003322288 65.87373219101417, 13.225162331503496 65.87376143175842)</t>
  </si>
  <si>
    <t>[668740, 668741]</t>
  </si>
  <si>
    <t>[659062, 659063]</t>
  </si>
  <si>
    <t>0.019335525543081964</t>
  </si>
  <si>
    <t>[659061, 659062]</t>
  </si>
  <si>
    <t>29.64070583920761</t>
  </si>
  <si>
    <t>LINESTRING (13.224667739200482 65.87359694637054, 13.224914017306652 65.87378465615465, 13.224971942174106 65.87382205069477)</t>
  </si>
  <si>
    <t>[668759, 668760]</t>
  </si>
  <si>
    <t>[659079, 659080]</t>
  </si>
  <si>
    <t>0.014848919329804582</t>
  </si>
  <si>
    <t>[659061, 659079]</t>
  </si>
  <si>
    <t>29.067750473945466</t>
  </si>
  <si>
    <t>[0.023, 0.024, 0.017, 0.007]</t>
  </si>
  <si>
    <t>LINESTRING (13.225162331503496 65.87376143175842, 13.225483814427514 65.87377780595064, 13.225566157761987 65.87380810565216, 13.225624979452155 65.87384872322404, 13.225597747101677 65.87398257863997)</t>
  </si>
  <si>
    <t>[1330258, 1330266, 1330280, 1330288]</t>
  </si>
  <si>
    <t>[659071, 1235391, 659064, 659073]</t>
  </si>
  <si>
    <t>0.016329981527435717</t>
  </si>
  <si>
    <t>[659063, 659071, 1235391, 659064]</t>
  </si>
  <si>
    <t>40.86602567860504</t>
  </si>
  <si>
    <t>LINESTRING (13.224971942174106 65.87382205069477, 13.225050287624956 65.87378643072738, 13.225162331503496 65.87376143175842)</t>
  </si>
  <si>
    <t>[1330330, 1330331]</t>
  </si>
  <si>
    <t>[1235446, 659063]</t>
  </si>
  <si>
    <t>0.013085853246743443</t>
  </si>
  <si>
    <t>[659080, 1235446]</t>
  </si>
  <si>
    <t>11.16310765942809</t>
  </si>
  <si>
    <t>LINESTRING (13.225416224296914 65.87404500588909, 13.225476140880396 65.87406851261885, 13.225937533991281 65.87422613157185)</t>
  </si>
  <si>
    <t>[668746, 668747]</t>
  </si>
  <si>
    <t>[659069, 659070]</t>
  </si>
  <si>
    <t>0.02275913952854337</t>
  </si>
  <si>
    <t>[659068, 659069]</t>
  </si>
  <si>
    <t>31.439046884511924</t>
  </si>
  <si>
    <t>[-0.024, -0.022, -0.018, -0.005]</t>
  </si>
  <si>
    <t>LINESTRING (13.225416224296914 65.87404500588909, 13.225082290480318 65.87403166450889, 13.2249990042936 65.87400167672392, 13.224938266748048 65.8739602290177, 13.224971942174106 65.87382205069477)</t>
  </si>
  <si>
    <t>[1330312, 1330320, 1330328, 1330329]</t>
  </si>
  <si>
    <t>[469382, 1235438, 469371, 659080]</t>
  </si>
  <si>
    <t>[659068, 469382, 1235438, 469371]</t>
  </si>
  <si>
    <t>[0.024, 0.022, 0.018, 0.005]</t>
  </si>
  <si>
    <t>42.13524621445942</t>
  </si>
  <si>
    <t>[-0.009, -0.016]</t>
  </si>
  <si>
    <t>LINESTRING (13.225597747101677 65.87398257863997, 13.225520629918416 65.8740194695417, 13.225416224296914 65.87404500588909)</t>
  </si>
  <si>
    <t>[1330296, 1330304]</t>
  </si>
  <si>
    <t>[1235418, 659068]</t>
  </si>
  <si>
    <t>[659073, 1235418]</t>
  </si>
  <si>
    <t>[0.009, 0.016]</t>
  </si>
  <si>
    <t>10.959703482113419</t>
  </si>
  <si>
    <t>[0.023, 0.036, 0.03, 0.059, 0.012, -0.273, -0.133, -0.029, -0.002]</t>
  </si>
  <si>
    <t>2920.0</t>
  </si>
  <si>
    <t>LINESTRING (13.225937533991281 65.87422613157185, 13.22639139019698 65.87445104330209, 13.22640534373283 65.87445796254362, 13.227790120423993 65.8751447857632, 13.2307225840521 65.87693313001485, 13.237523180184182 65.88432632507596, 13.237597397543393 65.88436574136479, 13.245366862564746 65.88622092197002, 13.245560123487023 65.88624090158308, 13.249903612102527 65.88669042978779)</t>
  </si>
  <si>
    <t>[1330339, 1330347, 1330348, 1330349, 1330355, 1330362, 1330369, 1330377, 1330385]</t>
  </si>
  <si>
    <t>[1235452, 1235463, 1235464, 1235465, 1235473, 1235479, 1235482, 1235491, 1235499]</t>
  </si>
  <si>
    <t>[659070, 1235452, 1235463, 1235464, 1235465, 1235473, 1235479, 1235482, 1235491]</t>
  </si>
  <si>
    <t>[0.023, 0.036, 0.03, 0.059, 0.012, 0.273, 0.133, 0.029, 0.002]</t>
  </si>
  <si>
    <t>1902.0510042127733</t>
  </si>
  <si>
    <t>[0.02, 0.018]</t>
  </si>
  <si>
    <t>LINESTRING (13.225597747101677 65.87398257863997, 13.225640711199745 65.87400988287659, 13.225937533991281 65.87422613157185)</t>
  </si>
  <si>
    <t>[668750, 668751]</t>
  </si>
  <si>
    <t>[659074, 659070]</t>
  </si>
  <si>
    <t>0.018229708772270415</t>
  </si>
  <si>
    <t>[659073, 659074]</t>
  </si>
  <si>
    <t>31.517921678302233</t>
  </si>
  <si>
    <t>[-0.03, -0.121, -0.026, -0.057]</t>
  </si>
  <si>
    <t>LINESTRING (10.1822325628804 62.930758872258636, 10.183926550562887 62.931749118557796, 10.184794812275955 62.93230414052697, 10.185598570556646 62.93290935993353, 10.191378155482823 62.94164789929904)</t>
  </si>
  <si>
    <t>[670579, 670580, 670581, 670583]</t>
  </si>
  <si>
    <t>[660664, 660665, 660666, 660669]</t>
  </si>
  <si>
    <t>[660252, 660664, 660665, 660666]</t>
  </si>
  <si>
    <t>[0.03, 0.121, 0.026, 0.057]</t>
  </si>
  <si>
    <t>1339.7061889058864</t>
  </si>
  <si>
    <t>[-0.032, -0.119, -0.079, -0.003, -0.057]</t>
  </si>
  <si>
    <t>LINESTRING (10.1822325628804 62.930758872258636, 10.18404254247791 62.93170874358719, 10.184919043707795 62.932266474833554, 10.185315257997262 62.932547660879365, 10.185738123920387 62.93287227107769, 10.191553294205994 62.94166224047581)</t>
  </si>
  <si>
    <t>[670590, 670598, 670606, 670614, 670615]</t>
  </si>
  <si>
    <t>[660678, 660687, 660695, 660702, 660703]</t>
  </si>
  <si>
    <t>[660252, 660678, 660687, 660695, 660702]</t>
  </si>
  <si>
    <t>[0.032, 0.119, 0.079, 0.003, 0.057]</t>
  </si>
  <si>
    <t>1346.787596113361</t>
  </si>
  <si>
    <t>90.66373972041102</t>
  </si>
  <si>
    <t>[0.005, 0.008, -0.003, -0.045]</t>
  </si>
  <si>
    <t>LINESTRING (10.191378155482823 62.94164789929904, 10.19053968353924 62.94408579562513, 10.190537929525885 62.94409813843256, 10.190940538969482 62.946167259375976, 10.191866727584339 62.947634756476575)</t>
  </si>
  <si>
    <t>[670656, 670663, 670679, 670693]</t>
  </si>
  <si>
    <t>[660743, 660754, 660770, 660263]</t>
  </si>
  <si>
    <t>[660669, 660743, 660754, 660770]</t>
  </si>
  <si>
    <t>[0.005, 0.008, 0.003, 0.045]</t>
  </si>
  <si>
    <t>679.8693485684616</t>
  </si>
  <si>
    <t>[0.006, 0.007, -0.003, -0.04, -0.038]</t>
  </si>
  <si>
    <t>LINESTRING (10.191553294205994 62.94166224047581, 10.190717359627376 62.944085518958445, 10.190715637094051 62.944097790888925, 10.191089647500581 62.94615705803658, 10.191309272416305 62.94658550558911, 10.191866727584339 62.947634756476575)</t>
  </si>
  <si>
    <t>[670620, 670632, 670640, 670641, 670648]</t>
  </si>
  <si>
    <t>[660707, 660720, 660729, 660730, 660263]</t>
  </si>
  <si>
    <t>[660703, 660707, 660720, 660729, 660730]</t>
  </si>
  <si>
    <t>[0.006, 0.007, 0.003, 0.04, 0.038]</t>
  </si>
  <si>
    <t>676.0191033058675</t>
  </si>
  <si>
    <t>[0.076, 0.041, 0.022]</t>
  </si>
  <si>
    <t>LINESTRING (10.192329805634014 62.94842007705606, 10.192196799996976 62.948337831927326, 10.190315522437903 62.945413199571966, 10.190290066011153 62.94535548886963)</t>
  </si>
  <si>
    <t>[670457, 670473, 670485]</t>
  </si>
  <si>
    <t>[660539, 660554, 660365]</t>
  </si>
  <si>
    <t>0.041762563896779493</t>
  </si>
  <si>
    <t>[660264, 660539, 660554]</t>
  </si>
  <si>
    <t>359.1955036219259</t>
  </si>
  <si>
    <t>[-0.011, -0.019, -0.034, 0.007]</t>
  </si>
  <si>
    <t>LINESTRING (10.19104039038713 62.94528369181669, 10.191064430779743 62.94534881900879, 10.191442154612416 62.946448627923985, 10.19235420461046 62.948318558299434, 10.192329805634014 62.94842007705606)</t>
  </si>
  <si>
    <t>[670429, 670439, 670441, 670449]</t>
  </si>
  <si>
    <t>[660511, 660522, 660523, 660264]</t>
  </si>
  <si>
    <t>[660338, 660511, 660522, 660523]</t>
  </si>
  <si>
    <t>[0.011, 0.019, 0.034, 0.007]</t>
  </si>
  <si>
    <t>356.5790776510326</t>
  </si>
  <si>
    <t>18.765632959114104</t>
  </si>
  <si>
    <t>[-0.082, -0.118, -0.135]</t>
  </si>
  <si>
    <t>LINESTRING (10.190231682274158 62.94517145832629, 10.19034266351984 62.94509699880106, 10.190953475804662 62.945116064363894, 10.190966336442447 62.94512287097708)</t>
  </si>
  <si>
    <t>[670306, 670314, 670319]</t>
  </si>
  <si>
    <t>[660408, 660415, 660337]</t>
  </si>
  <si>
    <t>[660402, 660408, 660415]</t>
  </si>
  <si>
    <t>[0.082, 0.118, 0.135]</t>
  </si>
  <si>
    <t>45.599117218675005</t>
  </si>
  <si>
    <t>[-0.025, 0.002, 0.008, 0.022]</t>
  </si>
  <si>
    <t>LINESTRING (10.191553294205994 62.94166224047581, 10.191559914428924 62.94181167609907, 10.190979413842683 62.94417067724433, 10.190977002415202 62.945085640227184, 10.190966336442447 62.94512287097708)</t>
  </si>
  <si>
    <t>[670702, 670412, 670415, 670416]</t>
  </si>
  <si>
    <t>[660498, 660499, 660502, 660337]</t>
  </si>
  <si>
    <t>0.0026349591054449827</t>
  </si>
  <si>
    <t>[660703, 660498, 660499, 660502]</t>
  </si>
  <si>
    <t>[0.025, 0.002, 0.008, 0.022]</t>
  </si>
  <si>
    <t>388.31971914366545</t>
  </si>
  <si>
    <t>[0.11, 0.096]</t>
  </si>
  <si>
    <t>LINESTRING (10.19104039038713 62.94528369181669, 10.19040806091718 62.94540403624705, 10.190290066011153 62.94535548886963)</t>
  </si>
  <si>
    <t>[670255, 670265]</t>
  </si>
  <si>
    <t>[660353, 660365]</t>
  </si>
  <si>
    <t>0.10765620614281395</t>
  </si>
  <si>
    <t>[660338, 660353]</t>
  </si>
  <si>
    <t>48.23423566232086</t>
  </si>
  <si>
    <t>[0.056, 0.028, -0.033, -0.049]</t>
  </si>
  <si>
    <t>LINESTRING (10.190290066011153 62.94535548886963, 10.190249169692772 62.94532441294178, 10.190204967964235 62.9452450165346, 10.190220765486707 62.9451876436028, 10.190231682274158 62.94517145832629)</t>
  </si>
  <si>
    <t>[670277, 670282, 670283, 670299]</t>
  </si>
  <si>
    <t>[660376, 660380, 660381, 660402]</t>
  </si>
  <si>
    <t>0.008214836260344666</t>
  </si>
  <si>
    <t>[660365, 660376, 660380, 660381]</t>
  </si>
  <si>
    <t>[0.056, 0.028, 0.033, 0.049]</t>
  </si>
  <si>
    <t>21.507235944070537</t>
  </si>
  <si>
    <t>[0.001, -0.01, -0.038]</t>
  </si>
  <si>
    <t>LINESTRING (10.190231682274158 62.94517145832629, 10.190221233732226 62.94511974616588, 10.191258632113573 62.94178880289281, 10.191378155482823 62.94164789929904)</t>
  </si>
  <si>
    <t>[670488, 670495, 670710]</t>
  </si>
  <si>
    <t>[660565, 660572, 660669]</t>
  </si>
  <si>
    <t>[660402, 660565, 660572]</t>
  </si>
  <si>
    <t>[0.001, 0.01, 0.038]</t>
  </si>
  <si>
    <t>398.59984638185557</t>
  </si>
  <si>
    <t>[0.028, 0.029, 0.0, 0.029]</t>
  </si>
  <si>
    <t>LINESTRING (5.2752593414939115 59.34220937068665, 5.275165866201903 59.34220113771352, 5.275014272868452 59.342192579425834, 5.2750102530503735 59.34219196922628, 5.2748133544280655 59.342173596097844)</t>
  </si>
  <si>
    <t>[671927, 671935, 671936, 671948]</t>
  </si>
  <si>
    <t>[662035, 662039, 662040, 662052]</t>
  </si>
  <si>
    <t>0.028522343861615305</t>
  </si>
  <si>
    <t>[662034, 662035, 662039, 662040]</t>
  </si>
  <si>
    <t>25.874208384608817</t>
  </si>
  <si>
    <t>[0.078, -0.018, -0.051, -0.058]</t>
  </si>
  <si>
    <t>LINESTRING (5.2752593414939115 59.34220937068665, 5.2753254477087195 59.3421885207565, 5.275411540224111 59.34218473057397, 5.275486839192136 59.342201162584715, 5.2755553919431275 59.34225624463324)</t>
  </si>
  <si>
    <t>[1350739, 1350747, 1350755, 1350665]</t>
  </si>
  <si>
    <t>[1249569, 1251028, 1250969, 1250970]</t>
  </si>
  <si>
    <t>[662034, 1249569, 1251028, 1250969]</t>
  </si>
  <si>
    <t>[0.078, 0.018, 0.051, 0.058]</t>
  </si>
  <si>
    <t>21.33975006531292</t>
  </si>
  <si>
    <t>[0.046, -0.035]</t>
  </si>
  <si>
    <t>LINESTRING (5.275218710899676 59.34229898819579, 5.275212864238294 59.342256676758474, 5.2752593414939115 59.34220937068665)</t>
  </si>
  <si>
    <t>[1350723, 1350731]</t>
  </si>
  <si>
    <t>[1251014, 662034]</t>
  </si>
  <si>
    <t>0.0010346699972531444</t>
  </si>
  <si>
    <t>[1251008, 1251014]</t>
  </si>
  <si>
    <t>[0.046, 0.035]</t>
  </si>
  <si>
    <t>10.65703864704926</t>
  </si>
  <si>
    <t>[0.055, 0.055, 0.03, 0.005, -0.006, 0.005, 0.002, 0.018, 0.016, 0.027, 0.021, -0.003, -0.006, -0.003, 0.006, -0.003, -0.01, -0.016, -0.005, -0.025]</t>
  </si>
  <si>
    <t>LINESTRING (5.2748133544280655 59.342173596097844, 5.273145984313951 59.34171720669498, 5.271327154218814 59.34123079850683, 5.269829174701722 59.340823071066154, 5.268899105592614 59.340566825595076, 5.265538528660115 59.33966789537415, 5.263472645017342 59.339110757954074, 5.263411081308241 59.3390942506535, 5.260544548516147 59.33834544641322, 5.260506264931874 59.33833745817386, 5.260150644855024 59.33826343537627, 5.256473712252403 59.33787154443464, 5.256458320169646 59.33787096174134, 5.256424728452423 59.337869955280944, 5.2543997753177765 59.33790021578471, 5.249845978947343 59.33856390458455, 5.247269875985095 59.33909457570565, 5.237082386883783 59.34118737813029, 5.234058132468237 59.341807786507545, 5.222555361141731 59.34316046376007, 5.219983661488502 59.34381596926875)</t>
  </si>
  <si>
    <t>[1437629, 1437637, 1437645, 1437653, 1437661, 1437669, 1437677, 1437685, 1437693, 1437701, 1437709, 1437717, 1437725, 1437733, 1437741, 1437749, 1437757, 1437765, 1437773, 1437781]</t>
  </si>
  <si>
    <t>[1139478, 1139423, 1306812, 1306817, 1306824, 1306832, 1306839, 1306846, 1306853, 1306861, 1306871, 1306880, 1306887, 1306894, 1197561, 1306911, 1139431, 1306925, 1306933, 1306941]</t>
  </si>
  <si>
    <t>0.0022259599598173745</t>
  </si>
  <si>
    <t>[662052, 1139478, 1139423, 1306812, 1306817, 1306824, 1306832, 1306839, 1306846, 1306853, 1306861, 1306871, 1306880, 1306887, 1306894, 1197561, 1306911, 1139431, 1306925, 1306933]</t>
  </si>
  <si>
    <t>[0.055, 0.055, 0.03, 0.005, 0.006, 0.005, 0.002, 0.018, 0.016, 0.027, 0.021, 0.003, 0.006, 0.003, 0.006, 0.003, 0.01, 0.016, 0.005, 0.025]</t>
  </si>
  <si>
    <t>3361.578407182877</t>
  </si>
  <si>
    <t>[0.05, 0.047, 0.051, -0.0]</t>
  </si>
  <si>
    <t>LINESTRING (5.275218710899676 59.34229898819579, 5.275134044538161 59.34228274590876, 5.274980059729185 59.342243766214594, 5.274974506390719 59.3422423351394, 5.2748133544280655 59.342173596097844)</t>
  </si>
  <si>
    <t>[1443752, 1443760, 1443768, 1443776]</t>
  </si>
  <si>
    <t>[1310858, 1310865, 1310873, 662052]</t>
  </si>
  <si>
    <t>0.026779905003173007</t>
  </si>
  <si>
    <t>[1251008, 1310858, 1310865, 1310873]</t>
  </si>
  <si>
    <t>[0.05, 0.047, 0.051, 0.0]</t>
  </si>
  <si>
    <t>27.537438485281374</t>
  </si>
  <si>
    <t>[-0.008, -0.006, -0.004, 0.005]</t>
  </si>
  <si>
    <t>LINESTRING (10.283195810526509 63.25761858691034, 10.283252830649076 63.25782339177004, 10.286890264250166 63.273786682111414, 10.286464698329393 63.27491035597378, 10.281296369565053 63.27849070010829)</t>
  </si>
  <si>
    <t>[674265, 674273, 674281, 1027398]</t>
  </si>
  <si>
    <t>[664366, 664375, 664384, 982084]</t>
  </si>
  <si>
    <t>[664358, 664366, 664375, 664384]</t>
  </si>
  <si>
    <t>[0.008, 0.006, 0.004, 0.005]</t>
  </si>
  <si>
    <t>2434.5065462041425</t>
  </si>
  <si>
    <t>[-0.033, 0.032, 0.026, -0.003, -0.018]</t>
  </si>
  <si>
    <t>LINESTRING (10.276360230846416 63.247671106204976, 10.282004148990257 63.253929128733205, 10.282512632982108 63.255197490488605, 10.282783451362619 63.25606686469877, 10.283134544131064 63.25737445800492, 10.283195810526509 63.25761858691034)</t>
  </si>
  <si>
    <t>[674361, 674369, 1027294, 674646, 674257]</t>
  </si>
  <si>
    <t>[664452, 664459, 664716, 664357, 664358]</t>
  </si>
  <si>
    <t>[664445, 664452, 664459, 664716, 664357]</t>
  </si>
  <si>
    <t>[0.033, 0.032, 0.026, 0.003, 0.018]</t>
  </si>
  <si>
    <t>1171.220718667012</t>
  </si>
  <si>
    <t>[-0.044, -0.041, -0.028, -0.019, 0.015, 0.003, 0.002, 0.219]</t>
  </si>
  <si>
    <t>12640.0</t>
  </si>
  <si>
    <t>LINESTRING (10.280573041092605 63.25122198513345, 10.280556424358789 63.25126733401129, 10.28052265382845 63.2513433820808, 10.281276795195014 63.25268130009327, 10.281996699487232 63.25373600569366, 10.282588894684102 63.255108239224775, 10.282890145686803 63.25606721501872, 10.283230171127684 63.257476080691475, 10.283195810526509 63.25761858691034)</t>
  </si>
  <si>
    <t>[674599, 674608, 674616, 674624, 1029715, 1029723, 1029731, 1029691]</t>
  </si>
  <si>
    <t>[664670, 664677, 664686, 664694, 983931, 983938, 983913, 664358]</t>
  </si>
  <si>
    <t>[664669, 664670, 664677, 664686, 664694, 983931, 983938, 983913]</t>
  </si>
  <si>
    <t>[0.044, 0.041, 0.028, 0.019, 0.015, 0.003, 0.002, 0.219]</t>
  </si>
  <si>
    <t>729.1759599546168</t>
  </si>
  <si>
    <t>[0.03, 0.028, -0.003, -0.018, -0.006, -0.005, 0.005, 0.002]</t>
  </si>
  <si>
    <t>LINESTRING (10.282049378158868 63.254819466684744, 10.282167255866346 63.25520338619389, 10.28244593097114 63.256088967038544, 10.282832957868328 63.25739091996784, 10.28297462595328 63.25784562162814, 10.286691180650758 63.27378245414396, 10.286272846709526 63.27488615998788, 10.281423345467516 63.27829706663903, 10.28052835484817 63.27871655085873)</t>
  </si>
  <si>
    <t>[674345, 1027286, 674551, 674289, 674297, 674305, 1027430, 1027262]</t>
  </si>
  <si>
    <t>[664437, 664626, 664390, 664391, 664397, 664404, 981959, 981960]</t>
  </si>
  <si>
    <t>[664433, 664437, 664626, 664390, 664391, 664397, 664404, 981959]</t>
  </si>
  <si>
    <t>[0.03, 0.028, 0.003, 0.018, 0.006, 0.005, 0.005, 0.002]</t>
  </si>
  <si>
    <t>2787.9751578453647</t>
  </si>
  <si>
    <t>[-0.082, -0.029, 0.015, 0.029, 0.023, 0.014]</t>
  </si>
  <si>
    <t>LINESTRING (10.282049378158868 63.254819466684744, 10.281910031459368 63.254663349317205, 10.281515616894989 63.25382110908256, 10.280880466023183 63.25302448660529, 10.278870243720805 63.2516879447677, 10.278726525766853 63.25166469590273, 10.278620184076505 63.25165021653044)</t>
  </si>
  <si>
    <t>[1029699, 1029707, 674559, 674570, 674583, 674591]</t>
  </si>
  <si>
    <t>[983918, 664635, 664636, 664642, 664653, 664660]</t>
  </si>
  <si>
    <t>0.006463088198112453</t>
  </si>
  <si>
    <t>[664433, 983918, 664635, 664636, 664642, 664653]</t>
  </si>
  <si>
    <t>[0.082, 0.029, 0.015, 0.029, 0.023, 0.014]</t>
  </si>
  <si>
    <t>403.965081909294</t>
  </si>
  <si>
    <t>[0.014, -0.03, 0.035, 0.03]</t>
  </si>
  <si>
    <t>LINESTRING (10.275949041988572 63.24710200228392, 10.275994684246221 63.24724840951984, 10.281723983746513 63.25398199266617, 10.2820271773851 63.25474667640373, 10.282049378158868 63.254819466684744)</t>
  </si>
  <si>
    <t>[674506, 674313, 674329, 674337]</t>
  </si>
  <si>
    <t>[664411, 664412, 664428, 664433]</t>
  </si>
  <si>
    <t>[664567, 664411, 664412, 664428]</t>
  </si>
  <si>
    <t>[0.014, 0.03, 0.035, 0.03]</t>
  </si>
  <si>
    <t>918.603636106329</t>
  </si>
  <si>
    <t>[0.025, -0.026, -0.058, -0.052]</t>
  </si>
  <si>
    <t>LINESTRING (10.276360230846416 63.247671106204976, 10.276492207017466 63.24778143510473, 10.278281011700862 63.24988779449025, 10.280197501558348 63.250892678509324, 10.280299293604186 63.250914586792554)</t>
  </si>
  <si>
    <t>[674932, 674632, 674640, 674643]</t>
  </si>
  <si>
    <t>[664703, 664704, 664712, 664714]</t>
  </si>
  <si>
    <t>[664445, 664703, 664704, 664712]</t>
  </si>
  <si>
    <t>[0.025, 0.026, 0.058, 0.052]</t>
  </si>
  <si>
    <t>420.5565278711352</t>
  </si>
  <si>
    <t>[0.005, -0.02, 0.012, -0.025, 0.026, 0.018, 0.013, 0.014]</t>
  </si>
  <si>
    <t>LINESTRING (10.28575463469275 63.226882086886036, 10.284374040553287 63.22772350039466, 10.283675761007213 63.22812251151535, 10.276239293610594 63.23098725589551, 10.27455355501248 63.239980321079486, 10.276066565123362 63.244954842301404, 10.276002628849215 63.246387711951606, 10.27618985453481 63.247230331755034, 10.276360230846416 63.247671106204976)</t>
  </si>
  <si>
    <t>[1027334, 1027342, 1027350, 1027358, 674514, 674522, 674530, 674353]</t>
  </si>
  <si>
    <t>[982026, 982032, 982041, 664581, 664582, 664590, 664444, 664445]</t>
  </si>
  <si>
    <t>[981995, 982026, 982032, 982041, 664581, 664582, 664590, 664444]</t>
  </si>
  <si>
    <t>[0.005, 0.02, 0.012, 0.025, 0.026, 0.018, 0.013, 0.014]</t>
  </si>
  <si>
    <t>2612.847846122428</t>
  </si>
  <si>
    <t>20.133071336694286</t>
  </si>
  <si>
    <t>[0.04, 0.057, 0.024, -0.047, 0.035]</t>
  </si>
  <si>
    <t>LINESTRING (10.278369016965847 63.25132845611904, 10.278393587221057 63.251300980398774, 10.277605627668532 63.249863236401666, 10.275948048651312 63.24736692623755, 10.275910962882563 63.2472260196395, 10.275949041988572 63.24710200228392)</t>
  </si>
  <si>
    <t>[674457, 674465, 674475, 1028559, 1028415]</t>
  </si>
  <si>
    <t>[664527, 664535, 664544, 982883, 664567]</t>
  </si>
  <si>
    <t>0.033367513846591826</t>
  </si>
  <si>
    <t>[664526, 664527, 664535, 664544, 982883]</t>
  </si>
  <si>
    <t>[0.04, 0.057, 0.024, 0.047, 0.035]</t>
  </si>
  <si>
    <t>491.7651740770579</t>
  </si>
  <si>
    <t>[0.036, 0.044, 0.042, 0.03, 0.019]</t>
  </si>
  <si>
    <t>LINESTRING (10.278179590564331 63.25159731384052, 10.278135788422162 63.251565263008246, 10.278100183343023 63.251477763044086, 10.278125043109734 63.25143047606316, 10.278182295677222 63.2513857048169, 10.278369016965847 63.25132845611904)</t>
  </si>
  <si>
    <t>[674757, 674765, 674773, 674787, 674795]</t>
  </si>
  <si>
    <t>[664811, 664816, 664820, 664832, 664526]</t>
  </si>
  <si>
    <t>0.03284450013929969</t>
  </si>
  <si>
    <t>[664746, 664811, 664816, 664820, 664832]</t>
  </si>
  <si>
    <t>36.644076274777255</t>
  </si>
  <si>
    <t>[-0.003, -0.027, 0.013, -0.024, 0.025, 0.018, 0.014]</t>
  </si>
  <si>
    <t>LINESTRING (10.28575463469275 63.226882086886036, 10.284270965915193 63.22768574953695, 10.28355401114153 63.22806835674556, 10.276060713787553 63.23094225629702, 10.274366040671307 63.240010287386895, 10.275868248877018 63.24494823651077, 10.275803708531445 63.246389854571895, 10.275949041988572 63.24710200228392)</t>
  </si>
  <si>
    <t>[1027302, 1027310, 1027318, 1027326, 674482, 674490, 674498]</t>
  </si>
  <si>
    <t>[981996, 982004, 982013, 664549, 664550, 664558, 664567]</t>
  </si>
  <si>
    <t>[981995, 981996, 982004, 982013, 664549, 664550, 664558]</t>
  </si>
  <si>
    <t>[0.003, 0.027, 0.013, 0.024, 0.025, 0.018, 0.014]</t>
  </si>
  <si>
    <t>2555.113133269178</t>
  </si>
  <si>
    <t>9.85215062814617</t>
  </si>
  <si>
    <t>23.16615177640842</t>
  </si>
  <si>
    <t>26.324779302865473</t>
  </si>
  <si>
    <t>50.82471884318888</t>
  </si>
  <si>
    <t>28.933285591573306</t>
  </si>
  <si>
    <t>[-0.04, -0.043, -0.041]</t>
  </si>
  <si>
    <t>LINESTRING (10.278179590564331 63.25159731384052, 10.278186617489672 63.251639725346486, 10.278191839411381 63.2517375466487, 10.278273686041121 63.25188804297216)</t>
  </si>
  <si>
    <t>[674684, 674709, 674718]</t>
  </si>
  <si>
    <t>[664747, 664776, 664780]</t>
  </si>
  <si>
    <t>[664746, 664747, 664776]</t>
  </si>
  <si>
    <t>[0.04, 0.043, 0.041]</t>
  </si>
  <si>
    <t>33.316302438179854</t>
  </si>
  <si>
    <t>[0.02, 0.028]</t>
  </si>
  <si>
    <t>LINESTRING (10.278425709519524 63.25166143270603, 10.27830018251165 63.25164323069897, 10.278179590564331 63.25159731384052)</t>
  </si>
  <si>
    <t>[674742, 674749]</t>
  </si>
  <si>
    <t>[664800, 664746]</t>
  </si>
  <si>
    <t>0.024359007791230552</t>
  </si>
  <si>
    <t>[664794, 664800]</t>
  </si>
  <si>
    <t>14.559220004879837</t>
  </si>
  <si>
    <t>[0.42, -0.014]</t>
  </si>
  <si>
    <t>LINESTRING (10.278273686041121 63.25188804297216, 10.278339723718599 63.25197578107326, 10.278532512070367 63.2521282742739)</t>
  </si>
  <si>
    <t>[1027198, 1027206]</t>
  </si>
  <si>
    <t>[664717, 981906]</t>
  </si>
  <si>
    <t>0.1359472723769273</t>
  </si>
  <si>
    <t>[664780, 664717]</t>
  </si>
  <si>
    <t>[0.42, 0.014]</t>
  </si>
  <si>
    <t>29.898935324968456</t>
  </si>
  <si>
    <t>[-0.043, -0.032, -0.041]</t>
  </si>
  <si>
    <t>LINESTRING (10.278425709519524 63.25166143270603, 10.27840401435014 63.2516867017609, 10.278355457551093 63.251744910156596, 10.278273686041121 63.25188804297216)</t>
  </si>
  <si>
    <t>[674827, 674835, 674843]</t>
  </si>
  <si>
    <t>[664864, 664872, 664780]</t>
  </si>
  <si>
    <t>[664794, 664864, 664872]</t>
  </si>
  <si>
    <t>[0.043, 0.032, 0.041]</t>
  </si>
  <si>
    <t>26.434107606791805</t>
  </si>
  <si>
    <t>[-0.04, -0.038]</t>
  </si>
  <si>
    <t>LINESTRING (10.278742846502094 63.25137205256703, 10.278818381091972 63.25141773036772, 10.278855208592466 63.251482895765434)</t>
  </si>
  <si>
    <t>[674811, 674819]</t>
  </si>
  <si>
    <t>[664852, 664787]</t>
  </si>
  <si>
    <t>[664846, 664852]</t>
  </si>
  <si>
    <t>[0.04, 0.038]</t>
  </si>
  <si>
    <t>13.849584971458446</t>
  </si>
  <si>
    <t>[1.858, -0.119, -2.255]</t>
  </si>
  <si>
    <t>LINESTRING (10.279110786279048 63.251354334793334, 10.279037651970063 63.25138788566259, 10.27890462772201 63.251454528197584, 10.278855208592466 63.251482895765434)</t>
  </si>
  <si>
    <t>[1482789, 1482790, 1482811]</t>
  </si>
  <si>
    <t>[1342953, 1342954, 664787]</t>
  </si>
  <si>
    <t>[664920, 1342953, 1342954]</t>
  </si>
  <si>
    <t>[1.858, 0.119, 2.255]</t>
  </si>
  <si>
    <t>19.260183965606572</t>
  </si>
  <si>
    <t>[1.884, -0.114, -1.787]</t>
  </si>
  <si>
    <t>LINESTRING (10.279110786279048 63.251354334793334, 10.279007382914571 63.251358488232725, 10.278840408270568 63.25136628423606, 10.278742846502094 63.25137205256703)</t>
  </si>
  <si>
    <t>[1482813, 1482817, 1482818]</t>
  </si>
  <si>
    <t>[1342968, 1342971, 664846]</t>
  </si>
  <si>
    <t>0.0016496213415895578</t>
  </si>
  <si>
    <t>[664920, 1342968, 1342971]</t>
  </si>
  <si>
    <t>[1.884, 0.114, 1.787]</t>
  </si>
  <si>
    <t>18.59687668339877</t>
  </si>
  <si>
    <t>[0.033, 0.045]</t>
  </si>
  <si>
    <t>LINESTRING (10.280089726003471 63.25120142908041, 10.280020312941161 63.25115613527308, 10.279984756297658 63.25110270355053)</t>
  </si>
  <si>
    <t>[674868, 674876]</t>
  </si>
  <si>
    <t>[664901, 664908]</t>
  </si>
  <si>
    <t>0.03903982605041727</t>
  </si>
  <si>
    <t>[664894, 664901]</t>
  </si>
  <si>
    <t>12.357348908728714</t>
  </si>
  <si>
    <t>[4.432, -0.11, -3.773]</t>
  </si>
  <si>
    <t>LINESTRING (10.280089726003471 63.25120142908041, 10.28001774790088 63.25120584507687, 10.279830706026718 63.25121263364143, 10.279751339087216 63.25121464560847)</t>
  </si>
  <si>
    <t>[1482854, 1482867, 1482868]</t>
  </si>
  <si>
    <t>[1342993, 1343005, 664919]</t>
  </si>
  <si>
    <t>0.004070828970206761</t>
  </si>
  <si>
    <t>[664894, 1342993, 1343005]</t>
  </si>
  <si>
    <t>[4.432, 0.11, 3.773]</t>
  </si>
  <si>
    <t>17.07448259018085</t>
  </si>
  <si>
    <t>[4.098, -0.137, -3.821]</t>
  </si>
  <si>
    <t>LINESTRING (10.279984756297658 63.25110270355053, 10.279926015296997 63.25112549169847, 10.279800912627296 63.251187155228074, 10.279751339087216 63.25121464560847)</t>
  </si>
  <si>
    <t>[1482819, 1482827, 1482839]</t>
  </si>
  <si>
    <t>[1342972, 1342978, 664919]</t>
  </si>
  <si>
    <t>[664908, 1342972, 1342978]</t>
  </si>
  <si>
    <t>[4.098, 0.137, 3.821]</t>
  </si>
  <si>
    <t>17.160709469763617</t>
  </si>
  <si>
    <t>35.75869035605668</t>
  </si>
  <si>
    <t>[0.08, 0.077, 0.074, 0.062]</t>
  </si>
  <si>
    <t>LINESTRING (6.079228103747598 61.86422883938815, 6.07921897373259 61.86426854321913, 6.079126059157268 61.864601938517055, 6.078996436684765 61.8650069558836, 6.0788793697558745 61.86522182896409)</t>
  </si>
  <si>
    <t>[674980, 674988, 674996, 675004]</t>
  </si>
  <si>
    <t>[664980, 664983, 664990, 664993]</t>
  </si>
  <si>
    <t>0.07257399472831817</t>
  </si>
  <si>
    <t>[664979, 664980, 664983, 664990]</t>
  </si>
  <si>
    <t>112.80049299087099</t>
  </si>
  <si>
    <t>[-0.061, 0.042, 0.071, 0.298, 0.083]</t>
  </si>
  <si>
    <t>LINESTRING (6.079228103747598 61.86422883938815, 6.079141514256351 61.864199300338996, 6.078802490273385 61.864470205234234, 6.0787087869770025 61.86498431918773, 6.078709871069142 61.86498675803123, 6.0788793697558745 61.86522182896409)</t>
  </si>
  <si>
    <t>[675012, 675020, 675028, 675036, 675044]</t>
  </si>
  <si>
    <t>[664999, 665005, 665011, 665018, 664993]</t>
  </si>
  <si>
    <t>0.05862442984220047</t>
  </si>
  <si>
    <t>[664979, 664999, 665005, 665011, 665018]</t>
  </si>
  <si>
    <t>[0.061, 0.042, 0.071, 0.298, 0.083]</t>
  </si>
  <si>
    <t>138.84411194127182</t>
  </si>
  <si>
    <t>[-0.571, 0.016, 0.005, 0.007, 0.03, 0.046, 0.039, 0.029, 0.015, -0.036, -0.023, 0.006, 0.042, 0.059, 0.054, 0.118, 0.057, 0.116, 0.346, -0.017, -0.311, -0.287, -0.073, -0.069, -0.025, -0.052, -0.092, -0.091, 0.063, -0.033, -0.142, -0.136, -0.059, -0.008, -0.006, 0.003, 0.024, 0.031, 0.008, 0.003]</t>
  </si>
  <si>
    <t>[0, 0, 0, 0, 0, 0, 0, 0, 0, 0, 0, 0, 0, 0, 0, 0, 0, 0, 0, 0, 0, 0, 0, 0, 0, 0, 0, 0, 0, 0, 0, 0, 1, 0, 0, 0, 0, 0, 0, 0]</t>
  </si>
  <si>
    <t>LINESTRING (6.0788793697558745 61.86522182896409, 6.0788939565832285 61.86534795965187, 6.0787853431037755 61.86568846310155, 6.078431550957699 61.866419353091445, 6.07806072531626 61.8668682804035, 6.076534550866522 61.86767248646126, 6.076186574746412 61.867795246560114, 6.075491296135914 61.868039091304055, 6.0752316343364825 61.86812957404124, 6.0739740178663375 61.86870222898505, 6.0733537702252685 61.86919518254808, 6.072793002878035 61.87022518556657, 6.072666393355137 61.87068869563693, 6.07253549764831 61.87116810375564, 6.072393959811666 61.871690289431946, 6.072099859782421 61.87231420761253, 6.069675233503493 61.87348904532276, 6.0430955039058185 61.877600319980004, 6.039960538812848 61.87801768005781, 6.0397757015205435 61.878080169617554, 6.026739782271803 61.90279140762317, 6.026696421816622 61.90282084550802, 6.025847007525934 61.90316950486737, 6.022967522805794 61.903082730255754, 6.013814321826042 61.90272531007987, 6.01312208278028 61.902773403932876, 6.011947221721335 61.90284830551591, 6.010607169578553 61.90293483130153, 6.009277153025763 61.90302024231183, 6.00850823705921 61.90306141248877, 6.0050815952688685 61.90303905450219, 6.004587761351427 61.90312828539185, 6.004324662990807 61.90318579988639, 6.003616238799447 61.90335444797801, 6.003109661179584 61.903474381263614, 5.99972275359632 61.904286751087156, 5.996409671782862 61.905080789923986, 5.995884696781129 61.90520832668004, 5.995793998741963 61.9052304592388, 5.995723562641794 61.905247600107096, 5.9938444907542205 61.905743616378345)</t>
  </si>
  <si>
    <t>[1894108, 1894116, 1894124, 1894132, 1894140, 1894148, 1894156, 1894164, 1894172, 1894180, 1894188, 1894196, 1894204, 1894212, 1894220, 1894228, 1894236, 1894244, 1894252, 1894260, 1894268, 1894276, 1894284, 1894292, 1894300, 1894308, 1894316, 1894324, 1894332, 1894340, 1894348, 1894356, 1894364, 1894372, 1894380, 1894388, 1894396, 1894404, 1894412, 1894420]</t>
  </si>
  <si>
    <t>[1664398, 1652267, 1664409, 1649698, 1590721, 1652243, 1649780, 1590678, 1649769, 1649700, 1649711, 1652300, 1664452, 1652960, 1664462, 1664467, 1664471, 1664479, 1664484, 1664490, 1664497, 1664499, 1664505, 1664511, 1664516, 1664522, 991255, 1664534, 991277, 1652581, 1664553, 1664560, 1664564, 1664569, 1664576, 1664581, 1664586, 1664591, 1615377, 1656119]</t>
  </si>
  <si>
    <t>[664993, 1664398, 1652267, 1664409, 1649698, 1590721, 1652243, 1649780, 1590678, 1649769, 1649700, 1649711, 1652300, 1664452, 1652960, 1664462, 1664467, 1664471, 1664479, 1664484, 1664490, 1664497, 1664499, 1664505, 1664511, 1664516, 1664522, 991255, 1664534, 991277, 1652581, 1664553, 1664560, 1664564, 1664569, 1664576, 1664581, 1664586, 1664591, 1615377]</t>
  </si>
  <si>
    <t>[0.571, 0.016, 0.005, 0.007, 0.03, 0.046, 0.039, 0.029, 0.015, 0.036, 0.023, 0.006, 0.042, 0.059, 0.054, 0.118, 0.057, 0.116, 0.346, 0.017, 0.311, 0.287, 0.073, 0.069, 0.025, 0.052, 0.092, 0.091, 0.063, 0.033, 0.142, 0.136, 0.059, 0.008, 0.006, 0.003, 0.024, 0.031, 0.008, 0.003]</t>
  </si>
  <si>
    <t>7457.475728944166</t>
  </si>
  <si>
    <t>0.07</t>
  </si>
  <si>
    <t>11.25268407646487</t>
  </si>
  <si>
    <t>[0.052, 0.112]</t>
  </si>
  <si>
    <t>LINESTRING (10.432637314189677 59.93664773904071, 10.43277345130245 59.93668340010422, 10.43281008647097 59.936736204444585)</t>
  </si>
  <si>
    <t>[675450, 675458]</t>
  </si>
  <si>
    <t>[665442, 665364]</t>
  </si>
  <si>
    <t>0.07722865230996886</t>
  </si>
  <si>
    <t>[665422, 665442]</t>
  </si>
  <si>
    <t>14.820781008938422</t>
  </si>
  <si>
    <t>[0.089, 0.02, -0.027, -0.045, 0.023, 0.071, 0.049, 0.066]</t>
  </si>
  <si>
    <t>LINESTRING (10.436422724276541 59.93481076876071, 10.43571181863669 59.93519838851483, 10.434820683564674 59.93568054615201, 10.43463598876379 59.93578237912091, 10.43444361748301 59.93588801973057, 10.434259761046523 59.93598817251465, 10.43321902600405 59.93655640788738, 10.432884002872115 59.936700923672625, 10.43281008647097 59.936736204444585)</t>
  </si>
  <si>
    <t>[849700, 849708, 849724, 849732, 849740, 849748, 675378, 675386]</t>
  </si>
  <si>
    <t>[824716, 824722, 824732, 824741, 824751, 665357, 665358, 665364]</t>
  </si>
  <si>
    <t>0.046125315074829934</t>
  </si>
  <si>
    <t>[824502, 824716, 824722, 824732, 824741, 824751, 665357, 665358]</t>
  </si>
  <si>
    <t>[0.089, 0.02, 0.027, 0.045, 0.023, 0.071, 0.049, 0.066]</t>
  </si>
  <si>
    <t>294.9167174079323</t>
  </si>
  <si>
    <t>[0.063, 0.056, 0.056, -0.111, 0.093]</t>
  </si>
  <si>
    <t>LINESTRING (10.432710118850531 59.936819164848025, 10.43260221631006 59.936878151735314, 10.431957516733917 59.937184472487196, 10.428848952674468 59.93818582889934, 10.426511283710681 59.93856844243736, 10.422348164885493 59.93822571174464)</t>
  </si>
  <si>
    <t>[675394, 675402, 849756, 849764, 849772]</t>
  </si>
  <si>
    <t>[665374, 665383, 824768, 824779, 336016]</t>
  </si>
  <si>
    <t>0.034298995491913065</t>
  </si>
  <si>
    <t>[665373, 665374, 665383, 824768, 824779]</t>
  </si>
  <si>
    <t>[0.063, 0.056, 0.056, 0.111, 0.093]</t>
  </si>
  <si>
    <t>645.3762187868297</t>
  </si>
  <si>
    <t>[-0.016, -0.066]</t>
  </si>
  <si>
    <t>LINESTRING (10.432710118850531 59.936819164848025, 10.43257797742163 59.93682474314824, 10.432486303357773 59.93679287294374)</t>
  </si>
  <si>
    <t>[675475, 675483]</t>
  </si>
  <si>
    <t>[665473, 665392]</t>
  </si>
  <si>
    <t>[665373, 665473]</t>
  </si>
  <si>
    <t>[0.016, 0.066]</t>
  </si>
  <si>
    <t>13.654032899558725</t>
  </si>
  <si>
    <t>22.493769177233915</t>
  </si>
  <si>
    <t>[0.098, 0.053, 0.061, -0.106, 0.09]</t>
  </si>
  <si>
    <t>LINESTRING (10.432486303357773 59.93679287294374, 10.432441635861132 59.936845194919584, 10.431797594841477 59.937126571486104, 10.42880886226498 59.938139918410414, 10.426489729945628 59.938522005953104, 10.422348164885493 59.93822571174464)</t>
  </si>
  <si>
    <t>[675410, 675418, 849820, 849828, 849836]</t>
  </si>
  <si>
    <t>[665393, 665400, 824823, 824828, 336016]</t>
  </si>
  <si>
    <t>0.03555230374728473</t>
  </si>
  <si>
    <t>[665392, 665393, 665400, 824823, 824828]</t>
  </si>
  <si>
    <t>[0.098, 0.053, 0.061, 0.106, 0.09]</t>
  </si>
  <si>
    <t>631.6185115714145</t>
  </si>
  <si>
    <t>[-0.048, -0.056, 0.033, 0.072, 0.044, 0.046]</t>
  </si>
  <si>
    <t>LINESTRING (10.434466032834473 59.93570222493584, 10.434313863760302 59.93579717218973, 10.434154973805283 59.93589536671093, 10.433991934230967 59.935983344304034, 10.433078204604417 59.93648657996106, 10.432749542566231 59.93661185390539, 10.432637314189677 59.93664773904071)</t>
  </si>
  <si>
    <t>[849788, 849796, 849804, 849812, 675426, 675434]</t>
  </si>
  <si>
    <t>[824797, 824804, 824811, 665409, 665410, 665422]</t>
  </si>
  <si>
    <t>0.039477289006970784</t>
  </si>
  <si>
    <t>[824666, 824797, 824804, 824811, 665409, 665410]</t>
  </si>
  <si>
    <t>[0.048, 0.056, 0.033, 0.072, 0.044, 0.046]</t>
  </si>
  <si>
    <t>147.47331881907866</t>
  </si>
  <si>
    <t>[0.027, 0.071, 0.063, 0.06, 0.041]</t>
  </si>
  <si>
    <t>LINESTRING (20.548661821078916 69.54208158377317, 20.550529210150255 69.54239044507042, 20.550746516967294 69.54244346131276, 20.55088075519666 69.54247673211681, 20.552059554768483 69.54280538595012, 20.552959398680212 69.54314207533571)</t>
  </si>
  <si>
    <t>[675596, 675604, 675612, 675620, 675628]</t>
  </si>
  <si>
    <t>[665621, 665627, 665634, 665642, 665648]</t>
  </si>
  <si>
    <t>0.04309341914385883</t>
  </si>
  <si>
    <t>[665620, 665621, 665627, 665634, 665642]</t>
  </si>
  <si>
    <t>208.15332756892997</t>
  </si>
  <si>
    <t>[0.019, 0.071, 0.066, 0.062, 0.048, 0.052]</t>
  </si>
  <si>
    <t>LINESTRING (20.548661821078916 69.54208158377317, 20.550391584498815 69.54245278590058, 20.550648190434572 69.54251346027402, 20.550759920677876 69.54254061734203, 20.55194632609085 69.54285440532229, 20.55205967229982 69.5428871619466, 20.552959398680212 69.54314207533571)</t>
  </si>
  <si>
    <t>[675644, 675652, 675660, 675668, 675676, 675684]</t>
  </si>
  <si>
    <t>[665662, 665669, 665676, 665682, 665690, 665648]</t>
  </si>
  <si>
    <t>0.043482650382925155</t>
  </si>
  <si>
    <t>[665620, 665662, 665669, 665676, 665682, 665690]</t>
  </si>
  <si>
    <t>205.71515302782035</t>
  </si>
  <si>
    <t>LINESTRING (20.542444267243905 69.54163404995938, 20.546225119887843 69.54178178797521, 20.548661821078916 69.54208158377317)</t>
  </si>
  <si>
    <t>[1104552, 1104553]</t>
  </si>
  <si>
    <t>[1045877, 665620]</t>
  </si>
  <si>
    <t>0.006595957630040779</t>
  </si>
  <si>
    <t>[665731, 1045877]</t>
  </si>
  <si>
    <t>249.82411199271556</t>
  </si>
  <si>
    <t>[-0.003, -0.003, 0.002, 0.003, 0.003, 0.003]</t>
  </si>
  <si>
    <t>LINESTRING (20.537444340566367 69.54198802184611, 20.538381852820713 69.54184725763815, 20.53861202976953 69.54181972058417, 20.54009628246031 69.5416862371658, 20.540171997451633 69.54168119329654, 20.540401083590858 69.54166779067394, 20.542444267243905 69.54163404995938)</t>
  </si>
  <si>
    <t>[675694, 675702, 675711, 675719, 675727, 675732]</t>
  </si>
  <si>
    <t>[665698, 665702, 665710, 665718, 665727, 665731]</t>
  </si>
  <si>
    <t>0.0012316671175695345</t>
  </si>
  <si>
    <t>[665697, 665698, 665702, 665710, 665718, 665727]</t>
  </si>
  <si>
    <t>[0.003, 0.003, 0.002, 0.003, 0.003, 0.003]</t>
  </si>
  <si>
    <t>201.3667413622871</t>
  </si>
  <si>
    <t>[-0.003, 0.002, 0.003, 0.003, 0.003]</t>
  </si>
  <si>
    <t>LINESTRING (20.537444340566367 69.54198802184611, 20.538672562085132 69.54188429397325, 20.540154946161888 69.54175954507828, 20.540231651888707 69.54175435270034, 20.540437774541587 69.54174069013405, 20.542444267243905 69.54163404995938)</t>
  </si>
  <si>
    <t>[675738, 675746, 675749, 675750, 675758]</t>
  </si>
  <si>
    <t>[665737, 665744, 665746, 665747, 665731]</t>
  </si>
  <si>
    <t>0.0012165396418903941</t>
  </si>
  <si>
    <t>[665697, 665737, 665744, 665746, 665747]</t>
  </si>
  <si>
    <t>[0.003, 0.002, 0.003, 0.003, 0.003]</t>
  </si>
  <si>
    <t>199.27405463523962</t>
  </si>
  <si>
    <t>30.0</t>
  </si>
  <si>
    <t>LINESTRING (20.353522012103674 69.50685467578417, 20.537444340566367 69.54198802184611)</t>
  </si>
  <si>
    <t>40.329181493923976</t>
  </si>
  <si>
    <t>[0.067, 0.035, 0.009]</t>
  </si>
  <si>
    <t>LINESTRING (10.222952442264095 60.149792612946236, 10.220097661600375 60.15126847907666, 10.22005151099507 60.151305425399194, 10.219370032545113 60.15200306311903)</t>
  </si>
  <si>
    <t>[1716815, 1716816, 1716950]</t>
  </si>
  <si>
    <t>[1530701, 1530702, 1530717]</t>
  </si>
  <si>
    <t>0.05089743396567669</t>
  </si>
  <si>
    <t>[665874, 1530701, 1530702]</t>
  </si>
  <si>
    <t>321.56994287679197</t>
  </si>
  <si>
    <t>[-0.033, -0.073, -0.002]</t>
  </si>
  <si>
    <t>LINESTRING (10.220175762426056 60.15069874284466, 10.220266125090895 60.15071307379978, 10.222723505088238 60.14985124344158, 10.222952442264095 60.149792612946236)</t>
  </si>
  <si>
    <t>[1716865, 1716866, 675927]</t>
  </si>
  <si>
    <t>[1530726, 665873, 665874]</t>
  </si>
  <si>
    <t>[1530645, 1530726, 665873]</t>
  </si>
  <si>
    <t>[0.033, 0.073, 0.002]</t>
  </si>
  <si>
    <t>197.9959561077136</t>
  </si>
  <si>
    <t>12.151770467749127</t>
  </si>
  <si>
    <t>[-0.054, 0.008, -0.009]</t>
  </si>
  <si>
    <t>LINESTRING (5.597956085192671 59.13801413463803, 5.5978042093763865 59.13803655669014, 5.594739710524735 59.13772994968798, 5.594638881012542 59.1377482884242)</t>
  </si>
  <si>
    <t>[679720, 679757, 679765]</t>
  </si>
  <si>
    <t>[670286, 670325, 670332]</t>
  </si>
  <si>
    <t>0.004581351011665053</t>
  </si>
  <si>
    <t>[670285, 670286, 670325]</t>
  </si>
  <si>
    <t>[0.054, 0.008, 0.009]</t>
  </si>
  <si>
    <t>195.11073739448094</t>
  </si>
  <si>
    <t>[0.039, 0.041, -2.449]</t>
  </si>
  <si>
    <t>LINESTRING (5.594638881012542 59.1377482884242, 5.593022783049068 59.13812488379495, 5.592912202688871 59.13809150256449, 5.59287820173038 59.13808095501475)</t>
  </si>
  <si>
    <t>[2103154, 2103162, 2103163]</t>
  </si>
  <si>
    <t>[1817661, 1817665, 1170291]</t>
  </si>
  <si>
    <t>[670332, 1817661, 1817665]</t>
  </si>
  <si>
    <t>[0.039, 0.041, 2.449]</t>
  </si>
  <si>
    <t>121.83067428949323</t>
  </si>
  <si>
    <t>1.211</t>
  </si>
  <si>
    <t>4.455227266843485</t>
  </si>
  <si>
    <t>[0.005, 0.004, -0.008, -0.003, -0.015]</t>
  </si>
  <si>
    <t>LINESTRING (11.46159434400885 63.785387117270304, 11.461540707342763 63.78541408511635, 11.461217901527263 63.78560057567159, 11.461722077167309 63.78653070284603, 11.464979354431572 63.78507245575431, 11.465214511935507 63.78496433893209)</t>
  </si>
  <si>
    <t>[846884, 846885, 597876, 1623824, 1623832]</t>
  </si>
  <si>
    <t>[822229, 601112, 601113, 1453391, 672198]</t>
  </si>
  <si>
    <t>[821961, 822229, 601112, 601113, 1453391]</t>
  </si>
  <si>
    <t>[0.005, 0.004, 0.008, 0.003, 0.015]</t>
  </si>
  <si>
    <t>418.4366179187964</t>
  </si>
  <si>
    <t>114.39236982481908</t>
  </si>
  <si>
    <t>[0.038, -0.271, -0.019, -0.021, 0.023, 0.041, 0.054, -0.001, -0.076, -0.018, 0.009, -0.007, 0.012, 0.014, 0.089, 0.041, 0.065]</t>
  </si>
  <si>
    <t>6934.0</t>
  </si>
  <si>
    <t>LINESTRING (5.522475967361958 59.47280365051089, 5.5194124199391785 59.471338174191295, 5.518850814076548 59.47108599522154, 5.516135631582075 59.4704086103446, 5.515791259264249 59.47033646386989, 5.514269376117311 59.469589908809006, 5.511854683706446 59.4674763831001, 5.511420140079102 59.467223249939096, 5.510004041714122 59.46524323631353, 5.510969446593813 59.46369796074572, 5.504359304694306 59.45681188803792, 5.5033768679297435 59.45639790704657, 5.502926990318526 59.45621106421445, 5.49890854922024 59.45590351735887, 5.4956028712468346 59.45628617626756, 5.492842723311928 59.45761168692512, 5.492741601401414 59.4576659568895, 5.485448502278606 59.46091507238324)</t>
  </si>
  <si>
    <t>[1982257, 1982258, 681313, 681314, 681315, 681323, 681331, 681339, 681347, 681355, 681381, 681389, 681390, 681405, 681406, 681407, 681413]</t>
  </si>
  <si>
    <t>[1742444, 672283, 672284, 672285, 672286, 356090, 672308, 672321, 356013, 672340, 672372, 672384, 672385, 672406, 672407, 672408, 672413]</t>
  </si>
  <si>
    <t>0.011629249717857884</t>
  </si>
  <si>
    <t>[1742443, 1742444, 672283, 672284, 672285, 672286, 356090, 672308, 672321, 356013, 672340, 672372, 672384, 672385, 672406, 672407, 672408]</t>
  </si>
  <si>
    <t>[0.038, 0.271, 0.019, 0.021, 0.023, 0.041, 0.054, 0.001, 0.076, 0.018, 0.009, 0.007, 0.012, 0.014, 0.089, 0.041, 0.065]</t>
  </si>
  <si>
    <t>3573.461579095756</t>
  </si>
  <si>
    <t>0.136</t>
  </si>
  <si>
    <t>202.67505261393345</t>
  </si>
  <si>
    <t>0.133</t>
  </si>
  <si>
    <t>144.7170486778609</t>
  </si>
  <si>
    <t>[-0.074, -0.041, 0.003, -0.044, -0.05]</t>
  </si>
  <si>
    <t>LINESTRING (5.47787258417999 59.462321833245504, 5.474671072376853 59.4629408593972, 5.474268476971822 59.463023715202056, 5.474250086250323 59.46302748863092, 5.474136301156774 59.4630507982298, 5.472509305899611 59.46335907020718)</t>
  </si>
  <si>
    <t>[681432, 681433, 681453, 681461, 681469]</t>
  </si>
  <si>
    <t>[672435, 672436, 672457, 672464, 672473]</t>
  </si>
  <si>
    <t>[672432, 672435, 672436, 672457, 672464]</t>
  </si>
  <si>
    <t>[0.074, 0.041, 0.003, 0.044, 0.05]</t>
  </si>
  <si>
    <t>326.3593063749448</t>
  </si>
  <si>
    <t>[0.255, -0.018, 0.031, 0.025, -0.024]</t>
  </si>
  <si>
    <t>LINESTRING (5.47787258417999 59.462321833245504, 5.477580804977716 59.46241979114182, 5.473772939641191 59.46421998300026, 5.473719786549111 59.46424438957434, 5.473179237421736 59.46446202359786, 5.472942823443602 59.46453323359907)</t>
  </si>
  <si>
    <t>[1351711, 1351719, 1351727, 1351735, 1351743]</t>
  </si>
  <si>
    <t>[1251662, 1251668, 1251672, 1251676, 1251681]</t>
  </si>
  <si>
    <t>0.0005525677331314206</t>
  </si>
  <si>
    <t>[672432, 1251662, 1251668, 1251672, 1251676]</t>
  </si>
  <si>
    <t>[0.255, 0.018, 0.031, 0.025, 0.024]</t>
  </si>
  <si>
    <t>389.1273511089262</t>
  </si>
  <si>
    <t>122.89024886191848</t>
  </si>
  <si>
    <t>[-0.016, -0.018, 0.037]</t>
  </si>
  <si>
    <t>LINESTRING (5.439479462497654 59.4228270631875, 5.439739713598436 59.42272617807717, 5.442549756667389 59.42174212690361, 5.442601479911854 59.421746725365345)</t>
  </si>
  <si>
    <t>[681996, 682011, 682012]</t>
  </si>
  <si>
    <t>[673059, 673071, 673072]</t>
  </si>
  <si>
    <t>[672660, 673059, 673071]</t>
  </si>
  <si>
    <t>[0.016, 0.018, 0.037]</t>
  </si>
  <si>
    <t>216.12609319159617</t>
  </si>
  <si>
    <t>[0.0, 0.003, -0.02]</t>
  </si>
  <si>
    <t>LINESTRING (5.442535264399538 59.422203290911256, 5.442535264399538 59.422203290911256, 5.4380276383050346 59.42319711858483, 5.437500976273188 59.42326461270859)</t>
  </si>
  <si>
    <t>[682019, 682020, 682027]</t>
  </si>
  <si>
    <t>[673081, 673082, 672697]</t>
  </si>
  <si>
    <t>0.0007135723159225079</t>
  </si>
  <si>
    <t>[673080, 673081, 673082]</t>
  </si>
  <si>
    <t>[0.0, 0.003, 0.02]</t>
  </si>
  <si>
    <t>315.25516509198474</t>
  </si>
  <si>
    <t>[-0.047, -0.118, -0.118]</t>
  </si>
  <si>
    <t>LINESTRING (5.391373061427738 59.42368211996719, 5.386658590869954 59.424732825947956, 5.3856705021605835 59.42465917301924, 5.3853736627852005 59.424618124146576)</t>
  </si>
  <si>
    <t>[681716, 681724, 1315572]</t>
  </si>
  <si>
    <t>[672746, 672755, 1223192]</t>
  </si>
  <si>
    <t>[672745, 672746, 672755]</t>
  </si>
  <si>
    <t>[0.047, 0.118, 0.118]</t>
  </si>
  <si>
    <t>378.0245122080302</t>
  </si>
  <si>
    <t>[-0.005, -0.002, -0.025, -0.026, -1.492]</t>
  </si>
  <si>
    <t>LINESTRING (5.391373061427738 59.42368211996719, 5.391527924201158 59.423519868650416, 5.3921765088975215 59.422866967792295, 5.391972048201399 59.42255494863491, 5.390600196379975 59.42275152602768, 5.390531382220348 59.422774797731215)</t>
  </si>
  <si>
    <t>[2094440, 2094441, 2094449, 2094451, 2094462]</t>
  </si>
  <si>
    <t>[1812197, 1812198, 1812201, 1812202, 1812048]</t>
  </si>
  <si>
    <t>[672745, 1812197, 1812198, 1812201, 1812202]</t>
  </si>
  <si>
    <t>[0.005, 0.002, 0.025, 0.026, 1.492]</t>
  </si>
  <si>
    <t>229.51400645828755</t>
  </si>
  <si>
    <t>[-0.025, -0.057, -0.024, 0.064, -0.007]</t>
  </si>
  <si>
    <t>LINESTRING (5.3936588186752825 59.422323484374274, 5.393648239552589 59.422296567187246, 5.393152251314291 59.42205041148646, 5.392292351169406 59.42306863799718, 5.391653975330263 59.4235594674121, 5.391373061427738 59.42368211996719)</t>
  </si>
  <si>
    <t>[2094418, 2094423, 2094424, 2094432, 2094433]</t>
  </si>
  <si>
    <t>[1812187, 1812189, 1812190, 1812194, 672745]</t>
  </si>
  <si>
    <t>[1812094, 1812187, 1812189, 1812190, 1812194]</t>
  </si>
  <si>
    <t>[0.025, 0.057, 0.024, 0.064, 0.007]</t>
  </si>
  <si>
    <t>271.73134544038464</t>
  </si>
  <si>
    <t>[-0.007, -0.001]</t>
  </si>
  <si>
    <t>LINESTRING (5.393975133709445 59.420682326123774, 5.392611344119411 59.422637835951775, 5.391373061427738 59.42368211996719)</t>
  </si>
  <si>
    <t>[2094485, 2094486]</t>
  </si>
  <si>
    <t>[1812212, 672745]</t>
  </si>
  <si>
    <t>[1812154, 1812212]</t>
  </si>
  <si>
    <t>[0.007, 0.001]</t>
  </si>
  <si>
    <t>369.3379279653211</t>
  </si>
  <si>
    <t>[-0.066, -0.004, 0.001]</t>
  </si>
  <si>
    <t>LINESTRING (5.393977329097284 59.420553639588405, 5.393883043136239 59.4206607492048, 5.392524511434789 59.42260946027344, 5.391373061427738 59.42368211996719)</t>
  </si>
  <si>
    <t>[2094518, 2094519, 2094521]</t>
  </si>
  <si>
    <t>[1812223, 1812224, 672745]</t>
  </si>
  <si>
    <t>[1812162, 1812223, 1812224]</t>
  </si>
  <si>
    <t>[0.066, 0.004, 0.001]</t>
  </si>
  <si>
    <t>381.13035036746123</t>
  </si>
  <si>
    <t>[-0.015, 0.006, 0.018, 0.028, 0.023]</t>
  </si>
  <si>
    <t>LINESTRING (5.335452790061319 59.403662555812616, 5.335389749042634 59.40367912171092, 5.335428321344019 59.40457273911285, 5.335534426296238 59.404718599345046, 5.336880695028388 59.40649640527981, 5.336917786443922 59.406682528638385)</t>
  </si>
  <si>
    <t>[1156885, 1156893, 1156901, 1156909, 1156917]</t>
  </si>
  <si>
    <t>[1091907, 1091917, 1091924, 1091931, 672870]</t>
  </si>
  <si>
    <t>0.02022075476446702</t>
  </si>
  <si>
    <t>[1091844, 1091907, 1091917, 1091924, 1091931]</t>
  </si>
  <si>
    <t>[0.015, 0.006, 0.018, 0.028, 0.023]</t>
  </si>
  <si>
    <t>363.9825255519612</t>
  </si>
  <si>
    <t>[-0.001, 0.006, -0.007, -0.017]</t>
  </si>
  <si>
    <t>LINESTRING (5.330618326832677 59.39789887559542, 5.32932438066919 59.39774990139319, 5.329307112958387 59.39774834754574, 5.329030617345671 59.39772403948595, 5.326601469531707 59.39752707569785)</t>
  </si>
  <si>
    <t>[681823, 681831, 681839, 681847]</t>
  </si>
  <si>
    <t>[672880, 672892, 672904, 672915]</t>
  </si>
  <si>
    <t>[672879, 672880, 672892, 672904]</t>
  </si>
  <si>
    <t>[0.001, 0.006, 0.007, 0.017]</t>
  </si>
  <si>
    <t>232.83056364338887</t>
  </si>
  <si>
    <t>[25.193, 0.002, 0.02, -0.056, 0.005, -0.209]</t>
  </si>
  <si>
    <t>LINESTRING (5.334510368637264 59.40015851301002, 5.334509478900235 59.400155254387236, 5.334440191586097 59.39994492064775, 5.3340437849687925 59.399329502205795, 5.334038394637887 59.39932376396968, 5.331028345735116 59.39794280540844, 5.330618326832677 59.39789887559542)</t>
  </si>
  <si>
    <t>[1339148, 1339156, 1339164, 1339171, 1339179, 1339187]</t>
  </si>
  <si>
    <t>[1242663, 1242670, 1242676, 1242680, 1242686, 672879]</t>
  </si>
  <si>
    <t>0.019306890739576716</t>
  </si>
  <si>
    <t>[1092017, 1242663, 1242670, 1242676, 1242680, 1242686]</t>
  </si>
  <si>
    <t>[25.193, 0.002, 0.02, 0.056, 0.005, 0.209]</t>
  </si>
  <si>
    <t>358.27062769967546</t>
  </si>
  <si>
    <t>[0.022, -0.003]</t>
  </si>
  <si>
    <t>LINESTRING (5.333958445939419 59.399336559914, 5.33100678599052 59.39798885791401, 5.330618326832677 59.39789887559542)</t>
  </si>
  <si>
    <t>[1157349, 1157357]</t>
  </si>
  <si>
    <t>[1092324, 672879]</t>
  </si>
  <si>
    <t>0.019604269572298962</t>
  </si>
  <si>
    <t>[1092185, 1092324]</t>
  </si>
  <si>
    <t>[0.022, 0.003]</t>
  </si>
  <si>
    <t>256.10560318766903</t>
  </si>
  <si>
    <t>80.92962642320214</t>
  </si>
  <si>
    <t>[0.012, 0.012, -0.003, -0.003, -0.002]</t>
  </si>
  <si>
    <t>LINESTRING (5.32519835166239 59.39741618982338, 5.3254863082823585 59.39739596854255, 5.328535410225169 59.397451664561714, 5.328921425454058 59.39741509670282, 5.329100889189065 59.397383975704194, 5.329189462583591 59.39736566081611)</t>
  </si>
  <si>
    <t>[682303, 682318, 1429831, 1429839, 1429847]</t>
  </si>
  <si>
    <t>[673405, 673423, 1302298, 1302303, 1302244]</t>
  </si>
  <si>
    <t>0.009498138946546919</t>
  </si>
  <si>
    <t>[672922, 673405, 673423, 1302298, 1302303]</t>
  </si>
  <si>
    <t>[0.012, 0.012, 0.003, 0.003, 0.002]</t>
  </si>
  <si>
    <t>229.4332895458636</t>
  </si>
  <si>
    <t>[-0.021, -0.241, -0.051]</t>
  </si>
  <si>
    <t>LINESTRING (5.846749343635418 58.77200370317166, 5.846656840022952 58.7720131925238, 5.846010252240165 58.77216610193375, 5.845936710669313 58.772165094101425)</t>
  </si>
  <si>
    <t>[1717878, 1717879, 681913]</t>
  </si>
  <si>
    <t>[1531371, 672985, 672986]</t>
  </si>
  <si>
    <t>[1531269, 1531371, 672985]</t>
  </si>
  <si>
    <t>[0.021, 0.241, 0.051]</t>
  </si>
  <si>
    <t>51.08248675501434</t>
  </si>
  <si>
    <t>[0.155, -0.165, 0.049]</t>
  </si>
  <si>
    <t>LINESTRING (5.846609057681477 58.771860399439284, 5.846549404260575 58.77189641691122, 5.845970100653782 58.772131624322185, 5.845936710669313 58.772165094101425)</t>
  </si>
  <si>
    <t>[1717891, 1717892, 681914]</t>
  </si>
  <si>
    <t>[1531382, 672987, 672986]</t>
  </si>
  <si>
    <t>[1531281, 1531382, 672987]</t>
  </si>
  <si>
    <t>[0.155, 0.165, 0.049]</t>
  </si>
  <si>
    <t>52.348034756279006</t>
  </si>
  <si>
    <t>[0.0, -0.055, 0.562]</t>
  </si>
  <si>
    <t>LINESTRING (5.442852058031136 59.42196364102719, 5.442852058031136 59.42196364102719, 5.442691920314616 59.421823974745244, 5.442601479911854 59.421746725365345)</t>
  </si>
  <si>
    <t>[1308419, 1308427, 1308435]</t>
  </si>
  <si>
    <t>[1217475, 1217484, 673072]</t>
  </si>
  <si>
    <t>0.1347823663289147</t>
  </si>
  <si>
    <t>[1206482, 1217475, 1217484]</t>
  </si>
  <si>
    <t>[0.0, 0.055, 0.562]</t>
  </si>
  <si>
    <t>34.54089075623786</t>
  </si>
  <si>
    <t>[0.052, 0.029]</t>
  </si>
  <si>
    <t>LINESTRING (10.35239145636367 63.329372382070204, 10.35375632138597 63.330572302739434, 10.355201219580357 63.331952511386945)</t>
  </si>
  <si>
    <t>[682151, 682159]</t>
  </si>
  <si>
    <t>[673234, 673244]</t>
  </si>
  <si>
    <t>0.03979588690524174</t>
  </si>
  <si>
    <t>[673225, 673234]</t>
  </si>
  <si>
    <t>320.5167222376821</t>
  </si>
  <si>
    <t>[0.041, 0.048]</t>
  </si>
  <si>
    <t>LINESTRING (10.349648731718311 63.32771683347383, 10.349957904594184 63.32781901855143, 10.35239145636367 63.329372382070204)</t>
  </si>
  <si>
    <t>[682456, 682143]</t>
  </si>
  <si>
    <t>[673224, 673225]</t>
  </si>
  <si>
    <t>0.047419634523599395</t>
  </si>
  <si>
    <t>[673595, 673224]</t>
  </si>
  <si>
    <t>231.9723848415799</t>
  </si>
  <si>
    <t>[0.012, 0.026, 0.017]</t>
  </si>
  <si>
    <t>LINESTRING (10.355201219580357 63.331952511386945, 10.355208456430477 63.33200184674624, 10.35674096534887 63.33367921993365, 10.35683774347941 63.33384568068766)</t>
  </si>
  <si>
    <t>[1256975, 1256979, 682488]</t>
  </si>
  <si>
    <t>[1175042, 673632, 673488]</t>
  </si>
  <si>
    <t>0.02490089359394197</t>
  </si>
  <si>
    <t>[673244, 1175042, 673632]</t>
  </si>
  <si>
    <t>227.29531275469157</t>
  </si>
  <si>
    <t>[0.041, 0.077, 0.005, 0.018]</t>
  </si>
  <si>
    <t>5785.0</t>
  </si>
  <si>
    <t>LINESTRING (10.317393899675984 63.32331630809959, 10.336144935110205 63.326109353052566, 10.344628084453927 63.326295359501145, 10.346259658687678 63.326598442095445, 10.349648731718311 63.32771683347383)</t>
  </si>
  <si>
    <t>[1109640, 1109648, 1109656, 1109664]</t>
  </si>
  <si>
    <t>[1049990, 1049996, 1050000, 673595]</t>
  </si>
  <si>
    <t>0.045209940199386595</t>
  </si>
  <si>
    <t>[673388, 1049990, 1049996, 1050000]</t>
  </si>
  <si>
    <t>1753.2955406256901</t>
  </si>
  <si>
    <t>[0.006, 0.007, 0.008, 0.008, 0.011, 0.015, 0.011, 0.013, 0.008]</t>
  </si>
  <si>
    <t>[0, 0, 1, 1, 0, 1, 0, 0, 0]</t>
  </si>
  <si>
    <t>LINESTRING (10.296070317218675 63.31656845488024, 10.296270877226393 63.31676215750623, 10.296686526402615 63.31712936709332, 10.297070611376189 63.31743586347462, 10.297139168885563 63.3174875009346, 10.301479299910811 63.3197639216828, 10.302307290197103 63.32005700040424, 10.304988164731167 63.32081131521968, 10.315866106902538 63.32286290751587, 10.317393899675984 63.32331630809959)</t>
  </si>
  <si>
    <t>[682632, 682640, 682648, 682656, 1109600, 1109608, 1109616, 1109624, 1109632]</t>
  </si>
  <si>
    <t>[673789, 673799, 673811, 673822, 1049954, 1049964, 1049974, 1049981, 673388]</t>
  </si>
  <si>
    <t>0.011505245430172811</t>
  </si>
  <si>
    <t>[673778, 673789, 673799, 673811, 673822, 1049954, 1049964, 1049974, 1049981]</t>
  </si>
  <si>
    <t>1347.5063031419954</t>
  </si>
  <si>
    <t>[0.022, 0.028, 0.022, 0.016]</t>
  </si>
  <si>
    <t>LINESTRING (10.353252682308888 63.33069389809681, 10.354376567888966 63.3317680605251, 10.356602470065368 63.33389533399062, 10.358470728017927 63.335680259049646, 10.361250621150235 63.33833588188892)</t>
  </si>
  <si>
    <t>[682313, 682321, 682322, 682329]</t>
  </si>
  <si>
    <t>[673415, 673426, 673427, 673434]</t>
  </si>
  <si>
    <t>0.021585085643896086</t>
  </si>
  <si>
    <t>[673409, 673415, 673426, 673427]</t>
  </si>
  <si>
    <t>941.5848905763157</t>
  </si>
  <si>
    <t>[0.006, 0.04, 0.079, 0.005, 0.01, 0.031, 0.048, 0.048, 0.051, 0.051]</t>
  </si>
  <si>
    <t>LINESTRING (10.315713369413524 63.32294688218473, 10.31724158586462 63.32339965980696, 10.33601558479293 63.3262293661608, 10.344516927821713 63.326427152410396, 10.346132382113451 63.32672728102832, 10.347267595907374 63.3270182658428, 10.350735135197564 63.32854169242851, 10.350849653357178 63.328617913108125, 10.35154683271449 63.32913554419313, 10.353167125777972 63.330612078604275, 10.353252682308888 63.33069389809681)</t>
  </si>
  <si>
    <t>[1109800, 1109808, 1109816, 1109824, 1109832, 1109840, 1109848, 682298, 682305, 682306]</t>
  </si>
  <si>
    <t>[1050108, 1050112, 1050119, 1050124, 1050128, 1050131, 673399, 673400, 673408, 673409]</t>
  </si>
  <si>
    <t>0.04412884101821257</t>
  </si>
  <si>
    <t>[1050101, 1050108, 1050112, 1050119, 1050124, 1050128, 1050131, 673399, 673400, 673408]</t>
  </si>
  <si>
    <t>2216.5416864752133</t>
  </si>
  <si>
    <t>[0.013, 0.015, 0.014, 0.009, -0.011, -0.017]</t>
  </si>
  <si>
    <t>LINESTRING (10.361250621150235 63.33833588188892, 10.361513779532409 63.3385859938057, 10.36156664408504 63.33863591579404, 10.36176058911433 63.33881751562003, 10.36756383399279 63.34339611765623, 10.367921720674152 63.34375743088241, 10.36792662519398 63.34376264417155)</t>
  </si>
  <si>
    <t>[682330, 682337, 2101117, 1109688, 1109696, 1109704]</t>
  </si>
  <si>
    <t>[673435, 673442, 1050021, 1050022, 1050028, 1050036]</t>
  </si>
  <si>
    <t>0.008096030135626119</t>
  </si>
  <si>
    <t>[673434, 673435, 673442, 1050021, 1050022, 1050028]</t>
  </si>
  <si>
    <t>[0.013, 0.015, 0.014, 0.009, 0.011, 0.017]</t>
  </si>
  <si>
    <t>692.075805028276</t>
  </si>
  <si>
    <t>219.87073884520646</t>
  </si>
  <si>
    <t>[0.046, 0.047, 0.05, 0.058, 0.023, 0.029]</t>
  </si>
  <si>
    <t>LINESTRING (10.349648731718311 63.32771683347383, 10.350998228388267 63.328465656870826, 10.35108746977221 63.32852584532271, 10.353394005472092 63.33055481057307, 10.353480379392346 63.330637393988596, 10.354603993431342 63.33171129381491, 10.35683774347941 63.33384568068766)</t>
  </si>
  <si>
    <t>[1109672, 1109680, 682352, 682360, 682368, 682376]</t>
  </si>
  <si>
    <t>[1050011, 673459, 673460, 673469, 673479, 673488]</t>
  </si>
  <si>
    <t>0.037788217571229625</t>
  </si>
  <si>
    <t>[673595, 1050011, 673459, 673460, 673469, 673479]</t>
  </si>
  <si>
    <t>775.3271539040717</t>
  </si>
  <si>
    <t>[0.015, 0.013, 0.014, 0.014, 0.008, -0.006]</t>
  </si>
  <si>
    <t>LINESTRING (10.358705341502693 63.335630176206685, 10.36148619984751 63.33828661684375, 10.361749830694938 63.33853728322722, 10.361801716375894 63.33858632793797, 10.3619735138409 63.33874754838004, 10.367787753065233 63.343335922995564, 10.367804757750672 63.343352248901816)</t>
  </si>
  <si>
    <t>[682392, 682400, 682408, 2101118, 1109904, 1109912]</t>
  </si>
  <si>
    <t>[673510, 673520, 673530, 1050161, 1050162, 1050165]</t>
  </si>
  <si>
    <t>0.01063864156401455</t>
  </si>
  <si>
    <t>[673499, 673510, 673520, 673530, 1050161, 1050162]</t>
  </si>
  <si>
    <t>[0.015, 0.013, 0.014, 0.014, 0.008, 0.006]</t>
  </si>
  <si>
    <t>975.3254846141419</t>
  </si>
  <si>
    <t>[0.008, 0.012, 0.015, 0.01, 0.013]</t>
  </si>
  <si>
    <t>[1, 0, 1, 0, 0]</t>
  </si>
  <si>
    <t>LINESTRING (10.296897938141711 63.31748159597494, 10.297004823185937 63.31756022029925, 10.301527350207854 63.31989833412294, 10.302269849747764 63.320156683179604, 10.304893715906312 63.32089489075181, 10.315713369413524 63.32294688218473)</t>
  </si>
  <si>
    <t>[1109760, 1109768, 1109776, 1109784, 1109792]</t>
  </si>
  <si>
    <t>[1050074, 1050079, 1050084, 1050092, 1050101]</t>
  </si>
  <si>
    <t>0.01233015516291245</t>
  </si>
  <si>
    <t>[673584, 1050074, 1050079, 1050084, 1050092]</t>
  </si>
  <si>
    <t>1149.832884931881</t>
  </si>
  <si>
    <t>[0.002, 0.004, 0.005, 0.006, 0.007, 0.008]</t>
  </si>
  <si>
    <t>[0, 0, 0, 0, 0, 1]</t>
  </si>
  <si>
    <t>LINESTRING (10.288791157871145 63.30580625865236, 10.292664051371409 63.312208191511345, 10.294680670959114 63.31510014550336, 10.295885330315352 63.316603410048046, 10.29609053760604 63.31680170913656, 10.29654441577877 63.31720101996957, 10.296897938141711 63.31748159597494)</t>
  </si>
  <si>
    <t>[1109896, 682416, 682424, 682432, 682440, 682448]</t>
  </si>
  <si>
    <t>[673542, 673543, 673555, 673565, 673573, 673584]</t>
  </si>
  <si>
    <t>0.0032973257699840126</t>
  </si>
  <si>
    <t>[1050156, 673542, 673543, 673555, 673565, 673573]</t>
  </si>
  <si>
    <t>1367.3854578766202</t>
  </si>
  <si>
    <t>[0.031, 0.031, 0.036, 0.037, 0.04]</t>
  </si>
  <si>
    <t>LINESTRING (14.31433761248754 66.36377399005683, 14.31529022019935 66.36424862328657, 14.316335602292556 66.36462339092294, 14.316461794013433 66.36466176882908, 14.316559586010825 66.36469151698904, 14.318390399274541 66.36509974153643)</t>
  </si>
  <si>
    <t>[682763, 682771, 682779, 682787, 682795]</t>
  </si>
  <si>
    <t>[673955, 673892, 673977, 673923, 673996]</t>
  </si>
  <si>
    <t>0.03485244760135029</t>
  </si>
  <si>
    <t>[673954, 673955, 673892, 673977, 673923]</t>
  </si>
  <si>
    <t>237.8470612857952</t>
  </si>
  <si>
    <t>[0.031, 0.026, 0.031, 0.036, 0.041]</t>
  </si>
  <si>
    <t>LINESTRING (14.31433761248754 66.36377399005683, 14.315297012299425 66.36415860509128, 14.31540556405282 66.36420187662607, 14.316412268160164 66.36456045052638, 14.316533472858412 66.36459807979729, 14.318390399274541 66.36509974153643)</t>
  </si>
  <si>
    <t>[682803, 682811, 682819, 682827, 682835]</t>
  </si>
  <si>
    <t>[674003, 674011, 674020, 673891, 673996]</t>
  </si>
  <si>
    <t>0.03526946187563596</t>
  </si>
  <si>
    <t>[673954, 674003, 674011, 674020, 673891]</t>
  </si>
  <si>
    <t>235.0895455725592</t>
  </si>
  <si>
    <t>[0.01, 0.011, 0.017]</t>
  </si>
  <si>
    <t>LINESTRING (14.314228521111053 66.35904520039546, 14.312714049881857 66.36048663545053, 14.312690111227763 66.36052833758205, 14.31433761248754 66.36377399005683)</t>
  </si>
  <si>
    <t>[695687, 695695, 695698]</t>
  </si>
  <si>
    <t>[690258, 690266, 673954]</t>
  </si>
  <si>
    <t>0.014762445979138608</t>
  </si>
  <si>
    <t>[690257, 690258, 690266]</t>
  </si>
  <si>
    <t>559.9604591120573</t>
  </si>
  <si>
    <t>[0.044, -0.019, -0.065, -0.034, -0.016, -0.027, -0.026, 0.018, 0.036, -0.009, -0.02, -0.038, -0.0, 1.016, -0.011, 0.004, -0.033, 0.009, 0.074, 0.001, 0.099, -0.064, 0.081]</t>
  </si>
  <si>
    <t>[0, 1, 0, 1, 0, 0, 0, 0, 0, 0, 0, 0, 0, 0, 0, 0, 0, 0, 0, 0, 0, 0, 0]</t>
  </si>
  <si>
    <t>LINESTRING (14.318390399274541 66.36509974153643, 14.329027162186101 66.3664945152437, 14.329709570494357 66.36658187467201, 14.339297896347563 66.36780823671842, 14.339410864621616 66.36782262156459, 14.355558489229903 66.36926647880492, 14.355676713613073 66.369269201547, 14.355828737145625 66.36927301489197, 14.365256505110802 66.37037964351721, 14.372066899434518 66.37147285221836, 14.376202244416364 66.372212563194, 14.37937049439041 66.3729434711666, 14.381855268389494 66.37352285728461, 14.390820092387251 66.37651768163244, 14.3908622040971 66.37656187833899, 14.394692397092378 66.38150303840013, 14.394705313583772 66.38159994479933, 14.394244585891332 66.38598796038687, 14.393846601238698 66.38766219827376, 14.39376940977481 66.38792135364214, 14.399037940506323 66.3989040823236, 14.400706368815957 66.3999085765574, 14.406524387665584 66.40121678737827, 14.418764048970461 66.40287808708734)</t>
  </si>
  <si>
    <t>[695699, 695700, 695705, 695713, 695721, 695729, 695737, 695745, 695753, 695761, 695769, 695777, 695785, 695793, 695801, 695809, 695817, 1196984, 1196992, 1197000, 2088431, 2088439, 2088447]</t>
  </si>
  <si>
    <t>[690269, 690270, 690277, 690286, 690295, 690305, 690316, 411182, 411193, 690344, 690352, 690357, 690369, 690379, 690389, 411302, 690406, 435583, 1123145, 1123150, 1808607, 1808613, 1570377]</t>
  </si>
  <si>
    <t>0.002612077069301134</t>
  </si>
  <si>
    <t>[673996, 690269, 690270, 690277, 690286, 690295, 690305, 690316, 411182, 411193, 690344, 690352, 690357, 690369, 690379, 690389, 411302, 690406, 435583, 1123145, 1123150, 1808607, 1808613]</t>
  </si>
  <si>
    <t>[0.044, 0.019, 0.065, 0.034, 0.016, 0.027, 0.026, 0.018, 0.036, 0.009, 0.02, 0.038, 0.0, 1.016, 0.011, 0.004, 0.033, 0.009, 0.074, 0.001, 0.099, 0.064, 0.081]</t>
  </si>
  <si>
    <t>7151.507664516401</t>
  </si>
  <si>
    <t>[-0.015, -0.004, -0.005, -0.004, -0.007]</t>
  </si>
  <si>
    <t>LINESTRING (13.340034649132912 65.26395045389356, 13.341162992329203 65.26532180184786, 13.341448334439244 65.26582259581706, 13.341488311474539 65.26589087761431, 13.341545379228673 65.26598861487014, 13.342791598131493 65.26801268211932)</t>
  </si>
  <si>
    <t>[1434197, 1434205, 1434213, 1434221, 1434229]</t>
  </si>
  <si>
    <t>[1304726, 1304732, 1304718, 1304721, 674334]</t>
  </si>
  <si>
    <t>[674327, 1304726, 1304732, 1304718, 1304721]</t>
  </si>
  <si>
    <t>[0.015, 0.004, 0.005, 0.004, 0.007]</t>
  </si>
  <si>
    <t>471.55598462617695</t>
  </si>
  <si>
    <t>[-0.013, -0.002, -0.004, -0.005, -0.008]</t>
  </si>
  <si>
    <t>LINESTRING (13.340034649132912 65.26395045389356, 13.341272192743425 65.26519383805133, 13.341335000358116 65.26530317142527, 13.341622505678895 65.26580368372478, 13.341686671307688 65.26591532048121, 13.342791598131493 65.26801268211932)</t>
  </si>
  <si>
    <t>[1434237, 1434245, 1434253, 1434261, 1434269]</t>
  </si>
  <si>
    <t>[1304751, 1304758, 1304763, 1304717, 674334]</t>
  </si>
  <si>
    <t>[674327, 1304751, 1304758, 1304763, 1304717]</t>
  </si>
  <si>
    <t>[0.013, 0.002, 0.004, 0.005, 0.008]</t>
  </si>
  <si>
    <t>473.6721119069454</t>
  </si>
  <si>
    <t>[0.002, -0.013, -0.016, -0.02, -0.022, -0.006, 0.003, 0.009, 0.009, 0.011, 0.011, 0.024, 0.042, 0.03, 0.025, 0.001, -0.034, -0.035, -0.007, -0.022, -0.024, -0.009, -0.008, -0.009, -0.057, -0.057, -0.023, -0.015, 0.0, 0.006, -0.003, -0.003, -0.142, 0.003, 0.022, -0.066, -0.001, -0.016, -0.024, -0.048, -0.063, -0.016]</t>
  </si>
  <si>
    <t>[0, 1, 0, 0, 0, 0, 0, 0, 0, 0, 0, 0, 0, 0, 0, 0, 0, 0, 0, 0, 0, 0, 1, 0, 0, 0, 0, 0, 0, 0, 0, 0, 0, 0, 0, 0, 0, 0, 0, 0, 0, 0]</t>
  </si>
  <si>
    <t>LINESTRING (13.369317687774846 65.16994175465923, 13.37391975863224 65.1747108958048, 13.374077623396898 65.17488863955184, 13.374484515188067 65.17548375658002, 13.374699539959206 65.17602998236397, 13.3747532130741 65.17623779420703, 13.374885847340447 65.17696599168515, 13.375331561160328 65.17958604217597, 13.374836620143942 65.17999622495718, 13.373982003824779 65.1807448153492, 13.373949416566408 65.18077822612503, 13.37402951091972 65.18271137440951, 13.37624026200745 65.19414777695322, 13.376425471401976 65.1952402281533, 13.376648952451694 65.1966849080745, 13.376824664095357 65.19723517226184, 13.384871051793896 65.2084749448645, 13.383604714436641 65.20960831747522, 13.37763298615161 65.21280750779951, 13.373970455419792 65.21310799061813, 13.370313046753598 65.21437314227752, 13.369015411514512 65.21502770679339, 13.368394335558499 65.21636195047158, 13.368392638580985 65.21641517111189, 13.363500065919528 65.2194768465502, 13.363426333591564 65.2194953579331, 13.358729986130916 65.22244391922709, 13.35720941937941 65.22361200212826, 13.354775347085582 65.22584617137682, 13.353886220888116 65.22672765053221, 13.350699312796822 65.22946329132363, 13.349731349737365 65.2302667166731, 13.349224308198153 65.23068342246431, 13.349202819525116 65.23069896452235, 13.347885788894592 65.23180107384462, 13.331324046644925 65.24140301973769, 13.325774999489841 65.24385418406158, 13.323566453414058 65.24494073078247, 13.32349163187315 65.24497990758172, 13.315408386824902 65.25354510215526, 13.3190212229972 65.2563449520828, 13.32494018116876 65.25796576833493, 13.340034649132912 65.26395045389356)</t>
  </si>
  <si>
    <t>[851638, 851646, 851654, 851662, 851670, 1194398, 1194406, 1194414, 1194422, 1194430, 1194438, 1194447, 1194455, 1194463, 1194471, 1194479, 1194487, 1194495, 1194503, 1194511, 1194519, 1194527, 1194535, 1194543, 1194551, 1194559, 1194567, 1194575, 1194583, 1194591, 1194599, 1194607, 1194615, 683041, 683049, 683057, 683065, 683073, 683081, 683089, 683097, 683105]</t>
  </si>
  <si>
    <t>[826287, 826292, 427387, 826301, 826305, 1121452, 1121459, 1121462, 427151, 1121470, 1121476, 1121482, 386046, 386054, 386064, 386096, 386085, 1121512, 1121518, 386149, 386150, 1121539, 1121547, 1121552, 427105, 386401, 386514, 386524, 386481, 386543, 1121590, 1121594, 674257, 673963, 673973, 674272, 673984, 674291, 674302, 674008, 674319, 674327]</t>
  </si>
  <si>
    <t>[826286, 826287, 826292, 427387, 826301, 826305, 1121452, 1121459, 1121462, 427151, 1121470, 1121476, 1121482, 386046, 386054, 386064, 386096, 386085, 1121512, 1121518, 386149, 386150, 1121539, 1121547, 1121552, 427105, 386401, 386514, 386524, 386481, 386543, 1121590, 1121594, 674257, 673963, 673973, 674272, 673984, 674291, 674302, 674008, 674319]</t>
  </si>
  <si>
    <t>[0.002, 0.013, 0.016, 0.02, 0.022, 0.006, 0.003, 0.009, 0.009, 0.011, 0.011, 0.024, 0.042, 0.03, 0.025, 0.001, 0.034, 0.035, 0.007, 0.022, 0.024, 0.009, 0.008, 0.009, 0.057, 0.057, 0.023, 0.015, 0.0, 0.006, 0.003, 0.003, 0.142, 0.003, 0.022, 0.066, 0.001, 0.016, 0.024, 0.048, 0.063, 0.016]</t>
  </si>
  <si>
    <t>12351.534805103256</t>
  </si>
  <si>
    <t>[0.014, 0.012, 0.104, 0.007, 0.022, -0.095, 0.001, 0.007, 0.007, 0.016, 0.007, -0.011, -0.017, -0.019, -0.004, 0.004, 0.048, 0.05, 0.034, 0.021, -0.012, -0.013, -0.013, -0.014, -0.028, -0.027, -0.018, 0.0, -0.003, -0.004, -0.003]</t>
  </si>
  <si>
    <t>LINESTRING (28.203676192994106 70.19784788090375, 28.203958627425806 70.19735927184213, 28.20408479097554 70.1971383043894, 28.204336620364774 70.19642313731684, 28.204298741695972 70.19520079585635, 28.20210504435231 70.19334330785163, 28.19927676853234 70.19228816296199, 28.200091253538496 70.18930506615239, 28.20271772210192 70.1864682809864, 28.202971882602874 70.18619024948093, 28.203610343674985 70.18550157576597, 28.20447024647307 70.1845751225455, 28.206421390409936 70.18246427744769, 28.206442228534414 70.18244035922604, 28.210130250379773 70.17844677445684, 28.210178117834353 70.17839429728014, 28.21142438295202 70.17705449077307, 28.21433984081769 70.17532920128069, 28.215391722157385 70.1747947531276, 28.216313024206098 70.17432209108131, 28.218468672409372 70.17322495788717, 28.21878147320583 70.17306630353528, 28.219098239602776 70.17290612400859, 28.220009300357436 70.17243868650462, 28.222038983323795 70.17125153994057, 28.222509097385455 70.170822842511, 28.222631748914683 70.1707117354953, 28.223895077865983 70.16947713757169, 28.224061092854566 70.1681031192031, 28.224061914288743 70.16795527382445, 28.22404047696876 70.16711592304043, 28.224051658439222 70.16687630072238)</t>
  </si>
  <si>
    <t>[1854180, 1854203, 1854204, 1020072, 1161209, 1161217, 1161225, 1161233, 1161241, 1161249, 1161257, 1161265, 1161273, 1161281, 1161289, 1161297, 1161305, 1161313, 1161321, 1161329, 1161337, 1161345, 1161353, 1161361, 1161369, 1161377, 1161385, 1161393, 1161401, 1161409, 1161417]</t>
  </si>
  <si>
    <t>[675266, 1623869, 975758, 975759, 1018746, 1018747, 1095782, 968330, 968302, 968290, 1095803, 968238, 968279, 968230, 968220, 1095831, 968196, 968179, 968151, 1095858, 1095866, 968141, 1095876, 968125, 1018726, 968095, 968051, 1018255, 968025, 1052279, 979285]</t>
  </si>
  <si>
    <t>0.0014273237643260153</t>
  </si>
  <si>
    <t>[675246, 675266, 1623869, 975758, 975759, 1018746, 1018747, 1095782, 968330, 968302, 968290, 1095803, 968238, 968279, 968230, 968220, 1095831, 968196, 968179, 968151, 1095858, 1095866, 968141, 1095876, 968125, 1018726, 968095, 968051, 1018255, 968025, 1052279]</t>
  </si>
  <si>
    <t>[0.014, 0.012, 0.104, 0.007, 0.022, 0.095, 0.001, 0.007, 0.007, 0.016, 0.007, 0.011, 0.017, 0.019, 0.004, 0.004, 0.048, 0.05, 0.034, 0.021, 0.012, 0.013, 0.013, 0.014, 0.028, 0.027, 0.018, 0.0, 0.003, 0.004, 0.003]</t>
  </si>
  <si>
    <t>3744.252051859563</t>
  </si>
  <si>
    <t>[-0.031, -0.021, -0.186, 0]</t>
  </si>
  <si>
    <t>LINESTRING (5.588557581074579 59.136563221892985, 5.588247851888926 59.13689797140932, 5.588355839421398 59.13721181566449, 5.588445453878766 59.13735062520707, 5.589785726426449 59.1394947647648)</t>
  </si>
  <si>
    <t>[805281, 805289, 805297, 805417]</t>
  </si>
  <si>
    <t>[783674, 783682, 783690, 783800]</t>
  </si>
  <si>
    <t>[677129, 783674, 783682, 783690]</t>
  </si>
  <si>
    <t>[0.031, 0.021, 0.186, inf]</t>
  </si>
  <si>
    <t>96.03070624668396</t>
  </si>
  <si>
    <t>15.631768934207875</t>
  </si>
  <si>
    <t>0.195</t>
  </si>
  <si>
    <t>23.80828637271115</t>
  </si>
  <si>
    <t>[-0.206, -0.176, -0.156, -0.13, 0.033, -0.085]</t>
  </si>
  <si>
    <t>LINESTRING (5.609629684311147 60.832024478156356, 5.609683513162319 60.8320403263219, 5.609877036368825 60.83209128639817, 5.610398311226943 60.83222100512562, 5.6104195060102855 60.832373481378646, 5.6096287465111505 60.83244418261982, 5.607551229383177 60.833698223540345)</t>
  </si>
  <si>
    <t>[693317, 693325, 693333, 1255083, 1255084, 1255091]</t>
  </si>
  <si>
    <t>[687473, 687480, 687492, 1173558, 1173559, 1173565]</t>
  </si>
  <si>
    <t>[687472, 687473, 687480, 687492, 1173558, 1173559]</t>
  </si>
  <si>
    <t>[0.206, 0.176, 0.156, 0.13, 0.033, 0.085]</t>
  </si>
  <si>
    <t>294.11281428417146</t>
  </si>
  <si>
    <t>[-0.03, -0.106, -0.091]</t>
  </si>
  <si>
    <t>LINESTRING (5.609629684311147 60.832024478156356, 5.606852841484959 60.83351298144105, 5.59934813447979 60.835822658122055, 5.593432490686222 60.83820626685045)</t>
  </si>
  <si>
    <t>[1822444, 1822452, 2065480]</t>
  </si>
  <si>
    <t>[1602014, 1602021, 1757076]</t>
  </si>
  <si>
    <t>[687472, 1602014, 1602021]</t>
  </si>
  <si>
    <t>[0.03, 0.106, 0.091]</t>
  </si>
  <si>
    <t>1130.1512114525367</t>
  </si>
  <si>
    <t>1787.0</t>
  </si>
  <si>
    <t>LINESTRING (5.546970415649263 60.70107500343034, 5.609629684311147 60.832024478156356)</t>
  </si>
  <si>
    <t>14860.883117838539</t>
  </si>
  <si>
    <t>[0.015, 0.043, -0.024, 0.001, -0.006, -0.01, -0.004, -0.072, -0.068, -0.028, -0.018, -0.014, -0.031]</t>
  </si>
  <si>
    <t>LINESTRING (10.70691363147695 59.42234456544036, 10.707022975859564 59.42239986312933, 10.707490989781103 59.42379132421233, 10.707954312556822 59.4245661286848, 10.708633376306121 59.425176713138185, 10.708591476094403 59.42533361525264, 10.708544119198546 59.42546674207534, 10.708510008552134 59.42562455704636, 10.7083746184963 59.425626205577636, 10.70804743647698 59.42562059531984, 10.707171954630198 59.42662515732199, 10.706602573121918 59.42838204356326, 10.7063853128425 59.428938055122934, 10.706312673227568 59.42899657625481)</t>
  </si>
  <si>
    <t>[694125, 694101, 342520, 342528, 342536, 342544, 342552, 342560, 342568, 342576, 694217, 694225, 694141]</t>
  </si>
  <si>
    <t>[688415, 331185, 331186, 331195, 331202, 331211, 331218, 331224, 331231, 331236, 688551, 688457, 688458]</t>
  </si>
  <si>
    <t>[688441, 688415, 331185, 331186, 331195, 331202, 331211, 331218, 331224, 331231, 331236, 688551, 688457]</t>
  </si>
  <si>
    <t>[0.015, 0.043, 0.024, 0.001, 0.006, 0.01, 0.004, 0.072, 0.068, 0.028, 0.018, 0.014, 0.031]</t>
  </si>
  <si>
    <t>810.9787582201851</t>
  </si>
  <si>
    <t>[0.009, -0.07, -0.035, -0.006, 0.008, 0.003, -0.004, -0.036, -0.013]</t>
  </si>
  <si>
    <t>LINESTRING (10.70691363147695 59.42234456544036, 10.707361387163646 59.42361256172639, 10.707367340765552 59.42364381702106, 10.707456831291998 59.424324222194436, 10.707087848030403 59.426538301090496, 10.707022827884455 59.426739519671145, 10.706718904789513 59.42769905545258, 10.706690754227726 59.427789210895476, 10.70653116914337 59.428357247287664, 10.706312673227568 59.42899657625481)</t>
  </si>
  <si>
    <t>[1697727, 1697735, 1697743, 1697751, 1697759, 1697767, 1697775, 1697783, 1697791]</t>
  </si>
  <si>
    <t>[1518091, 1518096, 1518101, 1518109, 1518114, 1518121, 1518125, 1518129, 688458]</t>
  </si>
  <si>
    <t>[688441, 1518091, 1518096, 1518101, 1518109, 1518114, 1518121, 1518125, 1518129]</t>
  </si>
  <si>
    <t>[0.009, 0.07, 0.035, 0.006, 0.008, 0.003, 0.004, 0.036, 0.013]</t>
  </si>
  <si>
    <t>748.6785957397148</t>
  </si>
  <si>
    <t>[0.002, 0.007, 0.016, 0.022]</t>
  </si>
  <si>
    <t>LINESTRING (10.706312673227568 59.42899657625481, 10.706299805651375 59.42903122224785, 10.705544397469236 59.43329847074164, 10.705564786683219 59.433496918014285, 10.705714639126612 59.4409089434255)</t>
  </si>
  <si>
    <t>[1697799, 1697807, 1697815, 1697823]</t>
  </si>
  <si>
    <t>[1518139, 1518143, 1518150, 829208]</t>
  </si>
  <si>
    <t>0.016472414402764004</t>
  </si>
  <si>
    <t>[688458, 1518139, 1518143, 1518150]</t>
  </si>
  <si>
    <t>1336.8618324784456</t>
  </si>
  <si>
    <t>[0.867, -0.043, -0.046, -0.012, -0.007]</t>
  </si>
  <si>
    <t>LINESTRING (10.706630929067849 59.4222556368695, 10.706678317399144 59.42234683251788, 10.707125423238976 59.42357271566283, 10.707221903689966 59.42422677020504, 10.706788910381091 59.426719128155526, 10.706473287943858 59.42768402426357)</t>
  </si>
  <si>
    <t>[1671550, 1671558, 1671566, 1671574, 1671582]</t>
  </si>
  <si>
    <t>[1499205, 1499213, 1499220, 1499229, 688465]</t>
  </si>
  <si>
    <t>[688471, 1499205, 1499213, 1499220, 1499229]</t>
  </si>
  <si>
    <t>[0.867, 0.043, 0.046, 0.012, 0.007]</t>
  </si>
  <si>
    <t>611.1298693129728</t>
  </si>
  <si>
    <t>[0.205, -0.004, -0.023, -0.003, 0.007, 0.01, 0.023, -0.02]</t>
  </si>
  <si>
    <t>LINESTRING (10.706473287943858 59.42768402426357, 10.706467966820965 59.42770857771187, 10.706446447501033 59.42780224268148, 10.706300475977502 59.42826823351615, 10.706082980188084 59.42893748538154, 10.705255601615217 59.43330567448957, 10.705283249657274 59.43350991816849, 10.705573291148779 59.440613128297784, 10.703179184989473 59.443608516697246)</t>
  </si>
  <si>
    <t>[1671590, 1671598, 1671606, 1671614, 1671622, 1671630, 1671638, 1671646]</t>
  </si>
  <si>
    <t>[1499243, 1499250, 1499256, 1499264, 1499273, 1499280, 1499289, 829200]</t>
  </si>
  <si>
    <t>0.00763421476750794</t>
  </si>
  <si>
    <t>[688465, 1499243, 1499250, 1499256, 1499264, 1499273, 1499280, 1499289]</t>
  </si>
  <si>
    <t>[0.205, 0.004, 0.023, 0.003, 0.007, 0.01, 0.023, 0.02]</t>
  </si>
  <si>
    <t>1812.8461867472897</t>
  </si>
  <si>
    <t>[-0.039, -0.032, -0.012, 0.019, 0.025, 0.021, 0.019, 0.016, 0.011]</t>
  </si>
  <si>
    <t>LINESTRING (14.315351866677448 66.3565008562493, 14.315423240884506 66.356587746029, 14.315448894496551 66.35667791585848, 14.31536289012897 66.35777258657176, 14.315338201330865 66.35782484539564, 14.315312256219945 66.3578772781265, 14.315278246608994 66.35794598580671, 14.315258737501637 66.35798284517527, 14.315005518192784 66.35835545364483, 14.314228521111053 66.35904520039546)</t>
  </si>
  <si>
    <t>[2027490, 2027491, 2027500, 2027520, 2027523, 2027524, 2027525, 2027533, 2027534]</t>
  </si>
  <si>
    <t>[1770022, 1770023, 1770029, 1770045, 1769994, 1770015, 1770047, 1770055, 690257]</t>
  </si>
  <si>
    <t>[690247, 1770022, 1770023, 1770029, 1770045, 1769994, 1770015, 1770047, 1770055]</t>
  </si>
  <si>
    <t>[0.039, 0.032, 0.012, 0.019, 0.025, 0.021, 0.019, 0.016, 0.011]</t>
  </si>
  <si>
    <t>295.00496046216756</t>
  </si>
  <si>
    <t>[-0.029, -0.011, 0.015, 0.013, 0.013, 0.013, 0.013, 0.012]</t>
  </si>
  <si>
    <t>LINESTRING (14.315351866677448 66.3565008562493, 14.31536769944024 66.35667664393839, 14.315189002976407 66.35776688790747, 14.31516690411727 66.35781922089164, 14.315125455536954 66.35790338084914, 14.315085447353464 66.35797487023409, 14.314840048445433 66.35833351710347, 14.314783213774056 66.35840652935707, 14.314228521111053 66.35904520039546)</t>
  </si>
  <si>
    <t>[2027535, 2027536, 2027544, 2027559, 2027572, 2027573, 2027581, 2027602]</t>
  </si>
  <si>
    <t>[1770056, 1770057, 1770065, 1769993, 1770084, 1770085, 1770094, 690257]</t>
  </si>
  <si>
    <t>[690247, 1770056, 1770057, 1770065, 1769993, 1770084, 1770085, 1770094]</t>
  </si>
  <si>
    <t>[0.029, 0.011, 0.015, 0.013, 0.013, 0.013, 0.013, 0.012]</t>
  </si>
  <si>
    <t>291.520324349868</t>
  </si>
  <si>
    <t>[0.002, -0.011, -0.01, 0.002, 0.017, 0.005]</t>
  </si>
  <si>
    <t>LINESTRING (10.74513021026963 59.907135661148665, 10.745035053379288 59.90716544046587, 10.744582900855159 59.90729210832367, 10.744607095625486 59.90731481250132, 10.745079801395683 59.907833903112085, 10.74546108977279 59.90826106327806, 10.745871589754262 59.90869366220797)</t>
  </si>
  <si>
    <t>[761444, 1239112, 720536, 699083, 699084, 699091]</t>
  </si>
  <si>
    <t>[740757, 711928, 693615, 693616, 693617, 523187]</t>
  </si>
  <si>
    <t>0.004428545296585053</t>
  </si>
  <si>
    <t>[462133, 740757, 711928, 693615, 693616, 693617]</t>
  </si>
  <si>
    <t>[0.002, 0.011, 0.01, 0.002, 0.017, 0.005]</t>
  </si>
  <si>
    <t>209.1339766153798</t>
  </si>
  <si>
    <t>0.179</t>
  </si>
  <si>
    <t>9.442986815994475</t>
  </si>
  <si>
    <t>[-0.115, -0.046]</t>
  </si>
  <si>
    <t>LINESTRING (10.819202059412069 59.87726573390029, 10.819200107466857 59.87772181085368, 10.819033846078325 59.878091185879605)</t>
  </si>
  <si>
    <t>[753292, 753300]</t>
  </si>
  <si>
    <t>[734575, 698483]</t>
  </si>
  <si>
    <t>[732993, 734575]</t>
  </si>
  <si>
    <t>[0.115, 0.046]</t>
  </si>
  <si>
    <t>93.1692128397014</t>
  </si>
  <si>
    <t>[0.0, -0.063]</t>
  </si>
  <si>
    <t>LINESTRING (10.81906537758811 59.877769399466786, 10.81906537758811 59.877769399466786, 10.819033846078325 59.878091185879605)</t>
  </si>
  <si>
    <t>[754391, 754399]</t>
  </si>
  <si>
    <t>[735363, 698483]</t>
  </si>
  <si>
    <t>[735357, 735363]</t>
  </si>
  <si>
    <t>[0.0, 0.063]</t>
  </si>
  <si>
    <t>87.59508096998982</t>
  </si>
  <si>
    <t>[-0.151, -0.182]</t>
  </si>
  <si>
    <t>LINESTRING (10.819039291067291 59.8781758774256, 10.819045094814085 59.878243496851944, 10.819063870052043 59.87835019128106)</t>
  </si>
  <si>
    <t>[705022, 705030]</t>
  </si>
  <si>
    <t>[698489, 698496]</t>
  </si>
  <si>
    <t>[698484, 698489]</t>
  </si>
  <si>
    <t>[0.151, 0.182]</t>
  </si>
  <si>
    <t>19.479044638167526</t>
  </si>
  <si>
    <t>[-0.039, 0.057, -0.066]</t>
  </si>
  <si>
    <t>LINESTRING (10.818645932708698 59.878530220110775, 10.818836275721422 59.87825512074248, 10.818930126500131 59.87820477634664, 10.819039291067291 59.8781758774256)</t>
  </si>
  <si>
    <t>[726972, 726980, 726988]</t>
  </si>
  <si>
    <t>[716309, 716315, 698484]</t>
  </si>
  <si>
    <t>[716304, 716309, 716315]</t>
  </si>
  <si>
    <t>[0.039, 0.057, 0.066]</t>
  </si>
  <si>
    <t>47.243773476022476</t>
  </si>
  <si>
    <t>0.09</t>
  </si>
  <si>
    <t>119.2588397170612</t>
  </si>
  <si>
    <t>[-0.242, -0.089, -0.16, -0.187]</t>
  </si>
  <si>
    <t>LINESTRING (10.818645932708698 59.878530220110775, 10.818690625564283 59.87850196941127, 10.818902314804296 59.87834056050585, 10.818981490280986 59.87833678323244, 10.819063870052043 59.87835019128106)</t>
  </si>
  <si>
    <t>[726996, 727004, 727012, 727020]</t>
  </si>
  <si>
    <t>[716327, 716332, 716340, 698496]</t>
  </si>
  <si>
    <t>[716304, 716327, 716332, 716340]</t>
  </si>
  <si>
    <t>[0.242, 0.089, 0.16, 0.187]</t>
  </si>
  <si>
    <t>35.759506280789495</t>
  </si>
  <si>
    <t>62.19983922810809</t>
  </si>
  <si>
    <t>68.06987212746728</t>
  </si>
  <si>
    <t>[-0.028, -0.038, -0.035, -0.023, 0.003]</t>
  </si>
  <si>
    <t>LINESTRING (10.935244212055485 59.94003049152737, 10.93524599325246 59.939972107399015, 10.935330026565351 59.939929747518576, 10.935428425834479 59.93993098592912, 10.935499556969594 59.939964648144, 10.935500549374812 59.940015026289544)</t>
  </si>
  <si>
    <t>[708077, 708085, 708093, 708101, 708109]</t>
  </si>
  <si>
    <t>[701122, 701130, 701137, 701146, 701153]</t>
  </si>
  <si>
    <t>[701121, 701122, 701130, 701137, 701146]</t>
  </si>
  <si>
    <t>[0.028, 0.038, 0.035, 0.023, 0.003]</t>
  </si>
  <si>
    <t>29.752327190302886</t>
  </si>
  <si>
    <t>[0.043, 0.005]</t>
  </si>
  <si>
    <t>LINESTRING (10.935415527968107 59.94006544735333, 10.935322044418617 59.94006795689096, 10.935244212055485 59.94003049152737)</t>
  </si>
  <si>
    <t>[708125, 708133]</t>
  </si>
  <si>
    <t>[701166, 701121]</t>
  </si>
  <si>
    <t>0.02265703728360594</t>
  </si>
  <si>
    <t>[701160, 701166]</t>
  </si>
  <si>
    <t>11.26525544428094</t>
  </si>
  <si>
    <t>[0.015, 0.002]</t>
  </si>
  <si>
    <t>56663.0</t>
  </si>
  <si>
    <t>LINESTRING (10.934768441257535 59.94101736469787, 10.934648394713161 59.940958816747695, 10.935244212055485 59.94003049152737)</t>
  </si>
  <si>
    <t>[751874, 763023]</t>
  </si>
  <si>
    <t>[733433, 701121]</t>
  </si>
  <si>
    <t>0.0030308789675142543</t>
  </si>
  <si>
    <t>[733427, 733433]</t>
  </si>
  <si>
    <t>118.04220072307577</t>
  </si>
  <si>
    <t>7.36002717414063</t>
  </si>
  <si>
    <t>[0.031, 0.019, 0.005, 0.081]</t>
  </si>
  <si>
    <t>LINESTRING (10.935500549374812 59.940015026289544, 10.935535511237752 59.940036783596554, 10.938515909484876 59.94349929903973, 10.938643311389987 59.94376125766302, 10.938608552338849 59.943840202383385)</t>
  </si>
  <si>
    <t>[728524, 728532, 728540, 751850]</t>
  </si>
  <si>
    <t>[717396, 717400, 717404, 733414]</t>
  </si>
  <si>
    <t>0.019372941862532057</t>
  </si>
  <si>
    <t>[701153, 717396, 717400, 717404]</t>
  </si>
  <si>
    <t>470.0006393323407</t>
  </si>
  <si>
    <t>112.20476269349349</t>
  </si>
  <si>
    <t>73.86000270792842</t>
  </si>
  <si>
    <t>31.32852115980408</t>
  </si>
  <si>
    <t>27.03545941199832</t>
  </si>
  <si>
    <t>[-0.032, -0.033, 0.249]</t>
  </si>
  <si>
    <t>LINESTRING (10.687849777572167 59.91826120768297, 10.68765499537774 59.91820345483401, 10.687432096218723 59.9180865838288, 10.687360301098328 59.918031160394065)</t>
  </si>
  <si>
    <t>[753854, 753862, 753870]</t>
  </si>
  <si>
    <t>[734945, 734950, 721706]</t>
  </si>
  <si>
    <t>0.02192730903126761</t>
  </si>
  <si>
    <t>[703262, 734945, 734950]</t>
  </si>
  <si>
    <t>[0.032, 0.033, 0.249]</t>
  </si>
  <si>
    <t>38.059264165345354</t>
  </si>
  <si>
    <t>[-0.032, 0.276]</t>
  </si>
  <si>
    <t>LINESTRING (10.687849777572167 59.91826120768297, 10.687383168083223 59.91824284551055, 10.687277939908265 59.91825146518897)</t>
  </si>
  <si>
    <t>[761366, 761374]</t>
  </si>
  <si>
    <t>[740688, 721719]</t>
  </si>
  <si>
    <t>0.025144735327078508</t>
  </si>
  <si>
    <t>[703262, 740688]</t>
  </si>
  <si>
    <t>[0.032, 0.276]</t>
  </si>
  <si>
    <t>32.15513065196171</t>
  </si>
  <si>
    <t>LINESTRING (10.740997394758862 59.903913356023914, 10.741609143943926 59.90420593613532, 10.742204031283105 59.90481518768789)</t>
  </si>
  <si>
    <t>[720488, 720496]</t>
  </si>
  <si>
    <t>[711898, 711903]</t>
  </si>
  <si>
    <t>[711897, 711898]</t>
  </si>
  <si>
    <t>124.19087539648116</t>
  </si>
  <si>
    <t>[0.0, -0.109]</t>
  </si>
  <si>
    <t>LINESTRING (10.740448885777404 59.90383535815727, 10.740448885777404 59.90383535815727, 10.740997394758862 59.903913356023914)</t>
  </si>
  <si>
    <t>[758190, 758198]</t>
  </si>
  <si>
    <t>[738191, 711897]</t>
  </si>
  <si>
    <t>[738188, 738191]</t>
  </si>
  <si>
    <t>[0.0, 0.109]</t>
  </si>
  <si>
    <t>40.379236471493904</t>
  </si>
  <si>
    <t>36.51558520712406</t>
  </si>
  <si>
    <t>24.193378324501037</t>
  </si>
  <si>
    <t>LINESTRING (10.817058278162712 59.92360213368223, 10.818968768485261 59.923802749992106, 10.819491199775685 59.92384990997788)</t>
  </si>
  <si>
    <t>[724538, 724546]</t>
  </si>
  <si>
    <t>[705820, 714557]</t>
  </si>
  <si>
    <t>[714553, 705820]</t>
  </si>
  <si>
    <t>138.9113543407556</t>
  </si>
  <si>
    <t>[0.0, -0.0, 0.0, 0.033]</t>
  </si>
  <si>
    <t>LINESTRING (10.816356635569303 59.923566919214096, 10.816356635569303 59.923566919214096, 10.816510483274042 59.923582597460175, 10.816934587059738 59.92361405548062, 10.817058278162712 59.92360213368223)</t>
  </si>
  <si>
    <t>[754235, 754243, 754251, 754259]</t>
  </si>
  <si>
    <t>[735216, 735221, 735229, 714553]</t>
  </si>
  <si>
    <t>0.002449998792456505</t>
  </si>
  <si>
    <t>[735215, 735216, 735221, 735229]</t>
  </si>
  <si>
    <t>[0.0, 0.0, 0.0, 0.033]</t>
  </si>
  <si>
    <t>94.90701314261365</t>
  </si>
  <si>
    <t>[-0.024, 0.045, -0.008, -0.021, -0.044]</t>
  </si>
  <si>
    <t>LINESTRING (10.81565189576946 59.92338897327108, 10.815886989464547 59.923427914440985, 10.816405864763468 59.923500077634536, 10.816568676551901 59.92351880998777, 10.816949603750642 59.92356597952055, 10.817058278162712 59.92360213368223)</t>
  </si>
  <si>
    <t>[768839, 768846, 768854, 768870, 768885]</t>
  </si>
  <si>
    <t>[747986, 747994, 748000, 748015, 714553]</t>
  </si>
  <si>
    <t>0.0020163316607768916</t>
  </si>
  <si>
    <t>[745557, 747986, 747994, 748000, 748015]</t>
  </si>
  <si>
    <t>[0.024, 0.045, 0.008, 0.021, 0.044]</t>
  </si>
  <si>
    <t>82.55812245228893</t>
  </si>
  <si>
    <t>25.724509850050314</t>
  </si>
  <si>
    <t>29.186455730607026</t>
  </si>
  <si>
    <t>8.044874144161854</t>
  </si>
  <si>
    <t>[0.003, 0.01]</t>
  </si>
  <si>
    <t>LINESTRING (10.820002024241338 59.92386523882603, 10.819900467982833 59.92381435166981, 10.819894884094067 59.9237449414303)</t>
  </si>
  <si>
    <t>[724741, 724749]</t>
  </si>
  <si>
    <t>[714722, 714685]</t>
  </si>
  <si>
    <t>0.006371112521629375</t>
  </si>
  <si>
    <t>[714714, 714722]</t>
  </si>
  <si>
    <t>16.074850040125575</t>
  </si>
  <si>
    <t>13.747238285526441</t>
  </si>
  <si>
    <t>[-0.033, -0.022, -0.019, -0.01]</t>
  </si>
  <si>
    <t>LINESTRING (10.820211836212044 59.92370285464537, 10.820267597249728 59.92377205956753, 10.8202029304566 59.923844634309724, 10.820073730327664 59.9238700059659, 10.820002024241338 59.92386523882603)</t>
  </si>
  <si>
    <t>[724709, 724717, 724725, 724733]</t>
  </si>
  <si>
    <t>[714699, 714703, 714708, 714714]</t>
  </si>
  <si>
    <t>[714694, 714699, 714703, 714708]</t>
  </si>
  <si>
    <t>[0.033, 0.022, 0.019, 0.01]</t>
  </si>
  <si>
    <t>28.986987676202443</t>
  </si>
  <si>
    <t>[-0.282, 0.026]</t>
  </si>
  <si>
    <t>LINESTRING (10.815345768141052 59.88256578822481, 10.815345744975899 59.882438110382004, 10.818645932708698 59.878530220110775)</t>
  </si>
  <si>
    <t>[751402, 726964]</t>
  </si>
  <si>
    <t>[716303, 716304]</t>
  </si>
  <si>
    <t>0.01702237020300072</t>
  </si>
  <si>
    <t>[733032, 716303]</t>
  </si>
  <si>
    <t>[0.282, 0.026]</t>
  </si>
  <si>
    <t>488.14395357072755</t>
  </si>
  <si>
    <t>[-0.009, -0.006, -0.006, -0.003]</t>
  </si>
  <si>
    <t>LINESTRING (10.80473130560835 59.894830954252306, 10.80478641874548 59.89484799682614, 10.804883236506559 59.89490323375876, 10.804927488019565 59.89494960158409, 10.804941778475342 59.894992316758994)</t>
  </si>
  <si>
    <t>[728924, 728932, 728940, 728948]</t>
  </si>
  <si>
    <t>[717629, 717636, 717639, 716483]</t>
  </si>
  <si>
    <t>[716426, 717629, 717636, 717639]</t>
  </si>
  <si>
    <t>[0.009, 0.006, 0.006, 0.003]</t>
  </si>
  <si>
    <t>22.383599714850597</t>
  </si>
  <si>
    <t>23.076745902379443</t>
  </si>
  <si>
    <t>[0.005, 0.013, -0.0, 0.012]</t>
  </si>
  <si>
    <t>LINESTRING (10.804389476712615 59.89514284631426, 10.804320244824094 59.895110068001166, 10.804249285740664 59.89504846209027, 10.804234824980306 59.894978767188114, 10.804340657668485 59.894863455383344)</t>
  </si>
  <si>
    <t>[728884, 728892, 728900, 728908]</t>
  </si>
  <si>
    <t>[717612, 717616, 717620, 716435]</t>
  </si>
  <si>
    <t>0.008527841838198612</t>
  </si>
  <si>
    <t>[717607, 717612, 717616, 717620]</t>
  </si>
  <si>
    <t>[0.005, 0.013, 0.0, 0.012]</t>
  </si>
  <si>
    <t>35.44189493801845</t>
  </si>
  <si>
    <t>16.126861347181467</t>
  </si>
  <si>
    <t>[-0.009, -0.037]</t>
  </si>
  <si>
    <t>LINESTRING (10.804941778475342 59.894992316758994, 10.805056900317712 59.89503015432404, 10.805534371212874 59.895194983525045)</t>
  </si>
  <si>
    <t>[727188, 727196]</t>
  </si>
  <si>
    <t>[716484, 716490]</t>
  </si>
  <si>
    <t>[716483, 716484]</t>
  </si>
  <si>
    <t>[0.009, 0.037]</t>
  </si>
  <si>
    <t>40.241587217757385</t>
  </si>
  <si>
    <t>[-0.019, -0.055]</t>
  </si>
  <si>
    <t>LINESTRING (10.805534371212874 59.895194983525045, 10.805999041274546 59.89527867817467, 10.806093588320975 59.89529324564204)</t>
  </si>
  <si>
    <t>[727204, 727212]</t>
  </si>
  <si>
    <t>[716496, 716502]</t>
  </si>
  <si>
    <t>[716490, 716496]</t>
  </si>
  <si>
    <t>[0.019, 0.055]</t>
  </si>
  <si>
    <t>33.17612627950464</t>
  </si>
  <si>
    <t>[-0.582, 0.001]</t>
  </si>
  <si>
    <t>LINESTRING (10.805534371212874 59.895194983525045, 10.805540127282915 59.89522366073875, 10.805556288258291 59.89524901912491)</t>
  </si>
  <si>
    <t>[2114530, 2114538]</t>
  </si>
  <si>
    <t>[1823978, 1823981]</t>
  </si>
  <si>
    <t>[716490, 1823978]</t>
  </si>
  <si>
    <t>[0.582, 0.001]</t>
  </si>
  <si>
    <t>6.179334038676066</t>
  </si>
  <si>
    <t>18.975291246728457</t>
  </si>
  <si>
    <t>[0.069, 0.027, 0.023, 0.041]</t>
  </si>
  <si>
    <t>LINESTRING (10.80582290472954 59.895550565252734, 10.805639890706397 59.89544436065824, 10.80552667915351 59.89538004195076, 10.804922438207567 59.89514545304201, 10.804825225824274 59.895121673465596)</t>
  </si>
  <si>
    <t>[727276, 727284, 727292, 727300]</t>
  </si>
  <si>
    <t>[716549, 716556, 716561, 716569]</t>
  </si>
  <si>
    <t>0.03465276061287499</t>
  </si>
  <si>
    <t>[716545, 716549, 716556, 716561]</t>
  </si>
  <si>
    <t>74.43592262462468</t>
  </si>
  <si>
    <t>[-0.455, -0.048, -0.027, 0.037, 0.104]</t>
  </si>
  <si>
    <t>LINESTRING (10.81044250521518 59.896754550889824, 10.810280574668774 59.89671882446111, 10.808526972408274 59.89614957022992, 10.807972020822456 59.89603748221684, 10.80593058052817 59.8956082783887, 10.80582290472954 59.895550565252734)</t>
  </si>
  <si>
    <t>[751530, 727244, 727252, 727260, 727268]</t>
  </si>
  <si>
    <t>[716525, 716526, 716533, 716539, 716545]</t>
  </si>
  <si>
    <t>[733170, 716525, 716526, 716533, 716539]</t>
  </si>
  <si>
    <t>[0.455, 0.048, 0.027, 0.037, 0.104]</t>
  </si>
  <si>
    <t>294.21309973635607</t>
  </si>
  <si>
    <t>[0.069, 0.001]</t>
  </si>
  <si>
    <t>LINESTRING (10.80603661168718 59.89545493805064, 10.805900292531662 59.89551664379661, 10.80582290472954 59.895550565252734)</t>
  </si>
  <si>
    <t>[2114562, 2114570]</t>
  </si>
  <si>
    <t>[1823992, 716545]</t>
  </si>
  <si>
    <t>0.04459764857761176</t>
  </si>
  <si>
    <t>[775947, 1823992]</t>
  </si>
  <si>
    <t>16.023756962170665</t>
  </si>
  <si>
    <t>7.3817342134757284</t>
  </si>
  <si>
    <t>[2.928, 0.051, 0.057, 0.043, 0.033, -0.003, -0.036, -0.059]</t>
  </si>
  <si>
    <t>LINESTRING (10.82169064275873 59.90457677022282, 10.821728780637017 59.90455820017407, 10.821803458503842 59.90454798320025, 10.821887050981532 59.9045380491941, 10.821946543781735 59.90454892916971, 10.822025178133565 59.90457839936417, 10.822064508073058 59.90466416606041, 10.822008059452495 59.90471900123927, 10.821932515304313 59.9047460585013)</t>
  </si>
  <si>
    <t>[731360, 731368, 731376, 731384, 731392, 731400, 731408, 731416]</t>
  </si>
  <si>
    <t>[719140, 719146, 719151, 719159, 719169, 719174, 719181, 719186]</t>
  </si>
  <si>
    <t>0.20800647045616072</t>
  </si>
  <si>
    <t>[716601, 719140, 719146, 719151, 719159, 719169, 719174, 719181]</t>
  </si>
  <si>
    <t>[2.928, 0.051, 0.057, 0.043, 0.033, 0.003, 0.036, 0.059]</t>
  </si>
  <si>
    <t>43.030952815598255</t>
  </si>
  <si>
    <t>10.066010097476537</t>
  </si>
  <si>
    <t>[-0.131, -0.068, -0.043, -0.066, -0.048, -0.008]</t>
  </si>
  <si>
    <t>LINESTRING (10.819948363685533 59.90300281308981, 10.820060712295307 59.90306302672472, 10.820276125813509 59.90328565969598, 10.820706066795523 59.90393884705804, 10.820991282444895 59.90440171291028, 10.821564863640656 59.904552096934516, 10.82169064275873 59.90457677022282)</t>
  </si>
  <si>
    <t>[751538, 727308, 727316, 727324, 727332, 727340]</t>
  </si>
  <si>
    <t>[716577, 716578, 716583, 716590, 716595, 716601]</t>
  </si>
  <si>
    <t>[733177, 716577, 716578, 716583, 716590, 716595]</t>
  </si>
  <si>
    <t>[0.131, 0.068, 0.043, 0.066, 0.048, 0.008]</t>
  </si>
  <si>
    <t>212.71422998128696</t>
  </si>
  <si>
    <t>[-0.002, -0.019, -0.015, 2.634]</t>
  </si>
  <si>
    <t>LINESTRING (10.821638929337468 59.90466054571387, 10.821532854708156 59.90464998493026, 10.821015128131693 59.90495183844344, 10.821000815022874 59.90529952703574, 10.820947502284309 59.90531562797101)</t>
  </si>
  <si>
    <t>[727364, 727372, 727380, 801868]</t>
  </si>
  <si>
    <t>[716617, 716626, 716630, 780372]</t>
  </si>
  <si>
    <t>0.0764652948574347</t>
  </si>
  <si>
    <t>[716616, 716617, 716626, 716630]</t>
  </si>
  <si>
    <t>[0.002, 0.019, 0.015, 2.634]</t>
  </si>
  <si>
    <t>99.46859416490118</t>
  </si>
  <si>
    <t>2.314</t>
  </si>
  <si>
    <t>3.546829570016071</t>
  </si>
  <si>
    <t>5.323532661024674</t>
  </si>
  <si>
    <t>[-0.011, 0.008, -0.011, -0.081, -0.056]</t>
  </si>
  <si>
    <t>LINESTRING (10.81796302933303 59.91075049418198, 10.81817588657357 59.91025464273852, 10.8181802192132 59.90982229831178, 10.817969735371756 59.90934685764284, 10.818350961591527 59.90900264429447, 10.818396858014946 59.90895522568372)</t>
  </si>
  <si>
    <t>[727428, 727436, 727444, 727452, 727460]</t>
  </si>
  <si>
    <t>[716662, 716667, 716670, 716674, 716681]</t>
  </si>
  <si>
    <t>[716661, 716662, 716667, 716670, 716674]</t>
  </si>
  <si>
    <t>[0.011, 0.008, 0.011, 0.081, 0.056]</t>
  </si>
  <si>
    <t>209.3712114630921</t>
  </si>
  <si>
    <t>[-0.028, 0.012]</t>
  </si>
  <si>
    <t>LINESTRING (10.8167702654434 59.91127904464862, 10.817717859893124 59.911161699495494, 10.81796302933303 59.91075049418198)</t>
  </si>
  <si>
    <t>[727508, 727516]</t>
  </si>
  <si>
    <t>[716719, 716661]</t>
  </si>
  <si>
    <t>[716714, 716719]</t>
  </si>
  <si>
    <t>[0.028, 0.012]</t>
  </si>
  <si>
    <t>104.47651980252071</t>
  </si>
  <si>
    <t>4.972926704378649</t>
  </si>
  <si>
    <t>[0.0, -0.022, -0.063, -0.053, 0.135]</t>
  </si>
  <si>
    <t>LINESTRING (10.819809870083512 59.90970093711441, 10.819809870083512 59.90970093711441, 10.819450405710365 59.90928055084448, 10.819087572305236 59.90913618839566, 10.818684403117423 59.90903179561513, 10.818396858014946 59.90895522568372)</t>
  </si>
  <si>
    <t>[731939, 731947, 731955, 731963, 731971]</t>
  </si>
  <si>
    <t>[701957, 719533, 719540, 719547, 716681]</t>
  </si>
  <si>
    <t>[719528, 701957, 719533, 719540, 719547]</t>
  </si>
  <si>
    <t>[0.0, 0.022, 0.063, 0.053, 0.135]</t>
  </si>
  <si>
    <t>147.20525605300938</t>
  </si>
  <si>
    <t>[-0.009, -0.041, -0.029, -0.017, -0.066]</t>
  </si>
  <si>
    <t>LINESTRING (10.815844434706268 59.912146951343765, 10.815984063427443 59.91193594868108, 10.816157920089076 59.91169116552221, 10.816227537220442 59.91157918855169, 10.816311058963842 59.911484737018526, 10.8167702654434 59.91127904464862)</t>
  </si>
  <si>
    <t>[727468, 727476, 727484, 727492, 727500]</t>
  </si>
  <si>
    <t>[716687, 716692, 716699, 716707, 716714]</t>
  </si>
  <si>
    <t>[716686, 716687, 716692, 716699, 716707]</t>
  </si>
  <si>
    <t>[0.009, 0.041, 0.029, 0.017, 0.066]</t>
  </si>
  <si>
    <t>114.1938338040616</t>
  </si>
  <si>
    <t>[-0.135, 0.004]</t>
  </si>
  <si>
    <t>LINESTRING (10.815606365162692 59.91241631621217, 10.815647699428581 59.9123582874594, 10.815844434706268 59.912146951343765)</t>
  </si>
  <si>
    <t>[751634, 751642]</t>
  </si>
  <si>
    <t>[733263, 716686]</t>
  </si>
  <si>
    <t>[718213, 733263]</t>
  </si>
  <si>
    <t>[0.135, 0.004]</t>
  </si>
  <si>
    <t>33.03717882736539</t>
  </si>
  <si>
    <t>[-0.125, -0.0]</t>
  </si>
  <si>
    <t>LINESTRING (10.815773599306324 59.91243191846648, 10.815767498760554 59.91237378445091, 10.815844434706268 59.912146951343765)</t>
  </si>
  <si>
    <t>[780426, 780434]</t>
  </si>
  <si>
    <t>[760547, 716686]</t>
  </si>
  <si>
    <t>[718222, 760547]</t>
  </si>
  <si>
    <t>[0.125, 0.0]</t>
  </si>
  <si>
    <t>32.13004121414525</t>
  </si>
  <si>
    <t>[-0.012, 0.041, 0.036]</t>
  </si>
  <si>
    <t>LINESTRING (10.81752147079955 59.91173989467376, 10.817319699559295 59.911394510584, 10.816891957604799 59.911293701713085, 10.8167702654434 59.91127904464862)</t>
  </si>
  <si>
    <t>[727636, 727644, 727652]</t>
  </si>
  <si>
    <t>[716821, 716829, 716714]</t>
  </si>
  <si>
    <t>0.011486331096877158</t>
  </si>
  <si>
    <t>[716762, 716821, 716829]</t>
  </si>
  <si>
    <t>[0.012, 0.041, 0.036]</t>
  </si>
  <si>
    <t>75.66775314396332</t>
  </si>
  <si>
    <t>[-0.017, -0.002, -0.001]</t>
  </si>
  <si>
    <t>LINESTRING (10.81752147079955 59.91173989467376, 10.817590610066771 59.91164588452037, 10.817898932785635 59.910975038729006, 10.817980796248035 59.91079421697959)</t>
  </si>
  <si>
    <t>[727572, 727580, 727588]</t>
  </si>
  <si>
    <t>[716763, 716768, 716775]</t>
  </si>
  <si>
    <t>[716762, 716763, 716768]</t>
  </si>
  <si>
    <t>[0.017, 0.002, 0.001]</t>
  </si>
  <si>
    <t>108.55854039062572</t>
  </si>
  <si>
    <t>[-0.464, -0.016, 0.02, -0.037]</t>
  </si>
  <si>
    <t>LINESTRING (10.816047809795398 59.91330340611223, 10.816060181532942 59.913233667046526, 10.816224547795015 59.91305187193813, 10.816587926134956 59.91269747451088, 10.81752147079955 59.91173989467376)</t>
  </si>
  <si>
    <t>[751674, 727612, 727620, 727628]</t>
  </si>
  <si>
    <t>[716796, 716797, 716807, 716762]</t>
  </si>
  <si>
    <t>[733288, 716796, 716797, 716807]</t>
  </si>
  <si>
    <t>[0.464, 0.016, 0.02, 0.037]</t>
  </si>
  <si>
    <t>193.35383598225508</t>
  </si>
  <si>
    <t>9.575489543622714</t>
  </si>
  <si>
    <t>[-0.012, -0.033]</t>
  </si>
  <si>
    <t>LINESTRING (10.818012913254059 59.910709819947165, 10.818544626939973 59.90985725299492, 10.818657823390769 59.90981139685322)</t>
  </si>
  <si>
    <t>[727604, 751666]</t>
  </si>
  <si>
    <t>[716792, 733283]</t>
  </si>
  <si>
    <t>[716783, 716792]</t>
  </si>
  <si>
    <t>[0.012, 0.033]</t>
  </si>
  <si>
    <t>108.04315743739082</t>
  </si>
  <si>
    <t>[0.0, 0.016, 0.005, -0.012, -0.031]</t>
  </si>
  <si>
    <t>LINESTRING (10.816905478478095 59.921983905175665, 10.816905478478095 59.921983905175665, 10.81707298283015 59.922388441421376, 10.817114072733217 59.92241725133611, 10.81719607109018 59.922463383455934, 10.817271739567666 59.9224882657641)</t>
  </si>
  <si>
    <t>[727892, 727900, 727908, 727916, 727924]</t>
  </si>
  <si>
    <t>[717009, 717013, 717018, 717023, 716967]</t>
  </si>
  <si>
    <t>0.00751405975961243</t>
  </si>
  <si>
    <t>[717008, 717009, 717013, 717018, 717023]</t>
  </si>
  <si>
    <t>[0.0, 0.016, 0.005, 0.012, 0.031]</t>
  </si>
  <si>
    <t>69.19425298189026</t>
  </si>
  <si>
    <t>[-0.453, 0.007, 0.003, -0.025]</t>
  </si>
  <si>
    <t>LINESTRING (10.816856320762415 59.92247326884317, 10.816899359727762 59.92247283807348, 10.817045638044055 59.92247748572109, 10.817063129796773 59.92247753795591, 10.817271739567666 59.9224882657641)</t>
  </si>
  <si>
    <t>[751754, 727812, 727820, 727828]</t>
  </si>
  <si>
    <t>[716949, 716950, 716958, 716967]</t>
  </si>
  <si>
    <t>[733343, 716949, 716950, 716958]</t>
  </si>
  <si>
    <t>[0.453, 0.007, 0.003, 0.025]</t>
  </si>
  <si>
    <t>23.318787880183798</t>
  </si>
  <si>
    <t>[0.047, 0.058, 0.039, 0.045, 0.082]</t>
  </si>
  <si>
    <t>[0, 0, 1, 0, 1]</t>
  </si>
  <si>
    <t>LINESTRING (10.863461463389763 59.92823630421068, 10.863923347825624 59.92841085382203, 10.864926776845863 59.928609601910566, 10.865077999328632 59.92860356146015, 10.86557337715053 59.92856696845069, 10.865839350901272 59.92858880585577)</t>
  </si>
  <si>
    <t>[727940, 727948, 727956, 727964, 727972]</t>
  </si>
  <si>
    <t>[717038, 717044, 717049, 717052, 717057]</t>
  </si>
  <si>
    <t>0.05441460401222935</t>
  </si>
  <si>
    <t>[717034, 717038, 717044, 717049, 717052]</t>
  </si>
  <si>
    <t>145.1871840789363</t>
  </si>
  <si>
    <t>[-0.061, 0.022, 0.029, -0.0, -0.026]</t>
  </si>
  <si>
    <t>LINESTRING (10.863461463389763 59.92823630421068, 10.863509964517204 59.92829267319912, 10.863813718764272 59.92844247527046, 10.864155635722438 59.928629160671875, 10.86495302252461 59.92917506296136, 10.865039557119005 59.929228130130234)</t>
  </si>
  <si>
    <t>[727996, 728004, 728012, 728020, 728028]</t>
  </si>
  <si>
    <t>[717072, 717075, 717082, 717087, 717094]</t>
  </si>
  <si>
    <t>0.005122091597352241</t>
  </si>
  <si>
    <t>[717034, 717072, 717075, 717082, 717087]</t>
  </si>
  <si>
    <t>[0.061, 0.022, 0.029, 0.0, 0.026]</t>
  </si>
  <si>
    <t>142.02269170078355</t>
  </si>
  <si>
    <t>[-0.652, 0.056]</t>
  </si>
  <si>
    <t>LINESTRING (10.860065326947005 59.927187308522875, 10.860253006668955 59.927190511943365, 10.863461463389763 59.92823630421068)</t>
  </si>
  <si>
    <t>[751762, 727932]</t>
  </si>
  <si>
    <t>[717033, 717034]</t>
  </si>
  <si>
    <t>0.022946088177678292</t>
  </si>
  <si>
    <t>[733353, 717033]</t>
  </si>
  <si>
    <t>[0.652, 0.056]</t>
  </si>
  <si>
    <t>224.99708072975622</t>
  </si>
  <si>
    <t>[0.066, 0.052, 0.116]</t>
  </si>
  <si>
    <t>LINESTRING (10.865839350901272 59.92858880585577, 10.865909832297776 59.92858382586958, 10.866050476748137 59.92840392538528, 10.86599706880822 59.928300650035695)</t>
  </si>
  <si>
    <t>[728036, 728044, 728052]</t>
  </si>
  <si>
    <t>[717099, 717104, 717109]</t>
  </si>
  <si>
    <t>0.07268907375305565</t>
  </si>
  <si>
    <t>[717057, 717099, 717104]</t>
  </si>
  <si>
    <t>39.475819597864756</t>
  </si>
  <si>
    <t>[-0.032, -0.093, -0.052, -0.002, -0.011, -0.012, -0.019, -0.021]</t>
  </si>
  <si>
    <t>LINESTRING (10.865039557119005 59.929228130130234, 10.865834326783625 59.92975759857934, 10.865846017174102 59.929764412172, 10.866069069008303 59.92989342302588, 10.866266156575225 59.93000554244099, 10.868005598150454 59.93100750088767, 10.869220198511714 59.93159001276676, 10.869955524929777 59.93187111865893, 10.870073305094387 59.932004282952434)</t>
  </si>
  <si>
    <t>[728140, 728148, 728156, 728164, 728172, 728180, 728188, 751778]</t>
  </si>
  <si>
    <t>[717168, 717173, 717182, 717187, 703316, 717197, 717203, 733364]</t>
  </si>
  <si>
    <t>[717094, 717168, 717173, 717182, 717187, 703316, 717197, 717203]</t>
  </si>
  <si>
    <t>[0.032, 0.093, 0.052, 0.002, 0.011, 0.012, 0.019, 0.021]</t>
  </si>
  <si>
    <t>420.86301387800074</t>
  </si>
  <si>
    <t>[-0.042, -0.056]</t>
  </si>
  <si>
    <t>LINESTRING (10.84064937251302 59.839052026689416, 10.840558756884239 59.839002296827125, 10.840521266863043 59.83893430557715)</t>
  </si>
  <si>
    <t>[728660, 728668]</t>
  </si>
  <si>
    <t>[717499, 717464]</t>
  </si>
  <si>
    <t>[717493, 717499]</t>
  </si>
  <si>
    <t>[0.042, 0.056]</t>
  </si>
  <si>
    <t>15.382627210184586</t>
  </si>
  <si>
    <t>[-0.011, -0.016]</t>
  </si>
  <si>
    <t>LINESTRING (10.838841930124426 59.839443642242564, 10.838921296900635 59.83948316280272, 10.83895424063533 59.839536049215674)</t>
  </si>
  <si>
    <t>[728716, 728724]</t>
  </si>
  <si>
    <t>[717536, 717544]</t>
  </si>
  <si>
    <t>[717531, 717536]</t>
  </si>
  <si>
    <t>[0.011, 0.016]</t>
  </si>
  <si>
    <t>12.43827358676604</t>
  </si>
  <si>
    <t>[0.06, 0.095]</t>
  </si>
  <si>
    <t>LINESTRING (10.829254499801038 59.8624201760602, 10.829311642324473 59.862477734379745, 10.8292870974484 59.862530903566906)</t>
  </si>
  <si>
    <t>[728788, 728796]</t>
  </si>
  <si>
    <t>[717572, 717549]</t>
  </si>
  <si>
    <t>0.07606507768907111</t>
  </si>
  <si>
    <t>[717569, 717572]</t>
  </si>
  <si>
    <t>13.252141862050804</t>
  </si>
  <si>
    <t>[0.045, 0.053]</t>
  </si>
  <si>
    <t>LINESTRING (10.831422233562504 59.86359625901062, 10.831525664783971 59.8636036377515, 10.831593748766712 59.863622870351094)</t>
  </si>
  <si>
    <t>[728828, 728836]</t>
  </si>
  <si>
    <t>[717586, 717590]</t>
  </si>
  <si>
    <t>0.04842203766373686</t>
  </si>
  <si>
    <t>[717584, 717586]</t>
  </si>
  <si>
    <t>10.231250264341877</t>
  </si>
  <si>
    <t>[-0.008, 0.006]</t>
  </si>
  <si>
    <t>LINESTRING (10.80471341897392 59.89515677171888, 10.804538491235236 59.895167378795605, 10.804389476712615 59.89514284631426)</t>
  </si>
  <si>
    <t>[728868, 728876]</t>
  </si>
  <si>
    <t>[717603, 717607]</t>
  </si>
  <si>
    <t>[717602, 717603]</t>
  </si>
  <si>
    <t>18.645687904565985</t>
  </si>
  <si>
    <t>[0.055, 0.015, 0.016, 0.018, 0.02, 0.023, 0.156]</t>
  </si>
  <si>
    <t>[0, 0, 0, 0, 1, 0, 1]</t>
  </si>
  <si>
    <t>LINESTRING (10.783358348227205 59.90126423218359, 10.80369349605758 59.89827494447051, 10.804435699921301 59.896656844387685, 10.804489030482625 59.89615161874082, 10.804484990600415 59.895807721772385, 10.804459108077774 59.895522273761145, 10.804411380898209 59.8951932851754, 10.804389476712615 59.89514284631426)</t>
  </si>
  <si>
    <t>[1834362, 1834419, 1834427, 1834428, 1834429, 1834435, 1834444]</t>
  </si>
  <si>
    <t>[1609677, 1609697, 1609699, 1609700, 1609701, 1609705, 717607]</t>
  </si>
  <si>
    <t>0.04696879171613192</t>
  </si>
  <si>
    <t>[1609668, 1609677, 1609697, 1609699, 1609700, 1609701, 1609705]</t>
  </si>
  <si>
    <t>1590.9806323217554</t>
  </si>
  <si>
    <t>[-0.016, -0.056, 0.038, 0.017]</t>
  </si>
  <si>
    <t>LINESTRING (10.776603040840758 59.84609141648882, 10.77672083848655 59.846412757222865, 10.776723898468088 59.8464215953611, 10.776842719497367 59.84671672235864, 10.777830943381204 59.847765532608406)</t>
  </si>
  <si>
    <t>[728972, 728980, 728988, 728996]</t>
  </si>
  <si>
    <t>[717655, 717659, 717661, 717664]</t>
  </si>
  <si>
    <t>0.014176395434846138</t>
  </si>
  <si>
    <t>[717654, 717655, 717659, 717661]</t>
  </si>
  <si>
    <t>[0.016, 0.056, 0.038, 0.017]</t>
  </si>
  <si>
    <t>201.85707057550928</t>
  </si>
  <si>
    <t>[-0.028, -0.012, -0.003, -0.029, 0.026, 0.075, 0.065, 0.034, -0.021, -0.01, 0.009, -0.002, -0.017, -0.022]</t>
  </si>
  <si>
    <t>LINESTRING (10.779444229483145 59.83819188405772, 10.779505838226775 59.838320616777935, 10.77960435699434 59.838586334515234, 10.779682086141102 59.83941066071427, 10.77762654083911 59.841389264592166, 10.777613933538904 59.84139554932632, 10.777439775576616 59.84148223508617, 10.77712813925855 59.84164306326486, 10.77685625843673 59.841789073182305, 10.776187224487257 59.84220891863251, 10.775827177380384 59.84426367097028, 10.776094344172403 59.84469808051366, 10.776145089841886 59.844799895531374, 10.77652884511358 59.84581514870724, 10.776603040840758 59.84609141648882)</t>
  </si>
  <si>
    <t>[752050, 752058, 752066, 752074, 752082, 752090, 752098, 752106, 752114, 752122, 752130, 752138, 752146, 752154]</t>
  </si>
  <si>
    <t>[733585, 733594, 733602, 733607, 733615, 733622, 733628, 733637, 733644, 733652, 733660, 733664, 733671, 717654]</t>
  </si>
  <si>
    <t>[733578, 733585, 733594, 733602, 733607, 733615, 733622, 733628, 733637, 733644, 733652, 733660, 733664, 733671]</t>
  </si>
  <si>
    <t>[0.028, 0.012, 0.003, 0.029, 0.026, 0.075, 0.065, 0.034, 0.021, 0.01, 0.009, 0.002, 0.017, 0.022]</t>
  </si>
  <si>
    <t>961.1860451594728</t>
  </si>
  <si>
    <t>[-0.034, 0.054, 0.05, 0.035, 0.005, -0.093]</t>
  </si>
  <si>
    <t>LINESTRING (10.776694438033555 59.841737926682384, 10.775401470804647 59.84381659438724, 10.775706597849918 59.844235248826834, 10.776039229549408 59.8447023607721, 10.776089353035307 59.844802600275145, 10.776464081756146 59.84582447815339, 10.776603040840758 59.84609141648882)</t>
  </si>
  <si>
    <t>[780602, 780610, 780618, 780626, 780634, 780642]</t>
  </si>
  <si>
    <t>[760737, 760747, 760755, 760767, 760775, 717654]</t>
  </si>
  <si>
    <t>[734755, 760737, 760747, 760755, 760767, 760775]</t>
  </si>
  <si>
    <t>[0.034, 0.054, 0.05, 0.035, 0.005, 0.093]</t>
  </si>
  <si>
    <t>521.1778833503864</t>
  </si>
  <si>
    <t>[-0.019, 0.098, 0.059, -0.071]</t>
  </si>
  <si>
    <t>LINESTRING (10.777830943381204 59.847765532608406, 10.778062597886256 59.84786751942695, 10.778497361214681 59.84808524030183, 10.779024650709601 59.848349144144166, 10.77982307438575 59.84878350865232)</t>
  </si>
  <si>
    <t>[752162, 752170, 752178, 752186]</t>
  </si>
  <si>
    <t>[733682, 733687, 733692, 717665]</t>
  </si>
  <si>
    <t>0.005113739467310958</t>
  </si>
  <si>
    <t>[717664, 733682, 733687, 733692]</t>
  </si>
  <si>
    <t>[0.019, 0.098, 0.059, 0.071]</t>
  </si>
  <si>
    <t>159.38618072261798</t>
  </si>
  <si>
    <t>[-0.127, 0.123, 0.106, -0.088]</t>
  </si>
  <si>
    <t>LINESTRING (10.777830943381204 59.847765532608406, 10.77802334630877 59.84789674022869, 10.778460453868988 59.84812458010726, 10.778993345266116 59.848390956818285, 10.77982307438575 59.84878350865232)</t>
  </si>
  <si>
    <t>[780650, 780658, 780666, 780674]</t>
  </si>
  <si>
    <t>[760795, 737120, 760814, 717665]</t>
  </si>
  <si>
    <t>0.005454841588988645</t>
  </si>
  <si>
    <t>[717664, 760795, 737120, 760814]</t>
  </si>
  <si>
    <t>[0.127, 0.123, 0.106, 0.088]</t>
  </si>
  <si>
    <t>159.52849385012217</t>
  </si>
  <si>
    <t>98.11004899873834</t>
  </si>
  <si>
    <t>[0.029, -0.091, -0.05, 0.039]</t>
  </si>
  <si>
    <t>LINESTRING (10.780889410589731 59.84947861717662, 10.781791258582825 59.85042499431383, 10.781790799123698 59.85060668098491, 10.781636528820586 59.85135710269665, 10.781773730419973 59.85186368362657)</t>
  </si>
  <si>
    <t>[752194, 752202, 752210, 752218]</t>
  </si>
  <si>
    <t>[733702, 733708, 733712, 717670]</t>
  </si>
  <si>
    <t>[717666, 733702, 733708, 733712]</t>
  </si>
  <si>
    <t>[0.029, 0.091, 0.05, 0.039]</t>
  </si>
  <si>
    <t>279.9692623951621</t>
  </si>
  <si>
    <t>[0.043, -0.127, -0.02]</t>
  </si>
  <si>
    <t>LINESTRING (10.780889410589731 59.84947861717662, 10.781661864386702 59.850434032970654, 10.781667621936577 59.85061587419003, 10.781773730419973 59.85186368362657)</t>
  </si>
  <si>
    <t>[780682, 780690, 780698]</t>
  </si>
  <si>
    <t>[738570, 760839, 717670]</t>
  </si>
  <si>
    <t>[717666, 738570, 760839]</t>
  </si>
  <si>
    <t>[0.043, 0.127, 0.02]</t>
  </si>
  <si>
    <t>277.67415766445913</t>
  </si>
  <si>
    <t>[0.008, 0.013, 0.013, 0.008, -0.014, -0.003, 0.002, -0.004]</t>
  </si>
  <si>
    <t>LINESTRING (10.781773730419973 59.85186368362657, 10.782115471653649 59.85224564001193, 10.782450494516922 59.852629897435506, 10.784511568039894 59.85559127799833, 10.78462913564756 59.8560621220016, 10.784637471117792 59.856096215420536, 10.784752447089959 59.856545216607906, 10.784609464775912 59.85876335853145, 10.784855145031996 59.85894444783014)</t>
  </si>
  <si>
    <t>[729012, 729020, 729028, 729036, 729044, 729052, 729060, 729068]</t>
  </si>
  <si>
    <t>[717671, 717674, 717678, 717682, 717687, 717688, 717696, 717699]</t>
  </si>
  <si>
    <t>0.007440924898658745</t>
  </si>
  <si>
    <t>[717670, 717671, 717674, 717678, 717682, 717687, 717688, 717696]</t>
  </si>
  <si>
    <t>[0.008, 0.013, 0.013, 0.008, 0.014, 0.003, 0.002, 0.004]</t>
  </si>
  <si>
    <t>829.7137243814013</t>
  </si>
  <si>
    <t>[0.081, 0.06, 0.048, 0.049, -0.034, -0.019, -0.088, -0.066]</t>
  </si>
  <si>
    <t>LINESTRING (10.784855145031996 59.85894444783014, 10.785683734996447 59.85960041555191, 10.785708430930317 59.859641129487365, 10.78572807181617 59.859673768850094, 10.7857559367331 59.859720231024376, 10.785759203843584 59.85973550444911, 10.785771126876325 59.85995478538205, 10.78570297578977 59.86010156375091, 10.785400628896829 59.86064964451469)</t>
  </si>
  <si>
    <t>[752226, 752234, 752242, 752250, 752258, 752266, 752274, 752282]</t>
  </si>
  <si>
    <t>[733723, 733728, 733732, 733738, 733741, 733747, 733750, 717702]</t>
  </si>
  <si>
    <t>0.00781544155708857</t>
  </si>
  <si>
    <t>[717699, 733723, 733728, 733732, 733738, 733741, 733747, 733750]</t>
  </si>
  <si>
    <t>[0.081, 0.06, 0.048, 0.049, 0.034, 0.019, 0.088, 0.066]</t>
  </si>
  <si>
    <t>208.06139494463662</t>
  </si>
  <si>
    <t>[0.095, 0.029, 0.007, 0.014, -0.001, 0.005, -0.119]</t>
  </si>
  <si>
    <t>LINESTRING (10.784855145031996 59.85894444783014, 10.785555935736603 59.85966375580283, 10.785580806437093 59.85974062132, 10.785583118313475 59.85974777175562, 10.78560422249097 59.85995285265575, 10.785589737806806 59.86008834033465, 10.785586197107026 59.86009822543008, 10.785400628896829 59.86064964451469)</t>
  </si>
  <si>
    <t>[780706, 780714, 780722, 780730, 780738, 780746, 780754]</t>
  </si>
  <si>
    <t>[734765, 760865, 760874, 760879, 760884, 760891, 717702]</t>
  </si>
  <si>
    <t>0.008345415261927348</t>
  </si>
  <si>
    <t>[717699, 734765, 760865, 760874, 760879, 760884, 760891]</t>
  </si>
  <si>
    <t>[0.095, 0.029, 0.007, 0.014, 0.001, 0.005, 0.119]</t>
  </si>
  <si>
    <t>200.8518323076627</t>
  </si>
  <si>
    <t>[0.038, -0.007, 0.042, -0.007, -0.025, 0.02, 0.007, 0.04, 0.036, -0.035]</t>
  </si>
  <si>
    <t>LINESTRING (10.785400628896829 59.86064964451469, 10.785280464276768 59.860913704497506, 10.785104399187869 59.86129891375375, 10.785100235556675 59.861307645939924, 10.785050092264173 59.8614125792623, 10.78486815656066 59.86180682543198, 10.78446118303109 59.86270196875183, 10.784150171097949 59.86338235888718, 10.783924565933653 59.864114418824144, 10.783893914604581 59.86465829627532, 10.783915467391923 59.86508880974802)</t>
  </si>
  <si>
    <t>[729076, 729084, 729092, 729100, 729108, 729116, 729124, 729132, 729140, 729148]</t>
  </si>
  <si>
    <t>[717703, 717708, 717712, 712678, 717720, 717724, 717728, 708510, 717736, 717740]</t>
  </si>
  <si>
    <t>0.012046917789653016</t>
  </si>
  <si>
    <t>[717702, 717703, 717708, 717712, 712678, 717720, 717724, 717728, 708510, 717736]</t>
  </si>
  <si>
    <t>[0.038, 0.007, 0.042, 0.007, 0.025, 0.02, 0.007, 0.04, 0.036, 0.035]</t>
  </si>
  <si>
    <t>503.7591581329129</t>
  </si>
  <si>
    <t>[0.199, -0.026, -0.077, -0.056, -0.069, -0.126, -0.068, -0.034, 0.035, 0.016, 0.062, 0.029, 0.009, -0.008, -0.184]</t>
  </si>
  <si>
    <t>LINESTRING (10.783915467391923 59.86508880974802, 10.783988825332179 59.86528726710846, 10.783916010279848 59.86570027862996, 10.783840621051214 59.86583318417347, 10.783611079829415 59.86618303133709, 10.783435204378756 59.86641334805842, 10.783428762041801 59.86642171042537, 10.783296362837072 59.86661245558347, 10.783252349358875 59.86673831052463, 10.78329658803992 59.86727638907991, 10.783300542851249 59.86730174614917, 10.783308228441943 59.867339703100924, 10.783330277090158 59.86772577844474, 10.783320913824591 59.867873505918865, 10.783300744664366 59.86798235816562, 10.783219477015525 59.86815238989323)</t>
  </si>
  <si>
    <t>[752290, 752298, 752306, 752314, 752322, 752330, 752338, 752346, 752354, 752362, 752370, 752378, 752386, 752394, 752402]</t>
  </si>
  <si>
    <t>[733756, 733762, 733767, 733772, 733775, 733782, 733787, 733792, 733797, 733801, 733810, 733814, 733817, 733824, 703449]</t>
  </si>
  <si>
    <t>[717740, 733756, 733762, 733767, 733772, 733775, 733782, 733787, 733792, 733797, 733801, 733810, 733814, 733817, 733824]</t>
  </si>
  <si>
    <t>[0.199, 0.026, 0.077, 0.056, 0.069, 0.126, 0.068, 0.034, 0.035, 0.016, 0.062, 0.029, 0.009, 0.008, 0.184]</t>
  </si>
  <si>
    <t>349.3453678130934</t>
  </si>
  <si>
    <t>[0.055, -0.003, -0.027, -0.061, -0.057, -0.069, -0.134, -0.053, -0.031, 0.023, 0.102, 0.111, 0.084, 0.09, -0.213]</t>
  </si>
  <si>
    <t>LINESTRING (10.783915467391923 59.86508880974802, 10.783900804811479 59.86525199460725, 10.783773703781854 59.86569928568099, 10.783708697744265 59.865832227347305, 10.78350437552211 59.86613123553605, 10.783470285416657 59.86617700636611, 10.783309042267721 59.86640754933815, 10.78330362368169 59.86641601645883, 10.783200662686127 59.86660909916452, 10.78315772238582 59.86672677022626, 10.783170030361207 59.86728454147329, 10.783174168996672 59.8673111272923, 10.783214071270985 59.86764509374566, 10.783213605721285 59.86770996176582, 10.783212454563234 59.8678710442466, 10.783219477015525 59.86815238989323)</t>
  </si>
  <si>
    <t>[780762, 780770, 780778, 780786, 780794, 780802, 780810, 780818, 780826, 780834, 780842, 780850, 780858, 780866, 780874]</t>
  </si>
  <si>
    <t>[741112, 735028, 760920, 760928, 760936, 760942, 760950, 760958, 760967, 760973, 736718, 760990, 760997, 761005, 703449]</t>
  </si>
  <si>
    <t>[717740, 741112, 735028, 760920, 760928, 760936, 760942, 760950, 760958, 760967, 760973, 736718, 760990, 760997, 761005]</t>
  </si>
  <si>
    <t>[0.055, 0.003, 0.027, 0.061, 0.057, 0.069, 0.134, 0.053, 0.031, 0.023, 0.102, 0.111, 0.084, 0.09, 0.213]</t>
  </si>
  <si>
    <t>347.90713842240666</t>
  </si>
  <si>
    <t>[-0.016, 0.052, -0.008, -0.078]</t>
  </si>
  <si>
    <t>LINESTRING (10.783219477015525 59.86815238989323, 10.780332126278124 59.87147137801232, 10.780285872259748 59.87153780715893, 10.780077640136083 59.87190089454427, 10.779990067153484 59.87205543682331)</t>
  </si>
  <si>
    <t>[729156, 729164, 729172, 729180]</t>
  </si>
  <si>
    <t>[717745, 717748, 717750, 717754]</t>
  </si>
  <si>
    <t>[703449, 717745, 717748, 717750]</t>
  </si>
  <si>
    <t>[0.016, 0.052, 0.008, 0.078]</t>
  </si>
  <si>
    <t>473.56361591282587</t>
  </si>
  <si>
    <t>0.203</t>
  </si>
  <si>
    <t>49.9828843203918</t>
  </si>
  <si>
    <t>[0.282, -0.002]</t>
  </si>
  <si>
    <t>LINESTRING (10.779990067153484 59.87205543682331, 10.779823219468689 59.872459738360014, 10.779713777916614 59.87264001396173)</t>
  </si>
  <si>
    <t>[752410, 752418]</t>
  </si>
  <si>
    <t>[733832, 733838]</t>
  </si>
  <si>
    <t>0.19308396628945126</t>
  </si>
  <si>
    <t>[717754, 733832]</t>
  </si>
  <si>
    <t>[0.282, 0.002]</t>
  </si>
  <si>
    <t>67.09118453169273</t>
  </si>
  <si>
    <t>28.330195904171006</t>
  </si>
  <si>
    <t>[-0.231, -0.23]</t>
  </si>
  <si>
    <t>LINESTRING (10.77949454894755 59.87281730592039, 10.779282471792163 59.872863586285256, 10.779247501615766 59.87286152889841)</t>
  </si>
  <si>
    <t>[729196, 729204]</t>
  </si>
  <si>
    <t>[717763, 717766]</t>
  </si>
  <si>
    <t>[717759, 717763]</t>
  </si>
  <si>
    <t>[0.231, 0.23]</t>
  </si>
  <si>
    <t>15.167487273369211</t>
  </si>
  <si>
    <t>[-2.235, -0.015]</t>
  </si>
  <si>
    <t>LINESTRING (10.779713777916614 59.87264001396173, 10.779648672446909 59.872673891018, 10.77949454894755 59.87281730592039)</t>
  </si>
  <si>
    <t>[753155, 729188]</t>
  </si>
  <si>
    <t>[717758, 717759]</t>
  </si>
  <si>
    <t>[733838, 717758]</t>
  </si>
  <si>
    <t>[2.235, 0.015]</t>
  </si>
  <si>
    <t>23.713835379423806</t>
  </si>
  <si>
    <t>[0.514, -0.832]</t>
  </si>
  <si>
    <t>LINESTRING (10.779692726389879 59.87247829966444, 10.779602521848945 59.87262889093597, 10.77949454894755 59.87281730592039)</t>
  </si>
  <si>
    <t>[780890, 780898]</t>
  </si>
  <si>
    <t>[761029, 717759]</t>
  </si>
  <si>
    <t>[734475, 761029]</t>
  </si>
  <si>
    <t>[0.514, 0.832]</t>
  </si>
  <si>
    <t>39.3781527922186</t>
  </si>
  <si>
    <t>[0.057, 2.243]</t>
  </si>
  <si>
    <t>LINESTRING (10.779247501615766 59.87286152889841, 10.779635897304507 59.87250671466748, 10.779692726389879 59.87247829966444)</t>
  </si>
  <si>
    <t>[729236, 753163]</t>
  </si>
  <si>
    <t>[717783, 734475]</t>
  </si>
  <si>
    <t>0.2513913347805789</t>
  </si>
  <si>
    <t>[717766, 717783]</t>
  </si>
  <si>
    <t>50.49947371681919</t>
  </si>
  <si>
    <t>[-0.217, 0.261, 0.273, 0.265]</t>
  </si>
  <si>
    <t>LINESTRING (10.77917060911221 59.87297415318677, 10.778966915465036 59.87287410371938, 10.779050856337761 59.87287499940564, 10.779133016079093 59.87287583787623, 10.779247501615766 59.87286152889841)</t>
  </si>
  <si>
    <t>[729292, 729212, 729220, 729228]</t>
  </si>
  <si>
    <t>[717769, 717770, 698559, 717766]</t>
  </si>
  <si>
    <t>0.024286965139868503</t>
  </si>
  <si>
    <t>[717788, 717769, 717770, 698559]</t>
  </si>
  <si>
    <t>[0.217, 0.261, 0.273, 0.265]</t>
  </si>
  <si>
    <t>31.873690235564595</t>
  </si>
  <si>
    <t>[0.302, 0.296, 0.273]</t>
  </si>
  <si>
    <t>LINESTRING (10.77917060911221 59.87297415318677, 10.779209911729513 59.87298406438784, 10.779316397666577 59.87303727698382, 10.779335156581991 59.873058559569216)</t>
  </si>
  <si>
    <t>[729244, 729252, 729260]</t>
  </si>
  <si>
    <t>[717789, 717792, 717798]</t>
  </si>
  <si>
    <t>0.292667715497381</t>
  </si>
  <si>
    <t>[717788, 717789, 717792]</t>
  </si>
  <si>
    <t>13.469927153324761</t>
  </si>
  <si>
    <t>[-1.545, -0.006, -0.155]</t>
  </si>
  <si>
    <t>LINESTRING (10.77907741801737 59.8734405218157, 10.779067602901932 59.87340513973523, 10.779235260665768 59.87307063938222, 10.77917060911221 59.87297415318677)</t>
  </si>
  <si>
    <t>[753180, 729276, 729284]</t>
  </si>
  <si>
    <t>[717805, 717806, 717788]</t>
  </si>
  <si>
    <t>[734488, 717805, 717806]</t>
  </si>
  <si>
    <t>[1.545, 0.006, 0.155]</t>
  </si>
  <si>
    <t>53.87064691645059</t>
  </si>
  <si>
    <t>0.093</t>
  </si>
  <si>
    <t>44.949416014366726</t>
  </si>
  <si>
    <t>[0.01, 1.122]</t>
  </si>
  <si>
    <t>LINESTRING (10.779335156581991 59.873058559569216, 10.77919520267707 59.8734002432004, 10.779184477562884 59.87345654582834)</t>
  </si>
  <si>
    <t>[729268, 753171]</t>
  </si>
  <si>
    <t>[717802, 733844]</t>
  </si>
  <si>
    <t>0.16353501253587416</t>
  </si>
  <si>
    <t>[717798, 717802]</t>
  </si>
  <si>
    <t>45.65166702872385</t>
  </si>
  <si>
    <t>[1.787, -0.069, -0.121, -0.118, -0.109, -0.049, 0.008]</t>
  </si>
  <si>
    <t>LINESTRING (10.780900464489397 59.8387628215969, 10.780926967756388 59.838793344572366, 10.780889005743656 59.83889552900599, 10.780802982360594 59.83892978579941, 10.7807578100813 59.83893647303818, 10.78062544193518 59.83893112665618, 10.780515094964375 59.83886818575583, 10.780507941486585 59.838846394305115)</t>
  </si>
  <si>
    <t>[747428, 747436, 747444, 747452, 747372, 747380, 747388]</t>
  </si>
  <si>
    <t>[729902, 729913, 729919, 729855, 729856, 729863, 729870]</t>
  </si>
  <si>
    <t>0.08045725392035706</t>
  </si>
  <si>
    <t>[717866, 729902, 729913, 729919, 729855, 729856, 729863]</t>
  </si>
  <si>
    <t>[1.787, 0.069, 0.121, 0.118, 0.109, 0.049, 0.008]</t>
  </si>
  <si>
    <t>43.61846867871122</t>
  </si>
  <si>
    <t>13.259768000117202</t>
  </si>
  <si>
    <t>[-0.152, -0.046, -0.019, 0.104, 0.076, 0.025, -0.01]</t>
  </si>
  <si>
    <t>LINESTRING (10.778744138330422 59.83603049103783, 10.778814983583088 59.836143668753664, 10.779170577379178 59.837039276873966, 10.77999469160519 59.837569512456156, 10.780042502765417 59.83758695372314, 10.780451406503653 59.837751509590234, 10.780913653968186 59.838711894135955, 10.780900464489397 59.8387628215969)</t>
  </si>
  <si>
    <t>[753204, 729364, 729372, 729380, 729388, 729396, 729404]</t>
  </si>
  <si>
    <t>[717847, 717848, 717852, 717858, 717861, 717863, 717866]</t>
  </si>
  <si>
    <t>[733546, 717847, 717848, 717852, 717858, 717861, 717863]</t>
  </si>
  <si>
    <t>[0.152, 0.046, 0.019, 0.104, 0.076, 0.025, 0.01]</t>
  </si>
  <si>
    <t>344.64403967916877</t>
  </si>
  <si>
    <t>[0.0, 0.009, 0.021, 0.003, 0.021]</t>
  </si>
  <si>
    <t>LINESTRING (10.776601248770366 59.835980311037865, 10.776601248770366 59.835980311037865, 10.777394672791898 59.83671074705433, 10.777502938744657 59.83677267089547, 10.777600884618185 59.83681863569059, 10.778500127668721 59.83678402482862)</t>
  </si>
  <si>
    <t>[729412, 729420, 729428, 729436, 729444]</t>
  </si>
  <si>
    <t>[717872, 717875, 717881, 717885, 717890]</t>
  </si>
  <si>
    <t>0.01287359087062893</t>
  </si>
  <si>
    <t>[717871, 717872, 717875, 717881, 717885]</t>
  </si>
  <si>
    <t>179.5451427694976</t>
  </si>
  <si>
    <t>[0.038, 0.111]</t>
  </si>
  <si>
    <t>LINESTRING (10.778500127668721 59.83678402482862, 10.77847801761245 59.8350281568792, 10.778532789918792 59.83496247938129)</t>
  </si>
  <si>
    <t>[729452, 753543]</t>
  </si>
  <si>
    <t>[717896, 734737]</t>
  </si>
  <si>
    <t>0.040839261121789</t>
  </si>
  <si>
    <t>[717890, 717896]</t>
  </si>
  <si>
    <t>204.09025310441962</t>
  </si>
  <si>
    <t>[0.031, 0.026, -0.533]</t>
  </si>
  <si>
    <t>LINESTRING (10.778514343637525 59.83768633751324, 10.778518108864807 59.83763536826507, 10.778473477635343 59.83684697309419, 10.778500127668721 59.83678402482862)</t>
  </si>
  <si>
    <t>[729516, 729524, 729532]</t>
  </si>
  <si>
    <t>[717938, 717943, 717890]</t>
  </si>
  <si>
    <t>[717937, 717938, 717943]</t>
  </si>
  <si>
    <t>[0.031, 0.026, 0.533]</t>
  </si>
  <si>
    <t>103.86494053515062</t>
  </si>
  <si>
    <t>9.665940344683278</t>
  </si>
  <si>
    <t>[-0.031, 0.013, 0.06, 0.079, 0.055]</t>
  </si>
  <si>
    <t>LINESTRING (10.778348307793559 59.8378545418883, 10.77827868870515 59.83781184345603, 10.778267823060597 59.8377566457484, 10.778337478259399 59.83770043789815, 10.778468423606045 59.837682165059924, 10.778514343637525 59.83768633751324)</t>
  </si>
  <si>
    <t>[747468, 747476, 747484, 747492, 747500]</t>
  </si>
  <si>
    <t>[729933, 729938, 729941, 729946, 717937]</t>
  </si>
  <si>
    <t>0.03600158862836983</t>
  </si>
  <si>
    <t>[729930, 729933, 729938, 729941, 729946]</t>
  </si>
  <si>
    <t>[0.031, 0.013, 0.06, 0.079, 0.055]</t>
  </si>
  <si>
    <t>29.958250743173526</t>
  </si>
  <si>
    <t>[0.015, 0.015, 0.01, -0.005, -0.009, -0.013, -0.007]</t>
  </si>
  <si>
    <t>LINESTRING (10.815773599306324 59.91243191846648, 10.81579557425395 59.91244891827818, 10.815807722563946 59.91252341992743, 10.8156994352278 59.912565734505826, 10.815601022668693 59.91256309159521, 10.815525931111774 59.912528848191386, 10.81553665610882 59.91244377155143, 10.815606365162692 59.91241631621217)</t>
  </si>
  <si>
    <t>[729930, 729938, 729946, 729954, 729962, 729970, 729906]</t>
  </si>
  <si>
    <t>[718228, 718233, 718238, 718241, 718246, 718212, 718213]</t>
  </si>
  <si>
    <t>[718222, 718228, 718233, 718238, 718241, 718246, 718212]</t>
  </si>
  <si>
    <t>[0.015, 0.015, 0.01, 0.005, 0.009, 0.013, 0.007]</t>
  </si>
  <si>
    <t>44.24352044351144</t>
  </si>
  <si>
    <t>58.43343338530967</t>
  </si>
  <si>
    <t>58.618499020109205</t>
  </si>
  <si>
    <t>[-0.055, -0.034]</t>
  </si>
  <si>
    <t>LINESTRING (10.821932515304313 59.9047460585013, 10.821829583056239 59.9047529149556, 10.821658388608775 59.90469083478749)</t>
  </si>
  <si>
    <t>[731424, 731432]</t>
  </si>
  <si>
    <t>[719192, 719129]</t>
  </si>
  <si>
    <t>[719186, 719192]</t>
  </si>
  <si>
    <t>[0.055, 0.034]</t>
  </si>
  <si>
    <t>18.04025755773631</t>
  </si>
  <si>
    <t>10.070253223924661</t>
  </si>
  <si>
    <t>[-0.002, 0.005, 0.012, 0.006]</t>
  </si>
  <si>
    <t>LINESTRING (10.713946385839327 59.90967111664211, 10.715876400914627 59.90962176417407, 10.71984078442208 59.91057910186622, 10.720023136469061 59.91062958675845, 10.720173158247293 59.91065433735659)</t>
  </si>
  <si>
    <t>[732709, 732717, 732725, 732733]</t>
  </si>
  <si>
    <t>[720043, 720053, 720059, 720065]</t>
  </si>
  <si>
    <t>0.0032672172889909763</t>
  </si>
  <si>
    <t>[720042, 720043, 720053, 720059]</t>
  </si>
  <si>
    <t>[0.002, 0.005, 0.012, 0.006]</t>
  </si>
  <si>
    <t>385.2405662376623</t>
  </si>
  <si>
    <t>[0.012, -0.017]</t>
  </si>
  <si>
    <t>LINESTRING (10.71055794647607 59.91006184381772, 10.711588865718921 59.90993782898716, 10.713946385839327 59.90967111664211)</t>
  </si>
  <si>
    <t>[732997, 733005]</t>
  </si>
  <si>
    <t>[720231, 720042]</t>
  </si>
  <si>
    <t>[720186, 720231]</t>
  </si>
  <si>
    <t>194.64890127407534</t>
  </si>
  <si>
    <t>9.436630754181412</t>
  </si>
  <si>
    <t>LINESTRING (10.720173158247293 59.91065433735659, 10.720253451496433 59.91064789351315, 10.720418355652598 59.91067525884087, 10.720509770077351 59.910745319673616, 10.720520156097631 59.91076544850245, 10.720490331398544 59.91084054101632, 10.720373200640719 59.910897166772635, 10.72031850879321 59.91090723966047, 10.720113546733495 59.91088850763489, 10.720014698782519 59.91082041678631, 10.719998328030119 59.910785049875884)</t>
  </si>
  <si>
    <t>18.527336185179095</t>
  </si>
  <si>
    <t>[-0.017, -0.016, -0.01, -0.004, 0.002]</t>
  </si>
  <si>
    <t>LINESTRING (10.719998328030119 59.910785049875884, 10.719894026258782 59.910714407711616, 10.719740366324089 59.910656358435965, 10.718022707737006 59.91034151961965, 10.715804758848202 59.90990786541084, 10.714027216099833 59.90990484119624)</t>
  </si>
  <si>
    <t>[732741, 732749, 732757, 732765, 732773]</t>
  </si>
  <si>
    <t>[720072, 720077, 720085, 720090, 720094]</t>
  </si>
  <si>
    <t>[720071, 720072, 720077, 720085, 720090]</t>
  </si>
  <si>
    <t>[0.017, 0.016, 0.01, 0.004, 0.002]</t>
  </si>
  <si>
    <t>357.41205601193104</t>
  </si>
  <si>
    <t>87.2001677397771</t>
  </si>
  <si>
    <t>9.40319094805629</t>
  </si>
  <si>
    <t>9.130169768407857</t>
  </si>
  <si>
    <t>[0.02, -0.003, 0.006]</t>
  </si>
  <si>
    <t>LINESTRING (10.712511075877659 59.91008205473197, 10.712422042735211 59.91007825506382, 10.710369804670972 59.91013636942608, 10.71055794647607 59.91006184381772)</t>
  </si>
  <si>
    <t>[732917, 732925, 732933]</t>
  </si>
  <si>
    <t>[720175, 720182, 720186]</t>
  </si>
  <si>
    <t>[720174, 720175, 720182]</t>
  </si>
  <si>
    <t>[0.02, 0.003, 0.006]</t>
  </si>
  <si>
    <t>153.15324236279233</t>
  </si>
  <si>
    <t>[0.025, 0.004, -0.018, -0.015]</t>
  </si>
  <si>
    <t>LINESTRING (10.712511075877659 59.91008205473197, 10.711804454974454 59.910202004790015, 10.71150429525726 59.910252470435495, 10.709832271463366 59.910327497233936, 10.709637315749612 59.9103714609372)</t>
  </si>
  <si>
    <t>[732949, 732957, 732965, 732973]</t>
  </si>
  <si>
    <t>[720200, 720207, 720212, 720217]</t>
  </si>
  <si>
    <t>[720174, 720200, 720207, 720212]</t>
  </si>
  <si>
    <t>[0.025, 0.004, 0.018, 0.015]</t>
  </si>
  <si>
    <t>167.66821365728043</t>
  </si>
  <si>
    <t>[0.019, 0.012]</t>
  </si>
  <si>
    <t>LINESTRING (10.709617876758823 59.91021820703399, 10.709802598356648 59.91023457838761, 10.71055794647607 59.91006184381772)</t>
  </si>
  <si>
    <t>[732981, 732989]</t>
  </si>
  <si>
    <t>[720221, 720186]</t>
  </si>
  <si>
    <t>0.013276027199612135</t>
  </si>
  <si>
    <t>[720220, 720221]</t>
  </si>
  <si>
    <t>57.591254881046424</t>
  </si>
  <si>
    <t>16.952094751731273</t>
  </si>
  <si>
    <t>18.25641790263527</t>
  </si>
  <si>
    <t>[0.004, 0.005, 0.012, 0.01, 0.02, 0.019, 0.018]</t>
  </si>
  <si>
    <t>LINESTRING (10.709223839126459 59.910281819653854, 10.709240513703959 59.910256016885434, 10.709270419763651 59.910229800243016, 10.70931590888598 59.91020783227407, 10.70936392915408 59.91019398560525, 10.709445378226208 59.910185122229294, 10.709567203792075 59.910199245643234, 10.709617876758823 59.91021820703399)</t>
  </si>
  <si>
    <t>[735334, 735342, 735350, 735358, 735366, 735374, 735382]</t>
  </si>
  <si>
    <t>[721660, 721665, 721671, 721678, 721685, 721690, 720220]</t>
  </si>
  <si>
    <t>0.013898086605863643</t>
  </si>
  <si>
    <t>[720297, 721660, 721665, 721671, 721678, 721685, 721690]</t>
  </si>
  <si>
    <t>28.220407322715058</t>
  </si>
  <si>
    <t>16.924010517189835</t>
  </si>
  <si>
    <t>[-0.02, -0.023, -0.02, -0.004, 0.013, -0.294]</t>
  </si>
  <si>
    <t>LINESTRING (10.70936067306115 59.910407420100974, 10.70920854515649 59.91042132559414, 10.709191428820548 59.910423950712314, 10.709174329154363 59.91042658536375, 10.705820256603966 59.911007693474986, 10.702618690321847 59.912211528242935, 10.702438356715096 59.91227667666861)</t>
  </si>
  <si>
    <t>[733013, 733021, 733029, 733037, 733045, 753711]</t>
  </si>
  <si>
    <t>[720242, 720250, 720255, 720263, 720264, 734142]</t>
  </si>
  <si>
    <t>[720241, 720242, 720250, 720255, 720263, 720264]</t>
  </si>
  <si>
    <t>[0.02, 0.023, 0.02, 0.004, 0.013, 0.294]</t>
  </si>
  <si>
    <t>448.9494730906887</t>
  </si>
  <si>
    <t>[-0.001, -0.006, 0.004, 0.008, 0.018, 0.016]</t>
  </si>
  <si>
    <t>2683.0</t>
  </si>
  <si>
    <t>LINESTRING (10.704085090586883 59.91132693218756, 10.704175872453153 59.91124806838192, 10.704562249464265 59.91109882367536, 10.709026432898298 59.91032839116266, 10.709042609050703 59.91032472831575, 10.70908843561997 59.91031123284076, 10.709223839126459 59.910281819653854)</t>
  </si>
  <si>
    <t>[753735, 733053, 733061, 733069, 733077, 733085]</t>
  </si>
  <si>
    <t>[720271, 720272, 720277, 720283, 720289, 720297]</t>
  </si>
  <si>
    <t>0.003437293347173038</t>
  </si>
  <si>
    <t>[734870, 720271, 720272, 720277, 720283, 720289]</t>
  </si>
  <si>
    <t>[0.001, 0.006, 0.004, 0.008, 0.018, 0.016]</t>
  </si>
  <si>
    <t>317.90729894988465</t>
  </si>
  <si>
    <t>[-0.034, 0.118]</t>
  </si>
  <si>
    <t>LINESTRING (10.690027765925025 59.91830106791823, 10.68973847276 59.918446258525435, 10.689671867534186 59.91847644889156)</t>
  </si>
  <si>
    <t>[733117, 753751]</t>
  </si>
  <si>
    <t>[720322, 734879]</t>
  </si>
  <si>
    <t>[720318, 720322]</t>
  </si>
  <si>
    <t>[0.034, 0.118]</t>
  </si>
  <si>
    <t>27.90872574392865</t>
  </si>
  <si>
    <t>[-0.009, 0.027, -0.038]</t>
  </si>
  <si>
    <t>LINESTRING (10.690027765925025 59.91830106791823, 10.689989540149874 59.918360962229244, 10.690069676188347 59.918488575645895, 10.690203817528262 59.91854512162661)</t>
  </si>
  <si>
    <t>[733125, 733133, 753767]</t>
  </si>
  <si>
    <t>[720327, 720330, 734891]</t>
  </si>
  <si>
    <t>[720318, 720327, 720330]</t>
  </si>
  <si>
    <t>[0.009, 0.027, 0.038]</t>
  </si>
  <si>
    <t>32.002980646480275</t>
  </si>
  <si>
    <t>[0.627, -0.021, -0.025, -0.03]</t>
  </si>
  <si>
    <t>LINESTRING (10.691276036590745 59.91725299777358, 10.691275961521285 59.917308745993125, 10.690591610843502 59.917931072311205, 10.69031633506054 59.91812751008184, 10.690027765925025 59.91830106791823)</t>
  </si>
  <si>
    <t>[753743, 733093, 733101, 733109]</t>
  </si>
  <si>
    <t>[720302, 720303, 720310, 720318]</t>
  </si>
  <si>
    <t>0.0058709364949394265</t>
  </si>
  <si>
    <t>[734173, 720302, 720303, 720310]</t>
  </si>
  <si>
    <t>[0.627, 0.021, 0.025, 0.03]</t>
  </si>
  <si>
    <t>137.40182362510973</t>
  </si>
  <si>
    <t>15.061540425507888</t>
  </si>
  <si>
    <t>[-0.01, -0.01, 0.005, 0.024, -0.515]</t>
  </si>
  <si>
    <t>LINESTRING (10.687311307908118 59.917898270997554, 10.687427611689534 59.9179128720251, 10.687546354596575 59.91793158130484, 10.690424514353639 59.91765943694577, 10.691219891920053 59.917037149227916, 10.691306069724261 59.91699411079779)</t>
  </si>
  <si>
    <t>[733141, 733149, 733157, 733165, 753775]</t>
  </si>
  <si>
    <t>[720334, 720340, 720346, 720352, 734896]</t>
  </si>
  <si>
    <t>[720333, 720334, 720340, 720346, 720352]</t>
  </si>
  <si>
    <t>[0.01, 0.01, 0.005, 0.024, 0.515]</t>
  </si>
  <si>
    <t>282.61019894923606</t>
  </si>
  <si>
    <t>[-0.016, -0.008, -0.011, -0.009]</t>
  </si>
  <si>
    <t>LINESTRING (10.686930567560601 59.91786511403428, 10.686959528829282 59.91784897807559, 10.687093901779681 59.9178210095434, 10.687206987648548 59.91783280771586, 10.687311307908118 59.917898270997554)</t>
  </si>
  <si>
    <t>[735462, 735470, 735478, 735486]</t>
  </si>
  <si>
    <t>[721749, 721755, 721761, 720333]</t>
  </si>
  <si>
    <t>[720427, 721749, 721755, 721761]</t>
  </si>
  <si>
    <t>[0.016, 0.008, 0.011, 0.009]</t>
  </si>
  <si>
    <t>26.36657233983056</t>
  </si>
  <si>
    <t>41.105455933769065</t>
  </si>
  <si>
    <t>[0.027, 0.03, 0.0, -0.004, -0.018, -0.328]</t>
  </si>
  <si>
    <t>LINESTRING (10.686909716605706 59.91823220646944, 10.68681954276876 59.918209469154654, 10.685668123308474 59.918139363202506, 10.683399011091923 59.91861640078522, 10.683386092046943 59.91862250538094, 10.682834983569123 59.91893668922496, 10.68275286739652 59.91894838333306)</t>
  </si>
  <si>
    <t>[733173, 733181, 733189, 733197, 733205, 753783]</t>
  </si>
  <si>
    <t>[720357, 720362, 720367, 720374, 720380, 734214]</t>
  </si>
  <si>
    <t>[720356, 720357, 720362, 720367, 720374, 720380]</t>
  </si>
  <si>
    <t>[0.027, 0.03, 0.0, 0.004, 0.018, 0.328]</t>
  </si>
  <si>
    <t>264.3597935589102</t>
  </si>
  <si>
    <t>[0.003, 0.006, 0.007, 0.017]</t>
  </si>
  <si>
    <t>LINESTRING (10.687277939908265 59.91825146518897, 10.687127785560172 59.91829060655032, 10.687038501336193 59.91828858029984, 10.68696771139646 59.918268276637775, 10.686909716605706 59.91823220646944)</t>
  </si>
  <si>
    <t>[735422, 735430, 735438, 735446]</t>
  </si>
  <si>
    <t>[721726, 721733, 721739, 720356]</t>
  </si>
  <si>
    <t>0.007363460711624772</t>
  </si>
  <si>
    <t>[721719, 721726, 721733, 721739]</t>
  </si>
  <si>
    <t>24.19581836932828</t>
  </si>
  <si>
    <t>4.709564735726399</t>
  </si>
  <si>
    <t>[0.006, 0.007, 0.026, -0.02, -0.031, -0.033, -0.036, -0.036]</t>
  </si>
  <si>
    <t>LINESTRING (10.6810425847151 59.91970426484244, 10.68315973058778 59.91847314179814, 10.683172827949816 59.91846704307294, 10.6844021529879 59.91804121278887, 10.684886810499806 59.91795009623126, 10.685175119917954 59.91792829997886, 10.685906501842807 59.91789000284167, 10.686834305099374 59.917875447861725, 10.686930567560601 59.91786511403428)</t>
  </si>
  <si>
    <t>[733213, 733221, 733229, 733237, 733245, 733253, 733261, 733269]</t>
  </si>
  <si>
    <t>[720387, 720391, 720396, 720404, 720410, 720416, 720423, 720427]</t>
  </si>
  <si>
    <t>[720386, 720387, 720391, 720396, 720404, 720410, 720416, 720423]</t>
  </si>
  <si>
    <t>[0.006, 0.007, 0.026, 0.02, 0.031, 0.033, 0.036, 0.036]</t>
  </si>
  <si>
    <t>410.7212828043171</t>
  </si>
  <si>
    <t>0.856</t>
  </si>
  <si>
    <t>4.6097722286464435</t>
  </si>
  <si>
    <t>[-0.055, -0.047, -0.032, -0.004, -0.002, -0.003, -0.001, 0.009, 0.011]</t>
  </si>
  <si>
    <t>LINESTRING (10.675599049411227 59.92061121029095, 10.675676547978645 59.92060270489481, 10.675784402352063 59.92058996323283, 10.67608942520462 59.92055491440516, 10.677434491735433 59.92042103718755, 10.678314301111632 59.92031051144875, 10.67831929004076 59.920309749052876, 10.678346500968274 59.92030558884555, 10.680984136881317 59.919723163830014, 10.6810425847151 59.91970426484244)</t>
  </si>
  <si>
    <t>[1238917, 1238932, 1238939, 733437, 733445, 733453, 733461, 733469, 733477]</t>
  </si>
  <si>
    <t>[1159930, 1159940, 720549, 720550, 720554, 720560, 720563, 720567, 720386]</t>
  </si>
  <si>
    <t>[1159929, 1159930, 1159940, 720549, 720550, 720554, 720560, 720563, 720567]</t>
  </si>
  <si>
    <t>[0.055, 0.047, 0.032, 0.004, 0.002, 0.003, 0.001, 0.009, 0.011]</t>
  </si>
  <si>
    <t>323.1217380424104</t>
  </si>
  <si>
    <t>[0.003, 0.001, 0.006]</t>
  </si>
  <si>
    <t>LINESTRING (10.676337691270499 59.921132423965574, 10.676449200304914 59.921225108601256, 10.676485271012961 59.92125866499942, 10.676495090258708 59.92129629585353)</t>
  </si>
  <si>
    <t>[733373, 733381, 733389]</t>
  </si>
  <si>
    <t>[720498, 720506, 720511]</t>
  </si>
  <si>
    <t>0.003203920797255231</t>
  </si>
  <si>
    <t>[720468, 720498, 720506]</t>
  </si>
  <si>
    <t>20.54649173481524</t>
  </si>
  <si>
    <t>[-0.021, -0.03, -0.016, -0.009]</t>
  </si>
  <si>
    <t>LINESTRING (10.675608692583362 59.920679453675405, 10.675664522046661 59.920709541038306, 10.67573736921918 59.92075129270393, 10.675749500931563 59.92075825549507, 10.676337691270499 59.921132423965574)</t>
  </si>
  <si>
    <t>[733341, 733349, 733357, 733365]</t>
  </si>
  <si>
    <t>[720477, 720480, 720486, 720468]</t>
  </si>
  <si>
    <t>[720476, 720477, 720480, 720486]</t>
  </si>
  <si>
    <t>[0.021, 0.03, 0.016, 0.009]</t>
  </si>
  <si>
    <t>65.21570262370334</t>
  </si>
  <si>
    <t>[-0.057, -0.003, 0.002, 0.003, 0.006, 0.009, 0.009]</t>
  </si>
  <si>
    <t>LINESTRING (10.67902907790078 59.920326081401406, 10.678902309047391 59.92040554673645, 10.678482429483319 59.92049821151695, 10.678460287265448 59.92050264606653, 10.678171186667509 59.920560550525316, 10.676425538465976 59.92102004821679, 10.676369310964128 59.92108220738984, 10.676337691270499 59.921132423965574)</t>
  </si>
  <si>
    <t>[753799, 733293, 733301, 733309, 733317, 733325, 733333]</t>
  </si>
  <si>
    <t>[720440, 720441, 720446, 720450, 720458, 720463, 720468]</t>
  </si>
  <si>
    <t>0.0006543724264808803</t>
  </si>
  <si>
    <t>[734246, 720440, 720441, 720446, 720450, 720458, 720463]</t>
  </si>
  <si>
    <t>[0.057, 0.003, 0.002, 0.003, 0.006, 0.009, 0.009]</t>
  </si>
  <si>
    <t>180.13450838818736</t>
  </si>
  <si>
    <t>15.980454930229687</t>
  </si>
  <si>
    <t>7.624574808282671</t>
  </si>
  <si>
    <t>[0.148, -0.011, -0.004, -0.002, 0.007, 0.014, 0.015, 0.012, 0.008, -0.174]</t>
  </si>
  <si>
    <t>LINESTRING (10.676495090258708 59.92129629585353, 10.67654681954779 59.921308929291435, 10.676625192303245 59.92134568242641, 10.676663310847355 59.92138414379176, 10.676675912251623 59.92142076896173, 10.676625622742549 59.92150251029786, 10.67647962034509 59.92155410466142, 10.676298922115869 59.921547980781625, 10.676202807868062 59.92151294669586, 10.676154885977052 59.92147302117902, 10.676140029313325 59.92144394719619)</t>
  </si>
  <si>
    <t>[749068, 749076, 749084, 749092, 749100, 749108, 749020, 749028, 749036, 749044]</t>
  </si>
  <si>
    <t>[522044, 731105, 522748, 731120, 731126, 731053, 731054, 731063, 731069, 720577]</t>
  </si>
  <si>
    <t>0.004457013224770152</t>
  </si>
  <si>
    <t>[720511, 522044, 731105, 522748, 731120, 731126, 731053, 731054, 731063, 731069]</t>
  </si>
  <si>
    <t>[0.148, 0.011, 0.004, 0.002, 0.007, 0.014, 0.015, 0.012, 0.008, 0.174]</t>
  </si>
  <si>
    <t>62.99130888961148</t>
  </si>
  <si>
    <t>15.652245942642459</t>
  </si>
  <si>
    <t>[-0.008, 0.012, 0.038, 0.036, -0.033]</t>
  </si>
  <si>
    <t>LINESTRING (10.676229729988972 59.92132175906925, 10.676237398496662 59.92124834741339, 10.675781413808243 59.92094230276636, 10.675767980064917 59.92093625936623, 10.675352611831336 59.92076333605572, 10.675367764302921 59.920717029795064)</t>
  </si>
  <si>
    <t>[733397, 733405, 733413, 733421, 733429]</t>
  </si>
  <si>
    <t>[720520, 720527, 720533, 720539, 720544]</t>
  </si>
  <si>
    <t>0.016001379099359093</t>
  </si>
  <si>
    <t>[720519, 720520, 720527, 720533, 720539]</t>
  </si>
  <si>
    <t>[0.008, 0.012, 0.038, 0.036, 0.033]</t>
  </si>
  <si>
    <t>87.8775057056244</t>
  </si>
  <si>
    <t>14.990838400922435</t>
  </si>
  <si>
    <t>13.400404040275488</t>
  </si>
  <si>
    <t>[0.011, 0.056, -0.035, -0.188]</t>
  </si>
  <si>
    <t>LINESTRING (10.676140029313325 59.92144394719619, 10.675959653339119 59.92143563034829, 10.673583647311007 59.920893565938044, 10.672116162196046 59.92056836762097, 10.672051333544172 59.920502391838156)</t>
  </si>
  <si>
    <t>[733485, 733493, 733501, 765238]</t>
  </si>
  <si>
    <t>[720578, 720582, 720588, 734310]</t>
  </si>
  <si>
    <t>0.014202418563217157</t>
  </si>
  <si>
    <t>[720577, 720578, 720582, 720588]</t>
  </si>
  <si>
    <t>[0.011, 0.056, 0.035, 0.188]</t>
  </si>
  <si>
    <t>254.17352839471926</t>
  </si>
  <si>
    <t>[0.033, 0.052, 0.03, -0.063, -0.081]</t>
  </si>
  <si>
    <t>LINESTRING (10.652223400743358 59.91610458541056, 10.650924180792984 59.91591432327433, 10.65090918775624 59.91590943063116, 10.650580427179907 59.91571399126022, 10.650833782822893 59.91546103853541, 10.650971675992079 59.915428528806366)</t>
  </si>
  <si>
    <t>[733549, 733557, 733565, 733573, 733581]</t>
  </si>
  <si>
    <t>[720625, 720635, 720644, 720651, 720658]</t>
  </si>
  <si>
    <t>0.004654392137466304</t>
  </si>
  <si>
    <t>[720619, 720625, 720635, 720644, 720651]</t>
  </si>
  <si>
    <t>[0.033, 0.052, 0.03, 0.063, 0.081]</t>
  </si>
  <si>
    <t>147.96882959876834</t>
  </si>
  <si>
    <t>[0.002, 0.017, 0.003]</t>
  </si>
  <si>
    <t>LINESTRING (10.653538182110092 59.91628019628926, 10.653446723319782 59.91625379612864, 10.652301062075061 59.916126933780255, 10.652223400743358 59.91610458541056)</t>
  </si>
  <si>
    <t>[733869, 733877, 733885]</t>
  </si>
  <si>
    <t>[720849, 720856, 720619]</t>
  </si>
  <si>
    <t>0.014927504616641912</t>
  </si>
  <si>
    <t>[720769, 720849, 720856]</t>
  </si>
  <si>
    <t>76.5631233418471</t>
  </si>
  <si>
    <t>[0.073, 0.021]</t>
  </si>
  <si>
    <t>LINESTRING (10.653694390898654 59.916154067537285, 10.653458920107632 59.916160679306195, 10.652223400743358 59.91610458541056)</t>
  </si>
  <si>
    <t>[765254, 733541]</t>
  </si>
  <si>
    <t>[720618, 720619]</t>
  </si>
  <si>
    <t>0.029292935616623182</t>
  </si>
  <si>
    <t>[734391, 720618]</t>
  </si>
  <si>
    <t>82.75261488629675</t>
  </si>
  <si>
    <t>[-0.034, -0.021]</t>
  </si>
  <si>
    <t>LINESTRING (10.650971675992079 59.915428528806366, 10.652725943527788 59.91545547787971, 10.652831372615696 59.91546913037614)</t>
  </si>
  <si>
    <t>[733589, 733597]</t>
  </si>
  <si>
    <t>[720660, 720666]</t>
  </si>
  <si>
    <t>[720658, 720660]</t>
  </si>
  <si>
    <t>[0.034, 0.021]</t>
  </si>
  <si>
    <t>106.35093580099459</t>
  </si>
  <si>
    <t>[-0.073, -0.021, -0.006]</t>
  </si>
  <si>
    <t>LINESTRING (10.650971675992079 59.915428528806366, 10.651153243840488 59.91542897998172, 10.65205538549252 59.91559636691439, 10.65223297147507 59.91566248153094)</t>
  </si>
  <si>
    <t>[733829, 733837, 733845]</t>
  </si>
  <si>
    <t>[720826, 720829, 720740]</t>
  </si>
  <si>
    <t>[720658, 720826, 720829]</t>
  </si>
  <si>
    <t>[0.073, 0.021, 0.006]</t>
  </si>
  <si>
    <t>77.5709175392354</t>
  </si>
  <si>
    <t>[-0.018, -0.019, -0.008]</t>
  </si>
  <si>
    <t>LINESTRING (10.652831372615696 59.91546913037614, 10.653274035447428 59.91553500617443, 10.653706235825645 59.91559873649923, 10.654121514380272 59.91575080417006)</t>
  </si>
  <si>
    <t>[733605, 733613, 733621]</t>
  </si>
  <si>
    <t>[720672, 720679, 720685]</t>
  </si>
  <si>
    <t>[720666, 720672, 720679]</t>
  </si>
  <si>
    <t>[0.018, 0.019, 0.008]</t>
  </si>
  <si>
    <t>82.35392874065474</t>
  </si>
  <si>
    <t>[0.152, 0.021, 0.019, 0.021, 0.01, -0.02, 0.009]</t>
  </si>
  <si>
    <t>LINESTRING (10.641677741330389 59.913371036856624, 10.641868736657456 59.91336207459173, 10.64355850135463 59.91369693325904, 10.6444099162624 59.9138796280017, 10.644585771116356 59.91391781999762, 10.652085135445164 59.915341968989416, 10.652786864276319 59.91543978426418, 10.652831372615696 59.91546913037614)</t>
  </si>
  <si>
    <t>[765278, 733781, 733789, 733797, 733805, 733813, 733821]</t>
  </si>
  <si>
    <t>[720796, 720797, 513968, 513978, 720811, 720814, 720666]</t>
  </si>
  <si>
    <t>0.012948160696881135</t>
  </si>
  <si>
    <t>[744392, 720796, 720797, 513968, 513978, 720811, 720814]</t>
  </si>
  <si>
    <t>[0.152, 0.021, 0.019, 0.021, 0.01, 0.02, 0.009]</t>
  </si>
  <si>
    <t>678.4856200596195</t>
  </si>
  <si>
    <t>13.834047736234128</t>
  </si>
  <si>
    <t>8.996977103821662</t>
  </si>
  <si>
    <t>[-0.044, -0.013, 0.005, 0.023, 0.03, 0.054, 0.059]</t>
  </si>
  <si>
    <t>LINESTRING (10.654311084186535 59.91582103435773, 10.654871432437483 59.915861601317104, 10.655085310138869 59.91596709115109, 10.655268217340055 59.916143082707706, 10.655333016806166 59.916314977557164, 10.655336374133464 59.916361146726366, 10.655201543989842 59.91647449463395, 10.655070575576348 59.91648995427099)</t>
  </si>
  <si>
    <t>[733629, 733637, 733645, 733653, 733661, 733725, 733733]</t>
  </si>
  <si>
    <t>[720691, 720696, 720702, 720707, 720711, 720750, 720757]</t>
  </si>
  <si>
    <t>0.0027024157802765787</t>
  </si>
  <si>
    <t>[720690, 720691, 720696, 720702, 720707, 720711, 720750]</t>
  </si>
  <si>
    <t>[0.044, 0.013, 0.005, 0.023, 0.03, 0.054, 0.059]</t>
  </si>
  <si>
    <t>118.61275369683</t>
  </si>
  <si>
    <t>[0.039, 0.055, 0.063, 0.028, -0.021, -0.033, -0.041]</t>
  </si>
  <si>
    <t>LINESTRING (10.654311084186535 59.91582103435773, 10.654290677708182 59.91590848478536, 10.65425933319108 59.91592903130501, 10.654192208302705 59.91594929565105, 10.653933461174365 59.91590118609306, 10.653915112202908 59.915877200313375, 10.653913163377394 59.91585105838838, 10.653972472408665 59.91578107864052)</t>
  </si>
  <si>
    <t>[735502, 735510, 735518, 735526, 735534, 735542, 735550]</t>
  </si>
  <si>
    <t>[721772, 721778, 721781, 721785, 721790, 721795, 720719]</t>
  </si>
  <si>
    <t>0.01637595062442309</t>
  </si>
  <si>
    <t>[720690, 721772, 721778, 721781, 721785, 721790, 721795]</t>
  </si>
  <si>
    <t>[0.039, 0.055, 0.063, 0.028, 0.021, 0.033, 0.041]</t>
  </si>
  <si>
    <t>48.22557596400034</t>
  </si>
  <si>
    <t>[-0.013, 0.006, 0.016, 0.023, 0.01]</t>
  </si>
  <si>
    <t>LINESTRING (10.653972472408665 59.91578107864052, 10.653925827709298 59.91575436008382, 10.653661074412302 59.91567008254744, 10.653241706975551 59.91560407822706, 10.6521645545831 59.915601295089786, 10.65223297147507 59.91566248153094)</t>
  </si>
  <si>
    <t>[733677, 733685, 733693, 733701, 733709]</t>
  </si>
  <si>
    <t>[720720, 720723, 720726, 720734, 720740]</t>
  </si>
  <si>
    <t>0.017267874638813234</t>
  </si>
  <si>
    <t>[720719, 720720, 720723, 720726, 720734]</t>
  </si>
  <si>
    <t>[0.013, 0.006, 0.016, 0.023, 0.01]</t>
  </si>
  <si>
    <t>124.6633779904839</t>
  </si>
  <si>
    <t>[-0.02, 0.236]</t>
  </si>
  <si>
    <t>LINESTRING (10.65223297147507 59.91566248153094, 10.654874260630613 59.9161975196707, 10.655008473237777 59.9162666945952)</t>
  </si>
  <si>
    <t>[733717, 765262]</t>
  </si>
  <si>
    <t>[720746, 744378]</t>
  </si>
  <si>
    <t>[720740, 720746]</t>
  </si>
  <si>
    <t>[0.02, 0.236]</t>
  </si>
  <si>
    <t>170.72795330772854</t>
  </si>
  <si>
    <t>[0.038, 0.016]</t>
  </si>
  <si>
    <t>LINESTRING (10.655070575576348 59.91648995427099, 10.65394906341637 59.91631534554547, 10.653538182110092 59.91628019628926)</t>
  </si>
  <si>
    <t>[733741, 733749]</t>
  </si>
  <si>
    <t>[720763, 720769]</t>
  </si>
  <si>
    <t>0.03223650533522374</t>
  </si>
  <si>
    <t>[720757, 720763]</t>
  </si>
  <si>
    <t>89.02997167375146</t>
  </si>
  <si>
    <t>[0.0, 0.02]</t>
  </si>
  <si>
    <t>LINESTRING (10.655152182557178 59.916523221855066, 10.655152182557178 59.916523221855066, 10.655070575576348 59.91648995427099)</t>
  </si>
  <si>
    <t>[733853, 733861]</t>
  </si>
  <si>
    <t>[720838, 720757]</t>
  </si>
  <si>
    <t>0.004438655808235845</t>
  </si>
  <si>
    <t>[720837, 720838]</t>
  </si>
  <si>
    <t>26.50431446708746</t>
  </si>
  <si>
    <t>[0.021, 0.036, -0.03, -0.681]</t>
  </si>
  <si>
    <t>LINESTRING (10.653538182110092 59.91628019628926, 10.653216742495427 59.91627317795779, 10.649193499901857 59.915435467201526, 10.647801689786302 59.915012458041375, 10.647705999077283 59.91493645609461)</t>
  </si>
  <si>
    <t>[733757, 733765, 733773, 765270]</t>
  </si>
  <si>
    <t>[720774, 720780, 720786, 734416]</t>
  </si>
  <si>
    <t>[720769, 720774, 720780, 720786]</t>
  </si>
  <si>
    <t>[0.021, 0.036, 0.03, 0.681]</t>
  </si>
  <si>
    <t>367.57019442317534</t>
  </si>
  <si>
    <t>LINESTRING (10.642908615268524 59.913748105018875, 10.642571293654958 59.913753123559, 10.641220350352219 59.913526743989905)</t>
  </si>
  <si>
    <t>[765302, 733893]</t>
  </si>
  <si>
    <t>[720867, 701485]</t>
  </si>
  <si>
    <t>[734438, 720867]</t>
  </si>
  <si>
    <t>99.24648769648108</t>
  </si>
  <si>
    <t>[0.011, 0.017, 0.01, 0.007]</t>
  </si>
  <si>
    <t>LINESTRING (10.73171861371765 59.91255281201009, 10.73179625983808 59.912582979790905, 10.731811808278936 59.91263723703819, 10.731774713098208 59.91267200133841, 10.731746249969962 59.91268419736805)</t>
  </si>
  <si>
    <t>[733901, 733909, 733917, 733925]</t>
  </si>
  <si>
    <t>[720874, 720875, 720881, 362919]</t>
  </si>
  <si>
    <t>0.012320016531974948</t>
  </si>
  <si>
    <t>[720873, 720874, 720875, 720881]</t>
  </si>
  <si>
    <t>18.092439242908966</t>
  </si>
  <si>
    <t>[-0.008, 0.0]</t>
  </si>
  <si>
    <t>LINESTRING (10.731543544064861 59.912589737751674, 10.731609946333647 59.91255626563044, 10.73171861371765 59.91255281201009)</t>
  </si>
  <si>
    <t>[733957, 733965]</t>
  </si>
  <si>
    <t>[720908, 720873]</t>
  </si>
  <si>
    <t>[720901, 720908]</t>
  </si>
  <si>
    <t>[0.008, 0.0]</t>
  </si>
  <si>
    <t>11.359015321446066</t>
  </si>
  <si>
    <t>[0.034, 0.006, 0.01, -0.0, 0.021, 0.023, 0.021, 0.234, 0.016, -0.034, -0.244, -0.018, -0.04, 0.051, -0.017, -0.071, -0.004]</t>
  </si>
  <si>
    <t>[0, 0, 0, 0, 0, 0, 0, 1, 0, 0, 1, 1, 0, 0, 0, 0, 0]</t>
  </si>
  <si>
    <t>LINESTRING (10.725836625954543 59.91129772965437, 10.725757982607552 59.911333768711344, 10.724758122346847 59.9113716553671, 10.724130851239819 59.911510874714985, 10.726953278216957 59.911688643951344, 10.727178751434108 59.911798192154365, 10.727590439154731 59.91199082680694, 10.728549188727593 59.912440577729775, 10.728758198855534 59.912541774815736, 10.72881330443982 59.912598197410716, 10.72888893541813 59.91258612091107, 10.729287098134588 59.912502855381504, 10.730122748720337 59.9123061791835, 10.730169833516918 59.912296215125714, 10.731016974200275 59.91210172256508, 10.731260815837466 59.91213497918638, 10.731641305446947 59.91250832219082, 10.73171861371765 59.91255281201009)</t>
  </si>
  <si>
    <t>[816435, 732781, 732789, 732797, 732805, 732813, 732821, 732829, 664225, 664315, 753623, 753631, 753639, 753647, 377250, 753655, 753663]</t>
  </si>
  <si>
    <t>[720099, 720100, 720107, 720114, 720117, 720121, 720124, 655057, 655058, 655128, 734794, 734802, 734808, 366276, 366277, 734818, 720873]</t>
  </si>
  <si>
    <t>[794436, 720099, 720100, 720107, 720114, 720117, 720121, 720124, 655057, 655058, 655128, 734794, 734802, 734808, 366276, 366277, 734818]</t>
  </si>
  <si>
    <t>[0.034, 0.006, 0.01, 0.0, 0.021, 0.023, 0.021, 0.234, 0.016, 0.034, 0.244, 0.018, 0.04, 0.051, 0.017, 0.071, 0.004]</t>
  </si>
  <si>
    <t>1019.1409753499541</t>
  </si>
  <si>
    <t>[-0.001, -0.013]</t>
  </si>
  <si>
    <t>LINESTRING (10.731746249969962 59.91268419736805, 10.731624280722274 59.91268888313088, 10.731526793878954 59.91261639476462)</t>
  </si>
  <si>
    <t>[733933, 733941]</t>
  </si>
  <si>
    <t>[720891, 362911]</t>
  </si>
  <si>
    <t>[362919, 720891]</t>
  </si>
  <si>
    <t>[0.001, 0.013]</t>
  </si>
  <si>
    <t>17.02728381634088</t>
  </si>
  <si>
    <t>[0.019, 0.012, 0.016, 0.092]</t>
  </si>
  <si>
    <t>LINESTRING (10.731746249969962 59.91268419736805, 10.731752452729793 59.912744014213885, 10.73130208160868 59.91335353917618, 10.730846832868872 59.91394335651893, 10.730777893903984 59.91399791278125)</t>
  </si>
  <si>
    <t>[753671, 753679, 753687, 761884]</t>
  </si>
  <si>
    <t>[734826, 734832, 734837, 741134]</t>
  </si>
  <si>
    <t>0.017769259433471636</t>
  </si>
  <si>
    <t>[362919, 734826, 734832, 734837]</t>
  </si>
  <si>
    <t>156.82510860746225</t>
  </si>
  <si>
    <t>3.1151502375106737</t>
  </si>
  <si>
    <t>[0.013, 0.013, 0.029, 0.032]</t>
  </si>
  <si>
    <t>LINESTRING (10.731526793878954 59.91261639476462, 10.731470690679709 59.9126760163468, 10.731040116503008 59.91324073790362, 10.730595211182367 59.91381819347483, 10.730563541234908 59.91389678872975)</t>
  </si>
  <si>
    <t>[781690, 781698, 781706, 761892]</t>
  </si>
  <si>
    <t>[761794, 761800, 741161, 741143]</t>
  </si>
  <si>
    <t>0.02134326270508809</t>
  </si>
  <si>
    <t>[362911, 761794, 761800, 741161]</t>
  </si>
  <si>
    <t>152.67795069954528</t>
  </si>
  <si>
    <t>LINESTRING (10.687360301098328 59.918031160394065, 10.687331251840245 59.91818577139594, 10.687277939908265 59.91825146518897)</t>
  </si>
  <si>
    <t>[735406, 735414]</t>
  </si>
  <si>
    <t>[721714, 721719]</t>
  </si>
  <si>
    <t>[721706, 721714]</t>
  </si>
  <si>
    <t>25.21291807552099</t>
  </si>
  <si>
    <t>[-0.033, -0.038]</t>
  </si>
  <si>
    <t>LINESTRING (10.798662543704316 59.91260309040873, 10.798493394367208 59.9125248607733, 10.79634250154408 59.91179351803566)</t>
  </si>
  <si>
    <t>[738289, 738297]</t>
  </si>
  <si>
    <t>[723515, 723521]</t>
  </si>
  <si>
    <t>[723477, 723515]</t>
  </si>
  <si>
    <t>[0.033, 0.038]</t>
  </si>
  <si>
    <t>158.38179704179583</t>
  </si>
  <si>
    <t>[-0.017, 0.012]</t>
  </si>
  <si>
    <t>LINESTRING (10.798662543704316 59.91260309040873, 10.797962652716175 59.912646341482066, 10.797895105207228 59.912710766598146)</t>
  </si>
  <si>
    <t>[1428895, 738233]</t>
  </si>
  <si>
    <t>[723482, 723483]</t>
  </si>
  <si>
    <t>[723477, 723482]</t>
  </si>
  <si>
    <t>52.62379363305001</t>
  </si>
  <si>
    <t>[-0.066, -0.015, -0.014, -0.015, -0.015, -0.022, -0.03]</t>
  </si>
  <si>
    <t>LINESTRING (10.803158430663608 59.9138075000053, 10.802969024217207 59.91376189878447, 10.802051046586916 59.91344580015959, 10.801079381525817 59.91322868590647, 10.800874640976554 59.91319691569566, 10.800739212025917 59.91317590720966, 10.799182823912588 59.91277377291508, 10.798662543704316 59.91260309040873)</t>
  </si>
  <si>
    <t>[770296, 738185, 738193, 738201, 738209, 738217, 738225]</t>
  </si>
  <si>
    <t>[723452, 723453, 723457, 723460, 723467, 723472, 723477]</t>
  </si>
  <si>
    <t>[749584, 723452, 723453, 723457, 723460, 723467, 723472]</t>
  </si>
  <si>
    <t>[0.066, 0.015, 0.014, 0.015, 0.015, 0.022, 0.03]</t>
  </si>
  <si>
    <t>286.48363007078177</t>
  </si>
  <si>
    <t>[0.021, 0.026, 0.028, 0.028, 0.025, 0.019]</t>
  </si>
  <si>
    <t>LINESTRING (10.797895105207228 59.912710766598146, 10.797867651057132 59.91279156825595, 10.797833157472267 59.91320574507623, 10.797867036001554 59.91328974555654, 10.797921826461979 59.91335410198159, 10.798982804664776 59.91370846718677, 10.799607198929953 59.913839887041526)</t>
  </si>
  <si>
    <t>[738241, 738249, 738257, 738265, 738273, 738281]</t>
  </si>
  <si>
    <t>[723488, 723491, 723496, 723501, 711456, 723509]</t>
  </si>
  <si>
    <t>0.024097910952958983</t>
  </si>
  <si>
    <t>[723483, 723488, 723491, 723496, 723501, 711456]</t>
  </si>
  <si>
    <t>183.58389011632877</t>
  </si>
  <si>
    <t>[-0.031, -0.03, -0.038, -0.041, -0.045]</t>
  </si>
  <si>
    <t>10838.0</t>
  </si>
  <si>
    <t>LINESTRING (10.797895105207228 59.912710766598146, 10.797862282355393 59.9126305941946, 10.797708407209754 59.91229030145587, 10.797209116545437 59.91210442210177, 10.796429983254512 59.911852058786494, 10.79634250154408 59.91179351803566)</t>
  </si>
  <si>
    <t>[738329, 1428903, 738337, 738345, 770354]</t>
  </si>
  <si>
    <t>[723541, 723547, 723548, 723552, 723521]</t>
  </si>
  <si>
    <t>[723483, 723541, 723547, 723548, 723552]</t>
  </si>
  <si>
    <t>[0.031, 0.03, 0.038, 0.041, 0.045]</t>
  </si>
  <si>
    <t>143.67428677936212</t>
  </si>
  <si>
    <t>[0.052, 0.028, 0.02, -0.006]</t>
  </si>
  <si>
    <t>LINESTRING (10.799607198929953 59.913839887041526, 10.800104999145354 59.91396553834022, 10.800406508203007 59.91401824498577, 10.800549972591702 59.914016528057395, 10.800750874786399 59.9139995596734)</t>
  </si>
  <si>
    <t>[763543, 763551, 763559, 763567]</t>
  </si>
  <si>
    <t>[742751, 742757, 737484, 735467]</t>
  </si>
  <si>
    <t>0.032364800346568814</t>
  </si>
  <si>
    <t>[723509, 742751, 742757, 737484]</t>
  </si>
  <si>
    <t>[0.052, 0.028, 0.02, 0.006]</t>
  </si>
  <si>
    <t>68.60023927990653</t>
  </si>
  <si>
    <t>[0.046, 0.046, 0.025, -0.013]</t>
  </si>
  <si>
    <t>LINESTRING (10.799607198929953 59.913839887041526, 10.800137230356297 59.9139034110461, 10.800434426538287 59.91393911214369, 10.800560904185701 59.913958432645515, 10.800750874786399 59.9139995596734)</t>
  </si>
  <si>
    <t>[770303, 770311, 770319, 770328]</t>
  </si>
  <si>
    <t>[749698, 749708, 737490, 735467]</t>
  </si>
  <si>
    <t>0.03342514966240246</t>
  </si>
  <si>
    <t>[723509, 749698, 749708, 737490]</t>
  </si>
  <si>
    <t>[0.046, 0.046, 0.025, 0.013]</t>
  </si>
  <si>
    <t>66.67139152350158</t>
  </si>
  <si>
    <t>79.97824704271852</t>
  </si>
  <si>
    <t>8.127115109484869</t>
  </si>
  <si>
    <t>8.94538987412225</t>
  </si>
  <si>
    <t>[-0.022, -0.017, -0.005]</t>
  </si>
  <si>
    <t>LINESTRING (10.80216717063569 59.912343561179284, 10.801521753575667 59.91229455411635, 10.800071163911715 59.91244810187164, 10.799973781231596 59.912489115427746)</t>
  </si>
  <si>
    <t>[1380473, 1380481, 1380489]</t>
  </si>
  <si>
    <t>[1270183, 1270189, 1270193]</t>
  </si>
  <si>
    <t>[723528, 1270183, 1270189]</t>
  </si>
  <si>
    <t>[0.022, 0.017, 0.005]</t>
  </si>
  <si>
    <t>127.86275829148758</t>
  </si>
  <si>
    <t>[-0.182, 0.0, -0.02]</t>
  </si>
  <si>
    <t>LINESTRING (10.802089031506453 59.91273489255603, 10.802089031506453 59.91273489255603, 10.802301058895871 59.912389191519146, 10.80216717063569 59.912343561179284)</t>
  </si>
  <si>
    <t>[770399, 738385, 738393]</t>
  </si>
  <si>
    <t>[723585, 723586, 723528]</t>
  </si>
  <si>
    <t>[749817, 723585, 723586]</t>
  </si>
  <si>
    <t>[0.182, 0.0, 0.02]</t>
  </si>
  <si>
    <t>67.70732921235403</t>
  </si>
  <si>
    <t>[-0.02, 0.114, -0.006, 0.016, 0.021, -0.016]</t>
  </si>
  <si>
    <t>LINESTRING (10.80306618273991 59.912540368495144, 10.80306618273991 59.912540368495144, 10.80308183617057 59.912572337491476, 10.803121323650094 59.91267070361706, 10.802955956336648 59.912590802260965, 10.80290919397197 59.91256413528347, 10.80216717063569 59.912343561179284)</t>
  </si>
  <si>
    <t>[1380441, 770383, 770391, 770344, 770347, 738313]</t>
  </si>
  <si>
    <t>[749799, 749800, 746043, 749751, 723527, 723528]</t>
  </si>
  <si>
    <t>[1270157, 749799, 749800, 746043, 749751, 723527]</t>
  </si>
  <si>
    <t>[0.02, 0.114, 0.006, 0.016, 0.021, 0.016]</t>
  </si>
  <si>
    <t>117.58123961207974</t>
  </si>
  <si>
    <t>8.246211251531788</t>
  </si>
  <si>
    <t>[0.042, 0.036]</t>
  </si>
  <si>
    <t>10137.0</t>
  </si>
  <si>
    <t>LINESTRING (10.796233007450752 59.911555344614506, 10.797600581235974 59.91199643582634, 10.798476868041371 59.91225369142196)</t>
  </si>
  <si>
    <t>[738377, 1380353]</t>
  </si>
  <si>
    <t>[723577, 1270102]</t>
  </si>
  <si>
    <t>0.039691583743134196</t>
  </si>
  <si>
    <t>[723576, 723577]</t>
  </si>
  <si>
    <t>147.8404912463483</t>
  </si>
  <si>
    <t>8.360023923399188</t>
  </si>
  <si>
    <t>59.43178189617022</t>
  </si>
  <si>
    <t>0.472</t>
  </si>
  <si>
    <t>3.0223831655694595</t>
  </si>
  <si>
    <t>[-0.036, -0.024, 0.025, 0.013]</t>
  </si>
  <si>
    <t>LINESTRING (10.783695370460451 59.903952308154075, 10.783588465652349 59.90391722394684, 10.782641369241672 59.90314327772461, 10.781712626568403 59.903169258652326, 10.781653528058342 59.90323147388203)</t>
  </si>
  <si>
    <t>[1364336, 738545, 738553, 738561]</t>
  </si>
  <si>
    <t>[723685, 723686, 723690, 723694]</t>
  </si>
  <si>
    <t>[1259654, 723685, 723686, 723690]</t>
  </si>
  <si>
    <t>[0.036, 0.024, 0.025, 0.013]</t>
  </si>
  <si>
    <t>173.13860502346802</t>
  </si>
  <si>
    <t>5.992262093720647</t>
  </si>
  <si>
    <t>[0.008, 0.161, 0.185, 0.248]</t>
  </si>
  <si>
    <t>LINESTRING (10.756141076600725 59.89807183736025, 10.759026925563507 59.900476977735714, 10.759094402141416 59.90049998606741, 10.760513565219735 59.90078992849615, 10.760630381411442 59.90077964696536)</t>
  </si>
  <si>
    <t>[745071, 745079, 745087, 745095]</t>
  </si>
  <si>
    <t>[728323, 728327, 728332, 728196]</t>
  </si>
  <si>
    <t>0.05055317252579598</t>
  </si>
  <si>
    <t>[725657, 728323, 728327, 728332]</t>
  </si>
  <si>
    <t>414.6670693250772</t>
  </si>
  <si>
    <t>0.167</t>
  </si>
  <si>
    <t>8.94558226188869</t>
  </si>
  <si>
    <t>[-0.07, -0.061, -0.119, 0.046, 0.039, -0.018, -0.014, -0.029, 0.0]</t>
  </si>
  <si>
    <t>LINESTRING (10.759372487492094 59.89305390070099, 10.75926667321407 59.893168568681126, 10.758601191542828 59.89424238324036, 10.758334539858351 59.89452579157189, 10.757983872412561 59.8948583007833, 10.756751253954198 59.89599798407986, 10.756126163148384 59.89691719367821, 10.75595724244775 59.89757986302478, 10.755968560364026 59.89778233401705, 10.756028837635235 59.898014707886894)</t>
  </si>
  <si>
    <t>[752666, 741369, 741377, 741385, 741393, 1928817, 1928825, 1928833, 1928841]</t>
  </si>
  <si>
    <t>[725690, 725691, 725697, 725702, 725706, 1692503, 1692507, 1692513, 725725]</t>
  </si>
  <si>
    <t>[725713, 725690, 725691, 725697, 725702, 725706, 1692503, 1692507, 1692513]</t>
  </si>
  <si>
    <t>[0.07, 0.061, 0.119, 0.046, 0.039, 0.018, 0.014, 0.029, 0.0]</t>
  </si>
  <si>
    <t>592.69413236862</t>
  </si>
  <si>
    <t>[-0.069, 0.033, 0.079, -0.029, 0.008, 0.098, 0.016, -0.132, 0.154, 0.0, 0.067, -0.09, -0.097, 0.137, 0.098, -0.037, -0.048, -0.047, 0.003, 0.004, 0.001, -0.011, 0.015, 0.009, 0.022, 0.063, 0.001, -0.011, -0.009]</t>
  </si>
  <si>
    <t>LINESTRING (10.779184477562884 59.87345654582834, 10.778936364158627 59.87380787682246, 10.778583261717765 59.874294703402796, 10.778486749234116 59.8744203828266, 10.777309678735701 59.875754872340565, 10.775824741216114 59.87795494898612, 10.77582126308416 59.87796373894548, 10.774993754578913 59.87941561934143, 10.774873722100862 59.87955047689628, 10.77442448322853 59.880005280726415, 10.774415954579831 59.88001327001261, 10.774272185110663 59.88014949557576, 10.77369147532835 59.8806226784849, 10.773177813842816 59.88104676160261, 10.77302484913436 59.881170677759066, 10.772873997910134 59.881293438822134, 10.77186386371824 59.88210870153135, 10.771764027892429 59.88219374503035, 10.771754939716438 59.88220148240174, 10.77105885444922 59.88275539567681, 10.77052458537322 59.883158126600705, 10.770217089523756 59.88336438877848, 10.77007375316092 59.88347826219784, 10.769215370057058 59.88429392691683, 10.76874342971288 59.884881185833734, 10.768338117419388 59.88547222312353, 10.768075769936098 59.88590064148143, 10.761256243784109 59.891266548118345, 10.761165461131167 59.89133699516808, 10.759372487492094 59.89305390070099)</t>
  </si>
  <si>
    <t>[752434, 752442, 752450, 752458, 752466, 752474, 752482, 752490, 752498, 752506, 752514, 752522, 752530, 752538, 752546, 752554, 752562, 752570, 752578, 752586, 752594, 752602, 752610, 752618, 752626, 752634, 752642, 752650, 752658]</t>
  </si>
  <si>
    <t>[733852, 733858, 733864, 733869, 733875, 733880, 733885, 733890, 733894, 733898, 733905, 733912, 733922, 733929, 733936, 733942, 733948, 733954, 733961, 733966, 733974, 733983, 733989, 733992, 733995, 734001, 734008, 734015, 725713]</t>
  </si>
  <si>
    <t>0.0009010071893368615</t>
  </si>
  <si>
    <t>[733844, 733852, 733858, 733864, 733869, 733875, 733880, 733885, 733890, 733894, 733898, 733905, 733912, 733922, 733929, 733936, 733942, 733948, 733954, 733961, 733966, 733974, 733983, 733989, 733992, 733995, 734001, 734008, 734015]</t>
  </si>
  <si>
    <t>[0.069, 0.033, 0.079, 0.029, 0.008, 0.098, 0.016, 0.132, 0.154, 0.0, 0.067, 0.09, 0.097, 0.137, 0.098, 0.037, 0.048, 0.047, 0.003, 0.004, 0.001, 0.011, 0.015, 0.009, 0.022, 0.063, 0.001, 0.011, 0.009]</t>
  </si>
  <si>
    <t>2469.775455781629</t>
  </si>
  <si>
    <t>[0.028, 0.026, -0.019, -0.072, 0.011]</t>
  </si>
  <si>
    <t>LINESTRING (10.756055893300092 59.89810439130874, 10.756421255147806 59.89864804131155, 10.756610921813264 59.89885157005729, 10.757659851867778 59.89975916610161, 10.757697445853102 59.899785734608024, 10.759003151576643 59.90084687466829)</t>
  </si>
  <si>
    <t>[1928857, 1928865, 1928873, 1928881, 1928889]</t>
  </si>
  <si>
    <t>[1692526, 1692531, 1692537, 1692544, 1692549]</t>
  </si>
  <si>
    <t>0.00427029240979008</t>
  </si>
  <si>
    <t>[725718, 1692526, 1692531, 1692537, 1692544]</t>
  </si>
  <si>
    <t>[0.028, 0.026, 0.019, 0.072, 0.011]</t>
  </si>
  <si>
    <t>349.29289445528536</t>
  </si>
  <si>
    <t>10.10872064143054</t>
  </si>
  <si>
    <t>[-0.007, 0.034, 0.047, 0.055, 0.044]</t>
  </si>
  <si>
    <t>LINESTRING (10.755844593368487 59.897728755448135, 10.755923751693079 59.898026676284516, 10.755957135406632 59.89812132043366, 10.75633318466823 59.8986677431665, 10.756524312939995 59.89887285675943, 10.75756316027487 59.89979309444522)</t>
  </si>
  <si>
    <t>[1151017, 1151027, 1151029, 1151030, 1151045]</t>
  </si>
  <si>
    <t>[1086166, 1086177, 1086180, 1086181, 1086193]</t>
  </si>
  <si>
    <t>0.03866631759979519</t>
  </si>
  <si>
    <t>[725731, 1086166, 1086177, 1086180, 1086181]</t>
  </si>
  <si>
    <t>[0.007, 0.034, 0.047, 0.055, 0.044]</t>
  </si>
  <si>
    <t>252.0163274048711</t>
  </si>
  <si>
    <t>15.418750208785495</t>
  </si>
  <si>
    <t>7.958317661365957</t>
  </si>
  <si>
    <t>[0.003, -0.199, -0.01, -0.013]</t>
  </si>
  <si>
    <t>LINESTRING (7.683586388192966 62.55846982542077, 7.683292505044058 62.55854588877032, 7.683076351244681 62.55859902045169, 7.683024423793173 62.558609095590995, 7.682830351617759 62.558579526555555)</t>
  </si>
  <si>
    <t>[1296803, 1296811, 743362, 743338]</t>
  </si>
  <si>
    <t>[1208947, 726975, 726961, 726939]</t>
  </si>
  <si>
    <t>[1208946, 1208947, 726975, 726961]</t>
  </si>
  <si>
    <t>[0.003, 0.199, 0.01, 0.013]</t>
  </si>
  <si>
    <t>43.395460687890385</t>
  </si>
  <si>
    <t>[-0.011, -0.005, -0.17, -0.005]</t>
  </si>
  <si>
    <t>LINESTRING (7.683586388192966 62.55846982542077, 7.683365401186228 62.558461811466195, 7.683252773378141 62.55847206735984, 7.683005462412448 62.558524759804115, 7.682956346649905 62.558538247427975)</t>
  </si>
  <si>
    <t>[1333245, 1333253, 1333261, 743370]</t>
  </si>
  <si>
    <t>[1238140, 1238147, 726979, 726944]</t>
  </si>
  <si>
    <t>[1208946, 1238140, 1238147, 726979]</t>
  </si>
  <si>
    <t>[0.011, 0.005, 0.17, 0.005]</t>
  </si>
  <si>
    <t>34.45499910725107</t>
  </si>
  <si>
    <t>[-0.095, -0.192, -0.249, -0.257, -0.192, -0.102, 0.003]</t>
  </si>
  <si>
    <t>LINESTRING (10.761090054603217 59.90078200165066, 10.76112248831155 59.90084481903238, 10.761103706907415 59.90090221015462, 10.761024244132528 59.900952611233414, 10.760927989851172 59.90097526262814, 10.76077222210399 59.90097083811253, 10.760668227383398 59.90093718602594, 10.760610672629385 59.9008902836788)</t>
  </si>
  <si>
    <t>[744872, 744873, 744890, 744898, 744906, 744914, 744922]</t>
  </si>
  <si>
    <t>[728147, 728148, 728165, 728175, 728181, 638963, 728191]</t>
  </si>
  <si>
    <t>[728146, 728147, 728148, 728165, 728175, 728181, 638963]</t>
  </si>
  <si>
    <t>[0.095, 0.192, 0.249, 0.257, 0.192, 0.102, 0.003]</t>
  </si>
  <si>
    <t>48.62927333412022</t>
  </si>
  <si>
    <t>20.06961344310541</t>
  </si>
  <si>
    <t>[-1.014, -0.114, -0.16, -0.147, -0.147, 1.895]</t>
  </si>
  <si>
    <t>LINESTRING (10.769413994537501 59.89934236867063, 10.768840620877507 59.89928927074574, 10.762274635643893 59.899941734573844, 10.761532563824977 59.90035395635365, 10.761219126962057 59.90063321146354, 10.761124016790294 59.90074590621142, 10.761090054603217 59.90078200165066)</t>
  </si>
  <si>
    <t>[1150887, 1150896, 1150906, 1150915, 1150923, 1150934]</t>
  </si>
  <si>
    <t>[1, 1, 1, 1, 0, 0]</t>
  </si>
  <si>
    <t>[1086051, 1086056, 1086066, 1086075, 1086083, 728146]</t>
  </si>
  <si>
    <t>[734538, 1086051, 1086056, 1086066, 1086075, 1086083]</t>
  </si>
  <si>
    <t>[1.014, 0.114, 0.16, 0.147, 0.147, 1.895]</t>
  </si>
  <si>
    <t>534.7972174975928</t>
  </si>
  <si>
    <t>12.660975041792073</t>
  </si>
  <si>
    <t>[0.257, 0.278]</t>
  </si>
  <si>
    <t>LINESTRING (10.760630381411442 59.90077964696536, 10.760722778881574 59.90073322351153, 10.760776118086305 59.90072018655651)</t>
  </si>
  <si>
    <t>[744938, 744942]</t>
  </si>
  <si>
    <t>[728203, 728206]</t>
  </si>
  <si>
    <t>0.2635562225388772</t>
  </si>
  <si>
    <t>[728196, 728203]</t>
  </si>
  <si>
    <t>10.636704523601137</t>
  </si>
  <si>
    <t>[0.201, 0.222, 0.173, 0.22, 0.502]</t>
  </si>
  <si>
    <t>LINESTRING (10.760776118086305 59.90072018655651, 10.760810860810272 59.9006788202565, 10.760870576035865 59.90060139267158, 10.761492966327705 59.89962027552017, 10.765078697459366 59.89885681980128, 10.765437080839092 59.898850289178)</t>
  </si>
  <si>
    <t>[1928705, 1928713, 1928721, 1928729, 1928737]</t>
  </si>
  <si>
    <t>[1692421, 1692427, 1692433, 1692439, 734567]</t>
  </si>
  <si>
    <t>0.22025355905827587</t>
  </si>
  <si>
    <t>[728206, 1692421, 1692427, 1692433, 1692439]</t>
  </si>
  <si>
    <t>373.29481376786924</t>
  </si>
  <si>
    <t>[0.066, 0.119]</t>
  </si>
  <si>
    <t>LINESTRING (10.780507941486585 59.838846394305115, 10.78054187659742 59.838772889677436, 10.780630177959754 59.83873235813854)</t>
  </si>
  <si>
    <t>[747396, 747404]</t>
  </si>
  <si>
    <t>[729878, 729886]</t>
  </si>
  <si>
    <t>0.08950738739113719</t>
  </si>
  <si>
    <t>[729870, 729878]</t>
  </si>
  <si>
    <t>15.112677873144142</t>
  </si>
  <si>
    <t>[-0.577, -0.099, -0.09, -0.012, 0.103, 0.058, 0.074, 0.131]</t>
  </si>
  <si>
    <t>LINESTRING (10.780507941486585 59.838846394305115, 10.78037763379256 59.83877912590287, 10.780114094979387 59.83865934889482, 10.780072545045156 59.838641829984844, 10.779020161487445 59.83814946524898, 10.778862710983631 59.83805269428796, 10.778794862358538 59.83800447823389, 10.778591654497463 59.83792001237835, 10.778433902085066 59.83786987950209)</t>
  </si>
  <si>
    <t>[764939, 764947, 764955, 764963, 764971, 764979, 764987, 764995]</t>
  </si>
  <si>
    <t>[744075, 744083, 744091, 744099, 744108, 744113, 744119, 729929]</t>
  </si>
  <si>
    <t>[729870, 744075, 744083, 744091, 744099, 744108, 744113, 744119]</t>
  </si>
  <si>
    <t>[0.577, 0.099, 0.09, 0.012, 0.103, 0.058, 0.074, 0.131]</t>
  </si>
  <si>
    <t>160.00042849511215</t>
  </si>
  <si>
    <t>3.031670331651724</t>
  </si>
  <si>
    <t>[-0.638, -0.115, -0.028, -0.029, -0.007, 0.046, 0.473]</t>
  </si>
  <si>
    <t>LINESTRING (10.780630177959754 59.83873235813854, 10.780482960539217 59.83868841959939, 10.780197244225157 59.83858828767047, 10.77913963613308 59.83809485698956, 10.779116429243361 59.83808062431729, 10.778902645691232 59.83792090145544, 10.778754041272915 59.83781904646906, 10.778629845395384 59.837747593566895)</t>
  </si>
  <si>
    <t>[758488, 758496, 758504, 758512, 758520, 758528, 758536]</t>
  </si>
  <si>
    <t>[738372, 738378, 738383, 738390, 738395, 738401, 729957]</t>
  </si>
  <si>
    <t>[729886, 738372, 738378, 738383, 738390, 738395, 738401]</t>
  </si>
  <si>
    <t>[0.638, 0.115, 0.028, 0.029, 0.007, 0.046, 0.473]</t>
  </si>
  <si>
    <t>158.46501739863655</t>
  </si>
  <si>
    <t>[0.039, 0.006, -0.067, -0.08, -0.047, -0.597]</t>
  </si>
  <si>
    <t>LINESTRING (10.780682149541498 59.83872488217221, 10.78067973686959 59.838671745449076, 10.78018916742583 59.83776826640672, 10.779912957071867 59.83774274527499, 10.779576542172189 59.83782672290532, 10.7794350161255 59.838089533757255, 10.779444229483145 59.83819188405772)</t>
  </si>
  <si>
    <t>[1123789, 1123807, 1123810, 1123829, 1123833, 1123879]</t>
  </si>
  <si>
    <t>[1062501, 1062517, 773733, 1062540, 1062542, 733578]</t>
  </si>
  <si>
    <t>[729893, 1062501, 1062517, 773733, 1062540, 1062542]</t>
  </si>
  <si>
    <t>[0.039, 0.006, 0.067, 0.08, 0.047, 0.597]</t>
  </si>
  <si>
    <t>201.26881941594718</t>
  </si>
  <si>
    <t>5.096076922621092</t>
  </si>
  <si>
    <t>[-0.04, -0.073]</t>
  </si>
  <si>
    <t>LINESTRING (10.778629845395384 59.837747593566895, 10.778591915205155 59.837835391954926, 10.778433902085066 59.83786987950209)</t>
  </si>
  <si>
    <t>[747516, 747524]</t>
  </si>
  <si>
    <t>[729963, 729929]</t>
  </si>
  <si>
    <t>[729957, 729963]</t>
  </si>
  <si>
    <t>[0.04, 0.073]</t>
  </si>
  <si>
    <t>20.48322651624131</t>
  </si>
  <si>
    <t>[-0.495, 0.003, -0.048, 0.02, 0.054, 0.058, 0.049, 0.022, 0.016, 0.019]</t>
  </si>
  <si>
    <t>LINESTRING (10.776694438033555 59.841737926682384, 10.776777091933738 59.84164976737689, 10.777431184268455 59.841282345795996, 10.777586096621254 59.841202999355865, 10.778502620342884 59.840216192905025, 10.778527638103176 59.83983575328614, 10.778272759903988 59.83888704675049, 10.778252389279773 59.838551213050586, 10.778381222479934 59.83801664745354, 10.778362869883566 59.83790693605496, 10.778348307793559 59.8378545418883)</t>
  </si>
  <si>
    <t>[753567, 729468, 729476, 729484, 729492, 729500, 729508, 1375036, 1375044, 1375052]</t>
  </si>
  <si>
    <t>[717905, 717906, 717913, 717917, 717920, 717925, 717931, 1266930, 1266938, 729930]</t>
  </si>
  <si>
    <t>0.01845234147971985</t>
  </si>
  <si>
    <t>[734755, 717905, 717906, 717913, 717917, 717920, 717925, 717931, 1266930, 1266938]</t>
  </si>
  <si>
    <t>[0.495, 0.003, 0.048, 0.02, 0.054, 0.058, 0.049, 0.022, 0.016, 0.019]</t>
  </si>
  <si>
    <t>466.73273426871765</t>
  </si>
  <si>
    <t>[-0.015, -0.004, -0.002, -0.001, 0.046]</t>
  </si>
  <si>
    <t>LINESTRING (10.93099656481891 59.93812548278392, 10.931048222669444 59.93806953849184, 10.932880271947981 59.937361020183936, 10.933046353674325 59.93729242539451, 10.9347874114373 59.93645391792736, 10.934856044297211 59.93639096211666)</t>
  </si>
  <si>
    <t>[747532, 747540, 747548, 1536138, 1536146]</t>
  </si>
  <si>
    <t>[729972, 729978, 729982, 1388236, 1357276]</t>
  </si>
  <si>
    <t>[729971, 729972, 729978, 729982, 1388236]</t>
  </si>
  <si>
    <t>[0.015, 0.004, 0.002, 0.001, 0.046]</t>
  </si>
  <si>
    <t>293.370550033157</t>
  </si>
  <si>
    <t>[-0.026, -0.026, -0.034, -0.075, 0.025, 0.003, 0.019, -0.036, 0.015, -0.025]</t>
  </si>
  <si>
    <t>LINESTRING (10.93099656481891 59.93812548278392, 10.932956112019433 59.9374755833297, 10.932985856652046 59.93746577598154, 10.933030481943822 59.9374510697003, 10.933200161291218 59.93739697083409, 10.935444759243389 59.93663365483138, 10.935459233587009 59.93662841045206, 10.936985996750728 59.93603961188884, 10.936999755765376 59.93603391373267, 10.940697160667773 59.93399514233539, 10.940766092745612 59.93394512147598)</t>
  </si>
  <si>
    <t>[753031, 753039, 753047, 765091, 1511518, 1511526, 1511534, 1511542, 1511550, 1511558]</t>
  </si>
  <si>
    <t>[734362, 734368, 734375, 744209, 1366850, 1366859, 1366866, 1366872, 1366879, 1366887]</t>
  </si>
  <si>
    <t>0.008075320450927124</t>
  </si>
  <si>
    <t>[729971, 734362, 734368, 734375, 744209, 1366850, 1366859, 1366866, 1366872, 1366879]</t>
  </si>
  <si>
    <t>[0.026, 0.026, 0.034, 0.075, 0.025, 0.003, 0.019, 0.036, 0.015, 0.025]</t>
  </si>
  <si>
    <t>723.7128126505803</t>
  </si>
  <si>
    <t>[-0.007, -0.023, -0.063, -0.045, -0.005]</t>
  </si>
  <si>
    <t>LINESTRING (10.921762756632157 59.93991044896155, 10.921995847172985 59.93986551987045, 10.92265948306756 59.93977278241275, 10.924706145727239 59.939492679261406, 10.925603998395463 59.93937480748153, 10.93099656481891 59.93812548278392)</t>
  </si>
  <si>
    <t>[765083, 752999, 753007, 753015, 753023]</t>
  </si>
  <si>
    <t>[734341, 734342, 734346, 734353, 729971]</t>
  </si>
  <si>
    <t>[735605, 734341, 734342, 734346, 734353]</t>
  </si>
  <si>
    <t>[0.007, 0.023, 0.063, 0.045, 0.005]</t>
  </si>
  <si>
    <t>557.0776647280397</t>
  </si>
  <si>
    <t>[0.004, 0.037, 0.044, 0.0, 0.022, 0.036, -0.002, -0.046, -0.044]</t>
  </si>
  <si>
    <t>LINESTRING (10.930216067890465 59.93870374208227, 10.929816452871359 59.9388692468571, 10.929285028246893 59.939082490011806, 10.929270995343574 59.93908806206974, 10.925444705631115 59.94003919135268, 10.924602426457275 59.94011791926571, 10.918983301893078 59.94033503193269, 10.918323327683659 59.940319517543394, 10.916404552858667 59.94017688720902, 10.916238792847997 59.94011150999172)</t>
  </si>
  <si>
    <t>[753079, 753087, 753095, 753103, 753111, 753119, 753127, 753135, 765107]</t>
  </si>
  <si>
    <t>[734393, 734403, 734412, 734420, 734425, 734434, 734440, 734449, 744227]</t>
  </si>
  <si>
    <t>0.010105686063412455</t>
  </si>
  <si>
    <t>[730001, 734393, 734403, 734412, 734420, 734425, 734434, 734440, 734449]</t>
  </si>
  <si>
    <t>[0.004, 0.037, 0.044, 0.0, 0.022, 0.036, 0.002, 0.046, 0.044]</t>
  </si>
  <si>
    <t>829.3760922297126</t>
  </si>
  <si>
    <t>[0.069, 0.027, 0.017, 0.017]</t>
  </si>
  <si>
    <t>LINESTRING (10.933185525995377 59.937560148642824, 10.933185525995377 59.937560148642824, 10.9327610404106 59.93770852187822, 10.932746402057221 59.93771363504501, 10.930216067890465 59.93870374208227)</t>
  </si>
  <si>
    <t>[765099, 753055, 753063, 753071]</t>
  </si>
  <si>
    <t>[734380, 734381, 734384, 730001]</t>
  </si>
  <si>
    <t>0.02101170131862149</t>
  </si>
  <si>
    <t>[744218, 734380, 734381, 734384]</t>
  </si>
  <si>
    <t>220.92349707152604</t>
  </si>
  <si>
    <t>[0.244, -0.016, -0.001, 0.004, -0.002]</t>
  </si>
  <si>
    <t>LINESTRING (10.936190479346863 59.93703578306051, 10.93606442002464 59.93705154695675, 10.933531231219785 59.93761937217225, 10.932924675665598 59.93777326383221, 10.930339866651146 59.93868778788684, 10.930216067890465 59.93870374208227)</t>
  </si>
  <si>
    <t>[1536154, 1536162, 747556, 747564, 747572]</t>
  </si>
  <si>
    <t>[1388253, 729988, 729989, 729995, 730001]</t>
  </si>
  <si>
    <t>[1357361, 1388253, 729988, 729989, 729995]</t>
  </si>
  <si>
    <t>[0.244, 0.016, 0.001, 0.004, 0.002]</t>
  </si>
  <si>
    <t>385.438135197654</t>
  </si>
  <si>
    <t>10.42636082211933</t>
  </si>
  <si>
    <t>[-0.738, 0.591]</t>
  </si>
  <si>
    <t>LINESTRING (8.745698557358839 58.473918998396954, 8.745602198377446 58.47389248873469, 8.745519855032704 58.47382884047337)</t>
  </si>
  <si>
    <t>[1756432, 1756442]</t>
  </si>
  <si>
    <t>[1554351, 730776]</t>
  </si>
  <si>
    <t>0.02511885501249976</t>
  </si>
  <si>
    <t>[1152773, 1554351]</t>
  </si>
  <si>
    <t>[0.738, 0.591]</t>
  </si>
  <si>
    <t>14.93330463693953</t>
  </si>
  <si>
    <t>[-0.11, -0.105, -0.091, -0.073, 0.005, 0.022]</t>
  </si>
  <si>
    <t>LINESTRING (8.743568784461784 58.47489950753963, 8.743652148289561 58.47487994813477, 8.743926168654765 58.47475516739614, 8.744028138781713 58.474691246248554, 8.744991114098385 58.47420822536033, 8.74547718437879 58.47389063948217, 8.745519855032704 58.47382884047337)</t>
  </si>
  <si>
    <t>[1247383, 1247408, 748609, 748617, 748625, 748633]</t>
  </si>
  <si>
    <t>[1166896, 730754, 730755, 730762, 730769, 730776]</t>
  </si>
  <si>
    <t>[1166895, 1166896, 730754, 730755, 730762, 730769]</t>
  </si>
  <si>
    <t>[0.11, 0.105, 0.091, 0.073, 0.005, 0.022]</t>
  </si>
  <si>
    <t>167.73211397488006</t>
  </si>
  <si>
    <t>[-0.078, -0.567, -0.012, 0.036, 0.028, 0.193, 0.072, -0.075, 0.001, 0.014, 0.029, 0.075, 0.031, -0.03, -0.059, -0.071, -0.123, -0.041, 0.0, 0.007, -0.022, -0.041, 0.008, 0.165, -0.08, -0.099, -0.28, -0.032, 0.038, -0.041, -0.027, 0.026, -0.035, -0.006, 0.108, 0.056, -0.053, -0.046, -0.014, -0.016, -0.023, -0.028, -0.011, -0.063]</t>
  </si>
  <si>
    <t>[0, 0, 0, 0, 0, 0, 0, 0, 0, 1, 0, 0, 0, 0, 0, 0, 0, 0, 0, 0, 0, 0, 0, 0, 0, 0, 0, 0, 1, 0, 0, 0, 0, 0, 0, 0, 0, 0, 0, 0, 1, 0, 0, 0]</t>
  </si>
  <si>
    <t>LINESTRING (6.1024511110189685 62.11988073148785, 6.128731954866379 62.108708892676496, 6.1287453160889696 62.108702498834305, 6.1318327485394954 62.107584094638824, 6.132747954423523 62.10727335973895, 6.140231471219425 62.10510865433452, 6.145441019847614 62.10437043785071, 6.183484058307375 62.1026208001557, 6.208321571864492 62.096073082675225, 6.208939020699528 62.095791037491914, 6.209072068658866 62.09572507960391, 6.211816024909297 62.09429892627133, 6.215802747525064 62.093112311838446, 6.216231824976092 62.09291912085617, 6.217342382115171 62.09219159319765, 6.217696437318962 62.09187550798159, 6.218460288529457 62.09125990637418, 6.21995158179998 62.09053178590821, 6.225415933697082 62.089894105142264, 6.228428305669931 62.09034745006172, 6.229192160725378 62.09047432865655, 6.232943855448053 62.09112728824425, 6.241404957337527 62.09114765126663, 6.254221540232442 62.088932092560995, 6.257364069905395 62.08779348563952, 6.261464064592524 62.086308073488624, 6.264357716881179 62.08605528133012, 6.2677269888598515 62.086377575752586, 6.276221811781645 62.086590517254876, 6.2765251415228605 62.086624130407785, 6.283942285504644 62.08638731688955, 6.292723466648841 62.08303057224187, 6.296861282512379 62.08220697418637, 6.30005845501318 62.08152393138361, 6.308655527510528 62.08067424053487, 6.309522892232335 62.080464298837214, 6.313621469753891 62.07947569145744, 6.314938730046216 62.07909382544328, 6.3175668825652895 62.076766606239666, 6.31767650402116 62.076232374863714, 6.317719714056646 62.07604488357248, 6.317751901832785 62.07585853798275, 6.318132349459399 62.07493464701482, 6.318425019538168 62.07458142544885, 6.319693641341305 62.07308346045743)</t>
  </si>
  <si>
    <t>[1321522, 1321547, 1321548, 1321549, 2129441, 2131837, 2129433, 2131853, 2129425, 2131861, 2131885, 2131893, 2131901, 2131909, 2131917, 2131925, 2131933, 2131941, 2131949, 2131957, 2131965, 2131797, 2129553, 2129521, 2129529, 2129537, 2129545, 1321677, 1321678, 1321691, 1321692, 1321693, 1321694, 1321709, 1321713, 1321714, 1321718, 1321720, 1321726, 1321727, 1321735, 1321743, 1321761, 1321762]</t>
  </si>
  <si>
    <t>[1228267, 1228289, 1228290, 1228291, 1832533, 1832529, 1832530, 1832526, 1832527, 1833960, 1833970, 1057102, 1833974, 1057101, 1833982, 1833989, 1833996, 1834000, 1834005, 1832554, 1832558, 1832561, 1832566, 1832567, 1832569, 1597422, 1228408, 1228409, 1228410, 1228422, 1228423, 1228424, 1228425, 1228437, 1228442, 1228443, 1228445, 1228447, 1228451, 1228452, 1228458, 733532, 1228483, 730907]</t>
  </si>
  <si>
    <t>[1211358, 1228267, 1228289, 1228290, 1228291, 1832533, 1832529, 1832530, 1832526, 1832527, 1833960, 1833970, 1057102, 1833974, 1057101, 1833982, 1833989, 1833996, 1834000, 1834005, 1832554, 1832558, 1832561, 1832566, 1832567, 1832569, 1597422, 1228408, 1228409, 1228410, 1228422, 1228423, 1228424, 1228425, 1228437, 1228442, 1228443, 1228445, 1228447, 1228451, 1228452, 1228458, 733532, 1228483]</t>
  </si>
  <si>
    <t>[0.078, 0.567, 0.012, 0.036, 0.028, 0.193, 0.072, 0.075, 0.001, 0.014, 0.029, 0.075, 0.031, 0.03, 0.059, 0.071, 0.123, 0.041, 0.0, 0.007, 0.022, 0.041, 0.008, 0.165, 0.08, 0.099, 0.28, 0.032, 0.038, 0.041, 0.027, 0.026, 0.035, 0.006, 0.108, 0.056, 0.053, 0.046, 0.014, 0.016, 0.023, 0.028, 0.011, 0.063]</t>
  </si>
  <si>
    <t>13473.888990237443</t>
  </si>
  <si>
    <t>[0.011, 0.01, 0.01, 0.02, 0.037, 0.036, 0.097, 0.287, -0.243, -0.061, -0.06, -0.056, -0.031, 0.015, -0.223, -0.1, -0.024, -0.007, -0.011, 0.045, 0.007, 0.076, -0.027, -0.019, -0.038, 0.022, -0.016, -0.005, -0.026, -0.051]</t>
  </si>
  <si>
    <t>2492.0</t>
  </si>
  <si>
    <t>[1, 0, 0, 0, 1, 0, 0, 0, 0, 0, 1, 0, 0, 0, 0, 0, 0, 0, 0, 0, 0, 0, 0, 0, 0, 0, 0, 0, 0, 0]</t>
  </si>
  <si>
    <t>LINESTRING (6.51468106770761 61.986477945447156, 6.5130064657059865 61.98738040851067, 6.511168788379779 61.98795558605722, 6.510472539575966 61.98814419428575, 6.509122045722053 61.98863409208565, 6.508734532821093 61.988831724154146, 6.507005075916796 61.99026607029842, 6.503894363244485 61.99320802813395, 6.463579666138006 62.01230408777057, 6.418980184101471 62.03615738644628, 6.418910145170207 62.03701160046641, 6.418883743562452 62.037316632701526, 6.418805067869646 62.037742732934376, 6.418021532339404 62.03931225882401, 6.40478091104321 62.05252337678875, 6.403108013434877 62.054178632679665, 6.394173208514707 62.057517585574914, 6.386484369643749 62.05938410931509, 6.370306040706585 62.061551724535455, 6.369969786687927 62.06163338109581, 6.362376512082668 62.060809246855825, 6.356346062361444 62.05978891990653, 6.353212590293988 62.060578269492154, 6.34928640068001 62.061231416669926, 6.341491504290589 62.063635128093736, 6.341438061204289 62.063682629507646, 6.339520917296262 62.06503968692768, 6.320739629209383 62.070203440370065, 6.320478564024167 62.07173852724538, 6.320459969955205 62.07181578444121, 6.319693641341305 62.07308346045743)</t>
  </si>
  <si>
    <t>[2106843, 2106865, 2106873, 2106889, 2106897, 2106898, 2106899, 2106777, 2106785, 2106736, 2106745, 2106753, 2106761, 2106769, 2106721, 748651, 748659, 748755, 748763, 748771, 748883, 748891, 748899, 748907, 748779, 748787, 748795, 748803, 748811, 748819]</t>
  </si>
  <si>
    <t>[1819834, 1819840, 1819843, 1819853, 1819856, 1819857, 1819798, 1819799, 1819761, 1819762, 1819770, 1819776, 1819783, 1819752, 730793, 730794, 730800, 730863, 730836, 730876, 730849, 730954, 730960, 730880, 730881, 730884, 730887, 730894, 730855, 730907]</t>
  </si>
  <si>
    <t>[1819833, 1819834, 1819840, 1819843, 1819853, 1819856, 1819857, 1819798, 1819799, 1819761, 1819762, 1819770, 1819776, 1819783, 1819752, 730793, 730794, 730800, 730863, 730836, 730876, 730849, 730954, 730960, 730880, 730881, 730884, 730887, 730894, 730855]</t>
  </si>
  <si>
    <t>[0.011, 0.01, 0.01, 0.02, 0.037, 0.036, 0.097, 0.287, 0.243, 0.061, 0.06, 0.056, 0.031, 0.015, 0.223, 0.1, 0.024, 0.007, 0.011, 0.045, 0.007, 0.076, 0.027, 0.019, 0.038, 0.022, 0.016, 0.005, 0.026, 0.051]</t>
  </si>
  <si>
    <t>15233.771162657828</t>
  </si>
  <si>
    <t>[0.041, 0.091, 4.414, 0.108]</t>
  </si>
  <si>
    <t>LINESTRING (7.940406386737366 58.14081413589495, 7.939413894477735 58.14110226010191, 7.938396502077033 58.14143133173929, 7.938388128519677 58.14143427251188, 7.935317959089268 58.142788236309606)</t>
  </si>
  <si>
    <t>[749803, 749808, 1184691, 1184699]</t>
  </si>
  <si>
    <t>[731737, 731742, 1114148, 1114154]</t>
  </si>
  <si>
    <t>0.09966834106107517</t>
  </si>
  <si>
    <t>[731627, 731737, 731742, 1114148]</t>
  </si>
  <si>
    <t>374.25334405327806</t>
  </si>
  <si>
    <t>[-0.043, -0.014, 0.018, 0.051, 0.008]</t>
  </si>
  <si>
    <t>LINESTRING (7.95315340326958 58.13773414389737, 7.953023455102454 58.13777945167416, 7.949138529136233 58.137895163571834, 7.948757650842248 58.13791696386235, 7.945222720878366 58.138875663342105, 7.940406386737366 58.14081413589495)</t>
  </si>
  <si>
    <t>[749763, 749771, 749779, 749787, 749795]</t>
  </si>
  <si>
    <t>[731700, 731706, 731714, 731720, 731627]</t>
  </si>
  <si>
    <t>0.01372471744530359</t>
  </si>
  <si>
    <t>[731699, 731700, 731706, 731714, 731720]</t>
  </si>
  <si>
    <t>[0.043, 0.014, 0.018, 0.051, 0.008]</t>
  </si>
  <si>
    <t>862.8619674249715</t>
  </si>
  <si>
    <t>[-0.01, -0.036, 0.002, 0.01, 0.052, 0.01, 0.056]</t>
  </si>
  <si>
    <t>LINESTRING (7.9531946829246705 58.13790346869014, 7.953073823728819 58.13790127303524, 7.951203516236378 58.13798526845751, 7.949154906942835 58.1379703075311, 7.9487759756432 58.137991567190355, 7.945283898932606 58.13894580017225, 7.940526348387978 58.14086956538929, 7.9395285167290295 58.14114409128873)</t>
  </si>
  <si>
    <t>[749696, 749703, 749711, 749719, 749728, 749736, 749744]</t>
  </si>
  <si>
    <t>[731636, 731643, 731653, 731659, 731665, 731675, 731682]</t>
  </si>
  <si>
    <t>0.01733514386472029</t>
  </si>
  <si>
    <t>[731635, 731636, 731643, 731653, 731659, 731665, 731675]</t>
  </si>
  <si>
    <t>[0.01, 0.036, 0.002, 0.01, 0.052, 0.01, 0.056]</t>
  </si>
  <si>
    <t>921.6263891165995</t>
  </si>
  <si>
    <t>[0.803, -0.458]</t>
  </si>
  <si>
    <t>LINESTRING (7.9531946829246705 58.13790346869014, 7.9531328762457125 58.13783754602422, 7.95315340326958 58.13773414389737)</t>
  </si>
  <si>
    <t>[2137722, 2137730]</t>
  </si>
  <si>
    <t>[1837176, 731699]</t>
  </si>
  <si>
    <t>0.064587726641078</t>
  </si>
  <si>
    <t>[731635, 1837176]</t>
  </si>
  <si>
    <t>[0.803, 0.458]</t>
  </si>
  <si>
    <t>19.809529889030117</t>
  </si>
  <si>
    <t>[0.348, 0.002, -0.018, -1.968]</t>
  </si>
  <si>
    <t>LINESTRING (7.95315340326958 58.13773414389737, 7.953395788470148 58.137637653040855, 7.953551392861275 58.137646112447854, 7.953687303835829 58.13770038690298, 7.953711134699156 58.13771854486634)</t>
  </si>
  <si>
    <t>[2137738, 2137746, 2137754, 2137762]</t>
  </si>
  <si>
    <t>[1454100, 1837185, 1122516, 1114141]</t>
  </si>
  <si>
    <t>0.035209195454188935</t>
  </si>
  <si>
    <t>[731699, 1454100, 1837185, 1122516]</t>
  </si>
  <si>
    <t>[0.348, 0.002, 0.018, 1.968]</t>
  </si>
  <si>
    <t>40.227975999314346</t>
  </si>
  <si>
    <t>9.940321926390249</t>
  </si>
  <si>
    <t>[-0.681, 0.085, -0.025, -0.018, 0.539, -0.016]</t>
  </si>
  <si>
    <t>LINESTRING (10.822273786744049 59.87643452885278, 10.822222008985483 59.87651920087549, 10.822083219896562 59.8766415700746, 10.82140264960302 59.8772322599232, 10.82184632188332 59.87898167669249, 10.82183915641549 59.879010221288, 10.821754198930503 59.87908844453295)</t>
  </si>
  <si>
    <t>[755200, 726892, 726900, 726908, 751338, 751346]</t>
  </si>
  <si>
    <t>[716240, 716241, 716249, 716255, 732981, 732988]</t>
  </si>
  <si>
    <t>[734848, 716240, 716241, 716249, 716255, 732981]</t>
  </si>
  <si>
    <t>[0.681, 0.085, 0.025, 0.018, 0.539, 0.016]</t>
  </si>
  <si>
    <t>324.5939970956614</t>
  </si>
  <si>
    <t>8.263776376462475</t>
  </si>
  <si>
    <t>[0.089, -0.047, -0.025, 0.081]</t>
  </si>
  <si>
    <t>LINESTRING (10.819202059412069 59.87726573390029, 10.819254080486223 59.87725030383334, 10.823116345642084 59.875408405293186, 10.823769807878058 59.87471974114529, 10.8239041764671 59.87464668225535)</t>
  </si>
  <si>
    <t>[751362, 726916, 726924, 751370]</t>
  </si>
  <si>
    <t>[716262, 716263, 716270, 733003]</t>
  </si>
  <si>
    <t>[732993, 716262, 716263, 716270]</t>
  </si>
  <si>
    <t>[0.089, 0.047, 0.025, 0.081]</t>
  </si>
  <si>
    <t>401.537210402996</t>
  </si>
  <si>
    <t>[-0.005, -0.011, -0.002, 0.023, 0.092, -0.018, -0.031, -0.045, 0.028]</t>
  </si>
  <si>
    <t>LINESTRING (10.8239041764671 59.87464668225535, 10.822127249497616 59.87640793571607, 10.820553746496952 59.87753146752182, 10.819125440389655 59.87858592276028, 10.81899966404707 59.878685729865346, 10.818990212678148 59.87869332383715, 10.818022180817445 59.879515801631065, 10.817264014321005 59.88024301180729, 10.817091287602846 59.880419863747385, 10.815345768141052 59.88256578822481)</t>
  </si>
  <si>
    <t>[779176, 779184, 779192, 779200, 779208, 779216, 779218, 779219, 779228]</t>
  </si>
  <si>
    <t>[759321, 759325, 759334, 759340, 759348, 759356, 759359, 759360, 733032]</t>
  </si>
  <si>
    <t>[733003, 759321, 759325, 759334, 759340, 759348, 759356, 759359, 759360]</t>
  </si>
  <si>
    <t>[0.005, 0.011, 0.002, 0.023, 0.092, 0.018, 0.031, 0.045, 0.028]</t>
  </si>
  <si>
    <t>1008.5602615006633</t>
  </si>
  <si>
    <t>[-0.655, 0.049, 0.048, 0.014, 0.01, -0.121, -0.005, 0.012]</t>
  </si>
  <si>
    <t>LINESTRING (10.830557102244944 59.86474741627193, 10.830541669207046 59.86484456315811, 10.8304057140584 59.865447388074145, 10.830074848142779 59.86667433885488, 10.829761592772527 59.867629618870055, 10.82781796195956 59.87058487989576, 10.827808637388426 59.87059249642015, 10.827105998883788 59.87116496025392, 10.8239041764671 59.87464668225535)</t>
  </si>
  <si>
    <t>[779098, 779112, 779120, 779128, 779144, 779152, 779160, 779168]</t>
  </si>
  <si>
    <t>[759253, 759266, 759274, 707767, 759296, 759303, 759310, 733003]</t>
  </si>
  <si>
    <t>0.010586581433812336</t>
  </si>
  <si>
    <t>[735996, 759253, 759266, 759274, 707767, 759296, 759303, 759310]</t>
  </si>
  <si>
    <t>[0.655, 0.049, 0.048, 0.014, 0.01, 0.121, 0.005, 0.012]</t>
  </si>
  <si>
    <t>1179.1673211724433</t>
  </si>
  <si>
    <t>6.058795259798859</t>
  </si>
  <si>
    <t>[-0.348, 0.022, -0.031, -0.038, -0.0, 0.544]</t>
  </si>
  <si>
    <t>LINESTRING (10.821658092719856 59.87901346129944, 10.82163765397971 59.87897684682121, 10.81926466323909 59.87875249734436, 10.819253496824297 59.87875950633653, 10.818841373980021 59.879052534861486, 10.818319264368089 59.879491798444555, 10.818172322363875 59.87953657942466)</t>
  </si>
  <si>
    <t>[751386, 726932, 726940, 726948, 726956, 751394]</t>
  </si>
  <si>
    <t>[716277, 716278, 716286, 716292, 716297, 733025]</t>
  </si>
  <si>
    <t>0.02118073815244002</t>
  </si>
  <si>
    <t>[733008, 716277, 716278, 716286, 716292, 716297]</t>
  </si>
  <si>
    <t>[0.348, 0.022, 0.031, 0.038, 0.0, 0.544]</t>
  </si>
  <si>
    <t>305.55932176457685</t>
  </si>
  <si>
    <t>[0.002, -0.03, -0.008, -0.029, 0.028, 0.031, -0.04, 0.049, 0.013, 0.032]</t>
  </si>
  <si>
    <t>LINESTRING (10.818172322363875 59.87953657942466, 10.817414072942627 59.88023177861681, 10.817390618195905 59.88025611866709, 10.817219223137974 59.880433480653714, 10.816153276233655 59.88169323802327, 10.815503643994491 59.88259059120357, 10.815153641887084 59.8830445437892, 10.81514598163686 59.883052671046784, 10.812442299580079 59.885059418480395, 10.808938234930038 59.88693994545526, 10.80848183510359 59.887217894950865)</t>
  </si>
  <si>
    <t>[753752, 753760, 753768, 753776, 753784, 753792, 753800, 753808, 753816, 753824]</t>
  </si>
  <si>
    <t>[734880, 734887, 734892, 734897, 734903, 734906, 734912, 734918, 734922, 733040]</t>
  </si>
  <si>
    <t>0.017933987806563172</t>
  </si>
  <si>
    <t>[733025, 734880, 734887, 734892, 734897, 734903, 734906, 734912, 734918, 734922]</t>
  </si>
  <si>
    <t>[0.002, 0.03, 0.008, 0.029, 0.028, 0.031, 0.04, 0.049, 0.013, 0.032]</t>
  </si>
  <si>
    <t>1026.5829978030717</t>
  </si>
  <si>
    <t>[-0.007, -0.01, -0.083, -0.004, -0.01]</t>
  </si>
  <si>
    <t>LINESTRING (10.822273786744049 59.87643452885278, 10.820708332986637 59.87755509918853, 10.819154842896765 59.87870454476221, 10.819145336984585 59.87871214600223, 10.81829050566325 59.87943603709066, 10.818172322363875 59.87953657942466)</t>
  </si>
  <si>
    <t>[753712, 753720, 753728, 753736, 753744]</t>
  </si>
  <si>
    <t>[734855, 734861, 734866, 734871, 733025]</t>
  </si>
  <si>
    <t>[734848, 734855, 734861, 734866, 734871]</t>
  </si>
  <si>
    <t>[0.007, 0.01, 0.083, 0.004, 0.01]</t>
  </si>
  <si>
    <t>415.3099854416164</t>
  </si>
  <si>
    <t>[-0.088, 0.026, 0.043, 0.037]</t>
  </si>
  <si>
    <t>LINESTRING (10.815345768141052 59.88256578822481, 10.814989293035577 59.883012458315505, 10.814982324257548 59.88302063453607, 10.812317071821534 59.8850053054449, 10.808810980148174 59.88689210346458)</t>
  </si>
  <si>
    <t>[779235, 779238, 779246, 779253]</t>
  </si>
  <si>
    <t>[759374, 759377, 759387, 733100]</t>
  </si>
  <si>
    <t>0.028636106558519937</t>
  </si>
  <si>
    <t>[733032, 759374, 759377, 759387]</t>
  </si>
  <si>
    <t>[0.088, 0.026, 0.043, 0.037]</t>
  </si>
  <si>
    <t>610.4985381612227</t>
  </si>
  <si>
    <t>[-0.514, 0.009, 0.01, 0.04, -0.208]</t>
  </si>
  <si>
    <t>LINESTRING (10.80848183510359 59.887217894950865, 10.808410289772045 59.88730283190855, 10.80814540667617 59.88750209331307, 10.807048488592173 59.88838246181269, 10.808108028004236 59.88853581056081, 10.808150822737199 59.888522787864474)</t>
  </si>
  <si>
    <t>[751410, 727028, 727036, 727044, 751418]</t>
  </si>
  <si>
    <t>[716350, 716351, 716358, 716365, 733047]</t>
  </si>
  <si>
    <t>[733040, 716350, 716351, 716358, 716365]</t>
  </si>
  <si>
    <t>[0.514, 0.009, 0.01, 0.04, 0.208]</t>
  </si>
  <si>
    <t>232.9310141820452</t>
  </si>
  <si>
    <t>[-0.017, 0.014, -0.016, 0.014]</t>
  </si>
  <si>
    <t>LINESTRING (10.80848183510359 59.887217894950865, 10.807360368608661 59.88797974136305, 10.807350341031494 59.887987037509255, 10.804809956270278 59.89083723454279, 10.804795749085326 59.89086330616862)</t>
  </si>
  <si>
    <t>[753832, 753840, 753848, 753856]</t>
  </si>
  <si>
    <t>[734930, 734935, 734940, 733145]</t>
  </si>
  <si>
    <t>[733040, 734930, 734935, 734940]</t>
  </si>
  <si>
    <t>[0.017, 0.014, 0.016, 0.014]</t>
  </si>
  <si>
    <t>459.5755266091537</t>
  </si>
  <si>
    <t>[-0.009, -0.009, -0.019, -0.016, -0.009, -0.003]</t>
  </si>
  <si>
    <t>LINESTRING (10.25219695014066 59.76119107534528, 10.252339291751667 59.76129649315121, 10.254011166724823 59.76384791771932, 10.254195658227117 59.76410309285203, 10.254795660211013 59.764883260944934, 10.25634509894427 59.765631858139656, 10.256421113027343 59.7656265116559)</t>
  </si>
  <si>
    <t>[751414, 751390, 751398, 751406, 1369380, 1369388]</t>
  </si>
  <si>
    <t>[733018, 733019, 733030, 733035, 1262957, 1262962]</t>
  </si>
  <si>
    <t>[733044, 733018, 733019, 733030, 733035, 1262957]</t>
  </si>
  <si>
    <t>[0.009, 0.009, 0.019, 0.016, 0.009, 0.003]</t>
  </si>
  <si>
    <t>576.8447821691904</t>
  </si>
  <si>
    <t>[0.002, 0.003, -0.001, -0.011, -0.013, -0.02, -0.008, 0.005]</t>
  </si>
  <si>
    <t>66236.0</t>
  </si>
  <si>
    <t>[0, 1, 0, 0, 1, 0, 0, 0]</t>
  </si>
  <si>
    <t>LINESTRING (10.25219695014066 59.76119107534528, 10.251912718473347 59.76073616254153, 10.251794952581976 59.760546245812314, 10.250295790465845 59.758130736128855, 10.247787858272277 59.75434045176182, 10.247473036562827 59.75394156228136, 10.245905163489525 59.75221420496526, 10.244207553763545 59.75081228645527, 10.241215051909059 59.749012420341394)</t>
  </si>
  <si>
    <t>[1593919, 1593927, 1593935, 1593943, 1593951, 1593959, 1179323, 1179331]</t>
  </si>
  <si>
    <t>[1432874, 1432878, 1432884, 1432885, 1432889, 1110117, 1110118, 1110126]</t>
  </si>
  <si>
    <t>[733044, 1432874, 1432878, 1432884, 1432885, 1432889, 1110117, 1110118]</t>
  </si>
  <si>
    <t>[0.002, 0.003, 0.001, 0.011, 0.013, 0.02, 0.008, 0.005]</t>
  </si>
  <si>
    <t>1508.105315018852</t>
  </si>
  <si>
    <t>[-0.808, -0.013, 0.008, 0.02, -0.001, 0.013, 0.014, 0.017, 0.02, 0.009]</t>
  </si>
  <si>
    <t>LINESTRING (10.260136409892608 59.76914708712924, 10.260131822894468 59.76914460074166, 10.258648710982868 59.76827468328366, 10.258440404299032 59.7681392842553, 10.256491333673374 59.766692983999505, 10.25513569732811 59.76539431504445, 10.254598652959052 59.76477248671962, 10.254580447382208 59.76474890030027, 10.254115758782609 59.764141929048215, 10.253924767166527 59.76387992539626, 10.25219695014066 59.76119107534528)</t>
  </si>
  <si>
    <t>[1593839, 1593847, 1593855, 1593863, 1593871, 1593879, 1593887, 1593895, 1593903, 1593911]</t>
  </si>
  <si>
    <t>[1432828, 1432833, 1432838, 1432842, 1432845, 1432850, 1432853, 1432858, 1432866, 733044]</t>
  </si>
  <si>
    <t>0.007609459032918069</t>
  </si>
  <si>
    <t>[1175795, 1432828, 1432833, 1432838, 1432842, 1432845, 1432850, 1432853, 1432858, 1432866]</t>
  </si>
  <si>
    <t>[0.808, 0.013, 0.008, 0.02, 0.001, 0.013, 0.014, 0.017, 0.02, 0.009]</t>
  </si>
  <si>
    <t>1003.1706100848841</t>
  </si>
  <si>
    <t>8.184130986360548</t>
  </si>
  <si>
    <t>10.200490184011226</t>
  </si>
  <si>
    <t>[-0.084, -0.019, -0.007]</t>
  </si>
  <si>
    <t>LINESTRING (10.806503377712179 59.88765476791601, 10.807008158393494 59.887837197407514, 10.807551793141013 59.888094592359415, 10.808150822737199 59.888522787864474)</t>
  </si>
  <si>
    <t>[769368, 769405, 769409]</t>
  </si>
  <si>
    <t>[748574, 748621, 733047]</t>
  </si>
  <si>
    <t>[733067, 748574, 748621]</t>
  </si>
  <si>
    <t>[0.084, 0.019, 0.007]</t>
  </si>
  <si>
    <t>135.24081013606843</t>
  </si>
  <si>
    <t>0.178</t>
  </si>
  <si>
    <t>6.639352378388223</t>
  </si>
  <si>
    <t>[-0.12, 0.005, 0.093, -0.056]</t>
  </si>
  <si>
    <t>39390.0</t>
  </si>
  <si>
    <t>LINESTRING (10.806576232188393 59.88758785639196, 10.807104604156255 59.88778182714307, 10.807664814886657 59.88803787969751, 10.807896325996797 59.88819450473301, 10.808275529675972 59.88848450167432)</t>
  </si>
  <si>
    <t>[768027, 768038, 768051, 768052]</t>
  </si>
  <si>
    <t>[747127, 747140, 747155, 733058]</t>
  </si>
  <si>
    <t>[733066, 747127, 747140, 747155]</t>
  </si>
  <si>
    <t>[0.12, 0.005, 0.093, 0.056]</t>
  </si>
  <si>
    <t>139.55773355093555</t>
  </si>
  <si>
    <t>8.500000000158872</t>
  </si>
  <si>
    <t>[-0.019, 0.159]</t>
  </si>
  <si>
    <t>LINESTRING (10.806354727707316 59.887609883078234, 10.806446172004746 59.887548923058965, 10.806576232188393 59.88758785639196)</t>
  </si>
  <si>
    <t>[1816968, 768019]</t>
  </si>
  <si>
    <t>[747102, 733066]</t>
  </si>
  <si>
    <t>0.06984654113380254</t>
  </si>
  <si>
    <t>[748560, 747102]</t>
  </si>
  <si>
    <t>[0.019, 0.159]</t>
  </si>
  <si>
    <t>16.98583204389459</t>
  </si>
  <si>
    <t>[-0.31, -0.046, -0.012, 0.452]</t>
  </si>
  <si>
    <t>LINESTRING (10.806503377712179 59.88765476791601, 10.806462877757761 59.887692139974035, 10.806781779705426 59.88813700238361, 10.808671685303718 59.886932622691354, 10.808810980148174 59.88689210346458)</t>
  </si>
  <si>
    <t>[751442, 727052, 727060, 751466]</t>
  </si>
  <si>
    <t>[716370, 716371, 716377, 733100]</t>
  </si>
  <si>
    <t>[733067, 716370, 716371, 716377]</t>
  </si>
  <si>
    <t>[0.31, 0.046, 0.012, 0.452]</t>
  </si>
  <si>
    <t>270.8682675522621</t>
  </si>
  <si>
    <t>9.71220108928297</t>
  </si>
  <si>
    <t>[-0.118, 0.035, 0.014, -0.01, -0.013]</t>
  </si>
  <si>
    <t>LINESTRING (10.808810980148174 59.88689210346458, 10.808356924225048 59.88716707013678, 10.80727425056096 59.887897827752035, 10.8072319242135 59.887929827918974, 10.807221936262454 59.88793737707741, 10.804592836427968 59.890840651473056)</t>
  </si>
  <si>
    <t>[779254, 779261, 779269, 779277, 779285]</t>
  </si>
  <si>
    <t>[759395, 759404, 759412, 759420, 733151]</t>
  </si>
  <si>
    <t>[733100, 759395, 759404, 759412, 759420]</t>
  </si>
  <si>
    <t>[0.118, 0.035, 0.014, 0.01, 0.013]</t>
  </si>
  <si>
    <t>504.14515708233995</t>
  </si>
  <si>
    <t>8.246211251325674</t>
  </si>
  <si>
    <t>[-0.0, 0.0, -0.002, 0.011, 0.0, 0.016, -0.048, 0.0, -0.141, -0.018, 0.048, 0.091]</t>
  </si>
  <si>
    <t>LINESTRING (10.804741500998219 59.8909811620488, 10.804294812778643 59.89227780176416, 10.804282347608302 59.892321525078565, 10.80452268524687 59.8943999084398, 10.804539060140206 59.89442172219546, 10.80454056139708 59.89442372119736, 10.804852161796937 59.89471711013927, 10.80624675830927 59.89545227591408, 10.806252601409462 59.895454188490284, 10.806261073227555 59.89545696709849, 10.808077760342025 59.895894471201935, 10.80955948869418 59.89629215050579, 10.809982811195953 59.896440501417416)</t>
  </si>
  <si>
    <t>[753872, 753880, 753888, 753896, 753904, 753912, 753920, 753928, 753936, 753944, 753952, 753960]</t>
  </si>
  <si>
    <t>[734958, 734962, 734968, 734973, 734978, 734982, 734986, 734993, 735000, 735006, 735011, 733464]</t>
  </si>
  <si>
    <t>[733128, 734958, 734962, 734968, 734973, 734978, 734982, 734986, 734993, 735000, 735006, 735011]</t>
  </si>
  <si>
    <t>[0.0, 0.0, 0.002, 0.011, 0.0, 0.016, 0.048, 0.0, 0.141, 0.018, 0.048, 0.091]</t>
  </si>
  <si>
    <t>778.4453216131584</t>
  </si>
  <si>
    <t>13.480726983182198</t>
  </si>
  <si>
    <t>[-0.008, 0.009, -0.01, 0.003, 0.0, 0.091, -0.036, 0.0, -0.075, -0.037, 0.036, 0.044, 0.091, 0.045, 0.43]</t>
  </si>
  <si>
    <t>LINESTRING (10.804538361479446 59.89096029833046, 10.804087905555212 59.89229152418484, 10.80407824026431 59.89233659557089, 10.804332316567402 59.894447786699736, 10.80435601394577 59.894469006762854, 10.804358184843922 59.894470946197096, 10.804704495244932 59.89476976715297, 10.806157289159785 59.89553525615505, 10.806163214338431 59.895537369161616, 10.806171792580441 59.89554043889172, 10.807982454730253 59.89596615333164, 10.809436347064414 59.89637454604673, 10.809847029523242 59.89652663086923, 10.81001801046552 59.89659132850767, 10.81029947004143 59.896699555173875, 10.81044250521518 59.896754550889824)</t>
  </si>
  <si>
    <t>[779301, 779309, 779317, 779325, 779333, 779341, 779349, 779357, 779365, 779373, 779381, 779389, 779397, 779405, 779413]</t>
  </si>
  <si>
    <t>[759440, 759448, 759453, 759459, 759466, 759474, 759481, 759487, 759495, 759501, 759508, 759515, 759523, 759532, 733170]</t>
  </si>
  <si>
    <t>0.002939714369100908</t>
  </si>
  <si>
    <t>[733136, 759440, 759448, 759453, 759459, 759466, 759474, 759481, 759487, 759495, 759501, 759508, 759515, 759523, 759532]</t>
  </si>
  <si>
    <t>[0.008, 0.009, 0.01, 0.003, 0.0, 0.091, 0.036, 0.0, 0.075, 0.037, 0.036, 0.044, 0.091, 0.045, 0.43]</t>
  </si>
  <si>
    <t>831.7556679250929</t>
  </si>
  <si>
    <t>13.678084661240083</t>
  </si>
  <si>
    <t>[0.099, 0.075, -0.016, 0.019, -0.015, -0.03]</t>
  </si>
  <si>
    <t>LINESTRING (10.810153602429867 59.89650528275659, 10.810445096308433 59.896618800845744, 10.810592019155095 59.89667730992484, 10.812299972690345 59.89740881505947, 10.812312963327328 59.89741493798591, 10.814699625876342 59.89866900496629, 10.815456262294939 59.89914753472664)</t>
  </si>
  <si>
    <t>[753976, 753984, 753992, 754000, 754008, 754016]</t>
  </si>
  <si>
    <t>[735024, 735033, 735040, 735048, 735055, 733470]</t>
  </si>
  <si>
    <t>[733162, 735024, 735033, 735040, 735048, 735055]</t>
  </si>
  <si>
    <t>[0.099, 0.075, 0.016, 0.019, 0.015, 0.03]</t>
  </si>
  <si>
    <t>419.45816446927205</t>
  </si>
  <si>
    <t>0.095</t>
  </si>
  <si>
    <t>11.981652640907933</t>
  </si>
  <si>
    <t>[-0.034, -0.034, -0.044, -0.051, 0.259, -0.024]</t>
  </si>
  <si>
    <t>LINESTRING (10.819948363685533 59.90300281308981, 10.820000842644886 59.90306455084888, 10.820500093393175 59.9037304692501, 10.82054040195879 59.90380259182039, 10.820661007891205 59.90404298302609, 10.820716929012073 59.90416372276206, 10.820947502284309 59.90531562797101)</t>
  </si>
  <si>
    <t>[754064, 754072, 754080, 754088, 795975, 1820776]</t>
  </si>
  <si>
    <t>[735090, 735097, 735104, 735109, 775143, 780372]</t>
  </si>
  <si>
    <t>[733177, 735090, 735097, 735104, 735109, 775143]</t>
  </si>
  <si>
    <t>[0.034, 0.034, 0.044, 0.051, 0.259, 0.024]</t>
  </si>
  <si>
    <t>265.8131851957036</t>
  </si>
  <si>
    <t>[-0.037, -0.05, -0.001, 0.005, -0.065]</t>
  </si>
  <si>
    <t>86531.0</t>
  </si>
  <si>
    <t>LINESTRING (10.815456262294939 59.89914753472664, 10.815507903943846 59.89918370359649, 10.816124854785981 59.89962484291609, 10.81643692919787 59.89985468343886, 10.81753135313386 59.90070900386223, 10.819948363685533 59.90300281308981)</t>
  </si>
  <si>
    <t>[754024, 754032, 754040, 754048, 754056]</t>
  </si>
  <si>
    <t>[735065, 735068, 735074, 735081, 733177]</t>
  </si>
  <si>
    <t>[733470, 735065, 735068, 735074, 735081]</t>
  </si>
  <si>
    <t>[0.037, 0.05, 0.001, 0.005, 0.065]</t>
  </si>
  <si>
    <t>498.75336911808944</t>
  </si>
  <si>
    <t>[-0.297, -0.045]</t>
  </si>
  <si>
    <t>LINESTRING (10.820318230382282 59.90376173773909, 10.820354066341917 59.90383099396332, 10.820472637720533 59.9040602344774)</t>
  </si>
  <si>
    <t>[779517, 779525]</t>
  </si>
  <si>
    <t>[759639, 759648]</t>
  </si>
  <si>
    <t>[733236, 759639]</t>
  </si>
  <si>
    <t>[0.297, 0.045]</t>
  </si>
  <si>
    <t>34.369230949123875</t>
  </si>
  <si>
    <t>[0.004, 0.0, 0.031, 0.04, 0.003, 0.026, 0.028, 0.022, 0.006, 0.013]</t>
  </si>
  <si>
    <t>79486.0</t>
  </si>
  <si>
    <t>LINESTRING (10.818654749510216 59.91007744194246, 10.818320550919614 59.910746388022886, 10.818286330351922 59.91082190680006, 10.817527553714028 59.91206107786878, 10.817077752965353 59.91251688663, 10.817069527139537 59.912524618507874, 10.816925724898663 59.91265965682271, 10.816907643250357 59.91267526657055, 10.816200070275741 59.91333414071017, 10.814627807741962 59.914823653271455, 10.814301873799142 59.91515239769207)</t>
  </si>
  <si>
    <t>[754120, 754128, 754136, 754144, 754152, 754160, 754168, 754176, 754184, 754192]</t>
  </si>
  <si>
    <t>[735131, 735139, 735143, 735147, 735155, 735161, 735168, 735175, 735178, 735183]</t>
  </si>
  <si>
    <t>0.017862219012804253</t>
  </si>
  <si>
    <t>[733245, 735131, 735139, 735143, 735147, 735155, 735161, 735168, 735175, 735178]</t>
  </si>
  <si>
    <t>619.2369317347133</t>
  </si>
  <si>
    <t>[-0.021, -0.019, -0.032, -0.074, -0.08, -0.551, -0.011, 0.056, 0.013]</t>
  </si>
  <si>
    <t>LINESTRING (10.820947502284309 59.90531562797101, 10.820960732528201 59.90550577346445, 10.820962242844224 59.905527481459565, 10.820521322849974 59.908098191231424, 10.820504859984032 59.90811405959469, 10.820366094130996 59.90824775939776, 10.820294473612663 59.90831254212634, 10.819053525491748 59.909541010451385, 10.818816001865972 59.909833415324655, 10.818654749510216 59.91007744194246)</t>
  </si>
  <si>
    <t>[1820784, 1820792, 1820800, 1820808, 1820816, 795983, 754096, 754104, 754112]</t>
  </si>
  <si>
    <t>[1600724, 1600733, 1600740, 1600750, 775150, 735116, 735117, 735122, 733245]</t>
  </si>
  <si>
    <t>[780372, 1600724, 1600733, 1600740, 1600750, 775150, 735116, 735117, 735122]</t>
  </si>
  <si>
    <t>[0.021, 0.019, 0.032, 0.074, 0.08, 0.551, 0.011, 0.056, 0.013]</t>
  </si>
  <si>
    <t>559.4123558330879</t>
  </si>
  <si>
    <t>[-0.025, -0.012, 0.01, 0.137, -0.243]</t>
  </si>
  <si>
    <t>2288.0</t>
  </si>
  <si>
    <t>LINESTRING (10.817533827326798 59.912693366560795, 10.817533827326798 59.912693366560795, 10.81604414810308 59.91364495993817, 10.814798911331994 59.914758961111026, 10.814441897643814 59.91511295437945, 10.814301873799142 59.91515239769207)</t>
  </si>
  <si>
    <t>[751658, 727556, 727564, 804165, 804166]</t>
  </si>
  <si>
    <t>[716751, 716752, 716758, 782611, 735183]</t>
  </si>
  <si>
    <t>0.010495241193412861</t>
  </si>
  <si>
    <t>[733278, 716751, 716752, 716758, 782611]</t>
  </si>
  <si>
    <t>[0.025, 0.012, 0.01, 0.137, 0.243]</t>
  </si>
  <si>
    <t>336.5565216104522</t>
  </si>
  <si>
    <t>[0.007, 0.008, -0.003, 0.011, 0.053, 0.069, 0.035, -0.025, 0.046]</t>
  </si>
  <si>
    <t>LINESTRING (10.818657823390769 59.90981139685322, 10.818490452812155 59.91005423988596, 10.818157413568388 59.910721064534066, 10.818124118134211 59.9107963429296, 10.817365889039086 59.91203112483495, 10.816903604788665 59.9124947634183, 10.81689535635685 59.912502674394, 10.816740933173273 59.91264838935563, 10.816669712326041 59.91271625817232, 10.816047809795398 59.91330340611223)</t>
  </si>
  <si>
    <t>[779549, 779557, 779565, 779573, 779581, 779589, 779597, 779605, 779613]</t>
  </si>
  <si>
    <t>[759672, 759681, 759689, 759698, 759705, 759711, 759720, 759730, 733288]</t>
  </si>
  <si>
    <t>0.02235835872277831</t>
  </si>
  <si>
    <t>[733283, 759672, 759681, 759689, 759698, 759705, 759711, 759720, 759730]</t>
  </si>
  <si>
    <t>[0.007, 0.008, 0.003, 0.011, 0.053, 0.069, 0.035, 0.025, 0.046]</t>
  </si>
  <si>
    <t>417.97805602660986</t>
  </si>
  <si>
    <t>[0.0, 0.05]</t>
  </si>
  <si>
    <t>LINESTRING (10.81888898459029 59.90951123742991, 10.81888898459029 59.90951123742991, 10.818657823390769 59.90981139685322)</t>
  </si>
  <si>
    <t>[779533, 779541]</t>
  </si>
  <si>
    <t>[759659, 733283]</t>
  </si>
  <si>
    <t>0.009414294564520934</t>
  </si>
  <si>
    <t>[759658, 759659]</t>
  </si>
  <si>
    <t>190.48026209336834</t>
  </si>
  <si>
    <t>[-0.009, 0.019, 0.007, -0.03, -0.012, 0.006, -0.096, 0.115, 0.007, 0.007, -0.032, 0.003, 0.01, 0.36]</t>
  </si>
  <si>
    <t>LINESTRING (10.816047809795398 59.91330340611223, 10.814484560981954 59.91479239435577, 10.814153017919628 59.91512102302164, 10.813420188807278 59.915851623331015, 10.812311262679348 59.916749651594905, 10.811759318742775 59.91704598888591, 10.811193254950094 59.91730046062706, 10.811179767936519 59.91730629843831, 10.810717987404898 59.91749694815828, 10.80909640730795 59.918337186596, 10.808734237072505 59.918685256744034, 10.808261726926705 59.9194791920321, 10.808258389307026 59.919488176026235, 10.80821285514088 59.91962322403907, 10.808118805253537 59.91965889220113)</t>
  </si>
  <si>
    <t>[779621, 779629, 779637, 779645, 779653, 779661, 779669, 779677, 345466, 345481, 779685, 779693, 779701, 779709]</t>
  </si>
  <si>
    <t>[759746, 759756, 759764, 759771, 759781, 759791, 759800, 334044, 334045, 334061, 759819, 759829, 759837, 733315]</t>
  </si>
  <si>
    <t>0.0005200746285778034</t>
  </si>
  <si>
    <t>[733288, 759746, 759756, 759764, 759771, 759781, 759791, 759800, 334044, 334045, 334061, 759819, 759829, 759837]</t>
  </si>
  <si>
    <t>[0.009, 0.019, 0.007, 0.03, 0.012, 0.006, 0.096, 0.115, 0.007, 0.007, 0.032, 0.003, 0.01, 0.36]</t>
  </si>
  <si>
    <t>850.4667428739206</t>
  </si>
  <si>
    <t>[0.045, 0.02, -0.071, -0.06, -0.038, 0.011, 0.003, -0.179]</t>
  </si>
  <si>
    <t>LINESTRING (10.811459287074342 59.91742746739478, 10.811603193460453 59.91743654178586, 10.812371113339559 59.91703004432309, 10.812353926934625 59.91703241978745, 10.81228512552372 59.917041937830824, 10.810120197609601 59.9179207381567, 10.809410876010203 59.91833334175106, 10.808461103926367 59.91964281712098, 10.808447208180164 59.91968193667742)</t>
  </si>
  <si>
    <t>[751682, 514440, 514448, 514456, 514464, 514472, 514480, 751690]</t>
  </si>
  <si>
    <t>[520765, 520766, 520776, 520785, 520794, 520806, 520815, 733299]</t>
  </si>
  <si>
    <t>[733297, 520765, 520766, 520776, 520785, 520794, 520806, 520815]</t>
  </si>
  <si>
    <t>[0.045, 0.02, 0.071, 0.06, 0.038, 0.011, 0.003, 0.179]</t>
  </si>
  <si>
    <t>559.4463005619717</t>
  </si>
  <si>
    <t>[-1.943, 0.051, 0.052, -0.022, -0.01, -0.03, -0.032]</t>
  </si>
  <si>
    <t>LINESTRING (10.811459287074342 59.91742746739478, 10.81141303512161 59.91741367760364, 10.810774037156056 59.91720315922491, 10.810268216253776 59.91700788170939, 10.807544036667188 59.91574283139965, 10.807271498043942 59.91561240792749, 10.8068406876783 59.91540797846501, 10.804318945976615 59.91420235340184)</t>
  </si>
  <si>
    <t>[763391, 763399, 763407, 763415, 763423, 763431, 763439]</t>
  </si>
  <si>
    <t>[742618, 742626, 742631, 742637, 742647, 742654, 742659]</t>
  </si>
  <si>
    <t>[733297, 742618, 742626, 742631, 742637, 742647, 742654]</t>
  </si>
  <si>
    <t>[1.943, 0.051, 0.052, 0.022, 0.01, 0.03, 0.032]</t>
  </si>
  <si>
    <t>538.2216978316236</t>
  </si>
  <si>
    <t>[-0.014, 0.0, 0.013, 0.029, 0.024, 0.036, -0.145, 0.011, 0.058, 0.007, 0.036, 0.028, 0.031, 0.0, -0.046, 0.317]</t>
  </si>
  <si>
    <t>[0, 0, 0, 0, 0, 0, 0, 0, 0, 0, 0, 0, 0, 0, 0, 1]</t>
  </si>
  <si>
    <t>LINESTRING (10.836111281677805 59.923615353597015, 10.835988587958656 59.92361825259042, 10.833661711830079 59.92361019483163, 10.832266788781558 59.92353834352195, 10.831913558916439 59.92351007809487, 10.831873121111995 59.923506478169195, 10.827734775895674 59.92267717496725, 10.827720148045545 59.92267200897993, 10.82063380299042 59.919997452778155, 10.820465605436832 59.919946527168364, 10.817679378642232 59.91909735876285, 10.817663883349878 59.91909284737074, 10.817508425803782 59.91904761840795, 10.817408470352397 59.91901656964983, 10.814365854745146 59.91820991049476, 10.811623272087681 59.917480069333685, 10.811459287074342 59.91742746739478)</t>
  </si>
  <si>
    <t>[763263, 763271, 763279, 763287, 763295, 763303, 763311, 763319, 763327, 763335, 763343, 763351, 763359, 763367, 763375, 763383]</t>
  </si>
  <si>
    <t>[742493, 742502, 742511, 742519, 742526, 742535, 742542, 742550, 742559, 742566, 742574, 742583, 742590, 742596, 742604, 733297]</t>
  </si>
  <si>
    <t>0.008784986394905056</t>
  </si>
  <si>
    <t>[735276, 742493, 742502, 742511, 742519, 742526, 742535, 742542, 742550, 742559, 742566, 742574, 742583, 742590, 742596, 742604]</t>
  </si>
  <si>
    <t>[0.014, 0.0, 0.013, 0.029, 0.024, 0.036, 0.145, 0.011, 0.058, 0.007, 0.036, 0.028, 0.031, 0.0, 0.046, 0.317]</t>
  </si>
  <si>
    <t>1574.9526180813443</t>
  </si>
  <si>
    <t>10.151358973199956</t>
  </si>
  <si>
    <t>[0.027, 0.017, -0.054, -0.026, -0.016, -0.031, -0.05, -0.003, 0.008, 0.011, 0.007, -0.014, 0.012, -0.002, 0.003, -0.02]</t>
  </si>
  <si>
    <t>LINESTRING (10.814301873799142 59.91515239769207, 10.814287641996705 59.915165998602475, 10.812444342239962 59.91679923735051, 10.811861276961777 59.917108476693244, 10.811292921012859 59.91736025047043, 10.811279339409408 59.91736598637745, 10.811190101764506 59.91740361691888, 10.810817652419079 59.917558446689505, 10.80993272185673 59.917954620763346, 10.809920526590702 59.9179610030866, 10.809242809524125 59.91838424152569, 10.808865048765103 59.918717654311294, 10.808482683809608 59.919301832492806, 10.80841493804969 59.91949321454542, 10.808411966521675 59.91950199440621, 10.808367359120552 59.91963353836241, 10.808447208180164 59.91968193667742)</t>
  </si>
  <si>
    <t>[754200, 754208, 754216, 754224, 754232, 754240, 754248, 345501, 345506, 345507, 345512, 754256, 754264, 754272, 754280, 754288]</t>
  </si>
  <si>
    <t>[735187, 735193, 735200, 735205, 735210, 735218, 334081, 334082, 334087, 334088, 334090, 735233, 735241, 735246, 735254, 733299]</t>
  </si>
  <si>
    <t>[735183, 735187, 735193, 735200, 735205, 735210, 735218, 334081, 334082, 334087, 334088, 334090, 735233, 735241, 735246, 735254]</t>
  </si>
  <si>
    <t>[0.027, 0.017, 0.054, 0.026, 0.016, 0.031, 0.05, 0.003, 0.008, 0.011, 0.007, 0.014, 0.012, 0.002, 0.003, 0.02]</t>
  </si>
  <si>
    <t>619.7127745353632</t>
  </si>
  <si>
    <t>10.452315772317174</t>
  </si>
  <si>
    <t>7.68960337086208</t>
  </si>
  <si>
    <t>4.588027899135748</t>
  </si>
  <si>
    <t>[-0.14, 0.08, 0.188, 0.089, 0.041]</t>
  </si>
  <si>
    <t>LINESTRING (10.81565189576946 59.92338897327108, 10.815799129879187 59.92328665593404, 10.81613968412324 59.923057410565605, 10.816257132333636 59.92299101060437, 10.816693986399695 59.92268120489841, 10.81682816247837 59.92251193592121)</t>
  </si>
  <si>
    <t>[766436, 766444, 766452, 766460, 766468]</t>
  </si>
  <si>
    <t>[745563, 745568, 745576, 745584, 733331]</t>
  </si>
  <si>
    <t>0.05942378856580574</t>
  </si>
  <si>
    <t>[745557, 745563, 745568, 745576, 745584]</t>
  </si>
  <si>
    <t>[0.14, 0.08, 0.188, 0.089, 0.041]</t>
  </si>
  <si>
    <t>118.43354556598844</t>
  </si>
  <si>
    <t>8.668333173144264</t>
  </si>
  <si>
    <t>[0.0, 0.045, 0.168, 0.184, 0.02, 0.001, 0.296]</t>
  </si>
  <si>
    <t>LINESTRING (10.815557732763827 59.92335451092507, 10.815557732763827 59.92335451092507, 10.816031679009827 59.923033298243254, 10.816173535736933 59.9229451957553, 10.816290417095601 59.92285629947511, 10.816554398648796 59.922631156546544, 10.816679512956718 59.92252609444473, 10.816702771413537 59.922483675179556)</t>
  </si>
  <si>
    <t>[765963, 765971, 765987, 765995, 766011, 766019, 766027]</t>
  </si>
  <si>
    <t>[745047, 745056, 738785, 745085, 745110, 745119, 733336]</t>
  </si>
  <si>
    <t>0.06641614315905246</t>
  </si>
  <si>
    <t>[745032, 745047, 745056, 738785, 745085, 745110, 745119]</t>
  </si>
  <si>
    <t>125.82569226506021</t>
  </si>
  <si>
    <t>[-0.036, 0.017, 0.022, -0.008, 0.006, -0.043, -0.017, -0.014]</t>
  </si>
  <si>
    <t>LINESTRING (10.860065326947005 59.927187308522875, 10.860431660031093 59.927309263139996, 10.862576761097998 59.92815777213944, 10.865259208967952 59.92962164176707, 10.865662749348893 59.92985505107034, 10.865674575806432 59.929861779039996, 10.867071591562064 59.930667820063704, 10.86729416478309 59.9307932801138, 10.870073305094387 59.932004282952434)</t>
  </si>
  <si>
    <t>[754456, 754464, 754472, 754480, 754488, 754496, 754504, 754512]</t>
  </si>
  <si>
    <t>[735425, 735433, 735439, 735446, 735455, 735461, 735466, 733364]</t>
  </si>
  <si>
    <t>[733353, 735425, 735433, 735439, 735446, 735455, 735461, 735466]</t>
  </si>
  <si>
    <t>[0.036, 0.017, 0.022, 0.008, 0.006, 0.043, 0.017, 0.014]</t>
  </si>
  <si>
    <t>778.8170835591579</t>
  </si>
  <si>
    <t>[0.012, 0.012, 0.014, -0.004, 0.007, 0.037, 0.067, -0.012, 0.031, 0.0, 0.036, 0.013, 0.035, 0.069, 0.055, -0.05]</t>
  </si>
  <si>
    <t>LINESTRING (10.836111281677805 59.923615353597015, 10.83677621902496 59.92359919364391, 10.840833100819168 59.92361106749518, 10.84304320465865 59.92378155809903, 10.843060557587027 59.92378343667508, 10.846068752865461 59.924215403703606, 10.850530519778955 59.92524000300087, 10.850725836218114 59.92528402885013, 10.850742088823743 59.9252876969084, 10.852200450154626 59.925592024225914, 10.853060975282073 59.92574635387609, 10.85322921983132 59.92577458001946, 10.855234378794115 59.92609755799352, 10.855483858389887 59.92613795878731, 10.85779653023997 59.92657918803953, 10.860016398243214 59.92717174408075, 10.860065326947005 59.927187308522875)</t>
  </si>
  <si>
    <t>[754312, 754336, 754344, 754352, 754360, 754368, 754376, 754384, 754392, 754400, 754408, 754416, 754424, 754432, 754440, 754448]</t>
  </si>
  <si>
    <t>[735284, 735304, 735315, 735322, 735332, 735342, 735351, 735358, 735364, 735371, 735379, 735387, 735396, 735402, 735410, 733353]</t>
  </si>
  <si>
    <t>0.027774945504052833</t>
  </si>
  <si>
    <t>[735276, 735284, 735304, 735315, 735322, 735332, 735342, 735351, 735358, 735364, 735371, 735379, 735387, 735396, 735402, 735410]</t>
  </si>
  <si>
    <t>[0.012, 0.012, 0.014, 0.004, 0.007, 0.037, 0.067, 0.012, 0.031, 0.0, 0.036, 0.013, 0.035, 0.069, 0.055, 0.05]</t>
  </si>
  <si>
    <t>1417.6431882625193</t>
  </si>
  <si>
    <t>[-0.006, 0.04, 0.019, 0.045, -0.012]</t>
  </si>
  <si>
    <t>LINESTRING (10.860248027430936 59.92746008720981, 10.861622126947706 59.927975311413725, 10.862353502384105 59.92828826592674, 10.865413017900801 59.9299685619776, 10.865424582251835 59.92997538064142, 10.867046515061693 59.93090502530914)</t>
  </si>
  <si>
    <t>[779854, 779862, 779870, 779878, 779886]</t>
  </si>
  <si>
    <t>[759989, 759997, 760006, 760015, 733369]</t>
  </si>
  <si>
    <t>0.008832875695954971</t>
  </si>
  <si>
    <t>[733360, 759989, 759997, 760006, 760015]</t>
  </si>
  <si>
    <t>[0.006, 0.04, 0.019, 0.045, 0.012]</t>
  </si>
  <si>
    <t>542.2581679158421</t>
  </si>
  <si>
    <t>[-0.081, 0.062, 0.033, 0.032, 0.04, 0.22]</t>
  </si>
  <si>
    <t>LINESTRING (10.85206550596547 59.92575590684471, 10.85277643224222 59.925886194514895, 10.852946383023097 59.925915104129174, 10.85536267548033 59.92630650345856, 10.85563962019127 59.9263521740847, 10.859886144526214 59.92734423310247, 10.860248027430936 59.92746008720981)</t>
  </si>
  <si>
    <t>[779806, 779814, 779822, 779830, 779838, 779846]</t>
  </si>
  <si>
    <t>[759937, 759944, 759952, 759962, 759974, 733360]</t>
  </si>
  <si>
    <t>0.03657351276464007</t>
  </si>
  <si>
    <t>[733477, 759937, 759944, 759952, 759962, 759974]</t>
  </si>
  <si>
    <t>[0.081, 0.062, 0.033, 0.032, 0.04, 0.22]</t>
  </si>
  <si>
    <t>497.5458138347797</t>
  </si>
  <si>
    <t>[0.026, 0.048]</t>
  </si>
  <si>
    <t>LINESTRING (10.870073305094387 59.932004282952434, 10.879886072875014 59.934613613601776, 10.881129075382635 59.93492824764433)</t>
  </si>
  <si>
    <t>[754520, 754528]</t>
  </si>
  <si>
    <t>[735475, 733373]</t>
  </si>
  <si>
    <t>0.028449813826115996</t>
  </si>
  <si>
    <t>[733364, 735475]</t>
  </si>
  <si>
    <t>699.1639499968846</t>
  </si>
  <si>
    <t>[-0.001, -0.02, 0.022]</t>
  </si>
  <si>
    <t>LINESTRING (10.867046515061693 59.93090502530914, 10.86887835451758 59.93177439402801, 10.869892101181453 59.93214495547373, 10.879755600638129 59.93474952066926)</t>
  </si>
  <si>
    <t>[779894, 779902, 779910]</t>
  </si>
  <si>
    <t>[760030, 760039, 733387]</t>
  </si>
  <si>
    <t>0.014583376130287465</t>
  </si>
  <si>
    <t>[733369, 760030, 760039]</t>
  </si>
  <si>
    <t>[0.001, 0.02, 0.022]</t>
  </si>
  <si>
    <t>834.8075723733901</t>
  </si>
  <si>
    <t>[0.027, 0.001, 0.037, 0.022, 0.014, 0.006, -0.018, 0.03, 0.038, 0.0, 0.052, 0.073]</t>
  </si>
  <si>
    <t>LINESTRING (10.881129075382635 59.93492824764433, 10.890134304288699 59.93723530193644, 10.890150132496254 59.93723943717439, 10.892137951150513 59.9377466542246, 10.892153941509267 59.9377506414238, 10.893625415647737 59.938115542304814, 10.893641594735547 59.93811931042841, 10.896927488623092 59.93881663351404, 10.897070040457585 59.938842454578065, 10.898138233903376 59.93903106115923, 10.898143582736001 59.9390320009532, 10.898160540546804 59.93903469587091, 10.900318929742792 59.93933553334838)</t>
  </si>
  <si>
    <t>[754536, 754544, 754552, 754560, 754568, 754576, 754584, 754592, 754600, 754608, 754616, 754624]</t>
  </si>
  <si>
    <t>[735487, 735490, 735495, 735499, 735505, 735511, 735517, 735523, 735530, 735536, 735541, 733396]</t>
  </si>
  <si>
    <t>0.024905562308127595</t>
  </si>
  <si>
    <t>[733373, 735487, 735490, 735495, 735499, 735505, 735511, 735517, 735523, 735530, 735536, 735541]</t>
  </si>
  <si>
    <t>[0.027, 0.001, 0.037, 0.022, 0.014, 0.006, 0.018, 0.03, 0.038, 0.0, 0.052, 0.073]</t>
  </si>
  <si>
    <t>1182.8411103941294</t>
  </si>
  <si>
    <t>9.302150289038442</t>
  </si>
  <si>
    <t>[0.962, -0.031, -0.04, -0.034, 0.052]</t>
  </si>
  <si>
    <t>6979.0</t>
  </si>
  <si>
    <t>LINESTRING (10.889980803261986 59.93773842484436, 10.889928931134571 59.93773770517139, 10.888604039679072 59.93736818501793, 10.883695936489309 59.93582757610131, 10.879810053603974 59.93481595909534, 10.879755600638129 59.93474952066926)</t>
  </si>
  <si>
    <t>[751810, 728308, 728316, 728324, 751818]</t>
  </si>
  <si>
    <t>[717268, 717269, 717274, 717281, 733387]</t>
  </si>
  <si>
    <t>[733379, 717268, 717269, 717274, 717281]</t>
  </si>
  <si>
    <t>[0.962, 0.031, 0.04, 0.034, 0.052]</t>
  </si>
  <si>
    <t>667.1310506749358</t>
  </si>
  <si>
    <t>[0.024, 0.034, 0.034, -0.02, 0.003, 0.017, -0.007, -0.051, 0.003, 0.206]</t>
  </si>
  <si>
    <t>50517.0</t>
  </si>
  <si>
    <t>LINESTRING (10.879755600638129 59.93474952066926, 10.880974725748239 59.9350645778746, 10.889996748175243 59.93736400250675, 10.890021163799226 59.937370266857044, 10.890037105806574 59.937374351713494, 10.892026956481063 59.93788821503403, 10.892042838788445 59.93789235172017, 10.893514545388141 59.93826337477081, 10.89353069226702 59.938267258783746, 10.896836914126922 59.9389554895701, 10.896972909270863 59.93897869691728)</t>
  </si>
  <si>
    <t>[779918, 779926, 779934, 779942, 779950, 779958, 779973, 779977, 779985, 779987]</t>
  </si>
  <si>
    <t>[760048, 760058, 760067, 760077, 760083, 760089, 760099, 760103, 760112, 733403]</t>
  </si>
  <si>
    <t>0.021503370393595102</t>
  </si>
  <si>
    <t>[733387, 760048, 760058, 760067, 760077, 760083, 760089, 760099, 760103, 760112]</t>
  </si>
  <si>
    <t>[0.024, 0.034, 0.034, 0.02, 0.003, 0.017, 0.007, 0.051, 0.003, 0.206]</t>
  </si>
  <si>
    <t>1072.5893708452406</t>
  </si>
  <si>
    <t>[0.059, 0.045, 0.091, 0.016, 0.006, -0.022, -0.01, -0.016, 0.008, 0.007]</t>
  </si>
  <si>
    <t>LINESTRING (10.900318929742792 59.93933553334838, 10.90104657262173 59.939409374264805, 10.901129939880509 59.93941755202881, 10.901147501870094 59.93941927636445, 10.903427778370169 59.93954960400494, 10.908250013017419 59.93934957987987, 10.90826782447778 59.93934870368189, 10.913338582559346 59.9395501176317, 10.913915227077561 59.93962767080415, 10.916324032409793 59.93995771401495, 10.921762756632157 59.93991044896155)</t>
  </si>
  <si>
    <t>[754632, 754640, 754648, 754656, 754664, 754672, 754680, 754688, 754696, 754704]</t>
  </si>
  <si>
    <t>[735553, 735561, 735568, 735572, 735577, 735582, 735586, 735593, 735599, 735605]</t>
  </si>
  <si>
    <t>0.005181066448049978</t>
  </si>
  <si>
    <t>[733396, 735553, 735561, 735568, 735572, 735577, 735582, 735586, 735593, 735599]</t>
  </si>
  <si>
    <t>[0.059, 0.045, 0.091, 0.016, 0.006, 0.022, 0.01, 0.016, 0.008, 0.007]</t>
  </si>
  <si>
    <t>1214.1018571961968</t>
  </si>
  <si>
    <t>[0.018, -0.053, -0.025, 0.0, 0.003, 0.108, 0.111, 0.14, 0.052, -0.008, -0.027, 0.003, -0.011, 0.027]</t>
  </si>
  <si>
    <t>[0, 0, 0, 0, 0, 0, 0, 0, 0, 0, 0, 0, 0, 1]</t>
  </si>
  <si>
    <t>LINESTRING (10.896972909270863 59.93897869691728, 10.89805020043427 59.939165780388144, 10.898055667462575 59.93916663395799, 10.8980673590823 59.939168445608146, 10.89807277477848 59.939169279596896, 10.90024529856093 59.939472671161944, 10.900970791289266 59.93954899890296, 10.901054140890945 59.939557032305366, 10.901071707378167 59.93955872082631, 10.903349321764539 59.939690657057355, 10.908169882209348 59.939511343078266, 10.908187692653216 59.93951047584851, 10.913252855535502 59.93970253022431, 10.9138329764025 59.939771668338665, 10.916238792847997 59.94011150999172)</t>
  </si>
  <si>
    <t>[779988, 779989, 779997, 780005, 780013, 780021, 780029, 780037, 780045, 780053, 780061, 780069, 780077, 780085]</t>
  </si>
  <si>
    <t>[760115, 760116, 760123, 760132, 760140, 760148, 760156, 760162, 760171, 760179, 760189, 760197, 760204, 744227]</t>
  </si>
  <si>
    <t>0.01402165744626845</t>
  </si>
  <si>
    <t>[733403, 760115, 760116, 760123, 760132, 760140, 760148, 760156, 760162, 760171, 760179, 760189, 760197, 760204]</t>
  </si>
  <si>
    <t>[0.018, 0.053, 0.025, 0.0, 0.003, 0.108, 0.111, 0.14, 0.052, 0.008, 0.027, 0.003, 0.011, 0.027]</t>
  </si>
  <si>
    <t>1096.8380701786762</t>
  </si>
  <si>
    <t>[-0.002, -0.025, -0.04, -0.061, -0.066, -0.07, -0.088, -0.107, -0.059, 0.038, -0.056, 0.043, 0.054, 0.025]</t>
  </si>
  <si>
    <t>[0, 0, 0, 0, 0, 0, 0, 0, 1, 0, 0, 1, 0, 0]</t>
  </si>
  <si>
    <t>LINESTRING (10.938608552338849 59.943840202383385, 10.938955115189342 59.944435816132305, 10.93899882904726 59.94451156105953, 10.939219312717142 59.94486473019119, 10.939355975831745 59.945060523815876, 10.93936180063686 59.94506871399838, 10.939453351763804 59.945193736383686, 10.939587978492904 59.94534413631774, 10.939914102590205 59.945696280679854, 10.940620230398029 59.946269246952404, 10.945039175473823 59.947891926191105, 10.946829434273821 59.948208761753264, 10.947522858767693 59.94833855656506, 10.949927571078085 59.94890263575036, 10.951232502763963 59.949336343336114)</t>
  </si>
  <si>
    <t>[754848, 754856, 754864, 754872, 754880, 754888, 754896, 754904, 754912, 754920, 754928, 754936, 754944, 754952]</t>
  </si>
  <si>
    <t>[735739, 735745, 735752, 735759, 735767, 735777, 735783, 735788, 735795, 735802, 735809, 735813, 735821, 733448]</t>
  </si>
  <si>
    <t>0.0026789288030031775</t>
  </si>
  <si>
    <t>[733414, 735739, 735745, 735752, 735759, 735767, 735777, 735783, 735788, 735795, 735802, 735809, 735813, 735821]</t>
  </si>
  <si>
    <t>[0.002, 0.025, 0.04, 0.061, 0.066, 0.07, 0.088, 0.107, 0.059, 0.038, 0.056, 0.043, 0.054, 0.025]</t>
  </si>
  <si>
    <t>989.0087285437626</t>
  </si>
  <si>
    <t>[-0.018, -0.026, -0.025, -0.055, -0.039, -0.047, -0.043, -0.016, 0.012, 0.031, 0.013, -0.034, 0.032, -0.013, 0.007, 0.003, 0.007]</t>
  </si>
  <si>
    <t>[0, 0, 0, 0, 1, 1, 1, 0, 0, 1, 0, 1, 0, 0, 0, 0, 0]</t>
  </si>
  <si>
    <t>LINESTRING (10.921762756632157 59.93991044896155, 10.921871578258797 59.93989979286936, 10.922011274438692 59.939885777067474, 10.922220336571263 59.9398654664113, 10.92472114345351 59.9395893436793, 10.92479193255989 59.93958137444938, 10.92480961253133 59.93957937710529, 10.925571291321836 59.93949516995407, 10.92681968943747 59.939363166267704, 10.928250415653757 59.939258850677625, 10.929460016500299 59.93924319385642, 10.93479305990361 59.9402424397219, 10.935379200553667 59.940518227232744, 10.937655629808773 59.942271876608636, 10.937664532677516 59.94228316468125, 10.938520966386898 59.94367789158783, 10.938591199261468 59.943806312187434, 10.938608552338849 59.943840202383385)</t>
  </si>
  <si>
    <t>[754712, 754720, 754728, 754736, 754744, 754752, 754760, 754768, 754776, 754784, 754792, 754800, 754808, 754816, 754824, 754832, 754840]</t>
  </si>
  <si>
    <t>[735612, 735618, 735628, 735632, 735638, 735648, 735655, 735665, 735673, 735682, 735689, 735695, 735703, 735711, 735716, 735724, 733414]</t>
  </si>
  <si>
    <t>0.0022537739327900086</t>
  </si>
  <si>
    <t>[735605, 735612, 735618, 735628, 735632, 735638, 735648, 735655, 735665, 735673, 735682, 735689, 735695, 735703, 735711, 735716, 735724]</t>
  </si>
  <si>
    <t>[0.018, 0.026, 0.025, 0.055, 0.039, 0.047, 0.043, 0.016, 0.012, 0.031, 0.013, 0.034, 0.032, 0.013, 0.007, 0.003, 0.007]</t>
  </si>
  <si>
    <t>1224.419243554824</t>
  </si>
  <si>
    <t>[-0.136, 0.002, -0.004, -0.043, 0.392]</t>
  </si>
  <si>
    <t>LINESTRING (10.938752970094885 59.94450456565255, 10.938671114018499 59.944470574810694, 10.938375562331123 59.94404519695486, 10.93703389629159 59.9421899370241, 10.934821694329685 59.941036090454055, 10.934768441257535 59.94101736469787)</t>
  </si>
  <si>
    <t>[751858, 728548, 728556, 728564, 751866]</t>
  </si>
  <si>
    <t>[717413, 717414, 717420, 717425, 733427]</t>
  </si>
  <si>
    <t>[733420, 717413, 717414, 717420, 717425]</t>
  </si>
  <si>
    <t>[0.136, 0.002, 0.004, 0.043, 0.392]</t>
  </si>
  <si>
    <t>462.42989498789</t>
  </si>
  <si>
    <t>[-0.256, -0.046, 0.016, -0.007, -0.029, -0.07, -0.17, -0.062, 0.037, -0.032, 0.028, 0.036, 0.081, 0.057]</t>
  </si>
  <si>
    <t>[0, 0, 0, 0, 0, 0, 0, 1, 0, 0, 1, 0, 0, 0]</t>
  </si>
  <si>
    <t>LINESTRING (10.938752970094885 59.94450456565255, 10.938782485885008 59.94455474417329, 10.939017632660187 59.944925277080046, 10.939158500788103 59.94513150379519, 10.93916523889131 59.94513999185978, 10.93926844664745 59.94527006682012, 10.939401429311355 59.94543008117312, 10.939748965763508 59.94579922192305, 10.94039400215923 59.9463179991479, 10.944879206173251 59.94798592536304, 10.946700911431728 59.94831502271553, 10.947397499739825 59.94843654528658, 10.948920930284723 59.94876001317344, 10.94978873819106 59.94899667014298, 10.951071823533756 59.94943389723119)</t>
  </si>
  <si>
    <t>[780234, 780242, 780250, 780258, 780266, 780274, 780282, 780290, 780298, 780306, 780314, 780322, 780330, 780338]</t>
  </si>
  <si>
    <t>[760362, 760370, 760377, 760385, 760390, 760399, 760408, 760415, 760422, 760431, 760439, 760447, 760456, 733455]</t>
  </si>
  <si>
    <t>0.005721726322497506</t>
  </si>
  <si>
    <t>[733420, 760362, 760370, 760377, 760385, 760390, 760399, 760408, 760415, 760422, 760431, 760439, 760447, 760456]</t>
  </si>
  <si>
    <t>[0.256, 0.046, 0.016, 0.007, 0.029, 0.07, 0.17, 0.062, 0.037, 0.032, 0.028, 0.036, 0.081, 0.057]</t>
  </si>
  <si>
    <t>923.6484935555984</t>
  </si>
  <si>
    <t>[0.009, -0.028, -0.023, -0.002, -0.05, -0.069, -0.037, -0.024, 0.012, 0.009, 0.032, 0.003, 0.056, 0.018, -0.001, 0.011, 0.009]</t>
  </si>
  <si>
    <t>[0, 0, 0, 0, 0, 1, 1, 1, 0, 0, 1, 0, 1, 0, 0, 0, 0]</t>
  </si>
  <si>
    <t>LINESTRING (10.916238792847997 59.94011150999172, 10.921224003703928 59.940107520497875, 10.921241490222112 59.940105643502285, 10.921767067973754 59.940048769597325, 10.922283153335538 59.9399896577634, 10.92471432809411 59.939717699663085, 10.924785062586016 59.93970959388109, 10.924802745928645 59.93970756966874, 10.92556447928429 59.93962352601736, 10.926642361169272 59.93950547106435, 10.92787471127172 59.9394000770104, 10.929103791277898 59.939357154524934, 10.934713596418257 59.94037393860892, 10.935305440917979 59.94064194574744, 10.937454259858999 59.942347255938806, 10.938290014462261 59.94370066420652, 10.93838695731822 59.94387011453328, 10.938752970094885 59.94450456565255)</t>
  </si>
  <si>
    <t>[780098, 780106, 780114, 780122, 780130, 780138, 780146, 780154, 780162, 780170, 780178, 780186, 780194, 780202, 780210, 780218, 780226]</t>
  </si>
  <si>
    <t>[760224, 760231, 760239, 760250, 760259, 760269, 760277, 760286, 760294, 760303, 760311, 760319, 760327, 760335, 760343, 760351, 733420]</t>
  </si>
  <si>
    <t>0.0033364095918537707</t>
  </si>
  <si>
    <t>[744227, 760224, 760231, 760239, 760250, 760259, 760269, 760277, 760286, 760294, 760303, 760311, 760319, 760327, 760335, 760343, 760351]</t>
  </si>
  <si>
    <t>[0.009, 0.028, 0.023, 0.002, 0.05, 0.069, 0.037, 0.024, 0.012, 0.009, 0.032, 0.003, 0.056, 0.018, 0.001, 0.011, 0.009]</t>
  </si>
  <si>
    <t>1592.6718680008548</t>
  </si>
  <si>
    <t>[0.707, -0.072, 0.011, -0.006, 0.007, 0.026, -0.213]</t>
  </si>
  <si>
    <t>8262.0</t>
  </si>
  <si>
    <t>LINESTRING (10.946340912880771 59.94865008248658, 10.946340912880771 59.94865008248658, 10.947362053913263 59.94792089831935, 10.946491470245313 59.94807842009644, 10.946882873812774 59.94815457453886, 10.947581976889218 59.94829230261849, 10.951183970388005 59.94924944170964, 10.951232502763963 59.949336343336114)</t>
  </si>
  <si>
    <t>[751882, 514520, 514528, 514536, 514544, 514552, 751890]</t>
  </si>
  <si>
    <t>[520863, 520864, 520873, 520880, 520892, 520901, 733448]</t>
  </si>
  <si>
    <t>0.009929449048029228</t>
  </si>
  <si>
    <t>[733439, 520863, 520864, 520873, 520880, 520892, 520901]</t>
  </si>
  <si>
    <t>[0.707, 0.072, 0.011, 0.006, 0.007, 0.026, 0.213]</t>
  </si>
  <si>
    <t>717.1054634310854</t>
  </si>
  <si>
    <t>[-0.022, 0.017, 0.04, -0.085, -0.031, -0.038, -0.014, 0.017, -0.043, -0.04, -0.039, -0.032, -0.035, -0.023, -0.029, -0.02]</t>
  </si>
  <si>
    <t>89675.0</t>
  </si>
  <si>
    <t>[0, 0, 0, 0, 0, 1, 1, 0, 0, 1, 0, 1, 1, 0, 0, 0]</t>
  </si>
  <si>
    <t>LINESTRING (10.951232502763963 59.949336343336114, 10.95287392341661 59.950023019924394, 10.954791413259322 59.95120691185628, 10.964033788297868 59.956800898322406, 10.964909295764691 59.95715779725846, 10.975301594591402 59.96210389122723, 10.975400206888347 59.96214376357222, 10.975557907810973 59.96220791637085, 10.975664789653857 59.962243186241615, 10.987762698620056 59.96758319092472, 10.987851686838201 59.96767760125185, 10.989124939171958 59.96943979896196, 10.989159132365133 59.96949361264461, 10.989299885145856 59.969713034014234, 10.989372617164491 59.969867722904816, 10.991142903381311 59.97382661520708, 10.991632186071147 59.97491514310205)</t>
  </si>
  <si>
    <t>[1506353, 1506354, 1506370, 1506373, 1506381, 1506384, 1506391, 1506413, 1506421, 1506422, 1506428, 1506429, 1506444, 1506448, 1506449, 1506450]</t>
  </si>
  <si>
    <t>[1362243, 1362244, 1362259, 1362261, 1362268, 1362271, 1362279, 1362296, 1362304, 1362305, 1362310, 1362311, 1362320, 1362325, 1362326, 1362327]</t>
  </si>
  <si>
    <t>[733448, 1362243, 1362244, 1362259, 1362261, 1362268, 1362271, 1362279, 1362296, 1362304, 1362305, 1362310, 1362311, 1362320, 1362325, 1362326]</t>
  </si>
  <si>
    <t>[0.022, 0.017, 0.04, 0.085, 0.031, 0.038, 0.014, 0.017, 0.043, 0.04, 0.039, 0.032, 0.035, 0.023, 0.029, 0.02]</t>
  </si>
  <si>
    <t>3768.9211157629584</t>
  </si>
  <si>
    <t>[0.243, -0.028, -0.012, -0.076]</t>
  </si>
  <si>
    <t>LINESTRING (10.951071823533756 59.94943389723119, 10.950897343737573 59.949409654541746, 10.949566621665705 59.94904958338209, 10.944021284084126 59.94925387817999, 10.943875882847397 59.94925569493008)</t>
  </si>
  <si>
    <t>[751898, 514560, 514568, 751906]</t>
  </si>
  <si>
    <t>[520911, 520912, 520921, 733459]</t>
  </si>
  <si>
    <t>[733455, 520911, 520912, 520921]</t>
  </si>
  <si>
    <t>[0.243, 0.028, 0.012, 0.076]</t>
  </si>
  <si>
    <t>422.06498638616205</t>
  </si>
  <si>
    <t>[-0.007, 0.037, 0.133, 0.047, -0.033, 0.004, -0.056, -0.126, -0.04, -0.043, -0.032, -0.027, -0.048, 0.01, -0.033, -0.027, -0.004, -0.002]</t>
  </si>
  <si>
    <t>[0, 0, 0, 0, 0, 0, 0, 1, 0, 0, 1, 0, 0, 1, 0, 0, 0, 0]</t>
  </si>
  <si>
    <t>LINESTRING (10.951071823533756 59.94943389723119, 10.954692873347131 59.95142685095713, 10.960007041219475 59.9552845902957, 10.960298843228964 59.95543330328216, 10.963823193005874 59.956928989716445, 10.971717340735864 59.96032880951935, 10.97191781780749 59.960467186910066, 10.974757977113093 59.96212145067216, 10.975013853451072 59.96222905971954, 10.987310368055613 59.96755116934144, 10.987373026976135 59.967617178087245, 10.987480908273097 59.96771845713183, 10.987660686908455 59.96790868152574, 10.988804440551469 59.96949477546893, 10.988992422228328 59.969823248606716, 10.990547980983138 59.973189438940345, 10.990848001647395 59.97386362219277, 10.991373285419686 59.975002288270076, 10.991678567805778 59.97556065409588)</t>
  </si>
  <si>
    <t>[1558831, 1558839, 1558847, 1558855, 1558863, 1558871, 1558879, 1558887, 1558895, 1558903, 1558911, 1558919, 1558927, 1558935, 1558943, 1558951, 1558959, 1558967]</t>
  </si>
  <si>
    <t>[1406297, 1406302, 1406309, 1406316, 1406322, 1406327, 1406337, 1406342, 1406347, 1406353, 1406360, 1406366, 1406370, 1406376, 1406381, 1406388, 1406393, 1406400]</t>
  </si>
  <si>
    <t>[733455, 1406297, 1406302, 1406309, 1406316, 1406322, 1406327, 1406337, 1406342, 1406347, 1406353, 1406360, 1406366, 1406370, 1406376, 1406381, 1406388, 1406393]</t>
  </si>
  <si>
    <t>[0.007, 0.037, 0.133, 0.047, 0.033, 0.004, 0.056, 0.126, 0.04, 0.043, 0.032, 0.027, 0.048, 0.01, 0.033, 0.027, 0.004, 0.002]</t>
  </si>
  <si>
    <t>3827.1117943468844</t>
  </si>
  <si>
    <t>[-0.01, 0.02, 0.094, 0.003, 0.004, 0.034, -0.008, 0.067]</t>
  </si>
  <si>
    <t>LINESTRING (10.840803220862483 59.923765131411365, 10.842101819654557 59.92386459049751, 10.843004809251461 59.923914179259135, 10.843022194786169 59.92391579812464, 10.846017885612266 59.92434201254782, 10.847763974104726 59.924747285729005, 10.850604367749353 59.92543764432889, 10.850620362718336 59.92544151107729, 10.85206550596547 59.92575590684471)</t>
  </si>
  <si>
    <t>[779742, 779750, 779758, 779766, 779774, 779782, 779790, 779798]</t>
  </si>
  <si>
    <t>[759877, 759884, 759892, 759900, 759907, 759914, 759921, 733477]</t>
  </si>
  <si>
    <t>0.01964050976468138</t>
  </si>
  <si>
    <t>[733487, 759877, 759884, 759892, 759900, 759907, 759914, 759921]</t>
  </si>
  <si>
    <t>[0.01, 0.02, 0.094, 0.003, 0.004, 0.034, 0.008, 0.067]</t>
  </si>
  <si>
    <t>673.6914242311132</t>
  </si>
  <si>
    <t>[0.004, 0.015, 0.014]</t>
  </si>
  <si>
    <t>LINESTRING (10.835792571335011 59.923791373565, 10.83627667332346 59.92372635663959, 10.83677231447298 59.923715955730636, 10.840803220862483 59.923765131411365)</t>
  </si>
  <si>
    <t>[779717, 779733, 779741]</t>
  </si>
  <si>
    <t>[759854, 759868, 733487]</t>
  </si>
  <si>
    <t>0.013738472903820355</t>
  </si>
  <si>
    <t>[735292, 759854, 759868]</t>
  </si>
  <si>
    <t>263.2242667883016</t>
  </si>
  <si>
    <t>[0.028, -0.041, -0.036]</t>
  </si>
  <si>
    <t>19068.0</t>
  </si>
  <si>
    <t>LINESTRING (10.777719884716344 59.827975971782635, 10.778092741211623 59.8289853446719, 10.778769968174318 59.834965691929376, 10.778744138330422 59.83603049103783)</t>
  </si>
  <si>
    <t>[751986, 751994, 752002]</t>
  </si>
  <si>
    <t>[733531, 733539, 733546]</t>
  </si>
  <si>
    <t>[733524, 733531, 733539]</t>
  </si>
  <si>
    <t>[0.028, 0.041, 0.036]</t>
  </si>
  <si>
    <t>903.406133123439</t>
  </si>
  <si>
    <t>[0.003, -0.009, 0.005, -0.018, 0.002, -0.032]</t>
  </si>
  <si>
    <t>LINESTRING (10.779678822562994 59.82400347915586, 10.780169162784956 59.82396707691046, 10.780135524462738 59.823992971313544, 10.777268391940511 59.826240471201565, 10.777400769759979 59.82671768350244, 10.77774997109165 59.82790770324578, 10.777719884716344 59.827975971782635)</t>
  </si>
  <si>
    <t>[1503942, 1503979, 1503987, 729348, 729356, 753196]</t>
  </si>
  <si>
    <t>[1185838, 1360089, 717836, 717837, 717842, 733524]</t>
  </si>
  <si>
    <t>0.0013828429233758801</t>
  </si>
  <si>
    <t>[1359996, 1185838, 1360089, 717836, 717837, 717842]</t>
  </si>
  <si>
    <t>[0.003, 0.009, 0.005, 0.018, 0.002, 0.032]</t>
  </si>
  <si>
    <t>561.0743914783397</t>
  </si>
  <si>
    <t>[-0.02, -0.026, -0.038, -0.042, 0.014, 0.024, -0.029, -0.015, -0.015, -0.011, 0.0, 0.02]</t>
  </si>
  <si>
    <t>[0, 0, 0, 1, 1, 0, 0, 0, 0, 0, 0, 0]</t>
  </si>
  <si>
    <t>LINESTRING (10.775819887361338 59.82187614124549, 10.775868197585444 59.8220302820981, 10.776065762558234 59.82268854344961, 10.776435892386475 59.8239046700122, 10.776443762704535 59.82392991966932, 10.776484173946594 59.82405907931935, 10.776937646895941 59.82556716047323, 10.777120882490344 59.8261108372336, 10.77716545766792 59.82623536481553, 10.777362585279487 59.82684701442063, 10.777596206607342 59.827555165156056, 10.777598738500613 59.82756393239855, 10.777719884716344 59.827975971782635)</t>
  </si>
  <si>
    <t>[1552335, 1552343, 1552351, 1552359, 1552367, 1552375, 1552383, 1552391, 751954, 751962, 751970, 751978]</t>
  </si>
  <si>
    <t>[1401201, 1401207, 1401214, 1401221, 1401227, 1401234, 1401240, 733500, 733501, 733510, 733517, 733524]</t>
  </si>
  <si>
    <t>[1401200, 1401201, 1401207, 1401214, 1401221, 1401227, 1401234, 1401240, 733500, 733501, 733510, 733517]</t>
  </si>
  <si>
    <t>[0.02, 0.026, 0.038, 0.042, 0.014, 0.024, 0.029, 0.015, 0.015, 0.011, 0.0, 0.02]</t>
  </si>
  <si>
    <t>688.1007180620468</t>
  </si>
  <si>
    <t>[-0.057, -0.035, -0.011, -0.001, -0.021]</t>
  </si>
  <si>
    <t>LINESTRING (10.778744138330422 59.83603049103783, 10.778839612098034 59.83662885443382, 10.779064964453173 59.83726682479683, 10.7793805469056 59.83809290077929, 10.779386083140531 59.83810151266939, 10.779444229483145 59.83819188405772)</t>
  </si>
  <si>
    <t>[752010, 752018, 752026, 752034, 752042]</t>
  </si>
  <si>
    <t>[733555, 733562, 733568, 733574, 733578]</t>
  </si>
  <si>
    <t>[733546, 733555, 733562, 733568, 733574]</t>
  </si>
  <si>
    <t>[0.057, 0.035, 0.011, 0.001, 0.021]</t>
  </si>
  <si>
    <t>244.49564287027331</t>
  </si>
  <si>
    <t>95.73357109290059</t>
  </si>
  <si>
    <t>12.637246535399736</t>
  </si>
  <si>
    <t>[0.006, -0.014, -0.015, -0.582, 0.028, 0.007]</t>
  </si>
  <si>
    <t>LINESTRING (10.725836625954543 59.91129772965437, 10.717744910574778 59.91012517311287, 10.716629356180057 59.90991037313479, 10.716394966050375 59.90988207211833, 10.716237969800277 59.90986548849735, 10.715980122884947 59.90984109003098, 10.71411491590309 59.90983576185405)</t>
  </si>
  <si>
    <t>[2025404, 2025365, 2025372, 2025364, 752674, 752682]</t>
  </si>
  <si>
    <t>[1768549, 1768550, 1768548, 734031, 734032, 734040]</t>
  </si>
  <si>
    <t>[794436, 1768549, 1768550, 1768548, 734031, 734032]</t>
  </si>
  <si>
    <t>[0.006, 0.014, 0.015, 0.582, 0.028, 0.007]</t>
  </si>
  <si>
    <t>693.0873479797664</t>
  </si>
  <si>
    <t>[-0.002, 0.01, 0.014, 0.057, -0.016, -0.019, -0.003, -0.006, 0.004, -0.008, -0.013, -0.001, 0.007]</t>
  </si>
  <si>
    <t>LINESTRING (10.713892258079802 59.90985458735297, 10.713506166854376 59.909891432626495, 10.710862868744456 59.910217702604015, 10.710562868877284 59.91025486327956, 10.710547087597554 59.91025685768688, 10.709394526712616 59.910404270569416, 10.708455733127293 59.91052446582417, 10.708029095751483 59.910574971760056, 10.706877961305272 59.91072695051785, 10.704958564844695 59.911162778084105, 10.704220202660043 59.911404986505694, 10.703334060936164 59.911765952399065, 10.702822003518502 59.9120374816623, 10.702438356715096 59.91227667666861)</t>
  </si>
  <si>
    <t>[752699, 752707, 752715, 752723, 752731, 752739, 752747, 752755, 752763, 752771, 752779, 752787, 752795]</t>
  </si>
  <si>
    <t>[734052, 734062, 734072, 734079, 734088, 734093, 734099, 734106, 734113, 734121, 734127, 734135, 734142]</t>
  </si>
  <si>
    <t>[734047, 734052, 734062, 734072, 734079, 734088, 734093, 734099, 734106, 734113, 734121, 734127, 734135]</t>
  </si>
  <si>
    <t>[0.002, 0.01, 0.014, 0.057, 0.016, 0.019, 0.003, 0.006, 0.004, 0.008, 0.013, 0.001, 0.007]</t>
  </si>
  <si>
    <t>711.992002565063</t>
  </si>
  <si>
    <t>[0.001, 0.004, 0.003, -0.044]</t>
  </si>
  <si>
    <t>90089.0</t>
  </si>
  <si>
    <t>LINESTRING (10.702438356715096 59.91227667666861, 10.697927509385485 59.91515525375684, 10.697913948043325 59.91516109591595, 10.69151506689248 59.91704789047729, 10.691276036590745 59.91725299777358)</t>
  </si>
  <si>
    <t>[752803, 752811, 752819, 752827]</t>
  </si>
  <si>
    <t>[734150, 734158, 734166, 734173]</t>
  </si>
  <si>
    <t>0.0006222197475322884</t>
  </si>
  <si>
    <t>[734142, 734150, 734158, 734166]</t>
  </si>
  <si>
    <t>[0.001, 0.004, 0.003, 0.044]</t>
  </si>
  <si>
    <t>866.9345700089273</t>
  </si>
  <si>
    <t>[-0.003, -0.037, 0.005, -0.006, 0.001]</t>
  </si>
  <si>
    <t>LINESTRING (10.691276036590745 59.91725299777358, 10.687705737443135 59.91811742658352, 10.68768849218628 59.918115072188925, 10.683500550239701 59.91849173716805, 10.683487050545528 59.91849762490514, 10.68275286739652 59.91894838333306)</t>
  </si>
  <si>
    <t>[752835, 752843, 752851, 752859, 752867]</t>
  </si>
  <si>
    <t>[734182, 734187, 734194, 734204, 734214]</t>
  </si>
  <si>
    <t>0.0008653730575392391</t>
  </si>
  <si>
    <t>[734173, 734182, 734187, 734194, 734204]</t>
  </si>
  <si>
    <t>[0.003, 0.037, 0.005, 0.006, 0.001]</t>
  </si>
  <si>
    <t>568.8596059586566</t>
  </si>
  <si>
    <t>[0.03, 0.085, 0.098, -0.028]</t>
  </si>
  <si>
    <t>LINESTRING (10.68275286739652 59.91894838333306, 10.681264520769096 59.919796252157745, 10.68120796665632 59.9198187652571, 10.681160295020957 59.919837433399216, 10.67902907790078 59.920326081401406)</t>
  </si>
  <si>
    <t>[752875, 752883, 752891, 752899]</t>
  </si>
  <si>
    <t>[734223, 734231, 734238, 734246]</t>
  </si>
  <si>
    <t>0.002962666939561068</t>
  </si>
  <si>
    <t>[734214, 734223, 734231, 734238]</t>
  </si>
  <si>
    <t>[0.03, 0.085, 0.098, 0.028]</t>
  </si>
  <si>
    <t>265.41994352717995</t>
  </si>
  <si>
    <t>[-0.063, 0.016, 0.011, 0.024, 0.029, 0.009, 0.022]</t>
  </si>
  <si>
    <t>LINESTRING (10.67902907790078 59.920326081401406, 10.678450436519142 59.92043925194683, 10.678428010976145 59.920443524322614, 10.678411095559907 59.92044674567409, 10.676369902052537 59.920826148908986, 10.67538242129711 59.92090276732354, 10.672132634713028 59.920520351566054, 10.672051333544172 59.920502391838156)</t>
  </si>
  <si>
    <t>[752907, 752915, 752923, 752931, 752939, 752947, 752955]</t>
  </si>
  <si>
    <t>[734256, 734265, 734275, 734285, 734294, 734302, 734310]</t>
  </si>
  <si>
    <t>0.010272627438857084</t>
  </si>
  <si>
    <t>[734246, 734256, 734265, 734275, 734285, 734294, 734302]</t>
  </si>
  <si>
    <t>[0.063, 0.016, 0.011, 0.024, 0.029, 0.009, 0.022]</t>
  </si>
  <si>
    <t>408.8142365268348</t>
  </si>
  <si>
    <t>[-0.005, -0.012, -0.001, 0.0, -0.01, -0.001]</t>
  </si>
  <si>
    <t>LINESTRING (10.672051333544172 59.920502391838156, 10.666964491530987 59.91868887069092, 10.665706219312794 59.91853069811365, 10.665671060188059 59.91852769697044, 10.665653488960025 59.91852620116581, 10.663620873842643 59.91826418554615, 10.663570509417427 59.91825488292303)</t>
  </si>
  <si>
    <t>[752963, 752971, 752979, 752987, 752995, 753003]</t>
  </si>
  <si>
    <t>[734314, 734323, 734327, 734334, 734338, 734343]</t>
  </si>
  <si>
    <t>[734310, 734314, 734323, 734327, 734334, 734338]</t>
  </si>
  <si>
    <t>[0.005, 0.012, 0.001, 0.0, 0.01, 0.001]</t>
  </si>
  <si>
    <t>548.0965194992301</t>
  </si>
  <si>
    <t>[0.013, 0.022]</t>
  </si>
  <si>
    <t>LINESTRING (10.663570509417427 59.91825488292303, 10.659302361382123 59.91725867797769, 10.65925337685532 59.91724843000123)</t>
  </si>
  <si>
    <t>[753011, 753019]</t>
  </si>
  <si>
    <t>[734348, 734354]</t>
  </si>
  <si>
    <t>0.0131003407860104</t>
  </si>
  <si>
    <t>[734343, 734348]</t>
  </si>
  <si>
    <t>266.3438481780094</t>
  </si>
  <si>
    <t>[0.02, -0.006, -0.004, 0.026, 0.018, 0.024, 0.057, 0.075, -0.022, -0.017]</t>
  </si>
  <si>
    <t>LINESTRING (10.663570509417427 59.91825488292303, 10.663269861984729 59.918253070735716, 10.66247768451093 59.91809298423009, 10.662202479839227 59.91803355858663, 10.661542652308643 59.91787849326116, 10.661250646326922 59.917807055672895, 10.659754071388766 59.917487049359664, 10.659692647636065 59.91750480683009, 10.659598539713393 59.91752598260738, 10.65940300218423 59.91735048047059, 10.65925337685532 59.91724843000123)</t>
  </si>
  <si>
    <t>[765286, 752574, 752582, 752590, 752598, 752606, 752614, 752622, 752630, 765294]</t>
  </si>
  <si>
    <t>[733959, 728502, 733964, 733971, 704261, 733988, 733991, 523709, 733999, 734354]</t>
  </si>
  <si>
    <t>0.01258658483623316</t>
  </si>
  <si>
    <t>[734343, 733959, 728502, 733964, 733971, 704261, 733988, 733991, 523709, 733999]</t>
  </si>
  <si>
    <t>[0.02, 0.006, 0.004, 0.026, 0.018, 0.024, 0.057, 0.075, 0.022, 0.017]</t>
  </si>
  <si>
    <t>279.0791763990655</t>
  </si>
  <si>
    <t>[-0.001, -0.012, 0.05, 0.085, 0.116, 0.028, -0.014]</t>
  </si>
  <si>
    <t>LINESTRING (10.65925337685532 59.91724843000123, 10.658271706638335 59.91702442756951, 10.65822216179856 59.91701299172026, 10.656014560065385 59.91656392485682, 10.655830837056058 59.9165291399161, 10.655813956064122 59.916525939031864, 10.654932255982196 59.91636597090871, 10.653694390898654 59.916154067537285)</t>
  </si>
  <si>
    <t>[753027, 753035, 753043, 753051, 753059, 753067, 753075]</t>
  </si>
  <si>
    <t>[734358, 734363, 734371, 734378, 734383, 734387, 734391]</t>
  </si>
  <si>
    <t>0.024119861714264723</t>
  </si>
  <si>
    <t>[734354, 734358, 734363, 734371, 734378, 734383, 734387]</t>
  </si>
  <si>
    <t>[0.001, 0.012, 0.05, 0.085, 0.116, 0.028, 0.014]</t>
  </si>
  <si>
    <t>334.35676724885906</t>
  </si>
  <si>
    <t>[0.005, 0.002, -0.011]</t>
  </si>
  <si>
    <t>LINESTRING (10.653694390898654 59.916154067537285, 10.652189589824392 59.915904334552486, 10.6477516303531 59.91495037441081, 10.647705999077283 59.91493645609461)</t>
  </si>
  <si>
    <t>[753083, 753091, 753099]</t>
  </si>
  <si>
    <t>[734398, 734408, 734416]</t>
  </si>
  <si>
    <t>0.0026262900553602054</t>
  </si>
  <si>
    <t>[734391, 734398, 734408]</t>
  </si>
  <si>
    <t>[0.005, 0.002, 0.011]</t>
  </si>
  <si>
    <t>362.8079031825863</t>
  </si>
  <si>
    <t>[-0.026, -0.02, -0.006]</t>
  </si>
  <si>
    <t>LINESTRING (10.647705999077283 59.91493645609461, 10.645038715456879 59.9142059860734, 10.643340411785505 59.91384134285807, 10.642908615268524 59.913748105018875)</t>
  </si>
  <si>
    <t>[753107, 753115, 753123]</t>
  </si>
  <si>
    <t>[734423, 734429, 734438]</t>
  </si>
  <si>
    <t>[734416, 734423, 734429]</t>
  </si>
  <si>
    <t>[0.026, 0.02, 0.006]</t>
  </si>
  <si>
    <t>300.0177696273798</t>
  </si>
  <si>
    <t>[0.006, 0.027, 0.029, -0.029]</t>
  </si>
  <si>
    <t>LINESTRING (10.777057901817116 59.82684423616031, 10.776992167218364 59.82677108988464, 10.776720305471594 59.82619678040558, 10.776513611313018 59.82591139705136, 10.775205372173472 59.824736396298604)</t>
  </si>
  <si>
    <t>[753188, 729300, 1503884, 1503899]</t>
  </si>
  <si>
    <t>[717817, 717818, 1360008, 1360022]</t>
  </si>
  <si>
    <t>[734494, 717817, 717818, 1360008]</t>
  </si>
  <si>
    <t>[0.006, 0.027, 0.029, 0.029]</t>
  </si>
  <si>
    <t>263.6897789659357</t>
  </si>
  <si>
    <t>[-0.01, -0.03, -0.024, 0.001, -0.036]</t>
  </si>
  <si>
    <t>LINESTRING (10.777057901817116 59.82684423616031, 10.777292641356036 59.827566054775616, 10.777295818805477 59.82757494167894, 10.777438730784304 59.82799319271174, 10.777813893941184 59.82899952060835, 10.778532789918792 59.83496247938129)</t>
  </si>
  <si>
    <t>[780458, 780466, 780474, 780482, 780490]</t>
  </si>
  <si>
    <t>[760582, 760592, 760601, 760608, 734737]</t>
  </si>
  <si>
    <t>[734494, 760582, 760592, 760601, 760608]</t>
  </si>
  <si>
    <t>[0.01, 0.03, 0.024, 0.001, 0.036]</t>
  </si>
  <si>
    <t>912.2679212045613</t>
  </si>
  <si>
    <t>[-0.028, 0.006, 0.022, 0.006, -0.003, -0.007, -0.03, -0.016]</t>
  </si>
  <si>
    <t>LINESTRING (10.77562255159313 59.822052326255104, 10.775827052986864 59.82270344695686, 10.776194580528221 59.82393467754303, 10.776237109486638 59.82407811210688, 10.776677478774069 59.82553452102388, 10.776687423354257 59.82556172555953, 10.776851646186024 59.826100385793005, 10.776882880523964 59.82622448471145, 10.777057901817116 59.82684423616031)</t>
  </si>
  <si>
    <t>[1542340, 1542348, 1542356, 1542364, 1542372, 1542380, 1542388, 780450]</t>
  </si>
  <si>
    <t>[1393359, 1393367, 1393377, 1393384, 1393392, 1393397, 760572, 734494]</t>
  </si>
  <si>
    <t>[1393358, 1393359, 1393367, 1393377, 1393384, 1393392, 1393397, 760572]</t>
  </si>
  <si>
    <t>[0.028, 0.006, 0.022, 0.006, 0.003, 0.007, 0.03, 0.016]</t>
  </si>
  <si>
    <t>540.0660309969815</t>
  </si>
  <si>
    <t>[-0.186, -0.275, 0.004]</t>
  </si>
  <si>
    <t>LINESTRING (10.769413994537501 59.89934236867063, 10.759891969405128 59.901481383543626, 10.759864756877159 59.90156076620985, 10.75801874280059 59.90387570020286)</t>
  </si>
  <si>
    <t>[753256, 753264, 1928745]</t>
  </si>
  <si>
    <t>[734546, 734552, 1692454]</t>
  </si>
  <si>
    <t>[734538, 734546, 734552]</t>
  </si>
  <si>
    <t>[0.186, 0.275, 0.004]</t>
  </si>
  <si>
    <t>953.8674549154102</t>
  </si>
  <si>
    <t>0.926</t>
  </si>
  <si>
    <t>110.57674534849585</t>
  </si>
  <si>
    <t>[0.0, 0.165]</t>
  </si>
  <si>
    <t>LINESTRING (10.764545430126848 59.8989510715521, 10.764545430126848 59.8989510715521, 10.765437080839092 59.898850289178)</t>
  </si>
  <si>
    <t>[753272, 753280]</t>
  </si>
  <si>
    <t>[734560, 734567]</t>
  </si>
  <si>
    <t>0.018364517642774334</t>
  </si>
  <si>
    <t>[734559, 734560]</t>
  </si>
  <si>
    <t>460.1033559489883</t>
  </si>
  <si>
    <t>[0.017, 0.074]</t>
  </si>
  <si>
    <t>LINESTRING (10.781485880589127 59.90336330166175, 10.78136941097253 59.90335393942525, 10.78128032710673 59.90330880552587)</t>
  </si>
  <si>
    <t>[753368, 753376]</t>
  </si>
  <si>
    <t>[734632, 734595]</t>
  </si>
  <si>
    <t>0.046499851103018526</t>
  </si>
  <si>
    <t>[734627, 734632]</t>
  </si>
  <si>
    <t>13.685609802089003</t>
  </si>
  <si>
    <t>[-0.118, -0.072]</t>
  </si>
  <si>
    <t>LINESTRING (10.781664111734447 59.903258068388745, 10.781620526711635 59.903327092930304, 10.781538033427886 59.90335858046001)</t>
  </si>
  <si>
    <t>[753344, 753352]</t>
  </si>
  <si>
    <t>[734613, 734619]</t>
  </si>
  <si>
    <t>[734607, 734613]</t>
  </si>
  <si>
    <t>[0.118, 0.072]</t>
  </si>
  <si>
    <t>13.86971158274434</t>
  </si>
  <si>
    <t>2.966466079395976</t>
  </si>
  <si>
    <t>[-0.048, -0.035, -0.038]</t>
  </si>
  <si>
    <t>LINESTRING (10.845397306775608 59.81680092180593, 10.846950510370153 59.818703611842295, 10.846969107853143 59.81877571576714, 10.846860078552593 59.82057762285806)</t>
  </si>
  <si>
    <t>[753384, 753392, 753400]</t>
  </si>
  <si>
    <t>[734642, 734650, 734655]</t>
  </si>
  <si>
    <t>[734641, 734642, 734650]</t>
  </si>
  <si>
    <t>[0.048, 0.035, 0.038]</t>
  </si>
  <si>
    <t>440.7416994148464</t>
  </si>
  <si>
    <t>[0.006, 0.006, -0.003, 0.007, -0.113, -0.02, -0.029, 0.017, 0.011, 0.024, 0.035, 0.036, 0.023, 0.09, 0.001, -0.043, 0.018, 0.059]</t>
  </si>
  <si>
    <t>59336.0</t>
  </si>
  <si>
    <t>LINESTRING (10.843111761633104 59.79789648108205, 10.843141959307959 59.79811027759885, 10.843156250878904 59.79821148581624, 10.843157521670037 59.79822047232515, 10.84161694435482 59.807921217143495, 10.841612958244193 59.80792999228598, 10.840576096313283 59.80996140196207, 10.840573105314734 59.80996706165453, 10.840364968648728 59.81037851023192, 10.840323474826938 59.81046370112783, 10.84012752592357 59.81321005061077, 10.841215342552978 59.814414702521724, 10.841294669652617 59.814476268181785, 10.842444560256254 59.81516971621169, 10.842472805080002 59.815185292744424, 10.844190348221092 59.8161070726604, 10.845008830719552 59.816560754030505, 10.845021106954828 59.81656782275444, 10.845397306775608 59.81680092180593)</t>
  </si>
  <si>
    <t>[1506222, 1506223, 1506232, 1506240, 1506241, 1506248, 1506256, 1506264, 1506265, 1506268, 1506269, 1506274, 1506302, 1506303, 1506310, 1506318, 1506327, 1506328]</t>
  </si>
  <si>
    <t>[1362135, 1362136, 1362143, 1362151, 1362152, 1362157, 1160129, 1362172, 1362173, 1362175, 1362176, 1362180, 1362204, 1362205, 1362213, 1362220, 1362227, 734641]</t>
  </si>
  <si>
    <t>0.0083297793826454</t>
  </si>
  <si>
    <t>[1362133, 1362135, 1362136, 1362143, 1362151, 1362152, 1362157, 1160129, 1362172, 1362173, 1362175, 1362176, 1362180, 1362204, 1362205, 1362213, 1362220, 1362227]</t>
  </si>
  <si>
    <t>[0.006, 0.006, 0.003, 0.007, 0.113, 0.02, 0.029, 0.017, 0.011, 0.024, 0.035, 0.036, 0.023, 0.09, 0.001, 0.043, 0.018, 0.059]</t>
  </si>
  <si>
    <t>2229.2666227311365</t>
  </si>
  <si>
    <t>[-0.056, -0.052, -0.002, -0.018, -0.016]</t>
  </si>
  <si>
    <t>59517.0</t>
  </si>
  <si>
    <t>LINESTRING (10.846860078552593 59.82057762285806, 10.846664392853166 59.82099910401331, 10.846370508127553 59.82156328212807, 10.845660663053525 59.82289809974538, 10.84026500647085 59.833843262462054, 10.839655833009875 59.83587398220009)</t>
  </si>
  <si>
    <t>[753408, 753416, 753424, 753432, 753440]</t>
  </si>
  <si>
    <t>[734660, 734664, 734668, 734671, 734676]</t>
  </si>
  <si>
    <t>[734655, 734660, 734664, 734668, 734671]</t>
  </si>
  <si>
    <t>[0.056, 0.052, 0.002, 0.018, 0.016]</t>
  </si>
  <si>
    <t>1754.8994510977182</t>
  </si>
  <si>
    <t>[0.069, 0.069, 0.025, 0.03, 0.032, 0.044, 0.044]</t>
  </si>
  <si>
    <t>4393.0</t>
  </si>
  <si>
    <t>LINESTRING (10.839655833009875 59.83587398220009, 10.839648765672473 59.83598201298477, 10.839651731379032 59.83692787711205, 10.839983840578276 59.83883502722146, 10.839852591903707 59.839570563948485, 10.838817110721985 59.84170171650957, 10.838802924308055 59.84173116327189, 10.838588142971291 59.842172711818904)</t>
  </si>
  <si>
    <t>[753448, 753456, 753464, 753472, 753480, 753488, 753496]</t>
  </si>
  <si>
    <t>[734681, 734688, 734694, 734696, 734702, 734707, 734712]</t>
  </si>
  <si>
    <t>0.036688605151337296</t>
  </si>
  <si>
    <t>[734676, 734681, 734688, 734694, 734696, 734702, 734707]</t>
  </si>
  <si>
    <t>711.9328864115405</t>
  </si>
  <si>
    <t>[0.015, -0.039, -0.032, -0.03, -0.025, 0.012]</t>
  </si>
  <si>
    <t>LINESTRING (10.838588142971291 59.842172711818904, 10.837742744963442 59.844089851621995, 10.837691302955081 59.84421502625054, 10.837458820829951 59.8448028580349, 10.837363811988732 59.84507677980104, 10.837303487795813 59.845244804065445, 10.836719645917666 59.84759820542869)</t>
  </si>
  <si>
    <t>[753504, 753512, 753520, 753528, 753536, 753544]</t>
  </si>
  <si>
    <t>[734716, 734721, 734725, 734727, 734733, 734738]</t>
  </si>
  <si>
    <t>0.003837074598930659</t>
  </si>
  <si>
    <t>[734712, 734716, 734721, 734725, 734727, 734733]</t>
  </si>
  <si>
    <t>[0.015, 0.039, 0.032, 0.03, 0.025, 0.012]</t>
  </si>
  <si>
    <t>614.2709773184313</t>
  </si>
  <si>
    <t>[0.002, -0.038, -0.069, -0.027, -0.013, -0.033, -0.017, -0.017, -0.027, -0.004, -0.006, -0.029, -0.137]</t>
  </si>
  <si>
    <t>LINESTRING (10.778532789918792 59.83496247938129, 10.778523841967562 59.836053141183264, 10.778657582314139 59.83663357287987, 10.778663889639196 59.83665638930785, 10.778882619052085 59.83725385603832, 10.779189211731383 59.83805808204051, 10.779192238755034 59.838066757221945, 10.77922462016091 59.83815771295722, 10.779370813735463 59.838568620448925, 10.779457904445422 59.839370354970924, 10.777474242398313 59.841332922074095, 10.777462192020232 59.84133932359301, 10.777295854456332 59.84142760014954, 10.776694438033555 59.841737926682384)</t>
  </si>
  <si>
    <t>[780498, 780506, 780514, 780522, 780530, 780538, 780546, 780554, 780562, 780570, 780578, 780586, 780594]</t>
  </si>
  <si>
    <t>[760626, 760635, 760641, 760649, 760657, 760666, 760675, 760685, 760691, 760698, 760707, 760717, 734755]</t>
  </si>
  <si>
    <t>[734737, 760626, 760635, 760641, 760649, 760657, 760666, 760675, 760685, 760691, 760698, 760707, 760717]</t>
  </si>
  <si>
    <t>[0.002, 0.038, 0.069, 0.027, 0.013, 0.033, 0.017, 0.017, 0.027, 0.004, 0.006, 0.029, 0.137]</t>
  </si>
  <si>
    <t>809.5476992808485</t>
  </si>
  <si>
    <t>[0.009, -0.006, -0.0, 0.025]</t>
  </si>
  <si>
    <t>LINESTRING (10.836719645917666 59.84759820542869, 10.836675978378635 59.84790585162998, 10.83585836913829 59.84981154589224, 10.835722903622116 59.850008658986525, 10.835360056511506 59.85053753929847)</t>
  </si>
  <si>
    <t>[753552, 753560, 753568, 753576]</t>
  </si>
  <si>
    <t>[734743, 734749, 734756, 734760]</t>
  </si>
  <si>
    <t>0.0016617907316622536</t>
  </si>
  <si>
    <t>[734738, 734743, 734749, 734756]</t>
  </si>
  <si>
    <t>[0.009, 0.006, 0.0, 0.025]</t>
  </si>
  <si>
    <t>337.7648213517914</t>
  </si>
  <si>
    <t>[-0.002, -0.053, -0.06, -0.051]</t>
  </si>
  <si>
    <t>LINESTRING (10.835360056511506 59.85053753929847, 10.834052657281237 59.85274824726633, 10.831002094635789 59.86011628402406, 10.83098846229587 59.860168001175644, 10.830881487447604 59.86092167447787)</t>
  </si>
  <si>
    <t>[753584, 753592, 753600, 753608]</t>
  </si>
  <si>
    <t>[734766, 734773, 734777, 734783]</t>
  </si>
  <si>
    <t>[734760, 734766, 734773, 734777]</t>
  </si>
  <si>
    <t>[0.002, 0.053, 0.06, 0.051]</t>
  </si>
  <si>
    <t>1186.6149268067838</t>
  </si>
  <si>
    <t>[0.012, 0.01, -0.014, -0.022, -0.016, -0.011, -0.005, -0.004, -0.002]</t>
  </si>
  <si>
    <t>LINESTRING (10.713860006621257 59.90974383564498, 10.713474042997593 59.90978441659914, 10.710822107922368 59.910114405687494, 10.710520200382623 59.910150263188555, 10.710504250109972 59.910152180146376, 10.70934185111999 59.91029940672549, 10.708399527239125 59.91041798477273, 10.707966172293261 59.91047295623477, 10.706797497461263 59.910635152548316, 10.704085090586883 59.91132693218756)</t>
  </si>
  <si>
    <t>[781154, 781162, 781170, 781178, 781186, 781194, 781202, 781210, 781218]</t>
  </si>
  <si>
    <t>[761289, 761297, 761305, 761313, 761323, 761332, 761342, 761350, 734870]</t>
  </si>
  <si>
    <t>[734782, 761289, 761297, 761305, 761313, 761323, 761332, 761342, 761350]</t>
  </si>
  <si>
    <t>[0.012, 0.01, 0.014, 0.022, 0.016, 0.011, 0.005, 0.004, 0.002]</t>
  </si>
  <si>
    <t>578.4811104101994</t>
  </si>
  <si>
    <t>13.14686274365284</t>
  </si>
  <si>
    <t>[-0.043, 0.027, 0.055, 0.067, 0.066, 0.024]</t>
  </si>
  <si>
    <t>LINESTRING (10.830881487447604 59.86092167447787, 10.830841907684102 59.861508448683814, 10.830833537491387 59.86267345194572, 10.830715253282095 59.86473520321294, 10.83069765178867 59.864849508629845, 10.830565386028113 59.865449168807785, 10.830239066783383 59.86667370151609)</t>
  </si>
  <si>
    <t>[753616, 753624, 753632, 753640, 753648, 753656]</t>
  </si>
  <si>
    <t>[734789, 734795, 734803, 734809, 734813, 734819]</t>
  </si>
  <si>
    <t>0.03412212567731584</t>
  </si>
  <si>
    <t>[734783, 734789, 734795, 734803, 734809, 734813]</t>
  </si>
  <si>
    <t>[0.043, 0.027, 0.055, 0.067, 0.066, 0.024]</t>
  </si>
  <si>
    <t>642.8969703260716</t>
  </si>
  <si>
    <t>[0.005, 0.032, 0.001, 0.019]</t>
  </si>
  <si>
    <t>179.0</t>
  </si>
  <si>
    <t>LINESTRING (10.830239066783383 59.86667370151609, 10.827979612619723 59.87060429498773, 10.827970341513346 59.87061191321893, 10.824053319561116 59.87467668306256, 10.822273786744049 59.87643452885278)</t>
  </si>
  <si>
    <t>[753664, 753680, 753696, 753704]</t>
  </si>
  <si>
    <t>[734824, 734833, 734842, 734848]</t>
  </si>
  <si>
    <t>0.005919578271502164</t>
  </si>
  <si>
    <t>[734819, 734824, 734833, 734842]</t>
  </si>
  <si>
    <t>1186.7827162482215</t>
  </si>
  <si>
    <t>[0.0, 0.003]</t>
  </si>
  <si>
    <t>LINESTRING (10.716018874192919 59.90973366627399, 10.716018874192919 59.90973366627399, 10.714091694132732 59.909724405079736)</t>
  </si>
  <si>
    <t>[781130, 781138]</t>
  </si>
  <si>
    <t>[761268, 734847]</t>
  </si>
  <si>
    <t>0.0026314525190297947</t>
  </si>
  <si>
    <t>[761267, 761268]</t>
  </si>
  <si>
    <t>123.47991395101695</t>
  </si>
  <si>
    <t>[0.027, 0.011, 0.007, -0.003, -0.014, -0.003]</t>
  </si>
  <si>
    <t>LINESTRING (10.704085090586883 59.91132693218756, 10.703178634482878 59.91168714403178, 10.702655805914473 59.91196040714273, 10.702273707691395 59.91220547904408, 10.697708337447851 59.915095576604166, 10.697694300009962 59.915101223338795, 10.691306069724261 59.91699411079779)</t>
  </si>
  <si>
    <t>[781226, 781234, 781242, 781250, 781258, 781266]</t>
  </si>
  <si>
    <t>[761368, 761376, 761385, 761390, 761397, 734896]</t>
  </si>
  <si>
    <t>[734870, 761368, 761376, 761385, 761390, 761397]</t>
  </si>
  <si>
    <t>[0.027, 0.011, 0.007, 0.003, 0.014, 0.003]</t>
  </si>
  <si>
    <t>985.2823094559931</t>
  </si>
  <si>
    <t>9.013878188937648</t>
  </si>
  <si>
    <t>3.8105773841483663</t>
  </si>
  <si>
    <t>[1.211, -0.018, -0.011, 0.005, 0.009, 0.012, -0.007, -0.019, 0.041]</t>
  </si>
  <si>
    <t>LINESTRING (10.691306069724261 59.91699411079779, 10.691281938191793 59.917018588512136, 10.691071765656641 59.91723453135202, 10.687632969373546 59.91803448268943, 10.687616017590331 59.91803290222454, 10.687333009952933 59.9180068868561, 10.683369839645014 59.91843822802465, 10.68335679305869 59.91844462517258, 10.682573187842003 59.918889526593276, 10.681126755039179 59.91970432888008)</t>
  </si>
  <si>
    <t>[781274, 781282, 781290, 781298, 781306, 781314, 781322, 781330, 781338]</t>
  </si>
  <si>
    <t>[761411, 761416, 761424, 761434, 761443, 761453, 761462, 761473, 744348]</t>
  </si>
  <si>
    <t>0.010047677423071938</t>
  </si>
  <si>
    <t>[734896, 761411, 761416, 761424, 761434, 761443, 761453, 761462, 761473]</t>
  </si>
  <si>
    <t>[1.211, 0.018, 0.011, 0.005, 0.009, 0.012, 0.007, 0.019, 0.041]</t>
  </si>
  <si>
    <t>716.8960158412917</t>
  </si>
  <si>
    <t>[-0.041, -0.003, 0.002, 0.002, 0.004, 0.047, 0.053, -0.024, -0.001, 0.003]</t>
  </si>
  <si>
    <t>LINESTRING (10.681019505742753 59.919743972068005, 10.678974377386398 59.920227620562294, 10.67838543207076 59.920343455917724, 10.67836236707318 59.920348237822445, 10.678344989025462 59.9203518486213, 10.676216009233539 59.92073806075889, 10.675219490226151 59.92080818543934, 10.673777219022579 59.920727719306655, 10.672186619737715 59.920407881147554, 10.66867484744075 59.91904841461599, 10.666898521699014 59.91856645548421)</t>
  </si>
  <si>
    <t>[781362, 781370, 781378, 781386, 781394, 781402, 781410, 781418, 781426, 781434]</t>
  </si>
  <si>
    <t>[761500, 761507, 761512, 761520, 761530, 761538, 761548, 761555, 761564, 761571]</t>
  </si>
  <si>
    <t>[734905, 761500, 761507, 761512, 761520, 761530, 761538, 761548, 761555, 761564]</t>
  </si>
  <si>
    <t>[0.041, 0.003, 0.002, 0.002, 0.004, 0.047, 0.053, 0.024, 0.001, 0.003]</t>
  </si>
  <si>
    <t>887.9245491861615</t>
  </si>
  <si>
    <t>[-1.268, 1.159]</t>
  </si>
  <si>
    <t>LINESTRING (10.681126755039179 59.91970432888008, 10.681068683329203 59.919726117717985, 10.681019505742753 59.919743972068005)</t>
  </si>
  <si>
    <t>[781346, 781354]</t>
  </si>
  <si>
    <t>[761484, 734905]</t>
  </si>
  <si>
    <t>[744348, 761484]</t>
  </si>
  <si>
    <t>[1.268, 1.159]</t>
  </si>
  <si>
    <t>7.452073323648896</t>
  </si>
  <si>
    <t>[-0.02, -0.013, -0.043]</t>
  </si>
  <si>
    <t>LINESTRING (10.845441590825656 59.82287498896654, 10.840048504405912 59.83383191409073, 10.839439754452368 59.83587343599195, 10.839424770188717 59.83597905826152)</t>
  </si>
  <si>
    <t>[778856, 778864, 778872]</t>
  </si>
  <si>
    <t>[759013, 759022, 735910]</t>
  </si>
  <si>
    <t>[735844, 759013, 759022]</t>
  </si>
  <si>
    <t>[0.02, 0.013, 0.043]</t>
  </si>
  <si>
    <t>1501.9069909930608</t>
  </si>
  <si>
    <t>[0.04, 0.014, 0.013, -0.043, 0.054, -0.056, -0.041, -0.007, -0.034, -0.048, -0.046, 0.017]</t>
  </si>
  <si>
    <t>[0, 0, 0, 0, 0, 0, 0, 1, 0, 0, 0, 0]</t>
  </si>
  <si>
    <t>LINESTRING (10.840923698293526 59.81445202647177, 10.84101766971885 59.814524413837866, 10.842228219569105 59.81525963330121, 10.843857829404337 59.81611361017969, 10.844625486333737 59.8165248660183, 10.844636969292033 59.81653128030412, 10.844997885729228 59.81673973776382, 10.846739685577356 59.81873601434057, 10.846759217112849 59.818794175492854, 10.846631555589596 59.82056455491626, 10.846437439428708 59.820981014365124, 10.846151978516447 59.82154462217888, 10.845441590825656 59.82287498896654)</t>
  </si>
  <si>
    <t>[1558783, 1558791, 1558799, 1558807, 1558815, 1558823, 778808, 778816, 778824, 778832, 778840, 778848]</t>
  </si>
  <si>
    <t>[1406264, 1406269, 1406273, 1406280, 1406287, 758957, 758958, 758968, 758976, 758987, 758996, 735844]</t>
  </si>
  <si>
    <t>[1363672, 1406264, 1406269, 1406273, 1406280, 1406287, 758957, 758958, 758968, 758976, 758987, 758996]</t>
  </si>
  <si>
    <t>[0.04, 0.014, 0.013, 0.043, 0.054, 0.056, 0.041, 0.007, 0.034, 0.048, 0.046, 0.017]</t>
  </si>
  <si>
    <t>1059.040394199123</t>
  </si>
  <si>
    <t>[0.691, 0.038, 0.004, -0.012, -0.028, -0.028, -0.003, 0.011, -0.007]</t>
  </si>
  <si>
    <t>LINESTRING (10.838663619354561 59.841683280512, 10.838648991386979 59.84171254244791, 10.838429991300176 59.842151520592225, 10.837548917177227 59.844153845802964, 10.837526602696236 59.84420955026685, 10.837346245635597 59.84467431490121, 10.837203083608372 59.84506179965151, 10.837143866372868 59.84523525366115, 10.836556612794753 59.84759726800841, 10.836510008763794 59.84790266328597)</t>
  </si>
  <si>
    <t>[778912, 778920, 778928, 778936, 778944, 778952, 778960, 778968, 778976]</t>
  </si>
  <si>
    <t>[759072, 759079, 759089, 759097, 759105, 759113, 759122, 759131, 735949]</t>
  </si>
  <si>
    <t>0.00708631818420394</t>
  </si>
  <si>
    <t>[735861, 759072, 759079, 759089, 759097, 759105, 759113, 759122, 759131]</t>
  </si>
  <si>
    <t>[0.691, 0.038, 0.004, 0.012, 0.028, 0.028, 0.003, 0.011, 0.007]</t>
  </si>
  <si>
    <t>704.4952576582527</t>
  </si>
  <si>
    <t>[0.078, 0.025, 0.032, 0.032]</t>
  </si>
  <si>
    <t>LINESTRING (10.839424770188717 59.83597905826152, 10.839426054465441 59.83693232303712, 10.839675088081133 59.83882510189742, 10.839589980474434 59.8395564794408, 10.838663619354561 59.841683280512)</t>
  </si>
  <si>
    <t>[778880, 778888, 778896, 778904]</t>
  </si>
  <si>
    <t>[759037, 759045, 759055, 735861]</t>
  </si>
  <si>
    <t>0.037304828827761524</t>
  </si>
  <si>
    <t>[735910, 759037, 759045, 759055]</t>
  </si>
  <si>
    <t>642.2244126587018</t>
  </si>
  <si>
    <t>[-0.003, 0.038, 0.043, 0.015, -0.004]</t>
  </si>
  <si>
    <t>LINESTRING (10.836510008763794 59.84790266328597, 10.835709656838707 59.84977176949148, 10.83558287981243 59.849956569920444, 10.835565010924626 59.84998225834334, 10.835189176224848 59.850524933007144, 10.83389088866194 59.852737007186384)</t>
  </si>
  <si>
    <t>[778984, 778992, 779000, 779008, 779016]</t>
  </si>
  <si>
    <t>[759143, 759152, 759158, 759164, 735957]</t>
  </si>
  <si>
    <t>0.0004458594498044632</t>
  </si>
  <si>
    <t>[735949, 759143, 759152, 759158, 759164]</t>
  </si>
  <si>
    <t>[0.003, 0.038, 0.043, 0.015, 0.004]</t>
  </si>
  <si>
    <t>559.6127103848776</t>
  </si>
  <si>
    <t>[-0.055, -0.047, -0.047]</t>
  </si>
  <si>
    <t>LINESTRING (10.83389088866194 59.852737007186384, 10.830836210600511 59.860070563781704, 10.830830389167845 59.86010274778164, 10.830699864532589 59.86091591585598)</t>
  </si>
  <si>
    <t>[779029, 779037, 779045]</t>
  </si>
  <si>
    <t>[759185, 759192, 735985]</t>
  </si>
  <si>
    <t>[735957, 759185, 759192]</t>
  </si>
  <si>
    <t>[0.055, 0.047, 0.047]</t>
  </si>
  <si>
    <t>930.1932480273572</t>
  </si>
  <si>
    <t>[-0.024, -0.01, 0.1, 0.066]</t>
  </si>
  <si>
    <t>2496.0</t>
  </si>
  <si>
    <t>LINESTRING (10.830699864532589 59.86091591585598, 10.830650817054382 59.861506885516576, 10.830642239030828 59.86244530228369, 10.830644108621879 59.862672840723015, 10.830557102244944 59.86474741627193)</t>
  </si>
  <si>
    <t>[779058, 779066, 779082, 779090]</t>
  </si>
  <si>
    <t>[759211, 759219, 759236, 735996]</t>
  </si>
  <si>
    <t>0.03552387680322015</t>
  </si>
  <si>
    <t>[735985, 759211, 759219, 759236]</t>
  </si>
  <si>
    <t>[0.024, 0.01, 0.1, 0.066]</t>
  </si>
  <si>
    <t>427.15836184739067</t>
  </si>
  <si>
    <t>LINESTRING (10.744944571620987 59.90636982157105, 10.744796334724837 59.90636636842989, 10.744642841766394 59.90624302017136)</t>
  </si>
  <si>
    <t>[755529, 755537]</t>
  </si>
  <si>
    <t>[736252, 736258]</t>
  </si>
  <si>
    <t>0.003020875268446188</t>
  </si>
  <si>
    <t>[736251, 736252]</t>
  </si>
  <si>
    <t>25.45029115062883</t>
  </si>
  <si>
    <t>[-0.003, -0.001]</t>
  </si>
  <si>
    <t>LINESTRING (10.745110335291452 59.906272837035424, 10.7450565227931 59.90633372465366, 10.744944571620987 59.90636982157105)</t>
  </si>
  <si>
    <t>[755593, 755601]</t>
  </si>
  <si>
    <t>[736293, 736251]</t>
  </si>
  <si>
    <t>[736289, 736293]</t>
  </si>
  <si>
    <t>14.870493406241462</t>
  </si>
  <si>
    <t>LINESTRING (10.745318745474641 59.90647378745294, 10.745041820841656 59.90640024674406, 10.744944571620987 59.90636982157105)</t>
  </si>
  <si>
    <t>[755785, 755793]</t>
  </si>
  <si>
    <t>[736423, 736251]</t>
  </si>
  <si>
    <t>[736392, 736423]</t>
  </si>
  <si>
    <t>24.313684798172197</t>
  </si>
  <si>
    <t>LINESTRING (10.744642841766394 59.90624302017136, 10.744711537806662 59.90616895550557, 10.744842500835981 59.906138724684254)</t>
  </si>
  <si>
    <t>[755545, 755553]</t>
  </si>
  <si>
    <t>[736262, 736268]</t>
  </si>
  <si>
    <t>0.0015906673042159843</t>
  </si>
  <si>
    <t>[736258, 736262]</t>
  </si>
  <si>
    <t>17.173434440395276</t>
  </si>
  <si>
    <t>LINESTRING (10.744642841766394 59.90624302017136, 10.7445712887113 59.90618377981393, 10.74440070029996 59.90599437362194)</t>
  </si>
  <si>
    <t>[755834, 755842]</t>
  </si>
  <si>
    <t>[736454, 736399]</t>
  </si>
  <si>
    <t>0.006248531206051567</t>
  </si>
  <si>
    <t>[736258, 736454]</t>
  </si>
  <si>
    <t>31.06989826660963</t>
  </si>
  <si>
    <t>[-0.002, -0.003, -0.003, -0.002]</t>
  </si>
  <si>
    <t>LINESTRING (10.744842500835981 59.906138724684254, 10.744895175412568 59.906139375774664, 10.745038819318415 59.906167623403526, 10.745111518546782 59.90623594623252, 10.745110335291452 59.906272837035424)</t>
  </si>
  <si>
    <t>[755561, 755569, 755577, 755585]</t>
  </si>
  <si>
    <t>[639120, 736279, 639105, 736289]</t>
  </si>
  <si>
    <t>[736268, 639120, 736279, 639105]</t>
  </si>
  <si>
    <t>[0.002, 0.003, 0.003, 0.002]</t>
  </si>
  <si>
    <t>24.329083396383748</t>
  </si>
  <si>
    <t>[0.003, 0.007]</t>
  </si>
  <si>
    <t>LINESTRING (10.744842500835981 59.906138724684254, 10.744733241194462 59.90610507860111, 10.74440070029996 59.90599437362194)</t>
  </si>
  <si>
    <t>[755818, 755826]</t>
  </si>
  <si>
    <t>[736444, 736399]</t>
  </si>
  <si>
    <t>0.006027457035510588</t>
  </si>
  <si>
    <t>[736268, 736444]</t>
  </si>
  <si>
    <t>29.504964957369314</t>
  </si>
  <si>
    <t>LINESTRING (10.745318745474641 59.90647378745294, 10.745176330395733 59.906323768854584, 10.745110335291452 59.906272837035424)</t>
  </si>
  <si>
    <t>[755801, 755809]</t>
  </si>
  <si>
    <t>[736433, 736289]</t>
  </si>
  <si>
    <t>[736392, 736433]</t>
  </si>
  <si>
    <t>25.784010537544802</t>
  </si>
  <si>
    <t>LINESTRING (10.74345188226919 59.90502852907536, 10.743487849570247 59.90509176243578, 10.743466320953843 59.90513597088897)</t>
  </si>
  <si>
    <t>[755657, 755665]</t>
  </si>
  <si>
    <t>[736338, 736303]</t>
  </si>
  <si>
    <t>0.0028180033664860957</t>
  </si>
  <si>
    <t>[736331, 736338]</t>
  </si>
  <si>
    <t>12.400890322705907</t>
  </si>
  <si>
    <t>LINESTRING (10.743763831990135 59.905219604378836, 10.743552632608733 59.90515853539752, 10.743466320953843 59.90513597088897)</t>
  </si>
  <si>
    <t>[755769, 755777]</t>
  </si>
  <si>
    <t>[736412, 736303]</t>
  </si>
  <si>
    <t>0.0007146527830882372</t>
  </si>
  <si>
    <t>[736400, 736412]</t>
  </si>
  <si>
    <t>19.08776369987878</t>
  </si>
  <si>
    <t>[-0.002, -0.009]</t>
  </si>
  <si>
    <t>LINESTRING (10.743035607216045 59.905120033892494, 10.743027101126263 59.90507719180288, 10.743098443000166 59.905003024708215)</t>
  </si>
  <si>
    <t>[755633, 755641]</t>
  </si>
  <si>
    <t>[736320, 736326]</t>
  </si>
  <si>
    <t>[736316, 736320]</t>
  </si>
  <si>
    <t>[0.002, 0.009]</t>
  </si>
  <si>
    <t>13.977758432804826</t>
  </si>
  <si>
    <t>[0.013, 0.009]</t>
  </si>
  <si>
    <t>LINESTRING (10.743035607216045 59.905120033892494, 10.742933285962403 59.90512194821389, 10.74245119332306 59.90499098824182)</t>
  </si>
  <si>
    <t>[755673, 755681]</t>
  </si>
  <si>
    <t>[736351, 736353]</t>
  </si>
  <si>
    <t>0.00961053672664329</t>
  </si>
  <si>
    <t>[736316, 736351]</t>
  </si>
  <si>
    <t>37.550722462369095</t>
  </si>
  <si>
    <t>22.73251728514517</t>
  </si>
  <si>
    <t>[0.013, 0.012]</t>
  </si>
  <si>
    <t>LINESTRING (10.743098443000166 59.905003024708215, 10.742940379171277 59.90501259522064, 10.74245119332306 59.90499098824182)</t>
  </si>
  <si>
    <t>[755705, 755713]</t>
  </si>
  <si>
    <t>[736373, 736353]</t>
  </si>
  <si>
    <t>0.012243424794213864</t>
  </si>
  <si>
    <t>[736326, 736373]</t>
  </si>
  <si>
    <t>36.61045097165162</t>
  </si>
  <si>
    <t>LINESTRING (10.743763831990135 59.905219604378836, 10.743578955661185 59.905053329140536, 10.74345188226919 59.90502852907536)</t>
  </si>
  <si>
    <t>[755753, 755761]</t>
  </si>
  <si>
    <t>[736403, 736331]</t>
  </si>
  <si>
    <t>[736400, 736403]</t>
  </si>
  <si>
    <t>30.734012822867243</t>
  </si>
  <si>
    <t>[0.02, 0.009, 0.002]</t>
  </si>
  <si>
    <t>LINESTRING (10.746151721595394 59.90688182877435, 10.746102695464009 59.906859401280606, 10.74589061001465 59.90675958934495, 10.745318745474641 59.90647378745294)</t>
  </si>
  <si>
    <t>[755721, 755729, 755737]</t>
  </si>
  <si>
    <t>[736381, 736386, 736392]</t>
  </si>
  <si>
    <t>0.0047740314043942435</t>
  </si>
  <si>
    <t>[736380, 736381, 736386]</t>
  </si>
  <si>
    <t>65.13595350092663</t>
  </si>
  <si>
    <t>[0.022, -0.001, -0.001]</t>
  </si>
  <si>
    <t>LINESTRING (10.746151721595394 59.90688182877435, 10.746014211788555 59.906915356094395, 10.745717674714284 59.90698336922961, 10.74513021026963 59.907135661148665)</t>
  </si>
  <si>
    <t>[761420, 761428, 761436]</t>
  </si>
  <si>
    <t>[740738, 740745, 462133]</t>
  </si>
  <si>
    <t>0.0020840805375820256</t>
  </si>
  <si>
    <t>[736380, 740738, 740745]</t>
  </si>
  <si>
    <t>[0.022, 0.001, 0.001]</t>
  </si>
  <si>
    <t>63.806397002115446</t>
  </si>
  <si>
    <t>[-0.007, -0.008, 0.005]</t>
  </si>
  <si>
    <t>LINESTRING (10.74857807429188 59.90803736795421, 10.748373577805259 59.90794221144385, 10.748185290840764 59.907842255167715, 10.746151721595394 59.90688182877435)</t>
  </si>
  <si>
    <t>[761380, 761388, 761396]</t>
  </si>
  <si>
    <t>[740700, 740710, 736380]</t>
  </si>
  <si>
    <t>0.0029350206071645304</t>
  </si>
  <si>
    <t>[740687, 740700, 740710]</t>
  </si>
  <si>
    <t>[0.007, 0.008, 0.005]</t>
  </si>
  <si>
    <t>187.21304315702713</t>
  </si>
  <si>
    <t>93.82624328604987</t>
  </si>
  <si>
    <t>[-0.009, -0.011, -0.006]</t>
  </si>
  <si>
    <t>LINESTRING (10.749935448308376 59.90890283487519, 10.749226076190068 59.90833188080787, 10.74874716056037 59.90811210206885, 10.74857807429188 59.90803736795421)</t>
  </si>
  <si>
    <t>[761348, 761356, 761364]</t>
  </si>
  <si>
    <t>[740675, 740680, 740687]</t>
  </si>
  <si>
    <t>[736707, 740675, 740680]</t>
  </si>
  <si>
    <t>[0.009, 0.011, 0.006]</t>
  </si>
  <si>
    <t>87.67226274055533</t>
  </si>
  <si>
    <t>[-0.007, -0.005, -0.005, -0.008, -0.004, -0.002, -0.003, -0.006, -0.007]</t>
  </si>
  <si>
    <t>LINESTRING (18.418357973321 68.91397144911386, 18.420929254885426 68.9143422298283, 18.421195579014178 68.91437744454181, 18.42152734683758 68.91441926485726, 18.421546704016414 68.91442170479874, 18.422452906354486 68.91453445807412, 18.422732351663097 68.91456756588876, 18.422903832306734 68.91458731601702, 18.424472553619378 68.91476790769994, 18.426519386190314 68.91501970863658)</t>
  </si>
  <si>
    <t>[759994, 760002, 760010, 760018, 760026, 760034, 760042, 760050, 760058]</t>
  </si>
  <si>
    <t>[739491, 739500, 739505, 739514, 739520, 739478, 739536, 739543, 739549]</t>
  </si>
  <si>
    <t>[739490, 739491, 739500, 739505, 739514, 739520, 739478, 739536, 739543]</t>
  </si>
  <si>
    <t>[0.007, 0.005, 0.005, 0.008, 0.004, 0.002, 0.003, 0.006, 0.007]</t>
  </si>
  <si>
    <t>348.14810343271233</t>
  </si>
  <si>
    <t>[-0.006, -0.005, 0.005, -0.002, -0.004, -0.003, -0.006, -0.009, -0.008]</t>
  </si>
  <si>
    <t>LINESTRING (18.418357973321 68.91397144911386, 18.42114260820176 68.9144408849616, 18.421473397275022 68.91448443129389, 18.421492780754704 68.91448687969428, 18.42239918038212 68.91460185642646, 18.422679765651544 68.91463442956417, 18.422852170400084 68.91465354154893, 18.424438034904032 68.91481775943143, 18.42471944493739 68.91484676553597, 18.426519386190314 68.91501970863658)</t>
  </si>
  <si>
    <t>[760066, 760074, 760082, 760090, 760098, 760106, 760114, 760122, 760130]</t>
  </si>
  <si>
    <t>[739556, 739561, 739568, 739576, 739479, 739589, 739597, 739603, 739549]</t>
  </si>
  <si>
    <t>[739490, 739556, 739561, 739568, 739576, 739479, 739589, 739597, 739603]</t>
  </si>
  <si>
    <t>[0.006, 0.005, 0.005, 0.002, 0.004, 0.003, 0.006, 0.009, 0.008]</t>
  </si>
  <si>
    <t>349.2170164589721</t>
  </si>
  <si>
    <t>[-0.272, 0.066, 0.05, -0.036, -0.043, -0.005, -0.054, -0.043, -0.026, -0.011, 0.008, -0.002]</t>
  </si>
  <si>
    <t>3288.0</t>
  </si>
  <si>
    <t>LINESTRING (18.36074760164729 68.88808376469532, 18.361734450379362 68.8883145398259, 18.365618137322123 68.88946186986551, 18.371634095235688 68.89097087501293, 18.371923798394413 68.89101986781542, 18.377014651690498 68.89201631826266, 18.397020712483442 68.89968971729435, 18.399329002988136 68.90143785918852, 18.40005545561762 68.9022229385459, 18.405663605295732 68.90661823675484, 18.40800128513069 68.90812251473209, 18.41221948230038 68.91219280265676, 18.418357973321 68.91397144911386)</t>
  </si>
  <si>
    <t>[2084922, 1056859, 1056867, 1056875, 1056883, 1056891, 1056899, 1056907, 1056915, 1056923, 1056931, 1056939]</t>
  </si>
  <si>
    <t>[1004938, 1004939, 1004947, 914192, 904445, 904523, 1004972, 914274, 904530, 914284, 914294, 739490]</t>
  </si>
  <si>
    <t>[1806469, 1004938, 1004939, 1004947, 914192, 904445, 904523, 1004972, 914274, 904530, 914284, 914294]</t>
  </si>
  <si>
    <t>[0.272, 0.066, 0.05, 0.036, 0.043, 0.005, 0.054, 0.043, 0.026, 0.011, 0.008, 0.002]</t>
  </si>
  <si>
    <t>3828.871466309348</t>
  </si>
  <si>
    <t>[0.003, 0.013, 0.013, 0.008, 0.005, -0.025, 0.001, 0.016, -0.003, -0.001, 0.015, 0.016, 0.019, 0.0, 0.025, 0.025, 0.04, 0.027, 0.028, 0.006, -0.034, 0.008, 0.012, 0.003, -0.044, 0.011, -0.018, -0.024, -0.007, -0.006, -0.0, -0.001, 0.006, 0.009, 0.037, 0.009, 0.011, -0.019, -0.027, 0.021, 0.042, -0.006, -0.014, 0.047, 0.03, 0.031, -0.046, -0.055, -0.057, -0.058, -0.062, -0.063, -0.048, 0.036, 0.016, -0.082, 0.003, 0.028, 0.036, 0.053, 0.117, 0.09, 0.027, 0.03, -0.032, -0.059, -0.063, -0.01, 0.023, 0.028, -0.005, -0.005, -0.011, 0.012, 0.012, -0.001, 0.015, 0.027, 0.043, 0.038, 0.011, -0.011, -0.013, 0.001, 0.008, -0.007, -0.009, -0.009, -0.003, 0.002, 0.006, 0.005, 0.007, 0.026, -0.002, -0.036, -0.036, -0.033, -0.029, -0.027, -0.027]</t>
  </si>
  <si>
    <t>3900.0</t>
  </si>
  <si>
    <t>[0, 0, 0, 0, 0, 0, 0, 0, 0, 0, 0, 0, 0, 0, 0, 0, 0, 0, 0, 0, 0, 0, 0, 0, 0, 0, 0, 0, 0, 0, 0, 0, 0, 0, 0, 0, 0, 0, 0, 0, 0, 0, 0, 0, 0, 0, 0, 0, 0, 0, 0, 0, 0, 0, 0, 0, 1, 1, 0, 0, 0, 0, 0, 0, 0, 0, 0, 0, 0, 0, 0, 0, 0, 0, 0, 0, 0, 0, 0, 0, 0, 0, 0, 0, 0, 0, 0, 0, 0, 0, 0, 0, 0, 0, 0, 0, 0, 0, 0, 0, 0]</t>
  </si>
  <si>
    <t>LINESTRING (18.426519386190314 68.91501970863658, 18.44856937040223 68.92301207428359, 18.4486135633174 68.92304773004666, 18.449992763542664 68.92401331207853, 18.45008416104861 68.92407254624393, 18.459302673691138 68.92800309051172, 18.463506090880873 68.92982821679657, 18.464554717666207 68.9389533602051, 18.464505484829616 68.93942835108435, 18.46869980549365 68.94834927446261, 18.46993584610034 68.95021920209372, 18.470035319740475 68.9505083270378, 18.470366595041888 68.95246015030013, 18.47060539234428 68.95392556588443, 18.470606876770475 68.95393451621092, 18.470679530659783 68.95436016990324, 18.470697945658017 68.95448344812915, 18.470699479977096 68.95449239744073, 18.470733215599836 68.95469153680267, 18.470779444072125 68.95496602905845, 18.472274526675054 68.95719178570714, 18.474171366766985 68.95822302392723, 18.477165903169595 68.9603287644849, 18.477232238630567 68.96039593442866, 18.480262833584213 68.96348552748827, 18.48194704294038 68.96457473471807, 18.482207953558262 68.96469765421399, 18.485751172068863 68.9663484334881, 18.48674851330957 68.96689069778914, 18.488975788171853 68.96843556477478, 18.489502951664882 68.96881814071283, 18.49334408517267 68.97160763895496, 18.494228706738863 68.97225311623804, 18.494819212670453 68.97268224935463, 18.503618743809945 68.9783193002427, 18.505428888990362 68.9791223337878, 18.510486115037338 68.98135807830555, 18.51106924798847 68.98161572924506, 18.512767969444727 68.98250294395949, 18.513096970763673 68.98271438297638, 18.517014437741782 68.98714601888231, 18.51611101687768 68.98881161244411, 18.511692522886463 68.99602166964863, 18.512178554989916 69.00101885757495, 18.512300928957334 69.00119269839084, 18.51317061976977 69.00297457411166, 18.51154823691598 69.00506783764978, 18.511184145283742 69.0054795421982, 18.511135630210763 69.0055311005714, 18.510858361600587 69.00583199403111, 18.510782324755837 69.0059125866235, 18.510710843361732 69.00598877483631, 18.51019530779443 69.00657619749532, 18.507631963206812 69.00826861268781, 18.500535331212102 69.00907164589279, 18.494377813137064 69.00953592040345, 18.487399483734023 69.01118895281951, 18.487175122542226 69.01131976951886, 18.48647565334052 69.0117275915731, 18.485809876243287 69.0121150289551, 18.484404646240606 69.01294707575795, 18.4839170209713 69.01329719671202, 18.483282348314543 69.0147805171061, 18.483287125455135 69.01480116492043, 18.48401022346118 69.01680607582742, 18.484025531886576 69.0168299216983, 18.485418271288566 69.01819155641702, 18.485444467229588 69.01821293515991, 18.48865624607433 69.02065671856364, 18.488687222926682 69.02067817900462, 18.492165762356787 69.02301220242738, 18.493598174706772 69.02372259746572, 18.493635294043415 69.02374007003345, 18.496224609620057 69.02498100889115, 18.497164284214143 69.02550144893983, 18.49894361218504 69.026697212771, 18.500885713943845 69.02826789724628, 18.501675573612786 69.02951199344984, 18.50173883496458 69.0297076992347, 18.502150265161593 69.03093469883281, 18.502199358010575 69.03102709323493, 18.5028801493312 69.03176421313967, 18.503185335295683 69.03200475482524, 18.503794759913117 69.03244679021326, 18.50437136654387 69.03286216765181, 18.504382551318045 69.03287018288148, 18.50467943560345 69.03308444425024, 18.50525231499516 69.03351191182776, 18.505876631491315 69.03406908335927, 18.50609623239011 69.03434487247257, 18.5063454598121 69.03474326990741, 18.50637767388518 69.03479891898851, 18.50651771487584 69.03504912634868, 18.507007036102383 69.03591248403332, 18.507012100588724 69.03592126218854, 18.508075097152386 69.03785889201475, 18.50881360383919 69.03958637569669, 18.50891941491271 69.03985587388524, 18.50927206685197 69.04075835714688, 18.509762010173137 69.04202847186596, 18.509950694696446 69.04247318224535, 18.510481546642367 69.0434263798098)</t>
  </si>
  <si>
    <t>[1056947, 1056955, 1056963, 1056971, 1056979, 1056987, 1098292, 1098313, 1098321, 1098329, 1098337, 1098344, 1098345, 1098346, 1098354, 1098360, 1098370, 1098378, 1098386, 1098394, 1098399, 1098409, 1098417, 1098425, 1098426, 1098427, 1098428, 1098431, 1098433, 1098441, 1098444, 1098445, 1098446, 1098454, 1098468, 1098469, 1098476, 1098482, 1098493, 1098504, 1098512, 1098520, 1098528, 1098536, 1098545, 1098553, 1098561, 1098569, 1098570, 1098571, 1098575, 1098583, 1098591, 1098599, 1098607, 1056995, 1057003, 1057011, 1057019, 1057027, 1057035, 1057043, 1057051, 1057059, 1057067, 1057075, 1057083, 1057084, 1057092, 1057100, 1057108, 1057116, 1057124, 1057132, 1057140, 1057148, 1057156, 1057164, 1057172, 1057180, 1057188, 1057196, 1057204, 1057212, 1057220, 1057228, 1057236, 1057244, 1057252, 1057260, 1057268, 1057276, 1057284, 1057292, 1057300, 1057308, 1057316, 1057324, 1057332, 1057340, 1845922]</t>
  </si>
  <si>
    <t>[1005009, 914372, 914390, 1005025, 1005031, 904695, 904689, 1040866, 914486, 914496, 914497, 914507, 1040885, 1040886, 914519, 1040901, 1040909, 914520, 914529, 914539, 914550, 914569, 914580, 914589, 914611, 1036038, 914620, 914628, 914675, 914676, 1036053, 914702, 914714, 1040986, 914723, 1041000, 914757, 914771, 1041010, 914802, 914811, 913815, 1041035, 910619, 913751, 910281, 1041061, 1041067, 1018814, 1041068, 1026939, 1041080, 910300, 910313, 904946, 1005043, 1005050, 1005057, 910495, 910486, 904973, 1005085, 1005091, 1005096, 1005102, 1005107, 1005114, 1005115, 1005122, 1005128, 1005134, 1005141, 910443, 1005155, 1005164, 903981, 1005178, 1005184, 1005190, 1005197, 906419, 1005207, 1005214, 1005222, 1005231, 1005238, 1005245, 1005252, 1005257, 1005265, 901541, 1005278, 1005288, 1005297, 1005304, 1005311, 904084, 1005325, 1005333, 1005340, 1616680]</t>
  </si>
  <si>
    <t>0.0009705567558857729</t>
  </si>
  <si>
    <t>[739549, 1005009, 914372, 914390, 1005025, 1005031, 904695, 904689, 1040866, 914486, 914496, 914497, 914507, 1040885, 1040886, 914519, 1040901, 1040909, 914520, 914529, 914539, 914550, 914569, 914580, 914589, 914611, 1036038, 914620, 914628, 914675, 914676, 1036053, 914702, 914714, 1040986, 914723, 1041000, 914757, 914771, 1041010, 914802, 914811, 913815, 1041035, 910619, 913751, 910281, 1041061, 1041067, 1018814, 1041068, 1026939, 1041080, 910300, 910313, 904946, 1005043, 1005050, 1005057, 910495, 910486, 904973, 1005085, 1005091, 1005096, 1005102, 1005107, 1005114, 1005115, 1005122, 1005128, 1005134, 1005141, 910443, 1005155, 1005164, 903981, 1005178, 1005184, 1005190, 1005197, 906419, 1005207, 1005214, 1005222, 1005231, 1005238, 1005245, 1005252, 1005257, 1005265, 901541, 1005278, 1005288, 1005297, 1005304, 1005311, 904084, 1005325, 1005333, 1005340]</t>
  </si>
  <si>
    <t>[0.003, 0.013, 0.013, 0.008, 0.005, 0.025, 0.001, 0.016, 0.003, 0.001, 0.015, 0.016, 0.019, 0.0, 0.025, 0.025, 0.04, 0.027, 0.028, 0.006, 0.034, 0.008, 0.012, 0.003, 0.044, 0.011, 0.018, 0.024, 0.007, 0.006, 0.0, 0.001, 0.006, 0.009, 0.037, 0.009, 0.011, 0.019, 0.027, 0.021, 0.042, 0.006, 0.014, 0.047, 0.03, 0.031, 0.046, 0.055, 0.057, 0.058, 0.062, 0.063, 0.048, 0.036, 0.016, 0.082, 0.003, 0.028, 0.036, 0.053, 0.117, 0.09, 0.027, 0.03, 0.032, 0.059, 0.063, 0.01, 0.023, 0.028, 0.005, 0.005, 0.011, 0.012, 0.012, 0.001, 0.015, 0.027, 0.043, 0.038, 0.011, 0.011, 0.013, 0.001, 0.008, 0.007, 0.009, 0.009, 0.003, 0.002, 0.006, 0.005, 0.007, 0.026, 0.002, 0.036, 0.036, 0.033, 0.029, 0.027, 0.027]</t>
  </si>
  <si>
    <t>16426.22903336382</t>
  </si>
  <si>
    <t>[-0.017, -0.015, -0.002, -0.002, -0.007, 0.005, -0.005]</t>
  </si>
  <si>
    <t>LINESTRING (10.739386636108962 59.9066887046206, 10.739519904703387 59.90659759839886, 10.7434152779036 59.905479369197565, 10.743441032807024 59.90549114517802, 10.74416962171334 59.90617366858159, 10.745044642851283 59.90705444180767, 10.745083778239799 59.90709509088906, 10.74513021026963 59.907135661148665)</t>
  </si>
  <si>
    <t>[816411, 732693, 732701, 1088389, 2119757, 2119765, 2119773]</t>
  </si>
  <si>
    <t>[720028, 720029, 720036, 1032569, 1826980, 1826983, 462133]</t>
  </si>
  <si>
    <t>[794410, 720028, 720029, 720036, 1032569, 1826980, 1826983]</t>
  </si>
  <si>
    <t>[0.017, 0.015, 0.002, 0.002, 0.007, 0.005, 0.005]</t>
  </si>
  <si>
    <t>497.7573259672991</t>
  </si>
  <si>
    <t>[-0.074, -0.033, -0.059]</t>
  </si>
  <si>
    <t>LINESTRING (7.991554137930222 58.15001237192827, 7.991643857442646 58.14998609889631, 7.9924419253954495 58.14959096079635, 7.992505139595311 58.149555699138745)</t>
  </si>
  <si>
    <t>[1174060, 1174068, 761856]</t>
  </si>
  <si>
    <t>[1106297, 741130, 741131]</t>
  </si>
  <si>
    <t>[1106296, 1106297, 741130]</t>
  </si>
  <si>
    <t>[0.074, 0.033, 0.059]</t>
  </si>
  <si>
    <t>76.30489933919866</t>
  </si>
  <si>
    <t>[0.0, 0.036, 0.077]</t>
  </si>
  <si>
    <t>LINESTRING (7.992552692646155 58.14966015856705, 7.992552692646155 58.14966015856705, 7.991851449188388 58.15007918018289, 7.99179545253854 58.15014555259772)</t>
  </si>
  <si>
    <t>[761880, 1174132, 1174140]</t>
  </si>
  <si>
    <t>[741153, 1106345, 1106352]</t>
  </si>
  <si>
    <t>0.03775659365151935</t>
  </si>
  <si>
    <t>[182158, 741153, 1106345]</t>
  </si>
  <si>
    <t>76.17977230146379</t>
  </si>
  <si>
    <t>[-0.021, -0.028, 0.0, -0.01, -0.027, -0.025, -0.036, -0.063]</t>
  </si>
  <si>
    <t>LINESTRING (10.804318945976615 59.91420235340184, 10.80332691802723 59.91373815337749, 10.801603407472518 59.913171599690415, 10.801599274112586 59.913170586696026, 10.801587516881877 59.91316770308739, 10.801583348988718 59.913166679999605, 10.796709292992452 59.91174081702161, 10.796500356667309 59.911673848121154, 10.796318478287063 59.9116156195224)</t>
  </si>
  <si>
    <t>[763447, 763455, 763463, 763471, 763479, 763487, 763495, 763503]</t>
  </si>
  <si>
    <t>[742663, 742669, 742677, 742686, 742694, 742700, 742706, 742716]</t>
  </si>
  <si>
    <t>[742659, 742663, 742669, 742677, 742686, 742694, 742700, 742706]</t>
  </si>
  <si>
    <t>[0.021, 0.028, 0.0, 0.01, 0.027, 0.025, 0.036, 0.063]</t>
  </si>
  <si>
    <t>535.0473705296154</t>
  </si>
  <si>
    <t>[0.02, 0.017, 0.019, 0.061]</t>
  </si>
  <si>
    <t>LINESTRING (10.799908979310581 59.912605599473586, 10.799941361407695 59.91264146549078, 10.803378522825906 59.91372370404966, 10.804249419276648 59.91412910529132, 10.804318945976615 59.91420235340184)</t>
  </si>
  <si>
    <t>[1380521, 1380529, 738321, 770351]</t>
  </si>
  <si>
    <t>[1270220, 723536, 723537, 742659]</t>
  </si>
  <si>
    <t>0.018757429417660367</t>
  </si>
  <si>
    <t>[1270219, 1270220, 723536, 723537]</t>
  </si>
  <si>
    <t>309.51643221077296</t>
  </si>
  <si>
    <t>15.39512909999502</t>
  </si>
  <si>
    <t>[-0.04, -0.05, -0.046]</t>
  </si>
  <si>
    <t>LINESTRING (10.79608613197118 59.91154166222283, 10.79552930725693 59.911359243405755, 10.795123905846237 59.911222480773574, 10.795062746272475 59.91120055693423)</t>
  </si>
  <si>
    <t>[763519, 763527, 763535]</t>
  </si>
  <si>
    <t>[742729, 742734, 742743]</t>
  </si>
  <si>
    <t>[742721, 742729, 742734]</t>
  </si>
  <si>
    <t>[0.04, 0.05, 0.046]</t>
  </si>
  <si>
    <t>68.744562442921</t>
  </si>
  <si>
    <t>[0.047, -0.274]</t>
  </si>
  <si>
    <t>LINESTRING (10.793358723819766 59.90986232583386, 10.794930946962763 59.911157062669176, 10.795062746272475 59.91120055693423)</t>
  </si>
  <si>
    <t>[1849994, 1850002]</t>
  </si>
  <si>
    <t>[1619739, 742743]</t>
  </si>
  <si>
    <t>0.03206835458923675</t>
  </si>
  <si>
    <t>[1259673, 1619739]</t>
  </si>
  <si>
    <t>[0.047, 0.274]</t>
  </si>
  <si>
    <t>189.74524150222632</t>
  </si>
  <si>
    <t>[0.022, -0.007, 0.027, -0.043, 0.013]</t>
  </si>
  <si>
    <t>LINESTRING (10.933185525995377 59.937560148642824, 10.935606371401159 59.93673215377486, 10.935620919355465 59.93672689366775, 10.937158109811612 59.93613708424989, 10.937171759257764 59.93613125682688, 10.9410522283511 59.9339638930376)</t>
  </si>
  <si>
    <t>[1512245, 1512252, 1512260, 1512261, 1512268]</t>
  </si>
  <si>
    <t>[1367516, 1367522, 1367527, 1367528, 1367534]</t>
  </si>
  <si>
    <t>0.017777605238489754</t>
  </si>
  <si>
    <t>[744218, 1367516, 1367522, 1367527, 1367528]</t>
  </si>
  <si>
    <t>[0.022, 0.007, 0.027, 0.043, 0.013]</t>
  </si>
  <si>
    <t>588.2082709933666</t>
  </si>
  <si>
    <t>[-0.004, 0.014, 0.018, -0.056, -0.021, -0.02, -0.042]</t>
  </si>
  <si>
    <t>LINESTRING (10.655008473237777 59.9162666945952, 10.65377994478289 59.91605599940239, 10.652267651664898 59.91580497672418, 10.647810713539391 59.914843970888555, 10.64511083618724 59.91410850374742, 10.643424570611753 59.91374577056186, 10.642995340463596 59.91365358910795, 10.641677741330389 59.913371036856624)</t>
  </si>
  <si>
    <t>[781538, 781546, 781554, 781562, 781570, 781578, 781586]</t>
  </si>
  <si>
    <t>[761668, 761674, 761683, 761691, 761699, 761706, 744392]</t>
  </si>
  <si>
    <t>[744378, 761668, 761674, 761683, 761691, 761699, 761706]</t>
  </si>
  <si>
    <t>[0.004, 0.014, 0.018, 0.056, 0.021, 0.02, 0.042]</t>
  </si>
  <si>
    <t>815.4523355330884</t>
  </si>
  <si>
    <t>[-0.022, -0.033, -0.008, -0.0, 0.001, 0.022, 0.02, 0.024, 0.036, 0.028, 0.037, 0.158]</t>
  </si>
  <si>
    <t>98782.0</t>
  </si>
  <si>
    <t>LINESTRING (10.666898521699014 59.91856645548421, 10.665718161106751 59.91841734006865, 10.665682872312457 59.918413687218084, 10.6656652195866 59.91841185601884, 10.663617443660248 59.91813557388899, 10.659235672816108 59.91711269286015, 10.658198124411603 59.916888735338794, 10.65815193834495 59.91687873211287, 10.656085694687643 59.91646501077793, 10.65590239072941 59.91643031169468, 10.655885543099433 59.916427129904264, 10.655384704816589 59.91633396684225, 10.655008473237777 59.9162666945952)</t>
  </si>
  <si>
    <t>[781442, 781450, 781458, 781466, 781474, 781482, 781490, 781498, 781506, 781514, 781522, 781530]</t>
  </si>
  <si>
    <t>[761581, 761587, 761596, 761602, 761610, 761617, 761624, 761634, 761642, 761650, 761656, 744378]</t>
  </si>
  <si>
    <t>0.011452685283401117</t>
  </si>
  <si>
    <t>[761571, 761581, 761587, 761596, 761602, 761610, 761617, 761624, 761634, 761642, 761650, 761656]</t>
  </si>
  <si>
    <t>[0.022, 0.033, 0.008, 0.0, 0.001, 0.022, 0.02, 0.024, 0.036, 0.028, 0.037, 0.158]</t>
  </si>
  <si>
    <t>715.1728121700601</t>
  </si>
  <si>
    <t>[0.037, -0.017, -0.914, -0.004, 0.006, 0.012, 0.016, 0.055, 0.071, 0.058, 0.03, 0.032, 0.049, 0.031]</t>
  </si>
  <si>
    <t>1464.0</t>
  </si>
  <si>
    <t>[0, 1, 1, 1, 1, 0, 0, 0, 0, 0, 0, 0, 0, 0]</t>
  </si>
  <si>
    <t>LINESTRING (10.641677741330389 59.913371036856624, 10.641216675923586 59.91328203053652, 10.640838236819663 59.91320475164454, 10.640821799884113 59.9132014645579, 10.64031086993881 59.91310248541483, 10.640092080445282 59.91306403419009, 10.63974056988006 59.913011491820505, 10.639178191694388 59.91293300576101, 10.637992644171955 59.91276965911297, 10.637587598906679 59.91271288157533, 10.63745878370266 59.91269483538586, 10.637189536300253 59.9126566669516, 10.636807849341656 59.912611020487375, 10.635287327384832 59.9123985952461, 10.63377557626797 59.91207499129806)</t>
  </si>
  <si>
    <t>[781594, 781602, 1542396, 1542404, 1542412, 1542420, 1542428, 1542436, 1542444, 1542452, 1542460, 1542468, 1542476, 1542484]</t>
  </si>
  <si>
    <t>[761717, 761722, 1393409, 1393415, 1393420, 1393428, 1393434, 1393440, 1393447, 1393453, 1393458, 1393466, 1393473, 1393480]</t>
  </si>
  <si>
    <t>0.031530209928036367</t>
  </si>
  <si>
    <t>[744392, 761717, 761722, 1393409, 1393415, 1393420, 1393428, 1393434, 1393440, 1393447, 1393453, 1393458, 1393466, 1393473]</t>
  </si>
  <si>
    <t>[0.037, 0.017, 0.914, 0.004, 0.006, 0.012, 0.016, 0.055, 0.071, 0.058, 0.03, 0.032, 0.049, 0.031]</t>
  </si>
  <si>
    <t>466.54950376224247</t>
  </si>
  <si>
    <t>[-0.032, -0.041, -0.051]</t>
  </si>
  <si>
    <t>LINESTRING (11.152740971884898 63.701689172985425, 11.152220328239927 63.70262793764134, 11.152311338446198 63.70319391983093, 11.152312941893646 63.70321893679548)</t>
  </si>
  <si>
    <t>[765549, 765557, 765565]</t>
  </si>
  <si>
    <t>[744653, 744660, 644897]</t>
  </si>
  <si>
    <t>[744645, 744653, 744660]</t>
  </si>
  <si>
    <t>[0.032, 0.041, 0.051]</t>
  </si>
  <si>
    <t>182.63468945090844</t>
  </si>
  <si>
    <t>[0.142, -0.023]</t>
  </si>
  <si>
    <t>LINESTRING (10.815557732763827 59.92335451092507, 10.81557114408476 59.92340438942209, 10.81565189576946 59.92338897327108)</t>
  </si>
  <si>
    <t>[768824, 768838]</t>
  </si>
  <si>
    <t>[747968, 745557]</t>
  </si>
  <si>
    <t>0.07230875775308135</t>
  </si>
  <si>
    <t>[745032, 747968]</t>
  </si>
  <si>
    <t>[0.142, 0.023]</t>
  </si>
  <si>
    <t>11.443059537312225</t>
  </si>
  <si>
    <t>[0.0, -0.124]</t>
  </si>
  <si>
    <t>LINESTRING (10.81559485356524 59.92342941952928, 10.81559485356524 59.92342941952928, 10.81565189576946 59.92338897327108)</t>
  </si>
  <si>
    <t>[766420, 766428]</t>
  </si>
  <si>
    <t>[745549, 745557]</t>
  </si>
  <si>
    <t>[745543, 745549]</t>
  </si>
  <si>
    <t>[0.0, 0.124]</t>
  </si>
  <si>
    <t>10.413498436050013</t>
  </si>
  <si>
    <t>[-0.032, -0.069, -0.027, -0.025, -0.05, -0.066, -0.046, -0.035, -0.052]</t>
  </si>
  <si>
    <t>61264.0</t>
  </si>
  <si>
    <t>LINESTRING (10.803158430663608 59.9138075000053, 10.801563408779487 59.91326883372538, 10.801547406905996 59.9132648256721, 10.801543224566785 59.91326377514834, 10.796606693342712 59.91182442479257, 10.796391729651809 59.91175966395726, 10.79620579174653 59.91170238453446, 10.79598421142632 59.91163389602539, 10.795425341631445 59.91145347950236, 10.795303735807959 59.911414168592074)</t>
  </si>
  <si>
    <t>[770214, 770221, 770229, 770239, 770247, 770255, 770263, 770264, 770271]</t>
  </si>
  <si>
    <t>[749593, 749600, 749608, 749621, 749630, 749639, 749652, 749653, 749662]</t>
  </si>
  <si>
    <t>[749584, 749593, 749600, 749608, 749621, 749630, 749639, 749652, 749653]</t>
  </si>
  <si>
    <t>[0.032, 0.069, 0.027, 0.025, 0.05, 0.066, 0.046, 0.035, 0.052]</t>
  </si>
  <si>
    <t>515.2227672289753</t>
  </si>
  <si>
    <t>15.492256130354082</t>
  </si>
  <si>
    <t>[-0.038, -0.038, 0.291, -0.041, -0.025]</t>
  </si>
  <si>
    <t>LINESTRING (10.795071620099215 59.911338418499035, 10.795026031981687 59.911323744677304, 10.794942915196536 59.91129706417234, 10.79482275934341 59.91125380691435, 10.793151306918228 59.90985358347744, 10.79339670936191 59.909447271521756)</t>
  </si>
  <si>
    <t>[770287, 770295, 1850024, 1849804, 1849929]</t>
  </si>
  <si>
    <t>[749681, 749688, 1619541, 1619542, 1259667]</t>
  </si>
  <si>
    <t>[749672, 749681, 749688, 1619541, 1619542]</t>
  </si>
  <si>
    <t>[0.038, 0.038, 0.291, 0.041, 0.025]</t>
  </si>
  <si>
    <t>257.9149170293194</t>
  </si>
  <si>
    <t>[0.567, 0.072, 0.039, 0.022, -0.401]</t>
  </si>
  <si>
    <t>LINESTRING (10.81888898459029 59.90951123742991, 10.820185047523083 59.90819840217204, 10.820344192901723 59.90798658593396, 10.820696428104828 59.90570114155883, 10.820512060803466 59.90417494769763, 10.820472637720533 59.9040602344774)</t>
  </si>
  <si>
    <t>[803428, 1820752, 1820760, 1820768, 803420]</t>
  </si>
  <si>
    <t>[781901, 1600692, 1600702, 781893, 759648]</t>
  </si>
  <si>
    <t>0.03229891063620962</t>
  </si>
  <si>
    <t>[759658, 781901, 1600692, 1600702, 781893]</t>
  </si>
  <si>
    <t>[0.567, 0.072, 0.039, 0.022, 0.401]</t>
  </si>
  <si>
    <t>474.5178081426239</t>
  </si>
  <si>
    <t>[0.396, 0.015, 0.014, 0.011, -0.007]</t>
  </si>
  <si>
    <t>LINESTRING (10.716018874192919 59.90973366627399, 10.716472759089978 59.9097728976908, 10.716699668377444 59.90980449792585, 10.71783907377017 59.91002328351316, 10.71788760899742 59.91003442105458, 10.731150319622822 59.911313985609844)</t>
  </si>
  <si>
    <t>[2025356, 2025453, 2025461, 2025412, 2025436]</t>
  </si>
  <si>
    <t>[1768542, 1768617, 1768586, 1768587, 794428]</t>
  </si>
  <si>
    <t>[761267, 1768542, 1768617, 1768586, 1768587]</t>
  </si>
  <si>
    <t>[0.396, 0.015, 0.014, 0.011, 0.007]</t>
  </si>
  <si>
    <t>865.4661580215435</t>
  </si>
  <si>
    <t>[0.303, -0.029, -0.029, -0.003, 0.15, -0.05, -0.05]</t>
  </si>
  <si>
    <t>LINESTRING (10.666898521699014 59.91856645548421, 10.667208517056158 59.918576659982904, 10.670100726996042 59.91957544505846, 10.672831369511957 59.92037687811504, 10.674493805716397 59.92055746970098, 10.674958523585458 59.92061035370448, 10.675222081435512 59.92061228693412, 10.675321792621304 59.92060801846288)</t>
  </si>
  <si>
    <t>[1789305, 1789313, 1789321, 1789329, 1789337, 1239017, 1239018]</t>
  </si>
  <si>
    <t>[1578371, 1578330, 1578362, 1578393, 1159983, 1159984, 1159969]</t>
  </si>
  <si>
    <t>[761571, 1578371, 1578330, 1578362, 1578393, 1159983, 1159984]</t>
  </si>
  <si>
    <t>[0.303, 0.029, 0.029, 0.003, 0.15, 0.05, 0.05]</t>
  </si>
  <si>
    <t>535.8467439066643</t>
  </si>
  <si>
    <t>LINESTRING (10.269177160452012 59.75400185124486, 10.269111291296317 59.754019722296974, 10.267813855690125 59.75426811165386)</t>
  </si>
  <si>
    <t>[790596, 790604]</t>
  </si>
  <si>
    <t>[770232, 770242]</t>
  </si>
  <si>
    <t>0.0029493673770960606</t>
  </si>
  <si>
    <t>[770231, 770232]</t>
  </si>
  <si>
    <t>83.06985139086086</t>
  </si>
  <si>
    <t>[-0.003, -0.001, 0.001, 0.004]</t>
  </si>
  <si>
    <t>LINESTRING (10.269177160452012 59.75400185124486, 10.269329284880156 59.75387808438907, 10.269439186291775 59.753849757575765, 10.269561031668273 59.753840300690385, 10.26985833802004 59.753912278248535)</t>
  </si>
  <si>
    <t>[790652, 790660, 790668, 790676]</t>
  </si>
  <si>
    <t>[770196, 770304, 770210, 770319]</t>
  </si>
  <si>
    <t>0.0005340950866675249</t>
  </si>
  <si>
    <t>[770231, 770196, 770304, 770210]</t>
  </si>
  <si>
    <t>[0.003, 0.001, 0.001, 0.004]</t>
  </si>
  <si>
    <t>49.41021667179341</t>
  </si>
  <si>
    <t>LINESTRING (10.269260157494932 59.75415964449083, 10.269183712256552 59.754086458181966, 10.269177160452012 59.75400185124486)</t>
  </si>
  <si>
    <t>[790636, 790644]</t>
  </si>
  <si>
    <t>[770277, 770231]</t>
  </si>
  <si>
    <t>[770250, 770277]</t>
  </si>
  <si>
    <t>18.65842202934667</t>
  </si>
  <si>
    <t>[0.003, 0.002, 0.03, 0.009, 0.014]</t>
  </si>
  <si>
    <t>LINESTRING (10.267813855690125 59.75426811165386, 10.26714738461834 59.75432778481838, 10.26712977129863 59.754329173005814, 10.266480020208517 59.754359034973376, 10.26577838604962 59.75435763499477, 10.264706286092084 59.75429761184475)</t>
  </si>
  <si>
    <t>[790701, 790709, 1422868, 1422876, 1422884]</t>
  </si>
  <si>
    <t>[770348, 770357, 1298197, 1298203, 1298209]</t>
  </si>
  <si>
    <t>0.013766972839757953</t>
  </si>
  <si>
    <t>[770242, 770348, 770357, 1298197, 1298203]</t>
  </si>
  <si>
    <t>175.88700325308508</t>
  </si>
  <si>
    <t>LINESTRING (10.269260157494932 59.75415964449083, 10.26918291533388 59.75415889100428, 10.267813855690125 59.75426811165386)</t>
  </si>
  <si>
    <t>[790612, 790620]</t>
  </si>
  <si>
    <t>[770251, 770242]</t>
  </si>
  <si>
    <t>0.0018953974755279912</t>
  </si>
  <si>
    <t>[770250, 770251]</t>
  </si>
  <si>
    <t>83.07412700549229</t>
  </si>
  <si>
    <t>46.765529283417536</t>
  </si>
  <si>
    <t>LINESTRING (10.26985833802004 59.753912278248535, 10.269937101681057 59.75399553190517, 10.269930656699191 59.7540888446288)</t>
  </si>
  <si>
    <t>[790684, 790692]</t>
  </si>
  <si>
    <t>[770328, 770267]</t>
  </si>
  <si>
    <t>0.005496992897946601</t>
  </si>
  <si>
    <t>[770319, 770328]</t>
  </si>
  <si>
    <t>20.68944941339517</t>
  </si>
  <si>
    <t>LINESTRING (10.270920584047257 59.75389230069199, 10.270002588994672 59.75406793575561, 10.269930656699191 59.7540888446288)</t>
  </si>
  <si>
    <t>[790733, 790741]</t>
  </si>
  <si>
    <t>[770389, 770267]</t>
  </si>
  <si>
    <t>[770378, 770389]</t>
  </si>
  <si>
    <t>60.665229134675364</t>
  </si>
  <si>
    <t>[-0.002, -0.004]</t>
  </si>
  <si>
    <t>LINESTRING (10.270920584047257 59.75389230069199, 10.269942523983197 59.753917743176665, 10.26985833802004 59.753912278248535)</t>
  </si>
  <si>
    <t>[790749, 790757]</t>
  </si>
  <si>
    <t>[770407, 770319]</t>
  </si>
  <si>
    <t>[770378, 770407]</t>
  </si>
  <si>
    <t>60.56114488148802</t>
  </si>
  <si>
    <t>[-0.016, 0.004, 0.02, -0.004, 0.005, 0.024, -0.002, -0.001]</t>
  </si>
  <si>
    <t>LINESTRING (10.28625301767086 59.75205618498431, 10.284799757102293 59.752241858995625, 10.281328005920173 59.75265775612454, 10.280524599204155 59.752753692513515, 10.27694180437173 59.753182290864906, 10.273039673214743 59.75365424150521, 10.271730903784553 59.753806133582046, 10.271696242976715 59.753809956963046, 10.270920584047257 59.75389230069199)</t>
  </si>
  <si>
    <t>[1422819, 1422827, 1422835, 1422844, 1422852, 1422860, 790717, 790725]</t>
  </si>
  <si>
    <t>[1298165, 1298171, 1298174, 1298181, 1298187, 770367, 770368, 770378]</t>
  </si>
  <si>
    <t>0.002760353542961658</t>
  </si>
  <si>
    <t>[1298164, 1298165, 1298171, 1298174, 1298181, 1298187, 770367, 770368]</t>
  </si>
  <si>
    <t>[0.016, 0.004, 0.02, 0.004, 0.005, 0.024, 0.002, 0.001]</t>
  </si>
  <si>
    <t>886.2967387850199</t>
  </si>
  <si>
    <t>[-0.023, 0.019, 0.027, 0.037, 0.049]</t>
  </si>
  <si>
    <t>LINESTRING (5.347213227987505 60.50862026494849, 5.3471374314348115 60.50869846496723, 5.346640276543905 60.50889161635873, 5.346455700914923 60.508947257090085, 5.3453114940249264 60.509279371990615, 5.34490994869576 60.50935750294377)</t>
  </si>
  <si>
    <t>[796201, 796209, 796217, 796225, 796233]</t>
  </si>
  <si>
    <t>[775323, 762230, 762197, 775340, 775347]</t>
  </si>
  <si>
    <t>0.029691192257182916</t>
  </si>
  <si>
    <t>[775322, 775323, 762230, 762197, 775340]</t>
  </si>
  <si>
    <t>[0.023, 0.019, 0.027, 0.037, 0.049]</t>
  </si>
  <si>
    <t>156.4771170548689</t>
  </si>
  <si>
    <t>[0.044, 0.023]</t>
  </si>
  <si>
    <t>LINESTRING (5.347213227987505 60.50862026494849, 5.347022556817856 60.50865033319699, 5.346990973884596 60.50865972323775)</t>
  </si>
  <si>
    <t>[796241, 796249]</t>
  </si>
  <si>
    <t>[775354, 775363]</t>
  </si>
  <si>
    <t>0.04079668149303667</t>
  </si>
  <si>
    <t>[775322, 775354]</t>
  </si>
  <si>
    <t>13.323522683069609</t>
  </si>
  <si>
    <t>[-0.33, 0.029, -0.002, 0.018, -0.049, 0.0]</t>
  </si>
  <si>
    <t>LINESTRING (5.34490994869576 60.50935750294377, 5.344823750238716 60.50938314825696, 5.344742505992961 60.509408178370265, 5.34387150821481 60.50967365780842, 5.3402039880980485 60.51102925855672, 5.339161303579909 60.51148315143917, 5.335239341770068 60.51300114731776)</t>
  </si>
  <si>
    <t>[2063537, 2063545, 2063553, 2063561, 2063574, 2063582]</t>
  </si>
  <si>
    <t>[1793424, 796742, 1793431, 1620709, 1793441, 1752913]</t>
  </si>
  <si>
    <t>[775347, 1793424, 796742, 1793431, 1620709, 1793441]</t>
  </si>
  <si>
    <t>[0.33, 0.029, 0.002, 0.018, 0.049, 0.0]</t>
  </si>
  <si>
    <t>672.0000741193312</t>
  </si>
  <si>
    <t>[0.064, 0.026]</t>
  </si>
  <si>
    <t>LINESTRING (5.3452579867091785 60.50921864163904, 5.345238517008027 60.50922470965107, 5.34490994869576 60.50935750294377)</t>
  </si>
  <si>
    <t>[796273, 796281]</t>
  </si>
  <si>
    <t>[775388, 775347]</t>
  </si>
  <si>
    <t>0.02788638208500925</t>
  </si>
  <si>
    <t>[775380, 775388]</t>
  </si>
  <si>
    <t>25.568513371040936</t>
  </si>
  <si>
    <t>[0.028, 0.031]</t>
  </si>
  <si>
    <t>LINESTRING (5.346990973884596 60.50865972323775, 5.3464424990939765 60.50883433807255, 5.3452579867091785 60.50921864163904)</t>
  </si>
  <si>
    <t>[796257, 796265]</t>
  </si>
  <si>
    <t>[762196, 775380]</t>
  </si>
  <si>
    <t>0.030054177843416716</t>
  </si>
  <si>
    <t>[775363, 762196]</t>
  </si>
  <si>
    <t>114.11480807592835</t>
  </si>
  <si>
    <t>[0.052, 0.03, -0.002]</t>
  </si>
  <si>
    <t>LINESTRING (5.346990973884596 60.50865972323775, 5.346899829128058 60.50866715297992, 5.345309088118309 60.50917804118398, 5.3452579867091785 60.50921864163904)</t>
  </si>
  <si>
    <t>[796305, 796289, 796297]</t>
  </si>
  <si>
    <t>[775403, 775404, 775380]</t>
  </si>
  <si>
    <t>0.029494065743492674</t>
  </si>
  <si>
    <t>[775363, 775403, 775404]</t>
  </si>
  <si>
    <t>[0.052, 0.03, 0.002]</t>
  </si>
  <si>
    <t>116.39429527343</t>
  </si>
  <si>
    <t>34.75977739565505</t>
  </si>
  <si>
    <t>[0.095, 0.082, 0.107]</t>
  </si>
  <si>
    <t>LINESTRING (9.089953679115599 58.834183376979155, 9.08869865297019 58.83314996753994, 9.087786636293478 58.83241017805608, 9.087041104984912 58.831770601928525)</t>
  </si>
  <si>
    <t>[800207, 1322873, 1322881]</t>
  </si>
  <si>
    <t>[778850, 1229498, 1229505]</t>
  </si>
  <si>
    <t>0.09414061902830664</t>
  </si>
  <si>
    <t>[778658, 778850, 1229498]</t>
  </si>
  <si>
    <t>317.4036834794663</t>
  </si>
  <si>
    <t>[-0.074, -0.033, 0.017, -0.042, -0.07, -0.034, -0.009, 0.014, 0.124]</t>
  </si>
  <si>
    <t>[0, 1, 0, 0, 0, 1, 0, 1, 0]</t>
  </si>
  <si>
    <t>LINESTRING (9.132549187026298 58.857019860088165, 9.121700339429502 58.851636308632145, 9.120755645732105 58.85131902994533, 9.119351574283122 58.85081822091257, 9.110454328464817 58.84572461171879, 9.108921770661466 58.84510454945111, 9.108810509290569 58.84506234685317, 9.091537455122694 58.835712275739745, 9.090131879560678 58.834343804572896, 9.089953679115599 58.834183376979155)</t>
  </si>
  <si>
    <t>[800071, 800079, 800119, 800127, 800135, 800143, 800183, 800191, 800199]</t>
  </si>
  <si>
    <t>[778743, 778752, 778787, 778794, 778799, 778806, 778833, 778838, 778658]</t>
  </si>
  <si>
    <t>[778683, 778743, 778752, 778787, 778794, 778799, 778806, 778833, 778838]</t>
  </si>
  <si>
    <t>[0.074, 0.033, 0.017, 0.042, 0.07, 0.034, 0.009, 0.014, 0.124]</t>
  </si>
  <si>
    <t>3573.416006499485</t>
  </si>
  <si>
    <t>[0.062, 0.001, -0.095, -0.105]</t>
  </si>
  <si>
    <t>LINESTRING (9.089319733540396 58.833047416757246, 9.089159300777013 58.83304048931414, 9.088869123191694 58.83320821575876, 9.08987310754198 58.83408577340167, 9.089953679115599 58.834183376979155)</t>
  </si>
  <si>
    <t>[1239098, 1239111, 1239121, 799991]</t>
  </si>
  <si>
    <t>[1160032, 1160043, 778657, 778658]</t>
  </si>
  <si>
    <t>[1160031, 1160032, 1160043, 778657]</t>
  </si>
  <si>
    <t>[0.062, 0.001, 0.095, 0.105]</t>
  </si>
  <si>
    <t>165.6909772041859</t>
  </si>
  <si>
    <t>[-0.072, -0.027, 0.018, -0.043, -0.069, -0.034, -0.009, 0.018, 0.128]</t>
  </si>
  <si>
    <t>LINESTRING (9.131402889021674 58.856502888145585, 9.121639265387502 58.85168384657906, 9.120695372227951 58.85136696414248, 9.119272248029214 58.85085927016841, 9.110247518412757 58.845700177327984, 9.108856630041094 58.845130243014516, 9.10873903862516 58.84508563493418, 9.09146806566288 58.835731147931895, 9.09006506590685 58.83436387461842, 9.089930493616231 58.83424488452685)</t>
  </si>
  <si>
    <t>[800039, 800047, 800087, 800095, 800103, 800111, 800151, 800159, 800167]</t>
  </si>
  <si>
    <t>[778709, 778717, 778758, 778767, 778774, 778780, 778814, 778822, 778673]</t>
  </si>
  <si>
    <t>[778667, 778709, 778717, 778758, 778767, 778774, 778780, 778814, 778822]</t>
  </si>
  <si>
    <t>[0.072, 0.027, 0.018, 0.043, 0.069, 0.034, 0.009, 0.018, 0.128]</t>
  </si>
  <si>
    <t>3481.625309555442</t>
  </si>
  <si>
    <t>[-0.054, -0.023, -0.017]</t>
  </si>
  <si>
    <t>LINESTRING (9.141871235937675 58.86195727833223, 9.137788519582713 58.85983158768517, 9.137671478218552 58.85977023435246, 9.131402889021674 58.856502888145585)</t>
  </si>
  <si>
    <t>[1291041, 800023, 800031]</t>
  </si>
  <si>
    <t>[778691, 778692, 778667]</t>
  </si>
  <si>
    <t>[1204259, 778691, 778692]</t>
  </si>
  <si>
    <t>[0.054, 0.023, 0.017]</t>
  </si>
  <si>
    <t>857.6651387002512</t>
  </si>
  <si>
    <t>[0.122, 0.244, -0.256]</t>
  </si>
  <si>
    <t>LINESTRING (9.089930493616231 58.83424488452685, 9.089793125519602 58.83415547646238, 9.089020053126223 58.833563752712585, 9.088497364458386 58.83363382776719)</t>
  </si>
  <si>
    <t>[800007, 1766893, 1766901]</t>
  </si>
  <si>
    <t>[778674, 1560361, 1160201]</t>
  </si>
  <si>
    <t>0.09435472545292553</t>
  </si>
  <si>
    <t>[778673, 778674, 1560361]</t>
  </si>
  <si>
    <t>[0.122, 0.244, 0.256]</t>
  </si>
  <si>
    <t>127.48266115255755</t>
  </si>
  <si>
    <t>[0.096, 0.083, 0.107, 0.158, 0.16]</t>
  </si>
  <si>
    <t>LINESTRING (9.089930493616231 58.83424488452685, 9.088624874873878 58.83317421849933, 9.08770686900529 58.83243615202432, 9.086961422455099 58.83179496772297, 9.086845485093734 58.831691721387216, 9.086562544821785 58.83146582067016)</t>
  </si>
  <si>
    <t>[800175, 1323065, 1323073, 1323081, 1323089]</t>
  </si>
  <si>
    <t>[778829, 1229672, 1229678, 1229685, 1229693]</t>
  </si>
  <si>
    <t>0.10253885607444127</t>
  </si>
  <si>
    <t>[778673, 778829, 1229672, 1229678, 1229685]</t>
  </si>
  <si>
    <t>366.02968598138494</t>
  </si>
  <si>
    <t>[0.134, -0.012]</t>
  </si>
  <si>
    <t>LINESTRING (9.132549187026298 58.857019860088165, 9.132832288655285 58.85712711107433, 9.13945674997628 58.85923387143937)</t>
  </si>
  <si>
    <t>[800015, 1234558]</t>
  </si>
  <si>
    <t>[778684, 1155893]</t>
  </si>
  <si>
    <t>[778683, 778684]</t>
  </si>
  <si>
    <t>[0.134, 0.012]</t>
  </si>
  <si>
    <t>479.01387827748863</t>
  </si>
  <si>
    <t>[-0.042, -0.023, 0.002]</t>
  </si>
  <si>
    <t>LINESTRING (9.14341961329548 58.86270791677614, 9.137865973603136 58.859791729206, 9.137748628095569 58.85973063218248, 9.132549187026298 58.857019860088165)</t>
  </si>
  <si>
    <t>[1291073, 800055, 800063]</t>
  </si>
  <si>
    <t>[778726, 778727, 778683]</t>
  </si>
  <si>
    <t>[1204286, 778726, 778727]</t>
  </si>
  <si>
    <t>[0.042, 0.023, 0.002]</t>
  </si>
  <si>
    <t>892.5130802897129</t>
  </si>
  <si>
    <t>[-0.029, -0.016]</t>
  </si>
  <si>
    <t>LINESTRING (5.714590026412889 58.89413366135699, 5.714607613139214 58.894074967672914, 5.7146223785948 58.89405872303485)</t>
  </si>
  <si>
    <t>[1440107, 1440115]</t>
  </si>
  <si>
    <t>[1308561, 1308567]</t>
  </si>
  <si>
    <t>[779519, 1308561]</t>
  </si>
  <si>
    <t>[0.029, 0.016]</t>
  </si>
  <si>
    <t>8.642687696731649</t>
  </si>
  <si>
    <t>246.14337264011897</t>
  </si>
  <si>
    <t>[-0.074, -0.04, -0.054]</t>
  </si>
  <si>
    <t>LINESTRING (5.458956285304494 59.407239761973784, 5.4588816046977335 59.40735081226597, 5.4550340480429735 59.410149942631726, 5.455026686394651 59.4101817399563)</t>
  </si>
  <si>
    <t>[801588, 801596, 801604]</t>
  </si>
  <si>
    <t>[780072, 780079, 780008]</t>
  </si>
  <si>
    <t>[779973, 780072, 780079]</t>
  </si>
  <si>
    <t>[0.074, 0.04, 0.054]</t>
  </si>
  <si>
    <t>403.1353900401459</t>
  </si>
  <si>
    <t>[-0.045, 0.385, 0.002, 0.002, -0.028, -0.049, -0.053, -0.024, 0.002, 0.016, 0.026, 0.031, 0.03, -0.015, 0.007, 0.016, -0.006, -0.023, -0.021, -0.023, 0.021, 0.05, 0.015, -0.028, 0.024, 0.007, 0.048, 0.049, 0.037, 0.062, 0.116, 0.114, 0.001, -0.036, -0.01, -0.018, -0.022, -0.027, -0.046, 0.007, 0.032, 0.024, 0.001, -0.031, -0.035, -0.037, -0.021, -0.01, -0.006, -0.011, -0.031, -0.011, -0.018, -0.022, -0.024, 0.002, -0.001, 0.036, 0.055, 0.015, -0.019, 0.012, 0.047, 0.055, 0.065, 0.064, 0.063, 0.06, 0.059, 0.026, 0.013, -0.006, -0.062]</t>
  </si>
  <si>
    <t>4284.0</t>
  </si>
  <si>
    <t>[0, 0, 0, 0, 0, 0, 0, 0, 0, 0, 0, 0, 0, 0, 0, 0, 0, 0, 1, 0, 0, 0, 0, 0, 0, 0, 0, 0, 0, 0, 0, 0, 0, 0, 0, 0, 0, 0, 0, 0, 0, 0, 0, 0, 0, 0, 0, 0, 0, 0, 0, 0, 0, 0, 0, 0, 0, 0, 0, 0, 0, 0, 0, 0, 0, 0, 0, 0, 0, 0, 0, 0, 0]</t>
  </si>
  <si>
    <t>LINESTRING (5.448050209016169 59.316025958378965, 5.447494154962263 59.31636867936755, 5.447435946958805 59.31641235415462, 5.447083640228262 59.31678682857755, 5.446886437754765 59.3171185766591, 5.446851025088942 59.31904813631578, 5.4470891132507075 59.32009858244836, 5.447091190671715 59.32010742466505, 5.447391124920146 59.32142631052281, 5.4470995859350335 59.32274957585968, 5.447020655945553 59.32289629698974, 5.446643743518955 59.32355255674933, 5.445027936158294 59.32605197400493, 5.445005832705661 59.32608528272695, 5.441671376500638 59.3300876730636, 5.441279296599647 59.3304639641445, 5.440773524920038 59.3309476668982, 5.439294619074083 59.33255854027372, 5.439240500186229 59.332665280561855, 5.439225402548495 59.332698555925994, 5.439192515963334 59.332777655612624, 5.436806863959364 59.33827012980224, 5.436735023319285 59.338328100136714, 5.437377272322031 59.34064829816138, 5.440923528817579 59.34245653872225, 5.442102624009798 59.342472348847515, 5.443679331193685 59.342227158212545, 5.445244077476306 59.34209805792732, 5.445339308916202 59.34209316722976, 5.447813711677745 59.342162709877435, 5.44905750192843 59.34277191931756, 5.449069690437843 59.34278087612845, 5.449106939669764 59.342808457105306, 5.450699748600168 59.34401276326517, 5.451922921512508 59.3450325462658, 5.452851099494088 59.34628987750376, 5.452992358616454 59.34649984469859, 5.453042576339146 59.3465745284073, 5.453446528071689 59.34712885339616, 5.453988574248792 59.34771879463517, 5.4545590772380805 59.34970131190574, 5.454185531482366 59.351474911472735, 5.453530277603828 59.352375998209055, 5.459640689473504 59.364689485464375, 5.459693249959912 59.36484912506633, 5.46007077029033 59.36567173878828, 5.460085927041144 59.36570432954412, 5.460217308058538 59.36620191059835, 5.460218467776647 59.36649767546142, 5.46013891201963 59.367118612015865, 5.457946064895534 59.37419618110298, 5.458456405916597 59.37719493677334, 5.458524737407714 59.37745760710055, 5.458582957212032 59.37760894002252, 5.458629273530394 59.37771194651788, 5.459404390079414 59.37860237401692, 5.459607012678944 59.37874868588235, 5.459655181682025 59.37878309801171, 5.461031846707937 59.381399060533546, 5.460944685110919 59.38160135221906, 5.463024102912478 59.3870999681911, 5.465413716760053 59.39090384830123, 5.465639310463781 59.39164808918316, 5.465623472754169 59.392099236861235, 5.465616862887751 59.39216990268564, 5.465608767991135 59.39227889258968, 5.465582028890598 59.392655922575685, 5.465544112492033 59.3931538122482, 5.4654820882295105 59.394543887670146, 5.465480143038567 59.39465725492914, 5.4654701417986535 59.39525026298361, 5.465453889658993 59.39680364181193, 5.459532390966084 59.40683419343325, 5.458956285304494 59.407239761973784)</t>
  </si>
  <si>
    <t>[2101961, 2101969, 2101977, 2101985, 2101993, 2102001, 2102009, 2102017, 2102018, 2102025, 2102033, 2102041, 2102049, 2102057, 2102065, 2102073, 2102081, 2102089, 2102098, 2102106, 2102114, 2102122, 2102130, 2102138, 2102146, 2102154, 2102162, 2102170, 2102178, 2102186, 2102202, 2102210, 2102218, 2102226, 2102234, 2102242, 2102250, 2102266, 2102274, 2102282, 2102290, 2102298, 2102306, 2102314, 2102316, 2102317, 2102318, 2102326, 2102334, 2102342, 2102350, 2102361, 2102366, 2102374, 2102399, 2102400, 2102401, 2102409, 2102416, 2102417, 2102435, 2102443, 2102444, 2102458, 2102481, 2102482, 2102486, 2102487, 2102494, 2102508, 2102516, 2102526, 801468]</t>
  </si>
  <si>
    <t>[1816975, 1816980, 1816986, 1816991, 1816995, 1817002, 1817009, 1299373, 1299397, 977213, 1263149, 1263142, 1817033, 1817040, 1218599, 1218622, 1817053, 1817059, 1817064, 1218561, 1299482, 1299521, 1817086, 1690775, 1206590, 958024, 1206637, 1244780, 1299547, 1817115, 1817124, 1817127, 345110, 1812139, 1817137, 1817140, 345118, 1237320, 1817156, 1817160, 1815604, 1224802, 347398, 1299256, 1817181, 1817182, 1817183, 1297496, 1238181, 1218554, 1817200, 345393, 1817205, 1218455, 345629, 1817228, 1817229, 1817233, 1302130, 1051649, 1299249, 1817244, 1817245, 1817250, 1817262, 1817263, 1817264, 1259382, 1817268, 1817274, 1817283, 779972, 779973]</t>
  </si>
  <si>
    <t>0.001477550099685879</t>
  </si>
  <si>
    <t>[1202377, 1816975, 1816980, 1816986, 1816991, 1816995, 1817002, 1817009, 1299373, 1299397, 977213, 1263149, 1263142, 1817033, 1817040, 1218599, 1218622, 1817053, 1817059, 1817064, 1218561, 1299482, 1299521, 1817086, 1690775, 1206590, 958024, 1206637, 1244780, 1299547, 1817115, 1817124, 1817127, 345110, 1812139, 1817137, 1817140, 345118, 1237320, 1817156, 1817160, 1815604, 1224802, 347398, 1299256, 1817181, 1817182, 1817183, 1297496, 1238181, 1218554, 1817200, 345393, 1817205, 1218455, 345629, 1817228, 1817229, 1817233, 1302130, 1051649, 1299249, 1817244, 1817245, 1817250, 1817262, 1817263, 1817264, 1259382, 1817268, 1817274, 1817283, 779972]</t>
  </si>
  <si>
    <t>[0.045, 0.385, 0.002, 0.002, 0.028, 0.049, 0.053, 0.024, 0.002, 0.016, 0.026, 0.031, 0.03, 0.015, 0.007, 0.016, 0.006, 0.023, 0.021, 0.023, 0.021, 0.05, 0.015, 0.028, 0.024, 0.007, 0.048, 0.049, 0.037, 0.062, 0.116, 0.114, 0.001, 0.036, 0.01, 0.018, 0.022, 0.027, 0.046, 0.007, 0.032, 0.024, 0.001, 0.031, 0.035, 0.037, 0.021, 0.01, 0.006, 0.011, 0.031, 0.011, 0.018, 0.022, 0.024, 0.002, 0.001, 0.036, 0.055, 0.015, 0.019, 0.012, 0.047, 0.055, 0.065, 0.064, 0.063, 0.06, 0.059, 0.026, 0.013, 0.006, 0.062]</t>
  </si>
  <si>
    <t>11586.65720479162</t>
  </si>
  <si>
    <t>[-0.032, -0.041, -0.026]</t>
  </si>
  <si>
    <t>LINESTRING (5.455953337341393 59.40881508978175, 5.454075833188743 59.40992457212351, 5.453595553666082 59.41034274582973, 5.451710832177492 59.412378311789794)</t>
  </si>
  <si>
    <t>[801484, 801492, 801500]</t>
  </si>
  <si>
    <t>[779985, 779990, 779994]</t>
  </si>
  <si>
    <t>[779980, 779985, 779990]</t>
  </si>
  <si>
    <t>[0.032, 0.041, 0.026]</t>
  </si>
  <si>
    <t>469.9272094451004</t>
  </si>
  <si>
    <t>[0.0, 0.0, 0.038, 0.033, -0.003]</t>
  </si>
  <si>
    <t>LINESTRING (5.452182928187254 59.41043279032462, 5.452182928187254 59.41043279032462, 5.453428733162115 59.410275851982156, 5.453994633626245 59.409893553500844, 5.455723792396102 59.40887337566446, 5.455953337341393 59.40881508978175)</t>
  </si>
  <si>
    <t>[801724, 801732, 801740, 801748, 801756]</t>
  </si>
  <si>
    <t>[780219, 780229, 780237, 780247, 779980]</t>
  </si>
  <si>
    <t>0.02323948417951134</t>
  </si>
  <si>
    <t>[780218, 780219, 780229, 780237, 780247]</t>
  </si>
  <si>
    <t>[0.0, 0.0, 0.038, 0.033, 0.003]</t>
  </si>
  <si>
    <t>300.5997593897657</t>
  </si>
  <si>
    <t>41.58432176916831</t>
  </si>
  <si>
    <t>[0.026, 0.02, 0.039, 0.032, 0.021]</t>
  </si>
  <si>
    <t>LINESTRING (5.451710832177492 59.412378311789794, 5.451760600410897 59.41223989233716, 5.452432197006224 59.41146345134336, 5.452198748747728 59.41059064355879, 5.452050686209944 59.410541198779114, 5.4519850673266035 59.41052526155239)</t>
  </si>
  <si>
    <t>[801684, 801692, 801700, 801708, 801716]</t>
  </si>
  <si>
    <t>[780169, 780179, 780190, 780200, 780210]</t>
  </si>
  <si>
    <t>0.029612206479774694</t>
  </si>
  <si>
    <t>[779994, 780169, 780179, 780190, 780200]</t>
  </si>
  <si>
    <t>229.32302323108507</t>
  </si>
  <si>
    <t>[0.008, -0.03, 0.039, 0.055, 0.039, 0.226]</t>
  </si>
  <si>
    <t>LINESTRING (5.451402677400704 59.41271562623383, 5.450279428379509 59.41499032249128, 5.44974740360013 59.416643828003686, 5.449556965494481 59.41679441190711, 5.448789072247734 59.41751958907416, 5.448679523823136 59.41768644222992, 5.448544288715431 59.417909335874384)</t>
  </si>
  <si>
    <t>[801516, 2102531, 2102532, 2102536, 2102550, 2102551]</t>
  </si>
  <si>
    <t>[780001, 1817291, 1817292, 1817294, 1817305, 347578]</t>
  </si>
  <si>
    <t>0.014439361047776161</t>
  </si>
  <si>
    <t>[779997, 780001, 1817291, 1817292, 1817294, 1817305]</t>
  </si>
  <si>
    <t>[0.008, 0.03, 0.039, 0.055, 0.039, 0.226]</t>
  </si>
  <si>
    <t>614.5317534759425</t>
  </si>
  <si>
    <t>[0.0, -0.009, -0.021, 0.007]</t>
  </si>
  <si>
    <t>LINESTRING (5.454631683683923 59.41038920152178, 5.454631683683923 59.41038920152178, 5.454405756191554 59.410432201693794, 5.451567649385563 59.412620664192346, 5.451402677400704 59.41271562623383)</t>
  </si>
  <si>
    <t>[801652, 801660, 801668, 801676]</t>
  </si>
  <si>
    <t>[780134, 780141, 780150, 779997]</t>
  </si>
  <si>
    <t>[780033, 780134, 780141, 780150]</t>
  </si>
  <si>
    <t>[0.0, 0.009, 0.021, 0.007]</t>
  </si>
  <si>
    <t>330.89046660919666</t>
  </si>
  <si>
    <t>[-0.087, -0.06]</t>
  </si>
  <si>
    <t>LINESTRING (8.74297436575472 58.474824837868894, 8.743197360266011 58.474972391574845, 8.743239776788567 58.475011013795125)</t>
  </si>
  <si>
    <t>[1244822, 1244830]</t>
  </si>
  <si>
    <t>[1164736, 1164743]</t>
  </si>
  <si>
    <t>[781274, 1164736]</t>
  </si>
  <si>
    <t>[0.087, 0.06]</t>
  </si>
  <si>
    <t>25.95721823656677</t>
  </si>
  <si>
    <t>[-0.12, -0.126]</t>
  </si>
  <si>
    <t>LINESTRING (8.74297436575472 58.474824837868894, 8.743319290435819 58.47490260366532, 8.743405824003487 58.474909991947776)</t>
  </si>
  <si>
    <t>[1244833, 1244836]</t>
  </si>
  <si>
    <t>[1164745, 1164747]</t>
  </si>
  <si>
    <t>[781274, 1164745]</t>
  </si>
  <si>
    <t>[0.12, 0.126]</t>
  </si>
  <si>
    <t>27.059485809055175</t>
  </si>
  <si>
    <t>[0.063, -0.085]</t>
  </si>
  <si>
    <t>LINESTRING (8.743066368142108 58.47426098375809, 8.742848211715554 58.474735987960635, 8.74297436575472 58.474824837868894)</t>
  </si>
  <si>
    <t>[1767101, 802810]</t>
  </si>
  <si>
    <t>[781273, 781274]</t>
  </si>
  <si>
    <t>0.037191994751351494</t>
  </si>
  <si>
    <t>[917701, 781273]</t>
  </si>
  <si>
    <t>[0.063, 0.085]</t>
  </si>
  <si>
    <t>70.81776215076214</t>
  </si>
  <si>
    <t>[0.014, 0.02]</t>
  </si>
  <si>
    <t>LINESTRING (5.698414002314633 58.90923087843139, 5.697716046754148 58.9090452388358, 5.6966588310364665 58.90876480540944)</t>
  </si>
  <si>
    <t>[803744, 803745]</t>
  </si>
  <si>
    <t>[782196, 782197]</t>
  </si>
  <si>
    <t>0.01761325626939712</t>
  </si>
  <si>
    <t>[782195, 782196]</t>
  </si>
  <si>
    <t>114.04472098284567</t>
  </si>
  <si>
    <t>[0.035, 0.032, 0.0, -0.009, -0.003]</t>
  </si>
  <si>
    <t>LINESTRING (5.698652979838435 58.90766861798844, 5.69846023010893 58.907905308749775, 5.697425821565646 58.908907375181464, 5.697337974496897 58.909002648417044, 5.697351521649713 58.909660377006254, 5.698414002314633 58.90923087843139)</t>
  </si>
  <si>
    <t>[1438830, 803740, 803741, 803742, 803743]</t>
  </si>
  <si>
    <t>[782191, 782192, 782193, 782194, 782195]</t>
  </si>
  <si>
    <t>0.0105748058730071</t>
  </si>
  <si>
    <t>[1056139, 782191, 782192, 782193, 782194]</t>
  </si>
  <si>
    <t>[0.035, 0.032, 0.0, 0.009, 0.003]</t>
  </si>
  <si>
    <t>377.3130203077186</t>
  </si>
  <si>
    <t>13.97743498282561</t>
  </si>
  <si>
    <t>[0.211, -0.009, 0.007, 0.018, -1.284]</t>
  </si>
  <si>
    <t>LINESTRING (5.7033405174007505 58.92125692450602, 5.703249993521785 58.92112654590327, 5.703346944572842 58.92106259909836, 5.703506342382626 58.92105114793194, 5.703545049888724 58.921057460665885, 5.703580098779093 58.921069147182806)</t>
  </si>
  <si>
    <t>[1262034, 1262035, 1262038, 1261947, 1261975]</t>
  </si>
  <si>
    <t>[796252, 1179216, 365403, 1179129, 782228]</t>
  </si>
  <si>
    <t>0.010754228407354391</t>
  </si>
  <si>
    <t>[796400, 796252, 1179216, 365403, 1179129]</t>
  </si>
  <si>
    <t>[0.211, 0.009, 0.007, 0.018, 1.284]</t>
  </si>
  <si>
    <t>39.70072560483076</t>
  </si>
  <si>
    <t>[0.029, 0.03, 0.018, 0.014, 0.039]</t>
  </si>
  <si>
    <t>LINESTRING (5.6827304770914235 58.98080665155543, 5.681988245082448 58.98133938707193, 5.67947026286554 58.9824145788564, 5.679408084102191 58.982437176138404, 5.678891824539814 58.982634489214654, 5.677869359299563 58.98302131784364)</t>
  </si>
  <si>
    <t>[1418533, 804809, 804817, 804825, 804833]</t>
  </si>
  <si>
    <t>[783206, 783207, 783214, 783222, 783234]</t>
  </si>
  <si>
    <t>0.02983877071345829</t>
  </si>
  <si>
    <t>[1295062, 783206, 783207, 783214, 783222]</t>
  </si>
  <si>
    <t>376.8525318767822</t>
  </si>
  <si>
    <t>[-0.229, -0.011]</t>
  </si>
  <si>
    <t>LINESTRING (5.65810823528502 59.05557351079339, 5.658044127666987 59.055605852205055, 5.657507758270196 59.05570078049598)</t>
  </si>
  <si>
    <t>[1957315, 1957327]</t>
  </si>
  <si>
    <t>[1716614, 1716625]</t>
  </si>
  <si>
    <t>[783308, 1716614]</t>
  </si>
  <si>
    <t>[0.229, 0.011]</t>
  </si>
  <si>
    <t>39.203107311860855</t>
  </si>
  <si>
    <t>[-0.304, 0.003]</t>
  </si>
  <si>
    <t>LINESTRING (5.667628074296846 59.05649441499878, 5.667665156770653 59.05646712928963, 5.66973960585931 59.05623433791737)</t>
  </si>
  <si>
    <t>[1957295, 1957297]</t>
  </si>
  <si>
    <t>[1716596, 1716598]</t>
  </si>
  <si>
    <t>[783369, 1716596]</t>
  </si>
  <si>
    <t>[0.304, 0.003]</t>
  </si>
  <si>
    <t>130.8008588967086</t>
  </si>
  <si>
    <t>[0.019, -0.014, -0.016, -0.029, -0.039]</t>
  </si>
  <si>
    <t>LINESTRING (5.676931826498176 59.06334022643686, 5.6761669764043186 59.06430033043725, 5.676132390098994 59.06433446050179, 5.675481996733934 59.06491419178307, 5.675221961436403 59.06513790083551, 5.67465014678027 59.06564786463491)</t>
  </si>
  <si>
    <t>[1375831, 1375839, 1375847, 1375855, 1375863]</t>
  </si>
  <si>
    <t>[1254684, 1267526, 1267534, 1267543, 783491]</t>
  </si>
  <si>
    <t>[783484, 1254684, 1267526, 1267534, 1267543]</t>
  </si>
  <si>
    <t>[0.019, 0.014, 0.016, 0.029, 0.039]</t>
  </si>
  <si>
    <t>290.56192959844975</t>
  </si>
  <si>
    <t>[0.041, 0.019, 0.001, 0.0, -0.001, -0.013, -0.035, -0.05]</t>
  </si>
  <si>
    <t>LINESTRING (5.676931826498176 59.06334022643686, 5.676784386288609 59.063687232989764, 5.676329439038608 59.06428135809306, 5.67629470204135 59.064319056156634, 5.676252822754646 59.06436361994587, 5.67624443752834 59.06437252840819, 5.675616343280458 59.06493695009297, 5.675332460081498 59.065159435776785, 5.67465014678027 59.06564786463491)</t>
  </si>
  <si>
    <t>[2100632, 2100634, 2100648, 2100651, 2100665, 2100678, 2100679, 2100680]</t>
  </si>
  <si>
    <t>[1816125, 1305899, 1816138, 1816141, 1254691, 1816163, 1816164, 783491]</t>
  </si>
  <si>
    <t>[783484, 1816125, 1305899, 1816138, 1816141, 1254691, 1816163, 1816164]</t>
  </si>
  <si>
    <t>[0.041, 0.019, 0.001, 0.0, 0.001, 0.013, 0.035, 0.05]</t>
  </si>
  <si>
    <t>292.6911238021596</t>
  </si>
  <si>
    <t>[-0.008, 0.007, -0.005, -0.007, -0.005]</t>
  </si>
  <si>
    <t>LINESTRING (5.67465014678027 59.06564786463491, 5.673765236551533 59.066491703727195, 5.673194330243663 59.067510295998275, 5.673332855357618 59.069313298309844, 5.673608682580033 59.06980720530107, 5.674137400777704 59.07040905400899)</t>
  </si>
  <si>
    <t>[805081, 805089, 805097, 805105, 805113]</t>
  </si>
  <si>
    <t>[783492, 783499, 783507, 783516, 783522]</t>
  </si>
  <si>
    <t>[783491, 783492, 783499, 783507, 783516]</t>
  </si>
  <si>
    <t>[0.008, 0.007, 0.005, 0.007, 0.005]</t>
  </si>
  <si>
    <t>560.1089421085853</t>
  </si>
  <si>
    <t>LINESTRING (5.674137400777704 59.07040905400899, 5.674047449817953 59.07041673669548, 5.673582610925907 59.070484168508784)</t>
  </si>
  <si>
    <t>[1957335, 1957343]</t>
  </si>
  <si>
    <t>[1716635, 1716642]</t>
  </si>
  <si>
    <t>[783522, 1716635]</t>
  </si>
  <si>
    <t>33.03180858104044</t>
  </si>
  <si>
    <t>LINESTRING (5.589785726426449 59.1394947647648, 5.528534383855597 59.15694299638733, 5.466321549540672 59.17213989307736, 5.459708094042568 59.172162783529004)</t>
  </si>
  <si>
    <t>[805425, 805433, 805441]</t>
  </si>
  <si>
    <t>[783808, 783817, 783827]</t>
  </si>
  <si>
    <t>[783800, 783808, 783817]</t>
  </si>
  <si>
    <t>inf</t>
  </si>
  <si>
    <t>[0.0, -0.019, -0.019, 0]</t>
  </si>
  <si>
    <t>LINESTRING (5.587660289207602 59.137057115732475, 5.587660289207602 59.137057115732475, 5.587700395766699 59.13734802758349, 5.5877395512815315 59.13746261152535, 5.589785726426449 59.1394947647648)</t>
  </si>
  <si>
    <t>[807383, 807400, 807414, 807502]</t>
  </si>
  <si>
    <t>[785700, 785723, 785737, 783800]</t>
  </si>
  <si>
    <t>[785699, 785700, 785723, 785737]</t>
  </si>
  <si>
    <t>[0.0, 0.019, 0.019, inf]</t>
  </si>
  <si>
    <t>119.6460927009401</t>
  </si>
  <si>
    <t>[0, -0.06]</t>
  </si>
  <si>
    <t>LINESTRING (5.459708094042568 59.172162783529004, 5.4535658756954675 59.170599601731375, 5.45273039186442 59.170429673491626)</t>
  </si>
  <si>
    <t>[805449, 2101146]</t>
  </si>
  <si>
    <t>[783837, 1267578]</t>
  </si>
  <si>
    <t>[783827, 783837]</t>
  </si>
  <si>
    <t>[inf, 0.06]</t>
  </si>
  <si>
    <t>51.932010980696106</t>
  </si>
  <si>
    <t>[0, 0.073]</t>
  </si>
  <si>
    <t>LINESTRING (5.459708094042568 59.172162783529004, 5.452944898253975 59.17075254599545, 5.452671384717568 59.17065976858915)</t>
  </si>
  <si>
    <t>[807571, 807627]</t>
  </si>
  <si>
    <t>[785896, 784760]</t>
  </si>
  <si>
    <t>0.073</t>
  </si>
  <si>
    <t>[783827, 785896]</t>
  </si>
  <si>
    <t>[inf, 0.073]</t>
  </si>
  <si>
    <t>18.80905518640517</t>
  </si>
  <si>
    <t>[0.077, 0.047, 0.014]</t>
  </si>
  <si>
    <t>LINESTRING (5.452671384717568 59.17065976858915, 5.452058193309221 59.170482694831804, 5.451872891884179 59.17045870190418, 5.451706047326758 59.17044772180706)</t>
  </si>
  <si>
    <t>[806395, 806403, 806411]</t>
  </si>
  <si>
    <t>[784761, 784771, 784781]</t>
  </si>
  <si>
    <t>0.061667830183399934</t>
  </si>
  <si>
    <t>[784760, 784761, 784771]</t>
  </si>
  <si>
    <t>61.11146412081871</t>
  </si>
  <si>
    <t>[0.024, 0.031, -2.739]</t>
  </si>
  <si>
    <t>LINESTRING (5.452671384717568 59.17065976858915, 5.452724415783897 59.17049842783051, 5.452730148840015 59.17045238376955, 5.45273039186442 59.170429673491626)</t>
  </si>
  <si>
    <t>[2018747, 2018755, 2018775]</t>
  </si>
  <si>
    <t>[1763955, 1763959, 1267578]</t>
  </si>
  <si>
    <t>[784760, 1763955, 1763959]</t>
  </si>
  <si>
    <t>[0.024, 0.031, 2.739]</t>
  </si>
  <si>
    <t>25.980586114724918</t>
  </si>
  <si>
    <t>[-0.126, 0.019, 0.003, -0.012, 0.109]</t>
  </si>
  <si>
    <t>LINESTRING (5.451706047326758 59.17044772180706, 5.45082585901071 59.17060324911341, 5.450758047456812 59.17063290021387, 5.450246669452997 59.17132931574557, 5.4502981282371845 59.171652224619486, 5.450292906485051 59.171838808596654)</t>
  </si>
  <si>
    <t>[2100807, 2100813, 2100821, 2100853, 2100855]</t>
  </si>
  <si>
    <t>[1816246, 1816250, 1816254, 1816277, 785601]</t>
  </si>
  <si>
    <t>[784781, 1816246, 1816250, 1816254, 1816277]</t>
  </si>
  <si>
    <t>[0.126, 0.019, 0.003, 0.012, 0.109]</t>
  </si>
  <si>
    <t>202.19234534910282</t>
  </si>
  <si>
    <t>0.172</t>
  </si>
  <si>
    <t>58.80755533943807</t>
  </si>
  <si>
    <t>128.64619100223123</t>
  </si>
  <si>
    <t>[-0.034, -0.041]</t>
  </si>
  <si>
    <t>LINESTRING (15.092638816448904 66.46282197011101, 15.090870459539614 66.46320195490264, 15.09083085959101 66.4632103120379)</t>
  </si>
  <si>
    <t>[1004780, 1004781]</t>
  </si>
  <si>
    <t>[961777, 785533]</t>
  </si>
  <si>
    <t>[785532, 961777]</t>
  </si>
  <si>
    <t>[0.034, 0.041]</t>
  </si>
  <si>
    <t>91.45958535212678</t>
  </si>
  <si>
    <t>[0.032, 0.059, 0.0]</t>
  </si>
  <si>
    <t>LINESTRING (15.090391235491518 66.46306488568773, 15.092341264781108 66.46262982439465, 15.092635014784108 66.46281947840684, 15.092638816448904 66.46282197011101)</t>
  </si>
  <si>
    <t>[1197192, 1004777, 1004779]</t>
  </si>
  <si>
    <t>[961774, 961775, 785532]</t>
  </si>
  <si>
    <t>0.03730011369168213</t>
  </si>
  <si>
    <t>[466280, 961774, 961775]</t>
  </si>
  <si>
    <t>124.70529484176208</t>
  </si>
  <si>
    <t>[-0.058, -0.072]</t>
  </si>
  <si>
    <t>LINESTRING (15.09083085959101 66.4632103120379, 15.090408468113877 66.46307059926369, 15.090391235491518 66.46306488568773)</t>
  </si>
  <si>
    <t>[807219, 807227]</t>
  </si>
  <si>
    <t>[785542, 466280]</t>
  </si>
  <si>
    <t>[785533, 785542]</t>
  </si>
  <si>
    <t>[0.058, 0.072]</t>
  </si>
  <si>
    <t>25.427792731038988</t>
  </si>
  <si>
    <t>[0.007, 0.011]</t>
  </si>
  <si>
    <t>LINESTRING (5.450292906485051 59.171838808596654, 5.450205155317696 59.1718509424851, 5.450088739486219 59.1718631201362)</t>
  </si>
  <si>
    <t>[807286, 807298]</t>
  </si>
  <si>
    <t>[785602, 785616]</t>
  </si>
  <si>
    <t>0.00926639158081915</t>
  </si>
  <si>
    <t>[785601, 785602]</t>
  </si>
  <si>
    <t>12.030524325172388</t>
  </si>
  <si>
    <t>[-0.091, -0.006]</t>
  </si>
  <si>
    <t>LINESTRING (5.450292906485051 59.171838808596654, 5.450421049639379 59.17213215485297, 5.450977469083645 59.172789372841926)</t>
  </si>
  <si>
    <t>[2101154, 2101162]</t>
  </si>
  <si>
    <t>[1816477, 1813548]</t>
  </si>
  <si>
    <t>[785601, 1816477]</t>
  </si>
  <si>
    <t>[0.091, 0.006]</t>
  </si>
  <si>
    <t>113.80937818087833</t>
  </si>
  <si>
    <t>[0.031, 0.032, 0.028, 0.008, -0.015, -0.01, 0.127]</t>
  </si>
  <si>
    <t>LINESTRING (5.45273039186442 59.170429673491626, 5.452716343621768 59.17042433751853, 5.451912013484477 59.17035908137943, 5.450840663874121 59.17049543357472, 5.450045385186795 59.1712236182233, 5.450198538406109 59.17161631499128, 5.450209790741335 59.17169329053091, 5.450292906485051 59.171838808596654)</t>
  </si>
  <si>
    <t>[1375903, 1375911, 1375919, 1375927, 1375935, 1375943, 1375951]</t>
  </si>
  <si>
    <t>[1267579, 1267582, 1267593, 1267601, 1267608, 1267616, 785601]</t>
  </si>
  <si>
    <t>0.019908922351979653</t>
  </si>
  <si>
    <t>[1267578, 1267579, 1267582, 1267593, 1267601, 1267608, 1267616]</t>
  </si>
  <si>
    <t>[0.031, 0.032, 0.028, 0.008, 0.015, 0.01, 0.127]</t>
  </si>
  <si>
    <t>279.60403521130894</t>
  </si>
  <si>
    <t>[0.032, 0.023, -0.043, -0.072, -0.071]</t>
  </si>
  <si>
    <t>LINESTRING (5.450088739486219 59.1718631201362, 5.449886962962849 59.171776371505054, 5.451839635867972 59.16993427992935, 5.45215533961322 59.16991286688219, 5.45247295190549 59.16990914258131, 5.452617616572054 59.16990105576161)</t>
  </si>
  <si>
    <t>[807320, 807325, 807326, 807334, 807342]</t>
  </si>
  <si>
    <t>[785641, 785646, 785647, 785653, 785659]</t>
  </si>
  <si>
    <t>0.012261287295522045</t>
  </si>
  <si>
    <t>[785616, 785641, 785646, 785647, 785653]</t>
  </si>
  <si>
    <t>[0.032, 0.023, 0.043, 0.072, 0.071]</t>
  </si>
  <si>
    <t>333.60630583567865</t>
  </si>
  <si>
    <t>[0.014, 0.011, 0.378]</t>
  </si>
  <si>
    <t>LINESTRING (5.450977469083645 59.172789372841926, 5.450823373805961 59.17271583556426, 5.45015105288672 59.17191027831369, 5.450088739486219 59.1718631201362)</t>
  </si>
  <si>
    <t>[2096708, 2096724, 2096741]</t>
  </si>
  <si>
    <t>[1813549, 1813561, 785616]</t>
  </si>
  <si>
    <t>0.031315804808732334</t>
  </si>
  <si>
    <t>[1813548, 1813549, 1813561]</t>
  </si>
  <si>
    <t>116.82854928986747</t>
  </si>
  <si>
    <t>61.2516312243374</t>
  </si>
  <si>
    <t>1.199</t>
  </si>
  <si>
    <t>7.438118377954191</t>
  </si>
  <si>
    <t>33.44092297289717</t>
  </si>
  <si>
    <t>LINESTRING (10.461811239250416 59.924223334756135, 10.461713478802839 59.92416765813647, 10.463304719077486 59.92362519044419, 10.463442594971275 59.923674954893784)</t>
  </si>
  <si>
    <t>109.84754355429789</t>
  </si>
  <si>
    <t>[-0.002, -0.014, -0.013]</t>
  </si>
  <si>
    <t>LINESTRING (10.463442594971275 59.923674954893784, 10.463726580848844 59.923552512720896, 10.459938623187488 59.924608929406475, 10.459780392860841 59.924654859857554)</t>
  </si>
  <si>
    <t>[849276, 849284, 849292]</t>
  </si>
  <si>
    <t>[824421, 824429, 824434]</t>
  </si>
  <si>
    <t>[785845, 824421, 824429]</t>
  </si>
  <si>
    <t>[0.002, 0.014, 0.013]</t>
  </si>
  <si>
    <t>367.4933541822442</t>
  </si>
  <si>
    <t>[-0.003, 0.002, -0.018]</t>
  </si>
  <si>
    <t>LINESTRING (10.46677004955822 59.921760322673165, 10.466625519036018 59.921861907244256, 10.463769017986737 59.9236029714992, 10.463442594971275 59.923674954893784)</t>
  </si>
  <si>
    <t>[850429, 849204, 849212]</t>
  </si>
  <si>
    <t>[824371, 824372, 785845]</t>
  </si>
  <si>
    <t>0.0004254811169763376</t>
  </si>
  <si>
    <t>[825224, 824371, 824372]</t>
  </si>
  <si>
    <t>[0.003, 0.002, 0.018]</t>
  </si>
  <si>
    <t>299.6311465094271</t>
  </si>
  <si>
    <t>81.88077216295117</t>
  </si>
  <si>
    <t>[-0.018, -0.008, 0.011, 0.01, 0.007]</t>
  </si>
  <si>
    <t>LINESTRING (6.546341365062826 58.4603129480752, 6.545936775319424 58.46037635307839, 6.544433477968528 58.46056719516679, 6.544431529160169 58.46064649753973, 6.544476991866969 58.46087878507956, 6.544488359707254 58.46090300833874)</t>
  </si>
  <si>
    <t>[807644, 807649, 807657, 807658, 807677]</t>
  </si>
  <si>
    <t>[785962, 785965, 785972, 785973, 785991]</t>
  </si>
  <si>
    <t>[785961, 785962, 785965, 785972, 785973]</t>
  </si>
  <si>
    <t>[0.018, 0.008, 0.011, 0.01, 0.007]</t>
  </si>
  <si>
    <t>156.0948890279657</t>
  </si>
  <si>
    <t>45.86159345241466</t>
  </si>
  <si>
    <t>[0.0, -0.035, -0.008]</t>
  </si>
  <si>
    <t>LINESTRING (6.548016923749032 58.459848936090076, 6.548016923749032 58.459848936090076, 6.547345541309124 58.45986917489016, 6.547065673167584 58.45994292851481)</t>
  </si>
  <si>
    <t>[807678, 807685, 807686]</t>
  </si>
  <si>
    <t>[785992, 785999, 786000]</t>
  </si>
  <si>
    <t>[662497, 785992, 785999]</t>
  </si>
  <si>
    <t>[0.0, 0.035, 0.008]</t>
  </si>
  <si>
    <t>62.72163442825982</t>
  </si>
  <si>
    <t>[0.013, 0.021, 0.029]</t>
  </si>
  <si>
    <t>LINESTRING (6.547065673167584 58.45994292851481, 6.547056464115804 58.45995045897648, 6.54706519387698 58.46020958799691, 6.5471171590922514 58.46025491029769)</t>
  </si>
  <si>
    <t>[807693, 807694, 807698]</t>
  </si>
  <si>
    <t>[786004, 786005, 786008]</t>
  </si>
  <si>
    <t>0.02203959161767723</t>
  </si>
  <si>
    <t>[786000, 786004, 786005]</t>
  </si>
  <si>
    <t>37.751858898564564</t>
  </si>
  <si>
    <t>[0.004, 0.013, 0.012]</t>
  </si>
  <si>
    <t>LINESTRING (6.544952008592155 58.460399496357034, 6.545253348600286 58.46034632645806, 6.546923739985785 58.459968619701705, 6.547065673167584 58.45994292851481)</t>
  </si>
  <si>
    <t>[1346578, 1346586, 1346594]</t>
  </si>
  <si>
    <t>[1247965, 1247967, 786000]</t>
  </si>
  <si>
    <t>0.011759951459384254</t>
  </si>
  <si>
    <t>[1247964, 1247965, 1247967]</t>
  </si>
  <si>
    <t>142.66883787583427</t>
  </si>
  <si>
    <t>[-0.014, 0.029, 0.022, 0.033, -0.055, 0.171, 0.16, -0.069, 0.087, 0.054, -0.019, -0.074, 0.266, -0.045, -0.588, 0.029, 0.025, 0.104, 0.095, 0.088, 0.123, -0.072, -0.103, -0.053, -0.056, -0.069, 0.056, 0.074, 0.062, -0.01, 0.053, -0.101, -0.127, -0.097, -0.058, 0.015, -0.151, 0.018, 0.024, 0.257, -0.044, -0.214, -0.198, 0.016, -0.104, 0.082, 0.058, 0.038, 0.014, -0.008, -0.04, -0.105, -0.126, -0.196, -0.069, -0.023, -0.018, -0.013, -0.012, -0.006, -0.006, -0.009, 0.085, 0.275, 0.084, 0.065, -0.339, -0.047, 0.109, -0.108, 0.017, 0.007, 0.027, -0.102, 0.036, -0.133, -0.025, 0.225, 0.193, 0.108, -0.072, -0.062, -0.163, 0.058, -0.072, -0.1, -0.155, -0.182, -0.184, -0.2, 0.089, 0.052, -0.004, -0.028, -0.037, 0.047, -0.014, 0.119, 0.109, 0.067, 0.051, -0.082, -0.089, 0.094, 0.002, 0.11, 0.104, 0.159, 0.142, -0.028, -0.308, -0.256, -0.1, -0.004, -0.024, -0.046, -0.071, -0.019, 0.046, 0.057, 0.061, -0.033, 0.001, -0.051, -0.028, -0.041, -0.029, -0.065, -0.052, -0.108, -0.022, 0.039, 0.032, 0.122, 0.1, 0.072, -0.073, 0.058, -0.034, -0.042, -0.293, -0.194, -0.054, -0.084, -0.024]</t>
  </si>
  <si>
    <t>4469.0</t>
  </si>
  <si>
    <t>[0, 0, 0, 0, 0, 0, 0, 0, 0, 0, 0, 0, 0, 0, 0, 0, 0, 0, 0, 0, 0, 0, 0, 0, 0, 0, 0, 0, 0, 0, 0, 0, 0, 0, 0, 0, 0, 0, 0, 0, 0, 0, 0, 0, 0, 0, 0, 0, 0, 0, 0, 0, 0, 0, 1, 0, 0, 0, 0, 1, 1, 0, 0, 0, 0, 0, 0, 0, 0, 0, 0, 0, 0, 0, 0, 0, 0, 0, 0, 0, 0, 0, 0, 0, 0, 0, 0, 1, 0, 0, 0, 0, 0, 0, 0, 0, 0, 0, 0, 0, 0, 0, 0, 0, 0, 0, 0, 1, 0, 0, 1, 0, 0, 1, 0, 0, 0, 0, 0, 1, 0, 0, 0, 0, 0, 1, 0, 0, 0, 0, 0, 0, 0, 0, 0, 1, 0, 0, 0, 0, 0, 0, 0, 1, 0]</t>
  </si>
  <si>
    <t>LINESTRING (6.657341608557276 58.3338727130347, 6.657439996812555 58.334932471112495, 6.657122696174248 58.338074818755345, 6.657384733159209 58.3384646225632, 6.664113901360695 58.34540450538026, 6.668561334073564 58.34692804832509, 6.669732293338283 58.347608060976825, 6.670164975113932 58.348830613714654, 6.669044495626671 58.35074999764832, 6.662771337337441 58.35581511932105, 6.662574480737665 58.35584977130501, 6.661227253048916 58.355925290283366, 6.661007642804484 58.35592342180812, 6.6591806433915215 58.35590294871033, 6.652831558978697 58.35582250059454, 6.652814472929575 58.35582229032508, 6.647937674887286 58.35576960701601, 6.647805617741103 58.355773142404956, 6.6462354080894555 58.35604360571754, 6.646049160935094 58.35611087864095, 6.641415888807196 58.35749049584877, 6.641399267109422 58.35749020629582, 6.6402664414022174 58.35747307847628, 6.640249768986608 58.35747292983907, 6.63811266004899 58.35765605754022, 6.635138239212831 58.35918207528376, 6.6350557140532915 58.35929819714493, 6.634800379515031 58.36016386434121, 6.6348737216566995 58.36064227859511, 6.635043486385879 58.36135574436034, 6.632925448899748 58.36780912323593, 6.631990593960819 58.36870872288222, 6.631625676334481 58.36973109650688, 6.631687886447653 58.370025912027955, 6.631838103225644 58.370355589255475, 6.632193360230037 58.37081418258437, 6.633300680153416 58.38021945652913, 6.6329099542600884 58.38077773228778, 6.630882466554099 58.383666308756034, 6.628649680762646 58.390431512992855, 6.628683000957308 58.39051947336046, 6.6306202436870345 58.395620446672574, 6.630637343087158 58.395664116886046, 6.630449817416847 58.39782725051638, 6.628441455922009 58.39920546778424, 6.6268068698969005 58.40095581667188, 6.626441127739444 58.40128211097973, 6.626369500341536 58.4013346628648, 6.626020181437043 58.401553362728215, 6.6259348026279 58.401600496669374, 6.625848423947153 58.40164591311128, 6.625099047336046 58.40199492383647, 6.624972882780757 58.40204911096746, 6.624706731499837 58.402164598610455, 6.622986235360631 58.40325793030952, 6.622830409907606 58.40348218701922, 6.622772196826068 58.40359260689662, 6.622667126087483 58.403897453645016, 6.62263829937071 58.404139322911064, 6.622634813462169 58.404228165145895, 6.622659591927705 58.40452338404384, 6.622746630084259 58.40524321383098, 6.622760384645028 58.40557888081841, 6.622526561358555 58.40627874110118, 6.622335777721892 58.40652845858246, 6.620739466752698 58.407988050763855, 6.6203417653372005 58.41107463633249, 6.620268127822325 58.41112359695205, 6.6157543885062235 58.417267751208186, 6.614608434363184 58.41985645682174, 6.613635643747751 58.42164575252414, 6.613343609194367 58.42214195790522, 6.611867684850052 58.42304006975628, 6.609644629008909 58.42387936952496, 6.608488124474127 58.4248256177642, 6.605483960336332 58.426657762852926, 6.605473295722373 58.426664641041995, 6.602869499937681 58.43299772065465, 6.603175354960206 58.4335148756805, 6.603550373214607 58.43406157450158, 6.604022397380689 58.43490683910991, 6.604091261911922 58.43561438915088, 6.607885759674957 58.43857879335383, 6.608250152218814 58.43869196765999, 6.6109222334298305 58.440406370783386, 6.611138193644635 58.440938497727316, 6.611147507644391 58.440979934152125, 6.6111619557000765 58.441429250295435, 6.611143218321033 58.44154047457303, 6.611099037106544 58.44170076427856, 6.611072773836108 58.4417683323239, 6.610805420693167 58.44218213999655, 6.609097402109619 58.44320711221211, 6.6090169900130045 58.443234846594784, 6.6063991154785455 58.443608859348736, 6.605159618522294 58.44350226668772, 6.605067040525804 58.44348661353131, 6.602658806151916 58.442554737685754, 6.602234227160939 58.442287806149736, 6.600628621454376 58.44128935043316, 6.597628842101378 58.4405114822528, 6.597137340884951 58.440489450423414, 6.590865850363689 58.441341878871874, 6.5906739999453 58.44141447386155, 6.588685933724165 58.443219861524746, 6.586779319036836 58.44488503126161, 6.5806220575605066 58.44541209283802, 6.580409546382108 58.44545165400891, 6.5803333057198214 58.44546800376848, 6.5792339522098615 58.44570028637764, 6.577354424583097 58.44580610911759, 6.577286054430541 58.44580247983407, 6.576968022696879 58.44578372432835, 6.57154385098743 58.44672034539619, 6.571455389435591 58.446760810992174, 6.570978904637458 58.44696570453309, 6.570381555813709 58.44719787741414, 6.570308934274165 58.44722475079219, 6.569423872956518 58.44753104667031, 6.567601027012915 58.44810700450402, 6.5675273796549485 58.44812990023591, 6.5670130484332345 58.44829375088952, 6.566025542576265 58.448604432688136, 6.5659583450991175 58.44862556149256, 6.564538110493896 58.44907288111561, 6.563981482907974 58.44924778260477, 6.563902335661449 58.449272758116045, 6.563225166712024 58.44948724667374, 6.562137920276328 58.449832514523436, 6.5621213663412385 58.449837898275405, 6.5620718291831155 58.449854175119555, 6.559069938900976 58.45214641814769, 6.559062168618859 58.45216720480335, 6.5590523077428555 58.45219230277229, 6.558498686227504 58.45357620397567, 6.558416522609973 58.45370118528368, 6.558377026518746 58.45375496247793, 6.556449079435843 58.45549294149623, 6.55572225474699 58.45611465264071, 6.553706859586548 58.457830754237776, 6.550655319633509 58.45948720649313, 6.5506455668115455 58.45949050388427, 6.55057727790942 58.459513593359276, 6.54819952456566 58.460100414362905, 6.547925485404929 58.46014513101177, 6.5471171590922514 58.46025491029769)</t>
  </si>
  <si>
    <t>[1353982, 1353990, 1353997, 1354005, 1354025, 1354041, 1354042, 1354051, 1354059, 1354067, 1354075, 1354083, 1354091, 1354099, 1354107, 1354115, 1354122, 1354131, 1354147, 1354155, 1354163, 1354171, 1354179, 1354187, 1354195, 1354203, 1354211, 1354219, 1354227, 1354235, 1354243, 1354251, 1354259, 1354274, 1354282, 1354290, 1354298, 1354306, 1354314, 1354322, 1354330, 1354338, 1354346, 1354354, 1354362, 1354370, 1354378, 1354386, 1354394, 1354402, 1354410, 1354418, 1354426, 1354434, 1354442, 1354456, 1354464, 1354479, 1354487, 1354495, 1354510, 1354518, 1354526, 1354534, 1354548, 1354556, 1354564, 1354572, 1354586, 1354594, 1354602, 1354603, 1354610, 1354618, 1354626, 1842214, 1842222, 1842230, 1842238, 1842246, 1842254, 1842262, 1842270, 1842278, 1842286, 1842294, 1842302, 1842310, 1842318, 1842326, 1842334, 1842342, 1842350, 1842358, 1842366, 1842374, 1842382, 1842390, 1842398, 1842406, 1842414, 1842422, 1842430, 1842438, 1842446, 1842454, 1842462, 1842470, 1842478, 1842486, 1842495, 1842503, 1842511, 1842519, 1842527, 1842535, 1842543, 1842551, 1842559, 1842567, 1842575, 1842583, 1842591, 1842599, 1842607, 1842615, 1842623, 1842631, 1842639, 1842647, 1842655, 1842663, 1842671, 1842679, 1842687, 1842695, 1842703, 1842711, 1842719, 1842727, 1842728, 1842735, 1842743, 1842751, 1842759]</t>
  </si>
  <si>
    <t>[1253269, 1253273, 1253277, 1103220, 1080988, 1253300, 1121454, 1253307, 1253314, 978229, 978214, 1253324, 1253327, 1253332, 1253335, 1253339, 978207, 978195, 1253356, 1253362, 1253366, 1253372, 1253377, 1082246, 1253386, 1253391, 1253393, 1117673, 1103214, 1074129, 1253407, 1253411, 651912, 243211, 243750, 1074363, 999165, 1253441, 1253446, 1253451, 1253455, 1253459, 1253464, 1023196, 1253472, 1253475, 1253481, 1253486, 1253491, 1253496, 1253503, 1253507, 1253511, 1253515, 1253519, 1253528, 1009773, 1253543, 1253550, 1253553, 1253560, 1099480, 1184198, 1099495, 1253582, 1253585, 1253588, 1253591, 1253596, 1253599, 1253602, 1253603, 1253606, 1253610, 1253615, 1614257, 1594102, 1594140, 1594151, 1614285, 1614289, 773467, 1614304, 1614310, 1614313, 1544952, 1614323, 1614327, 1614331, 1614335, 1544871, 1614348, 1614354, 1147923, 1614367, 1614373, 1147928, 1614380, 1614384, 1614389, 1614393, 1614398, 1614402, 1614408, 1614413, 1136553, 1614423, 1614428, 1308736, 1614443, 1614450, 339354, 1614462, 1614468, 1148080, 1614481, 1614489, 1140078, 1614503, 1614510, 1614517, 1614524, 1614531, 1238983, 1614546, 1614552, 1238976, 1614563, 1614572, 1614580, 1244192, 1614591, 1614596, 1239985, 1614605, 1614610, 1614615, 1614618, 1614621, 1614626, 1614627, 1614630, 1614634, 1614638, 786008]</t>
  </si>
  <si>
    <t>0.0017317645818250584</t>
  </si>
  <si>
    <t>[1253262, 1253269, 1253273, 1253277, 1103220, 1080988, 1253300, 1121454, 1253307, 1253314, 978229, 978214, 1253324, 1253327, 1253332, 1253335, 1253339, 978207, 978195, 1253356, 1253362, 1253366, 1253372, 1253377, 1082246, 1253386, 1253391, 1253393, 1117673, 1103214, 1074129, 1253407, 1253411, 651912, 243211, 243750, 1074363, 999165, 1253441, 1253446, 1253451, 1253455, 1253459, 1253464, 1023196, 1253472, 1253475, 1253481, 1253486, 1253491, 1253496, 1253503, 1253507, 1253511, 1253515, 1253519, 1253528, 1009773, 1253543, 1253550, 1253553, 1253560, 1099480, 1184198, 1099495, 1253582, 1253585, 1253588, 1253591, 1253596, 1253599, 1253602, 1253603, 1253606, 1253610, 1253615, 1614257, 1594102, 1594140, 1594151, 1614285, 1614289, 773467, 1614304, 1614310, 1614313, 1544952, 1614323, 1614327, 1614331, 1614335, 1544871, 1614348, 1614354, 1147923, 1614367, 1614373, 1147928, 1614380, 1614384, 1614389, 1614393, 1614398, 1614402, 1614408, 1614413, 1136553, 1614423, 1614428, 1308736, 1614443, 1614450, 339354, 1614462, 1614468, 1148080, 1614481, 1614489, 1140078, 1614503, 1614510, 1614517, 1614524, 1614531, 1238983, 1614546, 1614552, 1238976, 1614563, 1614572, 1614580, 1244192, 1614591, 1614596, 1239985, 1614605, 1614610, 1614615, 1614618, 1614621, 1614626, 1614627, 1614630, 1614634, 1614638]</t>
  </si>
  <si>
    <t>[0.014, 0.029, 0.022, 0.033, 0.055, 0.171, 0.16, 0.069, 0.087, 0.054, 0.019, 0.074, 0.266, 0.045, 0.588, 0.029, 0.025, 0.104, 0.095, 0.088, 0.123, 0.072, 0.103, 0.053, 0.056, 0.069, 0.056, 0.074, 0.062, 0.01, 0.053, 0.101, 0.127, 0.097, 0.058, 0.015, 0.151, 0.018, 0.024, 0.257, 0.044, 0.214, 0.198, 0.016, 0.104, 0.082, 0.058, 0.038, 0.014, 0.008, 0.04, 0.105, 0.126, 0.196, 0.069, 0.023, 0.018, 0.013, 0.012, 0.006, 0.006, 0.009, 0.085, 0.275, 0.084, 0.065, 0.339, 0.047, 0.109, 0.108, 0.017, 0.007, 0.027, 0.102, 0.036, 0.133, 0.025, 0.225, 0.193, 0.108, 0.072, 0.062, 0.163, 0.058, 0.072, 0.1, 0.155, 0.182, 0.184, 0.2, 0.089, 0.052, 0.004, 0.028, 0.037, 0.047, 0.014, 0.119, 0.109, 0.067, 0.051, 0.082, 0.089, 0.094, 0.002, 0.11, 0.104, 0.159, 0.142, 0.028, 0.308, 0.256, 0.1, 0.004, 0.024, 0.046, 0.071, 0.019, 0.046, 0.057, 0.061, 0.033, 0.001, 0.051, 0.028, 0.041, 0.029, 0.065, 0.052, 0.108, 0.022, 0.039, 0.032, 0.122, 0.1, 0.072, 0.073, 0.058, 0.034, 0.042, 0.293, 0.194, 0.054, 0.084, 0.024]</t>
  </si>
  <si>
    <t>19797.419112007086</t>
  </si>
  <si>
    <t>[0.0, -0.012, -0.01, -0.009, -0.007]</t>
  </si>
  <si>
    <t>LINESTRING (6.544320340983399 58.46088553397752, 6.544320340983399 58.46088553397752, 6.5443296780954885 58.46068306131863, 6.544319139409035 58.460598416624435, 6.544270910317035 58.46048201498632, 6.544241089269073 58.4604377284596)</t>
  </si>
  <si>
    <t>[807704, 807705, 807706, 807710, 807711]</t>
  </si>
  <si>
    <t>[786014, 786015, 786016, 786020, 786021]</t>
  </si>
  <si>
    <t>[786013, 786014, 786015, 786016, 786020]</t>
  </si>
  <si>
    <t>[0.0, 0.012, 0.01, 0.009, 0.007]</t>
  </si>
  <si>
    <t>53.75057330486526</t>
  </si>
  <si>
    <t>[0.009, 0.024, 0.019, 0.042, 0.013, -0.02, -0.044]</t>
  </si>
  <si>
    <t>LINESTRING (6.544241089269073 58.4604377284596, 6.543190436047393 58.460502752443915, 6.53883616735549 58.46070722083962, 6.533672533447029 58.4612540423233, 6.5329177253556185 58.46151166126682, 6.532441066209648 58.461686855035985, 6.531854152831748 58.4619987332413, 6.531826006156375 58.46201523951265)</t>
  </si>
  <si>
    <t>[1842791, 1842799, 1842807, 1842815, 1842823, 1842832, 1842840]</t>
  </si>
  <si>
    <t>[1614658, 1614663, 1614669, 1614673, 1614675, 1614681, 1248864]</t>
  </si>
  <si>
    <t>0.018488530751474726</t>
  </si>
  <si>
    <t>[786021, 1614658, 1614663, 1614669, 1614673, 1614675, 1614681]</t>
  </si>
  <si>
    <t>[0.009, 0.024, 0.019, 0.042, 0.013, 0.02, 0.044]</t>
  </si>
  <si>
    <t>770.9740113345113</t>
  </si>
  <si>
    <t>41.82309014186819</t>
  </si>
  <si>
    <t>[-0.075, -0.07]</t>
  </si>
  <si>
    <t>LINESTRING (5.334374917637528 59.9679297504035, 5.334396058799599 59.96798827383377, 5.334436306733867 59.96807046753547)</t>
  </si>
  <si>
    <t>[807854, 807862]</t>
  </si>
  <si>
    <t>[786155, 786161]</t>
  </si>
  <si>
    <t>[786154, 786155]</t>
  </si>
  <si>
    <t>[0.075, 0.07]</t>
  </si>
  <si>
    <t>16.106126234131533</t>
  </si>
  <si>
    <t>[-0.242, -0.053, 0.003, -0.073, 0, 0, 0, 0, 0, 0, 0, 0.012]</t>
  </si>
  <si>
    <t>LINESTRING (5.334374917637528 59.9679297504035, 5.333979841956587 59.96796896475446, 5.3339608941819865 59.96797174248188, 5.33360619597444 59.96830110473803, 5.333610340102932 59.96833424174333, 5.333647757325503 59.96842059488127, 5.329636688034772 59.99653127471145, 5.329523542662067 59.9980369590969, 5.397569172026043 60.108641252484475, 5.39816227730218 60.10897946716562, 5.426512318723156 60.14253738459422, 5.426454864840908 60.14548041571574, 5.426459821641673 60.145584505287054)</t>
  </si>
  <si>
    <t>[1997119, 1997127, 1997135, 1997143, 1997151, 1997159, 1997167, 1997175, 1997183, 1997191, 1356821, 1356822]</t>
  </si>
  <si>
    <t>[1752137, 1701107, 1752147, 1752151, 1752157, 1752160, 1752165, 1752169, 1752175, 1255187, 1255188, 1255189]</t>
  </si>
  <si>
    <t>[786154, 1752137, 1701107, 1752147, 1752151, 1752157, 1752160, 1752165, 1752169, 1752175, 1255187, 1255188]</t>
  </si>
  <si>
    <t>[0.242, 0.053, 0.003, 0.073, inf, inf, inf, inf, inf, inf, inf, 0.012]</t>
  </si>
  <si>
    <t>83.89167195702552</t>
  </si>
  <si>
    <t>[0.048, -0.016, -0.046, -0.189, -0.259, -0.213, -0.084, -0.014, -0.007, -0.118, -0.139, -0.136]</t>
  </si>
  <si>
    <t>LINESTRING (5.344161374159318 59.964298458320826, 5.343291465365871 59.96449472724657, 5.342416693538667 59.964779517333454, 5.342263188720006 59.96484181604277, 5.3419347519020155 59.9649855503438, 5.341155774594494 59.9654142833131, 5.34016459265593 59.966126588291864, 5.339493953640707 59.96656903373157, 5.338949356725429 59.96685377086672, 5.336884403236905 59.96757843977227, 5.335096474822098 59.967873959553614, 5.334661687337761 59.967909209494685, 5.334374917637528 59.9679297504035)</t>
  </si>
  <si>
    <t>[808014, 808022, 808030, 808038, 808046, 808054, 808062, 808070, 808085, 808093, 808101, 808117]</t>
  </si>
  <si>
    <t>[786317, 786328, 786336, 786344, 786354, 786361, 786369, 786377, 786393, 786399, 786405, 786154]</t>
  </si>
  <si>
    <t>[786316, 786317, 786328, 786336, 786344, 786354, 786361, 786369, 786377, 786393, 786399, 786405]</t>
  </si>
  <si>
    <t>[0.048, 0.016, 0.046, 0.189, 0.259, 0.213, 0.084, 0.014, 0.007, 0.118, 0.139, 0.136]</t>
  </si>
  <si>
    <t>705.8759191694005</t>
  </si>
  <si>
    <t>[-0.115, -0.089, -0.055]</t>
  </si>
  <si>
    <t>LINESTRING (5.334436306733867 59.96807046753547, 5.334441251675407 59.96808843316598, 5.334462738446307 59.96816725027024, 5.334470709618994 59.968193389488654)</t>
  </si>
  <si>
    <t>[807870, 807878, 807886]</t>
  </si>
  <si>
    <t>[786170, 786174, 786184]</t>
  </si>
  <si>
    <t>[786161, 786170, 786174]</t>
  </si>
  <si>
    <t>[0.115, 0.089, 0.055]</t>
  </si>
  <si>
    <t>13.872993487336196</t>
  </si>
  <si>
    <t>[-0.259, -0.212, -0.086, -0.034, -0.008, -0.112, -0.139, -0.14]</t>
  </si>
  <si>
    <t>LINESTRING (5.342047493253978 59.96503073303525, 5.341236216599905 59.96543286043405, 5.340270429803617 59.96615224252214, 5.339640657716239 59.966634128698814, 5.339163803025953 59.96689872886794, 5.337037439857798 59.96767181664824, 5.335183291723466 59.96799748142264, 5.334733727819485 59.96804444611469, 5.334436306733867 59.96807046753547)</t>
  </si>
  <si>
    <t>[808274, 808287, 808288, 808291, 808293, 808301, 808309, 808317]</t>
  </si>
  <si>
    <t>[786568, 786578, 786579, 786582, 786585, 786591, 786600, 786161]</t>
  </si>
  <si>
    <t>[786495, 786568, 786578, 786579, 786582, 786585, 786591, 786600]</t>
  </si>
  <si>
    <t>[0.259, 0.212, 0.086, 0.034, 0.008, 0.112, 0.139, 0.14]</t>
  </si>
  <si>
    <t>568.0387317400942</t>
  </si>
  <si>
    <t>[-0.098, -0.02]</t>
  </si>
  <si>
    <t>LINESTRING (5.334470709618994 59.968193389488654, 5.3344942116697585 59.96827547581724, 5.334500324812035 59.96829462215061)</t>
  </si>
  <si>
    <t>[807894, 807902]</t>
  </si>
  <si>
    <t>[786192, 786195]</t>
  </si>
  <si>
    <t>[786184, 786192]</t>
  </si>
  <si>
    <t>[0.098, 0.02]</t>
  </si>
  <si>
    <t>11.43533599155323</t>
  </si>
  <si>
    <t>[-0.285, -0.112, -0.082, -0.14, -0.143, -0.136, -0.148, 0.011, 0.051, 0.007, -0.153]</t>
  </si>
  <si>
    <t>LINESTRING (5.342047493253978 59.96503073303525, 5.341949942730111 59.96508118362196, 5.337483295747684 59.96769989049493, 5.335590219619284 59.96805849936365, 5.3354460059905655 59.968181423370154, 5.335401242537276 59.96823916329576, 5.335312469858313 59.96829343325853, 5.334821120798824 59.96833646881626, 5.3347805830135515 59.968305616091264, 5.33473927023952 59.968262677227386, 5.334608323775217 59.968172350292804, 5.334470709618994 59.968193389488654)</t>
  </si>
  <si>
    <t>[808198, 808206, 808214, 807910, 807918, 807926, 807934, 807942, 807950, 807958, 808241]</t>
  </si>
  <si>
    <t>[786496, 688934, 786204, 786205, 786214, 786221, 786230, 786240, 786250, 786258, 786184]</t>
  </si>
  <si>
    <t>[786495, 786496, 688934, 786204, 786205, 786214, 786221, 786230, 786240, 786250, 786258]</t>
  </si>
  <si>
    <t>[0.285, 0.112, 0.082, 0.14, 0.143, 0.136, 0.148, 0.011, 0.051, 0.007, 0.153]</t>
  </si>
  <si>
    <t>601.3857131103339</t>
  </si>
  <si>
    <t>[0.014, -0.022, -0.048, -0.105]</t>
  </si>
  <si>
    <t>LINESTRING (5.344161374159318 59.964298458320826, 5.343347694684799 59.9645494186867, 5.342505284794734 59.96483942133048, 5.342353297121208 59.964897907063275, 5.342047493253978 59.96503073303525)</t>
  </si>
  <si>
    <t>[808249, 808257, 808264, 808266]</t>
  </si>
  <si>
    <t>[786541, 786550, 786560, 786495]</t>
  </si>
  <si>
    <t>[786316, 786541, 786550, 786560]</t>
  </si>
  <si>
    <t>[0.014, 0.022, 0.048, 0.105]</t>
  </si>
  <si>
    <t>144.8074163932972</t>
  </si>
  <si>
    <t>[0.025, 0.024, 0.014, -0.021, -0.087, -0.085, -0.096, -0.113, -0.105, -0.076, -0.035, 0.006, 0.008, 0.012, 0.003, 0.017, 0.057, 0.005, -0.006, -0.003, 0.019, 0.009, -0.013, -0.017, -0.011, 0.01, -0.015, -0.004, 0.015, 0.004, 0.173, -0.008, -0.274, -0.126, -0.027, -0.017, -0.074, -0.07, -0.001, -0.036, -0.081, -0.116, 0.403, 0.023, -0.067, -0.139, 0.0, -0.008, -0.004, -0.019, 0.002, 0.019, 0.019, 0.059, 0.025, 0.062, 0.029, -0.052, -0.004, 0.011, 0.069, 0.015, -0.023, 0.146, -0.03, -0.233, 0.027, 0.052, -0.009, 0.179, -0.023, -0.046, -0.062, -0.062, 0.107, 0.083, 0.092, -0.042, -0.001, -0.048, -0.08, 0.075, 0.081, -0.004, -0.073, 0.103, 0.06, 0.045, 0.002, 0.023, -0.004, -0.185, 0.018, -0.133, 0.032, 0.045, -0.066, -0.018, 0.026, -0.011, 0.022, -0.007, 0.042, 0.208, 0.224, -0.02, 0.006, 0.08, 0.111, 0.081, 0.028, -0.023, -0.001, -0.287, -0.009, 0.061, 0.127, -0.011, -0.128, -0.108, -0.126, 0.011, -0.066, 0.028, 0.038, -0.052, 0.147]</t>
  </si>
  <si>
    <t>3169.0</t>
  </si>
  <si>
    <t>LINESTRING (5.522943843909026 59.83203721859575, 5.523098479275125 59.834097461640816, 5.523138331700175 59.836050851693294, 5.523217424281161 59.84036626004808, 5.524154484049176 59.843926009764566, 5.524291687457851 59.844322619421504, 5.524362705210603 59.84452556604882, 5.524412562627959 59.84466402985789, 5.5244316742266495 59.84471429544296, 5.524449490688498 59.844774276862466, 5.5245553146313915 59.84641075680929, 5.524383294761729 59.84671480379796, 5.523164088577742 59.85287649403384, 5.5231715849164456 59.85340769702244, 5.523161963348023 59.85348181602131, 5.523147059960654 59.85357803746488, 5.5229271124067445 59.85432806309235, 5.522521766392369 59.85539734078938, 5.523695529721869 59.85866415804422, 5.523582469809759 59.860542532401325, 5.523355320527291 59.86102742350631, 5.522997474781447 59.861753923838485, 5.522831243725133 59.86226038062816, 5.522731142930292 59.86297445674514, 5.522721230831072 59.863386370414034, 5.522747486884511 59.864099024679135, 5.522791410579184 59.86513465641853, 5.522815636777578 59.86580077181232, 5.522950425126353 59.868032683610394, 5.523830597293726 59.87234461213544, 5.523684246959478 59.87349720822845, 5.523266538111527 59.87429197571999, 5.5229592787755655 59.87949695410899, 5.523017385423682 59.87960049221297, 5.523219578198937 59.880670578966836, 5.523170586618317 59.881174883098694, 5.523126545424815 59.88142086987338, 5.523037736280393 59.881894074905574, 5.522846582664541 59.88283371641929, 5.522839159742694 59.882869822828766, 5.522199839602923 59.883916420221645, 5.522174799118989 59.883939521119096, 5.520178584950039 59.88536023899197, 5.520005903127204 59.88547677090197, 5.519894442154204 59.88555348879566, 5.51944890296079 59.885922497183984, 5.519074249335191 59.88656734589329, 5.519002155152226 59.88694983136745, 5.518989473285482 59.88703350337059, 5.518981882232468 59.887085320898336, 5.518978146044441 59.88711077285181, 5.518812356656562 59.88781216885942, 5.518256371063324 59.88895431164099, 5.5180573873001 59.88930979096391, 5.516158630176307 59.890507133282426, 5.515224088310191 59.89095875006772, 5.514314240035046 59.89139736288755, 5.512756831504419 59.89331886797407, 5.513220629461743 59.89445659676041, 5.509504960673045 59.898959908078076, 5.507935452589826 59.90047430248408, 5.507874955596979 59.90052919286804, 5.504968558766858 59.903377690533404, 5.502517569467427 59.905686822588976, 5.50135388504673 59.90673298510087, 5.499851818202231 59.90772235414342, 5.4995208068113755 59.907900105601456, 5.494420121201723 59.91043276287763, 5.4916782676172256 59.91148033372476, 5.486429297026119 59.91377982694106, 5.48550747676311 59.914468182036586, 5.484760433176729 59.91542491690781, 5.484511368663453 59.9157831364076, 5.48354327473323 59.91717841435058, 5.481894455211006 59.918986481858575, 5.4788784223828575 59.92015693228731, 5.478825678449986 59.92017553168316, 5.478457452264449 59.92031478636709, 5.476010987933667 59.922386770353825, 5.473951251044501 59.92383671646804, 5.472730109180517 59.924809206148296, 5.472606184520871 59.92491938424132, 5.4700927712382 59.92646445562653, 5.468180124000331 59.927315122291304, 5.461972671524339 59.93001027487333, 5.4618883522567945 59.93004560754075, 5.45811264421951 59.931626882845855, 5.455646931120534 59.93265956985729, 5.455563692607413 59.93269298869085, 5.453073903355797 59.933481627062626, 5.451372665868783 59.933848834725204, 5.449708330826322 59.934206393564104, 5.445759911718812 59.93603419567163, 5.435239119346389 59.9400974731089, 5.4328876217622994 59.94116154915578, 5.425655096600057 59.94291618477065, 5.425018042242025 59.9431090681332, 5.4201327671800845 59.94458509396657, 5.4128153972810615 59.94457242828789, 5.4120490622343045 59.9446151598029, 5.409129815260514 59.94497477591682, 5.405558725384622 59.94524450705207, 5.401806837701739 59.94718264408587, 5.400109050704609 59.947305619630185, 5.398866884482048 59.947397117731576, 5.398600540977802 59.94743827140394, 5.393923371465135 59.95061965860813, 5.391398137980765 59.95199184512476, 5.39024062150174 59.95261245688458, 5.390083065780085 59.95269700679023, 5.389653953415077 59.95292697130223, 5.388313679592041 59.9536628680401, 5.385612431537709 59.95575183705295, 5.385371487615389 59.95593325586337, 5.385121099738746 59.95610367020964, 5.379326561048103 59.95910246740312, 5.378654669646336 59.95928543656363, 5.377867716288142 59.95945279017368, 5.364485013332818 59.96272473941151, 5.364318754782122 59.96273881343686, 5.364248232378582 59.9627444687633, 5.364155151048977 59.96275225992264, 5.360341957965758 59.96261280657623, 5.357160379556849 59.960522367514045, 5.357058275665511 59.96043531363067, 5.346204535338383 59.963553036969316, 5.345616470612075 59.96385277453902, 5.344161374159318 59.964298458320826)</t>
  </si>
  <si>
    <t>[2061248, 2061256, 2061264, 2061272, 2061280, 2061288, 2061296, 2061304, 2061312, 2061320, 2061328, 2061336, 2061344, 2061352, 2061360, 2061368, 2061376, 2061384, 2061392, 2061400, 2061408, 2061416, 2061424, 2061432, 2061440, 2061448, 2061456, 2061464, 2061472, 2061480, 2061488, 2061496, 2061504, 2061512, 2061520, 2061528, 2061536, 2061544, 2061552, 2061568, 2061576, 2061584, 2061592, 2061600, 2061608, 2061616, 2061624, 2061632, 2061640, 2061648, 2061656, 2061664, 2061672, 2018676, 2018684, 2018692, 2018700, 2018708, 2018716, 2018724, 2018735, 2018740, 2018748, 2018756, 1082596, 2061680, 2061688, 2061696, 2061704, 2061712, 1082444, 1082452, 1082460, 1082468, 1082476, 1082484, 1082492, 1082500, 1082508, 1082516, 1082524, 1082532, 1082540, 1082548, 1082556, 1082612, 1082620, 1082628, 1082636, 1082644, 1082652, 1082660, 1082668, 1996983, 1996991, 1996999, 1997007, 2083933, 2083939, 2083941, 2083945, 2083953, 2083954, 2083965, 2083973, 2083984, 2083999, 2084001, 2084007, 2084014, 2084022, 2084030, 2084031, 2084038, 1997015, 1997023, 1997031, 1997039, 1997047, 1997055, 1997063, 1997071, 1997079, 1997087, 1997095, 1997103, 1997111]</t>
  </si>
  <si>
    <t>[1791894, 1665448, 1645425, 1791910, 1791913, 1791918, 318267, 318093, 318218, 1266447, 1665497, 1791951, 1791959, 1791964, 1665528, 1791975, 1791982, 1791988, 1791994, 1792002, 1750152, 1792016, 1792023, 1792031, 1792037, 1792043, 1792052, 1792058, 1792064, 1792070, 1792077, 1792086, 1792094, 1792100, 1792108, 1792114, 1792121, 1792126, 1792134, 1792149, 1792158, 1792165, 1792170, 1626271, 1792182, 1792190, 1792196, 1792203, 1792210, 1792216, 1792219, 1792225, 1645787, 1763915, 1763920, 1763925, 1266393, 1763933, 1749275, 1763941, 1027380, 1763949, 1266358, 1027399, 1027405, 1792237, 1645815, 1645823, 1633560, 1027287, 1027288, 1027294, 1027301, 1027305, 1027311, 1027318, 1027324, 1027329, 1027337, 1027343, 1027350, 1027356, 1027361, 1027367, 1027372, 1027417, 1027421, 1027429, 1027434, 1027440, 1027445, 1027451, 1027458, 1637903, 1752064, 1752070, 1637924, 1606458, 1805982, 1805984, 1805986, 1805991, 1257779, 1805999, 1806004, 1806013, 1806022, 1806023, 1606533, 1635133, 1806037, 1806041, 1806042, 1752079, 1606566, 1634659, 1689537, 1701114, 1752099, 1606680, 1752108, 1752115, 1752119, 1752124, 1752128, 1752131, 786316]</t>
  </si>
  <si>
    <t>0.000626212200638187</t>
  </si>
  <si>
    <t>[1311171, 1791894, 1665448, 1645425, 1791910, 1791913, 1791918, 318267, 318093, 318218, 1266447, 1665497, 1791951, 1791959, 1791964, 1665528, 1791975, 1791982, 1791988, 1791994, 1792002, 1750152, 1792016, 1792023, 1792031, 1792037, 1792043, 1792052, 1792058, 1792064, 1792070, 1792077, 1792086, 1792094, 1792100, 1792108, 1792114, 1792121, 1792126, 1792134, 1792149, 1792158, 1792165, 1792170, 1626271, 1792182, 1792190, 1792196, 1792203, 1792210, 1792216, 1792219, 1792225, 1645787, 1763915, 1763920, 1763925, 1266393, 1763933, 1749275, 1763941, 1027380, 1763949, 1266358, 1027399, 1027405, 1792237, 1645815, 1645823, 1633560, 1027287, 1027288, 1027294, 1027301, 1027305, 1027311, 1027318, 1027324, 1027329, 1027337, 1027343, 1027350, 1027356, 1027361, 1027367, 1027372, 1027417, 1027421, 1027429, 1027434, 1027440, 1027445, 1027451, 1027458, 1637903, 1752064, 1752070, 1637924, 1606458, 1805982, 1805984, 1805986, 1805991, 1257779, 1805999, 1806004, 1806013, 1806022, 1806023, 1606533, 1635133, 1806037, 1806041, 1806042, 1752079, 1606566, 1634659, 1689537, 1701114, 1752099, 1606680, 1752108, 1752115, 1752119, 1752124, 1752128, 1752131]</t>
  </si>
  <si>
    <t>[0.025, 0.024, 0.014, 0.021, 0.087, 0.085, 0.096, 0.113, 0.105, 0.076, 0.035, 0.006, 0.008, 0.012, 0.003, 0.017, 0.057, 0.005, 0.006, 0.003, 0.019, 0.009, 0.013, 0.017, 0.011, 0.01, 0.015, 0.004, 0.015, 0.004, 0.173, 0.008, 0.274, 0.126, 0.027, 0.017, 0.074, 0.07, 0.001, 0.036, 0.081, 0.116, 0.403, 0.023, 0.067, 0.139, 0.0, 0.008, 0.004, 0.019, 0.002, 0.019, 0.019, 0.059, 0.025, 0.062, 0.029, 0.052, 0.004, 0.011, 0.069, 0.015, 0.023, 0.146, 0.03, 0.233, 0.027, 0.052, 0.009, 0.179, 0.023, 0.046, 0.062, 0.062, 0.107, 0.083, 0.092, 0.042, 0.001, 0.048, 0.08, 0.075, 0.081, 0.004, 0.073, 0.103, 0.06, 0.045, 0.002, 0.023, 0.004, 0.185, 0.018, 0.133, 0.032, 0.045, 0.066, 0.018, 0.026, 0.011, 0.022, 0.007, 0.042, 0.208, 0.224, 0.02, 0.006, 0.08, 0.111, 0.081, 0.028, 0.023, 0.001, 0.287, 0.009, 0.061, 0.127, 0.011, 0.128, 0.108, 0.126, 0.011, 0.066, 0.028, 0.038, 0.052, 0.147]</t>
  </si>
  <si>
    <t>20603.359504061485</t>
  </si>
  <si>
    <t>LINESTRING (10.925426116905205 60.87975781664819, 10.925447480967401 60.87979345394178, 10.925497010963047 60.87998192232005)</t>
  </si>
  <si>
    <t>[810503, 810511]</t>
  </si>
  <si>
    <t>[788633, 788639]</t>
  </si>
  <si>
    <t>[788632, 788633]</t>
  </si>
  <si>
    <t>25.314127470874727</t>
  </si>
  <si>
    <t>LINESTRING (10.925426116905205 60.87975781664819, 10.925334020081012 60.879786461276936, 10.925222692282029 60.879797576249565)</t>
  </si>
  <si>
    <t>[1256602, 1256603]</t>
  </si>
  <si>
    <t>[1174731, 788643]</t>
  </si>
  <si>
    <t>[788632, 1174731]</t>
  </si>
  <si>
    <t>12.107917133444417</t>
  </si>
  <si>
    <t>16.552938022754844</t>
  </si>
  <si>
    <t>52.35924301355848</t>
  </si>
  <si>
    <t>[0.017, 0.019]</t>
  </si>
  <si>
    <t>LINESTRING (10.925222692282029 60.879797576249565, 10.925267905450113 60.87983392802502, 10.925497010963047 60.87998192232005)</t>
  </si>
  <si>
    <t>[810519, 810527]</t>
  </si>
  <si>
    <t>[788644, 788639]</t>
  </si>
  <si>
    <t>0.018626954001334288</t>
  </si>
  <si>
    <t>[788643, 788644]</t>
  </si>
  <si>
    <t>25.40024815235299</t>
  </si>
  <si>
    <t>12.608114406366676</t>
  </si>
  <si>
    <t>LINESTRING (10.925860517054945 60.88041703508505, 10.926099281878766 60.88057249521085, 10.926137925494778 60.88061929162334)</t>
  </si>
  <si>
    <t>[810535, 810543]</t>
  </si>
  <si>
    <t>[788661, 788666]</t>
  </si>
  <si>
    <t>[788660, 788661]</t>
  </si>
  <si>
    <t>27.264799555178918</t>
  </si>
  <si>
    <t>LINESTRING (10.925860517054945 60.88041703508505, 10.925916946969396 60.880609272552284, 10.925955923697906 60.88065461374722)</t>
  </si>
  <si>
    <t>[810551, 810559]</t>
  </si>
  <si>
    <t>[788670, 788677]</t>
  </si>
  <si>
    <t>0.01219195936698722</t>
  </si>
  <si>
    <t>[788660, 788670]</t>
  </si>
  <si>
    <t>27.121780439624864</t>
  </si>
  <si>
    <t>10.597570901011654</t>
  </si>
  <si>
    <t>[-0.005, -0.002]</t>
  </si>
  <si>
    <t>LINESTRING (10.925955923697906 60.88065461374722, 10.926039712967686 60.880631533264335, 10.926137925494778 60.88061929162334)</t>
  </si>
  <si>
    <t>[1256716, 1256748]</t>
  </si>
  <si>
    <t>[1174823, 788666]</t>
  </si>
  <si>
    <t>[788677, 1174823]</t>
  </si>
  <si>
    <t>10.734824696850703</t>
  </si>
  <si>
    <t>11.15849940642512</t>
  </si>
  <si>
    <t>[-0.019, -0.008]</t>
  </si>
  <si>
    <t>LINESTRING (10.739386636108962 59.9066887046206, 10.743346951214779 59.90649681421728, 10.743620846832052 59.90650333504138)</t>
  </si>
  <si>
    <t>[2025445, 1928793]</t>
  </si>
  <si>
    <t>[1692487, 1270199]</t>
  </si>
  <si>
    <t>[794410, 1692487]</t>
  </si>
  <si>
    <t>[0.019, 0.008]</t>
  </si>
  <si>
    <t>240.58668314993827</t>
  </si>
  <si>
    <t>745.2459256330619</t>
  </si>
  <si>
    <t>1139.3480425799692</t>
  </si>
  <si>
    <t>[0.002, 0.002, -0.001, 0.001, -0.001]</t>
  </si>
  <si>
    <t>LINESTRING (5.7033405174007505 58.92125692450602, 5.703443765176044 58.921328382875664, 5.704315179487579 58.9219483979392, 5.704352901524805 58.92197543292518, 5.704992380115933 58.922330735734434, 5.705066525021106 58.92235994984749)</t>
  </si>
  <si>
    <t>[818460, 818468, 818476, 818484, 818492]</t>
  </si>
  <si>
    <t>[796401, 796409, 796416, 796423, 796432]</t>
  </si>
  <si>
    <t>0.0014881562784155387</t>
  </si>
  <si>
    <t>[796400, 796401, 796409, 796416, 796423]</t>
  </si>
  <si>
    <t>[0.002, 0.002, 0.001, 0.001, 0.001]</t>
  </si>
  <si>
    <t>159.57784594418658</t>
  </si>
  <si>
    <t>[3.798, -0.016, -0.024, -3.405]</t>
  </si>
  <si>
    <t>LINESTRING (5.7052171618445975 58.922409140615, 5.705185682184731 58.922414838337325, 5.70512337549862 58.92240970734164, 5.705071548748003 58.92237855053364, 5.705066525021106 58.92235994984749)</t>
  </si>
  <si>
    <t>[1262072, 1262073, 1262087, 1262091]</t>
  </si>
  <si>
    <t>[366480, 1179244, 1179261, 796432]</t>
  </si>
  <si>
    <t>0.00042445691890926295</t>
  </si>
  <si>
    <t>[796518, 366480, 1179244, 1179261]</t>
  </si>
  <si>
    <t>[3.798, 0.016, 0.024, 3.405]</t>
  </si>
  <si>
    <t>12.263653445743536</t>
  </si>
  <si>
    <t>12.372798784051184</t>
  </si>
  <si>
    <t>[0.07, 0.03]</t>
  </si>
  <si>
    <t>LINESTRING (10.391544402653434 63.39739109002241, 10.39168632936766 63.39743384873083, 10.391724434602509 63.39747987043901)</t>
  </si>
  <si>
    <t>[821238, 821246]</t>
  </si>
  <si>
    <t>[799099, 799009]</t>
  </si>
  <si>
    <t>0.054386013382336416</t>
  </si>
  <si>
    <t>[799090, 799099]</t>
  </si>
  <si>
    <t>14.02193113931854</t>
  </si>
  <si>
    <t>[-0.057, -0.07]</t>
  </si>
  <si>
    <t>LINESTRING (10.391641352534434 63.39758055110212, 10.391548762750123 63.39760176590392, 10.391406341918616 63.39760100278647)</t>
  </si>
  <si>
    <t>[821188, 821198]</t>
  </si>
  <si>
    <t>[799057, 799063]</t>
  </si>
  <si>
    <t>[799053, 799057]</t>
  </si>
  <si>
    <t>[0.057, 0.07]</t>
  </si>
  <si>
    <t>12.319147743856611</t>
  </si>
  <si>
    <t>[0.021, 0.006]</t>
  </si>
  <si>
    <t>LINESTRING (10.391641352534434 63.39758055110212, 10.391663559807752 63.39763340569347, 10.391652371517308 63.397734206646895)</t>
  </si>
  <si>
    <t>[2020518, 2020526]</t>
  </si>
  <si>
    <t>[1765160, 1765105]</t>
  </si>
  <si>
    <t>0.011214696460091156</t>
  </si>
  <si>
    <t>[799053, 1765160]</t>
  </si>
  <si>
    <t>17.24950696066766</t>
  </si>
  <si>
    <t>[-0.062, -0.021, 0.019, 0.066]</t>
  </si>
  <si>
    <t>LINESTRING (10.391406341918616 63.39760100278647, 10.391266892376496 63.39754782094963, 10.39124539949574 63.39747642940822, 10.391313008753619 63.39741861838584, 10.391544402653434 63.39739109002241)</t>
  </si>
  <si>
    <t>[821206, 821214, 821222, 821230]</t>
  </si>
  <si>
    <t>[799046, 799074, 799033, 799090]</t>
  </si>
  <si>
    <t>0.005939096541140445</t>
  </si>
  <si>
    <t>[799063, 799046, 799074, 799033]</t>
  </si>
  <si>
    <t>[0.062, 0.021, 0.019, 0.066]</t>
  </si>
  <si>
    <t>36.835277273162696</t>
  </si>
  <si>
    <t>[0.05, 0.053]</t>
  </si>
  <si>
    <t>LINESTRING (10.391406341918616 63.39760100278647, 10.391503417771675 63.39765655581074, 10.391652371517308 63.397734206646895)</t>
  </si>
  <si>
    <t>[2020534, 2020543]</t>
  </si>
  <si>
    <t>[1765169, 1765105]</t>
  </si>
  <si>
    <t>0.051776143435750134</t>
  </si>
  <si>
    <t>[799063, 1765169]</t>
  </si>
  <si>
    <t>19.288694284870306</t>
  </si>
  <si>
    <t>[-0.038, -0.057, -0.06, -0.056, -0.036, -0.017, 0.018]</t>
  </si>
  <si>
    <t>LINESTRING (10.392137070068365 63.39818221576324, 10.392002164389114 63.3982454779771, 10.391917630704802 63.398252368003824, 10.391807444845817 63.398239185665844, 10.391741653977553 63.39821430926492, 10.39170098674764 63.39818035328781, 10.391691094009378 63.39814208640638, 10.391764213933406 63.398073950323344)</t>
  </si>
  <si>
    <t>[2020366, 2020374, 2020382, 2020390, 2020398, 2020406, 2020414]</t>
  </si>
  <si>
    <t>[1765056, 1765062, 1765069, 1765073, 1765080, 1765084, 1765050]</t>
  </si>
  <si>
    <t>[799189, 1765056, 1765062, 1765069, 1765073, 1765080, 1765084]</t>
  </si>
  <si>
    <t>[0.038, 0.057, 0.06, 0.056, 0.036, 0.017, 0.018]</t>
  </si>
  <si>
    <t>41.31754737016034</t>
  </si>
  <si>
    <t>15.534347630127382</t>
  </si>
  <si>
    <t>[-0.003, -0.005, -0.003]</t>
  </si>
  <si>
    <t>LINESTRING (10.364532870187006 59.41953540609286, 10.364609299031827 59.41998244284004, 10.36576059459633 59.42211853935501, 10.365844369364156 59.422117830994026)</t>
  </si>
  <si>
    <t>[839108, 921309, 921317]</t>
  </si>
  <si>
    <t>[815422, 892299, 876208]</t>
  </si>
  <si>
    <t>[815421, 815422, 892299]</t>
  </si>
  <si>
    <t>[0.003, 0.005, 0.003]</t>
  </si>
  <si>
    <t>324.14666080139466</t>
  </si>
  <si>
    <t>[-0.006, -0.006, 0.0, -0.005, -0.015, -0.014, -0.004, -0.004, 0.003, 0.03, -0.01, -0.098, -0.01, 0.153, 0.131, 0.132, 0.122, 0.108, -0.02, -0.096, -0.095, -0.062]</t>
  </si>
  <si>
    <t>[0, 0, 0, 0, 0, 1, 0, 1, 0, 0, 0, 0, 0, 0, 0, 0, 0, 0, 0, 0, 0, 0]</t>
  </si>
  <si>
    <t>LINESTRING (10.364532870187006 59.41953540609286, 10.364500132875913 59.41858371599143, 10.364453898600255 59.417244035612136, 10.364453574139807 59.41723506575563, 10.364298306756234 59.41295769357289, 10.364152198584398 59.408776911190856, 10.364151058339692 59.40874439221102, 10.365656301842407 59.40176706711431, 10.365886231780317 59.401400032652425, 10.365985906671172 59.40124896689769, 10.368498509096664 59.39771153385431, 10.373592810528026 59.3902306904221, 10.373948071069169 59.389523788911454, 10.37400883167506 59.38939438845402, 10.374426495923124 59.38842511909984, 10.374471539713415 59.38829780455391, 10.374621729826181 59.38788483493484, 10.374687417217963 59.38769087771084, 10.374734770820796 59.387549596149164, 10.375428720621002 59.38296271602454, 10.375428563632394 59.382884406598635, 10.37542448034431 59.38274611005513, 10.375450017698064 59.37912980334002)</t>
  </si>
  <si>
    <t>[1618803, 1618811, 1618819, 1618827, 1618835, 1618843, 839197, 839206, 839228, 839246, 839319, 839327, 839341, 839348, 839349, 839358, 839362, 839384, 839385, 839386, 840062, 840064]</t>
  </si>
  <si>
    <t>[1450569, 1450572, 1450579, 1450583, 1450585, 815514, 815515, 815525, 815545, 815558, 815628, 815634, 815650, 815656, 815657, 815665, 815668, 815691, 815692, 815693, 816354, 815991]</t>
  </si>
  <si>
    <t>[815421, 1450569, 1450572, 1450579, 1450583, 1450585, 815514, 815515, 815525, 815545, 815558, 815628, 815634, 815650, 815656, 815657, 815665, 815668, 815691, 815692, 815693, 816354]</t>
  </si>
  <si>
    <t>[0.006, 0.006, 0.0, 0.005, 0.015, 0.014, 0.004, 0.004, 0.003, 0.03, 0.01, 0.098, 0.01, 0.153, 0.131, 0.132, 0.122, 0.108, 0.02, 0.096, 0.095, 0.062]</t>
  </si>
  <si>
    <t>4598.77201715824</t>
  </si>
  <si>
    <t>[0.019, 0.019, -0.01, -0.01, -0.01, -0.01, 0.003]</t>
  </si>
  <si>
    <t>LINESTRING (10.36466589137166 59.4274290264881, 10.36470875235895 59.426637012273495, 10.364721839489052 59.425010654533544, 10.364723558999613 59.424959448271444, 10.364658216429484 59.423065625744655, 10.364653323328744 59.42294672711092, 10.364643705353254 59.422643277530376, 10.364532870187006 59.41953540609286)</t>
  </si>
  <si>
    <t>[970085, 970093, 970094, 970101, 970116, 970124, 1618795]</t>
  </si>
  <si>
    <t>[0, 0, 1, 0, 1, 0, 0]</t>
  </si>
  <si>
    <t>[933306, 933311, 933312, 933322, 933338, 933347, 815421]</t>
  </si>
  <si>
    <t>0.004002979684415079</t>
  </si>
  <si>
    <t>[933302, 933306, 933311, 933312, 933322, 933338, 933347]</t>
  </si>
  <si>
    <t>[0.019, 0.019, 0.01, 0.01, 0.01, 0.01, 0.003]</t>
  </si>
  <si>
    <t>879.894808609959</t>
  </si>
  <si>
    <t>[-0.005, -0.005, -0.008, -0.016, -0.011, -0.003, -0.03, -0.0, 0.029, -0.006, -0.133, 0.062, 0.149, 0.148, 0.135, 0.124, -0.017, -0.102, -0.103, -0.064, -0.008]</t>
  </si>
  <si>
    <t>27573.0</t>
  </si>
  <si>
    <t>[0, 0, 0, 0, 1, 0, 1, 0, 0, 0, 0, 0, 0, 0, 0, 0, 0, 0, 0, 0, 0]</t>
  </si>
  <si>
    <t>LINESTRING (10.364220093319974 59.41858540071819, 10.364173922384976 59.41724598307047, 10.364173596772781 59.41723702216486, 10.364016516457285 59.412960519724756, 10.363870264675448 59.40877408269008, 10.36386913613071 59.408741609089354, 10.365388260373006 59.40172489010494, 10.365619892763288 59.40135471465886, 10.365688889211617 59.401248419485235, 10.368173462317504 59.397652431322435, 10.373221524688391 59.390177772375985, 10.373631453301615 59.389349349780005, 10.373800796078296 59.388973919618, 10.374031151584802 59.38839977918665, 10.374239819931438 59.38784960232139, 10.374307659657688 59.387651647301816, 10.374352416995857 59.387514671806265, 10.375050335047714 59.382962777173134, 10.375050787053228 59.38286967584071, 10.375051389855521 59.38274653010136, 10.375171058012441 59.379118491783515, 10.375356937274749 59.37820215898673)</t>
  </si>
  <si>
    <t>[1618755, 1618763, 1618771, 1618779, 1618787, 839174, 839178, 839193, 839194, 839254, 839260, 839268, 839276, 839284, 839294, 839295, 839303, 839311, 839986, 839987, 840003]</t>
  </si>
  <si>
    <t>[1450547, 1450550, 1450554, 1450560, 815491, 815492, 815495, 815510, 815511, 815562, 815570, 815580, 815586, 815592, 815603, 815604, 815614, 815622, 816285, 816286, 815860]</t>
  </si>
  <si>
    <t>[815426, 1450547, 1450550, 1450554, 1450560, 815491, 815492, 815495, 815510, 815511, 815562, 815570, 815580, 815586, 815592, 815603, 815604, 815614, 815622, 816285, 816286]</t>
  </si>
  <si>
    <t>[0.005, 0.005, 0.008, 0.016, 0.011, 0.003, 0.03, 0.0, 0.029, 0.006, 0.133, 0.062, 0.149, 0.148, 0.135, 0.124, 0.017, 0.102, 0.103, 0.064, 0.008]</t>
  </si>
  <si>
    <t>4594.723782949082</t>
  </si>
  <si>
    <t>[-0.025, -0.024, -0.011, 0.006, -0.005]</t>
  </si>
  <si>
    <t>LINESTRING (10.363305195332021 59.42272517536024, 10.36335702175657 59.42268610439053, 10.363417825384369 59.42263394232992, 10.363756212557165 59.42212496073978, 10.364176179266167 59.41903432642206, 10.364220093319974 59.41858540071819)</t>
  </si>
  <si>
    <t>[921333, 921341, 921349, 921357, 839113]</t>
  </si>
  <si>
    <t>[892318, 892325, 892331, 815425, 815426]</t>
  </si>
  <si>
    <t>0.0018820244859330836</t>
  </si>
  <si>
    <t>[876111, 892318, 892325, 892331, 815425]</t>
  </si>
  <si>
    <t>[0.025, 0.024, 0.011, 0.006, 0.005]</t>
  </si>
  <si>
    <t>470.0169290459337</t>
  </si>
  <si>
    <t>[0.028, -0.011, -0.011, -0.011, -0.011, 0.002, -0.005]</t>
  </si>
  <si>
    <t>LINESTRING (10.364428885980814 59.42663359640011, 10.364441072778076 59.42501146064715, 10.364440668266207 59.42496287710988, 10.364374608973161 59.42303574971216, 10.364371595950399 59.42291601849673, 10.364361324449648 59.42264312616792, 10.36425353633724 59.41953664847634, 10.364220093319974 59.41858540071819)</t>
  </si>
  <si>
    <t>[1243382, 1243414, 1243422, 1243423, 1243425, 1618739, 1618747]</t>
  </si>
  <si>
    <t>[1163571, 1163602, 1163609, 1163610, 1163612, 1450542, 815426]</t>
  </si>
  <si>
    <t>0.0025867776987478623</t>
  </si>
  <si>
    <t>[1149433, 1163571, 1163602, 1163609, 1163610, 1163612, 1450542]</t>
  </si>
  <si>
    <t>[0.028, 0.011, 0.011, 0.011, 0.011, 0.002, 0.005]</t>
  </si>
  <si>
    <t>897.1015025798689</t>
  </si>
  <si>
    <t>[-0.033, -0.008, -0.006, -0.034, -0.023, -0.032]</t>
  </si>
  <si>
    <t>LINESTRING (10.375356937274749 59.37820215898673, 10.375389749344292 59.37775361233804, 10.375421992464547 59.37764646692116, 10.37543270766292 59.3776157274407, 10.376526621473225 59.37501021857721, 10.376539550482251 59.37498778738866, 10.376564231935882 59.37494496089465)</t>
  </si>
  <si>
    <t>[839544, 839551, 839552, 839553, 839558, 839559]</t>
  </si>
  <si>
    <t>[815861, 815865, 815866, 815867, 815868, 815869]</t>
  </si>
  <si>
    <t>[815860, 815861, 815865, 815866, 815867, 815868]</t>
  </si>
  <si>
    <t>[0.033, 0.008, 0.006, 0.034, 0.023, 0.032]</t>
  </si>
  <si>
    <t>373.8448322690962</t>
  </si>
  <si>
    <t>[-0.009, -0.011, -0.038, -0.001, 0.027, 0.005]</t>
  </si>
  <si>
    <t>LINESTRING (10.375356937274749 59.37820215898673, 10.37552376265941 59.377626606732555, 10.375533249854579 59.37759582362894, 10.376561893131104 59.375330460757255, 10.37715471123565 59.374382383094144, 10.379342650168748 59.37144810601564, 10.379751705579904 59.37092788186498)</t>
  </si>
  <si>
    <t>[840011, 840023, 840031, 840039, 840047, 840055]</t>
  </si>
  <si>
    <t>[816305, 816313, 816322, 816329, 816338, 815881]</t>
  </si>
  <si>
    <t>[815860, 816305, 816313, 816322, 816329, 816338]</t>
  </si>
  <si>
    <t>[0.009, 0.011, 0.038, 0.001, 0.027, 0.005]</t>
  </si>
  <si>
    <t>850.9633335291633</t>
  </si>
  <si>
    <t>[-0.039, -0.027, 0.0, 0.061]</t>
  </si>
  <si>
    <t>LINESTRING (10.376564231935882 59.37494496089465, 10.376542893872582 59.37488430150836, 10.376557531612631 59.37481961311726, 10.376636145778399 59.37473426137413, 10.37677665181508 59.374675841600194)</t>
  </si>
  <si>
    <t>[840140, 840159, 840161, 840169]</t>
  </si>
  <si>
    <t>[816414, 816431, 816433, 815870]</t>
  </si>
  <si>
    <t>0.004720367724028054</t>
  </si>
  <si>
    <t>[815869, 816414, 816431, 816433]</t>
  </si>
  <si>
    <t>[0.039, 0.027, 0.0, 0.061]</t>
  </si>
  <si>
    <t>34.94498218359851</t>
  </si>
  <si>
    <t>[-0.093, -0.085, -0.099, -0.068]</t>
  </si>
  <si>
    <t>LINESTRING (10.377470135676298 59.37511707885464, 10.377084656797509 59.37512236953488, 10.377025309985859 59.375113471566976, 10.376642149786099 59.37501464504495, 10.376564231935882 59.37494496089465)</t>
  </si>
  <si>
    <t>[840269, 840288, 840296, 840297]</t>
  </si>
  <si>
    <t>[816531, 816546, 816555, 815869]</t>
  </si>
  <si>
    <t>[815956, 816531, 816546, 816555]</t>
  </si>
  <si>
    <t>[0.093, 0.085, 0.099, 0.068]</t>
  </si>
  <si>
    <t>59.757104449193584</t>
  </si>
  <si>
    <t>[-0.025, 0.017, 0.026, 0.012]</t>
  </si>
  <si>
    <t>LINESTRING (10.37677665181508 59.374675841600194, 10.376794202220463 59.374631925378786, 10.376798862857754 59.37462023648014, 10.37934021862179 59.37132485284472, 10.379751705579904 59.37092788186498)</t>
  </si>
  <si>
    <t>[839560, 839570, 839582, 839583]</t>
  </si>
  <si>
    <t>[815871, 815874, 815880, 815881]</t>
  </si>
  <si>
    <t>0.02387335470383139</t>
  </si>
  <si>
    <t>[815870, 815871, 815874, 815880]</t>
  </si>
  <si>
    <t>[0.025, 0.017, 0.026, 0.012]</t>
  </si>
  <si>
    <t>454.92246808220693</t>
  </si>
  <si>
    <t>[0.075, 0.105, 0.089]</t>
  </si>
  <si>
    <t>LINESTRING (10.37677665181508 59.374675841600194, 10.37686341920317 59.37465994493555, 10.377350447045297 59.374695766679636, 10.37769191992618 59.37484141011002)</t>
  </si>
  <si>
    <t>[840177, 840194, 840202]</t>
  </si>
  <si>
    <t>[816447, 816462, 815954]</t>
  </si>
  <si>
    <t>0.09536878030425182</t>
  </si>
  <si>
    <t>[815870, 816447, 816462]</t>
  </si>
  <si>
    <t>59.844609767445995</t>
  </si>
  <si>
    <t>[-0.013, 0.019, 0.033, 0.023, 0.016, 0.022, -0.017, 0.036, -0.016, -0.015, -0.066, -0.036, -0.012, -0.01, -0.005, 0.001, 0.009, 0.03, 0.001, 0.028, 0.034, 0.051]</t>
  </si>
  <si>
    <t>[0, 1, 0, 0, 0, 1, 0, 0, 0, 0, 0, 0, 0, 1, 0, 1, 0, 0, 0, 1, 1, 0]</t>
  </si>
  <si>
    <t>LINESTRING (10.379751705579904 59.37092788186498, 10.381860164579155 59.36803280814925, 10.382064203103566 59.367702943676875, 10.383277662081797 59.36507605727415, 10.383425398617588 59.3645447030806, 10.383709373616263 59.36263424322411, 10.383717797542717 59.36249854969781, 10.383293948382107 59.35880614724828, 10.383281508756305 59.35875515857112, 10.381857086362224 59.353409730525264, 10.379717800682293 59.345111362275325, 10.37960696536925 59.344316509769094, 10.379638896965812 59.34174307130317, 10.379294229859877 59.33649072548044, 10.379213234217387 59.33621784161178, 10.37841082217971 59.33143552012088, 10.378433724374162 59.33115985064533, 10.378645408277123 59.326217297597914, 10.37862553419982 59.32608653465057, 10.375929115237708 59.32020586085866, 10.375567722661456 59.31975767947695, 10.375027792913963 59.319135602458175, 10.373208630884669 59.31734246402615)</t>
  </si>
  <si>
    <t>[840056, 840603, 840607, 840615, 840623, 840630, 840638, 840645, 840653, 840729, 840737, 840745, 840760, 840768, 840831, 840835, 840838, 840844, 840860, 840861, 840873, 840930]</t>
  </si>
  <si>
    <t>[816346, 816829, 816833, 816837, 816843, 816848, 816855, 816861, 816866, 816937, 816944, 816949, 816962, 816970, 817037, 817042, 817046, 817054, 817071, 817072, 817081, 815995]</t>
  </si>
  <si>
    <t>[815881, 816346, 816829, 816833, 816837, 816843, 816848, 816855, 816861, 816866, 816937, 816944, 816949, 816962, 816970, 817037, 817042, 817046, 817054, 817071, 817072, 817081]</t>
  </si>
  <si>
    <t>[0.013, 0.019, 0.033, 0.023, 0.016, 0.022, 0.017, 0.036, 0.016, 0.015, 0.066, 0.036, 0.012, 0.01, 0.005, 0.001, 0.009, 0.03, 0.001, 0.028, 0.034, 0.051]</t>
  </si>
  <si>
    <t>6081.749918756634</t>
  </si>
  <si>
    <t>[-0.005, -0.019, 0.023, 0.021]</t>
  </si>
  <si>
    <t>LINESTRING (10.37960237576795 59.37150001087861, 10.379367739078726 59.3719324898499, 10.377694910206937 59.37474656419319, 10.377693337857506 59.374796363384164, 10.37769191992618 59.37484141011002)</t>
  </si>
  <si>
    <t>[839606, 839643, 839651, 839652]</t>
  </si>
  <si>
    <t>[815902, 815946, 815953, 815954]</t>
  </si>
  <si>
    <t>[815901, 815902, 815946, 815953]</t>
  </si>
  <si>
    <t>[0.005, 0.019, 0.023, 0.021]</t>
  </si>
  <si>
    <t>390.40888163288884</t>
  </si>
  <si>
    <t>[-0.001, -0.013, -0.004, 0.028, 0.022, 0.023, 0.029, -0.008, 0.031, -0.017, -0.014, -0.063, -0.034, -0.017, -0.031, -0.007, 0.001, 0.011, 0.043, -0.0, 0.026, 0.032, 0.052]</t>
  </si>
  <si>
    <t>32260.0</t>
  </si>
  <si>
    <t>[0, 0, 1, 0, 0, 0, 1, 0, 0, 0, 0, 0, 0, 0, 1, 0, 1, 0, 0, 0, 1, 1, 0]</t>
  </si>
  <si>
    <t>LINESTRING (10.37960237576795 59.37150001087861, 10.380010486179826 59.37097984239538, 10.382127315579845 59.36807673322641, 10.382332253015136 59.36774672039238, 10.383555733372571 59.36509914092368, 10.383703911639083 59.36456321513781, 10.383959958256055 59.363043012169825, 10.38397315724101 59.36290200153151, 10.383574814895587 59.358787598106055, 10.383562374852058 59.35873660945048, 10.382201976021845 59.353386351861396, 10.380071787412106 59.345092991188615, 10.37993570977888 59.34432543980088, 10.379918921884594 59.341742105083064, 10.379572173492003 59.33646902732176, 10.379491012629456 59.336196047866004, 10.378692257867462 59.331442190775206, 10.378714004629837 59.331165940600464, 10.378913293836737 59.326113667593326, 10.378892419355102 59.32599672030586, 10.376189166367485 59.320153046218515, 10.375825348747016 59.319702234022714, 10.375282373606414 59.31907638919708, 10.373450414557288 59.3172711966706)</t>
  </si>
  <si>
    <t>[840118, 840125, 840661, 840668, 840683, 840695, 840703, 840711, 840717, 840721, 840776, 840784, 840792, 840800, 840808, 840876, 840877, 840884, 840892, 840906, 840914, 840922, 841040]</t>
  </si>
  <si>
    <t>[816396, 816402, 816875, 816883, 816893, 816904, 816912, 816920, 816925, 816928, 816979, 816987, 816995, 817002, 817011, 817084, 817085, 817094, 817100, 817111, 817117, 817123, 816243]</t>
  </si>
  <si>
    <t>[815901, 816396, 816402, 816875, 816883, 816893, 816904, 816912, 816920, 816925, 816928, 816979, 816987, 816995, 817002, 817011, 817084, 817085, 817094, 817100, 817111, 817117, 817123]</t>
  </si>
  <si>
    <t>[0.001, 0.013, 0.004, 0.028, 0.022, 0.023, 0.029, 0.008, 0.031, 0.017, 0.014, 0.063, 0.034, 0.017, 0.031, 0.007, 0.001, 0.011, 0.043, 0.0, 0.026, 0.032, 0.052]</t>
  </si>
  <si>
    <t>6158.16374399462</t>
  </si>
  <si>
    <t>[-0.011, -0.02, -0.026, -0.048, 0.002, 0.026]</t>
  </si>
  <si>
    <t>LINESTRING (10.375450017698064 59.37912980334002, 10.375644692044983 59.37819235841523, 10.37582917022375 59.37756630961042, 10.375839534196592 59.37753555763115, 10.37683100196655 59.3753720366126, 10.37741726859221 59.374429301687115, 10.37960237576795 59.37150001087861)</t>
  </si>
  <si>
    <t>[840071, 840079, 840080, 840088, 840096, 840117]</t>
  </si>
  <si>
    <t>[816361, 816371, 816372, 816379, 816386, 815901]</t>
  </si>
  <si>
    <t>[815991, 816361, 816371, 816372, 816379, 816386]</t>
  </si>
  <si>
    <t>[0.011, 0.02, 0.026, 0.048, 0.002, 0.026]</t>
  </si>
  <si>
    <t>886.467761193768</t>
  </si>
  <si>
    <t>[0.044, 0.021, 0.003, -0.03, -0.061]</t>
  </si>
  <si>
    <t>LINESTRING (10.37769191992618 59.37484141011002, 10.37771227628954 59.37488950544528, 10.377712522720106 59.37493372083279, 10.377691117752345 59.37498290583411, 10.377569447855215 59.37508156997418, 10.377470135676298 59.37511707885464)</t>
  </si>
  <si>
    <t>[840203, 840218, 840226, 840240, 840241]</t>
  </si>
  <si>
    <t>[816469, 816482, 816490, 816505, 815956]</t>
  </si>
  <si>
    <t>[815954, 816469, 816482, 816490, 816505]</t>
  </si>
  <si>
    <t>[0.044, 0.021, 0.003, 0.03, 0.061]</t>
  </si>
  <si>
    <t>35.91618172908566</t>
  </si>
  <si>
    <t>[-0.036, -0.031, 0.022, 0.046, 0.03, 0.019, -0.018]</t>
  </si>
  <si>
    <t>LINESTRING (10.377470135676298 59.37511707885464, 10.377420600460187 59.37515411219747, 10.37738201689836 59.37518295387713, 10.376946790767343 59.37587090305699, 10.37594043896282 59.37751557645043, 10.375929675421943 59.37754667401419, 10.375623677216469 59.378688957552946, 10.375450017698064 59.37912980334002)</t>
  </si>
  <si>
    <t>[839658, 839659, 839665, 839672, 839679, 839687, 839695]</t>
  </si>
  <si>
    <t>[815957, 815958, 815963, 815969, 815977, 815984, 815991]</t>
  </si>
  <si>
    <t>0.025821302069762277</t>
  </si>
  <si>
    <t>[815956, 815957, 815958, 815963, 815969, 815977, 815984]</t>
  </si>
  <si>
    <t>[0.036, 0.031, 0.022, 0.046, 0.03, 0.019, 0.018]</t>
  </si>
  <si>
    <t>465.6551263827553</t>
  </si>
  <si>
    <t>[0.049, 0.045, 0.019, -0.003, 0.024]</t>
  </si>
  <si>
    <t>LINESTRING (10.373208630884669 59.31734246402615, 10.372691104067144 59.31697974919138, 10.372341566821623 59.31667542876375, 10.369728204588295 59.31449662620514, 10.36654736140095 59.3131332964763, 10.36640167670421 59.31309610352762)</t>
  </si>
  <si>
    <t>[839698, 839699, 839707, 839733, 839757]</t>
  </si>
  <si>
    <t>[815996, 815997, 816005, 816032, 816055]</t>
  </si>
  <si>
    <t>0.01466333372977961</t>
  </si>
  <si>
    <t>[815995, 815996, 815997, 816005, 816032]</t>
  </si>
  <si>
    <t>[0.049, 0.045, 0.019, 0.003, 0.024]</t>
  </si>
  <si>
    <t>623.1407679698458</t>
  </si>
  <si>
    <t>[0.05, 0.018, -0.002, 0.03, -0.013, 0.008, 0.105]</t>
  </si>
  <si>
    <t>LINESTRING (10.373208630884669 59.31734246402615, 10.37242269826192 59.31665216039338, 10.369807094808584 59.31447067139335, 10.367578380767583 59.31260115680249, 10.36747863384889 59.312515934884225, 10.364035288085603 59.309283747921306, 10.363596318840065 59.308824090127956, 10.363594661394938 59.3088223131066)</t>
  </si>
  <si>
    <t>[840965, 840981, 840996, 841004, 841005, 841010, 841017]</t>
  </si>
  <si>
    <t>[817161, 817171, 817189, 817198, 817199, 817204, 816210]</t>
  </si>
  <si>
    <t>0.004169845513513744</t>
  </si>
  <si>
    <t>[815995, 817161, 817171, 817189, 817198, 817199, 817204]</t>
  </si>
  <si>
    <t>[0.05, 0.018, 0.002, 0.03, 0.013, 0.008, 0.105]</t>
  </si>
  <si>
    <t>1096.7707708147248</t>
  </si>
  <si>
    <t>[0.034, 0.051, 0.072, 0.033]</t>
  </si>
  <si>
    <t>LINESTRING (10.36640167670421 59.31309610352762, 10.366166467083076 59.313027639914786, 10.366145442863855 59.313007642845974, 10.366133050135467 59.3129849852304, 10.366265255726294 59.31283211569124)</t>
  </si>
  <si>
    <t>[841408, 841416, 841424, 841450]</t>
  </si>
  <si>
    <t>[817590, 817599, 817605, 816056]</t>
  </si>
  <si>
    <t>0.03702432095640186</t>
  </si>
  <si>
    <t>[816055, 817590, 817599, 817605]</t>
  </si>
  <si>
    <t>40.688368598011024</t>
  </si>
  <si>
    <t>24.130255066546134</t>
  </si>
  <si>
    <t>15.779023696212178</t>
  </si>
  <si>
    <t>[0.035, -0.016, 0.004]</t>
  </si>
  <si>
    <t>LINESTRING (10.366265255726294 59.31283211569124, 10.36628932500236 59.31278900010455, 10.363886570388686 59.309246101774015, 10.363594661394938 59.3088223131066)</t>
  </si>
  <si>
    <t>[839758, 839771, 839917]</t>
  </si>
  <si>
    <t>[816057, 816071, 816210]</t>
  </si>
  <si>
    <t>[816056, 816057, 816071]</t>
  </si>
  <si>
    <t>[0.035, 0.016, 0.004]</t>
  </si>
  <si>
    <t>480.838200020025</t>
  </si>
  <si>
    <t>[-0.043, -0.028]</t>
  </si>
  <si>
    <t>LINESTRING (10.368048099918417 59.31237531263696, 10.368529174544326 59.31212960717192, 10.368595749049975 59.3120789658671)</t>
  </si>
  <si>
    <t>[839779, 839789]</t>
  </si>
  <si>
    <t>[816079, 816086]</t>
  </si>
  <si>
    <t>[816078, 816079]</t>
  </si>
  <si>
    <t>[0.043, 0.028]</t>
  </si>
  <si>
    <t>45.546703247945054</t>
  </si>
  <si>
    <t>[-0.037, -0.019]</t>
  </si>
  <si>
    <t>LINESTRING (10.368048099918417 59.31237531263696, 10.368657070767144 59.31222761338333, 10.368746933079372 59.31221096346729)</t>
  </si>
  <si>
    <t>[839799, 839801]</t>
  </si>
  <si>
    <t>[816094, 816096]</t>
  </si>
  <si>
    <t>[816078, 816094]</t>
  </si>
  <si>
    <t>[0.037, 0.019]</t>
  </si>
  <si>
    <t>44.086999932985705</t>
  </si>
  <si>
    <t>58.71268913939689</t>
  </si>
  <si>
    <t>15.704738333160307</t>
  </si>
  <si>
    <t>[-0.014, -0.024]</t>
  </si>
  <si>
    <t>LINESTRING (10.368746933079372 59.31221096346729, 10.3686430023969 59.31216417909008, 10.368595749049975 59.3120789658671)</t>
  </si>
  <si>
    <t>[841210, 841218]</t>
  </si>
  <si>
    <t>[817402, 816086]</t>
  </si>
  <si>
    <t>[816096, 817402]</t>
  </si>
  <si>
    <t>[0.014, 0.024]</t>
  </si>
  <si>
    <t>17.761687570930214</t>
  </si>
  <si>
    <t>LINESTRING (10.366533312311606 59.31282997482875, 10.366632043894635 59.31281629567524, 10.367203266903402 59.31267691779639)</t>
  </si>
  <si>
    <t>[839809, 839810]</t>
  </si>
  <si>
    <t>[816105, 816093]</t>
  </si>
  <si>
    <t>[816104, 816105]</t>
  </si>
  <si>
    <t>42.07167482403439</t>
  </si>
  <si>
    <t>[0.017, -0.001]</t>
  </si>
  <si>
    <t>LINESTRING (10.366680206149852 59.31295972638973, 10.366754801598946 59.312914678377886, 10.367203266903402 59.31267691779639)</t>
  </si>
  <si>
    <t>[839820, 839843]</t>
  </si>
  <si>
    <t>[816118, 816093]</t>
  </si>
  <si>
    <t>0.0017288801560514091</t>
  </si>
  <si>
    <t>[816117, 816118]</t>
  </si>
  <si>
    <t>[0.017, 0.001]</t>
  </si>
  <si>
    <t>43.39033633469315</t>
  </si>
  <si>
    <t>17.049982538537677</t>
  </si>
  <si>
    <t>[-0.047, -0.039]</t>
  </si>
  <si>
    <t>LINESTRING (10.366533312311606 59.31282997482875, 10.36663515750081 59.31287785586587, 10.366680206149852 59.31295972638973)</t>
  </si>
  <si>
    <t>[841473, 841481]</t>
  </si>
  <si>
    <t>[817650, 816117]</t>
  </si>
  <si>
    <t>[816104, 817650]</t>
  </si>
  <si>
    <t>[0.047, 0.039]</t>
  </si>
  <si>
    <t>17.362356471247416</t>
  </si>
  <si>
    <t>[-0.007, 0.007, -0.0]</t>
  </si>
  <si>
    <t>LINESTRING (10.3642902112048 59.30922343635936, 10.364763785031933 59.309601262317585, 10.36864839836301 59.3119527350219, 10.36873402481085 59.311962260625286)</t>
  </si>
  <si>
    <t>[839875, 839883, 839909]</t>
  </si>
  <si>
    <t>[816168, 816176, 816200]</t>
  </si>
  <si>
    <t>0.005191322666699187</t>
  </si>
  <si>
    <t>[816167, 816168, 816176]</t>
  </si>
  <si>
    <t>[0.007, 0.007, 0.0]</t>
  </si>
  <si>
    <t>406.4593267357102</t>
  </si>
  <si>
    <t>[0.051, 0.016, -0.004, 0.024, -0.014]</t>
  </si>
  <si>
    <t>LINESTRING (10.373450414557288 59.3172711966706, 10.37266434772207 59.316579270825905, 10.370046852353772 59.31439610057725, 10.36780972883216 59.312519814805746, 10.367710694062346 59.312434528498756, 10.3642902112048 59.30922343635936)</t>
  </si>
  <si>
    <t>[841056, 841080, 841088, 841104, 841128]</t>
  </si>
  <si>
    <t>[817250, 817271, 817277, 817292, 816167]</t>
  </si>
  <si>
    <t>0.0025944902930819863</t>
  </si>
  <si>
    <t>[816243, 817250, 817271, 817277, 817292]</t>
  </si>
  <si>
    <t>[0.051, 0.016, 0.004, 0.024, 0.014]</t>
  </si>
  <si>
    <t>1038.1121258271255</t>
  </si>
  <si>
    <t>[-0.007, 0.015, 0.023, 0.029]</t>
  </si>
  <si>
    <t>LINESTRING (10.36873402481085 59.311962260625286, 10.369002074623944 59.31196011458834, 10.369104095910256 59.31200799994299, 10.369147927499306 59.31209302813608, 10.369034220755882 59.312199338912556)</t>
  </si>
  <si>
    <t>[841177, 841184, 841193, 841201]</t>
  </si>
  <si>
    <t>[817373, 817378, 817387, 816213]</t>
  </si>
  <si>
    <t>0.013413957854936548</t>
  </si>
  <si>
    <t>[816200, 817373, 817378, 817387]</t>
  </si>
  <si>
    <t>[0.007, 0.015, 0.023, 0.029]</t>
  </si>
  <si>
    <t>47.3067955806346</t>
  </si>
  <si>
    <t>[0.025, 0.013, -0.015, -0.047, -0.058]</t>
  </si>
  <si>
    <t>LINESTRING (10.369034220755882 59.312199338912556, 10.369025712979282 59.3122439625169, 10.370122754728781 59.3143705069087, 10.372743622865167 59.316555288624976, 10.37310430004715 59.31686943027673, 10.373450414557288 59.3172711966706)</t>
  </si>
  <si>
    <t>[839919, 839920, 839921, 839940, 839948]</t>
  </si>
  <si>
    <t>[816214, 816215, 816216, 816236, 816243]</t>
  </si>
  <si>
    <t>[816213, 816214, 816215, 816216, 816236]</t>
  </si>
  <si>
    <t>[0.025, 0.013, 0.015, 0.047, 0.058]</t>
  </si>
  <si>
    <t>628.94440181041</t>
  </si>
  <si>
    <t>[0.031, 0.036, 0.033, -0.008]</t>
  </si>
  <si>
    <t>LINESTRING (10.118396622749541 59.11364847324596, 10.117046661429729 59.11308129540513, 10.112552158692854 59.110975290193366, 10.112392107457733 59.11089314367201, 10.10852276700493 59.10873419244145)</t>
  </si>
  <si>
    <t>[843390, 843393, 843401, 843409]</t>
  </si>
  <si>
    <t>[819233, 819237, 819245, 819251]</t>
  </si>
  <si>
    <t>0.0170586863629911</t>
  </si>
  <si>
    <t>[819028, 819233, 819237, 819245]</t>
  </si>
  <si>
    <t>[0.031, 0.036, 0.033, 0.008]</t>
  </si>
  <si>
    <t>788.8620651395686</t>
  </si>
  <si>
    <t>[-0.026, -0.035, -0.04]</t>
  </si>
  <si>
    <t>LINESTRING (10.11363835702707 59.11053184339837, 10.113601381454641 59.11059264659608, 10.117782066014266 59.1133282609615, 10.118396622749541 59.11364847324596)</t>
  </si>
  <si>
    <t>[843143, 843151, 843135]</t>
  </si>
  <si>
    <t>[819035, 819027, 819028]</t>
  </si>
  <si>
    <t>[819034, 819035, 819027]</t>
  </si>
  <si>
    <t>[0.026, 0.035, 0.04]</t>
  </si>
  <si>
    <t>457.741096485614</t>
  </si>
  <si>
    <t>[-0.003, 0.012, -0.029, -0.005, 0.006, -0.006, -0.002, 0.019]</t>
  </si>
  <si>
    <t>LINESTRING (10.141398935055497 59.12567863870676, 10.14020956356859 59.12504314415063, 10.138231880218042 59.123895436632075, 10.137674378372987 59.12354553403926, 10.130479030652346 59.11873044020766, 10.130381604350598 59.118683507240746, 10.121210085155582 59.1148200575161, 10.119040006453906 59.11391624274915, 10.118396622749541 59.11364847324596)</t>
  </si>
  <si>
    <t>[1365376, 1365384, 1365392, 1365400, 1365408, 1365416, 843374, 843382]</t>
  </si>
  <si>
    <t>[1260412, 1260418, 1260424, 1260431, 1260435, 819218, 819219, 819028]</t>
  </si>
  <si>
    <t>[1260406, 1260412, 1260418, 1260424, 1260431, 1260435, 819218, 819219]</t>
  </si>
  <si>
    <t>[0.003, 0.012, 0.029, 0.005, 0.006, 0.006, 0.002, 0.019]</t>
  </si>
  <si>
    <t>1892.2199343237357</t>
  </si>
  <si>
    <t>16.779141468857837</t>
  </si>
  <si>
    <t>[-0.02, -0.05, -0.056, -0.026]</t>
  </si>
  <si>
    <t>LINESTRING (10.113199421790272 59.1103704455132, 10.113495069977851 59.11030765423859, 10.11363791894755 59.11035343622478, 10.1136961249742 59.11041626542341, 10.11363835702707 59.11053184339837)</t>
  </si>
  <si>
    <t>[843466, 843467, 843468, 843469]</t>
  </si>
  <si>
    <t>[819304, 819305, 819306, 819034]</t>
  </si>
  <si>
    <t>[819302, 819304, 819305, 819306]</t>
  </si>
  <si>
    <t>[0.02, 0.05, 0.056, 0.026]</t>
  </si>
  <si>
    <t>50.325608588466096</t>
  </si>
  <si>
    <t>[0.037, 0.033, -0.009, -0.024]</t>
  </si>
  <si>
    <t>LINESTRING (10.116866108908413 59.1131909048636, 10.112355837832117 59.11107745239922, 10.112195141750192 59.110994921457326, 10.108316479066733 59.1088302145668, 10.107417882939076 59.10827476782753)</t>
  </si>
  <si>
    <t>[843199, 843205, 843213, 843221]</t>
  </si>
  <si>
    <t>[819076, 819080, 819087, 819095]</t>
  </si>
  <si>
    <t>0.010999948747881322</t>
  </si>
  <si>
    <t>[819075, 819076, 819080, 819087]</t>
  </si>
  <si>
    <t>[0.037, 0.033, 0.009, 0.024]</t>
  </si>
  <si>
    <t>771.6015063134114</t>
  </si>
  <si>
    <t>[0.014, 0.036, 0.013]</t>
  </si>
  <si>
    <t>LINESTRING (10.116866108908413 59.1131909048636, 10.11614497920289 59.11293737434214, 10.111677733227072 59.11162548008099, 10.11157575366951 59.11164201572595)</t>
  </si>
  <si>
    <t>[1365928, 1365936, 1365944]</t>
  </si>
  <si>
    <t>[1260767, 1260772, 819124]</t>
  </si>
  <si>
    <t>0.032533743882916376</t>
  </si>
  <si>
    <t>[819075, 1260767, 1260772]</t>
  </si>
  <si>
    <t>358.4624712496146</t>
  </si>
  <si>
    <t>[0.011, -0.047, -0.006, 0.007, -0.007, -0.004, 0.024, 0.031]</t>
  </si>
  <si>
    <t>LINESTRING (10.139987218519572 59.12513130096387, 10.138018688677304 59.12398827853694, 10.137453778369261 59.12363386887348, 10.130297933853914 59.11884003861151, 10.130200358924782 59.1187929200043, 10.121034455198004 59.11493173826718, 10.118864361602315 59.114028010015275, 10.118219371540684 59.113759477422875, 10.116866108908413 59.1131909048636)</t>
  </si>
  <si>
    <t>[1365632, 1365640, 1365648, 1365656, 1365664, 843183, 843191, 843198]</t>
  </si>
  <si>
    <t>[1260588, 1260594, 1260597, 1260604, 819065, 819066, 819071, 819075]</t>
  </si>
  <si>
    <t>[1260580, 1260588, 1260594, 1260597, 1260604, 819065, 819066, 819071]</t>
  </si>
  <si>
    <t>[0.011, 0.047, 0.006, 0.007, 0.007, 0.004, 0.024, 0.031]</t>
  </si>
  <si>
    <t>1890.458636481229</t>
  </si>
  <si>
    <t>[0.026, -0.021, -0.056, -0.074, -0.024, -0.005, 0.006, -0.018, -0.102, -0.074, 0.061, 0.057, 0.059]</t>
  </si>
  <si>
    <t>[0, 0, 0, 1, 0, 1, 0, 0, 1, 0, 1, 0, 0]</t>
  </si>
  <si>
    <t>LINESTRING (10.107417882939076 59.10827476782753, 10.105625178948399 59.10717589787443, 10.103857958425639 59.10606348009565, 10.098966149414524 59.10295631533943, 10.097290872423024 59.101900893976804, 10.08963776905077 59.09765986618818, 10.085876080704619 59.096113649037484, 10.075051541554249 59.09183956177986, 10.072848554413932 59.09038033834927, 10.072394134235559 59.09012535991723, 10.069128814021855 59.088808113180974, 10.066954110327101 59.08811215754379, 10.066775365037254 59.0880550741696, 10.066458904628263 59.087954021703254)</t>
  </si>
  <si>
    <t>[843229, 843237, 843245, 1364964, 1364972, 1364980, 1365028, 1365036, 1365044, 1365052, 843621, 843622, 843623]</t>
  </si>
  <si>
    <t>[819102, 819108, 819119, 1260088, 1260093, 1260101, 1260132, 1260138, 1260144, 819429, 819430, 819431, 819432]</t>
  </si>
  <si>
    <t>[819095, 819102, 819108, 819119, 1260088, 1260093, 1260101, 1260132, 1260138, 1260144, 819429, 819430, 819431]</t>
  </si>
  <si>
    <t>[0.026, 0.021, 0.056, 0.074, 0.024, 0.005, 0.006, 0.018, 0.102, 0.074, 0.061, 0.057, 0.059]</t>
  </si>
  <si>
    <t>3289.266633828382</t>
  </si>
  <si>
    <t>[0.013, 0.021, -0.01, -0.015]</t>
  </si>
  <si>
    <t>LINESTRING (10.111091977799829 59.11143933576015, 10.111166877982704 59.11137145457094, 10.111202452126978 59.11131413447603, 10.107897548904843 59.10865030168408, 10.107417882939076 59.10827476782753)</t>
  </si>
  <si>
    <t>[843345, 843353, 843361, 843337]</t>
  </si>
  <si>
    <t>[819200, 819208, 819191, 819095]</t>
  </si>
  <si>
    <t>[819161, 819200, 819208, 819191]</t>
  </si>
  <si>
    <t>[0.013, 0.021, 0.01, 0.015]</t>
  </si>
  <si>
    <t>426.2782255976194</t>
  </si>
  <si>
    <t>[-0.008, 0.004, 0.021, 0.029, 0.028, 0.026, 0.013]</t>
  </si>
  <si>
    <t>LINESTRING (10.11157575366951 59.11164201572595, 10.111525095976335 59.11167338881506, 10.111399548809603 59.11171042724119, 10.111242386153782 59.11171282493123, 10.111120545016721 59.1116838193224, 10.111029419686657 59.11162688002596, 10.110998438458486 59.11154159772613, 10.111091977799829 59.11143933576015)</t>
  </si>
  <si>
    <t>[843251, 843260, 843263, 843279, 843287, 843295, 843301]</t>
  </si>
  <si>
    <t>[819125, 819135, 819137, 773730, 819153, 773757, 819161]</t>
  </si>
  <si>
    <t>0.017549811431212835</t>
  </si>
  <si>
    <t>[819124, 819125, 819135, 819137, 773730, 819153, 773757]</t>
  </si>
  <si>
    <t>[0.008, 0.004, 0.021, 0.029, 0.028, 0.026, 0.013]</t>
  </si>
  <si>
    <t>60.24904300696226</t>
  </si>
  <si>
    <t>13.583142861495022</t>
  </si>
  <si>
    <t>18.041601746678328</t>
  </si>
  <si>
    <t>[-0.026, -0.032]</t>
  </si>
  <si>
    <t>LINESTRING (10.111385940361709 59.11139825570883, 10.111551694806323 59.11145147167602, 10.11161929398899 59.11152446206516)</t>
  </si>
  <si>
    <t>[843313, 843321]</t>
  </si>
  <si>
    <t>[819170, 819178]</t>
  </si>
  <si>
    <t>[819163, 819170]</t>
  </si>
  <si>
    <t>20.211868587672324</t>
  </si>
  <si>
    <t>[-0.004, 0.009]</t>
  </si>
  <si>
    <t>LINESTRING (10.111385940361709 59.11139825570883, 10.111504998983992 59.11137995398356, 10.11201742896221 59.11118486684114)</t>
  </si>
  <si>
    <t>[1365896, 1365904]</t>
  </si>
  <si>
    <t>[1260749, 1260726]</t>
  </si>
  <si>
    <t>0.006879531844712776</t>
  </si>
  <si>
    <t>[819163, 1260749]</t>
  </si>
  <si>
    <t>[0.004, 0.009]</t>
  </si>
  <si>
    <t>43.6689907871101</t>
  </si>
  <si>
    <t>LINESTRING (10.11161929398899 59.11152446206516, 10.111662995941261 59.11145516909725, 10.11201742896221 59.11118486684114)</t>
  </si>
  <si>
    <t>[1365912, 1365920]</t>
  </si>
  <si>
    <t>[1260760, 1260726]</t>
  </si>
  <si>
    <t>[819178, 1260760]</t>
  </si>
  <si>
    <t>44.854719246172294</t>
  </si>
  <si>
    <t>[-0.024, 0.02, -0.018, -0.056, -0.07, -0.022, -0.007, 0.007, -0.015, -0.104, -0.08, 0.057, 0.054]</t>
  </si>
  <si>
    <t>29641.0</t>
  </si>
  <si>
    <t>[0, 0, 0, 0, 1, 0, 1, 0, 0, 1, 0, 1, 0]</t>
  </si>
  <si>
    <t>LINESTRING (10.10852276700493 59.10873419244145, 10.10762932043495 59.10818089384097, 10.105895536707273 59.107062330314534, 10.1041281389337 59.105949909594706, 10.09910222293998 59.10281437956444, 10.097425943186138 59.10175865204062, 10.08982294332164 59.097552457979255, 10.086039309202167 59.09599713667542, 10.075190746566976 59.091700305842586, 10.072976439223195 59.09023739719371, 10.072520204560904 59.089985318887294, 10.069158147128332 59.088647927033584, 10.066981862350374 59.08795209132292, 10.066885100735405 59.08792114495522)</t>
  </si>
  <si>
    <t>[843417, 843425, 843433, 843438, 1364940, 1364948, 1364956, 1364996, 1365004, 1365012, 1365020, 843784, 843813]</t>
  </si>
  <si>
    <t>[819261, 819266, 819274, 819277, 1260071, 1260080, 1260085, 1260112, 1260117, 1260122, 819581, 819582, 819544]</t>
  </si>
  <si>
    <t>[819251, 819261, 819266, 819274, 819277, 1260071, 1260080, 1260085, 1260112, 1260117, 1260122, 819581, 819582]</t>
  </si>
  <si>
    <t>[0.024, 0.02, 0.018, 0.056, 0.07, 0.022, 0.007, 0.007, 0.015, 0.104, 0.08, 0.057, 0.054]</t>
  </si>
  <si>
    <t>3355.4601001706496</t>
  </si>
  <si>
    <t>[0.042, 0.009, -0.026, -0.017]</t>
  </si>
  <si>
    <t>LINESTRING (10.10852276700493 59.10873419244145, 10.109156192265937 59.10904239114441, 10.11302813774804 59.1103978160208, 10.113122767289168 59.1103859317912, 10.113199421790272 59.1103704455132)</t>
  </si>
  <si>
    <t>[843503, 843494, 843495, 843496]</t>
  </si>
  <si>
    <t>[819320, 819321, 819322, 819302]</t>
  </si>
  <si>
    <t>0.012939544052788427</t>
  </si>
  <si>
    <t>[819251, 819320, 819321, 819322]</t>
  </si>
  <si>
    <t>[0.042, 0.009, 0.026, 0.017]</t>
  </si>
  <si>
    <t>337.9449819651536</t>
  </si>
  <si>
    <t>9.648885946310616</t>
  </si>
  <si>
    <t>[0.054, 0.053]</t>
  </si>
  <si>
    <t>LINESTRING (10.11337157782918 59.11057863196192, 10.113226932691425 59.110534401199125, 10.113160985219022 59.11045472700913)</t>
  </si>
  <si>
    <t>[843475, 843485]</t>
  </si>
  <si>
    <t>[819308, 819301]</t>
  </si>
  <si>
    <t>0.053499866008486635</t>
  </si>
  <si>
    <t>[819307, 819308]</t>
  </si>
  <si>
    <t>19.297968111559236</t>
  </si>
  <si>
    <t>[0.024, 0.031]</t>
  </si>
  <si>
    <t>LINESTRING (10.112756970843794 59.11079644236829, 10.113123336999694 59.110521343111635, 10.113160985219022 59.11045472700913)</t>
  </si>
  <si>
    <t>[1365848, 1365856]</t>
  </si>
  <si>
    <t>[1260716, 819301]</t>
  </si>
  <si>
    <t>0.025202150280253386</t>
  </si>
  <si>
    <t>[1260715, 1260716]</t>
  </si>
  <si>
    <t>45.02417316611465</t>
  </si>
  <si>
    <t>[0.006, -0.023]</t>
  </si>
  <si>
    <t>LINESTRING (10.112756970843794 59.11079644236829, 10.11328620143478 59.11059345638927, 10.11337157782918 59.11057863196192)</t>
  </si>
  <si>
    <t>[1365880, 1365888]</t>
  </si>
  <si>
    <t>[1260737, 819307]</t>
  </si>
  <si>
    <t>0.0025171444982712123</t>
  </si>
  <si>
    <t>[1260715, 1260737]</t>
  </si>
  <si>
    <t>[0.006, 0.023]</t>
  </si>
  <si>
    <t>43.00993327667546</t>
  </si>
  <si>
    <t>[-0.009, -0.004, 0.086, 0.069, 0.036, 0.002]</t>
  </si>
  <si>
    <t>LINESTRING (10.060734142650027 59.0861043063573, 10.060755551670237 59.0865514590333, 10.060979486348739 59.08588642056743, 10.06081943763634 59.08580465414763, 10.060365191579585 59.08556403050133, 10.05802348248814 59.08413139662163, 10.057482031335184 59.083753926014445)</t>
  </si>
  <si>
    <t>[843511, 843519, 843527, 843541, 988734, 2166752]</t>
  </si>
  <si>
    <t>[819336, 819343, 819348, 819357, 947979, 1853899]</t>
  </si>
  <si>
    <t>0.01591050579994321</t>
  </si>
  <si>
    <t>[819335, 819336, 819343, 819348, 819357, 947979]</t>
  </si>
  <si>
    <t>[0.009, 0.004, 0.086, 0.069, 0.036, 0.002]</t>
  </si>
  <si>
    <t>618.2134569038155</t>
  </si>
  <si>
    <t>[-0.031, -0.059, -0.092]</t>
  </si>
  <si>
    <t>LINESTRING (10.060734142650027 59.0861043063573, 10.060869237565234 59.085878795096825, 10.061248043220836 59.085572889335005, 10.062030094963866 59.08528641533656)</t>
  </si>
  <si>
    <t>[843721, 843722, 843725]</t>
  </si>
  <si>
    <t>[819529, 819530, 819534]</t>
  </si>
  <si>
    <t>[819335, 819529, 819530]</t>
  </si>
  <si>
    <t>[0.031, 0.059, 0.092]</t>
  </si>
  <si>
    <t>122.41266804219055</t>
  </si>
  <si>
    <t>[0.057, 0.041, 0.024, 0.077, 0.058]</t>
  </si>
  <si>
    <t>LINESTRING (10.066458904628263 59.087954021703254, 10.065674640754766 59.087758956002595, 10.065253823315512 59.08762209336491, 10.064318332589762 59.08730583091765, 10.06208754754788 59.087036460601716, 10.060734142650027 59.0861043063573)</t>
  </si>
  <si>
    <t>[843697, 843705, 843713, 843719, 843720]</t>
  </si>
  <si>
    <t>[819508, 819516, 819523, 819528, 819335]</t>
  </si>
  <si>
    <t>0.057798862145735</t>
  </si>
  <si>
    <t>[819432, 819508, 819516, 819523, 819528]</t>
  </si>
  <si>
    <t>445.9924763493298</t>
  </si>
  <si>
    <t>[0.047, 0.021, 0.076, 0.086, 0.071, 0.03]</t>
  </si>
  <si>
    <t>[0, 1, 0, 1, 0, 0]</t>
  </si>
  <si>
    <t>LINESTRING (10.066458904628263 59.087954021703254, 10.06521828674626 59.08755443574204, 10.064295366935813 59.08724072147652, 10.061021414350241 59.0858416892507, 10.060862582641303 59.085759969318964, 10.060430413036732 59.08553233337027, 10.057482031335184 59.083753926014445)</t>
  </si>
  <si>
    <t>[843624, 843645, 843651, 843661, 843669, 2166776]</t>
  </si>
  <si>
    <t>[819433, 819451, 819455, 819469, 819478, 1853899]</t>
  </si>
  <si>
    <t>0.050369906806908844</t>
  </si>
  <si>
    <t>[819432, 819433, 819451, 819455, 819469, 819478]</t>
  </si>
  <si>
    <t>700.7718039194353</t>
  </si>
  <si>
    <t>LINESTRING (10.062030094963866 59.08528641533656, 10.062652050892298 59.085161539820476, 10.062827403276671 59.08512574782756)</t>
  </si>
  <si>
    <t>[843726, 843727]</t>
  </si>
  <si>
    <t>[819535, 819536]</t>
  </si>
  <si>
    <t>[819534, 819535]</t>
  </si>
  <si>
    <t>49.53382946549827</t>
  </si>
  <si>
    <t>[-0.116, -0.103]</t>
  </si>
  <si>
    <t>LINESTRING (10.062030094963866 59.08528641533656, 10.0626455022326 59.08526867926673, 10.062790587156611 59.0853061594227)</t>
  </si>
  <si>
    <t>[843728, 843729]</t>
  </si>
  <si>
    <t>[819537, 819538]</t>
  </si>
  <si>
    <t>[819534, 819537]</t>
  </si>
  <si>
    <t>[0.116, 0.103]</t>
  </si>
  <si>
    <t>45.255574724451265</t>
  </si>
  <si>
    <t>[-0.096, -0.115, -0.1, -0.024, 0.067, 0.103, 0.112]</t>
  </si>
  <si>
    <t>LINESTRING (10.062827403276671 59.08512574782756, 10.062997365773299 59.08506826678132, 10.063161284809341 59.08506732187127, 10.063333586163486 59.08512251868174, 10.0633938330304 59.085282926960154, 10.063273819119397 59.08536741334872, 10.063161605443812 59.08539408084873, 10.063121022645184 59.085397930778484)</t>
  </si>
  <si>
    <t>[843852, 843872, 843880, 843889, 843899, 843922, 843955]</t>
  </si>
  <si>
    <t>[819628, 819648, 819657, 819666, 819674, 819694, 819545]</t>
  </si>
  <si>
    <t>[819536, 819628, 819648, 819657, 819666, 819674, 819694]</t>
  </si>
  <si>
    <t>[0.096, 0.115, 0.1, 0.024, 0.067, 0.103, 0.112]</t>
  </si>
  <si>
    <t>72.64477497709102</t>
  </si>
  <si>
    <t>[0.025, -0.038]</t>
  </si>
  <si>
    <t>LINESTRING (10.062790587156611 59.0853061594227, 10.0627561275509 59.08522378803052, 10.062827403276671 59.08512574782756)</t>
  </si>
  <si>
    <t>[843979, 843999]</t>
  </si>
  <si>
    <t>[819745, 819536]</t>
  </si>
  <si>
    <t>[819538, 819745]</t>
  </si>
  <si>
    <t>[0.025, 0.038]</t>
  </si>
  <si>
    <t>21.059224366516567</t>
  </si>
  <si>
    <t>4.7291436862357745</t>
  </si>
  <si>
    <t>[0.057, 0.042, 0.022, 0.05, 0.09, 0.084, 0.081, 0.03, 0.047]</t>
  </si>
  <si>
    <t>[0, 0, 1, 0, 0, 1, 0, 0, 0]</t>
  </si>
  <si>
    <t>LINESTRING (10.066885100735405 59.08792114495522, 10.066578605129198 59.08782325237865, 10.065161908221063 59.08736561280438, 10.064223695417274 59.08704159882436, 10.063247658984302 59.08666207608866, 10.061167639542287 59.0857148425234, 10.061016006330647 59.085634117148395, 10.060634788598115 59.08543379575438, 10.05768162777252 59.083666824926546, 10.057570998107426 59.08359871731713)</t>
  </si>
  <si>
    <t>[843825, 843826, 843827, 843836, 843837, 843843, 843844, 2166758, 2166764]</t>
  </si>
  <si>
    <t>[819609, 819610, 819611, 819612, 819613, 819619, 819620, 1853903, 1853895]</t>
  </si>
  <si>
    <t>0.05014710882003155</t>
  </si>
  <si>
    <t>[819544, 819609, 819610, 819611, 819612, 819613, 819619, 819620, 1853903]</t>
  </si>
  <si>
    <t>724.5105649370468</t>
  </si>
  <si>
    <t>[0.081, -0.026, -0.023, -0.036, -0.051]</t>
  </si>
  <si>
    <t>LINESTRING (10.063121022645184 59.085397930778484, 10.063007622190561 59.08545201868687, 10.06420003477983 59.08697403384867, 10.065139552610797 59.08730232607451, 10.066197753933144 59.08764539057638, 10.066885100735405 59.08792114495522)</t>
  </si>
  <si>
    <t>[843735, 843748, 843767, 843768, 843734]</t>
  </si>
  <si>
    <t>[819546, 819559, 819569, 819543, 819544]</t>
  </si>
  <si>
    <t>[819545, 819546, 819559, 819569, 819543]</t>
  </si>
  <si>
    <t>[0.081, 0.026, 0.023, 0.036, 0.051]</t>
  </si>
  <si>
    <t>411.6391900849136</t>
  </si>
  <si>
    <t>18.01833664035642</t>
  </si>
  <si>
    <t>[0.019, -0.044, -0.091, -0.096, -0.089, -0.004]</t>
  </si>
  <si>
    <t>LINESTRING (10.057570998107426 59.08359871731713, 10.058201201763593 59.08393765317124, 10.060711175059486 59.08539496762353, 10.061112697031856 59.08556961428295, 10.061284066379136 59.08563588876498, 10.062833693278732 59.085415642693185, 10.062836556138624 59.085341379205694)</t>
  </si>
  <si>
    <t>[2166746, 988733, 844005, 844016, 844030, 844042]</t>
  </si>
  <si>
    <t>[947978, 819775, 819776, 819788, 819797, 819730]</t>
  </si>
  <si>
    <t>[1853895, 947978, 819775, 819776, 819788, 819797]</t>
  </si>
  <si>
    <t>[0.019, 0.044, 0.091, 0.096, 0.089, 0.004]</t>
  </si>
  <si>
    <t>435.8294227548999</t>
  </si>
  <si>
    <t>[-0.014, 0.024, 0.046, 0.073, 0.123, 0.101, 0.104]</t>
  </si>
  <si>
    <t>LINESTRING (5.849895071995847 61.450139343479805, 5.849983157152991 61.45014063499145, 5.851760176582486 61.45006069553159, 5.85230552817382 61.45000953018967, 5.852847274882282 61.44991603554713, 5.852941190833487 61.44989171063989, 5.853061373033578 61.44986356789647, 5.853954284314985 61.44963490332913)</t>
  </si>
  <si>
    <t>[843988, 843995, 1881302, 1881313, 1881326, 1881348, 1881356]</t>
  </si>
  <si>
    <t>[819757, 819763, 1655884, 1655471, 1655906, 1655925, 1655933]</t>
  </si>
  <si>
    <t>0.05663129059829265</t>
  </si>
  <si>
    <t>[819756, 819757, 819763, 1655884, 1655471, 1655906, 1655925]</t>
  </si>
  <si>
    <t>[0.014, 0.024, 0.046, 0.073, 0.123, 0.101, 0.104]</t>
  </si>
  <si>
    <t>227.84866463905396</t>
  </si>
  <si>
    <t>[-7.918, 0.108, 0.13, 0.12]</t>
  </si>
  <si>
    <t>LINESTRING (5.849895071995847 61.450139343479805, 5.849844822440347 61.45016749157271, 5.849721285073141 61.45018696966996, 5.849630492718951 61.45017566766759, 5.849578838386263 61.450155534887806)</t>
  </si>
  <si>
    <t>[1028466, 1028474, 1028482, 1028490]</t>
  </si>
  <si>
    <t>[982918, 982923, 982928, 982932]</t>
  </si>
  <si>
    <t>[819756, 982918, 982923, 982928]</t>
  </si>
  <si>
    <t>[7.918, 0.108, 0.13, 0.12]</t>
  </si>
  <si>
    <t>19.66991548815072</t>
  </si>
  <si>
    <t>[-3.47, 4.709]</t>
  </si>
  <si>
    <t>LINESTRING (5.849797010081652 61.450008486456895, 5.849915843981004 61.45007737664827, 5.849895071995847 61.450139343479805)</t>
  </si>
  <si>
    <t>[1028450, 1028458]</t>
  </si>
  <si>
    <t>[982909, 819756]</t>
  </si>
  <si>
    <t>[819821, 982909]</t>
  </si>
  <si>
    <t>[3.47, 4.709]</t>
  </si>
  <si>
    <t>17.31070460801638</t>
  </si>
  <si>
    <t>[-0.013, 0.007, -1.505, -0.023, 0.818]</t>
  </si>
  <si>
    <t>LINESTRING (5.849797010081652 61.450008486456895, 5.849953105046462 61.45001055077745, 5.8517483245618385 61.450013244420916, 5.852243580098793 61.44995302805235, 5.852863631912935 61.44983121382443, 5.853954284314985 61.44963490332913)</t>
  </si>
  <si>
    <t>[844055, 844059, 1898659, 1898667, 1898675]</t>
  </si>
  <si>
    <t>[819822, 819827, 1667562, 1655482, 1655933]</t>
  </si>
  <si>
    <t>0.04412110858454575</t>
  </si>
  <si>
    <t>[819821, 819822, 819827, 1667562, 1655482]</t>
  </si>
  <si>
    <t>[0.013, 0.007, 1.505, 0.023, 0.818]</t>
  </si>
  <si>
    <t>231.0950897430481</t>
  </si>
  <si>
    <t>2.963</t>
  </si>
  <si>
    <t>11.201668035813325</t>
  </si>
  <si>
    <t>[-0.002, 0.007]</t>
  </si>
  <si>
    <t>LINESTRING (11.461841027304214 63.78525622464597, 11.461794121051803 63.785337239217405, 11.461666762107233 63.78538013409833)</t>
  </si>
  <si>
    <t>[846593, 846601]</t>
  </si>
  <si>
    <t>[821948, 821955]</t>
  </si>
  <si>
    <t>0.0021263289245427005</t>
  </si>
  <si>
    <t>[821947, 821948]</t>
  </si>
  <si>
    <t>[0.002, 0.007]</t>
  </si>
  <si>
    <t>17.214917394990056</t>
  </si>
  <si>
    <t>[-0.014, -0.015]</t>
  </si>
  <si>
    <t>LINESTRING (11.461841027304214 63.78525622464597, 11.461918719851836 63.78529399798262, 11.462272436435894 63.785464832735926)</t>
  </si>
  <si>
    <t>[846774, 846775]</t>
  </si>
  <si>
    <t>[822120, 822035]</t>
  </si>
  <si>
    <t>[821947, 822120]</t>
  </si>
  <si>
    <t>31.627752009614582</t>
  </si>
  <si>
    <t>[0.011, 0.003, -0.006, -0.012, -0.015, -0.015, -0.012]</t>
  </si>
  <si>
    <t>LINESTRING (11.46133091614743 63.78531722980496, 11.461310021938582 63.78528315904407, 11.461346466640599 63.78520798852682, 11.461461809429673 63.78516161847316, 11.461517196180171 63.78515340883052, 11.46170085356338 63.78516467189066, 11.46182212624268 63.78522310134799, 11.461841027304214 63.78525622464597)</t>
  </si>
  <si>
    <t>[846627, 846638, 846646, 846573, 846581, 846586, 846592]</t>
  </si>
  <si>
    <t>[821971, 821980, 821926, 821927, 821937, 821941, 821947]</t>
  </si>
  <si>
    <t>[821962, 821971, 821980, 821926, 821927, 821937, 821941]</t>
  </si>
  <si>
    <t>[0.011, 0.003, 0.006, 0.012, 0.015, 0.015, 0.012]</t>
  </si>
  <si>
    <t>44.86191094536361</t>
  </si>
  <si>
    <t>3.654464256367815</t>
  </si>
  <si>
    <t>LINESTRING (11.461666762107233 63.78538013409833, 11.461792714730867 63.78539704309809, 11.462272436435894 63.785464832735926)</t>
  </si>
  <si>
    <t>[846729, 846763]</t>
  </si>
  <si>
    <t>[822080, 822035]</t>
  </si>
  <si>
    <t>[821955, 822080]</t>
  </si>
  <si>
    <t>31.320429110212103</t>
  </si>
  <si>
    <t>15.882043687189132</t>
  </si>
  <si>
    <t>[-0.018, -0.019, -0.019, -0.019, -0.017, -0.018, -0.019, -0.017]</t>
  </si>
  <si>
    <t>LINESTRING (14.556745424189266 68.23630464162405, 14.554468419275523 68.2363221345784, 14.554344001901084 68.23632094001889, 14.553650929482702 68.2363127212728, 14.553374859130038 68.23631025766254, 14.55329927496591 68.23630958816544, 14.553035172609565 68.23630811586268, 14.552837022090722 68.23630800450796, 14.55075638391705 68.23627959465564)</t>
  </si>
  <si>
    <t>[847004, 847016, 847029, 847041, 847047, 847063, 847073, 847082]</t>
  </si>
  <si>
    <t>[822355, 822368, 822381, 822391, 822394, 822410, 822422, 822430]</t>
  </si>
  <si>
    <t>[822354, 822355, 822368, 822381, 822391, 822394, 822410, 822422]</t>
  </si>
  <si>
    <t>[0.018, 0.019, 0.019, 0.019, 0.017, 0.018, 0.019, 0.017]</t>
  </si>
  <si>
    <t>248.0223319483871</t>
  </si>
  <si>
    <t>[-0.02, -0.022, -0.021, -0.03, -0.022, -0.021, -0.013]</t>
  </si>
  <si>
    <t>LINESTRING (14.556745424189266 68.23630464162405, 14.554354482508119 68.23625183302887, 14.55365966332803 68.23624034481917, 14.553378559480054 68.23623702458676, 14.553276867756656 68.23623421303172, 14.553013102154853 68.23623410492524, 14.5528380730205 68.2362343965734, 14.55075638391705 68.23627959465564)</t>
  </si>
  <si>
    <t>[847090, 847091, 847102, 847103, 847130, 847136, 847143]</t>
  </si>
  <si>
    <t>[822436, 822437, 822449, 822450, 822470, 822475, 822430]</t>
  </si>
  <si>
    <t>[822354, 822436, 822437, 822449, 822450, 822470, 822475]</t>
  </si>
  <si>
    <t>[0.02, 0.022, 0.021, 0.03, 0.022, 0.021, 0.013]</t>
  </si>
  <si>
    <t>248.18509952585862</t>
  </si>
  <si>
    <t>[-0.044, 0.002, -0.002, -0.008, -0.044]</t>
  </si>
  <si>
    <t>4676.0</t>
  </si>
  <si>
    <t>LINESTRING (14.56041720225589 68.23592961067274, 14.559740267509744 68.23604289477485, 14.557778108539281 68.23625510128156, 14.557612227258076 68.23626850844472, 14.557540579784797 68.2362729817702, 14.556745424189266 68.23630464162405)</t>
  </si>
  <si>
    <t>[1028428, 1028436, 1028444, 1028452, 1028460]</t>
  </si>
  <si>
    <t>[982893, 982899, 982904, 982912, 822354]</t>
  </si>
  <si>
    <t>[941238, 982893, 982899, 982904, 982912]</t>
  </si>
  <si>
    <t>[0.044, 0.002, 0.002, 0.008, 0.044]</t>
  </si>
  <si>
    <t>158.41729878634118</t>
  </si>
  <si>
    <t>[0.062, 0.001, 0.003, 0.002, 0.009]</t>
  </si>
  <si>
    <t>LINESTRING (23.196127985834607 69.94978510229521, 23.197792107481526 69.95042763811432, 23.197926400079904 69.9504774572278, 23.19887784486604 69.95081396423065, 23.19898995478855 69.95085274687774, 23.200250185690457 69.95125129002106)</t>
  </si>
  <si>
    <t>[847526, 847534, 847535, 847550, 847558]</t>
  </si>
  <si>
    <t>[822742, 822801, 822802, 822819, 822825]</t>
  </si>
  <si>
    <t>0.02951350224051987</t>
  </si>
  <si>
    <t>[822790, 822742, 822801, 822802, 822819]</t>
  </si>
  <si>
    <t>227.78495288409604</t>
  </si>
  <si>
    <t>[0.075, 0.007, -0.027, 0.001, -0.001]</t>
  </si>
  <si>
    <t>LINESTRING (23.196127985834607 69.94978510229521, 23.197838777963188 69.95034053024291, 23.19802647464274 69.95040499686972, 23.198083626089836 69.95042687268786, 23.199009561822116 69.95077070041998, 23.200250185690457 69.95125129002106)</t>
  </si>
  <si>
    <t>[847566, 847574, 847589, 847610, 847618]</t>
  </si>
  <si>
    <t>[822743, 822763, 822853, 822869, 822825]</t>
  </si>
  <si>
    <t>0.029586042966240955</t>
  </si>
  <si>
    <t>[822790, 822743, 822763, 822853, 822869]</t>
  </si>
  <si>
    <t>[0.075, 0.007, 0.027, 0.001, 0.001]</t>
  </si>
  <si>
    <t>227.79710447627753</t>
  </si>
  <si>
    <t>[0.02, 0.016, 0.016, 0.015, 0.031, 0.077, -0.059, -0.068, -0.052, -0.047, -0.046, -0.048, -0.006, -0.031, 0.02, -0.078, 0.037, 0.435, 0.039, 0.033, 0.001, -0.052, -0.051, -0.044, -0.035, 0.0, -0.027, -0.031, -0.02, 0.026, 0.011]</t>
  </si>
  <si>
    <t>2584.0</t>
  </si>
  <si>
    <t>[0, 1, 0, 0, 0, 0, 0, 0, 0, 0, 1, 0, 0, 0, 0, 0, 0, 0, 0, 0, 0, 0, 0, 0, 0, 0, 0, 0, 0, 0, 0]</t>
  </si>
  <si>
    <t>LINESTRING (23.105917934733007 69.9280854331125, 23.107286986881974 69.92783935047515, 23.108499782446216 69.92763053010344, 23.109164562543413 69.92752236640526, 23.110615380176736 69.92733302375274, 23.116048942886042 69.92722571985267, 23.123911211588023 69.92912926415067, 23.126019653062404 69.93169605823955, 23.126610918853796 69.93234090118132, 23.128802858261608 69.9358186555016, 23.1289308014993 69.93621160821701, 23.12898864272491 69.93638952945776, 23.12903031327006 69.93652869503799, 23.151646581267503 69.94871542053474, 23.160771799275857 69.95064030330362, 23.176486484180863 69.94796177760429, 23.181481344719128 69.94661728559399, 23.182361804892384 69.94638984405069, 23.18318736293823 69.94617203725899, 23.183583369580266 69.94606958102644, 23.184069782015857 69.94597789007581, 23.187817772626634 69.94591461598817, 23.188674868417316 69.94621378335711, 23.189132447541898 69.9464748135915, 23.189426268286102 69.94666309223388, 23.18956679118531 69.94675605458887, 23.18957231425107 69.94675971182453, 23.189677630240453 69.94682848583108, 23.190347905178626 69.9472743257371, 23.193824011269058 69.94895850232064, 23.194457626645768 69.94918827011435, 23.196127985834607 69.94978510229521)</t>
  </si>
  <si>
    <t>[2115812, 2115820, 2115828, 2115836, 2115844, 2115852, 2115860, 2115868, 2115876, 2116100, 2116108, 2116116, 2116124, 2116220, 2116228, 2116236, 2116244, 2116252, 1015128, 1015136, 1015144, 1015152, 1015160, 1015168, 1015176, 1015184, 1015192, 1015200, 1015208, 1015216, 1015224]</t>
  </si>
  <si>
    <t>[1824700, 1824706, 1824710, 1824714, 1824719, 1824723, 1824728, 1824732, 1250419, 1824853, 1824857, 1824862, 1824870, 1824910, 1824923, 1824928, 1591977, 971846, 971847, 971852, 971860, 971866, 971874, 971882, 971890, 971900, 971908, 971916, 971924, 971933, 822790]</t>
  </si>
  <si>
    <t>[1824695, 1824700, 1824706, 1824710, 1824714, 1824719, 1824723, 1824728, 1824732, 1250419, 1824853, 1824857, 1824862, 1824870, 1824910, 1824923, 1824928, 1591977, 971846, 971847, 971852, 971860, 971866, 971874, 971882, 971890, 971900, 971908, 971916, 971924, 971933]</t>
  </si>
  <si>
    <t>[0.02, 0.016, 0.016, 0.015, 0.031, 0.077, 0.059, 0.068, 0.052, 0.047, 0.046, 0.048, 0.006, 0.031, 0.02, 0.078, 0.037, 0.435, 0.039, 0.033, 0.001, 0.052, 0.051, 0.044, 0.035, 0.0, 0.027, 0.031, 0.02, 0.026, 0.011]</t>
  </si>
  <si>
    <t>5613.171684901677</t>
  </si>
  <si>
    <t>[0.376, 0.144, 0.166, 0.021, -0.089, -0.064, -0.068, -0.082, -0.082, -0.077, -0.165, -0.026, -0.026, -0.022, -0.021, -0.006]</t>
  </si>
  <si>
    <t>LINESTRING (23.200250185690457 69.95125129002106, 23.200768359026767 69.95140816770903, 23.201116380577716 69.95148699419995, 23.20193848081757 69.95160290769564, 23.208088232609665 69.95214909351269, 23.208969748611068 69.95249459142782, 23.20903909653604 69.95252408612122, 23.209077337236742 69.95254059280374, 23.2098947922538 69.9528707631056, 23.211136248155192 69.95337496977153, 23.211427043523425 69.95349413035345, 23.212544825067194 69.95395380975603, 23.213447053762952 69.9543279742792, 23.213746536623674 69.95445504341575, 23.21387460313887 69.95450973419086, 23.21402616663766 69.95457453955908, 23.21567469643386 69.95524135137958)</t>
  </si>
  <si>
    <t>[1015232, 1015240, 1015248, 1015256, 1015264, 1015272, 1015280, 1015288, 1015296, 1015304, 1027258, 1027266, 1027274, 1027282, 1027290, 1027298]</t>
  </si>
  <si>
    <t>[971946, 971954, 971965, 971977, 971985, 971992, 971998, 972005, 972013, 972020, 981957, 981962, 981970, 981976, 981985, 978654]</t>
  </si>
  <si>
    <t>[822825, 971946, 971954, 971965, 971977, 971985, 971992, 971998, 972005, 972013, 972020, 981957, 981962, 981970, 981976, 981985]</t>
  </si>
  <si>
    <t>[0.376, 0.144, 0.166, 0.021, 0.089, 0.064, 0.068, 0.082, 0.082, 0.077, 0.165, 0.026, 0.026, 0.022, 0.021, 0.006]</t>
  </si>
  <si>
    <t>787.8490423981907</t>
  </si>
  <si>
    <t>[-0.036, -0.004, 0.002, 0.004]</t>
  </si>
  <si>
    <t>LINESTRING (10.548300812681886 63.423031336332336, 10.547967798189752 63.423074121187014, 10.54483380179644 63.4232204992965, 10.543304732325186 63.423311085148804, 10.543117958726075 63.42332080700464)</t>
  </si>
  <si>
    <t>[848939, 848915, 848923, 848931]</t>
  </si>
  <si>
    <t>[824163, 824164, 824172, 491218]</t>
  </si>
  <si>
    <t>[824189, 824163, 824164, 824172]</t>
  </si>
  <si>
    <t>[0.036, 0.004, 0.002, 0.004]</t>
  </si>
  <si>
    <t>261.24886447729455</t>
  </si>
  <si>
    <t>1154.0</t>
  </si>
  <si>
    <t>491.83008692746006</t>
  </si>
  <si>
    <t>[0.031, 0.016, 0.063]</t>
  </si>
  <si>
    <t>LINESTRING (10.460016491417562 59.922826632646334, 10.460186769626807 59.92280399700589, 10.465947164790876 59.92174710367592, 10.466332404591828 59.92168957858413)</t>
  </si>
  <si>
    <t>[850149, 850157, 849092]</t>
  </si>
  <si>
    <t>[825034, 824294, 824295]</t>
  </si>
  <si>
    <t>0.019036194210415074</t>
  </si>
  <si>
    <t>[825033, 825034, 824294]</t>
  </si>
  <si>
    <t>396.8151568054132</t>
  </si>
  <si>
    <t>[0.041, 0.033, 0.014, -0.023, -0.037, -0.024, 0.001]</t>
  </si>
  <si>
    <t>LINESTRING (10.461484920880919 59.92465464979397, 10.461551125473491 59.92468013571352, 10.461606074093512 59.92474336563531, 10.46156033999771 59.92482227989156, 10.461244667426369 59.924839274305015, 10.461180075537404 59.924794148221864, 10.461181476552106 59.92471190659682, 10.461270715243323 59.924659404482156)</t>
  </si>
  <si>
    <t>[849148, 849156, 849164, 849100, 849108, 849116, 849124]</t>
  </si>
  <si>
    <t>[824270, 824341, 824258, 824274, 824306, 824285, 824320]</t>
  </si>
  <si>
    <t>[824332, 824270, 824341, 824258, 824274, 824306, 824285]</t>
  </si>
  <si>
    <t>[0.041, 0.033, 0.014, 0.023, 0.037, 0.024, 0.001]</t>
  </si>
  <si>
    <t>64.08312131058102</t>
  </si>
  <si>
    <t>LINESTRING (10.46145626657246 59.92445949348264, 10.461320222862366 59.92460607186079, 10.461270715243323 59.924659404482156)</t>
  </si>
  <si>
    <t>[849188, 849196]</t>
  </si>
  <si>
    <t>[824361, 824320]</t>
  </si>
  <si>
    <t>0.008733212603019947</t>
  </si>
  <si>
    <t>[824350, 824361]</t>
  </si>
  <si>
    <t>24.580734334808284</t>
  </si>
  <si>
    <t>[0.025, 0.021]</t>
  </si>
  <si>
    <t>LINESTRING (10.46145626657246 59.92445949348264, 10.461478467918491 59.92461068321833, 10.461484920880919 59.92465464979397)</t>
  </si>
  <si>
    <t>[849172, 849180]</t>
  </si>
  <si>
    <t>[824351, 824332]</t>
  </si>
  <si>
    <t>0.02409884581138089</t>
  </si>
  <si>
    <t>[824350, 824351]</t>
  </si>
  <si>
    <t>21.810002295066255</t>
  </si>
  <si>
    <t>[0.005, 0.004, 0.016, -0.131, 0.024, 0.044, 0.094, 0.132]</t>
  </si>
  <si>
    <t>7195.0</t>
  </si>
  <si>
    <t>LINESTRING (10.459780392860841 59.924654859857554, 10.45950352294166 59.92481897233815, 10.459354642195942 59.924898671476676, 10.440180178734307 59.933016763144494, 10.43998538495232 59.93308919489732, 10.438108765385525 59.93390997895206, 10.437431285201496 59.93426284507969, 10.436680474208574 59.934669870636036, 10.436422724276541 59.93481076876071)</t>
  </si>
  <si>
    <t>[849636, 849644, 849652, 849660, 849668, 849676, 849684, 849692]</t>
  </si>
  <si>
    <t>[824673, 824679, 824685, 824690, 824695, 824700, 824705, 824502]</t>
  </si>
  <si>
    <t>0.02032459481200414</t>
  </si>
  <si>
    <t>[824434, 824673, 824679, 824685, 824690, 824695, 824700, 824705]</t>
  </si>
  <si>
    <t>[0.005, 0.004, 0.016, 0.131, 0.024, 0.044, 0.094, 0.132]</t>
  </si>
  <si>
    <t>1742.4329217775942</t>
  </si>
  <si>
    <t>[-0.037, -0.008, 0.001]</t>
  </si>
  <si>
    <t>71.0</t>
  </si>
  <si>
    <t>LINESTRING (10.46677004955822 59.921760322673165, 10.46645740594937 59.921872313622536, 10.459926554836162 59.92456987728587, 10.459780392860841 59.924654859857554)</t>
  </si>
  <si>
    <t>[850405, 850413, 850421]</t>
  </si>
  <si>
    <t>[825227, 825231, 824434]</t>
  </si>
  <si>
    <t>[825224, 825227, 825231]</t>
  </si>
  <si>
    <t>[0.037, 0.008, 0.001]</t>
  </si>
  <si>
    <t>509.4269212399696</t>
  </si>
  <si>
    <t>LINESTRING (10.4348309892247 59.93668343750755, 10.43488265152041 59.93665681823379, 10.43497511620242 59.9366387097594, 10.435081191761151 59.93664670492322, 10.43518872468096 59.93670268637935, 10.435199664886138 59.9367572970836, 10.435174609558693 59.93679087376411, 10.435008306592517 59.936841497026734, 10.434802899308155 59.936768199363264)</t>
  </si>
  <si>
    <t>9.79664918521669</t>
  </si>
  <si>
    <t>[0.103, 0.082, 0.037, 0.01]</t>
  </si>
  <si>
    <t>LINESTRING (10.436422724276541 59.93481076876071, 10.436239283517587 59.93495772308885, 10.435804907998426 59.93519783871703, 10.434739678071557 59.9366779417261, 10.4348309892247 59.93668343750755)</t>
  </si>
  <si>
    <t>[849380, 849356, 849364, 849372]</t>
  </si>
  <si>
    <t>[824483, 824484, 824490, 824494]</t>
  </si>
  <si>
    <t>0.04725072133695653</t>
  </si>
  <si>
    <t>[824502, 824483, 824484, 824490]</t>
  </si>
  <si>
    <t>269.5661721092102</t>
  </si>
  <si>
    <t>[-0.033, 0.012, -0.002, 0.042, 0.055]</t>
  </si>
  <si>
    <t>LINESTRING (5.461151393091545 59.7488458643505, 5.46495904643079 59.749292725935106, 5.465028988363722 59.74931549723418, 5.465437863192224 59.74944424618531, 5.465581000049726 59.74956747049551, 5.465778778969541 59.74982645436807)</t>
  </si>
  <si>
    <t>[849379, 849387, 849395, 849403, 849411]</t>
  </si>
  <si>
    <t>[824501, 824507, 824512, 824520, 824526]</t>
  </si>
  <si>
    <t>[824500, 824501, 824507, 824512, 824520]</t>
  </si>
  <si>
    <t>[0.033, 0.012, 0.002, 0.042, 0.055]</t>
  </si>
  <si>
    <t>312.33437292363635</t>
  </si>
  <si>
    <t>[-0.029, -0.058, -0.071, 0.128]</t>
  </si>
  <si>
    <t>LINESTRING (5.461151393091545 59.7488458643505, 5.464702430532062 59.74957919116491, 5.4650753169675985 59.749686046559646, 5.465320698368828 59.74973502769444, 5.465778778969541 59.74982645436807)</t>
  </si>
  <si>
    <t>[1999344, 1999375, 1999383, 1999389]</t>
  </si>
  <si>
    <t>[1752957, 1752972, 1752975, 824526]</t>
  </si>
  <si>
    <t>[824500, 1752957, 1752972, 1752975]</t>
  </si>
  <si>
    <t>[0.029, 0.058, 0.071, 0.128]</t>
  </si>
  <si>
    <t>286.64179423515554</t>
  </si>
  <si>
    <t>[-0.008, -0.045, -0.065, -0.007, 0.045]</t>
  </si>
  <si>
    <t>LINESTRING (10.434802899308155 59.936768199363264, 10.434705875677516 59.93676683138955, 10.433751232985523 59.93649265829586, 10.433122326272343 59.936201304491604, 10.434250870622588 59.93582278667872, 10.434466032834473 59.93570222493584)</t>
  </si>
  <si>
    <t>[849492, 849500, 849508, 849516, 1754624]</t>
  </si>
  <si>
    <t>[824576, 824578, 824580, 824584, 824666]</t>
  </si>
  <si>
    <t>[824532, 824576, 824578, 824580, 824584]</t>
  </si>
  <si>
    <t>[0.008, 0.045, 0.065, 0.007, 0.045]</t>
  </si>
  <si>
    <t>385.8784483562647</t>
  </si>
  <si>
    <t>[0.004, 0.002, 0.005, 0.015, -0.127, 0.028, 0.047, 0.081, 0.153, 0.096, 0.01]</t>
  </si>
  <si>
    <t>[0, 0, 0, 0, 0, 0, 0, 0, 1, 1, 0]</t>
  </si>
  <si>
    <t>LINESTRING (10.459590280679281 59.924488847972135, 10.459299210860484 59.924655527936615, 10.459222466785727 59.924703765261924, 10.459077944775835 59.92478486455412, 10.43997994576451 59.93288743373255, 10.439789436282346 59.932962073124635, 10.438119687480194 59.9337202872282, 10.437510976976425 59.93404136119629, 10.436834771584467 59.93441080783815, 10.436424163881581 59.93462923817803, 10.435534874433893 59.935116797257685, 10.434466032834473 59.93570222493584)</t>
  </si>
  <si>
    <t>[850542, 849556, 849564, 849572, 849580, 849588, 849596, 849604, 849612, 849620, 849628]</t>
  </si>
  <si>
    <t>[824616, 824617, 824625, 824630, 824636, 824641, 824645, 824651, 824657, 824662, 824666]</t>
  </si>
  <si>
    <t>0.022729740519309805</t>
  </si>
  <si>
    <t>[825322, 824616, 824617, 824625, 824630, 824636, 824641, 824645, 824651, 824657, 824662]</t>
  </si>
  <si>
    <t>[0.004, 0.002, 0.005, 0.015, 0.127, 0.028, 0.047, 0.081, 0.153, 0.096, 0.01]</t>
  </si>
  <si>
    <t>1895.274838567252</t>
  </si>
  <si>
    <t>0.105</t>
  </si>
  <si>
    <t>25.15884933771033</t>
  </si>
  <si>
    <t>[-0.007, -0.017, -0.041, -0.053, -0.048, -0.03, -0.002, 0.02, 0.038, 0.053]</t>
  </si>
  <si>
    <t>LINESTRING (10.460073691001964 59.92296512618849, 10.460032198052883 59.92299328335035, 10.459935596230348 59.923021068410655, 10.459827634902448 59.92302242552369, 10.4597449864792 59.92300258584339, 10.459671076863337 59.92295398075504, 10.459669004009898 59.922874632018875, 10.459710640183197 59.92284111082129, 10.459808779717868 59.922807848010045, 10.459925562754977 59.9228018488421, 10.460016491417562 59.922826632646334)</t>
  </si>
  <si>
    <t>[850181, 850189, 850197, 850205, 850213, 850221, 850229, 850237, 850245, 850253]</t>
  </si>
  <si>
    <t>[824925, 825059, 824941, 824958, 825076, 824990, 824994, 825092, 825020, 825033]</t>
  </si>
  <si>
    <t>[825050, 824925, 825059, 824941, 824958, 825076, 824990, 824994, 825092, 825020]</t>
  </si>
  <si>
    <t>[0.007, 0.017, 0.041, 0.053, 0.048, 0.03, 0.002, 0.02, 0.038, 0.053]</t>
  </si>
  <si>
    <t>60.34664972425797</t>
  </si>
  <si>
    <t>[-0.019, -0.014, -0.013]</t>
  </si>
  <si>
    <t>LINESTRING (10.459590280679281 59.924488847972135, 10.459658312778624 59.92438999159735, 10.460162172616892 59.922932923955464, 10.460073691001964 59.92296512618849)</t>
  </si>
  <si>
    <t>[850550, 850165, 850173]</t>
  </si>
  <si>
    <t>[825045, 825046, 825050]</t>
  </si>
  <si>
    <t>[825322, 825045, 825046]</t>
  </si>
  <si>
    <t>[0.019, 0.014, 0.013]</t>
  </si>
  <si>
    <t>291.36020821571003</t>
  </si>
  <si>
    <t>[-0.018, -0.036, 0.02, -0.019, 0.013, 0.017, 0.034, 0.046, 0.043, 0.043, 0.048, 0.046]</t>
  </si>
  <si>
    <t>LINESTRING (11.298100287789504 63.73215185008481, 11.30522982135302 63.73240047935683, 11.30689631673029 63.73246080150937, 11.31652307262012 63.733288253818614, 11.316612469119454 63.73330932077984, 11.324661736402383 63.73668492354936, 11.32893591214611 63.73741466544243, 11.335249833830023 63.73854296905017, 11.335796458684676 63.738596549787616, 11.338727614584553 63.73874342570377, 11.338894692067397 63.73875484380681, 11.338988352554823 63.738761403144636, 11.339105810274912 63.738769627668496)</t>
  </si>
  <si>
    <t>[851314, 851322, 851330, 851338, 851346, 851354, 851458, 851466, 851474, 851482, 851490, 851498]</t>
  </si>
  <si>
    <t>[826027, 826033, 826044, 826053, 826062, 826070, 826162, 826168, 826175, 826178, 826185, 826188]</t>
  </si>
  <si>
    <t>0.013957048439768544</t>
  </si>
  <si>
    <t>[825880, 826027, 826033, 826044, 826053, 826062, 826070, 826162, 826168, 826175, 826178, 826185]</t>
  </si>
  <si>
    <t>[0.018, 0.036, 0.02, 0.019, 0.013, 0.017, 0.034, 0.046, 0.043, 0.043, 0.048, 0.046]</t>
  </si>
  <si>
    <t>2238.2064368852693</t>
  </si>
  <si>
    <t>[0.045, 0.042, 0.043, 0.042, 0.037, 0.029, 0.025]</t>
  </si>
  <si>
    <t>LINESTRING (11.335201770617882 63.738602236579055, 11.335741719283355 63.738658513991176, 11.338813188518847 63.73881523906779, 11.33902247687919 63.73882990463899, 11.3399724553894 63.73891677048709, 11.340863810013504 63.73902836010805, 11.342751353023342 63.7393716161528, 11.343591800639494 63.73957150786372)</t>
  </si>
  <si>
    <t>[851193, 851201, 851209, 851217, 851225, 851233, 851241]</t>
  </si>
  <si>
    <t>[825908, 825912, 825922, 825929, 825936, 825944, 825953]</t>
  </si>
  <si>
    <t>0.03679882283522449</t>
  </si>
  <si>
    <t>[825888, 825908, 825912, 825922, 825929, 825936, 825944]</t>
  </si>
  <si>
    <t>432.19186874121465</t>
  </si>
  <si>
    <t>[-0.041, -0.027, -0.036, -0.032, -0.022, -0.024, -0.033, -0.504, -0.038]</t>
  </si>
  <si>
    <t>LINESTRING (11.343591800639494 63.73957150786372, 11.343415455201308 63.739554235105494, 11.34110050570118 63.73910613230496, 11.340719706054589 63.739088720260895, 11.340313215301556 63.73916385202519, 11.339978957847496 63.73930686200366, 11.339721059120839 63.73936433809522, 11.338434440162178 63.73927397982405, 11.338258438701523 63.739233418926645, 11.3381981561949 63.73921953102959)</t>
  </si>
  <si>
    <t>[851289, 851273, 851281, 597780, 597788, 597796, 597804, 1380680, 1380688]</t>
  </si>
  <si>
    <t>[825987, 825988, 601042, 601043, 601050, 543939, 601062, 1270329, 532023]</t>
  </si>
  <si>
    <t>[825953, 825987, 825988, 601042, 601043, 601050, 543939, 601062, 1270329]</t>
  </si>
  <si>
    <t>[0.041, 0.027, 0.036, 0.032, 0.022, 0.024, 0.033, 0.504, 0.038]</t>
  </si>
  <si>
    <t>291.20745940191</t>
  </si>
  <si>
    <t>[0.043, 0.037, 0.029, 0.026, 0.031]</t>
  </si>
  <si>
    <t>LINESTRING (11.339105810274912 63.738769627668496, 11.34005514063812 63.738855533050206, 11.340944908884916 63.73896824101378, 11.34282934740976 63.739312738084706, 11.343662978432675 63.739517182665, 11.344132286086188 63.73965101220638)</t>
  </si>
  <si>
    <t>[851506, 851514, 851522, 851530, 851538]</t>
  </si>
  <si>
    <t>[826192, 826197, 826206, 826211, 825976]</t>
  </si>
  <si>
    <t>0.032530790438534574</t>
  </si>
  <si>
    <t>[826188, 826192, 826197, 826206, 826211]</t>
  </si>
  <si>
    <t>268.93103148483925</t>
  </si>
  <si>
    <t>[0.0, 0.001, 0.045, 0.005]</t>
  </si>
  <si>
    <t>LINESTRING (11.34046833846999 63.73774833524481, 11.34046833846999 63.73774833524481, 11.341310863343391 63.738985949251685, 11.344074743028354 63.739598666622676, 11.344132286086188 63.73965101220638)</t>
  </si>
  <si>
    <t>[1380624, 1380632, 1380640, 851265]</t>
  </si>
  <si>
    <t>[1270298, 1270303, 825975, 825976]</t>
  </si>
  <si>
    <t>0.021185866679103185</t>
  </si>
  <si>
    <t>[532078, 1270298, 1270303, 825975]</t>
  </si>
  <si>
    <t>334.45260565698817</t>
  </si>
  <si>
    <t>[0.042, 0.005, -0.043, -0.044]</t>
  </si>
  <si>
    <t>LINESTRING (11.339105810274912 63.738769627668496, 11.339351810644745 63.738760461943635, 11.340363057113647 63.737824516584546, 11.34032808171108 63.73781552281636, 11.340283135642728 63.7378039663721)</t>
  </si>
  <si>
    <t>[851554, 1380648, 1380656, 1380664]</t>
  </si>
  <si>
    <t>[826229, 1270313, 1270319, 532072]</t>
  </si>
  <si>
    <t>0.0063942467426495</t>
  </si>
  <si>
    <t>[826188, 826229, 1270313, 1270319]</t>
  </si>
  <si>
    <t>[0.042, 0.005, 0.043, 0.044]</t>
  </si>
  <si>
    <t>164.59430705091063</t>
  </si>
  <si>
    <t>[-0.05, 0.004, 0.002, -0.001, 0.003, -0.001, -0.001, -0.005, -0.007, 0.027]</t>
  </si>
  <si>
    <t>LINESTRING (13.360603613000848 65.15512635265708, 13.360736344322765 65.15518849156467, 13.361136006868119 65.15537744555714, 13.361434674678572 65.15552071691224, 13.362483395279119 65.15610661727867, 13.362537504294446 65.15614189601519, 13.362626656313298 65.15620194211587, 13.362657258172623 65.15622295436867, 13.363326227841338 65.15676890316736, 13.363392862812569 65.15683293039923, 13.36397886729844 65.1574643103528)</t>
  </si>
  <si>
    <t>[851950, 851958, 851966, 851974, 851982, 851990, 851998, 852006, 852014, 852022]</t>
  </si>
  <si>
    <t>[826468, 826476, 826482, 826488, 428857, 428873, 826501, 826506, 826511, 826239]</t>
  </si>
  <si>
    <t>0.004075545988278075</t>
  </si>
  <si>
    <t>[826237, 826468, 826476, 826482, 826488, 428857, 428873, 826501, 826506, 826511]</t>
  </si>
  <si>
    <t>[0.05, 0.004, 0.002, 0.001, 0.003, 0.001, 0.001, 0.005, 0.007, 0.027]</t>
  </si>
  <si>
    <t>307.6864744262614</t>
  </si>
  <si>
    <t>[-0.047, 0.006, 0.003, 0.001, -0.001, -0.001, 0.002, -0.005, 0.021]</t>
  </si>
  <si>
    <t>LINESTRING (13.360603613000848 65.15512635265708, 13.360758323957198 65.15517909254834, 13.361212868019718 65.15534961890782, 13.361531538291976 65.1554854528618, 13.36263632137111 65.15606458685441, 13.362695652123783 65.15609995840988, 13.362791285643665 65.15615696978998, 13.362828802058186 65.15617934086933, 13.36349838809096 65.15673748361934, 13.36397886729844 65.1574643103528)</t>
  </si>
  <si>
    <t>[852030, 852038, 852046, 852054, 852062, 852070, 852078, 852086, 852094]</t>
  </si>
  <si>
    <t>[826521, 826525, 826534, 826542, 428858, 428874, 826565, 826573, 826239]</t>
  </si>
  <si>
    <t>0.004154679321663798</t>
  </si>
  <si>
    <t>[826237, 826521, 826525, 826534, 826542, 428858, 428874, 826565, 826573]</t>
  </si>
  <si>
    <t>[0.047, 0.006, 0.003, 0.001, 0.001, 0.001, 0.002, 0.005, 0.021]</t>
  </si>
  <si>
    <t>311.7494880606324</t>
  </si>
  <si>
    <t>863.0</t>
  </si>
  <si>
    <t>LINESTRING (13.270200587193695 65.02982159516019, 13.360603613000848 65.15512635265708)</t>
  </si>
  <si>
    <t>[0.005, 0.001]</t>
  </si>
  <si>
    <t>LINESTRING (13.36397886729844 65.1574643103528, 13.368327193830089 65.16404137179455, 13.368908673443311 65.16708361124903)</t>
  </si>
  <si>
    <t>[851574, 851630]</t>
  </si>
  <si>
    <t>[428946, 826281]</t>
  </si>
  <si>
    <t>0.0037730828623255466</t>
  </si>
  <si>
    <t>[826239, 428946]</t>
  </si>
  <si>
    <t>1109.2881068147656</t>
  </si>
  <si>
    <t>[0.013, -0.039, 0.004, 0.001, 0.001, 0.001, 0.001, 0.004]</t>
  </si>
  <si>
    <t>LINESTRING (13.368908673443311 65.16708361124903, 13.368986370690013 65.16716693523965, 13.36900986718012 65.1672329948348, 13.3692608235777 65.16839244794764, 13.369261157166825 65.1684300924805, 13.36926188958665 65.16850154097912, 13.369260165443755 65.16852751368245, 13.369225596301504 65.16913728163628, 13.369317687774846 65.16994175465923)</t>
  </si>
  <si>
    <t>[851678, 851686, 851694, 851702, 851710, 851718, 851726, 851734]</t>
  </si>
  <si>
    <t>[826310, 826315, 826324, 826329, 826337, 826341, 826345, 826286]</t>
  </si>
  <si>
    <t>0.0025025122202821395</t>
  </si>
  <si>
    <t>[826281, 826310, 826315, 826324, 826329, 826337, 826341, 826345]</t>
  </si>
  <si>
    <t>[0.013, 0.039, 0.004, 0.001, 0.001, 0.001, 0.001, 0.004]</t>
  </si>
  <si>
    <t>320.1777791940495</t>
  </si>
  <si>
    <t>[-0.018, 0.002, 0.002, -0.001, 0.002, 0.001, 0.001, 0.008]</t>
  </si>
  <si>
    <t>LINESTRING (13.368908673443311 65.16708361124903, 13.36892925069424 65.16723640890568, 13.369076352058794 65.1683914041723, 13.369075324731176 65.16842861209973, 13.369071942977195 65.16850100314852, 13.369070737172862 65.1685258326901, 13.369044435755804 65.16913785342413, 13.369043642088135 65.16920460042222, 13.369317687774846 65.16994175465923)</t>
  </si>
  <si>
    <t>[851742, 851750, 851758, 851766, 851774, 851782, 851790, 851798]</t>
  </si>
  <si>
    <t>[826352, 826357, 826360, 826368, 826373, 826376, 826382, 826286]</t>
  </si>
  <si>
    <t>0.002185126957556886</t>
  </si>
  <si>
    <t>[826281, 826352, 826357, 826360, 826368, 826373, 826376, 826382]</t>
  </si>
  <si>
    <t>[0.018, 0.002, 0.002, 0.001, 0.002, 0.001, 0.001, 0.008]</t>
  </si>
  <si>
    <t>320.07029241240565</t>
  </si>
  <si>
    <t>[-0.037, -0.052, -0.027, 0.013, 0.047, 0.019, -0.023, 0.006, 0.053, 0.02, -0.001, -0.018, -0.007, -0.009, -0.012, 0.003, -0.024, 0.004, 0.007, 0.03, -0.009, 0.0, 0.01, 0.007, -0.008, -0.01, 0.019, 0.054, -0.036, -0.02, -0.018, 0.009]</t>
  </si>
  <si>
    <t>[0, 1, 1, 0, 0, 0, 0, 0, 1, 0, 0, 0, 1, 0, 0, 0, 1, 0, 0, 0, 0, 0, 0, 0, 0, 0, 1, 1, 0, 0, 0, 0]</t>
  </si>
  <si>
    <t>LINESTRING (10.703179184989473 59.443608516697246, 10.701552017223149 59.445093756439704, 10.70138048153851 59.445255376454746, 10.70108757900043 59.44553174742589, 10.700586222059004 59.44602835445511, 10.700182037555857 59.4464807025609, 10.699290087171748 59.447921798686096, 10.699074096446624 59.448633357018046, 10.699769342421416 59.4518091562722, 10.699912893116505 59.4520946730928, 10.700717778033587 59.4553459530513, 10.698382002028419 59.460717634363085, 10.70077621150046 59.47034546722146, 10.700837359708407 59.47056746880288, 10.700888237868858 59.47075381033464, 10.700946171485493 59.470962478291156, 10.702569462530887 59.47684783326968, 10.702626766668718 59.47705312510539, 10.70663728620985 59.48517074662205, 10.707733365655342 59.486497937535596, 10.709449618916405 59.48858686814652, 10.71004780426824 59.48937176700166, 10.711105665710184 59.49095408850848, 10.711595549010232 59.49192623389692, 10.711741680222158 59.49222489950414, 10.71213486298777 59.493141440660814, 10.71965571413603 59.50722450480195, 10.720108990610148 59.50936336705553, 10.720402799393856 59.51013527757137, 10.720818207242084 59.51095762545121, 10.721478420848486 59.51205871872484, 10.722021121505849 59.51284483075422, 10.722110348891427 59.51297274428082)</t>
  </si>
  <si>
    <t>[1671654, 1671662, 1671670, 1671678, 1671686, 1671694, 1671702, 1671710, 1671718, 1671726, 1671734, 1671742, 1671750, 1671758, 1671766, 1671774, 1671782, 1671790, 1671798, 1671806, 1671814, 1557519, 1557527, 1557535, 1557543, 1557551, 1557559, 1557567, 1557575, 1557583, 1557591, 1557599]</t>
  </si>
  <si>
    <t>[1499303, 1499311, 1499319, 1499328, 1499333, 1499342, 1499351, 1499356, 1499367, 1499374, 1499382, 1499392, 1499399, 1499405, 1499413, 1499421, 1499433, 1499440, 1499448, 1499457, 1405258, 1405259, 1405264, 1405272, 1405276, 1405281, 1405287, 1405293, 1405299, 1405303, 1405309, 1363657]</t>
  </si>
  <si>
    <t>[829200, 1499303, 1499311, 1499319, 1499328, 1499333, 1499342, 1499351, 1499356, 1499367, 1499374, 1499382, 1499392, 1499399, 1499405, 1499413, 1499421, 1499433, 1499440, 1499448, 1499457, 1405258, 1405259, 1405264, 1405272, 1405276, 1405281, 1405287, 1405293, 1405299, 1405303, 1405309]</t>
  </si>
  <si>
    <t>[0.037, 0.052, 0.027, 0.013, 0.047, 0.019, 0.023, 0.006, 0.053, 0.02, 0.001, 0.018, 0.007, 0.009, 0.012, 0.003, 0.024, 0.004, 0.007, 0.03, 0.009, 0.0, 0.01, 0.007, 0.008, 0.01, 0.019, 0.054, 0.036, 0.02, 0.018, 0.009]</t>
  </si>
  <si>
    <t>7999.416445264871</t>
  </si>
  <si>
    <t>[-0.03, -0.022, 0.023, 0.041, 0.037, 0.011]</t>
  </si>
  <si>
    <t>LINESTRING (10.69993108041743 59.44556393777614, 10.699932307269426 59.44560983886278, 10.700966328221337 59.44554446696075, 10.70126264790106 59.44526108700076, 10.70142305852778 59.44510850633255, 10.702964549509304 59.443717300563726, 10.703179184989473 59.443608516697246)</t>
  </si>
  <si>
    <t>[1675396, 1675404, 1675412, 1675420, 1675428, 855295]</t>
  </si>
  <si>
    <t>[1502607, 1502611, 1502618, 1502622, 829199, 829200]</t>
  </si>
  <si>
    <t>0.017401605922083084</t>
  </si>
  <si>
    <t>[1502606, 1502607, 1502611, 1502618, 1502622, 829199]</t>
  </si>
  <si>
    <t>[0.03, 0.022, 0.023, 0.041, 0.037, 0.011]</t>
  </si>
  <si>
    <t>351.6126196660453</t>
  </si>
  <si>
    <t>[0.01, -0.041, -0.043]</t>
  </si>
  <si>
    <t>LINESTRING (10.705714639126612 59.4409089434255, 10.705700055905128 59.441087642750844, 10.704370819360271 59.44518450749935, 10.704389306656859 59.44524776551585)</t>
  </si>
  <si>
    <t>[855303, 1675380, 1675388]</t>
  </si>
  <si>
    <t>[829209, 1502592, 1502600]</t>
  </si>
  <si>
    <t>[829208, 829209, 1502592]</t>
  </si>
  <si>
    <t>[0.01, 0.041, 0.043]</t>
  </si>
  <si>
    <t>504.11399997862725</t>
  </si>
  <si>
    <t>[-0.026, -0.015, -0.047, -0.073, -0.057, -0.038, 0.049]</t>
  </si>
  <si>
    <t>LINESTRING (10.705714639126612 59.4409089434255, 10.705045055085641 59.4419593788167, 10.703544295031314 59.44357866069866, 10.701958936213249 59.44501225519118, 10.701834799300618 59.445127590075685, 10.701670110138519 59.44528119918404, 10.70135444698039 59.44557564132896, 10.700864381782333 59.446062766029556)</t>
  </si>
  <si>
    <t>[1697831, 1697839, 1697847, 1697855, 1697863, 1697871, 1697879]</t>
  </si>
  <si>
    <t>[1518161, 1518164, 1518169, 1518174, 1518177, 1518182, 1160005]</t>
  </si>
  <si>
    <t>[829208, 1518161, 1518164, 1518169, 1518174, 1518177, 1518182]</t>
  </si>
  <si>
    <t>[0.026, 0.015, 0.047, 0.073, 0.057, 0.038, 0.049]</t>
  </si>
  <si>
    <t>638.7354140995308</t>
  </si>
  <si>
    <t>[0.04, 0.04, 0.036]</t>
  </si>
  <si>
    <t>LINESTRING (11.415983778383593 63.9690674670068, 11.416062732200391 63.969056544287064, 11.416788134281065 63.96895491152405, 11.416881031886856 63.96894319206204)</t>
  </si>
  <si>
    <t>[857416, 857424, 857432]</t>
  </si>
  <si>
    <t>[831137, 831142, 830992]</t>
  </si>
  <si>
    <t>0.03958907411564812</t>
  </si>
  <si>
    <t>[830975, 831137, 831142]</t>
  </si>
  <si>
    <t>46.08515161721369</t>
  </si>
  <si>
    <t>[0.016, 0.007, -0.014, -0.012, -0.003, 0.014, -0.012]</t>
  </si>
  <si>
    <t>LINESTRING (5.342836073977552 60.36079395738974, 5.342858259992511 60.36083321948151, 5.3432509585092625 60.361528477244846, 5.343377424629812 60.36179086902928, 5.343439695448873 60.3620389248834, 5.343469123811318 60.36240089477574, 5.343171342066473 60.36382140390488, 5.343177828768509 60.36386291674831)</t>
  </si>
  <si>
    <t>[858348, 858356, 858364, 858372, 858380, 858388, 858396]</t>
  </si>
  <si>
    <t>[831899, 831903, 831907, 831912, 831916, 831924, 831928]</t>
  </si>
  <si>
    <t>0.005564549425975635</t>
  </si>
  <si>
    <t>[831898, 831899, 831903, 831907, 831912, 831916, 831924]</t>
  </si>
  <si>
    <t>[0.016, 0.007, 0.014, 0.012, 0.003, 0.014, 0.012]</t>
  </si>
  <si>
    <t>348.5900576838979</t>
  </si>
  <si>
    <t>[-0.037, -0.003, -0.016]</t>
  </si>
  <si>
    <t>LINESTRING (5.342836073977552 60.36079395738974, 5.342934747944422 60.36083390263083, 5.343540257636482 60.362059777899525, 5.3435507231732675 60.3620927360631)</t>
  </si>
  <si>
    <t>[858412, 858516, 858524]</t>
  </si>
  <si>
    <t>[831944, 832036, 832043]</t>
  </si>
  <si>
    <t>[831898, 831944, 832036]</t>
  </si>
  <si>
    <t>[0.037, 0.003, 0.016]</t>
  </si>
  <si>
    <t>152.16275011891946</t>
  </si>
  <si>
    <t>[-0.089, 0.014, 0.018, 0.013]</t>
  </si>
  <si>
    <t>LINESTRING (5.3404414589390035 60.356105709865844, 5.340432199552489 60.356183922860986, 5.340861571459595 60.35723566194036, 5.3411548094969525 60.357776160166594, 5.342836073977552 60.36079395738974)</t>
  </si>
  <si>
    <t>[2014661, 2014669, 2014677, 2014685]</t>
  </si>
  <si>
    <t>[1761500, 1761504, 1761507, 831898]</t>
  </si>
  <si>
    <t>0.012151856888434188</t>
  </si>
  <si>
    <t>[1757396, 1761500, 1761504, 1761507]</t>
  </si>
  <si>
    <t>[0.089, 0.014, 0.018, 0.013]</t>
  </si>
  <si>
    <t>541.9695864557352</t>
  </si>
  <si>
    <t>[-0.031, 0.014, -0.001, -0.004, 0.007, 0.023, -0.004, -0.031, -0.03, -0.008, -0.01, -0.012, -0.018, -0.025, -0.043, -0.043, -0.041, -0.033, -0.016, -0.019, -0.022, -0.032, 0.031, -0.005, -0.021]</t>
  </si>
  <si>
    <t>401.0</t>
  </si>
  <si>
    <t>LINESTRING (5.343177828768509 60.36386291674831, 5.342931950360582 60.365014048743035, 5.3428905353556 60.365134815345044, 5.341989739928337 60.36677573014478, 5.340529302968229 60.370325686689135, 5.340438405370732 60.37071563925457, 5.340433942571909 60.37073375537081, 5.3402771399259015 60.37140486044219, 5.340074678630314 60.37219267708392, 5.339931683099202 60.372723192098924, 5.339861101116487 60.37330233920449, 5.339872359783956 60.373478007384904, 5.3398885320618055 60.373546759750276, 5.340023922768391 60.37413577861797, 5.340028727025751 60.37415301794519, 5.34012714514515 60.37459991448672, 5.3401287169061575 60.37467962720216, 5.340105837370333 60.37481181962524, 5.339983791481926 60.37492881421891, 5.33886462995912 60.37641068531062, 5.338839237646918 60.37652534509161, 5.338797546553711 60.376573757584254, 5.338767708403636 60.37660512903838, 5.33788254824118 60.37743393738899, 5.337564667383068 60.37770280467612, 5.337453848217863 60.377794823709046)</t>
  </si>
  <si>
    <t>[2014693, 2014701, 2014709, 2014717, 2014725, 2014733, 2014741, 2014749, 2014757, 2014765, 2014773, 2014781, 2014789, 2014797, 2014805, 2014813, 2014821, 2014829, 2014837, 2014845, 2014853, 2014861, 2014869, 2014877, 2014885]</t>
  </si>
  <si>
    <t>[1761516, 1761521, 1761526, 1761532, 1761537, 1761541, 1603472, 1761551, 1758005, 1758276, 1761564, 1761570, 1761575, 1761581, 1761587, 1761594, 1761599, 1761604, 1761610, 1761615, 1761619, 1761624, 1761629, 1761633, 1761636]</t>
  </si>
  <si>
    <t>[831928, 1761516, 1761521, 1761526, 1761532, 1761537, 1761541, 1603472, 1761551, 1758005, 1758276, 1761564, 1761570, 1761575, 1761581, 1761587, 1761594, 1761599, 1761604, 1761610, 1761615, 1761619, 1761624, 1761629, 1761633]</t>
  </si>
  <si>
    <t>[0.031, 0.014, 0.001, 0.004, 0.007, 0.023, 0.004, 0.031, 0.03, 0.008, 0.01, 0.012, 0.018, 0.025, 0.043, 0.043, 0.041, 0.033, 0.016, 0.019, 0.022, 0.032, 0.031, 0.005, 0.021]</t>
  </si>
  <si>
    <t>1609.039824489847</t>
  </si>
  <si>
    <t>[0.012, 0.016, 0.053]</t>
  </si>
  <si>
    <t>LINESTRING (5.3435885727169605 60.362340269103186, 5.343579945510735 60.36239185447573, 5.343215620550503 60.36382338123127, 5.343177828768509 60.36386291674831)</t>
  </si>
  <si>
    <t>[858420, 858428, 858404]</t>
  </si>
  <si>
    <t>[831951, 831936, 831928]</t>
  </si>
  <si>
    <t>0.016917469083712035</t>
  </si>
  <si>
    <t>[831950, 831951, 831936]</t>
  </si>
  <si>
    <t>171.93143264020293</t>
  </si>
  <si>
    <t>[0.115, 0.109, 0.084]</t>
  </si>
  <si>
    <t>LINESTRING (5.3435885727169605 60.362340269103186, 5.343453966273546 60.36235808648723, 5.34333146257963 60.36234423702429, 5.34329652580698 60.36233434208954)</t>
  </si>
  <si>
    <t>[2007520, 2007528, 2007536]</t>
  </si>
  <si>
    <t>[1757443, 1757450, 831967]</t>
  </si>
  <si>
    <t>0.10844258123977492</t>
  </si>
  <si>
    <t>[831950, 1757443, 1757450]</t>
  </si>
  <si>
    <t>16.89674735851759</t>
  </si>
  <si>
    <t>[-0.099, -0.054, -0.018, 0.06]</t>
  </si>
  <si>
    <t>LINESTRING (5.3435507231732675 60.3620927360631, 5.343655500680308 60.362127727727476, 5.343710454137498 60.36217118992439, 5.343728598194388 60.3622296840574, 5.3435885727169605 60.362340269103186)</t>
  </si>
  <si>
    <t>[2007488, 2007496, 2007504, 2007512]</t>
  </si>
  <si>
    <t>[1757426, 1757429, 1757436, 831950]</t>
  </si>
  <si>
    <t>[832043, 1757426, 1757429, 1757436]</t>
  </si>
  <si>
    <t>[0.099, 0.054, 0.018, 0.06]</t>
  </si>
  <si>
    <t>34.39621469242532</t>
  </si>
  <si>
    <t>[0.081, 0.06, 0.007, -0.057]</t>
  </si>
  <si>
    <t>LINESTRING (5.34329652580698 60.36233434208954, 5.343226964430368 60.362300663688146, 5.343192215572341 60.36226781696854, 5.3431773130620615 60.36220458537548, 5.343288386094356 60.36211024131214)</t>
  </si>
  <si>
    <t>[2007544, 2007552, 2007560, 2007568]</t>
  </si>
  <si>
    <t>[1753256, 1757460, 1756307, 832056]</t>
  </si>
  <si>
    <t>0.0008316638296821671</t>
  </si>
  <si>
    <t>[831967, 1753256, 1757460, 1756307]</t>
  </si>
  <si>
    <t>[0.081, 0.06, 0.007, 0.057]</t>
  </si>
  <si>
    <t>29.10740259249374</t>
  </si>
  <si>
    <t>[0.022, -0.012, -0.011]</t>
  </si>
  <si>
    <t>LINESTRING (5.34305289155404 60.363857870824276, 5.343029364874883 60.36381092178829, 5.343285788477593 60.36239305419283, 5.34329652580698 60.36233434208954)</t>
  </si>
  <si>
    <t>[858532, 858436, 858444]</t>
  </si>
  <si>
    <t>[831961, 831962, 831967]</t>
  </si>
  <si>
    <t>[832028, 831961, 831962]</t>
  </si>
  <si>
    <t>[0.022, 0.012, 0.011]</t>
  </si>
  <si>
    <t>171.08960159710176</t>
  </si>
  <si>
    <t>[0.019, 0.008, 0.005, -0.013, -0.014, -0.0, 0.014, 0.015]</t>
  </si>
  <si>
    <t>LINESTRING (5.342706098113458 60.3608045421925, 5.34272562412151 60.360843600387035, 5.342922793135715 60.36113416546727, 5.3431610219454875 60.36154182399842, 5.343279151572628 60.36180241123722, 5.343345647125207 60.36205790420672, 5.343362156588397 60.362408706818144, 5.343063142082844 60.36381375799717, 5.34305289155404 60.363857870824276)</t>
  </si>
  <si>
    <t>[858452, 858460, 858468, 858476, 858484, 858492, 858500, 858508]</t>
  </si>
  <si>
    <t>[831977, 831984, 831992, 831998, 832004, 832014, 832019, 832028]</t>
  </si>
  <si>
    <t>0.006028273106896773</t>
  </si>
  <si>
    <t>[831976, 831977, 831984, 831992, 831998, 832004, 832014, 832019]</t>
  </si>
  <si>
    <t>[0.019, 0.008, 0.005, 0.013, 0.014, 0.0, 0.014, 0.015]</t>
  </si>
  <si>
    <t>347.1958022311477</t>
  </si>
  <si>
    <t>[0.012, 0.007, -0.014, -0.065]</t>
  </si>
  <si>
    <t>LINESTRING (5.343288386094356 60.36211024131214, 5.343278276067586 60.36207034442929, 5.342890104684684 60.361229946229024, 5.342690399859952 60.36084861761476, 5.342706098113458 60.3608045421925)</t>
  </si>
  <si>
    <t>[858548, 858556, 858564, 858572]</t>
  </si>
  <si>
    <t>[832057, 832063, 832069, 831976]</t>
  </si>
  <si>
    <t>[832056, 832057, 832063, 832069]</t>
  </si>
  <si>
    <t>[0.012, 0.007, 0.014, 0.065]</t>
  </si>
  <si>
    <t>149.92775861117116</t>
  </si>
  <si>
    <t>[0.031, 0.038, 0.022, 0.011, 0.003]</t>
  </si>
  <si>
    <t>LINESTRING (5.340219186419973 60.35608580159072, 5.340200442832889 60.356154075372956, 5.340709803248921 60.357214409192366, 5.340730373835292 60.35725484692415, 5.341025054400592 60.35779393167722, 5.342706098113458 60.3608045421925)</t>
  </si>
  <si>
    <t>[2020163, 2020171, 2020179, 2020187, 2020195]</t>
  </si>
  <si>
    <t>[1764919, 1764925, 1762191, 1764936, 831976]</t>
  </si>
  <si>
    <t>0.012294879560056466</t>
  </si>
  <si>
    <t>[1757406, 1764919, 1764925, 1762191, 1764936]</t>
  </si>
  <si>
    <t>545.892753263344</t>
  </si>
  <si>
    <t>[-0.007, -0.005, -0.019, -0.015, -0.022, -0.026, -0.028, -0.026, -0.029, -0.03, -0.026, 0.026, 0.025, 0.014, 0.01, -0.02, -0.057, -0.083, -0.1]</t>
  </si>
  <si>
    <t>LINESTRING (5.34305289155404 60.363857870824276, 5.342823150189019 60.36502595058618, 5.340405356567544 60.370319319103665, 5.3403096139914465 60.37070659207087, 5.340305090841453 60.37072460426769, 5.340154661953509 60.37139185271306, 5.339956904120701 60.37217418882853, 5.33980490712709 60.372697531757716, 5.339693881080368 60.37347008652139, 5.339833171093087 60.37412808055779, 5.3398400831343045 60.37414865822877, 5.3397887047957795 60.37488456372513, 5.338673267410953 60.37638383799278, 5.338609532767639 60.37646871557565, 5.338564735727023 60.37651590545718, 5.338531560032806 60.3765462182494, 5.337629502639528 60.37736736492077, 5.337316785113271 60.377646089426385, 5.336928155772498 60.37796188972192, 5.33674387487545 60.37811933997587)</t>
  </si>
  <si>
    <t>[2020203, 2020211, 2020219, 2020227, 2020235, 2020243, 2020251, 2020259, 2020267, 2020275, 2020283, 2020291, 2020299, 2020307, 2020315, 2020323, 2020331, 2020339, 2020347]</t>
  </si>
  <si>
    <t>[1757993, 1764951, 1764956, 1764963, 1603471, 1757997, 1764978, 1762151, 1764985, 1764990, 1764994, 1765000, 1765007, 1765014, 1765019, 1765024, 1765030, 1765035, 1757075]</t>
  </si>
  <si>
    <t>[832028, 1757993, 1764951, 1764956, 1764963, 1603471, 1757997, 1764978, 1762151, 1764985, 1764990, 1764994, 1765000, 1765007, 1765014, 1765019, 1765024, 1765030, 1765035]</t>
  </si>
  <si>
    <t>[0.007, 0.005, 0.019, 0.015, 0.022, 0.026, 0.028, 0.026, 0.029, 0.03, 0.026, 0.026, 0.025, 0.014, 0.01, 0.02, 0.057, 0.083, 0.1]</t>
  </si>
  <si>
    <t>1653.373472103833</t>
  </si>
  <si>
    <t>[-0.11, -0.092, -0.114]</t>
  </si>
  <si>
    <t>LINESTRING (5.343288386094356 60.36211024131214, 5.3434150194502115 60.36208487533924, 5.343452252901139 60.36208371353007, 5.3435507231732675 60.3620927360631)</t>
  </si>
  <si>
    <t>[2007576, 2007584, 2007592]</t>
  </si>
  <si>
    <t>[1757472, 1757478, 832043]</t>
  </si>
  <si>
    <t>[832056, 1757472, 1757478]</t>
  </si>
  <si>
    <t>[0.11, 0.092, 0.114]</t>
  </si>
  <si>
    <t>15.170568751559522</t>
  </si>
  <si>
    <t>[0.084, 0.068, -0.006, 0.202, -0.013, -0.022, -0.44, -0.087, 0.213]</t>
  </si>
  <si>
    <t>18725.0</t>
  </si>
  <si>
    <t>LINESTRING (9.958795281235497 59.065284843170865, 9.955452275751538 59.06629922017993, 9.948912046463688 59.06818471715293, 9.939160396835204 59.0708460646979, 9.938923556285268 59.070912151674754, 9.935152834006503 59.07189461718142, 9.925006294578877 59.07278362680077, 9.924848815422251 59.07278878641302, 9.919627032522145 59.072964813054256, 9.918931018241336 59.07298826300685)</t>
  </si>
  <si>
    <t>[860237, 860245, 860253, 860261, 860269, 860445, 860453, 860461, 860469]</t>
  </si>
  <si>
    <t>[833502, 833506, 833514, 833519, 833527, 833703, 833707, 833712, 833567]</t>
  </si>
  <si>
    <t>0.003816447859791997</t>
  </si>
  <si>
    <t>[833343, 833502, 833506, 833514, 833519, 833527, 833703, 833707, 833712]</t>
  </si>
  <si>
    <t>[0.084, 0.068, 0.006, 0.202, 0.013, 0.022, 0.44, 0.087, 0.213]</t>
  </si>
  <si>
    <t>2488.1530169259086</t>
  </si>
  <si>
    <t>[0.086, 0.048, 0.007, -0.006, -0.085, -0.141]</t>
  </si>
  <si>
    <t>LINESTRING (9.973111180698842 59.06456493546581, 9.972559687425234 59.06449514735354, 9.966237370657304 59.0642490835484, 9.965547352755928 59.06428266648254, 9.964217029937641 59.06438150947827, 9.959713084285156 59.06507020721575, 9.958795281235497 59.065284843170865)</t>
  </si>
  <si>
    <t>[860149, 860157, 860165, 860173, 860181, 860189]</t>
  </si>
  <si>
    <t>[833424, 833432, 833440, 833445, 833453, 833343]</t>
  </si>
  <si>
    <t>[833417, 833424, 833432, 833440, 833445, 833453]</t>
  </si>
  <si>
    <t>[0.086, 0.048, 0.007, 0.006, 0.085, 0.141]</t>
  </si>
  <si>
    <t>842.9347676718719</t>
  </si>
  <si>
    <t>[0.03, -0.072, -0.065]</t>
  </si>
  <si>
    <t>LINESTRING (9.965779785950073 59.06461623198934, 9.96563628436235 59.064579086563256, 9.959246749649187 59.06521023290716, 9.958795281235497 59.065284843170865)</t>
  </si>
  <si>
    <t>[864757, 864758, 860061]</t>
  </si>
  <si>
    <t>[837826, 833342, 833343]</t>
  </si>
  <si>
    <t>[837730, 837826, 833342]</t>
  </si>
  <si>
    <t>[0.03, 0.072, 0.065]</t>
  </si>
  <si>
    <t>414.5747515205164</t>
  </si>
  <si>
    <t>[0.016, 0.06, 0.047, 0.013, -0.006, -0.09]</t>
  </si>
  <si>
    <t>LINESTRING (9.974312530929577 59.06460944942357, 9.973177548260914 59.06443938001055, 9.972621386269553 59.064368798920434, 9.96621780687544 59.06411950374941, 9.965519593044869 59.06415347833434, 9.964170868794264 59.06425370094352, 9.959604590353033 59.06495200621005)</t>
  </si>
  <si>
    <t>[860077, 860085, 860093, 860101, 860109, 860117]</t>
  </si>
  <si>
    <t>[833357, 833362, 833368, 833379, 833385, 833394]</t>
  </si>
  <si>
    <t>[833349, 833357, 833362, 833368, 833379, 833385]</t>
  </si>
  <si>
    <t>[0.016, 0.06, 0.047, 0.013, 0.006, 0.09]</t>
  </si>
  <si>
    <t>863.2167733964015</t>
  </si>
  <si>
    <t>[-0.051, -0.04, 0.345, 0.06, -26.013]</t>
  </si>
  <si>
    <t>LINESTRING (9.965983923469823 59.06378414620233, 9.966114792515683 59.06380115939927, 9.972065646974103 59.0642581504834, 9.973903150404487 59.06451452606554, 9.974283282714598 59.06460267217964, 9.974312530929577 59.06460944942357)</t>
  </si>
  <si>
    <t>[864778, 864794, 1266651, 1266870, 1266883]</t>
  </si>
  <si>
    <t>[837852, 837867, 1183285, 1183456, 833349]</t>
  </si>
  <si>
    <t>[837851, 837852, 837867, 1183285, 1183456]</t>
  </si>
  <si>
    <t>[0.051, 0.04, 0.345, 0.06, 26.013]</t>
  </si>
  <si>
    <t>488.4600983997718</t>
  </si>
  <si>
    <t>[-0.028, 0.016, 0.048]</t>
  </si>
  <si>
    <t>LINESTRING (9.988133424332723 59.06518640904243, 9.979525476500266 59.06540696197789, 9.975212857231922 59.06476405219566, 9.974312530929577 59.06460944942357)</t>
  </si>
  <si>
    <t>[2166806, 859957, 860069]</t>
  </si>
  <si>
    <t>[833242, 833243, 833349]</t>
  </si>
  <si>
    <t>[1853930, 833242, 833243]</t>
  </si>
  <si>
    <t>[0.028, 0.016, 0.048]</t>
  </si>
  <si>
    <t>787.3098688674594</t>
  </si>
  <si>
    <t>[-0.134, 0.074, 0.067, -0.002, 0.223, -0.016, -0.022, -0.417, -0.083]</t>
  </si>
  <si>
    <t>[0, 0, 0, 0, 0, 0, 0, 1, 1]</t>
  </si>
  <si>
    <t>LINESTRING (9.959604590353033 59.06495200621005, 9.95867116758073 59.06517035124759, 9.955295488287565 59.066168398783624, 9.94877629268315 59.06804654826063, 9.939145138688993 59.07067826495566, 9.938907501079548 59.07074194545186, 9.935117498635659 59.07172966542089, 9.924993709687566 59.072694006552915, 9.9248373989779 59.072699184979435, 9.919615648400818 59.07287520308897)</t>
  </si>
  <si>
    <t>[860125, 860197, 860205, 860213, 860221, 860229, 860397, 860405, 860413]</t>
  </si>
  <si>
    <t>[833401, 833466, 833471, 833480, 833488, 833496, 833656, 833664, 833674]</t>
  </si>
  <si>
    <t>[833394, 833401, 833466, 833471, 833480, 833488, 833496, 833656, 833664]</t>
  </si>
  <si>
    <t>[0.134, 0.074, 0.067, 0.002, 0.223, 0.016, 0.022, 0.417, 0.083]</t>
  </si>
  <si>
    <t>2500.305953961683</t>
  </si>
  <si>
    <t>[0.189, 0.065, -0.019]</t>
  </si>
  <si>
    <t>LINESTRING (9.959604590353033 59.06495200621005, 9.96012063863007 59.06481009227901, 9.965510003672907 59.063834252446426, 9.965607153922493 59.063815081726155)</t>
  </si>
  <si>
    <t>[864821, 1734349, 1734357]</t>
  </si>
  <si>
    <t>[837896, 1541094, 1541064]</t>
  </si>
  <si>
    <t>0.0749596419016729</t>
  </si>
  <si>
    <t>[833394, 837896, 1541094]</t>
  </si>
  <si>
    <t>[0.189, 0.065, 0.019]</t>
  </si>
  <si>
    <t>367.7297426205713</t>
  </si>
  <si>
    <t>[0.073, 0.044, -0.037]</t>
  </si>
  <si>
    <t>LINESTRING (9.973111180698842 59.06456493546581, 9.972581444702268 59.06452920048737, 9.96625752100658 59.06454221505098, 9.966154961330492 59.064579907513476)</t>
  </si>
  <si>
    <t>[1734318, 864696, 864712]</t>
  </si>
  <si>
    <t>[837757, 837758, 837711]</t>
  </si>
  <si>
    <t>0.044749485748375166</t>
  </si>
  <si>
    <t>[833417, 837757, 837758]</t>
  </si>
  <si>
    <t>[0.073, 0.044, 0.037]</t>
  </si>
  <si>
    <t>404.9884035010123</t>
  </si>
  <si>
    <t>[-0.022, 0.008, 0.113, 0.034, -0.009, -0.014, 0.424, -0.02, 0.001, 0.053, 0.025]</t>
  </si>
  <si>
    <t>8137.0</t>
  </si>
  <si>
    <t>[0, 1, 0, 0, 0, 0, 0, 0, 0, 0, 0]</t>
  </si>
  <si>
    <t>LINESTRING (10.020897204735789 59.060002211370836, 10.016562839454878 59.057707254165905, 10.007131746604943 59.056611354497626, 10.005886394986804 59.056752122880106, 9.99092750907283 59.0646474760119, 9.99077510531575 59.06469339694058, 9.988215355541216 59.065300063878624, 9.987759613641238 59.06537858487619, 9.979487603813329 59.06549744045076, 9.975137022092134 59.06486757625241, 9.974240224021 59.06472894464218, 9.973111180698842 59.06456493546581)</t>
  </si>
  <si>
    <t>[988758, 988759, 988760, 988460, 988476, 988477, 2166794, 2166812, 1734484, 860133, 860141]</t>
  </si>
  <si>
    <t>[947996, 947997, 947750, 947751, 947764, 947765, 1853926, 1541178, 833409, 833410, 833417]</t>
  </si>
  <si>
    <t>0.015761657106274776</t>
  </si>
  <si>
    <t>[947864, 947996, 947997, 947750, 947751, 947764, 947765, 1853926, 1541178, 833409, 833410]</t>
  </si>
  <si>
    <t>[0.022, 0.008, 0.113, 0.034, 0.009, 0.014, 0.424, 0.02, 0.001, 0.053, 0.025]</t>
  </si>
  <si>
    <t>3325.8412758809377</t>
  </si>
  <si>
    <t>[0.211, 0.045, 0.018, 0.005, -0.041, 0.048, 0.1]</t>
  </si>
  <si>
    <t>LINESTRING (9.918931018241336 59.07298826300685, 9.918412845965852 59.07303720134602, 9.914968874070603 59.073306109124026, 9.91427414473106 59.07353871816318, 9.91212309809948 59.073598927285275, 9.911042434654023 59.073315731759244, 9.907606301909942 59.07343144786984, 9.907080878895206 59.07341828911572)</t>
  </si>
  <si>
    <t>[860309, 860493, 860501, 860509, 860517, 860525, 860533]</t>
  </si>
  <si>
    <t>[833568, 833734, 652535, 833743, 833747, 833753, 833730]</t>
  </si>
  <si>
    <t>0.03681406095866558</t>
  </si>
  <si>
    <t>[833567, 833568, 833734, 652535, 833743, 833747, 833753]</t>
  </si>
  <si>
    <t>[0.211, 0.045, 0.018, 0.005, 0.041, 0.048, 0.1]</t>
  </si>
  <si>
    <t>711.8264708771177</t>
  </si>
  <si>
    <t>[0.025, 0.101]</t>
  </si>
  <si>
    <t>LINESTRING (9.918931018241336 59.07298826300685, 9.909113461993597 59.073343264012415, 9.907080878895206 59.07341828911572)</t>
  </si>
  <si>
    <t>[860477, 860485]</t>
  </si>
  <si>
    <t>[833724, 833730]</t>
  </si>
  <si>
    <t>0.03803677129952523</t>
  </si>
  <si>
    <t>[833567, 833724]</t>
  </si>
  <si>
    <t>681.7737263928029</t>
  </si>
  <si>
    <t>[-0.105, 0.019, -0.018, 0.011, -0.088, -0.214]</t>
  </si>
  <si>
    <t>LINESTRING (9.909082677529305 59.073204879280254, 9.909600604381582 59.073158667509965, 9.913221091216487 59.07287532029436, 9.914990727085772 59.07264727669562, 9.915728569905465 59.072957123165686, 9.919263743075891 59.07285556385878, 9.919615648400818 59.07287520308897)</t>
  </si>
  <si>
    <t>[864812, 860277, 860285, 860293, 860301, 864820]</t>
  </si>
  <si>
    <t>[833535, 833536, 652503, 833550, 833559, 833674]</t>
  </si>
  <si>
    <t>[833689, 833535, 833536, 652503, 833550, 833559]</t>
  </si>
  <si>
    <t>[0.105, 0.019, 0.018, 0.011, 0.088, 0.214]</t>
  </si>
  <si>
    <t>639.1536809322088</t>
  </si>
  <si>
    <t>[0.103, -0.077, -0.162, -0.039, 0.053, -0.013, -0.033, 0.01, 0.009, 0.1, 0.025, -0.003, 0.004, -0.029, 0.011, -0.009, 0.013, 0.032]</t>
  </si>
  <si>
    <t>[0, 0, 0, 1, 0, 0, 0, 1, 0, 0, 0, 0, 1, 0, 1, 0, 1, 0]</t>
  </si>
  <si>
    <t>LINESTRING (9.909082677529305 59.073204879280254, 9.907062809897317 59.07326599943523, 9.904294632024307 59.073358981331026, 9.90297966219782 59.07340851495566, 9.90021909505983 59.073594428126285, 9.894582456862693 59.07441331957366, 9.888623449076665 59.07602168647499, 9.8782207311021 59.07869379976591, 9.87521099058251 59.079142576777784, 9.861367157681492 59.07968177230142, 9.860512927656137 59.079660181751926, 9.851926761996555 59.07955699381655, 9.850439216205114 59.07965985111281, 9.849495257221935 59.07976083679056, 9.832458467558006 59.08625664810675, 9.831361377265974 59.08649868729873, 9.826174822173686 59.087087166971024, 9.824349492756085 59.087103777972004, 9.823990515841455 59.08710136961338)</t>
  </si>
  <si>
    <t>[860437, 860589, 860597, 860605, 860613, 860621, 860629, 860685, 860693, 860701, 860709, 860861, 860869, 860877, 860885, 860897, 860905, 860986]</t>
  </si>
  <si>
    <t>[833694, 833794, 833799, 833807, 833814, 833821, 833832, 833881, 833891, 833898, 833904, 834041, 834051, 834058, 834066, 834079, 834089, 834162]</t>
  </si>
  <si>
    <t>[833689, 833694, 833794, 833799, 833807, 833814, 833821, 833832, 833881, 833891, 833898, 833904, 834041, 834051, 834058, 834066, 834079, 834089]</t>
  </si>
  <si>
    <t>[0.103, 0.077, 0.162, 0.039, 0.053, 0.013, 0.033, 0.01, 0.009, 0.1, 0.025, 0.003, 0.004, 0.029, 0.011, 0.009, 0.013, 0.032]</t>
  </si>
  <si>
    <t>5305.5959282311715</t>
  </si>
  <si>
    <t>[-0.076, -0.153, -0.033, 0.046, -0.007, -0.035, 0.013, 0.012, 0.097, 0.021, -0.002, 0.004, -0.029, 0.008, -0.01, 0.007, 0.031, 0.03]</t>
  </si>
  <si>
    <t>[0, 0, 1, 0, 0, 0, 1, 0, 0, 0, 0, 1, 0, 1, 0, 1, 0, 0]</t>
  </si>
  <si>
    <t>LINESTRING (9.907080878895206 59.07341828911572, 9.904312973469324 59.07351135441696, 9.903004658310165 59.07356063767468, 9.900268359334941 59.07374497993617, 9.894690765131767 59.074555433921546, 9.888778572944693 59.07614717481135, 9.87827411756251 59.07877929316265, 9.875252558340872 59.0792297989192, 9.861353402264573 59.07982078872394, 9.860500144530567 59.07979921879498, 9.851951641719461 59.07964600838641, 9.85047002454182 59.07974823822466, 9.849535976480759 59.079848161050144, 9.832533739048618 59.086337665195515, 9.831424525553807 59.08658240612235, 9.826185876224415 59.08717678703414, 9.82434738528694 59.08719357376435, 9.823983133407594 59.08719112540056, 9.823668181707127 59.08718928032608)</t>
  </si>
  <si>
    <t>[860637, 860645, 860653, 860661, 860669, 860677, 860717, 860725, 860733, 860741, 860913, 860921, 860931, 860951, 860959, 860960, 861059, 861070]</t>
  </si>
  <si>
    <t>[833839, 833845, 833852, 833860, 833866, 833874, 833909, 833912, 833919, 833925, 834095, 834100, 834105, 834124, 834136, 834137, 834243, 834256]</t>
  </si>
  <si>
    <t>[833730, 833839, 833845, 833852, 833860, 833866, 833874, 833909, 833912, 833919, 833925, 834095, 834100, 834105, 834124, 834136, 834137, 834243]</t>
  </si>
  <si>
    <t>[0.076, 0.153, 0.033, 0.046, 0.007, 0.035, 0.013, 0.012, 0.097, 0.021, 0.002, 0.004, 0.029, 0.008, 0.01, 0.007, 0.031, 0.03]</t>
  </si>
  <si>
    <t>5205.531844665591</t>
  </si>
  <si>
    <t>[0.039, 0.054]</t>
  </si>
  <si>
    <t>LINESTRING (9.818029623442577 59.08809335330243, 9.817863344333096 59.08825180728266, 9.817476474891642 59.088188985686514)</t>
  </si>
  <si>
    <t>[860749, 860757]</t>
  </si>
  <si>
    <t>[833935, 833943]</t>
  </si>
  <si>
    <t>0.047172477892555936</t>
  </si>
  <si>
    <t>[833934, 833935]</t>
  </si>
  <si>
    <t>46.854037864202645</t>
  </si>
  <si>
    <t>19.89141918615134</t>
  </si>
  <si>
    <t>[0.024, 0.018, 0.045, 0.042]</t>
  </si>
  <si>
    <t>LINESTRING (9.823668181707127 59.08718928032608, 9.823162009539917 59.0872195109069, 9.818171120527166 59.08800571045068, 9.818078789010258 59.08805438135724, 9.818029623442577 59.08809335330243)</t>
  </si>
  <si>
    <t>[861169, 861139, 861153, 861161]</t>
  </si>
  <si>
    <t>[834323, 834324, 834337, 833934]</t>
  </si>
  <si>
    <t>0.019448277133151556</t>
  </si>
  <si>
    <t>[834256, 834323, 834324, 834337]</t>
  </si>
  <si>
    <t>348.29903876281026</t>
  </si>
  <si>
    <t>20.15904109241996</t>
  </si>
  <si>
    <t>[0.065, -0.027, -0.016]</t>
  </si>
  <si>
    <t>LINESTRING (9.817476474891642 59.088188985686514, 9.817383030543317 59.08817678540975, 9.811282185001225 59.08943760744695, 9.810960567776657 59.08954084018787)</t>
  </si>
  <si>
    <t>[861189, 861190, 861184]</t>
  </si>
  <si>
    <t>[834372, 834367, 834283]</t>
  </si>
  <si>
    <t>[833943, 834372, 834367]</t>
  </si>
  <si>
    <t>[0.065, 0.027, 0.016]</t>
  </si>
  <si>
    <t>413.77126223047117</t>
  </si>
  <si>
    <t>[-0.057, -0.059]</t>
  </si>
  <si>
    <t>LINESTRING (9.81750733357558 59.08801728085089, 9.817641186602012 59.08796875245366, 9.817809741282087 59.08796500166005)</t>
  </si>
  <si>
    <t>[860773, 860781]</t>
  </si>
  <si>
    <t>[833960, 833968]</t>
  </si>
  <si>
    <t>[833952, 833960]</t>
  </si>
  <si>
    <t>[0.057, 0.059]</t>
  </si>
  <si>
    <t>19.071579533296692</t>
  </si>
  <si>
    <t>[-0.026, -0.019]</t>
  </si>
  <si>
    <t>LINESTRING (9.81750733357558 59.08801728085089, 9.817524820917665 59.08796441635818, 9.817525645742906 59.08779233657243)</t>
  </si>
  <si>
    <t>[864078, 864094]</t>
  </si>
  <si>
    <t>[837135, 834411]</t>
  </si>
  <si>
    <t>[833952, 837135]</t>
  </si>
  <si>
    <t>[0.026, 0.019]</t>
  </si>
  <si>
    <t>25.406473061755243</t>
  </si>
  <si>
    <t>[0.036, 0.018]</t>
  </si>
  <si>
    <t>LINESTRING (9.817809741282087 59.08796500166005, 9.817723635620387 59.087926470556866, 9.817525645742906 59.08779233657243)</t>
  </si>
  <si>
    <t>[861225, 861226]</t>
  </si>
  <si>
    <t>[834410, 834411]</t>
  </si>
  <si>
    <t>0.022584830163261977</t>
  </si>
  <si>
    <t>[833968, 834410]</t>
  </si>
  <si>
    <t>25.699129154563572</t>
  </si>
  <si>
    <t>20.904909933235047</t>
  </si>
  <si>
    <t>[0.023, 0.03]</t>
  </si>
  <si>
    <t>LINESTRING (9.81728377826774 59.087198665128795, 9.817162715842343 59.08723685382595, 9.817036126945485 59.087243949091594)</t>
  </si>
  <si>
    <t>[860845, 860853]</t>
  </si>
  <si>
    <t>[834029, 833982]</t>
  </si>
  <si>
    <t>0.026309534261020562</t>
  </si>
  <si>
    <t>[834022, 834029]</t>
  </si>
  <si>
    <t>15.45123724049703</t>
  </si>
  <si>
    <t>LINESTRING (9.817274129882025 59.087406428373946, 9.817100882385715 59.08728329025166, 9.817036126945485 59.087243949091594)</t>
  </si>
  <si>
    <t>[864117, 864125]</t>
  </si>
  <si>
    <t>[837182, 833982]</t>
  </si>
  <si>
    <t>[837171, 837182]</t>
  </si>
  <si>
    <t>23.007582361609586</t>
  </si>
  <si>
    <t>[0.032, -0.031, -0.053, -0.062]</t>
  </si>
  <si>
    <t>LINESTRING (9.816779075037859 59.08712386054059, 9.816907478560369 59.086961164580636, 9.817041940636186 59.08693795453273, 9.81719359575326 59.08695285542591, 9.817339707802022 59.087028351308085)</t>
  </si>
  <si>
    <t>[860805, 860813, 860821, 860829]</t>
  </si>
  <si>
    <t>[833988, 833997, 834006, 834015]</t>
  </si>
  <si>
    <t>[833983, 833988, 833997, 834006]</t>
  </si>
  <si>
    <t>[0.032, 0.031, 0.053, 0.062]</t>
  </si>
  <si>
    <t>49.52320968440514</t>
  </si>
  <si>
    <t>[0.074, 0.02, 0.044]</t>
  </si>
  <si>
    <t>LINESTRING (9.8116899328142 59.08911930185285, 9.812113095045326 59.08891442087679, 9.816748215395222 59.087172887096145, 9.816779075037859 59.08712386054059)</t>
  </si>
  <si>
    <t>[861217, 861191, 861206]</t>
  </si>
  <si>
    <t>[834373, 834374, 833983]</t>
  </si>
  <si>
    <t>0.025251166800735546</t>
  </si>
  <si>
    <t>[834211, 834373, 834374]</t>
  </si>
  <si>
    <t>369.0016485902708</t>
  </si>
  <si>
    <t>20.124419521744265</t>
  </si>
  <si>
    <t>[-0.053, -0.05, -0.018, -0.039]</t>
  </si>
  <si>
    <t>LINESTRING (9.817339707802022 59.087028351308085, 9.817418068638743 59.08705229281984, 9.817552072224693 59.08707952439156, 9.823465399441906 59.08706638258539, 9.823990515841455 59.08710136961338)</t>
  </si>
  <si>
    <t>[861128, 861133, 861138, 864804]</t>
  </si>
  <si>
    <t>[834315, 834320, 834322, 834162]</t>
  </si>
  <si>
    <t>[834015, 834315, 834320, 834322]</t>
  </si>
  <si>
    <t>[0.053, 0.05, 0.018, 0.039]</t>
  </si>
  <si>
    <t>383.5860501041856</t>
  </si>
  <si>
    <t>[-0.024, -0.002]</t>
  </si>
  <si>
    <t>LINESTRING (9.817274129882025 59.087406428373946, 9.817274078082933 59.08725252530443, 9.81728377826774 59.087198665128795)</t>
  </si>
  <si>
    <t>[864109, 864110]</t>
  </si>
  <si>
    <t>[837172, 834022]</t>
  </si>
  <si>
    <t>[837171, 837172]</t>
  </si>
  <si>
    <t>[0.024, 0.002]</t>
  </si>
  <si>
    <t>23.4833518960213</t>
  </si>
  <si>
    <t>[0.032, 0.013, 0.037, -0.028]</t>
  </si>
  <si>
    <t>LINESTRING (9.823990515841455 59.08710136961338, 9.823678349958104 59.08709937502804, 9.819384513767618 59.08728869246602, 9.816929957277601 59.08763837825156, 9.8116899328142 59.08911930185285)</t>
  </si>
  <si>
    <t>[860988, 860997, 861023, 861031]</t>
  </si>
  <si>
    <t>[834163, 834175, 834201, 834211]</t>
  </si>
  <si>
    <t>[834162, 834163, 834175, 834201]</t>
  </si>
  <si>
    <t>[0.032, 0.013, 0.037, 0.028]</t>
  </si>
  <si>
    <t>756.2156971059165</t>
  </si>
  <si>
    <t>[-0.028, 0.102, 0.178, 0.03]</t>
  </si>
  <si>
    <t>LINESTRING (9.8116899328142 59.08911930185285, 9.810854049609748 59.08947766824092, 9.810723654814051 59.0895366223831, 9.809748748202901 59.09000810013893, 9.808606349604577 59.09066995396117)</t>
  </si>
  <si>
    <t>[861038, 861039, 861042, 861043]</t>
  </si>
  <si>
    <t>[834220, 834221, 834224, 834225]</t>
  </si>
  <si>
    <t>0.06405629936874072</t>
  </si>
  <si>
    <t>[834211, 834220, 834221, 834224]</t>
  </si>
  <si>
    <t>[0.028, 0.102, 0.178, 0.03]</t>
  </si>
  <si>
    <t>248.27681591006564</t>
  </si>
  <si>
    <t>[-0.017, -0.295, 0.0, 0.008, -0.046, 0.03, 0.11]</t>
  </si>
  <si>
    <t>LINESTRING (9.808606349604577 59.09066995396117, 9.80843717705718 59.09076078708708, 9.807464194161652 59.09122015215004, 9.80746135721925 59.09122133403943, 9.801317594352412 59.09219403759489, 9.799644170625614 59.09209239737927, 9.794359174030507 59.09195584045691, 9.791551409917993 59.09242311499677)</t>
  </si>
  <si>
    <t>[861044, 914881, 914889, 914897, 914905, 914913, 914921]</t>
  </si>
  <si>
    <t>[834226, 887239, 887245, 887253, 887259, 887268, 887273]</t>
  </si>
  <si>
    <t>0.0036770145375513183</t>
  </si>
  <si>
    <t>[834225, 834226, 887239, 887245, 887253, 887259, 887268]</t>
  </si>
  <si>
    <t>[0.017, 0.295, 0.0, 0.008, 0.046, 0.03, 0.11]</t>
  </si>
  <si>
    <t>1038.997586798827</t>
  </si>
  <si>
    <t>[0.016, 0.161, 0.045]</t>
  </si>
  <si>
    <t>LINESTRING (9.810960567776657 59.08954084018787, 9.81082818147545 59.089598049955, 9.80985537183188 59.09006699418633, 9.808606349604577 59.09066995396117)</t>
  </si>
  <si>
    <t>[861109, 861117, 861127]</t>
  </si>
  <si>
    <t>[834296, 834305, 834225]</t>
  </si>
  <si>
    <t>0.09133607349285482</t>
  </si>
  <si>
    <t>[834283, 834296, 834305]</t>
  </si>
  <si>
    <t>185.2182038673023</t>
  </si>
  <si>
    <t>[0.015, 0.039, -0.026, -0.03]</t>
  </si>
  <si>
    <t>LINESTRING (9.823668181707127 59.08718928032608, 9.819421337329796 59.08737774355273, 9.816995129205544 59.08772607314443, 9.811826490108446 59.08920465169168, 9.810960567776657 59.08954084018787)</t>
  </si>
  <si>
    <t>[861071, 861072, 861077, 861093]</t>
  </si>
  <si>
    <t>[834257, 834258, 834263, 834283]</t>
  </si>
  <si>
    <t>[834256, 834257, 834258, 834263]</t>
  </si>
  <si>
    <t>[0.015, 0.039, 0.026, 0.03]</t>
  </si>
  <si>
    <t>792.5349025675678</t>
  </si>
  <si>
    <t>45.37349545658673</t>
  </si>
  <si>
    <t>20.581631925176197</t>
  </si>
  <si>
    <t>[0.021, -0.02]</t>
  </si>
  <si>
    <t>LINESTRING (9.965777389549716 59.064426095721295, 9.96591610500098 59.06439643220449, 9.966070395254325 59.06441540938199)</t>
  </si>
  <si>
    <t>[864688, 864644]</t>
  </si>
  <si>
    <t>[837703, 837704]</t>
  </si>
  <si>
    <t>[837739, 837703]</t>
  </si>
  <si>
    <t>17.727855612509096</t>
  </si>
  <si>
    <t>[-0.051, -0.062, -0.058]</t>
  </si>
  <si>
    <t>LINESTRING (9.96599646880026 59.06396572536424, 9.965953595051696 59.06403599686762, 9.966012693767457 59.064355853500864, 9.966070395254325 59.06441540938199)</t>
  </si>
  <si>
    <t>[1734326, 1734334, 1734337]</t>
  </si>
  <si>
    <t>[1541082, 1541085, 837704]</t>
  </si>
  <si>
    <t>[1541073, 1541082, 1541085]</t>
  </si>
  <si>
    <t>[0.051, 0.062, 0.058]</t>
  </si>
  <si>
    <t>52.169398314783905</t>
  </si>
  <si>
    <t>2.860437029539005</t>
  </si>
  <si>
    <t>[-0.036, -0.005]</t>
  </si>
  <si>
    <t>LINESTRING (9.966127534319673 59.064601332765065, 9.96600499573134 59.064643142096244, 9.965852854339863 59.06463939937961)</t>
  </si>
  <si>
    <t>[864668, 864670]</t>
  </si>
  <si>
    <t>[837725, 837727]</t>
  </si>
  <si>
    <t>[837718, 837725]</t>
  </si>
  <si>
    <t>[0.036, 0.005]</t>
  </si>
  <si>
    <t>17.181175131656474</t>
  </si>
  <si>
    <t>[-0.059, -0.057]</t>
  </si>
  <si>
    <t>LINESTRING (9.966127534319673 59.064601332765065, 9.966132174914955 59.06465150948324, 9.966190727117286 59.064795058100714)</t>
  </si>
  <si>
    <t>[864744, 864755]</t>
  </si>
  <si>
    <t>[837813, 837790]</t>
  </si>
  <si>
    <t>[837718, 837813]</t>
  </si>
  <si>
    <t>[0.059, 0.057]</t>
  </si>
  <si>
    <t>21.949199721906886</t>
  </si>
  <si>
    <t>4.9255669726712465</t>
  </si>
  <si>
    <t>[-0.046, -0.03]</t>
  </si>
  <si>
    <t>LINESTRING (9.965852854339863 59.06463939937961, 9.965939403769736 59.064685232830016, 9.966190727117286 59.064795058100714)</t>
  </si>
  <si>
    <t>[864720, 864728]</t>
  </si>
  <si>
    <t>[837781, 837790]</t>
  </si>
  <si>
    <t>[837727, 837781]</t>
  </si>
  <si>
    <t>[0.046, 0.03]</t>
  </si>
  <si>
    <t>26.586148499285414</t>
  </si>
  <si>
    <t>0.061</t>
  </si>
  <si>
    <t>23.58283311983552</t>
  </si>
  <si>
    <t>[-0.072, -0.067, -0.069]</t>
  </si>
  <si>
    <t>LINESTRING (9.965677343134633 59.06397966858566, 9.965745066711062 59.06403973159766, 9.96581089006279 59.06436137053327, 9.965777389549716 59.064426095721295)</t>
  </si>
  <si>
    <t>[1734338, 1734339, 1734347]</t>
  </si>
  <si>
    <t>[1541087, 1541088, 837739]</t>
  </si>
  <si>
    <t>[1541059, 1541087, 1541088]</t>
  </si>
  <si>
    <t>[0.072, 0.067, 0.069]</t>
  </si>
  <si>
    <t>51.91916697441023</t>
  </si>
  <si>
    <t>320.94421518084187</t>
  </si>
  <si>
    <t>[0.135, 0.207, 0.43, 0.132, -0.011, 0.01, 0.015, 0.049, -0.003, -0.011, 0.019, 0.019, -0.018, 0.019, 0.001, -0.012, 0.002, 0.028, 0.003, 0.032, -0.044, 0.037, 0.11, 0.046, 0.109]</t>
  </si>
  <si>
    <t>LINESTRING (10.008810183736964 59.05528784606567, 10.008185947615027 59.05529650656873, 10.008048688829787 59.05530936508002, 10.008043784340403 59.05530982357507, 10.005810401081169 59.056249529600095, 10.00411959599541 59.05799139481912, 10.001411886876985 59.06017497363471, 9.99864767028137 59.0621614228351, 9.993060232672818 59.06446857480742, 9.990719077206078 59.06503062320905, 9.986978540550432 59.06585907315725, 9.98471030547517 59.06609703240161, 9.984611391154134 59.06610201495046, 9.984530723450197 59.06610527561545, 9.984483933802538 59.06610625080686, 9.98349695170046 59.06612574562637, 9.979067458422378 59.06589866335373, 9.97754804566273 59.065633318132996, 9.977417500563652 59.065609716694496, 9.977325899202212 59.065593385005336, 9.977243773906261 59.06557796094741, 9.976284302206883 59.06540125631613, 9.974473903750114 59.06508798400892, 9.97413755646887 59.06502612810098, 9.973462108738534 59.06490036326484, 9.971590692785236 59.064629222352714)</t>
  </si>
  <si>
    <t>[2166866, 2166872, 2166878, 2166884, 2166890, 917842, 917850, 917858, 917866, 917874, 917882, 917890, 917898, 917910, 917918, 917926, 917934, 917935, 917946, 917962, 917970, 917978, 917983, 917993, 917994]</t>
  </si>
  <si>
    <t>[1853983, 1853988, 1853992, 1853999, 889508, 889509, 889516, 889522, 889527, 889535, 886538, 889546, 887715, 889560, 889568, 889575, 889581, 889582, 889593, 889603, 889611, 889620, 889624, 889633, 837803]</t>
  </si>
  <si>
    <t>0.0255380802202429</t>
  </si>
  <si>
    <t>[1853959, 1853983, 1853988, 1853992, 1853999, 889508, 889509, 889516, 889522, 889527, 889535, 886538, 889546, 887715, 889560, 889568, 889575, 889581, 889582, 889593, 889603, 889611, 889620, 889624, 889633]</t>
  </si>
  <si>
    <t>[0.135, 0.207, 0.43, 0.132, 0.011, 0.01, 0.015, 0.049, 0.003, 0.011, 0.019, 0.019, 0.018, 0.019, 0.001, 0.012, 0.002, 0.028, 0.003, 0.032, 0.044, 0.037, 0.11, 0.046, 0.109]</t>
  </si>
  <si>
    <t>2710.054069269184</t>
  </si>
  <si>
    <t>22.331707942482346</t>
  </si>
  <si>
    <t>[0.039, 0.002, -0.054, -0.047]</t>
  </si>
  <si>
    <t>LINESTRING (9.965607153922493 59.063815081726155, 9.96565139552521 59.06378621363859, 9.965794601015425 59.063752244546585, 9.965945618383609 59.063768980302704, 9.965983923469823 59.06378414620233)</t>
  </si>
  <si>
    <t>[1734294, 1734295, 1734303, 1734306]</t>
  </si>
  <si>
    <t>[1541065, 1541066, 1541070, 837851]</t>
  </si>
  <si>
    <t>[1541064, 1541065, 1541066, 1541070]</t>
  </si>
  <si>
    <t>[0.039, 0.002, 0.054, 0.047]</t>
  </si>
  <si>
    <t>24.791132413843464</t>
  </si>
  <si>
    <t>[0.0, -0.009, -0.03]</t>
  </si>
  <si>
    <t>LINESTRING (9.281033780211398 58.896743766408974, 9.281033780211398 58.896743766408974, 9.281043237444164 58.89694115395763, 9.281297560622976 58.8972594632284)</t>
  </si>
  <si>
    <t>[887863, 887864, 887878]</t>
  </si>
  <si>
    <t>[861679, 861680, 861689]</t>
  </si>
  <si>
    <t>[861678, 861679, 861680]</t>
  </si>
  <si>
    <t>[0.0, 0.009, 0.03]</t>
  </si>
  <si>
    <t>65.65185738435112</t>
  </si>
  <si>
    <t>[-1.275, -0.012, -0.008, 0.166]</t>
  </si>
  <si>
    <t>LINESTRING (9.281033780211398 58.896743766408974, 9.281109189193215 58.89674289996982, 9.281224287129987 58.89692682779487, 9.281240167627947 58.897030341764776, 9.281297560622976 58.8972594632284)</t>
  </si>
  <si>
    <t>[926473, 926481, 926489, 926497]</t>
  </si>
  <si>
    <t>[896495, 896502, 896506, 861689]</t>
  </si>
  <si>
    <t>[861678, 896495, 896502, 896506]</t>
  </si>
  <si>
    <t>[1.275, 0.012, 0.008, 0.166]</t>
  </si>
  <si>
    <t>63.38838236143295</t>
  </si>
  <si>
    <t>[-1.097, -0.003]</t>
  </si>
  <si>
    <t>LINESTRING (9.281297560622976 58.8972594632284, 9.281333603707008 58.89729220875131, 9.282591538676867 58.89748285067368)</t>
  </si>
  <si>
    <t>[946003, 946011]</t>
  </si>
  <si>
    <t>[914713, 861711]</t>
  </si>
  <si>
    <t>[861689, 914713]</t>
  </si>
  <si>
    <t>[1.097, 0.003]</t>
  </si>
  <si>
    <t>87.47827153618623</t>
  </si>
  <si>
    <t>[-2.191, 0.015, 0.062, 0.157]</t>
  </si>
  <si>
    <t>LINESTRING (9.68842306044521 59.100139557692266, 9.688531900843731 59.10015780174524, 9.688617013930967 59.100232952444735, 9.68859248138398 59.10030588005412, 9.688521241877933 59.1003423893031)</t>
  </si>
  <si>
    <t>[910754, 910762, 910770, 910778]</t>
  </si>
  <si>
    <t>[862060, 884269, 884276, 884281]</t>
  </si>
  <si>
    <t>[873604, 862060, 884269, 884276]</t>
  </si>
  <si>
    <t>[2.191, 0.015, 0.062, 0.157]</t>
  </si>
  <si>
    <t>30.278603752167655</t>
  </si>
  <si>
    <t>14.188393284010143</t>
  </si>
  <si>
    <t>[0.002, -0.015, -0.006]</t>
  </si>
  <si>
    <t>LINESTRING (9.662824107582628 59.076228708268914, 9.662944527332973 59.076120468898594, 9.663656475382842 59.07588508011082, 9.663788825316121 59.07585436372082)</t>
  </si>
  <si>
    <t>[899234, 899235, 899249]</t>
  </si>
  <si>
    <t>[873652, 873653, 873669]</t>
  </si>
  <si>
    <t>[873651, 873652, 873653]</t>
  </si>
  <si>
    <t>[0.002, 0.015, 0.006]</t>
  </si>
  <si>
    <t>71.20746166163478</t>
  </si>
  <si>
    <t>17.086179015796404</t>
  </si>
  <si>
    <t>[-0.034, -0.049]</t>
  </si>
  <si>
    <t>LINESTRING (10.227980802142275 59.65549230226445, 10.227822565642136 59.655467643399795, 10.227842215294386 59.65530465006142)</t>
  </si>
  <si>
    <t>[900855, 900862]</t>
  </si>
  <si>
    <t>[858143, 875437]</t>
  </si>
  <si>
    <t>[875429, 858143]</t>
  </si>
  <si>
    <t>[0.034, 0.049]</t>
  </si>
  <si>
    <t>30.2220122305729</t>
  </si>
  <si>
    <t>17.21795808672675</t>
  </si>
  <si>
    <t>[-0.254, -0.004, -0.041, -0.047]</t>
  </si>
  <si>
    <t>LINESTRING (10.231926284961702 59.65820686694825, 10.231468630377694 59.657822910593204, 10.228195609396503 59.65555158542045, 10.228080635940406 59.65551668465238, 10.227980802142275 59.65549230226445)</t>
  </si>
  <si>
    <t>[1226127, 920587, 920595, 920603]</t>
  </si>
  <si>
    <t>[891691, 891692, 891695, 875429]</t>
  </si>
  <si>
    <t>[1148895, 891691, 891692, 891695]</t>
  </si>
  <si>
    <t>[0.254, 0.004, 0.041, 0.047]</t>
  </si>
  <si>
    <t>379.7912597341863</t>
  </si>
  <si>
    <t>9.515775830237873</t>
  </si>
  <si>
    <t>[-0.051, -0.0, 0.045, -0.024, 0.126]</t>
  </si>
  <si>
    <t>LINESTRING (10.227842215294386 59.65530465006142, 10.227839249534297 59.65525057167363, 10.226467252765486 59.65275298714808, 10.226437736041909 59.6527231264187, 10.225377814077158 59.65155468400442, 10.225068050047938 59.65113410749226)</t>
  </si>
  <si>
    <t>[920643, 920651, 920659, 920667, 1226159]</t>
  </si>
  <si>
    <t>[891727, 891736, 891742, 891748, 1148925]</t>
  </si>
  <si>
    <t>0.005515724585028586</t>
  </si>
  <si>
    <t>[875437, 891727, 891736, 891742, 891748]</t>
  </si>
  <si>
    <t>[0.051, 0.0, 0.045, 0.024, 0.126]</t>
  </si>
  <si>
    <t>493.65713459973153</t>
  </si>
  <si>
    <t>[0.047, 0.056]</t>
  </si>
  <si>
    <t>LINESTRING (10.22800416063282 59.65529076546375, 10.22811325233116 59.65532352694235, 10.228161204409764 59.65538435461103)</t>
  </si>
  <si>
    <t>[900871, 900884]</t>
  </si>
  <si>
    <t>[875448, 875467]</t>
  </si>
  <si>
    <t>0.05154485784965017</t>
  </si>
  <si>
    <t>[875447, 875448]</t>
  </si>
  <si>
    <t>14.454927717096524</t>
  </si>
  <si>
    <t>[0.46, -0.168]</t>
  </si>
  <si>
    <t>LINESTRING (10.22800416063282 59.65529076546375, 10.228101757004996 59.65527005509097, 10.228383803650143 59.6552209525204)</t>
  </si>
  <si>
    <t>[941961, 941969]</t>
  </si>
  <si>
    <t>[910347, 891704]</t>
  </si>
  <si>
    <t>[875447, 910347]</t>
  </si>
  <si>
    <t>[0.46, 0.168]</t>
  </si>
  <si>
    <t>23.10948390443341</t>
  </si>
  <si>
    <t>[-0.024, -0.047]</t>
  </si>
  <si>
    <t>LINESTRING (10.228161204409764 59.65538435461103, 10.228236113397633 59.65533410482962, 10.228383803650143 59.6552209525204)</t>
  </si>
  <si>
    <t>[928101, 928109]</t>
  </si>
  <si>
    <t>[897906, 891704]</t>
  </si>
  <si>
    <t>[875467, 897906]</t>
  </si>
  <si>
    <t>[0.024, 0.047]</t>
  </si>
  <si>
    <t>22.130970845199673</t>
  </si>
  <si>
    <t>15.616362311576268</t>
  </si>
  <si>
    <t>[-0.062, 0.004]</t>
  </si>
  <si>
    <t>LINESTRING (10.229699442716878 59.6547813785534, 10.229590351142775 59.654748618397015, 10.22953959077374 59.65467691288703)</t>
  </si>
  <si>
    <t>[900981, 900982]</t>
  </si>
  <si>
    <t>[875574, 875532]</t>
  </si>
  <si>
    <t>[875569, 875574]</t>
  </si>
  <si>
    <t>[0.062, 0.004]</t>
  </si>
  <si>
    <t>15.64515580423956</t>
  </si>
  <si>
    <t>[0.414, 0.046, -1.961]</t>
  </si>
  <si>
    <t>LINESTRING (10.229298200530678 59.65485814358372, 10.229475793690689 59.65472629105063, 10.229504274104475 59.654704013987015, 10.22953959077374 59.65467691288703)</t>
  </si>
  <si>
    <t>[941985, 941993, 942001]</t>
  </si>
  <si>
    <t>[910375, 910384, 875532]</t>
  </si>
  <si>
    <t>0.01656576691707439</t>
  </si>
  <si>
    <t>[891705, 910375, 910384]</t>
  </si>
  <si>
    <t>[0.414, 0.046, 1.961]</t>
  </si>
  <si>
    <t>24.3616703374904</t>
  </si>
  <si>
    <t>[0.15, 0.109, 0.027, -0.09]</t>
  </si>
  <si>
    <t>LINESTRING (10.229712971231384 59.654578646892304, 10.229792005413998 59.65458056492549, 10.229904742914593 59.65461680394935, 10.229947787464116 59.65468777834926, 10.229864199394223 59.65476494965512)</t>
  </si>
  <si>
    <t>[900955, 900956, 900960, 900968]</t>
  </si>
  <si>
    <t>[875548, 875549, 875553, 875561]</t>
  </si>
  <si>
    <t>0.02660825062782745</t>
  </si>
  <si>
    <t>[875533, 875548, 875549, 875553]</t>
  </si>
  <si>
    <t>[0.15, 0.109, 0.027, 0.09]</t>
  </si>
  <si>
    <t>30.34576941133687</t>
  </si>
  <si>
    <t>[-0.135, 0.01, -0.014, 0.005, 0.009, 0.039, 0.079]</t>
  </si>
  <si>
    <t>LINESTRING (10.225182626243175 59.65091610970305, 10.22561366797852 59.651308728063405, 10.22691732114475 59.65260029469191, 10.226952142525038 59.65263034876199, 10.228476447802345 59.65379591780496, 10.22955418487124 59.65454163782057, 10.229586600972377 59.65454965553681, 10.229712971231384 59.654578646892304)</t>
  </si>
  <si>
    <t>[1226151, 920675, 920683, 920691, 920699, 920707, 920715]</t>
  </si>
  <si>
    <t>[891752, 891753, 891760, 891764, 891771, 891777, 875533]</t>
  </si>
  <si>
    <t>[1148919, 891752, 891753, 891760, 891764, 891771, 891777]</t>
  </si>
  <si>
    <t>[0.135, 0.01, 0.014, 0.005, 0.009, 0.039, 0.079]</t>
  </si>
  <si>
    <t>485.11998459591086</t>
  </si>
  <si>
    <t>9.701437752789756</t>
  </si>
  <si>
    <t>[-0.037, -0.037, 0.014, 0.167]</t>
  </si>
  <si>
    <t>LINESTRING (10.229864199394223 59.65476494965512, 10.229852263718852 59.654820472735416, 10.22984243625948 59.65486817501403, 10.23293504435134 59.658950616739396, 10.233215788796008 59.6593764100711)</t>
  </si>
  <si>
    <t>[920619, 920627, 920635, 1226120]</t>
  </si>
  <si>
    <t>[891710, 891716, 891721, 1148885]</t>
  </si>
  <si>
    <t>0.0268398500726358</t>
  </si>
  <si>
    <t>[875561, 891710, 891716, 891721]</t>
  </si>
  <si>
    <t>[0.037, 0.037, 0.014, 0.167]</t>
  </si>
  <si>
    <t>550.2086271678446</t>
  </si>
  <si>
    <t>[0.015, 0.026, 0.084]</t>
  </si>
  <si>
    <t>LINESTRING (10.229298200530678 59.65485814358372, 10.229562334476876 59.654806604666724, 10.229597034364984 59.65480057441827, 10.229699442716878 59.6547813785534)</t>
  </si>
  <si>
    <t>[928117, 928125, 928133]</t>
  </si>
  <si>
    <t>[897924, 897932, 875569]</t>
  </si>
  <si>
    <t>0.03335293477415685</t>
  </si>
  <si>
    <t>[891705, 897924, 897932]</t>
  </si>
  <si>
    <t>24.400075197826332</t>
  </si>
  <si>
    <t>26.319079833609656</t>
  </si>
  <si>
    <t>0.204</t>
  </si>
  <si>
    <t>25.35749877196155</t>
  </si>
  <si>
    <t>[0.033, 0.038, 0.162]</t>
  </si>
  <si>
    <t>LINESTRING (10.178064328964542 59.57822212699987, 10.178249697353426 59.5777827950329, 10.17933489632325 59.574538983510664, 10.179307966060248 59.57448712108606)</t>
  </si>
  <si>
    <t>[1226175, 920723, 920731]</t>
  </si>
  <si>
    <t>[891792, 891793, 875575]</t>
  </si>
  <si>
    <t>0.03915700455494112</t>
  </si>
  <si>
    <t>[1148942, 891792, 891793]</t>
  </si>
  <si>
    <t>424.25680122802714</t>
  </si>
  <si>
    <t>0.379</t>
  </si>
  <si>
    <t>5.587082959844808</t>
  </si>
  <si>
    <t>[-0.13, 0.044, 0.318, 0.338]</t>
  </si>
  <si>
    <t>LINESTRING (10.179402172470816 59.57430420299766, 10.179463993399706 59.57426036425091, 10.180844534517794 59.57149449009498, 10.180866173551395 59.570341180729294, 10.180887822296318 59.56989310963897)</t>
  </si>
  <si>
    <t>[920779, 920787, 920795, 1226191]</t>
  </si>
  <si>
    <t>[891839, 891847, 891853, 1148963]</t>
  </si>
  <si>
    <t>0.1406688279809979</t>
  </si>
  <si>
    <t>[875576, 891839, 891847, 891853]</t>
  </si>
  <si>
    <t>[0.13, 0.044, 0.318, 0.338]</t>
  </si>
  <si>
    <t>505.5028004986205</t>
  </si>
  <si>
    <t>[-0.337, -0.178]</t>
  </si>
  <si>
    <t>LINESTRING (10.179500561502874 59.574308822111284, 10.17960055469884 59.5743457937707, 10.179637982514082 59.57440718268597)</t>
  </si>
  <si>
    <t>[900999, 901000]</t>
  </si>
  <si>
    <t>[875595, 875596]</t>
  </si>
  <si>
    <t>[875577, 875595]</t>
  </si>
  <si>
    <t>[0.337, 0.178]</t>
  </si>
  <si>
    <t>14.15872689244413</t>
  </si>
  <si>
    <t>[0.692, -0.61]</t>
  </si>
  <si>
    <t>LINESTRING (10.179500561502874 59.574308822111284, 10.17959940039323 59.574290015763005, 10.179936074278322 59.57422076590403)</t>
  </si>
  <si>
    <t>[942009, 942017]</t>
  </si>
  <si>
    <t>[910397, 891807]</t>
  </si>
  <si>
    <t>[875577, 910397]</t>
  </si>
  <si>
    <t>[0.692, 0.61]</t>
  </si>
  <si>
    <t>26.511142217226244</t>
  </si>
  <si>
    <t>[-0.137, -0.193]</t>
  </si>
  <si>
    <t>LINESTRING (10.179637982514082 59.57440718268597, 10.17970938362838 59.574357247536504, 10.179936074278322 59.57422076590403)</t>
  </si>
  <si>
    <t>[928141, 928149]</t>
  </si>
  <si>
    <t>[897950, 891807]</t>
  </si>
  <si>
    <t>[875596, 897950]</t>
  </si>
  <si>
    <t>[0.137, 0.193]</t>
  </si>
  <si>
    <t>26.76865013500192</t>
  </si>
  <si>
    <t>19.389100091700413</t>
  </si>
  <si>
    <t>[0.081, 0.1]</t>
  </si>
  <si>
    <t>LINESTRING (10.181627705842905 59.573693560921306, 10.18154702288162 59.573657698681075, 10.181511375133342 59.573592777865166)</t>
  </si>
  <si>
    <t>[901063, 901071]</t>
  </si>
  <si>
    <t>[875661, 875625]</t>
  </si>
  <si>
    <t>0.09151178920422973</t>
  </si>
  <si>
    <t>[875657, 875661]</t>
  </si>
  <si>
    <t>13.57731097648302</t>
  </si>
  <si>
    <t>[0.092, -0.133]</t>
  </si>
  <si>
    <t>LINESTRING (10.181149557242838 59.57378336948844, 10.181437549302665 59.57363343121008, 10.181511375133342 59.573592777865166)</t>
  </si>
  <si>
    <t>[942025, 942033]</t>
  </si>
  <si>
    <t>[910415, 875625]</t>
  </si>
  <si>
    <t>0.045001286947614016</t>
  </si>
  <si>
    <t>[891819, 910415]</t>
  </si>
  <si>
    <t>[0.092, 0.133]</t>
  </si>
  <si>
    <t>29.495340422471976</t>
  </si>
  <si>
    <t>[-0.058, -0.124, -0.101, -0.03]</t>
  </si>
  <si>
    <t>LINESTRING (10.181758424064576 59.5734991334381, 10.181824972832274 59.57351322731103, 10.18189856377723 59.57355552044066, 10.181919750381505 59.57361358417536, 10.181713702457667 59.57370384729158)</t>
  </si>
  <si>
    <t>[901028, 901035, 901036, 901047]</t>
  </si>
  <si>
    <t>[875627, 875634, 875635, 875647]</t>
  </si>
  <si>
    <t>[875626, 875627, 875634, 875635]</t>
  </si>
  <si>
    <t>[0.058, 0.124, 0.101, 0.03]</t>
  </si>
  <si>
    <t>33.38576929650297</t>
  </si>
  <si>
    <t>[-0.156, -0.334, -0.103, -0.108]</t>
  </si>
  <si>
    <t>LINESTRING (10.181267100403478 59.5698693172693, 10.181326970262276 59.570317696033406, 10.181315226171279 59.57150105475073, 10.181706351665877 59.57345070725515, 10.181758424064576 59.5734991334381)</t>
  </si>
  <si>
    <t>[1226199, 920803, 920811, 920819]</t>
  </si>
  <si>
    <t>[891861, 891862, 891869, 875626]</t>
  </si>
  <si>
    <t>[932621, 891861, 891862, 891869]</t>
  </si>
  <si>
    <t>[0.156, 0.334, 0.103, 0.108]</t>
  </si>
  <si>
    <t>409.53707218875115</t>
  </si>
  <si>
    <t>4.996015412180602</t>
  </si>
  <si>
    <t>[-0.062, -0.009, 0.024]</t>
  </si>
  <si>
    <t>LINESTRING (10.181713702457667 59.57370384729158, 10.181646499185119 59.57374604928071, 10.178921035830767 59.57736768918646, 10.178607319732123 59.577786994421764)</t>
  </si>
  <si>
    <t>[920763, 920771, 1226183]</t>
  </si>
  <si>
    <t>[891826, 891833, 1148954]</t>
  </si>
  <si>
    <t>[875647, 891826, 891833]</t>
  </si>
  <si>
    <t>[0.062, 0.009, 0.024]</t>
  </si>
  <si>
    <t>489.93949723454386</t>
  </si>
  <si>
    <t>[0.004, -0.001]</t>
  </si>
  <si>
    <t>LINESTRING (10.181149557242838 59.57378336948844, 10.181522349441694 59.573709735633145, 10.181627705842905 59.573693560921306)</t>
  </si>
  <si>
    <t>[928157, 928165]</t>
  </si>
  <si>
    <t>[897967, 875657]</t>
  </si>
  <si>
    <t>0.0029211003337211742</t>
  </si>
  <si>
    <t>[891819, 897967]</t>
  </si>
  <si>
    <t>28.84511233238664</t>
  </si>
  <si>
    <t>[0.015, 0.047, 0.09, 0.092, 0.066, 0.043, -0.011]</t>
  </si>
  <si>
    <t>LINESTRING (10.208050068098187 59.50932348327691, 10.207965161739235 59.509270271278275, 10.207933066842712 59.50920969729598, 10.207977827336007 59.50914255426634, 10.208069296268013 59.50909293085894, 10.208204614957253 59.509075213334874, 10.208345218967837 59.509096765005296, 10.208421285191983 59.5091359704482)</t>
  </si>
  <si>
    <t>[901088, 901096, 901103, 901112, 901114, 901131, 901132]</t>
  </si>
  <si>
    <t>[875687, 875693, 875699, 875706, 875708, 875724, 875725]</t>
  </si>
  <si>
    <t>0.050765896298417656</t>
  </si>
  <si>
    <t>[875686, 875687, 875693, 875699, 875706, 875708, 875724]</t>
  </si>
  <si>
    <t>[0.015, 0.047, 0.09, 0.092, 0.066, 0.043, 0.011]</t>
  </si>
  <si>
    <t>52.483126149544944</t>
  </si>
  <si>
    <t>19.402384912927893</t>
  </si>
  <si>
    <t>[-0.22, -0.022, 0.002, 0.017, 0.053]</t>
  </si>
  <si>
    <t>LINESTRING (10.20468750424191 59.51317309806874, 10.205185305116744 59.512809088379946, 10.207677312194095 59.511290465790964, 10.207902555643008 59.511137721566406, 10.208092262066975 59.50938796315439, 10.208050068098187 59.50932348327691)</t>
  </si>
  <si>
    <t>[967641, 920827, 920835, 920837, 920838]</t>
  </si>
  <si>
    <t>[876600, 891881, 891888, 891890, 875686]</t>
  </si>
  <si>
    <t>[931480, 876600, 891881, 891888, 891890]</t>
  </si>
  <si>
    <t>[0.22, 0.022, 0.002, 0.017, 0.053]</t>
  </si>
  <si>
    <t>512.7035276551801</t>
  </si>
  <si>
    <t>[-0.04, -0.093]</t>
  </si>
  <si>
    <t>LINESTRING (10.208421285191983 59.5091359704482, 10.208465897020933 59.50921469745532, 10.208406026228356 59.50929602005236)</t>
  </si>
  <si>
    <t>[901141, 901156]</t>
  </si>
  <si>
    <t>[875735, 875748]</t>
  </si>
  <si>
    <t>[875725, 875735]</t>
  </si>
  <si>
    <t>[0.04, 0.093]</t>
  </si>
  <si>
    <t>18.80963321154916</t>
  </si>
  <si>
    <t>[0.019, 0.036]</t>
  </si>
  <si>
    <t>LINESTRING (10.208421285191983 59.5091359704482, 10.208552616729873 59.50915465379233, 10.209105269875279 59.50922688982008)</t>
  </si>
  <si>
    <t>[942041, 942049]</t>
  </si>
  <si>
    <t>[910435, 891891]</t>
  </si>
  <si>
    <t>0.03273534010616921</t>
  </si>
  <si>
    <t>[875725, 910435]</t>
  </si>
  <si>
    <t>40.232678279367164</t>
  </si>
  <si>
    <t>2.5366152642908806</t>
  </si>
  <si>
    <t>[0.075, 0.061]</t>
  </si>
  <si>
    <t>LINESTRING (10.208406026228356 59.50929602005236, 10.208544610124534 59.50927924060621, 10.209105269875279 59.50922688982008)</t>
  </si>
  <si>
    <t>[928173, 928181]</t>
  </si>
  <si>
    <t>[897983, 891891]</t>
  </si>
  <si>
    <t>0.06378773752694235</t>
  </si>
  <si>
    <t>[875748, 897983]</t>
  </si>
  <si>
    <t>40.53161925223026</t>
  </si>
  <si>
    <t>[-0.088, 0.006, -0.042, 0.045, -0.004, -0.02]</t>
  </si>
  <si>
    <t>LINESTRING (10.208374708673924 59.509312285007574, 10.208334769371197 59.50938647752505, 10.210210060998152 59.50929654952301, 10.210351605385641 59.50917221307189, 10.211506251565645 59.508045205583606, 10.211801044019499 59.50777627062538, 10.21193540698538 59.50765256877773)</t>
  </si>
  <si>
    <t>[920934, 920942, 920950, 920958, 920966, 1221292]</t>
  </si>
  <si>
    <t>[891969, 891976, 891983, 891990, 891995, 1143943]</t>
  </si>
  <si>
    <t>0.013423336942038754</t>
  </si>
  <si>
    <t>[875749, 891969, 891976, 891983, 891990, 891995]</t>
  </si>
  <si>
    <t>[0.088, 0.006, 0.042, 0.045, 0.004, 0.02]</t>
  </si>
  <si>
    <t>430.67780549131857</t>
  </si>
  <si>
    <t>[-0.025, -0.004, 0.025, 0.023]</t>
  </si>
  <si>
    <t>LINESTRING (10.212027518690924 59.50919219460501, 10.212310543838534 59.509148381425696, 10.21244868183986 59.50919878470132, 10.21249705644992 59.50928061654903, 10.21229665808031 59.50940819326286)</t>
  </si>
  <si>
    <t>[901182, 901183, 901184, 901185]</t>
  </si>
  <si>
    <t>[875773, 875774, 875775, 875776]</t>
  </si>
  <si>
    <t>0.0036755661152215054</t>
  </si>
  <si>
    <t>[875772, 875773, 875774, 875775]</t>
  </si>
  <si>
    <t>[0.025, 0.004, 0.025, 0.023]</t>
  </si>
  <si>
    <t>55.896297877546274</t>
  </si>
  <si>
    <t>[-0.002, -0.011]</t>
  </si>
  <si>
    <t>LINESTRING (10.211999619394506 59.509344170543365, 10.211968250951893 59.509270329466055, 10.212027518690924 59.50919219460501)</t>
  </si>
  <si>
    <t>[901225, 901233]</t>
  </si>
  <si>
    <t>[875818, 875772]</t>
  </si>
  <si>
    <t>[875811, 875818]</t>
  </si>
  <si>
    <t>[0.002, 0.011]</t>
  </si>
  <si>
    <t>17.753690982808845</t>
  </si>
  <si>
    <t>[0.058, -0.052]</t>
  </si>
  <si>
    <t>LINESTRING (10.211300246062509 59.50926148128875, 10.211891670926713 59.509212280380225, 10.212027518690924 59.50919219460501)</t>
  </si>
  <si>
    <t>[942057, 942065]</t>
  </si>
  <si>
    <t>[910453, 875772]</t>
  </si>
  <si>
    <t>0.03713090827718106</t>
  </si>
  <si>
    <t>[891905, 910453]</t>
  </si>
  <si>
    <t>[0.058, 0.052]</t>
  </si>
  <si>
    <t>42.24746663322218</t>
  </si>
  <si>
    <t>16.856852388610925</t>
  </si>
  <si>
    <t>[0.014, -0.027, -0.003, 0.022, 0.074]</t>
  </si>
  <si>
    <t>LINESTRING (10.21229665808031 59.50940819326286, 10.212239686570468 59.509458194517656, 10.208247786018593 59.511298818223686, 10.207984892957594 59.511479864953344, 10.206810215528936 59.51224810058743, 10.206165513263413 59.51255005033581)</t>
  </si>
  <si>
    <t>[920862, 920870, 920878, 920886, 967654]</t>
  </si>
  <si>
    <t>[891911, 891916, 891923, 876609, 931489]</t>
  </si>
  <si>
    <t>[875776, 891911, 891916, 891923, 876609]</t>
  </si>
  <si>
    <t>[0.014, 0.027, 0.003, 0.022, 0.074]</t>
  </si>
  <si>
    <t>525.0573526044957</t>
  </si>
  <si>
    <t>2.508981068476489</t>
  </si>
  <si>
    <t>[-0.038, -0.009, -0.032, -0.006, 0.021, -0.006]</t>
  </si>
  <si>
    <t>LINESTRING (10.212159895883858 59.50764191479704, 10.212023553995731 59.50782941022497, 10.211855828731073 59.50806342873438, 10.210849607594428 59.50917969431255, 10.210743403357732 59.50930442860194, 10.212020500297578 59.50942855603465, 10.212024494141371 59.509362794676136)</t>
  </si>
  <si>
    <t>[1221305, 920894, 920902, 920910, 920918, 920926]</t>
  </si>
  <si>
    <t>[1, 0, 0, 1, 0, 0]</t>
  </si>
  <si>
    <t>[891935, 891936, 891942, 891951, 891955, 875783]</t>
  </si>
  <si>
    <t>[932927, 891935, 891936, 891942, 891951, 891955]</t>
  </si>
  <si>
    <t>[0.038, 0.009, 0.032, 0.006, 0.021, 0.006]</t>
  </si>
  <si>
    <t>383.8729821695184</t>
  </si>
  <si>
    <t>[0.05, -0.005]</t>
  </si>
  <si>
    <t>LINESTRING (10.211300246062509 59.50926148128875, 10.21188331062803 59.509327481120316, 10.211999619394506 59.509344170543365)</t>
  </si>
  <si>
    <t>[928189, 928197]</t>
  </si>
  <si>
    <t>[898001, 875811]</t>
  </si>
  <si>
    <t>0.04079604021381596</t>
  </si>
  <si>
    <t>[891905, 898001]</t>
  </si>
  <si>
    <t>[0.05, 0.005]</t>
  </si>
  <si>
    <t>40.91387816578729</t>
  </si>
  <si>
    <t>15.58123903934922</t>
  </si>
  <si>
    <t>14.61192967769294</t>
  </si>
  <si>
    <t>[0.126, -0.043, -0.046, 0.001, 0.048]</t>
  </si>
  <si>
    <t>LINESTRING (10.312650950964027 59.46874435398372, 10.313497148148441 59.468620057048966, 10.314555749624494 59.46849349171378, 10.314860936955437 59.468459482608914, 10.315893268160604 59.46757495311822, 10.315790920188617 59.46759073237693)</t>
  </si>
  <si>
    <t>[1221316, 920982, 920990, 920998, 921006]</t>
  </si>
  <si>
    <t>[892008, 892009, 892016, 892022, 875825]</t>
  </si>
  <si>
    <t>0.009067151372501903</t>
  </si>
  <si>
    <t>[1143960, 892008, 892009, 892016, 892022]</t>
  </si>
  <si>
    <t>[0.126, 0.043, 0.046, 0.001, 0.048]</t>
  </si>
  <si>
    <t>369.74062081401814</t>
  </si>
  <si>
    <t>[0.064, 0.067]</t>
  </si>
  <si>
    <t>LINESTRING (10.31559006523232 59.467679085416876, 10.315418443920388 59.46766637287821, 10.315299617159802 59.467604206531625)</t>
  </si>
  <si>
    <t>[901268, 901276]</t>
  </si>
  <si>
    <t>[875856, 875864]</t>
  </si>
  <si>
    <t>0.06548685781827118</t>
  </si>
  <si>
    <t>[875826, 875856]</t>
  </si>
  <si>
    <t>19.503075388946687</t>
  </si>
  <si>
    <t>[-0.157, 0.025]</t>
  </si>
  <si>
    <t>LINESTRING (10.31559006523232 59.467679085416876, 10.315514476353565 59.46773079650073, 10.315081891800403 59.468077055454366)</t>
  </si>
  <si>
    <t>[942073, 942081]</t>
  </si>
  <si>
    <t>[910471, 892035]</t>
  </si>
  <si>
    <t>0.0002932709452545716</t>
  </si>
  <si>
    <t>[875826, 910471]</t>
  </si>
  <si>
    <t>[0.157, 0.025]</t>
  </si>
  <si>
    <t>52.9148776531711</t>
  </si>
  <si>
    <t>[-0.006, -0.045, -0.056, -0.053]</t>
  </si>
  <si>
    <t>LINESTRING (10.315299617159802 59.467604206531625, 10.315399661591448 59.467432747826734, 10.315543532955157 59.467411309685424, 10.315679353255483 59.46743110114324, 10.31575177173741 59.46746520122763)</t>
  </si>
  <si>
    <t>[901292, 901300, 901308, 901317]</t>
  </si>
  <si>
    <t>[875880, 875890, 875898, 875907]</t>
  </si>
  <si>
    <t>[875864, 875880, 875890, 875898]</t>
  </si>
  <si>
    <t>[0.006, 0.045, 0.056, 0.053]</t>
  </si>
  <si>
    <t>43.43259678966497</t>
  </si>
  <si>
    <t>[-0.028, -0.023]</t>
  </si>
  <si>
    <t>LINESTRING (10.315299617159802 59.467604206531625, 10.315289493706551 59.46768152900361, 10.315081891800403 59.468077055454366)</t>
  </si>
  <si>
    <t>[928205, 928213]</t>
  </si>
  <si>
    <t>[898014, 892035]</t>
  </si>
  <si>
    <t>[875864, 898014]</t>
  </si>
  <si>
    <t>[0.028, 0.023]</t>
  </si>
  <si>
    <t>54.521870871021505</t>
  </si>
  <si>
    <t>[-0.056, -0.043, 0.151]</t>
  </si>
  <si>
    <t>LINESTRING (10.31575177173741 59.46746520122763, 10.31588702929613 59.46747273963633, 10.323299753315073 59.46754630049324, 10.32417288064238 59.46748226532183)</t>
  </si>
  <si>
    <t>[921062, 921070, 1221331]</t>
  </si>
  <si>
    <t>[892079, 892088, 1143974]</t>
  </si>
  <si>
    <t>[875907, 892079, 892088]</t>
  </si>
  <si>
    <t>[0.056, 0.043, 0.151]</t>
  </si>
  <si>
    <t>501.30527729665846</t>
  </si>
  <si>
    <t>2.8769304816762564</t>
  </si>
  <si>
    <t>[-0.049, -0.05]</t>
  </si>
  <si>
    <t>LINESTRING (10.313839111844558 59.469347251910975, 10.313981684904059 59.46935562164052, 10.314088745127032 59.469399305225394)</t>
  </si>
  <si>
    <t>[901417, 901423]</t>
  </si>
  <si>
    <t>[876008, 875934]</t>
  </si>
  <si>
    <t>[876004, 876008]</t>
  </si>
  <si>
    <t>[0.049, 0.05]</t>
  </si>
  <si>
    <t>15.923070065580369</t>
  </si>
  <si>
    <t>[-0.008, -0.043]</t>
  </si>
  <si>
    <t>LINESTRING (10.314394706696419 59.468877171174405, 10.314114056405721 59.469337387499905, 10.314088745127032 59.469399305225394)</t>
  </si>
  <si>
    <t>[942089, 942097]</t>
  </si>
  <si>
    <t>[910487, 875934]</t>
  </si>
  <si>
    <t>[892044, 910487]</t>
  </si>
  <si>
    <t>[0.008, 0.043]</t>
  </si>
  <si>
    <t>60.755240668347575</t>
  </si>
  <si>
    <t>13.81287880845067</t>
  </si>
  <si>
    <t>[-0.049, 0.005, 0.043, -0.01, 0.004]</t>
  </si>
  <si>
    <t>LINESTRING (10.314116650727321 59.469420860449375, 10.31424032950465 59.46943203194163, 10.314628991522719 59.468729981929265, 10.314320408257068 59.468762969088, 10.310804621653432 59.46913400921033, 10.30992967174744 59.46919789082443)</t>
  </si>
  <si>
    <t>[921030, 921038, 921046, 921054, 1221310]</t>
  </si>
  <si>
    <t>[892053, 892059, 892066, 892073, 933039]</t>
  </si>
  <si>
    <t>[875935, 892053, 892059, 892066, 892073]</t>
  </si>
  <si>
    <t>[0.049, 0.005, 0.043, 0.01, 0.004]</t>
  </si>
  <si>
    <t>512.2863142776765</t>
  </si>
  <si>
    <t>[0.018, 0.043, 0.051, 0.005]</t>
  </si>
  <si>
    <t>LINESTRING (10.314109877435374 59.46954153120738, 10.31400324075018 59.46959810744876, 10.313853739940535 59.4696146916617, 10.313703080475918 59.46958166494054, 10.313839111844558 59.469347251910975)</t>
  </si>
  <si>
    <t>[901374, 901382, 901398, 901414]</t>
  </si>
  <si>
    <t>[875966, 875974, 875986, 876004]</t>
  </si>
  <si>
    <t>0.019403054025524218</t>
  </si>
  <si>
    <t>[875956, 875966, 875974, 875986]</t>
  </si>
  <si>
    <t>60.49769894310006</t>
  </si>
  <si>
    <t>[0.023, 0.005, 0.043]</t>
  </si>
  <si>
    <t>LINESTRING (10.32079413228977 59.46800149563039, 10.319947727251666 59.46812763042736, 10.314220659850582 59.469533548627616, 10.314109877435374 59.46954153120738)</t>
  </si>
  <si>
    <t>[1221323, 921078, 921086]</t>
  </si>
  <si>
    <t>[892097, 892098, 875956]</t>
  </si>
  <si>
    <t>0.007575587274155073</t>
  </si>
  <si>
    <t>[933110, 892097, 892098]</t>
  </si>
  <si>
    <t>443.22789684523843</t>
  </si>
  <si>
    <t>LINESTRING (10.314394706696419 59.468877171174405, 10.313904419251335 59.46929809548043, 10.313839111844558 59.469347251910975)</t>
  </si>
  <si>
    <t>[928221, 928229]</t>
  </si>
  <si>
    <t>[898029, 876004]</t>
  </si>
  <si>
    <t>0.0016468755166255669</t>
  </si>
  <si>
    <t>[892044, 898029]</t>
  </si>
  <si>
    <t>61.34127975133208</t>
  </si>
  <si>
    <t>[0.159, 0.156, 0.089, -0.076, -0.199, -0.142, 0.062]</t>
  </si>
  <si>
    <t>LINESTRING (10.35762589668796 59.448384348931725, 10.357740090745725 59.44837664154963, 10.357850354101323 59.448398457365045, 10.357924134642763 59.448456858148504, 10.357791595236138 59.44859262114757, 10.357663805930795 59.448597065253765, 10.357528838074854 59.44855088543651, 10.35762589668796 59.448384348931725)</t>
  </si>
  <si>
    <t>[901448, 901459, 901460, 901467, 901481, 901482, 901510]</t>
  </si>
  <si>
    <t>[876035, 876045, 876046, 876050, 876063, 876064, 876034]</t>
  </si>
  <si>
    <t>[876034, 876035, 876045, 876046, 876050, 876063, 876064]</t>
  </si>
  <si>
    <t>[0.159, 0.156, 0.089, 0.076, 0.199, 0.142, 0.062]</t>
  </si>
  <si>
    <t>77.47886618445244</t>
  </si>
  <si>
    <t>[0.076, -0.007, 0.135]</t>
  </si>
  <si>
    <t>LINESTRING (10.35797793483213 59.44519041018497, 10.357882402963773 59.445616037428614, 10.357566727150763 59.44835975621124, 10.35762589668796 59.448384348931725)</t>
  </si>
  <si>
    <t>[1226527, 921150, 921158]</t>
  </si>
  <si>
    <t>[892160, 892161, 876034]</t>
  </si>
  <si>
    <t>0.005616233154804494</t>
  </si>
  <si>
    <t>[933231, 892160, 892161]</t>
  </si>
  <si>
    <t>[0.076, 0.007, 0.135]</t>
  </si>
  <si>
    <t>362.90125836041454</t>
  </si>
  <si>
    <t>[0.023, -0.005, -0.026, -0.039]</t>
  </si>
  <si>
    <t>LINESTRING (10.36330158905829 59.42300216126296, 10.363098769589529 59.42290491151828, 10.363093686030071 59.422826084503214, 10.363163807487268 59.422765565618036, 10.363305195332021 59.42272517536024)</t>
  </si>
  <si>
    <t>[901511, 901512, 901513, 901524]</t>
  </si>
  <si>
    <t>[876097, 876098, 876099, 876111]</t>
  </si>
  <si>
    <t>[876096, 876097, 876098, 876099]</t>
  </si>
  <si>
    <t>[0.023, 0.005, 0.026, 0.039]</t>
  </si>
  <si>
    <t>42.16278083677291</t>
  </si>
  <si>
    <t>16.163643072763055</t>
  </si>
  <si>
    <t>[0.016, 0.004, -0.01, 0.002, 0.025]</t>
  </si>
  <si>
    <t>LINESTRING (10.364428885980814 59.42663359640011, 10.364377164199881 59.42618653943782, 10.364349240451187 59.425011791702744, 10.36434720212818 59.42496225061484, 10.363386162090325 59.42304974621838, 10.36330158905829 59.42300216126296)</t>
  </si>
  <si>
    <t>[1226655, 921166, 921174, 921182, 921190]</t>
  </si>
  <si>
    <t>[892173, 892174, 892181, 892189, 876096]</t>
  </si>
  <si>
    <t>0.004541692489304133</t>
  </si>
  <si>
    <t>[1149433, 892173, 892174, 892181, 892189]</t>
  </si>
  <si>
    <t>[0.016, 0.004, 0.01, 0.002, 0.025]</t>
  </si>
  <si>
    <t>416.6592207833415</t>
  </si>
  <si>
    <t>24.321186901681095</t>
  </si>
  <si>
    <t>[0.007, 0.027]</t>
  </si>
  <si>
    <t>LINESTRING (10.363636361518342 59.422831866258164, 10.363628038364235 59.42290665448125, 10.363564911734088 59.422960568826994)</t>
  </si>
  <si>
    <t>[901533, 901540]</t>
  </si>
  <si>
    <t>[876121, 876128]</t>
  </si>
  <si>
    <t>0.016119286263673246</t>
  </si>
  <si>
    <t>[876112, 876121]</t>
  </si>
  <si>
    <t>15.34588958002104</t>
  </si>
  <si>
    <t>[0.3, -0.157]</t>
  </si>
  <si>
    <t>LINESTRING (10.363636361518342 59.422831866258164, 10.363727513717002 59.42286209223784, 10.363971118559006 59.42294044689609)</t>
  </si>
  <si>
    <t>[942105, 942113]</t>
  </si>
  <si>
    <t>[910504, 892203]</t>
  </si>
  <si>
    <t>[876112, 910504]</t>
  </si>
  <si>
    <t>[0.3, 0.157]</t>
  </si>
  <si>
    <t>22.53742091322797</t>
  </si>
  <si>
    <t>[-0.044, -0.04]</t>
  </si>
  <si>
    <t>LINESTRING (10.363564911734088 59.422960568826994, 10.363695632629137 59.42295475042881, 10.363971118559006 59.42294044689609)</t>
  </si>
  <si>
    <t>[928237, 928245]</t>
  </si>
  <si>
    <t>[898043, 892203]</t>
  </si>
  <si>
    <t>[876128, 898043]</t>
  </si>
  <si>
    <t>23.179491798212034</t>
  </si>
  <si>
    <t>6.529931087045607</t>
  </si>
  <si>
    <t>LINESTRING (10.366297454259067 59.42330111242736, 10.366298885506405 59.42323910281553, 10.366367798503763 59.42317409617538)</t>
  </si>
  <si>
    <t>[901616, 901637]</t>
  </si>
  <si>
    <t>[876190, 876137]</t>
  </si>
  <si>
    <t>[876189, 876190]</t>
  </si>
  <si>
    <t>15.146267229036226</t>
  </si>
  <si>
    <t>[0.073, 0.021, -0.177]</t>
  </si>
  <si>
    <t>LINESTRING (10.365802682008104 59.42317168324981, 10.366077331857612 59.42317637739704, 10.366245594434943 59.42317894292908, 10.366367798503763 59.42317409617538)</t>
  </si>
  <si>
    <t>[942121, 942129, 942137]</t>
  </si>
  <si>
    <t>[910521, 910528, 876137]</t>
  </si>
  <si>
    <t>0.0038854248287363093</t>
  </si>
  <si>
    <t>[892217, 910521, 910528]</t>
  </si>
  <si>
    <t>[0.073, 0.021, 0.177]</t>
  </si>
  <si>
    <t>32.37386398089394</t>
  </si>
  <si>
    <t>LINESTRING (10.366460770332248 59.423139626083895, 10.366598102952354 59.423129218930505, 10.36673940141478 59.42315816767268)</t>
  </si>
  <si>
    <t>[901556, 901557]</t>
  </si>
  <si>
    <t>[876140, 876141]</t>
  </si>
  <si>
    <t>0.00456928744937739</t>
  </si>
  <si>
    <t>[876138, 876140]</t>
  </si>
  <si>
    <t>16.53462031469367</t>
  </si>
  <si>
    <t>[0.005, 0.004, 0.003]</t>
  </si>
  <si>
    <t>LINESTRING (10.366606035123823 59.42276978396164, 10.3665583105473 59.4229550060501, 10.366492195999532 59.42308890948741, 10.366460770332248 59.423139626083895)</t>
  </si>
  <si>
    <t>[928293, 928301, 928309]</t>
  </si>
  <si>
    <t>[898098, 898108, 876138]</t>
  </si>
  <si>
    <t>0.004353442165983635</t>
  </si>
  <si>
    <t>[879203, 898098, 898108]</t>
  </si>
  <si>
    <t>42.137102489506155</t>
  </si>
  <si>
    <t>[0.007, 0.006, 0.002, -0.003]</t>
  </si>
  <si>
    <t>LINESTRING (10.36673940141478 59.42315816767268, 10.36683780060215 59.423234879618704, 10.36683240787687 59.423312938056654, 10.366758838762877 59.42337328224388, 10.366603653854492 59.423410937081954)</t>
  </si>
  <si>
    <t>[901561, 901568, 901576, 901584]</t>
  </si>
  <si>
    <t>[876145, 876151, 876157, 876164]</t>
  </si>
  <si>
    <t>0.0030132349704231768</t>
  </si>
  <si>
    <t>[876141, 876145, 876151, 876157]</t>
  </si>
  <si>
    <t>[0.007, 0.006, 0.002, 0.003]</t>
  </si>
  <si>
    <t>36.59866462585162</t>
  </si>
  <si>
    <t>[0.006, 0.006, 0.007]</t>
  </si>
  <si>
    <t>LINESTRING (10.366606035123823 59.42276978396164, 10.366682840379323 59.42295856142015, 10.366724205289032 59.42309822019395, 10.36673940141478 59.42315816767268)</t>
  </si>
  <si>
    <t>[904841, 904849, 904857]</t>
  </si>
  <si>
    <t>[879204, 879213, 876141]</t>
  </si>
  <si>
    <t>0.006152405178993709</t>
  </si>
  <si>
    <t>[879203, 879204, 879213]</t>
  </si>
  <si>
    <t>44.20313788716163</t>
  </si>
  <si>
    <t>[-0.007, -0.008, -0.006, -0.005]</t>
  </si>
  <si>
    <t>LINESTRING (10.366603653854492 59.423410937081954, 10.36647579735675 59.42340369266105, 10.366364577235558 59.42336776330234, 10.366307420893847 59.423318555950026, 10.366297454259067 59.42330111242736)</t>
  </si>
  <si>
    <t>[901585, 901588, 901589, 901615]</t>
  </si>
  <si>
    <t>[876165, 876168, 876169, 876189]</t>
  </si>
  <si>
    <t>[876164, 876165, 876168, 876169]</t>
  </si>
  <si>
    <t>[0.007, 0.008, 0.006, 0.005]</t>
  </si>
  <si>
    <t>23.182884298958644</t>
  </si>
  <si>
    <t>[0.002, 0.001, 0.002, -0.002, 0.0, 0.011, -0.009, -0.008]</t>
  </si>
  <si>
    <t>LINESTRING (10.366603653854492 59.423410937081954, 10.366558532806884 59.423452361355395, 10.366437369916518 59.42356766804756, 10.366088416203807 59.42379645927348, 10.365743399064154 59.423905612848614, 10.364815391193373 59.42495911695039, 10.364817184970573 59.42501044817375, 10.364753678936012 59.42698153529598, 10.36466589137166 59.4274290264881)</t>
  </si>
  <si>
    <t>[921221, 921229, 921237, 921245, 921253, 921261, 921269, 1226663]</t>
  </si>
  <si>
    <t>[892222, 892230, 892236, 892243, 892250, 892256, 892264, 933302]</t>
  </si>
  <si>
    <t>[876164, 892222, 892230, 892236, 892243, 892250, 892256, 892264]</t>
  </si>
  <si>
    <t>[0.002, 0.001, 0.002, 0.002, 0.0, 0.011, 0.009, 0.008]</t>
  </si>
  <si>
    <t>485.1828903778968</t>
  </si>
  <si>
    <t>[0.005, 0.006, 0.006]</t>
  </si>
  <si>
    <t>LINESTRING (10.365802682008104 59.42317168324981, 10.36604511925354 59.423236572877045, 10.36620503162809 59.42327717512408, 10.366297454259067 59.42330111242736)</t>
  </si>
  <si>
    <t>[928253, 928261, 928269]</t>
  </si>
  <si>
    <t>[898059, 898067, 876189]</t>
  </si>
  <si>
    <t>0.005503772085724931</t>
  </si>
  <si>
    <t>[892217, 898059, 898067]</t>
  </si>
  <si>
    <t>31.829961181069272</t>
  </si>
  <si>
    <t>[0.002, -0.004, -0.007, -0.009]</t>
  </si>
  <si>
    <t>LINESTRING (10.365844369364156 59.422117830994026, 10.366000043445368 59.422063806996945, 10.366135847822402 59.42206710732662, 10.366228401685612 59.42210088916408, 10.366275069301956 59.42223170646402)</t>
  </si>
  <si>
    <t>[901638, 901655, 901663, 901664]</t>
  </si>
  <si>
    <t>[876209, 876228, 876234, 876235]</t>
  </si>
  <si>
    <t>[876208, 876209, 876228, 876234]</t>
  </si>
  <si>
    <t>[0.002, 0.004, 0.007, 0.009]</t>
  </si>
  <si>
    <t>40.55561529694047</t>
  </si>
  <si>
    <t>LINESTRING (10.366078862985825 59.4223066672045, 10.365951313968406 59.42229656392797, 10.36586735649147 59.422265866841684, 10.365820038138212 59.42222075069655, 10.365844369364156 59.422117830994026)</t>
  </si>
  <si>
    <t>[901703, 901706, 901707, 901714]</t>
  </si>
  <si>
    <t>[343990, 876264, 343968, 876208]</t>
  </si>
  <si>
    <t>0.006699810432218204</t>
  </si>
  <si>
    <t>[876260, 343990, 876264, 343968]</t>
  </si>
  <si>
    <t>30.737817523502223</t>
  </si>
  <si>
    <t>[-0.003, 0.002]</t>
  </si>
  <si>
    <t>LINESTRING (10.366275069301956 59.42223170646402, 10.366191439114118 59.42228368762997, 10.366078862985825 59.4223066672045)</t>
  </si>
  <si>
    <t>[901679, 901695]</t>
  </si>
  <si>
    <t>[876247, 876260]</t>
  </si>
  <si>
    <t>[876235, 876247]</t>
  </si>
  <si>
    <t>14.379287125008943</t>
  </si>
  <si>
    <t>[0.021, -0.008]</t>
  </si>
  <si>
    <t>LINESTRING (10.366275069301956 59.42223170646402, 10.366307804039042 59.42228072903334, 10.36642521139905 59.4224610567739)</t>
  </si>
  <si>
    <t>[942145, 942153]</t>
  </si>
  <si>
    <t>[910545, 892311]</t>
  </si>
  <si>
    <t>[876235, 910545]</t>
  </si>
  <si>
    <t>[0.021, 0.008]</t>
  </si>
  <si>
    <t>27.228678807527075</t>
  </si>
  <si>
    <t>LINESTRING (10.366078862985825 59.4223066672045, 10.36616646846284 59.42233650450057, 10.36642521139905 59.4224610567739)</t>
  </si>
  <si>
    <t>[928277, 928285]</t>
  </si>
  <si>
    <t>[898082, 892311]</t>
  </si>
  <si>
    <t>[876260, 898082]</t>
  </si>
  <si>
    <t>26.41768102792426</t>
  </si>
  <si>
    <t>33.728466723760505</t>
  </si>
  <si>
    <t>0.072</t>
  </si>
  <si>
    <t>21.843282661720373</t>
  </si>
  <si>
    <t>[-0.012, -0.02, 0.114]</t>
  </si>
  <si>
    <t>LINESTRING (10.244505685124677 59.211754059922406, 10.244141274543221 59.21140132799721, 10.23984110397244 59.20932841106324, 10.239680871991146 59.209323972329)</t>
  </si>
  <si>
    <t>[977578, 977562, 977570]</t>
  </si>
  <si>
    <t>[939308, 939309, 876278]</t>
  </si>
  <si>
    <t>[939318, 939308, 939309]</t>
  </si>
  <si>
    <t>[0.012, 0.02, 0.114]</t>
  </si>
  <si>
    <t>401.4305148129541</t>
  </si>
  <si>
    <t>19.086065317276084</t>
  </si>
  <si>
    <t>[0.045, 0.045, -0.045, -0.039, -0.033]</t>
  </si>
  <si>
    <t>LINESTRING (10.239303720538905 59.20917574834956, 10.23924608177654 59.20911111731232, 10.23345566949218 59.20692958778771, 10.232831858994976 59.20672056008245, 10.232649620416735 59.20664397184071, 10.232226332842236 59.20643845831386)</t>
  </si>
  <si>
    <t>[977599, 977601, 977608, 977615, 977654]</t>
  </si>
  <si>
    <t>[939328, 939329, 939332, 939337, 939358]</t>
  </si>
  <si>
    <t>0.030184987654364927</t>
  </si>
  <si>
    <t>[876279, 939328, 939329, 939332, 939337]</t>
  </si>
  <si>
    <t>[0.045, 0.045, 0.045, 0.039, 0.033]</t>
  </si>
  <si>
    <t>510.5224021936429</t>
  </si>
  <si>
    <t>[0.029, -0.006]</t>
  </si>
  <si>
    <t>LINESTRING (10.23954771781003 59.20907513874327, 10.239693260864541 59.20909558990823, 10.239788997036813 59.209151183910265)</t>
  </si>
  <si>
    <t>[901730, 901738]</t>
  </si>
  <si>
    <t>[876289, 876296]</t>
  </si>
  <si>
    <t>0.011871672029473182</t>
  </si>
  <si>
    <t>[876280, 876289]</t>
  </si>
  <si>
    <t>[0.029, 0.006]</t>
  </si>
  <si>
    <t>16.89163986752929</t>
  </si>
  <si>
    <t>[0.085, 0.07]</t>
  </si>
  <si>
    <t>LINESTRING (10.23954771781003 59.20907513874327, 10.239660365249824 59.20903213661903, 10.239902067303214 59.20892910345223)</t>
  </si>
  <si>
    <t>[904858, 904865]</t>
  </si>
  <si>
    <t>[879220, 879226]</t>
  </si>
  <si>
    <t>0.07463229909039537</t>
  </si>
  <si>
    <t>[876280, 879220]</t>
  </si>
  <si>
    <t>25.99073191431154</t>
  </si>
  <si>
    <t>[0.076, 0.064]</t>
  </si>
  <si>
    <t>LINESTRING (10.239788997036813 59.209151183910265, 10.239825098453105 59.20908477469012, 10.239902067303214 59.20892910345223)</t>
  </si>
  <si>
    <t>[928317, 928325]</t>
  </si>
  <si>
    <t>[898124, 879226]</t>
  </si>
  <si>
    <t>0.06760417457791403</t>
  </si>
  <si>
    <t>[876296, 898124]</t>
  </si>
  <si>
    <t>25.583220951690578</t>
  </si>
  <si>
    <t>[0.025, 0.018]</t>
  </si>
  <si>
    <t>LINESTRING (10.241320593175635 59.208042307821934, 10.241203913509228 59.2080023180347, 10.241139384510877 59.207909100451225)</t>
  </si>
  <si>
    <t>[901829, 901837]</t>
  </si>
  <si>
    <t>[876382, 876322]</t>
  </si>
  <si>
    <t>0.020916405939898144</t>
  </si>
  <si>
    <t>[876375, 876382]</t>
  </si>
  <si>
    <t>19.25292278636209</t>
  </si>
  <si>
    <t>[0.012, 0.005, 0.006]</t>
  </si>
  <si>
    <t>LINESTRING (10.240746148726602 59.20825736282914, 10.240815494455557 59.20821215094013, 10.241074363927899 59.20799927597147, 10.241139384510877 59.207909100451225)</t>
  </si>
  <si>
    <t>[904874, 904875, 904879]</t>
  </si>
  <si>
    <t>[879236, 879237, 876322]</t>
  </si>
  <si>
    <t>0.006229866190829854</t>
  </si>
  <si>
    <t>[879230, 879236, 879237]</t>
  </si>
  <si>
    <t>45.20277732156778</t>
  </si>
  <si>
    <t>[0.012, 0.002, -0.008]</t>
  </si>
  <si>
    <t>LINESTRING (10.240736061492854 59.20834352624978, 10.240820613447125 59.208285874076644, 10.241223397073053 59.208075173690396, 10.241320593175635 59.208042307821934)</t>
  </si>
  <si>
    <t>[928341, 928349, 928357]</t>
  </si>
  <si>
    <t>[898147, 898154, 876375]</t>
  </si>
  <si>
    <t>0.0022901746991022365</t>
  </si>
  <si>
    <t>[879252, 898147, 898154]</t>
  </si>
  <si>
    <t>[0.012, 0.002, 0.008]</t>
  </si>
  <si>
    <t>47.755106322683176</t>
  </si>
  <si>
    <t>36.06249908364919</t>
  </si>
  <si>
    <t>[0.062, 0.056, 0.046]</t>
  </si>
  <si>
    <t>LINESTRING (10.239902067303214 59.20892910345223, 10.240042493170023 59.20881672390214, 10.240174135999052 59.208711973768324, 10.240228513387539 59.20866870475398)</t>
  </si>
  <si>
    <t>[921381, 921389, 921397]</t>
  </si>
  <si>
    <t>[892354, 892361, 879228]</t>
  </si>
  <si>
    <t>0.05692410010849959</t>
  </si>
  <si>
    <t>[879226, 892354, 892361]</t>
  </si>
  <si>
    <t>34.50292711864979</t>
  </si>
  <si>
    <t>46.554348844710496</t>
  </si>
  <si>
    <t>[0.031, 0.015]</t>
  </si>
  <si>
    <t>LINESTRING (10.240228513387539 59.20866870475398, 10.240658654886053 59.20831523087874, 10.240746148726602 59.20825736282914)</t>
  </si>
  <si>
    <t>[904867, 904868]</t>
  </si>
  <si>
    <t>[879229, 879230]</t>
  </si>
  <si>
    <t>0.02861742952179545</t>
  </si>
  <si>
    <t>[879228, 879229]</t>
  </si>
  <si>
    <t>54.80671660907628</t>
  </si>
  <si>
    <t>[-0.091, -0.022, 0.016, -0.002, 0.006]</t>
  </si>
  <si>
    <t>LINESTRING (10.235397791793455 59.20731511807873, 10.236007077412056 59.20746189255423, 10.23773492895846 59.20796860021577, 10.238361670766121 59.208114114766, 10.24060782467608 59.208312197157326, 10.240746148726602 59.20825736282914)</t>
  </si>
  <si>
    <t>[977623, 977631, 900802, 900813, 904915]</t>
  </si>
  <si>
    <t>[939343, 875361, 875362, 875375, 879230]</t>
  </si>
  <si>
    <t>[939342, 939343, 875361, 875362, 875375]</t>
  </si>
  <si>
    <t>[0.091, 0.022, 0.016, 0.002, 0.006]</t>
  </si>
  <si>
    <t>335.40146877849656</t>
  </si>
  <si>
    <t>[-0.022, 0.001, 0.011, -0.034, -0.017]</t>
  </si>
  <si>
    <t>LINESTRING (10.240736061492854 59.20834352624978, 10.240691201192712 59.20840106901425, 10.242491073490564 59.209702104503535, 10.244704047870734 59.21152135685131, 10.245418857398404 59.21269549729129, 10.24554399027016 59.21308348996371)</t>
  </si>
  <si>
    <t>[904891, 921405, 921413, 977580, 977579]</t>
  </si>
  <si>
    <t>[879253, 892372, 892379, 939319, 939320]</t>
  </si>
  <si>
    <t>[879252, 879253, 892372, 892379, 939319]</t>
  </si>
  <si>
    <t>[0.022, 0.001, 0.011, 0.034, 0.017]</t>
  </si>
  <si>
    <t>609.3745059273615</t>
  </si>
  <si>
    <t>[-0.042, 0.038, 0.093, 0.084, 0.084]</t>
  </si>
  <si>
    <t>LINESTRING (9.31580246317391 58.92968031095735, 9.315989784399932 58.92971968588257, 9.31619183824099 58.9279191158313, 9.31593023260376 58.9275925857005, 9.315717304111452 58.92734822415615, 9.315648557582914 58.92720134042935)</t>
  </si>
  <si>
    <t>[910522, 910530, 910538, 910546, 910554]</t>
  </si>
  <si>
    <t>[884121, 884126, 884131, 884135, 884140]</t>
  </si>
  <si>
    <t>0.04807491405864075</t>
  </si>
  <si>
    <t>[884120, 884121, 884126, 884131, 884135]</t>
  </si>
  <si>
    <t>[0.042, 0.038, 0.093, 0.084, 0.084]</t>
  </si>
  <si>
    <t>335.9365601212347</t>
  </si>
  <si>
    <t>[0.049, 0.054]</t>
  </si>
  <si>
    <t>LINESTRING (9.31580246317391 58.92968031095735, 9.315607771973625 58.92847272660015, 9.315497693500976 58.92822807366653)</t>
  </si>
  <si>
    <t>[915625, 915633]</t>
  </si>
  <si>
    <t>[758211, 887813]</t>
  </si>
  <si>
    <t>0.049835733866403144</t>
  </si>
  <si>
    <t>[884120, 758211]</t>
  </si>
  <si>
    <t>167.5536771535214</t>
  </si>
  <si>
    <t>[-0.004, -0.011]</t>
  </si>
  <si>
    <t>LINESTRING (9.317678153385945 58.93100208575563, 9.317543869733003 58.93087054376936, 9.31580246317391 58.92968031095735)</t>
  </si>
  <si>
    <t>[915609, 915617]</t>
  </si>
  <si>
    <t>[887800, 884120]</t>
  </si>
  <si>
    <t>[887799, 887800]</t>
  </si>
  <si>
    <t>193.85077379007006</t>
  </si>
  <si>
    <t>[0.094, 0.083]</t>
  </si>
  <si>
    <t>LINESTRING (9.3162919055284 58.92790783679428, 9.316013659816491 58.92758191464972, 9.315648557582914 58.92720134042935)</t>
  </si>
  <si>
    <t>[937094, 937102]</t>
  </si>
  <si>
    <t>[905936, 884140]</t>
  </si>
  <si>
    <t>0.08801723792328807</t>
  </si>
  <si>
    <t>[884145, 905936]</t>
  </si>
  <si>
    <t>87.087148957316</t>
  </si>
  <si>
    <t>[-0.04, 0.03, 0.084]</t>
  </si>
  <si>
    <t>LINESTRING (9.3162919055284 58.92790783679428, 9.316483649425486 58.9280609872954, 9.31838521504039 58.92905354790233, 9.31850066794277 58.929057419356106)</t>
  </si>
  <si>
    <t>[910562, 910570, 910578]</t>
  </si>
  <si>
    <t>[884146, 884150, 884154]</t>
  </si>
  <si>
    <t>0.024533883274531716</t>
  </si>
  <si>
    <t>[884145, 884146, 884150]</t>
  </si>
  <si>
    <t>[0.04, 0.03, 0.084]</t>
  </si>
  <si>
    <t>194.60347550722526</t>
  </si>
  <si>
    <t>[0.016, 0.053]</t>
  </si>
  <si>
    <t>LINESTRING (9.317678153385945 58.93100208575563, 9.316419632637157 58.92807408945798, 9.3162919055284 58.92790783679428)</t>
  </si>
  <si>
    <t>[937078, 937086]</t>
  </si>
  <si>
    <t>[905920, 884145]</t>
  </si>
  <si>
    <t>0.01807977777185621</t>
  </si>
  <si>
    <t>[887799, 905920]</t>
  </si>
  <si>
    <t>354.83378471913704</t>
  </si>
  <si>
    <t>[-0.04, -0.052]</t>
  </si>
  <si>
    <t>LINESTRING (9.31850066794277 58.929057419356106, 9.318134971692583 58.931672158006734, 9.318188222115111 58.93182242580518)</t>
  </si>
  <si>
    <t>[915665, 915673]</t>
  </si>
  <si>
    <t>[887830, 887837]</t>
  </si>
  <si>
    <t>[884154, 887830]</t>
  </si>
  <si>
    <t>[0.04, 0.052]</t>
  </si>
  <si>
    <t>347.97501179613477</t>
  </si>
  <si>
    <t>[-0.008, -0.061, -0.077]</t>
  </si>
  <si>
    <t>LINESTRING (9.319213402184236 58.92825166193914, 9.31906910414887 58.92886739843299, 9.318984071413752 58.928913259653996, 9.31850066794277 58.929057419356106)</t>
  </si>
  <si>
    <t>[915641, 915649, 915657]</t>
  </si>
  <si>
    <t>[245819, 887825, 884154]</t>
  </si>
  <si>
    <t>[887818, 245819, 887825]</t>
  </si>
  <si>
    <t>[0.008, 0.061, 0.077]</t>
  </si>
  <si>
    <t>112.17571475411624</t>
  </si>
  <si>
    <t>[0.033, 0.054, -0.005, -0.09]</t>
  </si>
  <si>
    <t>LINESTRING (9.662631363167066 59.07629904729185, 9.662563002085873 59.076289027506085, 9.662452617870917 59.07624577720581, 9.662416859079768 59.07617230960208, 9.66246690246447 59.07609788279263)</t>
  </si>
  <si>
    <t>[910602, 910610, 910618, 910626]</t>
  </si>
  <si>
    <t>[849802, 884171, 843865, 884183]</t>
  </si>
  <si>
    <t>[884168, 849802, 884171, 843865]</t>
  </si>
  <si>
    <t>[0.033, 0.054, 0.005, 0.09]</t>
  </si>
  <si>
    <t>29.263802992560002</t>
  </si>
  <si>
    <t>[-0.959, -0.029, -0.01, 0.026, 0.036]</t>
  </si>
  <si>
    <t>LINESTRING (9.664710350093054 59.07870680337201, 9.664610958231895 59.078562868740576, 9.66418585000972 59.07770509828513, 9.664115598523656 59.07758219888256, 9.662726891724239 59.076342620399956, 9.662631363167066 59.07629904729185)</t>
  </si>
  <si>
    <t>[1788769, 915441, 915449, 915457, 915465]</t>
  </si>
  <si>
    <t>[887670, 887671, 887677, 887684, 884168]</t>
  </si>
  <si>
    <t>[1577853, 887670, 887671, 887677, 887684]</t>
  </si>
  <si>
    <t>[0.959, 0.029, 0.01, 0.026, 0.036]</t>
  </si>
  <si>
    <t>297.1859042805456</t>
  </si>
  <si>
    <t>[-0.056, 0.03, 0.009]</t>
  </si>
  <si>
    <t>LINESTRING (9.66246690246447 59.07609788279263, 9.66249665020944 59.07603951871175, 9.661984401717676 59.07365819026049, 9.661999969286695 59.073507109161916)</t>
  </si>
  <si>
    <t>[915561, 915569, 915577]</t>
  </si>
  <si>
    <t>[887765, 887771, 887775]</t>
  </si>
  <si>
    <t>0.026802862635167356</t>
  </si>
  <si>
    <t>[884183, 887765, 887771]</t>
  </si>
  <si>
    <t>[0.056, 0.03, 0.009]</t>
  </si>
  <si>
    <t>291.72409586171113</t>
  </si>
  <si>
    <t>[-0.076, -0.104, -0.091, -0.062]</t>
  </si>
  <si>
    <t>LINESTRING (9.663924283787987 59.0756549720231, 9.663984169991103 59.07566328267606, 9.66408111057812 59.0757086768355, 9.664103658585352 59.07578168896192, 9.66406234133032 59.07582871430384)</t>
  </si>
  <si>
    <t>[910674, 910682, 910690, 910698]</t>
  </si>
  <si>
    <t>[518537, 884213, 873704, 884227]</t>
  </si>
  <si>
    <t>[884204, 518537, 884213, 873704]</t>
  </si>
  <si>
    <t>[0.076, 0.104, 0.091, 0.062]</t>
  </si>
  <si>
    <t>25.075767299860928</t>
  </si>
  <si>
    <t>[-0.055, -0.013, -0.087]</t>
  </si>
  <si>
    <t>LINESTRING (9.661965073086856 59.073420376367864, 9.66210678250825 59.07356010266581, 9.66386437190152 59.07562099510804, 9.663924283787987 59.0756549720231)</t>
  </si>
  <si>
    <t>[915585, 915593, 915601]</t>
  </si>
  <si>
    <t>[887782, 887788, 884204]</t>
  </si>
  <si>
    <t>[887781, 887782, 887788]</t>
  </si>
  <si>
    <t>[0.055, 0.013, 0.087]</t>
  </si>
  <si>
    <t>277.5568451898436</t>
  </si>
  <si>
    <t>[-0.079, -0.026, 0.01, 0.022, 0.04, 0.874]</t>
  </si>
  <si>
    <t>LINESTRING (9.66406234133032 59.07582871430384, 9.664048281667908 59.07589029950395, 9.664345801531686 59.07751808201724, 9.66439757668906 59.07761986347468, 9.664472666171 59.07776784448167, 9.664921611689506 59.07893663942109, 9.664953944522372 59.07908766219698)</t>
  </si>
  <si>
    <t>[915521, 915529, 915537, 915545, 915553, 1788761]</t>
  </si>
  <si>
    <t>[887735, 887740, 887744, 887752, 887757, 1577710]</t>
  </si>
  <si>
    <t>0.04142128861917026</t>
  </si>
  <si>
    <t>[884227, 887735, 887740, 887744, 887752, 887757]</t>
  </si>
  <si>
    <t>[0.079, 0.026, 0.01, 0.022, 0.04, 0.874]</t>
  </si>
  <si>
    <t>369.23199621867843</t>
  </si>
  <si>
    <t>0.226</t>
  </si>
  <si>
    <t>18.194751087470685</t>
  </si>
  <si>
    <t>[0.197, -0.044, 0.009, -0.111, 0.049, -0.052, -0.151]</t>
  </si>
  <si>
    <t>LINESTRING (9.694443990686418 59.103006724541785, 9.694226780573286 59.10290911944713, 9.691902133278571 59.10194268232896, 9.689462781958788 59.101456251180025, 9.688515197102205 59.10110218263774, 9.688355817183517 59.10093888202348, 9.688211114326158 59.1003731257334, 9.688231527988615 59.100313905329536)</t>
  </si>
  <si>
    <t>[994168, 915217, 915225, 915233, 915241, 915249, 915257]</t>
  </si>
  <si>
    <t>[887513, 887514, 887520, 887526, 887533, 887541, 884247]</t>
  </si>
  <si>
    <t>[952146, 887513, 887514, 887520, 887526, 887533, 887541]</t>
  </si>
  <si>
    <t>[0.197, 0.044, 0.009, 0.111, 0.049, 0.052, 0.151]</t>
  </si>
  <si>
    <t>498.70342307228634</t>
  </si>
  <si>
    <t>[0.145, 0.049, 0.032, 0.089, -0.004]</t>
  </si>
  <si>
    <t>LINESTRING (9.688521241877933 59.1003423893031, 9.688475572422112 59.100413099617946, 9.691522322255048 59.10169090404537, 9.69369890549878 59.10251874425419, 9.693800396608987 59.10257116567409, 9.693990772638818 59.102687828800796)</t>
  </si>
  <si>
    <t>[915305, 915313, 915321, 915329, 994184]</t>
  </si>
  <si>
    <t>[887577, 887580, 887587, 887592, 952235]</t>
  </si>
  <si>
    <t>0.043410518382686024</t>
  </si>
  <si>
    <t>[884281, 887577, 887580, 887587, 887592]</t>
  </si>
  <si>
    <t>[0.145, 0.049, 0.032, 0.089, 0.004]</t>
  </si>
  <si>
    <t>432.2319423849354</t>
  </si>
  <si>
    <t>[-0.021, -0.018]</t>
  </si>
  <si>
    <t>LINESTRING (7.603307510900826 59.736676123209875, 7.603218029471265 59.736682067521464, 7.603128885620013 59.73668777841113)</t>
  </si>
  <si>
    <t>[912146, 912154]</t>
  </si>
  <si>
    <t>[885213, 885221]</t>
  </si>
  <si>
    <t>[885208, 885213]</t>
  </si>
  <si>
    <t>[0.021, 0.018]</t>
  </si>
  <si>
    <t>10.14734837706779</t>
  </si>
  <si>
    <t>LINESTRING (7.736958844420954 59.71614424486109, 7.603307510900826 59.736676123209875)</t>
  </si>
  <si>
    <t>12299.93795927304</t>
  </si>
  <si>
    <t>[0.102, 0.106, 0.116]</t>
  </si>
  <si>
    <t>LINESTRING (10.212654954633598 59.17612908673638, 10.212530978599773 59.17610588946783, 10.21233829751781 59.17608276417923, 10.212079734947684 59.17606332299716)</t>
  </si>
  <si>
    <t>[913332, 913340, 913348]</t>
  </si>
  <si>
    <t>[886097, 886104, 886113]</t>
  </si>
  <si>
    <t>0.10952766100941597</t>
  </si>
  <si>
    <t>[886096, 886097, 886104]</t>
  </si>
  <si>
    <t>33.82067214084459</t>
  </si>
  <si>
    <t>[-0.033, -0.063]</t>
  </si>
  <si>
    <t>LINESTRING (10.212654954633598 59.17612908673638, 10.212596625583993 59.17603509090465, 10.21265528320087 59.17595413940678)</t>
  </si>
  <si>
    <t>[936035, 936043]</t>
  </si>
  <si>
    <t>[905035, 894186]</t>
  </si>
  <si>
    <t>[886096, 905035]</t>
  </si>
  <si>
    <t>[0.033, 0.063]</t>
  </si>
  <si>
    <t>20.833913492306806</t>
  </si>
  <si>
    <t>[0.472, 0.05, 0.043, 0.052]</t>
  </si>
  <si>
    <t>LINESTRING (10.213125462291494 59.17609932908646, 10.213078773764511 59.176136006755456, 10.212939354728803 59.17617925512938, 10.212763145764841 59.17617239045461, 10.212654954633598 59.17612908673638)</t>
  </si>
  <si>
    <t>[936099, 936107, 936115, 936027]</t>
  </si>
  <si>
    <t>[887600, 905101, 886088, 886096]</t>
  </si>
  <si>
    <t>0.11236090750774183</t>
  </si>
  <si>
    <t>[894219, 887600, 905101, 886088]</t>
  </si>
  <si>
    <t>32.16203122353648</t>
  </si>
  <si>
    <t>[0.063, -0.701, -0.007]</t>
  </si>
  <si>
    <t>LINESTRING (10.212079734947684 59.17606332299716, 10.209960578514721 59.17664632979459, 10.209779037367465 59.17673110679777, 10.209619322550797 59.176781446003496)</t>
  </si>
  <si>
    <t>[935675, 1708817, 1708825]</t>
  </si>
  <si>
    <t>[904722, 1525323, 1525158]</t>
  </si>
  <si>
    <t>[886113, 904722, 1525323]</t>
  </si>
  <si>
    <t>[0.063, 0.701, 0.007]</t>
  </si>
  <si>
    <t>164.07314769820792</t>
  </si>
  <si>
    <t>[0.135, 0.135, 0.13]</t>
  </si>
  <si>
    <t>LINESTRING (10.21265528320087 59.17595413940678, 10.21254178876017 59.175974956511595, 10.212342504214723 59.17600771838869, 10.212079734947684 59.17606332299716)</t>
  </si>
  <si>
    <t>[923698, 923706, 923714]</t>
  </si>
  <si>
    <t>[894187, 894194, 886113]</t>
  </si>
  <si>
    <t>0.13267241751654169</t>
  </si>
  <si>
    <t>[894186, 894187, 894194]</t>
  </si>
  <si>
    <t>35.29957340477119</t>
  </si>
  <si>
    <t>[-0.085, -0.013, -0.015, -0.008]</t>
  </si>
  <si>
    <t>LINESTRING (10.213091271109613 59.17595674114275, 10.213192653774009 59.17597108904022, 10.213330146797608 59.175990116034804, 10.213410194126345 59.175999646312796, 10.213605622955647 59.17604544072512)</t>
  </si>
  <si>
    <t>[913372, 913380, 913388, 913396]</t>
  </si>
  <si>
    <t>[886138, 886147, 886154, 886162]</t>
  </si>
  <si>
    <t>[886137, 886138, 886147, 886154]</t>
  </si>
  <si>
    <t>[0.085, 0.013, 0.015, 0.008]</t>
  </si>
  <si>
    <t>31.41661909806412</t>
  </si>
  <si>
    <t>[0.242, -0.23]</t>
  </si>
  <si>
    <t>LINESTRING (10.213091271109613 59.17595674114275, 10.213146309020239 59.176029206322006, 10.213125462291494 59.17609932908646)</t>
  </si>
  <si>
    <t>[936083, 936091]</t>
  </si>
  <si>
    <t>[905085, 894219]</t>
  </si>
  <si>
    <t>0.016859582940824527</t>
  </si>
  <si>
    <t>[886137, 905085]</t>
  </si>
  <si>
    <t>[0.242, 0.23]</t>
  </si>
  <si>
    <t>16.57481532848313</t>
  </si>
  <si>
    <t>[-0.013, -0.05, -0.035, -0.357]</t>
  </si>
  <si>
    <t>LINESTRING (10.21265528320087 59.17595413940678, 10.212738993260807 59.17591726341183, 10.212879854179016 59.17590099156391, 10.213012138926855 59.17592116694658, 10.213091271109613 59.17595674114275)</t>
  </si>
  <si>
    <t>[936051, 936059, 936067, 936075]</t>
  </si>
  <si>
    <t>[886188, 905057, 905067, 886137]</t>
  </si>
  <si>
    <t>[894186, 886188, 905057, 905067]</t>
  </si>
  <si>
    <t>[0.013, 0.05, 0.035, 0.357]</t>
  </si>
  <si>
    <t>28.484632375318018</t>
  </si>
  <si>
    <t>[-0.004, -0.081]</t>
  </si>
  <si>
    <t>LINESTRING (10.213605622955647 59.17604544072512, 10.21690350131989 59.1768641698653, 10.217168474981362 59.176897960304586)</t>
  </si>
  <si>
    <t>[936307, 936315]</t>
  </si>
  <si>
    <t>[905271, 886169]</t>
  </si>
  <si>
    <t>[886162, 905271]</t>
  </si>
  <si>
    <t>[0.004, 0.081]</t>
  </si>
  <si>
    <t>225.92308429254524</t>
  </si>
  <si>
    <t>[-0.074, -0.029, -0.035, -0.027]</t>
  </si>
  <si>
    <t>LINESTRING (10.213125462291494 59.17609932908646, 10.213214253548937 59.17608334762916, 10.213333750864928 59.17606746507277, 10.213406998025807 59.17606449268745, 10.213605622955647 59.17604544072512)</t>
  </si>
  <si>
    <t>[923738, 923746, 923754, 923762]</t>
  </si>
  <si>
    <t>[894220, 894226, 894231, 886162]</t>
  </si>
  <si>
    <t>[894219, 894220, 894226, 894231]</t>
  </si>
  <si>
    <t>[0.074, 0.029, 0.035, 0.027]</t>
  </si>
  <si>
    <t>28.20901327130614</t>
  </si>
  <si>
    <t>[-0.035, -0.036, -0.037]</t>
  </si>
  <si>
    <t>LINESTRING (10.217168474981362 59.176897960304586, 10.21740322826134 59.176891497055905, 10.217638564981346 59.17688111495271, 10.217771927940738 59.176869841483736)</t>
  </si>
  <si>
    <t>[913404, 913412, 913420]</t>
  </si>
  <si>
    <t>[886170, 886178, 886184]</t>
  </si>
  <si>
    <t>[886169, 886170, 886178]</t>
  </si>
  <si>
    <t>[0.035, 0.036, 0.037]</t>
  </si>
  <si>
    <t>34.896046619953836</t>
  </si>
  <si>
    <t>[-0.018, -0.02, -0.01]</t>
  </si>
  <si>
    <t>LINESTRING (10.217168474981362 59.176897960304586, 10.217396011954111 59.176948809929804, 10.21762018866126 59.17698235417027, 10.217729526404993 59.17700500658914)</t>
  </si>
  <si>
    <t>[923770, 923778, 923786]</t>
  </si>
  <si>
    <t>[894242, 894251, 894261]</t>
  </si>
  <si>
    <t>[886169, 894242, 894251]</t>
  </si>
  <si>
    <t>[0.018, 0.02, 0.01]</t>
  </si>
  <si>
    <t>34.56112093712372</t>
  </si>
  <si>
    <t>[0.398, -0.025, -0.012, -0.246]</t>
  </si>
  <si>
    <t>LINESTRING (10.217771927940738 59.176869841483736, 10.217823326130123 59.17685194719768, 10.217960101699703 59.17684007975966, 10.218063561561635 59.176862155339464, 10.21813093493123 59.17691042582697)</t>
  </si>
  <si>
    <t>[936483, 936491, 936499, 936507]</t>
  </si>
  <si>
    <t>[905421, 905427, 886236, 886207]</t>
  </si>
  <si>
    <t>[886184, 905421, 905427, 886236]</t>
  </si>
  <si>
    <t>[0.398, 0.025, 0.012, 0.246]</t>
  </si>
  <si>
    <t>24.517110385669817</t>
  </si>
  <si>
    <t>[0.141, -0.216]</t>
  </si>
  <si>
    <t>LINESTRING (10.217729526404993 59.17700500658914, 10.217704949249622 59.17693519615249, 10.217771927940738 59.176869841483736)</t>
  </si>
  <si>
    <t>[936563, 936571]</t>
  </si>
  <si>
    <t>[905484, 886184]</t>
  </si>
  <si>
    <t>[894261, 905484]</t>
  </si>
  <si>
    <t>[0.141, 0.216]</t>
  </si>
  <si>
    <t>16.137310436386493</t>
  </si>
  <si>
    <t>[-0.012, -0.018]</t>
  </si>
  <si>
    <t>LINESTRING (10.21813093493123 59.17691042582697, 10.218222306569492 59.176927467920464, 10.218686145158447 59.17699035653445)</t>
  </si>
  <si>
    <t>[913444, 913452]</t>
  </si>
  <si>
    <t>[886208, 886217]</t>
  </si>
  <si>
    <t>[886207, 886208]</t>
  </si>
  <si>
    <t>[0.012, 0.018]</t>
  </si>
  <si>
    <t>33.22345172530603</t>
  </si>
  <si>
    <t>[0.244, -0.159]</t>
  </si>
  <si>
    <t>LINESTRING (10.21813093493123 59.17691042582697, 10.21814086981244 59.176977177556374, 10.218078419109325 59.177033973920025)</t>
  </si>
  <si>
    <t>[936515, 936523]</t>
  </si>
  <si>
    <t>[905447, 894269]</t>
  </si>
  <si>
    <t>0.04513490224011461</t>
  </si>
  <si>
    <t>[886207, 905447]</t>
  </si>
  <si>
    <t>[0.244, 0.159]</t>
  </si>
  <si>
    <t>14.730434376466487</t>
  </si>
  <si>
    <t>[0.08, -0.017, -0.001, -0.006, -0.058, -0.011, 0.003, 0.0, 0.002, 0.008, 0.007, 0.023, 0.022, 0.022, 0.01, -0.004]</t>
  </si>
  <si>
    <t>6160.0</t>
  </si>
  <si>
    <t>[0, 0, 0, 1, 0, 0, 0, 1, 0, 0, 0, 0, 0, 0, 0, 0]</t>
  </si>
  <si>
    <t>LINESTRING (10.218686145158447 59.17699035653445, 10.218987966903665 59.17699878570653, 10.220176127720404 59.17703969723601, 10.22088728044871 59.177087792667535, 10.220956579684085 59.17709613948207, 10.224169999887962 59.17864254727355, 10.236960096759617 59.18373439019639, 10.23879979173823 59.18391041906409, 10.238946424855458 59.18392479694207, 10.23924264360116 59.183953750517105, 10.239662532845268 59.183992819481226, 10.242263671719243 59.18414883477068, 10.243413794861025 59.184199285225255, 10.244213866795706 59.1842342549452, 10.244492355824645 59.184245311555536, 10.246002428630415 59.18420718291033, 10.247944818438153 59.18350082481129)</t>
  </si>
  <si>
    <t>[936323, 936331, 936339, 936347, 936355, 936363, 936371, 936379, 936387, 936395, 936403, 936411, 936419, 936427, 936435, 936443]</t>
  </si>
  <si>
    <t>[905284, 905289, 905295, 905300, 905309, 905317, 905326, 905334, 905341, 905348, 905354, 905362, 905368, 905373, 858218, 886223]</t>
  </si>
  <si>
    <t>[886217, 905284, 905289, 905295, 905300, 905309, 905317, 905326, 905334, 905341, 905348, 905354, 905362, 905368, 905373, 858218]</t>
  </si>
  <si>
    <t>[0.08, 0.017, 0.001, 0.006, 0.058, 0.011, 0.003, 0.0, 0.002, 0.008, 0.007, 0.023, 0.022, 0.022, 0.01, 0.004]</t>
  </si>
  <si>
    <t>2071.9329535809884</t>
  </si>
  <si>
    <t>LINESTRING (10.218078419109325 59.177033973920025, 10.218185451153689 59.17702802578901, 10.218686145158447 59.17699035653445)</t>
  </si>
  <si>
    <t>[923794, 923802]</t>
  </si>
  <si>
    <t>[894270, 886217]</t>
  </si>
  <si>
    <t>[894269, 894270]</t>
  </si>
  <si>
    <t>35.341220082015795</t>
  </si>
  <si>
    <t>[-0.014, -0.008, -0.011, -0.009, -0.002]</t>
  </si>
  <si>
    <t>LINESTRING (10.247944818438153 59.18350082481129, 10.248320029734192 59.18309548891341, 10.248374841826198 59.1830088950807, 10.248532416266176 59.18228632414448, 10.248533348517421 59.18217931639349, 10.248592283664541 59.18103226820291)</t>
  </si>
  <si>
    <t>[913460, 913468, 913476, 913484, 913492]</t>
  </si>
  <si>
    <t>[886224, 886231, 886239, 886244, 886251]</t>
  </si>
  <si>
    <t>[886223, 886224, 886231, 886239, 886244]</t>
  </si>
  <si>
    <t>[0.014, 0.008, 0.011, 0.009, 0.002]</t>
  </si>
  <si>
    <t>281.8961783566328</t>
  </si>
  <si>
    <t>[-0.016, -0.016, -0.013, 0.003]</t>
  </si>
  <si>
    <t>LINESTRING (10.247944818438153 59.18350082481129, 10.248500159896135 59.18301206490147, 10.24867136695725 59.182288365175395, 10.248672054524521 59.18218008915353, 10.248592283664541 59.18103226820291)</t>
  </si>
  <si>
    <t>[923810, 923818, 923826, 923834]</t>
  </si>
  <si>
    <t>[894282, 894291, 894300, 886251]</t>
  </si>
  <si>
    <t>[886223, 894282, 894291, 894300]</t>
  </si>
  <si>
    <t>[0.016, 0.016, 0.013, 0.003]</t>
  </si>
  <si>
    <t>285.9007633494888</t>
  </si>
  <si>
    <t>[0.018, -0.005, -0.004, -0.03]</t>
  </si>
  <si>
    <t>LINESTRING (10.248592283664541 59.18103226820291, 10.248597826697043 59.18067031882018, 10.248609361016952 59.1802221908168, 10.248609981151201 59.18018068307424, 10.248626028807118 59.17973613856227)</t>
  </si>
  <si>
    <t>[936451, 936459, 936467, 936475]</t>
  </si>
  <si>
    <t>[905390, 905399, 905405, 886259]</t>
  </si>
  <si>
    <t>[886251, 905390, 905399, 905405]</t>
  </si>
  <si>
    <t>[0.018, 0.005, 0.004, 0.03]</t>
  </si>
  <si>
    <t>144.47342923607565</t>
  </si>
  <si>
    <t>[-0.009, -0.004, -0.016, -0.005, -0.0]</t>
  </si>
  <si>
    <t>LINESTRING (10.248626028807118 59.17973613856227, 10.248598377137139 59.179449800346426, 10.249774743285247 59.17862582699282, 10.250409112951337 59.178630018389136, 10.250936435268748 59.178617216880546, 10.251044195983575 59.17860827292678)</t>
  </si>
  <si>
    <t>[913500, 913508, 913516, 913524, 913532]</t>
  </si>
  <si>
    <t>[886260, 886263, 886268, 886274, 886280]</t>
  </si>
  <si>
    <t>[886259, 886260, 886263, 886268, 886274]</t>
  </si>
  <si>
    <t>[0.009, 0.004, 0.016, 0.005, 0.0]</t>
  </si>
  <si>
    <t>240.9165383347752</t>
  </si>
  <si>
    <t>[-0.012, -0.005, -0.017, -0.009, -0.008]</t>
  </si>
  <si>
    <t>LINESTRING (10.248626028807118 59.17973613856227, 10.248686957823752 59.17947571329147, 10.249812182490064 59.17870116510804, 10.250448644670023 59.17870531598467, 10.250934035199359 59.17871580529033, 10.251022413068359 59.17872048076969)</t>
  </si>
  <si>
    <t>[923842, 923850, 923858, 923866, 923874]</t>
  </si>
  <si>
    <t>[894312, 894319, 894329, 894338, 894349]</t>
  </si>
  <si>
    <t>[886259, 894312, 894319, 894329, 894338]</t>
  </si>
  <si>
    <t>[0.012, 0.005, 0.017, 0.009, 0.008]</t>
  </si>
  <si>
    <t>229.5501265841584</t>
  </si>
  <si>
    <t>[0.306, -0.21]</t>
  </si>
  <si>
    <t>LINESTRING (10.251022413068359 59.17872048076969, 10.25099618753984 59.17866707897964, 10.251044195983575 59.17860827292678)</t>
  </si>
  <si>
    <t>[936659, 936667]</t>
  </si>
  <si>
    <t>[905566, 886280]</t>
  </si>
  <si>
    <t>0.029137471804752724</t>
  </si>
  <si>
    <t>[894349, 905566]</t>
  </si>
  <si>
    <t>[0.306, 0.21]</t>
  </si>
  <si>
    <t>13.244343250038767</t>
  </si>
  <si>
    <t>[0.063, 0.147, 0.137, 0.066, 0.151, 0.086, -0.051, 0.306, 0.241, 0.053, -0.12, -0.022, 0.112, 0.077, 0.093, 0.069, -0.011, -0.01, 0.005, 0.059, 0.036, -0.061, -0.062, 0.016, -0.105, -0.122, -0.073, -0.061]</t>
  </si>
  <si>
    <t>[0, 0, 1, 0, 1, 0, 0, 1, 0, 0, 0, 0, 0, 0, 0, 0, 0, 1, 0, 1, 0, 0, 0, 0, 0, 0, 1, 0]</t>
  </si>
  <si>
    <t>LINESTRING (9.791551409917993 59.09242311499677, 9.788045227731116 59.09358704259146, 9.787532193925802 59.09377342838146, 9.78741079830322 59.09381766898295, 9.782254655840141 59.095696493732255, 9.781877909884656 59.09583112455476, 9.780545572288718 59.0962969927708, 9.774788127765493 59.09836399843848, 9.77470252253022 59.098403275083285, 9.773509108232552 59.09900605870808, 9.77123442724307 59.10025995717593, 9.770946088136684 59.10042804911669, 9.764952278830691 59.10409099214283, 9.764940248818355 59.10409839712563, 9.764843853473607 59.104154760214016, 9.764803373636736 59.104179371106625, 9.764767252298329 59.10420087388313, 9.750905923352349 59.10506305854648, 9.750633725146132 59.10510754037828, 9.745069204211484 59.106885216677675, 9.744826425534638 59.106924573237045, 9.738854903201585 59.10842268248864, 9.725581081644274 59.114283901865655, 9.724705293254683 59.11535983077537, 9.722846038377215 59.11758070564976, 9.719012849062386 59.11995797805315, 9.716821149356319 59.120487364748875, 9.715572886582299 59.12063752571089, 9.715118144443482 59.120667674736524)</t>
  </si>
  <si>
    <t>[993513, 993521, 993522, 993529, 993537, 993545, 993553, 993561, 993571, 993579, 993590, 993606, 993620, 993621, 993636, 993649, 993650, 993651, 993652, 993657, 993665, 993666, 993673, 993675, 993677, 993690, 993714, 993715]</t>
  </si>
  <si>
    <t>[951837, 951844, 951845, 951851, 951856, 951863, 951870, 951876, 951883, 951890, 951898, 951906, 951919, 951920, 951929, 951942, 951943, 951944, 951945, 951949, 951955, 951956, 951961, 951962, 951964, 951974, 951988, 951989]</t>
  </si>
  <si>
    <t>[887273, 951837, 951844, 951845, 951851, 951856, 951863, 951870, 951876, 951883, 951890, 951898, 951906, 951919, 951920, 951929, 951942, 951943, 951944, 951945, 951949, 951955, 951956, 951961, 951962, 951964, 951974, 951988]</t>
  </si>
  <si>
    <t>[0.063, 0.147, 0.137, 0.066, 0.151, 0.086, 0.051, 0.306, 0.241, 0.053, 0.12, 0.022, 0.112, 0.077, 0.093, 0.069, 0.011, 0.01, 0.005, 0.059, 0.036, 0.061, 0.062, 0.016, 0.105, 0.122, 0.073, 0.061]</t>
  </si>
  <si>
    <t>5735.093945870071</t>
  </si>
  <si>
    <t>[0.062, 0.148, 0.144, 0.066, 0.163, 0.091, -0.052, -0.049, 0.275, 0.241, 0.051, -0.207, -0.118, -0.023, 0.257, 0.082, 0.076, 0.063, -0.01, -0.001, 0.002, 0.084, 0.038, -0.063, -0.063, 0.016, -0.104]</t>
  </si>
  <si>
    <t>20276.0</t>
  </si>
  <si>
    <t>[0, 0, 1, 0, 1, 0, 0, 0, 1, 0, 0, 0, 0, 0, 0, 0, 0, 0, 0, 1, 0, 1, 0, 0, 0, 0, 0]</t>
  </si>
  <si>
    <t>LINESTRING (9.791551409917993 59.09242311499677, 9.787990590818813 59.09354592526239, 9.787507286989795 59.093722188548455, 9.787384288663459 59.09376730937754, 9.782278492427814 59.09562609906425, 9.781919905574277 59.09575633309682, 9.78050962654246 59.09625030919663, 9.780483626282887 59.096258996705345, 9.774724183856396 59.098326962683785, 9.774638933752925 59.09836689249826, 9.773445025920225 59.09896844083958, 9.771170228965262 59.1002205788306, 9.77116162915315 59.10022546840723, 9.770877037231939 59.10038757475607, 9.764876851625672 59.10405389202611, 9.764871245436579 59.104056922677856, 9.764767817796463 59.104118436274625, 9.764732064719576 59.10413981895977, 9.764691419938277 59.104164135201984, 9.75097971549271 59.10499820296096, 9.75069201288593 59.10504340594205, 9.745045598633235 59.10683417307568, 9.744720386615843 59.106886173204956, 9.738794250392692 59.1083681071752, 9.725483739932207 59.114258546409594, 9.724618683854859 59.11534157998949, 9.722753703527584 59.1175588099018, 9.71896031933472 59.11991661949601)</t>
  </si>
  <si>
    <t>[994200, 994210, 994218, 994227, 994235, 994243, 994251, 994259, 994267, 994276, 994284, 994292, 994301, 994309, 994317, 994325, 994333, 994341, 994349, 994357, 994365, 994373, 994381, 994389, 994397, 994405, 994413]</t>
  </si>
  <si>
    <t>[952291, 952294, 952298, 952302, 952307, 952284, 952315, 952324, 952333, 952338, 952344, 952352, 952362, 952368, 952376, 952386, 952395, 952401, 952409, 952414, 952420, 952426, 952432, 952440, 952446, 952450, 952455]</t>
  </si>
  <si>
    <t>[887273, 952291, 952294, 952298, 952302, 952307, 952284, 952315, 952324, 952333, 952338, 952344, 952352, 952362, 952368, 952376, 952386, 952395, 952401, 952409, 952414, 952420, 952426, 952432, 952440, 952446, 952450]</t>
  </si>
  <si>
    <t>[0.062, 0.148, 0.144, 0.066, 0.163, 0.091, 0.052, 0.049, 0.275, 0.241, 0.051, 0.207, 0.118, 0.023, 0.257, 0.082, 0.076, 0.063, 0.01, 0.001, 0.002, 0.084, 0.038, 0.063, 0.063, 0.016, 0.104]</t>
  </si>
  <si>
    <t>5497.700211962438</t>
  </si>
  <si>
    <t>[-0.03, 0.009, 0.012, 0.03, 0.027, 0.036, 0.033, 0.035, 0.04, 0.043, -0.008, -0.017, -0.045, 0.028, -0.054, -0.009, 0.148, 0.102, 0.046, -0.028, -0.057, 0.014, 0.059, 0.065, 0.049, 0.047, 0.077, 0.015, -0.026, -0.006, 0.009, -0.007]</t>
  </si>
  <si>
    <t>[0, 0, 0, 0, 0, 0, 0, 0, 1, 0, 0, 1, 0, 0, 1, 0, 1, 0, 1, 0, 0, 0, 1, 0, 0, 0, 0, 0, 1, 0, 0, 0]</t>
  </si>
  <si>
    <t>LINESTRING (9.273284533895465 58.892665934947615, 9.272341871705372 58.892258870174835, 9.271157213916979 58.89183528725711, 9.258146091022812 58.89179915303602, 9.2532786064169 58.89141201976539, 9.235088384088225 58.88929025807301, 9.233355806536991 58.888863426714074, 9.232939782942081 58.88875709875884, 9.231435429610121 58.888358954430885, 9.230820001797865 58.888190155735856, 9.22945621593518 58.88781081191077, 9.21266619221738 58.88193097109015, 9.212094036042346 58.88171990954521, 9.21128544125901 58.88142674301726, 9.199573972467295 58.87977764653393, 9.19940002471769 58.879752232345005, 9.194630575549223 58.87774167694056, 9.194587080851912 58.87771154815437, 9.193801953563739 58.87723609596881, 9.193643554164616 58.87715831403276, 9.18076700629596 58.878451484822776, 9.180732715188437 58.878461521948005, 9.173424878602686 58.87827720590657, 9.172820437660352 58.87809015793915, 9.170433422216664 58.877298809483115, 9.169638166771696 58.877033177421254, 9.16950719758062 58.87698920418318, 9.168977779588149 58.87681144748664, 9.150694531080152 58.86771436207747, 9.150652284663751 58.867681563823055, 9.143894750174994 58.86304690117322, 9.143583859703242 58.86287242260289, 9.141871235937675 58.86195727833223)</t>
  </si>
  <si>
    <t>[2086933, 2086941, 2086942, 2086944, 2086954, 2086956, 2086989, 2086993, 2086994, 2087008, 2087017, 2087025, 2087033, 1306164, 1306172, 1306180, 1306188, 1306196, 1306204, 1306212, 1306220, 1306228, 1306236, 1306244, 1306252, 1306260, 1306268, 1291081, 1291089, 1291017, 1291025, 1291033]</t>
  </si>
  <si>
    <t>[1807715, 1807718, 1807719, 1807720, 1807725, 1807727, 1807752, 1807754, 1807755, 1807768, 1807774, 1807778, 1215887, 1215888, 1215894, 1215901, 1215908, 1215915, 1215921, 1215927, 1215932, 1215940, 1215947, 941945, 941960, 1215966, 1204344, 1204345, 1204297, 1204298, 1204305, 1204259]</t>
  </si>
  <si>
    <t>0.01008584308299058</t>
  </si>
  <si>
    <t>[887369, 1807715, 1807718, 1807719, 1807720, 1807725, 1807727, 1807752, 1807754, 1807755, 1807768, 1807774, 1807778, 1215887, 1215888, 1215894, 1215901, 1215908, 1215915, 1215921, 1215927, 1215932, 1215940, 1215947, 941945, 941960, 1215966, 1204344, 1204345, 1204297, 1204298, 1204305]</t>
  </si>
  <si>
    <t>[0.03, 0.009, 0.012, 0.03, 0.027, 0.036, 0.033, 0.035, 0.04, 0.043, 0.008, 0.017, 0.045, 0.028, 0.054, 0.009, 0.148, 0.102, 0.046, 0.028, 0.057, 0.014, 0.059, 0.065, 0.049, 0.047, 0.077, 0.015, 0.026, 0.006, 0.009, 0.007]</t>
  </si>
  <si>
    <t>8979.725931113906</t>
  </si>
  <si>
    <t>[-0.034, 0.012, 0.012, 0.03, 0.027, 0.033, 0.036, 0.04, 0.043, -0.008, -0.017, -0.043, 0.028, -0.049, -0.007, 0.154, 0.096, 0.03, -0.028, 0.013, 0.06, 0.066, 0.049, 0.048, 0.074, 0.05]</t>
  </si>
  <si>
    <t>7075.0</t>
  </si>
  <si>
    <t>[0, 0, 0, 0, 0, 0, 0, 1, 0, 0, 1, 0, 0, 1, 0, 1, 0, 1, 0, 0, 1, 0, 0, 0, 0, 0]</t>
  </si>
  <si>
    <t>LINESTRING (9.273284533895465 58.892665934947615, 9.272429247900885 58.89221349581266, 9.271244350450452 58.8917837097593, 9.258173461506647 58.89173654885972, 9.253303005369418 58.89135122828649, 9.233409058784684 58.88880605391524, 9.232991827805833 58.88870175156884, 9.23148172128589 58.88831088501702, 9.23087368013674 58.88814367757066, 9.229515975181469 58.88775740489658, 9.212737858722667 58.88187477549053, 9.212172449228932 58.88166599786462, 9.21136339037367 58.88137000224442, 9.19965527586313 58.87973074100981, 9.199482275120104 58.87970610776322, 9.194678565417151 58.87768124590641, 9.194634557565706 58.877651274057136, 9.19379110223541 58.87715255046931, 9.193631921913603 58.87707662381689, 9.180747161795212 58.878393224255205, 9.173474845376287 58.87822734111776, 9.172874710349502 58.878041568467005, 9.170490094900236 58.8772542457054, 9.169689751414738 58.8769876544645, 9.169561388594847 58.87694533869755, 9.1690199105879 58.8767668292117, 9.158120652436075 58.87232009108254)</t>
  </si>
  <si>
    <t>[2087047, 2087048, 2087069, 2087070, 2087077, 2087092, 2087101, 2087112, 2087120, 2087151, 2087159, 2087162, 1306276, 1306284, 1306292, 1306300, 1306308, 1306316, 1306324, 1306332, 1306340, 1306348, 1306356, 1306364, 1306372, 1291097]</t>
  </si>
  <si>
    <t>[1807784, 1807785, 1807802, 1807803, 1807809, 1807820, 1807824, 1807833, 1807841, 1807862, 1807869, 1215979, 1215980, 1215987, 1215994, 1216000, 1216005, 1216007, 1216013, 1216021, 1216026, 1174249, 1216032, 1216037, 1204355, 1204356]</t>
  </si>
  <si>
    <t>0.015073047747225789</t>
  </si>
  <si>
    <t>[887369, 1807784, 1807785, 1807802, 1807803, 1807809, 1807820, 1807824, 1807833, 1807841, 1807862, 1807869, 1215979, 1215980, 1215987, 1215994, 1216000, 1216005, 1216007, 1216013, 1216021, 1216026, 1174249, 1216032, 1216037, 1204355]</t>
  </si>
  <si>
    <t>[0.034, 0.012, 0.012, 0.03, 0.027, 0.033, 0.036, 0.04, 0.043, 0.008, 0.017, 0.043, 0.028, 0.049, 0.007, 0.154, 0.096, 0.03, 0.028, 0.013, 0.06, 0.066, 0.049, 0.048, 0.074, 0.05]</t>
  </si>
  <si>
    <t>7488.563493834713</t>
  </si>
  <si>
    <t>[0.271, -0.118, -0.074, 0.405, -0.025, -0.038, -0.05, -0.048, 0.145, 0.09]</t>
  </si>
  <si>
    <t>[0, 0, 0, 1, 0, 1, 0, 1, 0, 0]</t>
  </si>
  <si>
    <t>LINESTRING (9.710941913348094 59.11940993283322, 9.710710190876052 59.119405973746076, 9.71031923339544 59.12008514932931, 9.711006782328814 59.12029490263697, 9.711712260817437 59.12042480131184, 9.7126305694464 59.12054247460036, 9.713660059469401 59.12060789914137, 9.715542993399495 59.12056383959033, 9.716784095600925 59.12041628435866, 9.718728518672137 59.119969974916465, 9.71896031933472 59.11991661949601)</t>
  </si>
  <si>
    <t>[915137, 915145, 915153, 1436689, 1436697, 1436705, 1436713, 1436721, 1436729, 1436737]</t>
  </si>
  <si>
    <t>[887455, 887459, 887464, 1306136, 1306142, 1306145, 1306150, 1306154, 1306159, 952455]</t>
  </si>
  <si>
    <t>0.01837146454242937</t>
  </si>
  <si>
    <t>[887440, 887455, 887459, 887464, 1306136, 1306142, 1306145, 1306150, 1306154, 1306159]</t>
  </si>
  <si>
    <t>[0.271, 0.118, 0.074, 0.405, 0.025, 0.038, 0.05, 0.048, 0.145, 0.09]</t>
  </si>
  <si>
    <t>638.7797688519818</t>
  </si>
  <si>
    <t>[-0.175, -0.176, -0.036, -0.047, -0.037]</t>
  </si>
  <si>
    <t>LINESTRING (9.706435137231127 59.11803968258622, 9.706622047797286 59.11815364433366, 9.708007061021068 59.1191325937967, 9.708232964673071 59.1192526280549, 9.708446134796285 59.11933956619375, 9.710941913348094 59.11940993283322)</t>
  </si>
  <si>
    <t>[994152, 915089, 915097, 915105, 915113]</t>
  </si>
  <si>
    <t>[887418, 887419, 887424, 887433, 887440]</t>
  </si>
  <si>
    <t>[952202, 887418, 887419, 887424, 887433]</t>
  </si>
  <si>
    <t>[0.175, 0.176, 0.036, 0.047, 0.037]</t>
  </si>
  <si>
    <t>334.10029963458936</t>
  </si>
  <si>
    <t>[0.113, 0.204, -0.099, 4.506]</t>
  </si>
  <si>
    <t>LINESTRING (9.674836325387854 59.1000330465118, 9.67443232944634 59.09979900874044, 9.674249665924705 59.099752166729424, 9.671427989566036 59.099081846993215, 9.67130720730064 59.099022826186086)</t>
  </si>
  <si>
    <t>[915345, 915353, 2112149, 2112151]</t>
  </si>
  <si>
    <t>[887601, 887606, 1822535, 904862]</t>
  </si>
  <si>
    <t>0.13519543874212517</t>
  </si>
  <si>
    <t>[887596, 887601, 887606, 1822535]</t>
  </si>
  <si>
    <t>[0.113, 0.204, 0.099, 4.506]</t>
  </si>
  <si>
    <t>235.1088627855541</t>
  </si>
  <si>
    <t>[0.0, 0.289, 0.201, 0.075, 0.0]</t>
  </si>
  <si>
    <t>3615.0</t>
  </si>
  <si>
    <t>LINESTRING (9.673381520283925 59.10098168928332, 9.673381520283925 59.10098168928332, 9.674336171811504 59.10059082735046, 9.674485371133532 59.10053127459869, 9.674921630742801 59.10014131300234, 9.674836325387854 59.1000330465118)</t>
  </si>
  <si>
    <t>[915401, 915409, 915417, 915425, 915433]</t>
  </si>
  <si>
    <t>[887646, 887653, 887658, 887663, 887596]</t>
  </si>
  <si>
    <t>0.16270390735130405</t>
  </si>
  <si>
    <t>[887645, 887646, 887653, 887658, 887663]</t>
  </si>
  <si>
    <t>163.3173234913982</t>
  </si>
  <si>
    <t>[-0.051, -0.018, -0.049, -0.338, -0.316]</t>
  </si>
  <si>
    <t>LINESTRING (9.674711233017282 59.09978735798577, 9.675002120109335 59.09980652608342, 9.677087717756578 59.10009569698289, 9.679171686894747 59.099978916042204, 9.679269561765759 59.09988935137704, 9.679171793488418 59.09973860485843)</t>
  </si>
  <si>
    <t>[915361, 915369, 915377, 915385, 915393]</t>
  </si>
  <si>
    <t>[887611, 887618, 887625, 887631, 887638]</t>
  </si>
  <si>
    <t>[887610, 887611, 887618, 887625, 887631]</t>
  </si>
  <si>
    <t>[0.051, 0.018, 0.049, 0.338, 0.316]</t>
  </si>
  <si>
    <t>293.12734948305297</t>
  </si>
  <si>
    <t>[0.177, 0.222, 0.123]</t>
  </si>
  <si>
    <t>LINESTRING (9.674711233017282 59.09978735798577, 9.674569752018963 59.09976353845386, 9.674015926966458 59.099657957912875, 9.67130720730064 59.099022826186086)</t>
  </si>
  <si>
    <t>[935814, 935822, 935830]</t>
  </si>
  <si>
    <t>[904846, 904855, 904862]</t>
  </si>
  <si>
    <t>0.140882644433735</t>
  </si>
  <si>
    <t>[887610, 904846, 904855]</t>
  </si>
  <si>
    <t>213.30651131102266</t>
  </si>
  <si>
    <t>[-0.077, -0.103, 0.287, 0.336, 0.057, -0.031, -0.017, 0.001]</t>
  </si>
  <si>
    <t>LINESTRING (9.690341781366943 59.10143104195742, 9.688958576645078 59.101122969494, 9.688585817380751 59.101054561377296, 9.688366180483717 59.10101576143028, 9.688048665542167 59.10096178537225, 9.678761686202021 59.10032111527669, 9.676554393308349 59.10007580361872, 9.676537559230647 59.10007348237793, 9.674711233017282 59.09978735798577)</t>
  </si>
  <si>
    <t>[935750, 935758, 935766, 935774, 935782, 935790, 935798, 935806]</t>
  </si>
  <si>
    <t>[904787, 904795, 904804, 904812, 904820, 904827, 904835, 887610]</t>
  </si>
  <si>
    <t>0.03046591127239848</t>
  </si>
  <si>
    <t>[904786, 904787, 904795, 904804, 904812, 904820, 904827, 904835]</t>
  </si>
  <si>
    <t>[0.077, 0.103, 0.287, 0.336, 0.057, 0.031, 0.017, 0.001]</t>
  </si>
  <si>
    <t>920.0402476560441</t>
  </si>
  <si>
    <t>8.271</t>
  </si>
  <si>
    <t>5.437324342006429</t>
  </si>
  <si>
    <t>[14.802, -0.063]</t>
  </si>
  <si>
    <t>LINESTRING (9.679171793488418 59.09973860485843, 9.679205616083557 59.099718155074655, 9.67932969754512 59.099628335970415)</t>
  </si>
  <si>
    <t>[2112152, 2112153]</t>
  </si>
  <si>
    <t>[888312, 859076]</t>
  </si>
  <si>
    <t>2.8494906771633968</t>
  </si>
  <si>
    <t>[887638, 888312]</t>
  </si>
  <si>
    <t>[14.802, 0.063]</t>
  </si>
  <si>
    <t>15.277430869387508</t>
  </si>
  <si>
    <t>9.874200980447027</t>
  </si>
  <si>
    <t>31.4873434895781</t>
  </si>
  <si>
    <t>[0.086, 0.1]</t>
  </si>
  <si>
    <t>LINESTRING (9.661965073086856 59.073420376367864, 9.661955277536782 59.073393254035146, 9.66192946394826 59.0733254250274)</t>
  </si>
  <si>
    <t>[935870, 935878]</t>
  </si>
  <si>
    <t>[904900, 904906]</t>
  </si>
  <si>
    <t>0.09600623270615484</t>
  </si>
  <si>
    <t>[887781, 904900]</t>
  </si>
  <si>
    <t>10.780743731906998</t>
  </si>
  <si>
    <t>96.14038064732031</t>
  </si>
  <si>
    <t>[0.054, 0.088]</t>
  </si>
  <si>
    <t>LINESTRING (9.315497693500976 58.92822807366653, 9.315450316323657 58.92788708688782, 9.315436636828188 58.927841872317195)</t>
  </si>
  <si>
    <t>[1730520, 1730536]</t>
  </si>
  <si>
    <t>[1538839, 961806]</t>
  </si>
  <si>
    <t>0.05801411364693112</t>
  </si>
  <si>
    <t>[887813, 1538839]</t>
  </si>
  <si>
    <t>43.21894380599891</t>
  </si>
  <si>
    <t>[0.061, 0.086]</t>
  </si>
  <si>
    <t>LINESTRING (9.315497693500976 58.92822807366653, 9.3151937648404 58.92791730120318, 9.31515710594776 58.927882532493776)</t>
  </si>
  <si>
    <t>[1730528, 1730544]</t>
  </si>
  <si>
    <t>[1538846, 961808]</t>
  </si>
  <si>
    <t>0.06355255074116646</t>
  </si>
  <si>
    <t>[887813, 1538846]</t>
  </si>
  <si>
    <t>43.242711647271435</t>
  </si>
  <si>
    <t>[0.0, 0.036, -0.008]</t>
  </si>
  <si>
    <t>LINESTRING (9.319028995512143 58.92792798173023, 9.319028995512143 58.92792798173023, 9.319234740981901 58.92814224365875, 9.319213402184236 58.92825166193914)</t>
  </si>
  <si>
    <t>[1730552, 1730593, 1730568]</t>
  </si>
  <si>
    <t>[1538859, 1538868, 887818]</t>
  </si>
  <si>
    <t>0.019525632093083126</t>
  </si>
  <si>
    <t>[961757, 1538859, 1538868]</t>
  </si>
  <si>
    <t>[0.0, 0.036, 0.008]</t>
  </si>
  <si>
    <t>44.15132384661594</t>
  </si>
  <si>
    <t>[0.0, 0.028, 0.057]</t>
  </si>
  <si>
    <t>LINESTRING (9.318852672361231 58.92796526624883, 9.318852672361231 58.92796526624883, 9.319090656232138 58.928176168922555, 9.319213402184236 58.92825166193914)</t>
  </si>
  <si>
    <t>[1730560, 1730577, 1730585]</t>
  </si>
  <si>
    <t>[1538863, 1538876, 887818]</t>
  </si>
  <si>
    <t>0.032025189313697015</t>
  </si>
  <si>
    <t>[961768, 1538863, 1538876]</t>
  </si>
  <si>
    <t>43.374010043883416</t>
  </si>
  <si>
    <t>[-0.276, -0.074, -0.037, -0.009, -0.019, -0.01, 0.0, 0.015, 0.006, 0.024, 0.023, 0.024, -0.004, -0.096, 0.004, 0.038, 0.031, 0.079, 0.025, -0.058, -0.03, -0.094, 0.017, -0.006, 0.023, 0.056, -0.007, -0.028, 0.032, 0.035, 0.021, 0.028, 0.035, 0.006, 0.046, 0.002, -0.006, 0.061, -0.052, -0.03, 0.03, -0.01, -0.018, -0.01, 0.016]</t>
  </si>
  <si>
    <t>[0, 0, 1, 0, 0, 0, 0, 0, 0, 0, 0, 0, 0, 0, 0, 1, 0, 0, 0, 0, 0, 1, 0, 0, 0, 0, 0, 1, 1, 0, 0, 0, 0, 0, 1, 0, 1, 0, 0, 1, 0, 0, 0, 0, 0]</t>
  </si>
  <si>
    <t>LINESTRING (9.464796786618283 58.96223264395769, 9.462125149508518 58.961749731707336, 9.457791151535883 58.96094264883811, 9.457521448616042 58.96091141799932, 9.45343694231016 58.960771377359535, 9.45319396822069 58.960779655308635, 9.450853439752601 58.96090671229452, 9.450836206204375 58.960907798367884, 9.450449601147211 58.96093228836036, 9.44706031024449 58.96105483770016, 9.441429001043819 58.96042431618956, 9.438206585405103 58.95944636490912, 9.43814618455845 58.95942355525647, 9.436883298409443 58.958905136168646, 9.43420896944702 58.95762527707068, 9.430635024850373 58.95578450147515, 9.429904268888931 58.955410401933094, 9.42573715160113 58.9536589168547, 9.42094614413607 58.95259385323497, 9.413544619029127 58.94969956912298, 9.413030251399025 58.949482149725235, 9.39939541862948 58.945043599660764, 9.39909642837901 58.94504322034548, 9.392082009786774 58.945570871965835, 9.391745642292832 58.94553021877154, 9.39010597200139 58.94522122932283, 9.389900630153207 58.945170904190434, 9.376911858333276 58.94354499505454, 9.376752493845087 58.94354063153211, 9.37648964971107 58.94353343101214, 9.37605430213903 58.94351934852768, 9.37603699810865 58.94351876514462, 9.375231254940054 58.943484597690215, 9.374979697717578 58.94347547392315, 9.360208307063061 58.939168507083636, 9.359932880083884 58.939095705927286, 9.352897244624867 58.939092021780596, 9.352658018555683 58.9391342052549, 9.345005755454503 58.93974720587998, 9.331171595784296 58.939485967144705, 9.327373228456583 58.93830909992852, 9.324789763655003 58.9363586139135, 9.324782774615446 58.93635040310062, 9.324337637368943 58.93583688712543, 9.324330067350138 58.935828821742625, 9.318188222115111 58.93182242580518)</t>
  </si>
  <si>
    <t>[1435401, 936814, 936822, 936830, 936838, 936846, 936854, 936862, 936870, 936878, 936886, 914929, 914937, 914945, 914953, 914961, 914969, 914977, 914985, 914993, 915001, 915009, 915017, 936894, 936902, 936910, 936918, 936926, 936934, 936942, 936950, 936958, 936966, 936974, 936982, 936990, 936998, 937006, 937014, 937022, 937030, 937038, 937046, 937054, 937062]</t>
  </si>
  <si>
    <t>[905690, 905691, 905698, 905704, 905711, 905717, 905725, 905734, 905741, 905747, 887282, 887283, 887288, 887295, 887303, 887309, 887313, 887319, 887326, 887334, 887340, 887346, 887354, 905759, 905765, 905770, 905778, 905783, 905791, 905797, 905803, 757767, 905815, 905822, 905829, 905837, 905843, 905851, 905859, 905866, 905872, 905878, 905886, 905895, 887837]</t>
  </si>
  <si>
    <t>[960590, 905690, 905691, 905698, 905704, 905711, 905717, 905725, 905734, 905741, 905747, 887282, 887283, 887288, 887295, 887303, 887309, 887313, 887319, 887326, 887334, 887340, 887346, 887354, 905759, 905765, 905770, 905778, 905783, 905791, 905797, 905803, 757767, 905815, 905822, 905829, 905837, 905843, 905851, 905859, 905866, 905872, 905878, 905886, 905895]</t>
  </si>
  <si>
    <t>[0.276, 0.074, 0.037, 0.009, 0.019, 0.01, 0.0, 0.015, 0.006, 0.024, 0.023, 0.024, 0.004, 0.096, 0.004, 0.038, 0.031, 0.079, 0.025, 0.058, 0.03, 0.094, 0.017, 0.006, 0.023, 0.056, 0.007, 0.028, 0.032, 0.035, 0.021, 0.028, 0.035, 0.006, 0.046, 0.002, 0.006, 0.061, 0.052, 0.03, 0.03, 0.01, 0.018, 0.01, 0.016]</t>
  </si>
  <si>
    <t>9713.914995352907</t>
  </si>
  <si>
    <t>65.54123282332463</t>
  </si>
  <si>
    <t>[-0.29, -0.063, 0.011]</t>
  </si>
  <si>
    <t>LINESTRING (10.179936074278322 59.57422076590403, 10.180065220162158 59.57417335638774, 10.181039591604632 59.57382069289296, 10.181149557242838 59.57378336948844)</t>
  </si>
  <si>
    <t>[920739, 920747, 920755]</t>
  </si>
  <si>
    <t>[891808, 891813, 891819]</t>
  </si>
  <si>
    <t>[891807, 891808, 891813]</t>
  </si>
  <si>
    <t>[0.29, 0.063, 0.011]</t>
  </si>
  <si>
    <t>84.17568764184618</t>
  </si>
  <si>
    <t>[-0.038, 0.024, 0.066]</t>
  </si>
  <si>
    <t>LINESTRING (10.209105269875279 59.50922688982008, 10.209922912335863 59.50923743650266, 10.211133961348166 59.50925849217667, 10.211300246062509 59.50926148128875)</t>
  </si>
  <si>
    <t>[920839, 920846, 920854]</t>
  </si>
  <si>
    <t>[891892, 891899, 891905]</t>
  </si>
  <si>
    <t>0.0040906939592336026</t>
  </si>
  <si>
    <t>[891891, 891892, 891899]</t>
  </si>
  <si>
    <t>[0.038, 0.024, 0.066]</t>
  </si>
  <si>
    <t>124.41216458033402</t>
  </si>
  <si>
    <t>LINESTRING (10.315081891800403 59.468077055454366, 10.314868386278885 59.46832932889406, 10.314394706696419 59.468877171174405)</t>
  </si>
  <si>
    <t>[921014, 921022]</t>
  </si>
  <si>
    <t>[892036, 892044]</t>
  </si>
  <si>
    <t>[892035, 892036]</t>
  </si>
  <si>
    <t>97.32304395752116</t>
  </si>
  <si>
    <t>[0.009, 0.019]</t>
  </si>
  <si>
    <t>LINESTRING (10.363971118559006 59.42294044689609, 10.365031201944777 59.42307439564707, 10.365802682008104 59.42317168324981)</t>
  </si>
  <si>
    <t>[921198, 921213]</t>
  </si>
  <si>
    <t>[892204, 892217]</t>
  </si>
  <si>
    <t>0.01321184977428448</t>
  </si>
  <si>
    <t>[892203, 892204]</t>
  </si>
  <si>
    <t>107.16693436415007</t>
  </si>
  <si>
    <t>[0.465, 0.028, 0.014, -0.196]</t>
  </si>
  <si>
    <t>LINESTRING (10.218078419109325 59.177033973920025, 10.218034518700607 59.17705088544665, 10.217923843272233 59.17706533460202, 10.217802371001943 59.1770479918747, 10.217729526404993 59.17700500658914)</t>
  </si>
  <si>
    <t>[936531, 936539, 936547, 936555]</t>
  </si>
  <si>
    <t>[905460, 905466, 886157, 894261]</t>
  </si>
  <si>
    <t>0.02149707378283947</t>
  </si>
  <si>
    <t>[894269, 905460, 905466, 886157]</t>
  </si>
  <si>
    <t>[0.465, 0.028, 0.014, 0.196]</t>
  </si>
  <si>
    <t>23.236415172417654</t>
  </si>
  <si>
    <t>[0.035, -0.019]</t>
  </si>
  <si>
    <t>LINESTRING (9.694443990686418 59.103006724541785, 9.693919661535576 59.10272193458991, 9.690341781366943 59.10143104195742)</t>
  </si>
  <si>
    <t>[993955, 993983]</t>
  </si>
  <si>
    <t>[952163, 904786]</t>
  </si>
  <si>
    <t>[952146, 952163]</t>
  </si>
  <si>
    <t>295.09647641934333</t>
  </si>
  <si>
    <t>[0.0, -0.017]</t>
  </si>
  <si>
    <t>LINESTRING (9.693990772638818 59.102687828800796, 9.69398640556029 59.102685643039145, 9.690341781366943 59.10143104195742)</t>
  </si>
  <si>
    <t>[994096, 994104]</t>
  </si>
  <si>
    <t>[952239, 904786]</t>
  </si>
  <si>
    <t>[952235, 952239]</t>
  </si>
  <si>
    <t>[0.0, 0.017]</t>
  </si>
  <si>
    <t>253.28210272460527</t>
  </si>
  <si>
    <t>[-0.071, -0.196]</t>
  </si>
  <si>
    <t>LINESTRING (9.67130720730064 59.099022826186086, 9.66755478745841 59.0969770414892, 9.667233214213201 59.09657933606448)</t>
  </si>
  <si>
    <t>[935838, 935846]</t>
  </si>
  <si>
    <t>[904869, 904875]</t>
  </si>
  <si>
    <t>[904862, 904869]</t>
  </si>
  <si>
    <t>[0.071, 0.196]</t>
  </si>
  <si>
    <t>366.28427839891475</t>
  </si>
  <si>
    <t>[-0.11, 0.036, 0.032, 0.024, 0.024, 0.024, 0.032]</t>
  </si>
  <si>
    <t>LINESTRING (9.667233214213201 59.09657933606448, 9.666973162897857 59.09607679812795, 9.66685084704482 59.09584977941874, 9.666632845032202 59.09541166036196, 9.666628638327591 59.09540295594923, 9.666514650769606 59.09516414940118, 9.66645598519676 59.09503880533035, 9.665696082873962 59.09311220554779)</t>
  </si>
  <si>
    <t>[1788473, 1788481, 1788489, 1788497, 1788505, 1788513, 1788521]</t>
  </si>
  <si>
    <t>[1577593, 1577602, 1577611, 1577618, 1577626, 1577635, 1577642]</t>
  </si>
  <si>
    <t>0.010617022897231328</t>
  </si>
  <si>
    <t>[904875, 1577593, 1577602, 1577611, 1577618, 1577626, 1577635]</t>
  </si>
  <si>
    <t>[0.11, 0.036, 0.032, 0.024, 0.024, 0.024, 0.032]</t>
  </si>
  <si>
    <t>396.71336809378005</t>
  </si>
  <si>
    <t>[-0.113, 0.036, 0.031, 0.028, 0.024, 0.027, 0.033, 0.041, 0.004, -0.016, -0.016, 0.0, -0.006, -0.009, -0.026, -0.021]</t>
  </si>
  <si>
    <t>[0, 0, 0, 0, 0, 1, 0, 0, 0, 1, 0, 0, 0, 0, 0, 0]</t>
  </si>
  <si>
    <t>LINESTRING (9.667233214213201 59.09657933606448, 9.666884797167429 59.09610693868361, 9.666770382684177 59.0958847810003, 9.666555913453896 59.095457678163534, 9.666551742912949 59.095448966239424, 9.6664400937059 59.09521615032635, 9.66638163623395 59.09509396443972, 9.665606158482868 59.09313925714358, 9.665348044290587 59.092288848265525, 9.66504270148196 59.084998004878656, 9.66507783797626 59.08481709798358, 9.665125066385016 59.08456412175915, 9.665126786901395 59.08455520270302, 9.665386520987939 59.08216809351425, 9.665230372296104 59.080518077746234, 9.664853307967007 59.079096839486354, 9.664710350093054 59.07870680337201)</t>
  </si>
  <si>
    <t>[1788617, 1788625, 1788633, 1788641, 1788649, 1788657, 1788665, 1788673, 1788681, 1788689, 1788697, 1788705, 1788713, 1788721, 1788729, 1788737]</t>
  </si>
  <si>
    <t>[1577731, 1577742, 1577750, 1577758, 1577766, 1577775, 1577783, 1577791, 1577801, 1577808, 1577819, 1577826, 1577833, 1577840, 1577846, 1577853]</t>
  </si>
  <si>
    <t>0.0012455056464906792</t>
  </si>
  <si>
    <t>[904875, 1577731, 1577742, 1577750, 1577758, 1577766, 1577775, 1577783, 1577791, 1577801, 1577808, 1577819, 1577826, 1577833, 1577840, 1577846]</t>
  </si>
  <si>
    <t>[0.113, 0.036, 0.031, 0.028, 0.024, 0.027, 0.033, 0.041, 0.004, 0.016, 0.016, 0.0, 0.006, 0.009, 0.026, 0.021]</t>
  </si>
  <si>
    <t>2011.2451738705267</t>
  </si>
  <si>
    <t>LINESTRING (9.664953944522372 59.07908766219698, 9.664814479251135 59.07869651939984, 9.662103754232575 59.073784458300146)</t>
  </si>
  <si>
    <t>[1788601, 1788609]</t>
  </si>
  <si>
    <t>[1577716, 904884]</t>
  </si>
  <si>
    <t>[1577710, 1577716]</t>
  </si>
  <si>
    <t>614.0873958049654</t>
  </si>
  <si>
    <t>[-0.023, -0.002]</t>
  </si>
  <si>
    <t>LINESTRING (9.664710350093054 59.07870680337201, 9.663065016816832 59.07574294579784, 9.662103754232575 59.073784458300146)</t>
  </si>
  <si>
    <t>[1788745, 1788753]</t>
  </si>
  <si>
    <t>[1577862, 904884]</t>
  </si>
  <si>
    <t>[1577853, 1577862]</t>
  </si>
  <si>
    <t>569.8400536942438</t>
  </si>
  <si>
    <t>2210.053142175147</t>
  </si>
  <si>
    <t>[0.0, 0.137, 0.226]</t>
  </si>
  <si>
    <t>LINESTRING (9.675629482052557 59.05301991848392, 9.675629482052557 59.05301991848392, 9.676671027531759 59.04946422139721, 9.676722864009388 59.049061313942026)</t>
  </si>
  <si>
    <t>[935886, 935894, 935902]</t>
  </si>
  <si>
    <t>[904914, 834281, 904926]</t>
  </si>
  <si>
    <t>0.09452719189830548</t>
  </si>
  <si>
    <t>[904913, 904914, 834281]</t>
  </si>
  <si>
    <t>688.6970721950257</t>
  </si>
  <si>
    <t>[0.135, 0.013]</t>
  </si>
  <si>
    <t>13213.0</t>
  </si>
  <si>
    <t>LINESTRING (9.676208132591016 59.042132632695335, 9.67621461698478 59.04220421624533, 9.676722864009388 59.049061313942026)</t>
  </si>
  <si>
    <t>[1425657, 2168847]</t>
  </si>
  <si>
    <t>[1299712, 904926]</t>
  </si>
  <si>
    <t>0.014260744954096663</t>
  </si>
  <si>
    <t>[1299701, 1299712]</t>
  </si>
  <si>
    <t>773.0540908817505</t>
  </si>
  <si>
    <t>[-0.02, -0.01, 0.001, 0.015]</t>
  </si>
  <si>
    <t>LINESTRING (8.724063373416497 58.46150723172764, 8.724562425566686 58.46140647043722, 8.72465941161858 58.46146283812413, 8.72470090887508 58.46153350177214, 8.724604070430924 58.46166752776266)</t>
  </si>
  <si>
    <t>[949014, 949022, 949030, 949038]</t>
  </si>
  <si>
    <t>[917642, 917652, 917659, 917667]</t>
  </si>
  <si>
    <t>[917641, 917642, 917652, 917659]</t>
  </si>
  <si>
    <t>[0.02, 0.01, 0.001, 0.015]</t>
  </si>
  <si>
    <t>69.56632408363788</t>
  </si>
  <si>
    <t>25.96766768991383</t>
  </si>
  <si>
    <t>[-0.001, -0.0, 0.024, 0.009, -0.023]</t>
  </si>
  <si>
    <t>LINESTRING (8.719183290170351 58.46052020363819, 8.719501559639104 58.46061239995281, 8.721542156085796 58.46127223316286, 8.72198122310139 58.46141070555704, 8.723994696975591 58.461519348693095, 8.724063373416497 58.46150723172764)</t>
  </si>
  <si>
    <t>[1146149, 949166, 949174, 949182, 949190]</t>
  </si>
  <si>
    <t>[917790, 917791, 917799, 917805, 917641]</t>
  </si>
  <si>
    <t>0.005351301498840234</t>
  </si>
  <si>
    <t>[1081944, 917790, 917791, 917799, 917805]</t>
  </si>
  <si>
    <t>[0.001, 0.0, 0.024, 0.009, 0.023]</t>
  </si>
  <si>
    <t>318.0087708379789</t>
  </si>
  <si>
    <t>LINESTRING (8.724604070430924 58.46166752776266, 8.724427279385003 58.46171432148315, 8.72424618922368 58.46170155439456)</t>
  </si>
  <si>
    <t>[949046, 949054]</t>
  </si>
  <si>
    <t>[917676, 917682]</t>
  </si>
  <si>
    <t>[917667, 917676]</t>
  </si>
  <si>
    <t>22.253875865625126</t>
  </si>
  <si>
    <t>LINESTRING (8.724604070430924 58.46166752776266, 8.724567361445956 58.46172864058514, 8.724544001653058 58.461887115249084)</t>
  </si>
  <si>
    <t>[949270, 949278]</t>
  </si>
  <si>
    <t>[917886, 917877]</t>
  </si>
  <si>
    <t>0.010574568870356035</t>
  </si>
  <si>
    <t>[917667, 917886]</t>
  </si>
  <si>
    <t>24.871594230448714</t>
  </si>
  <si>
    <t>[-0.006, 0.004]</t>
  </si>
  <si>
    <t>LINESTRING (8.72424618922368 58.46170155439456, 8.724308158680586 58.46174653900099, 8.724413943062514 58.46207714781994)</t>
  </si>
  <si>
    <t>[949086, 949094]</t>
  </si>
  <si>
    <t>[917719, 917710]</t>
  </si>
  <si>
    <t>0.0026108892998040092</t>
  </si>
  <si>
    <t>[917682, 917719]</t>
  </si>
  <si>
    <t>[0.006, 0.004]</t>
  </si>
  <si>
    <t>44.542868135790485</t>
  </si>
  <si>
    <t>[-0.037, -0.062]</t>
  </si>
  <si>
    <t>LINESTRING (8.743066368142108 58.47426098375809, 8.742611996358725 58.472529429544956, 8.74248350818154 58.472332304570706)</t>
  </si>
  <si>
    <t>[949070, 1146109]</t>
  </si>
  <si>
    <t>[917702, 1081908]</t>
  </si>
  <si>
    <t>[917701, 917702]</t>
  </si>
  <si>
    <t>[0.037, 0.062]</t>
  </si>
  <si>
    <t>235.86959752978302</t>
  </si>
  <si>
    <t>[0.003, 0.037, 0.106]</t>
  </si>
  <si>
    <t>LINESTRING (8.745805351227501 58.475440443534914, 8.745517806449898 58.47527282297717, 8.744355517077413 58.47444639015914, 8.743066368142108 58.47426098375809)</t>
  </si>
  <si>
    <t>[2132629, 1767085, 1767093]</t>
  </si>
  <si>
    <t>[1560486, 1560487, 917701]</t>
  </si>
  <si>
    <t>0.06006858633677964</t>
  </si>
  <si>
    <t>[1834417, 1560486, 1560487]</t>
  </si>
  <si>
    <t>228.53874253647783</t>
  </si>
  <si>
    <t>23.050498542526363</t>
  </si>
  <si>
    <t>[-0.237, 0.025, -0.026, -0.002]</t>
  </si>
  <si>
    <t>LINESTRING (8.744832920726116 58.473444984432, 8.744471889621453 58.47349035418111, 8.744492423741281 58.47436798627024, 8.745646070711775 58.47525541455566, 8.745898133546815 58.47543680653798)</t>
  </si>
  <si>
    <t>[1767317, 1767325, 1767333, 2132605]</t>
  </si>
  <si>
    <t>[1560591, 1560593, 1560597, 1834398]</t>
  </si>
  <si>
    <t>[917822, 1560591, 1560593, 1560597]</t>
  </si>
  <si>
    <t>[0.237, 0.025, 0.026, 0.002]</t>
  </si>
  <si>
    <t>278.33323283256993</t>
  </si>
  <si>
    <t>[-0.036, 0.001]</t>
  </si>
  <si>
    <t>LINESTRING (8.741316255728693 58.470958490565216, 8.741550340417305 58.471148540475575, 8.744832920726116 58.473444984432)</t>
  </si>
  <si>
    <t>[1146117, 949198]</t>
  </si>
  <si>
    <t>[917821, 917822]</t>
  </si>
  <si>
    <t>[1081914, 917821]</t>
  </si>
  <si>
    <t>[0.036, 0.001]</t>
  </si>
  <si>
    <t>370.00019483408687</t>
  </si>
  <si>
    <t>[-0.017, -0.024, -0.004, 0.019]</t>
  </si>
  <si>
    <t>LINESTRING (8.722783996536592 58.462342371294824, 8.72187043819292 58.46150639943473, 8.72142891639938 58.461363393112954, 8.719967661314506 58.460860911284236, 8.719615736178588 58.46072437338986)</t>
  </si>
  <si>
    <t>[949206, 949214, 949222, 1146141]</t>
  </si>
  <si>
    <t>[917830, 917835, 917842, 1081938]</t>
  </si>
  <si>
    <t>[917829, 917830, 917835, 917842]</t>
  </si>
  <si>
    <t>[0.017, 0.024, 0.004, 0.019]</t>
  </si>
  <si>
    <t>285.7073987689591</t>
  </si>
  <si>
    <t>[0.019, 0.01]</t>
  </si>
  <si>
    <t>LINESTRING (8.725928731089438 58.462781595958205, 8.725668489409019 58.462712619783524, 8.722783996536592 58.462342371294824)</t>
  </si>
  <si>
    <t>[1146125, 949230]</t>
  </si>
  <si>
    <t>[917848, 917829]</t>
  </si>
  <si>
    <t>0.010729473976729324</t>
  </si>
  <si>
    <t>[1081920, 917848]</t>
  </si>
  <si>
    <t>210.27552733201023</t>
  </si>
  <si>
    <t>[-0.0, -0.032, -0.064, -0.077, -0.037]</t>
  </si>
  <si>
    <t>LINESTRING (8.724544001653058 58.461887115249084, 8.724575308673248 58.461945570667645, 8.727985174425255 58.463415619063106, 8.728073186289985 58.46344821789154, 8.728535737170912 58.46364500656506, 8.728836242286722 58.46377917434593)</t>
  </si>
  <si>
    <t>[949262, 949238, 949246, 949254, 1146133]</t>
  </si>
  <si>
    <t>[917855, 917856, 917864, 917870, 1081930]</t>
  </si>
  <si>
    <t>[917877, 917855, 917856, 917864, 917870]</t>
  </si>
  <si>
    <t>[0.0, 0.032, 0.064, 0.077, 0.037]</t>
  </si>
  <si>
    <t>329.8761493917075</t>
  </si>
  <si>
    <t>30.616575533042813</t>
  </si>
  <si>
    <t>[0.133, 0.168]</t>
  </si>
  <si>
    <t>LINESTRING (10.31413914626848 59.7272255720106, 10.314221292622106 59.727257974335515, 10.314269949976332 59.72729955011307)</t>
  </si>
  <si>
    <t>[950456, 950464]</t>
  </si>
  <si>
    <t>[918841, 918793]</t>
  </si>
  <si>
    <t>0.1497468652142564</t>
  </si>
  <si>
    <t>[918834, 918841]</t>
  </si>
  <si>
    <t>11.24955037753687</t>
  </si>
  <si>
    <t>[0.091, 0.096]</t>
  </si>
  <si>
    <t>LINESTRING (10.314537843107308 59.72712807661026, 10.314325241824214 59.72726609741066, 10.314269949976332 59.72729955011307)</t>
  </si>
  <si>
    <t>[950536, 950544]</t>
  </si>
  <si>
    <t>[918910, 918793]</t>
  </si>
  <si>
    <t>0.0919849462246714</t>
  </si>
  <si>
    <t>[918860, 918910]</t>
  </si>
  <si>
    <t>24.654366994379913</t>
  </si>
  <si>
    <t>[-0.108, -0.184]</t>
  </si>
  <si>
    <t>LINESTRING (10.313962420668947 59.727463418017265, 10.313849989126576 59.72742647899161, 10.313787908106024 59.72736796329483)</t>
  </si>
  <si>
    <t>[950408, 950416]</t>
  </si>
  <si>
    <t>[918799, 918807]</t>
  </si>
  <si>
    <t>[918794, 918799]</t>
  </si>
  <si>
    <t>[0.108, 0.184]</t>
  </si>
  <si>
    <t>14.94857092781563</t>
  </si>
  <si>
    <t>[0.035, 0.061]</t>
  </si>
  <si>
    <t>LINESTRING (10.313962420668947 59.727463418017265, 10.313854487537741 59.72748078645406, 10.313514797428196 59.72757495687386)</t>
  </si>
  <si>
    <t>[950552, 950560]</t>
  </si>
  <si>
    <t>[918926, 918875]</t>
  </si>
  <si>
    <t>0.05515305304432776</t>
  </si>
  <si>
    <t>[918794, 918926]</t>
  </si>
  <si>
    <t>28.351930567664418</t>
  </si>
  <si>
    <t>[-0.187, -0.132, -0.046, 0.094]</t>
  </si>
  <si>
    <t>LINESTRING (10.313787908106024 59.72736796329483, 10.31379643610771 59.727299001832186, 10.313880767746253 59.727239837948986, 10.314003537324883 59.72721459006886, 10.31413914626848 59.7272255720106)</t>
  </si>
  <si>
    <t>[950424, 950432, 950440, 950448]</t>
  </si>
  <si>
    <t>[918812, 918819, 918827, 918834]</t>
  </si>
  <si>
    <t>[918807, 918812, 918819, 918827]</t>
  </si>
  <si>
    <t>[0.187, 0.132, 0.046, 0.094]</t>
  </si>
  <si>
    <t>31.017314862492064</t>
  </si>
  <si>
    <t>[0.15, 0.129]</t>
  </si>
  <si>
    <t>LINESTRING (10.313787908106024 59.72736796329483, 10.313734431146017 59.727416924158135, 10.313514797428196 59.72757495687386)</t>
  </si>
  <si>
    <t>[950488, 950496]</t>
  </si>
  <si>
    <t>[918867, 918875]</t>
  </si>
  <si>
    <t>0.13367736604487598</t>
  </si>
  <si>
    <t>[918807, 918867]</t>
  </si>
  <si>
    <t>27.980282544598047</t>
  </si>
  <si>
    <t>[0.017, 0.054]</t>
  </si>
  <si>
    <t>LINESTRING (10.314537843107308 59.72712807661026, 10.3142143361212 59.727212303653594, 10.31413914626848 59.7272255720106)</t>
  </si>
  <si>
    <t>[950520, 950528]</t>
  </si>
  <si>
    <t>[918897, 918834]</t>
  </si>
  <si>
    <t>0.02356831484874619</t>
  </si>
  <si>
    <t>[918860, 918897]</t>
  </si>
  <si>
    <t>25.252875572691256</t>
  </si>
  <si>
    <t>[0.043, 0.036, 0.012, 0.011]</t>
  </si>
  <si>
    <t>LINESTRING (9.037963584770269 58.73004605691842, 9.038021515293238 58.730122125239795, 9.038014058095904 58.73018372382198, 9.037938370385318 58.730255480591815, 9.037895995849375 58.730275086241164)</t>
  </si>
  <si>
    <t>[967608, 967621, 967622, 967629]</t>
  </si>
  <si>
    <t>[931459, 931469, 931470, 931474]</t>
  </si>
  <si>
    <t>0.027647375851625047</t>
  </si>
  <si>
    <t>[924946, 931459, 931469, 931470]</t>
  </si>
  <si>
    <t>28.420505730418803</t>
  </si>
  <si>
    <t>[0.003, 0.034]</t>
  </si>
  <si>
    <t>LINESTRING (9.037572555321681 58.72999405183688, 9.037778877918566 58.729982813156106, 9.037963584770269 58.73004605691842)</t>
  </si>
  <si>
    <t>[967599, 967607]</t>
  </si>
  <si>
    <t>[931454, 924946]</t>
  </si>
  <si>
    <t>0.01901032916034705</t>
  </si>
  <si>
    <t>[931449, 931454]</t>
  </si>
  <si>
    <t>25.239861301010556</t>
  </si>
  <si>
    <t>7.670902945317623</t>
  </si>
  <si>
    <t>[0.023, 0.018, 0.012]</t>
  </si>
  <si>
    <t>LINESTRING (10.206443267930455 59.172640096302544, 10.20666805534237 59.173029171591665, 10.207447565292659 59.1765770122935, 10.207495982960227 59.17665511844472)</t>
  </si>
  <si>
    <t>[1708833, 958716, 958724]</t>
  </si>
  <si>
    <t>[925267, 925268, 925275]</t>
  </si>
  <si>
    <t>0.018378335723284126</t>
  </si>
  <si>
    <t>[925392, 925267, 925268]</t>
  </si>
  <si>
    <t>452.89567510167825</t>
  </si>
  <si>
    <t>[-0.075, 0.024, 0.153]</t>
  </si>
  <si>
    <t>LINESTRING (10.205965764295591 59.176617546677676, 10.206230527306275 59.17654122151352, 10.207218050948073 59.176562359053136, 10.207495982960227 59.17665511844472)</t>
  </si>
  <si>
    <t>[2114975, 2114983, 2114991]</t>
  </si>
  <si>
    <t>[1824226, 1824233, 925275]</t>
  </si>
  <si>
    <t>0.03172479286479593</t>
  </si>
  <si>
    <t>[1525237, 1824226, 1824233]</t>
  </si>
  <si>
    <t>[0.075, 0.024, 0.153]</t>
  </si>
  <si>
    <t>94.0805681095688</t>
  </si>
  <si>
    <t>15.412495458090994</t>
  </si>
  <si>
    <t>[-0.09, -0.02, 0.031]</t>
  </si>
  <si>
    <t>LINESTRING (10.18563844999086 59.15336586298516, 10.185608697399973 59.15341560959742, 10.18958421579469 59.15652518439892, 10.189963881597869 59.156872286365335)</t>
  </si>
  <si>
    <t>[959036, 959044, 959028]</t>
  </si>
  <si>
    <t>[925500, 925493, 925494]</t>
  </si>
  <si>
    <t>[925280, 925500, 925493]</t>
  </si>
  <si>
    <t>[0.09, 0.02, 0.031]</t>
  </si>
  <si>
    <t>470.04836029567326</t>
  </si>
  <si>
    <t>[0.042, 0.024, -0.05, -0.09]</t>
  </si>
  <si>
    <t>LINESTRING (10.18523995195184 59.15309413092292, 10.185573423922266 59.1530653180539, 10.185725071685082 59.15312599425721, 10.185782733980297 59.15320180927375, 10.18563844999086 59.15336586298516)</t>
  </si>
  <si>
    <t>[958772, 958780, 958788, 958732]</t>
  </si>
  <si>
    <t>[925309, 925314, 925279, 925280]</t>
  </si>
  <si>
    <t>[925304, 925309, 925314, 925279]</t>
  </si>
  <si>
    <t>[0.042, 0.024, 0.05, 0.09]</t>
  </si>
  <si>
    <t>60.9811005794719</t>
  </si>
  <si>
    <t>[0.005, 0.038]</t>
  </si>
  <si>
    <t>LINESTRING (10.185379201162403 59.153390029772325, 10.185215954448143 59.1533429463531, 10.185136985036031 59.15327505624485)</t>
  </si>
  <si>
    <t>[958748, 958756]</t>
  </si>
  <si>
    <t>[925293, 925298]</t>
  </si>
  <si>
    <t>0.01989176284599611</t>
  </si>
  <si>
    <t>[925287, 925293]</t>
  </si>
  <si>
    <t>19.532902595538932</t>
  </si>
  <si>
    <t>LINESTRING (10.185379201162403 59.153390029772325, 10.18527643182757 59.15340597559125, 10.184927520648491 59.15349603152071)</t>
  </si>
  <si>
    <t>[959158, 959166]</t>
  </si>
  <si>
    <t>[925575, 925557]</t>
  </si>
  <si>
    <t>[925287, 925575]</t>
  </si>
  <si>
    <t>28.84783418910643</t>
  </si>
  <si>
    <t>0.075</t>
  </si>
  <si>
    <t>21.93425575668934</t>
  </si>
  <si>
    <t>[-0.083, -0.089]</t>
  </si>
  <si>
    <t>LINESTRING (10.185136985036031 59.15327505624485, 10.185103748921225 59.15332093121687, 10.184927520648491 59.15349603152071)</t>
  </si>
  <si>
    <t>[959116, 959125]</t>
  </si>
  <si>
    <t>[925550, 925557]</t>
  </si>
  <si>
    <t>[925298, 925550]</t>
  </si>
  <si>
    <t>[0.083, 0.089]</t>
  </si>
  <si>
    <t>27.89519424396513</t>
  </si>
  <si>
    <t>[-0.038, -0.011, 0.001, 0.014, 0.046]</t>
  </si>
  <si>
    <t>LINESTRING (10.178798381808557 59.150164855738105, 10.179205004555879 59.15045799751468, 10.17968632955605 59.15082314592753, 10.181998232674998 59.15236612365843, 10.185127189723717 59.153098092183676, 10.18523995195184 59.15309413092292)</t>
  </si>
  <si>
    <t>[959271, 959279, 959287, 959295, 959303]</t>
  </si>
  <si>
    <t>[925651, 925655, 925661, 925668, 925304]</t>
  </si>
  <si>
    <t>0.0024928799188576652</t>
  </si>
  <si>
    <t>[925650, 925651, 925655, 925661, 925668]</t>
  </si>
  <si>
    <t>[0.038, 0.011, 0.001, 0.014, 0.046]</t>
  </si>
  <si>
    <t>515.464331710533</t>
  </si>
  <si>
    <t>[-0.046, -0.058]</t>
  </si>
  <si>
    <t>LINESTRING (10.183421430038715 59.154178716239414, 10.183569933673043 59.154216960177244, 10.183643978206115 59.15427454828721)</t>
  </si>
  <si>
    <t>[958860, 958868]</t>
  </si>
  <si>
    <t>[925373, 925325]</t>
  </si>
  <si>
    <t>[925366, 925373]</t>
  </si>
  <si>
    <t>[0.046, 0.058]</t>
  </si>
  <si>
    <t>17.20232105254531</t>
  </si>
  <si>
    <t>[-0.056, -0.051]</t>
  </si>
  <si>
    <t>LINESTRING (10.183858604196802 59.15406427335221, 10.183680925513388 59.15423032277001, 10.183643978206115 59.15427454828721)</t>
  </si>
  <si>
    <t>[959190, 959198]</t>
  </si>
  <si>
    <t>[925592, 925325]</t>
  </si>
  <si>
    <t>[925569, 925592]</t>
  </si>
  <si>
    <t>[0.056, 0.051]</t>
  </si>
  <si>
    <t>26.757768294130223</t>
  </si>
  <si>
    <t>[-0.023, -0.01]</t>
  </si>
  <si>
    <t>LINESTRING (10.183858604196802 59.15406427335221, 10.183519149435938 59.154156620128894, 10.183421430038715 59.154178716239414)</t>
  </si>
  <si>
    <t>[959174, 959182]</t>
  </si>
  <si>
    <t>[925583, 925366]</t>
  </si>
  <si>
    <t>[925569, 925583]</t>
  </si>
  <si>
    <t>[0.023, 0.01]</t>
  </si>
  <si>
    <t>28.459324574918472</t>
  </si>
  <si>
    <t>[-0.019, -0.038]</t>
  </si>
  <si>
    <t>35259.0</t>
  </si>
  <si>
    <t>LINESTRING (10.206443267930455 59.172640096302544, 10.19561652063618 59.16041804870226, 10.189963881597869 59.156872286365335)</t>
  </si>
  <si>
    <t>[958892, 959535]</t>
  </si>
  <si>
    <t>[925393, 925494]</t>
  </si>
  <si>
    <t>[925392, 925393]</t>
  </si>
  <si>
    <t>[0.019, 0.038]</t>
  </si>
  <si>
    <t>2019.431940218415</t>
  </si>
  <si>
    <t>[0.04, -0.001, -0.022]</t>
  </si>
  <si>
    <t>LINESTRING (10.207114556198446 59.18171811209959, 10.206590463795173 59.180436996487096, 10.206576058626368 59.172954860219, 10.206443267930455 59.172640096302544)</t>
  </si>
  <si>
    <t>[1708881, 1708889, 1708897]</t>
  </si>
  <si>
    <t>[1525361, 1525366, 925392]</t>
  </si>
  <si>
    <t>0.0041372797165177</t>
  </si>
  <si>
    <t>[1524966, 1525361, 1525366]</t>
  </si>
  <si>
    <t>[0.04, 0.001, 0.022]</t>
  </si>
  <si>
    <t>1018.5584609476799</t>
  </si>
  <si>
    <t>[0.005, 0.015, 0.017, 0.018, 0.019, 0.019, 0.031, 0.134, 0.041, 0.035, 0.031]</t>
  </si>
  <si>
    <t>LINESTRING (15.315113152220338 66.54914692633928, 15.316229370486488 66.55021720396553, 15.316700522166592 66.5506170705418, 15.317158243557511 66.55097269970508, 15.317187680817247 66.55099417067593, 15.317332125131209 66.55109836421633, 15.317419081828827 66.55116062670594, 15.317913378050335 66.55153239928025, 15.317916947855009 66.55153506541494, 15.318502129752774 66.55196830985672, 15.318563483369113 66.55201453862924, 15.320290048572064 66.55311052205113)</t>
  </si>
  <si>
    <t>[958968, 958976, 958984, 958992, 959000, 959008, 959016, 959024, 959032, 959040, 959048]</t>
  </si>
  <si>
    <t>[925453, 925459, 925465, 925470, 925475, 925480, 925484, 925490, 925498, 925502, 925506]</t>
  </si>
  <si>
    <t>0.02207604201153822</t>
  </si>
  <si>
    <t>[925452, 925453, 925459, 925465, 925470, 925475, 925480, 925484, 925490, 925498, 925502]</t>
  </si>
  <si>
    <t>499.4151528600855</t>
  </si>
  <si>
    <t>[0.005, 0.013, 0.015, 0.028, 0.017, 0.022, 0.018, 0.019, 0.039, 0.041, 0.029]</t>
  </si>
  <si>
    <t>LINESTRING (15.315113152220338 66.54914692633928, 15.316238662224684 66.55008895299673, 15.31637769963239 66.5502025510122, 15.316860688049116 66.55059273140029, 15.316864920944756 66.55059620361335, 15.3173048486727 66.55094439542859, 15.317332137197464 66.5509668934214, 15.317468400424149 66.5510740907569, 15.317543933273118 66.55113056306857, 15.318047497892676 66.55151025583193, 15.31865137420463 66.55194704124573, 15.320290048572064 66.55311052205113)</t>
  </si>
  <si>
    <t>[959056, 959064, 959072, 959080, 959088, 959096, 959104, 959112, 959121, 959129, 959138]</t>
  </si>
  <si>
    <t>[925512, 925518, 925522, 925528, 925535, 925540, 925545, 925548, 925554, 925559, 925506]</t>
  </si>
  <si>
    <t>0.022358239687119166</t>
  </si>
  <si>
    <t>[925452, 925512, 925518, 925522, 925528, 925535, 925540, 925545, 925548, 925554, 925559]</t>
  </si>
  <si>
    <t>498.5942020000863</t>
  </si>
  <si>
    <t>[-0.039, 0.015, -0.001, 0.015, 0.047]</t>
  </si>
  <si>
    <t>LINESTRING (10.189963881597869 59.156872286365335, 10.189146446742734 59.1562587373215, 10.181926577335416 59.15239666267813, 10.179609464152447 59.15084829043862, 10.17900731344899 59.150349318291326, 10.178798381808557 59.150164855738105)</t>
  </si>
  <si>
    <t>[959543, 959551, 959560, 959568, 959576]</t>
  </si>
  <si>
    <t>[925818, 925822, 925829, 925833, 925650]</t>
  </si>
  <si>
    <t>0.007709126820192917</t>
  </si>
  <si>
    <t>[925494, 925818, 925822, 925829, 925833]</t>
  </si>
  <si>
    <t>[0.039, 0.015, 0.001, 0.015, 0.047]</t>
  </si>
  <si>
    <t>987.4094510624112</t>
  </si>
  <si>
    <t>[0.019, 0.005, 0.004, 0.01, -0.006, -0.01, -0.005, 0.004, -0.0, -0.002, 0.001, -0.001, -0.002, 0.002, 0.003, -0.001, -0.001, -0.008, -0.004, -0.009, -0.029, -0.003, 0.004, -0.001, -0.018, -0.006, 0.005, -0.001, 0.004, 0.007, -0.009, 0.011, -0.002, -0.006, -0.022, -0.051, -0.061, -0.043, -0.044, -0.043, -0.038, -0.026, -0.026, -0.025, -0.024, -0.019, -0.02, -0.024, -0.015, -0.011, -0.022, -0.059, -0.026, -0.018, -0.019, -0.025, -0.07, -0.063, -0.113, -0.148, -0.118, -0.052, -0.063, -0.07, -0.075, -0.011, -0.033, 0.024, 0.022, 0.022, -0.046, -0.032, -0.001, 0.032]</t>
  </si>
  <si>
    <t>760.0</t>
  </si>
  <si>
    <t>[0, 0, 0, 0, 0, 0, 0, 1, 0, 0, 1, 0, 0, 0, 1, 1, 0, 0, 0, 0, 1, 0, 0, 0, 0, 1, 0, 0, 0, 0, 0, 0, 0, 0, 0, 0, 0, 0, 0, 1, 0, 0, 0, 0, 0, 0, 0, 0, 0, 0, 0, 0, 0, 0, 0, 0, 0, 0, 0, 0, 0, 0, 0, 0, 0, 0, 0, 0, 0, 0, 0, 0, 0, 0]</t>
  </si>
  <si>
    <t>LINESTRING (15.320290048572064 66.55311052205113, 15.322208845605935 66.55431454267976, 15.347774324889045 66.56655409575967, 15.347845214470281 66.5666150673272, 15.348615340906901 66.56728793595597, 15.353200845311704 66.57558334614653, 15.352931834569455 66.57581742295959, 15.35203866228218 66.576531192194, 15.350879855725138 66.57770684143388, 15.352273742110198 66.5824938862141, 15.352247186719044 66.59286186610886, 15.352306724143421 66.59301971227771, 15.35727571216935 66.60010431233793, 15.35773392923668 66.60060652545731, 15.367227076782255 66.61091384593723, 15.367250271933681 66.61093899129257, 15.367375746250652 66.61107497658752, 15.368254152984896 66.61202705904151, 15.368275512670813 66.61205008241808, 15.369138855790181 66.61294255594755, 15.369573534993917 66.61335725074913, 15.369758733111997 66.6135284304585, 15.377735005096369 66.62395232426829, 15.39448985090328 66.64449092907867, 15.397140100191496 66.65015453730837, 15.401205686787076 66.65375803131376, 15.401524730408621 66.65393708563938, 15.403145588587618 66.65488888889004, 15.405571853013601 66.65706547396913, 15.406160418021358 66.65793578330407, 15.406759375384487 66.65887714967712, 15.406850515422466 66.65901676276884, 15.41004534459828 66.67162590677975, 15.411838441323717 66.67368935847448, 15.41551694303576 66.68195059739809, 15.4183015371488 66.68399388935198, 15.419170347108635 66.68483862685027, 15.419447569058072 66.68514901979842, 15.425100492226111 66.689246736865, 15.425891157157256 66.68948693348383, 15.426201177556191 66.68957831637617, 15.42765636834817 66.69000587529266, 15.428460559510835 66.69024095376999, 15.42856886547472 66.69027272133678, 15.429272523979353 66.69047936212404, 15.430205642481965 66.69075269134852, 15.432804426295517 66.6915165636089, 15.433151166785999 66.69161963780141, 15.43498951976251 66.69232367298487, 15.43859741395105 66.69675084564453, 15.439815607287757 66.69807159145441, 15.458753565388703 66.71177689133854, 15.463435719267306 66.71520601038597, 15.463152282176182 66.71729529413676, 15.46309376503116 66.71788249031201, 15.463052328550628 66.71828173934053, 15.462844897457522 66.72037337296382, 15.464323930747144 66.72396189475481, 15.465537055618132 66.72697031772324, 15.46816247630398 66.73049297627776, 15.468196466803121 66.73053530799918, 15.46857440865157 66.73101413174008, 15.469985846280366 66.73291877215149, 15.470435786933622 66.73351704945142, 15.470610506880314 66.73375641158185, 15.471941833432025 66.73550132145907, 15.47555394580647 66.74666854783531, 15.47597394317296 66.76407744648147, 15.475935782471156 66.76431018660824, 15.475929841574573 66.76434598954074, 15.475776037630972 66.76538419179076, 15.467364699412538 66.78277108797188, 15.451049734452319 66.79353530094528, 15.423160653400915 66.80427679568811, 15.421321289012283 66.80477246680042)</t>
  </si>
  <si>
    <t>[1197296, 1197304, 1197312, 1197320, 1197328, 1197336, 1197344, 1197352, 1197360, 1197368, 1197376, 1197384, 1197392, 1197400, 1197408, 1197416, 1197424, 1197432, 1197440, 1197448, 1197456, 1197464, 1197472, 1197480, 1197488, 1197496, 1197504, 1197512, 1197520, 1197528, 477539, 477547, 477555, 477563, 477571, 477579, 477587, 477595, 477603, 477611, 477619, 477627, 477635, 477643, 477651, 477659, 477667, 477678, 477686, 477694, 477702, 477710, 477718, 477726, 477734, 477742, 477750, 477758, 477766, 477774, 477782, 477790, 477798, 477806, 477814, 1197536, 1197544, 1197552, 1197560, 1197568, 1197576, 1197584, 1197592, 1197600]</t>
  </si>
  <si>
    <t>[1123302, 1123307, 1123313, 1123317, 1123321, 1123327, 1123333, 1123339, 1123344, 1123349, 1123354, 1123357, 1123361, 1123365, 1123369, 1123373, 1123378, 1123385, 1123389, 1123393, 1123396, 1123398, 1123406, 1123411, 1123419, 1123425, 1123429, 404395, 1123438, 404422, 476222, 404456, 476236, 404474, 476254, 404491, 476272, 476280, 476287, 476299, 476309, 404590, 476327, 404646, 404665, 476351, 476360, 476372, 476383, 476391, 476398, 476408, 476420, 404673, 404690, 476444, 404711, 404720, 476471, 476479, 476488, 476497, 476509, 448469, 404774, 1123448, 1123454, 1123461, 1123468, 1123471, 1123477, 1123484, 1123489, 957739]</t>
  </si>
  <si>
    <t>[925506, 1123302, 1123307, 1123313, 1123317, 1123321, 1123327, 1123333, 1123339, 1123344, 1123349, 1123354, 1123357, 1123361, 1123365, 1123369, 1123373, 1123378, 1123385, 1123389, 1123393, 1123396, 1123398, 1123406, 1123411, 1123419, 1123425, 1123429, 404395, 1123438, 404422, 476222, 404456, 476236, 404474, 476254, 404491, 476272, 476280, 476287, 476299, 476309, 404590, 476327, 404646, 404665, 476351, 476360, 476372, 476383, 476391, 476398, 476408, 476420, 404673, 404690, 476444, 404711, 404720, 476471, 476479, 476488, 476497, 476509, 448469, 404774, 1123448, 1123454, 1123461, 1123468, 1123471, 1123477, 1123484, 1123489]</t>
  </si>
  <si>
    <t>[0.019, 0.005, 0.004, 0.01, 0.006, 0.01, 0.005, 0.004, 0.0, 0.002, 0.001, 0.001, 0.002, 0.002, 0.003, 0.001, 0.001, 0.008, 0.004, 0.009, 0.029, 0.003, 0.004, 0.001, 0.018, 0.006, 0.005, 0.001, 0.004, 0.007, 0.009, 0.011, 0.002, 0.006, 0.022, 0.051, 0.061, 0.043, 0.044, 0.043, 0.038, 0.026, 0.026, 0.025, 0.024, 0.019, 0.02, 0.024, 0.015, 0.011, 0.022, 0.059, 0.026, 0.018, 0.019, 0.025, 0.07, 0.063, 0.113, 0.148, 0.118, 0.052, 0.063, 0.07, 0.075, 0.011, 0.033, 0.024, 0.022, 0.022, 0.046, 0.032, 0.001, 0.032]</t>
  </si>
  <si>
    <t>30855.426883743035</t>
  </si>
  <si>
    <t>[0.015, 0.0, 0.013]</t>
  </si>
  <si>
    <t>LINESTRING (10.18896067723567 59.156325794700855, 10.181756486093464 59.15247380065247, 10.179420025091444 59.150913623188416, 10.178804743165205 59.150402719310975)</t>
  </si>
  <si>
    <t>[959503, 959511, 959519]</t>
  </si>
  <si>
    <t>[925794, 925797, 925645]</t>
  </si>
  <si>
    <t>0.011116075494252198</t>
  </si>
  <si>
    <t>[925520, 925794, 925797]</t>
  </si>
  <si>
    <t>882.5707520606556</t>
  </si>
  <si>
    <t>[-0.021, -0.019, -0.038, -0.041]</t>
  </si>
  <si>
    <t>LINESTRING (10.206292415635017 59.17298635609085, 10.206173364656557 59.17266934719142, 10.195435568518048 59.160487902813415, 10.189777964046968 59.15693814306255, 10.18896067723567 59.156325794700855)</t>
  </si>
  <si>
    <t>[1708865, 958876, 959487, 959495]</t>
  </si>
  <si>
    <t>[925380, 925381, 925784, 925520]</t>
  </si>
  <si>
    <t>[1525037, 925380, 925381, 925784]</t>
  </si>
  <si>
    <t>[0.021, 0.019, 0.038, 0.041]</t>
  </si>
  <si>
    <t>2132.9295522025036</t>
  </si>
  <si>
    <t>[-0.085, -0.074, -0.042]</t>
  </si>
  <si>
    <t>LINESTRING (10.184927520648491 59.15349603152071, 10.184735856358698 59.15359716366164, 10.184120619883506 59.15392561815821, 10.183858604196802 59.15406427335221)</t>
  </si>
  <si>
    <t>[959133, 959142, 959150]</t>
  </si>
  <si>
    <t>[925561, 925564, 925569]</t>
  </si>
  <si>
    <t>[925557, 925561, 925564]</t>
  </si>
  <si>
    <t>[0.085, 0.074, 0.042]</t>
  </si>
  <si>
    <t>88.0684704032947</t>
  </si>
  <si>
    <t>[0.043, 0.004, 0.001, 0.015, 0.025, -0.002, -0.007]</t>
  </si>
  <si>
    <t>LINESTRING (10.178804743165205 59.150402719310975, 10.178597561773536 59.150219634874055, 10.16798913354538 59.1414207375708, 10.155373523725483 59.13475633670792, 10.15531106762614 59.1347062791313, 10.154734462650675 59.13422471263225, 10.149559079794068 59.13010573573838, 10.148399573240718 59.129435261100056)</t>
  </si>
  <si>
    <t>[959527, 959479, 959584, 959592, 959600, 1365100, 1365108]</t>
  </si>
  <si>
    <t>[925777, 925778, 925842, 925845, 925851, 1260186, 1260193]</t>
  </si>
  <si>
    <t>0.0022351180320313814</t>
  </si>
  <si>
    <t>[925645, 925777, 925778, 925842, 925845, 925851, 1260186]</t>
  </si>
  <si>
    <t>[0.043, 0.004, 0.001, 0.015, 0.025, 0.002, 0.007]</t>
  </si>
  <si>
    <t>2941.0592924284306</t>
  </si>
  <si>
    <t>[0.004, 0.001, 0.013, 0.023, -0.003]</t>
  </si>
  <si>
    <t>29195.0</t>
  </si>
  <si>
    <t>LINESTRING (10.178798381808557 59.150164855738105, 10.168145716861874 59.141336313857764, 10.155591476161376 59.134667215072156, 10.155529176298359 59.134616794621216, 10.154974541453951 59.1341510195655, 10.149765660229106 59.130008705025155)</t>
  </si>
  <si>
    <t>[959311, 959608, 959616, 959624, 1365304]</t>
  </si>
  <si>
    <t>[925679, 925857, 925863, 925867, 1260348]</t>
  </si>
  <si>
    <t>0.00195943062635547</t>
  </si>
  <si>
    <t>[925650, 925679, 925857, 925863, 925867]</t>
  </si>
  <si>
    <t>[0.004, 0.001, 0.013, 0.023, 0.003]</t>
  </si>
  <si>
    <t>2820.8983436358076</t>
  </si>
  <si>
    <t>[0.039, -0.004]</t>
  </si>
  <si>
    <t>LINESTRING (14.142721051338393 66.30406642951672, 14.145455878187118 66.30567875207737, 14.145710570209351 66.30603409346375)</t>
  </si>
  <si>
    <t>[1189552, 1707477]</t>
  </si>
  <si>
    <t>[1117779, 1524382]</t>
  </si>
  <si>
    <t>0.032428075636052</t>
  </si>
  <si>
    <t>[926783, 1117779]</t>
  </si>
  <si>
    <t>[0.039, 0.004]</t>
  </si>
  <si>
    <t>269.72401746702235</t>
  </si>
  <si>
    <t>[-0.004, -0.008]</t>
  </si>
  <si>
    <t>LINESTRING (14.146684916647041 66.30681730752954, 14.148111274590896 66.30738793486235, 14.15003077909036 66.3079536273946)</t>
  </si>
  <si>
    <t>[1707493, 1189560]</t>
  </si>
  <si>
    <t>[1117783, 926858]</t>
  </si>
  <si>
    <t>[1524386, 1117783]</t>
  </si>
  <si>
    <t>[0.004, 0.008]</t>
  </si>
  <si>
    <t>197.09264988553682</t>
  </si>
  <si>
    <t>[-0.034, -0.02, 0.008, 0.027]</t>
  </si>
  <si>
    <t>LINESTRING (9.035961582878702 58.744003876338525, 9.035720738428846 58.74393075071013, 9.035718509075666 58.74383484876792, 9.035817605422197 58.74377525344919, 9.035898717735074 58.74375984125263)</t>
  </si>
  <si>
    <t>[967465, 967473, 967481, 967489]</t>
  </si>
  <si>
    <t>[931359, 931364, 931373, 931378]</t>
  </si>
  <si>
    <t>[931358, 931359, 931364, 931373]</t>
  </si>
  <si>
    <t>[0.034, 0.02, 0.008, 0.027]</t>
  </si>
  <si>
    <t>41.703678221226596</t>
  </si>
  <si>
    <t>12.485683699020734</t>
  </si>
  <si>
    <t>[-0.034, -0.003, -0.008, -0.103]</t>
  </si>
  <si>
    <t>LINESTRING (9.037531297988165 58.74638633971556, 9.037468611807 58.74616437297077, 9.037451164942574 58.746101267374094, 9.036091119987653 58.74402015379173, 9.035961582878702 58.744003876338525)</t>
  </si>
  <si>
    <t>[1323281, 1108451, 1108459, 1108467]</t>
  </si>
  <si>
    <t>[1049027, 1049028, 1049038, 931358]</t>
  </si>
  <si>
    <t>[1229568, 1049027, 1049028, 1049038]</t>
  </si>
  <si>
    <t>[0.034, 0.003, 0.008, 0.103]</t>
  </si>
  <si>
    <t>293.1293872036316</t>
  </si>
  <si>
    <t>13.643843294459858</t>
  </si>
  <si>
    <t>[-0.012, -0.024, -0.036, -0.027]</t>
  </si>
  <si>
    <t>LINESTRING (9.035898717735074 58.74375984125263, 9.035925946627366 58.74372536095633, 9.035958251500675 58.74367545001177, 9.035537057719498 58.74051471537282, 9.03552395747913 58.74029054739939)</t>
  </si>
  <si>
    <t>[1241270, 1241271, 1241278, 1323225]</t>
  </si>
  <si>
    <t>[1161735, 1161736, 1161742, 1229574]</t>
  </si>
  <si>
    <t>[931378, 1161735, 1161736, 1161742]</t>
  </si>
  <si>
    <t>[0.012, 0.024, 0.036, 0.027]</t>
  </si>
  <si>
    <t>390.5851002303753</t>
  </si>
  <si>
    <t>[0.056, -0.009]</t>
  </si>
  <si>
    <t>LINESTRING (9.036113903180345 58.74379882223741, 9.0361746430966 58.743873760759286, 9.03613936099762 58.74394604257463)</t>
  </si>
  <si>
    <t>[967505, 967513]</t>
  </si>
  <si>
    <t>[931387, 931392]</t>
  </si>
  <si>
    <t>0.0249063935735269</t>
  </si>
  <si>
    <t>[931384, 931387]</t>
  </si>
  <si>
    <t>17.38310528838044</t>
  </si>
  <si>
    <t>[-0.155, -0.139, -0.056]</t>
  </si>
  <si>
    <t>LINESTRING (9.036577813185255 58.74383179124036, 9.03639623628259 58.743822012212675, 9.03621404886672 58.74381175440403, 9.036113903180345 58.74379882223741)</t>
  </si>
  <si>
    <t>[1323233, 1323241, 1323249]</t>
  </si>
  <si>
    <t>[1229817, 1229823, 931384]</t>
  </si>
  <si>
    <t>[1161718, 1229817, 1229823]</t>
  </si>
  <si>
    <t>[0.155, 0.139, 0.056]</t>
  </si>
  <si>
    <t>27.184125159418414</t>
  </si>
  <si>
    <t>[-0.127, -0.115, -0.057]</t>
  </si>
  <si>
    <t>LINESTRING (9.036577813185255 58.74383179124036, 9.036420145305412 58.74387138138206, 9.036235497757026 58.74391980298492, 9.03613936099762 58.74394604257463)</t>
  </si>
  <si>
    <t>[1323257, 1323265, 1323273]</t>
  </si>
  <si>
    <t>[1229834, 1229842, 931392]</t>
  </si>
  <si>
    <t>[1161718, 1229834, 1229842]</t>
  </si>
  <si>
    <t>[0.127, 0.115, 0.057]</t>
  </si>
  <si>
    <t>28.43066561602972</t>
  </si>
  <si>
    <t>[0.064, -0.061, -0.152, -0.154]</t>
  </si>
  <si>
    <t>LINESTRING (9.037726022529313 58.74362911082902, 9.037863320381602 58.74370003836375, 9.037875727596486 58.743766970661106, 9.03782119358458 58.743825304183396, 9.037800250640654 58.74383630705001)</t>
  </si>
  <si>
    <t>[967536, 967545, 967553, 967561]</t>
  </si>
  <si>
    <t>[931409, 931414, 931420, 931425]</t>
  </si>
  <si>
    <t>[931408, 931409, 931414, 931420]</t>
  </si>
  <si>
    <t>[0.064, 0.061, 0.152, 0.154]</t>
  </si>
  <si>
    <t>27.939678010838552</t>
  </si>
  <si>
    <t>0.182</t>
  </si>
  <si>
    <t>19.40017682668244</t>
  </si>
  <si>
    <t>[0.027, 0.076, 0.097]</t>
  </si>
  <si>
    <t>LINESTRING (9.035613631591167 58.74013048491579, 9.035715967568247 58.74036328866944, 9.03761895959035 58.74357769256268, 9.037726022529313 58.74362911082902)</t>
  </si>
  <si>
    <t>[1323217, 1241228, 1241234]</t>
  </si>
  <si>
    <t>[1161699, 1161700, 931408]</t>
  </si>
  <si>
    <t>0.07327887424317957</t>
  </si>
  <si>
    <t>[1229633, 1161699, 1161700]</t>
  </si>
  <si>
    <t>414.307921417986</t>
  </si>
  <si>
    <t>19.4173279957507</t>
  </si>
  <si>
    <t>[-0.124, -0.029, -0.011]</t>
  </si>
  <si>
    <t>LINESTRING (9.037800250640654 58.74383630705001, 9.03775604824313 58.74388692674591, 9.037755040794075 58.74673057637342, 9.037723039965904 58.74695418130233)</t>
  </si>
  <si>
    <t>[1241261, 1241262, 1323289]</t>
  </si>
  <si>
    <t>[1161729, 1161730, 1229627]</t>
  </si>
  <si>
    <t>[931425, 1161729, 1161730]</t>
  </si>
  <si>
    <t>[0.124, 0.029, 0.011]</t>
  </si>
  <si>
    <t>352.707254154383</t>
  </si>
  <si>
    <t>[-0.028, 0.071]</t>
  </si>
  <si>
    <t>LINESTRING (9.037486954383452 58.74383707333953, 9.037406858136821 58.74375682540931, 9.037432838105305 58.743686245461284)</t>
  </si>
  <si>
    <t>[967578, 967582]</t>
  </si>
  <si>
    <t>[931439, 931443]</t>
  </si>
  <si>
    <t>0.015842670356476088</t>
  </si>
  <si>
    <t>[931426, 931439]</t>
  </si>
  <si>
    <t>[0.028, 0.071]</t>
  </si>
  <si>
    <t>18.09402695711222</t>
  </si>
  <si>
    <t>[-0.141, -0.149, -0.149]</t>
  </si>
  <si>
    <t>LINESTRING (9.037486954383452 58.74383707333953, 9.037374649751943 58.74382010248148, 9.03718137151238 58.743808665048824, 9.03700653925442 58.74379793942065)</t>
  </si>
  <si>
    <t>[1322825, 1322833, 1322841]</t>
  </si>
  <si>
    <t>[1229464, 1229467, 1161717]</t>
  </si>
  <si>
    <t>[931426, 1229464, 1229467]</t>
  </si>
  <si>
    <t>[0.141, 0.149, 0.149]</t>
  </si>
  <si>
    <t>28.25844397363759</t>
  </si>
  <si>
    <t>[-0.161, -0.172, -0.148]</t>
  </si>
  <si>
    <t>LINESTRING (9.037432838105305 58.743686245461284, 9.037338244195164 58.74371289064267, 9.037164026351288 58.74375879037669, 9.03700653925442 58.74379793942065)</t>
  </si>
  <si>
    <t>[1322849, 1322857, 1322865]</t>
  </si>
  <si>
    <t>[1229479, 1229483, 1161717]</t>
  </si>
  <si>
    <t>[931443, 1229479, 1229483]</t>
  </si>
  <si>
    <t>[0.161, 0.172, 0.148]</t>
  </si>
  <si>
    <t>27.675994734273434</t>
  </si>
  <si>
    <t>31.396550259428288</t>
  </si>
  <si>
    <t>[0.005, -0.013]</t>
  </si>
  <si>
    <t>LINESTRING (9.037895995849375 58.730275086241164, 9.037646770103205 58.73030425853604, 9.03744548100235 58.730235031472084)</t>
  </si>
  <si>
    <t>[967638, 967640]</t>
  </si>
  <si>
    <t>[931478, 931448]</t>
  </si>
  <si>
    <t>[931474, 931478]</t>
  </si>
  <si>
    <t>29.407137567244156</t>
  </si>
  <si>
    <t>[-0.029, -0.05, -0.089, -0.098, -0.103, -0.122, 0.034, -0.02, -0.03]</t>
  </si>
  <si>
    <t>LINESTRING (9.03552395747913 58.74029054739939, 9.035488396745306 58.74009388705965, 9.036179212560151 58.736890323179686, 9.036330219382057 58.73663019677049, 9.03654128967547 58.736261114903996, 9.036601555736093 58.73615542825057, 9.036843687443593 58.735707484911664, 9.03725594650047 58.733730397961565, 9.037479903033484 58.730308144999334, 9.03744548100235 58.730235031472084)</t>
  </si>
  <si>
    <t>[1322953, 1322961, 1322969, 1322977, 1322985, 1322993, 1322803, 1322806, 1322809]</t>
  </si>
  <si>
    <t>[1229580, 1229585, 1229591, 1229597, 1229606, 1229439, 1229440, 1229444, 931448]</t>
  </si>
  <si>
    <t>[1229574, 1229580, 1229585, 1229591, 1229597, 1229606, 1229439, 1229440, 1229444]</t>
  </si>
  <si>
    <t>[0.029, 0.05, 0.089, 0.098, 0.103, 0.122, 0.034, 0.02, 0.03]</t>
  </si>
  <si>
    <t>1135.324016572459</t>
  </si>
  <si>
    <t>[-0.05, -0.091, -0.101, -0.118, -0.123, 0.028, -0.017, -0.016]</t>
  </si>
  <si>
    <t>LINESTRING (9.035613631591167 58.74013048491579, 9.03630906440161 58.736885457322806, 9.036461064275052 58.73662357617055, 9.03664837436265 58.736289783676035, 9.036704946952025 58.736194711837065, 9.036952108950729 58.73574772213573, 9.037375321967616 58.733761869777446, 9.037814371250617 58.73034380326446, 9.037895995849375 58.730275086241164)</t>
  </si>
  <si>
    <t>[1323025, 1323033, 1323041, 1323049, 1323057, 1322790, 1322794, 1322795]</t>
  </si>
  <si>
    <t>[1229641, 1229648, 1229654, 1229658, 1229425, 1229426, 1229430, 931474]</t>
  </si>
  <si>
    <t>[1229633, 1229641, 1229648, 1229654, 1229658, 1229425, 1229426, 1229430]</t>
  </si>
  <si>
    <t>[0.05, 0.091, 0.101, 0.118, 0.123, 0.028, 0.017, 0.016]</t>
  </si>
  <si>
    <t>1116.2845385317735</t>
  </si>
  <si>
    <t>[-0.119, -0.046, -0.049, -0.032, -0.019, -0.017, 0.022, 0.041, 0.037, 0.013, -0.023]</t>
  </si>
  <si>
    <t>LINESTRING (10.20468750424191 59.51317309806874, 10.205174302896847 59.51290262157999, 10.205522262009186 59.51270406966456, 10.205850258817533 59.5125141836978, 10.207045846664794 59.51178620397079, 10.207748950212176 59.511321880966534, 10.207970672252797 59.51116900732761, 10.210316203184096 59.50929684686884, 10.210437217970615 59.50919244589871, 10.210457747187316 59.509172510297745, 10.211822913769247 59.507784269178096, 10.21193540698538 59.50765256877773)</t>
  </si>
  <si>
    <t>[1242927, 1242928, 1242940, 1242948, 1242949, 1242950, 1242957, 1242960, 1242972, 1242980, 1242988]</t>
  </si>
  <si>
    <t>[1163174, 1163175, 931481, 1163196, 1163197, 1163198, 1163205, 1163209, 1163220, 1163224, 1143943]</t>
  </si>
  <si>
    <t>[931480, 1163174, 1163175, 931481, 1163196, 1163197, 1163198, 1163205, 1163209, 1163220, 1163224]</t>
  </si>
  <si>
    <t>[0.119, 0.046, 0.049, 0.032, 0.019, 0.017, 0.022, 0.041, 0.037, 0.013, 0.023]</t>
  </si>
  <si>
    <t>743.3875198075364</t>
  </si>
  <si>
    <t>[0.06, -0.105, -0.104, -0.031, -0.048, 0.0, -0.013, -0.014, 0.061, 0.268, 0.029, -0.041, 0.123, 0.135, 0.02, -0.096, -0.14, -0.176, 0.027, -0.048, -0.074, -0.084, -0.11]</t>
  </si>
  <si>
    <t>27393.0</t>
  </si>
  <si>
    <t>[0, 0, 0, 0, 1, 0, 1, 0, 1, 0, 0, 0, 1, 0, 0, 0, 0, 0, 0, 0, 0, 0, 0]</t>
  </si>
  <si>
    <t>LINESTRING (10.180887822296318 59.56989310963897, 10.17861095785044 59.56436689724147, 10.176818528970989 59.55612120852417, 10.177063534032152 59.55567410646426, 10.179772118161425 59.55175862166471, 10.179797818235189 59.55170289910834, 10.177294474619591 59.5408897557863, 10.177359383746563 59.5402138985195, 10.17989819905119 59.53580543671895, 10.181932245242695 59.53400496849935, 10.182354594699277 59.533640047824996, 10.187279117131501 59.52790631013929, 10.190639126777311 59.523442507032705, 10.19095996357271 59.523081469921095, 10.191673355789023 59.522315709544365, 10.198363618963654 59.51686254954364, 10.19894823366298 59.516486462344766, 10.199159528392782 59.51635165874876, 10.199912149733253 59.51588801612439, 10.20314224300577 59.51403203315526, 10.203297854616341 59.513946000374105, 10.203547767545489 59.51380749138241, 10.204029836109928 59.51354016415947, 10.20468750424191 59.51317309806874)</t>
  </si>
  <si>
    <t>[1242759, 1242760, 1242779, 1242780, 1242788, 1242799, 1242804, 1242805, 1242811, 1242826, 1242835, 1242843, 1242844, 1242851, 1242852, 1242858, 1242859, 1242881, 1242889, 1242890, 1242904, 1242912, 1242920]</t>
  </si>
  <si>
    <t>[1163005, 1163006, 1163022, 1163023, 1163034, 1163045, 1163051, 1163052, 1163056, 1163072, 1163078, 1163083, 1163084, 1163093, 1143917, 1163101, 1163102, 1163125, 1163136, 1163137, 1163150, 1163159, 931480]</t>
  </si>
  <si>
    <t>[1148963, 1163005, 1163006, 1163022, 1163023, 1163034, 1163045, 1163051, 1163052, 1163056, 1163072, 1163078, 1163083, 1163084, 1163093, 1143917, 1163101, 1163102, 1163125, 1163136, 1163137, 1163150, 1163159]</t>
  </si>
  <si>
    <t>[0.06, 0.105, 0.104, 0.031, 0.048, 0.0, 0.013, 0.014, 0.061, 0.268, 0.029, 0.041, 0.123, 0.135, 0.02, 0.096, 0.14, 0.176, 0.027, 0.048, 0.074, 0.084, 0.11]</t>
  </si>
  <si>
    <t>6820.206903181103</t>
  </si>
  <si>
    <t>[-0.025, -0.019, -0.018, 0.021, 0.035, 0.033, 0.014, 0.021]</t>
  </si>
  <si>
    <t>LINESTRING (10.206165513263413 59.51255005033581, 10.207272531845248 59.511871986338335, 10.207915142246833 59.511447619693506, 10.2081758931982 59.511269193023324, 10.210614500919661 59.50930239684234, 10.210659588824441 59.50925907536778, 10.210745353415438 59.50917856715412, 10.212001302965911 59.507824096281695, 10.212159895883858 59.50764191479704)</t>
  </si>
  <si>
    <t>[969575, 969583, 969591, 969599, 969607, 969615, 969623, 969633]</t>
  </si>
  <si>
    <t>[931490, 932888, 932893, 932900, 932907, 932913, 932919, 932927]</t>
  </si>
  <si>
    <t>0.007330822049644766</t>
  </si>
  <si>
    <t>[931489, 931490, 932888, 932893, 932900, 932907, 932913, 932919]</t>
  </si>
  <si>
    <t>[0.025, 0.019, 0.018, 0.021, 0.035, 0.033, 0.014, 0.021]</t>
  </si>
  <si>
    <t>646.7509118413799</t>
  </si>
  <si>
    <t>[0.074, -0.106, -0.104, -0.027, -0.05, -0.0, -0.018, -0.013, 0.054, 0.274, 0.028, -0.045, 0.125, 0.137, 0.023, -0.115, -0.161, -0.192, 0.023, -0.056, -0.068, -0.084, -0.113, -0.133, -0.063, -0.049]</t>
  </si>
  <si>
    <t>[0, 0, 0, 0, 1, 0, 1, 0, 1, 0, 0, 0, 1, 0, 0, 0, 0, 0, 0, 0, 0, 0, 0, 0, 0, 0]</t>
  </si>
  <si>
    <t>LINESTRING (10.181267100403478 59.5698693172693, 10.178918386900087 59.5640894900406, 10.177093735980305 59.55615475801245, 10.177334079601739 59.555715921112984, 10.18007363331519 59.55173196786296, 10.180099332870466 59.55167624524057, 10.177575677625883 59.540892944312844, 10.177639555987506 59.54022424530956, 10.180149254030296 59.535870475610736, 10.182178487627713 59.53407882152094, 10.182606248689622 59.533713200217825, 10.187554882150677 59.52795721553558, 10.190806874741357 59.523606564096035, 10.191126002890881 59.52324372753823, 10.191927474794635 59.52238353913769, 10.198702534752517 59.51699363744124, 10.199483468945584 59.51648186104594, 10.19966846913103 59.516363630413785, 10.200220900523469 59.51601325033781, 10.20337892770195 59.51412258833941, 10.203521576995536 59.514040576563204, 10.203771030579613 59.51389845216593, 10.204257750034552 59.51362667145794, 10.204924912602495 59.5132549426941, 10.205444257466477 59.512965565530735, 10.20581539498004 59.5127531211001, 10.206165513263413 59.51255005033581)</t>
  </si>
  <si>
    <t>[969264, 969265, 969340, 969346, 969362, 969369, 969370, 969371, 969375, 969401, 969418, 969419, 969450, 969457, 969464, 969472, 969489, 969499, 969508, 969518, 969519, 969526, 969534, 969558, 969566, 969574]</t>
  </si>
  <si>
    <t>[932632, 932633, 932706, 932711, 932726, 932733, 932734, 932735, 932737, 932759, 932768, 932769, 932783, 932787, 932791, 932797, 932806, 932814, 932822, 932831, 932832, 932839, 932847, 932871, 932877, 931489]</t>
  </si>
  <si>
    <t>[932621, 932632, 932633, 932706, 932711, 932726, 932733, 932734, 932735, 932737, 932759, 932768, 932769, 932783, 932787, 932791, 932797, 932806, 932814, 932822, 932831, 932832, 932839, 932847, 932871, 932877]</t>
  </si>
  <si>
    <t>[0.074, 0.106, 0.104, 0.027, 0.05, 0.0, 0.018, 0.013, 0.054, 0.274, 0.028, 0.045, 0.125, 0.137, 0.023, 0.115, 0.161, 0.192, 0.023, 0.056, 0.068, 0.084, 0.113, 0.133, 0.063, 0.049]</t>
  </si>
  <si>
    <t>6912.363594147257</t>
  </si>
  <si>
    <t>689.7225316746828</t>
  </si>
  <si>
    <t>[-0.001, 0.007]</t>
  </si>
  <si>
    <t>LINESTRING (10.339322562763401 59.28992366717006, 10.338771766776064 59.289751899198706, 10.327749892010514 59.28716042535725)</t>
  </si>
  <si>
    <t>[968607, 968615]</t>
  </si>
  <si>
    <t>[932105, 932109]</t>
  </si>
  <si>
    <t>0.006596648784261404</t>
  </si>
  <si>
    <t>[931902, 932105]</t>
  </si>
  <si>
    <t>729.4905533759652</t>
  </si>
  <si>
    <t>[-0.004, 0.019, 0.008, 0.003]</t>
  </si>
  <si>
    <t>LINESTRING (10.327657826643579 59.287286628564146, 10.318625395733735 59.285272338900995, 10.317379304485996 59.28490168789719, 10.313658658154665 59.28329160355413, 10.312500437441418 59.28255691777041)</t>
  </si>
  <si>
    <t>[976411, 976421, 976429, 976430]</t>
  </si>
  <si>
    <t>[938401, 938409, 938418, 932272]</t>
  </si>
  <si>
    <t>0.0018073197666466922</t>
  </si>
  <si>
    <t>[932076, 938401, 938409, 938418]</t>
  </si>
  <si>
    <t>[0.004, 0.019, 0.008, 0.003]</t>
  </si>
  <si>
    <t>1028.317021826275</t>
  </si>
  <si>
    <t>[0.004, 0.006]</t>
  </si>
  <si>
    <t>LINESTRING (10.327749892010514 59.28716042535725, 10.328572144092375 59.287287087780015, 10.331944683954964 59.28781011302441)</t>
  </si>
  <si>
    <t>[968652, 976354]</t>
  </si>
  <si>
    <t>[932135, 938346]</t>
  </si>
  <si>
    <t>0.005610140150614607</t>
  </si>
  <si>
    <t>[932109, 932135]</t>
  </si>
  <si>
    <t>251.19783622957482</t>
  </si>
  <si>
    <t>[-0.004, 0.021, 0.009]</t>
  </si>
  <si>
    <t>LINESTRING (10.327749892010514 59.28716042535725, 10.318793879466877 59.2851651113867, 10.317550103121862 59.28479656015561, 10.313855751314042 59.28320464458761)</t>
  </si>
  <si>
    <t>[976512, 976520, 976527]</t>
  </si>
  <si>
    <t>[938488, 938495, 932283]</t>
  </si>
  <si>
    <t>0.002160794577031784</t>
  </si>
  <si>
    <t>[932109, 938488, 938495]</t>
  </si>
  <si>
    <t>[0.004, 0.021, 0.009]</t>
  </si>
  <si>
    <t>915.5439457392672</t>
  </si>
  <si>
    <t>[0.002, 0.036, 0.059, 0.044, -0.033, -0.06, -0.076]</t>
  </si>
  <si>
    <t>LINESTRING (8.70398879182514 58.44733235308814, 8.70402319143578 58.44725740639901, 8.704117979676877 58.44721452602383, 8.704218595291703 58.447202373544556, 8.70442087713468 58.44737625509095, 8.704351583801301 58.44742066244125, 8.704215329616199 58.44744186586487, 8.704102970838152 58.44742849255923)</t>
  </si>
  <si>
    <t>[968670, 968671, 968679, 968680, 968703, 968716, 968646]</t>
  </si>
  <si>
    <t>[932147, 932148, 932151, 932152, 932173, 932131, 932132]</t>
  </si>
  <si>
    <t>0.008420861211018399</t>
  </si>
  <si>
    <t>[932143, 932147, 932148, 932151, 932152, 932173, 932131]</t>
  </si>
  <si>
    <t>[0.002, 0.036, 0.059, 0.044, 0.033, 0.06, 0.076]</t>
  </si>
  <si>
    <t>70.1075393179066</t>
  </si>
  <si>
    <t>[0.009, 0.054]</t>
  </si>
  <si>
    <t>LINESTRING (8.70373512655987 58.44754077036339, 8.704043681401462 58.44744614026421, 8.704102970838152 58.44742849255923)</t>
  </si>
  <si>
    <t>[968751, 968752]</t>
  </si>
  <si>
    <t>[932214, 932132]</t>
  </si>
  <si>
    <t>0.016207895183709388</t>
  </si>
  <si>
    <t>[932197, 932214]</t>
  </si>
  <si>
    <t>24.88658170452464</t>
  </si>
  <si>
    <t>[-0.005, -0.007]</t>
  </si>
  <si>
    <t>LINESTRING (10.312126933604912 59.281208472595765, 10.312081224308885 59.28111603136466, 10.312161547278906 59.28102470972526)</t>
  </si>
  <si>
    <t>[968667, 968675]</t>
  </si>
  <si>
    <t>[932145, 932150]</t>
  </si>
  <si>
    <t>[932142, 932145]</t>
  </si>
  <si>
    <t>[0.005, 0.007]</t>
  </si>
  <si>
    <t>21.78902682941959</t>
  </si>
  <si>
    <t>[-0.001, 0.001]</t>
  </si>
  <si>
    <t>LINESTRING (10.312126933604912 59.281208472595765, 10.312027464749235 59.28117440130763, 10.311669351237871 59.28109973329744)</t>
  </si>
  <si>
    <t>[968878, 968885]</t>
  </si>
  <si>
    <t>[932309, 932313]</t>
  </si>
  <si>
    <t>0.0005304057041698618</t>
  </si>
  <si>
    <t>[932142, 932309]</t>
  </si>
  <si>
    <t>29.074561552123118</t>
  </si>
  <si>
    <t>[0.001, 0.004, 0.005, 0.003]</t>
  </si>
  <si>
    <t>LINESTRING (10.312556253891826 59.28101620034906, 10.312605928615536 59.281044643392164, 10.312653276788593 59.28113833981448, 10.312586692992689 59.281221675338784, 10.312126933604912 59.281208472595765)</t>
  </si>
  <si>
    <t>[968698, 968699, 968706, 968660]</t>
  </si>
  <si>
    <t>[932170, 932171, 932141, 932142]</t>
  </si>
  <si>
    <t>0.003405420710981854</t>
  </si>
  <si>
    <t>[932162, 932170, 932171, 932141]</t>
  </si>
  <si>
    <t>55.13214489235374</t>
  </si>
  <si>
    <t>[-0.016, 0.028]</t>
  </si>
  <si>
    <t>LINESTRING (8.70373512655987 58.44754077036339, 8.703928554668419 58.447378179260824, 8.70398879182514 58.44733235308814)</t>
  </si>
  <si>
    <t>[968731, 968742]</t>
  </si>
  <si>
    <t>[932198, 932143]</t>
  </si>
  <si>
    <t>[932197, 932198]</t>
  </si>
  <si>
    <t>[0.016, 0.028]</t>
  </si>
  <si>
    <t>27.577280411164878</t>
  </si>
  <si>
    <t>5.132425937302815</t>
  </si>
  <si>
    <t>LINESTRING (10.312161547278906 59.28102470972526, 10.312041877054739 59.28105575073356, 10.311669351237871 59.28109973329744)</t>
  </si>
  <si>
    <t>[968941, 968948]</t>
  </si>
  <si>
    <t>[932366, 932313]</t>
  </si>
  <si>
    <t>0.004519542084430192</t>
  </si>
  <si>
    <t>[932150, 932366]</t>
  </si>
  <si>
    <t>29.456427789406042</t>
  </si>
  <si>
    <t>19.331007606317904</t>
  </si>
  <si>
    <t>[-0.006, 0.001, 0.012]</t>
  </si>
  <si>
    <t>LINESTRING (10.312234097421781 59.28099746457002, 10.312277474110973 59.28094734590585, 10.313373759044746 59.28286935558393, 10.313855751314042 59.28320464458761)</t>
  </si>
  <si>
    <t>[968845, 968853, 968840]</t>
  </si>
  <si>
    <t>[932287, 932282, 932283]</t>
  </si>
  <si>
    <t>0.0019005395228481779</t>
  </si>
  <si>
    <t>[932154, 932287, 932282]</t>
  </si>
  <si>
    <t>[0.006, 0.001, 0.012]</t>
  </si>
  <si>
    <t>519.1602626850912</t>
  </si>
  <si>
    <t>[-0.011, -0.01, -0.006, 0.015, 0.007, 0.004]</t>
  </si>
  <si>
    <t>LINESTRING (10.307867785575997 59.27829079087354, 10.30831849170731 59.27864513971285, 10.309009494446641 59.27924695296166, 10.309316399113756 59.27952604679258, 10.309549073073756 59.27972627534928, 10.312508985889705 59.28095867436492, 10.312556253891826 59.28101620034906)</t>
  </si>
  <si>
    <t>[969093, 969109, 969117, 969121, 969125, 969126]</t>
  </si>
  <si>
    <t>[932480, 932494, 932500, 932503, 932506, 932162]</t>
  </si>
  <si>
    <t>0.001400512218524085</t>
  </si>
  <si>
    <t>[932479, 932480, 932494, 932500, 932503, 932506]</t>
  </si>
  <si>
    <t>[0.011, 0.01, 0.006, 0.015, 0.007, 0.004]</t>
  </si>
  <si>
    <t>437.2533807696846</t>
  </si>
  <si>
    <t>[0.014, 0.002, -0.007, -0.015, -0.016]</t>
  </si>
  <si>
    <t>LINESTRING (10.307761353402585 59.28104062291399, 10.307533046450304 59.28108533977029, 10.307324216050292 59.28102654688233, 10.307265430694141 59.280926543612864, 10.307345174075431 59.28083760531818, 10.307430653436555 59.280805342890325)</t>
  </si>
  <si>
    <t>[968707, 968717, 968718, 968730, 968739]</t>
  </si>
  <si>
    <t>[932177, 932186, 932187, 932196, 932204]</t>
  </si>
  <si>
    <t>[932176, 932177, 932186, 932187, 932196]</t>
  </si>
  <si>
    <t>[0.014, 0.002, 0.007, 0.015, 0.016]</t>
  </si>
  <si>
    <t>56.968710156244015</t>
  </si>
  <si>
    <t>[0.011, 0.017]</t>
  </si>
  <si>
    <t>LINESTRING (10.307796031651577 59.28085541484266, 10.307842665640127 59.280949222469715, 10.307761353402585 59.28104062291399)</t>
  </si>
  <si>
    <t>[968769, 968793]</t>
  </si>
  <si>
    <t>[932228, 932176]</t>
  </si>
  <si>
    <t>0.014055227194652029</t>
  </si>
  <si>
    <t>[932219, 932228]</t>
  </si>
  <si>
    <t>21.980920814530172</t>
  </si>
  <si>
    <t>[0.002, 0.015]</t>
  </si>
  <si>
    <t>LINESTRING (10.308256645625042 59.28096551888863, 10.307883713652675 59.281011391886125, 10.307761353402585 59.28104062291399)</t>
  </si>
  <si>
    <t>[968949, 968958]</t>
  </si>
  <si>
    <t>[932371, 932176]</t>
  </si>
  <si>
    <t>0.005385090771458107</t>
  </si>
  <si>
    <t>[932365, 932371]</t>
  </si>
  <si>
    <t>29.57705664522441</t>
  </si>
  <si>
    <t>17.76223119718985</t>
  </si>
  <si>
    <t>[-0.018, -0.015, -0.012, 0.001, 0.014, 0.116]</t>
  </si>
  <si>
    <t>LINESTRING (10.307430653436555 59.280805342890325, 10.30747674007675 59.28075741929627, 10.308360699886006 59.279893347416134, 10.308463557853239 59.27962535805351, 10.308353061993273 59.279301732933995, 10.305837567161454 59.27669558551664, 10.305580802117118 59.276360943282185)</t>
  </si>
  <si>
    <t>[976583, 976607, 976615, 976623, 976631, 976640]</t>
  </si>
  <si>
    <t>[938545, 938558, 938564, 938571, 938577, 938470]</t>
  </si>
  <si>
    <t>0.01283789528253129</t>
  </si>
  <si>
    <t>[932204, 938545, 938558, 938564, 938571, 938577]</t>
  </si>
  <si>
    <t>[0.018, 0.015, 0.012, 0.001, 0.014, 0.116]</t>
  </si>
  <si>
    <t>550.3889196552614</t>
  </si>
  <si>
    <t>5.581704488274885</t>
  </si>
  <si>
    <t>[0.001, -0.003, 0.01]</t>
  </si>
  <si>
    <t>LINESTRING (10.312500437441418 59.28255691777041, 10.311999837646935 59.282241126999644, 10.307689607755137 59.28076423343333, 10.307729354460117 59.280818755395714)</t>
  </si>
  <si>
    <t>[968827, 968810, 968819]</t>
  </si>
  <si>
    <t>[932258, 932259, 932208]</t>
  </si>
  <si>
    <t>[932272, 932258, 932259]</t>
  </si>
  <si>
    <t>[0.001, 0.003, 0.01]</t>
  </si>
  <si>
    <t>467.8102173159602</t>
  </si>
  <si>
    <t>[-0.008, 0.005]</t>
  </si>
  <si>
    <t>LINESTRING (10.308256645625042 59.28096551888863, 10.307887580553205 59.2808837887142, 10.307796031651577 59.28085541484266)</t>
  </si>
  <si>
    <t>[968966, 968983]</t>
  </si>
  <si>
    <t>[932386, 932219]</t>
  </si>
  <si>
    <t>[932365, 932386]</t>
  </si>
  <si>
    <t>[0.008, 0.005]</t>
  </si>
  <si>
    <t>29.039894975875136</t>
  </si>
  <si>
    <t>[-0.007, -0.015, -0.0, 0.014, 0.03]</t>
  </si>
  <si>
    <t>LINESTRING (10.312500437441418 59.28255691777041, 10.309228166347022 59.27979280164633, 10.309010321434641 59.27960052843176, 10.308683368421935 59.279311202645644, 10.307634705553246 59.278353180626894, 10.305580802117118 59.276360943282185)</t>
  </si>
  <si>
    <t>[976437, 976457, 976465, 976487, 976488]</t>
  </si>
  <si>
    <t>[938426, 938446, 938452, 938469, 938470]</t>
  </si>
  <si>
    <t>0.007981921893013258</t>
  </si>
  <si>
    <t>[932272, 938426, 938446, 938452, 938469]</t>
  </si>
  <si>
    <t>[0.007, 0.015, 0.0, 0.014, 0.03]</t>
  </si>
  <si>
    <t>795.7704640376726</t>
  </si>
  <si>
    <t>[-0.001, -0.007, -0.015, 0.004, 0.011]</t>
  </si>
  <si>
    <t>LINESTRING (10.313855751314042 59.28320464458761, 10.312711973203022 59.28248224655508, 10.309461532864544 59.27975312182619, 10.309234299023075 59.279548367266344, 10.308925873581424 59.27926794108251, 10.307867785575997 59.27829079087354)</t>
  </si>
  <si>
    <t>[976535, 976543, 976551, 976559, 976571]</t>
  </si>
  <si>
    <t>[938504, 938513, 938519, 938529, 932479]</t>
  </si>
  <si>
    <t>[932283, 938504, 938513, 938519, 938529]</t>
  </si>
  <si>
    <t>[0.001, 0.007, 0.015, 0.004, 0.011]</t>
  </si>
  <si>
    <t>646.6427038856635</t>
  </si>
  <si>
    <t>[0.002, 0.001, -0.003]</t>
  </si>
  <si>
    <t>LINESTRING (10.311669351237871 59.28109973329744, 10.311291519986643 59.28108487805299, 10.310329233377292 59.28104704205739, 10.308256645625042 59.28096551888863)</t>
  </si>
  <si>
    <t>[968901, 968909, 968940]</t>
  </si>
  <si>
    <t>[932328, 932335, 932365]</t>
  </si>
  <si>
    <t>[932313, 932328, 932335]</t>
  </si>
  <si>
    <t>[0.002, 0.001, 0.003]</t>
  </si>
  <si>
    <t>195.21186246826625</t>
  </si>
  <si>
    <t>[-0.085, -0.041, -0.023, 0.029, 0.022, 0.029]</t>
  </si>
  <si>
    <t>LINESTRING (13.209798120784669 65.84047220282731, 13.208345748067194 65.84099047673993, 13.208144950911683 65.84104305367431, 13.208064095934397 65.84106423067614, 13.207252652530114 65.84128064037722, 13.20710640425668 65.84132078708527, 13.206350414672123 65.84163915657192)</t>
  </si>
  <si>
    <t>[968918, 968919, 968928, 968929, 968947, 968950]</t>
  </si>
  <si>
    <t>[932345, 932346, 932355, 932356, 932370, 932372]</t>
  </si>
  <si>
    <t>[932344, 932345, 932346, 932355, 932356, 932370]</t>
  </si>
  <si>
    <t>[0.085, 0.041, 0.023, 0.029, 0.022, 0.029]</t>
  </si>
  <si>
    <t>206.2167737025738</t>
  </si>
  <si>
    <t>[-0.074, -0.028, 0.033, 0.023, 0.013]</t>
  </si>
  <si>
    <t>LINESTRING (13.209798120784669 65.84047220282731, 13.208464007135662 65.8410662599236, 13.20826278439744 65.8411186525447, 13.208181390870697 65.84113969766555, 13.207361052933352 65.84134479451986, 13.206350414672123 65.84163915657192)</t>
  </si>
  <si>
    <t>[968957, 968972, 968977, 968985, 968994]</t>
  </si>
  <si>
    <t>[932379, 932390, 932395, 932401, 932372]</t>
  </si>
  <si>
    <t>[932344, 932379, 932390, 932395, 932401]</t>
  </si>
  <si>
    <t>[0.074, 0.028, 0.033, 0.023, 0.013]</t>
  </si>
  <si>
    <t>206.99658929246382</t>
  </si>
  <si>
    <t>[0.035, 0.006, 0.029, 0.009, -0.005, -0.004, -0.01]</t>
  </si>
  <si>
    <t>36827.0</t>
  </si>
  <si>
    <t>LINESTRING (10.307867785575997 59.27829079087354, 10.305814434809644 59.27630135677706, 10.299027847465343 59.26132575149845, 10.29066289531579 59.25284242498165, 10.289877587442133 59.25209401019551, 10.289537596749938 59.251769981547724, 10.28359573579622 59.24610725930625, 10.27700584569267 59.240429389911256)</t>
  </si>
  <si>
    <t>[976575, 976835, 977215, 977221, 977222, 977235, 977406]</t>
  </si>
  <si>
    <t>[938540, 938754, 939050, 939056, 938809, 938847, 938857]</t>
  </si>
  <si>
    <t>0.008711898421694283</t>
  </si>
  <si>
    <t>[932479, 938540, 938754, 939050, 939056, 938809, 938847]</t>
  </si>
  <si>
    <t>[0.035, 0.006, 0.029, 0.009, 0.005, 0.004, 0.01]</t>
  </si>
  <si>
    <t>4620.022477339355</t>
  </si>
  <si>
    <t>63.3781340506519</t>
  </si>
  <si>
    <t>[0.019, 0.021, 0.025, 0.021, 0.015, 0.011, 0.034, 0.007, 0.001]</t>
  </si>
  <si>
    <t>[0, 0, 0, 0, 1, 1, 1, 0, 0]</t>
  </si>
  <si>
    <t>LINESTRING (8.566271854493417 58.34182692577638, 8.566342536173266 58.34175107663723, 8.56641721156912 58.341643399421265, 8.566306652927516 58.341428528087526, 8.56610059562457 58.34132468720623, 8.565677981352454 58.34116384324867, 8.56558307751288 58.34112672593009, 8.565574220327546 58.341123261428464, 8.564344055150588 58.3406540336801, 8.564044060255132 58.34051498400644)</t>
  </si>
  <si>
    <t>[969168, 969179, 969180, 969194, 969202, 1120788, 1120796, 1120803, 2047835]</t>
  </si>
  <si>
    <t>[932542, 932554, 932555, 932568, 932576, 1059711, 1059717, 1059729, 1059644]</t>
  </si>
  <si>
    <t>0.01226235221982214</t>
  </si>
  <si>
    <t>[932541, 932542, 932554, 932555, 932568, 932576, 1059711, 1059717, 1059729]</t>
  </si>
  <si>
    <t>215.03781895456004</t>
  </si>
  <si>
    <t>[-0.036, 0.003, 0.006]</t>
  </si>
  <si>
    <t>LINESTRING (8.56932798602575 58.34241211969472, 8.568952148376917 58.34231030237807, 8.567534448491527 58.34184587829449, 8.566271854493417 58.34182692577638)</t>
  </si>
  <si>
    <t>[2133836, 1240686, 1240687]</t>
  </si>
  <si>
    <t>[1161268, 1161269, 932541]</t>
  </si>
  <si>
    <t>[1834993, 1161268, 1161269]</t>
  </si>
  <si>
    <t>[0.036, 0.003, 0.006]</t>
  </si>
  <si>
    <t>200.89442850672643</t>
  </si>
  <si>
    <t>[0.029, 0.086, 0.098, 0.131, 0.214]</t>
  </si>
  <si>
    <t>LINESTRING (10.178607319732123 59.577786994421764, 10.180593411573648 59.57402642354883, 10.180633878708788 59.57391727285242, 10.18116990141331 59.57196588382686, 10.18122312737552 59.571500356894305, 10.181267100403478 59.5698693172693)</t>
  </si>
  <si>
    <t>[1243952, 969220, 969236, 969242, 969250]</t>
  </si>
  <si>
    <t>[932592, 932593, 932608, 932613, 932621]</t>
  </si>
  <si>
    <t>0.08989974314255694</t>
  </si>
  <si>
    <t>[1148954, 932592, 932593, 932608, 932613]</t>
  </si>
  <si>
    <t>899.999222277738</t>
  </si>
  <si>
    <t>[0.006, -0.016, -0.015, 0.042, 0.077, 0.003, -0.041, 0.093, 0.019, 0.01, -0.041, -0.006, 0.024, 0.002, 0.018, -0.02, -0.037, -0.024, 0.002, 0.014]</t>
  </si>
  <si>
    <t>24365.0</t>
  </si>
  <si>
    <t>[0, 0, 0, 0, 0, 0, 0, 0, 0, 0, 0, 0, 1, 0, 1, 0, 1, 0, 1, 0]</t>
  </si>
  <si>
    <t>LINESTRING (10.212159895883858 59.50764191479704, 10.214674573149392 59.50449947494502, 10.216990471533453 59.502044139211, 10.217084384959668 59.50195583062611, 10.222479516962682 59.49739509713691, 10.223076796065811 59.49689878178603, 10.234359329056755 59.48866258663166, 10.2400340788359 59.485233719931344, 10.240118839498217 59.485191090877706, 10.245931617480267 59.48306174475471, 10.263925254080508 59.47482390936624, 10.264681890646875 59.474588623062424, 10.27704208207676 59.472743210338656, 10.277129266124476 59.472739171556825, 10.283279672043426 59.4725713657713, 10.28335265940067 59.472567708920664, 10.292719095066023 59.4716342396009, 10.29345815749781 59.47151879527338, 10.297598851856566 59.470827148559295, 10.301270836738468 59.47025071029334, 10.30992967174744 59.46919789082443)</t>
  </si>
  <si>
    <t>[969648, 969656, 969664, 969665, 969680, 969688, 969704, 969705, 969712, 969720, 969721, 969728, 969729, 969736, 969744, 969745, 969752, 969760, 969768, 969776]</t>
  </si>
  <si>
    <t>[932938, 932943, 932952, 932953, 932958, 932965, 932981, 932982, 932987, 932993, 932994, 933001, 933002, 933011, 933013, 933014, 933019, 933027, 933034, 933039]</t>
  </si>
  <si>
    <t>0.0021011712242254487</t>
  </si>
  <si>
    <t>[932927, 932938, 932943, 932952, 932953, 932958, 932965, 932981, 932982, 932987, 932993, 932994, 933001, 933002, 933011, 933013, 933014, 933019, 933027, 933034]</t>
  </si>
  <si>
    <t>[0.006, 0.016, 0.015, 0.042, 0.077, 0.003, 0.041, 0.093, 0.019, 0.01, 0.041, 0.006, 0.024, 0.002, 0.018, 0.02, 0.037, 0.024, 0.002, 0.014]</t>
  </si>
  <si>
    <t>7466.72073901293</t>
  </si>
  <si>
    <t>[0.016, -0.012, -0.042, -0.042, -0.011]</t>
  </si>
  <si>
    <t>LINESTRING (10.30992967174744 59.46919789082443, 10.312712598426579 59.46889159832513, 10.314364915305562 59.46870970118893, 10.314548029054164 59.46868929609684, 10.314675380913066 59.46867588210246, 10.32079413228977 59.46800149563039)</t>
  </si>
  <si>
    <t>[969784, 969815, 969823, 969824, 969853]</t>
  </si>
  <si>
    <t>[933046, 933075, 933083, 933084, 933110]</t>
  </si>
  <si>
    <t>[933039, 933046, 933075, 933083, 933084]</t>
  </si>
  <si>
    <t>[0.016, 0.012, 0.042, 0.042, 0.011]</t>
  </si>
  <si>
    <t>630.4803506211122</t>
  </si>
  <si>
    <t>[-0.048, -0.087, -0.093, -0.045, -0.003, -0.016, -0.003, 0.042, 0.058, -0.033, -0.239, -0.245, -0.031, 0.037, 0.01]</t>
  </si>
  <si>
    <t>[0, 0, 0, 0, 0, 1, 0, 0, 0, 0, 0, 1, 1, 0, 0]</t>
  </si>
  <si>
    <t>LINESTRING (10.32079413228977 59.46800149563039, 10.324232528143023 59.46762246963801, 10.32551453050014 59.46748089009921, 10.325749624108438 59.46745513703018, 10.329016493467117 59.467015422991324, 10.33261978035825 59.466225192276895, 10.33268041222089 59.46620847380221, 10.343746326625237 59.459443668280315, 10.344041995755418 59.45901881576403, 10.344316995315543 59.45861670913077, 10.348379454845288 59.45423390519316, 10.348686667774386 59.454029899283405, 10.348947340969694 59.45386249465902, 10.355451060371859 59.44989168999391, 10.357229392467712 59.447285055856845, 10.35797793483213 59.44519041018497)</t>
  </si>
  <si>
    <t>[969854, 969862, 969891, 969899, 969907, 969915, 969923, 969946, 969954, 969962, 969970, 969971, 969978, 969986, 969994]</t>
  </si>
  <si>
    <t>[933111, 933120, 933142, 933151, 933159, 933168, 933176, 933193, 933199, 933203, 933209, 933210, 933216, 933223, 933231]</t>
  </si>
  <si>
    <t>[933110, 933111, 933120, 933142, 933151, 933159, 933168, 933176, 933193, 933199, 933203, 933209, 933210, 933216, 933223]</t>
  </si>
  <si>
    <t>[0.048, 0.087, 0.093, 0.045, 0.003, 0.016, 0.003, 0.042, 0.058, 0.033, 0.239, 0.245, 0.031, 0.037, 0.01]</t>
  </si>
  <si>
    <t>3528.2780841141775</t>
  </si>
  <si>
    <t>[0.011, 0.004, 0.013, 0.018, 0.021, 0.015, 0.012, -0.0, -0.004, 0.006, 0.032]</t>
  </si>
  <si>
    <t>[0, 1, 0, 0, 0, 0, 0, 0, 1, 0, 0]</t>
  </si>
  <si>
    <t>LINESTRING (10.35797793483213 59.44519041018497, 10.358096106529583 59.44490859868254, 10.358114799927614 59.44486249385019, 10.358168790709806 59.44473939528396, 10.358950720201195 59.4432247102096, 10.360196255916028 59.441171701148285, 10.361864073617618 59.43801730169854, 10.363346394471906 59.43424536089747, 10.363938658965964 59.43213055554988, 10.3640774377301 59.43153017650103, 10.364322869090662 59.43027580289799, 10.36466589137166 59.4274290264881)</t>
  </si>
  <si>
    <t>[970002, 970013, 970016, 970039, 970040, 970047, 970048, 970050, 970056, 970064, 970079]</t>
  </si>
  <si>
    <t>[933236, 933250, 933254, 933276, 933277, 933281, 933282, 933283, 933287, 933291, 933302]</t>
  </si>
  <si>
    <t>0.014875518398447104</t>
  </si>
  <si>
    <t>[933231, 933236, 933250, 933254, 933276, 933277, 933281, 933282, 933283, 933287, 933291]</t>
  </si>
  <si>
    <t>[0.011, 0.004, 0.013, 0.018, 0.021, 0.015, 0.012, 0.0, 0.004, 0.006, 0.032]</t>
  </si>
  <si>
    <t>2022.329372564349</t>
  </si>
  <si>
    <t>[-0.009, 0.025, 0.031, 0.024, 0.023, 0.016, 0.006, 0.014]</t>
  </si>
  <si>
    <t>LINESTRING (18.94654393216248 69.62504383693592, 18.947465795365968 69.62578276237019, 18.94831330267028 69.62637321486856, 18.9484758833198 69.62647991508199, 18.948586526872074 69.62655782527771, 18.948627474628676 69.62658588370725, 18.950326228786807 69.62770795643004, 18.950497655527208 69.62782204692839, 18.950685371953476 69.62790944738998)</t>
  </si>
  <si>
    <t>[972492, 972500, 972501, 972506, 972518, 972519, 972548, 972556]</t>
  </si>
  <si>
    <t>[935247, 935251, 935252, 935258, 935269, 935270, 935291, 935300]</t>
  </si>
  <si>
    <t>0.011953871408513637</t>
  </si>
  <si>
    <t>[935246, 935247, 935251, 935252, 935258, 935269, 935270, 935291]</t>
  </si>
  <si>
    <t>[0.009, 0.025, 0.031, 0.024, 0.023, 0.016, 0.006, 0.014]</t>
  </si>
  <si>
    <t>358.3225491672967</t>
  </si>
  <si>
    <t>[0.002, -0.02, 0.023, 0.029, 0.024, 0.022, 0.014, -0.002]</t>
  </si>
  <si>
    <t>LINESTRING (18.94654393216248 69.62504383693592, 18.94750688989451 69.62567983456546, 18.94762328686581 69.62575739094764, 18.948471834217404 69.62634578897254, 18.948628133015816 69.626454202838, 18.9487361579405 69.6265291175067, 18.948777268513954 69.62655777414531, 18.950424532870617 69.62769482393175, 18.950685371953476 69.62790944738998)</t>
  </si>
  <si>
    <t>[972570, 972578, 972586, 972594, 972595, 972624, 972632, 972640]</t>
  </si>
  <si>
    <t>[935316, 935322, 935329, 935337, 935338, 935364, 935368, 935300]</t>
  </si>
  <si>
    <t>0.01197190554281242</t>
  </si>
  <si>
    <t>[935246, 935316, 935322, 935329, 935337, 935338, 935364, 935368]</t>
  </si>
  <si>
    <t>[0.002, 0.02, 0.023, 0.029, 0.024, 0.022, 0.014, 0.002]</t>
  </si>
  <si>
    <t>358.12744052763395</t>
  </si>
  <si>
    <t>610.4949923434131</t>
  </si>
  <si>
    <t>[-1.45, 0.019, -0.034, 0.038, 0.009]</t>
  </si>
  <si>
    <t>LINESTRING (18.950685371953476 69.62790944738998, 18.95073811499939 69.62794530680515, 18.950749861111774 69.62795328896343, 18.951480316911375 69.62844589504185, 18.951492286377228 69.62845382720306, 18.95416586948113 69.63013417418989)</t>
  </si>
  <si>
    <t>[1190672, 1190680, 1190688, 1190696, 1190704]</t>
  </si>
  <si>
    <t>[1118645, 1118651, 1118655, 1118663, 1017306]</t>
  </si>
  <si>
    <t>[935300, 1118645, 1118651, 1118655, 1118663]</t>
  </si>
  <si>
    <t>[1.45, 0.019, 0.034, 0.038, 0.009]</t>
  </si>
  <si>
    <t>282.64421557147784</t>
  </si>
  <si>
    <t>3757.0</t>
  </si>
  <si>
    <t>LINESTRING (7.786902293820514 62.975609629952814, 7.787463578526791 62.975719191049734, 7.787540053487623 62.97573040886285)</t>
  </si>
  <si>
    <t>[973699, 973712]</t>
  </si>
  <si>
    <t>[936108, 936120]</t>
  </si>
  <si>
    <t>0.04834879192642178</t>
  </si>
  <si>
    <t>[936107, 936108]</t>
  </si>
  <si>
    <t>35.092641830186885</t>
  </si>
  <si>
    <t>[0.029, 0.021]</t>
  </si>
  <si>
    <t>LINESTRING (7.786902293820514 62.975609629952814, 7.787269633974692 62.97583645175744, 7.787313223763145 62.97586857151737)</t>
  </si>
  <si>
    <t>[973728, 973736]</t>
  </si>
  <si>
    <t>[936134, 936141]</t>
  </si>
  <si>
    <t>0.02805739245083309</t>
  </si>
  <si>
    <t>[936107, 936134]</t>
  </si>
  <si>
    <t>35.75454861900792</t>
  </si>
  <si>
    <t>3126.0</t>
  </si>
  <si>
    <t>LINESTRING (7.546122095000506 62.79572554987923, 7.786902293820514 62.975609629952814)</t>
  </si>
  <si>
    <t>8.049940620852793</t>
  </si>
  <si>
    <t>[0.026, 0.046]</t>
  </si>
  <si>
    <t>LINESTRING (7.787313223763145 62.97586857151737, 7.787393637033608 62.97578622804599, 7.787540053487623 62.97573040886285)</t>
  </si>
  <si>
    <t>[973827, 973835]</t>
  </si>
  <si>
    <t>[936197, 936120]</t>
  </si>
  <si>
    <t>0.03581963375540574</t>
  </si>
  <si>
    <t>[936141, 936197]</t>
  </si>
  <si>
    <t>19.7551438065881</t>
  </si>
  <si>
    <t>[0.005, -0.032, -0.045, -0.028]</t>
  </si>
  <si>
    <t>LINESTRING (7.7880408606216776 62.97576003680928, 7.78817136908551 62.97595217404877, 7.788079533068716 62.976035753556744, 7.7879124925740095 62.976092021418346, 7.787313223763145 62.97586857151737)</t>
  </si>
  <si>
    <t>[973777, 973779, 973803, 973826]</t>
  </si>
  <si>
    <t>[936075, 936168, 936088, 936141]</t>
  </si>
  <si>
    <t>[936166, 936075, 936168, 936088]</t>
  </si>
  <si>
    <t>[0.005, 0.032, 0.045, 0.028]</t>
  </si>
  <si>
    <t>91.8565135747931</t>
  </si>
  <si>
    <t>[0.054, 0.04]</t>
  </si>
  <si>
    <t>LINESTRING (7.78769142668162 62.97570897479944, 7.787885585596204 62.97571954676638, 7.7880408606216776 62.97576003680928)</t>
  </si>
  <si>
    <t>[973752, 973776]</t>
  </si>
  <si>
    <t>[936155, 936166]</t>
  </si>
  <si>
    <t>0.047309837674995935</t>
  </si>
  <si>
    <t>[936154, 936155]</t>
  </si>
  <si>
    <t>19.016736908253634</t>
  </si>
  <si>
    <t>[0.037, 0.039]</t>
  </si>
  <si>
    <t>3280.0</t>
  </si>
  <si>
    <t>LINESTRING (7.78769142668162 62.97570897479944, 7.787734932859662 62.975685759126904, 7.7880812904613625 62.975442135813765)</t>
  </si>
  <si>
    <t>[973853, 973854]</t>
  </si>
  <si>
    <t>[936217, 936216]</t>
  </si>
  <si>
    <t>0.03881031743459216</t>
  </si>
  <si>
    <t>[936154, 936217]</t>
  </si>
  <si>
    <t>35.90004956440742</t>
  </si>
  <si>
    <t>[0.011, 0.014]</t>
  </si>
  <si>
    <t>LINESTRING (7.7880408606216776 62.97576003680928, 7.788035265944493 62.975730542386316, 7.7880812904613625 62.975442135813765)</t>
  </si>
  <si>
    <t>[973844, 973852]</t>
  </si>
  <si>
    <t>[936209, 936216]</t>
  </si>
  <si>
    <t>0.01372216286057509</t>
  </si>
  <si>
    <t>[936166, 936209]</t>
  </si>
  <si>
    <t>35.67313473182418</t>
  </si>
  <si>
    <t>[0.012, -0.003, -0.006]</t>
  </si>
  <si>
    <t>LINESTRING (10.331944683954964 59.28781011302441, 10.332182905483204 59.28779122656439, 10.335545167265417 59.28631717167819, 10.335731632973992 59.286223313928254)</t>
  </si>
  <si>
    <t>[976398, 976400, 976402]</t>
  </si>
  <si>
    <t>[938386, 938388, 938367]</t>
  </si>
  <si>
    <t>[938346, 938386, 938388]</t>
  </si>
  <si>
    <t>[0.012, 0.003, 0.006]</t>
  </si>
  <si>
    <t>292.71396184635205</t>
  </si>
  <si>
    <t>[0.006, 0.028, 0.007, -0.004, -0.003, -0.009, 0.0]</t>
  </si>
  <si>
    <t>LINESTRING (10.305580802117118 59.276360943282185, 10.29878002564686 59.26137132701737, 10.29043127315232 59.25290762182387, 10.289646540119763 59.25215875867098, 10.289305492700652 59.25183374659603, 10.28336513048732 59.24617244374579, 10.276815637781581 59.240504261879316, 10.276244683734388 59.24008771534161)</t>
  </si>
  <si>
    <t>[976815, 977243, 977251, 977257, 977271, 977380, 977386]</t>
  </si>
  <si>
    <t>[938736, 938798, 939081, 939088, 938853, 939183, 938863]</t>
  </si>
  <si>
    <t>0.007162363570403003</t>
  </si>
  <si>
    <t>[938470, 938736, 938798, 939081, 939088, 938853, 939183]</t>
  </si>
  <si>
    <t>[0.006, 0.028, 0.007, 0.004, 0.003, 0.009, 0.0]</t>
  </si>
  <si>
    <t>4423.109932222543</t>
  </si>
  <si>
    <t>LINESTRING (10.27517829538243 59.23783522789951, 10.275012381821407 59.237793678197164, 10.27493001557221 59.23771260476034)</t>
  </si>
  <si>
    <t>[976660, 976672]</t>
  </si>
  <si>
    <t>[938602, 938613]</t>
  </si>
  <si>
    <t>[938601, 938602]</t>
  </si>
  <si>
    <t>20.73276300690743</t>
  </si>
  <si>
    <t>[-0.0, -0.033]</t>
  </si>
  <si>
    <t>LINESTRING (10.27517829538243 59.23783522789951, 10.275070603479744 59.23785440790564, 10.274727158448647 59.237945791599486)</t>
  </si>
  <si>
    <t>[977031, 977039]</t>
  </si>
  <si>
    <t>[938906, 938882]</t>
  </si>
  <si>
    <t>[938601, 938906]</t>
  </si>
  <si>
    <t>[0.0, 0.033]</t>
  </si>
  <si>
    <t>28.79177441107848</t>
  </si>
  <si>
    <t>[0.001, -0.012, -0.03, -0.03, -0.009]</t>
  </si>
  <si>
    <t>LINESTRING (10.275129047325528 59.23754448268966, 10.275249524610752 59.23753906241886, 10.27541409118589 59.23757917760732, 10.275501989599952 59.23767822599342, 10.275443217646783 59.23777763111719, 10.27517829538243 59.23783522789951)</t>
  </si>
  <si>
    <t>[976699, 976716, 976717, 976655, 976659]</t>
  </si>
  <si>
    <t>[938633, 938648, 938595, 938596, 938601]</t>
  </si>
  <si>
    <t>[938628, 938633, 938648, 938595, 938596]</t>
  </si>
  <si>
    <t>[0.001, 0.012, 0.03, 0.03, 0.009]</t>
  </si>
  <si>
    <t>58.32207083700399</t>
  </si>
  <si>
    <t>4.9612071111550735</t>
  </si>
  <si>
    <t>[-0.038, -0.04]</t>
  </si>
  <si>
    <t>LINESTRING (10.27493001557221 59.23771260476034, 10.274893120211447 59.2377705656212, 10.274727158448647 59.237945791599486)</t>
  </si>
  <si>
    <t>[976991, 976999]</t>
  </si>
  <si>
    <t>[938880, 938882]</t>
  </si>
  <si>
    <t>[938613, 938880]</t>
  </si>
  <si>
    <t>[0.038, 0.04]</t>
  </si>
  <si>
    <t>28.50266603560829</t>
  </si>
  <si>
    <t>18.763804697153763</t>
  </si>
  <si>
    <t>[0.016, -0.016, -0.001]</t>
  </si>
  <si>
    <t>LINESTRING (10.274925821256202 59.23766814310016, 10.274888507371127 59.23760868691223, 10.276629739510867 59.24010108458461, 10.27700584569267 59.240429389911256)</t>
  </si>
  <si>
    <t>[977363, 977364, 976961]</t>
  </si>
  <si>
    <t>[939174, 938856, 938857]</t>
  </si>
  <si>
    <t>[938617, 939174, 938856]</t>
  </si>
  <si>
    <t>[0.016, 0.016, 0.001]</t>
  </si>
  <si>
    <t>540.6042834247513</t>
  </si>
  <si>
    <t>[0.008, 0.003, -0.004]</t>
  </si>
  <si>
    <t>LINESTRING (10.268125263479499 59.23532865957813, 10.268738338641326 59.23558567226539, 10.275028078057185 59.23752821540529, 10.275129047325528 59.23754448268966)</t>
  </si>
  <si>
    <t>[977047, 977373, 977379]</t>
  </si>
  <si>
    <t>[938918, 939180, 938628]</t>
  </si>
  <si>
    <t>0.0033756245727615225</t>
  </si>
  <si>
    <t>[938917, 938918, 939180]</t>
  </si>
  <si>
    <t>[0.008, 0.003, 0.004]</t>
  </si>
  <si>
    <t>489.5267104444829</t>
  </si>
  <si>
    <t>[-0.02, -0.008, 0.002, 0.01]</t>
  </si>
  <si>
    <t>LINESTRING (10.273023102591146 59.239220762615744, 10.272794494691356 59.239432995710295, 10.272622395442506 59.23941410999104, 10.272495675386795 59.23934386009929, 10.272470741330075 59.239283135877464)</t>
  </si>
  <si>
    <t>[976724, 976732, 976745, 976766]</t>
  </si>
  <si>
    <t>[938656, 938666, 938680, 938693]</t>
  </si>
  <si>
    <t>[938655, 938656, 938666, 938680]</t>
  </si>
  <si>
    <t>[0.02, 0.008, 0.002, 0.01]</t>
  </si>
  <si>
    <t>58.74047970829268</t>
  </si>
  <si>
    <t>[0.016, -0.003]</t>
  </si>
  <si>
    <t>LINESTRING (10.27273102576606 59.23913530005529, 10.272899856995323 59.239152042822425, 10.273023102591146 59.239220762615744)</t>
  </si>
  <si>
    <t>[976792, 976800]</t>
  </si>
  <si>
    <t>[938715, 938655]</t>
  </si>
  <si>
    <t>0.0062267347009900215</t>
  </si>
  <si>
    <t>[938710, 938715]</t>
  </si>
  <si>
    <t>[0.016, 0.003]</t>
  </si>
  <si>
    <t>20.221491884761786</t>
  </si>
  <si>
    <t>[-0.024, -0.02]</t>
  </si>
  <si>
    <t>LINESTRING (10.273097574301536 59.238967711686364, 10.273029973151084 59.239156537013976, 10.273023102591146 59.239220762615744)</t>
  </si>
  <si>
    <t>[977055, 977063]</t>
  </si>
  <si>
    <t>[938922, 938655]</t>
  </si>
  <si>
    <t>[938901, 938922]</t>
  </si>
  <si>
    <t>[0.024, 0.02]</t>
  </si>
  <si>
    <t>28.928970116410742</t>
  </si>
  <si>
    <t>16.277705407137283</t>
  </si>
  <si>
    <t>[-0.002, 0.01, 0.005]</t>
  </si>
  <si>
    <t>LINESTRING (10.272470741330075 59.239283135877464, 10.272411851664843 59.239246604015705, 10.26705840323673 59.23501593774255, 10.266538374671677 59.23468453837725)</t>
  </si>
  <si>
    <t>[977438, 977449, 977430]</t>
  </si>
  <si>
    <t>[939212, 939206, 939195]</t>
  </si>
  <si>
    <t>0.009549360650901268</t>
  </si>
  <si>
    <t>[938693, 939212, 939206]</t>
  </si>
  <si>
    <t>[0.002, 0.01, 0.005]</t>
  </si>
  <si>
    <t>666.4898716231746</t>
  </si>
  <si>
    <t>7.793431400820184</t>
  </si>
  <si>
    <t>[0.008, -0.001, 0.015]</t>
  </si>
  <si>
    <t>LINESTRING (10.276244683734388 59.24008771534161, 10.275766618426717 59.23980262438507, 10.272511065609109 59.239154042480386, 10.272602107074658 59.23915824775517)</t>
  </si>
  <si>
    <t>[976969, 977365, 977366]</t>
  </si>
  <si>
    <t>[938864, 939175, 938704]</t>
  </si>
  <si>
    <t>[938863, 938864, 939175]</t>
  </si>
  <si>
    <t>[0.008, 0.001, 0.015]</t>
  </si>
  <si>
    <t>544.8062790697948</t>
  </si>
  <si>
    <t>LINESTRING (10.273097574301536 59.238967711686364, 10.272818024098031 59.239102073943776, 10.27273102576606 59.23913530005529)</t>
  </si>
  <si>
    <t>[977071, 977079]</t>
  </si>
  <si>
    <t>[938930, 938710]</t>
  </si>
  <si>
    <t>[938901, 938930]</t>
  </si>
  <si>
    <t>28.380674842478058</t>
  </si>
  <si>
    <t>[-0.0, 0.009]</t>
  </si>
  <si>
    <t>LINESTRING (10.27700584569267 59.240429389911256, 10.27643121749289 59.24001312433916, 10.268125263479499 59.23532865957813)</t>
  </si>
  <si>
    <t>[977407, 977414]</t>
  </si>
  <si>
    <t>[939198, 938917]</t>
  </si>
  <si>
    <t>0.00833030390228519</t>
  </si>
  <si>
    <t>[938857, 939198]</t>
  </si>
  <si>
    <t>763.6703284641987</t>
  </si>
  <si>
    <t>[0.009, -0.003]</t>
  </si>
  <si>
    <t>LINESTRING (10.276244683734388 59.24008771534161, 10.267940462475734 59.23542066192782, 10.266538374671677 59.23468453837725)</t>
  </si>
  <si>
    <t>[977390, 977398]</t>
  </si>
  <si>
    <t>[939188, 939195]</t>
  </si>
  <si>
    <t>0.007322397165402336</t>
  </si>
  <si>
    <t>[938863, 939188]</t>
  </si>
  <si>
    <t>[0.009, 0.003]</t>
  </si>
  <si>
    <t>820.1985608444857</t>
  </si>
  <si>
    <t>[-0.045, -0.045, -0.034]</t>
  </si>
  <si>
    <t>LINESTRING (10.274727158448647 59.237945791599486, 10.274236077475933 59.238224022680576, 10.273581455617906 59.238621022763695, 10.273097574301536 59.238967711686364)</t>
  </si>
  <si>
    <t>[977007, 977015, 977023]</t>
  </si>
  <si>
    <t>[938889, 938894, 938901]</t>
  </si>
  <si>
    <t>[938882, 938889, 938894]</t>
  </si>
  <si>
    <t>[0.045, 0.045, 0.034]</t>
  </si>
  <si>
    <t>147.2904973525557</t>
  </si>
  <si>
    <t>[-0.007, 0.008, 0.014, 0.07, 0.047, 0.014, -0.006]</t>
  </si>
  <si>
    <t>LINESTRING (10.268125263479499 59.23532865957813, 10.266730328381199 59.234594750710166, 10.260019629946967 59.22924321870245, 10.257865235920821 59.22786956560921, 10.256308171986708 59.226977718583164, 10.255720729898409 59.2266438967096, 10.248814998297282 59.22062451534531, 10.24554399027016 59.21308348996371)</t>
  </si>
  <si>
    <t>[977422, 977513, 977519, 977543, 977551, 977552, 977749]</t>
  </si>
  <si>
    <t>[939202, 939266, 939272, 939291, 939297, 939298, 939320]</t>
  </si>
  <si>
    <t>0.008823146882695962</t>
  </si>
  <si>
    <t>[938917, 939202, 939266, 939272, 939291, 939297, 939298]</t>
  </si>
  <si>
    <t>[0.007, 0.008, 0.014, 0.07, 0.047, 0.014, 0.006]</t>
  </si>
  <si>
    <t>2852.1237347707565</t>
  </si>
  <si>
    <t>[0.006, 0.022, 0.073, 0.071, 0.012, -0.007, 0.018]</t>
  </si>
  <si>
    <t>35630.0</t>
  </si>
  <si>
    <t>LINESTRING (10.266538374671677 59.23468453837725, 10.25994300781686 59.22940680194017, 10.25767867295091 59.22796044527439, 10.256115378879905 59.22706860218474, 10.255525900459151 59.226734534097666, 10.248563189905243 59.22066226979034, 10.245290455670181 59.21311927561829, 10.244505685124677 59.211754059922406)</t>
  </si>
  <si>
    <t>[977465, 977473, 977481, 977485, 977486, 977662, 977677]</t>
  </si>
  <si>
    <t>[939232, 939237, 939243, 939246, 939247, 939363, 939318]</t>
  </si>
  <si>
    <t>0.009783062282465825</t>
  </si>
  <si>
    <t>[939195, 939232, 939237, 939243, 939246, 939247, 939363]</t>
  </si>
  <si>
    <t>[0.006, 0.022, 0.073, 0.071, 0.012, 0.007, 0.018]</t>
  </si>
  <si>
    <t>2903.8063066667623</t>
  </si>
  <si>
    <t>LINESTRING (8.205778325503639 62.25803276571722, 8.205714113853778 62.25805168944152, 8.205488134188522 62.25812920784251, 8.205039442409678 62.25830277136362)</t>
  </si>
  <si>
    <t>[977453, 977454, 977458]</t>
  </si>
  <si>
    <t>[939219, 939220, 939223]</t>
  </si>
  <si>
    <t>[939218, 939219, 939220]</t>
  </si>
  <si>
    <t>48.87024870369663</t>
  </si>
  <si>
    <t>[-0.006, -0.005]</t>
  </si>
  <si>
    <t>LINESTRING (8.205778325503639 62.25803276571722, 8.205687969404567 62.257999755189246, 8.20563601039363 62.25795340130851)</t>
  </si>
  <si>
    <t>[999755, 999763]</t>
  </si>
  <si>
    <t>[956970, 939234]</t>
  </si>
  <si>
    <t>[939218, 956970]</t>
  </si>
  <si>
    <t>11.806423441698161</t>
  </si>
  <si>
    <t>[0.003, 0.0, -0.0, -0.001, -0.003, -0.004, -0.007]</t>
  </si>
  <si>
    <t>LINESTRING (8.206574107021446 62.25769660921573, 8.206540547740397 62.25780310716176, 8.206473260599845 62.25784161694507, 8.206411570669728 62.25787418333592, 8.206082478425095 62.258012027604885, 8.205992009463 62.25803678051432, 8.205906759415894 62.25804529741331, 8.205778325503639 62.25803276571722)</t>
  </si>
  <si>
    <t>[999699, 999707, 999715, 999723, 999731, 999739, 999747]</t>
  </si>
  <si>
    <t>[956911, 956920, 956928, 956934, 956946, 956955, 939218]</t>
  </si>
  <si>
    <t>[956910, 956911, 956920, 956928, 956934, 956946, 956955]</t>
  </si>
  <si>
    <t>[0.003, 0.0, 0.0, 0.001, 0.003, 0.004, 0.007]</t>
  </si>
  <si>
    <t>62.53264279072912</t>
  </si>
  <si>
    <t>79.1772549407953</t>
  </si>
  <si>
    <t>[0.0, -0.001, -0.002]</t>
  </si>
  <si>
    <t>LINESTRING (8.20563601039363 62.25795340130851, 8.205585164293694 62.25799443123847, 8.205405165610033 62.25809131512666, 8.205039442409678 62.25830277136362)</t>
  </si>
  <si>
    <t>[977467, 977475, 977483]</t>
  </si>
  <si>
    <t>[939235, 939238, 939223]</t>
  </si>
  <si>
    <t>[939234, 939235, 939238]</t>
  </si>
  <si>
    <t>49.89383641845737</t>
  </si>
  <si>
    <t>[0.0, 0.002, 0.004, 0.005]</t>
  </si>
  <si>
    <t>LINESTRING (8.20563601039363 62.25795340130851, 8.206112514560807 62.25764589275094, 8.206207038984948 62.25761773423275, 8.20631640008729 62.25760688752187, 8.206444790878976 62.25762302156831)</t>
  </si>
  <si>
    <t>[999771, 999779, 999787, 999795]</t>
  </si>
  <si>
    <t>[939281, 956989, 939335, 957006]</t>
  </si>
  <si>
    <t>0.0011025983637365502</t>
  </si>
  <si>
    <t>[939234, 939281, 956989, 939335]</t>
  </si>
  <si>
    <t>63.04539958673088</t>
  </si>
  <si>
    <t>LINESTRING (8.20394374376502 62.25879540798578, 8.203581059329887 62.25899531246424, 8.203276998940085 62.25909418684006)</t>
  </si>
  <si>
    <t>[977489, 977499]</t>
  </si>
  <si>
    <t>[939249, 939197]</t>
  </si>
  <si>
    <t>[939248, 939249]</t>
  </si>
  <si>
    <t>48.49383848972215</t>
  </si>
  <si>
    <t>LINESTRING (8.20394374376502 62.25879540798578, 8.203500910165806 62.25895649378085, 8.203276998940085 62.25909418684006)</t>
  </si>
  <si>
    <t>[977516, 977522]</t>
  </si>
  <si>
    <t>[939268, 939197]</t>
  </si>
  <si>
    <t>[939248, 939268]</t>
  </si>
  <si>
    <t>48.640046364082096</t>
  </si>
  <si>
    <t>1257.0</t>
  </si>
  <si>
    <t>LINESTRING (8.203276998940085 62.25909418684006, 8.003803990168796 62.401787204896316)</t>
  </si>
  <si>
    <t>19496.062317049575</t>
  </si>
  <si>
    <t>[0.0, 0.049]</t>
  </si>
  <si>
    <t>LINESTRING (7.183431898078234 58.1253972713405, 7.183431898078234 58.1253972713405, 7.183485938297938 58.12538397271007)</t>
  </si>
  <si>
    <t>[977565, 977573]</t>
  </si>
  <si>
    <t>[939311, 939314]</t>
  </si>
  <si>
    <t>0.0012305782222331299</t>
  </si>
  <si>
    <t>[939294, 939311]</t>
  </si>
  <si>
    <t>140.1501003421971</t>
  </si>
  <si>
    <t>[-1.337, 0.098, 0.014, 0.107, 0.043, -0.08, 0.07, 0.009, 0.0, -0.053, 0.044, 0.065, 0.07, 0.071, -0.027, 0.061, 0.093, 0.139, 0.069, 0.136, 0.138, 0.061, 0.049, 0.121, 0.004, -0.056, -0.065, 0.095, -0.076, -0.074, -0.073, -0.222, -0.004, -0.001, 0.013, -0.029, -0.063, -0.032, 0.089, 0.086, 0.072, -0.028, -0.015, 0.08, 0.068, 0.092, 0.017, -0.009, -0.055, -0.011, -0.008, -0.004]</t>
  </si>
  <si>
    <t>[0, 0, 0, 0, 0, 0, 0, 0, 0, 0, 0, 0, 1, 0, 0, 0, 0, 0, 0, 0, 0, 0, 0, 0, 0, 0, 0, 0, 0, 1, 0, 0, 0, 0, 0, 0, 0, 0, 0, 1, 0, 0, 0, 1, 0, 0, 0, 0, 0, 0, 0, 0]</t>
  </si>
  <si>
    <t>LINESTRING (7.183485938297938 58.12538397271007, 7.183491478005308 58.12539581399709, 7.184709383103685 58.12629280682043, 7.18478230162078 58.12632722935319, 7.184818781673512 58.12634442384548, 7.186772857103976 58.1276748141741, 7.185713071155855 58.12989164694397, 7.185732803307687 58.1299534551138, 7.186227499131432 58.13289750953189, 7.185619828209032 58.13415785285831, 7.185194734155366 58.134445697599396, 7.182694867597708 58.13538703758951, 7.182200081582279 58.13565812908303, 7.182152346496939 58.135689007524824, 7.182091938388174 58.135731731405826, 7.179701821387339 58.13684522979925, 7.177387628640011 58.13724455627996, 7.1767747121727155 58.13750519128851, 7.175952388386806 58.138097556991156, 7.175321723399355 58.13861869834919, 7.175179771062931 58.13873564851725, 7.1751705617464525 58.13874314339713, 7.1701599392021755 58.143538842702874, 7.169663391740583 58.143811804943546, 7.169408100199312 58.14395942394784, 7.158747890147335 58.149671004000176, 7.158173537309456 58.14964427459221, 7.157429083078352 58.14962183973169, 7.156091300242504 58.149660033030415, 7.155537792240419 58.14973050477092, 7.155238640238194 58.14977404997063, 7.1546226072842405 58.14986337852209, 7.1533371956172225 58.150050992107666, 7.153010744463505 58.15009821839257, 7.152379067725542 58.150188949383704, 7.148520703790587 58.15078700220594, 7.142604927046865 58.15207168212488, 7.142486343489063 58.15209994295747, 7.136764509343959 58.153464737513666, 7.13662151455114 58.15350015629409, 7.136270704724868 58.15358167538045, 7.13619436139536 58.15360038282061, 7.13239931304975 58.15450641402508, 7.1296716050165205 58.15515477421034, 7.12916626215369 58.15527502885122, 7.129041268714513 58.15530453964144, 7.128758341295406 58.15537173543319, 7.127170701723023 58.155759823051135, 7.125010757531034 58.15637296017562, 7.1146876740852925 58.158974932804234, 7.113272701248803 58.1590302931952, 7.111731054786496 58.15895517472955, 7.1068269145456675 58.15779086690385)</t>
  </si>
  <si>
    <t>[1350590, 1350598, 1350606, 1350614, 1350705, 1350713, 1350721, 1350729, 1350737, 1350745, 2162838, 2162846, 2162854, 2162862, 2162870, 1350753, 1350761, 1350770, 1350778, 1350786, 1350794, 1350802, 1350810, 1350818, 1350826, 1350834, 1350842, 1350850, 380869, 380872, 380877, 1350858, 1350866, 1350874, 1350882, 1350890, 1350898, 1350906, 1350914, 1350922, 1350930, 1350938, 1350946, 1350954, 1350962, 1350970, 1350978, 1350986, 1350994, 1351002, 1351010, 1351018]</t>
  </si>
  <si>
    <t>[1250924, 939293, 1250931, 1250936, 1251000, 1251006, 1251012, 1073613, 1251022, 886349, 1851661, 1851666, 1851669, 871396, 1251034, 1251035, 1117048, 1251047, 886024, 1251058, 1251067, 1251074, 1251078, 1107190, 1251087, 1251094, 1251098, 369960, 369961, 369962, 369969, 1251110, 1251116, 1251124, 873527, 1251131, 879516, 623048, 1251145, 1251150, 1251158, 1251165, 1251170, 1251177, 1251182, 886416, 1251195, 872478, 1251209, 1107372, 1251221, 1039413]</t>
  </si>
  <si>
    <t>0.00022168980381591637</t>
  </si>
  <si>
    <t>[939314, 1250924, 939293, 1250931, 1250936, 1251000, 1251006, 1251012, 1073613, 1251022, 886349, 1851661, 1851666, 1851669, 871396, 1251034, 1251035, 1117048, 1251047, 886024, 1251058, 1251067, 1251074, 1251078, 1107190, 1251087, 1251094, 1251098, 369960, 369961, 369962, 369969, 1251110, 1251116, 1251124, 873527, 1251131, 879516, 623048, 1251145, 1251150, 1251158, 1251165, 1251170, 1251177, 1251182, 886416, 1251195, 872478, 1251209, 1107372, 1251221]</t>
  </si>
  <si>
    <t>[1.337, 0.098, 0.014, 0.107, 0.043, 0.08, 0.07, 0.009, 0.0, 0.053, 0.044, 0.065, 0.07, 0.071, 0.027, 0.061, 0.093, 0.139, 0.069, 0.136, 0.138, 0.061, 0.049, 0.121, 0.004, 0.056, 0.065, 0.095, 0.076, 0.074, 0.073, 0.222, 0.004, 0.001, 0.013, 0.029, 0.063, 0.032, 0.089, 0.086, 0.072, 0.028, 0.015, 0.08, 0.068, 0.092, 0.017, 0.009, 0.055, 0.011, 0.008, 0.004]</t>
  </si>
  <si>
    <t>6896.938188125871</t>
  </si>
  <si>
    <t>[-0.018, -0.038, -0.04, -0.046, -0.005, -0.036, -0.052, -0.019, -0.031, -0.041, -0.083, -0.095, -0.091, -0.063, -0.087, -0.087, -0.106, -0.029, 0.006, -0.132, -0.066, 0.028, -0.027, 0.023, -0.062, -0.053, -0.046, 0.282]</t>
  </si>
  <si>
    <t>[0, 0, 0, 0, 0, 0, 0, 0, 0, 0, 0, 0, 1, 0, 0, 0, 0, 0, 0, 0, 0, 0, 0, 0, 0, 0, 0, 0]</t>
  </si>
  <si>
    <t>LINESTRING (7.218809991977438 58.10790000252839, 7.215964350462825 58.10842764703973, 7.215551913757551 58.10839852063383, 7.210599554920797 58.109408323484345, 7.210069124353375 58.10963760828075, 7.208248438585961 58.111577060776064, 7.208014453798371 58.11182264655182, 7.2077700621346885 58.112240433313424, 7.207277274863098 58.113009090969655, 7.207098696249889 58.11316423969562, 7.2070354206910805 58.11321290233971, 7.206939025429879 58.113281778104735, 7.206572752742892 58.113489589454176, 7.206496863498751 58.11352328006599, 7.201882139350448 58.113917154756116, 7.201845100369715 58.113916796408816, 7.201016677001387 58.113926672506345, 7.193857376829542 58.115232096388375, 7.192171289782507 58.11760860845248, 7.191713310263868 58.11824129093999, 7.190997785863066 58.118878693012476, 7.19071953948536 58.12029859903021, 7.190671183622218 58.12065204132413, 7.188995096254947 58.121900513417316, 7.188697589394682 58.121977004566276, 7.186593291039103 58.12237022931581, 7.18436617221538 58.12362814792716, 7.183454492672852 58.12531740088867, 7.183485938297938 58.12538397271007)</t>
  </si>
  <si>
    <t>[1141373, 1141374, 1350382, 1350390, 1350398, 1350406, 1350414, 1350422, 1350430, 1350438, 1350446, 1350454, 1350462, 1350470, 1350478, 1350486, 1350494, 1350502, 1350510, 1350518, 1350526, 1350534, 1350542, 1350550, 1350558, 1350566, 1350574, 1350582]</t>
  </si>
  <si>
    <t>[1077660, 1077661, 1077508, 1250800, 867105, 1250808, 856712, 1250817, 1250822, 648737, 1250832, 1250837, 1250843, 1250848, 1250855, 1250857, 1250862, 1250870, 1250876, 1250882, 1250887, 1250893, 1250900, 1073615, 1250908, 1250912, 1250916, 939314]</t>
  </si>
  <si>
    <t>[1077636, 1077660, 1077661, 1077508, 1250800, 867105, 1250808, 856712, 1250817, 1250822, 648737, 1250832, 1250837, 1250843, 1250848, 1250855, 1250857, 1250862, 1250870, 1250876, 1250882, 1250887, 1250893, 1250900, 1073615, 1250908, 1250912, 1250916]</t>
  </si>
  <si>
    <t>[0.018, 0.038, 0.04, 0.046, 0.005, 0.036, 0.052, 0.019, 0.031, 0.041, 0.083, 0.095, 0.091, 0.063, 0.087, 0.087, 0.106, 0.029, 0.006, 0.132, 0.066, 0.028, 0.027, 0.023, 0.062, 0.053, 0.046, 0.282]</t>
  </si>
  <si>
    <t>3258.487357511724</t>
  </si>
  <si>
    <t>[-0.011, 0.031, 0.034, 0.037, 0.037, -0.043, -0.036]</t>
  </si>
  <si>
    <t>LINESTRING (10.244505685124677 59.211754059922406, 10.240229203014596 59.208969851961555, 10.239856819644354 59.20884027151414, 10.239700553943637 59.20878817795993, 10.234830641175908 59.20730778427594, 10.23348043962124 59.20689037910793, 10.232885057383044 59.206688287800276, 10.232226332842236 59.20643845831386)</t>
  </si>
  <si>
    <t>[977685, 977693, 977701, 977709, 977717, 977725, 977733]</t>
  </si>
  <si>
    <t>[939377, 939384, 939392, 939396, 939402, 939408, 939358]</t>
  </si>
  <si>
    <t>0.009185451512925085</t>
  </si>
  <si>
    <t>[939318, 939377, 939384, 939392, 939396, 939402, 939408]</t>
  </si>
  <si>
    <t>[0.011, 0.031, 0.034, 0.037, 0.037, 0.043, 0.036]</t>
  </si>
  <si>
    <t>938.3112676680317</t>
  </si>
  <si>
    <t>[0.023, -0.011, 0.032, 0.036, 0.028]</t>
  </si>
  <si>
    <t>LINESTRING (10.24554399027016 59.21308348996371, 10.244748533717331 59.211702745644764, 10.24036268695508 59.20885240504184, 10.240010369362457 59.20873151274534, 10.239853149023595 59.20867960023386, 10.235397791793455 59.20731511807873)</t>
  </si>
  <si>
    <t>[977756, 977764, 977772, 977780, 977788]</t>
  </si>
  <si>
    <t>[939422, 939428, 939433, 939439, 939342]</t>
  </si>
  <si>
    <t>0.009577757696828983</t>
  </si>
  <si>
    <t>[939320, 939422, 939428, 939433, 939439]</t>
  </si>
  <si>
    <t>[0.023, 0.011, 0.032, 0.036, 0.028]</t>
  </si>
  <si>
    <t>902.5152733207651</t>
  </si>
  <si>
    <t>[0.077, 0.044, -0.043, -0.031, -0.006, 0.009, -0.025, -0.011, 0.038]</t>
  </si>
  <si>
    <t>LINESTRING (10.235397791793455 59.20731511807873, 10.234972963328259 59.20718566585703, 10.233633662521243 59.20676834768479, 10.233045429751222 59.20656342535797, 10.231764643520414 59.20602539781195, 10.214665985365846 59.19730106220475, 10.207711374937578 59.18891087264252, 10.207715628715212 59.18848166277684, 10.207747555118923 59.185298382019546, 10.207114556198446 59.18171811209959)</t>
  </si>
  <si>
    <t>[977796, 977805, 977813, 977821, 2115124, 1708441, 1708449, 1708457, 1708873]</t>
  </si>
  <si>
    <t>[0, 0, 1, 0, 0, 0, 1, 0, 0]</t>
  </si>
  <si>
    <t>[939450, 939456, 939461, 939466, 1525053, 1525054, 1525057, 1525064, 1524966]</t>
  </si>
  <si>
    <t>0.003551814241349828</t>
  </si>
  <si>
    <t>[939342, 939450, 939456, 939461, 939466, 1525053, 1525054, 1525057, 1525064]</t>
  </si>
  <si>
    <t>[0.077, 0.044, 0.043, 0.031, 0.006, 0.009, 0.025, 0.011, 0.038]</t>
  </si>
  <si>
    <t>3549.2074292577972</t>
  </si>
  <si>
    <t>[-0.027, -0.005, 0.008, -0.023, -0.01, 0.038, 0.04]</t>
  </si>
  <si>
    <t>LINESTRING (10.232226332842236 59.20643845831386, 10.231558853491181 59.20614264380647, 10.21452256339518 59.19739189578444, 10.207482734101212 59.18891001705201, 10.207488281172107 59.188482105267234, 10.207520663062505 59.18529697884861, 10.206837354426467 59.18174103344707, 10.206315686665125 59.18046144535847)</t>
  </si>
  <si>
    <t>[977742, 2115116, 1708416, 1708424, 1708433, 1708841, 1708849]</t>
  </si>
  <si>
    <t>[939416, 1525041, 1525042, 1525044, 1525048, 1525340, 1524982]</t>
  </si>
  <si>
    <t>0.0047019557832349975</t>
  </si>
  <si>
    <t>[939358, 939416, 1525041, 1525042, 1525044, 1525048, 1525340]</t>
  </si>
  <si>
    <t>[0.027, 0.005, 0.008, 0.023, 0.01, 0.038, 0.04]</t>
  </si>
  <si>
    <t>3502.482461148614</t>
  </si>
  <si>
    <t>[-0.009, -0.011, -0.012]</t>
  </si>
  <si>
    <t>LINESTRING (14.561503302607907 68.2357774904809, 14.561375016479824 68.23580050797032, 14.560995980031665 68.23585447996089, 14.56041720225589 68.23592961067274)</t>
  </si>
  <si>
    <t>[980058, 980066, 980079]</t>
  </si>
  <si>
    <t>[941222, 941231, 941238]</t>
  </si>
  <si>
    <t>[941221, 941222, 941231]</t>
  </si>
  <si>
    <t>[0.009, 0.011, 0.012]</t>
  </si>
  <si>
    <t>48.06709567880945</t>
  </si>
  <si>
    <t>[-0.02, -0.017]</t>
  </si>
  <si>
    <t>LINESTRING (14.561503302607907 68.2357774904809, 14.561406209868622 68.23573651389485, 14.561378734002387 68.23566953072798)</t>
  </si>
  <si>
    <t>[1019593, 1019601]</t>
  </si>
  <si>
    <t>[975451, 941253]</t>
  </si>
  <si>
    <t>[941221, 975451]</t>
  </si>
  <si>
    <t>[0.02, 0.017]</t>
  </si>
  <si>
    <t>13.638238079536002</t>
  </si>
  <si>
    <t>4.583939353916981</t>
  </si>
  <si>
    <t>[-0.005, -0.005, -0.006]</t>
  </si>
  <si>
    <t>LINESTRING (14.561378734002387 68.23566953072798, 14.561237012680932 68.23571265761332, 14.560921762889148 68.23580402021202, 14.56041720225589 68.23592961067274)</t>
  </si>
  <si>
    <t>[980099, 980100, 980105]</t>
  </si>
  <si>
    <t>[941254, 941255, 941238]</t>
  </si>
  <si>
    <t>[941253, 941254, 941255]</t>
  </si>
  <si>
    <t>[0.005, 0.005, 0.006]</t>
  </si>
  <si>
    <t>49.273611308389206</t>
  </si>
  <si>
    <t>[-0.01, 0.001, 0.014, 0.021, 0.02, 0.015, 0.005]</t>
  </si>
  <si>
    <t>LINESTRING (14.561378734002387 68.23566953072798, 14.561400023590059 68.23564312759038, 14.561522547126605 68.2355928642136, 14.561701404502816 68.23557916448526, 14.561838542893573 68.23559863054989, 14.561947218040581 68.23565318098669, 14.561947612415775 68.23572098961722, 14.561894238819539 68.23575699506517)</t>
  </si>
  <si>
    <t>[1019609, 1019617, 1019625, 1019633, 1019641, 1019649, 1019657]</t>
  </si>
  <si>
    <t>[941260, 975467, 941266, 941276, 975485, 941306, 942445]</t>
  </si>
  <si>
    <t>0.011321889145211308</t>
  </si>
  <si>
    <t>[941253, 941260, 975467, 941266, 941276, 975485, 941306]</t>
  </si>
  <si>
    <t>[0.01, 0.001, 0.014, 0.021, 0.02, 0.015, 0.005]</t>
  </si>
  <si>
    <t>43.968741469940994</t>
  </si>
  <si>
    <t>[-0.128, -0.114]</t>
  </si>
  <si>
    <t>LINESTRING (7.9561516700406045 61.07397014379786, 7.955713945282494 61.073818135319016, 7.9556444443062215 61.0737967267633)</t>
  </si>
  <si>
    <t>[980759, 980769]</t>
  </si>
  <si>
    <t>[941780, 941547]</t>
  </si>
  <si>
    <t>[941480, 941780]</t>
  </si>
  <si>
    <t>[0.128, 0.114]</t>
  </si>
  <si>
    <t>33.71590375783302</t>
  </si>
  <si>
    <t>LINESTRING (7.9561516700406045 61.07397014379786, 7.95562886053624 61.073900700776846, 7.9555485915604365 61.073888517449156)</t>
  </si>
  <si>
    <t>[980777, 980820]</t>
  </si>
  <si>
    <t>[941792, 941484]</t>
  </si>
  <si>
    <t>[941480, 941792]</t>
  </si>
  <si>
    <t>33.85066274465487</t>
  </si>
  <si>
    <t>[-0.031, -0.023, -0.008, -0.007, -0.013, 0.019, 0.0, -0.02, -0.014, -0.003, -0.001, 0.016, 0.019, -0.008, 0.009, -0.014, 0.003, -0.002, -0.042, -0.024, -0.02, -0.062, -0.004, -0.04, -0.064, -0.04, -0.024, 0.002, -0.005, -0.005, -0.011, -0.016, 0.068, 0.042, 0.336, 0.272, -0.154, -0.205, -0.255, -0.189, -0.085, -0.056, -0.071]</t>
  </si>
  <si>
    <t>[0, 0, 0, 0, 0, 0, 0, 0, 0, 0, 0, 0, 1, 0, 0, 0, 0, 0, 0, 0, 0, 0, 0, 0, 0, 0, 0, 0, 0, 0, 0, 0, 0, 1, 0, 0, 0, 0, 0, 0, 0, 0, 0]</t>
  </si>
  <si>
    <t>LINESTRING (8.079245577100332 61.17904497770818, 8.067198968549995 61.17752077291476, 8.064347808870156 61.17686925358736, 8.058534757760057 61.17444384831889, 8.057068895240116 61.172692143641925, 8.056904527265212 61.172474748115185, 8.054120358427923 61.169991516579614, 8.051969316622067 61.16940032175866, 8.050680937481289 61.16924346206224, 8.04370563645942 61.168119148614586, 8.036456924073628 61.16653347426198, 8.035788352197782 61.16642464854806, 8.033823296880849 61.16614973672599, 8.033607538859666 61.16612298807484, 8.022511199007827 61.165227014996255, 8.022204388130554 61.15849819093646, 8.008770340674417 61.1451713896178, 8.00687912137777 61.14167873411228, 8.006513281297828 61.13905869937056, 8.008060690258349 61.136288754625205, 8.016315493975354 61.13094673750827, 8.021306642072837 61.121780339932336, 8.023138247644967 61.120399742263125, 8.024142113289038 61.11938831813683, 8.034079663171871 61.11160609210997, 8.032122609697094 61.107353100371824, 8.031152790642581 61.106488059258325, 8.02451591021388 61.10464530324972, 8.018506787371031 61.10251856072221, 8.018403515382525 61.10250901057606, 8.01828782556937 61.10249952804248, 8.012386524024091 61.10220954597638, 8.011729761828605 61.10213087096977, 8.01089342850401 61.10202991179307, 8.00909473581511 61.10181288381197, 8.008450294379733 61.10173522897794, 7.98875905928815 61.096730838961726, 7.976880541897692 61.08536863878088, 7.964771328508374 61.07438493045084, 7.964257250419082 61.074284582588255, 7.962254892143281 61.07406079729348, 7.961426518438174 61.07403940993102, 7.960362608763978 61.07407233601685, 7.9561516700406045 61.07397014379786)</t>
  </si>
  <si>
    <t>[2086659, 2086678, 2086686, 2086694, 2086702, 2086710, 1259914, 1259928, 1259936, 1259945, 1259946, 1259955, 1259959, 1259961, 1259873, 1259906, 1259842, 980261, 980262, 980269, 980526, 980549, 980557, 980561, 980562, 980270, 980272, 980284, 980292, 980300, 980308, 980316, 980318, 980319, 980335, 980362, 980569, 980579, 980588, 980369, 980378, 980391, 980392]</t>
  </si>
  <si>
    <t>[341373, 341402, 1315012, 341532, 341499, 341541, 1177489, 1177498, 1177505, 1177512, 1177513, 1177521, 1177525, 341549, 1177470, 341551, 941374, 941375, 941376, 941382, 941581, 941596, 941604, 941605, 941383, 941384, 941386, 941393, 941399, 941404, 941409, 941416, 941418, 941419, 941434, 941453, 941608, 941618, 941457, 941458, 941466, 941479, 941480]</t>
  </si>
  <si>
    <t>[341391, 341373, 341402, 1315012, 341532, 341499, 341541, 1177489, 1177498, 1177505, 1177512, 1177513, 1177521, 1177525, 341549, 1177470, 341551, 941374, 941375, 941376, 941382, 941581, 941596, 941604, 941605, 941383, 941384, 941386, 941393, 941399, 941404, 941409, 941416, 941418, 941419, 941434, 941453, 941608, 941618, 941457, 941458, 941466, 941479]</t>
  </si>
  <si>
    <t>[0.031, 0.023, 0.008, 0.007, 0.013, 0.019, 0.0, 0.02, 0.014, 0.003, 0.001, 0.016, 0.019, 0.008, 0.009, 0.014, 0.003, 0.002, 0.042, 0.024, 0.02, 0.062, 0.004, 0.04, 0.064, 0.04, 0.024, 0.002, 0.005, 0.005, 0.011, 0.016, 0.068, 0.042, 0.336, 0.272, 0.154, 0.205, 0.255, 0.189, 0.085, 0.056, 0.071]</t>
  </si>
  <si>
    <t>16833.525597142587</t>
  </si>
  <si>
    <t>30.73502232249177</t>
  </si>
  <si>
    <t>[0.209, 0.148]</t>
  </si>
  <si>
    <t>LINESTRING (7.9556444443062215 61.0737967267633, 7.955619445999752 61.07384535585625, 7.9555485915604365 61.073888517449156)</t>
  </si>
  <si>
    <t>[980491, 980492]</t>
  </si>
  <si>
    <t>[941556, 941484]</t>
  </si>
  <si>
    <t>0.17704191722247162</t>
  </si>
  <si>
    <t>[941547, 941556]</t>
  </si>
  <si>
    <t>11.745268164807161</t>
  </si>
  <si>
    <t>[-0.201, -0.183]</t>
  </si>
  <si>
    <t>LINESTRING (7.955135202415087 61.07378987533652, 7.9551596151098325 61.073738871919566, 7.955232527753986 61.07369482680513)</t>
  </si>
  <si>
    <t>[980417, 980431]</t>
  </si>
  <si>
    <t>[941499, 941510]</t>
  </si>
  <si>
    <t>[941485, 941499]</t>
  </si>
  <si>
    <t>[0.201, 0.183]</t>
  </si>
  <si>
    <t>12.141945809222456</t>
  </si>
  <si>
    <t>[-0.121, -0.11]</t>
  </si>
  <si>
    <t>LINESTRING (7.955135202415087 61.07378987533652, 7.955066029551006 61.07377233273987, 7.954655146132964 61.07365564761146)</t>
  </si>
  <si>
    <t>[980843, 980851]</t>
  </si>
  <si>
    <t>[941845, 941568]</t>
  </si>
  <si>
    <t>[941485, 941845]</t>
  </si>
  <si>
    <t>[0.121, 0.11]</t>
  </si>
  <si>
    <t>29.966111442088103</t>
  </si>
  <si>
    <t>[-0.038, 0.08, 0.126, 0.229]</t>
  </si>
  <si>
    <t>LINESTRING (7.955232527753986 61.07369482680513, 7.955405959168485 61.0736689389496, 7.955523617837233 61.07368700266019, 7.955602477080097 61.07372466752597, 7.9556444443062215 61.0737967267633)</t>
  </si>
  <si>
    <t>[980442, 980455, 980471, 980479]</t>
  </si>
  <si>
    <t>[941519, 941533, 941542, 941547]</t>
  </si>
  <si>
    <t>0.0917644169355477</t>
  </si>
  <si>
    <t>[941510, 941519, 941533, 941542]</t>
  </si>
  <si>
    <t>[0.038, 0.08, 0.126, 0.229]</t>
  </si>
  <si>
    <t>30.82244609229509</t>
  </si>
  <si>
    <t>LINESTRING (7.955232527753986 61.07369482680513, 7.955135544643391 61.073685084653675, 7.954655146132964 61.07365564761146)</t>
  </si>
  <si>
    <t>[980859, 980883]</t>
  </si>
  <si>
    <t>[941859, 941568]</t>
  </si>
  <si>
    <t>[941510, 941859]</t>
  </si>
  <si>
    <t>31.830394893820436</t>
  </si>
  <si>
    <t>[-0.021, -0.021, -0.023]</t>
  </si>
  <si>
    <t>LINESTRING (14.562361938352904 68.23613178767198, 14.561914183411671 68.23593348190289, 14.56171166930722 68.23584587450712, 14.56160497619429 68.23579381363021)</t>
  </si>
  <si>
    <t>[981556, 981564, 981572]</t>
  </si>
  <si>
    <t>[942413, 942421, 942426]</t>
  </si>
  <si>
    <t>[942412, 942413, 942421]</t>
  </si>
  <si>
    <t>[0.021, 0.021, 0.023]</t>
  </si>
  <si>
    <t>49.00903044947928</t>
  </si>
  <si>
    <t>[-0.019, -0.021, -0.02]</t>
  </si>
  <si>
    <t>LINESTRING (14.562361938352904 68.23613178767198, 14.562076831388495 68.23589174599255, 14.561966797924097 68.23580453499774, 14.561894238819539 68.23575699506517)</t>
  </si>
  <si>
    <t>[981580, 981588, 981596]</t>
  </si>
  <si>
    <t>[942434, 942439, 942445]</t>
  </si>
  <si>
    <t>[942412, 942434, 942439]</t>
  </si>
  <si>
    <t>[0.019, 0.021, 0.02]</t>
  </si>
  <si>
    <t>46.16368370059618</t>
  </si>
  <si>
    <t>2014.0</t>
  </si>
  <si>
    <t>LINESTRING (14.697958733149362 68.32904602932473, 14.562361938352904 68.23613178767198)</t>
  </si>
  <si>
    <t>15723.070541670788</t>
  </si>
  <si>
    <t>[-0.005, -0.018]</t>
  </si>
  <si>
    <t>LINESTRING (14.561894238819539 68.23575699506517, 14.561775207007225 68.23578897063375, 14.56160497619429 68.23579381363021)</t>
  </si>
  <si>
    <t>[1019665, 1019577]</t>
  </si>
  <si>
    <t>[975442, 942426]</t>
  </si>
  <si>
    <t>[942445, 975442]</t>
  </si>
  <si>
    <t>[0.005, 0.018]</t>
  </si>
  <si>
    <t>13.144975797859377</t>
  </si>
  <si>
    <t>[0.0, -0.022, -0.049, -0.052, 0.0, -0.057, -0.019, -0.025, 0.003, -0.033, -0.014, -0.031, -0.034, -0.044, -0.064]</t>
  </si>
  <si>
    <t>LINESTRING (6.079289544247725 62.18208048695495, 6.079471368820382 62.18214055909673, 6.081567170081794 62.18265844309992, 6.081658236795676 62.18268054711157, 6.081805857809913 62.18271618940203, 6.08181324148983 62.182717897565944, 6.083780098079648 62.183177722659124, 6.085878941377337 62.18362879177041, 6.087206335618232 62.183896749093485, 6.087242365263642 62.183903992430096, 6.087361377603879 62.18392749696051, 6.087446820058737 62.18394433331808, 6.08753562844555 62.183961884906076, 6.088853830665292 62.18421378231717, 6.088955886288726 62.184233429694814, 6.089951041685848 62.18440869373144)</t>
  </si>
  <si>
    <t>[1332061, 1332069, 1332078, 1332086, 1332094, 1332102, 1332110, 1332118, 1332126, 1332134, 1332142, 1332150, 1332158, 1332166, 1332174]</t>
  </si>
  <si>
    <t>[1237060, 1234172, 1237075, 1224357, 1237091, 1237101, 1237107, 1237114, 1234081, 1237125, 1224248, 1237137, 1237143, 1237151, 943019]</t>
  </si>
  <si>
    <t>[943010, 1237060, 1234172, 1237075, 1224357, 1237091, 1237101, 1237107, 1237114, 1234081, 1237125, 1224248, 1237137, 1237143, 1237151]</t>
  </si>
  <si>
    <t>[0.0, 0.022, 0.049, 0.052, 0.0, 0.057, 0.019, 0.025, 0.003, 0.033, 0.014, 0.031, 0.034, 0.044, 0.064]</t>
  </si>
  <si>
    <t>615.0808236383809</t>
  </si>
  <si>
    <t>[0.218, -0.033, -0.04, -0.044, -0.018, -0.048, -0.049, -0.043, -0.035, -0.036, -0.041, -0.01]</t>
  </si>
  <si>
    <t>LINESTRING (6.079289544247725 62.18208048695495, 6.079502418514712 62.18211429168919, 6.081654027158202 62.182599315280775, 6.081726409905429 62.18261621230059, 6.08186269992684 62.182646048935204, 6.081887090665533 62.18265203273632, 6.08384408273436 62.1831109370491, 6.085933920036591 62.18355988494442, 6.08725531512887 62.183826802218334, 6.087419699218751 62.183860415211484, 6.08757794429187 62.18389340411694, 6.088889907466214 62.184167294327324, 6.089951041685848 62.18440869373144)</t>
  </si>
  <si>
    <t>[1800440, 1800448, 1800456, 1800464, 1800472, 1800480, 1800488, 1800496, 1800504, 1800512, 1800520, 1800528]</t>
  </si>
  <si>
    <t>[1587372, 1234173, 1587378, 1224358, 1587392, 1587399, 1587405, 1587411, 1224254, 1587423, 1587428, 943019]</t>
  </si>
  <si>
    <t>[943010, 1587372, 1234173, 1587378, 1224358, 1587392, 1587399, 1587405, 1587411, 1224254, 1587423, 1587428]</t>
  </si>
  <si>
    <t>[0.218, 0.033, 0.04, 0.044, 0.018, 0.048, 0.049, 0.043, 0.035, 0.036, 0.041, 0.01]</t>
  </si>
  <si>
    <t>614.6023885144779</t>
  </si>
  <si>
    <t>[0.011, -0.003, -0.0, -0.065, -0.114, -0.127, -0.146, 0.029, -0.009]</t>
  </si>
  <si>
    <t>11372.0</t>
  </si>
  <si>
    <t>LINESTRING (6.051779814594078 62.17489151495446, 6.0525335652165335 62.17521928713607, 6.0529608422273835 62.175403607856154, 6.052994182462466 62.17541872167376, 6.055731087865062 62.17648772459952, 6.055917050435269 62.17654962853421, 6.056892837852802 62.176848241893644, 6.05810263420313 62.177162493570535, 6.061436699920457 62.17793490937824, 6.079289544247725 62.18208048695495)</t>
  </si>
  <si>
    <t>[2147212, 2147220, 2147228, 2147236, 2147244, 2147477, 2147485, 2147493, 982307]</t>
  </si>
  <si>
    <t>[1842527, 1842529, 1842535, 1842540, 1842504, 1842678, 1837295, 943009, 943010]</t>
  </si>
  <si>
    <t>[1842526, 1842527, 1842529, 1842535, 1842540, 1842504, 1842678, 1837295, 943009]</t>
  </si>
  <si>
    <t>[0.011, 0.003, 0.0, 0.065, 0.114, 0.127, 0.146, 0.029, 0.009]</t>
  </si>
  <si>
    <t>1652.9977405276295</t>
  </si>
  <si>
    <t>[-0.06, -0.039, -0.045, -0.037, -0.04, -0.044, -0.044, -0.018, -0.031, -0.031, -0.02, -0.013, -0.023, -0.031, -0.017, -0.014, -0.025, -0.016, -0.03, -0.034, -0.019, 0.004, -0.008, -0.016, -0.017, -0.018, -0.02, -0.016, -0.016, -0.02, -0.017, -0.015, -0.015, -0.01, -0.008, -0.008, 0.004, 0.02, 0.019, 0.006, 0.003, 0.007]</t>
  </si>
  <si>
    <t>14433.0</t>
  </si>
  <si>
    <t>[0, 0, 0, 0, 0, 0, 0, 0, 0, 0, 0, 0, 0, 0, 0, 0, 0, 0, 0, 0, 0, 0, 0, 0, 0, 0, 0, 0, 0, 0, 0, 0, 0, 0, 0, 0, 0, 1, 0, 0, 0, 0]</t>
  </si>
  <si>
    <t>LINESTRING (6.089951041685848 62.18440869373144, 6.092593252399203 62.18494505005633, 6.09384452887932 62.18519557907793, 6.09476210879707 62.18538013399586, 6.09587275972356 62.185604905072964, 6.096262535926516 62.185683325537255, 6.098350533696598 62.18609252286153, 6.098713086458344 62.186154829605584, 6.104633268594247 62.18714021025506, 6.107738546251975 62.187619219943386, 6.108790035996907 62.187728936632574, 6.1097755347157205 62.18782048709295, 6.109924382415514 62.18783386939465, 6.11147131083403 62.18797105441934, 6.11172448142547 62.18799167453542, 6.116922308428892 62.18848107620821, 6.117490360299733 62.18860419843682, 6.117867257597997 62.18871675295617, 6.117910033041218 62.188731048235944, 6.118622371671821 62.18900157705177, 6.119136696245485 62.18922189726623, 6.119532362021309 62.18940451968818, 6.120101210080331 62.18968599212294, 6.12072511312554 62.190074890693296, 6.122586998402566 62.19202377904903, 6.122631084672461 62.19208423308941, 6.122666745509304 62.19213235768511, 6.122697761160371 62.19217525671366, 6.122743280995514 62.19223949978616, 6.122789117234583 62.19230365480056, 6.122801255702882 62.19232063442729, 6.123149748059485 62.19283851966795, 6.123293427596837 62.193064633192336, 6.123617837727619 62.19357143622012, 6.123910808501665 62.1939968191264, 6.123920426981885 62.19400662246722, 6.124720063114093 62.19452635567724, 6.124984524370653 62.19463730685807, 6.125981290806393 62.195064810141396, 6.12614529278773 62.195139235143806, 6.126988618647434 62.19596607061407, 6.127232407783823 62.19728972857472, 6.127304200042971 62.1976862012686)</t>
  </si>
  <si>
    <t>[982315, 982322, 982334, 982339, 982352, 982365, 982387, 982395, 982403, 982404, 982409, 982410, 982418, 982437, 982448, 982449, 982454, 982455, 982462, 982495, 982503, 982504, 982511, 982523, 982528, 982532, 982551, 982586, 982602, 982610, 982619, 982627, 982628, 982632, 982647, 982655, 982680, 982691, 982692, 982699, 982715, 982723]</t>
  </si>
  <si>
    <t>[943020, 295272, 943035, 278702, 943044, 943056, 306287, 943084, 943089, 943090, 943093, 943094, 943104, 306190, 943127, 943128, 943135, 943136, 943142, 943170, 943179, 271163, 943184, 943194, 943198, 943202, 943213, 943236, 943244, 943250, 943257, 271328, 943263, 943266, 943279, 276389, 943299, 943306, 943307, 943312, 943326, 943332]</t>
  </si>
  <si>
    <t>[943019, 943020, 295272, 943035, 278702, 943044, 943056, 306287, 943084, 943089, 943090, 943093, 943094, 943104, 306190, 943127, 943128, 943135, 943136, 943142, 943170, 943179, 271163, 943184, 943194, 943198, 943202, 943213, 943236, 943244, 943250, 943257, 271328, 943263, 943266, 943279, 276389, 943299, 943306, 943307, 943312, 943326]</t>
  </si>
  <si>
    <t>[0.06, 0.039, 0.045, 0.037, 0.04, 0.044, 0.044, 0.018, 0.031, 0.031, 0.02, 0.013, 0.023, 0.031, 0.017, 0.014, 0.025, 0.016, 0.03, 0.034, 0.019, 0.004, 0.008, 0.016, 0.017, 0.018, 0.02, 0.016, 0.016, 0.02, 0.017, 0.015, 0.015, 0.01, 0.008, 0.008, 0.004, 0.02, 0.019, 0.006, 0.003, 0.007]</t>
  </si>
  <si>
    <t>2696.67667707356</t>
  </si>
  <si>
    <t>[0.262, 0.017, -0.251]</t>
  </si>
  <si>
    <t>LINESTRING (6.127304200042971 62.1976862012686, 6.127350143118468 62.19773061287399, 6.127425748435922 62.197855333182, 6.1274475628893885 62.19790177650535)</t>
  </si>
  <si>
    <t>[1292082, 1292090, 1292098]</t>
  </si>
  <si>
    <t>[1205223, 1205229, 945283]</t>
  </si>
  <si>
    <t>0.014093619854936438</t>
  </si>
  <si>
    <t>[943332, 1205223, 1205229]</t>
  </si>
  <si>
    <t>[0.262, 0.017, 0.251]</t>
  </si>
  <si>
    <t>25.29831827995336</t>
  </si>
  <si>
    <t>[-0.003, 0.0, -0.0]</t>
  </si>
  <si>
    <t>LINESTRING (6.127304200042971 62.1976862012686, 6.127278499454214 62.19773484897063, 6.127251999385381 62.1978623196242, 6.127233406241575 62.197931038207784)</t>
  </si>
  <si>
    <t>[1332222, 1332230, 1332238]</t>
  </si>
  <si>
    <t>[1237200, 1237208, 945330]</t>
  </si>
  <si>
    <t>[943332, 1237200, 1237208]</t>
  </si>
  <si>
    <t>[0.003, 0.0, 0.0]</t>
  </si>
  <si>
    <t>27.637852166013705</t>
  </si>
  <si>
    <t>[-0.657, -0.272]</t>
  </si>
  <si>
    <t>LINESTRING (6.331389752574942 62.37486484495555, 6.331532993527622 62.37485029249039, 6.331936558290703 62.374829732561295)</t>
  </si>
  <si>
    <t>[984747, 984748]</t>
  </si>
  <si>
    <t>[944998, 323551]</t>
  </si>
  <si>
    <t>[943505, 944998]</t>
  </si>
  <si>
    <t>[0.657, 0.272]</t>
  </si>
  <si>
    <t>28.658424793296543</t>
  </si>
  <si>
    <t>LINESTRING (6.160100244641764 62.328420031251454, 6.331389752574942 62.37486484495555)</t>
  </si>
  <si>
    <t>13490.043791069573</t>
  </si>
  <si>
    <t>[0.039, 0.018, -0.021]</t>
  </si>
  <si>
    <t>LINESTRING (6.357626567175869 62.461371924840606, 6.356390763309586 62.46327164013699, 6.3532628367618855 62.46807694760049, 6.352383080029215 62.46913298994081)</t>
  </si>
  <si>
    <t>[983003, 983011, 983019]</t>
  </si>
  <si>
    <t>[943530, 943535, 943544]</t>
  </si>
  <si>
    <t>0.01766625414742682</t>
  </si>
  <si>
    <t>[943529, 943530, 943535]</t>
  </si>
  <si>
    <t>[0.039, 0.018, 0.021]</t>
  </si>
  <si>
    <t>909.1482646922624</t>
  </si>
  <si>
    <t>[0.384, 0.022]</t>
  </si>
  <si>
    <t>LINESTRING (6.357898478871997 62.46109147115342, 6.357832301520416 62.461170266856215, 6.357626567175869 62.461371924840606)</t>
  </si>
  <si>
    <t>[1293082, 1293097]</t>
  </si>
  <si>
    <t>[1206103, 943529]</t>
  </si>
  <si>
    <t>0.12123909962129148</t>
  </si>
  <si>
    <t>[945412, 1206103]</t>
  </si>
  <si>
    <t>34.44113966556096</t>
  </si>
  <si>
    <t>[0.235, 0.044]</t>
  </si>
  <si>
    <t>LINESTRING (6.357545284528858 62.461070000660925, 6.357579100766187 62.461154006059495, 6.357626567175869 62.461371924840606)</t>
  </si>
  <si>
    <t>[1332911, 1332919]</t>
  </si>
  <si>
    <t>[1237847, 943529]</t>
  </si>
  <si>
    <t>0.09760467101377372</t>
  </si>
  <si>
    <t>[945420, 1237847]</t>
  </si>
  <si>
    <t>34.00351910575145</t>
  </si>
  <si>
    <t>[-0.042, 0.482]</t>
  </si>
  <si>
    <t>LINESTRING (6.352383080029215 62.46913298994081, 6.352052089677122 62.469380602773505, 6.351960058249243 62.46945528952276)</t>
  </si>
  <si>
    <t>[1293105, 1293113]</t>
  </si>
  <si>
    <t>[1206119, 945503]</t>
  </si>
  <si>
    <t>0.07724177855627384</t>
  </si>
  <si>
    <t>[943544, 1206119]</t>
  </si>
  <si>
    <t>[0.042, 0.482]</t>
  </si>
  <si>
    <t>42.196992665189164</t>
  </si>
  <si>
    <t>[0.015, 0.456]</t>
  </si>
  <si>
    <t>LINESTRING (6.352383080029215 62.46913298994081, 6.35179393683063 62.46926728419923, 6.351674596579687 62.46929360748188)</t>
  </si>
  <si>
    <t>[1332927, 1332935]</t>
  </si>
  <si>
    <t>[1237859, 945580]</t>
  </si>
  <si>
    <t>0.08877597021412542</t>
  </si>
  <si>
    <t>[943544, 1237859]</t>
  </si>
  <si>
    <t>40.85014992088462</t>
  </si>
  <si>
    <t>[-0.001, 0.007, 0.02, 0.017, 0.014, 0.026, 0.05, 0.052]</t>
  </si>
  <si>
    <t>10262.0</t>
  </si>
  <si>
    <t>LINESTRING (6.352816438502745 62.4699360572925, 6.354860906123599 62.47017056992193, 6.355840891640954 62.47023533956567, 6.357464725553759 62.47033737224584, 6.359716063878665 62.47047979954863, 6.360112884057041 62.47050387183865, 6.364753187285902 62.470792336396514, 6.36530371647865 62.470827601042544, 6.365497418336937 62.47084006297257)</t>
  </si>
  <si>
    <t>[983030, 983041, 983053, 983061, 983069, 983077, 983084, 983100]</t>
  </si>
  <si>
    <t>[943558, 943566, 943576, 943584, 943592, 943599, 943603, 943611]</t>
  </si>
  <si>
    <t>0.018792200887193408</t>
  </si>
  <si>
    <t>[943557, 943558, 943566, 943576, 943584, 943592, 943599, 943603]</t>
  </si>
  <si>
    <t>[0.001, 0.007, 0.02, 0.017, 0.014, 0.026, 0.05, 0.052]</t>
  </si>
  <si>
    <t>664.3264814256045</t>
  </si>
  <si>
    <t>[-0.651, -0.06, 0.01]</t>
  </si>
  <si>
    <t>LINESTRING (6.351981114582676 62.469555125061575, 6.352083240878221 62.46963022332209, 6.352292689141402 62.46973947967546, 6.352816438502745 62.4699360572925)</t>
  </si>
  <si>
    <t>[2071482, 2071490, 2071498]</t>
  </si>
  <si>
    <t>[1798463, 1798467, 943557]</t>
  </si>
  <si>
    <t>[945504, 1798463, 1798467]</t>
  </si>
  <si>
    <t>[0.651, 0.06, 0.01]</t>
  </si>
  <si>
    <t>61.21410148954829</t>
  </si>
  <si>
    <t>[-0.317, -0.039, -0.04]</t>
  </si>
  <si>
    <t>LINESTRING (6.351674329161071 62.46976592973077, 6.3518735285339245 62.469768806672256, 6.352170115743782 62.469805031685155, 6.352816438502745 62.4699360572925)</t>
  </si>
  <si>
    <t>[1332943, 1332951, 1332959]</t>
  </si>
  <si>
    <t>[1237877, 1237884, 943557]</t>
  </si>
  <si>
    <t>[945511, 1237877, 1237884]</t>
  </si>
  <si>
    <t>[0.317, 0.039, 0.04]</t>
  </si>
  <si>
    <t>62.85767171454597</t>
  </si>
  <si>
    <t>41.131015754531575</t>
  </si>
  <si>
    <t>[0.075, 0.058, -0.029, -0.088]</t>
  </si>
  <si>
    <t>LINESTRING (6.364931991998535 62.47151148377682, 6.365014343399737 62.47151546040841, 6.366608313059987 62.47139282228894, 6.36564408078754 62.470881766813065, 6.365497418336937 62.47084006297257)</t>
  </si>
  <si>
    <t>[984868, 984876, 984884, 984892]</t>
  </si>
  <si>
    <t>[945100, 945107, 945112, 943611]</t>
  </si>
  <si>
    <t>0.01312924047047212</t>
  </si>
  <si>
    <t>[945099, 945100, 945107, 945112]</t>
  </si>
  <si>
    <t>[0.075, 0.058, 0.029, 0.088]</t>
  </si>
  <si>
    <t>183.03828034297027</t>
  </si>
  <si>
    <t>242.58738052372502</t>
  </si>
  <si>
    <t>[0.125, -0.018, -0.074]</t>
  </si>
  <si>
    <t>LINESTRING (6.366285903492836 62.47088953157186, 6.366325979196485 62.470860270808174, 6.365538254481938 62.47018150854167, 6.365459284173688 62.4701784023664)</t>
  </si>
  <si>
    <t>[985410, 985418, 985426]</t>
  </si>
  <si>
    <t>[945486, 945493, 945498]</t>
  </si>
  <si>
    <t>[943621, 945486, 945493]</t>
  </si>
  <si>
    <t>[0.125, 0.018, 0.074]</t>
  </si>
  <si>
    <t>116.17083531653459</t>
  </si>
  <si>
    <t>26.61321320321388</t>
  </si>
  <si>
    <t>[0.038, -0.029, -0.062, -0.088]</t>
  </si>
  <si>
    <t>LINESTRING (6.3709676369423764 62.47102092265759, 6.370745170829421 62.471050722674136, 6.3668252278394615 62.47146601714577, 6.3650148466057415 62.47160544551522, 6.364904170694914 62.47161716827096)</t>
  </si>
  <si>
    <t>[984996, 985004, 985018, 985057]</t>
  </si>
  <si>
    <t>[945180, 945184, 945193, 945218]</t>
  </si>
  <si>
    <t>[943627, 945180, 945184, 945193]</t>
  </si>
  <si>
    <t>[0.038, 0.029, 0.062, 0.088]</t>
  </si>
  <si>
    <t>332.2932693186339</t>
  </si>
  <si>
    <t>[0.033, 0.024, 0.004, -0.072, -0.098, -0.11, -0.037, 0.02, -0.042, -0.008, -0.014, -0.014, -0.011, -0.011, -0.002, -0.04, -0.037, -0.054, 0.003, -0.008, 0.008, 0.048, -0.034, -0.07, -0.019, 0.051, 0.126, -0.03, 0.901]</t>
  </si>
  <si>
    <t>13082.0</t>
  </si>
  <si>
    <t>[0, 0, 0, 0, 0, 1, 0, 0, 0, 0, 0, 0, 0, 0, 0, 0, 0, 0, 0, 0, 0, 0, 0, 0, 0, 0, 0, 0, 0]</t>
  </si>
  <si>
    <t>LINESTRING (6.371482482221337 62.471020292978636, 6.377480113508968 62.47123822162343, 6.389608710477338 62.472138426415555, 6.425669472044256 62.478335846957656, 6.428270635818356 62.4784132068378, 6.429038525999326 62.47844501208589, 6.429652143743116 62.47847033432627, 6.430646959127936 62.47850326416776, 6.444272207718276 62.478103090610595, 6.444686008467826 62.47810355091441, 6.51323982939067 62.48475401943333, 6.513629435264196 62.48460517798382, 6.513790730553524 62.48454830733448, 6.5139374321185 62.48449672172014, 6.5146706454720364 62.48427406591308, 6.522423730955178 62.48338350136536, 6.52365575442309 62.483289361688975, 6.523823580755028 62.483276572357326, 6.523984698486653 62.48326430299614, 6.534652504875856 62.48343556695149, 6.543138842459596 62.48462272175518, 6.552294173988943 62.485819438416414, 6.553447263849911 62.48611844159442, 6.555532994566154 62.48660826373678, 6.557451555273296 62.486798514608495, 6.564330530611924 62.4857604252004, 6.565459323549729 62.48563632047769, 6.574968213887061 62.48640939996091, 6.596995230075667 62.48914642904911, 6.597262634540371 62.489165913797635)</t>
  </si>
  <si>
    <t>[983127, 983135, 983143, 983152, 983161, 983169, 983177, 983178, 983185, 983193, 983201, 983216, 983224, 983225, 983230, 983238, 983242, 1312065, 1312073, 1312081, 1312089, 1312098, 1312106, 1312114, 1312122, 1312130, 1312138, 1312146, 1753605]</t>
  </si>
  <si>
    <t>[943634, 631500, 943650, 943656, 943666, 943670, 943678, 943679, 943685, 943693, 943698, 943709, 943717, 943718, 943722, 943728, 943731, 1220167, 1220174, 1220182, 1220188, 1069879, 1069871, 1220209, 1220216, 1220223, 1220230, 1220235, 1552659]</t>
  </si>
  <si>
    <t>0.0017406789390131607</t>
  </si>
  <si>
    <t>[943633, 943634, 631500, 943650, 943656, 943666, 943670, 943678, 943679, 943685, 943693, 943698, 943709, 943717, 943718, 943722, 943728, 943731, 1220167, 1220174, 1220182, 1220188, 1069879, 1069871, 1220209, 1220216, 1220223, 1220230, 1220235]</t>
  </si>
  <si>
    <t>[0.033, 0.024, 0.004, 0.072, 0.098, 0.11, 0.037, 0.02, 0.042, 0.008, 0.014, 0.014, 0.011, 0.011, 0.002, 0.04, 0.037, 0.054, 0.003, 0.008, 0.008, 0.048, 0.034, 0.07, 0.019, 0.051, 0.126, 0.03, 0.901]</t>
  </si>
  <si>
    <t>12364.45215617197</t>
  </si>
  <si>
    <t>[0.015, 0.07, 0.027, 0.032]</t>
  </si>
  <si>
    <t>LINESTRING (6.365459284173688 62.4701784023664, 6.365508678812502 62.47005913659617, 6.365601021165689 62.4700755898711, 6.371263910180563 62.470988292721785, 6.371482482221337 62.471020292978636)</t>
  </si>
  <si>
    <t>[988993, 985104, 985105, 985110]</t>
  </si>
  <si>
    <t>[945256, 945257, 945258, 943633]</t>
  </si>
  <si>
    <t>0.027317678067909003</t>
  </si>
  <si>
    <t>[945498, 945256, 945257, 945258]</t>
  </si>
  <si>
    <t>366.5623870343093</t>
  </si>
  <si>
    <t>[-0.112, -0.108, -0.076, -0.09, -0.002]</t>
  </si>
  <si>
    <t>LINESTRING (23.048654476846938 69.9461504000608, 23.047530464819488 69.94527113336765, 23.04741285093238 69.94518424104744, 23.047380447408667 69.94516030997276, 23.046726080508844 69.94472470398819, 23.04570961493532 69.94388503032019)</t>
  </si>
  <si>
    <t>[983448, 983449, 983459, 983460, 983461]</t>
  </si>
  <si>
    <t>[943835, 943895, 943909, 943910, 943911]</t>
  </si>
  <si>
    <t>[943903, 943835, 943895, 943909, 943910]</t>
  </si>
  <si>
    <t>[0.112, 0.108, 0.076, 0.09, 0.002]</t>
  </si>
  <si>
    <t>277.6257273629736</t>
  </si>
  <si>
    <t>[-0.138, -0.106, -0.041, -0.087, -0.075, 0.031]</t>
  </si>
  <si>
    <t>LINESTRING (23.048654476846938 69.9461504000608, 23.04773638830166 69.9452378932459, 23.047616724216404 69.94514910666057, 23.047583266851767 69.94512510618893, 23.046911168025222 69.94469158303241, 23.046814451446703 69.94463459452457, 23.04570961493532 69.94388503032019)</t>
  </si>
  <si>
    <t>[983541, 983544, 983545, 983553, 983569, 983570]</t>
  </si>
  <si>
    <t>[943834, 943894, 943965, 943973, 943997, 943911]</t>
  </si>
  <si>
    <t>[943903, 943834, 943894, 943965, 943973, 943997]</t>
  </si>
  <si>
    <t>[0.138, 0.106, 0.041, 0.087, 0.075, 0.031]</t>
  </si>
  <si>
    <t>277.8916506936406</t>
  </si>
  <si>
    <t>LINESTRING (22.80453542616325 69.93877650993828, 23.048654476846938 69.9461504000608)</t>
  </si>
  <si>
    <t>17691.23052826447</t>
  </si>
  <si>
    <t>[-0.004, -0.038, -0.073, -0.054, -0.032, -0.155]</t>
  </si>
  <si>
    <t>LINESTRING (6.8998034284550585 62.51233841957161, 6.897174281326869 62.509090874376575, 6.8886937355531455 62.49942716381853, 6.880974806059079 62.49669399314613, 6.877928466241264 62.496286182367044, 6.874302464841283 62.49351315392042, 6.87410911026527 62.492833291692065)</t>
  </si>
  <si>
    <t>[1488760, 1488805, 1488806, 1488807, 1488815, 1488837]</t>
  </si>
  <si>
    <t>[1347894, 1347930, 1347931, 1347932, 1347940, 943904]</t>
  </si>
  <si>
    <t>[943905, 1347894, 1347930, 1347931, 1347932, 1347940]</t>
  </si>
  <si>
    <t>[0.004, 0.038, 0.073, 0.054, 0.032, 0.155]</t>
  </si>
  <si>
    <t>2687.9264324138594</t>
  </si>
  <si>
    <t>[0.022, 0.013, -0.03, -0.014, -0.026, -0.007, 0.036, 0.035, 0.037, 0.032, 0.038, 0.036, 0.012, 0.004, -0.013, -0.001, -0.007, 0.017, 0.021, -0.01, -0.001, -0.007, 0.012, 0.029, 0.024, 0.02, 0.015, 0.037, 0.082, 0.044, -0.004, 0.038, 0.026, 0.044, -0.05, -0.044, 0.038, 0.012, 0.035, 0.019, 0.013, 0.002, 0.023, -0.025, -0.016, 0.036, -0.002, -0.065, -0.02, -0.009, -0.011, -0.008, -0.015, -0.013, -0.017, -0.007, -0.019, 0.011, -0.025, -0.014, -0.001, 0.008, 0.005, 0.008, -0.021, -0.048, -0.041, 0.025, 0.032, -0.004, 0.019, -0.041, -0.06, -0.085, -0.036, -0.092, -0.08, -0.032, 0.002, 0.0, 0.001, 0.011, 0.023, 0.022, 0.028, 0.031, 0.03, 0.029, 0.026, 0.035, 0.054, 0.054, 0.046, 0.035, 0.015, -0.023, 0.013, 0.017, 0.03, 0.033, 0.035, 0.019, 0.027, 0.038, 0.032, 0.072, 0.064, 0.056, 0.042, 0.015, 0.057, 0.053]</t>
  </si>
  <si>
    <t>7820.0</t>
  </si>
  <si>
    <t>[0, 0, 0, 0, 0, 0, 0, 0, 0, 0, 0, 0, 0, 0, 0, 0, 0, 0, 0, 0, 0, 0, 0, 0, 1, 0, 0, 0, 0, 0, 0, 0, 0, 0, 0, 0, 0, 0, 0, 0, 0, 0, 0, 0, 0, 0, 0, 0, 0, 0, 0, 0, 0, 0, 0, 0, 0, 0, 0, 0, 0, 0, 0, 0, 0, 0, 0, 0, 0, 0, 0, 0, 0, 0, 0, 0, 0, 0, 0, 0, 0, 0, 0, 0, 0, 0, 0, 0, 0, 0, 0, 0, 0, 0, 0, 0, 0, 0, 0, 0, 0, 0, 0, 0, 0, 0, 0, 0, 0, 0, 0, 0]</t>
  </si>
  <si>
    <t>LINESTRING (6.669858305438469 62.4808876391093, 6.671095387918875 62.48147157270633, 6.671325726416794 62.48158506694419, 6.676589863979537 62.48351809262301, 6.682127196342519 62.4839055313853, 6.688252241369188 62.48555937082089, 6.689060792805188 62.4862608487767, 6.689101246453895 62.48629964925013, 6.690195891368843 62.487347553028904, 6.6902709244332605 62.487429560217116, 6.690351861513005 62.48750373028649, 6.690427496974343 62.48758038211464, 6.691174092810087 62.488262254637796, 6.6933244262703875 62.489086201491425, 6.7038442470139525 62.48958989040625, 6.721049183933936 62.49150120274628, 6.7211486892018035 62.4914956200407, 6.723999310533268 62.49133443621893, 6.724138005438539 62.491324832701544, 6.7242740273951584 62.49131718263276, 6.727313986714175 62.49020802971811, 6.727325872585652 62.49015748312953, 6.727294529789468 62.48926603628276, 6.727200630806823 62.48837595976953, 6.727174724607136 62.48815265893068, 6.727094224364847 62.4879016112087, 6.727000517056761 62.48772021130807, 6.726868798050596 62.487534493711564, 6.726788630204475 62.4874458381461, 6.726711352276718 62.487370484891514, 6.722413827054577 62.48588907552909, 6.72156745454256 62.48570024164165, 6.717816091604308 62.48326962116754, 6.717184420335547 62.48303753787267, 6.717106567602685 62.48301465493565, 6.715010932236097 62.4827183174258, 6.711880954837527 62.482372818366535, 6.710470021381261 62.481685481273445, 6.710520790623115 62.4785624214461, 6.713096715759829 62.47817022008877, 6.713724043909989 62.47808844253911, 6.714457446271418 62.47799583493365, 6.7182716623336844 62.47758060035957, 6.722510956450585 62.477645284016404, 6.725176603518914 62.477520011859816, 6.733992601264388 62.477550475777875, 6.740152004700366 62.4777059474605, 6.741621844181766 62.477620689922595, 6.742420861181349 62.477495726717315, 6.7492146898225105 62.47730763235481, 6.750271790421704 62.47733844423895, 6.750821329743616 62.477350680310096, 6.754574954922237 62.477378349291335, 6.754645468903293 62.47737991511897, 6.754779392559545 62.4773809446243, 6.757455052872856 62.47745502245993, 6.759302273450238 62.4775622351238, 6.761586440628295 62.47778025700332, 6.765114762436107 62.47858053037839, 6.7671902804760276 62.479123158706, 6.768202382378555 62.47938635412562, 6.768494456579265 62.479462115756014, 6.771377444290007 62.480253563671695, 6.7730926259330735 62.480699628441165, 6.777899974327882 62.481205972207704, 6.781952715371762 62.48118344155545, 6.782772816463587 62.48109058660851, 6.785421149873525 62.48078300618388, 6.791773319886344 62.48119561380834, 6.796353160939881 62.48130140527259, 6.796505807272861 62.481304774331925, 6.799573895828062 62.48150165640449, 6.801772042271615 62.481716909080625, 6.80247521347619 62.481786487070316, 6.802524949704639 62.48179173866523, 6.809810688326762 62.482600705066005, 6.810021625946461 62.482602038883044, 6.810196576009584 62.48260182494146, 6.811733215107245 62.48260588557299, 6.811867651060937 62.482605958984564, 6.811871562519171 62.482605928090365, 6.812002368148259 62.48260642808699, 6.813703001451019 62.48261021750564, 6.813835535443122 62.48261081779483, 6.813975750283554 62.48261187135013, 6.815024104878274 62.48261388794879, 6.816198338278225 62.48261303200189, 6.816325356758377 62.482612401514146, 6.81644883259223 62.48260975604632, 6.819294799968781 62.482458809955695, 6.822542572606434 62.48210612840901, 6.824571311639431 62.48188254319213, 6.8247522041696875 62.4818653258116, 6.824896387554582 62.48185237279339, 6.825407653947408 62.481813873237684, 6.830500195030242 62.48179540016247, 6.833799605222742 62.48218972354297, 6.835144541799392 62.48234593776288, 6.835500931372913 62.482386141915526, 6.837477233061242 62.482547051357386, 6.839866192301543 62.48267942187421, 6.846808988963157 62.48260891229926, 6.846899531096601 62.4825903002153, 6.849558144433829 62.482007018200946, 6.851723439839304 62.48152582781693, 6.854784825049502 62.48088588143255, 6.863506400741033 62.48092715851755, 6.864415947496092 62.48106840965194, 6.870875991248801 62.486667391752505, 6.870906218137072 62.48748610139913, 6.873773104331942 62.49167542019677, 6.87399867748682 62.49244501608177, 6.87410911026527 62.492833291692065)</t>
  </si>
  <si>
    <t>[1312250, 1312258, 1312266, 1312274, 1312282, 1312290, 1312298, 1312306, 1312314, 1312402, 1312410, 1312418, 1312426, 1312434, 1312442, 1312450, 1312458, 1312466, 1312474, 1312482, 1312490, 1312498, 1312506, 1312514, 1312522, 1312530, 1312538, 1312546, 1312554, 1312562, 1312570, 1312578, 1312586, 1312594, 1312602, 1312610, 1312618, 1312626, 1312634, 1312642, 1312650, 1312658, 1312666, 1312674, 1312682, 1312690, 1312698, 1312706, 1312714, 1312722, 1312730, 1312738, 1312746, 1312754, 1312762, 1312770, 1312778, 1312786, 1312794, 1312802, 1312810, 1312818, 1312826, 1312834, 1312842, 1312850, 1312858, 1312866, 1312874, 1312882, 1312890, 1312898, 1312906, 1312914, 1312922, 1312930, 1312938, 1312946, 1312954, 1312962, 1312970, 1312978, 1312986, 1312994, 1313002, 1313010, 1313018, 1313026, 1313034, 1313042, 983248, 983249, 983256, 983259, 983267, 983273, 983274, 983281, 983289, 983293, 983296, 983312, 983320, 983335, 983382, 983383, 983393, 983414, 983431, 983432, 983440, 983452]</t>
  </si>
  <si>
    <t>[1220320, 1220327, 675485, 1220337, 1220341, 1220348, 1220355, 460011, 1220364, 460003, 1220440, 1220446, 1220449, 320697, 1220463, 1220471, 1159254, 1220485, 324321, 1220499, 1220505, 312818, 320761, 1220523, 1220528, 1220534, 320770, 1220551, 320768, 1220565, 1220572, 1220580, 1220588, 1220597, 1220606, 1220611, 1220620, 1220626, 1220634, 276350, 1220646, 1220653, 1220658, 301089, 1220671, 1158395, 1171000, 1220690, 1220698, 300920, 300984, 301017, 1220722, 1220732, 1171057, 300911, 300830, 1220755, 1170923, 1220768, 1220775, 1220782, 1220788, 1220794, 1220799, 1220804, 280646, 280633, 1220818, 276321, 1220829, 1220837, 1220843, 1220851, 327819, 1220861, 1213639, 1213665, 1220877, 1220883, 327839, 1220893, 1220898, 1220903, 280928, 1220914, 1220920, 1220923, 1220932, 282108, 943735, 943736, 943739, 943742, 943748, 943752, 943753, 299145, 943762, 273590, 273913, 943783, 943791, 943807, 299732, 273990, 943858, 943878, 943896, 943897, 943901, 943904]</t>
  </si>
  <si>
    <t>0.009002034567715193</t>
  </si>
  <si>
    <t>[1220319, 1220320, 1220327, 675485, 1220337, 1220341, 1220348, 1220355, 460011, 1220364, 460003, 1220440, 1220446, 1220449, 320697, 1220463, 1220471, 1159254, 1220485, 324321, 1220499, 1220505, 312818, 320761, 1220523, 1220528, 1220534, 320770, 1220551, 320768, 1220565, 1220572, 1220580, 1220588, 1220597, 1220606, 1220611, 1220620, 1220626, 1220634, 276350, 1220646, 1220653, 1220658, 301089, 1220671, 1158395, 1171000, 1220690, 1220698, 300920, 300984, 301017, 1220722, 1220732, 1171057, 300911, 300830, 1220755, 1170923, 1220768, 1220775, 1220782, 1220788, 1220794, 1220799, 1220804, 280646, 280633, 1220818, 276321, 1220829, 1220837, 1220843, 1220851, 327819, 1220861, 1213639, 1213665, 1220877, 1220883, 327839, 1220893, 1220898, 1220903, 280928, 1220914, 1220920, 1220923, 1220932, 282108, 943735, 943736, 943739, 943742, 943748, 943752, 943753, 299145, 943762, 273590, 273913, 943783, 943791, 943807, 299732, 273990, 943858, 943878, 943896, 943897, 943901]</t>
  </si>
  <si>
    <t>[0.022, 0.013, 0.03, 0.014, 0.026, 0.007, 0.036, 0.035, 0.037, 0.032, 0.038, 0.036, 0.012, 0.004, 0.013, 0.001, 0.007, 0.017, 0.021, 0.01, 0.001, 0.007, 0.012, 0.029, 0.024, 0.02, 0.015, 0.037, 0.082, 0.044, 0.004, 0.038, 0.026, 0.044, 0.05, 0.044, 0.038, 0.012, 0.035, 0.019, 0.013, 0.002, 0.023, 0.025, 0.016, 0.036, 0.002, 0.065, 0.02, 0.009, 0.011, 0.008, 0.015, 0.013, 0.017, 0.007, 0.019, 0.011, 0.025, 0.014, 0.001, 0.008, 0.005, 0.008, 0.021, 0.048, 0.041, 0.025, 0.032, 0.004, 0.019, 0.041, 0.06, 0.085, 0.036, 0.092, 0.08, 0.032, 0.002, 0.0, 0.001, 0.011, 0.023, 0.022, 0.028, 0.031, 0.03, 0.029, 0.026, 0.035, 0.054, 0.054, 0.046, 0.035, 0.015, 0.023, 0.013, 0.017, 0.03, 0.033, 0.035, 0.019, 0.027, 0.038, 0.032, 0.072, 0.064, 0.056, 0.042, 0.015, 0.057, 0.053]</t>
  </si>
  <si>
    <t>15026.954171090865</t>
  </si>
  <si>
    <t>[0.0, 0.056, 0.048, 0.017, 0.046, 0.044, 0.047, 0.054, 0.022, 0.012, 0.035, 0.064, 0.074, 0.075, -0.062, 0.008, -0.029, -0.014, 0.01, 0.001, 0.019, -0.01, -0.016, -0.03, -0.029, -0.026, -0.01, -0.013, -0.017, -0.045, -0.019, -0.038, -0.035, -0.041, -0.027, -0.021, -0.016, -0.035, -0.015, -0.008, -0.0, -0.018, 0.024, 0.106, -0.044, -0.041, -0.025, -0.021, -0.021, -0.009, -0.002, 0.015, 0.03, 0.018, -0.029, -0.004, -0.088, -0.11, -0.099, -0.14, -0.137, -0.049, -0.057, -0.113, -0.035, -0.033, -0.008, -0.004, -0.044, -0.048, -0.037, -0.049, -0.056, -0.036, -0.026, -0.007, 0.001, 0.0, -0.007, -0.029, -0.047, -0.06, -0.029, -0.064]</t>
  </si>
  <si>
    <t>4347.0</t>
  </si>
  <si>
    <t>[0, 0, 0, 0, 0, 0, 0, 0, 0, 0, 0, 0, 0, 0, 0, 0, 0, 0, 0, 0, 0, 0, 0, 0, 0, 0, 0, 0, 0, 0, 0, 0, 0, 0, 0, 0, 0, 0, 0, 0, 0, 0, 0, 0, 0, 0, 0, 0, 0, 0, 0, 0, 0, 0, 0, 0, 0, 0, 0, 0, 0, 0, 0, 0, 0, 0, 0, 1, 0, 0, 0, 0, 0, 0, 0, 0, 0, 0, 0, 0, 0, 1, 0, 0]</t>
  </si>
  <si>
    <t>LINESTRING (6.8998034284550585 62.51233841957161, 6.8998034284550585 62.51233841957161, 6.900357341310246 62.512752917050214, 6.90520797454942 62.515668321341565, 6.908031575209758 62.51641939278308, 6.908941639735885 62.51666125844959, 6.909901512445725 62.51691307105354, 6.910046896158602 62.51695334894858, 6.912162450025733 62.517505236895666, 6.913746256578803 62.51792975345709, 6.915185634001526 62.51845215016431, 6.915578301009869 62.51866167649096, 6.916451993122869 62.51926958548795, 6.917082134228654 62.520041100694456, 6.917253915430283 62.52030522490351, 6.919620440932815 62.52283715183242, 6.933678446975958 62.526748131268384, 6.938562156884527 62.52840859282026, 6.942561433932048 62.52982104519923, 6.948114497422332 62.53225829421693, 6.948718795719345 62.53252833879469, 6.9492247402378675 62.5327550075794, 6.94943773378795 62.53285145351385, 6.950808508686485 62.53346829663438, 6.95277518315073 62.534529836377295, 6.953740261225509 62.535279951400376, 6.955238987310787 62.53679308237418, 6.955981564138172 62.53755266780064, 6.956846298033142 62.538438860679456, 6.957371418559058 62.53897569743218, 6.959122191495369 62.540943867502804, 6.959460624604281 62.543190707273325, 6.966010020265593 62.54819066497335, 6.966636007899597 62.54884793959465, 6.979191605620517 62.5569447120154, 6.982023369931415 62.55799539255904, 6.985508433084696 62.55880474090887, 6.99267787220405 62.55996850574456, 6.995521972954408 62.56030185846496, 7.0066455597779695 62.561452747822734, 7.006793883725531 62.56146849914502, 7.016964421203865 62.56248418215317, 7.031045027280567 62.563497339883384, 7.038156140644885 62.56479242479429, 7.039579398131797 62.56522354873563, 7.048607519289293 62.566338400202056, 7.048832469457622 62.56637978907896, 7.0631282992012245 62.568989678468824, 7.06383262949296 62.5691074089299, 7.06997210887742 62.56937580607012, 7.0706371426266 62.569432284151716, 7.073030054690901 62.56967421179291, 7.077775259694316 62.57015389104549, 7.078070287310383 62.57018339136537, 7.080822873911957 62.57043346929496, 7.085962730266447 62.57061418402263, 7.0949987364760885 62.57256482661434, 7.096533029486891 62.57326868551747, 7.096813863181827 62.57343322558808, 7.096854406126852 62.5734563698261, 7.096912251777315 62.57348916196035, 7.0970177700965165 62.57355063898632, 7.098285326665825 62.57450502590587, 7.099203373576263 62.57563059267155, 7.099927850085506 62.576913127819175, 7.100722945387677 62.58042017294749, 7.100792917610202 62.58597663020999, 7.100796696706355 62.58623346674548, 7.100797298118759 62.58628368265688, 7.100806102171555 62.58695815254034, 7.100812256614968 62.58727585655624, 7.100813065231459 62.5873143781691, 7.100814118847097 62.58736378039336, 7.1008145470640205 62.58739808354849, 7.100814890700939 62.58742493586555, 7.10082004070435 62.588466202142584, 7.100690570623773 62.58974834137479, 7.09929100464272 62.59414256760505, 7.097800688168708 62.60003607820683, 7.097754685101268 62.60051997891528, 7.097701048547683 62.60451096614345, 7.097885505890241 62.60661897960039, 7.097915136848448 62.606779908998504, 7.097944439296966 62.606998168110444, 7.097950640624595 62.60704778170967)</t>
  </si>
  <si>
    <t>[983453, 983469, 983477, 983481, 983489, 983497, 983505, 983513, 983521, 983526, 983534, 983535, 983542, 983543, 983573, 983581, 983586, 983589, 983590, 983591, 983598, 983599, 983614, 983615, 983622, 983630, 983631, 983654, 983655, 983660, 983668, 983676, 983683, 983689, 983692, 983700, 983703, 983706, 983714, 983722, 983730, 983735, 983740, 983742, 983756, 983778, 983786, 983795, 983803, 983811, 983824, 983828, 983843, 983862, 983863, 983866, 983867, 983905, 983912, 983913, 983917, 983932, 983933, 983941, 983942, 983947, 983948, 983949, 983954, 983959, 983983, 983984, 984026, 984050, 984058, 984066, 984074, 984082, 984090, 984098, 984106, 984114, 2165901, 2165907]</t>
  </si>
  <si>
    <t>[943906, 943916, 589868, 589806, 589805, 589843, 943940, 589856, 943950, 943953, 298882, 298995, 298812, 943964, 944000, 944007, 584733, 584732, 944013, 944014, 944020, 944021, 944036, 944037, 944043, 944051, 944052, 944077, 944078, 944083, 944089, 944097, 944103, 944109, 944113, 944122, 944127, 944132, 944140, 944149, 944160, 944164, 944168, 944170, 944181, 944206, 944213, 944217, 944224, 944232, 944242, 944246, 944254, 944265, 944266, 944268, 944269, 944299, 944304, 944305, 944308, 944323, 944324, 944333, 944334, 944335, 944336, 944337, 944341, 944342, 373052, 944363, 373064, 944415, 944421, 944427, 944434, 944439, 944446, 944449, 944455, 944460, 1853426, 1853430]</t>
  </si>
  <si>
    <t>[943905, 943906, 943916, 589868, 589806, 589805, 589843, 943940, 589856, 943950, 943953, 298882, 298995, 298812, 943964, 944000, 944007, 584733, 584732, 944013, 944014, 944020, 944021, 944036, 944037, 944043, 944051, 944052, 944077, 944078, 944083, 944089, 944097, 944103, 944109, 944113, 944122, 944127, 944132, 944140, 944149, 944160, 944164, 944168, 944170, 944181, 944206, 944213, 944217, 944224, 944232, 944242, 944246, 944254, 944265, 944266, 944268, 944269, 944299, 944304, 944305, 944308, 944323, 944324, 944333, 944334, 944335, 944336, 944337, 944341, 944342, 373052, 944363, 373064, 944415, 944421, 944427, 944434, 944439, 944446, 944449, 944455, 944460, 1853426]</t>
  </si>
  <si>
    <t>[0.0, 0.056, 0.048, 0.017, 0.046, 0.044, 0.047, 0.054, 0.022, 0.012, 0.035, 0.064, 0.074, 0.075, 0.062, 0.008, 0.029, 0.014, 0.01, 0.001, 0.019, 0.01, 0.016, 0.03, 0.029, 0.026, 0.01, 0.013, 0.017, 0.045, 0.019, 0.038, 0.035, 0.041, 0.027, 0.021, 0.016, 0.035, 0.015, 0.008, 0.0, 0.018, 0.024, 0.106, 0.044, 0.041, 0.025, 0.021, 0.021, 0.009, 0.002, 0.015, 0.03, 0.018, 0.029, 0.004, 0.088, 0.11, 0.099, 0.14, 0.137, 0.049, 0.057, 0.113, 0.035, 0.033, 0.008, 0.004, 0.044, 0.048, 0.037, 0.049, 0.056, 0.036, 0.026, 0.007, 0.001, 0.0, 0.007, 0.029, 0.047, 0.06, 0.029, 0.064]</t>
  </si>
  <si>
    <t>16967.24061787172</t>
  </si>
  <si>
    <t>[-0.014, -0.099, -0.022, 0.0, 0.0, 0.058, 0.111, 0.199, 0.342, 0.029, -0.259, -0.087, -0.058, -0.034, -0.019, -0.001]</t>
  </si>
  <si>
    <t>[0, 0, 1, 0, 0, 0, 0, 0, 0, 0, 0, 0, 0, 0, 0, 0]</t>
  </si>
  <si>
    <t>LINESTRING (23.04570961493532 69.94388503032019, 23.045552652268313 69.9436194909452, 23.0478858001522 69.94149116733635, 23.053762176768167 69.93972541164142, 23.055814754648534 69.93914375553446, 23.056005763990246 69.93908910932251, 23.057084893341827 69.93876354101813, 23.057287934394623 69.93869825101973, 23.059618379315392 69.93783449262835, 23.061156266601333 69.93711267034364, 23.087211856786094 69.93126388943645, 23.090591228561863 69.93092703548902, 23.095210404161953 69.9302579119049, 23.09553136809439 69.93020120189078, 23.097694945650524 69.9297839217117, 23.09809285389501 69.92970008981317, 23.099241750150586 69.92944986881297)</t>
  </si>
  <si>
    <t>[983491, 983507, 983508, 983516, 983517, 983523, 983524, 983525, 983533, 983583, 983584, 983596, 983602, 983603, 983623, 983647]</t>
  </si>
  <si>
    <t>[943930, 943941, 943942, 943946, 346945, 346960, 943951, 943952, 943959, 944009, 944010, 944017, 346967, 346985, 944044, 944071]</t>
  </si>
  <si>
    <t>0.004438068794769923</t>
  </si>
  <si>
    <t>[943911, 943930, 943941, 943942, 943946, 346945, 346960, 943951, 943952, 943959, 944009, 944010, 944017, 346967, 346985, 944044]</t>
  </si>
  <si>
    <t>[0.014, 0.099, 0.022, 0.0, 0.0, 0.058, 0.111, 0.199, 0.342, 0.029, 0.259, 0.087, 0.058, 0.034, 0.019, 0.001]</t>
  </si>
  <si>
    <t>2767.821893682136</t>
  </si>
  <si>
    <t>[0.318, -0.03, -0.027, -0.027, -0.025, -0.025, 0.008]</t>
  </si>
  <si>
    <t>LINESTRING (23.099241750150586 69.92944986881297, 23.10038679086673 69.9292267810927, 23.10188634398574 69.92892496277429, 23.10205146803813 69.92889090268552, 23.10211454721532 69.92887789395257, 23.1031505526359 69.928664257371, 23.103382674740512 69.92861631991157, 23.105917934733007 69.9280854331125)</t>
  </si>
  <si>
    <t>[2115756, 2115764, 2115772, 2115780, 2115788, 2115796, 2115804]</t>
  </si>
  <si>
    <t>[1824663, 1824668, 1824673, 1824679, 1824684, 1824690, 1824695]</t>
  </si>
  <si>
    <t>0.04454278669869471</t>
  </si>
  <si>
    <t>[944071, 1824663, 1824668, 1824673, 1824679, 1824684, 1824690]</t>
  </si>
  <si>
    <t>[0.318, 0.03, 0.027, 0.027, 0.025, 0.025, 0.008]</t>
  </si>
  <si>
    <t>297.92233044864076</t>
  </si>
  <si>
    <t>[0.327, -0.028, -0.023, -0.032, -0.025, 0.002]</t>
  </si>
  <si>
    <t>LINESTRING (23.099241750150586 69.92944986881297, 23.100290987106927 69.92918816626776, 23.101757472483758 69.92885750467562, 23.101913601969173 69.92882467104465, 23.101977821368642 69.9288112123869, 23.103020239996244 69.92859695665477, 23.105917934733007 69.9280854331125)</t>
  </si>
  <si>
    <t>[2115884, 2115892, 2115900, 2115908, 2115916, 2115924]</t>
  </si>
  <si>
    <t>[1824737, 1824742, 1824746, 1824752, 1824756, 1824695]</t>
  </si>
  <si>
    <t>0.04425410960632628</t>
  </si>
  <si>
    <t>[944071, 1824737, 1824742, 1824746, 1824752, 1824756]</t>
  </si>
  <si>
    <t>[0.327, 0.028, 0.023, 0.032, 0.025, 0.002]</t>
  </si>
  <si>
    <t>298.45027085506115</t>
  </si>
  <si>
    <t>[0.002, -0.815]</t>
  </si>
  <si>
    <t>LINESTRING (7.08888458229511 62.62200181800966, 7.088324046583197 62.62289637977269, 7.088240496030119 62.62294259081581)</t>
  </si>
  <si>
    <t>[1332999, 1333007]</t>
  </si>
  <si>
    <t>[1237930, 945719]</t>
  </si>
  <si>
    <t>[944549, 1237930]</t>
  </si>
  <si>
    <t>[0.002, 0.815]</t>
  </si>
  <si>
    <t>111.82114898810251</t>
  </si>
  <si>
    <t>[0.003, -0.587]</t>
  </si>
  <si>
    <t>LINESTRING (7.08888458229511 62.62200181800966, 7.088649217579292 62.62294278374248, 7.088676822731995 62.623028327466756)</t>
  </si>
  <si>
    <t>[2071602, 2071603]</t>
  </si>
  <si>
    <t>[1798529, 945654]</t>
  </si>
  <si>
    <t>[944549, 1798529]</t>
  </si>
  <si>
    <t>[0.003, 0.587]</t>
  </si>
  <si>
    <t>116.01885455343465</t>
  </si>
  <si>
    <t>[0.044, 0.039, 0.041, -0.023, 0.036, 0.036, 0.038, 0.044, 0.064, 0.001, -0.014, -0.017, -0.013, -0.004, -0.034, -0.046, -0.046]</t>
  </si>
  <si>
    <t>4625.0</t>
  </si>
  <si>
    <t>[0, 0, 0, 0, 0, 1, 0, 0, 0, 0, 0, 0, 0, 0, 0, 0, 1]</t>
  </si>
  <si>
    <t>LINESTRING (7.096321501611917 62.609652743395124, 7.096112587731257 62.60974016072062, 7.096038880342202 62.609771084379936, 7.095954384831066 62.609806449665875, 7.095116839734799 62.61014700971967, 7.094988454661964 62.61019585703311, 7.094711975036043 62.61030423735933, 7.093520687295391 62.61077072177766, 7.092708037410146 62.611128135759, 7.092335735195584 62.61132726330375, 7.087998707413274 62.6158755836154, 7.087983623962771 62.61591864528917, 7.087958442698111 62.61599339985345, 7.087992144931147 62.61820221517052, 7.0883891732194835 62.61953200757088, 7.088896073841647 62.621533667735676, 7.088902723045388 62.62174379355124, 7.08888458229511 62.62200181800966)</t>
  </si>
  <si>
    <t>[2165968, 2165974, 2165980, 2165986, 984122, 984130, 984138, 984146, 984154, 984162, 984170, 984178, 984186, 984194, 984202, 984210, 984218]</t>
  </si>
  <si>
    <t>[1853469, 1853474, 1853477, 944465, 944466, 944471, 944475, 944481, 944488, 944494, 944500, 944507, 944515, 944523, 944532, 944541, 944549]</t>
  </si>
  <si>
    <t>[1853468, 1853469, 1853474, 1853477, 944465, 944466, 944471, 944475, 944481, 944488, 944494, 944500, 944507, 944515, 944523, 944532, 944541]</t>
  </si>
  <si>
    <t>[0.044, 0.039, 0.041, 0.023, 0.036, 0.036, 0.038, 0.044, 0.064, 0.001, 0.014, 0.017, 0.013, 0.004, 0.034, 0.046, 0.046]</t>
  </si>
  <si>
    <t>1523.8005775124257</t>
  </si>
  <si>
    <t>12.31196615496128</t>
  </si>
  <si>
    <t>1.667</t>
  </si>
  <si>
    <t>5.686554756898501</t>
  </si>
  <si>
    <t>[0.016, 0.036, 0.041]</t>
  </si>
  <si>
    <t>LINESTRING (6.361018504974748 62.43858635122027, 6.360872174130665 62.43849388742635, 6.3592856017855945 62.43712286024722, 6.359277553244845 62.437094141027075)</t>
  </si>
  <si>
    <t>[985054, 985061, 985071]</t>
  </si>
  <si>
    <t>[945215, 945222, 945232]</t>
  </si>
  <si>
    <t>0.03473750231904607</t>
  </si>
  <si>
    <t>[945214, 945215, 945222]</t>
  </si>
  <si>
    <t>190.04499952810062</t>
  </si>
  <si>
    <t>[0.026, -0.017, -0.03, 0.004, 0.02]</t>
  </si>
  <si>
    <t>LINESTRING (6.361018504974748 62.43858635122027, 6.361627459155074 62.439323466107226, 6.362473494381094 62.44036935519407, 6.362629705164061 62.44060331763864, 6.362865259912463 62.44113143523018, 6.362910245913037 62.44177265382842)</t>
  </si>
  <si>
    <t>[1312612, 1312620, 1312628, 1312636, 1312644]</t>
  </si>
  <si>
    <t>[1220613, 1220621, 1220629, 1220636, 945350]</t>
  </si>
  <si>
    <t>0.002756648523518926</t>
  </si>
  <si>
    <t>[945214, 1220613, 1220621, 1220629, 1220636]</t>
  </si>
  <si>
    <t>[0.026, 0.017, 0.03, 0.004, 0.02]</t>
  </si>
  <si>
    <t>372.2077894264333</t>
  </si>
  <si>
    <t>46.202364008756035</t>
  </si>
  <si>
    <t>[-0.165, 0.03, 0.032, 0.011, -0.012, -0.004, -0.005, 0.456]</t>
  </si>
  <si>
    <t>LINESTRING (6.360709247742705 62.43819825362376, 6.360783411743527 62.438176617350294, 6.361426065786189 62.43798791164085, 6.36166885981929 62.43788795655861, 6.361649070845992 62.43701354952404, 6.360706692341967 62.43700043301876, 6.360232898815453 62.437033889045786, 6.359503488821339 62.43708061566871, 6.359277553244845 62.437094141027075)</t>
  </si>
  <si>
    <t>[2075884, 2075892, 2075900, 2075908, 2075916, 2075924, 2075932, 2075940]</t>
  </si>
  <si>
    <t>[1800997, 1801004, 1801011, 228482, 1553474, 1801026, 1801033, 945232]</t>
  </si>
  <si>
    <t>0.022826338764082094</t>
  </si>
  <si>
    <t>[1220599, 1800997, 1801004, 1801011, 228482, 1553474, 1801026, 1801033]</t>
  </si>
  <si>
    <t>[0.165, 0.03, 0.032, 0.011, 0.012, 0.004, 0.005, 0.456]</t>
  </si>
  <si>
    <t>288.2410561609143</t>
  </si>
  <si>
    <t>[0.032, 0.027, 0.024, 0.002, -0.024, -0.025, -0.036]</t>
  </si>
  <si>
    <t>LINESTRING (6.1274475628893885 62.19790177650535, 6.127529138186757 62.19791316586859, 6.127614925033639 62.19794231531856, 6.127660104294869 62.19797615730583, 6.127637871165176 62.19817330585637, 6.127564448664244 62.19820652972677, 6.127475353265665 62.19822600814917, 6.127374191271596 62.19822615323305)</t>
  </si>
  <si>
    <t>[985140, 985148, 985164, 985167, 985168, 985171, 985179]</t>
  </si>
  <si>
    <t>[945284, 945290, 327464, 945304, 945305, 945306, 945313]</t>
  </si>
  <si>
    <t>[945283, 945284, 945290, 327464, 945304, 945305, 945306]</t>
  </si>
  <si>
    <t>[0.032, 0.027, 0.024, 0.002, 0.024, 0.025, 0.036]</t>
  </si>
  <si>
    <t>53.01179858022316</t>
  </si>
  <si>
    <t>[0.029, 0.035]</t>
  </si>
  <si>
    <t>LINESTRING (6.127233406241575 62.197931038207784, 6.127359837248452 62.19790176688384, 6.1274475628893885 62.19790177650535)</t>
  </si>
  <si>
    <t>[985202, 985208]</t>
  </si>
  <si>
    <t>[945331, 945283]</t>
  </si>
  <si>
    <t>0.03130014846909387</t>
  </si>
  <si>
    <t>[945330, 945331]</t>
  </si>
  <si>
    <t>11.9389021625049</t>
  </si>
  <si>
    <t>[-0.031, -0.027]</t>
  </si>
  <si>
    <t>LINESTRING (6.127374191271596 62.19822615323305, 6.127268622810662 62.19820474763366, 6.127193393171945 62.198168226095916)</t>
  </si>
  <si>
    <t>[985187, 985188]</t>
  </si>
  <si>
    <t>[945322, 945323]</t>
  </si>
  <si>
    <t>[945313, 945322]</t>
  </si>
  <si>
    <t>[0.031, 0.027]</t>
  </si>
  <si>
    <t>11.665098965438226</t>
  </si>
  <si>
    <t>[0.399, -0.011, -0.015]</t>
  </si>
  <si>
    <t>LINESTRING (6.127374191271596 62.19822615323305, 6.127344620301755 62.19825621325187, 6.127218350805382 62.198371654203584, 6.127130079145393 62.19844319016636)</t>
  </si>
  <si>
    <t>[1292106, 1292114, 1292122]</t>
  </si>
  <si>
    <t>[1205246, 1205253, 1205259]</t>
  </si>
  <si>
    <t>0.042950358877586484</t>
  </si>
  <si>
    <t>[945313, 1205246, 1205253]</t>
  </si>
  <si>
    <t>[0.399, 0.011, 0.015]</t>
  </si>
  <si>
    <t>27.396788814998544</t>
  </si>
  <si>
    <t>[-0.005, 0.014]</t>
  </si>
  <si>
    <t>LINESTRING (6.127193393171945 62.198168226095916, 6.127168472762705 62.19797553750848, 6.127233406241575 62.197931038207784)</t>
  </si>
  <si>
    <t>[985195, 985198]</t>
  </si>
  <si>
    <t>[945328, 945330]</t>
  </si>
  <si>
    <t>[945323, 945328]</t>
  </si>
  <si>
    <t>[0.005, 0.014]</t>
  </si>
  <si>
    <t>28.25258639008068</t>
  </si>
  <si>
    <t>[-0.001, 0.001, 0.169]</t>
  </si>
  <si>
    <t>LINESTRING (6.127193393171945 62.198168226095916, 6.127174302021721 62.19822920316339, 6.12713628962578 62.19836301706809, 6.127130079145393 62.19844319016636)</t>
  </si>
  <si>
    <t>[1332422, 1332430, 1332438]</t>
  </si>
  <si>
    <t>[1237408, 1237417, 1205259]</t>
  </si>
  <si>
    <t>0.04923992675203952</t>
  </si>
  <si>
    <t>[945323, 1237408, 1237417]</t>
  </si>
  <si>
    <t>[0.001, 0.001, 0.169]</t>
  </si>
  <si>
    <t>30.921148528120263</t>
  </si>
  <si>
    <t>[0.039, -0.096, -0.094, -0.108, -0.069, -0.015, 0.016]</t>
  </si>
  <si>
    <t>LINESTRING (6.36686132044438 62.44312846451827, 6.367208454958807 62.44309448306882, 6.367278121062111 62.443145276553736, 6.36728241787232 62.44319090045185, 6.367233191047218 62.443238508348564, 6.367133346826665 62.44327017518298, 6.367011202860651 62.44327227100634, 6.366943383796817 62.443258952517034)</t>
  </si>
  <si>
    <t>[985219, 985220, 985230, 985231, 985236, 985252, 985253]</t>
  </si>
  <si>
    <t>[945348, 945349, 945358, 945359, 945361, 945378, 945379]</t>
  </si>
  <si>
    <t>[945347, 945348, 945349, 945358, 945359, 945361, 945378]</t>
  </si>
  <si>
    <t>[0.039, 0.096, 0.094, 0.108, 0.069, 0.015, 0.016]</t>
  </si>
  <si>
    <t>55.2067330218777</t>
  </si>
  <si>
    <t>[0.033, 0.002, 0.065]</t>
  </si>
  <si>
    <t>LINESTRING (6.362910245913037 62.44177265382842, 6.362955507466374 62.441873562943925, 6.36674792248553 62.44316019838468, 6.36686132044438 62.44312846451827)</t>
  </si>
  <si>
    <t>[985222, 985229, 985260]</t>
  </si>
  <si>
    <t>[945351, 945357, 945347]</t>
  </si>
  <si>
    <t>0.004057007898716439</t>
  </si>
  <si>
    <t>[945350, 945351, 945357]</t>
  </si>
  <si>
    <t>383.39525042959747</t>
  </si>
  <si>
    <t>0.101</t>
  </si>
  <si>
    <t>6.907251985794764</t>
  </si>
  <si>
    <t>[0.016, 0.011]</t>
  </si>
  <si>
    <t>LINESTRING (6.362910245913037 62.44177265382842, 6.362898072045492 62.44184828612172, 6.3628385298637555 62.442099903353395)</t>
  </si>
  <si>
    <t>[1312652, 1312660]</t>
  </si>
  <si>
    <t>[1220648, 945417]</t>
  </si>
  <si>
    <t>0.012152733370000725</t>
  </si>
  <si>
    <t>[945350, 1220648]</t>
  </si>
  <si>
    <t>36.738542918121816</t>
  </si>
  <si>
    <t>0.077</t>
  </si>
  <si>
    <t>9.256976288561082</t>
  </si>
  <si>
    <t>[-0.015, -0.051]</t>
  </si>
  <si>
    <t>LINESTRING (6.366943383796817 62.443258952517034, 6.366812142949617 62.4432646370016, 6.3641345479751275 62.44355228625573)</t>
  </si>
  <si>
    <t>[985295, 985296]</t>
  </si>
  <si>
    <t>[945405, 945406]</t>
  </si>
  <si>
    <t>[945379, 945405]</t>
  </si>
  <si>
    <t>[0.015, 0.051]</t>
  </si>
  <si>
    <t>149.96210636046263</t>
  </si>
  <si>
    <t>[0.026, 0.007, 0.041]</t>
  </si>
  <si>
    <t>LINESTRING (6.358652334376796 62.445439076448345, 6.358683455650713 62.445332072849105, 6.366763123683256 62.443202788947936, 6.366844642288222 62.44318982958236)</t>
  </si>
  <si>
    <t>[985269, 985273, 985275]</t>
  </si>
  <si>
    <t>[945390, 945393, 945385]</t>
  </si>
  <si>
    <t>0.0076240856525814395</t>
  </si>
  <si>
    <t>[945389, 945390, 945393]</t>
  </si>
  <si>
    <t>610.0343849341823</t>
  </si>
  <si>
    <t>45.11771076929724</t>
  </si>
  <si>
    <t>[-0.058, -0.032, 0.015]</t>
  </si>
  <si>
    <t>LINESTRING (6.3628385298637555 62.442099903353395, 6.362199827873279 62.44308924219033, 6.361718939055856 62.443497421592006, 6.358652334376796 62.445439076448345)</t>
  </si>
  <si>
    <t>[1312668, 1312676, 1312684]</t>
  </si>
  <si>
    <t>[1220660, 1220665, 945389]</t>
  </si>
  <si>
    <t>[945417, 1220660, 1220665]</t>
  </si>
  <si>
    <t>[0.058, 0.032, 0.015]</t>
  </si>
  <si>
    <t>437.2647919278397</t>
  </si>
  <si>
    <t>[-0.021, -0.001, 0.024, 0.044]</t>
  </si>
  <si>
    <t>LINESTRING (6.357891986986832 62.46086719161767, 6.357977267741113 62.46090136254645, 6.358028290725874 62.46096875957131, 6.35798044621444 62.4610559726063, 6.357898478871997 62.46109147115342)</t>
  </si>
  <si>
    <t>[985274, 985281, 985292, 985303]</t>
  </si>
  <si>
    <t>[945395, 945396, 945404, 945412]</t>
  </si>
  <si>
    <t>0.012342846032647906</t>
  </si>
  <si>
    <t>[945394, 945395, 945396, 945404]</t>
  </si>
  <si>
    <t>[0.021, 0.001, 0.024, 0.044]</t>
  </si>
  <si>
    <t>29.660298395840215</t>
  </si>
  <si>
    <t>[-0.038, -0.028]</t>
  </si>
  <si>
    <t>LINESTRING (6.357612407772827 62.460864870486496, 6.357750616819428 62.46084833190084, 6.357891986986832 62.46086719161767)</t>
  </si>
  <si>
    <t>[985330, 985354]</t>
  </si>
  <si>
    <t>[945430, 945394]</t>
  </si>
  <si>
    <t>[945426, 945430]</t>
  </si>
  <si>
    <t>[0.038, 0.028]</t>
  </si>
  <si>
    <t>14.989101032942077</t>
  </si>
  <si>
    <t>[0.038, -0.33]</t>
  </si>
  <si>
    <t>LINESTRING (6.357735125360803 62.460579218187675, 6.357858010585217 62.46079781337234, 6.357891986986832 62.46086719161767)</t>
  </si>
  <si>
    <t>[1292957, 1292969]</t>
  </si>
  <si>
    <t>[1206000, 945394]</t>
  </si>
  <si>
    <t>[1205999, 1206000]</t>
  </si>
  <si>
    <t>[0.038, 0.33]</t>
  </si>
  <si>
    <t>33.17063378530452</t>
  </si>
  <si>
    <t>[-0.002, 0.028, 0.061, 0.036]</t>
  </si>
  <si>
    <t>LINESTRING (6.3641345479751275 62.44355228625573, 6.361594901873405 62.443485091941206, 6.362092103406009 62.44307634961449, 6.362737265066717 62.442195157882416, 6.3628385298637555 62.442099903353395)</t>
  </si>
  <si>
    <t>[985297, 985305, 985306, 985312]</t>
  </si>
  <si>
    <t>[945407, 945414, 945415, 945417]</t>
  </si>
  <si>
    <t>0.015193517000161453</t>
  </si>
  <si>
    <t>[945406, 945407, 945414, 945415]</t>
  </si>
  <si>
    <t>[0.002, 0.028, 0.061, 0.036]</t>
  </si>
  <si>
    <t>498.9945282921209</t>
  </si>
  <si>
    <t>[0.004, 0.006, -0.036]</t>
  </si>
  <si>
    <t>LINESTRING (6.3641345479751275 62.44355228625573, 6.364056082970818 62.44356915706984, 6.358473045403217 62.44570949384759, 6.358328961285955 62.445814271158476)</t>
  </si>
  <si>
    <t>[985324, 985332, 985333]</t>
  </si>
  <si>
    <t>[945427, 945432, 945433]</t>
  </si>
  <si>
    <t>0.004582454876453106</t>
  </si>
  <si>
    <t>[945406, 945427, 945432]</t>
  </si>
  <si>
    <t>[0.004, 0.006, 0.036]</t>
  </si>
  <si>
    <t>417.384312108702</t>
  </si>
  <si>
    <t>[0.057, 0.034]</t>
  </si>
  <si>
    <t>LINESTRING (6.357898478871997 62.46109147115342, 6.35773367794515 62.461109395446016, 6.357545284528858 62.461070000660925)</t>
  </si>
  <si>
    <t>[985315, 985316]</t>
  </si>
  <si>
    <t>[945419, 945420]</t>
  </si>
  <si>
    <t>0.04435524676142858</t>
  </si>
  <si>
    <t>[945412, 945419]</t>
  </si>
  <si>
    <t>19.442722195911706</t>
  </si>
  <si>
    <t>[0.005, -0.021, -0.038, -0.046]</t>
  </si>
  <si>
    <t>LINESTRING (6.357545284528858 62.461070000660925, 6.3574863338494465 62.461034870396816, 6.357467433240999 62.46097249542272, 6.357514570319725 62.46090394125422, 6.357612407772827 62.460864870486496)</t>
  </si>
  <si>
    <t>[985317, 985318, 985321, 985322]</t>
  </si>
  <si>
    <t>[945421, 945422, 945425, 945426]</t>
  </si>
  <si>
    <t>[945420, 945421, 945422, 945425]</t>
  </si>
  <si>
    <t>[0.005, 0.021, 0.038, 0.046]</t>
  </si>
  <si>
    <t>26.71804761421165</t>
  </si>
  <si>
    <t>[0.008, -0.179]</t>
  </si>
  <si>
    <t>LINESTRING (6.357735125360803 62.460579218187675, 6.357641463684377 62.46079809732993, 6.357612407772827 62.460864870486496)</t>
  </si>
  <si>
    <t>[1332895, 1332903]</t>
  </si>
  <si>
    <t>[1237832, 945426]</t>
  </si>
  <si>
    <t>[1205999, 1237832]</t>
  </si>
  <si>
    <t>[0.008, 0.179]</t>
  </si>
  <si>
    <t>32.52631417898705</t>
  </si>
  <si>
    <t>[0.042, 0.007, -0.013]</t>
  </si>
  <si>
    <t>14486.0</t>
  </si>
  <si>
    <t>LINESTRING (6.358328961285955 62.445814271158476, 6.357901595467002 62.44686745270028, 6.356160108928355 62.45430844550758, 6.357735125360803 62.460579218187675)</t>
  </si>
  <si>
    <t>[1312700, 1312708, 1312716]</t>
  </si>
  <si>
    <t>[1220684, 1220692, 1205999]</t>
  </si>
  <si>
    <t>0.0010198383689010242</t>
  </si>
  <si>
    <t>[945433, 1220684, 1220692]</t>
  </si>
  <si>
    <t>[0.042, 0.007, 0.013]</t>
  </si>
  <si>
    <t>1670.1274849926804</t>
  </si>
  <si>
    <t>11.20254332739349</t>
  </si>
  <si>
    <t>LINESTRING (6.351674596579687 62.46929360748188, 6.351851598340573 62.46936039690888, 6.351960058249243 62.46945528952276)</t>
  </si>
  <si>
    <t>[985520, 985527]</t>
  </si>
  <si>
    <t>[945581, 945503]</t>
  </si>
  <si>
    <t>[945580, 945581]</t>
  </si>
  <si>
    <t>23.794434603385533</t>
  </si>
  <si>
    <t>[-0.048, -0.071]</t>
  </si>
  <si>
    <t>LINESTRING (6.351981114582676 62.469555125061575, 6.351882509995186 62.46967809270672, 6.351674329161071 62.46976592973077)</t>
  </si>
  <si>
    <t>[985433, 985438]</t>
  </si>
  <si>
    <t>[945505, 945511]</t>
  </si>
  <si>
    <t>[945504, 945505]</t>
  </si>
  <si>
    <t>[0.048, 0.071]</t>
  </si>
  <si>
    <t>29.21008369864262</t>
  </si>
  <si>
    <t>[-0.046, 0.036, 0.061, 0.045]</t>
  </si>
  <si>
    <t>LINESTRING (6.351674329161071 62.46976592973077, 6.3514660485105 62.469795021689336, 6.351246416144582 62.46978636884147, 6.351057344118002 62.46974069956985, 6.350964876401344 62.469356825091204)</t>
  </si>
  <si>
    <t>[985439, 985441, 985442, 985458]</t>
  </si>
  <si>
    <t>[945512, 945515, 945516, 945527]</t>
  </si>
  <si>
    <t>0.033366365022746244</t>
  </si>
  <si>
    <t>[945511, 945512, 945515, 945516]</t>
  </si>
  <si>
    <t>[0.046, 0.036, 0.061, 0.045]</t>
  </si>
  <si>
    <t>81.62391080919639</t>
  </si>
  <si>
    <t>[0.002, -0.02]</t>
  </si>
  <si>
    <t>LINESTRING (6.350964876401344 62.469356825091204, 6.351177554495425 62.46928456676304, 6.3514211146980735 62.46926193370124)</t>
  </si>
  <si>
    <t>[985480, 985481]</t>
  </si>
  <si>
    <t>[945544, 945545]</t>
  </si>
  <si>
    <t>[945527, 945544]</t>
  </si>
  <si>
    <t>[0.002, 0.02]</t>
  </si>
  <si>
    <t>26.480169992580123</t>
  </si>
  <si>
    <t>[-0.177, 0.033, 0.319]</t>
  </si>
  <si>
    <t>LINESTRING (6.350964876401344 62.469356825091204, 6.350974158002829 62.469259597273975, 6.351233485615031 62.46884839137397, 6.351330685659754 62.46880500088571)</t>
  </si>
  <si>
    <t>[1296827, 1296835, 1296843]</t>
  </si>
  <si>
    <t>[1208962, 1208967, 947480]</t>
  </si>
  <si>
    <t>0.028772604514603776</t>
  </si>
  <si>
    <t>[945527, 1208962, 1208967]</t>
  </si>
  <si>
    <t>[0.177, 0.033, 0.319]</t>
  </si>
  <si>
    <t>67.64826320589455</t>
  </si>
  <si>
    <t>13.572810946856288</t>
  </si>
  <si>
    <t>[-0.204, 0.043, 0.376]</t>
  </si>
  <si>
    <t>LINESTRING (6.3514211146980735 62.46926193370124, 6.351293092122394 62.46919720783253, 6.351278827358321 62.468856634512825, 6.351330685659754 62.46880500088571)</t>
  </si>
  <si>
    <t>[1333357, 1333365, 1333373]</t>
  </si>
  <si>
    <t>[1238236, 1238244, 947480]</t>
  </si>
  <si>
    <t>0.0377140200025593</t>
  </si>
  <si>
    <t>[945545, 1238236, 1238244]</t>
  </si>
  <si>
    <t>[0.204, 0.043, 0.376]</t>
  </si>
  <si>
    <t>57.351651435732066</t>
  </si>
  <si>
    <t>[-0.042, -0.046, -0.041, -0.03]</t>
  </si>
  <si>
    <t>LINESTRING (7.088676822731995 62.623028327466756, 7.088694890160549 62.623079979263586, 7.08865101226467 62.62320078588116, 7.088486982825537 62.623270259074374, 7.088423281385854 62.62327969931626)</t>
  </si>
  <si>
    <t>[985600, 985608, 985634, 985642]</t>
  </si>
  <si>
    <t>[945655, 945664, 945694, 945705]</t>
  </si>
  <si>
    <t>[945654, 945655, 945664, 945694]</t>
  </si>
  <si>
    <t>[0.042, 0.046, 0.041, 0.03]</t>
  </si>
  <si>
    <t>34.59836767429217</t>
  </si>
  <si>
    <t>[0.01, -0.018]</t>
  </si>
  <si>
    <t>LINESTRING (7.088240496030119 62.62294259081581, 7.0884693120020215 62.62295243494145, 7.088676822731995 62.623028327466756)</t>
  </si>
  <si>
    <t>[985657, 985665]</t>
  </si>
  <si>
    <t>[945721, 945654]</t>
  </si>
  <si>
    <t>[945719, 945721]</t>
  </si>
  <si>
    <t>25.608701492619442</t>
  </si>
  <si>
    <t>9.324455211781359</t>
  </si>
  <si>
    <t>1.748732397965013</t>
  </si>
  <si>
    <t>[0.16, -0.029, -0.038, -0.027, -0.033, -0.21]</t>
  </si>
  <si>
    <t>LINESTRING (9.292427197307381 59.57410087305441, 9.292144853080607 59.57375389106998, 9.292122242860474 59.573716211634675, 9.291853959689005 59.57332817484878, 9.291820920199129 59.57329371200299, 9.291748066122722 59.57322268069113, 9.291389122097312 59.572886119745604)</t>
  </si>
  <si>
    <t>[1033423, 1033431, 1033439, 1033447, 1033455, 1033463]</t>
  </si>
  <si>
    <t>[986711, 986715, 986722, 986699, 986686, 946421]</t>
  </si>
  <si>
    <t>[946415, 986711, 986715, 986722, 986699, 986686]</t>
  </si>
  <si>
    <t>[0.16, 0.029, 0.038, 0.027, 0.033, 0.21]</t>
  </si>
  <si>
    <t>148.4116517818616</t>
  </si>
  <si>
    <t>[0.157, -0.035, -0.038, -0.037, -0.222]</t>
  </si>
  <si>
    <t>LINESTRING (9.292427197307381 59.57410087305441, 9.292281078566816 59.57369308173414, 9.291996695541792 59.57329222510297, 9.291959374101522 59.573256332837026, 9.291876792577101 59.57318521833492, 9.291389122097312 59.572886119745604)</t>
  </si>
  <si>
    <t>[1033471, 1033479, 1033487, 1033495, 1033503]</t>
  </si>
  <si>
    <t>[986747, 986752, 986700, 986687, 946421]</t>
  </si>
  <si>
    <t>[946415, 986747, 986752, 986700, 986687]</t>
  </si>
  <si>
    <t>[0.157, 0.035, 0.038, 0.037, 0.222]</t>
  </si>
  <si>
    <t>151.30983610486868</t>
  </si>
  <si>
    <t>[-0.013, 0.616, -0.045, 0.092, 0.092, -0.045, -0.023, 0.027, -0.013, 0.013, 0.027, 0.001, -0.072, -0.069, -0.066, -0.074, 0.027, 0.037, 0.025, 0.026, 0.005, -0.017, -0.019, 0.01, 0.064, 0.011, -0.009, -0.071, -0.06, 0.031, 0.056, 0.056, 0.019, -0.069, -0.075, -0.062, -0.047, -0.034, 0.011, 0.01, -0.015, 0.014, 0.009, 0.017, 0.014, -0.006, 0.036, 0.039, 0.021, 0.041, 0.036, 0.037, 0.048, 0.043, 0.048, 0.059, 0.091, 0.024, -0.104, 0.018, 0.04, 0.062, 0.003, 0.051, 0.052, 0.071, -0.056, 0.001, -0.057, -0.07, -0.032, -0.063, -0.069, -0.029, -0.016, -0.015, 0.019, 0.034, 0.017, 0.006, -0.0, 0.027, 0.071, 0.087, 0.105, 0.096, 0.066, 0.019, 0.03, -0.014, 0.018, -0.023, -0.033, -0.03, -0.027, 0.014, -0.076, -0.139, -0.045, -0.034, -0.033, 0.034, -0.04, -0.038, -0.054, -0.051]</t>
  </si>
  <si>
    <t>4727.0</t>
  </si>
  <si>
    <t>[0, 0, 0, 0, 1, 0, 0, 0, 0, 0, 0, 0, 0, 0, 0, 0, 0, 0, 0, 0, 0, 0, 1, 0, 0, 0, 0, 0, 0, 0, 0, 0, 0, 0, 0, 0, 0, 0, 0, 0, 0, 1, 0, 0, 0, 1, 0, 0, 0, 0, 0, 0, 0, 0, 0, 0, 1, 0, 0, 0, 0, 0, 0, 0, 0, 0, 0, 0, 0, 0, 0, 0, 0, 0, 0, 1, 0, 0, 0, 0, 0, 0, 0, 0, 0, 0, 0, 0, 0, 0, 0, 0, 0, 0, 0, 0, 0, 0, 0, 0, 0, 0, 0, 0, 0, 0]</t>
  </si>
  <si>
    <t>LINESTRING (9.568939142508722 59.628837568053555, 9.567712497009659 59.62895888099036, 9.567374412155019 59.62898809285296, 9.561974946587938 59.628505054863496, 9.558848942622546 59.62935231662345, 9.558560963359584 59.62945834270729, 9.55535055590341 59.63004156117568, 9.551909552586057 59.6299252116591, 9.55146128316034 59.629817504072825, 9.54765726931677 59.62883985373849, 9.546764333817373 59.628801707696745, 9.543256676686 59.629434717964976, 9.531336177714124 59.630396300758775, 9.531235641613423 59.63041519767878, 9.529046442957615 59.63093611142716, 9.528693762546737 59.631023770011126, 9.528613538824363 59.63104351512877, 9.527233389914125 59.63138385463679, 9.527139153723256 59.63140701723868, 9.52706987477621 59.63142404268742, 9.52490582753286 59.63195778741553, 9.515398636816764 59.63185626678998, 9.514858416893512 59.63167810827559, 9.514713337054513 59.631631574884096, 9.51177916190147 59.631049162666564, 9.504712890943148 59.629848098100865, 9.504206098111924 59.629727584681085, 9.503327276408116 59.62958596321838, 9.501764511072945 59.62951889095326, 9.500349648112012 59.6295977939925, 9.499286669323315 59.629764237535376, 9.498100349596186 59.630050565088276, 9.49697398124323 59.630103044954154, 9.491133643878099 59.62906203743942, 9.490655541852645 59.62898376462558, 9.488686232238603 59.62869696673084, 9.48794727472862 59.628623867435344, 9.48709431431148 59.628538395691756, 9.48650097303242 59.62846593916653, 9.480159059931378 59.627865005646385, 9.478252237708988 59.627602303379604, 9.475364481232702 59.626677681052385, 9.475185385804824 59.62657628315579, 9.474216327762313 59.62585759701011, 9.473538211817338 59.625045468935724, 9.47346303176982 59.62318352105974, 9.473475956664718 59.62313538495268, 9.474061975081112 59.62110179517126, 9.468156499740402 59.61709126627102, 9.463160659367347 59.61413565951442, 9.462934485474706 59.61403157208459, 9.462633508357248 59.613896413246664, 9.46164768714871 59.61348741904073, 9.459881969203465 59.61279964256846, 9.452299863334707 59.61077939126205, 9.451293292896915 59.61046060648855, 9.443053339909822 59.60789080896984, 9.442821190311681 59.60783413240442, 9.440661443525512 59.60732403439392, 9.437448911230193 59.606447805023265, 9.436072279139601 59.60589650395608, 9.430021021472296 59.60488045589795, 9.421260430835218 59.6039823959942, 9.41862293887863 59.603269007463346, 9.41847570633819 59.60322694829074, 9.418337232400608 59.60318721631277, 9.417669436937773 59.602993510470434, 9.405990976137895 59.599599301536735, 9.404734143482997 59.59923468403652, 9.39461634201955 59.59849800797759, 9.383417635538429 59.59563581541803, 9.37516034920686 59.59579629493698, 9.375074704861042 59.59570058901439, 9.36452670591352 59.59234482735114, 9.355736921173992 59.592113190606064, 9.355276061533466 59.59201769871342, 9.355047638368092 59.59193532124433, 9.354696394732375 59.591741177251166, 9.354605551613206 59.59166221647617, 9.354233216386339 59.59116183855207, 9.354201326590553 59.5911137347199, 9.354187221340759 59.591092467189505, 9.353625837170858 59.590569080384746, 9.352593457726792 59.59008317502439, 9.351840083929643 59.58986610558307, 9.350913216721722 59.58966147364806, 9.3505596405793 59.589605754205856, 9.343859918256749 59.58887733055189, 9.342988944638856 59.588575254651325, 9.339472352619802 59.587422071342914, 9.338340400269857 59.587169660314366, 9.334986083729993 59.58636855761113, 9.32548585238015 59.58369080740666, 9.325349436605102 59.58367650772743, 9.325196031260996 59.583662441695346, 9.320888244061853 59.583323723088085, 9.320000518816109 59.58302474263094, 9.312580101789141 59.58334321441442, 9.309816576807748 59.58420169515076, 9.307662589906732 59.584436818157585, 9.306663694556574 59.584441021547406, 9.305402635657225 59.58445946567265, 9.305093497765661 59.5844867424508, 9.29587903249052 59.57884464620338, 9.29258511176649 59.57435558420434, 9.292505817903569 59.57424023568375, 9.292427197307381 59.57410087305441)</t>
  </si>
  <si>
    <t>[1331451, 1331459, 630337, 630345, 630353, 630361, 630369, 630377, 630385, 630393, 630401, 630409, 630417, 630425, 630433, 630441, 630449, 630457, 630465, 630473, 630481, 630489, 630497, 630505, 630513, 630521, 630529, 630537, 630545, 630553, 630561, 630569, 630577, 630585, 630593, 630601, 630609, 630617, 630625, 630633, 630641, 630649, 630657, 630665, 630673, 630681, 630689, 630697, 630705, 630713, 630721, 630729, 630737, 630745, 630753, 630761, 630769, 630777, 910794, 910802, 910810, 910818, 910826, 910834, 910842, 910850, 910858, 910866, 910874, 910882, 910890, 910898, 910906, 910914, 910922, 910930, 910938, 910946, 910954, 910962, 910970, 910978, 910986, 910994, 911002, 911010, 911018, 911026, 911034, 911042, 911050, 911058, 911066, 911074, 911082, 691591, 691599, 911090, 911098, 911106, 911114, 911122, 911130, 986599, 986606, 986614]</t>
  </si>
  <si>
    <t>[1236483, 625999, 626000, 626005, 626015, 626020, 626026, 626034, 626041, 626047, 626052, 626058, 626064, 626069, 626077, 626083, 626090, 626098, 626105, 626111, 626117, 626120, 626124, 626129, 626134, 626142, 626148, 626154, 626161, 626165, 626171, 626178, 626183, 626187, 626194, 626199, 626205, 626211, 626219, 626225, 626233, 626238, 626245, 626250, 626254, 626261, 626269, 626277, 626284, 626289, 626294, 626299, 626306, 626314, 626319, 626324, 626331, 626338, 798092, 752757, 884301, 809041, 884311, 884317, 884323, 884329, 753345, 803557, 753482, 803758, 753520, 884359, 753318, 753552, 884373, 884381, 805303, 884391, 884399, 884406, 884413, 797956, 753422, 884433, 813641, 753593, 803797, 803798, 751121, 803809, 884472, 884481, 884486, 884495, 685314, 685296, 685321, 884504, 884513, 884520, 884525, 884530, 753699, 946402, 809778, 946415]</t>
  </si>
  <si>
    <t>[1236482, 1236483, 625999, 626000, 626005, 626015, 626020, 626026, 626034, 626041, 626047, 626052, 626058, 626064, 626069, 626077, 626083, 626090, 626098, 626105, 626111, 626117, 626120, 626124, 626129, 626134, 626142, 626148, 626154, 626161, 626165, 626171, 626178, 626183, 626187, 626194, 626199, 626205, 626211, 626219, 626225, 626233, 626238, 626245, 626250, 626254, 626261, 626269, 626277, 626284, 626289, 626294, 626299, 626306, 626314, 626319, 626324, 626331, 626338, 798092, 752757, 884301, 809041, 884311, 884317, 884323, 884329, 753345, 803557, 753482, 803758, 753520, 884359, 753318, 753552, 884373, 884381, 805303, 884391, 884399, 884406, 884413, 797956, 753422, 884433, 813641, 753593, 803797, 803798, 751121, 803809, 884472, 884481, 884486, 884495, 685314, 685296, 685321, 884504, 884513, 884520, 884525, 884530, 753699, 946402, 809778]</t>
  </si>
  <si>
    <t>[0.013, 0.616, 0.045, 0.092, 0.092, 0.045, 0.023, 0.027, 0.013, 0.013, 0.027, 0.001, 0.072, 0.069, 0.066, 0.074, 0.027, 0.037, 0.025, 0.026, 0.005, 0.017, 0.019, 0.01, 0.064, 0.011, 0.009, 0.071, 0.06, 0.031, 0.056, 0.056, 0.019, 0.069, 0.075, 0.062, 0.047, 0.034, 0.011, 0.01, 0.015, 0.014, 0.009, 0.017, 0.014, 0.006, 0.036, 0.039, 0.021, 0.041, 0.036, 0.037, 0.048, 0.043, 0.048, 0.059, 0.091, 0.024, 0.104, 0.018, 0.04, 0.062, 0.003, 0.051, 0.052, 0.071, 0.056, 0.001, 0.057, 0.07, 0.032, 0.063, 0.069, 0.029, 0.016, 0.015, 0.019, 0.034, 0.017, 0.006, 0.0, 0.027, 0.071, 0.087, 0.105, 0.096, 0.066, 0.019, 0.03, 0.014, 0.018, 0.023, 0.033, 0.03, 0.027, 0.014, 0.076, 0.139, 0.045, 0.034, 0.033, 0.034, 0.04, 0.038, 0.054, 0.051]</t>
  </si>
  <si>
    <t>18921.13763973926</t>
  </si>
  <si>
    <t>[0.13, -0.002, -0.004, -0.007, -0.009, -0.012, -0.194]</t>
  </si>
  <si>
    <t>LINESTRING (9.201280809028253 59.57154723160673, 9.200592466266718 59.57196233101383, 9.200537068592615 59.57199480792706, 9.199864763173638 59.57239738305333, 9.199757205704394 59.572461345902134, 9.199588885663099 59.5725576008502, 9.199233479093456 59.572760736245705, 9.198713951909168 59.57300554076397)</t>
  </si>
  <si>
    <t>[1708921, 1708929, 1708937, 1708945, 1708953, 1708961, 1708969]</t>
  </si>
  <si>
    <t>[1525387, 1525391, 1525397, 1525381, 1525408, 1525414, 946730]</t>
  </si>
  <si>
    <t>[946722, 1525387, 1525391, 1525397, 1525381, 1525408, 1525414]</t>
  </si>
  <si>
    <t>[0.13, 0.002, 0.004, 0.007, 0.009, 0.012, 0.194]</t>
  </si>
  <si>
    <t>218.72473467571228</t>
  </si>
  <si>
    <t>[0.114, -0.006, -0.006, -0.007, -0.011, -0.009, -0.019, -0.21]</t>
  </si>
  <si>
    <t>LINESTRING (9.201280809028253 59.57154723160673, 9.200438674792636 59.57194649547741, 9.199754490509685 59.572349010369024, 9.199695839500945 59.57238398010175, 9.19959181091988 59.57244600207698, 9.19948277599627 59.572511015361506, 9.199139821023069 59.57271592816287, 9.199074690539485 59.57275367951711, 9.198713951909168 59.57300554076397)</t>
  </si>
  <si>
    <t>[1708977, 1708985, 1708993, 1709001, 1709009, 1709017, 1709025, 1709033]</t>
  </si>
  <si>
    <t>[1525427, 1525436, 1525441, 1525450, 1525456, 1525462, 1525468, 946730]</t>
  </si>
  <si>
    <t>[946722, 1525427, 1525436, 1525441, 1525450, 1525456, 1525462, 1525468]</t>
  </si>
  <si>
    <t>[0.114, 0.006, 0.006, 0.007, 0.011, 0.009, 0.019, 0.21]</t>
  </si>
  <si>
    <t>219.2703573535946</t>
  </si>
  <si>
    <t>[-0.016, 0.01, 0.005, 0.009, 0.01]</t>
  </si>
  <si>
    <t>8232.0</t>
  </si>
  <si>
    <t>LINESTRING (9.211993286721972 59.56760152178047, 9.211569062119214 59.567720128395344, 9.210672849319007 59.56799261473496, 9.208535921208547 59.56875592169075, 9.20423596254032 59.57033271039508, 9.201280809028253 59.57154723160673)</t>
  </si>
  <si>
    <t>[1391550, 987090, 987092, 987093, 987094]</t>
  </si>
  <si>
    <t>[946718, 946719, 946720, 946721, 946722]</t>
  </si>
  <si>
    <t>0.007663284300107495</t>
  </si>
  <si>
    <t>[1276220, 946718, 946719, 946720, 946721]</t>
  </si>
  <si>
    <t>[0.016, 0.01, 0.005, 0.009, 0.01]</t>
  </si>
  <si>
    <t>749.8545263617652</t>
  </si>
  <si>
    <t>[-0.001, -0.017, -0.002, -0.022, 0.033, 0.008, 0.009, -0.021]</t>
  </si>
  <si>
    <t>LINESTRING (9.198713951909168 59.57300554076397, 9.198235506245139 59.57328964644597, 9.19820275256984 59.57330924725258, 9.197166525703542 59.5739200103535, 9.195506273001236 59.574825629950396, 9.195424321114087 59.57486219059555, 9.194027084788713 59.57539499513327, 9.19344674522641 59.575567325162176, 9.19136247334443 59.57604710607507)</t>
  </si>
  <si>
    <t>[987102, 987104, 987106, 987110, 987117, 987126, 987134, 987142]</t>
  </si>
  <si>
    <t>[500772, 946732, 946734, 946737, 787826, 489083, 946752, 946757]</t>
  </si>
  <si>
    <t>[946730, 500772, 946732, 946734, 946737, 787826, 489083, 946752]</t>
  </si>
  <si>
    <t>[0.001, 0.017, 0.002, 0.022, 0.033, 0.008, 0.009, 0.021]</t>
  </si>
  <si>
    <t>545.0503549544007</t>
  </si>
  <si>
    <t>[-0.001, -0.02]</t>
  </si>
  <si>
    <t>LINESTRING (9.19136247334443 59.57604710607507, 9.190459842578118 59.576170062156564, 9.190334692260622 59.57617887821267)</t>
  </si>
  <si>
    <t>[1245046, 1245047]</t>
  </si>
  <si>
    <t>[1164915, 1164916]</t>
  </si>
  <si>
    <t>[946757, 1164915]</t>
  </si>
  <si>
    <t>[0.001, 0.02]</t>
  </si>
  <si>
    <t>60.26750217074835</t>
  </si>
  <si>
    <t>[0.016, 0.007]</t>
  </si>
  <si>
    <t>LINESTRING (9.19136247334443 59.57604710607507, 9.190545164256022 59.576275785338375, 9.190459005417573 59.57631496466501)</t>
  </si>
  <si>
    <t>[1245069, 1245077]</t>
  </si>
  <si>
    <t>[1164929, 1164933]</t>
  </si>
  <si>
    <t>0.015013078186447192</t>
  </si>
  <si>
    <t>[946757, 1164929]</t>
  </si>
  <si>
    <t>59.68557077191562</t>
  </si>
  <si>
    <t>[0.033, -0.008]</t>
  </si>
  <si>
    <t>LINESTRING (9.189958693394624 59.57624717179026, 9.189852521983617 59.57630036809269, 9.189052320248978 59.576530592130915)</t>
  </si>
  <si>
    <t>[1244982, 1244990]</t>
  </si>
  <si>
    <t>[1164859, 946758]</t>
  </si>
  <si>
    <t>[1164858, 1164859]</t>
  </si>
  <si>
    <t>[0.033, 0.008]</t>
  </si>
  <si>
    <t>60.794471767318015</t>
  </si>
  <si>
    <t>[-0.008, -0.021]</t>
  </si>
  <si>
    <t>LINESTRING (9.190082322644221 59.57640690470309, 9.189951684681597 59.576413684684404, 9.189052320248978 59.576530592130915)</t>
  </si>
  <si>
    <t>[1245023, 1245033]</t>
  </si>
  <si>
    <t>[1164893, 946758]</t>
  </si>
  <si>
    <t>[1164892, 1164893]</t>
  </si>
  <si>
    <t>[0.008, 0.021]</t>
  </si>
  <si>
    <t>60.196134782974866</t>
  </si>
  <si>
    <t>11452.0</t>
  </si>
  <si>
    <t>111.0638634497704</t>
  </si>
  <si>
    <t>[-0.031, 0.0, -0.007, -0.002]</t>
  </si>
  <si>
    <t>LINESTRING (6.3526687941129305 62.46803693687835, 6.352691536661633 62.4679232289189, 6.352691987608216 62.46792094403509, 6.3527492472422065 62.467751998712615, 6.352757832332132 62.467684273019636)</t>
  </si>
  <si>
    <t>[1296851, 1296859, 1296867, 1296875]</t>
  </si>
  <si>
    <t>[1208982, 1208989, 1208994, 1209004]</t>
  </si>
  <si>
    <t>[947481, 1208982, 1208989, 1208994]</t>
  </si>
  <si>
    <t>[0.031, 0.0, 0.007, 0.002]</t>
  </si>
  <si>
    <t>39.68432887409479</t>
  </si>
  <si>
    <t>[-0.053, 0.0, -0.001, 0.003]</t>
  </si>
  <si>
    <t>LINESTRING (6.3526687941129305 62.46803693687835, 6.352807483893356 62.46794095714057, 6.352810831422879 62.467938645268944, 6.352955382418801 62.46777926024469, 6.353032258984029 62.46772393849029)</t>
  </si>
  <si>
    <t>[1333477, 1333485, 1333493, 1333501]</t>
  </si>
  <si>
    <t>[1238322, 1238328, 1238334, 1218525]</t>
  </si>
  <si>
    <t>[947481, 1238322, 1238328, 1238334]</t>
  </si>
  <si>
    <t>[0.053, 0.0, 0.001, 0.003]</t>
  </si>
  <si>
    <t>39.85784287962751</t>
  </si>
  <si>
    <t>[0.037, 0.035, 0.06]</t>
  </si>
  <si>
    <t>LINESTRING (6.346842419852577 62.465471055957636, 6.346722672592842 62.465450202445595, 6.346403017466733 62.46539378288478, 6.346129255504305 62.46532642386009)</t>
  </si>
  <si>
    <t>[1296955, 1296963, 1296979]</t>
  </si>
  <si>
    <t>[1209065, 1209073, 947482]</t>
  </si>
  <si>
    <t>0.045263937975774736</t>
  </si>
  <si>
    <t>[1209064, 1209065, 1209073]</t>
  </si>
  <si>
    <t>40.330807330159175</t>
  </si>
  <si>
    <t>[0.039, 0.04, 0.069]</t>
  </si>
  <si>
    <t>LINESTRING (6.346925475076945 62.46536744080755, 6.346785069373255 62.46536235550431, 6.346431542573255 62.46533663632979, 6.346129255504305 62.46532642386009)</t>
  </si>
  <si>
    <t>[1329396, 1329404, 1329420]</t>
  </si>
  <si>
    <t>[1234679, 1234685, 947482]</t>
  </si>
  <si>
    <t>0.05078686088458962</t>
  </si>
  <si>
    <t>[1218585, 1234679, 1234685]</t>
  </si>
  <si>
    <t>41.4542406630468</t>
  </si>
  <si>
    <t>[-0.366, 0.0, -0.008, -0.014, -0.005, 0.172]</t>
  </si>
  <si>
    <t>LINESTRING (6.314325329269919 62.46598575138294, 6.313812322101922 62.465970701733795, 6.313807905012139 62.46597038857026, 6.31301318703243 62.46591600000941, 6.312805388553107 62.46590115021698, 6.311844186909814 62.465837342365994, 6.311505536939273 62.46578802393911)</t>
  </si>
  <si>
    <t>[1296987, 1296995, 1297003, 1297011, 1297019, 1297027]</t>
  </si>
  <si>
    <t>[1209088, 1209094, 1209099, 343372, 955462, 947539]</t>
  </si>
  <si>
    <t>[947533, 1209088, 1209094, 1209099, 343372, 955462]</t>
  </si>
  <si>
    <t>[0.366, 0.0, 0.008, 0.014, 0.005, 0.172]</t>
  </si>
  <si>
    <t>148.01613296204064</t>
  </si>
  <si>
    <t>[-0.387, -0.012, 0.008, 0.008, -0.011, -0.003, 0.207]</t>
  </si>
  <si>
    <t>LINESTRING (6.314325329269919 62.46598575138294, 6.313830619475093 62.46590937551528, 6.313031478217051 62.46584489665205, 6.312938156577549 62.465840778233535, 6.312828606558228 62.46583722313304, 6.312719130436 62.465829814272574, 6.311855344922764 62.46578014955444, 6.311505536939273 62.46578802393911)</t>
  </si>
  <si>
    <t>[1329520, 1329531, 1329540, 1329562, 1329589, 1329597, 1329605]</t>
  </si>
  <si>
    <t>[1234774, 1234782, 1234789, 1234804, 343373, 1234834, 947539]</t>
  </si>
  <si>
    <t>[947533, 1234774, 1234782, 1234789, 1234804, 343373, 1234834]</t>
  </si>
  <si>
    <t>[0.387, 0.012, 0.008, 0.008, 0.011, 0.003, 0.207]</t>
  </si>
  <si>
    <t>148.53348302739874</t>
  </si>
  <si>
    <t>[-0.067, -0.06, -0.002, 0.006, -0.013, -0.002, 0.014, 0.007, 0.024]</t>
  </si>
  <si>
    <t>95.0</t>
  </si>
  <si>
    <t>LINESTRING (6.311505536939273 62.46578802393911, 6.310784765762004 62.46574328497136, 6.310284763906249 62.46570849028822, 6.305142252423139 62.465077669867604, 6.303559390201491 62.46450589602337, 6.303049447666611 62.46425129997896, 6.302773675897928 62.464111038429756, 6.3026741539240065 62.46405955433637, 6.302575332923772 62.464008276825524, 6.301368370306053 62.46371444330238)</t>
  </si>
  <si>
    <t>[988180, 988188, 988191, 988198, 988207, 988215, 988223, 988231, 988239]</t>
  </si>
  <si>
    <t>[343440, 947545, 947546, 947552, 947562, 947571, 947578, 947584, 947589]</t>
  </si>
  <si>
    <t>[947539, 343440, 947545, 947546, 947552, 947562, 947571, 947578, 947584]</t>
  </si>
  <si>
    <t>[0.067, 0.06, 0.002, 0.006, 0.013, 0.002, 0.014, 0.007, 0.024]</t>
  </si>
  <si>
    <t>591.3714311556075</t>
  </si>
  <si>
    <t>[0.213, 0.073, 0.056, 0.085]</t>
  </si>
  <si>
    <t>LINESTRING (6.301368370306053 62.46371444330238, 6.301221455398866 62.46372586273339, 6.301213796357275 62.463725824423086, 6.300821017966774 62.46373386326535, 6.300641025804657 62.46374559891093)</t>
  </si>
  <si>
    <t>[1297035, 1297043, 1297051, 1297059]</t>
  </si>
  <si>
    <t>[1209125, 1209133, 1209138, 1209143]</t>
  </si>
  <si>
    <t>0.09535413941668139</t>
  </si>
  <si>
    <t>[947589, 1209125, 1209133, 1209138]</t>
  </si>
  <si>
    <t>37.826216399013425</t>
  </si>
  <si>
    <t>[-1.056, 0.012, 0.006, 1.297]</t>
  </si>
  <si>
    <t>LINESTRING (6.301368370306053 62.46371444330238, 6.30124184787607 62.46367911724358, 6.301234829706091 62.46367715837472, 6.300821159976155 62.46365099389433, 6.3006711546031005 62.4636455200581)</t>
  </si>
  <si>
    <t>[2135177, 2135185, 2135193, 2135201]</t>
  </si>
  <si>
    <t>[1835827, 1835832, 1835838, 1218653]</t>
  </si>
  <si>
    <t>0.0576585240002099</t>
  </si>
  <si>
    <t>[947589, 1835827, 1835832, 1835838]</t>
  </si>
  <si>
    <t>[1.056, 0.012, 0.006, 1.297]</t>
  </si>
  <si>
    <t>37.43159165905602</t>
  </si>
  <si>
    <t>[0.011, 0.056, 0.072, 0.079]</t>
  </si>
  <si>
    <t>LINESTRING (10.009720246492492 59.05543226707506, 10.009557373676342 59.05547258658929, 10.009431683047683 59.05546377899728, 10.009333024343329 59.055430013755874, 10.009278868393821 59.05538806904207)</t>
  </si>
  <si>
    <t>[988485, 988493, 988501, 988509]</t>
  </si>
  <si>
    <t>[947774, 947782, 947790, 947796]</t>
  </si>
  <si>
    <t>0.04838761075380157</t>
  </si>
  <si>
    <t>[947773, 947774, 947782, 947790]</t>
  </si>
  <si>
    <t>30.074816261301844</t>
  </si>
  <si>
    <t>[-0.068, -0.033]</t>
  </si>
  <si>
    <t>LINESTRING (10.009789267619869 59.05528306564515, 10.00979673973113 59.05536261470841, 10.009720246492492 59.05543226707506)</t>
  </si>
  <si>
    <t>[988564, 988565]</t>
  </si>
  <si>
    <t>[947842, 947773]</t>
  </si>
  <si>
    <t>[947841, 947842]</t>
  </si>
  <si>
    <t>[0.068, 0.033]</t>
  </si>
  <si>
    <t>17.797088892162748</t>
  </si>
  <si>
    <t>[0.046, 0.051, 0.036]</t>
  </si>
  <si>
    <t>LINESTRING (10.012266327002122 59.05571093646768, 10.012175288294223 59.05568961279869, 10.009859618438355 59.055421449586746, 10.009720246492492 59.05543226707506)</t>
  </si>
  <si>
    <t>[989056, 989064, 989038]</t>
  </si>
  <si>
    <t>[948221, 948210, 947773]</t>
  </si>
  <si>
    <t>0.05000099121215974</t>
  </si>
  <si>
    <t>[947843, 948221, 948210]</t>
  </si>
  <si>
    <t>150.25055732743792</t>
  </si>
  <si>
    <t>[0.081, 0.042]</t>
  </si>
  <si>
    <t>LINESTRING (10.009278868393821 59.05538806904207, 10.009256618891762 59.055314067540095, 10.009307388093507 59.0552483711576)</t>
  </si>
  <si>
    <t>[988519, 988525]</t>
  </si>
  <si>
    <t>[947806, 947811]</t>
  </si>
  <si>
    <t>0.062058948197094295</t>
  </si>
  <si>
    <t>[947796, 947806]</t>
  </si>
  <si>
    <t>16.22841998996595</t>
  </si>
  <si>
    <t>[-0.437, 0.05, 0.112, 0.046]</t>
  </si>
  <si>
    <t>LINESTRING (10.009278868393821 59.05538806904207, 10.009179841792623 59.055356115808856, 10.009078068089524 59.05533657090275, 10.009063580111738 59.055334113616574, 10.008810183736964 59.05528784606567)</t>
  </si>
  <si>
    <t>[2166842, 2166848, 2166854, 2166860]</t>
  </si>
  <si>
    <t>[1853964, 1853970, 1853976, 1853959]</t>
  </si>
  <si>
    <t>[947796, 1853964, 1853970, 1853976]</t>
  </si>
  <si>
    <t>[0.437, 0.05, 0.112, 0.046]</t>
  </si>
  <si>
    <t>29.815165834736653</t>
  </si>
  <si>
    <t>[-0.01, -0.059, -0.084, -0.075]</t>
  </si>
  <si>
    <t>LINESTRING (10.009307388093507 59.0552483711576, 10.009522580103047 59.05519054760668, 10.009643433626417 59.05520258726885, 10.009753452857105 59.05524830630167, 10.009789267619869 59.05528306564515)</t>
  </si>
  <si>
    <t>[988543, 988560, 988561, 988563]</t>
  </si>
  <si>
    <t>[947824, 947839, 947840, 947841]</t>
  </si>
  <si>
    <t>[947811, 947824, 947839, 947840]</t>
  </si>
  <si>
    <t>[0.01, 0.059, 0.084, 0.075]</t>
  </si>
  <si>
    <t>33.899406763280616</t>
  </si>
  <si>
    <t>[-0.514, 0.027, 0.031, 0.027]</t>
  </si>
  <si>
    <t>LINESTRING (10.009307388093507 59.0552483711576, 10.009195698245065 59.05526375577545, 10.00908956170588 59.05527109559723, 10.009078265585758 59.05527155043628, 10.008810183736964 59.05528784606567)</t>
  </si>
  <si>
    <t>[2166818, 2166824, 2166830, 2166836]</t>
  </si>
  <si>
    <t>[1853942, 1853946, 1853953, 1853959]</t>
  </si>
  <si>
    <t>[947811, 1853942, 1853946, 1853953]</t>
  </si>
  <si>
    <t>[0.514, 0.027, 0.031, 0.027]</t>
  </si>
  <si>
    <t>29.397028393492413</t>
  </si>
  <si>
    <t>[0.035, 0.053, 0.08]</t>
  </si>
  <si>
    <t>LINESTRING (10.012340122225874 59.05557568291983, 10.01222507250939 59.055582582695685, 10.00990712178086 59.05531694125771, 10.009789267619869 59.05528306564515)</t>
  </si>
  <si>
    <t>[989053, 989055, 989045]</t>
  </si>
  <si>
    <t>[948219, 948213, 947841]</t>
  </si>
  <si>
    <t>0.05359294567342154</t>
  </si>
  <si>
    <t>[947845, 948219, 948213]</t>
  </si>
  <si>
    <t>150.97081481055028</t>
  </si>
  <si>
    <t>[0.037, 0.014]</t>
  </si>
  <si>
    <t>LINESTRING (10.012266327002122 59.05571093646768, 10.012263941926907 59.05564561864239, 10.012340122225874 59.05557568291983)</t>
  </si>
  <si>
    <t>[988566, 988567]</t>
  </si>
  <si>
    <t>[947844, 947845]</t>
  </si>
  <si>
    <t>0.02432537727020738</t>
  </si>
  <si>
    <t>[947843, 947844]</t>
  </si>
  <si>
    <t>16.220410320062754</t>
  </si>
  <si>
    <t>14.403414247200809</t>
  </si>
  <si>
    <t>[-0.014, -0.039, -0.05, -0.046, -0.032, -0.013, -0.006]</t>
  </si>
  <si>
    <t>LINESTRING (10.012340122225874 59.05557568291983, 10.01247225253487 59.05553777332733, 10.012609557338827 59.05554117788483, 10.012730277904346 59.05557938977814, 10.0127975914322 59.05564019340475, 10.012797625100529 59.055708479407215, 10.01273935711219 59.055768130037904, 10.01270737125295 59.05578632965959)</t>
  </si>
  <si>
    <t>[988568, 988580, 988581, 988582, 988583, 988584, 988588]</t>
  </si>
  <si>
    <t>[947846, 947855, 947856, 947857, 947858, 947859, 947862]</t>
  </si>
  <si>
    <t>[947845, 947846, 947855, 947856, 947857, 947858, 947859]</t>
  </si>
  <si>
    <t>[0.014, 0.039, 0.05, 0.046, 0.032, 0.013, 0.006]</t>
  </si>
  <si>
    <t>50.30507130506682</t>
  </si>
  <si>
    <t>16.903203673932936</t>
  </si>
  <si>
    <t>[-0.022, 0.029, 0.016, 0.069]</t>
  </si>
  <si>
    <t>LINESTRING (10.01270737125295 59.05578632965959, 10.012686286983671 59.05584489478225, 10.01718805582982 59.05768693026169, 10.020612730909468 59.0595743592603, 10.020855298849437 59.05977937179014)</t>
  </si>
  <si>
    <t>[988645, 988651, 988673, 988674]</t>
  </si>
  <si>
    <t>[947910, 947914, 947930, 947931]</t>
  </si>
  <si>
    <t>0.024473136444018766</t>
  </si>
  <si>
    <t>[947862, 947910, 947914, 947930]</t>
  </si>
  <si>
    <t>[0.022, 0.029, 0.016, 0.069]</t>
  </si>
  <si>
    <t>667.2345453974473</t>
  </si>
  <si>
    <t>[-0.104, -0.03, -0.01, -0.0, -0.038, 0.034, 0.042]</t>
  </si>
  <si>
    <t>LINESTRING (10.020897204735789 59.060002211370836, 10.020563777052082 59.05982869863102, 10.018269857931035 59.058615896119335, 10.01735219327243 59.058347514804026, 10.01627983624076 59.05771362536106, 10.013543730309541 59.056348115499915, 10.012484920912579 59.05585926292899, 10.012425360195602 59.05580640522544)</t>
  </si>
  <si>
    <t>[988591, 988592, 988593, 988601, 988609, 988625, 988633]</t>
  </si>
  <si>
    <t>[947865, 947866, 947867, 947875, 947878, 947891, 947863]</t>
  </si>
  <si>
    <t>[947864, 947865, 947866, 947867, 947875, 947878, 947891]</t>
  </si>
  <si>
    <t>[0.104, 0.03, 0.01, 0.0, 0.038, 0.034, 0.042]</t>
  </si>
  <si>
    <t>699.8363553901851</t>
  </si>
  <si>
    <t>[0.047, 0.04, -0.147, 0.036, -0.011, -0.047]</t>
  </si>
  <si>
    <t>22729.0</t>
  </si>
  <si>
    <t>LINESTRING (10.057482031335184 59.083753926014445, 10.057371492588175 59.08368579471435, 10.052532286067066 59.080823975487874, 10.052204218514769 59.0806557063961, 10.05042170248685 59.07980441167669, 10.02134934178568 59.0603182996001, 10.020897204735789 59.060002211370836)</t>
  </si>
  <si>
    <t>[2166782, 2166788, 2166740, 988683, 988685, 988749]</t>
  </si>
  <si>
    <t>[1853917, 1853890, 947938, 947939, 947942, 947864]</t>
  </si>
  <si>
    <t>[1853899, 1853917, 1853890, 947938, 947939, 947942]</t>
  </si>
  <si>
    <t>[0.047, 0.04, 0.147, 0.036, 0.011, 0.047]</t>
  </si>
  <si>
    <t>3437.1003084820213</t>
  </si>
  <si>
    <t>[0.057, 0.01, -0.035, 0.125]</t>
  </si>
  <si>
    <t>LINESTRING (10.020855298849437 59.05977937179014, 10.021547879242313 59.06024290118864, 10.050642705457404 59.07967539827411, 10.05242180256261 59.080543112661886, 10.052748336779835 59.080714741222465)</t>
  </si>
  <si>
    <t>[988821, 988692, 988684, 2166734]</t>
  </si>
  <si>
    <t>[947948, 947940, 947941, 1853888]</t>
  </si>
  <si>
    <t>0.009938684270874742</t>
  </si>
  <si>
    <t>[947931, 947948, 947940, 947941]</t>
  </si>
  <si>
    <t>[0.057, 0.01, 0.035, 0.125]</t>
  </si>
  <si>
    <t>3021.259846857244</t>
  </si>
  <si>
    <t>[-0.44, 0.019, 0.027, -0.035, -0.116, -0.008, 0.024]</t>
  </si>
  <si>
    <t>LINESTRING (9.988133424332723 59.06518640904243, 9.988133424332723 59.06518640904243, 9.990596679099735 59.0645438531075, 9.99074050088068 59.064494847096405, 10.00581364272363 59.05660392729021, 10.007098683954705 59.0564964500108, 10.016666516024868 59.05762955852137, 10.020855298849437 59.05977937179014)</t>
  </si>
  <si>
    <t>[2166800, 988829, 988833, 988834, 988768, 988771, 988813]</t>
  </si>
  <si>
    <t>[948034, 948035, 948037, 948002, 948003, 948006, 947931]</t>
  </si>
  <si>
    <t>[1853930, 948034, 948035, 948037, 948002, 948003, 948006]</t>
  </si>
  <si>
    <t>[0.44, 0.019, 0.027, 0.035, 0.116, 0.008, 0.024]</t>
  </si>
  <si>
    <t>2474.918369338673</t>
  </si>
  <si>
    <t>[-0.026, -0.087, 0.043, -0.012, -0.017, -0.02, -0.085, -0.193, 0.062, 0.108, -0.013, -0.112]</t>
  </si>
  <si>
    <t>LINESTRING (8.231053195750938 59.490691674253064, 8.23293697706738 59.49092337138632, 8.23415912693073 59.4909259134567, 8.24841269363481 59.48931386439886, 8.251166307702636 59.489632554230276, 8.259313146022132 59.489505533967844, 8.27688541514065 59.48761975862069, 8.28344397318133 59.48977425964079, 8.283606478014962 59.48980937782344, 8.287444250829676 59.49007261421029, 8.28781465525236 59.49004548432335, 8.298302892188731 59.490125734166085, 8.300986448442211 59.490469267952165)</t>
  </si>
  <si>
    <t>[1429106, 1429114, 1429122, 1429058, 1429066, 1429074, 1429018, 1429026, 1429034, 1429042, 1429050, 1429010]</t>
  </si>
  <si>
    <t>[1301797, 1301779, 1301786, 1301768, 1301761, 1301756, 1301740, 758152, 1301819, 1301826, 1301804, 283417]</t>
  </si>
  <si>
    <t>[949503, 1301797, 1301779, 1301786, 1301768, 1301761, 1301756, 1301740, 758152, 1301819, 1301826, 1301804]</t>
  </si>
  <si>
    <t>[0.026, 0.087, 0.043, 0.012, 0.017, 0.02, 0.085, 0.193, 0.062, 0.108, 0.013, 0.112]</t>
  </si>
  <si>
    <t>4176.758866373408</t>
  </si>
  <si>
    <t>[0.0, 0.107, 0.041, -0.116, 0.061, 0.026, -0.033, 0.041, -0.008, -0.004, 0.103, 0.007]</t>
  </si>
  <si>
    <t>LINESTRING (8.231053195750938 59.490691674253064, 8.231053195750938 59.490691674253064, 8.229358800542983 59.49041850331605, 8.222034260571105 59.49021523987498, 8.220054655915447 59.490308477756436, 8.219200910148635 59.490286015402305, 8.216577511947177 59.490184997589935, 8.2092464084637 59.49134392680207, 8.208246555292991 59.49174828878745, 8.207289293300786 59.4921536051618, 8.206377903303313 59.492683919778614, 8.205137401656458 59.4936941489515, 8.205015906954022 59.493773355282585)</t>
  </si>
  <si>
    <t>[990665, 990672, 1265445, 1265446, 990673, 990674, 990684, 990702, 990703, 990710, 1309762, 1309770]</t>
  </si>
  <si>
    <t>[749492, 949508, 1182380, 501365, 949509, 949510, 949516, 949529, 949530, 949538, 1218453, 1218458]</t>
  </si>
  <si>
    <t>0.013866817456979161</t>
  </si>
  <si>
    <t>[949503, 749492, 949508, 1182380, 501365, 949509, 949510, 949516, 949529, 949530, 949538, 1218453]</t>
  </si>
  <si>
    <t>[0.0, 0.107, 0.041, 0.116, 0.061, 0.026, 0.033, 0.041, 0.008, 0.004, 0.103, 0.007]</t>
  </si>
  <si>
    <t>1687.9928516660068</t>
  </si>
  <si>
    <t>[-0.036, 0.019, 0.044, -0.013]</t>
  </si>
  <si>
    <t>LINESTRING (7.862268985562494 59.61819363897206, 7.86707042294225 59.6175175632865, 7.8685761166401536 59.61695639203529, 7.874582655773676 59.61658386961433, 7.875762160997023 59.61658160563686)</t>
  </si>
  <si>
    <t>[1775625, 1775633, 1775649, 1775656]</t>
  </si>
  <si>
    <t>[1566427, 1566437, 1566412, 950581]</t>
  </si>
  <si>
    <t>0.010541511492455089</t>
  </si>
  <si>
    <t>[758885, 1566427, 1566437, 1566412]</t>
  </si>
  <si>
    <t>[0.036, 0.019, 0.044, 0.013]</t>
  </si>
  <si>
    <t>827.3830255384222</t>
  </si>
  <si>
    <t>[0.0, -0.028, -0.105]</t>
  </si>
  <si>
    <t>LINESTRING (7.862268985562494 59.61819363897206, 7.862268985562494 59.61819363897206, 7.85999805502058 59.61825364099403, 7.859322512818029 59.61821919616359)</t>
  </si>
  <si>
    <t>[991884, 991898, 991899]</t>
  </si>
  <si>
    <t>[756889, 765793, 950599]</t>
  </si>
  <si>
    <t>[758885, 756889, 765793]</t>
  </si>
  <si>
    <t>[0.0, 0.028, 0.105]</t>
  </si>
  <si>
    <t>192.7525806570647</t>
  </si>
  <si>
    <t>[0.098, 0.045, 0.154, 0.074]</t>
  </si>
  <si>
    <t>LINESTRING (7.844675403484444 59.619132121659916, 7.849357455420917 59.61737315102659, 7.8518644125290065 59.61787167206726, 7.8520162012733286 59.61837850697219, 7.859322512818029 59.61821919616359)</t>
  </si>
  <si>
    <t>[1775695, 1775601, 1775696, 1775703]</t>
  </si>
  <si>
    <t>[1566399, 1566400, 490160, 950599]</t>
  </si>
  <si>
    <t>0.07253862128155693</t>
  </si>
  <si>
    <t>[950607, 1566399, 1566400, 490160]</t>
  </si>
  <si>
    <t>806.0961623464361</t>
  </si>
  <si>
    <t>1449.0</t>
  </si>
  <si>
    <t>LINESTRING (7.844675403484444 59.619132121659916, 7.736958844420954 59.71614424486109)</t>
  </si>
  <si>
    <t>[-0.019, -0.018, -0.01, -0.017, -0.017, 2.168, -0.026, -0.017, -0.01, -0.261, -0.0]</t>
  </si>
  <si>
    <t>59615.0</t>
  </si>
  <si>
    <t>LINESTRING (5.724011099500503 58.94583459084872, 5.723973821341029 58.94588701954746, 5.723881533158712 58.94600957195836, 5.723875518962836 58.94601634841307, 5.723869487613308 58.94602312362726, 5.723859398702833 58.94603706980446, 5.723854782638637 58.94604378469291, 5.723848285996558 58.94605189081172, 5.721520121508382 58.949924756242616, 5.721509452518723 58.94997221399076, 5.721464404816644 58.95022761611304, 5.72145178459504 58.95031681827572)</t>
  </si>
  <si>
    <t>[1019134, 1019142, 1019150, 1019158, 1019166, 1019174, 1019182, 1019190, 1019198, 1019206, 992161]</t>
  </si>
  <si>
    <t>[975134, 975139, 975143, 975148, 975153, 975160, 975166, 975171, 975176, 950824, 950825]</t>
  </si>
  <si>
    <t>[975129, 975134, 975139, 975143, 975148, 975153, 975160, 975166, 975171, 975176, 950824]</t>
  </si>
  <si>
    <t>[0.019, 0.018, 0.01, 0.017, 0.017, 2.168, 0.026, 0.017, 0.01, 0.261, 0.0]</t>
  </si>
  <si>
    <t>524.8900551671859</t>
  </si>
  <si>
    <t>[0.007, 0.007, 0.021]</t>
  </si>
  <si>
    <t>LINESTRING (5.721387648697892 58.951253452151896, 5.721410144147156 58.95075287736534, 5.7214253298887625 58.95055613313583, 5.72145178459504 58.95031681827572)</t>
  </si>
  <si>
    <t>[1419111, 1419122, 1417912]</t>
  </si>
  <si>
    <t>[1295790, 1294875, 950825]</t>
  </si>
  <si>
    <t>0.010580299004385061</t>
  </si>
  <si>
    <t>[1295789, 1295790, 1294875]</t>
  </si>
  <si>
    <t>104.73319701349286</t>
  </si>
  <si>
    <t>[0.02, 0.04, 0.003, 0.029]</t>
  </si>
  <si>
    <t>LINESTRING (10.928453922307915 59.34305135677632, 10.928316139173305 59.34319782763093, 10.926023305256775 59.34545577316745, 10.925966486621329 59.345492117264705, 10.925790507456108 59.345418277571405)</t>
  </si>
  <si>
    <t>[992855, 1675060, 1675068, 1699122]</t>
  </si>
  <si>
    <t>[951385, 1502318, 1502326, 1502352]</t>
  </si>
  <si>
    <t>0.03787104241944603</t>
  </si>
  <si>
    <t>[951384, 951385, 1502318, 1502326]</t>
  </si>
  <si>
    <t>327.1469973877961</t>
  </si>
  <si>
    <t>[0.035, 0.019, 0.022, 0.025]</t>
  </si>
  <si>
    <t>LINESTRING (10.928453922307915 59.34305135677632, 10.926153982062857 59.34448235121342, 10.925548824821197 59.34479296246418, 10.924355795136952 59.34533514708125, 10.920271455690127 59.34672546180769)</t>
  </si>
  <si>
    <t>[1337746, 1697303, 1697311, 1697319]</t>
  </si>
  <si>
    <t>[1241549, 1517852, 1517858, 951394]</t>
  </si>
  <si>
    <t>0.02739545156033844</t>
  </si>
  <si>
    <t>[951384, 1241549, 1517852, 1517858]</t>
  </si>
  <si>
    <t>625.6668965746151</t>
  </si>
  <si>
    <t>[0.032, 0.037, 0.02, 0.01, -0.0]</t>
  </si>
  <si>
    <t>LINESTRING (10.950697650362777 59.32480319041186, 10.94853170781455 59.32468682822927, 10.948024144089052 59.32470247545311, 10.93763294778149 59.33004517858573, 10.928953771736188 59.342693356568205, 10.928453922307915 59.34305135677632)</t>
  </si>
  <si>
    <t>[1615897, 1615067, 1337747, 1337761, 1337744]</t>
  </si>
  <si>
    <t>[1448221, 1241550, 1241551, 1241548, 951384]</t>
  </si>
  <si>
    <t>0.014645216572966616</t>
  </si>
  <si>
    <t>[1448654, 1448221, 1241550, 1241551, 1241548]</t>
  </si>
  <si>
    <t>[0.032, 0.037, 0.02, 0.01, 0.0]</t>
  </si>
  <si>
    <t>2620.157111395126</t>
  </si>
  <si>
    <t>[0.013, -0.002, -0.007]</t>
  </si>
  <si>
    <t>LINESTRING (10.924143927955974 59.345268336428056, 10.92012019311628 59.34663803906838, 10.918740740796931 59.34701976623414, 10.916579612553644 59.34754829868548)</t>
  </si>
  <si>
    <t>[1671166, 1671174, 1671182]</t>
  </si>
  <si>
    <t>[1498874, 1498880, 951397]</t>
  </si>
  <si>
    <t>0.004882498589824971</t>
  </si>
  <si>
    <t>[951391, 1498874, 1498880]</t>
  </si>
  <si>
    <t>[0.013, 0.002, 0.007]</t>
  </si>
  <si>
    <t>501.01467795491874</t>
  </si>
  <si>
    <t>[-0.005, -0.005, 0.03, 0.034, 0.019, 0.01, 0.009, 0.037, 0.02, 0.741]</t>
  </si>
  <si>
    <t>40971.0</t>
  </si>
  <si>
    <t>LINESTRING (10.951557792071592 59.32479163287602, 10.951100778658816 59.32473087705058, 10.950659309631753 59.32467935150021, 10.948484258885417 59.32457024837797, 10.948022755145535 59.324575704237155, 10.937440972572114 59.32989321651913, 10.928749023058481 59.342615977589226, 10.928251932190715 59.34298105837882, 10.925360266489722 59.34470971031193, 10.924186667544484 59.34525162942411, 10.924143927955974 59.345268336428056)</t>
  </si>
  <si>
    <t>[1616065, 1615905, 1615913, 1615068, 1337777, 1337778, 1337791, 1337799, 1671150, 1671158]</t>
  </si>
  <si>
    <t>[1448664, 1448665, 1448222, 1241575, 1241576, 1241577, 1241584, 1241590, 1498862, 951391]</t>
  </si>
  <si>
    <t>0.016780347483262396</t>
  </si>
  <si>
    <t>[1448639, 1448664, 1448665, 1448222, 1241575, 1241576, 1241577, 1241584, 1241590, 1498862]</t>
  </si>
  <si>
    <t>[0.005, 0.005, 0.03, 0.034, 0.019, 0.01, 0.009, 0.037, 0.02, 0.741]</t>
  </si>
  <si>
    <t>3031.2362841286786</t>
  </si>
  <si>
    <t>[-0.006, -0.011, -0.019]</t>
  </si>
  <si>
    <t>LINESTRING (10.920284913619797 59.34608562581314, 10.920282436374766 59.34614756893559, 10.924008896943375 59.345277091794436, 10.924143927955974 59.345268336428056)</t>
  </si>
  <si>
    <t>[1675076, 1675084, 992863]</t>
  </si>
  <si>
    <t>[1502334, 951390, 951391]</t>
  </si>
  <si>
    <t>[1502333, 1502334, 951390]</t>
  </si>
  <si>
    <t>[0.006, 0.011, 0.019]</t>
  </si>
  <si>
    <t>274.70741688253804</t>
  </si>
  <si>
    <t>[-1.066, 0.003, 0.005, 0.019, 0.003, 0.019, -0.007, -0.019, 0.001, -0.004, 0.007]</t>
  </si>
  <si>
    <t>LINESTRING (10.920271455690127 59.34672546180769, 10.920251560622667 59.34673119505359, 10.918872566486218 59.34712608304998, 10.916667514759057 59.347651351973994, 10.91654431063367 59.34767936116171, 10.915868300240707 59.34782853760981, 10.91525319762952 59.347952828108, 10.870436840072575 59.35533152093798, 10.869869778221087 59.35537905441038, 10.850022070636165 59.35686525312943, 10.84961572520885 59.35692045641385, 10.84440899401355 59.35781843627171)</t>
  </si>
  <si>
    <t>[1697327, 1697335, 1697343, 1697351, 1697359, 1697367, 1697375, 1697383, 1697391, 1697399, 1697407]</t>
  </si>
  <si>
    <t>[1517864, 1517869, 1517873, 1517877, 1517881, 1517886, 1517891, 1517897, 1517903, 1517908, 1517915]</t>
  </si>
  <si>
    <t>[951394, 1517864, 1517869, 1517873, 1517877, 1517881, 1517886, 1517891, 1517897, 1517903, 1517908]</t>
  </si>
  <si>
    <t>[1.066, 0.003, 0.005, 0.019, 0.003, 0.019, 0.007, 0.019, 0.001, 0.004, 0.007]</t>
  </si>
  <si>
    <t>4515.949839426204</t>
  </si>
  <si>
    <t>[0.053, 0.011, -0.004]</t>
  </si>
  <si>
    <t>LINESTRING (10.925790507456108 59.345418277571405, 10.925846823886909 59.34539419067301, 10.920436041459432 59.34672675333998, 10.920271455690127 59.34672546180769)</t>
  </si>
  <si>
    <t>[1675092, 1675100, 992871]</t>
  </si>
  <si>
    <t>[1502353, 951393, 951394]</t>
  </si>
  <si>
    <t>0.01107840230633678</t>
  </si>
  <si>
    <t>[1502352, 1502353, 951393]</t>
  </si>
  <si>
    <t>[0.053, 0.011, 0.004]</t>
  </si>
  <si>
    <t>447.23485949750096</t>
  </si>
  <si>
    <t>[0.003, 0.003, 0.01]</t>
  </si>
  <si>
    <t>LINESTRING (10.916579612553644 59.34754829868548, 10.916644723729753 59.34748263767066, 10.92006692736335 59.34615988521002, 10.920052153559244 59.34610350640496)</t>
  </si>
  <si>
    <t>[992879, 1675108, 1675116]</t>
  </si>
  <si>
    <t>[951398, 1502367, 1502374]</t>
  </si>
  <si>
    <t>0.0031632998919510053</t>
  </si>
  <si>
    <t>[951397, 951398, 1502367]</t>
  </si>
  <si>
    <t>271.6973613733947</t>
  </si>
  <si>
    <t>[0.099, 0.02, 0.023, 0.025, -0.007, -0.02, 0.001]</t>
  </si>
  <si>
    <t>1757.0</t>
  </si>
  <si>
    <t>LINESTRING (10.916579612553644 59.34754829868548, 10.916532110486767 59.34755931539692, 10.915732096588231 59.34773247403417, 10.915605447967328 59.34775808154937, 10.915115723370027 59.34785709263274, 10.870389935278748 59.35521595953481, 10.86983450198221 59.35526374475519, 10.850006489438732 59.35674624857875)</t>
  </si>
  <si>
    <t>[1671190, 1671198, 1671206, 1671214, 1671222, 1671230, 1671238]</t>
  </si>
  <si>
    <t>[1498893, 1498899, 1498903, 1498909, 1498918, 1498925, 1498929]</t>
  </si>
  <si>
    <t>[951397, 1498893, 1498899, 1498903, 1498909, 1498918, 1498925]</t>
  </si>
  <si>
    <t>[0.099, 0.02, 0.023, 0.025, 0.007, 0.02, 0.001]</t>
  </si>
  <si>
    <t>3944.854231816116</t>
  </si>
  <si>
    <t>[-0.004, 0.016, 0.009, 0.024, 0.088, -0.015, -0.341, 0.001, 0.031, -0.038, -0.059, -0.029, 0.015, -0.047, -0.037, 0.016, 0.011, -0.017, -0.047, -0.041, 0.04, 0.084, 0.096, 0.112, 0.039, -0.029, -0.041, -0.056, -0.059, -0.026, 0.059, 0.083, -0.027, 0.119, 0.037, -0.129, -0.136]</t>
  </si>
  <si>
    <t>740.0</t>
  </si>
  <si>
    <t>[0, 0, 0, 0, 1, 0, 0, 0, 1, 0, 0, 0, 0, 0, 0, 0, 0, 0, 0, 0, 0, 0, 0, 0, 0, 0, 0, 0, 0, 0, 0, 0, 0, 0, 0, 0, 0]</t>
  </si>
  <si>
    <t>LINESTRING (6.188147183250606 61.79049372817652, 6.153323673688974 61.8100717519427, 6.153207286573464 61.81011543753521, 6.153079981673276 61.81016383659955, 6.152119195593175 61.81047732119596, 6.151721469237862 61.81057820213256, 6.115797060778494 61.8216691250899, 6.11522514229219 61.82175033666937, 6.1121319508188074 61.822690794205926, 6.111218236749361 61.8229885702727, 6.1104156981718925 61.823199138558536, 6.110279454443583 61.82323100545129, 6.110170085745509 61.82325662634019, 6.1060911207085935 61.82412236184135, 6.104794157533768 61.82426929515997, 6.1019524212594884 61.82525297617349, 6.101987749836411 61.82707682313939, 6.102101213598532 61.82749878529423, 6.102077910143243 61.82807106603146, 6.102042761984843 61.828154810979804, 6.1020194002279995 61.82820459331171, 6.101882876479684 61.82850742052016, 6.101555727027112 61.82914030859798, 6.101477309455038 61.82932931142354, 6.101266405923853 61.83035163676758, 6.101809398534349 61.832217833021005, 6.101950818499159 61.83243275842318, 6.102267367534449 61.83286110253527, 6.102573310562293 61.83332056614284, 6.102636861638004 61.83352001653482, 6.102589251507874 61.833939602100045, 6.1022412006420295 61.834401421408465, 6.101809312757318 61.835225567759935, 6.094472190981302 61.83934831611175, 6.093884704041393 61.839605671177544, 6.0908626155166985 61.84069944109342, 6.09057910532501 61.84094898432922, 6.0895516033935255 61.844211773412866)</t>
  </si>
  <si>
    <t>[1894044, 1894052, 1894060, 1894068, 1894076, 1894084, 1894092, 1028153, 1028161, 1028170, 1028178, 1028186, 1028194, 1028202, 1028210, 1028218, 1028226, 993497, 993505, 993528, 993544, 993552, 993560, 993578, 993597, 993605, 993613, 993614, 1028234, 1028242, 1028250, 1028258, 1028266, 1028274, 992931, 992939, 992947]</t>
  </si>
  <si>
    <t>[1655657, 1664359, 1664364, 1664369, 1664376, 1664382, 982667, 982668, 982678, 982686, 982694, 982700, 982708, 982712, 982720, 982726, 951825, 951826, 951831, 951850, 951862, 951869, 951875, 951889, 951903, 951905, 951913, 951914, 982736, 982741, 982745, 982752, 982755, 951431, 951432, 951438, 951446]</t>
  </si>
  <si>
    <t>[1656115, 1655657, 1664359, 1664364, 1664369, 1664376, 1664382, 982667, 982668, 982678, 982686, 982694, 982700, 982708, 982712, 982720, 982726, 951825, 951826, 951831, 951850, 951862, 951869, 951875, 951889, 951903, 951905, 951913, 951914, 982736, 982741, 982745, 982752, 982755, 951431, 951432, 951438]</t>
  </si>
  <si>
    <t>[0.004, 0.016, 0.009, 0.024, 0.088, 0.015, 0.341, 0.001, 0.031, 0.038, 0.059, 0.029, 0.015, 0.047, 0.037, 0.016, 0.011, 0.017, 0.047, 0.041, 0.04, 0.084, 0.096, 0.112, 0.039, 0.029, 0.041, 0.056, 0.059, 0.026, 0.059, 0.083, 0.027, 0.119, 0.037, 0.129, 0.136]</t>
  </si>
  <si>
    <t>8851.139978900848</t>
  </si>
  <si>
    <t>[0.008, 0.024, 0.0, -0.028, -0.025, 0.096, 0.143, 0.142, 0.124, 0.071]</t>
  </si>
  <si>
    <t>[0, 1, 0, 1, 1, 0, 1, 0, 0, 0]</t>
  </si>
  <si>
    <t>LINESTRING (9.715118144443482 59.120667674736524, 9.713630514454401 59.12068076977254, 9.712578218995874 59.12061283897769, 9.711687474692445 59.12050116848766, 9.711210166022335 59.12041682786063, 9.710973991840902 59.12037061878737, 9.708117148547906 59.1193204868165, 9.707887188891217 59.11918140730792, 9.70669883701016 59.11833237555919, 9.70635005439152 59.11806804120044, 9.705981209963554 59.11778759661312)</t>
  </si>
  <si>
    <t>[993731, 993738, 993744, 993752, 993758, 993783, 993785, 993789, 993801, 993802]</t>
  </si>
  <si>
    <t>[951999, 952004, 952007, 952017, 952022, 952037, 952039, 952042, 952048, 952049]</t>
  </si>
  <si>
    <t>0.07174281700050296</t>
  </si>
  <si>
    <t>[951989, 951999, 952004, 952007, 952017, 952022, 952037, 952039, 952042, 952048]</t>
  </si>
  <si>
    <t>[0.008, 0.024, 0.0, 0.028, 0.025, 0.096, 0.143, 0.142, 0.124, 0.071]</t>
  </si>
  <si>
    <t>655.4295553714206</t>
  </si>
  <si>
    <t>[-0.045, -0.022, 0.023, 0.048, 0.041, 0.001, -0.01, 0.047]</t>
  </si>
  <si>
    <t>16723.0</t>
  </si>
  <si>
    <t>[0, 1, 0, 1, 0, 0, 0, 0]</t>
  </si>
  <si>
    <t>LINESTRING (9.705981209963554 59.11778759661312, 9.698563510535255 59.11111546483501, 9.698507582572425 59.11103978948279, 9.69670626884136 59.108166100403636, 9.696679060881083 59.108041054563905, 9.696642035082519 59.10776306823582, 9.696893701327642 59.105938043183045, 9.6944985933621 59.103039324706536, 9.694443990686418 59.103006724541785)</t>
  </si>
  <si>
    <t>[993837, 993844, 993859, 993881, 993886, 993893, 993920, 993927]</t>
  </si>
  <si>
    <t>[952073, 952077, 952089, 952112, 952116, 952122, 952142, 952146]</t>
  </si>
  <si>
    <t>[952049, 952073, 952077, 952089, 952112, 952116, 952122, 952142]</t>
  </si>
  <si>
    <t>[0.045, 0.022, 0.023, 0.048, 0.041, 0.001, 0.01, 0.047]</t>
  </si>
  <si>
    <t>1819.0844526515784</t>
  </si>
  <si>
    <t>[-2.885, -0.055, -0.026, 0.041, 0.125, 0.087, 0.038, 0.141, 0.307]</t>
  </si>
  <si>
    <t>LINESTRING (9.709633712218068 59.121899341581674, 9.709633712218068 59.121899341581674, 9.70976271325829 59.12184065876077, 9.710577495199416 59.12112330416376, 9.70966340627295 59.12008215522013, 9.708870371381044 59.119742632922176, 9.708078275991362 59.11934030586787, 9.70784454630758 59.11919866953786, 9.706121305352298 59.11791772325601, 9.705981209963554 59.11778759661312)</t>
  </si>
  <si>
    <t>[1436745, 915161, 915169, 915177, 915185, 915193, 915201, 915209, 994160]</t>
  </si>
  <si>
    <t>[887470, 887471, 887476, 887483, 887488, 887495, 887501, 887508, 952049]</t>
  </si>
  <si>
    <t>0.036876396382199826</t>
  </si>
  <si>
    <t>[862141, 887470, 887471, 887476, 887483, 887488, 887495, 887501, 887508]</t>
  </si>
  <si>
    <t>[2.885, 0.055, 0.026, 0.041, 0.125, 0.087, 0.038, 0.141, 0.307]</t>
  </si>
  <si>
    <t>579.1502263243922</t>
  </si>
  <si>
    <t>[0.026, 0.073, -0.047, -0.041, -0.019, 0.022, 0.047, -0.004, 0.045, 0.037]</t>
  </si>
  <si>
    <t>[0, 0, 0, 0, 1, 0, 1, 0, 0, 0]</t>
  </si>
  <si>
    <t>LINESTRING (9.706435137231127 59.11803968258622, 9.706432182223889 59.118037402075814, 9.70606142581319 59.11775687055191, 9.699462698452988 59.11217524692745, 9.698630856681206 59.11106304247471, 9.698576487858206 59.110989275751294, 9.696805001450162 59.108155918393315, 9.69677685322134 59.108031292998604, 9.694569703548007 59.103004660634284, 9.694512474706713 59.102970944985685, 9.693990772638818 59.102687828800796)</t>
  </si>
  <si>
    <t>[994032, 994033, 994034, 994036, 994037, 994038, 994046, 994047, 994055, 994088]</t>
  </si>
  <si>
    <t>[952203, 952204, 952205, 952207, 952208, 952209, 952212, 952213, 952217, 952235]</t>
  </si>
  <si>
    <t>[952202, 952203, 952204, 952205, 952207, 952208, 952209, 952212, 952213, 952217]</t>
  </si>
  <si>
    <t>[0.026, 0.073, 0.047, 0.041, 0.019, 0.022, 0.047, 0.004, 0.045, 0.037]</t>
  </si>
  <si>
    <t>1901.5456447357285</t>
  </si>
  <si>
    <t>[-0.139, 0.049, 0.051, -0.11, 0.024, 0.002, -0.029, -0.021, 0.103, 0.139, 0.142, 0.136]</t>
  </si>
  <si>
    <t>[0, 1, 0, 0, 1, 0, 1, 1, 0, 1, 0, 0]</t>
  </si>
  <si>
    <t>LINESTRING (9.71896031933472 59.11991661949601, 9.716799218051968 59.12044179164296, 9.715553873047325 59.120591315552595, 9.715105965681255 59.12062197743964, 9.71365062464706 59.12063589568383, 9.712612686901329 59.12056974816616, 9.71170061554528 59.120455200099855, 9.711227689833905 59.12037251432212, 9.710990255675302 59.1203246070465, 9.708180587543012 59.11928497027338, 9.707960181261038 59.11915111366405, 9.706777975713518 59.11830205493331, 9.706435137231127 59.11803968258622)</t>
  </si>
  <si>
    <t>[994421, 994429, 994437, 994445, 993987, 994007, 994008, 994016, 994022, 994023, 994030, 994031]</t>
  </si>
  <si>
    <t>[952461, 952465, 952472, 952178, 952179, 952189, 952190, 952194, 952196, 952197, 952201, 952202]</t>
  </si>
  <si>
    <t>0.02555539871531567</t>
  </si>
  <si>
    <t>[952455, 952461, 952465, 952472, 952178, 952179, 952189, 952190, 952194, 952196, 952197, 952201]</t>
  </si>
  <si>
    <t>[0.139, 0.049, 0.051, 0.11, 0.024, 0.002, 0.029, 0.021, 0.103, 0.139, 0.142, 0.136]</t>
  </si>
  <si>
    <t>848.4976439086972</t>
  </si>
  <si>
    <t>[0.354, 0.038, -0.083, 0.0, 0.041, -0.004, -0.031, -0.07, 0.008, 0.127, 0.095, 0.054, 0.022, -0.012, 0.02, 0.034, 0.043, 0.03, 0.08, 0.03, 0.149]</t>
  </si>
  <si>
    <t>[0, 0, 0, 0, 0, 0, 0, 0, 1, 1, 0, 0, 0, 0, 1, 1, 0, 0, 0, 0, 0]</t>
  </si>
  <si>
    <t>LINESTRING (10.444732424862996 59.83541551309537, 10.444690490572553 59.83539239359781, 10.439399676156176 59.832904649441886, 10.439384444990859 59.83290001960851, 10.43674502496811 59.832178731006366, 10.43672901697809 59.832174820336945, 10.436382274553981 59.83210519836129, 10.434353857605782 59.83175141919427, 10.434215748403142 59.831735826909444, 10.429379635301805 59.83157818101945, 10.429307614266094 59.831582240630375, 10.428403939850707 59.831655213063016, 10.425594313982172 59.831990816091746, 10.420256081063943 59.83235434340399, 10.420131681394269 59.832348207872, 10.419473769027245 59.832311059838595, 10.419332338330491 59.83230145171755, 10.418545830215253 59.83222635825611, 10.416858727540532 59.83197054732994, 10.415686694383055 59.831711104255085, 10.414937027230007 59.83151136146205, 10.41407386017122 59.831253689366996)</t>
  </si>
  <si>
    <t>[1543740, 1543748, 1543756, 1543764, 1543772, 1543780, 1543788, 1543796, 1543804, 1543812, 1543820, 1543828, 1543836, 1543844, 1543852, 1543860, 1543868, 1543876, 1543884, 1543892, 1543900]</t>
  </si>
  <si>
    <t>[1394568, 1394577, 1394584, 1394591, 1394597, 1394604, 1394614, 1394622, 1394625, 1394633, 1394641, 1394648, 1394654, 1394662, 1394669, 1394675, 1394684, 1394692, 1394697, 1394704, 1391882]</t>
  </si>
  <si>
    <t>0.029888178467858965</t>
  </si>
  <si>
    <t>[954119, 1394568, 1394577, 1394584, 1394591, 1394597, 1394604, 1394614, 1394622, 1394625, 1394633, 1394641, 1394648, 1394654, 1394662, 1394669, 1394675, 1394684, 1394692, 1394697, 1394704]</t>
  </si>
  <si>
    <t>[0.354, 0.038, 0.083, 0.0, 0.041, 0.004, 0.031, 0.07, 0.008, 0.127, 0.095, 0.054, 0.022, 0.012, 0.02, 0.034, 0.043, 0.03, 0.08, 0.03, 0.149]</t>
  </si>
  <si>
    <t>1897.6075211818065</t>
  </si>
  <si>
    <t>[-0.056, -0.051, -0.047]</t>
  </si>
  <si>
    <t>LINESTRING (10.442540092300698 59.834014257423114, 10.442709939704423 59.83410558844928, 10.444613234238682 59.8352903987576, 10.444732424862996 59.83541551309537)</t>
  </si>
  <si>
    <t>[1494803, 1494817, 996329]</t>
  </si>
  <si>
    <t>[1353173, 954118, 954119]</t>
  </si>
  <si>
    <t>[1353172, 1353173, 954118]</t>
  </si>
  <si>
    <t>[0.056, 0.051, 0.047]</t>
  </si>
  <si>
    <t>199.53420268062658</t>
  </si>
  <si>
    <t>[-0.344, 0.026, 0.058, 0.091, 0.043, -0.004, 0.019, 0.015, 0.022, 0.042, 0.036, -0.025, 0.021, 0.001, -0.007, 0.022]</t>
  </si>
  <si>
    <t>76631.0</t>
  </si>
  <si>
    <t>LINESTRING (10.479075340119932 59.853001564958454, 10.479066453708551 59.85292094856176, 10.472157602840277 59.846544119777235, 10.472143602646279 59.846538511160965, 10.471943435139481 59.846459864847965, 10.462904241135806 59.84284109688875, 10.461263155912713 59.84220254518484, 10.458853948175731 59.84137922302978, 10.451399320358972 59.83831236302009, 10.451387568276946 59.838305651701276, 10.449924903234105 59.83756240497417, 10.447122177544818 59.83648987171083, 10.447040609879533 59.83645916505693, 10.445737966175308 59.835880050523215, 10.445441461260414 59.835727421763565, 10.44538974987565 59.8357031451576, 10.444732424862996 59.83541551309537)</t>
  </si>
  <si>
    <t>[1543612, 1543620, 1543628, 1543636, 1543644, 1543652, 1543660, 1543668, 1543676, 1543684, 1543692, 1543700, 1543708, 1543716, 1543724, 1543732]</t>
  </si>
  <si>
    <t>[1394455, 1394462, 1394468, 1394474, 1394482, 1394490, 1394497, 1394504, 1394511, 1394518, 1394525, 1394532, 1394538, 1394545, 1394553, 954119]</t>
  </si>
  <si>
    <t>0.026047839539650095</t>
  </si>
  <si>
    <t>[1391833, 1394455, 1394462, 1394468, 1394474, 1394482, 1394490, 1394497, 1394504, 1394511, 1394518, 1394525, 1394532, 1394538, 1394545, 1394553]</t>
  </si>
  <si>
    <t>[0.344, 0.026, 0.058, 0.091, 0.043, 0.004, 0.019, 0.015, 0.022, 0.042, 0.036, 0.025, 0.021, 0.001, 0.007, 0.022]</t>
  </si>
  <si>
    <t>2850.47919624873</t>
  </si>
  <si>
    <t>[-0.071, -0.068]</t>
  </si>
  <si>
    <t>LINESTRING (9.08854820458752 58.83378039465295, 9.088851868969973 58.8339158863258, 9.088951980055242 58.83396009871957)</t>
  </si>
  <si>
    <t>[996436, 996437]</t>
  </si>
  <si>
    <t>[954205, 954206]</t>
  </si>
  <si>
    <t>[954204, 954205]</t>
  </si>
  <si>
    <t>[0.071, 0.068]</t>
  </si>
  <si>
    <t>30.763857343403842</t>
  </si>
  <si>
    <t>[-0.052, -0.065]</t>
  </si>
  <si>
    <t>LINESTRING (9.08854820458752 58.83378039465295, 9.08867972982951 58.833994410434855, 9.08875122367356 58.83405162361948)</t>
  </si>
  <si>
    <t>[996460, 996487]</t>
  </si>
  <si>
    <t>[954224, 954240]</t>
  </si>
  <si>
    <t>[954204, 954224]</t>
  </si>
  <si>
    <t>[0.052, 0.065]</t>
  </si>
  <si>
    <t>32.77379783104311</t>
  </si>
  <si>
    <t>0.574</t>
  </si>
  <si>
    <t>16.937252454038905</t>
  </si>
  <si>
    <t>[0.02, 0.024]</t>
  </si>
  <si>
    <t>LINESTRING (9.088951980055242 58.83396009871957, 9.088853079641959 58.83400534387267, 9.08875122367356 58.83405162361948)</t>
  </si>
  <si>
    <t>[1752850, 1752859]</t>
  </si>
  <si>
    <t>[1552326, 954240]</t>
  </si>
  <si>
    <t>0.022026462369239865</t>
  </si>
  <si>
    <t>[954206, 1552326]</t>
  </si>
  <si>
    <t>15.454849901430336</t>
  </si>
  <si>
    <t>[0.453, -0.05, -0.031, 0.002, 0.022]</t>
  </si>
  <si>
    <t>LINESTRING (9.089319733540396 58.833047416757246, 9.089499733878645 58.83319685420062, 9.089562893485475 58.83333506419559, 9.08953136689195 58.833563288194455, 9.089131671275606 58.83387904010482, 9.088951980055242 58.83396009871957)</t>
  </si>
  <si>
    <t>[1752826, 1752839, 1752847, 1752848, 1752849]</t>
  </si>
  <si>
    <t>[1552318, 1087067, 1552324, 1552325, 954206]</t>
  </si>
  <si>
    <t>0.06599848277957557</t>
  </si>
  <si>
    <t>[1160031, 1552318, 1087067, 1552324, 1552325]</t>
  </si>
  <si>
    <t>[0.453, 0.05, 0.031, 0.002, 0.022]</t>
  </si>
  <si>
    <t>117.6997264093564</t>
  </si>
  <si>
    <t>[0.02, 0.019, 0.009, -0.004]</t>
  </si>
  <si>
    <t>LINESTRING (9.08875122367356 58.83405162361948, 9.088558043858972 58.83414229883036, 9.088400169907509 58.834222594271075, 9.087914707296992 58.83453537554617, 9.087883501423951 58.834569207614834)</t>
  </si>
  <si>
    <t>[1752864, 2036644, 2036652, 2036660]</t>
  </si>
  <si>
    <t>[1552330, 1776723, 1776731, 1588427]</t>
  </si>
  <si>
    <t>0.0121106235045709</t>
  </si>
  <si>
    <t>[954240, 1552330, 1776723, 1776731]</t>
  </si>
  <si>
    <t>[0.02, 0.019, 0.009, 0.004]</t>
  </si>
  <si>
    <t>76.89936743233513</t>
  </si>
  <si>
    <t>[0.043, -0.018, -0.021]</t>
  </si>
  <si>
    <t>LINESTRING (9.040761078304207 58.76029752142781, 9.04082742630909 58.760360201694134, 9.042562407653342 58.76311920129597, 9.042637089591487 58.76327770444882)</t>
  </si>
  <si>
    <t>[1323297, 331186, 1323305]</t>
  </si>
  <si>
    <t>[320939, 320940, 954266]</t>
  </si>
  <si>
    <t>[954267, 320939, 320940]</t>
  </si>
  <si>
    <t>[0.043, 0.018, 0.021]</t>
  </si>
  <si>
    <t>351.36644998342496</t>
  </si>
  <si>
    <t>[-0.016, 0.023, 0.063, 0.024, -0.034, -0.017, 0.02, -0.016, -0.011, 0.023, 0.017, -0.005, -0.038, 0.124, 0.003, -0.012, -0.028, -0.04, -0.009]</t>
  </si>
  <si>
    <t>[0, 0, 1, 0, 0, 1, 0, 0, 0, 0, 1, 0, 0, 1, 1, 0, 0, 1, 0]</t>
  </si>
  <si>
    <t>LINESTRING (9.074887469366212 58.81818513163141, 9.074421203696605 58.81751807375531, 9.07279103897542 58.81594063823349, 9.072420607068498 58.815637804864444, 9.056703889356557 58.80124993049112, 9.055161825089305 58.7994740244878, 9.05480154733246 58.79852560079966, 9.052652950729977 58.792601872351455, 9.049884303155991 58.78988336476136, 9.039528030751923 58.78223873939561, 9.038550721090552 58.78047506252476, 9.038477886434627 58.78016358203039, 9.044996864527436 58.77034602338114, 9.045260238763474 58.76977800966246, 9.045506317459203 58.76873050315361, 9.045397605925794 58.76794630036655, 9.045223245397345 58.76749298826058, 9.044944362869094 58.766962012409664, 9.04475981074681 58.76665391354182, 9.042637089591487 58.76327770444882)</t>
  </si>
  <si>
    <t>[1322913, 1323497, 1323505, 1323513, 1323521, 1323417, 1323425, 1323433, 1323441, 1323449, 1323121, 1323129, 1323137, 1323145, 996493, 996498, 996499, 996515, 996528]</t>
  </si>
  <si>
    <t>[1229541, 1229988, 1229991, 1229997, 1229936, 1229937, 1229943, 1229948, 1229953, 1229718, 1229719, 1229726, 1229731, 954245, 954246, 954251, 954252, 954261, 954266]</t>
  </si>
  <si>
    <t>0.006187437512146052</t>
  </si>
  <si>
    <t>[1229532, 1229541, 1229988, 1229991, 1229997, 1229936, 1229937, 1229943, 1229948, 1229953, 1229718, 1229719, 1229726, 1229731, 954245, 954246, 954251, 954252, 954261]</t>
  </si>
  <si>
    <t>[0.016, 0.023, 0.063, 0.024, 0.034, 0.017, 0.02, 0.016, 0.011, 0.023, 0.017, 0.005, 0.038, 0.124, 0.003, 0.012, 0.028, 0.04, 0.009]</t>
  </si>
  <si>
    <t>6780.42830165881</t>
  </si>
  <si>
    <t>[-0.015, -0.024, -0.056, 0.012, -0.008]</t>
  </si>
  <si>
    <t>LINESTRING (9.040761078304207 58.76029752142781, 9.039373502798005 58.757689360403646, 9.038512925267936 58.75309123642909, 9.038098675051112 58.74993577620911, 9.038058828867873 58.7496211423927, 9.037723039965904 58.74695418130233)</t>
  </si>
  <si>
    <t>[996534, 996535, 996536, 1323001, 1323009]</t>
  </si>
  <si>
    <t>[954271, 954272, 954273, 1229618, 1229627]</t>
  </si>
  <si>
    <t>[954267, 954271, 954272, 954273, 1229618]</t>
  </si>
  <si>
    <t>[0.015, 0.024, 0.056, 0.012, 0.008]</t>
  </si>
  <si>
    <t>1503.483570580282</t>
  </si>
  <si>
    <t>[0.054, 0.024, -0.004, -0.011]</t>
  </si>
  <si>
    <t>6360.0</t>
  </si>
  <si>
    <t>LINESTRING (10.496952105601036 63.430858877039945, 10.496877152012603 63.43085678212707, 10.48430702271203 63.43104518243895, 10.484122974144466 63.43103215741005, 10.484102524314512 63.43103071017008)</t>
  </si>
  <si>
    <t>[998037, 998045, 998046, 998068]</t>
  </si>
  <si>
    <t>[955523, 955531, 955532, 955547]</t>
  </si>
  <si>
    <t>0.023724357734024207</t>
  </si>
  <si>
    <t>[955522, 955523, 955531, 955532]</t>
  </si>
  <si>
    <t>[0.054, 0.024, 0.004, 0.011]</t>
  </si>
  <si>
    <t>668.2861352290265</t>
  </si>
  <si>
    <t>[-0.001, -0.072, -0.076, -0.033, 0.041, 0.081, 0.075]</t>
  </si>
  <si>
    <t>LINESTRING (10.496952105601036 63.430858877039945, 10.497209491693805 63.43074642194293, 10.497341101387951 63.43076738762267, 10.497437200377965 63.43083416818721, 10.497328191525323 63.430949056516866, 10.497170638738632 63.43096539603774, 10.497040274822085 63.43094033346896, 10.496952105601036 63.430858877039945)</t>
  </si>
  <si>
    <t>[998091, 998098, 998102, 998076, 998077, 998082, 998090]</t>
  </si>
  <si>
    <t>[955549, 955564, 955551, 955552, 955553, 955509, 955522]</t>
  </si>
  <si>
    <t>3.36560926028747e-05</t>
  </si>
  <si>
    <t>[955522, 955549, 955564, 955551, 955552, 955553, 955509]</t>
  </si>
  <si>
    <t>[0.001, 0.072, 0.076, 0.033, 0.041, 0.081, 0.075]</t>
  </si>
  <si>
    <t>75.74599902853525</t>
  </si>
  <si>
    <t>[0.016, -0.026]</t>
  </si>
  <si>
    <t>LINESTRING (10.484102524314512 63.43103071017008, 10.481887490169164 63.431164720755746, 10.481685110005557 63.43117015637159)</t>
  </si>
  <si>
    <t>[1112720, 1112728]</t>
  </si>
  <si>
    <t>[1052373, 1052378]</t>
  </si>
  <si>
    <t>0.012511596849640037</t>
  </si>
  <si>
    <t>[955547, 1052373]</t>
  </si>
  <si>
    <t>[0.016, 0.026]</t>
  </si>
  <si>
    <t>121.89220598739708</t>
  </si>
  <si>
    <t>[0.113, 0.123, -0.024]</t>
  </si>
  <si>
    <t>LINESTRING (10.490971001768798 63.43161865808606, 10.49084181709352 63.43162563665378, 10.489180070358124 63.431521430771255, 10.484102524314512 63.43103071017008)</t>
  </si>
  <si>
    <t>[1112696, 1112704, 1112712]</t>
  </si>
  <si>
    <t>[1052350, 1052358, 955547]</t>
  </si>
  <si>
    <t>0.01365500795869688</t>
  </si>
  <si>
    <t>[1052349, 1052350, 1052358]</t>
  </si>
  <si>
    <t>[0.113, 0.123, 0.024]</t>
  </si>
  <si>
    <t>351.498489107356</t>
  </si>
  <si>
    <t>[-0.022, -0.018, -0.015, -0.019, -0.021, -0.02]</t>
  </si>
  <si>
    <t>LINESTRING (10.47398253309918 63.424768437238626, 10.474847832888495 63.425186921305546, 10.475532014718505 63.42550167639328, 10.476333710111458 63.42586245809328, 10.481645762248506 63.4282288687573, 10.481712765654844 63.428259295268674, 10.481919716116279 63.42835326228224)</t>
  </si>
  <si>
    <t>[998113, 998114, 998115, 998123, 998127, 998129]</t>
  </si>
  <si>
    <t>[955575, 955576, 955577, 955583, 955586, 955588]</t>
  </si>
  <si>
    <t>[955573, 955575, 955576, 955577, 955583, 955586]</t>
  </si>
  <si>
    <t>[0.022, 0.018, 0.015, 0.019, 0.021, 0.02]</t>
  </si>
  <si>
    <t>562.9920835047485</t>
  </si>
  <si>
    <t>15.958013222443443</t>
  </si>
  <si>
    <t>LINESTRING (10.481919716116279 63.42835326228224, 10.482132341839275 63.42844981833888, 10.482346525237116 63.428547070738546)</t>
  </si>
  <si>
    <t>[998137, 998142]</t>
  </si>
  <si>
    <t>[955592, 955598]</t>
  </si>
  <si>
    <t>[955588, 955592]</t>
  </si>
  <si>
    <t>30.35191805502874</t>
  </si>
  <si>
    <t>[-0.021, 0.967]</t>
  </si>
  <si>
    <t>LINESTRING (10.482206464564184 63.42841642329483, 10.482338737632723 63.428539810848726, 10.482346525237116 63.428547070738546)</t>
  </si>
  <si>
    <t>[1112880, 1112888]</t>
  </si>
  <si>
    <t>[1052512, 955598]</t>
  </si>
  <si>
    <t>0.03390783851086901</t>
  </si>
  <si>
    <t>[1052490, 1052512]</t>
  </si>
  <si>
    <t>[0.021, 0.967]</t>
  </si>
  <si>
    <t>16.158631928570557</t>
  </si>
  <si>
    <t>[-0.035, -0.009, -0.043, -0.001, -0.02, -0.003, 0.034, 0.037, 0.001, 0.02, -0.014, -0.054, -0.046, 0.02, 0.049, 0.047]</t>
  </si>
  <si>
    <t>[0, 0, 0, 1, 0, 1, 0, 0, 0, 0, 0, 0, 0, 1, 0, 0]</t>
  </si>
  <si>
    <t>LINESTRING (11.27870556851826 59.57592910256066, 11.276096056805674 59.57633472798541, 11.272743687426644 59.57689364241396, 11.269164486633143 59.57737026088494, 11.268403205565395 59.57742547418234, 11.261232043613852 59.577120305355685, 11.260519592832216 59.57701457793974, 11.259946766957377 59.57692595418448, 11.259282203043199 59.57682312625731, 11.238600709108985 59.578007485953876, 11.238255217988872 59.578023035074764, 11.233850954266455 59.57791289268491, 11.232555196599453 59.57777324330763, 11.227337813763594 59.576630646213715, 11.225391173974621 59.57599070593933, 11.22511062936461 59.57589877470372, 11.2243401294752 59.575642784642426)</t>
  </si>
  <si>
    <t>[1612315, 1612329, 1612330, 1612338, 1612339, 1612354, 1612361, 1612371, 1613017, 1613025, 1613033, 1613041, 1613049, 1613169, 1613177, 1613185]</t>
  </si>
  <si>
    <t>[1446400, 1446412, 1446413, 1446422, 1446423, 1446433, 1446440, 1446449, 1446876, 1446881, 1446885, 1446890, 1446896, 1446968, 1446972, 1446976]</t>
  </si>
  <si>
    <t>[956645, 1446400, 1446412, 1446413, 1446422, 1446423, 1446433, 1446440, 1446449, 1446876, 1446881, 1446885, 1446890, 1446896, 1446968, 1446972]</t>
  </si>
  <si>
    <t>[0.035, 0.009, 0.043, 0.001, 0.02, 0.003, 0.034, 0.037, 0.001, 0.02, 0.014, 0.054, 0.046, 0.02, 0.049, 0.047]</t>
  </si>
  <si>
    <t>3189.509504557131</t>
  </si>
  <si>
    <t>[0.025, -0.003, -0.019]</t>
  </si>
  <si>
    <t>LINESTRING (11.28208688704717 59.57639202939203, 11.282143176297806 59.576414573875816, 11.27898045887107 59.57594391641843, 11.27870556851826 59.57592910256066)</t>
  </si>
  <si>
    <t>[1612550, 1612558, 999446]</t>
  </si>
  <si>
    <t>[1446574, 956644, 956645]</t>
  </si>
  <si>
    <t>[1445426, 1446574, 956644]</t>
  </si>
  <si>
    <t>[0.025, 0.003, 0.019]</t>
  </si>
  <si>
    <t>412.76344432174153</t>
  </si>
  <si>
    <t>[0.015, 0.025, 0.012, 1.303]</t>
  </si>
  <si>
    <t>12073.0</t>
  </si>
  <si>
    <t>LINESTRING (11.289455769102773 59.5767003678884, 11.287350661322671 59.576454750407244, 11.28658245108415 59.57634779040609, 11.278748280406688 59.57592456469035, 11.27870556851826 59.57592910256066)</t>
  </si>
  <si>
    <t>[1612264, 1612288, 1612293, 1612301]</t>
  </si>
  <si>
    <t>[1446353, 1446377, 1446378, 956645]</t>
  </si>
  <si>
    <t>0.018660618724288217</t>
  </si>
  <si>
    <t>[1446350, 1446353, 1446377, 1446378]</t>
  </si>
  <si>
    <t>620.94402716884</t>
  </si>
  <si>
    <t>LINESTRING (8.206444790878976 62.25762302156831, 8.206530014309916 62.25765650031897, 8.206574107021446 62.25769660921573)</t>
  </si>
  <si>
    <t>[999803, 999811]</t>
  </si>
  <si>
    <t>[957016, 956910]</t>
  </si>
  <si>
    <t>0.0065354809955538475</t>
  </si>
  <si>
    <t>[957006, 957016]</t>
  </si>
  <si>
    <t>10.825344667828471</t>
  </si>
  <si>
    <t>[-0.007, 0.001, 0.001]</t>
  </si>
  <si>
    <t>LINESTRING (8.207068868882692 62.25739891738218, 8.206781878444382 62.25757605291351, 8.206633482480969 62.25766230680471, 8.206574107021446 62.25769660921573)</t>
  </si>
  <si>
    <t>[999886, 999894, 999902]</t>
  </si>
  <si>
    <t>[957095, 957103, 956910]</t>
  </si>
  <si>
    <t>[957034, 957095, 957103]</t>
  </si>
  <si>
    <t>[0.007, 0.001, 0.001]</t>
  </si>
  <si>
    <t>42.022249598558645</t>
  </si>
  <si>
    <t>[-0.009, -0.0, -0.001]</t>
  </si>
  <si>
    <t>LINESTRING (8.207068868882692 62.25739891738218, 8.206692540533874 62.25753290018661, 8.206501876752256 62.25760311645447, 8.206444790878976 62.25762302156831)</t>
  </si>
  <si>
    <t>[999910, 999918, 999929]</t>
  </si>
  <si>
    <t>[957119, 957128, 957006]</t>
  </si>
  <si>
    <t>[957034, 957119, 957128]</t>
  </si>
  <si>
    <t>[0.009, 0.0, 0.001]</t>
  </si>
  <si>
    <t>40.976016398461034</t>
  </si>
  <si>
    <t>LINESTRING (8.436242643914795 62.20870752031382, 8.207068868882692 62.25739891738218)</t>
  </si>
  <si>
    <t>[-0.01, -0.029, -0.032, -0.049, -0.049, -0.055, -0.065, -0.091]</t>
  </si>
  <si>
    <t>LINESTRING (15.421321289012283 66.80477246680042, 15.420793217227242 66.8048916871767, 15.417986381652534 66.80564130778986, 15.41793824471016 66.80565523218445, 15.417832846427014 66.80568575143866, 15.417624338042966 66.80574759106467, 15.416786235844748 66.80601325800797, 15.416638757817008 66.80606226861077, 15.413977066179655 66.80710512170971)</t>
  </si>
  <si>
    <t>[1000603, 1000611, 1000619, 1000627, 1000635, 1000643, 1000651, 1000659]</t>
  </si>
  <si>
    <t>[957740, 957748, 957756, 957765, 957771, 957779, 957789, 957794]</t>
  </si>
  <si>
    <t>[957739, 957740, 957748, 957756, 957765, 957771, 957779, 957789]</t>
  </si>
  <si>
    <t>[0.01, 0.029, 0.032, 0.049, 0.049, 0.055, 0.065, 0.091]</t>
  </si>
  <si>
    <t>416.6921138129751</t>
  </si>
  <si>
    <t>[0.028, -0.003, -0.028, -0.057, -0.034, -0.048, -0.045, -0.056, -0.094]</t>
  </si>
  <si>
    <t>LINESTRING (15.421321289012283 66.80477246680042, 15.421130123438989 66.80484029327393, 15.420831627077014 66.80491845258454, 15.418080723429537 66.80569784369459, 15.418032907100597 66.80571189286155, 15.41799819954813 66.80572209475362, 15.417863049158536 66.80576255162757, 15.417728173183969 66.8058031153097, 15.4169072394462 66.80606283472305, 15.413977066179655 66.80710512170971)</t>
  </si>
  <si>
    <t>[1000667, 1000675, 1000683, 1000691, 1000699, 1000707, 1000715, 1000723, 1000731]</t>
  </si>
  <si>
    <t>[957801, 957810, 957817, 957825, 957833, 957840, 957847, 957857, 957794]</t>
  </si>
  <si>
    <t>[957739, 957801, 957810, 957817, 957825, 957833, 957840, 957847, 957857]</t>
  </si>
  <si>
    <t>[0.028, 0.003, 0.028, 0.057, 0.034, 0.048, 0.045, 0.056, 0.094]</t>
  </si>
  <si>
    <t>415.1499049696919</t>
  </si>
  <si>
    <t>18.9006718432018</t>
  </si>
  <si>
    <t>[0.043, 0.03]</t>
  </si>
  <si>
    <t>LINESTRING (9.5139967096852 58.97209986776326, 9.513901948567893 58.97209307751364, 9.513837511472333 58.97207843187169)</t>
  </si>
  <si>
    <t>[1002588, 1002596]</t>
  </si>
  <si>
    <t>[959735, 959683]</t>
  </si>
  <si>
    <t>0.03748891504270268</t>
  </si>
  <si>
    <t>[959728, 959735]</t>
  </si>
  <si>
    <t>9.560572974466423</t>
  </si>
  <si>
    <t>[-0.065, -0.065, -0.065, -0.061, -0.067]</t>
  </si>
  <si>
    <t>LINESTRING (9.513522606421828 58.97267192383551, 9.513556963909434 58.972638220749765, 9.513650017982082 58.97253522764686, 9.513804803451626 58.97223585724343, 9.513830352177925 58.972115585946504, 9.513837511472333 58.97207843187169)</t>
  </si>
  <si>
    <t>[1002947, 1002948, 1002968, 1002976, 1002984]</t>
  </si>
  <si>
    <t>[960063, 960064, 960088, 960100, 959683]</t>
  </si>
  <si>
    <t>[959763, 960063, 960064, 960088, 960100]</t>
  </si>
  <si>
    <t>[0.065, 0.065, 0.065, 0.061, 0.067]</t>
  </si>
  <si>
    <t>69.1127695257619</t>
  </si>
  <si>
    <t>[-0.075, -0.055, -0.035, 0.047]</t>
  </si>
  <si>
    <t>LINESTRING (9.513702715754828 58.97193167173559, 9.513925057067038 58.971807569006046, 9.514040874001429 58.97180636201654, 9.514135542182263 58.971825541345446, 9.5142701955677 58.9719739689562)</t>
  </si>
  <si>
    <t>[1002548, 1002556, 1002564, 1002572]</t>
  </si>
  <si>
    <t>[959692, 959701, 959711, 959720]</t>
  </si>
  <si>
    <t>[959684, 959692, 959701, 959711]</t>
  </si>
  <si>
    <t>[0.075, 0.055, 0.035, 0.047]</t>
  </si>
  <si>
    <t>51.382051812539146</t>
  </si>
  <si>
    <t>[0.016, -0.031, -0.054]</t>
  </si>
  <si>
    <t>LINESTRING (9.505935429489185 58.97141361316821, 9.50628052605654 58.97142146049821, 9.51364149873722 58.97192941195453, 9.513702715754828 58.97193167173559)</t>
  </si>
  <si>
    <t>[1216168, 1435835, 1435844]</t>
  </si>
  <si>
    <t>[1138533, 1305617, 959684]</t>
  </si>
  <si>
    <t>[960532, 1138533, 1305617]</t>
  </si>
  <si>
    <t>[0.016, 0.031, 0.054]</t>
  </si>
  <si>
    <t>452.19478974638747</t>
  </si>
  <si>
    <t>22.63186474890523</t>
  </si>
  <si>
    <t>[0.044, -0.016, -0.15]</t>
  </si>
  <si>
    <t>LINESTRING (9.5142701955677 58.9719739689562, 9.514326451632158 58.97198985973641, 9.522532545893087 58.97419552027361, 9.522788495053303 58.974315208197595)</t>
  </si>
  <si>
    <t>[1435819, 1435827, 1216184]</t>
  </si>
  <si>
    <t>[1305606, 1138548, 960522]</t>
  </si>
  <si>
    <t>[959720, 1305606, 1138548]</t>
  </si>
  <si>
    <t>[0.044, 0.016, 0.15]</t>
  </si>
  <si>
    <t>556.6332979648704</t>
  </si>
  <si>
    <t>[-0.045, -0.058, -0.065, -0.072, -0.072]</t>
  </si>
  <si>
    <t>LINESTRING (9.513737172181774 58.97270030321508, 9.513733186571852 58.97265663642688, 9.513741808175398 58.9725498388589, 9.51387271788642 58.972244215619625, 9.51396825000638 58.972131238565204, 9.5139967096852 58.97209986776326)</t>
  </si>
  <si>
    <t>[1002987, 1003002, 1003023, 1003032, 1003044]</t>
  </si>
  <si>
    <t>[960107, 960120, 960142, 960146, 959728]</t>
  </si>
  <si>
    <t>[959774, 960107, 960120, 960142, 960146]</t>
  </si>
  <si>
    <t>[0.045, 0.058, 0.065, 0.072, 0.072]</t>
  </si>
  <si>
    <t>69.29233799341169</t>
  </si>
  <si>
    <t>[0.054, -0.025]</t>
  </si>
  <si>
    <t>LINESTRING (9.513844104555687 58.972850649111805, 9.513479478523253 58.97295998354945, 9.51329148855817 58.972772531807905)</t>
  </si>
  <si>
    <t>[1002604, 1002612]</t>
  </si>
  <si>
    <t>[355734, 959755]</t>
  </si>
  <si>
    <t>0.01527229044857465</t>
  </si>
  <si>
    <t>[959749, 355734]</t>
  </si>
  <si>
    <t>[0.054, 0.025]</t>
  </si>
  <si>
    <t>53.07868491970525</t>
  </si>
  <si>
    <t>18.596971087582435</t>
  </si>
  <si>
    <t>[0.167, -0.001, 0.039]</t>
  </si>
  <si>
    <t>LINESTRING (9.52147088542412 58.97400917802054, 9.521124699986785 58.97394483277154, 9.513904251432816 58.9728543842861, 9.513844104555687 58.972850649111805)</t>
  </si>
  <si>
    <t>[1216176, 1435868, 1435876]</t>
  </si>
  <si>
    <t>[1138540, 1305644, 959749]</t>
  </si>
  <si>
    <t>0.0069944850852731635</t>
  </si>
  <si>
    <t>[960508, 1138540, 1305644]</t>
  </si>
  <si>
    <t>[0.167, 0.001, 0.039]</t>
  </si>
  <si>
    <t>462.5393818377724</t>
  </si>
  <si>
    <t>0.062</t>
  </si>
  <si>
    <t>18.090263117828783</t>
  </si>
  <si>
    <t>[0.024, 0.013, -0.037]</t>
  </si>
  <si>
    <t>LINESTRING (9.51329148855817 58.972772531807905, 9.513234341676982 58.97276178678453, 9.504996202288131 58.97143039851662, 9.504685976199164 58.971363083234266)</t>
  </si>
  <si>
    <t>[1435852, 1435860, 1216160]</t>
  </si>
  <si>
    <t>[1305632, 1138525, 960514]</t>
  </si>
  <si>
    <t>0.011216626732524502</t>
  </si>
  <si>
    <t>[959755, 1305632, 1138525]</t>
  </si>
  <si>
    <t>[0.024, 0.013, 0.037]</t>
  </si>
  <si>
    <t>521.5463744977901</t>
  </si>
  <si>
    <t>[-0.042, -0.013]</t>
  </si>
  <si>
    <t>LINESTRING (9.513522606421828 58.97267192383551, 9.513632838443991 58.972674718804925, 9.513737172181774 58.97270030321508)</t>
  </si>
  <si>
    <t>[1002628, 1002636]</t>
  </si>
  <si>
    <t>[959768, 959774]</t>
  </si>
  <si>
    <t>[959763, 959768]</t>
  </si>
  <si>
    <t>[0.042, 0.013]</t>
  </si>
  <si>
    <t>13.002599254247006</t>
  </si>
  <si>
    <t>0.232</t>
  </si>
  <si>
    <t>99.14982599254999</t>
  </si>
  <si>
    <t>[0.0, 0.008]</t>
  </si>
  <si>
    <t>LINESTRING (9.675866009283983 59.03974030553283, 9.675866009283983 59.03974030553283, 9.675868288903018 59.039464807099726)</t>
  </si>
  <si>
    <t>[1002652, 1002660]</t>
  </si>
  <si>
    <t>[959785, 959793]</t>
  </si>
  <si>
    <t>0.0012298384836899995</t>
  </si>
  <si>
    <t>[959784, 959785]</t>
  </si>
  <si>
    <t>199.7819955328426</t>
  </si>
  <si>
    <t>[0.007, 0.004, 0.003, 0.008, 0.005, 0.005]</t>
  </si>
  <si>
    <t>LINESTRING (9.675868288903018 59.039464807099726, 9.675934636543097 59.037931439825066, 9.676181792462904 59.036435314812515, 9.67634866319776 59.035524719346206, 9.677000475181059 59.03196634501703, 9.677153923624319 59.03108503723566, 9.677173483092187 59.030959839769075)</t>
  </si>
  <si>
    <t>[1002664, 1002665, 1002670, 1002683, 1002691, 1002692]</t>
  </si>
  <si>
    <t>[959797, 959798, 959802, 959815, 959825, 959826]</t>
  </si>
  <si>
    <t>0.0062254374596288605</t>
  </si>
  <si>
    <t>[959793, 959797, 959798, 959802, 959815, 959825]</t>
  </si>
  <si>
    <t>951.4742658101862</t>
  </si>
  <si>
    <t>[0.012, 0.006, 0.003]</t>
  </si>
  <si>
    <t>LINESTRING (9.675868288903018 59.039464807099726, 9.675839071056947 59.039309218058364, 9.676071785563035 59.03593413306033, 9.676076720723902 59.03588214251468)</t>
  </si>
  <si>
    <t>[1003608, 1435329, 1435337]</t>
  </si>
  <si>
    <t>[960682, 1305297, 1305301]</t>
  </si>
  <si>
    <t>0.006216718659124718</t>
  </si>
  <si>
    <t>[959793, 960682, 1305297]</t>
  </si>
  <si>
    <t>402.1204608552164</t>
  </si>
  <si>
    <t>[0.016, -0.013, 0.016, -0.092, 0.019, -0.018, 0.016, 0.097, -0.003, -0.081, -0.023, -0.003, 0.053, -0.047, 0.005, -0.049, 0.073, -0.014, 0.163]</t>
  </si>
  <si>
    <t>[0, 1, 0, 1, 0, 1, 0, 1, 0, 1, 0, 1, 0, 1, 0, 1, 0, 0, 0]</t>
  </si>
  <si>
    <t>LINESTRING (9.677173483092187 59.030959839769075, 9.672060300142812 59.02209844873346, 9.67156417330598 59.02181984002212, 9.65990539885229 59.018405315806696, 9.656753288939502 59.01763491920343, 9.626449883113821 59.0085317334061, 9.625330584352179 59.00740966748399, 9.617586168640928 59.00285586450117, 9.616695018618096 59.00260563405107, 9.60467221693196 59.001490940479215, 9.601875101845442 59.00130328804685, 9.593479747829404 58.99991523142899, 9.588786047779992 58.99849080884344, 9.579681093409835 58.994261456484566, 9.577406814005986 58.99329038592164, 9.559823302011301 58.98656372068922, 9.557450447634631 58.98566841198071, 9.550537949217741 58.98342984901825, 9.522695970726186 58.97439113970395, 9.52147088542412 58.97400917802054)</t>
  </si>
  <si>
    <t>[1003113, 1003124, 1003128, 1003134, 1003232, 1003240, 1003248, 1003260, 1003268, 1003276, 1003364, 1003372, 1003380, 1003388, 1003420, 1003428, 1003436, 1003576, 1003444]</t>
  </si>
  <si>
    <t>[960231, 960237, 960241, 960246, 960322, 960330, 960340, 960349, 960358, 960367, 960437, 960444, 960450, 960457, 960485, 960495, 960503, 960507, 960508]</t>
  </si>
  <si>
    <t>0.007337235481398737</t>
  </si>
  <si>
    <t>[959826, 960231, 960237, 960241, 960246, 960322, 960330, 960340, 960349, 960358, 960367, 960437, 960444, 960450, 960457, 960485, 960495, 960503, 960507]</t>
  </si>
  <si>
    <t>[0.016, 0.013, 0.016, 0.092, 0.019, 0.018, 0.016, 0.097, 0.003, 0.081, 0.023, 0.003, 0.053, 0.047, 0.005, 0.049, 0.073, 0.014, 0.163]</t>
  </si>
  <si>
    <t>11487.856492775367</t>
  </si>
  <si>
    <t>[0.009, 0.007, -0.01]</t>
  </si>
  <si>
    <t>LINESTRING (9.67619068486883 59.03525628109868, 9.676191744595107 59.03521081714785, 9.677084551699826 59.03113751476608, 9.677173483092187 59.030959839769075)</t>
  </si>
  <si>
    <t>[1435361, 1435369, 1003592]</t>
  </si>
  <si>
    <t>[1305317, 960662, 959826]</t>
  </si>
  <si>
    <t>0.006303277644326768</t>
  </si>
  <si>
    <t>[1305316, 1305317, 960662]</t>
  </si>
  <si>
    <t>[0.009, 0.007, 0.01]</t>
  </si>
  <si>
    <t>484.56630519215963</t>
  </si>
  <si>
    <t>168.60811798093508</t>
  </si>
  <si>
    <t>98.39536639174439</t>
  </si>
  <si>
    <t>[0.008, 0.007, 0.005, 0.004, 0.007]</t>
  </si>
  <si>
    <t>LINESTRING (9.676110166671894 59.039739553195936, 9.67610693471959 59.03946501568466, 9.676169454385011 59.03793712424883, 9.676355275307492 59.036443629455775, 9.67652199020349 59.03553288348511, 9.677173994608202 59.03197394074465)</t>
  </si>
  <si>
    <t>[1002720, 1002721, 1002741, 1002757, 1002768]</t>
  </si>
  <si>
    <t>[959850, 959851, 959870, 959890, 959897]</t>
  </si>
  <si>
    <t>0.006298636102416739</t>
  </si>
  <si>
    <t>[959838, 959850, 959851, 959870, 959890]</t>
  </si>
  <si>
    <t>868.3109469304916</t>
  </si>
  <si>
    <t>[-0.003, -0.004, -0.003, -0.01]</t>
  </si>
  <si>
    <t>LINESTRING (9.676656153819124 59.03591059535933, 9.676647806179805 59.035959826684, 9.676138067243485 59.03958416581931, 9.67611162756834 59.039731370339176, 9.676110166671894 59.039739553195936)</t>
  </si>
  <si>
    <t>[1435345, 1435353, 1003616, 1003624]</t>
  </si>
  <si>
    <t>[1305306, 960691, 960692, 959838]</t>
  </si>
  <si>
    <t>[1305305, 1305306, 960691, 960692]</t>
  </si>
  <si>
    <t>[0.003, 0.004, 0.003, 0.01]</t>
  </si>
  <si>
    <t>429.5984779179763</t>
  </si>
  <si>
    <t>[0.004, 0.004, 0.016, -0.013, 0.016, -0.095, 0.02, -0.017, 0.015, 0.099, -0.004, -0.083, -0.022, -0.001, 0.051, -0.046, 0.007, -0.059, 0.073, -0.014]</t>
  </si>
  <si>
    <t>[0, 0, 0, 1, 0, 1, 0, 1, 0, 1, 0, 1, 0, 1, 0, 1, 0, 1, 0, 0]</t>
  </si>
  <si>
    <t>LINESTRING (9.677173994608202 59.03197394074465, 9.677327529397452 59.03109193451355, 9.677347172867334 59.03096664150834, 9.6721910934229 59.02203921949018, 9.671689926723989 59.0217578837765, 9.659973042329762 59.01832263824688, 9.656834531683707 59.0175556131769, 9.626600844919324 59.00848720243835, 9.625486548071772 59.00736994464559, 9.617673861670063 59.002778389296225, 9.616773564561596 59.0025255373837, 9.604687164698504 59.00140157046748, 9.601904491961323 59.00121485470107, 9.593554996237945 58.99983434362751, 9.588886648007987 58.99841767232535, 9.579796326925562 58.99419433177933, 9.577513217233738 58.99321943660382, 9.559928748061322 58.98649242114414, 9.557550539244044 58.985595043683716, 9.550622533739858 58.98335152048996, 9.522788495053303 58.974315208197595)</t>
  </si>
  <si>
    <t>[1002769, 1002783, 1003160, 1003167, 1003175, 1003186, 1003209, 1003292, 1003300, 1003308, 1003316, 1003324, 1003332, 1003340, 1003348, 1003356, 1003396, 1003404, 1003410, 1003584]</t>
  </si>
  <si>
    <t>[959898, 959908, 960264, 960269, 960279, 960285, 960299, 960383, 960388, 960395, 960400, 960405, 960412, 960419, 960425, 960429, 960464, 960470, 960477, 960522]</t>
  </si>
  <si>
    <t>0.006283264828805578</t>
  </si>
  <si>
    <t>[959897, 959898, 959908, 960264, 960269, 960279, 960285, 960299, 960383, 960388, 960395, 960400, 960405, 960412, 960419, 960425, 960429, 960464, 960470, 960477]</t>
  </si>
  <si>
    <t>[0.004, 0.004, 0.016, 0.013, 0.016, 0.095, 0.02, 0.017, 0.015, 0.099, 0.004, 0.083, 0.022, 0.001, 0.051, 0.046, 0.007, 0.059, 0.073, 0.014]</t>
  </si>
  <si>
    <t>11529.08058567502</t>
  </si>
  <si>
    <t>[-0.018, -0.008, 0.002]</t>
  </si>
  <si>
    <t>LINESTRING (9.677173994608202 59.03197394074465, 9.677199862644507 59.03217740083332, 9.676785402517138 59.03523246745142, 9.676771904552005 59.03528327746525)</t>
  </si>
  <si>
    <t>[1003600, 1435377, 1435385]</t>
  </si>
  <si>
    <t>[960674, 1305328, 1305334]</t>
  </si>
  <si>
    <t>[959897, 960674, 1305328]</t>
  </si>
  <si>
    <t>[0.018, 0.008, 0.002]</t>
  </si>
  <si>
    <t>371.6497909566568</t>
  </si>
  <si>
    <t>[-0.012, -0.011, -0.008]</t>
  </si>
  <si>
    <t>LINESTRING (5.9454297450469875 59.66270846111282, 5.944275283875049 59.66314169784527, 5.94415193977369 59.663196000704374, 5.94334964994721 59.66361073164794)</t>
  </si>
  <si>
    <t>[1003319, 1003327, 1003335]</t>
  </si>
  <si>
    <t>[960402, 960407, 960414]</t>
  </si>
  <si>
    <t>[960370, 960402, 960407]</t>
  </si>
  <si>
    <t>[0.012, 0.011, 0.008]</t>
  </si>
  <si>
    <t>155.7105216989749</t>
  </si>
  <si>
    <t>LINESTRING (5.9454297450469875 59.66270846111282, 5.944288130630195 59.66322318907141, 5.94334964994721 59.66361073164794)</t>
  </si>
  <si>
    <t>[1003343, 1003351]</t>
  </si>
  <si>
    <t>[960421, 960414]</t>
  </si>
  <si>
    <t>[960370, 960421]</t>
  </si>
  <si>
    <t>155.24364553391842</t>
  </si>
  <si>
    <t>[-0.569, -0.031, -0.017, 0.007, 0.02, -0.01, -0.016, -0.018, 0.024, 0.085, 0.039, -0.038, 0.043, 0.002, -0.008, 0.001, 0.016, -0.009, -0.054, -0.065, -0.044, 0.001, -0.001, -0.013, -0.035, -0.04, 0.029, 0.037, -0.03, -0.058, -0.024, -0.043, -0.028, 0.007, 0.003, 0.003, -0.008, -0.007, -0.026, -0.009, -0.011, -0.013, -0.015, -0.006, 0.016, -0.002, -0.023, 0.024, 0.054, 0.056, 0.08, 0.068, 0.047, -0.005, -0.018, -0.032, -0.044, -0.036, -0.029, 0.056, -0.016]</t>
  </si>
  <si>
    <t>[0, 0, 0, 0, 0, 0, 1, 0, 0, 0, 0, 0, 0, 0, 0, 0, 0, 0, 0, 0, 0, 0, 1, 1, 0, 0, 0, 0, 0, 0, 0, 0, 0, 0, 0, 0, 0, 0, 0, 0, 0, 0, 1, 0, 0, 0, 0, 0, 0, 0, 1, 0, 0, 0, 0, 0, 0, 0, 0, 0, 0]</t>
  </si>
  <si>
    <t>LINESTRING (6.017959832982428 59.69059831004596, 6.016345130346548 59.690211694172596, 6.0162491637003095 59.69016998181055, 6.012917869220551 59.68912818347904, 6.011416086981789 59.68874678323951, 6.01010470935681 59.687845965532006, 6.0097582767415325 59.68684830218536, 6.009752604371046 59.686769877084735, 6.009748815692269 59.686717421533224, 6.008668222287406 59.685214929502, 6.008526279320118 59.685099816595276, 6.008268774551279 59.684148448051005, 6.008895782870523 59.68289587643498, 6.008901243257413 59.682876720362366, 6.009103654072697 59.6822114471347, 6.009140418081886 59.68209981375935, 6.009583499972373 59.680132004567696, 6.005487014549107 59.676299850591604, 6.001676864125112 59.67346805709204, 6.000799108694436 59.67308710201406, 6.000340301983597 59.67296883290385, 5.998649881702646 59.67180754650505, 5.9986476461269405 59.67177610406905, 5.9986274847864465 59.67147047786697, 5.998337189211266 59.67082739009738, 5.998184985482389 59.67071793071845, 5.997897928259957 59.67054637067885, 5.998413283117108 59.66899637537833, 5.9981982600540995 59.668621995407875, 5.996926936470491 59.667902855958054, 5.995546452526223 59.66736082237848, 5.995430586382335 59.667334771636774, 5.989731083324087 59.66550245982118, 5.987749538635887 59.66419303125464, 5.984399464512961 59.6635053691808, 5.983364089563994 59.6633399814311, 5.983122235856455 59.663308540575464, 5.978181804884518 59.66279829040576, 5.97056275420219 59.660366254955576, 5.967766287167556 59.659819196734, 5.966408830924493 59.65955538206562, 5.965792294559852 59.65943910853887, 5.963853087322254 59.65907173144363, 5.963285458270936 59.65896571769458, 5.962586103107113 59.6588971827889, 5.962497761168957 59.65890347000295, 5.95903471163495 59.65991900527467, 5.958142208364599 59.66004111632867, 5.956091335675694 59.66018573012336, 5.955264217961912 59.66021163134854, 5.9545114780415105 59.660217055767525, 5.954367555596974 59.660218624249744, 5.953876256255969 59.66024554599686, 5.953684081844404 59.66027520218301, 5.951766809660182 59.660814174217315, 5.951352354586906 59.66086982364625, 5.94727549643612 59.661924333458416, 5.947220847406276 59.66194813465084, 5.946973817354961 59.66205583573199, 5.946151719988479 59.66241110442107, 5.945565576526257 59.6626528124992, 5.9454297450469875 59.66270846111282)</t>
  </si>
  <si>
    <t>[2068564, 2068572, 2068580, 2068588, 2068596, 2068604, 2068612, 2068620, 2068628, 2068636, 2068644, 2068652, 2068660, 2068668, 2068676, 2068684, 2068692, 2068700, 2068708, 2068716, 2068724, 2068733, 2068741, 2068749, 2068757, 2068765, 2068773, 2068781, 2068789, 2068797, 2068805, 2068813, 2068821, 2068829, 2068837, 2068845, 2068853, 2068861, 2068869, 2068877, 2068885, 2068893, 2068901, 2068909, 2068917, 2068925, 2068933, 2068941, 2068949, 2068957, 2068965, 2068973, 2068981, 2068989, 2068997, 2069005, 2069013, 2069021, 2069029, 2069037, 1003279]</t>
  </si>
  <si>
    <t>[1621854, 1621852, 1621856, 1621864, 1621890, 1796532, 1796538, 1796544, 1621866, 1796554, 1796561, 1671466, 1628169, 1621833, 1796582, 1796588, 1631170, 1796599, 1796606, 1630108, 1754185, 1796622, 1796628, 1754773, 1796641, 1796648, 1630152, 1754287, 1630140, 1796663, 1754890, 1629896, 1629968, 1796682, 1754749, 1754746, 1629999, 1748536, 1796704, 1796708, 1631045, 1796721, 1796725, 1796730, 1748538, 1796739, 1631985, 1631583, 1632062, 1796752, 1796756, 1049112, 1796765, 1796771, 1049122, 1631442, 1796786, 1049163, 1796798, 960369, 960370]</t>
  </si>
  <si>
    <t>[1581732, 1621854, 1621852, 1621856, 1621864, 1621890, 1796532, 1796538, 1796544, 1621866, 1796554, 1796561, 1671466, 1628169, 1621833, 1796582, 1796588, 1631170, 1796599, 1796606, 1630108, 1754185, 1796622, 1796628, 1754773, 1796641, 1796648, 1630152, 1754287, 1630140, 1796663, 1754890, 1629896, 1629968, 1796682, 1754749, 1754746, 1629999, 1748536, 1796704, 1796708, 1631045, 1796721, 1796725, 1796730, 1748538, 1796739, 1631985, 1631583, 1632062, 1796752, 1796756, 1049112, 1796765, 1796771, 1049122, 1631442, 1796786, 1049163, 1796798, 960369]</t>
  </si>
  <si>
    <t>[0.569, 0.031, 0.017, 0.007, 0.02, 0.01, 0.016, 0.018, 0.024, 0.085, 0.039, 0.038, 0.043, 0.002, 0.008, 0.001, 0.016, 0.009, 0.054, 0.065, 0.044, 0.001, 0.001, 0.013, 0.035, 0.04, 0.029, 0.037, 0.03, 0.058, 0.024, 0.043, 0.028, 0.007, 0.003, 0.003, 0.008, 0.007, 0.026, 0.009, 0.011, 0.013, 0.015, 0.006, 0.016, 0.002, 0.023, 0.024, 0.054, 0.056, 0.08, 0.068, 0.047, 0.005, 0.018, 0.032, 0.044, 0.036, 0.029, 0.056, 0.016]</t>
  </si>
  <si>
    <t>6517.170673007684</t>
  </si>
  <si>
    <t>[0.0, 0.015, 0.034, 0.004, -0.021, 0.023, -0.064, -0.072, -0.069, -0.062]</t>
  </si>
  <si>
    <t>LINESTRING (8.597559120399401 63.16783556917241, 8.597559120399401 63.16783556917241, 8.571938339582442 63.16271950402759, 8.571545695663055 63.16255549153311, 8.574592296440995 63.149718655937654, 8.575060982568685 63.14924563567509, 8.57536059456188 63.148753139477, 8.568091113885773 63.14491081779957, 8.567317937549529 63.14483050545349, 8.564026323569347 63.14448863480624, 8.561587407635585 63.14424476398649)</t>
  </si>
  <si>
    <t>[1003424, 1003432, 1003440, 1003384, 1003392, 1003405, 1003406, 1003407, 1003408, 1003416]</t>
  </si>
  <si>
    <t>[960489, 960499, 960454, 960455, 960460, 960471, 960472, 960473, 960474, 960480]</t>
  </si>
  <si>
    <t>[960488, 960489, 960499, 960454, 960455, 960460, 960471, 960472, 960473, 960474]</t>
  </si>
  <si>
    <t>[0.0, 0.015, 0.034, 0.004, 0.021, 0.023, 0.064, 0.072, 0.069, 0.062]</t>
  </si>
  <si>
    <t>4509.567081535618</t>
  </si>
  <si>
    <t>[0.012, -0.025]</t>
  </si>
  <si>
    <t>LINESTRING (9.52147088542412 58.97400917802054, 9.505896375285968 58.971501052322495, 9.504685976199164 58.971363083234266)</t>
  </si>
  <si>
    <t>[1003445, 1003452]</t>
  </si>
  <si>
    <t>[960509, 960514]</t>
  </si>
  <si>
    <t>0.009398997001678329</t>
  </si>
  <si>
    <t>[960508, 960509]</t>
  </si>
  <si>
    <t>1015.1212699902782</t>
  </si>
  <si>
    <t>[-0.043, -0.03, 0.001, 0.091, 0.089, 0.089]</t>
  </si>
  <si>
    <t>LINESTRING (9.504685976199164 58.971363083234266, 9.483576007066388 58.9674743859865, 9.482419146494182 58.9671217621906, 9.471995484211304 58.96425387386139, 9.465973256659838 58.962409732992164, 9.464890489936266 58.962265428216504, 9.464796786618283 58.96223264395769)</t>
  </si>
  <si>
    <t>[1003500, 1003509, 1003541, 1003549, 1003560, 1003568]</t>
  </si>
  <si>
    <t>[960564, 960574, 960605, 960616, 960631, 960590]</t>
  </si>
  <si>
    <t>[960514, 960564, 960574, 960605, 960616, 960631]</t>
  </si>
  <si>
    <t>[0.043, 0.03, 0.001, 0.091, 0.089, 0.089]</t>
  </si>
  <si>
    <t>2534.622236507483</t>
  </si>
  <si>
    <t>[0.16, 0.013]</t>
  </si>
  <si>
    <t>LINESTRING (9.522788495053303 58.974315208197595, 9.521557618064675 58.973931426555936, 9.505935429489185 58.97141361316821)</t>
  </si>
  <si>
    <t>[1003460, 1003468]</t>
  </si>
  <si>
    <t>[960523, 960532]</t>
  </si>
  <si>
    <t>0.02481890874895308</t>
  </si>
  <si>
    <t>[960522, 960523]</t>
  </si>
  <si>
    <t>1029.491423604079</t>
  </si>
  <si>
    <t>[-0.026, -0.043, -0.031, -0.0, 0.092, 0.087]</t>
  </si>
  <si>
    <t>LINESTRING (9.505935429489185 58.97141361316821, 9.504722618074101 58.9712753796686, 9.483664647522838 58.967397243692254, 9.482507095968502 58.96704437510051, 9.472046953292937 58.964193354714524, 9.46599967232206 58.96236571957122, 9.464796786618283 58.96223264395769)</t>
  </si>
  <si>
    <t>[1003476, 1003484, 1003492, 1003517, 1003518, 1003525]</t>
  </si>
  <si>
    <t>[960539, 960548, 960556, 960583, 960584, 960590]</t>
  </si>
  <si>
    <t>[960532, 960539, 960548, 960556, 960583, 960584]</t>
  </si>
  <si>
    <t>[0.026, 0.043, 0.031, 0.0, 0.092, 0.087]</t>
  </si>
  <si>
    <t>2604.481449511393</t>
  </si>
  <si>
    <t>[0.012, 0.011]</t>
  </si>
  <si>
    <t>LINESTRING (15.088371043212854 66.4641119684241, 15.088521527571357 66.46409685675131, 15.088599013051091 66.4640890797981)</t>
  </si>
  <si>
    <t>[1004932, 1004946]</t>
  </si>
  <si>
    <t>[961914, 961931]</t>
  </si>
  <si>
    <t>0.011660113455419084</t>
  </si>
  <si>
    <t>[961913, 961914]</t>
  </si>
  <si>
    <t>10.473901536776152</t>
  </si>
  <si>
    <t>9.79129250945711</t>
  </si>
  <si>
    <t>8.851133825663315</t>
  </si>
  <si>
    <t>[-0.063, -0.019, -0.016, -0.008, -0.009]</t>
  </si>
  <si>
    <t>1470.0</t>
  </si>
  <si>
    <t>LINESTRING (29.87326271060724 69.71855752565536, 29.87643063754588 69.71946747907482, 29.88034369005791 69.7199795655128, 29.883407106819703 69.72029018529054, 29.884066470012097 69.72038201313626, 29.88468869454506 69.72066916493107)</t>
  </si>
  <si>
    <t>[1011120, 1011128, 1011136, 1011144, 1011152]</t>
  </si>
  <si>
    <t>[967971, 967979, 967988, 967999, 968007]</t>
  </si>
  <si>
    <t>[967970, 967971, 967979, 967988, 967999]</t>
  </si>
  <si>
    <t>[0.063, 0.019, 0.016, 0.008, 0.009]</t>
  </si>
  <si>
    <t>520.637352116679</t>
  </si>
  <si>
    <t>[-0.055, -0.083]</t>
  </si>
  <si>
    <t>LINESTRING (29.872153299684776 69.7183058234425, 29.872240183251325 69.7183218797481, 29.87326271060724 69.71855752565536)</t>
  </si>
  <si>
    <t>[1149182, 1149190]</t>
  </si>
  <si>
    <t>[1084582, 967970]</t>
  </si>
  <si>
    <t>[1084581, 1084582]</t>
  </si>
  <si>
    <t>[0.055, 0.083]</t>
  </si>
  <si>
    <t>51.7061132407534</t>
  </si>
  <si>
    <t>[-0.024, 0.147]</t>
  </si>
  <si>
    <t>LINESTRING (29.87237081743274 69.71821964683545, 29.87243052703702 69.71823998434411, 29.87326271060724 69.71855752565536)</t>
  </si>
  <si>
    <t>[1162428, 1162436]</t>
  </si>
  <si>
    <t>[1096880, 967970]</t>
  </si>
  <si>
    <t>0.13619015412997956</t>
  </si>
  <si>
    <t>[1096879, 1096880]</t>
  </si>
  <si>
    <t>[0.024, 0.147]</t>
  </si>
  <si>
    <t>51.4124373026481</t>
  </si>
  <si>
    <t>873.0</t>
  </si>
  <si>
    <t>LINESTRING (30.767245185115 70.29026427562127, 31.103518674750703 70.37409316565235)</t>
  </si>
  <si>
    <t>18724.321164133016</t>
  </si>
  <si>
    <t>[-0.031, -0.031, -0.027, 0.016, 0.007, 0.007, 0.003, -0.002, -0.007, -0.009, -0.011, -0.009, -0.001, 0.003, 0.002, 0.004]</t>
  </si>
  <si>
    <t>1115.0</t>
  </si>
  <si>
    <t>[0, 0, 0, 0, 0, 1, 0, 0, 0, 0, 0, 0, 0, 0, 0, 0]</t>
  </si>
  <si>
    <t>LINESTRING (29.75377811415182 70.0736684384586, 29.753855996155853 70.07326797335374, 29.75414476649198 70.07245700646637, 29.753362508226754 70.07074321319715, 29.752138041854966 70.07016555636173, 29.751063028325778 70.06965405269146, 29.749051846739526 70.06868677122064, 29.748375186525024 70.0683625582997, 29.74748224174971 70.06803346922958, 29.747417954117854 70.06801809865081, 29.746642164411806 70.067891625752, 29.742669974451907 70.06823787225393, 29.740654170517473 70.06843237642231, 29.738819194433066 70.06869589233573, 29.738171929313133 70.06886461348645, 29.737890875864377 70.06973491376854, 29.736634059239943 70.07016517696233)</t>
  </si>
  <si>
    <t>[1013043, 1013051, 1013059, 1013067, 1013075, 1013083, 1013091, 1013099, 1013107, 1013115, 1013123, 1013131, 1013139, 1013147, 1013155, 1013163]</t>
  </si>
  <si>
    <t>[969842, 969850, 969855, 969862, 969869, 969876, 969882, 969890, 963369, 969902, 961582, 969915, 969923, 969929, 969936, 969943]</t>
  </si>
  <si>
    <t>[969841, 969842, 969850, 969855, 969862, 969869, 969876, 969882, 969890, 963369, 969902, 961582, 969915, 969923, 969929, 969936]</t>
  </si>
  <si>
    <t>[0.031, 0.031, 0.027, 0.016, 0.007, 0.007, 0.003, 0.002, 0.007, 0.009, 0.011, 0.009, 0.001, 0.003, 0.002, 0.004]</t>
  </si>
  <si>
    <t>1269.0666400051227</t>
  </si>
  <si>
    <t>[-1.532, 0.307]</t>
  </si>
  <si>
    <t>LINESTRING (29.75375543659728 70.07396356093942, 29.753742903387735 70.07390927247505, 29.75377811415182 70.0736684384586)</t>
  </si>
  <si>
    <t>[1162044, 1162052]</t>
  </si>
  <si>
    <t>[1096526, 969841]</t>
  </si>
  <si>
    <t>[969952, 1096526]</t>
  </si>
  <si>
    <t>[1.532, 0.307]</t>
  </si>
  <si>
    <t>33.20686854031331</t>
  </si>
  <si>
    <t>[-0.023, -0.027]</t>
  </si>
  <si>
    <t>LINESTRING (29.75409912284523 70.0739318693511, 29.754001071772475 70.07388251096712, 29.75377811415182 70.0736684384586)</t>
  </si>
  <si>
    <t>[1148823, 1148831]</t>
  </si>
  <si>
    <t>[1084281, 969841]</t>
  </si>
  <si>
    <t>[969965, 1084281]</t>
  </si>
  <si>
    <t>32.22839160880697</t>
  </si>
  <si>
    <t>5.76316753189328</t>
  </si>
  <si>
    <t>[-0.046, 1.074]</t>
  </si>
  <si>
    <t>LINESTRING (29.7538532433292 70.07411911510415, 29.753721541853963 70.07407373009221, 29.753693758600818 70.07401055088164)</t>
  </si>
  <si>
    <t>[1013251, 1013259]</t>
  </si>
  <si>
    <t>[970020, 969951]</t>
  </si>
  <si>
    <t>0.5141317312214865</t>
  </si>
  <si>
    <t>[970013, 970020]</t>
  </si>
  <si>
    <t>[0.046, 1.074]</t>
  </si>
  <si>
    <t>14.299545051460528</t>
  </si>
  <si>
    <t>[-0.332, 1.469]</t>
  </si>
  <si>
    <t>LINESTRING (29.75290565081542 70.07416563229098, 29.753568268768646 70.07404345571733, 29.753693758600818 70.07401055088164)</t>
  </si>
  <si>
    <t>[1161996, 1162004]</t>
  </si>
  <si>
    <t>[1096485, 969951]</t>
  </si>
  <si>
    <t>[1084221, 1096485]</t>
  </si>
  <si>
    <t>[0.332, 1.469]</t>
  </si>
  <si>
    <t>34.997099701780726</t>
  </si>
  <si>
    <t>[-0.019, -0.006]</t>
  </si>
  <si>
    <t>LINESTRING (29.75375543659728 70.07396356093942, 29.75391213022568 70.07392851786304, 29.75409912284523 70.0739318693511)</t>
  </si>
  <si>
    <t>[1013179, 1013187]</t>
  </si>
  <si>
    <t>[969959, 969965]</t>
  </si>
  <si>
    <t>[969952, 969959]</t>
  </si>
  <si>
    <t>14.303243611117589</t>
  </si>
  <si>
    <t>2.9093126335018553</t>
  </si>
  <si>
    <t>LINESTRING (29.754166121947407 70.07394424940023, 29.754276883537322 70.07399572782259, 29.754276903160683 70.07405968711852)</t>
  </si>
  <si>
    <t>[1013203, 1013211]</t>
  </si>
  <si>
    <t>[969979, 969986]</t>
  </si>
  <si>
    <t>0.027501248640248353</t>
  </si>
  <si>
    <t>[969972, 969979]</t>
  </si>
  <si>
    <t>14.307433667228233</t>
  </si>
  <si>
    <t>[-1.435, -0.005, 1.243]</t>
  </si>
  <si>
    <t>LINESTRING (29.754166121947407 70.07394424940023, 29.754330772404902 70.07393243419104, 29.75462434363891 70.07393132184473, 29.754812207433435 70.07394702310843)</t>
  </si>
  <si>
    <t>[1162012, 1162020, 1162036]</t>
  </si>
  <si>
    <t>[1096497, 1096504, 1084247]</t>
  </si>
  <si>
    <t>[969972, 1096497, 1096504]</t>
  </si>
  <si>
    <t>[1.435, 0.005, 1.243]</t>
  </si>
  <si>
    <t>25.01819612074954</t>
  </si>
  <si>
    <t>[0.027, 0.021, -1.757, -0.022]</t>
  </si>
  <si>
    <t>LINESTRING (29.754276903160683 70.07405968711852, 29.754195812153764 70.07410297892613, 29.754038350902423 70.07412916010126, 29.753924713001737 70.07412798874513, 29.7538532433292 70.07411911510415)</t>
  </si>
  <si>
    <t>[1013219, 1013227, 1013235, 1013243]</t>
  </si>
  <si>
    <t>[969993, 969999, 970006, 970013]</t>
  </si>
  <si>
    <t>[969986, 969993, 969999, 970006]</t>
  </si>
  <si>
    <t>[0.027, 0.021, 1.757, 0.022]</t>
  </si>
  <si>
    <t>19.68339761989678</t>
  </si>
  <si>
    <t>[-0.024, -0.018, -0.019]</t>
  </si>
  <si>
    <t>LINESTRING (29.754276903160683 70.07405968711852, 29.75442054490422 70.07402138353993, 29.754646880967307 70.07397556254996, 29.754812207433435 70.07394702310843)</t>
  </si>
  <si>
    <t>[1148767, 1148775, 1148791]</t>
  </si>
  <si>
    <t>[1084233, 1084238, 1084247]</t>
  </si>
  <si>
    <t>[969986, 1084233, 1084238]</t>
  </si>
  <si>
    <t>[0.024, 0.018, 0.019]</t>
  </si>
  <si>
    <t>24.085190060879864</t>
  </si>
  <si>
    <t>[-0.009, -1.26]</t>
  </si>
  <si>
    <t>LINESTRING (29.75290565081542 70.07416563229098, 29.7537027617858 70.0741397461269, 29.7538532433292 70.07411911510415)</t>
  </si>
  <si>
    <t>[1148751, 1148759]</t>
  </si>
  <si>
    <t>[1084222, 970013]</t>
  </si>
  <si>
    <t>[1084221, 1084222]</t>
  </si>
  <si>
    <t>[0.009, 1.26]</t>
  </si>
  <si>
    <t>36.859016970453396</t>
  </si>
  <si>
    <t>221.48712785972867</t>
  </si>
  <si>
    <t>[-0.059, -0.01]</t>
  </si>
  <si>
    <t>LINESTRING (30.203426296422506 69.65960066835433, 30.203480772007715 69.65927703634915, 30.20423136650732 69.65774728459782)</t>
  </si>
  <si>
    <t>[1166115, 1166116]</t>
  </si>
  <si>
    <t>[1099813, 970036]</t>
  </si>
  <si>
    <t>[970035, 1099813]</t>
  </si>
  <si>
    <t>[0.059, 0.01]</t>
  </si>
  <si>
    <t>212.6922754382581</t>
  </si>
  <si>
    <t>[0.03, 0.017, 0.042, 0.089, 0.079, 0.061, -0.059, -0.066, -0.029, -0.036, -0.024, 0.001, -0.014, 0.031, -0.064, -0.042, 0.026, -0.01, -0.064, 0.015, 0.003, -0.003, -0.001, -0.012, -0.02, -0.032, -0.037, -0.045, -0.04]</t>
  </si>
  <si>
    <t>1106.0</t>
  </si>
  <si>
    <t>LINESTRING (30.121659914348715 69.6791100444826, 30.123728635836944 69.67800776368281, 30.12828578389595 69.67629296441865, 30.13051854460505 69.67584347609365, 30.1307847415959 69.6757989147839, 30.13775233782338 69.67399258214607, 30.141927499006485 69.67381420337996, 30.14420027838906 69.67403733069996, 30.148132913788462 69.67452811031767, 30.16042997296793 69.67521518209085, 30.16100979331652 69.67517438000245, 30.16970586010743 69.67347028487308, 30.175147860705984 69.67060441955657, 30.178332165904514 69.6687133396154, 30.187512884068923 69.66623966366718, 30.19008823933577 69.66539129922404, 30.192959897906025 69.66475445720725, 30.199307030299032 69.66284014966625, 30.19978318779263 69.66234428089032, 30.201131918163128 69.66138945900727, 30.20208051779963 69.66079777783983, 30.202174929095708 69.66073534246065, 30.20223535134391 69.66069413865497, 30.20229544689079 69.66065176574953, 30.2024662819141 69.6605132278968, 30.20287525608494 69.66014641615907, 30.20317838620823 69.65985533672915, 30.203219898545505 69.65981580847726, 30.203301701082466 69.65973425224341, 30.203426296422506 69.65960066835433)</t>
  </si>
  <si>
    <t>[1303068, 1303076, 1303088, 443559, 443567, 443575, 443583, 443591, 443599, 443607, 443615, 443852, 443864, 443880, 443881, 443894, 443902, 443903, 1166027, 1166035, 1166048, 1166056, 1166057, 1166064, 1166073, 1166074, 1166081, 1166101, 1166107]</t>
  </si>
  <si>
    <t>[1213870, 1213876, 442610, 442611, 442618, 442624, 442634, 442646, 442653, 442660, 442669, 442764, 442908, 442772, 442773, 442934, 442942, 442943, 1099737, 1099745, 1048128, 1099763, 1048147, 982381, 982389, 982382, 982390, 1099801, 970035]</t>
  </si>
  <si>
    <t>0.0012417438073979747</t>
  </si>
  <si>
    <t>[1213869, 1213870, 1213876, 442610, 442611, 442618, 442624, 442634, 442646, 442653, 442660, 442669, 442764, 442908, 442772, 442773, 442934, 442942, 442943, 1099737, 1099745, 1048128, 1099763, 1048147, 982381, 982389, 982382, 982390, 1099801]</t>
  </si>
  <si>
    <t>[0.03, 0.017, 0.042, 0.089, 0.079, 0.061, 0.059, 0.066, 0.029, 0.036, 0.024, 0.001, 0.014, 0.031, 0.064, 0.042, 0.026, 0.01, 0.064, 0.015, 0.003, 0.003, 0.001, 0.012, 0.02, 0.032, 0.037, 0.045, 0.04]</t>
  </si>
  <si>
    <t>4286.56293250502</t>
  </si>
  <si>
    <t>16.950696150343184</t>
  </si>
  <si>
    <t>[-0.041, -0.038, -0.036, -0.013, 0.007, 0.007, 0.007, 0.005, 0.002, 0.0, 0.011, 0.011, 0.021, 0.026, 0.026, 0.017, 0.006, 0.003, -0.002, -0.003, -0.009]</t>
  </si>
  <si>
    <t>14786.0</t>
  </si>
  <si>
    <t>[0, 0, 0, 1, 0, 0, 0, 0, 0, 0, 0, 0, 0, 0, 0, 0, 0, 0, 0, 0, 0]</t>
  </si>
  <si>
    <t>LINESTRING (23.37390692528301 69.96917686660353, 23.374127136566095 69.96902972200058, 23.37413956136074 69.96902214400951, 23.374309560913375 69.96891836387192, 23.375834143602937 69.96792123620757, 23.376905551217035 69.96721438375195, 23.3770014962513 69.9671515163393, 23.37708520799084 69.96709754713795, 23.377111958423857 69.96708018472154, 23.377928476527867 69.9665430939879, 23.378080167201954 69.96644259120679, 23.38001135105881 69.96516139088043, 23.380152798072213 69.96506887596254, 23.380365704925286 69.96492866691662, 23.380921206786308 69.96456126271998, 23.382519493770587 69.96360711736935, 23.383809055547587 69.96330864153623, 23.38436699887412 69.96325024406275, 23.38754284640176 69.96302257311591, 23.387819635942414 69.96300345840385, 23.388183305212955 69.96297813672523, 23.389717229699222 69.9628687370907)</t>
  </si>
  <si>
    <t>[1015312, 1015320, 1015328, 1015336, 1015344, 1015352, 1015360, 1015368, 1015376, 1015384, 1015392, 1015400, 1015408, 1015416, 1015424, 1015432, 1015440, 1015448, 1015456, 1015464, 1015472]</t>
  </si>
  <si>
    <t>[972030, 972037, 972045, 972050, 972053, 972061, 972066, 972073, 972082, 972087, 972092, 972099, 972104, 972112, 972119, 972124, 972131, 972140, 972147, 972153, 972160]</t>
  </si>
  <si>
    <t>0.0055819318511487</t>
  </si>
  <si>
    <t>[972029, 972030, 972037, 972045, 972050, 972053, 972061, 972066, 972073, 972082, 972087, 972092, 972099, 972104, 972112, 972119, 972124, 972131, 972140, 972147, 972153]</t>
  </si>
  <si>
    <t>[0.041, 0.038, 0.036, 0.013, 0.007, 0.007, 0.007, 0.005, 0.002, 0.0, 0.011, 0.011, 0.021, 0.026, 0.026, 0.017, 0.006, 0.003, 0.002, 0.003, 0.009]</t>
  </si>
  <si>
    <t>995.706528641206</t>
  </si>
  <si>
    <t>[-0.024, -0.024, -0.165]</t>
  </si>
  <si>
    <t>LINESTRING (23.373559712285882 69.96934983191318, 23.373618974226407 69.96931196940679, 23.373710028088315 69.96926184056977, 23.37390692528301 69.96917686660353)</t>
  </si>
  <si>
    <t>[1024256, 1024264, 1024272]</t>
  </si>
  <si>
    <t>[979117, 979125, 972029]</t>
  </si>
  <si>
    <t>[979116, 979117, 979125]</t>
  </si>
  <si>
    <t>[0.024, 0.024, 0.165]</t>
  </si>
  <si>
    <t>23.5078929793411</t>
  </si>
  <si>
    <t>[-0.021, -0.022, -0.067]</t>
  </si>
  <si>
    <t>LINESTRING (23.37382084245351 69.96939432252395, 23.373826648687846 69.96934294577852, 23.37385082113842 69.96928315788496, 23.37390692528301 69.96917686660353)</t>
  </si>
  <si>
    <t>[1148396, 1148404, 1148412]</t>
  </si>
  <si>
    <t>[1083875, 1083882, 972029]</t>
  </si>
  <si>
    <t>[1083874, 1083875, 1083882]</t>
  </si>
  <si>
    <t>[0.021, 0.022, 0.067]</t>
  </si>
  <si>
    <t>24.54110489806142</t>
  </si>
  <si>
    <t>[0.111, 0.012, 0.01, 0.013, -0.039]</t>
  </si>
  <si>
    <t>LINESTRING (23.389717229699222 69.9628687370907, 23.39046115852098 69.96285322779389, 23.391416007904635 69.96279459996609, 23.39163411076799 69.96277982302556, 23.39190977874011 69.96276120700986, 23.393652623954946 69.962593379559)</t>
  </si>
  <si>
    <t>[2075503, 2075511, 2075519, 2075527, 2075535]</t>
  </si>
  <si>
    <t>[1800747, 1800751, 1800754, 1800760, 972167]</t>
  </si>
  <si>
    <t>0.007375368142405879</t>
  </si>
  <si>
    <t>[972160, 1800747, 1800751, 1800754, 1800760]</t>
  </si>
  <si>
    <t>[0.111, 0.012, 0.01, 0.013, 0.039]</t>
  </si>
  <si>
    <t>154.61582855049318</t>
  </si>
  <si>
    <t>[0.165, 0.01, 0.013, 0.011, 0.015, -0.043]</t>
  </si>
  <si>
    <t>LINESTRING (23.389717229699222 69.9628687370907, 23.39020393580803 69.96280402106208, 23.390425796517505 69.96278620995353, 23.39135861285338 69.96271978652476, 23.391556370121474 69.96270621157305, 23.391865462021016 69.96268483179757, 23.393652623954946 69.962593379559)</t>
  </si>
  <si>
    <t>[2075543, 2075551, 2075559, 2075567, 2075575, 2075583]</t>
  </si>
  <si>
    <t>[1800771, 1800776, 1800779, 1800784, 1800790, 972167]</t>
  </si>
  <si>
    <t>0.007429318109308539</t>
  </si>
  <si>
    <t>[972160, 1800771, 1800776, 1800779, 1800784, 1800790]</t>
  </si>
  <si>
    <t>[0.165, 0.01, 0.013, 0.011, 0.015, 0.043]</t>
  </si>
  <si>
    <t>154.26519478387002</t>
  </si>
  <si>
    <t>7328.0</t>
  </si>
  <si>
    <t>LINESTRING (23.393652623954946 69.962593379559, 23.590884249228008 70.04715326527904)</t>
  </si>
  <si>
    <t>12788.33653785324</t>
  </si>
  <si>
    <t>[-0.012, -0.013, -0.014, -0.015, -0.015, -0.01, -0.006, -0.004, 0.002, 0.003, 0.002, -0.001, 0.002, 0.002, 0.002]</t>
  </si>
  <si>
    <t>677.0</t>
  </si>
  <si>
    <t>LINESTRING (24.979979781295114 70.05178776469073, 24.980326857090038 70.0526395972179, 24.98042197946978 70.05285628001984, 24.98073456447987 70.05358479825261, 24.98090090288576 70.05397525593203, 24.98180156236491 70.05604007850435, 24.982697572173766 70.05818143788807, 24.982739911603083 70.05828139191422, 24.98317279050854 70.06012347651661, 24.98324082120955 70.06068380455694, 24.983252466930796 70.06075881716909, 24.983268633333534 70.06090056175888, 24.984812337820703 70.06299305101781, 24.98475577081702 70.06414450669584, 24.98461687272727 70.0647380814367, 24.98451511361978 70.06517239225484)</t>
  </si>
  <si>
    <t>[1015554, 1015562, 1015570, 1015578, 1015586, 1015594, 1015602, 1015610, 1015618, 1015626, 1015634, 1179899, 1179907, 1179915, 1179923]</t>
  </si>
  <si>
    <t>[972235, 972242, 972249, 972254, 972262, 972266, 972271, 972277, 972284, 972288, 972294, 1110590, 1047733, 1110601, 1037091]</t>
  </si>
  <si>
    <t>[972234, 972235, 972242, 972249, 972254, 972262, 972266, 972271, 972277, 972284, 972288, 972294, 1110590, 1047733, 1110601]</t>
  </si>
  <si>
    <t>[0.012, 0.013, 0.014, 0.015, 0.015, 0.01, 0.006, 0.004, 0.002, 0.003, 0.002, 0.001, 0.002, 0.002, 0.002]</t>
  </si>
  <si>
    <t>1513.054317107016</t>
  </si>
  <si>
    <t>[-0.028, -0.016]</t>
  </si>
  <si>
    <t>LINESTRING (24.979673679915265 70.05151298961536, 24.979725047156418 70.05156307539742, 24.979979781295114 70.05178776469073)</t>
  </si>
  <si>
    <t>[1060582, 1060590]</t>
  </si>
  <si>
    <t>[1008754, 972234]</t>
  </si>
  <si>
    <t>[1008753, 1008754]</t>
  </si>
  <si>
    <t>[0.028, 0.016]</t>
  </si>
  <si>
    <t>33.19681265643035</t>
  </si>
  <si>
    <t>[-0.024, -0.01]</t>
  </si>
  <si>
    <t>LINESTRING (24.979988456312014 70.05150782360808, 24.980005260756737 70.05154997170241, 24.979979781295114 70.05178776469073)</t>
  </si>
  <si>
    <t>[1162444, 1162452]</t>
  </si>
  <si>
    <t>[1096892, 972234]</t>
  </si>
  <si>
    <t>[1096891, 1096892]</t>
  </si>
  <si>
    <t>[0.024, 0.01]</t>
  </si>
  <si>
    <t>31.811948334235204</t>
  </si>
  <si>
    <t>LINESTRING (23.3177438001951 68.72331126908108, 23.3207058861141 68.66496884658645)</t>
  </si>
  <si>
    <t>10561.183014175662</t>
  </si>
  <si>
    <t>LINESTRING (25.07141976340873 70.47378643252064, 25.04854831924976 70.36795835691326)</t>
  </si>
  <si>
    <t>15957.952800708315</t>
  </si>
  <si>
    <t>604.0</t>
  </si>
  <si>
    <t>LINESTRING (25.07141976340873 70.47378643252064, 25.185639338394168 70.53044627030664)</t>
  </si>
  <si>
    <t>12188.381781344706</t>
  </si>
  <si>
    <t>788.0</t>
  </si>
  <si>
    <t>LINESTRING (24.84920960381835 70.43054805500027, 25.07141976340873 70.47378643252064)</t>
  </si>
  <si>
    <t>14.059245001091229</t>
  </si>
  <si>
    <t>15.872754171625287</t>
  </si>
  <si>
    <t>[0.008, 0.042]</t>
  </si>
  <si>
    <t>LINESTRING (5.862492455664156 58.76681970971115, 5.8625672403460065 58.766851316415895, 5.862588175780106 58.76689823845707)</t>
  </si>
  <si>
    <t>[1351943, 1351951]</t>
  </si>
  <si>
    <t>[1251792, 1055681]</t>
  </si>
  <si>
    <t>0.024668565116921826</t>
  </si>
  <si>
    <t>[974427, 1251792]</t>
  </si>
  <si>
    <t>10.976813632124669</t>
  </si>
  <si>
    <t>[-0.045, -0.046, -0.043, -0.036, -0.034, -0.033, -0.028, 0.0, 0.003, 0.004, 0.003, 0.005]</t>
  </si>
  <si>
    <t>LINESTRING (5.71128678941112 58.859557990604166, 5.711205446001834 58.86037228136432, 5.71119760292151 58.86052705366788, 5.711252087480858 58.861979509096685, 5.711259720698077 58.862085982016005, 5.711292276523786 58.86254563698716, 5.71134066884349 58.863078119647696, 5.711567891822109 58.865078003128325, 5.713241249732726 58.86831946314462, 5.71324953550101 58.86832695883878, 5.713257821272795 58.8683344545325, 5.713305115671274 58.86838012074757, 5.718194382426881 58.87156927253416)</t>
  </si>
  <si>
    <t>[1018350, 1018358, 1018366, 1018374, 1018382, 1018390, 1018398, 1018406, 1018414, 1018422, 1018430, 1018438]</t>
  </si>
  <si>
    <t>[974619, 974623, 974627, 974635, 974640, 974645, 974651, 974659, 974665, 974670, 974675, 974682]</t>
  </si>
  <si>
    <t>[974613, 974619, 974623, 974627, 974635, 974640, 974645, 974651, 974659, 974665, 974670, 974675]</t>
  </si>
  <si>
    <t>[0.045, 0.046, 0.043, 0.036, 0.034, 0.033, 0.028, 0.0, 0.003, 0.004, 0.003, 0.005]</t>
  </si>
  <si>
    <t>1460.653824620692</t>
  </si>
  <si>
    <t>[0.001, 0.005, 0.004, 0.005, -0.009, -0.038, -0.046, -0.026, -0.05]</t>
  </si>
  <si>
    <t>LINESTRING (5.718194382426881 58.87156927253416, 5.719437105678898 58.87365459502369, 5.719439111465197 58.87366357815906, 5.719441100137158 58.87367256005466, 5.7194628339627736 58.87375315084907, 5.718733040609413 58.87702306081667, 5.718728638270268 58.87703044113997, 5.718724238323736 58.87703781259988, 5.718702165304258 58.87707468266301, 5.718694780154696 58.87708716046317)</t>
  </si>
  <si>
    <t>[1018446, 1018454, 1018462, 1018470, 1018478, 1018486, 1018494, 1018502, 1018510]</t>
  </si>
  <si>
    <t>[974688, 974693, 974698, 974704, 974709, 974715, 974722, 974728, 974734]</t>
  </si>
  <si>
    <t>[974682, 974688, 974693, 974698, 974704, 974709, 974715, 974722, 974728]</t>
  </si>
  <si>
    <t>[0.001, 0.005, 0.004, 0.005, 0.009, 0.038, 0.046, 0.026, 0.05]</t>
  </si>
  <si>
    <t>634.4409749902081</t>
  </si>
  <si>
    <t>[-0.032, -0.034, -0.024, -0.006]</t>
  </si>
  <si>
    <t>LINESTRING (5.718694780154696 58.87708716046317, 5.7186889621483585 58.87709577565892, 5.7186826652090605 58.8771061634919, 5.718668952915043 58.87713237050048, 5.717785640679158 58.88245125611423)</t>
  </si>
  <si>
    <t>[1018518, 1018526, 1018534, 1018542]</t>
  </si>
  <si>
    <t>[974741, 974747, 974752, 974757]</t>
  </si>
  <si>
    <t>[974734, 974741, 974747, 974752]</t>
  </si>
  <si>
    <t>[0.032, 0.034, 0.024, 0.006]</t>
  </si>
  <si>
    <t>607.1117305332249</t>
  </si>
  <si>
    <t>[0.001, -0.009, -0.02, -0.02, -0.014, -0.005]</t>
  </si>
  <si>
    <t>6403.0</t>
  </si>
  <si>
    <t>LINESTRING (5.717785640679158 58.88245125611423, 5.717877494205344 58.883264018283526, 5.717609569109868 58.88642476548947, 5.717607678415776 58.88643389114365, 5.717605787720445 58.88644301679783, 5.71758352490218 58.88653403025131, 5.717135103489825 58.88776547419515)</t>
  </si>
  <si>
    <t>[1018550, 1018558, 1018566, 1018574, 1018582, 1018590]</t>
  </si>
  <si>
    <t>[974762, 974769, 974774, 974782, 974787, 974792]</t>
  </si>
  <si>
    <t>[974757, 974762, 974769, 974774, 974782, 974787]</t>
  </si>
  <si>
    <t>[0.001, 0.009, 0.02, 0.02, 0.014, 0.005]</t>
  </si>
  <si>
    <t>597.3887577791452</t>
  </si>
  <si>
    <t>[0.012, 0.007, -0.012]</t>
  </si>
  <si>
    <t>LINESTRING (5.715854214614932 58.886407667055956, 5.7158683990223516 58.886350941088786, 5.71774696486868 58.88272507629796, 5.717785640679158 58.88245125611423)</t>
  </si>
  <si>
    <t>[2099392, 2099393, 1435927]</t>
  </si>
  <si>
    <t>[1815349, 1305684, 974757]</t>
  </si>
  <si>
    <t>0.005862990760122775</t>
  </si>
  <si>
    <t>[1815348, 1815349, 1305684]</t>
  </si>
  <si>
    <t>[0.012, 0.007, 0.012]</t>
  </si>
  <si>
    <t>485.7775472749439</t>
  </si>
  <si>
    <t>[-0.005, -0.008, 0.002]</t>
  </si>
  <si>
    <t>LINESTRING (5.717135103489825 58.88776547419515, 5.716835703820917 58.88838262648164, 5.716010312799273 58.88972101095836, 5.715658264499542 58.890194848441325)</t>
  </si>
  <si>
    <t>[1018598, 1018606, 1018614]</t>
  </si>
  <si>
    <t>[974797, 974801, 974806]</t>
  </si>
  <si>
    <t>[974792, 974797, 974801]</t>
  </si>
  <si>
    <t>[0.005, 0.008, 0.002]</t>
  </si>
  <si>
    <t>284.8484788641956</t>
  </si>
  <si>
    <t>[0.006, -0.002, 0.005, 0.005, 0.008, 0.005, -0.013]</t>
  </si>
  <si>
    <t>LINESTRING (5.717135103489825 58.88776547419515, 5.717177156173555 58.887534234925766, 5.7174871710763275 58.886540397791016, 5.717520457522893 58.88642849480488, 5.7175501358368095 58.88628673528414, 5.717551387261892 58.88627784346094, 5.71606810368065 58.886353842795266, 5.71607121267798 58.88641859920507)</t>
  </si>
  <si>
    <t>[1436103, 2099574, 2099575, 2099592, 2099593, 2099608, 2099609]</t>
  </si>
  <si>
    <t>[1305782, 1815464, 1815465, 1815480, 1815481, 1815491, 1815492]</t>
  </si>
  <si>
    <t>0.002481333418568132</t>
  </si>
  <si>
    <t>[974792, 1305782, 1815464, 1815465, 1815480, 1815481, 1815491]</t>
  </si>
  <si>
    <t>[0.006, 0.002, 0.005, 0.005, 0.008, 0.005, 0.013]</t>
  </si>
  <si>
    <t>352.8686962901257</t>
  </si>
  <si>
    <t>[0.004, 0.005, 0.004, 0.005, 0.013, 0.018, -0.011, -0.006, -0.011]</t>
  </si>
  <si>
    <t>LINESTRING (5.715658264499542 58.890194848441325, 5.715606855376159 58.89026203514835, 5.715489732609734 58.8904099213194, 5.715212505252862 58.89074305496833, 5.713619657472212 58.89247064282203, 5.711593621912938 58.894491877743526, 5.711586702145331 58.89449983466941, 5.71157978237438 58.89450779159484, 5.711475926839193 58.894627168287656, 5.7112104317581815 58.8949476915002)</t>
  </si>
  <si>
    <t>[1018622, 1018630, 1018638, 1018646, 1018654, 1018662, 1018670, 1018678, 1018686]</t>
  </si>
  <si>
    <t>[974812, 974817, 974822, 974827, 974833, 974839, 974844, 974849, 974856]</t>
  </si>
  <si>
    <t>0.007032046186930637</t>
  </si>
  <si>
    <t>[974806, 974812, 974817, 974822, 974827, 974833, 974839, 974844, 974849]</t>
  </si>
  <si>
    <t>[0.004, 0.005, 0.004, 0.005, 0.013, 0.018, 0.011, 0.006, 0.011]</t>
  </si>
  <si>
    <t>590.3823588055388</t>
  </si>
  <si>
    <t>[-0.008, -0.002, -0.061, -0.004]</t>
  </si>
  <si>
    <t>LINESTRING (5.708845581811477 58.89443965083827, 5.7088542591637585 58.89438733318937, 5.715247771735714 58.890574553736826, 5.715360648924199 58.890445472800465, 5.715658264499542 58.890194848441325)</t>
  </si>
  <si>
    <t>[2099718, 2099719, 2099720, 1438654]</t>
  </si>
  <si>
    <t>[1815569, 1815570, 1307570, 974806]</t>
  </si>
  <si>
    <t>[1212397, 1815569, 1815570, 1307570]</t>
  </si>
  <si>
    <t>[0.008, 0.002, 0.061, 0.004]</t>
  </si>
  <si>
    <t>647.1976487129529</t>
  </si>
  <si>
    <t>[-0.004, -0.005, 0.005, 0.007, 0.007, -0.004, -0.001, 0.012]</t>
  </si>
  <si>
    <t>LINESTRING (5.7112104317581815 58.8949476915002, 5.710670385100135 58.89572725637422, 5.710565847662033 58.895904680854436, 5.700486939758419 58.90603371361929, 5.700476760661487 58.906041045150715, 5.700466581560145 58.90604837668123, 5.700436044229625 58.90607037126725, 5.6998655413932555 58.90648426334412, 5.699858095853455 58.906489886364675)</t>
  </si>
  <si>
    <t>[1018694, 1018702, 1018710, 1018718, 1018726, 1018734, 1018742, 1018750]</t>
  </si>
  <si>
    <t>[974860, 974864, 974870, 974877, 974880, 974885, 974888, 974896]</t>
  </si>
  <si>
    <t>0.0040449991624295495</t>
  </si>
  <si>
    <t>[974856, 974860, 974864, 974870, 974877, 974880, 974885, 974888]</t>
  </si>
  <si>
    <t>[0.004, 0.005, 0.005, 0.007, 0.007, 0.004, 0.001, 0.012]</t>
  </si>
  <si>
    <t>1464.9665183188267</t>
  </si>
  <si>
    <t>[0.003, 0.321, -0.013, -0.014, -0.031, -0.02]</t>
  </si>
  <si>
    <t>LINESTRING (5.7112104317581815 58.8949476915002, 5.71134042557513 58.894703459314194, 5.711389681992564 58.89463093041771, 5.711495778310481 58.89449423903541, 5.71205572422382 58.89389795287705, 5.712064077459465 58.89388966605769, 5.711146715886937 58.8933503934665)</t>
  </si>
  <si>
    <t>[1438806, 2099780, 2099795, 2099812, 2099824, 2099832]</t>
  </si>
  <si>
    <t>[1307679, 1815607, 1815615, 1815627, 1815638, 1212730]</t>
  </si>
  <si>
    <t>[974856, 1307679, 1815607, 1815615, 1815627, 1815638]</t>
  </si>
  <si>
    <t>[0.003, 0.321, 0.013, 0.014, 0.031, 0.02]</t>
  </si>
  <si>
    <t>245.534839027998</t>
  </si>
  <si>
    <t>[0.0, 0.041, 0.023, -0.031, 0.007]</t>
  </si>
  <si>
    <t>LINESTRING (5.694204798774541 58.907268342866665, 5.694204798774541 58.907268342866665, 5.695166104268231 58.9080526552391, 5.696823067545511 58.90850552420798, 5.6995048543205105 58.9066835305324, 5.699858095853455 58.906489886364675)</t>
  </si>
  <si>
    <t>[1384611, 1383583, 1383591, 1383599, 1383607]</t>
  </si>
  <si>
    <t>[1271588, 1271677, 1271685, 1271693, 974896]</t>
  </si>
  <si>
    <t>[1272258, 1271588, 1271677, 1271685, 1271693]</t>
  </si>
  <si>
    <t>[0.0, 0.041, 0.023, 0.031, 0.007]</t>
  </si>
  <si>
    <t>518.4683294894338</t>
  </si>
  <si>
    <t>[-0.127, -0.012, 0.101, -0.043, -0.024, -0.194, -0.142, -0.021, -0.133, 0.006, -0.018, -0.018, 0.005, 0.014, -0.003, -0.022, -0.038, -0.032, -0.022, -0.01, 0.024, 0.049, 0.006, 0.024, 0.006, 0.018, 0.012, -0.011, -0.05, -0.054, 0.011, 0.042, 0.04, 0.018, 0.029, 0.043, 0.028, -0.024, -0.03, -0.031, -0.026, 0.001, -0.044, -0.042, -0.038, -0.037, -0.025, -0.007]</t>
  </si>
  <si>
    <t>1062.0</t>
  </si>
  <si>
    <t>[0, 0, 0, 0, 0, 0, 0, 0, 0, 0, 0, 0, 0, 0, 0, 0, 0, 0, 0, 0, 0, 0, 0, 0, 0, 0, 0, 0, 0, 1, 0, 0, 0, 0, 0, 0, 0, 0, 0, 0, 0, 0, 1, 0, 0, 0, 0, 0]</t>
  </si>
  <si>
    <t>LINESTRING (13.041555795337926 67.9023299194875, 13.04036003790318 67.90198403627167, 13.038721212707621 67.90183997045455, 13.03315731016227 67.90178792887568, 13.028323673382593 67.9000064526287, 13.027864408400207 67.89951315871043, 13.028749483465386 67.89881925598378, 13.029117027894111 67.8986020843731, 13.030836194330023 67.89724936423558, 13.0310502796755 67.8972100186081, 13.03262905456189 67.89549042265992, 13.032599997732543 67.89543225083004, 13.032365715899882 67.89508666465485, 13.032223344303283 67.89497566367824, 13.031153826347811 67.89436557778187, 13.030044662390743 67.89369202521073, 13.02939246005276 67.89325589286919, 13.029317900844985 67.89318832630887, 13.028769372556843 67.89265563669997, 13.026533439417948 67.89136538197387, 13.026152815205878 67.89106065738065, 13.024961751157246 67.89062389150413, 13.024379234129794 67.89045612302823, 13.021737203650463 67.88978543933827, 13.019944903204175 67.8896904195673, 13.019023564335056 67.8896921307532, 13.016322731316343 67.8896726744845, 13.012886391710131 67.88942984181135, 13.00637504475872 67.88897149134029, 13.002539809022604 67.88853331260101, 13.002385693936953 67.88851968124644, 13.001009614879896 67.88701538057883, 12.999779642247622 67.88689219817032, 12.997824848685035 67.88585669618095, 12.997931650549067 67.8853067290842, 12.996755657578776 67.88410316718524, 12.995383784477267 67.88379443317375, 12.98526200181676 67.88415097183221, 12.983805057181616 67.88340547926325, 12.983519368306707 67.88321783285595, 12.983416973111101 67.88315023353537, 12.983065063834205 67.88295085153074, 12.980314889991389 67.88231076831734, 12.980244162901874 67.88224771148393, 12.979778340750753 67.88183328838713, 12.979746689901214 67.88179273340737, 12.979623088407147 67.8816530199148, 12.978586531409762 67.8806630849359, 12.978560411448514 67.88063813090093)</t>
  </si>
  <si>
    <t>[1018993, 1019001, 1019009, 1019017, 1019025, 1019033, 1019041, 1019049, 1019057, 1019065, 1019073, 1019081, 1019089, 1019097, 1019105, 1019113, 1019121, 1019129, 1019137, 1019145, 1019153, 1019161, 1019169, 1019177, 1019185, 1019193, 1019201, 1019209, 1019217, 1019225, 1019233, 1019241, 1019249, 1019257, 1019265, 1019273, 1019281, 1019289, 1019297, 1019305, 1019313, 1019321, 1019329, 1019337, 1019345, 1019353, 1019361, 1019369]</t>
  </si>
  <si>
    <t>[425583, 425773, 425766, 975067, 975072, 975077, 418423, 393027, 975089, 418394, 392388, 418382, 418329, 418310, 392404, 975121, 975127, 418231, 418222, 418189, 392443, 392470, 975156, 392556, 392538, 418249, 392708, 392785, 975186, 975192, 417949, 417937, 975208, 417927, 417905, 975224, 975230, 417895, 975241, 392795, 417883, 975257, 975263, 392815, 392806, 975280, 975286, 975290]</t>
  </si>
  <si>
    <t>[975050, 425583, 425773, 425766, 975067, 975072, 975077, 418423, 393027, 975089, 418394, 392388, 418382, 418329, 418310, 392404, 975121, 975127, 418231, 418222, 418189, 392443, 392470, 975156, 392556, 392538, 418249, 392708, 392785, 975186, 975192, 417949, 417937, 975208, 417927, 417905, 975224, 975230, 417895, 975241, 392795, 417883, 975257, 975263, 392815, 392806, 975280, 975286]</t>
  </si>
  <si>
    <t>[0.127, 0.012, 0.101, 0.043, 0.024, 0.194, 0.142, 0.021, 0.133, 0.006, 0.018, 0.018, 0.005, 0.014, 0.003, 0.022, 0.038, 0.032, 0.022, 0.01, 0.024, 0.049, 0.006, 0.024, 0.006, 0.018, 0.012, 0.011, 0.05, 0.054, 0.011, 0.042, 0.04, 0.018, 0.029, 0.043, 0.028, 0.024, 0.03, 0.031, 0.026, 0.001, 0.044, 0.042, 0.038, 0.037, 0.025, 0.007]</t>
  </si>
  <si>
    <t>4624.374975763498</t>
  </si>
  <si>
    <t>[3.138, -0.2, -0.131, -0.11, -0.093, -0.035, -0.025, -0.043]</t>
  </si>
  <si>
    <t>LINESTRING (13.041555795337926 67.9023299194875, 13.041632267524362 67.90231065107712, 13.042396181961246 67.90214136650157, 13.044209362252783 67.90184703287731, 13.044533912603928 67.9017932734988, 13.046444365797075 67.901109274757, 13.046562804478306 67.90018633962045, 13.046561799748634 67.89991862197267, 13.044288778827402 67.8998893127514)</t>
  </si>
  <si>
    <t>[1019377, 1019385, 1019393, 1019401, 1019409, 1019417, 1019425, 1019433]</t>
  </si>
  <si>
    <t>[975296, 975302, 975310, 975315, 425835, 975325, 392378, 448431]</t>
  </si>
  <si>
    <t>[975050, 975296, 975302, 975310, 975315, 425835, 975325, 392378]</t>
  </si>
  <si>
    <t>[3.138, 0.2, 0.131, 0.11, 0.093, 0.035, 0.025, 0.043]</t>
  </si>
  <si>
    <t>483.85164290631343</t>
  </si>
  <si>
    <t>784.0</t>
  </si>
  <si>
    <t>LINESTRING (13.182103334875222 67.98930236137221, 13.041555795337926 67.9023299194875)</t>
  </si>
  <si>
    <t>[0.008, 0.004, 0.004, -0.01, -0.011, -0.009, -0.018, -0.021, -0.021, -0.021, -0.005, -0.016]</t>
  </si>
  <si>
    <t>LINESTRING (5.723972260482823 58.939751862221904, 5.725125426803747 58.94133082618517, 5.725129297931698 58.94133945601719, 5.725133186210327 58.94134808708908, 5.725150990305538 58.94139141323807, 5.725186230216854 58.941474388059156, 5.725251400547945 58.94165414142005, 5.725070215242819 58.944234853506664, 5.725065705766832 58.94424388952336, 5.725061213438632 58.94425292677981, 5.72499197045197 58.944388242842585, 5.724209289507586 58.94558052982833, 5.724011099500503 58.94583459084872)</t>
  </si>
  <si>
    <t>[1019038, 1019046, 1019054, 1019062, 1019070, 1019078, 1019086, 1019094, 1019102, 1019110, 1019118, 1019126]</t>
  </si>
  <si>
    <t>[0, 0, 0, 0, 0, 0, 0, 1, 1, 1, 0, 0]</t>
  </si>
  <si>
    <t>[975079, 975083, 975086, 975091, 975095, 975099, 975104, 975107, 975113, 975118, 975124, 975129]</t>
  </si>
  <si>
    <t>[975074, 975079, 975083, 975086, 975091, 975095, 975099, 975104, 975107, 975113, 975118, 975124]</t>
  </si>
  <si>
    <t>[0.008, 0.004, 0.004, 0.01, 0.011, 0.009, 0.018, 0.021, 0.021, 0.021, 0.005, 0.016]</t>
  </si>
  <si>
    <t>705.5986694000993</t>
  </si>
  <si>
    <t>[0.041, -0.019]</t>
  </si>
  <si>
    <t>4021.0</t>
  </si>
  <si>
    <t>LINESTRING (24.97863250150341 70.05139930913083, 24.97935440556869 70.0513495137837, 24.979508409973153 70.05134077102187)</t>
  </si>
  <si>
    <t>[1024296, 1024304]</t>
  </si>
  <si>
    <t>[979151, 979158]</t>
  </si>
  <si>
    <t>0.030575660862217007</t>
  </si>
  <si>
    <t>[975097, 979151]</t>
  </si>
  <si>
    <t>[0.041, 0.019]</t>
  </si>
  <si>
    <t>34.275566174455</t>
  </si>
  <si>
    <t>[0.033, -0.024]</t>
  </si>
  <si>
    <t>LINESTRING (24.97863250150341 70.05139930913083, 24.979365722970993 70.05145817797441, 24.979516021147163 70.05146509600483)</t>
  </si>
  <si>
    <t>[1148436, 1148444]</t>
  </si>
  <si>
    <t>[1083912, 1083920]</t>
  </si>
  <si>
    <t>0.02353978598459661</t>
  </si>
  <si>
    <t>[975097, 1083912]</t>
  </si>
  <si>
    <t>[0.033, 0.024]</t>
  </si>
  <si>
    <t>34.85487221889232</t>
  </si>
  <si>
    <t>LINESTRING (25.0021546882971 70.15676479521835, 24.97863250150341 70.05139930913083)</t>
  </si>
  <si>
    <t>[0.013, 0.012, 0.005, 0.027, 0.0, 0.023, 0.003, -0.028]</t>
  </si>
  <si>
    <t>LINESTRING (5.724011099500503 58.94583459084872, 5.724162636006551 58.94555908301665, 5.724173890403706 58.94554205823993, 5.724763354594633 58.944367195106665, 5.724787583218564 58.944314708414325, 5.72479154333814 58.94430595800599, 5.724835699969641 58.94420976462994, 5.723915350369572 58.94416671319936, 5.723926131317613 58.94420497719052)</t>
  </si>
  <si>
    <t>[1439222, 804456, 804464, 804472, 804480, 804488, 804496, 1439382]</t>
  </si>
  <si>
    <t>[782891, 782892, 782900, 782911, 782919, 782926, 782935, 1308078]</t>
  </si>
  <si>
    <t>0.005610049201160609</t>
  </si>
  <si>
    <t>[975129, 782891, 782892, 782900, 782911, 782919, 782926, 782935]</t>
  </si>
  <si>
    <t>[0.013, 0.012, 0.005, 0.027, 0.0, 0.023, 0.003, 0.028]</t>
  </si>
  <si>
    <t>321.08624773074814</t>
  </si>
  <si>
    <t>20.33291351500863</t>
  </si>
  <si>
    <t>[-0.141, -0.189]</t>
  </si>
  <si>
    <t>LINESTRING (10.333341186955137 59.97307891196812, 10.333238500307774 59.973093262654395, 10.333138684524505 59.97307452629)</t>
  </si>
  <si>
    <t>[1019356, 1019364]</t>
  </si>
  <si>
    <t>[975283, 975259]</t>
  </si>
  <si>
    <t>[975277, 975283]</t>
  </si>
  <si>
    <t>[0.141, 0.189]</t>
  </si>
  <si>
    <t>11.91069263329041</t>
  </si>
  <si>
    <t>[-0.113, -0.092]</t>
  </si>
  <si>
    <t>LINESTRING (10.3331971503248 59.97326817445792, 10.333139258271082 59.97313001398203, 10.333138684524505 59.97307452629)</t>
  </si>
  <si>
    <t>[1019420, 1019428]</t>
  </si>
  <si>
    <t>[975328, 975259]</t>
  </si>
  <si>
    <t>[975318, 975328]</t>
  </si>
  <si>
    <t>[0.113, 0.092]</t>
  </si>
  <si>
    <t>22.850102631395497</t>
  </si>
  <si>
    <t>[0.159, 0.186]</t>
  </si>
  <si>
    <t>LINESTRING (10.333189343735745 59.97292521805959, 10.33329590095424 59.97292413610429, 10.333395301187357 59.972963634286046)</t>
  </si>
  <si>
    <t>[1019332, 1019340]</t>
  </si>
  <si>
    <t>[975265, 975271]</t>
  </si>
  <si>
    <t>0.17367207002410615</t>
  </si>
  <si>
    <t>[975260, 975265]</t>
  </si>
  <si>
    <t>13.04131955952597</t>
  </si>
  <si>
    <t>[0.121, -0.066, -0.002, 0.016]</t>
  </si>
  <si>
    <t>LINESTRING (10.3410218840541 59.96742154975561, 10.340520675225255 59.96851833402286, 10.333416081850778 59.9726938153041, 10.333234047052688 59.972878214958136, 10.333189343735745 59.97292521805959)</t>
  </si>
  <si>
    <t>[2159727, 2159735, 1019388, 1019396]</t>
  </si>
  <si>
    <t>[1849721, 975305, 975306, 975260]</t>
  </si>
  <si>
    <t>[1034617, 1849721, 975305, 975306]</t>
  </si>
  <si>
    <t>[0.121, 0.066, 0.002, 0.016]</t>
  </si>
  <si>
    <t>861.6640771240487</t>
  </si>
  <si>
    <t>14.19311053967057</t>
  </si>
  <si>
    <t>[0.035, -0.034, -0.122, 0.046, 0.052]</t>
  </si>
  <si>
    <t>LINESTRING (10.3410218840541 59.96742154975561, 10.339203850967397 59.971095259816266, 10.338739398888242 59.97154321354069, 10.333504150327917 59.97271072324836, 10.33341745688953 59.97290054220029, 10.333395301187357 59.972963634286046)</t>
  </si>
  <si>
    <t>[2159703, 2159711, 2159719, 1019372, 1019380]</t>
  </si>
  <si>
    <t>[1804935, 1804941, 975292, 975293, 975271]</t>
  </si>
  <si>
    <t>[1034617, 1804935, 1804941, 975292, 975293]</t>
  </si>
  <si>
    <t>[0.035, 0.034, 0.122, 0.046, 0.052]</t>
  </si>
  <si>
    <t>862.4473111294384</t>
  </si>
  <si>
    <t>[-0.012, -0.045]</t>
  </si>
  <si>
    <t>LINESTRING (10.3331971503248 59.97326817445792, 10.333315893635392 59.97313333039683, 10.333341186955137 59.97307891196812)</t>
  </si>
  <si>
    <t>[1019404, 1019412]</t>
  </si>
  <si>
    <t>[975319, 975277]</t>
  </si>
  <si>
    <t>[975318, 975319]</t>
  </si>
  <si>
    <t>[0.012, 0.045]</t>
  </si>
  <si>
    <t>23.344267232660876</t>
  </si>
  <si>
    <t>[0.006, 0.001, -0.004]</t>
  </si>
  <si>
    <t>LINESTRING (12.978560411448514 67.88063813090093, 12.978343455592293 67.88056196443054, 12.978298695516216 67.88054247875515, 12.977240681543547 67.87919481161958)</t>
  </si>
  <si>
    <t>[2043795, 2043803, 2043811]</t>
  </si>
  <si>
    <t>[1781055, 1781059, 1781068]</t>
  </si>
  <si>
    <t>[975290, 1781055, 1781059]</t>
  </si>
  <si>
    <t>[0.006, 0.001, 0.004]</t>
  </si>
  <si>
    <t>182.28023256719044</t>
  </si>
  <si>
    <t>[-0.031, -0.032, -0.0]</t>
  </si>
  <si>
    <t>LINESTRING (12.978560411448514 67.88063813090093, 12.97857073562552 67.88049936694324, 12.978575062411684 67.88046733117761, 12.977240681543547 67.87919481161958)</t>
  </si>
  <si>
    <t>[2043819, 2043827, 2043835]</t>
  </si>
  <si>
    <t>[1781076, 1781081, 1781068]</t>
  </si>
  <si>
    <t>[975290, 1781076, 1781081]</t>
  </si>
  <si>
    <t>[0.031, 0.032, 0.0]</t>
  </si>
  <si>
    <t>178.27918244860024</t>
  </si>
  <si>
    <t>360.52345529189637</t>
  </si>
  <si>
    <t>[0.0, -0.064, -0.082]</t>
  </si>
  <si>
    <t>LINESTRING (10.330160794002808 59.97578218630931, 10.330160794002808 59.97578218630931, 10.325934381173367 59.976820812699245, 10.324890746018992 59.97706397978698)</t>
  </si>
  <si>
    <t>[1019436, 2159767, 2159775]</t>
  </si>
  <si>
    <t>[975339, 1849740, 1804949]</t>
  </si>
  <si>
    <t>[975338, 975339, 1849740]</t>
  </si>
  <si>
    <t>[0.0, 0.064, 0.082]</t>
  </si>
  <si>
    <t>344.87501620904</t>
  </si>
  <si>
    <t>[0.065, -0.065]</t>
  </si>
  <si>
    <t>LINESTRING (10.330160794002808 59.97578218630931, 10.330209771725889 59.975822714602934, 10.325874003465213 59.97688541698654)</t>
  </si>
  <si>
    <t>[1019444, 2159743]</t>
  </si>
  <si>
    <t>[975346, 1804954]</t>
  </si>
  <si>
    <t>[975338, 975346]</t>
  </si>
  <si>
    <t>285.71097758004674</t>
  </si>
  <si>
    <t>90.0</t>
  </si>
  <si>
    <t>LINESTRING (27.039446991291033 69.91677218158175, 27.40870059700775 70.01813404431843)</t>
  </si>
  <si>
    <t>20312.085025370354</t>
  </si>
  <si>
    <t>[0.0, 0.02, 0.02, 0.024, 0.021, 0.02, 0.025, 0.019]</t>
  </si>
  <si>
    <t>LINESTRING (27.034551871362524 69.91225966298646, 27.034551871362524 69.91225966298646, 27.03515581864183 69.9125776600195, 27.036303457085015 69.9131841026594, 27.036390142334902 69.9132267554866, 27.036448945022943 69.91325780890028, 27.039946854967685 69.91626042067173, 27.039474378674317 69.9167463056451, 27.039446991291033 69.91677218158175)</t>
  </si>
  <si>
    <t>[1166407, 1166408, 1166413, 1166421, 1166422, 1166450, 1166460, 1166466]</t>
  </si>
  <si>
    <t>[1100063, 1100064, 979720, 968367, 1100074, 960018, 1100107, 975404]</t>
  </si>
  <si>
    <t>0.015221856422742494</t>
  </si>
  <si>
    <t>[1100062, 1100063, 1100064, 979720, 968367, 1100074, 960018, 1100107]</t>
  </si>
  <si>
    <t>768.0605135099858</t>
  </si>
  <si>
    <t>185.0</t>
  </si>
  <si>
    <t>LINESTRING (26.838488991005768 69.88667056375346, 27.039446991291033 69.91677218158175)</t>
  </si>
  <si>
    <t>14074.529799990265</t>
  </si>
  <si>
    <t>[-4.386, 0.008, 0.03, 0.199, -0.023, 0.005, -0.004, 0.041, 0.018, -0.003, -0.009, 0.028, 0.02, -0.052, -0.021, 0.039, 0.088, 0.251, -0.001, -0.075, 0.18, 0.134, 0.117, 0.099, -0.004, -0.001, 0.007, 0.051, 0.054, -0.007, 0.041, -0.015, -0.145, -0.044, 0.152, -0.022, -0.046, -0.046]</t>
  </si>
  <si>
    <t>[0, 0, 1, 0, 0, 0, 0, 0, 0, 0, 1, 0, 0, 0, 0, 0, 1, 0, 0, 0, 0, 1, 0, 0, 0, 0, 0, 0, 0, 0, 0, 0, 0, 1, 1, 0, 0, 0]</t>
  </si>
  <si>
    <t>LINESTRING (14.833580828515222 68.42185412208707, 14.83957349937016 68.42396648740898, 14.841767508976098 68.42404993250787, 14.84276249235379 68.42407598296305, 14.848431464033295 68.42431063607489, 14.877932440606203 68.43933213396676, 14.895641858965865 68.44759957534964, 14.905953612196964 68.44728400430282, 14.909969456055022 68.44666113559268, 14.916574025015152 68.4457299200281, 14.936699832434128 68.44550894253823, 14.936805174373035 68.4455177717757, 14.944319437650304 68.44643468575026, 14.9774616800771 68.44203348308956, 14.982851316429175 68.43911501328361, 14.992797264599336 68.43394651256848, 14.995690262698389 68.43372761952719, 14.996388686904774 68.43371194055261, 14.996857471112408 68.43370504398916, 15.03082205336125 68.4449015478828, 15.034975048300586 68.44530052742668, 15.035924516088121 68.44544332572976, 15.036549587038927 68.44556148954831, 15.037294970450523 68.44571630685627, 15.037923779858913 68.44587338948645, 15.093447343097566 68.46168774863051, 15.094191690939594 68.46190030591177, 15.095349991929345 68.46216466210363, 15.095885674894976 68.46226082530359, 15.099723650656543 68.46269552065965, 15.148615011147875 68.46451200042335, 15.170334269959959 68.46858023722987, 15.180846863921563 68.46031142620956, 15.18359534899581 68.45872597285289, 15.193035392583209 68.45706020767335, 15.199727767334219 68.45622628845808, 15.202362980382235 68.45609099790134, 15.203961399505584 68.45621248985589, 15.20533426605537 68.45645548426943)</t>
  </si>
  <si>
    <t>[1030784, 1030792, 1030800, 1030808, 1030816, 1030824, 1030832, 1030840, 1030848, 1030856, 1030864, 1030872, 1030880, 1030888, 1030896, 1030904, 1030912, 1030920, 1030928, 1030936, 1030944, 1019441, 1019449, 1019457, 1019465, 1019473, 1019481, 1019489, 1019497, 1019505, 1019513, 1019521, 1019529, 1019537, 1019545, 1019553, 1019561, 1019569]</t>
  </si>
  <si>
    <t>[984722, 984730, 984737, 984742, 984747, 984752, 394222, 415082, 984770, 984776, 984784, 984788, 984796, 984803, 458507, 984817, 984823, 984828, 984836, 984844, 975343, 975344, 394066, 432505, 975360, 432435, 432422, 432456, 975384, 432481, 975392, 432540, 975405, 975412, 975418, 975424, 432091, 975434]</t>
  </si>
  <si>
    <t>0.0008675966623373247</t>
  </si>
  <si>
    <t>[982469, 984722, 984730, 984737, 984742, 984747, 984752, 394222, 415082, 984770, 984776, 984784, 984788, 984796, 984803, 458507, 984817, 984823, 984828, 984836, 984844, 975343, 975344, 394066, 432505, 975360, 432435, 432422, 432456, 975384, 432481, 975392, 432540, 975405, 975412, 975418, 975424, 432091]</t>
  </si>
  <si>
    <t>[4.386, 0.008, 0.03, 0.199, 0.023, 0.005, 0.004, 0.041, 0.018, 0.003, 0.009, 0.028, 0.02, 0.052, 0.021, 0.039, 0.088, 0.251, 0.001, 0.075, 0.18, 0.134, 0.117, 0.099, 0.004, 0.001, 0.007, 0.051, 0.054, 0.007, 0.041, 0.015, 0.145, 0.044, 0.152, 0.022, 0.046, 0.046]</t>
  </si>
  <si>
    <t>19840.497584561897</t>
  </si>
  <si>
    <t>LINESTRING (15.48125482599389 68.46488314721229, 15.20533426605537 68.45645548426943)</t>
  </si>
  <si>
    <t>13969.250494224472</t>
  </si>
  <si>
    <t>[0.035, -0.025, -0.04]</t>
  </si>
  <si>
    <t>LINESTRING (7.9065994289860795 58.14148478822076, 7.909159908012773 58.14341381479943, 7.913577681876765 58.14490844150182, 7.9138976510337296 58.14497933619341)</t>
  </si>
  <si>
    <t>[1019820, 1019828, 1019836]</t>
  </si>
  <si>
    <t>[975587, 975593, 975600]</t>
  </si>
  <si>
    <t>0.0007275783420651581</t>
  </si>
  <si>
    <t>[975586, 975587, 975593]</t>
  </si>
  <si>
    <t>[0.035, 0.025, 0.04]</t>
  </si>
  <si>
    <t>601.7800015786117</t>
  </si>
  <si>
    <t>[-0.026, -0.029]</t>
  </si>
  <si>
    <t>LINESTRING (7.906188790272053 58.14143227439872, 7.9062740562499965 58.141438842919094, 7.9065994289860795 58.14148478822076)</t>
  </si>
  <si>
    <t>[1019844, 1019852]</t>
  </si>
  <si>
    <t>[975605, 975586]</t>
  </si>
  <si>
    <t>[975604, 975605]</t>
  </si>
  <si>
    <t>24.954096529638417</t>
  </si>
  <si>
    <t>[0.081, 0.053]</t>
  </si>
  <si>
    <t>LINESTRING (7.906318727545567 58.141292090417586, 7.906377207468292 58.1413354654096, 7.9065994289860795 58.14148478822076)</t>
  </si>
  <si>
    <t>[1019860, 1019868]</t>
  </si>
  <si>
    <t>[975613, 975586]</t>
  </si>
  <si>
    <t>0.059130891645453806</t>
  </si>
  <si>
    <t>[975612, 975613]</t>
  </si>
  <si>
    <t>27.144524456216352</t>
  </si>
  <si>
    <t>11.764377119098821</t>
  </si>
  <si>
    <t>[0.135, 0.119]</t>
  </si>
  <si>
    <t>LINESTRING (7.906318727545567 58.141292090417586, 7.906286552984885 58.141377173918784, 7.906188790272053 58.14143227439872)</t>
  </si>
  <si>
    <t>[1260122, 1260123]</t>
  </si>
  <si>
    <t>[1177661, 975604]</t>
  </si>
  <si>
    <t>0.12755254623770373</t>
  </si>
  <si>
    <t>[975612, 1177661]</t>
  </si>
  <si>
    <t>18.111091747598884</t>
  </si>
  <si>
    <t>[-0.04, 0.086]</t>
  </si>
  <si>
    <t>LINESTRING (7.905841530303767 58.14119655991317, 7.906252659628313 58.14120908624946, 7.906318727545567 58.141292090417586)</t>
  </si>
  <si>
    <t>[1260105, 1260107]</t>
  </si>
  <si>
    <t>[1177646, 975612]</t>
  </si>
  <si>
    <t>[1177635, 1177646]</t>
  </si>
  <si>
    <t>[0.04, 0.086]</t>
  </si>
  <si>
    <t>37.033202392245784</t>
  </si>
  <si>
    <t>[0.108, 0.057, 0.068, 0.095, 0.065, -0.016, -0.048, -0.05, -0.05, -0.043, -0.029, -0.032, -0.037, -0.03, -0.019, -0.005, -0.024, -0.026, -0.037, -0.03, -0.025, -0.001, -0.002, 0.002, 0.122]</t>
  </si>
  <si>
    <t>LINESTRING (7.935317959089268 58.142788236309606, 7.934363662410338 58.14317248570472, 7.931890236587136 58.143785158013316, 7.9315303970840425 58.14384340030562, 7.931514192853057 58.143845859495755, 7.929967100607965 58.14401100114466, 7.927889601892998 58.144075543773646, 7.92749599238993 58.1440870652453, 7.9269861710143505 58.14410725026687, 7.926889969598708 58.144111550503105, 7.922075524616715 58.14458243374006, 7.921024723179354 58.14471572444325, 7.920916909313144 58.14472917815945, 7.919810978805146 58.14486518829148, 7.919449164436309 58.14490573070205, 7.9192913781120176 58.144919252223666, 7.91925386907417 58.14492246803751, 7.919031780846255 58.14494150457677, 7.918300098821623 58.145009111584066, 7.916798098659526 58.14509447156378, 7.916379401545278 58.14510007962634, 7.915715834850132 58.14509299213311, 7.914967088488286 58.14506118338896, 7.914950347052684 58.145060176738035, 7.914766391396636 58.14504835754566, 7.9140956165256995 58.14499201093546)</t>
  </si>
  <si>
    <t>[1184707, 1184715, 1184723, 1184731, 1184739, 1184747, 1184755, 1184763, 1184771, 1184779, 1184787, 1184795, 1184803, 1184811, 1184819, 1184827, 1184835, 1184843, 1184851, 1184859, 1184867, 1184875, 1184883, 1184891, 1184899]</t>
  </si>
  <si>
    <t>[1114161, 1114166, 1114171, 1114175, 1114182, 1114186, 1114189, 1114194, 215265, 1114203, 1114209, 1114216, 1114223, 1114228, 1114236, 1114241, 1114246, 1114252, 1114258, 1109333, 1114268, 1114274, 1114277, 1114283, 975624]</t>
  </si>
  <si>
    <t>0.00015883015792232113</t>
  </si>
  <si>
    <t>[1114154, 1114161, 1114166, 1114171, 1114175, 1114182, 1114186, 1114189, 1114194, 215265, 1114203, 1114209, 1114216, 1114223, 1114228, 1114236, 1114241, 1114246, 1114252, 1114258, 1109333, 1114268, 1114274, 1114277, 1114283]</t>
  </si>
  <si>
    <t>[0.108, 0.057, 0.068, 0.095, 0.065, 0.016, 0.048, 0.05, 0.05, 0.043, 0.029, 0.032, 0.037, 0.03, 0.019, 0.005, 0.024, 0.026, 0.037, 0.03, 0.025, 0.001, 0.002, 0.002, 0.122]</t>
  </si>
  <si>
    <t>1296.9842032271715</t>
  </si>
  <si>
    <t>LINESTRING (28.55567643462822 70.17245468678786, 28.726553288960293 70.11993043664123)</t>
  </si>
  <si>
    <t>13953.288836851356</t>
  </si>
  <si>
    <t>[-0.021, -0.022, -0.308]</t>
  </si>
  <si>
    <t>LINESTRING (28.555823861727834 70.17270886553747, 28.555791194065453 70.17266733047346, 28.555721386597007 70.17256964629986, 28.55567643462822 70.17245468678786)</t>
  </si>
  <si>
    <t>[1148644, 1148652, 1148660]</t>
  </si>
  <si>
    <t>[1084110, 1084118, 975765]</t>
  </si>
  <si>
    <t>[1084109, 1084110, 1084118]</t>
  </si>
  <si>
    <t>[0.021, 0.022, 0.308]</t>
  </si>
  <si>
    <t>29.028473418607355</t>
  </si>
  <si>
    <t>[-0.035, -0.043, -0.047]</t>
  </si>
  <si>
    <t>LINESTRING (28.555520810405834 70.1727216575563, 28.555521852294195 70.17267945192832, 28.55558144182825 70.17257033874452, 28.55567643462822 70.17245468678786)</t>
  </si>
  <si>
    <t>[1161884, 1161892, 1161900]</t>
  </si>
  <si>
    <t>[1096377, 1096386, 975765]</t>
  </si>
  <si>
    <t>[1096376, 1096377, 1096386]</t>
  </si>
  <si>
    <t>[0.035, 0.043, 0.047]</t>
  </si>
  <si>
    <t>30.568712213030334</t>
  </si>
  <si>
    <t>1422.0</t>
  </si>
  <si>
    <t>LINESTRING (14.416044488522955 66.28953309521714, 14.591244995593089 66.13548062431376)</t>
  </si>
  <si>
    <t>18159.799693509147</t>
  </si>
  <si>
    <t>[-0.031, -0.047, -0.079, -0.056, -0.06, -0.058, -0.066, -0.024]</t>
  </si>
  <si>
    <t>LINESTRING (23.21567469643386 69.95524135137958, 23.21703092698375 69.95574658744108, 23.217410214374354 69.9558830443946, 23.217489994629606 69.95591526897033, 23.21756210179405 69.95594927868322, 23.217682177483475 69.95599823833855, 23.218905844277078 69.95649424027725, 23.219371417567352 69.9566858083822, 23.219935583857403 69.95692154040876)</t>
  </si>
  <si>
    <t>[1023792, 1023800, 1023808, 1023816, 1023824, 1023832, 1023840, 1023848]</t>
  </si>
  <si>
    <t>[978655, 978663, 978672, 978680, 978687, 978695, 978704, 978711]</t>
  </si>
  <si>
    <t>[978654, 978655, 978663, 978672, 978680, 978687, 978695, 978704]</t>
  </si>
  <si>
    <t>[0.031, 0.047, 0.079, 0.056, 0.06, 0.058, 0.066, 0.024]</t>
  </si>
  <si>
    <t>248.88259117257041</t>
  </si>
  <si>
    <t>[-0.013, -0.016, -0.019, -0.022, -0.02, -0.028, -0.032]</t>
  </si>
  <si>
    <t>LINESTRING (23.21567469643386 69.95524135137958, 23.21689019143467 69.9557870307245, 23.217319900559964 69.95596383057834, 23.217514891209124 69.95604457252139, 23.21872760346801 69.95653933193124, 23.21883626121964 69.95658352587014, 23.219189787404247 69.95673245921098, 23.219772356625764 69.95697081503982)</t>
  </si>
  <si>
    <t>[1028742, 1028750, 1028758, 1028766, 1028774, 1028782, 1028790]</t>
  </si>
  <si>
    <t>[983131, 982748, 983140, 983143, 983149, 983154, 983161]</t>
  </si>
  <si>
    <t>[978654, 983131, 982748, 983140, 983143, 983149, 983154]</t>
  </si>
  <si>
    <t>[0.013, 0.016, 0.019, 0.022, 0.02, 0.028, 0.032]</t>
  </si>
  <si>
    <t>248.9300575401064</t>
  </si>
  <si>
    <t>[0.011, 0.027]</t>
  </si>
  <si>
    <t>LINESTRING (23.219935583857403 69.95692154040876, 23.220043704489484 69.95696170047395, 23.22017568616239 69.95700888450374)</t>
  </si>
  <si>
    <t>[1023856, 1023864]</t>
  </si>
  <si>
    <t>[978720, 978729]</t>
  </si>
  <si>
    <t>0.01971465856356805</t>
  </si>
  <si>
    <t>[978711, 978720]</t>
  </si>
  <si>
    <t>13.403962707572926</t>
  </si>
  <si>
    <t>[0.164, 0.174, 0.153, 0.132, 0.132, 0.121, 0.086, 0.034, 0.034, 0.022, 0.013, 0.008, 0.005, -0.017, -0.028]</t>
  </si>
  <si>
    <t>[0, 0, 0, 0, 0, 0, 0, 0, 0, 0, 0, 0, 0, 0, 1]</t>
  </si>
  <si>
    <t>LINESTRING (23.219935583857403 69.95692154040876, 23.220022062491857 69.95690034170867, 23.220206348835045 69.95684928207916, 23.221117434694424 69.95657186568073, 23.221279370861694 69.95652094136891, 23.22140042886287 69.95648385099798, 23.221520481205232 69.95644988047225, 23.22272983004748 69.95606767509503, 23.222858211946576 69.95602699761086, 23.222920053537973 69.95600741448976, 23.22437626361033 69.955555463895, 23.224519002052766 69.95551139564574, 23.224656149898646 69.95547057944877, 23.224770169107188 69.95543583879733, 23.22739135312904 69.95478605785523, 23.227809103114996 69.9547293167746)</t>
  </si>
  <si>
    <t>[1162116, 1162124, 1162132, 1162140, 1162148, 1162156, 1162164, 1162172, 1162180, 1162188, 1162196, 1162204, 1162212, 1162220, 1162228]</t>
  </si>
  <si>
    <t>[1096587, 1096594, 1096601, 1096608, 1008964, 1096626, 1096635, 1096643, 1096652, 1096661, 1009237, 1096675, 982774, 1096690, 1084417]</t>
  </si>
  <si>
    <t>0.043665517459143634</t>
  </si>
  <si>
    <t>[978711, 1096587, 1096594, 1096601, 1096608, 1008964, 1096626, 1096635, 1096643, 1096652, 1096661, 1009237, 1096675, 982774, 1096690]</t>
  </si>
  <si>
    <t>[0.164, 0.174, 0.153, 0.132, 0.132, 0.121, 0.086, 0.034, 0.034, 0.022, 0.013, 0.008, 0.005, 0.017, 0.028]</t>
  </si>
  <si>
    <t>390.0534117287453</t>
  </si>
  <si>
    <t>0.75</t>
  </si>
  <si>
    <t>8.327165003536985</t>
  </si>
  <si>
    <t>[0.01, 0.044, 0.078, 0.101, 0.032]</t>
  </si>
  <si>
    <t>LINESTRING (23.22017568616239 69.95700888450374, 23.220289990986753 69.95705621341611, 23.22146003080754 69.95754109593712, 23.222080092487502 69.95780360535228, 23.22209648069909 69.95781058843315, 23.222844775660818 69.95817045505339)</t>
  </si>
  <si>
    <t>[1023872, 1023880, 1023888, 1023896, 1023904]</t>
  </si>
  <si>
    <t>[978739, 978748, 978758, 978766, 978776]</t>
  </si>
  <si>
    <t>0.04709008231798261</t>
  </si>
  <si>
    <t>[978729, 978739, 978748, 978758, 978766]</t>
  </si>
  <si>
    <t>165.444019753321</t>
  </si>
  <si>
    <t>[0.174, 0.166, 0.152, 0.133, 0.125, 0.075, 0.035, 0.039, 0.021, 0.012, 0.007, 0.008, -0.016, -0.023]</t>
  </si>
  <si>
    <t>LINESTRING (23.22017568616239 69.95700888450374, 23.220238655438315 69.95698154917598, 23.22038058614938 69.95692134354655, 23.221310554958006 69.95662704884914, 23.22158255908582 69.95654102785913, 23.221697093864712 69.95650689832574, 23.223013628333703 69.9560854531101, 23.223073435761055 69.95606638947693, 23.22317519837789 69.95603395626455, 23.224531714376177 69.95561553440511, 23.22468181298415 69.95557162034059, 23.224759854968774 69.95554710601725, 23.224915951185206 69.95549744396865, 23.227450815444453 69.95481797775513, 23.227809103114996 69.9547293167746)</t>
  </si>
  <si>
    <t>[1148895, 1148903, 1148911, 1148919, 1148927, 1148935, 1148943, 1148951, 1148959, 1148967, 1148975, 1148983, 1148991, 1148999]</t>
  </si>
  <si>
    <t>[1084335, 1084342, 1084347, 1008956, 1084357, 1084362, 1084368, 1084376, 1084382, 1009248, 1084395, 982775, 1084409, 1084417]</t>
  </si>
  <si>
    <t>0.04342355545836763</t>
  </si>
  <si>
    <t>[978729, 1084335, 1084342, 1084347, 1008956, 1084357, 1084362, 1084368, 1084376, 1084382, 1009248, 1084395, 982775, 1084409]</t>
  </si>
  <si>
    <t>[0.174, 0.166, 0.152, 0.133, 0.125, 0.075, 0.035, 0.039, 0.021, 0.012, 0.007, 0.008, 0.016, 0.023]</t>
  </si>
  <si>
    <t>388.37468526541477</t>
  </si>
  <si>
    <t>[-1.63, 0.173]</t>
  </si>
  <si>
    <t>LINESTRING (23.21999937545888 69.9570649868992, 23.220075308424715 69.9570415765386, 23.22017568616239 69.95700888450374)</t>
  </si>
  <si>
    <t>[1148879, 1148887]</t>
  </si>
  <si>
    <t>[1084327, 978729]</t>
  </si>
  <si>
    <t>[983169, 1084327]</t>
  </si>
  <si>
    <t>[1.63, 0.173]</t>
  </si>
  <si>
    <t>9.21091645780591</t>
  </si>
  <si>
    <t>[-2.268, -0.032, -0.027, -0.021, -0.017, -0.011, -0.005]</t>
  </si>
  <si>
    <t>LINESTRING (23.222844775660818 69.95817045505339, 23.222908243178956 69.95819497728733, 23.223773458073175 69.95853123845517, 23.22405557887374 69.95862810112293, 23.224765973905342 69.95883902553908, 23.225235335642473 69.95895594558586, 23.226065209053566 69.95912697219617, 23.226460321621833 69.95919824979266)</t>
  </si>
  <si>
    <t>[1027306, 1027314, 1027322, 1027330, 1027338, 1027346, 1027354]</t>
  </si>
  <si>
    <t>[982000, 982008, 967967, 982021, 982028, 982038, 982045]</t>
  </si>
  <si>
    <t>[978776, 982000, 982008, 967967, 982021, 982028, 982038]</t>
  </si>
  <si>
    <t>[2.268, 0.032, 0.027, 0.021, 0.017, 0.011, 0.005]</t>
  </si>
  <si>
    <t>181.38305791893535</t>
  </si>
  <si>
    <t>[-0.047, -0.038, -0.04, -0.034, -0.056, 0.134]</t>
  </si>
  <si>
    <t>LINESTRING (23.21999937545888 69.9570649868992, 23.22010629225601 69.95710916189398, 23.221286615988763 69.95758933675728, 23.221404515915406 69.95763667858867, 23.221933348831644 69.95784366336082, 23.22195058426868 69.95785039008324, 23.222844775660818 69.95817045505339)</t>
  </si>
  <si>
    <t>[1028814, 1028822, 1028830, 1028838, 1028846, 1028854]</t>
  </si>
  <si>
    <t>[983175, 983180, 983184, 983188, 983194, 978776]</t>
  </si>
  <si>
    <t>0.014061229503890509</t>
  </si>
  <si>
    <t>[983169, 983175, 983180, 983184, 983188, 983194]</t>
  </si>
  <si>
    <t>[0.047, 0.038, 0.04, 0.034, 0.056, 0.134]</t>
  </si>
  <si>
    <t>164.9457045591597</t>
  </si>
  <si>
    <t>[0.065, 0.061, 0.038, 0.035, 0.032, 0.033, 0.002, -0.016, -0.013, 0.007, 0.01, 0.009, 0.01, 0.014, 0.019, 0.036, 0.025, 0.011]</t>
  </si>
  <si>
    <t>LINESTRING (23.236923395050212 69.96047521136865, 23.238744103949884 69.96075047812141, 23.239905697400648 69.96095887766927, 23.24028051903504 69.96103132750211, 23.240628499456186 69.96109856617686, 23.24127282810177 69.96122645725596, 23.241493142887098 69.9612708624843, 23.241674399890417 69.96130850306464, 23.241869523421045 69.96134920237802, 23.242584390622756 69.96149658487448, 23.247049008909595 69.96247512214157, 23.24722159683005 69.96251224971496, 23.247276769437057 69.96252360268905, 23.248834861740846 69.96287387148264, 23.249064381135153 69.9629274202164, 23.250063624565477 69.96315770756499, 23.258293707588415 69.96439753836485, 23.258605381443676 69.96448492910012, 23.26009148471624 69.96494026074203)</t>
  </si>
  <si>
    <t>[1027362, 1027370, 1027378, 1027386, 1027394, 1027402, 1027410, 1027418, 1027426, 1027434, 1027442, 1027450, 1027458, 1027466, 1027474, 1027482, 1027490, 1027498]</t>
  </si>
  <si>
    <t>[982050, 982060, 982067, 982072, 982080, 982088, 982097, 982103, 982110, 982116, 982124, 982131, 982138, 982145, 982151, 982158, 982164, 978910]</t>
  </si>
  <si>
    <t>0.026197679662544146</t>
  </si>
  <si>
    <t>[978900, 982050, 982060, 982067, 982072, 982080, 982088, 982097, 982103, 982110, 982116, 982124, 982131, 982138, 982145, 982151, 982158, 982164]</t>
  </si>
  <si>
    <t>[0.065, 0.061, 0.038, 0.035, 0.032, 0.033, 0.002, 0.016, 0.013, 0.007, 0.01, 0.009, 0.01, 0.014, 0.019, 0.036, 0.025, 0.011]</t>
  </si>
  <si>
    <t>1026.1200016743633</t>
  </si>
  <si>
    <t>[0.005, -0.005, 0.275, -0.036, -0.03, -0.026, -0.02, -0.008, 0.008, 0.015, 0.007, 0.009, 0.01, 0.01, 0.011, 0.011, 0.013, 0.012, 0.03, 0.039]</t>
  </si>
  <si>
    <t>LINESTRING (23.226460321621833 69.95919824979266, 23.22713087112249 69.95927963595499, 23.227179184180315 69.95928769846724, 23.22764686315369 69.95936430651292, 23.227797899221603 69.95938804690074, 23.22880879648477 69.95953917651684, 23.22894779413243 69.95955906603967, 23.230302147375788 69.95974849829524, 23.23065049419082 69.95979286925991, 23.23313982768435 69.96005316973223, 23.233266201872937 69.96006499450304, 23.23341639179645 69.96007905328469, 23.233767864205735 69.96011145915904, 23.23465840199545 69.96019098715261, 23.234860281912457 69.96020777778008, 23.234963390141193 69.96021635663453, 23.235145724282994 69.96023503452383, 23.235293881669072 69.96025020797751, 23.235377540371527 69.96025972064331, 23.236774606840097 69.96043672117962, 23.236923395050212 69.96047521136865)</t>
  </si>
  <si>
    <t>[1753081, 1753089, 1753097, 1023912, 1023920, 1023928, 1023936, 1023944, 1023952, 1023960, 1023968, 1023976, 1023984, 1023992, 1024000, 1024008, 1024016, 1024024, 1024032, 1024040]</t>
  </si>
  <si>
    <t>[1552454, 1552459, 978783, 978784, 978793, 978799, 978807, 978815, 978822, 978829, 978836, 978842, 978848, 978855, 978861, 978867, 978876, 978886, 978892, 978900]</t>
  </si>
  <si>
    <t>0.01502421911745518</t>
  </si>
  <si>
    <t>[982045, 1552454, 1552459, 978783, 978784, 978793, 978799, 978807, 978815, 978822, 978829, 978836, 978842, 978848, 978855, 978861, 978867, 978876, 978886, 978892]</t>
  </si>
  <si>
    <t>[0.005, 0.005, 0.275, 0.036, 0.03, 0.026, 0.02, 0.008, 0.008, 0.015, 0.007, 0.009, 0.01, 0.01, 0.011, 0.011, 0.013, 0.012, 0.03, 0.039]</t>
  </si>
  <si>
    <t>426.50481055957187</t>
  </si>
  <si>
    <t>[-0.006, -0.02, 0.001, 0.004, 0.006, -0.077, 0.017, 0.006, 0.012, 0.016, 0.013, 0.016, 0.019, 0.018, 0.023, 0.019, 0.021, 0.02, 0.021, 0.039, 0.068, -0.004]</t>
  </si>
  <si>
    <t>LINESTRING (23.226460321621833 69.95919824979266, 23.227055058418163 69.95932444737946, 23.227121926801463 69.9593356406345, 23.22772963712577 69.9594378126126, 23.227934281064904 69.959472333312, 23.22870715279201 69.95959368871931, 23.228719439082987 69.95959543017906, 23.228845461862676 69.95961330309937, 23.229033967945284 69.95964160572856, 23.23024873254943 69.95980259881509, 23.23059981646922 69.95984403130373, 23.233087214118544 69.96012290731568, 23.233357642468558 69.96014999898479, 23.233695277855226 69.96018233604298, 23.234591462673308 69.96026932038257, 23.23475601068086 69.96028342273944, 23.234859877545247 69.96029231880996, 23.235066830413242 69.960310201422, 23.23518275413736 69.96032092138012, 23.23529324896156 69.96033124361634, 23.23673221910646 69.9604664835282, 23.236792975352635 69.96046961566384, 23.236923395050212 69.96047521136865)</t>
  </si>
  <si>
    <t>[1753107, 1753112, 1753139, 1753140, 1028862, 1028870, 1028878, 1028886, 1028894, 1028902, 1028918, 1028926, 1028934, 1028942, 1028950, 1028958, 1028966, 1028974, 1028982, 1028990, 1028998, 1029006]</t>
  </si>
  <si>
    <t>[1552470, 1552473, 1552485, 983204, 983205, 983210, 983215, 982921, 982689, 983230, 983240, 983243, 983249, 983254, 983258, 983263, 983269, 982728, 983281, 983286, 983293, 978900]</t>
  </si>
  <si>
    <t>0.014704272932267072</t>
  </si>
  <si>
    <t>[982045, 1552470, 1552473, 1552485, 983204, 983205, 983210, 983215, 982921, 982689, 983230, 983240, 983243, 983249, 983254, 983258, 983263, 983269, 982728, 983281, 983286, 983293]</t>
  </si>
  <si>
    <t>[0.006, 0.02, 0.001, 0.004, 0.006, 0.077, 0.017, 0.006, 0.012, 0.016, 0.013, 0.016, 0.019, 0.018, 0.023, 0.019, 0.021, 0.02, 0.021, 0.039, 0.068, 0.004]</t>
  </si>
  <si>
    <t>427.24634397931874</t>
  </si>
  <si>
    <t>[0.036, 0.043]</t>
  </si>
  <si>
    <t>LINESTRING (23.26009148471624 69.96494026074203, 23.260683104769424 69.9650329431495, 23.260810442849678 69.96505759508345)</t>
  </si>
  <si>
    <t>[1024048, 1024056]</t>
  </si>
  <si>
    <t>[978911, 978917]</t>
  </si>
  <si>
    <t>0.03728487495542823</t>
  </si>
  <si>
    <t>[978910, 978911]</t>
  </si>
  <si>
    <t>30.49847192177666</t>
  </si>
  <si>
    <t>[0.085, 0.034]</t>
  </si>
  <si>
    <t>LINESTRING (23.26009148471624 69.96494026074203, 23.26044050839446 69.96513336142837, 23.26054701651137 69.96519067943318)</t>
  </si>
  <si>
    <t>[1029014, 1029022]</t>
  </si>
  <si>
    <t>[983303, 983309]</t>
  </si>
  <si>
    <t>0.0732560151820006</t>
  </si>
  <si>
    <t>[978910, 983303]</t>
  </si>
  <si>
    <t>32.952746325244824</t>
  </si>
  <si>
    <t>[-0.016, 0.017, 0.043, 0.036]</t>
  </si>
  <si>
    <t>LINESTRING (23.260810442849678 69.96505759508345, 23.260892372883276 69.96505412504297, 23.261120237758973 69.96508215653351, 23.261244461528793 69.96516511274493, 23.26124244113843 69.96519051729777)</t>
  </si>
  <si>
    <t>[1164105, 1164113, 1164121, 1164129]</t>
  </si>
  <si>
    <t>[1008880, 1098186, 1097041, 978925]</t>
  </si>
  <si>
    <t>0.02572273021588025</t>
  </si>
  <si>
    <t>[978917, 1008880, 1098186, 1097041]</t>
  </si>
  <si>
    <t>[0.016, 0.017, 0.043, 0.036]</t>
  </si>
  <si>
    <t>25.88794541083043</t>
  </si>
  <si>
    <t>[-0.119, -0.007]</t>
  </si>
  <si>
    <t>LINESTRING (23.26054701651137 69.96519067943318, 23.260614244731684 69.96510280113506, 23.260810442849678 69.96505759508345)</t>
  </si>
  <si>
    <t>[1164169, 1164177]</t>
  </si>
  <si>
    <t>[1098223, 978917]</t>
  </si>
  <si>
    <t>[983309, 1098223]</t>
  </si>
  <si>
    <t>[0.119, 0.007]</t>
  </si>
  <si>
    <t>19.192904899905823</t>
  </si>
  <si>
    <t>[0.042, 0.037, 0.036]</t>
  </si>
  <si>
    <t>LINESTRING (23.26124244113843 69.96519051729777, 23.261326781610332 69.96523684036676, 23.261630520795897 69.96537585082238, 23.261803492072477 69.96545760252052)</t>
  </si>
  <si>
    <t>[1024064, 1024072, 1024080]</t>
  </si>
  <si>
    <t>[978926, 978932, 978940]</t>
  </si>
  <si>
    <t>0.03752245405124012</t>
  </si>
  <si>
    <t>[978925, 978926, 978932]</t>
  </si>
  <si>
    <t>36.766840662219685</t>
  </si>
  <si>
    <t>[0.039, 0.063]</t>
  </si>
  <si>
    <t>LINESTRING (23.26124244113843 69.96519051729777, 23.261130447814967 69.96526354985502, 23.260848562490178 69.96529390753135)</t>
  </si>
  <si>
    <t>[1164137, 1164145]</t>
  </si>
  <si>
    <t>[1098201, 1083706]</t>
  </si>
  <si>
    <t>0.05236593999585653</t>
  </si>
  <si>
    <t>[978925, 1098201]</t>
  </si>
  <si>
    <t>20.791969653140917</t>
  </si>
  <si>
    <t>[0.041, 0.015, 0.004, 0.011, 0.723]</t>
  </si>
  <si>
    <t>LINESTRING (23.261803492072477 69.96545760252052, 23.26273967022754 69.96568272460257, 23.26515046063857 69.9661933941945, 23.268797820052487 69.9673517037761, 23.270654938116866 69.96835417625948, 23.27070370720187 69.96837982502964)</t>
  </si>
  <si>
    <t>[1027506, 1027514, 1027522, 1027530, 1027538]</t>
  </si>
  <si>
    <t>[982172, 982178, 982181, 982187, 978944]</t>
  </si>
  <si>
    <t>0.016902804198596418</t>
  </si>
  <si>
    <t>[978940, 982172, 982178, 982181, 982187]</t>
  </si>
  <si>
    <t>480.4283603776239</t>
  </si>
  <si>
    <t>[0.025, 0.024, -0.035]</t>
  </si>
  <si>
    <t>LINESTRING (23.260848562490178 69.96529390753135, 23.261056112577407 69.96532865633341, 23.26152178343827 69.96541618079472, 23.261803492072477 69.96545760252052)</t>
  </si>
  <si>
    <t>[1148188, 1148196, 1148204]</t>
  </si>
  <si>
    <t>[1083707, 1083715, 978940]</t>
  </si>
  <si>
    <t>0.007291564402190652</t>
  </si>
  <si>
    <t>[1083706, 1083707, 1083715]</t>
  </si>
  <si>
    <t>[0.025, 0.024, 0.035]</t>
  </si>
  <si>
    <t>40.905095414308356</t>
  </si>
  <si>
    <t>[0.014, 0.011, 0.009]</t>
  </si>
  <si>
    <t>LINESTRING (23.27070370720187 69.96837982502964, 23.27128811615619 69.96861695920529, 23.271591607104117 69.96872333638015, 23.271729042310543 69.9687646299573)</t>
  </si>
  <si>
    <t>[1024088, 1024096, 1024104]</t>
  </si>
  <si>
    <t>[978945, 978952, 978960]</t>
  </si>
  <si>
    <t>0.012547615542206767</t>
  </si>
  <si>
    <t>[978944, 978945, 978952]</t>
  </si>
  <si>
    <t>58.39675597816668</t>
  </si>
  <si>
    <t>[-0.05, 0.02, 0.022]</t>
  </si>
  <si>
    <t>LINESTRING (23.27070370720187 69.96837982502964, 23.27113506675894 69.96865838454073, 23.271328045906976 69.96877171692634, 23.27139477225135 69.96880920723089)</t>
  </si>
  <si>
    <t>[1148212, 1148220, 1148228]</t>
  </si>
  <si>
    <t>[1083727, 1083731, 1083738]</t>
  </si>
  <si>
    <t>[978944, 1083727, 1083731]</t>
  </si>
  <si>
    <t>[0.05, 0.02, 0.022]</t>
  </si>
  <si>
    <t>54.826503172442145</t>
  </si>
  <si>
    <t>[-0.002, 0.007, 0.027, 0.034]</t>
  </si>
  <si>
    <t>LINESTRING (23.271729042310543 69.9687646299573, 23.27186313164128 69.96879143612529, 23.271945602684095 69.96884090763008, 23.271941706455355 69.96889333837586, 23.271899059589764 69.96892462320693)</t>
  </si>
  <si>
    <t>[1164185, 1164193, 1164201, 1164209]</t>
  </si>
  <si>
    <t>[982831, 1098241, 1009316, 978966]</t>
  </si>
  <si>
    <t>0.014619870746604322</t>
  </si>
  <si>
    <t>[978960, 982831, 1098241, 1009316]</t>
  </si>
  <si>
    <t>[0.002, 0.007, 0.027, 0.034]</t>
  </si>
  <si>
    <t>22.01470485011905</t>
  </si>
  <si>
    <t>[0.346, -0.013]</t>
  </si>
  <si>
    <t>LINESTRING (23.27139477225135 69.96880920723089, 23.27151830155544 69.96877178530679, 23.271729042310543 69.9687646299573)</t>
  </si>
  <si>
    <t>[1164265, 1164273]</t>
  </si>
  <si>
    <t>[1098298, 978960]</t>
  </si>
  <si>
    <t>0.14413807946665036</t>
  </si>
  <si>
    <t>[1083738, 1098298]</t>
  </si>
  <si>
    <t>[0.346, 0.013]</t>
  </si>
  <si>
    <t>14.415268383695597</t>
  </si>
  <si>
    <t>[0.008, 0.005, 0.007]</t>
  </si>
  <si>
    <t>LINESTRING (23.271899059589764 69.96892462320693, 23.271972819767463 69.96896083486516, 23.272188357125028 69.96906941321618, 23.27249730329083 69.96925330981271)</t>
  </si>
  <si>
    <t>[1024112, 1024120, 1024128]</t>
  </si>
  <si>
    <t>[978967, 978976, 978982]</t>
  </si>
  <si>
    <t>0.006441980253865456</t>
  </si>
  <si>
    <t>[978966, 978967, 978976]</t>
  </si>
  <si>
    <t>43.71923085734048</t>
  </si>
  <si>
    <t>[0.041, -0.279]</t>
  </si>
  <si>
    <t>LINESTRING (23.271899059589764 69.96892462320693, 23.271783129388783 69.96895861615387, 23.271577552665452 69.96896616246913)</t>
  </si>
  <si>
    <t>[1164217, 1164225]</t>
  </si>
  <si>
    <t>[1098261, 1083744]</t>
  </si>
  <si>
    <t>[978966, 1098261]</t>
  </si>
  <si>
    <t>[0.041, 0.279]</t>
  </si>
  <si>
    <t>13.752324237649557</t>
  </si>
  <si>
    <t>14163.0</t>
  </si>
  <si>
    <t>454.9080238804693</t>
  </si>
  <si>
    <t>[0.019, 0.297, -0.003, -0.004]</t>
  </si>
  <si>
    <t>LINESTRING (23.271577552665452 69.96896616246913, 23.27170347050509 69.96900157734073, 23.271855870364366 69.96904587643195, 23.272048056190435 69.96910762992927, 23.27249730329083 69.96925330981271)</t>
  </si>
  <si>
    <t>[1148236, 1148244, 1148252, 1148260]</t>
  </si>
  <si>
    <t>[1083745, 1083750, 1083757, 978982]</t>
  </si>
  <si>
    <t>0.047549329055658354</t>
  </si>
  <si>
    <t>[1083744, 1083745, 1083750, 1083757]</t>
  </si>
  <si>
    <t>[0.019, 0.297, 0.003, 0.004]</t>
  </si>
  <si>
    <t>47.63279647004353</t>
  </si>
  <si>
    <t>[0.052, 0.041, 0.005]</t>
  </si>
  <si>
    <t>LINESTRING (23.281070430660407 69.97206986449027, 23.28164275365021 69.97223890180818, 23.28306135716649 69.97269765461866, 23.2831532608171 69.97272035682902)</t>
  </si>
  <si>
    <t>[1024136, 1024144, 1024152]</t>
  </si>
  <si>
    <t>[978990, 978997, 979004]</t>
  </si>
  <si>
    <t>0.04251868746896455</t>
  </si>
  <si>
    <t>[978989, 978990, 978997]</t>
  </si>
  <si>
    <t>108.25775798636752</t>
  </si>
  <si>
    <t>[0.067, 0.048, 0.013]</t>
  </si>
  <si>
    <t>LINESTRING (23.281070430660407 69.97206986449027, 23.281527744941478 69.97227567823151, 23.282850409963093 69.97276605754634, 23.282924941135633 69.97279063191111)</t>
  </si>
  <si>
    <t>[1148268, 1148276, 1148284]</t>
  </si>
  <si>
    <t>[1083770, 1083779, 1083785]</t>
  </si>
  <si>
    <t>0.05182004029547778</t>
  </si>
  <si>
    <t>[978989, 1083770, 1083779]</t>
  </si>
  <si>
    <t>107.40679866179734</t>
  </si>
  <si>
    <t>[-0.026, 0.029, 0.069, 0.071]</t>
  </si>
  <si>
    <t>LINESTRING (23.2831532608171 69.97272035682902, 23.283436685885352 69.97274123972996, 23.283540879519492 69.97279407348327, 23.283556469832465 69.97283650719098, 23.283545478221985 69.97285654827279)</t>
  </si>
  <si>
    <t>[1164281, 1164289, 1164297, 1164305]</t>
  </si>
  <si>
    <t>[1009481, 1098315, 982967, 979009]</t>
  </si>
  <si>
    <t>0.01563726886539339</t>
  </si>
  <si>
    <t>[979004, 1009481, 1098315, 982967]</t>
  </si>
  <si>
    <t>[0.026, 0.029, 0.069, 0.071]</t>
  </si>
  <si>
    <t>25.604813100053782</t>
  </si>
  <si>
    <t>[-0.082, -0.071]</t>
  </si>
  <si>
    <t>LINESTRING (23.282924941135633 69.97279063191111, 23.283007914697958 69.97274799805838, 23.2831532608171 69.97272035682902)</t>
  </si>
  <si>
    <t>[1164361, 1164369]</t>
  </si>
  <si>
    <t>[1098369, 979004]</t>
  </si>
  <si>
    <t>[1083785, 1098369]</t>
  </si>
  <si>
    <t>[0.082, 0.071]</t>
  </si>
  <si>
    <t>12.082948950544754</t>
  </si>
  <si>
    <t>[0.024, -0.375, 0.003]</t>
  </si>
  <si>
    <t>LINESTRING (23.283545478221985 69.97285654827279, 23.283610452713546 69.97289074573762, 23.283816126205906 69.97299899009235, 23.28407447943409 69.97314180921077)</t>
  </si>
  <si>
    <t>[1024160, 1024168, 1024176]</t>
  </si>
  <si>
    <t>[979010, 979018, 979025]</t>
  </si>
  <si>
    <t>[979009, 979010, 979018]</t>
  </si>
  <si>
    <t>[0.024, 0.375, 0.003]</t>
  </si>
  <si>
    <t>37.74140760602293</t>
  </si>
  <si>
    <t>[0.081, 0.067]</t>
  </si>
  <si>
    <t>LINESTRING (23.283545478221985 69.97285654827279, 23.28342382371745 69.9729178458324, 23.283269177126034 69.97293811294624)</t>
  </si>
  <si>
    <t>[1164313, 1164321]</t>
  </si>
  <si>
    <t>[1098331, 1083792]</t>
  </si>
  <si>
    <t>0.07493002592243757</t>
  </si>
  <si>
    <t>[979009, 1098331]</t>
  </si>
  <si>
    <t>14.613135365987342</t>
  </si>
  <si>
    <t>[-0.012, -0.014]</t>
  </si>
  <si>
    <t>LINESTRING (23.28407447943409 69.97314180921077, 23.28871793397104 69.9749237352575, 23.291614736854243 69.97656226191918)</t>
  </si>
  <si>
    <t>[1027554, 1027562]</t>
  </si>
  <si>
    <t>[982198, 979032]</t>
  </si>
  <si>
    <t>[979025, 982198]</t>
  </si>
  <si>
    <t>[0.012, 0.014]</t>
  </si>
  <si>
    <t>481.2612938601542</t>
  </si>
  <si>
    <t>[-0.007, 0.003, -0.318]</t>
  </si>
  <si>
    <t>LINESTRING (23.283269177126034 69.97293811294624, 23.283369073352684 69.97296372181764, 23.283652624331324 69.97303672159222, 23.28407447943409 69.97314180921077)</t>
  </si>
  <si>
    <t>[1148292, 1148300, 1148308]</t>
  </si>
  <si>
    <t>[1083793, 1083799, 979025]</t>
  </si>
  <si>
    <t>[1083792, 1083793, 1083799]</t>
  </si>
  <si>
    <t>[0.007, 0.003, 0.318]</t>
  </si>
  <si>
    <t>38.301589168458534</t>
  </si>
  <si>
    <t>[-0.048, -0.036]</t>
  </si>
  <si>
    <t>LINESTRING (23.291614736854243 69.97656226191918, 23.292112942562486 69.976717765722, 23.292158924880567 69.97674437291467)</t>
  </si>
  <si>
    <t>[1024184, 1024192]</t>
  </si>
  <si>
    <t>[979033, 979042]</t>
  </si>
  <si>
    <t>[979032, 979033]</t>
  </si>
  <si>
    <t>[0.048, 0.036]</t>
  </si>
  <si>
    <t>29.400749945680385</t>
  </si>
  <si>
    <t>[0.063, -0.052]</t>
  </si>
  <si>
    <t>LINESTRING (23.291614736854243 69.97656226191918, 23.29186850236262 69.97677408231125, 23.291927901188554 69.97680990443605)</t>
  </si>
  <si>
    <t>[1148316, 1148324]</t>
  </si>
  <si>
    <t>[1083810, 1083816]</t>
  </si>
  <si>
    <t>0.045562016929308884</t>
  </si>
  <si>
    <t>[979032, 1083810]</t>
  </si>
  <si>
    <t>[0.063, 0.052]</t>
  </si>
  <si>
    <t>30.337598233751592</t>
  </si>
  <si>
    <t>[0.231, -0.057, -0.046, -0.317]</t>
  </si>
  <si>
    <t>LINESTRING (23.292158924880567 69.97674437291467, 23.292365648734833 69.97675600661336, 23.292471103595297 69.97678884477916, 23.292519468476865 69.97682933382357, 23.292498687796705 69.97689087611552)</t>
  </si>
  <si>
    <t>[1164377, 1164385, 1164393, 1164401]</t>
  </si>
  <si>
    <t>[982942, 1098390, 1009449, 979051]</t>
  </si>
  <si>
    <t>[979042, 982942, 1098390, 1009449]</t>
  </si>
  <si>
    <t>[0.231, 0.057, 0.046, 0.317]</t>
  </si>
  <si>
    <t>25.26919248663537</t>
  </si>
  <si>
    <t>[-0.018, -0.519]</t>
  </si>
  <si>
    <t>LINESTRING (23.291927901188554 69.97680990443605, 23.292038380191084 69.97676223310434, 23.292158924880567 69.97674437291467)</t>
  </si>
  <si>
    <t>[1164457, 1164465]</t>
  </si>
  <si>
    <t>[1098448, 979042]</t>
  </si>
  <si>
    <t>[1083816, 1098448]</t>
  </si>
  <si>
    <t>[0.018, 0.519]</t>
  </si>
  <si>
    <t>11.82166716936006</t>
  </si>
  <si>
    <t>[-0.045, -0.055, -0.086, -0.124]</t>
  </si>
  <si>
    <t>LINESTRING (23.292498687796705 69.97689087611552, 23.292560894389887 69.97691464273744, 23.293021326802695 69.97704219401906, 23.297551509525864 69.97724770252346, 23.29812535364666 69.97715513626028)</t>
  </si>
  <si>
    <t>[1024200, 1024208, 1024216, 1024224]</t>
  </si>
  <si>
    <t>[979052, 979061, 979069, 979079]</t>
  </si>
  <si>
    <t>[979051, 979052, 979061, 979069]</t>
  </si>
  <si>
    <t>[0.045, 0.055, 0.086, 0.124]</t>
  </si>
  <si>
    <t>234.6906039285809</t>
  </si>
  <si>
    <t>[0.315, 0.055]</t>
  </si>
  <si>
    <t>LINESTRING (23.292498687796705 69.97689087611552, 23.292376425249124 69.97693810630393, 23.292216501660974 69.97695446966186)</t>
  </si>
  <si>
    <t>[1164409, 1164417]</t>
  </si>
  <si>
    <t>[1098409, 1083821]</t>
  </si>
  <si>
    <t>0.19142034236518735</t>
  </si>
  <si>
    <t>[979051, 1098409]</t>
  </si>
  <si>
    <t>13.434803948108277</t>
  </si>
  <si>
    <t>[-0.08, -0.008, -0.008, -0.007, 0.001, 0.011, 0.01, 0.015, 0.014, 0.016, 0.019, 0.022, 0.013, 0.017, 0.021, 0.017, 0.018, 0.031, 0.017, 0.019, 0.01]</t>
  </si>
  <si>
    <t>LINESTRING (23.29812535364666 69.97715513626028, 23.308568218295303 69.97589070321813, 23.30910565755185 69.97589879038371, 23.309586695359382 69.97590608394191, 23.310191472892775 69.97591525914255, 23.318242254895473 69.97566373843337, 23.326965381559305 69.97558438448651, 23.328868707010468 69.9755362644893, 23.329107461763996 69.97552971124489, 23.329393059822777 69.97552221516376, 23.3313542210949 69.97546636928031, 23.333226983894733 69.97540653379303, 23.33520536215065 69.97532046843227, 23.335680794410372 69.9752964849065, 23.33623268840856 69.9752662889319, 23.336806534805646 69.97523360888763, 23.338310086552983 69.97514720061946, 23.33920774508693 69.97509519874689, 23.339403002950778 69.97508341547669, 23.339583304215957 69.97507255490028, 23.340430143389977 69.97502336108076, 23.340936413332262 69.97499322414676)</t>
  </si>
  <si>
    <t>[1033420, 1033428, 1033436, 1033444, 1033452, 1033460, 1033468, 1033476, 1033484, 1033492, 1033500, 1033508, 1033516, 1033524, 1033532, 1033540, 1033548, 1033556, 1033564, 1033572, 1033580]</t>
  </si>
  <si>
    <t>[986710, 986712, 986718, 986726, 986732, 986739, 986744, 986749, 986755, 261732, 986767, 986774, 986780, 983730, 986793, 986801, 986806, 986811, 983014, 986822, 986829]</t>
  </si>
  <si>
    <t>[979079, 986710, 986712, 986718, 986726, 986732, 986739, 986744, 986749, 986755, 261732, 986767, 986774, 986780, 983730, 986793, 986801, 986806, 986811, 983014, 986822]</t>
  </si>
  <si>
    <t>[0.08, 0.008, 0.008, 0.007, 0.001, 0.011, 0.01, 0.015, 0.014, 0.016, 0.019, 0.022, 0.013, 0.017, 0.021, 0.017, 0.018, 0.031, 0.017, 0.019, 0.01]</t>
  </si>
  <si>
    <t>1679.8087115334092</t>
  </si>
  <si>
    <t>[-0.066, -0.066, -0.066, -0.085, -0.184]</t>
  </si>
  <si>
    <t>LINESTRING (23.292216501660974 69.97695446966186, 23.292302537859264 69.97697653964318, 23.292770778483042 69.97708521150695, 23.292878012353654 69.97710982111154, 23.297598052110647 69.97728861971169, 23.29812535364666 69.97715513626028)</t>
  </si>
  <si>
    <t>[1148332, 1148340, 1148348, 1148356, 1148364]</t>
  </si>
  <si>
    <t>[1083822, 1083827, 1083835, 1083840, 979079]</t>
  </si>
  <si>
    <t>[1083821, 1083822, 1083827, 1083835, 1083840]</t>
  </si>
  <si>
    <t>[0.066, 0.066, 0.066, 0.085, 0.184]</t>
  </si>
  <si>
    <t>246.58405963876726</t>
  </si>
  <si>
    <t>[-0.017, -0.017, -0.018]</t>
  </si>
  <si>
    <t>LINESTRING (23.373322215802403 69.96974181964416, 23.373321545833697 69.96963476621968, 23.373344103487213 69.96955815681997, 23.37334797613755 69.96950950281823)</t>
  </si>
  <si>
    <t>[1024232, 1024240, 1024248]</t>
  </si>
  <si>
    <t>[979087, 979096, 979107]</t>
  </si>
  <si>
    <t>[979086, 979087, 979096]</t>
  </si>
  <si>
    <t>[0.017, 0.017, 0.018]</t>
  </si>
  <si>
    <t>25.98510228727098</t>
  </si>
  <si>
    <t>[-0.096, -0.03, -0.025]</t>
  </si>
  <si>
    <t>LINESTRING (23.373322215802403 69.96974181964416, 23.37349291842775 69.96965172302289, 23.37358242147663 69.96958297041654, 23.37360918230475 69.96954829417973)</t>
  </si>
  <si>
    <t>[1148372, 1148380, 1148388]</t>
  </si>
  <si>
    <t>[1083852, 1083858, 1083864]</t>
  </si>
  <si>
    <t>[979086, 1083852, 1083858]</t>
  </si>
  <si>
    <t>[0.096, 0.03, 0.025]</t>
  </si>
  <si>
    <t>24.406632562931136</t>
  </si>
  <si>
    <t>[-0.005, -0.011, -0.017, -0.017, -0.018, -0.019, -0.02, -0.021, -0.024, -0.022, 0.144, -0.046, -0.07]</t>
  </si>
  <si>
    <t>12399.0</t>
  </si>
  <si>
    <t>LINESTRING (23.371389463058392 69.97237411501602, 23.372040959877246 69.9721263860229, 23.372616878867934 69.97154633396813, 23.37264238497001 69.97147290324088, 23.372677883031038 69.97137520223741, 23.37274479242103 69.97117294166276, 23.372781102256404 69.97106679372182, 23.372794483421938 69.97102411746548, 23.372926610565887 69.97064680005732, 23.372946252980814 69.9705915308249, 23.372999180400296 69.97043040155498, 23.373044472224663 69.97030605252061, 23.37315132267838 69.97004132156623, 23.373322215802403 69.96974181964416)</t>
  </si>
  <si>
    <t>[1080098, 1080106, 1080114, 1080122, 1080130, 1080138, 1080146, 1080154, 1080162, 1080170, 1080178, 1033716, 1033724]</t>
  </si>
  <si>
    <t>[346992, 347010, 1025071, 1024994, 1025087, 1025214, 1025221, 1025225, 1025230, 1025236, 986946, 986947, 979086]</t>
  </si>
  <si>
    <t>[1025182, 346992, 347010, 1025071, 1024994, 1025087, 1025214, 1025221, 1025225, 1025230, 1025236, 986946, 986947]</t>
  </si>
  <si>
    <t>[0.005, 0.011, 0.017, 0.017, 0.018, 0.019, 0.02, 0.021, 0.024, 0.022, 0.144, 0.046, 0.07]</t>
  </si>
  <si>
    <t>309.7915323332483</t>
  </si>
  <si>
    <t>[-0.104, -0.042, -0.084, -0.037, 0.414]</t>
  </si>
  <si>
    <t>LINESTRING (23.37334797613755 69.96950950281823, 23.373292488402956 69.96946349095238, 23.37335475790147 69.96938640044652, 23.37342508985202 69.9693652550226, 23.373502436720926 69.96935299915197, 23.373559712285882 69.96934983191318)</t>
  </si>
  <si>
    <t>[1164473, 1164481, 1164489, 1164497, 1164505]</t>
  </si>
  <si>
    <t>[1035734, 1096973, 1098475, 1008841, 979116]</t>
  </si>
  <si>
    <t>[979107, 1035734, 1096973, 1098475, 1008841]</t>
  </si>
  <si>
    <t>[0.104, 0.042, 0.084, 0.037, 0.414]</t>
  </si>
  <si>
    <t>23.553298896852294</t>
  </si>
  <si>
    <t>[0.025, 0.171]</t>
  </si>
  <si>
    <t>LINESTRING (23.37360918230475 69.96954829417973, 23.373457772524972 69.96953910700852, 23.37334797613755 69.96950950281823)</t>
  </si>
  <si>
    <t>[1164561, 1164569]</t>
  </si>
  <si>
    <t>[1098535, 979107]</t>
  </si>
  <si>
    <t>0.09449944578864856</t>
  </si>
  <si>
    <t>[1083864, 1098535]</t>
  </si>
  <si>
    <t>11.231888066669288</t>
  </si>
  <si>
    <t>[-0.209, -0.011]</t>
  </si>
  <si>
    <t>LINESTRING (23.373559712285882 69.96934983191318, 23.373697340793207 69.96935885854523, 23.37382084245351 69.96939432252395)</t>
  </si>
  <si>
    <t>[1164513, 1164521]</t>
  </si>
  <si>
    <t>[1098498, 1083874]</t>
  </si>
  <si>
    <t>[979116, 1098498]</t>
  </si>
  <si>
    <t>[0.209, 0.011]</t>
  </si>
  <si>
    <t>11.529683471819078</t>
  </si>
  <si>
    <t>4.818236192260183</t>
  </si>
  <si>
    <t>LINESTRING (24.979516021147163 70.05146509600483, 24.979463336775392 70.05139802719985, 24.979508409973153 70.05134077102187)</t>
  </si>
  <si>
    <t>[1164657, 1164665]</t>
  </si>
  <si>
    <t>[1098615, 979158]</t>
  </si>
  <si>
    <t>0.01547313127781485</t>
  </si>
  <si>
    <t>[1083920, 1098615]</t>
  </si>
  <si>
    <t>14.380649102787594</t>
  </si>
  <si>
    <t>[0.015, 0.015, 0.013]</t>
  </si>
  <si>
    <t>LINESTRING (24.979591837910817 70.05130838647835, 24.979590685700188 70.05125855868513, 24.97958788984963 70.05113622093761, 24.979631869384693 70.05101143200591)</t>
  </si>
  <si>
    <t>[1024312, 1024320, 1024328]</t>
  </si>
  <si>
    <t>[979168, 979177, 979185]</t>
  </si>
  <si>
    <t>0.014142555529341428</t>
  </si>
  <si>
    <t>[979167, 979168, 979177]</t>
  </si>
  <si>
    <t>33.66808263606404</t>
  </si>
  <si>
    <t>LINESTRING (24.979591837910817 70.05130838647835, 24.979768472125567 70.05128080901041, 24.9799429913976 70.05129000606428)</t>
  </si>
  <si>
    <t>[1164585, 1164593]</t>
  </si>
  <si>
    <t>[1098556, 1083926]</t>
  </si>
  <si>
    <t>[979167, 1098556]</t>
  </si>
  <si>
    <t>14.144241018253297</t>
  </si>
  <si>
    <t>1002.0</t>
  </si>
  <si>
    <t>LINESTRING (24.979631869384693 70.05101143200591, 25.101695603776474 69.89931502723377)</t>
  </si>
  <si>
    <t>18372.848241192944</t>
  </si>
  <si>
    <t>[0.022, 0.02, 0.022]</t>
  </si>
  <si>
    <t>LINESTRING (24.9799429913976 70.05129000606428, 24.979898156591496 70.05124397001055, 24.979777473941425 70.05112660257781, 24.979631869384693 70.05101143200591)</t>
  </si>
  <si>
    <t>[1148452, 1148460, 1148468]</t>
  </si>
  <si>
    <t>[1083927, 1083936, 979185]</t>
  </si>
  <si>
    <t>0.02117492168542943</t>
  </si>
  <si>
    <t>[1083926, 1083927, 1083936]</t>
  </si>
  <si>
    <t>33.6844901091889</t>
  </si>
  <si>
    <t>[-0.022, -0.059, -0.049]</t>
  </si>
  <si>
    <t>LINESTRING (25.503697734513207 69.47284782870398, 25.503464983093988 69.47279851912198, 25.50319675026432 69.47270103167172, 25.503076113423855 69.47265598997605)</t>
  </si>
  <si>
    <t>[1024336, 1024344, 1024352]</t>
  </si>
  <si>
    <t>[979195, 979203, 979213]</t>
  </si>
  <si>
    <t>[979194, 979195, 979203]</t>
  </si>
  <si>
    <t>[0.022, 0.059, 0.049]</t>
  </si>
  <si>
    <t>32.711184973661304</t>
  </si>
  <si>
    <t>[-0.098, -0.103, -0.12]</t>
  </si>
  <si>
    <t>LINESTRING (25.503697734513207 69.47284782870398, 25.503624850662806 69.47276643271354, 25.503520585826287 69.47265953552962, 25.50350755020704 69.47259055196295)</t>
  </si>
  <si>
    <t>[1148476, 1148484, 1148492]</t>
  </si>
  <si>
    <t>[1083950, 1083958, 1083965]</t>
  </si>
  <si>
    <t>[979194, 1083950, 1083958]</t>
  </si>
  <si>
    <t>[0.098, 0.103, 0.12]</t>
  </si>
  <si>
    <t>29.883766247113165</t>
  </si>
  <si>
    <t>LINESTRING (25.363728536340723 69.61023322558282, 25.503697734513207 69.47284782870398)</t>
  </si>
  <si>
    <t>[-0.058, -0.132, -0.101, -0.065]</t>
  </si>
  <si>
    <t>LINESTRING (25.503076113423855 69.47265598997605, 25.50288621180889 69.4725870831166, 25.502904178985553 69.47249470135026, 25.503094825674506 69.47243694171591, 25.50325795680654 69.47243290571379)</t>
  </si>
  <si>
    <t>[1163511, 1163527, 1163535, 1163543]</t>
  </si>
  <si>
    <t>[1096559, 1097749, 1084307, 979223]</t>
  </si>
  <si>
    <t>[979213, 1096559, 1097749, 1084307]</t>
  </si>
  <si>
    <t>[0.058, 0.132, 0.101, 0.065]</t>
  </si>
  <si>
    <t>37.819635809181655</t>
  </si>
  <si>
    <t>[0.117, 0.044]</t>
  </si>
  <si>
    <t>LINESTRING (25.50350755020704 69.47259055196295, 25.503307687736335 69.47265741188856, 25.503076113423855 69.47265598997605)</t>
  </si>
  <si>
    <t>[1163582, 1163589]</t>
  </si>
  <si>
    <t>[1097791, 979213]</t>
  </si>
  <si>
    <t>0.0841340209392296</t>
  </si>
  <si>
    <t>[1083965, 1097791]</t>
  </si>
  <si>
    <t>20.17336070524268</t>
  </si>
  <si>
    <t>[-0.082, -0.083, -0.066]</t>
  </si>
  <si>
    <t>LINESTRING (25.50325795680654 69.47243290571379, 25.503405349406908 69.47240971816537, 25.503742243866864 69.47235607148565, 25.50425628597116 69.47231793402042)</t>
  </si>
  <si>
    <t>[1024360, 1024368, 1024376]</t>
  </si>
  <si>
    <t>[979224, 979232, 979240]</t>
  </si>
  <si>
    <t>[979223, 979224, 979232]</t>
  </si>
  <si>
    <t>[0.082, 0.083, 0.066]</t>
  </si>
  <si>
    <t>41.44540149909241</t>
  </si>
  <si>
    <t>LINESTRING (25.50325795680654 69.47243290571379, 25.50346102995383 69.47247612131568, 25.503530563533133 69.47255127229208)</t>
  </si>
  <si>
    <t>[1163551, 1163557]</t>
  </si>
  <si>
    <t>[1097768, 1083972]</t>
  </si>
  <si>
    <t>0.0647393282508975</t>
  </si>
  <si>
    <t>[979223, 1097768]</t>
  </si>
  <si>
    <t>18.14208737314508</t>
  </si>
  <si>
    <t>[-0.027, -0.046]</t>
  </si>
  <si>
    <t>LINESTRING (25.50425628597116 69.47231793402042, 25.509966119763845 69.47199213128192, 25.510234498251116 69.47196804580682)</t>
  </si>
  <si>
    <t>[1037620, 1037628]</t>
  </si>
  <si>
    <t>[964947, 979244]</t>
  </si>
  <si>
    <t>[979240, 964947]</t>
  </si>
  <si>
    <t>[0.027, 0.046]</t>
  </si>
  <si>
    <t>237.8602195377912</t>
  </si>
  <si>
    <t>[-0.119, -0.113, -0.104]</t>
  </si>
  <si>
    <t>LINESTRING (25.503530563533133 69.47255127229208, 25.503625122975116 69.47250954947754, 25.50387144127481 69.4724163233214, 25.50425628597116 69.47231793402042)</t>
  </si>
  <si>
    <t>[1148500, 1148508, 1148516]</t>
  </si>
  <si>
    <t>[1083973, 1083979, 979240]</t>
  </si>
  <si>
    <t>[1083972, 1083973, 1083979]</t>
  </si>
  <si>
    <t>[0.119, 0.113, 0.104]</t>
  </si>
  <si>
    <t>38.83465921387341</t>
  </si>
  <si>
    <t>[-0.026, -0.018, -0.022]</t>
  </si>
  <si>
    <t>LINESTRING (25.510234498251116 69.47196804580682, 25.510428085411057 69.4719225418315, 25.51070124173601 69.47187046875752, 25.51083387690542 69.47184038962656)</t>
  </si>
  <si>
    <t>[1024384, 1024392, 1024400]</t>
  </si>
  <si>
    <t>[979245, 979249, 979256]</t>
  </si>
  <si>
    <t>[979244, 979245, 979249]</t>
  </si>
  <si>
    <t>[0.026, 0.018, 0.022]</t>
  </si>
  <si>
    <t>27.520290859938886</t>
  </si>
  <si>
    <t>[0.003, -0.004, 0.004]</t>
  </si>
  <si>
    <t>LINESTRING (25.510234498251116 69.47196804580682, 25.510465496517252 69.47197040123551, 25.510785486025824 69.47195426770679, 25.51091386165826 69.47194914621265)</t>
  </si>
  <si>
    <t>[1148524, 1148532, 1148540]</t>
  </si>
  <si>
    <t>[1083991, 1084001, 1084007]</t>
  </si>
  <si>
    <t>[979244, 1083991, 1084001]</t>
  </si>
  <si>
    <t>[0.003, 0.004, 0.004]</t>
  </si>
  <si>
    <t>26.80681794579115</t>
  </si>
  <si>
    <t>[-0.041, -0.021, 0.012, 0.029]</t>
  </si>
  <si>
    <t>LINESTRING (25.51083387690542 69.47184038962656, 25.510889622728516 69.47180138305269, 25.511077065997863 69.47176124876516, 25.51125323809485 69.4717683997834, 25.51134356183044 69.47178877943844)</t>
  </si>
  <si>
    <t>[1164673, 1164681, 1164689, 1164697]</t>
  </si>
  <si>
    <t>[1084302, 1098631, 1096555, 979263]</t>
  </si>
  <si>
    <t>[979256, 1084302, 1098631, 1096555]</t>
  </si>
  <si>
    <t>[0.041, 0.021, 0.012, 0.029]</t>
  </si>
  <si>
    <t>24.65273229376959</t>
  </si>
  <si>
    <t>[-0.043, -0.049]</t>
  </si>
  <si>
    <t>LINESTRING (25.51091386165826 69.47194914621265, 25.510833622192784 69.47189790345791, 25.51083387690542 69.47184038962656)</t>
  </si>
  <si>
    <t>[1164753, 1164761]</t>
  </si>
  <si>
    <t>[1098683, 979256]</t>
  </si>
  <si>
    <t>[1084007, 1098683]</t>
  </si>
  <si>
    <t>[0.043, 0.049]</t>
  </si>
  <si>
    <t>12.960099011132053</t>
  </si>
  <si>
    <t>[-0.005, -0.002, 0.0]</t>
  </si>
  <si>
    <t>LINESTRING (25.51134356183044 69.47178877943844, 25.511488071785593 69.47178320945531, 25.511903491484254 69.47175971877712, 25.512224530504607 69.47174686108063)</t>
  </si>
  <si>
    <t>[1024408, 1024416, 1024424]</t>
  </si>
  <si>
    <t>[979264, 979270, 965032]</t>
  </si>
  <si>
    <t>[979263, 979264, 979270]</t>
  </si>
  <si>
    <t>[0.005, 0.002, 0.0]</t>
  </si>
  <si>
    <t>34.874062878914245</t>
  </si>
  <si>
    <t>[0.041, 0.047]</t>
  </si>
  <si>
    <t>LINESTRING (25.51134356183044 69.47178877943844, 25.511436745084172 69.47184159433854, 25.51143429507745 69.47190251218385)</t>
  </si>
  <si>
    <t>[1164705, 1164713]</t>
  </si>
  <si>
    <t>[1098648, 1084015]</t>
  </si>
  <si>
    <t>0.04397083047872724</t>
  </si>
  <si>
    <t>[979263, 1098648]</t>
  </si>
  <si>
    <t>13.748924641731996</t>
  </si>
  <si>
    <t>LINESTRING (25.512224530504607 69.47174686108063, 25.693072145415954 69.55290157337762)</t>
  </si>
  <si>
    <t>[-0.023, -0.018, -0.017]</t>
  </si>
  <si>
    <t>LINESTRING (25.51143429507745 69.47190251218385, 25.511564380532654 69.4718737142907, 25.511941474731668 69.4718045455759, 25.512224530504607 69.47174686108063)</t>
  </si>
  <si>
    <t>[1148548, 1148556, 1148564]</t>
  </si>
  <si>
    <t>[1084016, 1084022, 965032]</t>
  </si>
  <si>
    <t>[1084015, 1084016, 1084022]</t>
  </si>
  <si>
    <t>[0.023, 0.018, 0.017]</t>
  </si>
  <si>
    <t>35.55361118107559</t>
  </si>
  <si>
    <t>[0.015, 0.043, 0.049, 0.049, 0.064, 0.071]</t>
  </si>
  <si>
    <t>LINESTRING (28.224051658439222 70.16687630072238, 28.22450013370172 70.16630833339859, 28.224624894928315 70.16626272984392, 28.224750567898266 70.16621935583534, 28.22484456009865 70.16619325631223, 28.22604547058299 70.1660366897876, 28.227899337753353 70.16612316221176)</t>
  </si>
  <si>
    <t>[1024432, 1024440, 1024448, 1024456, 1024464, 1024472]</t>
  </si>
  <si>
    <t>[979286, 979293, 979299, 979307, 979316, 967923]</t>
  </si>
  <si>
    <t>0.04881327904022151</t>
  </si>
  <si>
    <t>[979285, 979286, 979293, 979299, 979307, 979316]</t>
  </si>
  <si>
    <t>207.29348110132986</t>
  </si>
  <si>
    <t>[0.024, 0.047, 0.052, 0.057, 0.063, 0.067, 0.071]</t>
  </si>
  <si>
    <t>LINESTRING (28.224051658439222 70.16687630072238, 28.22468335737748 70.16636193028874, 28.22480478068424 70.16632055993352, 28.224930579162688 70.16628338401605, 28.22500764674714 70.16626396593838, 28.226086145812047 70.16611866657766, 28.2262085418169 70.16611221562893, 28.227899337753353 70.16612316221176)</t>
  </si>
  <si>
    <t>[1148572, 1148580, 1148588, 1148596, 1148604, 1148612, 1148620]</t>
  </si>
  <si>
    <t>[1084035, 1084044, 1008766, 1084062, 1084070, 1084077, 967923]</t>
  </si>
  <si>
    <t>0.05203619776543901</t>
  </si>
  <si>
    <t>[979285, 1084035, 1084044, 1008766, 1084062, 1084070, 1084077]</t>
  </si>
  <si>
    <t>193.2326607419858</t>
  </si>
  <si>
    <t>[0.065, 0.043, 0.029, 0.038, 0.032, 0.027, 0.007, 0.015, 0.04, 0.004, -0.032, 0.012, 0.02, -0.013, -0.035, -0.005, -0.004, 0.001, 0.001, -0.001, 0.008, -0.005, -0.046, -0.035, -0.025, -0.014, -0.001, -0.038, -0.021, -0.021, -0.017, -0.013, -0.016, -0.023, -0.019, -0.026, -0.035, -0.025, 0.065]</t>
  </si>
  <si>
    <t>1387.0</t>
  </si>
  <si>
    <t>LINESTRING (28.227899337753353 70.16612316221176, 28.231983404136365 70.16635420209772, 28.23818131493423 70.16672198277183, 28.23897016498519 70.1667933743015, 28.253373584705184 70.16817772850465, 28.258017254601654 70.16843689866708, 28.265280750232314 70.1688438439465, 28.26818244516991 70.16902321414764, 28.275067827928417 70.17004359577291, 28.292839175323966 70.17342820746946, 28.294161015696073 70.17373894598788, 28.299749204730826 70.17501678215419, 28.326088516358773 70.17948499724496, 28.331987578541504 70.18002973152149, 28.38622829286228 70.1800719839215, 28.38963813021893 70.17895344316297, 28.39108115479835 70.17845993976374, 28.391878162438775 70.1782028632533, 28.39789248903978 70.17725384750291, 28.400188585312993 70.17722442114962, 28.40494631287754 70.17767351243003, 28.434435050075965 70.18020141655863, 28.440712159563105 70.18011804238546, 28.44600689042688 70.18004798837293, 28.45915138569014 70.1794010438799, 28.46127511628162 70.17924848647124, 28.47105788867466 70.17835366997998, 28.472654331274423 70.17806801095485, 28.485437076231204 70.17634665013935, 28.53032216085934 70.17334772941135, 28.53369784440235 70.173010310869, 28.53946583093228 70.17257686250943, 28.544302666569685 70.17231941940656, 28.54563600609568 70.17224819064354, 28.54596862883403 70.1722315822499, 28.54906225729946 70.17225493944639, 28.552581032550556 70.17259051020652, 28.553569984027217 70.17268816337518, 28.554093406671427 70.17273888425302, 28.55476983029917 70.17278662383849)</t>
  </si>
  <si>
    <t>[1161425, 1161433, 1161441, 1161449, 1161457, 1161465, 1161473, 1161481, 1161489, 1161497, 1161505, 1161513, 1161521, 1161529, 1161537, 1161545, 1161553, 1161561, 1161569, 1161577, 1161585, 1161593, 1161601, 1161609, 1161617, 1161625, 1161633, 1161641, 1161649, 1161657, 1161665, 1161673, 1161681, 1161689, 1161697, 1161705, 1161713, 1161721, 1161729]</t>
  </si>
  <si>
    <t>[1095923, 1095929, 1095935, 1095941, 1089892, 1095954, 1095960, 1095966, 1095974, 1095982, 1089936, 1095992, 1096000, 1096009, 1096018, 1096028, 1096035, 1096043, 1096052, 1096060, 1096068, 1096076, 1096083, 1096092, 1096101, 1096113, 1096123, 1096131, 1096141, 1096148, 1096158, 1096167, 1096176, 1096184, 1096193, 1096201, 1096211, 1096220, 979334]</t>
  </si>
  <si>
    <t>[967923, 1095923, 1095929, 1095935, 1095941, 1089892, 1095954, 1095960, 1095966, 1095974, 1095982, 1089936, 1095992, 1096000, 1096009, 1096018, 1096028, 1096035, 1096043, 1096052, 1096060, 1096068, 1096076, 1096083, 1096092, 1096101, 1096113, 1096123, 1096131, 1096141, 1096148, 1096158, 1096167, 1096176, 1096184, 1096193, 1096201, 1096211, 1096220]</t>
  </si>
  <si>
    <t>[0.065, 0.043, 0.029, 0.038, 0.032, 0.027, 0.007, 0.015, 0.04, 0.004, 0.032, 0.012, 0.02, 0.013, 0.035, 0.005, 0.004, 0.001, 0.001, 0.001, 0.008, 0.005, 0.046, 0.035, 0.025, 0.014, 0.001, 0.038, 0.021, 0.021, 0.017, 0.013, 0.016, 0.023, 0.019, 0.026, 0.035, 0.025, 0.065]</t>
  </si>
  <si>
    <t>13149.925723925264</t>
  </si>
  <si>
    <t>LINESTRING (28.55476983029917 70.17278662383849, 28.555384076384424 70.17274776643596, 28.55547220572577 70.1727422645059)</t>
  </si>
  <si>
    <t>[1024480, 1024488]</t>
  </si>
  <si>
    <t>[979335, 979343]</t>
  </si>
  <si>
    <t>[979334, 979335]</t>
  </si>
  <si>
    <t>27.130723427684092</t>
  </si>
  <si>
    <t>LINESTRING (28.55476983029917 70.17278662383849, 28.555410685223787 70.17284012416678, 28.55550225691712 70.1728446227692)</t>
  </si>
  <si>
    <t>[1148628, 1148636]</t>
  </si>
  <si>
    <t>[1084094, 1084100]</t>
  </si>
  <si>
    <t>[979334, 1084094]</t>
  </si>
  <si>
    <t>28.575541004469926</t>
  </si>
  <si>
    <t>1.101</t>
  </si>
  <si>
    <t>2.9532524442908366</t>
  </si>
  <si>
    <t>[-0.492, 0.5]</t>
  </si>
  <si>
    <t>LINESTRING (28.55550225691712 70.1728446227692, 28.555438514788715 70.1727920615748, 28.55547220572577 70.1727422645059)</t>
  </si>
  <si>
    <t>[1164849, 1164857]</t>
  </si>
  <si>
    <t>[1098746, 979343]</t>
  </si>
  <si>
    <t>[1084100, 1098746]</t>
  </si>
  <si>
    <t>[0.492, 0.5]</t>
  </si>
  <si>
    <t>12.074991385842106</t>
  </si>
  <si>
    <t>1550.0</t>
  </si>
  <si>
    <t>LINESTRING (7.5046082139376535 61.06443185225702, 7.363795423947527 60.96692663054517)</t>
  </si>
  <si>
    <t>12463.576189684947</t>
  </si>
  <si>
    <t>[0.069, 0.141]</t>
  </si>
  <si>
    <t>LINESTRING (7.505326546493829 61.064729878369924, 7.505253411126498 61.06468847690819, 7.5046082139376535 61.06443185225702)</t>
  </si>
  <si>
    <t>[1898547, 1898555]</t>
  </si>
  <si>
    <t>[1667486, 980688]</t>
  </si>
  <si>
    <t>0.13246943623490146</t>
  </si>
  <si>
    <t>[981021, 1667486]</t>
  </si>
  <si>
    <t>51.33775708499087</t>
  </si>
  <si>
    <t>[0.122, 0.134]</t>
  </si>
  <si>
    <t>LINESTRING (7.505533126103369 61.064612430966925, 7.505392883784376 61.06459081635647, 7.5046082139376535 61.06443185225702)</t>
  </si>
  <si>
    <t>[1881230, 1881231]</t>
  </si>
  <si>
    <t>[1655828, 980688]</t>
  </si>
  <si>
    <t>0.132231455101729</t>
  </si>
  <si>
    <t>[981042, 1655828]</t>
  </si>
  <si>
    <t>54.0053723223231</t>
  </si>
  <si>
    <t>[-0.12, -0.108]</t>
  </si>
  <si>
    <t>LINESTRING (7.211307551604379 60.898157746081736, 7.2108132745488716 60.89804553941856, 7.210689760647291 60.89802794520139)</t>
  </si>
  <si>
    <t>[1881233, 1881234]</t>
  </si>
  <si>
    <t>[1655830, 981136]</t>
  </si>
  <si>
    <t>[980846, 1655830]</t>
  </si>
  <si>
    <t>[0.12, 0.108]</t>
  </si>
  <si>
    <t>37.2873658231282</t>
  </si>
  <si>
    <t>[0.819, -3.765]</t>
  </si>
  <si>
    <t>LINESTRING (7.211307551604379 60.898157746081736, 7.210789792564949 60.89819431145266, 7.210656596161627 60.89820606223345)</t>
  </si>
  <si>
    <t>[1898563, 1898571]</t>
  </si>
  <si>
    <t>[1667497, 981072]</t>
  </si>
  <si>
    <t>[980846, 1667497]</t>
  </si>
  <si>
    <t>[0.819, 3.765]</t>
  </si>
  <si>
    <t>36.636351800443194</t>
  </si>
  <si>
    <t>LINESTRING (7.363795423947527 60.96692663054517, 7.211307551604379 60.898157746081736)</t>
  </si>
  <si>
    <t>[-0.003, 0.115, 0.141, 0.105]</t>
  </si>
  <si>
    <t>LINESTRING (7.505912055044544 61.064717448960934, 7.505626593931516 61.06489272778896, 7.505493983462667 61.064879015944, 7.505378170948104 61.064833772443336, 7.505326546493829 61.064729878369924)</t>
  </si>
  <si>
    <t>[1026177, 1026185, 1026193, 1026201]</t>
  </si>
  <si>
    <t>[980995, 981004, 981012, 981021]</t>
  </si>
  <si>
    <t>0.056762771849431536</t>
  </si>
  <si>
    <t>[980994, 980995, 981004, 981012]</t>
  </si>
  <si>
    <t>[0.003, 0.115, 0.141, 0.105]</t>
  </si>
  <si>
    <t>55.798361803311515</t>
  </si>
  <si>
    <t>[-0.115, -0.096]</t>
  </si>
  <si>
    <t>LINESTRING (7.505679149244933 61.0646088529453, 7.505841517040112 61.06465398776813, 7.505912055044544 61.064717448960934)</t>
  </si>
  <si>
    <t>[1026233, 1026241]</t>
  </si>
  <si>
    <t>[981057, 980994]</t>
  </si>
  <si>
    <t>[981050, 981057]</t>
  </si>
  <si>
    <t>[0.115, 0.096]</t>
  </si>
  <si>
    <t>18.168608632953465</t>
  </si>
  <si>
    <t>[0.031, 0.055, 0.054, 0.054, 0.038, 0.002, -0.073]</t>
  </si>
  <si>
    <t>LINESTRING (7.509321694566586 61.06324974324108, 7.508062856540008 61.06385073668431, 7.507944614784952 61.06389095079106, 7.507854638234651 61.06392029499628, 7.507091927256457 61.06413644653798, 7.50672725087224 61.064264549137064, 7.505972331676552 61.06465974349277, 7.505912055044544 61.064717448960934)</t>
  </si>
  <si>
    <t>[1898491, 1898499, 1898507, 1898515, 1898523, 1898531, 1898539]</t>
  </si>
  <si>
    <t>[1667444, 1667449, 1655368, 1667461, 1667468, 1667472, 980994]</t>
  </si>
  <si>
    <t>0.027346523341570936</t>
  </si>
  <si>
    <t>[1655795, 1667444, 1667449, 1655368, 1667461, 1667468, 1667472]</t>
  </si>
  <si>
    <t>[0.031, 0.055, 0.054, 0.054, 0.038, 0.002, 0.073]</t>
  </si>
  <si>
    <t>249.48179855050617</t>
  </si>
  <si>
    <t>[0.026, -0.054]</t>
  </si>
  <si>
    <t>LINESTRING (7.505326546493829 61.064729878369924, 7.505381193287358 61.06466438219381, 7.505533126103369 61.064612430966925)</t>
  </si>
  <si>
    <t>[1026209, 1026217]</t>
  </si>
  <si>
    <t>[981030, 981042]</t>
  </si>
  <si>
    <t>[981021, 981030]</t>
  </si>
  <si>
    <t>[0.026, 0.054]</t>
  </si>
  <si>
    <t>17.941633964314853</t>
  </si>
  <si>
    <t>0.113</t>
  </si>
  <si>
    <t>7.907591289359934</t>
  </si>
  <si>
    <t>[0.023, 0.03, 0.036, 0.073, 0.027, 0.054, 0.069]</t>
  </si>
  <si>
    <t>LINESTRING (7.509321694566586 61.06324974324108, 7.507877893188798 61.06382238237511, 7.5078298418680385 61.06383584642511, 7.506975914950332 61.06408593514182, 7.506961838407799 61.064091210747065, 7.506619118496373 61.06422826715935, 7.50579104947258 61.06457772980618, 7.505679149244933 61.0646088529453)</t>
  </si>
  <si>
    <t>[1881203, 1881204, 1881205, 1881206, 1881214, 1881217, 1881229]</t>
  </si>
  <si>
    <t>[1655407, 1655796, 1655797, 1655798, 1655806, 1655810, 981050]</t>
  </si>
  <si>
    <t>0.03516522309020948</t>
  </si>
  <si>
    <t>[1655795, 1655407, 1655796, 1655797, 1655798, 1655806, 1655810]</t>
  </si>
  <si>
    <t>249.62574008167388</t>
  </si>
  <si>
    <t>[-0.06, -0.104, -0.12, -0.11]</t>
  </si>
  <si>
    <t>LINESTRING (7.210656596161627 60.89820606223345, 7.210606594513956 60.898230046199465, 7.210399426845955 60.89826330236194, 7.210216187771889 60.89823806180924, 7.210152691179308 60.89820986003084)</t>
  </si>
  <si>
    <t>[1026249, 1026257, 1026265, 1026273]</t>
  </si>
  <si>
    <t>[981073, 981079, 981086, 981094]</t>
  </si>
  <si>
    <t>[981072, 981073, 981079, 981086]</t>
  </si>
  <si>
    <t>[0.06, 0.104, 0.12, 0.11]</t>
  </si>
  <si>
    <t>30.91828410556764</t>
  </si>
  <si>
    <t>[0.066, 0.001]</t>
  </si>
  <si>
    <t>LINESTRING (7.210689760647291 60.89802794520139, 7.2107295337196025 60.89811660392618, 7.210656596161627 60.89820606223345)</t>
  </si>
  <si>
    <t>[1026329, 1026337]</t>
  </si>
  <si>
    <t>[981145, 981072]</t>
  </si>
  <si>
    <t>0.03254330001422054</t>
  </si>
  <si>
    <t>[981136, 981145]</t>
  </si>
  <si>
    <t>20.87485516619513</t>
  </si>
  <si>
    <t>[-0.054, 0.012]</t>
  </si>
  <si>
    <t>LINESTRING (7.210152691179308 60.89820986003084, 7.210070335696723 60.89810846320815, 7.2101220860333814 60.898018781937644)</t>
  </si>
  <si>
    <t>[1026281, 1026289]</t>
  </si>
  <si>
    <t>[981101, 981107]</t>
  </si>
  <si>
    <t>[981094, 981101]</t>
  </si>
  <si>
    <t>[0.054, 0.012]</t>
  </si>
  <si>
    <t>22.77535431197597</t>
  </si>
  <si>
    <t>[2.412, -0.963]</t>
  </si>
  <si>
    <t>LINESTRING (7.210152691179308 60.89820986003084, 7.209962082583725 60.898178424764616, 7.209450337892191 60.898100129929944)</t>
  </si>
  <si>
    <t>[1898579, 1898587]</t>
  </si>
  <si>
    <t>[1667508, 1655832]</t>
  </si>
  <si>
    <t>[981094, 1667508]</t>
  </si>
  <si>
    <t>[2.412, 0.963]</t>
  </si>
  <si>
    <t>40.613866203766264</t>
  </si>
  <si>
    <t>[0.056, 0.081, 0.099, 0.095]</t>
  </si>
  <si>
    <t>LINESTRING (7.2101220860333814 60.898018781937644, 7.210218518472212 60.89797072371426, 7.210448028603151 60.89794483179737, 7.21063287085061 60.89798912118771, 7.210689760647291 60.89802794520139)</t>
  </si>
  <si>
    <t>[1026297, 1026305, 1026313, 1026321]</t>
  </si>
  <si>
    <t>[981113, 981121, 981129, 981136]</t>
  </si>
  <si>
    <t>0.08339041542473802</t>
  </si>
  <si>
    <t>[981107, 981113, 981121, 981129]</t>
  </si>
  <si>
    <t>37.075686169558054</t>
  </si>
  <si>
    <t>[-0.093, -0.032]</t>
  </si>
  <si>
    <t>LINESTRING (7.2101220860333814 60.898018781937644, 7.209989447974697 60.89803188179441, 7.209450337892191 60.898100129929944)</t>
  </si>
  <si>
    <t>[1881235, 1881236]</t>
  </si>
  <si>
    <t>[1655831, 1655832]</t>
  </si>
  <si>
    <t>[981107, 1655831]</t>
  </si>
  <si>
    <t>[0.093, 0.032]</t>
  </si>
  <si>
    <t>38.0061827668674</t>
  </si>
  <si>
    <t>[0.518, 0.152, 0.138, 0.079, 0.143, 0.014]</t>
  </si>
  <si>
    <t>LINESTRING (5.509429626200632 61.05446964472605, 5.508817816452816 61.05454607809365, 5.508693336421236 61.05452886594949, 5.507110314247446 61.05437099654938, 5.507097067488383 61.05436975846949, 5.505839660948678 61.05426893132553, 5.5053582259371945 61.054355502388496)</t>
  </si>
  <si>
    <t>[1482666, 1482676, 1482684, 1482685, 1482699, 1482715]</t>
  </si>
  <si>
    <t>[1342862, 1342869, 1342875, 1342876, 1342887, 1342897]</t>
  </si>
  <si>
    <t>0.1860223601735265</t>
  </si>
  <si>
    <t>[981280, 1342862, 1342869, 1342875, 1342876, 1342887]</t>
  </si>
  <si>
    <t>229.7320814312431</t>
  </si>
  <si>
    <t>[0.546, 0.001, 0.086, 0.126, 0.133, 0.141, 0.194]</t>
  </si>
  <si>
    <t>LINESTRING (5.509429626200632 61.05446964472605, 5.509258018118659 61.0546668896527, 5.5088938642299565 61.05476858257633, 5.50876360611209 61.0547651333872, 5.5071508756923215 61.05461205910506, 5.506126036175133 61.05451994389295, 5.5058838870279425 61.05450320004129, 5.5053582259371945 61.054355502388496)</t>
  </si>
  <si>
    <t>[1482727, 1482734, 1482742, 1482750, 1482766, 1482774, 1482782]</t>
  </si>
  <si>
    <t>[1342903, 1342910, 1342916, 1342923, 1342934, 1342942, 1342897]</t>
  </si>
  <si>
    <t>0.17032917396897626</t>
  </si>
  <si>
    <t>[981280, 1342903, 1342910, 1342916, 1342923, 1342934, 1342942]</t>
  </si>
  <si>
    <t>251.32050085394917</t>
  </si>
  <si>
    <t>[0.037, -0.049, -0.042, 0.077, 0.074, -0.028, -0.454, -0.464, -0.376, -0.425, -0.349, -0.353, -0.03, 0.068, -0.035, -0.225, -0.132, 0.001, -0.002, 0.0, -0.02, 0.029, -0.032, 0.002, -0.015, 0.067, 0.005, -0.119, 0.02, 0.055, 0.016, -0.139, -0.127, -0.077, -0.09]</t>
  </si>
  <si>
    <t>[0, 0, 0, 0, 0, 0, 0, 0, 0, 0, 0, 1, 0, 0, 0, 0, 0, 0, 0, 0, 0, 0, 0, 0, 0, 0, 0, 0, 0, 0, 0, 0, 0, 0, 0]</t>
  </si>
  <si>
    <t>LINESTRING (5.487668040374084 60.97516832738533, 5.486655634989298 60.97775049781744, 5.486706170078926 60.9795943930921, 5.486450809017807 60.980110445697186, 5.486162646302527 60.98039973058655, 5.484912046626386 60.98179565114462, 5.484764613680137 60.982328713974255, 5.484893016745624 60.9830682363042, 5.484969184995232 60.983227165258974, 5.4849999462101735 60.98328150693678, 5.48504577821692 60.98335624105663, 5.485114030286772 60.98346452623285, 5.485302221286555 60.983708292881786, 5.485577417516106 60.98401585034759, 5.486416558091584 60.98485562139359, 5.486711647875965 60.987345610682894, 5.486660842178571 60.98743606644199, 5.486409881941211 60.98822325858335, 5.485303774578857 61.0055559323856, 5.493454480223291 61.019957095665475, 5.493449380105938 61.0206297932238, 5.4932053239291765 61.021546304101726, 5.49287581529342 61.0259564411438, 5.49010164251168 61.028439939036865, 5.490069419928405 61.02846958454554, 5.487768732674602 61.0303831608727, 5.4886534716610695 61.03283236513334, 5.4839416542973165 61.045328709445904, 5.4828459167700485 61.046550091634025, 5.493626043568586 61.0530852252941, 5.500311079304889 61.05352041625474, 5.5036644678366216 61.053701784122254, 5.505732097667151 61.05408661579707, 5.506360584645932 61.05415463485264, 5.509365215414864 61.0544019561383, 5.509429626200632 61.05446964472605)</t>
  </si>
  <si>
    <t>[1889470, 1889477, 1889504, 1889513, 1889521, 1889522, 1889545, 1889546, 1889567, 1889568, 1889575, 1889605, 1889618, 1889622, 1889634, 1889642, 1889649, 1889650, 1026345, 1026353, 1026361, 1026369, 1026377, 1026385, 1026393, 1026401, 1026409, 1026417, 1026425, 1026433, 1026441, 1026449, 1026457, 1026465, 1026473]</t>
  </si>
  <si>
    <t>[0, 0, 0, 0, 0, 0, 0, 0, 0, 0, 0, 0, 0, 0, 0, 0, 0, 0, 0, 0, 0, 0, 0, 0, 0, 0, 1, 0, 0, 0, 0, 0, 0, 0, 0]</t>
  </si>
  <si>
    <t>[1661338, 250049, 250081, 1661364, 1661369, 1661370, 1661384, 364067, 1661396, 364051, 1661403, 1661425, 1661435, 1156114, 1661444, 1661449, 250134, 981161, 981162, 981169, 981177, 981186, 981195, 981201, 981208, 981216, 981222, 981229, 981237, 981241, 981248, 981256, 981265, 981273, 981280]</t>
  </si>
  <si>
    <t>[1661337, 1661338, 250049, 250081, 1661364, 1661369, 1661370, 1661384, 364067, 1661396, 364051, 1661403, 1661425, 1661435, 1156114, 1661444, 1661449, 250134, 981161, 981162, 981169, 981177, 981186, 981195, 981201, 981208, 981216, 981222, 981229, 981237, 981241, 981248, 981256, 981265, 981273]</t>
  </si>
  <si>
    <t>[0.037, 0.049, 0.042, 0.077, 0.074, 0.028, 0.454, 0.464, 0.376, 0.425, 0.349, 0.353, 0.03, 0.068, 0.035, 0.225, 0.132, 0.001, 0.002, 0.0, 0.02, 0.029, 0.032, 0.002, 0.015, 0.067, 0.005, 0.119, 0.02, 0.055, 0.016, 0.139, 0.127, 0.077, 0.09]</t>
  </si>
  <si>
    <t>10283.280768196752</t>
  </si>
  <si>
    <t>[0.009, 0.106, -1.034, 0.031, -0.005, -0.011, -0.02, -0.023, -0.018, 0.003, 0.015, -0.024, -0.065, -0.081, -0.074, -0.074, -0.071, 0.003, -0.006, 0.015, -0.003, -0.001, 0.027, 0.006, -0.013, -0.014, -0.007, -0.006, -0.018, -0.017, -0.015, -0.014, -0.012, -0.002, -0.014, -0.003, -0.006, -0.018, -0.005, -0.004, -0.015, 0.005, 0.005, 0.009, 0.032, 0.018, 0.005, 0.001, 0.0, 0.001, 0.004, -0.002, -0.006, 0.014, 0.01, 0.009, 0.017, 0.025, 0.019, 0.037, 0.044, 0.053, 0.05, 0.056, 0.045, 0.026, 0.023, -0.019, -0.009, -0.007, -0.015, 0.0, 0.002, 0.015, 0.02, 0.01, -0.002, -0.005, -0.029, 0.011, 0.016, 0.028, 0.02, -0.023, -0.024, -0.026, -0.03, 0.002, 0.019, 0.001, -0.02, -0.041, -0.076, -0.012, 0.007, 0.005, 0.005, -0.001, 0.008, 0.004, 0.025, 0.033, 0.009, -0.037, -0.017, -0.016, -0.029, -0.021, -0.004, 0.004, -0.008, -0.008, 0.01, 0.015, 0.001, 0.001, -0.018, -0.021, -0.026, -0.015, -0.002, 0.026, 0.023, 0.056, -0.004, -0.004, -0.017, -0.025, -0.019, -0.022, -0.04, -0.041, 0.092, 1.863, -0.011, -0.002, -0.004, -0.012, -0.004]</t>
  </si>
  <si>
    <t>9510.0</t>
  </si>
  <si>
    <t>[0, 0, 0, 0, 0, 0, 0, 0, 0, 0, 0, 0, 0, 0, 0, 1, 0, 0, 0, 0, 0, 0, 0, 0, 0, 0, 0, 0, 0, 0, 0, 0, 0, 0, 0, 0, 0, 0, 0, 0, 0, 0, 0, 0, 0, 0, 0, 0, 0, 0, 0, 0, 0, 0, 0, 0, 0, 0, 0, 1, 0, 0, 0, 0, 0, 0, 0, 0, 0, 0, 0, 0, 0, 0, 0, 0, 0, 0, 0, 0, 0, 0, 0, 0, 0, 0, 0, 0, 0, 0, 0, 0, 0, 0, 0, 0, 0, 0, 0, 0, 0, 0, 0, 0, 0, 0, 0, 0, 0, 0, 0, 0, 0, 0, 0, 0, 0, 0, 0, 0, 0, 0, 0, 0, 0, 0, 0, 0, 0, 0, 0, 0, 0, 0, 0, 0, 0, 0, 0]</t>
  </si>
  <si>
    <t>LINESTRING (10.250289796381109 63.08829567161575, 10.250290106425743 63.088572715991404, 10.249724953401563 63.090126321455564, 10.24958121533512 63.09032129256731, 10.2465823796085 63.09227221792339, 10.245076556392164 63.0927357656177, 10.242054322370759 63.093733365129964, 10.24183253786748 63.09381455426079, 10.241723521236263 63.09385332765814, 10.241648901204906 63.0938827535835, 10.235993950493432 63.10639798293785, 10.235330882224572 63.107706334533276, 10.234732608079964 63.10847394346889, 10.234696984904744 63.10853285680252, 10.234642115297198 63.10860534981956, 10.23448596257152 63.10883759317005, 10.234366887225084 63.10907910728687, 10.234246874186836 63.10943433128688, 10.238555121142781 63.11285553088749, 10.245070405204045 63.12196359359121, 10.244594089017948 63.122927747288145, 10.243995740583133 63.123599820433434, 10.243179172251025 63.12559275291827, 10.243203850117133 63.12566362330441, 10.245415241672607 63.12928762640514, 10.249157924337188 63.13286868634827, 10.25009121196117 63.13361661863937, 10.252467788469913 63.13553636757109, 10.253084440029472 63.136226813832906, 10.253134273751604 63.136297067908664, 10.253173660670335 63.13634785182665, 10.254703637525125 63.13845141787747, 10.257193157285046 63.140119451011294, 10.261168278229535 63.14275174989953, 10.26282854489469 63.1438604054178, 10.264296423361845 63.14483376814741, 10.267477701650263 63.14684510305399, 10.270689332528482 63.148522585550474, 10.271165034482268 63.14876329715032, 10.272328116281704 63.14928182569882, 10.273425308649053 63.14965621406034, 10.273586260627456 63.149705650830754, 10.274521326782171 63.14996456172783, 10.276142981069848 63.15038081904783, 10.276884866817628 63.15057289128891, 10.277476241447324 63.15072660447385, 10.28121185403683 63.1517324104477, 10.282939106882257 63.15204263737274, 10.284549593310787 63.152105241653324, 10.284630539517646 63.15210883508091, 10.285523886235525 63.15215475267798, 10.285635748111421 63.15216144269634, 10.287046907475263 63.152351823802746, 10.287540874842202 63.152443860044166, 10.288901526616606 63.15279337496336, 10.290176252216483 63.153297830680174, 10.290336032858855 63.15336699308903, 10.291588990585701 63.15391868942394, 10.291689026210882 63.153976664769566, 10.291953706109933 63.15420585378286, 10.29215590245759 63.15449135820333, 10.293234976915459 63.1558308728038, 10.293292113186554 63.15589515577083, 10.293434012037698 63.156041222515015, 10.293535606931764 63.15614426743046, 10.293759146166918 63.15637471165306, 10.29380852134157 63.156425813524365, 10.294257444522165 63.156895988601015, 10.294838197286923 63.15750680241479, 10.296089208854896 63.15881840010987, 10.297024121467688 63.15963787972512, 10.29711191399687 63.159697449592166, 10.298798456646562 63.160539555980485, 10.300121606156788 63.16116091426105, 10.303025551066916 63.162517742784964, 10.303612978297995 63.162796209150606, 10.304170905877044 63.16305804753037, 10.304282353356896 63.163111003876374, 10.304389668376025 63.16315975837076, 10.304403376941938 63.163166246873985, 10.305329542219543 63.16360503203529, 10.30549216132205 63.163683747646395, 10.309351710932479 63.165477458962926, 10.312020042917052 63.166779673398715, 10.312240347139918 63.1669874753668, 10.312774574627653 63.16754651766967, 10.31356867090245 63.16851613347453, 10.314368306343432 63.16978012978565, 10.316153515617561 63.173074408159415, 10.316647674296306 63.174094575806826, 10.31672522157036 63.17484534652585, 10.316797690063135 63.176513224425044, 10.316799898953205 63.17710233188561, 10.316672671365886 63.17836594724478, 10.31567171058692 63.18210225312332, 10.315019169534697 63.183121784242495, 10.314710830012501 63.18362446162295, 10.313986811736095 63.18476666529713, 10.312682259351483 63.18620827957437, 10.311124077594256 63.18782585419202, 10.310206251747998 63.18878382799142, 10.308499029264395 63.19055742556596, 10.307584321423905 63.191515939333186, 10.307185190568719 63.19193454805751, 10.30565340893818 63.193539398375144, 10.30445317549803 63.194769359767896, 10.302417682306713 63.19688360568565, 10.302365107638192 63.19695028320879, 10.30201497320057 63.19742836458709, 10.301913317145049 63.19765408528889, 10.301905128322579 63.197669551813455, 10.30182144703601 63.19783010202764, 10.301707358721744 63.198083657887864, 10.301523114247697 63.199377043803395, 10.301537213638412 63.199512028105154, 10.301576146283411 63.20019623704246, 10.301728133034375 63.20292051070572, 10.301729411245681 63.202998702183905, 10.301037801822764 63.2066316220565, 10.300436263336596 63.207620902167186, 10.300867587416038 63.20833506859211, 10.306125387586938 63.21324642543105, 10.306324756610664 63.21343012729577, 10.307033604426517 63.215090288781845, 10.306562243158652 63.217203512355916, 10.301237852501192 63.22003260559526, 10.29278491526961 63.22203091274484, 10.290399657670411 63.22355553030965, 10.290184628607316 63.2237302084569, 10.290119098677424 63.22378390804009, 10.28942945329915 63.2243511215884, 10.289126540698513 63.224594107089324, 10.289047242809382 63.224660326358006, 10.288770505872241 63.22488945830552, 10.288738143456364 63.22491345689966, 10.288552600659296 63.22506392208687, 10.288378580799236 63.225198608978, 10.288326923328425 63.22523712938024, 10.288015111282816 63.22545340484013, 10.28575463469275 63.226882086886036)</t>
  </si>
  <si>
    <t>[1291269, 1291277, 1291165, 598295, 598303, 598311, 598319, 598327, 598336, 598344, 598352, 598360, 598368, 598376, 598384, 598392, 598400, 598408, 598416, 598424, 598432, 598440, 598448, 598456, 598464, 598472, 598480, 598488, 598496, 598504, 598512, 598520, 570396, 570399, 570400, 570427, 570428, 570435, 570443, 570444, 570454, 570455, 570462, 570470, 570478, 570489, 570521, 570546, 570554, 570558, 570575, 570576, 570583, 570591, 570599, 570620, 570622, 570623, 570624, 570628, 570654, 570661, 570675, 570676, 570683, 570691, 570692, 570699, 570714, 570722, 570739, 570746, 570747, 570748, 570761, 570762, 570764, 570765, 570770, 570778, 570787, 570788, 570796, 570797, 570798, 570805, 570812, 570820, 570821, 570836, 570837, 570852, 570860, 570861, 570866, 570867, 570874, 570882, 570883, 570890, 570900, 570906, 570907, 570925, 570933, 570934, 570938, 570939, 570941, 570942, 570943, 570951, 570968, 570973, 570981, 570982, 570983, 570995, 571003, 571013, 571028, 571029, 571037, 598528, 598536, 598544, 598552, 598560, 598568, 598576, 598584, 598592, 676471, 1784782, 1784790, 1027438, 1027446, 1027454, 1027462]</t>
  </si>
  <si>
    <t>[1204486, 1204405, 601419, 601420, 601427, 601434, 375405, 601447, 375397, 601462, 601469, 601477, 541690, 601486, 601492, 601498, 601505, 601512, 601517, 601524, 601531, 601539, 37876, 18834, 601554, 601558, 601564, 375464, 601577, 375437, 14434, 25712, 44037, 35198, 578491, 19438, 35078, 22439, 578526, 562049, 31624, 578534, 562165, 31464, 578552, 578560, 578595, 578612, 35608, 578623, 578640, 5009, 578645, 562450, 578661, 4450, 578680, 578681, 578682, 578686, 27488, 578717, 31194, 578730, 578735, 31273, 578744, 27077, 13865, 11483, 578773, 25438, 27390, 27414, 26968, 35014, 14805, 578789, 578794, 578803, 578806, 26146, 29545, 37470, 35357, 29459, 33462, 9820, 537840, 17839, 41044, 20444, 42408, 36628, 578847, 29853, 37773, 578853, 40239, 34076, 4052, 578865, 37246, 16752, 34711, 578881, 578884, 578885, 578887, 578888, 578889, 578895, 34994, 578903, 578910, 578911, 39226, 20008, 40097, 266, 30143, 564711, 29465, 28182, 19955, 36284, 601625, 601633, 601640, 601648, 601655, 601662, 666397, 982054, 982119, 982120, 982127, 982133, 981995]</t>
  </si>
  <si>
    <t>[1204452, 1204486, 1204405, 601419, 601420, 601427, 601434, 375405, 601447, 375397, 601462, 601469, 601477, 541690, 601486, 601492, 601498, 601505, 601512, 601517, 601524, 601531, 601539, 37876, 18834, 601554, 601558, 601564, 375464, 601577, 375437, 14434, 25712, 44037, 35198, 578491, 19438, 35078, 22439, 578526, 562049, 31624, 578534, 562165, 31464, 578552, 578560, 578595, 578612, 35608, 578623, 578640, 5009, 578645, 562450, 578661, 4450, 578680, 578681, 578682, 578686, 27488, 578717, 31194, 578730, 578735, 31273, 578744, 27077, 13865, 11483, 578773, 25438, 27390, 27414, 26968, 35014, 14805, 578789, 578794, 578803, 578806, 26146, 29545, 37470, 35357, 29459, 33462, 9820, 537840, 17839, 41044, 20444, 42408, 36628, 578847, 29853, 37773, 578853, 40239, 34076, 4052, 578865, 37246, 16752, 34711, 578881, 578884, 578885, 578887, 578888, 578889, 578895, 34994, 578903, 578910, 578911, 39226, 20008, 40097, 266, 30143, 564711, 29465, 28182, 19955, 36284, 601625, 601633, 601640, 601648, 601655, 601662, 666397, 982054, 982119, 982120, 982127, 982133]</t>
  </si>
  <si>
    <t>[0.009, 0.106, 1.034, 0.031, 0.005, 0.011, 0.02, 0.023, 0.018, 0.003, 0.015, 0.024, 0.065, 0.081, 0.074, 0.074, 0.071, 0.003, 0.006, 0.015, 0.003, 0.001, 0.027, 0.006, 0.013, 0.014, 0.007, 0.006, 0.018, 0.017, 0.015, 0.014, 0.012, 0.002, 0.014, 0.003, 0.006, 0.018, 0.005, 0.004, 0.015, 0.005, 0.005, 0.009, 0.032, 0.018, 0.005, 0.001, 0.0, 0.001, 0.004, 0.002, 0.006, 0.014, 0.01, 0.009, 0.017, 0.025, 0.019, 0.037, 0.044, 0.053, 0.05, 0.056, 0.045, 0.026, 0.023, 0.019, 0.009, 0.007, 0.015, 0.0, 0.002, 0.015, 0.02, 0.01, 0.002, 0.005, 0.029, 0.011, 0.016, 0.028, 0.02, 0.023, 0.024, 0.026, 0.03, 0.002, 0.019, 0.001, 0.02, 0.041, 0.076, 0.012, 0.007, 0.005, 0.005, 0.001, 0.008, 0.004, 0.025, 0.033, 0.009, 0.037, 0.017, 0.016, 0.029, 0.021, 0.004, 0.004, 0.008, 0.008, 0.01, 0.015, 0.001, 0.001, 0.018, 0.021, 0.026, 0.015, 0.002, 0.026, 0.023, 0.056, 0.004, 0.004, 0.017, 0.025, 0.019, 0.022, 0.04, 0.041, 0.092, 1.863, 0.011, 0.002, 0.004, 0.012, 0.004]</t>
  </si>
  <si>
    <t>18121.82261444985</t>
  </si>
  <si>
    <t>[0.007, -0.013, -0.057]</t>
  </si>
  <si>
    <t>14378.0</t>
  </si>
  <si>
    <t>LINESTRING (5.847615695249444 61.450740740484626, 5.8477517227412426 61.45066651122566, 5.848299234106605 61.45039703537515, 5.848908322696601 61.45018181268266)</t>
  </si>
  <si>
    <t>[1027457, 1027465, 1027473]</t>
  </si>
  <si>
    <t>[982137, 982144, 982150]</t>
  </si>
  <si>
    <t>[982136, 982137, 982144]</t>
  </si>
  <si>
    <t>[0.007, 0.013, 0.057]</t>
  </si>
  <si>
    <t>93.61745747514124</t>
  </si>
  <si>
    <t>[0.0, 0.051, 0.068, -0.072]</t>
  </si>
  <si>
    <t>LINESTRING (5.845272852826223 61.45185629510409, 5.845272852826223 61.45185629510409, 5.845778041298591 61.45165682628984, 5.846495154796039 61.45134286813963, 5.847615695249444 61.450740740484626)</t>
  </si>
  <si>
    <t>[1881249, 1881257, 1881265, 1881273]</t>
  </si>
  <si>
    <t>[1655846, 1655447, 1655855, 982136]</t>
  </si>
  <si>
    <t>[1655845, 1655846, 1655447, 1655855]</t>
  </si>
  <si>
    <t>[0.0, 0.051, 0.068, 0.072]</t>
  </si>
  <si>
    <t>187.6717654917439</t>
  </si>
  <si>
    <t>[-0.093, 0.0, 0.0, -0.027, -0.001, -0.002]</t>
  </si>
  <si>
    <t>LINESTRING (5.845272852826223 61.45185629510409, 5.845191396916457 61.4518172446558, 5.8456033148070015 61.4516441563066, 5.845693495809883 61.451604783534926, 5.845761640816728 61.45157758697852, 5.846412853036839 61.45129428668905, 5.847615695249444 61.450740740484626)</t>
  </si>
  <si>
    <t>[1898595, 1898603, 1898611, 1898619, 1898627, 1898635]</t>
  </si>
  <si>
    <t>[1667517, 1655448, 1667528, 1667535, 1667542, 982136]</t>
  </si>
  <si>
    <t>[1655845, 1667517, 1655448, 1667528, 1667535, 1667542]</t>
  </si>
  <si>
    <t>[0.093, 0.0, 0.0, 0.027, 0.001, 0.002]</t>
  </si>
  <si>
    <t>186.33725369657998</t>
  </si>
  <si>
    <t>[0.824, -6.902]</t>
  </si>
  <si>
    <t>LINESTRING (5.848908322696601 61.45018181268266, 5.8494947322991075 61.450153816486974, 5.849578838386263 61.450155534887806)</t>
  </si>
  <si>
    <t>[1881287, 1881295]</t>
  </si>
  <si>
    <t>[1655871, 982932]</t>
  </si>
  <si>
    <t>[982150, 1655871]</t>
  </si>
  <si>
    <t>[0.824, 6.902]</t>
  </si>
  <si>
    <t>36.751836300713926</t>
  </si>
  <si>
    <t>[-0.093, -0.118]</t>
  </si>
  <si>
    <t>LINESTRING (5.848908322696601 61.45018181268266, 5.849442339593976 61.450050117861345, 5.84959817424956 61.45002431130057)</t>
  </si>
  <si>
    <t>[1898643, 1898651]</t>
  </si>
  <si>
    <t>[1667550, 982902]</t>
  </si>
  <si>
    <t>[982150, 1667550]</t>
  </si>
  <si>
    <t>[0.093, 0.118]</t>
  </si>
  <si>
    <t>41.253846438062595</t>
  </si>
  <si>
    <t>[0.02, 0.018, 0.018, 0.018]</t>
  </si>
  <si>
    <t>LINESTRING (10.94330438065692 63.46808489685263, 10.94344524195155 63.46811536507929, 10.94513115631955 63.46827125951832, 10.945628145174869 63.46829431002865, 10.946110352255367 63.468321703308895)</t>
  </si>
  <si>
    <t>[1027626, 1027634, 1027642, 1027650]</t>
  </si>
  <si>
    <t>[982248, 982254, 982259, 982265]</t>
  </si>
  <si>
    <t>0.018108959557874112</t>
  </si>
  <si>
    <t>[982247, 982248, 982254, 982259]</t>
  </si>
  <si>
    <t>143.21197525252518</t>
  </si>
  <si>
    <t>LINESTRING (10.94330438065692 63.46808489685263, 10.943326355328931 63.46815606924141, 10.943269205383986 63.46823455041881)</t>
  </si>
  <si>
    <t>[1027954, 1027962]</t>
  </si>
  <si>
    <t>[982495, 982276]</t>
  </si>
  <si>
    <t>0.005119118011107972</t>
  </si>
  <si>
    <t>[982247, 982495]</t>
  </si>
  <si>
    <t>17.21113341451113</t>
  </si>
  <si>
    <t>[0.015, 0.017, 0.009, 0.013]</t>
  </si>
  <si>
    <t>LINESTRING (10.942593205937266 63.46807022028911, 10.942861235662406 63.46797469748784, 10.94302077221369 63.46797479467393, 10.943183186634736 63.46800871522552, 10.94330438065692 63.46808489685263)</t>
  </si>
  <si>
    <t>[1027922, 1027930, 1027938, 1027946]</t>
  </si>
  <si>
    <t>[982410, 982476, 982386, 982247]</t>
  </si>
  <si>
    <t>0.013694837414760571</t>
  </si>
  <si>
    <t>[982379, 982410, 982476, 982386]</t>
  </si>
  <si>
    <t>44.87179390823147</t>
  </si>
  <si>
    <t>LINESTRING (10.946110352255367 63.468321703308895, 11.143735040789572 63.464208826745086)</t>
  </si>
  <si>
    <t>[0.018, 0.018, 0.018, 0.017]</t>
  </si>
  <si>
    <t>LINESTRING (10.943269205383986 63.46823455041881, 10.943398910613718 63.46823700028508, 10.945124227894073 63.46831898820222, 10.945624490247056 63.468339507011706, 10.946110352255367 63.468321703308895)</t>
  </si>
  <si>
    <t>[1027666, 1027674, 1027682, 1027690]</t>
  </si>
  <si>
    <t>[982277, 982282, 982289, 982265]</t>
  </si>
  <si>
    <t>0.017828256699630694</t>
  </si>
  <si>
    <t>[982276, 982277, 982282, 982289]</t>
  </si>
  <si>
    <t>142.64971035879964</t>
  </si>
  <si>
    <t>[-0.005, -0.012, -0.017, -0.017]</t>
  </si>
  <si>
    <t>LINESTRING (10.943269205383986 63.46823455041881, 10.943189443696486 63.46827609527896, 10.94304882679375 63.46830919860219, 10.942885287850189 63.46831435386183, 10.94257894300132 63.468201196600056)</t>
  </si>
  <si>
    <t>[1027970, 1027978, 1027986, 1027994]</t>
  </si>
  <si>
    <t>[982506, 982513, 982519, 982335]</t>
  </si>
  <si>
    <t>[982276, 982506, 982513, 982519]</t>
  </si>
  <si>
    <t>[0.005, 0.012, 0.017, 0.017]</t>
  </si>
  <si>
    <t>42.76897867637595</t>
  </si>
  <si>
    <t>[-0.019, -0.018, -0.019, -0.014, -0.016, -0.017, -0.016, 0.018]</t>
  </si>
  <si>
    <t>LINESTRING (10.937747522509914 63.467732477028086, 10.938185005907698 63.467819144369535, 10.938359145852003 63.46784389416857, 10.94013805418983 63.468084760582364, 10.940232463774548 63.46809746409656, 10.940628348102676 63.46814601834053, 10.940795923199211 63.46815956801878, 10.942447888970953 63.468190267730876, 10.94257894300132 63.468201196600056)</t>
  </si>
  <si>
    <t>[1027698, 1027706, 1027714, 1027722, 1027730, 1027738, 1027746, 1027754]</t>
  </si>
  <si>
    <t>[982298, 982301, 982308, 982314, 982319, 982326, 982330, 982335]</t>
  </si>
  <si>
    <t>[982297, 982298, 982301, 982308, 982314, 982319, 982326, 982330]</t>
  </si>
  <si>
    <t>[0.019, 0.018, 0.019, 0.014, 0.016, 0.017, 0.016, 0.018]</t>
  </si>
  <si>
    <t>249.3729556345673</t>
  </si>
  <si>
    <t>[-0.018, -0.019, -0.015, -0.017, -0.016, -0.016, 0.015]</t>
  </si>
  <si>
    <t>LINESTRING (10.937747522509914 63.467732477028086, 10.938380151012545 63.46780267761597, 10.940185294221392 63.468029575210934, 10.94028044987494 63.46804254257128, 10.940346746255766 63.46805157125831, 10.940662460719357 63.46808591194083, 10.942448591468793 63.46808348932224, 10.942593205937266 63.46807022028911)</t>
  </si>
  <si>
    <t>[1027770, 1027778, 1027786, 1027794, 1027802, 1027810, 1027818]</t>
  </si>
  <si>
    <t>[982344, 982349, 982355, 982363, 982368, 982374, 982379]</t>
  </si>
  <si>
    <t>[982297, 982344, 982349, 982355, 982363, 982368, 982374]</t>
  </si>
  <si>
    <t>[0.018, 0.019, 0.015, 0.017, 0.016, 0.016, 0.015]</t>
  </si>
  <si>
    <t>248.0732297300583</t>
  </si>
  <si>
    <t>[-0.038, 0.011, 0.012, -0.022, 0.006, 0.018, 0.02, -0.021, -0.074, -0.039, -0.003, -0.004, -0.027, 0.015, 0.033, 0.002, -0.005, 0.006, 0.004, 0.046, -0.014, -0.017, -0.023, -0.013, -0.025, 0.019, 0.008, 0.005, -0.013, -0.035, -0.037, -0.005, 0.001, -0.001, -0.007, -0.016, -0.013, 0.013, 0.018, 0.022, 0.013, 0.039, 0.011, 0.002, 0.035, 0.079, 0.133, 0.004, 0.019, -0.026, 0.022, -0.013, 0.028, -0.032, -0.091, 0.025]</t>
  </si>
  <si>
    <t>[0, 0, 0, 0, 0, 0, 0, 0, 0, 0, 0, 0, 0, 0, 0, 0, 0, 0, 0, 0, 0, 0, 0, 0, 0, 0, 0, 0, 0, 0, 0, 1, 0, 1, 0, 0, 0, 0, 0, 0, 0, 0, 0, 0, 0, 0, 0, 0, 0, 0, 0, 0, 0, 0, 0, 0]</t>
  </si>
  <si>
    <t>LINESTRING (6.458264663354238 61.56601487208605, 6.455010872386949 61.56473078664936, 6.453540706555206 61.56405148343169, 6.450694119129761 61.5632875235691, 6.448508703205832 61.56277427941964, 6.444224691946851 61.56219992336751, 6.432382015940418 61.56152922613283, 6.424428990690777 61.56104418094421, 6.419436611418644 61.560984571070726, 6.415798103974493 61.560257039018865, 6.415239180172383 61.560223187555785, 6.41372855999763 61.56029356028448, 6.409304389936832 61.56079847243501, 6.4051324692130445 61.56045666584552, 6.404742662226018 61.56047721113347, 6.402646917279505 61.560780096782246, 6.392839244103001 61.56004212678649, 6.384430390422785 61.55843677252831, 6.383802931613365 61.5583478729827, 6.379617846212033 61.55749526367692, 6.376225134872656 61.557365852258975, 6.363798201165178 61.55524728075058, 6.363294512666907 61.55508077047834, 6.363206373476349 61.55505130615294, 6.363103414234456 61.55501728407587, 6.358889615667226 61.55361844659086, 6.357280122994087 61.55308420599586, 6.356207281084 61.55271903972805, 6.3548499031466354 61.552146279038, 6.353528380532657 61.55137885357656, 6.3531177731089254 61.55108498059614, 6.352919561110148 61.55094055111219, 6.352679328126924 61.5507651376191, 6.35232880647416 61.55050898960666, 6.352175325977505 61.550396844660355, 6.351080678162935 61.54959736720351, 6.350446904759131 61.54913383482229, 6.349993260582249 61.54880288386935, 6.34976538446062 61.54863577754385, 6.347158626007564 61.54673053019928, 6.344489564959817 61.5441521184797, 6.344405500093468 61.54404349217634, 6.344363517887184 61.54399473803767, 6.344329056922641 61.54395089085995, 6.3397322077319584 61.53889361815461, 6.338484336514365 61.53838628222018, 6.336294880651014 61.537856042748956, 6.3355050928239 61.53766589495559, 6.331395128878856 61.535885969529886, 6.329210253595 61.535336688570794, 6.327891824869768 61.534885524672916, 6.324677805182459 61.53330841596424, 6.317596452393949 61.53000076392468, 6.314946949252224 61.52883129044405, 6.309621811074928 61.52668201180913, 6.307896301080196 61.526209836639055, 6.307157270000471 61.52607604358691)</t>
  </si>
  <si>
    <t>[1370183, 1370191, 1370199, 1370111, 1370119, 1370127, 1370135, 1370143, 1370151, 1369327, 1369335, 1369343, 1369351, 1369359, 1369367, 1369375, 1369383, 1369391, 1369911, 1369919, 1369927, 1369935, 1369943, 1369951, 1369959, 1369967, 1369975, 1369983, 1369991, 1369999, 1369735, 1369743, 1369751, 1369759, 1369767, 1369775, 1369783, 1369791, 1369799, 1369807, 1369815, 1369823, 1369831, 1369839, 1369847, 1369855, 1369863, 1369615, 1369623, 1369719, 1369727, 1370207, 1370215, 1370223, 1370231, 1370239]</t>
  </si>
  <si>
    <t>[1263174, 1263512, 1263459, 1263460, 1262989, 1263472, 1263477, 1263484, 1262927, 1262928, 1262929, 1262933, 1262940, 1262946, 1262951, 1262955, 1262959, 1262964, 1263334, 1263338, 1263015, 1263009, 1263347, 1263036, 1263358, 1263364, 1262879, 1170969, 1263381, 1263205, 1263206, 1263209, 1263212, 1263221, 1263225, 1263231, 1263239, 1263248, 1263256, 1263264, 1263003, 1263278, 1262973, 1263288, 1263295, 1263305, 1263132, 1263133, 1263140, 1263200, 1263201, 1263520, 1263525, 1263531, 1263534, 982313]</t>
  </si>
  <si>
    <t>[1263183, 1263174, 1263512, 1263459, 1263460, 1262989, 1263472, 1263477, 1263484, 1262927, 1262928, 1262929, 1262933, 1262940, 1262946, 1262951, 1262955, 1262959, 1262964, 1263334, 1263338, 1263015, 1263009, 1263347, 1263036, 1263358, 1263364, 1262879, 1170969, 1263381, 1263205, 1263206, 1263209, 1263212, 1263221, 1263225, 1263231, 1263239, 1263248, 1263256, 1263264, 1263003, 1263278, 1262973, 1263288, 1263295, 1263305, 1263132, 1263133, 1263140, 1263200, 1263201, 1263520, 1263525, 1263531, 1263534]</t>
  </si>
  <si>
    <t>[0.038, 0.011, 0.012, 0.022, 0.006, 0.018, 0.02, 0.021, 0.074, 0.039, 0.003, 0.004, 0.027, 0.015, 0.033, 0.002, 0.005, 0.006, 0.004, 0.046, 0.014, 0.017, 0.023, 0.013, 0.025, 0.019, 0.008, 0.005, 0.013, 0.035, 0.037, 0.005, 0.001, 0.001, 0.007, 0.016, 0.013, 0.013, 0.018, 0.022, 0.013, 0.039, 0.011, 0.002, 0.035, 0.079, 0.133, 0.004, 0.019, 0.026, 0.022, 0.013, 0.028, 0.032, 0.091, 0.025]</t>
  </si>
  <si>
    <t>9905.162199103459</t>
  </si>
  <si>
    <t>3404.0</t>
  </si>
  <si>
    <t>LINESTRING (6.095512698824922 61.48907653528614, 6.307157270000471 61.52607604358691)</t>
  </si>
  <si>
    <t>14988.793078673878</t>
  </si>
  <si>
    <t>[-0.009, -0.003]</t>
  </si>
  <si>
    <t>LINESTRING (10.94257894300132 63.468201196600056, 10.942556639591167 63.46814240951732, 10.942593205937266 63.46807022028911)</t>
  </si>
  <si>
    <t>[1028002, 1028010]</t>
  </si>
  <si>
    <t>[982533, 982379]</t>
  </si>
  <si>
    <t>[982335, 982533]</t>
  </si>
  <si>
    <t>14.89894342761501</t>
  </si>
  <si>
    <t>1093.0</t>
  </si>
  <si>
    <t>LINESTRING (14.833580828515222 68.42185412208707, 14.697958733149362 68.32904602932473)</t>
  </si>
  <si>
    <t>[-0.034, -0.046, 0.002, 0.035]</t>
  </si>
  <si>
    <t>LINESTRING (6.292119948167081 62.46888615855034, 6.290767816531293 62.46899270970415, 6.28994143107835 62.469053244514456, 6.288517748701003 62.46913906389799, 6.287030733275162 62.469120872119085)</t>
  </si>
  <si>
    <t>[1305677, 1305685, 1305693, 1305701]</t>
  </si>
  <si>
    <t>[1215559, 1215566, 1215573, 982690]</t>
  </si>
  <si>
    <t>[982684, 1215559, 1215566, 1215573]</t>
  </si>
  <si>
    <t>[0.034, 0.046, 0.002, 0.035]</t>
  </si>
  <si>
    <t>265.3672318630369</t>
  </si>
  <si>
    <t>[-0.073, -0.063, -0.025, -0.015]</t>
  </si>
  <si>
    <t>LINESTRING (6.292835756473399 62.4688092531409, 6.292690443990975 62.46882761495083, 6.292316405989388 62.46888097058529, 6.2921438316699385 62.46888552757721, 6.292119948167081 62.46888615855034)</t>
  </si>
  <si>
    <t>[1297180, 1297181, 1028191, 1028199]</t>
  </si>
  <si>
    <t>[1209241, 982705, 982706, 982684]</t>
  </si>
  <si>
    <t>[1209240, 1209241, 982705, 982706]</t>
  </si>
  <si>
    <t>[0.073, 0.063, 0.025, 0.015]</t>
  </si>
  <si>
    <t>38.194240210805425</t>
  </si>
  <si>
    <t>[-0.105, -0.041, -0.041, -0.067]</t>
  </si>
  <si>
    <t>LINESTRING (6.29275094756643 62.46869903921698, 6.292608303506255 62.46874896020054, 6.292282327078624 62.468835047991526, 6.292139691476355 62.468879944996374, 6.292119948167081 62.46888615855034)</t>
  </si>
  <si>
    <t>[2135393, 2135401, 1028158, 1028167]</t>
  </si>
  <si>
    <t>[1835933, 982674, 982675, 982684]</t>
  </si>
  <si>
    <t>[1218699, 1835933, 982674, 982675]</t>
  </si>
  <si>
    <t>[0.105, 0.041, 0.041, 0.067]</t>
  </si>
  <si>
    <t>38.798184957790696</t>
  </si>
  <si>
    <t>[0.045, 0.015, 0.018, -0.024, -0.042, -0.022, -0.048]</t>
  </si>
  <si>
    <t>LINESTRING (6.287030733275162 62.469120872119085, 6.286830928113518 62.469073350733105, 6.286038068391966 62.46900336510154, 6.285747393763203 62.46897406196832, 6.262211110212208 62.46781656726499, 6.261940886259706 62.46783186013385, 6.261178106129126 62.46787737787613, 6.260992180484231 62.46791240135572)</t>
  </si>
  <si>
    <t>[1028175, 2135409, 2135417, 2135425, 2135433, 2135441, 1028207]</t>
  </si>
  <si>
    <t>[982691, 1835942, 1835946, 1835949, 1835952, 982717, 982718]</t>
  </si>
  <si>
    <t>[982690, 982691, 1835942, 1835946, 1835949, 1835952, 982717]</t>
  </si>
  <si>
    <t>[0.045, 0.015, 0.018, 0.024, 0.042, 0.022, 0.048]</t>
  </si>
  <si>
    <t>1376.2929213450573</t>
  </si>
  <si>
    <t>[0.013, 0.026, 0.027, -0.024, -0.045, -0.044, -0.04]</t>
  </si>
  <si>
    <t>LINESTRING (6.287030733275162 62.469120872119085, 6.28681518196433 62.46913629139296, 6.286007685662187 62.469063559573605, 6.285718769747974 62.46902999351868, 6.262224834750058 62.467861052631946, 6.261952234121676 62.467877587225516, 6.261192299618603 62.46792245327403, 6.260992180484231 62.46791240135572)</t>
  </si>
  <si>
    <t>[1028183, 1297215, 1297223, 1297231, 1297245, 1297246, 1028215]</t>
  </si>
  <si>
    <t>[982697, 1209265, 1209270, 1209277, 1209285, 982724, 982718]</t>
  </si>
  <si>
    <t>[982690, 982697, 1209265, 1209270, 1209277, 1209285, 982724]</t>
  </si>
  <si>
    <t>[0.013, 0.026, 0.027, 0.024, 0.045, 0.044, 0.04]</t>
  </si>
  <si>
    <t>1374.6049289519012</t>
  </si>
  <si>
    <t>[-0.046, -0.04, -0.006, 0.005, 0.012, 0.006]</t>
  </si>
  <si>
    <t>LINESTRING (6.260992180484231 62.46791240135572, 6.260647985781317 62.46793148244161, 6.2565181547237705 62.468187992905584, 6.254245734446366 62.468406971629825, 6.249917210023411 62.46908070191185, 6.24659047775904 62.469631765836006, 6.244074796087957 62.47004910334336)</t>
  </si>
  <si>
    <t>[1305709, 1305717, 1305725, 1305733, 1305741, 1305749]</t>
  </si>
  <si>
    <t>[1215587, 1215593, 1215600, 1215605, 1215610, 1215615]</t>
  </si>
  <si>
    <t>[982718, 1215587, 1215593, 1215600, 1215605, 1215610]</t>
  </si>
  <si>
    <t>[0.046, 0.04, 0.006, 0.005, 0.012, 0.006]</t>
  </si>
  <si>
    <t>910.3626097504982</t>
  </si>
  <si>
    <t>[-0.01, -0.009, -0.009, -0.009, -0.01, 0.006, 0.013, -0.002, -0.011, -0.011, 0.002, 0.01, 0.013]</t>
  </si>
  <si>
    <t>LINESTRING (5.992477365761637 61.90677523963829, 5.992393953972325 61.9068303020918, 5.992147511151585 61.90700984076306, 5.9920530555452665 61.907089213701944, 5.991505510704265 61.90762221783553, 5.991440029477106 61.907690484924736, 5.990920480967321 61.90823500649497, 5.990122153770325 61.9089082985112, 5.988625945946683 61.9095993640773, 5.988234586176945 61.90977421806372, 5.987224410230348 61.91022308261048, 5.986039469721596 61.911039793501146, 5.985958564853682 61.91113153799178, 5.985673205671051 61.911677997097485)</t>
  </si>
  <si>
    <t>[1028298, 1028306, 1028314, 1028322, 1028330, 1028338, 1028346, 1028354, 1028362, 1028370, 1028378, 1028386, 1028394]</t>
  </si>
  <si>
    <t>[982779, 982787, 982794, 982803, 982808, 979772, 982821, 982828, 982836, 982842, 982851, 982859, 982868]</t>
  </si>
  <si>
    <t>0.00041819406146267234</t>
  </si>
  <si>
    <t>[982778, 982779, 982787, 982794, 982803, 982808, 979772, 982821, 982828, 982836, 982842, 982851, 982859]</t>
  </si>
  <si>
    <t>[0.01, 0.009, 0.009, 0.009, 0.01, 0.006, 0.013, 0.002, 0.011, 0.011, 0.002, 0.01, 0.013]</t>
  </si>
  <si>
    <t>666.555236939559</t>
  </si>
  <si>
    <t>[-0.003, -0.006, -0.009]</t>
  </si>
  <si>
    <t>LINESTRING (5.993095890739837 61.90637183793473, 5.9930162410254 61.90642714875967, 5.99287871108038 61.90654191780084, 5.992477365761637 61.90677523963829)</t>
  </si>
  <si>
    <t>[1898883, 1898891, 1898899]</t>
  </si>
  <si>
    <t>[1667724, 1667731, 982778]</t>
  </si>
  <si>
    <t>[983026, 1667724, 1667731]</t>
  </si>
  <si>
    <t>[0.003, 0.006, 0.009]</t>
  </si>
  <si>
    <t>55.808278707600664</t>
  </si>
  <si>
    <t>[0.003, -0.001, -0.006]</t>
  </si>
  <si>
    <t>LINESTRING (5.992854984403016 61.906311657648224, 5.992847862158667 61.90637446334151, 5.9927795398770245 61.90651096221917, 5.992477365761637 61.90677523963829)</t>
  </si>
  <si>
    <t>[1881667, 1881683, 1881684]</t>
  </si>
  <si>
    <t>[1656168, 1656180, 982778]</t>
  </si>
  <si>
    <t>[983044, 1656168, 1656180]</t>
  </si>
  <si>
    <t>56.23155446819188</t>
  </si>
  <si>
    <t>LINESTRING (5.985673205671051 61.911677997097485, 5.985518660269755 61.91198941264327, 5.985510187327222 61.91204928224253)</t>
  </si>
  <si>
    <t>[1881699, 1881716]</t>
  </si>
  <si>
    <t>[1656193, 1656205]</t>
  </si>
  <si>
    <t>0.0100890815872966</t>
  </si>
  <si>
    <t>[982868, 1656193]</t>
  </si>
  <si>
    <t>43.08032875421201</t>
  </si>
  <si>
    <t>[0.026, 0.036]</t>
  </si>
  <si>
    <t>LINESTRING (5.985673205671051 61.911677997097485, 5.985725731865389 61.91200455174235, 5.98575009862006 61.91205544290933)</t>
  </si>
  <si>
    <t>[1898906, 1898914]</t>
  </si>
  <si>
    <t>[1667744, 1664980]</t>
  </si>
  <si>
    <t>0.027348723757881527</t>
  </si>
  <si>
    <t>[982868, 1667744]</t>
  </si>
  <si>
    <t>43.21007635847069</t>
  </si>
  <si>
    <t>[0.079, -0.036]</t>
  </si>
  <si>
    <t>LINESTRING (5.849578838386263 61.450155534887806, 5.849534499179432 61.45007858099723, 5.84959817424956 61.45002431130057)</t>
  </si>
  <si>
    <t>[1028498, 1028506]</t>
  </si>
  <si>
    <t>[982936, 982902]</t>
  </si>
  <si>
    <t>0.02861687405796814</t>
  </si>
  <si>
    <t>[982932, 982936]</t>
  </si>
  <si>
    <t>[0.079, 0.036]</t>
  </si>
  <si>
    <t>15.8713891642026</t>
  </si>
  <si>
    <t>26.352932874398373</t>
  </si>
  <si>
    <t>[0.102, 0.08]</t>
  </si>
  <si>
    <t>LINESTRING (5.883246935985967 61.44770356749119, 5.883144835419263 61.447651143672594, 5.8831212815279486 61.44758536138766)</t>
  </si>
  <si>
    <t>[1028570, 1028578]</t>
  </si>
  <si>
    <t>[982989, 982945]</t>
  </si>
  <si>
    <t>0.09139192023517935</t>
  </si>
  <si>
    <t>[982982, 982989]</t>
  </si>
  <si>
    <t>15.462762760490033</t>
  </si>
  <si>
    <t>[-0.039, -0.797]</t>
  </si>
  <si>
    <t>LINESTRING (5.882488876852142 61.447724580479935, 5.883028691666283 61.447611395411556, 5.8831212815279486 61.44758536138766)</t>
  </si>
  <si>
    <t>[1626764, 1626772]</t>
  </si>
  <si>
    <t>[1455226, 982945]</t>
  </si>
  <si>
    <t>[1455225, 1455226]</t>
  </si>
  <si>
    <t>[0.039, 0.797]</t>
  </si>
  <si>
    <t>37.36177509484418</t>
  </si>
  <si>
    <t>[-0.092, -0.088]</t>
  </si>
  <si>
    <t>LINESTRING (5.883485169188237 61.44747805797482, 5.883613206001257 61.447530134280285, 5.883650191950415 61.447595774101806)</t>
  </si>
  <si>
    <t>[1028522, 1028530]</t>
  </si>
  <si>
    <t>[982953, 982959]</t>
  </si>
  <si>
    <t>[982946, 982953]</t>
  </si>
  <si>
    <t>[0.092, 0.088]</t>
  </si>
  <si>
    <t>16.579694925514765</t>
  </si>
  <si>
    <t>[0.571, -0.033]</t>
  </si>
  <si>
    <t>LINESTRING (5.883485169188237 61.44747805797482, 5.883614406140545 61.447462885505324, 5.884103003838848 61.4473536534904)</t>
  </si>
  <si>
    <t>[1626788, 1626796]</t>
  </si>
  <si>
    <t>[1455248, 1455254]</t>
  </si>
  <si>
    <t>0.08654432184108736</t>
  </si>
  <si>
    <t>[982946, 1455248]</t>
  </si>
  <si>
    <t>[0.571, 0.033]</t>
  </si>
  <si>
    <t>35.95388465207784</t>
  </si>
  <si>
    <t>[-0.043, -0.013, 0.04, 0.081]</t>
  </si>
  <si>
    <t>LINESTRING (5.883650191950415 61.447595774101806, 5.883630792735244 61.44764216008899, 5.88353335127031 61.44770032061759, 5.8833782715523535 61.44772180393493, 5.883246935985967 61.44770356749119)</t>
  </si>
  <si>
    <t>[1028538, 1028546, 1028554, 1028562]</t>
  </si>
  <si>
    <t>[982964, 982969, 982975, 982982]</t>
  </si>
  <si>
    <t>0.020371039477432008</t>
  </si>
  <si>
    <t>[982959, 982964, 982969, 982975]</t>
  </si>
  <si>
    <t>[0.043, 0.013, 0.04, 0.081]</t>
  </si>
  <si>
    <t>29.559830900805885</t>
  </si>
  <si>
    <t>[0.714, -0.01]</t>
  </si>
  <si>
    <t>LINESTRING (5.883650191950415 61.447595774101806, 5.883729244262013 61.44754747383666, 5.884103003838848 61.4473536534904)</t>
  </si>
  <si>
    <t>[1626804, 1626812]</t>
  </si>
  <si>
    <t>[1455262, 1455254]</t>
  </si>
  <si>
    <t>0.12663216328896001</t>
  </si>
  <si>
    <t>[982959, 1455262]</t>
  </si>
  <si>
    <t>[0.714, 0.01]</t>
  </si>
  <si>
    <t>36.322000257279456</t>
  </si>
  <si>
    <t>[-0.056, -0.686]</t>
  </si>
  <si>
    <t>LINESTRING (5.882488876852142 61.447724580479935, 5.883100650649048 61.44769954547456, 5.883246935985967 61.44770356749119)</t>
  </si>
  <si>
    <t>[1626820, 1626828]</t>
  </si>
  <si>
    <t>[1455272, 982982]</t>
  </si>
  <si>
    <t>[1455225, 1455272]</t>
  </si>
  <si>
    <t>[0.056, 0.686]</t>
  </si>
  <si>
    <t>40.67075251355171</t>
  </si>
  <si>
    <t>[0.006, 0.002, -0.003, -0.005]</t>
  </si>
  <si>
    <t>LINESTRING (5.993279572263913 61.90621129988909, 5.993303278162105 61.906267099237695, 5.99325961019552 61.90632387910499, 5.993153562570788 61.90636479405552, 5.993095890739837 61.90637183793473)</t>
  </si>
  <si>
    <t>[1028586, 1028594, 1028602, 1028610]</t>
  </si>
  <si>
    <t>[983000, 983011, 983019, 983026]</t>
  </si>
  <si>
    <t>0.0006090544686719472</t>
  </si>
  <si>
    <t>[982999, 983000, 983011, 983019]</t>
  </si>
  <si>
    <t>[0.006, 0.002, 0.003, 0.005]</t>
  </si>
  <si>
    <t>23.460241085412235</t>
  </si>
  <si>
    <t>LINESTRING (5.993023627622982 61.906150128128225, 5.993164882642486 61.90615853972597, 5.993279572263913 61.90621129988909)</t>
  </si>
  <si>
    <t>[1028666, 1028674]</t>
  </si>
  <si>
    <t>[983076, 982999]</t>
  </si>
  <si>
    <t>0.008470525381000526</t>
  </si>
  <si>
    <t>[983068, 983076]</t>
  </si>
  <si>
    <t>15.941045775437797</t>
  </si>
  <si>
    <t>[0.003, 0.002, 0.004]</t>
  </si>
  <si>
    <t>LINESTRING (5.9938444907542205 61.905743616378345, 5.993751078083508 61.90580398586494, 5.993298835213371 61.90614975586707, 5.993279572263913 61.90621129988909)</t>
  </si>
  <si>
    <t>[1898859, 1898867, 1898875]</t>
  </si>
  <si>
    <t>[1667707, 1667712, 982999]</t>
  </si>
  <si>
    <t>0.0023618414266813096</t>
  </si>
  <si>
    <t>[1656119, 1667707, 1667712]</t>
  </si>
  <si>
    <t>61.48176496522902</t>
  </si>
  <si>
    <t>[-0.015, -0.016]</t>
  </si>
  <si>
    <t>LINESTRING (5.993095890739837 61.90637183793473, 5.99295918321059 61.90636101441116, 5.992854984403016 61.906311657648224)</t>
  </si>
  <si>
    <t>[1028618, 1028626]</t>
  </si>
  <si>
    <t>[983035, 983044]</t>
  </si>
  <si>
    <t>[983026, 983035]</t>
  </si>
  <si>
    <t>[0.015, 0.016]</t>
  </si>
  <si>
    <t>15.082842038742738</t>
  </si>
  <si>
    <t>[-0.006, 0.002, 0.01, 0.015]</t>
  </si>
  <si>
    <t>LINESTRING (5.992854984403016 61.906311657648224, 5.992829136523464 61.90625662085408, 5.9928791937554635 61.90619122312047, 5.992973738631889 61.906156781272465, 5.993023627622982 61.906150128128225)</t>
  </si>
  <si>
    <t>[1028634, 1028642, 1028650, 1028658]</t>
  </si>
  <si>
    <t>[983052, 983059, 983064, 983068]</t>
  </si>
  <si>
    <t>0.0035367688892560477</t>
  </si>
  <si>
    <t>[983044, 983052, 983059, 983064]</t>
  </si>
  <si>
    <t>[0.006, 0.002, 0.01, 0.015]</t>
  </si>
  <si>
    <t>23.088367380134123</t>
  </si>
  <si>
    <t>[0.0, 0.001, -0.003]</t>
  </si>
  <si>
    <t>LINESTRING (5.9938444907542205 61.905743616378345, 5.993694259237071 61.905775832799776, 5.993107904544804 61.90610506576723, 5.993023627622982 61.906150128128225)</t>
  </si>
  <si>
    <t>[1881597, 1881622, 1881630]</t>
  </si>
  <si>
    <t>[1656120, 1656137, 983068]</t>
  </si>
  <si>
    <t>0.0004402910028080378</t>
  </si>
  <si>
    <t>[1656119, 1656120, 1656137]</t>
  </si>
  <si>
    <t>[0.0, 0.001, 0.003]</t>
  </si>
  <si>
    <t>63.500924361289066</t>
  </si>
  <si>
    <t>[-0.006, 0.011]</t>
  </si>
  <si>
    <t>LINESTRING (5.999500840371085 61.910362611319925, 5.999528079995892 61.91040886131375, 5.999481669182129 61.91047789119849)</t>
  </si>
  <si>
    <t>[1028714, 1028722]</t>
  </si>
  <si>
    <t>[983118, 983121]</t>
  </si>
  <si>
    <t>0.004223446956511908</t>
  </si>
  <si>
    <t>[983113, 983118]</t>
  </si>
  <si>
    <t>13.45095477073504</t>
  </si>
  <si>
    <t>[-0.029, -0.028, -0.028]</t>
  </si>
  <si>
    <t>LINESTRING (5.999500840371085 61.910362611319925, 5.999607475573608 61.91037031585416, 5.999928587339529 61.91038851874895, 6.0005953367258655 61.91044980513177)</t>
  </si>
  <si>
    <t>[1898962, 1898970, 1898978]</t>
  </si>
  <si>
    <t>[1667772, 1667779, 1656258]</t>
  </si>
  <si>
    <t>[983113, 1667772, 1667779]</t>
  </si>
  <si>
    <t>[0.029, 0.028, 0.028]</t>
  </si>
  <si>
    <t>58.545572615051015</t>
  </si>
  <si>
    <t>[-0.023, -0.023, -0.029, -0.025, -0.016]</t>
  </si>
  <si>
    <t>LINESTRING (5.999099711260992 61.910349086730086, 5.999136732416475 61.910329597062294, 5.999181966842548 61.910314734359666, 5.999287020745193 61.91030177063737, 5.99942913134296 61.9103228860893, 5.999500840371085 61.910362611319925)</t>
  </si>
  <si>
    <t>[1028778, 1028682, 1028690, 1028698, 1028706]</t>
  </si>
  <si>
    <t>[983090, 983091, 983101, 983107, 983113]</t>
  </si>
  <si>
    <t>[983147, 983090, 983091, 983101, 983107]</t>
  </si>
  <si>
    <t>[0.023, 0.023, 0.029, 0.025, 0.016]</t>
  </si>
  <si>
    <t>25.22259457613898</t>
  </si>
  <si>
    <t>[0.022, 0.028, 0.029, 0.017]</t>
  </si>
  <si>
    <t>LINESTRING (5.999481669182129 61.91047789119849, 5.999431687751078 61.91050185107265, 5.999310809958259 61.91052163637428, 5.99918172515743 61.910509604918886, 5.999089341891118 61.9104647387346)</t>
  </si>
  <si>
    <t>[1028730, 1028738, 1028746, 1028754]</t>
  </si>
  <si>
    <t>[983125, 983129, 983134, 983138]</t>
  </si>
  <si>
    <t>0.024213312609806477</t>
  </si>
  <si>
    <t>[983121, 983125, 983129, 983134]</t>
  </si>
  <si>
    <t>24.410535201999107</t>
  </si>
  <si>
    <t>[-0.03, -0.028, -0.029]</t>
  </si>
  <si>
    <t>LINESTRING (5.999481669182129 61.91047789119849, 5.9996152227469155 61.91046196915648, 5.999914146803866 61.91044488514218, 6.0005953367258655 61.91044980513177)</t>
  </si>
  <si>
    <t>[1881765, 1881778, 1881796]</t>
  </si>
  <si>
    <t>[1656241, 1656247, 1656258]</t>
  </si>
  <si>
    <t>[983121, 1656241, 1656247]</t>
  </si>
  <si>
    <t>[0.03, 0.028, 0.029]</t>
  </si>
  <si>
    <t>59.00250335408404</t>
  </si>
  <si>
    <t>[0.003, -0.013]</t>
  </si>
  <si>
    <t>LINESTRING (5.999089341891118 61.9104647387346, 5.999062593105092 61.91040338020174, 5.999099711260992 61.910349086730086)</t>
  </si>
  <si>
    <t>[1028762, 1028770]</t>
  </si>
  <si>
    <t>[983142, 983147]</t>
  </si>
  <si>
    <t>[983138, 983142]</t>
  </si>
  <si>
    <t>[0.003, 0.013]</t>
  </si>
  <si>
    <t>13.369421748003866</t>
  </si>
  <si>
    <t>[0.001, -0.029, -0.028]</t>
  </si>
  <si>
    <t>LINESTRING (5.998166223412777 61.91042008506182, 5.998704489095268 61.91043820241623, 5.998950962777802 61.91045399282261, 5.999089341891118 61.9104647387346)</t>
  </si>
  <si>
    <t>[1881738, 1881748, 1881759]</t>
  </si>
  <si>
    <t>[1656223, 1656228, 983138]</t>
  </si>
  <si>
    <t>[1656222, 1656223, 1656228]</t>
  </si>
  <si>
    <t>[0.001, 0.029, 0.028]</t>
  </si>
  <si>
    <t>48.9142073604117</t>
  </si>
  <si>
    <t>[-0.003, -0.028, -0.028]</t>
  </si>
  <si>
    <t>LINESTRING (5.998166223412777 61.91042008506182, 5.998745034363373 61.91038483087875, 5.9989770843987085 61.910359897978395, 5.999099711260992 61.910349086730086)</t>
  </si>
  <si>
    <t>[1898938, 1898946, 1898954]</t>
  </si>
  <si>
    <t>[1667762, 1667766, 983147]</t>
  </si>
  <si>
    <t>[1656222, 1667762, 1667766]</t>
  </si>
  <si>
    <t>[0.003, 0.028, 0.028]</t>
  </si>
  <si>
    <t>49.849385965642846</t>
  </si>
  <si>
    <t>[-0.041, -0.037]</t>
  </si>
  <si>
    <t>LINESTRING (23.219772356625764 69.95697081503982, 23.219867695027652 69.95701083805585, 23.21999937545888 69.9570649868992)</t>
  </si>
  <si>
    <t>[1028798, 1028806]</t>
  </si>
  <si>
    <t>[983166, 983169]</t>
  </si>
  <si>
    <t>[983161, 983166]</t>
  </si>
  <si>
    <t>[0.041, 0.037]</t>
  </si>
  <si>
    <t>13.643343339171885</t>
  </si>
  <si>
    <t>[-0.1, 0.041]</t>
  </si>
  <si>
    <t>LINESTRING (23.260848562490178 69.96529390753135, 23.26065114295065 69.96526155925248, 23.26054701651137 69.96519067943318)</t>
  </si>
  <si>
    <t>[1164153, 1164161]</t>
  </si>
  <si>
    <t>[1098214, 983309]</t>
  </si>
  <si>
    <t>[1083706, 1098214]</t>
  </si>
  <si>
    <t>[0.1, 0.041]</t>
  </si>
  <si>
    <t>17.23724009195039</t>
  </si>
  <si>
    <t>[-0.171, 0.044, 0.046, 0.042, 0.045, 0.049, 0.051, 0.052, 0.047, 0.047, 0.028, 0.021, 0.015, 0.01, 0.008, 0.001, 0.001, 0.017, 0.004, 0.01, 0.027, 0.043, 0.043, 0.063, 0.004, -0.033, -0.028, -0.033, -0.028, 0.121]</t>
  </si>
  <si>
    <t>LINESTRING (14.199893216802153 66.32108245498293, 14.200126824377884 66.32103440075512, 14.200354829313294 66.32100321131823, 14.202014931929384 66.32079417636551, 14.20212431321487 66.32077962874966, 14.202326773700664 66.32075653260738, 14.202481331758278 66.32073739846851, 14.20381384331393 66.32057194578199, 14.203987717861366 66.32055088136639, 14.204192497270753 66.32052702309794, 14.205540612832747 66.32038821001846, 14.2056260972983 66.32038053595146, 14.205850102480179 66.32036041622017, 14.20748157842293 66.32025963735381, 14.207724873385366 66.32025045112574, 14.209554355805725 66.32019359773463, 14.20961541423064 66.32019198793947, 14.209841872571428 66.32018596067387, 14.209982006658269 66.32018243755587, 14.211375184583034 66.32014842309428, 14.215368944344476 66.31989274006587, 14.21555527325604 66.31985965852004, 14.216870290425867 66.31954293927741, 14.216960095970638 66.31951523776964, 14.217128044841923 66.31946027834276, 14.219501098032739 66.31807304952194, 14.219567996085091 66.31803333502336, 14.219627688989128 66.31799859061776, 14.219734478163275 66.31793811802069, 14.220664120029747 66.3175314208239, 14.222661347926437 66.317084290772)</t>
  </si>
  <si>
    <t>[2120192, 2120200, 2120208, 2120216, 2120224, 2120232, 2120240, 2120248, 2120256, 2120264, 2120272, 2120280, 2120288, 2120296, 2120304, 2120312, 2120320, 2120328, 2120336, 2120344, 2120352, 2120360, 2120368, 2120376, 2120384, 2120392, 2120400, 2120408, 2120416, 2120424]</t>
  </si>
  <si>
    <t>[1827246, 1827253, 1827258, 1827267, 1827274, 1827281, 1827287, 1827293, 1827296, 1827302, 1827309, 641466, 1827318, 1827322, 1827325, 641512, 641487, 1827336, 1827342, 1827349, 1827354, 1827357, 641527, 641540, 641556, 1827378, 641578, 1827387, 1827390, 984897]</t>
  </si>
  <si>
    <t>0.025091913089016225</t>
  </si>
  <si>
    <t>[984889, 1827246, 1827253, 1827258, 1827267, 1827274, 1827281, 1827287, 1827293, 1827296, 1827302, 1827309, 641466, 1827318, 1827322, 1827325, 641512, 641487, 1827336, 1827342, 1827349, 1827354, 1827357, 641527, 641540, 641556, 1827378, 641578, 1827387, 1827390]</t>
  </si>
  <si>
    <t>[0.171, 0.044, 0.046, 0.042, 0.045, 0.049, 0.051, 0.052, 0.047, 0.047, 0.028, 0.021, 0.015, 0.01, 0.008, 0.001, 0.001, 0.017, 0.004, 0.01, 0.027, 0.043, 0.043, 0.063, 0.004, 0.033, 0.028, 0.033, 0.028, 0.121]</t>
  </si>
  <si>
    <t>1176.130044130807</t>
  </si>
  <si>
    <t>[-0.085, 0.043, 0.042, 0.052, 0.05, 0.049, 0.046, 0.064, 0.044, 0.021, 0.022, 0.015, 0.007, 0.032, 0.001, 0.001, 0.006, 0.007, 0.011, 0.045, 0.046, 0.064, 0.062, 0.004, -0.031, -0.034, -0.03, -0.028, -0.025, 0.134]</t>
  </si>
  <si>
    <t>LINESTRING (14.199893216802153 66.32108245498293, 14.200384681855509 66.32104689598415, 14.20206901903372 66.32086747533582, 14.202176351549765 66.320855617692, 14.202381481442027 66.32083280431799, 14.202538668539537 66.32081451797596, 14.203870906016677 66.32065008616894, 14.20407327655465 66.3206255159274, 14.204247192190325 66.3206045680651, 14.205585055773604 66.32046900378124, 14.205696341395223 66.32045975675835, 14.205912450536845 66.32044237788725, 14.207749503244237 66.3203328031418, 14.209569699509178 66.32027624319258, 14.209642505845185 66.32027430727724, 14.209876336006241 66.32026804824957, 14.20999417542748 66.3202653270284, 14.21139456663184 66.32022700664666, 14.211609249828754 66.3202193291205, 14.215648647833392 66.31993512448544, 14.217003649456068 66.31961354557306, 14.217127597432345 66.31957502533302, 14.217294157472004 66.31952167366197, 14.21750762205444 66.31944029656098, 14.219683062086732 66.31811245122569, 14.219739304590945 66.31808104492261, 14.219809039593121 66.31804337217396, 14.219908049391591 66.31799055824591, 14.220803500409042 66.3175913148089, 14.220932176058307 66.31754155567218, 14.222661347926437 66.317084290772)</t>
  </si>
  <si>
    <t>[2120432, 2120440, 2120448, 2120456, 2120464, 2120472, 2120480, 2120488, 2120496, 2120504, 2120512, 2120520, 2120528, 2120536, 2120544, 2120552, 2120560, 2120568, 2120576, 2120584, 2120592, 2120600, 2120608, 2120616, 2120624, 2120632, 2120640, 2120648, 2120656, 2120664]</t>
  </si>
  <si>
    <t>[1827399, 1827405, 1827411, 1827418, 1827425, 1827431, 1827435, 1827442, 1827447, 1827454, 641457, 1827460, 1827464, 641518, 641494, 1827479, 1827485, 1827494, 1827500, 1827507, 641528, 641541, 1827525, 641563, 1827534, 641586, 1827541, 1827546, 1827551, 984897]</t>
  </si>
  <si>
    <t>0.025274385088438177</t>
  </si>
  <si>
    <t>[984889, 1827399, 1827405, 1827411, 1827418, 1827425, 1827431, 1827435, 1827442, 1827447, 1827454, 641457, 1827460, 1827464, 641518, 641494, 1827479, 1827485, 1827494, 1827500, 1827507, 641528, 641541, 1827525, 641563, 1827534, 641586, 1827541, 1827546, 1827551]</t>
  </si>
  <si>
    <t>[0.085, 0.043, 0.042, 0.052, 0.05, 0.049, 0.046, 0.064, 0.044, 0.021, 0.022, 0.015, 0.007, 0.032, 0.001, 0.001, 0.006, 0.007, 0.011, 0.045, 0.046, 0.064, 0.062, 0.004, 0.031, 0.034, 0.03, 0.028, 0.025, 0.134]</t>
  </si>
  <si>
    <t>1176.8746477634263</t>
  </si>
  <si>
    <t>LINESTRING (14.222661347926437 66.317084290772, 14.416044488522955 66.28953309521714)</t>
  </si>
  <si>
    <t>[0.099, 0.108]</t>
  </si>
  <si>
    <t>LINESTRING (17.45676198422443 68.44753270184225, 17.457148800154318 68.44767578418622, 17.457236915352105 68.44770747371724)</t>
  </si>
  <si>
    <t>[1038055, 1038063]</t>
  </si>
  <si>
    <t>[990325, 990330]</t>
  </si>
  <si>
    <t>0.10065089981155564</t>
  </si>
  <si>
    <t>[990173, 990325]</t>
  </si>
  <si>
    <t>27.55045133919943</t>
  </si>
  <si>
    <t>[-0.017, 0.007]</t>
  </si>
  <si>
    <t>LINESTRING (17.45676198422443 68.44753270184225, 17.456892846579176 68.44772616447385, 17.4569496375497 68.4477908476581)</t>
  </si>
  <si>
    <t>[1038071, 1038079]</t>
  </si>
  <si>
    <t>[990337, 990343]</t>
  </si>
  <si>
    <t>[990173, 990337]</t>
  </si>
  <si>
    <t>[0.017, 0.007]</t>
  </si>
  <si>
    <t>29.809841660468383</t>
  </si>
  <si>
    <t>[-0.166, 0.024]</t>
  </si>
  <si>
    <t>LINESTRING (17.454614715562197 68.44577451860059, 17.454909532285207 68.44597239960349, 17.45676198422443 68.44753270184225)</t>
  </si>
  <si>
    <t>[1781533, 1037847]</t>
  </si>
  <si>
    <t>[990172, 990173]</t>
  </si>
  <si>
    <t>0.001785932788859007</t>
  </si>
  <si>
    <t>[1571331, 990172]</t>
  </si>
  <si>
    <t>[0.166, 0.024]</t>
  </si>
  <si>
    <t>215.1995726116126</t>
  </si>
  <si>
    <t>[0.113, 0.038, -0.011, -0.073]</t>
  </si>
  <si>
    <t>LINESTRING (17.457236915352105 68.44770747371724, 17.457443239908383 68.44772383142107, 17.45754940829124 68.44775969839468, 17.45760875315537 68.44781168933389, 17.45759402946136 68.44787392176686)</t>
  </si>
  <si>
    <t>[1038207, 1038215, 1038223, 1038231]</t>
  </si>
  <si>
    <t>[990282, 990443, 990270, 990421]</t>
  </si>
  <si>
    <t>0.022461918439571238</t>
  </si>
  <si>
    <t>[990330, 990282, 990443, 990270]</t>
  </si>
  <si>
    <t>[0.113, 0.038, 0.011, 0.073]</t>
  </si>
  <si>
    <t>27.818595584724807</t>
  </si>
  <si>
    <t>[0.182, 0.218]</t>
  </si>
  <si>
    <t>LINESTRING (17.4569496375497 68.4477908476581, 17.45706939812266 68.44773156142416, 17.457236915352105 68.44770747371724)</t>
  </si>
  <si>
    <t>[1038287, 1038295]</t>
  </si>
  <si>
    <t>[990488, 990330]</t>
  </si>
  <si>
    <t>0.19900807653263242</t>
  </si>
  <si>
    <t>[990343, 990488]</t>
  </si>
  <si>
    <t>15.609997600851116</t>
  </si>
  <si>
    <t>[-0.187, -0.135, 0.004, 0.079]</t>
  </si>
  <si>
    <t>LINESTRING (17.457306994588926 68.44795729274395, 17.457139025465132 68.4479480006355, 17.456994255761213 68.44790507119643, 17.456935155760867 68.44785307646137, 17.4569496375497 68.4477908476581)</t>
  </si>
  <si>
    <t>[1038255, 1038263, 1038271, 1038279]</t>
  </si>
  <si>
    <t>[990248, 990474, 990260, 990343]</t>
  </si>
  <si>
    <t>[990410, 990248, 990474, 990260]</t>
  </si>
  <si>
    <t>[0.187, 0.135, 0.004, 0.079]</t>
  </si>
  <si>
    <t>27.838316607381113</t>
  </si>
  <si>
    <t>[0.045, -0.031, -0.029, 0.044, -0.082, -0.28, -0.023, 0.068, 0.12, 0.055]</t>
  </si>
  <si>
    <t>1275.0</t>
  </si>
  <si>
    <t>LINESTRING (17.457912054263545 68.44810744669056, 17.46110117550881 68.44898418995685, 17.46189153829528 68.44917335771112, 17.463067766244468 68.44940995995363, 17.473017561241683 68.45109958234733, 17.47871988172308 68.45221558634132, 17.47956393954532 68.45248571289716, 17.482090872225942 68.46627324461335, 17.48213080355012 68.46706218127233, 17.482189572489933 68.46822078711222, 17.48366833090223 68.47176113306956)</t>
  </si>
  <si>
    <t>[1038127, 1038135, 1038143, 1038151, 1038159, 1038167, 1037839, 1038303, 1038311, 1038319]</t>
  </si>
  <si>
    <t>[990375, 990383, 990386, 990392, 990397, 990164, 990165, 990499, 990506, 990511]</t>
  </si>
  <si>
    <t>[990374, 990375, 990383, 990386, 990392, 990397, 990164, 990165, 990499, 990506]</t>
  </si>
  <si>
    <t>[0.045, 0.031, 0.029, 0.044, 0.082, 0.28, 0.023, 0.068, 0.12, 0.055]</t>
  </si>
  <si>
    <t>3198.3508362948537</t>
  </si>
  <si>
    <t>[0.05, 0.067]</t>
  </si>
  <si>
    <t>LINESTRING (17.457306994588926 68.44795729274395, 17.45741312049641 68.44798668955946, 17.457912054263545 68.44810744669056)</t>
  </si>
  <si>
    <t>[1038175, 1038183]</t>
  </si>
  <si>
    <t>[990411, 990374]</t>
  </si>
  <si>
    <t>0.06390655730413974</t>
  </si>
  <si>
    <t>[990410, 990411]</t>
  </si>
  <si>
    <t>29.938442957460435</t>
  </si>
  <si>
    <t>[-0.012, 0.001]</t>
  </si>
  <si>
    <t>LINESTRING (17.45759402946136 68.44787392176686, 17.45765984270784 68.44792568313059, 17.457912054263545 68.44810744669056)</t>
  </si>
  <si>
    <t>[1038191, 1038199]</t>
  </si>
  <si>
    <t>[990422, 990374]</t>
  </si>
  <si>
    <t>[990421, 990422]</t>
  </si>
  <si>
    <t>29.125654485210415</t>
  </si>
  <si>
    <t>[-0.121, -0.133]</t>
  </si>
  <si>
    <t>LINESTRING (17.45759402946136 68.44787392176686, 17.457474990910953 68.44793310803735, 17.457306994588926 68.44795729274395)</t>
  </si>
  <si>
    <t>[1038239, 1038247]</t>
  </si>
  <si>
    <t>[990459, 990410]</t>
  </si>
  <si>
    <t>[990421, 990459]</t>
  </si>
  <si>
    <t>[0.121, 0.133]</t>
  </si>
  <si>
    <t>15.605568007978007</t>
  </si>
  <si>
    <t>[-0.005, -0.036, -0.044, -0.037, -0.014]</t>
  </si>
  <si>
    <t>LINESTRING (17.48366833090223 68.47176113306956, 17.48640522911975 68.47289761931627, 17.486584200274223 68.47296290470456, 17.486657425340624 68.47298967662633, 17.487630480954476 68.47334215201165, 17.489703309981582 68.47418988165137)</t>
  </si>
  <si>
    <t>[1038335, 1038343, 1038351, 1038359, 1038367]</t>
  </si>
  <si>
    <t>[535605, 535580, 990533, 990540, 990517]</t>
  </si>
  <si>
    <t>[990511, 535605, 535580, 990533, 990540]</t>
  </si>
  <si>
    <t>[0.005, 0.036, 0.044, 0.037, 0.014]</t>
  </si>
  <si>
    <t>367.35052848539374</t>
  </si>
  <si>
    <t>[-0.008, -0.039, -0.036, -0.036, -0.009]</t>
  </si>
  <si>
    <t>LINESTRING (17.48366833090223 68.47176113306956, 17.486344712517255 68.47297839449308, 17.486511026594325 68.47303902124297, 17.48748954091907 68.4733902497077, 17.487680426158782 68.47345803172992, 17.489703309981582 68.47418988165137)</t>
  </si>
  <si>
    <t>[1038391, 1038399, 1038407, 1038415, 1038423]</t>
  </si>
  <si>
    <t>[535587, 990578, 990584, 990594, 990517]</t>
  </si>
  <si>
    <t>[990511, 535587, 990578, 990584, 990594]</t>
  </si>
  <si>
    <t>[0.008, 0.039, 0.036, 0.036, 0.009]</t>
  </si>
  <si>
    <t>368.22374984118113</t>
  </si>
  <si>
    <t>[0.024, -0.023, -0.018]</t>
  </si>
  <si>
    <t>LINESTRING (17.489703309981582 68.47418988165137, 17.50048597723927 68.47909245723726, 17.50797848195286 68.4798658307993, 17.523816588411574 68.48444833364358)</t>
  </si>
  <si>
    <t>[1038327, 1251370, 1251378]</t>
  </si>
  <si>
    <t>[990518, 1170522, 1170474]</t>
  </si>
  <si>
    <t>[990517, 990518, 1170522]</t>
  </si>
  <si>
    <t>[0.024, 0.023, 0.018]</t>
  </si>
  <si>
    <t>1878.1302528971103</t>
  </si>
  <si>
    <t>[0.043, 0.008, 0.019]</t>
  </si>
  <si>
    <t>LINESTRING (27.82194072708536 70.0817000098451, 27.816852268378824 70.08078666798363, 27.811619072720255 70.08008051149116, 27.79554556357022 70.07994851212129)</t>
  </si>
  <si>
    <t>[1071760, 1071768, 1071776]</t>
  </si>
  <si>
    <t>[1018364, 1018371, 991174]</t>
  </si>
  <si>
    <t>0.019874433850939344</t>
  </si>
  <si>
    <t>[967077, 1018364, 1018371]</t>
  </si>
  <si>
    <t>980.211951632745</t>
  </si>
  <si>
    <t>LINESTRING (27.40870059700775 70.01813404431843, 27.79554556357022 70.07994851212129)</t>
  </si>
  <si>
    <t>LINESTRING (27.82194072708536 70.0817000098451, 27.986601220972663 70.08572536798974)</t>
  </si>
  <si>
    <t>[-0.046, -0.021, -0.024, 0.047, 0.04, 0.02, -0.023]</t>
  </si>
  <si>
    <t>LINESTRING (16.79947796120094 68.33880359545337, 16.80198013623602 68.33876509982022, 16.802325941831672 68.33875454499459, 16.803629501547892 68.33868619152088, 16.803832065484826 68.33867276798325, 16.804057566106227 68.33865612634052, 16.806687369281544 68.33837654996456, 16.807076331965604 68.33834318596388)</t>
  </si>
  <si>
    <t>[1050561, 1050569, 1050577, 1050585, 1050593, 1050601, 1050609]</t>
  </si>
  <si>
    <t>[1000180, 1000187, 1000194, 1000144, 1000202, 1000209, 1000215]</t>
  </si>
  <si>
    <t>[1000179, 1000180, 1000187, 1000194, 1000144, 1000202, 1000209]</t>
  </si>
  <si>
    <t>[0.046, 0.021, 0.024, 0.047, 0.04, 0.02, 0.023]</t>
  </si>
  <si>
    <t>319.57344370167453</t>
  </si>
  <si>
    <t>[-0.047, -0.019, 0.058, 0.049, 0.042, 0.048, 0.023, -0.026, -0.032]</t>
  </si>
  <si>
    <t>LINESTRING (16.79947796120094 68.33880359545337, 16.80233512554179 68.33882454545162, 16.80366328879123 68.33875740632499, 16.80375525413226 68.3387515669214, 16.80386991915588 68.33874349914053, 16.803985888670493 68.33873534539491, 16.804096684762378 68.33872565047017, 16.806720697475395 68.33841738036035, 16.806882490428837 68.338391492647, 16.807076331965604 68.33834318596388)</t>
  </si>
  <si>
    <t>[1050617, 1050625, 1050633, 1050641, 1050649, 1050657, 1050665, 1050673, 1050681]</t>
  </si>
  <si>
    <t>[1000221, 1000228, 1000145, 1000242, 1000161, 1000252, 1000259, 1000265, 1000215]</t>
  </si>
  <si>
    <t>[1000179, 1000221, 1000228, 1000145, 1000242, 1000161, 1000252, 1000259, 1000265]</t>
  </si>
  <si>
    <t>[0.047, 0.019, 0.058, 0.049, 0.042, 0.048, 0.023, 0.026, 0.032]</t>
  </si>
  <si>
    <t>322.1658277651838</t>
  </si>
  <si>
    <t>[-0.109, -0.036, -0.035]</t>
  </si>
  <si>
    <t>LINESTRING (16.807076331965604 68.33834318596388, 16.8112336441308 68.33740767554312, 16.81343514666901 68.33668367066299, 16.81377888738567 68.33655129825672)</t>
  </si>
  <si>
    <t>[1782445, 1782453, 1782461]</t>
  </si>
  <si>
    <t>[1572196, 1572206, 1572128]</t>
  </si>
  <si>
    <t>[1000215, 1572196, 1572206]</t>
  </si>
  <si>
    <t>[0.109, 0.036, 0.035]</t>
  </si>
  <si>
    <t>342.8968888991392</t>
  </si>
  <si>
    <t>[-0.059, -0.001]</t>
  </si>
  <si>
    <t>LINESTRING (18.493468883609182 69.06106813104579, 18.493858474733564 69.06135722834006, 18.49394919880698 69.0614114529159)</t>
  </si>
  <si>
    <t>[1069182, 1069190]</t>
  </si>
  <si>
    <t>[1016424, 1010565]</t>
  </si>
  <si>
    <t>[1005467, 1016424]</t>
  </si>
  <si>
    <t>[0.059, 0.001]</t>
  </si>
  <si>
    <t>43.009892174853874</t>
  </si>
  <si>
    <t>[-0.011, -0.592]</t>
  </si>
  <si>
    <t>LINESTRING (18.493468883609182 69.06106813104579, 18.494170018431024 69.06125581399122, 18.494292664161787 69.06128222087854)</t>
  </si>
  <si>
    <t>[1079324, 1079332]</t>
  </si>
  <si>
    <t>[1024486, 1010517]</t>
  </si>
  <si>
    <t>[1005467, 1024486]</t>
  </si>
  <si>
    <t>[0.011, 0.592]</t>
  </si>
  <si>
    <t>40.64632791526353</t>
  </si>
  <si>
    <t>[0.012, 0.022, 0.04, 0.044, 0.023, 0.03, 0.048, 0.05, 0.053, 0.087, 0.121, 0.122, 0.076, -0.03, -0.086, -0.083, -0.069, -0.024, 0.016, 0.063, 0.048, 0.034]</t>
  </si>
  <si>
    <t>[0, 0, 0, 0, 0, 0, 0, 0, 0, 0, 0, 0, 0, 0, 0, 0, 0, 0, 1, 0, 0, 0]</t>
  </si>
  <si>
    <t>LINESTRING (18.51057763782238 69.04421803811826, 18.509792710730878 69.04521183976713, 18.509305149229686 69.04546173755217, 18.50793738724503 69.04585025619802, 18.506867812452988 69.046098483259, 18.5047968210047 69.0465743918584, 18.497999372486223 69.04814187444698, 18.497868322745063 69.04817310132458, 18.4963655666979 69.04851812724606, 18.494637177237227 69.04891547661, 18.492919592574776 69.04931140157092, 18.49048377526399 69.0499000903623, 18.489750192976786 69.05016924777232, 18.4882933538997 69.05174345007667, 18.489673189791812 69.05451871854234, 18.490092665062587 69.05532785381634, 18.490327976150365 69.05579364168672, 18.491244270736452 69.05753953742872, 18.49250317514029 69.05995860081106, 18.492636027920675 69.06022037103135, 18.49265013910158 69.06024684553202, 18.492856034633814 69.06058471881602, 18.493468883609182 69.06106813104579)</t>
  </si>
  <si>
    <t>[1845930, 1845938, 1057348, 1057356, 1057364, 1057372, 1057380, 1057388, 1057396, 1057404, 1057412, 1057420, 1057428, 1057436, 1057444, 1057452, 1057460, 1057468, 1057476, 1057484, 1057492, 1057500]</t>
  </si>
  <si>
    <t>[1616685, 1005346, 1005347, 1005355, 906743, 1005366, 1005372, 1005380, 1005385, 906625, 1005398, 980269, 1005408, 1005414, 906904, 906846, 1005433, 1005439, 1005446, 1005453, 1005460, 1005467]</t>
  </si>
  <si>
    <t>0.013091431254581884</t>
  </si>
  <si>
    <t>[1616684, 1616685, 1005346, 1005347, 1005355, 906743, 1005366, 1005372, 1005380, 1005385, 906625, 1005398, 980269, 1005408, 1005414, 906904, 906846, 1005433, 1005439, 1005446, 1005453, 1005460]</t>
  </si>
  <si>
    <t>[0.012, 0.022, 0.04, 0.044, 0.023, 0.03, 0.048, 0.05, 0.053, 0.087, 0.121, 0.122, 0.076, 0.03, 0.086, 0.083, 0.069, 0.024, 0.016, 0.063, 0.048, 0.034]</t>
  </si>
  <si>
    <t>2343.663168655511</t>
  </si>
  <si>
    <t>[-0.017, 0.01, -0.003, -0.039, -0.05]</t>
  </si>
  <si>
    <t>LINESTRING (18.495423151363283 69.06172686821829, 18.506515837745205 69.06352423675592, 18.50735548999633 69.0635834744378, 18.509816011951287 69.06376146237976, 18.51047901150956 69.0638088572385, 18.514189580838497 69.06424163317175)</t>
  </si>
  <si>
    <t>[1057508, 1057516, 1057524, 1057532, 1057540]</t>
  </si>
  <si>
    <t>[1005476, 1005480, 1005486, 1005492, 1005498]</t>
  </si>
  <si>
    <t>[1005475, 1005476, 1005480, 1005486, 1005492]</t>
  </si>
  <si>
    <t>[0.017, 0.01, 0.003, 0.039, 0.05]</t>
  </si>
  <si>
    <t>810.9942014823761</t>
  </si>
  <si>
    <t>[0.509, 0.01]</t>
  </si>
  <si>
    <t>LINESTRING (18.494729834053523 69.06141313108712, 18.49483490881661 69.06146963092797, 18.495423151363283 69.06172686821829)</t>
  </si>
  <si>
    <t>[1079340, 1079348]</t>
  </si>
  <si>
    <t>[1024498, 1005475]</t>
  </si>
  <si>
    <t>0.09461445599416558</t>
  </si>
  <si>
    <t>[1010518, 1024498]</t>
  </si>
  <si>
    <t>44.63282333966882</t>
  </si>
  <si>
    <t>[-0.037, 0.055]</t>
  </si>
  <si>
    <t>LINESTRING (18.494386163603846 69.06155997021324, 18.49455375757671 69.0615818229022, 18.495423151363283 69.06172686821829)</t>
  </si>
  <si>
    <t>[1069198, 1069206]</t>
  </si>
  <si>
    <t>[1016437, 1005475]</t>
  </si>
  <si>
    <t>0.04057507339044956</t>
  </si>
  <si>
    <t>[1010533, 1016437]</t>
  </si>
  <si>
    <t>[0.037, 0.055]</t>
  </si>
  <si>
    <t>45.3849670197758</t>
  </si>
  <si>
    <t>[-0.187, 0.05]</t>
  </si>
  <si>
    <t>LINESTRING (18.514189580838497 69.06424163317175, 18.514687081163043 69.06442390326312, 18.51480388554086 69.06446747051837)</t>
  </si>
  <si>
    <t>[1069214, 1069222]</t>
  </si>
  <si>
    <t>[1016446, 1010636]</t>
  </si>
  <si>
    <t>[1005498, 1016446]</t>
  </si>
  <si>
    <t>[0.187, 0.05]</t>
  </si>
  <si>
    <t>35.14026533723413</t>
  </si>
  <si>
    <t>[-0.07, -0.714]</t>
  </si>
  <si>
    <t>LINESTRING (18.514189580838497 69.06424163317175, 18.514901280696705 69.06430910819348, 18.515061398082274 69.06432415280479)</t>
  </si>
  <si>
    <t>[1079356, 1079364]</t>
  </si>
  <si>
    <t>[1024513, 1010588]</t>
  </si>
  <si>
    <t>[1005498, 1024513]</t>
  </si>
  <si>
    <t>[0.07, 0.714]</t>
  </si>
  <si>
    <t>35.97150882700346</t>
  </si>
  <si>
    <t>[-0.037, -0.019, -0.026, -0.014, -0.01, 0.006, -0.001, -0.012, 0.02, -0.011, -0.039, -0.01, -0.013, -0.01]</t>
  </si>
  <si>
    <t>[0, 0, 0, 0, 1, 0, 0, 1, 0, 0, 0, 0, 0, 0]</t>
  </si>
  <si>
    <t>LINESTRING (18.516117048716165 69.06470716399274, 18.517631975189033 69.0652033996902, 18.521530436383628 69.06625987944838, 18.528386997032573 69.06864936868074, 18.542625383578734 69.07321989106084, 18.543332766201 69.07345233323188, 18.554148152801723 69.07637245958125, 18.557974430392395 69.07729859373116, 18.558901498370474 69.0775218360974, 18.56838620737087 69.08111547123933, 18.570947492336852 69.08198541791336, 18.574258421323567 69.08306807590012, 18.58858466905517 69.09247336783814, 18.59082297200228 69.09333340396768, 18.592224192830706 69.0938716075847)</t>
  </si>
  <si>
    <t>[1057548, 1057556, 1057564, 1057572, 1057580, 1057588, 1057596, 1057604, 1057612, 1057620, 1057628, 1057636, 1057644, 1057652]</t>
  </si>
  <si>
    <t>[1005505, 1005513, 1005519, 1005523, 1005531, 1005539, 1005547, 1005554, 1005560, 1005566, 1005570, 1005576, 1005579, 1005585]</t>
  </si>
  <si>
    <t>[1005504, 1005505, 1005513, 1005519, 1005523, 1005531, 1005539, 1005547, 1005554, 1005560, 1005566, 1005570, 1005576, 1005579]</t>
  </si>
  <si>
    <t>[0.037, 0.019, 0.026, 0.014, 0.01, 0.006, 0.001, 0.012, 0.02, 0.011, 0.039, 0.01, 0.013, 0.01]</t>
  </si>
  <si>
    <t>4578.399091014995</t>
  </si>
  <si>
    <t>[0.47, -0.013]</t>
  </si>
  <si>
    <t>LINESTRING (18.515613013206334 69.06446909958824, 18.51570427849721 69.06451547145792, 18.516117048716165 69.06470716399274)</t>
  </si>
  <si>
    <t>[1079372, 1079380]</t>
  </si>
  <si>
    <t>[1024527, 1005504]</t>
  </si>
  <si>
    <t>0.07871035664692025</t>
  </si>
  <si>
    <t>[1010615, 1024527]</t>
  </si>
  <si>
    <t>[0.47, 0.013]</t>
  </si>
  <si>
    <t>33.309042853627744</t>
  </si>
  <si>
    <t>[-0.017, 0.042]</t>
  </si>
  <si>
    <t>LINESTRING (18.515307278807068 69.06459984665675, 18.51546468059431 69.06462299342505, 18.516117048716165 69.06470716399274)</t>
  </si>
  <si>
    <t>[1069230, 1069238]</t>
  </si>
  <si>
    <t>[1016457, 1005504]</t>
  </si>
  <si>
    <t>0.03037441498801724</t>
  </si>
  <si>
    <t>[1010628, 1016457]</t>
  </si>
  <si>
    <t>[0.017, 0.042]</t>
  </si>
  <si>
    <t>34.45047144133356</t>
  </si>
  <si>
    <t>[0.041, 0.005]</t>
  </si>
  <si>
    <t>LINESTRING (18.592224192830706 69.0938716075847, 18.59251075297021 69.09407085529072, 18.59258513941565 69.09413240882714)</t>
  </si>
  <si>
    <t>[1069246, 1069254]</t>
  </si>
  <si>
    <t>[1016467, 1010736]</t>
  </si>
  <si>
    <t>0.03270720747897873</t>
  </si>
  <si>
    <t>[1005585, 1016467]</t>
  </si>
  <si>
    <t>32.460386782120224</t>
  </si>
  <si>
    <t>[-0.016, 0.079]</t>
  </si>
  <si>
    <t>LINESTRING (18.592224192830706 69.0938716075847, 18.59277515575511 69.09398402692514, 18.59298217949889 69.0940188306323)</t>
  </si>
  <si>
    <t>[1079388, 1079396]</t>
  </si>
  <si>
    <t>[1024539, 1010664]</t>
  </si>
  <si>
    <t>0.009177601774427405</t>
  </si>
  <si>
    <t>[1005585, 1024539]</t>
  </si>
  <si>
    <t>[0.016, 0.079]</t>
  </si>
  <si>
    <t>34.390387739943066</t>
  </si>
  <si>
    <t>[-0.324, -0.03, -0.027, -0.029, -0.026, -0.032, -0.03, -0.034, -0.023]</t>
  </si>
  <si>
    <t>LINESTRING (19.262453989446534 69.20075850816662, 19.262580614726062 69.20084887866149, 19.264973964273526 69.20207394346752, 19.265053583885145 69.20211410032951, 19.26517459241843 69.20217535686669, 19.265263879254732 69.20222031564774, 19.26533561021573 69.20225583303058, 19.266203460422464 69.20266415151659, 19.266319832927564 69.20271889010354, 19.2678774908395 69.2033868137224)</t>
  </si>
  <si>
    <t>[2145210, 2145218, 2145226, 2145234, 2145242, 2145250, 2145258, 2145266, 2145274]</t>
  </si>
  <si>
    <t>[1841458, 1841466, 1841469, 1841474, 1841479, 1841484, 1841489, 1841496, 1006359]</t>
  </si>
  <si>
    <t>[1006350, 1841458, 1841466, 1841469, 1841474, 1841479, 1841484, 1841489, 1841496]</t>
  </si>
  <si>
    <t>[0.324, 0.03, 0.027, 0.029, 0.026, 0.032, 0.03, 0.034, 0.023]</t>
  </si>
  <si>
    <t>364.30366620168013</t>
  </si>
  <si>
    <t>[-0.329, -0.03, -0.031, -0.027, -0.027, -0.03, -0.023]</t>
  </si>
  <si>
    <t>LINESTRING (19.262453989446534 69.20075850816662, 19.262645803597074 69.20083275995644, 19.265134430999282 69.2020341918491, 19.26520608688726 69.20206907307544, 19.265332040980585 69.2021297576379, 19.265425696195635 69.20217494060779, 19.266354878848723 69.20262338288053, 19.2678774908395 69.2033868137224)</t>
  </si>
  <si>
    <t>[2145282, 2145290, 2145298, 2145306, 2145314, 2145322, 2145330]</t>
  </si>
  <si>
    <t>[1841506, 1841511, 1841517, 1841519, 1841524, 1841529, 1006359]</t>
  </si>
  <si>
    <t>[1006350, 1841506, 1841511, 1841517, 1841519, 1841524, 1841529]</t>
  </si>
  <si>
    <t>[0.329, 0.03, 0.031, 0.027, 0.027, 0.03, 0.023]</t>
  </si>
  <si>
    <t>363.98390833632635</t>
  </si>
  <si>
    <t>[0.019, 0.005, 0.019, 0.087, 0.027, 0.086, 0.023, -0.034, -0.047, -0.033, -0.037, -0.039, 0.002, 0.034, -0.005, -0.053, -0.038, -0.027, -0.008, -0.009, -0.036, -0.036, -0.007, -0.017]</t>
  </si>
  <si>
    <t>[0, 0, 0, 1, 0, 0, 0, 0, 0, 0, 0, 0, 0, 0, 0, 1, 0, 0, 0, 0, 0, 0, 0, 0]</t>
  </si>
  <si>
    <t>LINESTRING (19.05762269555211 69.16292057402376, 19.05909630405409 69.16336611112317, 19.081232579455563 69.16517877702113, 19.090790294124297 69.1699080306587, 19.090853072073475 69.16992639441638, 19.136066302419955 69.17207678186072, 19.13927098666556 69.17216957141771, 19.146473664955217 69.17180165778183, 19.171607539974612 69.17051525078561, 19.17977704403864 69.1729660165981, 19.179912755824514 69.17299947036247, 19.18007388513547 69.17303904563319, 19.224672408956216 69.18849131349788, 19.224703031425687 69.18855921709077, 19.224736777683407 69.18863279522621, 19.237978299589834 69.19303213858386, 19.238085619465423 69.19307129151467, 19.23971670296344 69.19366353575818, 19.246290468366837 69.19593475893488, 19.246448092169818 69.19597813892122, 19.24662091302493 69.1960255471895, 19.252691692666886 69.1972956495625, 19.259487422729 69.19933620783038, 19.2596522666356 69.19941294518054, 19.262453989446534 69.20075850816662)</t>
  </si>
  <si>
    <t>[1099166, 1099174, 1099182, 1099190, 1099198, 1099206, 1099214, 1099222, 1099230, 1099238, 1099246, 1099254, 1099262, 1099270, 1099278, 1099286, 1058381, 1058389, 1058397, 1058405, 1058413, 1058421, 1058429, 1058437]</t>
  </si>
  <si>
    <t>[1041552, 1041559, 1041567, 1041575, 1034855, 1041595, 1041605, 1041610, 1024782, 1041620, 1039177, 1006728, 1041647, 1024684, 1041662, 1006281, 1006282, 1006291, 1006300, 1006310, 1006320, 1006331, 1006340, 1006350]</t>
  </si>
  <si>
    <t>[1016634, 1041552, 1041559, 1041567, 1041575, 1034855, 1041595, 1041605, 1041610, 1024782, 1041620, 1039177, 1006728, 1041647, 1024684, 1041662, 1006281, 1006282, 1006291, 1006300, 1006310, 1006320, 1006331, 1006340]</t>
  </si>
  <si>
    <t>[0.019, 0.005, 0.019, 0.087, 0.027, 0.086, 0.023, 0.034, 0.047, 0.033, 0.037, 0.039, 0.002, 0.034, 0.005, 0.053, 0.038, 0.027, 0.008, 0.009, 0.036, 0.036, 0.007, 0.017]</t>
  </si>
  <si>
    <t>10267.708629449613</t>
  </si>
  <si>
    <t>[-0.015, -0.004, 0.0, 0.0, 0.0, 0.0, 0.0, -0.004, -0.01, -0.002, 0.001, 0.001]</t>
  </si>
  <si>
    <t>[0, 0, 0, 0, 0, 1, 0, 0, 0, 0, 1, 0]</t>
  </si>
  <si>
    <t>LINESTRING (19.2678774908395 69.2033868137224, 19.270119922962166 69.20440990842523, 19.274354740800405 69.20612173252312, 19.27453062467055 69.2061916863121, 19.274726390949166 69.20627013305119, 19.276266835315205 69.20688773359386, 19.276366533173018 69.20692650665606, 19.278898331624244 69.20793669041493, 19.27994275378968 69.2083526849767, 19.295216078106883 69.21442894590581, 19.296283903705167 69.21485267368365, 19.296341161896375 69.21487479111516, 19.296723289837228 69.2150234283481)</t>
  </si>
  <si>
    <t>[1058445, 1058453, 1058461, 1058469, 1058477, 1058485, 1058493, 1058501, 1058509, 1058517, 1058525, 1058533]</t>
  </si>
  <si>
    <t>[1006360, 1006367, 1006378, 1006389, 1006398, 1006407, 1006417, 1006426, 1006433, 1006443, 1006450, 1006461]</t>
  </si>
  <si>
    <t>[1006359, 1006360, 1006367, 1006378, 1006389, 1006398, 1006407, 1006417, 1006426, 1006433, 1006443, 1006450]</t>
  </si>
  <si>
    <t>[0.015, 0.004, 0.0, 0.0, 0.0, 0.0, 0.0, 0.004, 0.01, 0.002, 0.001, 0.001]</t>
  </si>
  <si>
    <t>1729.9266617486019</t>
  </si>
  <si>
    <t>[-0.036, -0.03, -0.015, -0.024]</t>
  </si>
  <si>
    <t>LINESTRING (18.98611237049553 69.67990757397419, 18.986326901399345 69.67993082168452, 18.98646915796205 69.6799494039256, 18.988990078050037 69.6804251885809, 18.98944716681922 69.68056364780468)</t>
  </si>
  <si>
    <t>[1058531, 1058539, 1319317, 1319318]</t>
  </si>
  <si>
    <t>[1006458, 1006467, 1226533, 1226534]</t>
  </si>
  <si>
    <t>[1006457, 1006458, 1006467, 1226533]</t>
  </si>
  <si>
    <t>[0.036, 0.03, 0.015, 0.024]</t>
  </si>
  <si>
    <t>151.24931095074717</t>
  </si>
  <si>
    <t>[0.035, 0.043]</t>
  </si>
  <si>
    <t>LINESTRING (18.98611237049553 69.67990757397419, 18.986257359122405 69.680007777263, 18.986135238122795 69.68011305873742)</t>
  </si>
  <si>
    <t>[1064394, 1064402]</t>
  </si>
  <si>
    <t>[1012354, 1012360]</t>
  </si>
  <si>
    <t>0.039025718850243016</t>
  </si>
  <si>
    <t>[1006457, 1012354]</t>
  </si>
  <si>
    <t>25.747816666290923</t>
  </si>
  <si>
    <t>0.197</t>
  </si>
  <si>
    <t>2.84431010981184</t>
  </si>
  <si>
    <t>[-0.003, 0.0, 0.0, -0.004, -0.004, -0.005, -0.004, -0.005, -0.004, -0.005, -0.005, -0.002]</t>
  </si>
  <si>
    <t>LINESTRING (19.296723289837228 69.2150234283481, 19.298533864563616 69.21572011298522, 19.29895243225359 69.21585414932115, 19.30045011048184 69.21626098672841, 19.300542082832816 69.21628227212454, 19.300632394029318 69.21630283506069, 19.30075050772764 69.21633102566472, 19.30085259255153 69.21635264255283, 19.303352890689528 69.21678811498579, 19.30365720419025 69.21682980522709, 19.30486782219118 69.21699660110464, 19.305838762552096 69.21712754612489, 19.306207014378302 69.21715329937544)</t>
  </si>
  <si>
    <t>[1069462, 1069470, 1069478, 1069486, 1069494, 1069502, 1069510, 1069518, 1069526, 1069534, 1069542, 1069550]</t>
  </si>
  <si>
    <t>[1016643, 1016653, 1016660, 1016666, 1016674, 1016681, 1016689, 1016694, 1016704, 1016710, 1016715, 1006470]</t>
  </si>
  <si>
    <t>[1006461, 1016643, 1016653, 1016660, 1016666, 1016674, 1016681, 1016689, 1016694, 1016704, 1016710, 1016715]</t>
  </si>
  <si>
    <t>[0.003, 0.0, 0.0, 0.004, 0.004, 0.005, 0.004, 0.005, 0.004, 0.005, 0.005, 0.002]</t>
  </si>
  <si>
    <t>453.136142509854</t>
  </si>
  <si>
    <t>[-0.002, 0.0, 0.002, -0.0, -0.005, -0.005, -0.005, -0.005, -0.005, -0.005, -0.006]</t>
  </si>
  <si>
    <t>LINESTRING (19.296723289837228 69.2150234283481, 19.298668381541056 69.215667543142, 19.298962901438998 69.2157573141679, 19.29909342448391 69.21579453350998, 19.30059013702361 69.21620199590119, 19.30075470453418 69.21624063774122, 19.300957018429436 69.21628702727217, 19.303403212515718 69.21673887613207, 19.3041703822416 69.21685712692323, 19.30490179418036 69.21695528352681, 19.30587277116832 69.21709101748557, 19.306207014378302 69.21715329937544)</t>
  </si>
  <si>
    <t>[1079572, 1079580, 1079588, 1079596, 1079604, 1079612, 1079620, 1079628, 1079636, 1079644, 1079652]</t>
  </si>
  <si>
    <t>[1024696, 1024702, 1024709, 1024714, 1019219, 1024726, 1024734, 1005800, 1024747, 1024756, 1006470]</t>
  </si>
  <si>
    <t>[1006461, 1024696, 1024702, 1024709, 1024714, 1019219, 1024726, 1024734, 1005800, 1024747, 1024756]</t>
  </si>
  <si>
    <t>[0.002, 0.0, 0.002, 0.0, 0.005, 0.005, 0.005, 0.005, 0.005, 0.005, 0.006]</t>
  </si>
  <si>
    <t>449.39678449546955</t>
  </si>
  <si>
    <t>[-0.005, -0.005, -0.003, 0.003, 0.005, 0.002, 0.003, -0.004, 0.005, -0.0, 0.017]</t>
  </si>
  <si>
    <t>LINESTRING (19.306207014378302 69.21715329937544, 19.307301830336307 69.21731070676424, 19.307507054019805 69.2173445872836, 19.30870189009522 69.21755985079594, 19.313303514662863 69.21901184634815, 19.314562811523004 69.21971976639531, 19.314650980643105 69.21978010816751, 19.314740740761895 69.21984463398826, 19.321134756588382 69.23260104681302, 19.3347551976344 69.23482855307147, 19.338694600181313 69.23529030311046, 19.339937636343215 69.23534207829124)</t>
  </si>
  <si>
    <t>[1058541, 1058549, 1058557, 1058565, 1058573, 1058581, 1058589, 1058597, 1058605, 1058613, 1058621]</t>
  </si>
  <si>
    <t>[1006471, 1006479, 1006488, 1006496, 1006503, 1006514, 1006522, 1006531, 1006541, 1006551, 1006555]</t>
  </si>
  <si>
    <t>[1006470, 1006471, 1006479, 1006488, 1006496, 1006503, 1006514, 1006522, 1006531, 1006541, 1006551]</t>
  </si>
  <si>
    <t>[0.005, 0.005, 0.003, 0.003, 0.005, 0.002, 0.003, 0.004, 0.005, 0.0, 0.017]</t>
  </si>
  <si>
    <t>2884.039133642657</t>
  </si>
  <si>
    <t>[0.143, 0.013, 0.007, 0.005, -0.035, -0.016, -0.021, 0.031, 0.017, 0.011, 0.012, 0.008, 0.005, 0.008, -0.066]</t>
  </si>
  <si>
    <t>[0, 0, 0, 0, 0, 0, 0, 0, 0, 0, 0, 1, 1, 1, 0]</t>
  </si>
  <si>
    <t>LINESTRING (19.339937636343215 69.23534207829124, 19.34006344066926 69.23535688518825, 19.342310689176333 69.2352939842129, 19.345154560959145 69.23509544844697, 19.345233148526297 69.23509200229081, 19.345336250813858 69.23508841438611, 19.345521891546294 69.23508314989223, 19.34730132099331 69.23508802239031, 19.34746536198388 69.23509466962905, 19.34802486125264 69.2351235967487, 19.34885991996915 69.23518669580528, 19.34899147749094 69.2351987088451, 19.34919873451157 69.23522028854326, 19.349890685625383 69.23530065465219, 19.35037922599582 69.23536042140508, 19.350663365615016 69.23538039138863)</t>
  </si>
  <si>
    <t>[1069558, 1069566, 1069574, 1069582, 1069590, 1069598, 1069606, 1069614, 1069622, 1069630, 1069638, 1069646, 1069654, 1069662, 1069670]</t>
  </si>
  <si>
    <t>[1016725, 1016730, 1016736, 1006898, 1016750, 1016758, 1016764, 1016774, 1016779, 1016787, 1016793, 1016799, 1016802, 1016807, 1006563]</t>
  </si>
  <si>
    <t>0.0037732552048498633</t>
  </si>
  <si>
    <t>[1006555, 1016725, 1016730, 1016736, 1006898, 1016750, 1016758, 1016764, 1016774, 1016779, 1016787, 1016793, 1016799, 1016802, 1016807]</t>
  </si>
  <si>
    <t>[0.143, 0.013, 0.007, 0.005, 0.035, 0.016, 0.021, 0.031, 0.017, 0.011, 0.012, 0.008, 0.005, 0.008, 0.066]</t>
  </si>
  <si>
    <t>432.01535537437667</t>
  </si>
  <si>
    <t>[0.24, 0.016, 0.01, -0.034, -0.015, -0.036, -0.025, 0.02, 0.012, 0.006, -0.002, 0.029, -0.001, 0.004, -0.041]</t>
  </si>
  <si>
    <t>[0, 0, 0, 0, 0, 0, 0, 0, 0, 1, 1, 1, 1, 1, 0]</t>
  </si>
  <si>
    <t>LINESTRING (19.339937636343215 69.23534207829124, 19.340057067406196 69.23533008372834, 19.342307073082672 69.23523679903899, 19.345077752599234 69.2350242905903, 19.34519242803346 69.23501968303309, 19.3453305227047 69.23501414345385, 19.3454730092367 69.23501042531765, 19.347208031874036 69.2350131468253, 19.347873242379304 69.23504014505737, 19.34875197313512 69.23510948558346, 19.348936057935386 69.23512830692047, 19.349014110699258 69.2351366010733, 19.349082451158324 69.23514420557301, 19.34973786447185 69.23522615924993, 19.350093052013353 69.2352772309927, 19.350663365615016 69.23538039138863)</t>
  </si>
  <si>
    <t>[1079668, 1079676, 1079684, 1079692, 1079700, 1079708, 1079716, 1079724, 1079732, 1079740, 1079748, 1079756, 1079764, 1079772, 1079780]</t>
  </si>
  <si>
    <t>[1024778, 1024783, 1006899, 1024797, 1024802, 1024811, 1024818, 1024828, 1024834, 1024841, 1024846, 1024853, 1024861, 1024871, 1006563]</t>
  </si>
  <si>
    <t>0.003759079960155115</t>
  </si>
  <si>
    <t>[1006555, 1024778, 1024783, 1006899, 1024797, 1024802, 1024811, 1024818, 1024828, 1024834, 1024841, 1024846, 1024853, 1024861, 1024871]</t>
  </si>
  <si>
    <t>[0.24, 0.016, 0.01, 0.034, 0.015, 0.036, 0.025, 0.02, 0.012, 0.006, 0.002, 0.029, 0.001, 0.004, 0.041]</t>
  </si>
  <si>
    <t>435.5531601107368</t>
  </si>
  <si>
    <t>[0.012, 0.019, 0.05, 0.056, 0.033, 0.02, 0.042, -0.006, 0.046, 0.033, -0.006, -0.021, 0.025, -0.023, -0.047, -0.008, 0.008, -0.016, 0.02, 0.017, 0.013, -0.007, 0.014, -0.038, -0.024, -0.003, 0.058]</t>
  </si>
  <si>
    <t>[0, 0, 1, 0, 0, 1, 0, 0, 0, 0, 0, 0, 1, 0, 1, 0, 1, 0, 1, 0, 1, 0, 1, 0, 1, 0, 0]</t>
  </si>
  <si>
    <t>LINESTRING (19.350663365615016 69.23538039138863, 19.351574896433043 69.23550492662106, 19.35888126691573 69.23569789717342, 19.358992229499872 69.23568412622926, 19.36446571219835 69.23365323498861, 19.36998401740006 69.23071355268753, 19.370056830578736 69.23069912357934, 19.38927207032708 69.22908719460236, 19.408284917978623 69.2260895147234, 19.40946707906399 69.2258638649583, 19.411972926084452 69.22544028321958, 19.413429760232823 69.22521979390243, 19.44149044861637 69.22088689538674, 19.44156488287611 69.22087580803138, 19.45345237985857 69.2187854841874, 19.453526125957953 69.21876739825424, 19.463661320461146 69.21651587985643, 19.463743918521104 69.21650645830792, 19.47645856696454 69.2155461450123, 19.477226234878696 69.21549113235618, 19.48195635197415 69.21518516781478, 19.48203998836314 69.21518083368815, 19.488345258732583 69.2149670766365, 19.488456781700958 69.21496542817852, 19.50446517388473 69.21501240146362, 19.50577713353035 69.21491695302244, 19.528694827525204 69.21326001818517, 19.531600164121112 69.21309247316513)</t>
  </si>
  <si>
    <t>[1058629, 1058637, 1058645, 1058653, 1058661, 1058669, 1058677, 1058685, 1058693, 1099294, 1099302, 1099310, 1099318, 1099326, 1099334, 1099342, 1099350, 1099358, 1099366, 1099374, 1099382, 1099390, 1099398, 1099406, 1099414, 1099422, 1099430]</t>
  </si>
  <si>
    <t>[1006564, 1006568, 1006578, 1006587, 1006598, 1006606, 1006615, 1006624, 1006632, 1016556, 1016574, 1041691, 1041701, 1041709, 1041718, 1041725, 1041734, 1041740, 1041747, 1041756, 1041764, 1041771, 1041776, 1041778, 1041783, 1041788, 1016827]</t>
  </si>
  <si>
    <t>0.000369936879560974</t>
  </si>
  <si>
    <t>[1006563, 1006564, 1006568, 1006578, 1006587, 1006598, 1006606, 1006615, 1006624, 1006632, 1016556, 1016574, 1041691, 1041701, 1041709, 1041718, 1041725, 1041734, 1041740, 1041747, 1041756, 1041764, 1041771, 1041776, 1041778, 1041783, 1041788]</t>
  </si>
  <si>
    <t>[0.012, 0.019, 0.05, 0.056, 0.033, 0.02, 0.042, 0.006, 0.046, 0.033, 0.006, 0.021, 0.025, 0.023, 0.047, 0.008, 0.008, 0.016, 0.02, 0.017, 0.013, 0.007, 0.014, 0.038, 0.024, 0.003, 0.058]</t>
  </si>
  <si>
    <t>7868.312669830987</t>
  </si>
  <si>
    <t>0.24</t>
  </si>
  <si>
    <t>8.04929810590756</t>
  </si>
  <si>
    <t>[0.297, -0.257]</t>
  </si>
  <si>
    <t>LINESTRING (24.979988456312014 70.05150782360808, 24.979833586328862 70.05152328433915, 24.979673679915265 70.05151298961536)</t>
  </si>
  <si>
    <t>[1164633, 1164641]</t>
  </si>
  <si>
    <t>[1098592, 1008753]</t>
  </si>
  <si>
    <t>0.01882879570702605</t>
  </si>
  <si>
    <t>[1096891, 1098592]</t>
  </si>
  <si>
    <t>[0.297, 0.257]</t>
  </si>
  <si>
    <t>12.361564147588787</t>
  </si>
  <si>
    <t>[-0.033, -0.04, -0.038]</t>
  </si>
  <si>
    <t>LINESTRING (18.515774655399685 69.06412271694026, 18.516131169200616 69.06379361900696, 18.516395942651773 69.06352352097996, 18.51654132001247 69.06338259212319)</t>
  </si>
  <si>
    <t>[1061175, 1061183, 1061191]</t>
  </si>
  <si>
    <t>[1009266, 1009274, 1009283]</t>
  </si>
  <si>
    <t>[1009265, 1009266, 1009274]</t>
  </si>
  <si>
    <t>[0.033, 0.04, 0.038]</t>
  </si>
  <si>
    <t>88.03940685930789</t>
  </si>
  <si>
    <t>[0.725, -0.206]</t>
  </si>
  <si>
    <t>LINESTRING (18.515210735284253 69.0643142633256, 18.51530545848674 69.06428483857233, 18.515774655399685 69.06412271694026)</t>
  </si>
  <si>
    <t>[1072629, 1072637]</t>
  </si>
  <si>
    <t>[1019027, 1009265]</t>
  </si>
  <si>
    <t>[1010589, 1019027]</t>
  </si>
  <si>
    <t>[0.725, 0.206]</t>
  </si>
  <si>
    <t>31.02756159319768</t>
  </si>
  <si>
    <t>[0.482, -0.178]</t>
  </si>
  <si>
    <t>LINESTRING (18.515594812755282 69.06441513939683, 18.51563005096197 69.06436556087998, 18.515774655399685 69.06412271694026)</t>
  </si>
  <si>
    <t>[1082296, 1082304]</t>
  </si>
  <si>
    <t>[1027165, 1009265]</t>
  </si>
  <si>
    <t>[1010605, 1027165]</t>
  </si>
  <si>
    <t>[0.482, 0.178]</t>
  </si>
  <si>
    <t>33.39767679436834</t>
  </si>
  <si>
    <t>[-0.006, -0.116]</t>
  </si>
  <si>
    <t>LINESTRING (18.51654132001247 69.06338259212319, 18.516596754252472 69.06312825906838, 18.51662032592908 69.06306906783472)</t>
  </si>
  <si>
    <t>[1072646, 1072654]</t>
  </si>
  <si>
    <t>[1019040, 1009482]</t>
  </si>
  <si>
    <t>[1009283, 1019040]</t>
  </si>
  <si>
    <t>[0.006, 0.116]</t>
  </si>
  <si>
    <t>35.12071359494252</t>
  </si>
  <si>
    <t>[-0.022, -0.122]</t>
  </si>
  <si>
    <t>LINESTRING (18.51654132001247 69.06338259212319, 18.5169548581183 69.06316689832134, 18.517061903643686 69.06311056452728)</t>
  </si>
  <si>
    <t>[1082328, 1082336]</t>
  </si>
  <si>
    <t>[1027187, 1009529]</t>
  </si>
  <si>
    <t>[1009283, 1027187]</t>
  </si>
  <si>
    <t>[0.022, 0.122]</t>
  </si>
  <si>
    <t>36.7656731015593</t>
  </si>
  <si>
    <t>[-0.038, -0.019, -0.009, -0.019, -0.004, -0.003, -0.002, 0.012, 0.012, 0.002, 0.002, -0.286, 0.173, 0.013, 0.004, 0.007, 0.013]</t>
  </si>
  <si>
    <t>LINESTRING (18.518259755826275 69.0631500910384, 18.52285076326136 69.06433551049292, 18.523159515327237 69.06440889310048, 18.523703420867243 69.06450709342552, 18.526504813651524 69.06476214679066, 18.53219686287433 69.06458042100627, 18.532497332837718 69.0645654424621, 18.533906971977043 69.06449933353265, 18.537042257494935 69.06435365007549, 18.538520581482498 69.06428675818863, 18.542573156146858 69.0641060103236, 18.54278440639607 69.06409672024368, 18.54333596178445 69.06407272189918, 18.54326488942306 69.06374036913911, 18.54309278107116 69.06276141047287, 18.54273132726291 69.06109573127303, 18.541542299179902 69.06032139920536, 18.541082282428984 69.06012521884948)</t>
  </si>
  <si>
    <t>[1061199, 1061207, 1061215, 1061223, 1061231, 1061239, 1061247, 1061255, 1061263, 1061271, 1061279, 1171471, 1171479, 1061287, 1061295, 1061303, 1061311]</t>
  </si>
  <si>
    <t>[1009291, 225741, 1009308, 1009318, 1009325, 225752, 1009341, 1009349, 903958, 1009367, 1009374, 1104239, 1009382, 1009383, 1009393, 1009402, 614116]</t>
  </si>
  <si>
    <t>[1009290, 1009291, 225741, 1009308, 1009318, 1009325, 225752, 1009341, 1009349, 903958, 1009367, 1009374, 1104239, 1009382, 1009383, 1009393, 1009402]</t>
  </si>
  <si>
    <t>[0.038, 0.019, 0.009, 0.019, 0.004, 0.003, 0.002, 0.012, 0.012, 0.002, 0.002, 0.286, 0.173, 0.013, 0.004, 0.007, 0.013]</t>
  </si>
  <si>
    <t>1521.8575224872934</t>
  </si>
  <si>
    <t>[0.012, -0.019]</t>
  </si>
  <si>
    <t>LINESTRING (18.517273307537383 69.06292265697238, 18.51742327576912 69.06296400577386, 18.518259755826275 69.0631500910384)</t>
  </si>
  <si>
    <t>[1072662, 1072670]</t>
  </si>
  <si>
    <t>[1019054, 1009290]</t>
  </si>
  <si>
    <t>[1009509, 1019054]</t>
  </si>
  <si>
    <t>[0.012, 0.019]</t>
  </si>
  <si>
    <t>46.84814169648146</t>
  </si>
  <si>
    <t>[0.038, -0.038]</t>
  </si>
  <si>
    <t>LINESTRING (18.517147632558206 69.06309398617948, 18.51729696495296 69.06309898495964, 18.518259755826275 69.0631500910384)</t>
  </si>
  <si>
    <t>[1082344, 1082352]</t>
  </si>
  <si>
    <t>[1027198, 1009290]</t>
  </si>
  <si>
    <t>[1009522, 1027198]</t>
  </si>
  <si>
    <t>44.808334862195274</t>
  </si>
  <si>
    <t>[0.0, -0.016, -0.037, -0.029]</t>
  </si>
  <si>
    <t>LINESTRING (18.51662032592908 69.06306906783472, 18.516568638980456 69.06303959418395, 18.516533372459683 69.06297161513871, 18.51662304697464 69.06289200078264, 18.517273307537383 69.06292265697238)</t>
  </si>
  <si>
    <t>[1061383, 1061391, 1061399, 1061407]</t>
  </si>
  <si>
    <t>[1009483, 1009490, 1009500, 1009509]</t>
  </si>
  <si>
    <t>[1009482, 1009483, 1009490, 1009500]</t>
  </si>
  <si>
    <t>[0.0, 0.016, 0.037, 0.029]</t>
  </si>
  <si>
    <t>51.993825831685186</t>
  </si>
  <si>
    <t>[0.04, 0.021]</t>
  </si>
  <si>
    <t>LINESTRING (18.517061903643686 69.06311056452728, 18.516801135358968 69.06311295429335, 18.51662032592908 69.06306906783472)</t>
  </si>
  <si>
    <t>[1061439, 1061447]</t>
  </si>
  <si>
    <t>[1009535, 1009482]</t>
  </si>
  <si>
    <t>0.03133902180971561</t>
  </si>
  <si>
    <t>[1009529, 1009535]</t>
  </si>
  <si>
    <t>19.12167848872282</t>
  </si>
  <si>
    <t>[0.019, 0.04]</t>
  </si>
  <si>
    <t>LINESTRING (18.517273307537383 69.06292265697238, 18.517281368786833 69.06303232647262, 18.517147632558206 69.06309398617948)</t>
  </si>
  <si>
    <t>[1061415, 1061423]</t>
  </si>
  <si>
    <t>[1009516, 1009522]</t>
  </si>
  <si>
    <t>0.02762134738445511</t>
  </si>
  <si>
    <t>[1009509, 1009516]</t>
  </si>
  <si>
    <t>21.20026071638317</t>
  </si>
  <si>
    <t>3.887531350135599</t>
  </si>
  <si>
    <t>[-0.03, -0.01, -0.01, 0.008, 0.01, -0.005]</t>
  </si>
  <si>
    <t>LINESTRING (21.127753882313712 69.80184432179186, 21.130019528669855 69.80219114639667, 21.131899379268404 69.80245589576435, 21.132187172507592 69.80249322656147, 21.13229530506546 69.8025064818757, 21.132403489795408 69.80251991544485, 21.13459558126373 69.80282458385075)</t>
  </si>
  <si>
    <t>[1070022, 1070030, 1070038, 1070046, 1070054, 1070062]</t>
  </si>
  <si>
    <t>[1017062, 1017065, 1017070, 1017074, 1007092, 1009592]</t>
  </si>
  <si>
    <t>[1009585, 1017062, 1017065, 1017070, 1017074, 1007092]</t>
  </si>
  <si>
    <t>[0.03, 0.01, 0.01, 0.008, 0.01, 0.005]</t>
  </si>
  <si>
    <t>285.78457169597124</t>
  </si>
  <si>
    <t>[-0.002, -0.028, -0.032, 0.059, -0.018]</t>
  </si>
  <si>
    <t>LINESTRING (21.127753882313712 69.80184432179186, 21.12952971464082 69.802050794964, 21.130102530425912 69.8021270188615, 21.131997177923196 69.80238827045208, 21.132373398335965 69.80244359591988, 21.13459558126373 69.80282458385075)</t>
  </si>
  <si>
    <t>[1080204, 1080212, 1080220, 1080228, 1080236]</t>
  </si>
  <si>
    <t>[1025268, 1025275, 1025284, 1007091, 1009592]</t>
  </si>
  <si>
    <t>[1009585, 1025268, 1025275, 1025284, 1007091]</t>
  </si>
  <si>
    <t>[0.002, 0.028, 0.032, 0.059, 0.018]</t>
  </si>
  <si>
    <t>286.2973780313596</t>
  </si>
  <si>
    <t>[0.044, 0.031, 0.058, 0.056, 0.036, 0.027, 0.061, 0.197, -0.024, -0.017, 0.0, -0.026, -0.054, -0.019, 0.012, 0.035, 0.044, 0.041, 0.061, 0.073, 0.007, -0.013, -0.005, -0.018, -0.045, -0.036, -0.023, -0.016, -0.015, -0.015, -0.016, -0.002, 0.005, 0.005, 0.019, 0.007, 0.029, 0.024, 0.009, 0.052, -0.087, -0.025, -0.037, -0.024, -0.014, -0.0, 0.005, 0.002, 0.006, -0.003, -0.001, 0.011, 0.04, -0.009, -0.021, 0.005, 0.011, 0.011, 0.005, -0.041, -0.043, -0.029, 0.0, 0.0, 0.0, 0.0, 0.0, 0.0, 0.0, 0.0, 0.0, 0.0, 0.0, 0.0, 0.0, 0.0, 0.0, 0.0, 0.0, 0.0, 0.0, 0.0, 0.0, 0.0, 0.0, 0.0, 0.0, 0.003, 0.013, 0.011, 0.006, 0.01, 0.013, 0.017, 0.019, 0.024, 0.028, 0.04, 0.046, 0.036, 0.003, 0.034, 0.077, 0.016, -0.042, -0.01, -0.066, -0.044, 0.022, 0.071, 0.023, -0.003, -0.021, -0.007, -0.007, -0.031, -0.028, -0.064, -0.007, 0.003, -0.012, -0.069]</t>
  </si>
  <si>
    <t>2882.0</t>
  </si>
  <si>
    <t>[0, 0, 0, 0, 0, 0, 0, 0, 0, 0, 0, 0, 0, 0, 0, 0, 0, 0, 0, 0, 0, 0, 0, 0, 0, 0, 0, 0, 0, 0, 0, 0, 0, 0, 0, 0, 0, 0, 0, 0, 0, 0, 0, 0, 0, 0, 0, 0, 0, 0, 0, 0, 0, 0, 0, 0, 0, 0, 0, 0, 0, 0, 1, 1, 1, 0, 1, 0, 0, 0, 0, 0, 0, 0, 0, 0, 0, 0, 0, 0, 0, 0, 0, 0, 0, 0, 0, 0, 0, 0, 0, 0, 0, 0, 0, 0, 0, 0, 0, 0, 0, 0, 0, 0, 0, 0, 0, 0, 0, 0, 0, 0, 0, 0, 0, 0, 0, 0, 0, 0, 0, 0]</t>
  </si>
  <si>
    <t>LINESTRING (20.785737118863807 69.82087449091533, 20.79925853125057 69.82120099787132, 20.802248528608757 69.82099543927019, 20.80526320686142 69.82052490467565, 20.808162977258927 69.82000562581861, 20.80996945428647 69.8196820386052, 20.8100729293221 69.81966349308789, 20.815279799741347 69.81873069175934, 20.8160540939783 69.81859200539583, 20.923512985929836 69.80066620607029, 20.934028579517364 69.79492437676188, 20.934031360165974 69.79492186086873, 20.934314321031955 69.79465883284308, 20.93475155409711 69.79425225173787, 20.93693892538952 69.79320526708833, 20.938355001305833 69.79299451096661, 20.93968587086911 69.79280309644011, 20.939859104052385 69.79277365805817, 20.94020652096635 69.79269601969513, 20.941119024107937 69.7922260747132, 20.94117559076173 69.79218382558756, 20.94252620485825 69.79114351225549, 20.9452098245648 69.78909225181175, 20.946381450027587 69.78827224971164, 20.94726363571083 69.78772567005397, 20.947953705758767 69.78730011570207, 20.948673322220063 69.78686311369299, 20.949121405871754 69.78659124653781, 20.949523107621857 69.78634877010506, 20.950281615346285 69.78588838352633, 20.950348786138818 69.7858478427815, 20.950409253376407 69.78581122055884, 20.953971503383777 69.78364586939237, 20.955006599515084 69.78301995684909, 20.955803212741568 69.78253312688577, 20.95623100176047 69.78227232362643, 20.957788779448723 69.78132357228262, 20.9595496868102 69.78025450818092, 20.961762986571745 69.77890202056409, 20.96239938456976 69.77852448655193, 20.96691531225168 69.77689799756052, 20.967027728475887 69.77688229707884, 20.975977484053274 69.77460094780467, 20.980805659093996 69.77345355719888, 20.98407173539733 69.77282636356604, 20.98415694369174 69.77281301790933, 20.985886979102528 69.7724916356919, 20.987153854233043 69.77225415649094, 20.988640384980627 69.77197878506573, 20.989662091017802 69.77178922242499, 20.991197923647643 69.77151146345938, 20.994342852298367 69.77097346689747, 20.996598651561616 69.77059595179607, 20.999650570938197 69.77008308720235, 21.000584235940327 69.76992614083154, 21.00413632927115 69.76932650968303, 21.006732505377325 69.76889004155068, 21.007029195679007 69.76884010076479, 21.00768607115929 69.76872931262544, 21.013517173453558 69.76773279206195, 21.014638755145793 69.7675913900306, 21.014790955225244 69.76758033777038, 21.01740215589901 69.76757841019221, 21.017531533975205 69.76758264427262, 21.0176076668246 69.76758492784059, 21.01938725081697 69.76762436090002, 21.020521560905255 69.76764945170449, 21.02123828930257 69.76766641654628, 21.021465581952217 69.7676723907494, 21.023098955714016 69.76777665373218, 21.023878680778406 69.76796267728169, 21.023942748620282 69.76798380559522, 21.024315617428282 69.76814317367725, 21.02432892472944 69.76815148884013, 21.024417647144823 69.7682069470135, 21.02449369577974 69.76826539703947, 21.02481764273479 69.76878281945834, 21.02493950020091 69.76911973937624, 21.025107692069064 69.76943788000455, 21.02575663760728 69.77007541599109, 21.026376102610268 69.77058045644172, 21.026512102198797 69.7706901087805, 21.027070083548374 69.77113751368664, 21.027128580911018 69.77118458763478, 21.02766230657462 69.77160762586469, 21.028268517077876 69.77211376517111, 21.029071097021742 69.77271887504979, 21.02955063883562 69.77302833631745, 21.03248691420751 69.77468493995615, 21.032577409405278 69.7747375069322, 21.033901066279554 69.7755394859952, 21.034684030920406 69.77613867805816, 21.03497727882117 69.77636978091701, 21.035411903627715 69.77672151373673, 21.03567115728891 69.77691707623819, 21.037276590279525 69.77819119761266, 21.037367009798867 69.77825320332265, 21.038229339362864 69.77892503721517, 21.040470352398103 69.78058053963366, 21.0405229004609 69.78061702646608, 21.043199326818893 69.78242790927857, 21.04432112514241 69.78318444019584, 21.044768148976463 69.78349080360982, 21.046198189244187 69.78459214028327, 21.046810083655142 69.78568558235389, 21.04733995603281 69.78639367307557, 21.048008360778475 69.78734910511055, 21.048027209747957 69.78737543805387, 21.04940332119827 69.78896895709076, 21.06050353879756 69.79085890068217, 21.066648143804258 69.79080878618255, 21.069394018808143 69.7909559807304, 21.08059782858098 69.79234367323745, 21.087602728453152 69.794387570947, 21.088244884834435 69.79470308487734, 21.091206345071654 69.79564576423121, 21.09776361586112 69.79688082841969, 21.108844404867693 69.79895166434001, 21.11013053084015 69.79917675904099, 21.11665306427369 69.80029864886772, 21.120760979521307 69.8008798617504, 21.12259024700581 69.80113344796108, 21.127753882313712 69.80184432179186)</t>
  </si>
  <si>
    <t>[2089027, 2089035, 2089043, 2089051, 2089059, 2089067, 2089075, 2089083, 2089195, 2089203, 2089211, 2089219, 2089227, 1101694, 1101702, 1101710, 1101718, 1101727, 1101735, 1101743, 1101751, 1101759, 1101767, 1101775, 1101784, 1101792, 1101800, 1101801, 1101802, 1101808, 1101816, 1101824, 1101832, 1101840, 1101848, 1101856, 1101864, 1101872, 1101880, 1101888, 1101896, 1101904, 1101912, 1101920, 1101928, 1101936, 1101944, 1101952, 1101960, 1101968, 1101976, 1101984, 1101992, 1102000, 1102008, 1102016, 1102024, 1102032, 1102040, 1102048, 1102056, 1102064, 1102072, 1102080, 1102088, 1102096, 1102104, 1102112, 1102120, 1102128, 1102136, 1102144, 1102152, 1102160, 1102168, 1102176, 1102184, 1102192, 1102200, 1102208, 1102216, 1102224, 1102232, 1102240, 1102248, 1102256, 1102264, 1102272, 1102280, 1102288, 1102296, 1102304, 1102312, 1102320, 1102328, 1102336, 1102344, 1102352, 1102360, 1102368, 1102376, 1102384, 1102392, 1102400, 1102408, 1102416, 1102425, 1102433, 1102441, 1061397, 1061405, 1061413, 1061421, 1061429, 1061437, 1061445, 1061453, 1061461, 1061469, 1061477, 1061485, 1061493]</t>
  </si>
  <si>
    <t>[1308794, 1808950, 364093, 364140, 1308834, 1808967, 1808972, 1808976, 1809046, 1809049, 1809054, 1308826, 1043546, 893167, 893175, 893201, 894922, 893258, 893155, 893247, 893265, 893310, 893333, 1018266, 893343, 1041840, 1032312, 1032314, 1043627, 1043633, 1043640, 893393, 1041834, 893521, 1043668, 893462, 893644, 893537, 1043691, 1032301, 893649, 1024387, 1024370, 893663, 1024355, 1024341, 1043761, 1043769, 1043776, 1024321, 893695, 893739, 1043802, 893763, 895041, 1043815, 1043820, 1043824, 893806, 1043833, 1022878, 1043845, 1043855, 1043866, 1043875, 1043884, 1043895, 893876, 893923, 1030198, 1043920, 1024825, 1043930, 1043935, 1024162, 1043949, 894341, 893870, 894358, 1030207, 991409, 1030216, 894375, 1035110, 1035103, 1035097, 894845, 894653, 894839, 1035073, 1044055, 1044064, 894833, 1044080, 894822, 894704, 1030279, 894814, 894804, 1044129, 1044140, 992037, 1044156, 1023317, 1044173, 1044183, 1044193, 895733, 1009497, 1009498, 1009507, 1009514, 1009521, 895823, 1009534, 895830, 895871, 1009553, 1009561, 1009569, 999085, 1009585]</t>
  </si>
  <si>
    <t>[1808945, 1308794, 1808950, 364093, 364140, 1308834, 1808967, 1808972, 1808976, 1809046, 1809049, 1809054, 1308826, 1043546, 893167, 893175, 893201, 894922, 893258, 893155, 893247, 893265, 893310, 893333, 1018266, 893343, 1041840, 1032312, 1032314, 1043627, 1043633, 1043640, 893393, 1041834, 893521, 1043668, 893462, 893644, 893537, 1043691, 1032301, 893649, 1024387, 1024370, 893663, 1024355, 1024341, 1043761, 1043769, 1043776, 1024321, 893695, 893739, 1043802, 893763, 895041, 1043815, 1043820, 1043824, 893806, 1043833, 1022878, 1043845, 1043855, 1043866, 1043875, 1043884, 1043895, 893876, 893923, 1030198, 1043920, 1024825, 1043930, 1043935, 1024162, 1043949, 894341, 893870, 894358, 1030207, 991409, 1030216, 894375, 1035110, 1035103, 1035097, 894845, 894653, 894839, 1035073, 1044055, 1044064, 894833, 1044080, 894822, 894704, 1030279, 894814, 894804, 1044129, 1044140, 992037, 1044156, 1023317, 1044173, 1044183, 1044193, 895733, 1009497, 1009498, 1009507, 1009514, 1009521, 895823, 1009534, 895830, 895871, 1009553, 1009561, 1009569, 999085]</t>
  </si>
  <si>
    <t>[0.044, 0.031, 0.058, 0.056, 0.036, 0.027, 0.061, 0.197, 0.024, 0.017, 0.0, 0.026, 0.054, 0.019, 0.012, 0.035, 0.044, 0.041, 0.061, 0.073, 0.007, 0.013, 0.005, 0.018, 0.045, 0.036, 0.023, 0.016, 0.015, 0.015, 0.016, 0.002, 0.005, 0.005, 0.019, 0.007, 0.029, 0.024, 0.009, 0.052, 0.087, 0.025, 0.037, 0.024, 0.014, 0.0, 0.005, 0.002, 0.006, 0.003, 0.001, 0.011, 0.04, 0.009, 0.021, 0.005, 0.011, 0.011, 0.005, 0.041, 0.043, 0.029, 0.0, 0.0, 0.0, 0.0, 0.0, 0.0, 0.0, 0.0, 0.0, 0.0, 0.0, 0.0, 0.0, 0.0, 0.0, 0.0, 0.0, 0.0, 0.0, 0.0, 0.0, 0.0, 0.0, 0.0, 0.0, 0.003, 0.013, 0.011, 0.006, 0.01, 0.013, 0.017, 0.019, 0.024, 0.028, 0.04, 0.046, 0.036, 0.003, 0.034, 0.077, 0.016, 0.042, 0.01, 0.066, 0.044, 0.022, 0.071, 0.023, 0.003, 0.021, 0.007, 0.007, 0.031, 0.028, 0.064, 0.007, 0.003, 0.012, 0.069]</t>
  </si>
  <si>
    <t>17571.257303020895</t>
  </si>
  <si>
    <t>LINESTRING (21.13459558126373 69.80282458385075, 21.368991254475844 69.83128214778074)</t>
  </si>
  <si>
    <t>25.29793459348225</t>
  </si>
  <si>
    <t>[-0.07, -0.083]</t>
  </si>
  <si>
    <t>LINESTRING (18.49394919880698 69.0614114529159, 18.494039364234116 69.06133130284016, 18.494292664161787 69.06128222087854)</t>
  </si>
  <si>
    <t>[1062435, 1062443]</t>
  </si>
  <si>
    <t>[1010571, 1010517]</t>
  </si>
  <si>
    <t>[1010565, 1010571]</t>
  </si>
  <si>
    <t>[0.07, 0.083]</t>
  </si>
  <si>
    <t>21.336889344661635</t>
  </si>
  <si>
    <t>[0.099, 0.106]</t>
  </si>
  <si>
    <t>LINESTRING (18.494729834053523 69.06141313108712, 18.494639215101966 69.06151089284032, 18.494386163603846 69.06155997021324)</t>
  </si>
  <si>
    <t>[1062387, 1062395]</t>
  </si>
  <si>
    <t>[1010525, 1010533]</t>
  </si>
  <si>
    <t>0.10249932008884204</t>
  </si>
  <si>
    <t>[1010518, 1010525]</t>
  </si>
  <si>
    <t>23.380597506804158</t>
  </si>
  <si>
    <t>[0.075, 0.011, -0.038, -0.075]</t>
  </si>
  <si>
    <t>LINESTRING (18.494386163603846 69.06155997021324, 18.494239964365523 69.0615563965759, 18.49406984921319 69.06152250709768, 18.493954778993526 69.06144645332455, 18.49394919880698 69.0614114529159)</t>
  </si>
  <si>
    <t>[1062403, 1062411, 1062419, 1062427]</t>
  </si>
  <si>
    <t>[1010540, 1010548, 1010557, 1010565]</t>
  </si>
  <si>
    <t>[1010533, 1010540, 1010548, 1010557]</t>
  </si>
  <si>
    <t>[0.075, 0.011, 0.038, 0.075]</t>
  </si>
  <si>
    <t>27.168428244033446</t>
  </si>
  <si>
    <t>6.057862659368583</t>
  </si>
  <si>
    <t>[-0.098, -0.08]</t>
  </si>
  <si>
    <t>LINESTRING (18.51480388554086 69.06446747051837, 18.514867586679458 69.06438084632896, 18.515061398082274 69.06432415280479)</t>
  </si>
  <si>
    <t>[1062507, 1062515]</t>
  </si>
  <si>
    <t>[1010647, 1010588]</t>
  </si>
  <si>
    <t>[1010636, 1010647]</t>
  </si>
  <si>
    <t>[0.098, 0.08]</t>
  </si>
  <si>
    <t>19.97705665206402</t>
  </si>
  <si>
    <t>[0.0, 0.045]</t>
  </si>
  <si>
    <t>LINESTRING (18.515210735284253 69.0643142633256, 18.515443854150156 69.06434136168008, 18.515594812755282 69.06441513939683)</t>
  </si>
  <si>
    <t>[1062459, 1062467]</t>
  </si>
  <si>
    <t>[1010596, 1010605]</t>
  </si>
  <si>
    <t>0.02297209261079424</t>
  </si>
  <si>
    <t>[1010589, 1010596]</t>
  </si>
  <si>
    <t>19.97358177545634</t>
  </si>
  <si>
    <t>6.061922137222626</t>
  </si>
  <si>
    <t>[0.078, 0.079]</t>
  </si>
  <si>
    <t>LINESTRING (18.515613013206334 69.06446909958824, 18.515519369055216 69.06455220737962, 18.515307278807068 69.06459984665675)</t>
  </si>
  <si>
    <t>[1062483, 1062491]</t>
  </si>
  <si>
    <t>[1010621, 1010628]</t>
  </si>
  <si>
    <t>0.07849990696875346</t>
  </si>
  <si>
    <t>[1010615, 1010621]</t>
  </si>
  <si>
    <t>19.98319759655118</t>
  </si>
  <si>
    <t>28.20896144673359</t>
  </si>
  <si>
    <t>[-0.031, -0.018, 0.002, 0.017]</t>
  </si>
  <si>
    <t>LINESTRING (18.59298217949889 69.0940188306323, 18.593068033439742 69.09402556428856, 18.59323424427335 69.09406833592259, 18.59331128780124 69.09412982453163, 18.593310550210145 69.09416391510402)</t>
  </si>
  <si>
    <t>[1062523, 1062531, 1062539, 1062547]</t>
  </si>
  <si>
    <t>[1010665, 1010675, 1010682, 1010689]</t>
  </si>
  <si>
    <t>[1010664, 1010665, 1010675, 1010682]</t>
  </si>
  <si>
    <t>[0.031, 0.018, 0.002, 0.017]</t>
  </si>
  <si>
    <t>22.977440504532908</t>
  </si>
  <si>
    <t>[-0.033, -0.035]</t>
  </si>
  <si>
    <t>LINESTRING (18.59258513941565 69.09413240882714, 18.59269886744459 69.09405314651059, 18.59298217949889 69.0940188306323)</t>
  </si>
  <si>
    <t>[1062603, 1062611]</t>
  </si>
  <si>
    <t>[1010745, 1010664]</t>
  </si>
  <si>
    <t>[1010736, 1010745]</t>
  </si>
  <si>
    <t>[0.033, 0.035]</t>
  </si>
  <si>
    <t>22.118953171312704</t>
  </si>
  <si>
    <t>[0.035, 0.04]</t>
  </si>
  <si>
    <t>LINESTRING (18.593310550210145 69.09416391510402, 18.593172554556833 69.09425158982516, 18.59290966104818 69.09427856261836)</t>
  </si>
  <si>
    <t>[1062555, 1062563]</t>
  </si>
  <si>
    <t>[1010696, 1010704]</t>
  </si>
  <si>
    <t>0.03746164478769885</t>
  </si>
  <si>
    <t>[1010689, 1010696]</t>
  </si>
  <si>
    <t>22.536851131779578</t>
  </si>
  <si>
    <t>[-0.105, 0.002]</t>
  </si>
  <si>
    <t>LINESTRING (18.593310550210145 69.09416391510402, 18.593384587831252 69.09422332911248, 18.593677203351053 69.0944287262116)</t>
  </si>
  <si>
    <t>[1079404, 1079412]</t>
  </si>
  <si>
    <t>[1024548, 1016487]</t>
  </si>
  <si>
    <t>[1010689, 1024548]</t>
  </si>
  <si>
    <t>[0.105, 0.002]</t>
  </si>
  <si>
    <t>32.95664889867957</t>
  </si>
  <si>
    <t>[0.027, 0.019, -0.006, -0.025]</t>
  </si>
  <si>
    <t>LINESTRING (18.59290966104818 69.09427856261836, 18.592830164155764 69.09427241420313, 18.592677979172198 69.09423680285187, 18.592584726418508 69.09416358263177, 18.59258513941565 69.09413240882714)</t>
  </si>
  <si>
    <t>[1062571, 1062579, 1062587, 1062595]</t>
  </si>
  <si>
    <t>[1010710, 1010718, 1010727, 1010736]</t>
  </si>
  <si>
    <t>0.0036808897980013027</t>
  </si>
  <si>
    <t>[1010704, 1010710, 1010718, 1010727]</t>
  </si>
  <si>
    <t>[0.027, 0.019, 0.006, 0.025]</t>
  </si>
  <si>
    <t>22.93585520301628</t>
  </si>
  <si>
    <t>[-0.138, -0.016]</t>
  </si>
  <si>
    <t>LINESTRING (18.59290966104818 69.09427856261836, 18.593093764866996 69.09431099032298, 18.593677203351053 69.0944287262116)</t>
  </si>
  <si>
    <t>[1069262, 1069270]</t>
  </si>
  <si>
    <t>[1016482, 1016487]</t>
  </si>
  <si>
    <t>[1010704, 1016482]</t>
  </si>
  <si>
    <t>[0.138, 0.016]</t>
  </si>
  <si>
    <t>34.87003465945787</t>
  </si>
  <si>
    <t>478.0</t>
  </si>
  <si>
    <t>LINESTRING (20.7490991502041 69.11262786123801, 20.525027364221465 69.27166220276601)</t>
  </si>
  <si>
    <t>[0.033, -0.002, -0.002, 0.003, 0.007, 0.03, -0.483, 0.042, -0.077, -0.028, -0.013, -0.02, -0.01, 0.004, 0.005, -0.028, -0.029, 0.011, -0.002, 0.007, 0.048, 0.028, 0.035, -0.03, 0.021, 0.029, -0.046, 0.009, 0.015, 0.002, -0.019, 0.012, 0.08, 0.009, 0.002, -0.015, 0.063, 0.083, 0.074, -0.005, 0.06, 0.001, 0.046, 0.072, 0.013, -0.02, 0.046, 0.054, 0.013, -0.069]</t>
  </si>
  <si>
    <t>3689.0</t>
  </si>
  <si>
    <t>[0, 0, 0, 0, 0, 0, 0, 0, 0, 0, 0, 0, 0, 0, 0, 0, 0, 0, 0, 1, 0, 0, 0, 1, 0, 0, 1, 0, 1, 0, 1, 0, 1, 0, 1, 0, 1, 0, 1, 0, 1, 0, 1, 0, 1, 0, 0, 0, 0, 0]</t>
  </si>
  <si>
    <t>LINESTRING (19.55123717847544 69.22001725625746, 19.550810429917806 69.22003672235434, 19.55064903297542 69.2200411578084, 19.550507352925923 69.22004400242903, 19.546888250097027 69.2200564382162, 19.544455966512626 69.220060408047, 19.544176750136113 69.22006049420905, 19.543939141869473 69.22006101030468, 19.539167082233714 69.22007178769293, 19.537742902681025 69.22010005857506, 19.53629684108238 69.22021869517695, 19.534637250715278 69.2203962468119, 19.532868569672868 69.22059002876067, 19.532721371956775 69.22060623576375, 19.52727193913224 69.22119694984634, 19.52556952313046 69.22138101977174, 19.522607568205157 69.22169581492945, 19.51267209302139 69.22264644099292, 19.511057909065354 69.22292486082584, 19.508719422537318 69.22347175545958, 19.50797217863765 69.22369329224954, 19.507839573934188 69.2237364212916, 19.505715251955234 69.22455509787414, 19.486986728018444 69.23106520267449, 19.486926393675468 69.23109311053588, 19.48440284546129 69.23224411874776, 19.48071140423653 69.2338780663505, 19.4806532163217 69.23390294961546, 19.469695113601542 69.23806937366594, 19.469620036058114 69.23809478054606, 19.458996297795153 69.24134986561683, 19.45890754917423 69.24137544115872, 19.445171296742892 69.24679570810257, 19.44511364730321 69.24682604664525, 19.438664919793556 69.25094275820138, 19.438622961808445 69.2509743081237, 19.43370971650652 69.25508316623609, 19.43258314656399 69.25603367558872, 19.432255795149814 69.25630885545063, 19.43221616457737 69.25634196143257, 19.42686682836774 69.2627371968633, 19.426865641413904 69.26277111239513, 19.429219784932904 69.26708502447896, 19.4294235230287 69.26810749492256, 19.429000931327504 69.26903710492343, 19.42896454955749 69.26908127138489, 19.423064456496864 69.27298293119408, 19.42261638265144 69.27356525216962, 19.422560779161877 69.27364586148214, 19.422165438649323 69.27465193671847, 19.42215191621359 69.27470551029228)</t>
  </si>
  <si>
    <t>[1063259, 1063267, 1063275, 1063283, 1063291, 1063299, 1063307, 1063315, 1063323, 1063331, 1063339, 1063347, 1063355, 1063363, 1063371, 1063379, 1063387, 1063395, 1063403, 1063411, 1063419, 1063427, 1063435, 1063443, 1063451, 1063459, 1063467, 1063475, 1063483, 1063491, 1063499, 1063507, 1063515, 1063523, 1063531, 1063539, 1063547, 1063555, 1063563, 1063571, 1063579, 1063587, 1063595, 1063603, 1063611, 1063619, 1063627, 1063635, 1063643, 1063651]</t>
  </si>
  <si>
    <t>[1011343, 1001168, 1001188, 1001205, 1011365, 1001229, 1011379, 1001222, 1001234, 1011396, 1001267, 1011412, 1001271, 1011428, 1001279, 1011442, 975984, 1011458, 1011465, 1011471, 1011479, 1011488, 1011493, 1011503, 1011510, 1011516, 1011522, 1011529, 1011535, 1011542, 1011551, 1011560, 1011567, 1011574, 1011580, 1011586, 1011591, 1011598, 1011605, 1011611, 1011618, 1011625, 1011631, 1011637, 1011644, 1011651, 1011657, 1011665, 1011671, 1011677]</t>
  </si>
  <si>
    <t>0.007226970575327096</t>
  </si>
  <si>
    <t>[1011342, 1011343, 1001168, 1001188, 1001205, 1011365, 1001229, 1011379, 1001222, 1001234, 1011396, 1001267, 1011412, 1001271, 1011428, 1001279, 1011442, 975984, 1011458, 1011465, 1011471, 1011479, 1011488, 1011493, 1011503, 1011510, 1011516, 1011522, 1011529, 1011535, 1011542, 1011551, 1011560, 1011567, 1011574, 1011580, 1011586, 1011591, 1011598, 1011605, 1011611, 1011618, 1011625, 1011631, 1011637, 1011644, 1011651, 1011657, 1011665, 1011671]</t>
  </si>
  <si>
    <t>[0.033, 0.002, 0.002, 0.003, 0.007, 0.03, 0.483, 0.042, 0.077, 0.028, 0.013, 0.02, 0.01, 0.004, 0.005, 0.028, 0.029, 0.011, 0.002, 0.007, 0.048, 0.028, 0.035, 0.03, 0.021, 0.029, 0.046, 0.009, 0.015, 0.002, 0.019, 0.012, 0.08, 0.009, 0.002, 0.015, 0.063, 0.083, 0.074, 0.005, 0.06, 0.001, 0.046, 0.072, 0.013, 0.02, 0.046, 0.054, 0.013, 0.069]</t>
  </si>
  <si>
    <t>8729.114452267291</t>
  </si>
  <si>
    <t>[-0.301, -0.02, -0.023, -0.007, -0.018, -0.016, -0.013, -0.014, -0.011]</t>
  </si>
  <si>
    <t>LINESTRING (19.42215191621359 69.27470551029228, 19.422060122910114 69.27484664611644, 19.421847428402074 69.27553741427649, 19.42182490169692 69.27562941758251, 19.421808546638257 69.27569733664964, 19.42178845878686 69.27577468989458, 19.421601505852546 69.27657320260367, 19.42159185081126 69.27662447494777, 19.421516428920278 69.27697359632369, 19.42151780649327 69.2772684223262)</t>
  </si>
  <si>
    <t>[1070102, 1070110, 1070118, 1070126, 1070134, 1070142, 1070150, 1070158, 1070166]</t>
  </si>
  <si>
    <t>[1017119, 1017125, 1017132, 1006774, 1017145, 1017152, 1017158, 1017162, 1011683]</t>
  </si>
  <si>
    <t>[1011677, 1017119, 1017125, 1017132, 1006774, 1017145, 1017152, 1017158, 1017162]</t>
  </si>
  <si>
    <t>[0.301, 0.02, 0.023, 0.007, 0.018, 0.016, 0.013, 0.014, 0.011]</t>
  </si>
  <si>
    <t>287.45663073092527</t>
  </si>
  <si>
    <t>[-0.573, -0.001, -0.01, -0.011, -0.021, -0.019, -0.012, -0.015, -0.018, -0.025, -0.055]</t>
  </si>
  <si>
    <t>LINESTRING (19.42215191621359 69.27470551029228, 19.422203813718664 69.27475833367262, 19.42218710916358 69.27484988233186, 19.42205078498045 69.2755439074369, 19.422031548998802 69.27563611410764, 19.42202487097179 69.27566815674706, 19.422013369509763 69.27570329798513, 19.42199881672757 69.27574773012066, 19.42198670541514 69.27578920556508, 19.421776527031405 69.2765831903733, 19.42165377459006 69.27697915642563, 19.42151780649327 69.2772684223262)</t>
  </si>
  <si>
    <t>[1080268, 1080276, 1080284, 1080292, 1080300, 1080308, 1080316, 1080324, 1080332, 1080340, 1080348]</t>
  </si>
  <si>
    <t>[1025326, 1025334, 1025341, 1025349, 1006775, 1025359, 1024724, 1025376, 1025379, 1025388, 1011683]</t>
  </si>
  <si>
    <t>[1011677, 1025326, 1025334, 1025341, 1025349, 1006775, 1025359, 1024724, 1025376, 1025379, 1025388]</t>
  </si>
  <si>
    <t>[0.573, 0.001, 0.01, 0.011, 0.021, 0.019, 0.012, 0.015, 0.018, 0.025, 0.055]</t>
  </si>
  <si>
    <t>287.66672587581934</t>
  </si>
  <si>
    <t>[0.0, -0.004, -0.007, -0.089, 0.033, -0.051, -0.041, 0.031, 0.031]</t>
  </si>
  <si>
    <t>LINESTRING (19.42151780649327 69.2772684223262, 19.421455570490203 69.27752168110888, 19.421414301547625 69.27770735215921, 19.42126923655144 69.278249647895, 19.420812658167808 69.28011719585648, 19.42030533180258 69.28145975558803, 19.420263646482976 69.28152661503746, 19.417697001455736 69.28401789260231, 19.41763218009952 69.2840946006419, 19.41737214645593 69.28868296926294)</t>
  </si>
  <si>
    <t>[1063659, 1063667, 1063675, 1063683, 1063691, 1063699, 1063707, 1063715, 1063723]</t>
  </si>
  <si>
    <t>[1011684, 1011691, 1011701, 1011709, 1011718, 1011725, 1011732, 1011739, 1011746]</t>
  </si>
  <si>
    <t>[1011683, 1011684, 1011691, 1011701, 1011709, 1011718, 1011725, 1011732, 1011739]</t>
  </si>
  <si>
    <t>[0.0, 0.004, 0.007, 0.089, 0.033, 0.051, 0.041, 0.031, 0.031]</t>
  </si>
  <si>
    <t>1298.3485241983426</t>
  </si>
  <si>
    <t>[0.062, -0.079, -0.064, -0.059, -0.109, -0.136, -0.135, -0.092, -0.047, 0.346]</t>
  </si>
  <si>
    <t>LINESTRING (19.41737214645593 69.28868296926294, 19.416469806227195 69.29005208511332, 19.41643312560288 69.29008636842171, 19.41636169443031 69.29016103343302, 19.416273362604915 69.29025852856422, 19.415075971139313 69.2914111344174, 19.415047665931734 69.29144167997038, 19.415009662081342 69.29148269272814, 19.41439406291489 69.29261311279545, 19.414357726746786 69.2928254920508, 19.41435872930132 69.29355194502666)</t>
  </si>
  <si>
    <t>[2101274, 2101283, 2101291, 2101299, 2101307, 2101315, 2101323, 2101324, 2101333, 2101337]</t>
  </si>
  <si>
    <t>[1816548, 1816553, 1816559, 1816565, 1816572, 1816578, 1816584, 1816585, 1816593, 1011753]</t>
  </si>
  <si>
    <t>0.01286870514052294</t>
  </si>
  <si>
    <t>[1011746, 1816548, 1816553, 1816559, 1816565, 1816572, 1816578, 1816584, 1816585, 1816593]</t>
  </si>
  <si>
    <t>[0.062, 0.079, 0.064, 0.059, 0.109, 0.136, 0.135, 0.092, 0.047, 0.346]</t>
  </si>
  <si>
    <t>560.4805456923665</t>
  </si>
  <si>
    <t>[0.049, -0.047, -0.083, -0.107, -0.133, -0.099, -0.089, -0.046, 0.365]</t>
  </si>
  <si>
    <t>LINESTRING (19.41737214645593 69.28868296926294, 19.416313212078403 69.29003137218916, 19.41627682036516 69.29006582783212, 19.416089910364065 69.2902342598038, 19.414911420931475 69.2913840801606, 19.4148838536305 69.29141786945247, 19.414846817502948 69.29146325254796, 19.414249975060272 69.29260946074861, 19.41421832702922 69.29282378737257, 19.41435872930132 69.29355194502666)</t>
  </si>
  <si>
    <t>[2101338, 2101373, 2101374, 2101405, 2101410, 2101411, 2101429, 2101430, 2101431]</t>
  </si>
  <si>
    <t>[1816596, 1816618, 1816619, 1816633, 1816636, 1816637, 1816647, 1816648, 1011753]</t>
  </si>
  <si>
    <t>0.012984577457665054</t>
  </si>
  <si>
    <t>[1011746, 1816596, 1816618, 1816619, 1816633, 1816636, 1816637, 1816647, 1816648]</t>
  </si>
  <si>
    <t>[0.049, 0.047, 0.083, 0.107, 0.133, 0.099, 0.089, 0.046, 0.365]</t>
  </si>
  <si>
    <t>562.210955694718</t>
  </si>
  <si>
    <t>[-0.015, 0.047, 0.011, 0.006, -0.015, -0.031, -0.0, -0.072, -0.018, 0.012, 0.029, 0.096, 0.005, 0.025, -0.013, -0.023, -0.019, -0.009, 0.027, 0.019, 0.023, -0.013, -0.072, -0.076, -0.026, -0.013, 0.034, 0.008]</t>
  </si>
  <si>
    <t>[0, 0, 0, 1, 0, 1, 0, 1, 0, 1, 0, 1, 0, 1, 0, 0, 0, 0, 0, 1, 0, 0, 0, 1, 0, 0, 1, 0]</t>
  </si>
  <si>
    <t>LINESTRING (19.41435872930132 69.29355194502666, 19.417667868820484 69.29823229620435, 19.418067443992914 69.29875893176708, 19.42059761419199 69.30288715887052, 19.420611169350067 69.30292114631607, 19.424935778590193 69.3097841112222, 19.424985671355397 69.30981923560084, 19.428775713647052 69.31260401988771, 19.428823489872983 69.31263991670312, 19.432153366443075 69.31852600789922, 19.432118951920287 69.31856401089517, 19.4316349687983 69.31903094394778, 19.4300874517845 69.32003825513232, 19.414040611956985 69.32721220489604, 19.41393833032636 69.32727557335454, 19.399165419969467 69.34056180087357, 19.398730340054772 69.34098845487797, 19.39823410775836 69.34146546511334, 19.360969209742894 69.36365847385048, 19.360303057419298 69.36396825034129, 19.36018013064268 69.3640243701486, 19.359736923713633 69.36423734620867, 19.360939573435303 69.36954280344693, 19.36182557596437 69.36999824855766, 19.362534620303222 69.37036955574499, 19.364424534615594 69.37145395516677, 19.36475268145868 69.37352438493465, 19.36469076277626 69.3735861604385, 19.36137632740678 69.37496217664571)</t>
  </si>
  <si>
    <t>[1063731, 1063739, 1063747, 1063755, 1063763, 1063771, 1063779, 1063787, 1063795, 1063803, 1063811, 1063819, 1063827, 1063835, 1063843, 1063851, 1063859, 1103697, 1103705, 1103713, 1103721, 1103729, 1103737, 1103745, 1103753, 1103761, 1103769, 1103777]</t>
  </si>
  <si>
    <t>[781357, 781369, 1011767, 1011775, 1011784, 1011792, 1011796, 1011803, 1011811, 1011817, 1011824, 1011831, 1011840, 1011848, 1011855, 1011865, 1011874, 1045221, 1045227, 1045234, 1045244, 1045247, 1045254, 1045265, 1045273, 1045283, 1045291, 1017172]</t>
  </si>
  <si>
    <t>[1011753, 781357, 781369, 1011767, 1011775, 1011784, 1011792, 1011796, 1011803, 1011811, 1011817, 1011824, 1011831, 1011840, 1011848, 1011855, 1011865, 1011874, 1045221, 1045227, 1045234, 1045244, 1045247, 1045254, 1045265, 1045273, 1045283, 1045291]</t>
  </si>
  <si>
    <t>[0.015, 0.047, 0.011, 0.006, 0.015, 0.031, 0.0, 0.072, 0.018, 0.012, 0.029, 0.096, 0.005, 0.025, 0.013, 0.023, 0.019, 0.009, 0.027, 0.019, 0.023, 0.013, 0.072, 0.076, 0.026, 0.013, 0.034, 0.008]</t>
  </si>
  <si>
    <t>10155.76249828604</t>
  </si>
  <si>
    <t>20.712501525469193</t>
  </si>
  <si>
    <t>[0.044, 0.047, 0.056, 0.057]</t>
  </si>
  <si>
    <t>LINESTRING (18.98557932746409 69.6801096016936, 18.985381221046243 69.6801255997089, 18.98413136845985 69.680382960062, 18.983699725447572 69.68054394962832, 18.983599509140912 69.6805837414498)</t>
  </si>
  <si>
    <t>[1063762, 1063770, 1063778, 1063786]</t>
  </si>
  <si>
    <t>[1011783, 1011791, 1011795, 1011802]</t>
  </si>
  <si>
    <t>0.049689237848938826</t>
  </si>
  <si>
    <t>[1011782, 1011783, 1011791, 1011795]</t>
  </si>
  <si>
    <t>95.28441171411193</t>
  </si>
  <si>
    <t>[0.066, 0.059, 0.031, 0.016]</t>
  </si>
  <si>
    <t>LINESTRING (18.986135238122795 69.68011305873742, 18.985977410646697 69.68014530217509, 18.985814727052958 69.68015034425628, 18.985655722450687 69.68013095589576, 18.98557932746409 69.6801096016936)</t>
  </si>
  <si>
    <t>[1064410, 1064418, 1064426, 1064434]</t>
  </si>
  <si>
    <t>[1012369, 1012373, 1012379, 1011782]</t>
  </si>
  <si>
    <t>0.046515614024027103</t>
  </si>
  <si>
    <t>[1012360, 1012369, 1012373, 1012379]</t>
  </si>
  <si>
    <t>23.762234991165037</t>
  </si>
  <si>
    <t>[0.06, -1.253, 0.035, -0.047, -0.072, 0.002, 0.058, 0.052, -0.028, -7.936, -0.105]</t>
  </si>
  <si>
    <t>LINESTRING (18.983599509140912 69.6805837414498, 18.9831203051535 69.68088595954067, 18.98311378597962 69.68089130024256, 18.98574751202924 69.6829855803485, 18.995154883948217 69.681870381285, 18.995167021962462 69.6818624954651, 19.02292457718856 69.66694942113814, 19.022930862646895 69.66694074185088, 19.024390024802035 69.66446525725436, 19.01859696101042 69.66215147671467, 19.018587420450814 69.66215142579021, 19.018109267249454 69.66214989296277)</t>
  </si>
  <si>
    <t>[1063794, 1063802, 686042, 686050, 686058, 686066, 686074, 686082, 686090, 1063810, 1063818]</t>
  </si>
  <si>
    <t>[1011810, 677735, 677736, 677746, 677755, 677766, 677777, 677784, 677795, 1011823, 1011830]</t>
  </si>
  <si>
    <t>[1011802, 1011810, 677735, 677736, 677746, 677755, 677766, 677777, 677784, 677795, 1011823]</t>
  </si>
  <si>
    <t>[0.06, 1.253, 0.035, 0.047, 0.072, 0.002, 0.058, 0.052, 0.028, 7.936, 0.105]</t>
  </si>
  <si>
    <t>3429.94122825504</t>
  </si>
  <si>
    <t>[0.0, 0.02, 0.035, 0.058]</t>
  </si>
  <si>
    <t>LINESTRING (18.985485447053232 69.68054057754156, 18.985485447053232 69.68054057754156, 18.985477801332483 69.68044683202315, 18.98391014107196 69.68049589772477, 18.983599509140912 69.6805837414498)</t>
  </si>
  <si>
    <t>[1080144, 1080152, 1064234, 1064242]</t>
  </si>
  <si>
    <t>[1025220, 1012203, 1012204, 1011802]</t>
  </si>
  <si>
    <t>0.035507414513204834</t>
  </si>
  <si>
    <t>[1025219, 1025220, 1012203, 1012204]</t>
  </si>
  <si>
    <t>108.37570944934559</t>
  </si>
  <si>
    <t>[-0.105, -0.084, -0.067, -0.062]</t>
  </si>
  <si>
    <t>LINESTRING (19.018109267249454 69.66214989296277, 19.017769582719232 69.66215381171544, 19.016511813636974 69.66227935485533, 19.01639357428054 69.66229931250757, 19.016303467649074 69.6623145200115)</t>
  </si>
  <si>
    <t>[1063826, 1063834, 1063842, 1063850]</t>
  </si>
  <si>
    <t>[1011839, 1011847, 1011854, 1011864]</t>
  </si>
  <si>
    <t>[1011830, 1011839, 1011847, 1011854]</t>
  </si>
  <si>
    <t>[0.105, 0.084, 0.067, 0.062]</t>
  </si>
  <si>
    <t>73.33152318441743</t>
  </si>
  <si>
    <t>[-0.111, -0.108, -0.047, 0.006, -0.012]</t>
  </si>
  <si>
    <t>6695.0</t>
  </si>
  <si>
    <t>LINESTRING (19.018109267249454 69.66214989296277, 19.01784484532509 69.66217234717718, 19.01764872639823 69.66218899572594, 19.01710633021292 69.66282541630838, 19.018003596136356 69.66358337201096, 19.018128172487145 69.663752891239)</t>
  </si>
  <si>
    <t>[1064178, 1064186, 1064194, 1064202, 1064210]</t>
  </si>
  <si>
    <t>[1012158, 1012164, 1012169, 1012176, 1012181]</t>
  </si>
  <si>
    <t>[1011830, 1012158, 1012164, 1012169, 1012176]</t>
  </si>
  <si>
    <t>[0.111, 0.108, 0.047, 0.006, 0.012]</t>
  </si>
  <si>
    <t>213.64814468125235</t>
  </si>
  <si>
    <t>[0.781, -0.039, -0.025, -0.012, -0.005, 0.014, -0.568]</t>
  </si>
  <si>
    <t>LINESTRING (19.016303467649074 69.6623145200115, 19.016239102754312 69.66234564215785, 19.016033943628624 69.6623861874654, 19.015751042218735 69.66237352866776, 19.015668062742318 69.66235269833626, 19.015572658756323 69.66230852373482, 19.015532882169545 69.66225256384449, 19.01556143320793 69.66219324268211)</t>
  </si>
  <si>
    <t>[1104271, 1104279, 1104287, 1104297, 1104305, 1104313, 1104328]</t>
  </si>
  <si>
    <t>[1006237, 1045692, 1024324, 1045699, 1045704, 1045712, 1011872]</t>
  </si>
  <si>
    <t>[1011864, 1006237, 1045692, 1024324, 1045699, 1045704, 1045712]</t>
  </si>
  <si>
    <t>[0.781, 0.039, 0.025, 0.012, 0.005, 0.014, 0.568]</t>
  </si>
  <si>
    <t>47.972501196967265</t>
  </si>
  <si>
    <t>20.496338728221527</t>
  </si>
  <si>
    <t>25.035105743142722</t>
  </si>
  <si>
    <t>[0.008, 0.013]</t>
  </si>
  <si>
    <t>LINESTRING (19.01556143320793 69.66219324268211, 19.01554153301662 69.66208644376658, 19.015538454307748 69.66149991147618)</t>
  </si>
  <si>
    <t>[1063858, 1063866]</t>
  </si>
  <si>
    <t>[1011873, 1011880]</t>
  </si>
  <si>
    <t>0.01222917323392716</t>
  </si>
  <si>
    <t>[1011872, 1011873]</t>
  </si>
  <si>
    <t>77.43637453109216</t>
  </si>
  <si>
    <t>[-0.003, 0.014]</t>
  </si>
  <si>
    <t>LINESTRING (19.015538454307748 69.66149991147618, 19.016007238660244 69.66204337403502, 19.016102546782054 69.66211679449493)</t>
  </si>
  <si>
    <t>[1064235, 1064243]</t>
  </si>
  <si>
    <t>[1012205, 1012209]</t>
  </si>
  <si>
    <t>[1011880, 1012205]</t>
  </si>
  <si>
    <t>[0.003, 0.014]</t>
  </si>
  <si>
    <t>72.27711582513375</t>
  </si>
  <si>
    <t>[0.009, -0.001, -0.022]</t>
  </si>
  <si>
    <t>13251.0</t>
  </si>
  <si>
    <t>LINESTRING (19.010206209385306 69.65570057619811, 19.01198507584902 69.65761433842823, 19.015430067578304 69.66134410775918, 19.015538454307748 69.66149991147618)</t>
  </si>
  <si>
    <t>[1064211, 1064219, 1064227]</t>
  </si>
  <si>
    <t>[1012183, 1012190, 1011880]</t>
  </si>
  <si>
    <t>0.0017502684216184356</t>
  </si>
  <si>
    <t>[1012182, 1012183, 1012190]</t>
  </si>
  <si>
    <t>[0.009, 0.001, 0.022]</t>
  </si>
  <si>
    <t>679.2379732264994</t>
  </si>
  <si>
    <t>[0.058, 0.039, 0.105, 0.013, -0.126, 0.032, 0.058, 0.194, 0.159, 0.161, 0.16, 0.152, 0.11, 0.049, 0.035, -0.206, -0.004, 0.003, -0.004, -0.021, -0.007, 0.005, 0.001, -0.002, 0.007, 0.005, 0.013, 0.003, 0.002, 0.001, -0.018, -0.014, 0.005, -0.009, -0.008, -0.03, -0.039]</t>
  </si>
  <si>
    <t>3443.0</t>
  </si>
  <si>
    <t>[0, 0, 0, 0, 0, 1, 0, 0, 0, 0, 0, 0, 0, 0, 0, 0, 0, 0, 0, 0, 0, 0, 0, 0, 0, 0, 0, 0, 0, 0, 0, 1, 0, 0, 0, 0, 0]</t>
  </si>
  <si>
    <t>LINESTRING (19.280763873109507 69.41814994964979, 19.27907279262905 69.42073757226397, 19.278003859168166 69.42322553161578, 19.27622424554995 69.42506034880535, 19.264577409535605 69.43191867137492, 19.26107884503362 69.43355862045911, 19.26053390829094 69.43377121584206, 19.259047654524256 69.43430129406646, 19.257142026141043 69.43489574172945, 19.256891031447704 69.43497178830232, 19.2567530925966 69.4350133963183, 19.256161308385025 69.43518850015353, 19.25596559042632 69.43524697058696, 19.25235907383856 69.43632225524996, 19.250011238712784 69.43700200763945, 19.242453051498185 69.43933884834422, 19.238137021485546 69.4419787513622, 19.236346659032247 69.44547552075048, 19.2361340928901 69.44600987720003, 19.23550446365941 69.45355367182285, 19.235698641213563 69.45634267974049, 19.23613154308809 69.45832109748302, 19.238255056040256 69.46102011402925, 19.243727675194663 69.46744274880206, 19.246661772997836 69.470897883892, 19.246816687158642 69.47108026474496, 19.247050812316775 69.47135587789668, 19.247075071920673 69.4713843656898, 19.247115580413155 69.47143244258183, 19.247413972253884 69.471783589924, 19.25055920086832 69.47556119281354, 19.251532509214524 69.47709942776301, 19.251600258516095 69.47723176022514, 19.25222599287716 69.48352449136952, 19.251920244575878 69.48588568137932, 19.249676088721305 69.494612459983, 19.24937554596966 69.49518551321377, 19.249066519488128 69.49809596056008)</t>
  </si>
  <si>
    <t>[1782187, 1782195, 1782203, 1782211, 1782219, 1782227, 1782275, 1782283, 1782291, 1782299, 1782307, 1782315, 1782323, 1782331, 1782339, 1782347, 1101585, 1101593, 1101601, 1101609, 1101617, 1101681, 1101689, 1101697, 1101705, 1101713, 1101721, 1101730, 1101292, 1101300, 1101308, 1101316, 1101324, 1101334, 1101859, 1101867, 1101875]</t>
  </si>
  <si>
    <t>[1571978, 1043417, 1571990, 1571998, 1572005, 1572013, 1572047, 1043422, 1572060, 1572064, 1572073, 1572080, 1043526, 1572097, 1043401, 1043459, 1043460, 1043469, 1043475, 1043484, 1043488, 1043533, 1043542, 1043549, 1043558, 1043564, 1043229, 1043189, 1043246, 650910, 1043256, 1043263, 650939, 1043278, 1043673, 1043681, 1011888]</t>
  </si>
  <si>
    <t>0.0003051087396063416</t>
  </si>
  <si>
    <t>[1011881, 1571978, 1043417, 1571990, 1571998, 1572005, 1572013, 1572047, 1043422, 1572060, 1572064, 1572073, 1572080, 1043526, 1572097, 1043401, 1043459, 1043460, 1043469, 1043475, 1043484, 1043488, 1043533, 1043542, 1043549, 1043558, 1043564, 1043229, 1043189, 1043246, 650910, 1043256, 1043263, 650939, 1043278, 1043673, 1043681]</t>
  </si>
  <si>
    <t>[0.058, 0.039, 0.105, 0.013, 0.126, 0.032, 0.058, 0.194, 0.159, 0.161, 0.16, 0.152, 0.11, 0.049, 0.035, 0.206, 0.004, 0.003, 0.004, 0.021, 0.007, 0.005, 0.001, 0.002, 0.007, 0.005, 0.013, 0.003, 0.002, 0.001, 0.018, 0.014, 0.005, 0.009, 0.008, 0.03, 0.039]</t>
  </si>
  <si>
    <t>9598.640122540322</t>
  </si>
  <si>
    <t>[0.058, 0.07, 0.012, -0.126, -0.343, 0.025, -0.006, -0.007, 0.015, 0.073, 0.048, 0.034, 0.025, 0.005, -0.002, 0.005, -0.004, -0.022, -0.008, 0.002, -0.002, -0.0, 0.008, 0.007, 0.004, 0.003, 0.002, -0.003, -0.012, -0.015, 0.007, 0.027, -0.009, -0.004, -0.024, -0.032, -0.041]</t>
  </si>
  <si>
    <t>[0, 0, 0, 0, 1, 0, 0, 0, 0, 0, 0, 0, 0, 0, 0, 0, 0, 0, 0, 0, 0, 0, 0, 0, 0, 0, 0, 0, 0, 1, 0, 0, 0, 0, 0, 0, 0]</t>
  </si>
  <si>
    <t>LINESTRING (19.280763873109507 69.41814994964979, 19.27919049011817 69.42074891573627, 19.276396052306843 69.42508361767466, 19.26472739293088 69.43195642652536, 19.261170527139406 69.43358656654125, 19.26062322438272 69.43380011888955, 19.259145596171763 69.43433747219021, 19.25737244678365 69.43491783708114, 19.257265907877475 69.43495033666547, 19.257154306782056 69.43498438007644, 19.25700950676641 69.43502812445715, 19.256871725735945 69.43506975565703, 19.25627919687814 69.43524432994953, 19.25015872203604 69.43704246074248, 19.23843853755423 69.44200491748629, 19.236544752851348 69.4454870568238, 19.236342333406768 69.44602096863213, 19.235688383325066 69.45355186956665, 19.235820060472992 69.45633638834582, 19.236313823058204 69.45830871356351, 19.24389778575607 69.46741649282869, 19.245418733348288 69.46926841764777, 19.246871284250883 69.47077844567525, 19.24694995508951 69.47086626347098, 19.247108753254167 69.4710479472236, 19.24734297509128 69.47132312634811, 19.247393335392307 69.47138241135683, 19.247692714846345 69.47173438790227, 19.25120273803355 69.47631254505265, 19.251652382317424 69.47709173662717, 19.25172018556998 69.4772243373323, 19.25243990926402 69.48280285962794, 19.252418475977 69.48297182467718, 19.252103346721878 69.48588390550741, 19.2512056780844 69.49249061705133, 19.249862309988984 69.49461594984707, 19.249503512013362 69.49518476344583, 19.249066519488128 69.49809596056008)</t>
  </si>
  <si>
    <t>[1782235, 1782243, 1782251, 1782259, 1782267, 1101102, 1101122, 1101155, 1101159, 1101160, 1101167, 1101172, 1101173, 1101174, 1101625, 1101633, 1101641, 1101649, 1101657, 1101795, 1101803, 1101819, 1101827, 1101835, 1101843, 1101851, 1101353, 1101361, 1101369, 1101377, 1101385, 1101393, 1101401, 1101433, 1101441, 1101449, 1101457]</t>
  </si>
  <si>
    <t>[1572018, 1572026, 1572031, 1572036, 1043079, 1043080, 1043094, 1043125, 1043129, 1043130, 1043136, 1043139, 1043140, 1043141, 1043492, 1043496, 1043502, 1043507, 1043513, 1043623, 1043628, 1043644, 1043651, 1043658, 1043665, 1043188, 1043297, 650918, 1043311, 1043315, 1043321, 1043327, 650949, 650959, 1043364, 1043370, 1011888]</t>
  </si>
  <si>
    <t>0.0002476773843043084</t>
  </si>
  <si>
    <t>[1011881, 1572018, 1572026, 1572031, 1572036, 1043079, 1043080, 1043094, 1043125, 1043129, 1043130, 1043136, 1043139, 1043140, 1043141, 1043492, 1043496, 1043502, 1043507, 1043513, 1043623, 1043628, 1043644, 1043651, 1043658, 1043665, 1043188, 1043297, 650918, 1043311, 1043315, 1043321, 1043327, 650949, 650959, 1043364, 1043370]</t>
  </si>
  <si>
    <t>[0.058, 0.07, 0.012, 0.126, 0.343, 0.025, 0.006, 0.007, 0.015, 0.073, 0.048, 0.034, 0.025, 0.005, 0.002, 0.005, 0.004, 0.022, 0.008, 0.002, 0.002, 0.0, 0.008, 0.007, 0.004, 0.003, 0.002, 0.003, 0.012, 0.015, 0.007, 0.027, 0.009, 0.004, 0.024, 0.032, 0.041]</t>
  </si>
  <si>
    <t>9593.436624812302</t>
  </si>
  <si>
    <t>[-0.044, -0.007, 0.002, 0.004, 0.018, -0.001, 0.015, 0.02, 0.02, 0.019, 0.031, 0.031, -0.002, -0.011, -0.018, -0.012, -0.001, 0.004, 0.015, 0.001, 0.004]</t>
  </si>
  <si>
    <t>[0, 0, 0, 0, 0, 0, 0, 0, 0, 0, 1, 0, 0, 0, 0, 0, 0, 0, 0, 0, 0]</t>
  </si>
  <si>
    <t>LINESTRING (19.35405845178302 69.37517088674738, 19.351807457983025 69.37501273128542, 19.323792504168246 69.3713416318178, 19.322487265385604 69.37134894835182, 19.301165621118223 69.37352765561211, 19.291782340425467 69.37539231757293, 19.286295530427573 69.37753052109122, 19.286213077745625 69.37758776561118, 19.286131518766226 69.37764527556136, 19.284643927259772 69.37979479249103, 19.285446331707153 69.38183442796435, 19.285520795968676 69.38195247073611, 19.286081184889003 69.38559034504478, 19.286027888182623 69.38565558527098, 19.285972938051735 69.38571982387718, 19.284490356299784 69.38715921346743, 19.281597186633682 69.38986384396534, 19.28150714100333 69.38996169467237, 19.27949563329471 69.39554268370627, 19.27953363542097 69.39566153892261, 19.279209881854023 69.3976396076223, 19.280763873109507 69.41814994964979)</t>
  </si>
  <si>
    <t>[1103785, 1103793, 1103801, 1103809, 1103817, 1103825, 1103833, 1103841, 1103849, 1103857, 1103865, 1103873, 1103881, 1103889, 1103897, 1103905, 1103913, 1103921, 1103929, 1103937, 1063867]</t>
  </si>
  <si>
    <t>[1045311, 1045322, 1045332, 1024605, 1045346, 1024774, 1045360, 1006846, 1008048, 1045377, 1045382, 1039152, 1045388, 1024760, 999555, 999715, 1008465, 1014347, 999670, 1008471, 1011881]</t>
  </si>
  <si>
    <t>0.0035194690839333432</t>
  </si>
  <si>
    <t>[1017215, 1045311, 1045322, 1045332, 1024605, 1045346, 1024774, 1045360, 1006846, 1008048, 1045377, 1045382, 1039152, 1045388, 1024760, 999555, 999715, 1008465, 1014347, 999670, 1008471]</t>
  </si>
  <si>
    <t>[0.044, 0.007, 0.002, 0.004, 0.018, 0.001, 0.015, 0.02, 0.02, 0.019, 0.031, 0.031, 0.002, 0.011, 0.018, 0.012, 0.001, 0.004, 0.015, 0.001, 0.004]</t>
  </si>
  <si>
    <t>7574.8507144626</t>
  </si>
  <si>
    <t>[-0.014, -0.014, -0.014, -0.011, -0.016, -0.039, -0.048, -0.046, -0.053, -0.005, -0.0, 0.005, -0.029, 0.003, 0.002, 0.01, -0.013, 0.02, 0.059, 0.023, 0.017, -0.018, -0.016, 0.012, 0.013, 0.024, -0.021, -0.001, -0.003, -0.059, -0.073, -0.02, 0.017, 0.01, -0.008, 0.015, -0.025, 0.011, -0.023, -0.018, -0.015, -0.01, -0.003, -0.033, -0.011, -0.013, -0.011, -0.008, -0.009, -0.011, -0.013, -0.008, -0.009, -0.003, 0.007, -0.009, 0.0, 0.013, 0.885, 0.011, 0.024, 0.04, 0.019, -0.003, -0.013, 0.032, 0.035, 0.045, 0.054, 0.051, -0.005, -0.012, -0.018, -0.024, -0.02, 0.023, 0.021, 0.018]</t>
  </si>
  <si>
    <t>[0, 0, 0, 1, 0, 0, 0, 0, 0, 0, 0, 0, 0, 0, 0, 0, 0, 0, 0, 0, 0, 0, 0, 0, 0, 0, 0, 0, 0, 0, 0, 0, 0, 0, 0, 0, 0, 0, 0, 0, 0, 0, 0, 0, 0, 0, 0, 0, 0, 0, 0, 0, 0, 0, 0, 0, 0, 0, 0, 0, 0, 0, 0, 0, 0, 0, 0, 0, 0, 0, 0, 0, 0, 0, 0, 0, 0, 0]</t>
  </si>
  <si>
    <t>LINESTRING (19.249066519488128 69.49809596056008, 19.249408816890014 69.50069255729196, 19.250386826990443 69.50255159032326, 19.252031853250788 69.51527273829764, 19.251901984569614 69.51545833017032, 19.251248557078632 69.51620318131144, 19.25066456748224 69.51675828665799, 19.25031851473893 69.51709562633098, 19.250215967050643 69.51721225371764, 19.25011086465864 69.517328943305, 19.248294437923846 69.52070087132907, 19.24688311167456 69.52181271899241, 19.236640769253697 69.52786252717056, 19.236330384559714 69.52803108275828, 19.236316661106184 69.52803865004886, 19.23507980358269 69.52872987085031, 19.231021575111306 69.53096376205197, 19.22826428051029 69.53240962684113, 19.22752516448269 69.53279608265454, 19.22668137876591 69.53324247463317, 19.221912504263436 69.53612478848386, 19.221213299353106 69.53663863130316, 19.220136795057616 69.53721103897772, 19.215335077365687 69.53918094544373, 19.21264298318053 69.54053366329242, 19.211988734933584 69.5409412483961, 19.211318240231126 69.54134212364504, 19.206244125096077 69.54366706283504, 19.202626865131105 69.54550179839141, 19.198832447226184 69.54729326213125, 19.198508340548283 69.54745371140628, 19.19849354119716 69.54746103147951, 19.197427720118068 69.54800278926886, 19.195370364499645 69.54937943136572, 19.195160046515895 69.54953350805904, 19.193950161756927 69.55044211863472, 19.191729972290464 69.55341441052205, 19.190794417183614 69.55413417200315, 19.18890087160345 69.55559128726718, 19.187919004859445 69.55631178091767, 19.185159493291533 69.55735326371342, 19.182786783943683 69.55875618565537, 19.182498395131198 69.55935705277236, 19.18243787514209 69.55953119083027, 19.182434914262185 69.5595400857722, 19.18186499422665 69.56118824550724, 19.181842492480122 69.56125707614027, 19.181817256179073 69.56132507366918, 19.18179864500939 69.56138752109464, 19.181666383357896 69.56175946378977, 19.181562920975768 69.56206979327801, 19.181454619183906 69.56304720669954, 19.182821987148778 69.56516399674871, 19.183322934468855 69.56579240721437, 19.183329441981105 69.5658010664117, 19.18017173619762 69.57184724257769, 19.174168918435015 69.57241757805598, 19.167576157595715 69.57181387175186, 19.16586614468333 69.57148286302122, 19.165744233819794 69.5714562160418, 19.161176440616078 69.57004888239065, 19.16067901325283 69.5698459740099, 19.158366676325542 69.5688829635579, 19.156392634234564 69.5680711020245, 19.155472807090348 69.56769294838107, 19.15459510498584 69.56733283803284, 19.154346017542952 69.56722913841283, 19.153158482103446 69.56673441855898, 19.15263640513544 69.56651795122237, 19.150731030554322 69.56572733312417, 19.14877858808443 69.56491912525468, 19.14780676701179 69.56451798280393, 19.1472556253002 69.56428873154528, 19.146337758600072 69.5639096811549, 19.146147542747958 69.56383063175167, 19.13678862702889 69.56305156567264, 19.135947290756757 69.56317586430195, 19.13581412518572 69.56319640423729, 19.13522307221527 69.5632838899113)</t>
  </si>
  <si>
    <t>[1063875, 1063883, 1063891, 1063899, 1063907, 1063915, 1063923, 1063931, 1063939, 1063947, 1063955, 1063963, 1063971, 1063979, 1063987, 1063995, 1064003, 1064011, 1064019, 1064027, 1064035, 1064043, 1064051, 1064059, 1064067, 1064075, 1064083, 1064091, 1064099, 1064107, 1064115, 1064123, 1064131, 1064139, 1064147, 1064155, 1064163, 1064171, 1064179, 1064187, 1064195, 1064203, 1103945, 1103953, 1103961, 1103969, 1103977, 1103985, 1103993, 1104001, 1104009, 1104017, 1104025, 1104033, 1104041, 1104049, 1104061, 1104069, 1104077, 1104089, 1104107, 1104115, 1104130, 1104140, 1104141, 1104142, 1104143, 1104144, 1104147, 1104150, 1104158, 1104166, 1104174, 1104182, 1104189, 1104197, 1104201, 1104209]</t>
  </si>
  <si>
    <t>[904367, 1011896, 1011905, 1011914, 1011921, 909781, 1006887, 1011945, 1011952, 909747, 909720, 909669, 1011980, 1011988, 904098, 1012002, 1012008, 904068, 909640, 909608, 1012036, 909600, 909580, 909574, 909566, 909558, 909550, 909541, 909520, 1012096, 1012105, 909492, 909467, 1012125, 909458, 909451, 1012145, 1012152, 909433, 920244, 1012170, 907615, 1045433, 1045441, 907606, 1018835, 1045466, 1026977, 1045481, 1045490, 1045498, 904394, 1045510, 1045518, 904496, 913765, 913801, 913820, 1045556, 904502, 904518, 1045588, 1045595, 913872, 913898, 913906, 1028545, 1045603, 1045606, 1045610, 913934, 913968, 1045625, 1045630, 914013, 1045642, 1045647, 1045653]</t>
  </si>
  <si>
    <t>[1011888, 904367, 1011896, 1011905, 1011914, 1011921, 909781, 1006887, 1011945, 1011952, 909747, 909720, 909669, 1011980, 1011988, 904098, 1012002, 1012008, 904068, 909640, 909608, 1012036, 909600, 909580, 909574, 909566, 909558, 909550, 909541, 909520, 1012096, 1012105, 909492, 909467, 1012125, 909458, 909451, 1012145, 1012152, 909433, 920244, 1012170, 907615, 1045433, 1045441, 907606, 1018835, 1045466, 1026977, 1045481, 1045490, 1045498, 904394, 1045510, 1045518, 904496, 913765, 913801, 913820, 1045556, 904502, 904518, 1045588, 1045595, 913872, 913898, 913906, 1028545, 1045603, 1045606, 1045610, 913934, 913968, 1045625, 1045630, 914013, 1045642, 1045647]</t>
  </si>
  <si>
    <t>[0.014, 0.014, 0.014, 0.011, 0.016, 0.039, 0.048, 0.046, 0.053, 0.005, 0.0, 0.005, 0.029, 0.003, 0.002, 0.01, 0.013, 0.02, 0.059, 0.023, 0.017, 0.018, 0.016, 0.012, 0.013, 0.024, 0.021, 0.001, 0.003, 0.059, 0.073, 0.02, 0.017, 0.01, 0.008, 0.015, 0.025, 0.011, 0.023, 0.018, 0.015, 0.01, 0.003, 0.033, 0.011, 0.013, 0.011, 0.008, 0.009, 0.011, 0.013, 0.008, 0.009, 0.003, 0.007, 0.009, 0.0, 0.013, 0.885, 0.011, 0.024, 0.04, 0.019, 0.003, 0.013, 0.032, 0.035, 0.045, 0.054, 0.051, 0.005, 0.012, 0.018, 0.024, 0.02, 0.023, 0.021, 0.018]</t>
  </si>
  <si>
    <t>11321.141515345229</t>
  </si>
  <si>
    <t>70.80713322767475</t>
  </si>
  <si>
    <t>[0.045, 0.096]</t>
  </si>
  <si>
    <t>LINESTRING (18.98234825405135 69.64749709904893, 18.982428378334923 69.64752123351234, 18.98366585383305 69.64778869769921)</t>
  </si>
  <si>
    <t>[1064122, 1064130]</t>
  </si>
  <si>
    <t>[1012113, 1012119]</t>
  </si>
  <si>
    <t>0.0925617834445597</t>
  </si>
  <si>
    <t>[1012112, 1012113]</t>
  </si>
  <si>
    <t>61.02473918725156</t>
  </si>
  <si>
    <t>[0.017, -0.01, 0.009, -0.016, -0.057]</t>
  </si>
  <si>
    <t>LINESTRING (18.980901087539948 69.64337603126086, 18.98137116615659 69.64355327161476, 18.9816320296633 69.64369614766345, 18.982653286534436 69.64461482895209, 18.98248357839276 69.64713277663003, 18.98234825405135 69.64749709904893)</t>
  </si>
  <si>
    <t>[1190800, 1190808, 1190816, 1190824, 1190832]</t>
  </si>
  <si>
    <t>[1118729, 877887, 877416, 918963, 1012112]</t>
  </si>
  <si>
    <t>[1017397, 1118729, 877887, 877416, 918963]</t>
  </si>
  <si>
    <t>[0.017, 0.01, 0.009, 0.016, 0.057]</t>
  </si>
  <si>
    <t>479.40071008071055</t>
  </si>
  <si>
    <t>[0.105, 0.07]</t>
  </si>
  <si>
    <t>LINESTRING (18.98366585383305 69.64778869769921, 18.984521768662486 69.6479635683842, 18.98561430483339 69.64815697967373)</t>
  </si>
  <si>
    <t>[1064138, 1064146]</t>
  </si>
  <si>
    <t>[918971, 1012132]</t>
  </si>
  <si>
    <t>0.08568433977944455</t>
  </si>
  <si>
    <t>[1012119, 918971]</t>
  </si>
  <si>
    <t>86.23222135320975</t>
  </si>
  <si>
    <t>[-0.153, -0.073, -0.029]</t>
  </si>
  <si>
    <t>LINESTRING (18.98366585383305 69.64778869769921, 18.98335807227164 69.64777431028831, 18.982246402239902 69.64799865549489, 18.982103672871304 69.64812614711579)</t>
  </si>
  <si>
    <t>[1064154, 1064162, 1064170]</t>
  </si>
  <si>
    <t>[1012138, 1012144, 1012151]</t>
  </si>
  <si>
    <t>[1012119, 1012138, 1012144]</t>
  </si>
  <si>
    <t>[0.153, 0.073, 0.029]</t>
  </si>
  <si>
    <t>80.37832935181977</t>
  </si>
  <si>
    <t>[0.004, 0.004, 0.004, 0.004, 0.005, 0.004, 0.004, 0.004, 0.006, 0.007, 0.009, -0.003]</t>
  </si>
  <si>
    <t>LINESTRING (19.007253393819433 69.65330865216652, 19.008066881583566 69.65390100297361, 19.00861762803607 69.65430604423699, 19.008668927834503 69.65434362936789, 19.008676776604954 69.65434937053257, 19.008747585295456 69.65439482900786, 19.008782654806975 69.65441783542006, 19.008841754398823 69.65445925813219, 19.008897952111965 69.65449966907049, 19.0094912662998 69.65505828198432, 19.009542155517817 69.6551076187301, 19.009586653188524 69.6551464912279, 19.010206209385306 69.65570057619811)</t>
  </si>
  <si>
    <t>[1070478, 1070486, 1070494, 1070502, 1070510, 1070518, 1070526, 1070534, 1070542, 1070550, 1070558, 1070566]</t>
  </si>
  <si>
    <t>[1017403, 1017408, 1017414, 1017420, 1017423, 1017316, 1017436, 1017442, 1017449, 1017453, 1017459, 1012182]</t>
  </si>
  <si>
    <t>0.0030204376805710153</t>
  </si>
  <si>
    <t>[1017402, 1017403, 1017408, 1017414, 1017420, 1017423, 1017316, 1017436, 1017442, 1017449, 1017453, 1017459]</t>
  </si>
  <si>
    <t>[0.004, 0.004, 0.004, 0.004, 0.005, 0.004, 0.004, 0.004, 0.006, 0.007, 0.009, 0.003]</t>
  </si>
  <si>
    <t>290.6672798729392</t>
  </si>
  <si>
    <t>[0.005, 0.005, 0.005, 0.004, 0.004, 0.005, 0.004, 0.005, 0.004, 0.004, 0.008, -0.004]</t>
  </si>
  <si>
    <t>LINESTRING (19.007253393819433 69.65330865216652, 19.008041981758886 69.65373588485352, 19.008166308621586 69.6538178538382, 19.00824556358703 69.65387059425659, 19.008821554872494 69.65426998169907, 19.008868620417786 69.65430811280403, 19.008885932347827 69.65432212769831, 19.008947842676026 69.6543628482247, 19.008995412423754 69.65439599050225, 19.00904864455959 69.6544291739953, 19.00910038458982 69.65447099850368, 19.009692642689878 69.65503903250291, 19.010206209385306 69.65570057619811)</t>
  </si>
  <si>
    <t>[1070516, 1070524, 1070532, 1070540, 1070548, 1070556, 1070564, 1070572, 1070580, 1070588, 1070596, 1070604]</t>
  </si>
  <si>
    <t>[1017429, 1017435, 1017440, 1017447, 1017452, 1017458, 1017464, 1017469, 1017474, 1017479, 1017484, 1012182]</t>
  </si>
  <si>
    <t>0.003101273134725224</t>
  </si>
  <si>
    <t>[1017402, 1017429, 1017435, 1017440, 1017447, 1017452, 1017458, 1017464, 1017469, 1017474, 1017479, 1017484]</t>
  </si>
  <si>
    <t>[0.005, 0.005, 0.005, 0.004, 0.004, 0.005, 0.004, 0.005, 0.004, 0.004, 0.008, 0.004]</t>
  </si>
  <si>
    <t>292.2497160851693</t>
  </si>
  <si>
    <t>[-0.051, -0.017, -0.012]</t>
  </si>
  <si>
    <t>LINESTRING (18.983861551157197 69.68032262069761, 18.984184420469095 69.68017818674586, 18.98361820836284 69.67906351691951, 18.983308675385793 69.67891551403146)</t>
  </si>
  <si>
    <t>[1064218, 1064226, 1080120]</t>
  </si>
  <si>
    <t>[1012189, 1012197, 1017519]</t>
  </si>
  <si>
    <t>[1012188, 1012189, 1012197]</t>
  </si>
  <si>
    <t>[0.051, 0.017, 0.012]</t>
  </si>
  <si>
    <t>202.14234630379204</t>
  </si>
  <si>
    <t>[-0.053, -0.049, -0.044]</t>
  </si>
  <si>
    <t>LINESTRING (18.983861551157197 69.68032262069761, 18.98402241253626 69.68027513636596, 18.985317836304517 69.6799828631355, 18.98553779756113 69.67993544583481)</t>
  </si>
  <si>
    <t>[1064307, 1064315, 1064323]</t>
  </si>
  <si>
    <t>[1012270, 1012278, 1012284]</t>
  </si>
  <si>
    <t>[1012188, 1012270, 1012278]</t>
  </si>
  <si>
    <t>[0.053, 0.049, 0.044]</t>
  </si>
  <si>
    <t>78.1703192523095</t>
  </si>
  <si>
    <t>[0.072, 0.088, 0.113, 0.105, 1.502, 0.059, -0.061, -0.072, -0.006, 0.047, 0.044, -0.04, -0.036, -0.057]</t>
  </si>
  <si>
    <t>LINESTRING (19.016220742675195 69.66214355639718, 19.016410755150336 69.66211988880993, 19.0179629624972 69.66205926884871, 19.0181966865041 69.66205407585333, 19.018540017667195 69.66205087228998, 19.018592903280016 69.66205094526954, 19.024782886626742 69.66365927499935, 19.024028419225694 69.66624780443112, 19.024022737903465 69.66625653280235, 18.996188862318675 69.68164387456882, 18.996176805407092 69.68165177659118, 18.984986171529155 69.68306972492525, 18.982766816198424 69.68084466765838, 18.98348876624794 69.68044356163404, 18.983861551157197 69.68032262069761)</t>
  </si>
  <si>
    <t>[1064251, 1064259, 1064267, 1064275, 1064283, 786725, 786733, 786741, 786749, 786757, 786765, 786773, 1064291, 1064299]</t>
  </si>
  <si>
    <t>[1012216, 1012222, 1012231, 1012238, 766697, 766698, 766704, 766714, 766721, 766729, 766736, 766744, 1012252, 1012188]</t>
  </si>
  <si>
    <t>0.0026796622774455576</t>
  </si>
  <si>
    <t>[1012215, 1012216, 1012222, 1012231, 1012238, 766697, 766698, 766704, 766714, 766721, 766729, 766736, 766744, 1012252]</t>
  </si>
  <si>
    <t>[0.072, 0.088, 0.113, 0.105, 1.502, 0.059, 0.061, 0.072, 0.006, 0.047, 0.044, 0.04, 0.036, 0.057]</t>
  </si>
  <si>
    <t>3650.978584169454</t>
  </si>
  <si>
    <t>5.472001462148145</t>
  </si>
  <si>
    <t>[0.022, 0.02, 0.006, -0.005]</t>
  </si>
  <si>
    <t>LINESTRING (18.978949827473475 69.64308470079939, 18.97901819977562 69.64306838773648, 18.97925409720177 69.64306144147619, 18.979452793833325 69.6430910510485, 18.979505408758484 69.64311253195224)</t>
  </si>
  <si>
    <t>[1064266, 1064274, 1064282, 1064290]</t>
  </si>
  <si>
    <t>[1012230, 1012237, 1012243, 1012251]</t>
  </si>
  <si>
    <t>0.012077005911512036</t>
  </si>
  <si>
    <t>[1012229, 1012230, 1012237, 1012243]</t>
  </si>
  <si>
    <t>[0.022, 0.02, 0.006, 0.005]</t>
  </si>
  <si>
    <t>23.95505883626146</t>
  </si>
  <si>
    <t>[0.016, 0.023]</t>
  </si>
  <si>
    <t>LINESTRING (18.978877809474067 69.64330087387759, 18.978775933202897 69.64317992628465, 18.978949827473475 69.64308470079939)</t>
  </si>
  <si>
    <t>[1064346, 1064354]</t>
  </si>
  <si>
    <t>[1012313, 1012229]</t>
  </si>
  <si>
    <t>0.019309101178277426</t>
  </si>
  <si>
    <t>[1012303, 1012313]</t>
  </si>
  <si>
    <t>27.24333589469529</t>
  </si>
  <si>
    <t>[0.021, -0.119]</t>
  </si>
  <si>
    <t>LINESTRING (18.977464317902726 69.64301896881337, 18.97871345552219 69.64308746188752, 18.978949827473475 69.64308470079939)</t>
  </si>
  <si>
    <t>[2024783, 2024790]</t>
  </si>
  <si>
    <t>[1768152, 1012229]</t>
  </si>
  <si>
    <t>[1118721, 1768152]</t>
  </si>
  <si>
    <t>[0.021, 0.119]</t>
  </si>
  <si>
    <t>58.558046745651325</t>
  </si>
  <si>
    <t>[-0.022, -0.028]</t>
  </si>
  <si>
    <t>LINESTRING (18.979505408758484 69.64311253195224, 18.979595108697396 69.6432163985879, 18.97947082048815 69.64330780315477)</t>
  </si>
  <si>
    <t>[1064298, 1064306]</t>
  </si>
  <si>
    <t>[1012260, 1012269]</t>
  </si>
  <si>
    <t>[1012251, 1012260]</t>
  </si>
  <si>
    <t>[0.022, 0.028]</t>
  </si>
  <si>
    <t>23.619214859877562</t>
  </si>
  <si>
    <t>[0.377, 0.06, 0.018]</t>
  </si>
  <si>
    <t>LINESTRING (18.979505408758484 69.64311253195224, 18.97971118078454 69.6431370663318, 18.98075565642066 69.64331933939116, 18.980901087539948 69.64337603126086)</t>
  </si>
  <si>
    <t>[1070492, 1070500, 1070508]</t>
  </si>
  <si>
    <t>[1017413, 1017418, 1017397]</t>
  </si>
  <si>
    <t>0.09701527174990386</t>
  </si>
  <si>
    <t>[1012251, 1017413, 1017418]</t>
  </si>
  <si>
    <t>62.71742018633313</t>
  </si>
  <si>
    <t>[-0.018, -0.019, -0.003, 0.008]</t>
  </si>
  <si>
    <t>LINESTRING (18.97947082048815 69.64330780315477, 18.97941153016153 69.64332397305397, 18.979190735179458 69.6433472239281, 18.978932910199205 69.64331812993785, 18.978877809474067 69.64330087387759)</t>
  </si>
  <si>
    <t>[1064314, 1064322, 1064330, 1064338]</t>
  </si>
  <si>
    <t>[1012277, 1012283, 1012294, 1012303]</t>
  </si>
  <si>
    <t>[1012269, 1012277, 1012283, 1012294]</t>
  </si>
  <si>
    <t>[0.018, 0.019, 0.003, 0.008]</t>
  </si>
  <si>
    <t>25.286261976256515</t>
  </si>
  <si>
    <t>[0.414, 0.07, 0.062]</t>
  </si>
  <si>
    <t>LINESTRING (18.97947082048815 69.64330780315477, 18.97967043771398 69.6432967210165, 18.980713611659247 69.64335675154479, 18.980901087539948 69.64337603126086)</t>
  </si>
  <si>
    <t>[1070454, 1070462, 1070470]</t>
  </si>
  <si>
    <t>[1017386, 1017391, 1017397]</t>
  </si>
  <si>
    <t>0.11584067468057971</t>
  </si>
  <si>
    <t>[1012269, 1017386, 1017391]</t>
  </si>
  <si>
    <t>57.582967658444225</t>
  </si>
  <si>
    <t>6.143232048298328</t>
  </si>
  <si>
    <t>[0.017, -0.148]</t>
  </si>
  <si>
    <t>LINESTRING (18.977464317902726 69.64301896881337, 18.978667059800934 69.64324618441218, 18.978877809474067 69.64330087387759)</t>
  </si>
  <si>
    <t>[2024758, 2024782]</t>
  </si>
  <si>
    <t>[1768137, 1012303]</t>
  </si>
  <si>
    <t>[1118721, 1768137]</t>
  </si>
  <si>
    <t>[0.017, 0.148]</t>
  </si>
  <si>
    <t>63.44742699798713</t>
  </si>
  <si>
    <t>[-0.051, -0.052]</t>
  </si>
  <si>
    <t>LINESTRING (18.985652955064737 69.6798976133981, 18.985834175333487 69.67987705728403, 18.986051528889213 69.67989332350506)</t>
  </si>
  <si>
    <t>[1064370, 1064378]</t>
  </si>
  <si>
    <t>[1012334, 1012342]</t>
  </si>
  <si>
    <t>[1012328, 1012334]</t>
  </si>
  <si>
    <t>[0.051, 0.052]</t>
  </si>
  <si>
    <t>16.009541707881148</t>
  </si>
  <si>
    <t>[-0.146, -0.008, 0.007, 0.011]</t>
  </si>
  <si>
    <t>LINESTRING (18.985652955064737 69.6798976133981, 18.98562356241721 69.67985525629283, 18.985214875806374 69.67954460588773, 18.98493364567166 69.6794346481044, 18.983308675385793 69.67891551403146)</t>
  </si>
  <si>
    <t>[1070612, 1070620, 1070628, 1070636]</t>
  </si>
  <si>
    <t>[1017497, 1017504, 1017511, 1017519]</t>
  </si>
  <si>
    <t>0.00026243555033424887</t>
  </si>
  <si>
    <t>[1012328, 1017497, 1017504, 1017511]</t>
  </si>
  <si>
    <t>[0.146, 0.008, 0.007, 0.011]</t>
  </si>
  <si>
    <t>145.3873810126722</t>
  </si>
  <si>
    <t>[-0.095, -0.004, 0.005, 0.01]</t>
  </si>
  <si>
    <t>LINESTRING (18.986051528889213 69.67989332350506, 18.986016313303185 69.67983608635839, 18.985570745407955 69.6795469465497, 18.985286645707856 69.67942860946378, 18.985120534005894 69.67937137964358)</t>
  </si>
  <si>
    <t>[1070574, 1070582, 1070590, 1070598]</t>
  </si>
  <si>
    <t>[1017470, 1017475, 1017480, 1017485]</t>
  </si>
  <si>
    <t>[1012342, 1017470, 1017475, 1017480]</t>
  </si>
  <si>
    <t>[0.095, 0.004, 0.005, 0.01]</t>
  </si>
  <si>
    <t>69.37499487145162</t>
  </si>
  <si>
    <t>[-0.097, -0.049, -0.014, -0.023, -0.025, 0.01, -0.003, -0.003]</t>
  </si>
  <si>
    <t>LINESTRING (18.986135238122795 69.68011305873742, 18.986353916006692 69.6800882374733, 18.98670148241285 69.68006974193665, 18.988846817167225 69.68049032665583, 18.989288996133965 69.68062757987967, 18.989560825709933 69.6807118260613, 18.994818458082342 69.68234032490122, 18.995934476852717 69.68256767271481, 18.99609596932665 69.68259859417519)</t>
  </si>
  <si>
    <t>[1079311, 1079319, 1319342, 1319343, 1319352, 1319360, 1319387, 1319388]</t>
  </si>
  <si>
    <t>[1024477, 1024482, 1226558, 1226559, 1226568, 1226576, 1226595, 1226474]</t>
  </si>
  <si>
    <t>[1012360, 1024477, 1024482, 1226558, 1226559, 1226568, 1226576, 1226595]</t>
  </si>
  <si>
    <t>[0.097, 0.049, 0.014, 0.023, 0.025, 0.01, 0.003, 0.003]</t>
  </si>
  <si>
    <t>487.2427049765177</t>
  </si>
  <si>
    <t>[-0.054, -0.047]</t>
  </si>
  <si>
    <t>LINESTRING (18.980536599418272 69.67788584488744, 18.980691338243414 69.67782701171541, 18.980881667646827 69.67780699951648)</t>
  </si>
  <si>
    <t>[1064474, 1064482]</t>
  </si>
  <si>
    <t>[1012420, 1012426]</t>
  </si>
  <si>
    <t>[1012412, 1012420]</t>
  </si>
  <si>
    <t>[0.054, 0.047]</t>
  </si>
  <si>
    <t>16.60113466649336</t>
  </si>
  <si>
    <t>[0.062, -0.013, -0.008]</t>
  </si>
  <si>
    <t>28405.0</t>
  </si>
  <si>
    <t>LINESTRING (18.980536599418272 69.67788584488744, 18.98045028743079 69.67783183220783, 18.979090209347476 69.67694336092504, 18.978448436334492 69.67649146275991)</t>
  </si>
  <si>
    <t>[1070676, 1070684, 1070692]</t>
  </si>
  <si>
    <t>[1017551, 1017557, 1017563]</t>
  </si>
  <si>
    <t>[1012412, 1017551, 1017557]</t>
  </si>
  <si>
    <t>[0.062, 0.013, 0.008]</t>
  </si>
  <si>
    <t>175.36781133875408</t>
  </si>
  <si>
    <t>[0.031, 0.013, -0.021, -0.046]</t>
  </si>
  <si>
    <t>LINESTRING (18.98093110709454 69.67807953973157, 18.980781921147685 69.67807323891644, 18.980602330731397 69.67803440476372, 18.98049967671953 69.67793781924297, 18.980536599418272 69.67788584488744)</t>
  </si>
  <si>
    <t>[1064538, 1064450, 1064458, 1064466]</t>
  </si>
  <si>
    <t>[1012398, 1012399, 1012406, 1012412]</t>
  </si>
  <si>
    <t>[1012469, 1012398, 1012399, 1012406]</t>
  </si>
  <si>
    <t>[0.031, 0.013, 0.021, 0.046]</t>
  </si>
  <si>
    <t>31.697356711439326</t>
  </si>
  <si>
    <t>[-0.03, -0.014, 0.023, 0.045]</t>
  </si>
  <si>
    <t>LINESTRING (18.980881667646827 69.67780699951648, 18.98103006709626 69.67781600426837, 18.98118829738011 69.67785410069001, 18.98128421964709 69.67793409238978, 18.9812607318753 69.6779918083994)</t>
  </si>
  <si>
    <t>[1064490, 1064498, 1064506, 1064514]</t>
  </si>
  <si>
    <t>[1012434, 1012443, 1012452, 1012457]</t>
  </si>
  <si>
    <t>0.00798138229687779</t>
  </si>
  <si>
    <t>[1012426, 1012434, 1012443, 1012452]</t>
  </si>
  <si>
    <t>[0.03, 0.014, 0.023, 0.045]</t>
  </si>
  <si>
    <t>29.472278876287774</t>
  </si>
  <si>
    <t>[0.071, -0.01]</t>
  </si>
  <si>
    <t>LINESTRING (18.980881667646827 69.67780699951648, 18.980773197839884 69.67776259038354, 18.979307418335914 69.67689019185583)</t>
  </si>
  <si>
    <t>[1070646, 1070654]</t>
  </si>
  <si>
    <t>[1017526, 1017534]</t>
  </si>
  <si>
    <t>[1012426, 1017526]</t>
  </si>
  <si>
    <t>[0.071, 0.01]</t>
  </si>
  <si>
    <t>119.60776417288608</t>
  </si>
  <si>
    <t>LINESTRING (18.9812607318753 69.6779918083994, 18.98113998700473 69.67804970025733, 18.98093110709454 69.67807953973157)</t>
  </si>
  <si>
    <t>[1064522, 1064530]</t>
  </si>
  <si>
    <t>[1012465, 1012469]</t>
  </si>
  <si>
    <t>0.050336877657422265</t>
  </si>
  <si>
    <t>[1012457, 1012465]</t>
  </si>
  <si>
    <t>16.731705092187514</t>
  </si>
  <si>
    <t>[0.01, 0.006, -0.0, 0.0, -0.031]</t>
  </si>
  <si>
    <t>LINESTRING (18.985120534005894 69.67937137964358, 18.98358533763827 69.67887743126616, 18.981931299620562 69.67829752201628, 18.98153984426232 69.67813226616882, 18.981341513799894 69.6780324611946, 18.9812607318753 69.6779918083994)</t>
  </si>
  <si>
    <t>[1070606, 1070614, 1070622, 1070630, 1070638]</t>
  </si>
  <si>
    <t>[1017491, 1017498, 1017506, 1017513, 1012457]</t>
  </si>
  <si>
    <t>0.005516896035725481</t>
  </si>
  <si>
    <t>[1017485, 1017491, 1017498, 1017506, 1017513]</t>
  </si>
  <si>
    <t>[0.01, 0.006, 0.0, 0.0, 0.031]</t>
  </si>
  <si>
    <t>215.13916474454118</t>
  </si>
  <si>
    <t>[0.005, 0.005, 0.013, -0.028]</t>
  </si>
  <si>
    <t>LINESTRING (18.983308675385793 69.67891551403146, 18.981743814987052 69.67835623673824, 18.98130037718033 69.67819357918886, 18.981036350643752 69.67811267519318, 18.98093110709454 69.67807953973157)</t>
  </si>
  <si>
    <t>[1070644, 1070652, 1070660, 1070668]</t>
  </si>
  <si>
    <t>[1017525, 1017532, 1017539, 1012469]</t>
  </si>
  <si>
    <t>0.004447198696718812</t>
  </si>
  <si>
    <t>[1017519, 1017525, 1017532, 1017539]</t>
  </si>
  <si>
    <t>[0.005, 0.005, 0.013, 0.028]</t>
  </si>
  <si>
    <t>131.1683102681091</t>
  </si>
  <si>
    <t>[0.049, 0.037, 0.038, 0.022, 0.034, 0.042, 0.033, 0.036, 0.032, 0.026, 0.019, 0.005, -0.22]</t>
  </si>
  <si>
    <t>LINESTRING (16.64880557036766 68.57697138850216, 16.64720081471628 68.57731331096507, 16.646438815026738 68.5774928472326, 16.645706183373992 68.57766808258287, 16.645645061835435 68.57768298061536, 16.645517297465197 68.5777144633865, 16.645411249817787 68.57774088920148, 16.64532263475409 68.57776139386834, 16.64473629005752 68.57790962630307, 16.64452280242398 68.57796228410967, 16.64394501140889 68.57811117475256, 16.64331100089807 68.57828543609953, 16.643210005983523 68.57831323760544, 16.643057831592454 68.57838021435761)</t>
  </si>
  <si>
    <t>[1070686, 1070694, 1070702, 1070710, 1070718, 1070726, 1070734, 1070742, 1070750, 1070758, 1070766, 1070774, 1070782]</t>
  </si>
  <si>
    <t>[1017559, 1017566, 1017575, 1017583, 1017592, 1017599, 1017605, 1017611, 1017619, 1017626, 1017633, 1017639, 1012617]</t>
  </si>
  <si>
    <t>0.027286404135781324</t>
  </si>
  <si>
    <t>[1012611, 1017559, 1017566, 1017575, 1017583, 1017592, 1017599, 1017605, 1017611, 1017619, 1017626, 1017633, 1017639]</t>
  </si>
  <si>
    <t>[0.049, 0.037, 0.038, 0.022, 0.034, 0.042, 0.033, 0.036, 0.032, 0.026, 0.019, 0.005, 0.22]</t>
  </si>
  <si>
    <t>282.9265545461152</t>
  </si>
  <si>
    <t>[0.059, 0.031, 0.037, 0.037, 0.035, 0.036, 0.036, 0.031, 0.025, 0.014, -0.167]</t>
  </si>
  <si>
    <t>[0, 0, 0, 0, 0, 0, 0, 0, 1, 0, 0]</t>
  </si>
  <si>
    <t>LINESTRING (16.64880557036766 68.57697138850216, 16.647440457962166 68.57733514349773, 16.6473041945911 68.57736947404707, 16.646542855434667 68.57755335544681, 16.64580651593985 68.57772991937792, 16.645636644162675 68.57776918846146, 16.645436913775452 68.57781830381556, 16.644844818400376 68.57796509461339, 16.64463073177833 68.57801963343191, 16.644039235546607 68.57816334723077, 16.643379784593204 68.57832431049408, 16.643057831592454 68.57838021435761)</t>
  </si>
  <si>
    <t>[1070732, 1070740, 1070748, 1070756, 1070764, 1070772, 1070780, 1070788, 1070796, 1070804, 1070812]</t>
  </si>
  <si>
    <t>[1017604, 1017610, 1017618, 1017625, 1017632, 1017638, 1017644, 1017647, 1017654, 1017661, 1012617]</t>
  </si>
  <si>
    <t>0.02744854418961743</t>
  </si>
  <si>
    <t>[1012611, 1017604, 1017610, 1017618, 1017625, 1017632, 1017638, 1017644, 1017647, 1017654, 1017661]</t>
  </si>
  <si>
    <t>[0.059, 0.031, 0.037, 0.037, 0.035, 0.036, 0.036, 0.031, 0.025, 0.014, 0.167]</t>
  </si>
  <si>
    <t>282.3951671546956</t>
  </si>
  <si>
    <t>[0.018, 0.011, 0.039, 0.047, 0.031, -0.0, 0.023, -0.019, 0.024, -0.0, -0.065]</t>
  </si>
  <si>
    <t>LINESTRING (16.643057831592454 68.57838021435761, 16.634651972951485 68.58075020645441, 16.592046223352906 68.5942330785598, 16.591806480982143 68.59433119308952, 16.59054769963254 68.59486700428074, 16.59040582743181 68.5949261006672, 16.590341534687372 68.59495287677858, 16.590293345231558 68.59497295183253, 16.583751625565817 68.59711164636437, 16.583681153441063 68.59714120515639, 16.573988895293997 68.60063983569792, 16.57104541075476 68.60167617942325)</t>
  </si>
  <si>
    <t>[1064714, 1064722, 1064730, 1064738, 1064746, 1064754, 1064762, 1064770, 1064778, 1064786, 1064794]</t>
  </si>
  <si>
    <t>[1012618, 1012623, 779643, 779658, 1012640, 1012645, 1012650, 1012657, 1012663, 1012668, 1012673]</t>
  </si>
  <si>
    <t>0.005131233999417335</t>
  </si>
  <si>
    <t>[1012617, 1012618, 1012623, 779643, 779658, 1012640, 1012645, 1012650, 1012657, 1012663, 1012668]</t>
  </si>
  <si>
    <t>[0.018, 0.011, 0.039, 0.047, 0.031, 0.0, 0.023, 0.019, 0.024, 0.0, 0.065]</t>
  </si>
  <si>
    <t>3932.0248282497123</t>
  </si>
  <si>
    <t>[-0.096, -0.084, -0.099, -0.064, -0.08, -0.074, -0.055, -0.04, -0.295]</t>
  </si>
  <si>
    <t>LINESTRING (16.57104541075476 68.60167617942325, 16.570063933479926 68.6021227171473, 16.569426784640644 68.60255137384142, 16.569411915405965 68.60256500494772, 16.569365946729576 68.60260716689483, 16.56932349565695 68.60264939474516, 16.569284347285617 68.6026872049331, 16.56877782773888 68.60347797322652, 16.568758539584785 68.60353634859, 16.56877627939688 68.60361693262443)</t>
  </si>
  <si>
    <t>[1070790, 1070798, 1070806, 1070814, 1070822, 1070830, 1070838, 1070846, 1070854]</t>
  </si>
  <si>
    <t>[1017648, 1006650, 1017662, 1017666, 1017674, 1017679, 1017687, 1017693, 1012680]</t>
  </si>
  <si>
    <t>[1012673, 1017648, 1006650, 1017662, 1017666, 1017674, 1017679, 1017687, 1017693]</t>
  </si>
  <si>
    <t>[0.096, 0.084, 0.099, 0.064, 0.08, 0.074, 0.055, 0.04, 0.295]</t>
  </si>
  <si>
    <t>240.95096354698825</t>
  </si>
  <si>
    <t>[-0.083, -0.069, -0.081, -0.084, -0.067, -0.062, -0.233]</t>
  </si>
  <si>
    <t>LINESTRING (16.57104541075476 68.60167617942325, 16.57026742619615 68.60211222627278, 16.570206423711433 68.60214980079945, 16.569580647892032 68.60258578916962, 16.569532693168302 68.60262308039476, 16.569446283755873 68.60270564833054, 16.568864606881704 68.60348294260633, 16.56877627939688 68.60361693262443)</t>
  </si>
  <si>
    <t>[1070820, 1070828, 1070836, 1070844, 1070852, 1070860, 1070868]</t>
  </si>
  <si>
    <t>[1017672, 1017678, 1017685, 1006668, 1017698, 1017702, 1012680]</t>
  </si>
  <si>
    <t>[1012673, 1017672, 1017678, 1017685, 1006668, 1017698, 1017702]</t>
  </si>
  <si>
    <t>[0.083, 0.069, 0.081, 0.084, 0.067, 0.062, 0.233]</t>
  </si>
  <si>
    <t>237.6637579329709</t>
  </si>
  <si>
    <t>[-0.011, -0.061, -0.0, -0.016, -0.012, 0.007, 0.028, 0.016, 0.007, -0.002]</t>
  </si>
  <si>
    <t>LINESTRING (16.56877627939688 68.60361693262443, 16.569215868760807 68.6050186074157, 16.568749890178367 68.6063072453037, 16.567176089532108 68.60820628457756, 16.575282681717038 68.61598512856725, 16.575309568097598 68.61600955692566, 16.578922284922754 68.61816332722657, 16.578986917749056 68.61819687504175, 16.58035869642087 68.61895987342879, 16.581373514579337 68.61954893092768, 16.58224522886918 68.62004816982247)</t>
  </si>
  <si>
    <t>[1064802, 1064810, 1064818, 1064826, 1064834, 1064842, 1064850, 1064858, 1064866, 1064874]</t>
  </si>
  <si>
    <t>[912261, 1012687, 920732, 1012698, 1012703, 1012710, 1012716, 1012720, 1012726, 1012732]</t>
  </si>
  <si>
    <t>[1012680, 912261, 1012687, 920732, 1012698, 1012703, 1012710, 1012716, 1012720, 1012726]</t>
  </si>
  <si>
    <t>[0.011, 0.061, 0.0, 0.016, 0.012, 0.007, 0.028, 0.016, 0.007, 0.002]</t>
  </si>
  <si>
    <t>2004.0372282317373</t>
  </si>
  <si>
    <t>[0.019, 0.01, 0.005, 0.015, 0.002, 0.016, 0.011, 0.029]</t>
  </si>
  <si>
    <t>LINESTRING (16.58224522886918 68.62004816982247, 16.583397843048264 68.62077150382297, 16.583656709883563 68.6209221653757, 16.583790111977113 68.62100075563478, 16.584822107340635 68.62160098983347, 16.584864480852524 68.62162581845124, 16.584939863457258 68.62166960683103, 16.585028517824284 68.62172026792365, 16.586352692200382 68.62243447915252)</t>
  </si>
  <si>
    <t>[1070862, 1070870, 1070878, 1070886, 1070894, 1070902, 1070910, 1070918]</t>
  </si>
  <si>
    <t>[1017703, 1017709, 1017715, 1017721, 1017726, 1017731, 1017736, 1012738]</t>
  </si>
  <si>
    <t>0.019625359855683085</t>
  </si>
  <si>
    <t>[1012732, 1017703, 1017709, 1017715, 1017721, 1017726, 1017731, 1017736]</t>
  </si>
  <si>
    <t>314.342933575374</t>
  </si>
  <si>
    <t>[0.026, 0.015, 0.011, 0.016, 0.016, 0.003, 0.015, 0.022]</t>
  </si>
  <si>
    <t>LINESTRING (16.58224522886918 68.62004816982247, 16.583443584957564 68.62067997201689, 16.583547199136643 68.62073750878442, 16.583770477569818 68.62086188697788, 16.58391648178642 68.62094484433787, 16.584967371238516 68.62156470849986, 16.58504108063655 68.62160917643082, 16.58507882903151 68.62163187745504, 16.586352692200382 68.62243447915252)</t>
  </si>
  <si>
    <t>[1070876, 1070884, 1070892, 1070900, 1070908, 1070916, 1070924, 1070932]</t>
  </si>
  <si>
    <t>[1017713, 1017720, 1017725, 1017730, 1017735, 1017741, 1017746, 1012738]</t>
  </si>
  <si>
    <t>0.020162227924920027</t>
  </si>
  <si>
    <t>[1012732, 1017713, 1017720, 1017725, 1017730, 1017735, 1017741, 1017746]</t>
  </si>
  <si>
    <t>314.4148283445271</t>
  </si>
  <si>
    <t>[0.03, 0.018, -0.009, 0.019, -0.04, -0.092, -0.136, -0.149, -0.137, -0.022, 0.0, 0.0, 0.001, 0.054, 0.032, 0.002]</t>
  </si>
  <si>
    <t>[0, 0, 0, 0, 0, 0, 0, 0, 1, 1, 1, 1, 1, 0, 0, 0]</t>
  </si>
  <si>
    <t>LINESTRING (16.586352692200382 68.62243447915252, 16.590991139806853 68.62513635163782, 16.591913434053993 68.62566990156608, 16.592136937306503 68.62580094181682, 16.592683703592265 68.62634610719336, 16.59262242627543 68.62656558299193, 16.592530722149792 68.62667968342555, 16.592521471400204 68.62668795251362, 16.591301475074836 68.62717720311596, 16.589862783547122 68.62732087312008, 16.58596630747342 68.62764974531754, 16.58079541931726 68.62808770679455, 16.578364809188592 68.62829395102506, 16.567222816369775 68.62924285200265, 16.565541554848352 68.62999113715028, 16.565794807697586 68.63047073165046, 16.568608999005676 68.63316397578167)</t>
  </si>
  <si>
    <t>[1064882, 1064890, 1064898, 1064906, 1064914, 1064922, 1064930, 1064938, 1064946, 1064954, 1064962, 1064970, 1064978, 1064986, 1064994, 1065002]</t>
  </si>
  <si>
    <t>[909003, 1012746, 1012754, 1012761, 1012768, 1012773, 1012782, 1012789, 1012795, 1012801, 1012806, 1012813, 1012820, 909893, 909904, 1012835]</t>
  </si>
  <si>
    <t>[1012738, 909003, 1012746, 1012754, 1012761, 1012768, 1012773, 1012782, 1012789, 1012795, 1012801, 1012806, 1012813, 1012820, 909893, 909904]</t>
  </si>
  <si>
    <t>[0.03, 0.018, 0.009, 0.019, 0.04, 0.092, 0.136, 0.149, 0.137, 0.022, 0.0, 0.0, 0.001, 0.054, 0.032, 0.002]</t>
  </si>
  <si>
    <t>2123.0445572119415</t>
  </si>
  <si>
    <t>[1.383, 0.137, -0.976]</t>
  </si>
  <si>
    <t>LINESTRING (16.568608999005676 68.63316397578167, 16.568576888049932 68.6332113727149, 16.56844018584395 68.63349396886177, 16.56842058809459 68.63353632426441)</t>
  </si>
  <si>
    <t>[1070926, 1070934, 1070942]</t>
  </si>
  <si>
    <t>[1017747, 1017751, 1013629]</t>
  </si>
  <si>
    <t>0.17138895014473854</t>
  </si>
  <si>
    <t>[1012835, 1017747, 1017751]</t>
  </si>
  <si>
    <t>[1.383, 0.137, 0.976]</t>
  </si>
  <si>
    <t>42.23095204168398</t>
  </si>
  <si>
    <t>[1.249, 0.053, -1.027]</t>
  </si>
  <si>
    <t>LINESTRING (16.568608999005676 68.63316397578167, 16.568613896037636 68.6332164112212, 16.568676181054304 68.63349388249378, 16.568705226139084 68.63354651499564)</t>
  </si>
  <si>
    <t>[1070940, 1070948, 1070956]</t>
  </si>
  <si>
    <t>[1017755, 1017759, 1013582]</t>
  </si>
  <si>
    <t>0.06539494665594352</t>
  </si>
  <si>
    <t>[1012835, 1017755, 1017759]</t>
  </si>
  <si>
    <t>[1.249, 0.053, 1.027]</t>
  </si>
  <si>
    <t>42.879634122440855</t>
  </si>
  <si>
    <t>[0.063, 0.425, 0.344, 0.135]</t>
  </si>
  <si>
    <t>LINESTRING (16.568705226139084 68.63354651499564, 16.568729813689032 68.63371374999416, 16.56852722425757 68.63373985598123, 16.568330542432168 68.63370831229102, 16.568269600999134 68.633675192399)</t>
  </si>
  <si>
    <t>[1065858, 1065866, 1065874, 1065882]</t>
  </si>
  <si>
    <t>[1013583, 1013591, 1013600, 1013609]</t>
  </si>
  <si>
    <t>0.200294997581125</t>
  </si>
  <si>
    <t>[1013582, 1013583, 1013591, 1013600]</t>
  </si>
  <si>
    <t>43.248889241778684</t>
  </si>
  <si>
    <t>[-0.4, -0.335]</t>
  </si>
  <si>
    <t>LINESTRING (16.56842058809459 68.63353632426441, 16.56857004578399 68.63352793701442, 16.568705226139084 68.63354651499564)</t>
  </si>
  <si>
    <t>[1065914, 1065922]</t>
  </si>
  <si>
    <t>[1013635, 1013582]</t>
  </si>
  <si>
    <t>[1013629, 1013635]</t>
  </si>
  <si>
    <t>[0.4, 0.335]</t>
  </si>
  <si>
    <t>12.022675500923878</t>
  </si>
  <si>
    <t>[-0.085, -0.326]</t>
  </si>
  <si>
    <t>LINESTRING (16.568269600999134 68.633675192399, 16.568253703750955 68.63360968067646, 16.56834641872132 68.633553269551)</t>
  </si>
  <si>
    <t>[1065890, 1065898]</t>
  </si>
  <si>
    <t>[1013615, 1013623]</t>
  </si>
  <si>
    <t>[1013609, 1013615]</t>
  </si>
  <si>
    <t>[0.085, 0.326]</t>
  </si>
  <si>
    <t>14.666783286913304</t>
  </si>
  <si>
    <t>[1.053, 0.034]</t>
  </si>
  <si>
    <t>LINESTRING (16.568269600999134 68.633675192399, 16.568157941004106 68.63364713722154, 16.567682299446062 68.63332267781284)</t>
  </si>
  <si>
    <t>[1070964, 1070972]</t>
  </si>
  <si>
    <t>[1017770, 1017764]</t>
  </si>
  <si>
    <t>0.14997972329673775</t>
  </si>
  <si>
    <t>[1013609, 1017770]</t>
  </si>
  <si>
    <t>48.442548071815516</t>
  </si>
  <si>
    <t>0.344</t>
  </si>
  <si>
    <t>3.558835905209041</t>
  </si>
  <si>
    <t>[1.515, 0.106]</t>
  </si>
  <si>
    <t>LINESTRING (16.56834641872132 68.633553269551, 16.568244215883983 68.63354400170913, 16.567682299446062 68.63332267781284)</t>
  </si>
  <si>
    <t>[1070950, 1070958]</t>
  </si>
  <si>
    <t>[1017760, 1017764]</t>
  </si>
  <si>
    <t>0.2576930244762573</t>
  </si>
  <si>
    <t>[1013623, 1017760]</t>
  </si>
  <si>
    <t>39.77570386568069</t>
  </si>
  <si>
    <t>62.30603762426611</t>
  </si>
  <si>
    <t>[-0.106, 0.004, 0.026]</t>
  </si>
  <si>
    <t>LINESTRING (18.902024251607628 69.67866246116212, 18.902119208086088 69.67867705016035, 18.902413733365517 69.67875052573666, 18.902829259225623 69.67884722732103)</t>
  </si>
  <si>
    <t>[1079682, 1079690, 1079698]</t>
  </si>
  <si>
    <t>[1024788, 1024795, 1014439]</t>
  </si>
  <si>
    <t>0.0035667546423934536</t>
  </si>
  <si>
    <t>[1014952, 1024788, 1024795]</t>
  </si>
  <si>
    <t>[0.106, 0.004, 0.026]</t>
  </si>
  <si>
    <t>37.46761702930674</t>
  </si>
  <si>
    <t>[-0.059, 0.005, 0.026]</t>
  </si>
  <si>
    <t>LINESTRING (18.90179839435106 69.6788185821453, 18.90198783693346 69.67881317592298, 18.902324104120915 69.67882246291082, 18.902829259225623 69.67884722732103)</t>
  </si>
  <si>
    <t>[1078910, 1078918, 1078926]</t>
  </si>
  <si>
    <t>[1024131, 1024137, 1014439]</t>
  </si>
  <si>
    <t>0.0036006885989929584</t>
  </si>
  <si>
    <t>[1014967, 1024131, 1024137]</t>
  </si>
  <si>
    <t>[0.059, 0.005, 0.026]</t>
  </si>
  <si>
    <t>40.225165900711325</t>
  </si>
  <si>
    <t>[0.056, 0.049, 0.093]</t>
  </si>
  <si>
    <t>144.0</t>
  </si>
  <si>
    <t>LINESTRING (18.978448436334492 69.67649146275991, 18.97819245344423 69.67635530994406, 18.97464498428035 69.67601561105104, 18.97428613577211 69.67601771902434)</t>
  </si>
  <si>
    <t>[1080168, 1066910, 1066918]</t>
  </si>
  <si>
    <t>[1014504, 1014505, 1014512]</t>
  </si>
  <si>
    <t>0.05274228776631588</t>
  </si>
  <si>
    <t>[1017563, 1014504, 1014505]</t>
  </si>
  <si>
    <t>197.55582078963965</t>
  </si>
  <si>
    <t>[0.049, 0.067, 0.017, 0.002]</t>
  </si>
  <si>
    <t>LINESTRING (18.979585298756017 69.67561930414894, 18.979388631915395 69.67571369372307, 18.97849004728959 69.67603413313901, 18.97919622764149 69.67674337223762, 18.979307418335914 69.67689019185583)</t>
  </si>
  <si>
    <t>[1066926, 1066934, 1066942, 1080176]</t>
  </si>
  <si>
    <t>[1014520, 1014527, 1014535, 1017534]</t>
  </si>
  <si>
    <t>0.033652764340467774</t>
  </si>
  <si>
    <t>[1014519, 1014520, 1014527, 1014535]</t>
  </si>
  <si>
    <t>166.7789830661572</t>
  </si>
  <si>
    <t>[0.004, 0.081, 0.092, 0.094, 0.047, 0.041, 0.041, 0.041, 0.039, 0.059, 0.039]</t>
  </si>
  <si>
    <t>LINESTRING (18.979585298756017 69.67561930414894, 18.978327094608296 69.67496969492326, 18.976406814091625 69.67528493024497, 18.974194030722177 69.67566321409906, 18.968167666210743 69.67788782271984, 18.96790572479182 69.67821455993466, 18.967816127001594 69.67832969279195, 18.967659143267547 69.6785129196171, 18.967581336778085 69.67860820085767, 18.967519734780147 69.67867957794238, 18.95904968766841 69.68000999343113, 18.95525668120485 69.67953402143024)</t>
  </si>
  <si>
    <t>[1070152, 1070160, 1070168, 1070176, 1070184, 1070192, 1070200, 1070208, 1070216, 1070224, 1070232]</t>
  </si>
  <si>
    <t>[1017160, 1017164, 1017169, 1017176, 1017182, 1012527, 1017194, 1017199, 1017205, 876487, 1017217]</t>
  </si>
  <si>
    <t>0.06281042821563558</t>
  </si>
  <si>
    <t>[1014519, 1017160, 1017164, 1017169, 1017176, 1017182, 1012527, 1017194, 1017199, 1017205, 876487]</t>
  </si>
  <si>
    <t>1361.1228790748949</t>
  </si>
  <si>
    <t>13.113085068064075</t>
  </si>
  <si>
    <t>12.080335260321762</t>
  </si>
  <si>
    <t>[-0.028, -0.067, -0.087]</t>
  </si>
  <si>
    <t>LINESTRING (18.93534978092659 69.6736936944325, 18.92146775800324 69.67187543766393, 18.919934979228806 69.67195773056329, 18.91955961081238 69.67196927809171)</t>
  </si>
  <si>
    <t>[1070264, 1070272, 1070280]</t>
  </si>
  <si>
    <t>[1017239, 1017243, 1014554]</t>
  </si>
  <si>
    <t>[1017238, 1017239, 1017243]</t>
  </si>
  <si>
    <t>[0.028, 0.067, 0.087]</t>
  </si>
  <si>
    <t>701.6694951843964</t>
  </si>
  <si>
    <t>[-0.078, 0.011, 0.051, 0.078]</t>
  </si>
  <si>
    <t>LINESTRING (18.918303128835042 69.67146448501, 18.918303128835042 69.67146448501, 18.9181140229167 69.67167682832915, 18.919033006712272 69.67193886299967, 18.91955961081238 69.67196927809171)</t>
  </si>
  <si>
    <t>[1080200, 1066950, 1066958, 1066966]</t>
  </si>
  <si>
    <t>[1014540, 1014541, 1014548, 1014554]</t>
  </si>
  <si>
    <t>0.02917069769042812</t>
  </si>
  <si>
    <t>[1006596, 1014540, 1014541, 1014548]</t>
  </si>
  <si>
    <t>[0.078, 0.011, 0.051, 0.078]</t>
  </si>
  <si>
    <t>113.39473170529746</t>
  </si>
  <si>
    <t>[0.012, 0.055]</t>
  </si>
  <si>
    <t>LINESTRING (18.97817682678062 69.67566228963665, 18.97828409139187 69.67573810842853, 18.978245730439152 69.67582692225372)</t>
  </si>
  <si>
    <t>[1067198, 1067206]</t>
  </si>
  <si>
    <t>[1014775, 1014784]</t>
  </si>
  <si>
    <t>0.03415596255534609</t>
  </si>
  <si>
    <t>[1014768, 1014775]</t>
  </si>
  <si>
    <t>19.44249602244639</t>
  </si>
  <si>
    <t>[-0.097, -0.054]</t>
  </si>
  <si>
    <t>LINESTRING (18.97817682678062 69.67566228963665, 18.978356079350384 69.67565799237808, 18.979282092252276 69.67567136937039)</t>
  </si>
  <si>
    <t>[1079049, 1079057]</t>
  </si>
  <si>
    <t>[1024251, 1017154]</t>
  </si>
  <si>
    <t>[1014768, 1024251]</t>
  </si>
  <si>
    <t>[0.097, 0.054]</t>
  </si>
  <si>
    <t>43.025497196554014</t>
  </si>
  <si>
    <t>[0.036, -0.018, -0.06, -0.083, -0.085, -0.071, -0.036]</t>
  </si>
  <si>
    <t>LINESTRING (18.977776576429175 69.67589211695385, 18.977568302657847 69.67584256560063, 18.97749258879424 69.67576215920556, 18.977532345911825 69.6757003377532, 18.977622253133873 69.67565428741065, 18.97784333489448 69.67562043757034, 18.97804615524123 69.6756283905944, 18.97817682678062 69.67566228963665)</t>
  </si>
  <si>
    <t>[1067238, 1067246, 1067254, 1067166, 1067174, 1067182, 1067190]</t>
  </si>
  <si>
    <t>[1014815, 1014823, 1014749, 1014750, 1014757, 1012733, 1014768]</t>
  </si>
  <si>
    <t>[1014808, 1014815, 1014823, 1014749, 1014750, 1014757, 1012733]</t>
  </si>
  <si>
    <t>[0.036, 0.018, 0.06, 0.083, 0.085, 0.071, 0.036]</t>
  </si>
  <si>
    <t>56.10118397773107</t>
  </si>
  <si>
    <t>5.15872939799501</t>
  </si>
  <si>
    <t>[-0.146, -0.066]</t>
  </si>
  <si>
    <t>LINESTRING (18.978245730439152 69.67582692225372, 18.97836383572112 69.67581077779879, 18.979282092252276 69.67567136937039)</t>
  </si>
  <si>
    <t>[1082816, 1082824]</t>
  </si>
  <si>
    <t>[1027576, 1017154]</t>
  </si>
  <si>
    <t>[1014784, 1027576]</t>
  </si>
  <si>
    <t>[0.146, 0.066]</t>
  </si>
  <si>
    <t>43.773898590563334</t>
  </si>
  <si>
    <t>[0.083, 0.075]</t>
  </si>
  <si>
    <t>LINESTRING (18.97815324037478 69.67586016642004, 18.977967081731137 69.67589433898411, 18.977776576429175 69.67589211695385)</t>
  </si>
  <si>
    <t>[1067222, 1067230]</t>
  </si>
  <si>
    <t>[1014800, 1014808]</t>
  </si>
  <si>
    <t>0.0791985259304057</t>
  </si>
  <si>
    <t>[1014792, 1014800]</t>
  </si>
  <si>
    <t>15.553842270205998</t>
  </si>
  <si>
    <t>[-0.018, -0.01, 0.041]</t>
  </si>
  <si>
    <t>LINESTRING (18.979307418335914 69.67689019185583, 18.978741384383618 69.67643010880826, 18.978202863819853 69.67591376290581, 18.97815324037478 69.67586016642004)</t>
  </si>
  <si>
    <t>[1070662, 1070670, 1070678]</t>
  </si>
  <si>
    <t>[1017540, 1017545, 1014792]</t>
  </si>
  <si>
    <t>[1017534, 1017540, 1017545]</t>
  </si>
  <si>
    <t>[0.018, 0.01, 0.041]</t>
  </si>
  <si>
    <t>123.4800818746565</t>
  </si>
  <si>
    <t>[-0.006, 0.034]</t>
  </si>
  <si>
    <t>LINESTRING (18.978448436334492 69.67649146275991, 18.977811965228483 69.67593996302155, 18.977776576429175 69.67589211695385)</t>
  </si>
  <si>
    <t>[1070700, 1070708]</t>
  </si>
  <si>
    <t>[1017573, 1014808]</t>
  </si>
  <si>
    <t>[1017563, 1017573]</t>
  </si>
  <si>
    <t>[0.006, 0.034]</t>
  </si>
  <si>
    <t>71.79352493216857</t>
  </si>
  <si>
    <t>[-0.018, -0.03]</t>
  </si>
  <si>
    <t>LINESTRING (18.917719605707482 69.67212141503006, 18.917476265097257 69.67214426695078, 18.917260873673595 69.67212202634299)</t>
  </si>
  <si>
    <t>[1067262, 1067270]</t>
  </si>
  <si>
    <t>[1014839, 1014847]</t>
  </si>
  <si>
    <t>[1014838, 1014839]</t>
  </si>
  <si>
    <t>[0.018, 0.03]</t>
  </si>
  <si>
    <t>18.488988834473524</t>
  </si>
  <si>
    <t>[0.088, 0.007, 0.009, 0.012, 0.015, 0.014, 0.015, 0.207]</t>
  </si>
  <si>
    <t>LINESTRING (18.917719605707482 69.67212141503006, 18.91772247908038 69.67216760683799, 18.91768609182217 69.67229823060723, 18.917693412929548 69.6723461198072, 18.917719045429536 69.67243033363845, 18.918187964188224 69.67337007396875, 18.918234509552114 69.67345976789228, 18.918429383696218 69.67375088342271, 18.91850024341148 69.67381272456564)</t>
  </si>
  <si>
    <t>[1079618, 1079626, 1079634, 1079642, 1079650, 1079658, 1079666, 1079674]</t>
  </si>
  <si>
    <t>[1024732, 1024739, 1024745, 1024754, 1024762, 1024768, 1024777, 1015538]</t>
  </si>
  <si>
    <t>0.0234110428878102</t>
  </si>
  <si>
    <t>[1014838, 1024732, 1024739, 1024745, 1024754, 1024762, 1024768, 1024777]</t>
  </si>
  <si>
    <t>191.9079854817323</t>
  </si>
  <si>
    <t>8.985152307902878</t>
  </si>
  <si>
    <t>6.182574301749362</t>
  </si>
  <si>
    <t>[0.077, 0.016, 0.014, 0.012]</t>
  </si>
  <si>
    <t>24425.0</t>
  </si>
  <si>
    <t>LINESTRING (18.917260873673595 69.67212202634299, 18.917295649287443 69.67217363266676, 18.917420201580928 69.67232799109337, 18.917446883178073 69.67237746036294, 18.917491704766284 69.67246148835906)</t>
  </si>
  <si>
    <t>[1078846, 1078854, 1078862, 1078870]</t>
  </si>
  <si>
    <t>[1024083, 1024088, 1024095, 1024104]</t>
  </si>
  <si>
    <t>0.02399373621005195</t>
  </si>
  <si>
    <t>[1014847, 1024083, 1024088, 1024095]</t>
  </si>
  <si>
    <t>38.941750148900034</t>
  </si>
  <si>
    <t>[-0.031, -0.018]</t>
  </si>
  <si>
    <t>LINESTRING (18.917145905377488 69.67208362825666, 18.917056560770742 69.67199831232504, 18.9171586123341 69.67188394726179)</t>
  </si>
  <si>
    <t>[1067286, 1067294]</t>
  </si>
  <si>
    <t>[1014862, 1014871]</t>
  </si>
  <si>
    <t>[1014856, 1014862]</t>
  </si>
  <si>
    <t>[0.031, 0.018]</t>
  </si>
  <si>
    <t>23.78303639735154</t>
  </si>
  <si>
    <t>[0.052, -0.018, -0.008]</t>
  </si>
  <si>
    <t>LINESTRING (18.917145905377488 69.67208362825666, 18.917009293287254 69.6720717204348, 18.914552953175274 69.67197953117322, 18.913249062698327 69.67193946949968)</t>
  </si>
  <si>
    <t>[1079209, 1079217, 1079225]</t>
  </si>
  <si>
    <t>[1024399, 1024404, 1024409]</t>
  </si>
  <si>
    <t>[1014856, 1024399, 1024404]</t>
  </si>
  <si>
    <t>[0.052, 0.018, 0.008]</t>
  </si>
  <si>
    <t>152.22448284344284</t>
  </si>
  <si>
    <t>[0.012, 0.028, 0.034, 0.036]</t>
  </si>
  <si>
    <t>LINESTRING (18.9171586123341 69.67188394726179, 18.917320859734502 69.6718491524584, 18.91760976389334 69.6718458196501, 18.917817529243585 69.67188218141143, 18.917895688963988 69.67192008036889)</t>
  </si>
  <si>
    <t>[1067302, 1067310, 1067318, 1067326]</t>
  </si>
  <si>
    <t>[1014878, 1014886, 1006630, 1014903]</t>
  </si>
  <si>
    <t>0.027317798054978536</t>
  </si>
  <si>
    <t>[1014871, 1014878, 1014886, 1006630]</t>
  </si>
  <si>
    <t>33.051726285371366</t>
  </si>
  <si>
    <t>[0.119, -0.017, -0.007, -0.007]</t>
  </si>
  <si>
    <t>LINESTRING (18.9171586123341 69.67188394726179, 18.917011727512385 69.67189587737957, 18.91459584791718 69.67187454576066, 18.914480331295568 69.67187164294008, 18.913302776524358 69.6718458947718)</t>
  </si>
  <si>
    <t>[1082953, 1082961, 1082969, 1082977]</t>
  </si>
  <si>
    <t>[1027699, 1027706, 1027710, 1027717]</t>
  </si>
  <si>
    <t>[1014871, 1027699, 1027706, 1027710]</t>
  </si>
  <si>
    <t>[0.119, 0.017, 0.007, 0.007]</t>
  </si>
  <si>
    <t>150.46782615018043</t>
  </si>
  <si>
    <t>[0.027, 0.017]</t>
  </si>
  <si>
    <t>LINESTRING (18.917895688963988 69.67192008036889, 18.91793892597239 69.67199118946233, 18.91788540736456 69.67206515068571)</t>
  </si>
  <si>
    <t>[1067334, 1067342]</t>
  </si>
  <si>
    <t>[1014912, 1014922]</t>
  </si>
  <si>
    <t>0.02187964699426836</t>
  </si>
  <si>
    <t>[1014903, 1014912]</t>
  </si>
  <si>
    <t>16.61419805453383</t>
  </si>
  <si>
    <t>[-0.054, -0.172]</t>
  </si>
  <si>
    <t>LINESTRING (18.91924861434551 69.67197541629847, 18.918021425115818 69.6719250076185, 18.917895688963988 69.67192008036889)</t>
  </si>
  <si>
    <t>[1082937, 1082945]</t>
  </si>
  <si>
    <t>[1027683, 1014903]</t>
  </si>
  <si>
    <t>[1017255, 1027683]</t>
  </si>
  <si>
    <t>[0.054, 0.172]</t>
  </si>
  <si>
    <t>52.904497585729764</t>
  </si>
  <si>
    <t>[-0.05, -0.115]</t>
  </si>
  <si>
    <t>LINESTRING (18.91924861434551 69.67197541629847, 18.918023178852245 69.67205899310412, 18.91788540736456 69.67206515068571)</t>
  </si>
  <si>
    <t>[1079193, 1079201]</t>
  </si>
  <si>
    <t>[1024385, 1014922]</t>
  </si>
  <si>
    <t>[1017255, 1024385]</t>
  </si>
  <si>
    <t>[0.05, 0.115]</t>
  </si>
  <si>
    <t>53.816824863380745</t>
  </si>
  <si>
    <t>6.227118113327263</t>
  </si>
  <si>
    <t>LINESTRING (18.901354078446833 69.67854880716425, 18.901740252328285 69.67853914492467, 18.901972398430207 69.6786096239812)</t>
  </si>
  <si>
    <t>[1067446, 1067454]</t>
  </si>
  <si>
    <t>[1015029, 1014951]</t>
  </si>
  <si>
    <t>[1015021, 1015029]</t>
  </si>
  <si>
    <t>27.579722518140663</t>
  </si>
  <si>
    <t>[-0.005, 0.001, 0.0, 0.0, -0.0, -0.0, 0.051]</t>
  </si>
  <si>
    <t>LINESTRING (18.913249062698327 69.67193946949968, 18.91281781652195 69.67193567425842, 18.910004026056118 69.67220205144409, 18.907935270054615 69.67287543050567, 18.90223985357799 69.67825683055602, 18.902169789913447 69.678299127792, 18.90197865819001 69.67853689932697, 18.901972398430207 69.6786096239812)</t>
  </si>
  <si>
    <t>[1079233, 1079241, 1079249, 1079257, 1079265, 1079273, 1079281]</t>
  </si>
  <si>
    <t>[1024416, 1024424, 1024432, 1024440, 1024447, 1024454, 1014951]</t>
  </si>
  <si>
    <t>0.00047592031564347144</t>
  </si>
  <si>
    <t>[1024409, 1024416, 1024424, 1024432, 1024440, 1024447, 1024454]</t>
  </si>
  <si>
    <t>[0.005, 0.001, 0.0, 0.0, 0.0, 0.0, 0.051]</t>
  </si>
  <si>
    <t>931.5540387546872</t>
  </si>
  <si>
    <t>[0.006, -0.006]</t>
  </si>
  <si>
    <t>LINESTRING (18.902024251607628 69.67866246116212, 18.901990172262035 69.67874272146926, 18.90179839435106 69.6788185821453)</t>
  </si>
  <si>
    <t>[1067374, 1067382]</t>
  </si>
  <si>
    <t>[1014959, 1014967]</t>
  </si>
  <si>
    <t>[1014952, 1014959]</t>
  </si>
  <si>
    <t>20.495965023560707</t>
  </si>
  <si>
    <t>[-0.015, -0.02, -0.018, -0.012, -0.005, 0.003, 0.009]</t>
  </si>
  <si>
    <t>LINESTRING (18.90179839435106 69.6788185821453, 18.901671166836593 69.67883650241167, 18.901424101306556 69.67883103466724, 18.901183437536492 69.67875921702598, 18.901133004949887 69.67870706672575, 18.90114752861521 69.67863990782101, 18.90122735183067 69.67858629969531, 18.901354078446833 69.67854880716425)</t>
  </si>
  <si>
    <t>[1067390, 1067398, 1067406, 1067414, 1067422, 1067430, 1067438]</t>
  </si>
  <si>
    <t>[1014977, 1014987, 1014995, 1015003, 1015011, 1015016, 1015021]</t>
  </si>
  <si>
    <t>[1014967, 1014977, 1014987, 1014995, 1015003, 1015011, 1015016]</t>
  </si>
  <si>
    <t>[0.015, 0.02, 0.018, 0.012, 0.005, 0.003, 0.009]</t>
  </si>
  <si>
    <t>54.26906474996122</t>
  </si>
  <si>
    <t>[-0.005, 0.001, 0.001, 0.0, -0.005, 0.01]</t>
  </si>
  <si>
    <t>LINESTRING (18.913302776524358 69.6718458947718, 18.912801790843265 69.67184880237238, 18.9098833973878 69.67212236140655, 18.90772527091571 69.67278019377879, 18.90187523642129 69.67828178055288, 18.901513928891603 69.67849412073808, 18.901354078446833 69.67854880716425)</t>
  </si>
  <si>
    <t>[1082985, 1082993, 1083001, 1083009, 1083017, 1083025]</t>
  </si>
  <si>
    <t>[1027725, 1027731, 1027740, 1027746, 1027754, 1015021]</t>
  </si>
  <si>
    <t>8.54718727314346e-05</t>
  </si>
  <si>
    <t>[1027717, 1027725, 1027731, 1027740, 1027746, 1027754]</t>
  </si>
  <si>
    <t>[0.005, 0.001, 0.001, 0.0, 0.005, 0.01]</t>
  </si>
  <si>
    <t>949.7024730761613</t>
  </si>
  <si>
    <t>[0.019, 0.039]</t>
  </si>
  <si>
    <t>LINESTRING (18.918064298117258 69.67385183473996, 18.918260060493072 69.67380227677889, 18.91850024341148 69.67381272456564)</t>
  </si>
  <si>
    <t>[1068070, 1068078]</t>
  </si>
  <si>
    <t>[1015581, 1015538]</t>
  </si>
  <si>
    <t>0.028997736706825136</t>
  </si>
  <si>
    <t>[1015574, 1015581]</t>
  </si>
  <si>
    <t>18.777209109709148</t>
  </si>
  <si>
    <t>[0.015, 0.013, 0.012, 0.188]</t>
  </si>
  <si>
    <t>LINESTRING (18.917491704766284 69.67246148835906, 18.917965786487905 69.67339551712662, 18.917993963699853 69.67345642487871, 18.91806716348141 69.67379041355032, 18.918064298117258 69.67385183473996)</t>
  </si>
  <si>
    <t>[1078878, 1078886, 1078894, 1078902]</t>
  </si>
  <si>
    <t>[1024108, 1024117, 1024122, 1015574]</t>
  </si>
  <si>
    <t>0.021745948115945397</t>
  </si>
  <si>
    <t>[1024104, 1024108, 1024117, 1024122]</t>
  </si>
  <si>
    <t>157.01287073238257</t>
  </si>
  <si>
    <t>[-0.005, -0.007, -0.007, -0.01, -0.004, -0.013, -0.01, -0.016, -0.011, -0.008, -0.007, -0.015, -0.012, -0.011, -0.017, -0.009, -0.015, 0.002, 0.006, 0.003, 0.039, 0.012, 0.022, 0.014, 0.019, 0.02, 0.054, 0.018, -0.048, -0.016, -0.018, -0.001, 0.011]</t>
  </si>
  <si>
    <t>8560.0</t>
  </si>
  <si>
    <t>LINESTRING (18.593677203351053 69.0944287262116, 18.595084813704695 69.09497554981631, 18.597467015066986 69.09589533456679, 18.598421106190965 69.0962628573385, 18.600055281603787 69.09689043863574, 18.60007226415704 69.09689704275993, 18.601132363858554 69.09730477302345, 18.60114951367226 69.0973113196527, 18.606803344226748 69.0999726079703, 18.606875725210664 69.10005853816166, 18.60689922810046 69.10008726054002, 18.607180515103426 69.10171937662044, 18.607142038505703 69.10179586301926, 18.60661713682369 69.10253011767136, 18.603079319125964 69.10508540715188, 18.59293147509792 69.11160673338465, 18.59129518999097 69.11265981803268, 18.589219814143714 69.11399509737447, 18.586878746036106 69.1154998070439, 18.58474666961501 69.11686862942845, 18.5830264724124 69.11797858957453, 18.58301410701234 69.11798639188811, 18.582255980900072 69.11847097018901, 18.582243772826295 69.11847881406021, 18.581271135405792 69.1191000756946, 18.581162425134234 69.1191690468493, 18.58018788681282 69.11980119914976, 18.578037626807667 69.12122850012655, 18.577268309057853 69.12213501491773, 18.57726838795314 69.12432651130679, 18.5757210264691 69.12955380641954, 18.576220850034407 69.13023887450507, 18.578337700304083 69.13161622803723, 18.578570478226247 69.1317140693098)</t>
  </si>
  <si>
    <t>[1098615, 1098623, 1098631, 1098639, 1098647, 1098655, 1098670, 1098673, 1098674, 1098675, 1098679, 1098687, 1098695, 1098703, 1098710, 1098718, 1098726, 1098734, 1098739, 1098745, 1098753, 1098762, 1098777, 1098800, 1098801, 1098806, 1098828, 1098836, 1098837, 1098838, 1098855, 1098863, 1098871]</t>
  </si>
  <si>
    <t>[1041106, 1041111, 1041118, 1041125, 1041132, 1041140, 1041157, 1041160, 1041161, 905944, 1041165, 1041171, 1041177, 1041184, 1041188, 906066, 1041197, 1041201, 1041205, 1041206, 1041212, 1041216, 1041229, 1032538, 1041240, 1041242, 1041259, 1041264, 1041265, 1041266, 1041285, 1041292, 1016494]</t>
  </si>
  <si>
    <t>[1016487, 1041106, 1041111, 1041118, 1041125, 1041132, 1041140, 1041157, 1041160, 1041161, 905944, 1041165, 1041171, 1041177, 1041184, 1041188, 906066, 1041197, 1041201, 1041205, 1041206, 1041212, 1041216, 1041229, 1032538, 1041240, 1041242, 1041259, 1041264, 1041265, 1041266, 1041285, 1041292]</t>
  </si>
  <si>
    <t>[0.005, 0.007, 0.007, 0.01, 0.004, 0.013, 0.01, 0.016, 0.011, 0.008, 0.007, 0.015, 0.012, 0.011, 0.017, 0.009, 0.015, 0.002, 0.006, 0.003, 0.039, 0.012, 0.022, 0.014, 0.019, 0.02, 0.054, 0.018, 0.048, 0.016, 0.018, 0.001, 0.011]</t>
  </si>
  <si>
    <t>4690.009627755217</t>
  </si>
  <si>
    <t>[0.008, 0.004, 0.0, -0.001, -0.0, -0.002, -0.002, -0.002, -0.004]</t>
  </si>
  <si>
    <t>LINESTRING (18.578570478226247 69.1317140693098, 18.57948738751869 69.13210026701373, 18.580743110094893 69.13253562005873, 18.580848116109212 69.13257190651696, 18.58094472858549 69.13260186550978, 18.58107901807697 69.13264343302379, 18.581133488961225 69.13266128366622, 18.582733728735494 69.13317764496026, 18.582955835122185 69.13323433602355, 18.583118903783543 69.13327637055073)</t>
  </si>
  <si>
    <t>[1069278, 1069286, 1069294, 1069302, 1069310, 1069318, 1069326, 1069334, 1069342]</t>
  </si>
  <si>
    <t>[1016495, 1016501, 1016506, 1016516, 1016519, 1016526, 1016533, 1016539, 1016544]</t>
  </si>
  <si>
    <t>0.001965292016027892</t>
  </si>
  <si>
    <t>[1016494, 1016495, 1016501, 1016506, 1016516, 1016519, 1016526, 1016533, 1016539]</t>
  </si>
  <si>
    <t>[0.008, 0.004, 0.0, 0.001, 0.0, 0.002, 0.002, 0.002, 0.004]</t>
  </si>
  <si>
    <t>251.84113805385567</t>
  </si>
  <si>
    <t>[0.01, 0.008, 0.003, -0.0, -0.001, -0.002, -0.006]</t>
  </si>
  <si>
    <t>LINESTRING (18.578570478226247 69.1317140693098, 18.579498320028268 69.13200638331975, 18.579636116084433 69.13205247714518, 18.580914625724837 69.13248023196957, 18.581126807969518 69.13255082841495, 18.58129492456547 69.13260833268896, 18.582831415892752 69.1331422781516, 18.583118903783543 69.13327637055073)</t>
  </si>
  <si>
    <t>[1079420, 1079428, 1079436, 1079444, 1079452, 1079460, 1079468]</t>
  </si>
  <si>
    <t>[1024560, 1024568, 1024576, 1019108, 1024591, 1024597, 1016544]</t>
  </si>
  <si>
    <t>0.0018679124601046876</t>
  </si>
  <si>
    <t>[1016494, 1024560, 1024568, 1024576, 1019108, 1024591, 1024597]</t>
  </si>
  <si>
    <t>[0.01, 0.008, 0.003, 0.0, 0.001, 0.002, 0.006]</t>
  </si>
  <si>
    <t>251.51801353630637</t>
  </si>
  <si>
    <t>LINESTRING (18.583118903783543 69.13327637055073, 18.81056833380694 69.10975214279883)</t>
  </si>
  <si>
    <t>12531.590772690757</t>
  </si>
  <si>
    <t>[-0.059, -0.071, -0.021, -0.007, -0.006, -0.019, -0.019, -0.011, -0.017, -0.02, -0.016, -0.021, -0.006, 0.0]</t>
  </si>
  <si>
    <t>LINESTRING (19.050571447251862 69.16075286358152, 19.052019756809354 69.16125952878828, 19.052797959253045 69.16150019925442, 19.053703307696992 69.16178137311938, 19.05456105954774 69.16204586623984, 19.05474996150112 69.16210124107509, 19.054808725407014 69.16211813026456, 19.05486934416282 69.16213603590118, 19.054976950068177 69.16216789185505, 19.05527986457356 69.16225807071713, 19.05537789312309 69.16228754675389, 19.05564594103976 69.16236312048463, 19.055788406920808 69.1624040908528, 19.055912164471252 69.1624406776191, 19.05762269555211 69.16292057402376)</t>
  </si>
  <si>
    <t>[1069350, 1069358, 1069366, 1069374, 1069382, 1069390, 1069398, 1069406, 1069414, 1069422, 1069430, 1069438, 1069446, 1069454]</t>
  </si>
  <si>
    <t>[1016549, 1016555, 1016561, 1016567, 1016573, 1016581, 1006978, 1016593, 1016600, 1016606, 1016612, 1016619, 1016627, 1016634]</t>
  </si>
  <si>
    <t>[1016548, 1016549, 1016555, 1016561, 1016567, 1016573, 1016581, 1006978, 1016593, 1016600, 1016606, 1016612, 1016619, 1016627]</t>
  </si>
  <si>
    <t>[0.059, 0.071, 0.021, 0.007, 0.006, 0.019, 0.019, 0.011, 0.017, 0.02, 0.016, 0.021, 0.006, 0.0]</t>
  </si>
  <si>
    <t>370.7220775466463</t>
  </si>
  <si>
    <t>[-0.058, -0.068, -0.076, -0.012, -0.005, -0.01, -0.013, -0.017, -0.025, -0.002, -0.006, -0.008]</t>
  </si>
  <si>
    <t>LINESTRING (19.050571447251862 69.16075286358152, 19.05212670410008 69.1612199002955, 19.05279644307632 69.16141497752906, 19.052919420598798 69.16145204285539, 19.053837126962378 69.16172747980912, 19.05470112297995 69.16198891386837, 19.054938305807514 69.16206017606413, 19.05510550435942 69.16211066255168, 19.055412028717857 69.1622034245369, 19.05577665003619 69.16231679242526, 19.055911401001037 69.1623588881214, 19.05603210897787 69.1623963104673, 19.05762269555211 69.16292057402376)</t>
  </si>
  <si>
    <t>[1079476, 1079484, 1079492, 1079500, 1079508, 1079516, 1079524, 1079532, 1079540, 1079548, 1079556, 1079564]</t>
  </si>
  <si>
    <t>[1024612, 1024620, 1024626, 1024633, 1024639, 1006977, 1024654, 1024660, 1024666, 1024672, 1024681, 1016634]</t>
  </si>
  <si>
    <t>[1016548, 1024612, 1024620, 1024626, 1024633, 1024639, 1006977, 1024654, 1024660, 1024666, 1024672, 1024681]</t>
  </si>
  <si>
    <t>[0.058, 0.068, 0.076, 0.012, 0.005, 0.01, 0.013, 0.017, 0.025, 0.002, 0.006, 0.008]</t>
  </si>
  <si>
    <t>370.27745312697516</t>
  </si>
  <si>
    <t>2661.0</t>
  </si>
  <si>
    <t>LINESTRING (18.81056833380694 69.10975214279883, 19.050571447251862 69.16075286358152)</t>
  </si>
  <si>
    <t>[0.021, 0.004, -0.014, -0.021, -0.023, -0.007, -0.028]</t>
  </si>
  <si>
    <t>LINESTRING (19.531600164121112 69.21309247316513, 19.53318457235274 69.2130370932376, 19.535955258572383 69.21300485271823, 19.53633608896609 69.21301189879493, 19.537979886155803 69.21307513025087, 19.538169607534154 69.21308828783476, 19.538255349993676 69.21309349783326, 19.54168834016252 69.21341113887745)</t>
  </si>
  <si>
    <t>[1069686, 1069694, 1069702, 1069710, 1069718, 1069726, 1069734]</t>
  </si>
  <si>
    <t>[1016828, 1006958, 1016841, 1016847, 1016850, 1016857, 1016866]</t>
  </si>
  <si>
    <t>[1016827, 1016828, 1006958, 1016841, 1016847, 1016850, 1016857]</t>
  </si>
  <si>
    <t>[0.021, 0.004, 0.014, 0.021, 0.023, 0.007, 0.028]</t>
  </si>
  <si>
    <t>405.46820284520606</t>
  </si>
  <si>
    <t>[0.034, 0.004, -0.006, -0.007, -0.006, -0.023, -0.03, -0.033]</t>
  </si>
  <si>
    <t>LINESTRING (19.531600164121112 69.21309247316513, 19.533185665049352 69.21299127407093, 19.53586230084099 69.21293538874711, 19.535983383345922 69.2129371429048, 19.536080620395165 69.21293862628576, 19.53635754839663 69.21294439147195, 19.53801775456606 69.21301278136411, 19.538291740580526 69.21302989338659, 19.54168834016252 69.21341113887745)</t>
  </si>
  <si>
    <t>[1079788, 1079796, 1079804, 1079812, 1079820, 1079828, 1079836, 1079844]</t>
  </si>
  <si>
    <t>[1024885, 1024844, 1024900, 1006939, 1024914, 1024921, 1024930, 1016866]</t>
  </si>
  <si>
    <t>[1016827, 1024885, 1024844, 1024900, 1006939, 1024914, 1024921, 1024930]</t>
  </si>
  <si>
    <t>[0.034, 0.004, 0.006, 0.007, 0.006, 0.023, 0.03, 0.033]</t>
  </si>
  <si>
    <t>408.8851441295503</t>
  </si>
  <si>
    <t>[-0.154, -0.041, -0.022, 0.007]</t>
  </si>
  <si>
    <t>3811.0</t>
  </si>
  <si>
    <t>LINESTRING (19.54168834016252 69.21341113887745, 19.541821773938917 69.2134289774202, 19.542175707407907 69.21347738729034, 19.548037673318113 69.21434583514572, 19.549107281110775 69.21457778188385)</t>
  </si>
  <si>
    <t>[1099438, 1099446, 1099454, 1099462]</t>
  </si>
  <si>
    <t>[1041802, 1041808, 1041815, 1016873]</t>
  </si>
  <si>
    <t>[1016866, 1041802, 1041808, 1041815]</t>
  </si>
  <si>
    <t>[0.154, 0.041, 0.022, 0.007]</t>
  </si>
  <si>
    <t>322.10352410546284</t>
  </si>
  <si>
    <t>[-0.002, -0.006, -0.007, -0.007, -0.008, -0.009, 0.003]</t>
  </si>
  <si>
    <t>LINESTRING (19.549107281110775 69.21457778188385, 19.550923262422703 69.21515863760263, 19.55139361280646 69.2153473403244, 19.55151997847988 69.21539874472114, 19.551692737148194 69.2154722408328, 19.552629836574802 69.21593372349906, 19.552761495131875 69.21600865592858, 19.55390876159642 69.21671678807073)</t>
  </si>
  <si>
    <t>[1069742, 1069750, 1069758, 1069766, 1069774, 1069782, 1069790]</t>
  </si>
  <si>
    <t>[1016874, 1016878, 1016884, 1016890, 1016895, 1016902, 1016906]</t>
  </si>
  <si>
    <t>[1016873, 1016874, 1016878, 1016884, 1016890, 1016895, 1016902]</t>
  </si>
  <si>
    <t>[0.002, 0.006, 0.007, 0.007, 0.008, 0.009, 0.003]</t>
  </si>
  <si>
    <t>307.87124178403235</t>
  </si>
  <si>
    <t>[-0.002, -0.006, -0.006, -0.007, -0.008, -0.007, -0.008, 0.002]</t>
  </si>
  <si>
    <t>LINESTRING (19.549107281110775 69.21457778188385, 19.55101006863971 69.21506703512154, 19.551097544668078 69.21509737204784, 19.55160546465021 69.21529940109218, 19.551704925783515 69.21534162835262, 19.551793489637717 69.21537533415596, 19.55188821977749 69.21541817180758, 19.5528288588059 69.2158909762351, 19.55390876159642 69.21671678807073)</t>
  </si>
  <si>
    <t>[1079852, 1079860, 1079868, 1079876, 1079884, 1079892, 1079900, 1079908]</t>
  </si>
  <si>
    <t>[1024945, 1024951, 1024725, 1024964, 1024972, 1024978, 1024987, 1016906]</t>
  </si>
  <si>
    <t>[1016873, 1024945, 1024951, 1024725, 1024964, 1024972, 1024978, 1024987]</t>
  </si>
  <si>
    <t>[0.002, 0.006, 0.006, 0.007, 0.008, 0.007, 0.008, 0.002]</t>
  </si>
  <si>
    <t>312.40491420362355</t>
  </si>
  <si>
    <t>113.41029144882171</t>
  </si>
  <si>
    <t>[0.093, 0.087, 0.076, 0.052, 0.108, 0.008, -0.062, 0.004, -0.02, -0.026, 0.015, -0.01, 0.039, 0.05, 0.009, -0.014, -0.02, 0.022, 0.064, 0.012, -0.034, 0.054, 0.026, 0.005, -0.001, 0.007, 0.016, 0.012, 0.034, 0.057, 0.037, 0.014, 0.019, 0.034, 0.009, -0.01, -0.035, 0.007, -0.008, -0.001, 0.041, 0.017, -0.02, -0.03, -0.004, 0.017, -0.03, 0.057, 0.011, 0.015, 0.026, 0.004, -0.006, -0.005, 0.037, -0.044, -0.051, 0.035, 0.032, -0.005, -0.005, 0.01, 0.004, 0.001, -0.007, -0.017, -0.021, -0.031, -0.035, -0.012, 0.004, -0.022, 0.003, -0.0, -0.017, -0.015, 0.008, 0.002, -0.006, -0.015, 0.01, -0.017, 0.021, 0.025, -0.033, -0.059, -0.081, -0.014, -0.056, -0.019, 0.01, -0.003, 0.006, 0.006, 0.011, 0.008, 0.013, -0.031, -0.016, -0.006, -0.004, -0.017, 0.017, -0.027, 0.024, 0.021, 0.019, 0.015, -0.006, -0.031, -0.004, 0.027, 0.065, 0.049, 0.024, 0.014, 0.019, 0.002, 0.005, -0.007, -0.007, -0.011, -0.027, -0.001, 0.011, -0.006, -0.058, -0.023, -0.005, -0.061, -0.129, -0.124, -0.13, -0.004, 0.0, 0.032, -0.013, 0.105]</t>
  </si>
  <si>
    <t>2509.0</t>
  </si>
  <si>
    <t>[0, 0, 0, 0, 0, 0, 0, 0, 0, 0, 0, 0, 0, 0, 0, 0, 1, 0, 0, 0, 0, 0, 0, 0, 0, 0, 0, 0, 0, 0, 0, 0, 0, 0, 0, 0, 0, 0, 0, 0, 0, 0, 0, 0, 0, 0, 0, 0, 0, 0, 0, 0, 0, 0, 0, 0, 0, 0, 0, 0, 0, 0, 0, 0, 0, 0, 0, 0, 0, 0, 0, 0, 0, 0, 0, 0, 0, 0, 0, 0, 0, 0, 0, 0, 0, 0, 0, 0, 0, 0, 0, 0, 0, 1, 0, 0, 0, 0, 0, 0, 0, 0, 0, 0, 0, 0, 0, 0, 0, 0, 0, 0, 0, 0, 0, 0, 0, 0, 0, 0, 0, 0, 0, 0, 0, 0, 0, 0, 0, 0, 0, 0, 1, 0, 0, 0, 0, 0]</t>
  </si>
  <si>
    <t>LINESTRING (19.55615411203439 69.21929593265783, 19.556915844640606 69.2193996513072, 19.557717221317947 69.21950887978618, 19.558092260649087 69.21956008140812, 19.55998819522454 69.21981705696928, 19.56501944214205 69.22044577905216, 19.569045840956115 69.22057302807639, 19.57419922081849 69.22063075592195, 19.57519779438557 69.22070311546584, 19.575469703890647 69.22071512934826, 19.58817099106136 69.2206968022434, 19.594687787598147 69.22070384555138, 19.596660249493997 69.22036390064866, 19.598618373313055 69.22022190814435, 19.599442878624934 69.22021193602325, 19.60043075294297 69.22017242473203, 19.601540359285398 69.22007895306193, 19.602341665080885 69.22000971518452, 19.603232446847766 69.21994338576945, 19.605311452256206 69.21982136763637, 19.60620216439905 69.21973210043618, 19.609628554953694 69.21912728177843, 19.60999555426687 69.21904338161518, 19.61221704994999 69.21864039632007, 19.617038619247968 69.21827421691684, 19.620613406532758 69.21747325410365, 19.622844085959358 69.21678318833062, 19.623760765252815 69.21648501165498, 19.626650038952178 69.21581936780962, 19.627265311375158 69.21575716490241, 19.627937934024057 69.21569683444268, 19.630021545397756 69.21551441852154, 19.631426931719304 69.21538510274098, 19.634556505832414 69.21474171133194, 19.6367316323783 69.21404125733619, 19.637118749736874 69.21392438895435, 19.63964694772215 69.21312628129293, 19.640020943682757 69.21301092797279, 19.64417276183932 69.2091135939586, 19.644264086189427 69.20905071630277, 19.644344326518386 69.20900701692963, 19.649857710600518 69.20784722408808, 19.651074411315342 69.20744206701758, 19.651998771258455 69.2071170831654, 19.65218469934119 69.20706719669242, 19.65449502289968 69.20631276628981, 19.659009035763965 69.20398809632302, 19.660577895991846 69.2013090337149, 19.664789946249574 69.19894147515524, 19.66682733682337 69.19778769560669, 19.670378707098166 69.19575785724456, 19.67516592684782 69.19340872129177, 19.676678772740754 69.19285541302612, 19.680297737727148 69.19155504752158, 19.680912927312082 69.19141513761801, 19.686061457132805 69.19089060556843, 19.688357102377786 69.19067340995532, 19.68873008795111 69.19063833898664, 19.69322656676747 69.19021748794113, 19.69596026270623 69.18997798467339, 19.712738118421385 69.19241582283972, 19.724666322076438 69.1941738580054, 19.737398561203296 69.19589665407355, 19.743831294581412 69.19648174119472, 19.750488313752705 69.19697903285228, 19.750628137903195 69.1969891979652, 19.750757690171742 69.1969986575991, 19.75298374826377 69.19716698490689, 19.754054717878486 69.19724555695181, 19.758199860665755 69.19755543550586, 19.762494882554506 69.1985914298631, 19.775187079359455 69.20467853736693, 19.775272310592683 69.20475547642125, 19.78445597984745 69.20967561820162, 19.785635112216944 69.2105839773854, 19.786415728700725 69.21112388126174, 19.79024337073426 69.21285779001404, 19.791101903675443 69.21310508169046, 19.798538205632163 69.21623572756269, 19.803476612764054 69.21861648690393, 19.804593402392346 69.21917769815458, 19.809174971201873 69.22121041108257, 19.81288064945035 69.22338493756901, 19.821350957107512 69.22759167568316, 19.822460619226806 69.2281393249337, 19.824258898814136 69.22908188400358, 19.825001401616483 69.22976699385794, 19.825175275309604 69.2299073511426, 19.82796659781656 69.23131990389194, 19.828931132727398 69.23390376285398, 19.829598265706803 69.23438150582781, 19.831431789033815 69.23512282491205, 19.834432936308975 69.236025503833, 19.835705532067365 69.2364058487704, 19.83586497237638 69.23645487595256, 19.837060354689246 69.23681831625647, 19.837162838130954 69.23684942878373, 19.839606859373845 69.23758495121706, 19.846637774009682 69.24285226365517, 19.85443498978797 69.24756691933543, 19.85732501586274 69.24863044942055, 19.857692291807332 69.24870498560458, 19.86406739155931 69.25051851945946, 19.868879627571417 69.25144249817718, 19.871558830113933 69.25222332593164, 19.873255964336497 69.25263558724629, 19.874846047009175 69.25289728872926, 19.87656698272385 69.253141121034, 19.876879014498613 69.25318984559523, 19.878514618106212 69.25353977404271, 19.881193090330814 69.25458927156153, 19.881478144369858 69.25471851535464, 19.88204374939483 69.25493783227596, 19.882199034478777 69.25498756954191, 19.88292432982578 69.25518491640392, 19.883838588383725 69.25541701427218, 19.88399597051137 69.25545688890722, 19.884140690537148 69.2554946042222, 19.88434404012979 69.25554877830496, 19.885095268257544 69.25580414816315, 19.885418056224804 69.25595093168613, 19.88646001312077 69.25650600607293, 19.88654995403656 69.25655273590118, 19.88762542146527 69.25702106640665, 19.887943463445804 69.25712450180521, 19.88909409576832 69.25746664190228, 19.890855006622377 69.25811299379788, 19.893014648835578 69.25893254334514, 19.89363995865718 69.25906695226682, 19.894334882984715 69.25919164957412, 19.89720828073675 69.25971958548263, 19.898065787776567 69.26004549220433, 19.898110676480453 69.26006705837791, 19.899027325906193 69.2605178072232, 19.90175582887034 69.26167334094657, 19.903256979511365 69.26184687556001, 19.919180102563256 69.2611306831898, 19.929280482599307 69.26550933173056, 19.929360099091536 69.2655751146994)</t>
  </si>
  <si>
    <t>[1099478, 1099486, 1099494, 1099502, 1099510, 1099518, 1099526, 1099534, 1099542, 1099550, 1099558, 1099566, 1099574, 1099582, 1099590, 1099598, 1099606, 1099614, 1099622, 1099630, 1099638, 1099646, 1099654, 1099662, 1099670, 1099678, 1099686, 1099694, 1099702, 1099710, 1099718, 1099726, 1099734, 1099742, 1099750, 1058701, 1058709, 1058717, 1058725, 1058733, 1058741, 1058749, 1058757, 1058765, 1058773, 1058781, 1058789, 1058797, 1058805, 1058813, 1058821, 1058829, 1058837, 1058845, 1058853, 1058861, 1058869, 1058877, 1058885, 1058893, 1058901, 1058909, 1058917, 1058925, 1058933, 1058941, 1058949, 1058957, 1058965, 1058973, 1058981, 1058989, 1058997, 1059005, 1059013, 1059021, 1059029, 1059037, 1059045, 1059053, 1059061, 1099758, 1099766, 1099774, 1099782, 1099790, 1099798, 1099806, 1099814, 1099823, 1099831, 1099839, 1099847, 1099855, 1099863, 1099871, 1099879, 1099887, 1099895, 1099903, 1099911, 1099919, 1099927, 1099935, 1099943, 1099951, 1099959, 1099967, 1099975, 1099983, 1099991, 1099999, 1100007, 1100015, 1100023, 1100031, 1100039, 1100047, 1100055, 1100063, 1100071, 1100079, 1100087, 1100095, 1100103, 1100111, 1100119, 1100127, 1100135, 1100143, 1100151, 1100159, 1100167, 1100175, 1100183, 1100191, 1100199, 1100207]</t>
  </si>
  <si>
    <t>[1041833, 908925, 1041845, 1041852, 1041860, 1041865, 1021515, 1041875, 1041883, 1041886, 1041891, 1041896, 1041900, 1021488, 1041909, 1041915, 1041922, 1021465, 997692, 1031548, 1041941, 1021457, 1021424, 1036693, 1032205, 1032213, 1036639, 1036583, 1021411, 1036591, 1021393, 1041999, 1021384, 1021375, 1006642, 1006643, 1006652, 1006660, 1006671, 1006683, 1006694, 1006702, 1006713, 1006722, 1006730, 1006740, 1006750, 1006759, 1006769, 1006777, 1006784, 1006792, 1006801, 1006811, 1006821, 1006829, 1006839, 1006850, 1006860, 1006869, 909304, 1006890, 1006902, 1006912, 1006921, 1006931, 1006942, 1006951, 1006960, 1006971, 1006981, 1006992, 1007001, 1007011, 1007022, 1007032, 1007040, 1007049, 1007059, 1007065, 1007074, 1015449, 1015442, 1015434, 1042035, 1029595, 1042051, 1029575, 1042063, 1042069, 1029548, 1042082, 1042088, 1042091, 1029533, 1029542, 1029532, 916678, 1042115, 1042122, 1042129, 1029601, 1029612, 1029625, 1029630, 1042161, 1029637, 1029645, 1029651, 1029657, 1029668, 1029674, 1042188, 1042193, 1024226, 1029684, 1024892, 1042218, 1042223, 1042228, 1014637, 1014647, 1042237, 1042242, 1042246, 1014629, 1042255, 1042263, 1014604, 1042271, 1042276, 1042282, 1042290, 1014590, 1042304, 1014530, 1042314, 1016957]</t>
  </si>
  <si>
    <t>0.00035206379427436124</t>
  </si>
  <si>
    <t>[1016951, 1041833, 908925, 1041845, 1041852, 1041860, 1041865, 1021515, 1041875, 1041883, 1041886, 1041891, 1041896, 1041900, 1021488, 1041909, 1041915, 1041922, 1021465, 997692, 1031548, 1041941, 1021457, 1021424, 1036693, 1032205, 1032213, 1036639, 1036583, 1021411, 1036591, 1021393, 1041999, 1021384, 1021375, 1006642, 1006643, 1006652, 1006660, 1006671, 1006683, 1006694, 1006702, 1006713, 1006722, 1006730, 1006740, 1006750, 1006759, 1006769, 1006777, 1006784, 1006792, 1006801, 1006811, 1006821, 1006829, 1006839, 1006850, 1006860, 1006869, 909304, 1006890, 1006902, 1006912, 1006921, 1006931, 1006942, 1006951, 1006960, 1006971, 1006981, 1006992, 1007001, 1007011, 1007022, 1007032, 1007040, 1007049, 1007059, 1007065, 1007074, 1015449, 1015442, 1015434, 1042035, 1029595, 1042051, 1029575, 1042063, 1042069, 1029548, 1042082, 1042088, 1042091, 1029533, 1029542, 1029532, 916678, 1042115, 1042122, 1042129, 1029601, 1029612, 1029625, 1029630, 1042161, 1029637, 1029645, 1029651, 1029657, 1029668, 1029674, 1042188, 1042193, 1024226, 1029684, 1024892, 1042218, 1042223, 1042228, 1014637, 1014647, 1042237, 1042242, 1042246, 1014629, 1042255, 1042263, 1014604, 1042271, 1042276, 1042282, 1042290, 1014590, 1042304, 1014530, 1042314]</t>
  </si>
  <si>
    <t>[0.093, 0.087, 0.076, 0.052, 0.108, 0.008, 0.062, 0.004, 0.02, 0.026, 0.015, 0.01, 0.039, 0.05, 0.009, 0.014, 0.02, 0.022, 0.064, 0.012, 0.034, 0.054, 0.026, 0.005, 0.001, 0.007, 0.016, 0.012, 0.034, 0.057, 0.037, 0.014, 0.019, 0.034, 0.009, 0.01, 0.035, 0.007, 0.008, 0.001, 0.041, 0.017, 0.02, 0.03, 0.004, 0.017, 0.03, 0.057, 0.011, 0.015, 0.026, 0.004, 0.006, 0.005, 0.037, 0.044, 0.051, 0.035, 0.032, 0.005, 0.005, 0.01, 0.004, 0.001, 0.007, 0.017, 0.021, 0.031, 0.035, 0.012, 0.004, 0.022, 0.003, 0.0, 0.017, 0.015, 0.008, 0.002, 0.006, 0.015, 0.01, 0.017, 0.021, 0.025, 0.033, 0.059, 0.081, 0.014, 0.056, 0.019, 0.01, 0.003, 0.006, 0.006, 0.011, 0.008, 0.013, 0.031, 0.016, 0.006, 0.004, 0.017, 0.017, 0.027, 0.024, 0.021, 0.019, 0.015, 0.006, 0.031, 0.004, 0.027, 0.065, 0.049, 0.024, 0.014, 0.019, 0.002, 0.005, 0.007, 0.007, 0.011, 0.027, 0.001, 0.011, 0.006, 0.058, 0.023, 0.005, 0.061, 0.129, 0.124, 0.13, 0.004, 0.0, 0.032, 0.013, 0.105]</t>
  </si>
  <si>
    <t>20601.386993540105</t>
  </si>
  <si>
    <t>[-0.082, 0.0, 0.016, 0.011, -0.009, -0.033, -0.054]</t>
  </si>
  <si>
    <t>LINESTRING (19.929360099091536 69.2655751146994, 19.929427985146166 69.26568658424519, 19.9306393314302 69.26653332925532, 19.930734204689827 69.26659485363291, 19.930857969494994 69.26667580411458, 19.93177622489946 69.26731965992278, 19.93187760798129 69.26739992786163, 19.933038060755926 69.26846137497758)</t>
  </si>
  <si>
    <t>[1069854, 1069862, 1069870, 1069878, 1069886, 1069894, 1069902]</t>
  </si>
  <si>
    <t>[1016958, 1016963, 1007018, 1016974, 1016977, 1016980, 1016986]</t>
  </si>
  <si>
    <t>[1016957, 1016958, 1016963, 1007018, 1016974, 1016977, 1016980]</t>
  </si>
  <si>
    <t>[0.082, 0.0, 0.016, 0.011, 0.009, 0.033, 0.054]</t>
  </si>
  <si>
    <t>354.32865455419545</t>
  </si>
  <si>
    <t>[1.567, -0.02, -0.029, -0.029, -0.031, -0.046, -0.029, -0.055, -0.094]</t>
  </si>
  <si>
    <t>LINESTRING (19.929360099091536 69.2655751146994, 19.929474870504713 69.26563377767589, 19.929529300616064 69.2656732027464, 19.93081493060225 69.26649594366977, 19.9308656940453 69.26652615656685, 19.930924672882597 69.2665622407912, 19.93098365191746 69.26659832499452, 19.931057288725036 69.26664159815348, 19.93197270607772 69.26729169433575, 19.933038060755926 69.26846137497758)</t>
  </si>
  <si>
    <t>[1079988, 1079996, 1080004, 1080012, 1080020, 1080028, 1080036, 1080044, 1080052]</t>
  </si>
  <si>
    <t>[1025074, 1025082, 1025090, 1007019, 1025105, 1024897, 1025121, 1025131, 1016986]</t>
  </si>
  <si>
    <t>[1016957, 1025074, 1025082, 1025090, 1007019, 1025105, 1024897, 1025121, 1025131]</t>
  </si>
  <si>
    <t>[1.567, 0.02, 0.029, 0.029, 0.031, 0.046, 0.029, 0.055, 0.094]</t>
  </si>
  <si>
    <t>355.43009321677255</t>
  </si>
  <si>
    <t>[-0.025, -0.003, -0.001, -0.005, -0.001, -0.004, 0.0, 0.013]</t>
  </si>
  <si>
    <t>LINESTRING (19.933038060755926 69.26846137497758, 19.933744715333198 69.26965764291455, 19.93388415976861 69.26991085347025, 19.936485261383027 69.27176515520097, 19.936842247756807 69.27189892645414, 19.938550866606516 69.27240992709805, 19.939031870615317 69.27253200546409, 19.943079515535747 69.27342135662428, 19.943477759097398 69.27349978645785)</t>
  </si>
  <si>
    <t>[1100215, 1100223, 1100231, 1100239, 1100247, 1100255, 1100263, 1100271]</t>
  </si>
  <si>
    <t>[1042325, 1042332, 1042339, 1012734, 1012721, 1042353, 1042360, 1016991]</t>
  </si>
  <si>
    <t>[1016986, 1042325, 1042332, 1042339, 1012734, 1012721, 1042353, 1042360]</t>
  </si>
  <si>
    <t>[0.025, 0.003, 0.001, 0.005, 0.001, 0.004, 0.0, 0.013]</t>
  </si>
  <si>
    <t>737.48206763057</t>
  </si>
  <si>
    <t>[-0.005, -0.001, 0.005, 0.003, 0.004, -0.001, 0.005]</t>
  </si>
  <si>
    <t>LINESTRING (19.943477759097398 69.27349978645785, 19.944352327777192 69.27368887631566, 19.946475134038202 69.274079631927, 19.94667750274443 69.27411433462353, 19.94693231712089 69.27415787537119, 19.948762831113847 69.27445483294771, 19.948941838476024 69.27448371921524, 19.95223603634337 69.27498311083161)</t>
  </si>
  <si>
    <t>[1069910, 1069918, 1069926, 1069934, 1069942, 1069950, 1069958]</t>
  </si>
  <si>
    <t>[1016992, 1017000, 1017006, 1017011, 1017015, 1017022, 1017026]</t>
  </si>
  <si>
    <t>0.002080587617084457</t>
  </si>
  <si>
    <t>[1016991, 1016992, 1017000, 1017006, 1017011, 1017015, 1017022]</t>
  </si>
  <si>
    <t>[0.005, 0.001, 0.005, 0.003, 0.004, 0.001, 0.005]</t>
  </si>
  <si>
    <t>384.25741954148157</t>
  </si>
  <si>
    <t>[0.016, -0.01, -0.007, -0.004, -0.006, -0.0, -0.005, -0.001, 0.007]</t>
  </si>
  <si>
    <t>LINESTRING (19.943477759097398 69.27349978645785, 19.944257472758487 69.2736208552095, 19.944415880766623 69.27364898723854, 19.94654346874481 69.27401412745282, 19.946664912207147 69.27403313719384, 19.946753867802382 69.27404719688205, 19.94685575615207 69.27406329585554, 19.947014221492267 69.27408853723212, 19.948847645967586 69.27438769459194, 19.95223603634337 69.27498311083161)</t>
  </si>
  <si>
    <t>[1080060, 1080068, 1080076, 1080084, 1080092, 1080100, 1080108, 1080116, 1080124]</t>
  </si>
  <si>
    <t>[1025150, 1025158, 1025162, 1025171, 1025178, 1024786, 1025189, 1025197, 1017026]</t>
  </si>
  <si>
    <t>0.0018337442724139855</t>
  </si>
  <si>
    <t>[1016991, 1025150, 1025158, 1025162, 1025171, 1025178, 1024786, 1025189, 1025197]</t>
  </si>
  <si>
    <t>[0.016, 0.01, 0.007, 0.004, 0.006, 0.0, 0.005, 0.001, 0.007]</t>
  </si>
  <si>
    <t>383.8858164430303</t>
  </si>
  <si>
    <t>[0.02, 0.017, 0.011, 0.0, 0.01, 0.0, 0.009, 0.008, 0.019, 0.028]</t>
  </si>
  <si>
    <t>LINESTRING (19.36137632740678 69.37496217664571, 19.360866317599225 69.37507477057417, 19.360403382512875 69.37515270037113, 19.358717498195972 69.37531890837022, 19.35860155184579 69.37532443957255, 19.35849403731147 69.37532956093472, 19.35841404680931 69.37533337894146, 19.358290079917364 69.37533845554294, 19.357768597794763 69.37534606776872, 19.35638936778173 69.37532368850574, 19.35405845178302 69.37517088674738)</t>
  </si>
  <si>
    <t>[1070172, 1070180, 1070188, 1070196, 1070204, 1070212, 1070220, 1070228, 1070236, 1070244]</t>
  </si>
  <si>
    <t>[1017173, 1017179, 1017186, 1017191, 1017196, 1006818, 1017208, 1017214, 1017220, 1017215]</t>
  </si>
  <si>
    <t>0.018365174881337213</t>
  </si>
  <si>
    <t>[1017172, 1017173, 1017179, 1017186, 1017191, 1017196, 1006818, 1017208, 1017214, 1017220]</t>
  </si>
  <si>
    <t>298.0084804918049</t>
  </si>
  <si>
    <t>[0.015, 0.009, 0.005, 0.005, 0.009, 0.02, 0.015, 0.033]</t>
  </si>
  <si>
    <t>LINESTRING (19.36137632740678 69.37496217664571, 19.36035319975803 69.3751051611374, 19.358698966853954 69.37525378423736, 19.358480163346673 69.37526225256593, 19.35825797422554 69.37526835218594, 19.357758627176175 69.37527725022483, 19.356351041682952 69.37525771371037, 19.356127740044098 69.37524822744835, 19.35405845178302 69.37517088674738)</t>
  </si>
  <si>
    <t>[1070174, 1070182, 1070190, 1070198, 1070206, 1070214, 1070222, 1070230]</t>
  </si>
  <si>
    <t>[1017174, 1017180, 1006836, 1017192, 1017197, 1017202, 1017209, 1017215]</t>
  </si>
  <si>
    <t>0.01858978691296712</t>
  </si>
  <si>
    <t>[1017172, 1017174, 1017180, 1006836, 1017192, 1017197, 1017202, 1017209]</t>
  </si>
  <si>
    <t>293.6897593542866</t>
  </si>
  <si>
    <t>[-0.031, -0.045, -0.045, -0.047, -0.056, -0.051, -0.063, -0.103]</t>
  </si>
  <si>
    <t>LINESTRING (18.95525668120485 69.67953402143024, 18.953687099327684 69.67926761989636, 18.953533884580313 69.67922888338458, 18.953200565169738 69.67913915987542, 18.953099469929846 69.67911030811173, 18.952984937619547 69.67907842595271, 18.95282463412499 69.67903007418904, 18.95207347260104 69.67880630593362, 18.95079889655914 69.67840113121821)</t>
  </si>
  <si>
    <t>[1079065, 1079073, 1079081, 1079089, 1079097, 1079105, 1079113, 1079121]</t>
  </si>
  <si>
    <t>[1024269, 1024276, 1024283, 1024290, 1012497, 1024306, 1024314, 1017224]</t>
  </si>
  <si>
    <t>[1017217, 1024269, 1024276, 1024283, 1024290, 1012497, 1024306, 1024314]</t>
  </si>
  <si>
    <t>[0.031, 0.045, 0.045, 0.047, 0.056, 0.051, 0.063, 0.103]</t>
  </si>
  <si>
    <t>215.9820553988189</t>
  </si>
  <si>
    <t>[-0.024, -0.047, -0.049, -0.055, -0.064, -0.073, -0.116]</t>
  </si>
  <si>
    <t>LINESTRING (18.95525668120485 69.67953402143024, 18.953666915991764 69.67917075331322, 18.9533434398202 69.67908308124387, 18.953200041344605 69.67904402454987, 18.952953137368848 69.67897468788118, 18.95221422339176 69.67875574717023, 18.952063659923457 69.67871206262927, 18.95079889655914 69.67840113121821)</t>
  </si>
  <si>
    <t>[1082832, 1082840, 1082848, 1082856, 1082864, 1082872, 1082880]</t>
  </si>
  <si>
    <t>[1027590, 1027598, 1012512, 1027610, 1027615, 1027622, 1017224]</t>
  </si>
  <si>
    <t>[1017217, 1027590, 1027598, 1012512, 1027610, 1027615, 1027622]</t>
  </si>
  <si>
    <t>[0.024, 0.047, 0.049, 0.055, 0.064, 0.073, 0.116]</t>
  </si>
  <si>
    <t>214.4082157728194</t>
  </si>
  <si>
    <t>[-0.077, -0.045, -0.051]</t>
  </si>
  <si>
    <t>292.0</t>
  </si>
  <si>
    <t>LINESTRING (18.95079889655914 69.67840113121821, 18.94318355299959 69.67629969670557, 18.942673046541934 69.67617973517712, 18.940354577868007 69.67554841924321)</t>
  </si>
  <si>
    <t>[1070240, 1070248, 1070256]</t>
  </si>
  <si>
    <t>[1017225, 1017228, 1017232]</t>
  </si>
  <si>
    <t>[1017224, 1017225, 1017228]</t>
  </si>
  <si>
    <t>[0.077, 0.045, 0.051]</t>
  </si>
  <si>
    <t>515.492753356111</t>
  </si>
  <si>
    <t>[-0.001, -0.003, -0.003, -0.003, -0.004, -0.004, -0.003, -0.003, 0.004]</t>
  </si>
  <si>
    <t>LINESTRING (18.935793866086197 69.60768766106185, 18.93658148002911 69.60868013354997, 18.936619499454824 69.60873219221675, 18.936705323171775 69.60884923255611, 18.93675302579655 69.60891352476973, 18.93678039864809 69.60894674157116, 18.936803423470366 69.60897539364676, 18.936838336378006 69.60902499775068, 18.937220585399235 69.6095274714731, 18.937797920811757 69.6105258030089)</t>
  </si>
  <si>
    <t>[1070252, 1070260, 1070268, 1070276, 1070284, 1070292, 1070300, 1070308, 1070316]</t>
  </si>
  <si>
    <t>[1017230, 1017235, 1017240, 1017246, 1017251, 1017259, 1017266, 1017271, 1017272]</t>
  </si>
  <si>
    <t>0.00012623798330687043</t>
  </si>
  <si>
    <t>[1017229, 1017230, 1017235, 1017240, 1017246, 1017251, 1017259, 1017266, 1017271]</t>
  </si>
  <si>
    <t>[0.001, 0.003, 0.003, 0.003, 0.004, 0.004, 0.003, 0.003, 0.004]</t>
  </si>
  <si>
    <t>326.79070511021973</t>
  </si>
  <si>
    <t>[-0.001, -0.002, -0.003, -0.003, -0.003, 0.0, 0.005]</t>
  </si>
  <si>
    <t>LINESTRING (18.935793866086197 69.60768766106185, 18.936439764560742 69.60874630561987, 18.936523157501206 69.60886358037678, 18.93658906488525 69.60895902280097, 18.936644562933036 69.60903871739235, 18.93703587517567 69.60953951425559, 18.93711056241999 69.60963378882703, 18.937797920811757 69.6105258030089)</t>
  </si>
  <si>
    <t>[1070262, 1070270, 1070278, 1070286, 1070294, 1070302, 1070310]</t>
  </si>
  <si>
    <t>[1017236, 1017241, 1017247, 1017252, 1017260, 1017267, 1017272]</t>
  </si>
  <si>
    <t>0.00040797697902118823</t>
  </si>
  <si>
    <t>[1017229, 1017236, 1017241, 1017247, 1017252, 1017260, 1017267]</t>
  </si>
  <si>
    <t>[0.001, 0.002, 0.003, 0.003, 0.003, 0.0, 0.005]</t>
  </si>
  <si>
    <t>326.43309644010884</t>
  </si>
  <si>
    <t>[-0.027, -0.03, -0.029, -0.035, -0.035, -0.039, -0.034, -0.033]</t>
  </si>
  <si>
    <t>LINESTRING (18.940354577868007 69.67554841924321, 18.939981113149276 69.67539346343264, 18.9393133377619 69.67513547722895, 18.938156973960826 69.67467988972469, 18.938047880508666 69.6746387672349, 18.93786286263578 69.67456758227486, 18.9370038184935 69.6742511924627, 18.936820839112098 69.67418468619582, 18.93534978092659 69.6736936944325)</t>
  </si>
  <si>
    <t>[1234563, 1234571, 1082888, 1082896, 1082904, 1082912, 1082920, 1082928]</t>
  </si>
  <si>
    <t>[1155899, 1027638, 1027639, 1012582, 1027652, 1027660, 1027667, 1017238]</t>
  </si>
  <si>
    <t>[1017232, 1155899, 1027638, 1027639, 1012582, 1027652, 1027660, 1027667]</t>
  </si>
  <si>
    <t>[0.027, 0.03, 0.029, 0.035, 0.035, 0.039, 0.034, 0.033]</t>
  </si>
  <si>
    <t>283.8494237714691</t>
  </si>
  <si>
    <t>[-0.026, -0.062, -0.035, -0.032, -0.032, -0.04, -0.032, -0.032, -0.035, -0.04, -0.026]</t>
  </si>
  <si>
    <t>LINESTRING (18.940354577868007 69.67554841924321, 18.94005803532006 69.67546878031371, 18.93990908063323 69.67541971386261, 18.93921405433928 69.67517640750775, 18.938512088681566 69.67491985982362, 18.938019658901272 69.67473046780933, 18.93795043427809 69.67470545660832, 18.937898330978037 69.67468650245326, 18.937831574542095 69.67465961214366, 18.937699593710708 69.67461352301639, 18.93684648318153 69.67429665792106, 18.93534978092659 69.6736936944325)</t>
  </si>
  <si>
    <t>[1234594, 1234595, 1234603, 1079129, 1079137, 1079145, 1079153, 1079161, 1079169, 1079177, 1079185]</t>
  </si>
  <si>
    <t>[1155928, 1155929, 1024329, 1024330, 1024334, 1012583, 1024347, 1024353, 1024362, 1024367, 1017238]</t>
  </si>
  <si>
    <t>[1017232, 1155928, 1155929, 1024329, 1024330, 1024334, 1012583, 1024347, 1024353, 1024362, 1024367]</t>
  </si>
  <si>
    <t>[0.026, 0.062, 0.035, 0.032, 0.032, 0.04, 0.032, 0.032, 0.035, 0.04, 0.026]</t>
  </si>
  <si>
    <t>284.05890724221297</t>
  </si>
  <si>
    <t>841.0081375854426</t>
  </si>
  <si>
    <t>[0.0, 0.028, 0.028, 0.023, 0.018]</t>
  </si>
  <si>
    <t>LINESTRING (18.93992408553749 69.6180238122003, 18.940474369054566 69.6189062674067, 18.94055161112459 69.61899667480176, 18.940859628429063 69.61929401123903, 18.940905910384995 69.61933902897536, 18.941561628432304 69.61986338117961)</t>
  </si>
  <si>
    <t>[1070318, 1070326, 1070334, 1070342, 1070350]</t>
  </si>
  <si>
    <t>[1017277, 1017284, 1017290, 1017295, 1017300]</t>
  </si>
  <si>
    <t>0.011830718181408812</t>
  </si>
  <si>
    <t>[1017276, 1017277, 1017284, 1017290, 1017295]</t>
  </si>
  <si>
    <t>215.9098659003033</t>
  </si>
  <si>
    <t>[0.006, 0.028, 0.029, 0.025, 0.024, 0.01]</t>
  </si>
  <si>
    <t>LINESTRING (18.93992408553749 69.6180238122003, 18.94060088492945 69.61885709105701, 18.94063093088545 69.61889169381398, 18.940667726363916 69.61893406828092, 18.940708321049247 69.61897774970713, 18.9410020786388 69.61927490378594, 18.941561628432304 69.61986338117961)</t>
  </si>
  <si>
    <t>[1070324, 1070332, 1070340, 1070348, 1070356, 1070364]</t>
  </si>
  <si>
    <t>[1017283, 1017289, 1017294, 1017299, 1017305, 1017300]</t>
  </si>
  <si>
    <t>0.011610617360406415</t>
  </si>
  <si>
    <t>[1017276, 1017283, 1017289, 1017294, 1017299, 1017305]</t>
  </si>
  <si>
    <t>215.25951465013978</t>
  </si>
  <si>
    <t>[-0.009, -0.04, -0.051, -0.051, -0.033, 0.002, 0.018]</t>
  </si>
  <si>
    <t>LINESTRING (18.95416586948113 69.63013417418989, 18.955045940671702 69.63071359737415, 18.95551872016694 69.63101646622773, 18.9556551654108 69.63110844287783, 18.95572468501393 69.63115301388301, 18.95627426443469 69.6315305811342, 18.956346937835548 69.6315827978197, 18.95718619944826 69.63225766205603)</t>
  </si>
  <si>
    <t>[1070358, 1070366, 1070374, 1070382, 1070390, 1070398, 1070406]</t>
  </si>
  <si>
    <t>[1017307, 1017314, 1017322, 1017330, 1017335, 1017342, 1017346]</t>
  </si>
  <si>
    <t>[1017306, 1017307, 1017314, 1017322, 1017330, 1017335, 1017342]</t>
  </si>
  <si>
    <t>[0.009, 0.04, 0.051, 0.051, 0.033, 0.002, 0.018]</t>
  </si>
  <si>
    <t>264.77882927183765</t>
  </si>
  <si>
    <t>[0.0, -0.021, -0.039, -0.042, -0.058, -0.062, -0.079, -0.041, 0.016]</t>
  </si>
  <si>
    <t>LINESTRING (18.95416586948113 69.63013417418989, 18.95505391035274 69.63060895365, 18.955195689734413 69.6306897061378, 18.95569472109184 69.63099033776118, 18.955746224951284 69.6310249931755, 18.955836299047526 69.63108300691881, 18.95588053635318 69.63111242712533, 18.955892693994556 69.63112066024614, 18.956435209689598 69.63150391160512, 18.95718619944826 69.63225766205603)</t>
  </si>
  <si>
    <t>[1070372, 1070380, 1070388, 1070396, 1070404, 1070412, 1070420, 1070428, 1070436]</t>
  </si>
  <si>
    <t>[1017320, 1017329, 1017334, 1017341, 1017345, 1017351, 1017358, 1017365, 1017346]</t>
  </si>
  <si>
    <t>[1017306, 1017320, 1017329, 1017334, 1017341, 1017345, 1017351, 1017358, 1017365]</t>
  </si>
  <si>
    <t>[0.0, 0.021, 0.039, 0.042, 0.058, 0.062, 0.079, 0.041, 0.016]</t>
  </si>
  <si>
    <t>266.0152793749677</t>
  </si>
  <si>
    <t>[0.035, -0.011, 0.028, -0.013]</t>
  </si>
  <si>
    <t>12696.0</t>
  </si>
  <si>
    <t>LINESTRING (18.95718619944826 69.63225766205603, 18.95726625189609 69.63233715736378, 18.95937705340067 69.63435044633842, 18.961034838333042 69.63532895714063, 18.964298004151196 69.63690854518904)</t>
  </si>
  <si>
    <t>[1190712, 1190720, 1190728, 1190736]</t>
  </si>
  <si>
    <t>[881309, 881311, 881316, 1017353]</t>
  </si>
  <si>
    <t>[1017346, 881309, 881311, 881316]</t>
  </si>
  <si>
    <t>[0.035, 0.011, 0.028, 0.013]</t>
  </si>
  <si>
    <t>592.5783724876906</t>
  </si>
  <si>
    <t>[0.019, 0.024, 0.018, 0.009, -0.004]</t>
  </si>
  <si>
    <t>LINESTRING (18.964298004151196 69.63690854518904, 18.965975077656214 69.63781058621402, 18.96602530162422 69.63783875488477, 18.96654229417282 69.6381303306545, 18.966639303432565 69.63818661080356, 18.967716372966798 69.63880403540216)</t>
  </si>
  <si>
    <t>[1070414, 1070422, 1070430, 1070438, 1070446]</t>
  </si>
  <si>
    <t>[1017354, 1017360, 1017366, 1017372, 1017380]</t>
  </si>
  <si>
    <t>0.011207585858990695</t>
  </si>
  <si>
    <t>[1017353, 1017354, 1017360, 1017366, 1017372]</t>
  </si>
  <si>
    <t>[0.019, 0.024, 0.018, 0.009, 0.004]</t>
  </si>
  <si>
    <t>250.03066796330782</t>
  </si>
  <si>
    <t>[0.023, 0.024, 0.028, 0.008, 0.015, -0.007]</t>
  </si>
  <si>
    <t>LINESTRING (18.964298004151196 69.63690854518904, 18.9660495955289 69.63772938301318, 18.966127939259195 69.63777524231291, 18.966176074132132 69.63780341331116, 18.966191627844967 69.63781252128719, 18.9666768261369 69.63810016271056, 18.967716372966798 69.63880403540216)</t>
  </si>
  <si>
    <t>[1070444, 1070452, 1070460, 1070468, 1070476, 1070484]</t>
  </si>
  <si>
    <t>[1017378, 1017385, 1017390, 1017396, 1017401, 1017380]</t>
  </si>
  <si>
    <t>0.011267292735322036</t>
  </si>
  <si>
    <t>[1017353, 1017378, 1017385, 1017390, 1017396, 1017401]</t>
  </si>
  <si>
    <t>[0.023, 0.024, 0.028, 0.008, 0.015, 0.007]</t>
  </si>
  <si>
    <t>250.92554347296948</t>
  </si>
  <si>
    <t>[-0.028, 0.008, -0.031, 0.0, 0.002, 0.005, 0.011]</t>
  </si>
  <si>
    <t>LINESTRING (18.967716372966798 69.63880403540216, 18.968390480600107 69.6392569397539, 18.968402138567487 69.6392649319547, 18.969123088132864 69.63977119783307, 18.969134397001458 69.63977925180677, 18.9752690666862 69.64258412818457, 18.976043166835165 69.64275921065834, 18.977464317902726 69.64301896881337)</t>
  </si>
  <si>
    <t>[1190744, 1190752, 1190760, 1190768, 1190776, 1190784, 1190792]</t>
  </si>
  <si>
    <t>[1118696, 1118701, 1118707, 1118710, 1118712, 1118716, 1118721]</t>
  </si>
  <si>
    <t>[1017380, 1118696, 1118701, 1118707, 1118710, 1118712, 1118716]</t>
  </si>
  <si>
    <t>[0.028, 0.008, 0.031, 0.0, 0.002, 0.005, 0.011]</t>
  </si>
  <si>
    <t>619.9807343187862</t>
  </si>
  <si>
    <t>[0.025, -0.014, -0.016, -0.016]</t>
  </si>
  <si>
    <t>LINESTRING (18.985120534005894 69.67937137964358, 18.985457949179043 69.67944744924962, 18.985870652907405 69.67957885712934, 18.98926155875752 69.6804688620418, 18.98944716681922 69.68056364780468)</t>
  </si>
  <si>
    <t>[1080160, 1064250, 1836597, 1836797]</t>
  </si>
  <si>
    <t>[1012213, 1012214, 1610940, 1226534]</t>
  </si>
  <si>
    <t>[1017485, 1012213, 1012214, 1610940]</t>
  </si>
  <si>
    <t>[0.025, 0.014, 0.016, 0.016]</t>
  </si>
  <si>
    <t>215.27047110635235</t>
  </si>
  <si>
    <t>[0.005, 0.007, 0.0, -0.002, -0.003, -0.006, -0.009, -0.011, -0.001, 0.0]</t>
  </si>
  <si>
    <t>LINESTRING (17.68924290655567 68.65081430606094, 17.690800602322877 68.65165311099982, 17.692499133454657 68.65231628598833, 17.692582272794795 68.65234206637965, 17.692653385746656 68.65236350584067, 17.6927564287318 68.65239459638303, 17.692860243707678 68.6524243191828, 17.693313881150615 68.6525482699116, 17.693386428796845 68.65256708316538, 17.693950933293323 68.65270312114626, 17.695857508455546 68.65302048434263)</t>
  </si>
  <si>
    <t>[1070720, 1070728, 1070736, 1070744, 1070752, 1070760, 1070768, 1070776, 1070784, 1070792]</t>
  </si>
  <si>
    <t>[1017595, 1017601, 1017607, 1017614, 1017622, 1017628, 1017635, 1017641, 1017645, 1017650]</t>
  </si>
  <si>
    <t>0.0025297822665544347</t>
  </si>
  <si>
    <t>[917559, 1017595, 1017601, 1017607, 1017614, 1017622, 1017628, 1017635, 1017641, 1017645]</t>
  </si>
  <si>
    <t>[0.005, 0.007, 0.0, 0.002, 0.003, 0.006, 0.009, 0.011, 0.001, 0.0]</t>
  </si>
  <si>
    <t>373.0367182295067</t>
  </si>
  <si>
    <t>[0.018, -0.018, -0.025, -0.035, -0.032, -0.034, -0.021, 0.01, 0.034]</t>
  </si>
  <si>
    <t>LINESTRING (17.68924290655567 68.65081430606094, 17.690889330581836 68.65156448602833, 17.690977075972985 68.6516046538515, 17.692622868166794 68.65225289813138, 17.6926971221078 68.65227710587546, 17.69277663683016 68.65230224390102, 17.693072143875188 68.65239040087027, 17.69370566470276 68.65255506613116, 17.694055163754587 68.65264185677941, 17.695857508455546 68.65302048434263)</t>
  </si>
  <si>
    <t>[1079251, 1079259, 1079267, 1079275, 1079283, 1079291, 1079300, 1079308, 1079316]</t>
  </si>
  <si>
    <t>[1024435, 1024442, 1024448, 1024456, 1019013, 1024465, 1024470, 1024476, 1017650]</t>
  </si>
  <si>
    <t>0.0025510658605932194</t>
  </si>
  <si>
    <t>[917559, 1024435, 1024442, 1024448, 1024456, 1019013, 1024465, 1024470, 1024476]</t>
  </si>
  <si>
    <t>[0.018, 0.018, 0.025, 0.035, 0.032, 0.034, 0.021, 0.01, 0.034]</t>
  </si>
  <si>
    <t>368.8490033545124</t>
  </si>
  <si>
    <t>1962.0</t>
  </si>
  <si>
    <t>LINESTRING (17.695857508455546 68.65302048434263, 17.970401098580936 68.6901770024308)</t>
  </si>
  <si>
    <t>18501.87807325774</t>
  </si>
  <si>
    <t>4869.0</t>
  </si>
  <si>
    <t>LINESTRING (16.567682299446062 68.63332267781284, 16.37452447441072 68.5872042612848)</t>
  </si>
  <si>
    <t>16283.804932249759</t>
  </si>
  <si>
    <t>[-0.014, -0.02, 0.014]</t>
  </si>
  <si>
    <t>LINESTRING (18.917491704766284 69.67246148835906, 18.91732047536352 69.6723849987525, 18.913755834536392 69.67197868976419, 18.913249062698327 69.67193946949968)</t>
  </si>
  <si>
    <t>[1814967, 1066982, 1080208]</t>
  </si>
  <si>
    <t>[1014567, 1014568, 1024409]</t>
  </si>
  <si>
    <t>[1024104, 1014567, 1014568]</t>
  </si>
  <si>
    <t>[0.014, 0.02, 0.014]</t>
  </si>
  <si>
    <t>184.75571579747123</t>
  </si>
  <si>
    <t>[-0.002, -0.005, -0.017, -0.02]</t>
  </si>
  <si>
    <t>LINESTRING (23.36532677135266 69.97343224165742, 23.365912041102888 69.97333382598488, 23.367722304654414 69.97302911547425, 23.369557887871597 69.97271992989786, 23.370104170565916 69.9726295842461)</t>
  </si>
  <si>
    <t>[1080018, 1080026, 1080034, 1080042]</t>
  </si>
  <si>
    <t>[1025103, 1025112, 1025119, 1025129]</t>
  </si>
  <si>
    <t>[1025102, 1025103, 1025112, 1025119]</t>
  </si>
  <si>
    <t>[0.002, 0.005, 0.017, 0.02]</t>
  </si>
  <si>
    <t>203.60802754017885</t>
  </si>
  <si>
    <t>LINESTRING (23.364916463891443 69.97354325625743, 23.364993614142747 69.9735235281734, 23.36532677135266 69.97343224165742)</t>
  </si>
  <si>
    <t>[1080338, 1080346]</t>
  </si>
  <si>
    <t>[1025386, 1025102]</t>
  </si>
  <si>
    <t>0.0006317609156473365</t>
  </si>
  <si>
    <t>[1025385, 1025386]</t>
  </si>
  <si>
    <t>20.006162526979963</t>
  </si>
  <si>
    <t>[-0.018, -0.016]</t>
  </si>
  <si>
    <t>LINESTRING (23.364818782830707 69.97347500949867, 23.3649125079557 69.97346570770036, 23.36532677135266 69.97343224165742)</t>
  </si>
  <si>
    <t>[1080354, 1080362]</t>
  </si>
  <si>
    <t>[1025401, 1025102]</t>
  </si>
  <si>
    <t>[1025400, 1025401]</t>
  </si>
  <si>
    <t>[0.018, 0.016]</t>
  </si>
  <si>
    <t>20.02117277903371</t>
  </si>
  <si>
    <t>LINESTRING (23.370104170565916 69.9726295842461, 23.37043646919938 69.97253782098353, 23.370514966457492 69.97251726683893)</t>
  </si>
  <si>
    <t>[1080378, 1080386]</t>
  </si>
  <si>
    <t>[1025426, 1025434]</t>
  </si>
  <si>
    <t>[1025129, 1025426]</t>
  </si>
  <si>
    <t>20.361218216250883</t>
  </si>
  <si>
    <t>LINESTRING (23.370104170565916 69.9726295842461, 23.370526248591787 69.97259847426074, 23.37061800047926 69.97258697523331)</t>
  </si>
  <si>
    <t>[1080402, 1080410]</t>
  </si>
  <si>
    <t>[1025451, 1025460]</t>
  </si>
  <si>
    <t>[1025129, 1025451]</t>
  </si>
  <si>
    <t>20.260409740824315</t>
  </si>
  <si>
    <t>[-0.009, -0.0]</t>
  </si>
  <si>
    <t>LINESTRING (23.371053686349587 69.97251217368796, 23.371125567039098 69.97248888586319, 23.371389463058392 69.97237411501602)</t>
  </si>
  <si>
    <t>[1080466, 1080474]</t>
  </si>
  <si>
    <t>[1025519, 1025182]</t>
  </si>
  <si>
    <t>[1025518, 1025519]</t>
  </si>
  <si>
    <t>[0.009, 0.0]</t>
  </si>
  <si>
    <t>20.454884492373868</t>
  </si>
  <si>
    <t>[-0.017, -0.015]</t>
  </si>
  <si>
    <t>LINESTRING (23.370949114894394 69.97244127257675, 23.371038480756365 69.97242680328307, 23.371389463058392 69.97237411501602)</t>
  </si>
  <si>
    <t>[1080482, 1080490]</t>
  </si>
  <si>
    <t>[1025539, 1025182]</t>
  </si>
  <si>
    <t>[1025538, 1025539]</t>
  </si>
  <si>
    <t>18.44608016921196</t>
  </si>
  <si>
    <t>[-0.005, -0.005, 0.009]</t>
  </si>
  <si>
    <t>LINESTRING (23.362584753037627 69.97385100911987, 23.363265956796038 69.97374838772235, 23.364304313458156 69.97357310703919, 23.364377944959752 69.97354497483694)</t>
  </si>
  <si>
    <t>[1080202, 1080210, 1080218]</t>
  </si>
  <si>
    <t>[1025266, 1025273, 1025282]</t>
  </si>
  <si>
    <t>[1025265, 1025266, 1025273]</t>
  </si>
  <si>
    <t>[0.005, 0.005, 0.009]</t>
  </si>
  <si>
    <t>77.27967081569395</t>
  </si>
  <si>
    <t>[-0.011, -0.009, -0.014]</t>
  </si>
  <si>
    <t>LINESTRING (23.362584753037627 69.97385100911987, 23.363318591138267 69.97378276583876, 23.364389968004698 69.97362899458157, 23.36448116298326 69.97361910762683)</t>
  </si>
  <si>
    <t>[1080266, 1080274, 1080282]</t>
  </si>
  <si>
    <t>[1025324, 1025333, 1025340]</t>
  </si>
  <si>
    <t>[1025265, 1025324, 1025333]</t>
  </si>
  <si>
    <t>[0.011, 0.009, 0.014]</t>
  </si>
  <si>
    <t>77.40246214203316</t>
  </si>
  <si>
    <t>[0.262, -0.002, -0.02, -0.205]</t>
  </si>
  <si>
    <t>LINESTRING (23.364377944959752 69.97354497483694, 23.364434086246373 69.97348987818295, 23.364504449594357 69.97346810286831, 23.364591163219966 69.97345613154562, 23.364818782830707 69.97347500949867)</t>
  </si>
  <si>
    <t>[1621747, 1621755, 1621763, 1621771]</t>
  </si>
  <si>
    <t>[1025347, 1452138, 1025365, 1025400]</t>
  </si>
  <si>
    <t>[1025282, 1025347, 1452138, 1025365]</t>
  </si>
  <si>
    <t>[0.262, 0.002, 0.02, 0.205]</t>
  </si>
  <si>
    <t>22.905747204956846</t>
  </si>
  <si>
    <t>[0.435, -0.255]</t>
  </si>
  <si>
    <t>LINESTRING (23.36448116298326 69.97361910762683, 23.364412286367315 69.97359090538791, 23.364377944959752 69.97354497483694)</t>
  </si>
  <si>
    <t>[1621828, 1621836]</t>
  </si>
  <si>
    <t>[1452197, 1025282]</t>
  </si>
  <si>
    <t>0.04641228745168115</t>
  </si>
  <si>
    <t>[1025340, 1452197]</t>
  </si>
  <si>
    <t>[0.435, 0.255]</t>
  </si>
  <si>
    <t>9.400543910118637</t>
  </si>
  <si>
    <t>96.54852387390599</t>
  </si>
  <si>
    <t>[0.016, 0.075]</t>
  </si>
  <si>
    <t>LINESTRING (8.002799739645958 58.15516646809142, 8.002765347873616 58.15523279205598, 8.00259176354832 58.15541274348131)</t>
  </si>
  <si>
    <t>[1183060, 1183068]</t>
  </si>
  <si>
    <t>[1112944, 1025294]</t>
  </si>
  <si>
    <t>0.06001487846115374</t>
  </si>
  <si>
    <t>[1112943, 1112944]</t>
  </si>
  <si>
    <t>30.208500581592737</t>
  </si>
  <si>
    <t>[0.156, -0.01]</t>
  </si>
  <si>
    <t>LINESTRING (8.003103289103372 58.15528268789537, 8.002959589875067 58.15531631281371, 8.00259176354832 58.15541274348131)</t>
  </si>
  <si>
    <t>[1986638, 1986646]</t>
  </si>
  <si>
    <t>[1746020, 1025294]</t>
  </si>
  <si>
    <t>0.03538097126478654</t>
  </si>
  <si>
    <t>[1453671, 1746020]</t>
  </si>
  <si>
    <t>[0.156, 0.01]</t>
  </si>
  <si>
    <t>33.901191081895604</t>
  </si>
  <si>
    <t>[-0.028, -0.015]</t>
  </si>
  <si>
    <t>LINESTRING (8.00132346707131 58.15593076612523, 8.000936064567137 58.15601376701177, 8.000833417015292 58.15602360857942)</t>
  </si>
  <si>
    <t>[1183076, 1183084]</t>
  </si>
  <si>
    <t>[1112958, 1112965]</t>
  </si>
  <si>
    <t>[1025295, 1112958]</t>
  </si>
  <si>
    <t>[0.028, 0.015]</t>
  </si>
  <si>
    <t>30.8043908972308</t>
  </si>
  <si>
    <t>[-0.009, 0.024]</t>
  </si>
  <si>
    <t>LINESTRING (8.00132346707131 58.15593076612523, 8.001078840765988 58.156125093676295, 8.001010115197369 58.156182225019144)</t>
  </si>
  <si>
    <t>[1986654, 1986662]</t>
  </si>
  <si>
    <t>[1746036, 1453550]</t>
  </si>
  <si>
    <t>[1025295, 1746036]</t>
  </si>
  <si>
    <t>[0.009, 0.024]</t>
  </si>
  <si>
    <t>33.826829462271306</t>
  </si>
  <si>
    <t>[0.202, -0.001, 0.021, -0.183]</t>
  </si>
  <si>
    <t>LINESTRING (23.364916463891443 69.97354325625743, 23.364863905178847 69.97360134789058, 23.364771076794845 69.9736282555119, 23.364657367659806 69.97363870227313, 23.36448116298326 69.97361910762683)</t>
  </si>
  <si>
    <t>[1621795, 1621803, 1621812, 1621820]</t>
  </si>
  <si>
    <t>[1282641, 1452176, 1282666, 1025340]</t>
  </si>
  <si>
    <t>0.007138587322931283</t>
  </si>
  <si>
    <t>[1025385, 1282641, 1452176, 1282666]</t>
  </si>
  <si>
    <t>[0.202, 0.001, 0.021, 0.183]</t>
  </si>
  <si>
    <t>23.03720272753678</t>
  </si>
  <si>
    <t>[0.26, -0.459]</t>
  </si>
  <si>
    <t>LINESTRING (23.364818782830707 69.97347500949867, 23.364897082303248 69.97351153535708, 23.364916463891443 69.97354325625743)</t>
  </si>
  <si>
    <t>[1621779, 1621787]</t>
  </si>
  <si>
    <t>[1452159, 1025385]</t>
  </si>
  <si>
    <t>[1025400, 1452159]</t>
  </si>
  <si>
    <t>[0.26, 0.459]</t>
  </si>
  <si>
    <t>8.679337808469608</t>
  </si>
  <si>
    <t>[0.038, -0.058]</t>
  </si>
  <si>
    <t>LINESTRING (23.370514966457492 69.97251726683893, 23.37064346408679 69.97243559341854, 23.370949114894394 69.97244127257675)</t>
  </si>
  <si>
    <t>[1621844, 1621852]</t>
  </si>
  <si>
    <t>[1025147, 1025538]</t>
  </si>
  <si>
    <t>[1025434, 1025147]</t>
  </si>
  <si>
    <t>[0.038, 0.058]</t>
  </si>
  <si>
    <t>22.98998455639664</t>
  </si>
  <si>
    <t>[0.121, -0.049]</t>
  </si>
  <si>
    <t>LINESTRING (23.37061800047926 69.97258697523331, 23.370546555786355 69.97255699820074, 23.370514966457492 69.97251726683893)</t>
  </si>
  <si>
    <t>[1621908, 1621916]</t>
  </si>
  <si>
    <t>[1452267, 1025434]</t>
  </si>
  <si>
    <t>0.03336862673583377</t>
  </si>
  <si>
    <t>[1025460, 1452267]</t>
  </si>
  <si>
    <t>[0.121, 0.049]</t>
  </si>
  <si>
    <t>8.919885032652818</t>
  </si>
  <si>
    <t>[0.033, 0.011, 0.025, -0.025]</t>
  </si>
  <si>
    <t>LINESTRING (23.371053686349587 69.97251217368796, 23.370995810535053 69.97257142402205, 23.370886937943904 69.97259972849545, 23.370769369289327 69.97260647467512, 23.37061800047926 69.97258697523331)</t>
  </si>
  <si>
    <t>[1621876, 1621884, 1621892, 1621900]</t>
  </si>
  <si>
    <t>[1025495, 1452245, 1025469, 1025460]</t>
  </si>
  <si>
    <t>0.010763402136680028</t>
  </si>
  <si>
    <t>[1025518, 1025495, 1452245, 1025469]</t>
  </si>
  <si>
    <t>[0.033, 0.011, 0.025, 0.025]</t>
  </si>
  <si>
    <t>22.956259937085363</t>
  </si>
  <si>
    <t>[0.045, -0.091]</t>
  </si>
  <si>
    <t>LINESTRING (23.370949114894394 69.97244127257675, 23.371021264713953 69.9724710352163, 23.371053686349587 69.97251217368796)</t>
  </si>
  <si>
    <t>[1621860, 1621868]</t>
  </si>
  <si>
    <t>[1452224, 1025518]</t>
  </si>
  <si>
    <t>[1025538, 1452224]</t>
  </si>
  <si>
    <t>[0.045, 0.091]</t>
  </si>
  <si>
    <t>9.078549857934757</t>
  </si>
  <si>
    <t>[0.041, -0.033, 0.01, 0.136, 0.001]</t>
  </si>
  <si>
    <t>LINESTRING (18.913302776524358 69.6718458947718, 18.91404264701667 69.67182063358338, 18.915039447493886 69.67184713990676, 18.91756211533157 69.67158014589141, 18.917764092644614 69.67148950260912, 18.918211066361827 69.67130614064962)</t>
  </si>
  <si>
    <t>[1814975, 1814943, 1066974, 1814951, 1814959]</t>
  </si>
  <si>
    <t>[1597003, 1014560, 1014561, 1597008, 1024579]</t>
  </si>
  <si>
    <t>0.012790625664611368</t>
  </si>
  <si>
    <t>[1027717, 1597003, 1014560, 1014561, 1597008]</t>
  </si>
  <si>
    <t>[0.041, 0.033, 0.01, 0.136, 0.001]</t>
  </si>
  <si>
    <t>213.89230320446907</t>
  </si>
  <si>
    <t>[-0.1, -0.133, -0.15, -0.0, 0.028, 0.029, 0.02, 0.004, 0.074, 0.054]</t>
  </si>
  <si>
    <t>LINESTRING (10.75590618424437 59.89921763284885, 10.755887049658277 59.899237669578106, 10.755799147906325 59.89927844405829, 10.755660114531947 59.89928935335295, 10.75518720550988 59.898806917978185, 10.755291375063315 59.8987555100115, 10.755405949926352 59.89874704020017, 10.75549786084455 59.89876213474826, 10.755610051649448 59.898819793593034, 10.755694335237242 59.89888994978829, 10.755863462486717 59.899069303938546)</t>
  </si>
  <si>
    <t>[1088360, 1088365, 1088366, 1088367, 1088374, 1088310, 1088327, 1088339, 1088344, 1088345]</t>
  </si>
  <si>
    <t>[1032548, 1032551, 1032552, 1032553, 1032499, 1032500, 1032517, 1032530, 1032534, 1032535]</t>
  </si>
  <si>
    <t>0.0007885827882555201</t>
  </si>
  <si>
    <t>[1032542, 1032548, 1032551, 1032552, 1032553, 1032499, 1032500, 1032517, 1032530, 1032534]</t>
  </si>
  <si>
    <t>[0.1, 0.133, 0.15, 0.0, 0.028, 0.029, 0.02, 0.004, 0.074, 0.054]</t>
  </si>
  <si>
    <t>140.7319767357581</t>
  </si>
  <si>
    <t>[0.165, 0.164, 0.013, 0.044, -0.003]</t>
  </si>
  <si>
    <t>LINESTRING (10.755863462486717 59.899069303938546, 10.755940231018986 59.89907866760742, 10.756078484963233 59.89908981645642, 10.75822914262702 59.90004821254978, 10.758956961673908 59.900747583754416, 10.759003151576643 59.90084687466829)</t>
  </si>
  <si>
    <t>[1928962, 1928970, 1928978, 1928986, 1928994]</t>
  </si>
  <si>
    <t>[1692609, 1692617, 1692625, 1692632, 1692549]</t>
  </si>
  <si>
    <t>0.028474415929099522</t>
  </si>
  <si>
    <t>[1032535, 1692609, 1692617, 1692625, 1692632]</t>
  </si>
  <si>
    <t>[0.165, 0.164, 0.013, 0.044, 0.003]</t>
  </si>
  <si>
    <t>284.972694059838</t>
  </si>
  <si>
    <t>[-1.121, 0.007, -0.02, -0.163, -0.141]</t>
  </si>
  <si>
    <t>LINESTRING (10.758708113023587 59.900755820299935, 10.758599898380172 59.90068389687209, 10.757502754685959 59.89985850352385, 10.756174478319267 59.89918040140625, 10.755964829006935 59.89920313249233, 10.75590618424437 59.89921763284885)</t>
  </si>
  <si>
    <t>[1928753, 1928761, 1928769, 1928777, 1928785]</t>
  </si>
  <si>
    <t>[1692461, 1692469, 1692475, 1692479, 1032542]</t>
  </si>
  <si>
    <t>[1086260, 1692461, 1692469, 1692475, 1692479]</t>
  </si>
  <si>
    <t>[1.121, 0.007, 0.02, 0.163, 0.141]</t>
  </si>
  <si>
    <t>247.67788839849777</t>
  </si>
  <si>
    <t>[-0.118, 0.009, 0.056, 0.046, 0.003, 0.064, 0.053, -0.012, 0.052, -0.001, 0.014, 0.068, -0.027, 0.057, 0.052, 0.037, 0.026, -0.038, 0.024, -0.136, 0.033, 0.051, 0.035, 0.065, 0.086, 0.012, 0.083, 0.022, -0.013, -0.001, -0.0, 0.006, 0.003, -0.018, -0.062, -0.026, -0.049, -0.014, 0.002, -0.016, -0.037]</t>
  </si>
  <si>
    <t>[0, 0, 0, 0, 0, 0, 1, 0, 0, 0, 0, 0, 0, 0, 0, 0, 0, 0, 0, 0, 0, 0, 0, 0, 0, 0, 0, 0, 0, 0, 0, 0, 0, 0, 0, 0, 0, 0, 0, 0, 0]</t>
  </si>
  <si>
    <t>LINESTRING (10.377507577977894 59.95198283911446, 10.377588890566779 59.95231328901177, 10.3771634182383 59.95308573744092, 10.375763799131045 59.95413277937521, 10.370321298505843 59.956852186382534, 10.369183901543776 59.95727808542502, 10.369076011575107 59.957316023766566, 10.368974361205785 59.95735166312025, 10.367509385406795 59.957828977959124, 10.362249645736268 59.95870516301062, 10.361100424674763 59.95921422432388, 10.360534026948141 59.95963408171082, 10.35981642241297 59.96032652599942, 10.359474964767102 59.9606256895558, 10.358801919326138 59.9612558414624, 10.35834345856854 59.96159108280036, 10.35705000230197 59.96222562306386, 10.356923256211157 59.96229701092896, 10.356630654194522 59.96245197057049, 10.353312323817358 59.96363998291639, 10.3528441896791 59.963745696192056, 10.350889049639367 59.96398995361895, 10.350420573592169 59.96401918752445, 10.349726855096623 59.96401819791922, 10.347919290988395 59.96393814046944, 10.347642647898232 59.96392548181282, 10.347624841106061 59.96392467294161, 10.346865859006181 59.9638928244764, 10.34567310491159 59.96386177919565, 10.344977320513824 59.963890165291275, 10.344507655166415 59.963955501688154, 10.344385795925048 59.96397861747561, 10.34429828453299 59.96399602179914, 10.343975526763154 59.96407020084233, 10.343480058130082 59.9642359407187, 10.343110249846998 59.96443251076307, 10.343098957713085 59.96443945973593, 10.34201427866563 59.96526493999622, 10.341624751778458 59.96589934676944, 10.341294348694053 59.96681760435173, 10.341066517567883 59.96733054245124, 10.3410218840541 59.96742154975561)</t>
  </si>
  <si>
    <t>[1782277, 1501343, 1501360, 1501373, 1501381, 1501389, 1501405, 1501416, 1501439, 1501446, 1501454, 1501467, 1501475, 1501491, 1501539, 1501554, 1501562, 1501574, 1501592, 1501600, 1090637, 1090645, 1090653, 1090662, 1090670, 1090678, 1090686, 1090694, 2159791, 1090702, 1090710, 1090718, 1090726, 1090734, 1090742, 1090750, 1090758, 1090766, 1090774, 1090782, 1090790]</t>
  </si>
  <si>
    <t>[1358102, 1358103, 1358108, 1358115, 1358118, 1358125, 1358135, 1358146, 1358164, 1351138, 465098, 465105, 465117, 465128, 1358218, 1358225, 1358230, 1351167, 465426, 1034500, 1034501, 1034508, 1034515, 1034522, 1034528, 1034536, 827395, 1034546, 1034555, 1034556, 1034562, 1034569, 1034574, 1034578, 1034584, 1034590, 1034596, 1034602, 1034608, 1034613, 1034617]</t>
  </si>
  <si>
    <t>0.022770991164230456</t>
  </si>
  <si>
    <t>[1571968, 1358102, 1358103, 1358108, 1358115, 1358118, 1358125, 1358135, 1358146, 1358164, 1351138, 465098, 465105, 465117, 465128, 1358218, 1358225, 1358230, 1351167, 465426, 1034500, 1034501, 1034508, 1034515, 1034522, 1034528, 1034536, 827395, 1034546, 1034555, 1034556, 1034562, 1034569, 1034574, 1034578, 1034584, 1034590, 1034596, 1034602, 1034608, 1034613]</t>
  </si>
  <si>
    <t>[0.118, 0.009, 0.056, 0.046, 0.003, 0.064, 0.053, 0.012, 0.052, 0.001, 0.014, 0.068, 0.027, 0.057, 0.052, 0.037, 0.026, 0.038, 0.024, 0.136, 0.033, 0.051, 0.035, 0.065, 0.086, 0.012, 0.083, 0.022, 0.013, 0.001, 0.0, 0.006, 0.003, 0.018, 0.062, 0.026, 0.049, 0.014, 0.002, 0.016, 0.037]</t>
  </si>
  <si>
    <t>2920.3268385028864</t>
  </si>
  <si>
    <t>[0.186, 0.215, -0.046, -0.327, -0.277, -0.153, -0.143, -0.174]</t>
  </si>
  <si>
    <t>LINESTRING (10.321928131944041 59.97854170840762, 10.320633653509686 59.97902767787282, 10.32030467268398 59.979123330704816, 10.31367899584481 59.981056657794674, 10.313568235951058 59.981088731417515, 10.313356386773188 59.98115150448183, 10.311348972234331 59.98184253310536, 10.310954579441814 59.9820216692198, 10.310521647493534 59.982243091179136)</t>
  </si>
  <si>
    <t>[1090798, 1090806, 1090814, 1090822, 1090830, 1090838, 1090846, 1090854]</t>
  </si>
  <si>
    <t>[0, 1, 1, 0, 0, 0, 0, 0]</t>
  </si>
  <si>
    <t>[1034626, 1034634, 1034642, 1034647, 1034652, 1034659, 1034666, 1034671]</t>
  </si>
  <si>
    <t>[1034625, 1034626, 1034634, 1034642, 1034647, 1034652, 1034659, 1034666]</t>
  </si>
  <si>
    <t>[0.186, 0.215, 0.046, 0.327, 0.277, 0.153, 0.143, 0.174]</t>
  </si>
  <si>
    <t>761.3946402393296</t>
  </si>
  <si>
    <t>236.71224656014215</t>
  </si>
  <si>
    <t>[-0.08, -0.043]</t>
  </si>
  <si>
    <t>LINESTRING (10.325874003465213 59.97688541698654, 10.324454107570766 59.9772296018102, 10.321928131944041 59.97854170840762)</t>
  </si>
  <si>
    <t>[2159751, 2159759]</t>
  </si>
  <si>
    <t>[1849730, 1034625]</t>
  </si>
  <si>
    <t>[1804954, 1849730]</t>
  </si>
  <si>
    <t>[0.08, 0.043]</t>
  </si>
  <si>
    <t>293.2359924991</t>
  </si>
  <si>
    <t>[-0.07, -0.169, -0.143, -0.149]</t>
  </si>
  <si>
    <t>LINESTRING (10.310521647493534 59.982243091179136, 10.309781192127355 59.98271861093213, 10.308924303924009 59.98329394751382, 10.308656716413786 59.98348291684963, 10.30840693258838 59.98365631179925)</t>
  </si>
  <si>
    <t>[2158796, 2158804, 2158812, 2158820]</t>
  </si>
  <si>
    <t>[1849127, 1849132, 1849137, 1849142]</t>
  </si>
  <si>
    <t>[1034671, 1849127, 1849132, 1849137]</t>
  </si>
  <si>
    <t>[0.07, 0.169, 0.143, 0.149]</t>
  </si>
  <si>
    <t>197.57482817408626</t>
  </si>
  <si>
    <t>[-0.119, -0.168]</t>
  </si>
  <si>
    <t>LINESTRING (10.310521647493534 59.982243091179136, 10.30966934512774 59.982689409132945, 10.309185573653037 59.98301317208627)</t>
  </si>
  <si>
    <t>[2158868, 2158876]</t>
  </si>
  <si>
    <t>[1849171, 1849176]</t>
  </si>
  <si>
    <t>[1034671, 1849171]</t>
  </si>
  <si>
    <t>[0.119, 0.168]</t>
  </si>
  <si>
    <t>114.94036316707752</t>
  </si>
  <si>
    <t>[0.006, -0.025, -0.086, -0.144, -0.106]</t>
  </si>
  <si>
    <t>LINESTRING (10.30840693258838 59.98365631179925, 10.305032270477314 59.987592405811846, 10.304981477114483 59.98763495635766, 10.30346757953594 59.98866996741296, 10.30329013024211 59.98877913083917, 10.302350023080756 59.989566934825845)</t>
  </si>
  <si>
    <t>[2158828, 2158836, 2158844, 2158852, 2158860]</t>
  </si>
  <si>
    <t>[1849149, 1849153, 1849158, 1849165, 1034678]</t>
  </si>
  <si>
    <t>[1849142, 1849149, 1849153, 1849158, 1849165]</t>
  </si>
  <si>
    <t>[0.006, 0.025, 0.086, 0.144, 0.106]</t>
  </si>
  <si>
    <t>749.765507815027</t>
  </si>
  <si>
    <t>[-0.165, -0.159, -0.0, -0.034, -0.101, -0.14, -0.717, -0.062]</t>
  </si>
  <si>
    <t>LINESTRING (10.309185573653037 59.98301317208627, 10.308785613418703 59.98328100447876, 10.308508483359455 59.98347498541881, 10.30476138349867 59.98770467267546, 10.304712422262511 59.9877440504299, 10.303261000241783 59.98870019198782, 10.303097014550865 59.98879898780558, 10.303092921887574 59.98880163918479, 10.302350023080756 59.989566934825845)</t>
  </si>
  <si>
    <t>[2158884, 2158892, 2158900, 2158908, 2158916, 2158924, 2158932, 2158940]</t>
  </si>
  <si>
    <t>[1849179, 1849184, 1849123, 1849192, 1849197, 1849118, 1849206, 1034678]</t>
  </si>
  <si>
    <t>[1849176, 1849179, 1849184, 1849123, 1849192, 1849197, 1849118, 1849206]</t>
  </si>
  <si>
    <t>[0.165, 0.159, 0.0, 0.034, 0.101, 0.14, 0.717, 0.062]</t>
  </si>
  <si>
    <t>835.6225584708404</t>
  </si>
  <si>
    <t>[0.149, -0.053, 0.0, -0.019, 0.011, 0.014, 0.006, 0.0, -0.01, -0.012, -0.013, -0.021, -0.005, -0.059, -0.047, -0.047, -0.04, 0.208]</t>
  </si>
  <si>
    <t>LINESTRING (10.282484663011644 60.00297982402645, 10.281241009666324 60.00369736853957, 10.277506154218788 60.00561192032064, 10.277436678001877 60.00564057932419, 10.270946364498565 60.01057648162931, 10.268125812660783 60.01938098782433, 10.268369739832252 60.02443652376861, 10.268385806788691 60.02450564828933, 10.268386296167964 60.024507626676574, 10.268409846343628 60.024607565436355, 10.268890505351315 60.026787665966154, 10.268936405622865 60.026985296387664, 10.269227640690131 60.028305414127935, 10.271090117929734 60.03204404429368, 10.271690393341107 60.0371395243099, 10.276632140371557 60.04571708045239, 10.280288037348917 60.05083267934192, 10.28133226843177 60.051368633298694, 10.281429271751756 60.05144559683234)</t>
  </si>
  <si>
    <t>[2080220, 2080228, 2080236, 2080244, 2080252, 2080260, 2080268, 2080276, 2080284, 2080300, 2080308, 2080316, 2080324, 2080332, 2080340, 2080348, 2080356, 2080364]</t>
  </si>
  <si>
    <t>[1803726, 1803733, 1803739, 1803744, 1803750, 1803755, 1803759, 1803766, 1803772, 1803788, 1803795, 1803803, 1803809, 1803818, 1803825, 1803832, 1803837, 1263193]</t>
  </si>
  <si>
    <t>[1034760, 1803726, 1803733, 1803739, 1803744, 1803750, 1803755, 1803759, 1803766, 1803772, 1803788, 1803795, 1803803, 1803809, 1803818, 1803825, 1803832, 1803837]</t>
  </si>
  <si>
    <t>[0.149, 0.053, 0.0, 0.019, 0.011, 0.014, 0.006, 0.0, 0.01, 0.012, 0.013, 0.021, 0.005, 0.059, 0.047, 0.047, 0.04, 0.208]</t>
  </si>
  <si>
    <t>5818.809097749945</t>
  </si>
  <si>
    <t>[0.131, -0.05, 0.0, -0.02, 0.011, 0.015, 0.007, -0.009, -0.011, -0.012, -0.02, -0.005, -0.059, -0.047, -0.046]</t>
  </si>
  <si>
    <t>13132.0</t>
  </si>
  <si>
    <t>LINESTRING (10.282484663011644 60.00297982402645, 10.281181748407112 60.0036705029536, 10.277431668196582 60.005590659875274, 10.277361745201144 60.005619302832535, 10.270869512706437 60.01057797907823, 10.268043111983188 60.019375627180374, 10.268281183965687 60.02443706981592, 10.268297582772277 60.0245062602277, 10.268321290687796 60.024609235856474, 10.268803749172173 60.02679078658201, 10.268849487041114 60.02698779059105, 10.269143757552875 60.02831015821961, 10.270960015710934 60.032057773074705, 10.271571487118836 60.037155157628014, 10.276515333502715 60.04572752326812, 10.28021097088819 60.05086759146789)</t>
  </si>
  <si>
    <t>[2080372, 2080380, 2080388, 2080396, 2080404, 2080412, 2080420, 2080436, 2080444, 2080460, 2080468, 2080476, 2080484, 2080492, 2080500]</t>
  </si>
  <si>
    <t>[1803849, 1803858, 1803863, 1803868, 1803873, 1803878, 1803883, 1803896, 1803899, 1803909, 1803912, 1803917, 1803918, 1803923, 1803928]</t>
  </si>
  <si>
    <t>[1034760, 1803849, 1803858, 1803863, 1803868, 1803873, 1803878, 1803883, 1803896, 1803899, 1803909, 1803912, 1803917, 1803918, 1803923]</t>
  </si>
  <si>
    <t>[0.131, 0.05, 0.0, 0.02, 0.011, 0.015, 0.007, 0.009, 0.011, 0.012, 0.02, 0.005, 0.059, 0.047, 0.046]</t>
  </si>
  <si>
    <t>5732.241644610439</t>
  </si>
  <si>
    <t>[-0.035, -0.041]</t>
  </si>
  <si>
    <t>LINESTRING (10.09712954595728 60.35511745976049, 10.097043105900994 60.35524677264592, 10.096761366264275 60.3553974506094)</t>
  </si>
  <si>
    <t>[1830409, 1830417]</t>
  </si>
  <si>
    <t>[1607236, 1035188]</t>
  </si>
  <si>
    <t>[1035179, 1607236]</t>
  </si>
  <si>
    <t>[0.035, 0.041]</t>
  </si>
  <si>
    <t>40.241062327400115</t>
  </si>
  <si>
    <t>[-0.036, -0.039]</t>
  </si>
  <si>
    <t>LINESTRING (10.09712954595728 60.35511745976049, 10.096915511181109 60.355206751759226, 10.096761366264275 60.3553974506094)</t>
  </si>
  <si>
    <t>[1830425, 1830433]</t>
  </si>
  <si>
    <t>[1607247, 1035188]</t>
  </si>
  <si>
    <t>[1035179, 1607247]</t>
  </si>
  <si>
    <t>41.24981566151978</t>
  </si>
  <si>
    <t>1749.0</t>
  </si>
  <si>
    <t>LINESTRING (10.096761366264275 60.3553974506094, 9.988731282095815 60.56325322109984)</t>
  </si>
  <si>
    <t>[-0.053, -0.044, -0.017, 0.033, 0.017, -0.003, 0.003]</t>
  </si>
  <si>
    <t>LINESTRING (8.697827339642757 58.42790000244936, 8.699215576209367 58.426399717987096, 8.699330352994446 58.42621540555487, 8.699931934762375 58.42439211600531, 8.699977625739281 58.42345025440964, 8.699870037468225 58.422480475656776, 8.699659762231548 58.42144626081902, 8.69962790033813 58.42131087494018)</t>
  </si>
  <si>
    <t>[1092875, 1398324, 1398332, 1398340, 1398348, 1398356, 1398364]</t>
  </si>
  <si>
    <t>[1036432, 1280488, 1280489, 1280493, 1280498, 1280503, 1280442]</t>
  </si>
  <si>
    <t>[1036367, 1036432, 1280488, 1280489, 1280493, 1280498, 1280503]</t>
  </si>
  <si>
    <t>[0.053, 0.044, 0.017, 0.033, 0.017, 0.003, 0.003]</t>
  </si>
  <si>
    <t>759.500529746662</t>
  </si>
  <si>
    <t>[-0.004, -0.052, 0.012, -0.001, -0.004, -0.022, -0.06, -0.068, -0.078, 0.013, 0.038, 0.006, -0.001, 0.005, 0.005, -0.026, 0.065, -0.045]</t>
  </si>
  <si>
    <t>[0, 0, 1, 0, 0, 0, 1, 0, 1, 0, 1, 0, 1, 0, 1, 0, 0, 0]</t>
  </si>
  <si>
    <t>LINESTRING (8.707872207748371 58.453323278824406, 8.705431456224787 58.44977498260841, 8.703187758735048 58.44815394532996, 8.703141414322792 58.44812977582899, 8.700780813866567 58.447135348469544, 8.696391127997112 58.44497510335526, 8.693755273811167 58.442537238596444, 8.693667990833841 58.442430258111074, 8.693453164841486 58.442162162973034, 8.693313612221976 58.441982803023166, 8.692563986224492 58.440869000824236, 8.692536022803173 58.44082195826321, 8.690463486889048 58.43625582342001, 8.69045298013901 58.436225403598115, 8.690869876127291 58.43232144188852, 8.690891523514386 58.43229270076095, 8.69323955950872 58.43046214556807, 8.695430009678955 58.429358932394905, 8.697827339642757 58.42790000244936)</t>
  </si>
  <si>
    <t>[1092996, 1093004, 1093012, 1093020, 1093028, 1093043, 1093051, 1093059, 1093067, 1093075, 1092811, 1092819, 1092827, 1092835, 1092843, 1092851, 1092859, 1092867]</t>
  </si>
  <si>
    <t>[1036537, 1036542, 1036548, 1036556, 1036564, 1036575, 1036579, 1036585, 1036595, 1036381, 1036382, 1036386, 1036392, 1036398, 1036406, 1036413, 1036420, 1036367]</t>
  </si>
  <si>
    <t>[1036515, 1036537, 1036542, 1036548, 1036556, 1036564, 1036575, 1036579, 1036585, 1036595, 1036381, 1036382, 1036386, 1036392, 1036398, 1036406, 1036413, 1036420]</t>
  </si>
  <si>
    <t>[0.004, 0.052, 0.012, 0.001, 0.004, 0.022, 0.06, 0.068, 0.078, 0.013, 0.038, 0.006, 0.001, 0.005, 0.005, 0.026, 0.065, 0.045]</t>
  </si>
  <si>
    <t>3311.1391766412917</t>
  </si>
  <si>
    <t>[-0.048, -0.051, -0.046, -0.016, 0.038, 0.021, -0.006]</t>
  </si>
  <si>
    <t>LINESTRING (8.695525333869746 58.42937379779515, 8.69784698622736 58.427968797661194, 8.69929351764823 58.42641334473963, 8.699407608817536 58.426227683516515, 8.70000901359974 58.42439501857653, 8.700057496900232 58.423449827422274, 8.699947253601572 58.422477801348606, 8.699724826493219 58.421381132725635)</t>
  </si>
  <si>
    <t>[1092939, 1092947, 1398252, 1398260, 1398276, 1398284, 1398292]</t>
  </si>
  <si>
    <t>[1036488, 1036495, 1280453, 1280458, 1280465, 1280471, 1280449]</t>
  </si>
  <si>
    <t>[1036375, 1036488, 1036495, 1280453, 1280458, 1280465, 1280471]</t>
  </si>
  <si>
    <t>[0.048, 0.051, 0.046, 0.016, 0.038, 0.021, 0.006]</t>
  </si>
  <si>
    <t>968.0636925202177</t>
  </si>
  <si>
    <t>[-0.003, -0.024, -0.057, -0.064, -0.075, 0.008, 0.038, 0.007, -0.001, 0.004, 0.002, -0.025, 0.066]</t>
  </si>
  <si>
    <t>22414.0</t>
  </si>
  <si>
    <t>[0, 0, 1, 0, 1, 0, 1, 0, 1, 0, 1, 0, 0]</t>
  </si>
  <si>
    <t>LINESTRING (8.700757731553761 58.44705948602213, 8.696457318652971 58.44491643434477, 8.693854945834019 58.442500641170184, 8.693772955960302 58.44240148732762, 8.693563877608323 58.442137728983354, 8.69342671802121 58.441959387953986, 8.692690982457828 58.44086959861458, 8.692665175529333 58.44082680544844, 8.690584055568864 58.4362567367038, 8.690573358774763 58.43622450625767, 8.69098680274874 58.43233586474681, 8.691011744456576 58.43230503479993, 8.69333316885998 58.43049240953868, 8.695525333869746 58.42937379779515)</t>
  </si>
  <si>
    <t>[1093139, 1093147, 1093155, 1093163, 1093171, 1093179, 1092883, 1092891, 1092899, 1092907, 1092915, 1092923, 1092931]</t>
  </si>
  <si>
    <t>[1036656, 1036662, 1036668, 1036676, 1036686, 1036440, 1036441, 1036448, 1036454, 1036459, 1036467, 1036473, 1036375]</t>
  </si>
  <si>
    <t>[1036502, 1036656, 1036662, 1036668, 1036676, 1036686, 1036440, 1036441, 1036448, 1036454, 1036459, 1036467, 1036473]</t>
  </si>
  <si>
    <t>[0.003, 0.024, 0.057, 0.064, 0.075, 0.008, 0.038, 0.007, 0.001, 0.004, 0.002, 0.025, 0.066]</t>
  </si>
  <si>
    <t>2253.897914656643</t>
  </si>
  <si>
    <t>[0.0, 0.103, 0.062, -0.026]</t>
  </si>
  <si>
    <t>LINESTRING (8.699430845926441 58.42717481101129, 8.699430845926441 58.42717481101129, 8.699362610443071 58.427165932250325, 8.695821588541943 58.42924522566862, 8.695525333869746 58.42937379779515)</t>
  </si>
  <si>
    <t>[1763696, 1763704, 1763712, 1092803]</t>
  </si>
  <si>
    <t>[1558576, 1558581, 1036374, 1036375]</t>
  </si>
  <si>
    <t>0.05605516653650948</t>
  </si>
  <si>
    <t>[271969, 1558576, 1558581, 1036374]</t>
  </si>
  <si>
    <t>[0.0, 0.103, 0.062, 0.026]</t>
  </si>
  <si>
    <t>350.71524162888693</t>
  </si>
  <si>
    <t>[-0.054, 0.009, -0.001]</t>
  </si>
  <si>
    <t>LINESTRING (8.705470872783485 58.449700606980564, 8.703268113396337 58.44811972036043, 8.703226801913019 58.4480981405849, 8.700757731553761 58.44705948602213)</t>
  </si>
  <si>
    <t>[1093115, 1093123, 1093131]</t>
  </si>
  <si>
    <t>[1036638, 1036644, 1036502]</t>
  </si>
  <si>
    <t>[1036510, 1036638, 1036644]</t>
  </si>
  <si>
    <t>[0.054, 0.009, 0.001]</t>
  </si>
  <si>
    <t>407.60308312468965</t>
  </si>
  <si>
    <t>[-0.024, -0.028, 0.025, 0.021, 0.007, -0.01, -0.029, 0.027, 0.03, 0.025, -0.005]</t>
  </si>
  <si>
    <t>[0, 1, 0, 0, 1, 0, 0, 0, 1, 0, 0]</t>
  </si>
  <si>
    <t>LINESTRING (8.719183290170351 58.46052020363819, 8.714132036711224 58.45853884562355, 8.713963568561963 58.458458598476476, 8.711641718267023 58.45718242884768, 8.71093274619837 58.456699063760645, 8.71084475643059 58.45663583248438, 8.709938618194522 58.45589288992461, 8.709750736627921 58.455713325142135, 8.708797292871147 58.45462690169168, 8.708773267893884 58.454595097824885, 8.707972665356978 58.45331104304679, 8.705470872783485 58.449700606980564)</t>
  </si>
  <si>
    <t>[1146517, 1146525, 1146533, 1146542, 1146550, 1146558, 1146566, 1093083, 1093091, 1093099, 1093107]</t>
  </si>
  <si>
    <t>[1082249, 1082254, 1082257, 1082263, 1082266, 1082273, 1036608, 1036609, 1036618, 1036626, 1036510]</t>
  </si>
  <si>
    <t>0.0005806031336719258</t>
  </si>
  <si>
    <t>[1081944, 1082249, 1082254, 1082257, 1082263, 1082266, 1082273, 1036608, 1036609, 1036618, 1036626]</t>
  </si>
  <si>
    <t>[0.024, 0.028, 0.025, 0.021, 0.007, 0.01, 0.029, 0.027, 0.03, 0.025, 0.005]</t>
  </si>
  <si>
    <t>1494.5766934540898</t>
  </si>
  <si>
    <t>[0.02, 0.007, -0.011, -0.03, 0.026, 0.036, 0.024]</t>
  </si>
  <si>
    <t>LINESTRING (8.711451657693091 58.457147082249826, 8.71088165325287 58.456754998112224, 8.710792855083243 58.456689565545474, 8.709853235107538 58.455918388138436, 8.709658406400582 58.45573894947756, 8.708708960573524 58.4546595667887, 8.708686601173014 58.45462901572013, 8.707872207748371 58.453323278824406)</t>
  </si>
  <si>
    <t>[1146333, 1146341, 1146349, 1146357, 1092970, 1092980, 1092988]</t>
  </si>
  <si>
    <t>[1082108, 1082115, 1082120, 1036516, 1036517, 1036526, 1036515]</t>
  </si>
  <si>
    <t>0.013804025970260205</t>
  </si>
  <si>
    <t>[1081951, 1082108, 1082115, 1082120, 1036516, 1036517, 1036526]</t>
  </si>
  <si>
    <t>[0.02, 0.007, 0.011, 0.03, 0.026, 0.036, 0.024]</t>
  </si>
  <si>
    <t>478.5398855417329</t>
  </si>
  <si>
    <t>[0.022, 0.027, 0.03, 0.012, 0.012, 0.035, 0.02]</t>
  </si>
  <si>
    <t>LINESTRING (8.708720403500736 58.45587442311154, 8.708815375196872 58.4558671398385, 8.708930875162629 58.45584867311428, 8.70929134880663 58.455487446866385, 8.708660698496333 58.454677372741784, 8.70863859530336 58.454647788928035, 8.707989725492874 58.45359168506604, 8.707872207748371 58.453323278824406)</t>
  </si>
  <si>
    <t>[1750439, 1750447, 1750455, 1750464, 1750469, 1750485, 1092969]</t>
  </si>
  <si>
    <t>[1551009, 1551011, 1551014, 1551020, 1551023, 1036514, 1036515]</t>
  </si>
  <si>
    <t>0.02503021324703547</t>
  </si>
  <si>
    <t>[1550904, 1551009, 1551011, 1551014, 1551020, 1551023, 1036514]</t>
  </si>
  <si>
    <t>317.0891352107374</t>
  </si>
  <si>
    <t>[0.002, -0.003, 0.002, 0.005, 0.01, 0.007, 0.015, 0.012, 0.015, 0.021, 0.021, 0.005, 0.002]</t>
  </si>
  <si>
    <t>7057.0</t>
  </si>
  <si>
    <t>LINESTRING (7.1068269145456675 58.15779086690385, 7.106543686456745 58.157710986975694, 7.10614619507347 58.157577105996495, 7.104422962437861 58.15718828935332, 7.104292794377116 58.15717250718725, 7.104088836967358 58.15714792623239, 7.103861155491488 58.15712305811651, 7.103679491943742 58.157106178978175, 7.103551557314934 58.15709607348067, 7.102964294976541 58.15706703811833, 7.1028132698870445 58.15706566838608, 7.102702463741034 58.15706515291101, 7.102044305408058 58.15707213461437, 7.099521022057583 58.15713576881372)</t>
  </si>
  <si>
    <t>[1096619, 1096627, 1096635, 1096643, 1096651, 1096659, 1096667, 1096675, 1096683, 1096691, 1096699, 1096707, 1096715]</t>
  </si>
  <si>
    <t>[1039414, 1039424, 1039431, 1039442, 1039453, 1039460, 1039470, 1039481, 1039489, 596675, 1039503, 1039509, 1039517]</t>
  </si>
  <si>
    <t>0.0045250898452564746</t>
  </si>
  <si>
    <t>[1039413, 1039414, 1039424, 1039431, 1039442, 1039453, 1039460, 1039470, 1039481, 1039489, 596675, 1039503, 1039509]</t>
  </si>
  <si>
    <t>[0.002, 0.003, 0.002, 0.005, 0.01, 0.007, 0.015, 0.012, 0.015, 0.021, 0.021, 0.005, 0.002]</t>
  </si>
  <si>
    <t>448.41057803213005</t>
  </si>
  <si>
    <t>[-0.011, -0.003, -0.0, 0.003, 0.01, 0.009, 0.011, 0.015, 0.023, 0.019, 0.02, 0.022, 0.008, 0.005, 0.005]</t>
  </si>
  <si>
    <t>LINESTRING (7.1068269145456675 58.15779086690385, 7.106577780416629 58.15768434440486, 7.106184499305867 58.15754964324016, 7.104447042086338 58.157121596738044, 7.104326818166645 58.157104305100326, 7.103920488661501 58.15705775827689, 7.103728830222673 58.157038714300334, 7.103610366073971 58.157028305670984, 7.102957192744434 58.15699991890175, 7.102921499349291 58.15699966212211, 7.102807329175089 58.15699892818138, 7.102735799598158 58.156999055083425, 7.102708651500643 58.156999123039334, 7.1020658643641275 58.15701424226951, 7.102050089103042 58.1570149644013, 7.099521022057583 58.15713576881372)</t>
  </si>
  <si>
    <t>[1185467, 1185475, 1185483, 1185491, 1185499, 1185507, 1185515, 1185523, 1185531, 1185539, 1185547, 1185555, 1185563, 1185571, 1185579]</t>
  </si>
  <si>
    <t>[1114674, 1114679, 1109223, 1114687, 1114691, 1114698, 1114703, 1114709, 596664, 1114722, 1114731, 1114739, 1114746, 1114751, 1039517]</t>
  </si>
  <si>
    <t>0.004615088944730889</t>
  </si>
  <si>
    <t>[1039413, 1114674, 1114679, 1109223, 1114687, 1114691, 1114698, 1114703, 1114709, 596664, 1114722, 1114731, 1114739, 1114746, 1114751]</t>
  </si>
  <si>
    <t>[0.011, 0.003, 0.0, 0.003, 0.01, 0.009, 0.011, 0.015, 0.023, 0.019, 0.02, 0.022, 0.008, 0.005, 0.005]</t>
  </si>
  <si>
    <t>452.8600678981566</t>
  </si>
  <si>
    <t>[-0.022, 0.012, 0.016, 0.03, 0.031, -0.033]</t>
  </si>
  <si>
    <t>LINESTRING (7.099521022057583 58.15713576881372, 7.0961155690893225 58.157251476959544, 7.0959821651559185 58.1572565555704, 7.095736812489702 58.15726470344742, 7.095644386283655 58.15726777212386, 7.093432563566308 58.157343802235594, 7.092423058598491 58.15740244651599)</t>
  </si>
  <si>
    <t>[1351026, 1351034, 1351042, 1351050, 1351058, 1351066]</t>
  </si>
  <si>
    <t>[1107510, 1251238, 1251243, 1251249, 1109569, 1251253]</t>
  </si>
  <si>
    <t>[1039517, 1107510, 1251238, 1251243, 1251249, 1109569]</t>
  </si>
  <si>
    <t>[0.022, 0.012, 0.016, 0.03, 0.031, 0.033]</t>
  </si>
  <si>
    <t>419.9284986386106</t>
  </si>
  <si>
    <t>[0.079, 0.069, 0.06, 0.071, -0.058, 0.108, 0.134, 0.095, 0.075, 0.039, 0.045, 0.067, 0.014, 0.022, 0.023, 0.003]</t>
  </si>
  <si>
    <t>LINESTRING (7.020099876373293 58.216973909551655, 7.018749933045838 58.217866167050936, 7.018519827492723 58.21802039794488, 7.01657990370368 58.219218817054525, 7.016447845912627 58.21928012526541, 7.014658487250757 58.219895892514785, 7.01445002403926 58.219951344859, 7.014441022053654 58.21995350279625, 7.014366890040004 58.219971959219166, 7.012439284299349 58.220424403988446, 7.01239597679232 58.220433026828196, 7.012323743224739 58.22044625209851, 7.012234188066492 58.22046425083204, 7.012196036713594 58.22047161944101, 7.010722521467458 58.22072351019009, 7.008530286461718 58.220939502338766, 7.007757883961729 58.2209550929538)</t>
  </si>
  <si>
    <t>[1096723, 1096731, 1096739, 1096747, 1173468, 1173388, 1173396, 1173404, 1173412, 1173428, 1173476, 1173484, 1173228, 1173236, 1173244, 1177665]</t>
  </si>
  <si>
    <t>[1039524, 1039532, 1039539, 1039546, 1105759, 1105760, 1105767, 1105773, 1105778, 1105787, 1105823, 1105624, 1105625, 1105631, 1105640, 1108862]</t>
  </si>
  <si>
    <t>0.0368987162420052</t>
  </si>
  <si>
    <t>[1039523, 1039524, 1039532, 1039539, 1039546, 1105759, 1105760, 1105767, 1105773, 1105778, 1105787, 1105823, 1105624, 1105625, 1105631, 1105640]</t>
  </si>
  <si>
    <t>[0.079, 0.069, 0.06, 0.071, 0.058, 0.108, 0.134, 0.095, 0.075, 0.039, 0.045, 0.067, 0.014, 0.022, 0.023, 0.003]</t>
  </si>
  <si>
    <t>889.3827110696461</t>
  </si>
  <si>
    <t>[0.096, 0.002, -0.051, 0.107, 0.123, 0.106, 0.082, 0.039, 0.062, 0.018, 0.026, 0.017, -0.004]</t>
  </si>
  <si>
    <t>LINESTRING (7.020099876373293 58.216973909551655, 7.018704308596236 58.21784714998857, 7.018473738596183 58.21800146886513, 7.016386773468121 58.219266748030776, 7.014425106488903 58.21992422019982, 7.014420136283229 58.21992533279072, 7.014345287313412 58.219942120288174, 7.012394617970891 58.22035365470707, 7.012282581415942 58.22037573236373, 7.012139375528643 58.22040394004209, 7.010671738471661 58.22065767052537, 7.01047304991623 58.220687083637316, 7.008526732671943 58.22090608070305, 7.007757883961729 58.2209550929538)</t>
  </si>
  <si>
    <t>[1185587, 1185595, 1185603, 1173284, 1173292, 1173300, 1173308, 1173324, 1173260, 1173268, 1173276, 1173252, 1177601]</t>
  </si>
  <si>
    <t>[1114761, 1114769, 1105674, 1105675, 1105681, 1105691, 1105700, 1105655, 1105656, 1105661, 1105647, 1105648, 1108862]</t>
  </si>
  <si>
    <t>0.03694414299060362</t>
  </si>
  <si>
    <t>[1039523, 1114761, 1114769, 1105674, 1105675, 1105681, 1105691, 1105700, 1105655, 1105656, 1105661, 1105647, 1105648]</t>
  </si>
  <si>
    <t>[0.096, 0.002, 0.051, 0.107, 0.123, 0.106, 0.082, 0.039, 0.062, 0.018, 0.026, 0.017, 0.004]</t>
  </si>
  <si>
    <t>885.6843471808805</t>
  </si>
  <si>
    <t>[-0.051, 0.011, 0.008, -0.001, 0.007, 0.017, 0.008, -0.003, 0.016, 0.009, 0.012, 0.017, 0.013, 0.01, 0.004, -0.018, 0.013, 0.011, 0.01, 0.018, 0.017, 0.005, 0.034, 0.047, 0.034, -0.003, -0.021, 0.024, 0.034, 0.036, 0.047, 0.066, 0.029, 0.002, 0.086, -0.059, -0.049, -0.025, -0.022, 0.023, 0.063, 0.056, 0.101, 0.059, -0.13, -0.104, -0.082, -0.041, 0.04, 0.061, 0.019, 0.012]</t>
  </si>
  <si>
    <t>[1, 0, 0, 0, 0, 0, 0, 0, 0, 0, 0, 0, 0, 0, 0, 0, 0, 1, 0, 0, 0, 0, 0, 0, 0, 0, 0, 0, 0, 0, 0, 0, 0, 0, 0, 0, 0, 0, 1, 0, 0, 0, 0, 0, 0, 0, 1, 0, 0, 0, 0, 0]</t>
  </si>
  <si>
    <t>LINESTRING (7.09109223192626 58.15757786767694, 7.090281394624726 58.15769280747384, 7.089855318652784 58.15775320819605, 7.087904086057708 58.1580317508887, 7.0854458118272055 58.158162279373094, 7.084506632075117 58.15810548892209, 7.079696404714784 58.15778132765535, 7.079339620549361 58.15775741516549, 7.074032881887837 58.15761549197528, 7.0736629568337985 58.15769714667515, 7.073403421898636 58.157767769414605, 7.072854675463581 58.15796397762639, 7.072343762613437 58.158208201820415, 7.0722144906834545 58.15827315711814, 7.070953031359608 58.15890118759525, 7.068872412540847 58.15993667701787, 7.0678106300167585 58.1602720080622, 7.0676588517478915 58.16029320008304, 7.067401477414294 58.160322479685526, 7.067263087351309 58.16032930935576, 7.064126560391186 58.16021587248025, 7.062291026810803 58.16045639705965, 7.0597332895175215 58.162339697200636, 7.059570117096487 58.16259243719728, 7.059042718839359 58.16341600156227, 7.0589186153370775 58.1636092526626, 7.059186828286222 58.16802050737815, 7.0593386760123815 58.168136197671515, 7.060637927560103 58.169116072705556, 7.060798644881243 58.17258338616872, 7.058670542565766 58.176349110782816, 7.059002409554493 58.176864445293916, 7.059125248321739 58.17705776253997, 7.058790276104648 58.18340547829638, 7.058076556703039 58.18392845815471, 7.04800457028644 58.18686667148507, 7.045736203257875 58.18824118195289, 7.046031771016887 58.19031183548253, 7.045976320083554 58.19128739785655, 7.045928002300237 58.191499242328184, 7.045460077521341 58.193513534251224, 7.045296932526716 58.19422308824609, 7.03754550996394 58.19719436097044, 7.035304043409394 58.1979399843601, 7.034766178434849 58.201151021285405, 7.034766609366269 58.20115987977035, 7.034787486996286 58.201656445214965, 7.034794172054038 58.20183385436088, 7.034864503246281 58.20361980133691, 7.0333439279184455 58.20594887712501, 7.032009408820503 58.207251907129105, 7.0218245889496345 58.21587402056271, 7.020099876373293 58.216973909551655)</t>
  </si>
  <si>
    <t>[1351074, 1351082, 1351090, 1351098, 1351106, 1351114, 1351122, 1351130, 1351138, 1351146, 1351154, 1351162, 1351170, 1351178, 1351186, 1351194, 1351202, 1351210, 1351218, 1351226, 1351338, 1351346, 1351354, 1351362, 1351370, 1351378, 1351386, 1351394, 1351402, 1351410, 1351418, 1351426, 1351434, 1351442, 1351450, 1351458, 1351466, 1351474, 1351482, 1351490, 1351498, 1351506, 1351514, 1351523, 1351531, 1351539, 1351547, 1351555, 1351563, 1351571, 1351579, 1351587]</t>
  </si>
  <si>
    <t>[1251260, 1251267, 879333, 1075571, 1073193, 1075423, 1073201, 1075433, 882906, 1251299, 1251305, 1073814, 652856, 902263, 1154976, 1251333, 1251340, 1251346, 608011, 1073834, 1251436, 1251443, 1068674, 1068675, 1251460, 871181, 887972, 1251480, 1095268, 1242650, 1251494, 1088981, 1251503, 1242550, 1074174, 883420, 1243143, 1251531, 1251538, 1073957, 897810, 911969, 1251560, 1251565, 1251570, 1251577, 1251585, 1074008, 1251593, 1107278, 1251603, 1039523]</t>
  </si>
  <si>
    <t>0.023635203810723895</t>
  </si>
  <si>
    <t>[1251259, 1251260, 1251267, 879333, 1075571, 1073193, 1075423, 1073201, 1075433, 882906, 1251299, 1251305, 1073814, 652856, 902263, 1154976, 1251333, 1251340, 1251346, 608011, 1073834, 1251436, 1251443, 1068674, 1068675, 1251460, 871181, 887972, 1251480, 1095268, 1242650, 1251494, 1088981, 1251503, 1242550, 1074174, 883420, 1243143, 1251531, 1251538, 1073957, 897810, 911969, 1251560, 1251565, 1251570, 1251577, 1251585, 1074008, 1251593, 1107278, 1251603]</t>
  </si>
  <si>
    <t>[0.051, 0.011, 0.008, 0.001, 0.007, 0.017, 0.008, 0.003, 0.016, 0.009, 0.012, 0.017, 0.013, 0.01, 0.004, 0.018, 0.013, 0.011, 0.01, 0.018, 0.017, 0.005, 0.034, 0.047, 0.034, 0.003, 0.021, 0.024, 0.034, 0.036, 0.047, 0.066, 0.029, 0.002, 0.086, 0.059, 0.049, 0.025, 0.022, 0.023, 0.063, 0.056, 0.101, 0.059, 0.13, 0.104, 0.082, 0.041, 0.04, 0.061, 0.019, 0.012]</t>
  </si>
  <si>
    <t>9526.295338368183</t>
  </si>
  <si>
    <t>56.271188524775205</t>
  </si>
  <si>
    <t>[-0.095, -0.031, -0.045, -0.065, -0.099]</t>
  </si>
  <si>
    <t>LINESTRING (8.941823160659544 58.65256973581796, 8.941959056976392 58.65253429425679, 8.941475918260073 58.65174430235736, 8.940773133482699 58.65093861765368, 8.940634889293824 58.65072030385592, 8.940506944743971 58.650505258866076)</t>
  </si>
  <si>
    <t>[1097262, 1097270, 1097278, 1097286, 1105834]</t>
  </si>
  <si>
    <t>[1039959, 1039964, 1039969, 1039974, 1046787]</t>
  </si>
  <si>
    <t>[1039958, 1039959, 1039964, 1039969, 1039974]</t>
  </si>
  <si>
    <t>[0.095, 0.031, 0.045, 0.065, 0.099]</t>
  </si>
  <si>
    <t>260.3759330484454</t>
  </si>
  <si>
    <t>[0.004, 0.009, 0.006, 0.003, 0.005, 0.003, -0.12]</t>
  </si>
  <si>
    <t>LINESTRING (18.253730921731663 68.834810651402, 18.254080651015983 68.83552163489716, 18.25409609353801 68.83554847395743, 18.254136427853403 68.8356184567134, 18.254163615371912 68.8356655611143, 18.254508980402917 68.83619320200064, 18.254582465525043 68.83628909177914, 18.254861884390387 68.83657942023795)</t>
  </si>
  <si>
    <t>[1143065, 1143072, 1143073, 1143080, 1143108, 1143119, 1143133]</t>
  </si>
  <si>
    <t>[1079202, 1079207, 1079208, 1079215, 1079245, 1079255, 1040588]</t>
  </si>
  <si>
    <t>[1040580, 1079202, 1079207, 1079208, 1079215, 1079245, 1079255]</t>
  </si>
  <si>
    <t>[0.004, 0.009, 0.006, 0.003, 0.005, 0.003, 0.12]</t>
  </si>
  <si>
    <t>203.02354565287894</t>
  </si>
  <si>
    <t>[0.008, 0.007, 0.007, 0.005, 0.003, -0.096]</t>
  </si>
  <si>
    <t>LINESTRING (18.253730921731663 68.834810651402, 18.25429481621722 68.83550335336952, 18.254312327404477 68.83553023358871, 18.254357186307107 68.83559887252862, 18.254388432281402 68.83564670725774, 18.25470955275573 68.8361782603565, 18.254861884390387 68.83657942023795)</t>
  </si>
  <si>
    <t>[1143146, 1143170, 1143178, 1143188, 1143204, 1143234]</t>
  </si>
  <si>
    <t>[1079285, 1079316, 1079323, 1079333, 1079349, 1040588]</t>
  </si>
  <si>
    <t>[1040580, 1079285, 1079316, 1079323, 1079333, 1079349]</t>
  </si>
  <si>
    <t>[0.008, 0.007, 0.007, 0.005, 0.003, 0.096]</t>
  </si>
  <si>
    <t>203.0997213930911</t>
  </si>
  <si>
    <t>4863.0</t>
  </si>
  <si>
    <t>LINESTRING (17.970401098580936 68.6901770024308, 18.253730921731663 68.834810651402)</t>
  </si>
  <si>
    <t>[-0.016, 0.008, -0.05, 0.051, 0.052, 0.048, 0.046, 0.037, -0.027, 0.006, -0.012, 0.002, 0.003, -0.049, -0.034, -0.008, -0.009, -0.019, -0.028, -0.042, -0.056, 0.064, -0.012, -0.027, 0.005, 0.018, 0.009, 0.017, 0.009, 0.024, 0.031, 0.047, 0.039, 0.033, -0.001, -0.014, -0.014, -0.032, -0.08, -0.03, -0.042, -0.047, -0.041, -0.04, -0.041, -0.044, -0.032, -0.064, -0.077]</t>
  </si>
  <si>
    <t>3133.0</t>
  </si>
  <si>
    <t>[0, 0, 0, 1, 0, 0, 0, 0, 0, 0, 0, 0, 0, 0, 0, 0, 0, 0, 0, 0, 0, 0, 0, 0, 0, 0, 0, 0, 0, 0, 0, 0, 0, 0, 0, 0, 0, 0, 0, 0, 0, 0, 0, 0, 0, 0, 0, 0, 0]</t>
  </si>
  <si>
    <t>LINESTRING (18.254861884390387 68.83657942023795, 18.255199311156463 68.83705665976191, 18.259022090406553 68.83855416696838, 18.266338476632555 68.84046645877909, 18.26653712687508 68.84063225621607, 18.267104159564525 68.84115929622854, 18.267941478389318 68.84194153283688, 18.268114802730885 68.842097220526, 18.268875030004818 68.84270171132948, 18.27682945002188 68.84654200044436, 18.28269140637498 68.8492415261751, 18.284090336321196 68.85037471329505, 18.284363126003967 68.85064160443251, 18.2930075946803 68.85473471970323, 18.29813106074631 68.85635362937387, 18.298974601244463 68.85691669175016, 18.299033091574735 68.85695704141618, 18.299450837650753 68.85727856728188, 18.299917230581677 68.85764772656583, 18.30143016964964 68.85877013953953, 18.302117890732067 68.85912008928273, 18.3033063867902 68.85954013336193, 18.30644624674043 68.86019196923196, 18.309300430736368 68.86026836606635, 18.311153727770034 68.86028406247569, 18.313612534280036 68.86031391468131, 18.31607292273925 68.86032268849092, 18.318853954742988 68.86021291372128, 18.318981583842124 68.86021680637755, 18.31913162328096 68.86022034219378, 18.32035449088712 68.86019825716875, 18.32316741935244 68.85982092425243, 18.32506242683798 68.8597010761238, 18.325667056531596 68.85969203193048, 18.32789683256788 68.85959837759981, 18.32934387532111 68.85945697108414, 18.331179305971496 68.85926075330363, 18.3312031307975 68.85925823007712, 18.33261149168516 68.85910700199715, 18.332635284640705 68.8591044342911, 18.336074820167585 68.8588923840455, 18.33821281615784 68.85888534134149, 18.33834014618164 68.85888346929643, 18.33843941239561 68.8588852014181, 18.33850434868487 68.85888527301736, 18.339388993636682 68.85889725962535, 18.34269562688972 68.85962024523805, 18.34290176683023 68.8597317513532, 18.34626727823381 68.86043114510022, 18.347514131311037 68.86072735264707)</t>
  </si>
  <si>
    <t>[1097945, 1097946, 1097947, 1097948, 1097955, 1097963, 1097971, 1097984, 1097992, 1098000, 1098008, 1098016, 1098024, 1098032, 1098040, 1098048, 1098056, 1098064, 1098072, 1098080, 1098097, 1098105, 1098113, 1098121, 1098129, 1098137, 1098145, 1098155, 1098163, 1098171, 1098179, 1098187, 1098195, 1098203, 1098211, 1098219, 1098227, 1098235, 1098243, 1098251, 1098257, 1098258, 1098265, 1098273, 1098288, 1098289, 1098290, 1129808, 1129816]</t>
  </si>
  <si>
    <t>[920105, 920259, 1040589, 1040590, 1040597, 1040602, 920267, 906434, 920336, 920369, 920340, 1040646, 1040650, 1040654, 917857, 917878, 470832, 470846, 470806, 470825, 917911, 917918, 1040705, 917923, 1040715, 904000, 959669, 1040729, 959679, 893226, 1040747, 893189, 893706, 903902, 1040772, 1040778, 1040786, 1040794, 1040800, 918006, 959688, 1040816, 959659, 1040831, 904032, 1040840, 1040841, 1067698, 918139]</t>
  </si>
  <si>
    <t>[1040588, 920105, 920259, 1040589, 1040590, 1040597, 1040602, 920267, 906434, 920336, 920369, 920340, 1040646, 1040650, 1040654, 917857, 917878, 470832, 470846, 470806, 470825, 917911, 917918, 1040705, 917923, 1040715, 904000, 959669, 1040729, 959679, 893226, 1040747, 893189, 893706, 903902, 1040772, 1040778, 1040786, 1040794, 1040800, 918006, 959688, 1040816, 959659, 1040831, 904032, 1040840, 1040841, 1067698]</t>
  </si>
  <si>
    <t>[0.016, 0.008, 0.05, 0.051, 0.052, 0.048, 0.046, 0.037, 0.027, 0.006, 0.012, 0.002, 0.003, 0.049, 0.034, 0.008, 0.009, 0.019, 0.028, 0.042, 0.056, 0.064, 0.012, 0.027, 0.005, 0.018, 0.009, 0.017, 0.009, 0.024, 0.031, 0.047, 0.039, 0.033, 0.001, 0.014, 0.014, 0.032, 0.08, 0.03, 0.042, 0.047, 0.041, 0.04, 0.041, 0.044, 0.032, 0.064, 0.077]</t>
  </si>
  <si>
    <t>5183.71753434013</t>
  </si>
  <si>
    <t>[0.29, -0.012, 0.024, 0.052, 0.008, -0.515]</t>
  </si>
  <si>
    <t>LINESTRING (8.72347821535396 58.463189355571146, 8.723492191507962 58.463226516357615, 8.723466775271902 58.4632802043899, 8.723297529479304 58.4633366436489, 8.723182774595042 58.46332290106876, 8.72309203648912 58.46326810010932, 8.723076703147578 58.46324140960401)</t>
  </si>
  <si>
    <t>[1752166, 1752167, 1752173, 1752175, 1752176, 1752185]</t>
  </si>
  <si>
    <t>[1552024, 544721, 1552028, 1552030, 451337, 1152794]</t>
  </si>
  <si>
    <t>0.006483161209014849</t>
  </si>
  <si>
    <t>[1045070, 1552024, 544721, 1552028, 1552030, 451337]</t>
  </si>
  <si>
    <t>[0.29, 0.012, 0.024, 0.052, 0.008, 0.515]</t>
  </si>
  <si>
    <t>40.58170881092214</t>
  </si>
  <si>
    <t>[1.351, 0.044, 0.042, 0.032, 0.039, 0.041, 0.039, 0.034, 0.037, 0.028, 0.032, 0.031, -0.129]</t>
  </si>
  <si>
    <t>LINESTRING (19.13522307221527 69.5632838899113, 19.134979497731244 69.56333692841598, 19.134711374430097 69.56337700674845, 19.132426292653975 69.56363509682632, 19.13234444361668 69.56364143607854, 19.132229335094042 69.56364996385108, 19.132111250798218 69.56365746573294, 19.131987554520347 69.56366519913097, 19.130907753530362 69.56370713810946, 19.13089169832171 69.5637074818744, 19.130756719425086 69.56371033262879, 19.130256703217007 69.56371599296635, 19.13012119843713 69.56371639368487, 19.128135630747163 69.56364176102802)</t>
  </si>
  <si>
    <t>[2115472, 2115480, 2115488, 2115496, 2115504, 2115512, 2115520, 2115528, 2115536, 2115544, 2115552, 2115560, 2115568]</t>
  </si>
  <si>
    <t>[1824485, 1824489, 1824495, 1824498, 1824500, 1824505, 1824508, 1824514, 1824518, 1824525, 1824529, 1824479, 1045654]</t>
  </si>
  <si>
    <t>0.04395434818837264</t>
  </si>
  <si>
    <t>[1045653, 1824485, 1824489, 1824495, 1824498, 1824500, 1824505, 1824508, 1824514, 1824518, 1824525, 1824529, 1824479]</t>
  </si>
  <si>
    <t>[1.351, 0.044, 0.042, 0.032, 0.039, 0.041, 0.039, 0.034, 0.037, 0.028, 0.032, 0.031, 0.129]</t>
  </si>
  <si>
    <t>284.9716285868906</t>
  </si>
  <si>
    <t>[1.362, 0.04, 0.041, 0.03, 0.041, 0.041, 0.029, 0.034, 0.038, 0.031, 0.029, 0.03, -0.124]</t>
  </si>
  <si>
    <t>LINESTRING (19.13522307221527 69.5632838899113, 19.134949767439792 69.56330890604603, 19.134677356944504 69.56334198739296, 19.13238638545079 69.56356514666233, 19.132299680272876 69.56357097181515, 19.13219689674215 69.56357795003909, 19.132074062773086 69.56358628309638, 19.131963377970052 69.56359202841641, 19.13088641554518 69.5636341338065, 19.130735304760883 69.56363600030326, 19.130658715640887 69.56363737127367, 19.13024798976994 69.56364284285574, 19.13012232327189 69.56364385556485, 19.128135630747163 69.56364176102802)</t>
  </si>
  <si>
    <t>[2115648, 2115656, 2115664, 2115672, 2115680, 2115688, 2115696, 2115704, 2115712, 2115720, 2115728, 2115736, 2115744]</t>
  </si>
  <si>
    <t>[1824593, 1824600, 1824606, 1824547, 1824616, 1824582, 1824627, 1824631, 1824638, 1824642, 1824646, 1824476, 1045654]</t>
  </si>
  <si>
    <t>0.044663846713747804</t>
  </si>
  <si>
    <t>[1045653, 1824593, 1824600, 1824606, 1824547, 1824616, 1824582, 1824627, 1824631, 1824638, 1824642, 1824646, 1824476]</t>
  </si>
  <si>
    <t>[1.362, 0.04, 0.041, 0.03, 0.041, 0.041, 0.029, 0.034, 0.038, 0.031, 0.029, 0.03, 0.124]</t>
  </si>
  <si>
    <t>281.58343482503074</t>
  </si>
  <si>
    <t>[0.0, -0.043, 0.046]</t>
  </si>
  <si>
    <t>LINESTRING (11.23979997625154 60.45315786016956, 11.23979997625154 60.45315786016956, 11.239461973076091 60.45427143934928, 11.242203748938351 60.46042795936774)</t>
  </si>
  <si>
    <t>[1104595, 1104610, 1104619]</t>
  </si>
  <si>
    <t>[1045918, 1045931, 1045935]</t>
  </si>
  <si>
    <t>0.012753337042115379</t>
  </si>
  <si>
    <t>[1045917, 1045918, 1045931]</t>
  </si>
  <si>
    <t>[0.0, 0.043, 0.046]</t>
  </si>
  <si>
    <t>2166.8741180431352</t>
  </si>
  <si>
    <t>[-0.644, 0.069, 0.1, 0.087]</t>
  </si>
  <si>
    <t>LINESTRING (11.23979997625154 60.45315786016956, 11.241944826762259 60.441411310740584, 11.241912400191893 60.44062087306758, 11.24191129289528 60.4406029185471, 11.24188757453729 60.440293454707664)</t>
  </si>
  <si>
    <t>[1115871, 1115895, 1115903, 1299104]</t>
  </si>
  <si>
    <t>[1055240, 1055262, 1055272, 1210915]</t>
  </si>
  <si>
    <t>0.0199956084516108</t>
  </si>
  <si>
    <t>[1045917, 1055240, 1055262, 1055272]</t>
  </si>
  <si>
    <t>[0.644, 0.069, 0.1, 0.087]</t>
  </si>
  <si>
    <t>134.83588687714587</t>
  </si>
  <si>
    <t>[-0.014, -0.059]</t>
  </si>
  <si>
    <t>LINESTRING (11.243698364063585 60.462303211299556, 11.24235432926682 60.46056609335861, 11.242203748938351 60.46042795936774)</t>
  </si>
  <si>
    <t>[1299152, 1298067]</t>
  </si>
  <si>
    <t>[1210040, 1045935]</t>
  </si>
  <si>
    <t>[1210953, 1210040]</t>
  </si>
  <si>
    <t>[0.014, 0.059]</t>
  </si>
  <si>
    <t>225.0249635762974</t>
  </si>
  <si>
    <t>[0.0, 0.008, 0.008, -0.036, -0.049, -0.043]</t>
  </si>
  <si>
    <t>[0, 1, 1, 0, 1, 0]</t>
  </si>
  <si>
    <t>LINESTRING (11.23828034587579 60.49898054661036, 11.23828034587579 60.49898054661036, 11.238334922110715 60.49916356624344, 11.238388040190024 60.4993811506702, 11.240005711138146 60.50410363518225, 11.240433711255909 60.504557405696616, 11.243097497457944 60.51058544185445)</t>
  </si>
  <si>
    <t>[1104664, 1104672, 1104692, 1104693, 1104694, 2105506]</t>
  </si>
  <si>
    <t>[1045968, 1045977, 1045998, 1045999, 1046000, 1819073]</t>
  </si>
  <si>
    <t>[1045967, 1045968, 1045977, 1045998, 1045999, 1046000]</t>
  </si>
  <si>
    <t>[0.0, 0.008, 0.008, 0.036, 0.049, 0.043]</t>
  </si>
  <si>
    <t>2636.6363529311475</t>
  </si>
  <si>
    <t>[-2.048, 0.018, 0.034]</t>
  </si>
  <si>
    <t>LINESTRING (11.23828034587579 60.49898054661036, 11.236233898911104 60.48724999530487, 11.236980083000136 60.48562614228104, 11.23747798991071 60.48496322871348)</t>
  </si>
  <si>
    <t>[1298155, 1298123, 1298131]</t>
  </si>
  <si>
    <t>[1210092, 1210093, 1210100]</t>
  </si>
  <si>
    <t>[1045967, 1210092, 1210093]</t>
  </si>
  <si>
    <t>[2.048, 0.018, 0.034]</t>
  </si>
  <si>
    <t>277.05966117684335</t>
  </si>
  <si>
    <t>[0.04, 0.01]</t>
  </si>
  <si>
    <t>LINESTRING (11.243551951491968 60.51159687453969, 11.24323297697309 60.51774030121252, 11.243003725225385 60.518371451627225)</t>
  </si>
  <si>
    <t>[2105594, 2105602]</t>
  </si>
  <si>
    <t>[1819127, 1819130]</t>
  </si>
  <si>
    <t>0.03718616267578593</t>
  </si>
  <si>
    <t>[1046032, 1819127]</t>
  </si>
  <si>
    <t>761.7763447989654</t>
  </si>
  <si>
    <t>[-0.039, -0.016, 0.001, 0.019, 0.014, 0.002, -0.037, -0.05, -0.045, -0.014]</t>
  </si>
  <si>
    <t>[0, 0, 0, 0, 1, 1, 0, 1, 0, 0]</t>
  </si>
  <si>
    <t>LINESTRING (11.237593459770816 60.48522567532779, 11.236994931406045 60.486091595126325, 11.236466472538961 60.48726962525441, 11.236435792201464 60.48737673855122, 11.238460233863677 60.498966208628886, 11.2385162749545 60.49915027623271, 11.23856916473679 60.49937188099919, 11.24018561259645 60.5040784185745, 11.240604298099129 60.50452922918751, 11.243277117954205 60.51057080101535, 11.243551951491968 60.51159687453969)</t>
  </si>
  <si>
    <t>[1298099, 1298107, 1298163, 1104684, 1104685, 1104704, 1104716, 1104717, 1104718, 1104725]</t>
  </si>
  <si>
    <t>[1210071, 1210078, 1045989, 1045990, 1045991, 1046009, 1046022, 1046023, 1046024, 1046032]</t>
  </si>
  <si>
    <t>[1210066, 1210071, 1210078, 1045989, 1045990, 1045991, 1046009, 1046022, 1046023, 1046024]</t>
  </si>
  <si>
    <t>[0.039, 0.016, 0.001, 0.019, 0.014, 0.002, 0.037, 0.05, 0.045, 0.014]</t>
  </si>
  <si>
    <t>2997.2056540409512</t>
  </si>
  <si>
    <t>[0.941, -0.07, -0.017, -0.005, 0.019, -0.045, -0.039, -0.031]</t>
  </si>
  <si>
    <t>LINESTRING (11.283993777523023 60.58792280368842, 11.279165105610298 60.583392958948956, 11.277833568578446 60.581859293911045, 11.276470881628484 60.580274382740406, 11.275825869724919 60.579571878181, 11.268937466152243 60.57458327321404, 11.265837218732171 60.572909212389135, 11.265607351408022 60.57277739406197, 11.265416893700941 60.57266350412535)</t>
  </si>
  <si>
    <t>[1298238, 1298229, 1298237, 1104874, 1104886, 1298171, 1298179, 1298187]</t>
  </si>
  <si>
    <t>[1210179, 1210180, 1046157, 1046158, 1046161, 1210132, 1210139, 1046131]</t>
  </si>
  <si>
    <t>[1046163, 1210179, 1210180, 1046157, 1046158, 1046161, 1210132, 1210139]</t>
  </si>
  <si>
    <t>[0.941, 0.07, 0.017, 0.005, 0.019, 0.045, 0.039, 0.031]</t>
  </si>
  <si>
    <t>1438.887115877414</t>
  </si>
  <si>
    <t>[-0.111, 0.033, 0.015, 0.044, 0.038]</t>
  </si>
  <si>
    <t>LINESTRING (11.258557793832852 60.566851792215765, 11.258561940700286 60.56685556674602, 11.258898831865586 60.56716251755989, 11.26116299909945 60.569224235553364, 11.264626933340619 60.57215607330219, 11.265416893700941 60.57266350412535)</t>
  </si>
  <si>
    <t>[2105810, 2105818, 1104828, 1104840, 1104841]</t>
  </si>
  <si>
    <t>[1819230, 1046119, 1046120, 1046130, 1046131]</t>
  </si>
  <si>
    <t>0.03266260732533999</t>
  </si>
  <si>
    <t>[1819224, 1819230, 1046119, 1046120, 1046130]</t>
  </si>
  <si>
    <t>[0.111, 0.033, 0.015, 0.044, 0.038]</t>
  </si>
  <si>
    <t>749.979654332395</t>
  </si>
  <si>
    <t>[0.021, 0.043, 0.039, 0.034, 0.049, -0.021, 0.004, 0.039, 0.061, 0.055, -0.035, 0.032, -0.021]</t>
  </si>
  <si>
    <t>LINESTRING (11.259093623071783 60.56711820862458, 11.261351440980574 60.56917410957292, 11.264801586836503 60.57208975482509, 11.265598872725445 60.57259022581045, 11.265778046606977 60.57269586309226, 11.269227809598638 60.57447319131815, 11.276113696320026 60.579444183536836, 11.276792629236146 60.580190363014985, 11.278673619681786 60.58249094864913, 11.279359046136165 60.583343939512496, 11.279452024758918 60.583456762809746, 11.284147499417259 60.58787442835966, 11.296873010986648 60.593784190950046, 11.297709902159077 60.594175442495384)</t>
  </si>
  <si>
    <t>[1104848, 1104857, 1104868, 1298195, 1298180, 1104870, 1104871, 1298210, 1298214, 1298244, 2105393, 1726427, 1726435]</t>
  </si>
  <si>
    <t>[1046137, 1046144, 1046151, 1210140, 1046154, 1046155, 1046156, 1210164, 1210167, 1210192, 1536149, 1536150, 1536159]</t>
  </si>
  <si>
    <t>0.014089337527192632</t>
  </si>
  <si>
    <t>[1046136, 1046137, 1046144, 1046151, 1210140, 1046154, 1046155, 1046156, 1210164, 1210167, 1210192, 1536149, 1536150]</t>
  </si>
  <si>
    <t>[0.021, 0.043, 0.039, 0.034, 0.049, 0.021, 0.004, 0.039, 0.061, 0.055, 0.035, 0.032, 0.021]</t>
  </si>
  <si>
    <t>3752.2380798637505</t>
  </si>
  <si>
    <t>[-0.003, 0.011, 0.029]</t>
  </si>
  <si>
    <t>LINESTRING (11.253433855259203 60.559236146060336, 11.25363636068055 60.55959745005216, 11.258748631303012 60.566803921427244, 11.259093623071783 60.56711820862458)</t>
  </si>
  <si>
    <t>[2105738, 2105786, 2105794]</t>
  </si>
  <si>
    <t>[1819194, 1819216, 1046136]</t>
  </si>
  <si>
    <t>0.011140994084772206</t>
  </si>
  <si>
    <t>[1819189, 1819194, 1819216]</t>
  </si>
  <si>
    <t>[0.003, 0.011, 0.029]</t>
  </si>
  <si>
    <t>934.8096890499373</t>
  </si>
  <si>
    <t>[0.0, 0.027, 0.057]</t>
  </si>
  <si>
    <t>LINESTRING (11.283993777523023 60.58792280368842, 11.283993777523023 60.58792280368842, 11.296746175461053 60.593848417807024, 11.296759500542104 60.59385398248124)</t>
  </si>
  <si>
    <t>[1104889, 1726451, 1726459]</t>
  </si>
  <si>
    <t>[1046164, 1536175, 1536181]</t>
  </si>
  <si>
    <t>0.01723223704020238</t>
  </si>
  <si>
    <t>[1046163, 1046164, 1536175]</t>
  </si>
  <si>
    <t>1541.1318960549943</t>
  </si>
  <si>
    <t>[0.075, -0.023, 0.134, 0.038, -0.103, 0.02, 0.253, -0.178, -0.144, -0.066, -0.073, 0.121, 0.217, 0.179, 0.15, -0.02, -0.074, -0.058, 0.007, 0.02, 0.047]</t>
  </si>
  <si>
    <t>[0, 0, 1, 0, 1, 0, 0, 0, 0, 0, 0, 0, 0, 0, 0, 0, 0, 0, 0, 0, 0]</t>
  </si>
  <si>
    <t>LINESTRING (8.940506944743971 58.650505258866076, 8.933042649797022 58.64603531081969, 8.918596101607939 58.64198847243326, 8.918476022737092 58.641952071620544, 8.912194066382849 58.64018585122237, 8.911942923501998 58.640071274217114, 8.906414958009568 58.635050093222745, 8.905238785342835 58.63471674082332, 8.905194859396895 58.63470574694605, 8.904061214613614 58.6344260643511, 8.904025041897684 58.63441724865284, 8.902574299332105 58.63403330955193, 8.902539811872805 58.634022070281176, 8.900229037863747 58.63286358603735, 8.899955922120027 58.632635289125325, 8.899388779738402 58.632081168263454, 8.896004682288758 58.62788805111104, 8.895762268630005 58.627227360067565, 8.895699222923168 58.627005634080284, 8.895748951420076 58.62331043078087, 8.896764041581461 58.61902352014183, 8.896927017277767 58.61850426525847)</t>
  </si>
  <si>
    <t>[1105761, 1105764, 1105765, 978074, 978082, 978090, 1247716, 1247727, 1247740, 1247754, 1247763, 1247764, 1247772, 1247448, 1246644, 1246645, 1246660, 1247450, 1244719, 1244720, 1244721]</t>
  </si>
  <si>
    <t>[1046798, 1046799, 939647, 939648, 939655, 939662, 1167145, 1167154, 1167167, 1167185, 1167193, 1167194, 1166933, 1166273, 1166274, 1166275, 1166291, 1164645, 1164646, 1164647, 1164648]</t>
  </si>
  <si>
    <t>0.023522755363162815</t>
  </si>
  <si>
    <t>[1046787, 1046798, 1046799, 939647, 939648, 939655, 939662, 1167145, 1167154, 1167167, 1167185, 1167193, 1167194, 1166933, 1166273, 1166274, 1166275, 1166291, 1164645, 1164646, 1164647]</t>
  </si>
  <si>
    <t>[0.075, 0.023, 0.134, 0.038, 0.103, 0.02, 0.253, 0.178, 0.144, 0.066, 0.073, 0.121, 0.217, 0.179, 0.15, 0.02, 0.074, 0.058, 0.007, 0.02, 0.047]</t>
  </si>
  <si>
    <t>4850.617300060562</t>
  </si>
  <si>
    <t>[-0.094, -0.1, 0.075, -0.024, 0.126, 0.036, -0.107, 0.021, 0.251, -0.173, -0.157, -0.072, -0.037, 0.129, 0.216]</t>
  </si>
  <si>
    <t>[1, 0, 0, 0, 1, 0, 1, 0, 0, 0, 0, 0, 0, 0, 0]</t>
  </si>
  <si>
    <t>LINESTRING (8.94164330264084 58.65175040902304, 8.940927772498334 58.650946464298826, 8.940619094327381 58.65053995714779, 8.933110098048072 58.64598167532068, 8.918638184547316 58.64195418030781, 8.918520021105946 58.64191868078863, 8.912136910519694 58.64010569818077, 8.91188600272649 58.6399887910201, 8.906459519155849 58.63501646307084, 8.905284715348436 58.634677656316455, 8.905233073388883 58.63466299093135, 8.904128757330307 58.63435542925897, 8.904095971259297 58.63434620732625, 8.902763717119322 58.633950570654704, 8.902731926238136 58.63393941466638, 8.900594773750795 58.632826059931354)</t>
  </si>
  <si>
    <t>[1105780, 1105781, 1105789, 1105796, 1105813, 1105850, 1105858, 1105866, 1247644, 1247653, 1247668, 1247669, 1247690, 1247702, 1247710]</t>
  </si>
  <si>
    <t>[1046816, 1046817, 1046822, 1046831, 1046842, 1046868, 1046875, 1046879, 1167081, 1167089, 1167103, 1167104, 1167123, 1167133, 1166934]</t>
  </si>
  <si>
    <t>0.02565274898150048</t>
  </si>
  <si>
    <t>[1046814, 1046816, 1046817, 1046822, 1046831, 1046842, 1046868, 1046875, 1046879, 1167081, 1167089, 1167103, 1167104, 1167123, 1167133]</t>
  </si>
  <si>
    <t>[0.094, 0.1, 0.075, 0.024, 0.126, 0.036, 0.107, 0.021, 0.251, 0.173, 0.157, 0.072, 0.037, 0.129, 0.216]</t>
  </si>
  <si>
    <t>3328.7970436235137</t>
  </si>
  <si>
    <t>[0.077, 0.05]</t>
  </si>
  <si>
    <t>LINESTRING (8.94164330264084 58.65175040902304, 8.941749284761432 58.651823182224014, 8.942918706431213 58.652292537934116)</t>
  </si>
  <si>
    <t>[1105820, 1762902]</t>
  </si>
  <si>
    <t>[1046847, 113916]</t>
  </si>
  <si>
    <t>0.052632496113249494</t>
  </si>
  <si>
    <t>[1046814, 1046847]</t>
  </si>
  <si>
    <t>104.49297589443076</t>
  </si>
  <si>
    <t>[0.003, -0.005, -0.009]</t>
  </si>
  <si>
    <t>LINESTRING (11.024680523417729 59.316191778227996, 11.02457574629887 59.31615018728162, 11.023798993860584 59.31590042990252, 11.023700600636941 59.31587404758276)</t>
  </si>
  <si>
    <t>[1106336, 1106346, 1106351]</t>
  </si>
  <si>
    <t>[1047232, 1047237, 1047239]</t>
  </si>
  <si>
    <t>[1047231, 1047232, 1047237]</t>
  </si>
  <si>
    <t>[0.003, 0.005, 0.009]</t>
  </si>
  <si>
    <t>66.15384076882825</t>
  </si>
  <si>
    <t>LINESTRING (11.024680523417729 59.316191778227996, 11.024691126088483 59.316116131688894, 11.024763507749162 59.31605963449501)</t>
  </si>
  <si>
    <t>[1769581, 1769589]</t>
  </si>
  <si>
    <t>[1561958, 1047244]</t>
  </si>
  <si>
    <t>0.039181411311055896</t>
  </si>
  <si>
    <t>[1047231, 1561958]</t>
  </si>
  <si>
    <t>15.975782723144128</t>
  </si>
  <si>
    <t>7.357886924545183</t>
  </si>
  <si>
    <t>21.163131863188802</t>
  </si>
  <si>
    <t>[-0.039, -0.037]</t>
  </si>
  <si>
    <t>LINESTRING (11.023898369228867 59.31577553049316, 11.023826430657278 59.31583725530677, 11.023700600636941 59.31587404758276)</t>
  </si>
  <si>
    <t>[1769973, 1769981]</t>
  </si>
  <si>
    <t>[1562188, 1047239]</t>
  </si>
  <si>
    <t>[1047260, 1562188]</t>
  </si>
  <si>
    <t>[0.039, 0.037]</t>
  </si>
  <si>
    <t>16.262931381198356</t>
  </si>
  <si>
    <t>32.656077444107204</t>
  </si>
  <si>
    <t>[-0.019, -0.005, 0.011]</t>
  </si>
  <si>
    <t>LINESTRING (11.024763507749162 59.31605963449501, 11.02465253370588 59.31604968995406, 11.023962371956122 59.315825289230716, 11.023898369228867 59.31577553049316)</t>
  </si>
  <si>
    <t>[1106359, 1106372, 1106380]</t>
  </si>
  <si>
    <t>[1047245, 1047255, 1047260]</t>
  </si>
  <si>
    <t>[1047244, 1047245, 1047255]</t>
  </si>
  <si>
    <t>[0.019, 0.005, 0.011]</t>
  </si>
  <si>
    <t>60.32511630158168</t>
  </si>
  <si>
    <t>16.83179532061058</t>
  </si>
  <si>
    <t>[0.05, 0.05, 0.047]</t>
  </si>
  <si>
    <t>LINESTRING (11.025724093343905 59.3162299499948, 11.0254138577901 59.316240882607325, 11.025296782462991 59.31624084868974, 11.025188549942207 59.31624505863115)</t>
  </si>
  <si>
    <t>[1106381, 1106382, 1106384]</t>
  </si>
  <si>
    <t>[1047262, 1047263, 1047265]</t>
  </si>
  <si>
    <t>0.04939548345466946</t>
  </si>
  <si>
    <t>[1047261, 1047262, 1047263]</t>
  </si>
  <si>
    <t>30.682933305477633</t>
  </si>
  <si>
    <t>[0.061, 0.067, 0.058]</t>
  </si>
  <si>
    <t>LINESTRING (11.025724093343905 59.3162299499948, 11.025438688653171 59.316176657143686, 11.025329510953 59.31615419922576, 11.025227538474306 59.31612667484934)</t>
  </si>
  <si>
    <t>[1106409, 1106417, 1106423]</t>
  </si>
  <si>
    <t>[1047279, 1047285, 1047291]</t>
  </si>
  <si>
    <t>0.061670891176069054</t>
  </si>
  <si>
    <t>[1047261, 1047279, 1047285]</t>
  </si>
  <si>
    <t>30.57913179197417</t>
  </si>
  <si>
    <t>[0.037, 0.056]</t>
  </si>
  <si>
    <t>LINESTRING (11.02890171482295 59.315748603174036, 11.026067096143539 59.316240066380104, 11.025724093343905 59.3162299499948)</t>
  </si>
  <si>
    <t>[1106387, 1106395]</t>
  </si>
  <si>
    <t>[1047267, 1047261]</t>
  </si>
  <si>
    <t>0.038938588554603984</t>
  </si>
  <si>
    <t>[1047266, 1047267]</t>
  </si>
  <si>
    <t>191.8048963073085</t>
  </si>
  <si>
    <t>15.443330662117882</t>
  </si>
  <si>
    <t>[-0.036, -0.018]</t>
  </si>
  <si>
    <t>LINESTRING (11.025227538474306 59.31612667484934, 11.02523344856453 59.316187451927824, 11.025188549942207 59.31624505863115)</t>
  </si>
  <si>
    <t>[1769605, 1769613]</t>
  </si>
  <si>
    <t>[1561971, 1047265]</t>
  </si>
  <si>
    <t>[1047291, 1561971]</t>
  </si>
  <si>
    <t>13.69009623538912</t>
  </si>
  <si>
    <t>[0.042, 0.041]</t>
  </si>
  <si>
    <t>LINESTRING (11.029408144622217 59.31568601990455, 11.029306127977508 59.3156966623596, 11.02890171482295 59.315748603174036)</t>
  </si>
  <si>
    <t>[1106439, 1106447]</t>
  </si>
  <si>
    <t>[1047299, 1047266]</t>
  </si>
  <si>
    <t>0.041199806382248544</t>
  </si>
  <si>
    <t>[1047298, 1047299]</t>
  </si>
  <si>
    <t>29.682487152895234</t>
  </si>
  <si>
    <t>[0.007, 0.016]</t>
  </si>
  <si>
    <t>LINESTRING (11.029314721259071 59.31557788952775, 11.029228685072594 59.315621871097875, 11.02890171482295 59.315748603174036)</t>
  </si>
  <si>
    <t>[1106530, 1106536]</t>
  </si>
  <si>
    <t>[1047373, 1047266]</t>
  </si>
  <si>
    <t>0.013941622208927557</t>
  </si>
  <si>
    <t>[1047372, 1047373]</t>
  </si>
  <si>
    <t>30.303385309761875</t>
  </si>
  <si>
    <t>[0.07, 0.05]</t>
  </si>
  <si>
    <t>LINESTRING (11.029408144622217 59.31568601990455, 11.029342149419703 59.31564121094214, 11.029314721259071 59.31557788952775)</t>
  </si>
  <si>
    <t>[1769837, 1769845]</t>
  </si>
  <si>
    <t>[1562106, 1047372]</t>
  </si>
  <si>
    <t>0.05927522407171286</t>
  </si>
  <si>
    <t>[1047298, 1562106]</t>
  </si>
  <si>
    <t>13.476349355124224</t>
  </si>
  <si>
    <t>[-0.061, -0.06, -0.056, -0.018, 0.029, 0.05, 0.063]</t>
  </si>
  <si>
    <t>LINESTRING (11.029582318158841 59.3154354633357, 11.029776124186808 59.315468618407046, 11.029846900999216 59.31551465190903, 11.029876383146362 59.315570933320465, 11.029777702185386 59.31568857568819, 11.029663076212573 59.31571834319866, 11.029538230245954 59.315719658296096, 11.029408144622217 59.31568601990455)</t>
  </si>
  <si>
    <t>[1769861, 1769869, 1769877, 1769805, 1769813, 1769821, 1769829]</t>
  </si>
  <si>
    <t>[1047427, 1562124, 1047383, 1047489, 1562092, 1047432, 1047298]</t>
  </si>
  <si>
    <t>[1562114, 1047427, 1562124, 1047383, 1047489, 1562092, 1047432]</t>
  </si>
  <si>
    <t>[0.061, 0.06, 0.056, 0.018, 0.029, 0.05, 0.063]</t>
  </si>
  <si>
    <t>62.2392677580477</t>
  </si>
  <si>
    <t>23.967804948659328</t>
  </si>
  <si>
    <t>[0.004, 0.007, 0.005, 0.01, 0.003, 0.004, 0.003]</t>
  </si>
  <si>
    <t>LINESTRING (23.25661708917953 69.9315296331012, 23.256919730617174 69.93120985170007, 23.256969947183983 69.93115426922856, 23.257316187593048 69.93076783358876, 23.257371747502546 69.93070410051746, 23.257403260111186 69.93066777916776, 23.257439518542316 69.93062617368254, 23.2579432906685 69.93016002944283)</t>
  </si>
  <si>
    <t>[1107811, 1107819, 1107827, 1107835, 1107843, 1107851, 1107866]</t>
  </si>
  <si>
    <t>[1048469, 1048475, 1048482, 1048429, 1048494, 1048451, 1048365]</t>
  </si>
  <si>
    <t>0.004306240349338916</t>
  </si>
  <si>
    <t>[1048357, 1048469, 1048475, 1048482, 1048429, 1048494, 1048451]</t>
  </si>
  <si>
    <t>161.2754048951993</t>
  </si>
  <si>
    <t>[-0.006, 0.005, 0.01, 0.003, 0.009, 0.011]</t>
  </si>
  <si>
    <t>LINESTRING (23.25661708917953 69.9315296331012, 23.257157493231595 69.93117624136542, 23.25751820487229 69.9307875459099, 23.257573674001108 69.93072212667037, 23.25760212852509 69.93068877770727, 23.257634760306843 69.93065056894595, 23.2579432906685 69.93016002944283)</t>
  </si>
  <si>
    <t>[1107874, 1107882, 1107883, 1107900, 1107908, 1107917]</t>
  </si>
  <si>
    <t>[1048512, 1048516, 1048423, 1048533, 1048444, 1048365]</t>
  </si>
  <si>
    <t>0.004345280012193234</t>
  </si>
  <si>
    <t>[1048357, 1048512, 1048516, 1048423, 1048533, 1048444]</t>
  </si>
  <si>
    <t>[0.006, 0.005, 0.01, 0.003, 0.009, 0.011]</t>
  </si>
  <si>
    <t>162.19745384717066</t>
  </si>
  <si>
    <t>[-0.044, -0.025, -0.006, -0.005, -0.004, -0.003, -0.004, -0.008, -0.014, -0.018, -0.017, -0.014]</t>
  </si>
  <si>
    <t>LINESTRING (23.24117625730959 69.94335428896792, 23.242977908394202 69.93930186510256, 23.244889761658914 69.93788399275374, 23.245367153778474 69.93742797529387, 23.24556961167105 69.93723133434418, 23.245742100847107 69.93706210784342, 23.246773162857597 69.9360610249013, 23.247117892284233 69.93577383066383, 23.247951526084858 69.93524774657824, 23.25287430298052 69.9333384877618, 23.253428910991627 69.93308903011294, 23.254060514029856 69.93280371590303, 23.25661708917953 69.9315296331012)</t>
  </si>
  <si>
    <t>[1166485, 1166486, 1166487, 1166496, 1107635, 1107643, 1107651, 1107659, 1107667, 1107675, 1107683, 1107691]</t>
  </si>
  <si>
    <t>[1100131, 1021666, 1100132, 1048306, 1048042, 1047902, 1047924, 1048095, 1048336, 1047954, 1048351, 1048357]</t>
  </si>
  <si>
    <t>[1084519, 1100131, 1021666, 1100132, 1048306, 1048042, 1047902, 1047924, 1048095, 1048336, 1047954, 1048351]</t>
  </si>
  <si>
    <t>[0.044, 0.025, 0.006, 0.005, 0.004, 0.003, 0.004, 0.008, 0.014, 0.018, 0.017, 0.014]</t>
  </si>
  <si>
    <t>1504.969483078212</t>
  </si>
  <si>
    <t>LINESTRING (23.2579432906685 69.93016002944283, 23.267709767691898 69.73054707871799)</t>
  </si>
  <si>
    <t>21122.366028351324</t>
  </si>
  <si>
    <t>[-0.002, 0.013, 0.056, 0.064, -0.754]</t>
  </si>
  <si>
    <t>LINESTRING (5.715711789094249 58.890462155763004, 5.715650428830216 58.89063051067407, 5.714147842073272 58.89306048156045, 5.714469439661402 58.89359866055105, 5.7148077292452335 58.89395160152808, 5.714887611051291 58.893993111150756)</t>
  </si>
  <si>
    <t>[1108106, 2099664, 2099665, 2099666, 2099673]</t>
  </si>
  <si>
    <t>[1048718, 1815529, 1815530, 1815531, 1308573]</t>
  </si>
  <si>
    <t>0.012172302276188764</t>
  </si>
  <si>
    <t>[1048717, 1048718, 1815529, 1815530, 1815531]</t>
  </si>
  <si>
    <t>[0.002, 0.013, 0.056, 0.064, 0.754]</t>
  </si>
  <si>
    <t>422.4398289805649</t>
  </si>
  <si>
    <t>[-0.021, 0.005, 0.016, 0.0, -0.03, -0.002, -0.009, -0.008, -0.006, -0.004, -0.004]</t>
  </si>
  <si>
    <t>LINESTRING (5.715711789094249 58.890462155763004, 5.7154421170431045 58.89079311713495, 5.713860257894477 58.892503159064155, 5.711931137508044 58.89447982086515, 5.711899661842418 58.89451593705422, 5.711892227004666 58.89452405547477, 5.711805527944733 58.894618812472594, 5.711714111738791 58.89471919184804, 5.7115940080687615 58.89486009150852, 5.7114586167658485 58.895022122677645, 5.711284931462007 58.895243199073256, 5.710921406777948 58.8957608940573)</t>
  </si>
  <si>
    <t>[1116935, 1116943, 1116951, 1116959, 1116967, 1116975, 1116983, 1116991, 1116999, 1117007, 1117015]</t>
  </si>
  <si>
    <t>[1056068, 1056070, 1056077, 1056080, 1056085, 1056089, 1056092, 1056097, 1056100, 1056108, 1056112]</t>
  </si>
  <si>
    <t>0.005200292511971551</t>
  </si>
  <si>
    <t>[1048717, 1056068, 1056070, 1056077, 1056080, 1056085, 1056089, 1056092, 1056097, 1056100, 1056108]</t>
  </si>
  <si>
    <t>[0.021, 0.005, 0.016, 0.0, 0.03, 0.002, 0.009, 0.008, 0.006, 0.004, 0.004]</t>
  </si>
  <si>
    <t>654.1568271998748</t>
  </si>
  <si>
    <t>[-0.007, 0.001, 0.001, 0.002, 0.039]</t>
  </si>
  <si>
    <t>LINESTRING (5.717066822279026 58.888414279254256, 5.716237120569844 58.88976592572132, 5.716203236429138 58.889815504446894, 5.715947018795141 58.89016260468132, 5.715886650146611 58.890239878022165, 5.715711789094249 58.890462155763004)</t>
  </si>
  <si>
    <t>[1116895, 1116903, 1116911, 1116919, 1116927]</t>
  </si>
  <si>
    <t>[1056040, 1056046, 1056054, 1056059, 1048717]</t>
  </si>
  <si>
    <t>1.0193471639236528e-05</t>
  </si>
  <si>
    <t>[1056034, 1056040, 1056046, 1056054, 1056059]</t>
  </si>
  <si>
    <t>[0.007, 0.001, 0.001, 0.002, 0.039]</t>
  </si>
  <si>
    <t>242.01431075307266</t>
  </si>
  <si>
    <t>659.6750214792063</t>
  </si>
  <si>
    <t>[-0.006, 0.003, 0.006]</t>
  </si>
  <si>
    <t>LINESTRING (10.368701924576987 63.34652965220983, 10.368750918319597 63.34648277642785, 10.368020108119042 63.34394517400972, 10.36792662519398 63.34376264417155)</t>
  </si>
  <si>
    <t>[1332609, 1332617, 1332930]</t>
  </si>
  <si>
    <t>[1237583, 1237590, 1050036]</t>
  </si>
  <si>
    <t>0.0030336743822208037</t>
  </si>
  <si>
    <t>[1237450, 1237583, 1237590]</t>
  </si>
  <si>
    <t>[0.006, 0.003, 0.006]</t>
  </si>
  <si>
    <t>317.29539783362196</t>
  </si>
  <si>
    <t>[0.01, 0.008, 0.005, 0.008]</t>
  </si>
  <si>
    <t>LINESTRING (10.370200125144347 63.34955247368594, 10.3701114688992 63.349390740607625, 10.369215346200004 63.34715855266564, 10.368834740474279 63.3467650768259, 10.368766076231589 63.34672408644322)</t>
  </si>
  <si>
    <t>[1332946, 1332585, 1332593, 1332601]</t>
  </si>
  <si>
    <t>[1237558, 1237559, 1237567, 1237443]</t>
  </si>
  <si>
    <t>0.007673105396632048</t>
  </si>
  <si>
    <t>[1050042, 1237558, 1237559, 1237567]</t>
  </si>
  <si>
    <t>326.46864180905067</t>
  </si>
  <si>
    <t>[-0.011, -0.005, -0.007, -0.005]</t>
  </si>
  <si>
    <t>13452.0</t>
  </si>
  <si>
    <t>LINESTRING (10.367804757750672 63.343352248901816, 10.36814751973925 63.34369775537654, 10.37045543655929 63.34950919292123, 10.370468931712358 63.34962970722665, 10.370473000670211 63.349664343363266)</t>
  </si>
  <si>
    <t>[1109920, 1109928, 1109936, 1109944]</t>
  </si>
  <si>
    <t>[1050170, 1050174, 1050179, 1050182]</t>
  </si>
  <si>
    <t>[1050165, 1050170, 1050174, 1050179]</t>
  </si>
  <si>
    <t>[0.011, 0.005, 0.007, 0.005]</t>
  </si>
  <si>
    <t>721.8981879756006</t>
  </si>
  <si>
    <t>[-0.015, -0.007, -0.012]</t>
  </si>
  <si>
    <t>LINESTRING (10.367804757750672 63.343352248901816, 10.368035464362286 63.343502166957094, 10.370883760055612 63.34628235203622, 10.370988519350874 63.34630805856584)</t>
  </si>
  <si>
    <t>[1332922, 1332657, 1332665]</t>
  </si>
  <si>
    <t>[1237624, 1237625, 1237534]</t>
  </si>
  <si>
    <t>[1050165, 1237624, 1237625]</t>
  </si>
  <si>
    <t>[0.015, 0.007, 0.012]</t>
  </si>
  <si>
    <t>368.82606933298814</t>
  </si>
  <si>
    <t>[0.011, 0.004, -0.006, -0.004]</t>
  </si>
  <si>
    <t>684.0</t>
  </si>
  <si>
    <t>LINESTRING (10.37104859860155 63.34662852246325, 10.370981353726375 63.3466632054797, 10.370639159242357 63.34724270302567, 10.370519427923874 63.349450763181224, 10.370473000670211 63.349664343363266)</t>
  </si>
  <si>
    <t>[1332633, 1332641, 1332649, 1332938]</t>
  </si>
  <si>
    <t>[1237603, 1237609, 1237617, 1050182]</t>
  </si>
  <si>
    <t>[1237508, 1237603, 1237609, 1237617]</t>
  </si>
  <si>
    <t>[0.011, 0.004, 0.006, 0.004]</t>
  </si>
  <si>
    <t>343.4823876319629</t>
  </si>
  <si>
    <t>[-0.009, -0.008, -0.011]</t>
  </si>
  <si>
    <t>LINESTRING (10.486173873791023 63.430167766863775, 10.486362053728417 63.43022739704842, 10.489241890697816 63.43033488232146, 10.489480507125984 63.430340858520964)</t>
  </si>
  <si>
    <t>[1112536, 1112544, 1112552]</t>
  </si>
  <si>
    <t>[1052201, 1052209, 1052216]</t>
  </si>
  <si>
    <t>[1052200, 1052201, 1052209]</t>
  </si>
  <si>
    <t>[0.009, 0.008, 0.011]</t>
  </si>
  <si>
    <t>172.243743678499</t>
  </si>
  <si>
    <t>[0.057, 0.021]</t>
  </si>
  <si>
    <t>LINESTRING (10.486173873791023 63.430167766863775, 10.487081802475304 63.43046244494915, 10.487387733448706 63.430510960702115)</t>
  </si>
  <si>
    <t>[1113084, 1113092]</t>
  </si>
  <si>
    <t>[1052714, 1052723]</t>
  </si>
  <si>
    <t>0.048994204000665106</t>
  </si>
  <si>
    <t>[1052200, 1052714]</t>
  </si>
  <si>
    <t>72.87591796895745</t>
  </si>
  <si>
    <t>278.26148357593684</t>
  </si>
  <si>
    <t>LINESTRING (10.481579583282059 63.42831382068724, 10.481789716143721 63.42840924636029, 10.482003315559117 63.42850624704362)</t>
  </si>
  <si>
    <t>[1112608, 1112616]</t>
  </si>
  <si>
    <t>[1052268, 1052277]</t>
  </si>
  <si>
    <t>[1052261, 1052268]</t>
  </si>
  <si>
    <t>30.134331285376927</t>
  </si>
  <si>
    <t>[0.019, 0.704]</t>
  </si>
  <si>
    <t>LINESTRING (10.481715779997892 63.42844272802927, 10.481594706842857 63.428328146432484, 10.481579583282059 63.42831382068724)</t>
  </si>
  <si>
    <t>[1112840, 1112848]</t>
  </si>
  <si>
    <t>[1052477, 1052261]</t>
  </si>
  <si>
    <t>0.09511423886387693</t>
  </si>
  <si>
    <t>[1052468, 1052477]</t>
  </si>
  <si>
    <t>15.90047974412271</t>
  </si>
  <si>
    <t>16.010872336937023</t>
  </si>
  <si>
    <t>[-0.019, -0.026]</t>
  </si>
  <si>
    <t>26478.0</t>
  </si>
  <si>
    <t>LINESTRING (10.482003315559117 63.42850624704362, 10.482219560599255 63.42860442808201, 10.495364460210896 63.430962714373074)</t>
  </si>
  <si>
    <t>[1112624, 1112632]</t>
  </si>
  <si>
    <t>[1052287, 1052295]</t>
  </si>
  <si>
    <t>[1052277, 1052287]</t>
  </si>
  <si>
    <t>[0.019, 0.026]</t>
  </si>
  <si>
    <t>806.9603641920056</t>
  </si>
  <si>
    <t>[-0.003, 0.033]</t>
  </si>
  <si>
    <t>6642.0</t>
  </si>
  <si>
    <t>LINESTRING (10.495364460210896 63.430962714373074, 10.4952172469097 63.4310307191346, 10.490971001768798 63.43161865808606)</t>
  </si>
  <si>
    <t>[1112664, 1113044]</t>
  </si>
  <si>
    <t>[1052322, 1052349]</t>
  </si>
  <si>
    <t>0.031378576464770276</t>
  </si>
  <si>
    <t>[1052295, 1052322]</t>
  </si>
  <si>
    <t>234.47409593920548</t>
  </si>
  <si>
    <t>[0.125, 0.033, -0.006]</t>
  </si>
  <si>
    <t>LINESTRING (10.490971001768798 63.43161865808606, 10.489938129274616 63.43156867291784, 10.487164140385692 63.431022700479545, 10.48704875832837 63.43097778148773)</t>
  </si>
  <si>
    <t>[1113052, 1113060, 1113068]</t>
  </si>
  <si>
    <t>[1052682, 1052690, 1052697]</t>
  </si>
  <si>
    <t>0.05411532970209189</t>
  </si>
  <si>
    <t>[1052349, 1052682, 1052690]</t>
  </si>
  <si>
    <t>[0.125, 0.033, 0.006]</t>
  </si>
  <si>
    <t>212.13874512100253</t>
  </si>
  <si>
    <t>182.57670931695898</t>
  </si>
  <si>
    <t>[-0.013, 0.005]</t>
  </si>
  <si>
    <t>LINESTRING (10.486217171527944 63.4306813817218, 10.486159598183242 63.43063271532751, 10.481715779997892 63.42844272802927)</t>
  </si>
  <si>
    <t>[1113028, 1113036]</t>
  </si>
  <si>
    <t>[1052654, 1052468]</t>
  </si>
  <si>
    <t>0.004672718449594552</t>
  </si>
  <si>
    <t>[1052653, 1052654]</t>
  </si>
  <si>
    <t>[0.013, 0.005]</t>
  </si>
  <si>
    <t>337.72224548732896</t>
  </si>
  <si>
    <t>[0.003, -0.03]</t>
  </si>
  <si>
    <t>LINESTRING (10.47914054653601 63.42728040447093, 10.476580537083738 63.42782888852063, 10.476533996649824 63.42797839093263)</t>
  </si>
  <si>
    <t>[1807102, 2154608]</t>
  </si>
  <si>
    <t>[1592183, 1846660]</t>
  </si>
  <si>
    <t>0.0006109250548440306</t>
  </si>
  <si>
    <t>[1052469, 1592183]</t>
  </si>
  <si>
    <t>[0.003, 0.03]</t>
  </si>
  <si>
    <t>232.46783631587257</t>
  </si>
  <si>
    <t>[0.4, 0.004, -0.01]</t>
  </si>
  <si>
    <t>LINESTRING (10.47914054653601 63.42728040447093, 10.479024289432841 63.42723026247919, 10.476813269160635 63.42694591934772, 10.476701884370826 63.42696485013516)</t>
  </si>
  <si>
    <t>[1807118, 1807125, 1807135]</t>
  </si>
  <si>
    <t>[1592195, 1592200, 1592206]</t>
  </si>
  <si>
    <t>0.02653938653380508</t>
  </si>
  <si>
    <t>[1052469, 1592195, 1592200]</t>
  </si>
  <si>
    <t>[0.4, 0.004, 0.01]</t>
  </si>
  <si>
    <t>137.91345530041517</t>
  </si>
  <si>
    <t>[0.028, -1.493, 0.014, 0.017, -0.011, -0.076, -0.001, -0.006]</t>
  </si>
  <si>
    <t>LINESTRING (10.476079299874296 63.426738912978884, 10.476088309086768 63.426686076331976, 10.476093279694023 63.42665740690315, 10.476017455638871 63.4263310369363, 10.47587389168502 63.42595445954463, 10.475993190995107 63.425516287390685, 10.47600048814212 63.42550795872903, 10.478898404836102 63.42693290734362, 10.482206464564184 63.42841642329483)</t>
  </si>
  <si>
    <t>[2069630, 2069638, 572916, 572923, 572939, 572940, 572947, 1112872]</t>
  </si>
  <si>
    <t>[1797155, 580474, 580475, 580483, 580497, 580498, 580504, 1052490]</t>
  </si>
  <si>
    <t>[1797154, 1797155, 580474, 580475, 580483, 580497, 580498, 580504]</t>
  </si>
  <si>
    <t>[0.028, 1.493, 0.014, 0.017, 0.011, 0.076, 0.001, 0.006]</t>
  </si>
  <si>
    <t>720.3269440570273</t>
  </si>
  <si>
    <t>[0.008, 0.018, 0.022]</t>
  </si>
  <si>
    <t>LINESTRING (10.486217171527944 63.4306813817218, 10.486449983706407 63.430599008780085, 10.486866640435542 63.430528383016835, 10.487387733448706 63.430510960702115)</t>
  </si>
  <si>
    <t>[1113132, 1113140, 1113148]</t>
  </si>
  <si>
    <t>[1052766, 1052775, 1052723]</t>
  </si>
  <si>
    <t>0.01729054261974781</t>
  </si>
  <si>
    <t>[1052653, 1052766, 1052775]</t>
  </si>
  <si>
    <t>63.38733258526761</t>
  </si>
  <si>
    <t>[-0.013, -0.012, -0.004, 0.003]</t>
  </si>
  <si>
    <t>LINESTRING (10.48704875832837 63.43097778148773, 10.486237016992131 63.43088404824326, 10.486159726258014 63.430799997198434, 10.486181869799342 63.4307131472534, 10.486217171527944 63.4306813817218)</t>
  </si>
  <si>
    <t>[1113212, 1113220, 1113228, 1113124]</t>
  </si>
  <si>
    <t>[1052566, 1052846, 1052576, 1052653]</t>
  </si>
  <si>
    <t>[1052697, 1052566, 1052846, 1052576]</t>
  </si>
  <si>
    <t>[0.013, 0.012, 0.004, 0.003]</t>
  </si>
  <si>
    <t>66.9394584964653</t>
  </si>
  <si>
    <t>[0.152, 0.197, -0.008]</t>
  </si>
  <si>
    <t>3641.0</t>
  </si>
  <si>
    <t>LINESTRING (10.007608997036149 61.548588396704254, 10.006287339312287 61.54872410140591, 10.005914630703753 61.54876747262323, 9.9291615856417 61.55944877210174)</t>
  </si>
  <si>
    <t>[1113043, 1113051, 1113837]</t>
  </si>
  <si>
    <t>[1052673, 1052681, 1052884]</t>
  </si>
  <si>
    <t>[1052672, 1052673, 1052681]</t>
  </si>
  <si>
    <t>[0.152, 0.197, 0.008]</t>
  </si>
  <si>
    <t>4397.893850785726</t>
  </si>
  <si>
    <t>[-0.017, -0.013, -0.011]</t>
  </si>
  <si>
    <t>LINESTRING (10.488023958416418 63.43076170544539, 10.48783054251599 63.430866726020675, 10.487305384485605 63.43096174401091, 10.48704875832837 63.43097778148773)</t>
  </si>
  <si>
    <t>[1113188, 1113196, 1113204]</t>
  </si>
  <si>
    <t>[1052816, 1052824, 1052697]</t>
  </si>
  <si>
    <t>[1052730, 1052816, 1052824]</t>
  </si>
  <si>
    <t>[0.017, 0.013, 0.011]</t>
  </si>
  <si>
    <t>56.80527774328015</t>
  </si>
  <si>
    <t>[0.02, 0.014, -0.005, -0.013]</t>
  </si>
  <si>
    <t>LINESTRING (10.487387733448706 63.430510960702115, 10.487702581535885 63.430536020150804, 10.487957844093392 63.43060415273611, 10.488037688746857 63.430696231898125, 10.488023958416418 63.43076170544539)</t>
  </si>
  <si>
    <t>[1113156, 1113164, 1113172, 1113180]</t>
  </si>
  <si>
    <t>[1052633, 1052793, 1052583, 1052730]</t>
  </si>
  <si>
    <t>0.007697027550477981</t>
  </si>
  <si>
    <t>[1052723, 1052633, 1052793, 1052583]</t>
  </si>
  <si>
    <t>[0.02, 0.014, 0.005, 0.013]</t>
  </si>
  <si>
    <t>49.40576708325333</t>
  </si>
  <si>
    <t>[-0.013, -0.003]</t>
  </si>
  <si>
    <t>LINESTRING (11.240581148064326 60.43163059425302, 11.240723800330356 60.43070068944406, 11.240741019490612 60.43059501138537)</t>
  </si>
  <si>
    <t>[1299048, 1115863]</t>
  </si>
  <si>
    <t>[1055231, 1055223]</t>
  </si>
  <si>
    <t>[1210861, 1055231]</t>
  </si>
  <si>
    <t>115.73416171270273</t>
  </si>
  <si>
    <t>LINESTRING (11.24084140639747 60.417600860280906, 11.240950174666503 60.429312024839, 11.240741019490612 60.43059501138537)</t>
  </si>
  <si>
    <t>[2105466, 1115855]</t>
  </si>
  <si>
    <t>[1055222, 1055223]</t>
  </si>
  <si>
    <t>0.0037034348539628603</t>
  </si>
  <si>
    <t>[1819047, 1055222]</t>
  </si>
  <si>
    <t>1450.9224579178558</t>
  </si>
  <si>
    <t>[0.015, 0.024, 0.02, -0.034, 0.0, 0.008]</t>
  </si>
  <si>
    <t>LINESTRING (6.336993887193881 58.5306633823538, 6.335091293688378 58.53135522209038, 6.335005277706539 58.5313727591816, 6.334953221914708 58.53138285381163, 6.334927987030775 58.53138915585351, 6.333314759407395 58.53176666900968, 6.33169451724257 58.53211828815571)</t>
  </si>
  <si>
    <t>[1116183, 1116191, 1116199, 1116207, 1116215, 1116223]</t>
  </si>
  <si>
    <t>[1055492, 1055497, 662686, 1055508, 1055514, 1055519]</t>
  </si>
  <si>
    <t>0.008517360399920402</t>
  </si>
  <si>
    <t>[1055491, 1055492, 1055497, 662686, 1055508, 1055514]</t>
  </si>
  <si>
    <t>[0.015, 0.024, 0.02, 0.034, 0.0, 0.008]</t>
  </si>
  <si>
    <t>352.2479595608173</t>
  </si>
  <si>
    <t>[0.07, 0.04, 0.069, 0.162, -0.181]</t>
  </si>
  <si>
    <t>LINESTRING (6.336993887193881 58.5306633823538, 6.334944856815992 58.5312941915749, 6.3348725179590515 58.531312197891104, 6.333252864907266 58.531706680796304, 6.33305049796219 58.53175702519741, 6.33169451724257 58.53211828815571)</t>
  </si>
  <si>
    <t>[2101890, 2101898, 2101902, 2101907, 2101914]</t>
  </si>
  <si>
    <t>[662676, 1816934, 1816936, 1816939, 1055519]</t>
  </si>
  <si>
    <t>0.008809390245458034</t>
  </si>
  <si>
    <t>[1055491, 662676, 1816934, 1816936, 1816939]</t>
  </si>
  <si>
    <t>[0.07, 0.04, 0.069, 0.162, 0.181]</t>
  </si>
  <si>
    <t>350.72487078674527</t>
  </si>
  <si>
    <t>[0.085, -0.009, -0.024, -0.008, -0.08, 0.001, -0.065, 0.016, 0.113, -0.113, 0.025, 0.227, 0.22, 0.153, 0.03, 0.07, -0.097, 0.024, -0.0, 0.051, 0.047, 0.006, 0.034, 0.006, -0.062, -0.019, -0.014, 0.014, 0.165, 0.279, 0.24, 0.186, 0.129, -0.119, -0.088, -0.007, 0.028, 0.035, -0.046, 0.001, -0.007, -0.013, -0.021, -0.028, -0.021, 0.135, 0.14, 0.116, 0.037, 0.016, -0.058, -0.023, -0.021, -0.032, -0.029, 0.076, 0.052, -0.152, -0.013, 0.074, -0.19, -0.153, -0.073, 0.065, 0.004, 0.162, -0.102, -0.038, -0.023, -0.023, 0.011, 0.032, 0.034, 0.014, 0.018, 0.003, 0.042, 0.05, 0.05, -0.001, 0.003, 0.015, 0.022, 0.016, -0.002, -0.111, -0.027, 0.005, -0.019, 0.147, 0.074, 0.014, 0.0, 0.0, -0.034, 0.021, -0.002, -0.002, 0.04, 0.04]</t>
  </si>
  <si>
    <t>4124.0</t>
  </si>
  <si>
    <t>[0, 0, 0, 0, 1, 0, 0, 0, 0, 0, 0, 0, 0, 1, 0, 0, 0, 0, 0, 0, 0, 0, 0, 0, 0, 0, 0, 0, 0, 0, 0, 0, 0, 0, 0, 0, 0, 0, 0, 0, 0, 0, 0, 0, 0, 0, 0, 0, 0, 0, 0, 0, 0, 0, 0, 0, 0, 0, 0, 0, 0, 0, 0, 0, 0, 0, 0, 0, 0, 1, 0, 1, 0, 1, 0, 0, 0, 1, 0, 0, 1, 0, 1, 0, 0, 1, 0, 0, 0, 0, 0, 0, 0, 1, 0, 1, 0, 0, 1, 0]</t>
  </si>
  <si>
    <t>LINESTRING (6.51974848396457 58.47056895923199, 6.51932805359057 58.47088483477273, 6.517191251148183 58.473146190372304, 6.5156112567445446 58.476350727844554, 6.502825731878727 58.488355871228045, 6.502721357285683 58.48842636011166, 6.500162215319633 58.48945066086471, 6.499813051963063 58.48957518978884, 6.44425263552436 58.478827193917176, 6.441060424851007 58.47875387445221, 6.434031112672271 58.47744913266245, 6.423451963171653 58.47613308496355, 6.421755650950783 58.475650184174334, 6.421596703954903 58.47559484497623, 6.4214428341553385 58.47554030796752, 6.418681764981758 58.47458132110277, 6.4088373238079 58.47252927812942, 6.406344534375556 58.472830872790205, 6.406070412032504 58.47288481349021, 6.404610174480472 58.47318099574253, 6.402367954555062 58.47356200945639, 6.400915914070882 58.4734812115477, 6.398773938588343 58.47187077801495, 6.397854854761401 58.470781585364215, 6.387656753805904 58.469078582193966, 6.383018150454402 58.46911141818803, 6.379541077330862 58.46903750543596, 6.3792757149221595 58.468985774494094, 6.377461079690628 58.46805587587123, 6.375406605218913 58.46583203195806, 6.375395669268288 58.46582453809058, 6.375362890956485 58.465802076538694, 6.3753264722982985 58.4657771203644, 6.3745519480521 58.46532653610072, 6.367530300603182 58.46546500859734, 6.366837493133739 58.46620024402518, 6.366290418471224 58.467019932863934, 6.365432612698213 58.46861674110677, 6.3650488421552955 58.46971464982577, 6.363086143264444 58.472276255441436, 6.362663852970393 58.47280754924142, 6.362472674872149 58.473045524122746, 6.362188133913641 58.47340022206212, 6.361825829304325 58.47385585398755, 6.361715250646297 58.47399676077009, 6.361042941044861 58.47483101951735, 6.360994383167503 58.474889813329455, 6.3609417572175575 58.47495530104191, 6.360671474561325 58.47527659334501, 6.359261460610459 58.47634194757292, 6.357623164418148 58.478786506249435, 6.3576264831988025 58.478798802460034, 6.3576397752934435 58.478847988452706, 6.357653224847117 58.47890106734488, 6.3578764138547665 58.479376716578095, 6.357921354961667 58.479443669410465, 6.3638158770094675 58.483788817076906, 6.364428844592194 58.4843183621441, 6.3646858694920425 58.48538397959359, 6.36363342610966 58.486620042949724, 6.36122080287008 58.489026158781854, 6.361041933651982 58.48982953467662, 6.361040964076023 58.48985896467297, 6.361258692470213 58.49099884962414, 6.361547416916954 58.49207888725681, 6.361743945996341 58.492801503354045, 6.36174639281485 58.492810851155454, 6.36175371412075 58.49283890228895, 6.362493341516929 58.4956647978181, 6.3624796290337375 58.49658300299878, 6.36247334115992 58.49662173277532, 6.3611630010284985 58.498732271218564, 6.360804482231703 58.49903734240116, 6.359980002034961 58.49971008486903, 6.359885743037833 58.499786744641355, 6.3598495702594855 58.49981617073406, 6.358122534354852 58.501222759856816, 6.356595276149531 58.50339864932119, 6.356588381636502 58.5034339433311, 6.3565569403471 58.5036072965618, 6.3568208458193 58.50830926848097, 6.35681103330311 58.50833857737659, 6.355092257457233 58.51079930036547, 6.355065721603203 58.51082277078237, 6.353230708805013 58.512356229269194, 6.350176988693624 58.51500081147192, 6.350130352090211 58.515054868788546, 6.3494690773722375 58.516331680604324, 6.3478229010811935 58.520721720472274, 6.347006923026852 58.5217766485352, 6.346999483227824 58.52178479280103, 6.346969719589909 58.52181738761726, 6.343899020763727 58.5247024777355, 6.343586724186453 58.52504628605445, 6.343558518145968 58.52507758669892, 6.341353314815154 58.52753909915783, 6.341295421390007 58.527603946647176, 6.340189158833537 58.52875894699588, 6.3377734554670475 58.530317944216755, 6.3377112179743245 58.53034769866982, 6.336993887193881 58.5306633823538)</t>
  </si>
  <si>
    <t>[1842929, 1842937, 1842945, 370159, 370167, 370175, 370183, 370191, 370199, 370207, 370215, 370223, 370231, 370239, 370247, 370255, 370263, 370271, 370279, 370287, 370295, 370303, 370311, 370319, 370327, 370335, 370343, 370351, 1842953, 1842961, 1842969, 1842977, 1842985, 1842993, 1843001, 1843009, 1843018, 1843026, 1843034, 1843042, 1843050, 1843058, 1843066, 1843074, 1843082, 1843090, 1843098, 1843106, 1843113, 1843121, 1843129, 1843137, 1843145, 1843153, 1843161, 1843169, 1843177, 1843185, 1843193, 1843201, 1843209, 1843217, 1843225, 1843233, 1843241, 1843248, 1843256, 1843264, 1843272, 1843280, 1843288, 1843296, 1843304, 1843312, 1843320, 1843328, 1843336, 1843344, 1843352, 1843360, 1843368, 1843376, 1843384, 1843392, 1843400, 1843408, 1843416, 1843424, 1843432, 1843440, 1843448, 1843456, 1843464, 1843472, 1843480, 1843488, 1843496, 1843504, 1843512, 1843520]</t>
  </si>
  <si>
    <t>[1614739, 1139890, 359094, 359095, 359105, 359111, 359117, 359124, 359131, 359139, 359148, 359155, 359164, 359171, 359178, 359185, 359194, 359203, 359211, 359220, 359228, 359237, 359245, 359253, 359260, 359271, 359277, 359287, 1614756, 1614763, 1614768, 1614776, 1614782, 1614789, 1191663, 1142122, 649698, 1614819, 1614827, 1594158, 1614837, 1594171, 1614843, 1191617, 676245, 1614858, 1250306, 1614866, 1614869, 1614874, 1614879, 1614881, 1614884, 1614890, 1191564, 1614900, 1594177, 1594194, 1614915, 1614923, 1614930, 1614936, 1191504, 1614946, 1614950, 1614957, 1614960, 1614968, 1614973, 1614977, 1614984, 1614989, 1614994, 1614999, 1615004, 1263337, 1615015, 1615023, 1615028, 1615034, 1615042, 1615048, 1615053, 1615060, 1615069, 1615075, 1615081, 1615086, 1615092, 1615097, 1615103, 1615109, 1615117, 1615121, 1615125, 1615131, 1615137, 1615143, 1615148, 1055491]</t>
  </si>
  <si>
    <t>0.00620825322660983</t>
  </si>
  <si>
    <t>[1614734, 1614739, 1139890, 359094, 359095, 359105, 359111, 359117, 359124, 359131, 359139, 359148, 359155, 359164, 359171, 359178, 359185, 359194, 359203, 359211, 359220, 359228, 359237, 359245, 359253, 359260, 359271, 359277, 359287, 1614756, 1614763, 1614768, 1614776, 1614782, 1614789, 1191663, 1142122, 649698, 1614819, 1614827, 1594158, 1614837, 1594171, 1614843, 1191617, 676245, 1614858, 1250306, 1614866, 1614869, 1614874, 1614879, 1614881, 1614884, 1614890, 1191564, 1614900, 1594177, 1594194, 1614915, 1614923, 1614930, 1614936, 1191504, 1614946, 1614950, 1614957, 1614960, 1614968, 1614973, 1614977, 1614984, 1614989, 1614994, 1614999, 1615004, 1263337, 1615015, 1615023, 1615028, 1615034, 1615042, 1615048, 1615053, 1615060, 1615069, 1615075, 1615081, 1615086, 1615092, 1615097, 1615103, 1615109, 1615117, 1615121, 1615125, 1615131, 1615137, 1615143, 1615148]</t>
  </si>
  <si>
    <t>[0.085, 0.009, 0.024, 0.008, 0.08, 0.001, 0.065, 0.016, 0.113, 0.113, 0.025, 0.227, 0.22, 0.153, 0.03, 0.07, 0.097, 0.024, 0.0, 0.051, 0.047, 0.006, 0.034, 0.006, 0.062, 0.019, 0.014, 0.014, 0.165, 0.279, 0.24, 0.186, 0.129, 0.119, 0.088, 0.007, 0.028, 0.035, 0.046, 0.001, 0.007, 0.013, 0.021, 0.028, 0.021, 0.135, 0.14, 0.116, 0.037, 0.016, 0.058, 0.023, 0.021, 0.032, 0.029, 0.076, 0.052, 0.152, 0.013, 0.074, 0.19, 0.153, 0.073, 0.065, 0.004, 0.162, 0.102, 0.038, 0.023, 0.023, 0.011, 0.032, 0.034, 0.014, 0.018, 0.003, 0.042, 0.05, 0.05, 0.001, 0.003, 0.015, 0.022, 0.016, 0.002, 0.111, 0.027, 0.005, 0.019, 0.147, 0.074, 0.014, 0.0, 0.0, 0.034, 0.021, 0.002, 0.002, 0.04, 0.04]</t>
  </si>
  <si>
    <t>19239.40174716337</t>
  </si>
  <si>
    <t>[0.056, 0.033, 0.019, 0.008, 0.001, -0.035, -0.122]</t>
  </si>
  <si>
    <t>LINESTRING (6.098894573644984 58.521849986012846, 6.098642545658033 58.52209058329933, 6.098423771851112 58.522320200717694, 6.09817253411002 58.522687147887424, 6.098094459387661 58.52284199062183, 6.097954017890469 58.52314809546058, 6.097568548587473 58.52391520066089, 6.097488686837244 58.523993864804154)</t>
  </si>
  <si>
    <t>[1116287, 1116295, 1116303, 1116311, 1116319, 1116327, 1116335]</t>
  </si>
  <si>
    <t>[1055558, 1055565, 374658, 673610, 1055578, 1055584, 1055588]</t>
  </si>
  <si>
    <t>[1055557, 1055558, 1055565, 374658, 673610, 1055578, 1055584]</t>
  </si>
  <si>
    <t>[0.056, 0.033, 0.019, 0.008, 0.001, 0.035, 0.122]</t>
  </si>
  <si>
    <t>255.0209872483636</t>
  </si>
  <si>
    <t>[1.314, -0.163, -0.154, -0.162, -0.172, -0.198, -0.455]</t>
  </si>
  <si>
    <t>LINESTRING (6.098894573644984 58.521849986012846, 6.098539620607411 58.522066023833816, 6.098039286239691 58.52266639373997, 6.097999680613606 58.5227590881331, 6.097969459227218 58.52282848698868, 6.097828931901505 58.52313221950483, 6.097493920662628 58.523903401535755, 6.097488686837244 58.523993864804154)</t>
  </si>
  <si>
    <t>[2102067, 2102075, 2102083, 2102091, 2102100, 2102108, 2102116]</t>
  </si>
  <si>
    <t>[1817045, 370409, 1817055, 673611, 1817066, 1817071, 1055588]</t>
  </si>
  <si>
    <t>[1055557, 1817045, 370409, 1817055, 673611, 1817066, 1817071]</t>
  </si>
  <si>
    <t>[1.314, 0.163, 0.154, 0.162, 0.172, 0.198, 0.455]</t>
  </si>
  <si>
    <t>257.99710072030035</t>
  </si>
  <si>
    <t>[0.071, 0.086, 0.073, 0.049, -0.053, 0.061, 0.065, -0.171, -0.035, -0.021, 0.01, 0.108, 0.087, -0.054, 0.083, 0.089, 0.002, -0.024, -0.013, 0.014, 0.021, 0.033, 0.029, 0.002, -0.131, 0.031, 0.018, 0.018, 0.0, -0.012, -0.035, -0.061, -0.056, -0.133, -0.097, -0.009, -0.015, -0.037, -0.009, 0.034, 0.032, 0.037, -0.006, -0.006, -0.006, -0.005, -0.006, -0.009, 0.0, -0.0, -0.001, 0.018, 0.028, -0.009, 0.02, 0.013, 0.008, 0.006, 0.012, 0.001, -0.001, -0.017, -0.001, 0.023, 0.058, 0.007, 0.002, -0.002, -0.011, -0.019, -0.02, -0.01, -0.021, -0.028, -0.025, -0.023, -0.033, -0.019, -0.043, -0.036, -0.036, 0.029, -0.015, -0.053, -0.052, -0.002, 0.007, -0.012, -0.023, -0.024, -0.028, -0.023, -0.028, -0.024, -0.022, 0.021, 0.03, 0.034, 0.005, 0.047, -0.035, 0.017]</t>
  </si>
  <si>
    <t>5431.0</t>
  </si>
  <si>
    <t>[0, 0, 0, 0, 0, 0, 0, 0, 0, 0, 0, 0, 0, 0, 0, 0, 0, 0, 0, 0, 0, 0, 0, 0, 0, 0, 0, 0, 0, 0, 0, 0, 0, 0, 0, 0, 0, 0, 0, 0, 0, 0, 0, 0, 0, 1, 1, 0, 0, 0, 0, 0, 0, 0, 0, 0, 0, 0, 0, 0, 0, 1, 1, 0, 0, 0, 0, 0, 0, 0, 0, 0, 0, 0, 0, 0, 0, 0, 0, 0, 0, 0, 0, 0, 0, 0, 0, 0, 0, 0, 0, 0, 0, 0, 0, 0, 0, 0, 0, 0, 0, 0]</t>
  </si>
  <si>
    <t>LINESTRING (6.097488686837244 58.523993864804154, 6.097057713031963 58.52494256352302, 6.096794952834199 58.525528068903114, 6.09661271259889 58.5259391779231, 6.096149411785838 58.52698339126665, 6.095910793685186 58.52747568124288, 6.0939873552047175 58.529178145640074, 6.0905971048736625 58.53012197559349, 6.089627279205686 58.53027575799753, 6.0829613347564 58.5329335254534, 6.082095423232277 58.53327428425625, 6.073005620417197 58.53523442750616, 6.071252587042437 58.53583557480618, 6.0685427230508155 58.5372946669222, 6.065866052370512 58.54013004942733, 6.065703385436397 58.540333239961264, 6.064896274858918 58.541351072436214, 6.063434213754235 58.54346035210426, 6.063335456990538 58.54374425193705, 6.069299875662282 58.55268254231601, 6.069373135754817 58.55271032753593, 6.07062525880296 58.55310904173872, 6.071310706465217 58.553287843102176, 6.071748223929449 58.553401133452866, 6.073134096893184 58.55379815305547, 6.07542723008102 58.55489090845578, 6.07695671975744 58.55645065656182, 6.077250507068602 58.55711346880172, 6.0773528381144 58.55815512559466, 6.077274658694349 58.558550209885055, 6.077149866189507 58.55891258783638, 6.076841331527523 58.5594870114986, 6.076172966999172 58.56026317601863, 6.070603346746401 58.564308565667204, 6.0695269280307915 58.56507727557158, 6.068836171808086 58.565581089406706, 6.06858661598335 58.56576944101389, 6.068443723386499 58.565878288726246, 6.066488641270234 58.56796860807164, 6.066383710537926 58.56817227556693, 6.065948439516179 58.56951971185104, 6.065895729680646 58.570801407878484, 6.065896525708974 58.570846045018506, 6.065885423539692 58.572427155865704, 6.065885031570396 58.57250065695766, 6.065881695755581 58.57293916500679, 6.065881824386065 58.57295058128977, 6.065879093916564 58.573485231060346, 6.065175644725491 58.57646920823522, 6.065122667260211 58.57656168556815, 6.065083476024689 58.576629505467466, 6.064805438864149 58.5770534609873, 6.063744751562058 58.58140684524716, 6.066275427637072 58.58349875116615, 6.06783951766695 58.584093780832305, 6.068159156361938 58.58418598562819, 6.06843474788345 58.58425911810935, 6.069057123549211 58.584402960909216, 6.069198193593448 58.58443419185342, 6.069309627937468 58.584457304871876, 6.069370879820746 58.584469804405096, 6.0700749847792395 58.58461035164904, 6.070191184891691 58.584633499517174, 6.070409388434644 58.58467951434012, 6.0713946567755945 58.58490416549384, 6.071622534376613 58.584961756844706, 6.078412308955052 58.59257926678041, 6.078736323544942 58.59349408966913, 6.078774387170103 58.59360395921914, 6.078884999928057 58.59391380885072, 6.078967318059725 58.5941411158891, 6.07899585265367 58.59421686514498, 6.079020995743502 58.59428992053884, 6.079090733994984 58.59448265905881, 6.079107460185438 58.59452871682634, 6.079255126415169 58.59493743617791, 6.079289551447341 58.59503270852903, 6.079506611165416 58.59562482075891, 6.079519680360423 58.595658637516344, 6.079546969763144 58.59572374133983, 6.079647412521693 58.59596270173952, 6.079982095250355 58.59668245660182, 6.082318544807256 58.600224782231194, 6.0824944213510985 58.60049086941805, 6.082856493887463 58.60108536060382, 6.08287135599517 58.60111241092998, 6.083925948794243 58.60460906277036, 6.087588934936492 58.60851057022466, 6.090255666714599 58.610071629943526, 6.090558283262901 58.61029543282941, 6.0909986027025855 58.61066531868648, 6.0910379639072625 58.61070283903846, 6.091403707303118 58.611060651701685, 6.091501113350339 58.611160036360786, 6.091593874109912 58.61126187833891, 6.091960119143008 58.611680416707934, 6.092044759199749 58.61178639677915, 6.092344618715376 58.61217157816749, 6.092964416093963 58.61660955922065, 6.091105965971143 58.62548558768666, 6.090808227590837 58.62585163104098, 6.086821421534767 58.6283676420924, 6.085746978725101 58.62871270523826)</t>
  </si>
  <si>
    <t>[1843866, 1843874, 1843882, 1843890, 1843898, 1843906, 1843914, 1843922, 1843930, 1843938, 1843946, 1843954, 1843962, 1843970, 1843978, 1843986, 1843994, 1844002, 1844010, 1844018, 1844026, 1844034, 1844042, 1844050, 1844058, 1844066, 1844074, 1844082, 1844090, 1844098, 1844106, 1844114, 1844122, 1844130, 1844218, 1844226, 1844234, 1844246, 1844254, 1844262, 1844278, 1844286, 1844294, 1844302, 1844310, 1844318, 1844326, 1844334, 1844342, 1844352, 1844353, 1844360, 1844368, 1844376, 1844384, 1844392, 1844400, 1844408, 1844416, 1844424, 1844432, 1844440, 1844448, 1844456, 1844464, 1844472, 1844480, 1844488, 1844496, 1844504, 1844512, 1844520, 1844528, 1844536, 1844544, 1844552, 1844560, 1844568, 1844576, 1844584, 1844592, 1844600, 1844609, 1844617, 1844625, 1844633, 1844641, 1844649, 1844657, 1844665, 1844673, 1844681, 1844689, 1844697, 1844705, 1844713, 1844721, 1844729, 1844737, 1844745, 1844753, 1844761]</t>
  </si>
  <si>
    <t>[1142397, 1615411, 1615419, 1612309, 1615428, 1615432, 1615438, 1615443, 1141214, 1132747, 1202323, 1132430, 1615464, 1202199, 1612273, 1615479, 1615487, 1615491, 1195063, 1594224, 1594210, 1615515, 1195129, 1301540, 1610223, 1615541, 1615547, 1195048, 1615556, 1610283, 1615564, 1615567, 1615573, 1131464, 1615644, 1615649, 1615653, 1260755, 1615664, 1182322, 1615676, 1615681, 1195150, 1615690, 1615696, 1615701, 1615708, 1266745, 1615715, 661763, 1615719, 1615721, 1615726, 1615731, 1615737, 1615742, 1615748, 662255, 1615758, 1267035, 1615770, 1615775, 1615778, 1615784, 1615789, 1615793, 1615797, 1615801, 1615805, 1615810, 1615815, 1615819, 1615823, 1615826, 1261746, 1615835, 1615839, 1615841, 1615844, 1615850, 1615853, 1615857, 1615864, 1615867, 1615870, 1615876, 1615880, 1615885, 1615889, 1615894, 1615898, 1615902, 1261595, 1615907, 1615913, 1615916, 1615919, 1615924, 1615928, 1615933, 1615938, 1615942]</t>
  </si>
  <si>
    <t>[1055588, 1142397, 1615411, 1615419, 1612309, 1615428, 1615432, 1615438, 1615443, 1141214, 1132747, 1202323, 1132430, 1615464, 1202199, 1612273, 1615479, 1615487, 1615491, 1195063, 1594224, 1594210, 1615515, 1195129, 1301540, 1610223, 1615541, 1615547, 1195048, 1615556, 1610283, 1615564, 1615567, 1615573, 1131464, 1615644, 1615649, 1615653, 1260755, 1615664, 1182322, 1615676, 1615681, 1195150, 1615690, 1615696, 1615701, 1615708, 1266745, 1615715, 661763, 1615719, 1615721, 1615726, 1615731, 1615737, 1615742, 1615748, 662255, 1615758, 1267035, 1615770, 1615775, 1615778, 1615784, 1615789, 1615793, 1615797, 1615801, 1615805, 1615810, 1615815, 1615819, 1615823, 1615826, 1261746, 1615835, 1615839, 1615841, 1615844, 1615850, 1615853, 1615857, 1615864, 1615867, 1615870, 1615876, 1615880, 1615885, 1615889, 1615894, 1615898, 1615902, 1261595, 1615907, 1615913, 1615916, 1615919, 1615924, 1615928, 1615933, 1615938]</t>
  </si>
  <si>
    <t>[0.071, 0.086, 0.073, 0.049, 0.053, 0.061, 0.065, 0.171, 0.035, 0.021, 0.01, 0.108, 0.087, 0.054, 0.083, 0.089, 0.002, 0.024, 0.013, 0.014, 0.021, 0.033, 0.029, 0.002, 0.131, 0.031, 0.018, 0.018, 0.0, 0.012, 0.035, 0.061, 0.056, 0.133, 0.097, 0.009, 0.015, 0.037, 0.009, 0.034, 0.032, 0.037, 0.006, 0.006, 0.006, 0.005, 0.006, 0.009, 0.0, 0.0, 0.001, 0.018, 0.028, 0.009, 0.02, 0.013, 0.008, 0.006, 0.012, 0.001, 0.001, 0.017, 0.001, 0.023, 0.058, 0.007, 0.002, 0.002, 0.011, 0.019, 0.02, 0.01, 0.021, 0.028, 0.025, 0.023, 0.033, 0.019, 0.043, 0.036, 0.036, 0.029, 0.015, 0.053, 0.052, 0.002, 0.007, 0.012, 0.023, 0.024, 0.028, 0.023, 0.028, 0.024, 0.022, 0.021, 0.03, 0.034, 0.005, 0.047, 0.035, 0.017]</t>
  </si>
  <si>
    <t>13893.275188547412</t>
  </si>
  <si>
    <t>[-0.044, -0.041, -0.033, -0.034, -0.013, 0.002, 0.003, 0.003, 0.005]</t>
  </si>
  <si>
    <t>70617.0</t>
  </si>
  <si>
    <t>[0, 0, 0, 1, 0, 0, 0, 0, 0]</t>
  </si>
  <si>
    <t>LINESTRING (5.711466701862234 58.86083137021017, 5.711534690245965 58.86196470589186, 5.711542243126327 58.862066121404716, 5.7115901132663955 58.8627419875768, 5.711647535360536 58.86338915902595, 5.712459832902022 58.867113476320796, 5.713419999063479 58.86825199501315, 5.713429473794046 58.86825928771365, 5.7134968018202175 58.86830997568125, 5.718404326743006 58.87152845613467)</t>
  </si>
  <si>
    <t>[1116695, 1116703, 1116711, 1116719, 1116727, 1116735, 1116743, 1116751, 1116759]</t>
  </si>
  <si>
    <t>[1055877, 1055882, 1055887, 1055890, 1055895, 1055901, 1055909, 1055919, 1055926]</t>
  </si>
  <si>
    <t>[1055873, 1055877, 1055882, 1055887, 1055890, 1055895, 1055901, 1055909, 1055919]</t>
  </si>
  <si>
    <t>[0.044, 0.041, 0.033, 0.034, 0.013, 0.002, 0.003, 0.003, 0.005]</t>
  </si>
  <si>
    <t>1312.3579849634534</t>
  </si>
  <si>
    <t>[0.001, 0.0, 0.004, -0.009, -0.037, -0.029, -0.026, -0.038]</t>
  </si>
  <si>
    <t>LINESTRING (5.718404326743006 58.87152845613467, 5.719652242104202 58.87366566098586, 5.719653720738975 58.873674334830135, 5.7196701316342695 58.87376093792408, 5.718977127694008 58.87704977915, 5.7189718613157385 58.87705867830407, 5.718939884019955 58.87711205480735, 5.718926273910606 58.87713465457415, 5.718904953202807 58.87716835307646)</t>
  </si>
  <si>
    <t>[1116767, 1116775, 1116783, 1116791, 1116799, 1116807, 1116815, 1116823]</t>
  </si>
  <si>
    <t>[1055934, 1055942, 1055948, 1055957, 1055963, 1055969, 1055975, 1055983]</t>
  </si>
  <si>
    <t>[1055926, 1055934, 1055942, 1055948, 1055957, 1055963, 1055969, 1055975]</t>
  </si>
  <si>
    <t>[0.001, 0.0, 0.004, 0.009, 0.037, 0.029, 0.026, 0.038]</t>
  </si>
  <si>
    <t>647.7211290059909</t>
  </si>
  <si>
    <t>[-0.007, -0.002]</t>
  </si>
  <si>
    <t>LINESTRING (5.718904953202807 58.87716835307646, 5.718034942530498 58.88244499790442, 5.7181357924862395 58.88336122160815)</t>
  </si>
  <si>
    <t>[1116831, 1116839]</t>
  </si>
  <si>
    <t>[1055991, 1055996]</t>
  </si>
  <si>
    <t>[1055983, 1055991]</t>
  </si>
  <si>
    <t>699.5384946921972</t>
  </si>
  <si>
    <t>[-0.007, -0.016, -0.011, -0.003, -0.003, -0.005]</t>
  </si>
  <si>
    <t>53944.0</t>
  </si>
  <si>
    <t>LINESTRING (5.7181357924862395 58.88336122160815, 5.717859950046538 58.88642844346536, 5.717857201304676 58.88643757926071, 5.717828530621185 58.8865382225543, 5.717358156557228 58.887817390031024, 5.717331228181005 58.88787683474626, 5.717066822279026 58.888414279254256)</t>
  </si>
  <si>
    <t>[1116847, 1116855, 1116863, 1116871, 1116879, 1116887]</t>
  </si>
  <si>
    <t>[1056002, 1056010, 1056018, 1056022, 1056027, 1056034]</t>
  </si>
  <si>
    <t>[1055996, 1056002, 1056010, 1056018, 1056022, 1056027]</t>
  </si>
  <si>
    <t>[0.007, 0.016, 0.011, 0.003, 0.003, 0.005]</t>
  </si>
  <si>
    <t>570.2978042829593</t>
  </si>
  <si>
    <t>[-0.016, -0.01, -0.004]</t>
  </si>
  <si>
    <t>5753.0</t>
  </si>
  <si>
    <t>LINESTRING (5.7181357924862395 58.88336122160815, 5.718211224418386 58.88353473176358, 5.71981721093854 58.88632414357107, 5.719834113675826 58.88639408247586)</t>
  </si>
  <si>
    <t>[1435919, 2099357, 2099365]</t>
  </si>
  <si>
    <t>[1305680, 1815326, 1815331]</t>
  </si>
  <si>
    <t>[1055996, 1305680, 1815326]</t>
  </si>
  <si>
    <t>[0.016, 0.01, 0.004]</t>
  </si>
  <si>
    <t>368.7481957837521</t>
  </si>
  <si>
    <t>[0.004, 0.003, -0.003, -0.003, 0.0, 0.001, -0.008]</t>
  </si>
  <si>
    <t>LINESTRING (5.719608605999565 58.886386281682285, 5.719617076840697 58.88633375050319, 5.717956074324899 58.886426152655105, 5.717920927611911 58.88654358694547, 5.717861487404888 58.88674953808859, 5.717858669090008 58.88675847907585, 5.7172599054592945 58.88821718656526, 5.717066822279026 58.888414279254256)</t>
  </si>
  <si>
    <t>[2099495, 2099509, 2099524, 2099532, 2099544, 2099552, 1312091]</t>
  </si>
  <si>
    <t>[1815420, 1815427, 1815440, 1815444, 1815452, 1220191, 1056034]</t>
  </si>
  <si>
    <t>0.0010923338478651071</t>
  </si>
  <si>
    <t>[1815419, 1815420, 1815427, 1815440, 1815444, 1815452, 1220191]</t>
  </si>
  <si>
    <t>[0.004, 0.003, 0.003, 0.003, 0.0, 0.001, 0.008]</t>
  </si>
  <si>
    <t>430.6052485960194</t>
  </si>
  <si>
    <t>[-0.004, 0.005, 0.007, -0.009, -0.001, 0.001, 0.02]</t>
  </si>
  <si>
    <t>68682.0</t>
  </si>
  <si>
    <t>LINESTRING (5.710921406777948 58.8957608940573, 5.71074893160591 58.89604999646612, 5.700685842058727 58.906108003961286, 5.700675686999169 58.9061152468821, 5.700635069119461 58.90614420969357, 5.700228083814424 58.906441631885144, 5.699521687747124 58.90696998549701, 5.698652979838435 58.90766861798844)</t>
  </si>
  <si>
    <t>[1117023, 1117031, 1117039, 1117047, 1117055, 1117063, 1117068]</t>
  </si>
  <si>
    <t>[1056117, 1056123, 1056127, 1056130, 1056134, 1056137, 1056139]</t>
  </si>
  <si>
    <t>0.005329485474116604</t>
  </si>
  <si>
    <t>[1056112, 1056117, 1056123, 1056127, 1056130, 1056134, 1056137]</t>
  </si>
  <si>
    <t>[0.004, 0.005, 0.007, 0.009, 0.001, 0.001, 0.02]</t>
  </si>
  <si>
    <t>1525.500390285111</t>
  </si>
  <si>
    <t>[0.761, -0.03, 0.0, 0.017, 0.015, -0.022, -0.016]</t>
  </si>
  <si>
    <t>LINESTRING (5.7146223785948 58.89405872303485, 5.714593086578081 58.89400782947154, 5.712654821024081 58.893826800660456, 5.7126467971042745 58.89383445169121, 5.712036979688298 58.89447461396654, 5.711905497505275 58.89461608086577, 5.7111491434434845 58.89554012967829, 5.710921406777948 58.8957608940573)</t>
  </si>
  <si>
    <t>[2099723, 2099745, 2099749, 2099751, 2099757, 2099772, 1438742]</t>
  </si>
  <si>
    <t>[1815572, 1815586, 1815588, 1815589, 1815594, 1307637, 1056112]</t>
  </si>
  <si>
    <t>[1308567, 1815572, 1815586, 1815588, 1815589, 1815594, 1307637]</t>
  </si>
  <si>
    <t>[0.761, 0.03, 0.0, 0.017, 0.015, 0.022, 0.016]</t>
  </si>
  <si>
    <t>414.8871247172931</t>
  </si>
  <si>
    <t>3.9203698805546425</t>
  </si>
  <si>
    <t>[0.005, 0.006, 0.009, 0.039, 0.07, 0.058, 0.065]</t>
  </si>
  <si>
    <t>LINESTRING (7.471313571761226 58.03027961797793, 7.471299728770726 58.03026091499402, 7.471165652683661 58.03007122265655, 7.469066895311243 58.02992473838088, 7.467804178764187 58.0301444753138, 7.467601349429518 58.03018516170608, 7.46754006695103 58.030197979224475, 7.4674883610803375 58.030206984555576)</t>
  </si>
  <si>
    <t>[1162146, 1162154, 1162162, 1162170, 1162178, 1117321, 1117328]</t>
  </si>
  <si>
    <t>[1096615, 1096624, 1096633, 1096641, 1056312, 1056245, 1056318]</t>
  </si>
  <si>
    <t>0.022134939532023258</t>
  </si>
  <si>
    <t>[1096606, 1096615, 1096624, 1096633, 1096641, 1056312, 1056245]</t>
  </si>
  <si>
    <t>261.8966040208521</t>
  </si>
  <si>
    <t>[0.007, 0.008, 0.035, 0.053, 0.055]</t>
  </si>
  <si>
    <t>LINESTRING (7.471476256871959 58.03025843923248, 7.471461565962804 58.030231282487556, 7.469044587534485 58.02988554193253, 7.467732051837133 58.03008623773376, 7.4675474078872 58.030116483033225, 7.467416978628343 58.03013944096029)</t>
  </si>
  <si>
    <t>[1185875, 1185883, 1185891, 1185899, 1117336]</t>
  </si>
  <si>
    <t>[1114993, 1115001, 1115008, 1056327, 1056328]</t>
  </si>
  <si>
    <t>0.019321950777428452</t>
  </si>
  <si>
    <t>[1114554, 1114993, 1115001, 1115008, 1056327]</t>
  </si>
  <si>
    <t>271.90144647654205</t>
  </si>
  <si>
    <t>[-0.031, 0.0]</t>
  </si>
  <si>
    <t>LINESTRING (5.724076795272592 58.946108636184356, 5.721766939517511 58.949936072555616, 5.721766242674332 58.94993941999193)</t>
  </si>
  <si>
    <t>[1117347, 1117355]</t>
  </si>
  <si>
    <t>[1056340, 1056348]</t>
  </si>
  <si>
    <t>[1056333, 1056340]</t>
  </si>
  <si>
    <t>[0.031, 0.0]</t>
  </si>
  <si>
    <t>449.99338140424135</t>
  </si>
  <si>
    <t>[-0.017, -0.0, -0.017, -0.017, -0.007, -0.003, -0.017, -0.025, -0.023]</t>
  </si>
  <si>
    <t>LINESTRING (5.726423112230225 58.94450164800602, 5.726423413379459 58.94446823392651, 5.725448660862711 58.94429022863166, 5.725432580571726 58.94431642927733, 5.725427207435768 58.94432516790755, 5.725352751724115 58.94443782266686, 5.724360459562738 58.945810149390034, 5.724144877970366 58.946063856838364, 5.724101456384962 58.94609505685532, 5.724076795272592 58.946108636184356)</t>
  </si>
  <si>
    <t>[1438926, 804344, 804352, 804360, 804368, 804376, 1439038, 1439046, 1439054]</t>
  </si>
  <si>
    <t>[782769, 782770, 782781, 782789, 782795, 782802, 1307850, 1307856, 1056333]</t>
  </si>
  <si>
    <t>[1307759, 782769, 782770, 782781, 782789, 782795, 782802, 1307850, 1307856]</t>
  </si>
  <si>
    <t>[0.017, 0.0, 0.017, 0.017, 0.007, 0.003, 0.017, 0.025, 0.023]</t>
  </si>
  <si>
    <t>354.70927778176247</t>
  </si>
  <si>
    <t>[-0.0, -0.0, -0.0, -0.021, 0.003]</t>
  </si>
  <si>
    <t>LINESTRING (5.721766242674332 58.94993941999193, 5.721757087208995 58.949986327516555, 5.721710416995721 58.95023810602979, 5.721696789373851 58.95032573522629, 5.721664768068875 58.95056985267687, 5.721604234070598 58.951768768720264)</t>
  </si>
  <si>
    <t>[1117363, 1117371, 992154, 1417920, 1418115]</t>
  </si>
  <si>
    <t>[1056356, 950818, 950819, 1294880, 1295018]</t>
  </si>
  <si>
    <t>[1056348, 1056356, 950818, 950819, 1294880]</t>
  </si>
  <si>
    <t>[0.0, 0.0, 0.0, 0.021, 0.003]</t>
  </si>
  <si>
    <t>204.701734569628</t>
  </si>
  <si>
    <t>[-0.011, 0.009]</t>
  </si>
  <si>
    <t>LINESTRING (5.721766242674332 58.94993941999193, 5.721780324063555 58.95019735416367, 5.722227100940102 58.95197972699007)</t>
  </si>
  <si>
    <t>[1417900, 1418721]</t>
  </si>
  <si>
    <t>[1294865, 1295470]</t>
  </si>
  <si>
    <t>0.006492606849577671</t>
  </si>
  <si>
    <t>[1056348, 1294865]</t>
  </si>
  <si>
    <t>229.97876143573166</t>
  </si>
  <si>
    <t>[0.265, 0.02, -0.009, -0.02, -0.025, -0.025, -0.27]</t>
  </si>
  <si>
    <t>LINESTRING (8.153658292073766 58.19051684685344, 8.153436116955984 58.190466959283135, 8.15337634375694 58.1904169017129, 8.153355893874888 58.19035822242247, 8.153377797204316 58.19030067191764, 8.153438832044639 58.190251032728625, 8.153565461568435 58.19020983864956, 8.15370096120474 58.19020468699288)</t>
  </si>
  <si>
    <t>[1118950, 1118957, 1118965, 1118966, 1118967, 1118974, 1118990]</t>
  </si>
  <si>
    <t>[1057955, 1057962, 1057968, 1057969, 1057970, 1057976, 1057190]</t>
  </si>
  <si>
    <t>0.021609405800939046</t>
  </si>
  <si>
    <t>[1056976, 1057955, 1057962, 1057968, 1057969, 1057970, 1057976]</t>
  </si>
  <si>
    <t>[0.265, 0.02, 0.009, 0.02, 0.025, 0.025, 0.27]</t>
  </si>
  <si>
    <t>57.70543222022164</t>
  </si>
  <si>
    <t>26.533696173397622</t>
  </si>
  <si>
    <t>[0.037, 0.031, 0.031, 0.015]</t>
  </si>
  <si>
    <t>LINESTRING (8.156429131944671 58.19165708850908, 8.156382580357201 58.19162317966994, 8.154828254979925 58.19018505656119, 8.15470775094621 58.190062680247046, 8.152727080008141 58.187186810819135)</t>
  </si>
  <si>
    <t>[1118060, 1118089, 1118090, 1118119]</t>
  </si>
  <si>
    <t>[1057038, 1057064, 1057065, 1057095]</t>
  </si>
  <si>
    <t>0.02105447353369211</t>
  </si>
  <si>
    <t>[1057017, 1057038, 1057064, 1057065]</t>
  </si>
  <si>
    <t>546.6659175238183</t>
  </si>
  <si>
    <t>[0.037, -0.013, -0.03, -0.031, -0.035, -0.039]</t>
  </si>
  <si>
    <t>LINESTRING (8.155924253988188 58.18973122540502, 8.15590731980726 58.189676673624, 8.15478640701557 58.19004652682696, 8.154886805395504 58.190169730171554, 8.156241373355739 58.19147321720479, 8.156387477524644 58.19160992764276, 8.156429131944671 58.19165708850908)</t>
  </si>
  <si>
    <t>[1118173, 1118177, 1118181, 1118182, 1118150, 1118167]</t>
  </si>
  <si>
    <t>[1057161, 1057165, 1057169, 1057132, 1057133, 1057017]</t>
  </si>
  <si>
    <t>[1057160, 1057161, 1057165, 1057169, 1057132, 1057133]</t>
  </si>
  <si>
    <t>[0.037, 0.013, 0.03, 0.031, 0.035, 0.039]</t>
  </si>
  <si>
    <t>424.47698969045985</t>
  </si>
  <si>
    <t>[-0.144, 0.011, 0.056, -0.009, -0.244, -0.202, -0.035, 0.106, 0.001, -0.093, -0.093, -0.092, 0.083, 0.01, -0.08, -0.162, 0.126, -0.035, -0.023, -0.067, -0.024, 0.139, 0.203, 0.092, -0.0, -0.001, -0.02, -0.02, -0.008, 0.007, 0.008, 0.011, 0.013]</t>
  </si>
  <si>
    <t>18823.0</t>
  </si>
  <si>
    <t>[0, 1, 0, 0, 0, 1, 0, 1, 0, 0, 0, 1, 0, 0, 0, 1, 0, 0, 0, 1, 0, 1, 0, 0, 0, 0, 1, 0, 0, 1, 0, 0, 0]</t>
  </si>
  <si>
    <t>LINESTRING (8.29568418727791 58.236468476610426, 8.29529157025021 58.23629877487947, 8.290024793774446 58.23402259007993, 8.282127180558232 58.23172639317756, 8.2574232611716 58.22779799049952, 8.257209726931311 58.227733691297296, 8.25647927134136 58.22750792528467, 8.256090604853567 58.227382008370576, 8.25601214084299 58.227356395060546, 8.2516468743432 58.22568205646465, 8.251565572129934 58.22564556796559, 8.247431812258942 58.22349414443266, 8.247389098990753 58.22346900932197, 8.244084503603272 58.221416317309966, 8.21956488305143 58.20621994523189, 8.215183359462491 58.20373512507687, 8.215080620314367 58.20369434854423, 8.212053893817483 58.20277380812918, 8.207439280069352 58.20188026198123, 8.192647177379351 58.20018958732067, 8.19255654954148 58.20017948010949, 8.185348314471208 58.19945419397955, 8.183662965937856 58.199329808040375, 8.183229858613828 58.199297846902375, 8.178035862784377 58.19891439047386, 8.177530694470967 58.198877099646126, 8.177225814421064 58.19885471335245, 8.176221067710564 58.198779747442345, 8.16042023544454 58.19389820120527, 8.159005769841338 58.193173016708684, 8.158870861143278 58.193103824532685, 8.158218319582351 58.19276484864675, 8.157398403173405 58.192301692710146, 8.156429131944671 58.19165708850908)</t>
  </si>
  <si>
    <t>[1125372, 1125380, 1123481, 1123571, 1123607, 1123615, 1123639, 1123640, 1123643, 1123645, 1123666, 1123676, 1123683, 1123705, 1123762, 1123779, 1123795, 1123804, 1123813, 1123818, 1123821, 1123825, 1123826, 1123843, 1123852, 1118001, 1118004, 1118010, 1118012, 1118020, 1118031, 1118038, 1118039]</t>
  </si>
  <si>
    <t>[1063887, 1062225, 1062226, 1062306, 1062336, 1062345, 1062367, 1062368, 1062371, 1062373, 1062393, 1062406, 1062413, 1062434, 1062483, 1062496, 1062507, 1062514, 1062522, 1062529, 1062534, 1062536, 1062537, 1062546, 1056977, 1056978, 1056982, 1056987, 1056989, 1056997, 1057010, 1057016, 1057017]</t>
  </si>
  <si>
    <t>[1063880, 1063887, 1062225, 1062226, 1062306, 1062336, 1062345, 1062367, 1062368, 1062371, 1062373, 1062393, 1062406, 1062413, 1062434, 1062483, 1062496, 1062507, 1062514, 1062522, 1062529, 1062534, 1062536, 1062537, 1062546, 1056977, 1056978, 1056982, 1056987, 1056989, 1056997, 1057010, 1057016]</t>
  </si>
  <si>
    <t>[0.144, 0.011, 0.056, 0.009, 0.244, 0.202, 0.035, 0.106, 0.001, 0.093, 0.093, 0.092, 0.083, 0.01, 0.08, 0.162, 0.126, 0.035, 0.023, 0.067, 0.024, 0.139, 0.203, 0.092, 0.0, 0.001, 0.02, 0.02, 0.008, 0.007, 0.008, 0.011, 0.013]</t>
  </si>
  <si>
    <t>9986.661301608712</t>
  </si>
  <si>
    <t>[-0.001, 0.039, 0.018, -0.026, -0.032, -0.008, -0.006, -0.008, -0.009]</t>
  </si>
  <si>
    <t>LINESTRING (8.152477079009106 58.18707522176699, 8.152016832510295 58.18635133276017, 8.151465193202888 58.185483626435605, 8.150389336672315 58.1838351656803, 8.149527908669729 58.18284644870282, 8.149475556484541 58.182798068352994, 8.14760298695592 58.18161560482184, 8.146908601377095 58.18134155836063, 8.14608446312026 58.18108718803958, 8.144303644873363 58.18074293888929)</t>
  </si>
  <si>
    <t>[1118114, 220433, 220441, 220449, 220457, 220465, 220473, 220481, 1118530]</t>
  </si>
  <si>
    <t>[226870, 226871, 226877, 226881, 226886, 226891, 226895, 226902, 1057530]</t>
  </si>
  <si>
    <t>0.0009910669762638298</t>
  </si>
  <si>
    <t>[1057080, 226870, 226871, 226877, 226881, 226886, 226891, 226895, 226902]</t>
  </si>
  <si>
    <t>[0.001, 0.039, 0.018, 0.026, 0.032, 0.008, 0.006, 0.008, 0.009]</t>
  </si>
  <si>
    <t>901.6586749637715</t>
  </si>
  <si>
    <t>[0.024, 0.03, 0.015, 0.001]</t>
  </si>
  <si>
    <t>LINESTRING (8.15370096120474 58.19020468699288, 8.153739659557143 58.19016043988356, 8.153781533549386 58.190100991887114, 8.15258194941211 58.187302794388145, 8.152477079009106 58.18707522176699)</t>
  </si>
  <si>
    <t>[1118208, 1118219, 1118222, 1118207]</t>
  </si>
  <si>
    <t>[1057191, 1057201, 1057189, 1057080]</t>
  </si>
  <si>
    <t>0.014418078361318823</t>
  </si>
  <si>
    <t>[1057190, 1057191, 1057201, 1057189]</t>
  </si>
  <si>
    <t>362.1225078635402</t>
  </si>
  <si>
    <t>[0.001, 0.001, 0.073, -0.009]</t>
  </si>
  <si>
    <t>LINESTRING (8.152727080008141 58.187186810819135, 8.152637935685425 58.187046587127305, 8.152177734775213 58.18632280037678, 8.151626117025957 58.18545514108614, 8.150550481437904 58.18380673888624)</t>
  </si>
  <si>
    <t>[1118146, 1118149, 1119657, 1119658]</t>
  </si>
  <si>
    <t>[1057128, 1057131, 1058609, 1058610]</t>
  </si>
  <si>
    <t>0.014574289074107998</t>
  </si>
  <si>
    <t>[1057095, 1057128, 1057131, 1058609]</t>
  </si>
  <si>
    <t>[0.001, 0.001, 0.073, 0.009]</t>
  </si>
  <si>
    <t>398.28711118954806</t>
  </si>
  <si>
    <t>[-0.001, -0.006, -0.008]</t>
  </si>
  <si>
    <t>LINESTRING (8.152727080008141 58.187186810819135, 8.152990344808398 58.1874688007108, 8.156094458050227 58.189610155028916, 8.156215059224895 58.18964953023099)</t>
  </si>
  <si>
    <t>[1118189, 1118194, 1118205]</t>
  </si>
  <si>
    <t>[1057176, 1057181, 1057187]</t>
  </si>
  <si>
    <t>[1057095, 1057176, 1057181]</t>
  </si>
  <si>
    <t>[0.001, 0.006, 0.008]</t>
  </si>
  <si>
    <t>370.54737561885014</t>
  </si>
  <si>
    <t>20.209033483791078</t>
  </si>
  <si>
    <t>9.012254101503574</t>
  </si>
  <si>
    <t>[0.015, -0.071, -0.09, -0.086, -0.059, -0.005, 0.033, 0.068]</t>
  </si>
  <si>
    <t>LINESTRING (8.156215059224895 58.18964953023099, 8.156316354515289 58.189663329840194, 8.156417918083719 58.18970259853011, 8.15644185065774 58.18971861972828, 8.156491469720724 58.18978584353031, 8.156433030097691 58.18990953708002, 8.156293399873059 58.18996418017013, 8.156159513631628 58.18997088116109, 8.155995603654898 58.18993461556449)</t>
  </si>
  <si>
    <t>[1118662, 1118676, 1118691, 1118700, 1118708, 1118727, 1118739, 1118740]</t>
  </si>
  <si>
    <t>[1057677, 1057694, 1057711, 1057721, 227000, 1057746, 227013, 1057755]</t>
  </si>
  <si>
    <t>[1057187, 1057677, 1057694, 1057711, 1057721, 227000, 1057746, 227013]</t>
  </si>
  <si>
    <t>[0.015, 0.071, 0.09, 0.086, 0.059, 0.005, 0.033, 0.068]</t>
  </si>
  <si>
    <t>67.04978867907931</t>
  </si>
  <si>
    <t>9.529307425056126</t>
  </si>
  <si>
    <t>[-1.183, 0.071, 0.046, 0.016, -0.014, -0.014, 0.314]</t>
  </si>
  <si>
    <t>LINESTRING (8.106442081999853 58.171355648274506, 8.106344924075392 58.17138152586334, 8.106236540303883 58.17138654652085, 8.10611867849343 58.17136698444065, 8.106036106269702 58.171327576269306, 8.105979856457328 58.17125479653, 8.105996947099339 58.171179347476325, 8.106253840022534 58.171082384249104)</t>
  </si>
  <si>
    <t>[1119181, 1119188, 1119201, 1119207, 1119223, 1119239, 1119267]</t>
  </si>
  <si>
    <t>[1058162, 1058169, 592309, 1057266, 1058197, 1057276, 1057387]</t>
  </si>
  <si>
    <t>[1057323, 1058162, 1058169, 592309, 1057266, 1058197, 1057276]</t>
  </si>
  <si>
    <t>[1.183, 0.071, 0.046, 0.016, 0.014, 0.014, 0.314]</t>
  </si>
  <si>
    <t>63.30223278320436</t>
  </si>
  <si>
    <t>[-0.028, -0.091, -0.044, -0.062]</t>
  </si>
  <si>
    <t>LINESTRING (8.109717427667215 58.174669681106494, 8.109446507729974 58.174413807760565, 8.107735656059749 58.17276915254738, 8.106541552404384 58.17137717648242, 8.106442081999853 58.171355648274506)</t>
  </si>
  <si>
    <t>[1118350, 1118316, 1118317, 1118340]</t>
  </si>
  <si>
    <t>[1057300, 1057301, 1057302, 1057323]</t>
  </si>
  <si>
    <t>[1057332, 1057300, 1057301, 1057302]</t>
  </si>
  <si>
    <t>[0.028, 0.091, 0.044, 0.062]</t>
  </si>
  <si>
    <t>423.7319705027945</t>
  </si>
  <si>
    <t>0.639</t>
  </si>
  <si>
    <t>14.925541870303025</t>
  </si>
  <si>
    <t>[-0.071, -0.084, -0.085, -0.055, 0.012, 0.003, -0.032, -0.038, -0.044, -0.047]</t>
  </si>
  <si>
    <t>LINESTRING (8.109717427667215 58.174669681106494, 8.10809466887215 58.172756743358896, 8.107667559894157 58.17218234259913, 8.107136614395273 58.17131661351023, 8.106726167044002 58.17071807136667, 8.106061733169858 58.169936822727585, 8.104682648836958 58.16879877679835, 8.104621343270974 58.16875948577703, 8.103871333179404 58.16829805222909, 8.103750727324767 58.16822899458124, 8.103456378773885 58.16807501774259)</t>
  </si>
  <si>
    <t>[1119488, 1119489, 1119496, 1119500, 1119514, 1119526, 1118457, 1118459, 1118468, 1118476]</t>
  </si>
  <si>
    <t>[1058454, 1058455, 1058464, 1058468, 1058483, 1057445, 1057446, 1057447, 1057461, 1057372]</t>
  </si>
  <si>
    <t>[1057332, 1058454, 1058455, 1058464, 1058468, 1058483, 1057445, 1057446, 1057447, 1057461]</t>
  </si>
  <si>
    <t>[0.071, 0.084, 0.085, 0.055, 0.012, 0.003, 0.032, 0.038, 0.044, 0.047]</t>
  </si>
  <si>
    <t>830.2238159739026</t>
  </si>
  <si>
    <t>644.3005325192023</t>
  </si>
  <si>
    <t>[0.045, 0.036, 0.032, 0.041, 0.031]</t>
  </si>
  <si>
    <t>LINESTRING (8.104024308154802 58.16824423680159, 8.104363866449104 58.16839865735499, 8.104933926241982 58.168734482897854, 8.105007137607465 58.16878489982827, 8.10551772654847 58.16916765768669, 8.106116128539556 58.169529038797606)</t>
  </si>
  <si>
    <t>[1118389, 1118366, 1118367, 1118375, 1337134]</t>
  </si>
  <si>
    <t>[1057346, 1057347, 1057348, 1057354, 1241123]</t>
  </si>
  <si>
    <t>0.03706583142302829</t>
  </si>
  <si>
    <t>[1057370, 1057346, 1057347, 1057348, 1057354]</t>
  </si>
  <si>
    <t>189.8129012946509</t>
  </si>
  <si>
    <t>[-0.494, -0.013, 0.008, 0.06]</t>
  </si>
  <si>
    <t>LINESTRING (8.104024308154802 58.16824423680159, 8.10389639170807 58.16817322346238, 8.103594847816652 58.16800968310956, 8.096114528495585 58.16597161663419, 8.095949001958335 58.16596261826726)</t>
  </si>
  <si>
    <t>[1119762, 1119773, 1119774, 1119785]</t>
  </si>
  <si>
    <t>[1058696, 1058704, 1058705, 1058716]</t>
  </si>
  <si>
    <t>[1057370, 1058696, 1058704, 1058705]</t>
  </si>
  <si>
    <t>[0.494, 0.013, 0.008, 0.06]</t>
  </si>
  <si>
    <t>551.375769411843</t>
  </si>
  <si>
    <t>[-0.081, -0.053, -0.012, -0.019, -0.058, 0.024]</t>
  </si>
  <si>
    <t>LINESTRING (8.10784842922543 58.1721509051101, 8.10734004415165 58.17128086849813, 8.106932350621312 58.1706742856358, 8.106261342730187 58.16991165841408, 8.104904716208702 58.1687946401108, 8.104819084833053 58.16874425169394, 8.104024308154802 58.16824423680159)</t>
  </si>
  <si>
    <t>[1119132, 1119139, 1119147, 1119148, 1119747, 1119754]</t>
  </si>
  <si>
    <t>[1058108, 1058114, 1058121, 1058122, 1058682, 1057370]</t>
  </si>
  <si>
    <t>[1057444, 1058108, 1058114, 1058121, 1058122, 1058682]</t>
  </si>
  <si>
    <t>[0.081, 0.053, 0.012, 0.019, 0.058, 0.024]</t>
  </si>
  <si>
    <t>495.8479599556666</t>
  </si>
  <si>
    <t>[0.004, 0.067]</t>
  </si>
  <si>
    <t>47226.0</t>
  </si>
  <si>
    <t>LINESTRING (8.103456378773885 58.16807501774259, 8.096652711210675 58.16613380231742, 8.096434451514382 58.16611275596323)</t>
  </si>
  <si>
    <t>[1118484, 1118492]</t>
  </si>
  <si>
    <t>[1057479, 1057487]</t>
  </si>
  <si>
    <t>0.0057351973289641546</t>
  </si>
  <si>
    <t>[1057372, 1057479]</t>
  </si>
  <si>
    <t>474.8880598937697</t>
  </si>
  <si>
    <t>[0.018, -0.017, -0.031, -0.038, -0.043]</t>
  </si>
  <si>
    <t>LINESTRING (8.106253840022534 58.171082384249104, 8.106291021728364 58.17102771453163, 8.104603584725643 58.16882143607554, 8.104529774349645 58.168771734282146, 8.103792106433048 58.16830918614925, 8.103456378773885 58.16807501774259)</t>
  </si>
  <si>
    <t>[1118406, 1118407, 1118413, 1118414, 1118390]</t>
  </si>
  <si>
    <t>[1057388, 1057389, 1057395, 1057371, 1057372]</t>
  </si>
  <si>
    <t>[1057387, 1057388, 1057389, 1057395, 1057371]</t>
  </si>
  <si>
    <t>[0.018, 0.017, 0.031, 0.038, 0.043]</t>
  </si>
  <si>
    <t>385.3094626723095</t>
  </si>
  <si>
    <t>0.769</t>
  </si>
  <si>
    <t>10.53406379322194</t>
  </si>
  <si>
    <t>[-0.076, -0.05, -0.041, -0.098]</t>
  </si>
  <si>
    <t>LINESTRING (8.115516394628893 58.179622703918355, 8.115288853962218 58.1795134604804, 8.109869948783226 58.17462988134918, 8.108264587000876 58.172724188344795, 8.10784842922543 58.1721509051101)</t>
  </si>
  <si>
    <t>[1119125, 1119126, 1119127, 1119128]</t>
  </si>
  <si>
    <t>[1058102, 1058103, 1058104, 1057444]</t>
  </si>
  <si>
    <t>[1058097, 1058102, 1058103, 1058104]</t>
  </si>
  <si>
    <t>[0.076, 0.05, 0.041, 0.098]</t>
  </si>
  <si>
    <t>958.8326950643151</t>
  </si>
  <si>
    <t>[0.019, 0.028, 0.032, 0.036, 0.025]</t>
  </si>
  <si>
    <t>LINESTRING (8.106588097587752 58.170035569065725, 8.106748876027607 58.17032315633663, 8.10703341149469 58.17067516568282, 8.107441093019743 58.17127980115024, 8.107816170859259 58.17194335425584, 8.10784842922543 58.1721509051101)</t>
  </si>
  <si>
    <t>[1337175, 1118425, 1118443, 1118450, 1118456]</t>
  </si>
  <si>
    <t>[1057409, 1057410, 1057432, 1057438, 1057444]</t>
  </si>
  <si>
    <t>0.030145283852161288</t>
  </si>
  <si>
    <t>[1241139, 1057409, 1057410, 1057432, 1057438]</t>
  </si>
  <si>
    <t>248.35278914538014</t>
  </si>
  <si>
    <t>[0.067, 0.066, -0.016, 0.004, 0.015]</t>
  </si>
  <si>
    <t>LINESTRING (8.096434451514382 58.16611275596323, 8.096184783911294 58.16609538144798, 8.095330554457096 58.166055348819235, 8.089774422236658 58.165575714865746, 8.089437351865994 58.16551887835924, 8.085662319790904 58.16482424429592)</t>
  </si>
  <si>
    <t>[1118501, 1118508, 1118510, 1119816, 1119828]</t>
  </si>
  <si>
    <t>[1057495, 1057505, 1057507, 1058744, 1058758]</t>
  </si>
  <si>
    <t>0.0040040886515654225</t>
  </si>
  <si>
    <t>[1057487, 1057495, 1057505, 1057507, 1058744]</t>
  </si>
  <si>
    <t>[0.067, 0.066, 0.016, 0.004, 0.015]</t>
  </si>
  <si>
    <t>655.1744898419748</t>
  </si>
  <si>
    <t>[-0.053, 0.045, 0.021, 0.012, 0.015, 0.009, -0.026, 0.031]</t>
  </si>
  <si>
    <t>[0, 0, 0, 0, 1, 0, 1, 1]</t>
  </si>
  <si>
    <t>LINESTRING (8.096434451514382 58.16611275596323, 8.096001900040825 58.166117293562486, 8.095735023110045 58.16611474289177, 8.092589325241882 58.16614168939098, 8.092032934337238 58.166110975895634, 8.091945970473963 58.16610309170696, 8.091281453721901 58.16616525458026, 8.091191191924478 58.166213689811315, 8.091130056066108 58.16625704127873)</t>
  </si>
  <si>
    <t>[1838973, 1839269, 1118522, 1839229, 1839237, 1839245, 1839253, 1839261]</t>
  </si>
  <si>
    <t>[1612187, 1057518, 1057519, 1612329, 1612331, 1612336, 1612340, 1248968]</t>
  </si>
  <si>
    <t>0.012790287573535295</t>
  </si>
  <si>
    <t>[1057487, 1612187, 1057518, 1057519, 1612329, 1612331, 1612336, 1612340]</t>
  </si>
  <si>
    <t>[0.053, 0.045, 0.021, 0.012, 0.015, 0.009, 0.026, 0.031]</t>
  </si>
  <si>
    <t>320.08869917998163</t>
  </si>
  <si>
    <t>[-0.017, 0.03, 0.026]</t>
  </si>
  <si>
    <t>LINESTRING (8.144303644873363 58.18074293888929, 8.139009150656285 58.18081152868205, 8.138761253728399 58.18082733495043, 8.132465697289868 58.18086073874526)</t>
  </si>
  <si>
    <t>[1118531, 1118550, 1118593]</t>
  </si>
  <si>
    <t>[1057531, 1057551, 1057604]</t>
  </si>
  <si>
    <t>0.0067981723348414175</t>
  </si>
  <si>
    <t>[1057530, 1057531, 1057551]</t>
  </si>
  <si>
    <t>[0.017, 0.03, 0.026]</t>
  </si>
  <si>
    <t>700.2995233879114</t>
  </si>
  <si>
    <t>[-0.002, -0.014, -0.004]</t>
  </si>
  <si>
    <t>LINESTRING (8.144303644873363 58.18074293888929, 8.143650119002222 58.18071362604172, 8.13956208468329 58.181156113678966, 8.139502333556255 58.181163141127776)</t>
  </si>
  <si>
    <t>[1118571, 1118551, 1118558]</t>
  </si>
  <si>
    <t>[1057552, 1057553, 1057562]</t>
  </si>
  <si>
    <t>[1057530, 1057552, 1057553]</t>
  </si>
  <si>
    <t>[0.002, 0.014, 0.004]</t>
  </si>
  <si>
    <t>294.4598603303737</t>
  </si>
  <si>
    <t>[0.069, 0.017]</t>
  </si>
  <si>
    <t>LINESTRING (8.139502333556255 58.181163141127776, 8.139477248851742 58.1812230319341, 8.139130673298332 58.181179310976994)</t>
  </si>
  <si>
    <t>[1119144, 1119189]</t>
  </si>
  <si>
    <t>[592227, 1057633]</t>
  </si>
  <si>
    <t>0.02736710437125294</t>
  </si>
  <si>
    <t>[1057562, 592227]</t>
  </si>
  <si>
    <t>34.322922185577774</t>
  </si>
  <si>
    <t>14.993233237322428</t>
  </si>
  <si>
    <t>[0.037, 0.017, -0.045, -0.035, -0.073]</t>
  </si>
  <si>
    <t>LINESTRING (8.132465697289868 58.18086073874526, 8.131719191906214 58.18086150655949, 8.122036308799881 58.18177054919206, 8.121082070328827 58.18167425208879, 8.1154158171536 58.17969553050545, 8.115188131363535 58.179586242982815)</t>
  </si>
  <si>
    <t>[1118599, 1118600, 1118614, 1119451, 1119469]</t>
  </si>
  <si>
    <t>[1057606, 1057607, 1057623, 1058423, 1058439]</t>
  </si>
  <si>
    <t>[1057604, 1057606, 1057607, 1057623, 1058423]</t>
  </si>
  <si>
    <t>[0.037, 0.017, 0.045, 0.035, 0.073]</t>
  </si>
  <si>
    <t>1109.3566359361594</t>
  </si>
  <si>
    <t>[0.016, 0.019, 0.012]</t>
  </si>
  <si>
    <t>LINESTRING (8.139130673298332 58.181179310976994, 8.139061582357584 58.18116787557652, 8.132946272933832 58.18089636745247, 8.132465697289868 58.18086073874526)</t>
  </si>
  <si>
    <t>[1118622, 1118627, 1118638]</t>
  </si>
  <si>
    <t>[1057634, 1057637, 1057604]</t>
  </si>
  <si>
    <t>0.018461111170781887</t>
  </si>
  <si>
    <t>[1057633, 1057634, 1057637]</t>
  </si>
  <si>
    <t>395.21895033121916</t>
  </si>
  <si>
    <t>4.926240960170161</t>
  </si>
  <si>
    <t>[0.052, 0.061]</t>
  </si>
  <si>
    <t>LINESTRING (8.155995603654898 58.18993461556449, 8.15590524868212 58.18986814380437, 8.155884979541042 58.18980930358906)</t>
  </si>
  <si>
    <t>[1118747, 1118748]</t>
  </si>
  <si>
    <t>[1057760, 1057672]</t>
  </si>
  <si>
    <t>0.05580039986914243</t>
  </si>
  <si>
    <t>[1057755, 1057760]</t>
  </si>
  <si>
    <t>15.799912488243365</t>
  </si>
  <si>
    <t>[0.041, 0.036, 0.044]</t>
  </si>
  <si>
    <t>LINESTRING (8.155511063807413 58.18995776743842, 8.155629061893631 58.189901878844964, 8.155811392339611 58.18984056201097, 8.155884979541042 58.18980930358906)</t>
  </si>
  <si>
    <t>[1118906, 1118917, 1118941]</t>
  </si>
  <si>
    <t>[1057921, 1057931, 1057672]</t>
  </si>
  <si>
    <t>0.03929997046270245</t>
  </si>
  <si>
    <t>[1057838, 1057921, 1057931]</t>
  </si>
  <si>
    <t>27.6361792464147</t>
  </si>
  <si>
    <t>[0.009, 0.014, -0.006]</t>
  </si>
  <si>
    <t>LINESTRING (8.155511063807413 58.18995776743842, 8.15567036368921 58.18994952565121, 8.155881341293853 58.189930263114015, 8.155995603654898 58.18993461556449)</t>
  </si>
  <si>
    <t>[1118893, 1118895, 1118905]</t>
  </si>
  <si>
    <t>[1057910, 1057913, 1057755]</t>
  </si>
  <si>
    <t>0.007674417538659423</t>
  </si>
  <si>
    <t>[1057838, 1057910, 1057913]</t>
  </si>
  <si>
    <t>[0.009, 0.014, 0.006]</t>
  </si>
  <si>
    <t>28.792233575564875</t>
  </si>
  <si>
    <t>[-0.023, -0.02, -0.015]</t>
  </si>
  <si>
    <t>LINESTRING (8.153847284851425 58.19024109832683, 8.153957017215932 58.19024073027813, 8.154239818335341 58.19020802187896, 8.15446459539016 58.19018349506358)</t>
  </si>
  <si>
    <t>[1118755, 1118763, 1118786]</t>
  </si>
  <si>
    <t>[1057771, 1057779, 1057806]</t>
  </si>
  <si>
    <t>[1057770, 1057771, 1057779]</t>
  </si>
  <si>
    <t>[0.023, 0.02, 0.015]</t>
  </si>
  <si>
    <t>37.04176986177898</t>
  </si>
  <si>
    <t>[-0.016, -0.009]</t>
  </si>
  <si>
    <t>LINESTRING (8.153847284851425 58.19024109832683, 8.15393183867333 58.19030570027045, 8.153949919122947 58.190364107606136)</t>
  </si>
  <si>
    <t>[1119015, 1119023]</t>
  </si>
  <si>
    <t>[1058005, 1057850]</t>
  </si>
  <si>
    <t>[1057770, 1058005]</t>
  </si>
  <si>
    <t>[0.016, 0.009]</t>
  </si>
  <si>
    <t>15.363008005780303</t>
  </si>
  <si>
    <t>LINESTRING (8.15446459539016 58.19018349506358, 8.155113095497665 58.19004285203505, 8.155511063807413 58.18995776743842)</t>
  </si>
  <si>
    <t>[1118805, 1118813]</t>
  </si>
  <si>
    <t>[1057830, 1057838]</t>
  </si>
  <si>
    <t>0.008557805600984248</t>
  </si>
  <si>
    <t>[1057806, 1057830]</t>
  </si>
  <si>
    <t>66.59455838918572</t>
  </si>
  <si>
    <t>[-0.018, -0.017, -0.007]</t>
  </si>
  <si>
    <t>LINESTRING (8.153949919122947 58.190364107606136, 8.154022671807992 58.190329588448755, 8.154271400852371 58.190249622091905, 8.15446459539016 58.19018349506358)</t>
  </si>
  <si>
    <t>[1118830, 1118860, 1118885]</t>
  </si>
  <si>
    <t>[1057851, 1057879, 1057806]</t>
  </si>
  <si>
    <t>[1057850, 1057851, 1057879]</t>
  </si>
  <si>
    <t>[0.018, 0.017, 0.007]</t>
  </si>
  <si>
    <t>36.47995868210178</t>
  </si>
  <si>
    <t>[0.067, 0.032, -0.041, 0.027]</t>
  </si>
  <si>
    <t>12752.0</t>
  </si>
  <si>
    <t>LINESTRING (8.115516394628893 58.179622703918355, 8.115916403124444 58.1797631715859, 8.122157001310923 58.18128042592843, 8.122200810986216 58.18129421446372, 8.121687242917798 58.18160055687403)</t>
  </si>
  <si>
    <t>[1119180, 1119157, 1119170, 1119429]</t>
  </si>
  <si>
    <t>[1058131, 1058132, 1058149, 1058365]</t>
  </si>
  <si>
    <t>0.03308911998129231</t>
  </si>
  <si>
    <t>[1058097, 1058131, 1058132, 1058149]</t>
  </si>
  <si>
    <t>[0.067, 0.032, 0.041, 0.027]</t>
  </si>
  <si>
    <t>498.6755541421352</t>
  </si>
  <si>
    <t>[0.019, -0.025, -0.035]</t>
  </si>
  <si>
    <t>LINESTRING (8.132474743787824 58.180771165670656, 8.122157338817185 58.18168784071692, 8.121206867002495 58.18159851553723, 8.115516394628893 58.179622703918355)</t>
  </si>
  <si>
    <t>[1119694, 1119695, 1119117]</t>
  </si>
  <si>
    <t>[1058640, 1058096, 1058097]</t>
  </si>
  <si>
    <t>[1058630, 1058640, 1058096]</t>
  </si>
  <si>
    <t>[0.019, 0.025, 0.035]</t>
  </si>
  <si>
    <t>1085.44703412214</t>
  </si>
  <si>
    <t>[-0.089, -0.051]</t>
  </si>
  <si>
    <t>LINESTRING (8.139143670980351 58.18113568948052, 8.139207700328178 58.18109298576509, 8.139331614429341 58.181074555920866)</t>
  </si>
  <si>
    <t>[1119200, 1119215]</t>
  </si>
  <si>
    <t>[1058177, 1058190]</t>
  </si>
  <si>
    <t>[1058176, 1058177]</t>
  </si>
  <si>
    <t>[0.089, 0.051]</t>
  </si>
  <si>
    <t>13.663034378700564</t>
  </si>
  <si>
    <t>[-0.057, -0.051, 0.115, 0.014, 0.017, 0.016, -0.3]</t>
  </si>
  <si>
    <t>LINESTRING (8.139143670980351 58.18113568948052, 8.139113037384256 58.18109812762502, 8.138869343625371 58.18086915224218, 8.138815147647446 58.180824920362106, 8.138683634475859 58.180717636970414, 8.138651458358693 58.180691309059746, 8.138412354565547 58.18053726091278, 8.138315685726022 58.180483066676125)</t>
  </si>
  <si>
    <t>[1119337, 1119351, 1338596, 1338604, 1338609, 1338610, 1338620]</t>
  </si>
  <si>
    <t>[1058302, 1058315, 1242236, 1242245, 1242250, 1242251, 1106697]</t>
  </si>
  <si>
    <t>[1058176, 1058302, 1058315, 1242236, 1242245, 1242250, 1242251]</t>
  </si>
  <si>
    <t>[0.057, 0.051, 0.115, 0.014, 0.017, 0.016, 0.3]</t>
  </si>
  <si>
    <t>88.02848905569134</t>
  </si>
  <si>
    <t>[-0.0, -0.038, -0.04, -0.022, -0.027, -0.026, -0.036]</t>
  </si>
  <si>
    <t>LINESTRING (8.139331614429341 58.181074555920866, 8.139250470488095 58.181045016065205, 8.138966239198693 58.18086780751074, 8.138917650039643 58.18082175196847, 8.1387997734757 58.18071002405161, 8.138771506471883 58.18068244757096, 8.138614377648064 58.180506398870946, 8.138584103189189 58.18043552580099)</t>
  </si>
  <si>
    <t>[1119359, 1119369, 1175078, 1175086, 1175094, 1175102, 1175110]</t>
  </si>
  <si>
    <t>[1058322, 1058330, 1107039, 1107043, 1107049, 1107053, 1106743]</t>
  </si>
  <si>
    <t>[1058190, 1058322, 1058330, 1107039, 1107043, 1107049, 1107053]</t>
  </si>
  <si>
    <t>[0.0, 0.038, 0.04, 0.022, 0.027, 0.026, 0.036]</t>
  </si>
  <si>
    <t>85.39960228469094</t>
  </si>
  <si>
    <t>[-0.064, -0.007]</t>
  </si>
  <si>
    <t>LINESTRING (8.10642579426476 58.17110809899177, 8.106522153694499 58.17116492541988, 8.106554304142064 58.17123929845197)</t>
  </si>
  <si>
    <t>[1119274, 1119281]</t>
  </si>
  <si>
    <t>[1058241, 1058249]</t>
  </si>
  <si>
    <t>[1058240, 1058241]</t>
  </si>
  <si>
    <t>[0.064, 0.007]</t>
  </si>
  <si>
    <t>17.02261838665077</t>
  </si>
  <si>
    <t>[-0.022, 0.027, -0.006, -0.107, -0.156, 0.072]</t>
  </si>
  <si>
    <t>LINESTRING (8.106999692655535 58.16975865453479, 8.107048033017072 58.16979772721819, 8.10725816225947 58.16998804285564, 8.107223229073542 58.17079505784995, 8.106838258843016 58.171031193226774, 8.106534072340756 58.17110045929509, 8.10642579426476 58.17110809899177)</t>
  </si>
  <si>
    <t>[1175134, 1175142, 1175150, 1119317, 1119330, 1119333]</t>
  </si>
  <si>
    <t>[1107072, 1107077, 1058281, 1058282, 1058295, 1058240]</t>
  </si>
  <si>
    <t>[1106798, 1107072, 1107077, 1058281, 1058282, 1058295]</t>
  </si>
  <si>
    <t>[0.022, 0.027, 0.006, 0.107, 0.156, 0.072]</t>
  </si>
  <si>
    <t>184.10577012900654</t>
  </si>
  <si>
    <t>[0.404, -0.014, -0.033, -0.105, -0.138, -0.123]</t>
  </si>
  <si>
    <t>LINESTRING (8.107198515501093 58.169703574886405, 8.107216249587688 58.169747537445154, 8.107324571953932 58.16997012874001, 8.107283192526547 58.17081198153862, 8.106869069274348 58.171082371391705, 8.106640664144823 58.17118764012494, 8.106554304142064 58.17123929845197)</t>
  </si>
  <si>
    <t>[1338857, 1338865, 1338879, 1119306, 1119307, 1119309]</t>
  </si>
  <si>
    <t>[1242448, 1242454, 1058270, 1058271, 1058272, 1058249]</t>
  </si>
  <si>
    <t>[1106784, 1242448, 1242454, 1058270, 1058271, 1058272]</t>
  </si>
  <si>
    <t>[0.404, 0.014, 0.033, 0.105, 0.138, 0.123]</t>
  </si>
  <si>
    <t>192.1860601557801</t>
  </si>
  <si>
    <t>[0.027, 0.006, 0.001, -0.026, 0.053]</t>
  </si>
  <si>
    <t>LINESTRING (8.086142107386555 58.16482103456509, 8.084893850894751 58.164462417556706, 8.084582840693423 58.16434555776395, 8.080914490339131 58.162198508624215, 8.077707144806137 58.161156594417136, 8.07521110895534 58.161068975939074)</t>
  </si>
  <si>
    <t>[1119881, 1119894, 1119895, 1119902, 1119903]</t>
  </si>
  <si>
    <t>[1058801, 1058815, 1058816, 1058822, 1058347]</t>
  </si>
  <si>
    <t>0.005887659379510065</t>
  </si>
  <si>
    <t>[1058793, 1058801, 1058815, 1058816, 1058822]</t>
  </si>
  <si>
    <t>[0.027, 0.006, 0.001, 0.026, 0.053]</t>
  </si>
  <si>
    <t>803.2701890604694</t>
  </si>
  <si>
    <t>[-0.089, -0.072]</t>
  </si>
  <si>
    <t>LINESTRING (8.073163019515754 58.16123346580304, 8.074704110803747 58.161106207774246, 8.07521110895534 58.161068975939074)</t>
  </si>
  <si>
    <t>[1336541, 1119385]</t>
  </si>
  <si>
    <t>[1058346, 1058347]</t>
  </si>
  <si>
    <t>[1105890, 1058346]</t>
  </si>
  <si>
    <t>[0.089, 0.072]</t>
  </si>
  <si>
    <t>122.21056757831764</t>
  </si>
  <si>
    <t>[-0.069, -0.107, -0.133]</t>
  </si>
  <si>
    <t>LINESTRING (8.121687242917798 58.18160055687403, 8.121382283827526 58.18175525040822, 8.120726863985155 58.181988589277054, 8.120630950069273 58.18199565916316)</t>
  </si>
  <si>
    <t>[1119400, 1119409, 1119417]</t>
  </si>
  <si>
    <t>[1058366, 1058377, 1058387]</t>
  </si>
  <si>
    <t>[1058365, 1058366, 1058377]</t>
  </si>
  <si>
    <t>[0.069, 0.107, 0.133]</t>
  </si>
  <si>
    <t>78.83000363573426</t>
  </si>
  <si>
    <t>[-0.053, -0.106, -0.149]</t>
  </si>
  <si>
    <t>LINESTRING (8.121687242917798 58.18160055687403, 8.121465906270391 58.18176316623757, 8.120795431500824 58.18208919554853, 8.120713793512445 58.182115087214676)</t>
  </si>
  <si>
    <t>[1119438, 1119439, 1119445]</t>
  </si>
  <si>
    <t>[1058410, 1058411, 1058417]</t>
  </si>
  <si>
    <t>[1058365, 1058410, 1058411]</t>
  </si>
  <si>
    <t>[0.053, 0.106, 0.149]</t>
  </si>
  <si>
    <t>82.30980424984698</t>
  </si>
  <si>
    <t>LINESTRING (8.146412393146125 58.1806554848461, 8.146952896430125 58.1806650085402, 8.147048683558108 58.18066374202975)</t>
  </si>
  <si>
    <t>[1119426, 1119427]</t>
  </si>
  <si>
    <t>[1058397, 1058398]</t>
  </si>
  <si>
    <t>0.00345152658319043</t>
  </si>
  <si>
    <t>[1058382, 1058397]</t>
  </si>
  <si>
    <t>37.514907319479406</t>
  </si>
  <si>
    <t>LINESTRING (8.146412393146125 58.1806554848461, 8.146903751915685 58.18075262563583, 8.146962631154006 58.18077330036279)</t>
  </si>
  <si>
    <t>[1119428, 1119435]</t>
  </si>
  <si>
    <t>[1058399, 1058407]</t>
  </si>
  <si>
    <t>[1058382, 1058399]</t>
  </si>
  <si>
    <t>35.15411647977442</t>
  </si>
  <si>
    <t>[0.041, 0.018, 0.008, 0.011, 0.006]</t>
  </si>
  <si>
    <t>4592.0</t>
  </si>
  <si>
    <t>LINESTRING (8.13903497855782 58.18030881312568, 8.14033400913261 58.1802598329652, 8.144711354461322 58.180452199705414, 8.145260824305746 58.18053451570532, 8.146322831757688 58.18064660741814, 8.146412393146125 58.1806554848461)</t>
  </si>
  <si>
    <t>[1337032, 1337053, 1119405, 1119413, 1119414]</t>
  </si>
  <si>
    <t>[1241064, 1058371, 1058372, 1058381, 1058382]</t>
  </si>
  <si>
    <t>0.02008021406726675</t>
  </si>
  <si>
    <t>[1107068, 1241064, 1058371, 1058372, 1058381]</t>
  </si>
  <si>
    <t>441.015222554056</t>
  </si>
  <si>
    <t>[0.04, -0.051]</t>
  </si>
  <si>
    <t>LINESTRING (8.120630950069273 58.18199565916316, 8.120709372464193 58.182048212815026, 8.120713793512445 58.182115087214676)</t>
  </si>
  <si>
    <t>[1119590, 1119603]</t>
  </si>
  <si>
    <t>[1058552, 1058417]</t>
  </si>
  <si>
    <t>[1058387, 1058552]</t>
  </si>
  <si>
    <t>[0.04, 0.051]</t>
  </si>
  <si>
    <t>14.930155457363082</t>
  </si>
  <si>
    <t>12.606621329078674</t>
  </si>
  <si>
    <t>[0.009, 0.006, -0.002, -0.008, -0.013, -0.018, -0.012]</t>
  </si>
  <si>
    <t>LINESTRING (8.147048683558108 58.18066374202975, 8.14714463412721 58.180630658852735, 8.14726489948523 58.18062277425304, 8.14736670291693 58.18063768165945, 8.147461193512495 58.18067682948213, 8.147513188954832 58.18073240909364, 8.147519593322436 58.18079007990421, 8.147461404586169 58.180862278794976)</t>
  </si>
  <si>
    <t>[1119546, 1119553, 1119579, 1119580, 1119583, 1119584, 1119593]</t>
  </si>
  <si>
    <t>[1058513, 1058519, 1058543, 1058258, 1058547, 1058207, 1058491]</t>
  </si>
  <si>
    <t>[1058398, 1058513, 1058519, 1058543, 1058258, 1058547, 1058207]</t>
  </si>
  <si>
    <t>[0.009, 0.006, 0.002, 0.008, 0.013, 0.018, 0.012]</t>
  </si>
  <si>
    <t>49.30997433829103</t>
  </si>
  <si>
    <t>LINESTRING (8.146962631154006 58.18077330036279, 8.146982990944172 58.180714487199964, 8.147048683558108 58.18066374202975)</t>
  </si>
  <si>
    <t>[1119537, 1119545]</t>
  </si>
  <si>
    <t>[1058508, 1058398]</t>
  </si>
  <si>
    <t>0.012493044222080023</t>
  </si>
  <si>
    <t>[1058407, 1058508]</t>
  </si>
  <si>
    <t>13.527898763873644</t>
  </si>
  <si>
    <t>[0.003, 0.001, -0.001, 0.004]</t>
  </si>
  <si>
    <t>LINESTRING (8.147461404586169 58.180862278794976, 8.147375831751754 58.18090044531403, 8.147270672784293 58.18091736255921, 8.147156325911395 58.18091095127043, 8.146962631154006 58.18077330036279)</t>
  </si>
  <si>
    <t>[1119520, 1119521, 1119522, 1119529]</t>
  </si>
  <si>
    <t>[1058032, 1058492, 1058362, 1058407]</t>
  </si>
  <si>
    <t>0.002500057920393436</t>
  </si>
  <si>
    <t>[1058491, 1058032, 1058492, 1058362]</t>
  </si>
  <si>
    <t>39.943796879843305</t>
  </si>
  <si>
    <t>[-0.117, -0.019, 0.046, 0.11]</t>
  </si>
  <si>
    <t>LINESTRING (8.120713793512445 58.182115087214676, 8.120388178791552 58.182168027293, 8.12032848517016 58.18212436312594, 8.120316328442074 58.18207089237136, 8.120424443813112 58.18198856730093)</t>
  </si>
  <si>
    <t>[1119534, 1119550, 1119558, 1119588]</t>
  </si>
  <si>
    <t>[1058507, 1058516, 1058523, 1058551]</t>
  </si>
  <si>
    <t>[1058417, 1058507, 1058516, 1058523]</t>
  </si>
  <si>
    <t>[0.117, 0.019, 0.046, 0.11]</t>
  </si>
  <si>
    <t>47.05176597632408</t>
  </si>
  <si>
    <t>[0.045, -0.022, -0.049]</t>
  </si>
  <si>
    <t>LINESTRING (8.120424443813112 58.18198856730093, 8.120411989269192 58.181963788904724, 8.115490125193437 58.17979573052673, 8.115188131363535 58.179586242982815)</t>
  </si>
  <si>
    <t>[1119656, 1119664, 1119646]</t>
  </si>
  <si>
    <t>[1058608, 1058600, 1058439]</t>
  </si>
  <si>
    <t>[1058551, 1058608, 1058600]</t>
  </si>
  <si>
    <t>[0.045, 0.022, 0.049]</t>
  </si>
  <si>
    <t>411.6250726454178</t>
  </si>
  <si>
    <t>[0.004, 0.007, 0.014, 0.02, 0.004]</t>
  </si>
  <si>
    <t>LINESTRING (8.147461404586169 58.180862278794976, 8.147501066404473 58.18088344848092, 8.149697689331482 58.182723093857874, 8.14975071734838 58.18277662855388, 8.150457075227688 58.18358925202705, 8.150550481437904 58.18380673888624)</t>
  </si>
  <si>
    <t>[1119698, 1119700, 1119708, 1119716, 1119693]</t>
  </si>
  <si>
    <t>[1058643, 1058646, 1058654, 1058639, 1058610]</t>
  </si>
  <si>
    <t>0.010329073225814523</t>
  </si>
  <si>
    <t>[1058491, 1058643, 1058646, 1058654, 1058639]</t>
  </si>
  <si>
    <t>378.8203468452785</t>
  </si>
  <si>
    <t>[-0.018, -0.018, -0.007, -0.006, -0.002, -0.01, -0.012, 0.006, 0.023]</t>
  </si>
  <si>
    <t>[0, 0, 0, 1, 0, 0, 0, 1, 0]</t>
  </si>
  <si>
    <t>LINESTRING (8.150550481437904 58.18380673888624, 8.149676244247983 58.18280289752966, 8.149621835764679 58.18275262227645, 8.14756247688111 58.181480928107824, 8.146904230454949 58.18123181682618, 8.146161115280167 58.181007209442, 8.144341942171653 58.180655611257016, 8.138900421110481 58.18072824593972, 8.138667088267407 58.18074372125097, 8.132474743787824 58.180771165670656)</t>
  </si>
  <si>
    <t>[1119666, 1119667, 1119674, 1119685, 1119690, 1118251, 1118267, 1118268, 1119681]</t>
  </si>
  <si>
    <t>[1058614, 1058615, 1058621, 1058632, 1057229, 1057230, 1057247, 1057248, 1058630]</t>
  </si>
  <si>
    <t>[1058610, 1058614, 1058615, 1058621, 1058632, 1057229, 1057230, 1057247, 1057248]</t>
  </si>
  <si>
    <t>[0.018, 0.018, 0.007, 0.006, 0.002, 0.01, 0.012, 0.006, 0.023]</t>
  </si>
  <si>
    <t>1232.1265522037806</t>
  </si>
  <si>
    <t>[-0.037, -0.031, -0.053]</t>
  </si>
  <si>
    <t>LINESTRING (8.132474743787824 58.180771165670656, 8.132908850610852 58.18074348724209, 8.138069818266395 58.18041587574103, 8.13814940267646 58.1803938902923)</t>
  </si>
  <si>
    <t>[1119717, 1119701, 1119709]</t>
  </si>
  <si>
    <t>[1058647, 1058648, 1058655]</t>
  </si>
  <si>
    <t>[1058630, 1058647, 1058648]</t>
  </si>
  <si>
    <t>[0.037, 0.031, 0.053]</t>
  </si>
  <si>
    <t>339.83438328873757</t>
  </si>
  <si>
    <t>[-0.036, -0.047, -0.04, -0.019, 0.013]</t>
  </si>
  <si>
    <t>LINESTRING (8.13814940267646 58.1803938902923, 8.138141339629355 58.18034636502491, 8.138171873896887 58.18029507661847, 8.138304671881816 58.18023593994776, 8.13845435288573 58.18023375235918, 8.138561450187472 58.180267379743135)</t>
  </si>
  <si>
    <t>[1174628, 1174636, 1174644, 1174652, 1174660]</t>
  </si>
  <si>
    <t>[1106704, 1106709, 1106713, 1106719, 1106725]</t>
  </si>
  <si>
    <t>[1058655, 1106704, 1106709, 1106713, 1106719]</t>
  </si>
  <si>
    <t>[0.036, 0.047, 0.04, 0.019, 0.013]</t>
  </si>
  <si>
    <t>37.72227768470235</t>
  </si>
  <si>
    <t>14.415394386589725</t>
  </si>
  <si>
    <t>[0.054, -0.001, 0.015, 0.019]</t>
  </si>
  <si>
    <t>LINESTRING (8.095949001958335 58.16596261826726, 8.095234674119665 58.16594068808843, 8.08965570668667 58.16544348769344, 8.089365294848173 58.16539363224489, 8.086142107386555 58.16482103456509)</t>
  </si>
  <si>
    <t>[1119793, 1119801, 1119873, 1119874]</t>
  </si>
  <si>
    <t>[1058725, 1058728, 1058792, 1058793]</t>
  </si>
  <si>
    <t>0.010113201446317855</t>
  </si>
  <si>
    <t>[1058716, 1058725, 1058728, 1058792]</t>
  </si>
  <si>
    <t>[0.054, 0.001, 0.015, 0.019]</t>
  </si>
  <si>
    <t>595.5555194325923</t>
  </si>
  <si>
    <t>[0.215, -0.017, 0.004, -0.213]</t>
  </si>
  <si>
    <t>LINESTRING (8.089402252464398 58.16474180875173, 8.08953550642732 58.16471950350158, 8.091273626607695 58.16543862754132, 8.095508872668521 58.165903872264444, 8.095949001958335 58.16596261826726)</t>
  </si>
  <si>
    <t>[1348168, 1348176, 1348184, 1838965]</t>
  </si>
  <si>
    <t>[1249117, 1249122, 1249124, 1058716]</t>
  </si>
  <si>
    <t>[1106844, 1249117, 1249122, 1249124]</t>
  </si>
  <si>
    <t>[0.215, 0.017, 0.004, 0.213]</t>
  </si>
  <si>
    <t>464.94176292443757</t>
  </si>
  <si>
    <t>[0.031, 0.043, 0.01, -0.038, 0.048, 0.058, 0.024, 0.08]</t>
  </si>
  <si>
    <t>LINESTRING (8.085662319790904 58.16482424429592, 8.084821809079106 58.164569637783444, 8.084519881835963 58.16445866109711, 8.080773602787415 58.16228312433099, 8.077406867518318 58.16123092271329, 8.075236311709897 58.16117830439689, 8.074737980083396 58.161216549694004, 8.07353595107233 58.16134313617319, 8.070237006829666 58.161507893475445)</t>
  </si>
  <si>
    <t>[1119836, 1119857, 1119858, 1119859, 1119868, 1119377, 1623883, 1623891]</t>
  </si>
  <si>
    <t>[1058763, 1058779, 1058780, 1058781, 1058337, 1058338, 1453430, 1105882]</t>
  </si>
  <si>
    <t>0.02095019000943288</t>
  </si>
  <si>
    <t>[1058758, 1058763, 1058779, 1058780, 1058781, 1058337, 1058338, 1453430]</t>
  </si>
  <si>
    <t>[0.031, 0.043, 0.01, 0.038, 0.048, 0.058, 0.024, 0.08]</t>
  </si>
  <si>
    <t>1068.4234040890376</t>
  </si>
  <si>
    <t>[-0.291, -0.039, 0.513]</t>
  </si>
  <si>
    <t>LINESTRING (8.090326555090531 58.16621332761597, 8.090255674603702 58.16615702677077, 8.086030694961295 58.16494820719616, 8.085662319790904 58.16482424429592)</t>
  </si>
  <si>
    <t>[1839213, 1839221, 1838949]</t>
  </si>
  <si>
    <t>[1612319, 1612176, 1058758]</t>
  </si>
  <si>
    <t>[1249021, 1612319, 1612176]</t>
  </si>
  <si>
    <t>[0.291, 0.039, 0.513]</t>
  </si>
  <si>
    <t>322.47624013895415</t>
  </si>
  <si>
    <t>[0.076, -0.008, -0.012, 0.009, -0.31]</t>
  </si>
  <si>
    <t>LINESTRING (8.086142107386555 58.16482103456509, 8.086575923330745 58.16487687522081, 8.086936745682479 58.16492841653211, 8.090132234051568 58.16538851482438, 8.089629882013078 58.16479609670947, 8.089540663757763 58.16484530838688)</t>
  </si>
  <si>
    <t>[1838957, 1348136, 1348144, 1348152, 1348160]</t>
  </si>
  <si>
    <t>[1249091, 1249092, 1249101, 1249108, 1106850]</t>
  </si>
  <si>
    <t>[1058793, 1249091, 1249092, 1249101, 1249108]</t>
  </si>
  <si>
    <t>[0.076, 0.008, 0.012, 0.009, 0.31]</t>
  </si>
  <si>
    <t>420.1350807440557</t>
  </si>
  <si>
    <t>[0.03, -0.03]</t>
  </si>
  <si>
    <t>LINESTRING (5.448122160341593 59.420042218665216, 5.447946567088033 59.42004325039774, 5.447784313342771 59.419998107024554)</t>
  </si>
  <si>
    <t>[1835446, 1835454]</t>
  </si>
  <si>
    <t>[1610303, 1058810]</t>
  </si>
  <si>
    <t>[1058799, 1610303]</t>
  </si>
  <si>
    <t>20.530121568991618</t>
  </si>
  <si>
    <t>[0.001, -0.014, -0.032, -0.069, -0.025]</t>
  </si>
  <si>
    <t>LINESTRING (5.446083862523387 59.42103069314618, 5.44696368143987 59.42074355311874, 5.447315903392508 59.420636968529635, 5.447886366559391 59.420308500548316, 5.448066182689152 59.42009403373682, 5.448122160341593 59.420042218665216)</t>
  </si>
  <si>
    <t>[1836006, 1836014, 1836022, 1836030, 1119878]</t>
  </si>
  <si>
    <t>[1610597, 1610601, 1610604, 1058798, 1058799]</t>
  </si>
  <si>
    <t>[1307366, 1610597, 1610601, 1610604, 1058798]</t>
  </si>
  <si>
    <t>[0.001, 0.014, 0.032, 0.069, 0.025]</t>
  </si>
  <si>
    <t>158.2911236961029</t>
  </si>
  <si>
    <t>[0.03, 0.012, -0.168]</t>
  </si>
  <si>
    <t>LINESTRING (5.448330641709394 59.41996412316494, 5.4482393342793145 59.42001371869575, 5.448167879250907 59.42003429241489, 5.448122160341593 59.420042218665216)</t>
  </si>
  <si>
    <t>[1835422, 1835430, 1835438]</t>
  </si>
  <si>
    <t>[1610289, 1610294, 1058799]</t>
  </si>
  <si>
    <t>[1610288, 1610289, 1610294]</t>
  </si>
  <si>
    <t>[0.03, 0.012, 0.168]</t>
  </si>
  <si>
    <t>15.025101363848862</t>
  </si>
  <si>
    <t>[-0.079, -0.063, -0.048, -0.018]</t>
  </si>
  <si>
    <t>LINESTRING (5.447784313342771 59.419998107024554, 5.447735264139902 59.419968446405804, 5.447674734686708 59.41986178268683, 5.447751632354687 59.419754913433515, 5.447885966646932 59.41970186774331)</t>
  </si>
  <si>
    <t>[1835462, 1835470, 1835478, 1835486]</t>
  </si>
  <si>
    <t>[1610314, 1610319, 1610324, 1610328]</t>
  </si>
  <si>
    <t>[1058810, 1610314, 1610319, 1610324]</t>
  </si>
  <si>
    <t>[0.079, 0.063, 0.048, 0.018]</t>
  </si>
  <si>
    <t>39.30494014925653</t>
  </si>
  <si>
    <t>19.571097158595233</t>
  </si>
  <si>
    <t>[-0.006, -0.008, 0.01, 0.043]</t>
  </si>
  <si>
    <t>LINESTRING (11.095559643614239 59.26006205035769, 11.09549005782785 59.260097800188, 11.095258805190465 59.26044720073089, 11.09885041164187 59.25819233188666, 11.098938243884932 59.25816168606717)</t>
  </si>
  <si>
    <t>[1119938, 1119946, 1119958, 1630697]</t>
  </si>
  <si>
    <t>[1058862, 1058872, 1058885, 1059028]</t>
  </si>
  <si>
    <t>0.008771419517588216</t>
  </si>
  <si>
    <t>[1058861, 1058862, 1058872, 1058885]</t>
  </si>
  <si>
    <t>[0.006, 0.008, 0.01, 0.043]</t>
  </si>
  <si>
    <t>516.6915948320113</t>
  </si>
  <si>
    <t>[-0.012, 0.033]</t>
  </si>
  <si>
    <t>LINESTRING (11.095756496281439 59.260023614159316, 11.095628126250082 59.26005661848005, 11.095559643614239 59.26006205035769)</t>
  </si>
  <si>
    <t>[1779154, 1779098]</t>
  </si>
  <si>
    <t>[1569260, 1058861]</t>
  </si>
  <si>
    <t>0.0026446355112137213</t>
  </si>
  <si>
    <t>[1569101, 1569260]</t>
  </si>
  <si>
    <t>12.149063541674618</t>
  </si>
  <si>
    <t>[0.0, 0.026, 0.028]</t>
  </si>
  <si>
    <t>LINESTRING (11.097459982039293 59.26017686166718, 11.097459982039293 59.26017686166718, 11.098338995627701 59.260288773079296, 11.098682094465135 59.26033000639124)</t>
  </si>
  <si>
    <t>[1119969, 1119988, 1119996]</t>
  </si>
  <si>
    <t>[1058900, 1058922, 1058933]</t>
  </si>
  <si>
    <t>0.01768372067973049</t>
  </si>
  <si>
    <t>[1058899, 1058900, 1058922]</t>
  </si>
  <si>
    <t>107.81619575899316</t>
  </si>
  <si>
    <t>[-0.014, -0.01]</t>
  </si>
  <si>
    <t>LINESTRING (11.097459982039293 59.26017686166718, 11.095821960323505 59.260022307947935, 11.095756496281439 59.260023614159316)</t>
  </si>
  <si>
    <t>[1778850, 1778858]</t>
  </si>
  <si>
    <t>[1569093, 1569101]</t>
  </si>
  <si>
    <t>[1058899, 1569093]</t>
  </si>
  <si>
    <t>[0.014, 0.01]</t>
  </si>
  <si>
    <t>63.050392120267496</t>
  </si>
  <si>
    <t>[-0.049, -0.015]</t>
  </si>
  <si>
    <t>LINESTRING (11.100434025011003 59.25663414944108, 11.099153616230783 59.25820014597436, 11.097051449717885 59.2622378471317)</t>
  </si>
  <si>
    <t>[1120039, 1120047]</t>
  </si>
  <si>
    <t>[1058977, 1058987]</t>
  </si>
  <si>
    <t>[1058976, 1058977]</t>
  </si>
  <si>
    <t>[0.049, 0.015]</t>
  </si>
  <si>
    <t>655.409285469736</t>
  </si>
  <si>
    <t>[-0.011, -0.007, 0.013, 0.017, -0.035, 0.004, 0.014, 0.014, 0.044, -0.0, -0.055, 0.017, -0.017, -0.032, 0.011, 0.005]</t>
  </si>
  <si>
    <t>29750.0</t>
  </si>
  <si>
    <t>[0, 0, 1, 0, 1, 0, 1, 0, 1, 0, 1, 1, 0, 1, 0, 0]</t>
  </si>
  <si>
    <t>LINESTRING (11.162647151987665 59.21590887657868, 11.162336589973746 59.216612847087326, 11.156676506794206 59.224607546051026, 11.1553335219826 59.2257211311779, 11.148319237922827 59.230067244264134, 11.146615528994177 59.2309935791502, 11.143636680547143 59.232736868522245, 11.14350165911496 59.23282775064241, 11.13541752376404 59.239337738199914, 11.135306900306533 59.23941742644572, 11.125987391396459 59.24378285540916, 11.124856793179456 59.24420530434907, 11.123930085575127 59.2445490486769, 11.11820166373712 59.24668664185903, 11.115167677133556 59.24781772700368, 11.100844201273961 59.25619874090353, 11.100434025011003 59.25663414944108)</t>
  </si>
  <si>
    <t>[1616361, 1616481, 1616521, 1616529, 1616537, 1616369, 1616377, 1616385, 1616393, 1616401, 1616409, 1630594, 1630595, 1630575, 1630583, 1630584]</t>
  </si>
  <si>
    <t>[1448947, 1449016, 1449035, 1449041, 1448954, 1448955, 1448959, 1448964, 1448968, 1448971, 1448974, 1458114, 1458094, 1458095, 1458103, 1058976]</t>
  </si>
  <si>
    <t>0.0018468720758956542</t>
  </si>
  <si>
    <t>[1448943, 1448947, 1449016, 1449035, 1449041, 1448954, 1448955, 1448959, 1448964, 1448968, 1448971, 1448974, 1458114, 1458094, 1458095, 1458103]</t>
  </si>
  <si>
    <t>[0.011, 0.007, 0.013, 0.017, 0.035, 0.004, 0.014, 0.014, 0.044, 0.0, 0.055, 0.017, 0.017, 0.032, 0.011, 0.005]</t>
  </si>
  <si>
    <t>5888.714223279201</t>
  </si>
  <si>
    <t>[-0.014, -0.026, -0.023, -0.039, -0.026, 0.029, 0.042]</t>
  </si>
  <si>
    <t>[0, 0, 0, 0, 1, 1, 1]</t>
  </si>
  <si>
    <t>LINESTRING (11.097051449717885 59.2622378471317, 11.096651568097364 59.26383178730313, 11.096640797060717 59.2638896398135, 11.09660153527256 59.264123088537985, 11.09652445340003 59.26466092639671, 11.095645615461855 59.27042206540671, 11.091505354878384 59.274416369421346, 11.088585951274872 59.27552113089068)</t>
  </si>
  <si>
    <t>[1120061, 1120067, 1120075, 1120123, 1120131, 1120164, 1120357]</t>
  </si>
  <si>
    <t>[1058999, 1059007, 1059017, 1059071, 1059084, 1059128, 1059210]</t>
  </si>
  <si>
    <t>0.0008371920041415227</t>
  </si>
  <si>
    <t>[1058987, 1058999, 1059007, 1059017, 1059071, 1059084, 1059128]</t>
  </si>
  <si>
    <t>[0.014, 0.026, 0.023, 0.039, 0.026, 0.029, 0.042]</t>
  </si>
  <si>
    <t>1641.2314462227766</t>
  </si>
  <si>
    <t>[-0.014, -0.011]</t>
  </si>
  <si>
    <t>LINESTRING (11.098938243884932 59.25816168606717, 11.096826617775903 59.26222290635679, 11.096421485757372 59.26382411432806)</t>
  </si>
  <si>
    <t>[1120091, 1120099]</t>
  </si>
  <si>
    <t>[1059036, 1059046]</t>
  </si>
  <si>
    <t>[1059028, 1059036]</t>
  </si>
  <si>
    <t>[0.014, 0.011]</t>
  </si>
  <si>
    <t>648.9066698698058</t>
  </si>
  <si>
    <t>[0.006, -0.011, -0.006, 0.013, 0.018, -0.037, 0.006, 0.018, 0.015, 0.044, -0.002, -0.067, 0.019, -0.017, -0.025, 0.01, 0.002, -0.048]</t>
  </si>
  <si>
    <t>[0, 0, 0, 1, 0, 1, 0, 1, 0, 1, 0, 1, 1, 0, 1, 0, 0, 0]</t>
  </si>
  <si>
    <t>LINESTRING (11.163002103619212 59.2145629497454, 11.16242241752555 59.21589762489723, 11.162118671399654 59.21658865303478, 11.156484738286686 59.22454586475543, 11.155125484604664 59.22566993425069, 11.148161351784482 59.229984979466536, 11.14644683620399 59.23091225035793, 11.14348334431624 59.23264910535891, 11.143340067530476 59.23274411142904, 11.135292864157025 59.23922228395897, 11.13518406291833 59.239302925303946, 11.125863909966188 59.243683429392455, 11.12470338808586 59.24411595281701, 11.12379079876682 59.24445283515514, 11.118063265143002 59.246592093796735, 11.115032055052088 59.24772271923344, 11.100638885328369 59.25614812480946, 11.100226866995177 59.256585805943715, 11.098938243884932 59.25816168606717)</t>
  </si>
  <si>
    <t>[1616289, 1616297, 1616473, 1616497, 1616505, 1616513, 1616425, 1616433, 1616441, 1616449, 1616457, 1616465, 1630610, 1630618, 1630568, 1630571, 1630572, 1120083]</t>
  </si>
  <si>
    <t>[1448905, 1448914, 1449011, 1449026, 1449031, 1448982, 1448983, 1448990, 1448994, 1448998, 1449001, 1449007, 1458132, 1458086, 1458087, 1458090, 1059027, 1059028]</t>
  </si>
  <si>
    <t>0.0004810024543267933</t>
  </si>
  <si>
    <t>[1448901, 1448905, 1448914, 1449011, 1449026, 1449031, 1448982, 1448983, 1448990, 1448994, 1448998, 1449001, 1449007, 1458132, 1458086, 1458087, 1458090, 1059027]</t>
  </si>
  <si>
    <t>[0.006, 0.011, 0.006, 0.013, 0.018, 0.037, 0.006, 0.018, 0.015, 0.044, 0.002, 0.067, 0.019, 0.017, 0.025, 0.01, 0.002, 0.048]</t>
  </si>
  <si>
    <t>6227.266905209961</t>
  </si>
  <si>
    <t>[-0.02, -0.017, -0.031, -0.027, 0.03]</t>
  </si>
  <si>
    <t>45820.0</t>
  </si>
  <si>
    <t>LINESTRING (11.096421485757372 59.26382411432806, 11.096410392057233 59.26388171440096, 11.096367359788157 59.26411403396524, 11.096278095544207 59.26465502112191, 11.095380911197012 59.27050476464099, 11.091355049645152 59.27431519669779)</t>
  </si>
  <si>
    <t>[1120107, 1120115, 1120140, 1120148, 1120172]</t>
  </si>
  <si>
    <t>[1059055, 1059061, 1059095, 1059108, 1059135]</t>
  </si>
  <si>
    <t>[1059046, 1059055, 1059061, 1059095, 1059108]</t>
  </si>
  <si>
    <t>[0.02, 0.017, 0.031, 0.027, 0.03]</t>
  </si>
  <si>
    <t>1243.0287904823072</t>
  </si>
  <si>
    <t>[0.028, 0.008, 0.006, 0.002]</t>
  </si>
  <si>
    <t>LINESTRING (11.096421485757372 59.26382411432806, 11.096368135137565 59.26378522070598, 11.095275200720293 59.26088566287588, 11.09525743034857 59.260071339465284, 11.09526058506948 59.2599875640662)</t>
  </si>
  <si>
    <t>[1630726, 1119963, 1779226, 1779234]</t>
  </si>
  <si>
    <t>[1058891, 1058892, 1569365, 1569267]</t>
  </si>
  <si>
    <t>0.007701332744108397</t>
  </si>
  <si>
    <t>[1059046, 1058891, 1058892, 1569365]</t>
  </si>
  <si>
    <t>458.3328596859246</t>
  </si>
  <si>
    <t>[0.039, -0.004, -0.007]</t>
  </si>
  <si>
    <t>LINESTRING (11.091355049645152 59.27431519669779, 11.088460779548926 59.27541190933254, 11.086077282218975 59.27640575929708, 11.083076500741123 59.27831821489272)</t>
  </si>
  <si>
    <t>[1120317, 1120325, 1120333]</t>
  </si>
  <si>
    <t>[1059275, 1059280, 1059253]</t>
  </si>
  <si>
    <t>0.008231876152003988</t>
  </si>
  <si>
    <t>[1059135, 1059275, 1059280]</t>
  </si>
  <si>
    <t>[0.039, 0.004, 0.007]</t>
  </si>
  <si>
    <t>654.8308593400828</t>
  </si>
  <si>
    <t>[0.014, -0.0, -0.026, -0.018, -0.12]</t>
  </si>
  <si>
    <t>LINESTRING (11.085128980561608 59.27573800042302, 11.085048729897272 59.275764371107456, 11.085689807746185 59.27642042793364, 11.08603498142929 59.27634294740146, 11.09125317643511 59.27431715076945, 11.091355049645152 59.27431519669779)</t>
  </si>
  <si>
    <t>[1120188, 1120196, 1120204, 1120212, 1120180]</t>
  </si>
  <si>
    <t>[1059153, 1059161, 1059170, 1059143, 1059135]</t>
  </si>
  <si>
    <t>[1059152, 1059153, 1059161, 1059170, 1059143]</t>
  </si>
  <si>
    <t>[0.014, 0.0, 0.026, 0.018, 0.12]</t>
  </si>
  <si>
    <t>520.7374204293791</t>
  </si>
  <si>
    <t>19.854621397302772</t>
  </si>
  <si>
    <t>9.340770846134703</t>
  </si>
  <si>
    <t>3.827531841715765</t>
  </si>
  <si>
    <t>[0.025, -0.006, 0.014, -0.01]</t>
  </si>
  <si>
    <t>LINESTRING (11.088585951274872 59.27552113089068, 11.088539230924475 59.27557722730295, 11.086202155648575 59.27658388487115, 11.086259431701876 59.27753369858319, 11.086413916750534 59.277534284715706)</t>
  </si>
  <si>
    <t>[1120245, 1120221, 1120229, 1120237]</t>
  </si>
  <si>
    <t>[1059187, 1059188, 1059195, 1059203]</t>
  </si>
  <si>
    <t>0.003230420809587423</t>
  </si>
  <si>
    <t>[1059210, 1059187, 1059188, 1059195]</t>
  </si>
  <si>
    <t>[0.025, 0.006, 0.014, 0.01]</t>
  </si>
  <si>
    <t>336.33122995213625</t>
  </si>
  <si>
    <t>[-0.089, 0.039]</t>
  </si>
  <si>
    <t>LINESTRING (11.086274013914478 59.27770091647663, 11.086277781792578 59.277603008685944, 11.086413916750534 59.277534284715706)</t>
  </si>
  <si>
    <t>[1690452, 1690460]</t>
  </si>
  <si>
    <t>[1513386, 1059203]</t>
  </si>
  <si>
    <t>[1059219, 1513386]</t>
  </si>
  <si>
    <t>[0.089, 0.039]</t>
  </si>
  <si>
    <t>22.206257870928738</t>
  </si>
  <si>
    <t>[-0.005, -0.004, -0.021]</t>
  </si>
  <si>
    <t>LINESTRING (11.088585951274872 59.27552113089068, 11.086167375981008 59.27653587268615, 11.083262322412471 59.278386375851525, 11.081667244177396 59.27994807227134)</t>
  </si>
  <si>
    <t>[1120365, 1120373, 1120381]</t>
  </si>
  <si>
    <t>[1059308, 1059315, 1059259]</t>
  </si>
  <si>
    <t>[1059210, 1059308, 1059315]</t>
  </si>
  <si>
    <t>[0.005, 0.004, 0.021]</t>
  </si>
  <si>
    <t>640.06580823882</t>
  </si>
  <si>
    <t>[-0.013, -0.019, -0.048]</t>
  </si>
  <si>
    <t>LINESTRING (11.086274013914478 59.27770091647663, 11.086205653394751 59.27767454014063, 11.081759103773397 59.27991878976045, 11.081667244177396 59.27994807227134)</t>
  </si>
  <si>
    <t>[1120253, 1120261, 1120301]</t>
  </si>
  <si>
    <t>[1059220, 1059227, 1059259]</t>
  </si>
  <si>
    <t>[1059219, 1059220, 1059227]</t>
  </si>
  <si>
    <t>[0.013, 0.019, 0.048]</t>
  </si>
  <si>
    <t>412.30096373606233</t>
  </si>
  <si>
    <t>[0.005, -0.021, -0.015, -0.019, -0.038, 0.088]</t>
  </si>
  <si>
    <t>LINESTRING (11.086712038337946 59.27756932901723, 11.086773519432423 59.27766108223968, 11.086582086976097 59.27778298313708, 11.086464279684504 59.277783932664875, 11.086373349269888 59.27776501334727, 11.086323095334171 59.2777437221466, 11.086274013914478 59.27770091647663)</t>
  </si>
  <si>
    <t>[1690404, 1690412, 1690420, 1690428, 1690436, 1690444]</t>
  </si>
  <si>
    <t>[1375643, 1513357, 1513365, 1513370, 1513376, 1059219]</t>
  </si>
  <si>
    <t>[1500485, 1375643, 1513357, 1513365, 1513370, 1513376]</t>
  </si>
  <si>
    <t>[0.005, 0.021, 0.015, 0.019, 0.038, 0.088]</t>
  </si>
  <si>
    <t>50.89838872553775</t>
  </si>
  <si>
    <t>[0.003, -0.012, -0.024, -0.004]</t>
  </si>
  <si>
    <t>LINESTRING (11.084878245126028 59.27562706235447, 11.084874024202223 59.275572094399394, 11.084930762591924 59.27550637553853, 11.085073481618828 59.27545673095861, 11.085430998104847 59.27560145053592)</t>
  </si>
  <si>
    <t>[1690380, 1690388, 1690396, 1690340]</t>
  </si>
  <si>
    <t>[1502683, 1513341, 1500449, 1500456]</t>
  </si>
  <si>
    <t>[1059242, 1502683, 1513341, 1500449]</t>
  </si>
  <si>
    <t>[0.003, 0.012, 0.024, 0.004]</t>
  </si>
  <si>
    <t>54.09575276336785</t>
  </si>
  <si>
    <t>[-0.02, 0.008, -0.009]</t>
  </si>
  <si>
    <t>LINESTRING (11.083076500741123 59.27831821489272, 11.083070707867861 59.27826517735785, 11.0848603979218 59.27569384436472, 11.084878245126028 59.27562706235447)</t>
  </si>
  <si>
    <t>[1120293, 1120269, 1120277]</t>
  </si>
  <si>
    <t>[1059233, 1059234, 1059242]</t>
  </si>
  <si>
    <t>0.007124922216851944</t>
  </si>
  <si>
    <t>[1059253, 1059233, 1059234]</t>
  </si>
  <si>
    <t>[0.02, 0.008, 0.009]</t>
  </si>
  <si>
    <t>335.28864973540163</t>
  </si>
  <si>
    <t>[-0.023, -0.009, 0.016]</t>
  </si>
  <si>
    <t>LINESTRING (11.083076500741123 59.27831821489272, 11.081455025576279 59.2799048349875, 11.081187004008697 59.280227592779745, 11.071951362808166 59.293407767419026)</t>
  </si>
  <si>
    <t>[1120341, 1120349, 1614793]</t>
  </si>
  <si>
    <t>[1059293, 1059296, 1448019]</t>
  </si>
  <si>
    <t>0.011152678715411568</t>
  </si>
  <si>
    <t>[1059253, 1059293, 1059296]</t>
  </si>
  <si>
    <t>[0.023, 0.009, 0.016]</t>
  </si>
  <si>
    <t>1807.8824026006164</t>
  </si>
  <si>
    <t>[-0.009, 0.015]</t>
  </si>
  <si>
    <t>LINESTRING (11.081667244177396 59.27994807227134, 11.081397608209512 59.28027235512375, 11.07214055514637 59.293472979106774)</t>
  </si>
  <si>
    <t>[1120389, 1614782]</t>
  </si>
  <si>
    <t>[1059329, 1448013]</t>
  </si>
  <si>
    <t>0.014415010219573718</t>
  </si>
  <si>
    <t>[1059259, 1059329]</t>
  </si>
  <si>
    <t>1611.0099701540523</t>
  </si>
  <si>
    <t>[-0.011, -0.007]</t>
  </si>
  <si>
    <t>LINESTRING (11.067195439623088 59.29611326417139, 11.066950864815244 59.29599826326524, 11.066879076239042 59.295953756844824)</t>
  </si>
  <si>
    <t>[1120437, 1120445]</t>
  </si>
  <si>
    <t>[1059382, 1059389]</t>
  </si>
  <si>
    <t>[1059381, 1059382]</t>
  </si>
  <si>
    <t>25.363029332724704</t>
  </si>
  <si>
    <t>[-0.106, 0.006]</t>
  </si>
  <si>
    <t>LINESTRING (11.067195439623088 59.29611326417139, 11.066858899545835 59.29606902378723, 11.066738846248292 59.296054928764555)</t>
  </si>
  <si>
    <t>[1614559, 1614575]</t>
  </si>
  <si>
    <t>[1447890, 1447896]</t>
  </si>
  <si>
    <t>[1059381, 1447890]</t>
  </si>
  <si>
    <t>[0.106, 0.006]</t>
  </si>
  <si>
    <t>26.82401994590417</t>
  </si>
  <si>
    <t>68.07898369520882</t>
  </si>
  <si>
    <t>[-0.233, -0.019]</t>
  </si>
  <si>
    <t>LINESTRING (11.066879076239042 59.295953756844824, 11.066837656298876 59.29601467288705, 11.066738846248292 59.296054928764555)</t>
  </si>
  <si>
    <t>[1614771, 1614781]</t>
  </si>
  <si>
    <t>[1448007, 1447896]</t>
  </si>
  <si>
    <t>[1059389, 1448007]</t>
  </si>
  <si>
    <t>[0.233, 0.019]</t>
  </si>
  <si>
    <t>14.385869624836559</t>
  </si>
  <si>
    <t>14.39195532530804</t>
  </si>
  <si>
    <t>[-0.032, -0.036, -0.019, -0.007, -0.039]</t>
  </si>
  <si>
    <t>29631.0</t>
  </si>
  <si>
    <t>LINESTRING (10.785388561276367 59.72804894816658, 10.784076558901253 59.73184714328889, 10.78335268353037 59.733655016225, 10.782476893113556 59.736165921605874, 10.782451803688712 59.73627965919369, 10.782259279497264 59.73745829524308)</t>
  </si>
  <si>
    <t>[1120571, 1120579, 1120587, 1120601, 1131393]</t>
  </si>
  <si>
    <t>[1059385, 1059378, 1059527, 1059545, 1068920]</t>
  </si>
  <si>
    <t>[1059392, 1059385, 1059378, 1059527, 1059545]</t>
  </si>
  <si>
    <t>[0.032, 0.036, 0.019, 0.007, 0.039]</t>
  </si>
  <si>
    <t>1064.1823412104843</t>
  </si>
  <si>
    <t>LINESTRING (10.785526307092875 59.72289643996674, 10.78549993051496 59.72763901189758, 10.785388561276367 59.72804894816658)</t>
  </si>
  <si>
    <t>[1120555, 1120563]</t>
  </si>
  <si>
    <t>[1059499, 1059392]</t>
  </si>
  <si>
    <t>[1059408, 1059499]</t>
  </si>
  <si>
    <t>575.241342878503</t>
  </si>
  <si>
    <t>[0.021, -0.031, 0.032]</t>
  </si>
  <si>
    <t>LINESTRING (10.787580050126158 59.724380605578325, 10.787554826147266 59.72444036275015, 10.785471737819677 59.727972063450615, 10.785388561276367 59.72804894816658)</t>
  </si>
  <si>
    <t>[1503781, 1503790, 1120448]</t>
  </si>
  <si>
    <t>[1359924, 1059391, 1059392]</t>
  </si>
  <si>
    <t>[1359923, 1359924, 1059391]</t>
  </si>
  <si>
    <t>[0.021, 0.031, 0.032]</t>
  </si>
  <si>
    <t>448.56988759000035</t>
  </si>
  <si>
    <t>[-0.0, 0.068]</t>
  </si>
  <si>
    <t>LINESTRING (11.068848670917179 59.296428086909344, 11.068681820914042 59.296426972994425, 11.068260387508252 59.29638936767693)</t>
  </si>
  <si>
    <t>[1614582, 1614583]</t>
  </si>
  <si>
    <t>[1447903, 1059395]</t>
  </si>
  <si>
    <t>0.04891899033559004</t>
  </si>
  <si>
    <t>[1447902, 1447903]</t>
  </si>
  <si>
    <t>[0.0, 0.068]</t>
  </si>
  <si>
    <t>33.891451144400904</t>
  </si>
  <si>
    <t>[0.021, 0.077]</t>
  </si>
  <si>
    <t>LINESTRING (11.068715244152811 59.296562757840505, 11.06863044509497 59.29652996927005, 11.068260387508252 59.29638936767693)</t>
  </si>
  <si>
    <t>[1614595, 1614605]</t>
  </si>
  <si>
    <t>[1447910, 1059395]</t>
  </si>
  <si>
    <t>0.0665062872191917</t>
  </si>
  <si>
    <t>[1447909, 1447910]</t>
  </si>
  <si>
    <t>32.33101670708733</t>
  </si>
  <si>
    <t>[-0.004, -0.032, -0.039, -0.014, -0.025, -0.037]</t>
  </si>
  <si>
    <t>LINESTRING (10.785378056156471 59.72764106555283, 10.785289999299291 59.72805237140353, 10.783980264487463 59.73184449739472, 10.783250835794567 59.733651597918005, 10.782372085103079 59.73616162531749, 10.782347337318557 59.73628691013733, 10.782527261829873 59.73912613687644)</t>
  </si>
  <si>
    <t>[1120491, 1120497, 1120498, 1120512, 1120520, 1130831]</t>
  </si>
  <si>
    <t>[1059440, 1059448, 1059449, 1059460, 1059469, 1068661]</t>
  </si>
  <si>
    <t>[1059398, 1059440, 1059448, 1059449, 1059460, 1059469]</t>
  </si>
  <si>
    <t>[0.004, 0.032, 0.039, 0.014, 0.025, 0.037]</t>
  </si>
  <si>
    <t>1298.2063250777223</t>
  </si>
  <si>
    <t>LINESTRING (10.785260894536222 59.72194613597496, 10.785428000195154 59.722898666307614, 10.785378056156471 59.72764106555283)</t>
  </si>
  <si>
    <t>[1120481, 1120482]</t>
  </si>
  <si>
    <t>[1059429, 1059398]</t>
  </si>
  <si>
    <t>[1059419, 1059429]</t>
  </si>
  <si>
    <t>635.7849995945417</t>
  </si>
  <si>
    <t>[-0.033, 0.001, -0.008]</t>
  </si>
  <si>
    <t>LINESTRING (10.785526307092875 59.72289643996674, 10.785567317812308 59.72299682770125, 10.78731643966878 59.72445212655368, 10.787301867687 59.72439819432362)</t>
  </si>
  <si>
    <t>[1120464, 1503726, 1503734]</t>
  </si>
  <si>
    <t>[1059409, 1359881, 1359887]</t>
  </si>
  <si>
    <t>[1059408, 1059409, 1359881]</t>
  </si>
  <si>
    <t>[0.033, 0.001, 0.008]</t>
  </si>
  <si>
    <t>351.28169257841347</t>
  </si>
  <si>
    <t>[-0.002, 0.0, 0.0, 0.0, 0.0, 0.009, -0.001, 0.002, -0.01, -0.023, -0.017, -0.023]</t>
  </si>
  <si>
    <t>LINESTRING (10.783948239795004 59.71808056129167, 10.784221365569541 59.718636645914245, 10.784222355433698 59.71863896161488, 10.784223958038234 59.71864277164398, 10.784224749347329 59.71864468532883, 10.784239439694293 59.71867954165184, 10.784242013311244 59.71868567576653, 10.784275550359876 59.718765349891015, 10.784838670683644 59.72013351978766, 10.784840318541718 59.72013796067424, 10.785300448027979 59.72171559436435, 10.78536208157774 59.72194377760175, 10.785526307092875 59.72289643996674)</t>
  </si>
  <si>
    <t>[1552247, 1552255, 1552263, 1552271, 1552279, 1552287, 1552295, 1552311, 1552319, 1552327, 1120528, 1120536]</t>
  </si>
  <si>
    <t>[1401129, 1401135, 1401142, 1401150, 1401156, 1401162, 1401170, 1401183, 1401189, 1059475, 1059476, 1059408]</t>
  </si>
  <si>
    <t>[1389205, 1401129, 1401135, 1401142, 1401150, 1401156, 1401162, 1401170, 1401183, 1401189, 1059475, 1059476]</t>
  </si>
  <si>
    <t>[0.002, 0.0, 0.0, 0.0, 0.0, 0.009, 0.001, 0.002, 0.01, 0.023, 0.017, 0.023]</t>
  </si>
  <si>
    <t>545.3238602606265</t>
  </si>
  <si>
    <t>[0.0, -0.021, 0.0, 0.016, 0.001, 0.0, 0.0, 0.001, -0.024, -0.016]</t>
  </si>
  <si>
    <t>LINESTRING (10.783948239795004 59.71808056129167, 10.784214135279507 59.71888400692319, 10.784215517420858 59.71888730633236, 10.784217807884339 59.71889272100437, 10.784218943122962 59.71889543701069, 10.784239752646261 59.71894502055017, 10.78424342526381 59.71895373463074, 10.784290989903495 59.71906702988027, 10.784729750668419 59.72023656002901, 10.785222889428052 59.72172612126828, 10.785260894536222 59.72194613597496)</t>
  </si>
  <si>
    <t>[1542268, 1542276, 1542284, 1542292, 1542300, 1542308, 1542316, 1542324, 1542332, 1120480]</t>
  </si>
  <si>
    <t>[1393294, 1393301, 1393311, 1393319, 1393325, 1393333, 1393340, 1393348, 1059428, 1059419]</t>
  </si>
  <si>
    <t>[1389205, 1393294, 1393301, 1393311, 1393319, 1393325, 1393333, 1393340, 1393348, 1059428]</t>
  </si>
  <si>
    <t>[0.0, 0.021, 0.0, 0.016, 0.001, 0.0, 0.0, 0.001, 0.024, 0.016]</t>
  </si>
  <si>
    <t>437.48513344441375</t>
  </si>
  <si>
    <t>14.48683741214812</t>
  </si>
  <si>
    <t>[0.058, 0.032]</t>
  </si>
  <si>
    <t>LINESTRING (8.546611895570624 58.32534175816258, 8.546535322681613 58.32528928569043, 8.546508832293746 58.32522717152466)</t>
  </si>
  <si>
    <t>[1120648, 1120656]</t>
  </si>
  <si>
    <t>[1059590, 1059506]</t>
  </si>
  <si>
    <t>0.045249719045876755</t>
  </si>
  <si>
    <t>[1059578, 1059590]</t>
  </si>
  <si>
    <t>14.478188447151105</t>
  </si>
  <si>
    <t>[-0.047, 1.765]</t>
  </si>
  <si>
    <t>LINESTRING (8.546189212653953 58.325355102570235, 8.546436760018105 58.325259767198645, 8.546508832293746 58.32522717152466)</t>
  </si>
  <si>
    <t>[1629846, 1629862]</t>
  </si>
  <si>
    <t>[1457468, 1059506]</t>
  </si>
  <si>
    <t>0.38158613689466775</t>
  </si>
  <si>
    <t>[1457447, 1457468]</t>
  </si>
  <si>
    <t>[0.047, 1.765]</t>
  </si>
  <si>
    <t>23.577597502763194</t>
  </si>
  <si>
    <t>[-0.069, -0.073, -0.076, -0.033, 0.024, 0.067, 0.087]</t>
  </si>
  <si>
    <t>LINESTRING (8.546612278216056 58.325112666442124, 8.546775497020159 58.325079561226474, 8.546913443896779 58.325094365215854, 8.54702046606585 58.32514249756022, 8.547054192781264 58.32527717195352, 8.546975288560933 58.32533821847104, 8.546889167312104 58.32536543716586, 8.546725726444782 58.32537102285931)</t>
  </si>
  <si>
    <t>[1120572, 1120580, 1120588, 1120604, 1120612, 1120619, 1120627]</t>
  </si>
  <si>
    <t>[1059436, 1059520, 1059485, 1059548, 1059557, 1059565, 1059571]</t>
  </si>
  <si>
    <t>[1059507, 1059436, 1059520, 1059485, 1059548, 1059557, 1059565]</t>
  </si>
  <si>
    <t>[0.069, 0.073, 0.076, 0.033, 0.024, 0.067, 0.087]</t>
  </si>
  <si>
    <t>66.12423723875415</t>
  </si>
  <si>
    <t>[-0.01, -0.004, 0.011, -0.0, -0.075]</t>
  </si>
  <si>
    <t>LINESTRING (8.541568494130924 58.32229159018717, 8.541885417678822 58.32245350947626, 8.542448273686684 58.32281250662965, 8.542516984572812 58.32285895388827, 8.546519212116682 58.3251149611106, 8.546612278216056 58.325112666442124)</t>
  </si>
  <si>
    <t>[1146930, 1146938, 1146946, 1146954, 1146962]</t>
  </si>
  <si>
    <t>[1082637, 1082645, 1082651, 1082658, 1059507]</t>
  </si>
  <si>
    <t>[1082487, 1082637, 1082645, 1082651, 1082658]</t>
  </si>
  <si>
    <t>[0.01, 0.004, 0.011, 0.0, 0.075]</t>
  </si>
  <si>
    <t>437.00617415559594</t>
  </si>
  <si>
    <t>0.091</t>
  </si>
  <si>
    <t>7.43386857570365</t>
  </si>
  <si>
    <t>[0.037, -0.008, 0.001, -0.004, -0.003]</t>
  </si>
  <si>
    <t>LINESTRING (8.546725726444782 58.32537102285931, 8.546694556120823 58.325404005595466, 8.546665753474835 58.328201366640435, 8.54666312500778 58.32825399863228, 8.546645568048323 58.32857823911587, 8.546509604415242 58.32902914402866)</t>
  </si>
  <si>
    <t>[1120664, 1120680, 1120686, 1120693, 1120701]</t>
  </si>
  <si>
    <t>[1059604, 1059618, 1059623, 1059629, 1059637]</t>
  </si>
  <si>
    <t>[1059571, 1059604, 1059618, 1059623, 1059629]</t>
  </si>
  <si>
    <t>[0.037, 0.008, 0.001, 0.004, 0.003]</t>
  </si>
  <si>
    <t>411.6389593315449</t>
  </si>
  <si>
    <t>[-0.042, 1.65]</t>
  </si>
  <si>
    <t>LINESTRING (8.546189212653953 58.325355102570235, 8.546517542669223 58.32534153768246, 8.546611895570624 58.32534175816258)</t>
  </si>
  <si>
    <t>[1629830, 1629838]</t>
  </si>
  <si>
    <t>[1457458, 1059578]</t>
  </si>
  <si>
    <t>0.3347964336644817</t>
  </si>
  <si>
    <t>[1457447, 1457458]</t>
  </si>
  <si>
    <t>[0.042, 1.65]</t>
  </si>
  <si>
    <t>24.86011779294045</t>
  </si>
  <si>
    <t>[0.011, 0.006, 0.007, 0.007, 0.027, 0.029, -0.013, -0.003, 0.002]</t>
  </si>
  <si>
    <t>[0, 0, 1, 0, 0, 0, 0, 1, 0]</t>
  </si>
  <si>
    <t>LINESTRING (8.546509604415242 58.32902914402866, 8.546510529965913 58.329020624900274, 8.546569530094065 58.32825679825506, 8.546570793047616 58.328209663658896, 8.546570195800063 58.32808801607981, 8.545615505471655 58.32551050779075, 8.545569075351997 58.32544798694232, 8.54244017866744 58.322882155867845, 8.542371467842175 58.32283570856896, 8.541568494130924 58.32229159018717)</t>
  </si>
  <si>
    <t>[1120847, 1120855, 1120867, 1146738, 1146746, 1146754, 1146762, 1146770, 1146778]</t>
  </si>
  <si>
    <t>[1059770, 1059774, 1059792, 1082444, 1082454, 1082463, 1082471, 1082479, 1082487]</t>
  </si>
  <si>
    <t>0.005430169230187652</t>
  </si>
  <si>
    <t>[1059637, 1059770, 1059774, 1059792, 1082444, 1082454, 1082463, 1082471, 1082479]</t>
  </si>
  <si>
    <t>[0.011, 0.006, 0.007, 0.007, 0.027, 0.029, 0.013, 0.003, 0.002]</t>
  </si>
  <si>
    <t>831.7209569280075</t>
  </si>
  <si>
    <t>[0.008, 0.017, 0.023, -0.004]</t>
  </si>
  <si>
    <t>18849.0</t>
  </si>
  <si>
    <t>LINESTRING (8.564118783658776 58.340463353355375, 8.559693607072173 58.33857081538461, 8.556430706757821 58.337168842315336, 8.55624870891184 58.33708695284271, 8.546509604415242 58.32902914402866)</t>
  </si>
  <si>
    <t>[1120810, 1120822, 1120823, 1120839]</t>
  </si>
  <si>
    <t>[1059737, 1059749, 1059750, 1059637]</t>
  </si>
  <si>
    <t>0.0016209458215350342</t>
  </si>
  <si>
    <t>[1059736, 1059737, 1059749, 1059750]</t>
  </si>
  <si>
    <t>[0.008, 0.017, 0.023, 0.004]</t>
  </si>
  <si>
    <t>1705.2124120616877</t>
  </si>
  <si>
    <t>[0.007, 0.01, 0.017, 0.022, -0.003, 0.01, 0.012, 0.011]</t>
  </si>
  <si>
    <t>LINESTRING (8.564044060255132 58.34051498400644, 8.562706985807077 58.33996395084611, 8.559598412614127 58.33864560266189, 8.55637373528131 58.33726125924936, 8.556172403227567 58.337170826144224, 8.546341869650245 58.3290227307025, 8.54639919186614 58.328255648459624, 8.546399902495075 58.32820928754283, 8.546401936307683 58.328087394873904)</t>
  </si>
  <si>
    <t>[1120709, 1120725, 1120739, 1120755, 1120756, 1120764, 1120772, 1146665]</t>
  </si>
  <si>
    <t>[1059645, 1059660, 1059672, 1059683, 1059684, 1059690, 1059697, 1082364]</t>
  </si>
  <si>
    <t>0.002877728381107852</t>
  </si>
  <si>
    <t>[1059644, 1059645, 1059660, 1059672, 1059683, 1059684, 1059690, 1059697]</t>
  </si>
  <si>
    <t>[0.007, 0.01, 0.017, 0.022, 0.003, 0.01, 0.012, 0.011]</t>
  </si>
  <si>
    <t>1819.345085655103</t>
  </si>
  <si>
    <t>[0.006, 0.004, 0.001, 0.001, 0.123, 0.005]</t>
  </si>
  <si>
    <t>LINESTRING (8.56932798602575 58.34241211969472, 8.569173073237375 58.34236268261403, 8.56615938441573 58.34131229715515, 8.565711544014185 58.34114175834069, 8.565660376204319 58.3411210350554, 8.565543765688709 58.34107380580421, 8.564044060255132 58.34051498400644)</t>
  </si>
  <si>
    <t>[2133652, 2133660, 2133668, 2133676, 2133684, 1120780]</t>
  </si>
  <si>
    <t>[1834999, 1835003, 1835005, 1835010, 1059704, 1059644]</t>
  </si>
  <si>
    <t>0.006790916214674021</t>
  </si>
  <si>
    <t>[1834993, 1834999, 1835003, 1835005, 1835010, 1059704]</t>
  </si>
  <si>
    <t>375.401288791698</t>
  </si>
  <si>
    <t>[0.001, -0.007, 0.0, -0.028, -0.002, 0.003, 0.005]</t>
  </si>
  <si>
    <t>LINESTRING (8.564118783658776 58.340463353355375, 8.564485397562803 58.34057751959517, 8.565766652758843 58.34107793171274, 8.565780529478456 58.3410830817114, 8.566307767009004 58.341281100375795, 8.566804661779727 58.341423533154895, 8.567723302344552 58.341164916631605, 8.567751351832289 58.341098507863634)</t>
  </si>
  <si>
    <t>[1120912, 1120882, 1120890, 1225627, 1225632, 1225633, 1225635]</t>
  </si>
  <si>
    <t>[1059808, 1059809, 1059816, 1148450, 1148452, 1148453, 1148454]</t>
  </si>
  <si>
    <t>[1059736, 1059808, 1059809, 1059816, 1148450, 1148452, 1148453]</t>
  </si>
  <si>
    <t>[0.001, 0.007, 0.0, 0.028, 0.002, 0.003, 0.005]</t>
  </si>
  <si>
    <t>267.6712643027455</t>
  </si>
  <si>
    <t>[0.023, 0.025, 0.012, 0.004, 0.001, 0.001, 0.115, 0.005]</t>
  </si>
  <si>
    <t>[0, 0, 0, 0, 1, 1, 1, 0]</t>
  </si>
  <si>
    <t>LINESTRING (8.570937397963565 58.34283503945394, 8.569851900703586 58.34252020730245, 8.569378578103027 58.342373022682956, 8.569223608661718 58.34232370890334, 8.566248730239112 58.34129344194747, 8.565754772617465 58.341109136500926, 8.565695803929106 58.34108732591737, 8.565561385500962 58.34103762153748, 8.564118783658776 58.340463353355375)</t>
  </si>
  <si>
    <t>[2133748, 2133756, 2133764, 2133772, 2133780, 2133788, 2133796, 1120809]</t>
  </si>
  <si>
    <t>[1835052, 1835057, 1835062, 1835063, 1835070, 1835075, 1059735, 1059736]</t>
  </si>
  <si>
    <t>0.010666783315298474</t>
  </si>
  <si>
    <t>[1835047, 1835052, 1835057, 1835062, 1835063, 1835070, 1835075, 1059735]</t>
  </si>
  <si>
    <t>480.014380487963</t>
  </si>
  <si>
    <t>[0.0, 0.009, 0.009, 0.006]</t>
  </si>
  <si>
    <t>LINESTRING (8.397731490868127 58.27076148874662, 8.392840269891346 58.26820745268308, 8.392713732616272 58.26814146332725, 8.390870313218288 58.267178784598094, 8.390619979453488 58.26704804272578)</t>
  </si>
  <si>
    <t>[1123994, 1124009, 1124072, 1124080]</t>
  </si>
  <si>
    <t>[1062669, 1062683, 1062736, 1062746]</t>
  </si>
  <si>
    <t>0.002704374264320663</t>
  </si>
  <si>
    <t>[1062663, 1062669, 1062683, 1062736]</t>
  </si>
  <si>
    <t>588.4420163319488</t>
  </si>
  <si>
    <t>LINESTRING (8.397731490868127 58.27076148874662, 8.397184906895102 58.27053495726958, 8.39314973682121 58.26939568666165)</t>
  </si>
  <si>
    <t>[1124062, 1126066]</t>
  </si>
  <si>
    <t>[1062725, 1062794]</t>
  </si>
  <si>
    <t>0.021595135531393563</t>
  </si>
  <si>
    <t>[1062663, 1062725]</t>
  </si>
  <si>
    <t>320.0083901755992</t>
  </si>
  <si>
    <t>[-0.008, -0.122, -0.152, -0.048, 0.03, 0.01, 0.04, 0.043, 0.012, -0.009, -0.051, -0.053, 0.003, 0.06, 0.041, -0.003, -0.123, 0.053]</t>
  </si>
  <si>
    <t>17149.0</t>
  </si>
  <si>
    <t>[0, 0, 0, 1, 1, 0, 0, 0, 1, 0, 1, 0, 1, 0, 0, 0, 1, 0]</t>
  </si>
  <si>
    <t>LINESTRING (8.466168818561803 58.29761855618143, 8.453978962650545 58.296636747701655, 8.447818011002642 58.296967830455834, 8.446649826803585 58.29701393809362, 8.444566369319748 58.29698937748353, 8.4423883720231 58.296803946764584, 8.438851664550429 58.2961202240599, 8.43873311035226 58.29608746966454, 8.430903099730578 58.29115498407648, 8.430846714106428 58.291085657152536, 8.421509187443338 58.284107174858725, 8.421123711647851 58.28392237703163, 8.417707813059097 58.282286986510435, 8.416090165747764 58.281512469918134, 8.41466797690393 58.28085226830439, 8.411638066183313 58.27922567105759, 8.404900826261034 58.274597657871205, 8.404482026003054 58.27434906247271, 8.397731490868127 58.27076148874662)</t>
  </si>
  <si>
    <t>[1364106, 1364114, 1364122, 1364130, 1364138, 1617117, 1617125, 1617133, 1617141, 1617149, 1123240, 1123242, 1123243, 1123244, 1123260, 1123268, 1123276, 1123986]</t>
  </si>
  <si>
    <t>[1259477, 1259486, 1259496, 1259505, 1259515, 1449347, 1449354, 1449362, 1449368, 1061986, 1061987, 1061989, 1061990, 1061991, 1062003, 1062011, 1062017, 1062663]</t>
  </si>
  <si>
    <t>[1259467, 1259477, 1259486, 1259496, 1259505, 1259515, 1449347, 1449354, 1449362, 1449368, 1061986, 1061987, 1061989, 1061990, 1061991, 1062003, 1062011, 1062017]</t>
  </si>
  <si>
    <t>[0.008, 0.122, 0.152, 0.048, 0.03, 0.01, 0.04, 0.043, 0.012, 0.009, 0.051, 0.053, 0.003, 0.06, 0.041, 0.003, 0.123, 0.053]</t>
  </si>
  <si>
    <t>5394.574055382069</t>
  </si>
  <si>
    <t>[0.002, 0.007, 0.011]</t>
  </si>
  <si>
    <t>LINESTRING (8.344145152749956 58.26748520323167, 8.343501406345768 58.26739304881257, 8.342602764914696 58.26721849473225, 8.339404318185844 58.26728206225832)</t>
  </si>
  <si>
    <t>[1124003, 1124419, 1124427]</t>
  </si>
  <si>
    <t>[1062679, 1063022, 1063028]</t>
  </si>
  <si>
    <t>0.009048608252472166</t>
  </si>
  <si>
    <t>[1062678, 1062679, 1063022]</t>
  </si>
  <si>
    <t>296.22982918419206</t>
  </si>
  <si>
    <t>[0.001, 0.007, 0.017, 0.071, 0.123]</t>
  </si>
  <si>
    <t>LINESTRING (8.344145152749956 58.26748520323167, 8.343521777988538 58.26736713237669, 8.34262313709611 58.267192578450945, 8.338202187183446 58.26611537359038, 8.337955747599912 58.26604152709387, 8.335841157322834 58.26538791107338)</t>
  </si>
  <si>
    <t>[1124173, 1124347, 1124355, 1124363, 1124371]</t>
  </si>
  <si>
    <t>[1062846, 1062968, 1062973, 1062978, 1062985]</t>
  </si>
  <si>
    <t>0.044630128490945</t>
  </si>
  <si>
    <t>[1062678, 1062846, 1062968, 1062973, 1062978]</t>
  </si>
  <si>
    <t>542.4770859787285</t>
  </si>
  <si>
    <t>[-0.009, -0.037, 0.008, 0.012, -0.063, -0.032, -0.024, -0.041, -0.004]</t>
  </si>
  <si>
    <t>16141.0</t>
  </si>
  <si>
    <t>LINESTRING (8.390619979453488 58.26704804272578, 8.373500472797632 58.266634193974994, 8.373394153886148 58.26666026103951, 8.370210436513334 58.26739909837249, 8.367616025967965 58.26785463248103, 8.366637454179626 58.26798781003398, 8.365309403054098 58.268149905782316, 8.358814601757476 58.2686008137763, 8.358711935504674 58.26860361861295, 8.344145152749956 58.26748520323167)</t>
  </si>
  <si>
    <t>[1124088, 1124146, 1124152, 1124158, 1124159, 1124162, 1124164, 1124165, 1124172]</t>
  </si>
  <si>
    <t>[1062757, 1062817, 1062826, 1062832, 1062833, 1062836, 1062838, 1062839, 1062678]</t>
  </si>
  <si>
    <t>[1062746, 1062757, 1062817, 1062826, 1062832, 1062833, 1062836, 1062838, 1062839]</t>
  </si>
  <si>
    <t>[0.009, 0.037, 0.008, 0.012, 0.063, 0.032, 0.024, 0.041, 0.004]</t>
  </si>
  <si>
    <t>2886.3974532188695</t>
  </si>
  <si>
    <t>LINESTRING (8.337665785455076 58.26709060363213, 8.33724007510139 58.267039542369695, 8.337150389205972 58.267034351535784)</t>
  </si>
  <si>
    <t>[1124011, 1124019]</t>
  </si>
  <si>
    <t>[1062686, 1062692]</t>
  </si>
  <si>
    <t>0.04851378754028878</t>
  </si>
  <si>
    <t>[1062685, 1062686]</t>
  </si>
  <si>
    <t>30.96582609960865</t>
  </si>
  <si>
    <t>[0.05, 0.051]</t>
  </si>
  <si>
    <t>LINESTRING (8.337665785455076 58.26709060363213, 8.337303398622119 58.266953595923155, 8.337243968858067 58.2669298449047)</t>
  </si>
  <si>
    <t>[1124056, 1124077]</t>
  </si>
  <si>
    <t>[1062720, 1062743]</t>
  </si>
  <si>
    <t>0.05014327469210622</t>
  </si>
  <si>
    <t>[1062685, 1062720]</t>
  </si>
  <si>
    <t>30.600052891176922</t>
  </si>
  <si>
    <t>104.62935898801071</t>
  </si>
  <si>
    <t>[0.04, 0.059, 0.04, 0.026, 0.011, -0.016, -0.048]</t>
  </si>
  <si>
    <t>LINESTRING (8.337150389205972 58.267034351535784, 8.33676887751976 58.26703659380056, 8.336693185293294 58.26698239634897, 8.336674280518514 58.26692697388194, 8.336676298924663 58.26689641276252, 8.33672557949889 58.26683571340697, 8.336827405010148 58.26679238678826, 8.336989870932971 58.266776451252696)</t>
  </si>
  <si>
    <t>[1125561, 1125569, 1125577, 1125585, 1125593, 1125601, 1125609]</t>
  </si>
  <si>
    <t>[1063351, 1064064, 1063365, 772681, 1064085, 772668, 1062883]</t>
  </si>
  <si>
    <t>0.01885908209356366</t>
  </si>
  <si>
    <t>[1062692, 1063351, 1064064, 1063365, 772681, 1064085, 772668]</t>
  </si>
  <si>
    <t>[0.04, 0.059, 0.04, 0.026, 0.011, 0.016, 0.048]</t>
  </si>
  <si>
    <t>66.42544975101856</t>
  </si>
  <si>
    <t>[-0.013, 0.007]</t>
  </si>
  <si>
    <t>LINESTRING (8.337243968858067 58.2669298449047, 8.337214896887984 58.26698510689992, 8.337150389205972 58.267034351535784)</t>
  </si>
  <si>
    <t>[1125642, 1125650]</t>
  </si>
  <si>
    <t>[1064125, 1062692]</t>
  </si>
  <si>
    <t>[1062743, 1064125]</t>
  </si>
  <si>
    <t>13.07131714088136</t>
  </si>
  <si>
    <t>[-0.002, 0.009, 0.009]</t>
  </si>
  <si>
    <t>LINESTRING (8.39784116074998 58.2706922802175, 8.392963538489177 58.26814544042593, 8.392830583706473 58.26807601009221, 8.390994006628418 58.267116877398244)</t>
  </si>
  <si>
    <t>[1124054, 1124055, 1124103]</t>
  </si>
  <si>
    <t>[1062718, 1062719, 1062776]</t>
  </si>
  <si>
    <t>0.0011643195050633902</t>
  </si>
  <si>
    <t>[1062704, 1062718, 1062719]</t>
  </si>
  <si>
    <t>[0.002, 0.009, 0.009]</t>
  </si>
  <si>
    <t>566.5674824295471</t>
  </si>
  <si>
    <t>[0.068, 0.031, 0.001]</t>
  </si>
  <si>
    <t>LINESTRING (8.395005966243799 58.26755657042072, 8.39489480112071 58.26762694194075, 8.397426364617864 58.27040444478076, 8.39784116074998 58.2706922802175)</t>
  </si>
  <si>
    <t>[1124064, 1124065, 1124068]</t>
  </si>
  <si>
    <t>[1062727, 1062728, 1062704]</t>
  </si>
  <si>
    <t>0.02905140038606424</t>
  </si>
  <si>
    <t>[1062726, 1062727, 1062728]</t>
  </si>
  <si>
    <t>426.7080455427438</t>
  </si>
  <si>
    <t>[-0.018, -0.008, -0.117, -0.15, -0.05, 0.027, 0.01, 0.04, 0.043, 0.013, -0.009, -0.049, -0.048, 0.001, 0.06, 0.041, -0.004, -0.131, 0.054, 0.062]</t>
  </si>
  <si>
    <t>[0, 0, 0, 0, 1, 1, 0, 0, 0, 1, 0, 1, 0, 1, 0, 0, 0, 1, 0, 0]</t>
  </si>
  <si>
    <t>LINESTRING (8.466862293153033 58.29766014907776, 8.466218973969676 58.297532454589934, 8.454068520565448 58.29654314475424, 8.448129101349819 58.29686106341716, 8.446647475681136 58.29692411389454, 8.444563771981688 58.29689897288731, 8.442427449248191 58.29671654364052, 8.438929178443514 58.29604017995574, 8.4388087604599 58.296006960264755, 8.431016923163385 58.291066656400766, 8.430957032776249 58.2909934553308, 8.421622482224056 58.284039961895665, 8.421240739559195 58.28385706889351, 8.41782569632203 58.282222050021204, 8.416208032254612 58.281447534054465, 8.414828678727417 58.28076498349021, 8.411807507260766 58.27914489601258, 8.405025639325283 58.27453644354837, 8.404611376807905 58.27429056101199, 8.397846020602342 58.2706948204633, 8.39784116074998 58.2706922802175)</t>
  </si>
  <si>
    <t>[1126475, 1126483, 1126491, 1126499, 1126507, 1126515, 1617157, 1617165, 1617173, 1617181, 1617189, 1123288, 1123293, 1123308, 1123321, 1123331, 1123342, 1123349, 1124033, 1124038]</t>
  </si>
  <si>
    <t>[1064873, 1064881, 1064891, 1064901, 1064910, 1064918, 1449381, 1449389, 1449395, 1449402, 1062031, 1062032, 1062037, 1062053, 1062063, 1062071, 1062083, 1062089, 1062700, 1062704]</t>
  </si>
  <si>
    <t>[1064864, 1064873, 1064881, 1064891, 1064901, 1064910, 1064918, 1449381, 1449389, 1449395, 1449402, 1062031, 1062032, 1062037, 1062053, 1062063, 1062071, 1062083, 1062089, 1062700]</t>
  </si>
  <si>
    <t>[0.018, 0.008, 0.117, 0.15, 0.05, 0.027, 0.01, 0.04, 0.043, 0.013, 0.009, 0.049, 0.048, 0.001, 0.06, 0.041, 0.004, 0.131, 0.054, 0.062]</t>
  </si>
  <si>
    <t>5430.487357993556</t>
  </si>
  <si>
    <t>26.856494398541223</t>
  </si>
  <si>
    <t>[0.047, 0.073, 0.067, 0.065]</t>
  </si>
  <si>
    <t>LINESTRING (8.395095471949258 58.267349892302136, 8.395116637447323 58.26737376431112, 8.395133968722334 58.26744696643486, 8.395078347824827 58.267519634902925, 8.395005966243799 58.26755657042072)</t>
  </si>
  <si>
    <t>[1125957, 1125965, 1125973, 1125981]</t>
  </si>
  <si>
    <t>[1063589, 1064403, 1063515, 1062726]</t>
  </si>
  <si>
    <t>0.06617715140380798</t>
  </si>
  <si>
    <t>[1063583, 1063589, 1064403, 1063515]</t>
  </si>
  <si>
    <t>25.829680105074104</t>
  </si>
  <si>
    <t>7.910954050936103</t>
  </si>
  <si>
    <t>[-0.097, -0.031, 0.009, 0.01, -0.009]</t>
  </si>
  <si>
    <t>LINESTRING (8.39314973682121 58.26939568666165, 8.393250989290475 58.26939045638107, 8.39276686161564 58.26823815386025, 8.392643868459183 58.26817241147442, 8.39114348361067 58.267387537037145, 8.390619979453488 58.26704804272578)</t>
  </si>
  <si>
    <t>[1124123, 1124124, 1124125, 1124133, 1124118]</t>
  </si>
  <si>
    <t>[1062795, 1062796, 1062797, 1062790, 1062746]</t>
  </si>
  <si>
    <t>[1062794, 1062795, 1062796, 1062797, 1062790]</t>
  </si>
  <si>
    <t>[0.097, 0.031, 0.009, 0.01, 0.009]</t>
  </si>
  <si>
    <t>362.35382354101193</t>
  </si>
  <si>
    <t>[0.021, 0.007]</t>
  </si>
  <si>
    <t>LINESTRING (8.339089903680264 58.26542872026101, 8.339476274717594 58.26535877985332, 8.339574252990298 58.26535723197643)</t>
  </si>
  <si>
    <t>[1124084, 1124105]</t>
  </si>
  <si>
    <t>[1062752, 1062778]</t>
  </si>
  <si>
    <t>0.018290883348188666</t>
  </si>
  <si>
    <t>[1062751, 1062752]</t>
  </si>
  <si>
    <t>29.775703186361667</t>
  </si>
  <si>
    <t>[0.038, 0.033]</t>
  </si>
  <si>
    <t>LINESTRING (8.339089903680264 58.26542872026101, 8.339391539217782 58.26527455213113, 8.33945732953261 58.26523651785797)</t>
  </si>
  <si>
    <t>[1124150, 1124151]</t>
  </si>
  <si>
    <t>[1062824, 1062825]</t>
  </si>
  <si>
    <t>0.03705708325110299</t>
  </si>
  <si>
    <t>[1062751, 1062824]</t>
  </si>
  <si>
    <t>30.44082160089818</t>
  </si>
  <si>
    <t>[-0.025, -0.027, 0.02]</t>
  </si>
  <si>
    <t>LINESTRING (8.33741526365854 58.2665928653686, 8.337934889850219 58.2662173727116, 8.338436142076105 58.26585467331358, 8.339089903680264 58.26542872026101)</t>
  </si>
  <si>
    <t>[1124115, 1124116, 1124117]</t>
  </si>
  <si>
    <t>[1062788, 1062789, 1062751]</t>
  </si>
  <si>
    <t>[1062787, 1062788, 1062789]</t>
  </si>
  <si>
    <t>[0.025, 0.027, 0.02]</t>
  </si>
  <si>
    <t>163.14526701264904</t>
  </si>
  <si>
    <t>[0.007, -0.009, -0.036, 0.006, 0.01, -0.052, -0.032, -0.024, -0.045, -0.003]</t>
  </si>
  <si>
    <t>[0, 0, 1, 0, 0, 0, 1, 0, 1, 0]</t>
  </si>
  <si>
    <t>LINESTRING (8.390994006628418 58.267116877398244, 8.39074255051533 58.26698555499008, 8.373429461124578 58.26655247196003, 8.373315445833455 58.26658047149498, 8.37011051720925 58.26725551870943, 8.36752843674032 58.26770097255469, 8.366865017351245 58.267805530552195, 8.365306390490714 58.26802225604533, 8.358805145474296 58.26851112357177, 8.358693937253326 58.268514167335255, 8.344207568302506 58.267401539700515)</t>
  </si>
  <si>
    <t>[1124111, 1124114, 1124243, 1124251, 1124259, 1124267, 1124275, 1124283, 1124291, 1124299]</t>
  </si>
  <si>
    <t>[1062785, 1062786, 1062902, 1062908, 1062912, 1062919, 1062922, 1062925, 1062929, 1062934]</t>
  </si>
  <si>
    <t>[1062776, 1062785, 1062786, 1062902, 1062908, 1062912, 1062919, 1062922, 1062925, 1062929]</t>
  </si>
  <si>
    <t>[0.007, 0.009, 0.036, 0.006, 0.01, 0.052, 0.032, 0.024, 0.045, 0.003]</t>
  </si>
  <si>
    <t>2910.182037766039</t>
  </si>
  <si>
    <t>[-0.027, -0.041, -0.064]</t>
  </si>
  <si>
    <t>LINESTRING (8.390994006628418 58.267116877398244, 8.391605448901714 58.26737294897976, 8.394653821054149 58.26760174294047, 8.394597316043185 58.267518427017706)</t>
  </si>
  <si>
    <t>[1126021, 1125545, 1125553]</t>
  </si>
  <si>
    <t>[1064039, 1064040, 1064048]</t>
  </si>
  <si>
    <t>[1062776, 1064039, 1064040]</t>
  </si>
  <si>
    <t>[0.027, 0.041, 0.064]</t>
  </si>
  <si>
    <t>329.10487654460167</t>
  </si>
  <si>
    <t>[0.034, 0.042]</t>
  </si>
  <si>
    <t>LINESTRING (8.339574252990298 58.26535723197643, 8.339485594940493 58.265299258536224, 8.33945732953261 58.26523651785797)</t>
  </si>
  <si>
    <t>[1125821, 1125829]</t>
  </si>
  <si>
    <t>[1064282, 1062825]</t>
  </si>
  <si>
    <t>0.03771293322465319</t>
  </si>
  <si>
    <t>[1062778, 1064282]</t>
  </si>
  <si>
    <t>15.498225244351033</t>
  </si>
  <si>
    <t>7.94529420484027</t>
  </si>
  <si>
    <t>[0.008, -0.001]</t>
  </si>
  <si>
    <t>LINESTRING (8.337213306671691 58.26686078894317, 8.337241903183436 58.26680859216196, 8.33741526365854 58.2665928653686)</t>
  </si>
  <si>
    <t>[1124198, 1124218]</t>
  </si>
  <si>
    <t>[1062866, 1062787]</t>
  </si>
  <si>
    <t>0.0006942321911576566</t>
  </si>
  <si>
    <t>[1062865, 1062866]</t>
  </si>
  <si>
    <t>32.192190988583725</t>
  </si>
  <si>
    <t>LINESTRING (8.336989870932971 58.266776451252696, 8.337078850327622 58.266746848341526, 8.33741526365854 58.2665928653686)</t>
  </si>
  <si>
    <t>[1124226, 1124227]</t>
  </si>
  <si>
    <t>[1062884, 1062787]</t>
  </si>
  <si>
    <t>[1062883, 1062884]</t>
  </si>
  <si>
    <t>32.37750534054485</t>
  </si>
  <si>
    <t>[-0.023, -0.145, -0.108]</t>
  </si>
  <si>
    <t>LINESTRING (8.39314973682121 58.26939568666165, 8.392508278703637 58.26831339269124, 8.393165020625203 58.26796675502158, 8.394058982670414 58.26750438788165)</t>
  </si>
  <si>
    <t>[1126074, 1126082, 1126090]</t>
  </si>
  <si>
    <t>[1064486, 1064494, 1064452]</t>
  </si>
  <si>
    <t>[1062794, 1064486, 1064494]</t>
  </si>
  <si>
    <t>[0.023, 0.145, 0.108]</t>
  </si>
  <si>
    <t>279.8439805060143</t>
  </si>
  <si>
    <t>[0.035, -0.005, -0.026, -0.048]</t>
  </si>
  <si>
    <t>LINESTRING (8.33945732953261 58.26523651785797, 8.339780103092355 58.26508773449454, 8.339899318065475 58.26510829782541, 8.33997998714731 58.26515378079914, 8.339993635383705 58.2653135943276)</t>
  </si>
  <si>
    <t>[1125773, 1125781, 1125789, 1125797]</t>
  </si>
  <si>
    <t>[732945, 1064254, 732990, 1062950]</t>
  </si>
  <si>
    <t>[1062825, 732945, 1064254, 732990]</t>
  </si>
  <si>
    <t>[0.035, 0.005, 0.026, 0.048]</t>
  </si>
  <si>
    <t>61.15253635259599</t>
  </si>
  <si>
    <t>[-0.059, -0.051]</t>
  </si>
  <si>
    <t>LINESTRING (8.336989870932971 58.266776451252696, 8.3371228200972 58.26680507848445, 8.337213306671691 58.26686078894317)</t>
  </si>
  <si>
    <t>[1125618, 1125626]</t>
  </si>
  <si>
    <t>[1064103, 1062865]</t>
  </si>
  <si>
    <t>[1062883, 1064103]</t>
  </si>
  <si>
    <t>[0.059, 0.051]</t>
  </si>
  <si>
    <t>16.621414854852397</t>
  </si>
  <si>
    <t>[0.001, 0.009, 0.014, 0.096, 0.126]</t>
  </si>
  <si>
    <t>LINESTRING (8.344207568302506 58.267401539700515, 8.343583882592853 58.267281768166995, 8.34269297384772 58.26709413261636, 8.338371602502164 58.26598763771907, 8.338132274140929 58.26591588450968, 8.336032157399469 58.265226425411115)</t>
  </si>
  <si>
    <t>[1124307, 1124443, 1124451, 1124459, 1124467]</t>
  </si>
  <si>
    <t>[1062940, 1063038, 1063045, 1063050, 1063054]</t>
  </si>
  <si>
    <t>0.04518836095628454</t>
  </si>
  <si>
    <t>[1062934, 1062940, 1063038, 1063045, 1063050]</t>
  </si>
  <si>
    <t>539.607058073705</t>
  </si>
  <si>
    <t>[-0.053, -0.023, -0.009, 0.0]</t>
  </si>
  <si>
    <t>LINESTRING (8.339993635383705 58.2653135943276, 8.339985460895681 58.26537094137679, 8.34271975043343 58.267050010818394, 8.343617753071195 58.267235197423275, 8.344207568302506 58.267401539700515)</t>
  </si>
  <si>
    <t>[1124323, 1124331, 1124339, 1124315]</t>
  </si>
  <si>
    <t>[1062951, 1062956, 1062946, 1062934]</t>
  </si>
  <si>
    <t>[1062950, 1062951, 1062956, 1062946]</t>
  </si>
  <si>
    <t>[0.053, 0.023, 0.009, 0.0]</t>
  </si>
  <si>
    <t>380.15965840512536</t>
  </si>
  <si>
    <t>19.849786132726805</t>
  </si>
  <si>
    <t>[0.011, -0.107, -0.696, 0.012, 0.021, 0.061, 0.038, -0.121, -0.136, 0.029]</t>
  </si>
  <si>
    <t>15980.0</t>
  </si>
  <si>
    <t>[0, 0, 1, 0, 1, 0, 0, 0, 1, 0]</t>
  </si>
  <si>
    <t>LINESTRING (8.335841157322834 58.26538791107338, 8.323083134380775 58.25844543996478, 8.320575930887314 58.25662228258864, 8.320506308795268 58.256570843120215, 8.317496680816244 58.25428341955314, 8.317109796838933 58.25399008449066, 8.313099872416373 58.2505077964918, 8.310069355049038 58.247699728259484, 8.30915242177091 58.246840537901235, 8.309091992576025 58.24678440319783, 8.30348724345425 58.24151171813608)</t>
  </si>
  <si>
    <t>[1124379, 1124387, 1124395, 1123365, 1123376, 1123381, 1123400, 1123410, 1123413, 1125279]</t>
  </si>
  <si>
    <t>[1062992, 1062999, 1062105, 1062106, 1062117, 1062122, 1062143, 1062153, 1062155, 1063801]</t>
  </si>
  <si>
    <t>0.009516278716378297</t>
  </si>
  <si>
    <t>[1062985, 1062992, 1062999, 1062105, 1062106, 1062117, 1062122, 1062143, 1062153, 1062155]</t>
  </si>
  <si>
    <t>[0.011, 0.107, 0.696, 0.012, 0.021, 0.061, 0.038, 0.121, 0.136, 0.029]</t>
  </si>
  <si>
    <t>3300.35864193398</t>
  </si>
  <si>
    <t>[0.014, 0.073, 0.104, 0.138, 0.155]</t>
  </si>
  <si>
    <t>LINESTRING (8.339404318185844 58.26728206225832, 8.338136998273631 58.266149384727406, 8.337910466986658 58.26608166137192, 8.336678342806634 58.2657050372436, 8.336183649474888 58.26551235934336, 8.335841157322834 58.26538791107338)</t>
  </si>
  <si>
    <t>[1125698, 1125706, 1125714, 1125722, 1125730]</t>
  </si>
  <si>
    <t>[1064181, 1064189, 1064198, 1064204, 1062985]</t>
  </si>
  <si>
    <t>0.05922356399548884</t>
  </si>
  <si>
    <t>[1063028, 1064181, 1064189, 1064198, 1064204]</t>
  </si>
  <si>
    <t>361.98871621715983</t>
  </si>
  <si>
    <t>[0.012, -0.113, -0.878, 0.016, 0.013, 0.053, 0.048, -0.115, -0.123, 0.025, -0.008]</t>
  </si>
  <si>
    <t>[0, 0, 1, 0, 1, 0, 0, 0, 1, 0, 0]</t>
  </si>
  <si>
    <t>LINESTRING (8.336032157399469 58.265226425411115, 8.323365413585703 58.25832721348558, 8.32072217359581 58.25647942513416, 8.320649396487896 58.256429486822036, 8.317657286842037 58.25423069119395, 8.317290248916049 58.253930642099625, 8.313410200139522 58.25040556326298, 8.310379255540761 58.24760608435395, 8.309530615993745 58.24682908488485, 8.309468827585587 58.24677642854725, 8.30363701197273 58.241468844001446, 8.303128474305769 58.24100656190598)</t>
  </si>
  <si>
    <t>[1124475, 1124483, 1124491, 1123420, 1123439, 1123440, 1123443, 1123452, 1123458, 1125324, 1125332]</t>
  </si>
  <si>
    <t>[1063059, 1063065, 1062163, 1062164, 1062186, 1062187, 1062191, 1062198, 1062205, 1063842, 1063849]</t>
  </si>
  <si>
    <t>0.00853228712475767</t>
  </si>
  <si>
    <t>[1063054, 1063059, 1063065, 1062163, 1062164, 1062186, 1062187, 1062191, 1062198, 1062205, 1063842]</t>
  </si>
  <si>
    <t>[0.012, 0.113, 0.878, 0.016, 0.013, 0.053, 0.048, 0.115, 0.123, 0.025, 0.008]</t>
  </si>
  <si>
    <t>3350.1777061179127</t>
  </si>
  <si>
    <t>[-0.142, -0.139, -0.116, -0.096, 0.012, 0.026]</t>
  </si>
  <si>
    <t>LINESTRING (8.336032157399469 58.265226425411115, 8.336393632704192 58.265324903088285, 8.336928585643745 58.265479498731175, 8.338195266395957 58.265877289921676, 8.338418170384765 58.26594048957935, 8.339799811454089 58.26541577535646, 8.339700381818169 58.26538284200184)</t>
  </si>
  <si>
    <t>[1124532, 1124540, 1124499, 1124507, 1124516, 1124524]</t>
  </si>
  <si>
    <t>[1063110, 1063077, 1063078, 1063084, 1063093, 1063102]</t>
  </si>
  <si>
    <t>[1063054, 1063110, 1063077, 1063078, 1063084, 1063093]</t>
  </si>
  <si>
    <t>[0.142, 0.139, 0.116, 0.096, 0.012, 0.026]</t>
  </si>
  <si>
    <t>321.87668323743895</t>
  </si>
  <si>
    <t>[0.057, 0.052]</t>
  </si>
  <si>
    <t>LINESTRING (8.395159898732961 58.26707130359673, 8.394903842640284 58.267231340500445, 8.394805787315475 58.26727035778567)</t>
  </si>
  <si>
    <t>[1125008, 1125022]</t>
  </si>
  <si>
    <t>[1063556, 1063574]</t>
  </si>
  <si>
    <t>0.055818808680218074</t>
  </si>
  <si>
    <t>[1063555, 1063556]</t>
  </si>
  <si>
    <t>30.570541561177983</t>
  </si>
  <si>
    <t>[0.068, 0.072]</t>
  </si>
  <si>
    <t>LINESTRING (8.395159898732961 58.26707130359673, 8.395104883840858 58.26727364576258, 8.395095471949258 58.267349892302136)</t>
  </si>
  <si>
    <t>[1125030, 1125035]</t>
  </si>
  <si>
    <t>[1063581, 1063583]</t>
  </si>
  <si>
    <t>0.06908836649342233</t>
  </si>
  <si>
    <t>[1063555, 1063581]</t>
  </si>
  <si>
    <t>31.322904250790714</t>
  </si>
  <si>
    <t>[-0.009, 0.019, 0.037, 0.061]</t>
  </si>
  <si>
    <t>6791.0</t>
  </si>
  <si>
    <t>LINESTRING (8.393419664651981 58.262372241229876, 8.395248293492818 58.26427788499082, 8.395310691568831 58.26494759460018, 8.395456598073107 58.26654255585369, 8.395159898732961 58.26707130359673)</t>
  </si>
  <si>
    <t>[1126154, 1126162, 1126170, 1126178]</t>
  </si>
  <si>
    <t>[1064561, 1064568, 1064575, 1063555]</t>
  </si>
  <si>
    <t>0.01692719270525258</t>
  </si>
  <si>
    <t>[1064560, 1064561, 1064568, 1064575]</t>
  </si>
  <si>
    <t>[0.009, 0.019, 0.037, 0.061]</t>
  </si>
  <si>
    <t>564.2672977233077</t>
  </si>
  <si>
    <t>[-0.001, 0.044]</t>
  </si>
  <si>
    <t>LINESTRING (8.394805787315475 58.26727035778567, 8.394967642853626 58.26728495525786, 8.395095471949258 58.267349892302136)</t>
  </si>
  <si>
    <t>[1125941, 1125949]</t>
  </si>
  <si>
    <t>[1064386, 1063583]</t>
  </si>
  <si>
    <t>0.022378845149958703</t>
  </si>
  <si>
    <t>[1063574, 1064386]</t>
  </si>
  <si>
    <t>[0.001, 0.044]</t>
  </si>
  <si>
    <t>20.08772808962225</t>
  </si>
  <si>
    <t>11.260880693610815</t>
  </si>
  <si>
    <t>[-0.068, -0.042, -0.015, 0.01, 0.023, 0.047, 0.079, 0.065, 0.075, 0.084, 0.065, 0.037, 0.003]</t>
  </si>
  <si>
    <t>LINESTRING (8.393008580077556 58.26216290043204, 8.392632612544713 58.26197329943918, 8.392668056629223 58.26185437056759, 8.392754714008186 58.261789386426706, 8.39283538249467 58.26175708073757, 8.392996573684703 58.261729369803646, 8.393173637249769 58.26173919263289, 8.393206586940734 58.26174590294452, 8.39335304787234 58.26180166606686, 8.393417082613533 58.26185433023845, 8.393434425145093 58.26187695921102, 8.393450925527357 58.261977991145706, 8.393374114685876 58.26207526014403, 8.393313195977216 58.26210990670189)</t>
  </si>
  <si>
    <t>[1125109, 1125110, 1125111, 1125127, 1125135, 1125144, 1125151, 1125159, 1125167, 1125175, 1125183, 1125191, 1125076]</t>
  </si>
  <si>
    <t>[1063650, 1063651, 1063652, 1063662, 1063670, 1063677, 1063682, 603134, 1063694, 1063701, 1063708, 1063618, 1063619]</t>
  </si>
  <si>
    <t>0.004806148822856963</t>
  </si>
  <si>
    <t>[1063635, 1063650, 1063651, 1063652, 1063662, 1063670, 1063677, 1063682, 603134, 1063694, 1063701, 1063708, 1063618]</t>
  </si>
  <si>
    <t>[0.068, 0.042, 0.015, 0.01, 0.023, 0.047, 0.079, 0.065, 0.075, 0.084, 0.065, 0.037, 0.003]</t>
  </si>
  <si>
    <t>132.34620524899515</t>
  </si>
  <si>
    <t>[0.071, 0.069]</t>
  </si>
  <si>
    <t>LINESTRING (8.393313195977216 58.26210990670189, 8.39332504019548 58.26216725758749, 8.393419664651981 58.262372241229876)</t>
  </si>
  <si>
    <t>[1126186, 1126194]</t>
  </si>
  <si>
    <t>[1064587, 1064560]</t>
  </si>
  <si>
    <t>0.0694294744257609</t>
  </si>
  <si>
    <t>[1063619, 1064587]</t>
  </si>
  <si>
    <t>29.966128736637085</t>
  </si>
  <si>
    <t>[0.079, 0.081]</t>
  </si>
  <si>
    <t>LINESTRING (8.393008580077556 58.26216290043204, 8.393096722262822 58.26221196968204, 8.393419664651981 58.262372241229876)</t>
  </si>
  <si>
    <t>[1126202, 1126210]</t>
  </si>
  <si>
    <t>[1064602, 1064560]</t>
  </si>
  <si>
    <t>0.08055271469881592</t>
  </si>
  <si>
    <t>[1063635, 1064602]</t>
  </si>
  <si>
    <t>33.70037347673262</t>
  </si>
  <si>
    <t>[-0.04, -0.035]</t>
  </si>
  <si>
    <t>LINESTRING (8.300314671763338 58.23763695006701, 8.300657012130234 58.237543527132836, 8.300742608818906 58.237518574970956)</t>
  </si>
  <si>
    <t>[1125247, 1125255]</t>
  </si>
  <si>
    <t>[1063764, 1063773]</t>
  </si>
  <si>
    <t>[1063763, 1063764]</t>
  </si>
  <si>
    <t>[0.04, 0.035]</t>
  </si>
  <si>
    <t>28.4294162868529</t>
  </si>
  <si>
    <t>[-0.039, -0.041]</t>
  </si>
  <si>
    <t>LINESTRING (8.300314671763338 58.23763695006701, 8.300521180583921 58.23747841576269, 8.300585278673175 58.237429780989864)</t>
  </si>
  <si>
    <t>[1125263, 1125271]</t>
  </si>
  <si>
    <t>[1063782, 1063790]</t>
  </si>
  <si>
    <t>[1063763, 1063782]</t>
  </si>
  <si>
    <t>[0.039, 0.041]</t>
  </si>
  <si>
    <t>28.061951418120362</t>
  </si>
  <si>
    <t>[-0.023, -0.002, 0.002]</t>
  </si>
  <si>
    <t>LINESTRING (8.297868998059961 58.23888533020548, 8.29874839914344 58.23838267891298, 8.299513649171175 58.238018428816865, 8.300314671763338 58.23763695006701)</t>
  </si>
  <si>
    <t>[1126114, 1126122, 1126130]</t>
  </si>
  <si>
    <t>[1064524, 1064532, 1063763]</t>
  </si>
  <si>
    <t>[1064516, 1064524, 1064532]</t>
  </si>
  <si>
    <t>[0.023, 0.002, 0.002]</t>
  </si>
  <si>
    <t>201.0151535922373</t>
  </si>
  <si>
    <t>[0.005, -0.007]</t>
  </si>
  <si>
    <t>LINESTRING (8.300742608818906 58.237518574970956, 8.30064629489081 58.23747905945991, 8.300585278673175 58.237429780989864)</t>
  </si>
  <si>
    <t>[1126018, 1126026]</t>
  </si>
  <si>
    <t>[1064440, 1063790]</t>
  </si>
  <si>
    <t>[1063773, 1064440]</t>
  </si>
  <si>
    <t>13.743768015217665</t>
  </si>
  <si>
    <t>11.861507239817202</t>
  </si>
  <si>
    <t>14.26230850376924</t>
  </si>
  <si>
    <t>[-0.012, -0.02, -0.053, -0.083]</t>
  </si>
  <si>
    <t>LINESTRING (8.30348724345425 58.24151171813608, 8.302983739344343 58.24105389874442, 8.299086208159874 58.238284291205545, 8.298965450266843 58.23821490901965, 8.296356790883468 58.236883411653295)</t>
  </si>
  <si>
    <t>[1125287, 1125295, 1125303, 1125311]</t>
  </si>
  <si>
    <t>[1063808, 1063818, 1063826, 1063833]</t>
  </si>
  <si>
    <t>[1063801, 1063808, 1063818, 1063826]</t>
  </si>
  <si>
    <t>[0.012, 0.02, 0.053, 0.083]</t>
  </si>
  <si>
    <t>668.5406501655584</t>
  </si>
  <si>
    <t>[-0.007, -0.008, -0.051]</t>
  </si>
  <si>
    <t>LINESTRING (8.30348724345425 58.24151171813608, 8.302999441169606 58.24116208942148, 8.297889078012085 58.23942307558566, 8.297827996241681 58.239382171015514)</t>
  </si>
  <si>
    <t>[1125802, 1125810, 1125818]</t>
  </si>
  <si>
    <t>[1064270, 1064276, 1064217]</t>
  </si>
  <si>
    <t>[1063801, 1064270, 1064276]</t>
  </si>
  <si>
    <t>[0.007, 0.008, 0.051]</t>
  </si>
  <si>
    <t>440.0633393349339</t>
  </si>
  <si>
    <t>[0.062, -0.02, -0.055, -0.076, -0.111]</t>
  </si>
  <si>
    <t>LINESTRING (8.29805245302303 58.23931486845738, 8.29808673353588 58.23936882981567, 8.299006299337277 58.23831328988817, 8.298903386602884 58.2382541364047, 8.296911277535305 58.23718899674089, 8.296356790883468 58.236883411653295)</t>
  </si>
  <si>
    <t>[1125826, 1125834, 1125842, 1125850, 1125866]</t>
  </si>
  <si>
    <t>[1064285, 1064290, 1064300, 1064307, 1063833]</t>
  </si>
  <si>
    <t>[1064259, 1064285, 1064290, 1064300, 1064307]</t>
  </si>
  <si>
    <t>[0.062, 0.02, 0.055, 0.076, 0.111]</t>
  </si>
  <si>
    <t>472.4833503166324</t>
  </si>
  <si>
    <t>[-0.019, -0.049, -0.083, -0.13]</t>
  </si>
  <si>
    <t>LINESTRING (8.303128474305769 58.24100656190598, 8.299211884637055 58.23822372031616, 8.299092662683936 58.23815515793408, 8.296469252747164 58.23681594857764, 8.29568418727791 58.236468476610426)</t>
  </si>
  <si>
    <t>[1125340, 1125348, 1125356, 1125364]</t>
  </si>
  <si>
    <t>[1063859, 1063865, 1063873, 1063880]</t>
  </si>
  <si>
    <t>[1063849, 1063859, 1063865, 1063873]</t>
  </si>
  <si>
    <t>[0.019, 0.049, 0.083, 0.13]</t>
  </si>
  <si>
    <t>672.751096061071</t>
  </si>
  <si>
    <t>[0.036, 0.021, 0.011]</t>
  </si>
  <si>
    <t>LINESTRING (8.300940974831859 58.23753762654164, 8.300901800561862 58.23758121358957, 8.302772853674876 58.240618556083156, 8.303128474305769 58.24100656190598)</t>
  </si>
  <si>
    <t>[1125898, 1125906, 1125914]</t>
  </si>
  <si>
    <t>[1064352, 1064361, 1063849]</t>
  </si>
  <si>
    <t>0.020079661494727414</t>
  </si>
  <si>
    <t>[1064351, 1064352, 1064361]</t>
  </si>
  <si>
    <t>435.4400038962427</t>
  </si>
  <si>
    <t>[0.13, 0.067, -0.033]</t>
  </si>
  <si>
    <t>LINESTRING (8.29568418727791 58.236468476610426, 8.296357777084635 58.23670511418615, 8.30048615022235 58.23731032143224, 8.300564398366932 58.237303965010064)</t>
  </si>
  <si>
    <t>[1125890, 1125874, 1125882]</t>
  </si>
  <si>
    <t>[1064329, 1064330, 1064337]</t>
  </si>
  <si>
    <t>0.07473259674230642</t>
  </si>
  <si>
    <t>[1063880, 1064329, 1064330]</t>
  </si>
  <si>
    <t>[0.13, 0.067, 0.033]</t>
  </si>
  <si>
    <t>328.8965755730435</t>
  </si>
  <si>
    <t>[0.04, 0.041]</t>
  </si>
  <si>
    <t>LINESTRING (8.301491588829656 58.237077004168114, 8.30127550745213 58.23725184709214, 8.30122923288525 58.23730000639753)</t>
  </si>
  <si>
    <t>[1125484, 1125492]</t>
  </si>
  <si>
    <t>[1063990, 1063995]</t>
  </si>
  <si>
    <t>0.040205525167880535</t>
  </si>
  <si>
    <t>[1063989, 1063990]</t>
  </si>
  <si>
    <t>29.302808786191246</t>
  </si>
  <si>
    <t>[0.041, 0.034]</t>
  </si>
  <si>
    <t>LINESTRING (8.301491588829656 58.237077004168114, 8.301133185281314 58.237177799648094, 8.301048950354934 58.2371924990665)</t>
  </si>
  <si>
    <t>[1125556, 1125564]</t>
  </si>
  <si>
    <t>[1064052, 1064059]</t>
  </si>
  <si>
    <t>0.03974504256080357</t>
  </si>
  <si>
    <t>[1063989, 1064052]</t>
  </si>
  <si>
    <t>29.11481553194255</t>
  </si>
  <si>
    <t>[0.059, 0.004, 0.039, 0.018, 0.013, 0.046, 0.045]</t>
  </si>
  <si>
    <t>LINESTRING (8.316803816913252 58.23434509811132, 8.316645329354479 58.234329490869335, 8.316578587074483 58.234323371134, 8.305180610659017 58.23549455913344, 8.303123127408588 58.2363032301449, 8.302862200470841 58.236423478154684, 8.302358895268677 58.236662336763295, 8.301491588829656 58.237077004168114)</t>
  </si>
  <si>
    <t>[1125500, 1125508, 1125516, 1125524, 1125532, 1125540, 1125548]</t>
  </si>
  <si>
    <t>[1064001, 1064007, 1064014, 1064021, 1064027, 1064034, 1063989]</t>
  </si>
  <si>
    <t>0.03601638796461927</t>
  </si>
  <si>
    <t>[1064000, 1064001, 1064007, 1064014, 1064021, 1064027, 1064034]</t>
  </si>
  <si>
    <t>992.1622986354562</t>
  </si>
  <si>
    <t>[0.025, 0.037, 0.038, 0.04]</t>
  </si>
  <si>
    <t>LINESTRING (8.30122923288525 58.23730000639753, 8.301245623424522 58.23736816929153, 8.301209669975723 58.23743715215941, 8.301136101860234 58.23749006341334, 8.300940974831859 58.23753762654164)</t>
  </si>
  <si>
    <t>[1125978, 1125986, 1125994, 1126002]</t>
  </si>
  <si>
    <t>[1064412, 1064418, 1064425, 1064351]</t>
  </si>
  <si>
    <t>0.03568810826814129</t>
  </si>
  <si>
    <t>[1063995, 1064412, 1064418, 1064425]</t>
  </si>
  <si>
    <t>35.60938758461411</t>
  </si>
  <si>
    <t>[-0.005, 0.008]</t>
  </si>
  <si>
    <t>LINESTRING (8.301048950354934 58.2371924990665, 8.301157776248052 58.23723558325518, 8.30122923288525 58.23730000639753)</t>
  </si>
  <si>
    <t>[1125962, 1125970]</t>
  </si>
  <si>
    <t>[1064399, 1063995]</t>
  </si>
  <si>
    <t>0.001627455417176992</t>
  </si>
  <si>
    <t>[1064059, 1064399]</t>
  </si>
  <si>
    <t>[0.005, 0.008]</t>
  </si>
  <si>
    <t>16.330771373608943</t>
  </si>
  <si>
    <t>[0.062, 0.059]</t>
  </si>
  <si>
    <t>LINESTRING (8.317267034395373 58.23446091630483, 8.317165048809775 58.234438449369996, 8.316803816913252 58.23434509811132)</t>
  </si>
  <si>
    <t>[1125572, 1125580]</t>
  </si>
  <si>
    <t>[1064067, 1064000]</t>
  </si>
  <si>
    <t>0.05964660800489923</t>
  </si>
  <si>
    <t>[1064066, 1064067]</t>
  </si>
  <si>
    <t>30.16885105109224</t>
  </si>
  <si>
    <t>[0.066, 0.067]</t>
  </si>
  <si>
    <t>LINESTRING (8.317312123345578 58.23432103918259, 8.317212850032492 58.234327985647674, 8.316803816913252 58.23434509811132)</t>
  </si>
  <si>
    <t>[1125588, 1125596]</t>
  </si>
  <si>
    <t>[1064078, 1064000]</t>
  </si>
  <si>
    <t>0.06680381820172301</t>
  </si>
  <si>
    <t>[1064077, 1064078]</t>
  </si>
  <si>
    <t>30.03209594682708</t>
  </si>
  <si>
    <t>3.8761140333886814</t>
  </si>
  <si>
    <t>[-0.038, -0.041, -0.033, -0.025]</t>
  </si>
  <si>
    <t>LINESTRING (8.300564398366932 58.237303965010064, 8.300660471707133 58.23722585109787, 8.300778924844778 58.237187241555354, 8.300940777461047 58.237175738392516, 8.301048950354934 58.2371924990665)</t>
  </si>
  <si>
    <t>[1125930, 1125938, 1125946, 1125954]</t>
  </si>
  <si>
    <t>[1064377, 1064384, 1064389, 1064059]</t>
  </si>
  <si>
    <t>[1064337, 1064377, 1064384, 1064389]</t>
  </si>
  <si>
    <t>[0.038, 0.041, 0.033, 0.025]</t>
  </si>
  <si>
    <t>34.818331905179164</t>
  </si>
  <si>
    <t>[-0.123, 0.018, 0.008, -0.002, -0.018, -0.023, -0.023, -0.013, -0.004, 0.172]</t>
  </si>
  <si>
    <t>LINESTRING (8.317312123345578 58.23432103918259, 8.317368935642591 58.23430051014668, 8.317514360018096 58.23429050171836, 8.317599531382934 58.23430694073688, 8.317662202337369 58.23434239617158, 8.317694072424345 58.234429783985775, 8.317626671689023 58.23449317215574, 8.317502671620849 58.23452630680054, 8.317423851486053 58.23452516569206, 8.317341952238278 58.234506231767526, 8.317267034395373 58.23446091630483)</t>
  </si>
  <si>
    <t>[1363725, 1363733, 1363741, 1363749, 1363758, 1363766, 1363676, 1363684, 1363692, 1363700]</t>
  </si>
  <si>
    <t>[1173245, 1259187, 1173251, 1173241, 1259201, 1173240, 1063958, 1259149, 1063972, 1064066]</t>
  </si>
  <si>
    <t>0.003136757278925615</t>
  </si>
  <si>
    <t>[1064077, 1173245, 1259187, 1173251, 1173241, 1259201, 1173240, 1063958, 1259149, 1063972]</t>
  </si>
  <si>
    <t>[0.123, 0.018, 0.008, 0.002, 0.018, 0.023, 0.023, 0.013, 0.004, 0.172]</t>
  </si>
  <si>
    <t>66.24096536746238</t>
  </si>
  <si>
    <t>LINESTRING (10.002847328367025 59.75269389885176, 10.002758730840183 59.75268809291684, 10.002318410073231 59.75266530859667)</t>
  </si>
  <si>
    <t>[1125684, 1125692]</t>
  </si>
  <si>
    <t>[1064166, 1064174]</t>
  </si>
  <si>
    <t>[1064165, 1064166]</t>
  </si>
  <si>
    <t>30.47792051063062</t>
  </si>
  <si>
    <t>LINESTRING (10.002847328367025 59.75269389885176, 10.002796109977513 59.75263776978631, 10.002834715423392 59.752567224286)</t>
  </si>
  <si>
    <t>[1125812, 1125820]</t>
  </si>
  <si>
    <t>[1064279, 1064200]</t>
  </si>
  <si>
    <t>0.01833760437184508</t>
  </si>
  <si>
    <t>[1064165, 1064279]</t>
  </si>
  <si>
    <t>15.046250404667896</t>
  </si>
  <si>
    <t>15.829648477594949</t>
  </si>
  <si>
    <t>LINESTRING (10.002834715423392 59.752567224286, 10.00274851312623 59.75258555726059, 10.002318410073231 59.75266530859667)</t>
  </si>
  <si>
    <t>[1125716, 1125724]</t>
  </si>
  <si>
    <t>[1064201, 1064174]</t>
  </si>
  <si>
    <t>[1064200, 1064201]</t>
  </si>
  <si>
    <t>31.390397050812126</t>
  </si>
  <si>
    <t>[0.025, 0.018, 0.004, -0.012]</t>
  </si>
  <si>
    <t>LINESTRING (10.002834715423392 59.752567224286, 10.002869293943721 59.75254942468084, 10.002958934511806 59.7525294413705, 10.003079265697925 59.75253883171787, 10.003165326478646 59.752582308038406)</t>
  </si>
  <si>
    <t>[1125828, 1125836, 1125844, 1125852]</t>
  </si>
  <si>
    <t>[1064233, 1064292, 1064220, 1064253]</t>
  </si>
  <si>
    <t>0.00517882806899693</t>
  </si>
  <si>
    <t>[1064200, 1064233, 1064292, 1064220]</t>
  </si>
  <si>
    <t>[0.025, 0.018, 0.004, 0.012]</t>
  </si>
  <si>
    <t>21.989339202782723</t>
  </si>
  <si>
    <t>LINESTRING (10.003729214604878 59.75271829611464, 10.003245448187283 59.75259959407457, 10.003165326478646 59.752582308038406)</t>
  </si>
  <si>
    <t>[1125772, 1125780]</t>
  </si>
  <si>
    <t>[1064248, 1064253]</t>
  </si>
  <si>
    <t>0.005137851641656801</t>
  </si>
  <si>
    <t>[1064212, 1064248]</t>
  </si>
  <si>
    <t>35.55511478072511</t>
  </si>
  <si>
    <t>LINESTRING (10.003729214604878 59.75271829611464, 10.00321134347873 59.752708447335394, 10.003108776417946 59.752705680843896)</t>
  </si>
  <si>
    <t>[1125788, 1125796]</t>
  </si>
  <si>
    <t>[1064261, 1064266]</t>
  </si>
  <si>
    <t>[1064212, 1064261]</t>
  </si>
  <si>
    <t>35.14569315399881</t>
  </si>
  <si>
    <t>[0.013, -0.024, -0.025, 0.017, -0.003]</t>
  </si>
  <si>
    <t>LINESTRING (10.009279763258789 59.752257310643785, 10.007397371690075 59.752512340367055, 10.005610748486987 59.75271145323954, 10.00512574885167 59.75273607922411, 10.004231687477944 59.752747762211136, 10.003729214604878 59.75271829611464)</t>
  </si>
  <si>
    <t>[2094648, 2094669, 2094694, 2094703, 1125732]</t>
  </si>
  <si>
    <t>[1812292, 1812302, 1812322, 1064211, 1064212]</t>
  </si>
  <si>
    <t>[1757324, 1812292, 1812302, 1812322, 1064211]</t>
  </si>
  <si>
    <t>[0.013, 0.024, 0.025, 0.017, 0.003]</t>
  </si>
  <si>
    <t>318.7923591948349</t>
  </si>
  <si>
    <t>[-0.025, -0.051, -0.057, -0.049]</t>
  </si>
  <si>
    <t>LINESTRING (8.297827996241681 58.239382171015514, 8.297746495833152 58.23936959706761, 8.29765107066734 58.2393217744881, 8.2976262198195 58.23926024648616, 8.297673559095356 58.23919000835511)</t>
  </si>
  <si>
    <t>[1125738, 1125746, 1125754, 1125762]</t>
  </si>
  <si>
    <t>[1064218, 1064224, 1064232, 1064239]</t>
  </si>
  <si>
    <t>[1064217, 1064218, 1064224, 1064232]</t>
  </si>
  <si>
    <t>[0.025, 0.051, 0.057, 0.049]</t>
  </si>
  <si>
    <t>28.071601164846953</t>
  </si>
  <si>
    <t>15.932358775872807</t>
  </si>
  <si>
    <t>[-0.015, 0.016]</t>
  </si>
  <si>
    <t>LINESTRING (8.297673559095356 58.23919000835511, 8.297799254328403 58.23914812507285, 8.2979302766859 58.2391535061543)</t>
  </si>
  <si>
    <t>[1125770, 1125778]</t>
  </si>
  <si>
    <t>[1064246, 1064252]</t>
  </si>
  <si>
    <t>[1064239, 1064246]</t>
  </si>
  <si>
    <t>16.477327008764338</t>
  </si>
  <si>
    <t>[-0.049, -0.046]</t>
  </si>
  <si>
    <t>LINESTRING (8.297673559095356 58.23919000835511, 8.297708793755772 58.23913000669186, 8.297868998059961 58.23888533020548)</t>
  </si>
  <si>
    <t>[1126138, 1126146]</t>
  </si>
  <si>
    <t>[1064548, 1064516]</t>
  </si>
  <si>
    <t>[1064239, 1064548]</t>
  </si>
  <si>
    <t>[0.049, 0.046]</t>
  </si>
  <si>
    <t>36.210334940559086</t>
  </si>
  <si>
    <t>21.40877921394813</t>
  </si>
  <si>
    <t>[-0.057, -0.054]</t>
  </si>
  <si>
    <t>LINESTRING (8.2979302766859 58.2391535061543, 8.297899513750512 58.239113352229126, 8.297868998059961 58.23888533020548)</t>
  </si>
  <si>
    <t>[1126098, 1126106]</t>
  </si>
  <si>
    <t>[1064509, 1064516]</t>
  </si>
  <si>
    <t>[1064252, 1064509]</t>
  </si>
  <si>
    <t>[0.057, 0.054]</t>
  </si>
  <si>
    <t>30.483945690663422</t>
  </si>
  <si>
    <t>[-0.023, -0.02]</t>
  </si>
  <si>
    <t>LINESTRING (10.003165326478646 59.752582308038406, 10.003178217112021 59.75265520309694, 10.003108776417946 59.752705680843896)</t>
  </si>
  <si>
    <t>[1125860, 1125868]</t>
  </si>
  <si>
    <t>[1064319, 1064266]</t>
  </si>
  <si>
    <t>[1064253, 1064319]</t>
  </si>
  <si>
    <t>[0.023, 0.02]</t>
  </si>
  <si>
    <t>15.007562086419261</t>
  </si>
  <si>
    <t>[-0.073, -0.078]</t>
  </si>
  <si>
    <t>LINESTRING (8.3945649896595 58.267488138134475, 8.394540446798493 58.26741702997593, 8.394632052403683 58.26731291554601)</t>
  </si>
  <si>
    <t>[1126005, 1126013]</t>
  </si>
  <si>
    <t>[1064433, 1064381]</t>
  </si>
  <si>
    <t>[1064427, 1064433]</t>
  </si>
  <si>
    <t>[0.073, 0.078]</t>
  </si>
  <si>
    <t>21.086957358825316</t>
  </si>
  <si>
    <t>[-0.055, -0.052]</t>
  </si>
  <si>
    <t>LINESTRING (8.394058982670414 58.26750438788165, 8.39447743520118 58.26735718595339, 8.394632052403683 58.26731291554601)</t>
  </si>
  <si>
    <t>[1126050, 1126058]</t>
  </si>
  <si>
    <t>[1064468, 1064381]</t>
  </si>
  <si>
    <t>[1064452, 1064468]</t>
  </si>
  <si>
    <t>[0.055, 0.052]</t>
  </si>
  <si>
    <t>40.31216448883092</t>
  </si>
  <si>
    <t>[-0.023, 0.0]</t>
  </si>
  <si>
    <t>LINESTRING (8.394058982670414 58.26750438788165, 8.394471819018612 58.2674757715759, 8.3945649896595 58.267488138134475)</t>
  </si>
  <si>
    <t>[1126034, 1126042]</t>
  </si>
  <si>
    <t>[1064453, 1064427]</t>
  </si>
  <si>
    <t>[1064452, 1064453]</t>
  </si>
  <si>
    <t>[0.023, 0.0]</t>
  </si>
  <si>
    <t>30.297649165196596</t>
  </si>
  <si>
    <t>[0.006, -0.055, -0.035, -0.021]</t>
  </si>
  <si>
    <t>LINESTRING (8.466862293153033 58.29766014907776, 8.467990823448249 58.2978507676058, 8.47365722858141 58.29839520425672, 8.47366862881995 58.298391752885635, 8.473770328614751 58.29836492303349)</t>
  </si>
  <si>
    <t>[1126547, 1126523, 1126531, 1126539]</t>
  </si>
  <si>
    <t>[1064928, 1064929, 1064936, 1064945]</t>
  </si>
  <si>
    <t>[1064864, 1064928, 1064929, 1064936]</t>
  </si>
  <si>
    <t>[0.006, 0.055, 0.035, 0.021]</t>
  </si>
  <si>
    <t>423.48432005396205</t>
  </si>
  <si>
    <t>[-0.004, 0.008, 0.002, 0.041]</t>
  </si>
  <si>
    <t>LINESTRING (8.481186390179571 58.30030366819128, 8.48012323613015 58.300120950202455, 8.47366112019444 58.29900949269568, 8.47351861750476 58.29898121992584, 8.466862293153033 58.29766014907776)</t>
  </si>
  <si>
    <t>[1363954, 1363962, 1126459, 1126467]</t>
  </si>
  <si>
    <t>[1259335, 1064856, 1064857, 1064864]</t>
  </si>
  <si>
    <t>0.02251570983877024</t>
  </si>
  <si>
    <t>[1259329, 1259335, 1064856, 1064857]</t>
  </si>
  <si>
    <t>[0.004, 0.008, 0.002, 0.041]</t>
  </si>
  <si>
    <t>891.6682785768434</t>
  </si>
  <si>
    <t>[-0.015, -0.021, -0.014, -0.003, 0.007, 0.014, 0.019]</t>
  </si>
  <si>
    <t>LINESTRING (8.473770328614751 58.29836492303349, 8.473794243068797 58.29834736691939, 8.473910767141007 58.29830522643527, 8.474071292530411 58.29830633559131, 8.474167435872225 58.29833547526023, 8.474223242955633 58.29837696977666, 8.47425018345892 58.29842671375363, 8.474226712420561 58.29849092672908)</t>
  </si>
  <si>
    <t>[1363978, 1363986, 1363994, 1364002, 1364010, 1364018, 1364026]</t>
  </si>
  <si>
    <t>[1063410, 1259357, 1063397, 1259370, 1259377, 1259387, 1259395]</t>
  </si>
  <si>
    <t>[1064945, 1063410, 1259357, 1063397, 1259370, 1259377, 1259387]</t>
  </si>
  <si>
    <t>[0.015, 0.021, 0.014, 0.003, 0.007, 0.014, 0.019]</t>
  </si>
  <si>
    <t>45.38658108887654</t>
  </si>
  <si>
    <t>18.353751496584934</t>
  </si>
  <si>
    <t>[0.008, 0.004, 0.04, -0.018]</t>
  </si>
  <si>
    <t>LINESTRING (8.480080815496661 58.30020804679977, 8.473598320999196 58.29909299409206, 8.47346573917613 58.2990666799252, 8.466812340827 58.29774627030521, 8.466168818561803 58.29761855618143)</t>
  </si>
  <si>
    <t>[1126587, 1364082, 1364090, 1364098]</t>
  </si>
  <si>
    <t>[1064992, 1259450, 1259459, 1259467]</t>
  </si>
  <si>
    <t>0.022163988557839315</t>
  </si>
  <si>
    <t>[1064985, 1064992, 1259450, 1259459]</t>
  </si>
  <si>
    <t>[0.008, 0.004, 0.04, 0.018]</t>
  </si>
  <si>
    <t>866.8358685321685</t>
  </si>
  <si>
    <t>[-0.002, 0.014, 0.015]</t>
  </si>
  <si>
    <t>LINESTRING (8.480080815496661 58.30020804679977, 8.479229629550456 58.300127899075896, 8.473443902440044 58.299718023895636, 8.473314037645109 58.29974983297707)</t>
  </si>
  <si>
    <t>[1126595, 1126611, 1126619]</t>
  </si>
  <si>
    <t>[1065002, 1065024, 1065033]</t>
  </si>
  <si>
    <t>0.01201619316136191</t>
  </si>
  <si>
    <t>[1064985, 1065002, 1065024]</t>
  </si>
  <si>
    <t>[0.002, 0.014, 0.015]</t>
  </si>
  <si>
    <t>406.0508564422444</t>
  </si>
  <si>
    <t>[-0.073, -0.024, -0.06, -0.023, 0.015, -0.099, 0.012, -0.048, 0.116, 0.015, -0.034, 0.052, 0.031, -0.0, -0.021, 0.016, -0.003]</t>
  </si>
  <si>
    <t>[0, 1, 0, 1, 0, 1, 0, 0, 1, 0, 0, 1, 0, 1, 0, 0, 0]</t>
  </si>
  <si>
    <t>LINESTRING (8.54095176367103 58.322020733412906, 8.537620678690569 58.319770403084206, 8.536260205039932 58.31887910686948, 8.535726548255571 58.31853938550629, 8.535246000985403 58.318236854765, 8.525776241687698 58.313240103337925, 8.525679274373994 58.31319581283268, 8.521168715022498 58.31118545024099, 8.51887812717237 58.310187044835565, 8.518244765004367 58.30994053093871, 8.50173551855159 58.307224359977, 8.500932592816026 58.30715696919091, 8.498776655365067 58.306975957242166, 8.49250521149673 58.30571363941904, 8.49222972127052 58.305609613280154, 8.488193312972012 58.30331780323412, 8.481136796850306 58.300389776410505, 8.480080815496661 58.30020804679977)</t>
  </si>
  <si>
    <t>[1146722, 1146730, 1146858, 1146866, 1146874, 1146882, 1146890, 1126355, 1126363, 1126371, 1126379, 1126387, 1126395, 1126555, 1126563, 1126571, 1126579]</t>
  </si>
  <si>
    <t>[1082424, 1082432, 1082575, 1082583, 1082591, 1082597, 1064754, 1064755, 1064765, 1064773, 1064779, 1064783, 1064792, 1064964, 1064970, 1064978, 1064985]</t>
  </si>
  <si>
    <t>0.0035302986179329204</t>
  </si>
  <si>
    <t>[1082414, 1082424, 1082432, 1082575, 1082583, 1082591, 1082597, 1064754, 1064755, 1064765, 1064773, 1064779, 1064783, 1064792, 1064964, 1064970, 1064978]</t>
  </si>
  <si>
    <t>[0.073, 0.024, 0.06, 0.023, 0.015, 0.099, 0.012, 0.048, 0.116, 0.015, 0.034, 0.052, 0.031, 0.0, 0.021, 0.016, 0.003]</t>
  </si>
  <si>
    <t>4474.668131975743</t>
  </si>
  <si>
    <t>LINESTRING (8.473314037645109 58.29974983297707, 8.473281594563783 58.29976325873584, 8.47287386220129 58.299601524664475)</t>
  </si>
  <si>
    <t>[1364146, 1364154]</t>
  </si>
  <si>
    <t>[1259518, 1259524]</t>
  </si>
  <si>
    <t>0.018709263166221082</t>
  </si>
  <si>
    <t>[1065033, 1259518]</t>
  </si>
  <si>
    <t>41.67246017769574</t>
  </si>
  <si>
    <t>22.901090329693588</t>
  </si>
  <si>
    <t>[-0.078, -0.084, -0.066, -0.02]</t>
  </si>
  <si>
    <t>LINESTRING (18.348139024005032 68.86082253363827, 18.34833990189532 68.86082163022313, 18.348503513470035 68.86086384503334, 18.34856616067771 68.86093265302958, 18.348525950289172 68.86098920930719)</t>
  </si>
  <si>
    <t>[1129640, 1129648, 1129656, 1129664]</t>
  </si>
  <si>
    <t>[1067529, 1067537, 1067545, 1067554]</t>
  </si>
  <si>
    <t>[1067528, 1067529, 1067537, 1067545]</t>
  </si>
  <si>
    <t>[0.078, 0.084, 0.066, 0.02]</t>
  </si>
  <si>
    <t>30.772911840211115</t>
  </si>
  <si>
    <t>[-0.009, -0.046]</t>
  </si>
  <si>
    <t>LINESTRING (18.34792878301492 68.86090632463194, 18.34801846343078 68.86084951259947, 18.348139024005032 68.86082253363827)</t>
  </si>
  <si>
    <t>[1129720, 1129728]</t>
  </si>
  <si>
    <t>[1067608, 1067528]</t>
  </si>
  <si>
    <t>[1067598, 1067608]</t>
  </si>
  <si>
    <t>[0.009, 0.046]</t>
  </si>
  <si>
    <t>13.002735950637295</t>
  </si>
  <si>
    <t>[-0.083, -0.086]</t>
  </si>
  <si>
    <t>LINESTRING (18.347514131311037 68.86072735264707, 18.3480120998316 68.86080132691914, 18.348139024005032 68.86082253363827)</t>
  </si>
  <si>
    <t>[1129824, 1129832]</t>
  </si>
  <si>
    <t>[1067710, 1067528]</t>
  </si>
  <si>
    <t>[918139, 1067710]</t>
  </si>
  <si>
    <t>[0.083, 0.086]</t>
  </si>
  <si>
    <t>27.307859479864366</t>
  </si>
  <si>
    <t>[0.037, 0.074]</t>
  </si>
  <si>
    <t>LINESTRING (18.348525950289172 68.86098920930719, 18.34840019965539 68.86103451964442, 18.348193015746606 68.86104802914282)</t>
  </si>
  <si>
    <t>[1129672, 1129680]</t>
  </si>
  <si>
    <t>[1067563, 1067571]</t>
  </si>
  <si>
    <t>0.05706558948157807</t>
  </si>
  <si>
    <t>[1067554, 1067563]</t>
  </si>
  <si>
    <t>15.628041228814674</t>
  </si>
  <si>
    <t>[-0.044, -0.026]</t>
  </si>
  <si>
    <t>LINESTRING (18.348525950289172 68.86098920930719, 18.348536213462992 68.8610500155339, 18.348458552925457 68.8612839051235)</t>
  </si>
  <si>
    <t>[1130008, 1130016]</t>
  </si>
  <si>
    <t>[1067878, 1067779]</t>
  </si>
  <si>
    <t>[1067554, 1067878]</t>
  </si>
  <si>
    <t>[0.044, 0.026]</t>
  </si>
  <si>
    <t>33.72065792609586</t>
  </si>
  <si>
    <t>[0.095, 0.084, 0.063, 0.024]</t>
  </si>
  <si>
    <t>LINESTRING (18.348193015746606 68.86104802914282, 18.348114646745064 68.86103978474098, 18.347974062061684 68.86099684665439, 18.34792397754622 68.86095024040844, 18.34792878301492 68.86090632463194)</t>
  </si>
  <si>
    <t>[1129688, 1129696, 1129704, 1129712]</t>
  </si>
  <si>
    <t>[1067582, 1067587, 1067591, 1067598]</t>
  </si>
  <si>
    <t>0.06629015481670904</t>
  </si>
  <si>
    <t>[1067571, 1067582, 1067587, 1067591]</t>
  </si>
  <si>
    <t>21.176397355697794</t>
  </si>
  <si>
    <t>[-0.082, -0.063]</t>
  </si>
  <si>
    <t>LINESTRING (18.348193015746606 68.86104802914282, 18.348269070873727 68.86108671551501, 18.348458552925457 68.8612839051235)</t>
  </si>
  <si>
    <t>[1129896, 1129904]</t>
  </si>
  <si>
    <t>[1067771, 1067779]</t>
  </si>
  <si>
    <t>[1067571, 1067771]</t>
  </si>
  <si>
    <t>[0.082, 0.063]</t>
  </si>
  <si>
    <t>28.721872750378843</t>
  </si>
  <si>
    <t>[-0.075, -0.078]</t>
  </si>
  <si>
    <t>LINESTRING (18.347514131311037 68.86072735264707, 18.347849447147127 68.86087505714528, 18.34792878301492 68.86090632463194)</t>
  </si>
  <si>
    <t>[1129792, 1129800]</t>
  </si>
  <si>
    <t>[1067682, 1067598]</t>
  </si>
  <si>
    <t>[918139, 1067682]</t>
  </si>
  <si>
    <t>[0.075, 0.078]</t>
  </si>
  <si>
    <t>26.025887980257888</t>
  </si>
  <si>
    <t>279.57815542328</t>
  </si>
  <si>
    <t>[-0.078, 0.017]</t>
  </si>
  <si>
    <t>LINESTRING (10.783838590688474 59.75099893721808, 10.78377471096404 59.75114168531007, 10.783901724601169 59.75204645641756)</t>
  </si>
  <si>
    <t>[1141576, 1130637]</t>
  </si>
  <si>
    <t>[1068468, 1068469]</t>
  </si>
  <si>
    <t>0.003806939498261891</t>
  </si>
  <si>
    <t>[1068550, 1068468]</t>
  </si>
  <si>
    <t>[0.078, 0.017]</t>
  </si>
  <si>
    <t>117.43288153702183</t>
  </si>
  <si>
    <t>125.21189405024325</t>
  </si>
  <si>
    <t>[-0.085, -0.149]</t>
  </si>
  <si>
    <t>LINESTRING (10.783903034950123 59.75414778346159, 10.783616569785611 59.75453494637124, 10.783605238109711 59.75454184745176)</t>
  </si>
  <si>
    <t>[1130661, 1130669]</t>
  </si>
  <si>
    <t>[1068495, 1068477]</t>
  </si>
  <si>
    <t>[1068485, 1068495]</t>
  </si>
  <si>
    <t>[0.085, 0.149]</t>
  </si>
  <si>
    <t>47.624458272669294</t>
  </si>
  <si>
    <t>[-0.01, -0.008, -0.001, -0.119, -1.537, -0.108, 0.013, 0.007]</t>
  </si>
  <si>
    <t>LINESTRING (10.783903034950123 59.75414778346159, 10.783872404025422 59.75430999688694, 10.783815251657256 59.75477424939997, 10.783952577668678 59.75600728414538, 10.783515735753243 59.75644033694985, 10.783466159746617 59.75646685162484, 10.782954394607998 59.75671672782377, 10.782844938787083 59.75675141541357, 10.782741225836528 59.75678536135593)</t>
  </si>
  <si>
    <t>[1130903, 1130911, 1130919, 1130927, 1499129, 1499151, 1499152, 1499167]</t>
  </si>
  <si>
    <t>[1068717, 1068722, 1068727, 1068733, 1356737, 1356746, 1356747, 1356754]</t>
  </si>
  <si>
    <t>[1068485, 1068717, 1068722, 1068727, 1068733, 1356737, 1356746, 1356747]</t>
  </si>
  <si>
    <t>[0.01, 0.008, 0.001, 0.119, 1.537, 0.108, 0.013, 0.007]</t>
  </si>
  <si>
    <t>322.59216493295503</t>
  </si>
  <si>
    <t>[0.054, 0.009]</t>
  </si>
  <si>
    <t>LINESTRING (10.783580168285038 59.74835799628482, 10.783619422791164 59.74845045081295, 10.783903034950123 59.75414778346159)</t>
  </si>
  <si>
    <t>[1141571, 1130653]</t>
  </si>
  <si>
    <t>[1068484, 1068485]</t>
  </si>
  <si>
    <t>0.009725159698659565</t>
  </si>
  <si>
    <t>[1068594, 1068484]</t>
  </si>
  <si>
    <t>653.8765369448132</t>
  </si>
  <si>
    <t>[-0.018, 0.023, 0.022, -0.012]</t>
  </si>
  <si>
    <t>LINESTRING (10.78225701745209 59.744673822133365, 10.78328014222761 59.74839162109853, 10.78337466158603 59.74884115561362, 10.783836836994434 59.750991795474, 10.783838590688474 59.75099893721808)</t>
  </si>
  <si>
    <t>[1130693, 1130701, 1130709, 1130717]</t>
  </si>
  <si>
    <t>[1068523, 1068532, 1068539, 1068550]</t>
  </si>
  <si>
    <t>[1068515, 1068523, 1068532, 1068539]</t>
  </si>
  <si>
    <t>[0.018, 0.023, 0.022, 0.012]</t>
  </si>
  <si>
    <t>710.702456741302</t>
  </si>
  <si>
    <t>[0.052, -0.053, 0.068]</t>
  </si>
  <si>
    <t>15115.0</t>
  </si>
  <si>
    <t>LINESTRING (10.78225701745209 59.744673822133365, 10.782158759754271 59.74454514890477, 10.781505957471111 59.74358521651893, 10.781254522645243 59.74321067682469)</t>
  </si>
  <si>
    <t>[1130887, 1503687, 1503698]</t>
  </si>
  <si>
    <t>[1068704, 1359858, 1356700]</t>
  </si>
  <si>
    <t>[1068515, 1068704, 1359858]</t>
  </si>
  <si>
    <t>[0.052, 0.053, 0.068]</t>
  </si>
  <si>
    <t>172.63456038114754</t>
  </si>
  <si>
    <t>[0.0, 0.01, -0.011, -0.032, -0.095, 0.001, 0.025, 0.048, -0.037, -0.039]</t>
  </si>
  <si>
    <t>LINESTRING (10.7793712591359 59.740818250281244, 10.7793712591359 59.740818250281244, 10.77938162865662 59.74082542656873, 10.780438195006594 59.741629848458864, 10.780671246041091 59.7418392789645, 10.780679004912518 59.7418472433524, 10.781422427140335 59.74275692796724, 10.781427645627582 59.74276540405342, 10.782138213943936 59.74415703023775, 10.782190719275611 59.74439116087568, 10.78225701745209 59.744673822133365)</t>
  </si>
  <si>
    <t>[1558519, 1558527, 1558535, 1558543, 1558551, 1558559, 1558567, 1558575, 1130677, 1130685]</t>
  </si>
  <si>
    <t>[1406056, 1406064, 1406068, 1406075, 1406082, 1406089, 1406094, 1068508, 1068509, 1068515]</t>
  </si>
  <si>
    <t>0.007418168771342798</t>
  </si>
  <si>
    <t>[1406055, 1406056, 1406064, 1406068, 1406075, 1406082, 1406089, 1406094, 1068508, 1068509]</t>
  </si>
  <si>
    <t>[0.0, 0.01, 0.011, 0.032, 0.095, 0.001, 0.025, 0.048, 0.037, 0.039]</t>
  </si>
  <si>
    <t>470.59376934627323</t>
  </si>
  <si>
    <t>[0.068, 0.119, -0.0, 0.052, 0.037, 0.009, 0.071, 0.108, 0.099, 0.078, 0.057, 0.005]</t>
  </si>
  <si>
    <t>LINESTRING (10.783838590688474 59.75099893721808, 10.784435762987489 59.75225955221869, 10.78457622358689 59.75245266403194, 10.810522799671386 59.75927366426962, 10.810746270275342 59.75933326368104, 10.820521576819567 59.76333862986607, 10.832330827784661 59.77208296419311, 10.832986422364854 59.772403665699336, 10.833270795269756 59.77254713116482, 10.83366622780453 59.77274662135706, 10.834745956197219 59.77329401269916, 10.835152243859529 59.77351310185199, 10.836968704552527 59.77479812419114)</t>
  </si>
  <si>
    <t>[1130789, 1130570, 1130572, 1130577, 1130578, 1130975, 1130983, 1130991, 1130999, 1131007, 1131015, 1131023]</t>
  </si>
  <si>
    <t>[1068403, 1068404, 1068405, 1068408, 1068409, 1068762, 1068766, 1068771, 1068776, 1068781, 1068786, 1068757]</t>
  </si>
  <si>
    <t>0.01648355587327485</t>
  </si>
  <si>
    <t>[1068550, 1068403, 1068404, 1068405, 1068408, 1068409, 1068762, 1068766, 1068771, 1068776, 1068781, 1068786]</t>
  </si>
  <si>
    <t>[0.068, 0.119, 0.0, 0.052, 0.037, 0.009, 0.071, 0.108, 0.099, 0.078, 0.057, 0.005]</t>
  </si>
  <si>
    <t>4195.557815456031</t>
  </si>
  <si>
    <t>450.0686435080569</t>
  </si>
  <si>
    <t>[-0.009, 0.023, 0.085, -0.029]</t>
  </si>
  <si>
    <t>15153.0</t>
  </si>
  <si>
    <t>LINESTRING (10.781784931773302 59.74258202694406, 10.782053742923363 59.74321594826689, 10.782099597062366 59.74331785909516, 10.782427018174172 59.74414554506541, 10.78242260076352 59.74436264064402)</t>
  </si>
  <si>
    <t>[1537274, 1537282, 1537290, 1130879]</t>
  </si>
  <si>
    <t>[1389217, 1389226, 1068698, 1068586]</t>
  </si>
  <si>
    <t>0.03417919043526293</t>
  </si>
  <si>
    <t>[1356687, 1389217, 1389226, 1068698]</t>
  </si>
  <si>
    <t>[0.009, 0.023, 0.085, 0.029]</t>
  </si>
  <si>
    <t>202.21877353788537</t>
  </si>
  <si>
    <t>[0.013, 0.022, 0.06, 0.099, 0.0, 0.045, 0.032, 0.009, 0.074, 0.107, 0.099, 0.077, -0.379]</t>
  </si>
  <si>
    <t>47830.0</t>
  </si>
  <si>
    <t>[0, 0, 0, 0, 0, 0, 0, 0, 0, 1, 1, 1, 0]</t>
  </si>
  <si>
    <t>LINESTRING (10.783580168285038 59.74835799628482, 10.783632325639743 59.748770508334715, 10.784053163890983 59.750737271014806, 10.784552948122144 59.75179814559003, 10.78468497889461 59.75199719068414, 10.810833914043597 59.759083527705364, 10.811128166629553 59.759161669587805, 10.8209373857943 59.76320522179562, 10.832247177297681 59.771783891292586, 10.833219769412048 59.77226200624681, 10.833510985803324 59.772411065242096, 10.833915949580385 59.77261832900335, 10.835018234160662 59.77318871445289, 10.835417262347912 59.773400397376165)</t>
  </si>
  <si>
    <t>[1130765, 1130773, 1130781, 1130593, 1130601, 1130615, 1130629, 1131103, 1131111, 1131119, 1131127, 1131135, 1131143]</t>
  </si>
  <si>
    <t>[1068605, 1068612, 1068423, 1068424, 1068430, 1068446, 1068460, 1068863, 1068869, 1068878, 1068884, 1068893, 1068752]</t>
  </si>
  <si>
    <t>0.012823403854299708</t>
  </si>
  <si>
    <t>[1068594, 1068605, 1068612, 1068423, 1068424, 1068430, 1068446, 1068460, 1068863, 1068869, 1068878, 1068884, 1068893]</t>
  </si>
  <si>
    <t>[0.013, 0.022, 0.06, 0.099, 0.0, 0.045, 0.032, 0.009, 0.074, 0.107, 0.099, 0.077, 0.379]</t>
  </si>
  <si>
    <t>4303.825244113325</t>
  </si>
  <si>
    <t>[-0.837, -0.022, -0.024, 0.058]</t>
  </si>
  <si>
    <t>LINESTRING (10.840422480202228 59.78339294239928, 10.840495763568274 59.78339166763331, 10.840633539965086 59.78341671242397, 10.840757158159956 59.78352672556683, 10.84063937420809 59.78365606493751)</t>
  </si>
  <si>
    <t>[1501101, 1501107, 1501115, 1501116]</t>
  </si>
  <si>
    <t>[1357977, 1357979, 1357982, 1356131]</t>
  </si>
  <si>
    <t>[1068637, 1357977, 1357979, 1357982]</t>
  </si>
  <si>
    <t>[0.837, 0.022, 0.024, 0.058]</t>
  </si>
  <si>
    <t>43.17616696834878</t>
  </si>
  <si>
    <t>[0.036, 0.018, -0.041]</t>
  </si>
  <si>
    <t>LINESTRING (10.839391793474 59.78005005651285, 10.839420271283668 59.78020641817892, 10.840292355588971 59.78336603585625, 10.840422480202228 59.78339294239928)</t>
  </si>
  <si>
    <t>[1130815, 1130797, 1130806]</t>
  </si>
  <si>
    <t>[1068631, 1068632, 1068637]</t>
  </si>
  <si>
    <t>0.017615195260345728</t>
  </si>
  <si>
    <t>[1068643, 1068631, 1068632]</t>
  </si>
  <si>
    <t>[0.036, 0.018, 0.041]</t>
  </si>
  <si>
    <t>392.96773909012836</t>
  </si>
  <si>
    <t>[-0.066, 0.836]</t>
  </si>
  <si>
    <t>LINESTRING (10.84017488841511 59.78353345390626, 10.840351745029373 59.78340238999881, 10.840422480202228 59.78339294239928)</t>
  </si>
  <si>
    <t>[1501146, 1501100]</t>
  </si>
  <si>
    <t>[1357976, 1068637]</t>
  </si>
  <si>
    <t>0.09885295682952323</t>
  </si>
  <si>
    <t>[1356102, 1357976]</t>
  </si>
  <si>
    <t>[0.066, 0.836]</t>
  </si>
  <si>
    <t>22.49329860740575</t>
  </si>
  <si>
    <t>[0.046, 0.001, -0.063, 0.002, 0.019, 0.02, 0.023]</t>
  </si>
  <si>
    <t>LINESTRING (10.839391793474 59.78005005651285, 10.839229725639722 59.78229107572768, 10.839204826905505 59.783390414072564, 10.839217557796955 59.78403721821426, 10.839220872402782 59.78420544209609, 10.839417206637002 59.78767226947565, 10.839429531704239 59.78775308693235, 10.839484432462879 59.788112409355016)</t>
  </si>
  <si>
    <t>[1131184, 1131192, 1506065, 1506073, 1506081, 1506109, 1506117]</t>
  </si>
  <si>
    <t>[1068937, 1068944, 1361988, 1361994, 1362001, 1362029, 1362035]</t>
  </si>
  <si>
    <t>0.01731181810445782</t>
  </si>
  <si>
    <t>[1068643, 1068937, 1068944, 1361988, 1361994, 1362001, 1362029]</t>
  </si>
  <si>
    <t>[0.046, 0.001, 0.063, 0.002, 0.019, 0.02, 0.023]</t>
  </si>
  <si>
    <t>899.0406240556974</t>
  </si>
  <si>
    <t>[0.099, -0.015, -0.024, 0.027]</t>
  </si>
  <si>
    <t>2833.0</t>
  </si>
  <si>
    <t>LINESTRING (10.835417262347912 59.773400397376165, 10.837193829042569 59.77470695276708, 10.837457180085416 59.77495651325962, 10.837714447593221 59.77522057200564, 10.839391793474 59.78005005651285)</t>
  </si>
  <si>
    <t>[1131151, 1131159, 1131168, 1131176]</t>
  </si>
  <si>
    <t>[1068907, 1068916, 1068923, 1068643]</t>
  </si>
  <si>
    <t>0.03926968752731584</t>
  </si>
  <si>
    <t>[1068752, 1068907, 1068916, 1068923]</t>
  </si>
  <si>
    <t>[0.099, 0.015, 0.024, 0.027]</t>
  </si>
  <si>
    <t>793.5399939206677</t>
  </si>
  <si>
    <t>[-0.058, -0.04]</t>
  </si>
  <si>
    <t>LINESTRING (10.782527261829873 59.73912613687644, 10.782774570727156 59.73958888463675, 10.78228475106773 59.74099944135717)</t>
  </si>
  <si>
    <t>[1130839, 1130847]</t>
  </si>
  <si>
    <t>[1068667, 1068655]</t>
  </si>
  <si>
    <t>[1068661, 1068667]</t>
  </si>
  <si>
    <t>[0.058, 0.04]</t>
  </si>
  <si>
    <t>217.6150601825807</t>
  </si>
  <si>
    <t>[0.003, -0.026, 0.018, -0.012]</t>
  </si>
  <si>
    <t>LINESTRING (10.781254522645243 59.74321067682469, 10.780910458677578 59.74248026275065, 10.78119490684002 59.74174112763007, 10.782263092531545 59.741018337710585, 10.78228475106773 59.74099944135717)</t>
  </si>
  <si>
    <t>[1503705, 1503711, 1503719, 1130823]</t>
  </si>
  <si>
    <t>[1359869, 1359871, 1068654, 1068655]</t>
  </si>
  <si>
    <t>[1356700, 1359869, 1359871, 1068654]</t>
  </si>
  <si>
    <t>[0.003, 0.026, 0.018, 0.012]</t>
  </si>
  <si>
    <t>271.8013051565649</t>
  </si>
  <si>
    <t>[-0.027, 0.021, -0.157]</t>
  </si>
  <si>
    <t>LINESTRING (10.78098489266442 59.739985590445436, 10.781132478959677 59.740045644866406, 10.782522900223631 59.739188938014905, 10.782527261829873 59.73912613687644)</t>
  </si>
  <si>
    <t>[1498963, 1498972, 1131174]</t>
  </si>
  <si>
    <t>[1356642, 1068931, 1068661]</t>
  </si>
  <si>
    <t>0.012270760922139586</t>
  </si>
  <si>
    <t>[1356641, 1356642, 1068931]</t>
  </si>
  <si>
    <t>[0.027, 0.021, 0.157]</t>
  </si>
  <si>
    <t>201.43453029634625</t>
  </si>
  <si>
    <t>[0.101, -0.024, -0.061, -0.014, 0.009, 0.01]</t>
  </si>
  <si>
    <t>50031.0</t>
  </si>
  <si>
    <t>LINESTRING (10.836968704552527 59.77479812419114, 10.836664895259513 59.77461207969361, 10.835170654648056 59.773840699710966, 10.833524426917274 59.771785399718446, 10.833265524857062 59.770680843248584, 10.83523181838101 59.7732085735923, 10.835417262347912 59.773400397376165)</t>
  </si>
  <si>
    <t>[1130967, 1131417, 1131425, 1131433, 474343, 1130959]</t>
  </si>
  <si>
    <t>[1068758, 1069132, 1069141, 472738, 472748, 1068752]</t>
  </si>
  <si>
    <t>[1068757, 1068758, 1069132, 1069141, 472738, 472748]</t>
  </si>
  <si>
    <t>[0.101, 0.024, 0.061, 0.014, 0.009, 0.01]</t>
  </si>
  <si>
    <t>852.1495140040078</t>
  </si>
  <si>
    <t>[0.073, -0.022, 0.03, 0.044]</t>
  </si>
  <si>
    <t>LINESTRING (10.836968704552527 59.77479812419114, 10.837226263825373 59.77504421966646, 10.837478357906962 59.775304428412156, 10.839105843052456 59.78006056788148, 10.838953768549645 59.78225576064131)</t>
  </si>
  <si>
    <t>[1131031, 1131039, 1131047, 1131055]</t>
  </si>
  <si>
    <t>[1068796, 1068803, 1068808, 1068811]</t>
  </si>
  <si>
    <t>0.03361830833467669</t>
  </si>
  <si>
    <t>[1068757, 1068796, 1068803, 1068808]</t>
  </si>
  <si>
    <t>[0.073, 0.022, 0.03, 0.044]</t>
  </si>
  <si>
    <t>851.8127568300291</t>
  </si>
  <si>
    <t>[-0.648, -0.0, -0.026, -0.0, 0.02, 0.002, 0.006]</t>
  </si>
  <si>
    <t>LINESTRING (10.838953768549645 59.78225576064131, 10.83895207045174 59.78230084303062, 10.838922799153986 59.783395268564966, 10.838933795153197 59.784074961898284, 10.838936503913065 59.78424216858421, 10.83913287383875 59.78768802148862, 10.839145980402145 59.78776828830967, 10.839151839892324 59.78780425925283)</t>
  </si>
  <si>
    <t>[1558583, 1558591, 1558599, 1558607, 1558615, 1558623, 1558631]</t>
  </si>
  <si>
    <t>[1406106, 1406112, 1406120, 1406126, 1406134, 1406141, 1363690]</t>
  </si>
  <si>
    <t>0.004043790866006666</t>
  </si>
  <si>
    <t>[1068811, 1406106, 1406112, 1406120, 1406126, 1406134, 1406141]</t>
  </si>
  <si>
    <t>[0.648, 0.0, 0.026, 0.0, 0.02, 0.002, 0.006]</t>
  </si>
  <si>
    <t>618.6243881917449</t>
  </si>
  <si>
    <t>[0.044, 0.012, 0.003, -0.003, 0.297]</t>
  </si>
  <si>
    <t>LINESTRING (10.8403447869854 59.783672806715266, 10.84023863240553 59.783680232963626, 10.838845848703384 59.78417864028828, 10.83883451374981 59.783722639130445, 10.838881618276728 59.782331491207515, 10.838953768549645 59.78225576064131)</t>
  </si>
  <si>
    <t>[1498199, 1498206, 1498214, 1498222, 1508008]</t>
  </si>
  <si>
    <t>[1356104, 1356107, 1356116, 1356124, 1068811]</t>
  </si>
  <si>
    <t>0.012121255745681866</t>
  </si>
  <si>
    <t>[1356103, 1356104, 1356107, 1356116, 1356124]</t>
  </si>
  <si>
    <t>[0.044, 0.012, 0.003, 0.003, 0.297]</t>
  </si>
  <si>
    <t>637.2993482810862</t>
  </si>
  <si>
    <t>[-0.041, -0.034, -0.004, 0.007, -0.013]</t>
  </si>
  <si>
    <t>LINESTRING (10.782259279497264 59.73745829524308, 10.782290054568614 59.737540757977314, 10.78324248193426 59.73988104917615, 10.782437314103648 59.74026248370553, 10.781028454100671 59.740191829944784, 10.780846517253583 59.74016456899632)</t>
  </si>
  <si>
    <t>[1131165, 1499068, 1499074, 1499084, 1499092]</t>
  </si>
  <si>
    <t>[1068921, 1356707, 1356709, 1356712, 1356715]</t>
  </si>
  <si>
    <t>[1068920, 1068921, 1356707, 1356709, 1356712]</t>
  </si>
  <si>
    <t>[0.041, 0.034, 0.004, 0.007, 0.013]</t>
  </si>
  <si>
    <t>436.86163250331975</t>
  </si>
  <si>
    <t>[-0.024, -0.005, 0.014, -0.071]</t>
  </si>
  <si>
    <t>LINESTRING (10.782259279497264 59.73745829524308, 10.78287358748001 59.7395938483891, 10.78240995764498 59.74102840089615, 10.782390222916094 59.74104503928537, 10.781784931773302 59.74258202694406)</t>
  </si>
  <si>
    <t>[1131401, 1131409, 1131377, 1537266]</t>
  </si>
  <si>
    <t>[1069115, 1069097, 1069098, 1356687]</t>
  </si>
  <si>
    <t>[1068920, 1069115, 1069097, 1069098]</t>
  </si>
  <si>
    <t>[0.024, 0.005, 0.014, 0.071]</t>
  </si>
  <si>
    <t>588.4661089151878</t>
  </si>
  <si>
    <t>[0.093, 0.123]</t>
  </si>
  <si>
    <t>LINESTRING (7.965147159548798 58.14052865329376, 7.964771067596063 58.140452814851926, 7.964700701638204 58.14044353416331)</t>
  </si>
  <si>
    <t>[1135076, 1135084]</t>
  </si>
  <si>
    <t>[1071997, 1072002]</t>
  </si>
  <si>
    <t>0.09758003971034092</t>
  </si>
  <si>
    <t>[1071996, 1071997]</t>
  </si>
  <si>
    <t>28.027174567510738</t>
  </si>
  <si>
    <t>[0.02, 0.021]</t>
  </si>
  <si>
    <t>LINESTRING (7.965147159548798 58.14052865329376, 7.96490987914594 58.14035510327578, 7.964870320822692 58.140321250947046)</t>
  </si>
  <si>
    <t>[1135092, 1135100]</t>
  </si>
  <si>
    <t>[1072008, 1072019]</t>
  </si>
  <si>
    <t>0.020156698971036082</t>
  </si>
  <si>
    <t>[1071996, 1072008]</t>
  </si>
  <si>
    <t>28.333716283942525</t>
  </si>
  <si>
    <t>83.81046821350407</t>
  </si>
  <si>
    <t>[0.106, 0.143]</t>
  </si>
  <si>
    <t>LINESTRING (7.964870320822692 58.140321250947046, 7.964810943235419 58.140393841801504, 7.964700701638204 58.14044353416331)</t>
  </si>
  <si>
    <t>[1135184, 1135191]</t>
  </si>
  <si>
    <t>[1072098, 1072002]</t>
  </si>
  <si>
    <t>0.12420440809947714</t>
  </si>
  <si>
    <t>[1072019, 1072098]</t>
  </si>
  <si>
    <t>17.370793196919365</t>
  </si>
  <si>
    <t>[-0.042, -0.053, -0.003, 0.005]</t>
  </si>
  <si>
    <t>LINESTRING (7.9687813665095 58.14099334187536, 7.968598890363416 58.14099278573231, 7.9684245357305645 58.14098134204112, 7.966668626592722 58.1409855630997, 7.966304443209919 58.14096216403812)</t>
  </si>
  <si>
    <t>[1135108, 1135109, 1138677, 1138692]</t>
  </si>
  <si>
    <t>[1072029, 1072030, 1075066, 1072147]</t>
  </si>
  <si>
    <t>[1072028, 1072029, 1072030, 1075066]</t>
  </si>
  <si>
    <t>[0.042, 0.053, 0.003, 0.005]</t>
  </si>
  <si>
    <t>154.83254023236918</t>
  </si>
  <si>
    <t>[-0.065, -0.022]</t>
  </si>
  <si>
    <t>LINESTRING (7.9687813665095 58.14099334187536, 7.968453023990335 58.1409424019046, 7.965194395956504 58.14003640641602)</t>
  </si>
  <si>
    <t>[1135251, 1138694]</t>
  </si>
  <si>
    <t>[1072164, 1072160]</t>
  </si>
  <si>
    <t>[1072028, 1072164]</t>
  </si>
  <si>
    <t>[0.065, 0.022]</t>
  </si>
  <si>
    <t>238.31012808872137</t>
  </si>
  <si>
    <t>[0.018, 0.047, 0.046, 0.049, 0.05, 0.062, 0.048, 0.025, -0.018, -0.033, -0.062, -0.033, -0.055]</t>
  </si>
  <si>
    <t>LINESTRING (7.978469175150189 58.141441172385335, 7.977067008818923 58.1412609488415, 7.976110029587915 58.14123706649466, 7.974861155019143 58.14121845157836, 7.974788461099819 58.14121721270598, 7.974738118848901 58.14121635482526, 7.974721353780366 58.141216075736544, 7.973865874411065 58.14120580608277, 7.973113975087454 58.14119562366726, 7.973097034609944 58.14119554192868, 7.973032030025522 58.14119523242771, 7.972965807475798 58.14119418856842, 7.971060270664657 58.141165006994434, 7.9687813665095 58.14099334187536)</t>
  </si>
  <si>
    <t>[1182172, 1182180, 1182188, 1182196, 1182204, 1182212, 1182220, 1182228, 1182236, 1182244, 1182252, 1182260, 1135249]</t>
  </si>
  <si>
    <t>[1112245, 1112250, 1077123, 1112259, 1112265, 1112272, 1112278, 1112285, 1112290, 1077118, 1112298, 1072161, 1072028]</t>
  </si>
  <si>
    <t>[1112244, 1112245, 1112250, 1077123, 1112259, 1112265, 1112272, 1112278, 1112285, 1112290, 1077118, 1112298, 1072161]</t>
  </si>
  <si>
    <t>[0.018, 0.047, 0.046, 0.049, 0.05, 0.062, 0.048, 0.025, 0.018, 0.033, 0.062, 0.033, 0.055]</t>
  </si>
  <si>
    <t>576.1133064955965</t>
  </si>
  <si>
    <t>[-0.031, -0.024, -0.022]</t>
  </si>
  <si>
    <t>LINESTRING (7.966304443209919 58.14096216403812, 7.9655113272782545 58.14020798099282, 7.965397863646469 58.140146592079226, 7.965194395956504 58.14003640641602)</t>
  </si>
  <si>
    <t>[1135238, 1135239, 1135248]</t>
  </si>
  <si>
    <t>[1072148, 1072149, 1072160]</t>
  </si>
  <si>
    <t>[1072147, 1072148, 1072149]</t>
  </si>
  <si>
    <t>[0.031, 0.024, 0.022]</t>
  </si>
  <si>
    <t>170.33726513460618</t>
  </si>
  <si>
    <t>133.9655437516118</t>
  </si>
  <si>
    <t>[0.067, 0.055, 0.063]</t>
  </si>
  <si>
    <t>LINESTRING (7.968695528410217 58.140800116531594, 7.969257475667419 58.1408969267276, 7.970814066565006 58.14102887078708, 7.9710649033969005 58.14107973892056)</t>
  </si>
  <si>
    <t>[1135313, 1135314, 1135304]</t>
  </si>
  <si>
    <t>[1072222, 1072215, 1072162]</t>
  </si>
  <si>
    <t>0.0587884448375279</t>
  </si>
  <si>
    <t>[1072217, 1072222, 1072215]</t>
  </si>
  <si>
    <t>143.92276492023558</t>
  </si>
  <si>
    <t>[2.871, 0.022, 0.047, 0.045, 0.046, 0.053, 0.047, 0.061, 0.031, 0.048, 0.054, 0.024, -0.032]</t>
  </si>
  <si>
    <t>1303.0</t>
  </si>
  <si>
    <t>LINESTRING (7.97859783948043 58.14135934152678, 7.978491996757946 58.1413355433776, 7.976928662977246 58.1411694819576, 7.976176740198201 58.14115641457716, 7.975755907766827 58.14115108636741, 7.974981186016354 58.14113068499139, 7.974940876427053 58.14113028334872, 7.974895533017253 58.1411298283758, 7.974843385001713 58.1411293121752, 7.9748260035068155 58.141129134160664, 7.974355581550401 58.141118370897374, 7.973941477498263 58.14112347553184, 7.9730435668794115 58.14111044581679, 7.9710649033969005 58.14107973892056)</t>
  </si>
  <si>
    <t>[1308229, 1184555, 1184563, 1184571, 1184579, 1184587, 1184595, 1184603, 1184611, 1184619, 1184627, 1184635, 1184643]</t>
  </si>
  <si>
    <t>[1114047, 1114048, 1077099, 1114057, 1114061, 1077103, 1114074, 1114080, 1114087, 1114092, 1077094, 1114107, 1072162]</t>
  </si>
  <si>
    <t>0.06152918235578396</t>
  </si>
  <si>
    <t>[1217329, 1114047, 1114048, 1077099, 1114057, 1114061, 1077103, 1114074, 1114080, 1114087, 1114092, 1077094, 1114107]</t>
  </si>
  <si>
    <t>[2.871, 0.022, 0.047, 0.045, 0.046, 0.053, 0.047, 0.061, 0.031, 0.048, 0.054, 0.024, 0.032]</t>
  </si>
  <si>
    <t>447.3883695878488</t>
  </si>
  <si>
    <t>[0.031, 0.075]</t>
  </si>
  <si>
    <t>LINESTRING (7.965464731612011 58.13956558244885, 7.968360108474678 58.140790158736046, 7.968821735322263 58.140910513024764)</t>
  </si>
  <si>
    <t>[1138715, 1135302]</t>
  </si>
  <si>
    <t>[1072213, 1072163]</t>
  </si>
  <si>
    <t>0.036242891678629</t>
  </si>
  <si>
    <t>[1072216, 1072213]</t>
  </si>
  <si>
    <t>254.84415554906323</t>
  </si>
  <si>
    <t>[0.0, -0.088, -0.0, 0.025, 0.065]</t>
  </si>
  <si>
    <t>LINESTRING (7.964130643045473 58.13942914209804, 7.964130643045473 58.13942914209804, 7.965015519720306 58.13979965626653, 7.9655639032573875 58.140027732540176, 7.968515250157964 58.14086417259249, 7.968821735322263 58.140910513024764)</t>
  </si>
  <si>
    <t>[1138729, 1138744, 1138745, 1138756, 1138764]</t>
  </si>
  <si>
    <t>[1075117, 1075133, 1075134, 1075146, 1072163]</t>
  </si>
  <si>
    <t>0.0008972108023420762</t>
  </si>
  <si>
    <t>[1074456, 1075117, 1075133, 1075134, 1075146]</t>
  </si>
  <si>
    <t>[0.0, 0.088, 0.0, 0.025, 0.065]</t>
  </si>
  <si>
    <t>365.24903228850445</t>
  </si>
  <si>
    <t>[-0.133, 0.004, 0.08]</t>
  </si>
  <si>
    <t>LINESTRING (7.959099384865436 58.13697426860805, 7.959195518873644 58.13693778548031, 7.962735127463413 58.13599032997198, 7.962775578792736 58.135953370191004)</t>
  </si>
  <si>
    <t>[1135259, 1135261, 1135262]</t>
  </si>
  <si>
    <t>[1072172, 1072175, 1072176]</t>
  </si>
  <si>
    <t>0.00160428378134114</t>
  </si>
  <si>
    <t>[1072171, 1072172, 1072175]</t>
  </si>
  <si>
    <t>[0.133, 0.004, 0.08]</t>
  </si>
  <si>
    <t>248.112266839618</t>
  </si>
  <si>
    <t>[-0.096, 0.004, -0.039, -0.044, 0.066, 0.082, 0.009]</t>
  </si>
  <si>
    <t>LINESTRING (7.959099384865436 58.13697426860805, 7.9595576588957515 58.13685742615459, 7.959868744964248 58.136790644905666, 7.960892922833165 58.13677332997074, 7.961678603897578 58.137013956109094, 7.961866752700643 58.13713131064007, 7.962020796420369 58.13725592988854, 7.965464731612011 58.13956558244885)</t>
  </si>
  <si>
    <t>[1135277, 1135279, 1135287, 1135288, 1135289, 1135297, 1287420]</t>
  </si>
  <si>
    <t>[0, 0, 0, 0, 0, 0, 1]</t>
  </si>
  <si>
    <t>[1072186, 1072188, 1072196, 1072197, 1072198, 1072208, 1072216]</t>
  </si>
  <si>
    <t>[1072171, 1072186, 1072188, 1072196, 1072197, 1072198, 1072208]</t>
  </si>
  <si>
    <t>[0.096, 0.004, 0.039, 0.044, 0.066, 0.082, 0.009]</t>
  </si>
  <si>
    <t>527.7686695580373</t>
  </si>
  <si>
    <t>[0.0, -0.11]</t>
  </si>
  <si>
    <t>LINESTRING (7.956827756787796 58.13748630198922, 7.956827756787796 58.13748630198922, 7.959099384865436 58.13697426860805)</t>
  </si>
  <si>
    <t>[1135300, 1135298]</t>
  </si>
  <si>
    <t>[1072209, 1072171]</t>
  </si>
  <si>
    <t>[1072210, 1072209]</t>
  </si>
  <si>
    <t>[0.0, 0.11]</t>
  </si>
  <si>
    <t>161.8196825701827</t>
  </si>
  <si>
    <t>LINESTRING (7.962775578792736 58.135953370191004, 7.96277144260676 58.13588690154916, 7.96290127839244 58.13577595174518, 7.963118736328194 58.135744571047496, 7.963231918679245 58.1357613008451, 7.96333183603494 58.135801627826645, 7.963379373076455 58.135989823595615, 7.9632964787127145 58.136045428530934, 7.963197916225369 58.13607520102771, 7.963038762506008 58.13608295863161, 7.962878825179337 58.13604764859662)</t>
  </si>
  <si>
    <t>12.15560002585712</t>
  </si>
  <si>
    <t>[0.077, 0.057, 0.043, 0.031, 0.018]</t>
  </si>
  <si>
    <t>LINESTRING (7.956827756787796 58.13748630198922, 7.955919065598367 58.1376022167232, 7.9558868813002395 58.13760554029205, 7.954842551857241 58.13768653985218, 7.953817388205574 58.13772649893336, 7.953711134699156 58.13771854486634)</t>
  </si>
  <si>
    <t>[1184651, 1184659, 1184667, 1184675, 1184683]</t>
  </si>
  <si>
    <t>[1114118, 1114123, 1114130, 1114133, 1114141]</t>
  </si>
  <si>
    <t>0.0458027820236686</t>
  </si>
  <si>
    <t>[1072210, 1114118, 1114123, 1114130, 1114133]</t>
  </si>
  <si>
    <t>170.7380206079848</t>
  </si>
  <si>
    <t>240.71554251279935</t>
  </si>
  <si>
    <t>[0.0, 0.036, 0.037, 0.079]</t>
  </si>
  <si>
    <t>LINESTRING (7.965636625212505 58.13935121244191, 7.965636625212505 58.13935121244191, 7.965655207276222 58.139368374050626, 7.968561566908392 58.14076061204785, 7.968695528410217 58.140800116531594)</t>
  </si>
  <si>
    <t>[1340660, 1340667, 1135323, 1287412]</t>
  </si>
  <si>
    <t>[1243697, 1072229, 1072230, 1072217]</t>
  </si>
  <si>
    <t>0.0372396753158084</t>
  </si>
  <si>
    <t>[1243694, 1243697, 1072229, 1072230]</t>
  </si>
  <si>
    <t>256.98788461669284</t>
  </si>
  <si>
    <t>[0.012, 0.008, 0.003, -0.008]</t>
  </si>
  <si>
    <t>LINESTRING (10.330210146601035 59.73889405797879, 10.330091479905958 59.73898126808015, 10.329973567765228 59.73899793527796, 10.329863696920588 59.738986007924694, 10.329773081907812 59.73880037483931)</t>
  </si>
  <si>
    <t>[1138405, 1138420, 1138442, 1138456]</t>
  </si>
  <si>
    <t>[1074826, 1074833, 1074850, 1074865]</t>
  </si>
  <si>
    <t>0.0005211311440559184</t>
  </si>
  <si>
    <t>[1074825, 1074826, 1074833, 1074850]</t>
  </si>
  <si>
    <t>[0.012, 0.008, 0.003, 0.008]</t>
  </si>
  <si>
    <t>49.45551069141186</t>
  </si>
  <si>
    <t>LINESTRING (10.330129539099632 59.73878150093478, 10.330198666646046 59.73883252350263, 10.330210146601035 59.73889405797879)</t>
  </si>
  <si>
    <t>[1138498, 1138506]</t>
  </si>
  <si>
    <t>[1074906, 1074825]</t>
  </si>
  <si>
    <t>0.007999875099313648</t>
  </si>
  <si>
    <t>[1074899, 1074906]</t>
  </si>
  <si>
    <t>13.778486536855041</t>
  </si>
  <si>
    <t>LINESTRING (10.330653162337715 59.73877968741088, 10.33029009172713 59.738872017904235, 10.330210146601035 59.73889405797879)</t>
  </si>
  <si>
    <t>[1138535, 1138541]</t>
  </si>
  <si>
    <t>[1074944, 1074825]</t>
  </si>
  <si>
    <t>[1074923, 1074944]</t>
  </si>
  <si>
    <t>28.155256851220038</t>
  </si>
  <si>
    <t>[-0.011, -0.006]</t>
  </si>
  <si>
    <t>LINESTRING (10.329773081907812 59.73880037483931, 10.329868771703493 59.73876180656345, 10.329989501332577 59.738751490905265)</t>
  </si>
  <si>
    <t>[1138480, 1138481]</t>
  </si>
  <si>
    <t>[1074890, 1074891]</t>
  </si>
  <si>
    <t>[1074865, 1074890]</t>
  </si>
  <si>
    <t>[0.011, 0.006]</t>
  </si>
  <si>
    <t>13.778908737222526</t>
  </si>
  <si>
    <t>[-0.011, -0.011, 0.0, -0.011]</t>
  </si>
  <si>
    <t>LINESTRING (10.329773081907812 59.73880037483931, 10.329771619600537 59.73873244236797, 10.329756588545028 59.73860428608839, 10.32975572120961 59.73859914640146, 10.329786457493233 59.73841404910133)</t>
  </si>
  <si>
    <t>[1138589, 1138597, 1138598, 1138605]</t>
  </si>
  <si>
    <t>[1074995, 1074999, 1075000, 1074921]</t>
  </si>
  <si>
    <t>[1074865, 1074995, 1074999, 1075000]</t>
  </si>
  <si>
    <t>[0.011, 0.011, 0.0, 0.011]</t>
  </si>
  <si>
    <t>43.53905696873552</t>
  </si>
  <si>
    <t>8.559704960061053</t>
  </si>
  <si>
    <t>[-0.007, -0.008, -0.018, -0.009]</t>
  </si>
  <si>
    <t>LINESTRING (10.329989501332577 59.738751490905265, 10.329929923995474 59.738703785507276, 10.329873452137598 59.73859868079921, 10.32987220742524 59.73859279912923, 10.329786457493233 59.73841404910133)</t>
  </si>
  <si>
    <t>[1138555, 1138570, 1138578, 1138579]</t>
  </si>
  <si>
    <t>[1074963, 1074979, 1074985, 1074921]</t>
  </si>
  <si>
    <t>[1074891, 1074963, 1074979, 1074985]</t>
  </si>
  <si>
    <t>[0.007, 0.008, 0.018, 0.009]</t>
  </si>
  <si>
    <t>39.97033211659037</t>
  </si>
  <si>
    <t>LINESTRING (10.330653162337715 59.73877968741088, 10.330259120968556 59.73877974813373, 10.330129539099632 59.73878150093478)</t>
  </si>
  <si>
    <t>[1138513, 1138524]</t>
  </si>
  <si>
    <t>[1074924, 1074899]</t>
  </si>
  <si>
    <t>[1074923, 1074924]</t>
  </si>
  <si>
    <t>29.655870502480205</t>
  </si>
  <si>
    <t>[-0.021, -0.224, -0.072, -0.077, -0.043, -0.025, -0.012, -0.022, -0.024, -0.064]</t>
  </si>
  <si>
    <t>LINESTRING (10.329786457493233 59.73841404910133, 10.329602643587211 59.73793804127207, 10.329245217813027 59.73754431686362, 10.32789301147656 59.73595090640225, 10.327851588590152 59.735519589463664, 10.32782581262804 59.73528472740684, 10.327073477237425 59.73389349516059, 10.326586752351773 59.732972750562546, 10.326385900748997 59.732599852105224, 10.32624564311762 59.73245633846518, 10.325435937689955 59.732017325384305)</t>
  </si>
  <si>
    <t>[1138512, 1412692, 1412708, 1412716, 1412724, 1412732, 1412744, 1412745, 1412746, 1412754]</t>
  </si>
  <si>
    <t>[1074922, 1291589, 1291598, 1291601, 1279723, 1291612, 1291620, 1279878, 1291621, 1291627]</t>
  </si>
  <si>
    <t>[1074921, 1074922, 1291589, 1291598, 1291601, 1279723, 1291612, 1291620, 1279878, 1291621]</t>
  </si>
  <si>
    <t>[0.021, 0.224, 0.072, 0.077, 0.043, 0.025, 0.012, 0.022, 0.024, 0.064]</t>
  </si>
  <si>
    <t>769.8494883407484</t>
  </si>
  <si>
    <t>[0.003, -0.015, -0.052, -0.027, -0.016, -0.147, 0.007]</t>
  </si>
  <si>
    <t>14530.0</t>
  </si>
  <si>
    <t>LINESTRING (10.375827264706835 59.73952778569252, 10.342800228945723 59.736852907083325, 10.33943405813709 59.737238269790446, 10.336051708638065 59.737462576678034, 10.33214910339735 59.73845965210241, 10.330945159140516 59.73874535695851, 10.330830630335178 59.73875975288408, 10.330653162337715 59.73877968741088)</t>
  </si>
  <si>
    <t>[1412626, 1412634, 1412642, 1412652, 1412655, 1412671, 1138534]</t>
  </si>
  <si>
    <t>[1291539, 1291544, 1291549, 1291557, 1291559, 1074943, 1074923]</t>
  </si>
  <si>
    <t>[1291538, 1291539, 1291544, 1291549, 1291557, 1291559, 1074943]</t>
  </si>
  <si>
    <t>[0.003, 0.015, 0.052, 0.027, 0.016, 0.147, 0.007]</t>
  </si>
  <si>
    <t>3000.987958701281</t>
  </si>
  <si>
    <t>3.1856710438708813</t>
  </si>
  <si>
    <t>[0.019, 0.003]</t>
  </si>
  <si>
    <t>LINESTRING (7.937886253997099 58.14091825554052, 7.937834687955491 58.14096243074986, 7.9377345581975325 58.14098515788407)</t>
  </si>
  <si>
    <t>[1140741, 1140745]</t>
  </si>
  <si>
    <t>[1077060, 1076967]</t>
  </si>
  <si>
    <t>0.010583102787738285</t>
  </si>
  <si>
    <t>[1077009, 1077060]</t>
  </si>
  <si>
    <t>12.22108017746401</t>
  </si>
  <si>
    <t>[-0.037, -0.067, -0.019, 0.004, 0.033, 0.046, 0.04]</t>
  </si>
  <si>
    <t>LINESTRING (7.937553453467325 58.14092407011405, 7.937548014131713 58.14087963384978, 7.937590737359 58.14083450704691, 7.93769495154896 58.14080504075745, 7.937738431805585 58.14080492776464, 7.937825624395201 58.14082374877119, 7.9378870742516705 58.140878673798724, 7.937886253997099 58.14091825554052)</t>
  </si>
  <si>
    <t>[1140728, 1140729, 1140735, 1140736, 1140737, 1140739, 1140740]</t>
  </si>
  <si>
    <t>[1076920, 1077049, 1076942, 1077056, 1077057, 1077059, 1077009]</t>
  </si>
  <si>
    <t>0.00011460228399626201</t>
  </si>
  <si>
    <t>[1077043, 1076920, 1077049, 1076942, 1077056, 1077057, 1077059]</t>
  </si>
  <si>
    <t>[0.037, 0.067, 0.019, 0.004, 0.033, 0.046, 0.04]</t>
  </si>
  <si>
    <t>37.23003416196591</t>
  </si>
  <si>
    <t>[-0.012, 0.003]</t>
  </si>
  <si>
    <t>LINESTRING (7.937680620020903 58.1409838688199, 7.937601095477632 58.140963852196094, 7.937553453467325 58.14092407011405)</t>
  </si>
  <si>
    <t>[1140723, 1140727]</t>
  </si>
  <si>
    <t>[1077045, 1077043]</t>
  </si>
  <si>
    <t>[1077029, 1077045]</t>
  </si>
  <si>
    <t>[0.012, 0.003]</t>
  </si>
  <si>
    <t>10.450192025694964</t>
  </si>
  <si>
    <t>[-0.013, -0.013, -0.004, 0.117, 0.118, 0.146]</t>
  </si>
  <si>
    <t>LINESTRING (7.269175010988923 58.094645357124485, 7.268154519586472 58.0947301337697, 7.268139361852863 58.09472997523478, 7.267477610299026 58.094655585922496, 7.2674126556013725 58.09463475671946, 7.2673076330899145 58.09459808937883, 7.267214512200778 58.09456151711894)</t>
  </si>
  <si>
    <t>[1141097, 1141100, 1141106, 1141114, 1141122, 1141130]</t>
  </si>
  <si>
    <t>[284406, 1077408, 1077412, 1077421, 1077428, 1077436]</t>
  </si>
  <si>
    <t>0.01184082749982962</t>
  </si>
  <si>
    <t>[1077405, 284406, 1077408, 1077412, 1077421, 1077428]</t>
  </si>
  <si>
    <t>[0.013, 0.013, 0.004, 0.117, 0.118, 0.146]</t>
  </si>
  <si>
    <t>121.16512857892397</t>
  </si>
  <si>
    <t>[-0.015, -0.021, -0.006, 0.09, 0.115, 0.099]</t>
  </si>
  <si>
    <t>LINESTRING (7.269175010988923 58.094645357124485, 7.268150698413015 58.094780863866866, 7.2681386572768325 58.09478070615633, 7.267413010529556 58.094723880824404, 7.26733912460386 58.094717477098904, 7.267241417977292 58.09471221665665, 7.267113623315974 58.09471200967482)</t>
  </si>
  <si>
    <t>[1141135, 1141143, 1141152, 1141160, 1141190, 1141198]</t>
  </si>
  <si>
    <t>[284407, 1077450, 1077458, 1077467, 1077500, 1077507]</t>
  </si>
  <si>
    <t>0.004642987656905447</t>
  </si>
  <si>
    <t>[1077405, 284407, 1077450, 1077458, 1077467, 1077500]</t>
  </si>
  <si>
    <t>[0.015, 0.021, 0.006, 0.09, 0.115, 0.099]</t>
  </si>
  <si>
    <t>125.59118452983331</t>
  </si>
  <si>
    <t>[-0.088, 0.011]</t>
  </si>
  <si>
    <t>LINESTRING (7.267214512200778 58.09456151711894, 7.267211655138157 58.094657569773936, 7.267113623315974 58.09471200967482)</t>
  </si>
  <si>
    <t>[1141476, 1141477]</t>
  </si>
  <si>
    <t>[1077729, 1077507]</t>
  </si>
  <si>
    <t>[1077436, 1077729]</t>
  </si>
  <si>
    <t>[0.088, 0.011]</t>
  </si>
  <si>
    <t>19.360939122849814</t>
  </si>
  <si>
    <t>[-0.024, -0.137]</t>
  </si>
  <si>
    <t>LINESTRING (7.266790491507317 58.09459876371043, 7.267063000032916 58.094493919315354, 7.267214512200778 58.09456151711894)</t>
  </si>
  <si>
    <t>[1141468, 1141469]</t>
  </si>
  <si>
    <t>[1077404, 1077436]</t>
  </si>
  <si>
    <t>[1077722, 1077404]</t>
  </si>
  <si>
    <t>[0.024, 0.137]</t>
  </si>
  <si>
    <t>34.47907627412009</t>
  </si>
  <si>
    <t>9.436630754799472</t>
  </si>
  <si>
    <t>[-0.065, -0.048]</t>
  </si>
  <si>
    <t>LINESTRING (7.219321050570457 58.10782057991593, 7.219203033289324 58.107833823685326, 7.218809991977438 58.10790000252839)</t>
  </si>
  <si>
    <t>[1141336, 1141344]</t>
  </si>
  <si>
    <t>[1077627, 1077636]</t>
  </si>
  <si>
    <t>[1077626, 1077627]</t>
  </si>
  <si>
    <t>[0.065, 0.048]</t>
  </si>
  <si>
    <t>31.496443952634543</t>
  </si>
  <si>
    <t>[-0.114, -0.107]</t>
  </si>
  <si>
    <t>LINESTRING (7.219321050570457 58.10782057991593, 7.219168711267779 58.107759609534696, 7.219112521287023 58.107650213380076)</t>
  </si>
  <si>
    <t>[1141492, 1141507]</t>
  </si>
  <si>
    <t>[1077740, 1077662]</t>
  </si>
  <si>
    <t>[1077626, 1077740]</t>
  </si>
  <si>
    <t>[0.114, 0.107]</t>
  </si>
  <si>
    <t>23.93819674817359</t>
  </si>
  <si>
    <t>35.224885182910256</t>
  </si>
  <si>
    <t>LINESTRING (7.219112521287023 58.107650213380076, 7.219045753823634 58.10771835493264, 7.218809991977438 58.10790000252839)</t>
  </si>
  <si>
    <t>[1141375, 1141393]</t>
  </si>
  <si>
    <t>[1077663, 1077636]</t>
  </si>
  <si>
    <t>0.03019989365820962</t>
  </si>
  <si>
    <t>[1077662, 1077663]</t>
  </si>
  <si>
    <t>33.16775240308432</t>
  </si>
  <si>
    <t>[-0.062, -0.021, 0.045, 0.087]</t>
  </si>
  <si>
    <t>LINESTRING (7.219112521287023 58.107650213380076, 7.219142458898204 58.107587476198105, 7.219245921394073 58.10752122726541, 7.2194379714646875 58.10748846714935, 7.219557889667183 58.10750106195581)</t>
  </si>
  <si>
    <t>[1141516, 1141537, 1141538, 1141552]</t>
  </si>
  <si>
    <t>[1077760, 1077784, 1077785, 1077794]</t>
  </si>
  <si>
    <t>0.014337696365487165</t>
  </si>
  <si>
    <t>[1077662, 1077760, 1077784, 1077785]</t>
  </si>
  <si>
    <t>[0.062, 0.021, 0.045, 0.087]</t>
  </si>
  <si>
    <t>35.96205329652171</t>
  </si>
  <si>
    <t>[0.118, 0.13]</t>
  </si>
  <si>
    <t>LINESTRING (7.26695491784666 58.09472126096514, 7.266845031103118 58.09468542362018, 7.266790491507317 58.09459876371043)</t>
  </si>
  <si>
    <t>[1141461, 1141462]</t>
  </si>
  <si>
    <t>[1077721, 1077722]</t>
  </si>
  <si>
    <t>0.1249240848858944</t>
  </si>
  <si>
    <t>[1077692, 1077721]</t>
  </si>
  <si>
    <t>18.032564162851514</t>
  </si>
  <si>
    <t>[0.022, -0.021, 0.033, 0.003, 0.038, 0.054, 0.067, 0.104, -0.0, 0.029, 0.027]</t>
  </si>
  <si>
    <t>[0, 0, 0, 1, 0, 1, 0, 0, 0, 0, 0]</t>
  </si>
  <si>
    <t>LINESTRING (7.26695491784666 58.09472126096514, 7.266868051384207 58.094746630308826, 7.265573119364577 58.09536374211193, 7.252925337209475 58.098890243393065, 7.252126682591455 58.09901329870042, 7.245761106682098 58.10106087436577, 7.2456624885702325 58.10109903004496, 7.233176857412604 58.104511822285595, 7.232412552219014 58.104701170063905, 7.224453214402095 58.106518695988626, 7.219832960746694 58.107619397831485, 7.219759614588198 58.1076737155661)</t>
  </si>
  <si>
    <t>[1141688, 1141696, 1141704, 1141705, 1141720, 1141721, 1141642, 1141650, 1141672, 1141673, 1141680]</t>
  </si>
  <si>
    <t>[1077901, 1077908, 1077914, 1077915, 1077932, 1077868, 1077869, 1077875, 1077890, 1077891, 1077734]</t>
  </si>
  <si>
    <t>0.035808197464587105</t>
  </si>
  <si>
    <t>[1077692, 1077901, 1077908, 1077914, 1077915, 1077932, 1077868, 1077869, 1077875, 1077890, 1077891]</t>
  </si>
  <si>
    <t>[0.022, 0.021, 0.033, 0.003, 0.038, 0.054, 0.067, 0.104, 0.0, 0.029, 0.027]</t>
  </si>
  <si>
    <t>3167.9038680773187</t>
  </si>
  <si>
    <t>[-0.021, -0.03, 0.032, 0.005, 0.04, 0.054, 0.066, 0.103, 0.001, 0.017, -0.053]</t>
  </si>
  <si>
    <t>LINESTRING (7.266790491507317 58.09459876371043, 7.2667209081207815 58.09464605669593, 7.265503786834006 58.0953065436624, 7.252895085748051 58.098828239414495, 7.252091324637598 58.098952064424, 7.245753954885916 58.10098440916756, 7.245651980728 58.10102389260248, 7.233127804262672 58.104453349614865, 7.23235649578196 58.10464434203152, 7.224425099069926 58.106456084046684, 7.219660567566219 58.10748581174215, 7.219557889667183 58.10750106195581)</t>
  </si>
  <si>
    <t>[1141569, 1141581, 1141582, 1141597, 1141598, 1141605, 1141613, 1141621, 1141622, 1141629, 1141634]</t>
  </si>
  <si>
    <t>[1077806, 1077815, 1077816, 1077828, 1077829, 1077836, 1077844, 1077851, 1077852, 1077858, 1077794]</t>
  </si>
  <si>
    <t>0.03408842904301056</t>
  </si>
  <si>
    <t>[1077722, 1077806, 1077815, 1077816, 1077828, 1077829, 1077836, 1077844, 1077851, 1077852, 1077858]</t>
  </si>
  <si>
    <t>[0.021, 0.03, 0.032, 0.005, 0.04, 0.054, 0.066, 0.103, 0.001, 0.017, 0.053]</t>
  </si>
  <si>
    <t>3167.6758653182605</t>
  </si>
  <si>
    <t>[0.122, 0.099]</t>
  </si>
  <si>
    <t>LINESTRING (7.219557889667183 58.10750106195581, 7.219706309437621 58.107565065076926, 7.219759614588198 58.1076737155661)</t>
  </si>
  <si>
    <t>[1141553, 1141561]</t>
  </si>
  <si>
    <t>[1077795, 1077734]</t>
  </si>
  <si>
    <t>0.10983366976310922</t>
  </si>
  <si>
    <t>[1077794, 1077795]</t>
  </si>
  <si>
    <t>24.013173784878937</t>
  </si>
  <si>
    <t>[0.016, 0.025, -0.004, 0.048, 0.003, -0.062, -0.038, 0.069, 0.072, 0.055, 0.035]</t>
  </si>
  <si>
    <t>[0, 0, 0, 0, 0, 1, 0, 0, 1, 0, 0]</t>
  </si>
  <si>
    <t>LINESTRING (8.74248350818154 58.472332304570706, 8.742126768205026 58.47191633707489, 8.741211614177308 58.470990019566756, 8.734368223600923 58.466353952839995, 8.734359628279226 58.4663492445729, 8.731266846560466 58.46483992260916, 8.728856489791614 58.46384185880325, 8.728665902532487 58.46376812131397, 8.728052514710804 58.46353501124593, 8.72796532259648 58.463502632766804, 8.726227151853756 58.462881193235546, 8.725928731089438 58.462781595958205)</t>
  </si>
  <si>
    <t>[1146181, 1146189, 1146197, 1146205, 1146213, 1146221, 1146229, 1146237, 1146245, 1146253, 1146261]</t>
  </si>
  <si>
    <t>[1081980, 1081989, 1081998, 1082006, 1082013, 1082020, 1082025, 1082032, 1082037, 1082043, 1081920]</t>
  </si>
  <si>
    <t>0.0008324800897343517</t>
  </si>
  <si>
    <t>[1081908, 1081980, 1081989, 1081998, 1082006, 1082013, 1082020, 1082025, 1082032, 1082037, 1082043]</t>
  </si>
  <si>
    <t>[0.016, 0.025, 0.004, 0.048, 0.003, 0.062, 0.038, 0.069, 0.072, 0.055, 0.035]</t>
  </si>
  <si>
    <t>1457.4155543329703</t>
  </si>
  <si>
    <t>[0.042, -0.016, -0.058]</t>
  </si>
  <si>
    <t>LINESTRING (8.745805351227501 58.475440443534914, 8.743804424562354 58.473870599075134, 8.742725622666814 58.472592288109475, 8.74248350818154 58.472332304570706)</t>
  </si>
  <si>
    <t>[2132669, 1146165, 1146173]</t>
  </si>
  <si>
    <t>[1081962, 1081963, 1081908]</t>
  </si>
  <si>
    <t>0.011258258925451367</t>
  </si>
  <si>
    <t>[1834417, 1081962, 1081963]</t>
  </si>
  <si>
    <t>[0.042, 0.016, 0.058]</t>
  </si>
  <si>
    <t>399.11484789046693</t>
  </si>
  <si>
    <t>[0.005, -0.006, -0.056, 0.003, -0.062, -0.051]</t>
  </si>
  <si>
    <t>LINESTRING (8.741316255728693 58.470958490565216, 8.739021526023606 58.46917951478794, 8.734443067818512 58.466316474709934, 8.734434289351224 58.46631182951499, 8.731330795386988 58.46481099876664, 8.728954424849649 58.463825681466844, 8.728836242286722 58.46377917434593)</t>
  </si>
  <si>
    <t>[1146397, 1146405, 1146413, 1146421, 1146429, 1146437]</t>
  </si>
  <si>
    <t>[1082159, 1082168, 1082176, 1082185, 1082192, 1081930]</t>
  </si>
  <si>
    <t>[1081914, 1082159, 1082168, 1082176, 1082185, 1082192]</t>
  </si>
  <si>
    <t>[0.005, 0.006, 0.056, 0.003, 0.062, 0.051]</t>
  </si>
  <si>
    <t>1089.8207309451575</t>
  </si>
  <si>
    <t>[0.003, 0.043, -0.014, -0.056, -0.025, 0.025]</t>
  </si>
  <si>
    <t>LINESTRING (8.745898133546815 58.47543680653798, 8.745748424332257 58.47533943136727, 8.743876983307356 58.4738541580297, 8.742802600748876 58.472575442718245, 8.742587369037961 58.472309021583015, 8.742228756181326 58.471891116502725, 8.741316255728693 58.470958490565216)</t>
  </si>
  <si>
    <t>[2132701, 2132709, 1146365, 1146373, 1146381, 1146389]</t>
  </si>
  <si>
    <t>[1834467, 1082131, 1082132, 1082141, 1082148, 1081914]</t>
  </si>
  <si>
    <t>0.010983920963080606</t>
  </si>
  <si>
    <t>[1834398, 1834467, 1082131, 1082132, 1082141, 1082148]</t>
  </si>
  <si>
    <t>[0.003, 0.043, 0.014, 0.056, 0.025, 0.025]</t>
  </si>
  <si>
    <t>568.9003285198663</t>
  </si>
  <si>
    <t>[0.001, -0.024, -0.014, 0.021]</t>
  </si>
  <si>
    <t>LINESTRING (8.725928731089438 58.462781595958205, 8.721901055984555 58.46147935485139, 8.721463159871046 58.46133625661324, 8.720310560009091 58.46095581098299, 8.719615736178588 58.46072437338986)</t>
  </si>
  <si>
    <t>[1146269, 1146277, 1146285, 1146293]</t>
  </si>
  <si>
    <t>[1082055, 1082063, 1082068, 1081938]</t>
  </si>
  <si>
    <t>[1081920, 1082055, 1082063, 1082068]</t>
  </si>
  <si>
    <t>[0.001, 0.024, 0.014, 0.021]</t>
  </si>
  <si>
    <t>434.469007979107</t>
  </si>
  <si>
    <t>[0.062, 0.065, 0.054, 0.035, 0.002, -0.024, -0.014, 0.021, 0.006]</t>
  </si>
  <si>
    <t>[0, 1, 0, 0, 0, 1, 0, 0, 0]</t>
  </si>
  <si>
    <t>LINESTRING (8.728836242286722 58.46377917434593, 8.728064774037813 58.463483738719255, 8.727977102838649 58.463451156609494, 8.72628172545828 58.46284693935335, 8.72597499010648 58.46274443927829, 8.72194546259994 58.46144055950558, 8.721509557798221 58.46129882010271, 8.720397032857264 58.46093087251775, 8.719726824834039 58.460706697403985, 8.719183290170351 58.46052020363819)</t>
  </si>
  <si>
    <t>[1146445, 1146453, 1146461, 1146469, 1146477, 1146485, 1146493, 1146501, 1146509]</t>
  </si>
  <si>
    <t>[1082203, 1082209, 1082214, 1082222, 1082229, 1082233, 1082241, 1082244, 1081944]</t>
  </si>
  <si>
    <t>0.016455253238965014</t>
  </si>
  <si>
    <t>[1081930, 1082203, 1082209, 1082214, 1082222, 1082229, 1082233, 1082241, 1082244]</t>
  </si>
  <si>
    <t>[0.062, 0.065, 0.054, 0.035, 0.002, 0.024, 0.014, 0.021, 0.006]</t>
  </si>
  <si>
    <t>671.2775073943143</t>
  </si>
  <si>
    <t>[0.005, -0.023, -0.029, 0.025]</t>
  </si>
  <si>
    <t>LINESTRING (8.719615736178588 58.46072437338986, 8.719114048953573 58.46055122085996, 8.71403693397209 58.45856802934239, 8.713857932474028 58.45848231047112, 8.711451657693091 58.457147082249826)</t>
  </si>
  <si>
    <t>[1146301, 1146309, 1146317, 1146325]</t>
  </si>
  <si>
    <t>[1082082, 1082087, 1082095, 1081951]</t>
  </si>
  <si>
    <t>[1081938, 1082082, 1082087, 1082095]</t>
  </si>
  <si>
    <t>[0.005, 0.023, 0.029, 0.025]</t>
  </si>
  <si>
    <t>624.8416485755855</t>
  </si>
  <si>
    <t>[0.025, -0.073, 0.013, 0.012, -0.008, -0.029, -0.03]</t>
  </si>
  <si>
    <t>LINESTRING (8.711451657693091 58.457147082249826, 8.711200236438097 58.457002407133395, 8.71084827208824 58.456783534247265, 8.710761631663964 58.456721882362395, 8.710013221249929 58.45614603176231, 8.708973985240847 58.45591780137444, 8.708866072354542 58.45594580096501, 8.708777015149014 58.45597654823854)</t>
  </si>
  <si>
    <t>[1146157, 1750371, 1750378, 1750396, 1750405, 1750423, 1750431]</t>
  </si>
  <si>
    <t>[1081952, 1550980, 1550985, 1550992, 1550997, 1551002, 1550910]</t>
  </si>
  <si>
    <t>[1081951, 1081952, 1550980, 1550985, 1550992, 1550997, 1551002]</t>
  </si>
  <si>
    <t>[0.025, 0.073, 0.013, 0.012, 0.008, 0.029, 0.03]</t>
  </si>
  <si>
    <t>224.9482222919959</t>
  </si>
  <si>
    <t>[0.029, 0.025, -0.014, -0.007, 0.004, -0.037]</t>
  </si>
  <si>
    <t>LINESTRING (8.546401936307683 58.328087394873904, 8.545456780444852 58.325543271762136, 8.545407678904056 58.32547944458087, 8.54229728576274 58.32293229152369, 8.542236901922735 58.322890859910906, 8.541440968460773 58.3223519614812, 8.54095176367103 58.322020733412906)</t>
  </si>
  <si>
    <t>[1146673, 1146681, 1146689, 1146697, 1146706, 1146714]</t>
  </si>
  <si>
    <t>[1082373, 1082381, 1082390, 1082396, 1082404, 1082414]</t>
  </si>
  <si>
    <t>0.003140838631607018</t>
  </si>
  <si>
    <t>[1082364, 1082373, 1082381, 1082390, 1082396, 1082404]</t>
  </si>
  <si>
    <t>[0.029, 0.025, 0.014, 0.007, 0.004, 0.037]</t>
  </si>
  <si>
    <t>766.0687011798717</t>
  </si>
  <si>
    <t>[-0.023, -0.001, 0.027]</t>
  </si>
  <si>
    <t>LINESTRING (8.546401936307683 58.328087394873904, 8.546279779808085 58.32765906082159, 8.544426510133228 58.32579237156295, 8.544354617077238 58.32577252529389)</t>
  </si>
  <si>
    <t>[1629701, 1629717, 1629725]</t>
  </si>
  <si>
    <t>[1457365, 1457379, 1457385]</t>
  </si>
  <si>
    <t>[1082364, 1457365, 1457379]</t>
  </si>
  <si>
    <t>[0.023, 0.001, 0.027]</t>
  </si>
  <si>
    <t>303.99860733883617</t>
  </si>
  <si>
    <t>[0.018, -0.024, -0.013, -0.003, -0.056]</t>
  </si>
  <si>
    <t>LINESTRING (8.544215440219755 58.32553096765601, 8.544288674146005 58.32550214304632, 8.542217711720378 58.32295592956853, 8.54215734490127 58.32291449877883, 8.541160695589252 58.32221392181316, 8.54095176367103 58.322020733412906)</t>
  </si>
  <si>
    <t>[1146898, 1146906, 1146914, 1146922, 1146970]</t>
  </si>
  <si>
    <t>[1082611, 1082616, 1082622, 1082629, 1082414]</t>
  </si>
  <si>
    <t>[1082610, 1082611, 1082616, 1082622, 1082629]</t>
  </si>
  <si>
    <t>[0.018, 0.024, 0.013, 0.003, 0.056]</t>
  </si>
  <si>
    <t>456.99470135788783</t>
  </si>
  <si>
    <t>[-0.035, -0.073, -0.019, -0.063, -0.028, 0.014, -0.096, 0.018, -0.045, 0.117, 0.013, -0.041, 0.053, 0.032, 0.008, -0.021, 0.016]</t>
  </si>
  <si>
    <t>[0, 0, 1, 0, 1, 0, 1, 0, 0, 1, 0, 0, 1, 0, 1, 0, 0]</t>
  </si>
  <si>
    <t>LINESTRING (8.541568494130924 58.32229159018717, 8.541078623799569 58.321959320058156, 8.537728000522948 58.31969667087414, 8.536381543054176 58.31881203173177, 8.535923080296032 58.31851972166932, 8.535428164353506 58.318208716302365, 8.525804283746815 58.313132987748716, 8.525709193728758 58.313090594160926, 8.521278839493224 58.31111700852615, 8.518791896638879 58.31004031116845, 8.518129748366537 58.30978840477925, 8.501761402689157 58.30713555824808, 8.500963620425615 58.30706859211788, 8.498801683650482 58.30688710319902, 8.492605873376297 58.30564114382897, 8.492327835888664 58.30553617706253, 8.488309105364088 58.303249381381235, 8.481186390179571 58.30030366819128)</t>
  </si>
  <si>
    <t>[1146786, 1146794, 1146802, 1146810, 1146818, 1146826, 1146834, 1146842, 1126403, 1126411, 1126419, 1126427, 1126435, 1126443, 1363930, 1363938, 1363946]</t>
  </si>
  <si>
    <t>[1082492, 1082502, 1082513, 1082520, 1082531, 1082542, 1082550, 1064800, 1064801, 1064811, 1064818, 1064828, 1064836, 1064844, 1259316, 1259321, 1259329]</t>
  </si>
  <si>
    <t>0.0032635880939430174</t>
  </si>
  <si>
    <t>[1082487, 1082492, 1082502, 1082513, 1082520, 1082531, 1082542, 1082550, 1064800, 1064801, 1064811, 1064818, 1064828, 1064836, 1064844, 1259316, 1259321]</t>
  </si>
  <si>
    <t>[0.035, 0.073, 0.019, 0.063, 0.028, 0.014, 0.096, 0.018, 0.045, 0.117, 0.013, 0.041, 0.053, 0.032, 0.008, 0.021, 0.016]</t>
  </si>
  <si>
    <t>4461.749450559825</t>
  </si>
  <si>
    <t>0.842</t>
  </si>
  <si>
    <t>16.285703466138013</t>
  </si>
  <si>
    <t>[0.039, 0.309]</t>
  </si>
  <si>
    <t>LINESTRING (8.544354617077238 58.32577252529389, 8.544184022048723 58.32578874337387, 8.544215440219755 58.32553096765601)</t>
  </si>
  <si>
    <t>[1629734, 1629742]</t>
  </si>
  <si>
    <t>[1082696, 1082610]</t>
  </si>
  <si>
    <t>0.2555872556823932</t>
  </si>
  <si>
    <t>[1457385, 1082696]</t>
  </si>
  <si>
    <t>51.41723007849605</t>
  </si>
  <si>
    <t>[0.382, -0.018, -0.025, -0.398]</t>
  </si>
  <si>
    <t>LINESTRING (23.271577552665452 69.96896616246913, 23.271441298166383 69.96894054216592, 23.271366612648155 69.96890200530466, 23.271347173083722 69.96886314170396, 23.27139477225135 69.96880920723089)</t>
  </si>
  <si>
    <t>[1164233, 1164241, 1164249, 1164257]</t>
  </si>
  <si>
    <t>[982887, 1098277, 1009357, 1083738]</t>
  </si>
  <si>
    <t>[1083744, 982887, 1098277, 1009357]</t>
  </si>
  <si>
    <t>[0.382, 0.018, 0.025, 0.398]</t>
  </si>
  <si>
    <t>21.807903937539244</t>
  </si>
  <si>
    <t>[0.022, -0.025, -0.062, -0.075]</t>
  </si>
  <si>
    <t>LINESTRING (23.283269177126034 69.97293811294624, 23.283022381483022 69.97291252943215, 23.282945803064116 69.97287899327885, 23.28290904221479 69.97283142309202, 23.282924941135633 69.97279063191111)</t>
  </si>
  <si>
    <t>[1164329, 1164337, 1164345, 1164353]</t>
  </si>
  <si>
    <t>[1009001, 1098350, 1097148, 1083785]</t>
  </si>
  <si>
    <t>[1083792, 1009001, 1098350, 1097148]</t>
  </si>
  <si>
    <t>[0.022, 0.025, 0.062, 0.075]</t>
  </si>
  <si>
    <t>24.947123408679737</t>
  </si>
  <si>
    <t>[0.064, 0.064, 0.044, 0.015]</t>
  </si>
  <si>
    <t>LINESTRING (23.292216501660974 69.97695446966186, 23.292093487354478 69.97694568772403, 23.291983366877798 69.97691767857722, 23.291907851521874 69.97685875648055, 23.291927901188554 69.97680990443605)</t>
  </si>
  <si>
    <t>[1164425, 1164433, 1164441, 1164449]</t>
  </si>
  <si>
    <t>[982790, 1098427, 1009263, 1083816]</t>
  </si>
  <si>
    <t>0.04581797744779025</t>
  </si>
  <si>
    <t>[1083821, 982790, 1098427, 1009263]</t>
  </si>
  <si>
    <t>22.74814343559783</t>
  </si>
  <si>
    <t>[0.011, 0.023, 0.035, 0.036]</t>
  </si>
  <si>
    <t>LINESTRING (23.37382084245351 69.96939432252395, 23.373867074731823 69.9694474636104, 23.373838705149172 69.96949220682383, 23.373732426559883 69.96953277747845, 23.37360918230475 69.96954829417973)</t>
  </si>
  <si>
    <t>[1164529, 1164537, 1164545, 1164553]</t>
  </si>
  <si>
    <t>[982905, 1098514, 1009380, 1083864]</t>
  </si>
  <si>
    <t>0.025858730605176353</t>
  </si>
  <si>
    <t>[1083874, 982905, 1098514, 1009380]</t>
  </si>
  <si>
    <t>22.417799796836547</t>
  </si>
  <si>
    <t>[-0.026, -0.018, -0.009, -0.226]</t>
  </si>
  <si>
    <t>LINESTRING (24.9799429913976 70.05129000606428, 24.98014295334473 70.05135556156807, 24.98016952981702 70.0514082269132, 24.980126846488012 70.05146053962756, 24.979988456312014 70.05150782360808)</t>
  </si>
  <si>
    <t>[1164601, 1164609, 1164617, 1164625]</t>
  </si>
  <si>
    <t>[1096820, 1098575, 1084526, 1096891]</t>
  </si>
  <si>
    <t>[1083926, 1096820, 1098575, 1084526]</t>
  </si>
  <si>
    <t>[0.026, 0.018, 0.009, 0.226]</t>
  </si>
  <si>
    <t>30.28312138504889</t>
  </si>
  <si>
    <t>0.128</t>
  </si>
  <si>
    <t>4.480903926600575</t>
  </si>
  <si>
    <t>[0.045, 0.019, -0.004, -0.027]</t>
  </si>
  <si>
    <t>LINESTRING (25.51143429507745 69.47190251218385, 25.511365571380715 69.47194667047245, 25.511211599248018 69.47197704292887, 25.51106913013279 69.47197837334546, 25.51091386165826 69.47194914621265)</t>
  </si>
  <si>
    <t>[1164721, 1164729, 1164737, 1164745]</t>
  </si>
  <si>
    <t>[983094, 1098665, 991520, 1084007]</t>
  </si>
  <si>
    <t>0.007014490431467812</t>
  </si>
  <si>
    <t>[1084015, 983094, 1098665, 991520]</t>
  </si>
  <si>
    <t>[0.045, 0.019, 0.004, 0.027]</t>
  </si>
  <si>
    <t>25.047328041079563</t>
  </si>
  <si>
    <t>[-0.998, 0.039, 0.026, 0.909]</t>
  </si>
  <si>
    <t>LINESTRING (28.555917648650492 70.17283427197547, 28.555861480235862 70.17285527808303, 28.555732539804026 70.17287446283761, 28.55556919405577 70.17286357493651, 28.55550225691712 70.1728446227692)</t>
  </si>
  <si>
    <t>[1164817, 1164825, 1164833, 1164841]</t>
  </si>
  <si>
    <t>[991550, 1098728, 983119, 1084100]</t>
  </si>
  <si>
    <t>0.011812768122384564</t>
  </si>
  <si>
    <t>[1084189, 991550, 1098728, 983119]</t>
  </si>
  <si>
    <t>[0.998, 0.039, 0.026, 0.909]</t>
  </si>
  <si>
    <t>18.151660579162552</t>
  </si>
  <si>
    <t>0.564</t>
  </si>
  <si>
    <t>6.084817171007613</t>
  </si>
  <si>
    <t>[-0.046, 0.542]</t>
  </si>
  <si>
    <t>LINESTRING (28.555520810405834 70.1727216575563, 28.555666749436877 70.17269841444771, 28.555823861727834 70.17270886553747)</t>
  </si>
  <si>
    <t>[1164777, 1164785]</t>
  </si>
  <si>
    <t>[1098697, 1084109]</t>
  </si>
  <si>
    <t>0.24699032415207106</t>
  </si>
  <si>
    <t>[1096376, 1098697]</t>
  </si>
  <si>
    <t>[0.046, 0.542]</t>
  </si>
  <si>
    <t>12.201706604409742</t>
  </si>
  <si>
    <t>[0.0, -0.001]</t>
  </si>
  <si>
    <t>LINESTRING (29.995755616226337 69.68669365163059, 29.996936681017683 69.68683697281175, 29.997031095978524 69.68685453467376)</t>
  </si>
  <si>
    <t>[1148668, 1148679]</t>
  </si>
  <si>
    <t>[1084137, 1084149]</t>
  </si>
  <si>
    <t>[1084136, 1084137]</t>
  </si>
  <si>
    <t>53.001949699090055</t>
  </si>
  <si>
    <t>[-0.018, -0.001]</t>
  </si>
  <si>
    <t>LINESTRING (29.995755616226337 69.68669365163059, 29.996983626606767 69.6867356669937, 29.99712669426675 69.68673015920479)</t>
  </si>
  <si>
    <t>[1161908, 1161916]</t>
  </si>
  <si>
    <t>[1096400, 1096407]</t>
  </si>
  <si>
    <t>[1084136, 1096400]</t>
  </si>
  <si>
    <t>53.60151077857936</t>
  </si>
  <si>
    <t>[-0.007, -0.013, 0.035, -0.0, -0.031, -0.078, -0.059, -0.053, 0.01, -0.023, -0.008, 0.001, -0.021, -0.047, 0.054, 0.115, 0.061, 0.057, 0.003, 0.009, 0.035, 0.106, -0.064, -0.038, -0.011, -0.011, -0.011, -0.015, -0.01, -0.046, -0.024, -0.002, -0.001, -0.001, 0.001, 0.001, 0.001, 0.0, -0.005, -0.006, -0.006, -0.006, -0.003]</t>
  </si>
  <si>
    <t>[0, 0, 0, 0, 0, 0, 0, 0, 0, 0, 0, 0, 0, 1, 0, 0, 0, 0, 0, 0, 0, 0, 0, 0, 0, 0, 0, 0, 0, 0, 0, 0, 0, 0, 0, 0, 0, 0, 0, 0, 0, 0, 0]</t>
  </si>
  <si>
    <t>LINESTRING (29.87237081743274 69.71821964683545, 29.872467725459813 69.71818096989452, 29.87289554381376 69.71801036182083, 29.873812389432747 69.71764881003918, 29.87963055807714 69.71535260728581, 29.883129561736 69.71420183816846, 29.883793954196527 69.71407643451329, 29.902496071665997 69.71395783322339, 29.908433226837914 69.71261529807954, 29.909319524473577 69.71222336947343, 29.911887523194586 69.70844585668317, 29.9208618600534 69.70034355618306, 29.9243995739606 69.7009428146996, 29.928230184370936 69.70074921833299, 29.929539304727943 69.70032474039951, 29.93049997689852 69.70007367046935, 29.93184699362483 69.70002731196314, 29.945390237030505 69.70031341823778, 29.946688061163506 69.69942518728243, 29.95021918438822 69.69765722316122, 29.950620947338184 69.6975256990601, 29.951817357125037 69.6971383363551, 29.96017492252483 69.69623847666871, 29.96107404387222 69.69625675730114, 29.97064568538174 69.69368785324687, 29.972642309021225 69.69285821740964, 29.97269082924024 69.69284115446344, 29.975432527244802 69.6920248853436, 29.975955752297924 69.6918894115312, 29.981255331666237 69.6905035506755, 29.983481259025574 69.68992134990576, 29.987883935327005 69.68768063547438, 29.988012658548598 69.6876406397117, 29.988177428601 69.68759099822536, 29.988354985175665 69.68754327994304, 29.988795465194794 69.68743753184944, 29.989213329958194 69.68734542243868, 29.98938591435685 69.68730656235563, 29.989642498792893 69.68725047465061, 29.990730040487282 69.68702354166035, 29.9917757428496 69.68682708473327, 29.991886866449665 69.6868096164892, 29.992979644856344 69.68667687398775, 29.995755616226337 69.68669365163059)</t>
  </si>
  <si>
    <t>[1163258, 1163266, 1163274, 1163282, 1163290, 1163298, 1163306, 1163314, 1163325, 1163333, 1163341, 1163349, 1163357, 1163365, 1163373, 1163383, 1163391, 1163403, 1163411, 1163419, 1163427, 1163435, 1163436, 1163443, 1163451, 1163460, 1163468, 1163476, 1163484, 1163492, 1163500, 1163508, 1163516, 1163529, 1163537, 1163545, 1163560, 1163573, 1163581, 1163586, 1163587, 1163588, 1163601]</t>
  </si>
  <si>
    <t>[1097565, 1097571, 1097575, 1094045, 1094013, 1094071, 1084792, 1084773, 1084782, 969176, 969175, 969166, 1097638, 1097642, 969159, 969149, 969140, 1097660, 1045329, 1049204, 1045344, 969132, 1097684, 1097688, 1097692, 1097699, 1097705, 969102, 985085, 968975, 1097730, 1096851, 1097741, 1084554, 1097756, 1097761, 1097773, 1097783, 1097790, 1097795, 1097796, 1097797, 1084136]</t>
  </si>
  <si>
    <t>[1096879, 1097565, 1097571, 1097575, 1094045, 1094013, 1094071, 1084792, 1084773, 1084782, 969176, 969175, 969166, 1097638, 1097642, 969159, 969149, 969140, 1097660, 1045329, 1049204, 1045344, 969132, 1097684, 1097688, 1097692, 1097699, 1097705, 969102, 985085, 968975, 1097730, 1096851, 1097741, 1084554, 1097756, 1097761, 1097773, 1097783, 1097790, 1097795, 1097796, 1097797]</t>
  </si>
  <si>
    <t>[0.007, 0.013, 0.035, 0.0, 0.031, 0.078, 0.059, 0.053, 0.01, 0.023, 0.008, 0.001, 0.021, 0.047, 0.054, 0.115, 0.061, 0.057, 0.003, 0.009, 0.035, 0.106, 0.064, 0.038, 0.011, 0.011, 0.011, 0.015, 0.01, 0.046, 0.024, 0.002, 0.001, 0.001, 0.001, 0.001, 0.001, 0.0, 0.005, 0.006, 0.006, 0.006, 0.003]</t>
  </si>
  <si>
    <t>6974.698150519009</t>
  </si>
  <si>
    <t>[-0.048, -0.066]</t>
  </si>
  <si>
    <t>LINESTRING (29.997031095978524 69.68685453467376, 29.99702500002588 69.68678415900551, 29.99712669426675 69.68673015920479)</t>
  </si>
  <si>
    <t>[1164929, 1164937]</t>
  </si>
  <si>
    <t>[1098801, 1096407]</t>
  </si>
  <si>
    <t>[1084149, 1098801]</t>
  </si>
  <si>
    <t>15.108658656938363</t>
  </si>
  <si>
    <t>[-0.009, 0.012]</t>
  </si>
  <si>
    <t>LINESTRING (29.997582770740042 69.68689938862457, 29.99727201329534 69.68693111886707, 29.997031095978524 69.68685453467376)</t>
  </si>
  <si>
    <t>[1164913, 1164921]</t>
  </si>
  <si>
    <t>[968897, 1084149]</t>
  </si>
  <si>
    <t>0.0015093159608967365</t>
  </si>
  <si>
    <t>[1084155, 968897]</t>
  </si>
  <si>
    <t>[0.009, 0.012]</t>
  </si>
  <si>
    <t>26.17646437901815</t>
  </si>
  <si>
    <t>[-0.006, -0.005, 0.002]</t>
  </si>
  <si>
    <t>LINESTRING (29.997582770740042 69.68689938862457, 29.99769271832902 69.68689880665325, 29.998190107748247 69.68690645121488, 29.998873358002765 69.68693499007887)</t>
  </si>
  <si>
    <t>[1148687, 1148695, 1148703]</t>
  </si>
  <si>
    <t>[1084156, 1084165, 1084173]</t>
  </si>
  <si>
    <t>[1084155, 1084156, 1084165]</t>
  </si>
  <si>
    <t>[0.006, 0.005, 0.002]</t>
  </si>
  <si>
    <t>50.415591849834364</t>
  </si>
  <si>
    <t>LINESTRING (29.997652680402464 69.68676804618815, 29.997671621203924 69.68684558869172, 29.997582770740042 69.68689938862457)</t>
  </si>
  <si>
    <t>[1164897, 1164905]</t>
  </si>
  <si>
    <t>[1098772, 1084155]</t>
  </si>
  <si>
    <t>0.05057290753320366</t>
  </si>
  <si>
    <t>[1096416, 1098772]</t>
  </si>
  <si>
    <t>15.658324099721018</t>
  </si>
  <si>
    <t>[0.003, 0.002, 0.003, 0.027]</t>
  </si>
  <si>
    <t>LINESTRING (29.997652680402464 69.68676804618815, 29.997760864029473 69.6867899495008, 29.998202053082764 69.68685498084702, 29.99826503776228 69.6868627617784, 29.998873358002765 69.68693499007887)</t>
  </si>
  <si>
    <t>[1161924, 1161932, 1161940, 1161948]</t>
  </si>
  <si>
    <t>[1096417, 1096423, 1096428, 1084173]</t>
  </si>
  <si>
    <t>0.014375519106455077</t>
  </si>
  <si>
    <t>[1096416, 1096417, 1096423, 1096428]</t>
  </si>
  <si>
    <t>51.1225047080482</t>
  </si>
  <si>
    <t>[0.02, -0.012, -0.008, -0.007]</t>
  </si>
  <si>
    <t>LINESTRING (28.555917648650492 70.17283427197547, 28.555943581718 70.17283570327082, 28.55607016594152 70.17284269363138, 28.556294922826567 70.17284931100524, 28.55661689472093 70.1728749317295)</t>
  </si>
  <si>
    <t>[1148719, 1148727, 1148735, 1148743]</t>
  </si>
  <si>
    <t>[1084190, 1084198, 1084206, 1084214]</t>
  </si>
  <si>
    <t>[1084189, 1084190, 1084198, 1084206]</t>
  </si>
  <si>
    <t>[0.02, 0.012, 0.008, 0.007]</t>
  </si>
  <si>
    <t>26.993688214251392</t>
  </si>
  <si>
    <t>[0.025, 0.769]</t>
  </si>
  <si>
    <t>LINESTRING (28.55593419179216 70.17274830737237, 28.55595827006243 70.1727948483007, 28.555917648650492 70.17283427197547)</t>
  </si>
  <si>
    <t>[1164801, 1164809]</t>
  </si>
  <si>
    <t>[1098713, 1084189]</t>
  </si>
  <si>
    <t>0.3740676675596423</t>
  </si>
  <si>
    <t>[1096451, 1098713]</t>
  </si>
  <si>
    <t>9.958870218282854</t>
  </si>
  <si>
    <t>LINESTRING (28.55661689472093 70.1728749317295, 28.85562545580789 70.14788721920041)</t>
  </si>
  <si>
    <t>12495.911564780365</t>
  </si>
  <si>
    <t>[-0.04, -0.024, -0.025, 0.286]</t>
  </si>
  <si>
    <t>LINESTRING (28.55593419179216 70.17274830737237, 28.555959769219225 70.17275029764959, 28.556084580034934 70.17276000922882, 28.556350916284686 70.1727904638846, 28.55661689472093 70.1728749317295)</t>
  </si>
  <si>
    <t>[1161964, 1161972, 1161980, 1161988]</t>
  </si>
  <si>
    <t>[1096452, 1096460, 1096469, 1084214]</t>
  </si>
  <si>
    <t>0.11634053717110694</t>
  </si>
  <si>
    <t>[1096451, 1096452, 1096460, 1096469]</t>
  </si>
  <si>
    <t>[0.04, 0.024, 0.025, 0.286]</t>
  </si>
  <si>
    <t>30.363693091031458</t>
  </si>
  <si>
    <t>2241.0</t>
  </si>
  <si>
    <t>LINESTRING (29.453769833855137 70.09853256948116, 29.75290565081542 70.07416563229098)</t>
  </si>
  <si>
    <t>3119.0</t>
  </si>
  <si>
    <t>LINESTRING (29.754812207433435 70.07394702310843, 30.092891951456366 70.1401912043493)</t>
  </si>
  <si>
    <t>[0.062, -0.007, 0.003]</t>
  </si>
  <si>
    <t>LINESTRING (23.227809103114996 69.9547293167746, 23.228665660817487 69.95458805022614, 23.228738893611023 69.9545777589166, 23.234882974504774 69.95271109443733)</t>
  </si>
  <si>
    <t>[1166442, 1166449, 1166459]</t>
  </si>
  <si>
    <t>[1100094, 1100099, 1084423]</t>
  </si>
  <si>
    <t>0.008861924816326652</t>
  </si>
  <si>
    <t>[1084417, 1100094, 1100099]</t>
  </si>
  <si>
    <t>[0.062, 0.007, 0.003]</t>
  </si>
  <si>
    <t>361.20422004990047</t>
  </si>
  <si>
    <t>[0.023, 0.031, 0.029, 0.035, 0.03, 0.023]</t>
  </si>
  <si>
    <t>LINESTRING (23.234882974504774 69.95271109443733, 23.236020660982092 69.95170796250336, 23.236408122284473 69.95107738691863, 23.236442530983172 69.95102554366076, 23.23646567076993 69.95098089680809, 23.236502030789445 69.95090978203484, 23.237602217587465 69.94927285027147)</t>
  </si>
  <si>
    <t>[1149007, 1149015, 1149023, 1149031, 1149039, 1149047]</t>
  </si>
  <si>
    <t>[1084424, 1084432, 1008891, 1084448, 1084455, 1084462]</t>
  </si>
  <si>
    <t>0.02482321339517744</t>
  </si>
  <si>
    <t>[1084423, 1084424, 1084432, 1008891, 1084448, 1084455]</t>
  </si>
  <si>
    <t>399.5273804362038</t>
  </si>
  <si>
    <t>[0.025, 0.028, 0.03, 0.031, 0.033, 0.028, 0.023]</t>
  </si>
  <si>
    <t>LINESTRING (23.234882974504774 69.95271109443733, 23.23578314612957 69.95173806018964, 23.235815920276494 69.95168873389514, 23.236192902290497 69.95106154935303, 23.236220926653093 69.95101147733742, 23.236250853096283 69.9509540402981, 23.236293485543417 69.95088877938743, 23.237602217587465 69.94927285027147)</t>
  </si>
  <si>
    <t>[1162236, 1162244, 1162252, 1162260, 1162268, 1162276, 1162284]</t>
  </si>
  <si>
    <t>[1096705, 1096713, 1096723, 1008886, 1096740, 1096747, 1084462]</t>
  </si>
  <si>
    <t>0.025269627001258156</t>
  </si>
  <si>
    <t>[1084423, 1096705, 1096713, 1096723, 1008886, 1096740, 1096747]</t>
  </si>
  <si>
    <t>398.75755069195964</t>
  </si>
  <si>
    <t>[-0.002, 0.003]</t>
  </si>
  <si>
    <t>4518.0</t>
  </si>
  <si>
    <t>LINESTRING (23.237602217587465 69.94927285027147, 23.23918188051066 69.94820653160873, 23.241655521735588 69.94619616818194)</t>
  </si>
  <si>
    <t>[1166477, 1166478]</t>
  </si>
  <si>
    <t>[1100122, 1084468]</t>
  </si>
  <si>
    <t>0.0012343709965104129</t>
  </si>
  <si>
    <t>[1084462, 1100122]</t>
  </si>
  <si>
    <t>378.5129098258797</t>
  </si>
  <si>
    <t>[-0.016, -0.012, -0.007, -0.042, -0.005, -0.016, -0.038, -0.036]</t>
  </si>
  <si>
    <t>LINESTRING (23.241655521735588 69.94619616818194, 23.241912692550738 69.9458928345848, 23.242160716309623 69.94503701486421, 23.242149183072677 69.9449369137793, 23.24214875586467 69.94493477342027, 23.242145457670006 69.94491815115033, 23.241968463665785 69.94429190046867, 23.241952244601272 69.94425969284309, 23.24117625730959 69.94335428896792)</t>
  </si>
  <si>
    <t>[1149055, 1149063, 1149071, 1149079, 1149087, 1149095, 1149103, 1149110]</t>
  </si>
  <si>
    <t>[1084469, 983039, 1084480, 1084488, 1084495, 1084504, 1084510, 1084519]</t>
  </si>
  <si>
    <t>[1084468, 1084469, 983039, 1084480, 1084488, 1084495, 1084504, 1084510]</t>
  </si>
  <si>
    <t>[0.016, 0.012, 0.007, 0.042, 0.005, 0.016, 0.038, 0.036]</t>
  </si>
  <si>
    <t>324.2467795394507</t>
  </si>
  <si>
    <t>[-0.011, -0.01, -0.007, -0.008, 0.004, -0.011, -0.008, -0.015, -0.04]</t>
  </si>
  <si>
    <t>LINESTRING (23.241655521735588 69.94619616818194, 23.241769300526027 69.94588326016365, 23.24193488240724 69.94509185163793, 23.241929969032608 69.94503694350622, 23.24192500899872 69.94495401682218, 23.241924544010487 69.94493690069436, 23.241924131000875 69.94492224073262, 23.241923879686126 69.94491370162551, 23.241752504467943 69.94430253673431, 23.24117625730959 69.94335428896792)</t>
  </si>
  <si>
    <t>[1162292, 1162300, 1162308, 1162316, 1162324, 1162332, 1162340, 1162348, 1162356]</t>
  </si>
  <si>
    <t>[1096762, 983040, 1096775, 1009562, 1096787, 1096795, 1096801, 1096807, 1084519]</t>
  </si>
  <si>
    <t>[1084468, 1096762, 983040, 1096775, 1009562, 1096787, 1096795, 1096801, 1096807]</t>
  </si>
  <si>
    <t>[0.011, 0.01, 0.007, 0.008, 0.004, 0.011, 0.008, 0.015, 0.04]</t>
  </si>
  <si>
    <t>320.6008514280523</t>
  </si>
  <si>
    <t>[-1.514, -0.004]</t>
  </si>
  <si>
    <t>LINESTRING (29.872153299684776 69.7183058234425, 29.872278247714036 69.71825627351184, 29.87237081743274 69.71821964683545)</t>
  </si>
  <si>
    <t>[1163242, 1163250]</t>
  </si>
  <si>
    <t>[1097553, 1096879]</t>
  </si>
  <si>
    <t>[1084581, 1097553]</t>
  </si>
  <si>
    <t>[1.514, 0.004]</t>
  </si>
  <si>
    <t>12.824326534193812</t>
  </si>
  <si>
    <t>1496.0</t>
  </si>
  <si>
    <t>LINESTRING (29.71391093775271 69.7793187891322, 29.872153299684776 69.7183058234425)</t>
  </si>
  <si>
    <t>[-0.006, -0.041]</t>
  </si>
  <si>
    <t>LINESTRING (10.758708113023587 59.900755820299935, 10.757596963268924 59.899817113008574, 10.75756316027487 59.89979309444522)</t>
  </si>
  <si>
    <t>[1151107, 1151078]</t>
  </si>
  <si>
    <t>[1086236, 1086193]</t>
  </si>
  <si>
    <t>[1086260, 1086236]</t>
  </si>
  <si>
    <t>[0.006, 0.041]</t>
  </si>
  <si>
    <t>125.39759485680351</t>
  </si>
  <si>
    <t>204.0870968092654</t>
  </si>
  <si>
    <t>[-0.071, -0.005, 0.007, 0.006]</t>
  </si>
  <si>
    <t>LINESTRING (10.759142914006215 59.9024271038945, 10.758481224693448 59.90325972526035, 10.751495122984531 59.90583384548708, 10.751473818686744 59.905838049211546, 10.74726189539195 59.90651557101563)</t>
  </si>
  <si>
    <t>[1380463, 1380471, 1380479, 1380487]</t>
  </si>
  <si>
    <t>[1270176, 1270182, 1270188, 1086235]</t>
  </si>
  <si>
    <t>[1086237, 1270176, 1270182, 1270188]</t>
  </si>
  <si>
    <t>[0.071, 0.005, 0.007, 0.006]</t>
  </si>
  <si>
    <t>848.6829163140746</t>
  </si>
  <si>
    <t>[0.079, 0.078, 0.056]</t>
  </si>
  <si>
    <t>LINESTRING (10.759142914006215 59.9024271038945, 10.75916258550112 59.90229297988018, 10.759246386340383 59.90198090055561, 10.758708113023587 59.900755820299935)</t>
  </si>
  <si>
    <t>[1151079, 1151091, 1151099]</t>
  </si>
  <si>
    <t>[1086238, 1086254, 1086260]</t>
  </si>
  <si>
    <t>0.06182580112563467</t>
  </si>
  <si>
    <t>[1086237, 1086238, 1086254]</t>
  </si>
  <si>
    <t>191.69619773148787</t>
  </si>
  <si>
    <t>8.211458457461637</t>
  </si>
  <si>
    <t>[-0.009, -0.018]</t>
  </si>
  <si>
    <t>LINESTRING (5.33579146553959 59.403616837413296, 5.335674494561313 59.40367935230171, 5.335588282752792 59.40368755813)</t>
  </si>
  <si>
    <t>[1156869, 1156877]</t>
  </si>
  <si>
    <t>[1091891, 1091843]</t>
  </si>
  <si>
    <t>[1091886, 1091891]</t>
  </si>
  <si>
    <t>14.654603643636275</t>
  </si>
  <si>
    <t>LINESTRING (5.335744763557124 59.40389513867479, 5.335630703894706 59.403726737149114, 5.335588282752792 59.40368755813)</t>
  </si>
  <si>
    <t>[1157037, 1157045]</t>
  </si>
  <si>
    <t>[1092054, 1091843]</t>
  </si>
  <si>
    <t>[1092053, 1092054]</t>
  </si>
  <si>
    <t>25.044773696231076</t>
  </si>
  <si>
    <t>21.469661501549574</t>
  </si>
  <si>
    <t>[0.016, 0.018, 0.02, 0.011]</t>
  </si>
  <si>
    <t>LINESTRING (5.335454687185721 59.40349309982372, 5.335588369249946 59.40346764365174, 5.335684947497899 59.4034790216683, 5.335772043717384 59.40351844702807, 5.33579146553959 59.403616837413296)</t>
  </si>
  <si>
    <t>[1156837, 1156845, 1156853, 1156861]</t>
  </si>
  <si>
    <t>[1091858, 1091869, 1091877, 1091886]</t>
  </si>
  <si>
    <t>0.015402871176048404</t>
  </si>
  <si>
    <t>[1091849, 1091858, 1091869, 1091877]</t>
  </si>
  <si>
    <t>31.783057221844622</t>
  </si>
  <si>
    <t>[-0.008, 0.006, 0.014, 0.018]</t>
  </si>
  <si>
    <t>LINESTRING (5.33460054283655 59.40024826685744, 5.334809302360206 59.40316302341603, 5.334837785015413 59.40321052020775, 5.335379685434648 59.40348433807193, 5.335454687185721 59.40349309982372)</t>
  </si>
  <si>
    <t>[1157005, 1157013, 1157021, 1157029]</t>
  </si>
  <si>
    <t>[1092026, 1092031, 1092039, 1091849]</t>
  </si>
  <si>
    <t>[1091994, 1092026, 1092031, 1092039]</t>
  </si>
  <si>
    <t>[0.008, 0.006, 0.014, 0.018]</t>
  </si>
  <si>
    <t>381.9775796345401</t>
  </si>
  <si>
    <t>[-0.006, -0.009]</t>
  </si>
  <si>
    <t>LINESTRING (5.335744763557124 59.40389513867479, 5.335802321873975 59.4036845655224, 5.33579146553959 59.403616837413296)</t>
  </si>
  <si>
    <t>[1157053, 1157061]</t>
  </si>
  <si>
    <t>[1092066, 1091886]</t>
  </si>
  <si>
    <t>[1092053, 1092066]</t>
  </si>
  <si>
    <t>[0.006, 0.009]</t>
  </si>
  <si>
    <t>31.86720998641263</t>
  </si>
  <si>
    <t>84.2703865563397</t>
  </si>
  <si>
    <t>[0.103, 0.005, 0.0, 0.009, 0.008]</t>
  </si>
  <si>
    <t>LINESTRING (5.333859084346362 59.404280283722876, 5.333813185292901 59.40424592612741, 5.334537270965602 59.40321919161494, 5.334536330399289 59.403176077508896, 5.334428316783122 59.401313656916834, 5.334470761091548 59.40104635929794)</t>
  </si>
  <si>
    <t>[1156941, 1156949, 1156957, 1156965, 1156989]</t>
  </si>
  <si>
    <t>[1091964, 1091972, 1091980, 1091988, 1092011]</t>
  </si>
  <si>
    <t>0.008621857311656236</t>
  </si>
  <si>
    <t>[1091963, 1091964, 1091972, 1091980, 1091988]</t>
  </si>
  <si>
    <t>374.18346828415457</t>
  </si>
  <si>
    <t>[-0.031, -0.025, -0.034, -0.029, 0.071]</t>
  </si>
  <si>
    <t>LINESTRING (5.336122936094274 59.405623068647046, 5.335905312554151 59.405421336743636, 5.335409680296667 59.40487075321158, 5.335297193335881 59.404724081282026, 5.333930763074738 59.404102805055636, 5.333859084346362 59.404280283722876)</t>
  </si>
  <si>
    <t>[1156981, 1339259, 1339267, 1339275, 1339283]</t>
  </si>
  <si>
    <t>[1092002, 1242744, 1242749, 1242759, 1091963]</t>
  </si>
  <si>
    <t>[1092001, 1092002, 1242744, 1242749, 1242759]</t>
  </si>
  <si>
    <t>[0.031, 0.025, 0.034, 0.029, 0.071]</t>
  </si>
  <si>
    <t>262.5374884224259</t>
  </si>
  <si>
    <t>13.297251595724193</t>
  </si>
  <si>
    <t>11.271379684605595</t>
  </si>
  <si>
    <t>[-0.001, 0.013, -0.018]</t>
  </si>
  <si>
    <t>LINESTRING (5.3296329070772375 59.397464435824276, 5.329696841206517 59.397504910057094, 5.330835152724127 59.397825024663184, 5.33460054283655 59.40024826685744)</t>
  </si>
  <si>
    <t>[1429775, 1429783, 1156973]</t>
  </si>
  <si>
    <t>[1302265, 1091993, 1091994]</t>
  </si>
  <si>
    <t>[1302225, 1302265, 1091993]</t>
  </si>
  <si>
    <t>[0.001, 0.013, 0.018]</t>
  </si>
  <si>
    <t>444.71432768190135</t>
  </si>
  <si>
    <t>[-0.025, -0.017, -0.009, -0.002, 0.008]</t>
  </si>
  <si>
    <t>LINESTRING (5.336122936094274 59.405623068647046, 5.33543903022414 59.404823573109304, 5.335335286418103 59.40467240028091, 5.334617331775144 59.40321313108717, 5.334609425637775 59.40317616991243, 5.334470761091548 59.40104635929794)</t>
  </si>
  <si>
    <t>[1157253, 1157261, 1157269, 1157277, 1157285]</t>
  </si>
  <si>
    <t>[1092238, 1092244, 1092249, 1092257, 1092011]</t>
  </si>
  <si>
    <t>[1092001, 1092238, 1092244, 1092249, 1092257]</t>
  </si>
  <si>
    <t>[0.025, 0.017, 0.009, 0.002, 0.008]</t>
  </si>
  <si>
    <t>526.4379082815799</t>
  </si>
  <si>
    <t>[0.009, 0.011, 0.0, 0.014, 0.02, 0.0]</t>
  </si>
  <si>
    <t>LINESTRING (5.334470761091548 59.40104635929794, 5.334469828168564 59.40036491386648, 5.334429244070551 59.40016065039423, 5.334428803342575 59.40015879080026, 5.334354555320859 59.39994548182151, 5.333964023761823 59.39934244781313, 5.333958445939419 59.399336559914)</t>
  </si>
  <si>
    <t>[1157301, 1157309, 1157317, 1157325, 1157333, 1157341]</t>
  </si>
  <si>
    <t>[1092278, 1092285, 1092295, 1092302, 1092308, 1092185]</t>
  </si>
  <si>
    <t>0.013814147634271814</t>
  </si>
  <si>
    <t>[1092011, 1092278, 1092285, 1092295, 1092302, 1092308]</t>
  </si>
  <si>
    <t>195.4122185764722</t>
  </si>
  <si>
    <t>23.07555633103329</t>
  </si>
  <si>
    <t>[0.037, 0.019, -0.002]</t>
  </si>
  <si>
    <t>LINESTRING (5.3350436868195485 59.40500119522142, 5.335253494147412 59.40484868045273, 5.33550803536475 59.404582947094106, 5.335744763557124 59.40389513867479)</t>
  </si>
  <si>
    <t>[1339235, 1339243, 1339251]</t>
  </si>
  <si>
    <t>[1242723, 1242729, 1092053]</t>
  </si>
  <si>
    <t>0.009382122661833912</t>
  </si>
  <si>
    <t>[1242722, 1242723, 1242729]</t>
  </si>
  <si>
    <t>[0.037, 0.019, 0.002]</t>
  </si>
  <si>
    <t>132.32433704111313</t>
  </si>
  <si>
    <t>[0.042, 0.029, 0.025, 0.721, -0.118, -0.166, -0.082, -0.073, -0.032, -0.002]</t>
  </si>
  <si>
    <t>[0, 0, 0, 0, 0, 0, 0, 1, 0, 0]</t>
  </si>
  <si>
    <t>LINESTRING (5.333958445939419 59.399336559914, 5.333712095451214 59.39917324044896, 5.330963335414415 59.39832666855681, 5.3290638336546055 59.3983195738731, 5.329038377852403 59.3982831712082, 5.329015918370065 59.39824387287001, 5.329074350948307 59.39792789982086, 5.329103245377798 59.39784328572157, 5.329168660821147 59.39763551757953, 5.329196939621772 59.39749268465086, 5.3292085623332826 59.39741577629848)</t>
  </si>
  <si>
    <t>[1157197, 682100, 682108, 2010559, 1441019, 1441027, 1430063, 1430071, 1430079, 1430087]</t>
  </si>
  <si>
    <t>[673169, 673170, 361763, 1309100, 368963, 1302431, 1302432, 1302439, 1302444, 1302238]</t>
  </si>
  <si>
    <t>0.007930415861169889</t>
  </si>
  <si>
    <t>[1092185, 673169, 673170, 361763, 1309100, 368963, 1302431, 1302432, 1302439, 1302444]</t>
  </si>
  <si>
    <t>[0.042, 0.029, 0.025, 0.721, 0.118, 0.166, 0.082, 0.073, 0.032, 0.002]</t>
  </si>
  <si>
    <t>454.5476961190325</t>
  </si>
  <si>
    <t>[-0.02, -0.16, -0.161, -0.159, -0.15, 0.0, -0.176, -0.145]</t>
  </si>
  <si>
    <t>LINESTRING (15.576680920512333 67.34821769294518, 15.579018341821305 67.34906987826108, 15.580516007039064 67.34939029049973, 15.580612414488284 67.34940855647618, 15.58074878217667 67.34942994351452, 15.580835821211396 67.34944378486621, 15.580840399755317 67.34944451289384, 15.580945366658874 67.34946068461497, 15.584580851133046 67.3497426097066)</t>
  </si>
  <si>
    <t>[1160432, 1160440, 1160448, 1160456, 1160464, 1160472, 1160480, 1160488]</t>
  </si>
  <si>
    <t>[1095126, 1095133, 1095141, 1095149, 1095156, 1095096, 1095168, 1095065]</t>
  </si>
  <si>
    <t>[1095056, 1095126, 1095133, 1095141, 1095149, 1095156, 1095096, 1095168]</t>
  </si>
  <si>
    <t>[0.02, 0.16, 0.161, 0.159, 0.15, 0.0, 0.176, 0.145]</t>
  </si>
  <si>
    <t>393.342725100771</t>
  </si>
  <si>
    <t>[-0.005, -0.159, -0.161, -0.148, -0.174, -0.141, -0.151]</t>
  </si>
  <si>
    <t>LINESTRING (15.576680920512333 67.34821769294518, 15.578883082193029 67.34894984758314, 15.579118087213773 67.3490098217824, 15.58059775643508 67.34932518485631, 15.580827511260734 67.3493640951336, 15.580913709634792 67.34937782285976, 15.58102169633567 67.3493947461194, 15.584580851133046 67.3497426097066)</t>
  </si>
  <si>
    <t>[1160496, 1160504, 1160512, 1160520, 1160528, 1160536, 1160544]</t>
  </si>
  <si>
    <t>[1095183, 1095190, 1095199, 1095095, 1095215, 1095224, 1095065]</t>
  </si>
  <si>
    <t>[1095056, 1095183, 1095190, 1095199, 1095095, 1095215, 1095224]</t>
  </si>
  <si>
    <t>[0.005, 0.159, 0.161, 0.148, 0.174, 0.141, 0.151]</t>
  </si>
  <si>
    <t>388.0989583747248</t>
  </si>
  <si>
    <t>LINESTRING (15.584580851133046 67.3497426097066, 15.621200632814084 67.40084002003589)</t>
  </si>
  <si>
    <t>[0.121, -0.005, 0.005, -0.069]</t>
  </si>
  <si>
    <t>LINESTRING (29.99712669426675 69.68673015920479, 29.997193294266 69.6867155974283, 29.997407846195955 69.68670382197622, 29.997577946524494 69.68673331427972, 29.997652680402464 69.68676804618815)</t>
  </si>
  <si>
    <t>[1164865, 1164873, 1164881, 1164889]</t>
  </si>
  <si>
    <t>[1049484, 1098756, 1049498, 1096416]</t>
  </si>
  <si>
    <t>0.0012669188794367696</t>
  </si>
  <si>
    <t>[1096407, 1049484, 1098756, 1049498]</t>
  </si>
  <si>
    <t>[0.121, 0.005, 0.005, 0.069]</t>
  </si>
  <si>
    <t>23.761596730261275</t>
  </si>
  <si>
    <t>LINESTRING (7.471476256871959 58.03025843923248, 7.471398240929552 58.03026864942509, 7.471313571761226 58.03027961797793)</t>
  </si>
  <si>
    <t>[1185283, 1185291]</t>
  </si>
  <si>
    <t>[1114560, 1096606]</t>
  </si>
  <si>
    <t>[1114554, 1114560]</t>
  </si>
  <si>
    <t>9.917110694201789</t>
  </si>
  <si>
    <t>12.630281735527252</t>
  </si>
  <si>
    <t>[0.083, -0.006, 0.022, -0.016, 0.084, -0.147, 0.11, 0.082]</t>
  </si>
  <si>
    <t>LINESTRING (8.041458430732439 58.164107579910954, 8.0413924949918 58.16413293868775, 8.040786971066158 58.16478692683106, 8.041022327802478 58.16537592930761, 8.041998091122238 58.16497104639808, 8.040913570028033 58.16504291528069, 8.040636389644376 58.16507461194148, 8.03810399114042 58.16535673003977, 8.037739636199616 58.16537207952233)</t>
  </si>
  <si>
    <t>[1164362, 1168534, 1168430, 1168406, 1164442, 1168390, 1168398, 1164490]</t>
  </si>
  <si>
    <t>[1098371, 1101897, 1101873, 1098433, 1098434, 1101855, 1098476, 1098477]</t>
  </si>
  <si>
    <t>0.03836564542273376</t>
  </si>
  <si>
    <t>[1098370, 1098371, 1101897, 1101873, 1098433, 1098434, 1101855, 1098476]</t>
  </si>
  <si>
    <t>[0.083, 0.006, 0.022, 0.016, 0.084, 0.147, 0.11, 0.082]</t>
  </si>
  <si>
    <t>543.8182278025137</t>
  </si>
  <si>
    <t>0.82</t>
  </si>
  <si>
    <t>9.65062692259542</t>
  </si>
  <si>
    <t>[0.012, -0.001, 0.044, 0.029, -0.047, -0.019, 0.026, 0.01, 0.006, -0.055, 0.0, 0.115, -0.025, -0.069, -0.004, -0.017, 0.054, 0.018, 0.007, -0.34]</t>
  </si>
  <si>
    <t>2354.0</t>
  </si>
  <si>
    <t>LINESTRING (25.965830828689555 71.00171993979876, 25.965714680483856 71.00161719629412, 25.96545881942629 71.00123074764005, 25.967823671944853 71.00014294418587, 25.96839229754777 70.99900959461735, 25.968282708785384 70.99804865705025, 25.96897569252193 70.99671308792121, 25.970373104556433 70.99608611925983, 25.97247066189683 70.99471621312995, 25.973030411179334 70.99410031272237, 25.973045767913298 70.99389832727843, 25.9673236028001 70.98900059400573, 25.967338227780605 70.9889511374819, 25.967075721659448 70.98812207230779, 25.966727595708708 70.98673141222339, 25.96700584685296 70.98462802772082, 25.96709511307669 70.98381795632197, 25.969532469944912 70.98268520324632, 25.970150923234904 70.98219452908673, 25.970233199228158 70.98211350748036, 25.970257127475474 70.98208802239654)</t>
  </si>
  <si>
    <t>[1187982, 1187990, 1187998, 1188006, 1188014, 1188022, 1188030, 1188038, 1188046, 1188054, 1188062, 1188070, 1188078, 1188086, 1188094, 1188102, 1188110, 1188118, 1188126, 1188134]</t>
  </si>
  <si>
    <t>[1116501, 1116504, 1116510, 1116514, 1116519, 1116522, 957423, 1116535, 1116541, 957356, 1116550, 1053185, 1116560, 1116567, 1116572, 1116578, 1116586, 957394, 1116599, 1100053]</t>
  </si>
  <si>
    <t>[1098392, 1116501, 1116504, 1116510, 1116514, 1116519, 1116522, 957423, 1116535, 1116541, 957356, 1116550, 1053185, 1116560, 1116567, 1116572, 1116578, 1116586, 957394, 1116599]</t>
  </si>
  <si>
    <t>[0.012, 0.001, 0.044, 0.029, 0.047, 0.019, 0.026, 0.01, 0.006, 0.055, 0.0, 0.115, 0.025, 0.069, 0.004, 0.017, 0.054, 0.018, 0.007, 0.34]</t>
  </si>
  <si>
    <t>2443.632627080103</t>
  </si>
  <si>
    <t>277.0</t>
  </si>
  <si>
    <t>LINESTRING (25.965830828689555 71.00171993979876, 25.886214627403724 71.03312654532839)</t>
  </si>
  <si>
    <t>15563.341928997743</t>
  </si>
  <si>
    <t>LINESTRING (25.85644763735479 70.92639640076524, 25.965830828689555 71.00171993979876)</t>
  </si>
  <si>
    <t>[-0.043, -1.027, -0.115, -0.088, -0.049]</t>
  </si>
  <si>
    <t>LINESTRING (8.041314279680766 58.1640279492305, 8.041382809033006 58.16390202926696, 8.041484388699228 58.16387533453233, 8.041597648315172 58.163877756037984, 8.041694914611648 58.1639086785067, 8.041760202974183 58.163990475710534)</t>
  </si>
  <si>
    <t>[1164418, 1168454, 1168462, 1168470, 1168478]</t>
  </si>
  <si>
    <t>[1098416, 1101921, 1101930, 1101939, 1101833]</t>
  </si>
  <si>
    <t>[1098415, 1098416, 1101921, 1101930, 1101939]</t>
  </si>
  <si>
    <t>[0.043, 1.027, 0.115, 0.088, 0.049]</t>
  </si>
  <si>
    <t>45.20983901159172</t>
  </si>
  <si>
    <t>[0.026, 0.034, 0.039, 0.043, 0.054, -0.003, -0.048, -0.053]</t>
  </si>
  <si>
    <t>LINESTRING (8.046079870667254 58.16339669474432, 8.045800829323918 58.1635640756934, 8.043964285576346 58.16442789296961, 8.043872837720695 58.16446118237102, 8.042755515045377 58.16484222852117, 8.040956906114557 58.16540343382088, 8.040728902131416 58.164793476906496, 8.041272045978967 58.16407181872952, 8.041314279680766 58.1640279492305)</t>
  </si>
  <si>
    <t>[1371423, 1371391, 1164426, 1164434, 1168374, 1164402, 1164410, 1168542]</t>
  </si>
  <si>
    <t>[1264330, 1098421, 1098422, 1098384, 1098403, 1098404, 1098410, 1098415]</t>
  </si>
  <si>
    <t>0.022033351891472264</t>
  </si>
  <si>
    <t>[1264308, 1264330, 1098421, 1098422, 1098384, 1098403, 1098404, 1098410]</t>
  </si>
  <si>
    <t>[0.026, 0.034, 0.039, 0.043, 0.054, 0.003, 0.048, 0.053]</t>
  </si>
  <si>
    <t>572.8929573901208</t>
  </si>
  <si>
    <t>[-0.082, -0.085, -0.084, -0.083, -0.089, 0.118]</t>
  </si>
  <si>
    <t>LINESTRING (8.037699155253568 58.1652291001755, 8.038031333794411 58.165166568783455, 8.040647491711034 58.16487552568229, 8.04088418205219 58.16484872921308, 8.042067390401467 58.164635993769004, 8.041706545599684 58.16411360616933, 8.04162197466097 58.16410401568964)</t>
  </si>
  <si>
    <t>[1164506, 1164530, 1164522, 1164370, 1168382, 1168526]</t>
  </si>
  <si>
    <t>[1098494, 1098504, 1098376, 1098377, 1101848, 1101951]</t>
  </si>
  <si>
    <t>[1098468, 1098494, 1098504, 1098376, 1098377, 1101848]</t>
  </si>
  <si>
    <t>[0.082, 0.085, 0.084, 0.083, 0.089, 0.118]</t>
  </si>
  <si>
    <t>349.56144435534674</t>
  </si>
  <si>
    <t>[0.056, 0.017, -0.033, -0.022, 0.018, 0.023, 0.128, -0.008, -0.084]</t>
  </si>
  <si>
    <t>LINESTRING (8.029479624857084 58.16435148178546, 8.029785790204231 58.16443263042529, 8.032796955066537 58.16469511271346, 8.032760471064773 58.16470444751583, 8.032774695466946 58.16512176033373, 8.033591863933019 58.16526968452817, 8.033851195112298 58.16531136917574, 8.03449370987487 58.16539196917352, 8.037292917624447 58.16524846010489, 8.037699155253568 58.1652291001755)</t>
  </si>
  <si>
    <t>[1337977, 1173676, 1173684, 1173692, 1173700, 1173708, 1173716, 1168414, 1164482]</t>
  </si>
  <si>
    <t>[1105993, 1026160, 1105999, 1106005, 1106009, 1106016, 1101879, 1098467, 1098468]</t>
  </si>
  <si>
    <t>0.010438677245940102</t>
  </si>
  <si>
    <t>[1106950, 1105993, 1026160, 1105999, 1106005, 1106009, 1106016, 1101879, 1098467]</t>
  </si>
  <si>
    <t>[0.056, 0.017, 0.033, 0.022, 0.018, 0.023, 0.128, 0.008, 0.084]</t>
  </si>
  <si>
    <t>573.6130307324775</t>
  </si>
  <si>
    <t>[0.0, 0.005, 0.058, 0.067, 0.104, 0.108, 2.363]</t>
  </si>
  <si>
    <t>[1, 0, 0, 1, 0, 0, 0]</t>
  </si>
  <si>
    <t>LINESTRING (8.043709155868354 58.16433677916968, 8.043709155868354 58.16433677916968, 8.042181381208545 58.164724919881294, 8.040890259266376 58.16489553451385, 8.040629757466627 58.16492488297218, 8.039011763312168 58.16510495073952, 8.037754783707689 58.16522873471874, 8.037699155253568 58.1652291001755)</t>
  </si>
  <si>
    <t>[1174846, 1174854, 1174862, 1174870, 1174878, 1174886, 1174894]</t>
  </si>
  <si>
    <t>[1106876, 1106881, 1106884, 1106890, 1106897, 1106902, 1098468]</t>
  </si>
  <si>
    <t>0.08516769201454867</t>
  </si>
  <si>
    <t>[1106875, 1106876, 1106881, 1106884, 1106890, 1106897, 1106902]</t>
  </si>
  <si>
    <t>377.52488323087977</t>
  </si>
  <si>
    <t>[0.083, -0.004, -0.044, 0.001, 1.028, 0.036]</t>
  </si>
  <si>
    <t>825.0</t>
  </si>
  <si>
    <t>LINESTRING (8.037739636199616 58.16537207952233, 8.037389413079815 58.16543704524759, 8.034031110133576 58.16554718528167, 8.032190035381339 58.16531443853701, 8.033446785954506 58.16572131491216, 8.033518782816808 58.16572261524115, 8.033629562577397 58.1657300532494)</t>
  </si>
  <si>
    <t>[1164498, 1164514, 1173660, 1173668, 1337952, 1337960]</t>
  </si>
  <si>
    <t>[1098485, 1098499, 642700, 1105988, 1120231, 1105365]</t>
  </si>
  <si>
    <t>0.0016521343890909743</t>
  </si>
  <si>
    <t>[1098477, 1098485, 1098499, 642700, 1105988, 1120231]</t>
  </si>
  <si>
    <t>[0.083, 0.004, 0.044, 0.001, 1.028, 0.036]</t>
  </si>
  <si>
    <t>467.6139990047005</t>
  </si>
  <si>
    <t>[0.0, 0.021, 0.107, 0.115, 0.121, 0.09]</t>
  </si>
  <si>
    <t>LINESTRING (8.043820151617252 58.164421169068305, 8.043820151617252 58.164421169068305, 8.042210130756386 58.1648244408801, 8.040903364293627 58.16499542414785, 8.040646219805202 58.16502460520172, 8.039002462362712 58.16520863194547, 8.037739636199616 58.16537207952233)</t>
  </si>
  <si>
    <t>[1338216, 1338224, 1338232, 1338240, 1338248, 1338256]</t>
  </si>
  <si>
    <t>[1241938, 1241947, 1241954, 1241962, 1241968, 1098477]</t>
  </si>
  <si>
    <t>0.08201586698587425</t>
  </si>
  <si>
    <t>[1241937, 1241938, 1241947, 1241954, 1241962, 1241968]</t>
  </si>
  <si>
    <t>382.64447389058364</t>
  </si>
  <si>
    <t>54.0</t>
  </si>
  <si>
    <t>LINESTRING (25.886214627403724 71.03312654532839, 25.781448116236483 71.16783971273247)</t>
  </si>
  <si>
    <t>[0.087, -0.012]</t>
  </si>
  <si>
    <t>LINESTRING (25.970246751389585 70.98200819797746, 25.970434459172104 70.98204180609335, 25.970257127475474 70.98208802239654)</t>
  </si>
  <si>
    <t>[1166399, 1166406]</t>
  </si>
  <si>
    <t>[1100055, 1100053]</t>
  </si>
  <si>
    <t>0.03523189892055057</t>
  </si>
  <si>
    <t>[1100054, 1100055]</t>
  </si>
  <si>
    <t>[0.087, 0.012]</t>
  </si>
  <si>
    <t>18.19621577769067</t>
  </si>
  <si>
    <t>[0.326, -0.072, -0.066, -0.061]</t>
  </si>
  <si>
    <t>LINESTRING (25.970246751389585 70.98200819797746, 25.970207515823187 70.98198072859988, 25.970010713339335 70.98181396880504, 25.969833325444984 70.98165206254194, 25.969002368666043 70.98096879533755)</t>
  </si>
  <si>
    <t>[1188158, 1188166, 1188174, 1188182]</t>
  </si>
  <si>
    <t>[1116621, 957397, 957391, 1116635]</t>
  </si>
  <si>
    <t>[1100054, 1116621, 957397, 957391]</t>
  </si>
  <si>
    <t>[0.326, 0.072, 0.066, 0.061]</t>
  </si>
  <si>
    <t>124.7566031175576</t>
  </si>
  <si>
    <t>15.74932436404907</t>
  </si>
  <si>
    <t>[-0.077, -0.014, -0.001, -0.003, -0.007, -0.028]</t>
  </si>
  <si>
    <t>LINESTRING (8.041760202974183 58.163990475710534, 8.041817512216776 58.16402776950582, 8.043319561628863 58.16434595855855, 8.043649351555144 58.16429132942841, 8.043751967691172 58.1642610850849, 8.04598514728441 58.16322930146137, 8.046374837354358 58.163117632417595)</t>
  </si>
  <si>
    <t>[1168366, 1168510, 1168438, 1168446, 1371335, 1371487]</t>
  </si>
  <si>
    <t>[1101834, 1098462, 1101905, 1101910, 1264277, 1264290]</t>
  </si>
  <si>
    <t>[1101833, 1101834, 1098462, 1101905, 1101910, 1264277]</t>
  </si>
  <si>
    <t>[0.077, 0.014, 0.001, 0.003, 0.007, 0.028]</t>
  </si>
  <si>
    <t>333.1540369548446</t>
  </si>
  <si>
    <t>[0.0, -0.074, -0.029]</t>
  </si>
  <si>
    <t>LINESTRING (6.521411186942989 61.60642981107489, 6.521411186942989 61.60642981107489, 6.521320471744023 61.60637013625276, 6.520370832012045 61.60554692546444)</t>
  </si>
  <si>
    <t>[1173223, 2015367, 2014399]</t>
  </si>
  <si>
    <t>[1105619, 1761349, 1663567]</t>
  </si>
  <si>
    <t>[1105618, 1105619, 1761349]</t>
  </si>
  <si>
    <t>[0.0, 0.074, 0.029]</t>
  </si>
  <si>
    <t>371.7187659125859</t>
  </si>
  <si>
    <t>2155.0</t>
  </si>
  <si>
    <t>LINESTRING (6.521411186942989 61.60642981107489, 6.385848772310889 61.74026188862329)</t>
  </si>
  <si>
    <t>15823.00509241764</t>
  </si>
  <si>
    <t>[0.032, 0.031]</t>
  </si>
  <si>
    <t>LINESTRING (8.018029445237385 58.16021102038419, 8.017913781314423 58.16016967685152, 8.017184629813103 58.160081835587384)</t>
  </si>
  <si>
    <t>[1173407, 1173415]</t>
  </si>
  <si>
    <t>[1105776, 1105779]</t>
  </si>
  <si>
    <t>0.03115587976550305</t>
  </si>
  <si>
    <t>[1105775, 1105776]</t>
  </si>
  <si>
    <t>52.820149208169525</t>
  </si>
  <si>
    <t>[0.018, -0.002]</t>
  </si>
  <si>
    <t>LINESTRING (8.018029445237385 58.16021102038419, 8.018041775817908 58.16012239261582, 8.018142375203293 58.1600608773891)</t>
  </si>
  <si>
    <t>[1174860, 1174868]</t>
  </si>
  <si>
    <t>[1106882, 1106889]</t>
  </si>
  <si>
    <t>0.00844410456247287</t>
  </si>
  <si>
    <t>[1105775, 1106882]</t>
  </si>
  <si>
    <t>18.985906869838466</t>
  </si>
  <si>
    <t>22.073848517416124</t>
  </si>
  <si>
    <t>150.49823612263285</t>
  </si>
  <si>
    <t>[0.255, -0.024]</t>
  </si>
  <si>
    <t>LINESTRING (8.018142375203293 58.1600608773891, 8.017967968657851 58.160057324983754, 8.017184629813103 58.160081835587384)</t>
  </si>
  <si>
    <t>[1182356, 1182364]</t>
  </si>
  <si>
    <t>[1112370, 1105779]</t>
  </si>
  <si>
    <t>0.02563675723565732</t>
  </si>
  <si>
    <t>[1106889, 1112370]</t>
  </si>
  <si>
    <t>[0.255, 0.024]</t>
  </si>
  <si>
    <t>57.84868326857395</t>
  </si>
  <si>
    <t>[-0.017, -0.006, 0.009]</t>
  </si>
  <si>
    <t>LINESTRING (8.017106468653244 58.161126678476656, 8.017799372848433 58.16133847363672, 8.01891028699906 58.161688795173085, 8.019027941718036 58.16171130449606)</t>
  </si>
  <si>
    <t>[1173423, 1173431, 1173439]</t>
  </si>
  <si>
    <t>[1105785, 1105789, 1105795]</t>
  </si>
  <si>
    <t>[1105784, 1105785, 1105789]</t>
  </si>
  <si>
    <t>[0.017, 0.006, 0.009]</t>
  </si>
  <si>
    <t>131.1203800084646</t>
  </si>
  <si>
    <t>[0.007, 0.043]</t>
  </si>
  <si>
    <t>LINESTRING (8.017106468653244 58.161126678476656, 8.018817680184831 58.16177552366941, 8.018899170232757 58.161818042270866)</t>
  </si>
  <si>
    <t>[1182372, 1182380]</t>
  </si>
  <si>
    <t>[1112387, 1112392]</t>
  </si>
  <si>
    <t>0.008852833825371439</t>
  </si>
  <si>
    <t>[1105784, 1112387]</t>
  </si>
  <si>
    <t>131.18965580260866</t>
  </si>
  <si>
    <t>4.446391795765233</t>
  </si>
  <si>
    <t>[-0.088, -0.228]</t>
  </si>
  <si>
    <t>LINESTRING (8.018899170232757 58.161818042270866, 8.018936109958739 58.16175771237454, 8.019027941718036 58.16171130449606)</t>
  </si>
  <si>
    <t>[1624027, 1624035]</t>
  </si>
  <si>
    <t>[1453522, 1105795]</t>
  </si>
  <si>
    <t>[1112392, 1453522]</t>
  </si>
  <si>
    <t>[0.088, 0.228]</t>
  </si>
  <si>
    <t>14.56618045271415</t>
  </si>
  <si>
    <t>[0.045, -0.061, -0.122, -0.11, -0.106, -0.071, -0.012, 0.033, 0.088, 0.118]</t>
  </si>
  <si>
    <t>LINESTRING (8.079551357348857 58.16096027664461, 8.079737727860275 58.160874365379634, 8.079853812207732 58.16088270099897, 8.079935271508305 58.160915056692026, 8.07997920623758 58.16095728019542, 8.079983562802397 58.16102933649045, 8.079921182792692 58.16107991392396, 8.079794342582797 58.161112200248134, 8.079719427665971 58.16110991990951, 8.07964361933331 58.16109299276564, 8.079554539012669 58.16103398107388)</t>
  </si>
  <si>
    <t>[1176219, 1176227, 1176235, 1176243, 1176251, 1176259, 1176179, 1176187, 1176195, 1176203]</t>
  </si>
  <si>
    <t>[597209, 1107858, 1107865, 1107872, 1107879, 597204, 1107819, 1107824, 1107831, 1105837]</t>
  </si>
  <si>
    <t>[1105918, 597209, 1107858, 1107865, 1107872, 1107879, 597204, 1107819, 1107824, 1107831]</t>
  </si>
  <si>
    <t>[0.045, 0.061, 0.122, 0.11, 0.106, 0.071, 0.012, 0.033, 0.088, 0.118]</t>
  </si>
  <si>
    <t>74.31023358643338</t>
  </si>
  <si>
    <t>[0.035, -0.009, -0.065, -0.168, 0.045, 0.069, 0.082]</t>
  </si>
  <si>
    <t>LINESTRING (8.079554539012669 58.16103398107388, 8.07946617210324 58.16103353565473, 8.078481013702678 58.161162291215454, 8.078210435574997 58.16124327739038, 8.078195483858302 58.161247553707476, 8.073552703597745 58.161398270382605, 8.070657612871628 58.16153679324674, 8.070237006829666 58.161507893475445)</t>
  </si>
  <si>
    <t>[1173492, 1173500, 1173508, 1173516, 1173524, 1173532, 1173540]</t>
  </si>
  <si>
    <t>[1105838, 1105846, 1105854, 1105858, 1105866, 1105875, 1105882]</t>
  </si>
  <si>
    <t>0.04405031427451998</t>
  </si>
  <si>
    <t>[1105837, 1105838, 1105846, 1105854, 1105858, 1105866, 1105875]</t>
  </si>
  <si>
    <t>[0.035, 0.009, 0.065, 0.168, 0.045, 0.069, 0.082]</t>
  </si>
  <si>
    <t>560.4310971578229</t>
  </si>
  <si>
    <t>[0.072, 0.089, -0.034, -0.202, -0.211, -0.129, -0.096]</t>
  </si>
  <si>
    <t>LINESTRING (8.070237006829666 58.161507893475445, 8.069504561641203 58.161495891657985, 8.06837664801262 58.16144519571527, 8.062313292134526 58.16090293776594, 8.06150749029216 58.160921358569496, 8.061271103314084 58.160933943848796, 8.05940814883864 58.16108769335, 8.058184451463271 58.16122454898564)</t>
  </si>
  <si>
    <t>[1623899, 1623907, 1623915, 1623923, 1623931, 1623939, 1623947]</t>
  </si>
  <si>
    <t>[1453442, 1453446, 1453451, 1453458, 1453465, 1453473, 1453477]</t>
  </si>
  <si>
    <t>[1105882, 1453442, 1453446, 1453451, 1453458, 1453465, 1453473]</t>
  </si>
  <si>
    <t>[0.072, 0.089, 0.034, 0.202, 0.211, 0.129, 0.096]</t>
  </si>
  <si>
    <t>719.6891499222842</t>
  </si>
  <si>
    <t>[-0.017, -0.085, -0.027, -0.037, -0.039]</t>
  </si>
  <si>
    <t>LINESTRING (8.073163019515754 58.16123346580304, 8.073570858819073 58.16116532970669, 8.075214294756545 58.16099588866469, 8.07692774893423 58.16089093443861, 8.079465637701874 58.16096400347621, 8.079551357348857 58.16096027664461)</t>
  </si>
  <si>
    <t>[1173548, 1173556, 1173564, 1173572, 1173580]</t>
  </si>
  <si>
    <t>[1105891, 1105898, 1105904, 1105910, 1105918]</t>
  </si>
  <si>
    <t>[1105890, 1105891, 1105898, 1105904, 1105910]</t>
  </si>
  <si>
    <t>[0.017, 0.085, 0.027, 0.037, 0.039]</t>
  </si>
  <si>
    <t>382.39973221975055</t>
  </si>
  <si>
    <t>[0.109, 0.12, 0.04, -0.093, -0.054]</t>
  </si>
  <si>
    <t>LINESTRING (8.057083185377895 58.161216696574215, 8.06113549599037 58.16082966212101, 8.06212037927113 58.16076560875079, 8.068433777771897 58.16123835203354, 8.06952459669117 58.16130652349153, 8.073163019515754 58.16123346580304)</t>
  </si>
  <si>
    <t>[1371319, 1371327, 1336517, 1336525, 1336533]</t>
  </si>
  <si>
    <t>[1264267, 1240655, 1240656, 1240663, 1105890]</t>
  </si>
  <si>
    <t>0.03228224229882373</t>
  </si>
  <si>
    <t>[1264264, 1264267, 1240655, 1240656, 1240663]</t>
  </si>
  <si>
    <t>[0.109, 0.12, 0.04, 0.093, 0.054]</t>
  </si>
  <si>
    <t>959.1983899400882</t>
  </si>
  <si>
    <t>[0.166, 0.076, 0.038, -0.029, -0.056, -0.078]</t>
  </si>
  <si>
    <t>LINESTRING (8.019371363553091 58.161771007726436, 8.019369549492415 58.16188219316947, 8.019246742933083 58.16194693136813, 8.019088187732919 58.16195531861628, 8.018961762756485 58.16191412360935, 8.018914632672242 58.16187116012265, 8.018899170232757 58.161818042270866)</t>
  </si>
  <si>
    <t>[1623979, 1623987, 1623995, 1624003, 1624011, 1624019]</t>
  </si>
  <si>
    <t>[181293, 1105893, 1453502, 1112398, 167247, 1112392]</t>
  </si>
  <si>
    <t>0.042003444811617906</t>
  </si>
  <si>
    <t>[1106061, 181293, 1105893, 1453502, 1112398, 167247]</t>
  </si>
  <si>
    <t>[0.166, 0.076, 0.038, 0.029, 0.056, 0.078]</t>
  </si>
  <si>
    <t>52.612814706696376</t>
  </si>
  <si>
    <t>18.943019746928044</t>
  </si>
  <si>
    <t>[0.022, -0.032, -0.003, 0.004, 0.014, 0.032]</t>
  </si>
  <si>
    <t>7044.0</t>
  </si>
  <si>
    <t>LINESTRING (8.02096451007319 58.16164786225343, 8.020872650391398 58.16164130837443, 8.02054353936688 58.161624119885225, 8.01975346995645 58.16150679431249, 8.01968600117188 58.16151501679172, 8.019395254896049 58.16169042306948, 8.019371363553091 58.161771007726436)</t>
  </si>
  <si>
    <t>[1390305, 1622629, 1173740, 1173748, 1173756, 1173764]</t>
  </si>
  <si>
    <t>[1275466, 1106041, 1106042, 1106048, 1106055, 1106061]</t>
  </si>
  <si>
    <t>0.000284407780430242</t>
  </si>
  <si>
    <t>[1242074, 1275466, 1106041, 1106042, 1106048, 1106055]</t>
  </si>
  <si>
    <t>[0.022, 0.032, 0.003, 0.004, 0.014, 0.032]</t>
  </si>
  <si>
    <t>114.04318862659927</t>
  </si>
  <si>
    <t>20.27681098158112</t>
  </si>
  <si>
    <t>[-0.033, 0.013, 0.046]</t>
  </si>
  <si>
    <t>LINESTRING (8.018516050029945 58.160163430428845, 8.018602808792354 58.16020514863589, 8.02283496670566 58.161890452088066, 8.023129916334439 58.161981635509584)</t>
  </si>
  <si>
    <t>[1173772, 1173780, 1622709]</t>
  </si>
  <si>
    <t>[1106070, 1106076, 1106987]</t>
  </si>
  <si>
    <t>0.0139545323940876</t>
  </si>
  <si>
    <t>[1106069, 1106070, 1106076]</t>
  </si>
  <si>
    <t>[0.033, 0.013, 0.046]</t>
  </si>
  <si>
    <t>363.2539579252914</t>
  </si>
  <si>
    <t>[-0.018, -0.031, -0.03, -0.023]</t>
  </si>
  <si>
    <t>LINESTRING (8.018142375203293 58.1600608773891, 8.018273831232186 58.16004269276155, 8.018412814324352 58.160066826198644, 8.018505433225181 58.160132477308, 8.018516050029945 58.160163430428845)</t>
  </si>
  <si>
    <t>[1174876, 1174884, 1174892, 1174900]</t>
  </si>
  <si>
    <t>[1106895, 1106900, 1106908, 1106069]</t>
  </si>
  <si>
    <t>[1106889, 1106895, 1106900, 1106908]</t>
  </si>
  <si>
    <t>[0.018, 0.031, 0.03, 0.023]</t>
  </si>
  <si>
    <t>29.28502254145745</t>
  </si>
  <si>
    <t>[-0.04, -0.012, 0.02]</t>
  </si>
  <si>
    <t>LINESTRING (8.01684093069345 58.160452328847434, 8.017020535390529 58.16048491592424, 8.01848352796176 58.16031826525264, 8.018329041252985 58.16030012833506)</t>
  </si>
  <si>
    <t>[1622765, 1173788, 1173796]</t>
  </si>
  <si>
    <t>[1106080, 1106081, 1106086]</t>
  </si>
  <si>
    <t>[1107020, 1106080, 1106081]</t>
  </si>
  <si>
    <t>[0.04, 0.012, 0.02]</t>
  </si>
  <si>
    <t>241.96998152537108</t>
  </si>
  <si>
    <t>[-0.029, -0.015, 0.011, 0.116]</t>
  </si>
  <si>
    <t>4798.0</t>
  </si>
  <si>
    <t>LINESTRING (8.01909908694297 58.16169809374679, 8.019193012271794 58.161649710152545, 8.019200248562878 58.16139203160422, 8.016909571932116 58.16062417201316, 8.016733494839336 58.16052256897857)</t>
  </si>
  <si>
    <t>[1173812, 1173820, 1173828, 1622837]</t>
  </si>
  <si>
    <t>[1106098, 1106106, 1106112, 1242103]</t>
  </si>
  <si>
    <t>0.013325318910281134</t>
  </si>
  <si>
    <t>[1106097, 1106098, 1106106, 1106112]</t>
  </si>
  <si>
    <t>[0.029, 0.015, 0.011, 0.116]</t>
  </si>
  <si>
    <t>214.93141821184605</t>
  </si>
  <si>
    <t>[-0.016, -0.03, -0.04, -0.001, 0.039, 0.032]</t>
  </si>
  <si>
    <t>LINESTRING (8.00342914998238 58.15621417313675, 8.003265172640862 58.15618981651497, 8.001662331580489 58.155655389706894, 8.001585034629823 58.15563067204574, 8.00064075313622 58.15594419079472, 8.000684464830885 58.1559662283963, 8.000782598154647 58.15601503942061)</t>
  </si>
  <si>
    <t>[1173836, 1173844, 1173852, 1173860, 1173868, 1173876]</t>
  </si>
  <si>
    <t>[1106119, 1106126, 1106133, 1106139, 1106144, 1106151]</t>
  </si>
  <si>
    <t>[1106118, 1106119, 1106126, 1106133, 1106139, 1106144]</t>
  </si>
  <si>
    <t>[0.016, 0.03, 0.04, 0.001, 0.039, 0.032]</t>
  </si>
  <si>
    <t>234.4850756989101</t>
  </si>
  <si>
    <t>[-0.028, -0.024, -0.013, -0.011, -0.037]</t>
  </si>
  <si>
    <t>LINESTRING (8.00342914998238 58.15621417313675, 8.00171560510581 58.1556186742385, 8.000161565479063 58.15514819731021, 7.999456409322586 58.15498945913231, 7.999330725588558 58.15496253150978, 7.997903825178241 58.15465871655745)</t>
  </si>
  <si>
    <t>[1336557, 1336565, 1336573, 1336581, 1336589]</t>
  </si>
  <si>
    <t>[1240691, 1240700, 1240707, 1240717, 1106307]</t>
  </si>
  <si>
    <t>[1106118, 1240691, 1240700, 1240707, 1240717]</t>
  </si>
  <si>
    <t>[0.028, 0.024, 0.013, 0.011, 0.037]</t>
  </si>
  <si>
    <t>370.54147143266266</t>
  </si>
  <si>
    <t>925.4462113094452</t>
  </si>
  <si>
    <t>3.145790838484333</t>
  </si>
  <si>
    <t>24.29719238966282</t>
  </si>
  <si>
    <t>22.564630453026012</t>
  </si>
  <si>
    <t>[-0.036, 0.002, 0.038, 0.024, 0.012]</t>
  </si>
  <si>
    <t>LINESTRING (8.002786541519404 58.155136317119116, 8.002683739915916 58.15509544211135, 8.001812572464944 58.155485516538995, 8.001894174501999 58.155516842723856, 8.004390989723344 58.156350984085925, 8.0047461304798 58.15650392646174)</t>
  </si>
  <si>
    <t>[1173884, 1173892, 1173900, 1173908, 1173916]</t>
  </si>
  <si>
    <t>[1106158, 1106165, 1106170, 1106174, 1106181]</t>
  </si>
  <si>
    <t>0.014313849371471427</t>
  </si>
  <si>
    <t>[1106157, 1106158, 1106165, 1106170, 1106174]</t>
  </si>
  <si>
    <t>[0.036, 0.002, 0.038, 0.024, 0.012]</t>
  </si>
  <si>
    <t>327.25157766775254</t>
  </si>
  <si>
    <t>3.452731382228579</t>
  </si>
  <si>
    <t>843.4564681674535</t>
  </si>
  <si>
    <t>[0.054, 0.024, 0.021]</t>
  </si>
  <si>
    <t>LINESTRING (7.999514672554773 58.15488737742703, 8.000233753453832 58.15506746610521, 8.001812208727113 58.155543793968995, 8.0047461304798 58.15650392646174)</t>
  </si>
  <si>
    <t>[1336888, 1336896, 1336913]</t>
  </si>
  <si>
    <t>[1240941, 1240948, 1106181]</t>
  </si>
  <si>
    <t>0.026227489720285855</t>
  </si>
  <si>
    <t>[1106547, 1240941, 1240948]</t>
  </si>
  <si>
    <t>357.7925154143837</t>
  </si>
  <si>
    <t>16.01530517974168</t>
  </si>
  <si>
    <t>31.572765985952262</t>
  </si>
  <si>
    <t>[-0.107, -0.094, -0.155, -0.106, -0.089, -0.044]</t>
  </si>
  <si>
    <t>LINESTRING (7.991994513182748 58.15285740970928, 7.9945689046516675 58.153797515123586, 7.994584088201396 58.15380151613193, 7.995624377717427 58.15404633547552, 7.995844571696193 58.154091638506124, 7.99761275780211 58.15447426731391, 7.9990230087227285 58.15477541044961)</t>
  </si>
  <si>
    <t>[1336814, 1336831, 1336839, 1336848, 1336871, 1336879]</t>
  </si>
  <si>
    <t>[1240879, 1240892, 1240899, 1240907, 1240925, 1106188]</t>
  </si>
  <si>
    <t>[1106386, 1240879, 1240892, 1240899, 1240907, 1240925]</t>
  </si>
  <si>
    <t>[0.107, 0.094, 0.155, 0.106, 0.089, 0.044]</t>
  </si>
  <si>
    <t>469.54949640126586</t>
  </si>
  <si>
    <t>17.382748689657774</t>
  </si>
  <si>
    <t>[0.026, 0.025, 0.02, 0.024]</t>
  </si>
  <si>
    <t>LINESTRING (7.999294071730496 58.15478404943557, 7.999656953032556 58.15486622262333, 8.000279898957896 58.15501503810302, 8.002783146848438 58.15496017436145, 8.002915139658402 58.15495797755159)</t>
  </si>
  <si>
    <t>[1173932, 1173940, 1173948, 1173956]</t>
  </si>
  <si>
    <t>[1106199, 1106204, 1106209, 1106215]</t>
  </si>
  <si>
    <t>0.021672860330982948</t>
  </si>
  <si>
    <t>[1106189, 1106199, 1106204, 1106209]</t>
  </si>
  <si>
    <t>222.6294793649958</t>
  </si>
  <si>
    <t>[0.158, -0.047, -0.209, -0.148, -0.081, 0.002]</t>
  </si>
  <si>
    <t>LINESTRING (7.9926042841976415 58.1551990167421, 7.992614100563934 58.154897299364734, 7.994817551211373 58.153722450291475, 7.995686262752486 58.15400919634599, 7.995905123182535 58.15405374080006, 7.997733090483383 58.15444753339123, 7.999294071730496 58.15478404943557)</t>
  </si>
  <si>
    <t>[1174380, 1174388, 1174396, 1174404, 1174412, 1174420]</t>
  </si>
  <si>
    <t>[1106514, 1106520, 1106527, 1106531, 1106537, 1106189]</t>
  </si>
  <si>
    <t>[1106508, 1106514, 1106520, 1106527, 1106531, 1106537]</t>
  </si>
  <si>
    <t>[0.158, 0.047, 0.209, 0.148, 0.081, 0.002]</t>
  </si>
  <si>
    <t>722.4852823444941</t>
  </si>
  <si>
    <t>[0.282, 0.008, 0.023, 0.027, 0.029, 0.028, 0.009, -0.014]</t>
  </si>
  <si>
    <t>LINESTRING (8.002915139658402 58.15495797755159, 8.002945719053482 58.15494840712041, 8.003083799126848 58.15492252013463, 8.003277497499704 58.15494136876537, 8.00330648127013 58.15495354592912, 8.003416072617897 58.15501497203569, 8.003458805313823 58.15511726793821, 8.003286859291427 58.15525600032559, 8.003103289103372 58.15528268789537)</t>
  </si>
  <si>
    <t>[1624219, 1624227, 1624235, 1624243, 1624251, 1624259, 1624267, 1624275]</t>
  </si>
  <si>
    <t>[1077084, 1453641, 1079078, 1453651, 1453656, 1112937, 166812, 1453671]</t>
  </si>
  <si>
    <t>0.02110085064532761</t>
  </si>
  <si>
    <t>[1106215, 1077084, 1453641, 1079078, 1453651, 1453656, 1112937, 166812]</t>
  </si>
  <si>
    <t>[0.282, 0.008, 0.023, 0.027, 0.029, 0.028, 0.009, 0.014]</t>
  </si>
  <si>
    <t>75.83465126893095</t>
  </si>
  <si>
    <t>[-0.037, -0.029, -0.032, -0.025, -0.016]</t>
  </si>
  <si>
    <t>LINESTRING (8.00043148770034 58.156095804015074, 8.000425603058279 58.15603326187599, 8.000423388530645 58.15600862759397, 8.000111084243276 58.15520073769192, 7.999285394931401 58.15500874992364, 7.997721781399308 58.15467066504471)</t>
  </si>
  <si>
    <t>[1173964, 1173972, 1173980, 1173988, 1173996]</t>
  </si>
  <si>
    <t>[1106220, 1106224, 1106231, 1106237, 1106242]</t>
  </si>
  <si>
    <t>[1106219, 1106220, 1106224, 1106231, 1106237]</t>
  </si>
  <si>
    <t>[0.037, 0.029, 0.032, 0.025, 0.016]</t>
  </si>
  <si>
    <t>262.8020244798764</t>
  </si>
  <si>
    <t>[0.027, -0.01, -0.032, -0.049, -0.028]</t>
  </si>
  <si>
    <t>LINESTRING (8.001010115197369 58.156182225019144, 8.00084604801237 58.156311016322135, 8.000671516840788 58.156330908347385, 8.0004949478189 58.156295373149916, 8.000402889712413 58.1562176714712, 8.00043148770034 58.156095804015074)</t>
  </si>
  <si>
    <t>[1624083, 1624091, 1624099, 1624107, 1624115]</t>
  </si>
  <si>
    <t>[1453557, 1453561, 1112974, 182668, 1106219]</t>
  </si>
  <si>
    <t>[1453550, 1453557, 1453561, 1112974, 182668]</t>
  </si>
  <si>
    <t>[0.027, 0.01, 0.032, 0.049, 0.028]</t>
  </si>
  <si>
    <t>63.68602361009868</t>
  </si>
  <si>
    <t>10.193684319252277</t>
  </si>
  <si>
    <t>[0.078, 0.138, 0.034]</t>
  </si>
  <si>
    <t>LINESTRING (7.997721781399308 58.15467066504471, 7.995583215091176 58.154212081851725, 7.995435655900813 58.1541819155763, 7.992832387662007 58.15587398136525)</t>
  </si>
  <si>
    <t>[1174084, 1174092, 1174100]</t>
  </si>
  <si>
    <t>[1106313, 1106319, 1106325]</t>
  </si>
  <si>
    <t>0.04809253049387948</t>
  </si>
  <si>
    <t>[1106242, 1106313, 1106319]</t>
  </si>
  <si>
    <t>493.81867304166616</t>
  </si>
  <si>
    <t>10.818742995252263</t>
  </si>
  <si>
    <t>[0.741, 0.071, 0.086, 0.108, 0.167, 0.19, 0.052]</t>
  </si>
  <si>
    <t>25560.0</t>
  </si>
  <si>
    <t>LINESTRING (7.9976193593339 58.15459706653136, 7.997522268842691 58.15457583251321, 7.997463010022332 58.154563137591026, 7.995675542802594 58.15417876712768, 7.995506677434868 58.15414167586037, 7.9935177979607035 58.153702317876416, 7.993502301024375 58.15369869596233, 7.990740300858096 58.15259621452959)</t>
  </si>
  <si>
    <t>[1336605, 1336613, 1336621, 1336629, 1336637, 1336645, 1336653]</t>
  </si>
  <si>
    <t>[1240731, 1240740, 1240745, 1240751, 1240757, 1240764, 1106256]</t>
  </si>
  <si>
    <t>0.10231815839030595</t>
  </si>
  <si>
    <t>[1106250, 1240731, 1240740, 1240745, 1240751, 1240757, 1240764]</t>
  </si>
  <si>
    <t>468.4688806525339</t>
  </si>
  <si>
    <t>18.132015883665478</t>
  </si>
  <si>
    <t>16.938901543566235</t>
  </si>
  <si>
    <t>30.05611418704196</t>
  </si>
  <si>
    <t>16.041113266936385</t>
  </si>
  <si>
    <t>[-0.052, -0.094, -0.115, -0.101, -0.088]</t>
  </si>
  <si>
    <t>LINESTRING (7.990494271535234 58.1525213494077, 7.9908276644692116 58.1501593137706, 7.990995583982789 58.15014731703398, 7.991036040732927 58.150141241765404, 7.991189068430025 58.15011083131562, 7.991291577546947 58.15008168691455)</t>
  </si>
  <si>
    <t>[1174020, 1174028, 1174036, 1174044, 1174052]</t>
  </si>
  <si>
    <t>[1106264, 1106272, 1106278, 1106284, 1106291]</t>
  </si>
  <si>
    <t>[1106257, 1106264, 1106272, 1106278, 1106284]</t>
  </si>
  <si>
    <t>[0.052, 0.094, 0.115, 0.101, 0.088]</t>
  </si>
  <si>
    <t>536.6694445580433</t>
  </si>
  <si>
    <t>[0.217, 0.023]</t>
  </si>
  <si>
    <t>LINESTRING (7.9926042841976415 58.1551990167421, 7.992561310149342 58.155131759087496, 7.990494271535234 58.1525213494077)</t>
  </si>
  <si>
    <t>[1174436, 1174444]</t>
  </si>
  <si>
    <t>[1106552, 1106257]</t>
  </si>
  <si>
    <t>0.02733617501303901</t>
  </si>
  <si>
    <t>[1106508, 1106552]</t>
  </si>
  <si>
    <t>354.35010941421893</t>
  </si>
  <si>
    <t>18.07795135583826</t>
  </si>
  <si>
    <t>19.446616641453517</t>
  </si>
  <si>
    <t>22.053731399325525</t>
  </si>
  <si>
    <t>[-0.155, -0.102, 0.019, 0.047, 0.104, 0.168, 0.177]</t>
  </si>
  <si>
    <t>LINESTRING (7.992832387662007 58.15587398136525, 7.9928159913861085 58.15600014421437, 7.9927963581287065 58.15621174147005, 7.992742702488576 58.15629349194885, 7.992732228754497 58.15620479549887, 7.992746141267168 58.155999893754455, 7.992745550258072 58.15598096317757, 7.9926042841976415 58.1551990167421)</t>
  </si>
  <si>
    <t>[1174108, 1174116, 1174124, 1174348, 1174356, 1174364, 1174372]</t>
  </si>
  <si>
    <t>[1106328, 1106334, 1101788, 1106492, 1106495, 1106501, 1106508]</t>
  </si>
  <si>
    <t>0.08413254836310141</t>
  </si>
  <si>
    <t>[1106325, 1106328, 1106334, 1101788, 1106492, 1106495, 1106501]</t>
  </si>
  <si>
    <t>[0.155, 0.102, 0.019, 0.047, 0.104, 0.168, 0.177]</t>
  </si>
  <si>
    <t>169.93781332043238</t>
  </si>
  <si>
    <t>[-0.052, -0.159, -0.013, -0.19]</t>
  </si>
  <si>
    <t>LINESTRING (7.991879755899476 58.15273932717872, 7.9939560471096405 58.1535006206754, 7.994536896677252 58.153386960817706, 7.99277916472319 58.155780924838396, 7.992832387662007 58.15587398136525)</t>
  </si>
  <si>
    <t>[1174316, 1174324, 1174332, 1174340]</t>
  </si>
  <si>
    <t>[1106472, 1106477, 1106482, 1106325]</t>
  </si>
  <si>
    <t>[1106381, 1106472, 1106477, 1106482]</t>
  </si>
  <si>
    <t>[0.052, 0.159, 0.013, 0.19]</t>
  </si>
  <si>
    <t>642.963781087528</t>
  </si>
  <si>
    <t>18.00345036396592</t>
  </si>
  <si>
    <t>19.322984961490068</t>
  </si>
  <si>
    <t>[0.08, 0.0, 0.087, 0.076, 0.086]</t>
  </si>
  <si>
    <t>LINESTRING (7.991654480424728 58.150281059302635, 7.9916222917432105 58.15032234114449, 7.991620397400625 58.15032476890864, 7.991552785210112 58.150414129203995, 7.9915470984200745 58.15042186288208, 7.991879755899476 58.15273932717872)</t>
  </si>
  <si>
    <t>[1174148, 1174156, 1174164, 1174172, 1174180]</t>
  </si>
  <si>
    <t>[1106359, 1106363, 1106370, 1106375, 1106381]</t>
  </si>
  <si>
    <t>0.08582731015673142</t>
  </si>
  <si>
    <t>[1106358, 1106359, 1106363, 1106370, 1106375]</t>
  </si>
  <si>
    <t>310.42912389922003</t>
  </si>
  <si>
    <t>14.811144453049442</t>
  </si>
  <si>
    <t>13.489254983034378</t>
  </si>
  <si>
    <t>26.480370088041283</t>
  </si>
  <si>
    <t>[0.034, 0.064, 0.073, 0.015]</t>
  </si>
  <si>
    <t>LINESTRING (7.991314992866552 58.15024688829466, 7.991216516842204 58.15023067315602, 7.991082409374815 58.150214572417774, 7.991047052077939 58.150210709746936, 7.988835076081251 58.149892868229955)</t>
  </si>
  <si>
    <t>[1174212, 1174220, 1174228, 1174236]</t>
  </si>
  <si>
    <t>[1106403, 1106409, 1106416, 1106422]</t>
  </si>
  <si>
    <t>0.01626617809375524</t>
  </si>
  <si>
    <t>[1106402, 1106403, 1106409, 1106416]</t>
  </si>
  <si>
    <t>502.7530410455812</t>
  </si>
  <si>
    <t>2.500857452779415</t>
  </si>
  <si>
    <t>15.88238017353341</t>
  </si>
  <si>
    <t>[-0.078, -0.039, 0.0]</t>
  </si>
  <si>
    <t>LINESTRING (7.988835076081251 58.149892868229955, 7.988513705526504 58.148784674558854, 7.986472371011037 58.147497335013256, 7.986353828691477 58.14747825875157)</t>
  </si>
  <si>
    <t>[1174468, 1174476, 1174484]</t>
  </si>
  <si>
    <t>[1106577, 1106583, 1106585]</t>
  </si>
  <si>
    <t>[1106422, 1106577, 1106583]</t>
  </si>
  <si>
    <t>[0.078, 0.039, 0.0]</t>
  </si>
  <si>
    <t>330.71674583949937</t>
  </si>
  <si>
    <t>15.654072952934566</t>
  </si>
  <si>
    <t>[-0.065, -0.069, -0.028, -0.01]</t>
  </si>
  <si>
    <t>LINESTRING (7.988903199354497 58.149755143350724, 7.988622523763007 58.14880330164195, 7.987859843938837 58.14795336226821, 7.987379877873493 58.14763000383329, 7.986068991349224 58.146988807250054)</t>
  </si>
  <si>
    <t>[1336685, 1336693, 1336701, 1336709]</t>
  </si>
  <si>
    <t>[1240788, 1240792, 1240796, 1240804]</t>
  </si>
  <si>
    <t>[1106427, 1240788, 1240792, 1240796]</t>
  </si>
  <si>
    <t>[0.065, 0.069, 0.028, 0.01]</t>
  </si>
  <si>
    <t>364.8060039639175</t>
  </si>
  <si>
    <t>30.123080851547165</t>
  </si>
  <si>
    <t>15.757199117633995</t>
  </si>
  <si>
    <t>29.906855401035386</t>
  </si>
  <si>
    <t>[0.009, 0.054, 0.033, 0.05]</t>
  </si>
  <si>
    <t>LINESTRING (7.986068991349224 58.146988807250054, 7.987443896739807 58.147599304092815, 7.988784768408373 58.14876720309841, 7.988796708058959 58.148783984886485, 7.989203864656219 58.14970866511584)</t>
  </si>
  <si>
    <t>[1336757, 1336765, 1336773, 1336782]</t>
  </si>
  <si>
    <t>[1240838, 1240843, 1240849, 1106432]</t>
  </si>
  <si>
    <t>0.03971423204382279</t>
  </si>
  <si>
    <t>[1240804, 1240838, 1240843, 1240849]</t>
  </si>
  <si>
    <t>367.8110314497531</t>
  </si>
  <si>
    <t>15.941143754442221</t>
  </si>
  <si>
    <t>[0.074, -0.062, -0.127, -0.088, -0.053, -0.045]</t>
  </si>
  <si>
    <t>LINESTRING (7.989320390958365 58.14983495911544, 7.990101614290274 58.1514160750499, 7.990904459857529 58.15148481764437, 7.99137731708674 58.15081133858797, 7.991411847874175 58.15040740266642, 7.9913790204776545 58.15031729160571, 7.991344394559104 58.150263038754964)</t>
  </si>
  <si>
    <t>[1174260, 1174268, 1174276, 1174284, 1174292, 1174300]</t>
  </si>
  <si>
    <t>[1106438, 1106442, 1106448, 1106453, 1106457, 1106462]</t>
  </si>
  <si>
    <t>[1106433, 1106438, 1106442, 1106448, 1106453, 1106457]</t>
  </si>
  <si>
    <t>[0.074, 0.062, 0.127, 0.088, 0.053, 0.045]</t>
  </si>
  <si>
    <t>380.8521982465959</t>
  </si>
  <si>
    <t>[0.023, 0.011, 0.05, 0.065]</t>
  </si>
  <si>
    <t>LINESTRING (7.987189071942352 58.14732816979353, 7.9878706400926704 58.14776054442718, 7.987913899240119 58.14779177224352, 7.9888456691668575 58.14872640826433, 7.989320390958365 58.14983495911544)</t>
  </si>
  <si>
    <t>[1174532, 1174540, 1174548, 1174556]</t>
  </si>
  <si>
    <t>[1106627, 1106632, 1106640, 1106433]</t>
  </si>
  <si>
    <t>0.05013531027721976</t>
  </si>
  <si>
    <t>[1106622, 1106627, 1106632, 1106640]</t>
  </si>
  <si>
    <t>312.4591063707116</t>
  </si>
  <si>
    <t>343.1812768500092</t>
  </si>
  <si>
    <t>282.0422996190193</t>
  </si>
  <si>
    <t>[0.018, -0.002, -0.024, -0.039]</t>
  </si>
  <si>
    <t>LINESTRING (7.986353828691477 58.14747825875157, 7.9862413769475875 58.14749209710352, 7.986093935661122 58.1474644395727, 7.986016481668104 58.1473967607989, 7.98601401799866 58.147348861313574)</t>
  </si>
  <si>
    <t>[1174956, 1174964, 1174972, 1174980]</t>
  </si>
  <si>
    <t>[1106949, 1106954, 1106959, 1106963]</t>
  </si>
  <si>
    <t>[1106585, 1106949, 1106954, 1106959]</t>
  </si>
  <si>
    <t>[0.018, 0.002, 0.024, 0.039]</t>
  </si>
  <si>
    <t>30.210770737673023</t>
  </si>
  <si>
    <t>18.295187542799702</t>
  </si>
  <si>
    <t>[-0.0, -0.012, 0.017, 0.033]</t>
  </si>
  <si>
    <t>LINESTRING (7.985654801056361 58.147139761209154, 7.984445926240245 58.14669355159661, 7.982738009274134 58.145588903645894, 7.982269014475314 58.14509218939563, 7.982242625988662 58.14505756635147)</t>
  </si>
  <si>
    <t>[1174492, 1174500, 1174508, 1174516]</t>
  </si>
  <si>
    <t>[1106591, 1106599, 1106605, 1106614]</t>
  </si>
  <si>
    <t>[1106590, 1106591, 1106599, 1106605]</t>
  </si>
  <si>
    <t>[0.0, 0.012, 0.017, 0.033]</t>
  </si>
  <si>
    <t>313.0756648367413</t>
  </si>
  <si>
    <t>[0.192, -0.065]</t>
  </si>
  <si>
    <t>LINESTRING (7.98601401799866 58.147348861313574, 7.985949510592113 58.147312006787665, 7.985654801056361 58.147139761209154)</t>
  </si>
  <si>
    <t>[1622845, 1622853]</t>
  </si>
  <si>
    <t>[1452830, 1106590]</t>
  </si>
  <si>
    <t>[1106963, 1452830]</t>
  </si>
  <si>
    <t>[0.192, 0.065]</t>
  </si>
  <si>
    <t>31.516164020511717</t>
  </si>
  <si>
    <t>[-0.004, 0.001]</t>
  </si>
  <si>
    <t>LINESTRING (7.986209353170496 58.14724880737245, 7.986082094804549 58.14722286876845, 7.985654801056361 58.147139761209154)</t>
  </si>
  <si>
    <t>[1175158, 1175166]</t>
  </si>
  <si>
    <t>[1107088, 1106590]</t>
  </si>
  <si>
    <t>[1106976, 1107088]</t>
  </si>
  <si>
    <t>34.90245859494728</t>
  </si>
  <si>
    <t>[0.173, 0.016, 0.009, -0.047]</t>
  </si>
  <si>
    <t>LINESTRING (7.982242625988662 58.14505756635147, 7.98206705555005 58.14504724663304, 7.9820523890265305 58.145043155378886, 7.981970745923222 58.14499999801543, 7.982064908073346 58.14484875605531)</t>
  </si>
  <si>
    <t>[2137618, 2137626, 2137634, 2137642]</t>
  </si>
  <si>
    <t>[1837124, 1837131, 1452974, 1112166]</t>
  </si>
  <si>
    <t>0.02700717968935489</t>
  </si>
  <si>
    <t>[1106614, 1837124, 1837131, 1452974]</t>
  </si>
  <si>
    <t>[0.173, 0.016, 0.009, 0.047]</t>
  </si>
  <si>
    <t>37.59280491981388</t>
  </si>
  <si>
    <t>[0.161, 0.017, -0.259]</t>
  </si>
  <si>
    <t>LINESTRING (7.982390896624936 58.144949869605874, 7.982328719250696 58.14502538604476, 7.9823165761946875 58.14503214958489, 7.982242625988662 58.14505756635147)</t>
  </si>
  <si>
    <t>[2137594, 2137602, 2137610]</t>
  </si>
  <si>
    <t>[1837111, 1837114, 1106614]</t>
  </si>
  <si>
    <t>0.009687680748146054</t>
  </si>
  <si>
    <t>[1112161, 1837111, 1837114]</t>
  </si>
  <si>
    <t>[0.161, 0.017, 0.259]</t>
  </si>
  <si>
    <t>15.43272009760535</t>
  </si>
  <si>
    <t>[-0.025, -0.012, -0.013, -0.009, 0.02]</t>
  </si>
  <si>
    <t>LINESTRING (7.986465114283461 58.147335268699536, 7.986579020141428 58.14732416002226, 7.986757876773564 58.1473183429852, 7.986775645289608 58.14731700860622, 7.987095533947848 58.1473184962275, 7.987189071942352 58.14732816979353)</t>
  </si>
  <si>
    <t>[1174572, 1174580, 1174588, 1174596, 1174604]</t>
  </si>
  <si>
    <t>[1106662, 1106668, 1106675, 1106681, 1106622]</t>
  </si>
  <si>
    <t>[1106661, 1106662, 1106668, 1106675, 1106681]</t>
  </si>
  <si>
    <t>[0.025, 0.012, 0.013, 0.009, 0.02]</t>
  </si>
  <si>
    <t>43.08882349084762</t>
  </si>
  <si>
    <t>[-0.066, 0.036]</t>
  </si>
  <si>
    <t>LINESTRING (7.987121688189385 58.14693603233067, 7.987121688189385 58.14693603233067, 7.987189071942352 58.14732816979353)</t>
  </si>
  <si>
    <t>[1622861, 1174524]</t>
  </si>
  <si>
    <t>[1106621, 1106622]</t>
  </si>
  <si>
    <t>0.019367443255299547</t>
  </si>
  <si>
    <t>[1452839, 1106621]</t>
  </si>
  <si>
    <t>[0.066, 0.036]</t>
  </si>
  <si>
    <t>55.917296778856404</t>
  </si>
  <si>
    <t>[-0.014, -0.001, 0.024, 0.034]</t>
  </si>
  <si>
    <t>LINESTRING (7.986209353170496 58.14724880737245, 7.986245024989792 58.147247353816034, 7.986375667146942 58.1472697122153, 7.9864515123325 58.14731716015733, 7.986465114283461 58.147335268699536)</t>
  </si>
  <si>
    <t>[1175004, 1175012, 1175020, 1175028]</t>
  </si>
  <si>
    <t>[1106981, 1106986, 1106994, 1106661]</t>
  </si>
  <si>
    <t>0.010489445428618951</t>
  </si>
  <si>
    <t>[1106976, 1106981, 1106986, 1106994]</t>
  </si>
  <si>
    <t>[0.014, 0.001, 0.024, 0.034]</t>
  </si>
  <si>
    <t>19.315546306728187</t>
  </si>
  <si>
    <t>[0.037, 0.017]</t>
  </si>
  <si>
    <t>LINESTRING (8.138584103189189 58.18043552580099, 8.138474097231022 58.18047975569542, 8.138315685726022 58.180483066676125)</t>
  </si>
  <si>
    <t>[1174692, 1174700]</t>
  </si>
  <si>
    <t>[1106751, 1106697]</t>
  </si>
  <si>
    <t>0.026316399248900668</t>
  </si>
  <si>
    <t>[1106743, 1106751]</t>
  </si>
  <si>
    <t>17.489039461786753</t>
  </si>
  <si>
    <t>LINESTRING (8.138561450187472 58.180267379743135, 8.138626759485007 58.180332359844655, 8.138621191391245 58.18039637723289)</t>
  </si>
  <si>
    <t>[1174668, 1174676]</t>
  </si>
  <si>
    <t>[1106730, 1106737]</t>
  </si>
  <si>
    <t>0.035310938699741494</t>
  </si>
  <si>
    <t>[1106725, 1106730]</t>
  </si>
  <si>
    <t>15.35655870379666</t>
  </si>
  <si>
    <t>[0.611, -0.189]</t>
  </si>
  <si>
    <t>LINESTRING (8.138561450187472 58.180267379743135, 8.138672183762074 58.18027155834004, 8.13903497855782 58.18030881312568)</t>
  </si>
  <si>
    <t>[1338665, 1338673]</t>
  </si>
  <si>
    <t>[1242302, 1107068]</t>
  </si>
  <si>
    <t>[1106725, 1242302]</t>
  </si>
  <si>
    <t>[0.611, 0.189]</t>
  </si>
  <si>
    <t>28.9623431632916</t>
  </si>
  <si>
    <t>4.88368600529015</t>
  </si>
  <si>
    <t>[-0.032, -0.028]</t>
  </si>
  <si>
    <t>LINESTRING (8.138621191391245 58.18039637723289, 8.138744619158496 58.180371812538695, 8.13903497855782 58.18030881312568)</t>
  </si>
  <si>
    <t>[1175118, 1175126]</t>
  </si>
  <si>
    <t>[1107062, 1107068]</t>
  </si>
  <si>
    <t>[1106737, 1107062]</t>
  </si>
  <si>
    <t>26.40920701102861</t>
  </si>
  <si>
    <t>[0.13, 0.007, -0.063, -0.126]</t>
  </si>
  <si>
    <t>LINESTRING (8.106806890509446 58.1695928243305, 8.107127750273898 58.16954132237605, 8.107198928781406 58.16958213004168, 8.107228162023326 58.169632645845915, 8.107198515501093 58.169703574886405)</t>
  </si>
  <si>
    <t>[1174708, 1174716, 1174724, 1174732]</t>
  </si>
  <si>
    <t>[1106765, 1106773, 1106779, 1106784]</t>
  </si>
  <si>
    <t>0.03588816427378955</t>
  </si>
  <si>
    <t>[1106764, 1106765, 1106773, 1106779]</t>
  </si>
  <si>
    <t>[0.13, 0.007, 0.063, 0.126]</t>
  </si>
  <si>
    <t>42.21990261507432</t>
  </si>
  <si>
    <t>18.710590466858704</t>
  </si>
  <si>
    <t>[0.044, -0.555]</t>
  </si>
  <si>
    <t>LINESTRING (8.106116128539556 58.169529038797606, 8.106716094174057 58.16959889885377, 8.106806890509446 58.1695928243305)</t>
  </si>
  <si>
    <t>[1337142, 1337159]</t>
  </si>
  <si>
    <t>[1241155, 1106764]</t>
  </si>
  <si>
    <t>[1241123, 1241155]</t>
  </si>
  <si>
    <t>[0.044, 0.555]</t>
  </si>
  <si>
    <t>42.62298837548278</t>
  </si>
  <si>
    <t>[-0.164, -0.131]</t>
  </si>
  <si>
    <t>LINESTRING (8.107198515501093 58.169703574886405, 8.10710061613061 58.16974917360468, 8.106999692655535 58.16975865453479)</t>
  </si>
  <si>
    <t>[1174740, 1174748]</t>
  </si>
  <si>
    <t>[1106791, 1106798]</t>
  </si>
  <si>
    <t>[1106784, 1106791]</t>
  </si>
  <si>
    <t>[0.164, 0.131]</t>
  </si>
  <si>
    <t>13.735432192819488</t>
  </si>
  <si>
    <t>6.3100618855332895</t>
  </si>
  <si>
    <t>[0.79, -0.026]</t>
  </si>
  <si>
    <t>LINESTRING (8.10689733150623 58.16974210588809, 8.106834908413427 58.1697638134742, 8.106588097587752 58.170035569065725)</t>
  </si>
  <si>
    <t>[1337167, 1337168]</t>
  </si>
  <si>
    <t>[1241175, 1241139]</t>
  </si>
  <si>
    <t>0.06464455783165697</t>
  </si>
  <si>
    <t>[1106806, 1241175]</t>
  </si>
  <si>
    <t>[0.79, 0.026]</t>
  </si>
  <si>
    <t>39.65545545912334</t>
  </si>
  <si>
    <t>[0.061, 0.071, 0.023, -0.023, -0.049]</t>
  </si>
  <si>
    <t>LINESTRING (8.089225132453059 58.16493410868411, 8.089170065043936 58.164906061266485, 8.089134781253616 58.164828988820915, 8.08920876877379 58.16475993522471, 8.089252290665568 58.16474572318926, 8.089402252464398 58.16474180875173)</t>
  </si>
  <si>
    <t>[1174772, 1174780, 1174788, 1174796, 1174804]</t>
  </si>
  <si>
    <t>[597111, 1106824, 1106832, 1106839, 1106844]</t>
  </si>
  <si>
    <t>0.017714097094770478</t>
  </si>
  <si>
    <t>[1106819, 597111, 1106824, 1106832, 1106839]</t>
  </si>
  <si>
    <t>[0.061, 0.071, 0.023, 0.023, 0.049]</t>
  </si>
  <si>
    <t>34.07653422733494</t>
  </si>
  <si>
    <t>LINESTRING (8.089483395180567 58.16491869613451, 8.089346723160697 58.16495153853796, 8.089225132453059 58.16493410868411)</t>
  </si>
  <si>
    <t>[1174828, 1174836]</t>
  </si>
  <si>
    <t>[1106861, 1106819]</t>
  </si>
  <si>
    <t>0.033881729123805646</t>
  </si>
  <si>
    <t>[1106856, 1106861]</t>
  </si>
  <si>
    <t>16.279158773325108</t>
  </si>
  <si>
    <t>[-0.356, 0.851]</t>
  </si>
  <si>
    <t>LINESTRING (8.089393577216862 58.16517576058475, 8.089264712557368 58.16499438395352, 8.089225132453059 58.16493410868411)</t>
  </si>
  <si>
    <t>[1839013, 1839021]</t>
  </si>
  <si>
    <t>[1612207, 1106819]</t>
  </si>
  <si>
    <t>[1249084, 1612207]</t>
  </si>
  <si>
    <t>[0.356, 0.851]</t>
  </si>
  <si>
    <t>28.731637049931383</t>
  </si>
  <si>
    <t>14.864189624472802</t>
  </si>
  <si>
    <t>8.85609959315137</t>
  </si>
  <si>
    <t>[-0.34, 0.647]</t>
  </si>
  <si>
    <t>LINESTRING (8.089393577216862 58.16517576058475, 8.089450174298493 58.164986805335026, 8.089483395180567 58.16491869613451)</t>
  </si>
  <si>
    <t>[1838869, 1838877]</t>
  </si>
  <si>
    <t>[1612135, 1106856]</t>
  </si>
  <si>
    <t>[1249084, 1612135]</t>
  </si>
  <si>
    <t>[0.34, 0.647]</t>
  </si>
  <si>
    <t>29.189265048625163</t>
  </si>
  <si>
    <t>[-0.002, -0.026]</t>
  </si>
  <si>
    <t>LINESTRING (8.043709155868354 58.16433677916968, 8.045950918608565 58.16330369087488, 8.046374837354358 58.163117632417595)</t>
  </si>
  <si>
    <t>[1371343, 1371351]</t>
  </si>
  <si>
    <t>[1264283, 1264290]</t>
  </si>
  <si>
    <t>[1106875, 1264283]</t>
  </si>
  <si>
    <t>201.23734725255457</t>
  </si>
  <si>
    <t>[-0.052, -0.045, -0.059, -0.007, -0.008, -0.037, -0.044]</t>
  </si>
  <si>
    <t>LINESTRING (8.029479624857084 58.16435148178546, 8.029315374893413 58.16426839025531, 8.027568011482504 58.1632182189848, 8.026993991842996 58.1629470800427, 8.026679629459933 58.16281977596691, 8.025262429989676 58.16242415426058, 8.024963626162204 58.16236119608622, 8.023129916334439 58.161981635509584)</t>
  </si>
  <si>
    <t>[1174966, 1174974, 1174982, 1174990, 1174998, 1175006, 1175014]</t>
  </si>
  <si>
    <t>[1106956, 1106960, 1106965, 1106973, 1106977, 1106982, 1106987]</t>
  </si>
  <si>
    <t>[1106950, 1106956, 1106960, 1106965, 1106973, 1106977, 1106982]</t>
  </si>
  <si>
    <t>[0.052, 0.045, 0.059, 0.007, 0.008, 0.037, 0.044]</t>
  </si>
  <si>
    <t>468.00489106806197</t>
  </si>
  <si>
    <t>[-0.042, -0.029]</t>
  </si>
  <si>
    <t>LINESTRING (7.98601401799866 58.147348861313574, 7.986064393894775 58.14729121065829, 7.986209353170496 58.14724880737245)</t>
  </si>
  <si>
    <t>[1174988, 1174996]</t>
  </si>
  <si>
    <t>[1106971, 1106976]</t>
  </si>
  <si>
    <t>[1106963, 1106971]</t>
  </si>
  <si>
    <t>[0.042, 0.029]</t>
  </si>
  <si>
    <t>16.857714204553968</t>
  </si>
  <si>
    <t>[-0.025, -0.006, -0.005, -0.006, 0.016]</t>
  </si>
  <si>
    <t>7740.0</t>
  </si>
  <si>
    <t>LINESTRING (8.023129916334439 58.161981635509584, 8.020948938359362 58.16153609986995, 8.019783331048245 58.161290083073155, 8.019378174588274 58.16119926699954, 8.018853600373339 58.16107412800172, 8.01684093069345 58.160452328847434)</t>
  </si>
  <si>
    <t>[1175022, 1175030, 1175038, 1175046, 1175054]</t>
  </si>
  <si>
    <t>[1106996, 1107001, 1107007, 1107014, 1107020]</t>
  </si>
  <si>
    <t>[1106987, 1106996, 1107001, 1107007, 1107014]</t>
  </si>
  <si>
    <t>[0.025, 0.006, 0.005, 0.006, 0.016]</t>
  </si>
  <si>
    <t>409.4103031688248</t>
  </si>
  <si>
    <t>10.912900622640903</t>
  </si>
  <si>
    <t>0.118</t>
  </si>
  <si>
    <t>11.012447502810467</t>
  </si>
  <si>
    <t>[-0.022, -1.208]</t>
  </si>
  <si>
    <t>6730.0</t>
  </si>
  <si>
    <t>LINESTRING (7.98045079292053 58.14213232518529, 7.978713479778767 58.141392882837586, 7.97859783948043 58.14135934152678)</t>
  </si>
  <si>
    <t>[1175070, 1308221]</t>
  </si>
  <si>
    <t>[1107033, 1217329]</t>
  </si>
  <si>
    <t>[1107032, 1107033]</t>
  </si>
  <si>
    <t>[0.022, 1.208]</t>
  </si>
  <si>
    <t>142.05417065398728</t>
  </si>
  <si>
    <t>[-0.093, 0.046, 4.908]</t>
  </si>
  <si>
    <t>6346.0</t>
  </si>
  <si>
    <t>LINESTRING (7.98045079292053 58.14213232518529, 7.978658231108541 58.14145378480164, 7.978537972040845 58.14143187478199, 7.978469175150189 58.141441172385335)</t>
  </si>
  <si>
    <t>[1338512, 1308253, 1308261]</t>
  </si>
  <si>
    <t>[1217353, 1217354, 1112244]</t>
  </si>
  <si>
    <t>0.06035872805241156</t>
  </si>
  <si>
    <t>[1107032, 1217353, 1217354]</t>
  </si>
  <si>
    <t>[0.093, 0.046, 4.908]</t>
  </si>
  <si>
    <t>143.4177278444393</t>
  </si>
  <si>
    <t>[0.011, 0.071, 0.113]</t>
  </si>
  <si>
    <t>LINESTRING (7.986068991349224 58.146988807250054, 7.981184251848984 58.14310883586011, 7.980909496685554 58.142641041897214, 7.98045079292053 58.14213232518529)</t>
  </si>
  <si>
    <t>[1336717, 1336725, 1336733]</t>
  </si>
  <si>
    <t>[1240811, 1240818, 1107032]</t>
  </si>
  <si>
    <t>0.02579616606786946</t>
  </si>
  <si>
    <t>[1240804, 1240811, 1240818]</t>
  </si>
  <si>
    <t>656.2444823980916</t>
  </si>
  <si>
    <t>[-0.002, -0.043, 0.003, 0.009, -0.015, -0.078]</t>
  </si>
  <si>
    <t>LINESTRING (7.007757883961729 58.2209550929538, 7.00630692399602 58.22095536474697, 7.0053158987248345 58.220906470800884, 7.002256731059557 58.22049134771373, 6.977621725296101 58.217202392923866, 6.954827385758506 58.217825204238686, 6.949777123738103 58.217834020258444)</t>
  </si>
  <si>
    <t>[1177673, 1177681, 1177689, 1177705, 1177713, 1177721]</t>
  </si>
  <si>
    <t>[1108909, 1108916, 1108921, 1108929, 1108944, 1108950]</t>
  </si>
  <si>
    <t>[1108862, 1108909, 1108916, 1108921, 1108929, 1108944]</t>
  </si>
  <si>
    <t>[0.002, 0.043, 0.003, 0.009, 0.015, 0.078]</t>
  </si>
  <si>
    <t>3514.691402315471</t>
  </si>
  <si>
    <t>[-0.036, 0.003, 0.042, 0.042, 0.044]</t>
  </si>
  <si>
    <t>LINESTRING (6.949777123738103 58.217834020258444, 6.949669790314876 58.21785111839994, 6.946023467637857 58.21790815860018, 6.945787196005162 58.21790945513968, 6.9439294167108025 58.21791908949387, 6.94373159331493 58.21792009862475)</t>
  </si>
  <si>
    <t>[1177729, 1177761, 1177801, 1177809, 1177817]</t>
  </si>
  <si>
    <t>[1108954, 1108979, 1109004, 1109009, 1109017]</t>
  </si>
  <si>
    <t>0.01711222105441408</t>
  </si>
  <si>
    <t>[1108950, 1108954, 1108979, 1109004, 1109009]</t>
  </si>
  <si>
    <t>[0.036, 0.003, 0.042, 0.042, 0.044]</t>
  </si>
  <si>
    <t>356.5412267538091</t>
  </si>
  <si>
    <t>[-0.049, 0.009, 0.041, 0.045]</t>
  </si>
  <si>
    <t>LINESTRING (6.949777123738103 58.217834020258444, 6.949670302112646 58.21782110846419, 6.94578930345218 58.21783953476504, 6.943947923309978 58.217849172654624, 6.943854507186349 58.21784968334642)</t>
  </si>
  <si>
    <t>[1177793, 1177769, 1177777, 1177785]</t>
  </si>
  <si>
    <t>[1108985, 1108986, 1108992, 1108998]</t>
  </si>
  <si>
    <t>0.018439354788455348</t>
  </si>
  <si>
    <t>[1108950, 1108985, 1108986, 1108992]</t>
  </si>
  <si>
    <t>[0.049, 0.009, 0.041, 0.045]</t>
  </si>
  <si>
    <t>349.08329054256257</t>
  </si>
  <si>
    <t>[0.039, 0.043]</t>
  </si>
  <si>
    <t>LINESTRING (6.943854507186349 58.21784968334642, 6.943746668816335 58.217850234612754, 6.943649441698916 58.21785073775994)</t>
  </si>
  <si>
    <t>[1177929, 1182841]</t>
  </si>
  <si>
    <t>[1109092, 1109060]</t>
  </si>
  <si>
    <t>0.040896509859665975</t>
  </si>
  <si>
    <t>[1108998, 1109092]</t>
  </si>
  <si>
    <t>12.081142352059047</t>
  </si>
  <si>
    <t>[0.081, 0.08, 0.068]</t>
  </si>
  <si>
    <t>LINESTRING (6.943854507186349 58.21784968334642, 6.943850323939373 58.21782154038707, 6.943809167861543 58.21759338235477, 6.943738791981376 58.21757285537608)</t>
  </si>
  <si>
    <t>[1178033, 1177937, 1177969]</t>
  </si>
  <si>
    <t>[1109097, 1109098, 1109124]</t>
  </si>
  <si>
    <t>0.0783960363358911</t>
  </si>
  <si>
    <t>[1108998, 1109097, 1109098]</t>
  </si>
  <si>
    <t>33.475882370632256</t>
  </si>
  <si>
    <t>11.656279008174621</t>
  </si>
  <si>
    <t>9.812991652680399</t>
  </si>
  <si>
    <t>[0.043, 0.017, -0.001]</t>
  </si>
  <si>
    <t>LINESTRING (6.94373159331493 58.21792009862475, 6.943549104316555 58.217921115718, 6.94142116636691 58.21794086018179, 6.939495558233676 58.218049755667984)</t>
  </si>
  <si>
    <t>[1177889, 1177897, 1177905]</t>
  </si>
  <si>
    <t>[1109064, 1109069, 1109074]</t>
  </si>
  <si>
    <t>0.009901449875616393</t>
  </si>
  <si>
    <t>[1109017, 1109064, 1109069]</t>
  </si>
  <si>
    <t>[0.043, 0.017, 0.001]</t>
  </si>
  <si>
    <t>250.41156019936903</t>
  </si>
  <si>
    <t>[0.04, 0.014, -0.002]</t>
  </si>
  <si>
    <t>LINESTRING (6.943649441698916 58.21785073775994, 6.9435664932654495 58.217851155008894, 6.941425827173263 58.21790071133333, 6.939495558233676 58.218049755667984)</t>
  </si>
  <si>
    <t>[1177913, 1177921, 1177985]</t>
  </si>
  <si>
    <t>[1109081, 1109087, 1109074]</t>
  </si>
  <si>
    <t>0.007035991149675588</t>
  </si>
  <si>
    <t>[1109060, 1109081, 1109087]</t>
  </si>
  <si>
    <t>[0.04, 0.014, 0.002]</t>
  </si>
  <si>
    <t>246.29091521972032</t>
  </si>
  <si>
    <t>[0.063, 0.077, 0.07, 0.025]</t>
  </si>
  <si>
    <t>LINESTRING (6.943649441698916 58.21785073775994, 6.943652901168282 58.217815321278096, 6.943663580979505 58.21771224860244, 6.94367837800808 58.21760086662213, 6.943738791981376 58.21757285537608)</t>
  </si>
  <si>
    <t>[1178025, 1177945, 1177953, 1177977]</t>
  </si>
  <si>
    <t>[1109102, 1109103, 1109109, 1109124]</t>
  </si>
  <si>
    <t>0.06509762103527827</t>
  </si>
  <si>
    <t>[1109060, 1109102, 1109103, 1109109]</t>
  </si>
  <si>
    <t>32.68684959620976</t>
  </si>
  <si>
    <t>[-0.076, -0.066, 0.043, 0.113, 0.086, -0.013, -0.095, -0.256, -0.228]</t>
  </si>
  <si>
    <t>4237.0</t>
  </si>
  <si>
    <t>LINESTRING (6.939495558233676 58.218049755667984, 6.934766623160868 58.218570799685985, 6.934673470247176 58.21858265190114, 6.923487585450995 58.22081952035516, 6.923306109422113 58.220900382033996, 6.9120501438860416 58.22605614359224, 6.8976407114533265 58.22992846336847, 6.8768961069857975 58.23448030052196, 6.876464852795015 58.234585481457, 6.875878920517579 58.23472833539484)</t>
  </si>
  <si>
    <t>[1177993, 1178001, 1178009, 1178017, 1178041, 1178049, 1178057, 1178065, 1178073]</t>
  </si>
  <si>
    <t>[1109139, 1109145, 1109150, 1109155, 1109169, 1109175, 1109182, 1109187, 1109193]</t>
  </si>
  <si>
    <t>[1109074, 1109139, 1109145, 1109150, 1109155, 1109169, 1109175, 1109182, 1109187]</t>
  </si>
  <si>
    <t>[0.076, 0.066, 0.043, 0.113, 0.086, 0.013, 0.095, 0.256, 0.228]</t>
  </si>
  <si>
    <t>4244.375109368032</t>
  </si>
  <si>
    <t>[-0.067, -0.021, -0.006, -0.023, -0.106]</t>
  </si>
  <si>
    <t>LINESTRING (6.875878920517579 58.23472833539484, 6.870410682862689 58.23607983251336, 6.869648327795599 58.23626720840503, 6.869440315604116 58.23631890846756, 6.861789147018611 58.23937309715245, 6.860741553639826 58.24007050209454)</t>
  </si>
  <si>
    <t>[1178081, 1178129, 1178097, 1178105, 1182329]</t>
  </si>
  <si>
    <t>[1109198, 1109211, 1109212, 1109218, 1112348]</t>
  </si>
  <si>
    <t>[1109193, 1109198, 1109211, 1109212, 1109218]</t>
  </si>
  <si>
    <t>[0.067, 0.021, 0.006, 0.023, 0.106]</t>
  </si>
  <si>
    <t>1089.9611953754766</t>
  </si>
  <si>
    <t>[-0.07, -0.026, -0.008, -0.022, -0.106]</t>
  </si>
  <si>
    <t>LINESTRING (6.875878920517579 58.23472833539484, 6.8703762121203535 58.23603711312155, 6.8696031438799805 58.2362256972135, 6.8693940707204835 58.23627747358649, 6.8617254784929935 58.239345736200306, 6.860673009001588 58.24004499337343)</t>
  </si>
  <si>
    <t>[1178089, 1182321, 1178113, 1178121, 1182337]</t>
  </si>
  <si>
    <t>[1109205, 1109224, 1109225, 1109229, 1112355]</t>
  </si>
  <si>
    <t>[1109193, 1109205, 1109224, 1109225, 1109229]</t>
  </si>
  <si>
    <t>[0.07, 0.026, 0.008, 0.022, 0.106]</t>
  </si>
  <si>
    <t>1092.7680966090422</t>
  </si>
  <si>
    <t>[-0.003, -0.034, -0.043, -0.006, 0.006]</t>
  </si>
  <si>
    <t>LINESTRING (10.236461174595977 59.74681040016237, 10.234841206629843 59.74598372950944, 10.231880742750702 59.74447875640703, 10.231665516449414 59.744372596357586, 10.219511034832202 59.736874245824374, 10.215262642842465 59.73204823227402)</t>
  </si>
  <si>
    <t>[1179179, 1664287, 1179187, 1179195, 1179203]</t>
  </si>
  <si>
    <t>[1109988, 1109995, 1109996, 1110000, 1110008]</t>
  </si>
  <si>
    <t>[1109982, 1109988, 1109995, 1109996, 1110000]</t>
  </si>
  <si>
    <t>[0.003, 0.034, 0.043, 0.006, 0.006]</t>
  </si>
  <si>
    <t>2057.728290577817</t>
  </si>
  <si>
    <t>[0.04, 0.04, 0.012, -0.282, -0.018, -0.031, 0.299]</t>
  </si>
  <si>
    <t>LINESTRING (10.215262642842465 59.73204823227402, 10.215180127443407 59.73193310548459, 10.21502275996686 59.73051102976807, 10.213668424854026 59.7303784686087, 10.21372937006319 59.730637054404596, 10.215411460474177 59.73060941256382, 10.215807277680462 59.730482636990914, 10.21589244868655 59.730422779966894)</t>
  </si>
  <si>
    <t>[1179219, 1179227, 1179315, 1635286, 1635287, 1635295, 1635302]</t>
  </si>
  <si>
    <t>[1110019, 1110027, 1110109, 1462047, 1462048, 1462057, 1300651]</t>
  </si>
  <si>
    <t>[1110008, 1110019, 1110027, 1110109, 1462047, 1462048, 1462057]</t>
  </si>
  <si>
    <t>[0.04, 0.04, 0.012, 0.282, 0.018, 0.031, 0.299]</t>
  </si>
  <si>
    <t>461.98531303832794</t>
  </si>
  <si>
    <t>[0.012, 0.03, 0.016, -0.003, -0.166, -0.048, 0.023, -0.045, -0.005, 0.006, 0.039]</t>
  </si>
  <si>
    <t>[0, 0, 0, 0, 0, 0, 0, 0, 1, 1, 1]</t>
  </si>
  <si>
    <t>LINESTRING (10.241215051909059 59.749012420341394, 10.239084540969639 59.74794469894956, 10.238129072680657 59.74746746286486, 10.236647477829075 59.746728172143804, 10.235008865450451 59.745899638931355, 10.234367085914577 59.74558569671344, 10.23370298575449 59.7452474088567, 10.232011607350005 59.744405474843354, 10.23180133632418 59.74430480224813, 10.21971032458737 59.73683678044369, 10.215460537109315 59.732036026182364, 10.215340504773627 59.73052019982918)</t>
  </si>
  <si>
    <t>[1179339, 1179347, 1179355, 1179363, 1664270, 1664278, 1664286, 1179259, 1179283, 1179291, 1179299]</t>
  </si>
  <si>
    <t>[1110133, 1110139, 1110146, 1110154, 1492778, 1492786, 1110053, 1110054, 1110080, 1110086, 1110064]</t>
  </si>
  <si>
    <t>0.0007662467293463805</t>
  </si>
  <si>
    <t>[1110126, 1110133, 1110139, 1110146, 1110154, 1492778, 1492786, 1110053, 1110054, 1110080, 1110086]</t>
  </si>
  <si>
    <t>[0.012, 0.03, 0.016, 0.003, 0.166, 0.048, 0.023, 0.045, 0.005, 0.006, 0.039]</t>
  </si>
  <si>
    <t>2582.5358248390285</t>
  </si>
  <si>
    <t>[-0.356, 0.009, 0.003, -0.004, 0.667]</t>
  </si>
  <si>
    <t>LINESTRING (10.21630789706999 59.73033343741073, 10.216396343848743 59.73031254041237, 10.21756846119503 59.72971834216799, 10.215557830879666 59.7300435670148, 10.215424964261787 59.73041616921021, 10.215340504773627 59.73052019982918)</t>
  </si>
  <si>
    <t>[1635363, 1635364, 1635371, 1664248, 1664262]</t>
  </si>
  <si>
    <t>[1462117, 1462118, 1462125, 1492758, 1110064]</t>
  </si>
  <si>
    <t>0.020099882857724773</t>
  </si>
  <si>
    <t>[1300673, 1462117, 1462118, 1462125, 1492758]</t>
  </si>
  <si>
    <t>[0.356, 0.009, 0.003, 0.004, 0.667]</t>
  </si>
  <si>
    <t>388.7532587111084</t>
  </si>
  <si>
    <t>[0.006, 0.009, 0.016, 0.005, 0.008, 0.036, -0.013, -0.006]</t>
  </si>
  <si>
    <t>LINESTRING (10.23397992824185 59.744682967265405, 10.234055518798213 59.74470489214835, 10.234385436410568 59.74479620128482, 10.235753696553479 59.74563766934792, 10.236080378771145 59.74605826038883, 10.236801293969274 59.74664053613616, 10.23896358099548 59.74781399132218, 10.241044073558566 59.748879908725726, 10.241215051909059 59.749012420341394)</t>
  </si>
  <si>
    <t>[1638665, 1638673, 1638681, 1638689, 1638690, 1638697, 1302268, 1302276]</t>
  </si>
  <si>
    <t>[1465409, 1465417, 1465426, 1465436, 1465437, 1213356, 1213357, 1110126]</t>
  </si>
  <si>
    <t>0.01128930215895925</t>
  </si>
  <si>
    <t>[1460410, 1465409, 1465417, 1465426, 1465436, 1465437, 1213356, 1213357]</t>
  </si>
  <si>
    <t>[0.006, 0.009, 0.016, 0.005, 0.008, 0.036, 0.013, 0.006]</t>
  </si>
  <si>
    <t>640.1964203325357</t>
  </si>
  <si>
    <t>0.224</t>
  </si>
  <si>
    <t>122.46091648561433</t>
  </si>
  <si>
    <t>[-0.11, -0.092, -0.061, 0.062, 0.118, 0.132]</t>
  </si>
  <si>
    <t>LINESTRING (6.860741553639826 58.24007050209454, 6.860461262270519 58.24025428336927, 6.859993862879917 58.24056607838838, 6.85930459669771 58.24102560833641, 6.857039386871324 58.24253282916301, 6.856301223383253 58.243023269748896, 6.855774136994388 58.24337366563672)</t>
  </si>
  <si>
    <t>[1182369, 1182377, 1182441, 1182505, 1182513, 1182521]</t>
  </si>
  <si>
    <t>[1112382, 1112390, 1112444, 1112501, 1112505, 1111444]</t>
  </si>
  <si>
    <t>0.036507647456297775</t>
  </si>
  <si>
    <t>[1112348, 1112382, 1112390, 1112444, 1112501, 1112505]</t>
  </si>
  <si>
    <t>[0.11, 0.092, 0.061, 0.062, 0.118, 0.132]</t>
  </si>
  <si>
    <t>470.67876175848806</t>
  </si>
  <si>
    <t>[0.114, 0.078, 0.05, 0.022, 0.127]</t>
  </si>
  <si>
    <t>LINESTRING (6.856150283973844 58.24199945788299, 6.856174995708898 58.24204207880842, 6.856732040523891 58.242354256981905, 6.857406561538923 58.24262015721765, 6.856124248279775 58.24317859171721, 6.855774136994388 58.24337366563672)</t>
  </si>
  <si>
    <t>[1182665, 1182673, 1182681, 1182689, 1182809]</t>
  </si>
  <si>
    <t>[1112633, 1112639, 1112647, 1112654, 1111444]</t>
  </si>
  <si>
    <t>0.034772303427997094</t>
  </si>
  <si>
    <t>[1112632, 1112633, 1112639, 1112647, 1112654]</t>
  </si>
  <si>
    <t>602.2455720221793</t>
  </si>
  <si>
    <t>[0.074, -0.145]</t>
  </si>
  <si>
    <t>LINESTRING (6.854522681822791 58.244247426009935, 6.85234091823564 58.25245247015852, 6.84958408377289 58.25899009946276)</t>
  </si>
  <si>
    <t>[1181132, 1181140]</t>
  </si>
  <si>
    <t>[1111479, 1111486]</t>
  </si>
  <si>
    <t>[1111445, 1111479]</t>
  </si>
  <si>
    <t>[0.074, 0.145]</t>
  </si>
  <si>
    <t>1703.5397129158273</t>
  </si>
  <si>
    <t>122.52189625341094</t>
  </si>
  <si>
    <t>[-0.137, -0.061, 0.128]</t>
  </si>
  <si>
    <t>LINESTRING (6.855729409633547 58.243356900731484, 6.8560163187218155 58.24312501923905, 6.856119372825159 58.24189687113713, 6.85611610910747 58.24194809126942)</t>
  </si>
  <si>
    <t>[1182817, 1182697, 1182833]</t>
  </si>
  <si>
    <t>[1112659, 1112660, 1112692]</t>
  </si>
  <si>
    <t>[1111473, 1112659, 1112660]</t>
  </si>
  <si>
    <t>[0.137, 0.061, 0.128]</t>
  </si>
  <si>
    <t>337.66409806635875</t>
  </si>
  <si>
    <t>[-0.107, -0.091, -0.061, 0.063, 0.118, 0.132]</t>
  </si>
  <si>
    <t>LINESTRING (6.860673009001588 58.24004499337343, 6.860417676718332 58.24023762035502, 6.859950961855705 58.24054807864922, 6.859259815775223 58.24100685620713, 6.856993954534109 58.242515117189434, 6.856255290879795 58.24300579610981, 6.855729409633547 58.243356900731484)</t>
  </si>
  <si>
    <t>[1182353, 1182361, 1182457, 1182633, 1182641, 1182649]</t>
  </si>
  <si>
    <t>[1112368, 1112375, 1112458, 1112603, 1112610, 1111473]</t>
  </si>
  <si>
    <t>0.037308870040068234</t>
  </si>
  <si>
    <t>[1112355, 1112368, 1112375, 1112458, 1112603, 1112610]</t>
  </si>
  <si>
    <t>[0.107, 0.091, 0.061, 0.063, 0.118, 0.132]</t>
  </si>
  <si>
    <t>470.61974213245225</t>
  </si>
  <si>
    <t>[-0.517, -0.81, -0.548, 0.0, 0.413]</t>
  </si>
  <si>
    <t>5267.0</t>
  </si>
  <si>
    <t>LINESTRING (6.84958408377289 58.25899009946276, 6.84835525802419 58.259711812583035, 6.848342699031607 58.25971882000541, 6.847994169275741 58.25991684295546, 6.8411325455882785 58.26359428471044, 6.839863275474652 58.26418122565965)</t>
  </si>
  <si>
    <t>[1181148, 1181156, 1181188, 1181204, 1191200]</t>
  </si>
  <si>
    <t>[1111490, 1111493, 1111517, 1111529, 1119037]</t>
  </si>
  <si>
    <t>[1111486, 1111490, 1111493, 1111517, 1111529]</t>
  </si>
  <si>
    <t>[0.517, 0.81, 0.548, 0.0, 0.413]</t>
  </si>
  <si>
    <t>815.1608882276828</t>
  </si>
  <si>
    <t>[-0.52, -0.614, -0.535, -0.0, 0.413, 0.242]</t>
  </si>
  <si>
    <t>LINESTRING (6.84958408377289 58.25899009946276, 6.848312477142712 58.25969084873453, 6.848299666309716 58.259697686595004, 6.847949516148673 58.25989331358381, 6.841092656099987 58.26357132969644, 6.839824056940837 58.26415759152338, 6.837787667466018 58.26505964702652)</t>
  </si>
  <si>
    <t>[1181164, 1181172, 1181196, 1191192, 1191208, 1191256]</t>
  </si>
  <si>
    <t>[1111500, 1111505, 1111524, 1119028, 1119044, 1119082]</t>
  </si>
  <si>
    <t>0.005979802145156712</t>
  </si>
  <si>
    <t>[1111486, 1111500, 1111505, 1111524, 1119028, 1119044]</t>
  </si>
  <si>
    <t>[0.52, 0.614, 0.535, 0.0, 0.413, 0.242]</t>
  </si>
  <si>
    <t>971.0716699088507</t>
  </si>
  <si>
    <t>[0.159, -0.168]</t>
  </si>
  <si>
    <t>LINESTRING (7.982299213856992 58.1448541402334, 7.982363560744209 58.14488987053537, 7.982390896624936 58.144949869605874)</t>
  </si>
  <si>
    <t>[2137674, 2137682]</t>
  </si>
  <si>
    <t>[1837158, 1112161]</t>
  </si>
  <si>
    <t>[1114019, 1837158]</t>
  </si>
  <si>
    <t>[0.159, 0.168]</t>
  </si>
  <si>
    <t>12.390133667201045</t>
  </si>
  <si>
    <t>[0.016, 0.019, 0.027, 0.056, 0.079, -0.025]</t>
  </si>
  <si>
    <t>LINESTRING (7.982064908073346 58.14484875605531, 7.982042818553639 58.14481738965704, 7.981725984538822 58.14439834266625, 7.9816738888372 58.14433764126357, 7.981314593639162 58.14393840564961, 7.981228381456163 58.143857009492486, 7.9812502669683045 58.14379796549497)</t>
  </si>
  <si>
    <t>[1182068, 1182076, 1182084, 1182092, 1182100, 1182108]</t>
  </si>
  <si>
    <t>[1112167, 1112174, 1112181, 1112185, 1077112, 1112195]</t>
  </si>
  <si>
    <t>0.03621161217753681</t>
  </si>
  <si>
    <t>[1112166, 1112167, 1112174, 1112181, 1112185, 1077112]</t>
  </si>
  <si>
    <t>[0.016, 0.019, 0.027, 0.056, 0.079, 0.025]</t>
  </si>
  <si>
    <t>127.97115244413541</t>
  </si>
  <si>
    <t>[0.053, -0.177]</t>
  </si>
  <si>
    <t>LINESTRING (7.982064908073346 58.14484875605531, 7.982141104357907 58.14483404365633, 7.9822223808603905 58.14483673485782)</t>
  </si>
  <si>
    <t>[2137650, 2137658]</t>
  </si>
  <si>
    <t>[1837146, 1114022]</t>
  </si>
  <si>
    <t>[1112166, 1837146]</t>
  </si>
  <si>
    <t>[0.053, 0.177]</t>
  </si>
  <si>
    <t>9.589559305646382</t>
  </si>
  <si>
    <t>[0.129, 0.094, 0.114, 0.068, 0.005, -3.336, 5.089]</t>
  </si>
  <si>
    <t>LINESTRING (7.9812502669683045 58.14379796549497, 7.9810334308005055 58.1436854102421, 7.980775178030522 58.14342810258818, 7.980720074039776 58.143375732646554, 7.978958668980663 58.14163992932761, 7.978584123754903 58.14150465851646, 7.978495957013685 58.14147386257931, 7.978469175150189 58.141441172385335)</t>
  </si>
  <si>
    <t>[1184620, 1184628, 1184636, 1184644, 1184652, 1308237, 1308245]</t>
  </si>
  <si>
    <t>[1114093, 1114100, 1114108, 1114113, 1114119, 1217343, 1112244]</t>
  </si>
  <si>
    <t>0.06578857488371642</t>
  </si>
  <si>
    <t>[1112195, 1114093, 1114100, 1114108, 1114113, 1114119, 1217343]</t>
  </si>
  <si>
    <t>[0.129, 0.094, 0.114, 0.068, 0.005, 3.336, 5.089]</t>
  </si>
  <si>
    <t>314.84466911731687</t>
  </si>
  <si>
    <t>[0.031, 0.022, 0.024, 0.034, 0.075, 0.154]</t>
  </si>
  <si>
    <t>LINESTRING (7.9822223808603905 58.14483673485782, 7.982155946305853 58.14479208434311, 7.981817611246428 58.1443763548532, 7.981764866043974 58.14430756086276, 7.981445187255934 58.14388871610367, 7.98139356142012 58.14382271443995, 7.9812502669683045 58.14379796549497)</t>
  </si>
  <si>
    <t>[1184507, 1184515, 1184523, 1184531, 1184539, 1184547]</t>
  </si>
  <si>
    <t>[1114023, 1114029, 1114033, 1114038, 1077113, 1112195]</t>
  </si>
  <si>
    <t>0.039452754508215365</t>
  </si>
  <si>
    <t>[1114022, 1114023, 1114029, 1114033, 1114038, 1077113]</t>
  </si>
  <si>
    <t>132.72017733933797</t>
  </si>
  <si>
    <t>[2.275, -0.089, -0.087, -0.069, -0.042, -0.009, -0.004, -0.051, -0.024]</t>
  </si>
  <si>
    <t>LINESTRING (7.97859783948043 58.14135934152678, 7.978739778674076 58.141367193472604, 7.979832278956333 58.141680491989746, 7.980171331794979 58.14182739502879, 7.980981306276999 58.14241900114527, 7.9810878445710305 58.14280935328091, 7.981087101170583 58.1428183692255, 7.981069295519158 58.14334135994597, 7.981220532224958 58.143659708471354, 7.9812502669683045 58.14379796549497)</t>
  </si>
  <si>
    <t>[1308269, 1184796, 1184804, 1184812, 1184820, 1184828, 1184836, 1184844, 1184852]</t>
  </si>
  <si>
    <t>[1114217, 1114218, 1114224, 1114229, 1114237, 1114242, 1114247, 1114253, 1112195]</t>
  </si>
  <si>
    <t>0.000943034613709421</t>
  </si>
  <si>
    <t>[1217329, 1114217, 1114218, 1114224, 1114229, 1114237, 1114242, 1114247, 1114253]</t>
  </si>
  <si>
    <t>[2.275, 0.089, 0.087, 0.069, 0.042, 0.009, 0.004, 0.051, 0.024]</t>
  </si>
  <si>
    <t>346.2738088315745</t>
  </si>
  <si>
    <t>[-0.105, -0.091, -0.061, 0.049, -0.047, -0.059, -0.012]</t>
  </si>
  <si>
    <t>LINESTRING (6.860741553639826 58.24007050209454, 6.860486648665554 58.24027069957131, 6.860038990012924 58.24058629609612, 6.859367885692809 58.24104942727717, 6.857366344331435 58.24264347239411, 6.8566965433257705 58.242376692797436, 6.856055103180689 58.242128159371596, 6.855973427131911 58.24211632313281)</t>
  </si>
  <si>
    <t>[1182417, 1182425, 1182465, 1182473, 1182481, 1182489, 1182497]</t>
  </si>
  <si>
    <t>[1112420, 1112428, 1112464, 1112472, 1112479, 1112486, 1112495]</t>
  </si>
  <si>
    <t>[1112348, 1112420, 1112428, 1112464, 1112472, 1112479, 1112486]</t>
  </si>
  <si>
    <t>[0.105, 0.091, 0.061, 0.049, 0.047, 0.059, 0.012]</t>
  </si>
  <si>
    <t>524.0850136502092</t>
  </si>
  <si>
    <t>[-0.099, -0.024, 0.06, 0.091, 0.112]</t>
  </si>
  <si>
    <t>LINESTRING (6.8558963458948785 58.24190290712331, 6.855946358133071 58.241868807153175, 6.859218325009669 58.24098867599605, 6.8599110046241565 58.240529184969354, 6.860369012429032 58.240224357987444, 6.860673009001588 58.24004499337343)</t>
  </si>
  <si>
    <t>[1182825, 1182657, 1182449, 1182433, 1182345]</t>
  </si>
  <si>
    <t>[1112623, 1112451, 1112436, 1112361, 1112355]</t>
  </si>
  <si>
    <t>0.012603438182750795</t>
  </si>
  <si>
    <t>[1112686, 1112623, 1112451, 1112436, 1112361]</t>
  </si>
  <si>
    <t>[0.099, 0.024, 0.06, 0.091, 0.112]</t>
  </si>
  <si>
    <t>376.7499973390539</t>
  </si>
  <si>
    <t>[-0.065, -0.126, -0.11, -0.078]</t>
  </si>
  <si>
    <t>LINESTRING (6.855973427131911 58.24211632313281, 6.855744876162383 58.24203380727179, 6.855756160307861 58.241967853349216, 6.855860213338956 58.24190985502532, 6.8558963458948785 58.24190290712331)</t>
  </si>
  <si>
    <t>[1182713, 1182721, 1182729, 1182737]</t>
  </si>
  <si>
    <t>[1111343, 1112674, 1111322, 1112686]</t>
  </si>
  <si>
    <t>[1112495, 1111343, 1112674, 1111322]</t>
  </si>
  <si>
    <t>[0.065, 0.126, 0.11, 0.078]</t>
  </si>
  <si>
    <t>36.05917371747838</t>
  </si>
  <si>
    <t>18.05793614559413</t>
  </si>
  <si>
    <t>6.077713385972</t>
  </si>
  <si>
    <t>14.529516127234455</t>
  </si>
  <si>
    <t>[-0.024, -0.029]</t>
  </si>
  <si>
    <t>LINESTRING (8.003103289103372 58.15528268789537, 8.002913922217857 58.15524791959821, 8.002799739645958 58.15516646809142)</t>
  </si>
  <si>
    <t>[1624283, 1624291]</t>
  </si>
  <si>
    <t>[1453678, 1112943]</t>
  </si>
  <si>
    <t>[1453671, 1453678]</t>
  </si>
  <si>
    <t>[0.024, 0.029]</t>
  </si>
  <si>
    <t>23.132842818011863</t>
  </si>
  <si>
    <t>[0.03, 0.038]</t>
  </si>
  <si>
    <t>LINESTRING (8.000833417015292 58.15602360857942, 8.000956979684775 58.15608204913943, 8.001010115197369 58.156182225019144)</t>
  </si>
  <si>
    <t>[1624067, 1624075]</t>
  </si>
  <si>
    <t>[1453545, 1453550]</t>
  </si>
  <si>
    <t>0.034373289337280316</t>
  </si>
  <si>
    <t>[1112965, 1453545]</t>
  </si>
  <si>
    <t>21.569074025197555</t>
  </si>
  <si>
    <t>4.931095213014494</t>
  </si>
  <si>
    <t>[-0.015, -0.013, -0.036, 0.046, -0.012, 0.035, 0.048, 0.07, 0.056]</t>
  </si>
  <si>
    <t>LINESTRING (9.983459875847695 62.75072302790106, 9.984107140279123 62.75132977079267, 9.984158295539517 62.751381265955175, 9.984201575230042 62.75142508491149, 9.984219937598603 62.75144273463006, 9.984261143308139 62.75148064118359, 9.985242632088863 62.75218470290191, 9.985354627130626 62.75225676069431, 9.985794358534305 62.752530770563126, 9.985968920363396 62.75266202576834)</t>
  </si>
  <si>
    <t>[1333668, 1333676, 1333684, 1333692, 1333700, 1333708, 1333716, 1333724, 1333732]</t>
  </si>
  <si>
    <t>[661163, 1238494, 661148, 1238508, 1238516, 1238523, 1238526, 1238531, 1114300]</t>
  </si>
  <si>
    <t>0.023769100071758184</t>
  </si>
  <si>
    <t>[1114288, 661163, 1238494, 661148, 1238508, 1238516, 1238523, 1238526, 1238531]</t>
  </si>
  <si>
    <t>[0.015, 0.013, 0.036, 0.046, 0.012, 0.035, 0.048, 0.07, 0.056]</t>
  </si>
  <si>
    <t>252.45354294764928</t>
  </si>
  <si>
    <t>[-0.044, 0.003, -0.015, 0.044, -0.013, 0.032, 0.061, 0.093, 0.101]</t>
  </si>
  <si>
    <t>LINESTRING (9.983459875847695 62.75072302790106, 9.983960665417237 62.75136501089329, 9.984021638239732 62.75142072548802, 9.984061184188432 62.751456854556196, 9.984081185826293 62.75147467088951, 9.984124514100543 62.75151324713733, 9.98511882223094 62.75223743288739, 9.985172691307204 62.75227069152047, 9.985225338803748 62.7523022512374, 9.985968920363396 62.75266202576834)</t>
  </si>
  <si>
    <t>[1333740, 1333748, 1333756, 1333764, 1333772, 1333780, 1333788, 1333796, 1333804]</t>
  </si>
  <si>
    <t>[661174, 1238546, 661149, 1238563, 1238569, 1238577, 1238582, 1238584, 1114300]</t>
  </si>
  <si>
    <t>0.02346911563638753</t>
  </si>
  <si>
    <t>[1114288, 661174, 1238546, 661149, 1238563, 1238569, 1238577, 1238582, 1238584]</t>
  </si>
  <si>
    <t>[0.044, 0.003, 0.015, 0.044, 0.013, 0.032, 0.061, 0.093, 0.101]</t>
  </si>
  <si>
    <t>255.34432341767445</t>
  </si>
  <si>
    <t>[0.062, -0.221, -0.082, -0.062]</t>
  </si>
  <si>
    <t>LINESTRING (6.680420268021328 58.29865177308639, 6.680276126670304 58.298038403153974, 6.6797634626675455 58.29805927556047, 6.679463800663699 58.298094063703466, 6.678416239816395 58.298269514559536)</t>
  </si>
  <si>
    <t>[1614613, 1614621, 1614629, 1614630]</t>
  </si>
  <si>
    <t>[228878, 1447926, 1447931, 1115020]</t>
  </si>
  <si>
    <t>[1447922, 228878, 1447926, 1447931]</t>
  </si>
  <si>
    <t>[0.062, 0.221, 0.082, 0.062]</t>
  </si>
  <si>
    <t>208.24784985170345</t>
  </si>
  <si>
    <t>[-0.102, -0.075]</t>
  </si>
  <si>
    <t>LINESTRING (7.242144838310525 62.74447525449491, 7.242163693628621 62.74434253172547, 7.242395153498469 62.74423715626738)</t>
  </si>
  <si>
    <t>[1186795, 1186875]</t>
  </si>
  <si>
    <t>[1115604, 1115616]</t>
  </si>
  <si>
    <t>[1115603, 1115604]</t>
  </si>
  <si>
    <t>[0.102, 0.075]</t>
  </si>
  <si>
    <t>32.13426898923838</t>
  </si>
  <si>
    <t>36.27232802463281</t>
  </si>
  <si>
    <t>[0.018, 0.025, 0.04, 0.064]</t>
  </si>
  <si>
    <t>LINESTRING (7.238678221678187 62.74374747015391, 7.240957427550621 62.74413351970422, 7.241066980074624 62.74415209441447, 7.242041450838509 62.744431241894354, 7.242144838310525 62.74447525449491)</t>
  </si>
  <si>
    <t>[1186923, 1186931, 1186939, 1186947]</t>
  </si>
  <si>
    <t>[1115692, 1115696, 1115699, 1115603]</t>
  </si>
  <si>
    <t>0.026519199026364817</t>
  </si>
  <si>
    <t>[1115691, 1115692, 1115696, 1115699]</t>
  </si>
  <si>
    <t>196.87973516652315</t>
  </si>
  <si>
    <t>[-0.038, 0.016, 0.043, 0.097]</t>
  </si>
  <si>
    <t>LINESTRING (7.242395153498469 62.74423715626738, 7.242568107280263 62.744218986487525, 7.242766802947782 62.744245208797736, 7.242938325767646 62.744314427480596, 7.242980787555758 62.74435608458005)</t>
  </si>
  <si>
    <t>[1186811, 1186803, 1186859, 1186827]</t>
  </si>
  <si>
    <t>[1115609, 1115610, 1115625, 1115626]</t>
  </si>
  <si>
    <t>0.02260520478957735</t>
  </si>
  <si>
    <t>[1115616, 1115609, 1115610, 1115625]</t>
  </si>
  <si>
    <t>[0.038, 0.016, 0.043, 0.097]</t>
  </si>
  <si>
    <t>36.49740662190191</t>
  </si>
  <si>
    <t>[0.015, 0.026, 0.009, -0.015]</t>
  </si>
  <si>
    <t>LINESTRING (7.238678221678187 62.74374747015391, 7.240983096722547 62.744096675291495, 7.241089132730325 62.74411515390881, 7.242221571116885 62.744238705036246, 7.242395153498469 62.74423715626738)</t>
  </si>
  <si>
    <t>[1187043, 1187051, 1187059, 1187067]</t>
  </si>
  <si>
    <t>[1115767, 1115773, 1115779, 1115616]</t>
  </si>
  <si>
    <t>0.012175236355381916</t>
  </si>
  <si>
    <t>[1115691, 1115767, 1115773, 1115779]</t>
  </si>
  <si>
    <t>[0.015, 0.026, 0.009, 0.015]</t>
  </si>
  <si>
    <t>199.34558129071988</t>
  </si>
  <si>
    <t>[-0.018, -0.073, -0.02, 0.014, 0.02, 0.018, 0.008, 0.023, -0.036, 0.014, 0.023, 0.011, -0.025, 0.015, 0.005, 0.004, 0.0, -0.004, 0.01, 0.014, 0.004, -0.001, 0.029, 0.003]</t>
  </si>
  <si>
    <t>16001.0</t>
  </si>
  <si>
    <t>LINESTRING (7.242719413710888 62.74460671733052, 7.242878992726063 62.74461342306306, 7.245200646781951 62.745014623652416, 7.245240781247231 62.74502471161524, 7.249400526177713 62.74599298653321, 7.25019546980495 62.74617836927391, 7.250318605956551 62.74620599167485, 7.250471608323278 62.74624362691307, 7.250609982585334 62.74627532493318, 7.2506259968572095 62.74627899268646, 7.2512234483896645 62.74642021407977, 7.251333087387885 62.74644530007377, 7.251831708505839 62.746557033050046, 7.251851393756757 62.74656177957762, 7.252037601684142 62.7466067051358, 7.252231191171665 62.74664998242536, 7.252366445895335 62.74668083776489, 7.253148653503966 62.746854053662666, 7.2535910253864735 62.74694796063075, 7.254683738775771 62.74717957025212, 7.254760076990993 62.74719521794402, 7.2549434777048205 62.74723350459743, 7.257952926134038 62.747787842624646, 7.258271720426286 62.747888032090266, 7.258360272704652 62.74792432396537)</t>
  </si>
  <si>
    <t>[1186955, 1186963, 357062, 357070, 357078, 357086, 357094, 357102, 357110, 357118, 357124, 357132, 357140, 357148, 357156, 357164, 357172, 357180, 357188, 357197, 357205, 357213, 1597296, 1597304]</t>
  </si>
  <si>
    <t>[1115707, 345439, 345440, 345450, 345459, 327201, 345477, 345487, 345498, 345506, 345513, 345524, 345534, 345543, 328107, 345558, 345566, 345577, 345587, 345596, 345603, 345613, 1435280, 1435186]</t>
  </si>
  <si>
    <t>[1115619, 1115707, 345439, 345440, 345450, 345459, 327201, 345477, 345487, 345498, 345506, 345513, 345524, 345534, 345543, 328107, 345558, 345566, 345577, 345587, 345596, 345603, 345613, 1435280]</t>
  </si>
  <si>
    <t>[0.018, 0.073, 0.02, 0.014, 0.02, 0.018, 0.008, 0.023, 0.036, 0.014, 0.023, 0.011, 0.025, 0.015, 0.005, 0.004, 0.0, 0.004, 0.01, 0.014, 0.004, 0.001, 0.029, 0.003]</t>
  </si>
  <si>
    <t>884.9637922122263</t>
  </si>
  <si>
    <t>[0.092, 0.076]</t>
  </si>
  <si>
    <t>LINESTRING (7.242980787555758 62.74435608458005, 7.242956887740062 62.7445085962514, 7.242719413710888 62.74460671733052)</t>
  </si>
  <si>
    <t>[1186851, 1186867]</t>
  </si>
  <si>
    <t>[1115640, 1115619]</t>
  </si>
  <si>
    <t>0.08414124905097131</t>
  </si>
  <si>
    <t>[1115626, 1115640]</t>
  </si>
  <si>
    <t>34.11264058075644</t>
  </si>
  <si>
    <t>[0.054, 0.029, 0.022, 0.007, -0.005, -0.001, -0.008, -0.011, -0.032, -0.006, -0.008, -0.008, 0.019, -0.01, -0.008, -0.013, -0.012, -0.016, -0.008, -0.014, -0.02, -0.015, -0.019, -0.015, -0.012, -0.016]</t>
  </si>
  <si>
    <t>LINESTRING (7.242980787555758 62.74435608458005, 7.243071581163957 62.7443968252385, 7.245241649617959 62.74498273578753, 7.245282497822609 62.74499213243375, 7.249452605744974 62.745944386488304, 7.250252070794865 62.74612426264865, 7.2503918861046435 62.74615653717489, 7.2505221257836565 62.746185726580826, 7.250656258549036 62.746216196637874, 7.250688412793537 62.74622350301228, 7.251266227612391 62.74635613612169, 7.2513747038704395 62.74638100418689, 7.251866321134708 62.746493548722135, 7.251886696871355 62.746498288427276, 7.252079298403159 62.74654314446611, 7.252329146066182 62.74659828607766, 7.2524296602648315 62.746620744459314, 7.252839129629195 62.74670903917591, 7.253148065401302 62.74677472939348, 7.253215002045496 62.74679005513338, 7.253662186811332 62.746886602060556, 7.254745626708444 62.74711397021374, 7.25481779569686 62.74712781658318, 7.254993990894342 62.74716514419806, 7.2579794174648 62.74772115492741, 7.258378420894216 62.74774122857605, 7.258487454992328 62.74773766088737)</t>
  </si>
  <si>
    <t>[1186971, 1186979, 1296155, 1296163, 1296171, 1296179, 1296187, 1296195, 1296203, 1296211, 1296219, 1296227, 1296235, 1296243, 1296251, 1296259, 1296267, 1296275, 1296283, 1296291, 1296299, 1296307, 1296315, 1296323, 1597287, 1597288]</t>
  </si>
  <si>
    <t>[1115718, 1115723, 1208479, 1208485, 1208494, 327202, 1208505, 1208511, 938627, 1208520, 1208525, 1159147, 1208538, 1208543, 328106, 1208556, 1208562, 1208566, 1208571, 1208577, 1208583, 1208589, 1208595, 1208600, 1435274, 1435151]</t>
  </si>
  <si>
    <t>[1115626, 1115718, 1115723, 1208479, 1208485, 1208494, 327202, 1208505, 1208511, 938627, 1208520, 1208525, 1159147, 1208538, 1208543, 328106, 1208556, 1208562, 1208566, 1208571, 1208577, 1208583, 1208589, 1208595, 1208600, 1435274]</t>
  </si>
  <si>
    <t>[0.054, 0.029, 0.022, 0.007, 0.005, 0.001, 0.008, 0.011, 0.032, 0.006, 0.008, 0.008, 0.019, 0.01, 0.008, 0.013, 0.012, 0.016, 0.008, 0.014, 0.02, 0.015, 0.019, 0.015, 0.012, 0.016]</t>
  </si>
  <si>
    <t>882.9196152619272</t>
  </si>
  <si>
    <t>[0.029, 0.042, 0.052, 0.022, 0.016, 0.027, -0.038, 0.031, 0.03]</t>
  </si>
  <si>
    <t>[1, 1, 0, 0, 0, 0, 0, 1, 0]</t>
  </si>
  <si>
    <t>LINESTRING (10.564782710728899 59.66431361684147, 10.564481423241627 59.664380526580985, 10.564420134484587 59.664393963447324, 10.556639142703615 59.665017222885076, 10.545906539596162 59.664895079116725, 10.540149689624373 59.66482882019462, 10.533506111596257 59.66500329794438, 10.529717767771691 59.66541901231641, 10.528204298045202 59.665970778677554, 10.527294306237783 59.6665557324464)</t>
  </si>
  <si>
    <t>[1188735, 1188743, 1188751, 1188759, 1188767, 1188775, 1188783, 1188791, 1188799]</t>
  </si>
  <si>
    <t>[1117094, 1117099, 1117107, 1117113, 1117120, 1117126, 1117134, 1117142, 1117151]</t>
  </si>
  <si>
    <t>0.022906559001986935</t>
  </si>
  <si>
    <t>[1117093, 1117094, 1117099, 1117107, 1117113, 1117120, 1117126, 1117134, 1117142]</t>
  </si>
  <si>
    <t>[0.029, 0.042, 0.052, 0.022, 0.016, 0.027, 0.038, 0.031, 0.03]</t>
  </si>
  <si>
    <t>2183.2058266748572</t>
  </si>
  <si>
    <t>[0.424, 0.059, 0.038, 0.047]</t>
  </si>
  <si>
    <t>LINESTRING (10.565824609081176 59.66416364660257, 10.565615210816414 59.66418011739665, 10.565303316421067 59.66422108486687, 10.565148895597803 59.66424803198998, 10.564782710728899 59.66431361684147)</t>
  </si>
  <si>
    <t>[2136638, 2136646, 2136654, 2136662]</t>
  </si>
  <si>
    <t>[1836624, 1836629, 1836633, 1117093]</t>
  </si>
  <si>
    <t>0.12260447045889176</t>
  </si>
  <si>
    <t>[1298430, 1836624, 1836629, 1836633]</t>
  </si>
  <si>
    <t>61.36974626151934</t>
  </si>
  <si>
    <t>[0.651, 0.006, 0.013]</t>
  </si>
  <si>
    <t>LINESTRING (10.565580006680372 59.664024066859305, 10.565499645003946 59.66406720950243, 10.565125202084305 59.66420369473754, 10.564782710728899 59.66431361684147)</t>
  </si>
  <si>
    <t>[2129295, 2129303, 2129311]</t>
  </si>
  <si>
    <t>[1832479, 1832482, 1117093]</t>
  </si>
  <si>
    <t>0.08513823863195843</t>
  </si>
  <si>
    <t>[1298448, 1832479, 1832482]</t>
  </si>
  <si>
    <t>55.906487828510585</t>
  </si>
  <si>
    <t>[0.045, -0.505]</t>
  </si>
  <si>
    <t>LINESTRING (10.527294306237783 59.6665557324464, 10.526734528075899 59.66685801879136, 10.526649506898282 59.666897670179495)</t>
  </si>
  <si>
    <t>[2129423, 2129431]</t>
  </si>
  <si>
    <t>[1832525, 1298557]</t>
  </si>
  <si>
    <t>[1117151, 1832525]</t>
  </si>
  <si>
    <t>[0.045, 0.505]</t>
  </si>
  <si>
    <t>52.80764218158798</t>
  </si>
  <si>
    <t>[0.01, -0.783]</t>
  </si>
  <si>
    <t>LINESTRING (10.527294306237783 59.6665557324464, 10.526958353127261 59.6669294259015, 10.52692106333793 59.666999441023414)</t>
  </si>
  <si>
    <t>[2136758, 2136766]</t>
  </si>
  <si>
    <t>[1836688, 1298572]</t>
  </si>
  <si>
    <t>[1117151, 1836688]</t>
  </si>
  <si>
    <t>[0.01, 0.783]</t>
  </si>
  <si>
    <t>54.04270395290284</t>
  </si>
  <si>
    <t>[0.023, 0.032, -0.067, -0.086, 0.041, -0.024, 0.02, 0.053, 0.015, -0.006, -0.023, -0.018, -0.019, -0.014, 0.013, -0.025, -0.04, -0.007, 0.041, 0.006]</t>
  </si>
  <si>
    <t>[0, 0, 0, 1, 0, 0, 0, 0, 0, 1, 0, 1, 1, 0, 0, 0, 0, 0, 1, 0]</t>
  </si>
  <si>
    <t>LINESTRING (10.526037475542962 59.66742363671686, 10.525252545412059 59.66778819189749, 10.525159912807633 59.66782290587064, 10.523049318436467 59.66837838493315, 10.520727627832233 59.669308930505444, 10.51332346758031 59.67348824211972, 10.51090021047494 59.67464780336387, 10.508813173180057 59.67690074401479, 10.507984841472593 59.67795117160528, 10.507338559801141 59.67899111198051, 10.50726978058611 59.679185705725125, 10.505502449973024 59.68398225169172, 10.504913966678286 59.68445463084335, 10.504366983175899 59.685024507324826, 10.501931291478208 59.68899765146936, 10.498733713409578 59.69070545730078, 10.496726551991916 59.69262154381419, 10.49599375365678 59.69386140263934, 10.488810409792293 59.69772334202547, 10.486282721054703 59.69777029280399, 10.473279503735267 59.70362680368551)</t>
  </si>
  <si>
    <t>[1188807, 1188815, 1188823, 1188831, 1188839, 1188847, 1188855, 1188863, 1188871, 1188879, 1188887, 1188895, 1188903, 1188911, 1188919, 1188927, 1188935, 1188943, 1188951, 1188959]</t>
  </si>
  <si>
    <t>[1117159, 1117168, 1117173, 1117178, 1075631, 1117193, 1117200, 1117208, 1075664, 1117220, 1117227, 1117233, 1117239, 1075576, 1117252, 1117258, 1075550, 1117270, 1117274, 1117282]</t>
  </si>
  <si>
    <t>[1117158, 1117159, 1117168, 1117173, 1117178, 1075631, 1117193, 1117200, 1117208, 1075664, 1117220, 1117227, 1117233, 1117239, 1075576, 1117252, 1117258, 1075550, 1117270, 1117274]</t>
  </si>
  <si>
    <t>[0.023, 0.032, 0.067, 0.086, 0.041, 0.024, 0.02, 0.053, 0.015, 0.006, 0.023, 0.018, 0.019, 0.014, 0.013, 0.025, 0.04, 0.007, 0.041, 0.006]</t>
  </si>
  <si>
    <t>5331.962692325508</t>
  </si>
  <si>
    <t>[0.926, 0.039]</t>
  </si>
  <si>
    <t>LINESTRING (10.52668416989407 59.66716618527515, 10.526580041823536 59.66720727036789, 10.526037475542962 59.66742363671686)</t>
  </si>
  <si>
    <t>[2136942, 2136950]</t>
  </si>
  <si>
    <t>[1836784, 1117158]</t>
  </si>
  <si>
    <t>0.18074342777206887</t>
  </si>
  <si>
    <t>[1298536, 1836784]</t>
  </si>
  <si>
    <t>46.591178227018986</t>
  </si>
  <si>
    <t>[0.412, -0.003]</t>
  </si>
  <si>
    <t>LINESTRING (10.526399895535663 59.66705474349929, 10.526349505763797 59.66712566893686, 10.526037475542962 59.66742363671686)</t>
  </si>
  <si>
    <t>[2129551, 2129559]</t>
  </si>
  <si>
    <t>[1832577, 1117158]</t>
  </si>
  <si>
    <t>0.07248408801396448</t>
  </si>
  <si>
    <t>[1298551, 1832577]</t>
  </si>
  <si>
    <t>[0.412, 0.003]</t>
  </si>
  <si>
    <t>46.1797219160872</t>
  </si>
  <si>
    <t>[0.005, -0.967]</t>
  </si>
  <si>
    <t>LINESTRING (10.473279503735267 59.70362680368551, 10.472921308144155 59.70375675141217, 10.472842669756327 59.70378551185619)</t>
  </si>
  <si>
    <t>[2129567, 2129575]</t>
  </si>
  <si>
    <t>[1832586, 1298640]</t>
  </si>
  <si>
    <t>[1117282, 1832586]</t>
  </si>
  <si>
    <t>[0.005, 0.967]</t>
  </si>
  <si>
    <t>30.426914930096004</t>
  </si>
  <si>
    <t>[-0.035, -1.775]</t>
  </si>
  <si>
    <t>LINESTRING (10.473279503735267 59.70362680368551, 10.473075560045922 59.70382683327926, 10.473039951279722 59.70387956401473)</t>
  </si>
  <si>
    <t>[2137102, 2137110]</t>
  </si>
  <si>
    <t>[1836880, 1298615]</t>
  </si>
  <si>
    <t>[1117282, 1836880]</t>
  </si>
  <si>
    <t>[0.035, 1.775]</t>
  </si>
  <si>
    <t>31.622409558264508</t>
  </si>
  <si>
    <t>[0.344, 0.03, -0.296]</t>
  </si>
  <si>
    <t>LINESTRING (6.839863275474652 58.26418122565965, 6.839557350381953 58.264344549167575, 6.841295761315054 58.265809611102675, 6.841451608036006 58.265741396207424)</t>
  </si>
  <si>
    <t>[1191216, 1191384, 1191440]</t>
  </si>
  <si>
    <t>[1119049, 1119158, 1119200]</t>
  </si>
  <si>
    <t>0.03693637492113844</t>
  </si>
  <si>
    <t>[1119037, 1119049, 1119158]</t>
  </si>
  <si>
    <t>[0.344, 0.03, 0.296]</t>
  </si>
  <si>
    <t>599.6826787438644</t>
  </si>
  <si>
    <t>[0.245, 0.231, -0.183]</t>
  </si>
  <si>
    <t>LINESTRING (6.839863275474652 58.26418122565965, 6.837828054313164 58.265081191407745, 6.830390781609934 58.268873657581636, 6.830005271449822 58.26907704652826)</t>
  </si>
  <si>
    <t>[1191248, 1191296, 1191312]</t>
  </si>
  <si>
    <t>[1119076, 1119104, 1119116]</t>
  </si>
  <si>
    <t>0.21708326169671677</t>
  </si>
  <si>
    <t>[1119037, 1119076, 1119104]</t>
  </si>
  <si>
    <t>[0.245, 0.231, 0.183]</t>
  </si>
  <si>
    <t>797.4970020092436</t>
  </si>
  <si>
    <t>0.231</t>
  </si>
  <si>
    <t>608.7839498203203</t>
  </si>
  <si>
    <t>[-0.046, -0.185]</t>
  </si>
  <si>
    <t>LINESTRING (6.837943443438734 58.266680437241035, 6.837123636213908 58.26532455166801, 6.837787667466018 58.26505964702652)</t>
  </si>
  <si>
    <t>[1191392, 1191264]</t>
  </si>
  <si>
    <t>[1119086, 1119082]</t>
  </si>
  <si>
    <t>[1119162, 1119086]</t>
  </si>
  <si>
    <t>[0.046, 0.185]</t>
  </si>
  <si>
    <t>802.4749863210138</t>
  </si>
  <si>
    <t>[-0.184, -0.17, -0.142]</t>
  </si>
  <si>
    <t>LINESTRING (6.830355449365469 58.268850992323436, 6.829970988943331 58.26905354639784, 6.829631912303475 58.26923167985023, 6.8285731545571045 58.26981068401135)</t>
  </si>
  <si>
    <t>[1191304, 1191344, 1354918]</t>
  </si>
  <si>
    <t>[1119108, 1119137, 1253742]</t>
  </si>
  <si>
    <t>[1119099, 1119108, 1119137]</t>
  </si>
  <si>
    <t>[0.184, 0.17, 0.142]</t>
  </si>
  <si>
    <t>150.0507544282127</t>
  </si>
  <si>
    <t>[0.106, -0.171, -0.313]</t>
  </si>
  <si>
    <t>LINESTRING (6.830355449365469 58.268850992323436, 6.830636048101173 58.268671711674685, 6.841321949865225 58.26582148972106, 6.841451608036006 58.265741396207424)</t>
  </si>
  <si>
    <t>[1191352, 1191408, 1191448]</t>
  </si>
  <si>
    <t>[1119141, 1119175, 1119200]</t>
  </si>
  <si>
    <t>[1119099, 1119141, 1119175]</t>
  </si>
  <si>
    <t>[0.106, 0.171, 0.313]</t>
  </si>
  <si>
    <t>949.5157146933857</t>
  </si>
  <si>
    <t>[-0.169, -0.144]</t>
  </si>
  <si>
    <t>LINESTRING (6.830005271449822 58.26907704652826, 6.829673734640872 58.26925368014519, 6.8285731545571045 58.26981068401135)</t>
  </si>
  <si>
    <t>[1191336, 1354839]</t>
  </si>
  <si>
    <t>[1119132, 1253742]</t>
  </si>
  <si>
    <t>[1119116, 1119132]</t>
  </si>
  <si>
    <t>[0.169, 0.144]</t>
  </si>
  <si>
    <t>117.64000910075706</t>
  </si>
  <si>
    <t>[-0.025, 0.178, -0.182]</t>
  </si>
  <si>
    <t>LINESTRING (6.837943443438734 58.266680437241035, 6.837666407496435 58.2666330337257, 6.8302980701495155 58.26894637349655, 6.830005271449822 58.26907704652826)</t>
  </si>
  <si>
    <t>[1191416, 1191400, 1191320]</t>
  </si>
  <si>
    <t>[1119170, 1119121, 1119116]</t>
  </si>
  <si>
    <t>0.1579415258162162</t>
  </si>
  <si>
    <t>[1119162, 1119170, 1119121]</t>
  </si>
  <si>
    <t>[0.025, 0.178, 0.182]</t>
  </si>
  <si>
    <t>578.574543492739</t>
  </si>
  <si>
    <t>[0.0, 0.225]</t>
  </si>
  <si>
    <t>LINESTRING (6.84136685390047 58.265839804165225, 6.84136685390047 58.265839804165225, 6.837943443438734 58.266680437241035)</t>
  </si>
  <si>
    <t>[1191456, 1191424]</t>
  </si>
  <si>
    <t>[1119188, 1119162]</t>
  </si>
  <si>
    <t>0.21499016322131387</t>
  </si>
  <si>
    <t>[1119209, 1119188]</t>
  </si>
  <si>
    <t>258.55445251445894</t>
  </si>
  <si>
    <t>[-0.301, -0.144, -0.249]</t>
  </si>
  <si>
    <t>LINESTRING (6.841451608036006 58.265741396207424, 6.8449601784566685 58.265144709580504, 6.845399123030182 58.26522422250517, 6.8454847647400605 58.26521409497636)</t>
  </si>
  <si>
    <t>[1353789, 1353821, 1353829]</t>
  </si>
  <si>
    <t>[1253137, 1253159, 1253166]</t>
  </si>
  <si>
    <t>[1119200, 1253137, 1253159]</t>
  </si>
  <si>
    <t>[0.301, 0.144, 0.249]</t>
  </si>
  <si>
    <t>281.71306366403616</t>
  </si>
  <si>
    <t>[-0.319, -0.11, -0.278]</t>
  </si>
  <si>
    <t>LINESTRING (6.84136685390047 58.265839804165225, 6.844919678589771 58.265173237349984, 6.845434195947634 58.26530918760851, 6.845531246654063 58.26530148002418)</t>
  </si>
  <si>
    <t>[1353797, 1353805, 1353813]</t>
  </si>
  <si>
    <t>[1253143, 1253148, 1253152]</t>
  </si>
  <si>
    <t>[1119209, 1253143, 1253148]</t>
  </si>
  <si>
    <t>[0.319, 0.11, 0.278]</t>
  </si>
  <si>
    <t>282.9119191417964</t>
  </si>
  <si>
    <t>[0.071, -0.151, -0.083, -0.002]</t>
  </si>
  <si>
    <t>LINESTRING (6.795966571887435 58.27471153098398, 6.790223164725817 58.274219135123516, 6.790208104803735 58.27421562586889, 6.788213036237288 58.27374632995746, 6.782361186501546 58.27371783418992)</t>
  </si>
  <si>
    <t>[1191520, 1191528, 1191536, 1191544]</t>
  </si>
  <si>
    <t>[1119255, 1119263, 1119269, 1119242]</t>
  </si>
  <si>
    <t>0.01596096855309591</t>
  </si>
  <si>
    <t>[1119249, 1119255, 1119263, 1119269]</t>
  </si>
  <si>
    <t>[0.071, 0.151, 0.083, 0.002]</t>
  </si>
  <si>
    <t>826.0985569687224</t>
  </si>
  <si>
    <t>[0.366, 0.367, 0.071, -0.148, -0.092, -0.0]</t>
  </si>
  <si>
    <t>6838.0</t>
  </si>
  <si>
    <t>LINESTRING (6.796548845013521 58.27460955631777, 6.796103011387293 58.27464707582112, 6.795953579626825 58.27465844616145, 6.790270579939183 58.27416447762359, 6.790255489813133 58.27416080399903, 6.788249053706366 58.27367738278276, 6.782361186501546 58.27371783418992)</t>
  </si>
  <si>
    <t>[1355086, 1191472, 1191480, 1191488, 1191496, 1191504]</t>
  </si>
  <si>
    <t>[1119220, 1119221, 1119228, 1119233, 1119237, 1119242]</t>
  </si>
  <si>
    <t>0.029386314243693677</t>
  </si>
  <si>
    <t>[1119417, 1119220, 1119221, 1119228, 1119233, 1119237]</t>
  </si>
  <si>
    <t>[0.366, 0.367, 0.071, 0.148, 0.092, 0.0]</t>
  </si>
  <si>
    <t>862.913245458348</t>
  </si>
  <si>
    <t>[-0.347, -0.21, 0.059, 0.058, 0.068, -0.062, -0.089, 0.021, -0.057, 0.232, 0.37]</t>
  </si>
  <si>
    <t>[0, 0, 1, 0, 0, 0, 0, 0, 1, 0, 0]</t>
  </si>
  <si>
    <t>LINESTRING (6.796548845013521 58.27460955631777, 6.796959052098934 58.27455069453012, 6.798261754032867 58.27443379964983, 6.7989916505484445 58.27439440620646, 6.799138069694226 58.27355314001124, 6.7990752531331875 58.27352941224014, 6.798897398493071 58.27365803148122, 6.7987455999538255 58.27492478982519, 6.798943464204124 58.27453377307454, 6.798502565317325 58.27455673104313, 6.796283300574345 58.27471358551835, 6.795966571887435 58.27471153098398)</t>
  </si>
  <si>
    <t>[1191720, 1191672, 1191680, 1191688, 1191728, 1191632, 1191640, 1191648, 1191656, 1191664, 1191624]</t>
  </si>
  <si>
    <t>[1119376, 1119377, 1119383, 1119390, 1119333, 1119348, 595549, 1119360, 1119367, 1119341, 1119249]</t>
  </si>
  <si>
    <t>0.014705444920651546</t>
  </si>
  <si>
    <t>[1119417, 1119376, 1119377, 1119383, 1119390, 1119333, 1119348, 595549, 1119360, 1119367, 1119341]</t>
  </si>
  <si>
    <t>[0.347, 0.21, 0.059, 0.058, 0.068, 0.062, 0.089, 0.021, 0.057, 0.232, 0.37]</t>
  </si>
  <si>
    <t>821.40373636972</t>
  </si>
  <si>
    <t>[0.149, 0.142, 0.185, 0.0, 0.024, -0.043, -0.05, -0.054, 0.211, 0.361, 0.365]</t>
  </si>
  <si>
    <t>LINESTRING (6.810465082038693 58.27616535785904, 6.810128955862618 58.27613470288066, 6.808415246398102 58.275806087934406, 6.804743965680928 58.274994521265285, 6.80473824390157 58.274993421117806, 6.800462249520928 58.274476017834836, 6.800451158992477 58.274475761902664, 6.798932607676589 58.27448768442379, 6.798486013559841 58.27451009403002, 6.796566938551501 58.27466206825501, 6.796116527586615 58.27469938236321, 6.795966571887435 58.27471153098398)</t>
  </si>
  <si>
    <t>[1354952, 1354953, 1354960, 1354961, 1354968, 1354969, 1354976, 1354984, 1354991, 1355066, 1191512]</t>
  </si>
  <si>
    <t>[1253837, 1253838, 1253845, 1253846, 1253851, 1253852, 1253858, 1253865, 1253871, 1119248, 1119249]</t>
  </si>
  <si>
    <t>0.11142175712738546</t>
  </si>
  <si>
    <t>[1253832, 1253837, 1253838, 1253845, 1253846, 1253851, 1253852, 1253858, 1253865, 1253871, 1119248]</t>
  </si>
  <si>
    <t>[0.149, 0.142, 0.185, 0.0, 0.024, 0.043, 0.05, 0.054, 0.211, 0.361, 0.365]</t>
  </si>
  <si>
    <t>887.402474691226</t>
  </si>
  <si>
    <t>[0.148, 0.144, 0.185, 0.343, 0.025, -0.091, -0.052, -0.056, 0.214]</t>
  </si>
  <si>
    <t>LINESTRING (6.810465082038693 58.27616535785904, 6.810146807657002 58.276106528614115, 6.808443972650918 58.27576436758964, 6.804778293914875 58.27494691901461, 6.804772624495055 58.274945741037754, 6.800465022859298 58.27442286894052, 6.800453835239236 58.27442258869194, 6.798921280955109 58.27443551975276, 6.798476478333473 58.27445759383057, 6.796548845013521 58.27460955631777)</t>
  </si>
  <si>
    <t>[1354999, 1355007, 1355015, 1355023, 1355024, 1355032, 1355040, 1355048, 1355049]</t>
  </si>
  <si>
    <t>[1253878, 1253884, 1253888, 1253895, 1253896, 1253904, 1253910, 1253915, 1119417]</t>
  </si>
  <si>
    <t>0.10142581518185557</t>
  </si>
  <si>
    <t>[1253832, 1253878, 1253884, 1253888, 1253895, 1253896, 1253904, 1253910, 1253915]</t>
  </si>
  <si>
    <t>[0.148, 0.144, 0.185, 0.343, 0.025, 0.091, 0.052, 0.056, 0.214]</t>
  </si>
  <si>
    <t>854.6521596705812</t>
  </si>
  <si>
    <t>[0.518, 0.001, -0.035, -0.034, 0.0, -0.128]</t>
  </si>
  <si>
    <t>LINESTRING (13.229648498036507 65.83183690383451, 13.229437339906886 65.83205162259645, 13.228401873109828 65.83275737921812, 13.228154016701387 65.83288437548238, 13.227405797383756 65.83326907753407, 13.226835692243952 65.83355684763958, 13.225845034735862 65.83396682645481)</t>
  </si>
  <si>
    <t>[1761147, 1761153, 1761175, 1761183, 1761191, 1761199]</t>
  </si>
  <si>
    <t>[1557002, 1557005, 1557014, 1557020, 1557025, 1122566]</t>
  </si>
  <si>
    <t>0.009149824651699438</t>
  </si>
  <si>
    <t>[1122561, 1557002, 1557005, 1557014, 1557020, 1557025]</t>
  </si>
  <si>
    <t>[0.518, 0.001, 0.035, 0.034, 0.0, 0.128]</t>
  </si>
  <si>
    <t>296.49418987497074</t>
  </si>
  <si>
    <t>[0.509, -0.003, -0.027, -0.036, 0.001, 0.005, -0.105]</t>
  </si>
  <si>
    <t>LINESTRING (13.229648498036507 65.83183690383451, 13.229346633738002 65.83202635147853, 13.228289013617598 65.83270464909974, 13.228040748719081 65.83284393572754, 13.227454292704895 65.83313726262234, 13.226943493164928 65.83340050059888, 13.226856652435444 65.83344652254699, 13.225845034735862 65.83396682645481)</t>
  </si>
  <si>
    <t>[1761208, 1761228, 1761236, 1761244, 1761252, 1761260, 1761268]</t>
  </si>
  <si>
    <t>[1557037, 1557053, 1557057, 1557064, 1557070, 1557076, 1122566]</t>
  </si>
  <si>
    <t>0.009539329792361642</t>
  </si>
  <si>
    <t>[1122561, 1557037, 1557053, 1557057, 1557064, 1557070, 1557076]</t>
  </si>
  <si>
    <t>[0.509, 0.003, 0.027, 0.036, 0.001, 0.005, 0.105]</t>
  </si>
  <si>
    <t>294.6643550459971</t>
  </si>
  <si>
    <t>131.26557430148023</t>
  </si>
  <si>
    <t>[-0.0, -0.027, -0.029, -0.025, -0.031]</t>
  </si>
  <si>
    <t>LINESTRING (13.223404479878004 65.83457017656482, 13.22140981889796 65.83465529985048, 13.220251285347093 65.83470693700966, 13.220121613164062 65.83471407295981, 13.219805621330583 65.83474253032782, 13.217182934695918 65.83506993872605)</t>
  </si>
  <si>
    <t>[1761388, 1761396, 1761404, 1761412, 1761423]</t>
  </si>
  <si>
    <t>[1557149, 1557154, 1557158, 1557165, 1122573]</t>
  </si>
  <si>
    <t>[1122567, 1557149, 1557154, 1557158, 1557165]</t>
  </si>
  <si>
    <t>[0.0, 0.027, 0.029, 0.025, 0.031]</t>
  </si>
  <si>
    <t>290.98557560842903</t>
  </si>
  <si>
    <t>[0.006, -0.027, -0.027, -0.027, -0.026, -0.032]</t>
  </si>
  <si>
    <t>LINESTRING (13.223404479878004 65.83457017656482, 13.221731334877363 65.83472905300414, 13.221409693802585 65.83473947182208, 13.220273865002188 65.8347866790554, 13.220147119381584 65.83479487214545, 13.21982874450318 65.83482294289372, 13.217182934695918 65.83506993872605)</t>
  </si>
  <si>
    <t>[1761431, 1761439, 1761447, 1761452, 1761460, 1761468]</t>
  </si>
  <si>
    <t>[1557178, 1557183, 1557186, 1557189, 1557194, 1122573]</t>
  </si>
  <si>
    <t>[1122567, 1557178, 1557183, 1557186, 1557189, 1557194]</t>
  </si>
  <si>
    <t>[0.006, 0.027, 0.027, 0.027, 0.026, 0.032]</t>
  </si>
  <si>
    <t>290.9978902017072</t>
  </si>
  <si>
    <t>[-0.027, -0.027, 0.01, -0.001, -0.001, -0.009, -0.01, -0.008, -0.006, -0.001, -0.002, -0.002, -0.012, 0.008, -0.014, -0.011, -0.007]</t>
  </si>
  <si>
    <t>[0, 0, 0, 0, 0, 0, 0, 0, 0, 0, 1, 0, 0, 0, 0, 0, 0]</t>
  </si>
  <si>
    <t>LINESTRING (5.27598490046556 59.34235930687577, 5.276990549455193 59.342556119168094, 5.277065231095069 59.342577640360126, 5.283143091861778 59.34452824545581, 5.283897493878119 59.34434874717932, 5.284016365346558 59.34432130899338, 5.285992977298043 59.34386768001735, 5.287499878308756 59.34323353576175, 5.287865995852196 59.34301608753056, 5.288516575148345 59.34264270086285, 5.288705579810956 59.34253626768786, 5.2891053805206525 59.342303308361934, 5.289414765413434 59.34212359661059, 5.294240458213202 59.34178327585165, 5.3010347413607555 59.34097314200522, 5.301103810744487 59.340910677940634, 5.302296807698236 59.33965831326187, 5.302322216862149 59.33961578368936)</t>
  </si>
  <si>
    <t>[1216733, 1216741, 1216749, 1216757, 1216765, 1216773, 1216781, 1216789, 1216797, 1216805, 1216813, 1216821, 1216829, 1216837, 1216845, 1216853, 1216861]</t>
  </si>
  <si>
    <t>[1139035, 1139040, 1139048, 1139058, 1139065, 1139072, 1139079, 1139086, 1139093, 1139102, 1139113, 1139120, 1139129, 1139137, 1139144, 1074083, 1139160]</t>
  </si>
  <si>
    <t>[1139034, 1139035, 1139040, 1139048, 1139058, 1139065, 1139072, 1139079, 1139086, 1139093, 1139102, 1139113, 1139120, 1139129, 1139137, 1139144, 1074083]</t>
  </si>
  <si>
    <t>[0.027, 0.027, 0.01, 0.001, 0.001, 0.009, 0.01, 0.008, 0.006, 0.001, 0.002, 0.002, 0.012, 0.008, 0.014, 0.011, 0.007]</t>
  </si>
  <si>
    <t>1900.1810088381853</t>
  </si>
  <si>
    <t>[-0.044, -0.026, -0.029]</t>
  </si>
  <si>
    <t>LINESTRING (5.2755553919431275 59.34225624463324, 5.275650423271235 59.342272950621776, 5.275714315178529 59.34228492421736, 5.27598490046556 59.34235930687577)</t>
  </si>
  <si>
    <t>[1431118, 1431126, 1431134]</t>
  </si>
  <si>
    <t>[1302980, 1139217, 1139034]</t>
  </si>
  <si>
    <t>[1250970, 1302980, 1139217]</t>
  </si>
  <si>
    <t>[0.044, 0.026, 0.029]</t>
  </si>
  <si>
    <t>27.34589282270737</t>
  </si>
  <si>
    <t>[-0.018, -0.031, -0.024]</t>
  </si>
  <si>
    <t>LINESTRING (5.275513860408175 59.34232322192816, 5.275613003665673 59.342338808714594, 5.275675938256316 59.34234526608537, 5.27598490046556 59.34235930687577)</t>
  </si>
  <si>
    <t>[1377698, 1377705, 1377723]</t>
  </si>
  <si>
    <t>[1268907, 1139782, 1139034]</t>
  </si>
  <si>
    <t>[1250981, 1268907, 1139782]</t>
  </si>
  <si>
    <t>[0.018, 0.031, 0.024]</t>
  </si>
  <si>
    <t>27.405583605290634</t>
  </si>
  <si>
    <t>[0.047, 0.006, -0.024]</t>
  </si>
  <si>
    <t>LINESTRING (9.040702688468105 58.72418993729985, 9.040748626145149 58.72422610239043, 9.04075035647678 58.724402310574014, 9.040722686142546 58.72443666277416)</t>
  </si>
  <si>
    <t>[1220919, 1220944, 1220945]</t>
  </si>
  <si>
    <t>[1143528, 1143558, 1143559]</t>
  </si>
  <si>
    <t>0.00851747815753675</t>
  </si>
  <si>
    <t>[1143527, 1143528, 1143558]</t>
  </si>
  <si>
    <t>[0.047, 0.006, 0.024]</t>
  </si>
  <si>
    <t>29.22406372182751</t>
  </si>
  <si>
    <t>[0.068, 0.072, 0.075]</t>
  </si>
  <si>
    <t>LINESTRING (9.040702688468105 58.72418993729985, 9.041131477391948 58.724273758521846, 9.041421084875159 58.72429803581556, 9.041525191603192 58.72431894629225)</t>
  </si>
  <si>
    <t>[1756399, 1756407, 1756423]</t>
  </si>
  <si>
    <t>[1554331, 1554338, 278053]</t>
  </si>
  <si>
    <t>0.07026083703833368</t>
  </si>
  <si>
    <t>[1143527, 1554331, 1554338]</t>
  </si>
  <si>
    <t>50.13926779749867</t>
  </si>
  <si>
    <t>[-0.378, -0.051, 0.353]</t>
  </si>
  <si>
    <t>LINESTRING (9.040722686142546 58.72443666277416, 9.041396720505109 58.72433683622497, 9.041267312021382 58.72437956840533, 9.040762067853475 58.724691490535506)</t>
  </si>
  <si>
    <t>[2110793, 1241305, 1241313]</t>
  </si>
  <si>
    <t>[1161766, 1161767, 1147726]</t>
  </si>
  <si>
    <t>0.0033717046882204504</t>
  </si>
  <si>
    <t>[1143559, 1161766, 1161767]</t>
  </si>
  <si>
    <t>[0.378, 0.051, 0.353]</t>
  </si>
  <si>
    <t>95.25221596324465</t>
  </si>
  <si>
    <t>0.068</t>
  </si>
  <si>
    <t>14.169333082547528</t>
  </si>
  <si>
    <t>[0.01, -0.015, -0.016, 0.043, 0.077, 0.003, -0.049, 0.085, 0.022, 0.012, -0.059, -0.007, 0.023, 0.003, 0.021, -0.02, -0.034, -0.024, 0.003, 0.014, -0.008]</t>
  </si>
  <si>
    <t>[0, 0, 0, 0, 0, 0, 0, 0, 0, 0, 0, 0, 1, 0, 1, 0, 1, 0, 1, 0, 0]</t>
  </si>
  <si>
    <t>LINESTRING (10.21193540698538 59.50765256877773, 10.214495817050887 59.50446233625065, 10.216619620704419 59.50208901436153, 10.216713408305557 59.50200160092354, 10.222238057168187 59.49732074431257, 10.222834627822946 59.49682245212916, 10.234138443213398 59.488573561967854, 10.239872308919816 59.48511292352675, 10.239948489884975 59.4850743261215, 10.245777100817428 59.482940977398215, 10.263770833840624 59.47470226794884, 10.264534232687462 59.4744660227828, 10.277016254624836 59.47259925760462, 10.277106705613193 59.47259713611128, 10.283339241910202 59.472423307381774, 10.28341574660174 59.47241977770274, 10.292595730777418 59.47150476059736, 10.29333880727619 59.471385863999714, 10.297694638698852 59.47065970317786, 10.301378541479304 59.47008639042933, 10.309868499830657 59.46905761482729, 10.312650950964027 59.46874435398372)</t>
  </si>
  <si>
    <t>[1242996, 1243004, 1243026, 1243032, 1243033, 1243044, 1243045, 1243054, 1243061, 1243081, 1243083, 1243084, 1243087, 1243104, 1243105, 1243120, 1243148, 1243149, 1243154, 1243170, 1243181]</t>
  </si>
  <si>
    <t>[1163241, 1163246, 1163264, 1163268, 1163269, 1163279, 1163280, 1163291, 1163299, 1163318, 1163321, 1163322, 1163325, 1163340, 1163341, 1163351, 1163372, 1163373, 1163375, 1163389, 1143960]</t>
  </si>
  <si>
    <t>0.0021122529610570905</t>
  </si>
  <si>
    <t>[1143943, 1163241, 1163246, 1163264, 1163268, 1163269, 1163279, 1163280, 1163291, 1163299, 1163318, 1163321, 1163322, 1163325, 1163340, 1163341, 1163351, 1163372, 1163373, 1163375, 1163389]</t>
  </si>
  <si>
    <t>[0.01, 0.015, 0.016, 0.043, 0.077, 0.003, 0.049, 0.085, 0.022, 0.012, 0.059, 0.007, 0.023, 0.003, 0.021, 0.02, 0.034, 0.024, 0.003, 0.014, 0.008]</t>
  </si>
  <si>
    <t>7650.879156305286</t>
  </si>
  <si>
    <t>[0.024, -0.037, -0.009, -0.035]</t>
  </si>
  <si>
    <t>LINESTRING (10.312650950964027 59.46874435398372, 10.314487883345693 59.468549518285116, 10.314812789466492 59.46851351933071, 10.320734070807198 59.4678609327781, 10.32417288064238 59.46748226532183)</t>
  </si>
  <si>
    <t>[1243182, 1243189, 1243197, 1243205]</t>
  </si>
  <si>
    <t>[1163398, 1163404, 1163415, 1143974]</t>
  </si>
  <si>
    <t>[1143960, 1163398, 1163404, 1163415]</t>
  </si>
  <si>
    <t>[0.024, 0.037, 0.009, 0.035]</t>
  </si>
  <si>
    <t>668.4872759484701</t>
  </si>
  <si>
    <t>[-0.127, -0.09, -0.045, -0.002, 0.009, -0.002, 0.025, 0.057, -0.028, -0.236, -0.253, -0.033, 0.036, 0.006, 0.011, 0.005, 0.013, 0.019, 0.027]</t>
  </si>
  <si>
    <t>[0, 0, 0, 0, 1, 0, 0, 0, 0, 0, 0, 1, 0, 0, 0, 1, 0, 0, 0]</t>
  </si>
  <si>
    <t>LINESTRING (10.32417288064238 59.46748226532183, 10.325605289921073 59.46732314140328, 10.325840382364886 59.46729738815585, 10.328851441434985 59.46689258312483, 10.332496280154636 59.46609574928925, 10.332556911840333 59.46607903086962, 10.34343190814209 59.45939447548899, 10.34387934875367 59.458660427907056, 10.344043905930363 59.45838495889166, 10.348120231562387 59.45413608948156, 10.348434395240039 59.45392792489278, 10.348716310591527 59.45375033238616, 10.355410857006003 59.44961862901154, 10.35695721876272 59.44724521398738, 10.357698047932631 59.44517148545402, 10.357806510129686 59.44490818049712, 10.357824589433479 59.444866550988856, 10.357861116588573 59.44478060679585, 10.359095522006458 59.442491432342536, 10.359925011818225 59.44113133984743)</t>
  </si>
  <si>
    <t>[1243212, 1243220, 1243228, 1243242, 1243243, 1243265, 1243273, 1243289, 1243290, 1243299, 1243304, 1243305, 1243312, 1243313, 1243325, 1243326, 1243327, 1243328, 1243330]</t>
  </si>
  <si>
    <t>[1163424, 1163429, 1163435, 1163445, 1163446, 1163465, 1163470, 1163489, 1163490, 1163498, 1163502, 1163503, 1163509, 1163510, 1163521, 1163522, 1163523, 1163524, 1149413]</t>
  </si>
  <si>
    <t>[1143974, 1163424, 1163429, 1163435, 1163445, 1163446, 1163465, 1163470, 1163489, 1163490, 1163498, 1163502, 1163503, 1163509, 1163510, 1163521, 1163522, 1163523, 1163524]</t>
  </si>
  <si>
    <t>[0.127, 0.09, 0.045, 0.002, 0.009, 0.002, 0.025, 0.057, 0.028, 0.236, 0.253, 0.033, 0.036, 0.006, 0.011, 0.005, 0.013, 0.019, 0.027]</t>
  </si>
  <si>
    <t>3778.963478274593</t>
  </si>
  <si>
    <t>[-0.026, -0.044]</t>
  </si>
  <si>
    <t>LINESTRING (9.005522437374777 58.68779591727829, 9.00555562447627 58.687687620582125, 9.005459886919038 58.687350006764056)</t>
  </si>
  <si>
    <t>[1757364, 1757365]</t>
  </si>
  <si>
    <t>[123875, 1213871]</t>
  </si>
  <si>
    <t>[1145784, 123875]</t>
  </si>
  <si>
    <t>[0.026, 0.044]</t>
  </si>
  <si>
    <t>50.55544708456825</t>
  </si>
  <si>
    <t>[0.001, 0.0, 0.001, 0.001, 0.001, -0.0, 0.004, 0.0, 0.0, -0.001, -0.0, -0.001]</t>
  </si>
  <si>
    <t>LINESTRING (11.53930673382415 60.18683025576918, 11.539778978952453 60.18685322684176, 11.539938600929368 60.18686574635553, 11.540962131015142 60.18694602899174, 11.540988370613084 60.18694808936522, 11.541166536820088 60.18696206233854, 11.541494424536594 60.18698695502958, 11.541498990257454 60.186987298939826, 11.542700018699051 60.1870794018274, 11.542886393957863 60.18709306549106, 11.542952405020344 60.1870979071582, 11.543971197569588 60.187174627439745, 11.544905368591133 60.18726579464278)</t>
  </si>
  <si>
    <t>[1223622, 1223630, 1223631, 1223638, 1223645, 1223653, 1223661, 1223662, 1223667, 1223676, 1223678, 1223686]</t>
  </si>
  <si>
    <t>[1146434, 1146444, 1146445, 1146453, 1146461, 1146473, 1146480, 1146481, 1146485, 1146494, 1146496, 1146503]</t>
  </si>
  <si>
    <t>0.00012611534795144516</t>
  </si>
  <si>
    <t>[1146433, 1146434, 1146444, 1146445, 1146453, 1146461, 1146473, 1146480, 1146481, 1146485, 1146494, 1146496]</t>
  </si>
  <si>
    <t>[0.001, 0.0, 0.001, 0.001, 0.001, 0.0, 0.004, 0.0, 0.0, 0.001, 0.0, 0.001]</t>
  </si>
  <si>
    <t>315.5874269616878</t>
  </si>
  <si>
    <t>[-0.0, 0.001, 0.002, 0.001, 0.0, 0.0, -0.0, 0.001, -0.0, 0.0, 0.0]</t>
  </si>
  <si>
    <t>LINESTRING (11.53930673382415 60.18683025576918, 11.539902601547057 60.18692532631776, 11.540943328362323 60.187021237883734, 11.540974705060973 60.18702404356497, 11.541143940793635 60.18703919432323, 11.54148081056426 60.187061059225975, 11.542680795102562 60.18714458807221, 11.54287329724722 60.1871579982729, 11.54293654328849 60.18716236334192, 11.543995224697749 60.187235451218186, 11.544247135099281 60.187252836191945, 11.544905368591133 60.18726579464278)</t>
  </si>
  <si>
    <t>[1223698, 1223708, 1223723, 1223724, 1223730, 1223734, 1223735, 1223741, 1223756, 1223764, 1223772]</t>
  </si>
  <si>
    <t>[1146516, 1146528, 1146541, 1146542, 1146549, 1146552, 1146553, 1146561, 1146580, 1146585, 1146503]</t>
  </si>
  <si>
    <t>0.00023854394983422386</t>
  </si>
  <si>
    <t>[1146433, 1146516, 1146528, 1146541, 1146542, 1146549, 1146552, 1146553, 1146561, 1146580, 1146585]</t>
  </si>
  <si>
    <t>[0.0, 0.001, 0.002, 0.001, 0.0, 0.0, 0.0, 0.001, 0.0, 0.0, 0.0]</t>
  </si>
  <si>
    <t>315.87306682032494</t>
  </si>
  <si>
    <t>495.27615955068</t>
  </si>
  <si>
    <t>[-0.021, -0.01, -0.041, -0.015, -0.065, -0.004, 0.008, 0.014, 0.016, 0.001, 0.001, -0.014, -0.008, -0.03, -0.027, -0.011, -0.013, -0.014, -0.007, -0.004, 0.006, 0.007, 0.011, -0.003, -0.001, -0.002, 0.01, -0.009, 0.003, -0.002, -0.001, -0.004, 0.004, 0.015, -0.004, -0.014, 0.023, -0.002, -0.008, -0.007, -0.001, -0.03, 0.005, 0.01, -0.01, -0.003, 0.002, 0.006, -0.004, -0.002, 0.01, -0.002, -0.004, 0.004, 0.006, 0.0, 0.005, 0.002, -0.008, -0.012, -0.001, 0.002, -0.036, 0.015, -0.015, -0.0, -0.002, 0.016, -0.003, 0.01, 0.011, -0.011, 0.004, 0.002, 0.002, 0.003, -0.009, -0.01, -0.009, 0.008, 0.018, -0.006, -0.013, -0.007, 0.006, 0.01, 0.009, -0.004, -0.006, -0.006, -0.006, -0.006]</t>
  </si>
  <si>
    <t>9696.0</t>
  </si>
  <si>
    <t>LINESTRING (11.544905368591133 60.18726579464278, 11.550163357284054 60.18783959437645, 11.554083561020558 60.18902478917025, 11.556700961474796 60.18999634588426, 11.559680248126337 60.191106753720334, 11.560219938154995 60.191306715588794, 11.561959626621414 60.19195752997706, 11.564602539444776 60.19293938023762, 11.564780846143655 60.1930100244031, 11.565004674623374 60.19308964968423, 11.566228342641281 60.19354733260533, 11.569865067933401 60.194899821207876, 11.569925875173741 60.19492165281685, 11.572387605631002 60.19583756188815, 11.572508116949452 60.195881481681475, 11.572624174219705 60.195924495250374, 11.57372198979106 60.196338963959604, 11.575760560205463 60.19710920707468, 11.57599153897085 60.1971997102699, 11.576153805543537 60.197259121152186, 11.580402150494947 60.19905317175661, 11.5805282045728 60.199110123398896, 11.580609185842945 60.19914726331723, 11.58336394438697 60.20039294963262, 11.587255875838968 60.20193029502622, 11.590113876955487 60.202954381561725, 11.594173648521592 60.20440485634995, 11.596319697805281 60.205176898970336, 11.596832518945483 60.20536127449133, 11.599592650518797 60.20634286452289, 11.600951337685544 60.20680336845288, 11.605012250418058 60.20804142169465, 11.606396395828012 60.20841060077474, 11.606537926758765 60.208445949459076, 11.60739889566921 60.20865591349199, 11.610721628816764 60.209166027706566, 11.610996319557847 60.209199025751964, 11.612529443548064 60.20938300755953, 11.617509490232932 60.21039318901511, 11.61849122440472 60.21072218234595, 11.621332497373572 60.21167270303548, 11.624009348162994 60.212577056381306, 11.624568777961294 60.21276455608488, 11.630223646947625 60.21470923020879, 11.63194229342565 60.21535533491102, 11.632095300919358 60.215413144428084, 11.635262120489118 60.21662224021114, 11.6359772668522 60.21689430835713, 11.637280386683729 60.217390613199406, 11.637447366439838 60.21745326412003, 11.639657970604182 60.218178848742596, 11.640170422451598 60.21832026203826, 11.640794903768603 60.21848886700479, 11.64201588533544 60.21880738525937, 11.643383220513789 60.21916105218813, 11.644989526344721 60.21959812999999, 11.645213829627842 60.21966572655733, 11.650722865902368 60.222034180886396, 11.651084530066695 60.222231627410416, 11.651946275764965 60.22270911491886, 11.652808183709784 60.22318525245947, 11.657999312472612 60.225747592906764, 11.661285126388087 60.22697781421649, 11.661512995199738 60.2270644334146, 11.663947507144195 60.2280864529507, 11.664070277708415 60.228158775851725, 11.665886062832591 60.229830055245685, 11.66822760583119 60.23532728726672, 11.668258042694818 60.236688172517574, 11.6681301939607 60.23952205355588, 11.668107559042303 60.23997944429275, 11.668071324212846 60.24074291094585, 11.667985143345001 60.24249603494205, 11.667980323027242 60.24254469332596, 11.667979713694047 60.24258926974567, 11.667978030075274 60.24262112104204, 11.66792889441017 60.24355353581764, 11.667924769929606 60.24364086323878, 11.667897890030321 60.24406525606554, 11.667867120077075 60.24483014491388, 11.667970239519908 60.2456563078406, 11.668861130736236 60.24701899253138, 11.670848123072833 60.25057746468439, 11.671031478504597 60.25101504261923, 11.671727660600972 60.252634020483065, 11.672302548693459 60.25346661396118, 11.67294650789439 60.25430487312096, 11.673003858963348 60.2543825720854, 11.673342835920193 60.254824543493015, 11.673735461630674 60.2553391230422, 11.67380553371185 60.25543155511654, 11.673896573918308 60.25555167945852, 11.674117741781517 60.25584315212306)</t>
  </si>
  <si>
    <t>[1496432, 1496463, 1496464, 1496471, 1496472, 1496483, 1496501, 1496509, 1496513, 1496528, 1496535, 1496548, 1496575, 1496577, 1496579, 1496585, 1496608, 1496616, 1496618, 138158, 138166, 138174, 138182, 138190, 138198, 138206, 138214, 138222, 138230, 138238, 138246, 138254, 138262, 138270, 138278, 138286, 138294, 138302, 138310, 138318, 138326, 138334, 138342, 138350, 138358, 138366, 138374, 138382, 138390, 138398, 138406, 138414, 138422, 138430, 138438, 138446, 138454, 138462, 138470, 138478, 138486, 138494, 138502, 138510, 138518, 138526, 138534, 138542, 138550, 138558, 138566, 138574, 138582, 138590, 138598, 138606, 138614, 138622, 138630, 138638, 138646, 138654, 138662, 138670, 138678, 138686, 138694, 1814562, 1814570, 1814578, 1814586, 1814594]</t>
  </si>
  <si>
    <t>[1354595, 1354618, 1354619, 1354627, 1354628, 1354637, 1354651, 1354658, 1354662, 1354674, 1354681, 1354689, 1354709, 378259, 1354712, 1354716, 1354734, 1354742, 155352, 155353, 155361, 155366, 155376, 26450, 155392, 155401, 155409, 155418, 29771, 155430, 155438, 155448, 43361, 155464, 155471, 155481, 155488, 155496, 155504, 155512, 26442, 155523, 155531, 26046, 71265, 155556, 155563, 155570, 71045, 37623, 155593, 26098, 30857, 25882, 30847, 29687, 155633, 25869, 155651, 155657, 155663, 30866, 155683, 155692, 155700, 25829, 25914, 155717, 155724, 155730, 155736, 155744, 155752, 155760, 155769, 155779, 155788, 155796, 30291, 155812, 155819, 155825, 44957, 155843, 155853, 155859, 155865, 45269, 1596783, 1596788, 1596792, 1596719]</t>
  </si>
  <si>
    <t>[1146503, 1354595, 1354618, 1354619, 1354627, 1354628, 1354637, 1354651, 1354658, 1354662, 1354674, 1354681, 1354689, 1354709, 378259, 1354712, 1354716, 1354734, 1354742, 155352, 155353, 155361, 155366, 155376, 26450, 155392, 155401, 155409, 155418, 29771, 155430, 155438, 155448, 43361, 155464, 155471, 155481, 155488, 155496, 155504, 155512, 26442, 155523, 155531, 26046, 71265, 155556, 155563, 155570, 71045, 37623, 155593, 26098, 30857, 25882, 30847, 29687, 155633, 25869, 155651, 155657, 155663, 30866, 155683, 155692, 155700, 25829, 25914, 155717, 155724, 155730, 155736, 155744, 155752, 155760, 155769, 155779, 155788, 155796, 30291, 155812, 155819, 155825, 44957, 155843, 155853, 155859, 155865, 45269, 1596783, 1596788, 1596792]</t>
  </si>
  <si>
    <t>[0.021, 0.01, 0.041, 0.015, 0.065, 0.004, 0.008, 0.014, 0.016, 0.001, 0.001, 0.014, 0.008, 0.03, 0.027, 0.011, 0.013, 0.014, 0.007, 0.004, 0.006, 0.007, 0.011, 0.003, 0.001, 0.002, 0.01, 0.009, 0.003, 0.002, 0.001, 0.004, 0.004, 0.015, 0.004, 0.014, 0.023, 0.002, 0.008, 0.007, 0.001, 0.03, 0.005, 0.01, 0.01, 0.003, 0.002, 0.006, 0.004, 0.002, 0.01, 0.002, 0.004, 0.004, 0.006, 0.0, 0.005, 0.002, 0.008, 0.012, 0.001, 0.002, 0.036, 0.015, 0.015, 0.0, 0.002, 0.016, 0.003, 0.01, 0.011, 0.011, 0.004, 0.002, 0.002, 0.003, 0.009, 0.01, 0.009, 0.008, 0.018, 0.006, 0.013, 0.007, 0.006, 0.01, 0.009, 0.004, 0.006, 0.006, 0.006, 0.006]</t>
  </si>
  <si>
    <t>11283.36952903374</t>
  </si>
  <si>
    <t>[0.073, 0.043, 0.005]</t>
  </si>
  <si>
    <t>LINESTRING (9.040489424292842 58.72447445816821, 9.040565233970892 58.72449230065026, 9.040758713417567 58.724655338601934, 9.040762067853475 58.724691490535506)</t>
  </si>
  <si>
    <t>[1224853, 1224869, 1224882]</t>
  </si>
  <si>
    <t>[1147695, 1147711, 1147726]</t>
  </si>
  <si>
    <t>0.04272054144934045</t>
  </si>
  <si>
    <t>[1147694, 1147695, 1147711]</t>
  </si>
  <si>
    <t>30.74162548307017</t>
  </si>
  <si>
    <t>[0.236, 0.068, 0.072]</t>
  </si>
  <si>
    <t>LINESTRING (9.039205946584435 58.72424652706359, 9.040045104232947 58.72453837407794, 9.040193891505439 58.724518619126854, 9.040489424292842 58.72447445816821)</t>
  </si>
  <si>
    <t>[2110761, 2110769, 2110777]</t>
  </si>
  <si>
    <t>[1821803, 1821806, 1147694]</t>
  </si>
  <si>
    <t>0.1892337483538995</t>
  </si>
  <si>
    <t>[1161884, 1821803, 1821806]</t>
  </si>
  <si>
    <t>94.52823656992113</t>
  </si>
  <si>
    <t>[-0.061, -0.029, -0.009, -0.013]</t>
  </si>
  <si>
    <t>LINESTRING (9.0052158472696 58.68850028300491, 9.00451023216955 58.6884956024606, 9.004481688623102 58.688049920215036, 9.004769470419653 58.687623346259194, 9.005022563194307 58.68725151548724)</t>
  </si>
  <si>
    <t>[1225385, 1225394, 1225402, 1225403]</t>
  </si>
  <si>
    <t>[1148234, 1148243, 1148249, 1148250]</t>
  </si>
  <si>
    <t>[1148220, 1148234, 1148243, 1148249]</t>
  </si>
  <si>
    <t>[0.061, 0.029, 0.009, 0.013]</t>
  </si>
  <si>
    <t>192.36876600823717</t>
  </si>
  <si>
    <t>6.068690138479538</t>
  </si>
  <si>
    <t>[-0.06, -0.056]</t>
  </si>
  <si>
    <t>LINESTRING (9.005459886919038 58.687350006764056, 9.005140272237405 58.68726088564005, 9.005022563194307 58.68725151548724)</t>
  </si>
  <si>
    <t>[1303069, 1303077]</t>
  </si>
  <si>
    <t>[1213872, 1148250]</t>
  </si>
  <si>
    <t>[1213871, 1213872]</t>
  </si>
  <si>
    <t>[0.06, 0.056]</t>
  </si>
  <si>
    <t>28.49495835988459</t>
  </si>
  <si>
    <t>3.0611109089268576</t>
  </si>
  <si>
    <t>18.139114206041462</t>
  </si>
  <si>
    <t>[-0.037, -0.042, -0.006, -0.012, -0.007, -0.001, 0.006, -0.015, 0.092]</t>
  </si>
  <si>
    <t>LINESTRING (10.233215788796008 59.6593764100711, 10.232189493623547 59.65814786760377, 10.231487183741486 59.657419998038975, 10.229106138567998 59.65502870484785, 10.229043814856167 59.65496706584675, 10.228995877119234 59.654916745248606, 10.226807986960333 59.65266916719461, 10.226776701890698 59.65263924205513, 10.225325100302346 59.65107499725042, 10.225182626243175 59.65091610970305)</t>
  </si>
  <si>
    <t>[1243441, 1243455, 1243464, 1243472, 1243953, 1243960, 1243500, 1243501, 1243508]</t>
  </si>
  <si>
    <t>[1163626, 1163639, 1163648, 1163653, 1164056, 1163672, 1163673, 1163674, 1148919]</t>
  </si>
  <si>
    <t>[1148885, 1163626, 1163639, 1163648, 1163653, 1164056, 1163672, 1163673, 1163674]</t>
  </si>
  <si>
    <t>[0.037, 0.042, 0.006, 0.012, 0.007, 0.001, 0.006, 0.015, 0.092]</t>
  </si>
  <si>
    <t>1046.4874189447976</t>
  </si>
  <si>
    <t>[0.012, 0.018, -0.004, 0.002, 0.006, -0.002, -0.003, 0.024, 0.022]</t>
  </si>
  <si>
    <t>34094.0</t>
  </si>
  <si>
    <t>LINESTRING (10.24846746443111 59.69149563141605, 10.246952517243491 59.68991092072366, 10.245115858818581 59.68339724007329, 10.242058751892316 59.67306732494775, 10.240900475682558 59.67133516833007, 10.2407563045541 59.67112205446734, 10.237877376026718 59.6668032292828, 10.234426627948663 59.66108727175658, 10.23427777942673 59.66087136976647, 10.233215788796008 59.6593764100711)</t>
  </si>
  <si>
    <t>[1594031, 1594039, 1594047, 1594055, 1594063, 1594071, 1243426, 1243433, 1243434]</t>
  </si>
  <si>
    <t>[1432942, 1432949, 1432956, 1432964, 1432970, 1163613, 1163614, 1163618, 1148885]</t>
  </si>
  <si>
    <t>0.00356966965777945</t>
  </si>
  <si>
    <t>[1432935, 1432942, 1432949, 1432956, 1432964, 1432970, 1163613, 1163614, 1163618]</t>
  </si>
  <si>
    <t>[0.012, 0.018, 0.004, 0.002, 0.006, 0.002, 0.003, 0.024, 0.022]</t>
  </si>
  <si>
    <t>3765.2665407907666</t>
  </si>
  <si>
    <t>[-0.03, -0.013, -0.012, 0.003, 0.003, -0.011]</t>
  </si>
  <si>
    <t>LINESTRING (10.231926284961702 59.65820686694825, 10.228878171125778 59.65511934042108, 10.22879112215235 59.65503161388817, 10.22876614192516 59.65500731617811, 10.226553412158935 59.65273454146959, 10.226520868820446 59.6527009723523, 10.225068050047938 59.65113410749226)</t>
  </si>
  <si>
    <t>[1242353, 1242354, 1242366, 1242374, 1242382, 1242394]</t>
  </si>
  <si>
    <t>[1162665, 1162666, 1162676, 1162682, 1162687, 1148925]</t>
  </si>
  <si>
    <t>[1148895, 1162665, 1162666, 1162676, 1162682, 1162687]</t>
  </si>
  <si>
    <t>[0.03, 0.013, 0.012, 0.003, 0.003, 0.011]</t>
  </si>
  <si>
    <t>878.1871117730827</t>
  </si>
  <si>
    <t>[-0.15, -0.036, 0.01, 0.021, 0.051, 0.011, -0.045, -0.007, 0.039, 0.01, 0.028, 0.167]</t>
  </si>
  <si>
    <t>LINESTRING (10.192938288451966 59.6187226867091, 10.193189052928426 59.619153781976365, 10.193659539085537 59.62008409344995, 10.193686052144134 59.62013454178545, 10.194318335083114 59.62079504556457, 10.194807550334403 59.62103698396822, 10.19505731941209 59.62187397651422, 10.195235364277774 59.62221513203508, 10.196035578480114 59.6229976984001, 10.196557273532315 59.62345942481941, 10.196607910472867 59.623502662564064, 10.197040812006627 59.62389006337238, 10.1974454325921 59.624289017486)</t>
  </si>
  <si>
    <t>[1226161, 901915, 901923, 901933, 901940, 901996, 901948, 901956, 901964, 901972, 901980, 1226143]</t>
  </si>
  <si>
    <t>[876477, 876478, 876485, 876497, 876507, 876516, 876517, 876527, 876536, 876540, 876548, 1148914]</t>
  </si>
  <si>
    <t>0.005007801478856735</t>
  </si>
  <si>
    <t>[1148927, 876477, 876478, 876485, 876497, 876507, 876516, 876517, 876527, 876536, 876540, 876548]</t>
  </si>
  <si>
    <t>[0.15, 0.036, 0.01, 0.021, 0.051, 0.011, 0.045, 0.007, 0.039, 0.01, 0.028, 0.167]</t>
  </si>
  <si>
    <t>737.4119879026293</t>
  </si>
  <si>
    <t>[-0.022, 0.004, 0.032, 0.045, 0.035, -0.023, 0.001, 0.019]</t>
  </si>
  <si>
    <t>LINESTRING (10.225182626243175 59.65091610970305, 10.221829876381136 59.64694474830018, 10.220152824808453 59.64488479364392, 10.215288011555222 59.64079772279257, 10.212460578753781 59.639097661806574, 10.210569863943155 59.63785639698793, 10.20591913769756 59.63329281918931, 10.205885889057225 59.63325202195109, 10.1974454325921 59.624289017486)</t>
  </si>
  <si>
    <t>[1243527, 1243528, 1243543, 1243557, 1243565, 1243593, 1243601, 1243609]</t>
  </si>
  <si>
    <t>[1163695, 1163696, 1163703, 1163713, 1163718, 1163746, 1163752, 1148914]</t>
  </si>
  <si>
    <t>0.009671158373572134</t>
  </si>
  <si>
    <t>[1148919, 1163695, 1163696, 1163703, 1163713, 1163718, 1163746, 1163752]</t>
  </si>
  <si>
    <t>[0.022, 0.004, 0.032, 0.045, 0.035, 0.023, 0.001, 0.019]</t>
  </si>
  <si>
    <t>3374.3058731075903</t>
  </si>
  <si>
    <t>[-0.07, -0.018, 0.006, 0.03, 0.045, 0.03, -0.021, -0.004, 0.019, -0.03, -0.067, -0.104, -0.02, 0.044]</t>
  </si>
  <si>
    <t>[0, 0, 1, 0, 0, 0, 0, 1, 0, 0, 0, 0, 1, 1]</t>
  </si>
  <si>
    <t>LINESTRING (10.225068050047938 59.65113410749226, 10.224926541062718 59.650976810999445, 10.221629923266498 59.6470759716684, 10.219890734584585 59.644940884244235, 10.215065664219814 59.64088673939306, 10.212302157840996 59.63916202723112, 10.210412467660827 59.63791360144878, 10.205654093955337 59.633345173350804, 10.205620973466818 59.633303481215556, 10.197203916961804 59.624362753152134, 10.196285170853367 59.623598753267146, 10.196234406120592 59.62355641022378, 10.195711459999636 59.62309103838864, 10.194895447997215 59.622300279549556, 10.19473230354402 59.6221285571199)</t>
  </si>
  <si>
    <t>[1242403, 1242421, 1242426, 1242444, 1242445, 1242457, 1242460, 1242462, 1242463, 1242469, 1242477, 1242485, 1242493, 1242529]</t>
  </si>
  <si>
    <t>[1162699, 1162715, 1162718, 1162730, 1162731, 1162741, 1162743, 1162744, 1162745, 1162752, 1162759, 1162762, 1162768, 1148926]</t>
  </si>
  <si>
    <t>0.006044188680028713</t>
  </si>
  <si>
    <t>[1148925, 1162699, 1162715, 1162718, 1162730, 1162731, 1162741, 1162743, 1162744, 1162745, 1162752, 1162759, 1162762, 1162768]</t>
  </si>
  <si>
    <t>[0.07, 0.018, 0.006, 0.03, 0.045, 0.03, 0.021, 0.004, 0.019, 0.03, 0.067, 0.104, 0.02, 0.044]</t>
  </si>
  <si>
    <t>3676.828616344505</t>
  </si>
  <si>
    <t>[0.028, -0.007, -0.028, 0.066, 0.005, -0.001, 0.039]</t>
  </si>
  <si>
    <t>LINESTRING (10.19473230354402 59.6221285571199, 10.194325973974493 59.621729530362686, 10.193229793018112 59.62019603330924, 10.193202896190726 59.620148269346096, 10.192331804970049 59.61937302572693, 10.192143235537367 59.618236501607015, 10.190499638374446 59.61590295821146, 10.190108072707082 59.61550086001287)</t>
  </si>
  <si>
    <t>[1226160, 901853, 901869, 901886, 901894, 901907, 1226167]</t>
  </si>
  <si>
    <t>[876406, 876407, 876424, 876445, 876453, 876467, 1148932]</t>
  </si>
  <si>
    <t>0.011132699287405892</t>
  </si>
  <si>
    <t>[1148926, 876406, 876407, 876424, 876445, 876453, 876467]</t>
  </si>
  <si>
    <t>[0.028, 0.007, 0.028, 0.066, 0.005, 0.001, 0.039]</t>
  </si>
  <si>
    <t>801.748053633947</t>
  </si>
  <si>
    <t>[0.021, -0.019, -0.025, -0.003, 0.02, 0.046, 0.003]</t>
  </si>
  <si>
    <t>LINESTRING (10.19473230354402 59.6221285571199, 10.193652025688198 59.62075114105228, 10.193322053507185 59.62018413200915, 10.19329705100629 59.620135538158266, 10.1931460028989 59.61983991605357, 10.192666208301123 59.61876296082654, 10.192355511031383 59.61809817649818, 10.190108072707082 59.61550086001287)</t>
  </si>
  <si>
    <t>[1242537, 1242549, 1242550, 1242573, 1242574, 1242581, 1242582]</t>
  </si>
  <si>
    <t>[1162808, 1162819, 1162820, 1162837, 1162838, 1162843, 1148932]</t>
  </si>
  <si>
    <t>0.011295351094156476</t>
  </si>
  <si>
    <t>[1148926, 1162808, 1162819, 1162820, 1162837, 1162838, 1162843]</t>
  </si>
  <si>
    <t>[0.021, 0.019, 0.025, 0.003, 0.02, 0.046, 0.003]</t>
  </si>
  <si>
    <t>787.3169522018086</t>
  </si>
  <si>
    <t>[-0.018, -0.001, -0.018, 0.006, -0.0, -0.023, -0.084, 0.007, -0.003, -0.025, -0.024, -0.005, 0.023, -0.049, -0.028, 0.01, 0.008, -0.008, -0.01, 0.039, 0.01, 0.053]</t>
  </si>
  <si>
    <t>[0, 0, 0, 1, 0, 0, 0, 1, 0, 1, 0, 1, 0, 1, 0, 0, 0, 0, 0, 1, 0, 0]</t>
  </si>
  <si>
    <t>LINESTRING (10.192938288451966 59.6187226867091, 10.192624034334813 59.61805282499933, 10.190360857416676 59.6154343804773, 10.183033330594629 59.61136706849396, 10.182973386324662 59.61132707988642, 10.177137093982886 59.60551502706634, 10.175225672503815 59.60437765386776, 10.173830331786277 59.60368838172992, 10.171344446800422 59.602462274018066, 10.166999291160959 59.59838420133192, 10.166976621631012 59.59833208913991, 10.166947314978957 59.59826443928952, 10.16693468423956 59.59822889004243, 10.167058786592703 59.594997810789174, 10.167895271952538 59.59367221884702, 10.170044449044129 59.59159453889894, 10.170089575400782 59.591552128653866, 10.17395063483195 59.585912814806306, 10.17620097053415 59.58198560947796, 10.176573050800862 59.58133617416852, 10.176596727060813 59.58129476959606, 10.178335432422736 59.578261562915806, 10.178607319732123 59.577786994421764)</t>
  </si>
  <si>
    <t>[1243749, 1243753, 1243761, 1243772, 1243773, 1243799, 1243807, 1243815, 1243816, 1243824, 1243831, 1243839, 1243855, 1243871, 1243872, 1243876, 1243877, 1243906, 1243936, 1243937, 1243944, 1243945]</t>
  </si>
  <si>
    <t>[1163877, 1163880, 1163886, 1163893, 1163894, 1163913, 1163919, 1163925, 1163926, 1163932, 1163938, 1163947, 1163957, 1163976, 1163977, 1163978, 1163979, 1164010, 1164038, 1164039, 1164048, 1148954]</t>
  </si>
  <si>
    <t>[1148927, 1163877, 1163880, 1163886, 1163893, 1163894, 1163913, 1163919, 1163925, 1163926, 1163932, 1163938, 1163947, 1163957, 1163976, 1163977, 1163978, 1163979, 1164010, 1164038, 1164039, 1164048]</t>
  </si>
  <si>
    <t>[0.018, 0.001, 0.018, 0.006, 0.0, 0.023, 0.084, 0.007, 0.003, 0.025, 0.024, 0.005, 0.023, 0.049, 0.028, 0.01, 0.008, 0.008, 0.01, 0.039, 0.01, 0.053]</t>
  </si>
  <si>
    <t>5155.983410878488</t>
  </si>
  <si>
    <t>[-0.021, 0.019, 0.005, -0.043, -0.088, -0.001, -0.001, -0.023, -0.014, -0.035, 0.02, -0.044, -0.023, 0.011, 0.007, -0.003, -0.01, -0.015, 0.016]</t>
  </si>
  <si>
    <t>26496.0</t>
  </si>
  <si>
    <t>[0, 1, 0, 0, 0, 1, 0, 1, 0, 1, 0, 1, 0, 0, 0, 0, 0, 1, 0]</t>
  </si>
  <si>
    <t>LINESTRING (10.190108072707082 59.61550086001287, 10.182806058348058 59.61145404718421, 10.18274309603177 59.611410349148755, 10.177007482247559 59.60573782960219, 10.174970850565261 59.60449598513589, 10.17373335859467 59.603869208167175, 10.171276352771745 59.602639667735815, 10.166729559529307 59.598433599444164, 10.166708398032522 59.59838334204209, 10.166678963152329 59.59831658692511, 10.166666590144043 59.5982792480819, 10.166782759793314 59.59496781554377, 10.167640672180683 59.59360433675373, 10.169792875304209 59.591530370710544, 10.169838387720656 59.591485276179, 10.17368189930716 59.585866990899135, 10.175931021821974 59.58194534886718, 10.17630408779938 59.58129476319902, 10.17632750758148 59.58125514828283, 10.178064328964542 59.57822212699987)</t>
  </si>
  <si>
    <t>[1242589, 1242590, 1242597, 1242616, 1242617, 1242631, 1242632, 1242634, 1242640, 1242641, 1242648, 1242655, 1242670, 1242671, 1242672, 1242680, 1242681, 1242709, 1242714]</t>
  </si>
  <si>
    <t>[1162850, 1162851, 1162857, 1162877, 1162878, 1162889, 1162890, 1162892, 1162897, 1162898, 1162906, 1162913, 1162931, 1162932, 1162933, 1162939, 1162940, 1162964, 1148942]</t>
  </si>
  <si>
    <t>[1148932, 1162850, 1162851, 1162857, 1162877, 1162878, 1162889, 1162890, 1162892, 1162897, 1162898, 1162906, 1162913, 1162931, 1162932, 1162933, 1162939, 1162940, 1162964]</t>
  </si>
  <si>
    <t>[0.021, 0.019, 0.005, 0.043, 0.088, 0.001, 0.001, 0.023, 0.014, 0.035, 0.02, 0.044, 0.023, 0.011, 0.007, 0.003, 0.01, 0.015, 0.016]</t>
  </si>
  <si>
    <t>4715.266199651789</t>
  </si>
  <si>
    <t>[-0.054, 0.036, 0.076, 0.094, 0.093, 0.122, 0.263]</t>
  </si>
  <si>
    <t>LINESTRING (10.178064328964542 59.57822212699987, 10.178336167438555 59.577747800058575, 10.180252894927445 59.57415059403264, 10.180300675279568 59.57403991407736, 10.180311962812251 59.574010645641394, 10.180886802364446 59.57195679242143, 10.180936505061437 59.57149608302718, 10.180887822296318 59.56989310963897)</t>
  </si>
  <si>
    <t>[1242715, 1242716, 1242723, 1242724, 1242731, 1242746, 1242754]</t>
  </si>
  <si>
    <t>[1162968, 1162969, 1162976, 1162977, 1162984, 1162996, 1148963]</t>
  </si>
  <si>
    <t>0.09289292618681295</t>
  </si>
  <si>
    <t>[1148942, 1162968, 1162969, 1162976, 1162977, 1162984, 1162996]</t>
  </si>
  <si>
    <t>[0.054, 0.036, 0.076, 0.094, 0.093, 0.122, 0.263]</t>
  </si>
  <si>
    <t>948.0114013591933</t>
  </si>
  <si>
    <t>[0.013, 0.009, -0.007, 0.005, 0.034, -0.0]</t>
  </si>
  <si>
    <t>30500.0</t>
  </si>
  <si>
    <t>LINESTRING (10.359925011818225 59.44113133984743, 10.361589955813146 59.43798390158793, 10.363620143966413 59.43227752485567, 10.36376268827823 59.4316754810976, 10.364045234253403 59.430263355059274, 10.364383231574124 59.42742391932294, 10.364428885980814 59.42663359640011)</t>
  </si>
  <si>
    <t>[1243337, 1243345, 1243359, 1243367, 1243374, 1243375]</t>
  </si>
  <si>
    <t>[1163532, 1163535, 1163549, 1163557, 1163564, 1149433]</t>
  </si>
  <si>
    <t>0.013188246355881589</t>
  </si>
  <si>
    <t>[1149413, 1163532, 1163535, 1163549, 1163557, 1163564]</t>
  </si>
  <si>
    <t>[0.013, 0.009, 0.007, 0.005, 0.034, 0.0]</t>
  </si>
  <si>
    <t>1640.9750996168202</t>
  </si>
  <si>
    <t>[-0.038, -0.072, 0.069, 0.043, 0.022, 0.01, 0.014, 0.015, 0.075]</t>
  </si>
  <si>
    <t>LINESTRING (10.35393955628291 59.45298931708056, 10.35393955628291 59.45298931708056, 10.354413528759222 59.452505355850796, 10.355077036369297 59.450325383625675, 10.355045875524809 59.449832283482266, 10.35750072676034 59.44490988352345, 10.357521055646664 59.44486473643151, 10.357554388060459 59.44480206376851, 10.359602811201682 59.441548899124726, 10.359925011818225 59.44113133984743)</t>
  </si>
  <si>
    <t>[2047827, 921094, 921102, 921110, 921118, 921126, 921134, 921142, 1226639]</t>
  </si>
  <si>
    <t>[892108, 892109, 892116, 892124, 892131, 892139, 892146, 892152, 1149413]</t>
  </si>
  <si>
    <t>0.026145768541743216</t>
  </si>
  <si>
    <t>[893431, 892108, 892109, 892116, 892124, 892131, 892139, 892146, 892152]</t>
  </si>
  <si>
    <t>[0.038, 0.072, 0.069, 0.043, 0.022, 0.01, 0.014, 0.015, 0.075]</t>
  </si>
  <si>
    <t>1395.2494032059974</t>
  </si>
  <si>
    <t>[-0.026, -0.023, 0.006, 0.176, 0.119]</t>
  </si>
  <si>
    <t>LINESTRING (8.615603450966129 58.37110351065486, 8.615597508832842 58.371041741688664, 8.615551755866393 58.370735336291624, 8.612771709727364 58.370050964158345, 8.611108277703218 58.36983218813277, 8.61071717461217 58.36974212685802)</t>
  </si>
  <si>
    <t>[1228976, 1228984, 1228992, 1232240, 1232232]</t>
  </si>
  <si>
    <t>[1151379, 1151384, 1151389, 1153818, 1153772]</t>
  </si>
  <si>
    <t>0.059398289994231024</t>
  </si>
  <si>
    <t>[1150681, 1151379, 1151384, 1151389, 1153818]</t>
  </si>
  <si>
    <t>[0.026, 0.023, 0.006, 0.176, 0.119]</t>
  </si>
  <si>
    <t>350.1032261601042</t>
  </si>
  <si>
    <t>[-0.026, 0.013, 0.027]</t>
  </si>
  <si>
    <t>LINESTRING (8.618177614498055 58.371989985984555, 8.617887806419946 58.371829665329926, 8.616365181393906 58.37099559134436, 8.615603450966129 58.37110351065486)</t>
  </si>
  <si>
    <t>[1232264, 1228014, 1228022]</t>
  </si>
  <si>
    <t>[1150673, 1150674, 1150681]</t>
  </si>
  <si>
    <t>0.011894634369575599</t>
  </si>
  <si>
    <t>[1153836, 1150673, 1150674]</t>
  </si>
  <si>
    <t>[0.026, 0.013, 0.027]</t>
  </si>
  <si>
    <t>206.11154333153155</t>
  </si>
  <si>
    <t>13.951394185715454</t>
  </si>
  <si>
    <t>[-0.006, 0.008, -0.012, 0.007, -0.02]</t>
  </si>
  <si>
    <t>LINESTRING (8.617998233485876 58.3703655512967, 8.618072385438886 58.370410422665095, 8.61784085240203 58.37123187635654, 8.619028221024028 58.37236193863267, 8.619531777607325 58.372606786496476, 8.619733006357928 58.372703497607645)</t>
  </si>
  <si>
    <t>[1228282, 1228290, 1228298, 1232281, 1232280]</t>
  </si>
  <si>
    <t>[1150929, 1150935, 1150942, 1153851, 1153852]</t>
  </si>
  <si>
    <t>[1150928, 1150929, 1150935, 1150942, 1153851]</t>
  </si>
  <si>
    <t>[0.006, 0.008, 0.012, 0.007, 0.02]</t>
  </si>
  <si>
    <t>319.88780782809374</t>
  </si>
  <si>
    <t>[-0.026, -0.026, -0.026, 0.027, -0.002]</t>
  </si>
  <si>
    <t>LINESTRING (6.352887956742548 62.46752194552298, 6.352950791605439 62.46746102180594, 6.353222039070214 62.46708941012484, 6.353577526793992 62.46653215940254, 6.353625056762416 62.46641977296086, 6.353627337818595 62.46634406418795)</t>
  </si>
  <si>
    <t>[1228419, 1228427, 1228435, 1296883, 1296891]</t>
  </si>
  <si>
    <t>[1151037, 1151043, 1151047, 1209008, 1209013]</t>
  </si>
  <si>
    <t>[1151036, 1151037, 1151043, 1151047, 1209008]</t>
  </si>
  <si>
    <t>[0.026, 0.026, 0.026, 0.027, 0.002]</t>
  </si>
  <si>
    <t>137.48151265945086</t>
  </si>
  <si>
    <t>[-0.388, 0.292]</t>
  </si>
  <si>
    <t>LINESTRING (6.352887956742548 62.46752194552298, 6.353015934738434 62.46752295946106, 6.353142057544725 62.467566991931335)</t>
  </si>
  <si>
    <t>[1309844, 1309852]</t>
  </si>
  <si>
    <t>[1218502, 1151061]</t>
  </si>
  <si>
    <t>[1151036, 1218502]</t>
  </si>
  <si>
    <t>[0.388, 0.292]</t>
  </si>
  <si>
    <t>14.78395932427079</t>
  </si>
  <si>
    <t>[0.02, -0.003, -0.025, 0.543]</t>
  </si>
  <si>
    <t>LINESTRING (6.352757832332132 62.467684273019636, 6.352724255574472 62.46764637003924, 6.352731652697055 62.467588283125735, 6.352806989155687 62.46754039175466, 6.352887956742548 62.46752194552298)</t>
  </si>
  <si>
    <t>[1309812, 1309820, 1309828, 1309836]</t>
  </si>
  <si>
    <t>[1218485, 1218491, 321019, 1151036]</t>
  </si>
  <si>
    <t>0.10914218260311673</t>
  </si>
  <si>
    <t>[1209004, 1218485, 1218491, 321019]</t>
  </si>
  <si>
    <t>[0.02, 0.003, 0.025, 0.543]</t>
  </si>
  <si>
    <t>22.355013947773365</t>
  </si>
  <si>
    <t>[-0.022, -0.025, -0.026, 0.034, -0.004]</t>
  </si>
  <si>
    <t>LINESTRING (6.353142057544725 62.467566991931335, 6.3531462796857685 62.46748161001116, 6.3533679787546795 62.46710648039999, 6.353735424319425 62.46655232502097, 6.353828363161332 62.46644170688279, 6.35388556242881 62.46638986398986)</t>
  </si>
  <si>
    <t>[1228451, 1228459, 1228467, 1329172, 1329180]</t>
  </si>
  <si>
    <t>[1151062, 1151068, 1151076, 1234487, 1234048]</t>
  </si>
  <si>
    <t>[1151061, 1151062, 1151068, 1151076, 1234487]</t>
  </si>
  <si>
    <t>[0.022, 0.025, 0.026, 0.034, 0.004]</t>
  </si>
  <si>
    <t>137.4654147284901</t>
  </si>
  <si>
    <t>[-0.786, 0.0, -0.003, -0.005]</t>
  </si>
  <si>
    <t>LINESTRING (6.353142057544725 62.467566991931335, 6.353167097923353 62.46759125170908, 6.353167524917152 62.46765752508788, 6.353083276477521 62.46771108562717, 6.353032258984029 62.46772393849029)</t>
  </si>
  <si>
    <t>[1309860, 1309868, 1309876, 1309884]</t>
  </si>
  <si>
    <t>[1218511, 1218517, 320977, 1218525]</t>
  </si>
  <si>
    <t>[1151061, 1218511, 1218517, 320977]</t>
  </si>
  <si>
    <t>[0.786, 0.0, 0.003, 0.005]</t>
  </si>
  <si>
    <t>20.806134706208855</t>
  </si>
  <si>
    <t>[0.0, -0.008, -0.014, 0.012]</t>
  </si>
  <si>
    <t>LINESTRING (8.615133534851743 58.37044966371495, 8.615514303659761 58.370551433785955, 8.617036268218405 58.37105155877059, 8.617971464538474 58.370485803645295, 8.617868771484744 58.37046409265329)</t>
  </si>
  <si>
    <t>[1232248, 1229524, 1229537, 1229538]</t>
  </si>
  <si>
    <t>[1151748, 1151749, 1151757, 1151758]</t>
  </si>
  <si>
    <t>[1153829, 1151748, 1151749, 1151757]</t>
  </si>
  <si>
    <t>[0.0, 0.008, 0.014, 0.012]</t>
  </si>
  <si>
    <t>263.25554795271364</t>
  </si>
  <si>
    <t>[-0.015, 0.002]</t>
  </si>
  <si>
    <t>LINESTRING (8.599138402023302 58.35586984321486, 8.599366918923224 58.355709750021845, 8.599371814321273 58.355664321550464)</t>
  </si>
  <si>
    <t>[1230515, 1230523]</t>
  </si>
  <si>
    <t>[1152441, 933626]</t>
  </si>
  <si>
    <t>[1152434, 1152441]</t>
  </si>
  <si>
    <t>27.852518966301798</t>
  </si>
  <si>
    <t>[0.45, -0.018, -0.035]</t>
  </si>
  <si>
    <t>LINESTRING (8.599138402023302 58.35586984321486, 8.598745263001073 58.35600189260221, 8.597955213655267 58.357175284878096, 8.597879307551496 58.35734683925815)</t>
  </si>
  <si>
    <t>[1233920, 1233921, 1232134]</t>
  </si>
  <si>
    <t>[1155281, 1153751, 1153752]</t>
  </si>
  <si>
    <t>0.04856161442756498</t>
  </si>
  <si>
    <t>[1152434, 1155281, 1153751]</t>
  </si>
  <si>
    <t>[0.45, 0.018, 0.035]</t>
  </si>
  <si>
    <t>188.33907744759838</t>
  </si>
  <si>
    <t>[-0.04, -0.118, 0.018, -0.074, 0.006, 0.011]</t>
  </si>
  <si>
    <t>LINESTRING (8.743781173498483 58.47498105056002, 8.743801919505776 58.47493925238789, 8.743987585619559 58.47478249852102, 8.744064637010295 58.474730280931695, 8.745027146522363 58.47424042855167, 8.745641257871464 58.473951389029075, 8.745698557358839 58.473918998396954)</t>
  </si>
  <si>
    <t>[1247409, 1247413, 1230912, 1230939, 1230947, 1230955]</t>
  </si>
  <si>
    <t>[1166913, 1152746, 1152747, 1152760, 1152767, 1152773]</t>
  </si>
  <si>
    <t>[1166912, 1166913, 1152746, 1152747, 1152760, 1152767]</t>
  </si>
  <si>
    <t>[0.04, 0.118, 0.018, 0.074, 0.006, 0.011]</t>
  </si>
  <si>
    <t>164.69281572899166</t>
  </si>
  <si>
    <t>[-0.008, 0.031]</t>
  </si>
  <si>
    <t>LINESTRING (8.597597897748178 58.35590374734009, 8.59786127808161 58.35539241558996, 8.598621403705256 58.35521711395537)</t>
  </si>
  <si>
    <t>[1231385, 1231389]</t>
  </si>
  <si>
    <t>[1153150, 1153154]</t>
  </si>
  <si>
    <t>0.008991769734739875</t>
  </si>
  <si>
    <t>[1153147, 1153150]</t>
  </si>
  <si>
    <t>[0.008, 0.031]</t>
  </si>
  <si>
    <t>112.30688439433499</t>
  </si>
  <si>
    <t>[0.023, 0.033, -0.018, -0.047]</t>
  </si>
  <si>
    <t>LINESTRING (8.597727726950115 58.35772052919387, 8.597724315515471 58.357496228807484, 8.597969671027155 58.356683969833824, 8.597946803990947 58.35618247642428, 8.597597897748178 58.35590374734009)</t>
  </si>
  <si>
    <t>[1232142, 1231364, 1231372, 1231380]</t>
  </si>
  <si>
    <t>[1153134, 1153135, 1153141, 1153147]</t>
  </si>
  <si>
    <t>0.003789790392051276</t>
  </si>
  <si>
    <t>[1153759, 1153134, 1153135, 1153141]</t>
  </si>
  <si>
    <t>[0.023, 0.033, 0.018, 0.047]</t>
  </si>
  <si>
    <t>212.53387505919144</t>
  </si>
  <si>
    <t>[0.022, 0.021, 0.02]</t>
  </si>
  <si>
    <t>LINESTRING (8.598621403705256 58.35521711395537, 8.598817952263383 58.35514807134616, 8.598905955515976 58.35511584898959, 8.599001651645443 58.355088912542016)</t>
  </si>
  <si>
    <t>[2063551, 2063559, 2063567]</t>
  </si>
  <si>
    <t>[1793429, 1793435, 933654]</t>
  </si>
  <si>
    <t>0.021282717271019</t>
  </si>
  <si>
    <t>[1153154, 1793429, 1793435]</t>
  </si>
  <si>
    <t>26.509738023645987</t>
  </si>
  <si>
    <t>[0.045, 0.038, 0.038]</t>
  </si>
  <si>
    <t>LINESTRING (8.598621403705256 58.35521711395537, 8.59884604971778 58.35521939380867, 8.598968160243228 58.355211274907724, 8.599078159588238 58.35519889109342)</t>
  </si>
  <si>
    <t>[2063570, 2063571, 2063578]</t>
  </si>
  <si>
    <t>[1793439, 1793440, 933642]</t>
  </si>
  <si>
    <t>0.04141719004439807</t>
  </si>
  <si>
    <t>[1153154, 1793439, 1793440]</t>
  </si>
  <si>
    <t>26.982276807090614</t>
  </si>
  <si>
    <t>[0.043, 0.133, -0.032, 0.004, 0.027, 0.028]</t>
  </si>
  <si>
    <t>LINESTRING (8.615133534851743 58.37044966371495, 8.612584957864353 58.3699504175206, 8.610752596847082 58.36969401234902, 8.598583099789739 58.35979432410471, 8.598530359027922 58.35972977175399, 8.59782985266037 58.35767023690726, 8.597879307551496 58.35734683925815)</t>
  </si>
  <si>
    <t>[1232455, 1232466, 1232390, 1232398, 1232399, 1232406]</t>
  </si>
  <si>
    <t>[1153978, 1153927, 1153928, 1153937, 1153938, 1153752]</t>
  </si>
  <si>
    <t>[1153829, 1153978, 1153927, 1153928, 1153937, 1153938]</t>
  </si>
  <si>
    <t>[0.043, 0.133, 0.032, 0.004, 0.027, 0.028]</t>
  </si>
  <si>
    <t>1890.1051518342808</t>
  </si>
  <si>
    <t>[-0.032, 0.007, 0.025]</t>
  </si>
  <si>
    <t>LINESTRING (8.61071717461217 58.36974212685802, 8.598496937509584 58.35981964964222, 8.598444088386413 58.359755316985954, 8.597727726950115 58.35772052919387)</t>
  </si>
  <si>
    <t>[1232158, 1232166, 1232181]</t>
  </si>
  <si>
    <t>[1153773, 1153779, 1153759]</t>
  </si>
  <si>
    <t>[1153772, 1153773, 1153779]</t>
  </si>
  <si>
    <t>[0.032, 0.007, 0.025]</t>
  </si>
  <si>
    <t>1584.0180954451996</t>
  </si>
  <si>
    <t>[0.006, 0.039, 0.134]</t>
  </si>
  <si>
    <t>LINESTRING (8.618177614498055 58.371989985984555, 8.615184763630376 58.370517788833425, 8.612590997866576 58.36999810499695, 8.61071717461217 58.36974212685802)</t>
  </si>
  <si>
    <t>[1232484, 1232491, 1232492]</t>
  </si>
  <si>
    <t>[1154002, 1154007, 1153772]</t>
  </si>
  <si>
    <t>0.04441574153420945</t>
  </si>
  <si>
    <t>[1153836, 1154002, 1154007]</t>
  </si>
  <si>
    <t>518.7412395632075</t>
  </si>
  <si>
    <t>[0.019, 0.022, 0.004]</t>
  </si>
  <si>
    <t>LINESTRING (8.619733006357928 58.372703497607645, 8.619134526095875 58.372456072653165, 8.618126955374569 58.37188708855046, 8.615133534851743 58.37044966371495)</t>
  </si>
  <si>
    <t>[1232423, 1232439, 1232447]</t>
  </si>
  <si>
    <t>[1153954, 1153970, 1153829]</t>
  </si>
  <si>
    <t>0.010020270059931832</t>
  </si>
  <si>
    <t>[1153852, 1153954, 1153970]</t>
  </si>
  <si>
    <t>370.52607399682535</t>
  </si>
  <si>
    <t>[-0.014, -0.02, -0.029, -0.036, 0.021, 0.021, 0.023]</t>
  </si>
  <si>
    <t>LINESTRING (8.626253397025394 58.374049677668715, 8.62588420516974 58.374002254585875, 8.625321656800766 58.373919624303696, 8.624596657081067 58.37379530384274, 8.624462336859317 58.37377065780073, 8.619765090915921 58.372777237846954, 8.619172748528214 58.37254058602948, 8.618177614498055 58.371989985984555)</t>
  </si>
  <si>
    <t>[1232323, 1232332, 1232340, 1232341, 1232467, 1232474, 1232483]</t>
  </si>
  <si>
    <t>[1153887, 1153892, 1153898, 1153899, 1153988, 1153993, 1153836]</t>
  </si>
  <si>
    <t>0.012175983568060898</t>
  </si>
  <si>
    <t>[1153865, 1153887, 1153892, 1153898, 1153899, 1153988, 1153993]</t>
  </si>
  <si>
    <t>[0.014, 0.02, 0.029, 0.036, 0.021, 0.021, 0.023]</t>
  </si>
  <si>
    <t>535.1843732091388</t>
  </si>
  <si>
    <t>[-0.021, -0.031, -0.035, 0.02]</t>
  </si>
  <si>
    <t>LINESTRING (8.625929236934898 58.373956652079215, 8.625361806192803 58.37387286829733, 8.624630620015196 58.373746833780004, 8.62449504667376 58.37372200804717, 8.619733006357928 58.372703497607645)</t>
  </si>
  <si>
    <t>[1232356, 1232357, 1232364, 1232422]</t>
  </si>
  <si>
    <t>[1153911, 1153912, 1153914, 1153852]</t>
  </si>
  <si>
    <t>0.00928781484709793</t>
  </si>
  <si>
    <t>[1153906, 1153911, 1153912, 1153914]</t>
  </si>
  <si>
    <t>[0.021, 0.031, 0.035, 0.02]</t>
  </si>
  <si>
    <t>390.0327804911759</t>
  </si>
  <si>
    <t>[-0.023, 0.038]</t>
  </si>
  <si>
    <t>LINESTRING (9.13945674997628 58.85923387143937, 9.139484360862674 58.85924146612965, 9.141843252933272 58.86055703968375)</t>
  </si>
  <si>
    <t>[1234565, 1234573]</t>
  </si>
  <si>
    <t>[1155901, 1155909]</t>
  </si>
  <si>
    <t>0.03746765742555261</t>
  </si>
  <si>
    <t>[1155893, 1155901]</t>
  </si>
  <si>
    <t>[0.023, 0.038]</t>
  </si>
  <si>
    <t>206.93137927774364</t>
  </si>
  <si>
    <t>[0.276, 0.051, -0.961]</t>
  </si>
  <si>
    <t>LINESTRING (9.13945674997628 58.85923387143937, 9.139509171803496 58.859276229968124, 9.141790802388142 58.86052917547426, 9.141843252933272 58.86055703968375)</t>
  </si>
  <si>
    <t>[1754135, 1754145, 1754167]</t>
  </si>
  <si>
    <t>[1552970, 1552976, 1155909]</t>
  </si>
  <si>
    <t>0.036403444567983625</t>
  </si>
  <si>
    <t>[1155893, 1552970, 1552976]</t>
  </si>
  <si>
    <t>[0.276, 0.051, 0.961]</t>
  </si>
  <si>
    <t>214.39294598496716</t>
  </si>
  <si>
    <t>0.376</t>
  </si>
  <si>
    <t>13.39039849705529</t>
  </si>
  <si>
    <t>37.377944896308406</t>
  </si>
  <si>
    <t>[-0.011, -0.007, 0.01, -0.221]</t>
  </si>
  <si>
    <t>LINESTRING (8.579530234182343 58.346463109246756, 8.579587743673322 58.346371250865296, 8.579677442137115 58.34607826378755, 8.577448861459287 58.34454477705979, 8.577221647960387 58.34442074080637)</t>
  </si>
  <si>
    <t>[1239949, 1239950, 1239951, 2133820]</t>
  </si>
  <si>
    <t>[1160680, 1160681, 1160682, 1834979]</t>
  </si>
  <si>
    <t>[1156038, 1160680, 1160681, 1160682]</t>
  </si>
  <si>
    <t>[0.011, 0.007, 0.01, 0.221]</t>
  </si>
  <si>
    <t>279.9169614561828</t>
  </si>
  <si>
    <t>[-0.203, 0.218]</t>
  </si>
  <si>
    <t>LINESTRING (8.579378665840697 58.34677783994528, 8.579526597555608 58.346896798038074, 8.579647599742307 58.34700014150375)</t>
  </si>
  <si>
    <t>[1956682, 1956690]</t>
  </si>
  <si>
    <t>[1716087, 1156058]</t>
  </si>
  <si>
    <t>[1156045, 1716087]</t>
  </si>
  <si>
    <t>[0.203, 0.218]</t>
  </si>
  <si>
    <t>29.386534737964695</t>
  </si>
  <si>
    <t>[-0.176, 0.009]</t>
  </si>
  <si>
    <t>LINESTRING (8.579378665840697 58.34677783994528, 8.579400887626994 58.34692667553583, 8.579469334761662 58.34704559371674)</t>
  </si>
  <si>
    <t>[1956714, 1956715]</t>
  </si>
  <si>
    <t>[1716116, 1716117]</t>
  </si>
  <si>
    <t>[1156045, 1716116]</t>
  </si>
  <si>
    <t>[0.176, 0.009]</t>
  </si>
  <si>
    <t>30.508086060640466</t>
  </si>
  <si>
    <t>5.760567072660627</t>
  </si>
  <si>
    <t>[0.143, -0.06, -0.074, -0.06]</t>
  </si>
  <si>
    <t>LINESTRING (8.580198291774987 58.34622722404893, 8.580509662117898 58.34638218901879, 8.581508314551584 58.346843753102085, 8.5822055345374 58.346869693338725, 8.582320219065203 58.34681633512436)</t>
  </si>
  <si>
    <t>[2133812, 1239616, 1239624, 1239625]</t>
  </si>
  <si>
    <t>[1160438, 1160439, 1160444, 1156136]</t>
  </si>
  <si>
    <t>[1835024, 1160438, 1160439, 1160444]</t>
  </si>
  <si>
    <t>[0.143, 0.06, 0.074, 0.06]</t>
  </si>
  <si>
    <t>157.03059020730328</t>
  </si>
  <si>
    <t>[-0.053, -0.028]</t>
  </si>
  <si>
    <t>LINESTRING (10.675321792621304 59.92060801846288, 10.675489612352232 59.92057123286796, 10.675599049411227 59.92061121029095)</t>
  </si>
  <si>
    <t>[1238988, 1238996]</t>
  </si>
  <si>
    <t>[1159955, 1159929]</t>
  </si>
  <si>
    <t>[1159969, 1159955]</t>
  </si>
  <si>
    <t>[0.053, 0.028]</t>
  </si>
  <si>
    <t>18.319371505201765</t>
  </si>
  <si>
    <t>[0.0, -0.027, 0.027]</t>
  </si>
  <si>
    <t>LINESTRING (10.699609064564203 59.44711740982136, 10.699609064564203 59.44711740982136, 10.699771860640183 59.44558945915205, 10.699763914434868 59.445559324763664)</t>
  </si>
  <si>
    <t>[1239043, 1675460, 1675468]</t>
  </si>
  <si>
    <t>[1159996, 1502655, 1502661]</t>
  </si>
  <si>
    <t>[1159995, 1159996, 1502655]</t>
  </si>
  <si>
    <t>[0.0, 0.027, 0.027]</t>
  </si>
  <si>
    <t>329.1374832171857</t>
  </si>
  <si>
    <t>[-1.732, 0.03, 0.016, -0.034, 0.017, 0.058, -0.005, 0.061, 0.0, 0.006, -0.005, -0.016, 0.018, 0.002, 0.012, -0.006, 0.11, 0.019, -0.004, -0.009, 0.017, 0.014, 0.014, 0.016, -0.008, 0.003, -0.006, -0.01]</t>
  </si>
  <si>
    <t>38062.0</t>
  </si>
  <si>
    <t>[0, 0, 0, 0, 0, 1, 0, 1, 0, 0, 0, 1, 0, 0, 0, 0, 0, 0, 0, 0, 0, 0, 0, 0, 0, 1, 0, 0]</t>
  </si>
  <si>
    <t>LINESTRING (10.700864381782333 59.446062766029556, 10.70085580152059 59.44607178118063, 10.7004620293041 59.4465229536465, 10.699561539077877 59.44795394128427, 10.699351107311237 59.44865210491496, 10.700047646580671 59.451782668645606, 10.70018280355191 59.452051434539946, 10.701049468324161 59.47028332444663, 10.701110769514731 59.4705084422267, 10.70117340253507 59.470736292523846, 10.701219117558887 59.47090128699494, 10.702851144314376 59.4768259966244, 10.702911311988094 59.47703755127935, 10.704159632993274 59.48113501544234, 10.706887892491018 59.4851104699099, 10.707910772002172 59.48634918683912, 10.7096439954434 59.48846112642668, 10.709716898808374 59.488554847645474, 10.710314258543828 59.48932263285011, 10.711377580459873 59.4909153644895, 10.711454521094549 59.49105574273172, 10.711613058172272 59.491358323169024, 10.711956250554525 59.49208087999748, 10.711993784304646 59.49216124425586, 10.712049766290537 59.492287085535445, 10.719945431952665 59.50722237545295, 10.72067765190154 59.51011036737347, 10.720874763781048 59.51050204969123, 10.721804402521707 59.51199516946574)</t>
  </si>
  <si>
    <t>[1697887, 1697895, 1697903, 1697911, 1697919, 1697927, 1697935, 1697943, 1697951, 1697959, 1697967, 1697975, 1697983, 1697999, 1698007, 1698015, 1505065, 1505083, 1505084, 1505098, 1505109, 1505124, 1505131, 1505132, 1505139, 1505148, 1505156, 1505157]</t>
  </si>
  <si>
    <t>[1518192, 1518194, 1518197, 1518204, 1518207, 1518213, 1518219, 1518223, 1518228, 1518230, 1518237, 1518245, 1518251, 1518256, 1518260, 1361017, 1361018, 1361033, 1361034, 1361044, 1361052, 1361065, 1361071, 1361072, 1361077, 1361087, 1361095, 1361096]</t>
  </si>
  <si>
    <t>[1160005, 1518192, 1518194, 1518197, 1518204, 1518207, 1518213, 1518219, 1518223, 1518228, 1518230, 1518237, 1518245, 1518251, 1518256, 1518260, 1361017, 1361018, 1361033, 1361034, 1361044, 1361052, 1361065, 1361071, 1361072, 1361077, 1361087, 1361095]</t>
  </si>
  <si>
    <t>[1.732, 0.03, 0.016, 0.034, 0.017, 0.058, 0.005, 0.061, 0.0, 0.006, 0.005, 0.016, 0.018, 0.002, 0.012, 0.006, 0.11, 0.019, 0.004, 0.009, 0.017, 0.014, 0.014, 0.016, 0.008, 0.003, 0.006, 0.01]</t>
  </si>
  <si>
    <t>7574.32650399065</t>
  </si>
  <si>
    <t>[0.053, 0.042, -0.013, -0.022, -0.014]</t>
  </si>
  <si>
    <t>LINESTRING (10.704171374202605 59.44523968743444, 10.70417354471007 59.44519479765016, 10.702470566252712 59.44472910787276, 10.701457380475285 59.44557991553236, 10.701045000341042 59.44596199096386, 10.700864381782333 59.446062766029556)</t>
  </si>
  <si>
    <t>[1675436, 1675444, 1675452, 1239056, 1239057]</t>
  </si>
  <si>
    <t>[1502635, 1502643, 1160003, 1160004, 1160005]</t>
  </si>
  <si>
    <t>0.01230763658579467</t>
  </si>
  <si>
    <t>[1502634, 1502635, 1502643, 1160003, 1160004]</t>
  </si>
  <si>
    <t>[0.053, 0.042, 0.013, 0.022, 0.014]</t>
  </si>
  <si>
    <t>337.42837905547754</t>
  </si>
  <si>
    <t>[-0.124, -0.088]</t>
  </si>
  <si>
    <t>LINESTRING (9.087041104984912 58.831770601928525, 9.087285642629833 58.83195523983555, 9.089319733540396 58.833047416757246)</t>
  </si>
  <si>
    <t>[1323369, 1752815]</t>
  </si>
  <si>
    <t>[1229903, 1160031]</t>
  </si>
  <si>
    <t>[1229505, 1229903]</t>
  </si>
  <si>
    <t>[0.124, 0.088]</t>
  </si>
  <si>
    <t>200.59337177119102</t>
  </si>
  <si>
    <t>[-0.233, -0.051, -0.034, -0.017, 0.002, 0.005, 0.019, 0.029, 0.011, 0.021, 0.014, 0.004, -0.053]</t>
  </si>
  <si>
    <t>[1, 1, 1, 0, 0, 0, 0, 0, 0, 0, 1, 0, 0]</t>
  </si>
  <si>
    <t>LINESTRING (11.266325197178467 59.13214686010939, 11.266089971590901 59.13237311394139, 11.265908651654312 59.132553607694085, 11.26508666981332 59.13337113194847, 11.264880309105473 59.133568792441785, 11.251388004154643 59.14526010673367, 11.244213698400882 59.14933853221807, 11.244083387418758 59.149399403748276, 11.24050747603082 59.15100934479916, 11.228732596244786 59.15741355481075, 11.219372434021478 59.165419302422215, 11.21908044489602 59.16568983590838, 11.214605381406214 59.17186157856629, 11.208238096755275 59.177541108274355)</t>
  </si>
  <si>
    <t>[1626172, 1626212, 1626220, 1626236, 1626244, 1626300, 1626308, 1626316, 1626324, 1404388, 1404396, 1404404, 1404412]</t>
  </si>
  <si>
    <t>[1454810, 1454826, 1454831, 1454842, 1454847, 1454882, 1454885, 1454890, 1285428, 1285429, 1285436, 1285443, 1285447]</t>
  </si>
  <si>
    <t>[1160095, 1454810, 1454826, 1454831, 1454842, 1454847, 1454882, 1454885, 1454890, 1285428, 1285429, 1285436, 1285443]</t>
  </si>
  <si>
    <t>[0.233, 0.051, 0.034, 0.017, 0.002, 0.005, 0.019, 0.029, 0.011, 0.021, 0.014, 0.004, 0.053]</t>
  </si>
  <si>
    <t>6121.681266104019</t>
  </si>
  <si>
    <t>[-0.075, -0.072, 0.026, 0.055, 0.024, 0.004, -0.063, 0.048]</t>
  </si>
  <si>
    <t>[1, 1, 1, 0, 0, 0, 0, 1]</t>
  </si>
  <si>
    <t>LINESTRING (11.270771470600316 59.12526034456419, 11.270769568067026 59.12533181924082, 11.270763586482309 59.125401729300215, 11.270566400760647 59.12637645242287, 11.270209802721139 59.127400482456544, 11.269217893271648 59.129044058819815, 11.268937203328731 59.129422244162214, 11.266654311412381 59.13182795701244, 11.266325197178467 59.13214686010939)</t>
  </si>
  <si>
    <t>[1697263, 1697271, 1697279, 1697287, 1697295, 1626124, 1626132, 1626164]</t>
  </si>
  <si>
    <t>[1517826, 1517831, 1517835, 1517842, 1454781, 1454782, 1454786, 1160095]</t>
  </si>
  <si>
    <t>[1517822, 1517826, 1517831, 1517835, 1517842, 1454781, 1454782, 1454786]</t>
  </si>
  <si>
    <t>[0.075, 0.072, 0.026, 0.055, 0.024, 0.004, 0.063, 0.048]</t>
  </si>
  <si>
    <t>816.2965332437358</t>
  </si>
  <si>
    <t>[0.045, -0.166, -0.003, -0.07, -0.088, 0.076, -0.062]</t>
  </si>
  <si>
    <t>LINESTRING (11.271469255192686 59.128475570742296, 11.271313228875622 59.12852084144034, 11.271113374322866 59.12859987475701, 11.268070991981228 59.13050608485278, 11.267779119379494 59.130806070233014, 11.266750749270038 59.13185141799721, 11.266505771911733 59.13208888037419, 11.266325197178467 59.13214686010939)</t>
  </si>
  <si>
    <t>[1823452, 1823470, 1678175, 1626140, 1626148, 1626156, 1239169]</t>
  </si>
  <si>
    <t>[1602650, 1504740, 1454793, 1454794, 1454799, 1160094, 1160095]</t>
  </si>
  <si>
    <t>[1602649, 1602650, 1504740, 1454793, 1454794, 1454799, 1160094]</t>
  </si>
  <si>
    <t>[0.045, 0.166, 0.003, 0.07, 0.088, 0.076, 0.062]</t>
  </si>
  <si>
    <t>510.4267172583151</t>
  </si>
  <si>
    <t>[0.033, 0.037, 0.12, 0.021]</t>
  </si>
  <si>
    <t>LINESTRING (9.088497364458386 58.83363382776719, 9.088506817645358 58.83354395971112, 9.088510460057435 58.8331812072697, 9.08679301374555 58.83170734382268, 9.086562544821785 58.83146582067016)</t>
  </si>
  <si>
    <t>[1239319, 1239327, 1287828, 1323457]</t>
  </si>
  <si>
    <t>[1160202, 1160207, 1201517, 1229693]</t>
  </si>
  <si>
    <t>0.09341498614806948</t>
  </si>
  <si>
    <t>[1160201, 1160202, 1160207, 1201517]</t>
  </si>
  <si>
    <t>273.38923241028897</t>
  </si>
  <si>
    <t>[0.051, -0.042, 0.028]</t>
  </si>
  <si>
    <t>LINESTRING (9.14179320430626 58.86067287967274, 9.141832290774353 58.86068834219057, 9.142897677502985 58.86118091580548, 9.142956687199412 58.86116496409775)</t>
  </si>
  <si>
    <t>[1291153, 1291161, 1239632]</t>
  </si>
  <si>
    <t>[1204400, 1160452, 441738]</t>
  </si>
  <si>
    <t>[1204262, 1204400, 1160452]</t>
  </si>
  <si>
    <t>[0.051, 0.042, 0.028]</t>
  </si>
  <si>
    <t>115.2975433343646</t>
  </si>
  <si>
    <t>LINESTRING (10.26212545261025 59.7539813303468, 10.261829008057601 59.75399809949918, 10.261744290770624 59.754005427696065)</t>
  </si>
  <si>
    <t>[1239672, 1239697]</t>
  </si>
  <si>
    <t>[1160471, 1160486]</t>
  </si>
  <si>
    <t>[1160470, 1160471]</t>
  </si>
  <si>
    <t>21.610513505637652</t>
  </si>
  <si>
    <t>[-0.011, -0.005]</t>
  </si>
  <si>
    <t>LINESTRING (10.26212545261025 59.7539813303468, 10.2618237727884 59.75393374159057, 10.26174557065505 59.753931087099346)</t>
  </si>
  <si>
    <t>[1239714, 1239721]</t>
  </si>
  <si>
    <t>[1160500, 1160507]</t>
  </si>
  <si>
    <t>[1160470, 1160500]</t>
  </si>
  <si>
    <t>[0.011, 0.005]</t>
  </si>
  <si>
    <t>22.726087663771363</t>
  </si>
  <si>
    <t>6.253894786491281</t>
  </si>
  <si>
    <t>LINESTRING (10.26174557065505 59.753931087099346, 10.261771325296912 59.75396817662171, 10.261744290770624 59.754005427696065)</t>
  </si>
  <si>
    <t>[1788107, 1788043]</t>
  </si>
  <si>
    <t>[1577205, 1160486]</t>
  </si>
  <si>
    <t>0.01800468402507769</t>
  </si>
  <si>
    <t>[1160507, 1577205]</t>
  </si>
  <si>
    <t>8.802050907319588</t>
  </si>
  <si>
    <t>[-0.014, -0.013, -0.005, -0.0]</t>
  </si>
  <si>
    <t>LINESTRING (10.261540762525698 59.75396362412585, 10.261551778759356 59.753942524625586, 10.261614383325192 59.753913394795354, 10.261699362497374 59.753913766687276, 10.26174557065505 59.753931087099346)</t>
  </si>
  <si>
    <t>[1788075, 1788083, 1788091, 1788099]</t>
  </si>
  <si>
    <t>[1160530, 1577245, 1160524, 1160507]</t>
  </si>
  <si>
    <t>[1577151, 1160530, 1577245, 1160524]</t>
  </si>
  <si>
    <t>[0.014, 0.013, 0.005, 0.0]</t>
  </si>
  <si>
    <t>15.238195165555718</t>
  </si>
  <si>
    <t>[0.017, 0.025, 0.007, 0.006, 0.005, 0.006, 0.005, 0.005, 0.006, 0.006, 0.005, 0.006, 0.005, 0.004, -0.003, -0.0, 0.012, 0.011, 0.01, 0.021, 0.01, -0.003, -0.004, -0.001, -0.001, -0.003]</t>
  </si>
  <si>
    <t>LINESTRING (10.26127040294124 59.75418547111751, 10.261191476493257 59.75429568367576, 10.26106566367533 59.75450488062016, 10.260792545861113 59.75497342609035, 10.260642410440218 59.755231359064744, 10.260612875854019 59.755283693819564, 10.260573142394753 59.755350105636545, 10.260299266741317 59.755827905625694, 10.260134036953396 59.75611449877489, 10.260099555503604 59.75617429124497, 10.259890924987964 59.756535249667856, 10.259736857980528 59.75680168381998, 10.259711257978843 59.75684826005793, 10.259675037430378 59.75690936579721, 10.2593528015267 59.75746250188045, 10.258672989849227 59.758637474397176, 10.258606396055011 59.75875285392135, 10.258307321020236 59.75928212576858, 10.258055857337181 59.75972116461835, 10.257922972467643 59.759953742108976, 10.257268143267256 59.76110825015153, 10.256681695320273 59.76213155692047, 10.256468622060211 59.76250064411784, 10.256325133222392 59.76280892412013, 10.256293474154331 59.76294987921483, 10.256289431450647 59.7632320082029, 10.256317432650915 59.76340886942696)</t>
  </si>
  <si>
    <t>[1239722, 1422908, 1422916, 1422924, 1422932, 1422940, 1422948, 1422956, 1422964, 1422972, 1422980, 1422988, 1422996, 1423004, 1423012, 1423020, 1423028, 1423036, 1423044, 1423052, 1423060, 1423068, 1423076, 1423084, 1423092, 1423100]</t>
  </si>
  <si>
    <t>[1160509, 1249552, 1125003, 1298235, 1298241, 1298247, 1298255, 1298259, 1298264, 1276720, 1298270, 1298274, 1249476, 1248996, 1291464, 1298295, 224642, 819443, 1298315, 222564, 1298331, 1291527, 1298342, 1247211, 1292098, 1298359]</t>
  </si>
  <si>
    <t>0.0069903721623263216</t>
  </si>
  <si>
    <t>[1160508, 1160509, 1249552, 1125003, 1298235, 1298241, 1298247, 1298255, 1298259, 1298264, 1276720, 1298270, 1298274, 1249476, 1248996, 1291464, 1298295, 224642, 819443, 1298315, 222564, 1298331, 1291527, 1298342, 1247211, 1292098]</t>
  </si>
  <si>
    <t>[0.017, 0.025, 0.007, 0.006, 0.005, 0.006, 0.005, 0.005, 0.006, 0.006, 0.005, 0.006, 0.005, 0.004, 0.003, 0.0, 0.012, 0.011, 0.01, 0.021, 0.01, 0.003, 0.004, 0.001, 0.001, 0.003]</t>
  </si>
  <si>
    <t>1067.707117903948</t>
  </si>
  <si>
    <t>[0.015, 0.012, 0.006]</t>
  </si>
  <si>
    <t>LINESTRING (10.261540762525698 59.75396362412585, 10.261489330811969 59.75398700518645, 10.261398242781857 59.75403281652226, 10.26127040294124 59.75418547111751)</t>
  </si>
  <si>
    <t>[1787995, 1788003, 1788011]</t>
  </si>
  <si>
    <t>[1577152, 1577163, 1160508]</t>
  </si>
  <si>
    <t>0.008612340950109638</t>
  </si>
  <si>
    <t>[1577151, 1577152, 1577163]</t>
  </si>
  <si>
    <t>30.025935452659606</t>
  </si>
  <si>
    <t>[0.008, 0.014, 0.004]</t>
  </si>
  <si>
    <t>LINESTRING (10.261640529641312 59.75402560492521, 10.261573197017691 59.75404395909544, 10.26148068619862 59.754075678227196, 10.26127040294124 59.75418547111751)</t>
  </si>
  <si>
    <t>[1788019, 1788027, 1788035]</t>
  </si>
  <si>
    <t>[1577179, 1577189, 1160508]</t>
  </si>
  <si>
    <t>0.006901561937826369</t>
  </si>
  <si>
    <t>[1577178, 1577179, 1577189]</t>
  </si>
  <si>
    <t>27.612580681531046</t>
  </si>
  <si>
    <t>LINESTRING (8.56534034134573 58.3417434285519, 8.565076113985555 58.34158066077769, 8.565007322822348 58.3415389975367)</t>
  </si>
  <si>
    <t>[1344337, 1344354]</t>
  </si>
  <si>
    <t>[1246473, 1246492]</t>
  </si>
  <si>
    <t>0.0035900483134707474</t>
  </si>
  <si>
    <t>[1161274, 1246473]</t>
  </si>
  <si>
    <t>30.022052739791654</t>
  </si>
  <si>
    <t>LINESTRING (8.56534034134573 58.3417434285519, 8.565280733938515 58.341542621277846, 8.56527741258324 58.34149138273028)</t>
  </si>
  <si>
    <t>[1344370, 1344378]</t>
  </si>
  <si>
    <t>[1246503, 1246511]</t>
  </si>
  <si>
    <t>0.0037985583573840183</t>
  </si>
  <si>
    <t>[1161274, 1246503]</t>
  </si>
  <si>
    <t>28.385815710978648</t>
  </si>
  <si>
    <t>[0.002, 0.03]</t>
  </si>
  <si>
    <t>LINESTRING (8.565302798852711 58.341464921999965, 8.565384235521236 58.34142174497446, 8.565679930513006 58.34129823009853)</t>
  </si>
  <si>
    <t>[1344386, 1344394]</t>
  </si>
  <si>
    <t>[1246517, 1161279]</t>
  </si>
  <si>
    <t>0.023435609200152304</t>
  </si>
  <si>
    <t>[1246516, 1246517]</t>
  </si>
  <si>
    <t>28.929900334602223</t>
  </si>
  <si>
    <t>LINESTRING (8.565196592307393 58.341321390106614, 8.565303200212094 58.34132254726119, 8.565679930513006 58.34129823009853)</t>
  </si>
  <si>
    <t>[1344402, 1344410]</t>
  </si>
  <si>
    <t>[1246528, 1161279]</t>
  </si>
  <si>
    <t>0.02185905746639418</t>
  </si>
  <si>
    <t>[1246527, 1246528]</t>
  </si>
  <si>
    <t>28.513721062543425</t>
  </si>
  <si>
    <t>25.13527314346835</t>
  </si>
  <si>
    <t>[0.03, 0.173, 0.161, 0.105, 0.159, 0.097, 0.101, 0.044, -0.055]</t>
  </si>
  <si>
    <t>LINESTRING (9.435214200908554 61.84728372399338, 9.433936854360063 61.84773751021559, 9.433777510057146 61.84779979463839, 9.432987449642003 61.848137792950034, 9.432907050459729 61.84817370688461, 9.432830131093423 61.84820787200233, 9.43277525712639 61.848232257841275, 9.43275234000342 61.84824232569649, 9.430762116131472 61.84906710349593, 9.430460312809577 61.84917471968637)</t>
  </si>
  <si>
    <t>[1241603, 1241604, 1241615, 1241628, 1241674, 1241682, 1241690, 1241706, 1241714]</t>
  </si>
  <si>
    <t>[1162017, 1162018, 1162027, 1162037, 1162075, 1162081, 1162088, 1162098, 1162003]</t>
  </si>
  <si>
    <t>0.06268140395829301</t>
  </si>
  <si>
    <t>[1161983, 1162017, 1162018, 1162027, 1162037, 1162075, 1162081, 1162088, 1162098]</t>
  </si>
  <si>
    <t>[0.03, 0.173, 0.161, 0.105, 0.159, 0.097, 0.101, 0.044, 0.055]</t>
  </si>
  <si>
    <t>327.7971267917148</t>
  </si>
  <si>
    <t>[0.023, 0.164, 0.154, 0.106, 0.098, 0.103, 0.054, -0.022]</t>
  </si>
  <si>
    <t>LINESTRING (9.435214200908554 61.84728372399338, 9.433681639463199 61.847743780681384, 9.432877514342179 61.84808852461575, 9.432795686415183 61.84812517250191, 9.432719663859492 61.8481593289744, 9.43266542198949 61.84818369543659, 9.432642800898575 61.848193811297044, 9.430731669214854 61.84905154695279, 9.430460312809577 61.84917471968637)</t>
  </si>
  <si>
    <t>[1241715, 1241727, 1241736, 1241737, 1241746, 1241748, 1241759, 1241771]</t>
  </si>
  <si>
    <t>[1162103, 1162107, 1162113, 1162114, 1162120, 1162121, 1162127, 1162003]</t>
  </si>
  <si>
    <t>0.06293706882892153</t>
  </si>
  <si>
    <t>[1161983, 1162103, 1162107, 1162113, 1162114, 1162120, 1162121, 1162127]</t>
  </si>
  <si>
    <t>[0.023, 0.164, 0.154, 0.106, 0.098, 0.103, 0.054, 0.022]</t>
  </si>
  <si>
    <t>329.15542461275334</t>
  </si>
  <si>
    <t>[0.008, -0.005, -0.013, 0.023]</t>
  </si>
  <si>
    <t>LINESTRING (8.567990168105647 58.34118937124242, 8.567893639505963 58.341226474056306, 8.56751568588357 58.34157606678846, 8.57056694099415 58.3427124127807, 8.570937397963565 58.34283503945394)</t>
  </si>
  <si>
    <t>[1241830, 1241838, 1241846, 2133828]</t>
  </si>
  <si>
    <t>[1162184, 1162191, 1162199, 1835047]</t>
  </si>
  <si>
    <t>[1162183, 1162184, 1162191, 1162199]</t>
  </si>
  <si>
    <t>[0.008, 0.005, 0.013, 0.023]</t>
  </si>
  <si>
    <t>301.6173280764593</t>
  </si>
  <si>
    <t>[-0.0, 0.006, 0.012, 0.011, -0.232]</t>
  </si>
  <si>
    <t>LINESTRING (10.962001010347729 59.32465206247036, 10.961855538398597 59.324741800183226, 10.960840539573333 59.324972610057806, 10.960277931600688 59.32508744775996, 10.957048765924903 59.326395146299326, 10.957018107258683 59.32645173583151)</t>
  </si>
  <si>
    <t>[1243358, 1243366, 1615841, 1615849, 1675004]</t>
  </si>
  <si>
    <t>[1163548, 1163556, 1448618, 1448622, 1502271]</t>
  </si>
  <si>
    <t>0.005822394512319952</t>
  </si>
  <si>
    <t>[1163547, 1163548, 1163556, 1448618, 1448622]</t>
  </si>
  <si>
    <t>[0.0, 0.006, 0.012, 0.011, 0.232]</t>
  </si>
  <si>
    <t>389.09628134656646</t>
  </si>
  <si>
    <t>[-0.022, -0.019, 0.009, 0.012, 0.011, 0.008, -0.005, -0.005, -0.005]</t>
  </si>
  <si>
    <t>LINESTRING (10.962001010347729 59.32465206247036, 10.961964490218515 59.32466167339727, 10.961776788346372 59.324711053086766, 10.960866810450915 59.3249209005161, 10.96024026455289 59.32504009210044, 10.960093633435251 59.32506596542216, 10.958200784793632 59.32532740173347, 10.951507696500585 59.3249060309087, 10.951047049957207 59.32484371434925, 10.950697650362777 59.32480319041186)</t>
  </si>
  <si>
    <t>[1615945, 1615953, 1615961, 1615969, 1615977, 1615985, 1615993, 1616001, 1615889]</t>
  </si>
  <si>
    <t>[1448694, 1448701, 1448705, 1448709, 1448712, 1448718, 1448724, 1448653, 1448654]</t>
  </si>
  <si>
    <t>[1163547, 1448694, 1448701, 1448705, 1448709, 1448712, 1448718, 1448724, 1448653]</t>
  </si>
  <si>
    <t>[0.022, 0.019, 0.009, 0.012, 0.011, 0.008, 0.005, 0.005, 0.005]</t>
  </si>
  <si>
    <t>666.0579358047689</t>
  </si>
  <si>
    <t>[0.037, 0.158, 0.006, -0.184, -0.096, 0.002, -0.005, -0.015, -0.024]</t>
  </si>
  <si>
    <t>37933.0</t>
  </si>
  <si>
    <t>LINESTRING (11.016705310504792 59.316460254173236, 11.016678462272107 59.316459585112234, 11.015883508077216 59.316442277426745, 11.000820477377047 59.316127029213206, 11.000802049421976 59.316127146114646, 10.990728707010685 59.31657449905087, 10.989839371390435 59.31662611278257, 10.98889790836844 59.316680950597494, 10.962107473519493 59.324625606028214, 10.962001010347729 59.32465206247036)</t>
  </si>
  <si>
    <t>[1615148, 1615155, 1615283, 1615284, 1615292, 1615294, 1615295, 1615929, 1615937]</t>
  </si>
  <si>
    <t>[1448272, 1448277, 1448328, 1448329, 1448332, 1448333, 1448334, 1448681, 1163547]</t>
  </si>
  <si>
    <t>[1448271, 1448272, 1448277, 1448328, 1448329, 1448332, 1448333, 1448334, 1448681]</t>
  </si>
  <si>
    <t>[0.037, 0.158, 0.006, 0.184, 0.096, 0.002, 0.005, 0.015, 0.024]</t>
  </si>
  <si>
    <t>3472.9567427575707</t>
  </si>
  <si>
    <t>[0.01, 0.01, -0.007]</t>
  </si>
  <si>
    <t>LINESTRING (10.958230928455308 59.325170816812786, 10.958146661875043 59.325179672025, 10.957394305050528 59.32524197694148, 10.951557792071592 59.32479163287602)</t>
  </si>
  <si>
    <t>[1616041, 1616049, 1616057]</t>
  </si>
  <si>
    <t>[1448750, 1448759, 1448639]</t>
  </si>
  <si>
    <t>[1163570, 1448750, 1448759]</t>
  </si>
  <si>
    <t>[0.01, 0.01, 0.007]</t>
  </si>
  <si>
    <t>387.4230484004667</t>
  </si>
  <si>
    <t>[0.039, 0.031, 0.154, 0.005, -0.098, -0.1, 0.017, 0.005, -0.016, -0.019, -0.02, 0.013, 0.013, 0.012, 0.009]</t>
  </si>
  <si>
    <t>[0, 0, 0, 0, 0, 0, 1, 0, 0, 0, 0, 1, 1, 0, 0]</t>
  </si>
  <si>
    <t>LINESTRING (11.01824703856639 59.31630060333091, 11.018222920382541 59.316299901251014, 11.016694629085398 59.31625897762621, 11.015905194118627 59.31623963623481, 11.000814770387793 59.31592493137744, 11.000796997366372 59.31592456492584, 10.991081905322597 59.31641923234358, 10.989801568195476 59.31649494114037, 10.988899732758481 59.3165485996837, 10.961978769829987 59.324496755620906, 10.961856923547277 59.3245272750124, 10.961695023297374 59.32456708869232, 10.960785667600195 59.32477054427127, 10.960143658442258 59.32489256403657, 10.960000211745049 59.3249179966432, 10.958230928455308 59.325170816812786)</t>
  </si>
  <si>
    <t>[1615224, 1615228, 1615248, 1615256, 1615264, 1615276, 1615277, 1615278, 1615299, 1615310, 1615318, 1616009, 1616017, 1616025, 1616033]</t>
  </si>
  <si>
    <t>[1448302, 1448304, 1448310, 1448314, 1448319, 1448323, 1448324, 1448325, 1448337, 1448340, 1448344, 1448729, 1448734, 1448740, 1163570]</t>
  </si>
  <si>
    <t>[1448301, 1448302, 1448304, 1448310, 1448314, 1448319, 1448323, 1448324, 1448325, 1448337, 1448340, 1448344, 1448729, 1448734, 1448740]</t>
  </si>
  <si>
    <t>[0.039, 0.031, 0.154, 0.005, 0.098, 0.1, 0.017, 0.005, 0.016, 0.019, 0.02, 0.013, 0.013, 0.012, 0.009]</t>
  </si>
  <si>
    <t>3788.348130829661</t>
  </si>
  <si>
    <t>[0.0, 0.188, 0.005, -0.009, -0.004]</t>
  </si>
  <si>
    <t>LINESTRING (10.956163646418076 59.3245541721165, 10.956150038284521 59.324616649890764, 10.95609304372802 59.32468477438256, 10.957249899172911 59.325201931751515, 10.95802849532157 59.32515138464654, 10.958230928455308 59.325170816812786)</t>
  </si>
  <si>
    <t>[1675012, 1675020, 1615857, 1243373, 1243381]</t>
  </si>
  <si>
    <t>[1502278, 1448626, 1163562, 1163563, 1163570]</t>
  </si>
  <si>
    <t>0.009029942363893812</t>
  </si>
  <si>
    <t>[1502277, 1502278, 1448626, 1163562, 1163563]</t>
  </si>
  <si>
    <t>[0.0, 0.188, 0.005, 0.009, 0.004]</t>
  </si>
  <si>
    <t>184.7403091212986</t>
  </si>
  <si>
    <t>[0.0, 0.256, 0.003, 0.006, 0.0]</t>
  </si>
  <si>
    <t>LINESTRING (10.27282539823988 59.78974604311845, 10.27282539823988 59.78974604311845, 10.272269216729335 59.79121606126706, 10.268536928996499 59.79586441435017, 10.267890404082893 59.7978954477136, 10.267824649955541 59.79815641567474)</t>
  </si>
  <si>
    <t>[1243922, 2078104, 2078112, 2078120, 1243916]</t>
  </si>
  <si>
    <t>[1164023, 1802339, 1802343, 1164014, 1164013]</t>
  </si>
  <si>
    <t>0.04501377081933971</t>
  </si>
  <si>
    <t>[1164022, 1164023, 1802339, 1802343, 1164014]</t>
  </si>
  <si>
    <t>1016.757409495038</t>
  </si>
  <si>
    <t>[-0.058, 0.248, 0.005, 0.01, 0.048]</t>
  </si>
  <si>
    <t>LINESTRING (10.27282539823988 59.78974604311845, 10.272722321884089 59.78973925417317, 10.271964135476582 59.791158046891965, 10.268332848573026 59.79574280665939, 10.26778438585859 59.7978958801075, 10.267824649955541 59.79815641567474)</t>
  </si>
  <si>
    <t>[1243923, 2078128, 2078136, 2078144, 1243915]</t>
  </si>
  <si>
    <t>[1164024, 1802354, 1802358, 1164012, 1164013]</t>
  </si>
  <si>
    <t>0.04486620935558826</t>
  </si>
  <si>
    <t>[1164022, 1164024, 1802354, 1802358, 1164012]</t>
  </si>
  <si>
    <t>[0.058, 0.248, 0.005, 0.01, 0.048]</t>
  </si>
  <si>
    <t>1015.158615120905</t>
  </si>
  <si>
    <t>[-0.081, -0.095, -0.068, -0.058, -0.054, -0.068, -0.046, -0.047, -0.045, -0.017, -0.004, 0.015, 0.019, 0.025, 0.009]</t>
  </si>
  <si>
    <t>[0, 0, 0, 0, 1, 0, 0, 1, 0, 0, 0, 1, 1, 0, 0]</t>
  </si>
  <si>
    <t>LINESTRING (10.27282539823988 59.78974604311845, 10.273065119455094 59.78800026266396, 10.273065555946841 59.78797301547146, 10.273967333942316 59.78291467941886, 10.274071082310224 59.78275956969948, 10.274486676591083 59.78221515695513, 10.274523142011462 59.78216971575673, 10.27620964435578 59.77595924186659, 10.275789350515536 59.77551719477164, 10.275572984088786 59.77532846693546, 10.270082706683567 59.77281939911029, 10.268996794586231 59.77248904974673, 10.268570291942815 59.77235901321222, 10.267984503207261 59.772180271214225, 10.266878449455735 59.77184306937312, 10.260136409892608 59.76914708712924)</t>
  </si>
  <si>
    <t>[1593719, 1593727, 1593735, 1593743, 1593751, 1593759, 1593767, 1593775, 1593783, 1593791, 1593799, 1593807, 1593815, 1593823, 1593831]</t>
  </si>
  <si>
    <t>[1432730, 1432739, 1432746, 1432753, 1432762, 1432768, 1432775, 1432782, 1432789, 1432794, 1432799, 1432805, 1432808, 1432815, 1175795]</t>
  </si>
  <si>
    <t>[1164022, 1432730, 1432739, 1432746, 1432753, 1432762, 1432768, 1432775, 1432782, 1432789, 1432794, 1432799, 1432805, 1432808, 1432815]</t>
  </si>
  <si>
    <t>[0.081, 0.095, 0.068, 0.058, 0.054, 0.068, 0.046, 0.047, 0.045, 0.017, 0.004, 0.015, 0.019, 0.025, 0.009]</t>
  </si>
  <si>
    <t>2748.855314586981</t>
  </si>
  <si>
    <t>[0.004, 0.051, -0.018, 0.073, -0.003, 0.046, -0.049, 0.094, 0.129, 0.001, 0.042, 0.111, -0.006, -0.135, -0.01, 0.006, 0.047, 0.091, 0.094, -0.066, -0.1, -0.102, 0.001, -0.005, -0.001, 0.035, 0.057, -0.018, -0.137, -0.155, -0.167, -0.179, -0.037, -0.017, 0.034, -0.025, -0.013, -0.029]</t>
  </si>
  <si>
    <t>[0, 1, 0, 1, 0, 1, 0, 1, 0, 0, 1, 0, 0, 1, 0, 1, 0, 0, 0, 0, 0, 0, 0, 0, 0, 0, 0, 0, 0, 0, 0, 0, 0, 1, 0, 0, 0, 0]</t>
  </si>
  <si>
    <t>LINESTRING (8.899680688389237 58.609482149283856, 8.898612282245548 58.59718892100473, 8.89850572063416 58.59692910434234, 8.903657470740557 58.581158678778316, 8.90381333674813 58.58090577482411, 8.902457016379893 58.57203181373809, 8.902235177327118 58.57179271299773, 8.895782594228603 58.56569167898319, 8.894719046115252 58.56493788459962, 8.893244886966688 58.56397993587593, 8.87536839966364 58.55660838382498, 8.87505716983381 58.55639817838588, 8.8735769607618 58.55530011138787, 8.861088865482575 58.544034369029795, 8.860071003298714 58.5435931958914, 8.849582678309735 58.53827144278661, 8.848201584542405 58.53698685597992, 8.845799389066574 58.530755841838534, 8.845840159587464 58.53044271634908, 8.84595556870231 58.5298627594302, 8.846335806966485 58.52866275586493, 8.846507058185654 58.52813231092819, 8.846598161237276 58.527776671141396, 8.846363426684656 58.52541210331851, 8.846255831576078 58.52517726349334, 8.844107550237995 58.5227755788326, 8.843755329989744 58.522521166370815, 8.843076616533573 58.522058961787984, 8.83573736827313 58.51821640132364, 8.83521967385479 58.5180054792055, 8.834905547638671 58.51788059453652, 8.834785651676638 58.51783356349057, 8.83437214600435 58.51767369337594, 8.82831651177172 58.51549210816809, 8.826136505770684 58.51449295857567, 8.814682610202603 58.50591168837404, 8.814160370185652 58.50565393034921, 8.801549130100556 58.50204298016779, 8.8003367677688 58.501825911319294)</t>
  </si>
  <si>
    <t>[1244690, 1244694, 1244627, 1244634, 1244702, 1244703, 1244704, 1244705, 1244711, 1244712, 1244713, 1831407, 1831415, 1831423, 1247812, 1247814, 1247815, 1247483, 1246681, 1246683, 1246689, 1247463, 1831215, 1831223, 1831231, 1247620, 1246728, 1246729, 1246747, 1246749, 1246766, 1247636, 1831096, 1831104, 1831112, 1831120, 1831128, 1831136]</t>
  </si>
  <si>
    <t>[1164627, 1164582, 1164583, 1164589, 1164632, 1164633, 1164634, 1164635, 1164639, 1164640, 1164641, 1607818, 1607822, 1167242, 1167243, 1167245, 1166954, 1166312, 1166313, 1166315, 1166321, 1166937, 1607740, 1607743, 1167064, 1166367, 1166368, 1166369, 1166393, 1166395, 1166413, 1167075, 1607654, 1607662, 1607669, 1607674, 1607681, 1607688]</t>
  </si>
  <si>
    <t>[1164626, 1164627, 1164582, 1164583, 1164589, 1164632, 1164633, 1164634, 1164635, 1164639, 1164640, 1164641, 1607818, 1607822, 1167242, 1167243, 1167245, 1166954, 1166312, 1166313, 1166315, 1166321, 1166937, 1607740, 1607743, 1167064, 1166367, 1166368, 1166369, 1166393, 1166395, 1166413, 1167075, 1607654, 1607662, 1607669, 1607674, 1607681]</t>
  </si>
  <si>
    <t>[0.004, 0.051, 0.018, 0.073, 0.003, 0.046, 0.049, 0.094, 0.129, 0.001, 0.042, 0.111, 0.006, 0.135, 0.01, 0.006, 0.047, 0.091, 0.094, 0.066, 0.1, 0.102, 0.001, 0.005, 0.001, 0.035, 0.057, 0.018, 0.137, 0.155, 0.167, 0.179, 0.037, 0.017, 0.034, 0.025, 0.013, 0.029]</t>
  </si>
  <si>
    <t>14601.645362100862</t>
  </si>
  <si>
    <t>[0.024, 0.021, -0.027, -0.105, -0.057, 0.071, 0.07, 0.074]</t>
  </si>
  <si>
    <t>LINESTRING (8.896927017277767 58.61850426525847, 8.896962867218354 58.618389740262586, 8.896995812468864 58.618284711930805, 8.898291147145686 58.614156182691524, 8.898353726387741 58.61395686380709, 8.899441030458485 58.610442475701795, 8.899481472320813 58.61029289794144, 8.89954993862951 58.61002962005213, 8.899680688389237 58.609482149283856)</t>
  </si>
  <si>
    <t>[1244727, 1244728, 1244729, 1244737, 1244738, 1244739, 1244740, 1244743]</t>
  </si>
  <si>
    <t>[1164655, 1164656, 1164657, 1164663, 1164664, 1164665, 1164666, 1164626]</t>
  </si>
  <si>
    <t>[1164648, 1164655, 1164656, 1164657, 1164663, 1164664, 1164665, 1164666]</t>
  </si>
  <si>
    <t>[0.024, 0.021, 0.027, 0.105, 0.057, 0.071, 0.07, 0.074]</t>
  </si>
  <si>
    <t>1018.8315209236754</t>
  </si>
  <si>
    <t>[0.019, -0.04, 0.076, 0.071, 0.054]</t>
  </si>
  <si>
    <t>LINESTRING (8.897098609173845 58.613801467224704, 8.897147952224234 58.61377502020832, 8.899415334906925 58.61028821846214, 8.899483801700596 58.61002494061664, 8.899562917801875 58.60969778656549, 8.899680688389237 58.609482149283856)</t>
  </si>
  <si>
    <t>[1246405, 1246408, 1246411, 1246412, 1831343]</t>
  </si>
  <si>
    <t>[1166069, 1166074, 1166075, 1166076, 1164626]</t>
  </si>
  <si>
    <t>[1165956, 1166069, 1166074, 1166075, 1166076]</t>
  </si>
  <si>
    <t>[0.019, 0.04, 0.076, 0.071, 0.054]</t>
  </si>
  <si>
    <t>509.8610698564274</t>
  </si>
  <si>
    <t>[-0.43, -0.011, 1.178, -0.042, -0.01]</t>
  </si>
  <si>
    <t>LINESTRING (8.896927017277767 58.61850426525847, 8.896928160846002 58.618390797913854, 8.896932199340933 58.6183250040521, 8.896936934321486 58.61827989105319, 8.896993065732795 58.61413150431475, 8.896977761038425 58.614099619303985)</t>
  </si>
  <si>
    <t>[1831311, 1831319, 1831327, 1246398, 1246404]</t>
  </si>
  <si>
    <t>[1607777, 1607780, 1166066, 1166067, 1165943]</t>
  </si>
  <si>
    <t>[1164648, 1607777, 1607780, 1166066, 1166067]</t>
  </si>
  <si>
    <t>[0.43, 0.011, 1.178, 0.042, 0.01]</t>
  </si>
  <si>
    <t>494.34233073096004</t>
  </si>
  <si>
    <t>[-0.207, -0.2]</t>
  </si>
  <si>
    <t>LINESTRING (8.899065911956876 58.61412404040712, 8.899466797083342 58.614093518533345, 8.899554397161866 58.61408219170403)</t>
  </si>
  <si>
    <t>[1244753, 1244754]</t>
  </si>
  <si>
    <t>[1164676, 1164677]</t>
  </si>
  <si>
    <t>[1164675, 1164676]</t>
  </si>
  <si>
    <t>[0.207, 0.2]</t>
  </si>
  <si>
    <t>28.8228319723691</t>
  </si>
  <si>
    <t>[-0.082, -0.056]</t>
  </si>
  <si>
    <t>LINESTRING (8.899065911956876 58.61412404040712, 8.8994224079092 58.61421648889618, 8.899503614152012 58.61424527955725)</t>
  </si>
  <si>
    <t>[1244755, 1244756]</t>
  </si>
  <si>
    <t>[1164678, 1164679]</t>
  </si>
  <si>
    <t>[1164675, 1164678]</t>
  </si>
  <si>
    <t>[0.082, 0.056]</t>
  </si>
  <si>
    <t>28.87523375264564</t>
  </si>
  <si>
    <t>[0.09, 0.099, 0.032]</t>
  </si>
  <si>
    <t>LINESTRING (8.897773051778403 58.61401367805733, 8.89822774802622 58.61405252797841, 8.898584513400367 58.61408293166845, 8.899065911956876 58.61412404040712)</t>
  </si>
  <si>
    <t>[1246618, 1246623, 1246633]</t>
  </si>
  <si>
    <t>[1166245, 1166249, 1164675]</t>
  </si>
  <si>
    <t>0.07088687153380364</t>
  </si>
  <si>
    <t>[1164692, 1166245, 1166249]</t>
  </si>
  <si>
    <t>76.22294577728191</t>
  </si>
  <si>
    <t>13.720119283433188</t>
  </si>
  <si>
    <t>[-0.151, -0.235]</t>
  </si>
  <si>
    <t>LINESTRING (8.899503614152012 58.61424527955725, 8.899483097270457 58.61415929902374, 8.899554397161866 58.61408219170403)</t>
  </si>
  <si>
    <t>[1246396, 1246397]</t>
  </si>
  <si>
    <t>[1166065, 1164677]</t>
  </si>
  <si>
    <t>[1164679, 1166065]</t>
  </si>
  <si>
    <t>[0.151, 0.235]</t>
  </si>
  <si>
    <t>19.209199632823747</t>
  </si>
  <si>
    <t>17.96581885283271</t>
  </si>
  <si>
    <t>[0.057, 0.079]</t>
  </si>
  <si>
    <t>LINESTRING (8.897318993539095 58.61388634105975, 8.897411211105048 58.61392152854295, 8.897773051778403 58.61401367805733)</t>
  </si>
  <si>
    <t>[1244770, 1244771]</t>
  </si>
  <si>
    <t>[1164691, 1164692]</t>
  </si>
  <si>
    <t>0.07413739278847807</t>
  </si>
  <si>
    <t>[1164690, 1164691]</t>
  </si>
  <si>
    <t>30.07445741773678</t>
  </si>
  <si>
    <t>LINESTRING (8.897318993539095 58.61388634105975, 8.897343750622952 58.613975675661884, 8.897266389672094 58.61405780599775)</t>
  </si>
  <si>
    <t>[1246291, 1246295]</t>
  </si>
  <si>
    <t>[1165968, 1164693]</t>
  </si>
  <si>
    <t>0.012359126570047767</t>
  </si>
  <si>
    <t>[1164690, 1165968]</t>
  </si>
  <si>
    <t>20.270836091887567</t>
  </si>
  <si>
    <t>16.41659033498182</t>
  </si>
  <si>
    <t>[0.062, 0.067]</t>
  </si>
  <si>
    <t>LINESTRING (8.897266389672094 58.61405780599775, 8.897372275465356 58.614039526400305, 8.897773051778403 58.61401367805733)</t>
  </si>
  <si>
    <t>[1244772, 1244779]</t>
  </si>
  <si>
    <t>[1164694, 1164692]</t>
  </si>
  <si>
    <t>0.06591792371090224</t>
  </si>
  <si>
    <t>[1164693, 1164694]</t>
  </si>
  <si>
    <t>29.985261338943886</t>
  </si>
  <si>
    <t>18.07608941957329</t>
  </si>
  <si>
    <t>[-0.195, 0.026]</t>
  </si>
  <si>
    <t>LINESTRING (8.743239776788567 58.475011013795125, 8.743293126874123 58.47495481747736, 8.743405824003487 58.474909991947776)</t>
  </si>
  <si>
    <t>[2098028, 2098035]</t>
  </si>
  <si>
    <t>[1814471, 1164747]</t>
  </si>
  <si>
    <t>[1164743, 1814471]</t>
  </si>
  <si>
    <t>[0.195, 0.026]</t>
  </si>
  <si>
    <t>15.265949779758175</t>
  </si>
  <si>
    <t>[-0.175, 0.026, 0.079, 0.116, 0.121, 0.087, 0.093]</t>
  </si>
  <si>
    <t>LINESTRING (8.743781173498483 58.47498105056002, 8.743812762179981 58.47504779908323, 8.743782141197071 58.47511825673385, 8.74365544947045 58.47518563258075, 8.74355756803094 58.475201374316946, 8.743392648402319 58.47518717691739, 8.743278159676445 58.47513411138918, 8.743239776788567 58.475011013795125)</t>
  </si>
  <si>
    <t>[2097973, 2097976, 2097979, 2097995, 2098003, 2098011, 2098027]</t>
  </si>
  <si>
    <t>[1237758, 1814438, 1237784, 1166920, 1814456, 1166917, 1164743]</t>
  </si>
  <si>
    <t>0.056393809490516936</t>
  </si>
  <si>
    <t>[1166912, 1237758, 1814438, 1237784, 1166920, 1814456, 1166917]</t>
  </si>
  <si>
    <t>[0.175, 0.026, 0.079, 0.116, 0.121, 0.087, 0.093]</t>
  </si>
  <si>
    <t>65.16908559693296</t>
  </si>
  <si>
    <t>0.119</t>
  </si>
  <si>
    <t>9.591631769367975</t>
  </si>
  <si>
    <t>[-0.05, -0.02, 0.035, 0.049]</t>
  </si>
  <si>
    <t>LINESTRING (9.189958693394624 59.57624717179026, 9.189998488957942 59.57621019639591, 9.190133658472266 59.576164592361444, 9.190292971117556 59.57616829796622, 9.190334692260622 59.57617887821267)</t>
  </si>
  <si>
    <t>[1245087, 1245088, 1245095, 1245103]</t>
  </si>
  <si>
    <t>[1164940, 1164941, 1164949, 1164916]</t>
  </si>
  <si>
    <t>0.00103716606165508</t>
  </si>
  <si>
    <t>[1164858, 1164940, 1164941, 1164949]</t>
  </si>
  <si>
    <t>[0.05, 0.02, 0.035, 0.049]</t>
  </si>
  <si>
    <t>25.539100024915562</t>
  </si>
  <si>
    <t>[-0.045, -0.056]</t>
  </si>
  <si>
    <t>LINESTRING (9.190082322644221 59.57640690470309, 9.189968536200972 59.576345502782935, 9.189958693394624 59.57624717179026)</t>
  </si>
  <si>
    <t>[1245085, 1245086]</t>
  </si>
  <si>
    <t>[1164939, 1164858]</t>
  </si>
  <si>
    <t>[1164892, 1164939]</t>
  </si>
  <si>
    <t>[0.045, 0.056]</t>
  </si>
  <si>
    <t>20.562154971203817</t>
  </si>
  <si>
    <t>27.18898733141802</t>
  </si>
  <si>
    <t>[0.067, 0.055]</t>
  </si>
  <si>
    <t>LINESTRING (9.190334692260622 59.57617887821267, 9.190435135987212 59.576235337796426, 9.190459005417573 59.57631496466501)</t>
  </si>
  <si>
    <t>[1245111, 1245119]</t>
  </si>
  <si>
    <t>[1164968, 1164933]</t>
  </si>
  <si>
    <t>0.06082792001862489</t>
  </si>
  <si>
    <t>[1164916, 1164968]</t>
  </si>
  <si>
    <t>17.461300047573804</t>
  </si>
  <si>
    <t>[0.218, 0.093, 0.067, 0.007, -0.066, -0.058]</t>
  </si>
  <si>
    <t>LINESTRING (8.748024881433059 58.476574527220734, 8.749293302898025 58.477170610994676, 8.749734785977951 58.477422002053096, 8.750092977304536 58.47763352952554, 8.757458364066064 58.48290601022732, 8.758073723289797 58.48344443377262, 8.758337111514187 58.483675593728925)</t>
  </si>
  <si>
    <t>[1247590, 1246837, 1246844, 1246848, 1246856, 1245126]</t>
  </si>
  <si>
    <t>[1166490, 1166491, 1166498, 1166503, 1164979, 1164980]</t>
  </si>
  <si>
    <t>0.011874599481802105</t>
  </si>
  <si>
    <t>[1166968, 1166490, 1166491, 1166498, 1166503, 1164979]</t>
  </si>
  <si>
    <t>[0.218, 0.093, 0.067, 0.007, 0.066, 0.058]</t>
  </si>
  <si>
    <t>929.5773309314984</t>
  </si>
  <si>
    <t>[-0.126, -0.095, -0.001, 0.154, 0.012, -0.009]</t>
  </si>
  <si>
    <t>9609.0</t>
  </si>
  <si>
    <t>LINESTRING (8.787093949169144 58.49935830123156, 8.786011201178068 58.49916601182677, 8.783272234504743 58.49867544594404, 8.766393732970684 58.490672221534574, 8.766173868738074 58.490485890531886, 8.76251098453109 58.48733634396213, 8.758337111514187 58.483675593728925)</t>
  </si>
  <si>
    <t>[1831186, 1831040, 1831048, 1831056, 1247776, 1247790]</t>
  </si>
  <si>
    <t>[1607610, 1607611, 1607618, 1167206, 1167207, 1164980]</t>
  </si>
  <si>
    <t>[1607720, 1607610, 1607611, 1607618, 1167206, 1167207]</t>
  </si>
  <si>
    <t>[0.126, 0.095, 0.001, 0.154, 0.012, 0.009]</t>
  </si>
  <si>
    <t>2520.708810652935</t>
  </si>
  <si>
    <t>[0.049, 0.052, 0.059]</t>
  </si>
  <si>
    <t>LINESTRING (8.793925051911433 58.5002792572692, 8.793961927872887 58.50013128649334, 8.793957778046005 58.50006147301345, 8.793936928052497 58.50000435716805)</t>
  </si>
  <si>
    <t>[1245299, 1245301, 1245302]</t>
  </si>
  <si>
    <t>[1165145, 1165147, 1165148]</t>
  </si>
  <si>
    <t>0.05185344318307228</t>
  </si>
  <si>
    <t>[1165144, 1165145, 1165147]</t>
  </si>
  <si>
    <t>30.915757951668542</t>
  </si>
  <si>
    <t>[0.026, 0.023, 0.014]</t>
  </si>
  <si>
    <t>LINESTRING (8.793925051911433 58.5002792572692, 8.794085010256348 58.50015319973968, 8.794176967037515 58.50009276943318, 8.794239019006033 58.50005684141722)</t>
  </si>
  <si>
    <t>[1245309, 1245313, 1245321]</t>
  </si>
  <si>
    <t>[1165151, 1165155, 1165163]</t>
  </si>
  <si>
    <t>0.0230652938095137</t>
  </si>
  <si>
    <t>[1165144, 1165151, 1165155]</t>
  </si>
  <si>
    <t>30.893868365421753</t>
  </si>
  <si>
    <t>[0.03, 0.033, 0.037]</t>
  </si>
  <si>
    <t>LINESTRING (8.793509954643804 58.50091812877275, 8.79357954210072 58.50081082937838, 8.793861922521968 58.500376333856565, 8.793925051911433 58.5002792572692)</t>
  </si>
  <si>
    <t>[1246637, 1246641, 1246643]</t>
  </si>
  <si>
    <t>[1166265, 1166270, 1165144]</t>
  </si>
  <si>
    <t>0.03310409847541792</t>
  </si>
  <si>
    <t>[1165172, 1166265, 1166270]</t>
  </si>
  <si>
    <t>75.25500179483893</t>
  </si>
  <si>
    <t>14.508323400605878</t>
  </si>
  <si>
    <t>[0.038, 0.054]</t>
  </si>
  <si>
    <t>LINESTRING (8.794239019006033 58.50005684141722, 8.794074274613898 58.50005451939082, 8.793936928052497 58.50000435716805)</t>
  </si>
  <si>
    <t>[1246239, 1246243]</t>
  </si>
  <si>
    <t>[1165927, 1165148]</t>
  </si>
  <si>
    <t>0.04606425560592041</t>
  </si>
  <si>
    <t>[1165163, 1165927]</t>
  </si>
  <si>
    <t>19.397095850860595</t>
  </si>
  <si>
    <t>14.216426038361755</t>
  </si>
  <si>
    <t>14.120837082030818</t>
  </si>
  <si>
    <t>[0.056, 0.044]</t>
  </si>
  <si>
    <t>LINESTRING (8.793507512791502 58.50118150961699, 8.793493096194704 58.50112983905544, 8.793509954643804 58.50091812877275)</t>
  </si>
  <si>
    <t>[1245327, 1245328]</t>
  </si>
  <si>
    <t>[1165171, 1165172]</t>
  </si>
  <si>
    <t>0.046372563572237416</t>
  </si>
  <si>
    <t>[1165170, 1165171]</t>
  </si>
  <si>
    <t>29.453932778368088</t>
  </si>
  <si>
    <t>[-0.055, -0.073]</t>
  </si>
  <si>
    <t>LINESTRING (8.793193144408995 58.50112932850552, 8.793372244729802 58.50113027706989, 8.793507512791502 58.50118150961699)</t>
  </si>
  <si>
    <t>[1246179, 1246180]</t>
  </si>
  <si>
    <t>[1165883, 1165170]</t>
  </si>
  <si>
    <t>[1165174, 1165883]</t>
  </si>
  <si>
    <t>[0.055, 0.073]</t>
  </si>
  <si>
    <t>20.201900367936606</t>
  </si>
  <si>
    <t>[-0.01, 0.006]</t>
  </si>
  <si>
    <t>LINESTRING (8.793193144408995 58.50112932850552, 8.793272702676129 58.50109491701526, 8.793509954643804 58.50091812877275)</t>
  </si>
  <si>
    <t>[1245332, 1245334]</t>
  </si>
  <si>
    <t>[1165175, 1165172]</t>
  </si>
  <si>
    <t>0.0027995207041956903</t>
  </si>
  <si>
    <t>[1165174, 1165175]</t>
  </si>
  <si>
    <t>[0.01, 0.006]</t>
  </si>
  <si>
    <t>30.11832075201186</t>
  </si>
  <si>
    <t>13.770204618436326</t>
  </si>
  <si>
    <t>[0.008, 0.063, 0.078, 0.047]</t>
  </si>
  <si>
    <t>LINESTRING (8.793560822986008 58.5013020684465, 8.79333707844282 58.50142007652069, 8.793189736917354 58.501415626442146, 8.79306699708572 58.50137427730473, 8.793019054731698 58.50120886147122)</t>
  </si>
  <si>
    <t>[1246128, 1246139, 1246148, 1246156]</t>
  </si>
  <si>
    <t>[1164735, 1165850, 1164733, 1165866]</t>
  </si>
  <si>
    <t>0.040685908219107156</t>
  </si>
  <si>
    <t>[1165836, 1164735, 1165850, 1164733]</t>
  </si>
  <si>
    <t>55.98743166759323</t>
  </si>
  <si>
    <t>[0.014, -0.003, 0.043]</t>
  </si>
  <si>
    <t>LINESTRING (8.8003367677688 58.501825911319294, 8.799912868294188 58.50178302562989, 8.793633084702261 58.501294084778905, 8.793560822986008 58.5013020684465)</t>
  </si>
  <si>
    <t>[1831359, 1246504, 1246513]</t>
  </si>
  <si>
    <t>[1166144, 1166145, 1165836]</t>
  </si>
  <si>
    <t>[1607688, 1166144, 1166145]</t>
  </si>
  <si>
    <t>[0.014, 0.003, 0.043]</t>
  </si>
  <si>
    <t>404.809902162091</t>
  </si>
  <si>
    <t>[0.061, 0.016, -0.351]</t>
  </si>
  <si>
    <t>LINESTRING (8.793019054731698 58.50120886147122, 8.792988204066882 58.501178096247976, 8.786399343204952 58.49936372321148, 8.785955695607008 58.49925102800575)</t>
  </si>
  <si>
    <t>[1246600, 1246610, 1831375]</t>
  </si>
  <si>
    <t>[1166231, 1166239, 1607698]</t>
  </si>
  <si>
    <t>[1165866, 1166231, 1166239]</t>
  </si>
  <si>
    <t>[0.061, 0.016, 0.351]</t>
  </si>
  <si>
    <t>473.469848479638</t>
  </si>
  <si>
    <t>[0.015, -0.038, -0.055, -0.058]</t>
  </si>
  <si>
    <t>LINESTRING (8.793882481876047 58.49988050138482, 8.794143143338221 58.49976185293342, 8.794292595046779 58.499777661329425, 8.794406230969926 58.49983153542566, 8.794422064688174 58.49997720136065)</t>
  </si>
  <si>
    <t>[1246198, 1246199, 1246205, 1246211]</t>
  </si>
  <si>
    <t>[1165898, 1165899, 1165900, 1165904]</t>
  </si>
  <si>
    <t>[1165897, 1165898, 1165899, 1165900]</t>
  </si>
  <si>
    <t>[0.015, 0.038, 0.055, 0.058]</t>
  </si>
  <si>
    <t>55.922980209687054</t>
  </si>
  <si>
    <t>[0.091, -0.008, -0.009]</t>
  </si>
  <si>
    <t>LINESTRING (8.787093949169144 58.49935830123156, 8.787518332144844 58.499400173723174, 8.793817781500435 58.49989321072979, 8.793882481876047 58.49988050138482)</t>
  </si>
  <si>
    <t>[1831367, 1246569, 1246577]</t>
  </si>
  <si>
    <t>[1166198, 1166199, 1165897]</t>
  </si>
  <si>
    <t>[1607720, 1166198, 1166199]</t>
  </si>
  <si>
    <t>[0.091, 0.008, 0.009]</t>
  </si>
  <si>
    <t>405.2726208662002</t>
  </si>
  <si>
    <t>[-0.063, -0.058, -0.001, -0.073]</t>
  </si>
  <si>
    <t>LINESTRING (8.794422064688174 58.49997720136065, 8.79446197171185 58.50000831568208, 8.794548694476084 58.50005484987724, 8.801214035402237 58.501855022140646, 8.801599097160052 58.50195698733188)</t>
  </si>
  <si>
    <t>[1246526, 1246534, 1246548, 1831351]</t>
  </si>
  <si>
    <t>[1166155, 1166163, 1166174, 1607704]</t>
  </si>
  <si>
    <t>[1165904, 1166155, 1166163, 1166174]</t>
  </si>
  <si>
    <t>[0.063, 0.058, 0.001, 0.073]</t>
  </si>
  <si>
    <t>479.9265905444354</t>
  </si>
  <si>
    <t>[-0.066, -0.001, 0.033, 0.04]</t>
  </si>
  <si>
    <t>LINESTRING (8.896977761038425 58.614099619303985, 8.896824948044673 58.61404677797521, 8.896763745525508 58.61396354153792, 8.896784957067142 58.613893595005436, 8.897098609173845 58.613801467224704)</t>
  </si>
  <si>
    <t>[1246260, 1246262, 1246270, 1246278]</t>
  </si>
  <si>
    <t>[1164704, 1165944, 1164701, 1165956]</t>
  </si>
  <si>
    <t>0.008655542506680929</t>
  </si>
  <si>
    <t>[1165943, 1164704, 1165944, 1164701]</t>
  </si>
  <si>
    <t>[0.066, 0.001, 0.033, 0.04]</t>
  </si>
  <si>
    <t>50.83987446713513</t>
  </si>
  <si>
    <t>[-0.07, 0.139, 0.203, 0.241, 0.236]</t>
  </si>
  <si>
    <t>LINESTRING (8.899764136953452 58.6140315747894, 8.90003862994942 58.61412190087844, 8.900063432672448 58.614199170696, 8.900009002933732 58.61427356949196, 8.899925448849961 58.6143141652203, 8.899745025878799 58.61433628258964)</t>
  </si>
  <si>
    <t>[1246309, 1246317, 1246379, 1246380, 1246387]</t>
  </si>
  <si>
    <t>[1164687, 1165989, 1164689, 1166053, 1166058]</t>
  </si>
  <si>
    <t>0.10558101708361031</t>
  </si>
  <si>
    <t>[1165973, 1164687, 1165989, 1164689, 1166053]</t>
  </si>
  <si>
    <t>[0.07, 0.139, 0.203, 0.241, 0.236]</t>
  </si>
  <si>
    <t>54.766636448534776</t>
  </si>
  <si>
    <t>[-0.094, 0.056, 0.091]</t>
  </si>
  <si>
    <t>LINESTRING (8.89960350640463 58.610483212802905, 8.899607909296778 58.610709709067194, 8.899743425231447 58.61400029724132, 8.899764136953452 58.6140315747894)</t>
  </si>
  <si>
    <t>[1831335, 1246424, 1246441]</t>
  </si>
  <si>
    <t>[1166086, 1166087, 1165973]</t>
  </si>
  <si>
    <t>0.04685381206604092</t>
  </si>
  <si>
    <t>[1166797, 1166086, 1166087]</t>
  </si>
  <si>
    <t>[0.094, 0.056, 0.091]</t>
  </si>
  <si>
    <t>400.13379577239095</t>
  </si>
  <si>
    <t>[0.236, 0.031, 0.009, -0.013, -0.061]</t>
  </si>
  <si>
    <t>LINESTRING (8.899745025878799 58.61433628258964, 8.899708310599864 58.61436888755481, 8.89728050232601 58.61820602499089, 8.897234118420414 58.618353140556444, 8.897060250144367 58.618829915239104, 8.896931986779817 58.61904406139649)</t>
  </si>
  <si>
    <t>[1246457, 1246465, 1246486, 1246496, 1831303]</t>
  </si>
  <si>
    <t>[1166112, 1166118, 1166133, 1166139, 1166789]</t>
  </si>
  <si>
    <t>0.023442687451388024</t>
  </si>
  <si>
    <t>[1166058, 1166112, 1166118, 1166133, 1166139]</t>
  </si>
  <si>
    <t>[0.236, 0.031, 0.009, 0.013, 0.061]</t>
  </si>
  <si>
    <t>553.6862596400363</t>
  </si>
  <si>
    <t>[0.014, 0.002, 0.006, 0.019, 0.02, 0.008, -0.017, -0.073, 0.812, -0.018]</t>
  </si>
  <si>
    <t>LINESTRING (11.149358756227775 60.14962145687911, 11.149433033486474 60.14973331527888, 11.149431228618244 60.14974210822978, 11.149307059405384 60.15043728729795, 11.149450730945533 60.153236244816846, 11.151363265189246 60.156639054838465, 11.150979365181051 60.15774157207021, 11.14671924762508 60.16025455510668, 11.14619118381601 60.16044594965494, 11.146067532467965 60.16048974919026, 11.14596451777882 60.16052690426011)</t>
  </si>
  <si>
    <t>[1505388, 1525290, 1525298, 1525306, 1525314, 1525322, 1525330, 1525338, 1525346, 1247162]</t>
  </si>
  <si>
    <t>[1361319, 1379143, 1379152, 1379158, 1379167, 1379175, 1379181, 1379189, 1166767, 1166768]</t>
  </si>
  <si>
    <t>0.009784750649925844</t>
  </si>
  <si>
    <t>[1361318, 1361319, 1379143, 1379152, 1379158, 1379167, 1379175, 1379181, 1379189, 1166767]</t>
  </si>
  <si>
    <t>[0.014, 0.002, 0.006, 0.019, 0.02, 0.008, 0.017, 0.073, 0.812, 0.018]</t>
  </si>
  <si>
    <t>1352.9349206774561</t>
  </si>
  <si>
    <t>[0.019, 0.016, 0.126]</t>
  </si>
  <si>
    <t>LINESTRING (11.144348874387529 60.16111388369796, 11.145268458395195 60.16078085828317, 11.145801162823926 60.16058797530957, 11.14596451777882 60.16052690426011)</t>
  </si>
  <si>
    <t>[2109405, 2109413, 2109421]</t>
  </si>
  <si>
    <t>[1821126, 1821131, 1166768]</t>
  </si>
  <si>
    <t>0.028940521215359765</t>
  </si>
  <si>
    <t>[1807739, 1821126, 1821131]</t>
  </si>
  <si>
    <t>111.04027879842914</t>
  </si>
  <si>
    <t>[0.0, -0.004, 0.002, 0.008]</t>
  </si>
  <si>
    <t>LINESTRING (11.099707019674167 60.17320356323914, 11.099707019674167 60.17320356323914, 11.09539652124433 60.17772085027186, 11.095027153244331 60.17820626913761, 11.094053027439262 60.1797061630495)</t>
  </si>
  <si>
    <t>[1247163, 1525778, 1525786, 1525794]</t>
  </si>
  <si>
    <t>[1166770, 1379565, 1379573, 1379580]</t>
  </si>
  <si>
    <t>[1166769, 1166770, 1379565, 1379573]</t>
  </si>
  <si>
    <t>[0.0, 0.004, 0.002, 0.008]</t>
  </si>
  <si>
    <t>802.9238976167537</t>
  </si>
  <si>
    <t>[-0.229, 0.012, 0.003, 0.004, 0.004, 0.003, 0.007, 0.005, 0.004, -0.01, -0.01, -0.009, 0.0, 0.004, 0.004, 0.006, 0.005, -0.006]</t>
  </si>
  <si>
    <t>LINESTRING (11.099707019674167 60.17320356323914, 11.099935396776996 60.17300675116861, 11.10044279627953 60.1726022844658, 11.101381829460053 60.17194054752858, 11.110359206895597 60.168530755319566, 11.110373417309043 60.16852790976762, 11.112665784895837 60.16813263519419, 11.11419006680791 60.16793724413028, 11.114219959186675 60.16793389673876, 11.119232038958916 60.16744305888717, 11.120518699744798 60.167325974106745, 11.12203384618143 60.16718062131055, 11.123097871141754 60.16706642686836, 11.125033018114955 60.16681719062276, 11.1251041094985 60.16680651612523, 11.12603019331236 60.166671521377175, 11.126066190394534 60.16666701961644, 11.128878221891217 60.166142229987614, 11.138377053133171 60.16328084024329)</t>
  </si>
  <si>
    <t>[2109245, 2109253, 2109261, 2109269, 2109277, 2109285, 2109293, 2109301, 2109309, 2109317, 2109325, 2109333, 2109341, 2109349, 2109357, 2109365, 2109373, 2109381]</t>
  </si>
  <si>
    <t>[1821044, 1821049, 1821054, 1821061, 345586, 1821071, 1821075, 1821080, 1821085, 1821090, 1821093, 345565, 1821099, 1821103, 1821106, 1821108, 1821112, 1821039]</t>
  </si>
  <si>
    <t>[1166769, 1821044, 1821049, 1821054, 1821061, 345586, 1821071, 1821075, 1821080, 1821085, 1821090, 1821093, 345565, 1821099, 1821103, 1821106, 1821108, 1821112]</t>
  </si>
  <si>
    <t>[0.229, 0.012, 0.003, 0.004, 0.004, 0.003, 0.007, 0.005, 0.004, 0.01, 0.01, 0.009, 0.0, 0.004, 0.004, 0.006, 0.005, 0.006]</t>
  </si>
  <si>
    <t>2474.0668214967945</t>
  </si>
  <si>
    <t>[0.039, -0.004, -0.004, -0.017, -0.007, 0.041, 0.008]</t>
  </si>
  <si>
    <t>LINESTRING (11.099707019674167 60.17320356323914, 11.099758660376171 60.173190800545136, 11.098255080404547 60.17531227917321, 11.095094632578908 60.17796821995591, 11.095076512327811 60.17796823377801, 11.092828738515589 60.17797248303565, 11.092810616142083 60.177972514463974, 11.090038566946408 60.177963451683645)</t>
  </si>
  <si>
    <t>[2109429, 1525354, 1525362, 1525370, 1525378, 1525386, 1525394]</t>
  </si>
  <si>
    <t>[1379200, 1379201, 1379207, 1379216, 1379225, 1379232, 1379046]</t>
  </si>
  <si>
    <t>[1166769, 1379200, 1379201, 1379207, 1379216, 1379225, 1379232]</t>
  </si>
  <si>
    <t>[0.039, 0.004, 0.004, 0.017, 0.007, 0.041, 0.008]</t>
  </si>
  <si>
    <t>987.1900951076175</t>
  </si>
  <si>
    <t>LINESTRING (8.895937085699945 58.62330085914241, 8.895937085699945 58.62330085914241, 8.896931986779817 58.61904406139649)</t>
  </si>
  <si>
    <t>[1247178, 1247191]</t>
  </si>
  <si>
    <t>[1166781, 1166789]</t>
  </si>
  <si>
    <t>0.009693811228140708</t>
  </si>
  <si>
    <t>[1166780, 1166781]</t>
  </si>
  <si>
    <t>888.5228187494629</t>
  </si>
  <si>
    <t>[0.105, 0.06, 0.012, -0.167, -0.203]</t>
  </si>
  <si>
    <t>LINESTRING (8.895937085699945 58.62330085914241, 8.89606565365733 58.62718868015234, 8.8963273611249 58.62784767782979, 8.899757466861532 58.6320425245711, 8.900323290853473 58.632597301279716, 8.900594773750795 58.632826059931354)</t>
  </si>
  <si>
    <t>[1247446, 1246668, 1246669, 1246676, 1247449]</t>
  </si>
  <si>
    <t>[1166298, 1166299, 1166300, 1166307, 1166934]</t>
  </si>
  <si>
    <t>[1166780, 1166298, 1166299, 1166300, 1166307]</t>
  </si>
  <si>
    <t>[0.105, 0.06, 0.012, 0.167, 0.203]</t>
  </si>
  <si>
    <t>710.2662348896529</t>
  </si>
  <si>
    <t>[0.027, 0.0, 0.0, -0.025, -0.12, -0.064]</t>
  </si>
  <si>
    <t>LINESTRING (8.896931986779817 58.61904406139649, 8.897125719986107 58.61842664344283, 8.89714482677866 58.61836578131319, 8.897186465562276 58.618232766226654, 8.898461000485327 58.614170717318046, 8.898523605281698 58.61397134556758, 8.89960350640463 58.610483212802905)</t>
  </si>
  <si>
    <t>[1247192, 1247193, 1247194, 1247199, 1247200, 1247201]</t>
  </si>
  <si>
    <t>[1166790, 1166791, 1166792, 1166795, 1166796, 1166797]</t>
  </si>
  <si>
    <t>[1166789, 1166790, 1166791, 1166792, 1166795, 1166796]</t>
  </si>
  <si>
    <t>[0.027, 0.0, 0.0, 0.025, 0.12, 0.064]</t>
  </si>
  <si>
    <t>967.2358976075959</t>
  </si>
  <si>
    <t>[0.067, 0.074, 0.075, 0.005, 0.057, -0.018, 0.08, -0.005, 0.043, -0.049, 0.107, 0.137, 0.0, 0.042, 0.108, -0.006, -0.144, -0.008, -0.002, 0.05]</t>
  </si>
  <si>
    <t>[0, 1, 0, 0, 1, 0, 1, 0, 1, 0, 1, 0, 0, 1, 0, 0, 1, 0, 1, 0]</t>
  </si>
  <si>
    <t>LINESTRING (8.89960350640463 58.610483212802905, 8.899651833083746 58.61030551068957, 8.899720532348532 58.610040893140834, 8.899851558425537 58.60949271506016, 8.898780483247704 58.597170097811485, 8.898673920424695 58.5969102812676, 8.903821125069332 58.58118618873661, 8.903976990041214 58.58093328456513, 8.902611566223205 58.571992709119435, 8.902389741910621 58.57175351932764, 8.895862324074326 58.56559534825923, 8.894789984172835 58.56483861396946, 8.89334619050734 58.563903959679116, 8.875504316979884 58.55655347370209, 8.8751930867791 58.556343268586595, 8.873672567500797 58.555212009266185, 8.861198486182024 58.54396524647267, 8.86018062451317 58.5435240742146, 8.849592144296258 58.538111788548974, 8.848355909780777 58.536947538941924, 8.84616193940009 58.53078948870626)</t>
  </si>
  <si>
    <t>[1247216, 1247229, 1247242, 1244744, 1244745, 1244604, 1244626, 1244635, 1244637, 1244647, 1244654, 1244660, 1244677, 1244689, 1831383, 1831391, 1831399, 1247798, 1247799, 1247807]</t>
  </si>
  <si>
    <t>[1166807, 1166814, 1164667, 1164668, 1164565, 1164566, 1164581, 1164590, 1164591, 1164599, 1164604, 1164607, 1164617, 1164625, 1607808, 1607811, 1167229, 1167230, 1167231, 1166959]</t>
  </si>
  <si>
    <t>[1166797, 1166807, 1166814, 1164667, 1164668, 1164565, 1164566, 1164581, 1164590, 1164591, 1164599, 1164604, 1164607, 1164617, 1164625, 1607808, 1607811, 1167229, 1167230, 1167231]</t>
  </si>
  <si>
    <t>[0.067, 0.074, 0.075, 0.005, 0.057, 0.018, 0.08, 0.005, 0.043, 0.049, 0.107, 0.137, 0.0, 0.042, 0.108, 0.006, 0.144, 0.008, 0.002, 0.05]</t>
  </si>
  <si>
    <t>10242.465434315805</t>
  </si>
  <si>
    <t>[-0.228, 0.079]</t>
  </si>
  <si>
    <t>LINESTRING (8.743568784461784 58.47489950753963, 8.743703152664594 58.47493076120778, 8.743781173498483 58.47498105056002)</t>
  </si>
  <si>
    <t>[2097957, 2097965]</t>
  </si>
  <si>
    <t>[1814430, 1166912]</t>
  </si>
  <si>
    <t>[1166895, 1814430]</t>
  </si>
  <si>
    <t>[0.228, 0.079]</t>
  </si>
  <si>
    <t>15.815760621255013</t>
  </si>
  <si>
    <t>[0.0, 0.116, 0.062, -0.106, -0.099]</t>
  </si>
  <si>
    <t>LINESTRING (8.8469740166291 58.52817223852654, 8.8469740166291 58.52817223852654, 8.846840112363264 58.52870574070438, 8.846413282664052 58.529902513907885, 8.846235456539794 58.530478118278076, 8.84616193940009 58.53078948870626)</t>
  </si>
  <si>
    <t>[1247459, 1246692, 1246710, 1246711, 1247491]</t>
  </si>
  <si>
    <t>[1166323, 1166324, 1166349, 1166350, 1166959]</t>
  </si>
  <si>
    <t>0.014954319248362581</t>
  </si>
  <si>
    <t>[1166936, 1166323, 1166324, 1166349, 1166350]</t>
  </si>
  <si>
    <t>[0.0, 0.116, 0.062, 0.106, 0.099]</t>
  </si>
  <si>
    <t>335.81163472550725</t>
  </si>
  <si>
    <t>[-0.021, -0.004, -0.006]</t>
  </si>
  <si>
    <t>LINESTRING (8.8469740166291 58.52817223852654, 8.846617277003338 58.52538179126884, 8.846501249339708 58.52514153931379, 8.844373805133873 58.52266718250046)</t>
  </si>
  <si>
    <t>[1831194, 1831199, 1831207]</t>
  </si>
  <si>
    <t>[1607732, 1607735, 1167069]</t>
  </si>
  <si>
    <t>[1166936, 1607732, 1607735]</t>
  </si>
  <si>
    <t>[0.021, 0.004, 0.006]</t>
  </si>
  <si>
    <t>604.6385529187746</t>
  </si>
  <si>
    <t>[0.0, -0.01, 0.087, 0.006, 0.005]</t>
  </si>
  <si>
    <t>LINESTRING (8.748024881433059 58.476574527220734, 8.748024881433059 58.476574527220734, 8.747821781807719 58.47648851111036, 8.746992990566953 58.47609672086501, 8.746374576302133 58.47573225767036, 8.745898133546815 58.47543680653798)</t>
  </si>
  <si>
    <t>[1247507, 1247520, 1247528, 2132685, 2132693]</t>
  </si>
  <si>
    <t>[1166969, 1166979, 1166988, 1834457, 1834398]</t>
  </si>
  <si>
    <t>0.02456205776657957</t>
  </si>
  <si>
    <t>[1166968, 1166969, 1166979, 1166988, 1834457]</t>
  </si>
  <si>
    <t>[0.0, 0.01, 0.087, 0.006, 0.005]</t>
  </si>
  <si>
    <t>247.25459951410846</t>
  </si>
  <si>
    <t>[0.0, 0.178, 0.172, 0.153, 0.013, -0.051, -0.043]</t>
  </si>
  <si>
    <t>LINESTRING (8.834720912158604 58.51759126702062, 8.834720912158604 58.51759126702062, 8.834833768407394 58.51763164626971, 8.835221551150793 58.517772607109336, 8.835812616989257 58.5179952596764, 8.843385796664418 58.5219345333134, 8.844036958670358 58.52240756725104, 8.844373805133873 58.52266718250046)</t>
  </si>
  <si>
    <t>[1247606, 1247619, 1246774, 1246786, 1246787, 1246793, 1247627]</t>
  </si>
  <si>
    <t>[1167056, 1166423, 1166424, 1166434, 1166435, 1166441, 1167069]</t>
  </si>
  <si>
    <t>0.01934886042999533</t>
  </si>
  <si>
    <t>[1167055, 1167056, 1166423, 1166424, 1166434, 1166435, 1166441]</t>
  </si>
  <si>
    <t>[0.0, 0.178, 0.172, 0.153, 0.013, 0.051, 0.043]</t>
  </si>
  <si>
    <t>825.3445916436618</t>
  </si>
  <si>
    <t>[-0.047, -0.016, 0.035, -0.026, -0.013]</t>
  </si>
  <si>
    <t>8227.0</t>
  </si>
  <si>
    <t>LINESTRING (8.834720912158604 58.51759126702062, 8.828423374255589 58.51542189089798, 8.826255472999772 58.51442828021062, 8.814616964314121 58.50573747602156, 8.814123125639847 58.50550256903126, 8.801599097160052 58.50195698733188)</t>
  </si>
  <si>
    <t>[1831064, 1831072, 1831080, 1831088, 1831160]</t>
  </si>
  <si>
    <t>[1607630, 1607637, 1607643, 1607647, 1607704]</t>
  </si>
  <si>
    <t>0.0028121799846229883</t>
  </si>
  <si>
    <t>[1167055, 1607630, 1607637, 1607643, 1607647]</t>
  </si>
  <si>
    <t>[0.047, 0.016, 0.035, 0.026, 0.013]</t>
  </si>
  <si>
    <t>2655.292373316979</t>
  </si>
  <si>
    <t>[-0.008, -0.015, 0.01, 0.001, 0.003, -0.002]</t>
  </si>
  <si>
    <t>LINESTRING (11.167580236141603 60.17618212964655, 11.167399417036473 60.1760325101044, 11.164395948529137 60.17314629415777, 11.161274202907094 60.169996815886556, 11.160463587521441 60.16856553479873, 11.160462322440395 60.168556598754165, 11.157837643664076 60.16756350019664)</t>
  </si>
  <si>
    <t>[1357036, 1357037, 591442, 591450, 591458, 1248503]</t>
  </si>
  <si>
    <t>[1255340, 596211, 596212, 596219, 596224, 1167955]</t>
  </si>
  <si>
    <t>[1255317, 1255340, 596211, 596212, 596219, 596224]</t>
  </si>
  <si>
    <t>[0.008, 0.015, 0.01, 0.001, 0.003, 0.002]</t>
  </si>
  <si>
    <t>1157.3039275546478</t>
  </si>
  <si>
    <t>[0.022, -0.044, 0.021, -0.022, 0.014, 0.047, -0.023, 0.031, 0.016, 0.032, 0.018]</t>
  </si>
  <si>
    <t>[0, 0, 0, 0, 1, 0, 0, 1, 0, 0, 0]</t>
  </si>
  <si>
    <t>LINESTRING (7.544835399496939 58.069920864296655, 7.546538130090445 58.07002842015551, 7.553569922142685 58.07041251057518, 7.5537052354092635 58.070416848541484, 7.565293042371125 58.070744316958006, 7.567471572003992 58.070924522288976, 7.578113041086992 58.07327681565633, 7.593421074170166 58.08038555587522, 7.595072525997108 58.08078471738699, 7.606299311642952 58.08589614922057, 7.6134531667225565 58.090768908549485, 7.613627885487912 58.09083581463208)</t>
  </si>
  <si>
    <t>[1249563, 1249813, 1249835, 1249836, 1249837, 1249844, 1249514, 1249522, 1249523, 1249712, 1249744]</t>
  </si>
  <si>
    <t>[1168947, 1169128, 1169144, 1169145, 1169146, 1168907, 1168908, 1168914, 1168915, 1169068, 1168652]</t>
  </si>
  <si>
    <t>0.002908867274062345</t>
  </si>
  <si>
    <t>[1168630, 1168947, 1169128, 1169144, 1169145, 1169146, 1168907, 1168908, 1168914, 1168915, 1169068]</t>
  </si>
  <si>
    <t>[0.022, 0.044, 0.021, 0.022, 0.014, 0.047, 0.023, 0.031, 0.016, 0.032, 0.018]</t>
  </si>
  <si>
    <t>4920.962396653894</t>
  </si>
  <si>
    <t>[-0.045, 0.004, -0.022, 0.019, 0.046, -0.023, 0.034, 0.017, 0.029, 0.005, 0.021]</t>
  </si>
  <si>
    <t>[0, 0, 0, 1, 0, 0, 1, 0, 0, 0, 0]</t>
  </si>
  <si>
    <t>LINESTRING (7.546563605860493 58.06993509962833, 7.553581029632408 58.070318407865514, 7.553715636606192 58.070322704319565, 7.565315315501615 58.070650779414656, 7.567505699415364 58.07083204062794, 7.578213032622788 58.07319882853663, 7.593494927192399 58.08029980867893, 7.595146544167121 58.080698978985225, 7.60645782498516 58.08585337873652, 7.61355759908984 58.09069259555994, 7.614208641774666 58.09093342290752, 7.614804804410348 58.09113723279924)</t>
  </si>
  <si>
    <t>[1249979, 1249980, 1249987, 1249988, 1249995, 1249865, 1249873, 1249881, 1250014, 1250023, 1250031]</t>
  </si>
  <si>
    <t>[1169271, 1169272, 1169276, 1169277, 1169172, 1169173, 1169182, 1169191, 1169305, 1169311, 1168660]</t>
  </si>
  <si>
    <t>0.00255771567387054</t>
  </si>
  <si>
    <t>[1168633, 1169271, 1169272, 1169276, 1169277, 1169172, 1169173, 1169182, 1169191, 1169305, 1169311]</t>
  </si>
  <si>
    <t>[0.045, 0.004, 0.022, 0.019, 0.046, 0.023, 0.034, 0.017, 0.029, 0.005, 0.021]</t>
  </si>
  <si>
    <t>4940.773615889833</t>
  </si>
  <si>
    <t>61.29010760309512</t>
  </si>
  <si>
    <t>[0.025, 0.023, 0.024, 0.051, 0.022]</t>
  </si>
  <si>
    <t>LINESTRING (7.53329872131412 58.06803085312713, 7.533339162636131 58.068058661743706, 7.53346728460236 58.06814050467164, 7.5335411023661125 58.06817523017104, 7.545902756058299 58.06985176956539, 7.546563605860493 58.06993509962833)</t>
  </si>
  <si>
    <t>[1436560, 1436568, 1436576, 1436584, 1249275]</t>
  </si>
  <si>
    <t>[1306071, 1306079, 1306082, 1168632, 1168633]</t>
  </si>
  <si>
    <t>0.04885226618344962</t>
  </si>
  <si>
    <t>[1169801, 1306071, 1306079, 1306082, 1168632]</t>
  </si>
  <si>
    <t>817.9211760243498</t>
  </si>
  <si>
    <t>[0.008, 0.022, -0.05]</t>
  </si>
  <si>
    <t>LINESTRING (7.613627885487912 58.09083581463208, 7.614109532269914 58.09101173244013, 7.614711794676841 58.091217241465614, 7.621606244946976 58.09321514624301)</t>
  </si>
  <si>
    <t>[1249749, 1249757, 1249765]</t>
  </si>
  <si>
    <t>[1169085, 1169088, 1169091]</t>
  </si>
  <si>
    <t>[1168652, 1169085, 1169088]</t>
  </si>
  <si>
    <t>[0.008, 0.022, 0.05]</t>
  </si>
  <si>
    <t>541.4145369963652</t>
  </si>
  <si>
    <t>[-0.037, 0.035, -0.033, -0.014]</t>
  </si>
  <si>
    <t>LINESTRING (7.621923556395246 58.093981766297134, 7.621881063931593 58.09395026409733, 7.614156798374867 58.09106576535477, 7.614078874466126 58.09103220447875, 7.613627885487912 58.09083581463208)</t>
  </si>
  <si>
    <t>[1436424, 1436432, 1249289, 1249297]</t>
  </si>
  <si>
    <t>[1305971, 1168643, 1168644, 1168652]</t>
  </si>
  <si>
    <t>0.031040641842278185</t>
  </si>
  <si>
    <t>[1169678, 1305971, 1168643, 1168644]</t>
  </si>
  <si>
    <t>[0.037, 0.035, 0.033, 0.014]</t>
  </si>
  <si>
    <t>607.5294595013056</t>
  </si>
  <si>
    <t>464.37204725020706</t>
  </si>
  <si>
    <t>[0.019, -0.041, -1.798]</t>
  </si>
  <si>
    <t>LINESTRING (7.614804804410348 58.09113723279924, 7.615418095686605 58.09129451843562, 7.623112177870457 58.09293216918644, 7.62318673156396 58.092935516499196)</t>
  </si>
  <si>
    <t>[1249303, 1436504, 1436512]</t>
  </si>
  <si>
    <t>[1168661, 1306031, 1169541]</t>
  </si>
  <si>
    <t>[1168660, 1168661, 1306031]</t>
  </si>
  <si>
    <t>[0.019, 0.041, 1.798]</t>
  </si>
  <si>
    <t>536.808901707739</t>
  </si>
  <si>
    <t>[-0.019, -0.004, -0.044, -0.042]</t>
  </si>
  <si>
    <t>LINESTRING (7.633007975021045 58.09548822427448, 7.632331586442164 58.095502822019036, 7.622695192457049 58.09416929894899, 7.622474528356048 58.09414888299329, 7.622398885343656 58.094144209825316)</t>
  </si>
  <si>
    <t>[1249304, 1436440, 1436448, 1436456]</t>
  </si>
  <si>
    <t>[1168663, 1305981, 1305990, 1169628]</t>
  </si>
  <si>
    <t>[1168662, 1168663, 1305981, 1305990]</t>
  </si>
  <si>
    <t>[0.019, 0.004, 0.044, 0.042]</t>
  </si>
  <si>
    <t>649.0735061885729</t>
  </si>
  <si>
    <t>[0.0, 0.017, 0.012]</t>
  </si>
  <si>
    <t>LINESTRING (7.621954371117948 58.093323705046366, 7.621954371117948 58.093323705046366, 7.62340485352798 58.0937876101955, 7.633007975021045 58.09548822427448)</t>
  </si>
  <si>
    <t>[1249767, 1249791, 1249801]</t>
  </si>
  <si>
    <t>[1169092, 1169113, 1168662]</t>
  </si>
  <si>
    <t>0.012310615926693629</t>
  </si>
  <si>
    <t>[1169093, 1169092, 1169113]</t>
  </si>
  <si>
    <t>729.4511157357892</t>
  </si>
  <si>
    <t>[0.0, 0.017, 0.015]</t>
  </si>
  <si>
    <t>LINESTRING (7.62204524180942 58.09324262933196, 7.62204524180942 58.09324262933196, 7.6234978318076685 58.093707197070835, 7.633748252530983 58.09539620027374)</t>
  </si>
  <si>
    <t>[1250059, 1250094, 1250095]</t>
  </si>
  <si>
    <t>[1169349, 1169386, 1168672]</t>
  </si>
  <si>
    <t>0.014815383006881141</t>
  </si>
  <si>
    <t>[1169350, 1169349, 1169386]</t>
  </si>
  <si>
    <t>767.5110101127566</t>
  </si>
  <si>
    <t>LINESTRING (7.633123573733865 58.095364224377654, 7.633123573733865 58.095364224377654, 7.633748252530983 58.09539620027374)</t>
  </si>
  <si>
    <t>[1436496, 1249311]</t>
  </si>
  <si>
    <t>[1168671, 1168672]</t>
  </si>
  <si>
    <t>[1306026, 1168671]</t>
  </si>
  <si>
    <t>527.7475848978745</t>
  </si>
  <si>
    <t>17.4358986627053</t>
  </si>
  <si>
    <t>[-0.079, -0.078]</t>
  </si>
  <si>
    <t>LINESTRING (7.622446116472337 58.09399541425551, 7.622462752705716 58.09393823485671, 7.622570902313349 58.09374529483009)</t>
  </si>
  <si>
    <t>[1249318, 1249333]</t>
  </si>
  <si>
    <t>[1168679, 1168691]</t>
  </si>
  <si>
    <t>[1168678, 1168679]</t>
  </si>
  <si>
    <t>[0.079, 0.078]</t>
  </si>
  <si>
    <t>28.91514854869787</t>
  </si>
  <si>
    <t>[-0.02, 0.06]</t>
  </si>
  <si>
    <t>LINESTRING (7.622171234539396 58.09389746704657, 7.622343234827055 58.09392495878187, 7.622446116472337 58.09399541425551)</t>
  </si>
  <si>
    <t>[1250440, 1250447]</t>
  </si>
  <si>
    <t>[1169699, 1168678]</t>
  </si>
  <si>
    <t>0.0186805436732726</t>
  </si>
  <si>
    <t>[1168736, 1169699]</t>
  </si>
  <si>
    <t>[0.02, 0.06]</t>
  </si>
  <si>
    <t>20.555101633456736</t>
  </si>
  <si>
    <t>[0.115, -0.003, -0.379]</t>
  </si>
  <si>
    <t>LINESTRING (7.622570902313349 58.09374529483009, 7.622697362348739 58.0936347370626, 7.622915308436882 58.09344431069202, 7.6230490404329805 58.0933274145316)</t>
  </si>
  <si>
    <t>[1436376, 1436384, 1436392]</t>
  </si>
  <si>
    <t>[1305940, 1305944, 1168793]</t>
  </si>
  <si>
    <t>[1168691, 1305940, 1305944]</t>
  </si>
  <si>
    <t>[0.115, 0.003, 0.379]</t>
  </si>
  <si>
    <t>54.52388229337667</t>
  </si>
  <si>
    <t>[-0.061, -0.065]</t>
  </si>
  <si>
    <t>LINESTRING (7.622171234539396 58.09389746704657, 7.622263695198476 58.093867870023175, 7.622570902313349 58.09374529483009)</t>
  </si>
  <si>
    <t>[1249373, 1249375]</t>
  </si>
  <si>
    <t>[1168737, 1168691]</t>
  </si>
  <si>
    <t>[1168736, 1168737]</t>
  </si>
  <si>
    <t>[0.061, 0.065]</t>
  </si>
  <si>
    <t>29.113993092840396</t>
  </si>
  <si>
    <t>18.047142804639293</t>
  </si>
  <si>
    <t>[-0.068, -0.064]</t>
  </si>
  <si>
    <t>LINESTRING (7.6230490404329805 58.0933274145316, 7.623339230170894 58.09320312611998, 7.623416979452482 58.093173032791746)</t>
  </si>
  <si>
    <t>[1249423, 1249431]</t>
  </si>
  <si>
    <t>[1168794, 1168805]</t>
  </si>
  <si>
    <t>[1168793, 1168794]</t>
  </si>
  <si>
    <t>[0.068, 0.064]</t>
  </si>
  <si>
    <t>27.745686810527864</t>
  </si>
  <si>
    <t>[-0.077, -0.084]</t>
  </si>
  <si>
    <t>LINESTRING (7.6230490404329805 58.0933274145316, 7.623140984387281 58.093135424219675, 7.623157175293672 58.09308038250465)</t>
  </si>
  <si>
    <t>[1249439, 1249444]</t>
  </si>
  <si>
    <t>[1168816, 1168823]</t>
  </si>
  <si>
    <t>[1168793, 1168816]</t>
  </si>
  <si>
    <t>28.319152902445843</t>
  </si>
  <si>
    <t>[0.798, -0.789]</t>
  </si>
  <si>
    <t>LINESTRING (7.623416979452482 58.093173032791746, 7.6232650839406135 58.09314859664796, 7.623157175293672 58.09308038250465)</t>
  </si>
  <si>
    <t>[1250354, 1250370]</t>
  </si>
  <si>
    <t>[1169604, 1168823]</t>
  </si>
  <si>
    <t>[1168805, 1169604]</t>
  </si>
  <si>
    <t>[0.798, 0.789]</t>
  </si>
  <si>
    <t>19.310946126256233</t>
  </si>
  <si>
    <t>0.446</t>
  </si>
  <si>
    <t>18.04832395029657</t>
  </si>
  <si>
    <t>16.788786807207103</t>
  </si>
  <si>
    <t>[-0.039, 0.027]</t>
  </si>
  <si>
    <t>LINESTRING (7.53286782570805 58.06834174936527, 7.533049696749794 58.06815456966307, 7.533102160865069 58.06811375443847)</t>
  </si>
  <si>
    <t>[1249460, 1249470]</t>
  </si>
  <si>
    <t>[1168842, 1168854]</t>
  </si>
  <si>
    <t>[1168841, 1168842]</t>
  </si>
  <si>
    <t>[0.039, 0.027]</t>
  </si>
  <si>
    <t>29.00645040422906</t>
  </si>
  <si>
    <t>[-0.038, 0.044]</t>
  </si>
  <si>
    <t>LINESTRING (7.53286782570805 58.06834174936527, 7.5328034300787206 58.06813707834335, 7.532775150063422 58.06809105291875)</t>
  </si>
  <si>
    <t>[1249852, 1249857]</t>
  </si>
  <si>
    <t>[1169156, 1169161]</t>
  </si>
  <si>
    <t>[1168841, 1169156]</t>
  </si>
  <si>
    <t>[0.038, 0.044]</t>
  </si>
  <si>
    <t>28.558092578263842</t>
  </si>
  <si>
    <t>[-0.21, -0.066, -0.091]</t>
  </si>
  <si>
    <t>LINESTRING (7.5327265282682365 58.06885517325632, 7.532764619247584 58.06871667964427, 7.532831473705119 58.0684743949547, 7.53286782570805 58.06834174936527)</t>
  </si>
  <si>
    <t>[1436400, 1436408, 1436416]</t>
  </si>
  <si>
    <t>[1305952, 1305958, 1168841]</t>
  </si>
  <si>
    <t>[1168968, 1305952, 1305958]</t>
  </si>
  <si>
    <t>[0.21, 0.066, 0.091]</t>
  </si>
  <si>
    <t>57.90352614929703</t>
  </si>
  <si>
    <t>[0.021, -0.01]</t>
  </si>
  <si>
    <t>LINESTRING (7.533102160865069 58.06811375443847, 7.532928398915197 58.06812208508971, 7.532775150063422 58.06809105291875)</t>
  </si>
  <si>
    <t>[1250589, 1250608]</t>
  </si>
  <si>
    <t>[1169822, 1169161]</t>
  </si>
  <si>
    <t>0.0059768534981444014</t>
  </si>
  <si>
    <t>[1168854, 1169822]</t>
  </si>
  <si>
    <t>20.019577186467234</t>
  </si>
  <si>
    <t>15.079681542526483</t>
  </si>
  <si>
    <t>[-0.088, -0.084]</t>
  </si>
  <si>
    <t>LINESTRING (7.532501595434581 58.06909102492454, 7.532552905244262 58.06904437160241, 7.5327265282682365 58.06885517325632)</t>
  </si>
  <si>
    <t>[1249577, 1249588]</t>
  </si>
  <si>
    <t>[1168958, 1168968]</t>
  </si>
  <si>
    <t>[1168957, 1168958]</t>
  </si>
  <si>
    <t>[0.088, 0.084]</t>
  </si>
  <si>
    <t>29.504400491738025</t>
  </si>
  <si>
    <t>[-0.329, 0.386]</t>
  </si>
  <si>
    <t>LINESTRING (7.532501595434581 58.06909102492454, 7.532665297859647 58.06907795438495, 7.5328266898925635 58.069121277422624)</t>
  </si>
  <si>
    <t>[1436632, 1436640]</t>
  </si>
  <si>
    <t>[1306109, 1169404]</t>
  </si>
  <si>
    <t>0.04435809556366162</t>
  </si>
  <si>
    <t>[1168957, 1306109]</t>
  </si>
  <si>
    <t>[0.329, 0.386]</t>
  </si>
  <si>
    <t>20.488626317148835</t>
  </si>
  <si>
    <t>[0.02, -0.057, -0.067, -0.067, 0.269]</t>
  </si>
  <si>
    <t>LINESTRING (7.532903423061004 58.0691999114357, 7.532543077315293 58.06937080067224, 7.532414271390757 58.06932786545744, 7.532345866228851 58.069255762721724, 7.5323658706594685 58.06916452846878, 7.532501595434581 58.06909102492454)</t>
  </si>
  <si>
    <t>[1436592, 1436600, 1436608, 1436616, 1436624]</t>
  </si>
  <si>
    <t>[1169060, 1306095, 1169463, 1306100, 1168957]</t>
  </si>
  <si>
    <t>0.026650203986150995</t>
  </si>
  <si>
    <t>[1306066, 1169060, 1306095, 1169463, 1306100]</t>
  </si>
  <si>
    <t>[0.02, 0.057, 0.067, 0.067, 0.269]</t>
  </si>
  <si>
    <t>73.59412342434075</t>
  </si>
  <si>
    <t>[-0.122, -0.11]</t>
  </si>
  <si>
    <t>LINESTRING (7.5328266898925635 58.069121277422624, 7.532792510837187 58.06906363438094, 7.5327265282682365 58.06885517325632)</t>
  </si>
  <si>
    <t>[1250116, 1250129]</t>
  </si>
  <si>
    <t>[1169405, 1168968]</t>
  </si>
  <si>
    <t>[1169404, 1169405]</t>
  </si>
  <si>
    <t>[0.122, 0.11]</t>
  </si>
  <si>
    <t>30.331895263411838</t>
  </si>
  <si>
    <t>[-0.028, 0.09]</t>
  </si>
  <si>
    <t>LINESTRING (7.532775150063422 58.06809105291875, 7.532611742834637 58.06790497860747, 7.532862009171444 58.06773968248956)</t>
  </si>
  <si>
    <t>[1250478, 1250486]</t>
  </si>
  <si>
    <t>[1169730, 1169265]</t>
  </si>
  <si>
    <t>0.03202924256952017</t>
  </si>
  <si>
    <t>[1169161, 1169730]</t>
  </si>
  <si>
    <t>[0.028, 0.09]</t>
  </si>
  <si>
    <t>48.41858442532232</t>
  </si>
  <si>
    <t>[-0.132, 0.022, 0.018, 0.009]</t>
  </si>
  <si>
    <t>LINESTRING (7.533146817294275 58.067749437858765, 7.533277632285041 58.067806285298985, 7.5333431238821 58.06787767486512, 7.533342186891363 58.067977786711474, 7.53329872131412 58.06803085312713)</t>
  </si>
  <si>
    <t>[1250527, 1250535, 1250551, 1250562]</t>
  </si>
  <si>
    <t>[1168944, 1169777, 1169054, 1169801]</t>
  </si>
  <si>
    <t>[1169218, 1168944, 1169777, 1169054]</t>
  </si>
  <si>
    <t>[0.132, 0.022, 0.018, 0.009]</t>
  </si>
  <si>
    <t>36.49163592270788</t>
  </si>
  <si>
    <t>[-0.253, 0.205]</t>
  </si>
  <si>
    <t>LINESTRING (7.532862009171444 58.06773968248956, 7.533006190619948 58.06772960840024, 7.533146817294275 58.067749437858765)</t>
  </si>
  <si>
    <t>[1250494, 1250509]</t>
  </si>
  <si>
    <t>[1169746, 1169218]</t>
  </si>
  <si>
    <t>[1169265, 1169746]</t>
  </si>
  <si>
    <t>[0.253, 0.205]</t>
  </si>
  <si>
    <t>17.20607948238697</t>
  </si>
  <si>
    <t>9.87921049533104</t>
  </si>
  <si>
    <t>[0.0, 0.012, 0.005]</t>
  </si>
  <si>
    <t>LINESTRING (5.382289223593078 59.423453581008815, 5.382289223593078 59.423453581008815, 5.382132017867524 59.423350720677924, 5.381932420039439 59.42317318426076)</t>
  </si>
  <si>
    <t>[1250258, 1250263, 1250271]</t>
  </si>
  <si>
    <t>[1169513, 1169515, 1169472]</t>
  </si>
  <si>
    <t>0.001500521899115361</t>
  </si>
  <si>
    <t>[1169512, 1169513, 1169515]</t>
  </si>
  <si>
    <t>192.7267153178432</t>
  </si>
  <si>
    <t>[-0.022, -0.02, 0.016, 0.849]</t>
  </si>
  <si>
    <t>LINESTRING (7.62318673156396 58.092935516499196, 7.623477920006018 58.09287448213115, 7.623624671706433 58.092917135794046, 7.623699076557004 58.09299174778944, 7.623670547025358 58.093093941857255)</t>
  </si>
  <si>
    <t>[1250296, 1250311, 1250325, 1250333]</t>
  </si>
  <si>
    <t>[1168783, 1169555, 1168772, 1169582]</t>
  </si>
  <si>
    <t>0.1880414276388583</t>
  </si>
  <si>
    <t>[1169541, 1168783, 1169555, 1168772]</t>
  </si>
  <si>
    <t>[0.022, 0.02, 0.016, 0.849]</t>
  </si>
  <si>
    <t>50.32716515774071</t>
  </si>
  <si>
    <t>[0.046, 0.043, 0.03]</t>
  </si>
  <si>
    <t>LINESTRING (7.623670547025358 58.093093941857255, 7.623718578377384 58.09312008623144, 7.623871157547445 58.093198652401774, 7.625475005823411 58.09390449855588)</t>
  </si>
  <si>
    <t>[1436464, 1436472, 1436480]</t>
  </si>
  <si>
    <t>[1306004, 1306008, 1306015]</t>
  </si>
  <si>
    <t>0.031634377343649815</t>
  </si>
  <si>
    <t>[1169582, 1306004, 1306008]</t>
  </si>
  <si>
    <t>139.87915687827063</t>
  </si>
  <si>
    <t>[-0.024, -0.045, -0.039, -0.021]</t>
  </si>
  <si>
    <t>LINESTRING (7.622398885343656 58.094144209825316, 7.622176202186012 58.0941991326144, 7.622010032719548 58.09416962713565, 7.621908782530841 58.09409557905972, 7.621923556395246 58.093981766297134)</t>
  </si>
  <si>
    <t>[1250378, 1250393, 1250399, 1250423]</t>
  </si>
  <si>
    <t>[1168697, 1169645, 1168718, 1169678]</t>
  </si>
  <si>
    <t>[1169628, 1168697, 1169645, 1168718]</t>
  </si>
  <si>
    <t>[0.024, 0.045, 0.039, 0.021]</t>
  </si>
  <si>
    <t>48.420602068514114</t>
  </si>
  <si>
    <t>[0.076, -0.051, -0.052, -0.064]</t>
  </si>
  <si>
    <t>LINESTRING (5.59287820173038 59.13808095501475, 5.591477614162879 59.137641085423056, 5.591204240708653 59.137557089628864, 5.590826690101469 59.13743928319397, 5.5906732337230505 59.137392741451)</t>
  </si>
  <si>
    <t>[2103164, 2103165, 2103171, 2103177]</t>
  </si>
  <si>
    <t>[1238213, 1817666, 1817671, 1817674]</t>
  </si>
  <si>
    <t>0.028735195656506035</t>
  </si>
  <si>
    <t>[1170291, 1238213, 1817666, 1817671]</t>
  </si>
  <si>
    <t>[0.076, 0.051, 0.052, 0.064]</t>
  </si>
  <si>
    <t>148.14811493907908</t>
  </si>
  <si>
    <t>[0.037, 0.079, 0.075, 0.032]</t>
  </si>
  <si>
    <t>LINESTRING (10.856264636066568 63.50641606704273, 10.856303696550697 63.50651850223461, 10.856253140255617 63.50657151011479, 10.856137048032648 63.50661713660551, 10.855902465248771 63.50662787000939)</t>
  </si>
  <si>
    <t>[1251165, 1251173, 1251181, 1251189]</t>
  </si>
  <si>
    <t>[1170384, 1170390, 1170395, 1170401]</t>
  </si>
  <si>
    <t>0.05027543180645457</t>
  </si>
  <si>
    <t>[1170383, 1170384, 1170390, 1170395]</t>
  </si>
  <si>
    <t>37.861903634369874</t>
  </si>
  <si>
    <t>[-0.02, -0.01]</t>
  </si>
  <si>
    <t>LINESTRING (10.856023707130182 63.50634715572657, 10.856174162227802 63.50637254747102, 10.856264636066568 63.50641606704273)</t>
  </si>
  <si>
    <t>[1251230, 1251238]</t>
  </si>
  <si>
    <t>[1170433, 1170383]</t>
  </si>
  <si>
    <t>[1170429, 1170433]</t>
  </si>
  <si>
    <t>[0.02, 0.01]</t>
  </si>
  <si>
    <t>14.630516845723374</t>
  </si>
  <si>
    <t>[-0.013, -0.047]</t>
  </si>
  <si>
    <t>LINESTRING (10.855902465248771 63.50662787000939, 10.855806970633477 63.506607845347375, 10.855713246261177 63.506563152667454)</t>
  </si>
  <si>
    <t>[1251197, 1251205]</t>
  </si>
  <si>
    <t>[1170406, 1170414]</t>
  </si>
  <si>
    <t>[1170401, 1170406]</t>
  </si>
  <si>
    <t>[0.013, 0.047]</t>
  </si>
  <si>
    <t>12.080527861944622</t>
  </si>
  <si>
    <t>[-0.049, -0.024]</t>
  </si>
  <si>
    <t>LINESTRING (10.855713246261177 63.506563152667454, 10.855725294182703 63.50640808512051, 10.856023707130182 63.50634715572657)</t>
  </si>
  <si>
    <t>[1251213, 1251222]</t>
  </si>
  <si>
    <t>[1170422, 1170429]</t>
  </si>
  <si>
    <t>[1170414, 1170422]</t>
  </si>
  <si>
    <t>[0.049, 0.024]</t>
  </si>
  <si>
    <t>34.973178622317945</t>
  </si>
  <si>
    <t>58.37597494003542</t>
  </si>
  <si>
    <t>LINESTRING (17.524715137069357 68.48519679738695, 17.524578964216573 68.48522101644346, 17.52440649901524 68.4852246004082)</t>
  </si>
  <si>
    <t>[1251330, 1251338]</t>
  </si>
  <si>
    <t>[1170505, 1170463]</t>
  </si>
  <si>
    <t>[1170456, 1170505]</t>
  </si>
  <si>
    <t>13.264667104101715</t>
  </si>
  <si>
    <t>13.779812668468816</t>
  </si>
  <si>
    <t>57.71547386356191</t>
  </si>
  <si>
    <t>36.087868915944625</t>
  </si>
  <si>
    <t>60.54189762368691</t>
  </si>
  <si>
    <t>60.73606107035184</t>
  </si>
  <si>
    <t>[0.021, 0.037]</t>
  </si>
  <si>
    <t>LINESTRING (17.524196993114316 68.48497106483279, 17.52435482427471 68.48493718581973, 17.52449688350711 68.48493064912816)</t>
  </si>
  <si>
    <t>[1251354, 1251362]</t>
  </si>
  <si>
    <t>[1170516, 1170478]</t>
  </si>
  <si>
    <t>0.02802666049335188</t>
  </si>
  <si>
    <t>[1170475, 1170516]</t>
  </si>
  <si>
    <t>13.344650330516863</t>
  </si>
  <si>
    <t>14.186768871132696</t>
  </si>
  <si>
    <t>[0.047, 0.04]</t>
  </si>
  <si>
    <t>LINESTRING (17.524796529034262 68.48498869415977, 17.52486482456455 68.48503972171078, 17.52487697884428 68.48509159466232)</t>
  </si>
  <si>
    <t>[1251306, 1251314]</t>
  </si>
  <si>
    <t>[1170490, 1170496]</t>
  </si>
  <si>
    <t>0.04365388711367455</t>
  </si>
  <si>
    <t>[1170484, 1170490]</t>
  </si>
  <si>
    <t>12.145666930485572</t>
  </si>
  <si>
    <t>[-0.04, -0.042]</t>
  </si>
  <si>
    <t>LINESTRING (17.525500083838626 68.4849788163569, 17.52488655842023 68.48498566008978, 17.524796529034262 68.48498869415977)</t>
  </si>
  <si>
    <t>[2076894, 2076902]</t>
  </si>
  <si>
    <t>[1801664, 1170484]</t>
  </si>
  <si>
    <t>[1801659, 1801664]</t>
  </si>
  <si>
    <t>[0.04, 0.042]</t>
  </si>
  <si>
    <t>28.826146334079223</t>
  </si>
  <si>
    <t>[-0.021, -0.031]</t>
  </si>
  <si>
    <t>LINESTRING (17.525500083838626 68.4849788163569, 17.524969722721867 68.48507652884982, 17.52487697884428 68.48509159466232)</t>
  </si>
  <si>
    <t>[2076910, 2076918]</t>
  </si>
  <si>
    <t>[1801672, 1170496]</t>
  </si>
  <si>
    <t>[1801659, 1801672]</t>
  </si>
  <si>
    <t>[0.021, 0.031]</t>
  </si>
  <si>
    <t>28.442009133763474</t>
  </si>
  <si>
    <t>9.262790184031378</t>
  </si>
  <si>
    <t>[0.046, 0.033, 0.016, -0.005, -0.028, -0.039, -0.04]</t>
  </si>
  <si>
    <t>LINESTRING (10.99360203512375 60.85479603940926, 10.993614714672454 60.85489773130339, 10.993551008730943 60.85494811424196, 10.993469775634987 60.85498366258688, 10.993246224729493 60.855001353540764, 10.993140374078108 60.85497985576634, 10.993056632906525 60.854940768703294, 10.993050910455985 60.854767456883884)</t>
  </si>
  <si>
    <t>[1256123, 1256124, 1256131, 1256139, 1256152, 1256102, 1256106]</t>
  </si>
  <si>
    <t>[356120, 1174413, 356235, 1174425, 1174399, 1174400, 1174216]</t>
  </si>
  <si>
    <t>[1174214, 356120, 1174413, 356235, 1174425, 1174399, 1174400]</t>
  </si>
  <si>
    <t>[0.046, 0.033, 0.016, 0.005, 0.028, 0.039, 0.04]</t>
  </si>
  <si>
    <t>69.17153596699995</t>
  </si>
  <si>
    <t>[-0.041, -0.014, 0.005, 0.03, 0.043]</t>
  </si>
  <si>
    <t>LINESTRING (10.99348223394253 60.853522044682116, 10.993626861475223 60.8533915154665, 10.993837526365422 60.853369214467264, 10.99392912213521 60.85338237555152, 10.994021919401517 60.85341534968461, 10.994096229212007 60.85356050254033)</t>
  </si>
  <si>
    <t>[1255994, 1256014, 1256029, 1256038, 1256050]</t>
  </si>
  <si>
    <t>[1174303, 1174326, 1174343, 355703, 1174245]</t>
  </si>
  <si>
    <t>0.001520231215823553</t>
  </si>
  <si>
    <t>[1174239, 1174303, 1174326, 1174343, 355703]</t>
  </si>
  <si>
    <t>[0.041, 0.014, 0.005, 0.03, 0.043]</t>
  </si>
  <si>
    <t>57.65514118985402</t>
  </si>
  <si>
    <t>[0.011, 0.013, 0.006, -0.006, -0.017, -0.015]</t>
  </si>
  <si>
    <t>LINESTRING (10.926330619176529 60.880634152270815, 10.926545218686414 60.88081263937678, 10.926415620165798 60.88093492960571, 10.926164388680887 60.88097693594421, 10.925960195071983 60.880942334807195, 10.925839015105426 60.88086718876453, 10.925834979447862 60.8807355420087)</t>
  </si>
  <si>
    <t>[1256672, 1256673, 1256681, 1256695, 1256703, 1256706]</t>
  </si>
  <si>
    <t>[1174569, 359686, 1174797, 359672, 1174479, 1174617]</t>
  </si>
  <si>
    <t>0.0008879492686066969</t>
  </si>
  <si>
    <t>[1174604, 1174569, 359686, 1174797, 359672, 1174479]</t>
  </si>
  <si>
    <t>[0.011, 0.013, 0.006, 0.006, 0.017, 0.015]</t>
  </si>
  <si>
    <t>91.86328873919075</t>
  </si>
  <si>
    <t>[-0.003, 0.017, 0.02, 0.017]</t>
  </si>
  <si>
    <t>LINESTRING (10.925010186917921 60.87975692277197, 10.925216773784333 60.87950142630845, 10.925330195186655 60.879511609363966, 10.9254180634695 60.879535581103816, 10.925517793318932 60.87962122469545)</t>
  </si>
  <si>
    <t>[1256534, 1256549, 1256571, 1256579]</t>
  </si>
  <si>
    <t>[356322, 1174693, 356338, 1174636]</t>
  </si>
  <si>
    <t>0.004656829729256578</t>
  </si>
  <si>
    <t>[1174631, 356322, 1174693, 356338]</t>
  </si>
  <si>
    <t>[0.003, 0.017, 0.02, 0.017]</t>
  </si>
  <si>
    <t>61.46381397228775</t>
  </si>
  <si>
    <t>[-0.187, -0.011, -0.014, -0.009, 0.019, -0.008, -0.006]</t>
  </si>
  <si>
    <t>LINESTRING (10.256856022093242 59.76606463426976, 10.256877847219352 59.76612726272696, 10.25690454298751 59.76620418014256, 10.257048973912864 59.766652504501316, 10.257210799626616 59.767043459007944, 10.258328941150012 59.76798014012928, 10.2599856712367 59.76901501210473, 10.260136409892608 59.76914708712924)</t>
  </si>
  <si>
    <t>[1634850, 1634852, 1634880, 1634885, 1634886, 1257918, 1257913]</t>
  </si>
  <si>
    <t>[1461642, 1461643, 1461666, 1461673, 1175798, 1175794, 1175795]</t>
  </si>
  <si>
    <t>[1262925, 1461642, 1461643, 1461666, 1461673, 1175798, 1175794]</t>
  </si>
  <si>
    <t>[0.187, 0.011, 0.014, 0.009, 0.019, 0.008, 0.006]</t>
  </si>
  <si>
    <t>398.8450058875001</t>
  </si>
  <si>
    <t>[-0.024, -0.016, -0.0, 0.007]</t>
  </si>
  <si>
    <t>LINESTRING (5.277239860028919 59.354505350109925, 5.27731975559362 59.35457828551048, 5.277310991484667 59.35464545169192, 5.277239623830925 59.354702479540656, 5.277186177558788 59.354721969504936)</t>
  </si>
  <si>
    <t>[1259169, 1259177, 1259178, 1259179]</t>
  </si>
  <si>
    <t>[1176908, 1176915, 1176916, 1176917]</t>
  </si>
  <si>
    <t>[1176907, 1176908, 1176915, 1176916]</t>
  </si>
  <si>
    <t>[0.024, 0.016, 0.0, 0.007]</t>
  </si>
  <si>
    <t>28.17745579112304</t>
  </si>
  <si>
    <t>[-0.018, -0.027]</t>
  </si>
  <si>
    <t>LINESTRING (5.276962313907422 59.35447903225642, 5.277103331603609 59.354470122374416, 5.277239860028919 59.354505350109925)</t>
  </si>
  <si>
    <t>[1259231, 1259243]</t>
  </si>
  <si>
    <t>[1176962, 1176907]</t>
  </si>
  <si>
    <t>[1176953, 1176962]</t>
  </si>
  <si>
    <t>[0.018, 0.027]</t>
  </si>
  <si>
    <t>16.840087756931688</t>
  </si>
  <si>
    <t>[0.021, 0.027]</t>
  </si>
  <si>
    <t>LINESTRING (5.277186177558788 59.354721969504936, 5.277008050335249 59.354734696932326, 5.2768618273569095 59.354692128461444)</t>
  </si>
  <si>
    <t>[1259187, 1259188]</t>
  </si>
  <si>
    <t>[1176925, 1176926]</t>
  </si>
  <si>
    <t>0.023875809907456323</t>
  </si>
  <si>
    <t>[1176917, 1176925]</t>
  </si>
  <si>
    <t>20.0424581672672</t>
  </si>
  <si>
    <t>[0.025, 0.016, 0.009, -0.006]</t>
  </si>
  <si>
    <t>LINESTRING (5.2768618273569095 59.354692128461444, 5.276824169133393 59.35466306771934, 5.276795765862444 59.354595816773326, 5.2768352213133145 59.354532769570575, 5.276962313907422 59.35447903225642)</t>
  </si>
  <si>
    <t>[1259192, 1259213, 1259221, 1259222]</t>
  </si>
  <si>
    <t>[1176930, 1176947, 1176952, 1176953]</t>
  </si>
  <si>
    <t>0.00811556511526687</t>
  </si>
  <si>
    <t>[1176926, 1176930, 1176947, 1176952]</t>
  </si>
  <si>
    <t>[0.025, 0.016, 0.009, 0.006]</t>
  </si>
  <si>
    <t>28.399981317413033</t>
  </si>
  <si>
    <t>[0.029, 0.014, -0.005, -0.017]</t>
  </si>
  <si>
    <t>LINESTRING (5.305540015513598 59.3804719593555, 5.305588604246798 59.380496475615466, 5.305648874292541 59.38059172632842, 5.3056058493848814 59.380660220161595, 5.305575280909056 59.3806808696517)</t>
  </si>
  <si>
    <t>[1259343, 1259344, 1259352, 1259353]</t>
  </si>
  <si>
    <t>[1177042, 1177043, 1177049, 1177050]</t>
  </si>
  <si>
    <t>0.006986441507354206</t>
  </si>
  <si>
    <t>[1177041, 1177042, 1177043, 1177049]</t>
  </si>
  <si>
    <t>[0.029, 0.014, 0.005, 0.017]</t>
  </si>
  <si>
    <t>26.227956441576435</t>
  </si>
  <si>
    <t>[0.028, 0.033]</t>
  </si>
  <si>
    <t>LINESTRING (5.305143281918701 59.3804996503552, 5.3053151293851615 59.38044460916167, 5.305540015513598 59.3804719593555)</t>
  </si>
  <si>
    <t>[1259418, 1259428]</t>
  </si>
  <si>
    <t>[1177105, 1177041]</t>
  </si>
  <si>
    <t>0.030672530472719364</t>
  </si>
  <si>
    <t>[1177085, 1177105]</t>
  </si>
  <si>
    <t>25.3022751776201</t>
  </si>
  <si>
    <t>[-0.029, -0.034]</t>
  </si>
  <si>
    <t>LINESTRING (5.305575280909056 59.3806808696517, 5.305409251843855 59.380725803379285, 5.305201822796094 59.3806993736973)</t>
  </si>
  <si>
    <t>[1259354, 1259389]</t>
  </si>
  <si>
    <t>[1177051, 1177077]</t>
  </si>
  <si>
    <t>[1177050, 1177051]</t>
  </si>
  <si>
    <t>[0.029, 0.034]</t>
  </si>
  <si>
    <t>23.156808188351505</t>
  </si>
  <si>
    <t>[0.175, 0.002, -0.004, -0.005, -0.004, -0.006, -0.007, -0.003, 0.002, 0.004]</t>
  </si>
  <si>
    <t>LINESTRING (5.305575280909056 59.3806808696517, 5.305585282649325 59.38075011263908, 5.305561445671132 59.381281870001715, 5.305532802376779 59.381971160266815, 5.305529095643477 59.382009858183295, 5.305527214118937 59.38202807463657, 5.305522266671541 59.382057545912495, 5.304847246307167 59.38372173804259, 5.3046073201411925 59.38412935690054, 5.304481147865135 59.38449787844474, 5.304494956249273 59.38460679922601)</t>
  </si>
  <si>
    <t>[1370640, 1370648, 1370656, 1370664, 1370672, 1370680, 1370688, 1343141, 1343143, 1343147]</t>
  </si>
  <si>
    <t>[1263797, 1263803, 1263808, 1263814, 1263820, 1263825, 1245551, 1245552, 1245553, 1245557]</t>
  </si>
  <si>
    <t>[1177050, 1263797, 1263803, 1263808, 1263814, 1263820, 1263825, 1245551, 1245552, 1245553]</t>
  </si>
  <si>
    <t>[0.175, 0.002, 0.004, 0.005, 0.004, 0.006, 0.007, 0.003, 0.002, 0.004]</t>
  </si>
  <si>
    <t>446.10881219790053</t>
  </si>
  <si>
    <t>24.716518187183944</t>
  </si>
  <si>
    <t>[0.224, 0.004, -0.004, -0.004, -0.007, -0.004, 0.0, 0.0]</t>
  </si>
  <si>
    <t>LINESTRING (5.305201822796094 59.3806993736973, 5.305257979102234 59.38077057779202, 5.305416070417371 59.3812881473087, 5.305421123970455 59.38199027448196, 5.305417401253545 59.382021646254145, 5.304735761373862 59.38370264105313, 5.304508848899273 59.38406989966926, 5.304209122123568 59.384466891963505, 5.304146635736149 59.38453301249124)</t>
  </si>
  <si>
    <t>[2024068, 2024069, 2024070, 2024071, 2024076, 1343149, 1343151, 1343153]</t>
  </si>
  <si>
    <t>[1767616, 1767617, 1767618, 1767619, 1245558, 1245559, 1245561, 1245563]</t>
  </si>
  <si>
    <t>0.0007014324118931868</t>
  </si>
  <si>
    <t>[1177077, 1767616, 1767617, 1767618, 1767619, 1245558, 1245559, 1245561]</t>
  </si>
  <si>
    <t>[0.224, 0.004, 0.004, 0.004, 0.007, 0.004, 0.0, 0.0]</t>
  </si>
  <si>
    <t>440.7823891224782</t>
  </si>
  <si>
    <t>[0.01, 0.009]</t>
  </si>
  <si>
    <t>LINESTRING (5.295154170871609 59.39716297876318, 5.295297566628998 59.39716381369255, 5.295443230217027 59.3972274436775)</t>
  </si>
  <si>
    <t>[1259579, 1259580]</t>
  </si>
  <si>
    <t>[1177240, 1177168]</t>
  </si>
  <si>
    <t>0.009422581637186896</t>
  </si>
  <si>
    <t>[1177213, 1177240]</t>
  </si>
  <si>
    <t>19.343200256153274</t>
  </si>
  <si>
    <t>[0.0, 0.007, 0.0, -0.007, -0.004, -0.003, -0.002, -0.033]</t>
  </si>
  <si>
    <t>LINESTRING (5.298703953231281 59.39197640668225, 5.298062973338138 59.39277700236532, 5.297881192436287 59.393015349982825, 5.296258337133748 59.395703879518265, 5.2955844497068405 59.39672711522551, 5.295441078679507 59.39706527112849, 5.2954371404163485 59.39712757334131, 5.295439150548848 59.397153416301784, 5.295443230217027 59.3972274436775)</t>
  </si>
  <si>
    <t>[1370800, 1370808, 1370816, 1370824, 1370832, 1370840, 1370848, 1370856]</t>
  </si>
  <si>
    <t>[1263915, 1263922, 1263926, 1263932, 1263938, 1263944, 1263949, 1177168]</t>
  </si>
  <si>
    <t>[1263909, 1263915, 1263922, 1263926, 1263932, 1263938, 1263944, 1263949]</t>
  </si>
  <si>
    <t>[0.0, 0.007, 0.0, 0.007, 0.004, 0.003, 0.002, 0.033]</t>
  </si>
  <si>
    <t>617.2871079321905</t>
  </si>
  <si>
    <t>[-0.005, -0.008, -0.009, -0.008, -0.005, 0.002, 0.005]</t>
  </si>
  <si>
    <t>LINESTRING (5.295408072563812 59.39736706495291, 5.295257694913376 59.39740866184843, 5.29513760103452 59.397401554744675, 5.295000197020324 59.397337323616526, 5.294979191319764 59.39730203320382, 5.294983897521933 59.39725157205985, 5.295066893577552 59.39718581771272, 5.295154170871609 59.39716297876318)</t>
  </si>
  <si>
    <t>[1259518, 1259524, 1259532, 1259540, 1259549, 1259550, 1259555]</t>
  </si>
  <si>
    <t>[1177180, 1177184, 1177192, 1177198, 1177207, 1177208, 1177213]</t>
  </si>
  <si>
    <t>[1177175, 1177180, 1177184, 1177192, 1177198, 1177207, 1177208]</t>
  </si>
  <si>
    <t>[0.005, 0.008, 0.009, 0.008, 0.005, 0.002, 0.005]</t>
  </si>
  <si>
    <t>51.58841059183917</t>
  </si>
  <si>
    <t>[0.001, 0.007, 0.001, -0.007, -0.005, -0.005, -0.006, -0.055]</t>
  </si>
  <si>
    <t>LINESTRING (5.29857356377392 59.391908255859605, 5.297941478335983 59.39275397525836, 5.297771931055652 59.39300055693713, 5.2961599294344595 59.39569599537869, 5.295482611398049 59.39672060097937, 5.295264697938695 59.39702924148526, 5.295231570447584 59.397073852268406, 5.295202212626236 59.3971046655814, 5.295154170871609 59.39716297876318)</t>
  </si>
  <si>
    <t>[2024084, 2024087, 2024088, 2024089, 2024097, 2024098, 2024099, 2024100]</t>
  </si>
  <si>
    <t>[1767628, 1767632, 1767633, 1767634, 1767641, 1767642, 1767643, 1177213]</t>
  </si>
  <si>
    <t>[1767627, 1767628, 1767632, 1767633, 1767634, 1767641, 1767642, 1767643]</t>
  </si>
  <si>
    <t>[0.001, 0.007, 0.001, 0.007, 0.005, 0.005, 0.006, 0.055]</t>
  </si>
  <si>
    <t>619.1993040230072</t>
  </si>
  <si>
    <t>[0.0, 0.004, -0.071]</t>
  </si>
  <si>
    <t>LINESTRING (11.684159168158748 59.47902605993452, 11.684159168158748 59.47902605993452, 11.678253886543782 59.47858529190913, 11.678029413450771 59.478563135184636)</t>
  </si>
  <si>
    <t>[1267185, 1267192, 1338367]</t>
  </si>
  <si>
    <t>[1183681, 1183687, 1241691]</t>
  </si>
  <si>
    <t>0.001405069035430078</t>
  </si>
  <si>
    <t>[1183680, 1183681, 1183687]</t>
  </si>
  <si>
    <t>[0.0, 0.004, 0.071]</t>
  </si>
  <si>
    <t>379.64885293688286</t>
  </si>
  <si>
    <t>[0.012, 0.002, -0.626, 0.03, 0.027]</t>
  </si>
  <si>
    <t>LINESTRING (5.334296866307908 60.47593954990684, 5.334081250419967 60.47583901141594, 5.333288014537905 60.47509253468881, 5.3331971934959 60.475005023075035, 5.3313339012786685 60.47440393560584, 5.331287663594492 60.47438991447225)</t>
  </si>
  <si>
    <t>[1267231, 1267225, 2043407, 2043415, 2043423]</t>
  </si>
  <si>
    <t>[1183723, 1183724, 1780806, 1780813, 1780818]</t>
  </si>
  <si>
    <t>[1183730, 1183723, 1183724, 1780806, 1780813]</t>
  </si>
  <si>
    <t>[0.012, 0.002, 0.626, 0.03, 0.027]</t>
  </si>
  <si>
    <t>249.79833880890652</t>
  </si>
  <si>
    <t>[-0.343, -0.005, -0.015, 0.013, -0.01]</t>
  </si>
  <si>
    <t>LINESTRING (5.334296866307908 60.47593954990684, 5.334514053552855 60.47609900777563, 5.33808409852956 60.47747593789967, 5.338101280962934 60.477479627519415, 5.346586891027229 60.47724493411912, 5.348291415310068 60.4769136721662)</t>
  </si>
  <si>
    <t>[2020975, 2020983, 2020991, 2020999, 2021007]</t>
  </si>
  <si>
    <t>[1765508, 1765516, 1765522, 1765527, 1590005]</t>
  </si>
  <si>
    <t>[1183730, 1765508, 1765516, 1765522, 1765527]</t>
  </si>
  <si>
    <t>[0.343, 0.005, 0.015, 0.013, 0.01]</t>
  </si>
  <si>
    <t>855.8243252002874</t>
  </si>
  <si>
    <t>[-0.004, -0.002, -0.004, -0.009, -0.007, -0.011, -0.001, 35.69]</t>
  </si>
  <si>
    <t>4656.0</t>
  </si>
  <si>
    <t>LINESTRING (5.330603220127813 60.47219670799811, 5.330824519738224 60.47237467459673, 5.330833310478924 60.472382500110605, 5.33118154688556 60.47270487807298, 5.332759130424253 60.4743238473592, 5.33349794487979 60.475222237734584, 5.333730321038341 60.47546156784076, 5.334294783038315 60.47593800450214, 5.334296866307908 60.47593954990684)</t>
  </si>
  <si>
    <t>[2020919, 2020927, 2020935, 2043109, 2020943, 2020951, 2020959, 2020967]</t>
  </si>
  <si>
    <t>[1765460, 1765466, 1765472, 1765477, 1765478, 1765486, 1765492, 1183730]</t>
  </si>
  <si>
    <t>0.008985380834441298</t>
  </si>
  <si>
    <t>[1765453, 1765460, 1765466, 1765472, 1765477, 1765478, 1765486, 1765492]</t>
  </si>
  <si>
    <t>[0.004, 0.002, 0.004, 0.009, 0.007, 0.011, 0.001, 35.69]</t>
  </si>
  <si>
    <t>466.23573788242476</t>
  </si>
  <si>
    <t>[-10.884, 0.05, 0.074, -0.02]</t>
  </si>
  <si>
    <t>LINESTRING (5.334742631599515 60.47606623113509, 5.334750208465924 60.47607096439585, 5.33825887541071 60.47738411590195, 5.338275857231003 60.47738737474044, 5.346534930645517 60.477142652435646)</t>
  </si>
  <si>
    <t>[1999186, 1999194, 1999205, 1999218]</t>
  </si>
  <si>
    <t>[1752886, 1752891, 1752897, 1183897]</t>
  </si>
  <si>
    <t>[1183878, 1752886, 1752891, 1752897]</t>
  </si>
  <si>
    <t>[10.884, 0.05, 0.074, 0.02]</t>
  </si>
  <si>
    <t>713.611349771595</t>
  </si>
  <si>
    <t>[-0.021, 0.003, 0.019, -0.007, 0.35]</t>
  </si>
  <si>
    <t>5287.0</t>
  </si>
  <si>
    <t>LINESTRING (5.331377326081296 60.47266312292471, 5.332942641569982 60.47430997472308, 5.333703865734245 60.47517469861909, 5.333940499272125 60.47541688154084, 5.334540986525978 60.47591286754686, 5.334742631599515 60.47606623113509)</t>
  </si>
  <si>
    <t>[2043143, 1999154, 1999162, 1999176, 1999177]</t>
  </si>
  <si>
    <t>[1752872, 1752873, 1752877, 1752880, 1183878]</t>
  </si>
  <si>
    <t>0.007822946740079783</t>
  </si>
  <si>
    <t>[1761962, 1752872, 1752873, 1752877, 1752880]</t>
  </si>
  <si>
    <t>[0.021, 0.003, 0.019, 0.007, 0.35]</t>
  </si>
  <si>
    <t>423.8663907512805</t>
  </si>
  <si>
    <t>[-0.002, 0.018, 0.008, 0.202, -0.004, 0.003]</t>
  </si>
  <si>
    <t>LINESTRING (5.333959124824814 60.47391568492936, 5.3339984231007955 60.47399548292823, 5.333533002740405 60.474474549087994, 5.333569950783858 60.47489326465177, 5.333815738905279 60.47520327158578, 5.334705731366021 60.475961769988984, 5.334742631599515 60.47606623113509)</t>
  </si>
  <si>
    <t>[2043204, 2043215, 2043216, 2043230, 1267223, 1267373]</t>
  </si>
  <si>
    <t>[1780662, 1780667, 1780668, 1183719, 1183720, 1183878]</t>
  </si>
  <si>
    <t>0.03249361120514677</t>
  </si>
  <si>
    <t>[1780661, 1780662, 1780667, 1780668, 1183719, 1183720]</t>
  </si>
  <si>
    <t>[0.002, 0.018, 0.008, 0.202, 0.004, 0.003]</t>
  </si>
  <si>
    <t>265.5967727294195</t>
  </si>
  <si>
    <t>[0.01, 0.01, 0.051, 0.093, 0.098]</t>
  </si>
  <si>
    <t>36549.0</t>
  </si>
  <si>
    <t>LINESTRING (5.346534930645517 60.477142652435646, 5.3466021627346185 60.47711718987408, 5.348367296687954 60.476768157971925, 5.35185510473159 60.4765164512391, 5.352244813676613 60.4764002176475, 5.352389877923785 60.47635765922908)</t>
  </si>
  <si>
    <t>[1267392, 1267383, 1803608, 1803615, 1803626]</t>
  </si>
  <si>
    <t>[1183886, 1183887, 1589649, 1589655, 1589663]</t>
  </si>
  <si>
    <t>0.04215224377667572</t>
  </si>
  <si>
    <t>[1183897, 1183886, 1183887, 1589649, 1589655]</t>
  </si>
  <si>
    <t>339.15495645777304</t>
  </si>
  <si>
    <t>[0.01, 0.006, 0.064, 0.093, 0.1]</t>
  </si>
  <si>
    <t>LINESTRING (5.346534930645517 60.477142652435646, 5.348197737402654 60.476822708176954, 5.3484270462879095 60.47682681219321, 5.353191013451335 60.47698185712963, 5.355664672716965 60.4776704741367, 5.3560158604443115 60.477763808420185)</t>
  </si>
  <si>
    <t>[1999225, 1803982, 1803759, 1803767, 1803788]</t>
  </si>
  <si>
    <t>[1589992, 1589790, 1589791, 1589800, 1589818]</t>
  </si>
  <si>
    <t>0.06272825416915888</t>
  </si>
  <si>
    <t>[1183897, 1589992, 1589790, 1589791, 1589800]</t>
  </si>
  <si>
    <t>562.2385523080138</t>
  </si>
  <si>
    <t>8.646878049221653</t>
  </si>
  <si>
    <t>3.514847649374219</t>
  </si>
  <si>
    <t>[-0.012, -0.015, -0.019, -0.022, -0.033, -0.023, -0.024, -0.028, -0.036]</t>
  </si>
  <si>
    <t>LINESTRING (13.412487355627096 65.43555406646796, 13.413232479510203 65.43691631615935, 13.413262476882062 65.43698076260688, 13.413495802125126 65.43750160399448, 13.413525386484869 65.4375707576664, 13.413552760642945 65.43763581372988, 13.41367552722068 65.43793548540127, 13.413696444012789 65.43798788249505, 13.414056866189254 65.43898672735915, 13.414259858330983 65.43979166059927)</t>
  </si>
  <si>
    <t>[1269958, 1269966, 1269974, 1269982, 1269990, 1269998, 1270006, 1270014, 1270022]</t>
  </si>
  <si>
    <t>[1186106, 1186112, 1186122, 1186096, 1186135, 1186144, 1186151, 1186159, 1186165]</t>
  </si>
  <si>
    <t>[1186105, 1186106, 1186112, 1186122, 1186096, 1186135, 1186144, 1186151, 1186159]</t>
  </si>
  <si>
    <t>[0.012, 0.015, 0.019, 0.022, 0.033, 0.023, 0.024, 0.028, 0.036]</t>
  </si>
  <si>
    <t>480.20329724515886</t>
  </si>
  <si>
    <t>[-0.019, -0.022, -0.015, -0.017, -0.035, -0.022, -0.023, -0.024, -0.03, -0.028]</t>
  </si>
  <si>
    <t>LINESTRING (13.412487355627096 65.43555406646796, 13.413086358429565 65.43699151608928, 13.413311323196217 65.43751611121279, 13.413321840109392 65.4375404437048, 13.413357479702984 65.43762284446676, 13.41336772718503 65.4376462856524, 13.41349762922329 65.43794774642727, 13.413519954810644 65.43799966471866, 13.413942957920467 65.43899274914389, 13.413984782034982 65.4390984585184, 13.414259858330983 65.43979166059927)</t>
  </si>
  <si>
    <t>[1270054, 1270062, 1270070, 1270078, 1270086, 1270094, 1270102, 1270110, 1270118, 1270120]</t>
  </si>
  <si>
    <t>[1186194, 1186201, 1186087, 1186180, 1186219, 1186226, 1186233, 1186241, 1186249, 1186165]</t>
  </si>
  <si>
    <t>[1186105, 1186194, 1186201, 1186087, 1186180, 1186219, 1186226, 1186233, 1186241, 1186249]</t>
  </si>
  <si>
    <t>[0.019, 0.022, 0.015, 0.017, 0.035, 0.022, 0.023, 0.024, 0.03, 0.028]</t>
  </si>
  <si>
    <t>479.6258799866345</t>
  </si>
  <si>
    <t>[0.006, -0.072]</t>
  </si>
  <si>
    <t>LINESTRING (13.414259858330983 65.43979166059927, 13.412685171566059 65.46209385094329, 13.411451260878815 65.46385211970225)</t>
  </si>
  <si>
    <t>[2095066, 2095074]</t>
  </si>
  <si>
    <t>[1812555, 1764735]</t>
  </si>
  <si>
    <t>0.00012873568899554374</t>
  </si>
  <si>
    <t>[1186165, 1812555]</t>
  </si>
  <si>
    <t>[0.006, 0.072]</t>
  </si>
  <si>
    <t>2713.09493467285</t>
  </si>
  <si>
    <t>[-0.033, -0.059]</t>
  </si>
  <si>
    <t>LINESTRING (5.334510215837022 59.40520963659795, 5.3345761712400055 59.40515722603757, 5.334662889268345 59.405142339710565)</t>
  </si>
  <si>
    <t>[1274213, 1274221]</t>
  </si>
  <si>
    <t>[1189749, 1189756]</t>
  </si>
  <si>
    <t>[1189741, 1189749]</t>
  </si>
  <si>
    <t>[0.033, 0.059]</t>
  </si>
  <si>
    <t>12.174024962561884</t>
  </si>
  <si>
    <t>[0.004, 0.038, 0.068, 0.077, 0.063, 0.053, 0.018]</t>
  </si>
  <si>
    <t>LINESTRING (5.334819504832402 59.40520110481347, 5.334803677634515 59.40526231724772, 5.334737425015264 59.405295345031064, 5.334667627230912 59.405303692191175, 5.334622483312658 59.405300317868324, 5.3345583311649705 59.40528286278235, 5.334523023681038 59.40525761661173, 5.334510215837022 59.40520963659795)</t>
  </si>
  <si>
    <t>[1274246, 1274254, 1274262, 1274173, 1274181, 1274182, 1274205]</t>
  </si>
  <si>
    <t>[368782, 1189788, 361482, 1056880, 1189723, 368797, 1189741]</t>
  </si>
  <si>
    <t>0.03914998196664613</t>
  </si>
  <si>
    <t>[1189773, 368782, 1189788, 361482, 1056880, 1189723, 368797]</t>
  </si>
  <si>
    <t>31.887453967701543</t>
  </si>
  <si>
    <t>[0.022, 3.987]</t>
  </si>
  <si>
    <t>LINESTRING (5.334331105887683 59.40498904128796, 5.334457224309104 59.405148434567096, 5.334510215837022 59.40520963659795)</t>
  </si>
  <si>
    <t>[1339299, 1339307]</t>
  </si>
  <si>
    <t>[1242786, 1189741]</t>
  </si>
  <si>
    <t>1.1201812220854344</t>
  </si>
  <si>
    <t>[1242778, 1242786]</t>
  </si>
  <si>
    <t>26.996732647054433</t>
  </si>
  <si>
    <t>3.584509031911623</t>
  </si>
  <si>
    <t>[0.058, 5.153]</t>
  </si>
  <si>
    <t>LINESTRING (5.334331105887683 59.40498904128796, 5.334620018838557 59.40509793622859, 5.334662889268345 59.405142339710565)</t>
  </si>
  <si>
    <t>[1339315, 1339323]</t>
  </si>
  <si>
    <t>[1242798, 1189756]</t>
  </si>
  <si>
    <t>1.132063151324028</t>
  </si>
  <si>
    <t>[1242778, 1242798]</t>
  </si>
  <si>
    <t>26.239781668015965</t>
  </si>
  <si>
    <t>[-0.07, -0.043]</t>
  </si>
  <si>
    <t>LINESTRING (5.334724836054245 59.405147910422116, 5.334779476387404 59.40516661676346, 5.334819504832402 59.40520110481347)</t>
  </si>
  <si>
    <t>[1274230, 1274238]</t>
  </si>
  <si>
    <t>[1189766, 1189773]</t>
  </si>
  <si>
    <t>[1189757, 1189766]</t>
  </si>
  <si>
    <t>[0.07, 0.043]</t>
  </si>
  <si>
    <t>8.229452925540599</t>
  </si>
  <si>
    <t>[-5.366, 0.063]</t>
  </si>
  <si>
    <t>LINESTRING (5.334724836054245 59.405147910422116, 5.3347525008770065 59.40510400455864, 5.3350436868195485 59.40500119522142)</t>
  </si>
  <si>
    <t>[1339331, 1339339]</t>
  </si>
  <si>
    <t>[1242810, 1242722]</t>
  </si>
  <si>
    <t>[1189757, 1242810]</t>
  </si>
  <si>
    <t>[5.366, 0.063]</t>
  </si>
  <si>
    <t>25.33765050447964</t>
  </si>
  <si>
    <t>[-4.688, 0.03]</t>
  </si>
  <si>
    <t>LINESTRING (5.334819504832402 59.40520110481347, 5.334894815938224 59.40516803064562, 5.3350436868195485 59.40500119522142)</t>
  </si>
  <si>
    <t>[1339347, 1339355]</t>
  </si>
  <si>
    <t>[1242821, 1242722]</t>
  </si>
  <si>
    <t>[1189773, 1242821]</t>
  </si>
  <si>
    <t>[4.688, 0.03]</t>
  </si>
  <si>
    <t>26.587083210062303</t>
  </si>
  <si>
    <t>[-0.001, 0.007, 0.018, 0.021]</t>
  </si>
  <si>
    <t>LINESTRING (5.449941789723124 59.315579865826024, 5.449851506718253 59.31565202627161, 5.44974150796649 59.315685117457235, 5.449603174003793 59.31568772366529, 5.449485853494922 59.315662952572914)</t>
  </si>
  <si>
    <t>[1288675, 1288683, 1288691, 1288699]</t>
  </si>
  <si>
    <t>[1202274, 1202281, 1202287, 1202296]</t>
  </si>
  <si>
    <t>0.010495271543546382</t>
  </si>
  <si>
    <t>[1202273, 1202274, 1202281, 1202287]</t>
  </si>
  <si>
    <t>[0.001, 0.007, 0.018, 0.021]</t>
  </si>
  <si>
    <t>32.02505606532009</t>
  </si>
  <si>
    <t>[-0.019, -0.014]</t>
  </si>
  <si>
    <t>LINESTRING (5.449868164581779 59.31543383127398, 5.449943277815818 59.31550424778281, 5.449941789723124 59.315579865826024)</t>
  </si>
  <si>
    <t>[1288755, 1288763]</t>
  </si>
  <si>
    <t>[1202337, 1202273]</t>
  </si>
  <si>
    <t>[1202331, 1202337]</t>
  </si>
  <si>
    <t>[0.019, 0.014]</t>
  </si>
  <si>
    <t>17.41494767316376</t>
  </si>
  <si>
    <t>LINESTRING (5.451148688642571 59.315444186444815, 5.450002622135242 59.31556295599382, 5.449941789723124 59.315579865826024)</t>
  </si>
  <si>
    <t>[1288827, 1288835]</t>
  </si>
  <si>
    <t>[1202397, 1202273]</t>
  </si>
  <si>
    <t>0.013669904652550855</t>
  </si>
  <si>
    <t>[1202382, 1202397]</t>
  </si>
  <si>
    <t>71.90660923085579</t>
  </si>
  <si>
    <t>[0.021, 0.015]</t>
  </si>
  <si>
    <t>LINESTRING (5.449485853494922 59.315662952572914, 5.44937614939968 59.31559127902174, 5.449360541550211 59.315517705383414)</t>
  </si>
  <si>
    <t>[1288707, 1288715]</t>
  </si>
  <si>
    <t>[1202301, 1202307]</t>
  </si>
  <si>
    <t>0.01830909748351422</t>
  </si>
  <si>
    <t>[1202296, 1202301]</t>
  </si>
  <si>
    <t>18.441365792746183</t>
  </si>
  <si>
    <t>LINESTRING (5.449485853494922 59.315662952572914, 5.449412827556834 59.31566351805848, 5.448050209016169 59.316025958378965)</t>
  </si>
  <si>
    <t>[1288843, 1288851]</t>
  </si>
  <si>
    <t>[1202407, 1202377]</t>
  </si>
  <si>
    <t>0.00371100805195479</t>
  </si>
  <si>
    <t>[1202296, 1202407]</t>
  </si>
  <si>
    <t>93.89551519276436</t>
  </si>
  <si>
    <t>[0.007, -0.007, -0.017, -0.021]</t>
  </si>
  <si>
    <t>LINESTRING (5.449360541550211 59.315517705383414, 5.449412188550322 59.31545145723644, 5.449551770792861 59.31539632448341, 5.4497257795997625 59.31539201743026, 5.449868164581779 59.31543383127398)</t>
  </si>
  <si>
    <t>[1288723, 1288731, 1288739, 1288747]</t>
  </si>
  <si>
    <t>[1202268, 1202318, 1202245, 1202331]</t>
  </si>
  <si>
    <t>[1202307, 1202268, 1202318, 1202245]</t>
  </si>
  <si>
    <t>[0.007, 0.007, 0.017, 0.021]</t>
  </si>
  <si>
    <t>37.38205853724948</t>
  </si>
  <si>
    <t>[0.007, -0.001]</t>
  </si>
  <si>
    <t>LINESTRING (5.449360541550211 59.315517705383414, 5.449298941824561 59.315542261174485, 5.448050209016169 59.316025958378965)</t>
  </si>
  <si>
    <t>[1288795, 1288803]</t>
  </si>
  <si>
    <t>[1202368, 1202377]</t>
  </si>
  <si>
    <t>[1202307, 1202368]</t>
  </si>
  <si>
    <t>94.6726579931816</t>
  </si>
  <si>
    <t>[0.018, 0.019]</t>
  </si>
  <si>
    <t>LINESTRING (5.451148688642571 59.315444186444815, 5.449954519072296 59.31543703605506, 5.449868164581779 59.31543383127398)</t>
  </si>
  <si>
    <t>[1288811, 1288819]</t>
  </si>
  <si>
    <t>[1202383, 1202331]</t>
  </si>
  <si>
    <t>0.018067516891707467</t>
  </si>
  <si>
    <t>[1202382, 1202383]</t>
  </si>
  <si>
    <t>73.26374304170207</t>
  </si>
  <si>
    <t>[-0.046, -0.007, -0.001, -0.026, 0.042, 0.06, 0.157]</t>
  </si>
  <si>
    <t>LINESTRING (5.467099686023219 59.31468906722225, 5.466288475874416 59.31490746830951, 5.466062757147399 59.314961501353466, 5.4593634189061016 59.31556051779434, 5.455371542651742 59.31553844004355, 5.452156196224522 59.3154643564796, 5.452057188052589 59.315461618836586, 5.451148688642571 59.315444186444815)</t>
  </si>
  <si>
    <t>[2101908, 2101913, 2101921, 2101929, 2101937, 2101945, 2101953]</t>
  </si>
  <si>
    <t>[1816940, 1816943, 1816947, 1816953, 1816960, 1816965, 1202382]</t>
  </si>
  <si>
    <t>0.007968395347577178</t>
  </si>
  <si>
    <t>[1251541, 1816940, 1816943, 1816947, 1816953, 1816960, 1816965]</t>
  </si>
  <si>
    <t>[0.046, 0.007, 0.001, 0.026, 0.042, 0.06, 0.157]</t>
  </si>
  <si>
    <t>926.8949970820004</t>
  </si>
  <si>
    <t>[0.025, 0.057, 0.019, 0.005]</t>
  </si>
  <si>
    <t>LINESTRING (9.14179320430626 58.86067287967274, 9.141242178100468 58.86084528635118, 9.141219536799845 58.861483771564096, 9.143222469107403 58.86257140762129, 9.14341961329548 58.86270791677614)</t>
  </si>
  <si>
    <t>[1290985, 1290993, 1291001, 1291009]</t>
  </si>
  <si>
    <t>[1204267, 1204273, 1204281, 1204286]</t>
  </si>
  <si>
    <t>0.028591976552944317</t>
  </si>
  <si>
    <t>[1204262, 1204267, 1204273, 1204281]</t>
  </si>
  <si>
    <t>301.6063181638117</t>
  </si>
  <si>
    <t>[-0.028, -0.034, -0.007, 0.01, 0.006]</t>
  </si>
  <si>
    <t>LINESTRING (9.151062977942315 58.867918929562, 9.150756559032137 58.86768575975267, 9.150716769901615 58.867654873677836, 9.143966469816776 58.86301442160794, 9.143655249469303 58.862839838182815, 9.14341961329548 58.86270791677614)</t>
  </si>
  <si>
    <t>[1291113, 1291121, 1291049, 1291057, 1291065]</t>
  </si>
  <si>
    <t>[1204370, 1204319, 1204320, 1204328, 1204286]</t>
  </si>
  <si>
    <t>[1204364, 1204370, 1204319, 1204320, 1204328]</t>
  </si>
  <si>
    <t>[0.028, 0.034, 0.007, 0.01, 0.006]</t>
  </si>
  <si>
    <t>730.8281164285376</t>
  </si>
  <si>
    <t>[0.029, 0.027, 0.012]</t>
  </si>
  <si>
    <t>LINESTRING (9.151062977942315 58.867918929562, 9.151313005635101 58.86807042143812, 9.157960174927231 58.872209434148346, 9.158120652436075 58.87232009108254)</t>
  </si>
  <si>
    <t>[1838583, 1838567, 1838575]</t>
  </si>
  <si>
    <t>[1611975, 1611976, 1204356]</t>
  </si>
  <si>
    <t>0.026708248719021215</t>
  </si>
  <si>
    <t>[1204364, 1611975, 1611976]</t>
  </si>
  <si>
    <t>641.0227149245659</t>
  </si>
  <si>
    <t>[0.056, -0.045, -0.07]</t>
  </si>
  <si>
    <t>LINESTRING (10.264339670893321 63.073837586561, 10.259597730158651 63.07791430053359, 10.253939807443293 63.082749268228376, 10.250289796381109 63.08829567161575)</t>
  </si>
  <si>
    <t>[1291205, 1291213, 1291221]</t>
  </si>
  <si>
    <t>[1204438, 1204447, 1204452]</t>
  </si>
  <si>
    <t>[1204437, 1204438, 1204447]</t>
  </si>
  <si>
    <t>[0.056, 0.045, 0.07]</t>
  </si>
  <si>
    <t>1793.318089474043</t>
  </si>
  <si>
    <t>[0.061, -0.046, -0.073]</t>
  </si>
  <si>
    <t>LINESTRING (10.264339670893321 63.073837586561, 10.259701214492225 63.07793568447722, 10.254058821301946 63.08276249849474, 10.250289796381109 63.08829567161575)</t>
  </si>
  <si>
    <t>[1291229, 1291237, 1291245]</t>
  </si>
  <si>
    <t>[1204459, 1204463, 1204452]</t>
  </si>
  <si>
    <t>[1204437, 1204459, 1204463]</t>
  </si>
  <si>
    <t>[0.061, 0.046, 0.073]</t>
  </si>
  <si>
    <t>1790.4488154400092</t>
  </si>
  <si>
    <t>[-0.007, -0.009, -0.009, 0.031, 0.035, 0.036, 0.037, 0.036, 0.039, 0.042, 0.032, 0.005, -0.019, -0.027, -0.029, -0.004, 0.008, -0.002, 0.037, 0.032, 0.043, 0.038, 0.021, -0.001, -0.022, -0.019, -0.021, -0.017, -0.054, 0.01, -0.008, 0.002, -0.05, 0.014, -0.037, -0.002, 0.08, 0.035, 0.027, 0.006, 0.012, 0.006, -0.007, -0.058, 0.0, 0.03, -0.002, 0.012, -0.156, -0.033, 0.056, 0.007, -0.023, 0.036, 0.084, -0.042, -0.035, 0.061, -0.009, -0.05, -0.101, 0.003, 0.819]</t>
  </si>
  <si>
    <t>9484.0</t>
  </si>
  <si>
    <t>[0, 0, 0, 0, 0, 0, 0, 0, 0, 0, 0, 0, 0, 0, 0, 0, 0, 0, 0, 0, 0, 0, 0, 0, 0, 1, 0, 0, 0, 0, 0, 0, 0, 0, 0, 0, 0, 0, 0, 0, 0, 0, 0, 0, 0, 0, 0, 0, 0, 0, 0, 0, 0, 0, 0, 0, 0, 0, 0, 0, 0, 0, 0]</t>
  </si>
  <si>
    <t>LINESTRING (6.127130079145393 62.19844319016636, 6.126902259056123 62.19877533721906, 6.126677916094847 62.19908974993856, 6.126457358593263 62.199391735434986, 6.126284732609608 62.199654632321156, 6.126044371283199 62.1999981712287, 6.125896689642671 62.20020862073011, 6.125841630236637 62.20028769444065, 6.125790828163035 62.20036120422282, 6.125639784082183 62.20058065549997, 6.125327933435087 62.20106877279059, 6.125030379399149 62.20122035040606, 6.124741306882225 62.20129914013478, 6.123567219419486 62.20164189536651, 6.123065188239561 62.20179259465105, 6.122951043568559 62.20182696696524, 6.122817881467246 62.20186635733151, 6.122300061163931 62.2020166951102, 6.122209823877286 62.20204449349485, 6.122113643017623 62.202075243317076, 6.120583503073417 62.202528861499154, 6.11923322320183 62.202937722867944, 6.117456326355295 62.20337927675803, 6.110577458183036 62.20430011380894, 6.105673844232762 62.20490739739574, 6.1053789349464935 62.20494666433713, 6.1046795557808595 62.20503973221968, 6.1044945396016725 62.20506365155299, 6.10330749020951 62.20516882581712, 6.101195585715422 62.20520374078702, 6.0901038612573 62.205984657387546, 6.087850897817415 62.20612934500019, 6.074040946984943 62.20927439104498, 6.071790956656114 62.20986604592805, 6.057736142972405 62.212031424172615, 6.052942003459873 62.212943143409056, 6.047353450454191 62.21347019967412, 6.04652634862404 62.21366856294984, 6.0452393457655385 62.21385903743887, 6.04505215897032 62.213876078337464, 6.042605760612789 62.21405817299499, 6.035351342108175 62.21472048627631, 6.029369321238994 62.214891627275136, 6.017817016681874 62.21536210097407, 6.01557313741441 62.215794491168985, 6.015039672502801 62.21741182608854, 6.015467782659796 62.21906994890322, 6.0155367895421925 62.22140691068583, 6.01332519368615 62.2234194114482, 6.013208086899895 62.22348169467443, 6.011866775070445 62.22642208805117, 6.010355289646426 62.22797596727667, 6.0095855091513295 62.23014884918829, 6.009499198689771 62.23137249604482, 6.009344666097304 62.2333007636654, 6.009340862821995 62.23332673950038, 6.008451107505666 62.23455759696459, 6.006831443898923 62.236073205462525, 6.006708770948346 62.236205189930516, 6.002574519676984 62.23903519134782, 6.001450466930669 62.239585470143865, 6.00140323936622 62.23961056029058, 5.999791124524342 62.24041128495156, 5.999651336438797 62.24047796345885)</t>
  </si>
  <si>
    <t>[1310948, 1332518, 1310956, 1310964, 1310972, 1310980, 1310988, 1310996, 1311004, 1311012, 1311020, 1311028, 1311036, 1311044, 1311052, 1311060, 1311068, 1311076, 1311084, 1311092, 1311100, 1311108, 1311116, 1311124, 1311132, 1311140, 1311148, 1311156, 1311164, 1311172, 1311180, 1311188, 1311196, 1311204, 1311212, 1311220, 1311228, 1311236, 1311244, 1311252, 1311260, 1311268, 1311276, 1311284, 1311292, 1311300, 1311308, 1311316, 1311324, 1311332, 1311340, 1311348, 1311356, 1311364, 1311372, 1311380, 1311388, 1311396, 1311404, 1311412, 1311420, 1311428, 1311436]</t>
  </si>
  <si>
    <t>[1205414, 1205415, 295401, 1219315, 275695, 327711, 1219338, 1213586, 275558, 1219362, 275577, 279863, 276331, 1213631, 1219397, 327750, 1219411, 1219418, 1219423, 272414, 304353, 1219440, 1219447, 1219453, 1219460, 1219468, 1219476, 279985, 1219489, 1219498, 646280, 1219514, 1219523, 732951, 280138, 646104, 646144, 1219559, 1219567, 307037, 1219581, 1219587, 1219594, 1219601, 927508, 1219614, 1219619, 1219627, 305610, 297559, 1219647, 1219654, 941600, 1219665, 1219672, 1219677, 1219680, 1219686, 1219693, 1219702, 941720, 1219716, 1205589]</t>
  </si>
  <si>
    <t>0.002007465323383087</t>
  </si>
  <si>
    <t>[1205259, 1205414, 1205415, 295401, 1219315, 275695, 327711, 1219338, 1213586, 275558, 1219362, 275577, 279863, 276331, 1213631, 1219397, 327750, 1219411, 1219418, 1219423, 272414, 304353, 1219440, 1219447, 1219453, 1219460, 1219468, 1219476, 279985, 1219489, 1219498, 646280, 1219514, 1219523, 732951, 280138, 646104, 646144, 1219559, 1219567, 307037, 1219581, 1219587, 1219594, 1219601, 927508, 1219614, 1219619, 1219627, 305610, 297559, 1219647, 1219654, 941600, 1219665, 1219672, 1219677, 1219680, 1219686, 1219693, 1219702, 941720, 1219716]</t>
  </si>
  <si>
    <t>[0.007, 0.009, 0.009, 0.031, 0.035, 0.036, 0.037, 0.036, 0.039, 0.042, 0.032, 0.005, 0.019, 0.027, 0.029, 0.004, 0.008, 0.002, 0.037, 0.032, 0.043, 0.038, 0.021, 0.001, 0.022, 0.019, 0.021, 0.017, 0.054, 0.01, 0.008, 0.002, 0.05, 0.014, 0.037, 0.002, 0.08, 0.035, 0.027, 0.006, 0.012, 0.006, 0.007, 0.058, 0.0, 0.03, 0.002, 0.012, 0.156, 0.033, 0.056, 0.007, 0.023, 0.036, 0.084, 0.042, 0.035, 0.061, 0.009, 0.05, 0.101, 0.003, 0.819]</t>
  </si>
  <si>
    <t>9382.99442965118</t>
  </si>
  <si>
    <t>[0.042, 0.01]</t>
  </si>
  <si>
    <t>LINESTRING (5.999651336438797 62.24047796345885, 5.999509013863411 62.240600993509005, 5.999289540876368 62.24069130829453)</t>
  </si>
  <si>
    <t>[1292494, 1292502]</t>
  </si>
  <si>
    <t>[1205590, 1205598]</t>
  </si>
  <si>
    <t>0.026190033233544307</t>
  </si>
  <si>
    <t>[1205589, 1205590]</t>
  </si>
  <si>
    <t>30.864837114317247</t>
  </si>
  <si>
    <t>[-0.502, 0.569]</t>
  </si>
  <si>
    <t>LINESTRING (5.999651336438797 62.24047796345885, 5.999409486522071 62.24056367857617, 5.999289540876368 62.24069130829453)</t>
  </si>
  <si>
    <t>[1332590, 1332598]</t>
  </si>
  <si>
    <t>[1237563, 1205598]</t>
  </si>
  <si>
    <t>0.02606986214196046</t>
  </si>
  <si>
    <t>[1205589, 1237563]</t>
  </si>
  <si>
    <t>[0.502, 0.569]</t>
  </si>
  <si>
    <t>31.57029540537132</t>
  </si>
  <si>
    <t>2718.0</t>
  </si>
  <si>
    <t>LINESTRING (5.999289540876368 62.24069130829453, 6.160100244641764 62.328420031251454)</t>
  </si>
  <si>
    <t>[1.195, 0.06, 0.076, 0.129, 0.139, 0.019, 0.018]</t>
  </si>
  <si>
    <t>LINESTRING (6.314141429347668 62.42679853207948, 6.314307419121002 62.426840865992226, 6.315718876739449 62.42718568499764, 6.318536724736704 62.42748194945153, 6.318696245694805 62.427480843771725, 6.319285055183145 62.42746425619195, 6.323451274070895 62.427445777607794, 6.3443620357294135 62.42840048394015)</t>
  </si>
  <si>
    <t>[1312500, 1312508, 1312516, 1312524, 1312532, 1312540, 1312548]</t>
  </si>
  <si>
    <t>[1220511, 1220519, 1220525, 1220530, 1220537, 1220543, 1205805]</t>
  </si>
  <si>
    <t>0.03505482049824936</t>
  </si>
  <si>
    <t>[1205738, 1220511, 1220519, 1220525, 1220530, 1220537, 1220543]</t>
  </si>
  <si>
    <t>1675.8229471136654</t>
  </si>
  <si>
    <t>[-0.828, 0.024]</t>
  </si>
  <si>
    <t>LINESTRING (6.314492167835736 62.42649075246236, 6.3144374933744345 62.42659891209505, 6.314141429347668 62.42679853207948)</t>
  </si>
  <si>
    <t>[1819220, 1292670]</t>
  </si>
  <si>
    <t>[1205737, 1205738]</t>
  </si>
  <si>
    <t>[1220506, 1205737]</t>
  </si>
  <si>
    <t>[0.828, 0.024]</t>
  </si>
  <si>
    <t>42.00600543162535</t>
  </si>
  <si>
    <t>[0.038, -0.352]</t>
  </si>
  <si>
    <t>LINESTRING (6.314492167835736 62.42649075246236, 6.3142995779612 62.426569508784965, 6.314141429347668 62.42679853207948)</t>
  </si>
  <si>
    <t>[1819228, 1332734]</t>
  </si>
  <si>
    <t>[1237692, 1205738]</t>
  </si>
  <si>
    <t>[1220506, 1237692]</t>
  </si>
  <si>
    <t>[0.038, 0.352]</t>
  </si>
  <si>
    <t>41.85582699949076</t>
  </si>
  <si>
    <t>[-0.12, -0.112, -0.107, -0.111, -0.11, -0.09, -0.137, -0.109, -0.099, 0.021, 0.035, 0.041, 0.044]</t>
  </si>
  <si>
    <t>[0, 0, 0, 0, 0, 0, 0, 0, 0, 0, 0, 1, 1]</t>
  </si>
  <si>
    <t>LINESTRING (6.3443620357294135 62.42840048394015, 6.348515970820565 62.4288920535239, 6.349736659512386 62.42904358131998, 6.3505523635029855 62.42915071243073, 6.35061755920205 62.42916005485912, 6.352155974936816 62.429436127725346, 6.352273046336371 62.42946328487021, 6.352374419755444 62.429489189906505, 6.3524594407688415 62.42951408206987, 6.353621481846889 62.42988650616999, 6.354095706194141 62.4300902518655, 6.355906702412999 62.43139611687581, 6.356138549176604 62.43171237299015, 6.356342107839609 62.432067872465716)</t>
  </si>
  <si>
    <t>[1292742, 1292750, 1292758, 1292766, 1292774, 1292782, 1292790, 1292798, 1292806, 1292814, 1292822, 1292830, 1292838]</t>
  </si>
  <si>
    <t>[1205806, 1205815, 1205822, 1205830, 1205840, 1205844, 1205852, 1205856, 1205862, 1205868, 1205874, 1205882, 1205889]</t>
  </si>
  <si>
    <t>[1205805, 1205806, 1205815, 1205822, 1205830, 1205840, 1205844, 1205852, 1205856, 1205862, 1205868, 1205874, 1205882]</t>
  </si>
  <si>
    <t>[0.12, 0.112, 0.107, 0.111, 0.11, 0.09, 0.137, 0.109, 0.099, 0.021, 0.035, 0.041, 0.044]</t>
  </si>
  <si>
    <t>798.069384422713</t>
  </si>
  <si>
    <t>[-0.142, -0.137, -0.147, -0.112, -0.075, -0.052, -0.057, -0.081, -0.039, -0.055, -0.073, -0.038, -0.036, -0.036, -0.023, -0.008, -0.008, 0.33]</t>
  </si>
  <si>
    <t>[0, 0, 0, 0, 0, 0, 0, 0, 0, 0, 0, 0, 0, 0, 0, 1, 1, 1]</t>
  </si>
  <si>
    <t>LINESTRING (6.3443620357294135 62.42840048394015, 6.3484893551103765 62.42893006351933, 6.348581574494743 62.428943734724406, 6.349700926807827 62.429105227088726, 6.3498121009116675 62.429120416560586, 6.350703406981492 62.42924977365367, 6.352199626361571 62.429524636054076, 6.352290065881961 62.42954363261128, 6.352412211725862 62.42957706996589, 6.352473526792084 62.429591716589904, 6.352560227937556 62.429614653628704, 6.353547929345182 62.4299215752961, 6.353677415202017 62.429969330021024, 6.354038632599686 62.430114505604344, 6.354148244039347 62.43016565321782, 6.35583478687432 62.431408791896224, 6.3558531493641075 62.43143279785162, 6.356064955945212 62.43172317248021, 6.356342107839609 62.432067872465716)</t>
  </si>
  <si>
    <t>[1332742, 1332750, 1332758, 1332766, 1332774, 1332782, 1332790, 1332798, 1332806, 1332814, 1332823, 1332831, 1332839, 1332847, 1332855, 1332863, 1332871, 1332879]</t>
  </si>
  <si>
    <t>[1237701, 1237708, 1237716, 1237722, 1237731, 1237738, 1237749, 1217277, 1237768, 1237777, 1237785, 1237793, 1237797, 1237801, 1237804, 1237808, 1237812, 1205889]</t>
  </si>
  <si>
    <t>[1205805, 1237701, 1237708, 1237716, 1237722, 1237731, 1237738, 1237749, 1217277, 1237768, 1237777, 1237785, 1237793, 1237797, 1237801, 1237804, 1237808, 1237812]</t>
  </si>
  <si>
    <t>[0.142, 0.137, 0.147, 0.112, 0.075, 0.052, 0.057, 0.081, 0.039, 0.055, 0.073, 0.038, 0.036, 0.036, 0.023, 0.008, 0.008, 0.33]</t>
  </si>
  <si>
    <t>792.6631828362583</t>
  </si>
  <si>
    <t>[0.013, 0.022, 0.052]</t>
  </si>
  <si>
    <t>LINESTRING (10.587788034069302 59.901126776190516, 10.587331387439258 59.90106507773308, 10.584179280907136 59.90069510975734, 10.584103601636134 59.90070515053841)</t>
  </si>
  <si>
    <t>[1292823, 1292831, 1292839]</t>
  </si>
  <si>
    <t>[1205876, 1205883, 1205890]</t>
  </si>
  <si>
    <t>0.021503397342783843</t>
  </si>
  <si>
    <t>[1205875, 1205876, 1205883]</t>
  </si>
  <si>
    <t>215.0607896186644</t>
  </si>
  <si>
    <t>[0.003, -0.001, -0.008, 0.001, -0.003, -0.001, 0.007, 0.005, -0.051, 0.015, -0.017]</t>
  </si>
  <si>
    <t>LINESTRING (10.587788034069302 59.901126776190516, 10.586037273479295 59.90076320153317, 10.581689126468971 59.90022454522887, 10.581585088299216 59.900212688188006, 10.581503812114011 59.90020358287292, 10.581487567813669 59.90020176037248, 10.58135757550247 59.900187062117, 10.578750671182522 59.899842616893366, 10.577577682090546 59.89960808767944, 10.577099873887933 59.89949454472613, 10.575998902465967 59.89919996729807, 10.575915842591074 59.89917485432226)</t>
  </si>
  <si>
    <t>[1552719, 1552727, 1552735, 1552743, 1552751, 1552759, 1552767, 1552775, 1552783, 1552791, 1552799]</t>
  </si>
  <si>
    <t>[1401521, 1401529, 1401537, 1401543, 1401550, 1401556, 1401561, 1401567, 1401573, 1401579, 1401584]</t>
  </si>
  <si>
    <t>0.0012391653229029528</t>
  </si>
  <si>
    <t>[1205875, 1401521, 1401529, 1401537, 1401543, 1401550, 1401556, 1401561, 1401567, 1401573, 1401579]</t>
  </si>
  <si>
    <t>[0.003, 0.001, 0.008, 0.001, 0.003, 0.001, 0.007, 0.005, 0.051, 0.015, 0.017]</t>
  </si>
  <si>
    <t>702.4869346641149</t>
  </si>
  <si>
    <t>[-0.006, -0.779]</t>
  </si>
  <si>
    <t>103942.0</t>
  </si>
  <si>
    <t>LINESTRING (10.59392230310428 59.9025877139873, 10.587839138655736 59.90113879555208, 10.587788034069302 59.901126776190516)</t>
  </si>
  <si>
    <t>[1552703, 1552711]</t>
  </si>
  <si>
    <t>[1401510, 1205875]</t>
  </si>
  <si>
    <t>[1401504, 1401510]</t>
  </si>
  <si>
    <t>[0.006, 0.779]</t>
  </si>
  <si>
    <t>380.0663612472915</t>
  </si>
  <si>
    <t>[0.041, 0.029, 0.037, 0.013, 0.008, -0.023, -0.04]</t>
  </si>
  <si>
    <t>LINESTRING (6.356342107839609 62.432067872465716, 6.357294492024324 62.43341611869313, 6.357916697251594 62.43430524410112, 6.358727898054618 62.43546048647582, 6.358762170909429 62.4355096542124, 6.359053644701272 62.43592535288519, 6.360367001997458 62.437754499507214, 6.360709247742705 62.43819825362376)</t>
  </si>
  <si>
    <t>[1332887, 1312556, 1312564, 1312572, 1312580, 1312588, 1312596]</t>
  </si>
  <si>
    <t>[1205897, 628795, 1220567, 1220574, 1220582, 1220590, 1220599]</t>
  </si>
  <si>
    <t>0.011042738012069508</t>
  </si>
  <si>
    <t>[1205889, 1205897, 628795, 1220567, 1220574, 1220582, 1220590]</t>
  </si>
  <si>
    <t>[0.041, 0.029, 0.037, 0.013, 0.008, 0.023, 0.04]</t>
  </si>
  <si>
    <t>721.3271122976168</t>
  </si>
  <si>
    <t>[0.017, 0.039, 0.054, 0.026, -0.028, -0.049, -0.02]</t>
  </si>
  <si>
    <t>LINESTRING (10.584103601636134 59.90070515053841, 10.58411092031971 59.900747032350786, 10.58403531052474 59.900820213139056, 10.58390837480432 59.90084724726438, 10.583683791208836 59.90077936807144, 10.58369126936256 59.90068411664035, 10.583869850153418 59.90062410439264, 10.584103601636134 59.90070515053841)</t>
  </si>
  <si>
    <t>[1292887, 1292895, 1292847, 1292855, 1292863, 1292871, 1292879]</t>
  </si>
  <si>
    <t>[1205823, 1205898, 1205807, 1205831, 1205908, 1205845, 1205890]</t>
  </si>
  <si>
    <t>5.947003915571504e-05</t>
  </si>
  <si>
    <t>[1205890, 1205823, 1205898, 1205807, 1205831, 1205908, 1205845]</t>
  </si>
  <si>
    <t>[0.017, 0.039, 0.054, 0.026, 0.028, 0.049, 0.02]</t>
  </si>
  <si>
    <t>77.21882372273211</t>
  </si>
  <si>
    <t>[0.043, 0.147, 0.185, 0.186]</t>
  </si>
  <si>
    <t>LINESTRING (6.202256289228169 62.46969522565488, 6.2023108855309985 62.46971113854444, 6.202369806528939 62.469760140971445, 6.202360803341355 62.46980815412944, 6.202340501647074 62.46982598757802)</t>
  </si>
  <si>
    <t>[1295117, 1295118, 1295126, 1295127]</t>
  </si>
  <si>
    <t>[343461, 1207574, 1207585, 1207586]</t>
  </si>
  <si>
    <t>0.14383483987090995</t>
  </si>
  <si>
    <t>[1207573, 343461, 1207574, 1207585]</t>
  </si>
  <si>
    <t>17.23318300475554</t>
  </si>
  <si>
    <t>[-0.147, -0.021]</t>
  </si>
  <si>
    <t>LINESTRING (6.202016984552805 62.46973525054118, 6.202099396551962 62.46969738670398, 6.202256289228169 62.46969522565488)</t>
  </si>
  <si>
    <t>[1295135, 1295136]</t>
  </si>
  <si>
    <t>[1207593, 1207573]</t>
  </si>
  <si>
    <t>[1207592, 1207593]</t>
  </si>
  <si>
    <t>[0.147, 0.021]</t>
  </si>
  <si>
    <t>14.11779364992167</t>
  </si>
  <si>
    <t>[3.37, -0.163, -0.174, -0.203, -0.17, -0.168, -0.174, -0.01, 0.128]</t>
  </si>
  <si>
    <t>LINESTRING (6.200842424613546 62.4704405201044, 6.200769386139745 62.47039448799399, 6.2007414543595445 62.47035186407794, 6.20073205171013 62.470008296128825, 6.200732074628103 62.46998227882081, 6.200732128796467 62.46994088179091, 6.200739373142036 62.46982612388162, 6.200831205578606 62.46969428257894, 6.202139646843535 62.46964421005016, 6.202256289228169 62.46969522565488)</t>
  </si>
  <si>
    <t>[2159288, 2159296, 2159304, 2159312, 2159320, 2159328, 2159336, 2159344, 2159352]</t>
  </si>
  <si>
    <t>[1849447, 1849451, 1849455, 1849462, 1849468, 1592137, 1849477, 1849484, 1207573]</t>
  </si>
  <si>
    <t>0.045971662629953</t>
  </si>
  <si>
    <t>[1218340, 1849447, 1849451, 1849455, 1849462, 1849468, 1592137, 1849477, 1849484]</t>
  </si>
  <si>
    <t>[3.37, 0.163, 0.174, 0.203, 0.17, 0.168, 0.174, 0.01, 0.128]</t>
  </si>
  <si>
    <t>174.85309584162673</t>
  </si>
  <si>
    <t>21.752282765473904</t>
  </si>
  <si>
    <t>[-2.156, 0.098, -0.008, 0.009]</t>
  </si>
  <si>
    <t>LINESTRING (6.202340501647074 62.46982598757802, 6.2023631578012735 62.469893851802965, 6.202365208078544 62.469900633582704, 6.207522095659508 62.47021428106265, 6.207790181074622 62.47025665988445)</t>
  </si>
  <si>
    <t>[1309508, 1309516, 1309524, 1309532]</t>
  </si>
  <si>
    <t>[1218291, 1218296, 1218302, 1215651]</t>
  </si>
  <si>
    <t>[1207586, 1218291, 1218296, 1218302]</t>
  </si>
  <si>
    <t>[2.156, 0.098, 0.008, 0.009]</t>
  </si>
  <si>
    <t>303.76602252154066</t>
  </si>
  <si>
    <t>7.418878419149489</t>
  </si>
  <si>
    <t>[-0.024, -0.008, -0.008, -0.037, 2.074]</t>
  </si>
  <si>
    <t>LINESTRING (6.198006045534363 62.47025327076851, 6.198224299774416 62.47021967766744, 6.200617646848433 62.470098332993196, 6.200965518552848 62.47008383448898, 6.201935768315974 62.46986271492692, 6.20200263978779 62.46980134260096)</t>
  </si>
  <si>
    <t>[1309540, 1309548, 1309564, 1309572, 1309580]</t>
  </si>
  <si>
    <t>[1218310, 1218316, 1218327, 1218332, 1207587]</t>
  </si>
  <si>
    <t>0.05598142323970418</t>
  </si>
  <si>
    <t>[1215661, 1218310, 1218316, 1218327, 1218332]</t>
  </si>
  <si>
    <t>[0.024, 0.008, 0.008, 0.037, 2.074]</t>
  </si>
  <si>
    <t>220.41136725938196</t>
  </si>
  <si>
    <t>[-0.08, -0.088, -0.085, -0.092, -0.097, -0.087, -0.083, -0.077, -0.006, 2.728]</t>
  </si>
  <si>
    <t>LINESTRING (6.200842424613546 62.4704405201044, 6.200884275502406 62.47039031925703, 6.200888248585943 62.47035137636239, 6.2008755560710185 62.470006189633445, 6.200875851704888 62.46997826468661, 6.200876337483323 62.469933831401086, 6.200885581970861 62.4698748078937, 6.200904196907544 62.46981381313507, 6.2009889872207165 62.46971243232235, 6.2019760520043965 62.4696847789294, 6.202016984552805 62.46973525054118)</t>
  </si>
  <si>
    <t>[1334155, 1334163, 1334171, 1334179, 1334187, 1334195, 1334203, 1334211, 1334219, 1334227]</t>
  </si>
  <si>
    <t>[1238826, 1238833, 1238840, 1238846, 1238852, 1238861, 1238869, 1238877, 1238883, 1207592]</t>
  </si>
  <si>
    <t>0.05949666634248115</t>
  </si>
  <si>
    <t>[1218340, 1238826, 1238833, 1238840, 1238846, 1238852, 1238861, 1238869, 1238877, 1238883]</t>
  </si>
  <si>
    <t>[0.08, 0.088, 0.085, 0.092, 0.097, 0.087, 0.083, 0.077, 0.006, 2.728]</t>
  </si>
  <si>
    <t>152.17558703466983</t>
  </si>
  <si>
    <t>28.950420394375925</t>
  </si>
  <si>
    <t>[-0.001, -0.01, -0.017]</t>
  </si>
  <si>
    <t>LINESTRING (9.637259046874645 63.28550724186002, 9.637078954132416 63.28557112673952, 9.630763411687052 63.286559354412354, 9.630625056856195 63.286563754118006)</t>
  </si>
  <si>
    <t>[1335873, 1335887, 1335895]</t>
  </si>
  <si>
    <t>[1240222, 1240230, 1240175]</t>
  </si>
  <si>
    <t>[1208516, 1240222, 1240230]</t>
  </si>
  <si>
    <t>[0.001, 0.01, 0.017]</t>
  </si>
  <si>
    <t>354.3311912428749</t>
  </si>
  <si>
    <t>[-0.012, -0.02, -0.033]</t>
  </si>
  <si>
    <t>LINESTRING (9.636709298381572 63.28558565270603, 9.630511346243802 63.286265826165675, 9.628566062485966 63.286406026608056, 9.624710430663525 63.28650720469311)</t>
  </si>
  <si>
    <t>[1296220, 1296228, 1296236]</t>
  </si>
  <si>
    <t>[1208526, 1208533, 1208539]</t>
  </si>
  <si>
    <t>[1208521, 1208526, 1208533]</t>
  </si>
  <si>
    <t>[0.012, 0.02, 0.033]</t>
  </si>
  <si>
    <t>613.6372892526754</t>
  </si>
  <si>
    <t>[0.009, 0.013, 0.015, 0.035, 0.036]</t>
  </si>
  <si>
    <t>LINESTRING (9.630417548748854 63.28602041011846, 9.630518961093836 63.286014929445514, 9.632045913038866 63.285953220294196, 9.636398526351135 63.285589262988054, 9.636670417162868 63.28558555268702, 9.636709298381572 63.28558565270603)</t>
  </si>
  <si>
    <t>[1335842, 1335848, 1335849, 1335850, 1335872]</t>
  </si>
  <si>
    <t>[1240204, 1240208, 1240209, 1240210, 1208521]</t>
  </si>
  <si>
    <t>0.015403666818548037</t>
  </si>
  <si>
    <t>[1240203, 1240204, 1240208, 1240209, 1240210]</t>
  </si>
  <si>
    <t>320.59070720069985</t>
  </si>
  <si>
    <t>43.717725524105454</t>
  </si>
  <si>
    <t>[0.027, 0.026, 0.009]</t>
  </si>
  <si>
    <t>LINESTRING (9.624710430663525 63.28650720469311, 9.624866998730376 63.28648235317616, 9.630306291187654 63.28602755228258, 9.630417548748854 63.28602041011846)</t>
  </si>
  <si>
    <t>[1335828, 1335836, 1335841]</t>
  </si>
  <si>
    <t>[1240192, 1240199, 1240203]</t>
  </si>
  <si>
    <t>0.02570177846307807</t>
  </si>
  <si>
    <t>[1208539, 1240192, 1240199]</t>
  </si>
  <si>
    <t>293.65875854841215</t>
  </si>
  <si>
    <t>LINESTRING (9.623845279645455 63.2864623574865, 9.41096637996732 63.250988945317495)</t>
  </si>
  <si>
    <t>[-0.018, -0.032, -0.015]</t>
  </si>
  <si>
    <t>LINESTRING (9.630625056856195 63.286563754118006, 9.630527097454983 63.286561536711616, 9.624095928259681 63.28650717033518, 9.623845279645455 63.2864623574865)</t>
  </si>
  <si>
    <t>[1335807, 1335816, 1335821]</t>
  </si>
  <si>
    <t>[1240176, 1240183, 1208544]</t>
  </si>
  <si>
    <t>[1240175, 1240176, 1240183]</t>
  </si>
  <si>
    <t>[0.018, 0.032, 0.015]</t>
  </si>
  <si>
    <t>341.8323166988067</t>
  </si>
  <si>
    <t>[-0.026, 0.29, 0.003, -0.018, -0.008, -0.007, 0.001, -0.006, 0.009, 0.049, 0.039, 0.029, 0.189, 0.058, -0.019, -0.057, -0.05, -0.109, -0.079, -0.078, -0.077, -0.076, -0.066, 0.015, 0.03, -0.035, -0.055, 0.002, -0.01, -0.061, -0.054, -0.093, -0.096, -0.001, 0.002, -0.001, 0.016]</t>
  </si>
  <si>
    <t>LINESTRING (7.761524575916197 62.49342803775059, 7.769951273368691 62.50120104084392, 7.770146484122586 62.501686084817194, 7.770195392956096 62.50181943442703, 7.7657268390167635 62.51211681340172, 7.76572457952552 62.51215659757631, 7.765721864799553 62.51219680892392, 7.76470531591415 62.514753654456904, 7.761927067382115 62.51725381029097, 7.75746044537658 62.5251712119588, 7.757459029657465 62.525219480797126, 7.757452314830964 62.52527578768397, 7.7541888048583445 62.5292244654031, 7.752342756383587 62.530173571762504, 7.749013186256943 62.53105986813697, 7.745562963222171 62.53210922046428, 7.745499103938149 62.532129587109786, 7.743707121341135 62.532648048119114, 7.736625374289793 62.53305892110064, 7.735502745869067 62.533036148875084, 7.734883765644622 62.53302426239547, 7.734743012700763 62.53302191319445, 7.734519071278138 62.53302012292195, 7.732588754885905 62.53317855568789, 7.7295517320040625 62.53607272260526, 7.724723497676135 62.53956230641642, 7.724628307633366 62.53959722169405, 7.724542718778827 62.53962945589077, 7.716667427655735 62.54801074731259, 7.706679180728866 62.5530665009395, 7.705957739279711 62.55343580653435, 7.7046256405733615 62.55406447091627, 7.704450682019422 62.554139786499135, 7.704325896435723 62.55419311367482, 7.687613412597782 62.55800074512802, 7.685743144982204 62.55822008577031, 7.685581476629713 62.558240057289005, 7.683586388192966 62.55846982542077)</t>
  </si>
  <si>
    <t>[1368482, 1407135, 1407143, 1407151, 1407159, 1407031, 1407039, 1407047, 1407055, 1407063, 1407191, 1407199, 1407207, 1407215, 1407223, 1407231, 1407239, 1407247, 1407255, 1407263, 1407271, 1407279, 1407287, 1327512, 1327520, 1327528, 1327536, 1327544, 1327552, 1327560, 1327568, 1327576, 1327584, 1327592, 1327600, 1327608, 1327616]</t>
  </si>
  <si>
    <t>[1262348, 1287488, 1287496, 1287503, 1287394, 1287395, 1287403, 1259489, 1287420, 1287428, 1287530, 1287537, 1287543, 1287548, 1287553, 1287558, 1287563, 1287571, 1287580, 1287588, 1287595, 1287600, 1233225, 313041, 1159016, 1233232, 939573, 1233242, 1233246, 1233253, 1233260, 1233267, 1233275, 1233283, 1233289, 1233297, 1208946]</t>
  </si>
  <si>
    <t>[1262340, 1262348, 1287488, 1287496, 1287503, 1287394, 1287395, 1287403, 1259489, 1287420, 1287428, 1287530, 1287537, 1287543, 1287548, 1287553, 1287558, 1287563, 1287571, 1287580, 1287588, 1287595, 1287600, 1233225, 313041, 1159016, 1233232, 939573, 1233242, 1233246, 1233253, 1233260, 1233267, 1233275, 1233283, 1233289, 1233297]</t>
  </si>
  <si>
    <t>[0.026, 0.29, 0.003, 0.018, 0.008, 0.007, 0.001, 0.006, 0.009, 0.049, 0.039, 0.029, 0.189, 0.058, 0.019, 0.057, 0.05, 0.109, 0.079, 0.078, 0.077, 0.076, 0.066, 0.015, 0.03, 0.035, 0.055, 0.002, 0.01, 0.061, 0.054, 0.093, 0.096, 0.001, 0.002, 0.001, 0.016]</t>
  </si>
  <si>
    <t>9692.044334466327</t>
  </si>
  <si>
    <t>[-0.005, 0.023]</t>
  </si>
  <si>
    <t>LINESTRING (6.353032258984029 62.46772393849029, 6.352882521855414 62.46772652663875, 6.352757832332132 62.467684273019636)</t>
  </si>
  <si>
    <t>[1309892, 1309900]</t>
  </si>
  <si>
    <t>[1218528, 1209004]</t>
  </si>
  <si>
    <t>0.009215591410501024</t>
  </si>
  <si>
    <t>[1218525, 1218528]</t>
  </si>
  <si>
    <t>[0.005, 0.023]</t>
  </si>
  <si>
    <t>15.73524440120472</t>
  </si>
  <si>
    <t>4.699415495697401</t>
  </si>
  <si>
    <t>[0.005, 0.003]</t>
  </si>
  <si>
    <t>LINESTRING (6.35388556242881 62.46638986398986, 6.353753055241941 62.46638813422054, 6.353627337818595 62.46634406418795)</t>
  </si>
  <si>
    <t>[1328589, 1328597]</t>
  </si>
  <si>
    <t>[1234051, 1209013]</t>
  </si>
  <si>
    <t>0.003913406468543319</t>
  </si>
  <si>
    <t>[1234048, 1234051]</t>
  </si>
  <si>
    <t>15.006133315121284</t>
  </si>
  <si>
    <t>[0.005, 0.006, 0.015, 0.018, 0.015, 0.016, 0.042]</t>
  </si>
  <si>
    <t>LINESTRING (6.353591589657087 62.46630537532299, 6.353462880759141 62.4662851793286, 6.352990399277571 62.466202384987064, 6.352633598757754 62.46614994134956, 6.351508921251339 62.46601225566997, 6.349137337212723 62.46571920125302, 6.347362891143333 62.46553804086085, 6.3471646499817425 62.465539336091965)</t>
  </si>
  <si>
    <t>[1296899, 1296907, 1296915, 1296923, 1296931, 1296939, 1296947]</t>
  </si>
  <si>
    <t>[1209017, 1209022, 1209028, 1209035, 1209040, 1209048, 1209055]</t>
  </si>
  <si>
    <t>0.015715181888886477</t>
  </si>
  <si>
    <t>[1209016, 1209017, 1209022, 1209028, 1209035, 1209040, 1209048]</t>
  </si>
  <si>
    <t>343.8502199898423</t>
  </si>
  <si>
    <t>[-0.002, -0.005]</t>
  </si>
  <si>
    <t>LINESTRING (6.353591589657087 62.46630537532299, 6.353593848026241 62.46625393389123, 6.3536972126516975 62.46618799558616)</t>
  </si>
  <si>
    <t>[1328526, 1328534]</t>
  </si>
  <si>
    <t>[1234016, 1234021]</t>
  </si>
  <si>
    <t>[1209016, 1234016]</t>
  </si>
  <si>
    <t>14.844763510605942</t>
  </si>
  <si>
    <t>[0.046, 0.039, 0.023, 0.005]</t>
  </si>
  <si>
    <t>LINESTRING (6.3471646499817425 62.465539336091965, 6.347112591234401 62.46554873339993, 6.346971014189168 62.46554317759365, 6.3468610546013675 62.465495441050116, 6.346842419852577 62.465471055957636)</t>
  </si>
  <si>
    <t>[1309940, 1309948, 1309956, 1309964]</t>
  </si>
  <si>
    <t>[1218560, 1218565, 1210890, 1209064]</t>
  </si>
  <si>
    <t>0.02930979660361747</t>
  </si>
  <si>
    <t>[1209055, 1218560, 1218565, 1210890]</t>
  </si>
  <si>
    <t>20.917345422593623</t>
  </si>
  <si>
    <t>[0.003, 0.038]</t>
  </si>
  <si>
    <t>LINESTRING (6.34725858349794 62.46540509282774, 6.347269436976717 62.46548088184991, 6.3471646499817425 62.465539336091965)</t>
  </si>
  <si>
    <t>[1310020, 1310028]</t>
  </si>
  <si>
    <t>[1218617, 1209055]</t>
  </si>
  <si>
    <t>0.020500750166977236</t>
  </si>
  <si>
    <t>[1218610, 1218617]</t>
  </si>
  <si>
    <t>16.966022794921074</t>
  </si>
  <si>
    <t>[-0.012, -0.031]</t>
  </si>
  <si>
    <t>LINESTRING (6.346842419852577 62.465471055957636, 6.346846752073896 62.46541977078054, 6.346925475076945 62.46536744080755)</t>
  </si>
  <si>
    <t>[1309972, 1309980]</t>
  </si>
  <si>
    <t>[1218579, 1218585]</t>
  </si>
  <si>
    <t>[1209064, 1218579]</t>
  </si>
  <si>
    <t>[0.012, 0.031]</t>
  </si>
  <si>
    <t>12.85369895023721</t>
  </si>
  <si>
    <t>2.9992805805514746</t>
  </si>
  <si>
    <t>[0.101, 0.142]</t>
  </si>
  <si>
    <t>LINESTRING (6.3006711546031005 62.4636455200581, 6.300696396921373 62.4637082342884, 6.300641025804657 62.46374559891093)</t>
  </si>
  <si>
    <t>[1310092, 1310100]</t>
  </si>
  <si>
    <t>[1218658, 1209143]</t>
  </si>
  <si>
    <t>0.1180277150209966</t>
  </si>
  <si>
    <t>[1218653, 1218658]</t>
  </si>
  <si>
    <t>12.185326114131541</t>
  </si>
  <si>
    <t>0.142</t>
  </si>
  <si>
    <t>LINESTRING (6.300588958749761 62.46375743649704, 6.300502437615034 62.46381591330422, 6.30018258733288 62.464008176578076)</t>
  </si>
  <si>
    <t>[1297067, 1297075]</t>
  </si>
  <si>
    <t>[1209149, 1209156]</t>
  </si>
  <si>
    <t>[1209148, 1209149]</t>
  </si>
  <si>
    <t>35.095895373341214</t>
  </si>
  <si>
    <t>[0.04, -0.09]</t>
  </si>
  <si>
    <t>LINESTRING (6.300588958749761 62.46375743649704, 6.3004579900752 62.46374767339662, 6.300394572077751 62.463692952427316)</t>
  </si>
  <si>
    <t>[1310044, 1310052]</t>
  </si>
  <si>
    <t>[1218629, 1218634]</t>
  </si>
  <si>
    <t>[1209148, 1218629]</t>
  </si>
  <si>
    <t>[0.04, 0.09]</t>
  </si>
  <si>
    <t>13.794614635842104</t>
  </si>
  <si>
    <t>[0.152, 0.09, -0.112]</t>
  </si>
  <si>
    <t>14706.0</t>
  </si>
  <si>
    <t>LINESTRING (6.30018258733288 62.464008176578076, 6.299988525080622 62.464209091311545, 6.295946022283096 62.466186687071364, 6.29385908418578 62.46696920132945)</t>
  </si>
  <si>
    <t>[1305549, 1305557, 1305565]</t>
  </si>
  <si>
    <t>[1215478, 1215484, 1209163]</t>
  </si>
  <si>
    <t>0.03389675232256079</t>
  </si>
  <si>
    <t>[1209156, 1215478, 1215484]</t>
  </si>
  <si>
    <t>[0.152, 0.09, 0.112]</t>
  </si>
  <si>
    <t>476.11423539622086</t>
  </si>
  <si>
    <t>[-1.017, 0.61]</t>
  </si>
  <si>
    <t>LINESTRING (6.300394572077751 62.463692952427316, 6.300325359744531 62.46378207323805, 6.30018258733288 62.464008176578076)</t>
  </si>
  <si>
    <t>[2135209, 2135217]</t>
  </si>
  <si>
    <t>[1835846, 1209156]</t>
  </si>
  <si>
    <t>0.1444122260714802</t>
  </si>
  <si>
    <t>[1218634, 1835846]</t>
  </si>
  <si>
    <t>[1.017, 0.61]</t>
  </si>
  <si>
    <t>36.9615174000534</t>
  </si>
  <si>
    <t>[-0.121, -0.11, -0.104, -0.1, -0.09, -0.098, -0.073, -0.025, -0.018, -0.012]</t>
  </si>
  <si>
    <t>LINESTRING (6.29385908418578 62.46696920132945, 6.293509095074969 62.46727064833086, 6.293484445602995 62.46729312584548, 6.293163791500444 62.467672807796845, 6.2931171538211705 62.46773776435322, 6.293038079551931 62.467919940581695, 6.293034127394927 62.46792968608625, 6.292977075551837 62.468341002375176, 6.292982301153759 62.46836777059244, 6.2930311144821385 62.46860294119492, 6.293056142809324 62.468676722267354)</t>
  </si>
  <si>
    <t>[1297083, 1297091, 1297099, 1297107, 1297115, 1297123, 1297131, 1297140, 1297164, 1297172]</t>
  </si>
  <si>
    <t>[1209164, 1209169, 1209174, 1209180, 1209187, 1209193, 1209202, 1209209, 1209224, 1209232]</t>
  </si>
  <si>
    <t>[1209163, 1209164, 1209169, 1209174, 1209180, 1209187, 1209193, 1209202, 1209209, 1209224]</t>
  </si>
  <si>
    <t>[0.121, 0.11, 0.104, 0.1, 0.09, 0.098, 0.073, 0.025, 0.018, 0.012]</t>
  </si>
  <si>
    <t>200.2948620750688</t>
  </si>
  <si>
    <t>[-0.377, 0.023, 0.025, 0.019, 0.024, 0.021, -0.0, -0.09, -0.017]</t>
  </si>
  <si>
    <t>LINESTRING (6.29385908418578 62.46696920132945, 6.2933448718539395 62.46725755067514, 6.29298931333749 62.467653471779705, 6.292965385749338 62.467687325921666, 6.292945626957658 62.46772227346089, 6.29293061263911 62.46776699816373, 6.292874454287987 62.467906988545295, 6.292823063580918 62.46834032036348, 6.2928131475304445 62.468606597183125, 6.292790119845046 62.46867164642753)</t>
  </si>
  <si>
    <t>[2135281, 2135289, 2135297, 2135305, 2135313, 2135321, 2135329, 2135337, 2135345]</t>
  </si>
  <si>
    <t>[1835882, 1835888, 1210755, 1835893, 1589875, 1835899, 1210796, 1835904, 1218704]</t>
  </si>
  <si>
    <t>[1209163, 1835882, 1835888, 1210755, 1835893, 1589875, 1835899, 1210796, 1835904]</t>
  </si>
  <si>
    <t>[0.377, 0.023, 0.025, 0.019, 0.024, 0.021, 0.0, 0.09, 0.017]</t>
  </si>
  <si>
    <t>205.19224248101102</t>
  </si>
  <si>
    <t>[0.006, -0.028, -0.059, -0.062]</t>
  </si>
  <si>
    <t>LINESTRING (6.293056142809324 62.468676722267354, 6.293099418336688 62.46871558722342, 6.2930728253441535 62.46877981598058, 6.2929795284037064 62.468812842496575, 6.292835756473399 62.4688092531409)</t>
  </si>
  <si>
    <t>[1310108, 1310116, 1310124, 1310132]</t>
  </si>
  <si>
    <t>[1218670, 1218677, 1218681, 1209240]</t>
  </si>
  <si>
    <t>[1209232, 1218670, 1218677, 1218681]</t>
  </si>
  <si>
    <t>[0.006, 0.028, 0.059, 0.062]</t>
  </si>
  <si>
    <t>25.702402288380974</t>
  </si>
  <si>
    <t>[0.056, 0.047, 0.032]</t>
  </si>
  <si>
    <t>LINESTRING (6.292790119845046 62.46867164642753, 6.292868863536018 62.468650364780615, 6.292959789749006 62.46865056878508, 6.293056142809324 62.468676722267354)</t>
  </si>
  <si>
    <t>[1310164, 1310172, 1310180]</t>
  </si>
  <si>
    <t>[1218711, 1218717, 1209232]</t>
  </si>
  <si>
    <t>0.04409058695222335</t>
  </si>
  <si>
    <t>[1218704, 1218711, 1218717]</t>
  </si>
  <si>
    <t>15.189146655479846</t>
  </si>
  <si>
    <t>[-0.02, 0.036]</t>
  </si>
  <si>
    <t>LINESTRING (6.292835756473399 62.4688092531409, 6.292743921536687 62.46876197695249, 6.29275094756643 62.46869903921698)</t>
  </si>
  <si>
    <t>[1310140, 1310148]</t>
  </si>
  <si>
    <t>[1218692, 1218699]</t>
  </si>
  <si>
    <t>0.007876985825435601</t>
  </si>
  <si>
    <t>[1209240, 1218692]</t>
  </si>
  <si>
    <t>14.138991243698953</t>
  </si>
  <si>
    <t>LINESTRING (6.235707506980825 62.47035196088947, 6.232467361521457 62.470205286523466, 6.232405575404276 62.47020599300531)</t>
  </si>
  <si>
    <t>[1297257, 1297273]</t>
  </si>
  <si>
    <t>[1209293, 1209306]</t>
  </si>
  <si>
    <t>0.05296277009872783</t>
  </si>
  <si>
    <t>[1209292, 1209293]</t>
  </si>
  <si>
    <t>171.6430590379501</t>
  </si>
  <si>
    <t>[0.081, 0.001, -0.002, -0.09]</t>
  </si>
  <si>
    <t>LINESTRING (6.235707506980825 62.47035196088947, 6.232462273581026 62.47017182581316, 6.230277303400135 62.47031282128088, 6.225897863779787 62.471052849753484, 6.223196362173062 62.47135347670627)</t>
  </si>
  <si>
    <t>[2135449, 2135457, 2135465, 2135473]</t>
  </si>
  <si>
    <t>[1835958, 1835964, 1835968, 1209337]</t>
  </si>
  <si>
    <t>0.0006071950380624701</t>
  </si>
  <si>
    <t>[1209292, 1835958, 1835964, 1835968]</t>
  </si>
  <si>
    <t>[0.081, 0.001, 0.002, 0.09]</t>
  </si>
  <si>
    <t>668.659307190861</t>
  </si>
  <si>
    <t>42.811038132699075</t>
  </si>
  <si>
    <t>[0.046, -0.005, -0.088]</t>
  </si>
  <si>
    <t>LINESTRING (6.232405575404276 62.47020599300531, 6.230298693970182 62.47034547997512, 6.22592576334452 62.471092600087424, 6.223196362173062 62.47135347670627)</t>
  </si>
  <si>
    <t>[1297274, 1297281, 1297301]</t>
  </si>
  <si>
    <t>[1209307, 1209315, 1209337]</t>
  </si>
  <si>
    <t>[1209306, 1209307, 1209315]</t>
  </si>
  <si>
    <t>[0.046, 0.005, 0.088]</t>
  </si>
  <si>
    <t>495.8995117607891</t>
  </si>
  <si>
    <t>[-0.065, -0.065, 0.039, 0.058]</t>
  </si>
  <si>
    <t>LINESTRING (6.23755916836164 62.471119519695925, 6.2374319468867085 62.471051565041506, 6.23742313213142 62.47103103577079, 6.2326633162777645 62.47022254425755, 6.232405575404276 62.47020599300531)</t>
  </si>
  <si>
    <t>[1297963, 1297971, 1309468, 1297987]</t>
  </si>
  <si>
    <t>[1209939, 1209945, 1209959, 1209306]</t>
  </si>
  <si>
    <t>0.03565659080221739</t>
  </si>
  <si>
    <t>[1209837, 1209939, 1209945, 1209959]</t>
  </si>
  <si>
    <t>[0.065, 0.065, 0.039, 0.058]</t>
  </si>
  <si>
    <t>308.6579063850485</t>
  </si>
  <si>
    <t>808.6252638464169</t>
  </si>
  <si>
    <t>[-0.015, -0.02, -0.017]</t>
  </si>
  <si>
    <t>LINESTRING (6.172991895534758 62.47045011771949, 6.172407467331085 62.47048630559563, 6.1721749823070065 62.470494224680465, 6.171890712320132 62.470503071837406)</t>
  </si>
  <si>
    <t>[1297340, 1297348, 1297364]</t>
  </si>
  <si>
    <t>[1209372, 1209381, 1209394]</t>
  </si>
  <si>
    <t>[1209371, 1209372, 1209381]</t>
  </si>
  <si>
    <t>[0.015, 0.02, 0.017]</t>
  </si>
  <si>
    <t>57.264034483713715</t>
  </si>
  <si>
    <t>[0.819, -0.008, -0.008, -0.008]</t>
  </si>
  <si>
    <t>LINESTRING (6.172991895534758 62.47045011771949, 6.172176534787586 62.47043854211529, 6.17181835559225 62.47043927028789, 6.1712444418996455 62.47044241241994, 6.17110604073409 62.47044301516375)</t>
  </si>
  <si>
    <t>[2135481, 2135489, 2135497, 2135505]</t>
  </si>
  <si>
    <t>[1835978, 1835985, 1835989, 1783342]</t>
  </si>
  <si>
    <t>0.34964432248223637</t>
  </si>
  <si>
    <t>[1209371, 1835978, 1835985, 1835989]</t>
  </si>
  <si>
    <t>[0.819, 0.008, 0.008, 0.008]</t>
  </si>
  <si>
    <t>97.51786327347072</t>
  </si>
  <si>
    <t>[-0.024, -0.01, -0.016, -0.016, -0.018]</t>
  </si>
  <si>
    <t>LINESTRING (6.182640663985434 62.47073371121682, 6.177374679723782 62.470449349036855, 6.175591241640547 62.470435637442925, 6.175310856888758 62.47043550251402, 6.175088032009429 62.470435962242554, 6.172991895534758 62.47045011771949)</t>
  </si>
  <si>
    <t>[1305869, 1305877, 1305885, 1305893, 1305901]</t>
  </si>
  <si>
    <t>[1215682, 1215686, 1215694, 1215699, 1209371]</t>
  </si>
  <si>
    <t>[1215677, 1215682, 1215686, 1215694, 1215699]</t>
  </si>
  <si>
    <t>[0.024, 0.01, 0.016, 0.016, 0.018]</t>
  </si>
  <si>
    <t>500.80782699683385</t>
  </si>
  <si>
    <t>[-0.013, -0.017, -0.021, -0.014, -0.017, -0.017, -0.019, -0.021, -0.016, -0.017, -0.018, -0.017, -0.008, -0.005, -0.002, -0.003, -0.005, 0.0, 0.002, 0.004, -0.003, -0.008, -0.009, -0.006, -0.01, -0.007, -0.007, 0.017, 0.574, 0.002, -0.006]</t>
  </si>
  <si>
    <t>LINESTRING (6.171890712320132 62.470503071837406, 6.171812534148091 62.470505950923595, 6.171095242059212 62.470525366481255, 6.1709219294089666 62.470524457254626, 6.170760811159761 62.470526006338986, 6.170708334146764 62.470526176242664, 6.170616738132035 62.470525786055575, 6.170522912393369 62.47052613031426, 6.17040495630706 62.470524954029024, 6.169984200004164 62.47052612513988, 6.169312567446772 62.47053119865174, 6.169182233555469 62.47053336232028, 6.1691007423251225 62.47053470908634, 6.167964044864768 62.47063101806109, 6.167871245649562 62.47064444058028, 6.167816274119108 62.47065331647866, 6.167645319678625 62.4706807518317, 6.1665676105587925 62.47084994311577, 6.165223157496628 62.4708948831381, 6.16508749050927 62.47088137444933, 6.1638414913880855 62.470851999988746, 6.162829448610982 62.47083962313083, 6.162079497704882 62.470888360577916, 6.162047190685857 62.47089200168045, 6.161952532896907 62.47090535600055, 6.161914769528938 62.47091066431054, 6.161826848639732 62.47092395142308, 6.161388015753516 62.470993625858775, 6.161039590579691 62.47104441393154, 6.161034845753329 62.471045069105394, 6.1608696578289335 62.47106281428766, 6.159729145946164 62.47105284352209)</t>
  </si>
  <si>
    <t>[1297374, 1297380, 1297381, 1297388, 1297389, 1297390, 1297398, 1297399, 1297400, 1297405, 1297413, 1297414, 1297428, 1297429, 1297432, 1297445, 1297453, 1297459, 1297466, 1297469, 1297472, 1297475, 1297485, 1297486, 1297494, 1297502, 1297514, 1297515, 1297529, 1297530, 1297552]</t>
  </si>
  <si>
    <t>[1209403, 1209410, 1209411, 1209419, 320983, 1209420, 1209429, 1209430, 1209431, 1209435, 1209445, 1209446, 1209460, 343233, 1209464, 1209472, 1209479, 1209483, 1209491, 1209494, 1209498, 1209501, 1209515, 1209516, 1209523, 1209532, 1209548, 1209549, 1209559, 1209560, 1209579]</t>
  </si>
  <si>
    <t>[1209394, 1209403, 1209410, 1209411, 1209419, 320983, 1209420, 1209429, 1209430, 1209431, 1209435, 1209445, 1209446, 1209460, 343233, 1209464, 1209472, 1209479, 1209483, 1209491, 1209494, 1209498, 1209501, 1209515, 1209516, 1209523, 1209532, 1209548, 1209549, 1209559, 1209560]</t>
  </si>
  <si>
    <t>[0.013, 0.017, 0.021, 0.014, 0.017, 0.017, 0.019, 0.021, 0.016, 0.017, 0.018, 0.017, 0.008, 0.005, 0.002, 0.003, 0.005, 0.0, 0.002, 0.004, 0.003, 0.008, 0.009, 0.006, 0.01, 0.007, 0.007, 0.017, 0.574, 0.002, 0.006]</t>
  </si>
  <si>
    <t>638.8695726819867</t>
  </si>
  <si>
    <t>[-0.018, -0.016, -0.018, -0.023]</t>
  </si>
  <si>
    <t>LINESTRING (6.17625158287926 62.470519839431695, 6.176233669596155 62.47052026157837, 6.176140225308819 62.47052247765967, 6.172183990993105 62.47052268068805, 6.171890712320132 62.470503071837406)</t>
  </si>
  <si>
    <t>[1309676, 1309684, 1309804, 1298027]</t>
  </si>
  <si>
    <t>[1218402, 1218406, 1210000, 1209394]</t>
  </si>
  <si>
    <t>[1212643, 1218402, 1218406, 1210000]</t>
  </si>
  <si>
    <t>[0.018, 0.016, 0.018, 0.023]</t>
  </si>
  <si>
    <t>225.79788934196998</t>
  </si>
  <si>
    <t>LINESTRING (6.159729145946164 62.47105284352209, 6.158506786418759 62.47098924799501, 6.15751050664669 62.47093416687345)</t>
  </si>
  <si>
    <t>[1305909, 1305917]</t>
  </si>
  <si>
    <t>[1215709, 1209621]</t>
  </si>
  <si>
    <t>[1209579, 1215709]</t>
  </si>
  <si>
    <t>115.46267202802855</t>
  </si>
  <si>
    <t>[-0.008, 0.008, -0.008, -0.008, 0.036, -0.008, 0.007, 0.024, 0.025, 0.034, 0.031, 0.027, 0.004, -0.016, -0.031, -0.073, -0.127, -0.105, -0.071, -0.083, -0.086, -0.096, -0.098, -0.489]</t>
  </si>
  <si>
    <t>LINESTRING (6.17110604073409 62.47044301516375, 6.170852429534379 62.470443385147405, 6.170617051550182 62.47044534197568, 6.170405570261144 62.47044619205177, 6.169188127761785 62.470453599308854, 6.169106492413795 62.470456021423466, 6.168970601486012 62.4704605870599, 6.168190988002386 62.47052116658635, 6.167973676284624 62.4705492067107, 6.167827553998768 62.4705675432015, 6.167714506032121 62.47058654296429, 6.167653570519512 62.470597153281545, 6.166572515392686 62.470772412400684, 6.166461295446447 62.47078316774358, 6.1650866710540955 62.47081619478203, 6.163836475475816 62.47080229653893, 6.162840075758378 62.47079089975798, 6.162822023409607 62.47079060634636, 6.162043379729681 62.47082344939213, 6.161916468513065 62.47083849598515, 6.161793555533696 62.4708552618008, 6.161008687356159 62.47096895347607, 6.160849646433795 62.4709911038408, 6.16063151238497 62.471016748612556, 6.159729145946164 62.47105284352209)</t>
  </si>
  <si>
    <t>[2135513, 2135521, 2135529, 2135537, 2135545, 2135553, 2135561, 2135569, 2135577, 2135585, 2135593, 2135601, 2135609, 2135617, 2135625, 2135633, 2135641, 2135649, 2135657, 2135665, 2135681, 2135689, 2135697, 2135705]</t>
  </si>
  <si>
    <t>[1835993, 320982, 1836002, 1836005, 1836012, 1836018, 1836022, 1836029, 343228, 1591901, 1836049, 1836054, 1836058, 1836062, 1836067, 1836071, 1836076, 1836080, 1836084, 1836089, 1836098, 1836104, 1836109, 1209579]</t>
  </si>
  <si>
    <t>[1783342, 1835993, 320982, 1836002, 1836005, 1836012, 1836018, 1836022, 1836029, 343228, 1591901, 1836049, 1836054, 1836058, 1836062, 1836067, 1836071, 1836076, 1836080, 1836084, 1836089, 1836098, 1836104, 1836109]</t>
  </si>
  <si>
    <t>[0.008, 0.008, 0.008, 0.008, 0.036, 0.008, 0.007, 0.024, 0.025, 0.034, 0.031, 0.027, 0.004, 0.016, 0.031, 0.073, 0.127, 0.105, 0.071, 0.083, 0.086, 0.096, 0.098, 0.489]</t>
  </si>
  <si>
    <t>597.4167444817251</t>
  </si>
  <si>
    <t>[0.001, 0.049, -0.009, -0.006, -0.031, -0.267, 0.002, 0.004, 0.004, 0.009, 0.013, 0.015]</t>
  </si>
  <si>
    <t>LINESTRING (6.15751050664669 62.47093416687345, 6.157274351465971 62.47094452926118, 6.1562366264075985 62.47102108884289, 6.15610898127932 62.47107421501456, 6.156006508377987 62.47112123924434, 6.155848321196372 62.47107972019111, 6.155710481744274 62.47104324225486, 6.154290454919145 62.4707122547423, 6.154209851385563 62.47069221112814, 6.153070283902318 62.470466207029446, 6.152941035011866 62.47046956354131, 6.1527823861155 62.470497387680304, 6.152546149599326 62.47060204945453)</t>
  </si>
  <si>
    <t>[1297614, 1297615, 349261, 2095686, 349293, 2095702, 1297629, 1297630, 1297636, 1297644, 1297648, 1297660]</t>
  </si>
  <si>
    <t>[1209622, 337368, 337369, 337387, 337402, 1209633, 1209634, 1209635, 1209641, 321069, 1209653, 1209667]</t>
  </si>
  <si>
    <t>0.0034948531017606707</t>
  </si>
  <si>
    <t>[1209621, 1209622, 337368, 337369, 337387, 337402, 1209633, 1209634, 1209635, 1209641, 321069, 1209653]</t>
  </si>
  <si>
    <t>[0.001, 0.049, 0.009, 0.006, 0.031, 0.267, 0.002, 0.004, 0.004, 0.009, 0.013, 0.015]</t>
  </si>
  <si>
    <t>285.26742595410144</t>
  </si>
  <si>
    <t>[0.256, -0.025, -0.008, -0.006, -0.026, -0.033, -0.027, -0.022, -0.022, -0.02, -0.017, 0.152]</t>
  </si>
  <si>
    <t>LINESTRING (6.15751050664669 62.47093416687345, 6.157233425268365 62.470900304686644, 6.1562267575260945 62.47089980041146, 6.156029360259317 62.47097901147076, 6.1559319145029425 62.47103308101708, 6.1558553345658105 62.47101610626395, 6.155780493110778 62.47099952267596, 6.154271834033614 62.47064012528343, 6.154195408567715 62.4706118979227, 6.153040135238368 62.47038920132421, 6.152885556626902 62.470386483713675, 6.152706592408718 62.47043659929761, 6.152546149599326 62.47060204945453)</t>
  </si>
  <si>
    <t>[2135713, 2135721, 2135729, 349269, 2095670, 2095678, 2135737, 2135745, 2135753, 2135761, 2135769, 2135777]</t>
  </si>
  <si>
    <t>[1836116, 1822670, 337377, 337378, 1812908, 1812912, 1836129, 1836134, 1836138, 321059, 1836146, 1209667]</t>
  </si>
  <si>
    <t>0.003094043984168076</t>
  </si>
  <si>
    <t>[1209621, 1836116, 1822670, 337377, 337378, 1812908, 1812912, 1836129, 1836134, 1836138, 321059, 1836146]</t>
  </si>
  <si>
    <t>[0.256, 0.025, 0.008, 0.006, 0.026, 0.033, 0.027, 0.022, 0.022, 0.02, 0.017, 0.152]</t>
  </si>
  <si>
    <t>294.4517893888327</t>
  </si>
  <si>
    <t>[0.019, -1.626, 0.817, 0.028, 0.026, 0.026, 0.024, -1.265, 2.467, 0.021, 0.015, 0.021, 0.032, 0.028, 0.024, 0.02, 0.01, 0.002, -0.01, 0.008]</t>
  </si>
  <si>
    <t>11476.0</t>
  </si>
  <si>
    <t>[0, 0, 0, 0, 0, 1, 1, 0, 0, 0, 0, 0, 0, 0, 0, 0, 0, 0, 0, 0]</t>
  </si>
  <si>
    <t>LINESTRING (6.152546149599326 62.47060204945453, 6.152283038335845 62.470762512401755, 6.152238889154753 62.47076945274698, 6.152145287291285 62.47078180150471, 6.152075439610633 62.470789205704534, 6.151947079475477 62.47080018305581, 6.151515795794986 62.47083371409873, 6.15139571862591 62.47082830987639, 6.151319701508837 62.47081953890189, 6.151280722407751 62.47081359556894, 6.151238807782782 62.470807085041216, 6.150705918961357 62.47072313254084, 6.148692322590595 62.470398139487656, 6.148582611085638 62.470386336472544, 6.14721746913311 62.47024616826279, 6.146778176146188 62.47020184151925, 6.14477530864435 62.47002456179719, 6.143032160337332 62.470038257448564, 6.1414376333129095 62.470115081260545, 6.138241017237309 62.47062169770377, 6.135664316401171 62.47049506055456)</t>
  </si>
  <si>
    <t>[1305925, 1832545, 1832546, 1306013, 1306021, 1306029, 1306037, 1832537, 1832538, 1306158, 1306166, 1306174, 1306182, 1306190, 1306198, 1306206, 1306214, 1306222, 1306230, 1306238]</t>
  </si>
  <si>
    <t>[1215716, 1608597, 1215783, 1215784, 923834, 1215797, 1215803, 1608593, 1215880, 1215881, 288521, 1215896, 1215903, 919377, 1215916, 924939, 924997, 925083, 937354, 1211360]</t>
  </si>
  <si>
    <t>0.010790353799590634</t>
  </si>
  <si>
    <t>[1209667, 1215716, 1608597, 1215783, 1215784, 923834, 1215797, 1215803, 1608593, 1215880, 1215881, 288521, 1215896, 1215903, 919377, 1215916, 924939, 924997, 925083, 937354]</t>
  </si>
  <si>
    <t>[0.019, 1.626, 0.817, 0.028, 0.026, 0.026, 0.024, 1.265, 2.467, 0.021, 0.015, 0.021, 0.032, 0.028, 0.024, 0.02, 0.01, 0.002, 0.01, 0.008]</t>
  </si>
  <si>
    <t>910.9104316814856</t>
  </si>
  <si>
    <t>[0.068, 0.062]</t>
  </si>
  <si>
    <t>LINESTRING (6.237598045617328 62.471033950771236, 6.2375797054402495 62.47108018905234, 6.23755916836164 62.471119519695925)</t>
  </si>
  <si>
    <t>[1297835, 1297836]</t>
  </si>
  <si>
    <t>[1209836, 1209837]</t>
  </si>
  <si>
    <t>0.06522456935459904</t>
  </si>
  <si>
    <t>[1209834, 1209836]</t>
  </si>
  <si>
    <t>9.769654478370633</t>
  </si>
  <si>
    <t>[-0.008, -0.041]</t>
  </si>
  <si>
    <t>LINESTRING (6.237598045617328 62.471033950771236, 6.237537132217325 62.47103877240916, 6.237521011657508 62.47104073468913)</t>
  </si>
  <si>
    <t>[1333886, 1333894]</t>
  </si>
  <si>
    <t>[1238650, 1238658]</t>
  </si>
  <si>
    <t>[1209834, 1238650]</t>
  </si>
  <si>
    <t>[0.008, 0.041]</t>
  </si>
  <si>
    <t>4.056346870405259</t>
  </si>
  <si>
    <t>[-0.005, -0.01, -0.01, -0.011, -0.035, -0.03, -0.032, -0.032, -0.029, -0.033, -0.034]</t>
  </si>
  <si>
    <t>LINESTRING (6.241222614590326 62.46953048871423, 6.241228125626812 62.46956334282294, 6.24125982993399 62.46977850927014, 6.2412639766371 62.46981472917193, 6.23956844438519 62.47088501417262, 6.23950200955138 62.47089306600968, 6.239287398236842 62.47091907262583, 6.238608476066156 62.47097785445183, 6.238456370191509 62.47098828513667, 6.237741200442054 62.471027057470025, 6.237647421585036 62.4710315711335, 6.237598045617328 62.471033950771236)</t>
  </si>
  <si>
    <t>[1333797, 1333805, 1333813, 1333821, 1333830, 1333838, 1333846, 1333854, 1333862, 1333870, 1333878]</t>
  </si>
  <si>
    <t>[1238585, 1238593, 1238598, 1210503, 1238609, 1238616, 1238624, 1238627, 1238633, 1238637, 1209834]</t>
  </si>
  <si>
    <t>[1209933, 1238585, 1238593, 1238598, 1210503, 1238609, 1238616, 1238624, 1238627, 1238633, 1238637]</t>
  </si>
  <si>
    <t>[0.005, 0.01, 0.01, 0.011, 0.035, 0.03, 0.032, 0.032, 0.029, 0.033, 0.034]</t>
  </si>
  <si>
    <t>295.1362287102799</t>
  </si>
  <si>
    <t>[-0.001, -0.021, 0.034]</t>
  </si>
  <si>
    <t>LINESTRING (6.240724133755128 62.470485743247266, 6.2406644858944595 62.47052689310133, 6.23760682838357 62.471018556277954, 6.237598045617328 62.471033950771236)</t>
  </si>
  <si>
    <t>[1309122, 1309130, 1297833]</t>
  </si>
  <si>
    <t>[1217994, 1209833, 1209834]</t>
  </si>
  <si>
    <t>[1215639, 1217994, 1209833]</t>
  </si>
  <si>
    <t>[0.001, 0.021, 0.034]</t>
  </si>
  <si>
    <t>201.19962691472392</t>
  </si>
  <si>
    <t>14.122</t>
  </si>
  <si>
    <t>0.9889560152429212</t>
  </si>
  <si>
    <t>[0.848, 0.031, 0.016, 0.026, 0.03, 0.019, 0.018, 0.016, 0.014, -2.567]</t>
  </si>
  <si>
    <t>LINESTRING (6.241388207282297 62.469522155387615, 6.241397169639875 62.46955740562859, 6.241418155550021 62.46979109746166, 6.2396989509751295 62.47094906267136, 6.239652294979779 62.4709631280592, 6.239544768571763 62.47098630213766, 6.239302148066729 62.47101208246336, 6.238656735565365 62.47105536229648, 6.23775728964457 62.471108639409536, 6.23766290371031 62.47111381956753, 6.23755916836164 62.471119519695925)</t>
  </si>
  <si>
    <t>[2159000, 2159008, 2159016, 2159024, 2159032, 2159040, 2159048, 2159056, 2159064, 2159072]</t>
  </si>
  <si>
    <t>[1849253, 1849259, 1592198, 1849272, 1210489, 1849286, 1849291, 1849295, 1849300, 1209837]</t>
  </si>
  <si>
    <t>[1209926, 1849253, 1849259, 1592198, 1849272, 1210489, 1849286, 1849291, 1849295, 1849300]</t>
  </si>
  <si>
    <t>[0.848, 0.031, 0.016, 0.026, 0.03, 0.019, 0.018, 0.016, 0.014, 2.567]</t>
  </si>
  <si>
    <t>308.96966997920913</t>
  </si>
  <si>
    <t>7.600847913225288</t>
  </si>
  <si>
    <t>13.864555276542415</t>
  </si>
  <si>
    <t>14.056030343230482</t>
  </si>
  <si>
    <t>[0.053, 0.052, 0.044, -0.026, -0.049]</t>
  </si>
  <si>
    <t>LINESTRING (6.241343036779995 62.46939805124661, 6.2413991089217 62.46940392883984, 6.241660696428043 62.46939446364933, 6.242208124175723 62.469437494813775, 6.243987325639932 62.470025770842675, 6.244074796087957 62.47004910334336)</t>
  </si>
  <si>
    <t>[1297931, 1309211, 1309220, 1309228, 1309236]</t>
  </si>
  <si>
    <t>[1209910, 1218061, 1218066, 1218071, 1215615]</t>
  </si>
  <si>
    <t>[1209902, 1209910, 1218061, 1218066, 1218071]</t>
  </si>
  <si>
    <t>[0.053, 0.052, 0.044, 0.026, 0.049]</t>
  </si>
  <si>
    <t>164.06982933858552</t>
  </si>
  <si>
    <t>8.61123086445767</t>
  </si>
  <si>
    <t>[-0.035, 0.018, 0.019, 0.031, 0.0, 0.019, -0.047, -0.05, -0.043]</t>
  </si>
  <si>
    <t>[1, 1, 1, 1, 0, 0, 0, 0, 0]</t>
  </si>
  <si>
    <t>LINESTRING (6.236525998054892 62.47041025131873, 6.236751951383217 62.47039065996557, 6.241006212621313 62.47017976500717, 6.2413928820155515 62.47012337484015, 6.2424364632588425 62.469902673263796, 6.2424404563412175 62.46990012433699, 6.242168326710811 62.46948191557472, 6.241693000067682 62.469481733050074, 6.241430033478452 62.46951835724037, 6.241388207282297 62.469522155387615)</t>
  </si>
  <si>
    <t>[1309324, 1309332, 1309340, 1309348, 1309356, 1309364, 1309372, 1309380, 1297947]</t>
  </si>
  <si>
    <t>[1218156, 1218163, 1218171, 1218174, 1218180, 1218187, 1218194, 1209925, 1209926]</t>
  </si>
  <si>
    <t>0.0119814408932109</t>
  </si>
  <si>
    <t>[1215642, 1218156, 1218163, 1218171, 1218174, 1218180, 1218187, 1218194, 1209925]</t>
  </si>
  <si>
    <t>[0.035, 0.018, 0.019, 0.031, 0.0, 0.019, 0.047, 0.05, 0.043]</t>
  </si>
  <si>
    <t>414.0475649518498</t>
  </si>
  <si>
    <t>41.02259877190026</t>
  </si>
  <si>
    <t>[0.086, 0.0, -0.025]</t>
  </si>
  <si>
    <t>LINESTRING (6.201624265459542 62.470503288977376, 6.201583705242142 62.47054828510673, 6.201581437154872 62.470550798013136, 6.200842424613546 62.4704405201044)</t>
  </si>
  <si>
    <t>[1298003, 1298019, 2159280]</t>
  </si>
  <si>
    <t>[1209975, 1209993, 1218340]</t>
  </si>
  <si>
    <t>[1209966, 1209975, 1209993]</t>
  </si>
  <si>
    <t>[0.086, 0.0, 0.025]</t>
  </si>
  <si>
    <t>47.07373344892273</t>
  </si>
  <si>
    <t>[0.03, 0.023, 0.029, 0.035, 0.073]</t>
  </si>
  <si>
    <t>LINESTRING (6.207790181074622 62.47025665988445, 6.20755577938169 62.470280946158105, 6.2025770919265 62.470402926969335, 6.2025660784405146 62.47040201044534, 6.201668594785665 62.47046217437741, 6.201624265459542 62.470503288977376)</t>
  </si>
  <si>
    <t>[1309476, 1309484, 1309492, 1309500, 1297995]</t>
  </si>
  <si>
    <t>[1218272, 1218278, 1218283, 1209965, 1209966]</t>
  </si>
  <si>
    <t>0.026031720001533386</t>
  </si>
  <si>
    <t>[1215651, 1218272, 1218278, 1218283, 1209965]</t>
  </si>
  <si>
    <t>331.29861174722475</t>
  </si>
  <si>
    <t>68.17205585876101</t>
  </si>
  <si>
    <t>38.829527264976875</t>
  </si>
  <si>
    <t>[0.037, 0.0, -0.005, -0.022]</t>
  </si>
  <si>
    <t>LINESTRING (11.244238489027934 60.46270252668987, 11.244897559947514 60.463841087114965, 11.246191163250282 60.47574873337956, 11.23886935066845 60.483961986752185, 11.238101110436679 60.48466754515319)</t>
  </si>
  <si>
    <t>[1299184, 1104638, 1104658, 1298083]</t>
  </si>
  <si>
    <t>[1045949, 1045950, 1045961, 1210055]</t>
  </si>
  <si>
    <t>[1210976, 1045949, 1045950, 1045961]</t>
  </si>
  <si>
    <t>[0.037, 0.0, 0.005, 0.022]</t>
  </si>
  <si>
    <t>2571.207729503654</t>
  </si>
  <si>
    <t>29.92686627426936</t>
  </si>
  <si>
    <t>10.089301511490687</t>
  </si>
  <si>
    <t>[0.023, 0.005, -0.002, -0.04]</t>
  </si>
  <si>
    <t>LINESTRING (11.237545300830764 60.48487900094672, 11.238583315574475 60.48386195848202, 11.245787025406079 60.475719277237744, 11.244566743147223 60.46393917209987, 11.244133045895232 60.46312156607319)</t>
  </si>
  <si>
    <t>[1298147, 1104659, 1104662, 1299128]</t>
  </si>
  <si>
    <t>[1045962, 1045963, 1045965, 1210936]</t>
  </si>
  <si>
    <t>0.0005767025352904464</t>
  </si>
  <si>
    <t>[1210108, 1045962, 1045963, 1045965]</t>
  </si>
  <si>
    <t>[0.023, 0.005, 0.002, 0.04]</t>
  </si>
  <si>
    <t>2545.5115601145035</t>
  </si>
  <si>
    <t>[-0.019, -0.012]</t>
  </si>
  <si>
    <t>LINESTRING (11.240479889545355 60.4323863005478, 11.240571573144646 60.43169358560812, 11.240581148064326 60.43163059425302)</t>
  </si>
  <si>
    <t>[1299032, 1299040]</t>
  </si>
  <si>
    <t>[1210854, 1210861]</t>
  </si>
  <si>
    <t>[1210845, 1210854]</t>
  </si>
  <si>
    <t>84.39575054795019</t>
  </si>
  <si>
    <t>46.94207643438986</t>
  </si>
  <si>
    <t>[0.079, 0.01, -0.037]</t>
  </si>
  <si>
    <t>LINESTRING (11.241868140475786 60.440091831138005, 11.241693165037322 60.438954022019864, 11.240469482881402 60.43335150897871, 11.240479889545355 60.4323863005478)</t>
  </si>
  <si>
    <t>[1299120, 1104579, 1299024]</t>
  </si>
  <si>
    <t>[1045900, 1045901, 1210845]</t>
  </si>
  <si>
    <t>0.014307676707373266</t>
  </si>
  <si>
    <t>[1210923, 1045900, 1045901]</t>
  </si>
  <si>
    <t>[0.079, 0.01, 0.037]</t>
  </si>
  <si>
    <t>863.2288664421505</t>
  </si>
  <si>
    <t>31.50445982700572</t>
  </si>
  <si>
    <t>13.78314496051975</t>
  </si>
  <si>
    <t>[-0.007, 0.005, 0.005, 0.001, 0.007, 0.019]</t>
  </si>
  <si>
    <t>LINESTRING (11.241100485675062 60.41709104707311, 11.24104100683578 60.41753816828899, 11.241155368715441 60.42931782076352, 11.240966990627207 60.43060205051607, 11.240959945188088 60.43065009336856, 11.240951719955447 60.43070613871175, 11.240844612595719 60.43188153777908)</t>
  </si>
  <si>
    <t>[2105450, 1104558, 1115831, 1115839, 1115847, 1299056]</t>
  </si>
  <si>
    <t>[1045879, 1045880, 1055199, 1055206, 1055212, 1210869]</t>
  </si>
  <si>
    <t>0.005743415425535689</t>
  </si>
  <si>
    <t>[1819033, 1045879, 1045880, 1055199, 1055206, 1055212]</t>
  </si>
  <si>
    <t>[0.007, 0.005, 0.005, 0.001, 0.007, 0.019]</t>
  </si>
  <si>
    <t>1651.4457296210346</t>
  </si>
  <si>
    <t>[0.037, -0.014, -0.086]</t>
  </si>
  <si>
    <t>LINESTRING (11.240836465889219 60.43200516168712, 11.240868155027147 60.43326149547214, 11.24205117809216 60.438938881260526, 11.242138208646567 60.439746204088685)</t>
  </si>
  <si>
    <t>[1299072, 1104587, 1299080]</t>
  </si>
  <si>
    <t>[1045911, 1045912, 1210889]</t>
  </si>
  <si>
    <t>[1210875, 1045911, 1045912]</t>
  </si>
  <si>
    <t>[0.037, 0.014, 0.086]</t>
  </si>
  <si>
    <t>866.4002117388618</t>
  </si>
  <si>
    <t>77.56093153113466</t>
  </si>
  <si>
    <t>41.417682206261105</t>
  </si>
  <si>
    <t>22.502697616028552</t>
  </si>
  <si>
    <t>[-0.097, -0.077, 0.037, 0.034, 0.007, -0.045, 0.046, 0.06, 0.034, -0.008]</t>
  </si>
  <si>
    <t>LINESTRING (11.242164161548583 60.44044211464042, 11.242161672580897 60.440595956063596, 11.242164012555351 60.44138360266816, 11.242162927794523 60.44141076253853, 11.242163064319426 60.44150020289245, 11.239976886355395 60.45317804696271, 11.239643683697583 60.454280076878085, 11.242400346354625 60.46037619583055, 11.242568759488908 60.460531839148345, 11.243346472287842 60.46135769179511, 11.244130739663587 60.46251105156895)</t>
  </si>
  <si>
    <t>[1299096, 1115879, 1115887, 1115911, 1104609, 1104630, 1104637, 1298075, 1299160, 1299168]</t>
  </si>
  <si>
    <t>[1055248, 1055249, 1055253, 1045929, 1045930, 1045942, 1045948, 1210047, 1210962, 1210967]</t>
  </si>
  <si>
    <t>0.0126172982744876</t>
  </si>
  <si>
    <t>[1210900, 1055248, 1055249, 1055253, 1045929, 1045930, 1045942, 1045948, 1210047, 1210962]</t>
  </si>
  <si>
    <t>[0.097, 0.077, 0.037, 0.034, 0.007, 0.045, 0.046, 0.06, 0.034, 0.008]</t>
  </si>
  <si>
    <t>2536.3717939058856</t>
  </si>
  <si>
    <t>22.493096718880008</t>
  </si>
  <si>
    <t>[0.031, 0.023]</t>
  </si>
  <si>
    <t>LINESTRING (11.244133045895232 60.46312156607319, 11.24380541125207 60.462501830919294, 11.243698364063585 60.462303211299556)</t>
  </si>
  <si>
    <t>[1299136, 1299144]</t>
  </si>
  <si>
    <t>[1210948, 1210953]</t>
  </si>
  <si>
    <t>0.02905650920280443</t>
  </si>
  <si>
    <t>[1210936, 1210948]</t>
  </si>
  <si>
    <t>94.27717525315299</t>
  </si>
  <si>
    <t>0.161</t>
  </si>
  <si>
    <t>26.599339108243363</t>
  </si>
  <si>
    <t>0.761</t>
  </si>
  <si>
    <t>19.890418446966844</t>
  </si>
  <si>
    <t>22.145243101531044</t>
  </si>
  <si>
    <t>1.111</t>
  </si>
  <si>
    <t>12.387566548885713</t>
  </si>
  <si>
    <t>0.455</t>
  </si>
  <si>
    <t>19.482245301157384</t>
  </si>
  <si>
    <t>[0.005, 0.005, 0.007, 0.008, 0.01, 0.026, 0.031, 0.021, 0.027, 0.033, 0.028, 0.035, 0.044, 0.029, 0.28, 0.348, 0.041]</t>
  </si>
  <si>
    <t>3177.0</t>
  </si>
  <si>
    <t>LINESTRING (6.087450709560706 62.14645536594862, 6.087554089902968 62.146243974869535, 6.0877449380296005 62.14589391415242, 6.088005210635211 62.145536336063714, 6.088349744295478 62.1451091596722, 6.088955020111168 62.14399044648922, 6.088982689806043 62.143255537055204, 6.088977071175754 62.143213866957716, 6.088969456323149 62.14315670203629, 6.08947211894637 62.140767283295794, 6.0895147265071925 62.14072123977337, 6.089553135102557 62.14067763538588, 6.090490176091842 62.13991417811299, 6.091619712890199 62.139265109253145, 6.092487265349023 62.13877013118861, 6.093877720648623 62.13772356924053, 6.094041901909882 62.13755134205479, 6.098396955586121 62.12192177888036)</t>
  </si>
  <si>
    <t>[1321408, 1321416, 1321425, 1321433, 1321441, 1321456, 1321464, 1321465, 1321471, 1321472, 1321481, 1321491, 1321492, 1321499, 1321507, 1321508, 1321521]</t>
  </si>
  <si>
    <t>[276009, 1228188, 1228196, 1228204, 1228211, 942577, 1228227, 1158844, 327456, 1228230, 1212006, 1228246, 1228247, 1228253, 1228258, 1228259, 1211319]</t>
  </si>
  <si>
    <t>0.049169998395791184</t>
  </si>
  <si>
    <t>[1211248, 276009, 1228188, 1228196, 1228204, 1228211, 942577, 1228227, 1158844, 327456, 1228230, 1212006, 1228246, 1228247, 1228253, 1228258, 1228259]</t>
  </si>
  <si>
    <t>2872.7644882169225</t>
  </si>
  <si>
    <t>[0.432, 0.329, 0.399, 0.03, -0.428, -0.281]</t>
  </si>
  <si>
    <t>LINESTRING (6.098396955586121 62.12192177888036, 6.098553249040739 62.121844240648606, 6.0998620299918995 62.12108491349981, 6.0999118192907344 62.12105901076254, 6.101139193068984 62.12044735130919, 6.101154450500951 62.12044045889048, 6.1024511110189685 62.11988073148785)</t>
  </si>
  <si>
    <t>[1299528, 1299536, 1299544, 1299552, 1299560, 1299568]</t>
  </si>
  <si>
    <t>[1211320, 1211180, 1211333, 1211343, 1211351, 1211358]</t>
  </si>
  <si>
    <t>0.060895361936297</t>
  </si>
  <si>
    <t>[1211319, 1211320, 1211180, 1211333, 1211343, 1211351]</t>
  </si>
  <si>
    <t>[0.432, 0.329, 0.399, 0.03, 0.428, 0.281]</t>
  </si>
  <si>
    <t>311.97099283692705</t>
  </si>
  <si>
    <t>[0.055, 0.24, 0.164, 0.157, 0.162, -0.255]</t>
  </si>
  <si>
    <t>LINESTRING (6.098396955586121 62.12192177888036, 6.098503777006576 62.12182747590079, 6.099731288567962 62.12107734218478, 6.0997811063930385 62.12104984157181, 6.099830545377774 62.12102231638737, 6.101086648879907 62.120407810873395, 6.1024511110189685 62.11988073148785)</t>
  </si>
  <si>
    <t>[2079321, 2079329, 2079337, 2079345, 2079353, 2079361]</t>
  </si>
  <si>
    <t>[1803156, 1803162, 1803168, 1211188, 1803175, 1211358]</t>
  </si>
  <si>
    <t>0.06070561274893158</t>
  </si>
  <si>
    <t>[1211319, 1803156, 1803162, 1803168, 1211188, 1803175]</t>
  </si>
  <si>
    <t>[0.055, 0.24, 0.164, 0.157, 0.162, 0.255]</t>
  </si>
  <si>
    <t>313.404309797324</t>
  </si>
  <si>
    <t>[0.105, 0.112, 0.106, 0.106, 0.104, 0.103]</t>
  </si>
  <si>
    <t>LINESTRING (5.4757128817864436 59.27676941756511, 5.475733146413163 59.27703937565644, 5.475733986603561 59.27708653948703, 5.475773517724519 59.277355704779445, 5.4758023079651394 59.27744635602066, 5.475953641821523 59.2777312594932, 5.476685501891263 59.27844217149644)</t>
  </si>
  <si>
    <t>[1299629, 1299621, 2061937, 1299693, 1299701, 1299645]</t>
  </si>
  <si>
    <t>[1211411, 1211412, 1211468, 1211469, 1211432, 1211433]</t>
  </si>
  <si>
    <t>0.10431628672141158</t>
  </si>
  <si>
    <t>[1211419, 1211411, 1211412, 1211468, 1211469, 1211432]</t>
  </si>
  <si>
    <t>199.21856690725554</t>
  </si>
  <si>
    <t>[0.103, 0.112, 0.104, 0.108]</t>
  </si>
  <si>
    <t>LINESTRING (5.4757128817864436 59.27676941756511, 5.475665743755727 59.277039101395204, 5.475665076326755 59.27708597313076, 5.475692766544694 59.27735941760063, 5.4757090995466955 59.27744813678076)</t>
  </si>
  <si>
    <t>[1299717, 1299709, 1299685, 1299637]</t>
  </si>
  <si>
    <t>[1211479, 1211465, 1211424, 1211425]</t>
  </si>
  <si>
    <t>0.10467417303763878</t>
  </si>
  <si>
    <t>[1211419, 1211479, 1211465, 1211424]</t>
  </si>
  <si>
    <t>76.18042733746681</t>
  </si>
  <si>
    <t>[-0.004, -0.01, 0.003, 0.001, 0.0, -0.01, 0.007, 0.007, 0.008, 0.008, 0.01, 0.021, 0.001, 0.019, 0.016, 0.003, 0.016, 0.009, 0.004, 0.004, 0.003, -0.001, -0.006, -0.047, -0.074, -0.117, 0.0, -0.079, -0.049, -0.005, 0.091, 0.111, 0.107, 0.098, 0.089, 0.081, 0.081, 0.053, 0.004, 0.043, 0.011, -0.0, 0.027, 0.013, 0.072, 0.106, 0.113, 0.103, -0.043, -0.136, -0.168, -0.113, -0.069, -0.056, -0.057, -0.04, 0.008, 0.009, 0.019, -0.008, -0.052, 0.027, 0.002, -0.014, -0.009, -0.04, -0.034, 0.003, 0.003, 0.004, 0.005, 0.006, 0.006]</t>
  </si>
  <si>
    <t>[0, 0, 0, 0, 0, 0, 1, 0, 0, 0, 0, 0, 0, 0, 0, 0, 0, 0, 0, 0, 0, 1, 0, 0, 0, 0, 0, 0, 0, 1, 0, 1, 0, 0, 0, 0, 0, 0, 0, 0, 0, 0, 0, 0, 0, 0, 0, 0, 0, 0, 0, 0, 0, 0, 0, 0, 1, 1, 1, 0, 0, 0, 0, 0, 0, 0, 0, 0, 0, 1, 1, 0, 0]</t>
  </si>
  <si>
    <t>LINESTRING (5.450977469083645 59.172789372841926, 5.4515501840911185 59.17321588346952, 5.45337250314371 59.17425112806329, 5.456138487874772 59.177718274364906, 5.45618132383927 59.17778489633425, 5.456226351103878 59.17785424822731, 5.462013856234145 59.18213556473526, 5.462743779708759 59.18256335715049, 5.463011776306545 59.182718467670675, 5.463189894958494 59.18282810203962, 5.463650402225455 59.18316198627413, 5.463666277002881 59.183176451350135, 5.457953774737924 59.195518005681954, 5.457290023764262 59.20690775742289, 5.457179308267256 59.20792927818305, 5.457163419392521 59.208469930281176, 5.457166591447327 59.20852339700284, 5.457170570694423 59.20857593806524, 5.457213339205376 59.20907819880754, 5.457228466606982 59.2092146678495, 5.45728560781156 59.20958920779126, 5.457324246734388 59.20977734993416, 5.457373439173643 59.210013972481306, 5.452818378075998 59.2186636037169, 5.453553125175405 59.22150943294423, 5.453594661216706 59.221544025730275, 5.453602000790119 59.22155014754125, 5.453604829787319 59.221552499752654, 5.454401656737125 59.222091655831015, 5.455462777621197 59.222515163781914, 5.462077079294907 59.22311952261088, 5.464123508635731 59.224020403809504, 5.464162335697884 59.22406021651404, 5.464439510624295 59.22448872765271, 5.4645059373038185 59.224740217107026, 5.464512806706363 59.22481535604269, 5.464514103588339 59.22489769498105, 5.464506763944525 59.22504177565299, 5.464346656351114 59.22543674346871, 5.464313306668598 59.22548345758628, 5.464285317982486 59.22552009015579, 5.463842338261391 59.22609870350481, 5.4633606361736184 59.226771349432006, 5.462085459190152 59.23223453522029, 5.461598162788811 59.23701529341225, 5.462316367063945 59.23856728993256, 5.463697352313793 59.239716176433184, 5.463712510092929 59.23972469286283, 5.463724272376936 59.23973129465622, 5.471461880096115 59.24334578595735, 5.471481000952037 59.24336085931899, 5.471496409550433 59.24337300944953, 5.47227755028162 59.244710593125056, 5.472362729221464 59.24664176184117, 5.472019154112247 59.24784488937802, 5.471822811049742 59.248342172496265, 5.471677533868774 59.249743088868726, 5.472237320769725 59.25102268071819, 5.472611937375714 59.251714689679304, 5.472120273462714 59.25339486791653, 5.470316740246068 59.254064461495766, 5.468705586550974 59.25434443932728, 5.463487831145097 59.2578574679483, 5.462093306134617 59.26001330767891, 5.4619206301704715 59.2604078082034, 5.4692901938438565 59.269231768118374, 5.473676772199061 59.27076612574152, 5.4739167122825805 59.27127927127223, 5.474026535860072 59.272137202808686, 5.474078869842438 59.27242593828063, 5.475069127701249 59.27426704986554, 5.475439555076881 59.27484306427436, 5.475596522069291 59.275137895288, 5.4757128817864436 59.27676941756511)</t>
  </si>
  <si>
    <t>[2101163, 2101176, 2101179, 2101195, 2101196, 2101203, 2101204, 2101211, 2101219, 2101227, 2101240, 2101252, 2101253, 2101262, 2101287, 2101295, 2101303, 2101310, 2101318, 2101326, 2101327, 2101345, 2101360, 2101361, 2101366, 2101376, 2101394, 2101404, 2101412, 2101433, 2101434, 2101439, 2101447, 2101455, 2101463, 2101471, 2101479, 2101487, 2101495, 2101503, 2101511, 2101516, 2101528, 2101529, 2101544, 2101552, 2101560, 2101568, 2101576, 2101584, 2101592, 2101600, 2101608, 2101616, 2101624, 2101632, 2101640, 2101663, 2101664, 2101672, 2101680, 2101688, 2101702, 2101710, 2101718, 2101726, 2101734, 2101742, 2101750, 2101758, 2101773, 2101781, 2101789]</t>
  </si>
  <si>
    <t>[1816482, 1816491, 1186503, 1816500, 1186466, 1816507, 1816508, 1816513, 1302415, 1302405, 1816530, 1816536, 1816537, 1816543, 687068, 1816562, 687081, 1816574, 1816579, 1816587, 1816588, 1816601, 1816611, 1816612, 1816615, 1816620, 1816627, 1816632, 1816638, 1816649, 1816650, 1816657, 1816661, 1816668, 1816673, 1816678, 1816684, 687144, 1816696, 687165, 1816703, 1816706, 1232518, 1232542, 1186401, 1816727, 1816730, 1816736, 1816741, 1816747, 1816752, 1612855, 1235307, 1235291, 1816768, 1816774, 1816780, 1816799, 1816800, 1199654, 1234441, 1815377, 1767709, 1767698, 345056, 1816827, 1235274, 1816840, 1816848, 1816854, 1816862, 1816867, 1211419]</t>
  </si>
  <si>
    <t>[1813548, 1816482, 1816491, 1186503, 1816500, 1186466, 1816507, 1816508, 1816513, 1302415, 1302405, 1816530, 1816536, 1816537, 1816543, 687068, 1816562, 687081, 1816574, 1816579, 1816587, 1816588, 1816601, 1816611, 1816612, 1816615, 1816620, 1816627, 1816632, 1816638, 1816649, 1816650, 1816657, 1816661, 1816668, 1816673, 1816678, 1816684, 687144, 1816696, 687165, 1816703, 1816706, 1232518, 1232542, 1186401, 1816727, 1816730, 1816736, 1816741, 1816747, 1816752, 1612855, 1235307, 1235291, 1816768, 1816774, 1816780, 1816799, 1816800, 1199654, 1234441, 1815377, 1767709, 1767698, 345056, 1816827, 1235274, 1816840, 1816848, 1816854, 1816862, 1816867]</t>
  </si>
  <si>
    <t>[0.004, 0.01, 0.003, 0.001, 0.0, 0.01, 0.007, 0.007, 0.008, 0.008, 0.01, 0.021, 0.001, 0.019, 0.016, 0.003, 0.016, 0.009, 0.004, 0.004, 0.003, 0.001, 0.006, 0.047, 0.074, 0.117, 0.0, 0.079, 0.049, 0.005, 0.091, 0.111, 0.107, 0.098, 0.089, 0.081, 0.081, 0.053, 0.004, 0.043, 0.011, 0.0, 0.027, 0.013, 0.072, 0.106, 0.113, 0.103, 0.043, 0.136, 0.168, 0.113, 0.069, 0.056, 0.057, 0.04, 0.008, 0.009, 0.019, 0.008, 0.052, 0.027, 0.002, 0.014, 0.009, 0.04, 0.034, 0.003, 0.003, 0.004, 0.005, 0.006, 0.006]</t>
  </si>
  <si>
    <t>13391.73081709855</t>
  </si>
  <si>
    <t>[0.104, 0.128, 0.043]</t>
  </si>
  <si>
    <t>LINESTRING (5.4757090995466955 59.27744813678076, 5.476565801477236 59.278455893204054, 5.478015861535941 59.2797808454141, 5.477264183799645 59.281475253725155)</t>
  </si>
  <si>
    <t>[1299661, 1299669, 1299677]</t>
  </si>
  <si>
    <t>[1211444, 1211451, 1211458]</t>
  </si>
  <si>
    <t>0.08766006916034845</t>
  </si>
  <si>
    <t>[1211425, 1211444, 1211451]</t>
  </si>
  <si>
    <t>495.4394350211551</t>
  </si>
  <si>
    <t>[0.0, -0.078, -0.1]</t>
  </si>
  <si>
    <t>LINESTRING (5.476782765469446 59.27993626523485, 5.476782765469446 59.27993626523485, 5.4757028011759665 59.27752062995878, 5.4757090995466955 59.27744813678076)</t>
  </si>
  <si>
    <t>[1299773, 1299757, 1299813]</t>
  </si>
  <si>
    <t>[1211515, 1211516, 1211425]</t>
  </si>
  <si>
    <t>[1211532, 1211515, 1211516]</t>
  </si>
  <si>
    <t>[0.0, 0.078, 0.1]</t>
  </si>
  <si>
    <t>366.3687374751309</t>
  </si>
  <si>
    <t>173.22013962205904</t>
  </si>
  <si>
    <t>[0.121, 0.102, 0.154]</t>
  </si>
  <si>
    <t>LINESTRING (5.476685501891263 59.27844217149644, 5.476892245506615 59.27853725919629, 5.47889776850673 59.27892809089478, 5.478926677429201 59.27895728259849)</t>
  </si>
  <si>
    <t>[1299789, 1299725, 1299733]</t>
  </si>
  <si>
    <t>[1211491, 1211492, 1211498]</t>
  </si>
  <si>
    <t>0.10535446915120528</t>
  </si>
  <si>
    <t>[1211433, 1211491, 1211492]</t>
  </si>
  <si>
    <t>146.74169652326677</t>
  </si>
  <si>
    <t>[0.047, -0.01]</t>
  </si>
  <si>
    <t>LINESTRING (5.478134278076702 59.279786302034246, 5.477382623386499 59.28148641710728, 5.477012876099307 59.28763817503209)</t>
  </si>
  <si>
    <t>[2061921, 2061929]</t>
  </si>
  <si>
    <t>[1792390, 1792384]</t>
  </si>
  <si>
    <t>0.0025202919645290686</t>
  </si>
  <si>
    <t>[1211438, 1792390]</t>
  </si>
  <si>
    <t>[0.047, 0.01]</t>
  </si>
  <si>
    <t>913.1644402710335</t>
  </si>
  <si>
    <t>[0.0, 0.093, 0.061]</t>
  </si>
  <si>
    <t>LINESTRING (5.478342919511547 59.27920910312476, 5.478342919511547 59.27920910312476, 5.478176821805717 59.27973375117787, 5.478134278076702 59.279786302034246)</t>
  </si>
  <si>
    <t>[1299741, 1299781, 1299797]</t>
  </si>
  <si>
    <t>[1211505, 1211539, 1211438]</t>
  </si>
  <si>
    <t>0.08542830788878522</t>
  </si>
  <si>
    <t>[1211504, 1211505, 1211539]</t>
  </si>
  <si>
    <t>72.9505427495906</t>
  </si>
  <si>
    <t>715.4032652045141</t>
  </si>
  <si>
    <t>[0.015, -0.074, -0.135]</t>
  </si>
  <si>
    <t>LINESTRING (5.477264183799645 59.281475253725155, 5.477366351592699 59.28133778147827, 5.476760874044881 59.27999576435377, 5.476709544934813 59.27999410062473)</t>
  </si>
  <si>
    <t>[1299805, 1299749, 1299765]</t>
  </si>
  <si>
    <t>[1211508, 1211509, 1211525]</t>
  </si>
  <si>
    <t>[1211458, 1211508, 1211509]</t>
  </si>
  <si>
    <t>[0.015, 0.074, 0.135]</t>
  </si>
  <si>
    <t>223.43157014356726</t>
  </si>
  <si>
    <t>[-0.025, -0.018, -0.005, 0.013]</t>
  </si>
  <si>
    <t>LINESTRING (5.70908109460086 58.8946230018289, 5.708772541021488 58.89461726088248, 5.708715315100856 58.89455193290682, 5.708730372494804 58.89449952654298, 5.708845581811477 58.89443965083827)</t>
  </si>
  <si>
    <t>[1300961, 1300969, 1300977, 1300985]</t>
  </si>
  <si>
    <t>[1212372, 1212379, 1212388, 1212397]</t>
  </si>
  <si>
    <t>[1212371, 1212372, 1212379, 1212388]</t>
  </si>
  <si>
    <t>[0.025, 0.018, 0.005, 0.013]</t>
  </si>
  <si>
    <t>42.983134924802506</t>
  </si>
  <si>
    <t>[0.016, -0.002]</t>
  </si>
  <si>
    <t>LINESTRING (5.7091292745944955 58.8944985332677, 5.709146657811212 58.89453946506503, 5.70908109460086 58.8946230018289)</t>
  </si>
  <si>
    <t>[1301009, 1301017]</t>
  </si>
  <si>
    <t>[1212425, 1212371]</t>
  </si>
  <si>
    <t>0.0036194400723824137</t>
  </si>
  <si>
    <t>[1212417, 1212425]</t>
  </si>
  <si>
    <t>[0.016, 0.002]</t>
  </si>
  <si>
    <t>14.999917648886463</t>
  </si>
  <si>
    <t>[-0.025, -0.026, -0.021]</t>
  </si>
  <si>
    <t>LINESTRING (5.711009660012875 58.89455356761679, 5.710187550561646 58.89457220189831, 5.709233138271731 58.89459334930053, 5.70908109460086 58.8946230018289)</t>
  </si>
  <si>
    <t>[1301601, 1301609, 1301617]</t>
  </si>
  <si>
    <t>[1212952, 1212958, 1212371]</t>
  </si>
  <si>
    <t>[1212743, 1212952, 1212958]</t>
  </si>
  <si>
    <t>[0.025, 0.026, 0.021]</t>
  </si>
  <si>
    <t>112.99493954385207</t>
  </si>
  <si>
    <t>11.8052350494117</t>
  </si>
  <si>
    <t>7.828623506426416</t>
  </si>
  <si>
    <t>[-0.004, 0.009, 0.005]</t>
  </si>
  <si>
    <t>LINESTRING (5.711146715886937 58.8933503934665, 5.709084124442941 58.89416342825858, 5.709056500103143 58.894392912727135, 5.7090444365801005 58.894443936625656)</t>
  </si>
  <si>
    <t>[2099833, 2099860, 2099868]</t>
  </si>
  <si>
    <t>[1815644, 1815661, 1212405]</t>
  </si>
  <si>
    <t>[1212730, 1815644, 1815661]</t>
  </si>
  <si>
    <t>[0.004, 0.009, 0.005]</t>
  </si>
  <si>
    <t>188.02597046166585</t>
  </si>
  <si>
    <t>LINESTRING (5.711009660012875 58.89455356761679, 5.709447259353228 58.89450748738437, 5.709235336165276 58.894501486746705, 5.7091292745944955 58.8944985332677)</t>
  </si>
  <si>
    <t>[1301553, 1301561, 1301569]</t>
  </si>
  <si>
    <t>[1212903, 1212912, 1212417]</t>
  </si>
  <si>
    <t>[1212743, 1212903, 1212912]</t>
  </si>
  <si>
    <t>108.91595604199115</t>
  </si>
  <si>
    <t>[0.081, 0.021, 0.003, -0.064, -0.105, -0.075, -0.063, 0.032]</t>
  </si>
  <si>
    <t>LINESTRING (5.6077453893861895 59.50785605368636, 5.607682955667065 59.507955032539755, 5.607608327547575 59.50798334295205, 5.607483269983158 59.50799552508026, 5.607303796317953 59.50794555004091, 5.607263285633018 59.507902931450325, 5.607256808292608 59.5078556375139, 5.607389059577166 59.50775945750613, 5.60766718543772 59.50777852371982)</t>
  </si>
  <si>
    <t>[1301261, 1301269, 1301277, 1301205, 1301213, 1301221, 1301229, 1301237]</t>
  </si>
  <si>
    <t>[1212655, 1212662, 1212605, 1212606, 1212612, 1212619, 1212625, 1212631]</t>
  </si>
  <si>
    <t>[1212648, 1212655, 1212662, 1212605, 1212606, 1212612, 1212619, 1212625]</t>
  </si>
  <si>
    <t>[0.081, 0.021, 0.003, 0.064, 0.105, 0.075, 0.063, 0.032]</t>
  </si>
  <si>
    <t>77.08787352398004</t>
  </si>
  <si>
    <t>[-0.031, 0.031]</t>
  </si>
  <si>
    <t>LINESTRING (5.607911971689416 59.50775603287366, 5.607769816206311 59.50775429408127, 5.60766718543772 59.50777852371982)</t>
  </si>
  <si>
    <t>[1309355, 1309363]</t>
  </si>
  <si>
    <t>[1218179, 1212631]</t>
  </si>
  <si>
    <t>[1212974, 1218179]</t>
  </si>
  <si>
    <t>15.13445298575655</t>
  </si>
  <si>
    <t>[0.064, 0.042]</t>
  </si>
  <si>
    <t>LINESTRING (5.607911971689416 59.50775603287366, 5.607845809773019 59.50781649556175, 5.6077453893861895 59.50785605368636)</t>
  </si>
  <si>
    <t>[1309339, 1309347]</t>
  </si>
  <si>
    <t>[1218170, 1212648]</t>
  </si>
  <si>
    <t>0.054194236605712404</t>
  </si>
  <si>
    <t>[1212974, 1218170]</t>
  </si>
  <si>
    <t>16.19007198190278</t>
  </si>
  <si>
    <t>[0.004, 0.01, 0.03]</t>
  </si>
  <si>
    <t>LINESTRING (5.711146715886937 58.8933503934665, 5.711031101325409 58.89340392478769, 5.710846704697232 58.89452830994078, 5.711009660012875 58.89455356761679)</t>
  </si>
  <si>
    <t>[1301353, 1301361, 1301369]</t>
  </si>
  <si>
    <t>[1212731, 1212736, 1212743]</t>
  </si>
  <si>
    <t>0.010516305547825096</t>
  </si>
  <si>
    <t>[1212730, 1212731, 1212736]</t>
  </si>
  <si>
    <t>276.8055997583699</t>
  </si>
  <si>
    <t>17.897040034830514</t>
  </si>
  <si>
    <t>[-0.082, -0.009, -0.062, -0.064, -0.068, -0.037, -0.047]</t>
  </si>
  <si>
    <t>LINESTRING (5.608189654408285 59.50768034102473, 5.60825816474257 59.50761035800883, 5.609978838516673 59.506926830636125, 5.609868540928454 59.50688600084574, 5.60928236563362 59.50677229044091, 5.608574218752217 59.506654143118986, 5.606624960216291 59.506414878563454, 5.606280537770681 59.50633631636976)</t>
  </si>
  <si>
    <t>[1301461, 1301469, 1301477, 1301485, 1301493, 1301501, 1309539]</t>
  </si>
  <si>
    <t>[1212816, 1212821, 1212830, 1212839, 1212846, 1212853, 1218232]</t>
  </si>
  <si>
    <t>[1212815, 1212816, 1212821, 1212830, 1212839, 1212846, 1212853]</t>
  </si>
  <si>
    <t>[0.082, 0.009, 0.062, 0.064, 0.068, 0.037, 0.047]</t>
  </si>
  <si>
    <t>378.25825884854385</t>
  </si>
  <si>
    <t>[0.04, -0.033, -0.019, 0.004]</t>
  </si>
  <si>
    <t>LINESTRING (5.611448998678113 59.506252891936434, 5.61192266590648 59.50674739376318, 5.611111487312761 59.50710681092579, 5.609673816513813 59.50743970098529, 5.608189654408285 59.50768034102473)</t>
  </si>
  <si>
    <t>[1301597, 1301605, 1301613, 1301621]</t>
  </si>
  <si>
    <t>[1212948, 1212954, 1212960, 1212815]</t>
  </si>
  <si>
    <t>[1212916, 1212948, 1212954, 1212960]</t>
  </si>
  <si>
    <t>[0.04, 0.033, 0.019, 0.004]</t>
  </si>
  <si>
    <t>313.1883262097035</t>
  </si>
  <si>
    <t>[-0.052, -0.054, -0.024, -0.006, -0.018]</t>
  </si>
  <si>
    <t>LINESTRING (5.6138458132907285 59.507236803358396, 5.613498699469269 59.5072331301127, 5.611834118787674 59.50710011819068, 5.609901951888805 59.50748540545148, 5.608339847974731 59.50767611710943, 5.608189654408285 59.50768034102473)</t>
  </si>
  <si>
    <t>[1309547, 1301525, 1301533, 1301541, 1301549]</t>
  </si>
  <si>
    <t>[1212876, 1212877, 1212886, 1212894, 1212815]</t>
  </si>
  <si>
    <t>[1218215, 1212876, 1212877, 1212886, 1212894]</t>
  </si>
  <si>
    <t>[0.052, 0.054, 0.024, 0.006, 0.018]</t>
  </si>
  <si>
    <t>334.6304029741531</t>
  </si>
  <si>
    <t>[-0.074, -0.03, 0.049, 0.062, 0.046]</t>
  </si>
  <si>
    <t>LINESTRING (5.611448998678113 59.506252891936434, 5.611348352059434 59.506270641932446, 5.610830695614893 59.50650003957646, 5.611189781257407 59.50678434935076, 5.613120867698056 59.50706855359227, 5.613419860812356 59.50713992909624)</t>
  </si>
  <si>
    <t>[1301693, 1301701, 1301709, 1301717, 1309555]</t>
  </si>
  <si>
    <t>[1213020, 1213025, 1213031, 1213038, 1218257]</t>
  </si>
  <si>
    <t>0.03701253703924928</t>
  </si>
  <si>
    <t>[1212916, 1213020, 1213025, 1213031, 1213038]</t>
  </si>
  <si>
    <t>[0.074, 0.03, 0.049, 0.062, 0.046]</t>
  </si>
  <si>
    <t>221.69814755491223</t>
  </si>
  <si>
    <t>[0.027, 0.036, 0.048, 0.05, 0.063]</t>
  </si>
  <si>
    <t>LINESTRING (5.60670903721269 59.506341640186214, 5.607018847721665 59.50635269019893, 5.608118114177669 59.50647416245585, 5.608959675296299 59.50651958270099, 5.610792713825919 59.50630755047704, 5.611448998678113 59.506252891936434)</t>
  </si>
  <si>
    <t>[1309531, 1301509, 1301517, 1301557, 1301565]</t>
  </si>
  <si>
    <t>[1212861, 1212862, 1212868, 1212908, 1212916]</t>
  </si>
  <si>
    <t>0.04680030170189155</t>
  </si>
  <si>
    <t>[1218267, 1212861, 1212862, 1212868, 1212908]</t>
  </si>
  <si>
    <t>276.60998337273156</t>
  </si>
  <si>
    <t>[0.0, -0.038, -0.827, 0.001, 0.002, 0.001]</t>
  </si>
  <si>
    <t>LINESTRING (10.234113009529096 59.74513044671373, 10.234113009529096 59.74513044671373, 10.233700324693714 59.744859665075396, 10.233743061783922 59.74477224040477, 10.2338654981599 59.74471703639549, 10.23389834150695 59.744705187543765, 10.23397992824185 59.744682967265405)</t>
  </si>
  <si>
    <t>[1302300, 1302308, 1633352, 1633357, 1633365, 1633373]</t>
  </si>
  <si>
    <t>[1213388, 1213393, 1460391, 1460397, 419815, 1460410]</t>
  </si>
  <si>
    <t>[1213372, 1213388, 1213393, 1460391, 1460397, 419815]</t>
  </si>
  <si>
    <t>[0.0, 0.038, 0.827, 0.001, 0.002, 0.001]</t>
  </si>
  <si>
    <t>71.03389846048357</t>
  </si>
  <si>
    <t>[-0.012, -0.017, 0.122, 0.143, 0.116]</t>
  </si>
  <si>
    <t>LINESTRING (30.117783996219632 69.68010713484979, 30.118560703614115 69.67993224527099, 30.118790571681235 69.67988383164622, 30.119918637079323 69.67961987128595, 30.120116684252725 69.67956748618012, 30.121659914348715 69.6791100444826)</t>
  </si>
  <si>
    <t>[1303096, 1303104, 1303112, 1303120, 1303128]</t>
  </si>
  <si>
    <t>[1213886, 1213891, 1213895, 1213901, 1213869]</t>
  </si>
  <si>
    <t>0.08716172972271304</t>
  </si>
  <si>
    <t>[1213863, 1213886, 1213891, 1213895, 1213901]</t>
  </si>
  <si>
    <t>[0.012, 0.017, 0.122, 0.143, 0.116]</t>
  </si>
  <si>
    <t>188.01859312469267</t>
  </si>
  <si>
    <t>[-0.015, 0.142, 0.145, 0.136, 0.097]</t>
  </si>
  <si>
    <t>LINESTRING (30.117783996219632 69.68010713484979, 30.118897337679517 69.67995378050061, 30.120054289143177 69.67968886043424, 30.120179181279834 69.67965466396227, 30.12035398928496 69.67960647170011, 30.121659914348715 69.6791100444826)</t>
  </si>
  <si>
    <t>[1303136, 1303144, 1303152, 1303170, 1303178]</t>
  </si>
  <si>
    <t>[1213913, 1213918, 1213924, 1213938, 1213869]</t>
  </si>
  <si>
    <t>0.0856428906725154</t>
  </si>
  <si>
    <t>[1213863, 1213913, 1213918, 1213924, 1213938]</t>
  </si>
  <si>
    <t>[0.015, 0.142, 0.145, 0.136, 0.097]</t>
  </si>
  <si>
    <t>191.33250849319919</t>
  </si>
  <si>
    <t>[-0.054, -0.061]</t>
  </si>
  <si>
    <t>LINESTRING (9.005459886919038 58.687350006764056, 9.00517695439032 58.68715940612259, 9.005073823437323 58.68714271256297)</t>
  </si>
  <si>
    <t>[1303089, 1303097]</t>
  </si>
  <si>
    <t>[1213883, 936575]</t>
  </si>
  <si>
    <t>[1213871, 1213883]</t>
  </si>
  <si>
    <t>[0.054, 0.061]</t>
  </si>
  <si>
    <t>34.69750148180995</t>
  </si>
  <si>
    <t>10.111051626769827</t>
  </si>
  <si>
    <t>[0.001, 0.002, -0.012, -0.003, -0.002]</t>
  </si>
  <si>
    <t>LINESTRING (6.244074796087957 62.47004910334336, 6.244026578138426 62.47005716121632, 6.242425378133025 62.4703015543605, 6.241092012808865 62.470456450696815, 6.240886827144573 62.470473097054494, 6.240724133755128 62.470485743247266)</t>
  </si>
  <si>
    <t>[1305757, 1305765, 1305773, 1305781, 1305789]</t>
  </si>
  <si>
    <t>[1215621, 1215626, 1215630, 1215635, 1215639]</t>
  </si>
  <si>
    <t>[1215615, 1215621, 1215626, 1215630, 1215635]</t>
  </si>
  <si>
    <t>[0.001, 0.002, 0.012, 0.003, 0.002]</t>
  </si>
  <si>
    <t>180.1763427143559</t>
  </si>
  <si>
    <t>218.06158778992562</t>
  </si>
  <si>
    <t>[0.018, -0.001, -0.0]</t>
  </si>
  <si>
    <t>LINESTRING (6.207790181074622 62.47025665988445, 6.200972824435192 62.47023867602608, 6.200613278508676 62.47024025944173, 6.198006045534363 62.47025327076851)</t>
  </si>
  <si>
    <t>[1305821, 1305829, 1305837]</t>
  </si>
  <si>
    <t>[1215656, 1215658, 1215661]</t>
  </si>
  <si>
    <t>0.012505745586287535</t>
  </si>
  <si>
    <t>[1215651, 1215656, 1215658]</t>
  </si>
  <si>
    <t>[0.018, 0.001, 0.0]</t>
  </si>
  <si>
    <t>505.8944939836067</t>
  </si>
  <si>
    <t>194.3754096098707</t>
  </si>
  <si>
    <t>29555.0</t>
  </si>
  <si>
    <t>562.2198169077352</t>
  </si>
  <si>
    <t>[0.031, 0.0, 0.002, 0.0, -0.002, -0.015]</t>
  </si>
  <si>
    <t>LINESTRING (6.200842424613546 62.4704405201044, 6.200671900670783 62.4704700646437, 6.200583653840553 62.47047129889555, 6.200574184731997 62.47047142926986, 6.200438264417313 62.47047080012175, 6.19447704350833 62.47036592743846, 6.194251540026894 62.47034109628399)</t>
  </si>
  <si>
    <t>[1309588, 1309596, 1309604, 1309612, 1309620, 1309628]</t>
  </si>
  <si>
    <t>[1218341, 1218347, 1218352, 1218358, 1218362, 1215666]</t>
  </si>
  <si>
    <t>[1218340, 1218341, 1218347, 1218352, 1218358, 1218362]</t>
  </si>
  <si>
    <t>[0.031, 0.0, 0.002, 0.0, 0.002, 0.015]</t>
  </si>
  <si>
    <t>342.68201497973973</t>
  </si>
  <si>
    <t>40.63347341784973</t>
  </si>
  <si>
    <t>[0.001, 0.039, 0.0, 0.019, -0.011]</t>
  </si>
  <si>
    <t>LINESTRING (6.176336335741556 62.4702653854443, 6.176476732547406 62.4702547823514, 6.176515529012666 62.47025537445086, 6.17652163299919 62.470255465125064, 6.183203511021626 62.47072337311201, 6.183424373095827 62.470761384202085)</t>
  </si>
  <si>
    <t>[1309764, 1309772, 1309780, 1309788, 1309796]</t>
  </si>
  <si>
    <t>[1218454, 1218459, 1218465, 1218471, 1215671]</t>
  </si>
  <si>
    <t>0.017755732031314687</t>
  </si>
  <si>
    <t>[1218415, 1218454, 1218459, 1218465, 1218471]</t>
  </si>
  <si>
    <t>[0.001, 0.039, 0.0, 0.019, 0.011]</t>
  </si>
  <si>
    <t>372.6622218127781</t>
  </si>
  <si>
    <t>[0.035, -0.021, -0.02]</t>
  </si>
  <si>
    <t>LINESTRING (6.182640663985434 62.47073371121682, 6.182631464219104 62.47073444496811, 6.182402744510774 62.47075277029073, 6.17640368403007 62.47052043883333)</t>
  </si>
  <si>
    <t>[1309636, 1309644, 1309652]</t>
  </si>
  <si>
    <t>[1218377, 1218382, 1218388]</t>
  </si>
  <si>
    <t>[1215677, 1218377, 1218382]</t>
  </si>
  <si>
    <t>[0.035, 0.021, 0.02]</t>
  </si>
  <si>
    <t>323.8816244169904</t>
  </si>
  <si>
    <t>[-0.048, -0.053, -0.038]</t>
  </si>
  <si>
    <t>LINESTRING (5.6138458132907285 59.507236803358396, 5.613245275789245 59.50716768493662, 5.606713933008922 59.506389434269025, 5.606280537770681 59.50633631636976)</t>
  </si>
  <si>
    <t>[1309403, 1309411, 1309419]</t>
  </si>
  <si>
    <t>[1218221, 1218226, 1218232]</t>
  </si>
  <si>
    <t>[1218215, 1218221, 1218226]</t>
  </si>
  <si>
    <t>[0.048, 0.053, 0.038]</t>
  </si>
  <si>
    <t>441.3425076916824</t>
  </si>
  <si>
    <t>[-0.052, -0.054]</t>
  </si>
  <si>
    <t>LINESTRING (5.613419860812356 59.50713992909624, 5.61331095697019 59.50712704481992, 5.60670903721269 59.506341640186214)</t>
  </si>
  <si>
    <t>[1309459, 1309467]</t>
  </si>
  <si>
    <t>[1218262, 1218267]</t>
  </si>
  <si>
    <t>[1218257, 1218262]</t>
  </si>
  <si>
    <t>391.48142965235724</t>
  </si>
  <si>
    <t>[-0.014, -0.017]</t>
  </si>
  <si>
    <t>LINESTRING (6.17640368403007 62.47052043883333, 6.176345251945886 62.47052238243163, 6.17625158287926 62.470519839431695)</t>
  </si>
  <si>
    <t>[1309660, 1309668]</t>
  </si>
  <si>
    <t>[1218392, 1212643]</t>
  </si>
  <si>
    <t>[1218388, 1218392]</t>
  </si>
  <si>
    <t>[0.014, 0.017]</t>
  </si>
  <si>
    <t>7.879441699989332</t>
  </si>
  <si>
    <t>[0.0, 0.037, 0.014]</t>
  </si>
  <si>
    <t>LINESTRING (6.176336335741556 62.4702653854443, 6.176343528555664 62.47026647639442, 6.176455281862166 62.47050477422868, 6.17640368403007 62.47052043883333)</t>
  </si>
  <si>
    <t>[1309708, 1309716, 1309724]</t>
  </si>
  <si>
    <t>[1218422, 1218428, 1218388]</t>
  </si>
  <si>
    <t>0.034545711416196764</t>
  </si>
  <si>
    <t>[1218415, 1218422, 1218428]</t>
  </si>
  <si>
    <t>35.794662999166874</t>
  </si>
  <si>
    <t>[0.0, -0.047, -0.038, -0.001]</t>
  </si>
  <si>
    <t>LINESTRING (6.17625158287926 62.470519839431695, 6.176246579098849 62.470518806619104, 6.17620195037715 62.47050309318446, 6.176215763736816 62.47028620803794, 6.176336335741556 62.4702653854443)</t>
  </si>
  <si>
    <t>[1309732, 1309740, 1309748, 1309756]</t>
  </si>
  <si>
    <t>[1218437, 1218440, 1218445, 1218415]</t>
  </si>
  <si>
    <t>[1212643, 1218437, 1218440, 1218445]</t>
  </si>
  <si>
    <t>[0.0, 0.047, 0.038, 0.001]</t>
  </si>
  <si>
    <t>35.22538539063886</t>
  </si>
  <si>
    <t>[-2.941, 0.015, 0.02]</t>
  </si>
  <si>
    <t>LINESTRING (6.17110604073409 62.47044301516375, 6.171338065372756 62.470424964216235, 6.176167565100416 62.470256303737315, 6.176336335741556 62.4702653854443)</t>
  </si>
  <si>
    <t>[2047939, 1309692, 1309700]</t>
  </si>
  <si>
    <t>[1218411, 1218412, 1218415]</t>
  </si>
  <si>
    <t>[1783342, 1218411, 1218412]</t>
  </si>
  <si>
    <t>[2.941, 0.015, 0.02]</t>
  </si>
  <si>
    <t>272.1507088011615</t>
  </si>
  <si>
    <t>[-0.027, -0.018, -0.017, 0.011]</t>
  </si>
  <si>
    <t>LINESTRING (8.205015906954022 59.493773355282585, 8.204616668910083 59.49396033860816, 8.203880126120243 59.494467183746934, 8.203753731045593 59.49458150980883, 8.203504957263956 59.494947336226)</t>
  </si>
  <si>
    <t>[1309818, 1309826, 1309834, 1309842]</t>
  </si>
  <si>
    <t>[1218490, 1218470, 1218481, 1218464]</t>
  </si>
  <si>
    <t>[1218458, 1218490, 1218470, 1218481]</t>
  </si>
  <si>
    <t>[0.027, 0.018, 0.017, 0.011]</t>
  </si>
  <si>
    <t>159.83821402226556</t>
  </si>
  <si>
    <t>[0.018, -0.013, -0.015, -0.01, -0.023]</t>
  </si>
  <si>
    <t>LINESTRING (8.205015906954022 59.493773355282585, 8.20482000482548 59.49394235366725, 8.204720977406025 59.49400225106965, 8.204005183777134 59.494501646857344, 8.20387975108649 59.49461647382149, 8.203504957263956 59.494947336226)</t>
  </si>
  <si>
    <t>[1309850, 1309858, 1309866, 1309874, 1309882]</t>
  </si>
  <si>
    <t>[1218506, 1218510, 1218469, 1218480, 1218464]</t>
  </si>
  <si>
    <t>[1218458, 1218506, 1218510, 1218469, 1218480]</t>
  </si>
  <si>
    <t>[0.018, 0.013, 0.015, 0.01, 0.023]</t>
  </si>
  <si>
    <t>157.6914493109569</t>
  </si>
  <si>
    <t>[-0.035, -0.041, -0.033, -0.015]</t>
  </si>
  <si>
    <t>LINESTRING (6.346925475076945 62.46536744080755, 6.346973971702384 62.46535459541769, 6.347111313320919 62.465349703805735, 6.3472283289256 62.465383343050995, 6.34725858349794 62.46540509282774)</t>
  </si>
  <si>
    <t>[1309988, 1309996, 1310004, 1310012]</t>
  </si>
  <si>
    <t>[343557, 1218598, 1218605, 1218610]</t>
  </si>
  <si>
    <t>[1218585, 343557, 1218598, 1218605]</t>
  </si>
  <si>
    <t>[0.035, 0.041, 0.033, 0.015]</t>
  </si>
  <si>
    <t>20.02114018903381</t>
  </si>
  <si>
    <t>[0.007, 0.007, 0.014, 0.018, 0.014, 0.015, 0.027]</t>
  </si>
  <si>
    <t>LINESTRING (6.3536972126516975 62.46618799558616, 6.353520568260196 62.46619554536953, 6.353011350099434 62.46616141679553, 6.352650135523245 62.46612272039232, 6.351526317172899 62.4659856396029, 6.3491523555778935 62.46569130748435, 6.347419620898762 62.46544251200911, 6.34725858349794 62.46540509282774)</t>
  </si>
  <si>
    <t>[1329259, 1329267, 1329275, 1329276, 1329286, 1329294, 1329305]</t>
  </si>
  <si>
    <t>[1234555, 1234562, 1234567, 1234568, 1234578, 1234587, 1218610]</t>
  </si>
  <si>
    <t>0.014593510998766742</t>
  </si>
  <si>
    <t>[1234021, 1234555, 1234562, 1234567, 1234568, 1234578, 1234587]</t>
  </si>
  <si>
    <t>345.31361243429194</t>
  </si>
  <si>
    <t>[-0.117, -0.135, -0.098, 0.001]</t>
  </si>
  <si>
    <t>LINESTRING (6.300394572077751 62.463692952427316, 6.300395353479532 62.46367976374839, 6.300437808467068 62.46363892223725, 6.300534262314069 62.46361761107287, 6.3006711546031005 62.4636455200581)</t>
  </si>
  <si>
    <t>[1310060, 1310068, 1310076, 1310084]</t>
  </si>
  <si>
    <t>[1218638, 1218642, 1218649, 1218653]</t>
  </si>
  <si>
    <t>[1218634, 1218638, 1218642, 1218649]</t>
  </si>
  <si>
    <t>[0.117, 0.135, 0.098, 0.001]</t>
  </si>
  <si>
    <t>19.79570974580794</t>
  </si>
  <si>
    <t>3.66884736626522</t>
  </si>
  <si>
    <t>[-0.183, -0.122, -0.019, 0.143]</t>
  </si>
  <si>
    <t>LINESTRING (9.655400291700284 59.6530192824004, 9.655303438731226 59.653012265307154, 9.655139727879318 59.65296625040153, 9.655034227970583 59.65287968891438, 9.655177932532569 59.65266211684527)</t>
  </si>
  <si>
    <t>[1312147, 1312155, 1312163, 1312171]</t>
  </si>
  <si>
    <t>[1220237, 1220246, 1220254, 1220261]</t>
  </si>
  <si>
    <t>0.0247512416307552</t>
  </si>
  <si>
    <t>[1220236, 1220237, 1220246, 1220254]</t>
  </si>
  <si>
    <t>[0.183, 0.122, 0.019, 0.143]</t>
  </si>
  <si>
    <t>54.43211879971855</t>
  </si>
  <si>
    <t>0.201</t>
  </si>
  <si>
    <t>16.480133383151717</t>
  </si>
  <si>
    <t>[-0.063, 1.709]</t>
  </si>
  <si>
    <t>LINESTRING (9.656487811588518 59.654773784404945, 9.655450882362338 59.65306328466836, 9.655400291700284 59.6530192824004)</t>
  </si>
  <si>
    <t>[1312379, 1312387]</t>
  </si>
  <si>
    <t>[1220415, 1220236]</t>
  </si>
  <si>
    <t>[1220407, 1220415]</t>
  </si>
  <si>
    <t>[0.063, 1.709]</t>
  </si>
  <si>
    <t>205.57279424737027</t>
  </si>
  <si>
    <t>[0.197, 0.171]</t>
  </si>
  <si>
    <t>LINESTRING (9.655177932532569 59.65266211684527, 9.65535898865059 59.652626140049854, 9.655549621229074 59.6526382487744)</t>
  </si>
  <si>
    <t>[1312179, 1312187]</t>
  </si>
  <si>
    <t>[1220268, 1220273]</t>
  </si>
  <si>
    <t>0.18408010744907322</t>
  </si>
  <si>
    <t>[1220261, 1220268]</t>
  </si>
  <si>
    <t>21.815694542295784</t>
  </si>
  <si>
    <t>[0.125, -0.024, -0.12]</t>
  </si>
  <si>
    <t>LINESTRING (9.655177932532569 59.65266211684527, 9.65519650337352 59.652603662529366, 9.652125465371322 59.64966946530755, 9.652049881752722 59.649618140282634)</t>
  </si>
  <si>
    <t>[1845243, 1845251, 1845259]</t>
  </si>
  <si>
    <t>[1616220, 1616227, 1220289]</t>
  </si>
  <si>
    <t>[1220261, 1616220, 1616227]</t>
  </si>
  <si>
    <t>[0.125, 0.024, 0.12]</t>
  </si>
  <si>
    <t>390.51362103243866</t>
  </si>
  <si>
    <t>44.21071937235874</t>
  </si>
  <si>
    <t>[-0.002, -0.023, 0.123]</t>
  </si>
  <si>
    <t>LINESTRING (9.655549621229074 59.6526382487744, 9.655494077881908 59.652584055322755, 9.652412419277791 59.64962468432434, 9.65241317907802 59.64956199249457)</t>
  </si>
  <si>
    <t>[1845219, 1845227, 1845235]</t>
  </si>
  <si>
    <t>[1616208, 1616212, 1220328]</t>
  </si>
  <si>
    <t>[1220273, 1616208, 1616212]</t>
  </si>
  <si>
    <t>[0.002, 0.023, 0.123]</t>
  </si>
  <si>
    <t>392.09583012491487</t>
  </si>
  <si>
    <t>[-2.041, 0.09, 0.057, 0.127, 0.086, 0.027, -0.018, -0.016]</t>
  </si>
  <si>
    <t>LINESTRING (9.655668920243366 59.65296825547076, 9.65568318703053 59.653018152662256, 9.656584655072596 59.65412858322622, 9.656643257150284 59.65417711471917, 9.658388956974742 59.65530623888233, 9.661212022682419 59.656679041941885, 9.69169254568904 59.662345040315834, 9.694378022238569 59.66305184357477, 9.694840581868187 59.663184613761864)</t>
  </si>
  <si>
    <t>[1312499, 1312507, 1312515, 1312523, 1827734, 1827742, 1827748, 1828461]</t>
  </si>
  <si>
    <t>[1220510, 1220518, 1220524, 1220529, 1605454, 1605460, 1605464, 1605828]</t>
  </si>
  <si>
    <t>0.03365388612311257</t>
  </si>
  <si>
    <t>[1220277, 1220510, 1220518, 1220524, 1220529, 1605454, 1605460, 1605464]</t>
  </si>
  <si>
    <t>[2.041, 0.09, 0.057, 0.127, 0.086, 0.027, 0.018, 0.016]</t>
  </si>
  <si>
    <t>2569.5700757723384</t>
  </si>
  <si>
    <t>0.109</t>
  </si>
  <si>
    <t>24.725708384492336</t>
  </si>
  <si>
    <t>[-0.18, -0.277]</t>
  </si>
  <si>
    <t>LINESTRING (9.65241317907802 59.64956199249457, 9.652249582098861 59.64961676665325, 9.652049881752722 59.649618140282634)</t>
  </si>
  <si>
    <t>[1312267, 1312275]</t>
  </si>
  <si>
    <t>[1220333, 1220289]</t>
  </si>
  <si>
    <t>[1220328, 1220333]</t>
  </si>
  <si>
    <t>[0.18, 0.277]</t>
  </si>
  <si>
    <t>22.338519146062502</t>
  </si>
  <si>
    <t>[0.07, 0.21]</t>
  </si>
  <si>
    <t>LINESTRING (9.651789953351885 59.64945326933752, 9.651836051266288 59.649357155357116, 9.65197889121199 59.64928650469054)</t>
  </si>
  <si>
    <t>[1312219, 1312227]</t>
  </si>
  <si>
    <t>[1220295, 1220300]</t>
  </si>
  <si>
    <t>0.1407638834685014</t>
  </si>
  <si>
    <t>[1220290, 1220295]</t>
  </si>
  <si>
    <t>22.296430186404237</t>
  </si>
  <si>
    <t>[-0.106, -0.116, -0.085, 0.011, 0.129, -1.359]</t>
  </si>
  <si>
    <t>LINESTRING (9.651789953351885 59.64945326933752, 9.6517095730055 59.64939780639121, 9.65165169481667 59.64936209842122, 9.651393028985202 59.64927343664348, 9.648974594044795 59.64883570246008, 9.647793816012026 59.64880178660011, 9.647675689658502 59.64882340969836)</t>
  </si>
  <si>
    <t>[1845123, 1845131, 1845139, 1845147, 1845155, 1845163]</t>
  </si>
  <si>
    <t>[1616150, 1616153, 1616161, 1616166, 1616172, 1220342]</t>
  </si>
  <si>
    <t>[1220290, 1616150, 1616153, 1616161, 1616166, 1616172]</t>
  </si>
  <si>
    <t>[0.106, 0.116, 0.085, 0.011, 0.129, 1.359]</t>
  </si>
  <si>
    <t>250.55044975778196</t>
  </si>
  <si>
    <t>[0.19, 0.202, 0.185, 0.021]</t>
  </si>
  <si>
    <t>LINESTRING (9.65197889121199 59.64928650469054, 9.652028002543624 59.64927510432395, 9.65218572539205 59.64926715497517, 9.65232615222999 59.649290714616065, 9.65241317907802 59.64956199249457)</t>
  </si>
  <si>
    <t>[1312235, 1312243, 1312251, 1312259]</t>
  </si>
  <si>
    <t>[1220306, 1220313, 1220321, 1220328]</t>
  </si>
  <si>
    <t>0.08480780418815956</t>
  </si>
  <si>
    <t>[1220300, 1220306, 1220313, 1220321]</t>
  </si>
  <si>
    <t>54.90363114513825</t>
  </si>
  <si>
    <t>[-0.281, -0.201, -0.136, 0.008, 0.124, -0.921]</t>
  </si>
  <si>
    <t>LINESTRING (9.65197889121199 59.64928650469054, 9.651840718913602 59.64928112481762, 9.651750937552782 59.6492756537965, 9.651430186183736 59.64920215432679, 9.649035779504656 59.648768733392124, 9.647781830893193 59.64867090042906, 9.647656844690635 59.648649767427)</t>
  </si>
  <si>
    <t>[1845171, 1845179, 1845187, 1845195, 1845203, 1845211]</t>
  </si>
  <si>
    <t>[1616182, 1616186, 1616191, 1616195, 1616198, 1220377]</t>
  </si>
  <si>
    <t>[1220300, 1616182, 1616186, 1616191, 1616195, 1616198]</t>
  </si>
  <si>
    <t>[0.281, 0.201, 0.136, 0.008, 0.124, 0.921]</t>
  </si>
  <si>
    <t>255.92369285300236</t>
  </si>
  <si>
    <t>[0.02, 0.036, 0.014, -0.042]</t>
  </si>
  <si>
    <t>LINESTRING (6.6636010739354985 62.4797072366048, 6.666070359605975 62.47991892581503, 6.667988436809535 62.480287933832656, 6.669411683096867 62.48074132284103, 6.669858305438469 62.4808876391093)</t>
  </si>
  <si>
    <t>[1332967, 1332975, 1332983, 1332991]</t>
  </si>
  <si>
    <t>[1211964, 1237908, 1237917, 1220319]</t>
  </si>
  <si>
    <t>0.018396441918700344</t>
  </si>
  <si>
    <t>[1220312, 1211964, 1237908, 1237917]</t>
  </si>
  <si>
    <t>[0.02, 0.036, 0.014, 0.042]</t>
  </si>
  <si>
    <t>355.09514602446893</t>
  </si>
  <si>
    <t>[0.057, 0.013, 0.011, -0.006, 0.037]</t>
  </si>
  <si>
    <t>LINESTRING (6.6636010739354985 62.4797072366048, 6.665714994813334 62.47979191763119, 6.665995629004438 62.479831266583346, 6.666212771125509 62.47985526558014, 6.669454950660434 62.48069425228651, 6.669858305438469 62.4808876391093)</t>
  </si>
  <si>
    <t>[2071514, 2071522, 2071530, 2071538, 2071546]</t>
  </si>
  <si>
    <t>[1798478, 1223697, 1211965, 1798490, 1220319]</t>
  </si>
  <si>
    <t>0.018262889787623107</t>
  </si>
  <si>
    <t>[1220312, 1798478, 1223697, 1211965, 1798490]</t>
  </si>
  <si>
    <t>[0.057, 0.013, 0.011, 0.006, 0.037]</t>
  </si>
  <si>
    <t>360.73751701386385</t>
  </si>
  <si>
    <t>[-0.014, -0.003, -0.029, -0.031, 0.013, -0.045, -0.005, 0.042, 0.032, 0.023, -0.019, 0.016, -0.013]</t>
  </si>
  <si>
    <t>8166.0</t>
  </si>
  <si>
    <t>LINESTRING (6.607240897208619 62.48986817641366, 6.608721088254454 62.489784389897245, 6.622804522402131 62.48785216913934, 6.622944447813897 62.48781752436289, 6.623084522072137 62.48779051114287, 6.632489975072879 62.48691841024692, 6.6405508175926915 62.484398300443466, 6.643911514309199 62.483222889288584, 6.645283346654803 62.48278939826119, 6.645508230336835 62.48271749581546, 6.647054156834115 62.48224255044046, 6.6582017810666185 62.48005664576898, 6.659749927823544 62.47988824167129, 6.6636010739354985 62.4797072366048)</t>
  </si>
  <si>
    <t>[1753629, 1312154, 1312162, 1312170, 1312178, 1312186, 1312194, 1312202, 1312210, 1312218, 1312226, 1312234, 1312242]</t>
  </si>
  <si>
    <t>[1220245, 460016, 1220253, 459993, 1220267, 1220272, 1079276, 1220283, 1220288, 1164240, 1220299, 1220305, 1220312]</t>
  </si>
  <si>
    <t>[1552676, 1220245, 460016, 1220253, 459993, 1220267, 1220272, 1079276, 1220283, 1220288, 1164240, 1220299, 1220305]</t>
  </si>
  <si>
    <t>[0.014, 0.003, 0.029, 0.031, 0.013, 0.045, 0.005, 0.042, 0.032, 0.023, 0.019, 0.016, 0.013]</t>
  </si>
  <si>
    <t>3221.205455507404</t>
  </si>
  <si>
    <t>[-0.102, 0.023, 0.022, 0.085]</t>
  </si>
  <si>
    <t>LINESTRING (9.647675689658502 59.64882340969836, 9.647515112754506 59.648903768843844, 9.647407705628604 59.648920610956765, 9.64729171114281 59.64891775365315, 9.647067570947737 59.64883730814326)</t>
  </si>
  <si>
    <t>[1312283, 1312291, 1312299, 1312307]</t>
  </si>
  <si>
    <t>[1220343, 1220349, 1220356, 1220361]</t>
  </si>
  <si>
    <t>0.00763517323585687</t>
  </si>
  <si>
    <t>[1220342, 1220343, 1220349, 1220356]</t>
  </si>
  <si>
    <t>[0.102, 0.023, 0.022, 0.085]</t>
  </si>
  <si>
    <t>41.66200226400777</t>
  </si>
  <si>
    <t>[-0.151, -0.125]</t>
  </si>
  <si>
    <t>LINESTRING (9.647656844690635 59.648649767427, 9.647711310209564 59.64873730697116, 9.647675689658502 59.64882340969836)</t>
  </si>
  <si>
    <t>[1312339, 1312347]</t>
  </si>
  <si>
    <t>[1220382, 1220342]</t>
  </si>
  <si>
    <t>[1220377, 1220382]</t>
  </si>
  <si>
    <t>[0.151, 0.125]</t>
  </si>
  <si>
    <t>20.03939080185327</t>
  </si>
  <si>
    <t>[0.19, 0.204]</t>
  </si>
  <si>
    <t>LINESTRING (9.647067570947737 59.64883730814326, 9.647021959269512 59.64877559788482, 9.64702430298618 59.64870973099314)</t>
  </si>
  <si>
    <t>[1312315, 1312323]</t>
  </si>
  <si>
    <t>[1220365, 1220369]</t>
  </si>
  <si>
    <t>0.19699946801340598</t>
  </si>
  <si>
    <t>[1220361, 1220365]</t>
  </si>
  <si>
    <t>14.689955709291063</t>
  </si>
  <si>
    <t>[2.841, 0.076, -0.106, -0.011, 0.019, -0.098, -0.028, -0.013, 0.095]</t>
  </si>
  <si>
    <t>LINESTRING (9.647067570947737 59.64883730814326, 9.646962100984489 59.64884091062321, 9.64300901455391 59.64949914971569, 9.642469203163884 59.64949826770009, 9.639952655508274 59.64924316544492, 9.637204882695688 59.63718711265053, 9.637486531973002 59.636610752917875, 9.637575416681036 59.63633360851481, 9.637549823781072 59.63315166823501, 9.637493543530514 59.63309689528)</t>
  </si>
  <si>
    <t>[1845363, 1845371, 1845379, 1312395, 1312403, 1312411, 1845525, 1845533, 1845541]</t>
  </si>
  <si>
    <t>[1616303, 1616308, 1220427, 1220428, 1220434, 1220441, 1616414, 1616418, 1220450]</t>
  </si>
  <si>
    <t>0.01984004213768476</t>
  </si>
  <si>
    <t>[1220361, 1616303, 1616308, 1220427, 1220428, 1220434, 1220441, 1616414, 1616418]</t>
  </si>
  <si>
    <t>[2.841, 0.076, 0.106, 0.011, 0.019, 0.098, 0.028, 0.013, 0.095]</t>
  </si>
  <si>
    <t>2454.299000041173</t>
  </si>
  <si>
    <t>45.598808875847084</t>
  </si>
  <si>
    <t>[2.328, 0.075]</t>
  </si>
  <si>
    <t>LINESTRING (9.64702430298618 59.64870973099314, 9.646921982428978 59.64873146036945, 9.643003683543416 59.64938747814837)</t>
  </si>
  <si>
    <t>[1845509, 1845517]</t>
  </si>
  <si>
    <t>[1616402, 1616408]</t>
  </si>
  <si>
    <t>0.13348590798871546</t>
  </si>
  <si>
    <t>[1220369, 1616402]</t>
  </si>
  <si>
    <t>241.21110588436773</t>
  </si>
  <si>
    <t>[0.122, -0.039, 0.048, -0.036]</t>
  </si>
  <si>
    <t>LINESTRING (9.656487811588518 59.654773784404945, 9.656308858199525 59.65466496582534, 9.655261275945165 59.653654418033966, 9.655713044938272 59.6545899603639, 9.655751963011122 59.6547082668597)</t>
  </si>
  <si>
    <t>[1844604, 1844611, 1844619, 1842155]</t>
  </si>
  <si>
    <t>[1615860, 1615865, 1614226, 1614227]</t>
  </si>
  <si>
    <t>0.005047909356727788</t>
  </si>
  <si>
    <t>[1220407, 1615860, 1615865, 1614226]</t>
  </si>
  <si>
    <t>[0.122, 0.039, 0.048, 0.036]</t>
  </si>
  <si>
    <t>285.6062555157114</t>
  </si>
  <si>
    <t>[0.026, 0.017, 0.018, -0.037, -0.087, 0.029, -0.014]</t>
  </si>
  <si>
    <t>LINESTRING (9.697695766241036 59.66422669519042, 9.694682132741654 59.663328196655335, 9.694213462783301 59.66320030739493, 9.691525777308476 59.66251860770337, 9.659470804059156 59.656861241839806, 9.656931429543157 59.65526570008517, 9.656835151144705 59.65516963619813, 9.656487811588518 59.654773784404945)</t>
  </si>
  <si>
    <t>[1828397, 1828405, 1827718, 1827726, 1312355, 1312363, 1312371]</t>
  </si>
  <si>
    <t>[1605897, 1605440, 1605441, 1220395, 1220396, 1220403, 1220407]</t>
  </si>
  <si>
    <t>[1605767, 1605897, 1605440, 1605441, 1220395, 1220396, 1220403]</t>
  </si>
  <si>
    <t>[0.026, 0.017, 0.018, 0.037, 0.087, 0.029, 0.014]</t>
  </si>
  <si>
    <t>2608.2944182502765</t>
  </si>
  <si>
    <t>41.149581608649655</t>
  </si>
  <si>
    <t>[0.149, 0.268]</t>
  </si>
  <si>
    <t>LINESTRING (9.637817340065414 59.633057890280725, 9.63766531323079 59.63309845064295, 9.637493543530514 59.63309689528)</t>
  </si>
  <si>
    <t>[1312483, 1312491]</t>
  </si>
  <si>
    <t>[1220500, 1220450]</t>
  </si>
  <si>
    <t>0.20849342368800816</t>
  </si>
  <si>
    <t>[1220492, 1220500]</t>
  </si>
  <si>
    <t>19.400546265616683</t>
  </si>
  <si>
    <t>[-0.227, -0.247]</t>
  </si>
  <si>
    <t>LINESTRING (9.637353595567847 59.63279859490615, 9.63749237612336 59.632759741423314, 9.637638625240992 59.632755300663455)</t>
  </si>
  <si>
    <t>[1312435, 1312443]</t>
  </si>
  <si>
    <t>[1220455, 1220464]</t>
  </si>
  <si>
    <t>[1220451, 1220455]</t>
  </si>
  <si>
    <t>[0.227, 0.247]</t>
  </si>
  <si>
    <t>17.22462326757038</t>
  </si>
  <si>
    <t>[-0.029, 0.037, 0.036, 0.021, -0.043, -0.133]</t>
  </si>
  <si>
    <t>LINESTRING (9.637353595567847 59.63279859490615, 9.637345387533314 59.632737694357836, 9.636616743823254 59.63178819799524, 9.63556833841345 59.63102201836081, 9.619106532311474 59.62632122947498, 9.614959562823797 59.62437919211772, 9.614643972223256 59.62422942949176)</t>
  </si>
  <si>
    <t>[1845247, 1845255, 1845263, 1845271, 1845279, 1845287]</t>
  </si>
  <si>
    <t>[1616224, 1616231, 1616234, 1616240, 1616245, 1616251]</t>
  </si>
  <si>
    <t>0.00822008069324729</t>
  </si>
  <si>
    <t>[1220451, 1616224, 1616231, 1616234, 1616240, 1616245]</t>
  </si>
  <si>
    <t>[0.029, 0.037, 0.036, 0.021, 0.043, 0.133]</t>
  </si>
  <si>
    <t>1652.6937530474513</t>
  </si>
  <si>
    <t>[-0.134, 0.003, 0.008, 0.025]</t>
  </si>
  <si>
    <t>LINESTRING (9.637638625240992 59.632755300663455, 9.63782647698222 59.63280296083308, 9.637900521301445 59.632856662346086, 9.6379304840938 59.63292043480717, 9.637817340065414 59.633057890280725)</t>
  </si>
  <si>
    <t>[1312451, 1312459, 1312467, 1312475]</t>
  </si>
  <si>
    <t>[775708, 1220478, 775699, 1220492]</t>
  </si>
  <si>
    <t>[1220464, 775708, 1220478, 775699]</t>
  </si>
  <si>
    <t>[0.134, 0.003, 0.008, 0.025]</t>
  </si>
  <si>
    <t>43.47825449935268</t>
  </si>
  <si>
    <t>[0.131, 0.046, 0.02, -0.041, -0.135, -0.125, -0.119]</t>
  </si>
  <si>
    <t>LINESTRING (9.637638625240992 59.632755300663455, 9.637575685234326 59.63270439417479, 9.635674228968792 59.63100211944379, 9.61918081526595 59.62628236859823, 9.61503133081989 59.6243390690816, 9.614778836280703 59.62422244941381, 9.61438382310139 59.624036017934216, 9.613279919068912 59.62352024978488)</t>
  </si>
  <si>
    <t>[1845031, 1845039, 1845047, 1845055, 1845063, 1845071, 1845079]</t>
  </si>
  <si>
    <t>[1616091, 1616094, 1616100, 1616105, 1616108, 1616116, 1616121]</t>
  </si>
  <si>
    <t>0.0017533682652151432</t>
  </si>
  <si>
    <t>[1220464, 1616091, 1616094, 1616100, 1616105, 1616108, 1616116]</t>
  </si>
  <si>
    <t>[0.131, 0.046, 0.02, 0.041, 0.135, 0.125, 0.119]</t>
  </si>
  <si>
    <t>1766.3050952240576</t>
  </si>
  <si>
    <t>[-0.016, -0.033]</t>
  </si>
  <si>
    <t>LINESTRING (9.63775372343449 59.636622520345014, 9.637812704580579 59.63312132373539, 9.637817340065414 59.633057890280725)</t>
  </si>
  <si>
    <t>[1845558, 1845566]</t>
  </si>
  <si>
    <t>[1616438, 1220492]</t>
  </si>
  <si>
    <t>[1616391, 1616438]</t>
  </si>
  <si>
    <t>[0.016, 0.033]</t>
  </si>
  <si>
    <t>367.5626054437538</t>
  </si>
  <si>
    <t>[0.0, 0.008, 0.026, 0.029]</t>
  </si>
  <si>
    <t>LINESTRING (5.297686199479722 59.391393670633676, 5.297686199479722 59.391393670633676, 5.29808849912349 59.391827213411894, 5.298450230006355 59.39190943557027, 5.29857356377392 59.391908255859605)</t>
  </si>
  <si>
    <t>[1313892, 1313904, 1313923, 2102945]</t>
  </si>
  <si>
    <t>[1221691, 1221703, 1221721, 1767627]</t>
  </si>
  <si>
    <t>0.013496928085083102</t>
  </si>
  <si>
    <t>[1221654, 1221691, 1221703, 1221721]</t>
  </si>
  <si>
    <t>95.84697828935649</t>
  </si>
  <si>
    <t>[-0.064, -0.046, -0.021]</t>
  </si>
  <si>
    <t>LINESTRING (17.626176818648627 68.4767146510449, 17.626143583279283 68.47667684556444, 17.624313430667204 68.4763326611116, 17.624029522850932 68.47632310414855)</t>
  </si>
  <si>
    <t>[1318425, 1318426, 1318427]</t>
  </si>
  <si>
    <t>[1225627, 1225628, 1225629]</t>
  </si>
  <si>
    <t>[1225626, 1225627, 1225628]</t>
  </si>
  <si>
    <t>[0.064, 0.046, 0.021]</t>
  </si>
  <si>
    <t>104.28698682860342</t>
  </si>
  <si>
    <t>[-0.035, 0.033, 0.016, -0.296, -0.121, -0.103, -0.098, 0.019, -0.189, -0.149, -0.029, -0.049, 0.013, 0.048, -0.001, -0.0, -0.001, -0.025, -0.022, -0.028, 0.002, 0.016, 0.029, 0.034, 0.03, 0.09, -0.011, -0.025]</t>
  </si>
  <si>
    <t>847.0</t>
  </si>
  <si>
    <t>LINESTRING (17.626176818648627 68.4767146510449, 17.623906671284633 68.47642286245328, 17.619441362525013 68.47641300438985, 17.593450693259847 68.47616762135114, 17.58938301736543 68.47568686628742, 17.586758281107713 68.47539300529523, 17.586543770362177 68.47536935351319, 17.585500520347033 68.47527217969161, 17.572538495436444 68.47425034950386, 17.57241612005547 68.47424298318771, 17.571526397504805 68.47420897758944, 17.567997830860566 68.47449900844272, 17.56743218441661 68.47459009555001, 17.564754876884216 68.47605162989264, 17.564608454387187 68.47668690385115, 17.564478809556825 68.47724177072593, 17.564403634816056 68.47754646810287, 17.56434611931426 68.47772245761858, 17.562491961418978 68.47898007959361, 17.55897073287428 68.47953684948234, 17.554560056018445 68.47939769003504, 17.551830228370633 68.47940750461092, 17.551533387678855 68.47944163267562, 17.5361525036597 68.48149261335618, 17.534951990031054 68.4819442737891, 17.52936507158253 68.48407572047182, 17.526742035620465 68.48483777316012, 17.526677363618468 68.48484738187605, 17.525500083838626 68.4849788163569)</t>
  </si>
  <si>
    <t>[2074133, 2074141, 2074149, 2074157, 430413, 430421, 430429, 430437, 430445, 430453, 430461, 430469, 430477, 430485, 430493, 430501, 430509, 430517, 430525, 430533, 430541, 430549, 430557, 430565, 430573, 2076870, 2076878, 2076886]</t>
  </si>
  <si>
    <t>[1225658, 1799883, 1799891, 428601, 428602, 428612, 428621, 428630, 428639, 428648, 428655, 428663, 428671, 428679, 428686, 428694, 428701, 428708, 428714, 428718, 428724, 428730, 428738, 428747, 428754, 944704, 1801653, 1801659]</t>
  </si>
  <si>
    <t>[1225626, 1225658, 1799883, 1799891, 428601, 428602, 428612, 428621, 428630, 428639, 428648, 428655, 428663, 428671, 428679, 428686, 428694, 428701, 428708, 428714, 428718, 428724, 428730, 428738, 428747, 428754, 944704, 1801653]</t>
  </si>
  <si>
    <t>[0.035, 0.033, 0.016, 0.296, 0.121, 0.103, 0.098, 0.019, 0.189, 0.149, 0.029, 0.049, 0.013, 0.048, 0.001, 0.0, 0.001, 0.025, 0.022, 0.028, 0.002, 0.016, 0.029, 0.034, 0.03, 0.09, 0.011, 0.025]</t>
  </si>
  <si>
    <t>4808.802770519651</t>
  </si>
  <si>
    <t>LINESTRING (18.99609596932665 69.68259859417519, 18.996108565091166 69.68251044268396, 18.996284055155147 69.68243062140563)</t>
  </si>
  <si>
    <t>[1319283, 1319284]</t>
  </si>
  <si>
    <t>[1226498, 1226405]</t>
  </si>
  <si>
    <t>[1226474, 1226498]</t>
  </si>
  <si>
    <t>21.049996703148466</t>
  </si>
  <si>
    <t>[-0.024, 0.009, -0.007, -0.021]</t>
  </si>
  <si>
    <t>LINESTRING (18.98944716681922 69.68056364780468, 18.9897160086591 69.68064603007649, 18.994937174141615 69.6822581495736, 18.99608093768142 69.68242972039224, 18.996284055155147 69.68243062140563)</t>
  </si>
  <si>
    <t>[1319319, 1319326, 1319327, 1319334]</t>
  </si>
  <si>
    <t>[1226535, 1226541, 1226542, 1226405]</t>
  </si>
  <si>
    <t>0.0046577114915803105</t>
  </si>
  <si>
    <t>[1226534, 1226535, 1226541, 1226542]</t>
  </si>
  <si>
    <t>[0.024, 0.009, 0.007, 0.021]</t>
  </si>
  <si>
    <t>341.87105537408297</t>
  </si>
  <si>
    <t>[0.161, 0.022]</t>
  </si>
  <si>
    <t>LINESTRING (9.087041104984912 58.831770601928525, 9.08692620469009 58.83166748435034, 9.07581460462261 58.82380817140041)</t>
  </si>
  <si>
    <t>[1322889, 1322897]</t>
  </si>
  <si>
    <t>[1229515, 1229525]</t>
  </si>
  <si>
    <t>0.023645276692218758</t>
  </si>
  <si>
    <t>[1229505, 1229515]</t>
  </si>
  <si>
    <t>1121.8897518521799</t>
  </si>
  <si>
    <t>631.9303455243648</t>
  </si>
  <si>
    <t>690.4352902846315</t>
  </si>
  <si>
    <t>[-0.011, 0.025, 0.019, -0.006, -0.041, 0.118, -0.0, -0.016, -0.03, -0.044, -0.009, 0.018, -0.016, -0.024, -0.054, 0.008, -0.009, 0.004]</t>
  </si>
  <si>
    <t>[0, 0, 1, 0, 0, 1, 1, 0, 0, 1, 0, 0, 0, 0, 0, 1, 0, 0]</t>
  </si>
  <si>
    <t>LINESTRING (9.049793552168929 58.78991199209738, 9.03939487739172 58.7822746218567, 9.03842605752179 58.78046595035927, 9.038353469800866 58.780153040636094, 9.044875976932769 58.77036549758814, 9.045159566881644 58.76976668312332, 9.045406417534931 58.7686440329084, 9.04529397037182 58.76795428412921, 9.045082630768055 58.76745408779637, 9.044827608317243 58.766981812770766, 9.044636357350413 58.76667538409698, 9.042516510938151 58.76329743316078, 9.04064107069529 58.76031297087181, 9.039240364399902 58.757696465149145, 9.038369743769575 58.75309114812561, 9.037980556584671 58.7499063458357, 9.03793508891576 58.74959217138971, 9.037611672089705 58.74704665715703, 9.037531297988165 58.74638633971556)</t>
  </si>
  <si>
    <t>[1323401, 1323409, 1323153, 1323161, 1323169, 1323177, 996541, 996542, 996543, 996544, 996545, 996546, 996547, 996548, 996549, 1322921, 1322929, 1322937]</t>
  </si>
  <si>
    <t>[1229925, 1229744, 1229745, 1229750, 1229758, 954277, 954278, 954279, 954280, 954281, 954282, 954283, 954284, 954285, 954286, 1229549, 1229557, 1229568]</t>
  </si>
  <si>
    <t>[1229873, 1229925, 1229744, 1229745, 1229750, 1229758, 954277, 954278, 954279, 954280, 954281, 954282, 954283, 954284, 954285, 954286, 1229549, 1229557]</t>
  </si>
  <si>
    <t>[0.011, 0.025, 0.019, 0.006, 0.041, 0.118, 0.0, 0.016, 0.03, 0.044, 0.009, 0.018, 0.016, 0.024, 0.054, 0.008, 0.009, 0.004]</t>
  </si>
  <si>
    <t>5192.74559695703</t>
  </si>
  <si>
    <t>771.8267252745891</t>
  </si>
  <si>
    <t>[0.017, -0.003]</t>
  </si>
  <si>
    <t>LINESTRING (9.086562544821785 58.83146582067016, 9.075697676852917 58.82378984094186, 9.07566856354662 58.82369988982836)</t>
  </si>
  <si>
    <t>[1323097, 1323105]</t>
  </si>
  <si>
    <t>[1229699, 1229706]</t>
  </si>
  <si>
    <t>0.0168141052772619</t>
  </si>
  <si>
    <t>[1229693, 1229699]</t>
  </si>
  <si>
    <t>[0.017, 0.003]</t>
  </si>
  <si>
    <t>1094.2214331268917</t>
  </si>
  <si>
    <t>696.3228323977039</t>
  </si>
  <si>
    <t>[0.024, 0.064, 0.025, -0.035, -0.017, 0.02]</t>
  </si>
  <si>
    <t>7617.0</t>
  </si>
  <si>
    <t>LINESTRING (9.07431586354738 58.81754036691427, 9.072720515667722 58.81600887551401, 9.072350603775119 58.815703004769155, 9.056579325692063 58.801281844674214, 9.055060794751117 58.79948853173982, 9.054700851448954 58.79853211006083, 9.052554716801017 58.79262202554449)</t>
  </si>
  <si>
    <t>[1323465, 1323473, 1323481, 1323489, 1323377, 1323385]</t>
  </si>
  <si>
    <t>[1229970, 1229975, 1229977, 1229908, 1229909, 1229879]</t>
  </si>
  <si>
    <t>0.018619331404266925</t>
  </si>
  <si>
    <t>[1229711, 1229970, 1229975, 1229977, 1229908, 1229909]</t>
  </si>
  <si>
    <t>[0.024, 0.064, 0.025, 0.035, 0.017, 0.02]</t>
  </si>
  <si>
    <t>3086.2659541657335</t>
  </si>
  <si>
    <t>342.4659542699087</t>
  </si>
  <si>
    <t>[0.888, -0.02, -0.479]</t>
  </si>
  <si>
    <t>LINESTRING (9.052554716801017 58.79262202554449, 9.052473240980706 58.79255910425111, 9.049910145909864 58.79002587969873, 9.049793552168929 58.78991199209738)</t>
  </si>
  <si>
    <t>[1323321, 1287812, 1323313]</t>
  </si>
  <si>
    <t>[1201497, 1201498, 1229873]</t>
  </si>
  <si>
    <t>[1229879, 1201497, 1201498]</t>
  </si>
  <si>
    <t>[0.888, 0.02, 0.479]</t>
  </si>
  <si>
    <t>342.891633106643</t>
  </si>
  <si>
    <t>[0.004, -0.012, -0.015, -0.022, -0.027, -0.017]</t>
  </si>
  <si>
    <t>2061.0</t>
  </si>
  <si>
    <t>[1, 0, 0, 0, 1, 0]</t>
  </si>
  <si>
    <t>LINESTRING (7.146763136941531 62.61377998693823, 7.1467414283866155 62.613736733067206, 7.145465023218304 62.6127049490517, 7.145256628756544 62.61255221997462, 7.1441201562203815 62.61188664341629, 7.143998789471894 62.61183110395821, 7.139782419321816 62.610812380368046)</t>
  </si>
  <si>
    <t>[2166395, 2166401, 2166407, 2166413, 2166419, 2166425]</t>
  </si>
  <si>
    <t>[1853696, 1853701, 1853705, 1853707, 1853712, 1853486]</t>
  </si>
  <si>
    <t>[1233937, 1853696, 1853701, 1853705, 1853707, 1853712]</t>
  </si>
  <si>
    <t>[0.004, 0.012, 0.015, 0.022, 0.027, 0.017]</t>
  </si>
  <si>
    <t>510.61233305704326</t>
  </si>
  <si>
    <t>[-0.04, -0.014, -0.013, -0.02, -0.024, -0.016]</t>
  </si>
  <si>
    <t>LINESTRING (7.146763136941531 62.61377998693823, 7.146711578081732 62.613756672795496, 7.145591765382461 62.61289214854017, 7.14536444755407 62.61271479678984, 7.144073541900758 62.61192991363147, 7.143957881131043 62.6118747232501, 7.139782419321816 62.610812380368046)</t>
  </si>
  <si>
    <t>[2166499, 2166505, 2166511, 2166517, 2166523, 2166529]</t>
  </si>
  <si>
    <t>[1853748, 1853728, 1853653, 1853755, 1853758, 1853486]</t>
  </si>
  <si>
    <t>[1233937, 1853748, 1853728, 1853653, 1853755, 1853758]</t>
  </si>
  <si>
    <t>[0.04, 0.014, 0.013, 0.02, 0.024, 0.016]</t>
  </si>
  <si>
    <t>506.2706125890635</t>
  </si>
  <si>
    <t>1659.0</t>
  </si>
  <si>
    <t>LINESTRING (7.408220014521703 62.56369062623124, 7.146763136941531 62.61377998693823)</t>
  </si>
  <si>
    <t>[-0.007, -0.006, -0.004, -0.001, 0.003, 0.005, 0.006]</t>
  </si>
  <si>
    <t>LINESTRING (6.3536972126516975 62.46618799558616, 6.353763519997965 62.46617410024791, 6.353898097111921 62.466175353895, 6.354011455219236 62.466209924147265, 6.354060008548568 62.46625423701828, 6.35405621481402 62.46631604542876, 6.353967998976756 62.46637212339622, 6.35388556242881 62.46638986398986)</t>
  </si>
  <si>
    <t>[1328542, 1328550, 1328558, 1328566, 1328571, 1328573, 1328581]</t>
  </si>
  <si>
    <t>[1206240, 1234027, 1234033, 1234037, 1234040, 1206198, 1234048]</t>
  </si>
  <si>
    <t>[1234021, 1206240, 1234027, 1234033, 1234037, 1234040, 1206198]</t>
  </si>
  <si>
    <t>[0.007, 0.006, 0.004, 0.001, 0.003, 0.005, 0.006]</t>
  </si>
  <si>
    <t>42.642045329327125</t>
  </si>
  <si>
    <t>[0.656, -0.024, -0.035, -0.074, -0.052, -0.034, -0.056, -0.27]</t>
  </si>
  <si>
    <t>LINESTRING (13.249903612102527 65.88669042978779, 13.250659975691018 65.88675826915174, 13.250816608081635 65.8867771693076, 13.253964425214999 65.88730090447454, 13.254027715560925 65.88731531978345, 13.254204556538717 65.88735560827224, 13.254268581662316 65.8873701933807, 13.25493383153003 65.88753312755014, 13.257332076961042 65.88835671868702)</t>
  </si>
  <si>
    <t>[1850449, 1850456, 1850457, 1850464, 1850468, 1850469, 1850476, 1850484]</t>
  </si>
  <si>
    <t>[1620165, 1620173, 1620174, 1620182, 1620186, 1620187, 1620196, 1235508]</t>
  </si>
  <si>
    <t>[1235499, 1620165, 1620173, 1620174, 1620182, 1620186, 1620187, 1620196]</t>
  </si>
  <si>
    <t>[0.656, 0.024, 0.035, 0.074, 0.052, 0.034, 0.056, 0.27]</t>
  </si>
  <si>
    <t>392.8940056368555</t>
  </si>
  <si>
    <t>[0.534, -0.038, -0.048, -0.053, -0.057, -0.048, -0.296]</t>
  </si>
  <si>
    <t>LINESTRING (13.249903612102527 65.88669042978779, 13.25078684471752 65.88681078957264, 13.2539011220319 65.88735666965202, 13.254043837222548 65.88738863650345, 13.254218330805129 65.88742892518344, 13.254904757685976 65.88760120953805, 13.255151453197586 65.88766917001213, 13.257332076961042 65.88835671868702)</t>
  </si>
  <si>
    <t>[1850485, 1850495, 1850516, 1850517, 1850532, 1850533, 1850540]</t>
  </si>
  <si>
    <t>[1620204, 1620212, 1620235, 1620236, 1620253, 1620254, 1235508]</t>
  </si>
  <si>
    <t>[1235499, 1620204, 1620212, 1620235, 1620236, 1620253, 1620254]</t>
  </si>
  <si>
    <t>[0.534, 0.038, 0.048, 0.053, 0.057, 0.048, 0.296]</t>
  </si>
  <si>
    <t>389.7253730731204</t>
  </si>
  <si>
    <t>[0.054, 0.069, 0.036, 0.067, -0.007, -0.02, 0.152, 0.048, -0.127, -0.059, 0.03, 0.154]</t>
  </si>
  <si>
    <t>[0, 0, 1, 0, 0, 1, 0, 0, 0, 0, 0, 0]</t>
  </si>
  <si>
    <t>LINESTRING (9.605714226494111 59.620830470418866, 9.600835650432224 59.620794186605934, 9.59739836996627 59.6213032579244, 9.596807697814985 59.62139342324954, 9.588224186472583 59.62195934990226, 9.584819745502976 59.62248327217891, 9.583481431462323 59.62285354275682, 9.582432518070975 59.623226201611125, 9.576897558356972 59.626440203417715, 9.574920314670678 59.627234114645, 9.574127759369492 59.627495929607015, 9.571905136075136 59.62821266604365, 9.568939142508722 59.628837568053555)</t>
  </si>
  <si>
    <t>[1845111, 1845119, 1845127, 1845135, 1845143, 1845151, 1845159, 1845167, 1845175, 1845183, 1845191, 1845207]</t>
  </si>
  <si>
    <t>[1616143, 1616148, 1616151, 1616157, 1616164, 1616170, 1616174, 1616179, 1616184, 1616188, 1616194, 1236482]</t>
  </si>
  <si>
    <t>0.04435762593114391</t>
  </si>
  <si>
    <t>[1616139, 1616143, 1616148, 1616151, 1616157, 1616164, 1616170, 1616174, 1616179, 1616184, 1616188, 1616194]</t>
  </si>
  <si>
    <t>[0.054, 0.069, 0.036, 0.067, 0.007, 0.02, 0.152, 0.048, 0.127, 0.059, 0.03, 0.154]</t>
  </si>
  <si>
    <t>2371.0284085425155</t>
  </si>
  <si>
    <t>[0.069, 0.035, 0.065, -0.004, -0.008, 0.151, 0.045, -0.127, -0.066, 0.03, 0.161]</t>
  </si>
  <si>
    <t>[0, 1, 0, 0, 1, 0, 0, 0, 0, 0, 0]</t>
  </si>
  <si>
    <t>LINESTRING (9.600886001521518 59.62085739004096, 9.597436613260076 59.621368032266496, 9.596847342500677 59.621458534701794, 9.588246051224779 59.622031170826126, 9.584940204860542 59.62251425296091, 9.583615372719851 59.62287496799408, 9.58249936991052 59.623268561071995, 9.576970232844506 59.62647940545508, 9.574995734301426 59.62727336872386, 9.574204790571178 59.62753576401619, 9.571959290369549 59.62825891354849, 9.568939142508722 59.628837568053555)</t>
  </si>
  <si>
    <t>[1845343, 1845351, 1845359, 1845367, 1845375, 1845383, 1845391, 1845399, 1845407, 1845415, 1845431]</t>
  </si>
  <si>
    <t>[1616289, 1616294, 1616298, 1616305, 1616310, 1616315, 1616319, 1616325, 1616332, 1616337, 1236482]</t>
  </si>
  <si>
    <t>0.04361930599931313</t>
  </si>
  <si>
    <t>[1616282, 1616289, 1616294, 1616298, 1616305, 1616310, 1616315, 1616319, 1616325, 1616332, 1616337]</t>
  </si>
  <si>
    <t>[0.069, 0.035, 0.065, 0.004, 0.008, 0.151, 0.045, 0.127, 0.066, 0.03, 0.161]</t>
  </si>
  <si>
    <t>2093.8186037573773</t>
  </si>
  <si>
    <t>13.352286795490503</t>
  </si>
  <si>
    <t>[0.024, 0.052, 0.114]</t>
  </si>
  <si>
    <t>LINESTRING (9.60737269193698 59.62236320684736, 9.6074260024078 59.62233327857301, 9.601402239619782 59.62084987846591, 9.600886001521518 59.62085739004096)</t>
  </si>
  <si>
    <t>[1331571, 1331579, 1845618]</t>
  </si>
  <si>
    <t>[1236597, 1236605, 1616282]</t>
  </si>
  <si>
    <t>0.055330687979964016</t>
  </si>
  <si>
    <t>[1236596, 1236597, 1236605]</t>
  </si>
  <si>
    <t>505.1838601289338</t>
  </si>
  <si>
    <t>[0.032, 0.057, 0.081, 0.057, -0.007]</t>
  </si>
  <si>
    <t>LINESTRING (9.607562488565067 59.62264902533742, 9.607302490716288 59.6226716869632, 9.607198314073017 59.62264561082733, 9.607120408636504 59.62260198986908, 9.607120949103868 59.62243840463192, 9.60737269193698 59.62236320684736)</t>
  </si>
  <si>
    <t>[1844887, 1844895, 1844903, 1844911, 1844919]</t>
  </si>
  <si>
    <t>[1616004, 1616007, 1616014, 1616018, 1236596]</t>
  </si>
  <si>
    <t>0.03659844960255759</t>
  </si>
  <si>
    <t>[1616003, 1616004, 1616007, 1616014, 1616018]</t>
  </si>
  <si>
    <t>[0.032, 0.057, 0.081, 0.057, 0.007]</t>
  </si>
  <si>
    <t>64.324991056693</t>
  </si>
  <si>
    <t>348.9221497576957</t>
  </si>
  <si>
    <t>[-0.066, -0.035, 0.217]</t>
  </si>
  <si>
    <t>LINESTRING (9.611026161410992 59.62134774875995, 9.610487490242983 59.62215243064762, 9.613003461234007 59.6233478243069, 9.613279919068912 59.62352024978488)</t>
  </si>
  <si>
    <t>[1331603, 1331611, 1845634]</t>
  </si>
  <si>
    <t>[1236631, 1236637, 1616121]</t>
  </si>
  <si>
    <t>[1236618, 1236631, 1236637]</t>
  </si>
  <si>
    <t>[0.066, 0.035, 0.217]</t>
  </si>
  <si>
    <t>336.409339465841</t>
  </si>
  <si>
    <t>[-0.031, -0.034]</t>
  </si>
  <si>
    <t>LINESTRING (9.605714226494111 59.620830470418866, 9.606148593809172 59.620859140440935, 9.611026161410992 59.62134774875995)</t>
  </si>
  <si>
    <t>[1845626, 1331587]</t>
  </si>
  <si>
    <t>[1236617, 1236618]</t>
  </si>
  <si>
    <t>[1616139, 1236617]</t>
  </si>
  <si>
    <t>319.2509527853239</t>
  </si>
  <si>
    <t>[0.068, 0.063]</t>
  </si>
  <si>
    <t>LINESTRING (9.608063764788275 59.62274556743109, 9.607637126109658 59.62265993370222, 9.607562488565067 59.62264902533742)</t>
  </si>
  <si>
    <t>[1845215, 1845223]</t>
  </si>
  <si>
    <t>[1616205, 1616003]</t>
  </si>
  <si>
    <t>0.06727615311213508</t>
  </si>
  <si>
    <t>[1236625, 1616205]</t>
  </si>
  <si>
    <t>30.304260301761822</t>
  </si>
  <si>
    <t>[0.08, 0.082]</t>
  </si>
  <si>
    <t>LINESTRING (9.608063764788275 59.62274556743109, 9.607739183044039 59.62257874025711, 9.607688310518215 59.62255261353574)</t>
  </si>
  <si>
    <t>[1845231, 1845239]</t>
  </si>
  <si>
    <t>[1616214, 1616028]</t>
  </si>
  <si>
    <t>0.08026862738683825</t>
  </si>
  <si>
    <t>[1236625, 1616214]</t>
  </si>
  <si>
    <t>30.46093049912651</t>
  </si>
  <si>
    <t>42.81293496117438</t>
  </si>
  <si>
    <t>[0.013, 0.014]</t>
  </si>
  <si>
    <t>LINESTRING (10.370829613188267 63.346572485377784, 10.370687594897172 63.34655438009617, 10.37030914246027 63.34653263479111)</t>
  </si>
  <si>
    <t>[1332842, 1332850]</t>
  </si>
  <si>
    <t>[1237798, 1237436]</t>
  </si>
  <si>
    <t>0.013723426785914013</t>
  </si>
  <si>
    <t>[1237516, 1237798]</t>
  </si>
  <si>
    <t>26.733442518298705</t>
  </si>
  <si>
    <t>[0.012, 0.013]</t>
  </si>
  <si>
    <t>LINESTRING (10.370754319539053 63.34642103360367, 10.370651576541857 63.346453015800336, 10.37030914246027 63.34653263479111)</t>
  </si>
  <si>
    <t>[1332858, 1332866]</t>
  </si>
  <si>
    <t>[1237805, 1237436]</t>
  </si>
  <si>
    <t>0.01275518185230391</t>
  </si>
  <si>
    <t>[1237527, 1237805]</t>
  </si>
  <si>
    <t>25.57235168777877</t>
  </si>
  <si>
    <t>[0.012, 0.013, 0.012]</t>
  </si>
  <si>
    <t>LINESTRING (10.369461665897479 63.346582864524876, 10.369339790862883 63.34661864798101, 10.369150952616215 63.346642631901304, 10.369050190645334 63.34667037904856)</t>
  </si>
  <si>
    <t>[1332874, 1332882, 1332890]</t>
  </si>
  <si>
    <t>[1237815, 1237823, 1237442]</t>
  </si>
  <si>
    <t>0.012426584031477741</t>
  </si>
  <si>
    <t>[1237437, 1237815, 1237823]</t>
  </si>
  <si>
    <t>23.04009119456646</t>
  </si>
  <si>
    <t>[0.013, 0.014, 0.013]</t>
  </si>
  <si>
    <t>LINESTRING (10.369461665897479 63.346582864524876, 10.369323024852802 63.34656243972635, 10.369146981949989 63.34656218249492, 10.369015700023107 63.346547769833464)</t>
  </si>
  <si>
    <t>[1332898, 1332906, 1332914]</t>
  </si>
  <si>
    <t>[1237834, 1237843, 1237458]</t>
  </si>
  <si>
    <t>0.013385135012412182</t>
  </si>
  <si>
    <t>[1237437, 1237834, 1237843]</t>
  </si>
  <si>
    <t>22.893239678831172</t>
  </si>
  <si>
    <t>16.396556337051763</t>
  </si>
  <si>
    <t>[-0.006, 0.003]</t>
  </si>
  <si>
    <t>LINESTRING (10.369015700023107 63.346547769833464, 10.369075422748564 63.34660573477004, 10.369050190645334 63.34667037904856)</t>
  </si>
  <si>
    <t>[1332481, 1332489]</t>
  </si>
  <si>
    <t>[1237466, 1237442]</t>
  </si>
  <si>
    <t>[1237458, 1237466]</t>
  </si>
  <si>
    <t>14.438987805053728</t>
  </si>
  <si>
    <t>26.98636085766459</t>
  </si>
  <si>
    <t>16.911839360743684</t>
  </si>
  <si>
    <t>12.820923119670928</t>
  </si>
  <si>
    <t>[0.009, 0.01, 0.004, -0.002, -0.008, -0.014, -0.009]</t>
  </si>
  <si>
    <t>LINESTRING (10.370988519350874 63.34630805856584, 10.371386704755665 63.34635517261844, 10.371464006362073 63.346417124929395, 10.37147314808484 63.346495835798166, 10.371445401342655 63.34653387105187, 10.371347921911429 63.34659221069708, 10.371231681374393 63.34662161440277, 10.37104859860155 63.34662852246325)</t>
  </si>
  <si>
    <t>[1332561, 1332569, 1332577, 1332497, 1332505, 1332513, 1332521]</t>
  </si>
  <si>
    <t>[1237539, 1237547, 1237484, 1237485, 1237493, 1237500, 1237508]</t>
  </si>
  <si>
    <t>0.0008702582581477751</t>
  </si>
  <si>
    <t>[1237534, 1237539, 1237547, 1237484, 1237485, 1237493, 1237500]</t>
  </si>
  <si>
    <t>[0.009, 0.01, 0.004, 0.002, 0.008, 0.014, 0.009]</t>
  </si>
  <si>
    <t>66.75184812505218</t>
  </si>
  <si>
    <t>[0.005, -0.002]</t>
  </si>
  <si>
    <t>LINESTRING (10.370829613188267 63.346572485377784, 10.37075008528066 63.34650074852859, 10.370754319539053 63.34642103360367)</t>
  </si>
  <si>
    <t>[1332537, 1332545]</t>
  </si>
  <si>
    <t>[1237522, 1237527]</t>
  </si>
  <si>
    <t>0.0015088041433775844</t>
  </si>
  <si>
    <t>[1237516, 1237522]</t>
  </si>
  <si>
    <t>17.82564976089514</t>
  </si>
  <si>
    <t>17.735144908647474</t>
  </si>
  <si>
    <t>[-0.001, -0.001, 0.001, 0.003, 0.005, 0.001, -0.0]</t>
  </si>
  <si>
    <t>LINESTRING (11.077575308153008 59.95286583878409, 11.077758887946565 59.95290034074525, 11.077829156497973 59.95297147439398, 11.07777301491122 59.953065724840556, 11.077675927583895 59.95310005275603, 11.077493520857706 59.953098038951204, 11.07737594419362 59.95304347644818, 11.077350873176352 59.953005422234405)</t>
  </si>
  <si>
    <t>[1334823, 1334831, 1334839, 1334847, 1334855, 1334863, 1334799]</t>
  </si>
  <si>
    <t>[1239373, 1239381, 1239387, 1239392, 1239398, 1239351, 1239352]</t>
  </si>
  <si>
    <t>0.0011549864722893235</t>
  </si>
  <si>
    <t>[1239367, 1239373, 1239381, 1239387, 1239392, 1239398, 1239351]</t>
  </si>
  <si>
    <t>[0.001, 0.001, 0.001, 0.003, 0.005, 0.001, 0.0]</t>
  </si>
  <si>
    <t>61.48854373724396</t>
  </si>
  <si>
    <t>[-0.003, 0.003, 0.002]</t>
  </si>
  <si>
    <t>LINESTRING (11.076407279373448 59.95120492527634, 11.077009492481118 59.95270467108092, 11.077274800704245 59.952913366965866, 11.077350873176352 59.953005422234405)</t>
  </si>
  <si>
    <t>[1813059, 1813066, 1813067]</t>
  </si>
  <si>
    <t>[1595952, 1595960, 1239352]</t>
  </si>
  <si>
    <t>[1399836, 1595952, 1595960]</t>
  </si>
  <si>
    <t>[0.003, 0.003, 0.002]</t>
  </si>
  <si>
    <t>209.8079595296262</t>
  </si>
  <si>
    <t>[-0.004, 0.005, 0.002, 0.0]</t>
  </si>
  <si>
    <t>LINESTRING (11.076407279373448 59.95120492527634, 11.077019281121828 59.95249232571262, 11.077127349159733 59.952660228139145, 11.077447268127306 59.952822606696365, 11.077575308153008 59.95286583878409)</t>
  </si>
  <si>
    <t>[1813080, 1813083, 1813090, 1813099]</t>
  </si>
  <si>
    <t>[1595972, 1595975, 1595979, 1239367]</t>
  </si>
  <si>
    <t>[1399836, 1595972, 1595975, 1595979]</t>
  </si>
  <si>
    <t>[0.004, 0.005, 0.002, 0.0]</t>
  </si>
  <si>
    <t>201.55776846240434</t>
  </si>
  <si>
    <t>13.93663517559521</t>
  </si>
  <si>
    <t>LINESTRING (11.167043815001758 59.57001993845058, 11.167001489853817 59.5700902376219, 11.166885970060381 59.570382269909025)</t>
  </si>
  <si>
    <t>[1335026, 1335027]</t>
  </si>
  <si>
    <t>[1239539, 1239430]</t>
  </si>
  <si>
    <t>0.0003947131767672982</t>
  </si>
  <si>
    <t>[1239538, 1239539]</t>
  </si>
  <si>
    <t>41.500230392574096</t>
  </si>
  <si>
    <t>[-0.008, -0.005]</t>
  </si>
  <si>
    <t>LINESTRING (11.166762178532991 59.570037843404876, 11.16680177281333 59.5700915845021, 11.166885970060381 59.570382269909025)</t>
  </si>
  <si>
    <t>[1335028, 1335036]</t>
  </si>
  <si>
    <t>[1239541, 1239430]</t>
  </si>
  <si>
    <t>[1239540, 1239541]</t>
  </si>
  <si>
    <t>39.13006596968387</t>
  </si>
  <si>
    <t>[0.013, 0.032]</t>
  </si>
  <si>
    <t>LINESTRING (11.166879351947285 59.57050730189165, 11.166969406844972 59.57073099714716, 11.16700790713188 59.57078813115214)</t>
  </si>
  <si>
    <t>[1334906, 1334914]</t>
  </si>
  <si>
    <t>[1239440, 1239447]</t>
  </si>
  <si>
    <t>0.0169738722388088</t>
  </si>
  <si>
    <t>[1239431, 1239440]</t>
  </si>
  <si>
    <t>32.16759293468725</t>
  </si>
  <si>
    <t>LINESTRING (11.166879351947285 59.57050730189165, 11.166767214763034 59.570737863073354, 11.166733619266244 59.57079123881782)</t>
  </si>
  <si>
    <t>[1334922, 1334930]</t>
  </si>
  <si>
    <t>[1239455, 1239462]</t>
  </si>
  <si>
    <t>0.01809991772305629</t>
  </si>
  <si>
    <t>[1239431, 1239455]</t>
  </si>
  <si>
    <t>32.703955420930555</t>
  </si>
  <si>
    <t>15.944693234489371</t>
  </si>
  <si>
    <t>[-0.011, 0.006]</t>
  </si>
  <si>
    <t>LINESTRING (11.166733619266244 59.57079123881782, 11.166864921097675 59.57077252336479, 11.16700790713188 59.57078813115214)</t>
  </si>
  <si>
    <t>[1334954, 1334962]</t>
  </si>
  <si>
    <t>[1239482, 1239447]</t>
  </si>
  <si>
    <t>[1239462, 1239482]</t>
  </si>
  <si>
    <t>15.978125980953564</t>
  </si>
  <si>
    <t>13.741849641724748</t>
  </si>
  <si>
    <t>[-0.552, 0.016, 0.012, -0.029]</t>
  </si>
  <si>
    <t>LINESTRING (11.16663682446694 59.57090059254526, 11.166571561416847 59.570891604660424, 11.163405234414997 59.57077004840466, 11.160735816761443 59.57094458810684, 11.160320575029747 59.57095154505002)</t>
  </si>
  <si>
    <t>[1690008, 1690016, 1690024, 1689976]</t>
  </si>
  <si>
    <t>[1513094, 1513099, 1513069, 1497984]</t>
  </si>
  <si>
    <t>0.005337486091735904</t>
  </si>
  <si>
    <t>[1239471, 1513094, 1513099, 1513069]</t>
  </si>
  <si>
    <t>[0.552, 0.016, 0.012, 0.029]</t>
  </si>
  <si>
    <t>359.8509470133043</t>
  </si>
  <si>
    <t>[0.033, 0.013, -0.005, -0.025]</t>
  </si>
  <si>
    <t>LINESTRING (11.167117329698362 59.57091332788578, 11.167062569917137 59.57098031404115, 11.16692889181782 59.571022692758284, 11.166794602298564 59.57101659915644, 11.16663682446694 59.57090059254526)</t>
  </si>
  <si>
    <t>[1334978, 1334986, 1334994, 1334938]</t>
  </si>
  <si>
    <t>[1239403, 1239502, 1239417, 1239471]</t>
  </si>
  <si>
    <t>[1239491, 1239403, 1239502, 1239417]</t>
  </si>
  <si>
    <t>[0.033, 0.013, 0.005, 0.025]</t>
  </si>
  <si>
    <t>41.08822345025803</t>
  </si>
  <si>
    <t>[-0.09, -0.013, -0.016, -0.032, 0.144]</t>
  </si>
  <si>
    <t>LINESTRING (11.175108045935492 59.569961907656435, 11.17469254135014 59.57004306666024, 11.171987079142129 59.57029579853027, 11.169798862018654 59.57063347488803, 11.167187269659978 59.57090489576321, 11.167117329698362 59.57091332788578)</t>
  </si>
  <si>
    <t>[1689960, 1690032, 1690040, 1690048, 1690056]</t>
  </si>
  <si>
    <t>[1513061, 1513108, 1513113, 1513121, 1239491]</t>
  </si>
  <si>
    <t>[1497902, 1513061, 1513108, 1513113, 1513121]</t>
  </si>
  <si>
    <t>[0.09, 0.013, 0.016, 0.032, 0.144]</t>
  </si>
  <si>
    <t>464.91601652723926</t>
  </si>
  <si>
    <t>LINESTRING (11.167043815001758 59.57001993845058, 11.166905688189914 59.5700575390303, 11.166762178532991 59.570037843404876)</t>
  </si>
  <si>
    <t>[1335362, 1335370]</t>
  </si>
  <si>
    <t>[1239785, 1239540]</t>
  </si>
  <si>
    <t>0.013433819809248715</t>
  </si>
  <si>
    <t>[1239538, 1239785]</t>
  </si>
  <si>
    <t>17.266091267344105</t>
  </si>
  <si>
    <t>11.991226798764842</t>
  </si>
  <si>
    <t>21.01239016395285</t>
  </si>
  <si>
    <t>[-0.012, -0.018, -0.014, -0.005]</t>
  </si>
  <si>
    <t>LINESTRING (11.166672572871565 59.5698693576212, 11.166839724044214 59.56980497382458, 11.166998675035074 59.56981991695781, 11.16708642297127 59.569862187162066, 11.16712472043655 59.569924052757976)</t>
  </si>
  <si>
    <t>[1335386, 1335394, 1335402, 1335410]</t>
  </si>
  <si>
    <t>[1239781, 1239808, 1239765, 1239823]</t>
  </si>
  <si>
    <t>[1239796, 1239781, 1239808, 1239765]</t>
  </si>
  <si>
    <t>[0.012, 0.018, 0.014, 0.005]</t>
  </si>
  <si>
    <t>35.31640918862614</t>
  </si>
  <si>
    <t>[-0.473, 0.025, 0.02, 0.107]</t>
  </si>
  <si>
    <t>LINESTRING (11.16712472043655 59.569924052757976, 11.167180758161527 59.569946200569696, 11.171925311652247 59.570106646507426, 11.174630526254896 59.56987467497591, 11.175029075544568 59.5698694320482)</t>
  </si>
  <si>
    <t>[1690064, 1690072, 1690080, 1689968]</t>
  </si>
  <si>
    <t>[1513130, 1513133, 1513064, 1499593]</t>
  </si>
  <si>
    <t>0.022970691208711154</t>
  </si>
  <si>
    <t>[1239823, 1513130, 1513133, 1513064]</t>
  </si>
  <si>
    <t>[0.473, 0.025, 0.02, 0.107]</t>
  </si>
  <si>
    <t>456.8899252476619</t>
  </si>
  <si>
    <t>[0.034, 0.033, 0.034]</t>
  </si>
  <si>
    <t>LINESTRING (9.630417548748854 63.28602041011846, 9.630449074503145 63.28610753742609, 9.630582840315727 63.28644283836086, 9.630625056856195 63.286563754118006)</t>
  </si>
  <si>
    <t>[1335978, 1335986, 1335994]</t>
  </si>
  <si>
    <t>[1240293, 1240298, 1240175]</t>
  </si>
  <si>
    <t>0.03338211517354944</t>
  </si>
  <si>
    <t>[1240203, 1240293, 1240298]</t>
  </si>
  <si>
    <t>61.4857033838559</t>
  </si>
  <si>
    <t>[-0.071, -0.089, -0.089]</t>
  </si>
  <si>
    <t>LINESTRING (11.744529397469377 59.482719720908875, 11.744000544369657 59.48270670853643, 11.743058987394807 59.48274407436235, 11.742126998813943 59.482723759788925)</t>
  </si>
  <si>
    <t>[1336833, 1336847, 1336855]</t>
  </si>
  <si>
    <t>[1240893, 1240906, 1240913]</t>
  </si>
  <si>
    <t>[1240880, 1240893, 1240906]</t>
  </si>
  <si>
    <t>[0.071, 0.089, 0.089]</t>
  </si>
  <si>
    <t>136.9443431710412</t>
  </si>
  <si>
    <t>[-0.006, -0.027, 0.013, 0.0]</t>
  </si>
  <si>
    <t>LINESTRING (11.744529397469377 59.482719720908875, 11.744538349344571 59.48269079918854, 11.743642379502054 59.48267971518148, 11.743817839910063 59.48362745577147, 11.743809853106098 59.48373968409487)</t>
  </si>
  <si>
    <t>[1337210, 1337217, 1337225, 1338327]</t>
  </si>
  <si>
    <t>[1241204, 1241209, 1241214, 1241823]</t>
  </si>
  <si>
    <t>[1240880, 1241204, 1241209, 1241214]</t>
  </si>
  <si>
    <t>[0.006, 0.027, 0.013, 0.0]</t>
  </si>
  <si>
    <t>266.61058998088436</t>
  </si>
  <si>
    <t>[0.074, 0.036, 0.007, -0.021]</t>
  </si>
  <si>
    <t>LINESTRING (11.743042177676784 59.48081027955104, 11.743147893060588 59.48086197593972, 11.744683511851179 59.48270648692618, 11.74467886457375 59.48274831343677, 11.744529397469377 59.482719720908875)</t>
  </si>
  <si>
    <t>[1338319, 1337226, 1337233, 1336816]</t>
  </si>
  <si>
    <t>[1241215, 1241216, 1240871, 1240880]</t>
  </si>
  <si>
    <t>0.03470651946960135</t>
  </si>
  <si>
    <t>[1241841, 1241215, 1241216, 1240871]</t>
  </si>
  <si>
    <t>[0.074, 0.036, 0.007, 0.021]</t>
  </si>
  <si>
    <t>259.2742238682017</t>
  </si>
  <si>
    <t>8.412043390259807</t>
  </si>
  <si>
    <t>[-0.055, 0.037, -0.016, 0.023]</t>
  </si>
  <si>
    <t>LINESTRING (11.742126998813943 59.482723759788925, 11.742103911132439 59.48274516612002, 11.743419951713895 59.48277868820345, 11.743308640456 59.48200141225793, 11.743356486625252 59.48193481630418)</t>
  </si>
  <si>
    <t>[1337193, 1337201, 1337209, 1338335]</t>
  </si>
  <si>
    <t>[1241192, 1241198, 1241203, 1241563]</t>
  </si>
  <si>
    <t>0.019225401636779403</t>
  </si>
  <si>
    <t>[1240913, 1241192, 1241198, 1241203]</t>
  </si>
  <si>
    <t>[0.055, 0.037, 0.016, 0.023]</t>
  </si>
  <si>
    <t>279.18556697442784</t>
  </si>
  <si>
    <t>[-0.024, -0.051, 0.024]</t>
  </si>
  <si>
    <t>LINESTRING (11.744661056940252 59.484541513421405, 11.744513939877947 59.48449834874312, 11.741971278975411 59.482716981575834, 11.741991117080252 59.48269336428328)</t>
  </si>
  <si>
    <t>[1338312, 1337185, 1337186]</t>
  </si>
  <si>
    <t>[1241187, 1241188, 1240914]</t>
  </si>
  <si>
    <t>[1241554, 1241187, 1241188]</t>
  </si>
  <si>
    <t>[0.024, 0.051, 0.024]</t>
  </si>
  <si>
    <t>283.19024956656756</t>
  </si>
  <si>
    <t>6.591500284478185</t>
  </si>
  <si>
    <t>[-0.01, -0.019, -0.01, 0.001]</t>
  </si>
  <si>
    <t>LINESTRING (11.684244272239225 59.478933243296204, 11.684338050813624 59.4784732292737, 11.68407117715549 59.47800270993656, 11.683062937164953 59.47757580493867, 11.6823517523936 59.4775159211331)</t>
  </si>
  <si>
    <t>[1336900, 1336906, 1336907, 1336925]</t>
  </si>
  <si>
    <t>[1240952, 1240958, 1240959, 1240970]</t>
  </si>
  <si>
    <t>[1240951, 1240952, 1240958, 1240959]</t>
  </si>
  <si>
    <t>[0.01, 0.019, 0.01, 0.001]</t>
  </si>
  <si>
    <t>223.37685369810293</t>
  </si>
  <si>
    <t>[-0.023, -0.006, 0.017]</t>
  </si>
  <si>
    <t>LINESTRING (11.686075208695105 59.47838137328383, 11.685833967722068 59.478385164179585, 11.684181630065783 59.478937916911356, 11.684244272239225 59.478933243296204)</t>
  </si>
  <si>
    <t>[1338343, 1337299, 1337325]</t>
  </si>
  <si>
    <t>[1241261, 1241262, 1240951]</t>
  </si>
  <si>
    <t>[1241680, 1241261, 1241262]</t>
  </si>
  <si>
    <t>[0.023, 0.006, 0.017]</t>
  </si>
  <si>
    <t>248.90446503854204</t>
  </si>
  <si>
    <t>12.1684687614492</t>
  </si>
  <si>
    <t>[0.0, 0.017, 0.059]</t>
  </si>
  <si>
    <t>LINESTRING (11.6823517523936 59.4775159211331, 11.682342340452621 59.47754702066363, 11.686857828721823 59.478393600841926, 11.68697899068768 59.47843907660071)</t>
  </si>
  <si>
    <t>[1337345, 1337346, 1338359]</t>
  </si>
  <si>
    <t>[1241295, 1241296, 1241924]</t>
  </si>
  <si>
    <t>0.017941745446159757</t>
  </si>
  <si>
    <t>[1240970, 1241295, 1241296]</t>
  </si>
  <si>
    <t>317.3105584966356</t>
  </si>
  <si>
    <t>[-0.021, -0.01, 0.002]</t>
  </si>
  <si>
    <t>LINESTRING (11.679045779271139 59.4784614828755, 11.679267765841157 59.47842551671278, 11.682146246278686 59.47755199655609, 11.682137995632557 59.47752609229583)</t>
  </si>
  <si>
    <t>[1338351, 1337337, 1337338]</t>
  </si>
  <si>
    <t>[1241290, 1241291, 1240981]</t>
  </si>
  <si>
    <t>[1241946, 1241290, 1241291]</t>
  </si>
  <si>
    <t>[0.021, 0.01, 0.002]</t>
  </si>
  <si>
    <t>236.41006392392472</t>
  </si>
  <si>
    <t>[0.002, 0.0, 0.023]</t>
  </si>
  <si>
    <t>LINESTRING (8.106116128539556 58.169529038797606, 8.10616954904931 58.16957925478825, 8.106543110813481 58.16997740383324, 8.106588097587752 58.170035569065725)</t>
  </si>
  <si>
    <t>[1337107, 1337115, 1337126]</t>
  </si>
  <si>
    <t>[1241124, 1241131, 1241139]</t>
  </si>
  <si>
    <t>0.0027626143933572453</t>
  </si>
  <si>
    <t>[1241123, 1241124, 1241131]</t>
  </si>
  <si>
    <t>63.012892525708935</t>
  </si>
  <si>
    <t>[-0.007, -0.004, 0.011]</t>
  </si>
  <si>
    <t>LINESTRING (11.667264821878563 59.48061735446778, 11.667177134438093 59.48068693454978, 11.666365635667423 59.48181105755793, 11.666424045489906 59.48179295609808)</t>
  </si>
  <si>
    <t>[1338375, 1337355, 1337356]</t>
  </si>
  <si>
    <t>[1241301, 1241302, 1241303]</t>
  </si>
  <si>
    <t>[1241705, 1241301, 1241302]</t>
  </si>
  <si>
    <t>[0.007, 0.004, 0.011]</t>
  </si>
  <si>
    <t>236.78644235119532</t>
  </si>
  <si>
    <t>LINESTRING (11.666397127189725 59.48191252867406, 11.666397127189725 59.48191252867406, 11.662051068303212 59.481748512415344, 11.661826111848974 59.481746150766675)</t>
  </si>
  <si>
    <t>[1337360, 1337362, 1338383]</t>
  </si>
  <si>
    <t>[1241308, 1241310, 1241721]</t>
  </si>
  <si>
    <t>0.005342833115845012</t>
  </si>
  <si>
    <t>[1241307, 1241308, 1241310]</t>
  </si>
  <si>
    <t>284.6023438015574</t>
  </si>
  <si>
    <t>[0.0, -0.025, -0.034, -0.035, -0.042, -0.032, -0.024, -0.023]</t>
  </si>
  <si>
    <t>LINESTRING (11.74890651459442 59.48722497519775, 11.74890651459442 59.48722497519775, 11.748005230617746 59.48646188580419, 11.74786238732663 59.4863126862322, 11.747735890431471 59.48615649720882, 11.74693992202902 59.48557757696055, 11.746153446192467 59.48522091155167, 11.745736786028314 59.48502863422321, 11.744661056940252 59.484541513421405)</t>
  </si>
  <si>
    <t>[1337660, 1337676, 1337677, 1337712, 1337736, 1337748, 1337749, 1337751]</t>
  </si>
  <si>
    <t>[1241494, 1241504, 1241505, 1241526, 1241543, 1241552, 1241553, 1241554]</t>
  </si>
  <si>
    <t>[1241493, 1241494, 1241504, 1241505, 1241526, 1241543, 1241552, 1241553]</t>
  </si>
  <si>
    <t>[0.0, 0.025, 0.034, 0.035, 0.042, 0.032, 0.024, 0.023]</t>
  </si>
  <si>
    <t>399.4631956623506</t>
  </si>
  <si>
    <t>[0.0, 0.957, 0.209, 0.233, -0.028, -0.198, -0.218, -0.173, -0.076, -0.068]</t>
  </si>
  <si>
    <t>[0, 0, 0, 0, 0, 0, 0, 1, 1, 1]</t>
  </si>
  <si>
    <t>LINESTRING (8.062637023506117 58.16140339587814, 8.062637023506117 58.16140339587814, 8.062659854908402 58.16138944113447, 8.062691702020834 58.16137751085097, 8.062937006552545 58.161281154351755, 8.062361374645729 58.16097441110535, 8.061515529262412 58.16096829619463, 8.0612817421835 58.160980663113634, 8.059784127183969 58.16110116007934, 8.058418787748275 58.16121636293463, 8.058184451463271 58.16122454898564)</t>
  </si>
  <si>
    <t>[1337738, 1337766, 1173588, 1173596, 1173604, 1173612, 1173620, 1173628, 2035090, 2035096]</t>
  </si>
  <si>
    <t>[1113074, 1105924, 1105925, 1105930, 1105939, 1105946, 1105953, 1105956, 1775631, 1453477]</t>
  </si>
  <si>
    <t>[1241544, 1113074, 1105924, 1105925, 1105930, 1105939, 1105946, 1105953, 1105956, 1775631]</t>
  </si>
  <si>
    <t>[0.0, 0.957, 0.209, 0.233, 0.028, 0.198, 0.218, 0.173, 0.076, 0.068]</t>
  </si>
  <si>
    <t>342.3893616765746</t>
  </si>
  <si>
    <t>[-0.044, -0.015, -0.016]</t>
  </si>
  <si>
    <t>LINESTRING (11.744661056940252 59.484541513421405, 11.743682458597617 59.48370677897425, 11.743358322205376 59.48194675188781, 11.743356486625252 59.48193481630418)</t>
  </si>
  <si>
    <t>[1337758, 1337759, 1337760]</t>
  </si>
  <si>
    <t>[1241561, 1241562, 1241563]</t>
  </si>
  <si>
    <t>[1241554, 1241561, 1241562]</t>
  </si>
  <si>
    <t>[0.044, 0.015, 0.016]</t>
  </si>
  <si>
    <t>308.0430928531403</t>
  </si>
  <si>
    <t>[-0.027, -0.051, -0.074, 0.002, 0.001, 0.018, 0.0, 0.015, -0.011, -0.054, -0.055, -0.015, -0.052, -0.037]</t>
  </si>
  <si>
    <t>[0, 0, 0, 1, 0, 1, 0, 0, 0, 1, 0, 0, 0, 0]</t>
  </si>
  <si>
    <t>LINESTRING (11.743356486625252 59.48193481630418, 11.742929305965685 59.480815247452135, 11.73706760124385 59.478539398015634, 11.732671977953938 59.478634403983946, 11.731607091908819 59.47875523526809, 11.727946095859789 59.47921725462395, 11.726042799981116 59.4794233855075, 11.721920395143952 59.47974597259608, 11.718909873061294 59.480082089476035, 11.709079618014199 59.48296275427973, 11.708181800090994 59.48306738650082, 11.702087183374053 59.482870268982886, 11.69224266808737 59.479898240710924, 11.686979320823824 59.47849536318982, 11.686075208695105 59.47838137328383)</t>
  </si>
  <si>
    <t>[1337767, 1337775, 1337783, 1337796, 1337804, 1337816, 1337817, 1337826, 1337842, 1337850, 1337856, 1337864, 1337872, 1337899]</t>
  </si>
  <si>
    <t>[1241565, 1241573, 1241580, 1241588, 1241594, 1241610, 1241611, 1241618, 1241631, 1241637, 1241645, 1241651, 1241656, 1241680]</t>
  </si>
  <si>
    <t>[1241563, 1241565, 1241573, 1241580, 1241588, 1241594, 1241610, 1241611, 1241618, 1241631, 1241637, 1241645, 1241651, 1241656]</t>
  </si>
  <si>
    <t>[0.027, 0.051, 0.074, 0.002, 0.001, 0.018, 0.0, 0.015, 0.011, 0.054, 0.055, 0.015, 0.052, 0.037]</t>
  </si>
  <si>
    <t>3700.988938218236</t>
  </si>
  <si>
    <t>[0.034, 0.119, 0.17, 0.079, -0.062, -0.176, -0.563, -0.118]</t>
  </si>
  <si>
    <t>LINESTRING (8.057083185377895 58.161216696574215, 8.05748518781529 58.16113937090061, 8.06107133330189 58.160715767365176, 8.06131773976155 58.160128988498144, 8.061165380199755 58.159795714961376, 8.060995972284463 58.15971607915259, 8.060615203831608 58.15969806437851, 8.06052189814185 58.159702219844924, 8.060375820021864 58.1596737177582)</t>
  </si>
  <si>
    <t>[1371567, 1371575, 1371583, 1173636, 1173644, 1173652, 1337782, 1337792]</t>
  </si>
  <si>
    <t>[1264452, 1264458, 1105962, 1105963, 1105970, 1105977, 1113093, 1241585]</t>
  </si>
  <si>
    <t>0.08095338762232876</t>
  </si>
  <si>
    <t>[1264264, 1264452, 1264458, 1105962, 1105963, 1105970, 1105977, 1113093]</t>
  </si>
  <si>
    <t>[0.034, 0.119, 0.17, 0.079, 0.062, 0.176, 0.563, 0.118]</t>
  </si>
  <si>
    <t>402.4580807008185</t>
  </si>
  <si>
    <t>[-0.004, 0.033]</t>
  </si>
  <si>
    <t>LINESTRING (11.686075208695105 59.47838137328383, 11.679126391471002 59.478510886893616, 11.678029413450771 59.478563135184636)</t>
  </si>
  <si>
    <t>[1337907, 1337915]</t>
  </si>
  <si>
    <t>[1241683, 1241691]</t>
  </si>
  <si>
    <t>0.0010317274015117321</t>
  </si>
  <si>
    <t>[1241680, 1241683]</t>
  </si>
  <si>
    <t>[0.004, 0.033]</t>
  </si>
  <si>
    <t>459.1871962584259</t>
  </si>
  <si>
    <t>[0.046, -0.014, -0.008]</t>
  </si>
  <si>
    <t>LINESTRING (11.678029413450771 59.478563135184636, 11.675657956599027 59.47854802138241, 11.668134957289968 59.48024578581601, 11.667264821878563 59.48061735446778)</t>
  </si>
  <si>
    <t>[1337923, 1337931, 1337935]</t>
  </si>
  <si>
    <t>[1241697, 1241701, 1241705]</t>
  </si>
  <si>
    <t>[1241691, 1241697, 1241701]</t>
  </si>
  <si>
    <t>[0.046, 0.014, 0.008]</t>
  </si>
  <si>
    <t>693.8945828668777</t>
  </si>
  <si>
    <t>[-0.005, 0.013]</t>
  </si>
  <si>
    <t>LINESTRING (11.667264821878563 59.48061735446778, 11.663872362066327 59.48147927054545, 11.661826111848974 59.481746150766675)</t>
  </si>
  <si>
    <t>[1337950, 1337958]</t>
  </si>
  <si>
    <t>[1241717, 1241721]</t>
  </si>
  <si>
    <t>0.0014107222499343292</t>
  </si>
  <si>
    <t>[1241705, 1241717]</t>
  </si>
  <si>
    <t>336.142471732664</t>
  </si>
  <si>
    <t>[0.003, -0.007, -0.048, -0.032, -0.031, -0.033, -0.029, 0.052, 0.077, 0.052, 0.035, 0.025, -0.001, -0.001, 0.566]</t>
  </si>
  <si>
    <t>[0, 0, 0, 1, 0, 0, 0, 1, 0, 0, 0, 0, 0, 1, 0]</t>
  </si>
  <si>
    <t>LINESTRING (11.661826111848974 59.481746150766675, 11.658916918389068 59.48220302772378, 11.65636403077636 59.482678220883855, 11.65431348966774 59.482836945958866, 11.653164558214367 59.482907321703856, 11.65300900862761 59.48291730180712, 11.652872469013682 59.48292354485364, 11.651412197685419 59.483085937499865, 11.650306523337854 59.48332685517772, 11.649353521228075 59.483583660977146, 11.64816541459233 59.48391214964626, 11.64808017040432 59.4839357647587, 11.646762988566602 59.484284151794256, 11.646674881665076 59.48430721618554, 11.645794920716789 59.484538020204624, 11.645537895624834 59.48458475934104)</t>
  </si>
  <si>
    <t>[1337966, 1337974, 1337990, 1831770, 1831778, 1831786, 1831794, 1831802, 1831810, 1831818, 1831826, 1831834, 1831842, 1831850, 1831858]</t>
  </si>
  <si>
    <t>[1241728, 1241734, 1241744, 1608057, 660917, 1608068, 1608077, 1608082, 1608092, 660942, 1608106, 1608112, 1608116, 1608124, 1506520]</t>
  </si>
  <si>
    <t>0.012117277239531462</t>
  </si>
  <si>
    <t>[1241721, 1241728, 1241734, 1241744, 1608057, 660917, 1608068, 1608077, 1608082, 1608092, 660942, 1608106, 1608112, 1608116, 1608124]</t>
  </si>
  <si>
    <t>[0.003, 0.007, 0.048, 0.032, 0.031, 0.033, 0.029, 0.052, 0.077, 0.052, 0.035, 0.025, 0.001, 0.001, 0.566]</t>
  </si>
  <si>
    <t>984.4531876562259</t>
  </si>
  <si>
    <t>[0.0, -0.034, -0.036, -0.038, -0.042, -0.029, -0.024, -0.023, -0.041]</t>
  </si>
  <si>
    <t>6301.0</t>
  </si>
  <si>
    <t>LINESTRING (11.748123713447477 59.48641550608981, 11.748123713447477 59.48641550608981, 11.747996484265226 59.48626654262517, 11.74786151235856 59.48611634374346, 11.747634810594898 59.485886042308124, 11.747032412267389 59.48554368088054, 11.746224668382927 59.485180357083024, 11.745803584489636 59.48498814950296, 11.74477319383549 59.48451917161423, 11.743809853106098 59.48373968409487)</t>
  </si>
  <si>
    <t>[1338005, 1338023, 1338031, 1338039, 1338047, 1338055, 1338063, 1338071, 1338079]</t>
  </si>
  <si>
    <t>[1241759, 1241777, 1241784, 1241792, 1241799, 1241806, 1241813, 1241819, 1241823]</t>
  </si>
  <si>
    <t>[1241758, 1241759, 1241777, 1241784, 1241792, 1241799, 1241806, 1241813, 1241819]</t>
  </si>
  <si>
    <t>[0.0, 0.034, 0.036, 0.038, 0.042, 0.029, 0.024, 0.023, 0.041]</t>
  </si>
  <si>
    <t>495.5271102600648</t>
  </si>
  <si>
    <t>[-0.015, -0.016, -0.026]</t>
  </si>
  <si>
    <t>LINESTRING (11.743809853106098 59.48373968409487, 11.743469192470952 59.481975794414474, 11.743467360305962 59.48196382297026, 11.743042177676784 59.48081027955104)</t>
  </si>
  <si>
    <t>[1338087, 1338095, 1338103]</t>
  </si>
  <si>
    <t>[1241828, 1241834, 1241841]</t>
  </si>
  <si>
    <t>[1241823, 1241828, 1241834]</t>
  </si>
  <si>
    <t>[0.015, 0.016, 0.026]</t>
  </si>
  <si>
    <t>330.30368055154855</t>
  </si>
  <si>
    <t>[-0.051, -0.073, 0.003, 0.0, 0.018, 0.001, 0.016, -0.011, -0.055, -0.056, -0.015, -0.052]</t>
  </si>
  <si>
    <t>[0, 0, 1, 0, 1, 0, 0, 0, 1, 0, 0, 0]</t>
  </si>
  <si>
    <t>LINESTRING (11.743042177676784 59.48081027955104, 11.737102465412637 59.47847834839011, 11.732640670048028 59.47856720633211, 11.731574552439884 59.47868800650647, 11.727914805563513 59.47914996626826, 11.726020656219262 59.4793558136725, 11.721899064299336 59.47969232338814, 11.718880739423614 59.48001696483474, 11.709045533571762 59.482895480332914, 11.708156018309545 59.48300014181574, 11.702130894569484 59.48281558027836, 11.692276818488127 59.47984533505815, 11.68697899068768 59.47843907660071)</t>
  </si>
  <si>
    <t>[1338111, 1338119, 1338127, 1338135, 1338143, 1338151, 1338159, 1338167, 1338175, 1338183, 1338191, 1338199]</t>
  </si>
  <si>
    <t>[1241849, 1241857, 1241863, 1241871, 1241878, 1241886, 1241893, 1241899, 1241904, 1241909, 1241914, 1241924]</t>
  </si>
  <si>
    <t>[1241841, 1241849, 1241857, 1241863, 1241871, 1241878, 1241886, 1241893, 1241899, 1241904, 1241909, 1241914]</t>
  </si>
  <si>
    <t>[0.051, 0.073, 0.003, 0.0, 0.018, 0.001, 0.016, 0.011, 0.055, 0.056, 0.015, 0.052]</t>
  </si>
  <si>
    <t>3529.0497147839983</t>
  </si>
  <si>
    <t>[-0.069, -0.032, -0.003]</t>
  </si>
  <si>
    <t>LINESTRING (11.68697899068768 59.47843907660071, 11.686872679761793 59.4784226739366, 11.685944051942156 59.47831118867676, 11.679045779271139 59.4784614828755)</t>
  </si>
  <si>
    <t>[1338207, 1338215, 1338223]</t>
  </si>
  <si>
    <t>[1241928, 1241936, 1241946]</t>
  </si>
  <si>
    <t>[1241924, 1241928, 1241936]</t>
  </si>
  <si>
    <t>[0.069, 0.032, 0.003]</t>
  </si>
  <si>
    <t>454.0660439697266</t>
  </si>
  <si>
    <t>169.21151712307835</t>
  </si>
  <si>
    <t>[0.034, 0.045, -0.013, -0.008, -0.004]</t>
  </si>
  <si>
    <t>LINESTRING (11.679045779271139 59.4784614828755, 11.677961535253743 59.47851089985908, 11.675671845906264 59.47847631471232, 11.668007637948614 59.48020703743553, 11.667127471159999 59.480579283922545, 11.6638043280164 59.48141159233014)</t>
  </si>
  <si>
    <t>[1338231, 1338239, 1338247, 1338255, 1338263]</t>
  </si>
  <si>
    <t>[1241953, 1241961, 1241967, 1241973, 1241980]</t>
  </si>
  <si>
    <t>2.7638076011872295e-05</t>
  </si>
  <si>
    <t>[1241946, 1241953, 1241961, 1241967, 1241973]</t>
  </si>
  <si>
    <t>[0.034, 0.045, 0.013, 0.008, 0.004]</t>
  </si>
  <si>
    <t>972.0942722200093</t>
  </si>
  <si>
    <t>[0.019, 0.01, -0.016, -0.015]</t>
  </si>
  <si>
    <t>LINESTRING (11.658850852879445 59.48213803944082, 11.65895879047312 59.482086337299016, 11.66045841652542 59.48109967424844, 11.66356146418933 59.48142134949272, 11.6638043280164 59.48141159233014)</t>
  </si>
  <si>
    <t>[1338391, 1337507, 1337494, 1338399]</t>
  </si>
  <si>
    <t>[1241405, 1241392, 1241393, 1241980]</t>
  </si>
  <si>
    <t>[1241993, 1241405, 1241392, 1241393]</t>
  </si>
  <si>
    <t>[0.019, 0.01, 0.016, 0.015]</t>
  </si>
  <si>
    <t>415.6699001539434</t>
  </si>
  <si>
    <t>[-0.008, -0.048, -0.033, -0.035, -0.032, -0.03, 0.059, 0.078, 0.054, 0.037, 0.026, 0.001, -0.002, 0.532]</t>
  </si>
  <si>
    <t>[0, 0, 1, 0, 0, 0, 1, 0, 0, 0, 0, 0, 1, 0]</t>
  </si>
  <si>
    <t>LINESTRING (11.658850852879445 59.48213803944082, 11.65632604430809 59.48260697593085, 11.65429886888565 59.482765121578645, 11.653146173393113 59.482828750015074, 11.653069778741434 59.48283372152099, 11.652906107960046 59.482844356161124, 11.651361661995688 59.48301537576361, 11.650246813334094 59.48326313076821, 11.649287274408474 59.48352261741352, 11.648154664820392 59.483837943193166, 11.64805127466556 59.48386672768756, 11.646709967910951 59.484232478824524, 11.646621515670807 59.48425742167223, 11.64575640266026 59.484501881097515, 11.645537895624834 59.48458475934104)</t>
  </si>
  <si>
    <t>[1338287, 1338295, 1831674, 1831682, 1831690, 1831698, 1831706, 1831714, 1831722, 1831730, 1831738, 1831746, 1831754, 1831762]</t>
  </si>
  <si>
    <t>[1241999, 1242007, 1607984, 660926, 660916, 1608003, 1608008, 1608017, 660941, 1607975, 1608034, 1608041, 1608045, 1506520]</t>
  </si>
  <si>
    <t>0.013923663031395004</t>
  </si>
  <si>
    <t>[1241993, 1241999, 1242007, 1607984, 660926, 660916, 1608003, 1608008, 1608017, 660941, 1607975, 1608034, 1608041, 1608045]</t>
  </si>
  <si>
    <t>[0.008, 0.048, 0.033, 0.035, 0.032, 0.03, 0.059, 0.078, 0.054, 0.037, 0.026, 0.001, 0.002, 0.532]</t>
  </si>
  <si>
    <t>811.9752605527581</t>
  </si>
  <si>
    <t>[-0.035, -0.002, 0.012, 0.012, 0.017]</t>
  </si>
  <si>
    <t>43587.0</t>
  </si>
  <si>
    <t>LINESTRING (8.02096451007319 58.16164786225343, 8.020885856815422 58.16162037922739, 8.019717359164174 58.16136278524798, 8.019310708502058 58.16126794873703, 8.018789759721077 58.16113166311087, 8.016733494839336 58.16052256897857)</t>
  </si>
  <si>
    <t>[1338400, 1338408, 1338416, 1338424, 1338427]</t>
  </si>
  <si>
    <t>[1242080, 1242086, 1242093, 1242101, 1242103]</t>
  </si>
  <si>
    <t>0.009815583490676528</t>
  </si>
  <si>
    <t>[1242074, 1242080, 1242086, 1242093, 1242101]</t>
  </si>
  <si>
    <t>[0.035, 0.002, 0.012, 0.012, 0.017]</t>
  </si>
  <si>
    <t>279.7621731064852</t>
  </si>
  <si>
    <t>[-0.064, -0.075]</t>
  </si>
  <si>
    <t>LINESTRING (6.478361192317953 61.571465153670985, 6.478829841293046 61.57152506175715, 6.478911266689413 61.571531143535964)</t>
  </si>
  <si>
    <t>[1338959, 1338966]</t>
  </si>
  <si>
    <t>[1242510, 1242515]</t>
  </si>
  <si>
    <t>[1242509, 1242510]</t>
  </si>
  <si>
    <t>[0.064, 0.075]</t>
  </si>
  <si>
    <t>31.176094339895027</t>
  </si>
  <si>
    <t>LINESTRING (6.478361192317953 61.571465153670985, 6.478832151131529 61.57145535223697, 6.478898240586877 61.57145626160403)</t>
  </si>
  <si>
    <t>[1338974, 1338982]</t>
  </si>
  <si>
    <t>[1242522, 1242529]</t>
  </si>
  <si>
    <t>[1242509, 1242522]</t>
  </si>
  <si>
    <t>29.040980410231864</t>
  </si>
  <si>
    <t>109.11175051290952</t>
  </si>
  <si>
    <t>[-0.013, -0.032]</t>
  </si>
  <si>
    <t>LINESTRING (6.478911266689413 61.571531143535964, 6.478891840191177 61.57148422045758, 6.478898240586877 61.57145626160403)</t>
  </si>
  <si>
    <t>[1339421, 1339429]</t>
  </si>
  <si>
    <t>[1242886, 1242529]</t>
  </si>
  <si>
    <t>[1242515, 1242886]</t>
  </si>
  <si>
    <t>8.481912996706404</t>
  </si>
  <si>
    <t>14.124086223629165</t>
  </si>
  <si>
    <t>[-0.06, -0.004, 0.019, 0.058]</t>
  </si>
  <si>
    <t>LINESTRING (6.478898240586877 61.57145626160403, 6.479405002703405 61.57142740061093, 6.47942836405931 61.57146282898115, 6.479430426229185 61.571503422509835, 6.47930605165241 61.57159216305185)</t>
  </si>
  <si>
    <t>[1339365, 1339373, 1339381, 1339389]</t>
  </si>
  <si>
    <t>[1242587, 1242846, 1242543, 1242592]</t>
  </si>
  <si>
    <t>[1242529, 1242587, 1242846, 1242543]</t>
  </si>
  <si>
    <t>[0.06, 0.004, 0.019, 0.058]</t>
  </si>
  <si>
    <t>55.9372091572169</t>
  </si>
  <si>
    <t>[0.012, -0.007]</t>
  </si>
  <si>
    <t>LINESTRING (6.47930605165241 61.57159216305185, 6.479323449289273 61.571630594826644, 6.479474008438928 61.57185019445877)</t>
  </si>
  <si>
    <t>[1339054, 1339062]</t>
  </si>
  <si>
    <t>[1242593, 1242600]</t>
  </si>
  <si>
    <t>[1242592, 1242593]</t>
  </si>
  <si>
    <t>[0.012, 0.007]</t>
  </si>
  <si>
    <t>31.209706428467292</t>
  </si>
  <si>
    <t>[0.085, 0.08]</t>
  </si>
  <si>
    <t>LINESTRING (6.47930605165241 61.57159216305185, 6.479208980960764 61.571610271270465, 6.479109006412024 61.571609410142784)</t>
  </si>
  <si>
    <t>[1339397, 1339405]</t>
  </si>
  <si>
    <t>[1242867, 1242872]</t>
  </si>
  <si>
    <t>0.08255196796745394</t>
  </si>
  <si>
    <t>[1242592, 1242867]</t>
  </si>
  <si>
    <t>10.873872685431024</t>
  </si>
  <si>
    <t>[-0.048, -0.049, -0.049, -0.05]</t>
  </si>
  <si>
    <t>LINESTRING (6.479474008438928 61.57185019445877, 6.4798984076877675 61.57209199888941, 6.480006409778524 61.57216130330506, 6.480190563646476 61.57228355016695, 6.4807653143466295 61.57277273730805)</t>
  </si>
  <si>
    <t>[1339086, 1339270, 1339277, 1339293]</t>
  </si>
  <si>
    <t>[1242621, 1242752, 1242761, 1242779]</t>
  </si>
  <si>
    <t>[1242600, 1242621, 1242752, 1242761]</t>
  </si>
  <si>
    <t>[0.048, 0.049, 0.049, 0.05]</t>
  </si>
  <si>
    <t>124.27554991853111</t>
  </si>
  <si>
    <t>LINESTRING (6.479109006412024 61.571609410142784, 6.479143220993635 61.571642512672554, 6.479474008438928 61.57185019445877)</t>
  </si>
  <si>
    <t>[1339525, 1339533]</t>
  </si>
  <si>
    <t>[1242981, 1242600]</t>
  </si>
  <si>
    <t>[1242872, 1242981]</t>
  </si>
  <si>
    <t>34.2258719872445</t>
  </si>
  <si>
    <t>[-0.503, -0.013, -0.02, 0.022, 0.035, 0.033, -0.003, -0.025, -0.009, -0.005, -0.008, -0.031, -0.03, -0.008, -0.004, 0.007, 0.004, 0.03, 0.001, 0.047, 0.012, 0.0, 0.039, 0.044, -0.084, -0.027, -0.027, 0.003, -0.008, 0.019, 0.029, 0.01, 0.043, 0.006, -0.022]</t>
  </si>
  <si>
    <t>LINESTRING (6.4807653143466295 61.57277273730805, 6.480841112480008 61.572840542119025, 6.481109582336457 61.573067400098196, 6.482570023558593 61.57434430522458, 6.4828826151380685 61.57499446357464, 6.483013398691395 61.57530217946526, 6.483526768961409 61.57606095247869, 6.484306235196675 61.5764676467195, 6.486791508507438 61.577441036187885, 6.488705296888114 61.57818857645062, 6.488734198866849 61.57820330553699, 6.491248672254291 61.57921600599274, 6.4913571573509765 61.57927329885563, 6.49147662231921 61.5793388671133, 6.492531135838291 61.58042075342423, 6.4927134511210385 61.58247267309987, 6.492898906562886 61.58365583998683, 6.502039263686509 61.590911756289024, 6.502062113519486 61.59092718657751, 6.503239766139618 61.591504633985245, 6.503295237894347 61.591528248184915, 6.504150560983576 61.59189168074281, 6.506345300920093 61.59284924177838, 6.507516674188092 61.59433295552607, 6.507837969167743 61.594915109509465, 6.511471663394271 61.59600748942328, 6.511682817578213 61.59602069555419, 6.511884864421099 61.596033241454926, 6.513631490703052 61.596438434244725, 6.5142382692178185 61.59802359755891, 6.516526978404779 61.60022715915575, 6.517104229058404 61.60047394519619, 6.518297533131827 61.601283874443546, 6.5189434041806225 61.602331622594534, 6.5190220675103205 61.60275930986973, 6.520370832012045 61.60554692546444)</t>
  </si>
  <si>
    <t>[1892605, 1892606, 1892614, 1892622, 1892623, 1892632, 1892640, 1892648, 1892664, 1892674, 1892682, 1892690, 1892702, 1892705, 1892706, 1892707, 1892715, 1892723, 1892731, 1892739, 1892747, 1892755, 1892756, 1892763, 1892771, 1892779, 1892780, 1892787, 1892802, 1892826, 1892827, 1892839, 1892840, 1892853, 1892854]</t>
  </si>
  <si>
    <t>[1663364, 1574043, 1574056, 1648115, 1663376, 1648123, 1663391, 324351, 1663406, 1663414, 797925, 1663428, 797919, 1574240, 1648134, 1663439, 1663448, 1663455, 1663461, 1663469, 1663477, 1648136, 1663483, 1663490, 1576627, 1663503, 1663504, 1663511, 1648149, 1663542, 1663543, 1105763, 1648150, 1663566, 1663567]</t>
  </si>
  <si>
    <t>[1242779, 1663364, 1574043, 1574056, 1648115, 1663376, 1648123, 1663391, 324351, 1663406, 1663414, 797925, 1663428, 797919, 1574240, 1648134, 1663439, 1663448, 1663455, 1663461, 1663469, 1663477, 1648136, 1663483, 1663490, 1576627, 1663503, 1663504, 1663511, 1648149, 1663542, 1663543, 1105763, 1648150, 1663566]</t>
  </si>
  <si>
    <t>[0.503, 0.013, 0.02, 0.022, 0.035, 0.033, 0.003, 0.025, 0.009, 0.005, 0.008, 0.031, 0.03, 0.008, 0.004, 0.007, 0.004, 0.03, 0.001, 0.047, 0.012, 0.0, 0.039, 0.044, 0.084, 0.027, 0.027, 0.003, 0.008, 0.019, 0.029, 0.01, 0.043, 0.006, 0.022]</t>
  </si>
  <si>
    <t>4462.3169733777995</t>
  </si>
  <si>
    <t>[0.0, -0.023, -0.003, -0.01, -0.005, 0.093]</t>
  </si>
  <si>
    <t>LINESTRING (6.478749063719119 61.57169924812731, 6.478749063719119 61.57169924812731, 6.479206488039683 61.57187430485492, 6.479908234750986 61.57219738892742, 6.480113128674574 61.57230963945932, 6.4803497291621905 61.57249555105779, 6.4807653143466295 61.57277273730805)</t>
  </si>
  <si>
    <t>[1892572, 1892580, 1892588, 1892589, 1892590, 1892597]</t>
  </si>
  <si>
    <t>[1663346, 1663350, 1663354, 1663355, 1663356, 1242779]</t>
  </si>
  <si>
    <t>0.00989032858532811</t>
  </si>
  <si>
    <t>[1242647, 1663346, 1663350, 1663354, 1663355, 1663356]</t>
  </si>
  <si>
    <t>[0.0, 0.023, 0.003, 0.01, 0.005, 0.093]</t>
  </si>
  <si>
    <t>264.8985970748354</t>
  </si>
  <si>
    <t>[0.006, 0.015, -0.001]</t>
  </si>
  <si>
    <t>LINESTRING (6.478361192317953 61.571465153670985, 6.47333963720231 61.570399347337705, 6.467961361594836 61.56859673468156, 6.458264663354238 61.56601487208605)</t>
  </si>
  <si>
    <t>[1370159, 1370167, 1370175]</t>
  </si>
  <si>
    <t>[1263496, 1262900, 1263183]</t>
  </si>
  <si>
    <t>0.005112632611656345</t>
  </si>
  <si>
    <t>[1242665, 1263496, 1262900]</t>
  </si>
  <si>
    <t>[0.006, 0.015, 0.001]</t>
  </si>
  <si>
    <t>1129.751429446334</t>
  </si>
  <si>
    <t>402.54952268235473</t>
  </si>
  <si>
    <t>[-0.035, -0.041, -0.021]</t>
  </si>
  <si>
    <t>LINESTRING (5.424523320591661 60.2145290519015, 5.424565160126444 60.214826650463564, 5.424708781196945 60.21557609404221, 5.425569163585366 60.21632406611157)</t>
  </si>
  <si>
    <t>[2091025, 2091033, 2091041]</t>
  </si>
  <si>
    <t>[1810164, 1810171, 1810042]</t>
  </si>
  <si>
    <t>[1244035, 1810164, 1810171]</t>
  </si>
  <si>
    <t>[0.035, 0.041, 0.021]</t>
  </si>
  <si>
    <t>214.89598356625234</t>
  </si>
  <si>
    <t>[0.131, 0.428, -0.12, -0.07]</t>
  </si>
  <si>
    <t>LINESTRING (5.4433418451308295 60.201998557789146, 5.442065837358429 60.20345388397693, 5.438309702593118 60.20568933767493, 5.424845522066616 60.21350690256949, 5.424523320591661 60.2145290519015)</t>
  </si>
  <si>
    <t>[1341075, 1340985, 1340992, 1340961]</t>
  </si>
  <si>
    <t>[1244050, 1244051, 1244034, 1244035]</t>
  </si>
  <si>
    <t>0.006879451180314256</t>
  </si>
  <si>
    <t>[1244116, 1244050, 1244051, 1244034]</t>
  </si>
  <si>
    <t>[0.131, 0.428, 0.12, 0.07]</t>
  </si>
  <si>
    <t>1810.371853835956</t>
  </si>
  <si>
    <t>[0.038, 0.08, -0.047, -0.09, 0.036, 0.068, -0.307]</t>
  </si>
  <si>
    <t>15240.0</t>
  </si>
  <si>
    <t>LINESTRING (5.424872789447965 60.218118598735735, 5.424270866575177 60.22274180718391, 5.408150535325853 60.24433778880605, 5.388425384061785 60.258640285794705, 5.368088961235114 60.269353026899466, 5.352786389173024 60.280009635839164, 5.334668774509006 60.28589757799519, 5.329577689646074 60.28782187475351)</t>
  </si>
  <si>
    <t>[1340963, 1341001, 1341083, 1341084, 1341085, 1341086, 1341098]</t>
  </si>
  <si>
    <t>[1244037, 1244062, 1244121, 1244122, 1244123, 1244124, 1244130]</t>
  </si>
  <si>
    <t>0.0012572610489707998</t>
  </si>
  <si>
    <t>[1244036, 1244037, 1244062, 1244121, 1244122, 1244123, 1244124]</t>
  </si>
  <si>
    <t>[0.038, 0.08, 0.047, 0.09, 0.036, 0.068, 0.307]</t>
  </si>
  <si>
    <t>9716.969782661026</t>
  </si>
  <si>
    <t>[0.054, 0.061, 0.056, 0.062]</t>
  </si>
  <si>
    <t>LINESTRING (5.425623883994062 60.21660695670797, 5.4253183367961 60.216902854322505, 5.425041347053847 60.21722312426677, 5.424935840824476 60.217915459761336, 5.424872789447965 60.218118598735735)</t>
  </si>
  <si>
    <t>[1341406, 1341414, 1341415, 1341427]</t>
  </si>
  <si>
    <t>[1244338, 1244340, 1244341, 1244036]</t>
  </si>
  <si>
    <t>0.05745586635021142</t>
  </si>
  <si>
    <t>[1244337, 1244338, 1244340, 1244341]</t>
  </si>
  <si>
    <t>177.26025753213645</t>
  </si>
  <si>
    <t>[-0.519, -0.048, 0.103, 0.103]</t>
  </si>
  <si>
    <t>LINESTRING (5.329577689646074 60.28782187475351, 5.328510068674947 60.288264243222166, 5.3257464679605535 60.289400811198355, 5.325061815976848 60.28968680243487, 5.323376999929696 60.29039553500716)</t>
  </si>
  <si>
    <t>[1341104, 1340975, 1341002, 1341013]</t>
  </si>
  <si>
    <t>[1244042, 1244043, 1244063, 1244075]</t>
  </si>
  <si>
    <t>[1244130, 1244042, 1244043, 1244063]</t>
  </si>
  <si>
    <t>[0.519, 0.048, 0.103, 0.103]</t>
  </si>
  <si>
    <t>448.4408127096519</t>
  </si>
  <si>
    <t>[0.0, 0.026, 0.114, 0.103]</t>
  </si>
  <si>
    <t>LINESTRING (5.326892937413706 60.28949407607164, 5.326892937413706 60.28949407607164, 5.325059529269156 60.2897633736229, 5.324073986982577 60.29015534008925, 5.323376999929696 60.29039553500716)</t>
  </si>
  <si>
    <t>[2091176, 2091184, 2091198, 2091206]</t>
  </si>
  <si>
    <t>[1810262, 1810268, 1810277, 1244075]</t>
  </si>
  <si>
    <t>0.049680933576858016</t>
  </si>
  <si>
    <t>[1810247, 1810262, 1810268, 1810277]</t>
  </si>
  <si>
    <t>322.17987966505376</t>
  </si>
  <si>
    <t>563.849585496557</t>
  </si>
  <si>
    <t>[-0.012, -0.024]</t>
  </si>
  <si>
    <t>LINESTRING (5.444248070136366 60.19984297059047, 5.44565248266549 60.19595727656502, 5.445840724346909 60.19502458590236)</t>
  </si>
  <si>
    <t>[1341140, 1341157]</t>
  </si>
  <si>
    <t>[1244160, 1244088]</t>
  </si>
  <si>
    <t>[1244159, 1244160]</t>
  </si>
  <si>
    <t>[0.012, 0.024]</t>
  </si>
  <si>
    <t>546.3806956392812</t>
  </si>
  <si>
    <t>[-0.057, 0.024, -0.07, -0.027, 0.023]</t>
  </si>
  <si>
    <t>LINESTRING (5.450677098649641 60.183001469510295, 5.450601100844003 60.183130688100086, 5.449180261706108 60.18614458174238, 5.445364661360362 60.18912450087166, 5.443989561619307 60.19121205578909, 5.445840724346909 60.19502458590236)</t>
  </si>
  <si>
    <t>[2061968, 2061976, 2061984, 2061992, 2062000]</t>
  </si>
  <si>
    <t>[1792424, 1792431, 1792439, 1792443, 1244088]</t>
  </si>
  <si>
    <t>[1754147, 1792424, 1792431, 1792439, 1792443]</t>
  </si>
  <si>
    <t>[0.057, 0.024, 0.07, 0.027, 0.023]</t>
  </si>
  <si>
    <t>1449.690884904489</t>
  </si>
  <si>
    <t>[-0.019, 0.044]</t>
  </si>
  <si>
    <t>LINESTRING (5.44435583222034 60.19999513827122, 5.44367328748358 60.20148902420223, 5.4433418451308295 60.201998557789146)</t>
  </si>
  <si>
    <t>[1341073, 1341074]</t>
  </si>
  <si>
    <t>[1244115, 1244116]</t>
  </si>
  <si>
    <t>[1244089, 1244115]</t>
  </si>
  <si>
    <t>[0.019, 0.044]</t>
  </si>
  <si>
    <t>231.14356951954684</t>
  </si>
  <si>
    <t>[-0.018, -0.009, 0.051, -0.139]</t>
  </si>
  <si>
    <t>LINESTRING (5.44435583222034 60.19999513827122, 5.444349227686701 60.20011570264168, 5.443621431965363 60.20268587152305, 5.443428735154147 60.204075183505346, 5.4434764290341136 60.20411188607404)</t>
  </si>
  <si>
    <t>[2090843, 2090851, 2090859, 2090861]</t>
  </si>
  <si>
    <t>[1810061, 1810066, 1810071, 1757535]</t>
  </si>
  <si>
    <t>0.009502763925450228</t>
  </si>
  <si>
    <t>[1244089, 1810061, 1810066, 1810071]</t>
  </si>
  <si>
    <t>[0.018, 0.009, 0.051, 0.139]</t>
  </si>
  <si>
    <t>493.65349420516895</t>
  </si>
  <si>
    <t>[0.066, -0.066, 0.008, 0.082]</t>
  </si>
  <si>
    <t>LINESTRING (5.443280057554053 60.20414655721812, 5.443251642214967 60.20410886006861, 5.4436166415794895 60.2025767229473, 5.4434468898781185 60.201893951379795, 5.4433418451308295 60.201998557789146)</t>
  </si>
  <si>
    <t>[2090862, 2090864, 2090872, 2090880]</t>
  </si>
  <si>
    <t>[1810072, 1810074, 1810079, 1244116]</t>
  </si>
  <si>
    <t>[1757568, 1810072, 1810074, 1810079]</t>
  </si>
  <si>
    <t>[0.066, 0.066, 0.008, 0.082]</t>
  </si>
  <si>
    <t>424.27631835889514</t>
  </si>
  <si>
    <t>[-0.476, -0.506, -0.137, -0.018, -0.013]</t>
  </si>
  <si>
    <t>LINESTRING (5.329577689646074 60.28782187475351, 5.329127326236368 60.28806872904637, 5.328571575569524 60.2882982862871, 5.327796494586126 60.28861838353569, 5.327088331612281 60.28937957019515, 5.327065613917614 60.28974108139079)</t>
  </si>
  <si>
    <t>[2091049, 2091057, 2091066, 2091074, 2091082]</t>
  </si>
  <si>
    <t>[1810181, 1810189, 1810193, 1810195, 1810201]</t>
  </si>
  <si>
    <t>[1244130, 1810181, 1810189, 1810193, 1810195]</t>
  </si>
  <si>
    <t>[0.476, 0.506, 0.137, 0.018, 0.013]</t>
  </si>
  <si>
    <t>272.28286252813166</t>
  </si>
  <si>
    <t>[0.023, 0.429]</t>
  </si>
  <si>
    <t>LINESTRING (5.325683978563431 60.28919125447319, 5.328173368602458 60.28815366231136, 5.329209310018174 60.28773872717407)</t>
  </si>
  <si>
    <t>[1341125, 1341175]</t>
  </si>
  <si>
    <t>[1244146, 1244173]</t>
  </si>
  <si>
    <t>0.14095686470827246</t>
  </si>
  <si>
    <t>[1244139, 1244146]</t>
  </si>
  <si>
    <t>254.2006538654815</t>
  </si>
  <si>
    <t>[0.031, 0.024, 0.001]</t>
  </si>
  <si>
    <t>LINESTRING (5.325683978563431 60.28919125447319, 5.326144260203739 60.288935731885644, 5.326663878176071 60.28854523766028, 5.325966469549318 60.28824038732802)</t>
  </si>
  <si>
    <t>[2091270, 2091278, 2091286]</t>
  </si>
  <si>
    <t>[1810320, 1810325, 1810285]</t>
  </si>
  <si>
    <t>0.016758749506618657</t>
  </si>
  <si>
    <t>[1244139, 1810320, 1810325]</t>
  </si>
  <si>
    <t>152.07029269306815</t>
  </si>
  <si>
    <t>[0.053, 0.081, -0.038, -0.125]</t>
  </si>
  <si>
    <t>LINESTRING (5.328764830121827 60.308274456468496, 5.327289788839738 60.305977484179294, 5.319776607479338 60.300246913477345, 5.3249388479281485 60.289504095707635, 5.325683978563431 60.28919125447319)</t>
  </si>
  <si>
    <t>[1341242, 1341108, 1341109, 1341110]</t>
  </si>
  <si>
    <t>[1244136, 1244137, 1244138, 1244139]</t>
  </si>
  <si>
    <t>0.007104876519371327</t>
  </si>
  <si>
    <t>[1244228, 1244136, 1244137, 1244138]</t>
  </si>
  <si>
    <t>[0.053, 0.081, 0.038, 0.125]</t>
  </si>
  <si>
    <t>2460.63612246272</t>
  </si>
  <si>
    <t>187.7246426417958</t>
  </si>
  <si>
    <t>[0.027, 0.006, 0.108]</t>
  </si>
  <si>
    <t>LINESTRING (5.443510191108552 60.201481314123626, 5.443485169695232 60.20135858525216, 5.4435365161965965 60.200931830243164, 5.442499933564218 60.2007087901511)</t>
  </si>
  <si>
    <t>[2090888, 2090896, 2090905]</t>
  </si>
  <si>
    <t>[1810091, 1810096, 1809095]</t>
  </si>
  <si>
    <t>0.06306148208108509</t>
  </si>
  <si>
    <t>[1244158, 1810091, 1810096]</t>
  </si>
  <si>
    <t>134.8459140467898</t>
  </si>
  <si>
    <t>[0.039, 0.118, -0.438, -0.118]</t>
  </si>
  <si>
    <t>LINESTRING (5.424040660843006 60.214902479066176, 5.424468585813721 60.21340311376543, 5.438274757284026 60.20542767449188, 5.4418278149637604 60.203351202572634, 5.443510191108552 60.201481314123626)</t>
  </si>
  <si>
    <t>[2090967, 1341374, 1341385, 1341138]</t>
  </si>
  <si>
    <t>[1244312, 1244313, 1244157, 1244158]</t>
  </si>
  <si>
    <t>[1810129, 1244312, 1244313, 1244157]</t>
  </si>
  <si>
    <t>[0.039, 0.118, 0.438, 0.118]</t>
  </si>
  <si>
    <t>1920.34947787288</t>
  </si>
  <si>
    <t>[0.0, -0.012, 0.022]</t>
  </si>
  <si>
    <t>LINESTRING (5.4433188501362935 60.20054096471477, 5.4433188501362935 60.20054096471477, 5.444125959860875 60.1999086978459, 5.444248070136366 60.19984297059047)</t>
  </si>
  <si>
    <t>[2090913, 2090921, 2090937]</t>
  </si>
  <si>
    <t>[1810106, 1810112, 1244159]</t>
  </si>
  <si>
    <t>[1809128, 1810106, 1810112]</t>
  </si>
  <si>
    <t>[0.0, 0.012, 0.022]</t>
  </si>
  <si>
    <t>145.2089256368198</t>
  </si>
  <si>
    <t>[0.359, -0.077, 0.005, 0.031, 0.097, -0.08, -0.043]</t>
  </si>
  <si>
    <t>LINESTRING (5.329209310018174 60.28773872717407, 5.3342394340371095 60.285807633535136, 5.352448768120137 60.279880508112235, 5.3724099514909325 60.266414030970076, 5.394836107572961 60.254410834552864, 5.407828702003752 60.24419357954257, 5.423851541980148 60.22273287654864, 5.424392424910582 60.21778733714026)</t>
  </si>
  <si>
    <t>[1341191, 1341207, 1341208, 1341231, 1341239, 1341158, 2090945]</t>
  </si>
  <si>
    <t>[1244186, 1244197, 1244198, 1244218, 1244166, 1244167, 1810123]</t>
  </si>
  <si>
    <t>0.00019780279035028033</t>
  </si>
  <si>
    <t>[1244173, 1244186, 1244197, 1244198, 1244218, 1244166, 1244167]</t>
  </si>
  <si>
    <t>[0.359, 0.077, 0.005, 0.031, 0.097, 0.08, 0.043]</t>
  </si>
  <si>
    <t>9743.306529409047</t>
  </si>
  <si>
    <t>[0.0, 0.013, 0.369, 0.621]</t>
  </si>
  <si>
    <t>LINESTRING (5.326757729995427 60.28825837623197, 5.326757729995427 60.28825837623197, 5.328114120473078 60.28810813488975, 5.328916484168985 60.28780304824406, 5.329209310018174 60.28773872717407)</t>
  </si>
  <si>
    <t>[2091294, 2091302, 2091311, 2091319]</t>
  </si>
  <si>
    <t>[1810334, 1810340, 1810347, 1244173]</t>
  </si>
  <si>
    <t>0.1663120006593613</t>
  </si>
  <si>
    <t>[1810307, 1810334, 1810340, 1810347]</t>
  </si>
  <si>
    <t>197.1252718873699</t>
  </si>
  <si>
    <t>4.328407674724554</t>
  </si>
  <si>
    <t>[-0.063, -0.067, -0.056]</t>
  </si>
  <si>
    <t>LINESTRING (5.9276027038257055 58.746142098782286, 5.927753661039248 58.74619858413344, 5.928252095484509 58.74636398125522, 5.928322257174785 58.74643229535877)</t>
  </si>
  <si>
    <t>[1341214, 1341215, 1341224]</t>
  </si>
  <si>
    <t>[1244203, 1244204, 1244211]</t>
  </si>
  <si>
    <t>[1244196, 1244203, 1244204]</t>
  </si>
  <si>
    <t>[0.063, 0.067, 0.056]</t>
  </si>
  <si>
    <t>54.66804530574912</t>
  </si>
  <si>
    <t>[-0.034, 0.006, -0.045]</t>
  </si>
  <si>
    <t>LINESTRING (5.9276027038257055 58.746142098782286, 5.9276589665130235 58.746123361611, 5.930540522103544 58.74424799884208, 5.930715314655598 58.74418944558298)</t>
  </si>
  <si>
    <t>[1341249, 1341257, 1341258]</t>
  </si>
  <si>
    <t>[1244235, 1244242, 1244243]</t>
  </si>
  <si>
    <t>0.0032911181820273546</t>
  </si>
  <si>
    <t>[1244196, 1244235, 1244242]</t>
  </si>
  <si>
    <t>[0.034, 0.006, 0.045]</t>
  </si>
  <si>
    <t>284.6506769804527</t>
  </si>
  <si>
    <t>[-0.001, -0.011]</t>
  </si>
  <si>
    <t>LINESTRING (5.928322257174785 58.74643229535877, 5.925609229293929 58.74820481599992, 5.925376029395927 58.74829727832489)</t>
  </si>
  <si>
    <t>[1341232, 1341240]</t>
  </si>
  <si>
    <t>[1244219, 1244227]</t>
  </si>
  <si>
    <t>[1244211, 1244219]</t>
  </si>
  <si>
    <t>[0.001, 0.011]</t>
  </si>
  <si>
    <t>270.4351853832668</t>
  </si>
  <si>
    <t>[0.069, 0.068, 0.062]</t>
  </si>
  <si>
    <t>LINESTRING (5.928322257174785 58.74643229535877, 5.928213223269235 58.74639644632797, 5.927710308606682 58.74623176104332, 5.927536231160195 58.74618111521202)</t>
  </si>
  <si>
    <t>[1341271, 1341283, 1341299]</t>
  </si>
  <si>
    <t>[1244254, 1244262, 1244272]</t>
  </si>
  <si>
    <t>0.06684285439811985</t>
  </si>
  <si>
    <t>[1244211, 1244254, 1244262]</t>
  </si>
  <si>
    <t>53.59280870914316</t>
  </si>
  <si>
    <t>LINESTRING (5.930622538021201 58.74426010393179, 5.930528954769235 58.744409037245376, 5.928322257174785 58.74643229535877)</t>
  </si>
  <si>
    <t>[1341265, 1341266]</t>
  </si>
  <si>
    <t>[1244250, 1244211]</t>
  </si>
  <si>
    <t>[1244249, 1244250]</t>
  </si>
  <si>
    <t>282.107155562755</t>
  </si>
  <si>
    <t>16.6865795178986</t>
  </si>
  <si>
    <t>[-0.042, 0.025, 0.015]</t>
  </si>
  <si>
    <t>LINESTRING (5.328764830121827 60.308274456468496, 5.328549911484712 60.308154026487095, 5.327903488186308 60.302361354399665, 5.328090944686163 60.30159803799668)</t>
  </si>
  <si>
    <t>[2090702, 2090710, 2090718]</t>
  </si>
  <si>
    <t>[1809971, 1809977, 1447325]</t>
  </si>
  <si>
    <t>0.022135754760492503</t>
  </si>
  <si>
    <t>[1244228, 1809971, 1809977]</t>
  </si>
  <si>
    <t>[0.042, 0.025, 0.015]</t>
  </si>
  <si>
    <t>770.3039065001242</t>
  </si>
  <si>
    <t>[0.015, -0.004, -0.003, -0.147, -0.0, 0.028, -0.003, -0.06, -0.071, -0.04, 0.016]</t>
  </si>
  <si>
    <t>LINESTRING (5.33541897023378 60.32380178429478, 5.335352994057021 60.32370564174231, 5.334973702348763 60.323207897547796, 5.33322318480703 60.31905779815086, 5.333213304114727 60.318961827615084, 5.332992103029016 60.31487079433039, 5.332375535130484 60.31283567382028, 5.3308346461080385 60.31057245041927, 5.330111453208214 60.30978781550471, 5.329606445817275 60.309242886524615, 5.329521770653508 60.30914882099782, 5.328764830121827 60.308274456468496)</t>
  </si>
  <si>
    <t>[1613887, 1613892, 1613711, 1613731, 1613771, 1613781, 1613784, 1613785, 1613792, 474211, 1341241]</t>
  </si>
  <si>
    <t>[1447421, 1447300, 1447301, 1447311, 1447350, 1447359, 1447362, 1447363, 472599, 472600, 1244228]</t>
  </si>
  <si>
    <t>[1447394, 1447421, 1447300, 1447301, 1447311, 1447350, 1447359, 1447362, 1447363, 472599, 472600]</t>
  </si>
  <si>
    <t>[0.015, 0.004, 0.003, 0.147, 0.0, 0.028, 0.003, 0.06, 0.071, 0.04, 0.016]</t>
  </si>
  <si>
    <t>1794.2298439455412</t>
  </si>
  <si>
    <t>9.557402418901296</t>
  </si>
  <si>
    <t>[0.091, 0.083, 0.075, 0.065, 0.017, -0.008, -0.037, -0.017, -0.062, -0.092, 0.012, 0.083, 0.078, 0.068, 0.077, 0.068, 0.057, 0.062, 0.048, 0.002, 1.512, 0.069, 0.06, 0.044, 0.08, 0.047, 0.008, -0.011, 0.004, 0.01, 0.025, 0.006, 0.027, 0.073, -0.052, -0.057, -0.003, -0.036, -0.047, -0.079, -0.05, -0.027, 0.007, -0.001, 0.009, 0.019, 0.036, -0.011, -0.016, -0.001, 0.004, 0.004, -0.022, 0.038, -0.013, -0.037, 0.023, -0.033, -0.011, 0.019, 0.026, -0.02, 0.026, 0.032, 0.005, 0.008, -0.036, -0.019, -0.011, -0.034, 0.014, -0.012, 0.008, -0.018, -0.003, 0.004, -0.012, 0.162]</t>
  </si>
  <si>
    <t>6872.0</t>
  </si>
  <si>
    <t>[0, 0, 0, 0, 0, 0, 0, 0, 0, 0, 0, 0, 0, 0, 0, 0, 0, 0, 0, 0, 0, 0, 0, 0, 0, 0, 0, 0, 0, 0, 0, 0, 0, 0, 0, 0, 0, 0, 0, 0, 0, 0, 0, 0, 0, 0, 0, 0, 0, 0, 0, 0, 0, 0, 0, 0, 0, 0, 0, 0, 0, 0, 1, 0, 0, 0, 0, 1, 0, 0, 0, 0, 0, 0, 0, 0, 0, 0]</t>
  </si>
  <si>
    <t>LINESTRING (6.085746978725101 58.62871270523826, 6.085632086231489 58.62874604601168, 6.0847706550585565 58.62896875087262, 6.084459218861784 58.62903776530046, 6.083562515751806 58.62920624655664, 6.081553291521778 58.629530413761444, 6.080374343596612 58.62973769523126, 6.080246935198204 58.62976558672094, 6.080167280762975 58.62978334003944, 6.07854837211438 58.6304813105561, 6.078175082277576 58.63081801765954, 6.0773137568341 58.632123397155496, 6.0772627840128965 58.632565908807805, 6.077327444377924 58.63281011683061, 6.077338719325433 58.63284488292421, 6.077497441893191 58.63314718412785, 6.077762921161082 58.63345665862451, 6.077936094943317 58.633601161910136, 6.0779739779861615 58.633629514655226, 6.078050553154241 58.633684488349495, 6.082018272139552 58.635270705060606, 6.08205479571593 58.63534487916788, 6.082091330775836 58.635644352841176, 6.082086768707949 58.63568320512059, 6.082459481686575 58.63796861715645, 6.080120238909466 58.64106072588794, 6.0649097044080325 58.64270818811407, 6.053317307646921 58.64424424288422, 6.05072812982118 58.64475075801482, 6.045785129934438 58.646545343955545, 6.043706004405018 58.647847145583775, 6.043205687358857 58.64816823320397, 6.029511752198784 58.65453966529209, 6.01332817894711 58.66206008438928, 6.0061207217033346 58.66312659583483, 5.991728676567395 58.665324904340714, 5.991039233472484 58.66549982048702, 5.989520784529311 58.66589613305696, 5.987875330703625 58.66637823960072, 5.98772858575659 58.66643187242514, 5.9877158799042585 58.66643679291745, 5.9875951794981415 58.66648628393272, 5.987462535944628 58.66654122789924, 5.985950506501156 58.66737860286352, 5.98152494111636 58.67515171627485, 5.981032594082352 58.67584025357186, 5.980899360002895 58.67631924532626, 5.980935922925134 58.67682381380318, 5.981970198159009 58.67809236624179, 5.982469443865226 58.67843967253292, 5.984903699588505 58.680120215378274, 5.985218677059015 58.6803453740897, 5.98636846752065 58.68131529819018, 5.987557968623741 58.682968883816514, 5.987881497357053 58.683886530299645, 5.987871458411618 58.68605552583422, 5.987662541734589 58.68662303694513, 5.986589237404053 58.68892907679834, 5.986216038910442 58.694853601152786, 5.9820220995226325 58.70849424060546, 5.98198616794791 58.70876730591598, 5.981666507729865 58.709762294607415, 5.975237096976445 58.71684038742629, 5.975208965159451 58.716890703388856, 5.974612722618117 58.718580904513296, 5.972807731782011 58.72130730306526, 5.969939282283702 58.72536320146464, 5.969301278522672 58.726273601451204, 5.968747571118496 58.72700918055939, 5.95779989453574 58.73132964908466, 5.952054002869711 58.733972186482504, 5.950319434474628 58.734877213690446, 5.943681848022395 58.73833046544752, 5.94170819049973 58.739357009438535, 5.941308598875726 58.739565461489406, 5.93808330819101 58.74120681553283, 5.933499097404522 58.74270274848036, 5.931133702415932 58.74388319031519, 5.930715314655598 58.74418944558298)</t>
  </si>
  <si>
    <t>[1844769, 1844777, 1844785, 1844793, 1844801, 1844809, 1844817, 1844825, 1844833, 1844841, 1844849, 1844857, 1844865, 1844873, 1844881, 1844889, 1844897, 1844905, 1844913, 1844921, 1844929, 370863, 370871, 370879, 370887, 370895, 370903, 370911, 370919, 370927, 370935, 370943, 370951, 370959, 370967, 370975, 370983, 370991, 370999, 371007, 371015, 371023, 371031, 371039, 371047, 371055, 371063, 371071, 371079, 371087, 371095, 371103, 371111, 371119, 371127, 371135, 371159, 371167, 371175, 371183, 371191, 371199, 371207, 371215, 371223, 371231, 371239, 371247, 371262, 371270, 371278, 371286, 371294, 371302, 371310, 371318, 371326, 1341324]</t>
  </si>
  <si>
    <t>[1615947, 1615951, 1615956, 1615961, 1615965, 1194499, 1221809, 1615976, 338795, 349016, 1178742, 1615990, 1615995, 1615999, 339242, 1610136, 1616008, 1616015, 1610121, 1194479, 359756, 359757, 359765, 359771, 359780, 359789, 359796, 359804, 359812, 359821, 359829, 359838, 359845, 359851, 359858, 359866, 359874, 359884, 359892, 359900, 359908, 359919, 359928, 359938, 359945, 359955, 359966, 359974, 359985, 359995, 360004, 360013, 360024, 360034, 360044, 360054, 360078, 360087, 360096, 360105, 360115, 360124, 360132, 360142, 360151, 360160, 360170, 360178, 360195, 360204, 360213, 360222, 360230, 360239, 360249, 360259, 360268, 1244243]</t>
  </si>
  <si>
    <t>0.004377552268169558</t>
  </si>
  <si>
    <t>[1615942, 1615947, 1615951, 1615956, 1615961, 1615965, 1194499, 1221809, 1615976, 338795, 349016, 1178742, 1615990, 1615995, 1615999, 339242, 1610136, 1616008, 1616015, 1610121, 1194479, 359756, 359757, 359765, 359771, 359780, 359789, 359796, 359804, 359812, 359821, 359829, 359838, 359845, 359851, 359858, 359866, 359874, 359884, 359892, 359900, 359908, 359919, 359928, 359938, 359945, 359955, 359966, 359974, 359985, 359995, 360004, 360013, 360024, 360034, 360044, 360054, 360078, 360087, 360096, 360105, 360115, 360124, 360132, 360142, 360151, 360160, 360170, 360178, 360195, 360204, 360213, 360222, 360230, 360239, 360249, 360259, 360268]</t>
  </si>
  <si>
    <t>[0.091, 0.083, 0.075, 0.065, 0.017, 0.008, 0.037, 0.017, 0.062, 0.092, 0.012, 0.083, 0.078, 0.068, 0.077, 0.068, 0.057, 0.062, 0.048, 0.002, 1.512, 0.069, 0.06, 0.044, 0.08, 0.047, 0.008, 0.011, 0.004, 0.01, 0.025, 0.006, 0.027, 0.073, 0.052, 0.057, 0.003, 0.036, 0.047, 0.079, 0.05, 0.027, 0.007, 0.001, 0.009, 0.019, 0.036, 0.011, 0.016, 0.001, 0.004, 0.004, 0.022, 0.038, 0.013, 0.037, 0.023, 0.033, 0.011, 0.019, 0.026, 0.02, 0.026, 0.032, 0.005, 0.008, 0.036, 0.019, 0.011, 0.034, 0.014, 0.012, 0.008, 0.018, 0.003, 0.004, 0.012, 0.162]</t>
  </si>
  <si>
    <t>18347.914247962075</t>
  </si>
  <si>
    <t>[-0.01, 0.007, -0.008]</t>
  </si>
  <si>
    <t>LINESTRING (5.930622538021201 58.74426010393179, 5.928021113589559 58.746262042814564, 5.9279324922769465 58.74632920937254, 5.925537144582023 58.74817360149219)</t>
  </si>
  <si>
    <t>[1341346, 1341347, 1341359]</t>
  </si>
  <si>
    <t>[1244299, 1244300, 1244308]</t>
  </si>
  <si>
    <t>[1244249, 1244299, 1244300]</t>
  </si>
  <si>
    <t>[0.01, 0.007, 0.008]</t>
  </si>
  <si>
    <t>527.6062013691779</t>
  </si>
  <si>
    <t>2.446656698362017</t>
  </si>
  <si>
    <t>LINESTRING (5.925537144582023 58.74817360149219, 5.925583219908414 58.74806768779429, 5.927530558189967 58.746213370085194, 5.927536231160195 58.74618111521202)</t>
  </si>
  <si>
    <t>[1341399, 1341407, 1341408]</t>
  </si>
  <si>
    <t>[1244330, 1244339, 1244272]</t>
  </si>
  <si>
    <t>0.01502346836149273</t>
  </si>
  <si>
    <t>[1244308, 1244330, 1244339]</t>
  </si>
  <si>
    <t>252.4558801259845</t>
  </si>
  <si>
    <t>19.496687372399926</t>
  </si>
  <si>
    <t>[-0.011, 0.046]</t>
  </si>
  <si>
    <t>LINESTRING (5.423032003580504 60.2161892425653, 5.423162251949496 60.216264841503275, 5.4231755179363965 60.21634575380416)</t>
  </si>
  <si>
    <t>[1341358, 1341369]</t>
  </si>
  <si>
    <t>[1244307, 1244279]</t>
  </si>
  <si>
    <t>0.01459996157558964</t>
  </si>
  <si>
    <t>[1244301, 1244307]</t>
  </si>
  <si>
    <t>[0.011, 0.046]</t>
  </si>
  <si>
    <t>20.20014356826394</t>
  </si>
  <si>
    <t>[0.016, 0.05, 0.064]</t>
  </si>
  <si>
    <t>LINESTRING (5.425381358115698 60.216429852048144, 5.424915854269984 60.216398384549215, 5.423655104567238 60.216367039526766, 5.4231755179363965 60.21634575380416)</t>
  </si>
  <si>
    <t>[1341428, 1341431, 1341437]</t>
  </si>
  <si>
    <t>[1244351, 1244354, 1244279]</t>
  </si>
  <si>
    <t>0.045829574624189864</t>
  </si>
  <si>
    <t>[1244350, 1244351, 1244354]</t>
  </si>
  <si>
    <t>123.08356255671316</t>
  </si>
  <si>
    <t>[0.023, -0.065, -0.071]</t>
  </si>
  <si>
    <t>LINESTRING (5.422934604518931 60.21646150396105, 5.42259402615214 60.2163341335854, 5.42268787389865 60.21620857275767, 5.423032003580504 60.2161892425653)</t>
  </si>
  <si>
    <t>[1341322, 1341333, 1341350]</t>
  </si>
  <si>
    <t>[1175809, 1244295, 1244301]</t>
  </si>
  <si>
    <t>[1244280, 1175809, 1244295]</t>
  </si>
  <si>
    <t>[0.023, 0.065, 0.071]</t>
  </si>
  <si>
    <t>61.94091458801736</t>
  </si>
  <si>
    <t>[-0.036, -0.038, 0.002]</t>
  </si>
  <si>
    <t>LINESTRING (5.424392424910582 60.21778733714026, 5.424262793807432 60.21762252423223, 5.42393639843497 60.21705347866902, 5.422934604518931 60.21646150396105)</t>
  </si>
  <si>
    <t>[2091001, 2091009, 2091017]</t>
  </si>
  <si>
    <t>[1810151, 1810156, 1244280]</t>
  </si>
  <si>
    <t>[1810123, 1810151, 1810156]</t>
  </si>
  <si>
    <t>[0.036, 0.038, 0.002]</t>
  </si>
  <si>
    <t>174.06911122183124</t>
  </si>
  <si>
    <t>[-0.068, -0.016, 0.016, 0.02]</t>
  </si>
  <si>
    <t>LINESTRING (5.423032003580504 60.2161892425653, 5.423322973809863 60.21600406688987, 5.423729638567483 60.215617950836126, 5.4239382374684615 60.21497568607133, 5.424040660843006 60.214902479066176)</t>
  </si>
  <si>
    <t>[2090975, 2090983, 2090991, 2090998]</t>
  </si>
  <si>
    <t>[1810138, 1810143, 1810148, 1810129]</t>
  </si>
  <si>
    <t>[1244301, 1810138, 1810143, 1810148]</t>
  </si>
  <si>
    <t>[0.068, 0.016, 0.016, 0.02]</t>
  </si>
  <si>
    <t>157.95456099580787</t>
  </si>
  <si>
    <t>26.663249655943794</t>
  </si>
  <si>
    <t>10.328494565984046</t>
  </si>
  <si>
    <t>16.2770781715308</t>
  </si>
  <si>
    <t>13.053708285665282</t>
  </si>
  <si>
    <t>48.7027146685822</t>
  </si>
  <si>
    <t>133.14655941604337</t>
  </si>
  <si>
    <t>[0.052, -0.028]</t>
  </si>
  <si>
    <t>LINESTRING (5.425977348585123 60.21667204232488, 5.4255489975527444 60.21720615736535, 5.426756526172225 60.21730297067188)</t>
  </si>
  <si>
    <t>[1341582, 1341587]</t>
  </si>
  <si>
    <t>[1244453, 1244456]</t>
  </si>
  <si>
    <t>0.00671071614507893</t>
  </si>
  <si>
    <t>[1244364, 1244453]</t>
  </si>
  <si>
    <t>[0.052, 0.028]</t>
  </si>
  <si>
    <t>153.87860632761252</t>
  </si>
  <si>
    <t>[0.001, -0.001, -0.003, -0.004]</t>
  </si>
  <si>
    <t>LINESTRING (10.904811207259288 63.4748246065222, 10.904846012598561 63.474912917842474, 10.904802644298082 63.47499116074293, 10.904688383437355 63.47505985835016, 10.90447695658314 63.475108783912845)</t>
  </si>
  <si>
    <t>[1342069, 1342075, 1342086, 1342094]</t>
  </si>
  <si>
    <t>[1244752, 1244758, 1244766, 1244772]</t>
  </si>
  <si>
    <t>[1244751, 1244752, 1244758, 1244766]</t>
  </si>
  <si>
    <t>[0.001, 0.001, 0.003, 0.004]</t>
  </si>
  <si>
    <t>40.39590338413523</t>
  </si>
  <si>
    <t>LINESTRING (10.90418506004768 63.47471402332472, 10.90457024475105 63.47471323910211, 10.904811207259288 63.4748246065222)</t>
  </si>
  <si>
    <t>[1342198, 1342206]</t>
  </si>
  <si>
    <t>[1244859, 1244751]</t>
  </si>
  <si>
    <t>0.005055212279726433</t>
  </si>
  <si>
    <t>[1244855, 1244859]</t>
  </si>
  <si>
    <t>37.238660444322</t>
  </si>
  <si>
    <t>LINESTRING (10.90447695658314 63.475108783912845, 10.904195942033349 63.475096544124725, 10.903949765215307 63.47498748012212)</t>
  </si>
  <si>
    <t>[1342104, 1342135]</t>
  </si>
  <si>
    <t>[1244783, 1244809]</t>
  </si>
  <si>
    <t>[1244772, 1244783]</t>
  </si>
  <si>
    <t>31.826144972703673</t>
  </si>
  <si>
    <t>[-0.003, -0.003, -0.002, -0.005, -0.0, 0.004, 0.011]</t>
  </si>
  <si>
    <t>14143.0</t>
  </si>
  <si>
    <t>LINESTRING (10.90447695658314 63.475108783912845, 10.904355775963595 63.475164321618756, 10.904271208781754 63.47520308404062, 10.90402808648441 63.47536294480012, 10.903258694186896 63.476130115703526, 10.901794684777744 63.47752282885972, 10.901335218133163 63.477922364712406, 10.885806558239839 63.48788912552291)</t>
  </si>
  <si>
    <t>[1342324, 1342337, 1342363, 2161060, 2161068, 2161076, 2161084]</t>
  </si>
  <si>
    <t>[1244958, 1244969, 1244992, 1850537, 1850543, 1850549, 1850554]</t>
  </si>
  <si>
    <t>0.008552338164109394</t>
  </si>
  <si>
    <t>[1244772, 1244958, 1244969, 1244992, 1850537, 1850543, 1850549]</t>
  </si>
  <si>
    <t>[0.003, 0.003, 0.002, 0.005, 0.0, 0.004, 0.011]</t>
  </si>
  <si>
    <t>1725.4916611472531</t>
  </si>
  <si>
    <t>[-0.004, -0.001, 0.003, 0.004]</t>
  </si>
  <si>
    <t>LINESTRING (10.903949765215307 63.47498748012212, 10.903918897637388 63.47494058352441, 10.90392235420811 63.47485796138049, 10.904009303158848 63.47477633833602, 10.90418506004768 63.47471402332472)</t>
  </si>
  <si>
    <t>[1342143, 1342144, 1342159, 1342190]</t>
  </si>
  <si>
    <t>[1244815, 1244816, 1244829, 1244855]</t>
  </si>
  <si>
    <t>0.0012235267871317911</t>
  </si>
  <si>
    <t>[1244809, 1244815, 1244816, 1244829]</t>
  </si>
  <si>
    <t>[0.004, 0.001, 0.003, 0.004]</t>
  </si>
  <si>
    <t>35.92338935431876</t>
  </si>
  <si>
    <t>[0.001, 0.001, -0.003, -0.005, -0.003, 0.001, 0.004, -0.001, 0.011]</t>
  </si>
  <si>
    <t>LINESTRING (10.903949765215307 63.47498748012212, 10.903951100426928 63.47507846404295, 10.903951929833566 63.47513383900276, 10.90384593269363 63.47532538493455, 10.903077570081223 63.4760915148195, 10.902633451019092 63.47653292187797, 10.901615671708015 63.47748235425877, 10.901157398321295 63.47788084516593, 10.900964575989512 63.478043752605146, 10.885609093261538 63.48787314323226)</t>
  </si>
  <si>
    <t>[1342371, 1342372, 1342379, 2161092, 2161100, 2161108, 2161116, 2161124, 2161132]</t>
  </si>
  <si>
    <t>[1245000, 1245001, 1245006, 1850562, 1850567, 1850573, 1850578, 1850584, 1850591]</t>
  </si>
  <si>
    <t>0.008401582982491712</t>
  </si>
  <si>
    <t>[1244809, 1245000, 1245001, 1245006, 1850562, 1850567, 1850573, 1850578, 1850584]</t>
  </si>
  <si>
    <t>[0.001, 0.001, 0.003, 0.005, 0.003, 0.001, 0.004, 0.001, 0.011]</t>
  </si>
  <si>
    <t>1730.241834627276</t>
  </si>
  <si>
    <t>[0.002, 0.002, 0.003, 0.004, 0.005, 0.005, 0.004, -0.003, -0.013]</t>
  </si>
  <si>
    <t>LINESTRING (5.304320769535386 59.38477387265533, 5.304293851999141 59.384817385797376, 5.304225391125875 59.38491425715544, 5.304204747969334 59.38494700934798, 5.3040542016056165 59.3852276205438, 5.303909929965602 59.385499921496084, 5.30377486912748 59.38575262050299, 5.303604145124182 59.38607202337828, 5.303106709197628 59.3869480495133, 5.303025169305397 59.387002141842814)</t>
  </si>
  <si>
    <t>[1342853, 1342861, 1342870, 1342871, 1342874, 1342926, 1342959, 1342968, 1342976]</t>
  </si>
  <si>
    <t>[1245322, 1245329, 1245337, 1245338, 1245341, 1245376, 1245404, 1245410, 1245273]</t>
  </si>
  <si>
    <t>0.0008522793389599078</t>
  </si>
  <si>
    <t>[1245321, 1245322, 1245329, 1245337, 1245338, 1245341, 1245376, 1245404, 1245410]</t>
  </si>
  <si>
    <t>[0.002, 0.002, 0.003, 0.004, 0.005, 0.005, 0.004, 0.003, 0.013]</t>
  </si>
  <si>
    <t>260.3426048676031</t>
  </si>
  <si>
    <t>[0.005, 0.005, 0.006, 0.004, 0.005, 0.005, 0.006, -0.002, -0.003, -0.002, -0.002, 0.006]</t>
  </si>
  <si>
    <t>LINESTRING (5.304041366952669 59.384716197781096, 5.3040362096267994 59.38479620469324, 5.30403294082398 59.38489118408177, 5.304031071883639 59.384927126138, 5.303931925651972 59.38516753474803, 5.303905157444654 59.385218582977664, 5.303740000861951 59.385528157519744, 5.30364883510193 59.38572044921081, 5.303617488933021 59.38579100378006, 5.303578881118548 59.385873158580914, 5.30352429159098 59.38599851647, 5.3030344641739084 59.386929562182466, 5.303025169305397 59.387002141842814)</t>
  </si>
  <si>
    <t>[1343025, 1343026, 1343034, 1343043, 1343050, 1343058, 1343070, 1343105, 1343110, 1343113, 1343116, 1343117]</t>
  </si>
  <si>
    <t>[1245455, 1245456, 1245461, 769340, 1245472, 1245479, 1245493, 769241, 1245521, 1245526, 1245529, 1245273]</t>
  </si>
  <si>
    <t>0.001268757535078159</t>
  </si>
  <si>
    <t>[1245454, 1245455, 1245456, 1245461, 769340, 1245472, 1245479, 1245493, 769241, 1245521, 1245526, 1245529]</t>
  </si>
  <si>
    <t>[0.005, 0.005, 0.006, 0.004, 0.005, 0.005, 0.006, 0.002, 0.003, 0.002, 0.002, 0.006]</t>
  </si>
  <si>
    <t>262.70100259633165</t>
  </si>
  <si>
    <t>[-0.006, -0.008, -0.007]</t>
  </si>
  <si>
    <t>LINESTRING (5.304320769535386 59.38477387265533, 5.304171379374107 59.384769855437135, 5.304074397009596 59.384737639120594, 5.304041366952669 59.384716197781096)</t>
  </si>
  <si>
    <t>[1343180, 1343188, 1343196]</t>
  </si>
  <si>
    <t>[1245584, 1245590, 1245454]</t>
  </si>
  <si>
    <t>[1245321, 1245584, 1245590]</t>
  </si>
  <si>
    <t>[0.006, 0.008, 0.007]</t>
  </si>
  <si>
    <t>18.177119406439733</t>
  </si>
  <si>
    <t>[0.006, 0.003, -0.001, -0.005]</t>
  </si>
  <si>
    <t>LINESTRING (5.304494956249273 59.38460679922601, 5.3045063072056235 59.38463070172916, 5.304491606953008 59.384696527482035, 5.304400210654261 59.384755324893995, 5.304320769535386 59.38477387265533)</t>
  </si>
  <si>
    <t>[1343161, 1343169, 1343177, 1343179]</t>
  </si>
  <si>
    <t>[1245314, 1245577, 1245285, 1245321]</t>
  </si>
  <si>
    <t>0.0002300968992663985</t>
  </si>
  <si>
    <t>[1245557, 1245314, 1245577, 1245285]</t>
  </si>
  <si>
    <t>[0.006, 0.003, 0.001, 0.005]</t>
  </si>
  <si>
    <t>23.522748586063884</t>
  </si>
  <si>
    <t>[-0.008, -0.004, 0.001, 0.006]</t>
  </si>
  <si>
    <t>LINESTRING (5.304041366952669 59.384716197781096, 5.304004994995897 59.384659119798286, 5.304024908710044 59.3845989482811, 5.304112102806883 59.38454335368546, 5.304146635736149 59.38453301249124)</t>
  </si>
  <si>
    <t>[1343200, 1343201, 1343202, 1343213]</t>
  </si>
  <si>
    <t>[1245530, 1245601, 1245236, 1245563]</t>
  </si>
  <si>
    <t>[1245454, 1245530, 1245601, 1245236]</t>
  </si>
  <si>
    <t>[0.008, 0.004, 0.001, 0.006]</t>
  </si>
  <si>
    <t>23.770117118184082</t>
  </si>
  <si>
    <t>[0.008, 0.009, 0.007]</t>
  </si>
  <si>
    <t>LINESTRING (5.304146635736149 59.38453301249124, 5.30433696067965 59.38452679801394, 5.30443725773819 59.38455852125713, 5.304494956249273 59.38460679922601)</t>
  </si>
  <si>
    <t>[1343219, 1343227, 1343228]</t>
  </si>
  <si>
    <t>[1245611, 1245618, 1245557]</t>
  </si>
  <si>
    <t>0.008016952230570286</t>
  </si>
  <si>
    <t>[1245563, 1245611, 1245618]</t>
  </si>
  <si>
    <t>24.131390365585883</t>
  </si>
  <si>
    <t>[0.001, 0.002, 0.002, 0.001]</t>
  </si>
  <si>
    <t>LINESTRING (8.565007322822348 58.3415389975367, 8.56494331668655 58.34151991370181, 8.564869405933639 58.34146210320391, 8.564881207444223 58.34137410401322, 8.565196592307393 58.341321390106614)</t>
  </si>
  <si>
    <t>[1344426, 1344434, 1344442, 1344450]</t>
  </si>
  <si>
    <t>[334543, 1246546, 334556, 1246527]</t>
  </si>
  <si>
    <t>0.0014066274815431044</t>
  </si>
  <si>
    <t>[1246492, 334543, 1246546, 334556]</t>
  </si>
  <si>
    <t>43.30376226318084</t>
  </si>
  <si>
    <t>LINESTRING (8.56527741258324 58.34149138273028, 8.565164651390223 58.34153856290378, 8.565007322822348 58.3415389975367)</t>
  </si>
  <si>
    <t>[1344482, 1344490]</t>
  </si>
  <si>
    <t>[1246587, 1246492]</t>
  </si>
  <si>
    <t>[1246511, 1246587]</t>
  </si>
  <si>
    <t>17.67821827042536</t>
  </si>
  <si>
    <t>3.3055105506490174</t>
  </si>
  <si>
    <t>[-0.002, -0.003]</t>
  </si>
  <si>
    <t>LINESTRING (8.565196592307393 58.341321390106614, 8.56529803904092 58.34138243688421, 8.565302798852711 58.341464921999965)</t>
  </si>
  <si>
    <t>[1344458, 1344466]</t>
  </si>
  <si>
    <t>[1246564, 1246516]</t>
  </si>
  <si>
    <t>[1246527, 1246564]</t>
  </si>
  <si>
    <t>18.245913546460635</t>
  </si>
  <si>
    <t>[0.009, -0.001, 0.028]</t>
  </si>
  <si>
    <t>LINESTRING (6.531004380267606 58.4625993432863, 6.53107034766096 58.46246664498481, 6.531462756653428 58.461827687079314, 6.531554462635962 58.461803645983295)</t>
  </si>
  <si>
    <t>[1346786, 1346794, 1346802]</t>
  </si>
  <si>
    <t>[1248065, 1248070, 1248073]</t>
  </si>
  <si>
    <t>0.0023666352776895955</t>
  </si>
  <si>
    <t>[1248064, 1248065, 1248070]</t>
  </si>
  <si>
    <t>[0.009, 0.001, 0.028]</t>
  </si>
  <si>
    <t>97.17616320825354</t>
  </si>
  <si>
    <t>[0.05, 0.005, 0.009]</t>
  </si>
  <si>
    <t>LINESTRING (6.531004380267606 58.4625993432863, 6.5309314751248415 58.46266281642799, 6.529352974266143 58.46399022161497, 6.523152881799657 58.46825078272461)</t>
  </si>
  <si>
    <t>[1842880, 1842888, 1842897]</t>
  </si>
  <si>
    <t>[1614709, 1614714, 1614721]</t>
  </si>
  <si>
    <t>0.008539966113865982</t>
  </si>
  <si>
    <t>[1248064, 1614709, 1614714]</t>
  </si>
  <si>
    <t>781.3390658835212</t>
  </si>
  <si>
    <t>[-0.058, 0.064]</t>
  </si>
  <si>
    <t>LINESTRING (6.53167388848312 58.462109641815154, 6.531431262948464 58.46227192514102, 6.531004380267606 58.4625993432863)</t>
  </si>
  <si>
    <t>[1842864, 1842872]</t>
  </si>
  <si>
    <t>[1614701, 1248064]</t>
  </si>
  <si>
    <t>0.0222687858230075</t>
  </si>
  <si>
    <t>[1248882, 1614701]</t>
  </si>
  <si>
    <t>[0.058, 0.064]</t>
  </si>
  <si>
    <t>67.30521199083859</t>
  </si>
  <si>
    <t>[-0.041, -0.017]</t>
  </si>
  <si>
    <t>LINESTRING (6.531554462635962 58.461803645983295, 6.531740434314897 58.46199146928156, 6.531826006156375 58.46201523951265)</t>
  </si>
  <si>
    <t>[1347884, 1347892]</t>
  </si>
  <si>
    <t>[1248856, 1248864]</t>
  </si>
  <si>
    <t>[1248073, 1248856]</t>
  </si>
  <si>
    <t>[0.041, 0.017]</t>
  </si>
  <si>
    <t>31.472910296235654</t>
  </si>
  <si>
    <t>[-0.043, -0.018]</t>
  </si>
  <si>
    <t>LINESTRING (6.531554462635962 58.461803645983295, 6.5315997912814545 58.4620782489236, 6.53167388848312 58.462109641815154)</t>
  </si>
  <si>
    <t>[1347900, 1347908]</t>
  </si>
  <si>
    <t>[1248874, 1248882]</t>
  </si>
  <si>
    <t>[1248073, 1248874]</t>
  </si>
  <si>
    <t>[0.043, 0.018]</t>
  </si>
  <si>
    <t>44.068192586212035</t>
  </si>
  <si>
    <t>[0.101, -0.1, -0.135]</t>
  </si>
  <si>
    <t>LINESTRING (5.8369501023139865 58.77930519727013, 5.8370658176475025 58.779376487118434, 5.836887278329904 58.77946230632419, 5.836787833293348 58.77943063479007)</t>
  </si>
  <si>
    <t>[1351967, 1351975, 1351983]</t>
  </si>
  <si>
    <t>[1238949, 1231473, 1248156]</t>
  </si>
  <si>
    <t>[1248111, 1238949, 1231473]</t>
  </si>
  <si>
    <t>[0.101, 0.1, 0.135]</t>
  </si>
  <si>
    <t>33.434805298248406</t>
  </si>
  <si>
    <t>11.435442963427356</t>
  </si>
  <si>
    <t>[-0.12, -0.06, -0.012]</t>
  </si>
  <si>
    <t>LINESTRING (5.836777793215313 58.77934261029068, 5.836658507948278 58.779299235589356, 5.836273108643209 58.779162439408914, 5.836191814351652 58.779133314433835)</t>
  </si>
  <si>
    <t>[1346858, 1346866, 1346874]</t>
  </si>
  <si>
    <t>[1248120, 1248128, 1212998]</t>
  </si>
  <si>
    <t>[1248119, 1248120, 1248128]</t>
  </si>
  <si>
    <t>[0.12, 0.06, 0.012]</t>
  </si>
  <si>
    <t>41.2635400662113</t>
  </si>
  <si>
    <t>10.288279308220323</t>
  </si>
  <si>
    <t>[0.018, 0.015, 0.008, 0.004, 0.005, 0.006, 0.006, 0.008, -0.02, -0.022, -0.016]</t>
  </si>
  <si>
    <t>LINESTRING (5.830721356502108 58.782241037218405, 5.830426635096505 58.782316768434306, 5.830031888302421 58.78228262709804, 5.829852027207252 58.78219579993318, 5.829787265516099 58.782148466715185, 5.829779164797708 58.78214254627714, 5.829722503999342 58.7821011334691, 5.82924037877169 58.78171483480906, 5.8291917531504405 58.78167520844605, 5.830315164613601 58.781334063379504, 5.830590121024291 58.781304567140964, 5.830900762821302 58.78136592802724)</t>
  </si>
  <si>
    <t>[1347010, 1347018, 1347026, 1347034, 1347042, 1347050, 1347058, 1347066, 1347074, 1347082, 1347090]</t>
  </si>
  <si>
    <t>[1144552, 1248258, 1248263, 1248269, 1248275, 1248282, 1248288, 985944, 1248299, 1248303, 1248312]</t>
  </si>
  <si>
    <t>[1248246, 1144552, 1248258, 1248263, 1248269, 1248275, 1248282, 1248288, 985944, 1248299, 1248303]</t>
  </si>
  <si>
    <t>[0.018, 0.015, 0.008, 0.004, 0.005, 0.006, 0.006, 0.008, 0.02, 0.022, 0.016]</t>
  </si>
  <si>
    <t>238.31814083936973</t>
  </si>
  <si>
    <t>[-0.039, -0.053]</t>
  </si>
  <si>
    <t>LINESTRING (6.531826006156375 58.46201523951265, 6.531730842670918 58.462073261257004, 6.53167388848312 58.462109641815154)</t>
  </si>
  <si>
    <t>[1842848, 1842856]</t>
  </si>
  <si>
    <t>[1614690, 1248882]</t>
  </si>
  <si>
    <t>[1248864, 1614690]</t>
  </si>
  <si>
    <t>[0.039, 0.053]</t>
  </si>
  <si>
    <t>13.798799451757144</t>
  </si>
  <si>
    <t>[0.006, -0.005, -0.017, -0.03, -0.022, -0.015, -0.011, -0.004]</t>
  </si>
  <si>
    <t>[1, 0, 0, 0, 0, 0, 1, 1]</t>
  </si>
  <si>
    <t>LINESTRING (8.091130056066108 58.16625704127873, 8.091079185254188 58.16632122603967, 8.091000274999647 58.16637090946784, 8.090892853833388 58.16640588564096, 8.090513185587056 58.166388834579315, 8.09041169669506 58.1663399697471, 8.090388891016522 58.166322238717406, 8.090347143547357 58.16627482192516, 8.090326555090531 58.16621332761597)</t>
  </si>
  <si>
    <t>[1348000, 1348008, 1348016, 1348024, 1348032, 1348040, 1348048, 1348056]</t>
  </si>
  <si>
    <t>[1248969, 1248976, 1248985, 1248990, 1249000, 1249008, 1249014, 1249021]</t>
  </si>
  <si>
    <t>[1248968, 1248969, 1248976, 1248985, 1248990, 1249000, 1249008, 1249014]</t>
  </si>
  <si>
    <t>[0.006, 0.005, 0.017, 0.03, 0.022, 0.015, 0.011, 0.004]</t>
  </si>
  <si>
    <t>68.88718327998947</t>
  </si>
  <si>
    <t>[0.017, 0.02]</t>
  </si>
  <si>
    <t>LINESTRING (8.090577967641952 58.16600992945848, 8.091127178421223 58.16615451908499, 8.091130056066108 58.16625704127873)</t>
  </si>
  <si>
    <t>[1348096, 1348104]</t>
  </si>
  <si>
    <t>[1249057, 1248968]</t>
  </si>
  <si>
    <t>0.017657987237394982</t>
  </si>
  <si>
    <t>[1249047, 1249057]</t>
  </si>
  <si>
    <t>52.15340674173963</t>
  </si>
  <si>
    <t>LINESTRING (8.090326555090531 58.16621332761597, 8.090337268667847 58.16615921333298, 8.090372433249778 58.16610913267741)</t>
  </si>
  <si>
    <t>[1348064, 1348072]</t>
  </si>
  <si>
    <t>[1249028, 1249032]</t>
  </si>
  <si>
    <t>0.0034861924783140597</t>
  </si>
  <si>
    <t>[1249021, 1249028]</t>
  </si>
  <si>
    <t>12.029286716909349</t>
  </si>
  <si>
    <t>[0.008, 0.009]</t>
  </si>
  <si>
    <t>LINESTRING (8.090372433249778 58.16610913267741, 8.090457688761216 58.16605051345553, 8.090577967641952 58.16600992945848)</t>
  </si>
  <si>
    <t>[1348080, 1348088]</t>
  </si>
  <si>
    <t>[1249040, 1249047]</t>
  </si>
  <si>
    <t>0.008504956351176157</t>
  </si>
  <si>
    <t>[1249032, 1249040]</t>
  </si>
  <si>
    <t>16.661132111007973</t>
  </si>
  <si>
    <t>[-0.535, 0.095]</t>
  </si>
  <si>
    <t>LINESTRING (8.090372433249778 58.16610913267741, 8.09034643217256 58.166077170517966, 8.090128039393077 58.16593516835623)</t>
  </si>
  <si>
    <t>[1839061, 1839069]</t>
  </si>
  <si>
    <t>[1612238, 1249071]</t>
  </si>
  <si>
    <t>[1249032, 1612238]</t>
  </si>
  <si>
    <t>[0.535, 0.095]</t>
  </si>
  <si>
    <t>24.295436678790438</t>
  </si>
  <si>
    <t>[-0.398, 0.069]</t>
  </si>
  <si>
    <t>LINESTRING (8.090577967641952 58.16600992945848, 8.09050101919549 58.165997903396345, 8.090128039393077 58.16593516835623)</t>
  </si>
  <si>
    <t>[1839093, 1839101]</t>
  </si>
  <si>
    <t>[1612254, 1249071]</t>
  </si>
  <si>
    <t>[1249047, 1612254]</t>
  </si>
  <si>
    <t>[0.398, 0.069]</t>
  </si>
  <si>
    <t>27.806479564481023</t>
  </si>
  <si>
    <t>[0.003, 0.02, 0.025]</t>
  </si>
  <si>
    <t>LINESTRING (8.090128039393077 58.16593516835623, 8.089834854877871 58.16577008289009, 8.089402074363777 58.16519866053776, 8.089393577216862 58.16517576058475)</t>
  </si>
  <si>
    <t>[1348112, 1348120, 1348128]</t>
  </si>
  <si>
    <t>[1249072, 1249078, 1249084]</t>
  </si>
  <si>
    <t>0.01568047453942304</t>
  </si>
  <si>
    <t>[1249071, 1249072, 1249078]</t>
  </si>
  <si>
    <t>96.95275578689176</t>
  </si>
  <si>
    <t>4.48198270838415</t>
  </si>
  <si>
    <t>[0.032, 0.046]</t>
  </si>
  <si>
    <t>LINESTRING (5.27545021465173 59.34234707879917, 5.275353797067773 59.34235345566484, 5.275264157978699 59.34233168424071)</t>
  </si>
  <si>
    <t>[1350698, 1350707]</t>
  </si>
  <si>
    <t>[1250994, 1249607]</t>
  </si>
  <si>
    <t>0.039072462006273366</t>
  </si>
  <si>
    <t>[1250987, 1250994]</t>
  </si>
  <si>
    <t>11.217658476002944</t>
  </si>
  <si>
    <t>[0.89, 0.002]</t>
  </si>
  <si>
    <t>LINESTRING (7.48794488589344 58.033341346182304, 7.487397114043769 58.03329098831322, 7.487315470909488 58.03328397936938)</t>
  </si>
  <si>
    <t>[1796917, 1796925]</t>
  </si>
  <si>
    <t>[1584671, 1584608]</t>
  </si>
  <si>
    <t>0.7752882932906343</t>
  </si>
  <si>
    <t>[1250125, 1584671]</t>
  </si>
  <si>
    <t>37.899765574614435</t>
  </si>
  <si>
    <t>[0.914, 0.01]</t>
  </si>
  <si>
    <t>LINESTRING (7.48794488589344 58.033341346182304, 7.487488924045894 58.033180486646835, 7.487423210562441 58.033148726542144)</t>
  </si>
  <si>
    <t>[1797021, 1797029]</t>
  </si>
  <si>
    <t>[1584754, 1584597]</t>
  </si>
  <si>
    <t>0.7877372306071838</t>
  </si>
  <si>
    <t>[1250125, 1584754]</t>
  </si>
  <si>
    <t>37.6789934738017</t>
  </si>
  <si>
    <t>[0.001, -1.074]</t>
  </si>
  <si>
    <t>LINESTRING (7.487007441810646 58.033048766286555, 7.486926119812118 58.03303943187979, 7.486404636691529 58.032952310219606)</t>
  </si>
  <si>
    <t>[1797053, 1797061]</t>
  </si>
  <si>
    <t>[1584783, 1250131]</t>
  </si>
  <si>
    <t>[1584581, 1584783]</t>
  </si>
  <si>
    <t>[0.001, 1.074]</t>
  </si>
  <si>
    <t>37.29071101919918</t>
  </si>
  <si>
    <t>[0.011, -1.064]</t>
  </si>
  <si>
    <t>LINESTRING (7.486885678760319 58.033166686657665, 7.486826079997482 58.03313817434334, 7.486404636691529 58.032952310219606)</t>
  </si>
  <si>
    <t>[1797037, 1797045]</t>
  </si>
  <si>
    <t>[1584767, 1250131]</t>
  </si>
  <si>
    <t>[1584640, 1584767]</t>
  </si>
  <si>
    <t>[0.011, 1.064]</t>
  </si>
  <si>
    <t>37.19601514421244</t>
  </si>
  <si>
    <t>[0.015, 0.036, 0.039, 0.02]</t>
  </si>
  <si>
    <t>LINESTRING (5.286103869985327 59.37376660363437, 5.286172950873738 59.373754306821326, 5.286217333880557 59.37375402589757, 5.286262886364095 59.373761971913346, 5.2862338394477755 59.37391171715342)</t>
  </si>
  <si>
    <t>[1445697, 1445705, 1445713, 1445721]</t>
  </si>
  <si>
    <t>[1312419, 1312424, 1268551, 1312437]</t>
  </si>
  <si>
    <t>0.022326343640765755</t>
  </si>
  <si>
    <t>[1250668, 1312419, 1312424, 1268551]</t>
  </si>
  <si>
    <t>30.87033272343573</t>
  </si>
  <si>
    <t>16.337585446748278</t>
  </si>
  <si>
    <t>9.847078361443758</t>
  </si>
  <si>
    <t>[0.009, -0.017, -0.037, -0.033]</t>
  </si>
  <si>
    <t>LINESTRING (5.28611924180984 59.37502086463239, 5.286074640947941 59.37504645070742, 5.285960809250057 59.37506034835658, 5.285863407582804 59.375032922840916, 5.285825869974548 59.374968967663825)</t>
  </si>
  <si>
    <t>[1445657, 1445665, 1445673, 1445617]</t>
  </si>
  <si>
    <t>[1312386, 1312394, 1251282, 1250719]</t>
  </si>
  <si>
    <t>[1250834, 1312386, 1312394, 1251282]</t>
  </si>
  <si>
    <t>[0.009, 0.017, 0.037, 0.033]</t>
  </si>
  <si>
    <t>24.310737644316283</t>
  </si>
  <si>
    <t>2.8848050196446033</t>
  </si>
  <si>
    <t>12.287008805070966</t>
  </si>
  <si>
    <t>[-0.033, -0.02]</t>
  </si>
  <si>
    <t>LINESTRING (5.2755553919431275 59.34225624463324, 5.275547806365877 59.34229172961303, 5.275513860408175 59.34232322192816)</t>
  </si>
  <si>
    <t>[1350673, 1350681]</t>
  </si>
  <si>
    <t>[1250975, 1250981]</t>
  </si>
  <si>
    <t>[1250970, 1250975]</t>
  </si>
  <si>
    <t>[0.033, 0.02]</t>
  </si>
  <si>
    <t>8.008084103897735</t>
  </si>
  <si>
    <t>4.5071787181606195</t>
  </si>
  <si>
    <t>[0.002, 0.004, 0.003, 0.001]</t>
  </si>
  <si>
    <t>LINESTRING (5.274810133273282 59.34705873718294, 5.274848576474521 59.34709209945248, 5.274854721666693 59.347130861258314, 5.274824458623072 59.34716883485261, 5.2747535821552605 59.34719795330694)</t>
  </si>
  <si>
    <t>[1350763, 1350772, 1350780, 1350788]</t>
  </si>
  <si>
    <t>[1251043, 1251049, 1251053, 1251061]</t>
  </si>
  <si>
    <t>0.0024381528887749294</t>
  </si>
  <si>
    <t>[1251042, 1251043, 1251049, 1251053]</t>
  </si>
  <si>
    <t>18.44860713594169</t>
  </si>
  <si>
    <t>[-0.002, 0.001]</t>
  </si>
  <si>
    <t>LINESTRING (5.274618122550733 59.347041122068866, 5.274719232741065 59.347034546791534, 5.274810133273282 59.34705873718294)</t>
  </si>
  <si>
    <t>[1350844, 1350852]</t>
  </si>
  <si>
    <t>[1251100, 1251042]</t>
  </si>
  <si>
    <t>[1251095, 1251100]</t>
  </si>
  <si>
    <t>[0.002, 0.001]</t>
  </si>
  <si>
    <t>11.669819351733981</t>
  </si>
  <si>
    <t>LINESTRING (5.2747535821552605 59.34719795330694, 5.274670452101865 59.34720456224777, 5.27456050353272 59.347173791650036)</t>
  </si>
  <si>
    <t>[1350796, 1350804]</t>
  </si>
  <si>
    <t>[1251069, 1251075]</t>
  </si>
  <si>
    <t>[1251061, 1251069]</t>
  </si>
  <si>
    <t>11.959658171308156</t>
  </si>
  <si>
    <t>[-0.001, -0.001, -0.001, -0.002]</t>
  </si>
  <si>
    <t>LINESTRING (5.27456050353272 59.347173791650036, 5.274536586512805 59.34715439201843, 5.274521367647339 59.34710823664128, 5.274553470110969 59.3470681859714, 5.274618122550733 59.347041122068866)</t>
  </si>
  <si>
    <t>[1350812, 1350820, 1350828, 1350836]</t>
  </si>
  <si>
    <t>[1176501, 1251083, 1251089, 1251095]</t>
  </si>
  <si>
    <t>[1251075, 1176501, 1251083, 1251089]</t>
  </si>
  <si>
    <t>[0.001, 0.001, 0.001, 0.002]</t>
  </si>
  <si>
    <t>17.403086269789654</t>
  </si>
  <si>
    <t>[-0.15, -0.01]</t>
  </si>
  <si>
    <t>LINESTRING (7.092423058598491 58.15740244651599, 7.092093052420348 58.15748118591815, 7.092010401239533 58.157521032834055)</t>
  </si>
  <si>
    <t>[2137547, 2137555]</t>
  </si>
  <si>
    <t>[1837082, 1837088]</t>
  </si>
  <si>
    <t>[1251253, 1837082]</t>
  </si>
  <si>
    <t>[0.15, 0.01]</t>
  </si>
  <si>
    <t>28.267803221207302</t>
  </si>
  <si>
    <t>[-0.15, -0.021]</t>
  </si>
  <si>
    <t>LINESTRING (7.092423058598491 58.15740244651599, 7.092046791347091 58.157400067959884, 7.091959437610275 58.157391570679685)</t>
  </si>
  <si>
    <t>[2137563, 2137571]</t>
  </si>
  <si>
    <t>[1837092, 1837095]</t>
  </si>
  <si>
    <t>[1251253, 1837092]</t>
  </si>
  <si>
    <t>[0.15, 0.021]</t>
  </si>
  <si>
    <t>27.60745620657851</t>
  </si>
  <si>
    <t>[-0.023, -0.053]</t>
  </si>
  <si>
    <t>LINESTRING (7.091529554687496 58.15757889781873, 7.091433865973541 58.15757348838708, 7.09109223192626 58.15757786767694)</t>
  </si>
  <si>
    <t>[2137587, 2137595]</t>
  </si>
  <si>
    <t>[1837106, 1251259]</t>
  </si>
  <si>
    <t>[1837105, 1837106]</t>
  </si>
  <si>
    <t>[0.023, 0.053]</t>
  </si>
  <si>
    <t>25.842478639690086</t>
  </si>
  <si>
    <t>[-0.015, -0.048]</t>
  </si>
  <si>
    <t>LINESTRING (7.091469295073501 58.15745056940313, 7.091383708127267 58.157485370895145, 7.09109223192626 58.15757786767694)</t>
  </si>
  <si>
    <t>[2137603, 2137611]</t>
  </si>
  <si>
    <t>[1837116, 1251259]</t>
  </si>
  <si>
    <t>[1837115, 1837116]</t>
  </si>
  <si>
    <t>[0.015, 0.048]</t>
  </si>
  <si>
    <t>26.43166142235214</t>
  </si>
  <si>
    <t>[-0.02, -0.018]</t>
  </si>
  <si>
    <t>LINESTRING (5.285931556945306 59.37490366117134, 5.285948107360831 59.374870576634734, 5.286082305819066 59.3747006652539)</t>
  </si>
  <si>
    <t>[1351152, 1351160]</t>
  </si>
  <si>
    <t>[1251303, 1251308]</t>
  </si>
  <si>
    <t>[1251302, 1251303]</t>
  </si>
  <si>
    <t>24.914866925986747</t>
  </si>
  <si>
    <t>[0.024, 0.037]</t>
  </si>
  <si>
    <t>LINESTRING (5.285931556945306 59.37490366117134, 5.286010429994476 59.37490054696092, 5.286086639888641 59.37491893663001)</t>
  </si>
  <si>
    <t>[1445633, 1445641]</t>
  </si>
  <si>
    <t>[1312371, 1312378]</t>
  </si>
  <si>
    <t>0.030706509985206198</t>
  </si>
  <si>
    <t>[1251302, 1312371]</t>
  </si>
  <si>
    <t>9.320531781248272</t>
  </si>
  <si>
    <t>[-0.025, -0.024, -0.028]</t>
  </si>
  <si>
    <t>LINESTRING (5.286082305819066 59.3747006652539, 5.28608767140141 59.37468207749394, 5.286142535703326 59.37452884692796, 5.286188681486506 59.37414797208956)</t>
  </si>
  <si>
    <t>[1445593, 1445601, 1445609]</t>
  </si>
  <si>
    <t>[1312337, 1312346, 1251314]</t>
  </si>
  <si>
    <t>[1251308, 1312337, 1312346]</t>
  </si>
  <si>
    <t>[0.025, 0.024, 0.028]</t>
  </si>
  <si>
    <t>62.25579249667484</t>
  </si>
  <si>
    <t>[-0.029, -0.03]</t>
  </si>
  <si>
    <t>LINESTRING (5.286086639888641 59.37491893663001, 5.286095335139553 59.37488267517867, 5.286082305819066 59.3747006652539)</t>
  </si>
  <si>
    <t>[1445882, 1445890]</t>
  </si>
  <si>
    <t>[1312555, 1251308]</t>
  </si>
  <si>
    <t>[1312378, 1312555]</t>
  </si>
  <si>
    <t>25.17009998529357</t>
  </si>
  <si>
    <t>[-0.036, -0.016]</t>
  </si>
  <si>
    <t>LINESTRING (5.286188681486506 59.37414797208956, 5.286103834585429 59.373950778491064, 5.286130229458887 59.3739084501253)</t>
  </si>
  <si>
    <t>[1351168, 1351176]</t>
  </si>
  <si>
    <t>[1251315, 1251321]</t>
  </si>
  <si>
    <t>[1251314, 1251315]</t>
  </si>
  <si>
    <t>[0.036, 0.016]</t>
  </si>
  <si>
    <t>27.960078032629966</t>
  </si>
  <si>
    <t>[-0.023, -0.04]</t>
  </si>
  <si>
    <t>LINESTRING (5.286188681486506 59.37414797208956, 5.286251316985826 59.37395553487869, 5.2862338394477755 59.37391171715342)</t>
  </si>
  <si>
    <t>[1445962, 1445970]</t>
  </si>
  <si>
    <t>[1312613, 1312437]</t>
  </si>
  <si>
    <t>[1251314, 1312613]</t>
  </si>
  <si>
    <t>[0.023, 0.04]</t>
  </si>
  <si>
    <t>27.259354481214487</t>
  </si>
  <si>
    <t>[-0.027, -0.033]</t>
  </si>
  <si>
    <t>LINESTRING (5.2862338394477755 59.37391171715342, 5.28617629311121 59.37391462591305, 5.286130229458887 59.3739084501253)</t>
  </si>
  <si>
    <t>[1445729, 1445737]</t>
  </si>
  <si>
    <t>[1312446, 1251321]</t>
  </si>
  <si>
    <t>[1312437, 1312446]</t>
  </si>
  <si>
    <t>6.015100041863892</t>
  </si>
  <si>
    <t>[0.0, -0.017, -0.014]</t>
  </si>
  <si>
    <t>4850.0</t>
  </si>
  <si>
    <t>LINESTRING (5.490184576990219 59.29576161889639, 5.490184576990219 59.29576161889639, 5.489022330421957 59.29789031790924, 5.488953740009687 59.29800713948799)</t>
  </si>
  <si>
    <t>[1351422, 1351430, 1351438]</t>
  </si>
  <si>
    <t>[1251495, 1251500, 1251504]</t>
  </si>
  <si>
    <t>[365076, 1251495, 1251500]</t>
  </si>
  <si>
    <t>[0.0, 0.017, 0.014]</t>
  </si>
  <si>
    <t>313.6743934158053</t>
  </si>
  <si>
    <t>[0.001, 0.039, -0.006, -0.026, -0.032, -0.013, -0.009, 0.023]</t>
  </si>
  <si>
    <t>LINESTRING (5.488953740009687 59.29800713948799, 5.485274575577297 59.30561275707321, 5.485214835193993 59.30565572693026, 5.478314943553174 59.30935484779711, 5.478275412617027 59.30937093594165, 5.473741394131581 59.311222498066044, 5.471129187969707 59.31288419133397, 5.468143337558133 59.31435789527122, 5.467099686023219 59.31468906722225)</t>
  </si>
  <si>
    <t>[2101861, 2101869, 2101877, 2101885, 2101886, 2101893, 2101900, 2101905]</t>
  </si>
  <si>
    <t>[1613118, 340188, 1816923, 1064638, 1816927, 1816930, 1816935, 1251541]</t>
  </si>
  <si>
    <t>[1251504, 1613118, 340188, 1816923, 1064638, 1816927, 1816930, 1816935]</t>
  </si>
  <si>
    <t>[0.001, 0.039, 0.006, 0.026, 0.032, 0.013, 0.009, 0.023]</t>
  </si>
  <si>
    <t>2344.6168318489936</t>
  </si>
  <si>
    <t>[0.005, -0.028, -0.004, -0.007, -0.011, -0.01, -0.012, 0.011]</t>
  </si>
  <si>
    <t>LINESTRING (5.477012876099307 59.28763817503209, 5.483585380064757 59.291816830787226, 5.4886877399518195 59.294788375021355, 5.4889115197456055 59.295558745452716, 5.488947354081347 59.295801773595144, 5.4889539022463305 59.29585263896729, 5.489016142234405 59.29660211953495, 5.48896598160594 59.29787305725375, 5.488953740009687 59.29800713948799)</t>
  </si>
  <si>
    <t>[2101797, 2101805, 2101813, 2101821, 2101829, 2101837, 2101845, 2101853]</t>
  </si>
  <si>
    <t>[1211280, 1211295, 1816886, 1816893, 687206, 1816902, 1816907, 1251504]</t>
  </si>
  <si>
    <t>[1792384, 1211280, 1211295, 1816886, 1816893, 687206, 1816902, 1816907]</t>
  </si>
  <si>
    <t>[0.005, 0.028, 0.004, 0.007, 0.011, 0.01, 0.012, 0.011]</t>
  </si>
  <si>
    <t>1440.2321767207584</t>
  </si>
  <si>
    <t>[0.0, 0.021, 0.023, 0.009, 0.007, 0.007]</t>
  </si>
  <si>
    <t>LINESTRING (5.46567417890237 59.31462614213359, 5.46567417890237 59.31462614213359, 5.465729075051917 59.3146039772318, 5.4667464246222135 59.31439512248077, 5.466937601431915 59.31453614423272, 5.467059461871698 59.31465266433917, 5.467099686023219 59.31468906722225)</t>
  </si>
  <si>
    <t>[1351446, 1351454, 1351462, 1351470, 1351478, 1351486]</t>
  </si>
  <si>
    <t>[1251509, 1251512, 1206088, 1251526, 1251534, 1251541]</t>
  </si>
  <si>
    <t>0.017078044706017658</t>
  </si>
  <si>
    <t>[1251508, 1251509, 1251512, 1206088, 1251526, 1251534]</t>
  </si>
  <si>
    <t>113.07884380262091</t>
  </si>
  <si>
    <t>[0.041, 0.06, 0.019, -0.013, -0.02, -0.002, -0.029, -0.071, -0.039, -0.066, -0.055, -0.048, 0.005, 0.026, 0.03, 0.027, 0.009, 0.001, -0.013, -0.167, -0.023, -0.046, -0.023, -0.01, -0.013, -0.015, -0.015, 0.033, 0.05, -0.05, -0.118, -0.139, -0.093, -0.031, -0.052, 0.093, 0.145, 0.159, 0.602, -0.012, -0.178, -0.128, -0.025, 0.006, 0.09, 0.037, 0.086, 0.029, -0.058, -0.011, 0.031, 0.017, -0.013, -0.041, -0.038, -0.038, -0.03, -0.029, -0.028, -0.017, -0.012, -0.011, 0.022, 0.01, -0.033, 0.008, 0.031, 0.054, 0.023, -0.037, -0.047, -0.058, -0.044, -0.035, -0.041, -0.041, -0.032, -0.022, -0.006, 0.014, -0.01, -0.081, -0.037, 0.01]</t>
  </si>
  <si>
    <t>3810.0</t>
  </si>
  <si>
    <t>[0, 0, 0, 0, 0, 0, 0, 0, 0, 0, 0, 0, 0, 0, 0, 0, 0, 0, 0, 0, 0, 0, 0, 0, 0, 0, 0, 0, 0, 0, 0, 0, 0, 0, 0, 0, 0, 0, 0, 0, 0, 0, 1, 0, 1, 0, 1, 0, 0, 0, 0, 0, 0, 0, 0, 0, 0, 0, 0, 0, 0, 0, 1, 0, 0, 1, 0, 1, 0, 0, 0, 1, 0, 0, 0, 0, 0, 0, 0, 0, 0, 0, 0, 0]</t>
  </si>
  <si>
    <t>LINESTRING (5.472942823443602 59.46453323359907, 5.472201739172504 59.46503718066198, 5.471973485606875 59.4652972717716, 5.467547035098191 59.4693613506991, 5.465748349159133 59.47001218484669, 5.464192886413057 59.47031139876063, 5.4599599457483485 59.47163157865732, 5.458686057538882 59.47389490364708, 5.459621560975469 59.47709799321066, 5.460974280852836 59.48007270734887, 5.460965194947132 59.48011106969464, 5.460925561585789 59.48023023616587, 5.460476258008012 59.48082387501401, 5.459397658283046 59.48169043300086, 5.458221328864477 59.48260288599569, 5.456962031943963 59.483382422757614, 5.454708137776236 59.48426226947612, 5.44410709478105 59.48735318596713, 5.434432050421662 59.49666976910972, 5.434137534702062 59.49731913870857, 5.4341005786814796 59.497418346761684, 5.434280611206622 59.50090697502905, 5.434561211001197 59.5022099168931, 5.43507249906386 59.50291210001716, 5.435094025837225 59.50293462062843, 5.43514910902139 59.50298586633392, 5.435747871316875 59.50345912816063, 5.436114887950881 59.50368667166471, 5.437088713224043 59.50436148812294, 5.438069065057814 59.50563149502776, 5.438189464878435 59.506314510232514, 5.438190370393496 59.50637257053429, 5.4381903209927565 59.50639722361571, 5.438097522598752 59.50681077053142, 5.438051993052562 59.50691800926626, 5.437862107675758 59.50744154606785, 5.437819506072957 59.50760436325986, 5.437736415697886 59.50873997475309, 5.437742750981341 59.508774845932486, 5.437743150530962 59.50877793151326, 5.438381274823336 59.51045285633783, 5.438386141351995 59.51046147950422, 5.438893564263626 59.51143281477557, 5.4390632912165415 59.511890006908565, 5.438697419763288 59.51364650274504, 5.438668863955722 59.513679830638104, 5.429508216635498 59.5180599756038, 5.4294640731219665 59.51809443877062, 5.427749256186046 59.519927048143956, 5.427084887162434 59.52158932371194, 5.426235842444686 59.52387583991338, 5.425445741809784 59.52468035527417, 5.422918238929933 59.53035365245355, 5.4226811814986435 59.531030690329786, 5.422670368464039 59.53105098646554, 5.422665756621915 59.53105963349779, 5.422544567336314 59.531260888709156, 5.422295994310501 59.531693720314024, 5.42228292845237 59.531722069174315, 5.42226022430319 59.53177133442295, 5.422030036726867 59.532390966114754, 5.421935819472482 59.533176119672056, 5.4205822179638545 59.538044084153064, 5.420578586720881 59.53808224444299, 5.420578030853666 59.53878256168162, 5.421690721065341 59.541429469357354, 5.421695690567054 59.54146607679334, 5.421093114368399 59.543853751807895, 5.421080866371573 59.54391670185706, 5.421518649100903 59.54602565534932, 5.421731058141321 59.54681865881741, 5.421743402459377 59.54695179198674, 5.421732159165698 59.54702646247255, 5.421629094087837 59.547423462870576, 5.421607799297543 59.54747223609954, 5.42159646866684 59.5474969248916, 5.421313247468324 59.548004576675815, 5.421252296968153 59.54807488873136, 5.420523031106452 59.54888038876241, 5.420154051769696 59.55413214686489, 5.42094224261623 59.55682259963358, 5.4195709045758 59.55915313344418, 5.418616149348433 59.55978633472211, 5.417723916313187 59.560225503201785, 5.416862484742675 59.560604343579364)</t>
  </si>
  <si>
    <t>[2102693, 2102712, 2102720, 2102722, 2102723, 2102733, 2102734, 2102741, 2102742, 2102751, 2102752, 2102778, 2102786, 2102794, 2102802, 2102810, 2102811, 2102818, 2102824, 2102832, 2058880, 2058888, 2058896, 2058904, 2058912, 2058919, 2058936, 2058948, 2058956, 2058964, 2058965, 2058973, 2058981, 2059000, 2059008, 2059016, 2059024, 2059031, 2059034, 2059040, 2059048, 2059068, 2059085, 2059093, 2059104, 2059115, 2059116, 2059120, 2059121, 2059127, 2059135, 2059147, 2059155, 2059163, 2059171, 2059179, 2059187, 2059195, 2059203, 2059211, 2059219, 2059227, 2059235, 2059243, 2059251, 2059259, 2059267, 2059275, 2059290, 2059298, 2059317, 2059333, 2059351, 2059367, 2059375, 2059383, 2059391, 2059392, 2059409, 2059423, 2059431, 2059432, 2059439, 2059455]</t>
  </si>
  <si>
    <t>[966454, 1817404, 321184, 380953, 1206307, 456316, 1244939, 236352, 236287, 1817431, 1238307, 343348, 1238390, 1244910, 1252815, 1282818, 1224676, 1605651, 1605667, 1790291, 1790292, 1790296, 1790301, 1790305, 1790310, 1790315, 1790321, 1790330, 1790338, 1790344, 1790345, 1790349, 1790354, 1790366, 1790371, 1790376, 1790383, 1790387, 1790388, 1790391, 1790398, 1790414, 1790426, 1790430, 1790439, 1790447, 1790448, 1790452, 1790453, 1790457, 1790463, 1790470, 1790476, 1790482, 1790487, 1790493, 1790499, 1790505, 1790510, 1790515, 1790521, 1790525, 1790531, 1790535, 1790540, 1790545, 1790555, 1790561, 1790573, 1790579, 1790589, 1790599, 1790612, 1790630, 1790634, 1790638, 1790646, 1790647, 1790662, 1790673, 1790678, 1790679, 1790685, 1790694]</t>
  </si>
  <si>
    <t>[1251681, 966454, 1817404, 321184, 380953, 1206307, 456316, 1244939, 236352, 236287, 1817431, 1238307, 343348, 1238390, 1244910, 1252815, 1282818, 1224676, 1605651, 1605667, 1790291, 1790292, 1790296, 1790301, 1790305, 1790310, 1790315, 1790321, 1790330, 1790338, 1790344, 1790345, 1790349, 1790354, 1790366, 1790371, 1790376, 1790383, 1790387, 1790388, 1790391, 1790398, 1790414, 1790426, 1790430, 1790439, 1790447, 1790448, 1790452, 1790453, 1790457, 1790463, 1790470, 1790476, 1790482, 1790487, 1790493, 1790499, 1790505, 1790510, 1790515, 1790521, 1790525, 1790531, 1790535, 1790540, 1790545, 1790555, 1790561, 1790573, 1790579, 1790589, 1790599, 1790612, 1790630, 1790634, 1790638, 1790646, 1790647, 1790662, 1790673, 1790678, 1790679, 1790685]</t>
  </si>
  <si>
    <t>[0.041, 0.06, 0.019, 0.013, 0.02, 0.002, 0.029, 0.071, 0.039, 0.066, 0.055, 0.048, 0.005, 0.026, 0.03, 0.027, 0.009, 0.001, 0.013, 0.167, 0.023, 0.046, 0.023, 0.01, 0.013, 0.015, 0.015, 0.033, 0.05, 0.05, 0.118, 0.139, 0.093, 0.031, 0.052, 0.093, 0.145, 0.159, 0.602, 0.012, 0.178, 0.128, 0.025, 0.006, 0.09, 0.037, 0.086, 0.029, 0.058, 0.011, 0.031, 0.017, 0.013, 0.041, 0.038, 0.038, 0.03, 0.029, 0.028, 0.017, 0.012, 0.011, 0.022, 0.01, 0.033, 0.008, 0.031, 0.054, 0.023, 0.037, 0.047, 0.058, 0.044, 0.035, 0.041, 0.041, 0.032, 0.022, 0.006, 0.014, 0.01, 0.081, 0.037, 0.01]</t>
  </si>
  <si>
    <t>12384.544527916252</t>
  </si>
  <si>
    <t>LINESTRING (5.7207400995169895 58.87381353464627, 5.720736056072825 58.87377151967558, 5.720849986794098 58.87368739917896)</t>
  </si>
  <si>
    <t>[1352079, 1352087]</t>
  </si>
  <si>
    <t>[1251887, 1251827]</t>
  </si>
  <si>
    <t>0.00014528840874314768</t>
  </si>
  <si>
    <t>[1251880, 1251887]</t>
  </si>
  <si>
    <t>16.49851517525477</t>
  </si>
  <si>
    <t>[-0.011, -0.017, -0.013, 0.001]</t>
  </si>
  <si>
    <t>LINESTRING (5.721113600921702 58.873728505330455, 5.721223494671511 58.873751790612296, 5.723325312478979 58.873944780448284, 5.724058644220336 58.873932272234285, 5.72416875289156 58.873914761196794)</t>
  </si>
  <si>
    <t>[1435806, 1435814, 1435822, 1435830]</t>
  </si>
  <si>
    <t>[1305596, 1305602, 1305608, 1251897]</t>
  </si>
  <si>
    <t>[1251840, 1305596, 1305602, 1305608]</t>
  </si>
  <si>
    <t>[0.011, 0.017, 0.013, 0.001]</t>
  </si>
  <si>
    <t>180.01573864827725</t>
  </si>
  <si>
    <t>[0.001, -0.002, -0.004, -0.004]</t>
  </si>
  <si>
    <t>LINESTRING (5.72416875289156 58.873914761196794, 5.724223580513325 58.87389912142575, 5.7243278995965 58.87390033960392, 5.724395513504912 58.873923497816364, 5.724435041245335 58.87396711461045)</t>
  </si>
  <si>
    <t>[1352095, 1352103, 1352111, 1352119]</t>
  </si>
  <si>
    <t>[1248561, 1251902, 1251908, 1251914]</t>
  </si>
  <si>
    <t>[1251897, 1248561, 1251902, 1251908]</t>
  </si>
  <si>
    <t>[0.001, 0.002, 0.004, 0.004]</t>
  </si>
  <si>
    <t>19.73419172038909</t>
  </si>
  <si>
    <t>35.80578073998818</t>
  </si>
  <si>
    <t>[-0.01, -0.009]</t>
  </si>
  <si>
    <t>LINESTRING (13.613151350638816 68.14399949799206, 13.613230145423259 68.14401513938151, 13.613919136594175 68.1441513725422)</t>
  </si>
  <si>
    <t>[1353036, 1353044]</t>
  </si>
  <si>
    <t>[1252605, 1252611]</t>
  </si>
  <si>
    <t>[1252604, 1252605]</t>
  </si>
  <si>
    <t>36.11480481328142</t>
  </si>
  <si>
    <t>LINESTRING (13.613372133205996 68.14389989259723, 13.61329421320805 68.14395879022274, 13.613151350638816 68.14399949799206)</t>
  </si>
  <si>
    <t>[1353084, 1353092]</t>
  </si>
  <si>
    <t>[1252637, 1252604]</t>
  </si>
  <si>
    <t>0.012010169147869705</t>
  </si>
  <si>
    <t>[1252632, 1252637]</t>
  </si>
  <si>
    <t>14.793519816792935</t>
  </si>
  <si>
    <t>[-0.006, -0.004]</t>
  </si>
  <si>
    <t>LINESTRING (13.613372133205996 68.14389989259723, 13.613435660875604 68.14392876400106, 13.613919136594175 68.1441513725422)</t>
  </si>
  <si>
    <t>[1353156, 1353164]</t>
  </si>
  <si>
    <t>[1252690, 1252611]</t>
  </si>
  <si>
    <t>[1252632, 1252690]</t>
  </si>
  <si>
    <t>36.09277508372593</t>
  </si>
  <si>
    <t>[-0.016, -0.013, -0.007, 0.003]</t>
  </si>
  <si>
    <t>LINESTRING (13.612815644846702 68.14373282084502, 13.613110923364935 68.14372649286827, 13.613244948476272 68.14375366699139, 13.613336759358798 68.14379579224672, 13.613372133205996 68.14389989259723)</t>
  </si>
  <si>
    <t>[1353052, 1353060, 1353068, 1353076]</t>
  </si>
  <si>
    <t>[688520, 1252622, 688556, 1252632]</t>
  </si>
  <si>
    <t>[1252616, 688520, 1252622, 688556]</t>
  </si>
  <si>
    <t>[0.016, 0.013, 0.007, 0.003]</t>
  </si>
  <si>
    <t>36.803292861313565</t>
  </si>
  <si>
    <t>[-0.009, -0.015]</t>
  </si>
  <si>
    <t>LINESTRING (13.612604605155855 68.14383293772424, 13.612689557816344 68.14377082487536, 13.612815644846702 68.14373282084502)</t>
  </si>
  <si>
    <t>[1353108, 1353116]</t>
  </si>
  <si>
    <t>[1252652, 1252616]</t>
  </si>
  <si>
    <t>[1252648, 1252652]</t>
  </si>
  <si>
    <t>14.510740057562993</t>
  </si>
  <si>
    <t>LINESTRING (13.611907915792312 68.14353254459091, 13.612738683886205 68.14371713181043, 13.612815644846702 68.14373282084502)</t>
  </si>
  <si>
    <t>[1353140, 1353148]</t>
  </si>
  <si>
    <t>[1252682, 1252616]</t>
  </si>
  <si>
    <t>[1252664, 1252682]</t>
  </si>
  <si>
    <t>43.83105291808406</t>
  </si>
  <si>
    <t>LINESTRING (13.611907915792312 68.14353254459091, 13.612540327151926 68.14380455311586, 13.612604605155855 68.14383293772424)</t>
  </si>
  <si>
    <t>[1353124, 1353132]</t>
  </si>
  <si>
    <t>[1252665, 1252648]</t>
  </si>
  <si>
    <t>[1252664, 1252665]</t>
  </si>
  <si>
    <t>44.26799284877764</t>
  </si>
  <si>
    <t>7.102667808230127</t>
  </si>
  <si>
    <t>[-0.108, 0.121, 0.128, 0.125, 0.232]</t>
  </si>
  <si>
    <t>LINESTRING (6.680420268021328 58.29865177308639, 6.6795011473408 58.29928411689548, 6.679510938136023 58.299834295797304, 6.679519757399765 58.29995893528335, 6.679538093552029 58.30009821346061, 6.679509202141928 58.30023205150249)</t>
  </si>
  <si>
    <t>[2136978, 2136986, 2136994, 2137002, 2137010]</t>
  </si>
  <si>
    <t>[1836807, 1836813, 1836819, 1836823, 1253113]</t>
  </si>
  <si>
    <t>0.02097152895294492</t>
  </si>
  <si>
    <t>[1447922, 1836807, 1836813, 1836819, 1836823]</t>
  </si>
  <si>
    <t>[0.108, 0.121, 0.128, 0.125, 0.232]</t>
  </si>
  <si>
    <t>202.38646385212226</t>
  </si>
  <si>
    <t>[0.159, 0.172, -0.011, -0.249, -0.226, -0.118, 0.004, 0.005, 0.292, 0.251, 0.19, 0.207, 0.142, -0.019, -0.235, 0.015, 0.102, -0.03, -0.178, -0.234, -0.193]</t>
  </si>
  <si>
    <t>[0, 0, 0, 0, 0, 1, 0, 0, 1, 0, 1, 0, 0, 0, 0, 0, 0, 0, 0, 0, 0]</t>
  </si>
  <si>
    <t>LINESTRING (6.679525800939522 58.30029505691269, 6.679636894444782 58.3006433664337, 6.679714362272754 58.30083752526549, 6.6834905059825935 58.30900453034825, 6.683459529685641 58.30911630287903, 6.683191127835425 58.309706810426775, 6.682905795544452 58.31011309983133, 6.682304459350806 58.310713666323835, 6.6793626405902105 58.31280016553438, 6.679281661943279 58.312856301843986, 6.67833500142704 58.31351500805728, 6.678251155437939 58.313573609289996, 6.677374963850216 58.31417515175398, 6.677319203711542 58.31421201083601, 6.6692216422527295 58.31961652391218, 6.669119323015327 58.31969251824292, 6.663840331782319 58.32388598781323, 6.663790491806926 58.323980023947655, 6.658302353732405 58.330653956933574, 6.658255516842179 58.33069971631091, 6.658184232825321 58.33077113519059, 6.657902064489113 58.331089269332324)</t>
  </si>
  <si>
    <t>[1353756, 1353788, 1353796, 1353804, 1353812, 1353820, 1353828, 1353836, 1353844, 1353860, 1353868, 1353876, 1353884, 1353892, 1353900, 1353910, 1353918, 1353926, 1353934, 1353942, 1353950]</t>
  </si>
  <si>
    <t>[1253121, 1253136, 1253142, 1253147, 1253151, 1253158, 1253165, 1253170, 1253175, 1253185, 1253189, 1253198, 1253204, 1253208, 1253214, 1253221, 1253226, 1253230, 1253235, 1253242, 1253247]</t>
  </si>
  <si>
    <t>[1253118, 1253121, 1253136, 1253142, 1253147, 1253151, 1253158, 1253165, 1253170, 1253175, 1253185, 1253189, 1253198, 1253204, 1253208, 1253214, 1253221, 1253226, 1253230, 1253235, 1253242]</t>
  </si>
  <si>
    <t>[0.159, 0.172, 0.011, 0.249, 0.226, 0.118, 0.004, 0.005, 0.292, 0.251, 0.19, 0.207, 0.142, 0.019, 0.235, 0.015, 0.102, 0.03, 0.178, 0.234, 0.193]</t>
  </si>
  <si>
    <t>3940.5463408929245</t>
  </si>
  <si>
    <t>[-0.283, -0.274, -0.213, 0.062, 0.299, 0.241, 0.081]</t>
  </si>
  <si>
    <t>LINESTRING (6.8454847647400605 58.26521409497636, 6.845496233386252 58.26519360070119, 6.845591473840674 58.265142485107695, 6.845753307599031 58.26514087769686, 6.845849652780112 58.26527437753388, 6.845747440485707 58.26532691332817, 6.845597629544832 58.26532613487541, 6.845531246654063 58.26530148002418)</t>
  </si>
  <si>
    <t>[1353913, 1353914, 1353921, 1353929, 1353937, 1353943, 1353951]</t>
  </si>
  <si>
    <t>[1253190, 1253224, 1253209, 1253232, 1253237, 1253243, 1253152]</t>
  </si>
  <si>
    <t>0.01925328998293192</t>
  </si>
  <si>
    <t>[1253166, 1253190, 1253224, 1253209, 1253232, 1253237, 1253243]</t>
  </si>
  <si>
    <t>[0.283, 0.274, 0.213, 0.062, 0.299, 0.241, 0.081]</t>
  </si>
  <si>
    <t>59.386936939027755</t>
  </si>
  <si>
    <t>[-0.055, -0.058, -0.056]</t>
  </si>
  <si>
    <t>LINESTRING (6.657902064489113 58.331089269332324, 6.657309340577979 58.33214307922032, 6.657197741650299 58.332820808223524, 6.657197814883882 58.33289186629505)</t>
  </si>
  <si>
    <t>[1353958, 1353959, 1353966]</t>
  </si>
  <si>
    <t>[1253252, 1253253, 1253255]</t>
  </si>
  <si>
    <t>[1253247, 1253252, 1253253]</t>
  </si>
  <si>
    <t>[0.055, 0.058, 0.056]</t>
  </si>
  <si>
    <t>206.97688342119247</t>
  </si>
  <si>
    <t>[0.021, 0.27]</t>
  </si>
  <si>
    <t>LINESTRING (6.657009021522936 58.332843246302986, 6.657623816144916 58.33131840392494, 6.657902064489113 58.331089269332324)</t>
  </si>
  <si>
    <t>[2137250, 2137258]</t>
  </si>
  <si>
    <t>[1836955, 1253247]</t>
  </si>
  <si>
    <t>0.057652991635595056</t>
  </si>
  <si>
    <t>[1253654, 1836955]</t>
  </si>
  <si>
    <t>206.2481690178058</t>
  </si>
  <si>
    <t>109.85031415971079</t>
  </si>
  <si>
    <t>11.8333500843936</t>
  </si>
  <si>
    <t>12.69680422256597</t>
  </si>
  <si>
    <t>[1.085, -0.132]</t>
  </si>
  <si>
    <t>LINESTRING (6.657341608557276 58.3338727130347, 6.657261518354753 58.333740203978756, 6.657012873643167 58.33292968727875)</t>
  </si>
  <si>
    <t>[2137418, 2137426]</t>
  </si>
  <si>
    <t>[1837025, 1253664]</t>
  </si>
  <si>
    <t>0.041880662672988074</t>
  </si>
  <si>
    <t>[1253262, 1837025]</t>
  </si>
  <si>
    <t>[1.085, 0.132]</t>
  </si>
  <si>
    <t>108.66804844759771</t>
  </si>
  <si>
    <t>[0.0, -0.433]</t>
  </si>
  <si>
    <t>LINESTRING (6.656396286873592 58.33280407536822, 6.656396286873592 58.33280407536822, 6.657009021522936 58.332843246302986)</t>
  </si>
  <si>
    <t>[2137234, 2137242]</t>
  </si>
  <si>
    <t>[1836946, 1253654]</t>
  </si>
  <si>
    <t>[1117432, 1836946]</t>
  </si>
  <si>
    <t>[0.0, 0.433]</t>
  </si>
  <si>
    <t>41.191391524562334</t>
  </si>
  <si>
    <t>[0.462, 0.082]</t>
  </si>
  <si>
    <t>LINESTRING (6.657012873643167 58.33292968727875, 6.6564246697504155 58.33288439258519, 6.656345468109591 58.33288379541403)</t>
  </si>
  <si>
    <t>[2137434, 2137442]</t>
  </si>
  <si>
    <t>[1837033, 1117438]</t>
  </si>
  <si>
    <t>0.417428658730493</t>
  </si>
  <si>
    <t>[1253664, 1837033]</t>
  </si>
  <si>
    <t>39.66170061388532</t>
  </si>
  <si>
    <t>[-0.368, -0.461, -0.119, -0.006, 0.024]</t>
  </si>
  <si>
    <t>[0, 1, 1, 0, 1]</t>
  </si>
  <si>
    <t>LINESTRING (6.8285731545571045 58.26981068401135, 6.823562517274481 58.27245204959787, 6.8232353001874895 58.272623794942895, 6.820019374511405 58.27431948614019, 6.8145408002055605 58.27617687825446, 6.810465082038693 58.27616535785904)</t>
  </si>
  <si>
    <t>[1354927, 1354935, 1354936, 1354944, 1354945]</t>
  </si>
  <si>
    <t>[1253820, 1253825, 1253826, 1253831, 1253832]</t>
  </si>
  <si>
    <t>[1253742, 1253820, 1253825, 1253826, 1253831]</t>
  </si>
  <si>
    <t>[0.368, 0.461, 0.119, 0.006, 0.024]</t>
  </si>
  <si>
    <t>1343.1550414993685</t>
  </si>
  <si>
    <t>LINESTRING (9.8358962635224 63.29726985501922, 9.83576292061564 63.29734341720238, 9.835648346722428 63.297357392056874, 9.835531470166796 63.29734843145417, 9.835401465819457 63.29729831054062)</t>
  </si>
  <si>
    <t>[1354894, 1354900, 1354908, 1354930]</t>
  </si>
  <si>
    <t>[1253794, 1253800, 1253806, 1253821]</t>
  </si>
  <si>
    <t>0.0012744677075737833</t>
  </si>
  <si>
    <t>[1253793, 1253794, 1253800, 1253806]</t>
  </si>
  <si>
    <t>31.297858416496837</t>
  </si>
  <si>
    <t>LINESTRING (9.83586196365759 63.29716683787956, 9.835904612631913 63.297216636778856, 9.8358962635224 63.29726985501922)</t>
  </si>
  <si>
    <t>[1355004, 1355012]</t>
  </si>
  <si>
    <t>[1253881, 1253793]</t>
  </si>
  <si>
    <t>[1253875, 1253881]</t>
  </si>
  <si>
    <t>11.900619141116744</t>
  </si>
  <si>
    <t>[0.002, -0.0]</t>
  </si>
  <si>
    <t>LINESTRING (9.835401465819457 63.29729831054062, 9.835363556442692 63.29724773002124, 9.835377203899998 63.29719474027889)</t>
  </si>
  <si>
    <t>[1354931, 1354947]</t>
  </si>
  <si>
    <t>[1253822, 1253835]</t>
  </si>
  <si>
    <t>0.0010003289191073312</t>
  </si>
  <si>
    <t>[1253821, 1253822]</t>
  </si>
  <si>
    <t>11.901119892466657</t>
  </si>
  <si>
    <t>[-0.003, -0.002, -0.002, -0.001]</t>
  </si>
  <si>
    <t>LINESTRING (9.835377203899998 63.29719474027889, 9.835532044962408 63.297121041860215, 9.835649198896572 63.29711240595613, 9.835763646473652 63.29712654132987, 9.83586196365759 63.29716683787956)</t>
  </si>
  <si>
    <t>[1354963, 1354964, 1354972, 1354996]</t>
  </si>
  <si>
    <t>[1253848, 1253849, 1253854, 1253875]</t>
  </si>
  <si>
    <t>[1253835, 1253848, 1253849, 1253854]</t>
  </si>
  <si>
    <t>[0.003, 0.002, 0.002, 0.001]</t>
  </si>
  <si>
    <t>30.15860820999228</t>
  </si>
  <si>
    <t>[0.039, 0.016]</t>
  </si>
  <si>
    <t>LINESTRING (5.429968554555345 60.14880116753014, 5.42992880390514 60.14887015520527, 5.429722567287908 60.14902093814019)</t>
  </si>
  <si>
    <t>[1356268, 1356276]</t>
  </si>
  <si>
    <t>[1254828, 1254835]</t>
  </si>
  <si>
    <t>0.022139624312259944</t>
  </si>
  <si>
    <t>[1254827, 1254828]</t>
  </si>
  <si>
    <t>30.049782918091417</t>
  </si>
  <si>
    <t>[-0.035, -0.072]</t>
  </si>
  <si>
    <t>LINESTRING (5.429968554555345 60.14880116753014, 5.429806488225766 60.14881607466641, 5.42968592356629 60.14879498531551)</t>
  </si>
  <si>
    <t>[1356703, 1356743]</t>
  </si>
  <si>
    <t>[1255112, 1254850]</t>
  </si>
  <si>
    <t>[1254827, 1255112]</t>
  </si>
  <si>
    <t>[0.035, 0.072]</t>
  </si>
  <si>
    <t>16.301576045550323</t>
  </si>
  <si>
    <t>[0.036, 0.04, 0.063, 0.043]</t>
  </si>
  <si>
    <t>LINESTRING (5.429950806190232 60.14855790887418, 5.430053011086926 60.14860362298265, 5.430107724589452 60.14865974707842, 5.430092205410285 60.148725400958185, 5.429968554555345 60.14880116753014)</t>
  </si>
  <si>
    <t>[1356656, 1356663, 1356664, 1356679]</t>
  </si>
  <si>
    <t>[1255016, 1255084, 1255044, 1254827]</t>
  </si>
  <si>
    <t>0.04521238646819504</t>
  </si>
  <si>
    <t>[1254963, 1255016, 1255084, 1255044]</t>
  </si>
  <si>
    <t>33.124031695996656</t>
  </si>
  <si>
    <t>[0.034, 0.03, 0.046, 0.025, 0.022, 0.052, -0.007, 0.023, 0.05, 0.051, -0.011, -0.017, -0.016, 0.024, 0.035, 0.037, 0.02, 0.058, -0.02, 0.088, 0.097, 0.058, 0.071, -0.012, 0.009, -0.087, 0.045]</t>
  </si>
  <si>
    <t>8657.0</t>
  </si>
  <si>
    <t>LINESTRING (5.429722567287908 60.14902093814019, 5.429063995547812 60.15029879923858, 5.430615504563476 60.151847975792776, 5.431089549299045 60.15205252938302, 5.431737993077912 60.152486327200485, 5.432243052957385 60.15306603934838, 5.434031671952718 60.15467055190306, 5.434042042693638 60.154677873059114, 5.435253372653336 60.155895012125676, 5.435414936301642 60.15674327227075, 5.435413938756524 60.15675224291957, 5.437548433994537 60.161986756937154, 5.437553698273429 60.161995351655435, 5.439023018298799 60.164270183443705, 5.441262370610095 60.16648678426728, 5.441267453615148 60.16649538365303, 5.441378976617828 60.16672770246403, 5.443141969882412 60.16947423298786, 5.443150871190182 60.16948200686034, 5.444937914093802 60.17085142035856, 5.445009681771515 60.17090999712171, 5.445124461996579 60.17099521570761, 5.4466660150702575 60.17205881040455, 5.44667636872187 60.172066092763444, 5.446961848175245 60.172266701459705, 5.450180977462433 60.17752673531333, 5.450582386384849 60.177990091962926, 5.450990075264505 60.17850082840596)</t>
  </si>
  <si>
    <t>[1356284, 2061720, 2061728, 2061736, 2061744, 2061752, 2061760, 2061768, 2061776, 2061784, 2061792, 2061800, 2061808, 2061816, 2061824, 2061832, 2061840, 2061848, 2061856, 2061864, 2061872, 2061880, 2061888, 2061896, 2061904, 2061912, 2061920]</t>
  </si>
  <si>
    <t>[1254841, 1724252, 1792262, 1679749, 1792270, 1792276, 1792281, 1679774, 1792294, 1792299, 1792304, 1792308, 1679766, 1792320, 1792324, 1792329, 1792334, 1792339, 1792343, 1792348, 1792355, 1792361, 1792368, 1724270, 1792378, 1792383, 1754129]</t>
  </si>
  <si>
    <t>0.013397918855996881</t>
  </si>
  <si>
    <t>[1254835, 1254841, 1724252, 1792262, 1679749, 1792270, 1792276, 1792281, 1679774, 1792294, 1792299, 1792304, 1792308, 1679766, 1792320, 1792324, 1792329, 1792334, 1792339, 1792343, 1792348, 1792355, 1792361, 1792368, 1724270, 1792378, 1792383]</t>
  </si>
  <si>
    <t>[0.034, 0.03, 0.046, 0.025, 0.022, 0.052, 0.007, 0.023, 0.05, 0.051, 0.011, 0.017, 0.016, 0.024, 0.035, 0.037, 0.02, 0.058, 0.02, 0.088, 0.097, 0.058, 0.071, 0.012, 0.009, 0.087, 0.045]</t>
  </si>
  <si>
    <t>3597.202622677869</t>
  </si>
  <si>
    <t>[0.05, 0.054, 0.058]</t>
  </si>
  <si>
    <t>LINESTRING (5.42968592356629 60.14879498531551, 5.4296728254730935 60.14883951854685, 5.429670749703374 60.14888036085914, 5.429722567287908 60.14902093814019)</t>
  </si>
  <si>
    <t>[1356292, 1356300, 1356308]</t>
  </si>
  <si>
    <t>[1254851, 1254859, 1254835]</t>
  </si>
  <si>
    <t>0.05580647547540162</t>
  </si>
  <si>
    <t>[1254850, 1254851, 1254859]</t>
  </si>
  <si>
    <t>26.670803228701377</t>
  </si>
  <si>
    <t>6.839805626074529</t>
  </si>
  <si>
    <t>[-0.08, -0.087, -0.088]</t>
  </si>
  <si>
    <t>LINESTRING (5.429322487651827 60.14868311698062, 5.428403608206121 60.14807776152847, 5.42828506344138 60.148023086119544, 5.427344374168978 60.14760237103815)</t>
  </si>
  <si>
    <t>[1356316, 1356324, 1356348]</t>
  </si>
  <si>
    <t>[1254870, 1254877, 1254886]</t>
  </si>
  <si>
    <t>[1254869, 1254870, 1254877]</t>
  </si>
  <si>
    <t>[0.08, 0.087, 0.088]</t>
  </si>
  <si>
    <t>167.21636346719976</t>
  </si>
  <si>
    <t>[-0.027, -0.028]</t>
  </si>
  <si>
    <t>LINESTRING (5.429591870644289 60.14862933506759, 5.4295263755318555 60.14864398490717, 5.429322487651827 60.14868311698062)</t>
  </si>
  <si>
    <t>[1356639, 1356640]</t>
  </si>
  <si>
    <t>[1255075, 1254869]</t>
  </si>
  <si>
    <t>[1255074, 1255075]</t>
  </si>
  <si>
    <t>[0.027, 0.028]</t>
  </si>
  <si>
    <t>16.172746149244315</t>
  </si>
  <si>
    <t>[-0.073, -0.07]</t>
  </si>
  <si>
    <t>LINESTRING (5.429603554621211 60.14874960484694, 5.42953962523706 60.14873331387995, 5.429322487651827 60.14868311698062)</t>
  </si>
  <si>
    <t>[1356647, 1356655]</t>
  </si>
  <si>
    <t>[1255079, 1254869]</t>
  </si>
  <si>
    <t>[1255078, 1255079]</t>
  </si>
  <si>
    <t>[0.073, 0.07]</t>
  </si>
  <si>
    <t>17.336199750668357</t>
  </si>
  <si>
    <t>11.873185124471936</t>
  </si>
  <si>
    <t>11.71557339581245</t>
  </si>
  <si>
    <t>[-0.004, 0.014]</t>
  </si>
  <si>
    <t>LINESTRING (5.427371390923754 60.147498406849, 5.42729511544052 60.147525942927885, 5.427204773795491 60.147522103406445)</t>
  </si>
  <si>
    <t>[1356543, 1356544]</t>
  </si>
  <si>
    <t>[1255012, 1254887]</t>
  </si>
  <si>
    <t>0.004829553675632925</t>
  </si>
  <si>
    <t>[1254897, 1255012]</t>
  </si>
  <si>
    <t>10.299363272208847</t>
  </si>
  <si>
    <t>[0.067, 0.042]</t>
  </si>
  <si>
    <t>LINESTRING (5.429588214075991 60.148320725251764, 5.42969051512919 60.14850741495537, 5.429662338810821 60.14857899181957)</t>
  </si>
  <si>
    <t>[1356380, 1356388]</t>
  </si>
  <si>
    <t>[1254914, 1254917]</t>
  </si>
  <si>
    <t>0.06024232637019151</t>
  </si>
  <si>
    <t>[1254913, 1254914]</t>
  </si>
  <si>
    <t>30.156917988888424</t>
  </si>
  <si>
    <t>[-0.064, -0.056, -0.016, 0.024]</t>
  </si>
  <si>
    <t>LINESTRING (5.429588214075991 60.148320725251764, 5.429556090231264 60.14820397519424, 5.427561875001438 60.1464239427137, 5.42704825999929 60.145964617378546, 5.426919543715513 60.14577333015911)</t>
  </si>
  <si>
    <t>[1356937, 1356945, 1356953, 2030067]</t>
  </si>
  <si>
    <t>[1255275, 1255279, 1255287, 1254924]</t>
  </si>
  <si>
    <t>[1254913, 1255275, 1255279, 1255287]</t>
  </si>
  <si>
    <t>[0.064, 0.056, 0.016, 0.024]</t>
  </si>
  <si>
    <t>322.8541590088056</t>
  </si>
  <si>
    <t>[0.0, 0.081]</t>
  </si>
  <si>
    <t>LINESTRING (5.429428771644715 60.14823405790537, 5.429428771644715 60.14823405790537, 5.429588214075991 60.148320725251764)</t>
  </si>
  <si>
    <t>[1356908, 1356916]</t>
  </si>
  <si>
    <t>[1255253, 1254913]</t>
  </si>
  <si>
    <t>0.02168168518281195</t>
  </si>
  <si>
    <t>[1255254, 1255253]</t>
  </si>
  <si>
    <t>49.0998858413552</t>
  </si>
  <si>
    <t>[0.027, 0.058]</t>
  </si>
  <si>
    <t>LINESTRING (5.429662338810821 60.14857899181957, 5.4297964815693955 60.148548836638724, 5.429950806190232 60.14855790887418)</t>
  </si>
  <si>
    <t>[1356812, 1356813]</t>
  </si>
  <si>
    <t>[1255181, 1254963]</t>
  </si>
  <si>
    <t>0.04292248730888529</t>
  </si>
  <si>
    <t>[1254917, 1255181]</t>
  </si>
  <si>
    <t>16.85722778700445</t>
  </si>
  <si>
    <t>6.860704482577347</t>
  </si>
  <si>
    <t>[-0.083, 0.04, 0.044, 0.037, 0.053]</t>
  </si>
  <si>
    <t>LINESTRING (5.426919543715513 60.14577333015911, 5.427136025550903 60.145848254226806, 5.427797603894416 60.14641942107739, 5.4280458452688904 60.14664201407939, 5.4283766689054955 60.14692433739106, 5.429428639453009 60.147879176801176)</t>
  </si>
  <si>
    <t>[1356396, 1356404, 1356412, 1356420, 1356428]</t>
  </si>
  <si>
    <t>[688965, 688954, 1254932, 1254939, 1254943]</t>
  </si>
  <si>
    <t>0.03920490177786469</t>
  </si>
  <si>
    <t>[1254924, 688965, 688954, 1254932, 1254939]</t>
  </si>
  <si>
    <t>[0.083, 0.04, 0.044, 0.037, 0.053]</t>
  </si>
  <si>
    <t>275.30634829709845</t>
  </si>
  <si>
    <t>LINESTRING (5.426919543715513 60.14577333015911, 5.4269264355703 60.14571527672289, 5.426956461931194 60.145475112314195)</t>
  </si>
  <si>
    <t>[2030075, 1356961]</t>
  </si>
  <si>
    <t>[1255291, 1255274]</t>
  </si>
  <si>
    <t>[1254924, 1255291]</t>
  </si>
  <si>
    <t>33.39062349605287</t>
  </si>
  <si>
    <t>[-0.035, -0.074]</t>
  </si>
  <si>
    <t>LINESTRING (5.426459821641673 60.145584505287054, 5.426493113867151 60.14560789626883, 5.426919543715513 60.14577333015911)</t>
  </si>
  <si>
    <t>[1356826, 1356832]</t>
  </si>
  <si>
    <t>[1255192, 1254924]</t>
  </si>
  <si>
    <t>[1255189, 1255192]</t>
  </si>
  <si>
    <t>[0.035, 0.074]</t>
  </si>
  <si>
    <t>33.7452551051241</t>
  </si>
  <si>
    <t>[0.0, 0.073, 0.067, 0.069]</t>
  </si>
  <si>
    <t>LINESTRING (5.429692979340852 60.148178551170744, 5.429692979340852 60.148178551170744, 5.429768651559776 60.148285906009754, 5.429910615296968 60.14849964216627, 5.429950806190232 60.14855790887418)</t>
  </si>
  <si>
    <t>[1356444, 1356452, 1356460, 1356468]</t>
  </si>
  <si>
    <t>[1254949, 1254956, 1254959, 1254963]</t>
  </si>
  <si>
    <t>0.03846194285323914</t>
  </si>
  <si>
    <t>[1254950, 1254949, 1254956, 1254959]</t>
  </si>
  <si>
    <t>80.32021155824577</t>
  </si>
  <si>
    <t>[-0.064, -0.047]</t>
  </si>
  <si>
    <t>LINESTRING (5.429603554621211 60.14874960484694, 5.429567540218178 60.14868854064324, 5.429591870644289 60.14862933506759)</t>
  </si>
  <si>
    <t>[1356774, 1356803]</t>
  </si>
  <si>
    <t>[1255162, 1255074]</t>
  </si>
  <si>
    <t>[1255078, 1255162]</t>
  </si>
  <si>
    <t>[0.064, 0.047]</t>
  </si>
  <si>
    <t>13.86702384694796</t>
  </si>
  <si>
    <t>[0.053, 0.016, -0.028, 0.044, 0.071]</t>
  </si>
  <si>
    <t>LINESTRING (5.426459821641673 60.145584505287054, 5.426444259954112 60.1456130688045, 5.426450336180729 60.145890647613726, 5.427383410767972 60.146839286300384, 5.4277187283466555 60.14712569223657, 5.428857120898106 60.14806974734639)</t>
  </si>
  <si>
    <t>[1356834, 1356842, 1356848, 1356849, 1356857]</t>
  </si>
  <si>
    <t>[1255199, 1255206, 1255210, 1255211, 1255219]</t>
  </si>
  <si>
    <t>0.024653665144287427</t>
  </si>
  <si>
    <t>[1255189, 1255199, 1255206, 1255210, 1255211]</t>
  </si>
  <si>
    <t>[0.053, 0.016, 0.028, 0.044, 0.071]</t>
  </si>
  <si>
    <t>314.03380489670616</t>
  </si>
  <si>
    <t>LINESTRING (11.167580236141603 60.17618212964655, 11.169469275029641 60.17848606177926, 11.178796691086067 60.18386770970217)</t>
  </si>
  <si>
    <t>[1357021, 1357028]</t>
  </si>
  <si>
    <t>[1255330, 1255334]</t>
  </si>
  <si>
    <t>0.003709154888643943</t>
  </si>
  <si>
    <t>[1255317, 1255330]</t>
  </si>
  <si>
    <t>1075.533016356777</t>
  </si>
  <si>
    <t>[0.151, -0.012, 0.007, 0.007]</t>
  </si>
  <si>
    <t>LINESTRING (11.16197431394924 60.168229017913106, 11.162275345155876 60.16856630334103, 11.165077544516521 60.17214072506866, 11.166574625900285 60.17455117255461, 11.167580236141603 60.17618212964655)</t>
  </si>
  <si>
    <t>[1560287, 1560295, 1356998, 1356999]</t>
  </si>
  <si>
    <t>[1407390, 1255315, 1255316, 1255317]</t>
  </si>
  <si>
    <t>0.004656146832436546</t>
  </si>
  <si>
    <t>[1400977, 1407390, 1255315, 1255316]</t>
  </si>
  <si>
    <t>[0.151, 0.012, 0.007, 0.007]</t>
  </si>
  <si>
    <t>940.1497524243748</t>
  </si>
  <si>
    <t>[0.052, -0.007, 0.004, -0.008]</t>
  </si>
  <si>
    <t>LINESTRING (11.178796691086067 60.18386770970217, 11.180358537509642 60.184568840212656, 11.187614421195027 60.18936637349883, 11.188020824713366 60.189841640561056, 11.188497185392794 60.19047946465157)</t>
  </si>
  <si>
    <t>[1358187, 1358195, 1358203, 1358211]</t>
  </si>
  <si>
    <t>[1255935, 1255940, 1255945, 1255951]</t>
  </si>
  <si>
    <t>0.0010482474958050047</t>
  </si>
  <si>
    <t>[1255334, 1255935, 1255940, 1255945]</t>
  </si>
  <si>
    <t>[0.052, 0.007, 0.004, 0.008]</t>
  </si>
  <si>
    <t>924.7037368900025</t>
  </si>
  <si>
    <t>[0.069, 0.007, 0.006, -0.011]</t>
  </si>
  <si>
    <t>LINESTRING (11.178796691086067 60.18386770970217, 11.17914255856847 60.18406907912857, 11.184135312391593 60.187364055783654, 11.184159270073106 60.18737628822786, 11.184223425626396 60.18740903264934)</t>
  </si>
  <si>
    <t>[1745149, 1745126, 1745131, 1745139]</t>
  </si>
  <si>
    <t>[1547862, 1547863, 1547866, 1547873]</t>
  </si>
  <si>
    <t>0.010443907422076704</t>
  </si>
  <si>
    <t>[1255334, 1547862, 1547863, 1547866]</t>
  </si>
  <si>
    <t>[0.069, 0.007, 0.006, 0.011]</t>
  </si>
  <si>
    <t>504.40660372494926</t>
  </si>
  <si>
    <t>LINESTRING (11.184465685851537 60.18739021535216, 11.184555378063857 60.18737267338957, 11.18489816352415 60.18730334782885)</t>
  </si>
  <si>
    <t>[1358059, 1358067]</t>
  </si>
  <si>
    <t>[1255857, 1255861]</t>
  </si>
  <si>
    <t>[1255856, 1255857]</t>
  </si>
  <si>
    <t>25.878120182240192</t>
  </si>
  <si>
    <t>[-0.156, 0.153]</t>
  </si>
  <si>
    <t>LINESTRING (11.184465685851537 60.18739021535216, 11.184542905426323 60.1874247114073, 11.18457694620933 60.18747351431409)</t>
  </si>
  <si>
    <t>[1746865, 1746874]</t>
  </si>
  <si>
    <t>[1548915, 1255867]</t>
  </si>
  <si>
    <t>[1255856, 1548915]</t>
  </si>
  <si>
    <t>[0.156, 0.153]</t>
  </si>
  <si>
    <t>11.51351379313984</t>
  </si>
  <si>
    <t>14.288937555872987</t>
  </si>
  <si>
    <t>53.008434234521964</t>
  </si>
  <si>
    <t>[-0.03, -0.028]</t>
  </si>
  <si>
    <t>LINESTRING (11.18457694620933 60.18747351431409, 11.184657226501853 60.18742325942482, 11.18489816352415 60.18730334782885)</t>
  </si>
  <si>
    <t>[1358075, 1358083]</t>
  </si>
  <si>
    <t>[1255868, 1255861]</t>
  </si>
  <si>
    <t>[1255867, 1255868]</t>
  </si>
  <si>
    <t>[0.03, 0.028]</t>
  </si>
  <si>
    <t>26.058365390836332</t>
  </si>
  <si>
    <t>14.285066597327917</t>
  </si>
  <si>
    <t>LINESTRING (11.185689079169055 60.18703659608616, 11.185975537011169 60.186904833979696, 11.18608024271425 60.186860891073685)</t>
  </si>
  <si>
    <t>[1358123, 1358131]</t>
  </si>
  <si>
    <t>[1255892, 1255895]</t>
  </si>
  <si>
    <t>[1255891, 1255892]</t>
  </si>
  <si>
    <t>29.238184743915337</t>
  </si>
  <si>
    <t>LINESTRING (11.185689079169055 60.18703659608616, 11.186021652064008 60.18697992679901, 11.186144578378794 60.18696746710295)</t>
  </si>
  <si>
    <t>[1358163, 1358171]</t>
  </si>
  <si>
    <t>[1255914, 1255920]</t>
  </si>
  <si>
    <t>[1255891, 1255914]</t>
  </si>
  <si>
    <t>26.46732444718618</t>
  </si>
  <si>
    <t>12.912348965284012</t>
  </si>
  <si>
    <t>[0.07, -0.062]</t>
  </si>
  <si>
    <t>LINESTRING (11.186144578378794 60.18696746710295, 11.186077847047981 60.186912599207, 11.18608024271425 60.186860891073685)</t>
  </si>
  <si>
    <t>[1745464, 1745465]</t>
  </si>
  <si>
    <t>[1548109, 1255895]</t>
  </si>
  <si>
    <t>0.011077564573724446</t>
  </si>
  <si>
    <t>[1255920, 1548109]</t>
  </si>
  <si>
    <t>[0.07, 0.062]</t>
  </si>
  <si>
    <t>12.911519860602612</t>
  </si>
  <si>
    <t>12.448347858862471</t>
  </si>
  <si>
    <t>[0.034, -0.007, 0.014]</t>
  </si>
  <si>
    <t>LINESTRING (11.180403972676174 60.18442742176615, 11.180900885681723 60.18460912483214, 11.186202926443801 60.186740015963984, 11.186247650206667 60.18678714852389)</t>
  </si>
  <si>
    <t>[1358179, 1745381, 1745389]</t>
  </si>
  <si>
    <t>[1255929, 1548046, 1548053]</t>
  </si>
  <si>
    <t>[1255928, 1255929, 1548046]</t>
  </si>
  <si>
    <t>[0.034, 0.007, 0.014]</t>
  </si>
  <si>
    <t>424.42823797764254</t>
  </si>
  <si>
    <t>[-0.006, 0.001, -0.011, -0.024]</t>
  </si>
  <si>
    <t>LINESTRING (11.180403972676174 60.18442742176615, 11.187833468156814 60.18931748716349, 11.188243163719596 60.189797073137285, 11.188747248486527 60.190471821406874, 11.189259595374477 60.19130170468416)</t>
  </si>
  <si>
    <t>[1620751, 1620759, 1620767, 1620775]</t>
  </si>
  <si>
    <t>[1451502, 1451508, 1451511, 1255960]</t>
  </si>
  <si>
    <t>[1255928, 1451502, 1451508, 1451511]</t>
  </si>
  <si>
    <t>[0.006, 0.001, 0.011, 0.024]</t>
  </si>
  <si>
    <t>923.8829466399062</t>
  </si>
  <si>
    <t>[0.003, 0.008, 0.005, -0.0, 0.004, 0.055]</t>
  </si>
  <si>
    <t>LINESTRING (11.162541558945964 60.16853132343613, 11.16529409564862 60.1721079049227, 11.166803608215956 60.17450951372092, 11.167808829663443 60.176135846170375, 11.169648535234725 60.178405500898265, 11.178799170725629 60.183708188293025, 11.180403972676174 60.18442742176615)</t>
  </si>
  <si>
    <t>[1507960, 1357062, 1357070, 1357076, 1357077, 1620743]</t>
  </si>
  <si>
    <t>[1255351, 1255352, 1255358, 1255361, 1255362, 1255928]</t>
  </si>
  <si>
    <t>0.006845281960167504</t>
  </si>
  <si>
    <t>[1363644, 1255351, 1255352, 1255358, 1255361, 1255362]</t>
  </si>
  <si>
    <t>[0.003, 0.008, 0.005, 0.0, 0.004, 0.055]</t>
  </si>
  <si>
    <t>2074.562466128996</t>
  </si>
  <si>
    <t>[-0.021, -0.008, -0.001, 0.001, -0.001]</t>
  </si>
  <si>
    <t>LINESTRING (11.188497185392794 60.19047946465157, 11.18902466908444 60.191333327024, 11.185796549618127 60.20877223104833, 11.177184895020952 60.22328994924587, 11.176936216914548 60.22358930303874, 11.174796865332114 60.22620047441419)</t>
  </si>
  <si>
    <t>[1358219, 1620440, 1620480, 1620488, 1620496]</t>
  </si>
  <si>
    <t>[1255955, 1451336, 1451358, 1451363, 1255966]</t>
  </si>
  <si>
    <t>[1255951, 1255955, 1451336, 1451358, 1451363]</t>
  </si>
  <si>
    <t>[0.021, 0.008, 0.001, 0.001, 0.001]</t>
  </si>
  <si>
    <t>4105.808855572848</t>
  </si>
  <si>
    <t>[0.01, 0.0, 0.035, 0.009, 0.003, 0.012]</t>
  </si>
  <si>
    <t>LINESTRING (11.188497185392794 60.19047946465157, 11.188315727671268 60.1902942351787, 11.187940403692863 60.18987195567645, 11.187516208822581 60.18937424274644, 11.184594247679522 60.1876514665814, 11.184516695745623 60.187608951707595, 11.184448436147571 60.187577500464165)</t>
  </si>
  <si>
    <t>[1620185, 1745157, 1745161, 1745162, 1745169, 1745170]</t>
  </si>
  <si>
    <t>[1451219, 1547886, 1547890, 1547891, 1547896, 1547897]</t>
  </si>
  <si>
    <t>0.011757387524836578</t>
  </si>
  <si>
    <t>[1255951, 1451219, 1547886, 1547890, 1547891, 1547896]</t>
  </si>
  <si>
    <t>400.033784012955</t>
  </si>
  <si>
    <t>[-0.008, -0.001, 0.003, -0.0, -0.001]</t>
  </si>
  <si>
    <t>LINESTRING (11.189259595374477 60.19130170468416, 11.186031441659267 60.208804163749775, 11.177409904900138 60.223336172593044, 11.177164992558827 60.223631140866004, 11.175025486531409 60.22624222127817, 11.174568190219988 60.22691965440907)</t>
  </si>
  <si>
    <t>[1358227, 1620456, 1620464, 1620472, 1620695]</t>
  </si>
  <si>
    <t>[1255961, 1451344, 1451347, 1451352, 1451473]</t>
  </si>
  <si>
    <t>[1255960, 1255961, 1451344, 1451347, 1451352]</t>
  </si>
  <si>
    <t>[0.008, 0.001, 0.003, 0.0, 0.001]</t>
  </si>
  <si>
    <t>4094.264596678869</t>
  </si>
  <si>
    <t>[0.024, 0.018, -0.008, -0.037, -0.008, -0.028]</t>
  </si>
  <si>
    <t>LINESTRING (11.186357731443739 60.18698475314754, 11.18640657663166 60.18702453442069, 11.186463946279563 60.18708121796866, 11.187915047515386 60.18928495821537, 11.18833603679337 60.18979633078039, 11.189164907332643 60.1910393394745, 11.189259595374477 60.19130170468416)</t>
  </si>
  <si>
    <t>[1745394, 1745395, 1745402, 1745415, 1745416, 1620448]</t>
  </si>
  <si>
    <t>[1548057, 1548058, 1548063, 1548072, 1451340, 1255960]</t>
  </si>
  <si>
    <t>[1548056, 1548057, 1548058, 1548063, 1548072, 1451340]</t>
  </si>
  <si>
    <t>[0.024, 0.018, 0.008, 0.037, 0.008, 0.028]</t>
  </si>
  <si>
    <t>509.33434581205086</t>
  </si>
  <si>
    <t>[-0.001, 0.001, 0.006, -0.013]</t>
  </si>
  <si>
    <t>635.0</t>
  </si>
  <si>
    <t>LINESTRING (11.174796865332114 60.22620047441419, 11.174340320695242 60.22688490409552, 11.173192672327472 60.2304342377318, 11.173181076559281 60.23089738201706, 11.174131598566028 60.234358578546534)</t>
  </si>
  <si>
    <t>[1358235, 1358243, 1358251, 1358259]</t>
  </si>
  <si>
    <t>[1255967, 1255972, 1255975, 1255981]</t>
  </si>
  <si>
    <t>[1255966, 1255967, 1255972, 1255975]</t>
  </si>
  <si>
    <t>[0.001, 0.001, 0.006, 0.013]</t>
  </si>
  <si>
    <t>924.2393997482308</t>
  </si>
  <si>
    <t>[0.001, 0.0, -0.003, 0.038]</t>
  </si>
  <si>
    <t>LINESTRING (11.172180566373958 60.2302494956855, 11.172227916939415 60.23021130222174, 11.172284484136634 60.23016568925008, 11.174577716368091 60.22643315970359, 11.174796865332114 60.22620047441419)</t>
  </si>
  <si>
    <t>[1746051, 1746058, 1746066, 1746074]</t>
  </si>
  <si>
    <t>[1548432, 1548435, 1548438, 1255966]</t>
  </si>
  <si>
    <t>[1548402, 1548432, 1548435, 1548438]</t>
  </si>
  <si>
    <t>[0.001, 0.0, 0.003, 0.038]</t>
  </si>
  <si>
    <t>476.120107279493</t>
  </si>
  <si>
    <t>[-0.01, -0.018, -0.046, -0.057, -0.021, -0.034, -0.033, -0.039, 0.03]</t>
  </si>
  <si>
    <t>[0, 0, 0, 1, 0, 1, 1, 1, 0]</t>
  </si>
  <si>
    <t>LINESTRING (11.174131598566028 60.234358578546534, 11.174619745139646 60.23513551203146, 11.17479246194053 60.23538865941444, 11.17647382893145 60.23747410573901, 11.17696232077804 60.23805352095305, 11.178492254742102 60.239867771982794, 11.178796723877447 60.24022892189641, 11.178846554931688 60.240288427924256, 11.179100207094503 60.24059858217748, 11.182652155984448 60.24982904373186)</t>
  </si>
  <si>
    <t>[1358267, 1358275, 1620504, 1620512, 1620520, 1620528, 1620536, 1620544, 1620552]</t>
  </si>
  <si>
    <t>[1255988, 1255995, 1451374, 1451378, 1451382, 1451385, 1451390, 1451394, 1451397]</t>
  </si>
  <si>
    <t>0.0039016533843744487</t>
  </si>
  <si>
    <t>[1255981, 1255988, 1255995, 1451374, 1451378, 1451382, 1451385, 1451390, 1451394]</t>
  </si>
  <si>
    <t>[0.01, 0.018, 0.046, 0.057, 0.021, 0.034, 0.033, 0.039, 0.03]</t>
  </si>
  <si>
    <t>1807.7083998490446</t>
  </si>
  <si>
    <t>[0.117, 0.003, 0.006]</t>
  </si>
  <si>
    <t>350.0</t>
  </si>
  <si>
    <t>LINESTRING (11.174131598566028 60.234358578546534, 11.17396121816024 60.23413087379583, 11.171907051250074 60.23050435630152, 11.171906086057005 60.23045164313557)</t>
  </si>
  <si>
    <t>[1745519, 1745503, 1745511]</t>
  </si>
  <si>
    <t>[1548134, 1548135, 1548140]</t>
  </si>
  <si>
    <t>0.00981351006170139</t>
  </si>
  <si>
    <t>[1255981, 1548134, 1548135]</t>
  </si>
  <si>
    <t>455.5642064716063</t>
  </si>
  <si>
    <t>[-0.049, -0.058, -0.023, -0.031, -0.045, -0.045, 0.03, 0.021]</t>
  </si>
  <si>
    <t>[0, 1, 0, 1, 1, 1, 0, 0]</t>
  </si>
  <si>
    <t>LINESTRING (11.175021917584862 60.23534790907253, 11.17669858186569 60.23742728378927, 11.177187077050068 60.23800669820929, 11.178717504491642 60.23982455631165, 11.179142760085345 60.24033445107511, 11.179206401631498 60.240408404984294, 11.179326693809267 60.2405509963977, 11.182894534621886 60.249841748478595, 11.18265072517331 60.25082355175544)</t>
  </si>
  <si>
    <t>[1358283, 1358291, 1358299, 1358307, 1358315, 1358323, 1358331, 1358339]</t>
  </si>
  <si>
    <t>[1256003, 1256007, 1256012, 1256015, 1256018, 1256022, 1256026, 1256030]</t>
  </si>
  <si>
    <t>0.0054741892923358595</t>
  </si>
  <si>
    <t>[1256002, 1256003, 1256007, 1256012, 1256015, 1256018, 1256022, 1256026]</t>
  </si>
  <si>
    <t>[0.049, 0.058, 0.023, 0.031, 0.045, 0.045, 0.03, 0.021]</t>
  </si>
  <si>
    <t>1803.510785108189</t>
  </si>
  <si>
    <t>[0.001, 0.006, -0.011, -0.007, -0.008]</t>
  </si>
  <si>
    <t>LINESTRING (11.174568190219988 60.22691965440907, 11.17343631816344 60.23043731797463, 11.173424752528167 60.23089713710964, 11.17435831954299 60.234327728448065, 11.17484290133465 60.235098229785926, 11.175021917584862 60.23534790907253)</t>
  </si>
  <si>
    <t>[1620703, 1620711, 1620719, 1620727, 1620735]</t>
  </si>
  <si>
    <t>[1451476, 1451481, 1451486, 1451491, 1256002]</t>
  </si>
  <si>
    <t>[1451473, 1451476, 1451481, 1451486, 1451491]</t>
  </si>
  <si>
    <t>[0.001, 0.006, 0.011, 0.007, 0.008]</t>
  </si>
  <si>
    <t>955.8840227457711</t>
  </si>
  <si>
    <t>[0.043, -0.0, -0.056]</t>
  </si>
  <si>
    <t>LINESTRING (11.174429925681933 60.23120499964145, 11.174357449807834 60.23124197416665, 11.17485932292576 60.235028004386905, 11.175021917584862 60.23534790907253)</t>
  </si>
  <si>
    <t>[1745495, 1745496, 1745485]</t>
  </si>
  <si>
    <t>[1548130, 1548125, 1256002]</t>
  </si>
  <si>
    <t>[1548129, 1548130, 1548125]</t>
  </si>
  <si>
    <t>[0.043, 0.0, 0.056]</t>
  </si>
  <si>
    <t>476.0297328907943</t>
  </si>
  <si>
    <t>[0.023, 0.028, -0.015, 0.007, 0.053]</t>
  </si>
  <si>
    <t>18785.0</t>
  </si>
  <si>
    <t>LINESTRING (11.18265072517331 60.25082355175544, 11.18194709556925 60.25249835721257, 11.179324343546845 60.2559883720652, 11.178745003926942 60.25662342082799, 11.178117529242627 60.25729685671021, 11.177900325644556 60.257525327739295)</t>
  </si>
  <si>
    <t>[1358347, 1358355, 1358363, 1747278, 1747282]</t>
  </si>
  <si>
    <t>[1256035, 1256039, 1256044, 1549143, 1549146]</t>
  </si>
  <si>
    <t>0.021298229880098555</t>
  </si>
  <si>
    <t>[1256030, 1256035, 1256039, 1256044, 1549143]</t>
  </si>
  <si>
    <t>[0.023, 0.028, 0.015, 0.007, 0.053]</t>
  </si>
  <si>
    <t>794.9110220115314</t>
  </si>
  <si>
    <t>[0.019, 0.023, 0.021, 0.022, 0.048]</t>
  </si>
  <si>
    <t>LINESTRING (11.18265072517331 60.25082355175544, 11.18259301036953 60.25127682610428, 11.182032338487456 60.252566611856444, 11.181956467731952 60.25283373920635, 11.181640740576144 60.25398744461218, 11.18156415351849 60.25401277246983)</t>
  </si>
  <si>
    <t>[1619984, 1619992, 1620000, 1620008, 1620016]</t>
  </si>
  <si>
    <t>[1451116, 1451118, 1451097, 1451128, 1451131]</t>
  </si>
  <si>
    <t>0.022264029833844155</t>
  </si>
  <si>
    <t>[1256030, 1451116, 1451118, 1451097, 1451128]</t>
  </si>
  <si>
    <t>369.67958760833886</t>
  </si>
  <si>
    <t>[0.092, -0.029]</t>
  </si>
  <si>
    <t>LINESTRING (9.13127286826593 62.07375584191862, 9.131425044614396 62.07381871025505, 9.131461239364409 62.073924030367685)</t>
  </si>
  <si>
    <t>[1362405, 1362421]</t>
  </si>
  <si>
    <t>[1258326, 1258291]</t>
  </si>
  <si>
    <t>0.028241358228726986</t>
  </si>
  <si>
    <t>[1258283, 1258326]</t>
  </si>
  <si>
    <t>[0.092, 0.029]</t>
  </si>
  <si>
    <t>23.38093448621087</t>
  </si>
  <si>
    <t>[-0.02, 0.072]</t>
  </si>
  <si>
    <t>LINESTRING (9.13127286826593 62.07375584191862, 9.131311539529491 62.073845296131324, 9.131461239364409 62.073924030367685)</t>
  </si>
  <si>
    <t>[1362413, 1362429]</t>
  </si>
  <si>
    <t>[1258329, 1258291]</t>
  </si>
  <si>
    <t>0.029826230247994665</t>
  </si>
  <si>
    <t>[1258283, 1258329]</t>
  </si>
  <si>
    <t>[0.02, 0.072]</t>
  </si>
  <si>
    <t>22.20690015861546</t>
  </si>
  <si>
    <t>LINESTRING (9.131461239364409 62.073924030367685, 9.27150322143151 62.12361644675889)</t>
  </si>
  <si>
    <t>[0.017, -0.005, 0.007]</t>
  </si>
  <si>
    <t>LINESTRING (8.474226712420561 58.29849092672908, 8.474249689658656 58.29855516857522, 8.48039544827933 58.30011243692426, 8.481186390179571 58.30030366819128)</t>
  </si>
  <si>
    <t>[1364058, 1364066, 1364074]</t>
  </si>
  <si>
    <t>[1259426, 1259433, 1259329]</t>
  </si>
  <si>
    <t>[1259395, 1259426, 1259433]</t>
  </si>
  <si>
    <t>[0.017, 0.005, 0.007]</t>
  </si>
  <si>
    <t>471.8427158160434</t>
  </si>
  <si>
    <t>LINESTRING (8.474034958748542 58.29857016282556, 8.473900104447283 58.29856475713677, 8.47379104069289 58.29852156041141)</t>
  </si>
  <si>
    <t>[1364042, 1364050]</t>
  </si>
  <si>
    <t>[1259409, 1259348]</t>
  </si>
  <si>
    <t>0.00547952503029672</t>
  </si>
  <si>
    <t>[1259402, 1259409]</t>
  </si>
  <si>
    <t>15.956112283625785</t>
  </si>
  <si>
    <t>[-0.03, -0.969]</t>
  </si>
  <si>
    <t>LINESTRING (8.473741917489399 58.29878569613385, 8.473789398875429 58.29858504527866, 8.47379104069289 58.29852156041141)</t>
  </si>
  <si>
    <t>[1617093, 1617101]</t>
  </si>
  <si>
    <t>[1449330, 1259348]</t>
  </si>
  <si>
    <t>[1449306, 1449330]</t>
  </si>
  <si>
    <t>[0.03, 0.969]</t>
  </si>
  <si>
    <t>29.6347904389965</t>
  </si>
  <si>
    <t>14.77030144560526</t>
  </si>
  <si>
    <t>[-0.052, -0.876]</t>
  </si>
  <si>
    <t>LINESTRING (8.473741917489399 58.29878569613385, 8.47394756016419 58.29861755216959, 8.474034958748542 58.29857016282556)</t>
  </si>
  <si>
    <t>[1617072, 1617080]</t>
  </si>
  <si>
    <t>[1449318, 1259402]</t>
  </si>
  <si>
    <t>[1449306, 1449318]</t>
  </si>
  <si>
    <t>[0.052, 0.876]</t>
  </si>
  <si>
    <t>29.673122798201156</t>
  </si>
  <si>
    <t>[0.008, 0.034, -0.012]</t>
  </si>
  <si>
    <t>LINESTRING (8.47287386220129 58.299601524664475, 8.472851534326503 58.29953933356641, 8.466932016445224 58.2978155553815, 8.466168818561803 58.29761855618143)</t>
  </si>
  <si>
    <t>[1364202, 1364210, 1364218]</t>
  </si>
  <si>
    <t>[1259563, 1259570, 1259467]</t>
  </si>
  <si>
    <t>0.028676818582579817</t>
  </si>
  <si>
    <t>[1259524, 1259563, 1259570]</t>
  </si>
  <si>
    <t>[0.008, 0.034, 0.012]</t>
  </si>
  <si>
    <t>465.80947012969375</t>
  </si>
  <si>
    <t>14.917343566127206</t>
  </si>
  <si>
    <t>[-0.058, 0.004]</t>
  </si>
  <si>
    <t>LINESTRING (8.473054648650082 58.29951317047492, 8.473217507589654 58.29951797627537, 8.473329857802872 58.299558495324405)</t>
  </si>
  <si>
    <t>[1364170, 1364178]</t>
  </si>
  <si>
    <t>[1259536, 1259544]</t>
  </si>
  <si>
    <t>[1259530, 1259536]</t>
  </si>
  <si>
    <t>[0.058, 0.004]</t>
  </si>
  <si>
    <t>17.57480893607605</t>
  </si>
  <si>
    <t>[0.545, 0.009]</t>
  </si>
  <si>
    <t>LINESTRING (8.473054648650082 58.29951317047492, 8.473153907344425 58.29946541656329, 8.473381112614895 58.299289703653386)</t>
  </si>
  <si>
    <t>[1617016, 1617024]</t>
  </si>
  <si>
    <t>[1449286, 1449292]</t>
  </si>
  <si>
    <t>0.14290766388089518</t>
  </si>
  <si>
    <t>[1259530, 1449286]</t>
  </si>
  <si>
    <t>31.604350448027795</t>
  </si>
  <si>
    <t>[0.587, 0.042]</t>
  </si>
  <si>
    <t>LINESTRING (8.473329857802872 58.299558495324405, 8.473332839369702 58.29949637623092, 8.473381112614895 58.299289703653386)</t>
  </si>
  <si>
    <t>[1617056, 1617064]</t>
  </si>
  <si>
    <t>[1449310, 1449292]</t>
  </si>
  <si>
    <t>0.16725776734367917</t>
  </si>
  <si>
    <t>[1259544, 1449310]</t>
  </si>
  <si>
    <t>30.1562869264768</t>
  </si>
  <si>
    <t>[-0.037, -0.035, -0.043, -0.033, -0.027]</t>
  </si>
  <si>
    <t>LINESTRING (10.79339670936191 59.909447271521756, 10.785320312531464 59.90541943220279, 10.784993003965692 59.90512104177048, 10.78498453544204 59.90511315473874, 10.784840062794805 59.90497870817063, 10.783695370460451 59.903952308154075)</t>
  </si>
  <si>
    <t>[1849937, 1849821, 1849831, 1849832, 1849865]</t>
  </si>
  <si>
    <t>[1619560, 1619561, 1619574, 1619575, 1259654]</t>
  </si>
  <si>
    <t>[1259667, 1619560, 1619561, 1619574, 1619575]</t>
  </si>
  <si>
    <t>[0.037, 0.035, 0.043, 0.033, 0.027]</t>
  </si>
  <si>
    <t>968.432937130582</t>
  </si>
  <si>
    <t>[-0.178, 0.037, 0.025, 0.044, 0.025, 0.036, 0.035]</t>
  </si>
  <si>
    <t>LINESTRING (10.784983382451392 59.9048089082071, 10.785156232687708 59.90495361462423, 10.78523365429131 59.90501609444717, 10.785252537321698 59.90503134635024, 10.785261987189317 59.90503897706388, 10.78528088921095 59.905054220579, 10.785670390791738 59.90538715106628, 10.793358723819766 59.90986232583386)</t>
  </si>
  <si>
    <t>[1849965, 1849966, 1849973, 1849974, 1849981, 1849982, 1849986]</t>
  </si>
  <si>
    <t>[1619707, 1619708, 1619718, 1619719, 1619727, 1619728, 1259673]</t>
  </si>
  <si>
    <t>0.030621479972226702</t>
  </si>
  <si>
    <t>[1259662, 1619707, 1619708, 1619718, 1619719, 1619727, 1619728]</t>
  </si>
  <si>
    <t>[0.178, 0.037, 0.025, 0.044, 0.025, 0.036, 0.035]</t>
  </si>
  <si>
    <t>908.3666802544977</t>
  </si>
  <si>
    <t>[0.0, 0.023, 0.009, -0.007, 0.008]</t>
  </si>
  <si>
    <t>LINESTRING (10.148399573240718 59.129435261100056, 10.143396323067748 59.12687587857412, 10.143229461701 59.126792618976104, 10.141643033118108 59.12600133347528, 10.141181304100613 59.12576760410461, 10.139987218519572 59.12513130096387)</t>
  </si>
  <si>
    <t>[1365116, 1365124, 1365608, 1365616, 1365624]</t>
  </si>
  <si>
    <t>[1260200, 1260207, 1260567, 1260573, 1260580]</t>
  </si>
  <si>
    <t>0.002903538363001127</t>
  </si>
  <si>
    <t>[1260193, 1260200, 1260207, 1260567, 1260573]</t>
  </si>
  <si>
    <t>[0.0, 0.023, 0.009, 0.007, 0.008]</t>
  </si>
  <si>
    <t>680.1174508828649</t>
  </si>
  <si>
    <t>[-0.015, -0.004, -0.001, 0.01, 0.039, 0.034, 0.034]</t>
  </si>
  <si>
    <t>LINESTRING (10.148399573240718 59.129435261100056, 10.147740744025665 59.12914080427454, 10.145104963036525 59.12800070557746, 10.144890112884768 59.127979340194884, 10.142376095991567 59.12796176179771, 10.14227015739656 59.127939006249754, 10.141908517820003 59.12783216789546, 10.141757269946828 59.12780818960222)</t>
  </si>
  <si>
    <t>[1365132, 1365140, 1365148, 1365156, 1365164, 1365172, 1365180]</t>
  </si>
  <si>
    <t>[1260212, 1260218, 1260226, 1260234, 1260241, 1260250, 1260259]</t>
  </si>
  <si>
    <t>0.002832535581596622</t>
  </si>
  <si>
    <t>[1260193, 1260212, 1260218, 1260226, 1260234, 1260241, 1260250]</t>
  </si>
  <si>
    <t>[0.015, 0.004, 0.001, 0.01, 0.039, 0.034, 0.034]</t>
  </si>
  <si>
    <t>446.19793909644943</t>
  </si>
  <si>
    <t>[0.035, 0.031, 0.023, 0.011, -0.004, -0.017, -0.027, -0.028]</t>
  </si>
  <si>
    <t>LINESTRING (10.141757269946828 59.12780818960222, 10.141678289906627 59.12780141354394, 10.141591639252672 59.127775440573465, 10.14156169500801 59.127758925762535, 10.141507987711265 59.12769245659755, 10.141517164559147 59.12764049909174, 10.141585294620644 59.127583645783, 10.14175640905878 59.12754790846379, 10.141850556634541 59.12755656666308)</t>
  </si>
  <si>
    <t>[1365672, 1365680, 1365688, 1365696, 1365704, 1365712, 1365720, 1365728]</t>
  </si>
  <si>
    <t>[1185470, 1260619, 1260625, 1185462, 815127, 1260634, 815166, 1260267]</t>
  </si>
  <si>
    <t>[1260259, 1185470, 1260619, 1260625, 1185462, 815127, 1260634, 815166]</t>
  </si>
  <si>
    <t>[0.035, 0.031, 0.023, 0.011, 0.004, 0.017, 0.027, 0.028]</t>
  </si>
  <si>
    <t>50.192223453443994</t>
  </si>
  <si>
    <t>19.975777415739834</t>
  </si>
  <si>
    <t>[-0.021, -0.016]</t>
  </si>
  <si>
    <t>LINESTRING (10.141850556634541 59.12755656666308, 10.141922150137457 59.12753190414602, 10.142455169599748 59.12730882434755)</t>
  </si>
  <si>
    <t>[1365188, 1365196]</t>
  </si>
  <si>
    <t>[1260268, 1260272]</t>
  </si>
  <si>
    <t>[1260267, 1260268]</t>
  </si>
  <si>
    <t>[0.021, 0.016]</t>
  </si>
  <si>
    <t>44.482762575104225</t>
  </si>
  <si>
    <t>[-0.025, -0.016]</t>
  </si>
  <si>
    <t>LINESTRING (10.141850556634541 59.12755656666308, 10.141953509536162 59.12759443154139, 10.14201214502074 59.12766958634726)</t>
  </si>
  <si>
    <t>[1365736, 1365744]</t>
  </si>
  <si>
    <t>[1260646, 1260305]</t>
  </si>
  <si>
    <t>[1260267, 1260646]</t>
  </si>
  <si>
    <t>[0.025, 0.016]</t>
  </si>
  <si>
    <t>16.278066331435333</t>
  </si>
  <si>
    <t>[-0.004, 0.001, -0.01]</t>
  </si>
  <si>
    <t>LINESTRING (10.142455169599748 59.12730882434755, 10.143046870964287 59.126995375760664, 10.143791239974727 59.126599938626924, 10.145051734656763 59.12595342762245)</t>
  </si>
  <si>
    <t>[1365204, 1365213, 1365221]</t>
  </si>
  <si>
    <t>[1260277, 1260283, 1260288]</t>
  </si>
  <si>
    <t>[1260272, 1260277, 1260283]</t>
  </si>
  <si>
    <t>[0.004, 0.001, 0.01]</t>
  </si>
  <si>
    <t>212.10662474132837</t>
  </si>
  <si>
    <t>[-0.008, -0.009]</t>
  </si>
  <si>
    <t>LINESTRING (10.14201214502074 59.12766958634726, 10.142068950327486 59.127603123413564, 10.142455169599748 59.12730882434755)</t>
  </si>
  <si>
    <t>[1365246, 1365255]</t>
  </si>
  <si>
    <t>[1260306, 1260272]</t>
  </si>
  <si>
    <t>[1260305, 1260306]</t>
  </si>
  <si>
    <t>47.65925266567639</t>
  </si>
  <si>
    <t>LINESTRING (10.145051734656763 59.12595342762245, 10.145593088852571 59.12589349908879, 10.145668689190545 59.12589594516882)</t>
  </si>
  <si>
    <t>[1365264, 1365272]</t>
  </si>
  <si>
    <t>[1260317, 1260323]</t>
  </si>
  <si>
    <t>[1260288, 1260317]</t>
  </si>
  <si>
    <t>36.34654377003238</t>
  </si>
  <si>
    <t>[-0.023, -0.024]</t>
  </si>
  <si>
    <t>LINESTRING (10.145051734656763 59.12595342762245, 10.145581312316656 59.12579032588446, 10.145679939015011 59.12575243410599)</t>
  </si>
  <si>
    <t>[1365280, 1365288]</t>
  </si>
  <si>
    <t>[1260329, 1260337]</t>
  </si>
  <si>
    <t>[1260288, 1260329]</t>
  </si>
  <si>
    <t>[0.023, 0.024]</t>
  </si>
  <si>
    <t>43.2322101065414</t>
  </si>
  <si>
    <t>3.660341514270562</t>
  </si>
  <si>
    <t>[0.007, -0.007]</t>
  </si>
  <si>
    <t>LINESTRING (10.145668689190545 59.12589594516882, 10.145639035337082 59.125842208620696, 10.145679939015011 59.12575243410599)</t>
  </si>
  <si>
    <t>[1365544, 1365552]</t>
  </si>
  <si>
    <t>[1260520, 1260337]</t>
  </si>
  <si>
    <t>[1260323, 1260520]</t>
  </si>
  <si>
    <t>16.502601198024028</t>
  </si>
  <si>
    <t>12.460085555757134</t>
  </si>
  <si>
    <t>[-0.02, -0.022, 0.04, 0.03, 0.01, -0.006, -0.026]</t>
  </si>
  <si>
    <t>LINESTRING (10.145679939015011 59.12575243410599, 10.145752824204445 59.12571108586107, 10.145886167419759 59.12568270795547, 10.146029503227835 59.12569122722352, 10.146174521833448 59.125754773629666, 10.146214541157802 59.12583266526996, 10.146186620291058 59.12589259257154, 10.146094528750007 59.12594968371473)</t>
  </si>
  <si>
    <t>[1365472, 1365480, 1365488, 1365496, 1365504, 1365512, 1365520]</t>
  </si>
  <si>
    <t>[814971, 1260487, 814997, 1037150, 1260502, 1037132, 1260384]</t>
  </si>
  <si>
    <t>0.0032117088517993413</t>
  </si>
  <si>
    <t>[1260337, 814971, 1260487, 814997, 1037150, 1260502, 1037132]</t>
  </si>
  <si>
    <t>[0.02, 0.022, 0.04, 0.03, 0.01, 0.006, 0.026]</t>
  </si>
  <si>
    <t>57.78783867850288</t>
  </si>
  <si>
    <t>[-0.004, 0.0, 0.022, 0.01, -0.007]</t>
  </si>
  <si>
    <t>LINESTRING (10.149765660229106 59.130008705025155, 10.148602684030148 59.12933652806793, 10.143588400028316 59.126771531207496, 10.143422184187349 59.12668865588777, 10.141886415149285 59.1259226616476, 10.141398935055497 59.12567863870676)</t>
  </si>
  <si>
    <t>[1365312, 1365320, 1365328, 1365360, 1365368]</t>
  </si>
  <si>
    <t>[1260356, 1260361, 1260367, 1260398, 1260406]</t>
  </si>
  <si>
    <t>0.001240282235748859</t>
  </si>
  <si>
    <t>[1260348, 1260356, 1260361, 1260367, 1260398]</t>
  </si>
  <si>
    <t>[0.004, 0.0, 0.022, 0.01, 0.007]</t>
  </si>
  <si>
    <t>680.4790811498046</t>
  </si>
  <si>
    <t>[-0.004, 0.004, 0.004]</t>
  </si>
  <si>
    <t>LINESTRING (10.146094528750007 59.12594968371473, 10.14608286033965 59.12599051018645, 10.149263581791617 59.12964042227109, 10.149765660229106 59.130008705025155)</t>
  </si>
  <si>
    <t>[1365344, 1365352, 1365336]</t>
  </si>
  <si>
    <t>[1260385, 1260375, 1260348]</t>
  </si>
  <si>
    <t>0.003931959184718848</t>
  </si>
  <si>
    <t>[1260384, 1260385, 1260375]</t>
  </si>
  <si>
    <t>540.7683137734982</t>
  </si>
  <si>
    <t>15.852683841377463</t>
  </si>
  <si>
    <t>[0.008, 0.003, -0.012, -0.022, -0.009, 0.008]</t>
  </si>
  <si>
    <t>LINESTRING (10.141398935055497 59.12567863870676, 10.14191101019774 59.12588412835347, 10.142085850538649 59.12595648926277, 10.143487057571052 59.12665447497076, 10.143659772154919 59.126734715168034, 10.14588271131453 59.12600871171672, 10.14582845674887 59.125968770538655)</t>
  </si>
  <si>
    <t>[1365592, 1365600, 1365560, 1365568, 1365576, 1365584]</t>
  </si>
  <si>
    <t>[1260553, 1260530, 1260531, 1260538, 1260543, 1260513]</t>
  </si>
  <si>
    <t>[1260406, 1260553, 1260530, 1260531, 1260538, 1260543]</t>
  </si>
  <si>
    <t>[0.008, 0.003, 0.012, 0.022, 0.009, 0.008]</t>
  </si>
  <si>
    <t>412.84684252701265</t>
  </si>
  <si>
    <t>[-0.016, -0.003, 0.022, 0.009, -0.01, 0.029]</t>
  </si>
  <si>
    <t>LINESTRING (10.142008367625882 59.12770236936697, 10.142053507474913 59.12775756913306, 10.143312386110964 59.126918610455895, 10.143159086317796 59.12682857258022, 10.141545037571772 59.12601833969856, 10.14051799170682 59.125487386383725, 10.139987218519572 59.12513130096387)</t>
  </si>
  <si>
    <t>[1365800, 1365808, 1365816, 1365824, 1365832, 1365840]</t>
  </si>
  <si>
    <t>[1260690, 1260694, 1260699, 1260703, 1260708, 1260580]</t>
  </si>
  <si>
    <t>0.0027828220939469005</t>
  </si>
  <si>
    <t>[1260656, 1260690, 1260694, 1260699, 1260703, 1260708]</t>
  </si>
  <si>
    <t>[0.016, 0.003, 0.022, 0.009, 0.01, 0.029]</t>
  </si>
  <si>
    <t>486.5389118746706</t>
  </si>
  <si>
    <t>60.59233037293618</t>
  </si>
  <si>
    <t>11.142906775286058</t>
  </si>
  <si>
    <t>[-1.003, 0.033, 0.034, 0.028, 0.035]</t>
  </si>
  <si>
    <t>LINESTRING (5.755256159410042 58.822067297241674, 5.755152704218005 58.82205937344155, 5.754953383931418 58.82204822135574, 5.751734511895432 58.82218864921199, 5.751698574536172 58.82219310084894, 5.747920993347923 58.82274643654572)</t>
  </si>
  <si>
    <t>[1851846, 1851852, 1851869, 1851877, 1851883]</t>
  </si>
  <si>
    <t>[1621460, 1621464, 1621482, 1621490, 1621498]</t>
  </si>
  <si>
    <t>0.020031233381350457</t>
  </si>
  <si>
    <t>[1262133, 1621460, 1621464, 1621482, 1621490]</t>
  </si>
  <si>
    <t>[1.003, 0.033, 0.034, 0.028, 0.035]</t>
  </si>
  <si>
    <t>435.35891656916897</t>
  </si>
  <si>
    <t>[0.083, 0.109, 0.084, 0.016]</t>
  </si>
  <si>
    <t>LINESTRING (5.755669419893835 58.82202386125197, 5.755628662781146 58.82208805584594, 5.7555241200668705 58.82212830651443, 5.7553759019197415 58.82212681864974, 5.755256159410042 58.822067297241674)</t>
  </si>
  <si>
    <t>[1368182, 1368190, 1368198, 1368142]</t>
  </si>
  <si>
    <t>[1262150, 1262156, 1262132, 1262133]</t>
  </si>
  <si>
    <t>0.06981019899202694</t>
  </si>
  <si>
    <t>[1262147, 1262150, 1262156, 1262132]</t>
  </si>
  <si>
    <t>33.29901839786339</t>
  </si>
  <si>
    <t>[-0.102, -0.059]</t>
  </si>
  <si>
    <t>LINESTRING (5.755263600744975 58.82197015455714, 5.755402325272354 58.821914336801264, 5.755578177451413 58.82193151916243)</t>
  </si>
  <si>
    <t>[1368158, 1368166]</t>
  </si>
  <si>
    <t>[1262140, 1262143]</t>
  </si>
  <si>
    <t>[1262138, 1262140]</t>
  </si>
  <si>
    <t>[0.102, 0.059]</t>
  </si>
  <si>
    <t>21.01134795864323</t>
  </si>
  <si>
    <t>[-0.693, 0.001, 0.007, 0.0, 0.012, 0.209]</t>
  </si>
  <si>
    <t>LINESTRING (5.755263600744975 58.82197015455714, 5.755267314376361 58.821898314778394, 5.7552363590764175 58.821756841951554, 5.755162861165463 58.82163449813364, 5.755156241086301 58.82162599594798, 5.755022535146826 58.821489427003854, 5.754957059091638 58.82142798735586)</t>
  </si>
  <si>
    <t>[2012226, 2012234, 2012242, 2012250, 2012258, 2012266]</t>
  </si>
  <si>
    <t>[1760244, 1760250, 1760254, 1760261, 1760265, 1262166]</t>
  </si>
  <si>
    <t>[1262138, 1760244, 1760250, 1760254, 1760261, 1760265]</t>
  </si>
  <si>
    <t>[0.693, 0.001, 0.007, 0.0, 0.012, 0.209]</t>
  </si>
  <si>
    <t>64.23955074329342</t>
  </si>
  <si>
    <t>11.936723563861197</t>
  </si>
  <si>
    <t>[-0.02, -0.023, -0.05, -0.074, -0.063, -0.071]</t>
  </si>
  <si>
    <t>LINESTRING (5.755578177451413 58.82193151916243, 5.755507080415549 58.82186271613185, 5.75538460700433 58.82173569680447, 5.755303303932333 58.82161367490987, 5.75529918435455 58.821604684659484, 5.755260216836105 58.82145418442115, 5.755258055638837 58.821384757676554)</t>
  </si>
  <si>
    <t>[2003000, 2003008, 2003016, 2003024, 2003032, 2003040]</t>
  </si>
  <si>
    <t>[1754885, 1754889, 1754893, 1754897, 1754900, 1262187]</t>
  </si>
  <si>
    <t>[1262143, 1754885, 1754889, 1754893, 1754897, 1754900]</t>
  </si>
  <si>
    <t>[0.02, 0.023, 0.05, 0.074, 0.063, 0.071]</t>
  </si>
  <si>
    <t>64.7737070291754</t>
  </si>
  <si>
    <t>[0.009, 0.022, 0.803]</t>
  </si>
  <si>
    <t>LINESTRING (5.760669117535083 58.82056019890678, 5.760260956163499 58.82073574526902, 5.755772277360307 58.82200961209581, 5.755669419893835 58.82202386125197)</t>
  </si>
  <si>
    <t>[1375864, 1851031, 1851049]</t>
  </si>
  <si>
    <t>[1267548, 1620701, 1262147]</t>
  </si>
  <si>
    <t>0.0352417259125935</t>
  </si>
  <si>
    <t>[1267547, 1267548, 1620701]</t>
  </si>
  <si>
    <t>333.71269564242124</t>
  </si>
  <si>
    <t>13.963566804484397</t>
  </si>
  <si>
    <t>[0.077, 0.028]</t>
  </si>
  <si>
    <t>LINESTRING (5.755258055638837 58.821384757676554, 5.755125203445476 58.821438957158485, 5.754957059091638 58.82142798735586)</t>
  </si>
  <si>
    <t>[1368254, 1368262]</t>
  </si>
  <si>
    <t>[1262192, 1262166]</t>
  </si>
  <si>
    <t>0.05246806285778751</t>
  </si>
  <si>
    <t>[1262187, 1262192]</t>
  </si>
  <si>
    <t>19.616150135808724</t>
  </si>
  <si>
    <t>[-0.094, -0.079, -0.031, 0.01]</t>
  </si>
  <si>
    <t>LINESTRING (5.754847693210306 58.82132204649801, 5.754858481332326 58.82129354876422, 5.754952021951555 58.82123262467654, 5.755099217837595 58.82121714189144, 5.755231226800183 58.82125432678622)</t>
  </si>
  <si>
    <t>[1368214, 1368222, 1368230, 1368238]</t>
  </si>
  <si>
    <t>[1262169, 1262175, 1262178, 1262183]</t>
  </si>
  <si>
    <t>[1262167, 1262169, 1262175, 1262178]</t>
  </si>
  <si>
    <t>[0.094, 0.079, 0.031, 0.01]</t>
  </si>
  <si>
    <t>29.356332411639173</t>
  </si>
  <si>
    <t>[0.036, -0.02, -0.036, -0.032, -0.027, 0.058]</t>
  </si>
  <si>
    <t>LINESTRING (5.748695683721024 58.82255291409412, 5.749387013984849 58.82242403473027, 5.751639957318055 58.82207209165682, 5.7516750246304715 58.82206601392795, 5.7545681996324936 58.82139809327012, 5.754743853557014 58.82135060031106, 5.754847693210306 58.82132204649801)</t>
  </si>
  <si>
    <t>[1375848, 1851751, 1851752, 1851767, 1851774, 1851793]</t>
  </si>
  <si>
    <t>[1267536, 1621371, 1621372, 1621386, 1621395, 1262167]</t>
  </si>
  <si>
    <t>[1267535, 1267536, 1621371, 1621372, 1621386, 1621395]</t>
  </si>
  <si>
    <t>[0.036, 0.02, 0.036, 0.032, 0.027, 0.058]</t>
  </si>
  <si>
    <t>383.2898296953542</t>
  </si>
  <si>
    <t>15.376944765305787</t>
  </si>
  <si>
    <t>[-0.039, -0.019, -0.003]</t>
  </si>
  <si>
    <t>LINESTRING (5.755231226800183 58.82125432678622, 5.75534511215509 58.82124610646262, 5.76184910277297 58.81994470728458, 5.762242926889968 58.81975519141862)</t>
  </si>
  <si>
    <t>[1851844, 1851845, 1375856]</t>
  </si>
  <si>
    <t>[1621459, 1267544, 1267545]</t>
  </si>
  <si>
    <t>[1262183, 1621459, 1267544]</t>
  </si>
  <si>
    <t>[0.039, 0.019, 0.003]</t>
  </si>
  <si>
    <t>455.9020151186945</t>
  </si>
  <si>
    <t>[-0.067, -0.095, -0.086, -0.025, -0.002, 0.003, -0.016, -0.005, 0.041, 0.042, 0.042, 0.204, 0.226, 0.238]</t>
  </si>
  <si>
    <t>LINESTRING (7.760849075009339 62.493592223142215, 7.761605878467377 62.4946600811663, 7.761570784748363 62.49470690150277, 7.761475737982786 62.494961668108274, 7.7630663229203885 62.495704613132155, 7.764491039704492 62.496351358330216, 7.764735710674365 62.49655360898985, 7.76890099878441 62.50093035111057, 7.769609034134858 62.50168954494431, 7.769788352389292 62.50171919161725, 7.769891731129699 62.50173000817895, 7.770044256025354 62.501746186208095, 7.770303727117934 62.501774790655475, 7.770788048515288 62.50183619334805, 7.7708553452098466 62.501844383511646)</t>
  </si>
  <si>
    <t>[1368418, 1368426, 1368434, 1368442, 1327408, 1327416, 1327424, 1368353, 1368361, 1368369, 1368377, 1368385, 1368393, 1368401]</t>
  </si>
  <si>
    <t>[1262303, 1262308, 1262295, 1233146, 1233147, 1233153, 1233159, 1262257, 1262264, 1262270, 1262274, 1262279, 1262283, 1262287]</t>
  </si>
  <si>
    <t>[1262302, 1262303, 1262308, 1262295, 1233146, 1233147, 1233153, 1233159, 1262257, 1262264, 1262270, 1262274, 1262279, 1262283]</t>
  </si>
  <si>
    <t>[0.067, 0.095, 0.086, 0.025, 0.002, 0.003, 0.016, 0.005, 0.041, 0.042, 0.042, 0.204, 0.226, 0.238]</t>
  </si>
  <si>
    <t>1130.8989826392128</t>
  </si>
  <si>
    <t>[-0.053, -0.08]</t>
  </si>
  <si>
    <t>LINESTRING (7.761456226832425 62.49332515895085, 7.761365730410288 62.49334346499846, 7.760849075009339 62.493592223142215)</t>
  </si>
  <si>
    <t>[1368522, 1368530]</t>
  </si>
  <si>
    <t>[1262375, 1262302]</t>
  </si>
  <si>
    <t>[1262329, 1262375]</t>
  </si>
  <si>
    <t>[0.053, 0.08]</t>
  </si>
  <si>
    <t>46.52148522072286</t>
  </si>
  <si>
    <t>[-0.036, -0.071]</t>
  </si>
  <si>
    <t>LINESTRING (7.761524575916197 62.49342803775059, 7.761444132316308 62.49343348585267, 7.760849075009339 62.493592223142215)</t>
  </si>
  <si>
    <t>[1368506, 1368514]</t>
  </si>
  <si>
    <t>[1262364, 1262302]</t>
  </si>
  <si>
    <t>[1262340, 1262364]</t>
  </si>
  <si>
    <t>[0.036, 0.071]</t>
  </si>
  <si>
    <t>40.73027446700241</t>
  </si>
  <si>
    <t>[-0.066, -0.075]</t>
  </si>
  <si>
    <t>LINESTRING (7.761456226832425 62.49332515895085, 7.761488972617552 62.49338002265813, 7.761524575916197 62.49342803775059)</t>
  </si>
  <si>
    <t>[1368466, 1368474]</t>
  </si>
  <si>
    <t>[1262336, 1262340]</t>
  </si>
  <si>
    <t>[1262329, 1262336]</t>
  </si>
  <si>
    <t>[0.066, 0.075]</t>
  </si>
  <si>
    <t>12.016483942351657</t>
  </si>
  <si>
    <t>2754.0</t>
  </si>
  <si>
    <t>LINESTRING (8.003803990168796 62.401787204896316, 7.761456226832425 62.49332515895085)</t>
  </si>
  <si>
    <t>32.853366653871625</t>
  </si>
  <si>
    <t>[0.002, -0.001]</t>
  </si>
  <si>
    <t>LINESTRING (10.256628487015865 59.76585375373187, 10.256662598395001 59.76588601929346, 10.256856022093242 59.76606463426976)</t>
  </si>
  <si>
    <t>[1369316, 1369324]</t>
  </si>
  <si>
    <t>[1262918, 1262925]</t>
  </si>
  <si>
    <t>[1262917, 1262918]</t>
  </si>
  <si>
    <t>26.760489769639513</t>
  </si>
  <si>
    <t>LINESTRING (10.25686695885754 59.76581578362069, 10.256756802630438 59.76584804956797, 10.256628487015865 59.76585375373187)</t>
  </si>
  <si>
    <t>[1369476, 1369484]</t>
  </si>
  <si>
    <t>[1263027, 1262917]</t>
  </si>
  <si>
    <t>0.0074972097985442025</t>
  </si>
  <si>
    <t>[1262937, 1263027]</t>
  </si>
  <si>
    <t>14.403407220465468</t>
  </si>
  <si>
    <t>LINESTRING (10.25686695885754 59.76581578362069, 10.25687269326904 59.76585322946953, 10.256856022093242 59.76606463426976)</t>
  </si>
  <si>
    <t>[1369348, 1369356]</t>
  </si>
  <si>
    <t>[1262938, 1262925]</t>
  </si>
  <si>
    <t>0.0038504363917791226</t>
  </si>
  <si>
    <t>[1262937, 1262938]</t>
  </si>
  <si>
    <t>27.989213071068466</t>
  </si>
  <si>
    <t>[-0.001, 0.003, 0.005, 0.006]</t>
  </si>
  <si>
    <t>LINESTRING (10.25681144661737 59.76557775262051, 10.256947965359995 59.76566238292787, 10.256959186352429 59.76572647188641, 10.25691431898953 59.76578745342759, 10.25686695885754 59.76581578362069)</t>
  </si>
  <si>
    <t>[1369444, 1369452, 1369460, 1369468]</t>
  </si>
  <si>
    <t>[1262971, 1263008, 1262954, 1262937]</t>
  </si>
  <si>
    <t>0.0022685287061694225</t>
  </si>
  <si>
    <t>[1262984, 1262971, 1263008, 1262954]</t>
  </si>
  <si>
    <t>[0.001, 0.003, 0.005, 0.006]</t>
  </si>
  <si>
    <t>30.93068143252491</t>
  </si>
  <si>
    <t>10.20851115506857</t>
  </si>
  <si>
    <t>LINESTRING (10.256733424617316 59.76532244712856, 10.256803899357994 59.76554177033197, 10.25681144661737 59.76557775262051)</t>
  </si>
  <si>
    <t>[1369412, 1369420]</t>
  </si>
  <si>
    <t>[1262977, 1262984]</t>
  </si>
  <si>
    <t>0.0001393223828844568</t>
  </si>
  <si>
    <t>[1262976, 1262977]</t>
  </si>
  <si>
    <t>28.94717189198288</t>
  </si>
  <si>
    <t>LINESTRING (10.256733424617316 59.76532244712856, 10.256595463420615 59.765531534854006, 10.256562000806918 59.76556873265145)</t>
  </si>
  <si>
    <t>[1369428, 1369436]</t>
  </si>
  <si>
    <t>[1262987, 1262994]</t>
  </si>
  <si>
    <t>[1262976, 1262987]</t>
  </si>
  <si>
    <t>29.114802745746317</t>
  </si>
  <si>
    <t>[0.012, 0.004]</t>
  </si>
  <si>
    <t>LINESTRING (10.256543958839213 59.76416497987876, 10.256573000503943 59.76444118131305, 10.256733424617316 59.76532244712856)</t>
  </si>
  <si>
    <t>[2099462, 1634845]</t>
  </si>
  <si>
    <t>[1461639, 1262976]</t>
  </si>
  <si>
    <t>0.005904948389426627</t>
  </si>
  <si>
    <t>[1815310, 1461639]</t>
  </si>
  <si>
    <t>129.46842686934025</t>
  </si>
  <si>
    <t>LINESTRING (10.256562000806918 59.76556873265145, 10.256689265501969 59.765559122809684, 10.25681144661737 59.76557775262051)</t>
  </si>
  <si>
    <t>[1369508, 1369516]</t>
  </si>
  <si>
    <t>[1263046, 1262984]</t>
  </si>
  <si>
    <t>[1262994, 1263046]</t>
  </si>
  <si>
    <t>14.410738118039806</t>
  </si>
  <si>
    <t>[-0.097, -0.071, -0.047, -0.122, 0.071, 0.067, 0.099, 0.06]</t>
  </si>
  <si>
    <t>LINESTRING (6.458264663354238 61.56601487208605, 6.459489846767616 61.56585655954735, 6.459586032382529 61.56586352009826, 6.459715194323143 61.56587478823063, 6.460843593520396 61.56608971075652, 6.461540185634088 61.5664169152542, 6.461925366609019 61.56660295312972, 6.462434659123237 61.56684829631661, 6.464265646346816 61.567652155087806)</t>
  </si>
  <si>
    <t>[1369695, 1369703, 1369711, 1892540, 1892548, 1892556, 1892557, 1892564]</t>
  </si>
  <si>
    <t>[1263184, 1263191, 1263197, 1663324, 1663329, 1648016, 1663335, 1170986]</t>
  </si>
  <si>
    <t>0.0038012639695590203</t>
  </si>
  <si>
    <t>[1263183, 1263184, 1263191, 1263197, 1663324, 1663329, 1648016, 1663335]</t>
  </si>
  <si>
    <t>[0.097, 0.071, 0.047, 0.122, 0.071, 0.067, 0.099, 0.06]</t>
  </si>
  <si>
    <t>404.6682678633842</t>
  </si>
  <si>
    <t>[-0.032, 0.24]</t>
  </si>
  <si>
    <t>LINESTRING (10.28021097088819 60.05086759146789, 10.281268209581498 60.05140138486368, 10.281429271751756 60.05144559683234)</t>
  </si>
  <si>
    <t>[2080508, 2080516]</t>
  </si>
  <si>
    <t>[1803932, 1263193]</t>
  </si>
  <si>
    <t>[1803928, 1803932]</t>
  </si>
  <si>
    <t>[0.032, 0.24]</t>
  </si>
  <si>
    <t>94.32951888072586</t>
  </si>
  <si>
    <t>11.212951242210234</t>
  </si>
  <si>
    <t>[-0.026, -0.018, 0.0, 0.007]</t>
  </si>
  <si>
    <t>LINESTRING (8.046374837354358 58.163117632417595, 8.04714698050144 58.16287028476891, 8.047610650062879 58.162750857843946, 8.050115962489942 58.162251342882946, 8.057083185377895 58.161216696574215)</t>
  </si>
  <si>
    <t>[1371359, 1371295, 1371303, 1371311]</t>
  </si>
  <si>
    <t>[1264252, 1264253, 1264258, 1264264]</t>
  </si>
  <si>
    <t>0.0015813584732263576</t>
  </si>
  <si>
    <t>[1264290, 1264252, 1264253, 1264258]</t>
  </si>
  <si>
    <t>[0.026, 0.018, 0.0, 0.007]</t>
  </si>
  <si>
    <t>668.5089980576637</t>
  </si>
  <si>
    <t>[-0.028, -0.026]</t>
  </si>
  <si>
    <t>LINESTRING (8.046079870667254 58.16339669474432, 8.046515153495681 58.163224252617844, 8.047260235100664 58.16298318122048)</t>
  </si>
  <si>
    <t>[1371375, 1371383]</t>
  </si>
  <si>
    <t>[1264315, 1264323]</t>
  </si>
  <si>
    <t>[1264308, 1264315]</t>
  </si>
  <si>
    <t>[0.028, 0.026]</t>
  </si>
  <si>
    <t>83.58411265129935</t>
  </si>
  <si>
    <t>[-0.01, 0.0, -0.001, 0.013]</t>
  </si>
  <si>
    <t>LINESTRING (8.058184451463271 58.16122454898564, 8.053662548260121 58.161794958380696, 8.050114568122655 58.16238463543541, 8.047709070870884 58.1628663660478, 8.047260235100664 58.16298318122048)</t>
  </si>
  <si>
    <t>[1623955, 1623963, 1623971, 1371495]</t>
  </si>
  <si>
    <t>[1453481, 1453485, 1264414, 1264323]</t>
  </si>
  <si>
    <t>[1453477, 1453481, 1453485, 1264414]</t>
  </si>
  <si>
    <t>[0.01, 0.0, 0.001, 0.013]</t>
  </si>
  <si>
    <t>674.6826972559649</t>
  </si>
  <si>
    <t>[-0.004, -0.043, -0.004, 0.419]</t>
  </si>
  <si>
    <t>LINESTRING (10.030621389606914 59.75017711939552, 10.030420988752194 59.75032924380912, 10.03009144184391 59.75054161472808, 10.028686540146317 59.75233111229133, 10.028758745122442 59.752297594880474)</t>
  </si>
  <si>
    <t>[1372790, 2094893, 2094901, 2094909]</t>
  </si>
  <si>
    <t>[1265437, 1812447, 1812451, 1300784]</t>
  </si>
  <si>
    <t>[1265436, 1265437, 1812447, 1812451]</t>
  </si>
  <si>
    <t>[0.004, 0.043, 0.004, 0.419]</t>
  </si>
  <si>
    <t>433.90412320668156</t>
  </si>
  <si>
    <t>[-0.002, 0.004, 0.005]</t>
  </si>
  <si>
    <t>LINESTRING (10.030621389606914 59.75017711939552, 10.022318219652611 59.752075582184844, 10.021771652033468 59.75203969831879, 10.020470400488863 59.75195817531344)</t>
  </si>
  <si>
    <t>[1416749, 1416757, 1416773]</t>
  </si>
  <si>
    <t>[1294173, 1294179, 1294187]</t>
  </si>
  <si>
    <t>[1265436, 1294173, 1294179]</t>
  </si>
  <si>
    <t>[0.002, 0.004, 0.005]</t>
  </si>
  <si>
    <t>657.0711878182055</t>
  </si>
  <si>
    <t>LINESTRING (10.02879059414553 59.752203441490764, 10.028745975554433 59.75215586849727, 10.028505596830941 59.75192634412574)</t>
  </si>
  <si>
    <t>[1372814, 1372822]</t>
  </si>
  <si>
    <t>[1265459, 1265470]</t>
  </si>
  <si>
    <t>0.015662871768915152</t>
  </si>
  <si>
    <t>[1265458, 1265459]</t>
  </si>
  <si>
    <t>34.80489330925138</t>
  </si>
  <si>
    <t>LINESTRING (10.02879059414553 59.752203441490764, 10.028882883984139 59.75215836060149, 10.029006500984204 59.75214235599177)</t>
  </si>
  <si>
    <t>[1427229, 1427237]</t>
  </si>
  <si>
    <t>[1300791, 1300796]</t>
  </si>
  <si>
    <t>0.00700968871565674</t>
  </si>
  <si>
    <t>[1265458, 1300791]</t>
  </si>
  <si>
    <t>14.403396688735869</t>
  </si>
  <si>
    <t>10.835122396826332</t>
  </si>
  <si>
    <t>[-0.074, 0.006, 0.032]</t>
  </si>
  <si>
    <t>LINESTRING (10.028505596830941 59.75192634412574, 10.028004810860816 59.75178140562244, 10.027283401379563 59.75163349527304, 10.026201072971256 59.75152586734276)</t>
  </si>
  <si>
    <t>[2094917, 2094925, 2094933]</t>
  </si>
  <si>
    <t>[1812458, 1812463, 1432423]</t>
  </si>
  <si>
    <t>[1265470, 1812458, 1812463]</t>
  </si>
  <si>
    <t>[0.074, 0.006, 0.032]</t>
  </si>
  <si>
    <t>138.74873326999574</t>
  </si>
  <si>
    <t>LINESTRING (10.029006500984204 59.75214235599177, 10.028938169219918 59.752098382154635, 10.028505596830941 59.75192634412574)</t>
  </si>
  <si>
    <t>[1593208, 1593216]</t>
  </si>
  <si>
    <t>[1432365, 1265470]</t>
  </si>
  <si>
    <t>0.01216563746675385</t>
  </si>
  <si>
    <t>[1300796, 1432365]</t>
  </si>
  <si>
    <t>37.60601223524246</t>
  </si>
  <si>
    <t>[-0.042, 0.075, 0.074, 0.075, -0.238]</t>
  </si>
  <si>
    <t>LINESTRING (6.085746978725101 58.62871270523826, 6.085627188207626 58.628797221103646, 6.084546144887351 58.62907441908058, 6.0830177905585465 58.62938862899508, 6.082924139522795 58.62941065353003, 6.082797815315913 58.6294696654812)</t>
  </si>
  <si>
    <t>[2078190, 2078198, 1207813, 1207821, 1373750]</t>
  </si>
  <si>
    <t>[1802394, 1131381, 1131382, 1131389, 1265957]</t>
  </si>
  <si>
    <t>0.05143293470916692</t>
  </si>
  <si>
    <t>[1615942, 1802394, 1131381, 1131382, 1131389]</t>
  </si>
  <si>
    <t>[0.042, 0.075, 0.074, 0.075, 0.238]</t>
  </si>
  <si>
    <t>193.57066861469883</t>
  </si>
  <si>
    <t>[0.008, 0.015, 0.017, 0.018, -0.049, 0.004, 0.031, 0.038, 0.035, 0.04]</t>
  </si>
  <si>
    <t>[0, 0, 1, 1, 0, 1, 0, 1, 0, 0]</t>
  </si>
  <si>
    <t>LINESTRING (5.748695683721024 58.82255291409412, 5.747445207336307 58.82274988867636, 5.747276319643675 58.822776283071505, 5.7471494088004516 58.82279650378641, 5.747079725703213 58.82280761422121, 5.738672374862009 58.82777126978379, 5.738096878050719 58.82863615508544, 5.737219107266966 58.83025240635163, 5.737149877288623 58.830435172000044, 5.736697913275077 58.83225677893249, 5.736675047125536 58.832464171047405)</t>
  </si>
  <si>
    <t>[1375968, 1375976, 1375984, 1375992, 1376072, 1376080, 1376085, 1376086, 1423610, 1423618]</t>
  </si>
  <si>
    <t>[1267640, 1267648, 1267653, 1267660, 1267730, 1267737, 1267743, 1267744, 1298679, 1296772]</t>
  </si>
  <si>
    <t>[1267535, 1267640, 1267648, 1267653, 1267660, 1267730, 1267737, 1267743, 1267744, 1298679]</t>
  </si>
  <si>
    <t>[0.008, 0.015, 0.017, 0.018, 0.049, 0.004, 0.031, 0.038, 0.035, 0.04]</t>
  </si>
  <si>
    <t>1409.219860970548</t>
  </si>
  <si>
    <t>[0.004, 0.009, 0.034, 0.069, 0.042, 0.06, -0.014]</t>
  </si>
  <si>
    <t>LINESTRING (5.762242926889968 58.81975519141862, 5.761333807586184 58.820219094813666, 5.7597845475608995 58.820802485579364, 5.755614137493209 58.82160746178962, 5.7548024447202515 58.821705974896574, 5.752358515827271 58.822013323940574, 5.7523374863170025 58.8220161781011, 5.748695683721024 58.82255291409412)</t>
  </si>
  <si>
    <t>[1375912, 1375920, 1375928, 1375936, 1375944, 1375952, 1375960]</t>
  </si>
  <si>
    <t>[1267583, 1267594, 1267602, 1267609, 1267617, 1267624, 1267535]</t>
  </si>
  <si>
    <t>0.019279431682785824</t>
  </si>
  <si>
    <t>[1267545, 1267583, 1267594, 1267602, 1267609, 1267617, 1267624]</t>
  </si>
  <si>
    <t>[0.004, 0.009, 0.034, 0.069, 0.042, 0.06, 0.014]</t>
  </si>
  <si>
    <t>858.5185118386906</t>
  </si>
  <si>
    <t>[0.03, 0.071, 0.044, -0.004, -0.013, -0.001, 0.014, 0.017, 0.016, -0.049, 0.003, 0.03, 0.035, 0.033]</t>
  </si>
  <si>
    <t>[0, 1, 0, 0, 0, 0, 0, 1, 1, 0, 1, 0, 1, 0]</t>
  </si>
  <si>
    <t>LINESTRING (5.760669117535083 58.82056019890678, 5.755656862621313 58.82164949298979, 5.754825202233402 58.8217509918793, 5.752484670799309 58.822050639955165, 5.752464526365704 58.82205337735811, 5.748971017223301 58.82256337991254, 5.747534970499883 58.82279333519301, 5.747343061223787 58.82282746321428, 5.747214062105767 58.82284968366096, 5.747150505828707 58.82286062256664, 5.738762131728024 58.82778806489387, 5.73818507450944 58.82865292797912, 5.7373067109287295 58.83027139587681, 5.737248772147948 58.830440701142976, 5.736918231175897 58.83227230483392)</t>
  </si>
  <si>
    <t>[1376179, 1376180, 1376219, 1376220, 1376234, 1376235, 1376257, 1376264, 1376265, 1376040, 1376049, 1376057, 1376065, 1423722]</t>
  </si>
  <si>
    <t>[1267816, 1267817, 1267846, 1267847, 1267858, 1267859, 1267881, 1267884, 1267701, 1267702, 1267710, 1267719, 1267724, 1296767]</t>
  </si>
  <si>
    <t>[1267547, 1267816, 1267817, 1267846, 1267847, 1267858, 1267859, 1267881, 1267884, 1267701, 1267702, 1267710, 1267719, 1267724]</t>
  </si>
  <si>
    <t>[0.03, 0.071, 0.044, 0.004, 0.013, 0.001, 0.014, 0.017, 0.016, 0.049, 0.003, 0.03, 0.035, 0.033]</t>
  </si>
  <si>
    <t>2111.1278105244483</t>
  </si>
  <si>
    <t>[-0.234, -0.232]</t>
  </si>
  <si>
    <t>LINESTRING (6.164859356586233 58.5365247286334, 6.164864274758125 58.53654422368141, 6.164856629471809 58.53673982192599)</t>
  </si>
  <si>
    <t>[1377930, 1377931]</t>
  </si>
  <si>
    <t>[1269060, 466236]</t>
  </si>
  <si>
    <t>[1269059, 1269060]</t>
  </si>
  <si>
    <t>[0.234, 0.232]</t>
  </si>
  <si>
    <t>24.322502005535103</t>
  </si>
  <si>
    <t>[0.041, 0.037, 0.054]</t>
  </si>
  <si>
    <t>LINESTRING (6.165174605330304 58.53665120487006, 6.16500048273279 58.536581345951454, 6.164882040102829 58.53653382383963, 6.164859356586233 58.5365247286334)</t>
  </si>
  <si>
    <t>[1378207, 1378214, 1378222]</t>
  </si>
  <si>
    <t>[1269197, 1269204, 1269059]</t>
  </si>
  <si>
    <t>0.04043231668128942</t>
  </si>
  <si>
    <t>[1269067, 1269197, 1269204]</t>
  </si>
  <si>
    <t>23.209147968709072</t>
  </si>
  <si>
    <t>[-0.034, 0.255, 0.294, 0.053, 0.004]</t>
  </si>
  <si>
    <t>LINESTRING (6.164856629471809 58.53673982192599, 6.1657977527072285 58.53705422255471, 6.165916225970196 58.536990189965124, 6.166075955690448 58.53688467661948, 6.164927403230111 58.536360563590556, 6.163849382456475 58.53588124497239)</t>
  </si>
  <si>
    <t>[1379438, 1379446, 1379454, 1379462, 1379470]</t>
  </si>
  <si>
    <t>[1269264, 1269801, 1269806, 1269265, 1269075]</t>
  </si>
  <si>
    <t>0.037083244781114445</t>
  </si>
  <si>
    <t>[466236, 1269264, 1269801, 1269806, 1269265]</t>
  </si>
  <si>
    <t>[0.034, 0.255, 0.294, 0.053, 0.004]</t>
  </si>
  <si>
    <t>289.8266727787802</t>
  </si>
  <si>
    <t>[-0.118, -0.228]</t>
  </si>
  <si>
    <t>LINESTRING (6.165174605330304 58.53665120487006, 6.165129844165356 58.536653646516015, 6.164856629471809 58.53673982192599)</t>
  </si>
  <si>
    <t>[1377939, 1377947]</t>
  </si>
  <si>
    <t>[1269068, 466236]</t>
  </si>
  <si>
    <t>[1269067, 1269068]</t>
  </si>
  <si>
    <t>[0.118, 0.228]</t>
  </si>
  <si>
    <t>21.904712575302216</t>
  </si>
  <si>
    <t>[-0.239, -0.275, -0.243, -0.216]</t>
  </si>
  <si>
    <t>LINESTRING (6.163849382456475 58.53588124497239, 6.1637010908604575 58.53590772642731, 6.16367466454334 58.53591836540295, 6.163451011181411 58.53599413924141, 6.163405828069994 58.536004308354734)</t>
  </si>
  <si>
    <t>[1377952, 1377953, 1377954, 1377962]</t>
  </si>
  <si>
    <t>[1269076, 1269077, 1269078, 1269083]</t>
  </si>
  <si>
    <t>[1269075, 1269076, 1269077, 1269078]</t>
  </si>
  <si>
    <t>[0.239, 0.275, 0.243, 0.216]</t>
  </si>
  <si>
    <t>29.98780654066015</t>
  </si>
  <si>
    <t>[-0.258, -0.221, -0.205, -0.048]</t>
  </si>
  <si>
    <t>LINESTRING (6.163849382456475 58.53588124497239, 6.1637964383950345 58.53593788984804, 6.1637755559790195 58.53596119499396, 6.163770580228763 58.53606533506629, 6.16377858006518 58.53608445687002)</t>
  </si>
  <si>
    <t>[1377963, 1377964, 1377971, 1377974]</t>
  </si>
  <si>
    <t>[1269084, 1269085, 1269088, 1269091]</t>
  </si>
  <si>
    <t>[1269075, 1269084, 1269085, 1269088]</t>
  </si>
  <si>
    <t>[0.258, 0.221, 0.205, 0.048]</t>
  </si>
  <si>
    <t>23.74040301707173</t>
  </si>
  <si>
    <t>[-0.095, -0.1]</t>
  </si>
  <si>
    <t>LINESTRING (6.16377858006518 58.53608445687002, 6.163602164090679 58.53604409356507, 6.163405828069994 58.536004308354734)</t>
  </si>
  <si>
    <t>[1378073, 1378086]</t>
  </si>
  <si>
    <t>[1269133, 1269083]</t>
  </si>
  <si>
    <t>[1269091, 1269133]</t>
  </si>
  <si>
    <t>[0.095, 0.1]</t>
  </si>
  <si>
    <t>23.54723029089987</t>
  </si>
  <si>
    <t>[0.033, 0.029, 0.027]</t>
  </si>
  <si>
    <t>LINESTRING (10.798476868041371 59.91225369142196, 10.798772967173436 59.91234419129926, 10.799607036669995 59.9124531357744, 10.79968876790407 59.91246534674288)</t>
  </si>
  <si>
    <t>[1380449, 1380457, 1380465]</t>
  </si>
  <si>
    <t>[1270164, 1270170, 1270177]</t>
  </si>
  <si>
    <t>0.029938261954817712</t>
  </si>
  <si>
    <t>[1270102, 1270164, 1270170]</t>
  </si>
  <si>
    <t>72.52759067223573</t>
  </si>
  <si>
    <t>28.9228540495653</t>
  </si>
  <si>
    <t>[0.019, 0.011, 0.002]</t>
  </si>
  <si>
    <t>LINESTRING (10.799973781231596 59.912489115427746, 10.799993170666488 59.91253271307632, 10.799970361729184 59.91257373241304, 10.799908979310581 59.912605599473586)</t>
  </si>
  <si>
    <t>[1380537, 1380545, 1380553]</t>
  </si>
  <si>
    <t>[1270128, 1270241, 1270219]</t>
  </si>
  <si>
    <t>0.010683519028967296</t>
  </si>
  <si>
    <t>[1270193, 1270128, 1270241]</t>
  </si>
  <si>
    <t>14.665241443662957</t>
  </si>
  <si>
    <t>9.839711835342857</t>
  </si>
  <si>
    <t>[0.011, -0.021, 0.045, 0.034, 0.051, 0.154]</t>
  </si>
  <si>
    <t>LINESTRING (10.632016005549486 59.91159914910643, 10.630095289498412 59.910813502374815, 10.627729451703052 59.91048716332444, 10.627714640536997 59.910482291932404, 10.627136214510013 59.90980158105812, 10.62772476429334 59.90865032234495, 10.627765330332876 59.908573436019196)</t>
  </si>
  <si>
    <t>[1380617, 1504334, 1504340, 1504348, 1504356, 1553967]</t>
  </si>
  <si>
    <t>[1270294, 1360374, 1360377, 1360383, 1360389, 1365962]</t>
  </si>
  <si>
    <t>0.01899143229855676</t>
  </si>
  <si>
    <t>[1270287, 1270294, 1360374, 1360377, 1360383, 1360389]</t>
  </si>
  <si>
    <t>[0.011, 0.021, 0.045, 0.034, 0.051, 0.154]</t>
  </si>
  <si>
    <t>510.7906366013787</t>
  </si>
  <si>
    <t>10.930486219633458</t>
  </si>
  <si>
    <t>[-0.032, 0.053, 0.025, -0.01, -0.014, 0.007, -0.006, -0.009, 0.028, 0.042]</t>
  </si>
  <si>
    <t>LINESTRING (10.631943504955384 59.91151871572341, 10.631110309564521 59.91118479536446, 10.630982507012193 59.911133414407985, 10.630259923385786 59.91084828424586, 10.63017563434005 59.9108152709819, 10.629847582528809 59.91068208089324, 10.629327143527929 59.91045158730029, 10.62858612460924 59.910160493519086, 10.62857167548894 59.910155184628124, 10.627805574703533 59.909886858107924, 10.627760825384742 59.909871792812986)</t>
  </si>
  <si>
    <t>[1552527, 1552535, 1552543, 1552551, 1552559, 1552567, 1552575, 1552583, 1552591, 1552599]</t>
  </si>
  <si>
    <t>[1401359, 1401367, 1401376, 1401383, 1401392, 1401398, 1401405, 1401413, 1401419, 1401426]</t>
  </si>
  <si>
    <t>0.0033907246007428993</t>
  </si>
  <si>
    <t>[1270299, 1401359, 1401367, 1401376, 1401383, 1401392, 1401398, 1401405, 1401413, 1401419]</t>
  </si>
  <si>
    <t>[0.032, 0.053, 0.025, 0.01, 0.014, 0.007, 0.006, 0.009, 0.028, 0.042]</t>
  </si>
  <si>
    <t>297.63666157686055</t>
  </si>
  <si>
    <t>18.695453992666856</t>
  </si>
  <si>
    <t>[-0.039, -0.062, -0.053, -0.321, 0.024]</t>
  </si>
  <si>
    <t>LINESTRING (10.734069500345354 59.70798916785683, 10.734247333656327 59.70789244716979, 10.73630762104877 59.70743671478335, 10.73633291526028 59.70743247507689, 10.737082666625959 59.70714333006013, 10.737542073073161 59.70594497409069)</t>
  </si>
  <si>
    <t>[1382766, 1498726, 1498731, 1498739, 1498760]</t>
  </si>
  <si>
    <t>[1271279, 1356501, 1356504, 1356512, 1356527]</t>
  </si>
  <si>
    <t>[1271278, 1271279, 1356501, 1356504, 1356512]</t>
  </si>
  <si>
    <t>[0.039, 0.062, 0.053, 0.321, 0.024]</t>
  </si>
  <si>
    <t>334.9369248509439</t>
  </si>
  <si>
    <t>[0.021, -0.26, 0.049, -0.055, -0.021]</t>
  </si>
  <si>
    <t>LINESTRING (10.734069500345354 59.70798916785683, 10.730545811387405 59.70861718099298, 10.730223325113123 59.70866553841305, 10.728404838941966 59.70893665721068, 10.727286219406093 59.70909572181826, 10.723962762643007 59.70961783345755)</t>
  </si>
  <si>
    <t>[1507060, 1507068, 1507076, 1507084, 1507085]</t>
  </si>
  <si>
    <t>[1362858, 1362866, 1362877, 1362886, 1359872]</t>
  </si>
  <si>
    <t>[1271278, 1362858, 1362866, 1362877, 1362886]</t>
  </si>
  <si>
    <t>[0.021, 0.26, 0.049, 0.055, 0.021]</t>
  </si>
  <si>
    <t>598.1331178485128</t>
  </si>
  <si>
    <t>[-0.04, 0.0, -0.023, -0.02, 0.029, 0.466, 0.45, 0.445, 0.095, 0.065]</t>
  </si>
  <si>
    <t>[0, 0, 0, 1, 1, 1, 0, 0, 0, 0]</t>
  </si>
  <si>
    <t>LINESTRING (10.739147572451111 59.70685050323498, 10.739023857182133 59.70689831103303, 10.739020894036093 59.70689950055275, 10.738863886381456 59.70696237543224, 10.737934652678817 59.70717617818451, 10.737068633271655 59.70735912003025, 10.736741341771214 59.70742121128555, 10.736473606231204 59.7074670032613, 10.73639473691219 59.70748123485488, 10.73629921125162 59.707498953000254, 10.734069500345354 59.70798916785683)</t>
  </si>
  <si>
    <t>[1506988, 1506995, 1506996, 1507019, 1507027, 1507028, 1507035, 1507043, 1507044, 1507051]</t>
  </si>
  <si>
    <t>[1362793, 1362800, 1362801, 1362821, 1362829, 1362830, 1362837, 1362844, 1362845, 1271278]</t>
  </si>
  <si>
    <t>0.08816922225517052</t>
  </si>
  <si>
    <t>[1360052, 1362793, 1362800, 1362801, 1362821, 1362829, 1362830, 1362837, 1362844, 1362845]</t>
  </si>
  <si>
    <t>[0.04, 0.0, 0.023, 0.02, 0.029, 0.466, 0.45, 0.445, 0.095, 0.065]</t>
  </si>
  <si>
    <t>313.7070363651345</t>
  </si>
  <si>
    <t>[0.0, 0.06]</t>
  </si>
  <si>
    <t>LINESTRING (10.288110519371628 59.80717551936731, 10.288110519371628 59.80717551936731, 10.288552662123344 59.80764755631957)</t>
  </si>
  <si>
    <t>[1387019, 1387027]</t>
  </si>
  <si>
    <t>[1273489, 1273494]</t>
  </si>
  <si>
    <t>0.051725405896156054</t>
  </si>
  <si>
    <t>[419975, 1273489]</t>
  </si>
  <si>
    <t>70.09598108799837</t>
  </si>
  <si>
    <t>[0.0, -0.037, 0.884]</t>
  </si>
  <si>
    <t>LINESTRING (10.28403118408571 59.808567146471006, 10.28403118408571 59.808567146471006, 10.285158953474035 59.80800828634728, 10.285017748834271 59.80794789854736)</t>
  </si>
  <si>
    <t>[1634450, 1634474, 1634475]</t>
  </si>
  <si>
    <t>[1461288, 1461316, 1273513]</t>
  </si>
  <si>
    <t>0.02759307809211865</t>
  </si>
  <si>
    <t>[419988, 1461288, 1461316]</t>
  </si>
  <si>
    <t>[0.0, 0.037, 0.884]</t>
  </si>
  <si>
    <t>154.87635535699428</t>
  </si>
  <si>
    <t>[-0.001, -0.03]</t>
  </si>
  <si>
    <t>LINESTRING (10.28651753320474 59.807380224618775, 10.288114598454491 59.806950603193194, 10.288266537976677 59.806854282432184)</t>
  </si>
  <si>
    <t>[1387163, 1387171]</t>
  </si>
  <si>
    <t>[1273584, 419951]</t>
  </si>
  <si>
    <t>[1273578, 1273584]</t>
  </si>
  <si>
    <t>119.29549429220202</t>
  </si>
  <si>
    <t>[0.049, 0.035, 0.003, -0.008]</t>
  </si>
  <si>
    <t>LINESTRING (15.930623838420413 67.96326164353056, 15.93069810357907 67.96324929316991, 15.930887783690707 67.96325010411287, 15.931032268980717 67.96328534705087, 15.931094039498223 67.96332473564628)</t>
  </si>
  <si>
    <t>[1387871, 1387879, 1387887, 1387895]</t>
  </si>
  <si>
    <t>[1273959, 1273963, 1273967, 1273971]</t>
  </si>
  <si>
    <t>0.017988732111627204</t>
  </si>
  <si>
    <t>[1273958, 1273959, 1273963, 1273967]</t>
  </si>
  <si>
    <t>[0.049, 0.035, 0.003, 0.008]</t>
  </si>
  <si>
    <t>23.65413650478573</t>
  </si>
  <si>
    <t>[0.056, 0.054]</t>
  </si>
  <si>
    <t>LINESTRING (15.930469690450327 67.96337858973037, 15.93051068483676 67.96330489188064, 15.930623838420413 67.96326164353056)</t>
  </si>
  <si>
    <t>[1387951, 1387959]</t>
  </si>
  <si>
    <t>[1273998, 1273958]</t>
  </si>
  <si>
    <t>0.055107829550274975</t>
  </si>
  <si>
    <t>[1273994, 1273998]</t>
  </si>
  <si>
    <t>15.15422073468783</t>
  </si>
  <si>
    <t>[0.006, 0.021, 0.023]</t>
  </si>
  <si>
    <t>LINESTRING (15.929976284204525 67.9631953363821, 15.930324258378842 67.96323032693576, 15.930512231340554 67.9632493305891, 15.930623838420413 67.96326164353056)</t>
  </si>
  <si>
    <t>[1388007, 1388015, 1388023]</t>
  </si>
  <si>
    <t>[1274026, 1274028, 1273958]</t>
  </si>
  <si>
    <t>0.01329636299323193</t>
  </si>
  <si>
    <t>[1274011, 1274026, 1274028]</t>
  </si>
  <si>
    <t>28.10522247141949</t>
  </si>
  <si>
    <t>[-0.04, -0.055]</t>
  </si>
  <si>
    <t>LINESTRING (15.931094039498223 67.96332473564628, 15.931098968138222 67.96339996788171, 15.930995570462706 67.96345836588667)</t>
  </si>
  <si>
    <t>[1387903, 1387911]</t>
  </si>
  <si>
    <t>[1273975, 1273979]</t>
  </si>
  <si>
    <t>[1273971, 1273975]</t>
  </si>
  <si>
    <t>[0.04, 0.055]</t>
  </si>
  <si>
    <t>16.209355371466884</t>
  </si>
  <si>
    <t>[0.008, 0.019, 0.022, 0.023]</t>
  </si>
  <si>
    <t>LINESTRING (15.931094039498223 67.96332473564628, 15.93120489530214 67.9633486688784, 15.931321413495265 67.96337204075049, 15.931393083760128 67.9633843100674, 15.931685102433615 67.96342948167475)</t>
  </si>
  <si>
    <t>[1388103, 1388111, 1388119, 1388127]</t>
  </si>
  <si>
    <t>[1274090, 1274095, 1274098, 1274054]</t>
  </si>
  <si>
    <t>0.019142118083853746</t>
  </si>
  <si>
    <t>[1273971, 1274090, 1274095, 1274098]</t>
  </si>
  <si>
    <t>27.40704104010425</t>
  </si>
  <si>
    <t>[-0.057, -0.051, -0.021, 0.022]</t>
  </si>
  <si>
    <t>LINESTRING (15.930995570462706 67.96345836588667, 15.930950596437173 67.96347032643297, 15.930768027392958 67.96348607023629, 15.930582021122445 67.96345778951186, 15.930469690450327 67.96337858973037)</t>
  </si>
  <si>
    <t>[1387919, 1387927, 1387935, 1387943]</t>
  </si>
  <si>
    <t>[1273982, 1273989, 1273992, 1273994]</t>
  </si>
  <si>
    <t>[1273979, 1273982, 1273989, 1273992]</t>
  </si>
  <si>
    <t>[0.057, 0.051, 0.021, 0.022]</t>
  </si>
  <si>
    <t>28.55800075272542</t>
  </si>
  <si>
    <t>[0.045, 0.04, 0.042, 0.045]</t>
  </si>
  <si>
    <t>LINESTRING (15.930995570462706 67.96345836588667, 15.931143174499725 67.96345461549801, 15.931272414504488 67.96345095992453, 15.931349322615269 67.96344851537609, 15.931685102433615 67.96342948167475)</t>
  </si>
  <si>
    <t>[1388031, 1388039, 1388047, 1388055]</t>
  </si>
  <si>
    <t>[1274038, 1274045, 1274050, 1274054]</t>
  </si>
  <si>
    <t>0.043733167474995394</t>
  </si>
  <si>
    <t>[1273979, 1274038, 1274045, 1274050]</t>
  </si>
  <si>
    <t>29.071972178845538</t>
  </si>
  <si>
    <t>[-0.024, -0.006, -0.008]</t>
  </si>
  <si>
    <t>LINESTRING (15.929976284204525 67.9631953363821, 15.930227099021918 67.96329124569954, 15.930368442863022 67.96334228558257, 15.930469690450327 67.96337858973037)</t>
  </si>
  <si>
    <t>[1387983, 1387991, 1387999]</t>
  </si>
  <si>
    <t>[1274014, 1274018, 1273994]</t>
  </si>
  <si>
    <t>[1274011, 1274014, 1274018]</t>
  </si>
  <si>
    <t>[0.024, 0.006, 0.008]</t>
  </si>
  <si>
    <t>29.059633758589626</t>
  </si>
  <si>
    <t>LINESTRING (15.931685102433615 67.96342948167475, 15.95599306875907 68.00081564867176)</t>
  </si>
  <si>
    <t>LINESTRING (11.067371399506799 60.186241953317456, 11.067408349668268 60.18619930689688, 11.067673977767477 60.18588892473656)</t>
  </si>
  <si>
    <t>[1389964, 1389972]</t>
  </si>
  <si>
    <t>[1275206, 1275213]</t>
  </si>
  <si>
    <t>[1275205, 1275206]</t>
  </si>
  <si>
    <t>42.7739777978617</t>
  </si>
  <si>
    <t>LINESTRING (11.067371399506799 60.186241953317456, 11.06751900001575 60.18624696694357, 11.067628140983498 60.18628221219661)</t>
  </si>
  <si>
    <t>[1390109, 1390117]</t>
  </si>
  <si>
    <t>[1275324, 1275287]</t>
  </si>
  <si>
    <t>0.003403614253612624</t>
  </si>
  <si>
    <t>[1275205, 1275324]</t>
  </si>
  <si>
    <t>15.429162587573895</t>
  </si>
  <si>
    <t>[-0.008, -0.007, -0.004, -0.002]</t>
  </si>
  <si>
    <t>LINESTRING (11.067192584348081 60.18644178712776, 11.06715949775958 60.18638344979358, 11.067176898865592 60.186322566874125, 11.06728840245451 60.18625971477505, 11.067371399506799 60.186241953317456)</t>
  </si>
  <si>
    <t>[1390077, 1390085, 1390093, 1390101]</t>
  </si>
  <si>
    <t>[1275255, 1275309, 1275234, 1275205]</t>
  </si>
  <si>
    <t>[1275280, 1275255, 1275309, 1275234]</t>
  </si>
  <si>
    <t>[0.008, 0.007, 0.004, 0.002]</t>
  </si>
  <si>
    <t>27.967369265466644</t>
  </si>
  <si>
    <t>[0.007, -0.0, 0.001, 0.005, -0.001]</t>
  </si>
  <si>
    <t>17555.0</t>
  </si>
  <si>
    <t>LINESTRING (11.067673977767477 60.18588892473656, 11.068247511914405 60.18477595084064, 11.069478500463163 60.182755656937694, 11.07190115326631 60.18063947105756, 11.075742677216109 60.17910649720091, 11.080346233971 60.17842842866202)</t>
  </si>
  <si>
    <t>[1525138, 1525146, 1525154, 1525162, 1525170]</t>
  </si>
  <si>
    <t>[1379001, 1379009, 492678, 1379022, 1361247]</t>
  </si>
  <si>
    <t>0.001930249042158677</t>
  </si>
  <si>
    <t>[1275213, 1379001, 1379009, 492678, 1379022]</t>
  </si>
  <si>
    <t>[0.007, 0.0, 0.001, 0.005, 0.001]</t>
  </si>
  <si>
    <t>1179.1467515027807</t>
  </si>
  <si>
    <t>LINESTRING (11.067628140983498 60.18628221219661, 11.067628643850727 60.18622073741296, 11.067673977767477 60.18588892473656)</t>
  </si>
  <si>
    <t>[1390061, 1390069]</t>
  </si>
  <si>
    <t>[1275288, 1275213]</t>
  </si>
  <si>
    <t>[1275287, 1275288]</t>
  </si>
  <si>
    <t>43.91184394721687</t>
  </si>
  <si>
    <t>LINESTRING (11.067179439886655 60.18684450502248, 11.067449268979736 60.186550204740136, 11.06750673872551 60.18650307961445)</t>
  </si>
  <si>
    <t>[1389980, 1389988]</t>
  </si>
  <si>
    <t>[1275222, 1275228]</t>
  </si>
  <si>
    <t>[1275221, 1275222]</t>
  </si>
  <si>
    <t>42.19650019297201</t>
  </si>
  <si>
    <t>LINESTRING (11.067179439886655 60.18684450502248, 11.067210456653523 60.18651517078992, 11.067192584348081 60.18644178712776)</t>
  </si>
  <si>
    <t>[1390045, 1390053]</t>
  </si>
  <si>
    <t>[1275272, 1275280]</t>
  </si>
  <si>
    <t>[1275221, 1275272]</t>
  </si>
  <si>
    <t>45.1206770454191</t>
  </si>
  <si>
    <t>[0.02, -0.007, 0.008, -0.025]</t>
  </si>
  <si>
    <t>LINESTRING (11.065961838070688 60.18922449112911, 11.06618823631851 60.188758358177324, 11.066697014689703 60.187793809395096, 11.067024625665004 60.18715709062465, 11.067179439886655 60.18684450502248)</t>
  </si>
  <si>
    <t>[1525106, 1525114, 1525122, 1525130]</t>
  </si>
  <si>
    <t>[1378973, 1378980, 1378988, 1275221]</t>
  </si>
  <si>
    <t>[1361240, 1378973, 1378980, 1378988]</t>
  </si>
  <si>
    <t>[0.02, 0.007, 0.008, 0.025]</t>
  </si>
  <si>
    <t>273.6957346105004</t>
  </si>
  <si>
    <t>[-0.002, -0.006]</t>
  </si>
  <si>
    <t>LINESTRING (11.06750673872551 60.18650307961445, 11.067342465584783 60.18650161611926, 11.067192584348081 60.18644178712776)</t>
  </si>
  <si>
    <t>[1390166, 1390174]</t>
  </si>
  <si>
    <t>[1275364, 1275280]</t>
  </si>
  <si>
    <t>[1275228, 1275364]</t>
  </si>
  <si>
    <t>[0.002, 0.006]</t>
  </si>
  <si>
    <t>19.77792191191525</t>
  </si>
  <si>
    <t>[0.008, 0.007, 0.005, 0.002]</t>
  </si>
  <si>
    <t>LINESTRING (11.067628140983498 60.18628221219661, 11.067695483301174 60.18635145557088, 11.06767332273521 60.18643098569751, 11.067594664780152 60.18648034027248, 11.06750673872551 60.18650307961445)</t>
  </si>
  <si>
    <t>[1390125, 1390142, 1390150, 1390158]</t>
  </si>
  <si>
    <t>[1275335, 1275348, 1275354, 1275228]</t>
  </si>
  <si>
    <t>0.005902797734045858</t>
  </si>
  <si>
    <t>[1275287, 1275335, 1275348, 1275354]</t>
  </si>
  <si>
    <t>30.040909643306474</t>
  </si>
  <si>
    <t>[-0.108, -0.107]</t>
  </si>
  <si>
    <t>LINESTRING (9.225602460166966 59.56478474893657, 9.224063818109608 59.56518914502144, 9.223966869726743 59.56522483329538)</t>
  </si>
  <si>
    <t>[1391275, 1391276]</t>
  </si>
  <si>
    <t>[1275998, 1275999]</t>
  </si>
  <si>
    <t>[1275989, 1275998]</t>
  </si>
  <si>
    <t>[0.108, 0.107]</t>
  </si>
  <si>
    <t>104.97251720879146</t>
  </si>
  <si>
    <t>[-0.119, -0.159]</t>
  </si>
  <si>
    <t>LINESTRING (9.225602460166966 59.56478474893657, 9.22397756544818 59.56509685414467, 9.223863691195602 59.565110566053555)</t>
  </si>
  <si>
    <t>[1391284, 1391292]</t>
  </si>
  <si>
    <t>[1276005, 1276012]</t>
  </si>
  <si>
    <t>[1275989, 1276005]</t>
  </si>
  <si>
    <t>[0.119, 0.159]</t>
  </si>
  <si>
    <t>105.17374909839725</t>
  </si>
  <si>
    <t>[-0.036, -0.114, -0.173, -0.166]</t>
  </si>
  <si>
    <t>LINESTRING (9.223966869726743 59.56522483329538, 9.223922864257908 59.565278762480354, 9.223820213779627 59.565317484108746, 9.223700229928706 59.56532348967908, 9.223619144590385 59.56530796403618)</t>
  </si>
  <si>
    <t>[1391360, 1391368, 1391376, 1391384]</t>
  </si>
  <si>
    <t>[1276013, 1276074, 1276028, 1276087]</t>
  </si>
  <si>
    <t>[1275999, 1276013, 1276074, 1276028]</t>
  </si>
  <si>
    <t>[0.036, 0.114, 0.173, 0.166]</t>
  </si>
  <si>
    <t>25.47116084136676</t>
  </si>
  <si>
    <t>[0.145, 0.058]</t>
  </si>
  <si>
    <t>LINESTRING (9.223863691195602 59.565110566053555, 9.223946153898673 59.56515822737902, 9.223966869726743 59.56522483329538)</t>
  </si>
  <si>
    <t>[1391416, 1391424]</t>
  </si>
  <si>
    <t>[1276114, 1275999]</t>
  </si>
  <si>
    <t>0.1001680516949386</t>
  </si>
  <si>
    <t>[1276012, 1276114]</t>
  </si>
  <si>
    <t>14.590942290589732</t>
  </si>
  <si>
    <t>26.034995266260534</t>
  </si>
  <si>
    <t>[-0.134, -0.054]</t>
  </si>
  <si>
    <t>LINESTRING (9.223619144590385 59.56530796403618, 9.223530492902839 59.56525698583228, 9.223511211736033 59.565194836398796)</t>
  </si>
  <si>
    <t>[1391392, 1391400]</t>
  </si>
  <si>
    <t>[1276094, 1276103]</t>
  </si>
  <si>
    <t>[1276087, 1276094]</t>
  </si>
  <si>
    <t>[0.134, 0.054]</t>
  </si>
  <si>
    <t>14.596423916103845</t>
  </si>
  <si>
    <t>[-0.166, -0.049]</t>
  </si>
  <si>
    <t>LINESTRING (9.223619144590385 59.56530796403618, 9.22351939700243 59.565317925822555, 9.221831666834493 59.5655643169637)</t>
  </si>
  <si>
    <t>[1391472, 1391480]</t>
  </si>
  <si>
    <t>[1276161, 1276137]</t>
  </si>
  <si>
    <t>[1276087, 1276161]</t>
  </si>
  <si>
    <t>[0.166, 0.049]</t>
  </si>
  <si>
    <t>105.29643321169351</t>
  </si>
  <si>
    <t>[-0.121, -0.038]</t>
  </si>
  <si>
    <t>LINESTRING (9.223511211736033 59.565194836398796, 9.223428898410944 59.56522268294619, 9.221831666834493 59.5655643169637)</t>
  </si>
  <si>
    <t>[1391432, 1391440]</t>
  </si>
  <si>
    <t>[1276128, 1276137]</t>
  </si>
  <si>
    <t>[1276103, 1276128]</t>
  </si>
  <si>
    <t>[0.121, 0.038]</t>
  </si>
  <si>
    <t>103.87060938331584</t>
  </si>
  <si>
    <t>366.8720966726344</t>
  </si>
  <si>
    <t>[0.0, 0.046, 0.068, 0.077]</t>
  </si>
  <si>
    <t>LINESTRING (10.412924317391875 59.73909177906696, 10.412916506111904 59.73916165769342, 10.412840770704994 59.73922016633592, 10.412720231979296 59.73925462298633, 10.412556856267887 59.739250706177)</t>
  </si>
  <si>
    <t>[1392839, 1392847, 1392855, 1392863]</t>
  </si>
  <si>
    <t>[229353, 1277052, 1277054, 1277055]</t>
  </si>
  <si>
    <t>0.04900424714158891</t>
  </si>
  <si>
    <t>[1277050, 229353, 1277052, 1277054]</t>
  </si>
  <si>
    <t>32.58613860014256</t>
  </si>
  <si>
    <t>[-0.072, -0.035]</t>
  </si>
  <si>
    <t>LINESTRING (10.412739242344387 59.738986372454896, 10.412858569748671 59.73902562285203, 10.412924317391875 59.73909177906696)</t>
  </si>
  <si>
    <t>[1392895, 1392903]</t>
  </si>
  <si>
    <t>[1277064, 1277050]</t>
  </si>
  <si>
    <t>[1277062, 1277064]</t>
  </si>
  <si>
    <t>[0.072, 0.035]</t>
  </si>
  <si>
    <t>16.262356640682476</t>
  </si>
  <si>
    <t>[0.039, 0.348]</t>
  </si>
  <si>
    <t>LINESTRING (10.41349305478542 59.73871058475694, 10.412992776755548 59.73903708106922, 10.412924317391875 59.73909177906696)</t>
  </si>
  <si>
    <t>[1422344, 1422352]</t>
  </si>
  <si>
    <t>[1297864, 1277050]</t>
  </si>
  <si>
    <t>0.08055152579485605</t>
  </si>
  <si>
    <t>[1297863, 1297864]</t>
  </si>
  <si>
    <t>53.62590271691707</t>
  </si>
  <si>
    <t>[0.069, 0.032]</t>
  </si>
  <si>
    <t>LINESTRING (10.412556856267887 59.739250706177, 10.412431541860723 59.73920315160495, 10.41237552096214 59.73913103974505)</t>
  </si>
  <si>
    <t>[1392871, 1392879]</t>
  </si>
  <si>
    <t>[1277056, 1277059]</t>
  </si>
  <si>
    <t>0.050698588494861675</t>
  </si>
  <si>
    <t>[1277055, 1277056]</t>
  </si>
  <si>
    <t>17.453506757449095</t>
  </si>
  <si>
    <t>[-0.278, 0.038]</t>
  </si>
  <si>
    <t>LINESTRING (10.412556856267887 59.739250706177, 10.412418940778574 59.73928013866224, 10.411657319424641 59.73948275236343)</t>
  </si>
  <si>
    <t>[1422624, 1422632]</t>
  </si>
  <si>
    <t>[1298035, 1291516]</t>
  </si>
  <si>
    <t>[1277055, 1298035]</t>
  </si>
  <si>
    <t>[0.278, 0.038]</t>
  </si>
  <si>
    <t>57.021455551680496</t>
  </si>
  <si>
    <t>30.67565715345318</t>
  </si>
  <si>
    <t>[0.205, -0.053]</t>
  </si>
  <si>
    <t>LINESTRING (10.41237552096214 59.73913103974505, 10.412305420187348 59.739174455714036, 10.411657319424641 59.73948275236343)</t>
  </si>
  <si>
    <t>[2129611, 2129619]</t>
  </si>
  <si>
    <t>[1832603, 1291516]</t>
  </si>
  <si>
    <t>[1277059, 1832603]</t>
  </si>
  <si>
    <t>[0.205, 0.053]</t>
  </si>
  <si>
    <t>56.60214369693722</t>
  </si>
  <si>
    <t>[0.119, -0.032]</t>
  </si>
  <si>
    <t>LINESTRING (10.41349305478542 59.73871058475694, 10.412852043669877 59.73895817465514, 10.412739242344387 59.738986372454896)</t>
  </si>
  <si>
    <t>[2129587, 2129595]</t>
  </si>
  <si>
    <t>[1832593, 1277062]</t>
  </si>
  <si>
    <t>0.09876650326777782</t>
  </si>
  <si>
    <t>[1297863, 1832593]</t>
  </si>
  <si>
    <t>[0.119, 0.032]</t>
  </si>
  <si>
    <t>52.851928048911006</t>
  </si>
  <si>
    <t>[0.015, 0.022]</t>
  </si>
  <si>
    <t>LINESTRING (10.264174884762161 59.754225030681795, 10.264181767433568 59.75427642345517, 10.264154929189669 59.754318089491086)</t>
  </si>
  <si>
    <t>[1393063, 1393071]</t>
  </si>
  <si>
    <t>[1277123, 1277098]</t>
  </si>
  <si>
    <t>0.018217324470344316</t>
  </si>
  <si>
    <t>[1277120, 1277123]</t>
  </si>
  <si>
    <t>10.62453223541979</t>
  </si>
  <si>
    <t>[0.018, 0.019, -0.052]</t>
  </si>
  <si>
    <t>LINESTRING (10.264706286092084 59.75429761184475, 10.264486856122948 59.754307057653975, 10.264252667604678 59.75431510666832, 10.264154929189669 59.754318089491086)</t>
  </si>
  <si>
    <t>[1423259, 1423267, 1423275]</t>
  </si>
  <si>
    <t>[1298500, 1298505, 1277098]</t>
  </si>
  <si>
    <t>0.00602721021843502</t>
  </si>
  <si>
    <t>[1298209, 1298500, 1298505]</t>
  </si>
  <si>
    <t>[0.018, 0.019, 0.052]</t>
  </si>
  <si>
    <t>31.0934141404067</t>
  </si>
  <si>
    <t>[-0.053, 0.274]</t>
  </si>
  <si>
    <t>LINESTRING (10.264706286092084 59.75429761184475, 10.264263876645373 59.75423117651526, 10.264174884762161 59.754225030681795)</t>
  </si>
  <si>
    <t>[2130627, 2130635]</t>
  </si>
  <si>
    <t>[1833125, 1277120]</t>
  </si>
  <si>
    <t>4.188776901543619e-06</t>
  </si>
  <si>
    <t>[1298209, 1833125]</t>
  </si>
  <si>
    <t>[0.053, 0.274]</t>
  </si>
  <si>
    <t>31.16452495194862</t>
  </si>
  <si>
    <t>18.91709560520244</t>
  </si>
  <si>
    <t>[-0.132, -0.021]</t>
  </si>
  <si>
    <t>LINESTRING (10.257150225637417 59.76823069691777, 10.257225221089834 59.76820093708323, 10.257421608585027 59.767909319739395)</t>
  </si>
  <si>
    <t>[1635096, 1635104]</t>
  </si>
  <si>
    <t>[1461870, 1461385]</t>
  </si>
  <si>
    <t>[1277249, 1461870]</t>
  </si>
  <si>
    <t>[0.132, 0.021]</t>
  </si>
  <si>
    <t>41.46938289231108</t>
  </si>
  <si>
    <t>[0.055, 0.047, 0.03, -0.003, -0.029]</t>
  </si>
  <si>
    <t>LINESTRING (10.257096554697084 59.76837618130341, 10.257031558615008 59.768385524608014, 10.256932644166977 59.76837628155424, 10.25685831709015 59.768342112331844, 10.25685811373094 59.76824442138477, 10.256892291434829 59.76822391669085)</t>
  </si>
  <si>
    <t>[1393334, 1393340, 1393341, 1393342, 1393343]</t>
  </si>
  <si>
    <t>[1277261, 1277268, 262511, 1277269, 1277270]</t>
  </si>
  <si>
    <t>0.017807965600774335</t>
  </si>
  <si>
    <t>[1277254, 1277261, 1277268, 262511, 1277269]</t>
  </si>
  <si>
    <t>[0.055, 0.047, 0.03, 0.003, 0.029]</t>
  </si>
  <si>
    <t>29.414733939779715</t>
  </si>
  <si>
    <t>[0.034, 0.067]</t>
  </si>
  <si>
    <t>LINESTRING (10.25817080177434 59.768533657524934, 10.257204937774093 59.7684006169831, 10.257096554697084 59.76837618130341)</t>
  </si>
  <si>
    <t>[1634747, 1634755]</t>
  </si>
  <si>
    <t>[1461548, 1277254]</t>
  </si>
  <si>
    <t>0.03748000806915698</t>
  </si>
  <si>
    <t>[1461371, 1461548]</t>
  </si>
  <si>
    <t>63.28683870785926</t>
  </si>
  <si>
    <t>[-0.044, -0.019, 0.007, 0.022, 0.038, 0.058, 0.058]</t>
  </si>
  <si>
    <t>LINESTRING (15.76611849521861 68.52944216167187, 15.76585289090605 68.52947198452334, 15.765652283935252 68.52944760511592, 15.76555039394223 68.52941030840971, 15.765483558616376 68.52935267096001, 15.765495052563258 68.52928520507301, 15.765590614787879 68.5292248186906, 15.765797800151296 68.52918342294909)</t>
  </si>
  <si>
    <t>[1394434, 1394444, 1394453, 1394454, 1394455, 1394458, 1394475]</t>
  </si>
  <si>
    <t>[1278069, 1278079, 1278083, 1278084, 1278085, 1278086, 1278094]</t>
  </si>
  <si>
    <t>0.014136041103114488</t>
  </si>
  <si>
    <t>[1278068, 1278069, 1278079, 1278083, 1278084, 1278085, 1278086]</t>
  </si>
  <si>
    <t>[0.044, 0.019, 0.007, 0.022, 0.038, 0.058, 0.058]</t>
  </si>
  <si>
    <t>58.00030888173343</t>
  </si>
  <si>
    <t>[-0.05, -0.06]</t>
  </si>
  <si>
    <t>LINESTRING (15.766246401122027 68.52927232711436, 15.766246920599265 68.5293813021921, 15.76611849521861 68.52944216167187)</t>
  </si>
  <si>
    <t>[1394510, 1394514]</t>
  </si>
  <si>
    <t>[1278110, 1278068]</t>
  </si>
  <si>
    <t>[1278109, 1278110]</t>
  </si>
  <si>
    <t>[0.05, 0.06]</t>
  </si>
  <si>
    <t>20.9600400972704</t>
  </si>
  <si>
    <t>[0.684, -4.764]</t>
  </si>
  <si>
    <t>LINESTRING (15.766916926356762 68.52951920792731, 15.766224022180054 68.52944739401366, 15.76611849521861 68.52944216167187)</t>
  </si>
  <si>
    <t>[1395259, 1395273]</t>
  </si>
  <si>
    <t>[1278563, 1278068]</t>
  </si>
  <si>
    <t>[1278381, 1278563]</t>
  </si>
  <si>
    <t>[0.684, 4.764]</t>
  </si>
  <si>
    <t>33.85637801657558</t>
  </si>
  <si>
    <t>LINESTRING (15.765797800151296 68.52918342294909, 15.765978989546483 68.52918543146522, 15.766159306956823 68.52922375163848)</t>
  </si>
  <si>
    <t>[1394483, 1394493]</t>
  </si>
  <si>
    <t>[1278098, 1278100]</t>
  </si>
  <si>
    <t>0.027372191181610394</t>
  </si>
  <si>
    <t>[1278094, 1278098]</t>
  </si>
  <si>
    <t>15.920016763658392</t>
  </si>
  <si>
    <t>[4.87, -0.004]</t>
  </si>
  <si>
    <t>LINESTRING (15.765797800151296 68.52918342294909, 15.765838660198531 68.52915382628613, 15.76606778497077 68.52896767275016)</t>
  </si>
  <si>
    <t>[1395169, 1395188]</t>
  </si>
  <si>
    <t>[1278500, 1278515]</t>
  </si>
  <si>
    <t>0.6770244314599001</t>
  </si>
  <si>
    <t>[1278094, 1278500]</t>
  </si>
  <si>
    <t>[4.87, 0.004]</t>
  </si>
  <si>
    <t>26.466800378955327</t>
  </si>
  <si>
    <t>6.480100307829208</t>
  </si>
  <si>
    <t>[3.53, -0.039]</t>
  </si>
  <si>
    <t>LINESTRING (15.766159306956823 68.52922375163848, 15.766140281471255 68.52917754763018, 15.76606778497077 68.52896767275016)</t>
  </si>
  <si>
    <t>[1395254, 1395258]</t>
  </si>
  <si>
    <t>[1278558, 1278515]</t>
  </si>
  <si>
    <t>0.6066976147948069</t>
  </si>
  <si>
    <t>[1278100, 1278558]</t>
  </si>
  <si>
    <t>[3.53, 0.039]</t>
  </si>
  <si>
    <t>28.797620825393903</t>
  </si>
  <si>
    <t>[0.618, -3.004]</t>
  </si>
  <si>
    <t>LINESTRING (15.766916926356762 68.52951920792731, 15.76635540541982 68.52931435367549, 15.766246401122027 68.52927232711436)</t>
  </si>
  <si>
    <t>[1395280, 1395297]</t>
  </si>
  <si>
    <t>[1278577, 1278109]</t>
  </si>
  <si>
    <t>0.015108396350059722</t>
  </si>
  <si>
    <t>[1278381, 1278577]</t>
  </si>
  <si>
    <t>[0.618, 3.004]</t>
  </si>
  <si>
    <t>38.83433424114965</t>
  </si>
  <si>
    <t>759.0</t>
  </si>
  <si>
    <t>LINESTRING (15.97414178786607 68.53530252634204, 15.766916926356762 68.52951920792731)</t>
  </si>
  <si>
    <t>758.0</t>
  </si>
  <si>
    <t>LINESTRING (15.76606778497077 68.52896767275016, 15.48125482599389 68.46488314721229)</t>
  </si>
  <si>
    <t>[-0.009, 0.022]</t>
  </si>
  <si>
    <t>LINESTRING (8.69962790033813 58.42131087494018, 8.698100115834613 58.418644667340345, 8.696166979222447 58.41742156506593)</t>
  </si>
  <si>
    <t>[1398372, 1398380]</t>
  </si>
  <si>
    <t>[1280511, 1280434]</t>
  </si>
  <si>
    <t>0.002239260993923416</t>
  </si>
  <si>
    <t>[1280442, 1280511]</t>
  </si>
  <si>
    <t>[0.009, 0.022]</t>
  </si>
  <si>
    <t>491.15616477039555</t>
  </si>
  <si>
    <t>[0.008, 0.015, -0.054, 0.021, 0.018]</t>
  </si>
  <si>
    <t>LINESTRING (8.698614733626961 58.417890224064465, 8.698065907953332 58.41807631016221, 8.697328916969694 58.41852004815891, 8.698134877861875 58.41875905049835, 8.696397771573068 58.41755499471161, 8.696166979222447 58.41742156506593)</t>
  </si>
  <si>
    <t>[1751292, 1751293, 1751305, 950889, 1398220]</t>
  </si>
  <si>
    <t>[1551498, 1551499, 919203, 919204, 1280434]</t>
  </si>
  <si>
    <t>[1551469, 1551498, 1551499, 919203, 919204]</t>
  </si>
  <si>
    <t>[0.008, 0.015, 0.054, 0.021, 0.018]</t>
  </si>
  <si>
    <t>492.4420399883384</t>
  </si>
  <si>
    <t>[0.006, -0.012, 0.022, 0.065, 0.165, 0.151]</t>
  </si>
  <si>
    <t>LINESTRING (8.699724826493219 58.421381132725635, 8.699695394811975 58.421250766145114, 8.698089364402751 58.41855758727956, 8.69623605103228 58.41737839563393, 8.695415558996494 58.417026102855246, 8.695327123769747 58.4169928256479, 8.693812290338379 58.41650246045209)</t>
  </si>
  <si>
    <t>[1398300, 1398308, 1398316, 1398676, 1398684, 1398692]</t>
  </si>
  <si>
    <t>[1280477, 1280482, 1280483, 1280649, 1280655, 1280437]</t>
  </si>
  <si>
    <t>0.030870948358098338</t>
  </si>
  <si>
    <t>[1280449, 1280477, 1280482, 1280483, 1280649, 1280655]</t>
  </si>
  <si>
    <t>[0.006, 0.012, 0.022, 0.065, 0.165, 0.151]</t>
  </si>
  <si>
    <t>675.7388028870228</t>
  </si>
  <si>
    <t>[0.015, -0.015, -0.012]</t>
  </si>
  <si>
    <t>LINESTRING (8.698614733626961 58.417890224064465, 8.698566399816867 58.41791854944609, 8.699695004195311 58.42114532070869, 8.699724826493219 58.421381132725635)</t>
  </si>
  <si>
    <t>[1751249, 1751262, 1398244]</t>
  </si>
  <si>
    <t>[1551470, 1280448, 1280449]</t>
  </si>
  <si>
    <t>[1551469, 1551470, 1280448]</t>
  </si>
  <si>
    <t>[0.015, 0.015, 0.012]</t>
  </si>
  <si>
    <t>404.5376832322968</t>
  </si>
  <si>
    <t>[-0.021, 0.013, 0.023, 0.026]</t>
  </si>
  <si>
    <t>LINESTRING (11.208238096755275 59.177541108274355, 11.20787325564237 59.17780900611405, 11.203385011300238 59.18135353059114, 11.202878785195683 59.1819433396901, 11.201585834735585 59.1842527442066)</t>
  </si>
  <si>
    <t>[1404420, 1404428, 1404508, 1404526]</t>
  </si>
  <si>
    <t>[1285456, 1285462, 1285534, 1285529]</t>
  </si>
  <si>
    <t>0.016496818742402792</t>
  </si>
  <si>
    <t>[1285447, 1285456, 1285462, 1285534]</t>
  </si>
  <si>
    <t>[0.021, 0.013, 0.023, 0.026]</t>
  </si>
  <si>
    <t>847.696451842959</t>
  </si>
  <si>
    <t>[-0.019, 0.019, -0.907]</t>
  </si>
  <si>
    <t>LINESTRING (11.208238096755275 59.177541108274355, 11.208118541249695 59.17768850865891, 11.207594749692397 59.179557153288286, 11.207653101752486 59.17953638377641)</t>
  </si>
  <si>
    <t>[1404468, 1404596, 1674506]</t>
  </si>
  <si>
    <t>[1285497, 1285601, 1501842]</t>
  </si>
  <si>
    <t>0.006289022251460397</t>
  </si>
  <si>
    <t>[1285447, 1285497, 1285601]</t>
  </si>
  <si>
    <t>[0.019, 0.019, 0.907]</t>
  </si>
  <si>
    <t>349.0123304062178</t>
  </si>
  <si>
    <t>[0.012, 0.032]</t>
  </si>
  <si>
    <t>LINESTRING (11.20768503529651 59.177742942871426, 11.203182834170178 59.18130105889263, 11.202682346301238 59.18188428379752)</t>
  </si>
  <si>
    <t>[1404452, 1404536]</t>
  </si>
  <si>
    <t>[1285481, 1285519]</t>
  </si>
  <si>
    <t>0.014609786920584237</t>
  </si>
  <si>
    <t>[1285473, 1285481]</t>
  </si>
  <si>
    <t>544.1424553767076</t>
  </si>
  <si>
    <t>[0.001, 0.005, 0.019, 0.028, 0.012, 0.022, 0.015, 0.002, -0.053, -0.02]</t>
  </si>
  <si>
    <t>30100.0</t>
  </si>
  <si>
    <t>LINESTRING (11.264688751473933 59.13352222933803, 11.251177626880585 59.14521128170402, 11.244154095574975 59.14920964870709, 11.244026424968972 59.14926926615522, 11.240526072100014 59.15084798064548, 11.228544251903408 59.15735388146253, 11.219175181734917 59.165363302982584, 11.21888123841855 59.16563566694509, 11.214384782650807 59.17182987392428, 11.208047452083978 59.17747622429473, 11.20768503529651 59.177742942871426)</t>
  </si>
  <si>
    <t>[1626268, 1626276, 1626284, 1626292, 1626332, 1404364, 1404372, 1404380, 1404436, 1404444]</t>
  </si>
  <si>
    <t>[1454860, 1454862, 1454869, 1454875, 1285408, 1285409, 1285415, 1285422, 1285466, 1285473]</t>
  </si>
  <si>
    <t>0.001637706724326592</t>
  </si>
  <si>
    <t>[1454836, 1454860, 1454862, 1454869, 1454875, 1285408, 1285409, 1285415, 1285422, 1285466]</t>
  </si>
  <si>
    <t>[0.001, 0.005, 0.019, 0.028, 0.012, 0.022, 0.015, 0.002, 0.053, 0.02]</t>
  </si>
  <si>
    <t>5977.355240954559</t>
  </si>
  <si>
    <t>[0.246, -0.01, -0.018, 0.021]</t>
  </si>
  <si>
    <t>LINESTRING (11.20393467649144 59.17955174794028, 11.203947313583976 59.17958574827608, 11.206653747631766 59.17842339381386, 11.207486510597036 59.17783880747949, 11.20768503529651 59.177742942871426)</t>
  </si>
  <si>
    <t>[1674514, 1404594, 1404595, 1404460]</t>
  </si>
  <si>
    <t>[1285599, 1285600, 1285489, 1285473]</t>
  </si>
  <si>
    <t>[1501846, 1285599, 1285600, 1285489]</t>
  </si>
  <si>
    <t>[0.246, 0.01, 0.018, 0.021]</t>
  </si>
  <si>
    <t>342.7782632271649</t>
  </si>
  <si>
    <t>[-0.029, -0.016, -0.2]</t>
  </si>
  <si>
    <t>LINESTRING (11.202682346301238 59.18188428379752, 11.202737526679241 59.1817538201736, 11.20382436395836 59.17961360771274, 11.203802111017877 59.17957834624543)</t>
  </si>
  <si>
    <t>[1404492, 1404601, 1674538]</t>
  </si>
  <si>
    <t>[1285520, 1285604, 1501861]</t>
  </si>
  <si>
    <t>[1285519, 1285520, 1285604]</t>
  </si>
  <si>
    <t>[0.029, 0.016, 0.2]</t>
  </si>
  <si>
    <t>278.8498772554415</t>
  </si>
  <si>
    <t>[0.027, 0.015, -0.011, -0.055, -0.019, -0.016, 0.039, 0.061, 0.042, -0.009, -0.036, -0.003, -0.004]</t>
  </si>
  <si>
    <t>30858.0</t>
  </si>
  <si>
    <t>[0, 0, 0, 1, 0, 1, 0, 1, 0, 0, 0, 0, 0]</t>
  </si>
  <si>
    <t>LINESTRING (11.202682346301238 59.18188428379752, 11.201367613692021 59.184226293395945, 11.201112117918191 59.18482329885355, 11.188796046443017 59.20013195025907, 11.188461474053927 59.2002262320318, 11.18353014009531 59.20174378989286, 11.18316923844604 59.20188520070337, 11.178234347829095 59.2043618441678, 11.177997494643554 59.20452722735993, 11.174291395006321 59.20707748901173, 11.173712898218113 59.2074266044201, 11.172163090997579 59.20827636343896, 11.171951091638796 59.208383396454956, 11.17110923378286 59.20879636052205)</t>
  </si>
  <si>
    <t>[1404551, 1404569, 1629727, 1629815, 1629823, 1629831, 1629839, 1629847, 1629860, 1629868, 1629881, 1616241, 1616249]</t>
  </si>
  <si>
    <t>[1285571, 1285584, 1457387, 1457451, 1457455, 1457459, 1457463, 1457469, 1457480, 1457486, 1448874, 1448875, 1448879]</t>
  </si>
  <si>
    <t>0.0013622617403708293</t>
  </si>
  <si>
    <t>[1285519, 1285571, 1285584, 1457387, 1457451, 1457455, 1457459, 1457463, 1457469, 1457480, 1457486, 1448874, 1448875]</t>
  </si>
  <si>
    <t>[0.027, 0.015, 0.011, 0.055, 0.019, 0.016, 0.039, 0.061, 0.042, 0.009, 0.036, 0.003, 0.004]</t>
  </si>
  <si>
    <t>3725.230602685656</t>
  </si>
  <si>
    <t>[0.015, -0.01, -0.055, -0.021, -0.015, 0.042, 0.061, 0.038, -0.007, -0.036, -0.004, -0.003, -0.006]</t>
  </si>
  <si>
    <t>[0, 0, 1, 0, 1, 0, 1, 0, 0, 0, 0, 0, 0]</t>
  </si>
  <si>
    <t>LINESTRING (11.201585834735585 59.1842527442066, 11.201334173063971 59.18484791143793, 11.188896336588146 59.20023683859609, 11.18857099240289 59.20032851476756, 11.183685118184576 59.20183284945087, 11.18332444194192 59.201970671377495, 11.178424754541357 59.20444004110261, 11.178197191504042 59.20458788009588, 11.174465255206895 59.20715291174696, 11.1738839673902 59.20750347397238, 11.172328106813186 59.20835766842359, 11.17211244577576 59.20846906176543, 11.171270205708401 59.208881368337096, 11.166936441641871 59.21094541054559)</t>
  </si>
  <si>
    <t>[1404535, 1629735, 1629751, 1629759, 1629767, 1629775, 1629783, 1629791, 1629799, 1629807, 1616305, 1616313, 1616321]</t>
  </si>
  <si>
    <t>[1285554, 1457391, 1457405, 1457412, 1457420, 1457425, 1457430, 1457437, 1457442, 1448919, 1448920, 1448926, 1448929]</t>
  </si>
  <si>
    <t>[1285529, 1285554, 1457391, 1457405, 1457412, 1457420, 1457425, 1457430, 1457437, 1457442, 1448919, 1448920, 1448926]</t>
  </si>
  <si>
    <t>[0.015, 0.01, 0.055, 0.021, 0.015, 0.042, 0.061, 0.038, 0.007, 0.036, 0.004, 0.003, 0.006]</t>
  </si>
  <si>
    <t>3799.0576653351013</t>
  </si>
  <si>
    <t>[0.032, 0.01, 0.033, 0.018, 0.026]</t>
  </si>
  <si>
    <t>LINESTRING (11.20772685210245 59.179597870923416, 11.207662597159391 59.17961185154354, 11.203014531937862 59.181910425491836, 11.202198942485952 59.18314521624884, 11.201693020739214 59.18416070571209, 11.201585834735585 59.1842527442066)</t>
  </si>
  <si>
    <t>[1674522, 1674530, 1404599, 1404600, 1404500]</t>
  </si>
  <si>
    <t>[1501852, 1285602, 1285603, 1285528, 1285529]</t>
  </si>
  <si>
    <t>0.01696498006671326</t>
  </si>
  <si>
    <t>[1501851, 1501852, 1285602, 1285603, 1285528]</t>
  </si>
  <si>
    <t>654.2566642324917</t>
  </si>
  <si>
    <t>[0.022, -0.0, 0.002, 0.002, -0.013, -0.008]</t>
  </si>
  <si>
    <t>LINESTRING (10.753919142986968 59.386281673178864, 10.754008223712193 59.3862397696149, 10.754752972284939 59.38543923282995, 10.755217182091933 59.384968153859276, 10.772453768340384 59.37770862175981, 10.773007913501965 59.37757229704876, 10.773490278303665 59.37745451099569)</t>
  </si>
  <si>
    <t>[1406362, 1406370, 1406378, 1406386, 1406394, 1406594]</t>
  </si>
  <si>
    <t>[1286830, 1286836, 1286843, 1286850, 1286860, 1287039]</t>
  </si>
  <si>
    <t>0.0014106220616974063</t>
  </si>
  <si>
    <t>[1286829, 1286830, 1286836, 1286843, 1286850, 1286860]</t>
  </si>
  <si>
    <t>[0.022, 0.0, 0.002, 0.002, 0.013, 0.008]</t>
  </si>
  <si>
    <t>1510.3889432784954</t>
  </si>
  <si>
    <t>[0.05, 0.053, 0.05, 0.045, 0.039]</t>
  </si>
  <si>
    <t>LINESTRING (10.752413694176594 59.3863010223971, 10.752492441711755 59.38634188713453, 10.752796559824086 59.38640783234186, 10.753181774264265 59.38641148934507, 10.75343209923116 59.386383142468745, 10.753919142986968 59.386281673178864)</t>
  </si>
  <si>
    <t>[1406402, 1406410, 1406418, 1406426, 1406434]</t>
  </si>
  <si>
    <t>[1286870, 1286876, 1286881, 1286889, 1286829]</t>
  </si>
  <si>
    <t>0.046247075828127225</t>
  </si>
  <si>
    <t>[1286869, 1286870, 1286876, 1286881, 1286889]</t>
  </si>
  <si>
    <t>91.83903590700103</t>
  </si>
  <si>
    <t>[0.051, 0.05, 0.051, 0.046, 0.039, 0.026]</t>
  </si>
  <si>
    <t>LINESTRING (10.752256839115025 59.38639931590725, 10.752390108486946 59.386416106512165, 10.75267418574612 59.38645320853548, 10.75325226724565 59.38646225445628, 10.753459906811685 59.38643836074228, 10.75354881622464 59.38642372466438, 10.753919142986968 59.386281673178864)</t>
  </si>
  <si>
    <t>[1406498, 1406506, 1406514, 1406522, 1406530, 1406538]</t>
  </si>
  <si>
    <t>[1286952, 1286958, 1286920, 1286935, 1286981, 1286829]</t>
  </si>
  <si>
    <t>0.04302921392869172</t>
  </si>
  <si>
    <t>[1286951, 1286952, 1286958, 1286920, 1286935, 1286981]</t>
  </si>
  <si>
    <t>101.69232297087875</t>
  </si>
  <si>
    <t>[0.004, -0.022]</t>
  </si>
  <si>
    <t>LINESTRING (10.752413694176594 59.3863010223971, 10.752358665502982 59.38636037378135, 10.752256839115025 59.38639931590725)</t>
  </si>
  <si>
    <t>[1701531, 1701539]</t>
  </si>
  <si>
    <t>[1520580, 1286951]</t>
  </si>
  <si>
    <t>[1286869, 1520580]</t>
  </si>
  <si>
    <t>[0.004, 0.022]</t>
  </si>
  <si>
    <t>14.551058788812504</t>
  </si>
  <si>
    <t>12.044270317493467</t>
  </si>
  <si>
    <t>[-0.021, 0.024, -0.019]</t>
  </si>
  <si>
    <t>LINESTRING (11.296759500542104 60.59385398248124, 11.29758308103771 60.59424018286863, 11.304272986974023 60.59889503357586, 11.30509710123894 60.599487871270604)</t>
  </si>
  <si>
    <t>[1726467, 1726475, 1406454]</t>
  </si>
  <si>
    <t>[1536191, 1286913, 1286914]</t>
  </si>
  <si>
    <t>0.015969990065077468</t>
  </si>
  <si>
    <t>[1536181, 1536191, 1286913]</t>
  </si>
  <si>
    <t>[0.021, 0.024, 0.019]</t>
  </si>
  <si>
    <t>777.9844732359322</t>
  </si>
  <si>
    <t>[0.021, -0.012, -0.012, -0.044]</t>
  </si>
  <si>
    <t>LINESTRING (11.297709902159077 60.594175442495384, 11.304450010730273 60.598835531769105, 11.305265355517603 60.5994313794589, 11.306044520445615 60.60000419105536, 11.30605074113208 60.60000877627011)</t>
  </si>
  <si>
    <t>[1726443, 1406478, 1406486, 1406494]</t>
  </si>
  <si>
    <t>[1286930, 1286931, 1286938, 1286945]</t>
  </si>
  <si>
    <t>0.014441028206008557</t>
  </si>
  <si>
    <t>[1536159, 1286930, 1286931, 1286938]</t>
  </si>
  <si>
    <t>[0.021, 0.012, 0.012, 0.044]</t>
  </si>
  <si>
    <t>795.0924317773292</t>
  </si>
  <si>
    <t>[-0.044, 0.09]</t>
  </si>
  <si>
    <t>LINESTRING (10.752256839115025 59.38639931590725, 10.752109126134208 59.386405091721485, 10.751972079527286 59.38636485234084)</t>
  </si>
  <si>
    <t>[1701547, 1701555]</t>
  </si>
  <si>
    <t>[464826, 1502506]</t>
  </si>
  <si>
    <t>0.025183148751537224</t>
  </si>
  <si>
    <t>[1286951, 464826]</t>
  </si>
  <si>
    <t>[0.044, 0.09]</t>
  </si>
  <si>
    <t>17.410909373878948</t>
  </si>
  <si>
    <t>15.0572473695658</t>
  </si>
  <si>
    <t>[0.024, 0.046]</t>
  </si>
  <si>
    <t>LINESTRING (11.298462354754516 60.63298773348024, 11.29844760582134 60.63304448962165, 11.29839091230976 60.633088848953406)</t>
  </si>
  <si>
    <t>[1406558, 1406566]</t>
  </si>
  <si>
    <t>[1287009, 1286961]</t>
  </si>
  <si>
    <t>0.03451413089487557</t>
  </si>
  <si>
    <t>[1287001, 1287009]</t>
  </si>
  <si>
    <t>12.212380040735836</t>
  </si>
  <si>
    <t>LINESTRING (11.298866886052934 60.63312207351891, 11.298478625542188 60.63309515198976, 11.29839091230976 60.633088848953406)</t>
  </si>
  <si>
    <t>[1406702, 1406710]</t>
  </si>
  <si>
    <t>[1287129, 1286961]</t>
  </si>
  <si>
    <t>0.04063121918958351</t>
  </si>
  <si>
    <t>[1287096, 1287129]</t>
  </si>
  <si>
    <t>26.314709363321818</t>
  </si>
  <si>
    <t>[-0.001, -0.04, -0.052, -0.043]</t>
  </si>
  <si>
    <t>LINESTRING (11.298134020325216 60.63312056299911, 11.297963321729602 60.63297049681042, 11.298024512550775 60.63291565620279, 11.298132263011897 60.63288241833281, 11.298227512111811 60.6328767872781)</t>
  </si>
  <si>
    <t>[1406518, 1406526, 1406534, 1406542]</t>
  </si>
  <si>
    <t>[1286969, 1286976, 1286985, 1286994]</t>
  </si>
  <si>
    <t>[1286962, 1286969, 1286976, 1286985]</t>
  </si>
  <si>
    <t>[0.001, 0.04, 0.052, 0.043]</t>
  </si>
  <si>
    <t>39.80657779461115</t>
  </si>
  <si>
    <t>18.961933114604676</t>
  </si>
  <si>
    <t>LINESTRING (11.298866886052934 60.63312207351891, 11.2985319875787 60.633011583959465, 11.298462354754516 60.63298773348024)</t>
  </si>
  <si>
    <t>[1406662, 1406670]</t>
  </si>
  <si>
    <t>[1287097, 1287001]</t>
  </si>
  <si>
    <t>[1287096, 1287097]</t>
  </si>
  <si>
    <t>26.72870710635204</t>
  </si>
  <si>
    <t>11.16549061521226</t>
  </si>
  <si>
    <t>[0.329, -0.215]</t>
  </si>
  <si>
    <t>LINESTRING (10.275553659881428 60.1290471983698, 10.275385614864366 60.12924167821141, 10.2751541696688 60.12961227046945)</t>
  </si>
  <si>
    <t>[2122804, 2122812]</t>
  </si>
  <si>
    <t>[1828770, 1291070]</t>
  </si>
  <si>
    <t>[1287650, 1828770]</t>
  </si>
  <si>
    <t>[0.329, 0.215]</t>
  </si>
  <si>
    <t>67.14587696942311</t>
  </si>
  <si>
    <t>[0.062, 0.064, 0.068]</t>
  </si>
  <si>
    <t>LINESTRING (10.274498033073806 60.130816472120785, 10.27404644424447 60.13309865094783, 10.273950674181906 60.13394138677439, 10.273839629585257 60.134458783783)</t>
  </si>
  <si>
    <t>[1407354, 1407362, 1407370]</t>
  </si>
  <si>
    <t>[1287656, 1287662, 1287669]</t>
  </si>
  <si>
    <t>0.06331317186877697</t>
  </si>
  <si>
    <t>[1287655, 1287656, 1287662]</t>
  </si>
  <si>
    <t>408.30532479787274</t>
  </si>
  <si>
    <t>[0.083, 0.035, 0.039, 0.053]</t>
  </si>
  <si>
    <t>LINESTRING (10.274818440914236 60.130355131861734, 10.274761029380583 60.130447764386474, 10.274722479844057 60.13051452850065, 10.274585217145232 60.130752553492044, 10.274498033073806 60.130816472120785)</t>
  </si>
  <si>
    <t>[1431876, 1431884, 1431892, 1431900]</t>
  </si>
  <si>
    <t>[1303529, 1303535, 1303540, 1287655]</t>
  </si>
  <si>
    <t>0.049318195568583766</t>
  </si>
  <si>
    <t>[1291078, 1303529, 1303535, 1303540]</t>
  </si>
  <si>
    <t>54.77652118848076</t>
  </si>
  <si>
    <t>[1.167, 0.039, -1.177]</t>
  </si>
  <si>
    <t>LINESTRING (10.274628856598161 60.130499793639075, 10.274580374544078 60.13058322919389, 10.274495668541917 60.13073907058167, 10.274498033073806 60.130816472120785)</t>
  </si>
  <si>
    <t>[2122836, 2122844, 2122852]</t>
  </si>
  <si>
    <t>[1828789, 1828792, 1287655]</t>
  </si>
  <si>
    <t>0.05084475445940627</t>
  </si>
  <si>
    <t>[1291096, 1828789, 1828792]</t>
  </si>
  <si>
    <t>[1.167, 0.039, 1.177]</t>
  </si>
  <si>
    <t>36.30931284469241</t>
  </si>
  <si>
    <t>[-0.02, -0.025, -0.029, -0.082]</t>
  </si>
  <si>
    <t>LINESTRING (10.272183544710131 60.13565724726378, 10.2723911292522 60.135543957320586, 10.272553960631923 60.1354491870338, 10.272718135187977 60.1353479525657, 10.273839629585257 60.134458783783)</t>
  </si>
  <si>
    <t>[2080450, 2080538, 2080546, 2080554]</t>
  </si>
  <si>
    <t>[1803904, 1803942, 1224340, 1287669]</t>
  </si>
  <si>
    <t>[1803888, 1803904, 1803942, 1224340]</t>
  </si>
  <si>
    <t>[0.02, 0.025, 0.029, 0.082]</t>
  </si>
  <si>
    <t>163.62458010644605</t>
  </si>
  <si>
    <t>75.49905747291481</t>
  </si>
  <si>
    <t>[-0.018, -0.044]</t>
  </si>
  <si>
    <t>LINESTRING (10.257794519035743 60.14569436666083, 10.254050872440441 60.14677763388403, 10.253506560345755 60.14685912740735)</t>
  </si>
  <si>
    <t>[1431972, 1431980]</t>
  </si>
  <si>
    <t>[1303594, 1287788]</t>
  </si>
  <si>
    <t>[1287780, 1303594]</t>
  </si>
  <si>
    <t>[0.018, 0.044]</t>
  </si>
  <si>
    <t>274.3743196819138</t>
  </si>
  <si>
    <t>[-0.01, -0.027, 0.004, 0.038, 0.008, 0.008]</t>
  </si>
  <si>
    <t>LINESTRING (10.218661100963562 60.15514770031468, 10.218818386047646 60.155695519436804, 10.218860442048635 60.15579698254222, 10.219074687906105 60.16426933025959, 10.216924451568469 60.167266591461406, 10.216866071331964 60.167311963899515, 10.21496926119497 60.1689667484927)</t>
  </si>
  <si>
    <t>[1407666, 1407674, 1407682, 1407690, 1407698, 1407706]</t>
  </si>
  <si>
    <t>[1287900, 1287905, 1287910, 1287917, 1287922, 1287926]</t>
  </si>
  <si>
    <t>0.011217137612739432</t>
  </si>
  <si>
    <t>[1287899, 1287900, 1287905, 1287910, 1287917, 1287922]</t>
  </si>
  <si>
    <t>[0.01, 0.027, 0.004, 0.038, 0.008, 0.008]</t>
  </si>
  <si>
    <t>1636.1274748596525</t>
  </si>
  <si>
    <t>[-0.08, -0.04, -0.024]</t>
  </si>
  <si>
    <t>LINESTRING (10.219964053191728 60.152944233778236, 10.219874745353815 60.15298040219275, 10.218686809713741 60.1548781987453, 10.218661100963562 60.15514770031468)</t>
  </si>
  <si>
    <t>[1716911, 1716930, 1716931]</t>
  </si>
  <si>
    <t>[1530752, 1530761, 1287899]</t>
  </si>
  <si>
    <t>[1530707, 1530752, 1530761]</t>
  </si>
  <si>
    <t>[0.08, 0.04, 0.024]</t>
  </si>
  <si>
    <t>280.0911485350864</t>
  </si>
  <si>
    <t>49.57487211277232</t>
  </si>
  <si>
    <t>[-0.002, 0.006]</t>
  </si>
  <si>
    <t>LINESTRING (10.275539992867692 60.12914447122662, 10.275244036662405 60.1296373223511, 10.274818440914236 60.130355131861734)</t>
  </si>
  <si>
    <t>[1431860, 1431868]</t>
  </si>
  <si>
    <t>[1303520, 1291078]</t>
  </si>
  <si>
    <t>0.0027412565060346444</t>
  </si>
  <si>
    <t>[1291062, 1303520]</t>
  </si>
  <si>
    <t>140.78362259838732</t>
  </si>
  <si>
    <t>[0.16, -0.461]</t>
  </si>
  <si>
    <t>LINESTRING (10.2751541696688 60.12961227046945, 10.274738428558132 60.130308665349595, 10.274628856598161 60.130499793639075)</t>
  </si>
  <si>
    <t>[2122820, 2122828]</t>
  </si>
  <si>
    <t>[1828778, 1291096]</t>
  </si>
  <si>
    <t>0.026601029388530546</t>
  </si>
  <si>
    <t>[1291070, 1828778]</t>
  </si>
  <si>
    <t>[0.16, 0.461]</t>
  </si>
  <si>
    <t>103.1502299495451</t>
  </si>
  <si>
    <t>13.684025869952814</t>
  </si>
  <si>
    <t>[0.0, -0.025, -0.014]</t>
  </si>
  <si>
    <t>LINESTRING (5.257988875287223 60.5330719277811, 5.257988875287223 60.5330719277811, 5.257577132286713 60.533021228039026, 5.256755317380763 60.532560990497316)</t>
  </si>
  <si>
    <t>[1412073, 1412199, 1412191]</t>
  </si>
  <si>
    <t>[1291177, 1291247, 1291183]</t>
  </si>
  <si>
    <t>[1291176, 1291177, 1291247]</t>
  </si>
  <si>
    <t>[0.0, 0.025, 0.014]</t>
  </si>
  <si>
    <t>131.82672977553938</t>
  </si>
  <si>
    <t>[-0.039, -0.03]</t>
  </si>
  <si>
    <t>LINESTRING (5.256755317380763 60.532560990497316, 5.256371575979736 60.53248785965873, 5.256251394076377 60.5324675712175)</t>
  </si>
  <si>
    <t>[1412081, 1412089]</t>
  </si>
  <si>
    <t>[1291184, 1291189]</t>
  </si>
  <si>
    <t>[1291183, 1291184]</t>
  </si>
  <si>
    <t>[0.039, 0.03]</t>
  </si>
  <si>
    <t>29.65445370956693</t>
  </si>
  <si>
    <t>[-0.017, -0.004]</t>
  </si>
  <si>
    <t>LINESTRING (5.256755317380763 60.532560990497316, 5.25647363924285 60.53241041103345, 5.256385077984796 60.53236523938698)</t>
  </si>
  <si>
    <t>[1412094, 1412102]</t>
  </si>
  <si>
    <t>[1291192, 1291195]</t>
  </si>
  <si>
    <t>[1291183, 1291192]</t>
  </si>
  <si>
    <t>[0.017, 0.004]</t>
  </si>
  <si>
    <t>29.907597433748265</t>
  </si>
  <si>
    <t>[-0.652, -0.022, -0.024, -0.012, 0.005, 0.015, 0.625]</t>
  </si>
  <si>
    <t>LINESTRING (5.256251394076377 60.5324675712175, 5.25615901555883 60.532481573522574, 5.25601417390206 60.53246818931584, 5.25590242365225 60.53241291362037, 5.255912002138465 60.532290583259424, 5.25600435202364 60.53224762939889, 5.256126626947642 60.532231306263476, 5.256255398880047 60.53224802997078)</t>
  </si>
  <si>
    <t>[2025239, 2025247, 2025255, 2025263, 2025264, 2025271, 2025279]</t>
  </si>
  <si>
    <t>[1766203, 1768456, 1760758, 1764654, 1768468, 1760728, 1757000]</t>
  </si>
  <si>
    <t>0.012074563880475953</t>
  </si>
  <si>
    <t>[1291189, 1766203, 1768456, 1760758, 1764654, 1768468, 1760728]</t>
  </si>
  <si>
    <t>[0.652, 0.022, 0.024, 0.012, 0.005, 0.015, 0.625]</t>
  </si>
  <si>
    <t>57.596546447031606</t>
  </si>
  <si>
    <t>[-0.576, -0.004, 3.328]</t>
  </si>
  <si>
    <t>LINESTRING (5.256385077984796 60.53236523938698, 5.25634536036606 60.5324247361881, 5.256267073617403 60.532462791600764, 5.256251394076377 60.5324675712175)</t>
  </si>
  <si>
    <t>[2025290, 2025305, 2025313]</t>
  </si>
  <si>
    <t>[1768486, 1768496, 1291189]</t>
  </si>
  <si>
    <t>[1291195, 1768486, 1768496]</t>
  </si>
  <si>
    <t>[0.576, 0.004, 3.328]</t>
  </si>
  <si>
    <t>14.071734134199607</t>
  </si>
  <si>
    <t>5.286028755663184</t>
  </si>
  <si>
    <t>26.08408208053891</t>
  </si>
  <si>
    <t>[0.014, -0.002, 0.043, 0.033, 0.033]</t>
  </si>
  <si>
    <t>LINESTRING (5.258168986175119 60.530459949455235, 5.258116778708388 60.5306891930747, 5.257768605736018 60.532854830422394, 5.257928768187977 60.53323077627068, 5.258085195587148 60.533483899587125, 5.258684787603723 60.53419749853684)</t>
  </si>
  <si>
    <t>[1412110, 1412118, 1412126, 1412134, 1412142]</t>
  </si>
  <si>
    <t>[1291201, 1291203, 1291208, 1291212, 1291216]</t>
  </si>
  <si>
    <t>0.012922362479788846</t>
  </si>
  <si>
    <t>[1291200, 1291201, 1291203, 1291208, 1291212]</t>
  </si>
  <si>
    <t>[0.014, 0.002, 0.043, 0.033, 0.033]</t>
  </si>
  <si>
    <t>428.9381286613108</t>
  </si>
  <si>
    <t>[0.028, 0.0]</t>
  </si>
  <si>
    <t>LINESTRING (5.258168986175119 60.530459949455235, 5.258229102681492 60.53055397610547, 5.258764843050043 60.53283935583519)</t>
  </si>
  <si>
    <t>[1412367, 1412375]</t>
  </si>
  <si>
    <t>[1291342, 1291319]</t>
  </si>
  <si>
    <t>0.001063076399209451</t>
  </si>
  <si>
    <t>[1291200, 1291342]</t>
  </si>
  <si>
    <t>290.202234138915</t>
  </si>
  <si>
    <t>[-0.033, -0.023, 0.0, 0.007, 0.081, 0.091]</t>
  </si>
  <si>
    <t>20000.0</t>
  </si>
  <si>
    <t>LINESTRING (5.279372710425012 60.518308574674286, 5.276032833574636 60.519187488317286, 5.2647113221971455 60.52377790528904, 5.2637368964124995 60.52440637862825, 5.25845350382046 60.52986871352673, 5.258281133277709 60.53021969603531, 5.258168986175119 60.530459949455235)</t>
  </si>
  <si>
    <t>[2000067, 2000075, 2000084, 2000108, 2000109, 1412295]</t>
  </si>
  <si>
    <t>[1753315, 1753319, 1753327, 1753340, 1291299, 1291200]</t>
  </si>
  <si>
    <t>[1753306, 1753315, 1753319, 1753327, 1753340, 1291299]</t>
  </si>
  <si>
    <t>[0.033, 0.023, 0.0, 0.007, 0.081, 0.091]</t>
  </si>
  <si>
    <t>1856.6951320184878</t>
  </si>
  <si>
    <t>[0.044, 0.324, 0.033, 0.004, -0.039, -0.042, -0.039, -0.041, -0.128]</t>
  </si>
  <si>
    <t>LINESTRING (5.258684787603723 60.53419749853684, 5.25903373681289 60.53465438152104, 5.259060986230594 60.53473257973878, 5.261539627391723 60.5405029333252, 5.263463698449336 60.541730881453084, 5.264204993900885 60.541948122419974, 5.265311980418383 60.54214100904693, 5.266433254022352 60.54222079539522, 5.268002285781612 60.54227756582538, 5.2683372030530515 60.54233353963284)</t>
  </si>
  <si>
    <t>[1412303, 1822754, 1822763, 1822774, 1822782, 1822790, 1822798, 1822806, 1822814]</t>
  </si>
  <si>
    <t>[1291304, 1602205, 1602213, 1602223, 1602228, 1602233, 1602236, 1602241, 1602247]</t>
  </si>
  <si>
    <t>0.012792269565847112</t>
  </si>
  <si>
    <t>[1291216, 1291304, 1602205, 1602213, 1602223, 1602228, 1602233, 1602236, 1602241]</t>
  </si>
  <si>
    <t>[0.044, 0.324, 0.033, 0.004, 0.039, 0.042, 0.039, 0.041, 0.128]</t>
  </si>
  <si>
    <t>1204.7226211319553</t>
  </si>
  <si>
    <t>[-0.056, -0.001, 0.046, 0.033, -0.002]</t>
  </si>
  <si>
    <t>LINESTRING (5.258764843050043 60.53283935583519, 5.258743401431594 60.53277742602312, 5.257850347361757 60.53286699375586, 5.258006533099802 60.53323511063, 5.258729562353912 60.53415757974741, 5.258684787603723 60.53419749853684)</t>
  </si>
  <si>
    <t>[1412335, 1412343, 1412351, 1412359, 1412207]</t>
  </si>
  <si>
    <t>[1291324, 1291328, 1291333, 1291252, 1291216]</t>
  </si>
  <si>
    <t>0.020185904349268084</t>
  </si>
  <si>
    <t>[1291319, 1291324, 1291328, 1291333, 1291252]</t>
  </si>
  <si>
    <t>[0.056, 0.001, 0.046, 0.033, 0.002]</t>
  </si>
  <si>
    <t>252.3074118034527</t>
  </si>
  <si>
    <t>[-0.005, 0.035, 0.031]</t>
  </si>
  <si>
    <t>LINESTRING (5.258019610513262 60.530681420935686, 5.257637578351761 60.5328414161774, 5.257783430225629 60.533211269204834, 5.257958594339333 60.533502185874)</t>
  </si>
  <si>
    <t>[1412166, 1412174, 1412183]</t>
  </si>
  <si>
    <t>[1291230, 1291236, 1291241]</t>
  </si>
  <si>
    <t>0.0040602121307201046</t>
  </si>
  <si>
    <t>[1291224, 1291230, 1291236]</t>
  </si>
  <si>
    <t>[0.005, 0.035, 0.031]</t>
  </si>
  <si>
    <t>320.6695623281342</t>
  </si>
  <si>
    <t>[0.027, 0.009, -1.709, 0.024, -0.095]</t>
  </si>
  <si>
    <t>LINESTRING (5.256255398880047 60.53224802997078, 5.256396254861883 60.53222674266953, 5.257381777773196 60.53197534726423, 5.257392725350187 60.53196812918693, 5.257933491065854 60.53069696175647, 5.258019610513262 60.530681420935686)</t>
  </si>
  <si>
    <t>[2006752, 2006760, 2006768, 1412065, 1412215]</t>
  </si>
  <si>
    <t>[1757001, 1757006, 1291171, 1291172, 1291224]</t>
  </si>
  <si>
    <t>0.00933172012479572</t>
  </si>
  <si>
    <t>[1757000, 1757001, 1757006, 1291171, 1291172]</t>
  </si>
  <si>
    <t>[0.027, 0.009, 1.709, 0.024, 0.095]</t>
  </si>
  <si>
    <t>223.01383623476647</t>
  </si>
  <si>
    <t>[-0.045, -0.031, -0.032, -0.006, -0.027]</t>
  </si>
  <si>
    <t>LINESTRING (5.257958594339333 60.533502185874, 5.257896853982321 60.53348400513115, 5.257716221405465 60.5332045187104, 5.257563526190943 60.53283604323844, 5.256474159095125 60.532321257352514, 5.256373808251855 60.532318270726186)</t>
  </si>
  <si>
    <t>[1412223, 1412231, 1412239, 1412247, 1412255]</t>
  </si>
  <si>
    <t>[1291262, 1291264, 1291268, 1291272, 1291275]</t>
  </si>
  <si>
    <t>[1291241, 1291262, 1291264, 1291268, 1291272]</t>
  </si>
  <si>
    <t>[0.045, 0.031, 0.032, 0.006, 0.027]</t>
  </si>
  <si>
    <t>185.58374480741264</t>
  </si>
  <si>
    <t>10.205493618511339</t>
  </si>
  <si>
    <t>[-0.361, 0.017, 0.009, -0.001, -0.013, -0.017]</t>
  </si>
  <si>
    <t>LINESTRING (10.218063708114954 60.17310087816643, 10.218093195218113 60.173122290755394, 10.219191850081264 60.1739232013598, 10.21938734346137 60.174054891861736, 10.220628118956224 60.17483484078608, 10.221385842373978 60.175261016002935, 10.222638876575633 60.17587746441773)</t>
  </si>
  <si>
    <t>[2123365, 2123373, 2123381, 2123389, 2123397, 2123405]</t>
  </si>
  <si>
    <t>[1829094, 1829100, 1829103, 1829110, 1829118, 1291336]</t>
  </si>
  <si>
    <t>[1291443, 1829094, 1829100, 1829103, 1829110, 1829118]</t>
  </si>
  <si>
    <t>[0.361, 0.017, 0.009, 0.001, 0.013, 0.017]</t>
  </si>
  <si>
    <t>401.46489569279436</t>
  </si>
  <si>
    <t>[0.031, 0.005, -0.008, -0.006]</t>
  </si>
  <si>
    <t>LINESTRING (10.411657319424641 59.73948275236343, 10.410823332987261 59.739722213287116, 10.410602008538394 59.739782028990106, 10.401566899429294 59.741053832246806, 10.385596418144429 59.741104520859864)</t>
  </si>
  <si>
    <t>[1412597, 1412602, 1412610, 1412618]</t>
  </si>
  <si>
    <t>[1291517, 1291519, 1291525, 1291531]</t>
  </si>
  <si>
    <t>[1291516, 1291517, 1291519, 1291525]</t>
  </si>
  <si>
    <t>[0.031, 0.005, 0.008, 0.006]</t>
  </si>
  <si>
    <t>1500.5560720915305</t>
  </si>
  <si>
    <t>47.17017749305097</t>
  </si>
  <si>
    <t>[0.028, -0.041]</t>
  </si>
  <si>
    <t>LINESTRING (10.385596418144429 59.741104520859864, 10.384763205660992 59.74109670205131, 10.382060252325997 59.74088021921509)</t>
  </si>
  <si>
    <t>[1632050, 1632051]</t>
  </si>
  <si>
    <t>[1459315, 1459316]</t>
  </si>
  <si>
    <t>[1291531, 1459315]</t>
  </si>
  <si>
    <t>[0.028, 0.041]</t>
  </si>
  <si>
    <t>201.16663806985537</t>
  </si>
  <si>
    <t>40.116699298626386</t>
  </si>
  <si>
    <t>[0.053, 0.031, -0.012]</t>
  </si>
  <si>
    <t>LINESTRING (10.378463201038105 59.7402705467421, 10.376848803094877 59.73986088992578, 10.37641661046276 59.73973763233811, 10.375827264706835 59.73952778569252)</t>
  </si>
  <si>
    <t>[1632075, 1632083, 1632091]</t>
  </si>
  <si>
    <t>[1459329, 1459334, 1291538]</t>
  </si>
  <si>
    <t>0.03384976900542422</t>
  </si>
  <si>
    <t>[1459320, 1459329, 1459334]</t>
  </si>
  <si>
    <t>[0.053, 0.031, 0.012]</t>
  </si>
  <si>
    <t>170.3105473056442</t>
  </si>
  <si>
    <t>[-0.064, 0.014, 0.0, -0.015, -0.025, -0.039, -0.066, -0.032]</t>
  </si>
  <si>
    <t>LINESTRING (10.325435937689955 59.732017325384305, 10.324310273060924 59.7312962799184, 10.324269842182154 59.7312355018833, 10.324019854468109 59.73094311807477, 10.323975578488579 59.73090690137976, 10.323931825140187 59.73087293391927, 10.323595370869796 59.73069543538422, 10.32341373157497 59.73063202121892, 10.322194629066654 59.73031869333165)</t>
  </si>
  <si>
    <t>[1422769, 1422777, 1422785, 1422793, 1422802, 1422810, 1422818, 1422826]</t>
  </si>
  <si>
    <t>[1298127, 1298132, 1298139, 1298145, 1298150, 1298157, 1298163, 1291636]</t>
  </si>
  <si>
    <t>[1291627, 1298127, 1298132, 1298139, 1298145, 1298150, 1298157, 1298163]</t>
  </si>
  <si>
    <t>[0.064, 0.014, 0.0, 0.015, 0.025, 0.039, 0.066, 0.032]</t>
  </si>
  <si>
    <t>274.4405840683887</t>
  </si>
  <si>
    <t>[0.07, 0.004, -0.009, -0.029, -0.031, -0.06, -0.074, -0.079, -0.205]</t>
  </si>
  <si>
    <t>LINESTRING (10.325435937689955 59.732017325384305, 10.324423427653256 59.73123959456035, 10.324365681703814 59.73114647578523, 10.324178600462151 59.730916553369696, 10.32409341993969 59.73085083322012, 10.324020140060462 59.730796564618664, 10.323533055284207 59.730594004229175, 10.323480178803893 59.730579795636544, 10.323409319519557 59.73056170752321, 10.322194629066654 59.73031869333165)</t>
  </si>
  <si>
    <t>[2129955, 2129963, 2129971, 2129979, 2129987, 2129995, 2130003, 2130011, 2130019]</t>
  </si>
  <si>
    <t>[1438671, 1832763, 1832769, 1832772, 1832777, 1438397, 1832784, 1530622, 1291636]</t>
  </si>
  <si>
    <t>[1291627, 1438671, 1832763, 1832769, 1832772, 1832777, 1438397, 1832784, 1530622]</t>
  </si>
  <si>
    <t>[0.07, 0.004, 0.009, 0.029, 0.031, 0.06, 0.074, 0.079, 0.205]</t>
  </si>
  <si>
    <t>277.9926234188337</t>
  </si>
  <si>
    <t>[-0.006, 0.005]</t>
  </si>
  <si>
    <t>LINESTRING (5.455679212447372 59.76304032645523, 5.455576661531243 59.76277790600658, 5.455511592019553 59.76249059032815)</t>
  </si>
  <si>
    <t>[1413136, 1413203]</t>
  </si>
  <si>
    <t>[1291974, 1292031]</t>
  </si>
  <si>
    <t>[1291973, 1291974]</t>
  </si>
  <si>
    <t>62.20878086361702</t>
  </si>
  <si>
    <t>[0.027, 0.061]</t>
  </si>
  <si>
    <t>LINESTRING (5.4556477257555445 59.76329843162048, 5.455671002244789 59.76322152524749, 5.455679212447372 59.76304032645523)</t>
  </si>
  <si>
    <t>[1999336, 1999337]</t>
  </si>
  <si>
    <t>[1752954, 1291973]</t>
  </si>
  <si>
    <t>0.05078891954954398</t>
  </si>
  <si>
    <t>[1752953, 1752954]</t>
  </si>
  <si>
    <t>28.949312681112588</t>
  </si>
  <si>
    <t>LINESTRING (5.4559285044615535 59.76327017856794, 5.455865001375719 59.76320641720915, 5.455679212447372 59.76304032645523)</t>
  </si>
  <si>
    <t>[2021087, 2021095]</t>
  </si>
  <si>
    <t>[1765599, 1291973]</t>
  </si>
  <si>
    <t>[1757665, 1765599]</t>
  </si>
  <si>
    <t>29.28675927575923</t>
  </si>
  <si>
    <t>[-0.008, -0.001, 0.007, 0.016]</t>
  </si>
  <si>
    <t>LINESTRING (5.45534386833037 59.7622831981913, 5.455263909460422 59.76224721044647, 5.455228061439469 59.76218994203285, 5.455274122572712 59.76212018495537, 5.45533658542461 59.762093124002654)</t>
  </si>
  <si>
    <t>[1413143, 1413151, 1413152, 1413153]</t>
  </si>
  <si>
    <t>[1291984, 1291992, 1291993, 1291994]</t>
  </si>
  <si>
    <t>0.0029965755501036406</t>
  </si>
  <si>
    <t>[1291983, 1291984, 1291992, 1291993]</t>
  </si>
  <si>
    <t>[0.008, 0.001, 0.007, 0.016]</t>
  </si>
  <si>
    <t>25.610991875216875</t>
  </si>
  <si>
    <t>LINESTRING (5.45556577464296 59.762274675052396, 5.45545183106112 59.76229451859758, 5.45534386833037 59.7622831981913)</t>
  </si>
  <si>
    <t>[1413190, 1413195]</t>
  </si>
  <si>
    <t>[1292026, 1291983]</t>
  </si>
  <si>
    <t>[1292019, 1292026]</t>
  </si>
  <si>
    <t>13.011982532239186</t>
  </si>
  <si>
    <t>[0.001, -0.001]</t>
  </si>
  <si>
    <t>LINESTRING (5.455511592019553 59.76249059032815, 5.455388903089301 59.76233887924142, 5.45534386833037 59.7622831981913)</t>
  </si>
  <si>
    <t>[1413198, 1413200]</t>
  </si>
  <si>
    <t>[1292032, 1291983]</t>
  </si>
  <si>
    <t>0.0004630290944790082</t>
  </si>
  <si>
    <t>[1292031, 1292032]</t>
  </si>
  <si>
    <t>25.031533117737432</t>
  </si>
  <si>
    <t>[0.016, 0.015]</t>
  </si>
  <si>
    <t>LINESTRING (5.45533658542461 59.762093124002654, 5.455451428829132 59.76207973929263, 5.4555652235210506 59.76209962488777)</t>
  </si>
  <si>
    <t>[1413160, 1413164]</t>
  </si>
  <si>
    <t>[1292000, 1292004]</t>
  </si>
  <si>
    <t>0.015494627529128547</t>
  </si>
  <si>
    <t>[1291994, 1292000]</t>
  </si>
  <si>
    <t>13.43401056123693</t>
  </si>
  <si>
    <t>[0.006, 0.013]</t>
  </si>
  <si>
    <t>LINESTRING (5.45533658542461 59.762093124002654, 5.455362246719436 59.76203774991478, 5.455506034232162 59.76188326844215)</t>
  </si>
  <si>
    <t>[1413235, 1413243]</t>
  </si>
  <si>
    <t>[1292066, 1292044]</t>
  </si>
  <si>
    <t>0.01125047317817751</t>
  </si>
  <si>
    <t>[1291994, 1292066]</t>
  </si>
  <si>
    <t>25.427493052412384</t>
  </si>
  <si>
    <t>[0.006, -0.002, -0.01, -0.011]</t>
  </si>
  <si>
    <t>LINESTRING (5.4555652235210506 59.76209962488777, 5.455620756706249 59.762129057381664, 5.455654172720778 59.76218027008033, 5.455621101871959 59.762245192227375, 5.45556577464296 59.762274675052396)</t>
  </si>
  <si>
    <t>[1413165, 1413166, 1413174, 1413182]</t>
  </si>
  <si>
    <t>[1292005, 1292006, 1292012, 1292019]</t>
  </si>
  <si>
    <t>[1292004, 1292005, 1292006, 1292012]</t>
  </si>
  <si>
    <t>[0.006, 0.002, 0.01, 0.011]</t>
  </si>
  <si>
    <t>22.594311172304483</t>
  </si>
  <si>
    <t>LINESTRING (5.4555652235210506 59.76209962488777, 5.455552920882509 59.762043937297186, 5.455506034232162 59.76188326844215)</t>
  </si>
  <si>
    <t>[1413221, 1413226]</t>
  </si>
  <si>
    <t>[1292052, 1292044]</t>
  </si>
  <si>
    <t>[1292004, 1292052]</t>
  </si>
  <si>
    <t>24.410870129019955</t>
  </si>
  <si>
    <t>LINESTRING (5.455511592019553 59.76249059032815, 5.455550738333615 59.76233361273092, 5.45556577464296 59.762274675052396)</t>
  </si>
  <si>
    <t>[1413204, 1413205]</t>
  </si>
  <si>
    <t>[1292036, 1292019]</t>
  </si>
  <si>
    <t>0.007273038748330081</t>
  </si>
  <si>
    <t>[1292031, 1292036]</t>
  </si>
  <si>
    <t>24.322109207764086</t>
  </si>
  <si>
    <t>[0.005, 0.027, 0.069, 0.067, 0.071]</t>
  </si>
  <si>
    <t>LINESTRING (10.21592784901297 59.730374599019996, 10.21590769235339 59.73031629478676, 10.215975279073001 59.729705647400905, 10.216025167608874 59.72959955415414, 10.216113271206835 59.729247391804925, 10.216110406294298 59.728969348058854)</t>
  </si>
  <si>
    <t>[1416549, 1416557, 1416565, 1416573, 1416581]</t>
  </si>
  <si>
    <t>[1294087, 1294091, 1294094, 1294098, 1294102]</t>
  </si>
  <si>
    <t>0.047910966741950174</t>
  </si>
  <si>
    <t>[1294086, 1294087, 1294091, 1294094, 1294098]</t>
  </si>
  <si>
    <t>158.79299677907596</t>
  </si>
  <si>
    <t>[0.262, -0.038]</t>
  </si>
  <si>
    <t>LINESTRING (10.21592784901297 59.730374599019996, 10.216053139187501 59.73032070369866, 10.216215415745497 59.73031344836688)</t>
  </si>
  <si>
    <t>[1427061, 1427069]</t>
  </si>
  <si>
    <t>[1300659, 1300666]</t>
  </si>
  <si>
    <t>0.11276962523310637</t>
  </si>
  <si>
    <t>[1294086, 1300659]</t>
  </si>
  <si>
    <t>[0.262, 0.038]</t>
  </si>
  <si>
    <t>18.432165039964584</t>
  </si>
  <si>
    <t>0.469</t>
  </si>
  <si>
    <t>5.728001396649501</t>
  </si>
  <si>
    <t>[0.028, 0.031, 0.063, 0.069, -0.024]</t>
  </si>
  <si>
    <t>LINESTRING (10.216215415745497 59.73031344836688, 10.216138233232916 59.73026697837472, 10.216108544710966 59.72969607412258, 10.216173675873558 59.7295942521076, 10.21622653578062 59.72919135745232, 10.216110406294298 59.728969348058854)</t>
  </si>
  <si>
    <t>[1719367, 1719375, 1719381, 1719389, 1719397]</t>
  </si>
  <si>
    <t>[1532266, 1532272, 1532275, 1532281, 1294102]</t>
  </si>
  <si>
    <t>0.035102879813937254</t>
  </si>
  <si>
    <t>[1300666, 1532266, 1532272, 1532275, 1532281]</t>
  </si>
  <si>
    <t>[0.028, 0.031, 0.063, 0.069, 0.024]</t>
  </si>
  <si>
    <t>157.82227922570698</t>
  </si>
  <si>
    <t>[0.01, 0.003, 0.003, 0.005]</t>
  </si>
  <si>
    <t>LINESTRING (10.020470400488863 59.75195817531344, 10.019848273106398 59.75193655164072, 10.018769750075023 59.751931205428505, 10.018510167737807 59.751933946791915, 10.009279763258789 59.752257310643785)</t>
  </si>
  <si>
    <t>[2007305, 2007313, 2007321, 2007329]</t>
  </si>
  <si>
    <t>[1757306, 1757312, 1757317, 1757324]</t>
  </si>
  <si>
    <t>0.005039328203029621</t>
  </si>
  <si>
    <t>[1294187, 1757306, 1757312, 1757317]</t>
  </si>
  <si>
    <t>631.558955806703</t>
  </si>
  <si>
    <t>[-0.309, 0.002, 0.002, 0.059]</t>
  </si>
  <si>
    <t>LINESTRING (10.02892816089459 59.75239308191405, 10.028811808648763 59.75242015750444, 10.02110543922647 59.75201898870771, 10.020818866851066 59.751991471497874, 10.020470400488863 59.75195817531344)</t>
  </si>
  <si>
    <t>[2094997, 2095005, 2095013, 2134608]</t>
  </si>
  <si>
    <t>[1812508, 1812515, 1812519, 1294187]</t>
  </si>
  <si>
    <t>[1300815, 1812508, 1812515, 1812519]</t>
  </si>
  <si>
    <t>[0.309, 0.002, 0.002, 0.059]</t>
  </si>
  <si>
    <t>495.0066607323703</t>
  </si>
  <si>
    <t>LINESTRING (9.900060119439617 59.7629223781441, 9.899625298516138 59.76304475084167, 9.89951316774732 59.7630860229403)</t>
  </si>
  <si>
    <t>[1416854, 1416862]</t>
  </si>
  <si>
    <t>[1294232, 1294239]</t>
  </si>
  <si>
    <t>0.021962021806529623</t>
  </si>
  <si>
    <t>[1294231, 1294232]</t>
  </si>
  <si>
    <t>35.80460171607989</t>
  </si>
  <si>
    <t>[-0.06, 0.057]</t>
  </si>
  <si>
    <t>LINESTRING (9.900060119439617 59.7629223781441, 9.899546257515807 59.76293700285078, 9.899421170352829 59.76295522389022)</t>
  </si>
  <si>
    <t>[1720013, 1720021]</t>
  </si>
  <si>
    <t>[1532615, 1301021]</t>
  </si>
  <si>
    <t>[1294231, 1532615]</t>
  </si>
  <si>
    <t>[0.06, 0.057]</t>
  </si>
  <si>
    <t>36.9735141953309</t>
  </si>
  <si>
    <t>[0.088, -0.002, 0.0, -0.002, -0.169]</t>
  </si>
  <si>
    <t>LINESTRING (9.908896147897618 59.76179807658811, 9.90757066119344 59.7619731521785, 9.906630603358261 59.76209435901991, 9.902282346367109 59.762663777070095, 9.90053957164458 59.762885719661064, 9.900060119439617 59.7629223781441)</t>
  </si>
  <si>
    <t>[2094708, 2094710, 2094720, 2094721, 2094735]</t>
  </si>
  <si>
    <t>[1812329, 1812330, 1812338, 1812339, 1294231]</t>
  </si>
  <si>
    <t>0.00363011995232167</t>
  </si>
  <si>
    <t>[1757262, 1812329, 1812330, 1812338, 1812339]</t>
  </si>
  <si>
    <t>[0.088, 0.002, 0.0, 0.002, 0.169]</t>
  </si>
  <si>
    <t>512.5810498659216</t>
  </si>
  <si>
    <t>[-0.161, 0.051, 0.046, 0.167]</t>
  </si>
  <si>
    <t>LINESTRING (9.89951316774732 59.7630860229403, 9.899431850978072 59.76315825634143, 9.899307828033058 59.76319109416071, 9.899181941625828 59.76318875229065, 9.899066607571209 59.763155654493424)</t>
  </si>
  <si>
    <t>[1427493, 1427501, 1427509, 1427517]</t>
  </si>
  <si>
    <t>[601016, 1300988, 264187, 1294280]</t>
  </si>
  <si>
    <t>0.015237981226242571</t>
  </si>
  <si>
    <t>[1294239, 601016, 1300988, 264187]</t>
  </si>
  <si>
    <t>[0.161, 0.051, 0.046, 0.167]</t>
  </si>
  <si>
    <t>31.681710394507633</t>
  </si>
  <si>
    <t>[-0.005, 0.255]</t>
  </si>
  <si>
    <t>LINESTRING (9.899421170352829 59.76295522389022, 9.899499292804055 59.76300912397534, 9.89951316774732 59.7630860229403)</t>
  </si>
  <si>
    <t>[1427568, 1427576]</t>
  </si>
  <si>
    <t>[1301023, 1294239]</t>
  </si>
  <si>
    <t>0.1344321877265047</t>
  </si>
  <si>
    <t>[1301021, 1301023]</t>
  </si>
  <si>
    <t>[0.005, 0.255]</t>
  </si>
  <si>
    <t>16.05100504642367</t>
  </si>
  <si>
    <t>[0.016, 0.026, -0.001, 0.121, -0.026, 0.005, 0.012]</t>
  </si>
  <si>
    <t>LINESTRING (9.899066607571209 59.763155654493424, 9.898968423582415 59.763171610744834, 9.898266437643793 59.76326147922923, 9.891423320177708 59.76322571732888, 9.891271663238774 59.76320157113878, 9.890419060010831 59.76304371022187, 9.877245963107605 59.751917628660685, 9.87655246388628 59.751555437299224)</t>
  </si>
  <si>
    <t>[1416942, 1416950, 1416958, 1437723, 1437731, 1437739, 1437747]</t>
  </si>
  <si>
    <t>[1294281, 1294284, 1294290, 1306886, 1306892, 1306902, 1306909]</t>
  </si>
  <si>
    <t>0.004228687185496227</t>
  </si>
  <si>
    <t>[1294280, 1294281, 1294284, 1294290, 1306886, 1306892, 1306902]</t>
  </si>
  <si>
    <t>[0.016, 0.026, 0.001, 0.121, 0.026, 0.005, 0.012]</t>
  </si>
  <si>
    <t>2031.8524614740736</t>
  </si>
  <si>
    <t>[-0.16, -0.025]</t>
  </si>
  <si>
    <t>LINESTRING (9.899066607571209 59.763155654493424, 9.899001209970315 59.763104039616465, 9.898990644582392 59.76303186688978)</t>
  </si>
  <si>
    <t>[1427525, 1427533]</t>
  </si>
  <si>
    <t>[1301001, 1301007]</t>
  </si>
  <si>
    <t>[1294280, 1301001]</t>
  </si>
  <si>
    <t>[0.16, 0.025]</t>
  </si>
  <si>
    <t>14.8960255975812</t>
  </si>
  <si>
    <t>[-0.029, -0.02, -0.001, 0.007]</t>
  </si>
  <si>
    <t>LINESTRING (5.651293587079314 58.99482377153891, 5.651353242326737 58.994922650428194, 5.65130479038496 58.995006969333126, 5.651182211238852 58.995065826633805, 5.6510613852428255 58.995091371774656)</t>
  </si>
  <si>
    <t>[1417319, 1417320, 1417324, 1417325]</t>
  </si>
  <si>
    <t>[1294515, 1294516, 1294518, 1294519]</t>
  </si>
  <si>
    <t>[1294514, 1294515, 1294516, 1294518]</t>
  </si>
  <si>
    <t>[0.029, 0.02, 0.001, 0.007]</t>
  </si>
  <si>
    <t>38.583824437423004</t>
  </si>
  <si>
    <t>[-0.011, -0.027]</t>
  </si>
  <si>
    <t>LINESTRING (5.651040071246888 58.99475045169516, 5.651183760353052 58.994771308408026, 5.651293587079314 58.99482377153891)</t>
  </si>
  <si>
    <t>[1417343, 1417351]</t>
  </si>
  <si>
    <t>[1294533, 1294514]</t>
  </si>
  <si>
    <t>[1294532, 1294533]</t>
  </si>
  <si>
    <t>17.23703237745643</t>
  </si>
  <si>
    <t>[-0.022, -0.021]</t>
  </si>
  <si>
    <t>LINESTRING (5.651379000102983 58.99456585352848, 5.651301691939931 58.99476889698117, 5.651293587079314 58.99482377153891)</t>
  </si>
  <si>
    <t>[1417517, 1417526]</t>
  </si>
  <si>
    <t>[1294620, 1294514]</t>
  </si>
  <si>
    <t>[1294611, 1294620]</t>
  </si>
  <si>
    <t>[0.022, 0.021]</t>
  </si>
  <si>
    <t>29.272122664816443</t>
  </si>
  <si>
    <t>[-0.002, 0.008]</t>
  </si>
  <si>
    <t>LINESTRING (5.6510613852428255 58.995091371774656, 5.650863300719759 58.995071524664894, 5.650747096078847 58.99501868709583)</t>
  </si>
  <si>
    <t>[1417326, 1417328]</t>
  </si>
  <si>
    <t>[1294520, 1294522]</t>
  </si>
  <si>
    <t>0.002307056815039666</t>
  </si>
  <si>
    <t>[1294519, 1294520]</t>
  </si>
  <si>
    <t>[0.002, 0.008]</t>
  </si>
  <si>
    <t>20.735339728661685</t>
  </si>
  <si>
    <t>[-0.015, -0.012]</t>
  </si>
  <si>
    <t>LINESTRING (5.6510613852428255 58.995091371774656, 5.65094118552565 58.99512019793529, 5.650651757111632 58.99526868810158)</t>
  </si>
  <si>
    <t>[1417367, 1417371]</t>
  </si>
  <si>
    <t>[1294546, 1294550]</t>
  </si>
  <si>
    <t>[1294519, 1294546]</t>
  </si>
  <si>
    <t>[0.015, 0.012]</t>
  </si>
  <si>
    <t>31.17705514672555</t>
  </si>
  <si>
    <t>[0.019, 0.022, 0.016, 0.015]</t>
  </si>
  <si>
    <t>LINESTRING (5.650747096078847 58.99501868709583, 5.650707687577964 58.994861723367116, 5.650785921256801 58.99480395727947, 5.650900615037005 58.99476580105642, 5.651040071246888 58.99475045169516)</t>
  </si>
  <si>
    <t>[1417329, 1417330, 1417338, 1417342]</t>
  </si>
  <si>
    <t>[1294523, 1294524, 1294528, 1294532]</t>
  </si>
  <si>
    <t>0.01822215230501962</t>
  </si>
  <si>
    <t>[1294522, 1294523, 1294524, 1294528]</t>
  </si>
  <si>
    <t>42.25894797073339</t>
  </si>
  <si>
    <t>[-0.022, -0.015]</t>
  </si>
  <si>
    <t>LINESTRING (5.650747096078847 58.99501868709583, 5.65073934798589 58.99506604111107, 5.650651757111632 58.99526868810158)</t>
  </si>
  <si>
    <t>[1417422, 1417430]</t>
  </si>
  <si>
    <t>[1294574, 1294550]</t>
  </si>
  <si>
    <t>[1294522, 1294574]</t>
  </si>
  <si>
    <t>[0.022, 0.015]</t>
  </si>
  <si>
    <t>28.51115143823057</t>
  </si>
  <si>
    <t>[-0.01, -0.016]</t>
  </si>
  <si>
    <t>LINESTRING (5.651379000102983 58.99456585352848, 5.651103288214469 58.994725501625254, 5.651040071246888 58.99475045169516)</t>
  </si>
  <si>
    <t>[1417491, 1417495]</t>
  </si>
  <si>
    <t>[1294612, 1294532]</t>
  </si>
  <si>
    <t>[1294611, 1294612]</t>
  </si>
  <si>
    <t>[0.01, 0.016]</t>
  </si>
  <si>
    <t>28.48518973197558</t>
  </si>
  <si>
    <t>LINESTRING (10.377978621703333 59.740789296139745, 10.37801819333693 59.740744101810144, 10.378096083655775 59.740714288840685)</t>
  </si>
  <si>
    <t>[1417572, 1417575]</t>
  </si>
  <si>
    <t>[1294645, 1294648]</t>
  </si>
  <si>
    <t>[1294642, 1294645]</t>
  </si>
  <si>
    <t>11.006658890662852</t>
  </si>
  <si>
    <t>[-0.018, -0.01, 0.008, 0.025, 0.031, 0.032, 0.012]</t>
  </si>
  <si>
    <t>LINESTRING (10.37834776659448 59.740762553788244, 10.378363380048867 59.74078621879495, 10.37835779935605 59.74083557929344, 10.37830533799864 59.74087735137036, 10.378219551429755 59.74090112996186, 10.37811724845951 59.74090004241095, 10.378024924036591 59.74087061549274, 10.377978621703333 59.740789296139745)</t>
  </si>
  <si>
    <t>[1417592, 1417594, 1417599, 1417601, 1417560, 1417562, 1417570]</t>
  </si>
  <si>
    <t>[1294660, 1294662, 1294664, 1294635, 1294636, 1294638, 1294642]</t>
  </si>
  <si>
    <t>0.01388714935096545</t>
  </si>
  <si>
    <t>[1294656, 1294660, 1294662, 1294664, 1294635, 1294636, 1294638]</t>
  </si>
  <si>
    <t>[0.018, 0.01, 0.008, 0.025, 0.031, 0.032, 0.012]</t>
  </si>
  <si>
    <t>40.87566970681111</t>
  </si>
  <si>
    <t>[-0.075, -0.06]</t>
  </si>
  <si>
    <t>LINESTRING (10.37751097670846 59.74053761700213, 10.37793092271258 59.74076225158874, 10.377978621703333 59.740789296139745)</t>
  </si>
  <si>
    <t>[1631898, 1631899]</t>
  </si>
  <si>
    <t>[1459202, 1294642]</t>
  </si>
  <si>
    <t>[1294913, 1459202]</t>
  </si>
  <si>
    <t>[0.075, 0.06]</t>
  </si>
  <si>
    <t>38.663575709694605</t>
  </si>
  <si>
    <t>4.159278783798819</t>
  </si>
  <si>
    <t>[-0.085, -0.027]</t>
  </si>
  <si>
    <t>LINESTRING (10.37751097670846 59.74053761700213, 10.378012727059872 59.740697319962436, 10.378096083655775 59.740714288840685)</t>
  </si>
  <si>
    <t>[1417965, 1417973]</t>
  </si>
  <si>
    <t>[1294914, 1294648]</t>
  </si>
  <si>
    <t>[1294913, 1294914]</t>
  </si>
  <si>
    <t>[0.085, 0.027]</t>
  </si>
  <si>
    <t>38.63070809989224</t>
  </si>
  <si>
    <t>12.354229401450585</t>
  </si>
  <si>
    <t>[-0.017, 0.003, 0.018]</t>
  </si>
  <si>
    <t>LINESTRING (10.37816842085384 59.740706585333335, 10.378245028633934 59.740675737729276, 10.378503543830377 59.74030092046167, 10.378463201038105 59.7402705467421)</t>
  </si>
  <si>
    <t>[1417731, 1417741, 1817843]</t>
  </si>
  <si>
    <t>[1294750, 1294756, 1459320]</t>
  </si>
  <si>
    <t>0.0021597055537285435</t>
  </si>
  <si>
    <t>[1294651, 1294750, 1294756]</t>
  </si>
  <si>
    <t>[0.017, 0.003, 0.018]</t>
  </si>
  <si>
    <t>58.466864662359356</t>
  </si>
  <si>
    <t>[-0.019, -0.005, -0.002]</t>
  </si>
  <si>
    <t>LINESTRING (10.382060252325997 59.74088021921509, 10.381374133231615 59.7408097438878, 10.378384858563345 59.74071389919495, 10.37834776659448 59.740762553788244)</t>
  </si>
  <si>
    <t>[1632092, 1632095, 1632103]</t>
  </si>
  <si>
    <t>[1459341, 1459344, 1294656]</t>
  </si>
  <si>
    <t>[1459316, 1459341, 1459344]</t>
  </si>
  <si>
    <t>[0.019, 0.005, 0.002]</t>
  </si>
  <si>
    <t>233.0386249896497</t>
  </si>
  <si>
    <t>11.017747335372128</t>
  </si>
  <si>
    <t>[-0.057, -0.036]</t>
  </si>
  <si>
    <t>LINESTRING (10.376922619743457 59.7390413998551, 10.376953735034267 59.739094662436216, 10.376923737352808 59.739147928881934)</t>
  </si>
  <si>
    <t>[1417672, 1417678]</t>
  </si>
  <si>
    <t>[1294714, 1294670]</t>
  </si>
  <si>
    <t>[1294704, 1294714]</t>
  </si>
  <si>
    <t>[0.057, 0.036]</t>
  </si>
  <si>
    <t>12.361226005228742</t>
  </si>
  <si>
    <t>LINESTRING (10.377539963777918 59.73909302493055, 10.377012157248457 59.73913728544437, 10.376923737352808 59.739147928881934)</t>
  </si>
  <si>
    <t>[1631961, 1631963]</t>
  </si>
  <si>
    <t>[1459245, 1294670]</t>
  </si>
  <si>
    <t>[1459244, 1459245]</t>
  </si>
  <si>
    <t>35.327529856013506</t>
  </si>
  <si>
    <t>LINESTRING (10.37675738345905 59.73919386925965, 10.376669948138842 59.73918323133025, 10.37659661442738 59.739150515484276)</t>
  </si>
  <si>
    <t>[1417615, 1417619]</t>
  </si>
  <si>
    <t>[1294676, 1294679]</t>
  </si>
  <si>
    <t>0.06652110904379038</t>
  </si>
  <si>
    <t>[1294671, 1294676]</t>
  </si>
  <si>
    <t>10.56651298199158</t>
  </si>
  <si>
    <t>[-0.002, -0.032]</t>
  </si>
  <si>
    <t>LINESTRING (10.37675738345905 59.73919386925965, 10.376697917252537 59.73923476411429, 10.376517116090822 59.739527513415545)</t>
  </si>
  <si>
    <t>[1631949, 1631950]</t>
  </si>
  <si>
    <t>[1459235, 1294927]</t>
  </si>
  <si>
    <t>[1294671, 1459235]</t>
  </si>
  <si>
    <t>[0.002, 0.032]</t>
  </si>
  <si>
    <t>40.226408056822024</t>
  </si>
  <si>
    <t>[0.041, 0.037, -0.031, -0.049, -0.07]</t>
  </si>
  <si>
    <t>LINESTRING (10.37659661442738 59.739150515484276, 10.37656312885108 59.73909635976335, 10.376621523768605 59.739024577579144, 10.37670635417811 59.738999956938684, 10.376804466301003 59.738999099152466, 10.376922619743457 59.7390413998551)</t>
  </si>
  <si>
    <t>[1417627, 1417635, 1417643, 1417656, 1417657]</t>
  </si>
  <si>
    <t>[1294687, 1294692, 1294697, 1294703, 1294704]</t>
  </si>
  <si>
    <t>[1294679, 1294687, 1294692, 1294697, 1294703]</t>
  </si>
  <si>
    <t>[0.041, 0.037, 0.031, 0.049, 0.07]</t>
  </si>
  <si>
    <t>34.14812084192239</t>
  </si>
  <si>
    <t>[-0.036, -0.043]</t>
  </si>
  <si>
    <t>LINESTRING (10.37659661442738 59.739150515484276, 10.376578157945325 59.739201490593786, 10.376517116090822 59.739527513415545)</t>
  </si>
  <si>
    <t>[1631935, 1631936]</t>
  </si>
  <si>
    <t>[1459227, 1294927]</t>
  </si>
  <si>
    <t>[1294679, 1459227]</t>
  </si>
  <si>
    <t>43.52446004190518</t>
  </si>
  <si>
    <t>[0.061, 0.062]</t>
  </si>
  <si>
    <t>LINESTRING (10.377539963777918 59.73909302493055, 10.377030394618888 59.73905247592266, 10.376922619743457 59.7390413998551)</t>
  </si>
  <si>
    <t>[1631984, 1631992]</t>
  </si>
  <si>
    <t>[1459263, 1294704]</t>
  </si>
  <si>
    <t>0.06117573900039094</t>
  </si>
  <si>
    <t>[1459244, 1459263]</t>
  </si>
  <si>
    <t>35.211933816767335</t>
  </si>
  <si>
    <t>204.2507702777795</t>
  </si>
  <si>
    <t>[0.006, 0.075]</t>
  </si>
  <si>
    <t>LINESTRING (10.380017249006746 59.73989446003702, 10.384089511845625 59.741004193486106, 10.384766091668768 59.74105813839757)</t>
  </si>
  <si>
    <t>[1417715, 1632137]</t>
  </si>
  <si>
    <t>[1294740, 1459275]</t>
  </si>
  <si>
    <t>0.013927661675394562</t>
  </si>
  <si>
    <t>[1294739, 1294740]</t>
  </si>
  <si>
    <t>335.40485500262145</t>
  </si>
  <si>
    <t>[-0.04, -0.009]</t>
  </si>
  <si>
    <t>LINESTRING (10.37645020275836 59.739701275642595, 10.376953417885643 59.7398206514198, 10.380017249006746 59.73989446003702)</t>
  </si>
  <si>
    <t>[1632145, 1631964]</t>
  </si>
  <si>
    <t>[1459246, 1294739]</t>
  </si>
  <si>
    <t>[1459284, 1459246]</t>
  </si>
  <si>
    <t>[0.04, 0.009]</t>
  </si>
  <si>
    <t>240.73618455881459</t>
  </si>
  <si>
    <t>[0.008, -0.02, -0.046]</t>
  </si>
  <si>
    <t>LINESTRING (10.376517116090822 59.739527513415545, 10.376784512045528 59.74001390552324, 10.376846441488123 59.74008231227124, 10.37751097670846 59.74053761700213)</t>
  </si>
  <si>
    <t>[1417981, 1417989, 1417997]</t>
  </si>
  <si>
    <t>[1294928, 1294934, 1294913]</t>
  </si>
  <si>
    <t>[1294927, 1294928, 1294934]</t>
  </si>
  <si>
    <t>[0.008, 0.02, 0.046]</t>
  </si>
  <si>
    <t>128.00503750939288</t>
  </si>
  <si>
    <t>[0.016, 0.022, 0.014]</t>
  </si>
  <si>
    <t>LINESTRING (5.721604234070598 58.951768768720264, 5.72160328297248 58.951867318448244, 5.721838257049362 58.95367665012253, 5.727079302598253 58.95950712088509)</t>
  </si>
  <si>
    <t>[1418123, 1418131, 1418139]</t>
  </si>
  <si>
    <t>[1295024, 1295028, 1295031]</t>
  </si>
  <si>
    <t>0.015747669563821058</t>
  </si>
  <si>
    <t>[1295018, 1295024, 1295028]</t>
  </si>
  <si>
    <t>942.4280742688904</t>
  </si>
  <si>
    <t>[0.026, 0.024, 0.01]</t>
  </si>
  <si>
    <t>LINESTRING (5.721604234070598 58.951768768720264, 5.721687638916615 58.95191760876757, 5.721951974205227 58.95422064670675, 5.721915828822779 58.95431229575273)</t>
  </si>
  <si>
    <t>[1419034, 1419035, 1419042]</t>
  </si>
  <si>
    <t>[1295736, 1295737, 1295068]</t>
  </si>
  <si>
    <t>0.023613814913229947</t>
  </si>
  <si>
    <t>[1295018, 1295736, 1295737]</t>
  </si>
  <si>
    <t>289.2047241123919</t>
  </si>
  <si>
    <t>1313.7642247801928</t>
  </si>
  <si>
    <t>[-0.037, -0.05, -0.049, -0.021, -0.018]</t>
  </si>
  <si>
    <t>LINESTRING (5.727079302598253 58.95950712088509, 5.727196660805518 58.95968485976863, 5.727578842598026 58.96154072636216, 5.72810715811041 58.96244495351083, 5.7290939980037585 58.9633135610025, 5.729304467984574 58.96343051931786)</t>
  </si>
  <si>
    <t>[1418862, 1418881, 1418882, 1418890, 1418901]</t>
  </si>
  <si>
    <t>[1295588, 1295604, 1295605, 1295613, 1295267]</t>
  </si>
  <si>
    <t>[1295031, 1295588, 1295604, 1295605, 1295613]</t>
  </si>
  <si>
    <t>[0.037, 0.05, 0.049, 0.021, 0.018]</t>
  </si>
  <si>
    <t>465.8862675190441</t>
  </si>
  <si>
    <t>[-0.005, 0.001]</t>
  </si>
  <si>
    <t>LINESTRING (5.717031145554721 58.96902633235436, 5.690897209413901 58.97573318281133, 5.690288447767765 58.97614009468312)</t>
  </si>
  <si>
    <t>[1418155, 1418163]</t>
  </si>
  <si>
    <t>[1295040, 1295043]</t>
  </si>
  <si>
    <t>[1295036, 1295040]</t>
  </si>
  <si>
    <t>1750.1431452005486</t>
  </si>
  <si>
    <t>[-0.003, -0.01, -0.007, 0.003, 0.026, 0.043, -0.001, -0.009]</t>
  </si>
  <si>
    <t>LINESTRING (5.723038084271014 58.96095790120129, 5.722915024495527 58.96098845024333, 5.722947633804821 58.96187696507625, 5.723036623116981 58.961934655124814, 5.7244932914252065 58.96383921273224, 5.7230652370320705 58.967352813908306, 5.720581287220654 58.967919498016585, 5.717388485451025 58.968950152197955, 5.717031145554721 58.96902633235436)</t>
  </si>
  <si>
    <t>[1418389, 1418390, 1418391, 1418406, 1418416, 1418417, 1418418, 1418427]</t>
  </si>
  <si>
    <t>[1295191, 1295192, 1295193, 1295204, 1295213, 1295214, 1295215, 1295036]</t>
  </si>
  <si>
    <t>0.014260622032294874</t>
  </si>
  <si>
    <t>[1295159, 1295191, 1295192, 1295193, 1295204, 1295213, 1295214, 1295215]</t>
  </si>
  <si>
    <t>[0.003, 0.01, 0.007, 0.003, 0.026, 0.043, 0.001, 0.009]</t>
  </si>
  <si>
    <t>1181.8442939021459</t>
  </si>
  <si>
    <t>[-0.019, 0.028, -0.078, -0.039]</t>
  </si>
  <si>
    <t>LINESTRING (5.690288447767765 58.97614009468312, 5.686253885384334 58.97877631858397, 5.684656709843381 58.979532523641716, 5.684163772797808 58.979807315869586, 5.6827304770914235 58.98080665155543)</t>
  </si>
  <si>
    <t>[1418171, 1418179, 1418187, 1418195]</t>
  </si>
  <si>
    <t>[1295047, 1295051, 1295055, 1295062]</t>
  </si>
  <si>
    <t>[1295043, 1295047, 1295051, 1295055]</t>
  </si>
  <si>
    <t>[0.019, 0.028, 0.078, 0.039]</t>
  </si>
  <si>
    <t>682.0221900507136</t>
  </si>
  <si>
    <t>[-0.012, -0.0]</t>
  </si>
  <si>
    <t>LINESTRING (5.6827304770914235 58.98080665155543, 5.682961635173642 58.980593213382576, 5.683252798970017 58.98036422114212)</t>
  </si>
  <si>
    <t>[1419050, 1419054]</t>
  </si>
  <si>
    <t>[1267512, 1295750]</t>
  </si>
  <si>
    <t>[1295062, 1267512]</t>
  </si>
  <si>
    <t>[0.012, 0.0]</t>
  </si>
  <si>
    <t>58.01428909174358</t>
  </si>
  <si>
    <t>35.69378999910688</t>
  </si>
  <si>
    <t>[-0.022, -0.028, 0.014, 0.092]</t>
  </si>
  <si>
    <t>LINESTRING (5.718832837274931 58.953165448788944, 5.7188236504531655 58.953230201838046, 5.7203539625916955 58.95421888175648, 5.721241769698433 58.95441216152149, 5.721398244284306 58.954424697209184)</t>
  </si>
  <si>
    <t>[1423186, 1423194, 1423202, 1423210]</t>
  </si>
  <si>
    <t>[1298447, 1298454, 1298459, 1295087]</t>
  </si>
  <si>
    <t>[1298446, 1298447, 1298454, 1298459]</t>
  </si>
  <si>
    <t>[0.022, 0.028, 0.014, 0.092]</t>
  </si>
  <si>
    <t>215.57560970611286</t>
  </si>
  <si>
    <t>[-0.06, -0.034]</t>
  </si>
  <si>
    <t>LINESTRING (5.721425929884037 58.95424180639711, 5.721410926439422 58.95417135493264, 5.721166429846383 58.953450429703054)</t>
  </si>
  <si>
    <t>[1419123, 1419138]</t>
  </si>
  <si>
    <t>[1295797, 1295521]</t>
  </si>
  <si>
    <t>[1295103, 1295797]</t>
  </si>
  <si>
    <t>[0.06, 0.034]</t>
  </si>
  <si>
    <t>90.1830447149741</t>
  </si>
  <si>
    <t>17.825385156439896</t>
  </si>
  <si>
    <t>[-0.035, -0.045, -0.031, -0.001, 0.009, 0.01, 0.014]</t>
  </si>
  <si>
    <t>LINESTRING (5.720579663395385 58.96757435404535, 5.720863264541971 58.967426051355204, 5.7234145658249185 58.9661815016905, 5.7241782516869915 58.96378924994005, 5.7229256677253 58.96197785435723, 5.722838900579268 58.96192009895771, 5.722756703815873 58.96090190852899, 5.722834805324533 58.96084487574955)</t>
  </si>
  <si>
    <t>[1418443, 1418447, 1418448, 1418449, 1418456, 1418457, 1418464]</t>
  </si>
  <si>
    <t>[1295234, 1295238, 1295239, 1295240, 1295244, 1295245, 1295165]</t>
  </si>
  <si>
    <t>[1295233, 1295234, 1295238, 1295239, 1295240, 1295244, 1295245]</t>
  </si>
  <si>
    <t>[0.035, 0.045, 0.031, 0.001, 0.009, 0.01, 0.014]</t>
  </si>
  <si>
    <t>865.4912811542927</t>
  </si>
  <si>
    <t>1363.982458656108</t>
  </si>
  <si>
    <t>26368.0</t>
  </si>
  <si>
    <t>LINESTRING (5.690401009276546 58.97578686022147, 5.6906463636669 58.97563331044731, 5.720579663395385 58.96757435404535)</t>
  </si>
  <si>
    <t>[1419091, 1419099]</t>
  </si>
  <si>
    <t>[1295776, 1295233]</t>
  </si>
  <si>
    <t>0.005089829214977593</t>
  </si>
  <si>
    <t>[1295765, 1295776]</t>
  </si>
  <si>
    <t>1980.9360060926335</t>
  </si>
  <si>
    <t>[0.035, -0.001]</t>
  </si>
  <si>
    <t>LINESTRING (5.722227100940102 58.95197972699007, 5.722600439540232 58.952271862703114, 5.722639172243592 58.952294815454984)</t>
  </si>
  <si>
    <t>[1418786, 1418797]</t>
  </si>
  <si>
    <t>[1295528, 1295533]</t>
  </si>
  <si>
    <t>0.03230133283030957</t>
  </si>
  <si>
    <t>[1295470, 1295528]</t>
  </si>
  <si>
    <t>[0.035, 0.001]</t>
  </si>
  <si>
    <t>45.39062853346961</t>
  </si>
  <si>
    <t>LINESTRING (5.721166429846383 58.953450429703054, 5.721300904616968 58.951501031353224, 5.721387648697892 58.951253452151896)</t>
  </si>
  <si>
    <t>[1419146, 1419150]</t>
  </si>
  <si>
    <t>[1295818, 1295789]</t>
  </si>
  <si>
    <t>[1295521, 1295818]</t>
  </si>
  <si>
    <t>246.1965290139951</t>
  </si>
  <si>
    <t>[-0.028, -0.001, 0.024, 0.038, -0.011, -0.035, -0.039]</t>
  </si>
  <si>
    <t>LINESTRING (5.722639172243592 58.952294815454984, 5.722780192067294 58.9523045153621, 5.722868831554177 58.952348815875254, 5.722888178431605 58.95242771419372, 5.722564134565412 58.952492418894664, 5.722490836035254 58.95244701346149, 5.7224840672297335 58.952365138747155, 5.722639172243592 58.952294815454984)</t>
  </si>
  <si>
    <t>[1423218, 1423226, 1423234, 1423242, 1423250, 1423258, 1423266]</t>
  </si>
  <si>
    <t>[1296036, 1298479, 1295989, 343666, 1298497, 343642, 1295533]</t>
  </si>
  <si>
    <t>[1295533, 1296036, 1298479, 1295989, 343666, 1298497, 343642]</t>
  </si>
  <si>
    <t>[0.028, 0.001, 0.024, 0.038, 0.011, 0.035, 0.039]</t>
  </si>
  <si>
    <t>75.69081895040486</t>
  </si>
  <si>
    <t>[0.0, 0.04, 0.057, 0.059, -0.057]</t>
  </si>
  <si>
    <t>LINESTRING (5.726472801937246 58.96268308614215, 5.726472801937246 58.96268308614215, 5.726269511724654 58.96161157358523, 5.726600136495575 58.96028616226692, 5.724960902816843 58.95687152891612, 5.724859825041702 58.956696012215566)</t>
  </si>
  <si>
    <t>[1418806, 1418827, 1418839, 1418848, 1418854]</t>
  </si>
  <si>
    <t>[1295543, 1295561, 1295572, 1295579, 1295582]</t>
  </si>
  <si>
    <t>0.050332991443526216</t>
  </si>
  <si>
    <t>[1295542, 1295543, 1295561, 1295572, 1295579]</t>
  </si>
  <si>
    <t>[0.0, 0.04, 0.057, 0.059, 0.057]</t>
  </si>
  <si>
    <t>708.5210941797317</t>
  </si>
  <si>
    <t>[-0.077, -0.014]</t>
  </si>
  <si>
    <t>LINESTRING (5.724859825041702 58.956696012215566, 5.721513355267944 58.95369682070212, 5.721387648697892 58.951253452151896)</t>
  </si>
  <si>
    <t>[1419109, 1419110]</t>
  </si>
  <si>
    <t>[1295788, 1295789]</t>
  </si>
  <si>
    <t>[1295582, 1295788]</t>
  </si>
  <si>
    <t>[0.077, 0.014]</t>
  </si>
  <si>
    <t>664.2841639086746</t>
  </si>
  <si>
    <t>[0.077, 0.059, -0.037, 0.015]</t>
  </si>
  <si>
    <t>LINESTRING (5.683252798970017 58.98036422114212, 5.684292499146291 58.97963827081351, 5.68477775281235 58.97936024561533, 5.686131607062218 58.97871699961633, 5.690401009276546 58.97578686022147)</t>
  </si>
  <si>
    <t>[1419063, 1419069, 1419070, 1419077]</t>
  </si>
  <si>
    <t>[1295754, 1295759, 1295760, 1295765]</t>
  </si>
  <si>
    <t>0.018907284415454462</t>
  </si>
  <si>
    <t>[1295750, 1295754, 1295759, 1295760]</t>
  </si>
  <si>
    <t>[0.077, 0.059, 0.037, 0.015]</t>
  </si>
  <si>
    <t>659.6824647502383</t>
  </si>
  <si>
    <t>[0.02, 0.041, 0.053, 0.028]</t>
  </si>
  <si>
    <t>LINESTRING (5.725587244381792 58.841142979484516, 5.7255401905696415 58.8412110769391, 5.725415948686927 58.84126679683056, 5.72527526004486 58.84128122129253, 5.725038653651774 58.84103576582997)</t>
  </si>
  <si>
    <t>[1420408, 1420416, 1420424, 1420368]</t>
  </si>
  <si>
    <t>[1296743, 1296749, 1296711, 1296712]</t>
  </si>
  <si>
    <t>0.03223429002228406</t>
  </si>
  <si>
    <t>[1296448, 1296743, 1296749, 1296711]</t>
  </si>
  <si>
    <t>62.98605357878841</t>
  </si>
  <si>
    <t>19.492439492885204</t>
  </si>
  <si>
    <t>[0.009, 0.05, 0.031]</t>
  </si>
  <si>
    <t>LINESTRING (5.729555308941337 58.83920794504336, 5.729034849240903 58.83942434662866, 5.725687008850657 58.841086290720064, 5.725587244381792 58.841142979484516)</t>
  </si>
  <si>
    <t>[1420456, 1420024, 1420032]</t>
  </si>
  <si>
    <t>[1296438, 1296439, 1296448]</t>
  </si>
  <si>
    <t>0.04459320970516687</t>
  </si>
  <si>
    <t>[1296777, 1296438, 1296439]</t>
  </si>
  <si>
    <t>323.1785034439678</t>
  </si>
  <si>
    <t>6.1941373894344975</t>
  </si>
  <si>
    <t>LINESTRING (5.736768191108203 58.83489995142583, 5.737474187181934 58.83556380302239, 5.737449910501318 58.835644277329095)</t>
  </si>
  <si>
    <t>[1420064, 1420072]</t>
  </si>
  <si>
    <t>[1296479, 774403]</t>
  </si>
  <si>
    <t>0.02619912198523805</t>
  </si>
  <si>
    <t>[1296470, 1296479]</t>
  </si>
  <si>
    <t>96.02176604474721</t>
  </si>
  <si>
    <t>[0.031, -0.017, -0.027, -0.025, -0.005, 0.031, 0.02, 0.024, -0.007, -0.062]</t>
  </si>
  <si>
    <t>[0, 0, 0, 1, 1, 1, 1, 0, 0, 0]</t>
  </si>
  <si>
    <t>LINESTRING (5.736768191108203 58.83489995142583, 5.736905437615418 58.83502574565402, 5.74049940157775 58.836347175639844, 5.740743573363934 58.83638381974287, 5.741219029915248 58.83644437313146, 5.7413405065958605 58.83650324600466, 5.7411991720659055 58.836532034929185, 5.740895355358549 58.83649090663187, 5.740478694105289 58.836439348327715, 5.735370043521573 58.836543812072286, 5.735125542532937 58.83659320502958)</t>
  </si>
  <si>
    <t>[1420656, 1420664, 795208, 795216, 795224, 795232, 795240, 795248, 1420584, 1420592]</t>
  </si>
  <si>
    <t>[1296882, 774460, 774461, 774472, 774230, 774335, 774499, 774507, 1296846, 1296850]</t>
  </si>
  <si>
    <t>[1296470, 1296882, 774460, 774461, 774472, 774230, 774335, 774499, 774507, 1296846]</t>
  </si>
  <si>
    <t>[0.031, 0.017, 0.027, 0.025, 0.005, 0.031, 0.02, 0.024, 0.007, 0.062]</t>
  </si>
  <si>
    <t>706.3248054195577</t>
  </si>
  <si>
    <t>[0.046, 0.02]</t>
  </si>
  <si>
    <t>LINESTRING (5.736918231175897 58.83227230483392, 5.7369661182061975 58.832614993790784, 5.736768191108203 58.83489995142583)</t>
  </si>
  <si>
    <t>[1420440, 1420056]</t>
  </si>
  <si>
    <t>[1296469, 1296470]</t>
  </si>
  <si>
    <t>0.02339017088211251</t>
  </si>
  <si>
    <t>[1296767, 1296469]</t>
  </si>
  <si>
    <t>294.4318353267917</t>
  </si>
  <si>
    <t>4.273383320040489</t>
  </si>
  <si>
    <t>[-0.077, 0.008, -0.296]</t>
  </si>
  <si>
    <t>LINESTRING (5.723710630353066 58.83920009225112, 5.7237697279823765 58.83924670100093, 5.7250203321385 58.84097530377598, 5.725038653651774 58.84103576582997)</t>
  </si>
  <si>
    <t>[1423986, 1423994, 1424002]</t>
  </si>
  <si>
    <t>[1298873, 1298880, 1296712]</t>
  </si>
  <si>
    <t>[1296648, 1298873, 1298880]</t>
  </si>
  <si>
    <t>[0.077, 0.008, 0.296]</t>
  </si>
  <si>
    <t>219.6923564879812</t>
  </si>
  <si>
    <t>[0.065, 0.023]</t>
  </si>
  <si>
    <t>LINESTRING (5.723984809388519 58.83915475835558, 5.723868030656354 58.83919523039988, 5.723710630353066 58.83920009225112)</t>
  </si>
  <si>
    <t>[1420352, 1420360]</t>
  </si>
  <si>
    <t>[1296701, 1296648]</t>
  </si>
  <si>
    <t>0.042788159987849676</t>
  </si>
  <si>
    <t>[1296695, 1296701]</t>
  </si>
  <si>
    <t>17.26968951154351</t>
  </si>
  <si>
    <t>20.894609220985846</t>
  </si>
  <si>
    <t>[-0.013, -0.017, -0.016, -0.066, -0.04, 0.006, 0.048]</t>
  </si>
  <si>
    <t>LINESTRING (5.7234669653152315 58.839035793419434, 5.72355008108262 58.838939982997246, 5.723666195024961 58.83889990589317, 5.723847639424369 58.838898123593225, 5.7240011436081 58.83894908704502, 5.72405712324226 58.839006937090254, 5.724058460635448 58.83907982305591, 5.723984809388519 58.83915475835558)</t>
  </si>
  <si>
    <t>[1420296, 1420304, 1420312, 1420320, 1420328, 1420336, 1420344]</t>
  </si>
  <si>
    <t>[1296661, 1296666, 1296673, 1296543, 1296685, 1296529, 1296695]</t>
  </si>
  <si>
    <t>[1296655, 1296661, 1296666, 1296673, 1296543, 1296685, 1296529]</t>
  </si>
  <si>
    <t>[0.013, 0.017, 0.016, 0.066, 0.04, 0.006, 0.048]</t>
  </si>
  <si>
    <t>65.6620443194019</t>
  </si>
  <si>
    <t>[-0.059, 0.008, -0.379]</t>
  </si>
  <si>
    <t>LINESTRING (5.723984809388519 58.83915475835558, 5.723999303817602 58.839208780490644, 5.72525618663624 58.840923313681344, 5.725347068265173 58.84097160934722)</t>
  </si>
  <si>
    <t>[1424010, 1424018, 1424026]</t>
  </si>
  <si>
    <t>[1298890, 1298894, 1296725]</t>
  </si>
  <si>
    <t>[1296695, 1298890, 1298894]</t>
  </si>
  <si>
    <t>[0.059, 0.008, 0.379]</t>
  </si>
  <si>
    <t>219.57910377314278</t>
  </si>
  <si>
    <t>[-0.089, -0.069]</t>
  </si>
  <si>
    <t>LINESTRING (5.725038653651774 58.84103576582997, 5.725159985088631 58.84098301634061, 5.725347068265173 58.84097160934722)</t>
  </si>
  <si>
    <t>[1420376, 1420384]</t>
  </si>
  <si>
    <t>[1296718, 1296725]</t>
  </si>
  <si>
    <t>[1296712, 1296718]</t>
  </si>
  <si>
    <t>[0.089, 0.069]</t>
  </si>
  <si>
    <t>20.08235192939583</t>
  </si>
  <si>
    <t>[0.048, 0.026]</t>
  </si>
  <si>
    <t>LINESTRING (5.734634970919359 58.83643622800615, 5.734805502706625 58.83623041301736, 5.735545799889644 58.83466221995097)</t>
  </si>
  <si>
    <t>[1420432, 1423850]</t>
  </si>
  <si>
    <t>[1296760, 1296836]</t>
  </si>
  <si>
    <t>0.028604368925191196</t>
  </si>
  <si>
    <t>[1296759, 1296760]</t>
  </si>
  <si>
    <t>211.42825687323074</t>
  </si>
  <si>
    <t>[0.022, 0.011, -0.032]</t>
  </si>
  <si>
    <t>LINESTRING (5.736675047125536 58.832464171047405, 5.736183014694638 58.834416256813824, 5.736138637521023 58.834502306775, 5.734634970919359 58.83643622800615)</t>
  </si>
  <si>
    <t>[1423626, 1423634, 1423642]</t>
  </si>
  <si>
    <t>[1298684, 1298688, 1296759]</t>
  </si>
  <si>
    <t>[1296772, 1298684, 1298688]</t>
  </si>
  <si>
    <t>[0.022, 0.011, 0.032]</t>
  </si>
  <si>
    <t>464.56123914590125</t>
  </si>
  <si>
    <t>[0.027, 0.027, -0.023, -0.035, -0.074, -0.077]</t>
  </si>
  <si>
    <t>LINESTRING (5.736918231175897 58.83227230483392, 5.736897912020923 58.83247923963883, 5.736321859789637 58.834532019698024, 5.736274863911862 58.834622488754015, 5.734643061160982 58.836647505564194, 5.733305057927459 58.83760641769655, 5.733054959026946 58.837752922792546)</t>
  </si>
  <si>
    <t>[1423730, 1423738, 1423746, 1423754, 1423762, 1423770]</t>
  </si>
  <si>
    <t>[1298732, 1298735, 1298740, 1298743, 1298746, 1298677]</t>
  </si>
  <si>
    <t>[1296767, 1298732, 1298735, 1298740, 1298743, 1298746]</t>
  </si>
  <si>
    <t>[0.027, 0.027, 0.023, 0.035, 0.074, 0.077]</t>
  </si>
  <si>
    <t>666.0008967319131</t>
  </si>
  <si>
    <t>[0.0, -0.006, -0.049]</t>
  </si>
  <si>
    <t>LINESTRING (5.733874731017066 58.83484962282813, 5.733874731017066 58.83484962282813, 5.736616340276407 58.832736272485015, 5.736675047125536 58.832464171047405)</t>
  </si>
  <si>
    <t>[1423874, 1423882, 1420448]</t>
  </si>
  <si>
    <t>[1298811, 1296771, 1296772]</t>
  </si>
  <si>
    <t>[774393, 1298811, 1296771]</t>
  </si>
  <si>
    <t>[0.0, 0.006, 0.049]</t>
  </si>
  <si>
    <t>352.53557509891374</t>
  </si>
  <si>
    <t>260.88475648655776</t>
  </si>
  <si>
    <t>[0.004, -0.013, 0.007]</t>
  </si>
  <si>
    <t>LINESTRING (5.735545799889644 58.83466221995097, 5.735371008404072 58.834605853310975, 5.734788560475845 58.83520962240513, 5.735062951021378 58.835300035484885)</t>
  </si>
  <si>
    <t>[1420568, 1420576, 1420624]</t>
  </si>
  <si>
    <t>[1296837, 1296841, 774249]</t>
  </si>
  <si>
    <t>[1296836, 1296837, 1296841]</t>
  </si>
  <si>
    <t>[0.004, 0.013, 0.007]</t>
  </si>
  <si>
    <t>162.66790257612456</t>
  </si>
  <si>
    <t>[-0.004, -0.055]</t>
  </si>
  <si>
    <t>LINESTRING (5.735545799889644 58.83466221995097, 5.734075031895871 58.83490387990209, 5.734065580877436 58.834935094290294)</t>
  </si>
  <si>
    <t>[1423858, 1423866]</t>
  </si>
  <si>
    <t>[1298802, 774349]</t>
  </si>
  <si>
    <t>[1296836, 1298802]</t>
  </si>
  <si>
    <t>[0.004, 0.055]</t>
  </si>
  <si>
    <t>118.81709427210549</t>
  </si>
  <si>
    <t>[-0.071, -0.101]</t>
  </si>
  <si>
    <t>LINESTRING (5.735125542532937 58.83659320502958, 5.733390573707949 58.83764267118947, 5.733054959026946 58.837752922792546)</t>
  </si>
  <si>
    <t>[1420648, 1423602]</t>
  </si>
  <si>
    <t>[1296878, 1298677]</t>
  </si>
  <si>
    <t>[1296850, 1296878]</t>
  </si>
  <si>
    <t>[0.071, 0.101]</t>
  </si>
  <si>
    <t>177.76611956504667</t>
  </si>
  <si>
    <t>LINESTRING (5.737140198073824 58.83597888681043, 5.737140198073824 58.83597888681043, 5.735125542532937 58.83659320502958)</t>
  </si>
  <si>
    <t>[1420632, 1420640]</t>
  </si>
  <si>
    <t>[1296872, 1296850]</t>
  </si>
  <si>
    <t>[774423, 1296872]</t>
  </si>
  <si>
    <t>149.808761469709</t>
  </si>
  <si>
    <t>[0.134, 0.017, -0.671]</t>
  </si>
  <si>
    <t>LINESTRING (10.566800142696511 59.663641812064526, 10.566489602819805 59.663735751492986, 10.566048664973682 59.66388076143095, 10.56594082739383 59.66390318952759)</t>
  </si>
  <si>
    <t>[2129175, 2129183, 2129191]</t>
  </si>
  <si>
    <t>[1832412, 1832416, 1298471]</t>
  </si>
  <si>
    <t>[1297915, 1832412, 1832416]</t>
  </si>
  <si>
    <t>[0.134, 0.017, 0.671]</t>
  </si>
  <si>
    <t>56.83160480465524</t>
  </si>
  <si>
    <t>[0.091, -0.024, -0.569]</t>
  </si>
  <si>
    <t>LINESTRING (10.566800142696511 59.663641812064526, 10.566558220894816 59.66378097994049, 10.566211025452903 59.663984722499364, 10.566107681709136 59.66405272621335)</t>
  </si>
  <si>
    <t>[2136590, 2136598, 2136606]</t>
  </si>
  <si>
    <t>[1836602, 1836606, 1298429]</t>
  </si>
  <si>
    <t>[1297915, 1836602, 1836606]</t>
  </si>
  <si>
    <t>[0.091, 0.024, 0.569]</t>
  </si>
  <si>
    <t>60.413948460909445</t>
  </si>
  <si>
    <t>[-0.032, 0.086, 0.08, 0.069, 0.055, 0.07, 0.053, -0.073, -0.059, 0.0, 0.0, 0.0, 0.0, 0.0, 0.0, 0.042, -0.102, -0.075, -0.054, -0.026, -0.024]</t>
  </si>
  <si>
    <t>10797.0</t>
  </si>
  <si>
    <t>LINESTRING (10.65578768519909 59.69150037014739, 10.654599122562256 59.690833352923065, 10.654145279659737 59.690582529424624, 10.653757648382278 59.690368305399396, 10.653698858250607 59.69033570020759, 10.653552539441476 59.69025454609441, 10.65323866298548 59.690080472088574, 10.645534338936148 59.68580025724039, 10.645523033443308 59.68579337095257, 10.61981408154917 59.66798202765999, 10.619800083311153 59.66797651463066, 10.611099111362208 59.66277250590218, 10.610046889766387 59.66144531237845, 10.60847547081661 59.65914645613855, 10.606907823203622 59.65717073812009, 10.606899716679623 59.65716275939537, 10.573175409281074 59.66074305805799, 10.57316231622301 59.66074907231406, 10.56924403369769 59.662553962322846, 10.568935776175337 59.662694235000735, 10.568731980702085 59.66278672844759, 10.566800142696511 59.663641812064526)</t>
  </si>
  <si>
    <t>[1503847, 1503850, 1503852, 1503855, 1503857, 1503865, 1503867, 1503868, 1503869, 1503876, 1503891, 1422361, 1422369, 1422377, 1422385, 1422393, 1422401, 1422409, 1422417, 1422425, 1422433]</t>
  </si>
  <si>
    <t>[1359980, 1359984, 1359986, 1359989, 1359990, 1359997, 1359998, 1359999, 1360000, 1360004, 1297872, 1297873, 1297876, 1297879, 1297882, 1297885, 1297890, 1297897, 1297904, 1297909, 1297915]</t>
  </si>
  <si>
    <t>[1359979, 1359980, 1359984, 1359986, 1359989, 1359990, 1359997, 1359998, 1359999, 1360000, 1360004, 1297872, 1297873, 1297876, 1297879, 1297882, 1297885, 1297890, 1297897, 1297904, 1297909]</t>
  </si>
  <si>
    <t>[0.032, 0.086, 0.08, 0.069, 0.055, 0.07, 0.053, 0.073, 0.059, 0.0, 0.0, 0.0, 0.0, 0.0, 0.0, 0.042, 0.102, 0.075, 0.054, 0.026, 0.024]</t>
  </si>
  <si>
    <t>7610.643900619961</t>
  </si>
  <si>
    <t>[0.046, 0.031, 0.124, -0.012, -0.169, -0.089, -0.087]</t>
  </si>
  <si>
    <t>12708.0</t>
  </si>
  <si>
    <t>LINESTRING (10.472210417816605 59.704249513567326, 10.470745889848416 59.70509621063169, 10.470712471332481 59.70511720656579, 10.469109490866506 59.70604744485718, 10.446294369674076 59.72305670317776, 10.446196402760616 59.72441985550096, 10.446177387472547 59.72462458253905, 10.44589868306984 59.72564085852408)</t>
  </si>
  <si>
    <t>[1422585, 1422593, 1422601, 1422609, 1422617, 1422625, 1422633]</t>
  </si>
  <si>
    <t>[1298006, 1298010, 1298016, 1298025, 1298031, 1298036, 1298042]</t>
  </si>
  <si>
    <t>[1298005, 1298006, 1298010, 1298016, 1298025, 1298031, 1298036]</t>
  </si>
  <si>
    <t>[0.046, 0.031, 0.124, 0.012, 0.169, 0.089, 0.087]</t>
  </si>
  <si>
    <t>2898.936645938387</t>
  </si>
  <si>
    <t>[0.602, -0.257]</t>
  </si>
  <si>
    <t>LINESTRING (10.472760962301734 59.70406058756674, 10.4726447594877 59.70409074817878, 10.472210417816605 59.704249513567326)</t>
  </si>
  <si>
    <t>[2137150, 2137158]</t>
  </si>
  <si>
    <t>[1836910, 1298005]</t>
  </si>
  <si>
    <t>[1298616, 1836910]</t>
  </si>
  <si>
    <t>[0.602, 0.257]</t>
  </si>
  <si>
    <t>37.71231359456752</t>
  </si>
  <si>
    <t>[0.673, -0.292]</t>
  </si>
  <si>
    <t>LINESTRING (10.472507039957934 59.70395108785155, 10.472461967412325 59.70400798822088, 10.472210417816605 59.704249513567326)</t>
  </si>
  <si>
    <t>[2129583, 2129591]</t>
  </si>
  <si>
    <t>[1832590, 1298005]</t>
  </si>
  <si>
    <t>[1298627, 1832590]</t>
  </si>
  <si>
    <t>[0.673, 0.292]</t>
  </si>
  <si>
    <t>37.43729313312786</t>
  </si>
  <si>
    <t>[0.325, -1.413]</t>
  </si>
  <si>
    <t>LINESTRING (10.44589868306984 59.72564085852408, 10.4454917110315 59.72590912029914, 10.445421493685028 59.72594085661943)</t>
  </si>
  <si>
    <t>[2129647, 2129655]</t>
  </si>
  <si>
    <t>[1832610, 1298694]</t>
  </si>
  <si>
    <t>0.11155441558503851</t>
  </si>
  <si>
    <t>[1298042, 1832610]</t>
  </si>
  <si>
    <t>[0.325, 1.413]</t>
  </si>
  <si>
    <t>43.18644577458117</t>
  </si>
  <si>
    <t>[0.32, -0.914]</t>
  </si>
  <si>
    <t>LINESTRING (10.44589868306984 59.72564085852408, 10.445650481078223 59.72596480265865, 10.445617539203077 59.72603130835786)</t>
  </si>
  <si>
    <t>[2137166, 2137174]</t>
  </si>
  <si>
    <t>[1836916, 1298674]</t>
  </si>
  <si>
    <t>0.11730359372549096</t>
  </si>
  <si>
    <t>[1298042, 1836916]</t>
  </si>
  <si>
    <t>[0.32, 0.914]</t>
  </si>
  <si>
    <t>46.51537884574053</t>
  </si>
  <si>
    <t>[0.005, 0.009, 0.009, -0.011, -0.019]</t>
  </si>
  <si>
    <t>LINESTRING (10.287724575214405 59.750971340359676, 10.287526940197917 59.751560554737736, 10.287451834917114 59.75162769009974, 10.287372852432968 59.751687436436896, 10.286969983988522 59.751905730526374, 10.28625301767086 59.75205618498431)</t>
  </si>
  <si>
    <t>[1422867, 1422875, 1422883, 1422891, 1422899]</t>
  </si>
  <si>
    <t>[1298196, 1298202, 1298208, 1298214, 1298164]</t>
  </si>
  <si>
    <t>[1298158, 1298196, 1298202, 1298208, 1298214]</t>
  </si>
  <si>
    <t>[0.005, 0.009, 0.009, 0.011, 0.019]</t>
  </si>
  <si>
    <t>161.8040708338097</t>
  </si>
  <si>
    <t>[0.047, -0.013, -0.012, -0.012, -0.09]</t>
  </si>
  <si>
    <t>LINESTRING (10.287724575214405 59.750971340359676, 10.287332070339074 59.75154394591363, 10.287294525991934 59.75157947467226, 10.287223342500862 59.751638520771145, 10.286808760679088 59.751868068460276, 10.28625301767086 59.75205618498431)</t>
  </si>
  <si>
    <t>[2130459, 2130467, 2130475, 2130483, 2130491]</t>
  </si>
  <si>
    <t>[1833019, 1299191, 1833029, 1833036, 1298164]</t>
  </si>
  <si>
    <t>[1298158, 1833019, 1299191, 1833029, 1833036]</t>
  </si>
  <si>
    <t>[0.047, 0.013, 0.012, 0.012, 0.09]</t>
  </si>
  <si>
    <t>152.662186487841</t>
  </si>
  <si>
    <t>[-0.029, 0.004, 0.004]</t>
  </si>
  <si>
    <t>LINESTRING (10.256317432650915 59.76340886942696, 10.256298165463459 59.763558233084794, 10.256293770042141 59.76362755005316, 10.256281309574907 59.76369062978293)</t>
  </si>
  <si>
    <t>[2099276, 2099297, 2099310]</t>
  </si>
  <si>
    <t>[1815276, 1815291, 1815206]</t>
  </si>
  <si>
    <t>[1298359, 1815276, 1815291]</t>
  </si>
  <si>
    <t>[0.029, 0.004, 0.004]</t>
  </si>
  <si>
    <t>31.479140632048036</t>
  </si>
  <si>
    <t>[-0.035, -0.001, -0.003]</t>
  </si>
  <si>
    <t>LINESTRING (10.256317432650915 59.76340886942696, 10.256425830723224 59.76355076993598, 10.256474558264452 59.76361693492889, 10.2565145914809 59.76366146778825)</t>
  </si>
  <si>
    <t>[2099452, 2099453, 2099460]</t>
  </si>
  <si>
    <t>[1815396, 1815397, 1815147]</t>
  </si>
  <si>
    <t>[1298359, 1815396, 1815397]</t>
  </si>
  <si>
    <t>[0.035, 0.001, 0.003]</t>
  </si>
  <si>
    <t>30.26728733513888</t>
  </si>
  <si>
    <t>21.835331615812237</t>
  </si>
  <si>
    <t>[-0.193, -0.115]</t>
  </si>
  <si>
    <t>LINESTRING (10.56594082739383 59.66390318952759, 10.566069036303864 59.66395519327957, 10.566107681709136 59.66405272621335)</t>
  </si>
  <si>
    <t>[1423228, 1423236]</t>
  </si>
  <si>
    <t>[1298480, 1298429]</t>
  </si>
  <si>
    <t>[1298471, 1298480]</t>
  </si>
  <si>
    <t>[0.193, 0.115]</t>
  </si>
  <si>
    <t>20.559583775459235</t>
  </si>
  <si>
    <t>[0.13, 0.113]</t>
  </si>
  <si>
    <t>LINESTRING (10.565824609081176 59.66416364660257, 10.565627979290852 59.66410482923104, 10.565580006680372 59.664024066859305)</t>
  </si>
  <si>
    <t>[1423180, 1423188]</t>
  </si>
  <si>
    <t>[1298439, 1298448]</t>
  </si>
  <si>
    <t>0.12292783062227775</t>
  </si>
  <si>
    <t>[1298430, 1298439]</t>
  </si>
  <si>
    <t>22.59177651379813</t>
  </si>
  <si>
    <t>[0.096, 0.028, -0.074, -0.155]</t>
  </si>
  <si>
    <t>LINESTRING (10.565580006680372 59.664024066859305, 10.565602565227326 59.66397447030904, 10.565713844876653 59.66391259010915, 10.56587441368163 59.663894645634784, 10.56594082739383 59.66390318952759)</t>
  </si>
  <si>
    <t>[1423196, 1423204, 1423212, 1423220]</t>
  </si>
  <si>
    <t>[229636, 1298460, 264375, 1298471]</t>
  </si>
  <si>
    <t>[1298448, 229636, 1298460, 264375]</t>
  </si>
  <si>
    <t>[0.096, 0.028, 0.074, 0.155]</t>
  </si>
  <si>
    <t>28.131422948870856</t>
  </si>
  <si>
    <t>[0.24, 0.224]</t>
  </si>
  <si>
    <t>LINESTRING (10.52668416989407 59.66716618527515, 10.52651358435742 59.66714419730282, 10.526399895535663 59.66705474349929)</t>
  </si>
  <si>
    <t>[1423316, 1423324]</t>
  </si>
  <si>
    <t>[1298543, 1298551]</t>
  </si>
  <si>
    <t>0.23120591247599656</t>
  </si>
  <si>
    <t>[1298536, 1298543]</t>
  </si>
  <si>
    <t>22.037537756756983</t>
  </si>
  <si>
    <t>[-0.152, -0.05, 0.096, 0.14]</t>
  </si>
  <si>
    <t>LINESTRING (10.52692106333793 59.666999441023414, 10.526928619616449 59.6670432530513, 10.526861155212371 59.66712277745529, 10.526733285972144 59.667161801653094, 10.52668416989407 59.66716618527515)</t>
  </si>
  <si>
    <t>[1423363, 1423292, 1423300, 1423308]</t>
  </si>
  <si>
    <t>[1298523, 1298524, 1298531, 1298536]</t>
  </si>
  <si>
    <t>[1298572, 1298523, 1298524, 1298531]</t>
  </si>
  <si>
    <t>[0.152, 0.05, 0.096, 0.14]</t>
  </si>
  <si>
    <t>25.777606444462947</t>
  </si>
  <si>
    <t>25.12631399804381</t>
  </si>
  <si>
    <t>[-0.231, -0.232]</t>
  </si>
  <si>
    <t>LINESTRING (10.526649506898282 59.666897670179495, 10.52681693399697 59.6669225358456, 10.52692106333793 59.666999441023414)</t>
  </si>
  <si>
    <t>[1423347, 1423355]</t>
  </si>
  <si>
    <t>[1298568, 1298572]</t>
  </si>
  <si>
    <t>[1298557, 1298568]</t>
  </si>
  <si>
    <t>[0.231, 0.232]</t>
  </si>
  <si>
    <t>20.22703838831555</t>
  </si>
  <si>
    <t>29.921371655914186</t>
  </si>
  <si>
    <t>[-0.064, -0.75]</t>
  </si>
  <si>
    <t>LINESTRING (10.472842669756327 59.70378551185619, 10.47295974204223 59.70381640188478, 10.473039951279722 59.70387956401473)</t>
  </si>
  <si>
    <t>[1423483, 1423491]</t>
  </si>
  <si>
    <t>[1298641, 1298615]</t>
  </si>
  <si>
    <t>[1298640, 1298641]</t>
  </si>
  <si>
    <t>[0.064, 0.75]</t>
  </si>
  <si>
    <t>15.802517988904103</t>
  </si>
  <si>
    <t>[0.052, 0.046]</t>
  </si>
  <si>
    <t>LINESTRING (10.472760962301734 59.70406058756674, 10.472594779819124 59.70402606707022, 10.472507039957934 59.70395108785155)</t>
  </si>
  <si>
    <t>[1423435, 1423443]</t>
  </si>
  <si>
    <t>[1298621, 1298627]</t>
  </si>
  <si>
    <t>0.04906219300276586</t>
  </si>
  <si>
    <t>[1298616, 1298621]</t>
  </si>
  <si>
    <t>19.827532432077035</t>
  </si>
  <si>
    <t>[0.027, 0.003, -0.023, -0.058]</t>
  </si>
  <si>
    <t>LINESTRING (10.472507039957934 59.70395108785155, 10.472522182317773 59.70386745002182, 10.472608238344606 59.70381017588909, 10.472738034635812 59.7037827962863, 10.472842669756327 59.70378551185619)</t>
  </si>
  <si>
    <t>[1423451, 1423459, 1423467, 1423475]</t>
  </si>
  <si>
    <t>[261930, 1298636, 620147, 1298640]</t>
  </si>
  <si>
    <t>[1298627, 261930, 1298636, 620147]</t>
  </si>
  <si>
    <t>[0.027, 0.003, 0.023, 0.058]</t>
  </si>
  <si>
    <t>31.19758523313567</t>
  </si>
  <si>
    <t>[0.058, 0.023]</t>
  </si>
  <si>
    <t>LINESTRING (10.445421493685028 59.72594085661943, 10.445535066204657 59.72596998452461, 10.445617539203077 59.72603130835786)</t>
  </si>
  <si>
    <t>[1423651, 1423659]</t>
  </si>
  <si>
    <t>[1298698, 1298674]</t>
  </si>
  <si>
    <t>0.039260951465264385</t>
  </si>
  <si>
    <t>[1298694, 1298698]</t>
  </si>
  <si>
    <t>15.431340357777321</t>
  </si>
  <si>
    <t>[-0.234, 0.039, 0.01, -0.017, -0.038, -0.067, -0.067]</t>
  </si>
  <si>
    <t>LINESTRING (10.438924281479308 59.83332037893995, 10.438775279436506 59.83331250773797, 10.438694340604282 59.833277320555716, 10.43865859355176 59.83321222470167, 10.438676437626834 59.833173272304315, 10.438743151706241 59.83312972111389, 10.438840585307691 59.833109720492665, 10.438947032217701 59.83311521486472)</t>
  </si>
  <si>
    <t>[1507050, 1507065, 1507066, 1506978, 1506979, 1506986, 1506994]</t>
  </si>
  <si>
    <t>[1362850, 1362864, 1362782, 1362783, 1362784, 1362792, 1362799]</t>
  </si>
  <si>
    <t>[1298991, 1362850, 1362864, 1362782, 1362783, 1362784, 1362792]</t>
  </si>
  <si>
    <t>[0.234, 0.039, 0.01, 0.017, 0.038, 0.067, 0.067]</t>
  </si>
  <si>
    <t>44.424131457800875</t>
  </si>
  <si>
    <t>[0.02, 0.036, 0.449]</t>
  </si>
  <si>
    <t>LINESTRING (10.439080765041144 59.83319540412059, 10.439075184867518 59.833249172118634, 10.439017116750728 59.83329482236075, 10.438924281479308 59.83332037893995)</t>
  </si>
  <si>
    <t>[1507017, 1507041, 1507049]</t>
  </si>
  <si>
    <t>[1362820, 1362843, 1298991]</t>
  </si>
  <si>
    <t>0.16702685000978182</t>
  </si>
  <si>
    <t>[1362819, 1362820, 1362843]</t>
  </si>
  <si>
    <t>17.97868509406444</t>
  </si>
  <si>
    <t>[-0.254, 0.029, 0.046, 0.05, 0.009, 0.003]</t>
  </si>
  <si>
    <t>LINESTRING (10.449738189789276 59.837678610850524, 10.449591000866706 59.83765732490055, 10.445583701607815 59.83609297716181, 10.442249790057849 59.834396586371305, 10.439390376849312 59.83347722012872, 10.439038003637886 59.83335388911034, 10.438924281479308 59.83332037893995)</t>
  </si>
  <si>
    <t>[1540420, 1505695, 1505709, 1505710, 1424177, 1424185]</t>
  </si>
  <si>
    <t>[1361637, 1361638, 1361650, 1298984, 1298985, 1298991]</t>
  </si>
  <si>
    <t>0.035942304735770356</t>
  </si>
  <si>
    <t>[1391852, 1361637, 1361638, 1361650, 1298984, 1298985]</t>
  </si>
  <si>
    <t>[0.254, 0.029, 0.046, 0.05, 0.009, 0.003]</t>
  </si>
  <si>
    <t>781.5797439260823</t>
  </si>
  <si>
    <t>14.735515658698194</t>
  </si>
  <si>
    <t>[-0.005, 0.02, 0.051]</t>
  </si>
  <si>
    <t>LINESTRING (9.872542964748414 59.750754536763516, 9.872640985756322 59.75075981041479, 9.869660055448392 59.7491032987622, 9.86923728495378 59.7489377002652)</t>
  </si>
  <si>
    <t>[1426765, 1426773, 1438179]</t>
  </si>
  <si>
    <t>[1300442, 1300452, 1306939]</t>
  </si>
  <si>
    <t>0.022320995087010333</t>
  </si>
  <si>
    <t>[1300441, 1300442, 1300452]</t>
  </si>
  <si>
    <t>[0.005, 0.02, 0.051]</t>
  </si>
  <si>
    <t>343.9029100089376</t>
  </si>
  <si>
    <t>4.673371374491043</t>
  </si>
  <si>
    <t>3.0413812652878645</t>
  </si>
  <si>
    <t>17.091225778772404</t>
  </si>
  <si>
    <t>[-0.049, -0.004, -0.009]</t>
  </si>
  <si>
    <t>LINESTRING (9.870194566446544 59.749209252153406, 9.87065577027379 59.749341873214405, 9.873123667241867 59.74948927357391, 9.873002589736586 59.74949983353605)</t>
  </si>
  <si>
    <t>[1438187, 1426781, 1426789]</t>
  </si>
  <si>
    <t>[1300459, 1300460, 1300467]</t>
  </si>
  <si>
    <t>[1306590, 1300459, 1300460]</t>
  </si>
  <si>
    <t>[0.049, 0.004, 0.009]</t>
  </si>
  <si>
    <t>302.2299382390547</t>
  </si>
  <si>
    <t>[-0.02, -0.067]</t>
  </si>
  <si>
    <t>LINESTRING (9.777760824624881 59.70322928824142, 9.777491471581076 59.70321540591033, 9.777472564411335 59.70306842416732)</t>
  </si>
  <si>
    <t>[1427888, 1427896]</t>
  </si>
  <si>
    <t>[1301176, 1300520]</t>
  </si>
  <si>
    <t>[1300479, 1301176]</t>
  </si>
  <si>
    <t>[0.02, 0.067]</t>
  </si>
  <si>
    <t>33.75659963189305</t>
  </si>
  <si>
    <t>16.036279637773575</t>
  </si>
  <si>
    <t>[-0.052, 0.009, -0.064]</t>
  </si>
  <si>
    <t>LINESTRING (9.781373905096933 59.70540059517349, 9.781223225736333 59.70529766351992, 9.777815280067452 59.703260154745784, 9.777760824624881 59.70322928824142)</t>
  </si>
  <si>
    <t>[1438163, 1426797, 1426805]</t>
  </si>
  <si>
    <t>[1300472, 1300473, 1300479]</t>
  </si>
  <si>
    <t>0.005237852053005272</t>
  </si>
  <si>
    <t>[1307107, 1300472, 1300473]</t>
  </si>
  <si>
    <t>[0.052, 0.009, 0.064]</t>
  </si>
  <si>
    <t>320.87682182467233</t>
  </si>
  <si>
    <t>13.640003041420586</t>
  </si>
  <si>
    <t>[0.028, 0.008, -0.01]</t>
  </si>
  <si>
    <t>LINESTRING (9.778767604895162 59.70273386067007, 9.778813377219254 59.702769707393145, 9.78207355704135 59.70598165611043, 9.78214137735687 59.70610802741022)</t>
  </si>
  <si>
    <t>[1426837, 1426845, 1438171]</t>
  </si>
  <si>
    <t>[1300504, 1300509, 1306725]</t>
  </si>
  <si>
    <t>0.007605963962624654</t>
  </si>
  <si>
    <t>[1300503, 1300504, 1300509]</t>
  </si>
  <si>
    <t>[0.028, 0.008, 0.01]</t>
  </si>
  <si>
    <t>425.39742631442545</t>
  </si>
  <si>
    <t>[-0.064, 0.005, 0.038, 0.08]</t>
  </si>
  <si>
    <t>LINESTRING (9.778528288811472 59.702555793570085, 9.778750412784042 59.70257049917237, 9.778797819933457 59.70259758399133, 9.778827346751596 59.70263655315697, 9.778767604895162 59.70273386067007)</t>
  </si>
  <si>
    <t>[1428416, 1428424, 1428432, 1428440]</t>
  </si>
  <si>
    <t>[1301460, 1301465, 1301471, 1300503]</t>
  </si>
  <si>
    <t>0.00893537552379325</t>
  </si>
  <si>
    <t>[1300614, 1301460, 1301465, 1301471]</t>
  </si>
  <si>
    <t>[0.064, 0.005, 0.038, 0.08]</t>
  </si>
  <si>
    <t>33.456137954712034</t>
  </si>
  <si>
    <t>15.301307189631489</t>
  </si>
  <si>
    <t>[-0.063, -0.05, -0.024, 0.007]</t>
  </si>
  <si>
    <t>LINESTRING (9.777472564411335 59.70306842416732, 9.777421674914194 59.70304038114827, 9.777327354413574 59.70299525523118, 9.77255070093723 59.7006808353195, 9.772351406068632 59.70059386656229)</t>
  </si>
  <si>
    <t>[1426861, 1426869, 1426877, 1438147]</t>
  </si>
  <si>
    <t>[1300521, 1300527, 1300533, 1307137]</t>
  </si>
  <si>
    <t>[1300520, 1300521, 1300527, 1300533]</t>
  </si>
  <si>
    <t>[0.063, 0.05, 0.024, 0.007]</t>
  </si>
  <si>
    <t>406.81820120611644</t>
  </si>
  <si>
    <t>17.423669608944326</t>
  </si>
  <si>
    <t>[-0.143, 0.012, 0.005, 0.012]</t>
  </si>
  <si>
    <t>LINESTRING (9.773290097809646 59.70086316601429, 9.773530400361265 59.700915957575496, 9.778300354601203 59.70242458286586, 9.778470038896627 59.70252231957319, 9.778528288811472 59.702555793570085)</t>
  </si>
  <si>
    <t>[1438155, 1426981, 1426989, 1426997]</t>
  </si>
  <si>
    <t>[1300602, 1300603, 1300610, 1300614]</t>
  </si>
  <si>
    <t>0.005388863268337241</t>
  </si>
  <si>
    <t>[1306751, 1300602, 1300603, 1300610]</t>
  </si>
  <si>
    <t>[0.143, 0.012, 0.005, 0.012]</t>
  </si>
  <si>
    <t>361.4583629742294</t>
  </si>
  <si>
    <t>19.327717192324556</t>
  </si>
  <si>
    <t>5.6617411633164805</t>
  </si>
  <si>
    <t>16.697544207662617</t>
  </si>
  <si>
    <t>4.214975325986141</t>
  </si>
  <si>
    <t>[0.029, -0.039, 0.023, -0.977]</t>
  </si>
  <si>
    <t>LINESTRING (10.21822133055514 59.727288961498274, 10.218023005286277 59.72744806290507, 10.216987452277985 59.729028663982604, 10.21652433622304 59.730416615989284, 10.21641839088989 59.73046604554763)</t>
  </si>
  <si>
    <t>[1630316, 1630317, 2094420, 2094421]</t>
  </si>
  <si>
    <t>[1457876, 1457877, 1812188, 1300683]</t>
  </si>
  <si>
    <t>[1457875, 1457876, 1457877, 1812188]</t>
  </si>
  <si>
    <t>[0.029, 0.039, 0.023, 0.977]</t>
  </si>
  <si>
    <t>427.1281285911515</t>
  </si>
  <si>
    <t>14.78648377749131</t>
  </si>
  <si>
    <t>[-0.011, -0.017, -0.014, -0.002]</t>
  </si>
  <si>
    <t>LINESTRING (10.029006500984204 59.75214235599177, 10.029253747533389 59.75222999790515, 10.029259047166928 59.75230216935173, 10.029189446115419 59.75236250480697, 10.02892816089459 59.75239308191405)</t>
  </si>
  <si>
    <t>[1427245, 1427253, 1427261, 1427269]</t>
  </si>
  <si>
    <t>[1300800, 1300804, 1300809, 1300815]</t>
  </si>
  <si>
    <t>[1300796, 1300800, 1300804, 1300809]</t>
  </si>
  <si>
    <t>[0.011, 0.017, 0.014, 0.002]</t>
  </si>
  <si>
    <t>49.43646620721259</t>
  </si>
  <si>
    <t>6.842514158323194</t>
  </si>
  <si>
    <t>LINESTRING (10.02562594796237 59.7514860552395, 10.02567645278374 59.75154194946343, 10.025666989040856 59.751605464419995)</t>
  </si>
  <si>
    <t>[1427421, 1427429]</t>
  </si>
  <si>
    <t>[1300938, 1300884]</t>
  </si>
  <si>
    <t>[1300933, 1300938]</t>
  </si>
  <si>
    <t>13.947627325943884</t>
  </si>
  <si>
    <t>[-0.069, 0.252]</t>
  </si>
  <si>
    <t>LINESTRING (10.026201072971256 59.75152586734276, 10.025776156364632 59.751590713912876, 10.025666989040856 59.751605464419995)</t>
  </si>
  <si>
    <t>[2134472, 2134480]</t>
  </si>
  <si>
    <t>[1835437, 1300884]</t>
  </si>
  <si>
    <t>[1432423, 1835437]</t>
  </si>
  <si>
    <t>[0.069, 0.252]</t>
  </si>
  <si>
    <t>31.501363835495862</t>
  </si>
  <si>
    <t>19.981173141116706</t>
  </si>
  <si>
    <t>[-0.23, 0.002, 0.007, 0.056]</t>
  </si>
  <si>
    <t>LINESTRING (10.025603901182993 59.75165794850364, 10.025595943478269 59.75172331986746, 10.03086696133326 59.749892769785035, 10.031251704651728 59.749670712934616, 10.03147571752587 59.74957573615051)</t>
  </si>
  <si>
    <t>[2094965, 2094973, 2094989, 2134536]</t>
  </si>
  <si>
    <t>[1812485, 1812492, 1812503, 1532406]</t>
  </si>
  <si>
    <t>0.0005978641888299514</t>
  </si>
  <si>
    <t>[1300885, 1812485, 1812492, 1812503]</t>
  </si>
  <si>
    <t>[0.23, 0.002, 0.007, 0.056]</t>
  </si>
  <si>
    <t>456.88101654051616</t>
  </si>
  <si>
    <t>[0.002, 0.004, 0.005, 0.006, 0.004, 0.003, -0.0]</t>
  </si>
  <si>
    <t>LINESTRING (10.025274372364095 59.75166793634283, 10.02520892563291 59.751628568050535, 10.02517681601353 59.75156887345048, 10.025203742036675 59.75150782036505, 10.025255832977313 59.75147158942589, 10.025395764543216 59.751439537056314, 10.025505677805057 59.751443707404675, 10.02562594796237 59.7514860552395)</t>
  </si>
  <si>
    <t>[1427365, 1427373, 1427381, 1427389, 1427397, 1427405, 1427413]</t>
  </si>
  <si>
    <t>[238271, 1300901, 1300907, 1300913, 1300918, 1299458, 1300933]</t>
  </si>
  <si>
    <t>0.003293138132369734</t>
  </si>
  <si>
    <t>[1300890, 238271, 1300901, 1300907, 1300913, 1300918, 1299458]</t>
  </si>
  <si>
    <t>[0.002, 0.004, 0.005, 0.006, 0.004, 0.003, 0.0]</t>
  </si>
  <si>
    <t>47.67787639446524</t>
  </si>
  <si>
    <t>[-0.06, -0.001, 0.002, 0.209]</t>
  </si>
  <si>
    <t>LINESTRING (10.021785481159045 59.7519794799442, 10.022129752617255 59.75198448169159, 10.022339751451131 59.75198856816633, 10.02530554912595 59.75173389295622, 10.025274372364095 59.75166793634283)</t>
  </si>
  <si>
    <t>[2134520, 2094941, 2094949, 2094957]</t>
  </si>
  <si>
    <t>[1812469, 1812470, 1812476, 1300890]</t>
  </si>
  <si>
    <t>0.0034407062122118444</t>
  </si>
  <si>
    <t>[1532429, 1812469, 1812470, 1812476]</t>
  </si>
  <si>
    <t>[0.06, 0.001, 0.002, 0.209]</t>
  </si>
  <si>
    <t>227.6813733504091</t>
  </si>
  <si>
    <t>LINESTRING (10.026201072971256 59.75152586734276, 10.025735844488011 59.751490458659916, 10.02562594796237 59.7514860552395)</t>
  </si>
  <si>
    <t>[1593288, 1593296]</t>
  </si>
  <si>
    <t>[1432424, 1300933]</t>
  </si>
  <si>
    <t>[1432423, 1432424]</t>
  </si>
  <si>
    <t>32.77415016412825</t>
  </si>
  <si>
    <t>[-0.047, -0.053, -0.048, -0.026]</t>
  </si>
  <si>
    <t>LINESTRING (9.898990644582392 59.76303186688978, 9.899048893520764 59.762971692327206, 9.899173539646247 59.762930574591266, 9.89932188335931 59.762929048568026, 9.899421170352829 59.76295522389022)</t>
  </si>
  <si>
    <t>[1427541, 1427546, 1427552, 1427560]</t>
  </si>
  <si>
    <t>[601934, 1301011, 1301015, 1301021]</t>
  </si>
  <si>
    <t>[1301007, 601934, 1301011, 1301015]</t>
  </si>
  <si>
    <t>[0.047, 0.053, 0.048, 0.026]</t>
  </si>
  <si>
    <t>30.483055051953993</t>
  </si>
  <si>
    <t>[0.056, 0.037, 0.004, -0.026, -0.027, 0.005]</t>
  </si>
  <si>
    <t>LINESTRING (9.898990644582392 59.76303186688978, 9.89888395373014 59.76305936843939, 9.898209641063794 59.76319234811615, 9.891450994944803 59.76318009979012, 9.89130121870056 59.76315648576239, 9.890450846306772 59.76299885589969, 9.877329506171739 59.75189190385453)</t>
  </si>
  <si>
    <t>[1720078, 1720086, 1720094, 1437283, 1437291, 1437299]</t>
  </si>
  <si>
    <t>[1532641, 1532643, 1306551, 1306552, 1306557, 1306562]</t>
  </si>
  <si>
    <t>0.004676560017443808</t>
  </si>
  <si>
    <t>[1301007, 1532641, 1532643, 1306551, 1306552, 1306557]</t>
  </si>
  <si>
    <t>[0.056, 0.037, 0.004, 0.026, 0.027, 0.005]</t>
  </si>
  <si>
    <t>1967.875391087242</t>
  </si>
  <si>
    <t>[-0.005, 0.001, 0.007, 0.01]</t>
  </si>
  <si>
    <t>LINESTRING (9.872499876768769 59.75087903979477, 9.87245096582868 59.7508978656064, 9.872325198128253 59.75091211049805, 9.872208131676354 59.75089025619563, 9.872237065777268 59.7507019028988)</t>
  </si>
  <si>
    <t>[1427584, 1427592, 1427600, 1427608]</t>
  </si>
  <si>
    <t>[602966, 1301035, 1301039, 1301041]</t>
  </si>
  <si>
    <t>0.006751349579490893</t>
  </si>
  <si>
    <t>[1301032, 602966, 1301035, 1301039]</t>
  </si>
  <si>
    <t>[0.005, 0.001, 0.007, 0.01]</t>
  </si>
  <si>
    <t>42.5498078279509</t>
  </si>
  <si>
    <t>[0.039, 0.03, -0.828]</t>
  </si>
  <si>
    <t>LINESTRING (9.87655246388628 59.751555437299224, 9.87612900267326 59.751398113343065, 9.872628245620183 59.750873048119786, 9.872499876768769 59.75087903979477)</t>
  </si>
  <si>
    <t>[1438195, 2095021, 2095029]</t>
  </si>
  <si>
    <t>[1307259, 1812526, 1301032]</t>
  </si>
  <si>
    <t>0.007210575519641492</t>
  </si>
  <si>
    <t>[1306909, 1307259, 1812526]</t>
  </si>
  <si>
    <t>[0.039, 0.03, 0.828]</t>
  </si>
  <si>
    <t>261.3504018725312</t>
  </si>
  <si>
    <t>[0.0, -0.007]</t>
  </si>
  <si>
    <t>LINESTRING (9.872237065777268 59.7507019028988, 9.872371919864328 59.75068990299189, 9.872495094752823 59.75072027369958)</t>
  </si>
  <si>
    <t>[1427616, 1427624]</t>
  </si>
  <si>
    <t>[1301046, 1301053]</t>
  </si>
  <si>
    <t>[1301041, 1301046]</t>
  </si>
  <si>
    <t>[0.0, 0.007]</t>
  </si>
  <si>
    <t>15.41508746610032</t>
  </si>
  <si>
    <t>[0.751, -0.138]</t>
  </si>
  <si>
    <t>LINESTRING (9.872237065777268 59.7507019028988, 9.872265217401022 59.75064121001399, 9.872450404199995 59.750347967966334)</t>
  </si>
  <si>
    <t>[2134616, 2134624]</t>
  </si>
  <si>
    <t>[1835500, 1432449]</t>
  </si>
  <si>
    <t>0.011097188858041267</t>
  </si>
  <si>
    <t>[1301041, 1835500]</t>
  </si>
  <si>
    <t>[0.751, 0.138]</t>
  </si>
  <si>
    <t>41.43205217316782</t>
  </si>
  <si>
    <t>LINESTRING (9.872495094752823 59.75072027369958, 9.872478806492248 59.75065800443413, 9.872450404199995 59.750347967966334)</t>
  </si>
  <si>
    <t>[1593320, 1593328]</t>
  </si>
  <si>
    <t>[1432445, 1432449]</t>
  </si>
  <si>
    <t>[1301053, 1432445]</t>
  </si>
  <si>
    <t>41.69883337409572</t>
  </si>
  <si>
    <t>[0.005, 0.008, 0.014, 0.015, 0.012, 0.008, -0.004]</t>
  </si>
  <si>
    <t>LINESTRING (9.872705356618786 59.74951969850887, 9.872665294683305 59.74950193618064, 9.872610696709433 59.74943951803219, 9.872630492943781 59.74938027976808, 9.872672697056721 59.74934927006565, 9.872802662398422 59.749315664845085, 9.872912130720492 59.7493226457892, 9.873001527900868 59.74935583377341)</t>
  </si>
  <si>
    <t>[1427648, 1427656, 1427664, 1427672, 1427680, 1427688, 1427696]</t>
  </si>
  <si>
    <t>[1301063, 1301067, 238038, 263653, 1301077, 601009, 1301083]</t>
  </si>
  <si>
    <t>0.008438245172346627</t>
  </si>
  <si>
    <t>[1301062, 1301063, 1301067, 238038, 263653, 1301077, 601009]</t>
  </si>
  <si>
    <t>[0.005, 0.008, 0.014, 0.015, 0.012, 0.008, 0.004]</t>
  </si>
  <si>
    <t>42.1624047801697</t>
  </si>
  <si>
    <t>[-0.01, -0.002]</t>
  </si>
  <si>
    <t>LINESTRING (9.872962350005722 59.749518053907046, 9.872828852943437 59.74953982455508, 9.872705356618786 59.74951969850887)</t>
  </si>
  <si>
    <t>[1427720, 1427728]</t>
  </si>
  <si>
    <t>[1301095, 1301062]</t>
  </si>
  <si>
    <t>[1301090, 1301095]</t>
  </si>
  <si>
    <t>[0.01, 0.002]</t>
  </si>
  <si>
    <t>15.193086308366114</t>
  </si>
  <si>
    <t>[0.184, -0.722]</t>
  </si>
  <si>
    <t>LINESTRING (9.872743507661564 59.749789609947506, 9.872715681272975 59.74957041576867, 9.872705356618786 59.74951969850887)</t>
  </si>
  <si>
    <t>[2134656, 2134664]</t>
  </si>
  <si>
    <t>[1835523, 1301062]</t>
  </si>
  <si>
    <t>0.013316541170655656</t>
  </si>
  <si>
    <t>[1432508, 1835523]</t>
  </si>
  <si>
    <t>[0.184, 0.722]</t>
  </si>
  <si>
    <t>30.168680043052728</t>
  </si>
  <si>
    <t>[0.638, -0.025, -0.014]</t>
  </si>
  <si>
    <t>LINESTRING (9.873001527900868 59.74935583377341, 9.873129343497336 59.74937662334196, 9.87706489947096 59.7517151032377, 9.877329506171739 59.75189190385453)</t>
  </si>
  <si>
    <t>[2095045, 2095053, 1438203]</t>
  </si>
  <si>
    <t>[1812542, 1307269, 1306562]</t>
  </si>
  <si>
    <t>[1301083, 1812542, 1307269]</t>
  </si>
  <si>
    <t>[0.638, 0.025, 0.014]</t>
  </si>
  <si>
    <t>394.8783906100592</t>
  </si>
  <si>
    <t>LINESTRING (9.872743507661564 59.749789609947506, 9.87292440969486 59.749581783028994, 9.872962350005722 59.749518053907046)</t>
  </si>
  <si>
    <t>[1593416, 1593424]</t>
  </si>
  <si>
    <t>[1432509, 1301090]</t>
  </si>
  <si>
    <t>[1432508, 1432509]</t>
  </si>
  <si>
    <t>32.97129808212059</t>
  </si>
  <si>
    <t>[0.039, 0.056]</t>
  </si>
  <si>
    <t>LINESTRING (9.777721696285992 59.703035169076806, 9.777808331865893 59.70306337778305, 9.777848665041418 59.70309984476885)</t>
  </si>
  <si>
    <t>[1427912, 1427920]</t>
  </si>
  <si>
    <t>[1301188, 1301192]</t>
  </si>
  <si>
    <t>0.046566734625124166</t>
  </si>
  <si>
    <t>[1301184, 1301188]</t>
  </si>
  <si>
    <t>10.463360908890351</t>
  </si>
  <si>
    <t>[-0.021, -0.101, -0.102]</t>
  </si>
  <si>
    <t>LINESTRING (9.777721696285992 59.703035169076806, 9.777798208390255 59.703015095327586, 9.778354823961585 59.702730178710695, 9.778407973069072 59.702688216520514)</t>
  </si>
  <si>
    <t>[2134696, 2134704, 2134712]</t>
  </si>
  <si>
    <t>[1835542, 1835546, 1301457]</t>
  </si>
  <si>
    <t>[1301184, 1835542, 1835546]</t>
  </si>
  <si>
    <t>[0.021, 0.101, 0.102]</t>
  </si>
  <si>
    <t>55.307014513058746</t>
  </si>
  <si>
    <t>[-0.113, -0.102, -0.111]</t>
  </si>
  <si>
    <t>LINESTRING (9.777848665041418 59.70309984476885, 9.77789901204451 59.70306488848176, 9.778464501834534 59.70278540020321, 9.77854149121318 59.702760324156166)</t>
  </si>
  <si>
    <t>[1593528, 1593536, 1593544]</t>
  </si>
  <si>
    <t>[1432594, 1432600, 1301479]</t>
  </si>
  <si>
    <t>[1301192, 1432594, 1432600]</t>
  </si>
  <si>
    <t>[0.113, 0.102, 0.111]</t>
  </si>
  <si>
    <t>54.74603667737935</t>
  </si>
  <si>
    <t>[0.02, -0.017]</t>
  </si>
  <si>
    <t>LINESTRING (9.77854149121318 59.702760324156166, 9.77846185110613 59.70273338466114, 9.778407973069072 59.702688216520514)</t>
  </si>
  <si>
    <t>[1428456, 1428464]</t>
  </si>
  <si>
    <t>[1301486, 1301457]</t>
  </si>
  <si>
    <t>0.0007119617570451881</t>
  </si>
  <si>
    <t>[1301479, 1301486]</t>
  </si>
  <si>
    <t>11.278493016281685</t>
  </si>
  <si>
    <t>[-0.01, -0.005, -0.001, 0.001, 0.03]</t>
  </si>
  <si>
    <t>LINESTRING (5.719834113675826 58.88639408247586, 5.7198565295693555 58.88640686610944, 5.719889424142102 58.88646536600922, 5.719873593439095 58.88649810705923, 5.719810262446174 58.88653608335966, 5.719597580355807 58.88652791013428)</t>
  </si>
  <si>
    <t>[2103382, 2103409, 2103437, 2103449, 2103354]</t>
  </si>
  <si>
    <t>[458590, 1817816, 1817836, 1760487, 1301608]</t>
  </si>
  <si>
    <t>0.01088584147145933</t>
  </si>
  <si>
    <t>[1815331, 458590, 1817816, 1817836, 1760487]</t>
  </si>
  <si>
    <t>[0.01, 0.005, 0.001, 0.001, 0.03]</t>
  </si>
  <si>
    <t>31.124731386584802</t>
  </si>
  <si>
    <t>[-0.175, 0.014, 0.008, 0.001]</t>
  </si>
  <si>
    <t>LINESTRING (5.716028531561244 58.88656226319194, 5.715844128096314 58.88655215629193, 5.715780429345086 58.88646602100617, 5.7158271811073655 58.88641790800567, 5.715854214614932 58.886407667055956)</t>
  </si>
  <si>
    <t>[2103563, 2103578, 2103586, 2103594]</t>
  </si>
  <si>
    <t>[1301765, 1817928, 458650, 1815348]</t>
  </si>
  <si>
    <t>[1301663, 1301765, 1817928, 458650]</t>
  </si>
  <si>
    <t>[0.175, 0.014, 0.008, 0.001]</t>
  </si>
  <si>
    <t>29.811670105557717</t>
  </si>
  <si>
    <t>14.60898515811012</t>
  </si>
  <si>
    <t>[-0.003, -0.002, -0.001, -0.0, 0.0, 0.001, 0.002]</t>
  </si>
  <si>
    <t>LINESTRING (5.329189462583591 59.39736566081611, 5.3293209477290695 59.397251228777506, 5.329449026207676 59.397232179199186, 5.329593894549672 59.397253459560034, 5.3296762275427385 59.39729543660624, 5.32971214627608 59.397348482909706, 5.329695683990919 59.39741725240297, 5.3296329070772375 59.397464435824276)</t>
  </si>
  <si>
    <t>[1429751, 1429759, 1429767, 1429687, 1429695, 1429703, 1429711]</t>
  </si>
  <si>
    <t>[1302248, 1302254, 1302211, 1302212, 1302216, 1302219, 1302225]</t>
  </si>
  <si>
    <t>[1302244, 1302248, 1302254, 1302211, 1302212, 1302216, 1302219]</t>
  </si>
  <si>
    <t>[0.003, 0.002, 0.001, 0.0, 0.0, 0.001, 0.002]</t>
  </si>
  <si>
    <t>58.61838208588461</t>
  </si>
  <si>
    <t>LINESTRING (5.329393308730728 59.39749699171596, 5.32929765097668 59.39747507865355, 5.3292085623332826 59.39741577629848)</t>
  </si>
  <si>
    <t>[1429727, 1429735]</t>
  </si>
  <si>
    <t>[1302234, 1302238]</t>
  </si>
  <si>
    <t>0.0008344000106722451</t>
  </si>
  <si>
    <t>[1302231, 1302234]</t>
  </si>
  <si>
    <t>14.32674165822231</t>
  </si>
  <si>
    <t>5.706098141096589</t>
  </si>
  <si>
    <t>[-0.04, -0.042, -0.04, -0.026]</t>
  </si>
  <si>
    <t>LINESTRING (15.42582136508878 67.24589114891754, 15.425889827220457 67.2462914300657, 15.426061324496551 67.24672157798551, 15.426115597091524 67.24685415900744, 15.426554780517543 67.24766129146148)</t>
  </si>
  <si>
    <t>[1832005, 1832013, 1832021, 1832029]</t>
  </si>
  <si>
    <t>[1608240, 1608228, 1608249, 1303459]</t>
  </si>
  <si>
    <t>[1303455, 1608240, 1608228, 1608249]</t>
  </si>
  <si>
    <t>[0.04, 0.042, 0.04, 0.026]</t>
  </si>
  <si>
    <t>200.4779260561217</t>
  </si>
  <si>
    <t>[-0.048, -0.041, -0.037, -0.025]</t>
  </si>
  <si>
    <t>LINESTRING (15.42582136508878 67.24589114891754, 15.426053187258956 67.24619938236997, 15.426275054350906 67.24671430058851, 15.426300215568615 67.24677436192871, 15.426554780517543 67.24766129146148)</t>
  </si>
  <si>
    <t>[1832037, 1832045, 1832053, 1832061]</t>
  </si>
  <si>
    <t>[1608256, 1608263, 1608227, 1303459]</t>
  </si>
  <si>
    <t>[1303455, 1608256, 1608263, 1608227]</t>
  </si>
  <si>
    <t>[0.048, 0.041, 0.037, 0.025]</t>
  </si>
  <si>
    <t>200.57448701486481</t>
  </si>
  <si>
    <t>2032.0</t>
  </si>
  <si>
    <t>LINESTRING (15.452635997195879 67.14579224357686, 15.42582136508878 67.24589114891754)</t>
  </si>
  <si>
    <t>[0.025, 0.012, 0.011, -0.004]</t>
  </si>
  <si>
    <t>LINESTRING (9.676076720723902 59.03588214251468, 9.676014423260069 59.0357895873716, 9.675998188916466 59.03573213546351, 9.675989933587672 59.03566713811858, 9.67619068486883 59.03525628109868)</t>
  </si>
  <si>
    <t>[1435425, 1435434, 1435442, 1435450]</t>
  </si>
  <si>
    <t>[959930, 1305357, 959969, 1305316]</t>
  </si>
  <si>
    <t>0.0032872324355907173</t>
  </si>
  <si>
    <t>[1305301, 959930, 1305357, 959969]</t>
  </si>
  <si>
    <t>[0.025, 0.012, 0.011, 0.004]</t>
  </si>
  <si>
    <t>72.61871885172278</t>
  </si>
  <si>
    <t>[0.035, 0.036, 0.047, 0.054, 0.036]</t>
  </si>
  <si>
    <t>LINESTRING (9.676656153819124 59.03591059535933, 9.676569046240129 59.035944623607996, 9.676536578756336 59.03595212346266, 9.676196520900863 59.035940746210585, 9.676164637837086 59.035929948218644, 9.676076720723902 59.03588214251468)</t>
  </si>
  <si>
    <t>[1435546, 1435554, 1435562, 1435570, 1435417]</t>
  </si>
  <si>
    <t>[1305429, 1305435, 1305444, 1305348, 1305301]</t>
  </si>
  <si>
    <t>0.04270567537563582</t>
  </si>
  <si>
    <t>[1305305, 1305429, 1305435, 1305444, 1305348]</t>
  </si>
  <si>
    <t>38.021818283411086</t>
  </si>
  <si>
    <t>[-0.026, -0.012, -0.012, -0.005, 0.004, 0.005, 0.015]</t>
  </si>
  <si>
    <t>LINESTRING (9.676771904552005 59.03528327746525, 9.676836056119006 59.035376268524466, 9.676850063255706 59.035428949135266, 9.676857971187424 59.03548380828527, 9.676833568959538 59.03567524544003, 9.676804146784134 59.035742281678424, 9.676760120887408 59.03581477279568, 9.676656153819124 59.03591059535933)</t>
  </si>
  <si>
    <t>[1435490, 1435498, 1435506, 1435514, 1435522, 1435530, 1435538]</t>
  </si>
  <si>
    <t>[960023, 1305396, 959992, 355898, 1305412, 355916, 1305305]</t>
  </si>
  <si>
    <t>[1305334, 960023, 1305396, 959992, 355898, 1305412, 355916]</t>
  </si>
  <si>
    <t>[0.026, 0.012, 0.012, 0.005, 0.004, 0.005, 0.015]</t>
  </si>
  <si>
    <t>72.81844485640441</t>
  </si>
  <si>
    <t>[-0.033, -0.035, -0.046, -0.038]</t>
  </si>
  <si>
    <t>LINESTRING (9.67619068486883 59.03525628109868, 9.676278386372895 59.03522201663312, 9.676309942572209 59.03521340845605, 9.676694091930642 59.03523978481219, 9.676771904552005 59.03528327746525)</t>
  </si>
  <si>
    <t>[1435458, 1435466, 1435474, 1435482]</t>
  </si>
  <si>
    <t>[1305370, 1305375, 1305380, 1305334]</t>
  </si>
  <si>
    <t>[1305316, 1305370, 1305375, 1305380]</t>
  </si>
  <si>
    <t>[0.033, 0.035, 0.046, 0.038]</t>
  </si>
  <si>
    <t>38.09514878204785</t>
  </si>
  <si>
    <t>[0.009, 0.034, 0.004, 0.013]</t>
  </si>
  <si>
    <t>LINESTRING (9.877329506171739 59.75189190385453, 9.87663644295385 59.75152698578949, 9.875652808645212 59.75111566951367, 9.874367762183795 59.750643884165385, 9.870194566446544 59.749209252153406)</t>
  </si>
  <si>
    <t>[1437307, 1437315, 1437323, 1437331]</t>
  </si>
  <si>
    <t>[1306570, 1306578, 1306586, 1306590]</t>
  </si>
  <si>
    <t>0.013955111813447975</t>
  </si>
  <si>
    <t>[1306562, 1306570, 1306578, 1306586]</t>
  </si>
  <si>
    <t>501.66457078823146</t>
  </si>
  <si>
    <t>[0.052, 0.046, 0.018, 0.035, 0.01, -0.015, -0.004, 0.024, 0.032, 0.014, 0.022, 0.019, 0.029, 0.042, 0.051, 0.023, -0.01, 0.027, 0.023, 0.027, -0.041, -0.021, 0.043, 0.038, 0.034]</t>
  </si>
  <si>
    <t>[0, 0, 0, 1, 0, 1, 0, 1, 0, 0, 1, 0, 0, 1, 0, 1, 0, 0, 1, 0, 0, 1, 0, 0, 0]</t>
  </si>
  <si>
    <t>LINESTRING (9.870194566446544 59.749209252153406, 9.869288238688556 59.748899080347854, 9.868515020582059 59.748640395568145, 9.854793341895613 59.74812944633854, 9.854050505693403 59.7480000350322, 9.824651525210147 59.73076352928514, 9.82443817314686 59.72996802524689, 9.823465348750453 59.72731446388747, 9.823357242431506 59.727138083735554, 9.821785948047422 59.725301291842676, 9.81986372147464 59.72365192594731, 9.819637117975276 59.72347288089238, 9.816804225114666 59.72136095485868, 9.81060239744457 59.71777478263287, 9.810332393466808 59.7176401676201, 9.80278349326315 59.71443929635905, 9.802473179101874 59.71432762835944, 9.799718041512417 59.713444766195465, 9.798474784741597 59.713152293239915, 9.79748610299627 59.71293040411588, 9.784886532906675 59.70784400186268, 9.783865156713091 59.70743252555291, 9.783598828541239 59.70729538727032, 9.78248184059773 59.70648059600002, 9.7824495763064 59.70644885220132, 9.78214137735687 59.70610802741022)</t>
  </si>
  <si>
    <t>[1437339, 1437347, 1437355, 1437363, 1437371, 1437379, 1437387, 1437395, 1437403, 1437411, 1437419, 1437427, 1437435, 1437443, 1437451, 1437459, 1437467, 1437475, 1437483, 1437491, 1437499, 1437507, 1437515, 1437523, 1437531]</t>
  </si>
  <si>
    <t>[1306594, 1306600, 1306604, 1306609, 1306616, 1306624, 1306632, 1306638, 1306643, 1306649, 1306655, 1306661, 1306666, 1306671, 1306674, 1306681, 1306687, 1306693, 1306699, 1306705, 1306708, 1306712, 1306716, 1306720, 1306725]</t>
  </si>
  <si>
    <t>0.018532000257402374</t>
  </si>
  <si>
    <t>[1306590, 1306594, 1306600, 1306604, 1306609, 1306616, 1306624, 1306632, 1306638, 1306643, 1306649, 1306655, 1306661, 1306666, 1306671, 1306674, 1306681, 1306687, 1306693, 1306699, 1306705, 1306708, 1306712, 1306716, 1306720]</t>
  </si>
  <si>
    <t>[0.052, 0.046, 0.018, 0.035, 0.01, 0.015, 0.004, 0.024, 0.032, 0.014, 0.022, 0.019, 0.029, 0.042, 0.051, 0.023, 0.01, 0.027, 0.023, 0.027, 0.041, 0.021, 0.043, 0.038, 0.034]</t>
  </si>
  <si>
    <t>7353.691564415245</t>
  </si>
  <si>
    <t>[0.027, 0.028, -0.012, -0.02, -0.007]</t>
  </si>
  <si>
    <t>LINESTRING (9.78214137735687 59.70610802741022, 9.781716652463288 59.70562972042347, 9.781470104289362 59.70537648077491, 9.778754629625546 59.7032770153563, 9.777412705037861 59.70258156254714, 9.773290097809646 59.70086316601429)</t>
  </si>
  <si>
    <t>[1437539, 1437547, 1437555, 1437563, 1437571]</t>
  </si>
  <si>
    <t>[1306728, 1306733, 1306739, 1306744, 1306751]</t>
  </si>
  <si>
    <t>[1306725, 1306728, 1306733, 1306739, 1306744]</t>
  </si>
  <si>
    <t>[0.027, 0.028, 0.012, 0.02, 0.007]</t>
  </si>
  <si>
    <t>780.0765259715707</t>
  </si>
  <si>
    <t>[0.035, 0.004, 0.014, 0.05]</t>
  </si>
  <si>
    <t>LINESTRING (9.87655246388628 59.751555437299224, 9.875599736667171 59.75115092495729, 9.874317390422119 59.75068047732808, 9.870140747485243 59.74924900192092, 9.86923728495378 59.7489377002652)</t>
  </si>
  <si>
    <t>[1437755, 1437763, 1437771, 1437779]</t>
  </si>
  <si>
    <t>[1306916, 1306922, 1306931, 1306939]</t>
  </si>
  <si>
    <t>0.01953603481753564</t>
  </si>
  <si>
    <t>[1306909, 1306916, 1306922, 1306931]</t>
  </si>
  <si>
    <t>504.7934241756199</t>
  </si>
  <si>
    <t>[0.047, 0.018, 0.036, 0.01, -0.014, -0.003, 0.025, 0.032, 0.014, 0.023, 0.02, 0.029, 0.04, 0.051, 0.015, -0.009, 0.023, 0.024, 0.026, -0.041, -0.022, 0.049, 0.037, 0.032, 0.026, 0.028]</t>
  </si>
  <si>
    <t>[0, 0, 1, 0, 1, 0, 1, 0, 0, 1, 0, 0, 1, 0, 1, 0, 0, 1, 0, 0, 1, 0, 0, 0, 0, 0]</t>
  </si>
  <si>
    <t>LINESTRING (9.86923728495378 59.7489377002652, 9.868462950707544 59.748681517773285, 9.854768532408091 59.74817647423574, 9.85401476334275 59.74804534695102, 9.824554312977256 59.7307817339951, 9.824337826360267 59.72998738360137, 9.823367965589156 59.72732923257905, 9.823261914693937 59.72715373434691, 9.82168426865329 59.725329673903396, 9.819719652786658 59.72364714709981, 9.819498270359652 59.723467066540834, 9.816664711181136 59.721396707685564, 9.81050315498391 59.71782116689215, 9.810240747857925 59.717690397802, 9.802669815076133 59.71448206062422, 9.802366182184025 59.71437255603771, 9.799654492143937 59.713500063668, 9.798432823823193 59.71319955754772, 9.797444493278169 59.71297860887289, 9.784820048610404 59.707894505655034, 9.783777623119555 59.707477889393125, 9.783508657348298 59.707337910469796, 9.782377740621586 59.70651367340324, 9.782346184166395 59.706481273927785, 9.782042378417865 59.70613432529047, 9.781617806523132 59.70565367556147, 9.781373905096933 59.70540059517349)</t>
  </si>
  <si>
    <t>[1437787, 1437795, 1437803, 1437811, 1437819, 1437827, 1437835, 1437843, 1437851, 1437859, 1437867, 1437875, 1437883, 1437891, 1437899, 1437907, 1437915, 1437923, 1437931, 1437939, 1437947, 1437955, 1437963, 1437971, 1437979, 1437987]</t>
  </si>
  <si>
    <t>[1306946, 1306954, 1306957, 1306966, 1306975, 1306983, 1306990, 1306997, 1307004, 1307009, 1307016, 1307023, 1307029, 1307033, 1307038, 1307042, 1307049, 1307057, 1307064, 1307073, 1307080, 1307088, 1307092, 1307096, 1307100, 1307107]</t>
  </si>
  <si>
    <t>0.018371203998095983</t>
  </si>
  <si>
    <t>[1306939, 1306946, 1306954, 1306957, 1306966, 1306975, 1306983, 1306990, 1306997, 1307004, 1307009, 1307016, 1307023, 1307029, 1307033, 1307038, 1307042, 1307049, 1307057, 1307064, 1307073, 1307080, 1307088, 1307092, 1307096, 1307100]</t>
  </si>
  <si>
    <t>[0.047, 0.018, 0.036, 0.01, 0.014, 0.003, 0.025, 0.032, 0.014, 0.023, 0.02, 0.029, 0.04, 0.051, 0.015, 0.009, 0.023, 0.024, 0.026, 0.041, 0.022, 0.049, 0.037, 0.032, 0.026, 0.028]</t>
  </si>
  <si>
    <t>7384.729867990586</t>
  </si>
  <si>
    <t>[-0.014, -0.02, -0.008, -0.022, -0.019]</t>
  </si>
  <si>
    <t>LINESTRING (9.781373905096933 59.70540059517349, 9.778695116095017 59.703303742157175, 9.777357815433385 59.70261060569452, 9.773238114493742 59.70090049373904, 9.772636353290967 59.70069282987937, 9.772351406068632 59.70059386656229)</t>
  </si>
  <si>
    <t>[1437995, 1438003, 1438011, 1438019, 1438027]</t>
  </si>
  <si>
    <t>[1307113, 1307116, 1307122, 1307130, 1307137]</t>
  </si>
  <si>
    <t>[1307107, 1307113, 1307116, 1307122, 1307130]</t>
  </si>
  <si>
    <t>[0.014, 0.02, 0.008, 0.022, 0.019]</t>
  </si>
  <si>
    <t>748.2912767855047</t>
  </si>
  <si>
    <t>[0.009, -0.003, -0.133]</t>
  </si>
  <si>
    <t>LINESTRING (10.909202114488618 63.45234764935875, 10.90949092250067 63.45316045032749, 10.909550215522426 63.45347473121295, 10.909567867833866 63.45361637367011)</t>
  </si>
  <si>
    <t>[1750245, 1750257, 1750283]</t>
  </si>
  <si>
    <t>[1550934, 1550937, 1550885]</t>
  </si>
  <si>
    <t>[1307339, 1550934, 1550937]</t>
  </si>
  <si>
    <t>[0.009, 0.003, 0.133]</t>
  </si>
  <si>
    <t>142.72634838554018</t>
  </si>
  <si>
    <t>[-0.01, -0.004, 0.005, 0.006, 0.003, 0.006]</t>
  </si>
  <si>
    <t>LINESTRING (5.726423112230225 58.94450164800602, 5.726328773577105 58.94448252930344, 5.72567828128376 58.94435924241153, 5.725340901967959 58.94430066496634, 5.724271268609282 58.94420840797187, 5.724215656414615 58.94420681769384, 5.723926131317613 58.94420497719052)</t>
  </si>
  <si>
    <t>[1439956, 1439964, 1439972, 1439980, 1439988, 1439996]</t>
  </si>
  <si>
    <t>[1308436, 1308446, 1308454, 1308460, 1308467, 1308078]</t>
  </si>
  <si>
    <t>0.0024852592015254466</t>
  </si>
  <si>
    <t>[1307759, 1308436, 1308446, 1308454, 1308460, 1308467]</t>
  </si>
  <si>
    <t>[0.01, 0.004, 0.005, 0.006, 0.003, 0.006]</t>
  </si>
  <si>
    <t>149.06246994948353</t>
  </si>
  <si>
    <t>3.0143821922687293</t>
  </si>
  <si>
    <t>17.84025456353298</t>
  </si>
  <si>
    <t>[0.0, -0.017, -0.021, -0.035, -0.033, -0.034, -0.033, -0.031]</t>
  </si>
  <si>
    <t>LINESTRING (5.522943843909026 59.83203721859575, 5.522943843909026 59.83203721859575, 5.522892314430095 59.83180197977005, 5.522819155936789 59.831467902478465, 5.522790223010445 59.83134366963691, 5.522697821672888 59.83092611662439, 5.52266727073603 59.83078773397041, 5.522522836232821 59.830101515291105, 5.522468695337884 59.82986600501298)</t>
  </si>
  <si>
    <t>[1444120, 1444128, 1444136, 1444144, 1444152, 1444160, 1444168, 1444176]</t>
  </si>
  <si>
    <t>[1311172, 1311180, 1311189, 1311109, 1311204, 1311212, 1311216, 1311226]</t>
  </si>
  <si>
    <t>[1311171, 1311172, 1311180, 1311189, 1311109, 1311204, 1311212, 1311216]</t>
  </si>
  <si>
    <t>[0.0, 0.017, 0.021, 0.035, 0.033, 0.034, 0.033, 0.031]</t>
  </si>
  <si>
    <t>272.94077066748986</t>
  </si>
  <si>
    <t>[-0.014, -0.015, 0.006, 0.023, 0.046, -0.003, -0.086, -0.059, -0.084, -0.089, -0.09, 0.03, 0.035, 0.058, 0.012, 0.049, 0.011, 0.043, 0.036, 0.019, -0.022, -0.032, 0.027, 0.019, 0.013, 0.031, 0.026, 0.029, 0.03, 0.038, 0.017, 0.027, -0.019, -0.018, -0.005, 0.005, 0.007, 0.03]</t>
  </si>
  <si>
    <t>4143.0</t>
  </si>
  <si>
    <t>[0, 0, 0, 0, 0, 0, 0, 0, 0, 0, 1, 1, 0, 0, 0, 0, 0, 0, 0, 0, 0, 0, 0, 0, 0, 0, 0, 0, 0, 0, 0, 0, 0, 0, 0, 0, 0, 0]</t>
  </si>
  <si>
    <t>LINESTRING (5.482109968418017 59.781588393083155, 5.48137413251974 59.78479330887662, 5.48166658412625 59.785223884428035, 5.481791100657864 59.78535367825847, 5.481942740376467 59.78547653776165, 5.483900097834845 59.78640738626526, 5.489270912194709 59.787602907240974, 5.490301659855306 59.788875164738826, 5.493777506070882 59.79085202071254, 5.49487110532537 59.79123397136127, 5.495317349398962 59.791562031804126, 5.495488136012365 59.79176767902131, 5.495636729571722 59.79210344416373, 5.4956421025018525 59.79219177490741, 5.495570541466132 59.79257227269992, 5.4957623679448435 59.7955022794453, 5.495717374324752 59.795853765572616, 5.495404627636483 59.797265463585354, 5.495544515514106 59.797807511515124, 5.495695095598452 59.798166241743246, 5.495817072271651 59.79850492944445, 5.495896661878909 59.79882070719621, 5.495942011785703 59.79934808562186, 5.495861921606474 59.7999471778341, 5.495914376837056 59.803188718918996, 5.498289260695354 59.80618653959546, 5.500343771906857 59.80723463193614, 5.500532420269288 59.80732459811085, 5.500807834106162 59.8074593125014, 5.50492979671167 59.81061633821389, 5.504942677360096 59.81183164763734, 5.505602535128175 59.813693938842, 5.5060127757266795 59.81410368065379, 5.508415110832622 59.81550921111025, 5.514107911494141 59.82131948173879, 5.5166432571480675 59.82292147128525, 5.522038303397866 59.82667585935472, 5.522454360300385 59.82886607330769, 5.522468695337884 59.82986600501298)</t>
  </si>
  <si>
    <t>[2060943, 2060951, 2060959, 2060968, 2060976, 2060984, 2060992, 2061000, 2061008, 2061016, 2061024, 2061032, 2061040, 2061048, 2061056, 2061064, 2061072, 2061080, 2061088, 2061096, 2061104, 2061112, 2061120, 2061128, 2061136, 2061144, 2061152, 2061160, 2061168, 2061176, 2061184, 2061192, 2061200, 2061208, 2061216, 2061224, 2061232, 2061240]</t>
  </si>
  <si>
    <t>[1749540, 1791691, 1791697, 1752436, 1637244, 1791710, 1791714, 1791719, 1755826, 1791734, 1791741, 1791747, 1791753, 1791760, 1791765, 1791771, 1791777, 1791785, 1791793, 1791799, 1679248, 1791809, 1791816, 1791820, 1626202, 1791830, 1791836, 1791841, 1638166, 1626305, 1791853, 1638178, 1749429, 1635736, 1791872, 1791880, 1749392, 1311226]</t>
  </si>
  <si>
    <t>0.00016180554118261215</t>
  </si>
  <si>
    <t>[1761273, 1749540, 1791691, 1791697, 1752436, 1637244, 1791710, 1791714, 1791719, 1755826, 1791734, 1791741, 1791747, 1791753, 1791760, 1791765, 1791771, 1791777, 1791785, 1791793, 1791799, 1679248, 1791809, 1791816, 1791820, 1626202, 1791830, 1791836, 1791841, 1638166, 1626305, 1791853, 1638178, 1749429, 1635736, 1791872, 1791880, 1749392]</t>
  </si>
  <si>
    <t>[0.014, 0.015, 0.006, 0.023, 0.046, 0.003, 0.086, 0.059, 0.084, 0.089, 0.09, 0.03, 0.035, 0.058, 0.012, 0.049, 0.011, 0.043, 0.036, 0.019, 0.022, 0.032, 0.027, 0.019, 0.013, 0.031, 0.026, 0.029, 0.03, 0.038, 0.017, 0.027, 0.019, 0.018, 0.005, 0.005, 0.007, 0.03]</t>
  </si>
  <si>
    <t>6306.2975445092</t>
  </si>
  <si>
    <t>[0.007, 0.009]</t>
  </si>
  <si>
    <t>LINESTRING (11.067135454611025 63.62868281847453, 11.067104466491154 63.628762423974706, 11.067093114958872 63.628791573408314)</t>
  </si>
  <si>
    <t>[1465872, 1465879]</t>
  </si>
  <si>
    <t>[1328491, 1328497]</t>
  </si>
  <si>
    <t>0.007536061730155443</t>
  </si>
  <si>
    <t>[1328490, 1328491]</t>
  </si>
  <si>
    <t>12.304283811648094</t>
  </si>
  <si>
    <t>[0.212, -0.675]</t>
  </si>
  <si>
    <t>LINESTRING (11.067135454611025 63.62868281847453, 11.06722205223146 63.628761951547304, 11.067245764039264 63.62878362247129)</t>
  </si>
  <si>
    <t>[2117460, 2117468]</t>
  </si>
  <si>
    <t>[1825682, 1328558]</t>
  </si>
  <si>
    <t>0.02131608778756291</t>
  </si>
  <si>
    <t>[1328490, 1825682]</t>
  </si>
  <si>
    <t>[0.212, 0.675]</t>
  </si>
  <si>
    <t>12.497875822769295</t>
  </si>
  <si>
    <t>LINESTRING (11.067093114958872 63.628791573408314, 11.06716379763698 63.62878164657777, 11.067245764039264 63.62878362247129)</t>
  </si>
  <si>
    <t>[1465954, 1465962]</t>
  </si>
  <si>
    <t>[1328554, 1328558]</t>
  </si>
  <si>
    <t>0.022678441444138542</t>
  </si>
  <si>
    <t>[1328497, 1328554]</t>
  </si>
  <si>
    <t>7.745338447802368</t>
  </si>
  <si>
    <t>[-0.024, -0.015, -0.008, 0.005]</t>
  </si>
  <si>
    <t>LINESTRING (11.067080996880433 63.62895786626499, 11.066990946910032 63.62890920439398, 11.066977798399456 63.628877208808156, 11.066996413176987 63.628837635362814, 11.067093114958872 63.628791573408314)</t>
  </si>
  <si>
    <t>[1465943, 1465950, 1465952, 1465953]</t>
  </si>
  <si>
    <t>[1328544, 1328551, 1328553, 1328497]</t>
  </si>
  <si>
    <t>[1328543, 1328544, 1328551, 1328553]</t>
  </si>
  <si>
    <t>[0.024, 0.015, 0.008, 0.005]</t>
  </si>
  <si>
    <t>22.184442784058625</t>
  </si>
  <si>
    <t>68.51014401486105</t>
  </si>
  <si>
    <t>LINESTRING (11.067236543145842 63.628969856658415, 11.067168056844784 63.628971215881776, 11.067080996880433 63.62895786626499)</t>
  </si>
  <si>
    <t>[1465941, 1465942]</t>
  </si>
  <si>
    <t>[1328542, 1328543]</t>
  </si>
  <si>
    <t>[1328541, 1328542]</t>
  </si>
  <si>
    <t>7.965122350594207</t>
  </si>
  <si>
    <t>[0.644, 0.002]</t>
  </si>
  <si>
    <t>LINESTRING (11.067236543145842 63.628969856658415, 11.067205868290163 63.628993066368764, 11.06714760856436 63.62903716182457)</t>
  </si>
  <si>
    <t>[2117412, 2117420]</t>
  </si>
  <si>
    <t>[1825650, 1814446]</t>
  </si>
  <si>
    <t>0.2234010508651471</t>
  </si>
  <si>
    <t>[1328541, 1825650]</t>
  </si>
  <si>
    <t>8.702942050430305</t>
  </si>
  <si>
    <t>[0.024, 0.022, 0.008, -0.006, -0.011]</t>
  </si>
  <si>
    <t>LINESTRING (11.067245764039264 63.62878362247129, 11.067332784639618 63.628803819253314, 11.06740688147594 63.62886919168051, 11.067395449169952 63.62890797332059, 11.067343967315121 63.628944129987524, 11.067236543145842 63.628969856658415)</t>
  </si>
  <si>
    <t>[1465975, 1465983, 1465991, 1465999, 1466007]</t>
  </si>
  <si>
    <t>[1328570, 1328576, 1328582, 1328587, 1328541]</t>
  </si>
  <si>
    <t>0.008368512037316875</t>
  </si>
  <si>
    <t>[1328558, 1328570, 1328576, 1328582, 1328587]</t>
  </si>
  <si>
    <t>[0.024, 0.022, 0.008, 0.006, 0.011]</t>
  </si>
  <si>
    <t>28.208972164128376</t>
  </si>
  <si>
    <t>[0.587, 0.022]</t>
  </si>
  <si>
    <t>LINESTRING (11.067080996880433 63.62895786626499, 11.0671049175295 63.628986346330635, 11.06714760856436 63.62903716182457)</t>
  </si>
  <si>
    <t>[2117428, 2117436]</t>
  </si>
  <si>
    <t>[1825662, 1814446]</t>
  </si>
  <si>
    <t>0.2249233824813472</t>
  </si>
  <si>
    <t>[1328543, 1825662]</t>
  </si>
  <si>
    <t>9.436630761883286</t>
  </si>
  <si>
    <t>240.56127629530602</t>
  </si>
  <si>
    <t>[0.071, -0.008]</t>
  </si>
  <si>
    <t>LINESTRING (10.405840381067263 59.94042507224063, 10.403390655080146 59.94305534718177, 10.4034218418568 59.94312827837025)</t>
  </si>
  <si>
    <t>[1834710, 1476289]</t>
  </si>
  <si>
    <t>[1337207, 1337201]</t>
  </si>
  <si>
    <t>0.06903088751551831</t>
  </si>
  <si>
    <t>[1357088, 1337207]</t>
  </si>
  <si>
    <t>[0.071, 0.008]</t>
  </si>
  <si>
    <t>333.5397685209566</t>
  </si>
  <si>
    <t>[0.069, 0.102]</t>
  </si>
  <si>
    <t>LINESTRING (10.405840381067263 59.94042507224063, 10.403501927145498 59.94307290247731, 10.4034218418568 59.94312827837025)</t>
  </si>
  <si>
    <t>[1834718, 1476282]</t>
  </si>
  <si>
    <t>[1337200, 1337201]</t>
  </si>
  <si>
    <t>0.06975954827201207</t>
  </si>
  <si>
    <t>[1357088, 1337200]</t>
  </si>
  <si>
    <t>331.30499674477085</t>
  </si>
  <si>
    <t>[-0.003, 0.05]</t>
  </si>
  <si>
    <t>LINESTRING (10.4034218418568 59.94312827837025, 10.401946288668885 59.94528113499433, 10.40179124525061 59.94539848582666)</t>
  </si>
  <si>
    <t>[1537034, 1501328]</t>
  </si>
  <si>
    <t>[357026, 1358090]</t>
  </si>
  <si>
    <t>0.017237980795054647</t>
  </si>
  <si>
    <t>[1337213, 357026]</t>
  </si>
  <si>
    <t>[0.003, 0.05]</t>
  </si>
  <si>
    <t>41.09407989002863</t>
  </si>
  <si>
    <t>124.05599094637583</t>
  </si>
  <si>
    <t>[-0.015, 0.001]</t>
  </si>
  <si>
    <t>LINESTRING (10.440645729813081 59.83261342722546, 10.440769057912302 59.832661326301064, 10.44108227228804 59.83282688584367)</t>
  </si>
  <si>
    <t>[1540436, 1540444]</t>
  </si>
  <si>
    <t>[1391862, 1353166]</t>
  </si>
  <si>
    <t>[1362910, 1391862]</t>
  </si>
  <si>
    <t>[0.015, 0.001]</t>
  </si>
  <si>
    <t>34.56145712832047</t>
  </si>
  <si>
    <t>[-0.035, 0.008]</t>
  </si>
  <si>
    <t>LINESTRING (10.440491319233086 59.832685503287294, 10.440611108783212 59.83271879998603, 10.44108227228804 59.83282688584367)</t>
  </si>
  <si>
    <t>[1544188, 1544196]</t>
  </si>
  <si>
    <t>[1394961, 1353166]</t>
  </si>
  <si>
    <t>[1362917, 1394961]</t>
  </si>
  <si>
    <t>[0.035, 0.008]</t>
  </si>
  <si>
    <t>36.936411583845185</t>
  </si>
  <si>
    <t>55277.0</t>
  </si>
  <si>
    <t>35.157640307508856</t>
  </si>
  <si>
    <t>[-0.161, 0.046]</t>
  </si>
  <si>
    <t>LINESTRING (10.442253975792907 59.83375700779253, 10.442421762731419 59.83387524855789, 10.442540092300698 59.834014257423114)</t>
  </si>
  <si>
    <t>[2069343, 2069351]</t>
  </si>
  <si>
    <t>[1360806, 1353172]</t>
  </si>
  <si>
    <t>[1353167, 1360806]</t>
  </si>
  <si>
    <t>[0.161, 0.046]</t>
  </si>
  <si>
    <t>33.63559027559407</t>
  </si>
  <si>
    <t>[-0.007, 0.011, -0.012, -0.036]</t>
  </si>
  <si>
    <t>LINESTRING (10.813131119580207 59.68869783124236, 10.813087519216804 59.68875353410371, 10.812972949354572 59.688807868527824, 10.812781046737495 59.68882637344982, 10.812604540660832 59.68878431789012)</t>
  </si>
  <si>
    <t>[1494912, 1494920, 1494928, 1494936]</t>
  </si>
  <si>
    <t>[1353284, 1353292, 476406, 1353307]</t>
  </si>
  <si>
    <t>[1353283, 1353284, 1353292, 476406]</t>
  </si>
  <si>
    <t>[0.007, 0.011, 0.012, 0.036]</t>
  </si>
  <si>
    <t>37.52571579041069</t>
  </si>
  <si>
    <t>[-0.035, -0.048]</t>
  </si>
  <si>
    <t>LINESTRING (10.813037187666282 59.68855150577614, 10.813121285971121 59.6886185718257, 10.813131119580207 59.68869783124236)</t>
  </si>
  <si>
    <t>[1494991, 1494999]</t>
  </si>
  <si>
    <t>[1353364, 1353283]</t>
  </si>
  <si>
    <t>[1353354, 1353364]</t>
  </si>
  <si>
    <t>[0.035, 0.048]</t>
  </si>
  <si>
    <t>17.69893215061782</t>
  </si>
  <si>
    <t>LINESTRING (10.813678851640168 59.68855619918939, 10.813240009952144 59.68866858130223, 10.813131119580207 59.68869783124236)</t>
  </si>
  <si>
    <t>[1552215, 1552223]</t>
  </si>
  <si>
    <t>[1401102, 1353283]</t>
  </si>
  <si>
    <t>[1359857, 1401102]</t>
  </si>
  <si>
    <t>34.85320390964126</t>
  </si>
  <si>
    <t>[-0.036, 0.056]</t>
  </si>
  <si>
    <t>LINESTRING (10.812604540660832 59.68878431789012, 10.81252026585961 59.688717245856395, 10.81252033693716 59.68861852159878)</t>
  </si>
  <si>
    <t>[1494944, 1494951]</t>
  </si>
  <si>
    <t>[1353314, 1353323]</t>
  </si>
  <si>
    <t>0.014973149119336972</t>
  </si>
  <si>
    <t>[1353307, 1353314]</t>
  </si>
  <si>
    <t>[0.036, 0.056]</t>
  </si>
  <si>
    <t>19.856584148656268</t>
  </si>
  <si>
    <t>[0.15, -0.001]</t>
  </si>
  <si>
    <t>LINESTRING (10.812604540660832 59.68878431789012, 10.812452405344668 59.6887836194526, 10.811917994122686 59.68880598656076)</t>
  </si>
  <si>
    <t>[1552231, 1552239]</t>
  </si>
  <si>
    <t>[1401116, 1389037]</t>
  </si>
  <si>
    <t>0.03237306464959707</t>
  </si>
  <si>
    <t>[1353307, 1401116]</t>
  </si>
  <si>
    <t>[0.15, 0.001]</t>
  </si>
  <si>
    <t>38.782731156297984</t>
  </si>
  <si>
    <t>[0.054, 0.046, 0.023, -0.006]</t>
  </si>
  <si>
    <t>LINESTRING (10.81252033693716 59.68861852159878, 10.81257740804373 59.68856603672675, 10.812704533587002 59.68851938695916, 10.812860505544784 59.68850944491204, 10.813037187666282 59.68855150577614)</t>
  </si>
  <si>
    <t>[1494959, 1494967, 1494975, 1494983]</t>
  </si>
  <si>
    <t>[476396, 1353336, 1353346, 1353354]</t>
  </si>
  <si>
    <t>0.02558258692976239</t>
  </si>
  <si>
    <t>[1353323, 476396, 1353336, 1353346]</t>
  </si>
  <si>
    <t>[0.054, 0.046, 0.023, 0.006]</t>
  </si>
  <si>
    <t>35.383810600921954</t>
  </si>
  <si>
    <t>[0.02, 0.025]</t>
  </si>
  <si>
    <t>LINESTRING (10.81252033693716 59.68861852159878, 10.812382794606096 59.688660998953864, 10.811917994122686 59.68880598656076)</t>
  </si>
  <si>
    <t>[1542252, 1542260]</t>
  </si>
  <si>
    <t>[1393281, 1389037]</t>
  </si>
  <si>
    <t>0.023860680325048407</t>
  </si>
  <si>
    <t>[1353323, 1393281]</t>
  </si>
  <si>
    <t>39.85032208082174</t>
  </si>
  <si>
    <t>[0.009, 0.198]</t>
  </si>
  <si>
    <t>LINESTRING (10.813678851640168 59.68855619918939, 10.813182258081467 59.68855706701076, 10.813037187666282 59.68855150577614)</t>
  </si>
  <si>
    <t>[1542236, 1542244]</t>
  </si>
  <si>
    <t>[1393266, 1353354]</t>
  </si>
  <si>
    <t>0.051711912363015415</t>
  </si>
  <si>
    <t>[1359857, 1393266]</t>
  </si>
  <si>
    <t>36.270123049725214</t>
  </si>
  <si>
    <t>7.885285790560128</t>
  </si>
  <si>
    <t>[0.258, 0.025, 0.019, 0.025, -0.176]</t>
  </si>
  <si>
    <t>LINESTRING (10.634188539615005 59.91328572180116, 10.6341510988465 59.91323628060389, 10.634113857705177 59.91317878883706, 10.634087771449737 59.91313206230058, 10.63394782438194 59.91256295853968, 10.634006258718511 59.912512021829606)</t>
  </si>
  <si>
    <t>[1503995, 1504003, 1504011, 1504025, 1504032]</t>
  </si>
  <si>
    <t>[1360102, 1360109, 1360115, 1360125, 1353435]</t>
  </si>
  <si>
    <t>0.025271644902892562</t>
  </si>
  <si>
    <t>[1353406, 1360102, 1360109, 1360115, 1360125]</t>
  </si>
  <si>
    <t>[0.258, 0.025, 0.019, 0.025, 0.176]</t>
  </si>
  <si>
    <t>89.3414517854626</t>
  </si>
  <si>
    <t>[0.028, -0.015, -0.038, -0.021, -0.027, -0.23]</t>
  </si>
  <si>
    <t>LINESTRING (10.634165160224113 59.912550178339906, 10.634140203157122 59.91261084936914, 10.634242519242653 59.91311973248686, 10.63424814867944 59.91312785051145, 10.63427407963557 59.913168816732735, 10.634310419842869 59.91322117988038, 10.63432836251394 59.91327699730371)</t>
  </si>
  <si>
    <t>[1504185, 1504209, 1504217, 1504240, 1504241, 1504249]</t>
  </si>
  <si>
    <t>[1360248, 1360271, 1360276, 1360294, 1360295, 1353413]</t>
  </si>
  <si>
    <t>[1353510, 1360248, 1360271, 1360276, 1360294, 1360295]</t>
  </si>
  <si>
    <t>[0.028, 0.015, 0.038, 0.021, 0.027, 0.23]</t>
  </si>
  <si>
    <t>83.47215959982923</t>
  </si>
  <si>
    <t>[0.014, 0.019, 0.02, 0.025, 0.022, 0.009, 0.008]</t>
  </si>
  <si>
    <t>LINESTRING (10.634006258718511 59.912512021829606, 10.633926813291499 59.91244812111668, 10.633914505900357 59.91238173566529, 10.633953543126147 59.91232524563684, 10.634118202038444 59.91225946138211, 10.634181500198567 59.91225281160394, 10.634274763318354 59.912255230973116, 10.634354749542162 59.912269826174935)</t>
  </si>
  <si>
    <t>[1495071, 1495079, 1495087, 1495095, 1495103, 1495111, 1495119]</t>
  </si>
  <si>
    <t>[1353436, 1353442, 1353451, 479972, 1353463, 1353471, 1353478]</t>
  </si>
  <si>
    <t>0.017806030842318552</t>
  </si>
  <si>
    <t>[1353435, 1353436, 1353442, 1353451, 479972, 1353463, 1353471]</t>
  </si>
  <si>
    <t>48.05492402789493</t>
  </si>
  <si>
    <t>9.857452256903668</t>
  </si>
  <si>
    <t>9.439483090022541</t>
  </si>
  <si>
    <t>[-0.015, 0.007, 0.004, 0.047]</t>
  </si>
  <si>
    <t>LINESTRING (10.634354749542162 59.912269826174935, 10.634424475560492 59.91222016310723, 10.634569285821218 59.91214693965303, 10.634915940411716 59.91189291074285, 10.634960012133114 59.911838152121824)</t>
  </si>
  <si>
    <t>[1504040, 1504048, 1504062, 1504070]</t>
  </si>
  <si>
    <t>[1360135, 1360141, 1360151, 1360158]</t>
  </si>
  <si>
    <t>0.007167435976626232</t>
  </si>
  <si>
    <t>[1353478, 1360135, 1360141, 1360151]</t>
  </si>
  <si>
    <t>[0.015, 0.007, 0.004, 0.047]</t>
  </si>
  <si>
    <t>59.62941954232226</t>
  </si>
  <si>
    <t>[-0.028, -0.033, -0.037, -0.012]</t>
  </si>
  <si>
    <t>LINESTRING (10.634473933675576 59.91232975727208, 10.634507262302153 59.91237982634294, 10.634505624861673 59.91243202677645, 10.634459254476456 59.91248614250811, 10.634165160224113 59.912550178339906)</t>
  </si>
  <si>
    <t>[1495135, 1495143, 1495151, 1495159]</t>
  </si>
  <si>
    <t>[339795, 1353498, 339773, 1353510]</t>
  </si>
  <si>
    <t>[1353488, 339795, 1353498, 339773]</t>
  </si>
  <si>
    <t>[0.028, 0.033, 0.037, 0.012]</t>
  </si>
  <si>
    <t>37.00358422418287</t>
  </si>
  <si>
    <t>[-0.025, 0.008, -0.012, 0.036]</t>
  </si>
  <si>
    <t>LINESTRING (10.635110387741932 59.91187276951369, 10.635082370468165 59.91192990408952, 10.63469868212517 59.91220015925869, 10.634577563897372 59.912280589286134, 10.634473933675576 59.91232975727208)</t>
  </si>
  <si>
    <t>[1504167, 1504168, 1504175, 1504184]</t>
  </si>
  <si>
    <t>[1360234, 1360235, 1360241, 1353488]</t>
  </si>
  <si>
    <t>0.004541678483683629</t>
  </si>
  <si>
    <t>[1360233, 1360234, 1360235, 1360241]</t>
  </si>
  <si>
    <t>[0.025, 0.008, 0.012, 0.036]</t>
  </si>
  <si>
    <t>62.96630917980842</t>
  </si>
  <si>
    <t>2.3935450696340403</t>
  </si>
  <si>
    <t>LINESTRING (10.596554218481302 59.90383651700933, 10.596563923257081 59.903784270944726, 10.596638503236393 59.90374393496668)</t>
  </si>
  <si>
    <t>[1495278, 1495286]</t>
  </si>
  <si>
    <t>[1353619, 1353539]</t>
  </si>
  <si>
    <t>[1353611, 1353619]</t>
  </si>
  <si>
    <t>11.983187550520018</t>
  </si>
  <si>
    <t>[0.025, 0.755]</t>
  </si>
  <si>
    <t>LINESTRING (10.596206334226922 59.90368304270607, 10.596504437219439 59.903721202321336, 10.596638503236393 59.90374393496668)</t>
  </si>
  <si>
    <t>[1554079, 1554087]</t>
  </si>
  <si>
    <t>[1402620, 1353539]</t>
  </si>
  <si>
    <t>0.25258775973774983</t>
  </si>
  <si>
    <t>[1360773, 1402620]</t>
  </si>
  <si>
    <t>25.407894508220902</t>
  </si>
  <si>
    <t>[-0.015, -0.006]</t>
  </si>
  <si>
    <t>LINESTRING (10.596677343589857 59.903734956202314, 10.596756316197844 59.90373425374126, 10.596841242091678 59.90374886703964)</t>
  </si>
  <si>
    <t>[1495207, 1495215]</t>
  </si>
  <si>
    <t>[1353547, 1353554]</t>
  </si>
  <si>
    <t>[1353540, 1353547]</t>
  </si>
  <si>
    <t>[0.015, 0.006]</t>
  </si>
  <si>
    <t>9.447149762426871</t>
  </si>
  <si>
    <t>[-0.728, 0.032]</t>
  </si>
  <si>
    <t>LINESTRING (10.596677343589857 59.903734956202314, 10.596710209441357 59.90367154301989, 10.596804239926332 59.90352140155642)</t>
  </si>
  <si>
    <t>[1554167, 1554175]</t>
  </si>
  <si>
    <t>[1402684, 1360779]</t>
  </si>
  <si>
    <t>[1353540, 1402684]</t>
  </si>
  <si>
    <t>[0.728, 0.032]</t>
  </si>
  <si>
    <t>24.84443460716522</t>
  </si>
  <si>
    <t>[0.01, 0.023, 0.026, 0.022, 0.008, -0.003, -0.008]</t>
  </si>
  <si>
    <t>LINESTRING (10.596841242091678 59.90374886703964, 10.596904846156693 59.90385094837466, 10.596847942629578 59.90389204687973, 10.596775618329755 59.903911190924696, 10.596691482337095 59.903911405873835, 10.59661867006655 59.90389467994055, 10.596571330234225 59.90386367184501, 10.596554218481302 59.90383651700933)</t>
  </si>
  <si>
    <t>[1495223, 1495231, 1495239, 1495247, 1495255, 1495263, 1495271]</t>
  </si>
  <si>
    <t>[1353562, 1353571, 1353577, 1353588, 1353597, 1353604, 1353611]</t>
  </si>
  <si>
    <t>0.012021155424917435</t>
  </si>
  <si>
    <t>[1353554, 1353562, 1353571, 1353577, 1353588, 1353597, 1353604]</t>
  </si>
  <si>
    <t>[0.01, 0.023, 0.026, 0.022, 0.008, 0.003, 0.008]</t>
  </si>
  <si>
    <t>39.36244945000002</t>
  </si>
  <si>
    <t>[-0.647, 0.014]</t>
  </si>
  <si>
    <t>LINESTRING (10.596841242091678 59.90374886703964, 10.596842649849437 59.903680750119, 10.596804239926332 59.90352140155642)</t>
  </si>
  <si>
    <t>[1544076, 1544084]</t>
  </si>
  <si>
    <t>[1394875, 1360779]</t>
  </si>
  <si>
    <t>[1353554, 1394875]</t>
  </si>
  <si>
    <t>[0.647, 0.014]</t>
  </si>
  <si>
    <t>25.4808741817538</t>
  </si>
  <si>
    <t>[0.012, 0.82]</t>
  </si>
  <si>
    <t>LINESTRING (10.596206334226922 59.90368304270607, 10.596451815462027 59.90378724559752, 10.596554218481302 59.90383651700933)</t>
  </si>
  <si>
    <t>[1544060, 1544068]</t>
  </si>
  <si>
    <t>[1394862, 1353611]</t>
  </si>
  <si>
    <t>0.2593591139853672</t>
  </si>
  <si>
    <t>[1360773, 1394862]</t>
  </si>
  <si>
    <t>25.93054931551596</t>
  </si>
  <si>
    <t>[-0.084, -0.025, 0.029, 0.113, 0.083, 0.09, 0.069, 0.0, -0.037, -0.088]</t>
  </si>
  <si>
    <t>LINESTRING (10.581241218650682 59.90039017553377, 10.581321593132188 59.90034566315065, 10.581412985389248 59.90034776126245, 10.581469647527761 59.90037381859713, 10.581484452778538 59.900396006223254, 10.581473777870837 59.90043089015905, 10.581414588242302 59.90046041282755, 10.581369442500478 59.900466189750304, 10.581314633796808 59.90046238863322, 10.581264582433866 59.90044234456078, 10.581241218650682 59.90039017553377)</t>
  </si>
  <si>
    <t>[1495366, 1495374, 1495382, 1495390, 1495398, 1495326, 1495334, 1495342, 1495350, 1495358]</t>
  </si>
  <si>
    <t>[1353692, 1353695, 1353701, 1353709, 1353661, 1353662, 523555, 1353671, 1353678, 1353683]</t>
  </si>
  <si>
    <t>[1353683, 1353692, 1353695, 1353701, 1353709, 1353661, 1353662, 523555, 1353671, 1353678]</t>
  </si>
  <si>
    <t>[0.084, 0.025, 0.029, 0.113, 0.083, 0.09, 0.069, 0.0, 0.037, 0.088]</t>
  </si>
  <si>
    <t>42.58128745657701</t>
  </si>
  <si>
    <t>[-0.139, 0.02, 0.0, -0.051]</t>
  </si>
  <si>
    <t>LINESTRING (10.581241218650682 59.90039017553377, 10.58115436985421 59.9003780141786, 10.580766678383322 59.900322789909715, 10.576060067507981 59.89929267986191, 10.575915842591074 59.89917485432226)</t>
  </si>
  <si>
    <t>[1505004, 1505005, 1505008, 1554215]</t>
  </si>
  <si>
    <t>[1360960, 1360961, 1360964, 1401584]</t>
  </si>
  <si>
    <t>[1353683, 1360960, 1360961, 1360964]</t>
  </si>
  <si>
    <t>[0.139, 0.02, 0.0, 0.051]</t>
  </si>
  <si>
    <t>331.25544258930483</t>
  </si>
  <si>
    <t>22.107745919226684</t>
  </si>
  <si>
    <t>8.977621288427235</t>
  </si>
  <si>
    <t>[-0.008, 0.013, 0.056, -0.027, 0.055]</t>
  </si>
  <si>
    <t>LINESTRING (10.519996955724658 59.885446933026, 10.52010730126019 59.88549116055357, 10.520430705435329 59.88569372869189, 10.52116729899597 59.88609130797113, 10.523699772031238 59.88709373629425, 10.523703619220509 59.88716690893868)</t>
  </si>
  <si>
    <t>[1554335, 1505369, 1505370, 1505377, 1505378]</t>
  </si>
  <si>
    <t>[1361301, 1361302, 1361303, 1361310, 1353722]</t>
  </si>
  <si>
    <t>[1394062, 1361301, 1361302, 1361303, 1361310]</t>
  </si>
  <si>
    <t>[0.008, 0.013, 0.056, 0.027, 0.055]</t>
  </si>
  <si>
    <t>320.0851168157301</t>
  </si>
  <si>
    <t>LINESTRING (10.523815361403626 59.8873313909915, 10.52376952385452 59.887353635686146, 10.523682664046648 59.88737553644477)</t>
  </si>
  <si>
    <t>[1495414, 1495422]</t>
  </si>
  <si>
    <t>[1353728, 1353738]</t>
  </si>
  <si>
    <t>0.015207944741314148</t>
  </si>
  <si>
    <t>[1353723, 1353728]</t>
  </si>
  <si>
    <t>9.012027200769188</t>
  </si>
  <si>
    <t>[0.006, 0.009, 0.035]</t>
  </si>
  <si>
    <t>LINESTRING (10.524457270686517 59.88772581766067, 10.524389954981084 59.88769098118851, 10.523905959018041 59.887365149550064, 10.523815361403626 59.8873313909915)</t>
  </si>
  <si>
    <t>[1554303, 1554311, 1554319]</t>
  </si>
  <si>
    <t>[1402791, 1402797, 1353723]</t>
  </si>
  <si>
    <t>0.011590790699438044</t>
  </si>
  <si>
    <t>[1357632, 1402791, 1402797]</t>
  </si>
  <si>
    <t>57.12846557890308</t>
  </si>
  <si>
    <t>11.193943583356045</t>
  </si>
  <si>
    <t>[0.007, 0.011, 0.058]</t>
  </si>
  <si>
    <t>LINESTRING (10.524339970081758 59.88778039805526, 10.524279521555517 59.88774028245241, 10.523767547211017 59.88741080030831, 10.523682664046648 59.88737553644477)</t>
  </si>
  <si>
    <t>[1544124, 1544132, 1544140]</t>
  </si>
  <si>
    <t>[1394914, 1394918, 1353738]</t>
  </si>
  <si>
    <t>0.015567417078340477</t>
  </si>
  <si>
    <t>[1357621, 1394914, 1394918]</t>
  </si>
  <si>
    <t>58.56382210677853</t>
  </si>
  <si>
    <t>13.493566679386904</t>
  </si>
  <si>
    <t>8.83828722136492</t>
  </si>
  <si>
    <t>[0.019, 0.005, -0.017, 0.024]</t>
  </si>
  <si>
    <t>LINESTRING (10.522957925383762 59.887680915107424, 10.523023855905906 59.887616610521, 10.523213072941166 59.88743419643487, 10.523336408924743 59.88732673634694, 10.523444532435668 59.887233758846534)</t>
  </si>
  <si>
    <t>[1505400, 1505423, 1505424, 1505431]</t>
  </si>
  <si>
    <t>[1361334, 1361358, 1361359, 1353753]</t>
  </si>
  <si>
    <t>0.005646684085391983</t>
  </si>
  <si>
    <t>[1361333, 1361334, 1361358, 1361359]</t>
  </si>
  <si>
    <t>[0.019, 0.005, 0.017, 0.024]</t>
  </si>
  <si>
    <t>56.817510873609315</t>
  </si>
  <si>
    <t>[-0.002, -0.006, 0.121]</t>
  </si>
  <si>
    <t>LINESTRING (10.523394548020743 59.886751503835185, 10.523410707733248 59.88680421365853, 10.523522279276118 59.88711827196466, 10.52354366260515 59.887172058852094)</t>
  </si>
  <si>
    <t>[1505344, 1505345, 1505352]</t>
  </si>
  <si>
    <t>[1361275, 1361276, 1353760]</t>
  </si>
  <si>
    <t>0.010805154913882398</t>
  </si>
  <si>
    <t>[1361274, 1361275, 1361276]</t>
  </si>
  <si>
    <t>[0.002, 0.006, 0.121]</t>
  </si>
  <si>
    <t>47.61273602945009</t>
  </si>
  <si>
    <t>6.041522987158584</t>
  </si>
  <si>
    <t>[-0.015, -0.005]</t>
  </si>
  <si>
    <t>LINESTRING (10.501187537536852 59.8751614594268, 10.501245533308579 59.875182329388544, 10.50132324715022 59.87524254474126)</t>
  </si>
  <si>
    <t>[1495535, 1495543]</t>
  </si>
  <si>
    <t>[1353835, 1353773]</t>
  </si>
  <si>
    <t>[1353828, 1353835]</t>
  </si>
  <si>
    <t>[0.015, 0.005]</t>
  </si>
  <si>
    <t>11.99624824038975</t>
  </si>
  <si>
    <t>[0.108, 0.018]</t>
  </si>
  <si>
    <t>LINESTRING (10.501476532886207 59.875061629389904, 10.501371839301417 59.87519029286254, 10.50132324715022 59.87524254474126)</t>
  </si>
  <si>
    <t>[1540308, 1540316]</t>
  </si>
  <si>
    <t>[1391766, 1353773]</t>
  </si>
  <si>
    <t>0.08160742410470069</t>
  </si>
  <si>
    <t>[1361481, 1391766]</t>
  </si>
  <si>
    <t>21.92189115984385</t>
  </si>
  <si>
    <t>18.023709532817918</t>
  </si>
  <si>
    <t>[-0.015, 0.007, 0.509]</t>
  </si>
  <si>
    <t>LINESTRING (10.501339245808383 59.875296152048264, 10.501345530231301 59.875342232438825, 10.498987228918859 59.87339869872605, 10.498856165827595 59.873302814008795)</t>
  </si>
  <si>
    <t>[1505484, 1505492, 1540276]</t>
  </si>
  <si>
    <t>[1361415, 1361421, 1391741]</t>
  </si>
  <si>
    <t>0.023030561380671916</t>
  </si>
  <si>
    <t>[1353774, 1361415, 1361421]</t>
  </si>
  <si>
    <t>[0.015, 0.007, 0.509]</t>
  </si>
  <si>
    <t>398.9923602199731</t>
  </si>
  <si>
    <t>11.136426715922994</t>
  </si>
  <si>
    <t>[0.064, 0.005, 0.024, -0.108]</t>
  </si>
  <si>
    <t>LINESTRING (10.50422393300456 59.87719255086153, 10.50401782770272 59.877102766825395, 10.502072097721017 59.87580638796151, 10.501208939580643 59.87545900369925, 10.501157616580727 59.875422138271134)</t>
  </si>
  <si>
    <t>[1540260, 1505442, 1505443, 1505445]</t>
  </si>
  <si>
    <t>[1361372, 1361373, 1361374, 1353780]</t>
  </si>
  <si>
    <t>0.010735879625026408</t>
  </si>
  <si>
    <t>[1391725, 1361372, 1361373, 1361374]</t>
  </si>
  <si>
    <t>[0.064, 0.005, 0.024, 0.108]</t>
  </si>
  <si>
    <t>270.1536822295136</t>
  </si>
  <si>
    <t>LINESTRING (10.500958877666516 59.875423432495246, 10.500865996515325 59.875395972864666, 10.50079844486062 59.875353192054014)</t>
  </si>
  <si>
    <t>[1495487, 1495495]</t>
  </si>
  <si>
    <t>[1353795, 1353801]</t>
  </si>
  <si>
    <t>0.011979254165906868</t>
  </si>
  <si>
    <t>[1353787, 1353795]</t>
  </si>
  <si>
    <t>12.125076041004714</t>
  </si>
  <si>
    <t>[-0.509, 0.028, -0.254]</t>
  </si>
  <si>
    <t>LINESTRING (10.500958877666516 59.875423432495246, 10.500910475678936 59.8754498262605, 10.500203234086682 59.876263119556974, 10.500197005669857 59.87630594797049)</t>
  </si>
  <si>
    <t>[2140268, 2140276, 1540340]</t>
  </si>
  <si>
    <t>[1838517, 1391789, 1358175]</t>
  </si>
  <si>
    <t>[1353787, 1838517, 1391789]</t>
  </si>
  <si>
    <t>[0.509, 0.028, 0.254]</t>
  </si>
  <si>
    <t>108.97993629730055</t>
  </si>
  <si>
    <t>[-0.012, -0.026, -0.027, -0.021]</t>
  </si>
  <si>
    <t>LINESTRING (10.50079844486062 59.875353192054014, 10.500853400146319 59.875185100609286, 10.500943231656207 59.87515579865903, 10.501085959178798 59.875145393558114, 10.501187537536852 59.8751614594268)</t>
  </si>
  <si>
    <t>[1495503, 1495511, 1495519, 1495527]</t>
  </si>
  <si>
    <t>[1353806, 1353813, 1353818, 1353828]</t>
  </si>
  <si>
    <t>[1353801, 1353806, 1353813, 1353818]</t>
  </si>
  <si>
    <t>[0.012, 0.026, 0.027, 0.021]</t>
  </si>
  <si>
    <t>39.96462890246755</t>
  </si>
  <si>
    <t>[-0.354, 0.005, 0.005]</t>
  </si>
  <si>
    <t>LINESTRING (10.50079844486062 59.875353192054014, 10.50075421504918 59.87539448638687, 10.500009524542547 59.876223269707545, 10.499971294349523 59.876258024223155)</t>
  </si>
  <si>
    <t>[2140252, 2140260, 1544180]</t>
  </si>
  <si>
    <t>[1838505, 1394953, 1358163]</t>
  </si>
  <si>
    <t>[1353801, 1838505, 1394953]</t>
  </si>
  <si>
    <t>[0.354, 0.005, 0.005]</t>
  </si>
  <si>
    <t>111.02923347033396</t>
  </si>
  <si>
    <t>[0.082, 0.152]</t>
  </si>
  <si>
    <t>LINESTRING (10.501476532886207 59.875061629389904, 10.501239149983304 59.87513817015296, 10.501187537536852 59.8751614594268)</t>
  </si>
  <si>
    <t>[1544164, 1544172]</t>
  </si>
  <si>
    <t>[1394941, 1353828]</t>
  </si>
  <si>
    <t>0.09581675439569434</t>
  </si>
  <si>
    <t>[1361481, 1394941]</t>
  </si>
  <si>
    <t>19.68735331513362</t>
  </si>
  <si>
    <t>[0.07, -0.019, -0.085, -0.101]</t>
  </si>
  <si>
    <t>LINESTRING (10.503080317635051 59.87443300341238, 10.503210069284673 59.87447880949662, 10.503244203562174 59.87454382856102, 10.503196431432 59.87460604657794, 10.502935062251856 59.874633980067074)</t>
  </si>
  <si>
    <t>[1495551, 1495559, 1495567, 1495575]</t>
  </si>
  <si>
    <t>[1353847, 1353854, 1353859, 1353867]</t>
  </si>
  <si>
    <t>[1353846, 1353847, 1353854, 1353859]</t>
  </si>
  <si>
    <t>[0.07, 0.019, 0.085, 0.101]</t>
  </si>
  <si>
    <t>39.66673583164089</t>
  </si>
  <si>
    <t>17.753218395385208</t>
  </si>
  <si>
    <t>[-0.462, -0.016, -0.004, 0.015, -0.024]</t>
  </si>
  <si>
    <t>LINESTRING (10.499145326866698 59.87328266597667, 10.49934398427416 59.87331437713798, 10.502069099170605 59.874045639885665, 10.502843030303762 59.87420365529726, 10.503046251778875 59.874378454723775, 10.503080317635051 59.87443300341238)</t>
  </si>
  <si>
    <t>[1540284, 1505532, 1505539, 1505540, 1505547]</t>
  </si>
  <si>
    <t>[1361462, 1361463, 1361470, 1361471, 1353846]</t>
  </si>
  <si>
    <t>[1391750, 1361462, 1361463, 1361470, 1361471]</t>
  </si>
  <si>
    <t>[0.462, 0.016, 0.004, 0.015, 0.024]</t>
  </si>
  <si>
    <t>266.620962089409</t>
  </si>
  <si>
    <t>[0.002, 0.027]</t>
  </si>
  <si>
    <t>LINESTRING (10.502935062251856 59.874633980067074, 10.50285407633034 59.874597935443575, 10.502821529456833 59.8745608494875)</t>
  </si>
  <si>
    <t>[1495583, 1495591]</t>
  </si>
  <si>
    <t>[1353873, 1353882]</t>
  </si>
  <si>
    <t>0.012676940664941454</t>
  </si>
  <si>
    <t>[1353867, 1353873]</t>
  </si>
  <si>
    <t>10.578270829148034</t>
  </si>
  <si>
    <t>[-0.038, -0.012]</t>
  </si>
  <si>
    <t>LINESTRING (10.502935062251856 59.874633980067074, 10.502842968767302 59.87466680322853, 10.502444748245466 59.87474659553246)</t>
  </si>
  <si>
    <t>[1540292, 1540300]</t>
  </si>
  <si>
    <t>[1391756, 1361480]</t>
  </si>
  <si>
    <t>[1353867, 1391756]</t>
  </si>
  <si>
    <t>[0.038, 0.012]</t>
  </si>
  <si>
    <t>30.490276569593746</t>
  </si>
  <si>
    <t>6.0033324079218415</t>
  </si>
  <si>
    <t>[0.046, -0.041]</t>
  </si>
  <si>
    <t>LINESTRING (10.502821529456833 59.8745608494875, 10.502740809902427 59.874602155461446, 10.502444748245466 59.87474659553246)</t>
  </si>
  <si>
    <t>[1544148, 1544156]</t>
  </si>
  <si>
    <t>[1394931, 1361480]</t>
  </si>
  <si>
    <t>[1353882, 1394931]</t>
  </si>
  <si>
    <t>29.892145034263045</t>
  </si>
  <si>
    <t>[0.062, -0.017, 0.003, -0.007, 0.063]</t>
  </si>
  <si>
    <t>LINESTRING (10.502825236105942 59.87450701703151, 10.502813068693813 59.87440630867124, 10.502153633416432 59.874820229802864, 10.50227265610874 59.87491703002053, 10.50345692750565 59.876144698215604, 10.503453342696687 59.876197635511446)</t>
  </si>
  <si>
    <t>[1505555, 1505556, 1505563, 1505564, 1540348]</t>
  </si>
  <si>
    <t>[1361486, 1361487, 1361494, 1361495, 1391796]</t>
  </si>
  <si>
    <t>[1353889, 1361486, 1361487, 1361494, 1361495]</t>
  </si>
  <si>
    <t>[0.062, 0.017, 0.003, 0.007, 0.063]</t>
  </si>
  <si>
    <t>321.3091487282097</t>
  </si>
  <si>
    <t>[-0.06, -0.049, -0.103, -0.091, -0.071, -0.075, -0.056, -0.044, -0.038, -0.054, -0.026]</t>
  </si>
  <si>
    <t>LINESTRING (11.409586913051166 60.14869726179424, 11.410601480076927 60.149469538387415, 11.411393546334883 60.150148391517234, 11.41140936107504 60.15015958797232, 11.4114913841379 60.15022654360318, 11.411532070183265 60.15026341900665, 11.411606244776266 60.15034861399849, 11.411751352809437 60.15049286884834, 11.411823498984807 60.15056460765112, 11.412225223506809 60.150937085437846, 11.412428010083895 60.151102820528266, 11.412919592603457 60.15149571689734)</t>
  </si>
  <si>
    <t>[1540528, 1540536, 1540544, 1540552, 1540560, 1540568, 1540576, 1540584, 1540592, 1540600, 1540608]</t>
  </si>
  <si>
    <t>[1391933, 1368573, 1391949, 487523, 1391963, 1391968, 1391974, 1391980, 1391987, 1391995, 1354126]</t>
  </si>
  <si>
    <t>[1354120, 1391933, 1368573, 1391949, 487523, 1391963, 1391968, 1391974, 1391980, 1391987, 1391995]</t>
  </si>
  <si>
    <t>[0.06, 0.049, 0.103, 0.091, 0.071, 0.075, 0.056, 0.044, 0.038, 0.054, 0.026]</t>
  </si>
  <si>
    <t>362.99631922598434</t>
  </si>
  <si>
    <t>[-0.068, -0.009, -0.049, -0.017, -0.07, -0.066, -0.098, -0.071, -0.053, -0.032, -0.037]</t>
  </si>
  <si>
    <t>LINESTRING (11.409586913051166 60.14869726179424, 11.410624219666792 60.14935812923495, 11.410701404996333 60.14941883339844, 11.411480140607072 60.15011478801454, 11.411492900422697 60.15012622518102, 11.411566033247823 60.15019171731331, 11.411591809315421 60.15021488619452, 11.411609703441867 60.15022966229096, 11.411718446055184 60.15031940776586, 11.411877751551971 60.150475147580735, 11.412261703619262 60.1508494083308, 11.412919592603457 60.15149571689734)</t>
  </si>
  <si>
    <t>[1540668, 1540676, 1540684, 1540692, 1540700, 1540708, 1540716, 1540724, 1540732, 1540740, 1540748]</t>
  </si>
  <si>
    <t>[1392048, 1392053, 1368572, 1392068, 1392077, 487494, 1392090, 1392098, 1392104, 1392109, 1354126]</t>
  </si>
  <si>
    <t>[1354120, 1392048, 1392053, 1368572, 1392068, 1392077, 487494, 1392090, 1392098, 1392104, 1392109]</t>
  </si>
  <si>
    <t>[0.068, 0.009, 0.049, 0.017, 0.07, 0.066, 0.098, 0.071, 0.053, 0.032, 0.037]</t>
  </si>
  <si>
    <t>364.01033829583673</t>
  </si>
  <si>
    <t>218.87749519537417</t>
  </si>
  <si>
    <t>[-0.027, 0.0, -0.031, -0.029]</t>
  </si>
  <si>
    <t>LINESTRING (11.415341997640262 60.15303987393533, 11.415658700391381 60.15326056753183, 11.415663861717686 60.153264823800725, 11.415764569007713 60.15334792152981, 11.415851268253205 60.15339610814435)</t>
  </si>
  <si>
    <t>[1540616, 1540624, 1540632, 1540640]</t>
  </si>
  <si>
    <t>[1392005, 1392011, 1392017, 1390187]</t>
  </si>
  <si>
    <t>[1354127, 1392005, 1392011, 1392017]</t>
  </si>
  <si>
    <t>[0.027, 0.0, 0.031, 0.029]</t>
  </si>
  <si>
    <t>48.81962870236259</t>
  </si>
  <si>
    <t>[-0.023, -0.003, -0.024, -0.023]</t>
  </si>
  <si>
    <t>LINESTRING (11.415341997640262 60.15303987393533, 11.415758724753868 60.153227181114865, 11.41577584105346 60.15323324418017, 11.415898849707665 60.153276814691274, 11.416035055632845 60.15333097974898)</t>
  </si>
  <si>
    <t>[1540756, 1540764, 1540772, 1540780]</t>
  </si>
  <si>
    <t>[1392120, 1392124, 1392130, 1390114]</t>
  </si>
  <si>
    <t>[1354127, 1392120, 1392124, 1392130]</t>
  </si>
  <si>
    <t>[0.023, 0.003, 0.024, 0.023]</t>
  </si>
  <si>
    <t>50.39355420208524</t>
  </si>
  <si>
    <t>[-0.011, 0.034, 0.0, 0.001, 0.007, -0.012, 0.004, -0.021, -0.011, -0.011, 0.017, 0.005, 0.017, -0.007, 0.004, -0.008, -0.008, -0.006, -0.02, -0.032, -0.055, -0.011, 0.015, 0.016, -0.054, -0.06, 0.012, 0.081, 0.08, 0.029, 0.017, 0.003, -0.003, -0.006, 0.001, -0.013, 0.007, -0.009, -0.009, 0.005, 0.003, -0.022, 0.01, 0.013, 0.002, -0.004]</t>
  </si>
  <si>
    <t>11581.0</t>
  </si>
  <si>
    <t>[0, 0, 0, 0, 0, 0, 0, 0, 0, 0, 0, 0, 0, 0, 0, 0, 0, 0, 0, 0, 0, 0, 0, 0, 0, 0, 1, 0, 0, 0, 0, 0, 0, 0, 0, 0, 0, 0, 0, 0, 0, 0, 0, 0, 0, 0]</t>
  </si>
  <si>
    <t>LINESTRING (11.42168425151438 60.15768389818416, 11.422613267470892 60.15816110386334, 11.431640745820777 60.159983160635946, 11.431789469139636 60.15997530621004, 11.43195866023209 60.1599782495344, 11.435956295651431 60.1598477790948, 11.437373441988072 60.159797410827565, 11.440459749530751 60.15969196533156, 11.442691924372204 60.159659583137255, 11.447008610060557 60.16009786833561, 11.447130143426483 60.16012264742486, 11.44991643567273 60.16069112559623, 11.454152149201589 60.16156332038775, 11.455452639056876 60.16183454792909, 11.458348502770612 60.16242855218786, 11.462291679270814 60.163524578192565, 11.466567736945297 60.16524324399426, 11.46811882510717 60.165870453826955, 11.468605630517004 60.16605699302129, 11.469466130245344 60.16636764065848, 11.469611393799461 60.16642238493614, 11.471838512565927 60.167009587917036, 11.474228519087287 60.16742786266242, 11.474727350482825 60.1675172546612, 11.476190882895965 60.16789046982591, 11.477376831098084 60.16824506561454, 11.479216607693768 60.16878786808703, 11.48086790619089 60.169272445200846, 11.481971201543779 60.16960067815139, 11.482200893192335 60.169667771535586, 11.48382938514713 60.17015101201734, 11.48931325052202 60.17177249184702, 11.490836093843578 60.1722580625386, 11.493274865179858 60.17332177063958, 11.495109657909264 60.1743103599197, 11.49600853311587 60.174781370725604, 11.496277599313883 60.17490919359654, 11.502097483354998 60.17654978496233, 11.502204961820373 60.17656668067671, 11.50232192354786 60.17659211327617, 11.504883808751416 60.17710095807932, 11.509961109286243 60.17811664066868, 11.510279441784945 60.178177157851465, 11.510393094868926 60.178198855985464, 11.51059625746713 60.178235998560154, 11.511445841505914 60.178415188286856, 11.51282157891592 60.178704287572316)</t>
  </si>
  <si>
    <t>[1495900, 1495911, 1495917, 1495931, 1495932, 1495943, 1495944, 1495963, 1495977, 1495978, 1495985, 1495986, 1495987, 1496004, 1496037, 1496052, 1496053, 1496071, 1496085, 1496088, 1496089, 1496093, 1496101, 1496102, 1496116, 1496134, 1496142, 1496150, 1496152, 1496155, 1496160, 1496168, 1496176, 1496184, 1496193, 1496203, 1496211, 1496219, 1496230, 1496238, 1496252, 1496280, 1496299, 1496300, 1496318, 1496325]</t>
  </si>
  <si>
    <t>[1354140, 487219, 1354158, 1354173, 1354174, 1354187, 1354188, 1354207, 1354219, 1354220, 1354228, 1354229, 1354230, 1354245, 1354279, 496330, 1354293, 1354304, 1354316, 1354319, 1354320, 1354325, 1354332, 1354333, 1354346, 1354359, 1354366, 1354373, 1354375, 1354377, 1354381, 1354386, 1354390, 1354396, 1354403, 1354412, 1354417, 1354422, 1354431, 1354437, 487376, 1354468, 1354485, 1354486, 1354503, 1354510]</t>
  </si>
  <si>
    <t>0.002665667327168505</t>
  </si>
  <si>
    <t>[1354139, 1354140, 487219, 1354158, 1354173, 1354174, 1354187, 1354188, 1354207, 1354219, 1354220, 1354228, 1354229, 1354230, 1354245, 1354279, 496330, 1354293, 1354304, 1354316, 1354319, 1354320, 1354325, 1354332, 1354333, 1354346, 1354359, 1354366, 1354373, 1354375, 1354377, 1354381, 1354386, 1354390, 1354396, 1354403, 1354412, 1354417, 1354422, 1354431, 1354437, 487376, 1354468, 1354485, 1354486, 1354503]</t>
  </si>
  <si>
    <t>[0.011, 0.034, 0.0, 0.001, 0.007, 0.012, 0.004, 0.021, 0.011, 0.011, 0.017, 0.005, 0.017, 0.007, 0.004, 0.008, 0.008, 0.006, 0.02, 0.032, 0.055, 0.011, 0.015, 0.016, 0.054, 0.06, 0.012, 0.081, 0.08, 0.029, 0.017, 0.003, 0.003, 0.006, 0.001, 0.013, 0.007, 0.009, 0.009, 0.005, 0.003, 0.022, 0.01, 0.013, 0.002, 0.004]</t>
  </si>
  <si>
    <t>5730.1655482479755</t>
  </si>
  <si>
    <t>LINESTRING (11.421464225193102 60.15744399405705, 11.421522500697808 60.157522560112014, 11.42168425151438 60.15768389818416)</t>
  </si>
  <si>
    <t>[1540820, 1540828]</t>
  </si>
  <si>
    <t>[1392167, 1354139]</t>
  </si>
  <si>
    <t>[1355108, 1392167]</t>
  </si>
  <si>
    <t>29.54201908130969</t>
  </si>
  <si>
    <t>LINESTRING (11.421260543288277 60.15754103857421, 11.42136504210195 60.157579932660795, 11.42168425151438 60.15768389818416)</t>
  </si>
  <si>
    <t>[1540680, 1540688]</t>
  </si>
  <si>
    <t>[1392058, 1354139]</t>
  </si>
  <si>
    <t>[1355133, 1392058]</t>
  </si>
  <si>
    <t>28.42103349944396</t>
  </si>
  <si>
    <t>[0.001, 0.003]</t>
  </si>
  <si>
    <t>LINESTRING (11.51282157891592 60.178704287572316, 11.513244093273467 60.178820459051025, 11.513741011050017 60.178898270432235)</t>
  </si>
  <si>
    <t>[1540696, 1540704]</t>
  </si>
  <si>
    <t>[1392073, 1354512]</t>
  </si>
  <si>
    <t>0.002039498630838668</t>
  </si>
  <si>
    <t>[1354510, 1392073]</t>
  </si>
  <si>
    <t>56.14694841019269</t>
  </si>
  <si>
    <t>[0.005, -0.0]</t>
  </si>
  <si>
    <t>LINESTRING (11.51282157891592 60.178704287572316, 11.513284144948063 60.17877866159774, 11.513741011050017 60.178898270432235)</t>
  </si>
  <si>
    <t>[1540836, 1540844]</t>
  </si>
  <si>
    <t>[1392180, 1354512]</t>
  </si>
  <si>
    <t>0.0024240825183032993</t>
  </si>
  <si>
    <t>[1354510, 1392180]</t>
  </si>
  <si>
    <t>55.85699454252641</t>
  </si>
  <si>
    <t>[-0.004, 0.012, 0.011, 0.003]</t>
  </si>
  <si>
    <t>LINESTRING (11.513741011050017 60.178898270432235, 11.514365580229716 60.17903154930049, 11.514462332823634 60.17905494695443, 11.514573516829014 60.17907786160329, 11.51513180379827 60.17919021289057)</t>
  </si>
  <si>
    <t>[1496332, 1496354, 1496355, 1496372]</t>
  </si>
  <si>
    <t>[1354513, 1354532, 1354533, 1354548]</t>
  </si>
  <si>
    <t>0.0011277371401002766</t>
  </si>
  <si>
    <t>[1354512, 1354513, 1354532, 1354533]</t>
  </si>
  <si>
    <t>[0.004, 0.012, 0.011, 0.003]</t>
  </si>
  <si>
    <t>83.7824789918881</t>
  </si>
  <si>
    <t>[-0.017, 0.0, -0.02]</t>
  </si>
  <si>
    <t>LINESTRING (11.51513180379827 60.17919021289057, 11.515446596375295 60.1792279758158, 11.515454791757028 60.17922997997504, 11.515881946059519 60.17934746016863)</t>
  </si>
  <si>
    <t>[1537320, 1537328, 1537336]</t>
  </si>
  <si>
    <t>[1389262, 1389271, 487460]</t>
  </si>
  <si>
    <t>[1354548, 1389262, 1389271]</t>
  </si>
  <si>
    <t>[0.017, 0.0, 0.02]</t>
  </si>
  <si>
    <t>45.55873689582833</t>
  </si>
  <si>
    <t>[-0.023, -0.016]</t>
  </si>
  <si>
    <t>LINESTRING (11.51513180379827 60.17919021289057, 11.51540411427399 60.17928352359545, 11.515881946059519 60.17934746016863)</t>
  </si>
  <si>
    <t>[1540712, 1540728]</t>
  </si>
  <si>
    <t>[1392086, 487460]</t>
  </si>
  <si>
    <t>[1354548, 1392086]</t>
  </si>
  <si>
    <t>[0.023, 0.016]</t>
  </si>
  <si>
    <t>46.01794166002523</t>
  </si>
  <si>
    <t>[0.001, -0.001, -0.01, -0.004, 0.01, 0.014, 0.009]</t>
  </si>
  <si>
    <t>LINESTRING (11.515881946059519 60.17934746016863, 11.51599481805407 60.17937199978766, 11.516118495327559 60.179396733719564, 11.517613107017146 60.17970914886309, 11.522596312808888 60.18084159678573, 11.524374412972808 60.181345645578176, 11.525842117679208 60.18176522385962, 11.528897838744525 60.18291835578463)</t>
  </si>
  <si>
    <t>[1496388, 1496389, 1496390, 1496391, 1496401, 1496402, 1496417]</t>
  </si>
  <si>
    <t>[1354563, 1354564, 1354565, 1354566, 1354570, 1354571, 1354580]</t>
  </si>
  <si>
    <t>0.002718565451587908</t>
  </si>
  <si>
    <t>[487460, 1354563, 1354564, 1354565, 1354566, 1354570, 1354571]</t>
  </si>
  <si>
    <t>[0.001, 0.001, 0.01, 0.004, 0.01, 0.014, 0.009]</t>
  </si>
  <si>
    <t>829.4696807640643</t>
  </si>
  <si>
    <t>[0.004, 0.005, 0.018, 0.0, 0.057, -0.025]</t>
  </si>
  <si>
    <t>LINESTRING (11.528897838744525 60.18291835578463, 11.529925887553635 60.18334996267559, 11.530174069564715 60.18347765103058, 11.530371265946465 60.18357929686496, 11.530374294908817 60.18358085913537, 11.531180833346436 60.18398724822481, 11.53190264776264 60.18443604445821)</t>
  </si>
  <si>
    <t>[1537344, 1537352, 1537360, 1537368, 1537376, 1537384]</t>
  </si>
  <si>
    <t>[1389285, 1363565, 1389303, 1368333, 1389318, 1354589]</t>
  </si>
  <si>
    <t>0.01129188433854137</t>
  </si>
  <si>
    <t>[1354580, 1389285, 1363565, 1389303, 1368333, 1389318]</t>
  </si>
  <si>
    <t>[0.004, 0.005, 0.018, 0.0, 0.057, 0.025]</t>
  </si>
  <si>
    <t>238.8538372316193</t>
  </si>
  <si>
    <t>[0.004, 0.004, 0.013, 0.013, 0.046, 0.032, -0.045]</t>
  </si>
  <si>
    <t>LINESTRING (11.528897838744525 60.18291835578463, 11.529817575774539 60.18341681242654, 11.53005284148841 60.18353199367672, 11.530225505027056 60.183622796272864, 11.530300839700976 60.18365938934778, 11.531163575089785 60.18410095340881, 11.531398422498759 60.184218305057456, 11.53190264776264 60.18443604445821)</t>
  </si>
  <si>
    <t>[1540760, 1540768, 1540776, 1540784, 1540792, 1540800, 1540808]</t>
  </si>
  <si>
    <t>[1392123, 1363566, 1368348, 1392139, 1392145, 1392152, 1354589]</t>
  </si>
  <si>
    <t>0.011248583623182934</t>
  </si>
  <si>
    <t>[1354580, 1392123, 1363566, 1368348, 1392139, 1392145, 1392152]</t>
  </si>
  <si>
    <t>[0.004, 0.004, 0.013, 0.013, 0.046, 0.032, 0.045]</t>
  </si>
  <si>
    <t>238.42488276737927</t>
  </si>
  <si>
    <t>[0.017, 0.03]</t>
  </si>
  <si>
    <t>LINESTRING (11.148916439605292 60.07989268740458, 11.148891156089707 60.07992431209753, 11.148828112590541 60.07995573499099)</t>
  </si>
  <si>
    <t>[1496632, 1496633]</t>
  </si>
  <si>
    <t>[1354752, 1354753]</t>
  </si>
  <si>
    <t>0.024363756658389867</t>
  </si>
  <si>
    <t>[1354748, 1354752]</t>
  </si>
  <si>
    <t>8.75255529536333</t>
  </si>
  <si>
    <t>[-0.049, -0.043, -0.018, 0.002, 0.006]</t>
  </si>
  <si>
    <t>LINESTRING (11.148916439605292 60.07989268740458, 11.149003479598322 60.07991769802765, 11.15003725607004 60.08020001561509, 11.151279825921051 60.080405004269934, 11.151587653208097 60.080407813834555, 11.151688802877365 60.08040028765992)</t>
  </si>
  <si>
    <t>[1540516, 1540524, 1540532, 1540540, 1540548]</t>
  </si>
  <si>
    <t>[1391924, 1391930, 1391937, 1391945, 1354816]</t>
  </si>
  <si>
    <t>[1354748, 1391924, 1391930, 1391937, 1391945]</t>
  </si>
  <si>
    <t>[0.049, 0.043, 0.018, 0.002, 0.006]</t>
  </si>
  <si>
    <t>167.14409633000085</t>
  </si>
  <si>
    <t>[0.004, -0.025, -0.047, -0.04]</t>
  </si>
  <si>
    <t>LINESTRING (11.148567963680344 60.079903204321354, 11.148575078257991 60.07984228403319, 11.148629679384467 60.07980612046026, 11.14873439710433 60.07978759872147, 11.148916439605292 60.07989268740458)</t>
  </si>
  <si>
    <t>[1496663, 1496671, 1496691, 1496626]</t>
  </si>
  <si>
    <t>[1354778, 1354786, 1354747, 1354748]</t>
  </si>
  <si>
    <t>[1354773, 1354778, 1354786, 1354747]</t>
  </si>
  <si>
    <t>[0.004, 0.025, 0.047, 0.04]</t>
  </si>
  <si>
    <t>35.27103810010105</t>
  </si>
  <si>
    <t>4.964876634813532</t>
  </si>
  <si>
    <t>[-0.07, -0.053, 0.023, 0.035, -0.444]</t>
  </si>
  <si>
    <t>LINESTRING (11.148828112590541 60.07995573499099, 11.148924327471695 60.079979215246844, 11.149996503253217 60.08026567288551, 11.151425659443628 60.08049977538709, 11.15160900005876 60.08051012319668, 11.151734406877985 60.08051829781265)</t>
  </si>
  <si>
    <t>[1544228, 1544236, 1544244, 1544252, 1544260]</t>
  </si>
  <si>
    <t>[1394991, 1394998, 1395006, 1395013, 1354859]</t>
  </si>
  <si>
    <t>[1354753, 1394991, 1394998, 1395006, 1395013]</t>
  </si>
  <si>
    <t>[0.07, 0.053, 0.023, 0.035, 0.444]</t>
  </si>
  <si>
    <t>174.75434656083263</t>
  </si>
  <si>
    <t>12.697203910656786</t>
  </si>
  <si>
    <t>[0.002, -0.01, -0.058]</t>
  </si>
  <si>
    <t>LINESTRING (11.148742162468782 60.07996761242584, 11.148707913165689 60.079998975721175, 11.14866189774631 60.08051810063373, 11.149484030121275 60.08057893908706)</t>
  </si>
  <si>
    <t>[1499992, 1499993, 1500001]</t>
  </si>
  <si>
    <t>[1357259, 1357260, 1357264]</t>
  </si>
  <si>
    <t>[1354756, 1357259, 1357260]</t>
  </si>
  <si>
    <t>[0.002, 0.01, 0.058]</t>
  </si>
  <si>
    <t>116.86616574972496</t>
  </si>
  <si>
    <t>[0.032, -0.007]</t>
  </si>
  <si>
    <t>LINESTRING (11.149251260760071 60.08092363879013, 11.14853274165385 60.07995783965649, 11.148567963680344 60.079903204321354)</t>
  </si>
  <si>
    <t>[1500034, 1500041]</t>
  </si>
  <si>
    <t>[1357281, 1354773]</t>
  </si>
  <si>
    <t>0.03012418712027902</t>
  </si>
  <si>
    <t>[1357271, 1357281]</t>
  </si>
  <si>
    <t>[0.032, 0.007]</t>
  </si>
  <si>
    <t>132.98184188176143</t>
  </si>
  <si>
    <t>9.723564161546271</t>
  </si>
  <si>
    <t>LINESTRING (11.151734406877985 60.08051829781265, 11.151682096838089 60.08045312948803, 11.151688802877365 60.08040028765992)</t>
  </si>
  <si>
    <t>[1496787, 1496797]</t>
  </si>
  <si>
    <t>[1354886, 1354816]</t>
  </si>
  <si>
    <t>0.020429906337843095</t>
  </si>
  <si>
    <t>[1354859, 1354886]</t>
  </si>
  <si>
    <t>13.724096975791795</t>
  </si>
  <si>
    <t>21.50984386623503</t>
  </si>
  <si>
    <t>[0.331, -0.009, -0.013]</t>
  </si>
  <si>
    <t>LINESTRING (11.151782673288665 60.080326702388284, 11.151789415033653 60.080260755125856, 11.149549530574335 60.082788329512674, 11.14935060192636 60.08290951555173)</t>
  </si>
  <si>
    <t>[1500063, 1500071, 1551951]</t>
  </si>
  <si>
    <t>[1357292, 1357298, 1363242]</t>
  </si>
  <si>
    <t>[1354817, 1357292, 1357298]</t>
  </si>
  <si>
    <t>[0.331, 0.009, 0.013]</t>
  </si>
  <si>
    <t>382.92102288529253</t>
  </si>
  <si>
    <t>5.89061966189201</t>
  </si>
  <si>
    <t>[0.019, -0.183]</t>
  </si>
  <si>
    <t>LINESTRING (11.151667530769293 60.07992574945196, 11.152031392146133 60.0802518202075, 11.152142494000184 60.0803284631751)</t>
  </si>
  <si>
    <t>[1499979, 2127169]</t>
  </si>
  <si>
    <t>[1357252, 1354830]</t>
  </si>
  <si>
    <t>[1357251, 1357252]</t>
  </si>
  <si>
    <t>[0.019, 0.183]</t>
  </si>
  <si>
    <t>52.28502647354301</t>
  </si>
  <si>
    <t>[-0.016, -0.017]</t>
  </si>
  <si>
    <t>LINESTRING (11.152208754997059 60.08036967649379, 11.152239733923363 60.08042028984297, 11.152219028620609 60.08048980371658)</t>
  </si>
  <si>
    <t>[1496739, 1496747]</t>
  </si>
  <si>
    <t>[1354842, 1354848]</t>
  </si>
  <si>
    <t>[1354835, 1354842]</t>
  </si>
  <si>
    <t>[0.016, 0.017]</t>
  </si>
  <si>
    <t>13.72909259797094</t>
  </si>
  <si>
    <t>[0.004, -0.017]</t>
  </si>
  <si>
    <t>LINESTRING (11.152208754997059 60.08036967649379, 11.152324890082348 60.08036185814891, 11.15311613840974 60.08030170380216)</t>
  </si>
  <si>
    <t>[1540580, 1540588]</t>
  </si>
  <si>
    <t>[1391977, 1391983]</t>
  </si>
  <si>
    <t>[1354835, 1391977]</t>
  </si>
  <si>
    <t>[0.004, 0.017]</t>
  </si>
  <si>
    <t>51.176937911831054</t>
  </si>
  <si>
    <t>[-0.014, 0.002]</t>
  </si>
  <si>
    <t>LINESTRING (11.152219028620609 60.08048980371658, 11.152005032083675 60.080573644201685, 11.151734406877985 60.08051829781265)</t>
  </si>
  <si>
    <t>[1496759, 1496760]</t>
  </si>
  <si>
    <t>[1354858, 1354859]</t>
  </si>
  <si>
    <t>[1354848, 1354858]</t>
  </si>
  <si>
    <t>[0.014, 0.002]</t>
  </si>
  <si>
    <t>32.5523233794658</t>
  </si>
  <si>
    <t>[0.275, -0.044, -0.027, -0.003, -0.364]</t>
  </si>
  <si>
    <t>LINESTRING (11.152219028620609 60.08048980371658, 11.152350749239488 60.08046406504105, 11.152929922311346 60.080389428985676, 11.153414338512249 60.080345238172484, 11.154137766359195 60.08034961518739, 11.154298882889739 60.08036230575758)</t>
  </si>
  <si>
    <t>[1544268, 1544276, 1544284, 1544292, 1544300]</t>
  </si>
  <si>
    <t>[1395026, 1395033, 1395040, 1395048, 1355006]</t>
  </si>
  <si>
    <t>[1354848, 1395026, 1395033, 1395040, 1395048]</t>
  </si>
  <si>
    <t>[0.275, 0.044, 0.027, 0.003, 0.364]</t>
  </si>
  <si>
    <t>118.224151806764</t>
  </si>
  <si>
    <t>[0.019, -0.008]</t>
  </si>
  <si>
    <t>LINESTRING (11.154298882889739 60.08036230575758, 11.154285723018099 60.08029000799072, 11.154320472628726 60.08023888136954)</t>
  </si>
  <si>
    <t>[1496925, 1496926]</t>
  </si>
  <si>
    <t>[1355008, 1354917]</t>
  </si>
  <si>
    <t>0.007483784878137374</t>
  </si>
  <si>
    <t>[1355006, 1355008]</t>
  </si>
  <si>
    <t>14.106142949772968</t>
  </si>
  <si>
    <t>[-0.019, -0.048, -0.083]</t>
  </si>
  <si>
    <t>LINESTRING (11.15311613840974 60.08030170380216, 11.153531005282677 60.08026081810295, 11.15415479712146 60.080238598226664, 11.154320472628726 60.08023888136954)</t>
  </si>
  <si>
    <t>[1540596, 1540604, 1540612]</t>
  </si>
  <si>
    <t>[1391990, 1391998, 1354917]</t>
  </si>
  <si>
    <t>[1391983, 1391990, 1391998]</t>
  </si>
  <si>
    <t>[0.019, 0.048, 0.083]</t>
  </si>
  <si>
    <t>67.58305215147442</t>
  </si>
  <si>
    <t>[0.006, -0.016, -0.025, -0.017, 0.01, 0.022, 0.031]</t>
  </si>
  <si>
    <t>LINESTRING (11.215726231878534 60.0915018741868, 11.21567280827051 60.09146555687422, 11.215649664069995 60.09140691501761, 11.215686076387838 60.09134997866972, 11.216118260573136 60.09137610745469, 11.216126362171394 60.09143566684573, 11.216076046270274 60.09148986805172, 11.215951027271554 60.09153006468821)</t>
  </si>
  <si>
    <t>[1496992, 1496994, 1497010, 1496934, 1496944, 1496952, 1496960]</t>
  </si>
  <si>
    <t>[1355071, 1355073, 1355017, 1355018, 1355027, 1355035, 1355042]</t>
  </si>
  <si>
    <t>[1355067, 1355071, 1355073, 1355017, 1355018, 1355027, 1355035]</t>
  </si>
  <si>
    <t>[0.006, 0.016, 0.025, 0.017, 0.01, 0.022, 0.031]</t>
  </si>
  <si>
    <t>69.7929063435434</t>
  </si>
  <si>
    <t>19.9348639317257</t>
  </si>
  <si>
    <t>[-0.012, -0.015]</t>
  </si>
  <si>
    <t>LINESTRING (11.421056421713535 60.157420114224166, 11.421116590794222 60.15736430858529, 11.421231195671872 60.15733684874248)</t>
  </si>
  <si>
    <t>[1497104, 1497158]</t>
  </si>
  <si>
    <t>[1355184, 1355107]</t>
  </si>
  <si>
    <t>[1355183, 1355184]</t>
  </si>
  <si>
    <t>14.121486829941881</t>
  </si>
  <si>
    <t>LINESTRING (11.420894866851356 60.15708373214977, 11.421166017030304 60.15729852346397, 11.421231195671872 60.15733684874248)</t>
  </si>
  <si>
    <t>[1540804, 1540812]</t>
  </si>
  <si>
    <t>[1392155, 1355107]</t>
  </si>
  <si>
    <t>[1390107, 1392155]</t>
  </si>
  <si>
    <t>33.971182002821095</t>
  </si>
  <si>
    <t>[0.01, 0.019]</t>
  </si>
  <si>
    <t>LINESTRING (11.421464225193102 60.15744399405705, 11.421381200403365 60.15752093256913, 11.421260543288277 60.15754103857421)</t>
  </si>
  <si>
    <t>[1497038, 1497049]</t>
  </si>
  <si>
    <t>[1355120, 1355133]</t>
  </si>
  <si>
    <t>0.013732753297988056</t>
  </si>
  <si>
    <t>[1355108, 1355120]</t>
  </si>
  <si>
    <t>17.036164439974392</t>
  </si>
  <si>
    <t>[0.018, 0.014, 0.004, -0.008]</t>
  </si>
  <si>
    <t>LINESTRING (11.421260543288277 60.15754103857421, 11.421209299225598 60.15753803508963, 11.421101335960696 60.157504466896576, 11.421053632104968 60.157445744195186, 11.421056421713535 60.157420114224166)</t>
  </si>
  <si>
    <t>[1497050, 1497085, 1497093, 1497103]</t>
  </si>
  <si>
    <t>[1355134, 1355163, 1355171, 1355183]</t>
  </si>
  <si>
    <t>0.007852033374080442</t>
  </si>
  <si>
    <t>[1355133, 1355134, 1355163, 1355171]</t>
  </si>
  <si>
    <t>[0.018, 0.014, 0.004, 0.008]</t>
  </si>
  <si>
    <t>19.851965297604806</t>
  </si>
  <si>
    <t>LINESTRING (11.420894866851356 60.15708373214977, 11.421000002835804 60.15733030035058, 11.421056421713535 60.157420114224166)</t>
  </si>
  <si>
    <t>[1540664, 1540672]</t>
  </si>
  <si>
    <t>[1392043, 1355183]</t>
  </si>
  <si>
    <t>[1390107, 1392043]</t>
  </si>
  <si>
    <t>38.68614180957201</t>
  </si>
  <si>
    <t>19.009466550207804</t>
  </si>
  <si>
    <t>[0.069, -0.017, -0.048]</t>
  </si>
  <si>
    <t>LINESTRING (10.839151839892324 59.78780425925283, 10.839043064434692 59.787732478561814, 10.840095808681355 59.78356691341518, 10.84017488841511 59.78353345390626)</t>
  </si>
  <si>
    <t>[1508000, 1498197, 1498198]</t>
  </si>
  <si>
    <t>[1356100, 1356101, 1356102]</t>
  </si>
  <si>
    <t>[1363690, 1356100, 1356101]</t>
  </si>
  <si>
    <t>[0.069, 0.017, 0.048]</t>
  </si>
  <si>
    <t>620.3688882122617</t>
  </si>
  <si>
    <t>17.19667447006107</t>
  </si>
  <si>
    <t>[0.024, 0.025, -0.104]</t>
  </si>
  <si>
    <t>LINESTRING (10.84063937420809 59.78365606493751, 10.840635402632175 59.78370352089811, 10.839525694576098 59.788024703217616, 10.839484432462879 59.788112409355016)</t>
  </si>
  <si>
    <t>[1498230, 1498244, 1508016]</t>
  </si>
  <si>
    <t>[1356132, 1356139, 1362035]</t>
  </si>
  <si>
    <t>0.02245446753811521</t>
  </si>
  <si>
    <t>[1356131, 1356132, 1356139]</t>
  </si>
  <si>
    <t>[0.024, 0.025, 0.104]</t>
  </si>
  <si>
    <t>511.1249371795991</t>
  </si>
  <si>
    <t>9.084690417915267</t>
  </si>
  <si>
    <t>10.992523122803828</t>
  </si>
  <si>
    <t>[-0.001, 0.027, 0.022, 0.033, -0.045]</t>
  </si>
  <si>
    <t>LINESTRING (10.738674374616163 59.60027894774092, 10.738733408452513 59.600386976064286, 10.738360193070456 59.602338077934, 10.73836107954012 59.60234703583419, 10.740418603249973 59.60257834258394, 10.740424445303562 59.60252315138299)</t>
  </si>
  <si>
    <t>[1508066, 1498247, 1498259, 1498270, 1498296]</t>
  </si>
  <si>
    <t>[1356141, 1356142, 1356152, 1356163, 1356177]</t>
  </si>
  <si>
    <t>0.027693642965412366</t>
  </si>
  <si>
    <t>[1361335, 1356141, 1356142, 1356152, 1356163]</t>
  </si>
  <si>
    <t>[0.001, 0.027, 0.022, 0.033, 0.045]</t>
  </si>
  <si>
    <t>420.41423702978705</t>
  </si>
  <si>
    <t>[0.05, 0.024, 0.002, -0.027, -0.051]</t>
  </si>
  <si>
    <t>LINESTRING (10.735109461871621 59.60250787238139, 10.735049719760772 59.60246420177284, 10.735030685126796 59.602397795820714, 10.73510139537 59.60232120558465, 10.735354999674895 59.60228674384201, 10.735521432735213 59.60236157881974)</t>
  </si>
  <si>
    <t>[1500774, 1500782, 1500790, 1500798, 1500799]</t>
  </si>
  <si>
    <t>[1357787, 1357793, 1357798, 1357804, 1357805]</t>
  </si>
  <si>
    <t>[1356185, 1357787, 1357793, 1357798, 1357804]</t>
  </si>
  <si>
    <t>[0.05, 0.024, 0.002, 0.027, 0.051]</t>
  </si>
  <si>
    <t>51.10006686882538</t>
  </si>
  <si>
    <t>19.72433367558269</t>
  </si>
  <si>
    <t>[0.015, 0.01, 0.05]</t>
  </si>
  <si>
    <t>LINESTRING (10.735982241516268 59.60567092804857, 10.735950550816128 59.60558105437628, 10.735195633717414 59.60258987423119, 10.735109461871621 59.60250787238139)</t>
  </si>
  <si>
    <t>[1508067, 1498298, 1498309]</t>
  </si>
  <si>
    <t>[1356178, 1356179, 1356185]</t>
  </si>
  <si>
    <t>0.011208462154285882</t>
  </si>
  <si>
    <t>[1363745, 1356178, 1356179]</t>
  </si>
  <si>
    <t>384.8043539070993</t>
  </si>
  <si>
    <t>212.40237757617933</t>
  </si>
  <si>
    <t>[-0.04, -0.059]</t>
  </si>
  <si>
    <t>LINESTRING (10.735521432735213 59.60236157881974, 10.73561355561342 59.60236424931718, 10.735954879871178 59.602405049426714)</t>
  </si>
  <si>
    <t>[1508094, 1508108]</t>
  </si>
  <si>
    <t>[1363770, 1356190]</t>
  </si>
  <si>
    <t>[1357805, 1363770]</t>
  </si>
  <si>
    <t>[0.04, 0.059]</t>
  </si>
  <si>
    <t>25.58921906018318</t>
  </si>
  <si>
    <t>[-0.032, -0.036]</t>
  </si>
  <si>
    <t>LINESTRING (10.735518189869397 59.60246598688847, 10.735619701246424 59.60245338933371, 10.735954879871178 59.602405049426714)</t>
  </si>
  <si>
    <t>[1541972, 1541980]</t>
  </si>
  <si>
    <t>[1393057, 1356190]</t>
  </si>
  <si>
    <t>[1357811, 1393057]</t>
  </si>
  <si>
    <t>[0.032, 0.036]</t>
  </si>
  <si>
    <t>26.03508515090644</t>
  </si>
  <si>
    <t>[0.0, -0.021]</t>
  </si>
  <si>
    <t>LINESTRING (10.739715130836966 59.60239628516678, 10.740300837184334 59.60233681448019, 10.740413964109557 59.602320311322735)</t>
  </si>
  <si>
    <t>[1508116, 1508117]</t>
  </si>
  <si>
    <t>[1363787, 1357826]</t>
  </si>
  <si>
    <t>[1356191, 1363787]</t>
  </si>
  <si>
    <t>[0.0, 0.021]</t>
  </si>
  <si>
    <t>40.390717071467215</t>
  </si>
  <si>
    <t>[0.012, 0.016]</t>
  </si>
  <si>
    <t>LINESTRING (10.739715130836966 59.60239628516678, 10.740248947002442 59.602448648146094, 10.740334740700632 59.60245548827986)</t>
  </si>
  <si>
    <t>[1541988, 1541996]</t>
  </si>
  <si>
    <t>[1393072, 1357883]</t>
  </si>
  <si>
    <t>0.012550921293412178</t>
  </si>
  <si>
    <t>[1356191, 1393072]</t>
  </si>
  <si>
    <t>35.618031015832685</t>
  </si>
  <si>
    <t>[-0.041, -0.049, -0.09, -0.04, -0.024, -0.039]</t>
  </si>
  <si>
    <t>LINESTRING (10.735439939939306 59.60251783738042, 10.735454279483706 59.602562392541486, 10.737500100456272 59.602218192577595, 10.73750644420403 59.60220985691919, 10.738059610869813 59.601140131608524, 10.738454919762045 59.599687320553315, 10.738545010975109 59.59956436814268)</t>
  </si>
  <si>
    <t>[1498318, 1498319, 1498320, 1498322, 1498332, 1508124]</t>
  </si>
  <si>
    <t>[1356193, 1356194, 1356195, 1356197, 1356206, 1363794]</t>
  </si>
  <si>
    <t>[1356192, 1356193, 1356194, 1356195, 1356197, 1356206]</t>
  </si>
  <si>
    <t>[0.041, 0.049, 0.09, 0.04, 0.024, 0.039]</t>
  </si>
  <si>
    <t>482.491139796135</t>
  </si>
  <si>
    <t>7.274895188872555</t>
  </si>
  <si>
    <t>[0.046, -0.0, 0.019, 0.024]</t>
  </si>
  <si>
    <t>LINESTRING (10.740607769271593 59.60255061151729, 10.74058558807767 59.602598949355894, 10.736687231762968 59.6051624795151, 10.736237860383952 59.60593553086506, 10.736100809191074 59.605994906970416)</t>
  </si>
  <si>
    <t>[1498333, 1498340, 1498355, 1508132]</t>
  </si>
  <si>
    <t>[1356208, 1356212, 1356222, 1361383]</t>
  </si>
  <si>
    <t>0.004488116086225076</t>
  </si>
  <si>
    <t>[1356207, 1356208, 1356212, 1356222]</t>
  </si>
  <si>
    <t>[0.046, 0.0, 0.019, 0.024]</t>
  </si>
  <si>
    <t>491.3400230523823</t>
  </si>
  <si>
    <t>[-0.029, 0.011, 0.043, 0.055, 0.043, 0.035, -0.004]</t>
  </si>
  <si>
    <t>LINESTRING (10.740413964109557 59.602320311322735, 10.740529289967844 59.60229079638147, 10.74065848723205 59.60229320483791, 10.740769356604122 59.60232684791411, 10.740844444282212 59.60241606506723, 10.740828696184458 59.60246473828322, 10.740729574049515 59.60252877066635, 10.740607769271593 59.60255061151729)</t>
  </si>
  <si>
    <t>[1500840, 1500856, 1500864, 1500879, 1500903, 1500910, 1500918]</t>
  </si>
  <si>
    <t>[1357827, 1357838, 1357842, 1357850, 1357865, 1357873, 1356207]</t>
  </si>
  <si>
    <t>0.023963794306769662</t>
  </si>
  <si>
    <t>[1357826, 1357827, 1357838, 1357842, 1357850, 1357865, 1357873]</t>
  </si>
  <si>
    <t>[0.029, 0.011, 0.043, 0.055, 0.043, 0.035, 0.004]</t>
  </si>
  <si>
    <t>54.76979762772583</t>
  </si>
  <si>
    <t>[0.017, 0.019, 0.012, -0.011]</t>
  </si>
  <si>
    <t>LINESTRING (10.736216330581776 59.62454640519043, 10.73625591682439 59.62457017484052, 10.736291585532848 59.624638776653796, 10.736240286969759 59.62470724263555, 10.73587211253574 59.624698843597976)</t>
  </si>
  <si>
    <t>[1501074, 1501081, 1501082, 1501083]</t>
  </si>
  <si>
    <t>[1357959, 1357965, 1357966, 1357967]</t>
  </si>
  <si>
    <t>0.0010186791306459795</t>
  </si>
  <si>
    <t>[1356237, 1357959, 1357965, 1357966]</t>
  </si>
  <si>
    <t>[0.017, 0.019, 0.012, 0.011]</t>
  </si>
  <si>
    <t>43.42460292039328</t>
  </si>
  <si>
    <t>16.107503570710655</t>
  </si>
  <si>
    <t>[-0.026, 0.017, 0.031, 0.018]</t>
  </si>
  <si>
    <t>LINESTRING (10.733042602115024 59.62052066137234, 10.733099550704715 59.620589337746914, 10.735136719573253 59.623310564478764, 10.73619607122764 59.62446969110318, 10.736216330581776 59.62454640519043)</t>
  </si>
  <si>
    <t>[1508133, 1498363, 1498365, 1498370]</t>
  </si>
  <si>
    <t>[1356228, 1356229, 1356231, 1356237]</t>
  </si>
  <si>
    <t>0.020477949545114008</t>
  </si>
  <si>
    <t>[1361411, 1356228, 1356229, 1356231]</t>
  </si>
  <si>
    <t>[0.026, 0.017, 0.031, 0.018]</t>
  </si>
  <si>
    <t>512.5920779460836</t>
  </si>
  <si>
    <t>[0.02, 0.036, 0.022, -0.011]</t>
  </si>
  <si>
    <t>LINESTRING (10.732768350725902 59.62464020778161, 10.732628122630341 59.62458842735521, 10.732595711937119 59.624519391100876, 10.732646060045541 59.62445287363881, 10.73272526755559 59.62442047761782)</t>
  </si>
  <si>
    <t>[1500937, 1500947, 1500981, 1501011]</t>
  </si>
  <si>
    <t>[1357892, 1357897, 1357918, 1356315]</t>
  </si>
  <si>
    <t>0.018861281084433523</t>
  </si>
  <si>
    <t>[1356298, 1357892, 1357897, 1357918]</t>
  </si>
  <si>
    <t>[0.02, 0.036, 0.022, 0.011]</t>
  </si>
  <si>
    <t>31.38928320098319</t>
  </si>
  <si>
    <t>14.885510562084573</t>
  </si>
  <si>
    <t>[0.059, 0.002, 0.023, 0.022, 0.062, 0.004, 0.015]</t>
  </si>
  <si>
    <t>LINESTRING (10.73557527277589 59.62844781258434, 10.735474999219365 59.628426561384494, 10.734201245347252 59.626253054535, 10.73393749498188 59.62590889477866, 10.733131849555491 59.62490905072801, 10.732960136857665 59.62478148482921, 10.732825846851606 59.62469177224617, 10.732768350725902 59.62464020778161)</t>
  </si>
  <si>
    <t>[1508139, 1498377, 1498385, 1498386, 1498400, 1498431, 1498453]</t>
  </si>
  <si>
    <t>[1356245, 1356246, 1356252, 1356253, 1356262, 1356282, 1356298]</t>
  </si>
  <si>
    <t>0.012432038439295386</t>
  </si>
  <si>
    <t>[1363807, 1356245, 1356246, 1356252, 1356253, 1356262, 1356282]</t>
  </si>
  <si>
    <t>456.86749302412164</t>
  </si>
  <si>
    <t>[0.054, 0.114]</t>
  </si>
  <si>
    <t>LINESTRING (10.733740428721699 59.62455653378753, 10.734582049170301 59.624583068487695, 10.735347766247974 59.624606225073705)</t>
  </si>
  <si>
    <t>[1498464, 1498467]</t>
  </si>
  <si>
    <t>[1356306, 1356309]</t>
  </si>
  <si>
    <t>0.0825809847081211</t>
  </si>
  <si>
    <t>[1356305, 1356306]</t>
  </si>
  <si>
    <t>90.90056693319369</t>
  </si>
  <si>
    <t>[-0.124, -0.095]</t>
  </si>
  <si>
    <t>LINESTRING (10.73298187227667 59.6244379265371, 10.733167579763467 59.62447462618585, 10.733740428721699 59.62455653378753)</t>
  </si>
  <si>
    <t>[1508147, 1508148]</t>
  </si>
  <si>
    <t>[1363816, 1356305]</t>
  </si>
  <si>
    <t>[1357942, 1363816]</t>
  </si>
  <si>
    <t>[0.124, 0.095]</t>
  </si>
  <si>
    <t>44.85258054874099</t>
  </si>
  <si>
    <t>[-0.121, -0.1]</t>
  </si>
  <si>
    <t>LINESTRING (10.733009834484418 59.62460204271424, 10.733125099107166 59.6245981217531, 10.733740428721699 59.62455653378753)</t>
  </si>
  <si>
    <t>[1542004, 1542012]</t>
  </si>
  <si>
    <t>[1393083, 1356305]</t>
  </si>
  <si>
    <t>[1357949, 1393083]</t>
  </si>
  <si>
    <t>[0.121, 0.1]</t>
  </si>
  <si>
    <t>41.5633921238733</t>
  </si>
  <si>
    <t>LINESTRING (10.735347766247974 59.624606225073705, 10.735753816220718 59.62457036042136, 10.73588078610656 59.624560649959605)</t>
  </si>
  <si>
    <t>[1508155, 1508156]</t>
  </si>
  <si>
    <t>[1363824, 1357957]</t>
  </si>
  <si>
    <t>0.008762463255903264</t>
  </si>
  <si>
    <t>[1356309, 1363824]</t>
  </si>
  <si>
    <t>30.515202473756055</t>
  </si>
  <si>
    <t>[0.015, 0.014]</t>
  </si>
  <si>
    <t>LINESTRING (10.735347766247974 59.624606225073705, 10.735754042962773 59.624686831741954, 10.73587211253574 59.624698843597976)</t>
  </si>
  <si>
    <t>[1542020, 1542028]</t>
  </si>
  <si>
    <t>[1393093, 1357967]</t>
  </si>
  <si>
    <t>0.014783698987986154</t>
  </si>
  <si>
    <t>[1356309, 1393093]</t>
  </si>
  <si>
    <t>31.42802619316884</t>
  </si>
  <si>
    <t>15.253638387621233</t>
  </si>
  <si>
    <t>[-0.0, -0.03, -0.002, -0.032]</t>
  </si>
  <si>
    <t>LINESTRING (10.73272526755559 59.62442047761782, 10.732795323297719 59.624348065553924, 10.73303057699839 59.62268284108597, 10.732606901648914 59.620499259866506, 10.732651532358245 59.62044136820866)</t>
  </si>
  <si>
    <t>[1498474, 1498475, 1498482, 1509087]</t>
  </si>
  <si>
    <t>[1356316, 1356317, 1356322, 1364700]</t>
  </si>
  <si>
    <t>[1356315, 1356316, 1356317, 1356322]</t>
  </si>
  <si>
    <t>[0.0, 0.03, 0.002, 0.032]</t>
  </si>
  <si>
    <t>449.93760483490854</t>
  </si>
  <si>
    <t>[-0.016, -0.027, 0.003, -0.016]</t>
  </si>
  <si>
    <t>LINESTRING (10.735946528147759 59.624532219360226, 10.735943763095051 59.62448423806598, 10.734220907126963 59.624747090271, 10.73488914748858 59.626425101342946, 10.734868824034075 59.62653198295502)</t>
  </si>
  <si>
    <t>[1498526, 1498534, 1498542, 1509088]</t>
  </si>
  <si>
    <t>[1356351, 1356360, 1356366, 1361508]</t>
  </si>
  <si>
    <t>[1356350, 1356351, 1356360, 1356366]</t>
  </si>
  <si>
    <t>[0.016, 0.027, 0.003, 0.016]</t>
  </si>
  <si>
    <t>491.28163536324087</t>
  </si>
  <si>
    <t>4.879549159761914</t>
  </si>
  <si>
    <t>[-0.008, -0.008, 0.146]</t>
  </si>
  <si>
    <t>LINESTRING (10.737895346374891 59.704176963930095, 10.737984874469785 59.70423966222881, 10.739376273487744 59.706686452681375, 10.739508037330864 59.70675881306515)</t>
  </si>
  <si>
    <t>[1498695, 1498703, 1498711]</t>
  </si>
  <si>
    <t>[1356472, 1356476, 1356486]</t>
  </si>
  <si>
    <t>[1356471, 1356472, 1356476]</t>
  </si>
  <si>
    <t>[0.008, 0.008, 0.146]</t>
  </si>
  <si>
    <t>319.8495544959009</t>
  </si>
  <si>
    <t>[-0.076, -0.016, -0.043, -0.014, -0.036, -0.021, -0.011, -0.015, 0.009, -0.041, -0.046]</t>
  </si>
  <si>
    <t>24334.0</t>
  </si>
  <si>
    <t>LINESTRING (10.735651479613708 59.688670661489226, 10.735646151882758 59.68867758273318, 10.73507597927947 59.68941887975285, 10.735069564347727 59.689427213292525, 10.734266645889985 59.69056828433977, 10.733827476137428 59.69150510906872, 10.733753870725142 59.69170170426329, 10.733518781394043 59.693030890452526, 10.733524892284592 59.69308610206852, 10.73737651485225 59.70149516063212, 10.737435526906259 59.701734843858205, 10.737895346374891 59.704176963930095)</t>
  </si>
  <si>
    <t>[1505859, 1505867, 1505898, 1505913, 1505921, 1505922, 1505933, 1505934, 1505059, 1505074, 1505076]</t>
  </si>
  <si>
    <t>[1361794, 1361801, 1361827, 1361843, 1361850, 1361851, 1361863, 1361011, 1361012, 1361027, 1356471]</t>
  </si>
  <si>
    <t>[1361793, 1361794, 1361801, 1361827, 1361843, 1361850, 1361851, 1361863, 1361011, 1361012, 1361027]</t>
  </si>
  <si>
    <t>[0.076, 0.016, 0.043, 0.014, 0.036, 0.021, 0.011, 0.015, 0.009, 0.041, 0.046]</t>
  </si>
  <si>
    <t>1780.1033253217838</t>
  </si>
  <si>
    <t>[0.185, 0.215, 0.166, 0.018, -0.18, -0.268, -0.24]</t>
  </si>
  <si>
    <t>LINESTRING (10.739508037330864 59.70675881306515, 10.73955892386428 59.70677845079423, 10.73961650564171 59.70681539070515, 10.739640653956053 59.70687732043263, 10.739562251846923 59.706961993559005, 10.739422774650766 59.706995226110735, 10.73930969411706 59.7069888530031, 10.739229021600957 59.706965549428986)</t>
  </si>
  <si>
    <t>[1503935, 1503936, 1503900, 1503908, 1503909, 1503910, 1503911]</t>
  </si>
  <si>
    <t>[1360053, 1360023, 1360024, 1360031, 1360032, 1360033, 1360034]</t>
  </si>
  <si>
    <t>[1356486, 1360053, 1360023, 1360024, 1360031, 1360032, 1360033]</t>
  </si>
  <si>
    <t>[0.185, 0.215, 0.166, 0.018, 0.18, 0.268, 0.24]</t>
  </si>
  <si>
    <t>46.833730794401134</t>
  </si>
  <si>
    <t>22.701112151859448</t>
  </si>
  <si>
    <t>[0.023, 0.009]</t>
  </si>
  <si>
    <t>LINESTRING (10.73667312224467 59.70998645188623, 10.737532326519773 59.70603547538141, 10.737542073073161 59.70594497409069)</t>
  </si>
  <si>
    <t>[1498882, 1498887]</t>
  </si>
  <si>
    <t>[1356597, 1356527]</t>
  </si>
  <si>
    <t>0.022688652102626508</t>
  </si>
  <si>
    <t>[1356596, 1356597]</t>
  </si>
  <si>
    <t>454.176603442352</t>
  </si>
  <si>
    <t>3.4713109909911206</t>
  </si>
  <si>
    <t>[0.0, 0.087, -0.344]</t>
  </si>
  <si>
    <t>LINESTRING (10.73657661843071 59.71021182465041, 10.73657661843071 59.71021182465041, 10.736611418054435 59.71013550913991, 10.73667312224467 59.70998645188623)</t>
  </si>
  <si>
    <t>[1811038, 1811030, 1811037]</t>
  </si>
  <si>
    <t>[1594789, 1594790, 1356596]</t>
  </si>
  <si>
    <t>[523317, 1594789, 1594790]</t>
  </si>
  <si>
    <t>[0.0, 0.087, 0.344]</t>
  </si>
  <si>
    <t>33.57560448679844</t>
  </si>
  <si>
    <t>[0.0, -0.177, -0.079, -0.066, -1.807]</t>
  </si>
  <si>
    <t>LINESTRING (10.736853214517655 59.710078774965, 10.736853214517655 59.710078774965, 10.736813771749459 59.71008215904025, 10.73676699281108 59.710059030169866, 10.736713771609555 59.710017878798965, 10.73667312224467 59.70998645188623)</t>
  </si>
  <si>
    <t>[1811063, 1811064, 1811045, 1811046, 1811053]</t>
  </si>
  <si>
    <t>[523348, 1594800, 1594801, 1594802, 1356596]</t>
  </si>
  <si>
    <t>[1372311, 523348, 1594800, 1594801, 1594802]</t>
  </si>
  <si>
    <t>[0.0, 0.177, 0.079, 0.066, 1.807]</t>
  </si>
  <si>
    <t>22.79186584008655</t>
  </si>
  <si>
    <t>[0.055, 0.022, -0.011, -0.034]</t>
  </si>
  <si>
    <t>LINESTRING (10.780572587052491 59.739949849286916, 10.780623200025328 59.7399298974306, 10.780811963863595 59.739916187636005, 10.780925773945093 59.73994592407279, 10.78098489266442 59.739985590445436)</t>
  </si>
  <si>
    <t>[1536450, 1536378, 1536386, 1536394]</t>
  </si>
  <si>
    <t>[525957, 1388446, 479222, 1356641]</t>
  </si>
  <si>
    <t>0.0062878935188428325</t>
  </si>
  <si>
    <t>[1356628, 525957, 1388446, 479222]</t>
  </si>
  <si>
    <t>[0.055, 0.022, 0.011, 0.034]</t>
  </si>
  <si>
    <t>27.269585913342407</t>
  </si>
  <si>
    <t>14.590403686629593</t>
  </si>
  <si>
    <t>23.930987157343544</t>
  </si>
  <si>
    <t>[-0.026, -0.03, 0.01, -0.02, -0.04]</t>
  </si>
  <si>
    <t>LINESTRING (10.780500215635168 59.74007160585892, 10.780400845861102 59.74006914663819, 10.781031494308515 59.74177646918375, 10.781040942007147 59.74178403828411, 10.781744094895801 59.74256542800936, 10.781784931773302 59.74258202694406)</t>
  </si>
  <si>
    <t>[1498986, 1498996, 1499005, 1499024, 1499035]</t>
  </si>
  <si>
    <t>[1356655, 1356664, 1356669, 1356679, 1356687]</t>
  </si>
  <si>
    <t>[1356654, 1356655, 1356664, 1356669, 1356679]</t>
  </si>
  <si>
    <t>[0.026, 0.03, 0.01, 0.02, 0.04]</t>
  </si>
  <si>
    <t>362.0147275180142</t>
  </si>
  <si>
    <t>5.458937625407602</t>
  </si>
  <si>
    <t>[0.082, 0.021, 0.006]</t>
  </si>
  <si>
    <t>LINESTRING (10.781254522645243 59.74321067682469, 10.78120933076168 59.74317494735517, 10.778816381938586 59.74167251308598, 10.778696236776259 59.7416617322366)</t>
  </si>
  <si>
    <t>[1499060, 1499065, 1499066]</t>
  </si>
  <si>
    <t>[1356701, 1356705, 1356706]</t>
  </si>
  <si>
    <t>0.021754154920522722</t>
  </si>
  <si>
    <t>[1356700, 1356701, 1356705]</t>
  </si>
  <si>
    <t>245.56771244658756</t>
  </si>
  <si>
    <t>[0.087, 0.029, -0.061, -0.07, -0.069, -0.048, -0.036]</t>
  </si>
  <si>
    <t>LINESTRING (10.778696236776259 59.7416617322366, 10.778579940713264 59.74169395630523, 10.778425363131241 59.74169078002666, 10.77831422859822 59.74165393429124, 10.778257325288878 59.74152621986353, 10.778325225113228 59.7414681610896, 10.778408907409293 59.741440282647055, 10.778474360044928 59.74142980077586)</t>
  </si>
  <si>
    <t>[1533722, 1533730, 1533738, 1533658, 1533666, 1533674, 1533682]</t>
  </si>
  <si>
    <t>[1372068, 1386261, 523040, 523107, 1386207, 1372082, 1386221]</t>
  </si>
  <si>
    <t>[1356706, 1372068, 1386261, 523040, 523107, 1386207, 1372082]</t>
  </si>
  <si>
    <t>[0.087, 0.029, 0.061, 0.07, 0.069, 0.048, 0.036]</t>
  </si>
  <si>
    <t>55.695448952351654</t>
  </si>
  <si>
    <t>15.106585385114986</t>
  </si>
  <si>
    <t>3.544009029356207</t>
  </si>
  <si>
    <t>126.73388435275437</t>
  </si>
  <si>
    <t>[-0.074, -0.081]</t>
  </si>
  <si>
    <t>LINESTRING (10.780785068146463 59.740171584106335, 10.78070593942527 59.740229894255975, 10.780433617746654 59.74037338085328)</t>
  </si>
  <si>
    <t>[1509184, 1509192]</t>
  </si>
  <si>
    <t>[1364788, 1356720]</t>
  </si>
  <si>
    <t>[1364787, 1364788]</t>
  </si>
  <si>
    <t>[0.074, 0.081]</t>
  </si>
  <si>
    <t>30.94547179843521</t>
  </si>
  <si>
    <t>[-0.076, -0.083]</t>
  </si>
  <si>
    <t>LINESTRING (10.780540914998081 59.74011607490991, 10.780501175821668 59.74019592813211, 10.780433617746654 59.74037338085328)</t>
  </si>
  <si>
    <t>[1542068, 1542076]</t>
  </si>
  <si>
    <t>[1393136, 1356720]</t>
  </si>
  <si>
    <t>[1388481, 1393136]</t>
  </si>
  <si>
    <t>[0.076, 0.083]</t>
  </si>
  <si>
    <t>29.31253226526606</t>
  </si>
  <si>
    <t>[0.054, 0.052]</t>
  </si>
  <si>
    <t>LINESTRING (10.77893420392169 59.741216211047806, 10.77879347333662 59.7414217452229, 10.778753513969834 59.741504423312065)</t>
  </si>
  <si>
    <t>[1509222, 1509223]</t>
  </si>
  <si>
    <t>[1364821, 1364822]</t>
  </si>
  <si>
    <t>0.053444360195719735</t>
  </si>
  <si>
    <t>[1356721, 1364821]</t>
  </si>
  <si>
    <t>34.13677475018605</t>
  </si>
  <si>
    <t>[0.054, 0.049]</t>
  </si>
  <si>
    <t>LINESTRING (10.77893420392169 59.741216211047806, 10.778612215804886 59.74137933423177, 10.778474360044928 59.74142980077586)</t>
  </si>
  <si>
    <t>[1542084, 1542092]</t>
  </si>
  <si>
    <t>[1393150, 1386221]</t>
  </si>
  <si>
    <t>0.05264593667116134</t>
  </si>
  <si>
    <t>[1356721, 1393150]</t>
  </si>
  <si>
    <t>35.37230837872164</t>
  </si>
  <si>
    <t>3.7696153650028</t>
  </si>
  <si>
    <t>10.78850047758472</t>
  </si>
  <si>
    <t>[0.012, 0.019, -0.164]</t>
  </si>
  <si>
    <t>LINESTRING (10.782694869184398 59.756693775487754, 10.7828030612653 59.75667361381999, 10.782797795888815 59.75554543777412, 10.782694139303914 59.75556188773485)</t>
  </si>
  <si>
    <t>[1499183, 1499200, 1499209]</t>
  </si>
  <si>
    <t>[1356763, 1356773, 1356777]</t>
  </si>
  <si>
    <t>0.014066416871784556</t>
  </si>
  <si>
    <t>[1356762, 1356763, 1356773]</t>
  </si>
  <si>
    <t>[0.012, 0.019, 0.164]</t>
  </si>
  <si>
    <t>235.83108373291083</t>
  </si>
  <si>
    <t>[0.116, 0.022, -0.027, -0.027, -0.032, -0.042, 0.01, 0.053, 0.045, 0.021, -0.001, -0.013, 0.008, 0.036, 0.036, 0.033, 0.03, 0.007, -0.019, -0.024, -0.018, -0.024, -0.025, 0.029, -0.006, -0.022, -0.02, 0.003, 0.073]</t>
  </si>
  <si>
    <t>[1, 0, 0, 1, 0, 1, 0, 0, 0, 0, 0, 0, 0, 0, 0, 0, 0, 0, 0, 0, 0, 0, 0, 1, 0, 0, 0, 0, 0]</t>
  </si>
  <si>
    <t>LINESTRING (10.782694139303914 59.75556188773485, 10.78129235164628 59.75645623394833, 10.77772977406802 59.75780601389622, 10.777173646617348 59.75808738676338, 10.776407410279896 59.758572606159575, 10.775606419227357 59.75928408357685, 10.775130208974762 59.75995229770965, 10.774959956126072 59.760349480424075, 10.7748459128952 59.760856147900355, 10.774845386858962 59.76086509564359, 10.771541436310267 59.77327544808322, 10.7612880383123 59.78736842350684, 10.76128649870796 59.78737731156788, 10.761233873473731 59.78767060383523, 10.761180616202271 59.78800423950631, 10.76095196598908 59.78936545075618, 10.760712951930302 59.79081688285229, 10.760489578553509 59.79217764378564, 10.760213566365795 59.79383807141985, 10.760011133449694 59.795057762775436, 10.760009657309777 59.79506670683111, 10.759877873385392 59.79589186576163, 10.75987632722236 59.795900798564105, 10.772779149384943 59.81106239444477, 10.773646421885095 59.812075712238105, 10.775072174291434 59.819231627630124, 10.775124825929444 59.819423853175515, 10.775458355900675 59.8205742295537, 10.775460061320688 59.82057993112454, 10.775819887361338 59.82187614124549)</t>
  </si>
  <si>
    <t>[1840685, 1840693, 1840701, 1840709, 1840717, 1840725, 1840733, 1840797, 1840805, 1840813, 1840821, 1840829, 1840837, 1840845, 1840853, 1840861, 1840869, 1840877, 1840885, 1840893, 1840901, 1840909, 1840917, 1840925, 1840933, 1840941, 1840949, 1840957, 1840965]</t>
  </si>
  <si>
    <t>[1613286, 1613292, 1613295, 1613304, 1613310, 1613316, 1613324, 1613376, 1613382, 1613388, 1613394, 1613403, 1613155, 1613413, 1613418, 1613151, 1613429, 1613433, 1613440, 1613447, 1613453, 1613461, 1613469, 1613477, 1613482, 1613488, 1613494, 1613498, 1401200]</t>
  </si>
  <si>
    <t>0.0019093613049891104</t>
  </si>
  <si>
    <t>[1356777, 1613286, 1613292, 1613295, 1613304, 1613310, 1613316, 1613324, 1613376, 1613382, 1613388, 1613394, 1613403, 1613155, 1613413, 1613418, 1613151, 1613429, 1613433, 1613440, 1613447, 1613453, 1613461, 1613469, 1613477, 1613482, 1613488, 1613494, 1613498]</t>
  </si>
  <si>
    <t>[0.116, 0.022, 0.027, 0.027, 0.032, 0.042, 0.01, 0.053, 0.045, 0.021, 0.001, 0.013, 0.008, 0.036, 0.036, 0.033, 0.03, 0.007, 0.019, 0.024, 0.018, 0.024, 0.025, 0.029, 0.006, 0.022, 0.02, 0.003, 0.073]</t>
  </si>
  <si>
    <t>7959.574388331414</t>
  </si>
  <si>
    <t>[0.122, 0.022]</t>
  </si>
  <si>
    <t>LINESTRING (10.782694139303914 59.75556188773485, 10.781180829687305 59.75640822073429, 10.77765173467058 59.7577579061423)</t>
  </si>
  <si>
    <t>[1840741, 1840749]</t>
  </si>
  <si>
    <t>[1613331, 1613340]</t>
  </si>
  <si>
    <t>0.0559396530080966</t>
  </si>
  <si>
    <t>[1356777, 1613331]</t>
  </si>
  <si>
    <t>377.1402287374902</t>
  </si>
  <si>
    <t>[-0.003, -0.027, -0.051]</t>
  </si>
  <si>
    <t>LINESTRING (10.843944133276366 59.79573789089901, 10.842680858312418 59.79669545739568, 10.842668003721945 59.796701677014426, 10.841024437405254 59.797207301875765)</t>
  </si>
  <si>
    <t>[1499410, 1499412, 1499418]</t>
  </si>
  <si>
    <t>[1356896, 1356897, 1356899]</t>
  </si>
  <si>
    <t>[1356889, 1356896, 1356897]</t>
  </si>
  <si>
    <t>[0.003, 0.027, 0.051]</t>
  </si>
  <si>
    <t>238.91141855845572</t>
  </si>
  <si>
    <t>[-0.025, 0.001, 0.01, 0.027, 0.118]</t>
  </si>
  <si>
    <t>LINESTRING (10.843944133276366 59.79573789089901, 10.843943300088798 59.795691173023656, 10.842881790818197 59.796429715976366, 10.84303785247668 59.797060284749996, 10.843175685539396 59.797813087599195, 10.843111761633104 59.79789648108205)</t>
  </si>
  <si>
    <t>[1499449, 1499457, 1499465, 1499474, 1509289]</t>
  </si>
  <si>
    <t>[1356912, 1356915, 1356919, 1356923, 1362133]</t>
  </si>
  <si>
    <t>0.007703043195751789</t>
  </si>
  <si>
    <t>[1356889, 1356912, 1356915, 1356919, 1356923]</t>
  </si>
  <si>
    <t>[0.025, 0.001, 0.01, 0.027, 0.118]</t>
  </si>
  <si>
    <t>575.559613549644</t>
  </si>
  <si>
    <t>[0.02, -0.013]</t>
  </si>
  <si>
    <t>LINESTRING (10.840734560389405 59.79180606379897, 10.840863234016073 59.79187577557459, 10.843944133276366 59.79573789089901)</t>
  </si>
  <si>
    <t>[1509247, 1499402]</t>
  </si>
  <si>
    <t>[1356888, 1356889]</t>
  </si>
  <si>
    <t>[1362060, 1356888]</t>
  </si>
  <si>
    <t>520.7453275629816</t>
  </si>
  <si>
    <t>LINESTRING (10.841024437405254 59.797207301875765, 10.840661343571972 59.79732887328278, 10.84058856810716 59.79735444126324)</t>
  </si>
  <si>
    <t>[1509255, 1509267]</t>
  </si>
  <si>
    <t>[1364854, 1357999]</t>
  </si>
  <si>
    <t>[1356899, 1364854]</t>
  </si>
  <si>
    <t>29.46236780659344</t>
  </si>
  <si>
    <t>[-0.045, 0.053]</t>
  </si>
  <si>
    <t>LINESTRING (10.841024437405254 59.797207301875765, 10.84065597979802 59.79721451443883, 10.840566670869812 59.79721528236663)</t>
  </si>
  <si>
    <t>[1542108, 1542116]</t>
  </si>
  <si>
    <t>[1393168, 1358019]</t>
  </si>
  <si>
    <t>[1356899, 1393168]</t>
  </si>
  <si>
    <t>25.722736662087918</t>
  </si>
  <si>
    <t>15.977445713849477</t>
  </si>
  <si>
    <t>[0.009, 0.019, 0.024, 0.057]</t>
  </si>
  <si>
    <t>LINESTRING (10.840185031090336 59.797170825921455, 10.84018528499437 59.797125877664406, 10.840521519589604 59.79571914551736, 10.840460597942709 59.79205353800509, 10.840475889287028 59.791977695556206)</t>
  </si>
  <si>
    <t>[1499445, 1499446, 1499447, 1509274]</t>
  </si>
  <si>
    <t>[1356909, 1356910, 1356911, 1364868]</t>
  </si>
  <si>
    <t>0.022981177134106932</t>
  </si>
  <si>
    <t>[1356908, 1356909, 1356910, 1356911]</t>
  </si>
  <si>
    <t>612.5520890095194</t>
  </si>
  <si>
    <t>[-0.023, -0.018, -0.012, 0.016, 0.019, 0.058, -0.096]</t>
  </si>
  <si>
    <t>LINESTRING (10.84058856810716 59.79735444126324, 10.840524221951643 59.79739825869774, 10.840428031415305 59.79742873149239, 10.840328358833684 59.79743791052459, 10.840075704788314 59.797360675054364, 10.840044750431844 59.797308444361185, 10.840055007916261 59.79725482171438, 10.840185031090336 59.797170825921455)</t>
  </si>
  <si>
    <t>[1501148, 1501149, 1501151, 1501166, 1501167, 1501181, 1501189]</t>
  </si>
  <si>
    <t>[1310803, 1358000, 1310795, 1358006, 1358007, 1358009, 1356908]</t>
  </si>
  <si>
    <t>[1357999, 1310803, 1358000, 1310795, 1358006, 1358007, 1358009]</t>
  </si>
  <si>
    <t>[0.023, 0.018, 0.012, 0.016, 0.019, 0.058, 0.096]</t>
  </si>
  <si>
    <t>59.55852566094703</t>
  </si>
  <si>
    <t>8.043009387075632</t>
  </si>
  <si>
    <t>[-0.046, -0.041, 0.001, -0.021, -0.002]</t>
  </si>
  <si>
    <t>LINESTRING (10.842789204195494 59.797678573254245, 10.842706834294997 59.79759504461163, 10.842568185658227 59.79710549687969, 10.842389608351255 59.79647498780121, 10.84042799461165 59.79712547316209, 10.840460289875498 59.79716695671709)</t>
  </si>
  <si>
    <t>[1509297, 1499477, 1499485, 1499493, 1499494]</t>
  </si>
  <si>
    <t>[1356925, 1356926, 1356931, 1356935, 1356936]</t>
  </si>
  <si>
    <t>[1364887, 1356925, 1356926, 1356931, 1356935]</t>
  </si>
  <si>
    <t>[0.046, 0.041, 0.001, 0.021, 0.002]</t>
  </si>
  <si>
    <t>448.47635556950365</t>
  </si>
  <si>
    <t>LINESTRING (10.99644125614308 59.978346842262404, 10.996843402672631 59.97862606589351, 10.996954715745535 59.978699480276106)</t>
  </si>
  <si>
    <t>[1499506, 1499513]</t>
  </si>
  <si>
    <t>[1356941, 1356946]</t>
  </si>
  <si>
    <t>0.0003701401566744856</t>
  </si>
  <si>
    <t>[1356940, 1356941]</t>
  </si>
  <si>
    <t>48.93910557754981</t>
  </si>
  <si>
    <t>[-0.006, -0.013, -0.017]</t>
  </si>
  <si>
    <t>LINESTRING (10.99644125614308 59.978346842262404, 10.996664812092305 59.97842764845173, 10.997710352196242 59.97862182317358, 10.997894914981655 59.978631831748245)</t>
  </si>
  <si>
    <t>[1499514, 1499529, 1509313]</t>
  </si>
  <si>
    <t>[1356947, 1356957, 1364901]</t>
  </si>
  <si>
    <t>[1356940, 1356947, 1356957]</t>
  </si>
  <si>
    <t>[0.006, 0.013, 0.017]</t>
  </si>
  <si>
    <t>90.35849813715883</t>
  </si>
  <si>
    <t>[-0.103, -0.003, 0.003, 0.018]</t>
  </si>
  <si>
    <t>LINESTRING (10.991632186071147 59.97491514310205, 10.991775722670813 59.97501540733381, 10.992815985792408 59.9767668056168, 10.995007786805628 59.978070576820585, 10.99644125614308 59.978346842262404)</t>
  </si>
  <si>
    <t>[1509305, 1499498, 1499504, 1499505]</t>
  </si>
  <si>
    <t>[1356937, 1356938, 1356939, 1356940]</t>
  </si>
  <si>
    <t>0.00029063937478150805</t>
  </si>
  <si>
    <t>[1362327, 1356937, 1356938, 1356939]</t>
  </si>
  <si>
    <t>[0.103, 0.003, 0.003, 0.018]</t>
  </si>
  <si>
    <t>506.1680227692716</t>
  </si>
  <si>
    <t>3.757658845420965</t>
  </si>
  <si>
    <t>20.51934903447478</t>
  </si>
  <si>
    <t>24.474611924715383</t>
  </si>
  <si>
    <t>[-0.005, -0.028, 0.016, -0.004, -0.029]</t>
  </si>
  <si>
    <t>LINESTRING (10.99286018547032 59.9802174246724, 10.992934611207007 59.98029069220529, 10.994423950341913 59.979537779346465, 10.994280000185626 59.979349671034186, 10.993846287875403 59.978804518562356, 10.99386349590555 59.97872071270173)</t>
  </si>
  <si>
    <t>[1499537, 1499538, 1499552, 1499563, 1509321]</t>
  </si>
  <si>
    <t>[1356961, 1356962, 1356969, 1356975, 1364909]</t>
  </si>
  <si>
    <t>[1356960, 1356961, 1356962, 1356969, 1356975]</t>
  </si>
  <si>
    <t>[0.005, 0.028, 0.016, 0.004, 0.029]</t>
  </si>
  <si>
    <t>298.2837552814267</t>
  </si>
  <si>
    <t>3.7805951912340627</t>
  </si>
  <si>
    <t>[-0.009, -0.016, -0.001, 0.018, -0.011, -0.002]</t>
  </si>
  <si>
    <t>LINESTRING (10.996629307965458 59.97875288982154, 10.996584507697266 59.978688264789994, 10.994722016223989 59.97921430358629, 10.99485361717612 59.97940515580914, 10.994859340167487 59.979413456891976, 10.996219295210551 59.98074254255561, 10.996215759036813 59.98079833662217)</t>
  </si>
  <si>
    <t>[1499569, 1499573, 1499584, 1499585, 1499593, 1509329]</t>
  </si>
  <si>
    <t>[1356980, 1356982, 1356988, 1356989, 1356993, 1362403]</t>
  </si>
  <si>
    <t>[1356979, 1356980, 1356982, 1356988, 1356989, 1356993]</t>
  </si>
  <si>
    <t>[0.009, 0.016, 0.001, 0.018, 0.011, 0.002]</t>
  </si>
  <si>
    <t>434.34570538445263</t>
  </si>
  <si>
    <t>3.765912903915466</t>
  </si>
  <si>
    <t>[-0.298, -0.005, -0.003, 0.01]</t>
  </si>
  <si>
    <t>LINESTRING (10.992557161509648 59.98034360706412, 10.992491440555721 59.98033522609472, 10.992393183295281 59.980301303514054, 10.99233322117694 59.98016769203334, 10.99245968416796 59.980090713882774)</t>
  </si>
  <si>
    <t>[1503568, 1503576, 1503584, 1503552]</t>
  </si>
  <si>
    <t>[1359760, 1359768, 1359747, 1359748]</t>
  </si>
  <si>
    <t>[1357022, 1359760, 1359768, 1359747]</t>
  </si>
  <si>
    <t>[0.298, 0.005, 0.003, 0.01]</t>
  </si>
  <si>
    <t>37.58421984481315</t>
  </si>
  <si>
    <t>[0.113, 0.031, 0.025, 0.009]</t>
  </si>
  <si>
    <t>LINESTRING (10.997398840828819 59.98185155507381, 10.997277558816357 59.98184744121605, 10.993193275123264 59.980551936420945, 10.992698910779644 59.98039259773296, 10.992557161509648 59.98034360706412)</t>
  </si>
  <si>
    <t>[1509337, 1499635, 1499643, 1499649]</t>
  </si>
  <si>
    <t>[1357015, 1357016, 1357020, 1357022]</t>
  </si>
  <si>
    <t>0.031437636179445574</t>
  </si>
  <si>
    <t>[1364924, 1357015, 1357016, 1357020]</t>
  </si>
  <si>
    <t>338.47935009324743</t>
  </si>
  <si>
    <t>[0.065, -0.04, 0.02, 0.037]</t>
  </si>
  <si>
    <t>LINESTRING (11.042615024520467 59.997293752426636, 11.042655007401937 59.9973016048158, 11.04273764216041 59.99735396994618, 11.042728012406398 59.99741302396426, 11.042673990643584 59.99744601442486)</t>
  </si>
  <si>
    <t>[1531538, 1531546, 1531554, 1531498]</t>
  </si>
  <si>
    <t>[1371040, 1384466, 1365500, 1365501]</t>
  </si>
  <si>
    <t>0.007845488088848978</t>
  </si>
  <si>
    <t>[1357034, 1371040, 1384466, 1365500]</t>
  </si>
  <si>
    <t>[0.065, 0.04, 0.02, 0.037]</t>
  </si>
  <si>
    <t>21.192254418370553</t>
  </si>
  <si>
    <t>16.26208654638385</t>
  </si>
  <si>
    <t>[0.079, 0.029, 0.008]</t>
  </si>
  <si>
    <t>LINESTRING (11.0355676620673 59.995250187553346, 11.035706152646164 59.99528920524413, 11.04242184652381 59.99722743476878, 11.042615024520467 59.997293752426636)</t>
  </si>
  <si>
    <t>[1509419, 1499657, 1499665]</t>
  </si>
  <si>
    <t>[1357028, 1357029, 1357034]</t>
  </si>
  <si>
    <t>0.02936307870218244</t>
  </si>
  <si>
    <t>[1362632, 1357028, 1357029]</t>
  </si>
  <si>
    <t>465.33977428427085</t>
  </si>
  <si>
    <t>11.423282339755824</t>
  </si>
  <si>
    <t>[-0.017, -0.038, -0.043, -0.04, -0.033, -0.047, -0.048]</t>
  </si>
  <si>
    <t>LINESTRING (11.039379055625513 59.99940842186247, 11.039258382199613 59.99937048296461, 11.039106610089389 59.999281958101314, 11.038876965141423 59.99841994840243, 11.038499983131995 59.99759983782089, 11.038301040932701 59.99733573116995, 11.034609486395945 59.994859080027666, 11.034606056557362 59.99479784459259)</t>
  </si>
  <si>
    <t>[1499673, 1499688, 1499700, 1499712, 1499713, 1499722, 1509427]</t>
  </si>
  <si>
    <t>[1357041, 1357048, 1357057, 1357066, 1357067, 1357072, 1365009]</t>
  </si>
  <si>
    <t>[1357040, 1357041, 1357048, 1357057, 1357066, 1357067, 1357072]</t>
  </si>
  <si>
    <t>[0.017, 0.038, 0.043, 0.04, 0.033, 0.047, 0.048]</t>
  </si>
  <si>
    <t>596.2627096439096</t>
  </si>
  <si>
    <t>[0.118, 0.016, -0.007, -0.025, -0.04, -0.043, 0.01]</t>
  </si>
  <si>
    <t>LINESTRING (11.0398373792813 59.99940330599168, 11.039837490701585 59.999447360397134, 11.039807411706825 59.999488710252486, 11.039723676925444 59.999528448916514, 11.039639367421502 59.99954299823596, 11.039504297498874 59.99953175013773, 11.039389970235286 59.999467184734684, 11.039379055625513 59.99940842186247)</t>
  </si>
  <si>
    <t>[1531562, 1531570, 1531578, 1531586, 1531594, 1531602, 1531610]</t>
  </si>
  <si>
    <t>[1384484, 1384492, 1364417, 1365545, 1384517, 1371099, 1357040]</t>
  </si>
  <si>
    <t>[1365544, 1384484, 1384492, 1364417, 1365545, 1384517, 1371099]</t>
  </si>
  <si>
    <t>[0.118, 0.016, 0.007, 0.025, 0.04, 0.043, 0.01]</t>
  </si>
  <si>
    <t>45.063484027197916</t>
  </si>
  <si>
    <t>[-0.013, 0.011, 0.025]</t>
  </si>
  <si>
    <t>LINESTRING (10.967556481034475 59.930020542359955, 10.967355267194067 59.92954119511936, 10.962967801561826 59.92891408935737, 10.9628193438873 59.92886818192605)</t>
  </si>
  <si>
    <t>[1536266, 1536274, 1510061]</t>
  </si>
  <si>
    <t>[1388353, 1365575, 1365576]</t>
  </si>
  <si>
    <t>0.007132267824481958</t>
  </si>
  <si>
    <t>[1357058, 1388353, 1365575]</t>
  </si>
  <si>
    <t>[0.013, 0.011, 0.025]</t>
  </si>
  <si>
    <t>322.9984576539108</t>
  </si>
  <si>
    <t>[-0.007, 0.001, 0.01, 0.053]</t>
  </si>
  <si>
    <t>LINESTRING (10.971111150876336 59.930369995371386, 10.970946375066223 59.930355064790625, 10.96887876653448 59.92981349943282, 10.967719871034154 59.92990478549691, 10.967556481034475 59.930020542359955)</t>
  </si>
  <si>
    <t>[1510085, 1499682, 1499689, 1499701]</t>
  </si>
  <si>
    <t>[1357046, 1357047, 1357049, 1357058]</t>
  </si>
  <si>
    <t>0.007115097167734392</t>
  </si>
  <si>
    <t>[1365600, 1357046, 1357047, 1357049]</t>
  </si>
  <si>
    <t>[0.007, 0.001, 0.01, 0.053]</t>
  </si>
  <si>
    <t>226.7204517944988</t>
  </si>
  <si>
    <t>15.576752549104798</t>
  </si>
  <si>
    <t>LINESTRING (10.986439071723494 59.93431611453543, 10.986472936826813 59.934265281198115, 10.986515456007933 59.934239605853335, 10.986563922477076 59.93422400111297, 10.98660784368681 59.93421634916474, 10.986703304563587 59.93420959344788, 10.986811591344225 59.93422194638874, 10.986864981272944 59.934445347142756, 10.986777622703839 59.934471454368385, 10.986685508746588 59.934477637864724, 10.986478307600347 59.93442817021095)</t>
  </si>
  <si>
    <t>12.952723307922092</t>
  </si>
  <si>
    <t>[0.013, -0.004, 0.024, 0.047]</t>
  </si>
  <si>
    <t>LINESTRING (10.982769618475809 59.93351367234858, 10.982983585469364 59.93353218282225, 10.986060406196046 59.93435727603999, 10.986347929773814 59.934319153814876, 10.986439071723494 59.93431611453543)</t>
  </si>
  <si>
    <t>[1510093, 1499702, 1499708, 1499709]</t>
  </si>
  <si>
    <t>[1357059, 1357060, 1357063, 1357064]</t>
  </si>
  <si>
    <t>[1365610, 1357059, 1357060, 1357063]</t>
  </si>
  <si>
    <t>[0.013, 0.004, 0.024, 0.047]</t>
  </si>
  <si>
    <t>237.05873643731152</t>
  </si>
  <si>
    <t>[-0.048, -0.003, 0.026, 0.007]</t>
  </si>
  <si>
    <t>LINESTRING (10.986478307600347 59.93442817021095, 10.986412266225733 59.934426157683575, 10.987727166134558 59.93546325039809, 10.98794623440748 59.93555775041311, 10.988067302360221 59.93563273168572)</t>
  </si>
  <si>
    <t>[1499725, 1499730, 1499738, 1510117]</t>
  </si>
  <si>
    <t>[1357074, 1357080, 1357087, 1365628]</t>
  </si>
  <si>
    <t>[1357073, 1357074, 1357080, 1357087]</t>
  </si>
  <si>
    <t>[0.048, 0.003, 0.026, 0.007]</t>
  </si>
  <si>
    <t>191.09867465107533</t>
  </si>
  <si>
    <t>[-0.01, -0.008, -0.016, -0.017, -0.033]</t>
  </si>
  <si>
    <t>LINESTRING (11.042402168410998 59.99737169111799, 11.04230620605757 59.99733696873651, 11.041325804696466 59.99826276717362, 11.041554335698477 59.99839352701321, 11.043300454986532 59.99947308614588, 11.043391482716308 59.99961246494687)</t>
  </si>
  <si>
    <t>[1499728, 1499735, 1499736, 1499737, 1509435]</t>
  </si>
  <si>
    <t>[1357078, 1357084, 1357085, 1357086, 1362713]</t>
  </si>
  <si>
    <t>[1357077, 1357078, 1357084, 1357085, 1357086]</t>
  </si>
  <si>
    <t>[0.01, 0.008, 0.016, 0.017, 0.033]</t>
  </si>
  <si>
    <t>485.4277331812828</t>
  </si>
  <si>
    <t>4.748936723638716</t>
  </si>
  <si>
    <t>LINESTRING (11.011643342335129 59.93885149052974, 11.012548290100996 59.93900022019932, 11.014901406494126 59.939649681960844)</t>
  </si>
  <si>
    <t>[1499753, 1499754]</t>
  </si>
  <si>
    <t>[1357096, 1357097]</t>
  </si>
  <si>
    <t>0.007560843378301039</t>
  </si>
  <si>
    <t>[1357094, 1357096]</t>
  </si>
  <si>
    <t>214.30163656837144</t>
  </si>
  <si>
    <t>[-0.055, -0.049, 0.073, -0.061, -0.103]</t>
  </si>
  <si>
    <t>LINESTRING (11.011643342335129 59.93885149052974, 11.011570449829339 59.938910389846875, 11.011976300674599 59.9393316337703, 11.013130791818972 59.9396020177403, 11.014110100219416 59.93980833042442, 11.014186140822154 59.939846502247256)</t>
  </si>
  <si>
    <t>[1550714, 1550722, 1550730, 1550738, 1510161]</t>
  </si>
  <si>
    <t>[1400021, 1400026, 1400033, 1365667, 1365668]</t>
  </si>
  <si>
    <t>[1357094, 1400021, 1400026, 1400033, 1365667]</t>
  </si>
  <si>
    <t>[0.055, 0.049, 0.073, 0.061, 0.103]</t>
  </si>
  <si>
    <t>201.82177258822176</t>
  </si>
  <si>
    <t>[-0.096, 0.012]</t>
  </si>
  <si>
    <t>LINESTRING (11.008833357283292 59.938498611730495, 11.009023245156309 59.93852863893498, 11.011643342335129 59.93885149052974)</t>
  </si>
  <si>
    <t>[1510125, 1499746]</t>
  </si>
  <si>
    <t>[1357093, 1357094]</t>
  </si>
  <si>
    <t>0.005014152594468497</t>
  </si>
  <si>
    <t>[1365636, 1357093]</t>
  </si>
  <si>
    <t>[0.096, 0.012]</t>
  </si>
  <si>
    <t>172.10476133242918</t>
  </si>
  <si>
    <t>[0.081, 0.059]</t>
  </si>
  <si>
    <t>LINESTRING (11.014901406494126 59.939649681960844, 11.015263114675967 59.939640198795175, 11.01547337530221 59.93964630750399)</t>
  </si>
  <si>
    <t>[1510141, 1510149]</t>
  </si>
  <si>
    <t>[1365648, 1359269]</t>
  </si>
  <si>
    <t>0.07299638686861525</t>
  </si>
  <si>
    <t>[1357097, 1365648]</t>
  </si>
  <si>
    <t>32.369472147398845</t>
  </si>
  <si>
    <t>[0.059, 0.055]</t>
  </si>
  <si>
    <t>LINESTRING (11.014901406494126 59.939649681960844, 11.015191197621863 59.939753349360295, 11.015294557967698 59.93977754912977)</t>
  </si>
  <si>
    <t>[1513350, 1513357]</t>
  </si>
  <si>
    <t>[1368510, 1359263]</t>
  </si>
  <si>
    <t>0.05805498504801959</t>
  </si>
  <si>
    <t>[1357097, 1368510]</t>
  </si>
  <si>
    <t>26.993814222396647</t>
  </si>
  <si>
    <t>[0.032, 0.038, 0.039, -0.001, -0.035, -0.037, -0.023]</t>
  </si>
  <si>
    <t>LINESTRING (11.010069734074658 59.9397038982906, 11.010082352492887 59.93973304920451, 11.01004695203637 59.93980389864451, 11.009909947157592 59.93985548795647, 11.009619342766877 59.93975408547408, 11.00966696445343 59.93967102005001, 11.009786500699686 59.939630589110706, 11.009842597360583 59.93962599526818)</t>
  </si>
  <si>
    <t>[1505357, 1505364, 1505365, 1505380, 1505381, 1505387, 1505349]</t>
  </si>
  <si>
    <t>[1361287, 1361294, 1361295, 1361312, 1361313, 1361280, 1357098]</t>
  </si>
  <si>
    <t>0.0009092434320111719</t>
  </si>
  <si>
    <t>[1361281, 1361287, 1361294, 1361295, 1361312, 1361313, 1361280]</t>
  </si>
  <si>
    <t>[0.032, 0.038, 0.039, 0.001, 0.035, 0.037, 0.023]</t>
  </si>
  <si>
    <t>64.2492145083591</t>
  </si>
  <si>
    <t>[-0.044, -0.018, -0.041]</t>
  </si>
  <si>
    <t>LINESTRING (11.009842597360583 59.93962599526818, 11.009954108819331 59.93957243811148, 11.006964670160444 59.938022131856435, 11.006882471838683 59.93794592003315)</t>
  </si>
  <si>
    <t>[1499755, 1499756, 1510160]</t>
  </si>
  <si>
    <t>[1357099, 1357100, 1365666]</t>
  </si>
  <si>
    <t>[1357098, 1357099, 1357100]</t>
  </si>
  <si>
    <t>[0.044, 0.018, 0.041]</t>
  </si>
  <si>
    <t>279.1282012400056</t>
  </si>
  <si>
    <t>[-0.02, 0.002, -0.007, 0.012]</t>
  </si>
  <si>
    <t>LINESTRING (11.056463783716131 59.948388246624255, 11.056551552553307 59.94835850983931, 11.060297090435323 59.947507365236454, 11.062254138365525 59.94766721631956, 11.062366703733836 59.94768288787252)</t>
  </si>
  <si>
    <t>[1499757, 1499758, 1499766, 1499771]</t>
  </si>
  <si>
    <t>[1357102, 1357103, 1357108, 1357111]</t>
  </si>
  <si>
    <t>[1357101, 1357102, 1357103, 1357108]</t>
  </si>
  <si>
    <t>[0.02, 0.002, 0.007, 0.012]</t>
  </si>
  <si>
    <t>355.0954913827173</t>
  </si>
  <si>
    <t>[-0.001, 0.004, -0.01, 0.012, 0.025, -0.007, -0.027]</t>
  </si>
  <si>
    <t>[0, 1, 0, 1, 0, 1, 0]</t>
  </si>
  <si>
    <t>LINESTRING (11.056463783716131 59.948388246624255, 11.061503251814024 59.947710119243425, 11.066522460116563 59.947563400537916, 11.07153237782107 59.94699548800698, 11.072233490716277 59.94706763426142, 11.075469171821103 59.94899709048777, 11.075885056838477 59.9499803819251, 11.076407279373448 59.95120492527634)</t>
  </si>
  <si>
    <t>[1550386, 1550394, 1550402, 1550410, 1550418, 1550426, 1550434]</t>
  </si>
  <si>
    <t>[1399809, 1399816, 1399821, 1399824, 1399828, 1399833, 1399836]</t>
  </si>
  <si>
    <t>0.0008798841300295014</t>
  </si>
  <si>
    <t>[1357101, 1399809, 1399816, 1399821, 1399824, 1399828, 1399833]</t>
  </si>
  <si>
    <t>[0.001, 0.004, 0.01, 0.012, 0.025, 0.007, 0.027]</t>
  </si>
  <si>
    <t>1462.968956951274</t>
  </si>
  <si>
    <t>189.17731496684922</t>
  </si>
  <si>
    <t>3.1780497163591943</t>
  </si>
  <si>
    <t>[0.08, 0.021, 0.021]</t>
  </si>
  <si>
    <t>LINESTRING (11.042236890891088 59.9990159466524, 11.04208940978555 59.99900342972279, 11.0394028046334 59.99929340661055, 11.039491295769851 59.999325488371895)</t>
  </si>
  <si>
    <t>[1509443, 1499744, 1499765]</t>
  </si>
  <si>
    <t>[1357090, 1357091, 1357107]</t>
  </si>
  <si>
    <t>0.02237840528770355</t>
  </si>
  <si>
    <t>[1365023, 1357090, 1357091]</t>
  </si>
  <si>
    <t>357.34809418327194</t>
  </si>
  <si>
    <t>88.00999279129627</t>
  </si>
  <si>
    <t>[-0.009, -0.02]</t>
  </si>
  <si>
    <t>LINESTRING (11.069023492057157 60.01672427194069, 11.068897981891212 60.01673180554979, 11.06831629179748 60.01679669329432)</t>
  </si>
  <si>
    <t>[1509444, 1509451]</t>
  </si>
  <si>
    <t>[1365024, 1357114]</t>
  </si>
  <si>
    <t>[1358025, 1365024]</t>
  </si>
  <si>
    <t>[0.009, 0.02]</t>
  </si>
  <si>
    <t>40.621029447385254</t>
  </si>
  <si>
    <t>[-0.08, -0.024]</t>
  </si>
  <si>
    <t>LINESTRING (11.068906512676579 60.01659043376448, 11.068808009248315 60.016621857886655, 11.06831629179748 60.01679669329432)</t>
  </si>
  <si>
    <t>[1542124, 1542132]</t>
  </si>
  <si>
    <t>[1393182, 1357114]</t>
  </si>
  <si>
    <t>[1358029, 1393182]</t>
  </si>
  <si>
    <t>[0.08, 0.024]</t>
  </si>
  <si>
    <t>40.43013029697204</t>
  </si>
  <si>
    <t>[-0.005, 0.035]</t>
  </si>
  <si>
    <t>LINESTRING (11.066831700191845 60.017063492278744, 11.066394191621677 60.017208670170575, 11.066261591948983 60.01725146391618)</t>
  </si>
  <si>
    <t>[1509459, 1509465]</t>
  </si>
  <si>
    <t>[1365035, 1358048]</t>
  </si>
  <si>
    <t>0.004244149731702833</t>
  </si>
  <si>
    <t>[1357115, 1365035]</t>
  </si>
  <si>
    <t>[0.005, 0.035]</t>
  </si>
  <si>
    <t>38.0805954857543</t>
  </si>
  <si>
    <t>[-0.035, 0.04]</t>
  </si>
  <si>
    <t>LINESTRING (11.066831700191845 60.017063492278744, 11.066301200383283 60.01708958686694, 11.066184844460471 60.01711163080414)</t>
  </si>
  <si>
    <t>[1542140, 1542148]</t>
  </si>
  <si>
    <t>[1393193, 1358084]</t>
  </si>
  <si>
    <t>[1357115, 1393193]</t>
  </si>
  <si>
    <t>36.98979820788513</t>
  </si>
  <si>
    <t>[-0.022, 0.002, 0.001]</t>
  </si>
  <si>
    <t>LINESTRING (11.057203676088944 59.94854874638459, 11.057140213253255 59.94851727021197, 11.053511235691978 59.94908522890931, 11.053365730665675 59.94907164665057)</t>
  </si>
  <si>
    <t>[1499785, 1499786, 1499794]</t>
  </si>
  <si>
    <t>[1357123, 1357124, 1357128]</t>
  </si>
  <si>
    <t>0.001450621009732914</t>
  </si>
  <si>
    <t>[1357122, 1357123, 1357124]</t>
  </si>
  <si>
    <t>[0.022, 0.002, 0.001]</t>
  </si>
  <si>
    <t>232.99107112833337</t>
  </si>
  <si>
    <t>[-0.119, 0.006, 0.014, 0.013, 0.006, -0.002, -0.013, 0.202]</t>
  </si>
  <si>
    <t>LINESTRING (11.057203676088944 59.94854874638459, 11.057434388038146 59.948513433702644, 11.057528967429727 59.948533722399766, 11.057594215486503 59.948590729322596, 11.057508874824158 59.948702527828566, 11.057414427693637 59.9487201537188, 11.057276028393286 59.94870589841154, 11.05715693031969 59.948610277136254, 11.057203676088944 59.94854874638459)</t>
  </si>
  <si>
    <t>[1563712, 1563720, 1563664, 1563672, 1563680, 1563688, 1563696, 1563704]</t>
  </si>
  <si>
    <t>[1410010, 1409970, 1409971, 1409978, 1409984, 1409992, 1409999, 1357122]</t>
  </si>
  <si>
    <t>[1357122, 1410010, 1409970, 1409971, 1409978, 1409984, 1409992, 1409999]</t>
  </si>
  <si>
    <t>[0.119, 0.006, 0.014, 0.013, 0.006, 0.002, 0.013, 0.202]</t>
  </si>
  <si>
    <t>74.74412233794551</t>
  </si>
  <si>
    <t>[-0.002, -0.031, -0.018, -0.037]</t>
  </si>
  <si>
    <t>LINESTRING (11.069065927113034 60.01648820448809, 11.069244472488046 60.01648183732615, 11.06944198085017 60.01661807432977, 11.069410218108974 60.01667376403649, 11.069382395856401 60.01669630872885)</t>
  </si>
  <si>
    <t>[1501219, 1501231, 1501232, 1501239]</t>
  </si>
  <si>
    <t>[1358030, 1358037, 1358038, 1357138]</t>
  </si>
  <si>
    <t>[1357127, 1358030, 1358037, 1358038]</t>
  </si>
  <si>
    <t>[0.002, 0.031, 0.018, 0.037]</t>
  </si>
  <si>
    <t>39.27750615680789</t>
  </si>
  <si>
    <t>14.900653030659392</t>
  </si>
  <si>
    <t>[0.017, 0.018, -0.007, -0.036, -0.031, -0.033]</t>
  </si>
  <si>
    <t>LINESTRING (11.063363137753573 60.01269687434875, 11.063631090061257 60.01279999178549, 11.064926039030786 60.0137357863927, 11.0666872589919 60.01495184744254, 11.06703459777706 60.015339803332246, 11.068972321450547 60.016452764373064, 11.069065927113034 60.01648820448809)</t>
  </si>
  <si>
    <t>[1509473, 1499779, 1499780, 1499789, 1499790, 1499791]</t>
  </si>
  <si>
    <t>[1357116, 1357117, 1357118, 825455, 1357126, 1357127]</t>
  </si>
  <si>
    <t>[1362746, 1357116, 1357117, 1357118, 825455, 1357126]</t>
  </si>
  <si>
    <t>[0.017, 0.018, 0.007, 0.036, 0.031, 0.033]</t>
  </si>
  <si>
    <t>539.1295302318066</t>
  </si>
  <si>
    <t>[0.017, 0.0]</t>
  </si>
  <si>
    <t>LINESTRING (11.048423660788803 59.95044294009908, 11.048830067508499 59.95032649949829, 11.053365730665675 59.94907164665057)</t>
  </si>
  <si>
    <t>[1550362, 1550370]</t>
  </si>
  <si>
    <t>[1399793, 1357128]</t>
  </si>
  <si>
    <t>0.00140800149974996</t>
  </si>
  <si>
    <t>[1367571, 1399793]</t>
  </si>
  <si>
    <t>315.85818199850047</t>
  </si>
  <si>
    <t>[-0.044, -0.076, -0.1, -0.067]</t>
  </si>
  <si>
    <t>LINESTRING (11.044232938026786 59.94916331549876, 11.04441515418575 59.9491382202662, 11.044640532602761 59.949171956736116, 11.044795147059693 59.94928807467455, 11.044797418712962 59.94935916403966)</t>
  </si>
  <si>
    <t>[1499800, 1499801, 1499810, 1499816]</t>
  </si>
  <si>
    <t>[1357132, 1357133, 1357143, 1357147]</t>
  </si>
  <si>
    <t>[1357131, 1357132, 1357133, 1357143]</t>
  </si>
  <si>
    <t>[0.044, 0.076, 0.1, 0.067]</t>
  </si>
  <si>
    <t>47.65175979305646</t>
  </si>
  <si>
    <t>[0.075, 0.027]</t>
  </si>
  <si>
    <t>LINESTRING (11.044055538376261 59.9492982334165, 11.04410305755882 59.94923043702006, 11.044232938026786 59.94916331549876)</t>
  </si>
  <si>
    <t>[1499871, 1499872]</t>
  </si>
  <si>
    <t>[1357183, 1357131]</t>
  </si>
  <si>
    <t>0.04785487525351872</t>
  </si>
  <si>
    <t>[1357161, 1357183]</t>
  </si>
  <si>
    <t>18.431651949340832</t>
  </si>
  <si>
    <t>[-0.028, 0.023, -0.01, -0.011]</t>
  </si>
  <si>
    <t>LINESTRING (11.069382395856401 60.01669630872885, 11.069415441985006 60.01672936899487, 11.068073039900984 60.01886194506018, 11.068743308734067 60.020320274597296, 11.068842103674692 60.02055093978837)</t>
  </si>
  <si>
    <t>[1499805, 1499806, 1499807, 1509481]</t>
  </si>
  <si>
    <t>[1357139, 1357140, 1357141, 1362817]</t>
  </si>
  <si>
    <t>0.009041983484189008</t>
  </si>
  <si>
    <t>[1357138, 1357139, 1357140, 1357141]</t>
  </si>
  <si>
    <t>[0.028, 0.023, 0.01, 0.011]</t>
  </si>
  <si>
    <t>473.9905261271027</t>
  </si>
  <si>
    <t>[-0.017, 0.011]</t>
  </si>
  <si>
    <t>LINESTRING (11.069382395856401 60.01669630872885, 11.069173577232828 60.01674582435994, 11.069023492057157 60.01672427194069)</t>
  </si>
  <si>
    <t>[1501246, 1501211]</t>
  </si>
  <si>
    <t>[1358024, 1358025]</t>
  </si>
  <si>
    <t>[1357138, 1358024]</t>
  </si>
  <si>
    <t>[0.017, 0.011]</t>
  </si>
  <si>
    <t>21.93395791966484</t>
  </si>
  <si>
    <t>[-0.027, 0.026]</t>
  </si>
  <si>
    <t>LINESTRING (11.044797418712962 59.94935916403966, 11.044611411707777 59.94949112727834, 11.044349151658102 59.949511122633844)</t>
  </si>
  <si>
    <t>[1499817, 1499818]</t>
  </si>
  <si>
    <t>[1357148, 1357149]</t>
  </si>
  <si>
    <t>[1357147, 1357148]</t>
  </si>
  <si>
    <t>[0.027, 0.026]</t>
  </si>
  <si>
    <t>33.522181776033655</t>
  </si>
  <si>
    <t>[-0.089, -0.079, -0.04, 0.039, 0.03, 0.031]</t>
  </si>
  <si>
    <t>LINESTRING (11.044797418712962 59.94935916403966, 11.044855403309342 59.94942565985921, 11.04491547514994 59.94949599411442, 11.045284955797452 59.94983948206815, 11.046248374841998 59.95040064145347, 11.046593115580121 59.95055907861687, 11.046761558179183 59.950622774602024)</t>
  </si>
  <si>
    <t>[1512256, 1512263, 1512270, 1512278, 1512286, 1512294]</t>
  </si>
  <si>
    <t>[1367525, 1367530, 1367536, 1367542, 1367550, 1357185]</t>
  </si>
  <si>
    <t>0.006803402681805828</t>
  </si>
  <si>
    <t>[1357147, 1367525, 1367530, 1367536, 1367542, 1367550]</t>
  </si>
  <si>
    <t>[0.089, 0.079, 0.04, 0.039, 0.03, 0.031]</t>
  </si>
  <si>
    <t>180.81661838814668</t>
  </si>
  <si>
    <t>[0.072, 0.093, 0.096, 0.093]</t>
  </si>
  <si>
    <t>LINESTRING (11.044349151658102 59.949511122633844, 11.04421799302384 59.949483810657505, 11.044118187277805 59.94943406586575, 11.044053444463305 59.94934581767993, 11.044055538376261 59.9492982334165)</t>
  </si>
  <si>
    <t>[1499824, 1499832, 1499833, 1499834]</t>
  </si>
  <si>
    <t>[1357153, 1357159, 1357160, 1357161]</t>
  </si>
  <si>
    <t>0.08871754721960187</t>
  </si>
  <si>
    <t>[1357149, 1357153, 1357159, 1357160]</t>
  </si>
  <si>
    <t>31.584682706240336</t>
  </si>
  <si>
    <t>[-0.08, -0.078, -0.036, 0.03, 0.037, 0.025]</t>
  </si>
  <si>
    <t>LINESTRING (11.044349151658102 59.949511122633844, 11.044437275495465 59.94955483482033, 11.04456144439137 59.94960107648184, 11.04511342057737 59.94988018221563, 11.045893734837586 59.950478181797315, 11.046171462770857 59.95071654391549, 11.046254708067268 59.950834563652634)</t>
  </si>
  <si>
    <t>[1512846, 1512854, 1512855, 1512862, 1512870, 1512878]</t>
  </si>
  <si>
    <t>[1368053, 1368059, 1368060, 1368066, 1368072, 1357244]</t>
  </si>
  <si>
    <t>0.005720497878132804</t>
  </si>
  <si>
    <t>[1357149, 1368053, 1368059, 1368060, 1368066, 1368072]</t>
  </si>
  <si>
    <t>[0.08, 0.078, 0.036, 0.03, 0.037, 0.025]</t>
  </si>
  <si>
    <t>184.20940943061785</t>
  </si>
  <si>
    <t>[-0.088, 0.198, 0.022, -0.028, -0.014, -0.11, -0.198, -0.378, -0.329, -0.161, -0.004, -0.058]</t>
  </si>
  <si>
    <t>LINESTRING (11.014151708137746 59.93998390934302, 11.014488557359643 59.94004354779226, 11.015019916019009 59.940155117670436, 11.02066053138981 59.941467191761795, 11.022268618339895 59.94186367908398, 11.036889466757684 59.94689449893319, 11.041696645286413 59.948628198202734, 11.042328856889352 59.94878719283684, 11.042376653999085 59.94879920989413, 11.04289965804158 59.94893310232753, 11.043137154420213 59.94899967738273, 11.043944900186421 59.94925561595349, 11.044055538376261 59.9492982334165)</t>
  </si>
  <si>
    <t>[1512763, 1512774, 1512782, 1512790, 1512798, 1512806, 1512814, 1512815, 1512823, 1512830, 1512838, 1512839]</t>
  </si>
  <si>
    <t>[1367982, 1367991, 1368000, 1368007, 1368011, 1368019, 1368029, 1368030, 1368037, 1368041, 1368050, 1357161]</t>
  </si>
  <si>
    <t>[1365675, 1367982, 1367991, 1368000, 1368007, 1368011, 1368019, 1368029, 1368030, 1368037, 1368041, 1368050]</t>
  </si>
  <si>
    <t>[0.088, 0.198, 0.022, 0.028, 0.014, 0.11, 0.198, 0.378, 0.329, 0.161, 0.004, 0.058]</t>
  </si>
  <si>
    <t>1978.3116486485073</t>
  </si>
  <si>
    <t>[-0.061, -0.117, -0.13, -0.011]</t>
  </si>
  <si>
    <t>LINESTRING (11.066006062869189 60.01734632922996, 11.065855977190393 60.017324773203796, 11.065752487895617 60.0172587582209, 11.065746296166093 60.01717496790049, 11.065898435754276 60.017088707017685)</t>
  </si>
  <si>
    <t>[1501267, 1501278, 1501294, 1501302]</t>
  </si>
  <si>
    <t>[1358054, 1358059, 1358069, 1358075]</t>
  </si>
  <si>
    <t>[1357162, 1358054, 1358059, 1358069]</t>
  </si>
  <si>
    <t>[0.061, 0.117, 0.13, 0.011]</t>
  </si>
  <si>
    <t>40.55750428230851</t>
  </si>
  <si>
    <t>18.722135352589817</t>
  </si>
  <si>
    <t>[0.003, 0.005, -0.015]</t>
  </si>
  <si>
    <t>LINESTRING (11.068103057884926 60.019812724550995, 11.06799102437988 60.01976166777971, 11.066108642847047 60.017391316580046, 11.066006062869189 60.01734632922996)</t>
  </si>
  <si>
    <t>[1551879, 1499827, 1499836]</t>
  </si>
  <si>
    <t>[1357156, 1357157, 1357162]</t>
  </si>
  <si>
    <t>0.0044476902813366135</t>
  </si>
  <si>
    <t>[1400855, 1357156, 1357157]</t>
  </si>
  <si>
    <t>[0.003, 0.005, 0.015]</t>
  </si>
  <si>
    <t>306.07919893637506</t>
  </si>
  <si>
    <t>[0.019, 0.021, 0.017, -0.006]</t>
  </si>
  <si>
    <t>LINESTRING (11.10684847347249 60.03490724008631, 11.107626814757367 60.034795127209726, 11.107509925701866 60.03484033183074, 11.108441177929842 60.03769244644586, 11.108485639805995 60.037760891733924)</t>
  </si>
  <si>
    <t>[1499916, 1499940, 1499962, 1551911]</t>
  </si>
  <si>
    <t>[1357202, 1357226, 1357241, 1363061]</t>
  </si>
  <si>
    <t>0.01686917928256845</t>
  </si>
  <si>
    <t>[1357174, 1357202, 1357226, 1357241]</t>
  </si>
  <si>
    <t>[0.019, 0.021, 0.017, 0.006]</t>
  </si>
  <si>
    <t>466.95875771523805</t>
  </si>
  <si>
    <t>[0.102, 0.076, 0.027]</t>
  </si>
  <si>
    <t>LINESTRING (11.101882767050812 60.03560210568899, 11.102837555745387 60.035479346810995, 11.102854699328475 60.035476742587875, 11.10684847347249 60.03490724008631)</t>
  </si>
  <si>
    <t>[1499868, 1499874, 1499899]</t>
  </si>
  <si>
    <t>[1357182, 1357184, 1357174]</t>
  </si>
  <si>
    <t>0.041505893597702494</t>
  </si>
  <si>
    <t>[1357181, 1357182, 1357184]</t>
  </si>
  <si>
    <t>287.52983675527327</t>
  </si>
  <si>
    <t>[0.033, 0.02, 0.064]</t>
  </si>
  <si>
    <t>LINESTRING (11.099373385251662 60.03211009904062, 11.099561228621916 60.032208244196916, 11.106567552088665 60.03490884213077, 11.10684847347249 60.03490724008631)</t>
  </si>
  <si>
    <t>[1551887, 1499844, 1499861]</t>
  </si>
  <si>
    <t>[1357167, 1357168, 1357174]</t>
  </si>
  <si>
    <t>0.021540575686694884</t>
  </si>
  <si>
    <t>[1362920, 1357167, 1357168]</t>
  </si>
  <si>
    <t>575.1176040140008</t>
  </si>
  <si>
    <t>[-0.066, -0.001, 0.011]</t>
  </si>
  <si>
    <t>LINESTRING (11.101882767050812 60.03560210568899, 11.101667769226303 60.03564250195739, 11.099301021874261 60.032342590606746, 11.099252309955292 60.0322377697219)</t>
  </si>
  <si>
    <t>[1499936, 1499939, 1551903]</t>
  </si>
  <si>
    <t>[1357221, 1357225, 1400875]</t>
  </si>
  <si>
    <t>[1357181, 1357221, 1357225]</t>
  </si>
  <si>
    <t>[0.066, 0.001, 0.011]</t>
  </si>
  <si>
    <t>464.6828035900666</t>
  </si>
  <si>
    <t>[-0.017, -0.04, -0.099, -0.015, 0.091]</t>
  </si>
  <si>
    <t>LINESTRING (11.104154742516561 60.03610257695234, 11.104016617649153 60.03608139264666, 11.103069097347705 60.035608514363076, 11.10273568188774 60.0354066330495, 11.101775298185952 60.035601035239516, 11.101882767050812 60.03560210568899)</t>
  </si>
  <si>
    <t>[1551895, 1499862, 1499863, 1499866, 1499867]</t>
  </si>
  <si>
    <t>[1357175, 1357176, 1357177, 1357180, 1357181]</t>
  </si>
  <si>
    <t>[1400869, 1357175, 1357176, 1357177, 1357180]</t>
  </si>
  <si>
    <t>[0.017, 0.04, 0.099, 0.015, 0.091]</t>
  </si>
  <si>
    <t>458.1417819706754</t>
  </si>
  <si>
    <t>5.720707998005389</t>
  </si>
  <si>
    <t>[-0.005, 0.018]</t>
  </si>
  <si>
    <t>LINESTRING (11.046254708067268 59.950834563652634, 11.046397609259182 59.950665650220905, 11.046761558179183 59.950622774602024)</t>
  </si>
  <si>
    <t>[1499969, 1499976]</t>
  </si>
  <si>
    <t>[1357245, 1357185]</t>
  </si>
  <si>
    <t>0.0066325349971751175</t>
  </si>
  <si>
    <t>[1357244, 1357245]</t>
  </si>
  <si>
    <t>42.53157615607964</t>
  </si>
  <si>
    <t>LINESTRING (11.046856820496993 59.95064154518238, 11.047029756628865 59.95073339748408, 11.047062120422547 59.95085879018354)</t>
  </si>
  <si>
    <t>[1499884, 1499892]</t>
  </si>
  <si>
    <t>[1357188, 1357189]</t>
  </si>
  <si>
    <t>0.021003088674708653</t>
  </si>
  <si>
    <t>[1357186, 1357188]</t>
  </si>
  <si>
    <t>28.50804092815926</t>
  </si>
  <si>
    <t>LINESTRING (11.046856820496993 59.95064154518238, 11.047051917692887 59.950643299243985, 11.048423660788803 59.95044294009908)</t>
  </si>
  <si>
    <t>[1512302, 1512310]</t>
  </si>
  <si>
    <t>[1367563, 1367571]</t>
  </si>
  <si>
    <t>[1357186, 1367563]</t>
  </si>
  <si>
    <t>91.48694069310935</t>
  </si>
  <si>
    <t>[0.026, 0.017, -0.005, -0.03, -0.032, -0.038, -0.029]</t>
  </si>
  <si>
    <t>LINESTRING (11.047062120422547 59.95085879018354, 11.047030853044234 59.9509075668391, 11.046902114736692 59.95098614271442, 11.046713729680869 59.95102382226955, 11.046611547354699 59.95102399269116, 11.04648791265195 59.95100566516588, 11.046348072622909 59.95095189807646, 11.046254708067268 59.950834563652634)</t>
  </si>
  <si>
    <t>[1499893, 1499922, 1499925, 1499941, 1499949, 1499960, 1499968]</t>
  </si>
  <si>
    <t>[1357190, 1357207, 1357211, 1357227, 1357232, 1357240, 1357244]</t>
  </si>
  <si>
    <t>[1357189, 1357190, 1357207, 1357211, 1357227, 1357232, 1357240]</t>
  </si>
  <si>
    <t>[0.026, 0.017, 0.005, 0.03, 0.032, 0.038, 0.029]</t>
  </si>
  <si>
    <t>65.3919862567278</t>
  </si>
  <si>
    <t>[-0.021, -0.011]</t>
  </si>
  <si>
    <t>LINESTRING (11.047062120422547 59.95085879018354, 11.04717755446332 59.95079768715948, 11.048423660788803 59.95044294009908)</t>
  </si>
  <si>
    <t>[1512892, 1512893]</t>
  </si>
  <si>
    <t>[1368096, 1367571]</t>
  </si>
  <si>
    <t>[1357189, 1368096]</t>
  </si>
  <si>
    <t>[0.021, 0.011]</t>
  </si>
  <si>
    <t>89.75463708119551</t>
  </si>
  <si>
    <t>11.425137505426065</t>
  </si>
  <si>
    <t>[0.041, 0.001, 0.011, -0.009, 0.009, 0.013, 0.051, 0.002]</t>
  </si>
  <si>
    <t>LINESTRING (10.935130678012253 59.93626896647076, 10.93523446269257 59.9362530734849, 10.936146876913654 59.93609176140764, 10.936726985076815 59.93592639497493, 10.936861974913407 59.9358837633544, 10.937056958374859 59.935822178063766, 10.93886710620493 59.93505452977051, 10.939326892545147 59.9347555908323, 10.94074700677885 59.933837580983266)</t>
  </si>
  <si>
    <t>[1550626, 1550634, 1550642, 1550650, 1550658, 1550666, 1550674, 1550682]</t>
  </si>
  <si>
    <t>[1399956, 1399961, 1399968, 1399971, 1399978, 1399982, 1399989, 1368021]</t>
  </si>
  <si>
    <t>0.011511737242976607</t>
  </si>
  <si>
    <t>[1357250, 1399956, 1399961, 1399968, 1399971, 1399978, 1399982, 1399989]</t>
  </si>
  <si>
    <t>[0.041, 0.001, 0.011, 0.009, 0.009, 0.013, 0.051, 0.002]</t>
  </si>
  <si>
    <t>424.4995750520767</t>
  </si>
  <si>
    <t>[-0.002, 0.012, 0.029, 0.032]</t>
  </si>
  <si>
    <t>LINESTRING (10.934856044297211 59.93639096211666, 10.934834752794368 59.93636368367115, 10.934854115774765 59.93629809226721, 10.934914310572582 59.93626567790256, 10.935130678012253 59.93626896647076)</t>
  </si>
  <si>
    <t>[1500032, 1500040, 1500045, 1499977]</t>
  </si>
  <si>
    <t>[1357280, 1357283, 1357249, 1357250]</t>
  </si>
  <si>
    <t>0.02233717364244377</t>
  </si>
  <si>
    <t>[1357276, 1357280, 1357283, 1357249]</t>
  </si>
  <si>
    <t>[0.002, 0.012, 0.029, 0.032]</t>
  </si>
  <si>
    <t>28.313979718081733</t>
  </si>
  <si>
    <t>[0.038, -0.018, -0.087]</t>
  </si>
  <si>
    <t>LINESTRING (11.151667530769293 60.07992574945196, 11.151731939309714 60.07997203300769, 11.152984403950642 60.080288087467856, 11.15311613840974 60.08030170380216)</t>
  </si>
  <si>
    <t>[1499986, 1499991, 1551927]</t>
  </si>
  <si>
    <t>[1357257, 1357258, 1391983]</t>
  </si>
  <si>
    <t>[1357251, 1357257, 1357258]</t>
  </si>
  <si>
    <t>[0.038, 0.018, 0.087]</t>
  </si>
  <si>
    <t>97.81829204652053</t>
  </si>
  <si>
    <t>[0.006, -0.013, -0.003, 0.03]</t>
  </si>
  <si>
    <t>LINESTRING (11.152538357113256 60.07455433093387, 11.152564367175753 60.07469007258131, 11.151747178780097 60.07789863357523, 11.151513043658394 60.07944075939883, 11.151667530769293 60.07992574945196)</t>
  </si>
  <si>
    <t>[1551919, 1499970, 1499971, 1499978]</t>
  </si>
  <si>
    <t>[1357246, 1357247, 1357248, 1357251]</t>
  </si>
  <si>
    <t>[1363127, 1357246, 1357247, 1357248]</t>
  </si>
  <si>
    <t>[0.006, 0.013, 0.003, 0.03]</t>
  </si>
  <si>
    <t>603.2471277844179</t>
  </si>
  <si>
    <t>LINESTRING (10.935201234866673 59.93636089757354, 10.935151174485632 59.936409151672315, 10.935046679371627 59.93643668352834)</t>
  </si>
  <si>
    <t>[1499999, 1500017]</t>
  </si>
  <si>
    <t>[1357262, 1357274]</t>
  </si>
  <si>
    <t>[1357256, 1357262]</t>
  </si>
  <si>
    <t>12.662174428864505</t>
  </si>
  <si>
    <t>[-0.005, -0.005, -0.007, 0.034, 0.088, 0.128]</t>
  </si>
  <si>
    <t>LINESTRING (10.935201234866673 59.93636089757354, 10.935298364091777 59.936405449931755, 10.93534740563321 59.936425735889806, 10.936149656556804 59.93680921834756, 10.936188069872419 59.93682910410516, 10.936230844395075 59.9368509764838, 10.936316296091366 59.936891715322965)</t>
  </si>
  <si>
    <t>[1512357, 1512365, 1512373, 1512389, 1512397, 1512398]</t>
  </si>
  <si>
    <t>[1367615, 1367622, 1367629, 1367643, 1367651, 1357342]</t>
  </si>
  <si>
    <t>0.00883605613178781</t>
  </si>
  <si>
    <t>[1357256, 1367615, 1367622, 1367629, 1367643, 1367651]</t>
  </si>
  <si>
    <t>[0.005, 0.005, 0.007, 0.034, 0.088, 0.128]</t>
  </si>
  <si>
    <t>86.04332676481874</t>
  </si>
  <si>
    <t>[-0.015, 0.024, 0.001, -0.003, 0.012, -0.006]</t>
  </si>
  <si>
    <t>LINESTRING (11.149484030121275 60.08057893908706, 11.149886089877839 60.08030754582011, 11.149890172618335 60.0802987743248, 11.150038313478893 60.079946061066224, 11.15054153491269 60.07881959783994, 11.150769588322378 60.07823495885988, 11.150905781095796 60.07814385563061)</t>
  </si>
  <si>
    <t>[1500007, 1500008, 1500009, 1500012, 1500013, 1551935]</t>
  </si>
  <si>
    <t>[1357265, 1357266, 1357267, 1357269, 1357270, 1400900]</t>
  </si>
  <si>
    <t>[1357264, 1357265, 1357266, 1357267, 1357269, 1357270]</t>
  </si>
  <si>
    <t>[0.015, 0.024, 0.001, 0.003, 0.012, 0.006]</t>
  </si>
  <si>
    <t>287.9666643587976</t>
  </si>
  <si>
    <t>[0.016, -0.0, -0.023]</t>
  </si>
  <si>
    <t>LINESTRING (11.149251260760071 60.08092363879013, 11.14926408244996 60.08087546994459, 11.14942310770863 60.08062300920385, 11.149484030121275 60.08057893908706)</t>
  </si>
  <si>
    <t>[1500014, 1500019, 1500020]</t>
  </si>
  <si>
    <t>[1357272, 1357275, 1357264]</t>
  </si>
  <si>
    <t>[1357271, 1357272, 1357275]</t>
  </si>
  <si>
    <t>[0.016, 0.0, 0.023]</t>
  </si>
  <si>
    <t>41.1371976614588</t>
  </si>
  <si>
    <t>LINESTRING (11.148672658491455 60.084004975545795, 11.148606316845836 60.083921292413834, 11.149251260760071 60.08092363879013)</t>
  </si>
  <si>
    <t>[1551943, 1500026]</t>
  </si>
  <si>
    <t>[1357277, 1357271]</t>
  </si>
  <si>
    <t>0.00717346081352799</t>
  </si>
  <si>
    <t>[1400906, 1357277]</t>
  </si>
  <si>
    <t>346.92479508115593</t>
  </si>
  <si>
    <t>12.375259605887855</t>
  </si>
  <si>
    <t>[0.005, 0.002, 0.039, 0.044]</t>
  </si>
  <si>
    <t>LINESTRING (10.935046679371627 59.93643668352834, 10.935189379165914 59.93646903063096, 10.936023481576587 59.93685926887446, 10.93607774781543 59.93689775095086, 10.93613356134496 59.93697068787568)</t>
  </si>
  <si>
    <t>[1512918, 1512926, 1512934, 1512945]</t>
  </si>
  <si>
    <t>[1368119, 1368127, 1368136, 1357362]</t>
  </si>
  <si>
    <t>0.00875898167739637</t>
  </si>
  <si>
    <t>[1357274, 1368119, 1368127, 1368136]</t>
  </si>
  <si>
    <t>86.74636658640931</t>
  </si>
  <si>
    <t>4.382921400182943</t>
  </si>
  <si>
    <t>17.541537716670796</t>
  </si>
  <si>
    <t>[0.004, -0.019, 0.004]</t>
  </si>
  <si>
    <t>LINESTRING (11.157055416991543 60.1628460507576, 11.159801604312417 60.16534372289213, 11.161047948672376 60.164839278300896, 11.161004451021679 60.16481014989154)</t>
  </si>
  <si>
    <t>[2087014, 2087022, 1500114]</t>
  </si>
  <si>
    <t>[1807772, 1357329, 1357330]</t>
  </si>
  <si>
    <t>[1807729, 1807772, 1357329]</t>
  </si>
  <si>
    <t>[0.004, 0.019, 0.004]</t>
  </si>
  <si>
    <t>456.5301723711459</t>
  </si>
  <si>
    <t>[-0.232, -0.019, -0.011, 0.187]</t>
  </si>
  <si>
    <t>LINESTRING (11.157197247798896 60.16546733779578, 11.157135896675706 60.16545207247221, 11.157044368526345 60.165401771671924, 11.157036204112977 60.1652864720966, 11.157072020997589 60.16525784758716)</t>
  </si>
  <si>
    <t>[1526658, 1526666, 1526674, 1526682]</t>
  </si>
  <si>
    <t>[1380262, 1380270, 1380275, 1370331]</t>
  </si>
  <si>
    <t>[1357338, 1380262, 1380270, 1380275]</t>
  </si>
  <si>
    <t>[0.232, 0.019, 0.011, 0.187]</t>
  </si>
  <si>
    <t>28.30166172972377</t>
  </si>
  <si>
    <t>14.891697370624122</t>
  </si>
  <si>
    <t>[0.025, -0.003, -0.027, 0.013, 0.013, -0.016]</t>
  </si>
  <si>
    <t>LINESTRING (11.16197431394924 60.168229017913106, 11.161813887547018 60.1681506539747, 11.160520910041813 60.16684926455576, 11.160452025530043 60.16680719213776, 11.159543604398989 60.16636695199532, 11.157263083584121 60.16552138710911, 11.157197247798896 60.16546733779578)</t>
  </si>
  <si>
    <t>[1552047, 1500115, 1500121, 1500122, 1500123, 1500128]</t>
  </si>
  <si>
    <t>[1357331, 1357332, 1357335, 1357336, 1357337, 1357338]</t>
  </si>
  <si>
    <t>0.006081660565187014</t>
  </si>
  <si>
    <t>[1400977, 1357331, 1357332, 1357335, 1357336, 1357337]</t>
  </si>
  <si>
    <t>[0.025, 0.003, 0.027, 0.013, 0.013, 0.016]</t>
  </si>
  <si>
    <t>417.4669352320351</t>
  </si>
  <si>
    <t>[-0.006, -0.015, 0.01]</t>
  </si>
  <si>
    <t>LINESTRING (11.157452394309162 60.16544508157425, 11.157502127967353 60.16549522035727, 11.158900332617755 60.165206199937806, 11.15671471679214 60.16299221024363)</t>
  </si>
  <si>
    <t>[1500129, 1500130, 2087029]</t>
  </si>
  <si>
    <t>[1357340, 1357341, 1807730]</t>
  </si>
  <si>
    <t>0.0011914481916229145</t>
  </si>
  <si>
    <t>[1357339, 1357340, 1357341]</t>
  </si>
  <si>
    <t>[0.006, 0.015, 0.01]</t>
  </si>
  <si>
    <t>428.28742714187734</t>
  </si>
  <si>
    <t>8.850988645318797</t>
  </si>
  <si>
    <t>10.45858034571652</t>
  </si>
  <si>
    <t>[-0.04, 0.095]</t>
  </si>
  <si>
    <t>LINESTRING (10.93613356134496 59.93697068787568, 10.936191230982546 59.93691121414228, 10.936316296091366 59.936891715322965)</t>
  </si>
  <si>
    <t>[1500162, 1500163]</t>
  </si>
  <si>
    <t>[1357364, 1357342]</t>
  </si>
  <si>
    <t>0.02728325185858623</t>
  </si>
  <si>
    <t>[1357362, 1357364]</t>
  </si>
  <si>
    <t>[0.04, 0.095]</t>
  </si>
  <si>
    <t>14.693822707553675</t>
  </si>
  <si>
    <t>[0.045, -0.038, -0.122, -0.094]</t>
  </si>
  <si>
    <t>LINESTRING (10.93645222088398 59.936950428242234, 10.93644965571956 59.93700104723704, 10.93636572133965 59.93704764529733, 10.936241925718559 59.93705078444123, 10.936190479346863 59.93703578306051)</t>
  </si>
  <si>
    <t>[1500147, 1500153, 1500154, 1500155]</t>
  </si>
  <si>
    <t>[1357354, 1357359, 1357360, 1357361]</t>
  </si>
  <si>
    <t>[1357343, 1357354, 1357359, 1357360]</t>
  </si>
  <si>
    <t>[0.045, 0.038, 0.122, 0.094]</t>
  </si>
  <si>
    <t>22.900832332502006</t>
  </si>
  <si>
    <t>[-0.007, -0.038, 0.018]</t>
  </si>
  <si>
    <t>LINESTRING (10.941231255173495 59.93392259643143, 10.93722170437311 59.936394559480846, 10.936492448239703 59.93686294987958, 10.93645222088398 59.936950428242234)</t>
  </si>
  <si>
    <t>[1550690, 1550698, 1550706]</t>
  </si>
  <si>
    <t>[1400001, 1400005, 1357343]</t>
  </si>
  <si>
    <t>[1368061, 1400001, 1400005]</t>
  </si>
  <si>
    <t>[0.007, 0.038, 0.018]</t>
  </si>
  <si>
    <t>432.45058565445544</t>
  </si>
  <si>
    <t>[-0.004, -0.016, 0.005, -0.014]</t>
  </si>
  <si>
    <t>LINESTRING (11.161301461698145 60.16478460616689, 11.161330701071018 60.16482770368155, 11.160777274435649 60.16638814658928, 11.162553659743384 60.16847296565398, 11.162541558945964 60.16853132343613)</t>
  </si>
  <si>
    <t>[1500137, 1500138, 1500139, 1552119]</t>
  </si>
  <si>
    <t>[1357348, 1357349, 1357350, 1363644]</t>
  </si>
  <si>
    <t>[1357347, 1357348, 1357349, 1357350]</t>
  </si>
  <si>
    <t>[0.004, 0.016, 0.005, 0.014]</t>
  </si>
  <si>
    <t>446.55855521290357</t>
  </si>
  <si>
    <t>[-0.012, 0.014, 0.017, 0.013, 0.013, 0.004, -0.056]</t>
  </si>
  <si>
    <t>LINESTRING (11.160853461911236 60.164651155012024, 11.160948125624408 60.164581987206965, 11.16108482122677 60.16455449015924, 11.161245362424575 60.16456993406052, 11.16129381577001 60.16458752013198, 11.161368226856048 60.16464541173739, 11.16137128918622 60.16472730260109, 11.161301461698145 60.16478460616689)</t>
  </si>
  <si>
    <t>[1526706, 1526714, 1526722, 1526730, 1526738, 1526746, 1526754]</t>
  </si>
  <si>
    <t>[1380300, 1380309, 1369490, 1380321, 1380328, 1380335, 1357347]</t>
  </si>
  <si>
    <t>[1365133, 1380300, 1380309, 1369490, 1380321, 1380328, 1380335]</t>
  </si>
  <si>
    <t>[0.012, 0.014, 0.017, 0.013, 0.013, 0.004, 0.056]</t>
  </si>
  <si>
    <t>54.182229929579755</t>
  </si>
  <si>
    <t>7.921547134189316</t>
  </si>
  <si>
    <t>[0.007, 0.0, -0.006, 0.01, 0.029, 0.025, 0.008, -0.024, -0.056, -0.01]</t>
  </si>
  <si>
    <t>LINESTRING (10.524457270686517 59.88772581766067, 10.524687689296773 59.88772274033362, 10.524755073109901 59.887744853777946, 10.524821642977768 59.887786292562346, 10.524830469123327 59.8879032868425, 10.524759000923794 59.88795439088943, 10.524649489373015 59.88798436177163, 10.524480183915921 59.887979446330675, 10.524382609908562 59.887946979652966, 10.524310059978653 59.88787767448221, 10.524339970081758 59.88778039805526)</t>
  </si>
  <si>
    <t>[1500563, 1500571, 1500576, 1500584, 1500592, 1500600, 1500604, 1500638, 1500648, 1500540]</t>
  </si>
  <si>
    <t>[1357638, 1357646, 1357649, 1357654, 1357658, 1357663, 1357667, 1357697, 1357620, 1357621]</t>
  </si>
  <si>
    <t>[1357632, 1357638, 1357646, 1357649, 1357654, 1357658, 1357663, 1357667, 1357697, 1357620]</t>
  </si>
  <si>
    <t>[0.007, 0.0, 0.006, 0.01, 0.029, 0.025, 0.008, 0.024, 0.056, 0.01]</t>
  </si>
  <si>
    <t>86.70785966715394</t>
  </si>
  <si>
    <t>[-0.057, -0.034]</t>
  </si>
  <si>
    <t>LINESTRING (10.735521432735213 59.60236157881974, 10.7355412643087 59.60240577349356, 10.735518189869397 59.60246598688847)</t>
  </si>
  <si>
    <t>[1500806, 1500814]</t>
  </si>
  <si>
    <t>[1357807, 1357811]</t>
  </si>
  <si>
    <t>[1357805, 1357807]</t>
  </si>
  <si>
    <t>11.8864326927367</t>
  </si>
  <si>
    <t>[-0.04, -0.034]</t>
  </si>
  <si>
    <t>LINESTRING (10.740334740700632 59.60245548827986, 10.740325425047134 59.60240315749228, 10.740413964109557 59.602320311322735)</t>
  </si>
  <si>
    <t>[1500929, 1500934]</t>
  </si>
  <si>
    <t>[1357888, 1357826]</t>
  </si>
  <si>
    <t>[1357883, 1357888]</t>
  </si>
  <si>
    <t>[0.04, 0.034]</t>
  </si>
  <si>
    <t>16.355346340881244</t>
  </si>
  <si>
    <t>[-0.051, 0.04]</t>
  </si>
  <si>
    <t>LINESTRING (10.73298187227667 59.6244379265371, 10.733059896614416 59.624534976264854, 10.733009834484418 59.62460204271424)</t>
  </si>
  <si>
    <t>[1501035, 1501040]</t>
  </si>
  <si>
    <t>[1357946, 1357949]</t>
  </si>
  <si>
    <t>[1357942, 1357946]</t>
  </si>
  <si>
    <t>[0.051, 0.04]</t>
  </si>
  <si>
    <t>19.966827807042463</t>
  </si>
  <si>
    <t>LINESTRING (10.73587211253574 59.624698843597976, 10.735833022595719 59.624629230980894, 10.73588078610656 59.624560649959605)</t>
  </si>
  <si>
    <t>[1501084, 1501092]</t>
  </si>
  <si>
    <t>[1357968, 1357957]</t>
  </si>
  <si>
    <t>[1357967, 1357968]</t>
  </si>
  <si>
    <t>16.16967785579036</t>
  </si>
  <si>
    <t>LINESTRING (10.840566670869812 59.79721528236663, 10.840607842633517 59.797271433028776, 10.84058856810716 59.79735444126324)</t>
  </si>
  <si>
    <t>[1501210, 1501147]</t>
  </si>
  <si>
    <t>[1357998, 1357999]</t>
  </si>
  <si>
    <t>[1358019, 1357998]</t>
  </si>
  <si>
    <t>15.98426319386934</t>
  </si>
  <si>
    <t>[0.029, 0.04]</t>
  </si>
  <si>
    <t>LINESTRING (11.069023492057157 60.01672427194069, 11.068934399546416 60.01667307224165, 11.068906512676579 60.01659043376448)</t>
  </si>
  <si>
    <t>[1501216, 1501217]</t>
  </si>
  <si>
    <t>[1358028, 1358029]</t>
  </si>
  <si>
    <t>0.03507675510733059</t>
  </si>
  <si>
    <t>[1358025, 1358028]</t>
  </si>
  <si>
    <t>16.90553782000179</t>
  </si>
  <si>
    <t>LINESTRING (11.066184844460471 60.01711163080414, 11.066258871407149 60.01716867612747, 11.066261591948983 60.01725146391618)</t>
  </si>
  <si>
    <t>[1501325, 1501327]</t>
  </si>
  <si>
    <t>[1358088, 1358048]</t>
  </si>
  <si>
    <t>0.056804085054352776</t>
  </si>
  <si>
    <t>[1358084, 1358088]</t>
  </si>
  <si>
    <t>16.80682946673719</t>
  </si>
  <si>
    <t>[0.004, 0.016, 0.022, 0.01, -0.013, -0.017, -0.011]</t>
  </si>
  <si>
    <t>LINESTRING (10.502817046527309 59.877277543078094, 10.502800426166141 59.87732104136723, 10.502743818294128 59.87735597753033, 10.502637749977076 59.87737303433294, 10.502460624075173 59.87728064161438, 10.502498165398096 59.8772279663698, 10.502611877282115 59.87719408401785, 10.502817046527309 59.877277543078094)</t>
  </si>
  <si>
    <t>[1501297, 1501315, 1501321, 1501269, 1501280, 1501281, 1501282]</t>
  </si>
  <si>
    <t>[1358071, 1358082, 1358055, 1358056, 1358060, 1358061, 1358062]</t>
  </si>
  <si>
    <t>0.0001461439565146813</t>
  </si>
  <si>
    <t>[1358062, 1358071, 1358082, 1358055, 1358056, 1358060, 1358061]</t>
  </si>
  <si>
    <t>[0.004, 0.016, 0.022, 0.01, 0.013, 0.017, 0.011]</t>
  </si>
  <si>
    <t>61.540175949187535</t>
  </si>
  <si>
    <t>[0.153, 0.017, 0.0, 0.018]</t>
  </si>
  <si>
    <t>LINESTRING (10.50495826059838 59.87772846768698, 10.504791954911452 59.87766050495377, 10.503840051028355 59.87725317008881, 10.502880831515071 59.877278537366685, 10.502817046527309 59.877277543078094)</t>
  </si>
  <si>
    <t>[1540268, 1505467, 1505469, 1505476]</t>
  </si>
  <si>
    <t>[1361398, 1361399, 1361401, 1358062]</t>
  </si>
  <si>
    <t>0.021891276322436648</t>
  </si>
  <si>
    <t>[1391733, 1361398, 1361399, 1361401]</t>
  </si>
  <si>
    <t>141.93504158177078</t>
  </si>
  <si>
    <t>[0.06, 0.035]</t>
  </si>
  <si>
    <t>LINESTRING (11.065898435754276 60.017088707017685, 11.066032566391783 60.01707832277599, 11.066129711342194 60.017092007203495)</t>
  </si>
  <si>
    <t>[1501305, 1501316]</t>
  </si>
  <si>
    <t>[1358078, 1358083]</t>
  </si>
  <si>
    <t>0.049338592389589736</t>
  </si>
  <si>
    <t>[1358075, 1358078]</t>
  </si>
  <si>
    <t>13.20038447024095</t>
  </si>
  <si>
    <t>[0.403, -0.027]</t>
  </si>
  <si>
    <t>LINESTRING (11.065898435754276 60.017088707017685, 11.065925574588134 60.0170283133076, 11.066011785580857 60.016836415368125)</t>
  </si>
  <si>
    <t>[1724008, 1724018]</t>
  </si>
  <si>
    <t>[1534581, 1534588]</t>
  </si>
  <si>
    <t>0.07593454820330867</t>
  </si>
  <si>
    <t>[1358075, 1534581]</t>
  </si>
  <si>
    <t>[0.403, 0.027]</t>
  </si>
  <si>
    <t>28.81602332668608</t>
  </si>
  <si>
    <t>3.7735924528325135</t>
  </si>
  <si>
    <t>[0.27, -0.023]</t>
  </si>
  <si>
    <t>LINESTRING (11.066129711342194 60.017092007203495, 11.066099432261753 60.01702635942255, 11.066011785580857 60.016836415368125)</t>
  </si>
  <si>
    <t>[1724047, 1724055]</t>
  </si>
  <si>
    <t>[1534604, 1534588]</t>
  </si>
  <si>
    <t>0.05225469300883196</t>
  </si>
  <si>
    <t>[1358083, 1534604]</t>
  </si>
  <si>
    <t>[0.27, 0.023]</t>
  </si>
  <si>
    <t>29.231305162611427</t>
  </si>
  <si>
    <t>[0.037, 0.059, 0.086, 0.924]</t>
  </si>
  <si>
    <t>LINESTRING (10.40179124525061 59.94539848582666, 10.394719409897471 59.94685733045293, 10.394701756785132 59.94685560677474, 10.393455679868584 59.94671238406788, 10.393335886656441 59.946666956158865)</t>
  </si>
  <si>
    <t>[1834653, 1834661, 1834669, 1834670]</t>
  </si>
  <si>
    <t>[1609817, 1609821, 1609828, 1358093]</t>
  </si>
  <si>
    <t>0.056828085157875026</t>
  </si>
  <si>
    <t>[1358090, 1609817, 1609821, 1609828]</t>
  </si>
  <si>
    <t>553.3604904030504</t>
  </si>
  <si>
    <t>[0.039, 0.03, 0.088, 0.833]</t>
  </si>
  <si>
    <t>LINESTRING (10.40179124525061 59.94539848582666, 10.394723844859598 59.94680968330052, 10.394706412093413 59.94680792236, 10.393479145759027 59.94665694850586, 10.393335886656441 59.946666956158865)</t>
  </si>
  <si>
    <t>[1834679, 1834687, 1834695, 1834696]</t>
  </si>
  <si>
    <t>[1609834, 1609841, 1609847, 1358093]</t>
  </si>
  <si>
    <t>0.05750769002457934</t>
  </si>
  <si>
    <t>[1358090, 1609834, 1609841, 1609847]</t>
  </si>
  <si>
    <t>547.1408785376899</t>
  </si>
  <si>
    <t>[0.198, 0.184]</t>
  </si>
  <si>
    <t>LINESTRING (10.393335886656441 59.946666956158865, 10.393189667393147 59.946648349578865, 10.392484091471466 59.94656520108209)</t>
  </si>
  <si>
    <t>[1501333, 1501338]</t>
  </si>
  <si>
    <t>[1358094, 1358098]</t>
  </si>
  <si>
    <t>0.18641185509816877</t>
  </si>
  <si>
    <t>[1358093, 1358094]</t>
  </si>
  <si>
    <t>48.959136989476626</t>
  </si>
  <si>
    <t>[0.018, 0.014, 0.009, -0.003, -0.017, -0.031, -0.05, -0.051, -0.018, 0.031]</t>
  </si>
  <si>
    <t>LINESTRING (10.500197005669857 59.87630594797049, 10.50025224848711 59.87635244473964, 10.50025839956214 59.87644177803137, 10.50015806384377 59.876515596315535, 10.4999304084973 59.87654278933545, 10.499861794099335 59.87653162784325, 10.499800931950205 59.87651209812572, 10.499711481138192 59.87644423166257, 10.499707862040024 59.87636448180891, 10.49980477029567 59.87628955730293, 10.499971294349523 59.876258024223155)</t>
  </si>
  <si>
    <t>[1501472, 1501480, 1501481, 1501364, 1501365, 1501379, 1501403, 1501407, 1501412, 1501438]</t>
  </si>
  <si>
    <t>[1358183, 1358189, 1358109, 1358110, 1358111, 1358117, 1358133, 1358138, 1358141, 1358163]</t>
  </si>
  <si>
    <t>[1358175, 1358183, 1358189, 1358109, 1358110, 1358111, 1358117, 1358133, 1358138, 1358141]</t>
  </si>
  <si>
    <t>[0.018, 0.014, 0.009, 0.003, 0.017, 0.031, 0.05, 0.051, 0.018, 0.031]</t>
  </si>
  <si>
    <t>85.34716561486196</t>
  </si>
  <si>
    <t>[0.002, -0.04]</t>
  </si>
  <si>
    <t>LINESTRING (10.549899084611539 59.89431556083744, 10.549740527063891 59.894296707646525, 10.54965151090329 59.894239738796806)</t>
  </si>
  <si>
    <t>[1501799, 1501800]</t>
  </si>
  <si>
    <t>[1358385, 1358386]</t>
  </si>
  <si>
    <t>[1358378, 1358385]</t>
  </si>
  <si>
    <t>[0.002, 0.04]</t>
  </si>
  <si>
    <t>17.196318223687662</t>
  </si>
  <si>
    <t>[0.059, 0.056, 0.029, 0.044, 0.06]</t>
  </si>
  <si>
    <t>LINESTRING (10.549899084611539 59.89431556083744, 10.549801918730859 59.89436134813336, 10.549563498986123 59.894475388110045, 10.548965136138152 59.89472941846784, 10.548873544730498 59.89477980027209, 10.54879200018818 59.89483027016733)</t>
  </si>
  <si>
    <t>[1511120, 1511128, 1511136, 1511144, 1511158]</t>
  </si>
  <si>
    <t>[1366512, 1366520, 1366527, 1366536, 1358461]</t>
  </si>
  <si>
    <t>0.041530036836452545</t>
  </si>
  <si>
    <t>[1358378, 1366512, 1366520, 1366527, 1366536]</t>
  </si>
  <si>
    <t>84.60936009704298</t>
  </si>
  <si>
    <t>[-0.045, -0.005, 0.072, 0.08]</t>
  </si>
  <si>
    <t>LINESTRING (10.549780350769538 59.89409301658817, 10.54992432890268 59.8940870957117, 10.550046393618258 59.89412449864216, 10.550101779483214 59.894192020389596, 10.549899084611539 59.89431556083744)</t>
  </si>
  <si>
    <t>[1501833, 1501870, 1501880, 1501791]</t>
  </si>
  <si>
    <t>[1358413, 1358450, 1358377, 1358378]</t>
  </si>
  <si>
    <t>0.03959842067796027</t>
  </si>
  <si>
    <t>[1358404, 1358413, 1358450, 1358377]</t>
  </si>
  <si>
    <t>[0.045, 0.005, 0.072, 0.08]</t>
  </si>
  <si>
    <t>43.48428391476462</t>
  </si>
  <si>
    <t>4.924428900717794</t>
  </si>
  <si>
    <t>[0.064, 0.062, 0.032, 0.028, 0.042]</t>
  </si>
  <si>
    <t>LINESTRING (10.54965151090329 59.894239738796806, 10.549600448370674 59.89429409110027, 10.549444982344687 59.89443127017566, 10.548857494337664 59.89466866236226, 10.54874661023744 59.89470407457247, 10.54860312175793 59.89474384213259)</t>
  </si>
  <si>
    <t>[1514065, 1514077, 1514078, 1514082, 1514090]</t>
  </si>
  <si>
    <t>[1369181, 1369194, 1369195, 1369200, 1358513]</t>
  </si>
  <si>
    <t>0.041732118480088884</t>
  </si>
  <si>
    <t>[1358386, 1369181, 1369194, 1369195, 1369200]</t>
  </si>
  <si>
    <t>83.22469648848828</t>
  </si>
  <si>
    <t>14.58571653590009</t>
  </si>
  <si>
    <t>[-0.005, 0.015, -0.006, -0.002, -0.001, 0.009, 0.072]</t>
  </si>
  <si>
    <t>LINESTRING (10.54963767014777 59.894196104604134, 10.549548738815895 59.894165217977374, 10.54908904102956 59.894458499631185, 10.549283646611457 59.894471073126944, 10.54959805512073 59.894489452995415, 10.549768954319257 59.89449394850224, 10.55143021683932 59.894554507645374, 10.551536222499625 59.894600251034014)</t>
  </si>
  <si>
    <t>[1505087, 1505136, 1505169, 1505170, 1505177, 1505185, 1554271]</t>
  </si>
  <si>
    <t>[1361037, 1361076, 1361108, 1361109, 1361115, 1361124, 1393854]</t>
  </si>
  <si>
    <t>0.011831550649250835</t>
  </si>
  <si>
    <t>[1358395, 1361037, 1361076, 1361108, 1361109, 1361115, 1361124]</t>
  </si>
  <si>
    <t>[0.005, 0.015, 0.006, 0.002, 0.001, 0.009, 0.072]</t>
  </si>
  <si>
    <t>290.386928510528</t>
  </si>
  <si>
    <t>[-0.045, -0.036, -0.023]</t>
  </si>
  <si>
    <t>LINESTRING (10.546617944718832 59.89421171853831, 10.546813935213791 59.89421835334136, 10.549705775657506 59.89407520579566, 10.549780350769538 59.89409301658817)</t>
  </si>
  <si>
    <t>[1554287, 1505217, 1505225]</t>
  </si>
  <si>
    <t>[1361155, 1361156, 1358404]</t>
  </si>
  <si>
    <t>[1393902, 1361155, 1361156]</t>
  </si>
  <si>
    <t>[0.045, 0.036, 0.023]</t>
  </si>
  <si>
    <t>188.22559116983712</t>
  </si>
  <si>
    <t>[0.057, 0.071, 0.079, 0.004]</t>
  </si>
  <si>
    <t>LINESTRING (10.54879200018818 59.89483027016733, 10.548784800654177 59.894883984034344, 10.548715478945663 59.8949337973101, 10.548606634305548 59.89495799232779, 10.54839075253881 59.89489942758443)</t>
  </si>
  <si>
    <t>[1501881, 1501892, 1501893, 1501906]</t>
  </si>
  <si>
    <t>[1358462, 1358474, 1358475, 1358487]</t>
  </si>
  <si>
    <t>0.04153446182072084</t>
  </si>
  <si>
    <t>[1358461, 1358462, 1358474, 1358475]</t>
  </si>
  <si>
    <t>33.88179500884273</t>
  </si>
  <si>
    <t>[0.014, 0.033]</t>
  </si>
  <si>
    <t>LINESTRING (10.54860312175793 59.89474384213259, 10.548712853077616 59.89476644028232, 10.54879200018818 59.89483027016733)</t>
  </si>
  <si>
    <t>[1501936, 1501948]</t>
  </si>
  <si>
    <t>[1358514, 1358461]</t>
  </si>
  <si>
    <t>0.024600834003838338</t>
  </si>
  <si>
    <t>[1358513, 1358514]</t>
  </si>
  <si>
    <t>15.022310393190331</t>
  </si>
  <si>
    <t>[-0.078, -0.096]</t>
  </si>
  <si>
    <t>LINESTRING (10.54839075253881 59.89489942758443, 10.54836850265523 59.89483842213001, 10.548430835861359 59.894773983881485)</t>
  </si>
  <si>
    <t>[1501919, 1501927]</t>
  </si>
  <si>
    <t>[1358498, 1358507]</t>
  </si>
  <si>
    <t>[1358487, 1358498]</t>
  </si>
  <si>
    <t>[0.078, 0.096]</t>
  </si>
  <si>
    <t>14.897293774250585</t>
  </si>
  <si>
    <t>[0.025, 0.029, 0.048]</t>
  </si>
  <si>
    <t>LINESTRING (10.54839075253881 59.89489942758443, 10.548279166738643 59.894890795362656, 10.546515072164658 59.894700967335474, 10.5463808059573 59.89465873247721)</t>
  </si>
  <si>
    <t>[1511166, 1511182, 1511186]</t>
  </si>
  <si>
    <t>[1366554, 1366566, 1358519]</t>
  </si>
  <si>
    <t>0.030224997788761893</t>
  </si>
  <si>
    <t>[1358487, 1366554, 1366566]</t>
  </si>
  <si>
    <t>116.9397265083147</t>
  </si>
  <si>
    <t>10.446160202238813</t>
  </si>
  <si>
    <t>[0.039, 0.031]</t>
  </si>
  <si>
    <t>LINESTRING (10.548430835861359 59.894773983881485, 10.5483123327679 59.89477890374159, 10.54697425954553 59.89471242901583)</t>
  </si>
  <si>
    <t>[1514093, 1514101]</t>
  </si>
  <si>
    <t>[1369212, 1361036]</t>
  </si>
  <si>
    <t>0.03164733952472447</t>
  </si>
  <si>
    <t>[1358507, 1369212]</t>
  </si>
  <si>
    <t>82.28709546336398</t>
  </si>
  <si>
    <t>[0.037, -0.054, -0.083, -0.086]</t>
  </si>
  <si>
    <t>LINESTRING (10.5463808059573 59.89465873247721, 10.54622098575564 59.89460925632979, 10.54620740866432 59.894550342627674, 10.546273529930366 59.89449772437508, 10.546312747451099 59.894485562720845)</t>
  </si>
  <si>
    <t>[1501949, 1501964, 1501987, 1502000]</t>
  </si>
  <si>
    <t>[1358520, 1358527, 1358543, 1358556]</t>
  </si>
  <si>
    <t>[1358519, 1358520, 1358527, 1358543]</t>
  </si>
  <si>
    <t>[0.037, 0.054, 0.083, 0.086]</t>
  </si>
  <si>
    <t>27.037231822289222</t>
  </si>
  <si>
    <t>[0.081, 0.095]</t>
  </si>
  <si>
    <t>LINESTRING (10.54655206957617 59.8945961842458, 10.546496538054635 59.89463657104209, 10.5463808059573 59.89465873247721)</t>
  </si>
  <si>
    <t>[1502021, 1502029]</t>
  </si>
  <si>
    <t>[1358575, 1358519]</t>
  </si>
  <si>
    <t>0.08882636524470197</t>
  </si>
  <si>
    <t>[1358574, 1358575]</t>
  </si>
  <si>
    <t>12.406248100332121</t>
  </si>
  <si>
    <t>19.13241280825457</t>
  </si>
  <si>
    <t>[-0.041, -0.028, 0.032, -0.043]</t>
  </si>
  <si>
    <t>LINESTRING (10.546312747451099 59.894485562720845, 10.54628441694981 59.89444323610494, 10.545794684882585 59.89417125567331, 10.544161463379034 59.89369777325395, 10.544081807436473 59.893664499080245)</t>
  </si>
  <si>
    <t>[1505193, 1505201, 1505209, 1554279]</t>
  </si>
  <si>
    <t>[1361131, 1361139, 1361148, 1401750]</t>
  </si>
  <si>
    <t>0.011108803393761666</t>
  </si>
  <si>
    <t>[1358556, 1361131, 1361139, 1361148]</t>
  </si>
  <si>
    <t>[0.041, 0.028, 0.032, 0.043]</t>
  </si>
  <si>
    <t>158.1152612388121</t>
  </si>
  <si>
    <t>3.40587727355785</t>
  </si>
  <si>
    <t>[0.041, 0.151]</t>
  </si>
  <si>
    <t>LINESTRING (10.547250563099405 59.89453177924988, 10.546644196345907 59.89454984195239, 10.546559714810876 59.89456586711649)</t>
  </si>
  <si>
    <t>[1505055, 1505072]</t>
  </si>
  <si>
    <t>[1361006, 1358557]</t>
  </si>
  <si>
    <t>0.05478922877284554</t>
  </si>
  <si>
    <t>[1360997, 1361006]</t>
  </si>
  <si>
    <t>40.33834464955153</t>
  </si>
  <si>
    <t>[0.043, 0.04]</t>
  </si>
  <si>
    <t>LINESTRING (10.54697425954553 59.89471242901583, 10.546639103366816 59.89462786302689, 10.54655206957617 59.8945961842458)</t>
  </si>
  <si>
    <t>[1514102, 1514109]</t>
  </si>
  <si>
    <t>[1369222, 1358574]</t>
  </si>
  <si>
    <t>0.04233592899460354</t>
  </si>
  <si>
    <t>[1361036, 1369222]</t>
  </si>
  <si>
    <t>27.18749023351543</t>
  </si>
  <si>
    <t>[0.066, 0.049, 0.014, -0.039, -0.073, -0.064, -0.029]</t>
  </si>
  <si>
    <t>LINESTRING (11.01547337530221 59.93964630750399, 11.01555560423709 59.93964789583832, 11.015684439514697 59.939694046766604, 11.015698841842887 59.939797869551256, 11.015659585219154 59.939826349742255, 11.015511921585968 59.93986233898731, 11.015327850651245 59.93981361798888, 11.015294557967698 59.93977754912977)</t>
  </si>
  <si>
    <t>[1502918, 1502919, 1502933, 1502941, 1502949, 1502957, 1502908]</t>
  </si>
  <si>
    <t>[1359270, 1359271, 1359280, 1359283, 1359287, 1359262, 1359263]</t>
  </si>
  <si>
    <t>[1359269, 1359270, 1359271, 1359280, 1359283, 1359287, 1359262]</t>
  </si>
  <si>
    <t>[0.066, 0.049, 0.014, 0.039, 0.073, 0.064, 0.029]</t>
  </si>
  <si>
    <t>54.897617234697464</t>
  </si>
  <si>
    <t>[0.007, -0.014]</t>
  </si>
  <si>
    <t>LINESTRING (10.9968233171589 59.97895836536108, 10.996613646974058 59.97888241342219, 10.996600673658886 59.97878348614641)</t>
  </si>
  <si>
    <t>[1503103, 1503110]</t>
  </si>
  <si>
    <t>[1359392, 1359352]</t>
  </si>
  <si>
    <t>[1359379, 1359392]</t>
  </si>
  <si>
    <t>[0.007, 0.014]</t>
  </si>
  <si>
    <t>26.166774969369598</t>
  </si>
  <si>
    <t>[0.02, -0.024, -0.017, 0.03, 0.012, 0.06]</t>
  </si>
  <si>
    <t>LINESTRING (10.99258981791911 59.98007381240877, 10.992793120488546 59.98003250574869, 10.99360370528928 59.97970806833578, 10.995227675431938 59.979142118901784, 10.99527397838479 59.979128601700424, 10.996488856793048 59.97881838883827, 10.996600673658886 59.97878348614641)</t>
  </si>
  <si>
    <t>[1538096, 1538104, 1538112, 1538120, 1538128, 1538136]</t>
  </si>
  <si>
    <t>[1389995, 1390001, 1390010, 1390016, 1390024, 1359352]</t>
  </si>
  <si>
    <t>[1359749, 1389995, 1390001, 1390010, 1390016, 1390024]</t>
  </si>
  <si>
    <t>[0.02, 0.024, 0.017, 0.03, 0.012, 0.06]</t>
  </si>
  <si>
    <t>267.7832601346444</t>
  </si>
  <si>
    <t>[-0.003, 0.016]</t>
  </si>
  <si>
    <t>LINESTRING (10.997013751482864 59.9787156573915, 10.997111638534605 59.97878291016475, 10.997063758887991 59.97891037661931)</t>
  </si>
  <si>
    <t>[1503079, 1503080]</t>
  </si>
  <si>
    <t>[1359374, 1359375]</t>
  </si>
  <si>
    <t>0.008717159482959844</t>
  </si>
  <si>
    <t>[1359360, 1359374]</t>
  </si>
  <si>
    <t>[0.003, 0.016]</t>
  </si>
  <si>
    <t>24.200801678906174</t>
  </si>
  <si>
    <t>[-0.064, -0.013]</t>
  </si>
  <si>
    <t>LINESTRING (10.997013751482864 59.9787156573915, 10.997164117459612 59.97871191632856, 10.997894914981655 59.978631831748245)</t>
  </si>
  <si>
    <t>[1538144, 1538152]</t>
  </si>
  <si>
    <t>[1390040, 1364901]</t>
  </si>
  <si>
    <t>[1359360, 1390040]</t>
  </si>
  <si>
    <t>[0.064, 0.013]</t>
  </si>
  <si>
    <t>50.353041879435416</t>
  </si>
  <si>
    <t>14.920716526238845</t>
  </si>
  <si>
    <t>[-0.066, -0.01]</t>
  </si>
  <si>
    <t>LINESTRING (10.997063758887991 59.97891037661931, 10.997262231408145 59.978842287498225, 10.997953124476526 59.978692395217315)</t>
  </si>
  <si>
    <t>[1541544, 1541552]</t>
  </si>
  <si>
    <t>[1392714, 1392718]</t>
  </si>
  <si>
    <t>[1359375, 1392714]</t>
  </si>
  <si>
    <t>[0.066, 0.01]</t>
  </si>
  <si>
    <t>55.74300112785813</t>
  </si>
  <si>
    <t>[0.018, -0.03, -0.012, 0.009, 0.053]</t>
  </si>
  <si>
    <t>LINESTRING (10.992855671548869 59.98018357390184, 10.99295004149097 59.98013311205667, 10.993684835457465 59.97977886009109, 10.99537016723345 59.9792232245464, 10.9966040949971 59.97896749487945, 10.9968233171589 59.97895836536108)</t>
  </si>
  <si>
    <t>[1541504, 1541512, 1541520, 1541528, 1541536]</t>
  </si>
  <si>
    <t>[1392688, 1392691, 1392696, 1392703, 1359379]</t>
  </si>
  <si>
    <t>[1359757, 1392688, 1392691, 1392696, 1392703]</t>
  </si>
  <si>
    <t>[0.018, 0.03, 0.012, 0.009, 0.053]</t>
  </si>
  <si>
    <t>265.01907574032646</t>
  </si>
  <si>
    <t>[0.05, 0.008, 0.039, 0.016, 0.005, 0.019, 0.059, 0.016]</t>
  </si>
  <si>
    <t>LINESTRING (10.88649130411682 59.67270760085353, 10.885231228234531 59.672939471080895, 10.88521567924569 59.67294377496587, 10.884702787264471 59.67309712902201, 10.884589207445151 59.67313831885418, 10.884456041477941 59.673173112042896, 10.88307561998367 59.67358851119619, 10.882930420465403 59.673636726097534, 10.881912172132937 59.6740049714654)</t>
  </si>
  <si>
    <t>[1542172, 1542180, 1542188, 1542196, 1542204, 1542212, 1542220, 1542228]</t>
  </si>
  <si>
    <t>[1393218, 1393224, 1393230, 1362087, 1393243, 1393248, 1393255, 1359673]</t>
  </si>
  <si>
    <t>0.029251516998008324</t>
  </si>
  <si>
    <t>[1359667, 1393218, 1393224, 1393230, 1362087, 1393243, 1393248, 1393255]</t>
  </si>
  <si>
    <t>297.87322834724773</t>
  </si>
  <si>
    <t>[0.054, 0.027, 0.049, 0.041, 0.051, 0.03, 0.01, -0.013, 0.015, 0.021]</t>
  </si>
  <si>
    <t>LINESTRING (10.88649130411682 59.67270760085353, 10.885327723546743 59.67301586008634, 10.885261052523797 59.67303376229125, 10.885245390536515 59.67303797272059, 10.884785200025812 59.673169200918366, 10.88475505376114 59.67317816216142, 10.884667851461664 59.67320011250459, 10.884569487508296 59.67322581210946, 10.884546154742122 59.67323284745892, 10.883050864557152 59.673684981029986, 10.881912172132937 59.6740049714654)</t>
  </si>
  <si>
    <t>[1552135, 1552143, 1552151, 1552159, 1552167, 1552175, 1552183, 1552191, 1552199, 1552207]</t>
  </si>
  <si>
    <t>[1401046, 1401052, 1401059, 1401065, 1362088, 1401072, 1363532, 1401085, 1401092, 1359673]</t>
  </si>
  <si>
    <t>0.029422312802007047</t>
  </si>
  <si>
    <t>[1359667, 1401046, 1401052, 1401059, 1401065, 1362088, 1401072, 1363532, 1401085, 1401092]</t>
  </si>
  <si>
    <t>[0.054, 0.027, 0.049, 0.041, 0.051, 0.03, 0.01, 0.013, 0.015, 0.021]</t>
  </si>
  <si>
    <t>296.1023545046856</t>
  </si>
  <si>
    <t>[0.009, 0.019, 0.001, 0.009, 0.02, 0.026, 0.014, 0.025, 0.015, 0.008, 0.009, -0.001, -0.036, -0.019, -0.008, -0.025, 0.0, -0.002, -0.027, -0.066, 0.001, -0.003, -0.009, 0.02, 0.021, 0.011]</t>
  </si>
  <si>
    <t>14859.0</t>
  </si>
  <si>
    <t>LINESTRING (10.881912172132937 59.6740049714654, 10.879411993113298 59.674715366404016, 10.873470954298565 59.67613599382486, 10.873256746240846 59.676190746394035, 10.87310440266388 59.67622861983124, 10.872905109826926 59.67627556979868, 10.872622924651074 59.67634137905847, 10.864201311425024 59.67837284075745, 10.862974462123136 59.678668851184334, 10.862847718311743 59.67869934845382, 10.861527291594571 59.67901246837621, 10.861432776450911 59.67903924392555, 10.858729341480108 59.67968723832756, 10.857642926483107 59.67998135449093, 10.855213094660467 59.680851012630804, 10.847219010874458 59.6833126312404, 10.843618413252536 59.683918411909374, 10.841087447168134 59.684238210137, 10.8400981159787 59.68435786020029, 10.834895820205787 59.6848372812345, 10.833885272027647 59.68488409998461, 10.823272215984604 59.6867134582888, 10.820078097447047 59.687716100627895, 10.815926170837546 59.688285021011346, 10.815182660368418 59.68838437232232, 10.814703255479964 59.6884381431452, 10.813678851640168 59.68855619918939)</t>
  </si>
  <si>
    <t>[1503459, 1503466, 1503471, 1503472, 1503473, 1503480, 1503488, 1503496, 1503505, 1503513, 1503549, 1503555, 1503563, 1503569, 1503577, 1503599, 1503611, 1503619, 1503634, 1503635, 1503643, 1503651, 1503659, 1503662, 1503685, 1503686]</t>
  </si>
  <si>
    <t>[1359674, 1359681, 1359686, 673691, 1359687, 673686, 987223, 1359702, 1359708, 1359714, 987261, 1359751, 1359758, 1359761, 1359769, 1359786, 1359793, 1359798, 485102, 1359808, 1359817, 464759, 1359830, 1359833, 1359856, 1359857]</t>
  </si>
  <si>
    <t>[1359673, 1359674, 1359681, 1359686, 673691, 1359687, 673686, 987223, 1359702, 1359708, 1359714, 987261, 1359751, 1359758, 1359761, 1359769, 1359786, 1359793, 1359798, 485102, 1359808, 1359817, 464759, 1359830, 1359833, 1359856]</t>
  </si>
  <si>
    <t>[0.009, 0.019, 0.001, 0.009, 0.02, 0.026, 0.014, 0.025, 0.015, 0.008, 0.009, 0.001, 0.036, 0.019, 0.008, 0.025, 0.0, 0.002, 0.027, 0.066, 0.001, 0.003, 0.009, 0.02, 0.021, 0.011]</t>
  </si>
  <si>
    <t>4224.335556809263</t>
  </si>
  <si>
    <t>7.507462953726932</t>
  </si>
  <si>
    <t>[-0.215, -0.004, 0.098]</t>
  </si>
  <si>
    <t>LINESTRING (10.99245968416796 59.980090713882774, 10.992437099793028 59.980026825610786, 10.991676307369696 59.975675499283, 10.991678567805778 59.97556065409588)</t>
  </si>
  <si>
    <t>[2106989, 2107004, 2106982]</t>
  </si>
  <si>
    <t>[1819915, 1819909, 1406400]</t>
  </si>
  <si>
    <t>[1359748, 1819915, 1819909]</t>
  </si>
  <si>
    <t>[0.215, 0.004, 0.098]</t>
  </si>
  <si>
    <t>531.4942928926857</t>
  </si>
  <si>
    <t>[0.012, -0.003]</t>
  </si>
  <si>
    <t>LINESTRING (10.99258981791911 59.98007381240877, 10.99279828089162 59.980122673330506, 10.992855671548869 59.98018357390184)</t>
  </si>
  <si>
    <t>[1503554, 1503562]</t>
  </si>
  <si>
    <t>[1359750, 1359757]</t>
  </si>
  <si>
    <t>0.00655275428695886</t>
  </si>
  <si>
    <t>[1359749, 1359750]</t>
  </si>
  <si>
    <t>20.66704506519567</t>
  </si>
  <si>
    <t>[-0.038, 0.001, -0.078, -0.01, 0.142, 0.028, 0.016, 0.086, 0.328, 0.023, -0.122, -0.189, -0.079, 0.053, 0.005, -0.002, 0.02]</t>
  </si>
  <si>
    <t>15114.0</t>
  </si>
  <si>
    <t>[0, 0, 0, 1, 0, 0, 0, 0, 0, 0, 0, 0, 0, 0, 0, 1, 0]</t>
  </si>
  <si>
    <t>LINESTRING (10.723962762643007 59.70961783345755, 10.722087843565662 59.709897258764144, 10.718207408282437 59.71056434516371, 10.718084824888463 59.710597388206835, 10.714915716471763 59.7115927489584, 10.714625174149212 59.71167003350371, 10.70987434743587 59.71230278669008, 10.708400215106998 59.71235691940296, 10.707500435744585 59.71237200661217, 10.707494261260713 59.71237199326671, 10.682913841451304 59.707158698417366, 10.682458680616291 59.70699980393449, 10.682444069823603 59.70699470065858, 10.681180088376715 59.706553435721766, 10.680987321683773 59.706486143638635, 10.666676168236435 59.70029935064012, 10.666089533750197 59.69981879009278, 10.660826139822138 59.69502884043016)</t>
  </si>
  <si>
    <t>[1503713, 1503720, 1503721, 1503729, 1503736, 1503749, 1503756, 1503757, 1503776, 1503791, 1503792, 1503800, 1503808, 1503810, 1503812, 1503824, 1503828]</t>
  </si>
  <si>
    <t>[1359873, 1359875, 1359876, 1359883, 1359888, 1359897, 1359903, 1359904, 1359919, 1359931, 1359932, 1359938, 1359946, 1359948, 1359950, 1359962, 1359964]</t>
  </si>
  <si>
    <t>0.011861061786464358</t>
  </si>
  <si>
    <t>[1359872, 1359873, 1359875, 1359876, 1359883, 1359888, 1359897, 1359903, 1359904, 1359919, 1359931, 1359932, 1359938, 1359946, 1359948, 1359950, 1359962]</t>
  </si>
  <si>
    <t>[0.038, 0.001, 0.078, 0.01, 0.142, 0.028, 0.016, 0.086, 0.328, 0.023, 0.122, 0.189, 0.079, 0.053, 0.005, 0.002, 0.02]</t>
  </si>
  <si>
    <t>4404.149943345243</t>
  </si>
  <si>
    <t>[0.083, 0.035, -0.225, -0.193, 0.034, -0.11, -0.003]</t>
  </si>
  <si>
    <t>LINESTRING (10.736156551063255 59.70764344347701, 10.734944577119746 59.707909416385576, 10.730635349124158 59.7086965287371, 10.730376129351894 59.70873079755657, 10.730260459608887 59.70874607491204, 10.7281314646829 59.709034788888914, 10.72683295567757 59.70922348756814, 10.723962762643007 59.70961783345755)</t>
  </si>
  <si>
    <t>[1505036, 1505041, 1505052, 1505060, 1505070, 1505071, 1505079]</t>
  </si>
  <si>
    <t>[1360989, 1360992, 1361003, 1361013, 1361024, 1361025, 1359872]</t>
  </si>
  <si>
    <t>0.008148531290662116</t>
  </si>
  <si>
    <t>[1360975, 1360989, 1360992, 1361003, 1361013, 1361024, 1361025]</t>
  </si>
  <si>
    <t>[0.083, 0.035, 0.225, 0.193, 0.034, 0.11, 0.003]</t>
  </si>
  <si>
    <t>722.9870306069936</t>
  </si>
  <si>
    <t>16.58839937260765</t>
  </si>
  <si>
    <t>[0.002, -0.013]</t>
  </si>
  <si>
    <t>LINESTRING (10.660826139822138 59.69502884043016, 10.660175138044496 59.694800925472684, 10.659987684732407 59.694744791636275)</t>
  </si>
  <si>
    <t>[1505080, 1505090]</t>
  </si>
  <si>
    <t>[1361030, 1360062]</t>
  </si>
  <si>
    <t>[1359964, 1361030]</t>
  </si>
  <si>
    <t>[0.002, 0.013]</t>
  </si>
  <si>
    <t>56.882716448914266</t>
  </si>
  <si>
    <t>LINESTRING (10.660826139822138 59.69502884043016, 10.660382379351724 59.69471894424314, 10.660236712709523 59.69463523918754)</t>
  </si>
  <si>
    <t>[1507092, 1507093]</t>
  </si>
  <si>
    <t>[1362891, 1360124]</t>
  </si>
  <si>
    <t>0.006425000739087018</t>
  </si>
  <si>
    <t>[1359964, 1362891]</t>
  </si>
  <si>
    <t>55.2172692396619</t>
  </si>
  <si>
    <t>[0.0, 0.02, 0.004]</t>
  </si>
  <si>
    <t>LINESTRING (10.659504650174595 59.694381417756794, 10.659498405661441 59.69437812653488, 10.65900463653667 59.694090767182566, 10.658748949434 59.693906199058425)</t>
  </si>
  <si>
    <t>[1503830, 1503838, 1503845]</t>
  </si>
  <si>
    <t>[1359966, 1359972, 1359977]</t>
  </si>
  <si>
    <t>0.013945380567134865</t>
  </si>
  <si>
    <t>[1359965, 1359966, 1359972]</t>
  </si>
  <si>
    <t>68.0366495801818</t>
  </si>
  <si>
    <t>[-0.004, 0.001, 0.002]</t>
  </si>
  <si>
    <t>LINESTRING (10.659777342512033 59.694624521232946, 10.659657261691944 59.694537094804154, 10.659507871537446 59.694385660947724, 10.659504650174595 59.694381417756794)</t>
  </si>
  <si>
    <t>[1505091, 1505092, 1505100]</t>
  </si>
  <si>
    <t>[1361039, 1361040, 1359965]</t>
  </si>
  <si>
    <t>[1360083, 1361039, 1361040]</t>
  </si>
  <si>
    <t>[0.004, 0.001, 0.002]</t>
  </si>
  <si>
    <t>31.356563702558432</t>
  </si>
  <si>
    <t>[-0.014, -0.014, -0.025]</t>
  </si>
  <si>
    <t>LINESTRING (10.659971457364295 59.69451315048228, 10.659816244550703 59.69446728334366, 10.659513046638057 59.69438334148013, 10.659504650174595 59.694381417756794)</t>
  </si>
  <si>
    <t>[1507100, 1507101, 1507114]</t>
  </si>
  <si>
    <t>[1362898, 1362899, 1359965]</t>
  </si>
  <si>
    <t>[1360096, 1362898, 1362899]</t>
  </si>
  <si>
    <t>[0.014, 0.014, 0.025]</t>
  </si>
  <si>
    <t>30.121303740667543</t>
  </si>
  <si>
    <t>[-0.014, 0.004]</t>
  </si>
  <si>
    <t>LINESTRING (10.658748949434 59.693906199058425, 10.657336235992151 59.692662763873656, 10.65578768519909 59.69150037014739)</t>
  </si>
  <si>
    <t>[1780553, 1780561]</t>
  </si>
  <si>
    <t>[1570563, 1359979]</t>
  </si>
  <si>
    <t>[1359977, 1570563]</t>
  </si>
  <si>
    <t>[0.014, 0.004]</t>
  </si>
  <si>
    <t>317.2171890030755</t>
  </si>
  <si>
    <t>[-0.016, 0.006]</t>
  </si>
  <si>
    <t>LINESTRING (10.658748949434 59.693906199058425, 10.657146484549237 59.692723225561906, 10.65578768519909 59.69150037014739)</t>
  </si>
  <si>
    <t>[1780569, 1780577]</t>
  </si>
  <si>
    <t>[1570573, 1359979]</t>
  </si>
  <si>
    <t>[1359977, 1570573]</t>
  </si>
  <si>
    <t>[0.016, 0.006]</t>
  </si>
  <si>
    <t>316.9718177669556</t>
  </si>
  <si>
    <t>[0.001, 0.019, 0.027, 0.033, -0.002]</t>
  </si>
  <si>
    <t>LINESTRING (10.775205372173472 59.824736396298604, 10.77677322393258 59.82388734244234, 10.776791596419214 59.8238860986924, 10.777012265548862 59.823876925534364, 10.77703004240201 59.823876858490436, 10.779678822562994 59.82400347915586)</t>
  </si>
  <si>
    <t>[1503907, 1503915, 1503923, 1503929, 1503941]</t>
  </si>
  <si>
    <t>[1360030, 1360037, 1360044, 1360050, 1359996]</t>
  </si>
  <si>
    <t>0.0007515764422571502</t>
  </si>
  <si>
    <t>[1360022, 1360030, 1360037, 1360044, 1360050]</t>
  </si>
  <si>
    <t>[0.001, 0.019, 0.027, 0.033, 0.002]</t>
  </si>
  <si>
    <t>303.22463498762227</t>
  </si>
  <si>
    <t>[0.038, -0.022, -0.025]</t>
  </si>
  <si>
    <t>LINESTRING (10.775819887361338 59.82187614124549, 10.775871043801038 59.82190925661006, 10.77962417875517 59.82398374079428, 10.779678822562994 59.82400347915586)</t>
  </si>
  <si>
    <t>[1553943, 1503849, 1503864]</t>
  </si>
  <si>
    <t>[1359982, 1359983, 1359996]</t>
  </si>
  <si>
    <t>[1401200, 1359982, 1359983]</t>
  </si>
  <si>
    <t>[0.038, 0.022, 0.025]</t>
  </si>
  <si>
    <t>341.9570998141964</t>
  </si>
  <si>
    <t>[0.096, -0.003, -0.055, 0.021, 0.029, -0.247]</t>
  </si>
  <si>
    <t>[0, 0, 1, 1, 0, 1]</t>
  </si>
  <si>
    <t>LINESTRING (10.775205372173472 59.824736396298604, 10.775233222517834 59.82475617418153, 10.776202976836151 59.824079712338595, 10.776161695758962 59.823968687664326, 10.776150231114935 59.82393235267674, 10.77560684609498 59.822105770955545, 10.77562255159313 59.822052326255104)</t>
  </si>
  <si>
    <t>[1503951, 1503953, 1503954, 1503958, 1503971, 1553951]</t>
  </si>
  <si>
    <t>[1360065, 1360067, 1360068, 1360072, 1360082, 1393358]</t>
  </si>
  <si>
    <t>0.008415991768665518</t>
  </si>
  <si>
    <t>[1360022, 1360065, 1360067, 1360068, 1360072, 1360082]</t>
  </si>
  <si>
    <t>[0.096, 0.003, 0.055, 0.021, 0.029, 0.247]</t>
  </si>
  <si>
    <t>422.9796195669332</t>
  </si>
  <si>
    <t>[-0.172, -0.042]</t>
  </si>
  <si>
    <t>LINESTRING (10.739229021600957 59.706965549428986, 10.739169781791373 59.7069276562602, 10.739147572451111 59.70685050323498)</t>
  </si>
  <si>
    <t>[1503912, 1503932]</t>
  </si>
  <si>
    <t>[1360035, 1360052]</t>
  </si>
  <si>
    <t>[1360034, 1360035]</t>
  </si>
  <si>
    <t>[0.172, 0.042]</t>
  </si>
  <si>
    <t>14.069947762929289</t>
  </si>
  <si>
    <t>[-0.189, -0.03, -0.021, 0.119, 0.42, 0.406, 0.219, 0.079]</t>
  </si>
  <si>
    <t>LINESTRING (10.739229021600957 59.706965549428986, 10.739107587093374 59.7069869143509, 10.738915261472982 59.70701507451108, 10.738041196998802 59.707213757655424, 10.736780758670314 59.70749595714327, 10.736591935751603 59.70753848908132, 10.736424959457414 59.70757701957911, 10.73634360712894 59.707593697112486, 10.736156551063255 59.70764344347701)</t>
  </si>
  <si>
    <t>[1504959, 1504971, 1504972, 1504980, 1504998, 1505006, 1505014, 1505021]</t>
  </si>
  <si>
    <t>[1360923, 1360930, 1360931, 1360936, 1360952, 1360962, 1360968, 1360975]</t>
  </si>
  <si>
    <t>0.0926575820066082</t>
  </si>
  <si>
    <t>[1360034, 1360923, 1360930, 1360931, 1360936, 1360952, 1360962, 1360968]</t>
  </si>
  <si>
    <t>[0.189, 0.03, 0.021, 0.119, 0.42, 0.406, 0.219, 0.079]</t>
  </si>
  <si>
    <t>188.9385517730882</t>
  </si>
  <si>
    <t>[-0.023, -0.013, -0.002, 0.011]</t>
  </si>
  <si>
    <t>LINESTRING (10.659987684732407 59.694744791636275, 10.65992980902005 59.69473837862027, 10.659844257079255 59.69471216496207, 10.659789368955193 59.694668982144, 10.659777342512033 59.694624521232946)</t>
  </si>
  <si>
    <t>[1503949, 1503950, 1503959, 1503972]</t>
  </si>
  <si>
    <t>[1360063, 1360064, 1360073, 1360083]</t>
  </si>
  <si>
    <t>[1360062, 1360063, 1360064, 1360073]</t>
  </si>
  <si>
    <t>[0.023, 0.013, 0.002, 0.011]</t>
  </si>
  <si>
    <t>19.694404733856164</t>
  </si>
  <si>
    <t>[-0.015, -0.024]</t>
  </si>
  <si>
    <t>LINESTRING (10.660236712709523 59.69463523918754, 10.660171818442398 59.69471042432127, 10.659987684732407 59.694744791636275)</t>
  </si>
  <si>
    <t>[1504026, 1504033]</t>
  </si>
  <si>
    <t>[1360126, 1360062]</t>
  </si>
  <si>
    <t>[1360124, 1360126]</t>
  </si>
  <si>
    <t>[0.015, 0.024]</t>
  </si>
  <si>
    <t>20.48483212001952</t>
  </si>
  <si>
    <t>[0.018, 0.026]</t>
  </si>
  <si>
    <t>LINESTRING (10.659777342512033 59.694624521232946, 10.659825250397253 59.6945568668006, 10.659971457364295 59.69451315048228)</t>
  </si>
  <si>
    <t>[1503980, 1503988]</t>
  </si>
  <si>
    <t>[1360090, 1360096]</t>
  </si>
  <si>
    <t>0.022355252934981876</t>
  </si>
  <si>
    <t>[1360083, 1360090]</t>
  </si>
  <si>
    <t>17.577342371652474</t>
  </si>
  <si>
    <t>[0.021, 0.013, -0.006, -0.011]</t>
  </si>
  <si>
    <t>LINESTRING (10.659971457364295 59.69451315048228, 10.660088020488054 59.69451970869778, 10.660159865298441 59.69454187130112, 10.660233341018252 59.69460635197039, 10.660236712709523 59.69463523918754)</t>
  </si>
  <si>
    <t>[1503996, 1504004, 1504012, 1504024]</t>
  </si>
  <si>
    <t>[1360103, 1360110, 1360116, 1360124]</t>
  </si>
  <si>
    <t>0.005035887687841357</t>
  </si>
  <si>
    <t>[1360096, 1360103, 1360110, 1360116]</t>
  </si>
  <si>
    <t>[0.021, 0.013, 0.006, 0.011]</t>
  </si>
  <si>
    <t>22.865793532640236</t>
  </si>
  <si>
    <t>6.783558063536338</t>
  </si>
  <si>
    <t>9.258192534158125</t>
  </si>
  <si>
    <t>16.24713112150769</t>
  </si>
  <si>
    <t>[0.074, 0.064, 0.026, 0.019, -0.042, -0.105, -0.06, 0.017, 0.083, 0.262]</t>
  </si>
  <si>
    <t>LINESTRING (10.634905232094193 59.91178385564799, 10.634864380426787 59.91176130562896, 10.634771234718555 59.911693470951555, 10.63472776812092 59.911671607495755, 10.63460854080493 59.91160984070526, 10.633878717793463 59.911445321956876, 10.633805662822876 59.91144162134562, 10.633195904594404 59.91171224020941, 10.633240050482 59.91181726140338, 10.633707542395904 59.912034066887536, 10.63377557626797 59.91207499129806)</t>
  </si>
  <si>
    <t>[1504076, 1504085, 1504098, 1504106, 1504114, 1504122, 1504130, 1504146, 1504159, 1553959]</t>
  </si>
  <si>
    <t>[1360162, 1360171, 1360180, 1360184, 1360191, 1360199, 1360203, 1360216, 1360228, 1393480]</t>
  </si>
  <si>
    <t>0.0015034447900003662</t>
  </si>
  <si>
    <t>[1360161, 1360162, 1360171, 1360180, 1360184, 1360191, 1360199, 1360203, 1360216, 1360228]</t>
  </si>
  <si>
    <t>[0.074, 0.064, 0.026, 0.019, 0.042, 0.105, 0.06, 0.017, 0.083, 0.262]</t>
  </si>
  <si>
    <t>182.86006381649926</t>
  </si>
  <si>
    <t>[0.195, 0.021, -0.042, -0.174]</t>
  </si>
  <si>
    <t>LINESTRING (10.635033757538931 59.911662333068534, 10.63517755792935 59.91165694103223, 10.635255190552746 59.91167499165618, 10.635332270152462 59.91173006350602, 10.635110387741932 59.91187276951369)</t>
  </si>
  <si>
    <t>[1537434, 1537442, 1537450, 1537458]</t>
  </si>
  <si>
    <t>[524247, 1389371, 478005, 1360233]</t>
  </si>
  <si>
    <t>[1360373, 524247, 1389371, 478005]</t>
  </si>
  <si>
    <t>[0.195, 0.021, 0.042, 0.174]</t>
  </si>
  <si>
    <t>43.78035097369644</t>
  </si>
  <si>
    <t>[0.016, 0.064, 0.026, 0.055, 0.009, 0.016, -0.011, 0.007, 0.029, 0.08, 0.112, 0.053, -0.008, 0.047, -0.026, -0.036, -0.045]</t>
  </si>
  <si>
    <t>LINESTRING (10.628511707924579 59.90964944615324, 10.628881546404715 59.90996652005948, 10.628891974586065 59.909973808580325, 10.62902535175708 59.9100579924021, 10.629037217443726 59.91006469918594, 10.62926802454376 59.91017686585889, 10.62928153905856 59.910182746122594, 10.632151289681365 59.91134103408878, 10.63255666996895 59.91141766830766, 10.633018408535122 59.911423090168604, 10.633790183361512 59.911354978680706, 10.63383146093952 59.91135604238815, 10.63469972185475 59.91152923600525, 10.634850180843545 59.91159057286871, 10.634856104987133 59.91159290955069, 10.634883322553618 59.911603667964016, 10.634954906220539 59.91163122091924, 10.635033757538931 59.911662333068534)</t>
  </si>
  <si>
    <t>[1504519, 1504527, 1504528, 1504540, 1504541, 1504542, 1504557, 1504257, 1504258, 1504265, 1504273, 1504290, 1504293, 1504298, 1504313, 1504327, 1504333]</t>
  </si>
  <si>
    <t>[1360533, 1360541, 1360542, 1360553, 1360554, 1360555, 1360309, 1360310, 1360311, 1360316, 1360320, 1360334, 1360337, 1360342, 1360355, 1360367, 1360373]</t>
  </si>
  <si>
    <t>0.013142637657808407</t>
  </si>
  <si>
    <t>[1360509, 1360533, 1360541, 1360542, 1360553, 1360554, 1360555, 1360309, 1360310, 1360311, 1360316, 1360320, 1360334, 1360337, 1360342, 1360355, 1360367]</t>
  </si>
  <si>
    <t>[0.016, 0.064, 0.026, 0.055, 0.009, 0.016, 0.011, 0.007, 0.029, 0.08, 0.112, 0.053, 0.008, 0.047, 0.026, 0.036, 0.045]</t>
  </si>
  <si>
    <t>453.45951647340223</t>
  </si>
  <si>
    <t>[-0.067, -0.011, -0.003, -0.007, -0.011]</t>
  </si>
  <si>
    <t>LINESTRING (10.62454111606795 59.90893657814388, 10.624718691214811 59.90896136633765, 10.626916709487535 59.90940174940728, 10.62705156430974 59.909411194448936, 10.627350225377771 59.90941392450281, 10.628511707924579 59.90964944615324)</t>
  </si>
  <si>
    <t>[1554047, 1504499, 1504500, 1504509, 1504511]</t>
  </si>
  <si>
    <t>[1360515, 1360516, 1360517, 1360524, 1360509]</t>
  </si>
  <si>
    <t>[1393621, 1360515, 1360516, 1360517, 1360524]</t>
  </si>
  <si>
    <t>[0.067, 0.011, 0.003, 0.007, 0.011]</t>
  </si>
  <si>
    <t>241.59742049666255</t>
  </si>
  <si>
    <t>[-0.067, -0.075, -0.043]</t>
  </si>
  <si>
    <t>LINESTRING (10.628007653333151 59.90862321172362, 10.628123027890979 59.9086716471525, 10.628459820242087 59.90958117860312, 10.628511707924579 59.90964944615324)</t>
  </si>
  <si>
    <t>[1554039, 1504482, 1504490]</t>
  </si>
  <si>
    <t>[1360500, 1360501, 1360509]</t>
  </si>
  <si>
    <t>[1365968, 1360500, 1360501]</t>
  </si>
  <si>
    <t>[0.067, 0.075, 0.043]</t>
  </si>
  <si>
    <t>123.14945214569195</t>
  </si>
  <si>
    <t>[0.035, 0.02, 0.131, 0.185, 0.108, -0.001]</t>
  </si>
  <si>
    <t>LINESTRING (10.6242239888841 59.908747983148075, 10.624335118525385 59.9087606707703, 10.627467127373656 59.9086546842745, 10.627638273560995 59.90855932288235, 10.627648291729502 59.90855204814673, 10.627952501081824 59.908335060551956, 10.62805238012431 59.908270036386824)</t>
  </si>
  <si>
    <t>[1504606, 1504619, 1504627, 1504628, 1504635, 1554055]</t>
  </si>
  <si>
    <t>[1360614, 1360622, 1360630, 1360631, 1360638, 1378834]</t>
  </si>
  <si>
    <t>0.03651086462462443</t>
  </si>
  <si>
    <t>[1360613, 1360614, 1360622, 1360630, 1360631, 1360638]</t>
  </si>
  <si>
    <t>[0.035, 0.02, 0.131, 0.185, 0.108, 0.001]</t>
  </si>
  <si>
    <t>257.83014788505756</t>
  </si>
  <si>
    <t>[0.006, -0.018, -0.014, -0.009, -0.008, -0.033]</t>
  </si>
  <si>
    <t>LINESTRING (10.6242239888841 59.908747983148075, 10.625256169795707 59.90898908179331, 10.626705692329699 59.9091816073747, 10.627127117208891 59.90925903519754, 10.62759227906194 59.909615304234, 10.627644668862365 59.909829266172125, 10.6276501896551 59.909882504919764)</t>
  </si>
  <si>
    <t>[1504644, 1504645, 1504658, 1504666, 1504667, 1504681]</t>
  </si>
  <si>
    <t>[1360644, 1360645, 1360658, 1360666, 1360667, 1360681]</t>
  </si>
  <si>
    <t>[1360613, 1360644, 1360645, 1360658, 1360666, 1360667]</t>
  </si>
  <si>
    <t>[0.006, 0.018, 0.014, 0.009, 0.008, 0.033]</t>
  </si>
  <si>
    <t>252.61799129067512</t>
  </si>
  <si>
    <t>[0.05, -0.024, -0.042]</t>
  </si>
  <si>
    <t>LINESTRING (10.971228868593004 60.25905754565382, 10.9727149988307 60.25899906719518, 10.974197904651511 60.25883464172786, 10.974206327951332 60.25883367483744)</t>
  </si>
  <si>
    <t>[2107933, 2107941, 2107949]</t>
  </si>
  <si>
    <t>[1820452, 1820459, 1820460]</t>
  </si>
  <si>
    <t>0.01258484473519935</t>
  </si>
  <si>
    <t>[1360708, 1820452, 1820459]</t>
  </si>
  <si>
    <t>[0.05, 0.024, 0.042]</t>
  </si>
  <si>
    <t>167.58072043897806</t>
  </si>
  <si>
    <t>[0.078, -0.023, -0.026, -0.043]</t>
  </si>
  <si>
    <t>LINESTRING (10.971228868593004 60.25905754565382, 10.972357930210537 60.258953446149725, 10.972704523054407 60.258920390395616, 10.974152416705763 60.25876273240997, 10.97416063620566 60.25876180428528)</t>
  </si>
  <si>
    <t>[2108008, 2108012, 2108014, 2108020]</t>
  </si>
  <si>
    <t>[1820502, 1820504, 1820505, 1820477]</t>
  </si>
  <si>
    <t>0.014311419931570125</t>
  </si>
  <si>
    <t>[1360708, 1820502, 1820504, 1820505]</t>
  </si>
  <si>
    <t>[0.078, 0.023, 0.026, 0.043]</t>
  </si>
  <si>
    <t>165.9102606191456</t>
  </si>
  <si>
    <t>[-0.018, -0.03, -0.003, 0.031, 0.017, -0.032]</t>
  </si>
  <si>
    <t>LINESTRING (10.976511019400904 60.25840209306602, 11.001854646140366 60.2535781512608, 11.00237984825613 60.253580504873696, 11.00384178329227 60.253500699251894, 11.005323642388518 60.25325839903178, 11.017649825912292 60.24708429365625, 11.018643636815927 60.24678062053673)</t>
  </si>
  <si>
    <t>[1504720, 1504721, 1504729, 1504736, 1504744, 1504752]</t>
  </si>
  <si>
    <t>[1360714, 1360715, 1360721, 1360728, 1360736, 1360742]</t>
  </si>
  <si>
    <t>[1360713, 1360714, 1360715, 1360721, 1360728, 1360736]</t>
  </si>
  <si>
    <t>[0.018, 0.03, 0.003, 0.031, 0.017, 0.032]</t>
  </si>
  <si>
    <t>2773.8918028425846</t>
  </si>
  <si>
    <t>126.6686907955338</t>
  </si>
  <si>
    <t>126.32926449101801</t>
  </si>
  <si>
    <t>[-0.018, -0.02]</t>
  </si>
  <si>
    <t>LINESTRING (11.018643636815927 60.24678062053673, 11.01902151125438 60.24655696372457, 11.019102132350339 60.246490171431674)</t>
  </si>
  <si>
    <t>[1505115, 1505118]</t>
  </si>
  <si>
    <t>[1361056, 1361059]</t>
  </si>
  <si>
    <t>[1360742, 1361056]</t>
  </si>
  <si>
    <t>[0.018, 0.02]</t>
  </si>
  <si>
    <t>41.3365760482641</t>
  </si>
  <si>
    <t>LINESTRING (11.018643636815927 60.24678062053673, 11.019198406059095 60.24666971529135, 11.019276414773612 60.246646886195116)</t>
  </si>
  <si>
    <t>[1507130, 1507138]</t>
  </si>
  <si>
    <t>[1362924, 1362932]</t>
  </si>
  <si>
    <t>[1360742, 1362924]</t>
  </si>
  <si>
    <t>38.13795957926239</t>
  </si>
  <si>
    <t>[-0.011, 0.006, 0.037, 0.081, -0.069, -0.2, 0.002, 0.001]</t>
  </si>
  <si>
    <t>7988.0</t>
  </si>
  <si>
    <t>LINESTRING (11.020224978288773 60.246164651119415, 11.020982560535993 60.2457382219136, 11.02795026444769 60.23979330979632, 11.030665270358728 60.23907633121531, 11.030680671342974 60.23907158733073, 11.031403948700024 60.2388479045875, 11.031557567252566 60.238800093536256, 11.034001454454254 60.23785040002756, 11.044495398655059 60.225738949313616)</t>
  </si>
  <si>
    <t>[1504768, 1504776, 1504792, 1504807, 1504830, 1504831, 1504839, 1504847]</t>
  </si>
  <si>
    <t>[1360759, 1360766, 1360781, 1360795, 1360811, 1360812, 1360819, 1360826]</t>
  </si>
  <si>
    <t>0.00255894735284543</t>
  </si>
  <si>
    <t>[1360758, 1360759, 1360766, 1360781, 1360795, 1360811, 1360812, 1360819]</t>
  </si>
  <si>
    <t>[0.011, 0.006, 0.037, 0.081, 0.069, 0.2, 0.002, 0.001]</t>
  </si>
  <si>
    <t>2759.221257606842</t>
  </si>
  <si>
    <t>[0.004, -0.007]</t>
  </si>
  <si>
    <t>LINESTRING (11.019598885759162 60.246353608964874, 11.019695095186004 60.24632490737762, 11.020224978288773 60.246164651119415)</t>
  </si>
  <si>
    <t>[1505119, 1505120]</t>
  </si>
  <si>
    <t>[1361061, 1360758]</t>
  </si>
  <si>
    <t>[1361060, 1361061]</t>
  </si>
  <si>
    <t>40.574652546593335</t>
  </si>
  <si>
    <t>LINESTRING (11.019773194265387 60.24648928735354, 11.019839332147932 60.24642052246094, 11.020224978288773 60.246164651119415)</t>
  </si>
  <si>
    <t>[1507146, 1507162]</t>
  </si>
  <si>
    <t>[1362939, 1360758]</t>
  </si>
  <si>
    <t>[1362938, 1362939]</t>
  </si>
  <si>
    <t>44.12271700624252</t>
  </si>
  <si>
    <t>536.1279035130482</t>
  </si>
  <si>
    <t>40.29759108445885</t>
  </si>
  <si>
    <t>[0.054, 0.052, 0.054]</t>
  </si>
  <si>
    <t>LINESTRING (10.596305876039327 59.90325652698639, 10.59622341159997 59.90323038621785, 10.595689180604793 59.90310099653961, 10.59560731165443 59.90308386792147)</t>
  </si>
  <si>
    <t>[1504846, 1504860, 1504868]</t>
  </si>
  <si>
    <t>[1360825, 1360837, 1360844]</t>
  </si>
  <si>
    <t>0.052477869196528755</t>
  </si>
  <si>
    <t>[1360765, 1360825, 1360837]</t>
  </si>
  <si>
    <t>43.626223811451524</t>
  </si>
  <si>
    <t>38.288177244696755</t>
  </si>
  <si>
    <t>[0.073, 0.081]</t>
  </si>
  <si>
    <t>LINESTRING (10.595791742958875 59.90342096987875, 10.595739217262372 59.90331759509275, 10.59560731165443 59.90308386792147)</t>
  </si>
  <si>
    <t>[1504899, 1504907]</t>
  </si>
  <si>
    <t>[1360871, 1360844]</t>
  </si>
  <si>
    <t>0.07857404133824791</t>
  </si>
  <si>
    <t>[1360772, 1360871]</t>
  </si>
  <si>
    <t>39.21033740464799</t>
  </si>
  <si>
    <t>[0.023, 0.019, 0.023, 0.006, 0.001]</t>
  </si>
  <si>
    <t>LINESTRING (10.596804239926332 59.90352140155642, 10.596831233603952 59.90345069667112, 10.596834696477183 59.90344186489946, 10.59684511074171 59.90342300517355, 10.597027912497365 59.90307285287823, 10.597095383502417 59.90296056269723)</t>
  </si>
  <si>
    <t>[1504791, 1504799, 1504800, 1504806, 1504814]</t>
  </si>
  <si>
    <t>[1360780, 1360788, 1360789, 1360794, 1360799]</t>
  </si>
  <si>
    <t>0.007874889100600862</t>
  </si>
  <si>
    <t>[1360779, 1360780, 1360788, 1360789, 1360794]</t>
  </si>
  <si>
    <t>64.62380787707266</t>
  </si>
  <si>
    <t>7.615153577453824</t>
  </si>
  <si>
    <t>0.435</t>
  </si>
  <si>
    <t>2.1952735592575627</t>
  </si>
  <si>
    <t>[-0.021, -0.017]</t>
  </si>
  <si>
    <t>LINESTRING (11.044495398655059 60.225738949313616, 11.044562388995226 60.22546894412444, 11.044574346473043 60.22542766023342)</t>
  </si>
  <si>
    <t>[1505134, 1505142]</t>
  </si>
  <si>
    <t>[1361074, 1361080]</t>
  </si>
  <si>
    <t>[1360826, 1361074]</t>
  </si>
  <si>
    <t>[0.021, 0.017]</t>
  </si>
  <si>
    <t>34.96490338159545</t>
  </si>
  <si>
    <t>[-0.022, -0.004]</t>
  </si>
  <si>
    <t>LINESTRING (11.044495398655059 60.225738949313616, 11.044815741347998 60.225542618462306, 11.044878503287938 60.22549877873862)</t>
  </si>
  <si>
    <t>[1507170, 1507178]</t>
  </si>
  <si>
    <t>[1362963, 1362969]</t>
  </si>
  <si>
    <t>[1360826, 1362963]</t>
  </si>
  <si>
    <t>[0.022, 0.004]</t>
  </si>
  <si>
    <t>34.17488479359713</t>
  </si>
  <si>
    <t>[0.025, 0.014, 0.016]</t>
  </si>
  <si>
    <t>LINESTRING (10.59560731165443 59.90308386792147, 10.595224343079009 59.90292087117555, 10.594002863090509 59.90262818071772, 10.59392230310428 59.9025877139873)</t>
  </si>
  <si>
    <t>[1504915, 1504930, 1554183]</t>
  </si>
  <si>
    <t>[1360886, 1360899, 1401504]</t>
  </si>
  <si>
    <t>0.016936724045905373</t>
  </si>
  <si>
    <t>[1360844, 1360886, 1360899]</t>
  </si>
  <si>
    <t>110.4768176453225</t>
  </si>
  <si>
    <t>[0.0, 0.038, 0.086]</t>
  </si>
  <si>
    <t>LINESTRING (10.575575970588986 59.89831651521774, 10.575575970588986 59.89831651521774, 10.575973037368964 59.899004476578746, 10.576043521002006 59.89910651323829)</t>
  </si>
  <si>
    <t>[1505002, 1505003, 1554207]</t>
  </si>
  <si>
    <t>[1360958, 1360959, 1393732]</t>
  </si>
  <si>
    <t>0.041661856011273105</t>
  </si>
  <si>
    <t>[1360957, 1360958, 1360959]</t>
  </si>
  <si>
    <t>105.67112828770172</t>
  </si>
  <si>
    <t>[-0.021, -0.001, -0.021]</t>
  </si>
  <si>
    <t>LINESTRING (10.573645360487776 59.89840445213464, 10.573826841099521 59.89840733839216, 10.575320124841543 59.89832497920419, 10.575370671752312 59.89825635587135)</t>
  </si>
  <si>
    <t>[1554223, 1505024, 1505038]</t>
  </si>
  <si>
    <t>[1360978, 1360979, 1360990]</t>
  </si>
  <si>
    <t>[1393746, 1360978, 1360979]</t>
  </si>
  <si>
    <t>[0.021, 0.001, 0.021]</t>
  </si>
  <si>
    <t>116.21093507519629</t>
  </si>
  <si>
    <t>[0.036, 0.036, 0.012]</t>
  </si>
  <si>
    <t>LINESTRING (10.547250563099405 59.89453177924988, 10.547007542469608 59.89453936272787, 10.546918353195071 59.8946711205686, 10.54697425954553 59.89471242901583)</t>
  </si>
  <si>
    <t>[1505073, 1505085, 1505086]</t>
  </si>
  <si>
    <t>[1361026, 1361035, 1361036]</t>
  </si>
  <si>
    <t>0.032552557706964205</t>
  </si>
  <si>
    <t>[1360997, 1361026, 1361035]</t>
  </si>
  <si>
    <t>38.758620358457826</t>
  </si>
  <si>
    <t>[0.012, -0.025, 0.008, 0.031]</t>
  </si>
  <si>
    <t>LINESTRING (10.550256040523367 59.89468375454512, 10.550043479215981 59.8947259624392, 10.549474167420417 59.89471085785005, 10.548044805005649 59.89461614336358, 10.547250563099405 59.89453177924988)</t>
  </si>
  <si>
    <t>[1554263, 1505042, 1505046, 1505047]</t>
  </si>
  <si>
    <t>[1360993, 1360994, 1360996, 1360997]</t>
  </si>
  <si>
    <t>0.008252939991436389</t>
  </si>
  <si>
    <t>[1401706, 1360993, 1360994, 1360996]</t>
  </si>
  <si>
    <t>[0.012, 0.025, 0.008, 0.031]</t>
  </si>
  <si>
    <t>170.9501317424992</t>
  </si>
  <si>
    <t>[-0.019, -0.022, 0.012, 0.024]</t>
  </si>
  <si>
    <t>LINESTRING (11.019102132350339 60.246490171431674, 11.01915334195711 60.246411069564495, 11.019274942902841 60.24635394947528, 11.019436805282403 60.24633309916491, 11.019598885759162 60.246353608964874)</t>
  </si>
  <si>
    <t>[1526066, 1526074, 1526082, 1526090]</t>
  </si>
  <si>
    <t>[1371317, 1379814, 1365716, 1361060]</t>
  </si>
  <si>
    <t>[1361059, 1371317, 1379814, 1365716]</t>
  </si>
  <si>
    <t>[0.019, 0.022, 0.012, 0.024]</t>
  </si>
  <si>
    <t>37.055491785187144</t>
  </si>
  <si>
    <t>[-0.002, -0.012]</t>
  </si>
  <si>
    <t>LINESTRING (11.019276414773612 60.246646886195116, 11.019154370907186 60.24659009035159, 11.019102132350339 60.246490171431674)</t>
  </si>
  <si>
    <t>[1526170, 1526178]</t>
  </si>
  <si>
    <t>[1379887, 1361059]</t>
  </si>
  <si>
    <t>[1362932, 1379887]</t>
  </si>
  <si>
    <t>[0.002, 0.012]</t>
  </si>
  <si>
    <t>20.765599403107025</t>
  </si>
  <si>
    <t>[0.033, 0.032]</t>
  </si>
  <si>
    <t>LINESTRING (11.019598885759162 60.246353608964874, 11.019721120625002 60.24641032023806, 11.019773194265387 60.24648928735354)</t>
  </si>
  <si>
    <t>[1526098, 1526106]</t>
  </si>
  <si>
    <t>[1379833, 1362938]</t>
  </si>
  <si>
    <t>0.03250004284472209</t>
  </si>
  <si>
    <t>[1361060, 1379833]</t>
  </si>
  <si>
    <t>18.522947861184896</t>
  </si>
  <si>
    <t>[0.207, 0.009, 0.003, -0.118]</t>
  </si>
  <si>
    <t>LINESTRING (11.044574346473043 60.22542766023342, 11.04452972950963 60.225378034927786, 11.044523733621466 60.22529336956461, 11.044601013612583 60.2252178787123, 11.044869028954155 60.22516086518096)</t>
  </si>
  <si>
    <t>[1540762, 1540770, 1540778, 1540786]</t>
  </si>
  <si>
    <t>[1372863, 1392129, 1369098, 1361081]</t>
  </si>
  <si>
    <t>[1361080, 1372863, 1392129, 1369098]</t>
  </si>
  <si>
    <t>[0.207, 0.009, 0.003, 0.118]</t>
  </si>
  <si>
    <t>41.49269467082102</t>
  </si>
  <si>
    <t>[0.118, -0.105]</t>
  </si>
  <si>
    <t>LINESTRING (11.044878503287938 60.22549877873862, 11.044724346420747 60.225485987184534, 11.044574346473043 60.22542766023342)</t>
  </si>
  <si>
    <t>[1540842, 1540850]</t>
  </si>
  <si>
    <t>[1392184, 1361080]</t>
  </si>
  <si>
    <t>[1362969, 1392184]</t>
  </si>
  <si>
    <t>[0.118, 0.105]</t>
  </si>
  <si>
    <t>19.216649791795525</t>
  </si>
  <si>
    <t>[-0.009, 0.005]</t>
  </si>
  <si>
    <t>LINESTRING (11.044869028954155 60.22516086518096, 11.044920980366916 60.2251240833868, 11.04523901097169 60.22491628356363)</t>
  </si>
  <si>
    <t>[1505143, 1505144]</t>
  </si>
  <si>
    <t>[1361082, 1361083]</t>
  </si>
  <si>
    <t>0.002944146021102225</t>
  </si>
  <si>
    <t>[1361081, 1361082]</t>
  </si>
  <si>
    <t>34.11261246524509</t>
  </si>
  <si>
    <t>[0.186, -0.145]</t>
  </si>
  <si>
    <t>LINESTRING (11.044869028954155 60.22516086518096, 11.045032144616558 60.225185224222194, 11.045151086297233 60.225245868929555)</t>
  </si>
  <si>
    <t>[1540794, 1540802]</t>
  </si>
  <si>
    <t>[1392146, 1362985]</t>
  </si>
  <si>
    <t>0.02049079513551787</t>
  </si>
  <si>
    <t>[1361081, 1392146]</t>
  </si>
  <si>
    <t>[0.186, 0.145]</t>
  </si>
  <si>
    <t>18.881682363829103</t>
  </si>
  <si>
    <t>[-0.012, -0.031, 0.007, 0.019]</t>
  </si>
  <si>
    <t>LINESTRING (11.04523901097169 60.22491628356363, 11.056089195753668 60.21769104092865, 11.056849764520459 60.217362990955586, 11.067215109176814 60.211333709511955, 11.06767608870064 60.21032699177313)</t>
  </si>
  <si>
    <t>[1525010, 1525018, 1525026, 1525034]</t>
  </si>
  <si>
    <t>[1378887, 1378895, 1378902, 1361084]</t>
  </si>
  <si>
    <t>[1361083, 1378887, 1378895, 1378902]</t>
  </si>
  <si>
    <t>[0.012, 0.031, 0.007, 0.019]</t>
  </si>
  <si>
    <t>2084.9413900190516</t>
  </si>
  <si>
    <t>LINESTRING (11.045151086297233 60.225245868929555, 11.045163143898442 60.225197755726306, 11.04523901097169 60.22491628356363)</t>
  </si>
  <si>
    <t>[1507194, 1507209]</t>
  </si>
  <si>
    <t>[1362986, 1361083]</t>
  </si>
  <si>
    <t>[1362985, 1362986]</t>
  </si>
  <si>
    <t>37.05016878978654</t>
  </si>
  <si>
    <t>[0.012, 0.015, 0.019]</t>
  </si>
  <si>
    <t>LINESTRING (11.06767608870064 60.21032699177313, 11.067622039231418 60.210062384268305, 11.067580818307698 60.20996110503355, 11.067568759952534 60.2099140185336)</t>
  </si>
  <si>
    <t>[1505145, 1505152, 1505153]</t>
  </si>
  <si>
    <t>[1361085, 1361091, 1361092]</t>
  </si>
  <si>
    <t>0.013541071374915</t>
  </si>
  <si>
    <t>[1361084, 1361085, 1361091]</t>
  </si>
  <si>
    <t>46.44368927602686</t>
  </si>
  <si>
    <t>[0.014, 0.004, -0.0]</t>
  </si>
  <si>
    <t>LINESTRING (11.06767608870064 60.21032699177313, 11.067858415971067 60.21007093890522, 11.067922457705988 60.20998817500745, 11.067985999700301 60.20993519712488)</t>
  </si>
  <si>
    <t>[1507217, 1507225, 1507227]</t>
  </si>
  <si>
    <t>[1363008, 1363016, 1363017]</t>
  </si>
  <si>
    <t>0.009851937182639948</t>
  </si>
  <si>
    <t>[1361084, 1363008, 1363016]</t>
  </si>
  <si>
    <t>[0.014, 0.004, 0.0]</t>
  </si>
  <si>
    <t>47.03042425799029</t>
  </si>
  <si>
    <t>37.28662878316946</t>
  </si>
  <si>
    <t>LINESTRING (11.067985999700301 60.20993519712488, 11.067755903444857 60.209960153992384, 11.067568759952534 60.2099140185336)</t>
  </si>
  <si>
    <t>[1526242, 1526250]</t>
  </si>
  <si>
    <t>[1379940, 1361092]</t>
  </si>
  <si>
    <t>0.006194073137546463</t>
  </si>
  <si>
    <t>[1363017, 1379940]</t>
  </si>
  <si>
    <t>24.853368515581835</t>
  </si>
  <si>
    <t>[-0.059, -0.005, -0.002, -0.03, -0.012, 0.007, 0.019, -0.003, 0.049]</t>
  </si>
  <si>
    <t>LINESTRING (10.721804402521707 59.51199516946574, 10.721809181602673 59.512003104223766, 10.722068485970652 59.51243373439393, 10.722383940122617 59.51293841892421, 10.722695945230516 59.51337912753856, 10.72444034571296 59.515843358504846, 10.724446480019052 59.5158517781229, 10.726465224571827 59.51871671570269, 10.726825526509128 59.51925316645532, 10.727016535950828 59.51953754122171)</t>
  </si>
  <si>
    <t>[1505158, 1505159, 1505167, 1505175, 1505183, 1505184, 1505191, 1505199, 1505215]</t>
  </si>
  <si>
    <t>[1361097, 1361098, 1361106, 1361113, 1361122, 1361123, 1361129, 1361137, 1361153]</t>
  </si>
  <si>
    <t>0.002705714501673103</t>
  </si>
  <si>
    <t>[1361096, 1361097, 1361098, 1361106, 1361113, 1361122, 1361123, 1361129, 1361137]</t>
  </si>
  <si>
    <t>[0.059, 0.005, 0.002, 0.03, 0.012, 0.007, 0.019, 0.003, 0.049]</t>
  </si>
  <si>
    <t>890.9617325315049</t>
  </si>
  <si>
    <t>[0.0, 0.021, 0.019]</t>
  </si>
  <si>
    <t>LINESTRING (11.067691669048017 60.20963735042583, 11.067693191628711 60.209635498799805, 11.067731390115059 60.209588843543806, 11.067867426544009 60.20927964473177)</t>
  </si>
  <si>
    <t>[1505162, 1505163, 1505178]</t>
  </si>
  <si>
    <t>[1361102, 1361103, 1361116]</t>
  </si>
  <si>
    <t>0.01916988735495532</t>
  </si>
  <si>
    <t>[1361101, 1361102, 1361103]</t>
  </si>
  <si>
    <t>41.1577435200252</t>
  </si>
  <si>
    <t>LINESTRING (11.067691669048017 60.20963735042583, 11.067859103163766 60.20962998722086, 11.06807190844424 60.20969410834493)</t>
  </si>
  <si>
    <t>[1526194, 1526202]</t>
  </si>
  <si>
    <t>[1379902, 1363024]</t>
  </si>
  <si>
    <t>[1361101, 1379902]</t>
  </si>
  <si>
    <t>23.369774005159286</t>
  </si>
  <si>
    <t>[0.02, 0.0, -0.0, 0.009, -0.007, 0.002]</t>
  </si>
  <si>
    <t>12344.0</t>
  </si>
  <si>
    <t>LINESTRING (11.067867426544009 60.20927964473177, 11.06784789379486 60.20821469247381, 11.067847158978967 60.208205752868494, 11.067800874720497 60.20314036721407, 11.067903215616811 60.20129662227437, 11.067976995742532 60.19969624374461, 11.067944031695522 60.19888619071955)</t>
  </si>
  <si>
    <t>[1525042, 1525050, 1525058, 1525066, 1525074, 1525082]</t>
  </si>
  <si>
    <t>[1378915, 1378921, 1378927, 1378936, 1378943, 1361117]</t>
  </si>
  <si>
    <t>0.0027240635215578487</t>
  </si>
  <si>
    <t>[1361116, 1378915, 1378921, 1378927, 1378936, 1378943]</t>
  </si>
  <si>
    <t>[0.02, 0.0, 0.0, 0.009, 0.007, 0.002]</t>
  </si>
  <si>
    <t>1158.4971965686768</t>
  </si>
  <si>
    <t>[0.0, 0.012, 0.034]</t>
  </si>
  <si>
    <t>LINESTRING (11.06807190844424 60.20969410834493, 11.068070381911618 60.20969132116948, 11.06803215792049 60.20962124442724, 11.067867426544009 60.20927964473177)</t>
  </si>
  <si>
    <t>[1507234, 1507235, 1507236]</t>
  </si>
  <si>
    <t>[1363025, 1363026, 1361116]</t>
  </si>
  <si>
    <t>0.030026951183751767</t>
  </si>
  <si>
    <t>[1363024, 1363025, 1363026]</t>
  </si>
  <si>
    <t>47.56098069692473</t>
  </si>
  <si>
    <t>[-0.015, -0.02]</t>
  </si>
  <si>
    <t>LINESTRING (11.067944031695522 60.19888619071955, 11.068053269160085 60.198347929818695, 11.068117184722537 60.19825486025676)</t>
  </si>
  <si>
    <t>[1505179, 1505187]</t>
  </si>
  <si>
    <t>[1361118, 1361126]</t>
  </si>
  <si>
    <t>[1361117, 1361118]</t>
  </si>
  <si>
    <t>[0.015, 0.02]</t>
  </si>
  <si>
    <t>72.64444913796314</t>
  </si>
  <si>
    <t>[-0.015, -0.027]</t>
  </si>
  <si>
    <t>LINESTRING (11.067944031695522 60.19888619071955, 11.068254310915506 60.198408349715024, 11.068309354769216 60.198354058984904)</t>
  </si>
  <si>
    <t>[1507243, 1507251]</t>
  </si>
  <si>
    <t>[1363033, 1363042]</t>
  </si>
  <si>
    <t>[1361117, 1363033]</t>
  </si>
  <si>
    <t>[0.015, 0.027]</t>
  </si>
  <si>
    <t>62.912277584663634</t>
  </si>
  <si>
    <t>13.065085510343875</t>
  </si>
  <si>
    <t>[0.001, -0.011]</t>
  </si>
  <si>
    <t>LINESTRING (11.068309354769216 60.198354058984904, 11.068183769279708 60.198317068328656, 11.068117184722537 60.19825486025676)</t>
  </si>
  <si>
    <t>[1526410, 1526418]</t>
  </si>
  <si>
    <t>[1380067, 1361126]</t>
  </si>
  <si>
    <t>[1363042, 1380067]</t>
  </si>
  <si>
    <t>15.949994976592812</t>
  </si>
  <si>
    <t>LINESTRING (11.068164895228218 60.19814300646377, 11.068084465968505 60.198077438670495, 11.067722215191507 60.197572499518365)</t>
  </si>
  <si>
    <t>[1505203, 1505211]</t>
  </si>
  <si>
    <t>[1361142, 1361150]</t>
  </si>
  <si>
    <t>0.012141242321823873</t>
  </si>
  <si>
    <t>[1361141, 1361142]</t>
  </si>
  <si>
    <t>69.78545148402459</t>
  </si>
  <si>
    <t>LINESTRING (11.068164895228218 60.19814300646377, 11.068305965749444 60.198095953608224, 11.068473522630631 60.19809913038558)</t>
  </si>
  <si>
    <t>[1526362, 1526370]</t>
  </si>
  <si>
    <t>[1380033, 1363051]</t>
  </si>
  <si>
    <t>[1361141, 1380033]</t>
  </si>
  <si>
    <t>18.722341369452167</t>
  </si>
  <si>
    <t>272.5887849875637</t>
  </si>
  <si>
    <t>LINESTRING (11.068473522630631 60.19809913038558, 11.068338175708279 60.19802816559699, 11.067722215191507 60.197572499518365)</t>
  </si>
  <si>
    <t>[1507259, 1507267]</t>
  </si>
  <si>
    <t>[1363052, 1361150]</t>
  </si>
  <si>
    <t>0.01274847102855273</t>
  </si>
  <si>
    <t>[1363051, 1363052]</t>
  </si>
  <si>
    <t>72.84726749407096</t>
  </si>
  <si>
    <t>[0.026, -0.03, 0.012, 0.02, 0.013, 0.055, 0.115, 0.011, -0.122, -0.134, -0.136, -0.111, 0.07, 0.236, 0.142, 0.014, -0.011, -0.116, 0.028, 0.109, 0.004, -0.012, -0.014, -0.048, -0.034, -0.021, -0.026, -0.033, 0.002, 0.027, 0.025]</t>
  </si>
  <si>
    <t>[0, 0, 0, 0, 0, 0, 0, 0, 0, 0, 0, 1, 1, 1, 0, 0, 0, 1, 1, 0, 0, 0, 0, 0, 0, 1, 0, 0, 0, 0, 0]</t>
  </si>
  <si>
    <t>LINESTRING (10.727016535950828 59.51953754122171, 10.727385345220272 59.520079330905936, 10.727512810346623 59.52027546376923, 10.72917796329072 59.52376033769088, 10.72973569293231 59.525874416552, 10.729749223637526 59.52596070612351, 10.7299315909067 59.527250833199126, 10.729938610133763 59.527365756377606, 10.728310727595968 59.53531181673766, 10.728262148120363 59.535430092459976, 10.727713289710792 59.53672075070279, 10.727677465781348 59.53680723383669, 10.727201665459233 59.53794740571332, 10.726007654006013 59.54078608311306, 10.725991110415116 59.54082771474968, 10.725798223419941 59.54131327118712, 10.722923828183012 59.55058790965224, 10.721959054908499 59.555236953901684, 10.721879474480346 59.55564996313737, 10.721629331821838 59.55703716679485, 10.721564698620192 59.557438436032335, 10.723015229005934 59.57013252119632, 10.723020449340645 59.57014109058466, 10.73287960788149 59.58294406311957, 10.732885142981909 59.582952561353245, 10.7330060871813 59.58313794877383, 10.733046665240842 59.583209410556584, 10.733133384507296 59.58334622119802, 10.733199274962573 59.58345016073977, 10.738811060781643 59.599644638479724, 10.738791428892752 59.59974324323277, 10.738674374616163 59.60027894774092)</t>
  </si>
  <si>
    <t>[1505216, 1505223, 1505245, 1505253, 344016, 343968, 343976, 343984, 343992, 344000, 344032, 1505261, 1505274, 1505290, 1505298, 1505306, 1505307, 1505323, 1505324, 1505339, 1505340, 1505341, 1505348, 1505356, 1505360, 1505361, 1505385, 1505386, 1505393, 1505394, 1505401]</t>
  </si>
  <si>
    <t>[1361154, 1361162, 1361183, 332574, 332517, 332518, 332525, 332534, 332544, 332554, 332594, 1361197, 1361207, 1361221, 1361231, 1361238, 1361239, 1361254, 1361255, 1361268, 1361269, 1361270, 1361279, 1361286, 1361290, 1361291, 1361316, 1361317, 1361324, 1361325, 1361335]</t>
  </si>
  <si>
    <t>0.0027230913490197514</t>
  </si>
  <si>
    <t>[1361153, 1361154, 1361162, 1361183, 332574, 332517, 332518, 332525, 332534, 332544, 332554, 332594, 1361197, 1361207, 1361221, 1361231, 1361238, 1361239, 1361254, 1361255, 1361268, 1361269, 1361270, 1361279, 1361286, 1361290, 1361291, 1361316, 1361317, 1361324, 1361325]</t>
  </si>
  <si>
    <t>[0.026, 0.03, 0.012, 0.02, 0.013, 0.055, 0.115, 0.011, 0.122, 0.134, 0.136, 0.111, 0.07, 0.236, 0.142, 0.014, 0.011, 0.116, 0.028, 0.109, 0.004, 0.012, 0.014, 0.048, 0.034, 0.021, 0.026, 0.033, 0.002, 0.027, 0.025]</t>
  </si>
  <si>
    <t>9222.93692042737</t>
  </si>
  <si>
    <t>[-0.003, 0.003]</t>
  </si>
  <si>
    <t>LINESTRING (11.066855003455363 60.195165367339165, 11.066141042297795 60.19384231114336, 11.066097115577039 60.193779920898606)</t>
  </si>
  <si>
    <t>[1505219, 1505220]</t>
  </si>
  <si>
    <t>[1361159, 1361160]</t>
  </si>
  <si>
    <t>[1361158, 1361159]</t>
  </si>
  <si>
    <t>160.54912341891634</t>
  </si>
  <si>
    <t>[-0.003, 0.009]</t>
  </si>
  <si>
    <t>LINESTRING (11.066855003455363 60.195165367339165, 11.066412927326184 60.1938210189606, 11.066392623428554 60.19376083187763)</t>
  </si>
  <si>
    <t>[1507275, 1507290]</t>
  </si>
  <si>
    <t>[1363065, 1363075]</t>
  </si>
  <si>
    <t>[1361158, 1363065]</t>
  </si>
  <si>
    <t>[0.003, 0.009]</t>
  </si>
  <si>
    <t>159.01701988070164</t>
  </si>
  <si>
    <t>[0.005, 0.001, -0.003, -0.002]</t>
  </si>
  <si>
    <t>LINESTRING (11.066097115577039 60.193779920898606, 11.066045710233636 60.19376140306237, 11.06597766231282 60.193708499466425, 11.065977254976803 60.19363054641541, 11.066004164985815 60.193601859618894)</t>
  </si>
  <si>
    <t>[1526426, 1526434, 1526442, 1526450]</t>
  </si>
  <si>
    <t>[1371506, 1380088, 1365935, 1361180]</t>
  </si>
  <si>
    <t>[1361160, 1371506, 1380088, 1365935]</t>
  </si>
  <si>
    <t>[0.005, 0.001, 0.003, 0.002]</t>
  </si>
  <si>
    <t>22.73611289723354</t>
  </si>
  <si>
    <t>[0.088, -0.077]</t>
  </si>
  <si>
    <t>LINESTRING (11.066392623428554 60.19376083187763, 11.066251031153651 60.193794292403695, 11.066097115577039 60.193779920898606)</t>
  </si>
  <si>
    <t>[1526506, 1526514]</t>
  </si>
  <si>
    <t>[1380136, 1361160]</t>
  </si>
  <si>
    <t>0.005534940744878052</t>
  </si>
  <si>
    <t>[1363075, 1380136]</t>
  </si>
  <si>
    <t>[0.088, 0.077]</t>
  </si>
  <si>
    <t>17.384646840796435</t>
  </si>
  <si>
    <t>[-0.013, 0.004, 0.019, 0.013]</t>
  </si>
  <si>
    <t>LINESTRING (10.524128184271628 59.88838533132252, 10.523883554065147 59.888314954386935, 10.523495238290792 59.88823519032169, 10.521996486193363 59.888480944815825, 10.521838548190491 59.88847107113748)</t>
  </si>
  <si>
    <t>[1505242, 1505249, 1505257, 1505265]</t>
  </si>
  <si>
    <t>[1361179, 1361186, 1361193, 1361201]</t>
  </si>
  <si>
    <t>0.01241549700321484</t>
  </si>
  <si>
    <t>[1361178, 1361179, 1361186, 1361193]</t>
  </si>
  <si>
    <t>[0.013, 0.004, 0.019, 0.013]</t>
  </si>
  <si>
    <t>138.60624326445776</t>
  </si>
  <si>
    <t>[-0.045, 0.047, 0.032]</t>
  </si>
  <si>
    <t>LINESTRING (10.526311438248195 59.889341825646746, 10.526215992113105 59.88931969391048, 10.524893169427198 59.88871743966621, 10.524128184271628 59.88838533132252)</t>
  </si>
  <si>
    <t>[1554295, 1505226, 1505241]</t>
  </si>
  <si>
    <t>[1361164, 1361165, 1361178]</t>
  </si>
  <si>
    <t>0.038439359021880476</t>
  </si>
  <si>
    <t>[1401797, 1361164, 1361165]</t>
  </si>
  <si>
    <t>[0.045, 0.047, 0.032]</t>
  </si>
  <si>
    <t>162.4786134970543</t>
  </si>
  <si>
    <t>[-0.002, 0.016]</t>
  </si>
  <si>
    <t>LINESTRING (11.066004164985815 60.193601859618894, 11.066013692640242 60.19351754035377, 11.066022464590766 60.19310266428553)</t>
  </si>
  <si>
    <t>[1505243, 1505259]</t>
  </si>
  <si>
    <t>[1361181, 1361195]</t>
  </si>
  <si>
    <t>0.012964491342993748</t>
  </si>
  <si>
    <t>[1361180, 1361181]</t>
  </si>
  <si>
    <t>[0.002, 0.016]</t>
  </si>
  <si>
    <t>55.80579679500481</t>
  </si>
  <si>
    <t>LINESTRING (11.066004164985815 60.193601859618894, 11.066185878209405 60.19354397061136, 11.066366766732324 60.19356678461321)</t>
  </si>
  <si>
    <t>[1526458, 1526466]</t>
  </si>
  <si>
    <t>[1380103, 1370250]</t>
  </si>
  <si>
    <t>[1361180, 1380103]</t>
  </si>
  <si>
    <t>22.613325900090388</t>
  </si>
  <si>
    <t>159.52446658995646</t>
  </si>
  <si>
    <t>LINESTRING (11.066366766732324 60.19356678461321, 11.066313596820695 60.19350152181315, 11.066022464590766 60.19310266428553)</t>
  </si>
  <si>
    <t>[1515187, 1515195]</t>
  </si>
  <si>
    <t>[1370251, 1361195]</t>
  </si>
  <si>
    <t>0.011722316239214828</t>
  </si>
  <si>
    <t>[1370250, 1370251]</t>
  </si>
  <si>
    <t>55.28255762062031</t>
  </si>
  <si>
    <t>[-0.009, 0.006, 0.01, 0.006, 0.006, -0.011]</t>
  </si>
  <si>
    <t>LINESTRING (11.065601756382621 60.19168686693498, 11.065493526530682 60.1906768007389, 11.065499001811048 60.190631115801935, 11.065505550652535 60.190576473033374, 11.065512298922632 60.190515345603245, 11.065619729487866 60.189893697582754, 11.065961838070688 60.18922449112911)</t>
  </si>
  <si>
    <t>[1505260, 1505267, 1505277, 1505278, 1505285, 1505308]</t>
  </si>
  <si>
    <t>[487094, 1361202, 1361211, 1361212, 1361218, 1361240]</t>
  </si>
  <si>
    <t>[1361196, 487094, 1361202, 1361211, 1361212, 1361218]</t>
  </si>
  <si>
    <t>[0.009, 0.006, 0.01, 0.006, 0.006, 0.011]</t>
  </si>
  <si>
    <t>278.4525905608241</t>
  </si>
  <si>
    <t>[-0.006, 0.004, 0.002, 0.005, 0.001, -0.01, -0.013]</t>
  </si>
  <si>
    <t>LINESTRING (11.065601756382621 60.19168686693498, 11.065637014473085 60.19068466047218, 11.065645147355333 60.19063186271791, 11.065649574930722 60.19057985383322, 11.065661495117178 60.19051970714033, 11.06578246145533 60.18990650707519, 11.065797460155084 60.18983603275302, 11.065961838070688 60.18922449112911)</t>
  </si>
  <si>
    <t>[1515203, 1515214, 1515215, 1515222, 1515230, 1515231, 1515247]</t>
  </si>
  <si>
    <t>[487093, 1370270, 1368236, 1370277, 1370284, 1370285, 1361240]</t>
  </si>
  <si>
    <t>[1361196, 487093, 1370270, 1368236, 1370277, 1370284, 1370285]</t>
  </si>
  <si>
    <t>[0.006, 0.004, 0.002, 0.005, 0.001, 0.01, 0.013]</t>
  </si>
  <si>
    <t>275.92319800456954</t>
  </si>
  <si>
    <t>[0.092, -0.127]</t>
  </si>
  <si>
    <t>LINESTRING (10.52169115882858 59.88825021901122, 10.521922986198113 59.88836243173659, 10.521838548190491 59.88847107113748)</t>
  </si>
  <si>
    <t>[1533800, 1533808]</t>
  </si>
  <si>
    <t>[1386315, 1361201]</t>
  </si>
  <si>
    <t>0.0022590136097603063</t>
  </si>
  <si>
    <t>[1361228, 1386315]</t>
  </si>
  <si>
    <t>[0.092, 0.127]</t>
  </si>
  <si>
    <t>33.05212336894724</t>
  </si>
  <si>
    <t>[-0.03, -0.01, 0.021]</t>
  </si>
  <si>
    <t>LINESTRING (10.52169115882858 59.88825021901122, 10.52179214543472 59.88817811546111, 10.521960329028778 59.88711692046774, 10.52195239155159 59.88710889818895)</t>
  </si>
  <si>
    <t>[1505296, 1505304, 1505312]</t>
  </si>
  <si>
    <t>[1361229, 1361236, 1361244]</t>
  </si>
  <si>
    <t>[1361228, 1361229, 1361236]</t>
  </si>
  <si>
    <t>[0.03, 0.01, 0.021]</t>
  </si>
  <si>
    <t>140.9600490327644</t>
  </si>
  <si>
    <t>[-0.007, -0.02, -0.029]</t>
  </si>
  <si>
    <t>LINESTRING (10.52195239155159 59.88710889818895, 10.520531667898476 59.88609539035717, 10.520244743224012 59.885881160000345, 10.520188087860532 59.885774361836944)</t>
  </si>
  <si>
    <t>[1505313, 1505328, 1554327]</t>
  </si>
  <si>
    <t>[1361245, 1361259, 1401860]</t>
  </si>
  <si>
    <t>[1361244, 1361245, 1361259]</t>
  </si>
  <si>
    <t>[0.007, 0.02, 0.029]</t>
  </si>
  <si>
    <t>179.29353345829543</t>
  </si>
  <si>
    <t>LINESTRING (11.080346233971 60.17842842866202, 11.081143026899724 60.17829631933368, 11.081301904474556 60.17826883986717)</t>
  </si>
  <si>
    <t>[1505316, 1505317]</t>
  </si>
  <si>
    <t>[1361248, 1361249]</t>
  </si>
  <si>
    <t>0.007667422041402411</t>
  </si>
  <si>
    <t>[1361247, 1361248]</t>
  </si>
  <si>
    <t>55.95080089693266</t>
  </si>
  <si>
    <t>LINESTRING (11.080346233971 60.17842842866202, 11.081202330987958 60.17844014756542, 11.081303712582327 60.17843520203617)</t>
  </si>
  <si>
    <t>[1515252, 1515253]</t>
  </si>
  <si>
    <t>[1370303, 1370304]</t>
  </si>
  <si>
    <t>0.009061165208245858</t>
  </si>
  <si>
    <t>[1361247, 1370303]</t>
  </si>
  <si>
    <t>53.28602402405618</t>
  </si>
  <si>
    <t>[-0.042, 0.01, 0.012, 0.048]</t>
  </si>
  <si>
    <t>LINESTRING (11.081301904474556 60.17826883986717, 11.081461104151911 60.17818994892043, 11.081578654464076 60.178172752483995, 11.081693960530155 60.17817436778748, 11.081931140459115 60.17825869937136)</t>
  </si>
  <si>
    <t>[1526522, 1526530, 1526538, 1526546]</t>
  </si>
  <si>
    <t>[1363171, 1380158, 1361892, 1361262]</t>
  </si>
  <si>
    <t>0.009629775733838815</t>
  </si>
  <si>
    <t>[1361249, 1363171, 1380158, 1361892]</t>
  </si>
  <si>
    <t>[0.042, 0.01, 0.012, 0.048]</t>
  </si>
  <si>
    <t>42.543148184049585</t>
  </si>
  <si>
    <t>[-0.074, 0.048]</t>
  </si>
  <si>
    <t>LINESTRING (11.081303712582327 60.17843520203617, 11.081264864795148 60.17836752852727, 11.081301904474556 60.17826883986717)</t>
  </si>
  <si>
    <t>[1526602, 1526610]</t>
  </si>
  <si>
    <t>[1380215, 1361249]</t>
  </si>
  <si>
    <t>[1370304, 1380215]</t>
  </si>
  <si>
    <t>[0.074, 0.048]</t>
  </si>
  <si>
    <t>19.03140855590491</t>
  </si>
  <si>
    <t>[-0.0, -0.0, -0.003]</t>
  </si>
  <si>
    <t>LINESTRING (11.081931140459115 60.17825869937136, 11.082078669650976 60.17825947916801, 11.082309467877165 60.17826070061527, 11.082747900325069 60.17828017540653)</t>
  </si>
  <si>
    <t>[1505332, 1505347, 1505355]</t>
  </si>
  <si>
    <t>[1361263, 1361278, 1361285]</t>
  </si>
  <si>
    <t>[1361262, 1361263, 1361278]</t>
  </si>
  <si>
    <t>[0.0, 0.0, 0.003]</t>
  </si>
  <si>
    <t>45.43562909310948</t>
  </si>
  <si>
    <t>[-0.053, 0.048]</t>
  </si>
  <si>
    <t>LINESTRING (11.081931140459115 60.17825869937136, 11.081979924618318 60.1783338584878, 11.081936850742743 60.17843776248329)</t>
  </si>
  <si>
    <t>[1526554, 1526562]</t>
  </si>
  <si>
    <t>[1380176, 1370305]</t>
  </si>
  <si>
    <t>0.005286806793452289</t>
  </si>
  <si>
    <t>[1361262, 1380176]</t>
  </si>
  <si>
    <t>[0.053, 0.048]</t>
  </si>
  <si>
    <t>20.81393239646974</t>
  </si>
  <si>
    <t>[0.013, -0.025, -0.018, 0.001, 0.012]</t>
  </si>
  <si>
    <t>LINESTRING (10.523394548020743 59.886751503835185, 10.522653198474462 59.88716693005485, 10.522869485280534 59.887296031782455, 10.523510721118331 59.887679037209345, 10.52400955353561 59.88797750565477, 10.524120946727015 59.88807634406718)</t>
  </si>
  <si>
    <t>[1537386, 1537394, 1537402, 1537410, 1540252]</t>
  </si>
  <si>
    <t>[1389325, 1389331, 1389339, 1389346, 1391722]</t>
  </si>
  <si>
    <t>0.003968981102794985</t>
  </si>
  <si>
    <t>[1361274, 1389325, 1389331, 1389339, 1389346]</t>
  </si>
  <si>
    <t>[0.013, 0.025, 0.018, 0.001, 0.012]</t>
  </si>
  <si>
    <t>329.7602228867916</t>
  </si>
  <si>
    <t>[0.065, -0.025, -0.016, -0.021]</t>
  </si>
  <si>
    <t>LINESTRING (10.522957925383762 59.887680915107424, 10.523061847181296 59.887507198929576, 10.523067073122961 59.887498563597134, 10.523135504262482 59.88738569155727, 10.523394548020743 59.886751503835185)</t>
  </si>
  <si>
    <t>[1537354, 1537362, 1537370, 1537378]</t>
  </si>
  <si>
    <t>[1389295, 1389305, 1389313, 1361274]</t>
  </si>
  <si>
    <t>[1361333, 1389295, 1389305, 1389313]</t>
  </si>
  <si>
    <t>[0.065, 0.025, 0.016, 0.021]</t>
  </si>
  <si>
    <t>106.68238972597032</t>
  </si>
  <si>
    <t>[0.067, 0.007, 0.019, 0.041]</t>
  </si>
  <si>
    <t>LINESTRING (11.014151708137746 59.93998390934302, 11.01397253606021 59.939983881717076, 11.01190460759989 59.939544742663884, 11.01012726755325 59.93964074961159, 11.010069734074658 59.9397038982906)</t>
  </si>
  <si>
    <t>[1510168, 1550746, 1550754, 1550762]</t>
  </si>
  <si>
    <t>[1365676, 1400046, 1400051, 1361281]</t>
  </si>
  <si>
    <t>0.015650141899004804</t>
  </si>
  <si>
    <t>[1365675, 1365676, 1400046, 1400051]</t>
  </si>
  <si>
    <t>255.43908339909294</t>
  </si>
  <si>
    <t>288.17664921540097</t>
  </si>
  <si>
    <t>[-0.001, -0.001, -0.007]</t>
  </si>
  <si>
    <t>LINESTRING (11.081936850742743 60.17843776248329, 11.082103955368751 60.17840772978459, 11.082327972961597 60.17836746102088, 11.082747900325069 60.17828017540653)</t>
  </si>
  <si>
    <t>[1515254, 1515262, 1515270]</t>
  </si>
  <si>
    <t>[1370306, 1370315, 1361285]</t>
  </si>
  <si>
    <t>[1370305, 1370306, 1370315]</t>
  </si>
  <si>
    <t>[0.001, 0.001, 0.007]</t>
  </si>
  <si>
    <t>48.33890804259474</t>
  </si>
  <si>
    <t>[0.129, 0.021, 0.029, 0.017, 0.004, 0.005, 0.005, 0.006, -0.003]</t>
  </si>
  <si>
    <t>25007.0</t>
  </si>
  <si>
    <t>LINESTRING (11.148890369512213 60.15089717855543, 11.148887614815624 60.150947798091664, 11.149051938427787 60.15313393620447, 11.149053814131998 60.15314286324653, 11.151260747197332 60.157515082163876, 11.15514127239196 60.1614003868774, 11.156366515136485 60.162575638901835, 11.156568137785532 60.16277461110697, 11.156608918699847 60.16281627414323, 11.156681437336616 60.16289040221383)</t>
  </si>
  <si>
    <t>[1560167, 1560175, 1560183, 1560191, 1560199, 1560207, 1560215, 1560223, 1560231]</t>
  </si>
  <si>
    <t>[1407301, 1407306, 1407312, 1407319, 1407325, 1407332, 1407339, 1407344, 1407349]</t>
  </si>
  <si>
    <t>0.012103483062226753</t>
  </si>
  <si>
    <t>[1361297, 1407301, 1407306, 1407312, 1407319, 1407325, 1407332, 1407339, 1407344]</t>
  </si>
  <si>
    <t>[0.129, 0.021, 0.029, 0.017, 0.004, 0.005, 0.005, 0.006, 0.003]</t>
  </si>
  <si>
    <t>1425.1907660565616</t>
  </si>
  <si>
    <t>[0.168, -0.008, 0.01, 0.013, -0.002, 0.024, 0.027, 0.025, 0.025, 0.024, 0.021, 0.018, 0.024, 0.017, 0.017, 0.016, 0.017, 0.014]</t>
  </si>
  <si>
    <t>47714.0</t>
  </si>
  <si>
    <t>[0, 0, 0, 1, 0, 0, 1, 0, 0, 0, 0, 0, 0, 0, 0, 0, 0, 0]</t>
  </si>
  <si>
    <t>LINESTRING (11.158214281806844 60.13406231037437, 11.158187580464348 60.134085715914544, 11.156835229226374 60.13539275103197, 11.154412745597751 60.1410389887186, 11.154318459833979 60.14121333661519, 11.149929274633765 60.14745512412835, 11.14991012434376 60.147490883617806, 11.149849778275241 60.14760856833944, 11.149815162208162 60.147678333742924, 11.149619100226253 60.148081452440614, 11.149582979675978 60.14816005545166, 11.14923047595447 60.149135761234064, 11.1491465917228 60.14941684251839, 11.149143771638556 60.14942629809375, 11.14914095050354 60.14943576262778, 11.149080982211249 60.14967642289889, 11.149078972009303 60.1496861986944, 11.149077139638957 60.14969507174557, 11.148890369512213 60.15089717855543)</t>
  </si>
  <si>
    <t>[1560023, 1560031, 1560039, 1560047, 1560055, 1560063, 1560071, 1560079, 1560087, 1560095, 1560103, 1560111, 1560119, 1560127, 1560135, 1560143, 1560151, 1560159]</t>
  </si>
  <si>
    <t>[1407185, 1407191, 1407198, 1407204, 1407211, 1407218, 1407224, 1407230, 1407237, 1407245, 1407252, 1407258, 1407264, 1407271, 1407276, 1407282, 1407289, 1361297]</t>
  </si>
  <si>
    <t>0.006013892446167147</t>
  </si>
  <si>
    <t>[1400965, 1407185, 1407191, 1407198, 1407204, 1407211, 1407218, 1407224, 1407230, 1407237, 1407245, 1407252, 1407258, 1407264, 1407271, 1407276, 1407282, 1407289]</t>
  </si>
  <si>
    <t>[0.168, 0.008, 0.01, 0.013, 0.002, 0.024, 0.027, 0.025, 0.025, 0.024, 0.021, 0.018, 0.024, 0.017, 0.017, 0.016, 0.017, 0.014]</t>
  </si>
  <si>
    <t>1958.86801868113</t>
  </si>
  <si>
    <t>[-0.003, 0.019, 0.019, 0.013, -0.477, 0.118, 0.119, 0.003, 0.0, -0.006, -0.022, -0.011]</t>
  </si>
  <si>
    <t>LINESTRING (11.13821702063126 60.16316079188609, 11.14410841379262 60.16102421141727, 11.14507107088148 60.16067394242367, 11.145591557602675 60.16047588610753, 11.14573692189628 60.16041596333154, 11.145857832899896 60.160368155954636, 11.14598834595862 60.16031198040342, 11.146295620792436 60.1601740438171, 11.147737038430009 60.15934718738417, 11.149123109036703 60.15799050331536, 11.149283743263265 60.154407456089935, 11.14880566924385 60.15101041449921, 11.148890369512213 60.15089717855543)</t>
  </si>
  <si>
    <t>[2109189, 2109197, 2109205, 2109213, 2109221, 1525242, 1525250, 1525258, 1525266, 1525274, 1525282, 1505366]</t>
  </si>
  <si>
    <t>[1821015, 1821019, 1821022, 1821026, 1379097, 1379098, 1379105, 1379112, 1379119, 1379128, 1361296, 1361297]</t>
  </si>
  <si>
    <t>[1820937, 1821015, 1821019, 1821022, 1821026, 1379097, 1379098, 1379105, 1379112, 1379119, 1379128, 1361296]</t>
  </si>
  <si>
    <t>[0.003, 0.019, 0.019, 0.013, 0.477, 0.118, 0.119, 0.003, 0.0, 0.006, 0.022, 0.011]</t>
  </si>
  <si>
    <t>1648.7030758317521</t>
  </si>
  <si>
    <t>[-0.001, 0.004, -0.017, 0.007, 0.014, 0.019, 0.006, 0.015, 0.011, -0.0, 0.046, -0.008, 0.022, 0.07]</t>
  </si>
  <si>
    <t>LINESTRING (11.149358756227775 60.14962145687911, 11.149347606295892 60.149659552669185, 11.149345724055626 60.149669314212936, 11.149343999572547 60.149678190406526, 11.149210587168485 60.15044228213113, 11.149156985733596 60.150927115628605, 11.149311689036814 60.1531136382853, 11.149313293148333 60.15312257539663, 11.149655389977097 60.154324243503986, 11.15153266254148 60.15749205872737, 11.155392616621066 60.161340988947146, 11.15542567169504 60.16137296226022, 11.156580855865016 60.16248567905016, 11.156645742039043 60.1625477915769, 11.156885707760356 60.16277859313816)</t>
  </si>
  <si>
    <t>[1507748, 1507749, 1507756, 1507764, 1507787, 1507795, 1507811, 1507819, 1507827, 1507835, 1507843, 1507859, 1507860, 1507876]</t>
  </si>
  <si>
    <t>[1363461, 1363462, 1363467, 1363476, 1363497, 1363502, 1363516, 1363521, 1363530, 1363538, 1363548, 1363561, 1363562, 1363575]</t>
  </si>
  <si>
    <t>0.008574606072949329</t>
  </si>
  <si>
    <t>[1361318, 1363461, 1363462, 1363467, 1363476, 1363497, 1363502, 1363516, 1363521, 1363530, 1363538, 1363548, 1363561, 1363562]</t>
  </si>
  <si>
    <t>[0.001, 0.004, 0.017, 0.007, 0.014, 0.019, 0.006, 0.015, 0.011, 0.0, 0.046, 0.008, 0.022, 0.07]</t>
  </si>
  <si>
    <t>1554.9511318934888</t>
  </si>
  <si>
    <t>[0.012, 0.008, 0.017, 0.067, -0.002, 0.05, 0.056, 0.044, 0.014, 0.009, 0.015, -0.012, -0.001]</t>
  </si>
  <si>
    <t>[0, 0, 1, 1, 0, 0, 1, 0, 0, 0, 0, 0, 0]</t>
  </si>
  <si>
    <t>LINESTRING (11.157091577234041 60.13542733816914, 11.154692483637914 60.14104685133982, 11.154679070919121 60.14107369897527, 11.154606719965924 60.141214615290444, 11.154592914777323 60.14124019300967, 11.150214936323565 60.14742793847158, 11.150193561248503 60.14747485191022, 11.150085317192383 60.14766658114048, 11.149880223812858 60.14810791158089, 11.149499754821836 60.149125898813914, 11.14941890590034 60.14939693761392, 11.14941619763262 60.149406054854175, 11.149413470345413 60.14941518053014, 11.149358756227775 60.14962145687911)</t>
  </si>
  <si>
    <t>[1507645, 1507653, 1507661, 1507669, 1507684, 1507685, 1507693, 1507700, 1507708, 1507716, 1507724, 1507725, 1507740]</t>
  </si>
  <si>
    <t>[1363369, 1363376, 1363385, 1363391, 1363402, 1363403, 1363408, 1363414, 1363420, 1363430, 1363437, 1363438, 1361318]</t>
  </si>
  <si>
    <t>0.0075040685916016705</t>
  </si>
  <si>
    <t>[1363364, 1363369, 1363376, 1363385, 1363391, 1363402, 1363403, 1363408, 1363414, 1363420, 1363430, 1363437, 1363438]</t>
  </si>
  <si>
    <t>[0.012, 0.008, 0.017, 0.067, 0.002, 0.05, 0.056, 0.044, 0.014, 0.009, 0.015, 0.012, 0.001]</t>
  </si>
  <si>
    <t>1645.3823002897407</t>
  </si>
  <si>
    <t>[0.012, 0.006]</t>
  </si>
  <si>
    <t>LINESTRING (11.156951131636273 60.16485701197276, 11.157285610823317 60.165144051964916, 11.157360661019654 60.16521139422252)</t>
  </si>
  <si>
    <t>[1505396, 1505421]</t>
  </si>
  <si>
    <t>[1361329, 1361355]</t>
  </si>
  <si>
    <t>0.010875295589956764</t>
  </si>
  <si>
    <t>[1361328, 1361329]</t>
  </si>
  <si>
    <t>45.791921681711365</t>
  </si>
  <si>
    <t>LINESTRING (11.156951131636273 60.16485701197276, 11.157041260577145 60.16518383575177, 11.157072020997589 60.16525784758716)</t>
  </si>
  <si>
    <t>[1515278, 1515279]</t>
  </si>
  <si>
    <t>[1370330, 1370331]</t>
  </si>
  <si>
    <t>[1361328, 1370330]</t>
  </si>
  <si>
    <t>45.44600522633404</t>
  </si>
  <si>
    <t>[0.002, -0.006]</t>
  </si>
  <si>
    <t>LINESTRING (11.15299748588468 60.16118571436583, 11.156914382901043 60.164795959506215, 11.156951131636273 60.16485701197276)</t>
  </si>
  <si>
    <t>[1525450, 1525458]</t>
  </si>
  <si>
    <t>[1379288, 1361328]</t>
  </si>
  <si>
    <t>0.0018795385920722843</t>
  </si>
  <si>
    <t>[1379282, 1379288]</t>
  </si>
  <si>
    <t>471.6999476843875</t>
  </si>
  <si>
    <t>[0.017, 0.023, 0.025, 0.013, 0.016, 0.022, 0.041, 0.028, 0.018]</t>
  </si>
  <si>
    <t>LINESTRING (10.738674374616163 59.60027894774092, 10.738657569768437 59.600339437730184, 10.738632272794485 59.60043052946825, 10.738026176687569 59.602324830854315, 10.738022840625293 59.60233365118394, 10.737014731994433 59.604380779771994, 10.736289396283954 59.605671992272796, 10.736262655643563 59.605717744116575, 10.736124770223526 59.60595386626886, 10.736100809191074 59.605994906970416)</t>
  </si>
  <si>
    <t>[1505404, 1505419, 1505427, 1505428, 1505437, 1505438, 1505444, 1505446, 1505453]</t>
  </si>
  <si>
    <t>[1361337, 1361353, 1361361, 1361362, 1361368, 1361369, 1361375, 1361376, 1361383]</t>
  </si>
  <si>
    <t>0.02115019513610887</t>
  </si>
  <si>
    <t>[1361335, 1361337, 1361353, 1361361, 1361362, 1361368, 1361369, 1361375, 1361376]</t>
  </si>
  <si>
    <t>654.3664604000467</t>
  </si>
  <si>
    <t>4.846648326351877</t>
  </si>
  <si>
    <t>[-0.07, 0.129]</t>
  </si>
  <si>
    <t>LINESTRING (11.157072020997589 60.16525784758716, 11.157201828707626 60.16521217591457, 11.157360661019654 60.16521139422252)</t>
  </si>
  <si>
    <t>[1526690, 1526698]</t>
  </si>
  <si>
    <t>[1380287, 1361355]</t>
  </si>
  <si>
    <t>0.029480823588851977</t>
  </si>
  <si>
    <t>[1370331, 1380287]</t>
  </si>
  <si>
    <t>[0.07, 0.129]</t>
  </si>
  <si>
    <t>17.64426219584354</t>
  </si>
  <si>
    <t>[-0.013, -0.018]</t>
  </si>
  <si>
    <t>LINESTRING (11.157439675286353 60.165229869073144, 11.15759339389946 60.16521512213985, 11.158188002837287 60.165185972973426)</t>
  </si>
  <si>
    <t>[1505422, 1505429]</t>
  </si>
  <si>
    <t>[1361357, 1361363]</t>
  </si>
  <si>
    <t>[1361356, 1361357]</t>
  </si>
  <si>
    <t>[0.013, 0.018]</t>
  </si>
  <si>
    <t>42.07715607126821</t>
  </si>
  <si>
    <t>[-0.075, 0.072]</t>
  </si>
  <si>
    <t>LINESTRING (11.157439675286353 60.165229869073144, 11.157541902628505 60.165296660898356, 11.157544745936185 60.16538034352277)</t>
  </si>
  <si>
    <t>[1526626, 1526634]</t>
  </si>
  <si>
    <t>[1380237, 1370337]</t>
  </si>
  <si>
    <t>[1361356, 1380237]</t>
  </si>
  <si>
    <t>[0.075, 0.072]</t>
  </si>
  <si>
    <t>18.686862417551442</t>
  </si>
  <si>
    <t>[-0.037, -0.011, 0.036]</t>
  </si>
  <si>
    <t>LINESTRING (11.158188002837287 60.165185972973426, 11.158454753358127 60.165141578601975, 11.159814920228452 60.16490957825613, 11.160316803408632 60.164828854503845)</t>
  </si>
  <si>
    <t>[1525466, 1525474, 1525482]</t>
  </si>
  <si>
    <t>[1379299, 1379305, 1365121]</t>
  </si>
  <si>
    <t>[1361363, 1379299, 1379305]</t>
  </si>
  <si>
    <t>[0.037, 0.011, 0.036]</t>
  </si>
  <si>
    <t>124.73527739783339</t>
  </si>
  <si>
    <t>[-0.01, -0.019]</t>
  </si>
  <si>
    <t>LINESTRING (11.157544745936185 60.16538034352277, 11.157694002427954 60.16533911940267, 11.158188002837287 60.165185972973426)</t>
  </si>
  <si>
    <t>[1515286, 1515314]</t>
  </si>
  <si>
    <t>[1370338, 1361363]</t>
  </si>
  <si>
    <t>[1370337, 1370338]</t>
  </si>
  <si>
    <t>41.78310482772564</t>
  </si>
  <si>
    <t>[0.017, 0.009, 0.008, 0.017, 0.003, -0.003, -0.043, -0.011]</t>
  </si>
  <si>
    <t>LINESTRING (10.736100809191074 59.605994906970416, 10.7330887744792 59.61121784443822, 10.732376416895534 59.61474226562709, 10.732380627416152 59.61481388928486, 10.732830474398884 59.619102901772116, 10.732838053390255 59.619166182741345, 10.73299336997866 59.62036331486104, 10.73299610781773 59.62037208140114, 10.733042602115024 59.62052066137234)</t>
  </si>
  <si>
    <t>[1505461, 1505462, 1505463, 1505470, 1505471, 1505472, 1505479, 1505480]</t>
  </si>
  <si>
    <t>[1361391, 1361392, 1361393, 1361402, 1361403, 1361404, 1361410, 1361411]</t>
  </si>
  <si>
    <t>0.013030713325310092</t>
  </si>
  <si>
    <t>[1361383, 1361391, 1361392, 1361393, 1361402, 1361403, 1361404, 1361410]</t>
  </si>
  <si>
    <t>[0.017, 0.009, 0.008, 0.017, 0.003, 0.003, 0.043, 0.011]</t>
  </si>
  <si>
    <t>1647.4521385946396</t>
  </si>
  <si>
    <t>[0.0, 0.008, 0.02, 0.001, -0.0, 0.014, 0.0, 0.002, -0.01, -0.014]</t>
  </si>
  <si>
    <t>LINESTRING (10.733042602115024 59.62052066137234, 10.733043326338613 59.62052474037204, 10.733258500514227 59.621739820264935, 10.733327219813889 59.62212242164223, 10.733379116618872 59.62235005518809, 10.733939047536275 59.62422167316338, 10.73413700133076 59.624755271511766, 10.734140284407626 59.62476408275995, 10.734834775064655 59.62644365119852, 10.734850145308249 59.6264835099653, 10.734868824034075 59.62653198295502)</t>
  </si>
  <si>
    <t>[1505481, 1505487, 1505488, 1505497, 1505505, 1505506, 1505513, 1505520, 1505550, 1505573]</t>
  </si>
  <si>
    <t>[1361412, 1361418, 1361419, 1361426, 1361434, 1361435, 1361442, 1361451, 1361483, 1361508]</t>
  </si>
  <si>
    <t>0.0045343996636870235</t>
  </si>
  <si>
    <t>[1361411, 1361412, 1361418, 1361419, 1361426, 1361434, 1361435, 1361442, 1361451, 1361483]</t>
  </si>
  <si>
    <t>[0.0, 0.008, 0.02, 0.001, 0.0, 0.014, 0.0, 0.002, 0.01, 0.014]</t>
  </si>
  <si>
    <t>678.528062031616</t>
  </si>
  <si>
    <t>64.78120517107567</t>
  </si>
  <si>
    <t>[-0.009, -0.005, -0.013, -0.039, -0.018, 0.0, 0.007, 0.025, 0.032, -0.012, 0.008, -0.009, 0.008, -0.036, -0.019, -0.01, -0.006, -0.013, -0.02, -0.024, -0.002, -0.008, -0.013]</t>
  </si>
  <si>
    <t>[0, 0, 0, 0, 0, 1, 1, 1, 1, 0, 0, 0, 0, 0, 0, 0, 0, 0, 0, 0, 0, 0, 0]</t>
  </si>
  <si>
    <t>LINESTRING (10.734868824034075 59.62653198295502, 10.735828031862715 59.628357406209325, 10.735853909926599 59.62840862232034, 10.737182699586706 59.63077739004828, 10.73719537259581 59.63080342986573, 10.737611830011902 59.63167662336162, 10.737721789957417 59.6319323924284, 10.737744918940246 59.63198488528545, 10.737821264302077 59.632180698290846, 10.73792093094966 59.632444701252695, 10.73844397815469 59.63413442247089, 10.738929793231948 59.63681350731394, 10.73893125197746 59.63682243883523, 10.740191882842668 59.644948993946024, 10.740193072292728 59.644957952639004, 10.740197000313776 59.64498759195005, 10.74047670934569 59.646952454199585, 10.740838174516233 59.649280172771704, 10.741077166423253 59.65080601651213, 10.741164413055778 59.65136543604193, 10.741169122206108 59.65140110728372, 10.741638048545923 59.65384516441594, 10.74363874070977 59.65847835849222, 10.743905165476006 59.65897492692193)</t>
  </si>
  <si>
    <t>[1505587, 1505603, 1505604, 1505619, 1505620, 1505627, 1505635, 1505643, 1505644, 1505649, 1505650, 1505657, 1505658, 1505665, 1505673, 1505677, 1505688, 1505696, 1505726, 1505727, 1505735, 1505743, 1505744]</t>
  </si>
  <si>
    <t>[1361524, 1361543, 1361544, 1361561, 1361562, 1361571, 1361580, 1361588, 1361589, 1361594, 1361595, 1361604, 1361605, 1361610, 957653, 1361618, 957613, 1361639, 1361665, 1361666, 1361675, 1361684, 1361685]</t>
  </si>
  <si>
    <t>[1361508, 1361524, 1361543, 1361544, 1361561, 1361562, 1361571, 1361580, 1361588, 1361589, 1361594, 1361595, 1361604, 1361605, 1361610, 957653, 1361618, 957613, 1361639, 1361665, 1361666, 1361675, 1361684]</t>
  </si>
  <si>
    <t>[0.009, 0.005, 0.013, 0.039, 0.018, 0.0, 0.007, 0.025, 0.032, 0.012, 0.008, 0.009, 0.008, 0.036, 0.019, 0.01, 0.006, 0.013, 0.02, 0.024, 0.002, 0.008, 0.013]</t>
  </si>
  <si>
    <t>3662.333990873286</t>
  </si>
  <si>
    <t>[0.006, -0.056, -0.088, -0.021]</t>
  </si>
  <si>
    <t>LINESTRING (10.480190551302767 59.857026917408604, 10.479979098620456 59.85704913541175, 10.4798374164904 59.85701855120698, 10.479760594176362 59.85697471978522, 10.479889409173248 59.85675715761304)</t>
  </si>
  <si>
    <t>[1506143, 1506154, 1506155, 1506157]</t>
  </si>
  <si>
    <t>[1362059, 1362067, 1362068, 1362037]</t>
  </si>
  <si>
    <t>[1361523, 1362059, 1362067, 1362068]</t>
  </si>
  <si>
    <t>[0.006, 0.056, 0.088, 0.021]</t>
  </si>
  <si>
    <t>55.64591262564265</t>
  </si>
  <si>
    <t>13.025976644531365</t>
  </si>
  <si>
    <t>[-0.04, -0.012, -0.061, -0.062]</t>
  </si>
  <si>
    <t>LINESTRING (10.483437039277439 59.85851964424224, 10.483349768200647 59.85846448422203, 10.481653526161713 59.85729240796687, 10.480313150544687 59.85704662860881, 10.480190551302767 59.857026917408604)</t>
  </si>
  <si>
    <t>[1540356, 1505571, 1505585, 1505586]</t>
  </si>
  <si>
    <t>[1361505, 1361506, 1361522, 1361523]</t>
  </si>
  <si>
    <t>[1391803, 1361505, 1361506, 1361522]</t>
  </si>
  <si>
    <t>[0.04, 0.012, 0.061, 0.062]</t>
  </si>
  <si>
    <t>261.531081483673</t>
  </si>
  <si>
    <t>[0.045, 0.018, -0.01]</t>
  </si>
  <si>
    <t>LINESTRING (10.481605250462662 59.85581534529291, 10.48316932627607 59.85772622651033, 10.484162604382675 59.859071833678236, 10.484144730529165 59.85916501104876)</t>
  </si>
  <si>
    <t>[1505602, 1505617, 1540372]</t>
  </si>
  <si>
    <t>[1361542, 1361558, 1391817]</t>
  </si>
  <si>
    <t>0.03279569690386961</t>
  </si>
  <si>
    <t>[1361541, 1361542, 1361558]</t>
  </si>
  <si>
    <t>[0.045, 0.018, 0.01]</t>
  </si>
  <si>
    <t>401.55161860278133</t>
  </si>
  <si>
    <t>[-0.023, -0.024, -0.023, -0.591, 0.061]</t>
  </si>
  <si>
    <t>LINESTRING (10.481348826230306 59.855715697362335, 10.481526698837065 59.855663175560096, 10.481665737866539 59.85560698032965, 10.481851471261818 59.8555558075341, 10.481798195686448 59.85559264758562, 10.481605250462662 59.85581534529291)</t>
  </si>
  <si>
    <t>[1527851, 1527859, 1527867, 1540364, 1505601]</t>
  </si>
  <si>
    <t>[1381285, 1381291, 1381298, 1361540, 1361541]</t>
  </si>
  <si>
    <t>[1381277, 1381285, 1381291, 1381298, 1361540]</t>
  </si>
  <si>
    <t>[0.023, 0.024, 0.023, 0.591, 0.061]</t>
  </si>
  <si>
    <t>66.05549978198228</t>
  </si>
  <si>
    <t>[-0.828, -0.011, 0.014]</t>
  </si>
  <si>
    <t>LINESTRING (10.481348826230306 59.855715697362335, 10.481390926494917 59.85572164135874, 10.481562266417773 59.855789585627335, 10.481605250462662 59.85581534529291)</t>
  </si>
  <si>
    <t>[1540412, 1505681, 1505687]</t>
  </si>
  <si>
    <t>[1361623, 1361624, 1361541]</t>
  </si>
  <si>
    <t>[1381277, 1361623, 1361624]</t>
  </si>
  <si>
    <t>[0.828, 0.011, 0.014]</t>
  </si>
  <si>
    <t>18.431788538138903</t>
  </si>
  <si>
    <t>[0.047, -0.013, -0.003, 0.031, -0.037]</t>
  </si>
  <si>
    <t>LINESTRING (10.48032441998361 59.85693396966776, 10.480419895225657 59.85695434892585, 10.480819953589679 59.85621475815556, 10.48040441426682 59.855897601342804, 10.479512546395231 59.854912403105025, 10.479512467810217 59.854849446891286)</t>
  </si>
  <si>
    <t>[1505618, 1505625, 1505633, 1505641, 1540380]</t>
  </si>
  <si>
    <t>[1361560, 1361568, 1361578, 1361585, 1391824]</t>
  </si>
  <si>
    <t>0.00472287378793886</t>
  </si>
  <si>
    <t>[1361559, 1361560, 1361568, 1361578, 1361585]</t>
  </si>
  <si>
    <t>[0.047, 0.013, 0.003, 0.031, 0.037]</t>
  </si>
  <si>
    <t>334.28869120895706</t>
  </si>
  <si>
    <t>23.766345569358926</t>
  </si>
  <si>
    <t>[0.001, 0.027, 0.022, -0.021, -0.034, -0.008, -0.024, -0.021, -0.008]</t>
  </si>
  <si>
    <t>LINESTRING (10.743905165476006 59.65897492692193, 10.745405880472562 59.66237209014625, 10.745448666824458 59.662584186963024, 10.745450544952831 59.662593194901596, 10.745493261496376 59.66282195138442, 10.745574460175671 59.66331732641304, 10.745575782218012 59.66332623535681, 10.74561040844547 59.663772674234856, 10.745534550046118 59.66598965877474, 10.745530392104785 59.66602522148949)</t>
  </si>
  <si>
    <t>[1505751, 1505752, 1505762, 1505763, 1505764, 1505770, 1505771, 1505779, 1505799]</t>
  </si>
  <si>
    <t>[1361694, 1361695, 1361704, 1361705, 1361706, 1361712, 1361713, 1361721, 1361738]</t>
  </si>
  <si>
    <t>[1361685, 1361694, 1361695, 1361704, 1361705, 1361706, 1361712, 1361713, 1361721]</t>
  </si>
  <si>
    <t>[0.001, 0.027, 0.022, 0.021, 0.034, 0.008, 0.024, 0.021, 0.008]</t>
  </si>
  <si>
    <t>796.1997204223047</t>
  </si>
  <si>
    <t>[0.008, 0.022]</t>
  </si>
  <si>
    <t>LINESTRING (10.946601714201318 59.929509816284465, 10.94647548093403 59.92955924483396, 10.946349476322755 59.92955842299038)</t>
  </si>
  <si>
    <t>[1505970, 1505791]</t>
  </si>
  <si>
    <t>[1361730, 1361731]</t>
  </si>
  <si>
    <t>0.014166009554900036</t>
  </si>
  <si>
    <t>[1361858, 1361730]</t>
  </si>
  <si>
    <t>16.003036543501388</t>
  </si>
  <si>
    <t>[-0.0, 0.001, -0.008, -0.004]</t>
  </si>
  <si>
    <t>LINESTRING (10.946495996469558 59.93013650481414, 10.946475145414718 59.92983788838461, 10.946469740288094 59.92977437441851, 10.946406787642214 59.92961698960168, 10.946349476322755 59.92955842299038)</t>
  </si>
  <si>
    <t>[1512905, 1512914, 1512930, 1512938]</t>
  </si>
  <si>
    <t>[1368106, 1368114, 1368131, 1361731]</t>
  </si>
  <si>
    <t>[1368075, 1368106, 1368114, 1368131]</t>
  </si>
  <si>
    <t>[0.0, 0.001, 0.008, 0.004]</t>
  </si>
  <si>
    <t>65.54099427821366</t>
  </si>
  <si>
    <t>[-0.044, -0.066, -0.059, -0.04, -0.041, -0.017, 0.021, 0.026, -0.013, -0.028, 0.001, -0.018]</t>
  </si>
  <si>
    <t>40447.0</t>
  </si>
  <si>
    <t>[0, 0, 0, 0, 0, 0, 1, 0, 0, 0, 0, 0]</t>
  </si>
  <si>
    <t>LINESTRING (10.745530392104785 59.66602522148949, 10.74551919413222 59.6661061713476, 10.745517946859632 59.66611515868338, 10.745448280259778 59.66688505569688, 10.745422199022345 59.66717176892512, 10.745392923054787 59.66738842152715, 10.742459651093881 59.67554767790062, 10.742032553375358 59.6765750491081, 10.740840013130692 59.680790423584014, 10.740834875361463 59.68079908660548, 10.737872855925518 59.68476015532695, 10.737638088264205 59.68524961838224, 10.735651479613708 59.688670661489226)</t>
  </si>
  <si>
    <t>[1505813, 1505819, 1505820, 1505822, 1505823, 1505824, 1505832, 1505833, 1505848, 1505856, 1505857, 1505858]</t>
  </si>
  <si>
    <t>[1361755, 1361761, 1361762, 1361764, 1361765, 1361766, 1361773, 1361774, 1361786, 1361791, 1361792, 1361793]</t>
  </si>
  <si>
    <t>[1361738, 1361755, 1361761, 1361762, 1361764, 1361765, 1361766, 1361773, 1361774, 1361786, 1361791, 1361792]</t>
  </si>
  <si>
    <t>[0.044, 0.066, 0.059, 0.04, 0.041, 0.017, 0.021, 0.026, 0.013, 0.028, 0.001, 0.018]</t>
  </si>
  <si>
    <t>2597.8482936240134</t>
  </si>
  <si>
    <t>[0.07, 0.026, 0.007, 0.002, 0.108, -0.007, 0.003, -0.027, -0.09]</t>
  </si>
  <si>
    <t>LINESTRING (10.733194611534415 59.69301969746263, 10.733140933878659 59.69292443355599, 10.73449585009952 59.68914427492, 10.734566391329436 59.68905125671729, 10.735648207727216 59.68938320108691, 10.73606099577361 59.68946587182064, 10.738644811610236 59.68621302688469, 10.736667073796513 59.687423628190814, 10.735797401532515 59.68861208015692, 10.735651479613708 59.688670661489226)</t>
  </si>
  <si>
    <t>[1509144, 1498675, 1498680, 1498638, 1542060, 1498649, 1498663, 1498671, 1509143]</t>
  </si>
  <si>
    <t>[1356454, 1356455, 1356429, 1356430, 1356435, 1356436, 1356446, 1356452, 1361793]</t>
  </si>
  <si>
    <t>0.0062916685922192765</t>
  </si>
  <si>
    <t>[1361908, 1356454, 1356455, 1356429, 1356430, 1356435, 1356436, 1356446, 1356452]</t>
  </si>
  <si>
    <t>[0.07, 0.026, 0.007, 0.002, 0.108, 0.007, 0.003, 0.027, 0.09]</t>
  </si>
  <si>
    <t>1312.0914844891981</t>
  </si>
  <si>
    <t>[0.005, -0.008, -0.01]</t>
  </si>
  <si>
    <t>LINESTRING (10.946581077007082 59.92984291118244, 10.946583886033345 59.92977476817726, 10.946577364759396 59.92959269712212, 10.946601714201318 59.929509816284465)</t>
  </si>
  <si>
    <t>[1513333, 1513334, 1513341]</t>
  </si>
  <si>
    <t>[1368497, 1368498, 1361858]</t>
  </si>
  <si>
    <t>[1368169, 1368497, 1368498]</t>
  </si>
  <si>
    <t>[0.005, 0.008, 0.01]</t>
  </si>
  <si>
    <t>37.2237239595204</t>
  </si>
  <si>
    <t>[0.003, -0.074, -0.07, -0.046, -0.051, -0.059, -0.058, -0.015, 0.024, 0.017, -0.122, -0.02, -0.017, -0.026, -0.105, -0.021, -0.001, -0.02]</t>
  </si>
  <si>
    <t>[0, 0, 0, 0, 0, 0, 0, 0, 1, 0, 0, 0, 0, 0, 0, 0, 0, 0]</t>
  </si>
  <si>
    <t>LINESTRING (10.745215809507904 59.66602315822322, 10.745211437748516 59.66610269329868, 10.745210956560653 59.66611152568202, 10.745206793706606 59.66618717405745, 10.745148572188977 59.66698475120726, 10.74514176869294 59.667056555192055, 10.745126814410698 59.6672583868078, 10.74510900017394 59.667471545210496, 10.742182904954964 59.67551382069844, 10.741748506673023 59.67655772376316, 10.74057905268482 59.680731656968014, 10.740573927381815 59.6807402214749, 10.737395474745544 59.68514371380294, 10.73538584975766 59.688624825957895, 10.73480913832597 59.68937134023828, 10.734802645643946 59.68937972518694, 10.733988892507645 59.690528013252205, 10.733534507067139 59.69148145346498, 10.733194611534415 59.69301969746263)</t>
  </si>
  <si>
    <t>[1558375, 1558383, 1558391, 1558399, 1558407, 1558415, 1558423, 1558431, 1558439, 1558447, 1558455, 1558463, 1558471, 1558479, 1558487, 1558495, 1558503, 1558511]</t>
  </si>
  <si>
    <t>[1405947, 1405951, 1405955, 1405961, 1405966, 1405975, 1405983, 1405989, 1405996, 1406001, 1406007, 1406014, 1406021, 1406025, 1406032, 1406036, 1406043, 1361908]</t>
  </si>
  <si>
    <t>[1364730, 1405947, 1405951, 1405955, 1405961, 1405966, 1405975, 1405983, 1405989, 1405996, 1406001, 1406007, 1406014, 1406021, 1406025, 1406032, 1406036, 1406043]</t>
  </si>
  <si>
    <t>[0.003, 0.074, 0.07, 0.046, 0.051, 0.059, 0.058, 0.015, 0.024, 0.017, 0.122, 0.02, 0.017, 0.026, 0.105, 0.021, 0.001, 0.02]</t>
  </si>
  <si>
    <t>3100.9384449536647</t>
  </si>
  <si>
    <t>[0.078, -0.036, -0.019]</t>
  </si>
  <si>
    <t>LINESTRING (10.839484432462879 59.788112409355016, 10.839606153738618 59.78864453020185, 10.84011737953944 59.79034579835028, 10.840734560389405 59.79180606379897)</t>
  </si>
  <si>
    <t>[1506118, 1506126, 1506145]</t>
  </si>
  <si>
    <t>[1362036, 1362043, 1362060]</t>
  </si>
  <si>
    <t>[1362035, 1362036, 1362043]</t>
  </si>
  <si>
    <t>[0.078, 0.036, 0.019]</t>
  </si>
  <si>
    <t>417.8635148650155</t>
  </si>
  <si>
    <t>[-0.033, -0.017]</t>
  </si>
  <si>
    <t>LINESTRING (10.479889409173248 59.85675715761304, 10.480022009579262 59.85674115867915, 10.480153271081551 59.85675500748189)</t>
  </si>
  <si>
    <t>[1506119, 1506120]</t>
  </si>
  <si>
    <t>[1362038, 1362039]</t>
  </si>
  <si>
    <t>[1362037, 1362038]</t>
  </si>
  <si>
    <t>[0.033, 0.017]</t>
  </si>
  <si>
    <t>15.163783266645268</t>
  </si>
  <si>
    <t>[-0.026, -0.037, -0.062, 0.03, -0.016, -0.082]</t>
  </si>
  <si>
    <t>LINESTRING (10.479889409173248 59.85675715761304, 10.479905068352423 59.85669442785465, 10.48007742299612 59.856338021508314, 10.480248087896875 59.856224647254336, 10.480341735323123 59.85616728817705, 10.481104053898152 59.8557480761375, 10.481200684903154 59.855700711768506)</t>
  </si>
  <si>
    <t>[1524323, 1524331, 1524339, 1524347, 1524355, 1524363]</t>
  </si>
  <si>
    <t>[1378309, 1378316, 1378323, 1378329, 1378336, 1378343]</t>
  </si>
  <si>
    <t>[1362037, 1378309, 1378316, 1378323, 1378329, 1378336]</t>
  </si>
  <si>
    <t>[0.026, 0.037, 0.062, 0.03, 0.016, 0.082]</t>
  </si>
  <si>
    <t>143.529787836084</t>
  </si>
  <si>
    <t>[0.432, -0.056, -0.045, -0.032, -0.043, -0.031, -0.023]</t>
  </si>
  <si>
    <t>LINESTRING (10.480153271081551 59.85675500748189, 10.480150773526224 59.856692345843726, 10.480264074840164 59.85636210280172, 10.480489389275997 59.856196530392495, 10.480731874094266 59.85604786194875, 10.480742913217613 59.85604109178896, 10.481205877220887 59.85579105758178, 10.481348826230306 59.855715697362335)</t>
  </si>
  <si>
    <t>[1527795, 1527803, 1527811, 1527819, 1527827, 1527835, 1527843]</t>
  </si>
  <si>
    <t>[1381232, 1381240, 1381250, 1381256, 1381264, 1381271, 1381277]</t>
  </si>
  <si>
    <t>[1362039, 1381232, 1381240, 1381250, 1381256, 1381264, 1381271]</t>
  </si>
  <si>
    <t>[0.432, 0.056, 0.045, 0.032, 0.043, 0.031, 0.023]</t>
  </si>
  <si>
    <t>139.45114550182578</t>
  </si>
  <si>
    <t>[-0.019, -0.014, 0.026, 0.037, 0.044]</t>
  </si>
  <si>
    <t>55040.0</t>
  </si>
  <si>
    <t>LINESTRING (10.840734560389405 59.79180606379897, 10.840772657102713 59.79188396592761, 10.84279463398004 59.79646133053362, 10.842952875710424 59.79706695480724, 10.8430615930808 59.797580379434955, 10.843111761633104 59.79789648108205)</t>
  </si>
  <si>
    <t>[1506164, 1506209, 1506218, 1506219, 1506220]</t>
  </si>
  <si>
    <t>[1362078, 1362123, 1362131, 1362132, 1362133]</t>
  </si>
  <si>
    <t>[1362060, 1362078, 1362123, 1362131, 1362132]</t>
  </si>
  <si>
    <t>[0.019, 0.014, 0.026, 0.037, 0.044]</t>
  </si>
  <si>
    <t>692.6968125608071</t>
  </si>
  <si>
    <t>[0.05, 0.04, 0.009, -0.05, -0.063, -0.061, -0.038, -0.017, -0.005, 0.026]</t>
  </si>
  <si>
    <t>LINESTRING (10.968381782703833 59.92882108621496, 10.968380641115694 59.928790240978856, 10.96841991781027 59.92873721300336, 10.968541862402187 59.92869107618134, 10.968662617148688 59.928687157956595, 10.968784256506492 59.92871752931399, 10.968847825608274 59.92876735840847, 10.968853612874918 59.92882763673303, 10.968814658183224 59.928872565295165, 10.968727428581978 59.92891117020631, 10.968565919603916 59.928920718586895)</t>
  </si>
  <si>
    <t>[1506235, 1506236, 1506251, 1506140, 1506141, 1506148, 1506165, 1506190, 1506199, 1506211]</t>
  </si>
  <si>
    <t>[1362147, 1362148, 1362055, 1362056, 1362057, 1362063, 1362079, 1362107, 1362114, 1362125]</t>
  </si>
  <si>
    <t>[1362126, 1362147, 1362148, 1362055, 1362056, 1362057, 1362063, 1362079, 1362107, 1362114]</t>
  </si>
  <si>
    <t>[0.05, 0.04, 0.009, 0.05, 0.063, 0.061, 0.038, 0.017, 0.005, 0.026]</t>
  </si>
  <si>
    <t>67.03003316657015</t>
  </si>
  <si>
    <t>[-0.044, -0.002, 0.004, 0.002]</t>
  </si>
  <si>
    <t>LINESTRING (10.968565919603916 59.928920718586895, 10.968523463010442 59.928951272018416, 10.96926522505901 59.929669793749724, 10.97215073863122 59.930482709292505, 10.972242913490476 59.93053497580789)</t>
  </si>
  <si>
    <t>[1536282, 1536290, 1536298, 1510070]</t>
  </si>
  <si>
    <t>[1388363, 1388369, 1365584, 1365585]</t>
  </si>
  <si>
    <t>0.0011006687136852027</t>
  </si>
  <si>
    <t>[1362125, 1388363, 1388369, 1365584]</t>
  </si>
  <si>
    <t>[0.044, 0.002, 0.004, 0.002]</t>
  </si>
  <si>
    <t>311.9340119851161</t>
  </si>
  <si>
    <t>[-0.011, -0.003, 0.075]</t>
  </si>
  <si>
    <t>LINESTRING (10.96479580113401 59.928950336685894, 10.965087338197694 59.92895387536771, 10.968342569842786 59.92890115043258, 10.968381782703833 59.92882108621496)</t>
  </si>
  <si>
    <t>[1513001, 1536242, 1536250]</t>
  </si>
  <si>
    <t>[1368197, 1388331, 1362126]</t>
  </si>
  <si>
    <t>[1367076, 1368197, 1388331]</t>
  </si>
  <si>
    <t>[0.011, 0.003, 0.075]</t>
  </si>
  <si>
    <t>230.43336035308056</t>
  </si>
  <si>
    <t>[0.027, 0.033, -0.01, 0.002, -0.009, -0.008, 0.018, -0.016, -0.031, -0.024, 0.019, -0.008]</t>
  </si>
  <si>
    <t>LINESTRING (10.991632186071147 59.97491514310205, 10.991660557757802 59.974965263681874, 10.991696170563442 59.97502817287761, 10.992787488676171 59.976931432506795, 10.993426305984364 59.97785456270782, 10.993542589997316 59.97799266350727, 10.994091238235844 59.978672145610986, 10.994145151732543 59.978733614235935, 10.994456386239941 59.97911027042997, 10.99446304174271 59.979118572897065, 10.99458843293129 59.97925723699328, 10.994651069108073 59.97932550633044, 10.996215759036813 59.98079833662217)</t>
  </si>
  <si>
    <t>[1506451, 1506463, 1506464, 1506486, 1506488, 1506508, 1506509, 1506515, 1506523, 1506524, 1506530, 1506538]</t>
  </si>
  <si>
    <t>[1362328, 1362337, 1362338, 1362358, 1362360, 1362376, 1362377, 1362383, 1362391, 1362392, 1362397, 1362403]</t>
  </si>
  <si>
    <t>[1362327, 1362328, 1362337, 1362338, 1362358, 1362360, 1362376, 1362377, 1362383, 1362391, 1362392, 1362397]</t>
  </si>
  <si>
    <t>[0.027, 0.033, 0.01, 0.002, 0.009, 0.008, 0.018, 0.016, 0.031, 0.024, 0.019, 0.008]</t>
  </si>
  <si>
    <t>706.3537318453662</t>
  </si>
  <si>
    <t>[-0.004, -0.021, -0.134, -0.017, 0.065, 0.022, -0.062, 0.033, 0.043, 0.014, -0.008, -0.008, 0.021, -0.013, 0.029, 0.023, 0.031, 0.025, 0.043, 0.045, 0.057, 0.085]</t>
  </si>
  <si>
    <t>80592.0</t>
  </si>
  <si>
    <t>[0, 0, 0, 1, 0, 0, 1, 1, 0, 0, 1, 0, 0, 1, 1, 0, 0, 0, 1, 0, 0, 0]</t>
  </si>
  <si>
    <t>LINESTRING (10.996215759036813 59.98079833662217, 10.996360987795795 59.98092527556493, 10.997459554423052 59.98169067475139, 10.99762890314397 59.981804706191895, 10.999265374334847 59.98273621370493, 10.999344316062636 59.98277331163204, 11.010034017480704 59.98567870575336, 11.01029765258976 59.98570349544635, 11.012327991948089 59.985879364101145, 11.012559138786726 59.98589534513677, 11.016776231733827 59.98614508242837, 11.016975705463286 59.98615740170597, 11.017193394758383 59.986173417485396, 11.028424055226223 59.98913060711886, 11.028546080057467 59.98921549892624, 11.028908162233805 59.989471473788036, 11.029018798388885 59.98955140121457, 11.034234653595886 59.99431707185086, 11.034274951955219 59.99435144803026, 11.034418382302112 59.994470204608085, 11.034454231737822 59.994495582753004, 11.034826395304897 59.99477011009328, 11.0355676620673 59.995250187553346)</t>
  </si>
  <si>
    <t>[1506559, 1506560, 1506575, 1506602, 1506610, 1506611, 1506626, 1506647, 1506663, 1506672, 1506673, 1506704, 1506711, 1506712, 1506735, 1506736, 1506762, 1506770, 1506791, 1506792, 1506802, 1506805]</t>
  </si>
  <si>
    <t>[1362422, 1362423, 1362437, 1362464, 1362471, 1362472, 1362483, 1362498, 1362511, 1362519, 1362520, 1362546, 1362552, 1362553, 1362573, 1362574, 1362595, 1362601, 1362621, 1362622, 1362630, 1362632]</t>
  </si>
  <si>
    <t>0.02050670478301821</t>
  </si>
  <si>
    <t>[1362403, 1362422, 1362423, 1362437, 1362464, 1362471, 1362472, 1362483, 1362498, 1362511, 1362519, 1362520, 1362546, 1362552, 1362553, 1362573, 1362574, 1362595, 1362601, 1362621, 1362622, 1362630]</t>
  </si>
  <si>
    <t>[0.004, 0.021, 0.134, 0.017, 0.065, 0.022, 0.062, 0.033, 0.043, 0.014, 0.008, 0.008, 0.021, 0.013, 0.029, 0.023, 0.031, 0.025, 0.043, 0.045, 0.057, 0.085]</t>
  </si>
  <si>
    <t>2895.578085460257</t>
  </si>
  <si>
    <t>[-0.029, -0.024, -0.005, 0.037, 0.023, -0.009, -0.02]</t>
  </si>
  <si>
    <t>LINESTRING (10.967013054341585 59.930579650425074, 10.966963940384545 59.930636791118864, 10.966859188459233 59.930666820839384, 10.966725523796729 59.93065987727984, 10.966646709516478 59.93051620532018, 10.966743439985013 59.93047671488368, 10.966868240361562 59.93047523262047, 10.966951329199066 59.93049829344717)</t>
  </si>
  <si>
    <t>[1506725, 1506732, 1506740, 1506741, 1506760, 1506782, 1506716]</t>
  </si>
  <si>
    <t>[1362565, 1362571, 1362578, 1362579, 1362594, 1362556, 1362557]</t>
  </si>
  <si>
    <t>0.004649478689627196</t>
  </si>
  <si>
    <t>[1362564, 1362565, 1362571, 1362578, 1362579, 1362594, 1362556]</t>
  </si>
  <si>
    <t>[0.029, 0.024, 0.005, 0.037, 0.023, 0.009, 0.02]</t>
  </si>
  <si>
    <t>58.92997914757518</t>
  </si>
  <si>
    <t>LINESTRING (10.966951329199066 59.93049829344717, 10.967017048047998 59.93047843225754, 10.967484783937087 59.93015561326738)</t>
  </si>
  <si>
    <t>[1513009, 1513025]</t>
  </si>
  <si>
    <t>[1368203, 1368219]</t>
  </si>
  <si>
    <t>[1362557, 1368203]</t>
  </si>
  <si>
    <t>50.27663313701619</t>
  </si>
  <si>
    <t>LINESTRING (10.967013054341585 59.930579650425074, 10.96710208930221 59.930547467057494, 10.967484783937087 59.93015561326738)</t>
  </si>
  <si>
    <t>[1513342, 1513349]</t>
  </si>
  <si>
    <t>[1368505, 1368219]</t>
  </si>
  <si>
    <t>0.011326762773658643</t>
  </si>
  <si>
    <t>[1362564, 1368505]</t>
  </si>
  <si>
    <t>56.34095258495972</t>
  </si>
  <si>
    <t>[0.054, 0.026, -0.011, -0.026, -0.047, 0.007, -0.039, -0.009, 0.026, -0.059, -0.03]</t>
  </si>
  <si>
    <t>LINESTRING (11.0355676620673 59.995250187553346, 11.035611484959087 59.99527838519063, 11.041024418743289 59.998196229041625, 11.041036771694396 59.998202793982564, 11.041074938626025 59.99822192872068, 11.041087844549311 59.99822822257581, 11.042074991613715 59.998763863011455, 11.042423318500756 59.99896697184418, 11.042863898937345 59.99924459689857, 11.042874802957542 59.999251576666595, 11.04331899435544 59.999561204881765, 11.043391482716308 59.99961246494687)</t>
  </si>
  <si>
    <t>[1506813, 1506821, 1506829, 1506845, 1506846, 1506853, 1506877, 1506885, 1506886, 1506895, 1506896]</t>
  </si>
  <si>
    <t>[1362638, 1362644, 1362652, 1362665, 1362666, 1362673, 1362693, 1362703, 1362704, 1362712, 1362713]</t>
  </si>
  <si>
    <t>0.012207456360341443</t>
  </si>
  <si>
    <t>[1362632, 1362638, 1362644, 1362652, 1362665, 1362666, 1362673, 1362693, 1362703, 1362704, 1362712]</t>
  </si>
  <si>
    <t>[0.054, 0.026, 0.011, 0.026, 0.047, 0.007, 0.039, 0.009, 0.026, 0.059, 0.03]</t>
  </si>
  <si>
    <t>654.5087250126052</t>
  </si>
  <si>
    <t>[-0.016, 0.024, 0.009, -0.014]</t>
  </si>
  <si>
    <t>LINESTRING (11.043391482716308 59.99961246494687, 11.050721475550391 60.00742631545976, 11.050832824039805 60.00749217425827, 11.061256314295735 60.0114798488987, 11.063363137753573 60.01269687434875)</t>
  </si>
  <si>
    <t>[1506903, 1506921, 1506922, 1506935]</t>
  </si>
  <si>
    <t>[1362718, 1362734, 1362735, 1362746]</t>
  </si>
  <si>
    <t>[1362713, 1362718, 1362734, 1362735]</t>
  </si>
  <si>
    <t>[0.016, 0.024, 0.009, 0.014]</t>
  </si>
  <si>
    <t>1893.6005045466584</t>
  </si>
  <si>
    <t>[0.017, -0.006, -0.008, 0.017, -0.008, -0.033, -0.023, 0.004, -0.001, -0.019, -0.011]</t>
  </si>
  <si>
    <t>LINESTRING (11.063363137753573 60.01269687434875, 11.06485936100047 60.013778216424285, 11.065804412031868 60.01458886202791, 11.067023984372547 60.016020800908024, 11.067061001504216 60.01609306808275, 11.067418973254918 60.01686704008937, 11.06743376266367 60.01691180087911, 11.067486157404534 60.017072213242194, 11.06749662262782 60.01710803507903, 11.068345340722203 60.01978856987016, 11.068714846592078 60.02038667955675, 11.068842103674692 60.02055093978837)</t>
  </si>
  <si>
    <t>[1506950, 1506951, 1506958, 1506966, 1506974, 1506982, 1506983, 1506991, 1507004, 1507005, 1507012]</t>
  </si>
  <si>
    <t>[1362758, 1362759, 1362765, 1362771, 1362778, 1362787, 1362788, 1362797, 1362810, 1362811, 1362817]</t>
  </si>
  <si>
    <t>[1362746, 1362758, 1362759, 1362765, 1362771, 1362778, 1362787, 1362788, 1362797, 1362810, 1362811]</t>
  </si>
  <si>
    <t>[0.017, 0.006, 0.008, 0.017, 0.008, 0.033, 0.023, 0.004, 0.001, 0.019, 0.011]</t>
  </si>
  <si>
    <t>941.2135505139767</t>
  </si>
  <si>
    <t>[-0.044, 0.006]</t>
  </si>
  <si>
    <t>LINESTRING (10.438947032217701 59.83311521486472, 10.43903557432271 59.83314706840995, 10.439080765041144 59.83319540412059)</t>
  </si>
  <si>
    <t>[1507007, 1507016]</t>
  </si>
  <si>
    <t>[1362813, 1362819]</t>
  </si>
  <si>
    <t>[1362799, 1362813]</t>
  </si>
  <si>
    <t>[0.044, 0.006]</t>
  </si>
  <si>
    <t>12.05972526739984</t>
  </si>
  <si>
    <t>[-0.065, 0.057, 0.058, 0.023, 0.019, 0.018]</t>
  </si>
  <si>
    <t>LINESTRING (10.438947032217701 59.83311521486472, 10.43907736001689 59.8330848982097, 10.439158393354798 59.8330721884176, 10.439718585407842 59.83286949263748, 10.439996176974363 59.832759540025364, 10.440257430470957 59.83264024203809, 10.440338558676832 59.83261247953666)</t>
  </si>
  <si>
    <t>[1525315, 1525323, 1525331, 1525339, 1525347, 1525355]</t>
  </si>
  <si>
    <t>[1379168, 1379176, 1379182, 1379190, 1379196, 1362873]</t>
  </si>
  <si>
    <t>0.03025530757170306</t>
  </si>
  <si>
    <t>[1362799, 1379168, 1379176, 1379182, 1379190, 1379196]</t>
  </si>
  <si>
    <t>[0.065, 0.057, 0.058, 0.023, 0.019, 0.018]</t>
  </si>
  <si>
    <t>96.63292651188769</t>
  </si>
  <si>
    <t>[-0.018, -0.004, -0.035, -0.034, -0.003, -0.031, 0.004, -0.012, -0.111, -0.023, 0.11, 0.052]</t>
  </si>
  <si>
    <t>73446.0</t>
  </si>
  <si>
    <t>LINESTRING (11.068842103674692 60.02055093978837, 11.069337229978359 60.02112425625912, 11.069863217977236 60.021571085829876, 11.06987230620802 60.02157879112193, 11.07386926613564 60.02372975858081, 11.073883752062551 60.023734981163834, 11.093052620335436 60.0277075498208, 11.093192107377416 60.02776230039357, 11.096684478930158 60.029584732830344, 11.096733313737971 60.029617083741215, 11.098576560827023 60.03122138043242, 11.098622464018018 60.03127570454361, 11.099373385251662 60.03211009904062)</t>
  </si>
  <si>
    <t>[1507020, 1507021, 1507036, 1507052, 1507067, 1507082, 1507090, 1507098, 1507099, 1507102, 1507109, 1507125]</t>
  </si>
  <si>
    <t>[1362822, 1362823, 1362838, 1362851, 1362865, 1362884, 1362890, 1362896, 1362897, 1362900, 1362906, 1362920]</t>
  </si>
  <si>
    <t>[1362817, 1362822, 1362823, 1362838, 1362851, 1362865, 1362884, 1362890, 1362896, 1362897, 1362900, 1362906]</t>
  </si>
  <si>
    <t>[0.018, 0.004, 0.035, 0.034, 0.003, 0.031, 0.004, 0.012, 0.111, 0.023, 0.11, 0.052]</t>
  </si>
  <si>
    <t>2234.6938489577974</t>
  </si>
  <si>
    <t>[0.266, 0.01, 0.006, 0.019, 0.014, 0.006]</t>
  </si>
  <si>
    <t>LINESTRING (10.439080765041144 59.83319540412059, 10.439174148680332 59.83314901926727, 10.439241355675357 59.83310564683692, 10.439815098738112 59.83289532682141, 10.440074678090287 59.832797133022616, 10.440346071950678 59.83270815354367, 10.440417260662986 59.832675738076645)</t>
  </si>
  <si>
    <t>[1528739, 1528747, 1528755, 1528763, 1528771, 1528779]</t>
  </si>
  <si>
    <t>[1382048, 1382057, 1382063, 1382068, 1382077, 1362923]</t>
  </si>
  <si>
    <t>0.03040364771117329</t>
  </si>
  <si>
    <t>[1362819, 1382048, 1382057, 1382063, 1382068, 1382077]</t>
  </si>
  <si>
    <t>95.08450614801767</t>
  </si>
  <si>
    <t>[0.026, -0.012, -0.041, -0.038]</t>
  </si>
  <si>
    <t>LINESTRING (10.440338558676832 59.83261247953666, 10.440418880663033 59.832539990752295, 10.440531487881927 59.83253310662405, 10.440611378034818 59.83255899285706, 10.440645729813081 59.83261342722546)</t>
  </si>
  <si>
    <t>[1507073, 1507081, 1507097, 1507113]</t>
  </si>
  <si>
    <t>[1362874, 1362883, 1362895, 1362910]</t>
  </si>
  <si>
    <t>[1362873, 1362874, 1362883, 1362895]</t>
  </si>
  <si>
    <t>[0.026, 0.012, 0.041, 0.038]</t>
  </si>
  <si>
    <t>27.689113220876692</t>
  </si>
  <si>
    <t>[0.029, 0.036]</t>
  </si>
  <si>
    <t>LINESTRING (10.440417260662986 59.832675738076645, 10.440361762093636 59.83264916938326, 10.440338558676832 59.83261247953666)</t>
  </si>
  <si>
    <t>[1507137, 1507145]</t>
  </si>
  <si>
    <t>[1362931, 1362873]</t>
  </si>
  <si>
    <t>0.03249776031494181</t>
  </si>
  <si>
    <t>[1362923, 1362931]</t>
  </si>
  <si>
    <t>8.588385750660766</t>
  </si>
  <si>
    <t>[-0.019, 0.005]</t>
  </si>
  <si>
    <t>LINESTRING (10.440645729813081 59.83261342722546, 10.440596874955462 59.83266488394327, 10.440491319233086 59.832685503287294)</t>
  </si>
  <si>
    <t>[1507121, 1507122]</t>
  </si>
  <si>
    <t>[1362916, 1362917]</t>
  </si>
  <si>
    <t>[1362910, 1362916]</t>
  </si>
  <si>
    <t>[0.019, 0.005]</t>
  </si>
  <si>
    <t>12.708752250906421</t>
  </si>
  <si>
    <t>4.295160066832411</t>
  </si>
  <si>
    <t>[0.007, 0.028, 0.014, 0.1, -0.028, -0.013, 0.062, 0.053, 0.074, 0.104, 0.032, 0.02, 0.017]</t>
  </si>
  <si>
    <t>LINESTRING (11.099373385251662 60.03211009904062, 11.099453261918338 60.03219915612001, 11.099516806535085 60.03226949942491, 11.10297185166736 60.035305236203996, 11.103042223291963 60.03534812695406, 11.103384562905623 60.03554367253558, 11.103427344716215 60.03556775127029, 11.104296110426958 60.036026624917106, 11.104393775628468 60.03607351177709, 11.104410745156258 60.03608152796102, 11.104423748497043 60.03608767410404, 11.108349056264165 60.03770869848603, 11.10841568950691 60.037734458562646, 11.108485639805995 60.037760891733924)</t>
  </si>
  <si>
    <t>[1507140, 1507141, 1507149, 1507157, 1507165, 1507173, 1507181, 1507189, 1507238, 1507247, 1507255, 1507263, 1507271]</t>
  </si>
  <si>
    <t>[1362933, 1362934, 1362942, 1362951, 1362959, 1362965, 1362972, 1362981, 1363028, 1363037, 1363046, 1363056, 1363061]</t>
  </si>
  <si>
    <t>0.02403900908471227</t>
  </si>
  <si>
    <t>[1362920, 1362933, 1362934, 1362942, 1362951, 1362959, 1362965, 1362972, 1362981, 1363028, 1363037, 1363046, 1363056]</t>
  </si>
  <si>
    <t>[0.007, 0.028, 0.014, 0.1, 0.028, 0.013, 0.062, 0.053, 0.074, 0.104, 0.032, 0.02, 0.017]</t>
  </si>
  <si>
    <t>822.5834440766223</t>
  </si>
  <si>
    <t>[0.025, 0.015, 0.01, -0.005, -0.024, -0.033, -0.027]</t>
  </si>
  <si>
    <t>LINESTRING (11.019773194265387 60.24648928735354, 11.019768110984412 60.24653111775823, 11.019742108366561 60.24657097150151, 11.019697293060274 60.24660639464728, 11.019635930172502 60.24663511781031, 11.01952216349782 60.246661997580425, 11.019354853063373 60.24666218733438, 11.019276414773612 60.246646886195116)</t>
  </si>
  <si>
    <t>[1526114, 1526122, 1526130, 1526138, 1526146, 1526154, 1526162]</t>
  </si>
  <si>
    <t>[1379848, 1379854, 1367286, 1365717, 1379873, 1371331, 1362932]</t>
  </si>
  <si>
    <t>[1362938, 1379848, 1379854, 1367286, 1365717, 1379873, 1371331]</t>
  </si>
  <si>
    <t>[0.025, 0.015, 0.01, 0.005, 0.024, 0.033, 0.027]</t>
  </si>
  <si>
    <t>39.5848399379249</t>
  </si>
  <si>
    <t>[0.176, -0.002, 0.0, -0.057]</t>
  </si>
  <si>
    <t>LINESTRING (11.045151086297233 60.225245868929555, 11.04519268894089 60.22530625475028, 11.045186371038644 60.225370010759036, 11.045133009827607 60.225428065441214, 11.044878503287938 60.22549877873862)</t>
  </si>
  <si>
    <t>[1540810, 1540818, 1540826, 1540834]</t>
  </si>
  <si>
    <t>[1369110, 1392165, 1372869, 1362969]</t>
  </si>
  <si>
    <t>0.007760599388492315</t>
  </si>
  <si>
    <t>[1362985, 1369110, 1392165, 1372869]</t>
  </si>
  <si>
    <t>[0.176, 0.002, 0.0, 0.057]</t>
  </si>
  <si>
    <t>37.89538945159002</t>
  </si>
  <si>
    <t>[-0.002, -0.019, -0.026, 0.001]</t>
  </si>
  <si>
    <t>LINESTRING (11.06807190844424 60.20969410834493, 11.068114039163023 60.209730688533384, 11.068130214908182 60.209834307593745, 11.068050835034455 60.20990804907413, 11.067985999700301 60.20993519712488)</t>
  </si>
  <si>
    <t>[1526210, 1526218, 1526226, 1526234]</t>
  </si>
  <si>
    <t>[1360066, 1379921, 1357462, 1363017]</t>
  </si>
  <si>
    <t>[1363024, 1360066, 1379921, 1357462]</t>
  </si>
  <si>
    <t>[0.002, 0.019, 0.026, 0.001]</t>
  </si>
  <si>
    <t>30.301391603946293</t>
  </si>
  <si>
    <t>[-0.031, 0.044, 0.034, 0.018]</t>
  </si>
  <si>
    <t>LINESTRING (11.068473522630631 60.19809913038558, 11.068649366304916 60.19821402538219, 11.068620666649371 60.198287787953696, 11.068567790806215 60.19832217701686, 11.068309354769216 60.198354058984904)</t>
  </si>
  <si>
    <t>[1526378, 1526386, 1526394, 1526402]</t>
  </si>
  <si>
    <t>[1365244, 1380049, 1368129, 1363042]</t>
  </si>
  <si>
    <t>0.006348294176596994</t>
  </si>
  <si>
    <t>[1363051, 1365244, 1380049, 1368129]</t>
  </si>
  <si>
    <t>[0.031, 0.044, 0.034, 0.018]</t>
  </si>
  <si>
    <t>45.314775370058086</t>
  </si>
  <si>
    <t>[0.021, 0.039, 0.006, 0.008, 0.015, 0.021, -0.028, -0.003, -0.008, -0.02, -0.005, 0.023, 0.007, 0.007, 0.003]</t>
  </si>
  <si>
    <t>68531.0</t>
  </si>
  <si>
    <t>[0, 0, 0, 1, 1, 0, 0, 0, 0, 1, 1, 0, 0, 0, 0]</t>
  </si>
  <si>
    <t>LINESTRING (11.108485639805995 60.037760891733924, 11.10855870960056 60.03778586163167, 11.112605864144186 60.03935625285743, 11.13188580809353 60.0469269274338, 11.132039607267574 60.04699373962861, 11.135927138775903 60.04895906596511, 11.137429211487465 60.04989506008091, 11.137682731157454 60.05006789147335, 11.14751971422239 60.058266411178145, 11.151404954737108 60.06160140901578, 11.15153220766007 60.0617235972252, 11.15160616525992 60.0617911680262, 11.151664477574329 60.06185705133216, 11.154220447033657 60.06996856009375, 11.15421784630957 60.06997744674825, 11.152538357113256 60.07455433093387)</t>
  </si>
  <si>
    <t>[1507279, 1507287, 1507295, 1507296, 1507303, 1507304, 1507311, 1507312, 1507320, 1507328, 1507329, 1507336, 1507352, 1507360, 1507368]</t>
  </si>
  <si>
    <t>[1363067, 1363073, 1363080, 1363081, 1363084, 1363085, 1363089, 1363090, 1363094, 1363098, 1363099, 1363105, 1363117, 1363123, 1363127]</t>
  </si>
  <si>
    <t>0.005392411541617284</t>
  </si>
  <si>
    <t>[1363061, 1363067, 1363073, 1363080, 1363081, 1363084, 1363085, 1363089, 1363090, 1363094, 1363098, 1363099, 1363105, 1363117, 1363123]</t>
  </si>
  <si>
    <t>[0.021, 0.039, 0.006, 0.008, 0.015, 0.021, 0.028, 0.003, 0.008, 0.02, 0.005, 0.023, 0.007, 0.007, 0.003]</t>
  </si>
  <si>
    <t>5110.769931468951</t>
  </si>
  <si>
    <t>[-0.003, 0.13, -0.011, -0.261]</t>
  </si>
  <si>
    <t>LINESTRING (11.066366766732324 60.19356678461321, 11.066431978028621 60.193601174795496, 11.06647141814848 60.19366077966955, 11.066439496991157 60.193737916146745, 11.066392623428554 60.19376083187763)</t>
  </si>
  <si>
    <t>[1526474, 1526482, 1526490, 1526498]</t>
  </si>
  <si>
    <t>[1368144, 1380122, 1365255, 1363075]</t>
  </si>
  <si>
    <t>[1370250, 1368144, 1380122, 1365255]</t>
  </si>
  <si>
    <t>[0.003, 0.13, 0.011, 0.261]</t>
  </si>
  <si>
    <t>24.68493117943845</t>
  </si>
  <si>
    <t>[-0.01, 0.004, 0.008, 0.006, -0.007, -0.016, -0.013, -0.006, -0.004, -0.011, -0.007, 0.002]</t>
  </si>
  <si>
    <t>LINESTRING (11.152538357113256 60.07455433093387, 11.152523214979484 60.074586215608385, 11.152460499236236 60.074749433411725, 11.152457121305313 60.074758189535096, 11.15245040338456 60.074775684908005, 11.151976482608186 60.07601651538494, 11.151704858343392 60.07673453810693, 11.151220147838737 60.0779933188208, 11.151155648481248 60.078164457803894, 11.150309670525644 60.08038810964055, 11.15030624820756 60.0803969273592, 11.149885438054316 60.08150596128957, 11.14935060192636 60.08290951555173)</t>
  </si>
  <si>
    <t>[1507375, 1507382, 1507390, 1507422, 1507437, 1507446, 1507447, 1507455, 1507463, 1507471, 1507479, 1507495]</t>
  </si>
  <si>
    <t>[1363135, 1363142, 1363147, 1363175, 1363189, 1363198, 1363199, 1363205, 1363212, 1363218, 1363226, 1363242]</t>
  </si>
  <si>
    <t>[1363127, 1363135, 1363142, 1363147, 1363175, 1363189, 1363198, 1363199, 1363205, 1363212, 1363218, 1363226]</t>
  </si>
  <si>
    <t>[0.01, 0.004, 0.008, 0.006, 0.007, 0.016, 0.013, 0.006, 0.004, 0.011, 0.007, 0.002]</t>
  </si>
  <si>
    <t>947.8019315829561</t>
  </si>
  <si>
    <t>[-0.011, 0.001, 0.004, 0.005, 0.02, 0.017, 0.01, 0.0, 0.015, 0.021, 0.009, 0.014, -0.024]</t>
  </si>
  <si>
    <t>LINESTRING (11.14935060192636 60.08290951555173, 11.149145538828524 60.08344268476107, 11.148931364645671 60.08400511824595, 11.148310259898974 60.085651942298945, 11.147290816328931 60.08830714682072, 11.147234502776563 60.08846331319812, 11.146210270675159 60.091163759860386, 11.146093103640702 60.091473172882104, 11.148198526216124 60.110243328785536, 11.148641882421602 60.11060388231326, 11.148651510167657 60.1106114891237, 11.164301954628394 60.12220329821588, 11.165066135760691 60.126809080168265, 11.164013294644382 60.12898332782427)</t>
  </si>
  <si>
    <t>[1507496, 1507503, 1507504, 1507519, 1507520, 1507521, 1507528, 1507535, 1507543, 1507547, 1507548, 1507550, 1507558]</t>
  </si>
  <si>
    <t>[1363243, 1363250, 1363251, 1363264, 1363265, 1363266, 1363273, 1363280, 1363286, 1363289, 1363290, 1363291, 1363300]</t>
  </si>
  <si>
    <t>0.004290584160969689</t>
  </si>
  <si>
    <t>[1363242, 1363243, 1363250, 1363251, 1363264, 1363265, 1363266, 1363273, 1363280, 1363286, 1363289, 1363290, 1363291]</t>
  </si>
  <si>
    <t>[0.011, 0.001, 0.004, 0.005, 0.02, 0.017, 0.01, 0.0, 0.015, 0.021, 0.009, 0.014, 0.024]</t>
  </si>
  <si>
    <t>5508.922406828693</t>
  </si>
  <si>
    <t>[-0.01, 0.004, 0.011, -0.011, -0.012, -0.022, -0.011, -0.011, -0.004]</t>
  </si>
  <si>
    <t>LINESTRING (11.164013294644382 60.12898332782427, 11.163036852457099 60.130153106586185, 11.162874295627685 60.13032005795124, 11.162606151574987 60.13057069174001, 11.162597515422856 60.13057845956568, 11.16112845009001 60.13184764541626, 11.16111929013444 60.13185526311459, 11.158466366270924 60.134096600381106, 11.157165211622301 60.13534528401762, 11.157091577234041 60.13542733816914)</t>
  </si>
  <si>
    <t>[1507566, 1507574, 1507575, 1507601, 1507608, 1507616, 1507617, 1507630, 1507637]</t>
  </si>
  <si>
    <t>[1363308, 1363314, 1363315, 1363336, 1363342, 1363348, 1363349, 1363358, 1363364]</t>
  </si>
  <si>
    <t>[1363300, 1363308, 1363314, 1363315, 1363336, 1363342, 1363348, 1363349, 1363358]</t>
  </si>
  <si>
    <t>[0.01, 0.004, 0.011, 0.011, 0.012, 0.022, 0.011, 0.011, 0.004]</t>
  </si>
  <si>
    <t>815.842577480967</t>
  </si>
  <si>
    <t>[0.008, -0.006, 0.017, -0.02]</t>
  </si>
  <si>
    <t>LINESTRING (11.164013294644382 60.12898332782427, 11.164055931753449 60.1290516243622, 11.162972516869269 60.130363826822666, 11.162271967328897 60.132168318379414, 11.162229008101875 60.132196736329455)</t>
  </si>
  <si>
    <t>[1551967, 1500076, 1500084, 1551975]</t>
  </si>
  <si>
    <t>[1357301, 1357302, 1357307, 1391813]</t>
  </si>
  <si>
    <t>0.006787803998636142</t>
  </si>
  <si>
    <t>[1363300, 1357301, 1357302, 1357307]</t>
  </si>
  <si>
    <t>[0.008, 0.006, 0.017, 0.02]</t>
  </si>
  <si>
    <t>377.75132436617054</t>
  </si>
  <si>
    <t>[-0.043, -0.068, -0.032, -0.01, 0.002]</t>
  </si>
  <si>
    <t>LINESTRING (11.162106105144376 60.13224620646191, 11.162014673900408 60.13228849946114, 11.161891839577397 60.13233845681849, 11.158887335633844 60.13381667567926, 11.157216272830661 60.135360682980746, 11.157091577234041 60.13542733816914)</t>
  </si>
  <si>
    <t>[1552015, 1500101, 1500108, 1500109, 1552023]</t>
  </si>
  <si>
    <t>[1357320, 1357321, 1357324, 1357325, 1363364]</t>
  </si>
  <si>
    <t>[1393271, 1357320, 1357321, 1357324, 1357325]</t>
  </si>
  <si>
    <t>[0.043, 0.068, 0.032, 0.01, 0.002]</t>
  </si>
  <si>
    <t>457.77324971705957</t>
  </si>
  <si>
    <t>0.395</t>
  </si>
  <si>
    <t>12.055274862173643</t>
  </si>
  <si>
    <t>[0.021, 0.022, -0.003]</t>
  </si>
  <si>
    <t>LINESTRING (11.156885707760356 60.16277859313816, 11.156903088737353 60.16279531451487, 11.15695663109557 60.16284677776468, 11.157052287829172 60.162938225648915)</t>
  </si>
  <si>
    <t>[1507884, 1507892, 1507901]</t>
  </si>
  <si>
    <t>[1363581, 1363589, 1363598]</t>
  </si>
  <si>
    <t>0.007566406462338772</t>
  </si>
  <si>
    <t>[1363575, 1363581, 1363589]</t>
  </si>
  <si>
    <t>[0.021, 0.022, 0.003]</t>
  </si>
  <si>
    <t>20.049983117757368</t>
  </si>
  <si>
    <t>[-0.01, 0.004, 0.024, 0.003, 0.015]</t>
  </si>
  <si>
    <t>LINESTRING (11.157052287829172 60.162938225648915, 11.157896121363844 60.16375107578301, 11.158219119068102 60.16406178147151, 11.158309338106452 60.1641496545299, 11.16219575849053 60.16813556900219, 11.162541558945964 60.16853132343613)</t>
  </si>
  <si>
    <t>[1507913, 1507936, 1507951, 1507952, 1507953]</t>
  </si>
  <si>
    <t>[1363609, 1363629, 1363642, 1363643, 1363644]</t>
  </si>
  <si>
    <t>0.0023103525670181034</t>
  </si>
  <si>
    <t>[1363598, 1363609, 1363629, 1363642, 1363643]</t>
  </si>
  <si>
    <t>[0.01, 0.004, 0.024, 0.003, 0.015]</t>
  </si>
  <si>
    <t>693.9888727806917</t>
  </si>
  <si>
    <t>0.449</t>
  </si>
  <si>
    <t>10.272753865918908</t>
  </si>
  <si>
    <t>[0.072, -0.026, -0.014, 0.014, 0.029, 0.0]</t>
  </si>
  <si>
    <t>LINESTRING (10.722110348891427 59.51297274428082, 10.722119230164054 59.51298544434968, 10.722663708479626 59.5137644625248, 10.724175592309818 59.51589126832416, 10.724181691314307 59.51589968679999, 10.726188008319253 59.518765346203594, 10.726190225573665 59.518768655914855)</t>
  </si>
  <si>
    <t>[1557607, 1557615, 1557623, 1557631, 1557639, 1557647]</t>
  </si>
  <si>
    <t>[1405319, 1405324, 1405330, 1405337, 1405343, 1363664]</t>
  </si>
  <si>
    <t>0.005873197914285422</t>
  </si>
  <si>
    <t>[1363657, 1405319, 1405324, 1405330, 1405337, 1405343]</t>
  </si>
  <si>
    <t>[0.072, 0.026, 0.014, 0.014, 0.029, 0.0]</t>
  </si>
  <si>
    <t>685.9914567254151</t>
  </si>
  <si>
    <t>[0.029, 0.024, 0.001, 0.013, 0.053, 0.025, 0.033]</t>
  </si>
  <si>
    <t>LINESTRING (10.842789204195494 59.797678573254245, 10.842830654261014 59.79795294943976, 10.842861729627165 59.798158402991255, 10.84049564907324 59.80955947232624, 10.840253997297769 59.81002351924471, 10.840205057046147 59.8101183197204, 10.839818036692915 59.81318075710967, 10.840923698293526 59.81445202647177)</t>
  </si>
  <si>
    <t>[1558727, 1558735, 1558743, 1558751, 1558759, 1558767, 1558775]</t>
  </si>
  <si>
    <t>[1406224, 1406230, 1406236, 1406243, 1406248, 1406256, 1363672]</t>
  </si>
  <si>
    <t>0.009344986911611378</t>
  </si>
  <si>
    <t>[1364887, 1406224, 1406230, 1406236, 1406243, 1406248, 1406256]</t>
  </si>
  <si>
    <t>1902.4555724707257</t>
  </si>
  <si>
    <t>[0.003, 0.065, -0.027, -0.017, -0.047]</t>
  </si>
  <si>
    <t>LINESTRING (10.839151839892324 59.78780425925283, 10.839218013167592 59.78812752440855, 10.83932711625628 59.78866066637853, 10.83983597175719 59.790362948752836, 10.840447939202402 59.79190712792302, 10.840475889287028 59.791977695556206)</t>
  </si>
  <si>
    <t>[1558639, 1558647, 1558655, 1558663, 1558671]</t>
  </si>
  <si>
    <t>[1406153, 1406161, 1406170, 1406176, 1364868]</t>
  </si>
  <si>
    <t>[1363690, 1406153, 1406161, 1406170, 1406176]</t>
  </si>
  <si>
    <t>[0.003, 0.065, 0.027, 0.017, 0.047]</t>
  </si>
  <si>
    <t>471.3171204135602</t>
  </si>
  <si>
    <t>[-0.01, -0.012, 0.019, 0.018, 0.01, 0.004, 0.015, -0.005, 0.187]</t>
  </si>
  <si>
    <t>45575.0</t>
  </si>
  <si>
    <t>LINESTRING (10.735982241516268 59.60567092804857, 10.735843150554352 59.60590982513713, 10.735801654403813 59.60598110972625, 10.735639934046837 59.606258635902144, 10.732804053637185 59.61120265070351, 10.732069474212944 59.61454611962293, 10.732072445906558 59.61509400873082, 10.73254506138764 59.619457769543715, 10.732646892361778 59.62039016040071, 10.732651532358245 59.62044136820866)</t>
  </si>
  <si>
    <t>[1557927, 1557935, 1557943, 1557951, 1557959, 1557967, 1557975, 1557983, 1557991]</t>
  </si>
  <si>
    <t>[1405577, 1405584, 1405593, 1405600, 1405608, 1405617, 1405621, 1405627, 1364700]</t>
  </si>
  <si>
    <t>0.013379584996743762</t>
  </si>
  <si>
    <t>[1363745, 1405577, 1405584, 1405593, 1405600, 1405608, 1405617, 1405621, 1405627]</t>
  </si>
  <si>
    <t>[0.01, 0.012, 0.019, 0.018, 0.01, 0.004, 0.015, 0.005, 0.187]</t>
  </si>
  <si>
    <t>1675.6828913514319</t>
  </si>
  <si>
    <t>[0.059, 0.024, 0.015, 0.019, 0.025, 0.0, 0.015, 0.023, 0.203]</t>
  </si>
  <si>
    <t>LINESTRING (10.738545010975109 59.59956436814268, 10.738529833121396 59.59963049513157, 10.738442442072127 59.60001098446029, 10.738370945129274 59.60032220494661, 10.738279494293929 59.60070012513655, 10.737750595217387 59.60229564686261, 10.737747159897902 59.60230441000077, 10.73659879930616 59.604648493789014, 10.736005399938504 59.60563411441344, 10.735982241516268 59.60567092804857)</t>
  </si>
  <si>
    <t>[1557855, 1557863, 1557871, 1557879, 1557887, 1557895, 1557903, 1557911, 1557919]</t>
  </si>
  <si>
    <t>[1405520, 1405528, 1405533, 1405539, 1405545, 1405550, 1405557, 1405564, 1363745]</t>
  </si>
  <si>
    <t>0.021306757953281696</t>
  </si>
  <si>
    <t>[1363794, 1405520, 1405528, 1405533, 1405539, 1405545, 1405550, 1405557, 1405564]</t>
  </si>
  <si>
    <t>697.144762524213</t>
  </si>
  <si>
    <t>[0.013, 0.013, 0.009, 0.024, 0.036]</t>
  </si>
  <si>
    <t>LINESTRING (10.979921983373574 59.93433519765041, 10.97981307976158 59.934391210043444, 10.979777416953684 59.93443417435553, 10.979909893928104 59.93465651366258, 10.980079423902497 59.93475008165142, 10.980132688164176 59.93476957126943)</t>
  </si>
  <si>
    <t>[1508122, 1508123, 1508130, 1508152, 1508160]</t>
  </si>
  <si>
    <t>[480325, 1363793, 1363799, 1363821, 1363149]</t>
  </si>
  <si>
    <t>0.01525330429449535</t>
  </si>
  <si>
    <t>[1363792, 480325, 1363793, 1363799, 1363821]</t>
  </si>
  <si>
    <t>59.02010318662181</t>
  </si>
  <si>
    <t>[0.016, 0.013, 0.038, 0.112]</t>
  </si>
  <si>
    <t>LINESTRING (10.979921983373574 59.93433519765041, 10.979861693085907 59.934418766043365, 10.980015122867169 59.93459313377412, 10.980192339667969 59.93466170921963, 10.980286939427042 59.934664596485916)</t>
  </si>
  <si>
    <t>[1558066, 1558074, 1558082, 1558090]</t>
  </si>
  <si>
    <t>[480324, 1405699, 1405707, 1363169]</t>
  </si>
  <si>
    <t>0.03043254652816696</t>
  </si>
  <si>
    <t>[1363792, 480324, 1405699, 1405707]</t>
  </si>
  <si>
    <t>49.75023703981394</t>
  </si>
  <si>
    <t>[-0.022, -0.013, -0.014, -0.049, -0.022, 0.001, 0.011, 0.017, -0.008, 0.008, 0.008, 0.007, -0.036, -0.033, -0.0, -0.021, -0.007, -0.009, -0.115, -0.013, -0.007, -0.012, -0.004]</t>
  </si>
  <si>
    <t>[0, 0, 0, 1, 1, 1, 1, 1, 0, 0, 0, 0, 0, 0, 0, 0, 0, 0, 0, 0, 0, 0, 0]</t>
  </si>
  <si>
    <t>LINESTRING (10.73557527277589 59.62844781258434, 10.73567663083676 59.62862825678777, 10.737039369926851 59.63106576958788, 10.737404012543129 59.63190094866066, 10.737427406057016 59.63194604083243, 10.737547192473466 59.632221462759446, 10.737567815408648 59.63227495307133, 10.737632970407203 59.63244702270369, 10.737679764320038 59.6325668086476, 10.73822189873847 59.63439407284622, 10.738647951751666 59.636829860594, 10.738649429244882 59.63683878373839, 10.739909444293927 59.64496266135569, 10.739910633668817 59.64497162005038, 10.739914580267813 59.64500125098778, 10.740193540735453 59.64696264592837, 10.740202692563782 59.647022074594396, 10.740553498717508 59.649287250422894, 10.740794492206659 59.65081164043357, 10.740795222687723 59.650816241082495, 10.740911137594342 59.65154818619988, 10.741407041459507 59.65400912756699, 10.741944193403985 59.655623738964046, 10.743356897051054 59.658511792297766)</t>
  </si>
  <si>
    <t>[1558103, 1558111, 1558119, 1558127, 1558135, 1558143, 1558151, 1558159, 1558167, 1558175, 1558183, 1558191, 1558199, 1558207, 1558215, 1558223, 1558231, 1558239, 1558247, 1558255, 1558263, 1558271, 1558279]</t>
  </si>
  <si>
    <t>[1405726, 1405732, 1405738, 1405745, 1405752, 1405758, 1405763, 1405768, 1405775, 1405781, 1405788, 1405795, 1405805, 1405812, 1405821, 957634, 1405831, 957641, 1405845, 1405851, 1405858, 1405865, 1364713]</t>
  </si>
  <si>
    <t>[1363807, 1405726, 1405732, 1405738, 1405745, 1405752, 1405758, 1405763, 1405768, 1405775, 1405781, 1405788, 1405795, 1405805, 1405812, 1405821, 957634, 1405831, 957641, 1405845, 1405851, 1405858, 1405865]</t>
  </si>
  <si>
    <t>[0.022, 0.013, 0.014, 0.049, 0.022, 0.001, 0.011, 0.017, 0.008, 0.008, 0.008, 0.007, 0.036, 0.033, 0.0, 0.021, 0.007, 0.009, 0.115, 0.013, 0.007, 0.012, 0.004]</t>
  </si>
  <si>
    <t>3387.8699344507536</t>
  </si>
  <si>
    <t>[-0.089, 0.001, 0.004, 0.006, 0.006, 0.001, 0.003, 0.044, -0.074, -0.01, -0.017, -0.001]</t>
  </si>
  <si>
    <t>LINESTRING (10.732651532358245 59.62044136820866, 10.732670065001281 59.62054737662348, 10.732687405215476 59.62064656619003, 10.732719598367114 59.62080389671438, 10.732970983724554 59.622024483226376, 10.733062217182182 59.6223662220025, 10.733074444491495 59.62240605952261, 10.733655857883152 59.624244695535126, 10.73380241319671 59.624657592078954, 10.733805583277936 59.62466645360598, 10.734568094312548 59.62651712838738, 10.734668242698895 59.626724618025634, 10.73557527277589 59.62844781258434)</t>
  </si>
  <si>
    <t>[1557999, 1558007, 1558015, 1558023, 1558031, 1558039, 1558047, 1558055, 1558063, 1558071, 1558079, 1558087]</t>
  </si>
  <si>
    <t>[1405642, 1405646, 1405651, 1405658, 1405663, 1405668, 1405676, 1405682, 1405689, 1405696, 1405705, 1363807]</t>
  </si>
  <si>
    <t>[1364700, 1405642, 1405646, 1405651, 1405658, 1405663, 1405668, 1405676, 1405682, 1405689, 1405696, 1405705]</t>
  </si>
  <si>
    <t>[0.089, 0.001, 0.004, 0.006, 0.006, 0.001, 0.003, 0.044, 0.074, 0.01, 0.017, 0.001]</t>
  </si>
  <si>
    <t>908.8355711141987</t>
  </si>
  <si>
    <t>[0.026, -0.014, 0.008, -0.0, 0.072, 0.064, -0.056, -0.019, -0.046, -0.037, -0.016]</t>
  </si>
  <si>
    <t>LINESTRING (10.743356897051054 59.658511792297766, 10.743397232265588 59.658587682178066, 10.74361738984842 59.659015164280525, 10.743663135418089 59.65910373762784, 10.745134787048743 59.662482875202414, 10.74516315675605 59.66259864126445, 10.745165004440398 59.66260746838192, 10.745208109146667 59.66283175065775, 10.745285548645711 59.663329125915574, 10.745286508668933 59.66333808604638, 10.745316409843394 59.6637862958489, 10.745215809507904 59.66602315822322)</t>
  </si>
  <si>
    <t>[1558287, 1558295, 1558303, 1558311, 1558319, 1558327, 1558335, 1558343, 1558351, 1558359, 1558367]</t>
  </si>
  <si>
    <t>[1405880, 1405884, 1405890, 1405894, 1405901, 1405908, 1405915, 1405922, 1405929, 1405935, 1364730]</t>
  </si>
  <si>
    <t>[1364713, 1405880, 1405884, 1405890, 1405894, 1405901, 1405908, 1405915, 1405922, 1405929, 1405935]</t>
  </si>
  <si>
    <t>[0.026, 0.014, 0.008, 0.0, 0.072, 0.064, 0.056, 0.019, 0.046, 0.037, 0.016]</t>
  </si>
  <si>
    <t>849.1463467104717</t>
  </si>
  <si>
    <t>[-0.033, 0.016]</t>
  </si>
  <si>
    <t>LINESTRING (10.780785068146463 59.740171584106335, 10.780668318153738 59.74016513124667, 10.780540914998081 59.74011607490991)</t>
  </si>
  <si>
    <t>[1536418, 1536426]</t>
  </si>
  <si>
    <t>[1388474, 1388481]</t>
  </si>
  <si>
    <t>[1364787, 1388474]</t>
  </si>
  <si>
    <t>[0.033, 0.016]</t>
  </si>
  <si>
    <t>15.620692852291828</t>
  </si>
  <si>
    <t>[-0.018, 0.02]</t>
  </si>
  <si>
    <t>LINESTRING (10.778474360044928 59.74142980077586, 10.778665592227819 59.741453039060424, 10.778753513969834 59.741504423312065)</t>
  </si>
  <si>
    <t>[1533690, 1533698]</t>
  </si>
  <si>
    <t>[1386229, 1364822]</t>
  </si>
  <si>
    <t>[1386221, 1386229]</t>
  </si>
  <si>
    <t>18.630730163629714</t>
  </si>
  <si>
    <t>[-0.015, -0.03, 0.016, 0.032, 0.034, 0.036]</t>
  </si>
  <si>
    <t>2417.0</t>
  </si>
  <si>
    <t>LINESTRING (10.840475889287028 59.791977695556206, 10.842510039317704 59.79648289144924, 10.84251776442377 59.79650966018764, 10.842669941548262 59.79708946786101, 10.842676056220757 59.79711627551558, 10.842781700719486 59.797634278632536, 10.842789204195494 59.797678573254245)</t>
  </si>
  <si>
    <t>[1558679, 1558687, 1558695, 1558703, 1558711, 1558719]</t>
  </si>
  <si>
    <t>[1406188, 1406194, 1406202, 1406206, 1406213, 1364887]</t>
  </si>
  <si>
    <t>[1364868, 1406188, 1406194, 1406202, 1406206, 1406213]</t>
  </si>
  <si>
    <t>[0.015, 0.03, 0.016, 0.032, 0.034, 0.036]</t>
  </si>
  <si>
    <t>649.3987351015082</t>
  </si>
  <si>
    <t>3.721293458050852</t>
  </si>
  <si>
    <t>[0.0, 0.027, -0.014, -0.016, 0.01, -0.002, -0.018, -0.03]</t>
  </si>
  <si>
    <t>LINESTRING (10.99386349590555 59.97872071270173, 10.994296483973953 59.979212090270146, 10.99430465430456 59.9792213647742, 10.994443539240704 59.9793789769841, 10.995693696251228 59.980583822149214, 10.996009514031357 59.98087331764874, 10.996254149263937 59.98109577670925, 10.996976967961276 59.98158081527897, 10.997398840828819 59.98185155507381)</t>
  </si>
  <si>
    <t>[1559023, 1559031, 1559039, 1559047, 1559055, 1559063, 1559071, 1559079]</t>
  </si>
  <si>
    <t>[1406444, 1406449, 1406456, 1406461, 1406467, 1406472, 1406477, 1364924]</t>
  </si>
  <si>
    <t>[1364909, 1406444, 1406449, 1406456, 1406461, 1406467, 1406472, 1406477]</t>
  </si>
  <si>
    <t>[0.0, 0.027, 0.014, 0.016, 0.01, 0.002, 0.018, 0.03]</t>
  </si>
  <si>
    <t>402.51313475415384</t>
  </si>
  <si>
    <t>[-0.004, -0.012, -0.004, 0.005, 0.002, -0.015]</t>
  </si>
  <si>
    <t>LINESTRING (10.991678567805778 59.97556065409588, 10.992507912138926 59.97698181066047, 10.992598822601499 59.97710036933119, 10.993027542389465 59.977724381710345, 10.993158028413044 59.977897194540155, 10.993272715643167 59.97803840265067, 10.99386349590555 59.97872071270173)</t>
  </si>
  <si>
    <t>[1558975, 1558983, 1558991, 1558999, 1559007, 1559015]</t>
  </si>
  <si>
    <t>[1406405, 1406411, 1406418, 1406427, 1406433, 1364909]</t>
  </si>
  <si>
    <t>[1406400, 1406405, 1406411, 1406418, 1406427, 1406433]</t>
  </si>
  <si>
    <t>[0.004, 0.012, 0.004, 0.005, 0.002, 0.015]</t>
  </si>
  <si>
    <t>373.3743646864915</t>
  </si>
  <si>
    <t>[-0.034, 0.027, 0.025, -0.05, 0.02, 0.012, 0.003, 0.023, -0.008, 0.027, -0.036, 0.014, 0.021, 0.03, 0.037, 0.043, 0.004, 0.034, 0.058, 0.06]</t>
  </si>
  <si>
    <t>[1, 0, 0, 0, 1, 0, 0, 0, 1, 0, 0, 0, 1, 0, 0, 0, 0, 1, 0, 0]</t>
  </si>
  <si>
    <t>LINESTRING (10.997398840828819 59.98185155507381, 10.999044755552289 59.98279514732392, 11.007298386803948 59.98541509666778, 11.009589006754954 59.9857445312161, 11.010146213318563 59.98581965087534, 11.01241332106992 59.98600511021664, 11.01415455119412 59.986108645454934, 11.014380830582603 59.98612483570193, 11.016744879976413 59.9862565120998, 11.016922793466867 59.986269079094406, 11.026949606605342 59.988462041432356, 11.02753907339399 59.98876388885233, 11.02837367460814 59.989289958138954, 11.028860599040607 59.98964354985625, 11.033212493889877 59.993698792263295, 11.033357791103406 59.99382362962759, 11.033773350583596 59.994147724221264, 11.0340843992362 59.994405303435016, 11.034234547588408 59.99451337531475, 11.03444420503301 59.99468078182427, 11.034606056557362 59.99479784459259)</t>
  </si>
  <si>
    <t>[1559087, 1559095, 1559103, 1559111, 1559119, 1559127, 1559135, 1559143, 1559151, 1559159, 1559167, 1559175, 1559183, 1559191, 1559199, 1559207, 1559215, 1559223, 1559231, 1559239]</t>
  </si>
  <si>
    <t>[1406487, 1406491, 1406498, 1406501, 1406506, 1406512, 1406519, 1406524, 1406532, 1406538, 1406544, 1406549, 1406554, 1406561, 1406566, 1406571, 1406577, 1406582, 1406589, 1365009]</t>
  </si>
  <si>
    <t>0.021005212507394823</t>
  </si>
  <si>
    <t>[1364924, 1406487, 1406491, 1406498, 1406501, 1406506, 1406512, 1406519, 1406524, 1406532, 1406538, 1406544, 1406549, 1406554, 1406561, 1406566, 1406571, 1406577, 1406582, 1406589]</t>
  </si>
  <si>
    <t>[0.034, 0.027, 0.025, 0.05, 0.02, 0.012, 0.003, 0.023, 0.008, 0.027, 0.036, 0.014, 0.021, 0.03, 0.037, 0.043, 0.004, 0.034, 0.058, 0.06]</t>
  </si>
  <si>
    <t>2690.1184670045204</t>
  </si>
  <si>
    <t>[0.073, 0.029, -0.026, -0.034, 0.019, 0.021, -0.034]</t>
  </si>
  <si>
    <t>LINESTRING (11.034606056557362 59.99479784459259, 11.035319084569196 59.99529084710342, 11.04087882604567 59.998274009056885, 11.040891472652737 59.99828051989698, 11.040997306361445 59.99833505691841, 11.041375214312973 59.99853986585138, 11.041871710941752 59.9988141834542, 11.042236890891088 59.9990159466524)</t>
  </si>
  <si>
    <t>[1559247, 1559255, 1559263, 1559271, 1559279, 1559287, 1559295]</t>
  </si>
  <si>
    <t>[1406598, 1406604, 1406610, 1406617, 1406624, 1406629, 1365023]</t>
  </si>
  <si>
    <t>0.02875230678165039</t>
  </si>
  <si>
    <t>[1365009, 1406598, 1406604, 1406610, 1406617, 1406624, 1406629]</t>
  </si>
  <si>
    <t>[0.073, 0.029, 0.026, 0.034, 0.019, 0.021, 0.034]</t>
  </si>
  <si>
    <t>635.1708280628926</t>
  </si>
  <si>
    <t>[-0.028, 0.025, 0.061, -0.032, -0.018, 0.023, 0.018]</t>
  </si>
  <si>
    <t>79097.0</t>
  </si>
  <si>
    <t>LINESTRING (11.042236890891088 59.9990159466524, 11.042396778419068 59.99911981449668, 11.042647704470152 59.99928281713094, 11.042658097617307 59.99928956582819, 11.043082206076893 59.99958700415765, 11.050568447763823 60.00749960465715, 11.0506742432925 60.00755859082827, 11.057777243603464 60.010202842962386)</t>
  </si>
  <si>
    <t>[1559303, 1559311, 1559319, 1559327, 1559335, 1559343, 1559351]</t>
  </si>
  <si>
    <t>[1406641, 1406646, 1406652, 1406657, 1406664, 1406670, 1406676]</t>
  </si>
  <si>
    <t>[1365023, 1406641, 1406646, 1406652, 1406657, 1406664, 1406670]</t>
  </si>
  <si>
    <t>[0.028, 0.025, 0.061, 0.032, 0.018, 0.023, 0.018]</t>
  </si>
  <si>
    <t>1568.2835318896055</t>
  </si>
  <si>
    <t>LINESTRING (11.160316803408632 60.164828854503845, 11.16077671934642 60.16467499753239, 11.160853461911236 60.164651155012024)</t>
  </si>
  <si>
    <t>[1509560, 1509573]</t>
  </si>
  <si>
    <t>[1365122, 1365133]</t>
  </si>
  <si>
    <t>0.012315839921417987</t>
  </si>
  <si>
    <t>[1365121, 1365122]</t>
  </si>
  <si>
    <t>35.78247846525563</t>
  </si>
  <si>
    <t>LINESTRING (11.160316803408632 60.164828854503845, 11.16084877878979 60.16479934158282, 11.16093643149967 60.16479019828454)</t>
  </si>
  <si>
    <t>[1515322, 1515330]</t>
  </si>
  <si>
    <t>[1370370, 1370379]</t>
  </si>
  <si>
    <t>0.010434355361528988</t>
  </si>
  <si>
    <t>[1365121, 1370370]</t>
  </si>
  <si>
    <t>34.93908668384048</t>
  </si>
  <si>
    <t>[-0.014, 0.022]</t>
  </si>
  <si>
    <t>LINESTRING (11.16093643149967 60.16479019828454, 11.160858530012053 60.16473130625088, 11.160853461911236 60.164651155012024)</t>
  </si>
  <si>
    <t>[1526778, 1526786]</t>
  </si>
  <si>
    <t>[1380353, 1365133]</t>
  </si>
  <si>
    <t>0.0051529850471603265</t>
  </si>
  <si>
    <t>[1370379, 1380353]</t>
  </si>
  <si>
    <t>16.795908166285134</t>
  </si>
  <si>
    <t>[0.034, -0.001, -0.041, -0.034, 0.025, 0.081, 0.09, 0.055, 0.016]</t>
  </si>
  <si>
    <t>LINESTRING (11.042673990643584 59.99744601442486, 11.042578256656629 59.99751126788989, 11.042370384595994 59.99776494879246, 11.042267735670103 59.99783412994821, 11.041697414496035 59.99821313084797, 11.041051707850071 59.99864541581372, 11.040995068720136 59.99867849789639, 11.040691284286472 59.9988719500193, 11.039919586658119 59.99931964115308, 11.0398373792813 59.99940330599168)</t>
  </si>
  <si>
    <t>[1509972, 1509980, 1509988, 1509989, 1509996, 1509997, 1510004, 1510005, 1510020]</t>
  </si>
  <si>
    <t>[1365502, 1365507, 1365517, 1365518, 1365523, 1365524, 1365531, 1365532, 1365544]</t>
  </si>
  <si>
    <t>0.023068158177129126</t>
  </si>
  <si>
    <t>[1365501, 1365502, 1365507, 1365517, 1365518, 1365523, 1365524, 1365531, 1365532]</t>
  </si>
  <si>
    <t>[0.034, 0.001, 0.041, 0.034, 0.025, 0.081, 0.09, 0.055, 0.016]</t>
  </si>
  <si>
    <t>271.0006052854136</t>
  </si>
  <si>
    <t>[0.036, -0.041]</t>
  </si>
  <si>
    <t>LINESTRING (11.042673990643584 59.99744601442486, 11.042515528277965 59.9974573873736, 11.04241834284722 59.99741353049915)</t>
  </si>
  <si>
    <t>[1531506, 1531514]</t>
  </si>
  <si>
    <t>[1384431, 1371041]</t>
  </si>
  <si>
    <t>0.0019497224030289079</t>
  </si>
  <si>
    <t>[1365501, 1384431]</t>
  </si>
  <si>
    <t>16.510847988291026</t>
  </si>
  <si>
    <t>[0.02, 0.008]</t>
  </si>
  <si>
    <t>LINESTRING (11.039544556674876 59.999315400782926, 11.03971593213598 59.99932324405946, 11.0398373792813 59.99940330599168)</t>
  </si>
  <si>
    <t>[1531634, 1531642]</t>
  </si>
  <si>
    <t>[1384557, 1365544]</t>
  </si>
  <si>
    <t>0.013538712017972602</t>
  </si>
  <si>
    <t>[1371092, 1384557]</t>
  </si>
  <si>
    <t>21.30034469536485</t>
  </si>
  <si>
    <t>[-0.027, 0.011, 0.034, 0.016, 0.018, 0.025, 0.005, -0.015, -0.001]</t>
  </si>
  <si>
    <t>LINESTRING (10.9628193438873 59.92886818192605, 10.964817899243082 59.92911473034203, 10.965511438951193 59.92919782522994, 10.965665815265329 59.92921808121837, 10.965683252327594 59.92922036854729, 10.96600586247458 59.92926270693316, 10.966404728150845 59.92931519292046, 10.966490959719549 59.9293263750677, 10.968997770780346 59.92977758416558, 10.971111150876336 59.930369995371386)</t>
  </si>
  <si>
    <t>[1512417, 1512425, 1512440, 1512441, 1512442, 1512449, 1512450, 1512457, 1512458]</t>
  </si>
  <si>
    <t>[1367667, 1367675, 1367691, 1367692, 1367693, 1367699, 1367700, 1367706, 1365600]</t>
  </si>
  <si>
    <t>[1365576, 1367667, 1367675, 1367691, 1367692, 1367693, 1367699, 1367700, 1367706]</t>
  </si>
  <si>
    <t>[0.027, 0.011, 0.034, 0.016, 0.018, 0.025, 0.005, 0.015, 0.001]</t>
  </si>
  <si>
    <t>496.25191853804336</t>
  </si>
  <si>
    <t>[-0.031, 0.061, 0.076, -0.028, 0.016, 0.022, 0.037, -0.004, -0.023, -0.013, -0.005, -0.011, -0.009]</t>
  </si>
  <si>
    <t>LINESTRING (10.946658478574456 59.93070479242492, 10.949230759294167 59.929782427410636, 10.949822311695039 59.929613241118176, 10.949838013073597 59.92960890508611, 10.953030838955996 59.928879493303235, 10.953274112414261 59.92883610981666, 10.953739035019186 59.928760229935, 10.953755381596201 59.92875779230039, 10.954922587052943 59.92859724388114, 10.95555600603652 59.928538212097955, 10.95898624520105 59.928499778820026, 10.959461443180635 59.92853335709236, 10.961636573525004 59.928730143854686, 10.9628193438873 59.92886818192605)</t>
  </si>
  <si>
    <t>[1512309, 1512317, 1512321, 1512329, 1512337, 1512345, 1512361, 1512362, 1512369, 1512385, 1512393, 1512394, 1512401]</t>
  </si>
  <si>
    <t>[1367570, 1367578, 1367582, 1367587, 1367596, 1367603, 1367617, 1367618, 1367625, 1367639, 1367647, 1367648, 1365576]</t>
  </si>
  <si>
    <t>[1367557, 1367570, 1367578, 1367582, 1367587, 1367596, 1367603, 1367617, 1367618, 1367625, 1367639, 1367647, 1367648]</t>
  </si>
  <si>
    <t>[0.031, 0.061, 0.076, 0.028, 0.016, 0.022, 0.037, 0.004, 0.023, 0.013, 0.005, 0.011, 0.009]</t>
  </si>
  <si>
    <t>969.7967887962783</t>
  </si>
  <si>
    <t>[0.001, -0.001, 0.003, 0.006, 0.081, 0.047, 0.034, 0.007]</t>
  </si>
  <si>
    <t>LINESTRING (10.972242913490476 59.93053497580789, 10.977233898109924 59.93191927480568, 10.978773703125254 59.93234715987102, 10.981004562749417 59.93297212097312, 10.98180336727708 59.933205656041665, 10.981819152761885 59.933210363130655, 10.982082092199787 59.93328864486128, 10.982245376364753 59.93334118526103, 10.982769618475809 59.93351367234858)</t>
  </si>
  <si>
    <t>[1511871, 1511889, 1511890, 1511897, 1511905, 1511913, 1511921, 1511922]</t>
  </si>
  <si>
    <t>[1367178, 1367191, 1367192, 1367200, 1367206, 1367214, 1367222, 1365610]</t>
  </si>
  <si>
    <t>0.003639663900455454</t>
  </si>
  <si>
    <t>[1365585, 1367178, 1367191, 1367192, 1367200, 1367206, 1367214, 1367222]</t>
  </si>
  <si>
    <t>[0.001, 0.001, 0.003, 0.006, 0.081, 0.047, 0.034, 0.007]</t>
  </si>
  <si>
    <t>675.9728400953417</t>
  </si>
  <si>
    <t>[-0.028, -0.023, -0.012, -0.008, 0.005, 0.005, 0.0, -0.004, -0.006, -0.007, 0.003, 0.01, 0.013]</t>
  </si>
  <si>
    <t>LINESTRING (10.96479580113401 59.928950336685894, 10.964883021505178 59.92896074107392, 10.965200108213109 59.928998686741174, 10.965284393128726 59.92900819177631, 10.965557700434216 59.92904233184278, 10.96557729496188 59.92904484711272, 10.965958701685636 59.929095936561964, 10.966072212859974 59.929110948479426, 10.967781927022966 59.92937624862552, 10.969028671309623 59.929651234230455, 10.969979804419868 59.92990824313077, 10.970924271336699 59.93016981482439, 10.971270020382693 59.930265558832204, 10.972242913490476 59.93053497580789)</t>
  </si>
  <si>
    <t>[1511763, 1511772, 1511774, 1511782, 1511790, 1511798, 1511806, 1511814, 1511822, 1511831, 1511833, 1511840, 1511848]</t>
  </si>
  <si>
    <t>[1367083, 1367095, 1367097, 1367104, 1367110, 1367117, 1367123, 1367130, 1367137, 1367146, 1367148, 1367152, 1365585]</t>
  </si>
  <si>
    <t>[1367076, 1367083, 1367095, 1367097, 1367104, 1367110, 1367117, 1367123, 1367130, 1367137, 1367146, 1367148, 1367152]</t>
  </si>
  <si>
    <t>[0.028, 0.023, 0.012, 0.008, 0.005, 0.005, 0.0, 0.004, 0.006, 0.007, 0.003, 0.01, 0.013]</t>
  </si>
  <si>
    <t>454.8789323285424</t>
  </si>
  <si>
    <t>[-0.047, 0.039, -0.031, 0.015, -0.011, 0.013, 0.004]</t>
  </si>
  <si>
    <t>LINESTRING (10.982769618475809 59.93351367234858, 10.982782693452073 59.93351827865859, 10.982796025310686 59.93352298270642, 10.983727638759765 59.933851341136894, 10.984508749294841 59.93419731922962, 10.985411095734458 59.93456484270661, 10.986518981990509 59.935016326721815, 10.988067302360221 59.93563273168572)</t>
  </si>
  <si>
    <t>[1511929, 1511930, 1511937, 1511938, 1511942, 1511951, 1511959]</t>
  </si>
  <si>
    <t>[1367226, 1367227, 1367233, 1367234, 1367238, 1367248, 1365628]</t>
  </si>
  <si>
    <t>[1365610, 1367226, 1367227, 1367233, 1367234, 1367238, 1367248]</t>
  </si>
  <si>
    <t>[0.047, 0.039, 0.031, 0.015, 0.011, 0.013, 0.004]</t>
  </si>
  <si>
    <t>379.0838042141769</t>
  </si>
  <si>
    <t>[-0.019, 0.026, -0.03, -0.008, 0.007, 0.035, 0.017, 0.003, 0.006, -0.026, 0.03, 0.03, 0.012, 0.012, 0.01, 0.009, 0.167, 0.032, 0.099, -0.031]</t>
  </si>
  <si>
    <t>LINESTRING (10.988067302360221 59.93563273168572, 10.989108060125853 59.93597011008136, 10.991227531330528 59.936375818902, 10.991335697514744 59.936390276995844, 10.99135267612725 59.936392546856396, 10.99357720943613 59.936689799529084, 10.993594188366071 59.936692069103856, 10.997166498453705 59.9369842732312, 10.997716110908655 59.93695799251298, 10.997862591622114 59.93694790614944, 11.000063118992541 59.93667096308309, 11.000081339077708 59.93666903508512, 11.001403446881726 59.93658741465311, 11.003752189050545 59.93678833727553, 11.003757945355177 59.936789482871745, 11.003996243573962 59.93683707895596, 11.005524682206334 59.93729053691381, 11.005723857108306 59.937364911906116, 11.007055046036816 59.93788101883778, 11.007800929979592 59.93815976858386, 11.008833357283292 59.938498611730495)</t>
  </si>
  <si>
    <t>[1511967, 1511975, 1511983, 1511984, 1511992, 1512007, 1512015, 1512022, 1512030, 1512038, 1512046, 1512054, 1512070, 1512078, 1512086, 1512094, 1512101, 1512109, 1512117, 1512125]</t>
  </si>
  <si>
    <t>[1367262, 1367265, 1367273, 1367274, 1367283, 1367297, 1367304, 1367313, 1367322, 1367328, 1367335, 1367342, 1367356, 1367364, 1367373, 1367380, 1367387, 1367396, 1367402, 1365636]</t>
  </si>
  <si>
    <t>0.012971534252892438</t>
  </si>
  <si>
    <t>[1365628, 1367262, 1367265, 1367273, 1367274, 1367283, 1367297, 1367304, 1367313, 1367322, 1367328, 1367335, 1367342, 1367356, 1367364, 1367373, 1367380, 1367387, 1367396, 1367402]</t>
  </si>
  <si>
    <t>[0.019, 0.026, 0.03, 0.008, 0.007, 0.035, 0.017, 0.003, 0.006, 0.026, 0.03, 0.03, 0.012, 0.012, 0.01, 0.009, 0.167, 0.032, 0.099, 0.031]</t>
  </si>
  <si>
    <t>1255.6100149291067</t>
  </si>
  <si>
    <t>[-0.016, 0.018, 0.006]</t>
  </si>
  <si>
    <t>LINESTRING (11.008833357283292 59.938498611730495, 11.01157129252834 59.93929623920191, 11.011946418731535 59.93938494000422, 11.014186140822154 59.939846502247256)</t>
  </si>
  <si>
    <t>[1512133, 1512141, 1512147]</t>
  </si>
  <si>
    <t>[1367416, 1367421, 1365668]</t>
  </si>
  <si>
    <t>[1365636, 1367416, 1367421]</t>
  </si>
  <si>
    <t>[0.016, 0.018, 0.006]</t>
  </si>
  <si>
    <t>335.7194431248793</t>
  </si>
  <si>
    <t>[-0.085, 0.035, -0.012, 0.057, -0.012]</t>
  </si>
  <si>
    <t>LINESTRING (11.006882471838683 59.93794592003315, 11.006938576107963 59.93796802870824, 11.008737490702414 59.938601431922585, 11.011576768613843 59.93941949896217, 11.011945142697032 59.93952964370923, 11.014151708137746 59.93998390934302)</t>
  </si>
  <si>
    <t>[1512723, 1512739, 1512747, 1512755, 1512756]</t>
  </si>
  <si>
    <t>[1367946, 1367961, 1367969, 1367974, 1365675]</t>
  </si>
  <si>
    <t>0.0032768912990328593</t>
  </si>
  <si>
    <t>[1365666, 1367946, 1367961, 1367969, 1367974]</t>
  </si>
  <si>
    <t>[0.085, 0.035, 0.012, 0.057, 0.012]</t>
  </si>
  <si>
    <t>467.47942577011634</t>
  </si>
  <si>
    <t>12.031409560620071</t>
  </si>
  <si>
    <t>[-0.052, -0.025]</t>
  </si>
  <si>
    <t>LINESTRING (10.940766092745612 59.93394512147598, 10.940863747613394 59.933881151366364, 10.94100583687814 59.93378888169141)</t>
  </si>
  <si>
    <t>[1511566, 1511574]</t>
  </si>
  <si>
    <t>[1366895, 1366902]</t>
  </si>
  <si>
    <t>[1366887, 1366895]</t>
  </si>
  <si>
    <t>[0.052, 0.025]</t>
  </si>
  <si>
    <t>21.975015333592893</t>
  </si>
  <si>
    <t>[-0.003, 0.001, 0.038, -0.003, -0.004, -0.031, 0.04, 0.101, -0.029, 0.006]</t>
  </si>
  <si>
    <t>LINESTRING (10.94100583687814 59.93378888169141, 10.943532025570132 59.93208657857561, 10.946115305847187 59.93076377356054, 10.94642798277796 59.93062831749642, 10.946441236384585 59.930622764703415, 10.946520667606677 59.93058945412662, 10.94897186976658 59.92971653749903, 10.949582271807214 59.92953923826797, 10.949598561736604 59.929534776518004, 10.95244890909686 59.928871255157, 10.952897461357257 59.92877336067543)</t>
  </si>
  <si>
    <t>[1511582, 1511590, 1511598, 1511606, 1511614, 1511622, 1511636, 1511644, 1511645, 1511653]</t>
  </si>
  <si>
    <t>[1366911, 1366917, 1366925, 1366933, 1366941, 1366949, 1366960, 1366967, 1366968, 1366977]</t>
  </si>
  <si>
    <t>[1366902, 1366911, 1366917, 1366925, 1366933, 1366941, 1366949, 1366960, 1366967, 1366968]</t>
  </si>
  <si>
    <t>[0.003, 0.001, 0.038, 0.003, 0.004, 0.031, 0.04, 0.101, 0.029, 0.006]</t>
  </si>
  <si>
    <t>885.0267940774679</t>
  </si>
  <si>
    <t>15.458772299051208</t>
  </si>
  <si>
    <t>[0.008, 0.029, 0.002, -0.021, -0.034, -0.013, 0.001, 0.004, 0.007, -0.012, -0.003, -0.023, -0.022, -0.031]</t>
  </si>
  <si>
    <t>LINESTRING (10.952897461357257 59.92877336067543, 10.953620258727653 59.92864891864565, 10.953637073597454 59.92864601891766, 10.954347730419068 59.92854059253452, 10.95483677089164 59.92847883675072, 10.955397741642948 59.92842253405033, 10.958821604961344 59.928387676500094, 10.959295278784106 59.92842287187926, 10.959405335405375 59.928431058760005, 10.960522422137771 59.9285229051935, 10.961685312276801 59.92862698916122, 10.962826988993204 59.928731760932294, 10.963639845752773 59.928814127469295, 10.964403342854938 59.928903247519365, 10.96479580113401 59.928950336685894)</t>
  </si>
  <si>
    <t>[1511661, 1511677, 1511681, 1511683, 1511691, 1511698, 1511706, 1511714, 1511722, 1511730, 1511736, 1511742, 1511748, 1511756]</t>
  </si>
  <si>
    <t>[1366987, 1367002, 1367006, 1367008, 1367016, 1367022, 1367031, 1367037, 1367044, 1367051, 1367056, 1367062, 1367068, 1367076]</t>
  </si>
  <si>
    <t>[1366977, 1366987, 1367002, 1367006, 1367008, 1367016, 1367022, 1367031, 1367037, 1367044, 1367051, 1367056, 1367062, 1367068]</t>
  </si>
  <si>
    <t>[0.008, 0.029, 0.002, 0.021, 0.034, 0.013, 0.001, 0.004, 0.007, 0.012, 0.003, 0.023, 0.022, 0.031]</t>
  </si>
  <si>
    <t>677.7616217750599</t>
  </si>
  <si>
    <t>[-0.035, -0.017, -0.035, 0.004]</t>
  </si>
  <si>
    <t>LINESTRING (10.946581077007082 59.92984291118244, 10.946681365910557 59.92990173961943, 10.951270181205825 59.92907641651965, 10.952576172473872 59.9287937573278, 10.952897461357257 59.92877336067543)</t>
  </si>
  <si>
    <t>[1512968, 1536226, 1536234, 1512983]</t>
  </si>
  <si>
    <t>[1368170, 1388323, 1368182, 1366977]</t>
  </si>
  <si>
    <t>[1368169, 1368170, 1388323, 1368182]</t>
  </si>
  <si>
    <t>[0.035, 0.017, 0.035, 0.004]</t>
  </si>
  <si>
    <t>384.29579851790135</t>
  </si>
  <si>
    <t>[-0.032, 0.009]</t>
  </si>
  <si>
    <t>LINESTRING (10.9410522283511 59.9339638930376, 10.941205182992912 59.93385939815066, 10.941263555736139 59.93381923797656)</t>
  </si>
  <si>
    <t>[1512269, 1512276]</t>
  </si>
  <si>
    <t>[1367535, 1367541]</t>
  </si>
  <si>
    <t>[1367534, 1367535]</t>
  </si>
  <si>
    <t>[0.032, 0.009]</t>
  </si>
  <si>
    <t>19.98810539107711</t>
  </si>
  <si>
    <t>11.01890965587743</t>
  </si>
  <si>
    <t>11.65872454415093</t>
  </si>
  <si>
    <t>[-0.005, 0.005, -0.07, -0.058]</t>
  </si>
  <si>
    <t>LINESTRING (10.941263555736139 59.93381923797656, 10.943953965275634 59.93203331389758, 10.946563217225984 59.93074509599687, 10.946576836201979 59.930739338661986, 10.946658478574456 59.93070479242492)</t>
  </si>
  <si>
    <t>[1512284, 1512285, 1512292, 1512293]</t>
  </si>
  <si>
    <t>[1367548, 1367549, 1367556, 1367557]</t>
  </si>
  <si>
    <t>[1367541, 1367548, 1367549, 1367556]</t>
  </si>
  <si>
    <t>[0.005, 0.005, 0.07, 0.058]</t>
  </si>
  <si>
    <t>461.53225207368155</t>
  </si>
  <si>
    <t>[0.06, 0.007]</t>
  </si>
  <si>
    <t>LINESTRING (10.946658478574456 59.93070479242492, 10.946605074146234 59.93076068834183, 10.946588698954464 59.931583720829884)</t>
  </si>
  <si>
    <t>[1512880, 1536178]</t>
  </si>
  <si>
    <t>[1368083, 1388276]</t>
  </si>
  <si>
    <t>0.008298546743960834</t>
  </si>
  <si>
    <t>[1367557, 1368083]</t>
  </si>
  <si>
    <t>281.94766322504137</t>
  </si>
  <si>
    <t>LINESTRING (10.94074700677885 59.933837580983266, 10.946433280060099 59.93021686507342, 10.946495996469558 59.93013650481414)</t>
  </si>
  <si>
    <t>[1536170, 1512872]</t>
  </si>
  <si>
    <t>[1368074, 1368075]</t>
  </si>
  <si>
    <t>[1368021, 1368074]</t>
  </si>
  <si>
    <t>524.6328546585171</t>
  </si>
  <si>
    <t>[0.032, -0.008, 0.004]</t>
  </si>
  <si>
    <t>LINESTRING (10.946588698954464 59.931583720829884, 10.946624483714032 59.93167203080414, 10.943042282626292 59.93269274246241, 10.941231255173495 59.93392259643143)</t>
  </si>
  <si>
    <t>[1536202, 1536210, 1536218]</t>
  </si>
  <si>
    <t>[1388301, 1388309, 1368061]</t>
  </si>
  <si>
    <t>[1388276, 1388301, 1388309]</t>
  </si>
  <si>
    <t>[0.032, 0.008, 0.004]</t>
  </si>
  <si>
    <t>430.1626775612914</t>
  </si>
  <si>
    <t>LINESTRING (10.946564613556797 59.93038813228069, 10.946494449463636 59.93021029678424, 10.946495996469558 59.93013650481414)</t>
  </si>
  <si>
    <t>[1512888, 1512904]</t>
  </si>
  <si>
    <t>[1368092, 1368075]</t>
  </si>
  <si>
    <t>0.011998819372305576</t>
  </si>
  <si>
    <t>[1368091, 1368092]</t>
  </si>
  <si>
    <t>29.597896989832243</t>
  </si>
  <si>
    <t>[-0.007, 0.007, 0.008]</t>
  </si>
  <si>
    <t>LINESTRING (10.946564613556797 59.93038813228069, 10.946600368215487 59.9302054654778, 10.946598430380382 59.93013482982641, 10.946581077007082 59.92984291118244)</t>
  </si>
  <si>
    <t>[1513317, 1513325, 1513326]</t>
  </si>
  <si>
    <t>[1368486, 1368492, 1368169]</t>
  </si>
  <si>
    <t>0.002811524128851057</t>
  </si>
  <si>
    <t>[1368091, 1368486, 1368492]</t>
  </si>
  <si>
    <t>[0.007, 0.007, 0.008]</t>
  </si>
  <si>
    <t>61.00172816653917</t>
  </si>
  <si>
    <t>[-0.023, -0.026]</t>
  </si>
  <si>
    <t>LINESTRING (10.946588698954464 59.931583720829884, 10.946576922120103 59.930932440845126, 10.946564613556797 59.93038813228069)</t>
  </si>
  <si>
    <t>[1536186, 1536194]</t>
  </si>
  <si>
    <t>[1388284, 1368091]</t>
  </si>
  <si>
    <t>[1388276, 1388284]</t>
  </si>
  <si>
    <t>[0.023, 0.026]</t>
  </si>
  <si>
    <t>133.27415900745962</t>
  </si>
  <si>
    <t>[-0.086, -0.009, -0.013, 0.019]</t>
  </si>
  <si>
    <t>LINESTRING (11.081936850742743 60.17843776248329, 11.08186856611482 60.17848068956935, 11.081694072557232 60.17852137175533, 11.081513918292785 60.178518735806136, 11.081303712582327 60.17843520203617)</t>
  </si>
  <si>
    <t>[1526570, 1526578, 1526586, 1526594]</t>
  </si>
  <si>
    <t>[1380188, 1380194, 1369296, 1370304]</t>
  </si>
  <si>
    <t>[1370305, 1380188, 1380194, 1369296]</t>
  </si>
  <si>
    <t>[0.086, 0.009, 0.013, 0.019]</t>
  </si>
  <si>
    <t>42.21209460999259</t>
  </si>
  <si>
    <t>[0.014, -0.009, -0.034, -0.051, 0.025, 0.1, 0.063, 0.005]</t>
  </si>
  <si>
    <t>LINESTRING (11.04241834284722 59.99741353049915, 11.042391477803358 59.99749857879588, 11.042129673590113 59.99781208753154, 11.04160049417129 59.998184150818496, 11.04156917807946 59.99820586567369, 11.040965922062009 59.99861232851471, 11.040909518626892 59.998648240498895, 11.03970520895204 59.999251181753216, 11.039544556674876 59.999315400782926)</t>
  </si>
  <si>
    <t>[1516039, 1516046, 1516047, 1516055, 1516071, 1516086, 1516093, 1516101]</t>
  </si>
  <si>
    <t>[1371042, 1371049, 1371050, 1371057, 1371069, 1371080, 1371085, 1371092]</t>
  </si>
  <si>
    <t>0.0218470445360319</t>
  </si>
  <si>
    <t>[1371041, 1371042, 1371049, 1371050, 1371057, 1371069, 1371080, 1371085]</t>
  </si>
  <si>
    <t>[0.014, 0.009, 0.034, 0.051, 0.025, 0.1, 0.063, 0.005]</t>
  </si>
  <si>
    <t>270.26175102427226</t>
  </si>
  <si>
    <t>8.471717653409057</t>
  </si>
  <si>
    <t>[-0.08, -0.093, -0.095]</t>
  </si>
  <si>
    <t>LINESTRING (10.481200684903154 59.855700711768506, 10.481260592881744 59.855667697294344, 10.481322401866187 59.855633848814385, 10.481438933695477 59.85559198887616)</t>
  </si>
  <si>
    <t>[1524371, 1524379, 1524387]</t>
  </si>
  <si>
    <t>[1378352, 1378358, 1378367]</t>
  </si>
  <si>
    <t>[1378343, 1378352, 1378358]</t>
  </si>
  <si>
    <t>[0.08, 0.093, 0.095]</t>
  </si>
  <si>
    <t>18.132542607406002</t>
  </si>
  <si>
    <t>[-0.079, 0.006]</t>
  </si>
  <si>
    <t>LINESTRING (10.481438933695477 59.85559198887616, 10.481615990727503 59.855545464474844, 10.481832581020866 59.855498769924175)</t>
  </si>
  <si>
    <t>[1524395, 1524403]</t>
  </si>
  <si>
    <t>[1378373, 1378380]</t>
  </si>
  <si>
    <t>[1378367, 1378373]</t>
  </si>
  <si>
    <t>[0.079, 0.006]</t>
  </si>
  <si>
    <t>24.410613393748598</t>
  </si>
  <si>
    <t>[-0.177, 0.019, -0.014, -0.044, -0.051, -0.051]</t>
  </si>
  <si>
    <t>LINESTRING (10.479075340119932 59.853001564958454, 10.479224904691653 59.853137257140354, 10.47945298894036 59.854030210645995, 10.481172487532389 59.85547400932223, 10.481261133746754 59.855518965920304, 10.481341879911788 59.85555627631816, 10.481438933695477 59.85559198887616)</t>
  </si>
  <si>
    <t>[1540388, 1505642, 1505647, 1505666, 1505680, 1540396]</t>
  </si>
  <si>
    <t>[1361586, 1361587, 1361592, 1361611, 1361622, 1378367]</t>
  </si>
  <si>
    <t>[1391833, 1361586, 1361587, 1361592, 1361611, 1361622]</t>
  </si>
  <si>
    <t>[0.177, 0.019, 0.014, 0.044, 0.051, 0.051]</t>
  </si>
  <si>
    <t>329.53208261804207</t>
  </si>
  <si>
    <t>118.3684079722196</t>
  </si>
  <si>
    <t>[-0.005, 0.006, -0.017]</t>
  </si>
  <si>
    <t>LINESTRING (11.093026760742301 60.18148579680778, 11.090133595487647 60.17801018182697, 11.088265996459345 60.178015046555814, 11.0879076595779 60.17799811903911)</t>
  </si>
  <si>
    <t>[1525610, 2124607, 2124615]</t>
  </si>
  <si>
    <t>[1379422, 1829849, 1379036]</t>
  </si>
  <si>
    <t>[1379415, 1379422, 1829849]</t>
  </si>
  <si>
    <t>[0.005, 0.006, 0.017]</t>
  </si>
  <si>
    <t>690.9601934165892</t>
  </si>
  <si>
    <t>[-0.008, 0.067, 0.02, 0.005]</t>
  </si>
  <si>
    <t>LINESTRING (11.090038566946408 60.177963451683645, 11.09459692134336 60.17742977654322, 11.094609612277074 60.17742336383635, 11.096362869330347 60.17603966018001, 11.09869421035368 60.17380523126862)</t>
  </si>
  <si>
    <t>[1525194, 1525202, 1525210, 1525218]</t>
  </si>
  <si>
    <t>[1379053, 1379061, 1379068, 1379075]</t>
  </si>
  <si>
    <t>0.004070726845860766</t>
  </si>
  <si>
    <t>[1379046, 1379053, 1379061, 1379068]</t>
  </si>
  <si>
    <t>[0.008, 0.067, 0.02, 0.005]</t>
  </si>
  <si>
    <t>732.7891393120929</t>
  </si>
  <si>
    <t>[-0.001, 0.0, -0.0, 0.0, 0.007]</t>
  </si>
  <si>
    <t>LINESTRING (11.090038566946408 60.177963451683645, 11.090132196602433 60.177961290974864, 11.096221837518994 60.17682309569427, 11.095523690074664 60.1776894521191, 11.095070541106539 60.17829670774301, 11.094110699604752 60.17977739918521)</t>
  </si>
  <si>
    <t>[1525554, 1525562, 1525570, 1525578, 1525586]</t>
  </si>
  <si>
    <t>[1379371, 1379377, 1379384, 1379389, 1379398]</t>
  </si>
  <si>
    <t>0.0011256373327958467</t>
  </si>
  <si>
    <t>[1379046, 1379371, 1379377, 1379384, 1379389]</t>
  </si>
  <si>
    <t>[0.001, 0.0, 0.0, 0.0, 0.007]</t>
  </si>
  <si>
    <t>1073.7933671315932</t>
  </si>
  <si>
    <t>[0.001, -0.01, -0.368, 0.01, 0.012, -0.003, 0.005, 0.003, 0.003, 0.003, 0.007, 0.004, -0.01, -0.01, -0.009, -0.009, -0.0, 0.004, 0.005, 0.005, 0.005, -0.006]</t>
  </si>
  <si>
    <t>LINESTRING (11.09869421035368 60.17380523126862, 11.099127685798601 60.173413602719116, 11.099457244423846 60.17312860122641, 11.099560246683875 60.17303946664454, 11.099687615431233 60.17293141682393, 11.100195893925509 60.17252807365682, 11.101140867837756 60.1718606971705, 11.110174464134865 60.168413118633765, 11.110221317407689 60.16840351051957, 11.112497765532023 60.16801022523197, 11.112589963201007 60.16799703097844, 11.114061402358912 60.16780511446307, 11.119077502397731 60.167310796074275, 11.119158722362666 60.16730390064846, 11.120397699136271 60.16719092939705, 11.12195793150167 60.16704152355517, 11.123053363496995 60.1669234764689, 11.124947405308443 60.16668343823752, 11.12501919644583 60.16667233480819, 11.125952458964838 60.166527986114495, 11.125988344692564 60.16652243834503, 11.128782963222426 60.1660037214757, 11.13821702063126 60.16316079188609)</t>
  </si>
  <si>
    <t>[1525226, 1525234, 2109133, 2109013, 2109021, 2109029, 2109037, 2109045, 2109053, 2109061, 2109069, 2109077, 2109085, 2109093, 2109101, 2109109, 2109117, 2109149, 2109157, 2109165, 2109173, 2109181]</t>
  </si>
  <si>
    <t>[1379083, 1379090, 1820939, 1820940, 1820945, 1820947, 1820950, 345595, 1820956, 1820959, 1820962, 1820964, 1820968, 1820971, 1820974, 345576, 1820981, 1820995, 1820999, 1821004, 1821007, 1820937]</t>
  </si>
  <si>
    <t>[1379075, 1379083, 1379090, 1820939, 1820940, 1820945, 1820947, 1820950, 345595, 1820956, 1820959, 1820962, 1820964, 1820968, 1820971, 1820974, 345576, 1820981, 1820995, 1820999, 1821004, 1821007]</t>
  </si>
  <si>
    <t>[0.001, 0.01, 0.368, 0.01, 0.012, 0.003, 0.005, 0.003, 0.003, 0.003, 0.007, 0.004, 0.01, 0.01, 0.009, 0.009, 0.0, 0.004, 0.005, 0.005, 0.005, 0.006]</t>
  </si>
  <si>
    <t>2578.8405173389483</t>
  </si>
  <si>
    <t>[-0.008, -0.01, 0.008, 0.003]</t>
  </si>
  <si>
    <t>LINESTRING (11.093113646135263 60.18143557417289, 11.09472146116458 60.178203094089575, 11.095112185729656 60.17768531423691, 11.098591966621727 60.173904195238755, 11.09869421035368 60.17380523126862)</t>
  </si>
  <si>
    <t>[1525730, 1525738, 1525746, 1525754]</t>
  </si>
  <si>
    <t>[1379523, 1379530, 1379539, 1379075]</t>
  </si>
  <si>
    <t>0.00017053778992987952</t>
  </si>
  <si>
    <t>[1379517, 1379523, 1379530, 1379539]</t>
  </si>
  <si>
    <t>[0.008, 0.01, 0.008, 0.003]</t>
  </si>
  <si>
    <t>909.9870634673694</t>
  </si>
  <si>
    <t>115.47453303763578</t>
  </si>
  <si>
    <t>[-0.043, -0.182]</t>
  </si>
  <si>
    <t>LINESTRING (10.974206327951332 60.25883367483744, 10.974238449181323 60.258867158733906, 10.974466235985592 60.25907604888305)</t>
  </si>
  <si>
    <t>[2107979, 2107980]</t>
  </si>
  <si>
    <t>[1820482, 1379247]</t>
  </si>
  <si>
    <t>[1820460, 1820482]</t>
  </si>
  <si>
    <t>[0.043, 0.182]</t>
  </si>
  <si>
    <t>30.61012701546504</t>
  </si>
  <si>
    <t>[-0.036, -0.178]</t>
  </si>
  <si>
    <t>LINESTRING (10.974383939119043 60.25881132419231, 10.974400926000307 60.258847090515964, 10.974466235985592 60.25907604888305)</t>
  </si>
  <si>
    <t>[2107988, 2107996]</t>
  </si>
  <si>
    <t>[1820489, 1379247]</t>
  </si>
  <si>
    <t>[1820462, 1820489]</t>
  </si>
  <si>
    <t>[0.036, 0.178]</t>
  </si>
  <si>
    <t>29.86539561831503</t>
  </si>
  <si>
    <t>[-0.068, -0.037]</t>
  </si>
  <si>
    <t>LINESTRING (10.975965253370779 60.25971436773378, 10.976361201391276 60.25969534161214, 10.976497586880596 60.2596859054506)</t>
  </si>
  <si>
    <t>[2018994, 2019002]</t>
  </si>
  <si>
    <t>[1764122, 1377343]</t>
  </si>
  <si>
    <t>[1379248, 1764122]</t>
  </si>
  <si>
    <t>[0.068, 0.037]</t>
  </si>
  <si>
    <t>29.652339154270088</t>
  </si>
  <si>
    <t>[-0.07, -0.04]</t>
  </si>
  <si>
    <t>LINESTRING (10.975965253370779 60.25971436773378, 10.976355716824747 60.2597732278973, 10.976487430495558 60.259793560279974)</t>
  </si>
  <si>
    <t>[2019010, 2019018]</t>
  </si>
  <si>
    <t>[1764129, 1377331]</t>
  </si>
  <si>
    <t>[1379248, 1764129]</t>
  </si>
  <si>
    <t>[0.07, 0.04]</t>
  </si>
  <si>
    <t>30.451367755058453</t>
  </si>
  <si>
    <t>[0.012, 0.018, -0.003, 0.018]</t>
  </si>
  <si>
    <t>LINESTRING (11.141519396071672 60.1618202090972, 11.141640893409384 60.161754138133524, 11.145150860103522 60.16032731015969, 11.14772909432757 60.16015833138782, 11.15299748588468 60.16118571436583)</t>
  </si>
  <si>
    <t>[1525418, 1525426, 1525434, 1525442]</t>
  </si>
  <si>
    <t>[1379261, 1379268, 1379275, 1379282]</t>
  </si>
  <si>
    <t>0.013751786599128778</t>
  </si>
  <si>
    <t>[1379254, 1379261, 1379268, 1379275]</t>
  </si>
  <si>
    <t>[0.012, 0.018, 0.003, 0.018]</t>
  </si>
  <si>
    <t>731.5206766870679</t>
  </si>
  <si>
    <t>[0.014, 0.006, 0.008, 0.005]</t>
  </si>
  <si>
    <t>LINESTRING (11.141519396071672 60.1618202090972, 11.14797369876583 60.158511149108044, 11.153685336343253 60.159190132755256, 11.155215694697139 60.16098401771219, 11.157055416991543 60.1628460507576)</t>
  </si>
  <si>
    <t>[2086947, 2086951, 2086955, 2086960]</t>
  </si>
  <si>
    <t>[1807721, 1807724, 1807726, 1807729]</t>
  </si>
  <si>
    <t>0.009308963608488992</t>
  </si>
  <si>
    <t>[1379254, 1807721, 1807724, 1807726]</t>
  </si>
  <si>
    <t>1318.0350113204354</t>
  </si>
  <si>
    <t>[-0.134, -0.011]</t>
  </si>
  <si>
    <t>LINESTRING (11.13821702063126 60.16316079188609, 11.138472608542898 60.16304064619609, 11.141519396071672 60.1618202090972)</t>
  </si>
  <si>
    <t>[2109005, 1525410]</t>
  </si>
  <si>
    <t>[1379253, 1379254]</t>
  </si>
  <si>
    <t>[1820937, 1379253]</t>
  </si>
  <si>
    <t>[0.134, 0.011]</t>
  </si>
  <si>
    <t>236.96699555783061</t>
  </si>
  <si>
    <t>[-0.013, -0.006, 0.171]</t>
  </si>
  <si>
    <t>LINESTRING (11.15299748588468 60.16118571436583, 11.14875514040927 60.16056696148155, 11.138573687724605 60.163245496620895, 11.138377053133171 60.16328084024329)</t>
  </si>
  <si>
    <t>[1525490, 1525498, 2109237]</t>
  </si>
  <si>
    <t>[1379316, 1379321, 1821039]</t>
  </si>
  <si>
    <t>[1379282, 1379316, 1379321]</t>
  </si>
  <si>
    <t>[0.013, 0.006, 0.171]</t>
  </si>
  <si>
    <t>910.1252349998975</t>
  </si>
  <si>
    <t>7.65151102715313</t>
  </si>
  <si>
    <t>[0.007, -0.005, 0.001, -0.002, -0.003]</t>
  </si>
  <si>
    <t>4516.0</t>
  </si>
  <si>
    <t>LINESTRING (11.094110699604752 60.17977739918521, 11.09353400659845 60.18284975268798, 11.094390047274809 60.184212228601055, 11.094703178288183 60.18469060512893, 11.094721886227541 60.18471542884703, 11.09476997549371 60.18478157235842)</t>
  </si>
  <si>
    <t>[1525962, 1525970, 1525978, 1525986, 1525994]</t>
  </si>
  <si>
    <t>[1379720, 1379728, 1379734, 479879, 479774]</t>
  </si>
  <si>
    <t>0.0028898105344624453</t>
  </si>
  <si>
    <t>[1379398, 1379720, 1379728, 1379734, 479879]</t>
  </si>
  <si>
    <t>[0.007, 0.005, 0.001, 0.002, 0.003]</t>
  </si>
  <si>
    <t>572.4773864811327</t>
  </si>
  <si>
    <t>8.559348690468985</t>
  </si>
  <si>
    <t>12.838894072517647</t>
  </si>
  <si>
    <t>5.581112434329721</t>
  </si>
  <si>
    <t>9.55631063762113</t>
  </si>
  <si>
    <t>7.387670336059387</t>
  </si>
  <si>
    <t>[0.0, 0.005, 0.015, 0.014, -0.003]</t>
  </si>
  <si>
    <t>3513.0</t>
  </si>
  <si>
    <t>LINESTRING (11.093119113626958 60.18494232229877, 11.093119113626958 60.18494232229877, 11.093110666144886 60.18492229591797, 11.092985096892285 60.18459485720472, 11.092954921279388 60.18421145967932, 11.093026760742301 60.18148579680778)</t>
  </si>
  <si>
    <t>[1526018, 1526026, 1526034, 1526042, 1526050]</t>
  </si>
  <si>
    <t>[479887, 1379775, 1379781, 1379789, 1379415]</t>
  </si>
  <si>
    <t>0.0006504014208363586</t>
  </si>
  <si>
    <t>[479789, 479887, 1379775, 1379781, 1379789]</t>
  </si>
  <si>
    <t>[0.0, 0.005, 0.015, 0.014, 0.003]</t>
  </si>
  <si>
    <t>392.6696899797003</t>
  </si>
  <si>
    <t>[0.082, 0.065, 0.06]</t>
  </si>
  <si>
    <t>LINESTRING (10.406263189397155 59.9400614307524, 10.40596299755663 59.940303438129334, 10.405894577477694 59.940370302669585, 10.405840381067263 59.94042507224063)</t>
  </si>
  <si>
    <t>[1537010, 1537018, 1537026]</t>
  </si>
  <si>
    <t>[1388977, 1352109, 1357088]</t>
  </si>
  <si>
    <t>0.075774881988889</t>
  </si>
  <si>
    <t>[1388976, 1388977, 1352109]</t>
  </si>
  <si>
    <t>46.963652354406136</t>
  </si>
  <si>
    <t>[0.024, 0.02, 0.04, 0.004, 0.001, 0.007, -0.007, -0.006, 0.002, 0.006, 0.059, 0.014, -0.04, 0.009, 0.021, 0.019, 0.015, 0.026, 0.024, 0.018, 0.024]</t>
  </si>
  <si>
    <t>[0, 0, 1, 0, 0, 0, 0, 0, 0, 0, 0, 0, 0, 0, 0, 0, 0, 0, 0, 0, 0]</t>
  </si>
  <si>
    <t>LINESTRING (10.811917994122686 59.68880598656076, 10.81027921638482 59.68919031847651, 10.80403665008878 59.69119548526175, 10.803481107930839 59.69158213571661, 10.802862611320302 59.69208212929543, 10.799988993657804 59.694628905789244, 10.799941431005319 59.69467908295926, 10.796117977461988 59.69811117814414, 10.794505447795135 59.69953869675421, 10.793819552497586 59.70015508971745, 10.793028555935363 59.7008517369988, 10.792535991228986 59.70127132621709, 10.792101380453005 59.70165170974611, 10.791383609886918 59.70228316337654, 10.790757936699578 59.70281731480258, 10.789483544068334 59.70390198962672, 10.788305019955411 59.704934273759584, 10.788222871192366 59.705001678943255, 10.787070101929512 59.70600316649763, 10.785566201325818 59.70730536639782, 10.785140626697828 59.70766357739986, 10.784171170566609 59.70857868276432)</t>
  </si>
  <si>
    <t>[1537074, 1537082, 1537090, 1537098, 1537106, 1537114, 1537122, 1537130, 1537138, 1537146, 1537154, 676748, 1537162, 1537170, 1537178, 1537186, 1537194, 1537202, 1537210, 1537218, 1537226]</t>
  </si>
  <si>
    <t>[1389038, 1389048, 1389059, 463603, 1389077, 1389085, 1389090, 1389097, 1389104, 1389108, 666717, 666718, 1372631, 1372605, 1389134, 1389138, 1389146, 1389153, 1389162, 1389169, 1389176]</t>
  </si>
  <si>
    <t>0.010158930563855376</t>
  </si>
  <si>
    <t>[1389037, 1389038, 1389048, 1389059, 463603, 1389077, 1389085, 1389090, 1389097, 1389104, 1389108, 666717, 666718, 1372631, 1372605, 1389134, 1389138, 1389146, 1389153, 1389162, 1389169]</t>
  </si>
  <si>
    <t>[0.024, 0.02, 0.04, 0.004, 0.001, 0.007, 0.007, 0.006, 0.002, 0.006, 0.059, 0.014, 0.04, 0.009, 0.021, 0.019, 0.015, 0.026, 0.024, 0.018, 0.024]</t>
  </si>
  <si>
    <t>2762.448042096111</t>
  </si>
  <si>
    <t>9.894542839145913</t>
  </si>
  <si>
    <t>[0.026, 0.011]</t>
  </si>
  <si>
    <t>LINESTRING (10.784171170566609 59.70857868276432, 10.783719912485301 59.7090995317807, 10.782945610302619 59.710251415843224)</t>
  </si>
  <si>
    <t>[1537234, 1537242]</t>
  </si>
  <si>
    <t>[1389184, 1389190]</t>
  </si>
  <si>
    <t>0.015776016455129327</t>
  </si>
  <si>
    <t>[1389176, 1389184]</t>
  </si>
  <si>
    <t>199.02099355546812</t>
  </si>
  <si>
    <t>[0.007, -0.01]</t>
  </si>
  <si>
    <t>LINESTRING (10.782945610302619 59.710251415843224, 10.782594919079152 59.7110755658705, 10.783948239795004 59.71808056129167)</t>
  </si>
  <si>
    <t>[1537250, 1537258]</t>
  </si>
  <si>
    <t>[1389196, 1389205]</t>
  </si>
  <si>
    <t>[1389190, 1389196]</t>
  </si>
  <si>
    <t>[0.007, 0.01]</t>
  </si>
  <si>
    <t>884.3589770818154</t>
  </si>
  <si>
    <t>10.47623749222059</t>
  </si>
  <si>
    <t>[0.001, 0.105, 0.075, 0.033]</t>
  </si>
  <si>
    <t>LINESTRING (11.416397102452628 60.15363199323036, 11.419422781942668 60.155351489778205, 11.41953479961327 60.15541563822571, 11.419838543491556 60.15559997365412, 11.420894866851356 60.15708373214977)</t>
  </si>
  <si>
    <t>[1538194, 1538202, 1538210, 1538218]</t>
  </si>
  <si>
    <t>[1390082, 1390090, 1390098, 1390107]</t>
  </si>
  <si>
    <t>0.019424903452633563</t>
  </si>
  <si>
    <t>[1390081, 1390082, 1390090, 1390098]</t>
  </si>
  <si>
    <t>468.2773794581381</t>
  </si>
  <si>
    <t>[-0.06, -0.079]</t>
  </si>
  <si>
    <t>LINESTRING (11.41618895591962 60.153457383489915, 11.416257521332128 60.15350736167391, 11.416397102452628 60.15363199323036)</t>
  </si>
  <si>
    <t>[1540788, 1540796]</t>
  </si>
  <si>
    <t>[1392143, 1390081]</t>
  </si>
  <si>
    <t>[1390141, 1392143]</t>
  </si>
  <si>
    <t>[0.06, 0.079]</t>
  </si>
  <si>
    <t>22.651294375099106</t>
  </si>
  <si>
    <t>[-0.029, -0.083]</t>
  </si>
  <si>
    <t>LINESTRING (11.41604977684205 60.15351023829385, 11.416152869123636 60.15355177717007, 11.416397102452628 60.15363199323036)</t>
  </si>
  <si>
    <t>[1540648, 1540656]</t>
  </si>
  <si>
    <t>[1392027, 1390081]</t>
  </si>
  <si>
    <t>[1390158, 1392027]</t>
  </si>
  <si>
    <t>[0.029, 0.083]</t>
  </si>
  <si>
    <t>23.608876093431363</t>
  </si>
  <si>
    <t>[-0.015, -0.029, -0.043, -0.038]</t>
  </si>
  <si>
    <t>LINESTRING (11.416035055632845 60.15333097974898, 11.41610788033066 60.153341041118885, 11.416174961352702 60.15337072035395, 11.416205152750614 60.15342456676562, 11.41618895591962 60.153457383489915)</t>
  </si>
  <si>
    <t>[1538226, 1538234, 1538242, 1538250]</t>
  </si>
  <si>
    <t>[1360088, 1390124, 1357503, 1390141]</t>
  </si>
  <si>
    <t>[1390114, 1360088, 1390124, 1357503]</t>
  </si>
  <si>
    <t>[0.015, 0.029, 0.043, 0.038]</t>
  </si>
  <si>
    <t>19.174987182696437</t>
  </si>
  <si>
    <t>[0.026, 0.005]</t>
  </si>
  <si>
    <t>LINESTRING (11.415851268253205 60.15339610814435, 11.415913969251479 60.15335017024559, 11.416035055632845 60.15333097974898)</t>
  </si>
  <si>
    <t>[1538306, 1538314]</t>
  </si>
  <si>
    <t>[1390194, 1390114]</t>
  </si>
  <si>
    <t>0.014813276582424088</t>
  </si>
  <si>
    <t>[1390187, 1390194]</t>
  </si>
  <si>
    <t>13.248742672127987</t>
  </si>
  <si>
    <t>[-0.012, -0.007]</t>
  </si>
  <si>
    <t>LINESTRING (11.41618895591962 60.153457383489915, 11.416132819953441 60.153492713786456, 11.41604977684205 60.15351023829385)</t>
  </si>
  <si>
    <t>[1538258, 1538266]</t>
  </si>
  <si>
    <t>[1390150, 1390158]</t>
  </si>
  <si>
    <t>[1390141, 1390150]</t>
  </si>
  <si>
    <t>10.030943726451968</t>
  </si>
  <si>
    <t>[0.01, 0.03, 0.033, 0.028]</t>
  </si>
  <si>
    <t>LINESTRING (11.41604977684205 60.15351023829385, 11.415967279867957 60.15350620650194, 11.415890722163379 60.15348076447196, 11.415843961690683 60.15343006440538, 11.415851268253205 60.15339610814435)</t>
  </si>
  <si>
    <t>[1538274, 1538282, 1538290, 1538298]</t>
  </si>
  <si>
    <t>[1368228, 1390173, 1363455, 1390187]</t>
  </si>
  <si>
    <t>0.025894016861799513</t>
  </si>
  <si>
    <t>[1390158, 1368228, 1390173, 1363455]</t>
  </si>
  <si>
    <t>19.738094849815006</t>
  </si>
  <si>
    <t>[-0.0, -0.009, 0.012, 0.022, -0.054, -0.054, -0.013, -0.004, 0.007]</t>
  </si>
  <si>
    <t>[0, 0, 1, 0, 0, 1, 1, 1, 1]</t>
  </si>
  <si>
    <t>LINESTRING (10.524120946727015 59.88807634406718, 10.524015069566866 59.88801492466537, 10.523492115104412 59.88770197480437, 10.522859773610444 59.88732493768862, 10.52113982769861 59.8862243244969, 10.52094362827256 59.88609790014508, 10.520674833156026 59.88591401934275, 10.520134401956156 59.885541779476554, 10.520064190299536 59.885492390039985, 10.519996955724658 59.885446933026)</t>
  </si>
  <si>
    <t>[1543116, 1543124, 1543132, 1543140, 1543148, 1543156, 1543164, 1543172, 1543180]</t>
  </si>
  <si>
    <t>[1394003, 1394008, 1394016, 1394022, 1394031, 1394040, 1394048, 1394055, 1394062]</t>
  </si>
  <si>
    <t>0.0018570913936415976</t>
  </si>
  <si>
    <t>[1391722, 1394003, 1394008, 1394016, 1394022, 1394031, 1394040, 1394048, 1394055]</t>
  </si>
  <si>
    <t>[0.0, 0.009, 0.012, 0.022, 0.054, 0.054, 0.013, 0.004, 0.007]</t>
  </si>
  <si>
    <t>373.308376972499</t>
  </si>
  <si>
    <t>[0.025, 0.012, 0.055, 0.035, -0.028, -0.058, -0.035, -0.11, -0.088, -0.013, -0.011, 0.046, 0.005, -0.06, -0.057]</t>
  </si>
  <si>
    <t>[0, 0, 0, 0, 0, 0, 0, 0, 0, 0, 1, 1, 0, 0, 0]</t>
  </si>
  <si>
    <t>LINESTRING (10.546617944718832 59.89421171853831, 10.546488389007488 59.894182152374576, 10.545118188048145 59.89382473714584, 10.545016461031194 59.89379507769885, 10.544198497964242 59.89355514064919, 10.544115949609692 59.89353408884597, 10.544109459453463 59.893532304233005, 10.544088438318695 59.8935265021767, 10.54404639366923 59.893514915958775, 10.543962089855334 59.89349227579052, 10.532108096625304 59.89107764654793, 10.526387000383385 59.88921129845371, 10.525101213721554 59.88861083651593, 10.524260787548828 59.88815783151932, 10.524249159078472 59.88815103275992, 10.524120946727015 59.88807634406718)</t>
  </si>
  <si>
    <t>[1542996, 1543004, 1543012, 1543020, 1543028, 1543036, 1543044, 1543052, 1543060, 1543068, 1543076, 1543084, 1543092, 1543100, 1543108]</t>
  </si>
  <si>
    <t>[1393908, 1393915, 1393921, 1393927, 1393933, 1393937, 1393945, 1393953, 1393960, 1393966, 1393970, 1393976, 1393982, 1393989, 1391722]</t>
  </si>
  <si>
    <t>[1393902, 1393908, 1393915, 1393921, 1393927, 1393933, 1393937, 1393945, 1393953, 1393960, 1393966, 1393970, 1393976, 1393982, 1393989]</t>
  </si>
  <si>
    <t>[0.025, 0.012, 0.055, 0.035, 0.028, 0.058, 0.035, 0.11, 0.088, 0.013, 0.011, 0.046, 0.005, 0.06, 0.057]</t>
  </si>
  <si>
    <t>1448.6410828780795</t>
  </si>
  <si>
    <t>[0.003, -0.003, -0.006, 0.014, 0.026, -0.005, -0.046, 0.025, 0.075, 1.372]</t>
  </si>
  <si>
    <t>LINESTRING (10.50422393300456 59.87719255086153, 10.503842912108198 59.87684857404715, 10.503205832754276 59.8762462694455, 10.502574543717158 59.87556842746591, 10.502277672319138 59.87527293692464, 10.50220284930513 59.87520416959361, 10.501790294529327 59.87486127451164, 10.501780532556397 59.874853835928555, 10.499023644376432 59.87337098707268, 10.498911421745794 59.87332538996469, 10.498856165827595 59.873302814008795)</t>
  </si>
  <si>
    <t>[1553287, 1553295, 1553303, 1553311, 1553319, 1553327, 1553335, 1553343, 1553351, 1553359]</t>
  </si>
  <si>
    <t>[1401983, 1401990, 1401994, 1402002, 1402009, 1402014, 1402019, 1402026, 1402034, 1391741]</t>
  </si>
  <si>
    <t>0.021797971853429854</t>
  </si>
  <si>
    <t>[1391725, 1401983, 1401990, 1401994, 1402002, 1402009, 1402014, 1402019, 1402026, 1402034]</t>
  </si>
  <si>
    <t>[0.003, 0.003, 0.006, 0.014, 0.026, 0.005, 0.046, 0.025, 0.075, 1.372]</t>
  </si>
  <si>
    <t>533.8078128493432</t>
  </si>
  <si>
    <t>[0.032, -0.283]</t>
  </si>
  <si>
    <t>LINESTRING (10.50495826059838 59.87772846768698, 10.504261904534596 59.877222627275025, 10.50422393300456 59.87719255086153)</t>
  </si>
  <si>
    <t>[1553271, 1553279]</t>
  </si>
  <si>
    <t>[1401969, 1391725]</t>
  </si>
  <si>
    <t>0.014757426572114103</t>
  </si>
  <si>
    <t>[1391733, 1401969]</t>
  </si>
  <si>
    <t>[0.032, 0.283]</t>
  </si>
  <si>
    <t>72.53055812707034</t>
  </si>
  <si>
    <t>[-0.003, 0.01, 0.009, 0.008, 0.004, -0.002, 0.033, 0.016, -0.058, -0.044, -0.147, -0.043, 0.009, 0.051, -0.277]</t>
  </si>
  <si>
    <t>[1, 1, 1, 1, 1, 1, 1, 0, 0, 0, 1, 0, 1, 0, 0]</t>
  </si>
  <si>
    <t>LINESTRING (10.520188087860532 59.885774361836944, 10.520043941211144 59.885682353883716, 10.519985380215822 59.885645555889454, 10.5198595364473 59.88556365886514, 10.519792069684609 59.885521782078996, 10.519658627506463 59.88543082176595, 10.519648539384603 59.885423760269305, 10.518029599596238 59.884312423266564, 10.511164904275372 59.88020624155204, 10.511151268602207 59.88020043418494, 10.507761956262714 59.87895651590866, 10.5073808092769 59.87882478529164, 10.506054886985877 59.878297445863424, 10.505350877750416 59.87794943259589, 10.505003759533484 59.877754484431875, 10.50495826059838 59.87772846768698)</t>
  </si>
  <si>
    <t>[1553151, 1553159, 1553167, 1553175, 1553183, 1553191, 1553199, 1553207, 1553215, 1553223, 1553231, 1553239, 1553247, 1553255, 1553263]</t>
  </si>
  <si>
    <t>[1401869, 1401876, 1401885, 1401891, 1401897, 1401905, 1401912, 1401919, 1401926, 1401932, 1401939, 1401945, 1401953, 1401959, 1391733]</t>
  </si>
  <si>
    <t>[1401860, 1401869, 1401876, 1401885, 1401891, 1401897, 1401905, 1401912, 1401919, 1401926, 1401932, 1401939, 1401945, 1401953, 1401959]</t>
  </si>
  <si>
    <t>[0.003, 0.01, 0.009, 0.008, 0.004, 0.002, 0.033, 0.016, 0.058, 0.044, 0.147, 0.043, 0.009, 0.051, 0.277]</t>
  </si>
  <si>
    <t>1247.4700668849327</t>
  </si>
  <si>
    <t>[0.017, 0.001, -0.056, -0.008, -0.004, 0.041, 0.024, -0.008, -0.023, -0.006, 0.006, 0.073]</t>
  </si>
  <si>
    <t>88911.0</t>
  </si>
  <si>
    <t>LINESTRING (10.498856165827595 59.873302814008795, 10.491436093840571 59.870012286647544, 10.49142777441701 59.87000439305107, 10.489622955563554 59.86772444007055, 10.4886381725413 59.86625010554234, 10.488594672972589 59.866181882575674, 10.487426413954704 59.86445914057104, 10.483939992750043 59.85920353744321, 10.483751126370343 59.85893520780579, 10.483745042331881 59.85892655403542, 10.483623189103032 59.85875343665359, 10.483490319246435 59.85858811553797, 10.483437039277439 59.85851964424224)</t>
  </si>
  <si>
    <t>[1553367, 1553375, 1553383, 1553391, 1553399, 1553407, 1553415, 1553423, 1553431, 1553439, 1553447, 1553455]</t>
  </si>
  <si>
    <t>[1402047, 1402054, 1402061, 1402069, 1402079, 1402086, 1402093, 1402097, 1402107, 1402116, 1402123, 1391803]</t>
  </si>
  <si>
    <t>0.008452701648455163</t>
  </si>
  <si>
    <t>[1391741, 1402047, 1402054, 1402061, 1402069, 1402079, 1402086, 1402093, 1402097, 1402107, 1402116, 1402123]</t>
  </si>
  <si>
    <t>[0.017, 0.001, 0.056, 0.008, 0.004, 0.041, 0.024, 0.008, 0.023, 0.006, 0.006, 0.073]</t>
  </si>
  <si>
    <t>1916.7637122341566</t>
  </si>
  <si>
    <t>[-0.558, 0.074, 0.103, 0.022, -0.013, -0.056, -0.041, -0.054, -0.005, -0.002, 0.024, 0.03]</t>
  </si>
  <si>
    <t>[0, 0, 0, 0, 0, 0, 1, 1, 1, 0, 0, 0]</t>
  </si>
  <si>
    <t>LINESTRING (10.499145326866698 59.87328266597667, 10.499036448047748 59.87323721041124, 10.498984631639404 59.873216182169195, 10.498905705814453 59.87318400059523, 10.491545145246036 59.869873149930086, 10.491536674101788 59.86986518818473, 10.48977306866999 59.867580301277826, 10.489756741603522 59.86755563915211, 10.489626101626833 59.86735852111366, 10.488831265943361 59.86616481996785, 10.488772649194752 59.86608016020319, 10.487666354475973 59.86443050393868, 10.484144730529165 59.85916501104876)</t>
  </si>
  <si>
    <t>[1543396, 1543404, 1543412, 1543420, 1543428, 1543436, 1543444, 1543452, 1543460, 1543468, 1543476, 1543484]</t>
  </si>
  <si>
    <t>[1394266, 1394272, 1394277, 1394284, 1394293, 1394302, 1394308, 1394315, 1394321, 1394329, 1394334, 1391817]</t>
  </si>
  <si>
    <t>0.007898456651023268</t>
  </si>
  <si>
    <t>[1391750, 1394266, 1394272, 1394277, 1394284, 1394293, 1394302, 1394308, 1394315, 1394321, 1394329, 1394334]</t>
  </si>
  <si>
    <t>[0.558, 0.074, 0.103, 0.022, 0.013, 0.056, 0.041, 0.054, 0.005, 0.002, 0.024, 0.03]</t>
  </si>
  <si>
    <t>1839.968054395143</t>
  </si>
  <si>
    <t>[-0.038, -0.01, 0.019, 0.034, 0.021, -0.0, -0.004, 0.052]</t>
  </si>
  <si>
    <t>LINESTRING (10.503453342696687 59.876197635511446, 10.50336612805155 59.8761097573426, 10.5027869324624 59.87552456513196, 10.502713465621714 59.87545197743383, 10.502492647413828 59.87523308460349, 10.502401715400396 59.875147596625574, 10.501971512056098 59.87479988066957, 10.501961983481445 59.874792171294935, 10.499145326866698 59.87328266597667)</t>
  </si>
  <si>
    <t>[1543332, 1543340, 1543348, 1543356, 1543364, 1543372, 1543380, 1543388]</t>
  </si>
  <si>
    <t>[1394206, 1394215, 1394222, 1394231, 1394239, 1394246, 1394254, 1391750]</t>
  </si>
  <si>
    <t>0.02986868250245497</t>
  </si>
  <si>
    <t>[1391796, 1394206, 1394215, 1394222, 1394231, 1394239, 1394246, 1394254]</t>
  </si>
  <si>
    <t>[0.038, 0.01, 0.019, 0.034, 0.021, 0.0, 0.004, 0.052]</t>
  </si>
  <si>
    <t>409.3040606272983</t>
  </si>
  <si>
    <t>[-0.027, -0.019, 0.024, 0.055, 0.059]</t>
  </si>
  <si>
    <t>LINESTRING (11.160578828119586 60.13097214605017, 11.160791471871761 60.131127316274004, 11.161501183651623 60.13165884863024, 11.161614760434682 60.13174603279893, 11.162092556846797 60.13210880805231, 11.162229008101875 60.132196736329455)</t>
  </si>
  <si>
    <t>[1540336, 1540344, 1540352, 1540360, 1540368]</t>
  </si>
  <si>
    <t>[1391784, 1391792, 1391800, 1391807, 1391813]</t>
  </si>
  <si>
    <t>0.01065171285973405</t>
  </si>
  <si>
    <t>[1391779, 1391784, 1391792, 1391800, 1391807]</t>
  </si>
  <si>
    <t>[0.027, 0.019, 0.024, 0.055, 0.059]</t>
  </si>
  <si>
    <t>164.45652656085664</t>
  </si>
  <si>
    <t>[0.151, -0.016, 0.015, 0.009, 0.006]</t>
  </si>
  <si>
    <t>LINESTRING (11.160578828119586 60.13097214605017, 11.160626129693823 60.130952843964735, 11.162734390378215 60.13002611314593, 11.162999225153893 60.12976950420479, 11.163654694360735 60.12901941797917, 11.163772683004595 60.128939015937355)</t>
  </si>
  <si>
    <t>[1551999, 1500092, 1500099, 1500100, 1552007]</t>
  </si>
  <si>
    <t>[1357315, 1357316, 1357318, 1357319, 1400950]</t>
  </si>
  <si>
    <t>[1391779, 1357315, 1357316, 1357318, 1357319]</t>
  </si>
  <si>
    <t>[0.151, 0.016, 0.015, 0.009, 0.006]</t>
  </si>
  <si>
    <t>295.4892166933292</t>
  </si>
  <si>
    <t>9.135097153651895</t>
  </si>
  <si>
    <t>[0.005, 0.004, 0.009, 0.028, 0.056, 0.012, -0.072, -0.042, -0.099, -0.045, -0.001, 0.042, 0.052, 0.07, 0.005, 0.001, -0.007, 0.007]</t>
  </si>
  <si>
    <t>96298.0</t>
  </si>
  <si>
    <t>[1, 1, 1, 1, 0, 0, 0, 0, 1, 0, 1, 0, 0, 0, 0, 0, 0, 0]</t>
  </si>
  <si>
    <t>LINESTRING (10.519996955724658 59.885446933026, 10.519872229662386 59.88536471434476, 10.519845868277372 59.88534696331914, 10.519834395619528 59.885339288109435, 10.518125390060584 59.88417269724107, 10.517870077927205 59.883999314745125, 10.511118946384755 59.8800364289714, 10.511105331015681 59.88003060430448, 10.508005408825568 59.87888928950377, 10.507613939809822 59.87875450902701, 10.50607202681381 59.878144248173825, 10.505535264712181 59.87786653131914, 10.5054396431256 59.8778133599151, 10.505155119193619 59.8776488530967, 10.505053672205504 59.877587838052094, 10.504402057023494 59.87711361891589, 10.504325739552497 59.877049622256024, 10.503844371989455 59.87661300219665, 10.503453342696687 59.876197635511446)</t>
  </si>
  <si>
    <t>[1543188, 1543196, 1543204, 1543212, 1543220, 1543228, 1543236, 1543244, 1543252, 1543260, 1543268, 1543276, 1543284, 1543292, 1543300, 1543308, 1543316, 1543324]</t>
  </si>
  <si>
    <t>[1394071, 1394081, 1394084, 1394095, 1394101, 1394106, 1394113, 1394119, 1394126, 1394132, 1394138, 1394147, 1394157, 1394165, 1394175, 1394182, 1394191, 1391796]</t>
  </si>
  <si>
    <t>[1394062, 1394071, 1394081, 1394084, 1394095, 1394101, 1394106, 1394113, 1394119, 1394126, 1394132, 1394138, 1394147, 1394157, 1394165, 1394175, 1394182, 1394191]</t>
  </si>
  <si>
    <t>[0.005, 0.004, 0.009, 0.028, 0.056, 0.012, 0.072, 0.042, 0.099, 0.045, 0.001, 0.042, 0.052, 0.07, 0.005, 0.001, 0.007, 0.007]</t>
  </si>
  <si>
    <t>1400.2869112570274</t>
  </si>
  <si>
    <t>[-0.033, -0.051, 0.0, -0.037, -0.044, -0.008, 0.029, 0.03, 0.013]</t>
  </si>
  <si>
    <t>LINESTRING (10.483437039277439 59.85851964424224, 10.482932295055749 59.85793122328554, 10.482903482181495 59.85789377415619, 10.482897132706137 59.857885497928365, 10.48091951495246 59.856202946488914, 10.48089060465109 59.85618018861164, 10.480506826824412 59.85587309050626, 10.48047773913382 59.85585032642519, 10.479550477573286 59.8548999478185, 10.479512467810217 59.854849446891286)</t>
  </si>
  <si>
    <t>[1553463, 1553471, 1553479, 1553487, 1553495, 1553503, 1553511, 1553519, 1553527]</t>
  </si>
  <si>
    <t>[1402134, 1402139, 1402148, 1402156, 1402163, 1402170, 1402176, 1402183, 1391824]</t>
  </si>
  <si>
    <t>[1391803, 1402134, 1402139, 1402148, 1402156, 1402163, 1402170, 1402176, 1402183]</t>
  </si>
  <si>
    <t>[0.033, 0.051, 0.0, 0.037, 0.044, 0.008, 0.029, 0.03, 0.013]</t>
  </si>
  <si>
    <t>465.7037715802505</t>
  </si>
  <si>
    <t>8.778382539192277</t>
  </si>
  <si>
    <t>[0.02, -0.001, -0.012, -0.015, -0.02, -0.015, -0.071, -0.104, -0.035, -0.011, -0.02, -0.001, 0.017, -0.01, -0.004]</t>
  </si>
  <si>
    <t>LINESTRING (10.484144730529165 59.85916501104876, 10.484095411412822 59.85908815946551, 10.483969307721456 59.858899319991025, 10.48396378219223 59.858890766359984, 10.483851252540092 59.85872008296662, 10.48367866757182 59.85848039869366, 10.483177544160219 59.857882273454614, 10.48314221660872 59.857845266027375, 10.483134404912445 59.85783709245254, 10.481108662130639 59.85611483941887, 10.481063456906389 59.85607911054355, 10.481026520171016 59.85605095053707, 10.480644567511908 59.855740947771054, 10.479751920618526 59.85481289520294, 10.479713279106855 59.85475967460456, 10.479075340119932 59.853001564958454)</t>
  </si>
  <si>
    <t>[1543492, 1543500, 1543508, 1543516, 1543524, 1543532, 1543540, 1543548, 1543556, 1543564, 1543572, 1543580, 1543588, 1543596, 1543604]</t>
  </si>
  <si>
    <t>[1394344, 1394352, 1394359, 1394368, 1394375, 1394382, 1394387, 1394394, 1394402, 1394410, 1394417, 1394424, 1394431, 1394438, 1391833]</t>
  </si>
  <si>
    <t>[1391817, 1394344, 1394352, 1394359, 1394368, 1394375, 1394382, 1394387, 1394394, 1394402, 1394410, 1394417, 1394424, 1394431, 1394438]</t>
  </si>
  <si>
    <t>[0.02, 0.001, 0.012, 0.015, 0.02, 0.015, 0.071, 0.104, 0.035, 0.011, 0.02, 0.001, 0.017, 0.01, 0.004]</t>
  </si>
  <si>
    <t>752.3300575766679</t>
  </si>
  <si>
    <t>[-0.007, -0.026, 0.026, 0.068, 0.116, 0.042, 0.004, 0.017, 0.01, 0.079, 0.062]</t>
  </si>
  <si>
    <t>LINESTRING (10.479512467810217 59.854849446891286, 10.479446259296054 59.85475584221654, 10.478825549283265 59.85301128305214, 10.471951089673025 59.84663187574245, 10.471937323185792 59.84662625717008, 10.471743398207103 59.84654599998585, 10.462452256734535 59.84283987955209, 10.461260205200336 59.84238141348018, 10.458709029340577 59.8415056275038, 10.45121787382358 59.8384303091925, 10.451206301379234 59.83842346018003, 10.449738189789276 59.837678610850524)</t>
  </si>
  <si>
    <t>[1553535, 1553543, 1553551, 1553559, 1553567, 1553575, 1553583, 1553591, 1553599, 1553607, 1553615]</t>
  </si>
  <si>
    <t>[1402195, 1402200, 1402205, 1402212, 1402218, 1402223, 1402228, 1402233, 1402240, 1402247, 1391852]</t>
  </si>
  <si>
    <t>0.02351365595537211</t>
  </si>
  <si>
    <t>[1391824, 1402195, 1402200, 1402205, 1402212, 1402218, 1402223, 1402228, 1402233, 1402240, 1402247]</t>
  </si>
  <si>
    <t>[0.007, 0.026, 0.026, 0.068, 0.116, 0.042, 0.004, 0.017, 0.01, 0.079, 0.062]</t>
  </si>
  <si>
    <t>2670.764354292237</t>
  </si>
  <si>
    <t>[0.026, 0.018, 0.001, 0.054, 0.038, -0.095, 0.001, -0.022, -0.001, -0.037, 0.007, 0.113, 0.109]</t>
  </si>
  <si>
    <t>[0, 0, 0, 0, 0, 0, 0, 0, 0, 0, 1, 0, 0]</t>
  </si>
  <si>
    <t>LINESTRING (10.449738189789276 59.837678610850524, 10.447027450310568 59.83656843057686, 10.445633051080645 59.83598408482619, 10.445276016626881 59.83581351075435, 10.444610208415574 59.835483017377555, 10.439305093011757 59.832987443931245, 10.439290268968028 59.83298245048881, 10.436649910062998 59.83225455313842, 10.436633807006034 59.83225068412395, 10.4361584692146 59.832147787972175, 10.434278644300605 59.831824351888855, 10.429371602771552 59.83166271197112, 10.429284234181003 59.831667946399726, 10.428385272225484 59.831741712275445)</t>
  </si>
  <si>
    <t>[1553623, 1553631, 1553639, 1553647, 1553655, 1553663, 1553671, 1553679, 1553687, 1553695, 1553703, 1553711, 1553719]</t>
  </si>
  <si>
    <t>[1402260, 1402266, 1402272, 1402278, 1402285, 1402290, 1402296, 1402302, 1402309, 1402314, 1402322, 1402327, 1391875]</t>
  </si>
  <si>
    <t>0.020452817973666246</t>
  </si>
  <si>
    <t>[1391852, 1402260, 1402266, 1402272, 1402278, 1402285, 1402290, 1402296, 1402302, 1402309, 1402314, 1402322, 1402327]</t>
  </si>
  <si>
    <t>[0.026, 0.018, 0.001, 0.054, 0.038, 0.095, 0.001, 0.022, 0.001, 0.037, 0.007, 0.113, 0.109]</t>
  </si>
  <si>
    <t>1431.9239403319689</t>
  </si>
  <si>
    <t>[-0.221, 0.05, 0.022, 0.031, 0.014, 0.035, 0.058, 0.06, 0.036, 0.084, 0.034, 0.018]</t>
  </si>
  <si>
    <t>[0, 0, 0, 0, 1, 1, 0, 0, 0, 0, 0, 0]</t>
  </si>
  <si>
    <t>LINESTRING (10.428385272225484 59.831741712275445, 10.428315340165785 59.831750071081544, 10.426296309410299 59.83199187453054, 10.4237840879882 59.83230550633761, 10.4202797524719 59.83246669096982, 10.420140991943555 59.83246104413348, 10.419496709571066 59.83243129661845, 10.419372575368211 59.83242193187853, 10.418545449453353 59.83234596184034, 10.41624968866348 59.83196908436583, 10.413883517707504 59.83133590304884, 10.407541669293 59.829223220437974, 10.406537410744773 59.828878143863484)</t>
  </si>
  <si>
    <t>[1553727, 1553735, 1553743, 1553751, 1553759, 1553767, 1553775, 1553783, 1553791, 1553799, 1553807, 1553815]</t>
  </si>
  <si>
    <t>[1402338, 1402344, 1402351, 1402358, 1402367, 1402372, 1402380, 1402386, 1402393, 1402401, 1402407, 1391901]</t>
  </si>
  <si>
    <t>0.03882291147771102</t>
  </si>
  <si>
    <t>[1391875, 1402338, 1402344, 1402351, 1402358, 1402367, 1402372, 1402380, 1402386, 1402393, 1402401, 1402407]</t>
  </si>
  <si>
    <t>[0.221, 0.05, 0.022, 0.031, 0.014, 0.035, 0.058, 0.06, 0.036, 0.084, 0.034, 0.018]</t>
  </si>
  <si>
    <t>1343.2130796135552</t>
  </si>
  <si>
    <t>[-0.39, 0.029, 0.051]</t>
  </si>
  <si>
    <t>LINESTRING (10.41407386017122 59.831253689366996, 10.413999309120793 59.83122941181904, 10.411582396368958 59.83043099812209, 10.40774078314589 59.82912666257951)</t>
  </si>
  <si>
    <t>[1543908, 1543916, 1543924]</t>
  </si>
  <si>
    <t>[1394717, 1394724, 1391887]</t>
  </si>
  <si>
    <t>0.03750307178219983</t>
  </si>
  <si>
    <t>[1391882, 1394717, 1394724]</t>
  </si>
  <si>
    <t>[0.39, 0.029, 0.051]</t>
  </si>
  <si>
    <t>427.19667099964244</t>
  </si>
  <si>
    <t>[0.871, -0.007, -0.028, 0.069, 0.02, 0.097]</t>
  </si>
  <si>
    <t>LINESTRING (10.420657831114351 59.832925510211666, 10.420657831114351 59.832925510211666, 10.419666224712689 59.83278346605311, 10.418542470485052 59.832601280423184, 10.41348288758077 59.83127057067752, 10.406617666235666 59.828928203814144, 10.406537410744773 59.828878143863484)</t>
  </si>
  <si>
    <t>[1540476, 1494880, 1494888, 1494896, 1494904, 1540484]</t>
  </si>
  <si>
    <t>[1353249, 1353250, 1353256, 1353266, 1353275, 1391901]</t>
  </si>
  <si>
    <t>0.045577696700924694</t>
  </si>
  <si>
    <t>[1365373, 1353249, 1353250, 1353256, 1353266, 1353275]</t>
  </si>
  <si>
    <t>[0.871, 0.007, 0.028, 0.069, 0.02, 0.097]</t>
  </si>
  <si>
    <t>933.0137663482103</t>
  </si>
  <si>
    <t>2.9144639300009443</t>
  </si>
  <si>
    <t>[-0.011, -0.02, 0.019, 0.052, 0.088]</t>
  </si>
  <si>
    <t>LINESTRING (11.160450330608391 60.13102325004243, 11.16065246081975 60.1311539251519, 11.161366168460281 60.13169799742357, 11.161483388840924 60.131786231336676, 11.161975675712455 60.13215346377257, 11.162106105144376 60.13224620646191)</t>
  </si>
  <si>
    <t>[1542208, 1542216, 1542224, 1542232, 1542240]</t>
  </si>
  <si>
    <t>[1393245, 1393252, 1393258, 1393262, 1393271]</t>
  </si>
  <si>
    <t>0.013638637497809324</t>
  </si>
  <si>
    <t>[1393239, 1393245, 1393252, 1393258, 1393262]</t>
  </si>
  <si>
    <t>[0.011, 0.02, 0.019, 0.052, 0.088]</t>
  </si>
  <si>
    <t>164.49348865191104</t>
  </si>
  <si>
    <t>[0.016, 0.02, 0.012, -0.084]</t>
  </si>
  <si>
    <t>LINESTRING (11.158214281806844 60.13406231037437, 11.158202438768967 60.13396184381533, 11.16028832550137 60.13114330857966, 11.160334527653557 60.13108910530743, 11.160450330608391 60.13102325004243)</t>
  </si>
  <si>
    <t>[1552031, 1500110, 1500113, 1552039]</t>
  </si>
  <si>
    <t>[1357326, 1357327, 1357328, 1393239]</t>
  </si>
  <si>
    <t>0.01696348191755476</t>
  </si>
  <si>
    <t>[1400965, 1357326, 1357327, 1357328]</t>
  </si>
  <si>
    <t>[0.016, 0.02, 0.012, 0.084]</t>
  </si>
  <si>
    <t>366.3990942269674</t>
  </si>
  <si>
    <t>[-0.024, -0.026, -0.034, -0.041, 0.005, 0.054, 0.046, 0.024, 0.001, 0.033, 0.036, 0.034, 0.031, 0.028, 0.009, -0.019, -0.019, -0.024, -0.018, -0.002, -0.023, -0.033, 0.028, -0.008, -0.025, 0.0, 0.022, 0.337]</t>
  </si>
  <si>
    <t>16260.0</t>
  </si>
  <si>
    <t>[0, 1, 0, 1, 0, 0, 0, 0, 0, 0, 0, 0, 0, 0, 0, 0, 0, 0, 0, 0, 0, 0, 1, 0, 0, 0, 0, 0]</t>
  </si>
  <si>
    <t>LINESTRING (10.77765173467058 59.7577579061423, 10.777072330749437 59.758050983012, 10.776300459216177 59.75853298126789, 10.775505335390802 59.75926147033157, 10.775024153009825 59.759943191362844, 10.774862368810238 59.760324848299625, 10.774753216886952 59.76083722106567, 10.774752074808685 59.7608462478817, 10.772947462184826 59.770275854072885, 10.761131474021074 59.78765170623613, 10.761129957373166 59.787660693946414, 10.761025167575474 59.78829064235722, 10.760800703884533 59.789650846706806, 10.760370713299451 59.79212929687945, 10.760336352213802 59.792373508480395, 10.760147803362536 59.79355891315742, 10.760084472604074 59.79392487235006, 10.75995834516198 59.79464890422835, 10.759957028953771 59.79465785344775, 10.759815986856736 59.79550334938982, 10.759814510639755 59.795512293442066, 10.768215846504564 59.80841750588877, 10.772675491159157 59.81108813749805, 10.773541316312818 59.81209131185857, 10.774951647276962 59.819442300590545, 10.775209564400793 59.82059722359315, 10.775211089674015 59.820602937358416, 10.775568827765268 59.821898640638054, 10.77562255159313 59.822052326255104)</t>
  </si>
  <si>
    <t>[1840757, 1840765, 1840773, 1840781, 1840789, 1840501, 1840509, 1840517, 1840525, 1840533, 1840541, 1840549, 1840557, 1840565, 1840573, 1840581, 1840589, 1840597, 1840605, 1840613, 1840621, 1840629, 1840637, 1840645, 1840653, 1840661, 1840669, 1840677]</t>
  </si>
  <si>
    <t>[1613345, 1613352, 1613358, 1613365, 1613159, 1613160, 1613164, 1613170, 1613175, 1613179, 1613185, 1613191, 1613122, 1613200, 1613207, 1613211, 1613217, 1613222, 1613228, 1613235, 1613242, 1613246, 1613252, 1613256, 1613261, 1613268, 1613274, 1393358]</t>
  </si>
  <si>
    <t>[1613340, 1613345, 1613352, 1613358, 1613365, 1613159, 1613160, 1613164, 1613170, 1613175, 1613179, 1613185, 1613191, 1613122, 1613200, 1613207, 1613211, 1613217, 1613222, 1613228, 1613235, 1613242, 1613246, 1613252, 1613256, 1613261, 1613268, 1613274]</t>
  </si>
  <si>
    <t>[0.024, 0.026, 0.034, 0.041, 0.005, 0.054, 0.046, 0.024, 0.001, 0.033, 0.036, 0.034, 0.031, 0.028, 0.009, 0.019, 0.019, 0.024, 0.018, 0.002, 0.023, 0.033, 0.028, 0.008, 0.025, 0.0, 0.022, 0.337]</t>
  </si>
  <si>
    <t>7606.580170625222</t>
  </si>
  <si>
    <t>[-0.004, -0.022, -0.006, -0.114, -0.026, -0.043, -0.066, -0.064, -0.013, 0.04, 0.026, 0.029]</t>
  </si>
  <si>
    <t>58617.0</t>
  </si>
  <si>
    <t>LINESTRING (10.63377557626797 59.91207499129806, 10.633704991731593 59.912048010392546, 10.633173779797591 59.91184460249559, 10.633115326035568 59.911825325587216, 10.633107825814083 59.911822855596704, 10.633082821104413 59.911814607172566, 10.632312904032153 59.91152193845886, 10.63204849664398 59.91141812239127, 10.631845501188142 59.91133668494098, 10.63117380343066 59.91106836528356, 10.631039305089049 59.911014801749836, 10.630321830317444 59.9107262445196, 10.6294014316212 59.91035792555635)</t>
  </si>
  <si>
    <t>[1542492, 1542500, 1542508, 1542524, 1542532, 1542540, 1542548, 1542556, 1542564, 1542572, 1542580, 1542588]</t>
  </si>
  <si>
    <t>[1393489, 1393496, 1393504, 1393516, 1393525, 1393532, 1393539, 1393549, 1393555, 1393561, 1393566, 1393573]</t>
  </si>
  <si>
    <t>[1393480, 1393489, 1393496, 1393504, 1393516, 1393525, 1393532, 1393539, 1393549, 1393555, 1393561, 1393566]</t>
  </si>
  <si>
    <t>[0.004, 0.022, 0.006, 0.114, 0.026, 0.043, 0.066, 0.064, 0.013, 0.04, 0.026, 0.029]</t>
  </si>
  <si>
    <t>310.76868785943566</t>
  </si>
  <si>
    <t>[0.025, -0.013, -0.027, -0.031, 0.048, 0.0, 0.033, 0.007]</t>
  </si>
  <si>
    <t>LINESTRING (10.6294014316212 59.91035792555635, 10.629360113964667 59.91034126624556, 10.628621752577484 59.910053938775796, 10.628607543512068 59.910048574914796, 10.627842765630414 59.90978531027867, 10.627739194531424 59.909752724823996, 10.627724012982334 59.90974794902909, 10.627025796253454 59.90955241860328, 10.62454111606795 59.90893657814388)</t>
  </si>
  <si>
    <t>[1542596, 1542604, 1542612, 1542620, 1542628, 1542636, 1542644, 1542652]</t>
  </si>
  <si>
    <t>[1393581, 1393584, 1393590, 1393597, 1393601, 1393608, 1393614, 1393621]</t>
  </si>
  <si>
    <t>0.0020563092044310356</t>
  </si>
  <si>
    <t>[1393573, 1393581, 1393584, 1393590, 1393597, 1393601, 1393608, 1393614]</t>
  </si>
  <si>
    <t>[0.025, 0.013, 0.027, 0.031, 0.048, 0.0, 0.033, 0.007]</t>
  </si>
  <si>
    <t>315.80888532237117</t>
  </si>
  <si>
    <t>[0.0, -0.137, -0.106, -0.012, -0.002, 0.294]</t>
  </si>
  <si>
    <t>LINESTRING (10.628007653333151 59.90862321172362, 10.628007653333151 59.90862321172362, 10.62803887332173 59.908658060452, 10.627985804691313 59.90929206188231, 10.628113467251973 59.90954629248571, 10.629312234640935 59.91030100871314, 10.6294014316212 59.91035792555635)</t>
  </si>
  <si>
    <t>[1553975, 1553983, 1504364, 1504365, 1504400, 1553991]</t>
  </si>
  <si>
    <t>[1402542, 1360395, 1360396, 1360397, 1360427, 1393573]</t>
  </si>
  <si>
    <t>[1365968, 1402542, 1360395, 1360396, 1360397, 1360427]</t>
  </si>
  <si>
    <t>[0.0, 0.137, 0.106, 0.012, 0.002, 0.294]</t>
  </si>
  <si>
    <t>223.42703758366935</t>
  </si>
  <si>
    <t>[-0.021, -0.027]</t>
  </si>
  <si>
    <t>LINESTRING (10.576043521002006 59.89910651323829, 10.575981780835653 59.89908865491029, 10.573645360487776 59.89840445213464)</t>
  </si>
  <si>
    <t>[1542796, 1542804]</t>
  </si>
  <si>
    <t>[1393740, 1393746]</t>
  </si>
  <si>
    <t>[1393732, 1393740]</t>
  </si>
  <si>
    <t>155.54302766166634</t>
  </si>
  <si>
    <t>[-0.024, -0.02, 0.009, -0.024, -0.024, -0.03, -0.014, 0.002, 0.016, 0.019, 0.027, -0.003, 0.007, -0.012, -0.019, -0.009]</t>
  </si>
  <si>
    <t>91253.0</t>
  </si>
  <si>
    <t>[0, 0, 0, 1, 1, 0, 0, 0, 1, 0, 0, 0, 0, 0, 0, 0]</t>
  </si>
  <si>
    <t>LINESTRING (10.573645360487776 59.89840445213464, 10.573547146705831 59.89838253274939, 10.572029590192155 59.898097833483526, 10.570712303996789 59.897928941169475, 10.57060634098276 59.89791683052853, 10.570308647627852 59.89788207735367, 10.570187646494212 59.89786730176464, 10.56416046606838 59.896717007685425, 10.56053474070477 59.89606520732283, 10.560214763887114 59.8960085455135, 10.559960739474624 59.895961168220005, 10.559926501866318 59.89595512057532, 10.55971411278747 59.8959176372478, 10.55780581930299 59.89557692644136, 10.557739583206205 59.89556536422975, 10.557163767772526 59.89546483940692, 10.551536222499625 59.894600251034014)</t>
  </si>
  <si>
    <t>[1542812, 1542820, 1542828, 1542836, 1542844, 1542852, 1542860, 1542868, 1542876, 1542884, 1542892, 1542900, 1542908, 1542916, 1542924, 1542932]</t>
  </si>
  <si>
    <t>[1393752, 1393758, 1393763, 1393770, 1393776, 1393784, 1393791, 1393801, 1393807, 1393811, 1393819, 1393827, 1393835, 1393840, 1393846, 1393854]</t>
  </si>
  <si>
    <t>[1393746, 1393752, 1393758, 1393763, 1393770, 1393776, 1393784, 1393791, 1393801, 1393807, 1393811, 1393819, 1393827, 1393835, 1393840, 1393846]</t>
  </si>
  <si>
    <t>[0.024, 0.02, 0.009, 0.024, 0.024, 0.03, 0.014, 0.002, 0.016, 0.019, 0.027, 0.003, 0.007, 0.012, 0.019, 0.009]</t>
  </si>
  <si>
    <t>1310.715298099455</t>
  </si>
  <si>
    <t>[-0.009, -0.01, -0.004, 0.0, 0.009, 0.023, 0.028]</t>
  </si>
  <si>
    <t>LINESTRING (10.551536222499625 59.894600251034014, 10.550223831849227 59.894559462291994, 10.549699929810368 59.89454623635744, 10.549589100999858 59.894545184879775, 10.54907037023813 59.89452943349842, 10.548856573582043 59.894520760755896, 10.54694230972644 59.89427915657877, 10.546617944718832 59.89421171853831)</t>
  </si>
  <si>
    <t>[1542940, 1542948, 1542956, 1542964, 1542972, 1542980, 1542988]</t>
  </si>
  <si>
    <t>[1393860, 1393869, 1393876, 1393883, 1393890, 1393895, 1393902]</t>
  </si>
  <si>
    <t>0.007924744407351175</t>
  </si>
  <si>
    <t>[1393854, 1393860, 1393869, 1393876, 1393883, 1393890, 1393895]</t>
  </si>
  <si>
    <t>[0.009, 0.01, 0.004, 0.0, 0.009, 0.023, 0.028]</t>
  </si>
  <si>
    <t>280.74645040437866</t>
  </si>
  <si>
    <t>[-0.004, -0.046, -0.019, 0.008, -0.022, -0.037, -0.019, -0.03, 0.006, -0.015, -0.092, -0.025, 0.094, 0.045, -0.009]</t>
  </si>
  <si>
    <t>[0, 0, 0, 0, 0, 0, 0, 0, 0, 0, 0, 1, 0, 0, 0]</t>
  </si>
  <si>
    <t>LINESTRING (11.068103057884926 60.019812724550995, 11.068508450882602 60.02042301576853, 11.068595300966615 60.02053543248068, 11.069117559237194 60.021159065315935, 11.069638765724234 60.02161058991148, 11.069648051853706 60.021618292124884, 11.073653698661904 60.02379282664483, 11.0736681728752 60.02379814779101, 11.092943748734971 60.02780440891548, 11.093070490857631 60.02785436833364, 11.096476382671165 60.029634808251686, 11.096518195837357 60.029664092834565, 11.098372721918262 60.0312680518998, 11.098417383099614 60.031320415579934, 11.099158735265835 60.03214771432574, 11.099252309955292 60.0322377697219)</t>
  </si>
  <si>
    <t>[1559439, 1559447, 1559455, 1559463, 1559471, 1559479, 1559487, 1559495, 1559503, 1559511, 1559519, 1559527, 1559535, 1559543, 1559551]</t>
  </si>
  <si>
    <t>[1406730, 1406736, 1406742, 1406748, 1406754, 1406760, 1406768, 1406773, 1406780, 1406788, 1406795, 1406802, 1406808, 1406814, 1400875]</t>
  </si>
  <si>
    <t>[1400855, 1406730, 1406736, 1406742, 1406748, 1406754, 1406760, 1406768, 1406773, 1406780, 1406788, 1406795, 1406802, 1406808, 1406814]</t>
  </si>
  <si>
    <t>[0.004, 0.046, 0.019, 0.008, 0.022, 0.037, 0.019, 0.03, 0.006, 0.015, 0.092, 0.025, 0.094, 0.045, 0.009]</t>
  </si>
  <si>
    <t>2336.8692908546323</t>
  </si>
  <si>
    <t>[-0.015, 0.016, -0.002, -0.005, -0.006, -0.003, -0.0, 0.016, -0.005, 0.031]</t>
  </si>
  <si>
    <t>LINESTRING (11.057777243603464 60.010202842962386, 11.06302425586903 60.01266436768533, 11.064714688442177 60.01387728443387, 11.065306278530528 60.01435341303286, 11.066811213574063 60.0160639919689, 11.067135311830544 60.01675762858476, 11.067185248078875 60.016884345774145, 11.067212924700272 60.016956640098456, 11.067260228300114 60.0170843575517, 11.068078932661761 60.01975734735862, 11.068103057884926 60.019812724550995)</t>
  </si>
  <si>
    <t>[1559359, 1559367, 1559375, 1559383, 1559391, 1559399, 1559407, 1559415, 1559423, 1559431]</t>
  </si>
  <si>
    <t>[1406681, 1406687, 1406693, 1406698, 1406703, 1406709, 1406713, 1406718, 1406721, 1400855]</t>
  </si>
  <si>
    <t>[1406676, 1406681, 1406687, 1406693, 1406698, 1406703, 1406709, 1406713, 1406718, 1406721]</t>
  </si>
  <si>
    <t>[0.015, 0.016, 0.002, 0.005, 0.006, 0.003, 0.0, 0.016, 0.005, 0.031]</t>
  </si>
  <si>
    <t>1263.4422593850963</t>
  </si>
  <si>
    <t>[0.067, -0.012, 0.028, 0.012, 0.015, 0.04, 0.007, -0.028, 0.01, 0.022, -0.013, -0.003, -0.004, -0.045, -0.031, -0.014, 0.006, 0.012, 0.003, 0.0, -0.001, -0.003, -0.003, -0.009, -0.01, -0.01, -0.006]</t>
  </si>
  <si>
    <t>[0, 0, 0, 0, 0, 0, 0, 0, 1, 0, 0, 0, 0, 0, 1, 1, 0, 0, 0, 0, 0, 0, 0, 0, 0, 0, 0]</t>
  </si>
  <si>
    <t>LINESTRING (11.104154742516561 60.03610257695234, 11.104271809263006 60.03615788451699, 11.104284812606911 60.03616403067369, 11.108084844745553 60.037743366271926, 11.108149816262253 60.03777087541154, 11.10821657478628 60.037796792106576, 11.11239601253818 60.03943025067039, 11.13154505903164 60.04695816008678, 11.131715003991008 60.047028762888225, 11.135687282683408 60.04902320636263, 11.13719968230513 60.049972000751794, 11.137238930708978 60.04999406748905, 11.14708577284397 60.05813967539651, 11.15111804563788 60.061598827694915, 11.151187413083278 60.061664116517264, 11.151303674069647 60.06177462205106, 11.151392704438795 60.06185989182384, 11.153960546055572 60.06997961851511, 11.153958059081827 60.06998845454196, 11.15228482965036 60.07453510748796, 11.152217127776526 60.07471114260801, 11.152211430568455 60.074724667441096, 11.152207373316728 60.07473431169639, 11.152199259850896 60.07475359124764, 11.151729780110854 60.07599405596167, 11.151457083428415 60.07671413256617, 11.150926035566789 60.07810072153856, 11.150905781095796 60.07814385563061)</t>
  </si>
  <si>
    <t>[1559599, 1559607, 1559615, 1559623, 1559631, 1559639, 1559647, 1559655, 1559663, 1559671, 1559679, 1559687, 1559695, 1559703, 1559711, 1559719, 1559727, 1559735, 1559743, 1559751, 1559759, 1559767, 1559775, 1559783, 1559791, 1559799, 1559807]</t>
  </si>
  <si>
    <t>[1406859, 1406867, 1406875, 1406881, 1406885, 1406889, 1406894, 1406901, 1406907, 1406911, 1406919, 1406926, 1406932, 1406940, 1406946, 1406954, 1406960, 1406965, 1406971, 1406978, 1406983, 1406988, 779951, 1406998, 1407003, 1407008, 1400900]</t>
  </si>
  <si>
    <t>0.0056831544732274504</t>
  </si>
  <si>
    <t>[1400869, 1406859, 1406867, 1406875, 1406881, 1406885, 1406889, 1406894, 1406901, 1406907, 1406911, 1406919, 1406926, 1406932, 1406940, 1406946, 1406954, 1406960, 1406965, 1406971, 1406978, 1406983, 1406988, 779951, 1406998, 1407003, 1407008]</t>
  </si>
  <si>
    <t>[0.067, 0.012, 0.028, 0.012, 0.015, 0.04, 0.007, 0.028, 0.01, 0.022, 0.013, 0.003, 0.004, 0.045, 0.031, 0.014, 0.006, 0.012, 0.003, 0.0, 0.001, 0.003, 0.003, 0.009, 0.01, 0.01, 0.006]</t>
  </si>
  <si>
    <t>5809.436112680553</t>
  </si>
  <si>
    <t>[0.015, 0.095, -0.059, 0.043, 0.067]</t>
  </si>
  <si>
    <t>LINESTRING (11.099252309955292 60.0322377697219, 11.102800745904247 60.03537052801886, 11.10308494145379 60.035538629206954, 11.103145308808692 60.03557463510484, 11.10404647126443 60.03605374972472, 11.104154742516561 60.03610257695234)</t>
  </si>
  <si>
    <t>[1559559, 1559567, 1559575, 1559583, 1559591]</t>
  </si>
  <si>
    <t>[1406824, 1406831, 1406838, 1406845, 1400869]</t>
  </si>
  <si>
    <t>0.022882337209975182</t>
  </si>
  <si>
    <t>[1400875, 1406824, 1406831, 1406838, 1406845]</t>
  </si>
  <si>
    <t>[0.015, 0.095, 0.059, 0.043, 0.067]</t>
  </si>
  <si>
    <t>513.8639956084189</t>
  </si>
  <si>
    <t>[-0.004, -0.019, -0.007, 0.0, 0.001]</t>
  </si>
  <si>
    <t>LINESTRING (11.150905781095796 60.07814385563061, 11.150053304297664 60.080366318984446, 11.150050130861016 60.080375161929226, 11.149355665879408 60.08221974764408, 11.148702940507286 60.0839412157391, 11.148672658491455 60.084004975545795)</t>
  </si>
  <si>
    <t>[1559815, 1559823, 1559831, 1559839, 1559847]</t>
  </si>
  <si>
    <t>[1407019, 1407027, 1407032, 1407039, 1400906]</t>
  </si>
  <si>
    <t>[1400900, 1407019, 1407027, 1407032, 1407039]</t>
  </si>
  <si>
    <t>[0.004, 0.019, 0.007, 0.0, 0.001]</t>
  </si>
  <si>
    <t>664.8503010303067</t>
  </si>
  <si>
    <t>[0.003, 0.008, -0.011, 0.005, 0.027, 0.016, -0.003, 0.015, 0.0, 0.01, -0.005, 0.011, 0.002, -0.009]</t>
  </si>
  <si>
    <t>[0, 0, 0, 1, 1, 0, 1, 1, 0, 0, 0, 0, 0, 0]</t>
  </si>
  <si>
    <t>LINESTRING (11.148672658491455 60.084004975545795, 11.148058016502507 60.08563179692952, 11.147058467840754 60.08824333434234, 11.14704222486285 60.08828468824089, 11.147002375286565 60.08839760133877, 11.146991041250857 60.08842959661317, 11.145954489888409 60.09113472549795, 11.145842834114495 60.09142623044367, 11.145834688854551 60.09145125301169, 11.147959508608539 60.11030420676144, 11.148399234938601 60.11066298334682, 11.148408887925731 60.110670527985654, 11.163941029753243 60.12208495682784, 11.164857121139196 60.126592670265666, 11.163772683004595 60.128939015937355)</t>
  </si>
  <si>
    <t>[1559855, 1559863, 1559871, 1559879, 1559887, 1559895, 1559903, 1559911, 1559919, 1559927, 1559935, 1559943, 1559951, 1559959]</t>
  </si>
  <si>
    <t>[1407055, 1407061, 1407066, 1407074, 1407082, 1407087, 1407092, 1407100, 1407105, 1407112, 1407118, 1407123, 1407130, 1400950]</t>
  </si>
  <si>
    <t>0.0044468799258905334</t>
  </si>
  <si>
    <t>[1400906, 1407055, 1407061, 1407066, 1407074, 1407082, 1407087, 1407092, 1407100, 1407105, 1407112, 1407118, 1407123, 1407130]</t>
  </si>
  <si>
    <t>[0.003, 0.008, 0.011, 0.005, 0.027, 0.016, 0.003, 0.015, 0.0, 0.01, 0.005, 0.011, 0.002, 0.009]</t>
  </si>
  <si>
    <t>5379.486303318451</t>
  </si>
  <si>
    <t>[-0.007, -0.029, -0.032, -0.041, -0.002, 0.001, -0.011]</t>
  </si>
  <si>
    <t>LINESTRING (11.163772683004595 60.128939015937355, 11.162822905406733 60.130078320094384, 11.162660173589744 60.13023965683907, 11.162392829413795 60.1304943945469, 11.16238444276747 60.13050234039532, 11.160894731473679 60.13178472317677, 11.160885314823474 60.13179237835448, 11.158214281806844 60.13406231037437)</t>
  </si>
  <si>
    <t>[1559967, 1559975, 1559983, 1559991, 1559999, 1560007, 1560015]</t>
  </si>
  <si>
    <t>[1407143, 1407147, 1407151, 1407158, 1407164, 1407171, 1400965]</t>
  </si>
  <si>
    <t>[1400950, 1407143, 1407147, 1407151, 1407158, 1407164, 1407171]</t>
  </si>
  <si>
    <t>[0.007, 0.029, 0.032, 0.041, 0.002, 0.001, 0.011]</t>
  </si>
  <si>
    <t>650.222793904921</t>
  </si>
  <si>
    <t>[-0.005, -0.01, -0.009, -0.007, 0.008, -0.81]</t>
  </si>
  <si>
    <t>LINESTRING (11.156681437336616 60.16289040221383, 11.156810057464781 60.16302449979264, 11.157606582426512 60.16378064910291, 11.15793357973847 60.16409106714486, 11.158025819555567 60.16417862152778, 11.161921479680956 60.168171662663156, 11.16197431394924 60.168229017913106)</t>
  </si>
  <si>
    <t>[1560239, 1560247, 1560255, 1560263, 1560271, 1560279]</t>
  </si>
  <si>
    <t>[1407356, 1407362, 1407368, 1407374, 1407379, 1400977]</t>
  </si>
  <si>
    <t>[1407349, 1407356, 1407362, 1407368, 1407374, 1407379]</t>
  </si>
  <si>
    <t>[0.005, 0.01, 0.009, 0.007, 0.008, 0.81]</t>
  </si>
  <si>
    <t>663.7099410147456</t>
  </si>
  <si>
    <t>[-0.092, -0.081, -0.003, 0.0, -0.002, -0.025, -0.006, 0.012, 0.039]</t>
  </si>
  <si>
    <t>LINESTRING (10.628007653333151 59.90862321172362, 10.62783434823828 59.90866115714613, 10.627294164469838 59.90938387947143, 10.6272914577229 59.90939273700033, 10.627264008183134 59.90949032799193, 10.627262029984305 59.90949922771343, 10.627571636539203 59.910357428883536, 10.627584593707036 59.910363596551385, 10.62785000481825 59.90991522157246, 10.627760825384742 59.909871792812986)</t>
  </si>
  <si>
    <t>[1554023, 1504401, 1504408, 1504439, 1504455, 1504465, 1504473, 1504474, 1554031]</t>
  </si>
  <si>
    <t>[1360428, 1360429, 1360433, 1360460, 1360475, 1360484, 1360492, 1360493, 1401426]</t>
  </si>
  <si>
    <t>[1365968, 1360428, 1360429, 1360433, 1360460, 1360475, 1360484, 1360492, 1360493]</t>
  </si>
  <si>
    <t>[0.092, 0.081, 0.003, 0.0, 0.002, 0.025, 0.006, 0.012, 0.039]</t>
  </si>
  <si>
    <t>333.17794802174586</t>
  </si>
  <si>
    <t>[-0.028, -0.029]</t>
  </si>
  <si>
    <t>LINESTRING (10.575915842591074 59.89917485432226, 10.57355526357202 59.89851634832412, 10.5720527926654 59.89822586208538)</t>
  </si>
  <si>
    <t>[1552807, 1552815]</t>
  </si>
  <si>
    <t>[1401590, 1401597]</t>
  </si>
  <si>
    <t>[1401584, 1401590]</t>
  </si>
  <si>
    <t>[0.028, 0.029]</t>
  </si>
  <si>
    <t>241.4375297869065</t>
  </si>
  <si>
    <t>[-0.007, -0.02, -0.012, 0.008]</t>
  </si>
  <si>
    <t>95098.0</t>
  </si>
  <si>
    <t>LINESTRING (10.5720527926654 59.89822586208538, 10.570620153934044 59.89804274483045, 10.570228970269532 59.897996300724856, 10.56417231212377 59.896849421670765, 10.564122021441069 59.89683999215348)</t>
  </si>
  <si>
    <t>[1552823, 1552831, 1552839, 1552847]</t>
  </si>
  <si>
    <t>[1401604, 1401609, 1401617, 1401624]</t>
  </si>
  <si>
    <t>[1401597, 1401604, 1401609, 1401617]</t>
  </si>
  <si>
    <t>[0.007, 0.02, 0.012, 0.008]</t>
  </si>
  <si>
    <t>471.26775491864464</t>
  </si>
  <si>
    <t>[-0.017, -0.012, -0.015, -0.008, -0.01, 0.001, -0.001, -0.006, -0.013, -0.013, 0.0]</t>
  </si>
  <si>
    <t>LINESTRING (10.5720527926654 59.89822586208538, 10.571787751148786 59.89821334431472, 10.570464614628067 59.89808157271117, 10.570288087053294 59.898063039227345, 10.569838557267488 59.89803022290061, 10.569560107424628 59.89800525270193, 10.569294252329062 59.897972019036814, 10.569160025788529 59.897945016544845, 10.568360319155337 59.897815787888916, 10.56709779324544 59.89756808282816, 10.564303932962225 59.89693875174136, 10.564122021441069 59.89683999215348)</t>
  </si>
  <si>
    <t>[1554191, 1504939, 1504940, 1504946, 1504951, 1504964, 1504965, 1504966, 1504973, 1504981, 1554199]</t>
  </si>
  <si>
    <t>[1360905, 1360906, 1360907, 346547, 1360916, 1360928, 1203073, 1203091, 346596, 1360937, 1401624]</t>
  </si>
  <si>
    <t>[1401597, 1360905, 1360906, 1360907, 346547, 1360916, 1360928, 1203073, 1203091, 346596, 1360937]</t>
  </si>
  <si>
    <t>[0.017, 0.012, 0.015, 0.008, 0.01, 0.001, 0.001, 0.006, 0.013, 0.013, 0.0]</t>
  </si>
  <si>
    <t>475.08379838931603</t>
  </si>
  <si>
    <t>[0.001, 0.019, 0.027, 0.03, 0.027, -0.013, -0.014, 0.003, -0.01, -0.004, -0.012]</t>
  </si>
  <si>
    <t>[0, 0, 1, 1, 0, 0, 0, 0, 0, 0, 0]</t>
  </si>
  <si>
    <t>LINESTRING (10.564122021441069 59.89683999215348, 10.560544662666441 59.896194499474205, 10.560493637373433 59.89618522358956, 10.560200515095952 59.89613252557343, 10.560149311812758 59.89612324354387, 10.559910556022409 59.896081075734045, 10.559771610999713 59.89605653895905, 10.55969880671094 59.89604335319985, 10.557728206408925 59.89569135668698, 10.557155482742314 59.89558817547044, 10.551539012929517 59.89472372792177, 10.550256040523367 59.89468375454512)</t>
  </si>
  <si>
    <t>[1552855, 1552863, 1552871, 1552879, 1552887, 1552895, 1552903, 1552911, 1552919, 1552935, 1552943]</t>
  </si>
  <si>
    <t>[1401634, 1401641, 1401648, 1401653, 1401662, 1401669, 1401675, 1401681, 1401687, 1401700, 1401706]</t>
  </si>
  <si>
    <t>[1401624, 1401634, 1401641, 1401648, 1401653, 1401662, 1401669, 1401675, 1401681, 1401687, 1401700]</t>
  </si>
  <si>
    <t>[0.001, 0.019, 0.027, 0.03, 0.027, 0.013, 0.014, 0.003, 0.01, 0.004, 0.012]</t>
  </si>
  <si>
    <t>815.8858561916376</t>
  </si>
  <si>
    <t>[-0.022, -0.008, 0.016, 0.025, 0.039, 0.007, 0.054, -0.057]</t>
  </si>
  <si>
    <t>LINESTRING (10.550256040523367 59.89468375454512, 10.549542244861982 59.89466564245536, 10.548854033433932 59.894634525073045, 10.54854615588073 59.89460586971332, 10.54680548060821 59.89436869862416, 10.546508988171812 59.89430749170701, 10.545027175612315 59.89394202540993, 10.544131616886615 59.8936787763919, 10.544081807436473 59.893664499080245)</t>
  </si>
  <si>
    <t>[1552951, 1552959, 1552967, 1552975, 1552983, 1552991, 1552999, 1553007]</t>
  </si>
  <si>
    <t>[1401709, 1401714, 1401719, 1401726, 1401734, 1401739, 1401746, 1401750]</t>
  </si>
  <si>
    <t>0.016038983195671066</t>
  </si>
  <si>
    <t>[1401706, 1401709, 1401714, 1401719, 1401726, 1401734, 1401739, 1401746]</t>
  </si>
  <si>
    <t>[0.022, 0.008, 0.016, 0.025, 0.039, 0.007, 0.054, 0.057]</t>
  </si>
  <si>
    <t>369.1800916577911</t>
  </si>
  <si>
    <t>[-0.037, -0.005, -0.061, -0.069, -0.014, -0.011, -0.074]</t>
  </si>
  <si>
    <t>88204.0</t>
  </si>
  <si>
    <t>LINESTRING (10.544081807436473 59.893664499080245, 10.544033166140965 59.89365071995833, 10.54401695872425 59.89364612413087, 10.54398476511508 59.893636751111615, 10.543925078416695 59.89361872183796, 10.532010535799804 59.89118305830184, 10.526392581917973 59.88937714030787, 10.526311438248195 59.889341825646746)</t>
  </si>
  <si>
    <t>[1553015, 1553023, 1553031, 1553039, 1553047, 1553055, 1553063]</t>
  </si>
  <si>
    <t>[1401756, 1401761, 1401770, 1401775, 1401783, 1401790, 1401797]</t>
  </si>
  <si>
    <t>[1401750, 1401756, 1401761, 1401770, 1401775, 1401783, 1401790]</t>
  </si>
  <si>
    <t>[0.037, 0.005, 0.061, 0.069, 0.014, 0.011, 0.074]</t>
  </si>
  <si>
    <t>1112.0190966423772</t>
  </si>
  <si>
    <t>[0.041, 0.011, 0.018, -0.034, -0.032, 0.005, 0.048, 0.004, -0.029, -0.02]</t>
  </si>
  <si>
    <t>[1, 0, 0, 0, 0, 1, 0, 0, 0, 1]</t>
  </si>
  <si>
    <t>LINESTRING (10.526311438248195 59.889341825646746, 10.524910318712735 59.88870331947971, 10.524089755360366 59.888241690350036, 10.524077803560248 59.88823503345476, 10.523945240294989 59.88816235486587, 10.523401453063336 59.88786694266754, 10.52274569134962 59.88747445821952, 10.522324721961786 59.88721420292846, 10.520932265028366 59.88627773463765, 10.520621452003489 59.88606771881548, 10.520188087860532 59.885774361836944)</t>
  </si>
  <si>
    <t>[1553071, 1553079, 1553087, 1553095, 1553103, 1553111, 1553119, 1553127, 1553135, 1553143]</t>
  </si>
  <si>
    <t>[1401804, 1401810, 1401814, 1401820, 1401827, 1401834, 1401840, 1401851, 1401856, 1401860]</t>
  </si>
  <si>
    <t>0.00807676778313407</t>
  </si>
  <si>
    <t>[1401797, 1401804, 1401810, 1401814, 1401820, 1401827, 1401834, 1401840, 1401851, 1401856]</t>
  </si>
  <si>
    <t>[0.041, 0.011, 0.018, 0.034, 0.032, 0.005, 0.048, 0.004, 0.029, 0.02]</t>
  </si>
  <si>
    <t>526.4430184397185</t>
  </si>
  <si>
    <t>[0.019, 0.013, 0.148]</t>
  </si>
  <si>
    <t>LINESTRING (11.06413570375287 60.01442092618334, 11.064123302930648 60.01436655407469, 11.05801058967159 60.01031053012099, 11.057777243603464 60.010202842962386)</t>
  </si>
  <si>
    <t>[1724000, 1724001, 1724231]</t>
  </si>
  <si>
    <t>[1534572, 1534573, 1406676]</t>
  </si>
  <si>
    <t>0.017024746012483237</t>
  </si>
  <si>
    <t>[1534541, 1534572, 1534573]</t>
  </si>
  <si>
    <t>602.9909372277076</t>
  </si>
  <si>
    <t>11.494283318576793</t>
  </si>
  <si>
    <t>64.3908057493509</t>
  </si>
  <si>
    <t>[-0.225, 0.096, -0.042, -0.058, -0.013]</t>
  </si>
  <si>
    <t>LINESTRING (10.24846746443111 59.69149563141605, 10.248675173296766 59.69166417471441, 10.24889474660502 59.692057525542914, 10.249845711490572 59.6941119881397, 10.24996319084838 59.6941991361769, 10.25000851453168 59.69425680885719)</t>
  </si>
  <si>
    <t>[2083354, 2083353, 1635117, 1635125, 1635126]</t>
  </si>
  <si>
    <t>[1805547, 1461886, 1461887, 1461894, 1461895]</t>
  </si>
  <si>
    <t>[1432935, 1805547, 1461886, 1461887, 1461894]</t>
  </si>
  <si>
    <t>[0.225, 0.096, 0.042, 0.058, 0.013]</t>
  </si>
  <si>
    <t>321.9938788305488</t>
  </si>
  <si>
    <t>[-0.027, -0.016, 0.0, 0.015]</t>
  </si>
  <si>
    <t>LINESTRING (7.258487454992328 62.74773766088737, 7.258673952229955 62.74768985657337, 7.2589000177956216 62.74769209728392, 7.259085464667858 62.74774198769275, 7.25919373823189 62.747822847893936)</t>
  </si>
  <si>
    <t>[1597084, 1597098, 1597099, 1597116]</t>
  </si>
  <si>
    <t>[1435152, 1435158, 1435159, 1435166]</t>
  </si>
  <si>
    <t>[1435151, 1435152, 1435158, 1435159]</t>
  </si>
  <si>
    <t>[0.027, 0.016, 0.0, 0.015]</t>
  </si>
  <si>
    <t>44.10793790373991</t>
  </si>
  <si>
    <t>[-0.028, -0.032]</t>
  </si>
  <si>
    <t>LINESTRING (7.258360272704652 62.74792432396537, 7.258373868984292 62.74782166606992, 7.258487454992328 62.74773766088737)</t>
  </si>
  <si>
    <t>[1597172, 1597180]</t>
  </si>
  <si>
    <t>[1435193, 1435151]</t>
  </si>
  <si>
    <t>[1435186, 1435193]</t>
  </si>
  <si>
    <t>[0.028, 0.032]</t>
  </si>
  <si>
    <t>22.51373742954213</t>
  </si>
  <si>
    <t>[0.026, 0.03]</t>
  </si>
  <si>
    <t>LINESTRING (7.25919373823189 62.747822847893936, 7.259201271745443 62.747930538748165, 7.2591062052141435 62.748014541991935)</t>
  </si>
  <si>
    <t>[1597124, 1597134]</t>
  </si>
  <si>
    <t>[1435171, 1435176]</t>
  </si>
  <si>
    <t>0.027853380071165487</t>
  </si>
  <si>
    <t>[1435166, 1435171]</t>
  </si>
  <si>
    <t>22.800220668776557</t>
  </si>
  <si>
    <t>[0.028, 0.016, 0.003, -0.018]</t>
  </si>
  <si>
    <t>LINESTRING (7.2591062052141435 62.748014541991935, 7.258882484865135 62.748073657313014, 7.258666661475529 62.74807301297986, 7.258486004964734 62.74802622097626, 7.258360272704652 62.74792432396537)</t>
  </si>
  <si>
    <t>[1597135, 1597152, 1597153, 1597154]</t>
  </si>
  <si>
    <t>[1435177, 1435184, 1435185, 1435186]</t>
  </si>
  <si>
    <t>0.007245787708426863</t>
  </si>
  <si>
    <t>[1435176, 1435177, 1435184, 1435185]</t>
  </si>
  <si>
    <t>[0.028, 0.016, 0.003, 0.018]</t>
  </si>
  <si>
    <t>48.14655653525359</t>
  </si>
  <si>
    <t>[-0.889, 0.018, 0.015, 0.015, -0.033, -0.046]</t>
  </si>
  <si>
    <t>LINESTRING (11.325454922395258 59.57622160274835, 11.325548865874078 59.57623986435951, 11.325668868626666 59.57625835452776, 11.326017474822638 59.57633923021099, 11.326105767322765 59.576364137253755, 11.33139315983509 59.576748499438395, 11.331760786507699 59.57677468351834)</t>
  </si>
  <si>
    <t>[1795948, 1795956, 1795964, 1795972, 1795980, 1795868]</t>
  </si>
  <si>
    <t>[1583811, 1583819, 1583826, 1583834, 1583726, 1583727]</t>
  </si>
  <si>
    <t>[1445308, 1583811, 1583819, 1583826, 1583834, 1583726]</t>
  </si>
  <si>
    <t>[0.889, 0.018, 0.015, 0.015, 0.033, 0.046]</t>
  </si>
  <si>
    <t>369.5351718435742</t>
  </si>
  <si>
    <t>[0.09, 0.135, 0.129, 0.107, 0.034]</t>
  </si>
  <si>
    <t>LINESTRING (11.325066761875274 59.576183461925055, 11.325094807697962 59.5761729598459, 11.325122559655577 59.576164175366316, 11.325242044530166 59.5761507229576, 11.325398201617919 59.576182795491164, 11.325454922395258 59.57622160274835)</t>
  </si>
  <si>
    <t>[1610892, 1610900, 1610908, 1610916, 1610820]</t>
  </si>
  <si>
    <t>[1445353, 1445357, 1445363, 1445307, 1445308]</t>
  </si>
  <si>
    <t>0.09832351416639112</t>
  </si>
  <si>
    <t>[1445349, 1445353, 1445357, 1445363, 1445307]</t>
  </si>
  <si>
    <t>25.6412138084701</t>
  </si>
  <si>
    <t>[0.08, 0.045, 0.373]</t>
  </si>
  <si>
    <t>LINESTRING (11.319228150905257 59.5764328771504, 11.31945268158524 59.576415248647145, 11.324913541741548 59.576202069804644, 11.325066761875274 59.576183461925055)</t>
  </si>
  <si>
    <t>[1795916, 1796004, 1796012]</t>
  </si>
  <si>
    <t>[1583781, 1583858, 1445349]</t>
  </si>
  <si>
    <t>0.054986792974996576</t>
  </si>
  <si>
    <t>[1583780, 1583781, 1583858]</t>
  </si>
  <si>
    <t>337.4623211810992</t>
  </si>
  <si>
    <t>[0.015, -0.0]</t>
  </si>
  <si>
    <t>LINESTRING (11.282854549123751 59.575177993795236, 11.282735736116479 59.575172378959266, 11.282644425092549 59.5751439762862)</t>
  </si>
  <si>
    <t>[1610933, 1610941]</t>
  </si>
  <si>
    <t>[1445381, 1445385]</t>
  </si>
  <si>
    <t>0.007904659662801392</t>
  </si>
  <si>
    <t>[1445376, 1445381]</t>
  </si>
  <si>
    <t>[0.015, 0.0]</t>
  </si>
  <si>
    <t>12.798649531084711</t>
  </si>
  <si>
    <t>[-0.038, -0.013, 0.006, 0.029, 0.033, 0.049, 0.038]</t>
  </si>
  <si>
    <t>LINESTRING (11.282603058836806 59.57499146063378, 11.28281120675702 59.57492863674779, 11.282902974912677 59.57493636845401, 11.282993930294072 59.57496590245873, 11.283062429246792 59.57503592324287, 11.28305819272831 59.57508327412726, 11.283019684901141 59.57512645999521, 11.282854549123751 59.575177993795236)</t>
  </si>
  <si>
    <t>[1610962, 1610963, 1610964, 1610969, 1610980, 1610988, 1610924]</t>
  </si>
  <si>
    <t>[1445401, 1445402, 1445403, 1445407, 1445413, 1445375, 1445376]</t>
  </si>
  <si>
    <t>0.009664898860329521</t>
  </si>
  <si>
    <t>[1445398, 1445401, 1445402, 1445403, 1445407, 1445413, 1445375]</t>
  </si>
  <si>
    <t>[0.038, 0.013, 0.006, 0.029, 0.033, 0.049, 0.038]</t>
  </si>
  <si>
    <t>55.98075827836239</t>
  </si>
  <si>
    <t>[-0.05, 0.0, -0.05, -0.043]</t>
  </si>
  <si>
    <t>LINESTRING (11.282586342924644 59.5753751425101, 11.28273639679404 59.57527149324978, 11.282739173215248 59.57526929791937, 11.28279870564267 59.575222188123014, 11.282854549123751 59.575177993795236)</t>
  </si>
  <si>
    <t>[1612734, 1612742, 1612750, 1612758]</t>
  </si>
  <si>
    <t>[1446704, 1446708, 1446715, 1445376]</t>
  </si>
  <si>
    <t>[1446638, 1446704, 1446708, 1446715]</t>
  </si>
  <si>
    <t>[0.05, 0.0, 0.05, 0.043]</t>
  </si>
  <si>
    <t>26.70290696619802</t>
  </si>
  <si>
    <t>8.708384580639876</t>
  </si>
  <si>
    <t>[-0.046, 0.0, -0.045, -0.045]</t>
  </si>
  <si>
    <t>LINESTRING (11.282586342924644 59.5753751425101, 11.282616125257878 59.575250843089535, 11.28261667282255 59.57524877318704, 11.28263172290555 59.57519192255458, 11.282644425092549 59.5751439762862)</t>
  </si>
  <si>
    <t>[1612702, 1612710, 1612718, 1612726]</t>
  </si>
  <si>
    <t>[1446682, 1446689, 1446694, 1445385]</t>
  </si>
  <si>
    <t>[1446638, 1446682, 1446689, 1446694]</t>
  </si>
  <si>
    <t>[0.046, 0.0, 0.045, 0.045]</t>
  </si>
  <si>
    <t>25.965575579868464</t>
  </si>
  <si>
    <t>9.430611061697933</t>
  </si>
  <si>
    <t>[0.008, 0.009, -0.007, -0.02]</t>
  </si>
  <si>
    <t>LINESTRING (11.282573025115003 59.5750747177947, 11.282505881120922 59.575063352984515, 11.282387665884455 59.575043345329746, 11.286342133933628 59.576189502200975, 11.28662951045326 59.57626127639567)</t>
  </si>
  <si>
    <t>[1612566, 1612574, 1612582, 1612590]</t>
  </si>
  <si>
    <t>[1446584, 1446590, 1446596, 1446492]</t>
  </si>
  <si>
    <t>[1445392, 1446584, 1446590, 1446596]</t>
  </si>
  <si>
    <t>[0.008, 0.009, 0.007, 0.02]</t>
  </si>
  <si>
    <t>436.4118265315982</t>
  </si>
  <si>
    <t>[-0.027, 0.0, -0.022, -0.022]</t>
  </si>
  <si>
    <t>LINESTRING (11.276031223338414 59.57625106335631, 11.27635259685095 59.576179382573585, 11.282399699692768 59.574989420327164, 11.282532253762781 59.57499142588309, 11.282603058836806 59.57499146063378)</t>
  </si>
  <si>
    <t>[1612918, 1612929, 1612937, 1612945]</t>
  </si>
  <si>
    <t>[1446816, 1446823, 1446829, 1445398]</t>
  </si>
  <si>
    <t>[1446494, 1446816, 1446823, 1446829]</t>
  </si>
  <si>
    <t>[0.027, 0.0, 0.022, 0.022]</t>
  </si>
  <si>
    <t>405.69908193928757</t>
  </si>
  <si>
    <t>9.564246598778388</t>
  </si>
  <si>
    <t>[-0.057, -0.063]</t>
  </si>
  <si>
    <t>LINESTRING (11.282017075167447 59.5763138356882, 11.282038409736078 59.5762560940349, 11.282074037328012 59.57608066919139)</t>
  </si>
  <si>
    <t>[1612686, 1612694]</t>
  </si>
  <si>
    <t>[1446673, 1446614]</t>
  </si>
  <si>
    <t>[1445425, 1446673]</t>
  </si>
  <si>
    <t>[0.057, 0.063]</t>
  </si>
  <si>
    <t>26.19505004192908</t>
  </si>
  <si>
    <t>[-0.008, 0.008]</t>
  </si>
  <si>
    <t>LINESTRING (11.281849059216334 59.57627635757183, 11.28194016468127 59.5762869115986, 11.282017075167447 59.5763138356882)</t>
  </si>
  <si>
    <t>[1611068, 1611076]</t>
  </si>
  <si>
    <t>[1445475, 1445425]</t>
  </si>
  <si>
    <t>[1445470, 1445475]</t>
  </si>
  <si>
    <t>10.563466569092355</t>
  </si>
  <si>
    <t>11.395129603069508</t>
  </si>
  <si>
    <t>[0.034, -0.003, -0.015, -0.04, -0.059, -0.053, -0.033]</t>
  </si>
  <si>
    <t>LINESTRING (11.282023171911284 59.57648676099339, 11.281857898975854 59.57652726917748, 11.281759473797127 59.576520408291486, 11.281678962883857 59.57649687845691, 11.281592934151934 59.57640684334753, 11.281612134323279 59.576353832250824, 11.281687358517269 59.57630346547841, 11.281849059216334 59.57627635757183)</t>
  </si>
  <si>
    <t>[1611012, 1611020, 1611028, 1611036, 1611044, 1611052, 1611060]</t>
  </si>
  <si>
    <t>[1445439, 1445443, 1445447, 1445454, 1445459, 1445464, 1445470]</t>
  </si>
  <si>
    <t>[1445433, 1445439, 1445443, 1445447, 1445454, 1445459, 1445464]</t>
  </si>
  <si>
    <t>[0.034, 0.003, 0.015, 0.04, 0.059, 0.053, 0.033]</t>
  </si>
  <si>
    <t>55.30301780449207</t>
  </si>
  <si>
    <t>[0.033, 0.016, 0.038, -0.008]</t>
  </si>
  <si>
    <t>LINESTRING (11.289455769102773 59.5767003678884, 11.289097532024382 59.576696614404796, 11.287253063247201 59.576491792690106, 11.282088990995256 59.57649987716676, 11.282023171911284 59.57648676099339)</t>
  </si>
  <si>
    <t>[1612498, 1612518, 1612532, 1612535]</t>
  </si>
  <si>
    <t>[1446540, 1446556, 1446564, 1445433]</t>
  </si>
  <si>
    <t>0.03191017491741796</t>
  </si>
  <si>
    <t>[1446350, 1446540, 1446556, 1446564]</t>
  </si>
  <si>
    <t>[0.033, 0.016, 0.038, 0.008]</t>
  </si>
  <si>
    <t>432.7278975090595</t>
  </si>
  <si>
    <t>[-0.06, -0.065]</t>
  </si>
  <si>
    <t>LINESTRING (11.281849059216334 59.57627635757183, 11.281891307291101 59.57623511209, 11.282074037328012 59.57608066919139)</t>
  </si>
  <si>
    <t>[1612670, 1612678]</t>
  </si>
  <si>
    <t>[1446664, 1446614]</t>
  </si>
  <si>
    <t>[1445470, 1446664]</t>
  </si>
  <si>
    <t>[0.06, 0.065]</t>
  </si>
  <si>
    <t>25.248465572562147</t>
  </si>
  <si>
    <t>[0.154, -0.008, 0.046, 0.018, 0.025, 0.02]</t>
  </si>
  <si>
    <t>LINESTRING (11.317693709297073 59.57642510657952, 11.317265465448266 59.57639705020711, 11.301506508804595 59.57652884345532, 11.300726976272218 59.576599341478556, 11.290143380782192 59.57676345949334, 11.289659256859757 59.57671933600592, 11.289455769102773 59.5767003678884)</t>
  </si>
  <si>
    <t>[2053933, 1613609, 1613617, 1613625, 1613633, 1612257]</t>
  </si>
  <si>
    <t>[1447237, 1447238, 1447244, 1447250, 1446349, 1446350]</t>
  </si>
  <si>
    <t>0.006477399242465652</t>
  </si>
  <si>
    <t>[1583718, 1447237, 1447238, 1447244, 1447250, 1446349]</t>
  </si>
  <si>
    <t>[0.154, 0.008, 0.046, 0.018, 0.025, 0.02]</t>
  </si>
  <si>
    <t>1606.9584822863085</t>
  </si>
  <si>
    <t>[0.013, -0.014]</t>
  </si>
  <si>
    <t>LINESTRING (11.28662951045326 59.57626127639567, 11.27871163146745 59.57583675933609, 11.276031223338414 59.57625106335631)</t>
  </si>
  <si>
    <t>[1612425, 1612426]</t>
  </si>
  <si>
    <t>[1446493, 1446494]</t>
  </si>
  <si>
    <t>0.00604020418225824</t>
  </si>
  <si>
    <t>[1446492, 1446493]</t>
  </si>
  <si>
    <t>614.5330984877389</t>
  </si>
  <si>
    <t>[-0.081, -0.078, 0.119, -0.008, 0.048, 0.016, 0.019, 0.015, 0.014, 0.025]</t>
  </si>
  <si>
    <t>LINESTRING (11.319228150905257 59.5764328771504, 11.318014762765117 59.576350951889374, 11.317805348997318 59.57633681423453, 11.317291973816104 59.57630215464479, 11.301484301843162 59.576439692113404, 11.30069696766771 59.57651089519348, 11.29017633844104 59.57667522302855, 11.289690262766957 59.57663097236554, 11.289497942726625 59.57661277952137, 11.287531823695543 59.57638531018182, 11.28662951045326 59.57626127639567)</t>
  </si>
  <si>
    <t>[2053853, 2053861, 2053869, 1613577, 1613585, 1613593, 1613601, 1612384, 1612391, 1612424]</t>
  </si>
  <si>
    <t>[1786950, 1786955, 1447220, 1447221, 1447226, 1447231, 1446454, 1446455, 1446463, 1446492]</t>
  </si>
  <si>
    <t>0.0027498799511299038</t>
  </si>
  <si>
    <t>[1583780, 1786950, 1786955, 1447220, 1447221, 1447226, 1447231, 1446454, 1446455, 1446463]</t>
  </si>
  <si>
    <t>[0.081, 0.078, 0.119, 0.008, 0.048, 0.016, 0.019, 0.015, 0.014, 0.025]</t>
  </si>
  <si>
    <t>1858.7966011887402</t>
  </si>
  <si>
    <t>[-0.008, -0.043, -0.001, -0.021, -0.006, 0.034, 0.04, 0.001, 0.019, -0.013, -0.053, -0.045, 0.023, 0.049]</t>
  </si>
  <si>
    <t>[0, 0, 1, 0, 1, 0, 0, 0, 0, 0, 0, 0, 1, 0]</t>
  </si>
  <si>
    <t>LINESTRING (11.276031223338414 59.57625106335631, 11.272699191031274 59.5768065823181, 11.269142834287242 59.57728102839734, 11.268382074246668 59.57733635527656, 11.261273241416832 59.577032921554846, 11.260561862936294 59.5769272879102, 11.260003376584947 59.576840881148875, 11.259319981266632 59.57673514179246, 11.238785807876416 59.577908442946395, 11.237926464447236 59.577944497327046, 11.234490321971549 59.57787318441875, 11.232544850836774 59.57767774841972, 11.227434668863246 59.5765545313288, 11.225485708359775 59.57591429174971, 11.225220660966945 59.57582623290803)</t>
  </si>
  <si>
    <t>[1612433, 1612441, 1612448, 1612451, 1612459, 1612460, 1612461, 1613057, 1613065, 1613073, 1613081, 1613089, 1613241, 1613249]</t>
  </si>
  <si>
    <t>[1446498, 1446503, 1446507, 1446508, 1446510, 1446511, 1446512, 1446901, 1446906, 1446911, 1446914, 1446921, 1447008, 1447015]</t>
  </si>
  <si>
    <t>[1446494, 1446498, 1446503, 1446507, 1446508, 1446510, 1446511, 1446512, 1446901, 1446906, 1446911, 1446914, 1446921, 1447008]</t>
  </si>
  <si>
    <t>[0.008, 0.043, 0.001, 0.021, 0.006, 0.034, 0.04, 0.001, 0.019, 0.013, 0.053, 0.045, 0.023, 0.049]</t>
  </si>
  <si>
    <t>2972.783622046071</t>
  </si>
  <si>
    <t>[-0.056, -0.049, -0.044, -0.048]</t>
  </si>
  <si>
    <t>LINESTRING (11.282074037328012 59.57608066919139, 11.28211525591738 59.57602419386141, 11.282480496831706 59.575521658478486, 11.28250429192238 59.575488796538046, 11.282586342924644 59.5753751425101)</t>
  </si>
  <si>
    <t>[1612606, 1612614, 1612622, 1612630]</t>
  </si>
  <si>
    <t>[1446615, 1446623, 1446632, 1446638]</t>
  </si>
  <si>
    <t>[1446614, 1446615, 1446623, 1446632]</t>
  </si>
  <si>
    <t>[0.056, 0.049, 0.044, 0.048]</t>
  </si>
  <si>
    <t>83.77365222387766</t>
  </si>
  <si>
    <t>[0.037, 0.002, 0.004, 0.004]</t>
  </si>
  <si>
    <t>LINESTRING (11.2243401294752 59.575642784642426, 11.219322138241974 59.573968648435, 11.219050032027765 59.57387791831848, 11.218596570715087 59.57372671353906, 11.212769716147843 59.57178648052175)</t>
  </si>
  <si>
    <t>[1613193, 1613201, 1613209, 1613217]</t>
  </si>
  <si>
    <t>[1446979, 1446984, 1446986, 1446992]</t>
  </si>
  <si>
    <t>0.01826880343111373</t>
  </si>
  <si>
    <t>[1446976, 1446979, 1446984, 1446986]</t>
  </si>
  <si>
    <t>782.5396033514614</t>
  </si>
  <si>
    <t>[0.033, 0.028, 0.001]</t>
  </si>
  <si>
    <t>LINESTRING (11.2243401294752 59.575642784642426, 11.224113886475006 59.57561151475416, 11.217937933342228 59.57454035708143, 11.217862453541159 59.574507161011034)</t>
  </si>
  <si>
    <t>[1613321, 1613329, 1613337]</t>
  </si>
  <si>
    <t>[1447058, 1447063, 1447067]</t>
  </si>
  <si>
    <t>0.027784341846799468</t>
  </si>
  <si>
    <t>[1446976, 1447058, 1447063]</t>
  </si>
  <si>
    <t>399.64758865672724</t>
  </si>
  <si>
    <t>[0.005, -0.01, -0.019, -0.018, -0.005, 0.014, -0.028]</t>
  </si>
  <si>
    <t>LINESTRING (11.212769716147843 59.57178648052175, 11.210704764461042 59.57112334145341, 11.209907648729603 59.570888766697536, 11.19462813986602 59.56922473644392, 11.192657737561847 59.56928119320132, 11.181827750130118 59.56935898873906, 11.181729146345225 59.56936589047476, 11.175108045935492 59.569961907656435)</t>
  </si>
  <si>
    <t>[1613225, 1613233, 1669982, 1669990, 1669998, 1670006, 1670014]</t>
  </si>
  <si>
    <t>[1446996, 1447002, 1497871, 1497880, 1497885, 1497894, 1497902]</t>
  </si>
  <si>
    <t>[1446992, 1446996, 1447002, 1497871, 1497880, 1497885, 1497894]</t>
  </si>
  <si>
    <t>[0.005, 0.01, 0.019, 0.018, 0.005, 0.014, 0.028]</t>
  </si>
  <si>
    <t>2196.478930635124</t>
  </si>
  <si>
    <t>[0.009, 0.008, 0.001, 0.006, -0.0, 0.001, 0.011, 0.01]</t>
  </si>
  <si>
    <t>LINESTRING (11.217565148787623 59.574319135017866, 11.217499939467622 59.57428222646836, 11.217449500315016 59.57424917899759, 11.217210008434888 59.57351366159159, 11.217093965115513 59.57342517559776, 11.216643512526362 59.573171499655615, 11.21355849986587 59.57210839769681, 11.213036784656635 59.57191209230673, 11.212769716147843 59.57178648052175)</t>
  </si>
  <si>
    <t>[1676052, 1676060, 1676068, 1676076, 1676084, 1676092, 1613561, 1613569]</t>
  </si>
  <si>
    <t>[1503136, 1503143, 1503148, 1503155, 1503163, 1447211, 1447212, 1446992]</t>
  </si>
  <si>
    <t>0.0025766119404785418</t>
  </si>
  <si>
    <t>[1503135, 1503136, 1503143, 1503148, 1503155, 1503163, 1447211, 1447212]</t>
  </si>
  <si>
    <t>[0.009, 0.008, 0.001, 0.006, 0.0, 0.001, 0.011, 0.01]</t>
  </si>
  <si>
    <t>412.53096450683535</t>
  </si>
  <si>
    <t>[0.047, 0.037, 0.002, 0.004, 0.003, 0.007]</t>
  </si>
  <si>
    <t>LINESTRING (11.225220660966945 59.57582623290803, 11.2244541547068 59.57557114083367, 11.219455839111257 59.57390787947389, 11.21918551144782 59.57381740780239, 11.218734980372446 59.57366662081233, 11.212886752409117 59.571717001323115, 11.210803741498953 59.571047147105844)</t>
  </si>
  <si>
    <t>[1613257, 1613265, 1613273, 1613281, 1613289, 1613297]</t>
  </si>
  <si>
    <t>[1447020, 1447024, 1447029, 1447032, 1447038, 1447043]</t>
  </si>
  <si>
    <t>0.01772810113393086</t>
  </si>
  <si>
    <t>[1447015, 1447020, 1447024, 1447029, 1447032, 1447038]</t>
  </si>
  <si>
    <t>973.4950115309814</t>
  </si>
  <si>
    <t>[-0.01, -0.034, -0.045, -0.053]</t>
  </si>
  <si>
    <t>LINESTRING (11.22028735372903 59.57342733792755, 11.220290277162782 59.573475470678005, 11.224348676845898 59.57547654837191, 11.224967303001247 59.57569511025444, 11.225220660966945 59.57582623290803)</t>
  </si>
  <si>
    <t>[1613345, 1613353, 1613361, 1613369]</t>
  </si>
  <si>
    <t>[1447073, 1447079, 1447085, 1447015]</t>
  </si>
  <si>
    <t>[1447072, 1447073, 1447079, 1447085]</t>
  </si>
  <si>
    <t>[0.01, 0.034, 0.045, 0.053]</t>
  </si>
  <si>
    <t>404.7115328450099</t>
  </si>
  <si>
    <t>[-0.01, -0.019, -0.019, -0.005, 0.005, -0.028, -0.088]</t>
  </si>
  <si>
    <t>LINESTRING (11.210803741498953 59.571047147105844, 11.210010497148716 59.5708140784854, 11.19461693011563 59.56913424537952, 11.192648244067087 59.56918967309068, 11.181866675094298 59.569265581753825, 11.181762383327166 59.56927155332611, 11.175112186301742 59.56986168663462, 11.175029075544568 59.5698694320482)</t>
  </si>
  <si>
    <t>[1613305, 1671902, 1671910, 1671918, 1671926, 1671934, 1671942]</t>
  </si>
  <si>
    <t>[1447050, 1499557, 1499565, 1499571, 1499578, 1499585, 1499593]</t>
  </si>
  <si>
    <t>[1447043, 1447050, 1499557, 1499565, 1499571, 1499578, 1499585]</t>
  </si>
  <si>
    <t>[0.01, 0.019, 0.019, 0.005, 0.005, 0.028, 0.088]</t>
  </si>
  <si>
    <t>2068.7407263740465</t>
  </si>
  <si>
    <t>[0.009, -0.009, 0.004, -0.012, -0.006, 0.0, -0.016, -0.013]</t>
  </si>
  <si>
    <t>LINESTRING (11.210803741498953 59.571047147105844, 11.211230871065055 59.5711343138929, 11.212291569640428 59.57146335226352, 11.214913345269371 59.572157656886525, 11.21769230332156 59.57315446012367, 11.217824390358128 59.57320898014007, 11.219851553342014 59.57317820509057, 11.219907266702611 59.57318417520541, 11.22001553458155 59.57321272634834)</t>
  </si>
  <si>
    <t>[1613545, 1613553, 1676260, 1676268, 1676276, 1676284, 1676292, 1676300]</t>
  </si>
  <si>
    <t>[1447200, 1447206, 1503297, 1503302, 1503310, 1503315, 1503322, 1503331]</t>
  </si>
  <si>
    <t>[1447043, 1447200, 1447206, 1503297, 1503302, 1503310, 1503315, 1503322]</t>
  </si>
  <si>
    <t>[0.009, 0.009, 0.004, 0.012, 0.006, 0.0, 0.016, 0.013]</t>
  </si>
  <si>
    <t>598.136647743976</t>
  </si>
  <si>
    <t>[0.283, 0.012, 0.008, -0.005]</t>
  </si>
  <si>
    <t>LINESTRING (11.217862453541159 59.574507161011034, 11.217747608792251 59.574515670003855, 11.21761796632869 59.57448350542421, 11.217511069642304 59.57441088101252, 11.217565148787623 59.574319135017866)</t>
  </si>
  <si>
    <t>[1676916, 1676924, 1676932, 1676876]</t>
  </si>
  <si>
    <t>[1499547, 1503816, 1497862, 1503135]</t>
  </si>
  <si>
    <t>0.05557964306462332</t>
  </si>
  <si>
    <t>[1447067, 1499547, 1503816, 1497862]</t>
  </si>
  <si>
    <t>[0.283, 0.012, 0.008, 0.005]</t>
  </si>
  <si>
    <t>35.687902957667376</t>
  </si>
  <si>
    <t>19.712010802234623</t>
  </si>
  <si>
    <t>11.498973958516368</t>
  </si>
  <si>
    <t>[-0.016, -0.014, -0.009, -0.002, 0.008, -0.019]</t>
  </si>
  <si>
    <t>LINESTRING (11.22001553458155 59.57321272634834, 11.220169790464002 59.57319767752332, 11.220330742993688 59.573241342945494, 11.220381814829848 59.57329306952937, 11.22038157749725 59.573364618175916, 11.220344570761272 59.57340114233454, 11.22028735372903 59.57342733792755)</t>
  </si>
  <si>
    <t>[1676940, 1676948, 1676956, 1676964, 1676972, 1676980]</t>
  </si>
  <si>
    <t>[1503828, 1503833, 1503838, 1503844, 1503851, 1447072]</t>
  </si>
  <si>
    <t>[1503331, 1503828, 1503833, 1503838, 1503844, 1503851]</t>
  </si>
  <si>
    <t>[0.016, 0.014, 0.009, 0.002, 0.008, 0.019]</t>
  </si>
  <si>
    <t>42.779103355611326</t>
  </si>
  <si>
    <t>[0.011, 0.022]</t>
  </si>
  <si>
    <t>11376.0</t>
  </si>
  <si>
    <t>LINESTRING (5.328090944686163 60.30159803799668, 5.328233245328814 60.299344371349065, 5.328217711522499 60.299292577207254)</t>
  </si>
  <si>
    <t>[1613745, 1613907]</t>
  </si>
  <si>
    <t>[1447326, 1447438]</t>
  </si>
  <si>
    <t>0.011249018241128093</t>
  </si>
  <si>
    <t>[1447325, 1447326]</t>
  </si>
  <si>
    <t>258.51860981427365</t>
  </si>
  <si>
    <t>[0.03, 0.084]</t>
  </si>
  <si>
    <t>LINESTRING (5.328090944686163 60.30159803799668, 5.326619187527794 60.298835477473155, 5.3265172394088784 60.29885892050428)</t>
  </si>
  <si>
    <t>[2081170, 2081178]</t>
  </si>
  <si>
    <t>[1804257, 1804261]</t>
  </si>
  <si>
    <t>0.030992852583076196</t>
  </si>
  <si>
    <t>[1447325, 1804257]</t>
  </si>
  <si>
    <t>338.96229837587913</t>
  </si>
  <si>
    <t>[-0.031, -0.052, -0.075, -0.101, -0.04]</t>
  </si>
  <si>
    <t>LINESTRING (5.33541897023378 60.32380178429478, 5.335596966806048 60.3240482089399, 5.335886590978476 60.324452972510336, 5.336011713320754 60.3246394371081, 5.3364629454788695 60.325382313032094, 5.337576017947192 60.32801676706795)</t>
  </si>
  <si>
    <t>[1613885, 2021311, 2021319, 2021327, 2021335]</t>
  </si>
  <si>
    <t>[1447420, 1765763, 1765769, 1765772, 1761470]</t>
  </si>
  <si>
    <t>[1447394, 1447420, 1765763, 1765769, 1765772]</t>
  </si>
  <si>
    <t>[0.031, 0.052, 0.075, 0.101, 0.04]</t>
  </si>
  <si>
    <t>486.9932498070717</t>
  </si>
  <si>
    <t>[0.068, 0.098]</t>
  </si>
  <si>
    <t>11969.0</t>
  </si>
  <si>
    <t>LINESTRING (5.336734400683197 60.32666790984147, 5.335383904962173 60.32384534141674, 5.33541897023378 60.32380178429478)</t>
  </si>
  <si>
    <t>[2001630, 1613839]</t>
  </si>
  <si>
    <t>[1447393, 1447394]</t>
  </si>
  <si>
    <t>0.06847194253804018</t>
  </si>
  <si>
    <t>[1754195, 1447393]</t>
  </si>
  <si>
    <t>333.19146521523544</t>
  </si>
  <si>
    <t>[-0.055, -0.19]</t>
  </si>
  <si>
    <t>LINESTRING (5.335598301189986 60.32366606029607, 5.335817256758405 60.32400738830534, 5.336104634025695 60.32440746385419)</t>
  </si>
  <si>
    <t>[1613902, 1999696]</t>
  </si>
  <si>
    <t>[1447433, 1753126]</t>
  </si>
  <si>
    <t>[1447426, 1447433]</t>
  </si>
  <si>
    <t>[0.055, 0.19]</t>
  </si>
  <si>
    <t>76.9859737501975</t>
  </si>
  <si>
    <t>16.965592012518243</t>
  </si>
  <si>
    <t>13.140419862297126</t>
  </si>
  <si>
    <t>[0.034, 0.025]</t>
  </si>
  <si>
    <t>LINESTRING (11.068715244152811 59.296562757840505, 11.068728032338978 59.296489791890394, 11.068848670917179 59.296428086909344)</t>
  </si>
  <si>
    <t>[1614656, 1614687]</t>
  </si>
  <si>
    <t>[1447949, 1447902]</t>
  </si>
  <si>
    <t>0.02910736351531624</t>
  </si>
  <si>
    <t>[1447909, 1447949]</t>
  </si>
  <si>
    <t>17.886148547240328</t>
  </si>
  <si>
    <t>8.162392908920557</t>
  </si>
  <si>
    <t>[0.0, -0.009, -0.005, 0.029]</t>
  </si>
  <si>
    <t>LINESTRING (11.068789256731092 59.296625472958866, 11.068703030239886 59.29663090432594, 11.06858553542377 59.29664880421493, 11.062347641920669 59.298825196973674, 11.062244225237407 59.298824179140084)</t>
  </si>
  <si>
    <t>[1614809, 1614819, 1614823, 1614925]</t>
  </si>
  <si>
    <t>[1448027, 1448033, 1448038, 1448118]</t>
  </si>
  <si>
    <t>[1447939, 1448027, 1448033, 1448038]</t>
  </si>
  <si>
    <t>[0.0, 0.009, 0.005, 0.029]</t>
  </si>
  <si>
    <t>451.08270651576987</t>
  </si>
  <si>
    <t>[-0.028, -0.04, -0.03, -0.002]</t>
  </si>
  <si>
    <t>LINESTRING (11.069070770950825 59.29643949207877, 11.069164979824013 59.29651224821738, 11.069166370080982 59.29655666669914, 11.069098915680224 59.29662129181978, 11.068789256731092 59.296625472958866)</t>
  </si>
  <si>
    <t>[1614702, 1614706, 1614717, 1614640]</t>
  </si>
  <si>
    <t>[1447924, 1447973, 1447932, 1447939]</t>
  </si>
  <si>
    <t>[1447961, 1447924, 1447973, 1447932]</t>
  </si>
  <si>
    <t>[0.028, 0.04, 0.03, 0.002]</t>
  </si>
  <si>
    <t>41.762970087961335</t>
  </si>
  <si>
    <t>[0.01, 0.005, -0.036]</t>
  </si>
  <si>
    <t>LINESTRING (11.07214055514637 59.293472979106774, 11.07213134243738 59.293543365103396, 11.069067962921238 59.29639943602879, 11.069070770950825 59.29643949207877)</t>
  </si>
  <si>
    <t>[1614786, 1614801, 1614808]</t>
  </si>
  <si>
    <t>[1448016, 1448023, 1447961]</t>
  </si>
  <si>
    <t>0.004621293099687989</t>
  </si>
  <si>
    <t>[1448013, 1448016, 1448023]</t>
  </si>
  <si>
    <t>[0.01, 0.005, 0.036]</t>
  </si>
  <si>
    <t>379.73414237846544</t>
  </si>
  <si>
    <t>[0.023, 0.042, 0.023, -0.005]</t>
  </si>
  <si>
    <t>LINESTRING (11.0664695932502 59.29601385480567, 11.066429588438988 59.295945280061474, 11.066476577586975 59.295877852698716, 11.066592405209379 59.29583771606128, 11.066758220672556 59.295846236480536)</t>
  </si>
  <si>
    <t>[1614759, 1614762, 1614763, 1614769]</t>
  </si>
  <si>
    <t>[1059348, 1448004, 1059365, 1448006]</t>
  </si>
  <si>
    <t>0.01957709893940214</t>
  </si>
  <si>
    <t>[1447984, 1059348, 1448004, 1059365]</t>
  </si>
  <si>
    <t>[0.023, 0.042, 0.023, 0.005]</t>
  </si>
  <si>
    <t>33.42157800846055</t>
  </si>
  <si>
    <t>[0.0, 0.01, 0.028, 0.025]</t>
  </si>
  <si>
    <t>LINESTRING (11.062464802885204 59.298592143063225, 11.06248194264172 59.298545192557626, 11.066420715866373 59.29610856482708, 11.066452605194891 59.29605453501302, 11.0664695932502 59.29601385480567)</t>
  </si>
  <si>
    <t>[1614926, 1614831, 1614832, 1614833]</t>
  </si>
  <si>
    <t>[1448043, 1448044, 1448045, 1447984]</t>
  </si>
  <si>
    <t>0.010346922432844633</t>
  </si>
  <si>
    <t>[1448119, 1448043, 1448044, 1448045]</t>
  </si>
  <si>
    <t>373.28636415732416</t>
  </si>
  <si>
    <t>[0.006, -0.009, -0.012]</t>
  </si>
  <si>
    <t>LINESTRING (11.066758220672556 59.295846236480536, 11.066872242317606 59.295843013445705, 11.071831735106905 59.29344441341372, 11.071951362808166 59.293407767419026)</t>
  </si>
  <si>
    <t>[1614840, 1614853, 1614861]</t>
  </si>
  <si>
    <t>[1448053, 1448061, 1448019]</t>
  </si>
  <si>
    <t>[1448006, 1448053, 1448061]</t>
  </si>
  <si>
    <t>[0.006, 0.009, 0.012]</t>
  </si>
  <si>
    <t>413.967426784203</t>
  </si>
  <si>
    <t>[-0.002, 0.014]</t>
  </si>
  <si>
    <t>LINESTRING (11.07214055514637 59.293472979106774, 11.062603381327268 59.298684857311606, 11.062244225237407 59.298824179140084)</t>
  </si>
  <si>
    <t>[1614936, 1614951]</t>
  </si>
  <si>
    <t>[1448122, 1448118]</t>
  </si>
  <si>
    <t>[1448013, 1448122]</t>
  </si>
  <si>
    <t>824.6961389730816</t>
  </si>
  <si>
    <t>794.781153529241</t>
  </si>
  <si>
    <t>[0.02, 0.026, 0.023, 0.018, 0.005, 0.011, 0.0, 0.04, 0.057]</t>
  </si>
  <si>
    <t>LINESTRING (11.062244225237407 59.298824179140084, 11.060826746363563 59.299354759956245, 11.06067576579794 59.29940942562162, 11.057314950794192 59.30055565558917, 11.057151231543003 59.300610929211935, 11.043204154352576 59.30589674894294, 11.042100505316654 59.306425641071314, 11.034085510969279 59.3105265311778, 11.031718615667959 59.31296682554252, 11.03141684652031 59.31331492413589)</t>
  </si>
  <si>
    <t>[1614959, 1614967, 1614975, 1614988, 1615057, 1615058, 1615059, 1615082, 1615083]</t>
  </si>
  <si>
    <t>[1448144, 1448148, 1448154, 1448164, 1448213, 1448214, 1448215, 1448227, 1448228]</t>
  </si>
  <si>
    <t>0.011675162267170887</t>
  </si>
  <si>
    <t>[1448118, 1448144, 1448148, 1448154, 1448164, 1448213, 1448214, 1448215, 1448227]</t>
  </si>
  <si>
    <t>2422.2741015855227</t>
  </si>
  <si>
    <t>[0.015, 0.02, 0.025, 0.023, 0.018, 0.006, 0.014, 0.0, 0.046]</t>
  </si>
  <si>
    <t>39217.0</t>
  </si>
  <si>
    <t>LINESTRING (11.062464802885204 59.298592143063225, 11.06211055848448 59.29872958136172, 11.060731769250847 59.29924605763386, 11.060572534883004 59.299303997462616, 11.057163978781194 59.300466794425006, 11.056997917829046 59.300522859955564, 11.043182412490042 59.30574825690324, 11.04207500242538 59.306276117311484, 11.033896643800732 59.31045319202963, 11.031468605905383 59.31284426498823)</t>
  </si>
  <si>
    <t>[1615012, 1615013, 1615016, 1615024, 1615035, 1615036, 1615041, 1615048, 1615163]</t>
  </si>
  <si>
    <t>[1448183, 1448184, 1448187, 1448192, 1448201, 1448202, 1448203, 1448208, 1448278]</t>
  </si>
  <si>
    <t>0.012110757431069772</t>
  </si>
  <si>
    <t>[1448119, 1448183, 1448184, 1448187, 1448192, 1448201, 1448202, 1448203, 1448208]</t>
  </si>
  <si>
    <t>2405.71332639888</t>
  </si>
  <si>
    <t>[0.053, 0.005, 0.05, -0.005, -0.063, -0.019, 0.027, 0.033]</t>
  </si>
  <si>
    <t>LINESTRING (11.03141684652031 59.31331492413589, 11.031407742446536 59.31332482375823, 11.025786375918537 59.316109220762854, 11.025770019750716 59.316112380362824, 11.024279313276331 59.31637158602523, 11.02424513155456 59.31637723061646, 11.020719811841685 59.31655872237946, 11.018171779033977 59.316498872071996, 11.016705310504792 59.316460254173236)</t>
  </si>
  <si>
    <t>[1615091, 1615102, 1615108, 1615116, 1615123, 1615131, 1615139, 1615147]</t>
  </si>
  <si>
    <t>[1448233, 1448240, 1448245, 1448252, 1448257, 1448263, 1448267, 1448271]</t>
  </si>
  <si>
    <t>0.004740356634696161</t>
  </si>
  <si>
    <t>[1448228, 1448233, 1448240, 1448245, 1448252, 1448257, 1448263, 1448267]</t>
  </si>
  <si>
    <t>[0.053, 0.005, 0.05, 0.005, 0.063, 0.019, 0.027, 0.033]</t>
  </si>
  <si>
    <t>981.320317421623</t>
  </si>
  <si>
    <t>[-1.019, 0.015, -0.061]</t>
  </si>
  <si>
    <t>LINESTRING (11.03141684652031 59.31331492413589, 11.031426133281274 59.31338001130903, 11.02956117113579 59.31540133719637, 11.029582318158841 59.3154354633357)</t>
  </si>
  <si>
    <t>[1770062, 1770046, 1770054]</t>
  </si>
  <si>
    <t>[1562244, 1562245, 1562114]</t>
  </si>
  <si>
    <t>[1448228, 1562244, 1562245]</t>
  </si>
  <si>
    <t>[1.019, 0.015, 0.061]</t>
  </si>
  <si>
    <t>265.57017616299527</t>
  </si>
  <si>
    <t>[0.009, 0.043, -1.542]</t>
  </si>
  <si>
    <t>LINESTRING (11.02247750272351 59.31693621519482, 11.02244067204807 59.31690586091277, 11.01681937974613 59.31649737105037, 11.016705310504792 59.316460254173236)</t>
  </si>
  <si>
    <t>[1770134, 1770142, 1770150]</t>
  </si>
  <si>
    <t>[1562307, 1562312, 1448271]</t>
  </si>
  <si>
    <t>0.006819556172881249</t>
  </si>
  <si>
    <t>[1562218, 1562307, 1562312]</t>
  </si>
  <si>
    <t>[0.009, 0.043, 1.542]</t>
  </si>
  <si>
    <t>341.15114041804566</t>
  </si>
  <si>
    <t>[0.056, 0.049, 0.003, 0.027, -0.014, -0.069, -0.023, 0.024]</t>
  </si>
  <si>
    <t>LINESTRING (11.031468605905383 59.31284426498823, 11.031415256122278 59.312905706494206, 11.031095193375096 59.31325623127921, 11.025633669898538 59.31594727532266, 11.025617704079412 59.31595010518299, 11.024178513761386 59.3162010653616, 11.02414571484174 59.31620661731681, 11.020752922818625 59.316376182713114, 11.01824703856639 59.31630060333091)</t>
  </si>
  <si>
    <t>[1615174, 1615182, 1615190, 1615191, 1615205, 1615214, 1615215, 1615223]</t>
  </si>
  <si>
    <t>[1448280, 1448284, 1448287, 1448288, 1448293, 1448295, 1448296, 1448301]</t>
  </si>
  <si>
    <t>0.0016141270971984853</t>
  </si>
  <si>
    <t>[1448278, 1448280, 1448284, 1448287, 1448288, 1448293, 1448295, 1448296]</t>
  </si>
  <si>
    <t>[0.056, 0.049, 0.003, 0.027, 0.014, 0.069, 0.023, 0.024]</t>
  </si>
  <si>
    <t>919.657718271168</t>
  </si>
  <si>
    <t>[0.031, 0.041, -0.026, 0.561]</t>
  </si>
  <si>
    <t>LINESTRING (11.02382872578364 59.315634138052026, 11.023897100453944 59.31562605009982, 11.024039338457733 59.31560309207798, 11.03132039026005 59.31291934654533, 11.031468605905383 59.31284426498823)</t>
  </si>
  <si>
    <t>[1770102, 1770110, 1770118, 1770126]</t>
  </si>
  <si>
    <t>[1562279, 1562286, 1562293, 1448278]</t>
  </si>
  <si>
    <t>[1562177, 1562279, 1562286, 1562293]</t>
  </si>
  <si>
    <t>[0.031, 0.041, 0.026, 0.561]</t>
  </si>
  <si>
    <t>581.3137265462062</t>
  </si>
  <si>
    <t>[0.501, 0.001, 0.041]</t>
  </si>
  <si>
    <t>LINESTRING (11.01824703856639 59.31630060333091, 11.018382499132649 59.316269649103404, 11.023350119117403 59.31583527703204, 11.023379955082175 59.31580212350912)</t>
  </si>
  <si>
    <t>[1770222, 1770206, 1770214]</t>
  </si>
  <si>
    <t>[1562353, 1562354, 1562156]</t>
  </si>
  <si>
    <t>0.0152686441983867</t>
  </si>
  <si>
    <t>[1448301, 1562353, 1562354]</t>
  </si>
  <si>
    <t>307.56275050901155</t>
  </si>
  <si>
    <t>[-0.001, 0.006, -0.169, -0.004]</t>
  </si>
  <si>
    <t>LINESTRING (10.951557792071592 59.32479163287602, 10.951752728742623 59.32477381722763, 10.955920109396695 59.32466555423545, 10.955913951493514 59.32459591680729, 10.955923790404595 59.32452963562679)</t>
  </si>
  <si>
    <t>[1615873, 1615881, 1675044, 1675052]</t>
  </si>
  <si>
    <t>[1448640, 1448646, 1502302, 1502308]</t>
  </si>
  <si>
    <t>0.0008540461150689216</t>
  </si>
  <si>
    <t>[1448639, 1448640, 1448646, 1502302]</t>
  </si>
  <si>
    <t>[0.001, 0.006, 0.169, 0.004]</t>
  </si>
  <si>
    <t>293.88589143228734</t>
  </si>
  <si>
    <t>[0.007, 0.038, -0.01, -0.015]</t>
  </si>
  <si>
    <t>LINESTRING (10.956821371505564 59.326419549957826, 10.956831321895377 59.32637361870197, 10.956870461631656 59.326045343766296, 10.950738946073056 59.324828688084054, 10.950697650362777 59.32480319041186)</t>
  </si>
  <si>
    <t>[1675028, 1675036, 1615865, 1615921]</t>
  </si>
  <si>
    <t>[1502294, 1448631, 1448632, 1448654]</t>
  </si>
  <si>
    <t>[1502293, 1502294, 1448631, 1448632]</t>
  </si>
  <si>
    <t>[0.007, 0.038, 0.01, 0.015]</t>
  </si>
  <si>
    <t>427.5146536572554</t>
  </si>
  <si>
    <t>[-0.008, -0.026, -0.005, 0.014]</t>
  </si>
  <si>
    <t>LINESTRING (11.17110923378286 59.20879636052205, 11.166772791614319 59.21086662025069, 11.165697432385551 59.21157647456408, 11.165243219815592 59.21192113344169, 11.163002103619212 59.2145629497454)</t>
  </si>
  <si>
    <t>[1616257, 1616265, 1616273, 1616281]</t>
  </si>
  <si>
    <t>[1448887, 1448892, 1448897, 1448901]</t>
  </si>
  <si>
    <t>[1448879, 1448887, 1448892, 1448897]</t>
  </si>
  <si>
    <t>[0.008, 0.026, 0.005, 0.014]</t>
  </si>
  <si>
    <t>807.5208403791448</t>
  </si>
  <si>
    <t>[-0.017, 0.029, -0.026, -0.025]</t>
  </si>
  <si>
    <t>LINESTRING (11.164736050920125 59.21136819903143, 11.164787799078487 59.211349832431196, 11.169337083308454 59.20953584285616, 11.170864784639365 59.20887441358581, 11.17110923378286 59.20879636052205)</t>
  </si>
  <si>
    <t>[1630027, 1630035, 1630043, 1630019]</t>
  </si>
  <si>
    <t>[1457641, 1457649, 1457634, 1448879]</t>
  </si>
  <si>
    <t>0.013187549812318953</t>
  </si>
  <si>
    <t>[1457640, 1457641, 1457649, 1457634]</t>
  </si>
  <si>
    <t>[0.017, 0.029, 0.026, 0.025]</t>
  </si>
  <si>
    <t>463.99993363643705</t>
  </si>
  <si>
    <t>[0.023, -0.016, -0.022]</t>
  </si>
  <si>
    <t>LINESTRING (11.163002103619212 59.2145629497454, 11.163053686558204 59.21438133926936, 11.164393947883115 59.21156598858577, 11.164419694508634 59.211532811908306)</t>
  </si>
  <si>
    <t>[1630204, 1630205, 1630226]</t>
  </si>
  <si>
    <t>[1457796, 1457797, 1457698]</t>
  </si>
  <si>
    <t>[1448901, 1457796, 1457797]</t>
  </si>
  <si>
    <t>[0.023, 0.016, 0.022]</t>
  </si>
  <si>
    <t>349.5624695920274</t>
  </si>
  <si>
    <t>[-0.026, -0.006, 0.016, 0.009]</t>
  </si>
  <si>
    <t>LINESTRING (11.166936441641871 59.21094541054559, 11.165855121021474 59.21166167982827, 11.165417833063513 59.21199614091647, 11.163257789160786 59.21455723388343, 11.162647151987665 59.21590887657868)</t>
  </si>
  <si>
    <t>[1616329, 1616337, 1616345, 1616353]</t>
  </si>
  <si>
    <t>[1448935, 1448939, 1448942, 1448943]</t>
  </si>
  <si>
    <t>0.0056991003802209245</t>
  </si>
  <si>
    <t>[1448929, 1448935, 1448939, 1448942]</t>
  </si>
  <si>
    <t>[0.026, 0.006, 0.016, 0.009]</t>
  </si>
  <si>
    <t>612.5276336463739</t>
  </si>
  <si>
    <t>[-0.034, -0.024, -0.006, -0.006, -0.148]</t>
  </si>
  <si>
    <t>LINESTRING (11.166936441641871 59.21094541054559, 11.166802670072084 59.211088834385855, 11.165925220034177 59.21169629285943, 11.165493897381829 59.21203227879293, 11.1665989650203 59.212874444583754, 11.166681896791566 59.212847405341776)</t>
  </si>
  <si>
    <t>[1629988, 1629994, 1629997, 1630005, 1630011]</t>
  </si>
  <si>
    <t>[1457606, 1457612, 1457615, 1457621, 1457626]</t>
  </si>
  <si>
    <t>[1448929, 1457606, 1457612, 1457615, 1457621]</t>
  </si>
  <si>
    <t>[0.034, 0.024, 0.006, 0.006, 0.148]</t>
  </si>
  <si>
    <t>330.63604552011725</t>
  </si>
  <si>
    <t>[0.024, 0.018, -0.013]</t>
  </si>
  <si>
    <t>LINESTRING (11.166792768432321 59.21295927609295, 11.166649634571174 59.212961434414225, 11.162785630529537 59.21576197249713, 11.162647151987665 59.21590887657868)</t>
  </si>
  <si>
    <t>[1629889, 1629906, 1630235]</t>
  </si>
  <si>
    <t>[1457508, 1457528, 1448943]</t>
  </si>
  <si>
    <t>0.016870291182481536</t>
  </si>
  <si>
    <t>[1457507, 1457508, 1457528]</t>
  </si>
  <si>
    <t>[0.024, 0.018, 0.013]</t>
  </si>
  <si>
    <t>455.4067468528284</t>
  </si>
  <si>
    <t>[0.014, 0.002, -0.033]</t>
  </si>
  <si>
    <t>LINESTRING (8.473381112614895 58.299289703653386, 8.47339641887467 58.29926827443899, 8.473726077845825 58.298807791655264, 8.473741917489399 58.29878569613385)</t>
  </si>
  <si>
    <t>[1617032, 1617040, 1617048]</t>
  </si>
  <si>
    <t>[1449298, 1449303, 1449306]</t>
  </si>
  <si>
    <t>0.000975413617476108</t>
  </si>
  <si>
    <t>[1449292, 1449298, 1449303]</t>
  </si>
  <si>
    <t>[0.014, 0.002, 0.033]</t>
  </si>
  <si>
    <t>60.075827223331416</t>
  </si>
  <si>
    <t>[-0.006, -0.04, -0.022, -0.024]</t>
  </si>
  <si>
    <t>LINESTRING (11.180320380483508 60.25378242343143, 11.180304822360458 60.25373934007682, 11.181675845310291 60.252290071639386, 11.182462409428272 60.25026844858987, 11.182652155984448 60.24982904373186)</t>
  </si>
  <si>
    <t>[1619960, 1619968, 1619976, 1620592]</t>
  </si>
  <si>
    <t>[1451104, 1451108, 1451110, 1451397]</t>
  </si>
  <si>
    <t>[1451103, 1451104, 1451108, 1451110]</t>
  </si>
  <si>
    <t>[0.006, 0.04, 0.022, 0.024]</t>
  </si>
  <si>
    <t>467.33030208745123</t>
  </si>
  <si>
    <t>[-0.374, -0.012, 0.145]</t>
  </si>
  <si>
    <t>LINESTRING (11.180320380483508 60.25378242343143, 11.180572395733266 60.25372298459373, 11.181412860305958 60.25385991596769, 11.18156415351849 60.25401277246983)</t>
  </si>
  <si>
    <t>[1746813, 1746814, 1746830]</t>
  </si>
  <si>
    <t>[1548883, 1548884, 1451131]</t>
  </si>
  <si>
    <t>[1451103, 1548883, 1548884]</t>
  </si>
  <si>
    <t>[0.374, 0.012, 0.145]</t>
  </si>
  <si>
    <t>86.30892416743666</t>
  </si>
  <si>
    <t>[-0.399, -0.018, -0.023, 0.26]</t>
  </si>
  <si>
    <t>LINESTRING (11.179999778032773 60.25418794245313, 11.179992314318008 60.25404570014337, 11.180031495460044 60.253971860166736, 11.180106055932809 60.253895533742096, 11.180320380483508 60.25378242343143)</t>
  </si>
  <si>
    <t>[1746864, 1746807, 1746808, 1746809]</t>
  </si>
  <si>
    <t>[1451160, 1548877, 1451137, 1451103]</t>
  </si>
  <si>
    <t>[1451175, 1451160, 1548877, 1451137]</t>
  </si>
  <si>
    <t>[0.399, 0.018, 0.023, 0.26]</t>
  </si>
  <si>
    <t>51.13321512179763</t>
  </si>
  <si>
    <t>[-0.033, 0.057, 0.063, 0.095]</t>
  </si>
  <si>
    <t>LINESTRING (11.18156415351849 60.25401277246983, 11.181563286722344 60.254201697537475, 11.18152212521434 60.254263075968254, 11.18146178417568 60.2543198569452, 11.181248251459506 60.254430834520164)</t>
  </si>
  <si>
    <t>[1746840, 1746849, 1746850, 1746851]</t>
  </si>
  <si>
    <t>[1451465, 1548905, 1451440, 1451179]</t>
  </si>
  <si>
    <t>0.033928094825679156</t>
  </si>
  <si>
    <t>[1451131, 1451465, 1548905, 1451440]</t>
  </si>
  <si>
    <t>[0.033, 0.057, 0.063, 0.095]</t>
  </si>
  <si>
    <t>52.68220254698966</t>
  </si>
  <si>
    <t>[-0.06, -0.02, 0.495]</t>
  </si>
  <si>
    <t>LINESTRING (11.181248251459506 60.254430834520164, 11.181084344854243 60.254476092857296, 11.180072152160486 60.25429007592523, 11.179999778032773 60.25418794245313)</t>
  </si>
  <si>
    <t>[1746852, 1746862, 1746863]</t>
  </si>
  <si>
    <t>[1548906, 1548914, 1451175]</t>
  </si>
  <si>
    <t>0.046180723288171514</t>
  </si>
  <si>
    <t>[1451179, 1548906, 1548914]</t>
  </si>
  <si>
    <t>[0.06, 0.02, 0.495]</t>
  </si>
  <si>
    <t>87.61947572424369</t>
  </si>
  <si>
    <t>[-0.001, 0.0, -0.008, -0.071]</t>
  </si>
  <si>
    <t>LINESTRING (11.177947169291532 60.257263343005405, 11.177975456362947 60.25713894053659, 11.179011585574672 60.25599184537659, 11.179921763038138 60.25421510696968, 11.179999778032773 60.25418794245313)</t>
  </si>
  <si>
    <t>[2050717, 1620081, 1620089, 1620097]</t>
  </si>
  <si>
    <t>[1451167, 1451168, 1451171, 1451175]</t>
  </si>
  <si>
    <t>[1549128, 1451167, 1451168, 1451171]</t>
  </si>
  <si>
    <t>[0.001, 0.0, 0.008, 0.071]</t>
  </si>
  <si>
    <t>368.91422796309536</t>
  </si>
  <si>
    <t>[0.007, 0.028, -0.008, -0.111, 0.302]</t>
  </si>
  <si>
    <t>986.0</t>
  </si>
  <si>
    <t>LINESTRING (11.181248251459506 60.254430834520164, 11.18125914961909 60.25446472254463, 11.179438401255496 60.25597743788733, 11.178223953969898 60.2572952588604, 11.178056762711934 60.257428314310985, 11.177900325644556 60.257525327739295)</t>
  </si>
  <si>
    <t>[1620105, 1620113, 1620121, 2050701, 2050709]</t>
  </si>
  <si>
    <t>[1451180, 1451183, 1451186, 1785107, 1549146]</t>
  </si>
  <si>
    <t>0.016687546762731435</t>
  </si>
  <si>
    <t>[1451179, 1451180, 1451183, 1451186, 1785107]</t>
  </si>
  <si>
    <t>[0.007, 0.028, 0.008, 0.111, 0.302]</t>
  </si>
  <si>
    <t>400.34008769331007</t>
  </si>
  <si>
    <t>[0.021, 0.023, 0.027, -0.017, 0.016]</t>
  </si>
  <si>
    <t>LINESTRING (11.182652155984448 60.24982904373186, 11.182419712478648 60.250772700816555, 11.181756956717237 60.25238087790672, 11.179125870454557 60.255980360689556, 11.178580585315121 60.25658614188966, 11.177947169291532 60.257263343005405)</t>
  </si>
  <si>
    <t>[1620560, 1620568, 1620576, 1620584, 1747254]</t>
  </si>
  <si>
    <t>[1451401, 1451404, 1451406, 1451409, 1549128]</t>
  </si>
  <si>
    <t>0.020659628905216606</t>
  </si>
  <si>
    <t>[1451397, 1451401, 1451404, 1451406, 1451409]</t>
  </si>
  <si>
    <t>[0.021, 0.023, 0.027, 0.017, 0.016]</t>
  </si>
  <si>
    <t>873.2519468879565</t>
  </si>
  <si>
    <t>[-0.038, -0.003, -0.014, -0.018]</t>
  </si>
  <si>
    <t>LINESTRING (11.174568190219988 60.22691965440907, 11.17447553616293 60.22718182598697, 11.174731338790954 60.23089573722158, 11.174695226387035 60.2309590748739, 11.174672042546975 60.23099975559434)</t>
  </si>
  <si>
    <t>[1746409, 1746389, 1746390, 1746397]</t>
  </si>
  <si>
    <t>[1548643, 1548644, 1548645, 1548618]</t>
  </si>
  <si>
    <t>[1451473, 1548643, 1548644, 1548645]</t>
  </si>
  <si>
    <t>[0.038, 0.003, 0.014, 0.018]</t>
  </si>
  <si>
    <t>470.6644450372832</t>
  </si>
  <si>
    <t>[0.011, 0.041, -0.082]</t>
  </si>
  <si>
    <t>LINESTRING (11.252562696662284 59.10340835878143, 11.252775601509267 59.10353618821623, 11.258406889695694 59.11011425161613, 11.259416062124336 59.11031313394189)</t>
  </si>
  <si>
    <t>[1622045, 1622053, 1622061]</t>
  </si>
  <si>
    <t>[1452373, 1452377, 1452380]</t>
  </si>
  <si>
    <t>0.03190681167413587</t>
  </si>
  <si>
    <t>[1452372, 1452373, 1452377]</t>
  </si>
  <si>
    <t>[0.011, 0.041, 0.082]</t>
  </si>
  <si>
    <t>900.3023904994013</t>
  </si>
  <si>
    <t>[-0.032, 0.067, 0.011]</t>
  </si>
  <si>
    <t>LINESTRING (11.252562696662284 59.10340835878143, 11.252634781601518 59.1034854790245, 11.254943536479919 59.10645537537549, 11.256036783808945 59.108780907855525)</t>
  </si>
  <si>
    <t>[1697159, 1697167, 1697175]</t>
  </si>
  <si>
    <t>[1517756, 1517760, 1452388]</t>
  </si>
  <si>
    <t>0.041968956053619264</t>
  </si>
  <si>
    <t>[1452372, 1517756, 1517760]</t>
  </si>
  <si>
    <t>[0.032, 0.067, 0.011]</t>
  </si>
  <si>
    <t>634.8179286335906</t>
  </si>
  <si>
    <t>[0.0, -0.004, 0.002, 0.032]</t>
  </si>
  <si>
    <t>[1, 0, 1, 1]</t>
  </si>
  <si>
    <t>LINESTRING (11.251374893219486 59.09653334356553, 11.251374893219486 59.09653334356553, 11.252163458271271 59.103031280421376, 11.252236937377788 59.10310442288057, 11.252562696662284 59.10340835878143)</t>
  </si>
  <si>
    <t>[1697127, 1697135, 1697143, 1697151]</t>
  </si>
  <si>
    <t>[1517736, 1517742, 1517747, 1452372]</t>
  </si>
  <si>
    <t>[1517735, 1517736, 1517742, 1517747]</t>
  </si>
  <si>
    <t>[0.0, 0.004, 0.002, 0.032]</t>
  </si>
  <si>
    <t>1023.8027181712811</t>
  </si>
  <si>
    <t>[0.024, 0.037, -0.081]</t>
  </si>
  <si>
    <t>LINESTRING (11.256036783808945 59.108780907855525, 11.256159020054637 59.10886695351848, 11.25830977944235 59.110170438243564, 11.259395928854184 59.110388254081926)</t>
  </si>
  <si>
    <t>[1622069, 1622077, 1622085]</t>
  </si>
  <si>
    <t>[1452389, 1452393, 1452399]</t>
  </si>
  <si>
    <t>0.007685174740197455</t>
  </si>
  <si>
    <t>[1452388, 1452389, 1452393]</t>
  </si>
  <si>
    <t>[0.024, 0.037, 0.081]</t>
  </si>
  <si>
    <t>274.5566789896728</t>
  </si>
  <si>
    <t>[0.013, 0.029, -0.003]</t>
  </si>
  <si>
    <t>LINESTRING (11.256036783808945 59.108780907855525, 11.25661568500685 59.109502399863906, 11.256705713302829 59.1095983562888, 11.257637497633997 59.11045515823451)</t>
  </si>
  <si>
    <t>[1697183, 1697191, 1697199]</t>
  </si>
  <si>
    <t>[1517771, 1517777, 1517784]</t>
  </si>
  <si>
    <t>0.005506054945756438</t>
  </si>
  <si>
    <t>[1452388, 1517771, 1517777]</t>
  </si>
  <si>
    <t>[0.013, 0.029, 0.003]</t>
  </si>
  <si>
    <t>208.29938378751663</t>
  </si>
  <si>
    <t>[-0.065, -0.067, -0.063]</t>
  </si>
  <si>
    <t>2001.0</t>
  </si>
  <si>
    <t>LINESTRING (23.349019734126305 69.97487602385073, 23.348860984959533 69.97540821227233, 23.34985444756511 69.97596385078569, 23.349794865606547 69.97643416176595)</t>
  </si>
  <si>
    <t>[1623903, 1623911, 1623919]</t>
  </si>
  <si>
    <t>[1453445, 1453448, 1453455]</t>
  </si>
  <si>
    <t>[1453439, 1453445, 1453448]</t>
  </si>
  <si>
    <t>[0.065, 0.067, 0.063]</t>
  </si>
  <si>
    <t>188.0996463588521</t>
  </si>
  <si>
    <t>[0.014, 0.016, 0.044, 0.075, 0.048, -0.067, -0.039, -0.003, -0.01, 0.175, -0.014]</t>
  </si>
  <si>
    <t>[0, 0, 1, 0, 0, 1, 1, 1, 0, 0, 0]</t>
  </si>
  <si>
    <t>LINESTRING (11.264688751473933 59.13352222933803, 11.26471283830172 59.13343558992893, 11.264839794769635 59.13330318107504, 11.266395694880787 59.13177136629154, 11.26651219897159 59.13166124573168, 11.268533502075533 59.12893939914501, 11.26871966095352 59.12893642230534, 11.269560153270124 59.1289227300547, 11.269838509903398 59.12891527508859, 11.27096045406617 59.128565173974124, 11.271151653541908 59.12842506015595, 11.271230022204344 59.128336321963275)</t>
  </si>
  <si>
    <t>[1626228, 1626348, 1626356, 1626364, 1678183, 1678191, 1678199, 1678207, 1678215, 1823442, 1823444]</t>
  </si>
  <si>
    <t>[1454837, 1454905, 1454911, 1454916, 1504746, 1504755, 1504759, 1504768, 1504775, 1602639, 1602641]</t>
  </si>
  <si>
    <t>0.03510129611512087</t>
  </si>
  <si>
    <t>[1454836, 1454837, 1454905, 1454911, 1454916, 1504746, 1504755, 1504759, 1504768, 1504775, 1602639]</t>
  </si>
  <si>
    <t>[0.014, 0.016, 0.044, 0.075, 0.048, 0.067, 0.039, 0.003, 0.01, 0.175, 0.014]</t>
  </si>
  <si>
    <t>794.7611007850609</t>
  </si>
  <si>
    <t>[0.023, -0.057, -0.065, -0.058, -0.038, -0.014]</t>
  </si>
  <si>
    <t>LINESTRING (11.270020967777764 59.12739679500845, 11.269052858577716 59.12900625648344, 11.266472163448745 59.13178386970849, 11.26612200879105 59.132122977307645, 11.26608031881107 59.132163353484714, 11.264890129713017 59.13331653284529, 11.264688751473933 59.13352222933803)</t>
  </si>
  <si>
    <t>[1671142, 1626116, 1626188, 1626196, 1626204, 1626260]</t>
  </si>
  <si>
    <t>[1454775, 1454776, 1454814, 1454819, 1454821, 1454836]</t>
  </si>
  <si>
    <t>[1498856, 1454775, 1454776, 1454814, 1454819, 1454821]</t>
  </si>
  <si>
    <t>[0.023, 0.057, 0.065, 0.058, 0.038, 0.014]</t>
  </si>
  <si>
    <t>749.9031459001513</t>
  </si>
  <si>
    <t>[0.0, -0.004, 0.199]</t>
  </si>
  <si>
    <t>LINESTRING (5.881031279550679 61.447931311189265, 5.881031279550679 61.447931311189265, 5.881460070131916 61.447848877822885, 5.882488876852142 61.447724580479935)</t>
  </si>
  <si>
    <t>[1891469, 1891470, 1891471]</t>
  </si>
  <si>
    <t>[1662628, 1662629, 1455225]</t>
  </si>
  <si>
    <t>0.12396522201411755</t>
  </si>
  <si>
    <t>[1662627, 1662628, 1662629]</t>
  </si>
  <si>
    <t>[0.0, 0.004, 0.199]</t>
  </si>
  <si>
    <t>90.29056831431049</t>
  </si>
  <si>
    <t>8231.0</t>
  </si>
  <si>
    <t>LINESTRING (5.884103003838848 61.4473536534904, 6.095512698824922 61.48907653528614)</t>
  </si>
  <si>
    <t>7.262533993116716</t>
  </si>
  <si>
    <t>[0.009, 0.033]</t>
  </si>
  <si>
    <t>LINESTRING (8.54444709699797 58.32560030538212, 8.54447538550077 58.325663709154, 8.544441836613997 58.3257263222733)</t>
  </si>
  <si>
    <t>[1629758, 1629766]</t>
  </si>
  <si>
    <t>[1457411, 1457419]</t>
  </si>
  <si>
    <t>0.02099319210061542</t>
  </si>
  <si>
    <t>[1457404, 1457411]</t>
  </si>
  <si>
    <t>14.519432913696786</t>
  </si>
  <si>
    <t>LINESTRING (8.54444709699797 58.32560030538212, 8.544535427368505 58.32560986017951, 8.5450819152427 58.32558571437913)</t>
  </si>
  <si>
    <t>[1629814, 1629822]</t>
  </si>
  <si>
    <t>[1457450, 1457436]</t>
  </si>
  <si>
    <t>[1457404, 1457450]</t>
  </si>
  <si>
    <t>37.8012152010792</t>
  </si>
  <si>
    <t>LINESTRING (8.544441836613997 58.3257263222733, 8.544540343876323 58.32570712764729, 8.5450819152427 58.32558571437913)</t>
  </si>
  <si>
    <t>[1629782, 1629790]</t>
  </si>
  <si>
    <t>[1457429, 1457436]</t>
  </si>
  <si>
    <t>[1457419, 1457429]</t>
  </si>
  <si>
    <t>40.822067201413965</t>
  </si>
  <si>
    <t>LINESTRING (8.5450819152427 58.32558571437913, 8.545911860473314 58.325411484383345, 8.546189212653953 58.325355102570235)</t>
  </si>
  <si>
    <t>[1629798, 1629806]</t>
  </si>
  <si>
    <t>[1457441, 1457447]</t>
  </si>
  <si>
    <t>[1457436, 1457441]</t>
  </si>
  <si>
    <t>69.8769014892612</t>
  </si>
  <si>
    <t>14.313858365260044</t>
  </si>
  <si>
    <t>[-0.055, 0.015, 0.027, 0.121]</t>
  </si>
  <si>
    <t>LINESTRING (11.166947952477027 59.2127623017499, 11.167082470855355 59.21291811171008, 11.167002057359419 59.21296598328577, 11.166866430872416 59.21297982557498, 11.166792768432321 59.21295927609295)</t>
  </si>
  <si>
    <t>[1630123, 1630137, 1630138, 1630147]</t>
  </si>
  <si>
    <t>[1457597, 1457740, 1457592, 1457507]</t>
  </si>
  <si>
    <t>[1457545, 1457597, 1457740, 1457592]</t>
  </si>
  <si>
    <t>[0.055, 0.015, 0.027, 0.121]</t>
  </si>
  <si>
    <t>40.900064125096264</t>
  </si>
  <si>
    <t>LINESTRING (11.166651160286218 59.212583479562554, 11.166864550708187 59.21271965527886, 11.166947952477027 59.2127623017499)</t>
  </si>
  <si>
    <t>[1629921, 1629922]</t>
  </si>
  <si>
    <t>[1457544, 1457545]</t>
  </si>
  <si>
    <t>[1457543, 1457544]</t>
  </si>
  <si>
    <t>26.19287631958171</t>
  </si>
  <si>
    <t>LINESTRING (11.166651160286218 59.212583479562554, 11.166708995064758 59.21275188696036, 11.166714260892286 59.21280430987214)</t>
  </si>
  <si>
    <t>[1629953, 1629964]</t>
  </si>
  <si>
    <t>[1457571, 1457581]</t>
  </si>
  <si>
    <t>[1457543, 1457571]</t>
  </si>
  <si>
    <t>24.901267478498422</t>
  </si>
  <si>
    <t>[0.01, -0.01]</t>
  </si>
  <si>
    <t>LINESTRING (11.165146600370491 59.211629343721064, 11.165889539275534 59.211956307412116, 11.166651160286218 59.212583479562554)</t>
  </si>
  <si>
    <t>[1629929, 1629944]</t>
  </si>
  <si>
    <t>[1457553, 1457543]</t>
  </si>
  <si>
    <t>[1457552, 1457553]</t>
  </si>
  <si>
    <t>138.54644616606316</t>
  </si>
  <si>
    <t>[-0.144, 0.112]</t>
  </si>
  <si>
    <t>LINESTRING (11.166714260892286 59.21280430987214, 11.166814239561091 59.212765664239605, 11.166947952477027 59.2127623017499)</t>
  </si>
  <si>
    <t>[1630183, 1630194]</t>
  </si>
  <si>
    <t>[1457776, 1457545]</t>
  </si>
  <si>
    <t>[1457581, 1457776]</t>
  </si>
  <si>
    <t>[0.144, 0.112]</t>
  </si>
  <si>
    <t>14.801384835574446</t>
  </si>
  <si>
    <t>LINESTRING (11.164793303571713 59.211429762784654, 11.164888285627912 59.21148632748209, 11.165146600370491 59.211629343721064)</t>
  </si>
  <si>
    <t>[1630273, 1630281]</t>
  </si>
  <si>
    <t>[1457844, 1457552]</t>
  </si>
  <si>
    <t>0.0054920401398815466</t>
  </si>
  <si>
    <t>[1457671, 1457844]</t>
  </si>
  <si>
    <t>30.036034655342224</t>
  </si>
  <si>
    <t>[0.001, -0.006]</t>
  </si>
  <si>
    <t>LINESTRING (11.164690677498387 59.21154584897345, 11.164792592458117 59.21157034456206, 11.165146600370491 59.211629343721064)</t>
  </si>
  <si>
    <t>[1630291, 1630299]</t>
  </si>
  <si>
    <t>[1457858, 1457552]</t>
  </si>
  <si>
    <t>[1457688, 1457858]</t>
  </si>
  <si>
    <t>[0.001, 0.006]</t>
  </si>
  <si>
    <t>27.69762068361851</t>
  </si>
  <si>
    <t>5.1453765648925796</t>
  </si>
  <si>
    <t>7.599421029880641</t>
  </si>
  <si>
    <t>[-0.015, -0.017, -0.015, -0.004]</t>
  </si>
  <si>
    <t>LINESTRING (11.164419694508634 59.211532811908306, 11.164377839748187 59.21145435213321, 11.164394470837054 59.21139369367056, 11.164511420133506 59.211345203604814, 11.164736050920125 59.21136819903143)</t>
  </si>
  <si>
    <t>[1630091, 1630092, 1630111, 1630051]</t>
  </si>
  <si>
    <t>[1457706, 1457707, 1457662, 1457640]</t>
  </si>
  <si>
    <t>[1457698, 1457706, 1457707, 1457662]</t>
  </si>
  <si>
    <t>[0.015, 0.017, 0.015, 0.004]</t>
  </si>
  <si>
    <t>38.048467622914195</t>
  </si>
  <si>
    <t>[0.018, 0.021]</t>
  </si>
  <si>
    <t>LINESTRING (11.164793303571713 59.211429762784654, 11.16475691860833 59.21150240589029, 11.164690677498387 59.21154584897345)</t>
  </si>
  <si>
    <t>[1630067, 1630075]</t>
  </si>
  <si>
    <t>[1457678, 1457688]</t>
  </si>
  <si>
    <t>0.01927115981578881</t>
  </si>
  <si>
    <t>[1457671, 1457678]</t>
  </si>
  <si>
    <t>14.500866604651483</t>
  </si>
  <si>
    <t>15.890342853508901</t>
  </si>
  <si>
    <t>123.87635418261954</t>
  </si>
  <si>
    <t>[-0.0, 0.021, 0.093]</t>
  </si>
  <si>
    <t>LINESTRING (10.234975822377809 59.71168371533638, 10.236128521397493 59.710767475657235, 10.236807679365864 59.710334169598255, 10.237344227152679 59.709997553760054)</t>
  </si>
  <si>
    <t>[1630228, 1630229, 1630230]</t>
  </si>
  <si>
    <t>[1457812, 1457813, 1457814]</t>
  </si>
  <si>
    <t>0.02474848691141401</t>
  </si>
  <si>
    <t>[1457792, 1457812, 1457813]</t>
  </si>
  <si>
    <t>[0.0, 0.021, 0.093]</t>
  </si>
  <si>
    <t>233.3012674956893</t>
  </si>
  <si>
    <t>[-0.04, -0.008, 0.051, 0.034]</t>
  </si>
  <si>
    <t>LINESTRING (10.384766091668768 59.74105813839757, 10.382078014939525 59.74083459750042, 10.378492787317764 59.740226556329894, 10.376881480959439 59.73982135296744, 10.37645020275836 59.739701275642595)</t>
  </si>
  <si>
    <t>[1632003, 1632010, 1632011, 1632012]</t>
  </si>
  <si>
    <t>[1459276, 1459282, 1459283, 1459284]</t>
  </si>
  <si>
    <t>[1459275, 1459276, 1459282, 1459283]</t>
  </si>
  <si>
    <t>[0.04, 0.008, 0.051, 0.034]</t>
  </si>
  <si>
    <t>495.45289295112497</t>
  </si>
  <si>
    <t>213.7920743384474</t>
  </si>
  <si>
    <t>[-0.02, 0.01, 0.015]</t>
  </si>
  <si>
    <t>LINESTRING (10.25817080177434 59.768533657524934, 10.25815405609435 59.768498260348146, 10.257488631110604 59.76794167747096, 10.257421608585027 59.767909319739395)</t>
  </si>
  <si>
    <t>[1634531, 1634539, 1634547]</t>
  </si>
  <si>
    <t>[1461372, 1461379, 1461385]</t>
  </si>
  <si>
    <t>0.008831963289512312</t>
  </si>
  <si>
    <t>[1461371, 1461372, 1461379]</t>
  </si>
  <si>
    <t>[0.02, 0.01, 0.015]</t>
  </si>
  <si>
    <t>81.85147272213172</t>
  </si>
  <si>
    <t>[-0.224, -0.025, -0.031, 0.101]</t>
  </si>
  <si>
    <t>LINESTRING (10.247956328620363 59.69441063894602, 10.24785373237359 59.69439353250997, 10.247772289299265 59.69435139605337, 10.247742410350096 59.69428360589837, 10.24802018011499 59.694179501816585)</t>
  </si>
  <si>
    <t>[2094438, 2094442, 2094453, 2094469]</t>
  </si>
  <si>
    <t>[1435412, 1812199, 1812203, 1461773]</t>
  </si>
  <si>
    <t>0.010398024883813051</t>
  </si>
  <si>
    <t>[1465541, 1435412, 1812199, 1812203]</t>
  </si>
  <si>
    <t>[0.224, 0.025, 0.031, 0.101]</t>
  </si>
  <si>
    <t>42.24323747891742</t>
  </si>
  <si>
    <t>[-0.146, 0.035, 0.062, 0.056, 0.045, 0.017, -0.012]</t>
  </si>
  <si>
    <t>LINESTRING (10.25000851453168 59.69425680885719, 10.250086963411107 59.694263260525815, 10.250199631510855 59.69430344248388, 10.250246153158155 59.694346658759066, 10.250254673306978 59.694395836893186, 10.250191589766656 59.69446706460977, 10.2500763839977 59.694504443456466, 10.249986470691095 59.6945090535385)</t>
  </si>
  <si>
    <t>[2094483, 2094489, 2094491, 2094507, 2094508, 2094517, 2094547]</t>
  </si>
  <si>
    <t>[1299292, 1812214, 1535139, 1535134, 1812219, 1299286, 1465770]</t>
  </si>
  <si>
    <t>0.016266392027604458</t>
  </si>
  <si>
    <t>[1461895, 1299292, 1812214, 1535139, 1535134, 1812219, 1299286]</t>
  </si>
  <si>
    <t>[0.146, 0.035, 0.062, 0.056, 0.045, 0.017, 0.012]</t>
  </si>
  <si>
    <t>44.73578496904856</t>
  </si>
  <si>
    <t>10.742131050418143</t>
  </si>
  <si>
    <t>14.719195211890487</t>
  </si>
  <si>
    <t>[-0.104, -0.1, -0.091, -0.11, -0.014, -0.029, -0.015, 0.031, -0.005, 0.011, 0.017, 0.007, -0.028]</t>
  </si>
  <si>
    <t>[0, 0, 0, 0, 1, 0, 1, 0, 0, 0, 0, 0, 0]</t>
  </si>
  <si>
    <t>LINESTRING (11.175108045935492 59.569961907656435, 11.175033438671342 59.5699690387822, 11.1749328664713 59.56997857476281, 11.174858168098027 59.56998541545721, 11.17467342843286 59.5700023239852, 11.171967847157552 59.570246781451694, 11.16736289586977 59.57053531802257, 11.165995346345495 59.57059924266482, 11.163996156245354 59.57069591304663, 11.163838192234195 59.570704467310456, 11.161554643032922 59.57084798258696, 11.161393002633515 59.570859239786174, 11.160555628933311 59.57092892402113, 11.160320575029747 59.57095154505002)</t>
  </si>
  <si>
    <t>[1670022, 1670030, 1670038, 1670046, 1670054, 1670062, 1670070, 1670078, 1670086, 1670094, 1670102, 1670110, 1670118]</t>
  </si>
  <si>
    <t>[1497910, 1497915, 1497922, 1497929, 1497934, 1497939, 1497946, 1497954, 1497960, 1497967, 1497972, 1497979, 1497984]</t>
  </si>
  <si>
    <t>[1497902, 1497910, 1497915, 1497922, 1497929, 1497934, 1497939, 1497946, 1497954, 1497960, 1497967, 1497972, 1497979]</t>
  </si>
  <si>
    <t>[0.104, 0.1, 0.091, 0.11, 0.014, 0.029, 0.015, 0.031, 0.005, 0.011, 0.017, 0.007, 0.028]</t>
  </si>
  <si>
    <t>843.6489637539056</t>
  </si>
  <si>
    <t>[-0.012, -0.002, 0.028, 0.03, 0.142]</t>
  </si>
  <si>
    <t>LINESTRING (11.160320575029747 59.57095154505002, 11.13617781860974 59.57875651003093, 11.135455369409792 59.57900998460188, 11.123821311635279 59.58249620323807, 11.121653246751901 59.58333660700473, 11.121566983582127 59.583369280627295)</t>
  </si>
  <si>
    <t>[1670126, 1670134, 1670142, 1670150, 1670158]</t>
  </si>
  <si>
    <t>[1497988, 1497994, 1498000, 1498005, 1498010]</t>
  </si>
  <si>
    <t>0.0026825281660522765</t>
  </si>
  <si>
    <t>[1497984, 1497988, 1497994, 1498000, 1498005]</t>
  </si>
  <si>
    <t>[0.012, 0.002, 0.028, 0.03, 0.142]</t>
  </si>
  <si>
    <t>2619.790445947694</t>
  </si>
  <si>
    <t>[-0.015, 0.007]</t>
  </si>
  <si>
    <t>LINESTRING (11.121566983582127 59.583369280627295, 11.11360951111984 59.58783613571734, 11.113231227335804 59.58806055857225)</t>
  </si>
  <si>
    <t>[1725511, 1725671]</t>
  </si>
  <si>
    <t>[1535590, 1535594]</t>
  </si>
  <si>
    <t>[1498010, 1535590]</t>
  </si>
  <si>
    <t>[0.015, 0.007]</t>
  </si>
  <si>
    <t>704.3493407099255</t>
  </si>
  <si>
    <t>[0.626, -0.002, -0.069]</t>
  </si>
  <si>
    <t>LINESTRING (11.121566983582127 59.583369280627295, 11.121548158280557 59.58341879609864, 11.118417375893085 59.585676957871605, 11.11843519866778 59.58572882804578)</t>
  </si>
  <si>
    <t>[1725687, 1725383, 1725391]</t>
  </si>
  <si>
    <t>[1535498, 1535499, 1535507]</t>
  </si>
  <si>
    <t>0.007602154111380387</t>
  </si>
  <si>
    <t>[1498010, 1535498, 1535499]</t>
  </si>
  <si>
    <t>[0.626, 0.002, 0.069]</t>
  </si>
  <si>
    <t>326.55385537983614</t>
  </si>
  <si>
    <t>[0.014, 0.005]</t>
  </si>
  <si>
    <t>LINESTRING (11.220090955146045 59.57344368598535, 11.219990762870916 59.57347686471529, 11.219610839936196 59.573566421107095)</t>
  </si>
  <si>
    <t>[1670190, 1670198]</t>
  </si>
  <si>
    <t>[1498040, 1498046]</t>
  </si>
  <si>
    <t>0.0069682304926420024</t>
  </si>
  <si>
    <t>[1498039, 1498040]</t>
  </si>
  <si>
    <t>30.925791893420865</t>
  </si>
  <si>
    <t>[0.018, 0.012]</t>
  </si>
  <si>
    <t>LINESTRING (11.220090955146045 59.57344368598535, 11.21997222581948 59.5734164506565, 11.219907139907566 59.57336376152447)</t>
  </si>
  <si>
    <t>[1676996, 1677004]</t>
  </si>
  <si>
    <t>[1503865, 1499783]</t>
  </si>
  <si>
    <t>0.01509175530014687</t>
  </si>
  <si>
    <t>[1498039, 1503865]</t>
  </si>
  <si>
    <t>14.293748611735055</t>
  </si>
  <si>
    <t>109.01833579974752</t>
  </si>
  <si>
    <t>[0.009, -0.002]</t>
  </si>
  <si>
    <t>LINESTRING (11.219907139907566 59.57336376152447, 11.21984849912377 59.57340531460216, 11.219610839936196 59.573566421107095)</t>
  </si>
  <si>
    <t>[1672150, 1672158]</t>
  </si>
  <si>
    <t>[1499784, 1498046]</t>
  </si>
  <si>
    <t>0.00019301603450403072</t>
  </si>
  <si>
    <t>[1499783, 1499784]</t>
  </si>
  <si>
    <t>[0.009, 0.002]</t>
  </si>
  <si>
    <t>28.561636114747266</t>
  </si>
  <si>
    <t>LINESTRING (11.218156580892229 59.57420903777524, 11.21805567740909 59.574319476372274, 11.218009951064365 59.574355190456)</t>
  </si>
  <si>
    <t>[1670206, 1670214]</t>
  </si>
  <si>
    <t>[1498055, 1498062]</t>
  </si>
  <si>
    <t>0.005777542223580705</t>
  </si>
  <si>
    <t>[1498054, 1498055]</t>
  </si>
  <si>
    <t>18.30796837438813</t>
  </si>
  <si>
    <t>LINESTRING (11.218156580892229 59.57420903777524, 11.217897338877934 59.57424448382014, 11.217811353307585 59.57426962174686)</t>
  </si>
  <si>
    <t>[1672166, 1672174]</t>
  </si>
  <si>
    <t>[1499801, 1499807]</t>
  </si>
  <si>
    <t>[1498054, 1499801]</t>
  </si>
  <si>
    <t>21.34216087892186</t>
  </si>
  <si>
    <t>LINESTRING (11.217811353307585 59.57426962174686, 11.217951674939304 59.574308774076464, 11.218009951064365 59.574355190456)</t>
  </si>
  <si>
    <t>[1676892, 1676900]</t>
  </si>
  <si>
    <t>[1503793, 1498062]</t>
  </si>
  <si>
    <t>[1499807, 1503793]</t>
  </si>
  <si>
    <t>15.183891342243957</t>
  </si>
  <si>
    <t>[-0.006, 0.032, 0.003]</t>
  </si>
  <si>
    <t>LINESTRING (10.704035856496294 59.44541686679903, 10.703925772274017 59.44541453518693, 10.70024089258675 59.445454915533865, 10.700107987519944 59.44547804973698)</t>
  </si>
  <si>
    <t>[1670286, 1670294, 1670302]</t>
  </si>
  <si>
    <t>[1498127, 1498135, 1498142]</t>
  </si>
  <si>
    <t>0.029904792819186926</t>
  </si>
  <si>
    <t>[1498126, 1498127, 1498135]</t>
  </si>
  <si>
    <t>[0.006, 0.032, 0.003]</t>
  </si>
  <si>
    <t>223.72651252226467</t>
  </si>
  <si>
    <t>LINESTRING (10.704035856496294 59.44541686679903, 10.70401267433054 59.44536304879808, 10.704022054168494 59.44530310966899)</t>
  </si>
  <si>
    <t>[1677540, 1677548]</t>
  </si>
  <si>
    <t>[1504261, 1499884]</t>
  </si>
  <si>
    <t>[1498126, 1504261]</t>
  </si>
  <si>
    <t>12.840778799947994</t>
  </si>
  <si>
    <t>[-0.016, -0.034, -0.033, -0.037, -0.036, -0.031, -0.003, 0.018]</t>
  </si>
  <si>
    <t>LINESTRING (10.704389306656859 59.44524776551585, 10.70447057496331 59.44528497271957, 10.704500236254935 59.445319760615284, 10.704513437203538 59.44536875361664, 10.7044931139615 59.44541754159251, 10.704336304938753 59.44548431441309, 10.704247813728466 59.44548589559694, 10.704148833356996 59.445472743580694, 10.704035856496294 59.44541686679903)</t>
  </si>
  <si>
    <t>[1677572, 1677580, 1677588, 1677596, 1677508, 1677516, 1677524, 1677532]</t>
  </si>
  <si>
    <t>[368274, 1504294, 1504300, 368249, 1504241, 1504245, 1504251, 1498126]</t>
  </si>
  <si>
    <t>[1502600, 368274, 1504294, 1504300, 368249, 1504241, 1504245, 1504251]</t>
  </si>
  <si>
    <t>[0.016, 0.034, 0.033, 0.037, 0.036, 0.031, 0.003, 0.018]</t>
  </si>
  <si>
    <t>52.86466403762168</t>
  </si>
  <si>
    <t>14.13300012791192</t>
  </si>
  <si>
    <t>[-0.035, -0.031]</t>
  </si>
  <si>
    <t>LINESTRING (10.70008087733832 59.445344070092304, 10.70013399721956 59.44541236447395, 10.700107987519944 59.44547804973698)</t>
  </si>
  <si>
    <t>[1677676, 1677684]</t>
  </si>
  <si>
    <t>[1504359, 1498142]</t>
  </si>
  <si>
    <t>[1499900, 1504359]</t>
  </si>
  <si>
    <t>[0.035, 0.031]</t>
  </si>
  <si>
    <t>15.653225477123915</t>
  </si>
  <si>
    <t>[-0.01, 0.025, -0.033, -0.082, 0.012, 0.056, 0.029]</t>
  </si>
  <si>
    <t>LINESTRING (11.260343042594618 59.11258518140228, 11.264338440941957 59.11544382481688, 11.264574820479302 59.11561141336919, 11.270621831515161 59.12384732443694, 11.270600706656621 59.125250111701035, 11.270384778083304 59.12636134041965, 11.270038637698699 59.1273581719868, 11.270020967777764 59.12739679500845)</t>
  </si>
  <si>
    <t>[1671086, 1671094, 1671102, 1671110, 1671118, 1671126, 1671134]</t>
  </si>
  <si>
    <t>[1498824, 1498829, 1498834, 1498838, 1498843, 1498850, 1498856]</t>
  </si>
  <si>
    <t>[1498817, 1498824, 1498829, 1498834, 1498838, 1498843, 1498850]</t>
  </si>
  <si>
    <t>[0.01, 0.025, 0.033, 0.082, 0.012, 0.056, 0.029]</t>
  </si>
  <si>
    <t>1810.2096115984068</t>
  </si>
  <si>
    <t>[0.048, 0.016, 0.019, 0.023, 0.019, 0.013]</t>
  </si>
  <si>
    <t>LINESTRING (11.260343042594618 59.11258518140228, 11.260178696124566 59.11251751362021, 11.25727781482509 59.110732125847, 11.25635044330928 59.1107828474117, 11.255814476696772 59.11098414318401, 11.255736753561571 59.11101191453784, 11.255650258360937 59.111025894176024)</t>
  </si>
  <si>
    <t>[1698039, 1674402, 1674410, 1674418, 1674426, 1674434]</t>
  </si>
  <si>
    <t>[1501757, 1160035, 1160093, 1501769, 1501777, 1501718]</t>
  </si>
  <si>
    <t>0.018167258158035226</t>
  </si>
  <si>
    <t>[1498817, 1501757, 1160035, 1160093, 1501769, 1501777]</t>
  </si>
  <si>
    <t>377.68673031434497</t>
  </si>
  <si>
    <t>[-0.004, -0.004, -0.005, 0.007, 0.021, 0.023, 0.017, 0.01, -0.009]</t>
  </si>
  <si>
    <t>LINESTRING (10.850006489438732 59.35674624857875, 10.849920177781005 59.356757946817375, 10.849580340997607 59.356803697808296, 10.849512652672416 59.356812869385095, 10.844238235104537 59.35772828600472, 10.84399642194857 59.3577791924721, 10.843915123762095 59.35779592924954, 10.843672763606262 59.357847986573795, 10.843592747839027 59.3578657531619, 10.840011326749233 59.35873990708806)</t>
  </si>
  <si>
    <t>[1671246, 1671254, 1671262, 1671270, 1671278, 1671286, 1671294, 1671302, 1671310]</t>
  </si>
  <si>
    <t>[1498935, 1498942, 1498949, 1498955, 1498962, 1498968, 1498974, 1498978, 1498985]</t>
  </si>
  <si>
    <t>0.0013038388176869534</t>
  </si>
  <si>
    <t>[1498929, 1498935, 1498942, 1498949, 1498955, 1498962, 1498968, 1498974, 1498978]</t>
  </si>
  <si>
    <t>[0.004, 0.004, 0.005, 0.007, 0.021, 0.023, 0.017, 0.01, 0.009]</t>
  </si>
  <si>
    <t>611.8853846788036</t>
  </si>
  <si>
    <t>[-0.017, -0.013, 0.055, -0.164]</t>
  </si>
  <si>
    <t>LINESTRING (10.843780262109174 59.35653721599538, 10.84381866217487 59.35661709969734, 10.849210859164563 59.35680787925692, 10.849812739332853 59.356739353589454, 10.850006489438732 59.35674624857875)</t>
  </si>
  <si>
    <t>[1804422, 1675172, 1804430, 1804438]</t>
  </si>
  <si>
    <t>[1502419, 1502420, 1590322, 1498929]</t>
  </si>
  <si>
    <t>[1502437, 1502419, 1502420, 1590322]</t>
  </si>
  <si>
    <t>[0.017, 0.013, 0.055, 0.164]</t>
  </si>
  <si>
    <t>422.77832309425264</t>
  </si>
  <si>
    <t>[-0.019, -0.017, 0.026, -0.027, -0.04, 0.065, 0.004, 0.003, 0.002]</t>
  </si>
  <si>
    <t>[1, 0, 0, 0, 0, 0, 0, 0, 0]</t>
  </si>
  <si>
    <t>LINESTRING (10.840011326749233 59.35873990708806, 10.839704972330848 59.35882542931254, 10.832968737471468 59.36109385561859, 10.832464987011704 59.361285978689345, 10.832016584841362 59.36145848060465, 10.83122884979715 59.361760997972816, 10.829770653253064 59.36232006954268, 10.829649849772824 59.362366023092804, 10.784405497419263 59.37422563369762, 10.758428986783736 59.382538995619825)</t>
  </si>
  <si>
    <t>[1671318, 1671326, 1671334, 1671342, 1671350, 1671358, 1671366, 1671374, 1671382]</t>
  </si>
  <si>
    <t>[1498992, 1498997, 1499005, 1499010, 1499016, 1499022, 1499029, 1499032, 1499042]</t>
  </si>
  <si>
    <t>0.001606227099207075</t>
  </si>
  <si>
    <t>[1498985, 1498992, 1498997, 1499005, 1499010, 1499016, 1499022, 1499029, 1499032]</t>
  </si>
  <si>
    <t>[0.019, 0.017, 0.026, 0.027, 0.04, 0.065, 0.004, 0.003, 0.002]</t>
  </si>
  <si>
    <t>5373.977723697601</t>
  </si>
  <si>
    <t>[0.021, 0.011, 0.014]</t>
  </si>
  <si>
    <t>LINESTRING (10.840011326749233 59.35873990708806, 10.840291567180078 59.35862474098146, 10.843531856336602 59.35664590637596, 10.84356510271885 59.3565383500106)</t>
  </si>
  <si>
    <t>[1698055, 1675228, 1804446]</t>
  </si>
  <si>
    <t>[1502469, 1502470, 1502400]</t>
  </si>
  <si>
    <t>0.01168873738216251</t>
  </si>
  <si>
    <t>[1498985, 1502469, 1502470]</t>
  </si>
  <si>
    <t>350.01687905279573</t>
  </si>
  <si>
    <t>[-0.017, -0.014, -0.011, 0.027]</t>
  </si>
  <si>
    <t>LINESTRING (10.758428986783736 59.382538995619825, 10.757452721606032 59.38304521939021, 10.757235463212355 59.38315743976598, 10.745372706001374 59.38834546930367, 10.745250881295476 59.38840669182848)</t>
  </si>
  <si>
    <t>[1671390, 1671398, 1671406, 1671414]</t>
  </si>
  <si>
    <t>[1499048, 1499057, 1499064, 1499074]</t>
  </si>
  <si>
    <t>[1499042, 1499048, 1499057, 1499064]</t>
  </si>
  <si>
    <t>[0.017, 0.014, 0.011, 0.027]</t>
  </si>
  <si>
    <t>996.014531418865</t>
  </si>
  <si>
    <t>[0.022, 0.017, 0.004]</t>
  </si>
  <si>
    <t>LINESTRING (10.750964129718302 59.38551953068916, 10.751064613083997 59.38550592129272, 10.758254567814847 59.38258876942695, 10.758428986783736 59.382538995619825)</t>
  </si>
  <si>
    <t>[1675260, 1675268, 1698071]</t>
  </si>
  <si>
    <t>[1502493, 1502500, 1499042]</t>
  </si>
  <si>
    <t>0.016783346791872697</t>
  </si>
  <si>
    <t>[1502492, 1502493, 1502500]</t>
  </si>
  <si>
    <t>545.3772672736962</t>
  </si>
  <si>
    <t>[-0.03, 0.004, 0.021]</t>
  </si>
  <si>
    <t>LINESTRING (10.745250881295476 59.38840669182848, 10.74538349076171 59.38827218557274, 10.750548038766667 59.385709123476076, 10.75058025223513 59.38569357505557)</t>
  </si>
  <si>
    <t>[1698087, 1675292, 1675300]</t>
  </si>
  <si>
    <t>[1502523, 1502524, 1502533]</t>
  </si>
  <si>
    <t>0.0027733881938212203</t>
  </si>
  <si>
    <t>[1499074, 1502523, 1502524]</t>
  </si>
  <si>
    <t>[0.03, 0.004, 0.021]</t>
  </si>
  <si>
    <t>430.11586800607233</t>
  </si>
  <si>
    <t>669.473411964026</t>
  </si>
  <si>
    <t>[0.048, -0.003, -0.483]</t>
  </si>
  <si>
    <t>LINESTRING (11.116981087296354 59.58500189932683, 11.117063257354456 59.58499647234149, 11.121326937051236 59.58331424677651, 11.121428535723007 59.58331261162497)</t>
  </si>
  <si>
    <t>[1725367, 1725375, 1725679]</t>
  </si>
  <si>
    <t>[1535486, 1535491, 1499753]</t>
  </si>
  <si>
    <t>[1535485, 1535486, 1535491]</t>
  </si>
  <si>
    <t>[0.048, 0.003, 0.483]</t>
  </si>
  <si>
    <t>318.7758606194369</t>
  </si>
  <si>
    <t>19.000792092745407</t>
  </si>
  <si>
    <t>16.082534053329884</t>
  </si>
  <si>
    <t>11.482496701137766</t>
  </si>
  <si>
    <t>[-0.019, 0.031, 0.012]</t>
  </si>
  <si>
    <t>LINESTRING (10.704022054168494 59.44530310966899, 10.703923195079373 59.44530541016273, 10.700194275110102 59.44533936535666, 10.70008087733832 59.445344070092304)</t>
  </si>
  <si>
    <t>[1672254, 1672262, 1672270]</t>
  </si>
  <si>
    <t>[1499885, 1499892, 1499900]</t>
  </si>
  <si>
    <t>0.029196512651017116</t>
  </si>
  <si>
    <t>[1499884, 1499885, 1499892]</t>
  </si>
  <si>
    <t>[0.019, 0.031, 0.012]</t>
  </si>
  <si>
    <t>223.72297867832899</t>
  </si>
  <si>
    <t>[0.031, 0.022, 0.02, 0.006, -0.005, -0.018, -0.027]</t>
  </si>
  <si>
    <t>LINESTRING (10.699763914434868 59.445559324763664, 10.69960097477442 59.44549370338228, 10.69957819164716 59.445450688340365, 10.699581456580374 59.445383353885035, 10.69975984382413 59.44528582516254, 10.69984833458597 59.44528424701919, 10.699982367333597 59.44529945739327, 10.70008087733832 59.445344070092304)</t>
  </si>
  <si>
    <t>[1677620, 1677628, 1677636, 1677644, 1677652, 1677660, 1677668]</t>
  </si>
  <si>
    <t>[1498150, 1504326, 1499908, 1504335, 1504339, 1504345, 1499900]</t>
  </si>
  <si>
    <t>0.005833953163788207</t>
  </si>
  <si>
    <t>[1502661, 1498150, 1504326, 1499908, 1504335, 1504339, 1504345]</t>
  </si>
  <si>
    <t>[0.031, 0.022, 0.02, 0.006, 0.005, 0.018, 0.027]</t>
  </si>
  <si>
    <t>59.87346797567172</t>
  </si>
  <si>
    <t>[-0.003, 0.003, 0.024, 0.028, 0.048]</t>
  </si>
  <si>
    <t>LINESTRING (11.085430998104847 59.27560145053592, 11.085519791802298 59.27564196394832, 11.08681653533242 59.276904495036504, 11.086706776543618 59.27740231080301, 11.086703901839742 59.277533122969295, 11.086712038337946 59.27756932901723)</t>
  </si>
  <si>
    <t>[1672861, 1672869, 1672877, 1672885, 1672893]</t>
  </si>
  <si>
    <t>[1500457, 1500466, 1500472, 1500480, 1500485]</t>
  </si>
  <si>
    <t>0.00982066409736515</t>
  </si>
  <si>
    <t>[1500456, 1500457, 1500466, 1500472, 1500480]</t>
  </si>
  <si>
    <t>[0.003, 0.003, 0.024, 0.028, 0.048]</t>
  </si>
  <si>
    <t>247.13708196961497</t>
  </si>
  <si>
    <t>[-0.035, 0.021]</t>
  </si>
  <si>
    <t>LINESTRING (11.085430998104847 59.27560145053592, 11.085389809272463 59.27566943580682, 11.08528910241846 59.27572034562935)</t>
  </si>
  <si>
    <t>[1690348, 1690356]</t>
  </si>
  <si>
    <t>[1513319, 1502689]</t>
  </si>
  <si>
    <t>[1500456, 1513319]</t>
  </si>
  <si>
    <t>[0.035, 0.021]</t>
  </si>
  <si>
    <t>16.003126451991616</t>
  </si>
  <si>
    <t>[0.024, 0.174]</t>
  </si>
  <si>
    <t>LINESTRING (11.08647827752123 59.27752453443105, 11.086605661102558 59.2775319643843, 11.086712038337946 59.27756932901723)</t>
  </si>
  <si>
    <t>[1690476, 1690484]</t>
  </si>
  <si>
    <t>[1513398, 1500485]</t>
  </si>
  <si>
    <t>0.09923703527277886</t>
  </si>
  <si>
    <t>[1502721, 1513398]</t>
  </si>
  <si>
    <t>14.668259981242844</t>
  </si>
  <si>
    <t>0.275</t>
  </si>
  <si>
    <t>4.924428900711294</t>
  </si>
  <si>
    <t>15.590817923100627</t>
  </si>
  <si>
    <t>[-0.034, -0.003, -0.022, -0.026]</t>
  </si>
  <si>
    <t>LINESTRING (11.257637497633997 59.11045515823451, 11.257797627030975 59.1105209728083, 11.257959804276974 59.110632414398, 11.262392018662487 59.111597150608915, 11.262422106432634 59.11155509299469)</t>
  </si>
  <si>
    <t>[1698023, 1674330, 1674338, 1674346]</t>
  </si>
  <si>
    <t>[1501698, 1501699, 1501707, 1501712]</t>
  </si>
  <si>
    <t>[1517784, 1501698, 1501699, 1501707]</t>
  </si>
  <si>
    <t>[0.034, 0.003, 0.022, 0.026]</t>
  </si>
  <si>
    <t>387.6104039816629</t>
  </si>
  <si>
    <t>[0.054, 0.059, -0.023]</t>
  </si>
  <si>
    <t>LINESTRING (11.261981820873594 59.11136079162619, 11.259334463504715 59.1113051235906, 11.25796668800362 59.11145712711808, 11.255650258360937 59.111025894176024)</t>
  </si>
  <si>
    <t>[1700747, 1700755, 1700763]</t>
  </si>
  <si>
    <t>[1520074, 1520081, 1501718]</t>
  </si>
  <si>
    <t>0.025380895059538826</t>
  </si>
  <si>
    <t>[1520073, 1520074, 1520081]</t>
  </si>
  <si>
    <t>[0.054, 0.059, 0.023]</t>
  </si>
  <si>
    <t>385.72243221262204</t>
  </si>
  <si>
    <t>[0.027, 0.003, 0.007]</t>
  </si>
  <si>
    <t>LINESTRING (11.262635786150371 59.11163137181914, 11.262602167721619 59.11167166462697, 11.264695437043008 59.11549035655956, 11.264838089093775 59.11564583213664)</t>
  </si>
  <si>
    <t>[1674386, 1674394, 1698031]</t>
  </si>
  <si>
    <t>[1501745, 1501752, 1517807]</t>
  </si>
  <si>
    <t>0.0033761756320035948</t>
  </si>
  <si>
    <t>[1501744, 1501745, 1501752]</t>
  </si>
  <si>
    <t>515.331522659158</t>
  </si>
  <si>
    <t>[-0.016, -0.015, -0.012, -0.005, 0.002, 0.011, -0.098]</t>
  </si>
  <si>
    <t>LINESTRING (11.262494359574761 59.111421433982684, 11.262571729263323 59.11140119069652, 11.262683737822089 59.11139992505721, 11.262805486349738 59.1114375951369, 11.262850421895667 59.11147372500375, 11.262857863040365 59.111534394183465, 11.262793229846114 59.111598154613375, 11.262635786150371 59.11163137181914)</t>
  </si>
  <si>
    <t>[1701115, 1701123, 1701131, 1701139, 1701147, 1701155, 1701075]</t>
  </si>
  <si>
    <t>[1518653, 1520322, 1519334, 1239673, 1520339, 1239684, 1501744]</t>
  </si>
  <si>
    <t>[1520315, 1518653, 1520322, 1519334, 1239673, 1520339, 1239684]</t>
  </si>
  <si>
    <t>[0.016, 0.015, 0.012, 0.005, 0.002, 0.011, 0.098]</t>
  </si>
  <si>
    <t>48.8481302738227</t>
  </si>
  <si>
    <t>0.428</t>
  </si>
  <si>
    <t>7.955501240558392</t>
  </si>
  <si>
    <t>8.044874144892626</t>
  </si>
  <si>
    <t>8.139539298883655</t>
  </si>
  <si>
    <t>11.267414755399281</t>
  </si>
  <si>
    <t>[0.032, 0.035, 0.041, 0.024, -0.346]</t>
  </si>
  <si>
    <t>LINESTRING (11.207828342778239 59.17944081838763, 11.207937593048948 59.1794664845575, 11.207968379318187 59.17948895938673, 11.207982757292752 59.1795172476792, 11.207899761453463 59.1795999290065, 11.20772685210245 59.179597870923416)</t>
  </si>
  <si>
    <t>[1701355, 1701363, 1701371, 1701307, 1701315]</t>
  </si>
  <si>
    <t>[1520460, 1520465, 1520424, 1520425, 1501851]</t>
  </si>
  <si>
    <t>[1520452, 1520460, 1520465, 1520424, 1520425]</t>
  </si>
  <si>
    <t>[0.032, 0.035, 0.041, 0.024, 0.346]</t>
  </si>
  <si>
    <t>34.32471095284216</t>
  </si>
  <si>
    <t>[0.048, -0.017, -0.009, 0.007]</t>
  </si>
  <si>
    <t>LINESTRING (11.203802111017877 59.17957834624543, 11.203657927018915 59.17952028048161, 11.203649785054235 59.17948318425451, 11.203665189561882 59.179454867513144, 11.203876471918498 59.17941340107669)</t>
  </si>
  <si>
    <t>[1701259, 1701267, 1701275, 1701283]</t>
  </si>
  <si>
    <t>[1509675, 1520395, 1510333, 1520405]</t>
  </si>
  <si>
    <t>0.016205998465280532</t>
  </si>
  <si>
    <t>[1501861, 1509675, 1520395, 1510333]</t>
  </si>
  <si>
    <t>[0.048, 0.017, 0.009, 0.007]</t>
  </si>
  <si>
    <t>32.226957540988835</t>
  </si>
  <si>
    <t>LINESTRING (10.956340577447817 59.32439783311105, 10.956482926489553 59.32440958393414, 10.956893333339892 59.32470541535766)</t>
  </si>
  <si>
    <t>[1674850, 1674858]</t>
  </si>
  <si>
    <t>[1502138, 1502144]</t>
  </si>
  <si>
    <t>[1502137, 1502138]</t>
  </si>
  <si>
    <t>51.588044489458646</t>
  </si>
  <si>
    <t>[0.043, -0.006]</t>
  </si>
  <si>
    <t>LINESTRING (10.956340577447817 59.32439783311105, 10.956335877159082 59.324466917319015, 10.956258200316421 59.324528339303676)</t>
  </si>
  <si>
    <t>[1694320, 1694328]</t>
  </si>
  <si>
    <t>[1515925, 1503281]</t>
  </si>
  <si>
    <t>0.017809695783630477</t>
  </si>
  <si>
    <t>[1502137, 1515925]</t>
  </si>
  <si>
    <t>[0.043, 0.006]</t>
  </si>
  <si>
    <t>15.85183005727436</t>
  </si>
  <si>
    <t>[0.004, -0.001, -0.007, -0.01, -0.009, -0.002, -0.006]</t>
  </si>
  <si>
    <t>LINESTRING (10.955923790404595 59.32452963562679, 10.955845498486408 59.32447024491223, 10.955831841056757 59.32441529038916, 10.955864968496059 59.324361313294155, 10.955917878109243 59.324327964805775, 10.95604997463976 59.324297095100995, 10.956182475244686 59.324304674109364, 10.956340577447817 59.32439783311105)</t>
  </si>
  <si>
    <t>[1694352, 1694360, 1694368, 1694376, 1694384, 1694392, 1694312]</t>
  </si>
  <si>
    <t>[1515945, 1515952, 1515957, 1503274, 1515967, 1502130, 1502137]</t>
  </si>
  <si>
    <t>[1502308, 1515945, 1515952, 1515957, 1503274, 1515967, 1502130]</t>
  </si>
  <si>
    <t>[0.004, 0.001, 0.007, 0.01, 0.009, 0.002, 0.006]</t>
  </si>
  <si>
    <t>55.25893421203983</t>
  </si>
  <si>
    <t>[0.037, 0.015, 0.013]</t>
  </si>
  <si>
    <t>LINESTRING (10.956893333339892 59.32470541535766, 10.956791659510609 59.325027728451644, 10.956144181633272 59.3258563549871, 10.95613548271397 59.32637306390147)</t>
  </si>
  <si>
    <t>[1694176, 1694184, 1694192]</t>
  </si>
  <si>
    <t>[1515820, 1515827, 1502152]</t>
  </si>
  <si>
    <t>0.018503529254160666</t>
  </si>
  <si>
    <t>[1502144, 1515820, 1515827]</t>
  </si>
  <si>
    <t>196.81728969697423</t>
  </si>
  <si>
    <t>[0.027, 0.004]</t>
  </si>
  <si>
    <t>LINESTRING (10.956258200316421 59.324528339303676, 10.95642325121072 59.32453544600719, 10.956893333339892 59.32470541535766)</t>
  </si>
  <si>
    <t>[1676242, 1676250]</t>
  </si>
  <si>
    <t>[1503282, 1502144]</t>
  </si>
  <si>
    <t>0.008871825806108626</t>
  </si>
  <si>
    <t>[1503281, 1503282]</t>
  </si>
  <si>
    <t>44.53135744081021</t>
  </si>
  <si>
    <t>[-0.024, -0.021]</t>
  </si>
  <si>
    <t>LINESTRING (10.95613548271397 59.32637306390147, 10.95656846359993 59.32646024329721, 10.95663421975064 59.32646947911019)</t>
  </si>
  <si>
    <t>[1674866, 1674874]</t>
  </si>
  <si>
    <t>[1502153, 1502160]</t>
  </si>
  <si>
    <t>[1502152, 1502153]</t>
  </si>
  <si>
    <t>[0.024, 0.021]</t>
  </si>
  <si>
    <t>30.383863599499183</t>
  </si>
  <si>
    <t>LINESTRING (10.95613548271397 59.32637306390147, 10.956511544805293 59.3265393932554, 10.956574802225353 59.326554845116064)</t>
  </si>
  <si>
    <t>[1676258, 1676266]</t>
  </si>
  <si>
    <t>[1503295, 1503301]</t>
  </si>
  <si>
    <t>[1502152, 1503295]</t>
  </si>
  <si>
    <t>32.888045196472916</t>
  </si>
  <si>
    <t>12.25890720592021</t>
  </si>
  <si>
    <t>[0.004, 0.146]</t>
  </si>
  <si>
    <t>LINESTRING (10.956574802225353 59.326554845116064, 10.956588149115465 59.326516598765224, 10.95663421975064 59.32646947911019)</t>
  </si>
  <si>
    <t>[1694472, 1694480]</t>
  </si>
  <si>
    <t>[1516025, 1502160]</t>
  </si>
  <si>
    <t>0.08572436973536449</t>
  </si>
  <si>
    <t>[1503301, 1516025]</t>
  </si>
  <si>
    <t>10.198384400935755</t>
  </si>
  <si>
    <t>[-0.001, -0.004, -0.006, -0.01, 0.013, 0.02, 0.02]</t>
  </si>
  <si>
    <t>LINESTRING (10.957018107258683 59.32645173583151, 10.957109698233795 59.32655438066826, 10.957095712563252 59.32659800177897, 10.957061438316387 59.32663469893662, 10.956818987556357 59.32669100225291, 10.956708508793943 59.32667318429869, 10.956639838163403 59.326644077911375, 10.956574802225353 59.326554845116064)</t>
  </si>
  <si>
    <t>[1694416, 1694424, 1694432, 1694440, 1694448, 1694456, 1694464]</t>
  </si>
  <si>
    <t>[1506149, 1515989, 1505391, 1505397, 1516007, 1506157, 1503301]</t>
  </si>
  <si>
    <t>0.003027602207409097</t>
  </si>
  <si>
    <t>[1502271, 1506149, 1515989, 1505391, 1505397, 1516007, 1506157]</t>
  </si>
  <si>
    <t>[0.001, 0.004, 0.006, 0.01, 0.013, 0.02, 0.02]</t>
  </si>
  <si>
    <t>60.32882088421197</t>
  </si>
  <si>
    <t>12.024133753061136</t>
  </si>
  <si>
    <t>14.37522670460011</t>
  </si>
  <si>
    <t>6.105735009097035</t>
  </si>
  <si>
    <t>14.340822243923341</t>
  </si>
  <si>
    <t>10.064876634980747</t>
  </si>
  <si>
    <t>[0.015, -0.006, 0.026]</t>
  </si>
  <si>
    <t>LINESTRING (10.925790507456108 59.345418277571405, 10.925525160189247 59.34532635570621, 10.923944012531498 59.34507995331059, 10.922508146248253 59.34547105596712)</t>
  </si>
  <si>
    <t>[1699130, 1699138, 1699146]</t>
  </si>
  <si>
    <t>[1518997, 1519001, 1471994]</t>
  </si>
  <si>
    <t>0.0101513877645122</t>
  </si>
  <si>
    <t>[1502352, 1518997, 1519001]</t>
  </si>
  <si>
    <t>[0.015, 0.006, 0.026]</t>
  </si>
  <si>
    <t>208.80959734754043</t>
  </si>
  <si>
    <t>[0.253, 0.034, 0.038, -0.172]</t>
  </si>
  <si>
    <t>LINESTRING (10.920052153559244 59.34610350640496, 10.919986178914487 59.34600793104677, 10.920005406751528 59.345979762067785, 10.920045357134134 59.34595493987769, 10.920252487082585 59.34594524722573)</t>
  </si>
  <si>
    <t>[1701027, 1701035, 1701043, 1701051]</t>
  </si>
  <si>
    <t>[1505465, 1520265, 1506216, 1506210]</t>
  </si>
  <si>
    <t>0.03349012015223269</t>
  </si>
  <si>
    <t>[1502374, 1505465, 1520265, 1506216]</t>
  </si>
  <si>
    <t>[0.253, 0.034, 0.038, 0.172]</t>
  </si>
  <si>
    <t>30.935233964430516</t>
  </si>
  <si>
    <t>LINESTRING (10.84356510271885 59.3565383500106, 10.843447040006728 59.35596243177269, 10.843396409947585 59.35590017651287)</t>
  </si>
  <si>
    <t>[1675156, 1675164]</t>
  </si>
  <si>
    <t>[1502406, 1502413]</t>
  </si>
  <si>
    <t>0.011103924595692712</t>
  </si>
  <si>
    <t>[1502400, 1502406]</t>
  </si>
  <si>
    <t>72.27949859746285</t>
  </si>
  <si>
    <t>[-0.065, 0.027, -0.007, 0.026, 0.009, 0.017]</t>
  </si>
  <si>
    <t>LINESTRING (10.84440899401355 59.35781843627171, 10.844250409644545 59.35788674563654, 10.843489017802582 59.358066954191365, 10.843261915269876 59.35911976987143, 10.843805919430386 59.3581599272247, 10.843754992131018 59.35760793003111, 10.84356510271885 59.3565383500106)</t>
  </si>
  <si>
    <t>[1804470, 1804462, 1675124, 1675132, 1675140, 1675148]</t>
  </si>
  <si>
    <t>[1590351, 1502380, 1502381, 1502386, 1502393, 1502400]</t>
  </si>
  <si>
    <t>0.004375998268426338</t>
  </si>
  <si>
    <t>[1517915, 1590351, 1502380, 1502381, 1502386, 1502393]</t>
  </si>
  <si>
    <t>[0.065, 0.027, 0.007, 0.026, 0.009, 0.017]</t>
  </si>
  <si>
    <t>749.6257880837612</t>
  </si>
  <si>
    <t>LINESTRING (10.843396409947585 59.35590017651287, 10.843348622015924 59.355876261949746, 10.843288441745683 59.35584238473845, 10.84323348593065 59.35578209531965, 10.84322752571303 59.35571141140145, 10.843850476037094 59.355618607693124, 10.843923617233816 59.35568570846579, 10.843933289540022 59.355769377696284, 10.843842615407855 59.35586330405483, 10.84373072658706 59.35590411452388)</t>
  </si>
  <si>
    <t>19.44788602047594</t>
  </si>
  <si>
    <t>[-0.001, -0.008]</t>
  </si>
  <si>
    <t>LINESTRING (10.84373072658706 59.35590411452388, 10.843712815282341 59.35597201326121, 10.843780262109174 59.35653721599538)</t>
  </si>
  <si>
    <t>[1675180, 1675188]</t>
  </si>
  <si>
    <t>[1502429, 1502437]</t>
  </si>
  <si>
    <t>[1502428, 1502429]</t>
  </si>
  <si>
    <t>[0.001, 0.008]</t>
  </si>
  <si>
    <t>70.79385782454132</t>
  </si>
  <si>
    <t>[-0.018, -0.006, -0.011, -0.018, 0.031]</t>
  </si>
  <si>
    <t>LINESTRING (10.843780262109174 59.35653721599538, 10.843888357728893 59.35758161596684, 10.843944802213713 59.35813028247492, 10.838306198760282 59.35970415258075, 10.833269473257323 59.36116300380317, 10.833084460379133 59.361195207597056)</t>
  </si>
  <si>
    <t>[1675196, 1675204, 1675212, 1675220, 1804326]</t>
  </si>
  <si>
    <t>[1502443, 1502450, 1502456, 1502462, 1517945]</t>
  </si>
  <si>
    <t>[1502437, 1502443, 1502450, 1502456, 1502462]</t>
  </si>
  <si>
    <t>[0.018, 0.006, 0.011, 0.018, 0.031]</t>
  </si>
  <si>
    <t>949.278842062409</t>
  </si>
  <si>
    <t>[-0.015, -0.01, 0.021, 0.021]</t>
  </si>
  <si>
    <t>LINESTRING (10.757412469669413 59.38323533890834, 10.757333498480897 59.38332204823936, 10.752459889228778 59.38611099867031, 10.752397369795679 59.386172740473086, 10.752363719562089 59.38619807076314)</t>
  </si>
  <si>
    <t>[1698063, 1675236, 1675244, 1675252]</t>
  </si>
  <si>
    <t>[1502474, 1502475, 1502481, 1502487]</t>
  </si>
  <si>
    <t>[1517997, 1502474, 1502475, 1502481]</t>
  </si>
  <si>
    <t>[0.015, 0.01, 0.021, 0.021]</t>
  </si>
  <si>
    <t>438.84553921372986</t>
  </si>
  <si>
    <t>16.95477581489046</t>
  </si>
  <si>
    <t>13.480146931228228</t>
  </si>
  <si>
    <t>[-0.132, 0.004, 0.03, 0.149]</t>
  </si>
  <si>
    <t>LINESTRING (10.75058025223513 59.38569357505557, 10.750536116235379 59.38553031466131, 10.750574592871258 59.38550459376113, 10.750655649207904 59.38547666505692, 10.750964129718302 59.38551953068916)</t>
  </si>
  <si>
    <t>[1701491, 1701499, 1701507, 1701451]</t>
  </si>
  <si>
    <t>[1520547, 1520553, 1520518, 1502492]</t>
  </si>
  <si>
    <t>0.010473678193809533</t>
  </si>
  <si>
    <t>[1502533, 1520547, 1520553, 1520518]</t>
  </si>
  <si>
    <t>[0.132, 0.004, 0.03, 0.149]</t>
  </si>
  <si>
    <t>47.9453351538224</t>
  </si>
  <si>
    <t>16.37680729694735</t>
  </si>
  <si>
    <t>[-0.008, -0.012, -0.065]</t>
  </si>
  <si>
    <t>LINESTRING (10.751972079527286 59.38636485234084, 10.751901298545764 59.3863670401124, 10.74395483476051 59.389185276516294, 10.743776432274194 59.38924876769415)</t>
  </si>
  <si>
    <t>[1675276, 1675284, 1698079]</t>
  </si>
  <si>
    <t>[1502507, 1502515, 1518033]</t>
  </si>
  <si>
    <t>[1502506, 1502507, 1502515]</t>
  </si>
  <si>
    <t>[0.008, 0.012, 0.065]</t>
  </si>
  <si>
    <t>570.8960938497708</t>
  </si>
  <si>
    <t>17.975262249862098</t>
  </si>
  <si>
    <t>[-0.181, -0.015, -0.064]</t>
  </si>
  <si>
    <t>LINESTRING (10.70007053432719 59.414894937435015, 10.700366163392177 59.41484534147844, 10.701367871091817 59.414681453013046, 10.701629320740722 59.414637021538624)</t>
  </si>
  <si>
    <t>[1700571, 1700579, 1700587]</t>
  </si>
  <si>
    <t>[1519937, 1519946, 1502547]</t>
  </si>
  <si>
    <t>[1502554, 1519937, 1519946]</t>
  </si>
  <si>
    <t>[0.181, 0.015, 0.064]</t>
  </si>
  <si>
    <t>93.0902212207637</t>
  </si>
  <si>
    <t>12.839813612839528</t>
  </si>
  <si>
    <t>9.500526301206976</t>
  </si>
  <si>
    <t>[-0.029, -0.001, 0.015, 0.03, 0.031]</t>
  </si>
  <si>
    <t>LINESTRING (11.08528910241846 59.27572034562935, 11.08537867988472 59.27575235992584, 11.08667288400664 59.276901070796995, 11.08658104244818 59.27737349772085, 11.086504844817226 59.277492069939555, 11.08647827752123 59.27752453443105)</t>
  </si>
  <si>
    <t>[1675501, 1675509, 1675517, 1675525, 1675533]</t>
  </si>
  <si>
    <t>[1502690, 1502698, 1502706, 1502714, 1502721]</t>
  </si>
  <si>
    <t>0.004273323888632272</t>
  </si>
  <si>
    <t>[1502689, 1502690, 1502698, 1502706, 1502714]</t>
  </si>
  <si>
    <t>[0.029, 0.001, 0.015, 0.03, 0.031]</t>
  </si>
  <si>
    <t>233.334032004477</t>
  </si>
  <si>
    <t>125.80433219878121</t>
  </si>
  <si>
    <t>[0.04, 0.032, -0.046, -0.03]</t>
  </si>
  <si>
    <t>LINESTRING (11.537813818387582 59.53943789970173, 11.537878579244783 59.53943272104318, 11.539083252476868 59.53952251804184, 11.544605730646277 59.53896562309867, 11.544954047890581 59.53894911482454)</t>
  </si>
  <si>
    <t>[1676636, 1676644, 1676652, 1676660]</t>
  </si>
  <si>
    <t>[1503579, 1503586, 1503591, 1502713]</t>
  </si>
  <si>
    <t>[1503578, 1503579, 1503586, 1503591]</t>
  </si>
  <si>
    <t>[0.04, 0.032, 0.046, 0.03]</t>
  </si>
  <si>
    <t>413.4535183989386</t>
  </si>
  <si>
    <t>[0.08, 0.021, -0.01, 0.081, 0.023, 0.017, 0.014, 0.041, 0.015, -0.056, 0.003]</t>
  </si>
  <si>
    <t>6600.0</t>
  </si>
  <si>
    <t>LINESTRING (11.645537895624834 59.48458475934104, 11.644658646907537 59.48484560127605, 11.636253670420077 59.49024815098812, 11.633468435030117 59.49309362291791, 11.633076795398893 59.493494256714946, 11.62738296311347 59.499082756895845, 11.620893790034094 59.50349869966415, 11.614709688800534 59.507411587362135, 11.610246869778837 59.51028332359547, 11.606659936240419 59.51212226440941, 11.597017788881889 59.51628249526971, 11.544954047890581 59.53894911482454)</t>
  </si>
  <si>
    <t>[1680595, 1680603, 1680612, 1680621, 1675476, 1675484, 1675492, 1675500, 1675508, 1675516, 1675524]</t>
  </si>
  <si>
    <t>[1506521, 1506526, 1506535, 1502667, 1502668, 1502676, 1502682, 1502688, 1502697, 1502705, 1502713]</t>
  </si>
  <si>
    <t>0.005740615572575031</t>
  </si>
  <si>
    <t>[1506520, 1506521, 1506526, 1506535, 1502667, 1502668, 1502676, 1502682, 1502688, 1502697, 1502705]</t>
  </si>
  <si>
    <t>[0.08, 0.021, 0.01, 0.081, 0.023, 0.017, 0.014, 0.041, 0.015, 0.056, 0.003]</t>
  </si>
  <si>
    <t>8494.958511716235</t>
  </si>
  <si>
    <t>[-0.003, -0.019]</t>
  </si>
  <si>
    <t>LINESTRING (11.542826634360544 59.53927755333317, 11.539213565904058 59.539698759588326, 11.532698123135438 59.540064494400404)</t>
  </si>
  <si>
    <t>[1675540, 1675548]</t>
  </si>
  <si>
    <t>[1502728, 1502735]</t>
  </si>
  <si>
    <t>[1502720, 1502728]</t>
  </si>
  <si>
    <t>[0.003, 0.019]</t>
  </si>
  <si>
    <t>580.9891783008193</t>
  </si>
  <si>
    <t>[0.178, -0.023, -0.069, -0.028]</t>
  </si>
  <si>
    <t>LINESTRING (11.542826634360544 59.53927755333317, 11.542512245694853 59.53935873114465, 11.539300539975782 59.53982237121901, 11.538177440367622 59.5402402595194, 11.538122001429391 59.540263058759585)</t>
  </si>
  <si>
    <t>[1676604, 1676612, 1676620, 1676628]</t>
  </si>
  <si>
    <t>[1503552, 1503559, 1503567, 1503571]</t>
  </si>
  <si>
    <t>[1502720, 1503552, 1503559, 1503567]</t>
  </si>
  <si>
    <t>[0.178, 0.023, 0.069, 0.028]</t>
  </si>
  <si>
    <t>292.1368539477614</t>
  </si>
  <si>
    <t>88.93186124774498</t>
  </si>
  <si>
    <t>[0.021, 0.017, 0.045]</t>
  </si>
  <si>
    <t>LINESTRING (11.532698123135438 59.540064494400404, 11.533037535476922 59.5400168720441, 11.537689603523807 59.53941640062682, 11.537800929415445 59.539394164894134)</t>
  </si>
  <si>
    <t>[1676684, 1676692, 1676700]</t>
  </si>
  <si>
    <t>[1503615, 1503621, 1503628]</t>
  </si>
  <si>
    <t>0.0178880329103041</t>
  </si>
  <si>
    <t>[1502735, 1503615, 1503621]</t>
  </si>
  <si>
    <t>303.14217198770666</t>
  </si>
  <si>
    <t>[0.046, -0.02, 0.056, -0.052, -0.007, -0.001, -0.015, 0.007]</t>
  </si>
  <si>
    <t>2651.0</t>
  </si>
  <si>
    <t>LINESTRING (11.531126514558318 59.540079354850064, 11.531008802661804 59.5400775796275, 11.526687937727834 59.53996591950824, 11.525764536183846 59.539913862260775, 11.518493656800889 59.53934093597161, 11.516214250647412 59.53914902429372, 11.50063475105084 59.53924878721821, 11.498007773980662 59.5396151982847, 11.473295128935003 59.54539389510226)</t>
  </si>
  <si>
    <t>[1675564, 1680629, 1680637, 1680645, 1680653, 1680661, 1680669, 1680677]</t>
  </si>
  <si>
    <t>[1502746, 1506547, 1506554, 1506560, 1506566, 1506573, 1506581, 1503663]</t>
  </si>
  <si>
    <t>[1502741, 1502746, 1506547, 1506554, 1506560, 1506566, 1506573, 1506581]</t>
  </si>
  <si>
    <t>[0.046, 0.02, 0.056, 0.052, 0.007, 0.001, 0.015, 0.007]</t>
  </si>
  <si>
    <t>3441.1401515346342</t>
  </si>
  <si>
    <t>[-0.029, -0.004, 0.049]</t>
  </si>
  <si>
    <t>LINESTRING (11.538122001429391 59.540263058759585, 11.538059572446794 59.54027584912975, 11.531472731636168 59.54010479101141, 11.531126514558318 59.540079354850064)</t>
  </si>
  <si>
    <t>[1827687, 1676668, 1676676]</t>
  </si>
  <si>
    <t>[1503601, 1503602, 1502741]</t>
  </si>
  <si>
    <t>[1503571, 1503601, 1503602]</t>
  </si>
  <si>
    <t>[0.029, 0.004, 0.049]</t>
  </si>
  <si>
    <t>400.97995291891266</t>
  </si>
  <si>
    <t>[0.054, 0.047, 0.021]</t>
  </si>
  <si>
    <t>LINESTRING (11.538122001429391 59.540263058759585, 11.538031611679616 59.53997125561601, 11.537902142437195 59.53961190718838, 11.537813818387582 59.53943789970173)</t>
  </si>
  <si>
    <t>[1702657, 1702665, 1702673]</t>
  </si>
  <si>
    <t>[1521243, 1521250, 1503578]</t>
  </si>
  <si>
    <t>0.04390107313042514</t>
  </si>
  <si>
    <t>[1503571, 1521243, 1521250]</t>
  </si>
  <si>
    <t>93.63078910346042</t>
  </si>
  <si>
    <t>4.926855792246167</t>
  </si>
  <si>
    <t>[-0.036, -0.041, 0.016]</t>
  </si>
  <si>
    <t>LINESTRING (11.471710077505522 59.54550178025244, 11.47134736279701 59.54556760885678, 11.465042978058724 59.54597704414828, 11.464954222778614 59.54599621610059)</t>
  </si>
  <si>
    <t>[1676708, 1676716, 1676724]</t>
  </si>
  <si>
    <t>[1503635, 1503639, 1503646]</t>
  </si>
  <si>
    <t>[1503634, 1503635, 1503639]</t>
  </si>
  <si>
    <t>[0.036, 0.041, 0.016]</t>
  </si>
  <si>
    <t>390.5925474193918</t>
  </si>
  <si>
    <t>[-0.041, -0.014, 0.001]</t>
  </si>
  <si>
    <t>LINESTRING (11.471710077505522 59.54550178025244, 11.465200379537215 59.545610212550294, 11.464288615253574 59.54561630709841, 11.459075388033286 59.54563929002514)</t>
  </si>
  <si>
    <t>[1680693, 1680701, 1680709]</t>
  </si>
  <si>
    <t>[1506596, 1506602, 1503695]</t>
  </si>
  <si>
    <t>[1503634, 1506596, 1506602]</t>
  </si>
  <si>
    <t>[0.041, 0.014, 0.001]</t>
  </si>
  <si>
    <t>715.0814488094476</t>
  </si>
  <si>
    <t>90.48621915676068</t>
  </si>
  <si>
    <t>[0.123, 0.038, 0.01, -0.038, -0.1]</t>
  </si>
  <si>
    <t>LINESTRING (11.464954222778614 59.54599621610059, 11.464963978988967 59.546071980865186, 11.464913286897595 59.54611645011591, 11.464816435858538 59.54614529011815, 11.46456778042582 59.546085535982, 11.464561837736984 59.54600717783056)</t>
  </si>
  <si>
    <t>[1702753, 1702761, 1702697, 1702705, 1702713]</t>
  </si>
  <si>
    <t>[1518661, 1521270, 1518668, 1478333, 1503670]</t>
  </si>
  <si>
    <t>[1503646, 1518661, 1521270, 1518668, 1478333]</t>
  </si>
  <si>
    <t>[0.123, 0.038, 0.01, 0.038, 0.1]</t>
  </si>
  <si>
    <t>45.82083380774356</t>
  </si>
  <si>
    <t>10.854710152666481</t>
  </si>
  <si>
    <t>0.114</t>
  </si>
  <si>
    <t>15.996237051788238</t>
  </si>
  <si>
    <t>[0.015, 0.031, -0.017]</t>
  </si>
  <si>
    <t>LINESTRING (11.46495482719612 59.54519718042573, 11.465030899997716 59.54521451726761, 11.47294589400157 59.54539862155712, 11.473295128935003 59.54539389510226)</t>
  </si>
  <si>
    <t>[1676732, 1676740, 1676748]</t>
  </si>
  <si>
    <t>[1503652, 1503656, 1503663]</t>
  </si>
  <si>
    <t>0.02885586674367783</t>
  </si>
  <si>
    <t>[1503651, 1503652, 1503656]</t>
  </si>
  <si>
    <t>[0.015, 0.031, 0.017]</t>
  </si>
  <si>
    <t>480.3897788519558</t>
  </si>
  <si>
    <t>[0.576, 0.056, 0.06, -0.101]</t>
  </si>
  <si>
    <t>LINESTRING (11.464545320975262 59.54523644129241, 11.46453022801408 59.54519468736705, 11.464550533974586 59.54515299187145, 11.46461134642248 59.54511329054952, 11.46495482719612 59.54519718042573)</t>
  </si>
  <si>
    <t>[1702777, 1702785, 1702793, 1702801]</t>
  </si>
  <si>
    <t>[1518673, 1521329, 1518685, 1503651]</t>
  </si>
  <si>
    <t>0.015550146275837758</t>
  </si>
  <si>
    <t>[1503707, 1518673, 1521329, 1518685]</t>
  </si>
  <si>
    <t>[0.576, 0.056, 0.06, 0.101]</t>
  </si>
  <si>
    <t>41.66004382222667</t>
  </si>
  <si>
    <t>11.505424208253501</t>
  </si>
  <si>
    <t>[-0.042, -0.001, -0.012]</t>
  </si>
  <si>
    <t>LINESTRING (11.464561837736984 59.54600717783056, 11.464495718093316 59.545979324039074, 11.457688492626124 59.54569709495876, 11.457335336342354 59.54566545089691)</t>
  </si>
  <si>
    <t>[1676756, 1676764, 1676772]</t>
  </si>
  <si>
    <t>[1503671, 1503680, 1503688]</t>
  </si>
  <si>
    <t>[1503670, 1503671, 1503680]</t>
  </si>
  <si>
    <t>[0.042, 0.001, 0.012]</t>
  </si>
  <si>
    <t>417.92916247105927</t>
  </si>
  <si>
    <t>[0.005, 0.008, 0.024, 0.021, 0.021, 0.018]</t>
  </si>
  <si>
    <t>6792.0</t>
  </si>
  <si>
    <t>LINESTRING (11.457335336342354 59.54566545089691, 11.448306178088078 59.54669551921434, 11.446445615451578 59.5470821715988, 11.444920541307242 59.54739959686061, 11.444560756446132 59.547476685404476, 11.444211403053574 59.5475515399593, 11.443043892274872 59.547800847145865)</t>
  </si>
  <si>
    <t>[1680725, 2054388, 2054396, 2054404, 2054412, 2054420]</t>
  </si>
  <si>
    <t>[1506614, 1787293, 1787300, 1787303, 1787308, 1786815]</t>
  </si>
  <si>
    <t>0.009410458173047495</t>
  </si>
  <si>
    <t>[1503688, 1506614, 1787293, 1787300, 1787303, 1787308]</t>
  </si>
  <si>
    <t>848.1270354107347</t>
  </si>
  <si>
    <t>98.47524965181194</t>
  </si>
  <si>
    <t>[0.017, 0.002, 0.035]</t>
  </si>
  <si>
    <t>LINESTRING (11.459075388033286 59.54563929002514, 11.459411412833868 59.545591863285026, 11.464482105940597 59.545265291760224, 11.464545320975262 59.54523644129241)</t>
  </si>
  <si>
    <t>[1676780, 1676788, 1676796]</t>
  </si>
  <si>
    <t>[1503696, 1503699, 1503707]</t>
  </si>
  <si>
    <t>0.0034276372092196515</t>
  </si>
  <si>
    <t>[1503695, 1503696, 1503699]</t>
  </si>
  <si>
    <t>318.4372264554353</t>
  </si>
  <si>
    <t>10.807116353348768</t>
  </si>
  <si>
    <t>LINESTRING (10.922508146248253 59.34547105596712, 10.922261640095066 59.34557165065769, 10.921980763662209 59.34562626662725)</t>
  </si>
  <si>
    <t>[1679053, 1679069]</t>
  </si>
  <si>
    <t>[1505432, 1505441]</t>
  </si>
  <si>
    <t>[1471994, 1505432]</t>
  </si>
  <si>
    <t>35.59200344136627</t>
  </si>
  <si>
    <t>LINESTRING (10.922508146248253 59.34547105596712, 10.922218043875336 59.34553156034591, 10.921980763662209 59.34562626662725)</t>
  </si>
  <si>
    <t>[1680157, 1680173]</t>
  </si>
  <si>
    <t>[1506186, 1505441]</t>
  </si>
  <si>
    <t>[1471994, 1506186]</t>
  </si>
  <si>
    <t>35.51732449725032</t>
  </si>
  <si>
    <t>79.45637940134242</t>
  </si>
  <si>
    <t>[-0.028, -0.033]</t>
  </si>
  <si>
    <t>LINESTRING (10.920674525994242 59.34587575443043, 10.920421452744987 59.34597481832207, 10.920335473672356 59.346001794626346)</t>
  </si>
  <si>
    <t>[1679077, 1679085]</t>
  </si>
  <si>
    <t>[1505447, 1505458]</t>
  </si>
  <si>
    <t>[1505446, 1505447]</t>
  </si>
  <si>
    <t>23.88944663625631</t>
  </si>
  <si>
    <t>[-0.002, -0.025]</t>
  </si>
  <si>
    <t>LINESTRING (10.920674525994242 59.34587575443043, 10.920350850172092 59.34591775995723, 10.920252487082585 59.34594524722573)</t>
  </si>
  <si>
    <t>[1680181, 1680189]</t>
  </si>
  <si>
    <t>[1506202, 1506210]</t>
  </si>
  <si>
    <t>[1505446, 1506202]</t>
  </si>
  <si>
    <t>[0.002, 0.025]</t>
  </si>
  <si>
    <t>25.38780026181487</t>
  </si>
  <si>
    <t>[0.513, -0.819]</t>
  </si>
  <si>
    <t>LINESTRING (10.920252487082585 59.34594524722573, 10.92030888753397 59.34597398809985, 10.920335473672356 59.346001794626346)</t>
  </si>
  <si>
    <t>[1701059, 1701067]</t>
  </si>
  <si>
    <t>[1520284, 1505458]</t>
  </si>
  <si>
    <t>[1506210, 1520284]</t>
  </si>
  <si>
    <t>[0.513, 0.819]</t>
  </si>
  <si>
    <t>7.982501549394739</t>
  </si>
  <si>
    <t>[-0.043, 0.026, 0.024]</t>
  </si>
  <si>
    <t>LINESTRING (11.464703708882672 59.54593731077878, 11.464702605918983 59.54588976926272, 11.464682263039704 59.545333361132705, 11.46468200722418 59.54530035848461)</t>
  </si>
  <si>
    <t>[1685489, 1685497, 1685505]</t>
  </si>
  <si>
    <t>[1509892, 1509899, 1509905]</t>
  </si>
  <si>
    <t>0.020746740240941853</t>
  </si>
  <si>
    <t>[1509891, 1509892, 1509899]</t>
  </si>
  <si>
    <t>[0.043, 0.026, 0.024]</t>
  </si>
  <si>
    <t>70.97679248749172</t>
  </si>
  <si>
    <t>[0.169, 0.042]</t>
  </si>
  <si>
    <t>LINESTRING (11.464703708882672 59.54593731077878, 11.464757231510243 59.545933365101064, 11.464810096043287 59.54593569335563)</t>
  </si>
  <si>
    <t>[1702729, 1702737]</t>
  </si>
  <si>
    <t>[1521295, 1521301]</t>
  </si>
  <si>
    <t>0.10610498142001241</t>
  </si>
  <si>
    <t>[1509891, 1521295]</t>
  </si>
  <si>
    <t>6.061077912244603</t>
  </si>
  <si>
    <t>[-0.05, -0.769]</t>
  </si>
  <si>
    <t>LINESTRING (11.464788016333952 59.54530232617728, 11.464734588725499 59.54530537559807, 11.46468200722418 59.54530035848461)</t>
  </si>
  <si>
    <t>[1702817, 1702825]</t>
  </si>
  <si>
    <t>[1521350, 1509905]</t>
  </si>
  <si>
    <t>[1521346, 1521350]</t>
  </si>
  <si>
    <t>[0.05, 0.769]</t>
  </si>
  <si>
    <t>6.067930455282656</t>
  </si>
  <si>
    <t>[-0.034, 0.022, -0.022, -0.005]</t>
  </si>
  <si>
    <t>LINESTRING (11.257637497633997 59.11045515823451, 11.257736369078382 59.1105341990484, 11.258197309603592 59.11088009143864, 11.260632316875258 59.112633025680594, 11.264838089093775 59.11564583213664)</t>
  </si>
  <si>
    <t>[1697207, 1697215, 1697223, 1697231]</t>
  </si>
  <si>
    <t>[1517789, 1517794, 1517801, 1517807]</t>
  </si>
  <si>
    <t>[1517784, 1517789, 1517794, 1517801]</t>
  </si>
  <si>
    <t>[0.034, 0.022, 0.022, 0.005]</t>
  </si>
  <si>
    <t>710.4187495470301</t>
  </si>
  <si>
    <t>[0.002, -0.035, -0.077]</t>
  </si>
  <si>
    <t>LINESTRING (11.264838089093775 59.11564583213664, 11.264948803721285 59.11572620586127, 11.270804250347343 59.123842142997574, 11.270771470600316 59.12526034456419)</t>
  </si>
  <si>
    <t>[1697239, 1697247, 1697255]</t>
  </si>
  <si>
    <t>[1517816, 1517819, 1517822]</t>
  </si>
  <si>
    <t>[1517807, 1517816, 1517819]</t>
  </si>
  <si>
    <t>[0.002, 0.035, 0.077]</t>
  </si>
  <si>
    <t>1148.6214495000318</t>
  </si>
  <si>
    <t>[-0.087, 0.024, 0.066, 0.015, 0.439]</t>
  </si>
  <si>
    <t>LINESTRING (11.270771470600316 59.12526034456419, 11.270834583393682 59.12538308624608, 11.270654920311479 59.12637935777713, 11.270523442953074 59.126917373252084, 11.271554266226708 59.127959824978895, 11.271683920472158 59.127996175486686)</t>
  </si>
  <si>
    <t>[1698047, 1674442, 1674450, 1674458, 1823441]</t>
  </si>
  <si>
    <t>[1501794, 1501795, 1501803, 1501810, 1602638]</t>
  </si>
  <si>
    <t>0.03380893287239224</t>
  </si>
  <si>
    <t>[1517822, 1501794, 1501795, 1501803, 1501810]</t>
  </si>
  <si>
    <t>[0.087, 0.024, 0.066, 0.015, 0.439]</t>
  </si>
  <si>
    <t>329.72942398720534</t>
  </si>
  <si>
    <t>[0.028, 0.019, 0.009, 0.004, -0.01, -0.018, -0.017]</t>
  </si>
  <si>
    <t>LINESTRING (10.84440899401355 59.35781843627171, 10.844327951369161 59.35783581985913, 10.84400409251479 59.357903520407575, 10.84376167687493 59.35795602571571, 10.843696890039604 59.35797023230579, 10.840081699735032 59.35885544897412, 10.83981569511401 59.35892787411671, 10.833084460379133 59.361195207597056)</t>
  </si>
  <si>
    <t>[1697415, 1697423, 1697431, 1697439, 1697447, 1697455, 1697463]</t>
  </si>
  <si>
    <t>[1517920, 1517925, 1517928, 1517933, 1517936, 1517941, 1517945]</t>
  </si>
  <si>
    <t>[1517915, 1517920, 1517925, 1517928, 1517933, 1517936, 1517941]</t>
  </si>
  <si>
    <t>[0.028, 0.019, 0.009, 0.004, 0.01, 0.018, 0.017]</t>
  </si>
  <si>
    <t>748.5048110575037</t>
  </si>
  <si>
    <t>[0.036, -0.017, -0.04, -0.052, 0.07, 0.066, 0.003, 0.002, 0.015, -0.013]</t>
  </si>
  <si>
    <t>43687.0</t>
  </si>
  <si>
    <t>LINESTRING (10.833084460379133 59.361195207597056, 10.832594500889304 59.3613814424342, 10.832157081989198 59.361550699726656, 10.831407427998055 59.36184287389768, 10.831349282158266 59.3618631317366, 10.829885085634883 59.362420843643235, 10.829790879366 59.3624577583428, 10.78458534757128 59.374309684108816, 10.758938370697619 59.38243475657694, 10.758634424234817 59.38259503322324, 10.757412469669413 59.38323533890834)</t>
  </si>
  <si>
    <t>[1697471, 1697479, 1697487, 1697495, 1697503, 1697511, 1697519, 1697527, 1697535, 1697543]</t>
  </si>
  <si>
    <t>[1517952, 1517958, 1517960, 1517966, 1517970, 1517976, 1517978, 1517984, 1517990, 1517997]</t>
  </si>
  <si>
    <t>0.0034734333162957094</t>
  </si>
  <si>
    <t>[1517945, 1517952, 1517958, 1517960, 1517966, 1517970, 1517976, 1517978, 1517984, 1517990]</t>
  </si>
  <si>
    <t>[0.036, 0.017, 0.04, 0.052, 0.07, 0.066, 0.003, 0.002, 0.015, 0.013]</t>
  </si>
  <si>
    <t>4986.9110329673495</t>
  </si>
  <si>
    <t>[-0.012, -0.009, 0.019, -0.042, -0.051, -0.049, -0.056]</t>
  </si>
  <si>
    <t>LINESTRING (10.757412469669413 59.38323533890834, 10.757280660270709 59.38330189362866, 10.744907779467576 59.38871571949923, 10.744654426672847 59.38883271222906, 10.744233909416598 59.38902899376273, 10.744194590825769 59.38904786947843, 10.744111189525439 59.389087902084746, 10.743776432274194 59.38924876769415)</t>
  </si>
  <si>
    <t>[1697551, 1697559, 1697567, 1697575, 1697583, 1697591, 1697599]</t>
  </si>
  <si>
    <t>[1518002, 1518006, 1518010, 1518018, 1518024, 1518028, 1518033]</t>
  </si>
  <si>
    <t>[1517997, 1518002, 1518006, 1518010, 1518018, 1518024, 1518028]</t>
  </si>
  <si>
    <t>[0.012, 0.009, 0.019, 0.042, 0.051, 0.049, 0.056]</t>
  </si>
  <si>
    <t>1025.999678005992</t>
  </si>
  <si>
    <t>51.84640778310582</t>
  </si>
  <si>
    <t>[0.035, 0.036]</t>
  </si>
  <si>
    <t>LINESTRING (10.751000506994806 59.38563628282295, 10.751062484398203 59.38568365122609, 10.751142560092873 59.385768603119175)</t>
  </si>
  <si>
    <t>[1701875, 1701883]</t>
  </si>
  <si>
    <t>[1520762, 1519913]</t>
  </si>
  <si>
    <t>0.0356233748216876</t>
  </si>
  <si>
    <t>[1520525, 1520762]</t>
  </si>
  <si>
    <t>16.850844714370442</t>
  </si>
  <si>
    <t>LINESTRING (10.75088014776125 59.38571058745796, 10.750960128014489 59.385730622905534, 10.751142560092873 59.385768603119175)</t>
  </si>
  <si>
    <t>[1703663, 1703671]</t>
  </si>
  <si>
    <t>[1521925, 1519913]</t>
  </si>
  <si>
    <t>[1520536, 1521925]</t>
  </si>
  <si>
    <t>16.266836098601686</t>
  </si>
  <si>
    <t>LINESTRING (10.751796394219356 59.386092959101774, 10.752024374723986 59.386144454770765, 10.75209205314633 59.38615295619402)</t>
  </si>
  <si>
    <t>[1701891, 1701899]</t>
  </si>
  <si>
    <t>[1520768, 1520568]</t>
  </si>
  <si>
    <t>0.048655426161682086</t>
  </si>
  <si>
    <t>[1519914, 1520768]</t>
  </si>
  <si>
    <t>18.136242263003787</t>
  </si>
  <si>
    <t>[0.039, 0.045]</t>
  </si>
  <si>
    <t>LINESTRING (10.751796394219356 59.386092959101774, 10.751892889713213 59.3861950182542, 10.751927807136944 59.38622583063233)</t>
  </si>
  <si>
    <t>[1703679, 1703687]</t>
  </si>
  <si>
    <t>[1521933, 1520595]</t>
  </si>
  <si>
    <t>0.040434131858948896</t>
  </si>
  <si>
    <t>[1519914, 1521933]</t>
  </si>
  <si>
    <t>16.593061696999257</t>
  </si>
  <si>
    <t>[-0.036, -0.026, -0.021, -0.02, -0.003, 0.006]</t>
  </si>
  <si>
    <t>LINESTRING (11.20759352372683 59.17925236463897, 11.206993137525883 59.178948946951046, 11.206762463104852 59.17892498149241, 11.206591688773825 59.178910497441755, 11.205984651806759 59.178871889777334, 11.205963911337584 59.17887096888452, 11.204175512874302 59.17927561320844)</t>
  </si>
  <si>
    <t>[1700635, 1700643, 1700651, 1700659, 1700667, 1700675]</t>
  </si>
  <si>
    <t>[1519988, 1519996, 1520002, 1520008, 1520013, 1520018]</t>
  </si>
  <si>
    <t>[1519987, 1519988, 1519996, 1520002, 1520008, 1520013]</t>
  </si>
  <si>
    <t>[0.036, 0.026, 0.021, 0.02, 0.003, 0.006]</t>
  </si>
  <si>
    <t>227.12236718025264</t>
  </si>
  <si>
    <t>[-0.042, -0.039]</t>
  </si>
  <si>
    <t>LINESTRING (11.207695671290136 59.179468406383855, 11.207648975910306 59.179411080842264, 11.20759352372683 59.17925236463897)</t>
  </si>
  <si>
    <t>[1701987, 1701995]</t>
  </si>
  <si>
    <t>[1520829, 1519987]</t>
  </si>
  <si>
    <t>[1520441, 1520829]</t>
  </si>
  <si>
    <t>[0.042, 0.039]</t>
  </si>
  <si>
    <t>25.243244035620634</t>
  </si>
  <si>
    <t>LINESTRING (11.207828342778239 59.17944081838763, 11.207771347954361 59.17938381228058, 11.20759352372683 59.17925236463897)</t>
  </si>
  <si>
    <t>[1703759, 1703767]</t>
  </si>
  <si>
    <t>[1521989, 1519987]</t>
  </si>
  <si>
    <t>[1520452, 1521989]</t>
  </si>
  <si>
    <t>25.14169500885716</t>
  </si>
  <si>
    <t>LINESTRING (11.204175512874302 59.17927561320844, 11.204027509834999 59.17940972748191, 11.203964525127725 59.179456430269035)</t>
  </si>
  <si>
    <t>[1702003, 1702011]</t>
  </si>
  <si>
    <t>[1520836, 1520384]</t>
  </si>
  <si>
    <t>0.008199733953084142</t>
  </si>
  <si>
    <t>[1520018, 1520836]</t>
  </si>
  <si>
    <t>23.724011374541885</t>
  </si>
  <si>
    <t>LINESTRING (11.204175512874302 59.17927561320844, 11.203950881725701 59.179374224288594, 11.203876471918498 59.17941340107669)</t>
  </si>
  <si>
    <t>[1703775, 1703783]</t>
  </si>
  <si>
    <t>[1522000, 1520405]</t>
  </si>
  <si>
    <t>0.0022613724856291205</t>
  </si>
  <si>
    <t>[1520018, 1522000]</t>
  </si>
  <si>
    <t>23.32265482114606</t>
  </si>
  <si>
    <t>LINESTRING (11.262407627775525 59.11151152575014, 11.262314356800426 59.11147864074262, 11.261981820873594 59.11136079162619)</t>
  </si>
  <si>
    <t>[1702019, 1702027]</t>
  </si>
  <si>
    <t>[1520847, 1520073]</t>
  </si>
  <si>
    <t>0.009656287435133607</t>
  </si>
  <si>
    <t>[1520306, 1520847]</t>
  </si>
  <si>
    <t>29.619460955716534</t>
  </si>
  <si>
    <t>LINESTRING (11.262494359574761 59.111421433982684, 11.262392301254339 59.111409511009896, 11.261981820873594 59.11136079162619)</t>
  </si>
  <si>
    <t>[1703791, 1703799]</t>
  </si>
  <si>
    <t>[1522009, 1520073]</t>
  </si>
  <si>
    <t>[1520315, 1522009]</t>
  </si>
  <si>
    <t>30.1350645611425</t>
  </si>
  <si>
    <t>[-0.008, -0.012]</t>
  </si>
  <si>
    <t>LINESTRING (11.262407627775525 59.11151152575014, 11.262426256757207 59.111468913028936, 11.262494359574761 59.111421433982684)</t>
  </si>
  <si>
    <t>[1701099, 1701107]</t>
  </si>
  <si>
    <t>[1520312, 1520315]</t>
  </si>
  <si>
    <t>[1520306, 1520312]</t>
  </si>
  <si>
    <t>11.4396413958581</t>
  </si>
  <si>
    <t>[0.023, 0.021]</t>
  </si>
  <si>
    <t>LINESTRING (11.203876471918498 59.17941340107669, 11.203918725306897 59.17942722251094, 11.203964525127725 59.179456430269035)</t>
  </si>
  <si>
    <t>[1701291, 1701299]</t>
  </si>
  <si>
    <t>[1520413, 1520384]</t>
  </si>
  <si>
    <t>0.021813704531172803</t>
  </si>
  <si>
    <t>[1520405, 1520413]</t>
  </si>
  <si>
    <t>7.042629471353816</t>
  </si>
  <si>
    <t>[-0.01, 0.007]</t>
  </si>
  <si>
    <t>LINESTRING (11.207695671290136 59.179468406383855, 11.207752277283431 59.17944758581684, 11.207828342778239 59.17944081838763)</t>
  </si>
  <si>
    <t>[1701339, 1701347]</t>
  </si>
  <si>
    <t>[1520448, 1520452]</t>
  </si>
  <si>
    <t>[1520441, 1520448]</t>
  </si>
  <si>
    <t>[0.01, 0.007]</t>
  </si>
  <si>
    <t>8.397209561247337</t>
  </si>
  <si>
    <t>[-0.006, -0.019]</t>
  </si>
  <si>
    <t>LINESTRING (10.751000506994806 59.38563628282295, 10.75095451925206 59.38567974289728, 10.75088014776125 59.38571058745796)</t>
  </si>
  <si>
    <t>[1701467, 1701475]</t>
  </si>
  <si>
    <t>[1520530, 1520536]</t>
  </si>
  <si>
    <t>[1520525, 1520530]</t>
  </si>
  <si>
    <t>10.952488252778533</t>
  </si>
  <si>
    <t>[0.005, 0.025]</t>
  </si>
  <si>
    <t>LINESTRING (10.751927807136944 59.38622583063233, 10.75198223519546 59.386185343078736, 10.75209205314633 59.38615295619402)</t>
  </si>
  <si>
    <t>[1701571, 1701579]</t>
  </si>
  <si>
    <t>[1520602, 1520568]</t>
  </si>
  <si>
    <t>0.01637224398367297</t>
  </si>
  <si>
    <t>[1520595, 1520602]</t>
  </si>
  <si>
    <t>12.681934297718012</t>
  </si>
  <si>
    <t>[-0.034, 0.054, 0.053]</t>
  </si>
  <si>
    <t>LINESTRING (11.464810096043287 59.54593569335563, 11.464812628159324 59.54588775578173, 11.464788400213914 59.54533326499722, 11.464788016333952 59.54530232617728)</t>
  </si>
  <si>
    <t>[1719984, 1719992, 1720000]</t>
  </si>
  <si>
    <t>[1532602, 1532606, 1521346]</t>
  </si>
  <si>
    <t>0.04728994656593189</t>
  </si>
  <si>
    <t>[1521301, 1532602, 1532606]</t>
  </si>
  <si>
    <t>[0.034, 0.054, 0.053]</t>
  </si>
  <si>
    <t>70.58347001871012</t>
  </si>
  <si>
    <t>[0.01, 0.001, -0.008, -0.016]</t>
  </si>
  <si>
    <t>LINESTRING (14.146145363585099 66.3063321955314, 14.146329796205382 66.30636532744016, 14.146392861366074 66.30639904911489, 14.146428173039224 66.30644948564778, 14.146398200881979 66.30651122736704)</t>
  </si>
  <si>
    <t>[1707381, 1707389, 1707397, 1707405]</t>
  </si>
  <si>
    <t>[1524313, 1524322, 1524328, 1524334]</t>
  </si>
  <si>
    <t>[1524312, 1524313, 1524322, 1524328]</t>
  </si>
  <si>
    <t>[0.01, 0.001, 0.008, 0.016]</t>
  </si>
  <si>
    <t>26.61463284270011</t>
  </si>
  <si>
    <t>LINESTRING (14.145853482691022 66.30638962800482, 14.14598731895906 66.30634299125686, 14.146145363585099 66.3063321955314)</t>
  </si>
  <si>
    <t>[1707461, 1707469]</t>
  </si>
  <si>
    <t>[1524372, 1524312]</t>
  </si>
  <si>
    <t>0.02204967149402159</t>
  </si>
  <si>
    <t>[1524367, 1524372]</t>
  </si>
  <si>
    <t>15.128506687435607</t>
  </si>
  <si>
    <t>38.52692825801761</t>
  </si>
  <si>
    <t>36.46056281830708</t>
  </si>
  <si>
    <t>[-0.023, -0.018]</t>
  </si>
  <si>
    <t>LINESTRING (14.146398200881979 66.30651122736704, 14.146273047542536 66.30656553825978, 14.146112335637879 66.30658259981797)</t>
  </si>
  <si>
    <t>[1707413, 1707421]</t>
  </si>
  <si>
    <t>[1524342, 1524347]</t>
  </si>
  <si>
    <t>[1524334, 1524342]</t>
  </si>
  <si>
    <t>[0.023, 0.018]</t>
  </si>
  <si>
    <t>15.708452177181199</t>
  </si>
  <si>
    <t>36.723598856635235</t>
  </si>
  <si>
    <t>[-0.012, -0.002, 0.005, 0.015]</t>
  </si>
  <si>
    <t>LINESTRING (14.146112335637879 66.30658259981797, 14.145939326258667 66.30656047612611, 14.145837010463547 66.30651290139153, 14.145805373862567 66.30646724002041, 14.145853482691022 66.30638962800482)</t>
  </si>
  <si>
    <t>[1707429, 1707437, 1707445, 1707453]</t>
  </si>
  <si>
    <t>[1524350, 1524355, 1524361, 1524367]</t>
  </si>
  <si>
    <t>0.0016506438338322817</t>
  </si>
  <si>
    <t>[1524347, 1524350, 1524355, 1524361]</t>
  </si>
  <si>
    <t>[0.012, 0.002, 0.005, 0.015]</t>
  </si>
  <si>
    <t>29.353075431646033</t>
  </si>
  <si>
    <t>40.23839231006484</t>
  </si>
  <si>
    <t>[-0.018, -0.022, -0.045]</t>
  </si>
  <si>
    <t>LINESTRING (10.207450576762342 59.177019309351095, 10.207387781116033 59.17708605511507, 10.206984960825716 59.18133860221506, 10.207114556198446 59.18171811209959)</t>
  </si>
  <si>
    <t>[1708569, 1708577, 1708312]</t>
  </si>
  <si>
    <t>[1525145, 1524965, 1524966]</t>
  </si>
  <si>
    <t>[1525144, 1525145, 1524965]</t>
  </si>
  <si>
    <t>[0.018, 0.022, 0.045]</t>
  </si>
  <si>
    <t>531.7879761395659</t>
  </si>
  <si>
    <t>[-0.223, -0.017, -0.002, 0.195]</t>
  </si>
  <si>
    <t>LINESTRING (10.205904230070194 59.17693569650743, 10.20584190923312 59.17688525824189, 10.20579796986433 59.17677675962062, 10.205866513462642 59.1766759366478, 10.205965764295591 59.176617546677676)</t>
  </si>
  <si>
    <t>[2114943, 2114951, 2114959, 2114967]</t>
  </si>
  <si>
    <t>[1525017, 1824213, 1524989, 1525237]</t>
  </si>
  <si>
    <t>[1524978, 1525017, 1824213, 1524989]</t>
  </si>
  <si>
    <t>[0.223, 0.017, 0.002, 0.195]</t>
  </si>
  <si>
    <t>39.54697837011129</t>
  </si>
  <si>
    <t>[0.013, 0.01, -0.004]</t>
  </si>
  <si>
    <t>LINESTRING (10.206315686665125 59.18046144535847, 10.2061804850019 59.18007514247154, 10.20595265329582 59.17701711381413, 10.205904230070194 59.17693569650743)</t>
  </si>
  <si>
    <t>[1708336, 1708320, 1708328]</t>
  </si>
  <si>
    <t>[1524970, 1524971, 1524978]</t>
  </si>
  <si>
    <t>0.009995960230160394</t>
  </si>
  <si>
    <t>[1524982, 1524970, 1524971]</t>
  </si>
  <si>
    <t>[0.013, 0.01, 0.004]</t>
  </si>
  <si>
    <t>395.00634467883185</t>
  </si>
  <si>
    <t>[-0.107, -0.028, 0.044]</t>
  </si>
  <si>
    <t>LINESTRING (10.207450576762342 59.177019309351095, 10.207155462590048 59.177089243991254, 10.206163235324508 59.177041692920646, 10.205904230070194 59.17693569650743)</t>
  </si>
  <si>
    <t>[2115037, 2115045, 2115053]</t>
  </si>
  <si>
    <t>[1824260, 1824263, 1524978]</t>
  </si>
  <si>
    <t>[1525144, 1824260, 1824263]</t>
  </si>
  <si>
    <t>[0.107, 0.028, 0.044]</t>
  </si>
  <si>
    <t>95.75537494062351</t>
  </si>
  <si>
    <t>835.583451041737</t>
  </si>
  <si>
    <t>[0.001, -0.011, -0.02]</t>
  </si>
  <si>
    <t>LINESTRING (10.205965764295591 59.176617546677676, 10.206023494498709 59.176542077673886, 10.206355473998935 59.173364136667786, 10.206292415635017 59.17298635609085)</t>
  </si>
  <si>
    <t>[1708689, 1708697, 1708408]</t>
  </si>
  <si>
    <t>[1525238, 1525036, 1525037]</t>
  </si>
  <si>
    <t>[1525237, 1525238, 1525036]</t>
  </si>
  <si>
    <t>[0.001, 0.011, 0.02]</t>
  </si>
  <si>
    <t>409.243789489454</t>
  </si>
  <si>
    <t>15.428150965826653</t>
  </si>
  <si>
    <t>7.448930192164566</t>
  </si>
  <si>
    <t>[-0.009, -0.012]</t>
  </si>
  <si>
    <t>LINESTRING (10.209619322550797 59.176781446003496, 10.209291385385056 59.176900169107896, 10.209202862742268 59.17693057746494)</t>
  </si>
  <si>
    <t>[1708585, 1708593]</t>
  </si>
  <si>
    <t>[1525159, 1525165]</t>
  </si>
  <si>
    <t>[1525158, 1525159]</t>
  </si>
  <si>
    <t>29.811827283202224</t>
  </si>
  <si>
    <t>LINESTRING (10.209619322550797 59.176781446003496, 10.20923997783222 59.176806984990165, 10.209147449807993 59.17680721879961)</t>
  </si>
  <si>
    <t>[1708601, 1708609]</t>
  </si>
  <si>
    <t>[1525172, 1525177]</t>
  </si>
  <si>
    <t>[1525158, 1525172]</t>
  </si>
  <si>
    <t>27.181784900615607</t>
  </si>
  <si>
    <t>[-0.679, -0.006, -0.029, 0.293]</t>
  </si>
  <si>
    <t>LINESTRING (10.209202862742268 59.17693057746494, 10.209171977468486 59.17696499513938, 10.209055230288003 59.1770123424234, 10.208894967587964 59.17701358182218, 10.208775203741654 59.1769709626742)</t>
  </si>
  <si>
    <t>[2114887, 2114895, 2114903, 2114911]</t>
  </si>
  <si>
    <t>[1525288, 1824182, 1525309, 1525230]</t>
  </si>
  <si>
    <t>[1525165, 1525288, 1824182, 1525309]</t>
  </si>
  <si>
    <t>[0.679, 0.006, 0.029, 0.293]</t>
  </si>
  <si>
    <t>30.242495942612663</t>
  </si>
  <si>
    <t>[-0.508, 0.364]</t>
  </si>
  <si>
    <t>LINESTRING (10.209147449807993 59.17680721879961, 10.209203030421893 59.17685426697225, 10.209202862742268 59.17693057746494)</t>
  </si>
  <si>
    <t>[2114871, 2114879]</t>
  </si>
  <si>
    <t>[1824169, 1525165]</t>
  </si>
  <si>
    <t>[1525177, 1824169]</t>
  </si>
  <si>
    <t>[0.508, 0.364]</t>
  </si>
  <si>
    <t>14.637821840128682</t>
  </si>
  <si>
    <t>[-1.438, 0.017, 0.029, 0.896]</t>
  </si>
  <si>
    <t>LINESTRING (10.208795922300903 59.17680459420084, 10.208825264292162 59.17679168149026, 10.208947559962688 59.17676812526974, 10.209094635158719 59.17678618843832, 10.209147449807993 59.17680721879961)</t>
  </si>
  <si>
    <t>[2114935, 2114847, 2114855, 2114863]</t>
  </si>
  <si>
    <t>[1525190, 1824160, 1525253, 1525177]</t>
  </si>
  <si>
    <t>0.02819077196247289</t>
  </si>
  <si>
    <t>[1525210, 1525190, 1824160, 1525253]</t>
  </si>
  <si>
    <t>[1.438, 0.017, 0.029, 0.896]</t>
  </si>
  <si>
    <t>22.159866452809627</t>
  </si>
  <si>
    <t>[0.033, 0.04, 0.044]</t>
  </si>
  <si>
    <t>LINESTRING (10.207582990437388 59.17670748466725, 10.20771392654974 59.17675339636768, 10.20868332342653 59.17681823584389, 10.208795922300903 59.17680459420084)</t>
  </si>
  <si>
    <t>[1708641, 1708649, 1708657]</t>
  </si>
  <si>
    <t>[1525199, 1525205, 1525210]</t>
  </si>
  <si>
    <t>0.039489481387941415</t>
  </si>
  <si>
    <t>[1525198, 1525199, 1525205]</t>
  </si>
  <si>
    <t>72.52966491551011</t>
  </si>
  <si>
    <t>[-0.125, 0.116]</t>
  </si>
  <si>
    <t>LINESTRING (10.207582990437388 59.17670748466725, 10.207653997744732 59.17684369013152, 10.207544272121599 59.176972901635125)</t>
  </si>
  <si>
    <t>[2115007, 2115015]</t>
  </si>
  <si>
    <t>[1824244, 1525217]</t>
  </si>
  <si>
    <t>[1525198, 1824244]</t>
  </si>
  <si>
    <t>[0.125, 0.116]</t>
  </si>
  <si>
    <t>31.82114169494648</t>
  </si>
  <si>
    <t>[-0.298, 0.321]</t>
  </si>
  <si>
    <t>LINESTRING (10.208775203741654 59.1769709626742, 10.208724060809645 59.17688427375907, 10.208795922300903 59.17680459420084)</t>
  </si>
  <si>
    <t>[2114919, 2114927]</t>
  </si>
  <si>
    <t>[1824193, 1525210]</t>
  </si>
  <si>
    <t>0.006688380664249604</t>
  </si>
  <si>
    <t>[1525230, 1824193]</t>
  </si>
  <si>
    <t>[0.298, 0.321]</t>
  </si>
  <si>
    <t>19.881493096047684</t>
  </si>
  <si>
    <t>[0.037, 0.04, 0.034]</t>
  </si>
  <si>
    <t>LINESTRING (10.207544272121599 59.176972901635125, 10.207684790773019 59.17693863187548, 10.208668671225569 59.176939716670496, 10.208775203741654 59.1769709626742)</t>
  </si>
  <si>
    <t>[1708665, 1708673, 1708681]</t>
  </si>
  <si>
    <t>[1525218, 1525223, 1525230]</t>
  </si>
  <si>
    <t>0.03905617160140462</t>
  </si>
  <si>
    <t>[1525217, 1525218, 1525223]</t>
  </si>
  <si>
    <t>72.91363682364154</t>
  </si>
  <si>
    <t>[0.012, -0.001, 0.025]</t>
  </si>
  <si>
    <t>LINESTRING (10.218446300368042 60.15044400463481, 10.217973768606122 60.15066637405501, 10.217919110111632 60.15069643663562, 10.217733866047473 60.15069747098654)</t>
  </si>
  <si>
    <t>[1716706, 1716717, 1716718]</t>
  </si>
  <si>
    <t>[1530637, 232698, 1267201]</t>
  </si>
  <si>
    <t>0.01346941148781808</t>
  </si>
  <si>
    <t>[1530636, 1530637, 232698]</t>
  </si>
  <si>
    <t>[0.012, 0.001, 0.025]</t>
  </si>
  <si>
    <t>51.06745921536156</t>
  </si>
  <si>
    <t>[0.023, -0.002, -0.024]</t>
  </si>
  <si>
    <t>LINESTRING (10.218446300368042 60.15044400463481, 10.21780496136996 60.150587201931565, 10.217745525644485 60.150617361468996, 10.217733866047473 60.15069747098654)</t>
  </si>
  <si>
    <t>[1716721, 1716739, 1716760]</t>
  </si>
  <si>
    <t>[1530646, 232686, 1267201]</t>
  </si>
  <si>
    <t>0.01283448196577615</t>
  </si>
  <si>
    <t>[1530636, 1530646, 232686]</t>
  </si>
  <si>
    <t>[0.023, 0.002, 0.024]</t>
  </si>
  <si>
    <t>52.98426894080171</t>
  </si>
  <si>
    <t>106.39879349938515</t>
  </si>
  <si>
    <t>[-0.003, -0.022]</t>
  </si>
  <si>
    <t>LINESTRING (10.219370032545113 60.15200306311903, 10.219470495423558 60.151834039258574, 10.220175762426056 60.15069874284466)</t>
  </si>
  <si>
    <t>[1716846, 1716719]</t>
  </si>
  <si>
    <t>[1530644, 1530645]</t>
  </si>
  <si>
    <t>[1530717, 1530644]</t>
  </si>
  <si>
    <t>[0.003, 0.022]</t>
  </si>
  <si>
    <t>158.5404940042233</t>
  </si>
  <si>
    <t>241.1424819976022</t>
  </si>
  <si>
    <t>[0.029, 0.009, -0.023]</t>
  </si>
  <si>
    <t>LINESTRING (10.220170935098196 60.15130814238588, 10.220142299061564 60.15133172597788, 10.21931707920967 60.15222996908613, 10.218595955987093 60.154704135950745)</t>
  </si>
  <si>
    <t>[1716780, 1716959, 1716967]</t>
  </si>
  <si>
    <t>[1530684, 1530777, 1530772]</t>
  </si>
  <si>
    <t>[1530673, 1530684, 1530777]</t>
  </si>
  <si>
    <t>[0.029, 0.009, 0.023]</t>
  </si>
  <si>
    <t>393.57832736571464</t>
  </si>
  <si>
    <t>LINESTRING (10.220170935098196 60.15130814238588, 10.21993176990895 60.151541016249794, 10.219964053191728 60.152944233778236)</t>
  </si>
  <si>
    <t>[1716823, 1716824]</t>
  </si>
  <si>
    <t>[1530706, 1530707]</t>
  </si>
  <si>
    <t>0.02153049659849203</t>
  </si>
  <si>
    <t>[1530673, 1530706]</t>
  </si>
  <si>
    <t>220.81784303749208</t>
  </si>
  <si>
    <t>80.14949157643483</t>
  </si>
  <si>
    <t>[-0.023, -0.022]</t>
  </si>
  <si>
    <t>LINESTRING (10.220636094068304 60.152342658756176, 10.220920085107343 60.15209671546877, 10.220968911651212 60.15206630590766)</t>
  </si>
  <si>
    <t>[1716847, 1716848]</t>
  </si>
  <si>
    <t>[1530718, 1530719]</t>
  </si>
  <si>
    <t>[1530713, 1530718]</t>
  </si>
  <si>
    <t>[0.023, 0.022]</t>
  </si>
  <si>
    <t>35.973981839842864</t>
  </si>
  <si>
    <t>LINESTRING (10.220636094068304 60.152342658756176, 10.220714987331915 60.15205098269357, 10.220718591762456 60.15201069902049)</t>
  </si>
  <si>
    <t>[1716850, 1716851]</t>
  </si>
  <si>
    <t>[1530720, 1530721]</t>
  </si>
  <si>
    <t>[1530713, 1530720]</t>
  </si>
  <si>
    <t>37.30104849830434</t>
  </si>
  <si>
    <t>306.99858455884333</t>
  </si>
  <si>
    <t>20.51524157794684</t>
  </si>
  <si>
    <t>[0.24, 0.243]</t>
  </si>
  <si>
    <t>LINESTRING (5.846973754154348 58.771795661399, 5.847055977721964 58.771856332835476, 5.84704767183968 58.77193813648832)</t>
  </si>
  <si>
    <t>[1717763, 1717768]</t>
  </si>
  <si>
    <t>[1531308, 1531268]</t>
  </si>
  <si>
    <t>0.2415742055703999</t>
  </si>
  <si>
    <t>[1531303, 1531308]</t>
  </si>
  <si>
    <t>17.442031585135027</t>
  </si>
  <si>
    <t>[-0.193, -0.248]</t>
  </si>
  <si>
    <t>LINESTRING (5.846749343635418 58.77200370317166, 5.846628816729823 58.77194735567975, 5.846609057681477 58.771860399439284)</t>
  </si>
  <si>
    <t>[1717716, 1717723]</t>
  </si>
  <si>
    <t>[1531274, 1531281]</t>
  </si>
  <si>
    <t>[1531269, 1531274]</t>
  </si>
  <si>
    <t>[0.193, 0.248]</t>
  </si>
  <si>
    <t>19.19309813301387</t>
  </si>
  <si>
    <t>[-0.165, -0.102, 0.056, 0.171]</t>
  </si>
  <si>
    <t>LINESTRING (5.846609057681477 58.771860399439284, 5.846637880433723 58.771826503297845, 5.846763575061962 58.771776681375094, 5.846907409920306 58.77177736140798, 5.846973754154348 58.771795661399)</t>
  </si>
  <si>
    <t>[1717731, 1717739, 1717747, 1717755]</t>
  </si>
  <si>
    <t>[1531285, 1531290, 1531295, 1531303]</t>
  </si>
  <si>
    <t>[1531281, 1531285, 1531290, 1531295]</t>
  </si>
  <si>
    <t>[0.165, 0.102, 0.056, 0.171]</t>
  </si>
  <si>
    <t>26.02181297449224</t>
  </si>
  <si>
    <t>[-0.0, -0.007, -0.001, 0.003]</t>
  </si>
  <si>
    <t>LINESTRING (10.03147571752587 59.74957573615051, 10.03118790929751 59.74974408899283, 10.030513402063743 59.750131652226, 10.02233194662953 59.75201281392826, 10.021785481159045 59.7519794799442)</t>
  </si>
  <si>
    <t>[1719605, 1719613, 1719621, 1719629]</t>
  </si>
  <si>
    <t>[1532413, 1532418, 1532424, 1532429]</t>
  </si>
  <si>
    <t>[1532406, 1532413, 1532418, 1532424]</t>
  </si>
  <si>
    <t>[0.0, 0.007, 0.001, 0.003]</t>
  </si>
  <si>
    <t>656.9392991118918</t>
  </si>
  <si>
    <t>[0.004, 0.003, 0.003, 0.003, 0.005]</t>
  </si>
  <si>
    <t>LINESTRING (10.021785481159045 59.7519794799442, 10.020481793499314 59.75190868713375, 10.019851682188783 59.75188537478236, 10.018766814002873 59.75187548721197, 10.01850747666112 59.751878381809526, 10.009279763258789 59.752257310643785)</t>
  </si>
  <si>
    <t>[1719645, 2007337, 2007345, 2007353, 2007361]</t>
  </si>
  <si>
    <t>[1532436, 1757330, 1757335, 1757339, 1757324]</t>
  </si>
  <si>
    <t>0.004581469458783694</t>
  </si>
  <si>
    <t>[1532429, 1532436, 1757330, 1757335, 1757339]</t>
  </si>
  <si>
    <t>707.4199331690422</t>
  </si>
  <si>
    <t>[-0.022, -0.011, 0.014, 0.034]</t>
  </si>
  <si>
    <t>LINESTRING (11.064231949236438 60.014653749358985, 11.064151569802936 60.014644411210085, 11.06405350805282 60.01460711738254, 11.064003855806064 60.01455069894245, 11.06413570375287 60.01442092618334)</t>
  </si>
  <si>
    <t>[1723950, 1723951, 1723952, 1723957]</t>
  </si>
  <si>
    <t>[1534537, 1534538, 1534539, 1534541]</t>
  </si>
  <si>
    <t>0.014111682248205634</t>
  </si>
  <si>
    <t>[1534536, 1534537, 1534538, 1534539]</t>
  </si>
  <si>
    <t>[0.022, 0.011, 0.014, 0.034]</t>
  </si>
  <si>
    <t>35.41421391730256</t>
  </si>
  <si>
    <t>[-0.038, -0.033]</t>
  </si>
  <si>
    <t>LINESTRING (11.064485576345504 60.014559945782416, 11.064404956256356 60.014625045700846, 11.064231949236438 60.014653749358985)</t>
  </si>
  <si>
    <t>[1723973, 1723992]</t>
  </si>
  <si>
    <t>[1534552, 1534536]</t>
  </si>
  <si>
    <t>[1534546, 1534552]</t>
  </si>
  <si>
    <t>18.702931683694423</t>
  </si>
  <si>
    <t>LINESTRING (11.06472202267029 60.01481748362365, 11.06438432528179 60.01469231273781, 11.064231949236438 60.014653749358985)</t>
  </si>
  <si>
    <t>[1724062, 1724069]</t>
  </si>
  <si>
    <t>[1534614, 1534536]</t>
  </si>
  <si>
    <t>[1534595, 1534614]</t>
  </si>
  <si>
    <t>32.965251444062815</t>
  </si>
  <si>
    <t>30.809594871498582</t>
  </si>
  <si>
    <t>LINESTRING (11.06472202267029 60.01481748362365, 11.064546650917778 60.01462646775353, 11.064485576345504 60.014559945782416)</t>
  </si>
  <si>
    <t>[1724076, 1724079]</t>
  </si>
  <si>
    <t>[1534624, 1534546]</t>
  </si>
  <si>
    <t>0.007774900967713765</t>
  </si>
  <si>
    <t>[1534595, 1534624]</t>
  </si>
  <si>
    <t>31.584531736370288</t>
  </si>
  <si>
    <t>242.45797789422843</t>
  </si>
  <si>
    <t>14.45615499773058</t>
  </si>
  <si>
    <t>40.017672647076296</t>
  </si>
  <si>
    <t>[-0.064, -0.02, 0.012, 0.029]</t>
  </si>
  <si>
    <t>LINESTRING (11.11843519866778 59.58572882804578, 11.118495300959356 59.58587319125371, 11.11840644296052 59.58593195556903, 11.118286325815225 59.585957428602654, 11.118090970804673 59.585932842537105)</t>
  </si>
  <si>
    <t>[1726123, 1726131, 1726139, 1726081]</t>
  </si>
  <si>
    <t>[1535932, 1535940, 1535915, 1535517]</t>
  </si>
  <si>
    <t>[1535507, 1535932, 1535940, 1535915]</t>
  </si>
  <si>
    <t>[0.064, 0.02, 0.012, 0.029]</t>
  </si>
  <si>
    <t>44.35723495669913</t>
  </si>
  <si>
    <t>15.456489255497873</t>
  </si>
  <si>
    <t>[-0.008, 0.041, 0.065]</t>
  </si>
  <si>
    <t>LINESTRING (11.113455671105157 59.58774907364533, 11.113461365090581 59.58770132652515, 11.116538599612522 59.58520481786302, 11.116561604858333 59.58515755766036)</t>
  </si>
  <si>
    <t>[1725695, 1725423, 1725431]</t>
  </si>
  <si>
    <t>[1535530, 1535531, 1535536]</t>
  </si>
  <si>
    <t>0.040617873507189435</t>
  </si>
  <si>
    <t>[1535514, 1535530, 1535531]</t>
  </si>
  <si>
    <t>[0.008, 0.041, 0.065]</t>
  </si>
  <si>
    <t>342.79689714287747</t>
  </si>
  <si>
    <t>18.936844275897464</t>
  </si>
  <si>
    <t>[-0.046, -0.032, 0.002]</t>
  </si>
  <si>
    <t>LINESTRING (11.118090970804673 59.585932842537105, 11.118000816818217 59.58593370014226, 11.113336343578382 59.58804687057184, 11.113231227335804 59.58806055857225)</t>
  </si>
  <si>
    <t>[1725407, 1725415, 1725703]</t>
  </si>
  <si>
    <t>[1535518, 1535523, 1535594]</t>
  </si>
  <si>
    <t>[1535517, 1535518, 1535523]</t>
  </si>
  <si>
    <t>[0.046, 0.032, 0.002]</t>
  </si>
  <si>
    <t>372.1863237432057</t>
  </si>
  <si>
    <t>22.070385440658377</t>
  </si>
  <si>
    <t>[0.001, -0.002, -0.083, -0.1, -0.056, 0.073, 0.01, -0.05, -0.01, 0.003, 0.015, 0.024, 0.006, -0.022, 0.018, 0.018, -0.003, -0.041, -0.054]</t>
  </si>
  <si>
    <t>[0, 0, 0, 0, 1, 1, 0, 0, 1, 0, 1, 0, 0, 0, 1, 1, 0, 0, 0]</t>
  </si>
  <si>
    <t>LINESTRING (11.113231227335804 59.58806055857225, 11.112899400757996 59.588254950076795, 11.0971505726395 59.592197427972316, 11.097121937180104 59.59220079000713, 11.09448123161939 59.59254820891563, 11.091445033337752 59.59299242290357, 11.089601187955529 59.593262600824644, 11.073589964724594 59.598332734890924, 11.07354414562863 59.59834497989951, 11.071161270343499 59.598895699974086, 11.06434365053367 59.60038832558387, 11.062131914391692 59.6010797412364, 11.050951624212546 59.60494688477186, 11.021598430660758 59.612323253104734, 11.018923262411208 59.613415552481314, 11.0187183209255 59.61350084931604, 11.018570822582031 59.613561353753724, 11.014554047361894 59.61520327344916, 11.012897566519204 59.615878356140456, 11.012670092999574 59.61597263136142)</t>
  </si>
  <si>
    <t>[1725519, 1725527, 1725535, 1725543, 1725551, 1725559, 1725439, 1725447, 1725455, 1725647, 1725655, 1725663, 1725716, 1725756, 1725758, 1725764, 1725765, 1725766, 1725767]</t>
  </si>
  <si>
    <t>[1535595, 1535601, 1535606, 1535613, 1535619, 1535538, 1535539, 1535547, 1535553, 1535672, 1535676, 1535679, 1535702, 1535733, 1535735, 1535741, 1535742, 1535743, 1535744]</t>
  </si>
  <si>
    <t>0.0018475068033766747</t>
  </si>
  <si>
    <t>[1535594, 1535595, 1535601, 1535606, 1535613, 1535619, 1535538, 1535539, 1535547, 1535553, 1535672, 1535676, 1535679, 1535702, 1535733, 1535735, 1535741, 1535742, 1535743]</t>
  </si>
  <si>
    <t>[0.001, 0.002, 0.083, 0.1, 0.056, 0.073, 0.01, 0.05, 0.01, 0.003, 0.015, 0.024, 0.006, 0.022, 0.018, 0.018, 0.003, 0.041, 0.054]</t>
  </si>
  <si>
    <t>6575.538247638739</t>
  </si>
  <si>
    <t>[-0.058, -0.047, -0.039]</t>
  </si>
  <si>
    <t>LINESTRING (11.012670092999574 59.61597263136142, 11.012593497203598 59.6160657222238, 11.005974546077155 59.619289614606274, 11.005920175314959 59.61931555617212)</t>
  </si>
  <si>
    <t>[1820482, 1820378, 1820379]</t>
  </si>
  <si>
    <t>[1600414, 1600415, 1600416]</t>
  </si>
  <si>
    <t>[1535744, 1600414, 1600415]</t>
  </si>
  <si>
    <t>[0.058, 0.047, 0.039]</t>
  </si>
  <si>
    <t>534.6584882928867</t>
  </si>
  <si>
    <t>[-0.079, -0.08]</t>
  </si>
  <si>
    <t>LINESTRING (11.117070690086644 59.58511945014721, 11.117007101652096 59.585191189899255, 11.116891826791361 59.5852315488107)</t>
  </si>
  <si>
    <t>[1725947, 1725955]</t>
  </si>
  <si>
    <t>[1535843, 1535829]</t>
  </si>
  <si>
    <t>[1535840, 1535843]</t>
  </si>
  <si>
    <t>[0.079, 0.08]</t>
  </si>
  <si>
    <t>16.67961952869253</t>
  </si>
  <si>
    <t>[-0.006, -0.007, -0.037]</t>
  </si>
  <si>
    <t>LINESTRING (11.1173102367774 59.58534321737071, 11.117116487880894 59.58528478549175, 11.116986233895108 59.58524450988691, 11.116891826791361 59.5852315488107)</t>
  </si>
  <si>
    <t>[1725963, 1725971, 1725979]</t>
  </si>
  <si>
    <t>[1535853, 1535857, 1535829]</t>
  </si>
  <si>
    <t>[1535852, 1535853, 1535857]</t>
  </si>
  <si>
    <t>[0.006, 0.007, 0.037]</t>
  </si>
  <si>
    <t>26.88530768802486</t>
  </si>
  <si>
    <t>[0.032, 0.033, 0.041]</t>
  </si>
  <si>
    <t>LINESTRING (11.1173102367774 59.58534321737071, 11.117188063520222 59.58524214037093, 11.11711683000604 59.58518337152839, 11.117070690086644 59.58511945014721)</t>
  </si>
  <si>
    <t>[1725995, 1726003, 1726011]</t>
  </si>
  <si>
    <t>[1535868, 1535875, 1535840]</t>
  </si>
  <si>
    <t>0.03466661509249504</t>
  </si>
  <si>
    <t>[1535852, 1535868, 1535875]</t>
  </si>
  <si>
    <t>28.48149318754491</t>
  </si>
  <si>
    <t>36.27238756926581</t>
  </si>
  <si>
    <t>[-0.01, -0.002, 0.001]</t>
  </si>
  <si>
    <t>LINESTRING (11.11818032306342 59.58569312640574, 11.118061297520704 59.58566613059334, 11.11787776962855 59.585605126458255, 11.117766898725915 59.58557198954666)</t>
  </si>
  <si>
    <t>[1726027, 1726041, 1726049]</t>
  </si>
  <si>
    <t>[1535886, 1535891, 1535866]</t>
  </si>
  <si>
    <t>[1535885, 1535886, 1535891]</t>
  </si>
  <si>
    <t>[0.01, 0.002, 0.001]</t>
  </si>
  <si>
    <t>27.039666049586334</t>
  </si>
  <si>
    <t>[0.047, 0.031, 0.039]</t>
  </si>
  <si>
    <t>LINESTRING (11.117996716086074 59.58577874538354, 11.117946758688442 59.5857216153173, 11.117833099536558 59.58563121994777, 11.117766898725915 59.58557198954666)</t>
  </si>
  <si>
    <t>[1726057, 1726065, 1726073]</t>
  </si>
  <si>
    <t>[1535902, 1535907, 1535866]</t>
  </si>
  <si>
    <t>0.037495702647511724</t>
  </si>
  <si>
    <t>[1535901, 1535902, 1535907]</t>
  </si>
  <si>
    <t>26.49570240193095</t>
  </si>
  <si>
    <t>[0.08, 0.069]</t>
  </si>
  <si>
    <t>LINESTRING (11.117996716086074 59.58577874538354, 11.118066539294567 59.58572516999855, 11.11818032306342 59.58569312640574)</t>
  </si>
  <si>
    <t>[1726097, 1726105]</t>
  </si>
  <si>
    <t>[1535922, 1535885]</t>
  </si>
  <si>
    <t>0.0744246750006534</t>
  </si>
  <si>
    <t>[1535901, 1535922]</t>
  </si>
  <si>
    <t>14.510145042696868</t>
  </si>
  <si>
    <t>LINESTRING (11.338392963613616 60.12902792494916, 11.33880015244031 60.1290181643127, 11.338920625141643 60.12901871269529)</t>
  </si>
  <si>
    <t>[1734040, 1734058]</t>
  </si>
  <si>
    <t>[1540883, 1540897]</t>
  </si>
  <si>
    <t>[1540872, 1540883]</t>
  </si>
  <si>
    <t>29.358317051899856</t>
  </si>
  <si>
    <t>LINESTRING (11.338392963613616 60.12902792494916, 11.338708228831521 60.12913626124345, 11.338830220552644 60.129178719439224)</t>
  </si>
  <si>
    <t>[1734059, 1734060]</t>
  </si>
  <si>
    <t>[1540898, 1540899]</t>
  </si>
  <si>
    <t>0.01172017448976425</t>
  </si>
  <si>
    <t>[1540872, 1540898]</t>
  </si>
  <si>
    <t>29.54879304984979</t>
  </si>
  <si>
    <t>[0.0, 0.008, 0.012, 0.012]</t>
  </si>
  <si>
    <t>LINESTRING (11.338920625141643 60.12901871269529, 11.339071050005348 60.128992945235495, 11.339173242774773 60.12900071738731, 11.339265609687345 60.12902880079792, 11.339341497327085 60.12909166232929)</t>
  </si>
  <si>
    <t>[1734079, 1734080, 1734087, 1734092]</t>
  </si>
  <si>
    <t>[1540915, 1540916, 1540922, 1540900]</t>
  </si>
  <si>
    <t>0.0075145314340283</t>
  </si>
  <si>
    <t>[1540897, 1540915, 1540916, 1540922]</t>
  </si>
  <si>
    <t>28.777081053146798</t>
  </si>
  <si>
    <t>[-0.014, -0.007]</t>
  </si>
  <si>
    <t>LINESTRING (11.338830220552644 60.129178719439224, 11.338820529015587 60.12909090473279, 11.338920625141643 60.12901871269529)</t>
  </si>
  <si>
    <t>[1734138, 1734146]</t>
  </si>
  <si>
    <t>[1540958, 1540897]</t>
  </si>
  <si>
    <t>[1540899, 1540958]</t>
  </si>
  <si>
    <t>[0.014, 0.007]</t>
  </si>
  <si>
    <t>19.58068052972408</t>
  </si>
  <si>
    <t>25.225374334006762</t>
  </si>
  <si>
    <t>LINESTRING (11.339341497327085 60.12909166232929, 11.339330873747178 60.12918071237862, 11.339210609953353 60.12924632433412)</t>
  </si>
  <si>
    <t>[1734098, 1734099]</t>
  </si>
  <si>
    <t>[1540929, 1540904]</t>
  </si>
  <si>
    <t>0.009005052642773046</t>
  </si>
  <si>
    <t>[1540900, 1540929]</t>
  </si>
  <si>
    <t>19.846734812223325</t>
  </si>
  <si>
    <t>20.348971950544758</t>
  </si>
  <si>
    <t>LINESTRING (9.96599646880026 59.06396572536424, 9.965844515013233 59.06400466249472, 9.965677343134633 59.06397966858566)</t>
  </si>
  <si>
    <t>[1734308, 1734287]</t>
  </si>
  <si>
    <t>[1541058, 1541059]</t>
  </si>
  <si>
    <t>0.020734070727873755</t>
  </si>
  <si>
    <t>[1541073, 1541058]</t>
  </si>
  <si>
    <t>19.735478524867908</t>
  </si>
  <si>
    <t>[0.012, 0.018, 0.041, 0.012, 0.021, 0.054]</t>
  </si>
  <si>
    <t>LINESTRING (11.189456476528358 60.33093535878271, 11.192202771483622 60.334181179090066, 11.19232668890453 60.3342925811948, 11.193292010769255 60.33508499621738, 11.193591330542812 60.33530770945686, 11.193825063167719 60.33547527394344, 11.194302273334102 60.33580137722735)</t>
  </si>
  <si>
    <t>[1748119, 1748126, 1748145, 1748146, 1748159, 1748160]</t>
  </si>
  <si>
    <t>[1549610, 1549614, 1549631, 1549632, 1549641, 1547272]</t>
  </si>
  <si>
    <t>0.020506472736442422</t>
  </si>
  <si>
    <t>[1547260, 1549610, 1549614, 1549631, 1549632, 1549641]</t>
  </si>
  <si>
    <t>607.351777580587</t>
  </si>
  <si>
    <t>[-0.01, -0.047]</t>
  </si>
  <si>
    <t>LINESTRING (11.188750702970006 60.33252548708972, 11.189546257455875 60.331127485068, 11.189456476528358 60.33093535878271)</t>
  </si>
  <si>
    <t>[1747139, 1744306]</t>
  </si>
  <si>
    <t>[1547259, 1547260]</t>
  </si>
  <si>
    <t>[1549053, 1547259]</t>
  </si>
  <si>
    <t>[0.01, 0.047]</t>
  </si>
  <si>
    <t>396.78246387558784</t>
  </si>
  <si>
    <t>[-0.012, -0.011, 0.023, 0.007, -0.017, 0.05]</t>
  </si>
  <si>
    <t>[1, 0, 1, 0, 0, 0]</t>
  </si>
  <si>
    <t>LINESTRING (11.151582547632598 60.31746669934594, 11.15458069621394 60.318793512648504, 11.157497810825689 60.319550360808094, 11.159241747239781 60.31982582022603, 11.172618158483544 60.322295947622266, 11.185547823016853 60.327837268126586, 11.189456476528358 60.33093535878271)</t>
  </si>
  <si>
    <t>[1747483, 1747488, 1747490, 1744516, 1744524, 1748117]</t>
  </si>
  <si>
    <t>[1549261, 1549263, 1547427, 1547428, 1547432, 1547260]</t>
  </si>
  <si>
    <t>0.0029071155522658945</t>
  </si>
  <si>
    <t>[1549260, 1549261, 1549263, 1547427, 1547428, 1547432]</t>
  </si>
  <si>
    <t>[0.012, 0.011, 0.023, 0.007, 0.017, 0.05]</t>
  </si>
  <si>
    <t>2660.7304031132016</t>
  </si>
  <si>
    <t>[0.052, 0.054, 0.013]</t>
  </si>
  <si>
    <t>LINESTRING (11.186009415170284 60.32792269015577, 11.189531421692415 60.33073781951167, 11.189640282856882 60.33087893254903, 11.192426334162368 60.33409585655505)</t>
  </si>
  <si>
    <t>[1747493, 1747495, 1747531]</t>
  </si>
  <si>
    <t>[1549265, 1549267, 1547266]</t>
  </si>
  <si>
    <t>0.032499588710203614</t>
  </si>
  <si>
    <t>[1547420, 1549265, 1549267]</t>
  </si>
  <si>
    <t>779.5338180005656</t>
  </si>
  <si>
    <t>[0.006, 0.002, 0.035]</t>
  </si>
  <si>
    <t>LINESTRING (11.193637783350159 60.33067630558146, 11.19170507546262 60.33331444209634, 11.192363525455011 60.333985190785185, 11.192426334162368 60.33409585655505)</t>
  </si>
  <si>
    <t>[1747190, 1747193, 1744315]</t>
  </si>
  <si>
    <t>[1549089, 1547265, 1547266]</t>
  </si>
  <si>
    <t>0.006083402916791679</t>
  </si>
  <si>
    <t>[1549088, 1549089, 1547265]</t>
  </si>
  <si>
    <t>465.9908938688264</t>
  </si>
  <si>
    <t>[-0.068, -0.014]</t>
  </si>
  <si>
    <t>LINESTRING (11.194302273334102 60.33580137722735, 11.194118530170924 60.33572102753585, 11.188750702970006 60.33252548708972)</t>
  </si>
  <si>
    <t>[1744323, 1749292]</t>
  </si>
  <si>
    <t>[1547273, 1549053]</t>
  </si>
  <si>
    <t>[1547272, 1547273]</t>
  </si>
  <si>
    <t>[0.068, 0.014]</t>
  </si>
  <si>
    <t>505.78829136205434</t>
  </si>
  <si>
    <t>48.02247542544768</t>
  </si>
  <si>
    <t>114.33981941717865</t>
  </si>
  <si>
    <t>1.633</t>
  </si>
  <si>
    <t>7.965069051787899</t>
  </si>
  <si>
    <t>44.03838779915189</t>
  </si>
  <si>
    <t>[0.0, -0.445]</t>
  </si>
  <si>
    <t>LINESTRING (11.208605441824945 60.34730737226942, 11.208605441824945 60.34730737226942, 11.208450537606677 60.347643700425216)</t>
  </si>
  <si>
    <t>[1838508, 1838516]</t>
  </si>
  <si>
    <t>[1611946, 1547285]</t>
  </si>
  <si>
    <t>[1611947, 1611946]</t>
  </si>
  <si>
    <t>[0.0, 0.445]</t>
  </si>
  <si>
    <t>41.532604138324466</t>
  </si>
  <si>
    <t>[0.0, -0.004, -0.02, -0.012, -0.027, 0.028, 0.018, 0.003, -0.014]</t>
  </si>
  <si>
    <t>LINESTRING (11.20854459975965 60.34803614124003, 11.208645777792514 60.34864238688205, 11.208463871983168 60.351331520183976, 11.204176797274732 60.362110040481106, 11.206716196314016 60.37428611195666, 11.208030400391173 60.37706028455651, 11.211246923747904 60.38383982359364, 11.211370359822434 60.38409066805391, 11.212101515139787 60.3853846117842, 11.21273371900688 60.38633582946553)</t>
  </si>
  <si>
    <t>[1744355, 1744363, 1744371, 1744379, 1744387, 1748658, 1748659, 1748679, 1748680]</t>
  </si>
  <si>
    <t>[1547298, 1547301, 1547306, 1547312, 1547317, 1549939, 1549940, 1549951, 1547449]</t>
  </si>
  <si>
    <t>[1547291, 1547298, 1547301, 1547306, 1547312, 1547317, 1549939, 1549940, 1549951]</t>
  </si>
  <si>
    <t>[0.0, 0.004, 0.02, 0.012, 0.027, 0.028, 0.018, 0.003, 0.014]</t>
  </si>
  <si>
    <t>4350.4275050299</t>
  </si>
  <si>
    <t>2.3</t>
  </si>
  <si>
    <t>7.819439941712903</t>
  </si>
  <si>
    <t>[-0.019, -0.033]</t>
  </si>
  <si>
    <t>LINESTRING (11.21310494989381 60.38653411638989, 11.219123156945185 60.39199696368677, 11.219525885934745 60.39226071934282)</t>
  </si>
  <si>
    <t>[1744467, 1744475]</t>
  </si>
  <si>
    <t>[1547385, 1547394]</t>
  </si>
  <si>
    <t>[1547380, 1547385]</t>
  </si>
  <si>
    <t>[0.019, 0.033]</t>
  </si>
  <si>
    <t>732.3834347459947</t>
  </si>
  <si>
    <t>[0.029, -0.001, -0.02]</t>
  </si>
  <si>
    <t>LINESTRING (11.21310494989381 60.38653411638989, 11.213258442204776 60.386663630015676, 11.216363710239971 60.38892769474302, 11.216446987651691 60.38896157910106)</t>
  </si>
  <si>
    <t>[1744555, 1744564, 1744572]</t>
  </si>
  <si>
    <t>[1547454, 1547459, 1547465]</t>
  </si>
  <si>
    <t>0.00016594232292363003</t>
  </si>
  <si>
    <t>[1547380, 1547454, 1547459]</t>
  </si>
  <si>
    <t>[0.029, 0.001, 0.02]</t>
  </si>
  <si>
    <t>333.62814552615635</t>
  </si>
  <si>
    <t>[0.013, -0.002, -0.018, -0.013, -0.024, 0.027, 0.02, 0.023, -0.0, -0.013, -0.01, 0.026]</t>
  </si>
  <si>
    <t>LINESTRING (11.208911011064774 60.348109519811175, 11.208931668888983 60.34863854532991, 11.20864662932607 60.35132976925795, 11.204355939384204 60.36211742257925, 11.206892847864271 60.37426571466435, 11.208210383760157 60.37704507694877, 11.211430338371484 60.383817904198885, 11.211547872229149 60.38405049481194, 11.211561159078775 60.384076464538936, 11.212295982505076 60.385365630665575, 11.212814858626906 60.38613529064814, 11.21291769897312 60.3862772945504, 11.21310494989381 60.38653411638989)</t>
  </si>
  <si>
    <t>[1747644, 1747652, 1747653, 1744395, 1744403, 1744411, 1744419, 1744427, 1744435, 1744443, 1744451, 1744459]</t>
  </si>
  <si>
    <t>[1549346, 1549351, 1547321, 1547322, 1547330, 1547338, 1547346, 343460, 1547357, 1547367, 1547373, 1547380]</t>
  </si>
  <si>
    <t>[1549341, 1549346, 1549351, 1547321, 1547322, 1547330, 1547338, 1547346, 343460, 1547357, 1547367, 1547373]</t>
  </si>
  <si>
    <t>[0.013, 0.002, 0.018, 0.013, 0.024, 0.027, 0.02, 0.023, 0.0, 0.013, 0.01, 0.026]</t>
  </si>
  <si>
    <t>4366.243785882614</t>
  </si>
  <si>
    <t>[-0.07, -0.005, 0.02, 0.021]</t>
  </si>
  <si>
    <t>LINESTRING (11.219525885934745 60.39226071934282, 11.229826158098804 60.39751341675277, 11.235359474321621 60.40142895661733, 11.236980638615666 60.40374437893685, 11.239656115986012 60.41011459720315)</t>
  </si>
  <si>
    <t>[1747749, 1747753, 1747754, 2105425]</t>
  </si>
  <si>
    <t>[1549411, 1549412, 1549413, 1819018]</t>
  </si>
  <si>
    <t>[1547394, 1549411, 1549412, 1549413]</t>
  </si>
  <si>
    <t>[0.07, 0.005, 0.02, 0.021]</t>
  </si>
  <si>
    <t>2352.0983144682705</t>
  </si>
  <si>
    <t>[-0.033, -0.044, -0.034, -0.029]</t>
  </si>
  <si>
    <t>LINESTRING (11.216736362408486 60.38917062218354, 11.216739066576642 60.38923318005559, 11.216740459835567 60.38926512083739, 11.219197473235786 60.392000955389626, 11.219525885934745 60.39226071934282)</t>
  </si>
  <si>
    <t>[1747201, 1747211, 1747223, 1744580]</t>
  </si>
  <si>
    <t>[1549097, 1549103, 1547471, 1547394]</t>
  </si>
  <si>
    <t>[1549096, 1549097, 1549103, 1547471]</t>
  </si>
  <si>
    <t>[0.033, 0.044, 0.034, 0.029]</t>
  </si>
  <si>
    <t>384.65877950873335</t>
  </si>
  <si>
    <t>[0.03, 0.037, -0.009]</t>
  </si>
  <si>
    <t>LINESTRING (11.186009415170284 60.32792269015577, 11.186171650033877 60.3279716923359, 11.194286754134358 60.33048534602596, 11.194490554995319 60.33049914151287)</t>
  </si>
  <si>
    <t>[1748209, 1749249, 1749268]</t>
  </si>
  <si>
    <t>[1549673, 1550341, 1395655]</t>
  </si>
  <si>
    <t>0.03600811058349183</t>
  </si>
  <si>
    <t>[1547420, 1549673, 1550341]</t>
  </si>
  <si>
    <t>[0.03, 0.037, 0.009]</t>
  </si>
  <si>
    <t>601.117852731024</t>
  </si>
  <si>
    <t>[-0.039, -0.012, -0.01, 0.016, 0.007, -0.015]</t>
  </si>
  <si>
    <t>LINESTRING (11.150132779043606 60.31641847064104, 11.151614261893428 60.31727920562681, 11.154733347908177 60.318682243625915, 11.15759559825412 60.319424736150935, 11.159308914224667 60.31969544328405, 11.172733702036187 60.32221325299143, 11.186009415170284 60.32792269015577)</t>
  </si>
  <si>
    <t>[1748541, 1744588, 1744596, 1744607, 1744499, 1744507]</t>
  </si>
  <si>
    <t>[1547479, 1547480, 1547486, 1547412, 1547413, 1547420]</t>
  </si>
  <si>
    <t>[1549608, 1547479, 1547480, 1547486, 1547412, 1547413]</t>
  </si>
  <si>
    <t>[0.039, 0.012, 0.01, 0.016, 0.007, 0.015]</t>
  </si>
  <si>
    <t>2411.7603643038274</t>
  </si>
  <si>
    <t>[0.028, 0.035, -0.019, -0.033]</t>
  </si>
  <si>
    <t>656.0</t>
  </si>
  <si>
    <t>LINESTRING (11.21273371900688 60.38633582946553, 11.21285344530455 60.38647661552341, 11.212946107951261 60.38659932716981, 11.218964395298025 60.39206401790093, 11.21934752080596 60.3923154504111)</t>
  </si>
  <si>
    <t>[1748687, 1748701, 1748709, 1748725]</t>
  </si>
  <si>
    <t>[1549957, 1549966, 1549970, 1549934]</t>
  </si>
  <si>
    <t>[1547449, 1549957, 1549966, 1549970]</t>
  </si>
  <si>
    <t>[0.028, 0.035, 0.019, 0.033]</t>
  </si>
  <si>
    <t>762.451983697527</t>
  </si>
  <si>
    <t>[0.014, 0.004, -0.035]</t>
  </si>
  <si>
    <t>LINESTRING (11.214745482708159 60.389849961499564, 11.21475497822056 60.389796703639355, 11.212788907986686 60.38645657491715, 11.21273371900688 60.38633582946553)</t>
  </si>
  <si>
    <t>[1747225, 1747238, 1744548]</t>
  </si>
  <si>
    <t>[1549110, 1547448, 1547449]</t>
  </si>
  <si>
    <t>0.002829809042288864</t>
  </si>
  <si>
    <t>[1549109, 1549110, 1547448]</t>
  </si>
  <si>
    <t>[0.014, 0.004, 0.035]</t>
  </si>
  <si>
    <t>408.8500942846101</t>
  </si>
  <si>
    <t>[0.016, -0.045]</t>
  </si>
  <si>
    <t>LINESTRING (11.216446987651691 60.38896157910106, 11.216786000386943 60.3889403040858, 11.216736362408486 60.38917062218354)</t>
  </si>
  <si>
    <t>[1748839, 1748840]</t>
  </si>
  <si>
    <t>[1548998, 1549096]</t>
  </si>
  <si>
    <t>[1547465, 1548998]</t>
  </si>
  <si>
    <t>[0.016, 0.045]</t>
  </si>
  <si>
    <t>51.64623035050139</t>
  </si>
  <si>
    <t>13.186098423702234</t>
  </si>
  <si>
    <t>[0.044, 0.015, -0.011, -0.04]</t>
  </si>
  <si>
    <t>LINESTRING (11.184448436147571 60.187577500464165, 11.184303074177716 60.187579513977155, 11.18420016392918 60.187540861555895, 11.184164103049355 60.18749235988942, 11.184223425626396 60.18740903264934)</t>
  </si>
  <si>
    <t>[1746908, 1746922, 1746930, 1746948]</t>
  </si>
  <si>
    <t>[1255847, 1548947, 1255840, 1547873]</t>
  </si>
  <si>
    <t>[1547897, 1255847, 1548947, 1255840]</t>
  </si>
  <si>
    <t>[0.044, 0.015, 0.011, 0.04]</t>
  </si>
  <si>
    <t>31.07788792719756</t>
  </si>
  <si>
    <t>[0.037, 0.016, -0.011, -0.038]</t>
  </si>
  <si>
    <t>LINESTRING (11.186247650206667 60.18678714852389, 11.186452190084259 60.18683196261842, 11.186486222737084 60.18688085465009, 11.18646839776029 60.18693175882098, 11.186357731443739 60.18698475314754)</t>
  </si>
  <si>
    <t>[1745438, 1745439, 1745461, 1745462]</t>
  </si>
  <si>
    <t>[1255875, 1548095, 1255882, 1548056]</t>
  </si>
  <si>
    <t>0.005553051074904989</t>
  </si>
  <si>
    <t>[1548053, 1255875, 1548095, 1255882]</t>
  </si>
  <si>
    <t>[0.037, 0.016, 0.011, 0.038]</t>
  </si>
  <si>
    <t>32.958835856005805</t>
  </si>
  <si>
    <t>20.749351313272555</t>
  </si>
  <si>
    <t>[-0.002, -0.018, -0.013, -0.003]</t>
  </si>
  <si>
    <t>LINESTRING (11.174672042546975 60.23099975559434, 11.17473335174315 60.23108773087694, 11.174656038069655 60.231172513846126, 11.17454597177096 60.23120340546254, 11.174429925681933 60.23120499964145)</t>
  </si>
  <si>
    <t>[1746341, 1746349, 1746357, 1746365]</t>
  </si>
  <si>
    <t>[1548619, 1548624, 1548606, 1548129]</t>
  </si>
  <si>
    <t>[1548618, 1548619, 1548624, 1548606]</t>
  </si>
  <si>
    <t>[0.002, 0.018, 0.013, 0.003]</t>
  </si>
  <si>
    <t>34.18678259556108</t>
  </si>
  <si>
    <t>LINESTRING (11.171906086057005 60.23045164313557, 11.171842309575856 60.230380224985744, 11.171870716872135 60.23030877298269, 11.171938533328175 60.23026821338246, 11.172180566373958 60.2302494956855)</t>
  </si>
  <si>
    <t>[1746026, 1746034, 1746050, 1746007]</t>
  </si>
  <si>
    <t>[1548397, 1548422, 1548401, 1548402]</t>
  </si>
  <si>
    <t>0.0021603969816737993</t>
  </si>
  <si>
    <t>[1548140, 1548397, 1548422, 1548401]</t>
  </si>
  <si>
    <t>36.725150349439105</t>
  </si>
  <si>
    <t>18.52295616127845</t>
  </si>
  <si>
    <t>16.416664819501296</t>
  </si>
  <si>
    <t>28.67259492952251</t>
  </si>
  <si>
    <t>LINESTRING (11.172345587432487 60.23036401936161, 11.172316880332746 60.23042566463941, 11.172217631464157 60.23047691251324)</t>
  </si>
  <si>
    <t>[1746009, 1746010]</t>
  </si>
  <si>
    <t>[1548404, 1548405]</t>
  </si>
  <si>
    <t>[1548403, 1548404]</t>
  </si>
  <si>
    <t>14.979949985324875</t>
  </si>
  <si>
    <t>29.254806442542538</t>
  </si>
  <si>
    <t>69.99906356554919</t>
  </si>
  <si>
    <t>34.503637489072425</t>
  </si>
  <si>
    <t>33.51825606619784</t>
  </si>
  <si>
    <t>15.72675240904689</t>
  </si>
  <si>
    <t>[-0.009, -0.028]</t>
  </si>
  <si>
    <t>LINESTRING (11.174231218560571 60.231063078334145, 11.174302092715346 60.230993211414905, 11.17441084287147 60.230961203322764)</t>
  </si>
  <si>
    <t>[1746374, 1746381]</t>
  </si>
  <si>
    <t>[1548636, 1548469]</t>
  </si>
  <si>
    <t>[1548470, 1548636]</t>
  </si>
  <si>
    <t>[0.009, 0.028]</t>
  </si>
  <si>
    <t>15.723299778725904</t>
  </si>
  <si>
    <t>[-0.01, 0.004, -0.009]</t>
  </si>
  <si>
    <t>843.0</t>
  </si>
  <si>
    <t>LINESTRING (11.188750702970006 60.33252548708972, 11.189581117256333 60.331807852736105, 11.190508672116177 60.331382139094494, 11.193637783350159 60.33067630558146)</t>
  </si>
  <si>
    <t>[1749311, 1749319, 1749325]</t>
  </si>
  <si>
    <t>[1550376, 1550382, 1549088]</t>
  </si>
  <si>
    <t>[1549053, 1550376, 1550382]</t>
  </si>
  <si>
    <t>[0.01, 0.004, 0.009]</t>
  </si>
  <si>
    <t>352.945070990164</t>
  </si>
  <si>
    <t>13.904094230753003</t>
  </si>
  <si>
    <t>[-0.015, -0.032, 0.001]</t>
  </si>
  <si>
    <t>LINESTRING (11.146507531699143 60.31365510260906, 11.146534293856323 60.31368830352679, 11.150043246507717 60.3163129121256, 11.150132779043606 60.31641847064104)</t>
  </si>
  <si>
    <t>[1747147, 1747149, 1748114]</t>
  </si>
  <si>
    <t>[1549059, 1549061, 1549608]</t>
  </si>
  <si>
    <t>[1549058, 1549059, 1549061]</t>
  </si>
  <si>
    <t>[0.015, 0.032, 0.001]</t>
  </si>
  <si>
    <t>370.0204557379113</t>
  </si>
  <si>
    <t>[0.001, 0.005, 0.007, -0.008]</t>
  </si>
  <si>
    <t>LINESTRING (11.146184369762047 60.31344984651571, 11.146422022191125 60.313418361730825, 11.146534161622444 60.31344624743658, 11.146605948062591 60.3134951650138, 11.146507531699143 60.31365510260906)</t>
  </si>
  <si>
    <t>[1749373, 1749381, 1749385, 1749334]</t>
  </si>
  <si>
    <t>[1549247, 1550415, 1549252, 1549058]</t>
  </si>
  <si>
    <t>[1549602, 1549247, 1550415, 1549252]</t>
  </si>
  <si>
    <t>[0.001, 0.005, 0.007, 0.008]</t>
  </si>
  <si>
    <t>47.48002775288976</t>
  </si>
  <si>
    <t>51.084651197556695</t>
  </si>
  <si>
    <t>9.24182882337462</t>
  </si>
  <si>
    <t>11.769436231341913</t>
  </si>
  <si>
    <t>[0.018, 0.014]</t>
  </si>
  <si>
    <t>LINESTRING (11.215079031823924 60.39005082755303, 11.214769609317615 60.390076805993665, 11.214745482708159 60.389849961499564)</t>
  </si>
  <si>
    <t>[1748977, 1748985]</t>
  </si>
  <si>
    <t>[627558, 1549109]</t>
  </si>
  <si>
    <t>0.015500001316265541</t>
  </si>
  <si>
    <t>[1550023, 627558]</t>
  </si>
  <si>
    <t>48.43597053122499</t>
  </si>
  <si>
    <t>[0.048, -0.0, 0.026, -0.024, -0.005, -0.032, -0.025, -0.029, 0.006, -0.017, 0.037, 0.044, 0.013, 0.011, 0.016, 0.04, 0.014, 0.006, -0.01]</t>
  </si>
  <si>
    <t>[0, 0, 1, 0, 0, 0, 0, 0, 0, 1, 0, 0, 0, 0, 0, 0, 0, 0, 0]</t>
  </si>
  <si>
    <t>LINESTRING (11.177947169291532 60.257263343005405, 11.177726088849589 60.257498362926185, 11.157662427135657 60.27018978785473, 11.157194066721456 60.27034237439055, 11.14438416301634 60.28080892999315, 11.140527955783558 60.282843358213796, 11.140515919288717 60.282848860050045, 11.138473087264453 60.28378591861346, 11.138439097041559 60.28380193694017, 11.136141239506049 60.28507740109472, 11.134577186131516 60.28645675003422, 11.134343821605182 60.28674454767119, 11.133623729087335 60.288047174818985, 11.133554750690625 60.28826134814384, 11.13340750135051 60.28951049682397, 11.133441627592594 60.28984361866642, 11.134385367395218 60.291949395224364, 11.135899706580043 60.29388219592474, 11.141327729956004 60.3078438401817, 11.142161690176067 60.31116752437498)</t>
  </si>
  <si>
    <t>[1747255, 1747262, 1747270, 1744491, 1747305, 1747306, 1747322, 1747329, 1747344, 1747369, 1747385, 1747393, 1747397, 1747406, 1747407, 1747418, 1747421, 1747954, 1747967]</t>
  </si>
  <si>
    <t>[1549129, 1549134, 1547404, 777880, 1549156, 1549157, 1549163, 1549169, 777875, 1549199, 1549210, 1549215, 1549217, 1549222, 1549223, 1549230, 1549231, 1549529, 1549532]</t>
  </si>
  <si>
    <t>[1549128, 1549129, 1549134, 1547404, 777880, 1549156, 1549157, 1549163, 1549169, 777875, 1549199, 1549210, 1549215, 1549217, 1549222, 1549223, 1549230, 1549231, 1549529]</t>
  </si>
  <si>
    <t>[0.048, 0.0, 0.026, 0.024, 0.005, 0.032, 0.025, 0.029, 0.006, 0.017, 0.037, 0.044, 0.013, 0.011, 0.016, 0.04, 0.014, 0.006, 0.01]</t>
  </si>
  <si>
    <t>6927.480927935624</t>
  </si>
  <si>
    <t>[0.0, 0.031, -0.024, -0.007, -0.023, 0.003, -0.016, 0.03, 0.0, 0.043, 0.027, 0.019, 0.014, 0.017, 0.017, 0.035, 0.053, 0.011, 0.007]</t>
  </si>
  <si>
    <t>[0, 1, 0, 0, 0, 0, 1, 0, 0, 0, 0, 0, 0, 0, 0, 0, 0, 0, 0]</t>
  </si>
  <si>
    <t>LINESTRING (11.177900325644556 60.257525327739295, 11.157756602542568 60.27026453738771, 11.157296482730116 60.27041644612715, 11.144529590569752 60.28086214802808, 11.140665137503435 60.28290311843379, 11.138621957874001 60.28383960283365, 11.136288221287485 60.28512977437992, 11.134744485408532 60.286490749509674, 11.134512396425132 60.28677711033654, 11.13451063198296 60.286779477046984, 11.133811569765511 60.28805130023648, 11.133803152236405 60.28807073250573, 11.13373124265403 60.28828260013056, 11.133589091172505 60.28952039113787, 11.133626293636548 60.289850330437325, 11.1336336340228 60.28988917131655, 11.134567665280079 60.291935954394226, 11.134622995903491 60.292011557058345, 11.136069121892564 60.293850812641956, 11.141521119077822 60.30796733792293)</t>
  </si>
  <si>
    <t>[1747289, 1747297, 1744483, 1747767, 1747768, 1747769, 1747778, 1747780, 1747788, 1747811, 1747819, 1747820, 1747821, 1747827, 1747861, 1747869, 1747877, 1747894, 1747953]</t>
  </si>
  <si>
    <t>[1549148, 1547398, 1547399, 1549420, 1549421, 1549422, 1549430, 342731, 1549437, 1549448, 1549450, 1549451, 1549452, 1549457, 1549474, 1549480, 342732, 1549495, 1549528]</t>
  </si>
  <si>
    <t>[1549146, 1549148, 1547398, 1547399, 1549420, 1549421, 1549422, 1549430, 342731, 1549437, 1549448, 1549450, 1549451, 1549452, 1549457, 1549474, 1549480, 342732, 1549495]</t>
  </si>
  <si>
    <t>[0.0, 0.031, 0.024, 0.007, 0.023, 0.003, 0.016, 0.03, 0.0, 0.043, 0.027, 0.019, 0.014, 0.017, 0.017, 0.035, 0.053, 0.011, 0.007]</t>
  </si>
  <si>
    <t>6534.2591989638895</t>
  </si>
  <si>
    <t>13.864762450656048</t>
  </si>
  <si>
    <t>LINESTRING (11.146103674448822 60.31356400390557, 11.146074860630282 60.31360856287255, 11.145923316181468 60.313731899774524)</t>
  </si>
  <si>
    <t>[1747429, 1747437]</t>
  </si>
  <si>
    <t>[1549235, 1549238]</t>
  </si>
  <si>
    <t>[1549234, 1549235]</t>
  </si>
  <si>
    <t>21.31053362464304</t>
  </si>
  <si>
    <t>LINESTRING (11.146263958907397 60.31366610010781, 11.14616690025418 60.31363325847549, 11.146103674448822 60.31356400390557)</t>
  </si>
  <si>
    <t>[1749357, 1749360]</t>
  </si>
  <si>
    <t>[1550405, 1549234]</t>
  </si>
  <si>
    <t>0.007867887102921014</t>
  </si>
  <si>
    <t>[1549239, 1550405]</t>
  </si>
  <si>
    <t>14.966581768177054</t>
  </si>
  <si>
    <t>43.5175470355893</t>
  </si>
  <si>
    <t>[-0.001, -0.0]</t>
  </si>
  <si>
    <t>LINESTRING (11.146263958907397 60.31366610010781, 11.146175179516558 60.31367520873959, 11.145923316181468 60.313731899774524)</t>
  </si>
  <si>
    <t>[1747438, 1747448]</t>
  </si>
  <si>
    <t>[1549240, 1549238]</t>
  </si>
  <si>
    <t>[1549239, 1549240]</t>
  </si>
  <si>
    <t>20.300604846421074</t>
  </si>
  <si>
    <t>[0.053, 0.042, 0.033, 0.021, 0.002]</t>
  </si>
  <si>
    <t>524.0</t>
  </si>
  <si>
    <t>LINESTRING (11.151582547632598 60.31746669934594, 11.151379769100707 60.317394885469106, 11.149126316839947 60.31616716606012, 11.147604811061637 60.31544622604291, 11.145176394547372 60.31425706187585, 11.145101139623273 60.31424045788789)</t>
  </si>
  <si>
    <t>[1748575, 1748578, 1748579, 1748580, 1748583]</t>
  </si>
  <si>
    <t>[1549890, 1549051, 1549049, 1549892, 1549867]</t>
  </si>
  <si>
    <t>0.03204817570323507</t>
  </si>
  <si>
    <t>[1549260, 1549890, 1549051, 1549049, 1549892]</t>
  </si>
  <si>
    <t>510.79255259613785</t>
  </si>
  <si>
    <t>[0.002, -0.028, -0.018, -0.044]</t>
  </si>
  <si>
    <t>979.0</t>
  </si>
  <si>
    <t>LINESTRING (11.142161690176067 60.31116752437498, 11.145456792787346 60.313864447001976, 11.150025012837657 60.31655586430914, 11.15023471343072 60.31667943410042, 11.151582547632598 60.31746669934594)</t>
  </si>
  <si>
    <t>[1747975, 1747985, 1747986, 1747991]</t>
  </si>
  <si>
    <t>[1549535, 1549542, 1549543, 1549260]</t>
  </si>
  <si>
    <t>[1549532, 1549535, 1549542, 1549543]</t>
  </si>
  <si>
    <t>[0.002, 0.028, 0.018, 0.044]</t>
  </si>
  <si>
    <t>878.9463637232153</t>
  </si>
  <si>
    <t>44.32811167919974</t>
  </si>
  <si>
    <t>2.596</t>
  </si>
  <si>
    <t>7.021922528744266</t>
  </si>
  <si>
    <t>125.02558658104648</t>
  </si>
  <si>
    <t>0.583</t>
  </si>
  <si>
    <t>32.70120702672472</t>
  </si>
  <si>
    <t>[1.77, 0.159]</t>
  </si>
  <si>
    <t>LINESTRING (11.208911011064774 60.348109519811175, 11.208721973524286 60.34807072263505, 11.208693220860743 60.34806512002063)</t>
  </si>
  <si>
    <t>[1838932, 1838940]</t>
  </si>
  <si>
    <t>[1612165, 1612171]</t>
  </si>
  <si>
    <t>1.5586542088732276</t>
  </si>
  <si>
    <t>[1549341, 1612165]</t>
  </si>
  <si>
    <t>13.004631448242105</t>
  </si>
  <si>
    <t>[-0.007, -0.01, -0.019, 0.007, 0.005, 0.004]</t>
  </si>
  <si>
    <t>LINESTRING (11.141521119077822 60.30796733792293, 11.141573350921698 60.30808334315215, 11.142298087889946 60.31058122879378, 11.142569241538625 60.31101169235882, 11.146050277399297 60.31339653993036, 11.146131006680081 60.313428628932975, 11.146184369762047 60.31344984651571)</t>
  </si>
  <si>
    <t>[1748107, 1748013, 1748043, 1748072, 1748082, 1748099]</t>
  </si>
  <si>
    <t>[1549561, 1549036, 1549064, 1549588, 1549592, 1549602]</t>
  </si>
  <si>
    <t>[1549528, 1549561, 1549036, 1549064, 1549588, 1549592]</t>
  </si>
  <si>
    <t>[0.007, 0.01, 0.019, 0.007, 0.005, 0.004]</t>
  </si>
  <si>
    <t>691.4533010639544</t>
  </si>
  <si>
    <t>[-0.009, 0.004, -0.029]</t>
  </si>
  <si>
    <t>LINESTRING (11.141521119077822 60.30796733792293, 11.14232884983303 60.31110331818906, 11.14558445446511 60.313770306255584, 11.150132779043606 60.31641847064104)</t>
  </si>
  <si>
    <t>[1748510, 1748525, 1748526]</t>
  </si>
  <si>
    <t>[1549844, 1549859, 1549608]</t>
  </si>
  <si>
    <t>[1549528, 1549844, 1549859]</t>
  </si>
  <si>
    <t>[0.009, 0.004, 0.029]</t>
  </si>
  <si>
    <t>1091.6604121348046</t>
  </si>
  <si>
    <t>[-0.012, -0.013, -0.003, 0.012]</t>
  </si>
  <si>
    <t>LINESTRING (11.144741676385232 60.314061830843755, 11.144709026951602 60.31402002667705, 11.144677149368503 60.31397920676246, 11.142249150622066 60.31132329657051, 11.142161690176067 60.31116752437498)</t>
  </si>
  <si>
    <t>[1748372, 1748373, 1748374, 1748113]</t>
  </si>
  <si>
    <t>[1549758, 1549759, 1549607, 1549532]</t>
  </si>
  <si>
    <t>[1549757, 1549758, 1549759, 1549607]</t>
  </si>
  <si>
    <t>[0.012, 0.013, 0.003, 0.012]</t>
  </si>
  <si>
    <t>353.70855045072875</t>
  </si>
  <si>
    <t>9.587434484789487</t>
  </si>
  <si>
    <t>[0.01, 0.003, -0.003, -0.012]</t>
  </si>
  <si>
    <t>LINESTRING (11.145101139623273 60.31424045788789, 11.144890353629929 60.314305261605156, 11.144774706333044 60.314294801631156, 11.14466550024384 60.314252796703464, 11.144741676385232 60.314061830843755)</t>
  </si>
  <si>
    <t>[1748543, 1748544, 1748545, 1748553]</t>
  </si>
  <si>
    <t>[1549806, 1549868, 1549762, 1549757]</t>
  </si>
  <si>
    <t>[1549867, 1549806, 1549868, 1549762]</t>
  </si>
  <si>
    <t>[0.01, 0.003, 0.003, 0.012]</t>
  </si>
  <si>
    <t>52.352980190745704</t>
  </si>
  <si>
    <t>LINESTRING (11.145324413393435 60.31398535535052, 11.145040039731542 60.31404110076651, 11.144912090023748 60.31404583497333)</t>
  </si>
  <si>
    <t>[1748473, 1748495]</t>
  </si>
  <si>
    <t>[1549821, 1549832]</t>
  </si>
  <si>
    <t>0.00029558116176247944</t>
  </si>
  <si>
    <t>[1549820, 1549821]</t>
  </si>
  <si>
    <t>23.995326660962064</t>
  </si>
  <si>
    <t>LINESTRING (11.145324413393435 60.31398535535052, 11.145167169968872 60.314107806855155, 11.145136433038875 60.31415482678524)</t>
  </si>
  <si>
    <t>[1748504, 1748505]</t>
  </si>
  <si>
    <t>[1549838, 1549839]</t>
  </si>
  <si>
    <t>0.004507978736997899</t>
  </si>
  <si>
    <t>[1549820, 1549838]</t>
  </si>
  <si>
    <t>21.68699637937477</t>
  </si>
  <si>
    <t>LINESTRING (11.144912090023748 60.31404583497333, 11.145076717209934 60.3140911570489, 11.145136433038875 60.31415482678524)</t>
  </si>
  <si>
    <t>[1748565, 1748568]</t>
  </si>
  <si>
    <t>[1549884, 1549839]</t>
  </si>
  <si>
    <t>0.004429180268326891</t>
  </si>
  <si>
    <t>[1549832, 1549884]</t>
  </si>
  <si>
    <t>18.233261871438508</t>
  </si>
  <si>
    <t>9.739697120217585</t>
  </si>
  <si>
    <t>[-0.07, -0.005, 0.015, 0.021, 0.037]</t>
  </si>
  <si>
    <t>LINESTRING (11.21934752080596 60.3923154504111, 11.229700897167355 60.39757853922015, 11.235195799790713 60.401468008520794, 11.236803889260273 60.40376599363918, 11.239530808122161 60.41021148492384, 11.239837495524604 60.410666268932786)</t>
  </si>
  <si>
    <t>[1748653, 1748654, 1748655, 2105401, 2105409]</t>
  </si>
  <si>
    <t>[1549935, 1549936, 1549937, 1819002, 1819007]</t>
  </si>
  <si>
    <t>[1549934, 1549935, 1549936, 1549937, 1819002]</t>
  </si>
  <si>
    <t>[0.07, 0.005, 0.015, 0.021, 0.037]</t>
  </si>
  <si>
    <t>2411.5748212910094</t>
  </si>
  <si>
    <t>[0.035, 0.031, 0.038, 0.027, 0.028]</t>
  </si>
  <si>
    <t>308.0</t>
  </si>
  <si>
    <t>LINESTRING (11.21934752080596 60.3923154504111, 11.21893664597243 60.392080559173536, 11.216471751913286 60.39053693641865, 11.215221185531302 60.39009181777747, 11.21515649635569 60.39007316743154, 11.215079031823924 60.39005082755303)</t>
  </si>
  <si>
    <t>[1748787, 1748745, 1748746, 1748770, 1748786]</t>
  </si>
  <si>
    <t>[1549997, 1549123, 1549998, 1550012, 1550023]</t>
  </si>
  <si>
    <t>0.03301550821209658</t>
  </si>
  <si>
    <t>[1549934, 1549997, 1549123, 1549998, 1550012]</t>
  </si>
  <si>
    <t>348.4443576790619</t>
  </si>
  <si>
    <t>16.893068430371518</t>
  </si>
  <si>
    <t>[0.021, 0.033]</t>
  </si>
  <si>
    <t>LINESTRING (11.216569167823703 60.38917620194013, 11.216457559400821 60.38914417218302, 11.216379692052307 60.38907184400937)</t>
  </si>
  <si>
    <t>[1748861, 1748877]</t>
  </si>
  <si>
    <t>[1550073, 1550083]</t>
  </si>
  <si>
    <t>0.02774493824352431</t>
  </si>
  <si>
    <t>[1550072, 1550073]</t>
  </si>
  <si>
    <t>16.247734091171765</t>
  </si>
  <si>
    <t>[-0.014, 0.003, -0.013]</t>
  </si>
  <si>
    <t>LINESTRING (11.216569167823703 60.38917620194013, 11.216466622619015 60.38920545483883, 11.216433730702684 60.389214837996015, 11.216121827191442 60.38931852865691)</t>
  </si>
  <si>
    <t>[1748922, 1748936, 1748950]</t>
  </si>
  <si>
    <t>[1550122, 1550136, 1550104]</t>
  </si>
  <si>
    <t>[1550072, 1550122, 1550136]</t>
  </si>
  <si>
    <t>[0.014, 0.003, 0.013]</t>
  </si>
  <si>
    <t>29.34351011990828</t>
  </si>
  <si>
    <t>[-0.036, -0.029, -0.022]</t>
  </si>
  <si>
    <t>LINESTRING (11.216379692052307 60.38907184400937, 11.21633586636454 60.389132664361945, 11.21632252862157 60.38915117022644, 11.216121827191442 60.38931852865691)</t>
  </si>
  <si>
    <t>[1748958, 1748963, 1748968]</t>
  </si>
  <si>
    <t>[1550154, 1550155, 1550104]</t>
  </si>
  <si>
    <t>[1550083, 1550154, 1550155]</t>
  </si>
  <si>
    <t>[0.036, 0.029, 0.022]</t>
  </si>
  <si>
    <t>31.071759903144056</t>
  </si>
  <si>
    <t>LINESTRING (11.215388064071359 60.38969998295857, 11.21517767928128 60.38986713640556, 11.215130726803073 60.38990919772902)</t>
  </si>
  <si>
    <t>[1748886, 1748893]</t>
  </si>
  <si>
    <t>[1550090, 1550099]</t>
  </si>
  <si>
    <t>[1550089, 1550090]</t>
  </si>
  <si>
    <t>27.299435434487563</t>
  </si>
  <si>
    <t>LINESTRING (11.215388064071359 60.38969998295857, 11.215043681466176 60.3898086434192, 11.214952464149022 60.38983338170476)</t>
  </si>
  <si>
    <t>[1748907, 1748908]</t>
  </si>
  <si>
    <t>[1550112, 1550113]</t>
  </si>
  <si>
    <t>0.007811932243333007</t>
  </si>
  <si>
    <t>[1550089, 1550112]</t>
  </si>
  <si>
    <t>28.26043989320618</t>
  </si>
  <si>
    <t>58.68917447009782</t>
  </si>
  <si>
    <t>[-0.028, -0.024]</t>
  </si>
  <si>
    <t>LINESTRING (11.214952464149022 60.38983338170476, 11.215068832119778 60.389865098750725, 11.215130726803073 60.38990919772902)</t>
  </si>
  <si>
    <t>[1749002, 1749010]</t>
  </si>
  <si>
    <t>[1550174, 1550099]</t>
  </si>
  <si>
    <t>[1550113, 1550174]</t>
  </si>
  <si>
    <t>13.309833504401983</t>
  </si>
  <si>
    <t>[-0.233, 0.011, 0.009, 0.009, 0.003, 0.004, 0.005, 0.005, -0.012, 0.011]</t>
  </si>
  <si>
    <t>12.0</t>
  </si>
  <si>
    <t>LINESTRING (10.912131549194722 63.46213497908237, 10.912131549194722 63.46213497908237, 10.910051055355408 63.46010168158722, 10.909137071084277 63.458465035703895, 10.90909441023754 63.4567988785603, 10.909162806993153 63.456201395170524, 10.909246288882565 63.455743251623865, 10.909402069570312 63.45508439792693, 10.909440793395614 63.45492845990087, 10.909575494407987 63.45370605433159, 10.909567867833866 63.45361637367011)</t>
  </si>
  <si>
    <t>[1750199, 1750147, 1750155, 1750163, 1750173, 1750181, 1750189, 1750190, 1750198, 1750140]</t>
  </si>
  <si>
    <t>[1550887, 1550888, 1550893, 1550896, 1550900, 1550903, 1550908, 1550909, 1550884, 1550885]</t>
  </si>
  <si>
    <t>0.001756535177501887</t>
  </si>
  <si>
    <t>[1550914, 1550887, 1550888, 1550893, 1550896, 1550900, 1550903, 1550908, 1550909, 1550884]</t>
  </si>
  <si>
    <t>[0.233, 0.011, 0.009, 0.009, 0.003, 0.004, 0.005, 0.005, 0.012, 0.011]</t>
  </si>
  <si>
    <t>996.3500287806199</t>
  </si>
  <si>
    <t>[-0.03, -0.029, 0.03, -0.009, 0.055, 0.021, 0.009]</t>
  </si>
  <si>
    <t>LINESTRING (8.708777015149014 58.45597654823854, 8.708758666581101 58.456005094629674, 8.708642280044645 58.4560619556063, 8.708510854990571 58.456067551652396, 8.708403494178516 58.455875657980584, 8.70851165205475 58.455843609088895, 8.708614931993209 58.4558435617447, 8.708720403500736 58.45587442311154)</t>
  </si>
  <si>
    <t>[1750206, 1750215, 1750216, 1750123, 1750153, 1750175, 1750183]</t>
  </si>
  <si>
    <t>[1550917, 1550923, 1550878, 1550879, 1550892, 1550901, 1550904]</t>
  </si>
  <si>
    <t>0.003072578343273082</t>
  </si>
  <si>
    <t>[1550910, 1550917, 1550923, 1550878, 1550879, 1550892, 1550901]</t>
  </si>
  <si>
    <t>[0.03, 0.029, 0.03, 0.009, 0.055, 0.021, 0.009]</t>
  </si>
  <si>
    <t>67.6771530570891</t>
  </si>
  <si>
    <t>12.466975708521192</t>
  </si>
  <si>
    <t>[0.071, 0.084, 0.059]</t>
  </si>
  <si>
    <t>LINESTRING (6.604584063868989 62.49110626067363, 6.604508453119624 62.49108406138423, 6.597457356463934 62.48922086941321, 6.597262634540371 62.489165913797635)</t>
  </si>
  <si>
    <t>[1753563, 1753564, 1753565]</t>
  </si>
  <si>
    <t>[1552657, 1552658, 1552659]</t>
  </si>
  <si>
    <t>0.08320976301705522</t>
  </si>
  <si>
    <t>[1552524, 1552657, 1552658]</t>
  </si>
  <si>
    <t>448.83962534303765</t>
  </si>
  <si>
    <t>[-0.077, -0.068, -0.048, -0.007, 0.031, 0.051, 0.076]</t>
  </si>
  <si>
    <t>LINESTRING (6.605055485683676 62.491006623135625, 6.605132100697035 62.49108572047892, 6.605107080201324 62.49114833192017, 6.605019575629289 62.491197487170055, 6.6048915469879645 62.491220859505596, 6.604763629384775 62.491214306818975, 6.604651887978379 62.49117888308328, 6.604584063868989 62.49110626067363)</t>
  </si>
  <si>
    <t>[1753328, 1753342, 1753350, 1753351, 1753367, 1753197, 1753228]</t>
  </si>
  <si>
    <t>[1552563, 1552567, 1552570, 1552571, 1552506, 1552507, 1552524]</t>
  </si>
  <si>
    <t>[1552556, 1552563, 1552567, 1552570, 1552571, 1552506, 1552507]</t>
  </si>
  <si>
    <t>[0.077, 0.068, 0.048, 0.007, 0.031, 0.051, 0.076]</t>
  </si>
  <si>
    <t>53.48499300881033</t>
  </si>
  <si>
    <t>8.832796443097527</t>
  </si>
  <si>
    <t>[-0.048, -0.034, -0.039]</t>
  </si>
  <si>
    <t>LINESTRING (6.6066087818911505 62.48991876812767, 6.606398788920268 62.48996748169302, 6.604586774540389 62.49099111481624, 6.604665153922899 62.49100394404245)</t>
  </si>
  <si>
    <t>[1753595, 1753596, 1753604]</t>
  </si>
  <si>
    <t>[1552678, 1552679, 1552535]</t>
  </si>
  <si>
    <t>[1552677, 1552678, 1552679]</t>
  </si>
  <si>
    <t>[0.048, 0.034, 0.039]</t>
  </si>
  <si>
    <t>272.35475741220785</t>
  </si>
  <si>
    <t>[-0.031, -0.057]</t>
  </si>
  <si>
    <t>LINESTRING (6.60481836240862 62.49096880158223, 6.604951438415681 62.49097526917979, 6.605055485683676 62.491006623135625)</t>
  </si>
  <si>
    <t>[1753309, 1753316]</t>
  </si>
  <si>
    <t>[1552552, 1552556]</t>
  </si>
  <si>
    <t>[1552547, 1552552]</t>
  </si>
  <si>
    <t>[0.031, 0.057]</t>
  </si>
  <si>
    <t>13.325145387557765</t>
  </si>
  <si>
    <t>LINESTRING (6.60514272320715 62.49073207947392, 6.604861944817336 62.49093257617979, 6.60481836240862 62.49096880158223)</t>
  </si>
  <si>
    <t>[1753561, 1753562]</t>
  </si>
  <si>
    <t>[1552656, 1552547]</t>
  </si>
  <si>
    <t>[1552646, 1552656]</t>
  </si>
  <si>
    <t>31.49117029505499</t>
  </si>
  <si>
    <t>LINESTRING (6.60514272320715 62.49073207947392, 6.605073067259826 62.49096712547114, 6.605055485683676 62.491006623135625)</t>
  </si>
  <si>
    <t>[1753546, 1753555]</t>
  </si>
  <si>
    <t>[1552647, 1552556]</t>
  </si>
  <si>
    <t>[1552646, 1552647]</t>
  </si>
  <si>
    <t>31.11691469027477</t>
  </si>
  <si>
    <t>[-0.096, -0.143, -0.066]</t>
  </si>
  <si>
    <t>LINESTRING (6.60430254191384 62.4894719843686, 6.6052939819437455 62.48977694997279, 6.605505477598185 62.4902237087049, 6.60514272320715 62.49073207947392)</t>
  </si>
  <si>
    <t>[1753585, 1753586, 1753587]</t>
  </si>
  <si>
    <t>[1552672, 1552673, 1552646]</t>
  </si>
  <si>
    <t>[1552669, 1552672, 1552673]</t>
  </si>
  <si>
    <t>[0.096, 0.143, 0.066]</t>
  </si>
  <si>
    <t>175.17260942787448</t>
  </si>
  <si>
    <t>100.09926515509284</t>
  </si>
  <si>
    <t>[-0.049, -0.041]</t>
  </si>
  <si>
    <t>LINESTRING (6.599124026556192 62.48941242743862, 6.599358741382135 62.489410906011486, 6.60430254191384 62.4894719843686)</t>
  </si>
  <si>
    <t>[1753575, 1753580]</t>
  </si>
  <si>
    <t>[1552668, 1552669]</t>
  </si>
  <si>
    <t>[1552667, 1552668]</t>
  </si>
  <si>
    <t>[0.049, 0.041]</t>
  </si>
  <si>
    <t>277.24467639363655</t>
  </si>
  <si>
    <t>[-0.073, -0.009]</t>
  </si>
  <si>
    <t>LINESTRING (6.599124026556192 62.48941242743862, 6.604388637444056 62.49002027545328, 6.6066087818911505 62.48991876812767)</t>
  </si>
  <si>
    <t>[1753607, 1753611]</t>
  </si>
  <si>
    <t>[1552680, 1552677]</t>
  </si>
  <si>
    <t>[1552667, 1552680]</t>
  </si>
  <si>
    <t>[0.073, 0.009]</t>
  </si>
  <si>
    <t>397.11091903364365</t>
  </si>
  <si>
    <t>[-0.039, -0.05]</t>
  </si>
  <si>
    <t>LINESTRING (6.60430254191384 62.4894719843686, 6.607013078623773 62.48984649246172, 6.607240897208619 62.48986817641366)</t>
  </si>
  <si>
    <t>[1753593, 1753594]</t>
  </si>
  <si>
    <t>[1552675, 1552676]</t>
  </si>
  <si>
    <t>[1552669, 1552675]</t>
  </si>
  <si>
    <t>[0.039, 0.05]</t>
  </si>
  <si>
    <t>247.228388825786</t>
  </si>
  <si>
    <t>33.13516447810127</t>
  </si>
  <si>
    <t>[-0.018, -0.019, -0.022, 0.266]</t>
  </si>
  <si>
    <t>LINESTRING (5.643259644902254 59.007395395651876, 5.643123536372668 59.00742345538244, 5.640642969078439 59.00779725997442, 5.639238896912992 59.00873579898921, 5.639135360139508 59.00880238998317)</t>
  </si>
  <si>
    <t>[1758934, 1758955, 1758956, 2118021]</t>
  </si>
  <si>
    <t>[1555804, 1555811, 1555812, 1825981]</t>
  </si>
  <si>
    <t>[1555803, 1555804, 1555811, 1555812]</t>
  </si>
  <si>
    <t>[0.018, 0.019, 0.022, 0.266]</t>
  </si>
  <si>
    <t>302.7161363872461</t>
  </si>
  <si>
    <t>[-0.004, -0.006, -0.072]</t>
  </si>
  <si>
    <t>LINESTRING (5.643798397916456 59.00720740167803, 5.643736588747419 59.007248024396, 5.643632800489327 59.00729389426752, 5.643259644902254 59.007395395651876)</t>
  </si>
  <si>
    <t>[2118668, 2118683, 2118696]</t>
  </si>
  <si>
    <t>[1826427, 1826437, 1555803]</t>
  </si>
  <si>
    <t>[1826318, 1826427, 1826437]</t>
  </si>
  <si>
    <t>[0.004, 0.006, 0.072]</t>
  </si>
  <si>
    <t>38.25545168023739</t>
  </si>
  <si>
    <t>[-0.002, -0.002, -0.08]</t>
  </si>
  <si>
    <t>LINESTRING (5.643577104645958 59.00717096992969, 5.64354787467664 59.00720458501359, 5.643497175891093 59.007256971070575, 5.643259644902254 59.007395395651876)</t>
  </si>
  <si>
    <t>[2118637, 2118652, 2118660]</t>
  </si>
  <si>
    <t>[1826402, 1826416, 1555803]</t>
  </si>
  <si>
    <t>[1826329, 1826402, 1826416]</t>
  </si>
  <si>
    <t>[0.002, 0.002, 0.08]</t>
  </si>
  <si>
    <t>31.90402760936587</t>
  </si>
  <si>
    <t>[-0.052, 0.041, 0.07, 0.091]</t>
  </si>
  <si>
    <t>LINESTRING (8.942918706431213 58.652292537934116, 8.942342175726909 58.65192605102247, 8.941426683052896 58.6520959363933, 8.941226753806337 58.65217800205553, 8.941151535114717 58.65222565601326)</t>
  </si>
  <si>
    <t>[1762910, 1762918, 1762926, 1762934]</t>
  </si>
  <si>
    <t>[1558127, 1558131, 1558135, 109767]</t>
  </si>
  <si>
    <t>0.001963834651249988</t>
  </si>
  <si>
    <t>[113916, 1558127, 1558131, 1558135]</t>
  </si>
  <si>
    <t>[0.052, 0.041, 0.07, 0.091]</t>
  </si>
  <si>
    <t>149.054323992936</t>
  </si>
  <si>
    <t>LINESTRING (9.291417204221775 60.9714087142917, 9.291332414957921 60.97142055015026, 9.290805761545295 60.97149757221295)</t>
  </si>
  <si>
    <t>[1763556, 1763564]</t>
  </si>
  <si>
    <t>[1558490, 1558481]</t>
  </si>
  <si>
    <t>[1558489, 1558490]</t>
  </si>
  <si>
    <t>34.58881632294747</t>
  </si>
  <si>
    <t>LINESTRING (9.291252754421743 60.97128605686777, 9.291182735127686 60.971316280359446, 9.290805761545295 60.97149757221295)</t>
  </si>
  <si>
    <t>[1763572, 1763580]</t>
  </si>
  <si>
    <t>[1558501, 1558481]</t>
  </si>
  <si>
    <t>0.041949429564641774</t>
  </si>
  <si>
    <t>[1558500, 1558501]</t>
  </si>
  <si>
    <t>33.81817123268665</t>
  </si>
  <si>
    <t>[-0.098, -0.096]</t>
  </si>
  <si>
    <t>LINESTRING (9.291417204221775 60.9714087142917, 9.291292893822506 60.971351223764955, 9.291252754421743 60.97128605686777)</t>
  </si>
  <si>
    <t>[1765129, 1765137]</t>
  </si>
  <si>
    <t>[1559275, 1558500]</t>
  </si>
  <si>
    <t>[1558489, 1559275]</t>
  </si>
  <si>
    <t>[0.098, 0.096]</t>
  </si>
  <si>
    <t>16.885833206399454</t>
  </si>
  <si>
    <t>[0.084, 0.057, -0.001, -0.044]</t>
  </si>
  <si>
    <t>LINESTRING (9.291864110574508 60.97124811573429, 9.291829378579697 60.97135267984079, 9.291747037200677 60.97139653079235, 9.291638354669315 60.97142206958378, 9.291417204221775 60.9714087142917)</t>
  </si>
  <si>
    <t>[1765097, 1765105, 1765113, 1765121]</t>
  </si>
  <si>
    <t>[1558586, 1559263, 1558573, 1558489]</t>
  </si>
  <si>
    <t>0.022396873570150407</t>
  </si>
  <si>
    <t>[1558513, 1558586, 1559263, 1558573]</t>
  </si>
  <si>
    <t>[0.084, 0.057, 0.001, 0.044]</t>
  </si>
  <si>
    <t>37.494719456859244</t>
  </si>
  <si>
    <t>[-0.102, -0.049, -0.008, 0.06]</t>
  </si>
  <si>
    <t>LINESTRING (9.291252754421743 60.97128605686777, 9.291270162863006 60.97122345176557, 9.291367852958722 60.97115790203189, 9.291538760327128 60.971124978999846, 9.291622551486828 60.9711278543472)</t>
  </si>
  <si>
    <t>[1765145, 1765153, 1765161, 1765169]</t>
  </si>
  <si>
    <t>[1558561, 1559290, 1558544, 1558527]</t>
  </si>
  <si>
    <t>[1558500, 1558561, 1559290, 1558544]</t>
  </si>
  <si>
    <t>[0.102, 0.049, 0.008, 0.06]</t>
  </si>
  <si>
    <t>30.587186232892158</t>
  </si>
  <si>
    <t>[0.051, 0.044]</t>
  </si>
  <si>
    <t>LINESTRING (9.29234380048892 60.970955125809034, 9.291915486708296 60.97121650588439, 9.291864110574508 60.97124811573429)</t>
  </si>
  <si>
    <t>[1763588, 1763596]</t>
  </si>
  <si>
    <t>[1558509, 1558513]</t>
  </si>
  <si>
    <t>0.05024691548970367</t>
  </si>
  <si>
    <t>[1558508, 1558509]</t>
  </si>
  <si>
    <t>41.75417379168282</t>
  </si>
  <si>
    <t>LINESTRING (9.29234380048892 60.970955125809034, 9.291720329522796 60.97110506597333, 9.291622551486828 60.9711278543472)</t>
  </si>
  <si>
    <t>[1763620, 1763628]</t>
  </si>
  <si>
    <t>[1558523, 1558527]</t>
  </si>
  <si>
    <t>0.007055954891993231</t>
  </si>
  <si>
    <t>[1558508, 1558523]</t>
  </si>
  <si>
    <t>43.57880767441704</t>
  </si>
  <si>
    <t>[0.081, 0.101]</t>
  </si>
  <si>
    <t>LINESTRING (9.291622551486828 60.9711278543472, 9.29179394187103 60.97117690256233, 9.291864110574508 60.97124811573429)</t>
  </si>
  <si>
    <t>[1765177, 1765185]</t>
  </si>
  <si>
    <t>[1559304, 1558513]</t>
  </si>
  <si>
    <t>0.08989985427548318</t>
  </si>
  <si>
    <t>[1558527, 1559304]</t>
  </si>
  <si>
    <t>19.786684510749268</t>
  </si>
  <si>
    <t>[0.062, 0.039]</t>
  </si>
  <si>
    <t>LINESTRING (11.024956228190328 59.316308178053006, 11.024844692695329 59.316296409433626, 11.024733454206645 59.31625201395882)</t>
  </si>
  <si>
    <t>[1769557, 1769565]</t>
  </si>
  <si>
    <t>[1561946, 1561951]</t>
  </si>
  <si>
    <t>0.049271646258261595</t>
  </si>
  <si>
    <t>[1561941, 1561946]</t>
  </si>
  <si>
    <t>14.525542301669471</t>
  </si>
  <si>
    <t>[0.009, -0.021]</t>
  </si>
  <si>
    <t>LINESTRING (11.024956228190328 59.316308178053006, 11.024891834941464 59.31634779233398, 11.024577935009082 59.31652318374617)</t>
  </si>
  <si>
    <t>[1769653, 1769661]</t>
  </si>
  <si>
    <t>[1562002, 1561984]</t>
  </si>
  <si>
    <t>[1561941, 1562002]</t>
  </si>
  <si>
    <t>32.47568358622296</t>
  </si>
  <si>
    <t>[-0.038, -0.039]</t>
  </si>
  <si>
    <t>LINESTRING (11.024733454206645 59.31625201395882, 11.024724123746697 59.31631978765003, 11.024577935009082 59.31652318374617)</t>
  </si>
  <si>
    <t>[1769621, 1769629]</t>
  </si>
  <si>
    <t>[1561979, 1561984]</t>
  </si>
  <si>
    <t>[1561951, 1561979]</t>
  </si>
  <si>
    <t>[0.038, 0.039]</t>
  </si>
  <si>
    <t>31.715318650841752</t>
  </si>
  <si>
    <t>[-0.039, -0.029]</t>
  </si>
  <si>
    <t>LINESTRING (11.024577935009082 59.31652318374617, 11.024492221737567 59.31657365442699, 11.023389683511244 59.31686636775942)</t>
  </si>
  <si>
    <t>[1769637, 1769645]</t>
  </si>
  <si>
    <t>[1561991, 1561996]</t>
  </si>
  <si>
    <t>[1561984, 1561991]</t>
  </si>
  <si>
    <t>[0.039, 0.029]</t>
  </si>
  <si>
    <t>78.33993273597474</t>
  </si>
  <si>
    <t>[-0.02, -0.014]</t>
  </si>
  <si>
    <t>LINESTRING (11.023389683511244 59.31686636775942, 11.022961128056538 59.31692045669153, 11.022842913454628 59.31692472824752)</t>
  </si>
  <si>
    <t>[1769733, 1769741]</t>
  </si>
  <si>
    <t>[1562052, 1562057]</t>
  </si>
  <si>
    <t>[1561996, 1562052]</t>
  </si>
  <si>
    <t>[0.02, 0.014]</t>
  </si>
  <si>
    <t>31.89343847214541</t>
  </si>
  <si>
    <t>[-0.026, -0.027]</t>
  </si>
  <si>
    <t>LINESTRING (11.023389683511244 59.31686636775942, 11.023037998437804 59.316998848614645, 11.022953958963894 59.31703843694079)</t>
  </si>
  <si>
    <t>[1769749, 1769757]</t>
  </si>
  <si>
    <t>[1562062, 1562066]</t>
  </si>
  <si>
    <t>[1561996, 1562062]</t>
  </si>
  <si>
    <t>[0.026, 0.027]</t>
  </si>
  <si>
    <t>31.392701173102886</t>
  </si>
  <si>
    <t>[-0.011, -0.021]</t>
  </si>
  <si>
    <t>LINESTRING (11.022842913454628 59.31692472824752, 11.02292784366734 59.31697902005582, 11.022953958963894 59.31703843694079)</t>
  </si>
  <si>
    <t>[1770030, 1770038]</t>
  </si>
  <si>
    <t>[1562230, 1562066]</t>
  </si>
  <si>
    <t>[1562057, 1562230]</t>
  </si>
  <si>
    <t>[0.011, 0.021]</t>
  </si>
  <si>
    <t>14.53150820194331</t>
  </si>
  <si>
    <t>22.43732382018779</t>
  </si>
  <si>
    <t>[-0.016, 0.007, 0.015, 0.024]</t>
  </si>
  <si>
    <t>LINESTRING (11.022953958963894 59.31703843694079, 11.022506294529355 59.31715466778176, 11.022421790195832 59.31710425467013, 11.022392033911771 59.31703537613832, 11.02247750272351 59.31693621519482)</t>
  </si>
  <si>
    <t>[1769989, 1769997, 1770005, 1770013]</t>
  </si>
  <si>
    <t>[1562041, 1562207, 1562008, 1562218]</t>
  </si>
  <si>
    <t>[1562066, 1562041, 1562207, 1562008]</t>
  </si>
  <si>
    <t>[0.016, 0.007, 0.015, 0.024]</t>
  </si>
  <si>
    <t>62.552964550918915</t>
  </si>
  <si>
    <t>[0.017, 0.034, 0.038, 0.028]</t>
  </si>
  <si>
    <t>LINESTRING (11.023379955082175 59.31580212350912, 11.023347115830342 59.315738545340686, 11.023375733372509 59.31567279963859, 11.023454662169009 59.3156219875018, 11.02382872578364 59.315634138052026)</t>
  </si>
  <si>
    <t>[1769933, 1769941, 1769949, 1769957]</t>
  </si>
  <si>
    <t>[1047229, 1562164, 1047217, 1562177]</t>
  </si>
  <si>
    <t>0.028813573318033595</t>
  </si>
  <si>
    <t>[1562156, 1047229, 1562164, 1047217]</t>
  </si>
  <si>
    <t>45.14568552414475</t>
  </si>
  <si>
    <t>[0.045, 0.033, 0.019, 0.023, 0.018]</t>
  </si>
  <si>
    <t>LINESTRING (14.472632356218137 66.40638858694005, 14.474307347000098 66.40630401385572, 14.474598404869335 66.40629414777264, 14.47561266936333 66.40625975429556, 14.47584553721312 66.4062518613935, 14.47813554706138 66.4062015820818)</t>
  </si>
  <si>
    <t>[1776134, 1776142, 1776150, 1776158, 1776166]</t>
  </si>
  <si>
    <t>[1566941, 1566950, 1566957, 1566911, 1566973]</t>
  </si>
  <si>
    <t>0.027441472094313912</t>
  </si>
  <si>
    <t>[1566940, 1566941, 1566950, 1566957, 1566911]</t>
  </si>
  <si>
    <t>247.21477342178312</t>
  </si>
  <si>
    <t>[0.035, 0.02, 0.031, 0.012, 0.026]</t>
  </si>
  <si>
    <t>LINESTRING (14.472632356218137 66.40638858694005, 14.474605027022688 66.4063605941826, 14.475600241546703 66.40632719525715, 14.4757314311354 66.40632271081111, 14.475971828235265 66.40631562352677, 14.47813554706138 66.4062015820818)</t>
  </si>
  <si>
    <t>[1776174, 1776189, 1776197, 1776203, 1776204]</t>
  </si>
  <si>
    <t>[1566983, 1566997, 1566925, 1566912, 1566973]</t>
  </si>
  <si>
    <t>0.027641917332087842</t>
  </si>
  <si>
    <t>[1566940, 1566983, 1566997, 1566925, 1566912]</t>
  </si>
  <si>
    <t>247.27350100536134</t>
  </si>
  <si>
    <t>363.3988602438998</t>
  </si>
  <si>
    <t>[-0.017, -0.026]</t>
  </si>
  <si>
    <t>LINESTRING (9.053818000484679 61.037401120954854, 9.053734665146825 61.037632515041516, 9.053649487796367 61.037796741194384)</t>
  </si>
  <si>
    <t>[1778020, 1778028]</t>
  </si>
  <si>
    <t>[1568439, 1567594]</t>
  </si>
  <si>
    <t>[1567587, 1568439]</t>
  </si>
  <si>
    <t>[0.017, 0.026]</t>
  </si>
  <si>
    <t>45.41676392123082</t>
  </si>
  <si>
    <t>[-0.044, 0.014]</t>
  </si>
  <si>
    <t>LINESTRING (9.053818000484679 61.037401120954854, 9.053631863077955 61.03762328940311, 9.053649487796367 61.037796741194384)</t>
  </si>
  <si>
    <t>[1778029, 1778036]</t>
  </si>
  <si>
    <t>[1568446, 1567594]</t>
  </si>
  <si>
    <t>[1567587, 1568446]</t>
  </si>
  <si>
    <t>[0.044, 0.014]</t>
  </si>
  <si>
    <t>47.19333797030241</t>
  </si>
  <si>
    <t>27.43970612052078</t>
  </si>
  <si>
    <t>[-0.003, 0.001, 0.008, 0.011]</t>
  </si>
  <si>
    <t>LINESTRING (11.09526058506948 59.2599875640662, 11.095205533419985 59.25992281665692, 11.095210281988784 59.2598439798385, 11.095302812025919 59.25975998539166, 11.095839623099147 59.2597989989505)</t>
  </si>
  <si>
    <t>[1779114, 1779122, 1779130, 1779138]</t>
  </si>
  <si>
    <t>[1337520, 1569281, 1337584, 1569293]</t>
  </si>
  <si>
    <t>0.0073278967390373465</t>
  </si>
  <si>
    <t>[1569267, 1337520, 1569281, 1337584]</t>
  </si>
  <si>
    <t>[0.003, 0.001, 0.008, 0.011]</t>
  </si>
  <si>
    <t>62.709816260710426</t>
  </si>
  <si>
    <t>[-0.054, -0.061, -0.063, -0.058, -0.048]</t>
  </si>
  <si>
    <t>LINESTRING (14.418764048970461 66.40287808708734, 14.42236377269761 66.40275957600181, 14.422601661533248 66.40274884753636, 14.423879388413416 66.40269075299756, 14.424120998112567 66.40267976681609, 14.425939100794023 66.4025806041505)</t>
  </si>
  <si>
    <t>[1780350, 1780358, 1780378, 1780379, 1780387]</t>
  </si>
  <si>
    <t>[1570373, 1570382, 1570400, 1570401, 1570410]</t>
  </si>
  <si>
    <t>[1570377, 1570373, 1570382, 1570400, 1570401]</t>
  </si>
  <si>
    <t>[0.054, 0.061, 0.063, 0.058, 0.048]</t>
  </si>
  <si>
    <t>322.91445838476466</t>
  </si>
  <si>
    <t>[-0.067, -0.053, -0.114, -0.062, -0.027]</t>
  </si>
  <si>
    <t>LINESTRING (14.418764048970461 66.40287808708734, 14.422173044288968 66.40270082451778, 14.422497238561391 66.4026860826268, 14.42257937415578 66.40268234051484, 14.423862765923081 66.40262406074443, 14.425939100794023 66.4025806041505)</t>
  </si>
  <si>
    <t>[1780392, 1780400, 1780409, 1780417, 1780425]</t>
  </si>
  <si>
    <t>[1570374, 1570372, 1570428, 1570435, 1570410]</t>
  </si>
  <si>
    <t>[1570377, 1570374, 1570372, 1570428, 1570435]</t>
  </si>
  <si>
    <t>[0.067, 0.053, 0.114, 0.062, 0.027]</t>
  </si>
  <si>
    <t>322.730436992299</t>
  </si>
  <si>
    <t>1947.7719565465584</t>
  </si>
  <si>
    <t>11.645937723281936</t>
  </si>
  <si>
    <t>[-0.065, -0.061]</t>
  </si>
  <si>
    <t>LINESTRING (10.616782816956364 60.2936112663824, 10.616726012018786 60.29358771773374, 10.616709195701677 60.29354831537048)</t>
  </si>
  <si>
    <t>[1781325, 1781333]</t>
  </si>
  <si>
    <t>[1571225, 1571099]</t>
  </si>
  <si>
    <t>[1571111, 1571225]</t>
  </si>
  <si>
    <t>[0.065, 0.061]</t>
  </si>
  <si>
    <t>8.583375070691595</t>
  </si>
  <si>
    <t>[0.003, -0.058]</t>
  </si>
  <si>
    <t>LINESTRING (10.616946068362077 60.29356378677293, 10.616871204461367 60.29361139973217, 10.616782816956364 60.2936112663824)</t>
  </si>
  <si>
    <t>[1781309, 1781317]</t>
  </si>
  <si>
    <t>[1571205, 1571111]</t>
  </si>
  <si>
    <t>[1571131, 1571205]</t>
  </si>
  <si>
    <t>[0.003, 0.058]</t>
  </si>
  <si>
    <t>11.621351829469912</t>
  </si>
  <si>
    <t>[0.072, 0.062]</t>
  </si>
  <si>
    <t>LINESTRING (10.61687191782399 60.293500728442275, 10.616928903079659 60.293524282988436, 10.616946068362077 60.29356378677293)</t>
  </si>
  <si>
    <t>[1781349, 1781357]</t>
  </si>
  <si>
    <t>[1571241, 1571131]</t>
  </si>
  <si>
    <t>0.06676671584263125</t>
  </si>
  <si>
    <t>[1571197, 1571241]</t>
  </si>
  <si>
    <t>8.606552968128812</t>
  </si>
  <si>
    <t>[0.03, 0.025, 0.018, 0.004, -0.002]</t>
  </si>
  <si>
    <t>LINESTRING (17.453001853029335 68.44479198650548, 17.453603601147993 68.44504325998929, 17.45368913542623 68.44509046167151, 17.4540622601933 68.44531495552778, 17.454151148436562 68.44537529189317, 17.454614715562197 68.44577451860059)</t>
  </si>
  <si>
    <t>[1781421, 1781429, 1781437, 1781445, 1781453]</t>
  </si>
  <si>
    <t>[1571299, 1571307, 1571315, 1571323, 1571331]</t>
  </si>
  <si>
    <t>0.013491026383601341</t>
  </si>
  <si>
    <t>[1571298, 1571299, 1571307, 1571315, 1571323]</t>
  </si>
  <si>
    <t>[0.03, 0.025, 0.018, 0.004, 0.002]</t>
  </si>
  <si>
    <t>129.77471252855824</t>
  </si>
  <si>
    <t>[0.007, 0.017, 0.01, 0.01, 0.019]</t>
  </si>
  <si>
    <t>LINESTRING (17.453001853029335 68.44479198650548, 17.45351624858601 68.44512633689509, 17.453876110369812 68.44534827023246, 17.453909971727633 68.44537109957601, 17.454035353256202 68.44545647945164, 17.454614715562197 68.44577451860059)</t>
  </si>
  <si>
    <t>[1781461, 1781469, 1781477, 1781485, 1781493]</t>
  </si>
  <si>
    <t>[1571340, 1571345, 1571353, 1571359, 1571331]</t>
  </si>
  <si>
    <t>0.013576882099796841</t>
  </si>
  <si>
    <t>[1571298, 1571340, 1571345, 1571353, 1571359]</t>
  </si>
  <si>
    <t>128.6211364714074</t>
  </si>
  <si>
    <t>[-0.019, -0.05, -0.061, -0.079, -0.014]</t>
  </si>
  <si>
    <t>LINESTRING (14.538183547921362 66.3884870637626, 14.539413659888686 66.3877663285341, 14.539546141660892 66.38769405188383, 14.540224536575646 66.38736557612792, 14.540330706621674 66.38731750666595, 14.54151834366411 66.38680744739848)</t>
  </si>
  <si>
    <t>[1782007, 1782015, 1782023, 1782031, 1782039]</t>
  </si>
  <si>
    <t>[1571796, 1571841, 1571846, 1571851, 1571858]</t>
  </si>
  <si>
    <t>[1571835, 1571796, 1571841, 1571846, 1571851]</t>
  </si>
  <si>
    <t>[0.019, 0.05, 0.061, 0.079, 0.014]</t>
  </si>
  <si>
    <t>240.32171465566455</t>
  </si>
  <si>
    <t>[-0.017, -0.039, -0.047, -0.061, -0.02]</t>
  </si>
  <si>
    <t>LINESTRING (14.538183547921362 66.3884870637626, 14.539216078551492 66.38776142962512, 14.539334913781714 66.38769641550334, 14.539408772948569 66.38765601142443, 14.540100926004543 66.38732033696405, 14.54151834366411 66.38680744739848)</t>
  </si>
  <si>
    <t>[1782047, 1782055, 1782063, 1782071, 1782079]</t>
  </si>
  <si>
    <t>[1571817, 1571797, 1571879, 1571885, 1571858]</t>
  </si>
  <si>
    <t>[1571835, 1571817, 1571797, 1571879, 1571885]</t>
  </si>
  <si>
    <t>[0.017, 0.039, 0.047, 0.061, 0.02]</t>
  </si>
  <si>
    <t>242.35170970032738</t>
  </si>
  <si>
    <t>[-0.011, -0.056]</t>
  </si>
  <si>
    <t>LINESTRING (10.379700100945186 59.94927229586576, 10.376641354959045 59.950450168492694, 10.376904388227299 59.951505940014876)</t>
  </si>
  <si>
    <t>[1782029, 1782037]</t>
  </si>
  <si>
    <t>[1351124, 1571856]</t>
  </si>
  <si>
    <t>[1571849, 1351124]</t>
  </si>
  <si>
    <t>[0.011, 0.056]</t>
  </si>
  <si>
    <t>349.37136027025133</t>
  </si>
  <si>
    <t>[0.022, 0.051]</t>
  </si>
  <si>
    <t>LINESTRING (10.376904388227299 59.951505940014876, 10.377143801054608 59.951608008238246, 10.377255298901014 59.95163832874457)</t>
  </si>
  <si>
    <t>[1782189, 1782197]</t>
  </si>
  <si>
    <t>[1571979, 1571895]</t>
  </si>
  <si>
    <t>0.030339542910549706</t>
  </si>
  <si>
    <t>[1571856, 1571979]</t>
  </si>
  <si>
    <t>24.656327292937856</t>
  </si>
  <si>
    <t>LINESTRING (10.376904388227299 59.951505940014876, 10.377016033771014 59.951647503118394, 10.377071421519934 59.95169159329368)</t>
  </si>
  <si>
    <t>[1782205, 1782213]</t>
  </si>
  <si>
    <t>[1571992, 1571882]</t>
  </si>
  <si>
    <t>[1571856, 1571992]</t>
  </si>
  <si>
    <t>22.776344812810926</t>
  </si>
  <si>
    <t>[-0.061, 0.012, 0.062, 0.081]</t>
  </si>
  <si>
    <t>LINESTRING (10.377263510738025 59.951836483930244, 10.37710553536329 59.95180692416873, 10.377051151514035 59.95175204054024, 10.377054193465762 59.951714822436195, 10.377071421519934 59.95169159329368)</t>
  </si>
  <si>
    <t>[1782045, 1782053, 1782061, 1782069]</t>
  </si>
  <si>
    <t>[1571864, 1571869, 1571876, 1571882]</t>
  </si>
  <si>
    <t>[1571863, 1571864, 1571869, 1571876]</t>
  </si>
  <si>
    <t>[0.061, 0.012, 0.062, 0.081]</t>
  </si>
  <si>
    <t>23.400321845887778</t>
  </si>
  <si>
    <t>[0.015, 0.031]</t>
  </si>
  <si>
    <t>LINESTRING (10.377263510738025 59.951836483930244, 10.377317088779717 59.95187722766409, 10.377507577977894 59.95198283911446)</t>
  </si>
  <si>
    <t>[1782253, 1782261]</t>
  </si>
  <si>
    <t>[1572032, 1571968]</t>
  </si>
  <si>
    <t>0.026916167471241245</t>
  </si>
  <si>
    <t>[1571863, 1572032]</t>
  </si>
  <si>
    <t>21.313480580869435</t>
  </si>
  <si>
    <t>11.00658790203013</t>
  </si>
  <si>
    <t>[0.105, 0.09]</t>
  </si>
  <si>
    <t>LINESTRING (10.377071421519934 59.95169159329368, 10.377137511408772 59.951654879757044, 10.377255298901014 59.95163832874457)</t>
  </si>
  <si>
    <t>[1782077, 1782085]</t>
  </si>
  <si>
    <t>[1571888, 1571895]</t>
  </si>
  <si>
    <t>0.0966953452277028</t>
  </si>
  <si>
    <t>[1571882, 1571888]</t>
  </si>
  <si>
    <t>12.351612098044718</t>
  </si>
  <si>
    <t>[0.053, 0.006, -0.04, -0.057]</t>
  </si>
  <si>
    <t>LINESTRING (10.377255298901014 59.95163832874457, 10.3773883331486 59.95166800212712, 10.37742936958425 59.9516990327868, 10.377444907185883 59.95173546408065, 10.377422244660359 59.951783505671095)</t>
  </si>
  <si>
    <t>[1782093, 1782101, 1782109, 1782117]</t>
  </si>
  <si>
    <t>[1571900, 1571909, 1571915, 1571923]</t>
  </si>
  <si>
    <t>[1571895, 1571900, 1571909, 1571915]</t>
  </si>
  <si>
    <t>[0.053, 0.006, 0.04, 0.057]</t>
  </si>
  <si>
    <t>21.944641756953043</t>
  </si>
  <si>
    <t>[-0.017, -0.029]</t>
  </si>
  <si>
    <t>LINESTRING (10.377422244660359 59.951783505671095, 10.377461359081789 59.951842961675275, 10.377507577977894 59.95198283911446)</t>
  </si>
  <si>
    <t>[1782165, 1782173]</t>
  </si>
  <si>
    <t>[1571963, 1571968]</t>
  </si>
  <si>
    <t>[1571923, 1571963]</t>
  </si>
  <si>
    <t>[0.017, 0.029]</t>
  </si>
  <si>
    <t>23.065774453696314</t>
  </si>
  <si>
    <t>[-0.021, -0.023, -0.027]</t>
  </si>
  <si>
    <t>LINESTRING (16.81487932741432 68.33621863359771, 16.81491472984891 68.3361723105452, 16.8149812868881 68.33609766407594, 16.815148229028672 68.33595848247467)</t>
  </si>
  <si>
    <t>[1782301, 1782309, 1782317]</t>
  </si>
  <si>
    <t>[1572067, 1572074, 1572082]</t>
  </si>
  <si>
    <t>[1572066, 1572067, 1572074]</t>
  </si>
  <si>
    <t>[0.021, 0.023, 0.027]</t>
  </si>
  <si>
    <t>31.10568550909698</t>
  </si>
  <si>
    <t>[0.007, 0.02, 0.032, 0.039]</t>
  </si>
  <si>
    <t>LINESTRING (16.81487932741432 68.33621863359771, 16.81489329473461 68.33624764137583, 16.81484279000409 68.33633602907456, 16.814728637850518 68.33638446503977, 16.814415561556448 68.33641398022564)</t>
  </si>
  <si>
    <t>[1782534, 1782542, 1782550, 1782558]</t>
  </si>
  <si>
    <t>[1572276, 1572284, 1572169, 1572150]</t>
  </si>
  <si>
    <t>0.028836433507385177</t>
  </si>
  <si>
    <t>[1572066, 1572276, 1572284, 1572169]</t>
  </si>
  <si>
    <t>34.10629851123002</t>
  </si>
  <si>
    <t>[-0.033, -0.01]</t>
  </si>
  <si>
    <t>LINESTRING (16.814524020379192 68.33610819309067, 16.814746583247217 68.33614345507122, 16.81487932741432 68.33621863359771)</t>
  </si>
  <si>
    <t>[1782518, 1782526]</t>
  </si>
  <si>
    <t>[1572264, 1572066]</t>
  </si>
  <si>
    <t>[1572106, 1572264]</t>
  </si>
  <si>
    <t>19.986094730477333</t>
  </si>
  <si>
    <t>2282.0</t>
  </si>
  <si>
    <t>LINESTRING (16.815148229028672 68.33595848247467, 17.084676333621587 68.38258411562806)</t>
  </si>
  <si>
    <t>[-0.042, -0.04, -0.038]</t>
  </si>
  <si>
    <t>LINESTRING (16.814524020379192 68.33610819309067, 16.81463669690547 68.33608695917351, 16.81481965375541 68.33604998583499, 16.815148229028672 68.33595848247467)</t>
  </si>
  <si>
    <t>[1782341, 1782349, 1782357]</t>
  </si>
  <si>
    <t>[1572107, 1572114, 1572082]</t>
  </si>
  <si>
    <t>[1572106, 1572107, 1572114]</t>
  </si>
  <si>
    <t>[0.042, 0.04, 0.038]</t>
  </si>
  <si>
    <t>30.754713605026325</t>
  </si>
  <si>
    <t>[-0.003, -0.016, -0.033, -0.04]</t>
  </si>
  <si>
    <t>LINESTRING (16.81407870673081 68.3363065680399, 16.814064391060114 68.33628231927358, 16.814089325295157 68.33620515607168, 16.81422322098531 68.33613936883502, 16.814524020379192 68.33610819309067)</t>
  </si>
  <si>
    <t>[1782485, 1782493, 1782502, 1782510]</t>
  </si>
  <si>
    <t>[1572053, 1572239, 1572090, 1572106]</t>
  </si>
  <si>
    <t>[1572138, 1572053, 1572239, 1572090]</t>
  </si>
  <si>
    <t>[0.003, 0.016, 0.033, 0.04]</t>
  </si>
  <si>
    <t>33.72916511914669</t>
  </si>
  <si>
    <t>[-0.027, -0.023]</t>
  </si>
  <si>
    <t>LINESTRING (16.81377888738567 68.33655129825672, 16.814041332730916 68.33634950289209, 16.81407870673081 68.3363065680399)</t>
  </si>
  <si>
    <t>[1782365, 1782373]</t>
  </si>
  <si>
    <t>[1572129, 1572138]</t>
  </si>
  <si>
    <t>[1572128, 1572129]</t>
  </si>
  <si>
    <t>[0.027, 0.023]</t>
  </si>
  <si>
    <t>29.992947088186696</t>
  </si>
  <si>
    <t>LINESTRING (16.81377888738567 68.33655129825672, 16.81430590148655 68.33643347644063, 16.814415561556448 68.33641398022564)</t>
  </si>
  <si>
    <t>[1782381, 1782389]</t>
  </si>
  <si>
    <t>[1572144, 1572150]</t>
  </si>
  <si>
    <t>[1572128, 1572144]</t>
  </si>
  <si>
    <t>30.391786229280008</t>
  </si>
  <si>
    <t>LINESTRING (16.814415561556448 68.33641398022564, 16.81420557673294 68.3363781323635, 16.81407870673081 68.3363065680399)</t>
  </si>
  <si>
    <t>[1782566, 1782574]</t>
  </si>
  <si>
    <t>[1572302, 1572138]</t>
  </si>
  <si>
    <t>0.0214954647543587</t>
  </si>
  <si>
    <t>[1572150, 1572302]</t>
  </si>
  <si>
    <t>19.069365933913154</t>
  </si>
  <si>
    <t>LINESTRING (10.261640529641312 59.75402560492521, 10.261566325579482 59.7540045745273, 10.261540762525698 59.75396362412585)</t>
  </si>
  <si>
    <t>[1788059, 1788067]</t>
  </si>
  <si>
    <t>[1577219, 1577151]</t>
  </si>
  <si>
    <t>[1577178, 1577219]</t>
  </si>
  <si>
    <t>9.57189630237681</t>
  </si>
  <si>
    <t>[-0.066, -0.039, -0.017]</t>
  </si>
  <si>
    <t>LINESTRING (9.66544044263613 59.09226420263526, 9.665487017898103 59.09230753608454, 9.665719381393819 59.093072643510624, 9.665696082873962 59.09311220554779)</t>
  </si>
  <si>
    <t>[1813950, 1813942, 1813954]</t>
  </si>
  <si>
    <t>[1596452, 1596453, 1577642]</t>
  </si>
  <si>
    <t>[1577652, 1596452, 1596453]</t>
  </si>
  <si>
    <t>[0.066, 0.039, 0.017]</t>
  </si>
  <si>
    <t>97.65834182060965</t>
  </si>
  <si>
    <t>[0.004, -0.016, -0.015, -0.015, 0.0, -0.004, -0.008, -0.025]</t>
  </si>
  <si>
    <t>18671.0</t>
  </si>
  <si>
    <t>LINESTRING (9.66544044263613 59.09226420263526, 9.665109009681657 59.08519239969617, 9.665145612093417 59.08498769688774, 9.665179277512573 59.08480702628909, 9.665225868401242 59.084554995652624, 9.665227484653371 59.08454607229672, 9.665489133146702 59.0821681850099, 9.665330430478386 59.080513204723914, 9.664953944522372 59.07908766219698)</t>
  </si>
  <si>
    <t>[1788537, 1788545, 1788553, 1788561, 1788569, 1788577, 1788585, 1788593]</t>
  </si>
  <si>
    <t>[1577658, 1577664, 1577673, 1577680, 1577687, 1577695, 1577703, 1577710]</t>
  </si>
  <si>
    <t>[1577652, 1577658, 1577664, 1577673, 1577680, 1577687, 1577695, 1577703]</t>
  </si>
  <si>
    <t>[0.004, 0.016, 0.015, 0.015, 0.0, 0.004, 0.008, 0.025]</t>
  </si>
  <si>
    <t>1473.6527242502282</t>
  </si>
  <si>
    <t>75.82532444691564</t>
  </si>
  <si>
    <t>[-0.328, 0.101, 0.411, 0.274]</t>
  </si>
  <si>
    <t>LINESTRING (6.341779311163844 59.84684560066989, 6.341734290631559 59.84686709194641, 6.340760398591552 59.8464355804176, 6.340763279395865 59.846411405622966, 6.340764719795873 59.84639931822561)</t>
  </si>
  <si>
    <t>[1793278, 1793286, 1793294, 1793302]</t>
  </si>
  <si>
    <t>[1581676, 1581685, 1581693, 1178154]</t>
  </si>
  <si>
    <t>0.09641154971131362</t>
  </si>
  <si>
    <t>[1581675, 1581676, 1581685, 1581693]</t>
  </si>
  <si>
    <t>[0.328, 0.101, 0.411, 0.274]</t>
  </si>
  <si>
    <t>92.32800599595758</t>
  </si>
  <si>
    <t>[0.05, 0.005, -0.015, 0.039, 0.042, -0.27, -0.008, -0.038, -0.033, -0.036, 0.024, 0.023, 0.017, -0.115, -0.109, -0.06, 0.045, 0.01, 0.003, -0.028, -0.061, 0.118, 0.147, 0.144, 0.046, -0.061, -0.068, -0.062, -0.07, -0.069, -0.102, -0.102, -0.076, -0.047, 0.058, -0.1, -0.036, 0.089, 0.063, 0.075, 0.072, 0.104, -0.073, -0.119, -0.062, 0.256, 0.229, -0.058, -0.232, -0.219, -0.106, -0.235, 0.115, 0.031, -0.338, -0.119, -0.15, -0.095, 0.032, 0.158, -0.919, -0.902, -0.931, -0.844, -0.87, -0.495, -0.179, -0.064, 0.291, -0.094, -0.082, -0.076, -0.04, 0.031, 0.083, 0.067, 0.063, -0.275, -0.067, 0.067, 0.028, 0.209, 0.274, 0.181, 27.552]</t>
  </si>
  <si>
    <t>1267.0</t>
  </si>
  <si>
    <t>[0, 0, 0, 0, 0, 0, 0, 0, 0, 0, 0, 0, 0, 0, 0, 1, 0, 0, 1, 0, 0, 0, 0, 0, 0, 0, 0, 1, 1, 0, 1, 0, 0, 0, 0, 0, 0, 0, 0, 0, 0, 0, 0, 0, 0, 0, 1, 0, 0, 0, 0, 0, 0, 0, 0, 1, 0, 0, 0, 0, 0, 0, 0, 0, 0, 0, 0, 0, 0, 0, 0, 0, 0, 0, 0, 0, 0, 1, 0, 0, 0, 0, 1, 0, 0]</t>
  </si>
  <si>
    <t>LINESTRING (6.573392492867886 59.924421378564226, 6.573270945041263 59.92429167344305, 6.561796430916599 59.9159642625527, 6.55507404155485 59.91405010965917, 6.553109963325376 59.913834912744065, 6.550907224172159 59.91196017106523, 6.550560160234764 59.91161626050743, 6.538078144610957 59.908780833145315, 6.537796609812187 59.90876101601111, 6.537069440282174 59.908703438580694, 6.530854844797706 59.9085214914406, 6.529474971382686 59.908562811620705, 6.529384022625342 59.90856372456998, 6.5178841601191495 59.907089125410394, 6.517362481377623 59.90727309554328, 6.515251332000409 59.90799922962305, 6.514500358066455 59.9082575320327, 6.509799508657571 59.9091557277642, 6.508506920210684 59.90914455045348, 6.5080653871403475 59.90911653645957, 6.506605158801686 59.90892936585328, 6.504328593149762 59.90834187684138, 6.503254180018098 59.90801934214786, 6.503166347969517 59.907992349357954, 6.50290718379265 59.90791151639857, 6.498173788042018 59.9057952028463, 6.495945274376191 59.90507103603976, 6.495307460047661 59.90495383405543, 6.495132829769296 59.90492560092618, 6.494961049529587 59.9048987265713, 6.4912350183526 59.904030525084636, 6.491023142856717 59.90394379247962, 6.49078264867685 59.90383753732995, 6.488231463561784 59.901971044506844, 6.487537883628887 59.90146663396271, 6.484484542303159 59.89907928412471, 6.483318157994635 59.898389646991006, 6.47968153851487 59.89634611154457, 6.47965890684241 59.89632098071923, 6.479638874131295 59.89629692206976, 6.4795827207578025 59.896227847242535, 6.479409386542505 59.89338259097508, 6.479740942744171 59.892542847448034, 6.443229614933394 59.88004584370256, 6.442279663373946 59.88005124545319, 6.431495893056327 59.880547283947365, 6.431272063092816 59.88052702168521, 6.430424200863829 59.8804242456242, 6.423833075649148 59.87681598664841, 6.422978815149777 59.87614743653866, 6.422076731733771 59.875663423953924, 6.422037800840501 59.87564524837274, 6.4219970039442345 59.87562803399407, 6.417933537087783 59.87456642569986, 6.409134234760079 59.874243999368765, 6.407238128155878 59.874722960936175, 6.406391040291932 59.87501451201807, 6.406196279168061 59.87505408897635, 6.4042233844523855 59.87488605463824, 6.399328853192942 59.874487363663974, 6.382325907603358 59.87358727269374, 6.381968880697601 59.873587195596535, 6.381127725808206 59.87356128623646, 6.381040271151805 59.873555630273934, 6.380935685356977 59.87354665065102, 6.380816398021643 59.8735336405342, 6.37890482971089 59.8729378997231, 6.378875777733138 59.87292753168133, 6.360934518783414 59.863346415995906, 6.360930158896144 59.863343996615825, 6.360725166417352 59.86320763116009, 6.358698055015818 59.86142094189917, 6.358440923240353 59.8610987749505, 6.358427475942636 59.86108083581959, 6.358044408167121 59.8601728030735, 6.358141996717298 59.85926192096292, 6.358219992939354 59.858955333068366, 6.357103255192996 59.85394470501343, 6.35695534338112 59.85383404994339, 6.35084203205611 59.85060171907023, 6.34855530574915 59.849640294567294, 6.342626464327631 59.847272554848765, 6.341997674581754 59.846960745286864, 6.341946265026142 59.846932233155684, 6.341862419090358 59.84688775459044, 6.341779311163844 59.84684560066989)</t>
  </si>
  <si>
    <t>[2067427, 2008448, 2008456, 2008464, 2008472, 2008480, 2008488, 2008496, 2008504, 2008512, 1135293, 1135315, 1135335, 1135356, 1135381, 1135382, 1135389, 1135465, 1135466, 1135480, 1135488, 1135493, 1135501, 1135509, 1135522, 1135530, 1135546, 1135574, 1135575, 1135587, 1135595, 1135603, 1135613, 1135463, 1135464, 1341557, 1341619, 1341620, 1341595, 1341603, 1341611, 1341534, 1341537, 1341486, 1341487, 1341488, 1341493, 1341500, 1341505, 1341521, 1341529, 1341669, 1341682, 1341690, 2067555, 2067563, 2067571, 2067579, 2067587, 2067595, 2067603, 2067611, 2067619, 2067627, 2067635, 2067643, 2067651, 2067659, 2067667, 2067675, 2067683, 2067691, 2067699, 2067707, 2067723, 2067731, 2067739, 2067747, 2067755, 2067763, 2067771, 2067779, 2067787, 2067795, 2067803]</t>
  </si>
  <si>
    <t>[1758031, 1730166, 1758038, 1720935, 1720916, 1758051, 1758056, 1722683, 1758062, 1072202, 1072203, 1072223, 1072241, 1072265, 1072282, 1072283, 1072291, 1072359, 1072360, 1072369, 1072379, 1072381, 1072392, 1072399, 1072409, 332498, 1072422, 1072439, 1072440, 1072449, 1072455, 1072319, 1072356, 1072357, 1072358, 1244384, 1244447, 1244459, 332585, 1244465, 1244423, 1244424, 1244386, 1244387, 1244388, 1244389, 1244393, 1244395, 1244401, 1244413, 1244419, 1244493, 1244500, 1244507, 1795842, 1795849, 332663, 1681883, 1795859, 1795864, 1795870, 1795877, 1795883, 1795887, 1795891, 1795896, 1795900, 1795908, 1795913, 1628662, 1634233, 1795931, 1795937, 1795945, 1634261, 1633012, 1795965, 1795969, 1795977, 1795984, 1795992, 1796000, 1796004, 1178161, 1581675]</t>
  </si>
  <si>
    <t>[1757294, 1758031, 1730166, 1758038, 1720935, 1720916, 1758051, 1758056, 1722683, 1758062, 1072202, 1072203, 1072223, 1072241, 1072265, 1072282, 1072283, 1072291, 1072359, 1072360, 1072369, 1072379, 1072381, 1072392, 1072399, 1072409, 332498, 1072422, 1072439, 1072440, 1072449, 1072455, 1072319, 1072356, 1072357, 1072358, 1244384, 1244447, 1244459, 332585, 1244465, 1244423, 1244424, 1244386, 1244387, 1244388, 1244389, 1244393, 1244395, 1244401, 1244413, 1244419, 1244493, 1244500, 1244507, 1795842, 1795849, 332663, 1681883, 1795859, 1795864, 1795870, 1795877, 1795883, 1795887, 1795891, 1795896, 1795900, 1795908, 1795913, 1628662, 1634233, 1795931, 1795937, 1795945, 1634261, 1633012, 1795965, 1795969, 1795977, 1795984, 1795992, 1796000, 1796004, 1178161]</t>
  </si>
  <si>
    <t>[0.05, 0.005, 0.015, 0.039, 0.042, 0.27, 0.008, 0.038, 0.033, 0.036, 0.024, 0.023, 0.017, 0.115, 0.109, 0.06, 0.045, 0.01, 0.003, 0.028, 0.061, 0.118, 0.147, 0.144, 0.046, 0.061, 0.068, 0.062, 0.07, 0.069, 0.102, 0.102, 0.076, 0.047, 0.058, 0.1, 0.036, 0.089, 0.063, 0.075, 0.072, 0.104, 0.073, 0.119, 0.062, 0.256, 0.229, 0.058, 0.232, 0.219, 0.106, 0.235, 0.115, 0.031, 0.338, 0.119, 0.15, 0.095, 0.032, 0.158, 0.919, 0.902, 0.931, 0.844, 0.87, 0.495, 0.179, 0.064, 0.291, 0.094, 0.082, 0.076, 0.04, 0.031, 0.083, 0.067, 0.063, 0.275, 0.067, 0.067, 0.028, 0.209, 0.274, 0.181, 27.552]</t>
  </si>
  <si>
    <t>18306.105885055145</t>
  </si>
  <si>
    <t>53.16478733133192</t>
  </si>
  <si>
    <t>[-0.293, -0.053, 0.182, 0.325]</t>
  </si>
  <si>
    <t>LINESTRING (6.01884207952988 59.69076436856743, 6.018840496687792 59.69073315299958, 6.018000840654056 59.690575959288445, 6.01797349636417 59.69059085939157, 6.017959832982428 59.69059831004596)</t>
  </si>
  <si>
    <t>[1793310, 1793318, 1793326, 1793334]</t>
  </si>
  <si>
    <t>[1581708, 1581716, 1581723, 1581732]</t>
  </si>
  <si>
    <t>[1581707, 1581708, 1581716, 1581723]</t>
  </si>
  <si>
    <t>[0.293, 0.053, 0.182, 0.325]</t>
  </si>
  <si>
    <t>67.69855557990572</t>
  </si>
  <si>
    <t>16.129855117054383</t>
  </si>
  <si>
    <t>[-0.007, -0.01]</t>
  </si>
  <si>
    <t>LINESTRING (11.377179424877616 59.56164816788128, 11.377263989657958 59.561586511583975, 11.37741547720863 59.56155969731433)</t>
  </si>
  <si>
    <t>[1795035, 1795043]</t>
  </si>
  <si>
    <t>[1583068, 1583025]</t>
  </si>
  <si>
    <t>[1583060, 1583068]</t>
  </si>
  <si>
    <t>17.441487773930206</t>
  </si>
  <si>
    <t>LINESTRING (11.376988211739956 59.56139882958366, 11.377287523433383 59.56152415331195, 11.37741547720863 59.56155969731433)</t>
  </si>
  <si>
    <t>[1795228, 1795236]</t>
  </si>
  <si>
    <t>[1583229, 1583025]</t>
  </si>
  <si>
    <t>[1583217, 1583229]</t>
  </si>
  <si>
    <t>30.188598693701657</t>
  </si>
  <si>
    <t>[-0.0, 0.007, 0.011, 0.008]</t>
  </si>
  <si>
    <t>LINESTRING (11.377643749844447 59.56163577217686, 11.377648154990169 59.56172820727877, 11.377562113761762 59.56178712633539, 11.377418331453148 59.56181145764861, 11.377186227855889 59.56173311900949)</t>
  </si>
  <si>
    <t>[1794995, 1795003, 1795011, 1795019]</t>
  </si>
  <si>
    <t>[1583033, 1583041, 1583048, 1583052]</t>
  </si>
  <si>
    <t>0.006509413444783461</t>
  </si>
  <si>
    <t>[1583026, 1583033, 1583041, 1583048]</t>
  </si>
  <si>
    <t>[0.0, 0.007, 0.011, 0.008]</t>
  </si>
  <si>
    <t>43.52396223746316</t>
  </si>
  <si>
    <t>[-0.021, -0.014, -0.002, 0.001, 0.005, 0.005]</t>
  </si>
  <si>
    <t>LINESTRING (11.382293220243193 59.55919787311983, 11.382167665434785 59.55926370166085, 11.381510201839168 59.55945368661977, 11.380407962631006 59.55976277151506, 11.377754416799652 59.561537266177126, 11.377687689365752 59.56158936757927, 11.377643749844447 59.56163577217686)</t>
  </si>
  <si>
    <t>[1795908, 1796060, 1796068, 1796076, 1796084, 1796092]</t>
  </si>
  <si>
    <t>[1583771, 1583904, 1583912, 1583918, 1583926, 1583026]</t>
  </si>
  <si>
    <t>[1583770, 1583771, 1583904, 1583912, 1583918, 1583926]</t>
  </si>
  <si>
    <t>[0.021, 0.014, 0.002, 0.001, 0.005, 0.005]</t>
  </si>
  <si>
    <t>393.21901861627083</t>
  </si>
  <si>
    <t>9.472850679411199</t>
  </si>
  <si>
    <t>[0.011, 0.054, 0.049]</t>
  </si>
  <si>
    <t>LINESTRING (11.377186227855889 59.56173311900949, 11.3770948320277 59.56172259617806, 11.371113492196045 59.563519722453194, 11.370902073098115 59.56358806601548)</t>
  </si>
  <si>
    <t>[1795932, 1795940, 1795876]</t>
  </si>
  <si>
    <t>[1583799, 1583735, 1583736]</t>
  </si>
  <si>
    <t>0.05330314160532397</t>
  </si>
  <si>
    <t>[1583052, 1583799, 1583735]</t>
  </si>
  <si>
    <t>428.67546342576406</t>
  </si>
  <si>
    <t>LINESTRING (11.376988211739956 59.56139882958366, 11.377136662668278 59.561581366325804, 11.377179424877616 59.56164816788128)</t>
  </si>
  <si>
    <t>[1795212, 1795220]</t>
  </si>
  <si>
    <t>[1583218, 1583060]</t>
  </si>
  <si>
    <t>[1583217, 1583218]</t>
  </si>
  <si>
    <t>29.82762955296983</t>
  </si>
  <si>
    <t>14.329084498744251</t>
  </si>
  <si>
    <t>[-0.042, -0.041, -0.007, 0.003, 0.006, 0.023]</t>
  </si>
  <si>
    <t>LINESTRING (11.37557465943633 59.56022170008669, 11.375679130431195 59.56023131904977, 11.375805933860546 59.56023897711927, 11.380232243680696 59.55961139338994, 11.381345587946061 59.55929947132497, 11.381879141249184 59.55917284418989, 11.3821389099073 59.55914227915202)</t>
  </si>
  <si>
    <t>[1796020, 1796028, 1796036, 1796044, 1796052, 1795900]</t>
  </si>
  <si>
    <t>[1583870, 1583874, 1583881, 1583888, 1583761, 1583762]</t>
  </si>
  <si>
    <t>[1583083, 1583870, 1583874, 1583881, 1583888, 1583761]</t>
  </si>
  <si>
    <t>[0.042, 0.041, 0.007, 0.003, 0.006, 0.023]</t>
  </si>
  <si>
    <t>400.6880116786564</t>
  </si>
  <si>
    <t>[-0.02, -0.041, -0.04, -0.03]</t>
  </si>
  <si>
    <t>LINESTRING (11.375148663067124 59.56034714886064, 11.37518919310139 59.56022234162404, 11.375299972873963 59.560183705035485, 11.375443476952682 59.56018166023239, 11.37557465943633 59.56022170008669)</t>
  </si>
  <si>
    <t>[1795092, 1795100, 1795108, 1795052]</t>
  </si>
  <si>
    <t>[1583112, 1583120, 1583082, 1583083]</t>
  </si>
  <si>
    <t>[1583106, 1583112, 1583120, 1583082]</t>
  </si>
  <si>
    <t>[0.02, 0.041, 0.04, 0.03]</t>
  </si>
  <si>
    <t>38.961673500755815</t>
  </si>
  <si>
    <t>[0.033, 0.048]</t>
  </si>
  <si>
    <t>LINESTRING (11.375614019164853 59.56034476663647, 11.375529027929602 59.56040380334987, 11.375393244816589 59.560427904633066)</t>
  </si>
  <si>
    <t>[1795068, 1795076]</t>
  </si>
  <si>
    <t>[1583094, 1583100]</t>
  </si>
  <si>
    <t>0.04049428117362777</t>
  </si>
  <si>
    <t>[1583089, 1583094]</t>
  </si>
  <si>
    <t>16.280222538188966</t>
  </si>
  <si>
    <t>[-0.007, -0.011]</t>
  </si>
  <si>
    <t>LINESTRING (11.375614019164853 59.56034476663647, 11.375655560842505 59.560407561981066, 11.375829725325932 59.560606651044836)</t>
  </si>
  <si>
    <t>[1795196, 1795204]</t>
  </si>
  <si>
    <t>[1583209, 1583201]</t>
  </si>
  <si>
    <t>[1583089, 1583209]</t>
  </si>
  <si>
    <t>31.650156792944376</t>
  </si>
  <si>
    <t>17.342007298415595</t>
  </si>
  <si>
    <t>[-0.036, -0.029]</t>
  </si>
  <si>
    <t>LINESTRING (11.375393244816589 59.560427904633066, 11.375497130933654 59.560460410541374, 11.375829725325932 59.560606651044836)</t>
  </si>
  <si>
    <t>[1795180, 1795188]</t>
  </si>
  <si>
    <t>[1583194, 1583201]</t>
  </si>
  <si>
    <t>[1583100, 1583194]</t>
  </si>
  <si>
    <t>[0.036, 0.029]</t>
  </si>
  <si>
    <t>31.78411970315547</t>
  </si>
  <si>
    <t>[-0.028, -0.048, -0.033]</t>
  </si>
  <si>
    <t>LINESTRING (11.371788503704915 59.56298666535677, 11.371898139582777 59.562887083660115, 11.375095950422425 59.5603896420968, 11.375148663067124 59.56034714886064)</t>
  </si>
  <si>
    <t>[1795884, 1795988, 1795996]</t>
  </si>
  <si>
    <t>[1583744, 1583844, 1583106]</t>
  </si>
  <si>
    <t>[1583743, 1583744, 1583844]</t>
  </si>
  <si>
    <t>[0.028, 0.048, 0.033]</t>
  </si>
  <si>
    <t>362.41769329459254</t>
  </si>
  <si>
    <t>[-0.025, -0.025, -0.013, -0.003, -0.004]</t>
  </si>
  <si>
    <t>LINESTRING (11.375829725325932 59.560606651044836, 11.375926146347636 59.56067298962999, 11.376107053778595 59.5607962663175, 11.376689748344294 59.56119155241128, 11.376830956568142 59.561287777899615, 11.376988211739956 59.56139882958366)</t>
  </si>
  <si>
    <t>[1795820, 1795828, 1795836, 1795844, 1795852]</t>
  </si>
  <si>
    <t>[1583681, 1583688, 1583697, 1583705, 1583217]</t>
  </si>
  <si>
    <t>[1583201, 1583681, 1583688, 1583697, 1583705]</t>
  </si>
  <si>
    <t>[0.025, 0.025, 0.013, 0.003, 0.004]</t>
  </si>
  <si>
    <t>109.91698109251995</t>
  </si>
  <si>
    <t>[0.03, -0.024, -0.044, -0.08, -0.082]</t>
  </si>
  <si>
    <t>LINESTRING (11.331061380767888 59.57688342882672, 11.325918493178335 59.57689309395214, 11.325095390364623 59.57686649372628, 11.319108254233674 59.576517953985054, 11.317901917311476 59.57643877000694, 11.317693709297073 59.57642510657952)</t>
  </si>
  <si>
    <t>[2053893, 2053901, 2053909, 2053917, 2053925]</t>
  </si>
  <si>
    <t>[1786979, 1786986, 1786992, 1786997, 1583718]</t>
  </si>
  <si>
    <t>[1583790, 1786979, 1786986, 1786992, 1786997]</t>
  </si>
  <si>
    <t>[0.03, 0.024, 0.044, 0.08, 0.082]</t>
  </si>
  <si>
    <t>758.6971653668567</t>
  </si>
  <si>
    <t>[0.031, -0.024, -0.043]</t>
  </si>
  <si>
    <t>LINESTRING (11.331760786507699 59.57677468351834, 11.32594907408015 59.576808558763986, 11.325085074756581 59.57678049514293, 11.319228150905257 59.5764328771504)</t>
  </si>
  <si>
    <t>[2053829, 2053837, 2053845]</t>
  </si>
  <si>
    <t>[1786938, 1786940, 1583780]</t>
  </si>
  <si>
    <t>[1583727, 1786938, 1786940]</t>
  </si>
  <si>
    <t>[0.031, 0.024, 0.043]</t>
  </si>
  <si>
    <t>710.9681513920257</t>
  </si>
  <si>
    <t>[0.041, -0.019, -0.003, -0.026, 0.024, 0.027]</t>
  </si>
  <si>
    <t>LINESTRING (11.371788503704915 59.56298666535677, 11.371026714411004 59.56339250712955, 11.366983739181656 59.56583949913433, 11.355851087369789 59.571956811358035, 11.354413532526385 59.57251423222343, 11.344921518579257 59.57519971184183, 11.331760786507699 59.57677468351834)</t>
  </si>
  <si>
    <t>[2053989, 2053997, 2053773, 2053781, 2053789, 2053821]</t>
  </si>
  <si>
    <t>[1787044, 1786896, 1786897, 1786904, 1786910, 1583727]</t>
  </si>
  <si>
    <t>0.009121254854944937</t>
  </si>
  <si>
    <t>[1583743, 1787044, 1786896, 1786897, 1786904, 1786910]</t>
  </si>
  <si>
    <t>[0.041, 0.019, 0.003, 0.026, 0.024, 0.027]</t>
  </si>
  <si>
    <t>2833.5824079655713</t>
  </si>
  <si>
    <t>[-0.02, -0.004, -0.026, 0.022, 0.027, 0.041]</t>
  </si>
  <si>
    <t>LINESTRING (11.370902073098115 59.56358806601548, 11.367114113094935 59.56589322350441, 11.355955652578318 59.572023634330584, 11.354514781027344 59.572582222344906, 11.344977183126273 59.57528090769723, 11.331707734286855 59.57686148403422, 11.331061380767888 59.57688342882672)</t>
  </si>
  <si>
    <t>[2054085, 2053797, 2053805, 2053813, 2053877, 2053885]</t>
  </si>
  <si>
    <t>[1786914, 1786915, 1786921, 1786928, 1786966, 1583790]</t>
  </si>
  <si>
    <t>0.008190249434516688</t>
  </si>
  <si>
    <t>[1583736, 1786914, 1786915, 1786921, 1786928, 1786966]</t>
  </si>
  <si>
    <t>[0.02, 0.004, 0.026, 0.022, 0.027, 0.041]</t>
  </si>
  <si>
    <t>2797.8017532028584</t>
  </si>
  <si>
    <t>[-0.023, -0.014, -0.003, 0.034, 0.038]</t>
  </si>
  <si>
    <t>LINESTRING (11.382293220243193 59.55919787311983, 11.382209079572492 59.55921928422318, 11.3814684397573 59.55941379015899, 11.380362563871982 59.55972376277153, 11.371613022662176 59.56320040059938, 11.370902073098115 59.56358806601548)</t>
  </si>
  <si>
    <t>[2054037, 2054045, 2054053, 2054069, 2054077]</t>
  </si>
  <si>
    <t>[1787073, 1787079, 1787084, 1787093, 1583736]</t>
  </si>
  <si>
    <t>0.027884842723320973</t>
  </si>
  <si>
    <t>[1583770, 1787073, 1787079, 1787084, 1787093]</t>
  </si>
  <si>
    <t>[0.023, 0.014, 0.003, 0.034, 0.038]</t>
  </si>
  <si>
    <t>813.385588571782</t>
  </si>
  <si>
    <t>[-0.012, -0.003, 0.034]</t>
  </si>
  <si>
    <t>LINESTRING (11.3821389099073 59.55914227915202, 11.38138850551857 59.55933850094525, 11.380276788113568 59.55965010887858, 11.371788503704915 59.56298666535677)</t>
  </si>
  <si>
    <t>[2053965, 2053973, 2053981]</t>
  </si>
  <si>
    <t>[1787023, 1787031, 1583743]</t>
  </si>
  <si>
    <t>0.02733902047224237</t>
  </si>
  <si>
    <t>[1583762, 1787023, 1787031]</t>
  </si>
  <si>
    <t>[0.012, 0.003, 0.034]</t>
  </si>
  <si>
    <t>728.5525220467238</t>
  </si>
  <si>
    <t>[-0.009, -0.017, -0.006, 0.011, 0.015, 0.022, 0.044, 0.016, 0.014, 0.018, -0.022, -0.063, -0.014, 0.013, -0.018]</t>
  </si>
  <si>
    <t>[0, 0, 0, 1, 0, 0, 0, 0, 0, 0, 0, 0, 0, 1, 0]</t>
  </si>
  <si>
    <t>LINESTRING (11.443043892274872 59.547800847145865, 11.440297603392905 59.54834264092219, 11.437088391125535 59.54906104099362, 11.428138350355367 59.552269423721725, 11.427407204678135 59.552545346432616, 11.427236019029154 59.55260827071769, 11.416520477137835 59.55526143903266, 11.413626186306091 59.5556260292035, 11.41321608161991 59.55566788451273, 11.410761294430014 59.55588441863189, 11.410484322009168 59.55590677440659, 11.408369149746228 59.55607614775811, 11.394354899627627 59.557197126675725, 11.3907718056486 59.557548515383566, 11.389812713361529 59.5576711692744, 11.3821389099073 59.55914227915202)</t>
  </si>
  <si>
    <t>[2053669, 2053677, 2053685, 2053693, 2053701, 2053709, 2053717, 2053725, 2053733, 2053741, 2053757, 2053765, 2053941, 2053949, 2053957]</t>
  </si>
  <si>
    <t>[1786816, 1786823, 1786830, 1786837, 1786843, 1786849, 1786855, 1786861, 1786868, 1786873, 1786884, 1786890, 1787011, 1787015, 1583762]</t>
  </si>
  <si>
    <t>[1786815, 1786816, 1786823, 1786830, 1786837, 1786843, 1786849, 1786855, 1786861, 1786868, 1786873, 1786884, 1786890, 1787011, 1787015]</t>
  </si>
  <si>
    <t>[0.009, 0.017, 0.006, 0.011, 0.015, 0.022, 0.044, 0.016, 0.014, 0.018, 0.022, 0.063, 0.014, 0.013, 0.018]</t>
  </si>
  <si>
    <t>3727.115457700185</t>
  </si>
  <si>
    <t>[-0.01, -0.017, -0.006, 0.011, 0.017, 0.022, 0.046, -0.004, 0.017, 0.015, 0.012, -0.001, -0.021, -0.064, -0.015, 0.012, -0.017]</t>
  </si>
  <si>
    <t>LINESTRING (11.443043892274872 59.547800847145865, 11.440348900643382 59.54839754503707, 11.437145189765454 59.54911410992714, 11.428210277711612 59.55231749894607, 11.427479093539805 59.552593780549905, 11.427311131908297 59.55265535488027, 11.416560822915343 59.55533047028125, 11.413655609371602 59.55569730560238, 11.413650865395653 59.55569778670652, 11.413253408408735 59.55573776888131, 11.410799755880324 59.55595524276643, 11.41052277572734 59.555977832120234, 11.410501571378852 59.55597956008816, 11.408406186818098 59.556149324493, 11.394382204807547 59.557281535902085, 11.390809812044827 59.55763180966952, 11.389854202040363 59.55775202524302, 11.382293220243193 59.55919787311983)</t>
  </si>
  <si>
    <t>[2054348, 2054356, 2054364, 2054372, 2054380, 2054428, 2054436, 2054444, 2054452, 2054460, 2054468, 2054476, 2054484, 2054492, 2054013, 2054021, 2054029]</t>
  </si>
  <si>
    <t>[1787270, 1787273, 1787279, 1787284, 1787288, 1787315, 1787318, 1787324, 1787329, 1787334, 1787338, 1787342, 1787345, 1787057, 1787058, 1787063, 1583770]</t>
  </si>
  <si>
    <t>[1786815, 1787270, 1787273, 1787279, 1787284, 1787288, 1787315, 1787318, 1787324, 1787329, 1787334, 1787338, 1787342, 1787345, 1787057, 1787058, 1787063]</t>
  </si>
  <si>
    <t>[0.01, 0.017, 0.006, 0.011, 0.017, 0.022, 0.046, 0.004, 0.017, 0.015, 0.012, 0.001, 0.021, 0.064, 0.015, 0.012, 0.017]</t>
  </si>
  <si>
    <t>3720.980456847036</t>
  </si>
  <si>
    <t>[0.008, 0.001, -0.008, -0.018]</t>
  </si>
  <si>
    <t>LINESTRING (7.487007441810646 58.033048766286555, 7.487134682804367 58.033025752228475, 7.487259207505971 58.03303656841087, 7.487371835715883 58.03308283395813, 7.487423210562441 58.033148726542144)</t>
  </si>
  <si>
    <t>[1796813, 1796821, 1796829, 1796837]</t>
  </si>
  <si>
    <t>[1584582, 1584583, 1584589, 1584597]</t>
  </si>
  <si>
    <t>[1584581, 1584582, 1584583, 1584589]</t>
  </si>
  <si>
    <t>[0.008, 0.001, 0.008, 0.018]</t>
  </si>
  <si>
    <t>31.818412764816912</t>
  </si>
  <si>
    <t>LINESTRING (7.486885678760319 58.033166686657665, 7.486918215613561 58.03310027384452, 7.487007441810646 58.033048766286555)</t>
  </si>
  <si>
    <t>[1796893, 1796901]</t>
  </si>
  <si>
    <t>[1584647, 1584581]</t>
  </si>
  <si>
    <t>0.017980785371721097</t>
  </si>
  <si>
    <t>[1584640, 1584647]</t>
  </si>
  <si>
    <t>15.464511832989071</t>
  </si>
  <si>
    <t>[-0.02, -0.015]</t>
  </si>
  <si>
    <t>LINESTRING (7.487423210562441 58.033148726542144, 7.48740057978183 58.03322862066527, 7.487315470909488 58.03328397936938)</t>
  </si>
  <si>
    <t>[1796845, 1796853]</t>
  </si>
  <si>
    <t>[1584601, 1584608]</t>
  </si>
  <si>
    <t>[1584597, 1584601]</t>
  </si>
  <si>
    <t>[0.02, 0.015]</t>
  </si>
  <si>
    <t>16.988388727801244</t>
  </si>
  <si>
    <t>[-0.018, -0.005, 0.0, 0.014]</t>
  </si>
  <si>
    <t>LINESTRING (7.487315470909488 58.03328397936938, 7.4872740185646895 58.03329756846972, 7.487157124162796 58.03331181974165, 7.487043999185982 58.03329933577936, 7.486885678760319 58.033166686657665)</t>
  </si>
  <si>
    <t>[1796861, 1796869, 1796877, 1796885]</t>
  </si>
  <si>
    <t>[1584617, 1584626, 1584633, 1584640]</t>
  </si>
  <si>
    <t>0.004800441573164184</t>
  </si>
  <si>
    <t>[1584608, 1584617, 1584626, 1584633]</t>
  </si>
  <si>
    <t>[0.018, 0.005, 0.0, 0.014]</t>
  </si>
  <si>
    <t>35.10742101503422</t>
  </si>
  <si>
    <t>[0.282, 0.001, -0.02, -0.044]</t>
  </si>
  <si>
    <t>LINESTRING (5.352389877923785 60.47635765922908, 5.352521215857516 60.4762663033681, 5.3526799536035155 60.47621792287796, 5.352862204631273 60.47620029415136, 5.3530457594405165 60.476215495119554)</t>
  </si>
  <si>
    <t>[2156083, 2156091, 2156099, 2156107]</t>
  </si>
  <si>
    <t>[1847338, 1847555, 1847345, 1847354]</t>
  </si>
  <si>
    <t>0.06657231664119141</t>
  </si>
  <si>
    <t>[1589663, 1847338, 1847555, 1847345]</t>
  </si>
  <si>
    <t>[0.282, 0.001, 0.02, 0.044]</t>
  </si>
  <si>
    <t>43.32199974624179</t>
  </si>
  <si>
    <t>34.22203058269483</t>
  </si>
  <si>
    <t>[-0.092, -0.106]</t>
  </si>
  <si>
    <t>LINESTRING (5.353542089062213 60.47726437180824, 5.351034203585754 60.47670325582026, 5.350770150388213 60.47670526644252)</t>
  </si>
  <si>
    <t>[1803734, 1803742]</t>
  </si>
  <si>
    <t>[1589766, 1589773]</t>
  </si>
  <si>
    <t>[1589759, 1589766]</t>
  </si>
  <si>
    <t>[0.092, 0.106]</t>
  </si>
  <si>
    <t>170.36427264324078</t>
  </si>
  <si>
    <t>[-0.848, 0.057, 0.06]</t>
  </si>
  <si>
    <t>LINESTRING (5.353542089062213 60.47726437180824, 5.353417489527486 60.477189155014834, 5.352815507770696 60.47677299503657, 5.352721788965045 60.47670298071263)</t>
  </si>
  <si>
    <t>[2156219, 2156227, 2156235]</t>
  </si>
  <si>
    <t>[1847635, 1847642, 1847598]</t>
  </si>
  <si>
    <t>[1589759, 1847635, 1847642]</t>
  </si>
  <si>
    <t>[0.848, 0.057, 0.06]</t>
  </si>
  <si>
    <t>77.50722127090944</t>
  </si>
  <si>
    <t>[0.132, 0.091, 0.094, 0.115, 0.125, 0.141, -0.002, -0.094]</t>
  </si>
  <si>
    <t>14605.0</t>
  </si>
  <si>
    <t>LINESTRING (5.371495519580709 60.481908308958324, 5.371320792256029 60.481829170440896, 5.371092299828457 60.481719983331566, 5.369913275024972 60.481170318152884, 5.366078541678949 60.4801184753932, 5.365665631274438 60.48003929464795, 5.365629127513256 60.48003230077731, 5.356461997958082 60.47809921010752, 5.353542089062213 60.47726437180824)</t>
  </si>
  <si>
    <t>[1803990, 1803672, 1803680, 1803688, 1803696, 1803700, 1803704, 1803725]</t>
  </si>
  <si>
    <t>[1589705, 1589706, 1589711, 1589718, 1589726, 1589731, 1589737, 1589759]</t>
  </si>
  <si>
    <t>0.0214196082352701</t>
  </si>
  <si>
    <t>[1589889, 1589705, 1589706, 1589711, 1589718, 1589726, 1589731, 1589737]</t>
  </si>
  <si>
    <t>[0.132, 0.091, 0.094, 0.115, 0.125, 0.141, 0.002, 0.094]</t>
  </si>
  <si>
    <t>1123.9226059651608</t>
  </si>
  <si>
    <t>[-0.109, -0.019, -0.009]</t>
  </si>
  <si>
    <t>LINESTRING (5.350770150388213 60.47670526644252, 5.350554441981699 60.47671644217006, 5.348490678587647 60.47688865352079, 5.348291415310068 60.4769136721662)</t>
  </si>
  <si>
    <t>[1803750, 1803751, 1803998]</t>
  </si>
  <si>
    <t>[1589781, 1589782, 1590005]</t>
  </si>
  <si>
    <t>[1589773, 1589781, 1589782]</t>
  </si>
  <si>
    <t>[0.109, 0.019, 0.009]</t>
  </si>
  <si>
    <t>138.92221412118528</t>
  </si>
  <si>
    <t>[0.029, 0.027, 0.01, -0.962]</t>
  </si>
  <si>
    <t>LINESTRING (5.352507552215806 60.47664119042409, 5.352338633887485 60.47663829166421, 5.351144789332209 60.47666183521779, 5.3510145692032465 60.47667692947282, 5.350770150388213 60.47670526644252)</t>
  </si>
  <si>
    <t>[2156363, 2156371, 2156379, 2156387]</t>
  </si>
  <si>
    <t>[1847713, 1847718, 1847722, 1589773]</t>
  </si>
  <si>
    <t>[1847604, 1847713, 1847718, 1847722]</t>
  </si>
  <si>
    <t>[0.029, 0.027, 0.01, 0.962]</t>
  </si>
  <si>
    <t>96.56207546626064</t>
  </si>
  <si>
    <t>[0.095, 0.098, -0.004, -0.115, -0.126, -0.111, -0.092, -0.089, -0.519, 0.003, 0.003, -0.014, -0.025, -0.027, -0.031, -0.028, -0.031, 0.371]</t>
  </si>
  <si>
    <t>14384.0</t>
  </si>
  <si>
    <t>LINESTRING (5.3560158604443115 60.477763808420185, 5.3560977137362284 60.477785557051845, 5.35646700093092 60.477883693330035, 5.366075103117699 60.47992740079508, 5.366120096037575 60.47993603550209, 5.366480122647215 60.48000508245035, 5.370566369310401 60.481326890548665, 5.371207515763841 60.48163602835936, 5.371462739468736 60.48175933740583, 5.37158369423464 60.481817454014184, 5.371688350983051 60.48186774407314, 5.371914778045725 60.48198280349853, 5.373024718073021 60.482516751280365, 5.374878888114525 60.48399651602452, 5.375062887299264 60.48419481301302, 5.375114401655424 60.484240750227, 5.375163768301895 60.484293685569355, 5.375906721261935 60.48514963205722, 5.375994763039742 60.48534803103942)</t>
  </si>
  <si>
    <t>[1803796, 1803804, 1803812, 1803820, 1803828, 1803836, 1803844, 1803852, 2156395, 2156403, 2156411, 2156419, 2156427, 2156435, 2156443, 2156451, 2156459, 2156467]</t>
  </si>
  <si>
    <t>[1589824, 1589831, 1589839, 1589850, 1589858, 1589866, 1589874, 1589882, 1847732, 1847704, 1847741, 1847746, 1847748, 1847528, 1847758, 1847538, 1847768, 1589985]</t>
  </si>
  <si>
    <t>[1589818, 1589824, 1589831, 1589839, 1589850, 1589858, 1589866, 1589874, 1589882, 1847732, 1847704, 1847741, 1847746, 1847748, 1847528, 1847758, 1847538, 1847768]</t>
  </si>
  <si>
    <t>[0.095, 0.098, 0.004, 0.115, 0.126, 0.111, 0.092, 0.089, 0.519, 0.003, 0.003, 0.014, 0.025, 0.027, 0.031, 0.028, 0.031, 0.371]</t>
  </si>
  <si>
    <t>1451.5391942890221</t>
  </si>
  <si>
    <t>[-0.055, -0.045, 1.541]</t>
  </si>
  <si>
    <t>LINESTRING (5.35315955566763 60.476669824135456, 5.353173687293502 60.47673708512341, 5.355745410326201 60.47765844816297, 5.3560158604443115 60.477763808420185)</t>
  </si>
  <si>
    <t>[2156307, 2156315, 2156323]</t>
  </si>
  <si>
    <t>[1847689, 1847696, 1589818]</t>
  </si>
  <si>
    <t>0.10026932415388491</t>
  </si>
  <si>
    <t>[1847592, 1847689, 1847696]</t>
  </si>
  <si>
    <t>[0.055, 0.045, 1.541]</t>
  </si>
  <si>
    <t>206.97134968585794</t>
  </si>
  <si>
    <t>[0.0, -0.087, -0.088, -0.091, -0.032, 0.0]</t>
  </si>
  <si>
    <t>LINESTRING (5.371495519580709 60.481908308958324, 5.371495519580709 60.481908308958324, 5.371558120067494 60.48193780684741, 5.371599684506145 60.481956935148624, 5.371785704664654 60.482046791184324, 5.372885602858234 60.48256823199917, 5.372889567441953 60.482570112714455)</t>
  </si>
  <si>
    <t>[1803860, 1803868, 1803876, 1803884, 1803892, 1803900]</t>
  </si>
  <si>
    <t>[1589890, 1589896, 1589903, 1589911, 1589916, 1589925]</t>
  </si>
  <si>
    <t>[1589889, 1589890, 1589896, 1589903, 1589911, 1589916]</t>
  </si>
  <si>
    <t>[0.0, 0.087, 0.088, 0.091, 0.032, 0.0]</t>
  </si>
  <si>
    <t>110.37340698020608</t>
  </si>
  <si>
    <t>[0.003, -0.02, -0.006, -0.011, 0.0, -0.009, -0.013, 0.0, -0.016]</t>
  </si>
  <si>
    <t>LINESTRING (5.372889567441953 60.482570112714455, 5.374716730789879 60.48401024042926, 5.374723645691805 60.48401721117666, 5.374946489801947 60.48422425275802, 5.3749905858935785 60.48426655640811, 5.374994242482553 60.48427014220154, 5.375053371993466 60.484328247743285, 5.375788829648689 60.48515672235918, 5.375793986746533 60.48516221733101, 5.375994763039742 60.48534803103942)</t>
  </si>
  <si>
    <t>[1803908, 1803916, 1803924, 1803932, 1803940, 1803950, 1803958, 1803966, 1803974]</t>
  </si>
  <si>
    <t>[1589931, 1589939, 1589946, 1589953, 1589960, 1589968, 1589973, 1589981, 1589985]</t>
  </si>
  <si>
    <t>[1589925, 1589931, 1589939, 1589946, 1589953, 1589960, 1589968, 1589973, 1589981]</t>
  </si>
  <si>
    <t>[0.003, 0.02, 0.006, 0.011, 0.0, 0.009, 0.013, 0.0, 0.016]</t>
  </si>
  <si>
    <t>356.71939779253415</t>
  </si>
  <si>
    <t>[-0.068, 0.006]</t>
  </si>
  <si>
    <t>LINESTRING (5.372889567441953 60.482570112714455, 5.3727822759362445 60.48254479502986, 5.3712996306442005 60.482034144211354)</t>
  </si>
  <si>
    <t>[2156475, 2156483]</t>
  </si>
  <si>
    <t>[1847775, 1847506]</t>
  </si>
  <si>
    <t>0.001546785235323979</t>
  </si>
  <si>
    <t>[1589925, 1847775]</t>
  </si>
  <si>
    <t>[0.068, 0.006]</t>
  </si>
  <si>
    <t>108.99104818910641</t>
  </si>
  <si>
    <t>[-0.028, -0.011, -0.002, 0.02, 0.026, 0.031, 0.02]</t>
  </si>
  <si>
    <t>LINESTRING (10.476701884370826 63.42696485013516, 10.476512594388614 63.427076046849635, 10.476331371032572 63.427104147149976, 10.476120577119243 63.42709083883885, 10.475853040844205 63.426934689648576, 10.475861681379872 63.42686652866382, 10.475920570664258 63.42680264902121, 10.475968359778436 63.42677574152592)</t>
  </si>
  <si>
    <t>[2154568, 2154576, 2154584, 2154512, 2154520, 2154528, 2154536]</t>
  </si>
  <si>
    <t>[1846632, 1846637, 1846600, 558682, 1846604, 580394, 1797143]</t>
  </si>
  <si>
    <t>0.005105506091285866</t>
  </si>
  <si>
    <t>[1592206, 1846632, 1846637, 1846600, 558682, 1846604, 580394]</t>
  </si>
  <si>
    <t>[0.028, 0.011, 0.002, 0.02, 0.026, 0.031, 0.02]</t>
  </si>
  <si>
    <t>78.0070681250102</t>
  </si>
  <si>
    <t>[0.032, 0.041]</t>
  </si>
  <si>
    <t>LINESTRING (11.0502284585341 60.84122025770384, 11.050164904968526 60.84121596049165, 11.050125882733774 60.841206631923065)</t>
  </si>
  <si>
    <t>[1808305, 1808306]</t>
  </si>
  <si>
    <t>[1593027, 1593028]</t>
  </si>
  <si>
    <t>0.0356340674937054</t>
  </si>
  <si>
    <t>[1593026, 1593027]</t>
  </si>
  <si>
    <t>5.852692470744698</t>
  </si>
  <si>
    <t>[-0.038, -0.024]</t>
  </si>
  <si>
    <t>LINESTRING (11.0502284585341 60.84122025770384, 11.050207532984027 60.84125633649524, 11.050117855262666 60.84135001857347)</t>
  </si>
  <si>
    <t>[1808513, 1808521]</t>
  </si>
  <si>
    <t>[1593169, 1593176]</t>
  </si>
  <si>
    <t>[1593026, 1593169]</t>
  </si>
  <si>
    <t>[0.038, 0.024]</t>
  </si>
  <si>
    <t>16.120903239358775</t>
  </si>
  <si>
    <t>14.376052551078537</t>
  </si>
  <si>
    <t>[-0.035, -0.042]</t>
  </si>
  <si>
    <t>LINESTRING (11.050125882733774 60.841206631923065, 11.050108909422937 60.84124754640887, 11.050117855262666 60.84135001857347)</t>
  </si>
  <si>
    <t>[1808529, 1808537]</t>
  </si>
  <si>
    <t>[1593183, 1593176]</t>
  </si>
  <si>
    <t>[1593028, 1593183]</t>
  </si>
  <si>
    <t>[0.035, 0.042]</t>
  </si>
  <si>
    <t>16.449184604210128</t>
  </si>
  <si>
    <t>[-0.039, -0.057, -0.015, -0.021, 0.026]</t>
  </si>
  <si>
    <t>LINESTRING (11.050117855262666 60.84135001857347, 11.050074769113767 60.841486134977416, 11.049990775913344 60.841733567338224, 11.049509356217174 60.8422917521203, 11.049423795859497 60.84235699582098, 11.049388476663468 60.84238447059054)</t>
  </si>
  <si>
    <t>[1808606, 1808607, 212551, 2096761, 2096765]</t>
  </si>
  <si>
    <t>[1593247, 221059, 221060, 1813583, 1813584]</t>
  </si>
  <si>
    <t>[1593176, 1593247, 221059, 221060, 1813583]</t>
  </si>
  <si>
    <t>[0.039, 0.057, 0.015, 0.021, 0.026]</t>
  </si>
  <si>
    <t>123.40115374174538</t>
  </si>
  <si>
    <t>LINESTRING (11.674564717724733 60.256228381404995, 11.674560031271698 60.256293425760695, 11.674593258136133 60.25646382696548)</t>
  </si>
  <si>
    <t>[1814409, 1814418]</t>
  </si>
  <si>
    <t>[1596698, 1596703]</t>
  </si>
  <si>
    <t>[1596697, 1596698]</t>
  </si>
  <si>
    <t>26.326511889451442</t>
  </si>
  <si>
    <t>LINESTRING (11.674564717724733 60.256228381404995, 11.674446435264464 60.256274842222425, 11.674305426067823 60.25627975421057)</t>
  </si>
  <si>
    <t>[1814690, 1814698]</t>
  </si>
  <si>
    <t>[1596846, 1596708]</t>
  </si>
  <si>
    <t>0.01990331056734637</t>
  </si>
  <si>
    <t>[1596697, 1596846]</t>
  </si>
  <si>
    <t>16.174611014135973</t>
  </si>
  <si>
    <t>[-0.022, -0.015, -0.002, 0.009]</t>
  </si>
  <si>
    <t>LINESTRING (11.674399922057596 60.256038316926826, 11.674477609169255 60.25605149794334, 11.674577071306405 60.2561013509726, 11.674604203775719 60.256177878121, 11.674564717724733 60.256228381404995)</t>
  </si>
  <si>
    <t>[1814658, 1814666, 1814674, 1814682]</t>
  </si>
  <si>
    <t>[1596758, 1596833, 1596768, 1596697]</t>
  </si>
  <si>
    <t>[1596725, 1596758, 1596833, 1596768]</t>
  </si>
  <si>
    <t>[0.022, 0.015, 0.002, 0.009]</t>
  </si>
  <si>
    <t>27.061762086280268</t>
  </si>
  <si>
    <t>LINESTRING (11.674305426067823 60.25627975421057, 11.67438635681009 60.256321908524995, 11.674593258136133 60.25646382696548)</t>
  </si>
  <si>
    <t>[1814426, 1814434]</t>
  </si>
  <si>
    <t>[1596709, 1596703]</t>
  </si>
  <si>
    <t>[1596708, 1596709]</t>
  </si>
  <si>
    <t>26.017473881958182</t>
  </si>
  <si>
    <t>[0.021, 0.012, -0.002, -0.01]</t>
  </si>
  <si>
    <t>LINESTRING (11.674305426067823 60.25627975421057, 11.674191262330996 60.256250021814125, 11.674123847140864 60.25619800647001, 11.67411687918469 60.25613483566075, 11.674172081733918 60.25607915488036)</t>
  </si>
  <si>
    <t>[1814706, 1814714, 1814722, 1814730]</t>
  </si>
  <si>
    <t>[1596855, 1596858, 1596866, 1596734]</t>
  </si>
  <si>
    <t>0.005334270578822939</t>
  </si>
  <si>
    <t>[1596708, 1596855, 1596858, 1596866]</t>
  </si>
  <si>
    <t>[0.021, 0.012, 0.002, 0.01]</t>
  </si>
  <si>
    <t>27.99494614621525</t>
  </si>
  <si>
    <t>LINESTRING (11.674117741781517 60.25584315212306, 11.67433663490429 60.255999256029305, 11.674399922057596 60.256038316926826)</t>
  </si>
  <si>
    <t>[1814442, 1814450]</t>
  </si>
  <si>
    <t>[1596720, 1596725]</t>
  </si>
  <si>
    <t>[1596719, 1596720]</t>
  </si>
  <si>
    <t>26.786623585677948</t>
  </si>
  <si>
    <t>LINESTRING (11.674117741781517 60.25584315212306, 11.67416532549438 60.25602600944585, 11.674172081733918 60.25607915488036)</t>
  </si>
  <si>
    <t>[1814458, 1814466]</t>
  </si>
  <si>
    <t>[1596730, 1596734]</t>
  </si>
  <si>
    <t>[1596719, 1596730]</t>
  </si>
  <si>
    <t>26.476479001864362</t>
  </si>
  <si>
    <t>LINESTRING (11.674172081733918 60.25607915488036, 11.674271250660263 60.25604461658915, 11.674399922057596 60.256038316926826)</t>
  </si>
  <si>
    <t>[1814738, 1814746]</t>
  </si>
  <si>
    <t>[1596873, 1596725]</t>
  </si>
  <si>
    <t>[1596734, 1596873]</t>
  </si>
  <si>
    <t>13.864020523286463</t>
  </si>
  <si>
    <t>6.218199096422286</t>
  </si>
  <si>
    <t>[0.015, -0.005]</t>
  </si>
  <si>
    <t>LINESTRING (11.00555801809151 59.6192928164308, 11.005681129376597 59.61926933246803, 11.005832246479203 59.61928194568338)</t>
  </si>
  <si>
    <t>[1820394, 1820402]</t>
  </si>
  <si>
    <t>[1600431, 1600436]</t>
  </si>
  <si>
    <t>0.004241128666791875</t>
  </si>
  <si>
    <t>[1600423, 1600431]</t>
  </si>
  <si>
    <t>16.07218714753455</t>
  </si>
  <si>
    <t>[0.105, -0.206, 0.076, 0.027, 0.043]</t>
  </si>
  <si>
    <t>LINESTRING (5.2683372030530515 60.54233353963284, 5.269911210894947 60.54259930348414, 5.273203844665679 60.54332147468396, 5.280325530299108 60.54485087538404, 5.280344861672816 60.544855271782126, 5.280676347154748 60.54492963157131)</t>
  </si>
  <si>
    <t>[2000116, 2000117, 2000124, 2000132, 2000140]</t>
  </si>
  <si>
    <t>[1753345, 1753346, 1753349, 1753353, 1752930]</t>
  </si>
  <si>
    <t>0.0029166430559822475</t>
  </si>
  <si>
    <t>[1602247, 1753345, 1753346, 1753349, 1753353]</t>
  </si>
  <si>
    <t>[0.105, 0.206, 0.076, 0.027, 0.043]</t>
  </si>
  <si>
    <t>739.077634246817</t>
  </si>
  <si>
    <t>[-0.06, -0.04, -0.009, -0.006, -0.005, -0.002, 0.04, 0.05, 0.052, 0.052]</t>
  </si>
  <si>
    <t>LINESTRING (11.271683920472158 59.127996175486686, 11.271857024920314 59.12801443863131, 11.272008346317097 59.1280683209295, 11.272115234675354 59.1281978757178, 11.272122724676304 59.12826405586126, 11.272099207618293 59.128332167348375, 11.271995816863456 59.12841880232071, 11.271882876854974 59.12845930733331, 11.271739958893397 59.128483119918926, 11.271608230610935 59.12848574222144, 11.271469255192686 59.128475570742296)</t>
  </si>
  <si>
    <t>[1823495, 1823496, 1823497, 1823505, 1823511, 1823512, 1823513, 1823514, 1823530, 1823531]</t>
  </si>
  <si>
    <t>[1602637, 1602684, 1602685, 1602692, 1602697, 1602698, 1602699, 1602700, 1602714, 1602649]</t>
  </si>
  <si>
    <t>0.0027702105090186475</t>
  </si>
  <si>
    <t>[1602638, 1602637, 1602684, 1602685, 1602692, 1602697, 1602698, 1602699, 1602700, 1602714]</t>
  </si>
  <si>
    <t>[0.06, 0.04, 0.009, 0.006, 0.005, 0.002, 0.04, 0.05, 0.052, 0.052]</t>
  </si>
  <si>
    <t>95.39607104128318</t>
  </si>
  <si>
    <t>52.06580497693691</t>
  </si>
  <si>
    <t>10.730061416366405</t>
  </si>
  <si>
    <t>15.831197177541606</t>
  </si>
  <si>
    <t>[-0.049, -0.051, -0.029, 0.002, 0.024]</t>
  </si>
  <si>
    <t>LINESTRING (9.698971389579533 59.66451481491128, 9.699419431983904 59.66463693719794, 9.70114268921362 59.665265733417684, 9.701816510433853 59.66552842434558, 9.702868316949022 59.66479479054934, 9.702797865410664 59.664784442411175)</t>
  </si>
  <si>
    <t>[1828121, 1827814, 1827822, 1827830, 1827838]</t>
  </si>
  <si>
    <t>[1605523, 1605524, 1605530, 1605538, 1605390]</t>
  </si>
  <si>
    <t>[1605730, 1605523, 1605524, 1605530, 1605538]</t>
  </si>
  <si>
    <t>[0.049, 0.051, 0.029, 0.002, 0.024]</t>
  </si>
  <si>
    <t>420.784464663416</t>
  </si>
  <si>
    <t>LINESTRING (9.702610124330604 59.6647999947994, 9.702473264195662 59.66477015732531, 9.702382268089574 59.664711131485234)</t>
  </si>
  <si>
    <t>[1827668, 1827676]</t>
  </si>
  <si>
    <t>[1605399, 1605405]</t>
  </si>
  <si>
    <t>0.027498203371199296</t>
  </si>
  <si>
    <t>[1605391, 1605399]</t>
  </si>
  <si>
    <t>16.75071160340413</t>
  </si>
  <si>
    <t>LINESTRING (9.702193894025369 59.664952972904, 9.702529710784901 59.664828675113895, 9.702610124330604 59.6647999947994)</t>
  </si>
  <si>
    <t>[1835105, 1835113]</t>
  </si>
  <si>
    <t>[1610116, 1605391]</t>
  </si>
  <si>
    <t>[1605734, 1610116]</t>
  </si>
  <si>
    <t>29.15599145669854</t>
  </si>
  <si>
    <t>[-0.001, -0.026]</t>
  </si>
  <si>
    <t>LINESTRING (9.702382268089574 59.664711131485234, 9.702839097315623 59.664530848035696, 9.702952878169238 59.664670613695705)</t>
  </si>
  <si>
    <t>[1827686, 1827694]</t>
  </si>
  <si>
    <t>[1605414, 1605420]</t>
  </si>
  <si>
    <t>[1605405, 1605414]</t>
  </si>
  <si>
    <t>[0.001, 0.026]</t>
  </si>
  <si>
    <t>61.4272512653778</t>
  </si>
  <si>
    <t>LINESTRING (9.702193894025369 59.664952972904, 9.70235365472359 59.66475349025909, 9.702382268089574 59.664711131485234)</t>
  </si>
  <si>
    <t>[1835121, 1835129]</t>
  </si>
  <si>
    <t>[1610126, 1605405]</t>
  </si>
  <si>
    <t>[1605734, 1610126]</t>
  </si>
  <si>
    <t>28.98567144714299</t>
  </si>
  <si>
    <t>[-0.03, -0.018, -0.001]</t>
  </si>
  <si>
    <t>LINESTRING (9.702952878169238 59.664670613695705, 9.702996628725312 59.6647010005216, 9.708959657970732 59.667999628829826, 9.709374039623535 59.668153585343674)</t>
  </si>
  <si>
    <t>[1827846, 1827854, 1828081]</t>
  </si>
  <si>
    <t>[1605547, 1605553, 1605707]</t>
  </si>
  <si>
    <t>[1605420, 1605547, 1605553]</t>
  </si>
  <si>
    <t>[0.03, 0.018, 0.001]</t>
  </si>
  <si>
    <t>563.489593913563</t>
  </si>
  <si>
    <t>[0.051, 0.081, 0.026, -0.043, 0.003, 0.001]</t>
  </si>
  <si>
    <t>LINESTRING (9.733020055354947 59.67293706987333, 9.732631175096317 59.672749710421066, 9.729968883143902 59.67202275836486, 9.71904365805526 59.67026104568305, 9.717123468896528 59.66993203015563, 9.71296078475882 59.66907126297591, 9.709374039623535 59.668153585343674)</t>
  </si>
  <si>
    <t>[1828197, 1828205, 1828213, 1828221, 1828229, 1828237]</t>
  </si>
  <si>
    <t>[1605774, 1605779, 1605785, 1605790, 1605794, 1605707]</t>
  </si>
  <si>
    <t>0.01961904809703905</t>
  </si>
  <si>
    <t>[1605433, 1605774, 1605779, 1605785, 1605790, 1605794]</t>
  </si>
  <si>
    <t>[0.051, 0.081, 0.026, 0.043, 0.003, 0.001]</t>
  </si>
  <si>
    <t>1443.446408198176</t>
  </si>
  <si>
    <t>[0.059, 0.079, 0.025, -0.041, 0.004, -0.013, 0.008, 0.003, -0.0]</t>
  </si>
  <si>
    <t>LINESTRING (9.733020055354947 59.67293706987333, 9.732567062717937 59.672792769732155, 9.72992812089021 59.67207376654719, 9.718989782016259 59.6703466067497, 9.717063352038561 59.67001652872546, 9.712784942956436 59.66912918149981, 9.711890453766031 59.66891510745009, 9.709323970941991 59.668242158483515, 9.707730015187455 59.66777762309454, 9.70710546844124 59.667585374556914)</t>
  </si>
  <si>
    <t>[1828293, 1828301, 1828309, 1828317, 1828325, 1828333, 1828341, 1828349, 1828357]</t>
  </si>
  <si>
    <t>[1605833, 1605837, 1605842, 1605848, 1605854, 1605858, 1605865, 1605870, 1605702]</t>
  </si>
  <si>
    <t>0.018025334175700534</t>
  </si>
  <si>
    <t>[1605433, 1605833, 1605837, 1605842, 1605848, 1605854, 1605858, 1605865, 1605870]</t>
  </si>
  <si>
    <t>[0.059, 0.079, 0.025, 0.041, 0.004, 0.013, 0.008, 0.003, 0.0]</t>
  </si>
  <si>
    <t>1585.7143894131011</t>
  </si>
  <si>
    <t>[0.072, 0.081, 0.085, 0.033, -0.039, -0.067, -0.081]</t>
  </si>
  <si>
    <t>LINESTRING (9.700345121695925 59.66640865200549, 9.700183949306735 59.66645395595106, 9.700093528130681 59.666456592461074, 9.700003646182127 59.66644458297726, 9.69984696738817 59.6662477352926, 9.699929293578993 59.66619059928266, 9.700060558999834 59.6661580321467, 9.700188398324096 59.666158351094055)</t>
  </si>
  <si>
    <t>[1828469, 1828477, 1828485, 1828493, 1828501, 1828509, 1828517]</t>
  </si>
  <si>
    <t>[1605720, 1605942, 1605711, 1605914, 1605954, 1605930, 1605662]</t>
  </si>
  <si>
    <t>0.014617195605668622</t>
  </si>
  <si>
    <t>[1605483, 1605720, 1605942, 1605711, 1605914, 1605954, 1605930]</t>
  </si>
  <si>
    <t>[0.072, 0.081, 0.085, 0.033, 0.039, 0.067, 0.081]</t>
  </si>
  <si>
    <t>70.2113545298353</t>
  </si>
  <si>
    <t>15.292742685933092</t>
  </si>
  <si>
    <t>[0.0, 0.028, 0.075]</t>
  </si>
  <si>
    <t>LINESTRING (9.70710546844124 59.667585374556914, 9.706637002880168 59.66747456632901, 9.700422433333523 59.66640736506274, 9.700345121695925 59.66640865200549)</t>
  </si>
  <si>
    <t>[1828073, 1827756, 1827767]</t>
  </si>
  <si>
    <t>[1605472, 1605473, 1605483]</t>
  </si>
  <si>
    <t>0.0265470869745401</t>
  </si>
  <si>
    <t>[1605702, 1605472, 1605473]</t>
  </si>
  <si>
    <t>420.9425720949457</t>
  </si>
  <si>
    <t>[-0.071, -0.009, 0.03, 0.052, 0.034]</t>
  </si>
  <si>
    <t>LINESTRING (9.700418880599376 59.66627998951855, 9.700477576816485 59.666303603661405, 9.701592820478016 59.66567414256724, 9.700921507749541 59.6654124519749, 9.698088844227955 59.66439306380532, 9.697695766241036 59.66422669519042)</t>
  </si>
  <si>
    <t>[1827775, 1827789, 1827797, 1827806, 1828189]</t>
  </si>
  <si>
    <t>[1605488, 1605500, 1605509, 1605517, 1605767]</t>
  </si>
  <si>
    <t>0.0217535176207174</t>
  </si>
  <si>
    <t>[1605487, 1605488, 1605500, 1605509, 1605517]</t>
  </si>
  <si>
    <t>[0.071, 0.009, 0.03, 0.052, 0.034]</t>
  </si>
  <si>
    <t>481.62489493914114</t>
  </si>
  <si>
    <t>5.106515446349048</t>
  </si>
  <si>
    <t>[-0.057, -0.061, -0.052]</t>
  </si>
  <si>
    <t>LINESTRING (9.700188398324096 59.666158351094055, 9.700260123109208 59.666133468517934, 9.70036832693949 59.66609589960304, 9.70057956896406 59.66600754028494)</t>
  </si>
  <si>
    <t>[1828025, 1828033, 1828041]</t>
  </si>
  <si>
    <t>[1605663, 1605672, 1605677]</t>
  </si>
  <si>
    <t>[1605662, 1605663, 1605672]</t>
  </si>
  <si>
    <t>[0.057, 0.061, 0.052]</t>
  </si>
  <si>
    <t>27.76576071597851</t>
  </si>
  <si>
    <t>[-0.078, -0.058]</t>
  </si>
  <si>
    <t>LINESTRING (9.700188398324096 59.666158351094055, 9.700305799522795 59.66618641284712, 9.700389815590492 59.666236608706406)</t>
  </si>
  <si>
    <t>[1828525, 1828533]</t>
  </si>
  <si>
    <t>[1605969, 1605683]</t>
  </si>
  <si>
    <t>[1605662, 1605969]</t>
  </si>
  <si>
    <t>[0.078, 0.058]</t>
  </si>
  <si>
    <t>14.656019615065617</t>
  </si>
  <si>
    <t>148.7013374478002</t>
  </si>
  <si>
    <t>[-0.018, -0.02, -0.019]</t>
  </si>
  <si>
    <t>LINESTRING (9.700389815590492 59.666236608706406, 9.700421468180071 59.66619665001628, 9.700468674935614 59.666135058698245, 9.70057956896406 59.66600754028494)</t>
  </si>
  <si>
    <t>[1828049, 1828057, 1828065]</t>
  </si>
  <si>
    <t>[1605684, 1605690, 1605677]</t>
  </si>
  <si>
    <t>[1605683, 1605684, 1605690]</t>
  </si>
  <si>
    <t>[0.018, 0.02, 0.019]</t>
  </si>
  <si>
    <t>27.69489749841622</t>
  </si>
  <si>
    <t>[0.024, 0.03, 0.054, 0.042]</t>
  </si>
  <si>
    <t>LINESTRING (9.70710546844124 59.667585374556914, 9.70164994503282 59.66563686185747, 9.700978130664861 59.6653749712616, 9.698839830252036 59.664605680108636, 9.697695766241036 59.66422669519042)</t>
  </si>
  <si>
    <t>[1828365, 1828373, 1828381, 1828389]</t>
  </si>
  <si>
    <t>[1605880, 1605884, 1605889, 1605767]</t>
  </si>
  <si>
    <t>0.03341060164517302</t>
  </si>
  <si>
    <t>[1605702, 1605880, 1605884, 1605889]</t>
  </si>
  <si>
    <t>649.80296327223</t>
  </si>
  <si>
    <t>[0.002, 0.024, 0.029, 0.051]</t>
  </si>
  <si>
    <t>LINESTRING (9.709374039623535 59.668153585343674, 9.707198346787145 59.66750890916606, 9.701758799459373 59.665566041317085, 9.70108565660997 59.66530355754569, 9.698971389579533 59.66451481491128)</t>
  </si>
  <si>
    <t>[1828245, 1828253, 1828261, 1828269]</t>
  </si>
  <si>
    <t>[1605803, 1605808, 1605813, 1605730]</t>
  </si>
  <si>
    <t>0.02555682295693694</t>
  </si>
  <si>
    <t>[1605707, 1605803, 1605808, 1605813]</t>
  </si>
  <si>
    <t>714.0491324958525</t>
  </si>
  <si>
    <t>LINESTRING (9.698971389579533 59.66451481491128, 9.697839576077394 59.664123396490695, 9.694840581868187 59.663184613761864)</t>
  </si>
  <si>
    <t>[1828277, 1828285]</t>
  </si>
  <si>
    <t>[1605823, 1605828]</t>
  </si>
  <si>
    <t>0.02919843937235687</t>
  </si>
  <si>
    <t>[1605730, 1605823]</t>
  </si>
  <si>
    <t>276.27046227375644</t>
  </si>
  <si>
    <t>[0.008, -0.128]</t>
  </si>
  <si>
    <t>LINESTRING (8.8003367677688 58.501825911319294, 8.786995921377827 58.499438937274036, 8.785955695607008 58.49925102800575)</t>
  </si>
  <si>
    <t>[1831144, 1831152]</t>
  </si>
  <si>
    <t>[1607694, 1607698]</t>
  </si>
  <si>
    <t>[1607688, 1607694]</t>
  </si>
  <si>
    <t>[0.008, 0.128]</t>
  </si>
  <si>
    <t>887.2553529776205</t>
  </si>
  <si>
    <t>[-0.092, -0.001, 0.036, 0.017, -0.008, 0.06, 0.073, -0.012, -0.07, -0.075, -0.045, 0.106, 0.082, 0.002, 0.005, 0.003]</t>
  </si>
  <si>
    <t>[1, 0, 1, 0, 0, 0, 0, 0, 0, 0, 0, 0, 0, 1, 0, 0]</t>
  </si>
  <si>
    <t>LINESTRING (8.785955695607008 58.49925102800575, 8.78321673906763 58.4987603715465, 8.76624791505264 58.49071941555811, 8.766028067211966 58.49053299503183, 8.76231343597754 58.48738667369229, 8.75801644527438 58.48374972250521, 8.757746087687524 58.4835210132713, 8.757113083293174 58.48298803026206, 8.749797642524534 58.477768313323786, 8.74900210812893 58.477298570877956, 8.7486530090648 58.47710129063071, 8.747838281190722 58.47664302921318, 8.747658928533149 58.47654175692216, 8.746934319351675 58.47612203852355, 8.746314744064374 58.47575733811297, 8.745949524925258 58.47553232437447, 8.745805351227501 58.475440443534914)</t>
  </si>
  <si>
    <t>[1831239, 1831247, 1831255, 1831263, 1831271, 1245136, 1246801, 1246819, 1246836, 1247598, 1247572, 1247573, 1247579, 2132645, 2132653, 2132661]</t>
  </si>
  <si>
    <t>[1607752, 1607753, 1607755, 1607756, 1164990, 1164991, 1166450, 1166466, 1166489, 1167028, 1167029, 1167030, 1167034, 1834431, 1834437, 1834417]</t>
  </si>
  <si>
    <t>[1607698, 1607752, 1607753, 1607755, 1607756, 1164990, 1164991, 1166450, 1166466, 1166489, 1167028, 1167029, 1167030, 1167034, 1834431, 1834437]</t>
  </si>
  <si>
    <t>[0.092, 0.001, 0.036, 0.017, 0.008, 0.06, 0.073, 0.012, 0.07, 0.075, 0.045, 0.106, 0.082, 0.002, 0.005, 0.003]</t>
  </si>
  <si>
    <t>3635.527301827912</t>
  </si>
  <si>
    <t>[-0.03, 0.009]</t>
  </si>
  <si>
    <t>LINESTRING (8.801599097160052 58.50195698733188, 8.800391422995892 58.5017408575949, 8.787093949169144 58.49935830123156)</t>
  </si>
  <si>
    <t>[1831169, 1831178]</t>
  </si>
  <si>
    <t>[1607714, 1607720]</t>
  </si>
  <si>
    <t>0.005753404309229869</t>
  </si>
  <si>
    <t>[1607704, 1607714]</t>
  </si>
  <si>
    <t>[0.03, 0.009]</t>
  </si>
  <si>
    <t>894.9641725672104</t>
  </si>
  <si>
    <t>[0.008, -0.019, 0.002, 0.006, -0.011]</t>
  </si>
  <si>
    <t>LINESTRING (5.484033343501956 59.77671792569145, 5.484004716419398 59.77662850061354, 5.484375984551686 59.77584139757772, 5.483522115071432 59.77439640424404, 5.482419275164858 59.77380635048535, 5.482368939496771 59.773741957878485)</t>
  </si>
  <si>
    <t>[1833287, 1833295, 2078057, 1833303, 1833311]</t>
  </si>
  <si>
    <t>[1609038, 1609043, 1609050, 1609051, 1609056]</t>
  </si>
  <si>
    <t>[1609037, 1609038, 1609043, 1609050, 1609051]</t>
  </si>
  <si>
    <t>[0.008, 0.019, 0.002, 0.006, 0.011]</t>
  </si>
  <si>
    <t>369.23109118399157</t>
  </si>
  <si>
    <t>[0.012, -0.021]</t>
  </si>
  <si>
    <t>LINESTRING (5.484033343501956 59.77671792569145, 5.483651957001758 59.77741608743026, 5.48326777643822 59.77840092203696)</t>
  </si>
  <si>
    <t>[2060927, 2060935]</t>
  </si>
  <si>
    <t>[1791679, 1761256]</t>
  </si>
  <si>
    <t>[1609037, 1791679]</t>
  </si>
  <si>
    <t>[0.012, 0.021]</t>
  </si>
  <si>
    <t>193.1425151110961</t>
  </si>
  <si>
    <t>[0.006, -0.034, 0.053]</t>
  </si>
  <si>
    <t>LINESTRING (5.484516600680556 59.775405095555286, 5.484488378097018 59.775912563732554, 5.484350704094923 59.77622861758619, 5.484033343501956 59.77671792569145)</t>
  </si>
  <si>
    <t>[2078041, 2078049, 2060919]</t>
  </si>
  <si>
    <t>[1802315, 1791676, 1609037]</t>
  </si>
  <si>
    <t>0.014348347175217121</t>
  </si>
  <si>
    <t>[1802282, 1802315, 1791676]</t>
  </si>
  <si>
    <t>[0.006, 0.034, 0.053]</t>
  </si>
  <si>
    <t>150.62869615199824</t>
  </si>
  <si>
    <t>[-0.209, 0.018, 0.232]</t>
  </si>
  <si>
    <t>16118.0</t>
  </si>
  <si>
    <t>LINESTRING (5.482368939496771 59.773741957878485, 5.483330545655091 59.77419859245987, 5.483553779285394 59.77431251300787, 5.484136135272523 59.774767623291794)</t>
  </si>
  <si>
    <t>[2060903, 2060911, 2077937]</t>
  </si>
  <si>
    <t>[1791667, 1791672, 1802249]</t>
  </si>
  <si>
    <t>[1609056, 1791667, 1791672]</t>
  </si>
  <si>
    <t>[0.209, 0.018, 0.232]</t>
  </si>
  <si>
    <t>153.13913301652588</t>
  </si>
  <si>
    <t>190.72711527226568</t>
  </si>
  <si>
    <t>[-0.024, -0.023, -0.046]</t>
  </si>
  <si>
    <t>LINESTRING (5.4508969050880705 59.41990411185742, 5.450366083435156 59.41988330326861, 5.448446968515205 59.419808348584326, 5.448343510022357 59.41978142513821)</t>
  </si>
  <si>
    <t>[1836118, 1836126, 1836134]</t>
  </si>
  <si>
    <t>[1610660, 1610665, 1610340]</t>
  </si>
  <si>
    <t>[1610274, 1610660, 1610665]</t>
  </si>
  <si>
    <t>[0.024, 0.023, 0.046]</t>
  </si>
  <si>
    <t>147.74681524984348</t>
  </si>
  <si>
    <t>[-0.008, -0.019, -0.008]</t>
  </si>
  <si>
    <t>LINESTRING (5.4508969050880705 59.41990411185742, 5.4503693220401646 59.41995031256168, 5.448435291717102 59.4199462894278, 5.448330641709394 59.41996412316494)</t>
  </si>
  <si>
    <t>[1836142, 1836150, 1836158]</t>
  </si>
  <si>
    <t>[1610676, 1610682, 1610288]</t>
  </si>
  <si>
    <t>[1610274, 1610676, 1610682]</t>
  </si>
  <si>
    <t>[0.008, 0.019, 0.008]</t>
  </si>
  <si>
    <t>147.72325645734534</t>
  </si>
  <si>
    <t>3134.0</t>
  </si>
  <si>
    <t>106.66558193334525</t>
  </si>
  <si>
    <t>[-0.041, -0.018, -0.008]</t>
  </si>
  <si>
    <t>LINESTRING (5.447885966646932 59.41970186774331, 5.447928586206476 59.41964530530168, 5.448082592114283 59.419026212747426, 5.448178692434731 59.418844162809165)</t>
  </si>
  <si>
    <t>[1836070, 1836078, 1836086]</t>
  </si>
  <si>
    <t>[1610631, 1610636, 1610280]</t>
  </si>
  <si>
    <t>[1610328, 1610631, 1610636]</t>
  </si>
  <si>
    <t>[0.041, 0.018, 0.008]</t>
  </si>
  <si>
    <t>98.53852241121179</t>
  </si>
  <si>
    <t>[-0.055, -0.02, -0.015]</t>
  </si>
  <si>
    <t>LINESTRING (5.448221079584102 59.41971452141296, 5.448191493964057 59.41964915606396, 5.448209425116603 59.41903780125306, 5.448178692434731 59.418844162809165)</t>
  </si>
  <si>
    <t>[1836046, 1836054, 1836062]</t>
  </si>
  <si>
    <t>[1610618, 1610623, 1610280]</t>
  </si>
  <si>
    <t>[1610336, 1610618, 1610623]</t>
  </si>
  <si>
    <t>[0.055, 0.02, 0.015]</t>
  </si>
  <si>
    <t>98.18954526962847</t>
  </si>
  <si>
    <t>[0.057, 0.049]</t>
  </si>
  <si>
    <t>LINESTRING (5.448343510022357 59.41978142513821, 5.448384025513226 59.41988492010333, 5.448330641709394 59.41996412316494)</t>
  </si>
  <si>
    <t>[1835518, 1835526]</t>
  </si>
  <si>
    <t>[1610346, 1610288]</t>
  </si>
  <si>
    <t>0.05346046475150267</t>
  </si>
  <si>
    <t>[1610340, 1610346]</t>
  </si>
  <si>
    <t>21.15343812727299</t>
  </si>
  <si>
    <t>[0.012, 0.03]</t>
  </si>
  <si>
    <t>LINESTRING (5.447885966646932 59.41970186774331, 5.448055703627999 59.41968660668271, 5.448221079584102 59.41971452141296)</t>
  </si>
  <si>
    <t>[1835494, 1835502]</t>
  </si>
  <si>
    <t>[1610332, 1610336]</t>
  </si>
  <si>
    <t>0.021048109077088158</t>
  </si>
  <si>
    <t>[1610328, 1610332]</t>
  </si>
  <si>
    <t>19.738934542926938</t>
  </si>
  <si>
    <t>10.223929235119865</t>
  </si>
  <si>
    <t>[-0.015, -0.051, 0.057]</t>
  </si>
  <si>
    <t>LINESTRING (6.523152881799657 58.46825078272461, 6.522607044930637 58.46861998941766, 6.522091836698401 58.46897246678487, 6.51974848396457 58.47056895923199)</t>
  </si>
  <si>
    <t>[1842905, 1842913, 1842921]</t>
  </si>
  <si>
    <t>[1308286, 1614729, 1614734]</t>
  </si>
  <si>
    <t>0.029111863580441145</t>
  </si>
  <si>
    <t>[1614721, 1308286, 1614729]</t>
  </si>
  <si>
    <t>[0.015, 0.051, 0.057]</t>
  </si>
  <si>
    <t>326.6472522502687</t>
  </si>
  <si>
    <t>[1.845, 0.021, -0.007, 0.138, -0.925]</t>
  </si>
  <si>
    <t>LINESTRING (6.523152881799657 58.46825078272461, 6.523005760970191 58.46829131383319, 6.522779094249575 58.46835359385078, 6.519928062300601 58.47027976069197, 6.519801847110711 58.470474410932546, 6.51974848396457 58.47056895923199)</t>
  </si>
  <si>
    <t>[2084009, 2084011, 2084012, 2084020, 2084028]</t>
  </si>
  <si>
    <t>[1806029, 1806030, 1806031, 1806036, 1614734]</t>
  </si>
  <si>
    <t>0.02787629015681925</t>
  </si>
  <si>
    <t>[1614721, 1806029, 1806030, 1806031, 1806036]</t>
  </si>
  <si>
    <t>[1.845, 0.021, 0.007, 0.138, 0.925]</t>
  </si>
  <si>
    <t>334.09840544121676</t>
  </si>
  <si>
    <t>[-0.047, -0.012]</t>
  </si>
  <si>
    <t>LINESTRING (9.607688310518215 59.62255261353574, 9.607643516456308 59.62260692139797, 9.607562488565067 59.62264902533742)</t>
  </si>
  <si>
    <t>[1844943, 1844951]</t>
  </si>
  <si>
    <t>[1616032, 1616003]</t>
  </si>
  <si>
    <t>[1616028, 1616032]</t>
  </si>
  <si>
    <t>[0.047, 0.012]</t>
  </si>
  <si>
    <t>13.11742197933582</t>
  </si>
  <si>
    <t>18.23648520809371</t>
  </si>
  <si>
    <t>[-0.104, -0.123, -0.029, 0.016, -0.065]</t>
  </si>
  <si>
    <t>LINESTRING (9.614643972223256 59.62422942949176, 9.614355191257285 59.62413865381003, 9.614267590912831 59.62409691485776, 9.610316266829049 59.622246432962946, 9.607593233494727 59.622363845573425, 9.607591494392997 59.622402290881894)</t>
  </si>
  <si>
    <t>[1845650, 1844959, 1844967, 1844975, 1844983]</t>
  </si>
  <si>
    <t>[1616040, 1616041, 1616046, 1616053, 1616024]</t>
  </si>
  <si>
    <t>[1616251, 1616040, 1616041, 1616046, 1616053]</t>
  </si>
  <si>
    <t>[0.104, 0.123, 0.029, 0.016, 0.065]</t>
  </si>
  <si>
    <t>543.8450657265093</t>
  </si>
  <si>
    <t>[0.014, 0.074, 0.041]</t>
  </si>
  <si>
    <t>LINESTRING (9.613279919068912 59.62352024978488, 9.610430124890696 59.622184064756965, 9.608720128438616 59.62149653870177, 9.605714226494111 59.620830470418866)</t>
  </si>
  <si>
    <t>[1845087, 1845095, 1845103]</t>
  </si>
  <si>
    <t>[1616128, 1616136, 1616139]</t>
  </si>
  <si>
    <t>0.037505129117538095</t>
  </si>
  <si>
    <t>[1616121, 1616128, 1616136]</t>
  </si>
  <si>
    <t>528.7722444942692</t>
  </si>
  <si>
    <t>[-0.131, -0.119, 0.003, 0.073, 0.043, 0.053]</t>
  </si>
  <si>
    <t>LINESTRING (9.614643972223256 59.62422942949176, 9.614310117552915 59.62407481889378, 9.613369583158445 59.62363463561873, 9.610358055644241 59.62222362391111, 9.608638713826359 59.62155831772656, 9.605725948416115 59.62090140987478, 9.600886001521518 59.62085739004096)</t>
  </si>
  <si>
    <t>[1845295, 1845303, 1845311, 1845319, 1845327, 1845335]</t>
  </si>
  <si>
    <t>[1616256, 1616261, 1616265, 1616269, 1616276, 1616282]</t>
  </si>
  <si>
    <t>0.02209201001408394</t>
  </si>
  <si>
    <t>[1616251, 1616256, 1616261, 1616265, 1616269, 1616276]</t>
  </si>
  <si>
    <t>[0.131, 0.119, 0.003, 0.073, 0.043, 0.053]</t>
  </si>
  <si>
    <t>908.6784426632023</t>
  </si>
  <si>
    <t>[0.007, 0.075, -0.018, 0.016, 0.12]</t>
  </si>
  <si>
    <t>LINESTRING (9.63775372343449 59.636622520345014, 9.63775372343449 59.636622520345014, 9.637503088333384 59.63723056936666, 9.640065029371302 59.64909082689879, 9.64249610632548 59.649380042276135, 9.643003683543416 59.64938747814837)</t>
  </si>
  <si>
    <t>[1845501, 1312531, 1312539, 1312547, 1845574]</t>
  </si>
  <si>
    <t>[1220535, 1220536, 1220542, 1220552, 1616408]</t>
  </si>
  <si>
    <t>[1616391, 1220535, 1220536, 1220542, 1220552]</t>
  </si>
  <si>
    <t>[0.007, 0.075, 0.018, 0.016, 0.12]</t>
  </si>
  <si>
    <t>1807.4020147306824</t>
  </si>
  <si>
    <t>[-0.038, -0.008, 0.009, 0.038]</t>
  </si>
  <si>
    <t>LINESTRING (18.51085398587451 69.04367172943573, 18.51113933059701 69.0437678983176, 18.511159054013827 69.04380961350871, 18.511142527312447 69.0438568320269, 18.510824285013058 69.04395954303637)</t>
  </si>
  <si>
    <t>[1845826, 1845834, 1845842, 1845850]</t>
  </si>
  <si>
    <t>[1616628, 1616634, 1616638, 1616643]</t>
  </si>
  <si>
    <t>0.0015932433135544917</t>
  </si>
  <si>
    <t>[1616627, 1616628, 1616634, 1616638]</t>
  </si>
  <si>
    <t>[0.038, 0.008, 0.009, 0.038]</t>
  </si>
  <si>
    <t>43.91784123725839</t>
  </si>
  <si>
    <t>[-0.049, -0.054]</t>
  </si>
  <si>
    <t>LINESTRING (18.510512176945262 69.04369301878336, 18.510664728563857 69.04366959378227, 18.51085398587451 69.04367172943573)</t>
  </si>
  <si>
    <t>[1845906, 1845914]</t>
  </si>
  <si>
    <t>[1616672, 1616627]</t>
  </si>
  <si>
    <t>[1616668, 1616672]</t>
  </si>
  <si>
    <t>14.187003006431087</t>
  </si>
  <si>
    <t>[-0.038, -0.027, -0.026]</t>
  </si>
  <si>
    <t>LINESTRING (18.510481546642367 69.0434263798098, 18.510689878086858 69.04356651782552, 18.510789318612645 69.04363323505581, 18.51085398587451 69.04367172943573)</t>
  </si>
  <si>
    <t>[1845946, 1845954, 1845962]</t>
  </si>
  <si>
    <t>[1616693, 1616695, 1616627]</t>
  </si>
  <si>
    <t>[1616680, 1616693, 1616695]</t>
  </si>
  <si>
    <t>[0.038, 0.027, 0.026]</t>
  </si>
  <si>
    <t>31.14902525076888</t>
  </si>
  <si>
    <t>[0.051, 0.047]</t>
  </si>
  <si>
    <t>LINESTRING (18.510824285013058 69.04395954303637, 18.510661490566285 69.04395973844731, 18.510481378009207 69.0439269702654)</t>
  </si>
  <si>
    <t>[1845858, 1845866]</t>
  </si>
  <si>
    <t>[1616646, 1616651]</t>
  </si>
  <si>
    <t>0.04878486067079209</t>
  </si>
  <si>
    <t>[1616643, 1616646]</t>
  </si>
  <si>
    <t>14.565687620737673</t>
  </si>
  <si>
    <t>LINESTRING (18.510824285013058 69.04395954303637, 18.510795285315616 69.04399106749833, 18.51057763782238 69.04421803811826)</t>
  </si>
  <si>
    <t>[1846074, 1846082]</t>
  </si>
  <si>
    <t>[1616746, 1616684]</t>
  </si>
  <si>
    <t>0.0163924857530242</t>
  </si>
  <si>
    <t>[1616643, 1616746]</t>
  </si>
  <si>
    <t>30.465954524316107</t>
  </si>
  <si>
    <t>[0.034, 0.016, -0.003, -0.031]</t>
  </si>
  <si>
    <t>LINESTRING (18.510481378009207 69.0439269702654, 18.51039033759036 69.04388797480053, 18.510337486096763 69.04383050411083, 18.510351559612978 69.04377264891502, 18.510512176945262 69.04369301878336)</t>
  </si>
  <si>
    <t>[1845874, 1845882, 1845890, 1845898]</t>
  </si>
  <si>
    <t>[1616656, 1616661, 1616664, 1616668]</t>
  </si>
  <si>
    <t>[1616651, 1616656, 1616661, 1616664]</t>
  </si>
  <si>
    <t>[0.034, 0.016, 0.003, 0.031]</t>
  </si>
  <si>
    <t>29.84772255602879</t>
  </si>
  <si>
    <t>LINESTRING (18.510481378009207 69.0439269702654, 18.510509873821466 69.04397663319443, 18.51057763782238 69.04421803811826)</t>
  </si>
  <si>
    <t>[1846050, 1846058]</t>
  </si>
  <si>
    <t>[1616734, 1616684]</t>
  </si>
  <si>
    <t>[1616651, 1616734]</t>
  </si>
  <si>
    <t>32.714542887688665</t>
  </si>
  <si>
    <t>[-0.015, -0.003, 0.0]</t>
  </si>
  <si>
    <t>LINESTRING (18.510481546642367 69.0434263798098, 18.510498908846756 69.04358659956671, 18.510507673211826 69.04365860710139, 18.510512176945262 69.04369301878336)</t>
  </si>
  <si>
    <t>[1846090, 1846098, 1846106]</t>
  </si>
  <si>
    <t>[1616758, 1616765, 1616668]</t>
  </si>
  <si>
    <t>[1616680, 1616758, 1616765]</t>
  </si>
  <si>
    <t>[0.015, 0.003, 0.0]</t>
  </si>
  <si>
    <t>29.764005901295825</t>
  </si>
  <si>
    <t>[-0.014, -0.066, -0.055]</t>
  </si>
  <si>
    <t>LINESTRING (10.390162692190836 60.22250688727677, 10.389795348234749 60.22251683405368, 10.385942063540405 60.22373658282263, 10.385880654833837 60.223760524897486)</t>
  </si>
  <si>
    <t>[1847258, 1852604, 1852611]</t>
  </si>
  <si>
    <t>[1617534, 1622155, 1622165]</t>
  </si>
  <si>
    <t>[1617533, 1617534, 1622155]</t>
  </si>
  <si>
    <t>[0.014, 0.066, 0.055]</t>
  </si>
  <si>
    <t>348.61030948769815</t>
  </si>
  <si>
    <t>[-0.026, -0.004, -0.01, 0.002, 0.042, 0.007, 0.031, -0.098, 0.031, 0.058, -0.004, 0.045, 0.022, -0.001, -0.001, 0.039, 0.009, 0.102, 0.048, 0.025, -0.03, 0.066, 0.128]</t>
  </si>
  <si>
    <t>9098.0</t>
  </si>
  <si>
    <t>[0, 1, 0, 1, 0, 1, 0, 0, 1, 0, 0, 0, 1, 0, 0, 1, 0, 0, 0, 1, 0, 0, 0]</t>
  </si>
  <si>
    <t>LINESTRING (10.390162692190836 60.22250688727677, 10.39550532706448 60.22326602009664, 10.395954566693058 60.22339768659589, 10.405802831029893 60.22738795407627, 10.407275601836202 60.227868772978816, 10.416286219349072 60.23060358315735, 10.416672288185147 60.23071896759913, 10.42381124016233 60.23235128620691, 10.424985898391649 60.23257044309563, 10.43077562951635 60.234318644954854, 10.436375165845314 60.23837362241421, 10.438575615974337 60.241176929838545, 10.44929844180892 60.2478713721662, 10.449543959254928 60.24823671475922, 10.455837558983431 60.25348892684597, 10.45826613836791 60.254414358247075, 10.45886005198779 60.254598903823485, 10.477590170044065 60.25975448991352, 10.48178950911981 60.260602130990975, 10.48553076578002 60.26124647034648, 10.486386004791406 60.26139368879247, 10.492699249677846 60.262696782117814, 10.494907375369241 60.26358193456989, 10.495859702468415 60.26411432398313)</t>
  </si>
  <si>
    <t>[1851430, 1851438, 1851449, 1851457, 1851473, 1851481, 1851482, 1851502, 1851510, 1851518, 1851534, 1851550, 1851551, 1851559, 1851560, 1851567, 1851575, 1851583, 1851609, 1851610, 1851617, 1851618, 1851625]</t>
  </si>
  <si>
    <t>[1621077, 1621083, 1621093, 1621100, 1621113, 1621119, 1621120, 1621148, 1621154, 1621160, 1621176, 1621192, 1621193, 1621203, 1621204, 1621213, 1621219, 1621227, 1621254, 1621255, 1621263, 1621264, 1621272]</t>
  </si>
  <si>
    <t>0.020788186409325664</t>
  </si>
  <si>
    <t>[1617533, 1621077, 1621083, 1621093, 1621100, 1621113, 1621119, 1621120, 1621148, 1621154, 1621160, 1621176, 1621192, 1621193, 1621203, 1621204, 1621213, 1621219, 1621227, 1621254, 1621255, 1621263, 1621264]</t>
  </si>
  <si>
    <t>[0.026, 0.004, 0.01, 0.002, 0.042, 0.007, 0.031, 0.098, 0.031, 0.058, 0.004, 0.045, 0.022, 0.001, 0.001, 0.039, 0.009, 0.102, 0.048, 0.025, 0.03, 0.066, 0.128]</t>
  </si>
  <si>
    <t>7770.276049248272</t>
  </si>
  <si>
    <t>566.4761168547906</t>
  </si>
  <si>
    <t>[-0.048, 0.007, -0.011, 0.004, 0.043, 0.018, 0.032, -0.099, 0.031, 0.058, -0.003, 0.045, 0.021, -0.001, -0.004, 0.025, 0.009, 0.1, 0.045, 0.023, -0.029, 0.06, 0.131]</t>
  </si>
  <si>
    <t>LINESTRING (10.392738003460755 60.22265065329087, 10.395557408535694 60.22321910326611, 10.396011660988774 60.22335176231887, 10.405862789228879 60.227342188028864, 10.407334324455196 60.22782355702133, 10.41634200988429 60.23055742550191, 10.416728047404227 60.23067277273129, 10.423854853696414 60.23228738331321, 10.425044926531776 60.232495083981455, 10.430882129953872 60.23425748505037, 10.436508552725027 60.23834006774885, 10.438692539479549 60.24114332748106, 10.449426922980043 60.24785011816768, 10.44967217731899 60.24821501977652, 10.455898375965004 60.25343355432445, 10.458266826221731 60.254350331655026, 10.45885573860533 60.254535047604165, 10.477634661260083 60.259699198393726, 10.481844963560544 60.2605297922666, 10.485583677288043 60.26117007764121, 10.486439283007922 60.26131738022031, 10.492787177310108 60.26263295393952, 10.495002863659934 60.26353403684445, 10.497469854691522 60.265130226075875)</t>
  </si>
  <si>
    <t>[1851717, 1851732, 1851739, 1851740, 1851747, 1851748, 1851755, 1851763, 1851770, 1851790, 1851791, 1852793, 1852799, 1852800, 1852807, 1852820, 1852821, 1852831, 1852839, 1852865, 1852876, 1852877, 1852885]</t>
  </si>
  <si>
    <t>[1621348, 1621356, 1621360, 1621361, 1621369, 1621370, 1621375, 1621382, 1621391, 1621413, 1621414, 1622343, 1622354, 1622355, 1622362, 1622378, 1622379, 1622388, 1622395, 1622424, 1622431, 1622432, 1622127]</t>
  </si>
  <si>
    <t>0.023079307631065627</t>
  </si>
  <si>
    <t>[1617561, 1621348, 1621356, 1621360, 1621361, 1621369, 1621370, 1621375, 1621382, 1621391, 1621413, 1621414, 1622343, 1622354, 1622355, 1622362, 1622378, 1622379, 1622388, 1622395, 1622424, 1622431, 1622432]</t>
  </si>
  <si>
    <t>[0.048, 0.007, 0.011, 0.004, 0.043, 0.018, 0.032, 0.099, 0.031, 0.058, 0.003, 0.045, 0.021, 0.001, 0.004, 0.025, 0.009, 0.1, 0.045, 0.023, 0.029, 0.06, 0.131]</t>
  </si>
  <si>
    <t>7778.202610944209</t>
  </si>
  <si>
    <t>[0.039, 0.025]</t>
  </si>
  <si>
    <t>LINESTRING (10.381997177344083 60.22263093444213, 10.390165531882737 60.22245303271936, 10.392738003460755 60.22265065329087)</t>
  </si>
  <si>
    <t>[1851705, 1851716]</t>
  </si>
  <si>
    <t>[1621336, 1617561]</t>
  </si>
  <si>
    <t>0.03561993067645925</t>
  </si>
  <si>
    <t>[1620872, 1621336]</t>
  </si>
  <si>
    <t>598.7868307325515</t>
  </si>
  <si>
    <t>[0.0, 0.021, -0.011]</t>
  </si>
  <si>
    <t>LINESTRING (10.384002337476499 60.222050358921244, 10.384002337476499 60.222050358921244, 10.392398411756393 60.222591296010926, 10.392738003460755 60.22265065329087)</t>
  </si>
  <si>
    <t>[1851792, 1851805, 1847289]</t>
  </si>
  <si>
    <t>[1621416, 1617560, 1617561]</t>
  </si>
  <si>
    <t>0.01956073014244917</t>
  </si>
  <si>
    <t>[1621415, 1621416, 1617560]</t>
  </si>
  <si>
    <t>[0.0, 0.021, 0.011]</t>
  </si>
  <si>
    <t>506.12053566394013</t>
  </si>
  <si>
    <t>[-0.32, 6.01, 0.0, -0.186, -0.17, -0.115]</t>
  </si>
  <si>
    <t>LINESTRING (5.804709376198063 58.791106847419535, 5.804925918315102 58.79077691414138, 5.804934415857943 58.79071333724925, 5.804934305115419 58.7907067695762, 5.804932319830402 58.790572532246394, 5.804931906285802 58.79051991638999, 5.805287076932757 58.79009828870331)</t>
  </si>
  <si>
    <t>[1850840, 1850856, 1850857, 1850881, 1850899, 1850907]</t>
  </si>
  <si>
    <t>[1343819, 1620546, 1620547, 1620568, 1620589, 1176971]</t>
  </si>
  <si>
    <t>0.16463893016516032</t>
  </si>
  <si>
    <t>[1620526, 1343819, 1620546, 1620547, 1620568, 1620589]</t>
  </si>
  <si>
    <t>[0.32, 6.01, 0.0, 0.186, 0.17, 0.115]</t>
  </si>
  <si>
    <t>122.29768824370913</t>
  </si>
  <si>
    <t>[0.057, 0.03, -0.093]</t>
  </si>
  <si>
    <t>LINESTRING (10.381997177344083 60.22263093444213, 10.38244225129367 60.222637021740304, 10.384014036316117 60.22211913744051, 10.38394145344249 60.22212757049482)</t>
  </si>
  <si>
    <t>[1851193, 1852064, 1852072]</t>
  </si>
  <si>
    <t>[1620873, 1621663, 1621483]</t>
  </si>
  <si>
    <t>0.030454481575694428</t>
  </si>
  <si>
    <t>[1620872, 1620873, 1621663]</t>
  </si>
  <si>
    <t>[0.057, 0.03, 0.093]</t>
  </si>
  <si>
    <t>348.1214505071162</t>
  </si>
  <si>
    <t>[-0.02, -0.032, 0.007, -0.031, -0.246, 0.071, 0.031, 0.049]</t>
  </si>
  <si>
    <t>[0, 0, 0, 0, 1, 1, 0, 0]</t>
  </si>
  <si>
    <t>LINESTRING (10.345947899040874 60.2205216128002, 10.346018204916556 60.22052048651405, 10.353167550250491 60.21934443272152, 10.35535953123517 60.21892763263034, 10.356450834718231 60.21875489597699, 10.360482366572509 60.218409965784296, 10.367774543167224 60.21889296197841, 10.377915535567345 60.22203211836713, 10.381997177344083 60.22263093444213)</t>
  </si>
  <si>
    <t>[1851227, 1851234, 1851337, 1851345, 1851353, 1851374, 1851395, 1851697]</t>
  </si>
  <si>
    <t>[1620911, 1620917, 1621008, 1621014, 1621020, 1621036, 1621053, 1620872]</t>
  </si>
  <si>
    <t>[1620910, 1620911, 1620917, 1621008, 1621014, 1621020, 1621036, 1621053]</t>
  </si>
  <si>
    <t>[0.02, 0.032, 0.007, 0.031, 0.246, 0.071, 0.031, 0.049]</t>
  </si>
  <si>
    <t>2156.9234845976357</t>
  </si>
  <si>
    <t>[-0.013, -0.033, 0.008, -0.019, -0.256, 0.071, 0.032, 0.047]</t>
  </si>
  <si>
    <t>6199.0</t>
  </si>
  <si>
    <t>LINESTRING (10.346007633288362 60.22064711050613, 10.346071810540598 60.2206293096996, 10.352986300523906 60.21943774246684, 10.355318966619286 60.21899177556183, 10.35648039176367 60.218806694506604, 10.360462399038594 60.21846456074739, 10.367740655467479 60.21894431860801, 10.377853868907899 60.22207709330339, 10.380020918006407 60.22249720362508)</t>
  </si>
  <si>
    <t>[1851291, 1851297, 1851314, 1851325, 1851333, 1851396, 1851414, 1851415]</t>
  </si>
  <si>
    <t>[1620968, 1620972, 1620986, 1620997, 1621003, 1621054, 1621067, 1620881]</t>
  </si>
  <si>
    <t>[1620967, 1620968, 1620972, 1620986, 1620997, 1621003, 1621054, 1621067]</t>
  </si>
  <si>
    <t>[0.013, 0.033, 0.008, 0.019, 0.256, 0.071, 0.032, 0.047]</t>
  </si>
  <si>
    <t>2044.1071791290422</t>
  </si>
  <si>
    <t>[0.0, -0.012, -0.047]</t>
  </si>
  <si>
    <t>LINESTRING (10.385851845900751 60.22365825124862, 10.385851845900751 60.22365825124862, 10.380345613793098 60.222558969534035, 10.380020918006407 60.22249720362508)</t>
  </si>
  <si>
    <t>[1852593, 1852603, 1851201]</t>
  </si>
  <si>
    <t>[1622143, 1620880, 1620881]</t>
  </si>
  <si>
    <t>[1622142, 1622143, 1620880]</t>
  </si>
  <si>
    <t>[0.0, 0.012, 0.047]</t>
  </si>
  <si>
    <t>424.1882770587964</t>
  </si>
  <si>
    <t>[-0.009, -0.005]</t>
  </si>
  <si>
    <t>LINESTRING (10.345947899040874 60.2205216128002, 10.345994683686875 60.22058171847684, 10.346007633288362 60.22064711050613)</t>
  </si>
  <si>
    <t>[1853020, 1853027]</t>
  </si>
  <si>
    <t>[1622564, 1620967]</t>
  </si>
  <si>
    <t>[1620910, 1622564]</t>
  </si>
  <si>
    <t>14.508282694027898</t>
  </si>
  <si>
    <t>51.7446470263638</t>
  </si>
  <si>
    <t>[-0.025, -0.023]</t>
  </si>
  <si>
    <t>LINESTRING (10.344592662913332 60.22043985316448, 10.345095414502042 60.22050401090045, 10.345160660248826 60.22050859825561)</t>
  </si>
  <si>
    <t>[1851258, 1851269]</t>
  </si>
  <si>
    <t>[1620936, 1620947]</t>
  </si>
  <si>
    <t>[1620935, 1620936]</t>
  </si>
  <si>
    <t>[0.025, 0.023]</t>
  </si>
  <si>
    <t>32.43470442460727</t>
  </si>
  <si>
    <t>[-0.026, -0.025]</t>
  </si>
  <si>
    <t>LINESTRING (10.344592662913332 60.22043985316448, 10.34503394398547 60.22058191456235, 10.345091037110333 60.22059985925757)</t>
  </si>
  <si>
    <t>[1851270, 1851275]</t>
  </si>
  <si>
    <t>[1620948, 1620951]</t>
  </si>
  <si>
    <t>[1620935, 1620948]</t>
  </si>
  <si>
    <t>33.00828789725043</t>
  </si>
  <si>
    <t>LINESTRING (10.345091037110333 60.22059985925757, 10.345117038039914 60.22055185487037, 10.345160660248826 60.22050859825561)</t>
  </si>
  <si>
    <t>[1853056, 1853064]</t>
  </si>
  <si>
    <t>[1622608, 1620947]</t>
  </si>
  <si>
    <t>0.004533671382849914</t>
  </si>
  <si>
    <t>[1620951, 1622608]</t>
  </si>
  <si>
    <t>10.935750913431704</t>
  </si>
  <si>
    <t>[0.005, 0.01, 0.012, 0.016]</t>
  </si>
  <si>
    <t>LINESTRING (10.346007633288362 60.22064711050613, 10.345728725302209 60.22084494242518, 10.345611284698355 60.22086135636965, 10.345497143426835 60.22086256037962, 10.345091037110333 60.22059985925757)</t>
  </si>
  <si>
    <t>[1853028, 1853040, 1853048, 1853049]</t>
  </si>
  <si>
    <t>[1620952, 1622587, 1620978, 1620951]</t>
  </si>
  <si>
    <t>0.011432985144856323</t>
  </si>
  <si>
    <t>[1620967, 1620952, 1622587, 1620978]</t>
  </si>
  <si>
    <t>82.22154578996151</t>
  </si>
  <si>
    <t>[0.074, -0.002, -0.015, 0.0]</t>
  </si>
  <si>
    <t>LINESTRING (10.495859702468415 60.26411432398313, 10.500211091186463 60.267252439728466, 10.500353590350526 60.26735789108831, 10.500914989152287 60.267776857921355, 10.502614439899647 60.26905772239342)</t>
  </si>
  <si>
    <t>[1851633, 1851641, 1851652, 1851660]</t>
  </si>
  <si>
    <t>[1621277, 1621285, 1621294, 1621301]</t>
  </si>
  <si>
    <t>0.0458899933428301</t>
  </si>
  <si>
    <t>[1621272, 1621277, 1621285, 1621294]</t>
  </si>
  <si>
    <t>[0.074, 0.002, 0.015, 0.0]</t>
  </si>
  <si>
    <t>665.9899991927605</t>
  </si>
  <si>
    <t>[0.0, -0.075, -0.143]</t>
  </si>
  <si>
    <t>LINESTRING (10.498162199850322 60.26713108518985, 10.498162199850322 60.26713108518985, 10.496053918743435 60.26426505546569, 10.495859702468415 60.26411432398313)</t>
  </si>
  <si>
    <t>[1852240, 1852241, 1852618]</t>
  </si>
  <si>
    <t>[1621814, 1621815, 1621272]</t>
  </si>
  <si>
    <t>[1621813, 1621814, 1621815]</t>
  </si>
  <si>
    <t>[0.0, 0.075, 0.143]</t>
  </si>
  <si>
    <t>388.4423277356727</t>
  </si>
  <si>
    <t>[-0.02, 0.004, 0.015, -0.008, 0.034]</t>
  </si>
  <si>
    <t>LINESTRING (10.502614439899647 60.26905772239342, 10.502390085639515 60.268917472368244, 10.500835193905216 60.2677739425854, 10.500274065113624 60.26735538924121, 10.498319940167603 60.2671555977423, 10.498314994371162 60.26719679767859)</t>
  </si>
  <si>
    <t>[1852293, 1852248, 1852263, 1852269, 1852270]</t>
  </si>
  <si>
    <t>[1621821, 1621822, 1621838, 1621842, 1621843]</t>
  </si>
  <si>
    <t>[1621301, 1621821, 1621822, 1621838, 1621842]</t>
  </si>
  <si>
    <t>[0.02, 0.004, 0.015, 0.008, 0.034]</t>
  </si>
  <si>
    <t>391.7810296075829</t>
  </si>
  <si>
    <t>LINESTRING (5.3120737448202195 60.41929025323389, 5.3120737448202195 60.41929025323389, 5.312041651865171 60.41932950740023)</t>
  </si>
  <si>
    <t>[1940886, 1852148]</t>
  </si>
  <si>
    <t>[1621734, 1621735]</t>
  </si>
  <si>
    <t>0.004622691705597794</t>
  </si>
  <si>
    <t>[1703067, 1621734]</t>
  </si>
  <si>
    <t>42.993398117042666</t>
  </si>
  <si>
    <t>[-0.042, -0.117]</t>
  </si>
  <si>
    <t>LINESTRING (5.3116946587018985 60.41941891400709, 5.311768057671253 60.419421036982364, 5.312041651865171 60.41932950740023)</t>
  </si>
  <si>
    <t>[2002254, 2002262]</t>
  </si>
  <si>
    <t>[1754466, 1621735]</t>
  </si>
  <si>
    <t>[1754462, 1754466]</t>
  </si>
  <si>
    <t>[0.042, 0.117]</t>
  </si>
  <si>
    <t>23.187066190585195</t>
  </si>
  <si>
    <t>[0.0, 0.019, -0.019, 0.017, 0.065]</t>
  </si>
  <si>
    <t>LINESTRING (10.50186292390171 60.26743649497001, 10.50186292390171 60.26743649497001, 10.500638357513765 60.267367683766686, 10.501200415908219 60.26778780481045, 10.503590645180395 60.26962794674663, 10.503715539455968 60.269789443642935)</t>
  </si>
  <si>
    <t>[1852271, 1852272, 1852273, 1852284, 1852344]</t>
  </si>
  <si>
    <t>[1621845, 1621846, 1621847, 1621861, 1621916]</t>
  </si>
  <si>
    <t>0.015892888188002666</t>
  </si>
  <si>
    <t>[1621844, 1621845, 1621846, 1621847, 1621861]</t>
  </si>
  <si>
    <t>[0.0, 0.019, 0.019, 0.017, 0.065]</t>
  </si>
  <si>
    <t>585.9655090629138</t>
  </si>
  <si>
    <t>[0.098, 0.01, 0.002]</t>
  </si>
  <si>
    <t>LINESTRING (10.497469854691522 60.265130226075875, 10.497715025279751 60.265255023188594, 10.502040291917696 60.267448629223104, 10.502050814364889 60.2674892749374)</t>
  </si>
  <si>
    <t>[1852580, 1852296, 1852302]</t>
  </si>
  <si>
    <t>[1621874, 1621875, 1621882]</t>
  </si>
  <si>
    <t>0.013951627174586784</t>
  </si>
  <si>
    <t>[1622127, 1621874, 1621875]</t>
  </si>
  <si>
    <t>423.5892769327468</t>
  </si>
  <si>
    <t>[0.042, -0.008, -0.018, 0.018]</t>
  </si>
  <si>
    <t>LINESTRING (10.497469854691522 60.265130226075875, 10.50037975896605 60.26725648394238, 10.500524618990926 60.26736385881674, 10.50108634467499 60.26778349245635, 10.503715539455968 60.269789443642935)</t>
  </si>
  <si>
    <t>[1852893, 1852894, 1852901, 1852909]</t>
  </si>
  <si>
    <t>[1622446, 1622447, 1622456, 1621916]</t>
  </si>
  <si>
    <t>0.02518179020626079</t>
  </si>
  <si>
    <t>[1622127, 1622446, 1622447, 1622456]</t>
  </si>
  <si>
    <t>[0.042, 0.008, 0.018, 0.018]</t>
  </si>
  <si>
    <t>623.9518922279676</t>
  </si>
  <si>
    <t>53.901995445284534</t>
  </si>
  <si>
    <t>[-0.043, -0.029, -0.024]</t>
  </si>
  <si>
    <t>LINESTRING (5.289246919029757 60.54722383388725, 5.289158328766442 60.54717290574974, 5.288475430913228 60.546962620524305, 5.286795264459784 60.54649639913582)</t>
  </si>
  <si>
    <t>[1852899, 1852907, 1852908]</t>
  </si>
  <si>
    <t>[1622455, 1622461, 1622330]</t>
  </si>
  <si>
    <t>[1622366, 1622455, 1622461]</t>
  </si>
  <si>
    <t>[0.043, 0.029, 0.024]</t>
  </si>
  <si>
    <t>159.2535028863978</t>
  </si>
  <si>
    <t>[-0.031, -0.024]</t>
  </si>
  <si>
    <t>LINESTRING (5.289393679014114 60.54718376408297, 5.289305643150439 60.54714715184082, 5.286795264459784 60.54649639913582)</t>
  </si>
  <si>
    <t>[1852872, 1852883]</t>
  </si>
  <si>
    <t>[1622429, 1622330]</t>
  </si>
  <si>
    <t>[1622377, 1622429]</t>
  </si>
  <si>
    <t>[0.031, 0.024]</t>
  </si>
  <si>
    <t>163.59002881532004</t>
  </si>
  <si>
    <t>[0.025, 0.036]</t>
  </si>
  <si>
    <t>LINESTRING (5.285718453095134 60.546161325031704, 5.28577140667565 60.54618341408459, 5.285921672817768 60.546278505097135)</t>
  </si>
  <si>
    <t>[1957099, 1957114]</t>
  </si>
  <si>
    <t>[1716431, 1622331]</t>
  </si>
  <si>
    <t>0.03364382827495416</t>
  </si>
  <si>
    <t>[1716430, 1716431]</t>
  </si>
  <si>
    <t>17.833252176292156</t>
  </si>
  <si>
    <t>LINESTRING (5.285612792473103 60.54626804946703, 5.285686019022678 60.54627771364017, 5.285921672817768 60.546278505097135)</t>
  </si>
  <si>
    <t>[1957131, 1957132]</t>
  </si>
  <si>
    <t>[1716457, 1622331]</t>
  </si>
  <si>
    <t>[1716456, 1716457]</t>
  </si>
  <si>
    <t>17.484751025099698</t>
  </si>
  <si>
    <t>[0.037, -0.002, -0.031, -0.056]</t>
  </si>
  <si>
    <t>LINESTRING (5.2896122614297525 60.547336133374465, 5.289502435611087 60.54738768888003, 5.289345395846248 60.54739009542021, 5.289249884887997 60.54735730395492, 5.289246919029757 60.54722383388725)</t>
  </si>
  <si>
    <t>[1852795, 1852803, 1852804, 1852811]</t>
  </si>
  <si>
    <t>[1622347, 1622357, 1622358, 1622366]</t>
  </si>
  <si>
    <t>[1622346, 1622347, 1622357, 1622358]</t>
  </si>
  <si>
    <t>[0.037, 0.002, 0.031, 0.056]</t>
  </si>
  <si>
    <t>39.178327970854994</t>
  </si>
  <si>
    <t>LINESTRING (5.289609242926389 60.54724047315541, 5.289633987784124 60.547288606262605, 5.2896122614297525 60.547336133374465)</t>
  </si>
  <si>
    <t>[1852836, 1852844]</t>
  </si>
  <si>
    <t>[1622394, 1622346]</t>
  </si>
  <si>
    <t>[1622386, 1622394]</t>
  </si>
  <si>
    <t>10.993947213127866</t>
  </si>
  <si>
    <t>[0.0, -0.002]</t>
  </si>
  <si>
    <t>LINESTRING (5.289949860259305 60.54733675442934, 5.289707442521087 60.54734275648556, 5.2896122614297525 60.547336133374465)</t>
  </si>
  <si>
    <t>[1852928, 1852937]</t>
  </si>
  <si>
    <t>[1622479, 1622346]</t>
  </si>
  <si>
    <t>[1622422, 1622479]</t>
  </si>
  <si>
    <t>19.501742314738262</t>
  </si>
  <si>
    <t>[-0.03, -0.023]</t>
  </si>
  <si>
    <t>LINESTRING (5.289246919029757 60.54722383388725, 5.289302818082663 60.54719934988123, 5.289393679014114 60.54718376408297)</t>
  </si>
  <si>
    <t>[1852818, 1852819]</t>
  </si>
  <si>
    <t>[1622376, 1622377]</t>
  </si>
  <si>
    <t>[1622366, 1622376]</t>
  </si>
  <si>
    <t>9.413677174240892</t>
  </si>
  <si>
    <t>14.0661419869886</t>
  </si>
  <si>
    <t>[-0.029, -0.028]</t>
  </si>
  <si>
    <t>LINESTRING (5.289949860259305 60.54733675442934, 5.28972743555443 60.547265077425436, 5.289609242926389 60.54724047315541)</t>
  </si>
  <si>
    <t>[1852926, 1852927]</t>
  </si>
  <si>
    <t>[1622478, 1622386]</t>
  </si>
  <si>
    <t>[1622422, 1622478]</t>
  </si>
  <si>
    <t>[0.029, 0.028]</t>
  </si>
  <si>
    <t>22.452635901576553</t>
  </si>
  <si>
    <t>34.65963213884264</t>
  </si>
  <si>
    <t>[0.029, 0.051, 0.035, 0.011, 0.072, 0.071, -0.01, -0.007, -0.029, -0.007, 0.013, 0.025, 0.011, -0.008, 0.023, -0.038, -0.063, -0.126, -0.024, 0.048, -0.003, -0.004, 0.276, 0.307, 0.015, -0.045, 0.017, -0.055, -0.007, -0.003, -0.01, 0.108, 0.003, -0.037, -0.006, 0.02, 0.021, 0.015, -0.0]</t>
  </si>
  <si>
    <t>[0, 0, 0, 0, 0, 0, 0, 0, 0, 0, 0, 0, 0, 0, 0, 0, 0, 0, 1, 0, 0, 0, 0, 0, 0, 0, 0, 0, 0, 0, 0, 0, 0, 0, 0, 1, 0, 0, 0]</t>
  </si>
  <si>
    <t>LINESTRING (5.289949860259305 60.54733675442934, 5.291043218933915 60.54759606519437, 5.291195048407814 60.547638451513095, 5.291394129178033 60.54770588904229, 5.294957058275718 60.54862761714496, 5.2976680463089325 60.54933372359504, 5.2979837048232845 60.54942356538051, 5.2990623132558445 60.54974933269215, 5.299163473641463 60.54978086585691, 5.299276353972541 60.54981604432895, 5.300087508173469 60.55006147731701, 5.302279404711195 60.5507185081758, 5.302822973571926 60.55088758394687, 5.305214456637702 60.55206339777662, 5.306190852803239 60.55268811987655, 5.306493810612342 60.55288689109703, 5.3072058858459314 60.55333758143748, 5.308467457502114 60.55491896714829, 5.308560402775041 60.55502467415021, 5.310404583907746 60.55602233863225, 5.3104789989403525 60.556044277686766, 5.316718822330412 60.556828755030644, 5.328407170184878 60.5607027725878, 5.328595871958711 60.56104995240368, 5.328623041017632 60.5611020874359, 5.343800905072384 60.56484241999278, 5.3613389172121675 60.56571162577169, 5.365694692864065 60.56553842183558, 5.365854334468372 60.56551349626948, 5.3671041742759735 60.56541901442591, 5.367911718215566 60.56544671775606, 5.369306271426904 60.56572253651641, 5.370432740493481 60.56631271777811, 5.370441229068102 60.566320679913474, 5.370981932136959 60.56693885526877, 5.373946285516842 60.569730511180055, 5.373980938164112 60.56981712356712, 5.3740235415605895 60.5699005149928, 5.374074639178326 60.5704172997265, 5.363324187232454 60.58251679523136)</t>
  </si>
  <si>
    <t>[2063685, 2063693, 2063701, 2063709, 2063717, 2063725, 2063737, 2063745, 2063754, 2063770, 2063778, 2063794, 2063802, 2063810, 2063818, 2063826, 2063834, 2063842, 2063850, 2063858, 2063866, 2063874, 2063882, 2063890, 2063898, 2063906, 2063914, 2063922, 2063930, 2063938, 2063946, 2063954, 2063962, 2063970, 2063978, 2063986, 2063994, 2064002, 2064010]</t>
  </si>
  <si>
    <t>[1793505, 1793509, 1793515, 1684730, 1793526, 1675062, 1793539, 1793545, 1793550, 1793565, 1793571, 1675235, 1793591, 672995, 1738280, 1793605, 1702319, 1793616, 1793623, 1793628, 1793635, 1702417, 1793647, 1793654, 1793660, 1739921, 1773866, 1739617, 1773907, 1793693, 1773887, 1793704, 1793711, 1758244, 1793724, 1793729, 1740461, 1740453, 1757013]</t>
  </si>
  <si>
    <t>[1622421, 1793505, 1793509, 1793515, 1684730, 1793526, 1675062, 1793539, 1793545, 1793550, 1793565, 1793571, 1675235, 1793591, 672995, 1738280, 1793605, 1702319, 1793616, 1793623, 1793628, 1793635, 1702417, 1793647, 1793654, 1793660, 1739921, 1773866, 1739617, 1773907, 1793693, 1773887, 1793704, 1793711, 1758244, 1793724, 1793729, 1740461, 1740453]</t>
  </si>
  <si>
    <t>[0.029, 0.051, 0.035, 0.011, 0.072, 0.071, 0.01, 0.007, 0.029, 0.007, 0.013, 0.025, 0.011, 0.008, 0.023, 0.038, 0.063, 0.126, 0.024, 0.048, 0.003, 0.004, 0.276, 0.307, 0.015, 0.045, 0.017, 0.055, 0.007, 0.003, 0.01, 0.108, 0.003, 0.037, 0.006, 0.02, 0.021, 0.015, 0.0]</t>
  </si>
  <si>
    <t>7357.758746954593</t>
  </si>
  <si>
    <t>[-0.069, -0.065, -0.053]</t>
  </si>
  <si>
    <t>LINESTRING (5.406278980702067 59.75491596643787, 5.406110614490539 59.75492924328008, 5.406066225992227 59.75493535924474, 5.40535763406371 59.755346247749806)</t>
  </si>
  <si>
    <t>[1861740, 1861749, 1861767]</t>
  </si>
  <si>
    <t>[1633183, 1633194, 1633215]</t>
  </si>
  <si>
    <t>[1633182, 1633183, 1633194]</t>
  </si>
  <si>
    <t>[0.069, 0.065, 0.053]</t>
  </si>
  <si>
    <t>78.35891350714239</t>
  </si>
  <si>
    <t>[0.038, 0.001, 0.027, 0.01, -0.007, -0.006, 0.012, 0.031, 0.009]</t>
  </si>
  <si>
    <t>3201.0</t>
  </si>
  <si>
    <t>LINESTRING (5.406278980702067 59.75491596643787, 5.406383473792251 59.75512755154545, 5.421892258366924 59.76021033877013, 5.421986600962332 59.76020603731852, 5.426532918186316 59.7603756581173, 5.426597015713442 59.76038335385337, 5.437957944319767 59.760476584282806, 5.438030260002868 59.76046263347338, 5.445654173582818 59.75975000879724, 5.449989775018032 59.761625037872705)</t>
  </si>
  <si>
    <t>[2060735, 2060743, 2060751, 2060759, 2060767, 2060775, 2060783, 2060791, 2060799]</t>
  </si>
  <si>
    <t>[1632981, 1791565, 1791570, 1791576, 1791582, 1791587, 1791593, 1791599, 1754016]</t>
  </si>
  <si>
    <t>0.0059774487446024194</t>
  </si>
  <si>
    <t>[1633182, 1632981, 1791565, 1791570, 1791576, 1791582, 1791587, 1791593, 1791599]</t>
  </si>
  <si>
    <t>[0.038, 0.001, 0.027, 0.01, 0.007, 0.006, 0.012, 0.031, 0.009]</t>
  </si>
  <si>
    <t>2972.0624416331</t>
  </si>
  <si>
    <t>[0.291, 0.306, 0.264, 0.15]</t>
  </si>
  <si>
    <t>LINESTRING (6.063538982831894 61.9191021356113, 6.063396451668567 61.91919621241956, 6.0632219956167726 61.91939810771645, 6.06320178144759 61.91942118920787, 6.063069749289545 61.919464731996435)</t>
  </si>
  <si>
    <t>[1880355, 1880362, 1880363, 1880379]</t>
  </si>
  <si>
    <t>[1654995, 1655002, 1655003, 1655024]</t>
  </si>
  <si>
    <t>0.2712364076969061</t>
  </si>
  <si>
    <t>[1654994, 1654995, 1655002, 1655003]</t>
  </si>
  <si>
    <t>49.09449465301721</t>
  </si>
  <si>
    <t>[0.206, 0.275, 0.272]</t>
  </si>
  <si>
    <t>LINESTRING (6.063538982831894 61.9191021356113, 6.063300517600629 61.919189937812604, 6.063055515977083 61.91937094975417, 6.0630285603976235 61.91939087877314)</t>
  </si>
  <si>
    <t>[1900454, 1900462, 1900470]</t>
  </si>
  <si>
    <t>[1668909, 1668913, 1667799]</t>
  </si>
  <si>
    <t>0.24898095051318966</t>
  </si>
  <si>
    <t>[1654994, 1668909, 1668913]</t>
  </si>
  <si>
    <t>42.55727519954378</t>
  </si>
  <si>
    <t>LINESTRING (6.282876877620102 61.90968223028545, 6.063538982831894 61.9191021356113)</t>
  </si>
  <si>
    <t>12669.521298782325</t>
  </si>
  <si>
    <t>[0.165, 0.142]</t>
  </si>
  <si>
    <t>LINESTRING (6.06233995575504 61.91929549325384, 6.062848301080641 61.91942037567708, 6.063069749289545 61.919464731996435)</t>
  </si>
  <si>
    <t>[1881811, 1881827]</t>
  </si>
  <si>
    <t>[1656269, 1655024]</t>
  </si>
  <si>
    <t>0.1582561554032911</t>
  </si>
  <si>
    <t>[1656268, 1656269]</t>
  </si>
  <si>
    <t>43.21011078099061</t>
  </si>
  <si>
    <t>0.316</t>
  </si>
  <si>
    <t>8.529692432604653</t>
  </si>
  <si>
    <t>[0.0, -0.04]</t>
  </si>
  <si>
    <t>LINESTRING (6.492515421107342 61.939220831509, 6.492515421107342 61.939220831509, 6.492496911523568 61.939471029101796)</t>
  </si>
  <si>
    <t>[1880593, 1880607]</t>
  </si>
  <si>
    <t>[1655221, 1655234]</t>
  </si>
  <si>
    <t>[1655220, 1655221]</t>
  </si>
  <si>
    <t>[0.0, 0.04]</t>
  </si>
  <si>
    <t>34.215022150894605</t>
  </si>
  <si>
    <t>[-0.043, -0.037, -0.036, -0.028, 0.191, -0.031, -0.009, 0.038, 0.045, 0.066, -0.014]</t>
  </si>
  <si>
    <t>[0, 1, 1, 0, 0, 0, 0, 0, 0, 0, 0]</t>
  </si>
  <si>
    <t>LINESTRING (6.492496911523568 61.939471029101796, 6.492776823635564 61.94007750202313, 6.492786262610187 61.94009842123131, 6.492814324213653 61.94016058488935, 6.493031140087577 61.94072787024069, 6.491666110412645 61.941793443115635, 6.487243988491113 61.94249406247905, 6.473768412840292 61.94474291699466, 6.473636767081052 61.944779633142126, 6.473081063194526 61.94500086446012, 6.472996816087297 61.94504995531899, 6.46997503545153 61.94588718351107)</t>
  </si>
  <si>
    <t>[1886537, 1886552, 1886582, 1886588, 1886608, 1886622, 1886630, 1886638, 1886646, 1886662, 1886670]</t>
  </si>
  <si>
    <t>[1659588, 1659600, 1659617, 1659621, 1659632, 1659642, 1659646, 460883, 460882, 1659659, 1659666]</t>
  </si>
  <si>
    <t>0.0051316796739891285</t>
  </si>
  <si>
    <t>[1655234, 1659588, 1659600, 1659617, 1659621, 1659632, 1659642, 1659646, 460883, 460882, 1659659]</t>
  </si>
  <si>
    <t>[0.043, 0.037, 0.036, 0.028, 0.191, 0.031, 0.009, 0.038, 0.045, 0.066, 0.014]</t>
  </si>
  <si>
    <t>1557.7022271802548</t>
  </si>
  <si>
    <t>LINESTRING (6.49212769836169 61.939241728731005, 6.49220113231591 61.93927278804399, 6.492496911523568 61.939471029101796)</t>
  </si>
  <si>
    <t>[1930535, 1930543]</t>
  </si>
  <si>
    <t>[1693971, 1655234]</t>
  </si>
  <si>
    <t>[1670339, 1693971]</t>
  </si>
  <si>
    <t>32.45029936720009</t>
  </si>
  <si>
    <t>660.0</t>
  </si>
  <si>
    <t>LINESTRING (7.209450337892191 60.898100129929944, 6.95292923624202 60.886142847056746)</t>
  </si>
  <si>
    <t>18495.838029223883</t>
  </si>
  <si>
    <t>[0.057, 0.097, 0.1, 0.092, 0.108, 0.094, 0.099, -0.007]</t>
  </si>
  <si>
    <t>LINESTRING (5.845272852826223 61.45185629510409, 5.843649382682703 61.452316364143755, 5.843514601323935 61.452347370327566, 5.843372294763057 61.452373165324964, 5.843176397353518 61.452407081016965, 5.843100548126184 61.45241956971163, 5.842915544301424 61.45245241521413, 5.842553752970005 61.452506674592065, 5.841233171036665 61.45275931485458)</t>
  </si>
  <si>
    <t>[2017829, 2017837, 2017845, 2017857, 2017865, 2017873, 2017881, 2017889]</t>
  </si>
  <si>
    <t>[1763359, 1763366, 1763372, 1763377, 1171652, 1763385, 1763389, 1662585]</t>
  </si>
  <si>
    <t>0.046760218534692366</t>
  </si>
  <si>
    <t>[1655845, 1763359, 1763366, 1763372, 1763377, 1171652, 1763385, 1763389]</t>
  </si>
  <si>
    <t>[0.057, 0.097, 0.1, 0.092, 0.108, 0.094, 0.099, 0.007]</t>
  </si>
  <si>
    <t>230.04854809432862</t>
  </si>
  <si>
    <t>47.758245361309626</t>
  </si>
  <si>
    <t>[0.013, -0.015, -0.036, -0.032, -0.0, -0.02, -0.012, 0.033, -0.003]</t>
  </si>
  <si>
    <t>15465.0</t>
  </si>
  <si>
    <t>LINESTRING (5.854841420831363 61.44958556544624, 5.8556683595595755 61.44958815272152, 5.856511581928875 61.4495618229076, 5.8565380525075605 61.449561019712746, 5.8565777504245835 61.44955980985256, 5.856710590271543 61.44955241850148, 5.857047811842269 61.449537251406724, 5.858204252179429 61.449477439524834, 5.858261867597921 61.44947368977325, 5.859152800378363 61.44939953921423)</t>
  </si>
  <si>
    <t>[1881364, 1881372, 1881387, 1881390, 1881407, 1881408, 1881411, 1881438, 1881456]</t>
  </si>
  <si>
    <t>[1655941, 1655949, 1655965, 1655966, 1655540, 1655982, 1655985, 1655424, 1648617]</t>
  </si>
  <si>
    <t>[1655940, 1655941, 1655949, 1655965, 1655966, 1655540, 1655982, 1655985, 1655424]</t>
  </si>
  <si>
    <t>[0.013, 0.015, 0.036, 0.032, 0.0, 0.02, 0.012, 0.033, 0.003]</t>
  </si>
  <si>
    <t>232.57955458971242</t>
  </si>
  <si>
    <t>[-1.141, 0.02, 0.017, 0.021, 0.022, 0.01, 0.021, 0.018, 0.934]</t>
  </si>
  <si>
    <t>LINESTRING (5.854841420831363 61.44958556544624, 5.855659259202137 61.44953424380064, 5.856529174243795 61.44948921699909, 5.856584609430138 61.449485944192176, 5.856762999024434 61.44947984535666, 5.8570765710624855 61.44946110699481, 5.857094841117131 61.449460508149485, 5.8581897915532295 61.449417364402045, 5.858244536847236 61.44941514716794, 5.859152800378363 61.44939953921423)</t>
  </si>
  <si>
    <t>[1898683, 1898691, 1898699, 1898707, 1898715, 1898723, 1898731, 1898739, 1898747]</t>
  </si>
  <si>
    <t>[1667578, 1667582, 1655539, 1667595, 1667599, 1667603, 1667608, 1655423, 1648617]</t>
  </si>
  <si>
    <t>[1655940, 1667578, 1667582, 1655539, 1667595, 1667599, 1667603, 1667608, 1655423]</t>
  </si>
  <si>
    <t>[1.141, 0.02, 0.017, 0.021, 0.022, 0.01, 0.021, 0.018, 0.934]</t>
  </si>
  <si>
    <t>232.40016005784565</t>
  </si>
  <si>
    <t>[-0.456, 0.716]</t>
  </si>
  <si>
    <t>LINESTRING (5.859152800378363 61.44939953921423, 5.861111474191504 61.44938106603776, 5.862087063175227 61.4495393529733)</t>
  </si>
  <si>
    <t>[1891419, 1891427]</t>
  </si>
  <si>
    <t>[1648638, 1585017]</t>
  </si>
  <si>
    <t>[1648617, 1648638]</t>
  </si>
  <si>
    <t>[0.456, 0.716]</t>
  </si>
  <si>
    <t>160.2969977500853</t>
  </si>
  <si>
    <t>[-0.086, -0.036, -0.039, -0.014]</t>
  </si>
  <si>
    <t>275.0</t>
  </si>
  <si>
    <t>LINESTRING (5.862087063175227 61.4495393529733, 5.862693712112367 61.44963295921122, 5.863577473822715 61.449610710146516, 5.863654495560136 61.44961018692661, 5.864355694166171 61.44954251837387)</t>
  </si>
  <si>
    <t>[1881464, 1881471, 1881479, 1881491]</t>
  </si>
  <si>
    <t>[1656021, 1656028, 1655488, 1589383]</t>
  </si>
  <si>
    <t>[1585017, 1656021, 1656028, 1655488]</t>
  </si>
  <si>
    <t>[0.086, 0.036, 0.039, 0.014]</t>
  </si>
  <si>
    <t>124.98653464144132</t>
  </si>
  <si>
    <t>[-1.202, -0.011, -0.013, 0.927]</t>
  </si>
  <si>
    <t>LINESTRING (5.862087063175227 61.4495393529733, 5.8627140013853065 61.449570362355885, 5.863574071334868 61.4495549186144, 5.863648139243945 61.44955045299397, 5.864355694166171 61.44954251837387)</t>
  </si>
  <si>
    <t>[1898755, 1898763, 1898771, 1898779]</t>
  </si>
  <si>
    <t>[1667625, 1667631, 1655511, 1589383]</t>
  </si>
  <si>
    <t>[1585017, 1667625, 1667631, 1655511]</t>
  </si>
  <si>
    <t>[1.202, 0.011, 0.013, 0.927]</t>
  </si>
  <si>
    <t>122.32870763939438</t>
  </si>
  <si>
    <t>[-0.302, 0.008, -0.006, -0.018, -0.004, 0.119, 0.022]</t>
  </si>
  <si>
    <t>15445.0</t>
  </si>
  <si>
    <t>LINESTRING (5.864355694166171 61.44954251837387, 5.866572990822465 61.44943351195771, 5.866710030202072 61.44942351998217, 5.8683502238614915 61.449213728212015, 5.868446274518901 61.44919734818851, 5.8689736897824325 61.4491104982441, 5.869483239038416 61.4490355472892, 5.8699431549387295 61.44897839458249)</t>
  </si>
  <si>
    <t>[1891435, 1891443, 1891451, 1891459, 1891466, 1989386, 1989387]</t>
  </si>
  <si>
    <t>[1662604, 1662606, 1648931, 1662618, 1662625, 1747784, 1747695]</t>
  </si>
  <si>
    <t>[1589383, 1662604, 1662606, 1648931, 1662618, 1662625, 1747784]</t>
  </si>
  <si>
    <t>[0.302, 0.008, 0.006, 0.018, 0.004, 0.119, 0.022]</t>
  </si>
  <si>
    <t>306.7064324603587</t>
  </si>
  <si>
    <t>[0.067, 0.087, 0.066, 0.088, 0.065]</t>
  </si>
  <si>
    <t>LINESTRING (6.232561948958634 61.77152782832438, 6.2321645598839845 61.771864492478606, 6.232078189950617 61.77195890454191, 6.232023148621272 61.77202403333315, 6.231995493421387 61.77205227899767, 6.231193105230709 61.77304446660229)</t>
  </si>
  <si>
    <t>[1881496, 1881527, 1881546, 1881554, 1881555]</t>
  </si>
  <si>
    <t>[1656048, 1655316, 1656084, 1656090, 1656091]</t>
  </si>
  <si>
    <t>0.06731122256955192</t>
  </si>
  <si>
    <t>[1656047, 1656048, 1655316, 1656084, 1656090]</t>
  </si>
  <si>
    <t>184.8779170008932</t>
  </si>
  <si>
    <t>[-0.631, -0.006, -0.004, 0.179]</t>
  </si>
  <si>
    <t>LINESTRING (6.232561948958634 61.77152782832438, 6.23253565721526 61.771656187804304, 6.232299521473462 61.77189313107173, 6.232165593312597 61.772037693522776, 6.231193105230709 61.77304446660229)</t>
  </si>
  <si>
    <t>[1898787, 1898795, 1898803, 1898811]</t>
  </si>
  <si>
    <t>[1667650, 1667655, 1655333, 1656091]</t>
  </si>
  <si>
    <t>0.06684981855447561</t>
  </si>
  <si>
    <t>[1656047, 1667650, 1667655, 1655333]</t>
  </si>
  <si>
    <t>[0.631, 0.006, 0.004, 0.179]</t>
  </si>
  <si>
    <t>185.73604446408274</t>
  </si>
  <si>
    <t>LINESTRING (6.385848772310889 61.74026188862329, 6.232561948958634 61.77152782832438)</t>
  </si>
  <si>
    <t>[-0.634, 0.085, -0.012, -0.039, -0.01, 0.017, 0.016, 0.002, 0.025]</t>
  </si>
  <si>
    <t>[0, 1, 0, 1, 0, 0, 0, 0, 0]</t>
  </si>
  <si>
    <t>LINESTRING (6.231193105230709 61.77304446660229, 6.230921290388884 61.773324968274835, 6.2306219461874965 61.773604329808435, 6.229752778990099 61.77423867870031, 6.229526270177161 61.77436986937564, 6.220677054807736 61.77808463902984, 6.214951799684187 61.78046329984472, 6.214331632487587 61.78084827047398, 6.2040898589746325 61.78648034918933, 6.194907617688223 61.78942034387625)</t>
  </si>
  <si>
    <t>[1893972, 1893980, 1893988, 1893996, 1894004, 1894012, 1894020, 1894028, 1894036]</t>
  </si>
  <si>
    <t>[1664305, 1664311, 1664318, 1664323, 1653352, 1664335, 1664341, 1653555, 1656101]</t>
  </si>
  <si>
    <t>[1656091, 1664305, 1664311, 1664318, 1664323, 1653352, 1664335, 1664341, 1653555]</t>
  </si>
  <si>
    <t>[0.634, 0.085, 0.012, 0.039, 0.01, 0.017, 0.016, 0.002, 0.025]</t>
  </si>
  <si>
    <t>2699.170080223093</t>
  </si>
  <si>
    <t>[-0.004, 0.001, 0.025]</t>
  </si>
  <si>
    <t>LINESTRING (6.194907617688223 61.78942034387625, 6.192017480505072 61.789741838273805, 6.190100844191686 61.79000739350874, 6.188147183250606 61.79049372817652)</t>
  </si>
  <si>
    <t>[1881572, 1881579, 1881593]</t>
  </si>
  <si>
    <t>[1655645, 1656105, 1656115]</t>
  </si>
  <si>
    <t>0.00633265480578641</t>
  </si>
  <si>
    <t>[1656101, 1655645, 1656105]</t>
  </si>
  <si>
    <t>[0.004, 0.001, 0.025]</t>
  </si>
  <si>
    <t>379.82317352824805</t>
  </si>
  <si>
    <t>[-0.067, -0.063, -0.06, -0.022, 0.133]</t>
  </si>
  <si>
    <t>LINESTRING (6.194907617688223 61.78942034387625, 6.192128358512181 61.78979418760204, 6.192054244644861 61.78980231862232, 6.191960897513727 61.789812278646075, 6.1901417696261145 61.79006071569175, 6.188147183250606 61.79049372817652)</t>
  </si>
  <si>
    <t>[1898819, 1898827, 1898835, 1898843, 1898851]</t>
  </si>
  <si>
    <t>[1655646, 1667678, 1667686, 1667695, 1656115]</t>
  </si>
  <si>
    <t>0.006406925220892878</t>
  </si>
  <si>
    <t>[1656101, 1655646, 1667678, 1667686, 1667695]</t>
  </si>
  <si>
    <t>[0.067, 0.063, 0.06, 0.022, 0.133]</t>
  </si>
  <si>
    <t>378.4185028998081</t>
  </si>
  <si>
    <t>LINESTRING (5.985510187327222 61.91204928224253, 5.985630672110076 61.91203992309973, 5.98575009862006 61.91205544290933)</t>
  </si>
  <si>
    <t>[1895064, 1895071]</t>
  </si>
  <si>
    <t>[1665044, 1664980]</t>
  </si>
  <si>
    <t>0.055035982171128484</t>
  </si>
  <si>
    <t>[1656205, 1665044]</t>
  </si>
  <si>
    <t>12.956651032857053</t>
  </si>
  <si>
    <t>[-0.024, -0.055, -0.063, -0.063, -0.042, -0.014, 0.023]</t>
  </si>
  <si>
    <t>LINESTRING (5.985876588291824 61.9122180667355, 5.985726699534614 61.91229464652422, 5.985606733818347 61.91230386830492, 5.985489774069567 61.91228881854832, 5.985394378633551 61.912253433868756, 5.985342352554899 61.91220356462531, 5.985349650016834 61.9121289915918, 5.985510187327222 61.91204928224253)</t>
  </si>
  <si>
    <t>[1895008, 1895016, 1895024, 1895031, 1895039, 1895055, 1895063]</t>
  </si>
  <si>
    <t>[1655635, 1665006, 1665013, 1655028, 1665028, 1665041, 1656205]</t>
  </si>
  <si>
    <t>[1656207, 1655635, 1665006, 1665013, 1655028, 1665028, 1665041]</t>
  </si>
  <si>
    <t>[0.024, 0.055, 0.063, 0.063, 0.042, 0.014, 0.023]</t>
  </si>
  <si>
    <t>58.182550663303005</t>
  </si>
  <si>
    <t>[0.035, 0.033]</t>
  </si>
  <si>
    <t>LINESTRING (5.985876588291824 61.9122180667355, 5.98600512776385 61.91217788996743, 5.986505226164446 61.91203928658986)</t>
  </si>
  <si>
    <t>[1881718, 1881730]</t>
  </si>
  <si>
    <t>[1656208, 1656217]</t>
  </si>
  <si>
    <t>0.033415838313172214</t>
  </si>
  <si>
    <t>[1656207, 1656208]</t>
  </si>
  <si>
    <t>39.06701793709488</t>
  </si>
  <si>
    <t>[0.04, 0.023]</t>
  </si>
  <si>
    <t>LINESTRING (5.985847938507435 61.91209860892426, 5.985888736666884 61.912144907633916, 5.985876588291824 61.9122180667355)</t>
  </si>
  <si>
    <t>[1894992, 1895000]</t>
  </si>
  <si>
    <t>[1664986, 1656207]</t>
  </si>
  <si>
    <t>0.02990027642469291</t>
  </si>
  <si>
    <t>[1664981, 1664986]</t>
  </si>
  <si>
    <t>13.797648766731982</t>
  </si>
  <si>
    <t>[0.035, 0.017, -0.019, 0.012]</t>
  </si>
  <si>
    <t>3340.0</t>
  </si>
  <si>
    <t>LINESTRING (5.986505226164446 61.91203928658986, 5.987911311023713 61.91181017032645, 5.9948046722559525 61.91068210669568, 5.996430731934771 61.91051034769492, 5.998166223412777 61.91042008506182)</t>
  </si>
  <si>
    <t>[1894428, 1894436, 1894444, 1894452]</t>
  </si>
  <si>
    <t>[1664609, 1657528, 1664622, 1656222]</t>
  </si>
  <si>
    <t>0.013558901918559211</t>
  </si>
  <si>
    <t>[1656217, 1664609, 1657528, 1664622]</t>
  </si>
  <si>
    <t>[0.035, 0.017, 0.019, 0.012]</t>
  </si>
  <si>
    <t>642.5606014603324</t>
  </si>
  <si>
    <t>LINESTRING (5.985847938507435 61.91209860892426, 5.985951763698448 61.912086215631874, 5.986505226164446 61.91203928658986)</t>
  </si>
  <si>
    <t>[1898922, 1898930]</t>
  </si>
  <si>
    <t>[1667755, 1656217]</t>
  </si>
  <si>
    <t>0.0486820426504014</t>
  </si>
  <si>
    <t>[1664981, 1667755]</t>
  </si>
  <si>
    <t>35.4838257721423</t>
  </si>
  <si>
    <t>[-0.029, -0.0, 0.005, 0.004, 0.004, 0.006, 0.016, 0.022, -0.01, -0.022, -0.018, 0.006, -0.004, 0.021, 0.049, -0.011, -0.015, -0.027, -0.028, -0.023, 0.011, 0.022, 0.026, 0.019, 0.028, 0.021, -0.018, 0.008, -0.014, -0.021, -0.015, 0.018, 0.018, 0.018, 0.016, 0.048, 0.054, -0.039, 0.053, 0.007, -0.016, -0.041, 0.013, 0.146]</t>
  </si>
  <si>
    <t>1807.0</t>
  </si>
  <si>
    <t>[0, 0, 0, 0, 0, 0, 0, 0, 0, 0, 0, 0, 0, 0, 0, 0, 0, 0, 0, 0, 0, 0, 0, 0, 0, 0, 0, 0, 0, 0, 0, 0, 0, 1, 0, 0, 0, 0, 0, 0, 0, 0, 0, 0]</t>
  </si>
  <si>
    <t>LINESTRING (6.0005953367258655 61.91044980513177, 6.001037660750139 61.91047549429542, 6.003153196709797 61.91060586925529, 6.003267084461651 61.910612972875846, 6.00335534567462 61.91061851505708, 6.003452282214684 61.91062453818227, 6.007961841768279 61.91116888171416, 6.008201005525339 61.91121120068471, 6.009440558057626 61.911428559786785, 6.011025237000682 61.91170595020327, 6.011562769650382 61.91179980504315, 6.012616864108756 61.9119936305731, 6.012680074718226 61.91200610538413, 6.016634085165268 61.9131639500409, 6.018006026110523 61.91380201883194, 6.021618821668236 61.91479056143012, 6.02198483807861 61.91479600530458, 6.022601520141398 61.9148016328286, 6.024237585546625 61.914858700168, 6.024789757233732 61.91491368893896, 6.02504285203956 61.914944055880206, 6.02780994979753 61.91536019472861, 6.0290542557947076 61.91554874879445, 6.030033964544952 61.915669300461964, 6.031035917392084 61.9157255928268, 6.033689607938413 61.91574513048261, 6.034349522161692 61.915750205893616, 6.036156332771325 61.915968736753676, 6.038734064981626 61.9168161088765, 6.039521477236613 61.917082423904425, 6.039596224520912 61.91710784411397, 6.042904212316602 61.91787855699775, 6.04357062028429 61.917913748382425, 6.043991005437452 61.91793217682917, 6.044368799705306 61.917947450646665, 6.044672769087374 61.91795951142971, 6.04583031476076 61.918007269042455, 6.04851676627449 61.91811714288483, 6.050626642654355 61.91817130118321, 6.051731082959141 61.91808049362486, 6.057746914206581 61.91807839876315, 6.058465876266833 61.91828243168394, 6.059779935614513 61.918658193228175, 6.061757680720909 61.91918084852876, 6.06233995575504 61.91929549325384)</t>
  </si>
  <si>
    <t>[1894460, 1894468, 1894476, 1894484, 1894492, 1894500, 1894508, 1894516, 1894524, 1894532, 1894540, 1894548, 1894564, 1894576, 1894584, 1894585, 1894601, 1894609, 1894610, 1894618, 1894653, 1894654, 1894658, 1894667, 1894668, 1894675, 1894683, 1894691, 1894692, 1894694, 1894712, 1894713, 1894720, 1894728, 1894744, 1894768, 1894769, 1894777, 1894794, 1894795, 1894810, 1894818, 1894826, 1894834]</t>
  </si>
  <si>
    <t>[1664631, 1664637, 1664643, 1664650, 1664656, 1589634, 1664664, 1652617, 1664676, 1664681, 1664685, 1664690, 1652644, 1651588, 1664711, 1664712, 1664724, 1664730, 1664731, 671886, 671913, 1664761, 1662047, 1662053, 1664770, 1664775, 1651992, 1662055, 1662030, 1664791, 1662025, 991392, 1664804, 1664810, 676325, 1664835, 1664836, 1615460, 1664854, 1664855, 1590248, 1662060, 1450055, 1656268]</t>
  </si>
  <si>
    <t>0.008498680913891698</t>
  </si>
  <si>
    <t>[1656258, 1664631, 1664637, 1664643, 1664650, 1664656, 1589634, 1664664, 1652617, 1664676, 1664681, 1664685, 1664690, 1652644, 1651588, 1664711, 1664712, 1664724, 1664730, 1664731, 671886, 671913, 1664761, 1662047, 1662053, 1664770, 1664775, 1651992, 1662055, 1662030, 1664791, 1662025, 991392, 1664804, 1664810, 676325, 1664835, 1664836, 1615460, 1664854, 1664855, 1590248, 1662060, 1450055]</t>
  </si>
  <si>
    <t>[0.029, 0.0, 0.005, 0.004, 0.004, 0.006, 0.016, 0.022, 0.01, 0.022, 0.018, 0.006, 0.004, 0.021, 0.049, 0.011, 0.015, 0.027, 0.028, 0.023, 0.011, 0.022, 0.026, 0.019, 0.028, 0.021, 0.018, 0.008, 0.014, 0.021, 0.015, 0.018, 0.018, 0.018, 0.016, 0.048, 0.054, 0.039, 0.053, 0.007, 0.016, 0.041, 0.013, 0.146]</t>
  </si>
  <si>
    <t>3516.729025818506</t>
  </si>
  <si>
    <t>[0.107, 0.118]</t>
  </si>
  <si>
    <t>LINESTRING (6.06233995575504 61.91929549325384, 6.062886505261445 61.91937128347156, 6.0630285603976235 61.91939087877314)</t>
  </si>
  <si>
    <t>[1898986, 1898994]</t>
  </si>
  <si>
    <t>[1667792, 1667799]</t>
  </si>
  <si>
    <t>0.10926848098549542</t>
  </si>
  <si>
    <t>[1656268, 1667792]</t>
  </si>
  <si>
    <t>37.792721124815465</t>
  </si>
  <si>
    <t>70.56132114457188</t>
  </si>
  <si>
    <t>[0.725, -0.065, -0.895]</t>
  </si>
  <si>
    <t>LINESTRING (6.46997503545153 61.94588718351107, 6.46990542377906 61.94586785806402, 6.468716664957777 61.94605871864869, 6.468712416564268 61.94609457620724)</t>
  </si>
  <si>
    <t>[2117906, 2117914, 2117922]</t>
  </si>
  <si>
    <t>[1825954, 1825958, 1659672]</t>
  </si>
  <si>
    <t>[1659666, 1825954, 1825958]</t>
  </si>
  <si>
    <t>[0.725, 0.065, 0.895]</t>
  </si>
  <si>
    <t>77.65695494028425</t>
  </si>
  <si>
    <t>[-0.021, 0.016, 0.004, -0.001, 0.029, 0.229, 0.237, 0.044, -0.265, -0.179, -0.137, -0.011, -0.037, 0.012, 0.023, 0.035, -0.04, -0.037, -0.085, -0.078, -0.094, -0.1, -0.063, 0.053, 0.045, -0.001, -0.014, -0.022, -0.034, -0.039, -0.001, 0.008, 0.004, 0.005, 0.006, 0.009, 0.011, 0.011, 0.012, 0.037, 0.04, 0.02, 0.015, 0.016, 0.022, 0.05, 0.008, -0.007, -0.005, -0.016, 0.015]</t>
  </si>
  <si>
    <t>[0, 0, 0, 0, 0, 0, 0, 0, 0, 0, 0, 0, 0, 0, 0, 0, 0, 1, 1, 0, 0, 0, 0, 0, 0, 0, 0, 0, 0, 0, 0, 0, 0, 0, 0, 1, 0, 0, 0, 0, 0, 0, 0, 0, 0, 0, 0, 0, 0, 0, 0]</t>
  </si>
  <si>
    <t>LINESTRING (6.468712416564268 61.94609457620724, 6.465042976179856 61.94755545711351, 6.464555189258764 61.94824932527359, 6.464302993065346 61.94863710297686, 6.464160608312196 61.94886355570501, 6.464008481181058 61.94919726297212, 6.463963790549724 61.94955036387746, 6.463973105076299 61.9496127844787, 6.468185820688148 61.95632431204554, 6.468376866807649 61.956366310798394, 6.468953216571029 61.95646452161724, 6.469339137039849 61.9564971864178, 6.500331801387289 61.96122871859268, 6.507287281125414 61.96292608778404, 6.51041102195515 61.96342861012418, 6.51916428760456 61.964004313732566, 6.5202194931555315 61.964083972087394, 6.521182816081453 61.96432595710081, 6.521223033139425 61.964341680234085, 6.521265151276917 61.96435815335562, 6.52138005454333 61.96440755886764, 6.522571629314804 61.96507654025278, 6.522921347419588 61.96528783631553, 6.523530551661531 61.96565302957402, 6.523592710593468 61.96569015288065, 6.524962252103789 61.966668062887486, 6.5251127992169655 61.967170664755805, 6.525107164077777 61.967302013772, 6.525102553850289 61.96736891858353, 6.5247195704966225 61.96816340605316, 6.524644598684059 61.96829509628561, 6.524479153405327 61.96865204770527, 6.524346081055649 61.9689451316541, 6.524299395330843 61.96904989585711, 6.524199303635935 61.96926011918158, 6.524018278801993 61.96967201522637, 6.523980596625793 61.96977662329236, 6.523798503165069 61.97038786560919, 6.523690255083203 61.97079929966876, 6.523593609303478 61.97116296735114, 6.523420222664783 61.97179304826626, 6.522876225215625 61.973838055115095, 6.5218734005846795 61.97521432625282, 6.521707592697988 61.975402822711956, 6.521368288532617 61.975833984177314, 6.521043370510121 61.97637235437681, 6.519817830105285 61.978437165980466, 6.517780015512133 61.98031983926748, 6.517347252011788 61.98065632056763, 6.5165764454796244 61.98136123336148, 6.515942639894493 61.982536353056496, 6.515876939252566 61.9829922618871)</t>
  </si>
  <si>
    <t>[1886694, 1886695, 1886704, 1886705, 1886718, 1886726, 1886739, 1886740, 1886747, 1886763, 1886771, 1886772, 1886787, 1886795, 1886803, 1886804, 1886812, 1886820, 1886828, 1886836, 1886846, 1886848, 1886855, 1886877, 1886884, 1886885, 1886892, 1886908, 1886911, 1886912, 1886913, 1886928, 1886952, 1886953, 1886954, 1886961, 1886969, 1886977, 1886978, 1886985, 1886986, 1886987, 1886994, 1887002, 1887009, 1887013, 1887014, 1887015, 1887039, 2107008, 2107039]</t>
  </si>
  <si>
    <t>[1653075, 460969, 1659687, 1659688, 1653047, 1659699, 1659708, 1659709, 1659714, 1659725, 1659733, 1659734, 1659748, 1659752, 1659756, 1653183, 1659761, 1659763, 1659767, 1659771, 1659777, 1659779, 1659782, 1447512, 1447618, 1659796, 1659802, 1659814, 1659816, 1659817, 1659818, 1659828, 1659841, 1659842, 1659843, 1659849, 1659853, 1659858, 1659859, 1447900, 1659862, 1659863, 1659867, 1659870, 933354, 1659876, 1659877, 1659878, 1659886, 1819922, 1819808]</t>
  </si>
  <si>
    <t>0.004167923809357939</t>
  </si>
  <si>
    <t>[1659672, 1653075, 460969, 1659687, 1659688, 1653047, 1659699, 1659708, 1659709, 1659714, 1659725, 1659733, 1659734, 1659748, 1659752, 1659756, 1653183, 1659761, 1659763, 1659767, 1659771, 1659777, 1659779, 1659782, 1447512, 1447618, 1659796, 1659802, 1659814, 1659816, 1659817, 1659818, 1659828, 1659841, 1659842, 1659843, 1659849, 1659853, 1659858, 1659859, 1447900, 1659862, 1659863, 1659867, 1659870, 933354, 1659876, 1659877, 1659878, 1659886, 1819922]</t>
  </si>
  <si>
    <t>[0.021, 0.016, 0.004, 0.001, 0.029, 0.229, 0.237, 0.044, 0.265, 0.179, 0.137, 0.011, 0.037, 0.012, 0.023, 0.035, 0.04, 0.037, 0.085, 0.078, 0.094, 0.1, 0.063, 0.053, 0.045, 0.001, 0.014, 0.022, 0.034, 0.039, 0.001, 0.008, 0.004, 0.005, 0.006, 0.009, 0.011, 0.011, 0.012, 0.037, 0.04, 0.02, 0.015, 0.016, 0.022, 0.05, 0.008, 0.007, 0.005, 0.016, 0.015]</t>
  </si>
  <si>
    <t>6505.137465514545</t>
  </si>
  <si>
    <t>[-0.554, 0.042, 0.132, -0.068, -0.124, -0.074, -0.739]</t>
  </si>
  <si>
    <t>LINESTRING (5.487668040374084 60.97516832738533, 5.487608384649197 60.97510223313558, 5.4875273188836555 60.97400184550973, 5.48738916917729 60.97338314802756, 5.487431306475533 60.97324468291074, 5.487447484918832 60.973196885904045, 5.487637184714054 60.97258976697655, 5.487731485077704 60.97254728860933)</t>
  </si>
  <si>
    <t>[2095043, 2095051, 1865078, 1865088, 1865090, 2095059, 2095067]</t>
  </si>
  <si>
    <t>[1812541, 1637233, 1637234, 1637249, 1637251, 1812550, 1661302]</t>
  </si>
  <si>
    <t>[1661337, 1812541, 1637233, 1637234, 1637249, 1637251, 1812550]</t>
  </si>
  <si>
    <t>[0.554, 0.042, 0.132, 0.068, 0.124, 0.074, 0.739]</t>
  </si>
  <si>
    <t>299.3495369496739</t>
  </si>
  <si>
    <t>[0.451, 0.386, 0.363, 0.344, -0.098, -0.28, -0.248, -0.223, -0.258, -0.093, 0.063, 0.069, 0.065, 0.06, 0.052, 0.049, 0.028, 0.024, 0.023, 0.028, 0.066, 0.155, 0.171, 0.166, 0.157, 0.073, -0.266, -0.062, 0.041, 1.797, -1.915, 0.116, -0.049, 0.011, 0.086, -0.044, -0.062, -0.112, -0.017, -0.184, -0.145, -0.287, -0.184, -0.04, 0.011, -0.061, -0.045, -0.043, -0.051, -0.019, 0.157, 0.0, 0.085, 0.084, -0.027, -0.159, -0.27, -0.108, 0.156, 0.281, 0.254, 0.218, 0.403, 0.454, 0.003, 0.13, -0.135, -0.43, -0.366, -0.134, -0.002, 0.03, 0.012, 0.025, -0.026, -0.104, -0.138, -0.054, -0.089, -0.146, -0.041]</t>
  </si>
  <si>
    <t>1703.0</t>
  </si>
  <si>
    <t>[0, 0, 1, 0, 0, 0, 0, 0, 0, 1, 1, 0, 0, 0, 0, 1, 0, 0, 0, 0, 0, 1, 1, 0, 0, 0, 0, 0, 0, 0, 0, 0, 0, 0, 0, 0, 0, 0, 0, 0, 0, 0, 0, 0, 0, 0, 0, 0, 0, 0, 0, 0, 0, 0, 0, 0, 0, 0, 1, 1, 0, 0, 0, 0, 0, 0, 0, 0, 0, 0, 0, 0, 0, 1, 0, 1, 0, 0, 0, 0, 0]</t>
  </si>
  <si>
    <t>LINESTRING (5.590425114668312 60.83839008113155, 5.590260323057112 60.838380214232295, 5.5901450379032935 60.8383729124591, 5.587621271367426 60.83819812001749, 5.587344023728266 60.83817991533674, 5.589131312045993 60.87098053606624, 5.589137416623965 60.87099757873125, 5.589215416638227 60.871199604244886, 5.589787387129453 60.87199579782607, 5.590293404660398 60.87241608757218, 5.590476334571484 60.872599211962545, 5.59049390122712 60.872621132761736, 5.590727618963993 60.8731609462537, 5.590727987647579 60.87317925691319, 5.590720600372381 60.87334649849603, 5.59066039645806 60.87354168971572, 5.590603357231561 60.87364045430215, 5.58895703917065 60.87440924595254, 5.588477059752062 60.87452963692437, 5.588282727391651 60.8745848077062, 5.586183066225876 60.87650702247685, 5.585665008223054 60.87777304228195, 5.585131574175408 60.878251440044956, 5.585064476656842 60.87829493737123, 5.584493064899105 60.87860367389696, 5.5844499686503735 60.87862265029596, 5.563497958416897 60.8765052313886, 5.563255420016157 60.876444747891505, 5.562074295689657 60.8762754136612, 5.557673184360565 60.876732907997265, 5.557666989557926 60.87673501949051, 5.557416881409009 60.87682892804394, 5.544023482541856 60.87975783085022, 5.54356913851421 60.87975017889111, 5.539890095985607 60.879891180220625, 5.535259794172205 60.8815874395874, 5.522559834748005 60.895573209793625, 5.520449095488277 60.89662448460781, 5.5200968135418575 60.89737174031434, 5.521617745226611 60.899553712637086, 5.5220903112944555 60.9003441116064, 5.525489942920697 60.901949080706295, 5.5258604606595325 60.90262013182452, 5.52592899877552 60.90290814383899, 5.526913177401957 60.90413069206274, 5.526666807731886 60.9056669248802, 5.5263010495630605 60.90733893903727, 5.526393548577648 60.90780763848749, 5.526454443994166 60.908070046634876, 5.526566460912225 60.90856549071496, 5.526841365927064 60.909777386038854, 5.527699044615221 60.91117722090698, 5.527700119234679 60.91117921449201, 5.527750076696348 60.911272268013356, 5.527910099686192 60.91163935859101, 5.531011982194865 60.914215669056, 5.5315625258643735 60.914663010488546, 5.531647476143136 60.91480185558481, 5.53082037733001 60.91665590423756, 5.529646250284011 60.91713401698334, 5.528059603056659 60.91738848743225, 5.527659864295996 60.91740582811838, 5.527592518599114 60.91740708867431, 5.5265122110282325 60.917385915360306, 5.511875824454893 60.92581639805118, 5.511823682716194 60.92586351875562, 5.511806312458603 60.92587923241763, 5.511474994793031 60.92615413164717, 5.500002333196611 60.932843310378686, 5.499484018565172 60.93314929582568, 5.497772002060706 60.93510951430671, 5.4990394874494575 60.93825652659047, 5.498547405820924 60.939278102648466, 5.498930043153682 60.94105434095228, 5.498982625750934 60.94114031402136, 5.492014494207774 60.9585121857916, 5.491985527660717 60.958594779438336, 5.4919675789481115 60.95864017086827, 5.488194259586834 60.96125019781004, 5.486837678147058 60.96368045038469, 5.486465317082121 60.964268838043694, 5.487731485077704 60.97254728860933)</t>
  </si>
  <si>
    <t>[2065508, 2065509, 2065516, 2065517, 2065525, 2065529, 2065535, 2065570, 2065574, 2065582, 2065583, 2065590, 2065595, 2065603, 2065611, 2065616, 2065629, 2065637, 2065645, 2065661, 2065662, 2065669, 2065671, 2065691, 2065733, 2065742, 2065743, 2065749, 2065757, 2065758, 2065769, 2000234, 2000254, 2000262, 2000269, 2000275, 2000278, 2000279, 2000280, 2000292, 2000301, 2000309, 2000317, 2000325, 2000334, 2000342, 2000343, 2000350, 2000351, 2000358, 2000366, 2000367, 2000377, 2000381, 2000393, 2000394, 2000395, 2000402, 2000410, 2000412, 2000413, 2000420, 2000421, 2000430, 2000431, 2000439, 1889288, 1889304, 1889319, 1889328, 1889335, 1889341, 1889346, 1889354, 1889355, 1889388, 1889396, 1889397, 1889403, 1889409, 1889417]</t>
  </si>
  <si>
    <t>[1794629, 1794630, 1794636, 1794637, 1794642, 1794645, 1794648, 1794664, 1794667, 1794670, 1794671, 1794675, 1794678, 1794682, 1794686, 1794689, 1745819, 1794700, 1761821, 1757883, 1794716, 1794720, 1794721, 1794734, 1794761, 1794768, 1794769, 1701734, 1794776, 1794777, 1753423, 1753424, 1753437, 1701689, 1753445, 1753451, 1745785, 1701741, 1539133, 1753460, 1753466, 1753473, 1701763, 1753484, 1745812, 1753493, 1701823, 1742262, 1753496, 1753499, 1753504, 1753505, 1753513, 1753517, 1753525, 1753526, 1753527, 1753534, 1753537, 1753538, 1753539, 1753544, 1753545, 1753553, 1753554, 1661217, 1661218, 1661229, 1661236, 1661241, 1649284, 1637219, 1661250, 1661254, 1661255, 1661284, 1661290, 1661291, 250022, 250042, 1661302]</t>
  </si>
  <si>
    <t>[1757098, 1794629, 1794630, 1794636, 1794637, 1794642, 1794645, 1794648, 1794664, 1794667, 1794670, 1794671, 1794675, 1794678, 1794682, 1794686, 1794689, 1745819, 1794700, 1761821, 1757883, 1794716, 1794720, 1794721, 1794734, 1794761, 1794768, 1794769, 1701734, 1794776, 1794777, 1753423, 1753424, 1753437, 1701689, 1753445, 1753451, 1745785, 1701741, 1539133, 1753460, 1753466, 1753473, 1701763, 1753484, 1745812, 1753493, 1701823, 1742262, 1753496, 1753499, 1753504, 1753505, 1753513, 1753517, 1753525, 1753526, 1753527, 1753534, 1753537, 1753538, 1753539, 1753544, 1753545, 1753553, 1753554, 1661217, 1661218, 1661229, 1661236, 1661241, 1649284, 1637219, 1661250, 1661254, 1661255, 1661284, 1661290, 1661291, 250022, 250042]</t>
  </si>
  <si>
    <t>[0.451, 0.386, 0.363, 0.344, 0.098, 0.28, 0.248, 0.223, 0.258, 0.093, 0.063, 0.069, 0.065, 0.06, 0.052, 0.049, 0.028, 0.024, 0.023, 0.028, 0.066, 0.155, 0.171, 0.166, 0.157, 0.073, 0.266, 0.062, 0.041, 1.797, 1.915, 0.116, 0.049, 0.011, 0.086, 0.044, 0.062, 0.112, 0.017, 0.184, 0.145, 0.287, 0.184, 0.04, 0.011, 0.061, 0.045, 0.043, 0.051, 0.019, 0.157, 0.0, 0.085, 0.084, 0.027, 0.159, 0.27, 0.108, 0.156, 0.281, 0.254, 0.218, 0.403, 0.454, 0.003, 0.13, 0.135, 0.43, 0.366, 0.134, 0.002, 0.03, 0.012, 0.025, 0.026, 0.104, 0.138, 0.054, 0.089, 0.146, 0.041]</t>
  </si>
  <si>
    <t>20016.482615485278</t>
  </si>
  <si>
    <t>[0.251, 0.021, 0.051, 0.082, 0.084, 0.094, 0.042, 0.029, 0.065, 2.214, -0.015, -0.096, -0.022, 0.003, 0.105, 0.0, 0.008, 0.032, 0.065, 0.068, 0.056, 0.064, 0.065, 0.162, 0.158, 0.052, 0.001, -0.088, -0.097, -0.076, -0.041, 0.02, -0.02, -0.016, 0.052, 0.127, 0.246, -0.01, -0.015, 0.003, -0.046, -0.077, -0.057, -0.053, -0.059, -0.013, 0.019, 0.045, 0.016, 0.021, 0.015, 0.021, 0.027, 0.031, 0.05, 0.07, 0.143, 0.129, 0.101, 0.063, 0.033, -0.002, -0.032, -0.025, 0.008, 0.05, 0.039, 0.034, 0.035, 0.087, 0.083, 0.075, 0.079, 0.009, -0.025, -0.024, -0.024, -0.03, -0.009, -0.003, 0.0, 0.004, -0.002, 0.004, 0.005, 0.068, 0.106, 0.108, 0.015, -0.038, -0.031, 0.007, 0.211, -0.006, -0.087, 0.049, 0.015, -0.064, -0.123, -0.006, -0.104, -0.075, -0.01, -0.033, -0.024, -0.063, -0.076, -0.112, -0.137, -0.075, -0.048, -0.061, -0.137, -0.13, -0.037, -0.055, -0.076, -0.165, -0.126, -0.146, -0.121, -0.111, -0.136, -0.074, -0.085, -0.092, -0.108, -0.064, -0.001, 0.082, 0.051, -0.023, -0.067, -0.071, -0.022, -0.045]</t>
  </si>
  <si>
    <t>4982.0</t>
  </si>
  <si>
    <t>[0, 0, 1, 0, 0, 0, 0, 0, 0, 0, 0, 0, 0, 0, 0, 0, 0, 0, 0, 0, 0, 0, 0, 0, 0, 0, 0, 0, 0, 0, 0, 0, 0, 0, 0, 0, 0, 0, 0, 0, 0, 0, 0, 1, 0, 0, 0, 0, 0, 0, 0, 0, 0, 0, 0, 0, 0, 0, 0, 0, 0, 0, 0, 0, 0, 0, 0, 0, 0, 1, 0, 0, 0, 0, 1, 0, 0, 0, 0, 0, 0, 0, 0, 0, 0, 0, 0, 0, 0, 0, 0, 0, 0, 0, 0, 0, 0, 0, 0, 0, 0, 0, 0, 0, 0, 0, 0, 0, 0, 0, 0, 0, 0, 0, 0, 0, 0, 0, 0, 0, 0, 0, 0, 0, 0, 0, 0, 0, 0, 0, 0, 0, 0, 0, 0, 0]</t>
  </si>
  <si>
    <t>LINESTRING (5.778356795911776 61.321743643206716, 5.778043876370864 61.3223628795186, 5.777439189682054 61.32292932050991, 5.776138230090612 61.32359988692039, 5.774685907363175 61.32399589228231, 5.7745950352326 61.32401247996504, 5.774369671986367 61.32405045234783, 5.772669918250562 61.324190169437095, 5.762442132952159 61.327457232532474, 5.761343842998744 61.32831273282505, 5.761334409531728 61.32832954492115, 5.755374219450101 61.33785748966484, 5.755283314698562 61.338047273574865, 5.757936266696438 61.34350629451053, 5.758054475519559 61.343739354518, 5.763164382735625 61.34746432579917, 5.762887043633339 61.34876184583842, 5.763037010447607 61.35025664239572, 5.7641281966554665 61.35103828030433, 5.764962658366008 61.35132420590515, 5.767765543169364 61.352025982221626, 5.769674162349893 61.35253868634109, 5.770461436999472 61.35290515567759, 5.769507230840079 61.3546025240511, 5.769466332247082 61.3549722286268, 5.770306824001198 61.35566945733328, 5.770803317013133 61.35588536321691, 5.772431297182984 61.356598876249045, 5.772944064779175 61.356820317109644, 5.7738003374742455 61.35720414067339, 5.774578138278204 61.35754501194213, 5.775401443413968 61.35781957246889, 5.780606920485719 61.35821978699348, 5.786061317366789 61.36263019918766, 5.786194659093379 61.36279662796813, 5.786330123801026 61.36297495514984, 5.787236263045102 61.36418405286552, 5.787928843339478 61.365729817769726, 5.791886386215804 61.370095034761256, 5.792548180189129 61.37105662856852, 5.792103649877823 61.372288957057236, 5.7914180960876696 61.37364198247654, 5.79135521256227 61.37376634377291, 5.791255230362886 61.373955437809116, 5.791206059553206 61.374052617556295, 5.791120372820038 61.37421701093468, 5.791564360903371 61.37704198282327, 5.795120910420942 61.37935307855452, 5.797706446338987 61.38010438762692, 5.7977969769820135 61.380123221482556, 5.797933442459804 61.38015875065043, 5.7981790955955175 61.3802137531817, 5.799595304058936 61.3805668543219, 5.804146551276338 61.383359861451986, 5.80457700256225 61.38360890027941, 5.805481523403652 61.38399422180471, 5.809538820869296 61.38543245862506, 5.810137157734148 61.38595672661007, 5.81025715611548 61.38610267504294, 5.810581711440759 61.38679544482964, 5.810569865966466 61.38773940966494, 5.810818945391543 61.388504499156504, 5.812611106936513 61.39071364638364, 5.812406004836335 61.39161009418839, 5.812343406920675 61.391738732165656, 5.8123662627216035 61.3931134419767, 5.812390871789814 61.393159200961954, 5.812420276882434 61.39319863244243, 5.8129130327078435 61.39372817552618, 5.813265614124123 61.39642149472751, 5.813228535701122 61.39645947338853, 5.812967709202617 61.39676592076748, 5.812932533567329 61.39681294322872, 5.8128688832719355 61.39688187680629, 5.813319995895256 61.39929793072381, 5.813376006513249 61.399348213808324, 5.813658904287696 61.399609134494476, 5.813712165035843 61.39965660834435, 5.814112595604528 61.40014151464906, 5.817684968685946 61.404139285793555, 5.8196233870617275 61.40717957749984, 5.8198559057824575 61.408318258774486, 5.818161350008798 61.410738671702696, 5.816151031766507 61.41614967357428, 5.816250761775446 61.416821838231655, 5.8167684120069705 61.42137928849527, 5.817434365429638 61.421876625883655, 5.817780056233836 61.42206648804777, 5.8188149938404266 61.42261151261678, 5.8228464938476305 61.4247886775015, 5.822978134059263 61.42488965970035, 5.823334299651327 61.4254350668826, 5.822954784803372 61.42727773273899, 5.822760937114299 61.427862154552976, 5.823512318986 61.42906591763962, 5.817438803459897 61.43431354230589, 5.818391094206558 61.43528960676913, 5.818398670541575 61.435385050939985, 5.822139412371253 61.44197104600543, 5.821062095363937 61.44364968743727, 5.818146659692036 61.445716472352295, 5.818944977293114 61.4454342296818, 5.8273243858652 61.44364255565656, 5.827793441651271 61.4473652939779, 5.827867574839897 61.449370324244455, 5.8278721296941 61.449411045685835, 5.827887557109531 61.44945331893957, 5.82795500539164 61.449571811616934, 5.8281696970579855 61.44978618759094, 5.8283507671154355 61.44992025891875, 5.828192660863052 61.45183710626374, 5.8302437737704365 61.45163451695231, 5.830454312382689 61.4515581092991, 5.831155330944655 61.45148263988811, 5.830981668424904 61.45186548213866, 5.830526749158027 61.45219985446305, 5.830420888783257 61.452278557018445, 5.829668878369387 61.4530775288736, 5.830084529244377 61.45391181143832, 5.832492680206572 61.45414818200196, 5.833106368546075 61.45415727193811, 5.833977119182022 61.454156449664076, 5.834214112594886 61.45415440893797, 5.834469881916125 61.454150775541635, 5.834626362592611 61.454141283645, 5.835116234578291 61.45412438147086, 5.8355084412427685 61.45411285029583, 5.835796006242206 61.45410709474009, 5.837288558922649 61.45401218916579, 5.837516754891732 61.453946442472024, 5.838659698261063 61.45346647899942, 5.838786715412785 61.453434363126306, 5.838964948786483 61.45339992463345, 5.8390695931338925 61.453375937955414, 5.83974837075133 61.45321692564473, 5.840636817988256 61.45293622554315, 5.841233171036665 61.45275931485458)</t>
  </si>
  <si>
    <t>[2092858, 2092866, 2092842, 2093992, 2094000, 2094004, 2094016, 2094017, 2094028, 2094043, 1890483, 1890491, 1890494, 1890495, 1890496, 1890497, 1890515, 1890538, 1890547, 1890548, 1890555, 1890556, 1890561, 1890562, 1890563, 1890564, 1890569, 1890570, 1890578, 1890586, 1890594, 1890602, 1890610, 1890626, 1890627, 1890636, 1890645, 1890646, 1890653, 1890661, 1890669, 1890693, 1890701, 1890709, 1890717, 1890725, 1890726, 1890733, 1890741, 1890742, 1890750, 1890765, 1890773, 1890788, 1890789, 1890797, 1890805, 1890820, 1890844, 1890852, 1890873, 1890880, 1890888, 1890889, 1890896, 1890904, 1890912, 1890920, 1890928, 1890936, 1890944, 1890945, 1890968, 1890976, 1891000, 1891008, 1891009, 1891016, 1891024, 1891026, 1891033, 1891041, 1891049, 1891057, 1891058, 1891073, 1891084, 1891092, 1891100, 1891108, 1891116, 1891123, 1891124, 1891132, 1891140, 1891141, 1891148, 1891149, 1891157, 1891165, 1891166, 1891173, 1891174, 1891181, 1891182, 1891189, 1891197, 1891205, 1891213, 1891221, 1891222, 1891237, 1891238, 1891246, 1891253, 1891261, 1891269, 1891276, 1891277, 1891287, 1891288, 1891295, 1891296, 1891303, 1891311, 1891335, 1891336, 1891347, 1891358, 1891359, 1891363, 1891371, 1891379, 1891387, 1891395, 1891403]</t>
  </si>
  <si>
    <t>[1811276, 1811265, 1811266, 1762094, 1811932, 1762080, 1811946, 1811947, 1811957, 1661974, 1661975, 1573508, 1661984, 1646565, 1653591, 1646580, 1646583, 1662010, 1646582, 1662016, 1646538, 1662019, 1646530, 1653633, 1646521, 1572707, 1646518, 1654462, 1662028, 1646658, 1646660, 1646665, 1654493, 1662064, 1646209, 1662072, 1653918, 1662078, 1662081, 1662086, 1632322, 1653934, 1662114, 1662122, 1632319, 1662129, 1662130, 1655189, 1662139, 1662140, 1632505, 1662151, 1653884, 1296948, 1662163, 1653904, 1662174, 1572752, 1632279, 1632143, 1662210, 1632172, 1662219, 1632183, 1662225, 1662231, 1662234, 1632195, 1662248, 1662254, 1058833, 1662259, 1058831, 1662279, 1662299, 1632248, 1632250, 1662309, 1632273, 1662315, 1662321, 1632310, 1591704, 1591714, 1662339, 1662348, 1646037, 1646079, 1662364, 1662369, 1662375, 1662379, 1662380, 1662386, 1638790, 1662393, 1662400, 1662401, 1662405, 1662411, 1569841, 1662414, 1662415, 1171668, 1662419, 1171659, 1662430, 1584818, 1662443, 1662451, 1662452, 1662462, 1589362, 1662468, 1662471, 1584593, 1662487, 1662494, 1662495, 1662506, 1662507, 1662512, 1572170, 1662516, 1662522, 1662542, 1662543, 1662550, 1662559, 1662560, 1662564, 1662571, 1589507, 1662578, 1655008, 1662585]</t>
  </si>
  <si>
    <t>[1762112, 1811276, 1811265, 1811266, 1762094, 1811932, 1762080, 1811946, 1811947, 1811957, 1661974, 1661975, 1573508, 1661984, 1646565, 1653591, 1646580, 1646583, 1662010, 1646582, 1662016, 1646538, 1662019, 1646530, 1653633, 1646521, 1572707, 1646518, 1654462, 1662028, 1646658, 1646660, 1646665, 1654493, 1662064, 1646209, 1662072, 1653918, 1662078, 1662081, 1662086, 1632322, 1653934, 1662114, 1662122, 1632319, 1662129, 1662130, 1655189, 1662139, 1662140, 1632505, 1662151, 1653884, 1296948, 1662163, 1653904, 1662174, 1572752, 1632279, 1632143, 1662210, 1632172, 1662219, 1632183, 1662225, 1662231, 1662234, 1632195, 1662248, 1662254, 1058833, 1662259, 1058831, 1662279, 1662299, 1632248, 1632250, 1662309, 1632273, 1662315, 1662321, 1632310, 1591704, 1591714, 1662339, 1662348, 1646037, 1646079, 1662364, 1662369, 1662375, 1662379, 1662380, 1662386, 1638790, 1662393, 1662400, 1662401, 1662405, 1662411, 1569841, 1662414, 1662415, 1171668, 1662419, 1171659, 1662430, 1584818, 1662443, 1662451, 1662452, 1662462, 1589362, 1662468, 1662471, 1584593, 1662487, 1662494, 1662495, 1662506, 1662507, 1662512, 1572170, 1662516, 1662522, 1662542, 1662543, 1662550, 1662559, 1662560, 1662564, 1662571, 1589507, 1662578, 1655008]</t>
  </si>
  <si>
    <t>[0.251, 0.021, 0.051, 0.082, 0.084, 0.094, 0.042, 0.029, 0.065, 2.214, 0.015, 0.096, 0.022, 0.003, 0.105, 0.0, 0.008, 0.032, 0.065, 0.068, 0.056, 0.064, 0.065, 0.162, 0.158, 0.052, 0.001, 0.088, 0.097, 0.076, 0.041, 0.02, 0.02, 0.016, 0.052, 0.127, 0.246, 0.01, 0.015, 0.003, 0.046, 0.077, 0.057, 0.053, 0.059, 0.013, 0.019, 0.045, 0.016, 0.021, 0.015, 0.021, 0.027, 0.031, 0.05, 0.07, 0.143, 0.129, 0.101, 0.063, 0.033, 0.002, 0.032, 0.025, 0.008, 0.05, 0.039, 0.034, 0.035, 0.087, 0.083, 0.075, 0.079, 0.009, 0.025, 0.024, 0.024, 0.03, 0.009, 0.003, 0.0, 0.004, 0.002, 0.004, 0.005, 0.068, 0.106, 0.108, 0.015, 0.038, 0.031, 0.007, 0.211, 0.006, 0.087, 0.049, 0.015, 0.064, 0.123, 0.006, 0.104, 0.075, 0.01, 0.033, 0.024, 0.063, 0.076, 0.112, 0.137, 0.075, 0.048, 0.061, 0.137, 0.13, 0.037, 0.055, 0.076, 0.165, 0.126, 0.146, 0.121, 0.111, 0.136, 0.074, 0.085, 0.092, 0.108, 0.064, 0.001, 0.082, 0.051, 0.023, 0.067, 0.071, 0.022, 0.045]</t>
  </si>
  <si>
    <t>19765.974372925673</t>
  </si>
  <si>
    <t>[0.197, 0.036]</t>
  </si>
  <si>
    <t>LINESTRING (5.881031279550679 61.447931311189265, 5.8792420018638705 61.448213811938466, 5.8788060982488535 61.44826393761949)</t>
  </si>
  <si>
    <t>[2030680, 2030716]</t>
  </si>
  <si>
    <t>[1772128, 1771994]</t>
  </si>
  <si>
    <t>0.16371818949689707</t>
  </si>
  <si>
    <t>[1662627, 1772128]</t>
  </si>
  <si>
    <t>115.97139096033496</t>
  </si>
  <si>
    <t>7.0574574032021475</t>
  </si>
  <si>
    <t>LINESTRING (6.49216414493798 61.93923489053172, 6.49216414493798 61.93923489053172, 6.49212769836169 61.939241728731005)</t>
  </si>
  <si>
    <t>[1902413, 1902421]</t>
  </si>
  <si>
    <t>[1670331, 1670339]</t>
  </si>
  <si>
    <t>[1670325, 1670331]</t>
  </si>
  <si>
    <t>11.510506885713236</t>
  </si>
  <si>
    <t>1364.0</t>
  </si>
  <si>
    <t>LINESTRING (6.49212769836169 61.939241728731005, 6.282876877620102 61.90968223028545)</t>
  </si>
  <si>
    <t>[-0.018, -0.062, -0.009, 0.008]</t>
  </si>
  <si>
    <t>LINESTRING (10.759003151576643 59.90084687466829, 10.759649348299622 59.90198047922189, 10.75886913364309 59.90328015801466, 10.758171517958406 59.90381664002348, 10.75801874280059 59.90387570020286)</t>
  </si>
  <si>
    <t>[1928897, 1928906, 1928914, 1928922]</t>
  </si>
  <si>
    <t>[1692556, 1692564, 1692572, 1692454]</t>
  </si>
  <si>
    <t>[1692549, 1692556, 1692564, 1692572]</t>
  </si>
  <si>
    <t>[0.018, 0.062, 0.009, 0.008]</t>
  </si>
  <si>
    <t>367.60813983734414</t>
  </si>
  <si>
    <t>[-0.172, -0.162, 0.035]</t>
  </si>
  <si>
    <t>LINESTRING (5.87101848306044 60.621614300744476, 5.870983574636043 60.62166902194722, 5.870984854806672 60.62171784545456, 5.872665978781273 60.62192513810668)</t>
  </si>
  <si>
    <t>[1940849, 1940857, 1940865]</t>
  </si>
  <si>
    <t>[1703038, 1703045, 1703051]</t>
  </si>
  <si>
    <t>0.014343977390885712</t>
  </si>
  <si>
    <t>[1703037, 1703038, 1703045]</t>
  </si>
  <si>
    <t>[0.172, 0.162, 0.035]</t>
  </si>
  <si>
    <t>116.22700725635461</t>
  </si>
  <si>
    <t>[-0.041, 0.055, 0.038, 0.047, 0.069, 0.081, 0.031, -0.09, -0.435, -0.617, -0.402, -0.132, -0.164, -0.153, -0.136, -0.149, 0.016, -0.037, 0.056, 0.32, -0.007, -0.018, 0.09, 0.09, 0.063, 0.051, 0.021, 0.092, -0.055, -0.04, -0.02, -0.031, 0.007, -0.042, -0.082, 0.038, 0.145, 0.223, 0.074, -1.377, -0.353, -0.038, 0.073, 0.148, 0.148, 0.145, 0.116, 0.056, 0.044, 0.061, 0.099, 0.049, -0.002, -0.033, -0.011, -0.003, -0.031, -0.029, -0.011, -0.029, -0.029, -0.087, 0.092, -0.085, 0.438, 0.045, -0.202, -0.215, -0.255, -0.307, 0.04, 0.134, 0.047, -0.122, -0.308, -0.339, -0.334, -0.345, -0.159, 0.124, 0.149, 0.025, -0.066, 0.153, 0.085, 0.048, -0.005, -0.006, 0.092, 0.133, 0.094, 0.077, 0.04, 0.044, 0.022, 0.004, -0.022, -0.472, -0.008, 0.011, -0.087, -0.037, 0.046, -0.051, 0.077, -0.069, 0.16, 0.259, -0.118, -0.247, -0.01, 0.025, 0.017, 0.034, 0.021, 0.004, -0.034, 0.019, -0.007, -0.019, -0.022, 0.037, 0.029, 0.046, 0.029, -0.006, -0.034, -0.136, -0.003, -0.009, -0.006, 0.118, -0.003, -0.03, 0.13, 0.755, 0.067, -0.395, 0.0, -0.22, 0.131]</t>
  </si>
  <si>
    <t>3479.0</t>
  </si>
  <si>
    <t>[0,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t>
  </si>
  <si>
    <t>LINESTRING (5.87101848306044 60.621614300744476, 5.869596059492832 60.62127800418768, 5.8684996191629955 60.6209040396557, 5.868404426952222 60.620873011610904, 5.8673973685718686 60.620591768528065, 5.865844869403383 60.62036338722008, 5.86547939808266 60.62030850614133, 5.837282544179714 60.612715392159636, 5.8371915065058975 60.61271477082956, 5.836683800244013 60.61271910784446, 5.836070623840292 60.61271669865926, 5.835442117138532 60.61269587268599, 5.835337267209055 60.61268953224174, 5.835223146890811 60.61268345507985, 5.834282069412872 60.6125464248799, 5.8332574291382056 60.61230989678289, 5.833061355540375 60.61225267891116, 5.832672942502236 60.61210951232804, 5.832496461346198 60.61203537084161, 5.831931095044237 60.6117906844823, 5.831007896828746 60.61122520587128, 5.830728866681546 60.610987625198916, 5.8259237193946465 60.60258077662118, 5.825903735073804 60.60254653722053, 5.825752215195165 60.60229334784282, 5.825688482080874 60.60218540555383, 5.825534365055418 60.60192800469717, 5.817260662798102 60.591049379247885, 5.817534992907203 60.59068485909978, 5.818160762090273 60.58952386443605, 5.818167990633951 60.58941021919838, 5.8181647404221755 60.58932136562419, 5.818159853347458 60.58923816563498, 5.817569126906833 60.58791953593341, 5.814326786317877 60.58636733167744, 5.813772025970507 60.58619709864593, 5.812791629367407 60.58589537596884, 5.812135740013952 60.58569513982695, 5.812107786250093 60.585686431985735, 5.801165575158089 60.58336464486052, 5.801140658660658 60.583362725873414, 5.798383414999035 60.58315892807786, 5.797543583690186 60.58310185376091, 5.796695627250165 60.58303339870533, 5.796677665279565 60.583031961724416, 5.796528865933817 60.583020066226176, 5.79606166516209 60.582978884549576, 5.7959331031629375 60.582967028646706, 5.795820776870117 60.58295667063429, 5.795701574359517 60.58294216503804, 5.795448932532052 60.58291141459573, 5.7954312667538845 60.58290926581627, 5.795392084388493 60.58290449293141, 5.794972397505692 60.58284200149476, 5.794394217640886 60.58273852654713, 5.794140475648053 60.582690296178164, 5.7939400474197384 60.58265003479348, 5.79371165480685 60.58260151221886, 5.792479898629777 60.58231674167293, 5.791766445489348 60.582126533903846, 5.7900402087789296 60.58166000555627, 5.789470500065424 60.58150717088711, 5.78584955337257 60.58079665154831, 5.777142907178511 60.579586756853544, 5.773700276474604 60.57603886447762, 5.773600873830174 60.575611553695104, 5.763099426387578 60.56422893674601, 5.762904042790081 60.56407137398205, 5.762880236098958 60.56405218599581, 5.762167633121706 60.56346944145751, 5.76066711299396 60.5623323673513, 5.758604818071964 60.560949912613665, 5.758181678207476 60.56068252877548, 5.754290991754078 60.5585464780619, 5.754022928653051 60.55845046814854, 5.753019595247778 60.55809602972517, 5.752224248289897 60.55781716743557, 5.752069838828195 60.55776225481248, 5.751925920574449 60.557711654232826, 5.750884405408263 60.557343756147034, 5.750204271132082 60.55708031005205, 5.749335758277865 60.55666138838251, 5.745454197252928 60.55459590578694, 5.743814967289639 60.55371024981892, 5.741745800441922 60.55260511932091, 5.7402441110737525 60.55180912796228, 5.739820562076043 60.55158193576343, 5.739223381827673 60.55124896428091, 5.739159878255981 60.55121027110378, 5.738820444742894 60.551010499040004, 5.738561035865837 60.55085630617894, 5.737829416083394 60.55046539877483, 5.737660367404943 60.55038308177275, 5.737566033586609 60.55034252084284, 5.736669923799388 60.54995529848786, 5.735900846193481 60.54963744244662, 5.734526811137828 60.54904637420225, 5.733646467509442 60.548563691060814, 5.733634783020102 60.5485567262089, 5.731453450323139 60.54732706269711, 5.7312448163499266 60.54720105863228, 5.727071506699243 60.54455455599914, 5.726978898210927 60.54448497020058, 5.725078315930022 60.5436846411767, 5.725047142639366 60.54367500857955, 5.72389268326743 60.54331680565006, 5.723862692089525 60.54330664080829, 5.7220745729565845 60.54115064509172, 5.721884510024924 60.540797050555675, 5.722017361524582 60.535444920989164, 5.722066727748696 60.53524944882745, 5.724190376328743 60.53240454110124, 5.724795661318696 60.529815858090025, 5.724824603718944 60.52970798369803, 5.724910043542978 60.529320240383115, 5.724934390921383 60.529217034286134, 5.725766611330414 60.524010993285806, 5.72556644581669 60.52129644837854, 5.725902965042234 60.5204098600126, 5.725994525681148 60.52016861917254, 5.726362589733655 60.51918431102112, 5.726416101087178 60.519040587702726, 5.726778654983131 60.51379804848325, 5.726767994523373 60.51372651687458, 5.7266690044415025 60.512803900550345, 5.726656060589648 60.51274378938312, 5.726598780113677 60.51247760121394, 5.726012975340794 60.51084024239954, 5.725891301882829 60.510680554225274, 5.732087338730095 60.500029687800144, 5.732562460473086 60.49747570240635, 5.733055981709287 60.49478108056956, 5.733679027872653 60.494214521753406, 5.734739681379758 60.49071248961798, 5.734336044595654 60.48704564299231, 5.735169517390424 60.48622385684375, 5.735206420546217 60.4862039683935, 5.74374019164286 60.48162595311631, 5.744719398819054 60.480914749673005, 5.744724336917691 60.480907827202635, 5.744877522441869 60.480659202810145, 5.74496511976355 60.480445872282914)</t>
  </si>
  <si>
    <t>[2057515, 2057523, 2057531, 2057539, 2057547, 2057555, 2057563, 2057571, 2057579, 2057587, 2057595, 2057603, 2057619, 2057627, 2057635, 2057643, 2057651, 2057659, 2057667, 2057675, 2057683, 2057691, 2057699, 2057707, 2057715, 2057723, 2057731, 2057739, 2057747, 2057755, 2057763, 2057771, 2057779, 2057787, 2057795, 2057803, 2057811, 2057819, 2057827, 2057835, 2057843, 2057851, 2057859, 2057867, 2057875, 2057883, 2057891, 2057899, 2057907, 2057915, 2057923, 2057931, 2057939, 2057947, 2057955, 2057963, 2057971, 2057979, 2057987, 2057995, 2058003, 2058011, 2058019, 1989567, 1989573, 1989587, 1989588, 1989594, 1989595, 1989605, 1989819, 1989825, 1989831, 1989832, 1989836, 1989840, 1989849, 1989677, 1989678, 1989688, 1989690, 1991416, 1991417, 1991422, 1991439, 1991440, 1991446, 1991447, 1991450, 1991451, 1991452, 1991454, 1991455, 1991457, 1991460, 1991462, 1991466, 1991467, 1991468, 1991470, 1991471, 1991472, 1991473, 1991474, 1991475, 1991480, 1991482, 1991484, 1991488, 1991490, 1991493, 1991494, 1991499, 1991501, 1991503, 1991511, 1991514, 1991532, 1991556, 1991593, 1991601, 1991602, 1991610, 1991615, 1991618, 1991621, 1991629, 1991631, 1991632, 1991639, 1991660, 1991668, 1991675, 1991691, 1991704, 2058027, 2058035, 2058043, 2058051, 2058059, 2058067]</t>
  </si>
  <si>
    <t>[1789360, 1789363, 328820, 1789371, 1789375, 1789378, 1789382, 1789388, 1789396, 1789405, 1789411, 1789416, 1789427, 1789432, 1789436, 1770764, 1789448, 1789455, 1789460, 1789469, 1789475, 1789480, 1173466, 1789492, 1173494, 1789501, 1789508, 1789513, 1789520, 1756405, 1789531, 1789538, 1789543, 1701172, 1789559, 1789564, 1789571, 1789574, 1789579, 1789585, 1789592, 1789597, 1789602, 1789607, 1789613, 1789619, 1789623, 1687342, 1789634, 1789642, 1789649, 1789657, 1789663, 1789668, 1789674, 1687256, 1789685, 1789690, 1789694, 1789697, 1789701, 1789705, 1742281, 1747852, 1747855, 1747864, 1747865, 1747870, 1557673, 1747877, 1748005, 1748008, 1748011, 1748012, 1747908, 1259296, 1747915, 1259306, 1747916, 1747919, 1747920, 1748918, 1748919, 1748924, 1748930, 1748931, 1748934, 1748935, 1748937, 1748938, 1748939, 1748940, 1748941, 1748942, 1748944, 1748945, 1748949, 1748950, 1748951, 1748953, 1748954, 1748955, 1748956, 1748957, 1748958, 1748961, 1748962, 1748964, 1748966, 1748968, 1748970, 1748971, 1748974, 1748975, 1748977, 1742368, 1742377, 1557704, 1749020, 1234224, 1742388, 1749056, 1749060, 1749066, 1749069, 1742390, 1749076, 1742401, 1749078, 1673998, 1749103, 1749107, 1700975, 1749126, 1749135, 1789716, 1789720, 1789725, 1789731, 1789737, 1760981]</t>
  </si>
  <si>
    <t>0.002176373088579319</t>
  </si>
  <si>
    <t>[1703037, 1789360, 1789363, 328820, 1789371, 1789375, 1789378, 1789382, 1789388, 1789396, 1789405, 1789411, 1789416, 1789427, 1789432, 1789436, 1770764, 1789448, 1789455, 1789460, 1789469, 1789475, 1789480, 1173466, 1789492, 1173494, 1789501, 1789508, 1789513, 1789520, 1756405, 1789531, 1789538, 1789543, 1701172, 1789559, 1789564, 1789571, 1789574, 1789579, 1789585, 1789592, 1789597, 1789602, 1789607, 1789613, 1789619, 1789623, 1687342, 1789634, 1789642, 1789649, 1789657, 1789663, 1789668, 1789674, 1687256, 1789685, 1789690, 1789694, 1789697, 1789701, 1789705, 1742281, 1747852, 1747855, 1747864, 1747865, 1747870, 1557673, 1747877, 1748005, 1748008, 1748011, 1748012, 1747908, 1259296, 1747915, 1259306, 1747916, 1747919, 1747920, 1748918, 1748919, 1748924, 1748930, 1748931, 1748934, 1748935, 1748937, 1748938, 1748939, 1748940, 1748941, 1748942, 1748944, 1748945, 1748949, 1748950, 1748951, 1748953, 1748954, 1748955, 1748956, 1748957, 1748958, 1748961, 1748962, 1748964, 1748966, 1748968, 1748970, 1748971, 1748974, 1748975, 1748977, 1742368, 1742377, 1557704, 1749020, 1234224, 1742388, 1749056, 1749060, 1749066, 1749069, 1742390, 1749076, 1742401, 1749078, 1673998, 1749103, 1749107, 1700975, 1749126, 1749135, 1789716, 1789720, 1789725, 1789731, 1789737]</t>
  </si>
  <si>
    <t>[0.041, 0.055, 0.038, 0.047, 0.069, 0.081, 0.031, 0.09, 0.435, 0.617, 0.402, 0.132, 0.164, 0.153, 0.136, 0.149, 0.016, 0.037, 0.056, 0.32, 0.007, 0.018, 0.09, 0.09, 0.063, 0.051, 0.021, 0.092, 0.055, 0.04, 0.02, 0.031, 0.007, 0.042, 0.082, 0.038, 0.145, 0.223, 0.074, 1.377, 0.353, 0.038, 0.073, 0.148, 0.148, 0.145, 0.116, 0.056, 0.044, 0.061, 0.099, 0.049, 0.002, 0.033, 0.011, 0.003, 0.031, 0.029, 0.011, 0.029, 0.029, 0.087, 0.092, 0.085, 0.438, 0.045, 0.202, 0.215, 0.255, 0.307, 0.04, 0.134, 0.047, 0.122, 0.308, 0.339, 0.334, 0.345, 0.159, 0.124, 0.149, 0.025, 0.066, 0.153, 0.085, 0.048, 0.005, 0.006, 0.092, 0.133, 0.094, 0.077, 0.04, 0.044, 0.022, 0.004, 0.022, 0.472, 0.008, 0.011, 0.087, 0.037, 0.046, 0.051, 0.077, 0.069, 0.16, 0.259, 0.118, 0.247, 0.01, 0.025, 0.017, 0.034, 0.021, 0.004, 0.034, 0.019, 0.007, 0.019, 0.022, 0.037, 0.029, 0.046, 0.029, 0.006, 0.034, 0.136, 0.003, 0.009, 0.006, 0.118, 0.003, 0.03, 0.13, 0.755, 0.067, 0.395, 0.0, 0.22, 0.131]</t>
  </si>
  <si>
    <t>20401.388851395568</t>
  </si>
  <si>
    <t>42.43142025457635</t>
  </si>
  <si>
    <t>[-0.056, 0.074, 0.187, 0.225]</t>
  </si>
  <si>
    <t>LINESTRING (5.459406838265624 59.42591236466907, 5.459472593648185 59.425984479764296, 5.459450181793117 59.426054524215715, 5.459371787514323 59.42610326256602, 5.459328925887618 59.426116105199064)</t>
  </si>
  <si>
    <t>[1955102, 1955106, 1955114, 1955122]</t>
  </si>
  <si>
    <t>[1714760, 1714764, 1714771, 1714782]</t>
  </si>
  <si>
    <t>0.07655030705192108</t>
  </si>
  <si>
    <t>[1714759, 1714760, 1714764, 1714771]</t>
  </si>
  <si>
    <t>[0.056, 0.074, 0.187, 0.225]</t>
  </si>
  <si>
    <t>26.69182746013285</t>
  </si>
  <si>
    <t>[-0.241, -0.194]</t>
  </si>
  <si>
    <t>LINESTRING (5.4590952379568005 59.42588993137613, 5.459245699032042 59.42587240114299, 5.459406838265624 59.42591236466907)</t>
  </si>
  <si>
    <t>[1955178, 1955186]</t>
  </si>
  <si>
    <t>[1714827, 1714759]</t>
  </si>
  <si>
    <t>[1714821, 1714827]</t>
  </si>
  <si>
    <t>[0.241, 0.194]</t>
  </si>
  <si>
    <t>18.994185714935767</t>
  </si>
  <si>
    <t>[-0.019, -0.027]</t>
  </si>
  <si>
    <t>LINESTRING (5.459258662753564 59.425620573254285, 5.45937926239844 59.42585551442753, 5.459406838265624 59.42591236466907)</t>
  </si>
  <si>
    <t>[1955298, 1955306]</t>
  </si>
  <si>
    <t>[1714916, 1714759]</t>
  </si>
  <si>
    <t>[1714915, 1714916]</t>
  </si>
  <si>
    <t>33.99234073808385</t>
  </si>
  <si>
    <t>[0.248, 0.187]</t>
  </si>
  <si>
    <t>LINESTRING (5.459328925887618 59.426116105199064, 5.459202421809391 59.426127500010864, 5.45905524426634 59.42609447871217)</t>
  </si>
  <si>
    <t>[1955130, 1955138]</t>
  </si>
  <si>
    <t>[1714791, 1714798]</t>
  </si>
  <si>
    <t>0.21408935809861257</t>
  </si>
  <si>
    <t>[1714782, 1714791]</t>
  </si>
  <si>
    <t>16.4727127062954</t>
  </si>
  <si>
    <t>[0.084, -0.042, -0.166, -0.256]</t>
  </si>
  <si>
    <t>LINESTRING (5.45905524426634 59.42609447871217, 5.458977710193349 59.42602447845471, 5.458983417613634 59.42596314766747, 5.459062264719184 59.425901694794405, 5.4590952379568005 59.42588993137613)</t>
  </si>
  <si>
    <t>[1955146, 1955154, 1955162, 1955170]</t>
  </si>
  <si>
    <t>[1714802, 1714808, 1714815, 1714821]</t>
  </si>
  <si>
    <t>[1714798, 1714802, 1714808, 1714815]</t>
  </si>
  <si>
    <t>[0.084, 0.042, 0.166, 0.256]</t>
  </si>
  <si>
    <t>26.34200875517017</t>
  </si>
  <si>
    <t>[0.11, 0.089]</t>
  </si>
  <si>
    <t>LINESTRING (5.459258662753564 59.425620573254285, 5.4591165846371394 59.42584506962142, 5.4590952379568005 59.42588993137613)</t>
  </si>
  <si>
    <t>[1955322, 1955330]</t>
  </si>
  <si>
    <t>[1714936, 1714821]</t>
  </si>
  <si>
    <t>0.10661567715756122</t>
  </si>
  <si>
    <t>[1714915, 1714936]</t>
  </si>
  <si>
    <t>32.01107871855385</t>
  </si>
  <si>
    <t>[0.048, 0.042]</t>
  </si>
  <si>
    <t>LINESTRING (5.285718453095134 60.546161325031704, 5.285686427012678 60.5462196839551, 5.285612792473103 60.54626804946703)</t>
  </si>
  <si>
    <t>[1957236, 1957246]</t>
  </si>
  <si>
    <t>[1716544, 1716456]</t>
  </si>
  <si>
    <t>0.04500603856034636</t>
  </si>
  <si>
    <t>[1716430, 1716544]</t>
  </si>
  <si>
    <t>13.539926458498197</t>
  </si>
  <si>
    <t>[-0.016, 0.011, 0.028, 0.042]</t>
  </si>
  <si>
    <t>LINESTRING (5.285201716761465 60.546020194033744, 5.285435132140862 60.54599050769218, 5.285551782519245 60.54600932173539, 5.285645955527526 60.54604808814944, 5.285718453095134 60.546161325031704)</t>
  </si>
  <si>
    <t>[1957186, 1957198, 1957199, 1957210]</t>
  </si>
  <si>
    <t>[1716374, 1716515, 1716404, 1716430]</t>
  </si>
  <si>
    <t>0.015166281269198934</t>
  </si>
  <si>
    <t>[1716500, 1716374, 1716515, 1716404]</t>
  </si>
  <si>
    <t>[0.016, 0.011, 0.028, 0.042]</t>
  </si>
  <si>
    <t>40.53813238729997</t>
  </si>
  <si>
    <t>[0.015, -0.02, -0.026, -0.042]</t>
  </si>
  <si>
    <t>LINESTRING (5.285612792473103 60.54626804946703, 5.285319160902886 60.54630540105867, 5.28524227274528 60.546291206991725, 5.285161786290825 60.54626195784471, 5.285073865232428 60.5461208560587)</t>
  </si>
  <si>
    <t>[1957264, 1957265, 1957266, 1957282]</t>
  </si>
  <si>
    <t>[1716573, 1716574, 1716575, 1716465]</t>
  </si>
  <si>
    <t>[1716456, 1716573, 1716574, 1716575]</t>
  </si>
  <si>
    <t>[0.015, 0.02, 0.026, 0.042]</t>
  </si>
  <si>
    <t>44.19341623578646</t>
  </si>
  <si>
    <t>[0.032, 0.024]</t>
  </si>
  <si>
    <t>LINESTRING (5.284823363366557 60.5459889581237, 5.285022397156711 60.54609731978953, 5.285073865232428 60.5461208560587)</t>
  </si>
  <si>
    <t>[1957139, 1957143]</t>
  </si>
  <si>
    <t>[1716463, 1716465]</t>
  </si>
  <si>
    <t>0.03046869528779479</t>
  </si>
  <si>
    <t>[1716462, 1716463]</t>
  </si>
  <si>
    <t>20.197155899212593</t>
  </si>
  <si>
    <t>LINESTRING (5.284823363366557 60.5459889581237, 5.285112637439355 60.54601211569614, 5.285201716761465 60.546020194033744)</t>
  </si>
  <si>
    <t>[1957173, 1957174]</t>
  </si>
  <si>
    <t>[1716499, 1716500]</t>
  </si>
  <si>
    <t>0.0029443754266466576</t>
  </si>
  <si>
    <t>[1716462, 1716499]</t>
  </si>
  <si>
    <t>21.11829205011772</t>
  </si>
  <si>
    <t>52.156576766360224</t>
  </si>
  <si>
    <t>[-0.044, -0.038]</t>
  </si>
  <si>
    <t>LINESTRING (5.285073865232428 60.5461208560587, 5.2851129823289815 60.546070264031755, 5.285201716761465 60.546020194033744)</t>
  </si>
  <si>
    <t>[1957283, 1957290]</t>
  </si>
  <si>
    <t>[1716588, 1716500]</t>
  </si>
  <si>
    <t>[1716465, 1716588]</t>
  </si>
  <si>
    <t>[0.044, 0.038]</t>
  </si>
  <si>
    <t>13.478288152476235</t>
  </si>
  <si>
    <t>[0.028, -0.02]</t>
  </si>
  <si>
    <t>LINESTRING (5.282314881735491 60.545258705217215, 5.282399915458589 60.54529208982457, 5.283992571885345 60.54576457626159)</t>
  </si>
  <si>
    <t>[1999313, 1999322]</t>
  </si>
  <si>
    <t>[1752943, 1716481]</t>
  </si>
  <si>
    <t>[1752942, 1752943]</t>
  </si>
  <si>
    <t>[0.028, 0.02]</t>
  </si>
  <si>
    <t>108.46612740060915</t>
  </si>
  <si>
    <t>[-0.117, 0.03]</t>
  </si>
  <si>
    <t>LINESTRING (5.2822277974103375 60.54538800554212, 5.282329786909488 60.54540906588869, 5.283992571885345 60.54576457626159)</t>
  </si>
  <si>
    <t>[2021071, 2021079]</t>
  </si>
  <si>
    <t>[1765585, 1716481]</t>
  </si>
  <si>
    <t>0.021549780787404726</t>
  </si>
  <si>
    <t>[1757502, 1765585]</t>
  </si>
  <si>
    <t>[0.117, 0.03]</t>
  </si>
  <si>
    <t>105.90148909670245</t>
  </si>
  <si>
    <t>[0.007, 0.0, 0.035, 0.019, -0.009]</t>
  </si>
  <si>
    <t>LINESTRING (5.525559206582074 59.475452715169546, 5.52508049965099 59.474543674819294, 5.5250781219649205 59.47454077066939, 5.524323326403493 59.47380572950319, 5.524278187934885 59.47377557712945, 5.522475967361958 59.47280365051089)</t>
  </si>
  <si>
    <t>[1982307, 1982327, 1982328, 1982336, 1982347]</t>
  </si>
  <si>
    <t>[1742479, 1742495, 1742496, 1742501, 1742443]</t>
  </si>
  <si>
    <t>0.007699096673921703</t>
  </si>
  <si>
    <t>[1742442, 1742479, 1742495, 1742496, 1742501]</t>
  </si>
  <si>
    <t>[0.007, 0.0, 0.035, 0.019, 0.009]</t>
  </si>
  <si>
    <t>353.03663559990764</t>
  </si>
  <si>
    <t>[0.005, 0.009, -0.001, 0.035, 0.017, -0.007]</t>
  </si>
  <si>
    <t>LINESTRING (5.525559206582074 59.475452715169546, 5.524987815517386 59.47457802939956, 5.524975418049076 59.474563046501075, 5.524960614875253 59.47454412678278, 5.524244407095739 59.473834762090696, 5.5242013893586 59.47380087741606, 5.522475967361958 59.47280365051089)</t>
  </si>
  <si>
    <t>[1982488, 1982496, 1982504, 1982514, 1982523, 1982524]</t>
  </si>
  <si>
    <t>[1742511, 1742631, 1742518, 1742639, 1742643, 1742443]</t>
  </si>
  <si>
    <t>0.007676363698173214</t>
  </si>
  <si>
    <t>[1742442, 1742511, 1742631, 1742518, 1742639, 1742643]</t>
  </si>
  <si>
    <t>[0.005, 0.009, 0.001, 0.035, 0.017, 0.007]</t>
  </si>
  <si>
    <t>349.9695359971423</t>
  </si>
  <si>
    <t>[-0.004, -0.021, -0.022]</t>
  </si>
  <si>
    <t>LINESTRING (5.8699431549387295 61.44897839458249, 5.870296849956751 61.44896378378788, 5.87051476880947 61.44895886453112, 5.870631019877341 61.448962226639594)</t>
  </si>
  <si>
    <t>[1989231, 1989236, 1989237]</t>
  </si>
  <si>
    <t>[1747696, 1747698, 1747699]</t>
  </si>
  <si>
    <t>[1747695, 1747696, 1747698]</t>
  </si>
  <si>
    <t>[0.004, 0.021, 0.022]</t>
  </si>
  <si>
    <t>37.13615966861039</t>
  </si>
  <si>
    <t>[0.051, 0.044, -0.023]</t>
  </si>
  <si>
    <t>LINESTRING (5.8699431549387295 61.44897839458249, 5.870261688129643 61.44889697855908, 5.870475233006837 61.448848099836674, 5.870561595686535 61.44884733608273)</t>
  </si>
  <si>
    <t>[1989245, 1989253, 1989272]</t>
  </si>
  <si>
    <t>[1747707, 1747713, 1747722]</t>
  </si>
  <si>
    <t>0.03923574083562156</t>
  </si>
  <si>
    <t>[1747695, 1747707, 1747713]</t>
  </si>
  <si>
    <t>[0.051, 0.044, 0.023]</t>
  </si>
  <si>
    <t>36.586557464680155</t>
  </si>
  <si>
    <t>[0.123, 0.166, 0.113, 0.15]</t>
  </si>
  <si>
    <t>LINESTRING (5.870631019877341 61.448962226639594, 5.870584914281583 61.44892900756112, 5.870566629794559 61.44890327323892, 5.870562041095554 61.448876565904904, 5.870561595686535 61.44884733608273)</t>
  </si>
  <si>
    <t>[1989365, 1989366, 1989369, 1989310]</t>
  </si>
  <si>
    <t>[1747770, 1747771, 1747739, 1747722]</t>
  </si>
  <si>
    <t>0.13673016842837074</t>
  </si>
  <si>
    <t>[1747699, 1747770, 1747771, 1747739]</t>
  </si>
  <si>
    <t>13.751130782426568</t>
  </si>
  <si>
    <t>[-0.102, -0.049, 0.038, 0.105]</t>
  </si>
  <si>
    <t>LINESTRING (5.871136015042222 61.44889500776445, 5.871032238072665 61.44898006090908, 5.870912798300666 61.449005764772316, 5.8707442279943765 61.449000052054224, 5.870631019877341 61.448962226639594)</t>
  </si>
  <si>
    <t>[1989360, 1989361, 1989362, 1989364]</t>
  </si>
  <si>
    <t>[1747723, 1747769, 1747734, 1747699]</t>
  </si>
  <si>
    <t>[1747768, 1747723, 1747769, 1747734]</t>
  </si>
  <si>
    <t>[0.102, 0.049, 0.038, 0.105]</t>
  </si>
  <si>
    <t>34.425924577630404</t>
  </si>
  <si>
    <t>[0.107, 0.05, -0.046, -0.1]</t>
  </si>
  <si>
    <t>LINESTRING (5.870561595686535 61.44884733608273, 5.870678567256236 61.44875615964925, 5.870790698398124 61.44873327089668, 5.8709501660313 61.44873865786713, 5.871093584824591 61.448793603235956)</t>
  </si>
  <si>
    <t>[1989318, 1989326, 1989334, 1989342]</t>
  </si>
  <si>
    <t>[1747700, 1747752, 1747705, 1747760]</t>
  </si>
  <si>
    <t>0.0068442613144858964</t>
  </si>
  <si>
    <t>[1747722, 1747700, 1747752, 1747705]</t>
  </si>
  <si>
    <t>[0.107, 0.05, 0.046, 0.1]</t>
  </si>
  <si>
    <t>37.07172108228066</t>
  </si>
  <si>
    <t>[-0.172, -0.112, -0.158, -0.164]</t>
  </si>
  <si>
    <t>LINESTRING (5.871093584824591 61.448793603235956, 5.87111850072538 61.44881734468438, 5.871135437188952 61.44884316863446, 5.871140104789817 61.448869610051695, 5.871136015042222 61.44889500776445)</t>
  </si>
  <si>
    <t>[1989355, 1989357, 1989358, 1989359]</t>
  </si>
  <si>
    <t>[1747764, 1747766, 1747767, 1747768]</t>
  </si>
  <si>
    <t>[1747760, 1747764, 1747766, 1747767]</t>
  </si>
  <si>
    <t>[0.172, 0.112, 0.158, 0.164]</t>
  </si>
  <si>
    <t>11.801940763215594</t>
  </si>
  <si>
    <t>[-0.026, -0.012, -0.026]</t>
  </si>
  <si>
    <t>LINESTRING (5.871093584824591 61.448793603235956, 5.8711927410725915 61.44879332381102, 5.871403977744499 61.448782175039156, 5.871737833994992 61.448784427070976)</t>
  </si>
  <si>
    <t>[1989371, 1989377, 1989378]</t>
  </si>
  <si>
    <t>[1747775, 1747778, 1747779]</t>
  </si>
  <si>
    <t>[1747760, 1747775, 1747778]</t>
  </si>
  <si>
    <t>[0.026, 0.012, 0.026]</t>
  </si>
  <si>
    <t>34.667730785369415</t>
  </si>
  <si>
    <t>[0.037, 0.018, 0.035]</t>
  </si>
  <si>
    <t>LINESTRING (5.871136015042222 61.44889500776445, 5.871231276303812 61.44887815669111, 5.871434522127471 61.448852094102456, 5.871737833994992 61.448784427070976)</t>
  </si>
  <si>
    <t>[1989379, 1989384, 1989385]</t>
  </si>
  <si>
    <t>[1747780, 1747783, 1747779]</t>
  </si>
  <si>
    <t>0.02978215333640872</t>
  </si>
  <si>
    <t>[1747768, 1747780, 1747783]</t>
  </si>
  <si>
    <t>34.5773758869058</t>
  </si>
  <si>
    <t>[-0.018, -0.011, -0.243]</t>
  </si>
  <si>
    <t>14896.0</t>
  </si>
  <si>
    <t>LINESTRING (5.873434274257529 61.44865774904746, 5.873118342746879 61.44867817325976, 5.873081400947545 61.448680613703374, 5.871737833994992 61.448784427070976)</t>
  </si>
  <si>
    <t>[2030724, 2030725, 2030726]</t>
  </si>
  <si>
    <t>[1772368, 1772369, 1747779]</t>
  </si>
  <si>
    <t>[1772035, 1772368, 1772369]</t>
  </si>
  <si>
    <t>[0.018, 0.011, 0.243]</t>
  </si>
  <si>
    <t>91.81983111603745</t>
  </si>
  <si>
    <t>[-0.218, -0.15, -0.005]</t>
  </si>
  <si>
    <t>LINESTRING (5.271351559236984 60.3820616414868, 5.271244021115001 60.38204918387697, 5.270469828589114 60.38192511694192, 5.270365499096889 60.38190746763127)</t>
  </si>
  <si>
    <t>[1990357, 1990371, 1990376]</t>
  </si>
  <si>
    <t>[1748296, 1748301, 1748302]</t>
  </si>
  <si>
    <t>[1748295, 1748296, 1748301]</t>
  </si>
  <si>
    <t>[0.218, 0.15, 0.005]</t>
  </si>
  <si>
    <t>57.232797672105846</t>
  </si>
  <si>
    <t>[0.178, -3.28]</t>
  </si>
  <si>
    <t>LINESTRING (5.271351559236984 60.3820616414868, 5.270424052635408 60.38230167856587, 5.270301500036046 60.38233786627581)</t>
  </si>
  <si>
    <t>[2054616, 2054624]</t>
  </si>
  <si>
    <t>[1787427, 1752121]</t>
  </si>
  <si>
    <t>[1748295, 1787427]</t>
  </si>
  <si>
    <t>[0.178, 3.28]</t>
  </si>
  <si>
    <t>66.51384923723704</t>
  </si>
  <si>
    <t>[1.309, -0.045, 0.0, -0.181, -2.421]</t>
  </si>
  <si>
    <t>LINESTRING (5.274344503119154 60.38203909395014, 5.274206286414225 60.38206056046266, 5.272004070891181 60.38204931956459, 5.271995390259192 60.38204889623286, 5.271511369283455 60.38204603182251, 5.271351559236984 60.3820616414868)</t>
  </si>
  <si>
    <t>[2018657, 2054584, 2054592, 2054600, 2054608]</t>
  </si>
  <si>
    <t>[1763904, 1787406, 1787411, 1787419, 1748295]</t>
  </si>
  <si>
    <t>[1762143, 1763904, 1787406, 1787411, 1787419]</t>
  </si>
  <si>
    <t>[1.309, 0.045, 0.0, 0.181, 2.421]</t>
  </si>
  <si>
    <t>166.31149476787428</t>
  </si>
  <si>
    <t>[-0.01, -0.022, -0.02, -0.035, -0.016, -0.361]</t>
  </si>
  <si>
    <t>LINESTRING (5.270365499096889 60.38190746763127, 5.26998218257789 60.381809526204236, 5.269519314532016 60.38165857316, 5.269505625797375 60.38165281371216, 5.269246800209128 60.38154448102992, 5.26519305380572 60.379757142298544, 5.265042030893072 60.37970709269978)</t>
  </si>
  <si>
    <t>[1990537, 1990552, 1990583, 1990621, 1990654, 2018673]</t>
  </si>
  <si>
    <t>[1748382, 1748388, 1748404, 1748427, 1748449, 1762198]</t>
  </si>
  <si>
    <t>[1748302, 1748382, 1748388, 1748404, 1748427, 1748449]</t>
  </si>
  <si>
    <t>[0.01, 0.022, 0.02, 0.035, 0.016, 0.361]</t>
  </si>
  <si>
    <t>391.3726634680531</t>
  </si>
  <si>
    <t>LINESTRING (5.270204075543508 60.382236596941816, 5.2703033201802665 60.38221044945801, 5.270365499096889 60.38190746763127)</t>
  </si>
  <si>
    <t>[1990477, 1990485]</t>
  </si>
  <si>
    <t>[1748355, 1748302]</t>
  </si>
  <si>
    <t>0.023305742399097336</t>
  </si>
  <si>
    <t>[1748354, 1748355]</t>
  </si>
  <si>
    <t>47.72690526328218</t>
  </si>
  <si>
    <t>10.736159139663002</t>
  </si>
  <si>
    <t>[-0.044, -0.008]</t>
  </si>
  <si>
    <t>LINESTRING (5.268315017808351 60.38004460265386, 5.268220442372061 60.38008013920225, 5.268053773121404 60.38033017716435)</t>
  </si>
  <si>
    <t>[1990381, 1990382]</t>
  </si>
  <si>
    <t>[1748307, 1621513]</t>
  </si>
  <si>
    <t>[1748306, 1748307]</t>
  </si>
  <si>
    <t>[0.044, 0.008]</t>
  </si>
  <si>
    <t>37.94042474263263</t>
  </si>
  <si>
    <t>0.274</t>
  </si>
  <si>
    <t>7.013422844678633</t>
  </si>
  <si>
    <t>[0.061, 0.077, 0.169]</t>
  </si>
  <si>
    <t>LINESTRING (5.268053773121404 60.38033017716435, 5.268588557119843 60.380733306260005, 5.271152781286467 60.38172040830273, 5.271280229475183 60.38177051974603)</t>
  </si>
  <si>
    <t>[1990422, 1990431, 2018665]</t>
  </si>
  <si>
    <t>[1621515, 1748335, 1763910]</t>
  </si>
  <si>
    <t>0.07684897337890226</t>
  </si>
  <si>
    <t>[1621513, 1621515, 1748335]</t>
  </si>
  <si>
    <t>246.25166243612185</t>
  </si>
  <si>
    <t>[-0.002, 0.008, 0.053]</t>
  </si>
  <si>
    <t>LINESTRING (5.267590663254776 60.38007255221521, 5.267648205547193 60.38011750764356, 5.267983083152722 60.38027972840284, 5.268053773121404 60.38033017716435)</t>
  </si>
  <si>
    <t>[1990655, 1990656, 1990659]</t>
  </si>
  <si>
    <t>[1748451, 1748452, 1621513]</t>
  </si>
  <si>
    <t>0.014436601541502858</t>
  </si>
  <si>
    <t>[1748450, 1748451, 1748452]</t>
  </si>
  <si>
    <t>[0.002, 0.008, 0.053]</t>
  </si>
  <si>
    <t>38.73423515143918</t>
  </si>
  <si>
    <t>0.482</t>
  </si>
  <si>
    <t>12.965245100292359</t>
  </si>
  <si>
    <t>13.106179842973319</t>
  </si>
  <si>
    <t>[0.01, 0.043]</t>
  </si>
  <si>
    <t>LINESTRING (5.267590663254776 60.38007255221521, 5.268117966818852 60.379995682679066, 5.268218805042757 60.37996422695247)</t>
  </si>
  <si>
    <t>[1990661, 1990662]</t>
  </si>
  <si>
    <t>[1748455, 1748456]</t>
  </si>
  <si>
    <t>0.015731738068896457</t>
  </si>
  <si>
    <t>[1748450, 1748455]</t>
  </si>
  <si>
    <t>37.96840103616589</t>
  </si>
  <si>
    <t>[-0.031, -0.035]</t>
  </si>
  <si>
    <t>LINESTRING (5.26467743805681 60.37955804792438, 5.264819490936773 60.37953597030791, 5.267590663254776 60.38007255221521)</t>
  </si>
  <si>
    <t>[2018681, 1990660]</t>
  </si>
  <si>
    <t>[1748454, 1748450]</t>
  </si>
  <si>
    <t>[1763918, 1748454]</t>
  </si>
  <si>
    <t>[0.031, 0.035]</t>
  </si>
  <si>
    <t>174.49148333148815</t>
  </si>
  <si>
    <t>[-0.316, -0.015, -0.005, 0.021]</t>
  </si>
  <si>
    <t>LINESTRING (5.268218805042757 60.37996422695247, 5.268238637511622 60.37991050895868, 5.268306389348217 60.37986756486012, 5.268407782759556 60.37984700543706, 5.268606316141014 60.38002449041247)</t>
  </si>
  <si>
    <t>[1997131, 1997139, 1997147, 1997155]</t>
  </si>
  <si>
    <t>[1752143, 1752149, 1752153, 1752158]</t>
  </si>
  <si>
    <t>[1748456, 1752143, 1752149, 1752153]</t>
  </si>
  <si>
    <t>[0.316, 0.015, 0.005, 0.021]</t>
  </si>
  <si>
    <t>47.200991445011255</t>
  </si>
  <si>
    <t>[0.031, 0.104, 0.11]</t>
  </si>
  <si>
    <t>LINESTRING (5.227668929258502 60.370057570253046, 5.22716904177718 60.370042364912976, 5.225781733318675 60.36994297179029, 5.225682110534055 60.369916586075156)</t>
  </si>
  <si>
    <t>[1990767, 1990771, 1990820]</t>
  </si>
  <si>
    <t>[1748512, 1748514, 1748537]</t>
  </si>
  <si>
    <t>0.08665338343177886</t>
  </si>
  <si>
    <t>[1748510, 1748512, 1748514]</t>
  </si>
  <si>
    <t>114.49358922257431</t>
  </si>
  <si>
    <t>[-0.031, 0.001, 0.135]</t>
  </si>
  <si>
    <t>LINESTRING (5.227668929258502 60.370057570253046, 5.2275919978184815 60.370034677753814, 5.226769177883512 60.36980630611996, 5.226660620736353 60.36977925871397)</t>
  </si>
  <si>
    <t>[1990836, 1990849, 1990860]</t>
  </si>
  <si>
    <t>[1748547, 1748553, 1748558]</t>
  </si>
  <si>
    <t>0.012616789441215132</t>
  </si>
  <si>
    <t>[1748510, 1748547, 1748553]</t>
  </si>
  <si>
    <t>[0.031, 0.001, 0.135]</t>
  </si>
  <si>
    <t>63.90298659848682</t>
  </si>
  <si>
    <t>[-0.013, 0.016]</t>
  </si>
  <si>
    <t>LINESTRING (5.230257160959622 60.370578734198766, 5.230079279132869 60.37056283572279, 5.227668929258502 60.370057570253046)</t>
  </si>
  <si>
    <t>[2018721, 1990757]</t>
  </si>
  <si>
    <t>[1748509, 1748510]</t>
  </si>
  <si>
    <t>0.014135230749410805</t>
  </si>
  <si>
    <t>[1762334, 1748509]</t>
  </si>
  <si>
    <t>[0.013, 0.016]</t>
  </si>
  <si>
    <t>155.58518597347793</t>
  </si>
  <si>
    <t>[-0.593, 0.041, -0.008, -0.004, -0.108, -0.123, -0.061]</t>
  </si>
  <si>
    <t>LINESTRING (5.225682110534055 60.369916586075156, 5.225559913805452 60.36994552100746, 5.2254616407871435 60.369938233452466, 5.225391412178959 60.36991674130808, 5.2253177645874676 60.36984614294176, 5.225337392194081 60.36979331777772, 5.225404908786072 60.36975128136977, 5.225477975963707 60.36973317818288)</t>
  </si>
  <si>
    <t>[1996010, 1996017, 1996018, 1996026, 1996027, 1996034, 1996050]</t>
  </si>
  <si>
    <t>[1751439, 1751446, 1751447, 1751451, 1751452, 1751455, 1751465]</t>
  </si>
  <si>
    <t>[1748537, 1751439, 1751446, 1751447, 1751451, 1751452, 1751455]</t>
  </si>
  <si>
    <t>[0.593, 0.041, 0.008, 0.004, 0.108, 0.123, 0.061]</t>
  </si>
  <si>
    <t>43.18947591347312</t>
  </si>
  <si>
    <t>0.112</t>
  </si>
  <si>
    <t>10.647207012489245</t>
  </si>
  <si>
    <t>[0.112, 0.096, 0.051, -1.022]</t>
  </si>
  <si>
    <t>LINESTRING (5.226660620736353 60.36977925871397, 5.225478772304297 60.36936141452758, 5.225274220206735 60.369316237138676, 5.222093516472525 60.3690605703524, 5.221917613342984 60.369044806981464)</t>
  </si>
  <si>
    <t>[1990961, 1990962, 1990973, 2018731]</t>
  </si>
  <si>
    <t>[1748628, 1748629, 1748633, 1762371]</t>
  </si>
  <si>
    <t>0.03285347310084273</t>
  </si>
  <si>
    <t>[1748558, 1748628, 1748629, 1748633]</t>
  </si>
  <si>
    <t>[0.112, 0.096, 0.051, 1.022]</t>
  </si>
  <si>
    <t>283.33900258869545</t>
  </si>
  <si>
    <t>[-0.142, -0.097]</t>
  </si>
  <si>
    <t>LINESTRING (5.225751837887657 60.369830384222915, 5.225839666807094 60.36985408598026, 5.226660620736353 60.36977925871397)</t>
  </si>
  <si>
    <t>[1990910, 1990951]</t>
  </si>
  <si>
    <t>[1748595, 1748558]</t>
  </si>
  <si>
    <t>[1748594, 1748595]</t>
  </si>
  <si>
    <t>[0.142, 0.097]</t>
  </si>
  <si>
    <t>79.34495711264736</t>
  </si>
  <si>
    <t>16.115314538252704</t>
  </si>
  <si>
    <t>LINESTRING (5.225857979732691 60.36880873204806, 5.225766512636217 60.36878033650099, 5.225095077673881 60.36898827763392)</t>
  </si>
  <si>
    <t>[1990890, 1990894]</t>
  </si>
  <si>
    <t>[1748581, 1748584]</t>
  </si>
  <si>
    <t>[1748580, 1748581]</t>
  </si>
  <si>
    <t>75.13987680565774</t>
  </si>
  <si>
    <t>0.481</t>
  </si>
  <si>
    <t>6.551648647788649</t>
  </si>
  <si>
    <t>[-0.052, 0.034]</t>
  </si>
  <si>
    <t>LINESTRING (5.225095077673881 60.36898827763392, 5.229091643763235 60.37011328439828, 5.229194509755091 60.37017790403203)</t>
  </si>
  <si>
    <t>[1990901, 2018722]</t>
  </si>
  <si>
    <t>[1748588, 1763940]</t>
  </si>
  <si>
    <t>[1748584, 1748588]</t>
  </si>
  <si>
    <t>263.9062394158215</t>
  </si>
  <si>
    <t>[-0.051, -0.058, -0.042]</t>
  </si>
  <si>
    <t>LINESTRING (5.2241482729551185 60.36887463358727, 5.224273878317143 60.3688821401155, 5.225005375127857 60.36896353160734, 5.225095077673881 60.36898827763392)</t>
  </si>
  <si>
    <t>[1990983, 1990991, 1991018]</t>
  </si>
  <si>
    <t>[1748642, 1748650, 1748584]</t>
  </si>
  <si>
    <t>[1748641, 1748642, 1748650]</t>
  </si>
  <si>
    <t>[0.051, 0.058, 0.042]</t>
  </si>
  <si>
    <t>54.28711819939001</t>
  </si>
  <si>
    <t>0.578</t>
  </si>
  <si>
    <t>8.86972942121166</t>
  </si>
  <si>
    <t>[-0.081, -0.049, -0.048]</t>
  </si>
  <si>
    <t>LINESTRING (5.2241482729551185 60.36887463358727, 5.224932000442788 60.36870259063645, 5.225843881764103 60.36866746161171, 5.2259708311359105 60.368683208296794)</t>
  </si>
  <si>
    <t>[1991074, 1991075, 1991095]</t>
  </si>
  <si>
    <t>[1748686, 1748687, 1748697]</t>
  </si>
  <si>
    <t>[1748641, 1748686, 1748687]</t>
  </si>
  <si>
    <t>[0.081, 0.049, 0.048]</t>
  </si>
  <si>
    <t>108.444320146761</t>
  </si>
  <si>
    <t>[0.051, -0.048]</t>
  </si>
  <si>
    <t>LINESTRING (5.221159432585073 60.369014794621464, 5.221283138844695 60.368961549299556, 5.2241482729551185 60.36887463358727)</t>
  </si>
  <si>
    <t>[2018746, 1991026]</t>
  </si>
  <si>
    <t>[1748665, 1748641]</t>
  </si>
  <si>
    <t>[1763954, 1748665]</t>
  </si>
  <si>
    <t>[0.051, 0.048]</t>
  </si>
  <si>
    <t>168.81371798017727</t>
  </si>
  <si>
    <t>[0.052, -0.087, -0.152, -0.161]</t>
  </si>
  <si>
    <t>LINESTRING (5.2259708311359105 60.368683208296794, 5.226321957516502 60.36877800088076, 5.226286439973844 60.368847741331415, 5.226199539998789 60.36888743602625, 5.226113518990324 60.36890005554108)</t>
  </si>
  <si>
    <t>[1995959, 1995968, 1995971, 1995896]</t>
  </si>
  <si>
    <t>[1751407, 1751412, 1751373, 1751374]</t>
  </si>
  <si>
    <t>[1748697, 1751407, 1751412, 1751373]</t>
  </si>
  <si>
    <t>[0.052, 0.087, 0.152, 0.161]</t>
  </si>
  <si>
    <t>45.820732718977474</t>
  </si>
  <si>
    <t>[0.065, 0.042, 0.031, 0.012]</t>
  </si>
  <si>
    <t>LINESTRING (5.213304630660862 60.37079847758134, 5.212654937536915 60.37143722716091, 5.212654154931164 60.37144620697104, 5.212701998334217 60.3720465427601, 5.212723268849726 60.372120497888744)</t>
  </si>
  <si>
    <t>[1991168, 1991175, 1991216, 1991233]</t>
  </si>
  <si>
    <t>[1748746, 1748748, 1748781, 1748797]</t>
  </si>
  <si>
    <t>0.04778441588463759</t>
  </si>
  <si>
    <t>[1748745, 1748746, 1748748, 1748781]</t>
  </si>
  <si>
    <t>159.87470167346865</t>
  </si>
  <si>
    <t>[-0.163, -0.167, -0.111, -0.017, 0.013]</t>
  </si>
  <si>
    <t>LINESTRING (5.210922946207506 60.371810391641944, 5.211032474966715 60.37176786272101, 5.211864050088831 60.3716379117515, 5.213559483551845 60.371284222823576, 5.2135072432417084 60.3707628583217, 5.213304630660862 60.37079847758134)</t>
  </si>
  <si>
    <t>[1991274, 1991286, 1991307, 1991308, 1991339]</t>
  </si>
  <si>
    <t>[1748829, 1748839, 1748854, 1748855, 1748745]</t>
  </si>
  <si>
    <t>[1748828, 1748829, 1748839, 1748854, 1748855]</t>
  </si>
  <si>
    <t>[0.163, 0.167, 0.111, 0.017, 0.013]</t>
  </si>
  <si>
    <t>287.0190288995484</t>
  </si>
  <si>
    <t>[0.133, 0.022, -0.118, -0.149, -0.043, 0.0, 0.002]</t>
  </si>
  <si>
    <t>LINESTRING (5.21840571906141 60.369861710815975, 5.218306217378357 60.369924892322, 5.216616231447429 60.37057659336946, 5.215992814560288 60.37073092569723, 5.21594230687399 60.37074007747849, 5.215212868612038 60.370751493016414, 5.215159891673613 60.370747135076286, 5.213304630660862 60.37079847758134)</t>
  </si>
  <si>
    <t>[2018754, 1991096, 1991111, 1991119, 1991124, 1991156, 1991166]</t>
  </si>
  <si>
    <t>[1748698, 1748699, 1748707, 1748712, 1748715, 1748738, 1748745]</t>
  </si>
  <si>
    <t>[1762382, 1748698, 1748699, 1748707, 1748712, 1748715, 1748738]</t>
  </si>
  <si>
    <t>[0.133, 0.022, 0.118, 0.149, 0.043, 0.0, 0.002]</t>
  </si>
  <si>
    <t>320.16737217689763</t>
  </si>
  <si>
    <t>LINESTRING (5.212723268849726 60.372120497888744, 5.2128759618124905 60.37220873473873, 5.2128888331225545 60.37226759102701, 5.212858999069214 60.37232508582284, 5.212722224171508 60.37239544818779, 5.21256855824081 60.372414797896646, 5.212392820458299 60.372386368947595, 5.2122734533358495 60.372308748398524, 5.212254597312414 60.372250352294806, 5.212283181559641 60.37219276478212, 5.21241656132681 60.37212034137673)</t>
  </si>
  <si>
    <t>17.57042574884364</t>
  </si>
  <si>
    <t>[0.086, 0.0, 0.071, -0.071, 0.0, -0.051]</t>
  </si>
  <si>
    <t>LINESTRING (5.210922946207506 60.371810391641944, 5.210851669180116 60.37181517650184, 5.21084629271493 60.37181555525084, 5.206349737842187 60.37171404069916, 5.206332200731177 60.371711742484216, 5.206325013464538 60.37171080133918, 5.204803268876829 60.371486643678836)</t>
  </si>
  <si>
    <t>[2033480, 2033488, 2033496, 2033504, 2033512, 2033520]</t>
  </si>
  <si>
    <t>[1774491, 1774498, 1774505, 1774511, 1774519, 1774526]</t>
  </si>
  <si>
    <t>0.039446575348458454</t>
  </si>
  <si>
    <t>[1748828, 1774491, 1774498, 1774505, 1774511, 1774519]</t>
  </si>
  <si>
    <t>[0.086, 0.0, 0.071, 0.071, 0.0, 0.051]</t>
  </si>
  <si>
    <t>343.98160791635155</t>
  </si>
  <si>
    <t>[3.07, 0.125]</t>
  </si>
  <si>
    <t>LINESTRING (5.211158087919954 60.371788047743124, 5.211154400878671 60.37178839816953, 5.210922946207506 60.371810391641944)</t>
  </si>
  <si>
    <t>[2033464, 2033472]</t>
  </si>
  <si>
    <t>[1774477, 1748828]</t>
  </si>
  <si>
    <t>0.17117819034824527</t>
  </si>
  <si>
    <t>[1748932, 1774477]</t>
  </si>
  <si>
    <t>13.251792331868465</t>
  </si>
  <si>
    <t>[-0.051, -0.049, 0.0, -0.002, -0.016, 0.002]</t>
  </si>
  <si>
    <t>LINESTRING (5.21241656132681 60.37212034137673, 5.212425846092116 60.37204684562916, 5.212456540502564 60.37172424804338, 5.2124559920127105 60.37171525986053, 5.212454971931653 60.37169799486867, 5.217827640203402 60.36989389870994, 5.21798754457638 60.369873197230504)</t>
  </si>
  <si>
    <t>[1991350, 1991370, 1991393, 1991404, 1991418, 2018766]</t>
  </si>
  <si>
    <t>[1748878, 1748890, 1748904, 1748913, 1748920, 1763967]</t>
  </si>
  <si>
    <t>[1748877, 1748878, 1748890, 1748904, 1748913, 1748920]</t>
  </si>
  <si>
    <t>[0.051, 0.049, 0.0, 0.002, 0.016, 0.002]</t>
  </si>
  <si>
    <t>457.6324584958274</t>
  </si>
  <si>
    <t>0.621</t>
  </si>
  <si>
    <t>18.7874452759006</t>
  </si>
  <si>
    <t>[0.0, -0.016, 0.11, 0.166, 0.143]</t>
  </si>
  <si>
    <t>LINESTRING (5.213828660712619 60.37193930405615, 5.213828660712619 60.37193930405615, 5.213586660525735 60.371423754330415, 5.2118876356847865 60.37175537406705, 5.211305589281104 60.37180714404617, 5.211158087919954 60.371788047743124)</t>
  </si>
  <si>
    <t>[2018774, 1991419, 1991421, 1991436, 1991441]</t>
  </si>
  <si>
    <t>[1748921, 1748922, 1748923, 1748928, 1748932]</t>
  </si>
  <si>
    <t>0.0574428575033762</t>
  </si>
  <si>
    <t>[1763974, 1748921, 1748922, 1748923, 1748928]</t>
  </si>
  <si>
    <t>[0.0, 0.016, 0.11, 0.166, 0.143]</t>
  </si>
  <si>
    <t>275.352639884111</t>
  </si>
  <si>
    <t>[-0.163, -0.172]</t>
  </si>
  <si>
    <t>LINESTRING (5.626885294339402 60.42409288828973, 5.626450634259685 60.424261507872124, 5.626328440790627 60.42432017474796)</t>
  </si>
  <si>
    <t>[2013749, 2013757]</t>
  </si>
  <si>
    <t>[1761016, 1751902]</t>
  </si>
  <si>
    <t>[1750921, 1761016]</t>
  </si>
  <si>
    <t>[0.163, 0.172]</t>
  </si>
  <si>
    <t>40.81287362650716</t>
  </si>
  <si>
    <t>[-0.032, -0.104]</t>
  </si>
  <si>
    <t>LINESTRING (5.626885294339402 60.42409288828973, 5.626297675811108 60.42414474086669, 5.626179092435482 60.42417435179289)</t>
  </si>
  <si>
    <t>[2017102, 2017110]</t>
  </si>
  <si>
    <t>[1762945, 1751958]</t>
  </si>
  <si>
    <t>[1750921, 1762945]</t>
  </si>
  <si>
    <t>[0.032, 0.104]</t>
  </si>
  <si>
    <t>41.66985305993704</t>
  </si>
  <si>
    <t>[0.099, 0.268, 0.263, 0.298, -0.021, -0.187, -0.147, -0.174, -0.173, -0.039, -0.001, -0.0, 0.04, -0.029, 0.144, 0.012, 0.044, -0.065, 0.271, 0.231, 0.116, -0.007, -0.003, 0.049, 0.069, -0.151, -0.163, -0.086, 0.084, -0.114, -0.077, 0.161, 0.358, 0.647, -0.046, -0.939, 0.04, -0.103, 0.004, 0.024, 0.256, 0.338, 0.425, 0.424, -0.008, -0.157, -0.065, -0.144]</t>
  </si>
  <si>
    <t>4736.0</t>
  </si>
  <si>
    <t>[1, 1, 0, 0, 0, 0, 0, 0, 0, 0, 0, 0, 0, 0, 0, 0, 0, 0, 0, 0, 0, 0, 0, 0, 0, 0, 0, 0, 0, 0, 0, 0, 0, 0, 0, 0, 0, 0, 0, 0, 0, 0, 0, 0, 0, 0, 0, 0]</t>
  </si>
  <si>
    <t>LINESTRING (5.74429222247675 60.4774138158354, 5.744300832260598 60.47723620656632, 5.744312661707707 60.477131665876826, 5.744314374008019 60.477122709700474, 5.744590077547357 60.47625292716538, 5.740215615420403 60.45988291681804, 5.7401859539017055 60.459855473164, 5.740118303662359 60.45979299660599, 5.73982093123106 60.45951993462706, 5.739367547193148 60.459094006982525, 5.739286801501881 60.45901659156515, 5.739178929689126 60.458912280383075, 5.739027355906672 60.45876352272715, 5.735777383485255 60.45655361327023, 5.727256518863872 60.454340658758014, 5.726457049507835 60.45419434865877, 5.721186457217593 60.45271630280052, 5.713551822256781 60.453888323022994, 5.706730691903884 60.45316456582221, 5.706177178409073 60.4529686493993, 5.706058197342659 60.45293759129169, 5.7053203131675225 60.452786256221025, 5.704490206572036 60.45270534560228, 5.703412471099764 60.45266761753107, 5.687277113328572 60.453842463580735, 5.6872734852876645 60.45384374482989, 5.685935879822058 60.45432428489068, 5.685799050913302 60.454374309839736, 5.68372355439712 60.45512322464479, 5.682710101965286 60.45549359836142, 5.681365757706162 60.45598402047133, 5.677722539960553 60.4565317189171, 5.676377102798646 60.45636086983495, 5.676048689296426 60.45628942387018, 5.672574922883252 60.455206392028444, 5.63561652989469 60.44202492584743, 5.635490693642729 60.44187719600917, 5.635320537558486 60.441588553752815, 5.6343947437202155 60.438988668136666, 5.634394227158768 60.43883276911964, 5.634400715730755 60.438729878409745, 5.634821059428317 60.437374005493155, 5.634892315908731 60.43723504796658, 5.634900802739213 60.43721835370203, 5.6363680880108395 60.434579002463806, 5.634911251900681 60.424585640998906, 5.629778940053917 60.423660909514176, 5.629742875575998 60.42366185865703, 5.626885294339402 60.42409288828973)</t>
  </si>
  <si>
    <t>[2058075, 2058083, 2058091, 2058099, 2058107, 2058115, 2058123, 2058131, 2058139, 2058147, 2058155, 2058163, 2058171, 2058186, 2058194, 2058202, 2058210, 2058218, 2058226, 2058234, 2058242, 2058250, 2058258, 2058267, 2058275, 2058283, 2058291, 2058299, 2058307, 2058315, 2058323, 2058331, 2058332, 2058339, 2058347, 2058355, 1994903, 1994911, 1994919, 1994927, 1994935, 1994936, 1994941, 1994942, 1994943, 1994951, 1994959, 1994967]</t>
  </si>
  <si>
    <t>[1789749, 1789755, 1789760, 1789766, 1789773, 1789779, 1789785, 1789791, 1789799, 1789806, 1789814, 1557738, 1789823, 1734095, 1789842, 1789849, 1789855, 1348863, 1348894, 1700782, 1734132, 1789886, 1789891, 1789897, 1789902, 1789908, 378107, 1734142, 1734172, 1734174, 1734189, 1700669, 1789942, 1789947, 1789952, 1750889, 1750890, 1750894, 1750897, 1750900, 1750903, 1750904, 1750907, 1750908, 1750909, 1750913, 1750917, 1750921]</t>
  </si>
  <si>
    <t>0.00773068435845235</t>
  </si>
  <si>
    <t>[1761012, 1789749, 1789755, 1789760, 1789766, 1789773, 1789779, 1789785, 1789791, 1789799, 1789806, 1789814, 1557738, 1789823, 1734095, 1789842, 1789849, 1789855, 1348863, 1348894, 1700782, 1734132, 1789886, 1789891, 1789897, 1789902, 1789908, 378107, 1734142, 1734172, 1734174, 1734189, 1700669, 1789942, 1789947, 1789952, 1750889, 1750890, 1750894, 1750897, 1750900, 1750903, 1750904, 1750907, 1750908, 1750909, 1750913, 1750917]</t>
  </si>
  <si>
    <t>[0.099, 0.268, 0.263, 0.298, 0.021, 0.187, 0.147, 0.174, 0.173, 0.039, 0.001, 0.0, 0.04, 0.029, 0.144, 0.012, 0.044, 0.065, 0.271, 0.231, 0.116, 0.007, 0.003, 0.049, 0.069, 0.151, 0.163, 0.086, 0.084, 0.114, 0.077, 0.161, 0.358, 0.647, 0.046, 0.939, 0.04, 0.103, 0.004, 0.024, 0.256, 0.338, 0.425, 0.424, 0.008, 0.157, 0.065, 0.144]</t>
  </si>
  <si>
    <t>11391.633711035613</t>
  </si>
  <si>
    <t>[0.019, 0.015, 0.053, 0.07, 0.03, 0.091, 0.089, 0.081, 0.123, 0.126, -0.018, 0.0, -0.137, -0.013, 0.079, 0.191, 0.007, -0.044, 0.09, 0.162, 0.039, 0.016, -0.004, 0.028, -0.21, -0.254, -0.078, 0.021, 0.023, 0.066, 0.0, 0.245, 0.055, -0.591, -0.329, -0.132, 0.012, 0.016, 0.049, -0.063, -0.218, 0.14, -0.027, -0.053, -0.025, -0.005, 0.18, 0.169, -0.03, -0.023]</t>
  </si>
  <si>
    <t>18383.0</t>
  </si>
  <si>
    <t>[0, 0, 0, 0, 0, 0, 1, 0, 0, 0, 0, 0, 0, 0, 0, 0, 0, 0, 0, 0, 0, 0, 0, 0, 0, 0, 0, 0, 1, 0, 0, 0, 0, 0, 0, 0, 0, 0, 0, 0, 0, 0, 0, 0, 0, 0, 0, 0, 0, 0]</t>
  </si>
  <si>
    <t>LINESTRING (5.457225215209422 60.42494097414334, 5.454817565724876 60.42812032817195, 5.450819359009309 60.44282037696211, 5.4507652073175485 60.44291051708823, 5.450706203797246 60.44299849763926, 5.447417331101818 60.44708723326, 5.447177793193694 60.44741990615067, 5.447022235766757 60.447648317725395, 5.446755008891637 60.44805586056389, 5.446148803029473 60.44895477477545, 5.446135536839833 60.44897241848092, 5.443616824257976 60.45378939356662, 5.4436159537025 60.453791464954584, 5.443608685157709 60.45380899984675, 5.441641122495398 60.455423885855126, 5.440577578941507 60.455842537684234, 5.4390875396119815 60.45620499257974, 5.439070352623231 60.456207682821635, 5.428511884369893 60.4597088914459, 5.424697153399594 60.45985662872165, 5.424440687425424 60.45985070179365, 5.424142198264447 60.45984444162523, 5.423429233013008 60.45985245297077, 5.421963644264665 60.459958373761424, 5.413929531914001 60.45986197657246, 5.4111998115927875 60.460064809525136, 5.411181941223394 60.460066270971225, 5.408108828545853 60.46028485256724, 5.4054634232297 60.46029353774621, 5.405266647327346 60.46029009966004, 5.402432994578723 60.46011254552836, 5.40242647507082 60.46011168296544, 5.402397865160403 60.460107940232035, 5.396428599886947 60.45927582929373, 5.396424504930874 60.45927525121373, 5.396406945176504 60.45927278075613, 5.392655199453884 60.458809136414466, 5.390615529187654 60.45880730199161, 5.390393558829852 60.458814670930515, 5.374207877884302 60.46723808057771, 5.373430379027091 60.46770024006396, 5.371955528357215 60.46849332198274, 5.370141720552253 60.469435883845954, 5.370129196852286 60.46944235175827, 5.366383995955585 60.47128906724222, 5.363205639830646 60.47254617343583, 5.361241179954773 60.473079456678036, 5.361096030237933 60.47311138018686, 5.360928037114727 60.47314615966372, 5.3554713286808004 60.47524085644334, 5.353514884280003 60.47605375148975)</t>
  </si>
  <si>
    <t>[1994970, 1994978, 1994986, 1995001, 1995009, 1995024, 1995032, 1995040, 1995048, 1995061, 1995068, 1995076, 1995084, 1995092, 1995100, 1995108, 1995116, 1995134, 1995158, 1995166, 1995174, 1995180, 1995183, 1995190, 1995198, 1995206, 1995217, 1995225, 1995226, 1995233, 1995241, 1995249, 1995257, 1995270, 1995278, 1995286, 1995301, 1995315, 1995323, 1995346, 1995348, 1995357, 1995369, 1995377, 1995383, 1995390, 1995409, 1995417, 1995419, 1995420]</t>
  </si>
  <si>
    <t>[1750923, 1750927, 1750931, 1750937, 1704710, 1750949, 1750954, 1750959, 1750964, 1750972, 1750975, 1750977, 1750981, 1750983, 1750988, 1750992, 1750998, 1751008, 1751018, 1751021, 1751025, 1751028, 1751031, 1751034, 1751038, 1751042, 1630984, 1751047, 1751048, 1751050, 1751054, 1751057, 1751061, 1751068, 1751073, 1751079, 1751086, 1680255, 1751096, 1751106, 1664809, 1751112, 1751117, 1751121, 1751124, 1751127, 1751136, 1751139, 1751140, 1751141]</t>
  </si>
  <si>
    <t>0.007204618073686413</t>
  </si>
  <si>
    <t>[1750922, 1750923, 1750927, 1750931, 1750937, 1704710, 1750949, 1750954, 1750959, 1750964, 1750972, 1750975, 1750977, 1750981, 1750983, 1750988, 1750992, 1750998, 1751008, 1751018, 1751021, 1751025, 1751028, 1751031, 1751034, 1751038, 1751042, 1630984, 1751047, 1751048, 1751050, 1751054, 1751057, 1751061, 1751068, 1751073, 1751079, 1751086, 1680255, 1751096, 1751106, 1664809, 1751112, 1751117, 1751121, 1751124, 1751127, 1751136, 1751139, 1751140]</t>
  </si>
  <si>
    <t>[0.019, 0.015, 0.053, 0.07, 0.03, 0.091, 0.089, 0.081, 0.123, 0.126, 0.018, 0.0, 0.137, 0.013, 0.079, 0.191, 0.007, 0.044, 0.09, 0.162, 0.039, 0.016, 0.004, 0.028, 0.21, 0.254, 0.078, 0.021, 0.023, 0.066, 0.0, 0.245, 0.055, 0.591, 0.329, 0.132, 0.012, 0.016, 0.049, 0.063, 0.218, 0.14, 0.027, 0.053, 0.025, 0.005, 0.18, 0.169, 0.03, 0.023]</t>
  </si>
  <si>
    <t>9469.632420955395</t>
  </si>
  <si>
    <t>[0.024, 0.039, -0.022, 0.033]</t>
  </si>
  <si>
    <t>LINESTRING (5.460310389439328 60.42211623799591, 5.460211779709979 60.422165182645124, 5.458947254488433 60.423512812928415, 5.4589390672850024 60.42352076747452, 5.457225215209422 60.42494097414334)</t>
  </si>
  <si>
    <t>[2013957, 2013965, 2013973, 2013981]</t>
  </si>
  <si>
    <t>[1761114, 1761118, 1761123, 1750922]</t>
  </si>
  <si>
    <t>0.03542271068880123</t>
  </si>
  <si>
    <t>[1752032, 1761114, 1761118, 1761123]</t>
  </si>
  <si>
    <t>[0.024, 0.039, 0.022, 0.033]</t>
  </si>
  <si>
    <t>360.06135546401975</t>
  </si>
  <si>
    <t>[-0.055, 0.028, 0.129, 0.024]</t>
  </si>
  <si>
    <t>LINESTRING (5.459965905636825 60.422031656464014, 5.4599523168916395 60.42211957328936, 5.458831569162973 60.423486102678254, 5.458823328627102 60.42349399005828, 5.457225215209422 60.42494097414334)</t>
  </si>
  <si>
    <t>[2017272, 2017280, 2017288, 2017296]</t>
  </si>
  <si>
    <t>[1763058, 1763062, 1763068, 1750922]</t>
  </si>
  <si>
    <t>0.02396463868740634</t>
  </si>
  <si>
    <t>[1752040, 1763058, 1763062, 1763068]</t>
  </si>
  <si>
    <t>[0.055, 0.028, 0.129, 0.024]</t>
  </si>
  <si>
    <t>360.57046824138985</t>
  </si>
  <si>
    <t>[0.63, -0.016]</t>
  </si>
  <si>
    <t>LINESTRING (5.353514884280003 60.47605375148975, 5.353143886153524 60.476167446859485, 5.3530457594405165 60.476215495119554)</t>
  </si>
  <si>
    <t>[2155761, 2155769]</t>
  </si>
  <si>
    <t>[1847349, 1847354]</t>
  </si>
  <si>
    <t>0.47845403439941186</t>
  </si>
  <si>
    <t>[1751141, 1847349]</t>
  </si>
  <si>
    <t>[0.63, 0.016]</t>
  </si>
  <si>
    <t>32.50164909528</t>
  </si>
  <si>
    <t>[0.622, -0.035]</t>
  </si>
  <si>
    <t>LINESTRING (5.353514884280003 60.47605375148975, 5.353364687893136 60.47624884616619, 5.353303398891562 60.47631565733449)</t>
  </si>
  <si>
    <t>[2155777, 2155785]</t>
  </si>
  <si>
    <t>[1847357, 1847362]</t>
  </si>
  <si>
    <t>0.45398679605648823</t>
  </si>
  <si>
    <t>[1751141, 1847357]</t>
  </si>
  <si>
    <t>[0.622, 0.035]</t>
  </si>
  <si>
    <t>32.05142458771543</t>
  </si>
  <si>
    <t>[0.01, -0.0, 0.003]</t>
  </si>
  <si>
    <t>LINESTRING (5.335362959040048 60.385175649853224, 5.335267571620132 60.38507911131498, 5.335020774387483 60.384914491271836, 5.3347083300880795 60.38464556138456)</t>
  </si>
  <si>
    <t>[1995421, 1995422, 1995423]</t>
  </si>
  <si>
    <t>[1751143, 1751144, 1751145]</t>
  </si>
  <si>
    <t>0.00321999080656325</t>
  </si>
  <si>
    <t>[1751142, 1751143, 1751144]</t>
  </si>
  <si>
    <t>[0.01, 0.0, 0.003]</t>
  </si>
  <si>
    <t>69.7397593941377</t>
  </si>
  <si>
    <t>[0.001, 0.0, 0.011, 0.02, 0.025, -0.098]</t>
  </si>
  <si>
    <t>[1, 0, 1, 0, 0, 1]</t>
  </si>
  <si>
    <t>LINESTRING (5.335362959040048 60.385175649853224, 5.334947618342282 60.38495073817675, 5.334702859983276 60.384804357392525, 5.335413946432237 60.38316681434973, 5.335396447799805 60.38298643569557, 5.335350360403313 60.38267009193473, 5.335364850364448 60.38260331438107)</t>
  </si>
  <si>
    <t>[2063169, 2063180, 2063195, 2063196, 2063207, 2015221]</t>
  </si>
  <si>
    <t>[1793229, 1793237, 1793244, 1793245, 1761804, 1757097]</t>
  </si>
  <si>
    <t>0.00879577125425654</t>
  </si>
  <si>
    <t>[1751142, 1793229, 1793237, 1793244, 1793245, 1761804]</t>
  </si>
  <si>
    <t>[0.001, 0.0, 0.011, 0.02, 0.025, 0.098]</t>
  </si>
  <si>
    <t>324.10729050780947</t>
  </si>
  <si>
    <t>[0.157, 0.347, 0.0, 0.139, 0.853, -0.186, -0.097, -0.073, -0.01, 0.01]</t>
  </si>
  <si>
    <t>LINESTRING (5.323081007354437 60.41458729942779, 5.323222955036843 60.41457201956104, 5.3232368594903905 60.414570361730796, 5.323240597618197 60.414569912213956, 5.337453039694167 60.40154619569285, 5.337458674895741 60.40153768977892, 5.339672895362464 60.38910448071866, 5.33965163472813 60.389089952656235, 5.338898733321588 60.38851852111246, 5.335622529862004 60.38529421497676, 5.335362959040048 60.385175649853224)</t>
  </si>
  <si>
    <t>[2063084, 2063085, 2063094, 2063102, 2063117, 2063125, 2063135, 2063144, 2063152, 2063160]</t>
  </si>
  <si>
    <t>[1793169, 1793170, 1793177, 1793184, 1793193, 1793199, 1793206, 1793213, 1793219, 1751142]</t>
  </si>
  <si>
    <t>[1754392, 1793169, 1793170, 1793177, 1793184, 1793193, 1793199, 1793206, 1793213, 1793219]</t>
  </si>
  <si>
    <t>[0.157, 0.347, 0.0, 0.139, 0.853, 0.186, 0.097, 0.073, 0.01, 0.01]</t>
  </si>
  <si>
    <t>3722.320844616598</t>
  </si>
  <si>
    <t>[0.004, 0.024, 0.008]</t>
  </si>
  <si>
    <t>3095.0</t>
  </si>
  <si>
    <t>LINESTRING (5.3347083300880795 60.38464556138456, 5.33524798218273 60.38397452354533, 5.335263944594757 60.383970275250846, 5.336666979386179 60.384481555705655)</t>
  </si>
  <si>
    <t>[1995430, 1995439, 1995440]</t>
  </si>
  <si>
    <t>[1751147, 1751154, 1751155]</t>
  </si>
  <si>
    <t>0.006433805513316945</t>
  </si>
  <si>
    <t>[1751145, 1751147, 1751154]</t>
  </si>
  <si>
    <t>212.3705297742909</t>
  </si>
  <si>
    <t>[0.007, 0.005, -0.029]</t>
  </si>
  <si>
    <t>LINESTRING (5.3347083300880795 60.38464556138456, 5.334629442825683 60.38458550809586, 5.33558512439143 60.38333312865757, 5.335499774345261 60.383404663069776)</t>
  </si>
  <si>
    <t>[2001998, 2002006, 2002014]</t>
  </si>
  <si>
    <t>[1754343, 1754348, 1754298]</t>
  </si>
  <si>
    <t>0.004285708250477204</t>
  </si>
  <si>
    <t>[1751145, 1754343, 1754348]</t>
  </si>
  <si>
    <t>[0.007, 0.005, 0.029]</t>
  </si>
  <si>
    <t>419.54357063199205</t>
  </si>
  <si>
    <t>[-0.03, -0.023, -0.005, 0.004, 0.009, 0.003, 0.118]</t>
  </si>
  <si>
    <t>LINESTRING (5.336666979386179 60.384481555705655, 5.336227779448202 60.38486304865978, 5.336212844541523 60.38487027590884, 5.3357882788403845 60.38503722834118, 5.335495097976955 60.385136488918185, 5.3354796516786305 60.38514120926451, 5.335464202728446 60.3851459384602, 5.335294038765666 60.38519773494052)</t>
  </si>
  <si>
    <t>[1995455, 1995478, 1995484, 1995493, 2013989, 2013997, 2014005]</t>
  </si>
  <si>
    <t>[1751163, 1751177, 1751181, 1751185, 1761129, 1761134, 1757087]</t>
  </si>
  <si>
    <t>[1751155, 1751163, 1751177, 1751181, 1751185, 1761129, 1761134]</t>
  </si>
  <si>
    <t>[0.03, 0.023, 0.005, 0.004, 0.009, 0.003, 0.118]</t>
  </si>
  <si>
    <t>113.50761398971164</t>
  </si>
  <si>
    <t>[0.0, 0.003, -0.023]</t>
  </si>
  <si>
    <t>5881.0</t>
  </si>
  <si>
    <t>LINESTRING (5.336912960577659 60.38287686257542, 5.337013828787282 60.382912293893135, 5.3367323095346375 60.38441036261511, 5.336666979386179 60.384481555705655)</t>
  </si>
  <si>
    <t>[2001974, 2001982, 2001990]</t>
  </si>
  <si>
    <t>[1754331, 1754334, 1751155]</t>
  </si>
  <si>
    <t>0.0018532911290767636</t>
  </si>
  <si>
    <t>[1754321, 1754331, 1754334]</t>
  </si>
  <si>
    <t>[0.0, 0.003, 0.023]</t>
  </si>
  <si>
    <t>216.0430971953039</t>
  </si>
  <si>
    <t>[-0.006, -0.001]</t>
  </si>
  <si>
    <t>LINESTRING (5.332505770042856 60.38831752244638, 5.33130866257948 60.38919761909282, 5.331168245152157 60.38930039196608)</t>
  </si>
  <si>
    <t>[1995508, 1995545]</t>
  </si>
  <si>
    <t>[1751191, 1751204]</t>
  </si>
  <si>
    <t>[1751190, 1751191]</t>
  </si>
  <si>
    <t>[0.006, 0.001]</t>
  </si>
  <si>
    <t>132.43687186138214</t>
  </si>
  <si>
    <t>[0.172, 0.005, -0.379]</t>
  </si>
  <si>
    <t>LINESTRING (5.332069594470771 60.38809559794341, 5.3323147334248615 60.38817833195469, 5.332386511277691 60.38828249494738, 5.332505770042856 60.38831752244638)</t>
  </si>
  <si>
    <t>[2145998, 2146006, 2146014]</t>
  </si>
  <si>
    <t>[1841892, 1841897, 1751190]</t>
  </si>
  <si>
    <t>[1751363, 1841892, 1841897]</t>
  </si>
  <si>
    <t>[0.172, 0.005, 0.379]</t>
  </si>
  <si>
    <t>36.38265540179072</t>
  </si>
  <si>
    <t>[-0.031, -0.004, -0.002, -0.0, 0.0, -0.0, 0.0, 0.0, -0.001, 0.002, 0.009, 0.008, 0.005, 0.004, 0.002]</t>
  </si>
  <si>
    <t>LINESTRING (5.335294038765666 60.38519773494052, 5.334751035358338 60.385595098772946, 5.334641092892989 60.38578974609534, 5.334500848390254 60.38606674602054, 5.3343815955975495 60.386251575227746, 5.334271786410389 60.38645266346799, 5.334226432417578 60.38653688883449, 5.334211070207662 60.386565087767444, 5.334194677291045 60.38660149664567, 5.334147137199997 60.38669931967787, 5.3334382392249 60.38763330025949, 5.333261187745658 60.3877597928223, 5.332900084934246 60.388032553013744, 5.332764221812761 60.388138464921234, 5.332594764747299 60.38825891949862, 5.332505770042856 60.38831752244638)</t>
  </si>
  <si>
    <t>[2014013, 2014021, 2014029, 2014037, 2014045, 2014053, 2014061, 2014069, 2014077, 2014085, 2014093, 2014101, 2014109, 2014117, 1995507]</t>
  </si>
  <si>
    <t>[1761143, 1761146, 1761148, 1761152, 1761156, 1753819, 1761166, 1753222, 1761176, 1758041, 1761183, 1761186, 1761191, 1751189, 1751190]</t>
  </si>
  <si>
    <t>[1757087, 1761143, 1761146, 1761148, 1761152, 1761156, 1753819, 1761166, 1753222, 1761176, 1758041, 1761183, 1761186, 1761191, 1751189]</t>
  </si>
  <si>
    <t>[0.031, 0.004, 0.002, 0.0, 0.0, 0.0, 0.0, 0.0, 0.001, 0.002, 0.009, 0.008, 0.005, 0.004, 0.002]</t>
  </si>
  <si>
    <t>386.859183437354</t>
  </si>
  <si>
    <t>LINESTRING (5.331168245152157 60.38930039196608, 5.33091601665942 60.38936150000396, 5.330563567468396 60.38932390204975)</t>
  </si>
  <si>
    <t>[1995546, 1995561]</t>
  </si>
  <si>
    <t>[1751205, 1751213]</t>
  </si>
  <si>
    <t>[1751204, 1751205]</t>
  </si>
  <si>
    <t>36.00568173581425</t>
  </si>
  <si>
    <t>[0.001, 0.004, 0.013, 0.017, 0.011]</t>
  </si>
  <si>
    <t>LINESTRING (5.331168245152157 60.38930039196608, 5.33109779398141 60.389419148380526, 5.33111195786003 60.389622802373594, 5.331894962960657 60.39017250280187, 5.332023382900913 60.3902560879481, 5.332040356240739 60.39030643016782)</t>
  </si>
  <si>
    <t>[2014133, 2014141, 2014149, 2014157, 2014165]</t>
  </si>
  <si>
    <t>[1761204, 1761208, 1761212, 1761215, 1698817]</t>
  </si>
  <si>
    <t>0.010398544199619112</t>
  </si>
  <si>
    <t>[1751204, 1761204, 1761208, 1761212, 1761215]</t>
  </si>
  <si>
    <t>129.60260662763434</t>
  </si>
  <si>
    <t>67.78605209337306</t>
  </si>
  <si>
    <t>[0.002, 0.004, 0.01, 0.015, 0.017, 0.02]</t>
  </si>
  <si>
    <t>LINESTRING (5.330563567468396 60.38932390204975, 5.33076923918699 60.38948551512116, 5.330925904286712 60.389666148429335, 5.331321329986887 60.389913129449006, 5.331789167803663 60.39020898843282, 5.3319174985715465 60.39028859625261, 5.332040356240739 60.39030643016782)</t>
  </si>
  <si>
    <t>[2022360, 2017416, 2017424, 2017432, 2017440, 2017448]</t>
  </si>
  <si>
    <t>[1763132, 1763133, 1763137, 1763143, 1763147, 1698817]</t>
  </si>
  <si>
    <t>0.010416171466204577</t>
  </si>
  <si>
    <t>[1751213, 1763132, 1763133, 1763137, 1763143, 1763147]</t>
  </si>
  <si>
    <t>138.98241291000025</t>
  </si>
  <si>
    <t>[-0.001, -0.002, 0.003, 0.009, 0.005, 0.003, 0.001, -0.006]</t>
  </si>
  <si>
    <t>LINESTRING (5.329820393892649 60.38884330605221, 5.329777366990911 60.388857608829035, 5.329762941447959 60.38886300047519, 5.329734069814661 60.38887379130228, 5.328351696179368 60.389153852041716, 5.327946433700938 60.389231501628835, 5.327218129000378 60.389381611106536, 5.325287996895977 60.38976324622744, 5.324267245282792 60.39004347154012)</t>
  </si>
  <si>
    <t>[1995589, 1995600, 1995622, 1995641, 1995649, 1995675, 1995676, 1995711]</t>
  </si>
  <si>
    <t>[1751226, 1751231, 1751246, 1751254, 1677818, 1751272, 1751273, 1751285]</t>
  </si>
  <si>
    <t>0.0021581048199580347</t>
  </si>
  <si>
    <t>[1751216, 1751226, 1751231, 1751246, 1751254, 1677818, 1751272, 1751273]</t>
  </si>
  <si>
    <t>[0.001, 0.002, 0.003, 0.009, 0.005, 0.003, 0.001, 0.006]</t>
  </si>
  <si>
    <t>336.08508303789137</t>
  </si>
  <si>
    <t>[0.005, 0.007, 0.001]</t>
  </si>
  <si>
    <t>LINESTRING (5.329820393892649 60.38884330605221, 5.331049027187869 60.38831406791021, 5.331684335416667 60.388018059155016, 5.332069594470771 60.38809559794341)</t>
  </si>
  <si>
    <t>[1995873, 1995877, 1995878]</t>
  </si>
  <si>
    <t>[1675889, 1751362, 1751363]</t>
  </si>
  <si>
    <t>0.005070941945459077</t>
  </si>
  <si>
    <t>[1751216, 1675889, 1751362]</t>
  </si>
  <si>
    <t>165.00868977579813</t>
  </si>
  <si>
    <t>[-0.029, 0.006, 0.012, -0.004, -0.019, -0.026, -0.004, -0.004, 0.001]</t>
  </si>
  <si>
    <t>LINESTRING (5.323560713972769 60.38941906043876, 5.324132596852141 60.38926051590491, 5.325556948976422 60.38886900751185, 5.3257619096207245 60.38881258314974, 5.326706940219027 60.38854902876614, 5.326927244308061 60.38848468276189, 5.328302624861086 60.38783478423044, 5.329110738290488 60.388377066276234, 5.329772173197375 60.388810300696676, 5.329820393892649 60.38884330605221)</t>
  </si>
  <si>
    <t>[1995807, 1995815, 1995821, 1995824, 1995832, 1995838, 1995841, 1995855, 1995865]</t>
  </si>
  <si>
    <t>[1751332, 1669188, 1695132, 1051370, 1656349, 1699016, 1675694, 1751349, 1751216]</t>
  </si>
  <si>
    <t>[1751327, 1751332, 1669188, 1695132, 1051370, 1656349, 1699016, 1675694, 1751349]</t>
  </si>
  <si>
    <t>[0.029, 0.006, 0.012, 0.004, 0.019, 0.026, 0.004, 0.004, 0.001]</t>
  </si>
  <si>
    <t>459.525708024188</t>
  </si>
  <si>
    <t>[-0.027, -0.005]</t>
  </si>
  <si>
    <t>LINESTRING (5.225912314687414 60.36902174172762, 5.225877964323438 60.36910513884404, 5.22563753107924 60.36956136055908)</t>
  </si>
  <si>
    <t>[1995614, 1995617]</t>
  </si>
  <si>
    <t>[1751241, 1751243]</t>
  </si>
  <si>
    <t>[1751240, 1751241]</t>
  </si>
  <si>
    <t>62.21259945593817</t>
  </si>
  <si>
    <t>[0.131, -0.239]</t>
  </si>
  <si>
    <t>LINESTRING (5.226113518990324 60.36890005554108, 5.226039733994139 60.368945553640486, 5.225912314687414 60.36902174172762)</t>
  </si>
  <si>
    <t>[2013046, 2013054]</t>
  </si>
  <si>
    <t>[1760660, 1751240]</t>
  </si>
  <si>
    <t>[1751374, 1760660]</t>
  </si>
  <si>
    <t>[0.131, 0.239]</t>
  </si>
  <si>
    <t>17.57914666097696</t>
  </si>
  <si>
    <t>[0.387, -0.315]</t>
  </si>
  <si>
    <t>LINESTRING (5.225909819916719 60.368861428836766, 5.22590854374239 60.36893138336935, 5.225912314687414 60.36902174172762)</t>
  </si>
  <si>
    <t>[2020633, 2020641]</t>
  </si>
  <si>
    <t>[1765238, 1751240]</t>
  </si>
  <si>
    <t>[1751388, 1765238]</t>
  </si>
  <si>
    <t>[0.387, 0.315]</t>
  </si>
  <si>
    <t>17.92048435875129</t>
  </si>
  <si>
    <t>[0.379, -0.888]</t>
  </si>
  <si>
    <t>LINESTRING (5.22563753107924 60.36956136055908, 5.225671003860018 60.3697022313307, 5.225684263781561 60.36975842711513)</t>
  </si>
  <si>
    <t>[2013062, 2013070]</t>
  </si>
  <si>
    <t>[1760666, 1751418]</t>
  </si>
  <si>
    <t>0.017724931740302003</t>
  </si>
  <si>
    <t>[1751243, 1760666]</t>
  </si>
  <si>
    <t>[0.379, 0.888]</t>
  </si>
  <si>
    <t>22.177296173278577</t>
  </si>
  <si>
    <t>[0.468, -1.124]</t>
  </si>
  <si>
    <t>LINESTRING (5.22563753107924 60.36956136055908, 5.225516187427879 60.36968534984233, 5.225477975963707 60.36973317818288)</t>
  </si>
  <si>
    <t>[2020649, 2020657]</t>
  </si>
  <si>
    <t>[1765249, 1751465]</t>
  </si>
  <si>
    <t>0.03524508139916109</t>
  </si>
  <si>
    <t>[1751243, 1765249]</t>
  </si>
  <si>
    <t>[0.468, 1.124]</t>
  </si>
  <si>
    <t>21.148851253008417</t>
  </si>
  <si>
    <t>[-0.021, -0.004, 0.007, 0.006, 0.003, 0.009]</t>
  </si>
  <si>
    <t>9837.0</t>
  </si>
  <si>
    <t>LINESTRING (5.324267245282792 60.39004347154012, 5.324529370653714 60.39032773247591, 5.324813864951085 60.39064167442911, 5.325421401994911 60.39121901529363, 5.325648846141748 60.39142384311724, 5.326067621126556 60.39183265754135, 5.326111488293223 60.391874770265105)</t>
  </si>
  <si>
    <t>[1995719, 1995727, 1995735, 1995736, 1995744, 1995751]</t>
  </si>
  <si>
    <t>[1677782, 1665879, 1751296, 1710474, 1751300, 1751303]</t>
  </si>
  <si>
    <t>[1751285, 1677782, 1665879, 1751296, 1710474, 1751300]</t>
  </si>
  <si>
    <t>[0.021, 0.004, 0.007, 0.006, 0.003, 0.009]</t>
  </si>
  <si>
    <t>228.8267580131186</t>
  </si>
  <si>
    <t>[0.021, 0.027, 0.025]</t>
  </si>
  <si>
    <t>LINESTRING (5.324267245282792 60.39004347154012, 5.324144526597538 60.390076077660865, 5.323093951770321 60.390342727787335, 5.323014460713437 60.39036403185365)</t>
  </si>
  <si>
    <t>[1995963, 1995964, 1996006]</t>
  </si>
  <si>
    <t>[1751410, 1751411, 1751315]</t>
  </si>
  <si>
    <t>0.02627925418848121</t>
  </si>
  <si>
    <t>[1751285, 1751410, 1751411]</t>
  </si>
  <si>
    <t>78.00850785170239</t>
  </si>
  <si>
    <t>[-0.045, -0.044, -0.03]</t>
  </si>
  <si>
    <t>LINESTRING (5.323560713972769 60.38941906043876, 5.323608065304198 60.38946233446986, 5.324225831919088 60.390011487975265, 5.324267245282792 60.39004347154012)</t>
  </si>
  <si>
    <t>[2058872, 2058878, 2058879]</t>
  </si>
  <si>
    <t>[1790285, 1790290, 1751285]</t>
  </si>
  <si>
    <t>[1751327, 1790285, 1790290]</t>
  </si>
  <si>
    <t>[0.045, 0.044, 0.03]</t>
  </si>
  <si>
    <t>79.99026623259078</t>
  </si>
  <si>
    <t>[0.0, -0.012, 0.008, 0.026]</t>
  </si>
  <si>
    <t>LINESTRING (5.32495928741215 60.39208513848874, 5.32495928741215 60.39208513848874, 5.324298975068244 60.39147588334076, 5.323682107221003 60.390935842812, 5.323014460713437 60.39036403185365)</t>
  </si>
  <si>
    <t>[1995758, 1995775, 1995776, 1995780]</t>
  </si>
  <si>
    <t>[1751308, 1751314, 1665870, 1751315]</t>
  </si>
  <si>
    <t>0.0068861275038096656</t>
  </si>
  <si>
    <t>[1751307, 1751308, 1751314, 1665870]</t>
  </si>
  <si>
    <t>[0.0, 0.012, 0.008, 0.026]</t>
  </si>
  <si>
    <t>224.57690105118826</t>
  </si>
  <si>
    <t>[0.045, -0.026, -0.028]</t>
  </si>
  <si>
    <t>LINESTRING (5.323014460713437 60.39036403185365, 5.3223549270482 60.38975301165515, 5.322817206537501 60.3896259222889, 5.323560713972769 60.38941906043876)</t>
  </si>
  <si>
    <t>[1995790, 1995793, 1995799]</t>
  </si>
  <si>
    <t>[1751323, 1655944, 1751327]</t>
  </si>
  <si>
    <t>0.00912628401637623</t>
  </si>
  <si>
    <t>[1751315, 1751323, 1655944]</t>
  </si>
  <si>
    <t>[0.045, 0.026, 0.028]</t>
  </si>
  <si>
    <t>153.89301336847367</t>
  </si>
  <si>
    <t>[-0.024, 0.001, 0.001, -0.002, 0.002, -0.001, 0.001, 0.005, 0.008, 0.007, 0.009, -0.004]</t>
  </si>
  <si>
    <t>LINESTRING (5.334352660277856 60.38574291850721, 5.334198925766048 60.3860290240808, 5.334152853905704 60.38610581582197, 5.334004641772012 60.38643710031126, 5.333985690306934 60.386516512925304, 5.333954022992035 60.38654460224001, 5.333915885545586 60.386630541398084, 5.33365530437625 60.38709654191185, 5.333215903555965 60.387557305065286, 5.333056240805129 60.38769060762656, 5.332555817053211 60.38802812262491, 5.332500473393785 60.38804939277509, 5.332069594470771 60.38809559794341)</t>
  </si>
  <si>
    <t>[2017320, 2017328, 2017336, 2017344, 2017352, 2017360, 2017368, 2017376, 2017384, 2017392, 2017400, 2017408]</t>
  </si>
  <si>
    <t>[1763082, 1585558, 1763090, 1753820, 1763096, 1761976, 1763105, 1758045, 1763115, 1699115, 1763121, 1751363]</t>
  </si>
  <si>
    <t>[1757102, 1763082, 1585558, 1763090, 1753820, 1763096, 1761976, 1763105, 1758045, 1763115, 1699115, 1763121]</t>
  </si>
  <si>
    <t>[0.024, 0.001, 0.001, 0.002, 0.002, 0.001, 0.001, 0.005, 0.008, 0.007, 0.009, 0.004]</t>
  </si>
  <si>
    <t>306.3502288927384</t>
  </si>
  <si>
    <t>[-0.001, -0.008, -0.006]</t>
  </si>
  <si>
    <t>LINESTRING (5.3357020522929925 60.38475004507491, 5.33514686309271 60.384859510358595, 5.336468023586921 60.38563562412909, 5.33657660306125 60.385675238539804)</t>
  </si>
  <si>
    <t>[1995891, 1995892, 1995920]</t>
  </si>
  <si>
    <t>[1751369, 1751370, 1751389]</t>
  </si>
  <si>
    <t>[1751368, 1751369, 1751370]</t>
  </si>
  <si>
    <t>[0.001, 0.008, 0.006]</t>
  </si>
  <si>
    <t>283.3347726997763</t>
  </si>
  <si>
    <t>[0.015, 0.022, 0.013, 0.002, 0.021, -0.054]</t>
  </si>
  <si>
    <t>LINESTRING (5.3357020522929925 60.38475004507491, 5.335774342978651 60.384698357454184, 5.335977138364131 60.384185879648, 5.335840784704512 60.38380412733183, 5.335548883415743 60.383021124752766, 5.335406389692246 60.38269047963225, 5.335364850364448 60.38260331438107)</t>
  </si>
  <si>
    <t>[2002022, 2002030, 2002038, 2002046, 2002054, 2006967]</t>
  </si>
  <si>
    <t>[1754357, 1754360, 1754363, 1754368, 1754372, 1757097]</t>
  </si>
  <si>
    <t>0.009774690650182799</t>
  </si>
  <si>
    <t>[1751368, 1754357, 1754360, 1754363, 1754368, 1754372]</t>
  </si>
  <si>
    <t>[0.015, 0.022, 0.013, 0.002, 0.021, 0.054]</t>
  </si>
  <si>
    <t>246.80812653109155</t>
  </si>
  <si>
    <t>LINESTRING (5.335218352427526 60.38501761457067, 5.335218352427526 60.38501761457067, 5.3357020522929925 60.38475004507491)</t>
  </si>
  <si>
    <t>[2014125, 1995890]</t>
  </si>
  <si>
    <t>[1751367, 1751368]</t>
  </si>
  <si>
    <t>0.003190445793634201</t>
  </si>
  <si>
    <t>[1761200, 1751367]</t>
  </si>
  <si>
    <t>50.4005295941627</t>
  </si>
  <si>
    <t>[-0.138, -0.126]</t>
  </si>
  <si>
    <t>LINESTRING (5.226113518990324 60.36890005554108, 5.226007566967973 60.36889400817386, 5.225909819916719 60.368861428836766)</t>
  </si>
  <si>
    <t>[1995901, 1995917]</t>
  </si>
  <si>
    <t>[1751377, 1751388]</t>
  </si>
  <si>
    <t>[1751374, 1751377]</t>
  </si>
  <si>
    <t>[0.138, 0.126]</t>
  </si>
  <si>
    <t>12.425052755294972</t>
  </si>
  <si>
    <t>[0.007, 0.05, 0.097, 0.089, 0.0, 0.251, 0.056, -0.173, -0.025, 0.049, -0.137, -0.135, -0.162, 1.034, -0.179, 0.003]</t>
  </si>
  <si>
    <t>28008.0</t>
  </si>
  <si>
    <t>[1, 1, 1, 0, 0, 0, 0, 0, 0, 0, 0, 0, 0, 0, 0, 0]</t>
  </si>
  <si>
    <t>LINESTRING (5.33657660306125 60.385675238539804, 5.338555597139156 60.38779117701329, 5.339442335885025 60.38866267597667, 5.339910295500653 60.38898036527448, 5.3399294440811556 60.38899339990885, 5.33993175227348 60.388994970974466, 5.339396143156059 60.39928440560819, 5.33939045788146 60.399292898842575, 5.334199887388418 60.40698913415975, 5.334194166090421 60.40699761563931, 5.331007670348676 60.41158629802876, 5.317486912995847 60.41707917897272, 5.316567854819004 60.41726832087547, 5.314980303068892 60.4175946014222, 5.3149767247557484 60.417595370008485, 5.314875170787766 60.41761709803888, 5.312788676543373 60.41826720466414)</t>
  </si>
  <si>
    <t>[2062906, 2062907, 2062915, 2062923, 2062931, 2062955, 2062956, 2062957, 2062958, 2062970, 2062978, 2062986, 2062994, 2063002, 2063010, 2063018]</t>
  </si>
  <si>
    <t>[1793039, 1793040, 1793051, 1793057, 1793064, 1793084, 1793085, 1793086, 1793087, 1793096, 1793099, 1793107, 1793112, 1793117, 1793123, 1621743]</t>
  </si>
  <si>
    <t>0.0066449513453358915</t>
  </si>
  <si>
    <t>[1751389, 1793039, 1793040, 1793051, 1793057, 1793064, 1793084, 1793085, 1793086, 1793087, 1793096, 1793099, 1793107, 1793112, 1793117, 1793123]</t>
  </si>
  <si>
    <t>[0.007, 0.05, 0.097, 0.089, 0.0, 0.251, 0.056, 0.173, 0.025, 0.049, 0.137, 0.135, 0.162, 1.034, 0.179, 0.003]</t>
  </si>
  <si>
    <t>4388.67498036548</t>
  </si>
  <si>
    <t>125.35421404959561</t>
  </si>
  <si>
    <t>[0.025, 0.058, -0.097, 0.128, 0.12]</t>
  </si>
  <si>
    <t>LINESTRING (6.698061380878513 60.8398255527946, 6.698079406574531 60.83978258879756, 6.69626073070763 60.838570554170055, 6.695900421890103 60.838667142995526, 6.679945968611113 60.83625339572651, 6.679901359059958 60.836221272638)</t>
  </si>
  <si>
    <t>[1995944, 1995952, 1995953, 1995961, 1995962]</t>
  </si>
  <si>
    <t>[1751400, 1751405, 1751406, 1751409, 1695865]</t>
  </si>
  <si>
    <t>0.11825509301937999</t>
  </si>
  <si>
    <t>[1751399, 1751400, 1751405, 1751406, 1751409]</t>
  </si>
  <si>
    <t>[0.025, 0.058, 0.097, 0.128, 0.12]</t>
  </si>
  <si>
    <t>1905.4845811690764</t>
  </si>
  <si>
    <t>[18.025, -0.126, -0.137, 0.073, 0.152, 0.162, 0.027, -0.019, 0.023, 0.029, 0.001, 0.0, 0.087, 0.046, 0.042, 0.046, -0.007, -0.02, 0.039, 0.026, 0.0, -0.013, -0.014, -0.005, -0.015, 0.034, 0.052, 0.037, 0.03, 0.034, 0.064, 0.056, 0.056, 0.033, -0.017, -0.02, -0.022, -0.029, -0.038, -0.039, -0.047, -0.043, -0.028, -0.042, -0.02, 0.014, 0.02, -0.047, -0.056, -0.06, 0.011, 0.153, 0.136, 0.108, -0.085, -0.101, 0.028, 0.018, -0.098, -0.078, 0.026, 0.099, 0.02, -0.136, -0.138, -0.079, 0.019, 0.019, 0.016, 0.012, 0.007, 0.009, 0.004, 0.009, 0.023, 0.014, 0.009, 0.002, -0.022, 0.01, 0.024, 0.039, 0.048, 0.051, 0.05, 0.063, 0.128, 0.123, -0.022, -0.092, -0.076, -0.065, -0.08, -0.089, -0.069, -0.036, -0.013, -0.03, -0.042, -0.036, -0.057, -0.062, -0.062, -0.111]</t>
  </si>
  <si>
    <t>[0, 1, 0, 0, 0, 0, 0, 0, 0, 0, 0, 0, 0, 0, 0, 0, 0, 0, 0, 0, 0, 0, 0, 0, 0, 0, 0, 0, 0, 0, 0, 0, 0, 0, 0, 0, 0, 0, 0, 0, 1, 0, 0, 0, 0, 0, 0, 0, 0, 0, 0, 0, 0, 0, 0, 0, 0, 0, 0, 0, 0, 0, 0, 0, 0, 0, 0, 0, 0, 0, 1, 0, 0, 0, 0, 0, 1, 0, 0, 0, 0, 0, 0, 0, 0, 0, 0, 0, 0, 0, 0, 0, 0, 0, 0, 0, 0, 0, 0, 0, 0, 0, 0, 0]</t>
  </si>
  <si>
    <t>LINESTRING (6.698061380878513 60.8398255527946, 6.6979573983661425 60.839810383035655, 6.697218536966997 60.83977956332205, 6.696006950659004 60.83994202660732, 6.6948541545529565 60.84045324354458, 6.694124046668834 60.8408512907259, 6.694088031997588 60.840871738146035, 6.6844909373949495 60.836832612557615, 6.684440779182924 60.83671034890205, 6.684102959741866 60.83585090629754, 6.684049490970414 60.83573798820752, 6.684837068497935 60.827922405976885, 6.685471692173566 60.82765627007928, 6.68758713975372 60.82568666620355, 6.688148995859457 60.82399943889514, 6.688175923594547 60.823315566014294, 6.68812656028503 60.82260996804973, 6.688783192599873 60.81719244777051, 6.686426649690488 60.81431040624598, 6.68350256140284 60.813304510219425, 6.681571790178976 60.81221296427076, 6.680561071742157 60.811608858566046, 6.680435246463785 60.811532305788894, 6.679543402753058 60.811001430022124, 6.6788203316135 60.81058461240616, 6.676215589894228 60.80943161330573, 6.674571298294407 60.80878585268171, 6.67416641818313 60.80864493800579, 6.6714851690260275 60.80811760129925, 6.670931931440635 60.80808275298316, 6.668303789107085 60.807941294706545, 6.667516939405356 60.80782690732724, 6.667427195556711 60.8078103770053, 6.666882750482976 60.80770793088459, 6.6632764099036725 60.806923365080124, 6.661897892008608 60.80662142000827, 6.661555136752042 60.80654729444598, 6.661419390589536 60.806517817197346, 6.65922158657587 60.80599611372425, 6.6582360060944685 60.80573581530557, 6.658159293504767 60.80571684287366, 6.65799690984239 60.80567147580363, 6.6579285112111 60.80564969157975, 6.655191748400412 60.80478749382108, 6.655012429198004 60.8047283688165, 6.649580942263216 60.803851306009484, 6.649121685571708 60.80382320345737, 6.644265698046219 60.8032539083004, 6.64327796303988 60.80327754807858, 6.643157344283888 60.80328685673968, 6.642368635515094 60.80337615783775, 6.639646975244208 60.804206137401856, 6.638181686512666 60.804995599455594, 6.636187500018191 60.805780507310395, 6.632792500426671 60.806190583339166, 6.625180785909043 60.804659951973115, 6.623129707035176 60.804078943732435, 6.6172373924708365 60.8018975532716, 6.598758857248852 60.79917378893446, 6.596025291621138 60.798845070624125, 6.593940699602798 60.79864268572065, 6.5894565145013075 60.797631831716785, 6.588581347424826 60.797332219585314, 6.580785825867038 60.79415380843048, 6.578945370489963 60.79359277628835, 6.57672355107345 60.79303798192831, 6.575496193286242 60.792406412960794, 6.574022793492268 60.79172284699678, 6.573676529763028 60.79158079645166, 6.572560962065885 60.791141785387246, 6.571918356311359 60.79088506610699, 6.571819625356313 60.79084487311998, 6.571344801045461 60.79065311576842, 6.570312134508342 60.79023062922048, 6.5695350198430305 60.78990990427935, 6.569300473031797 60.789815285937074, 6.5679683457801525 60.78927236523694, 6.567710471046147 60.78916771708343, 6.5668337811702555 60.78880554117425, 6.564570216835462 60.78676008970054, 6.563380747563694 60.78478336276392, 6.562945398237541 60.78434448290836, 6.562212325851841 60.78390161062676, 6.561779058688748 60.78372103010249, 6.561334256218013 60.783556404902946, 6.5607803091185435 60.78336260063532, 6.558398925131005 60.78269566817846, 6.558314723320685 60.782683744033235, 6.555215023002912 60.78307575385418, 6.536537534388542 60.79232115271618, 6.5255670891808535 60.79262266872653, 6.524785193341489 60.792638092761216, 6.524675331025377 60.792640464208844, 6.5238394433878435 60.79268005615854, 6.5232466938597 60.792735291866435, 6.521761048450603 60.79282414039169, 6.51967308895642 60.792639627842014, 6.519411775745282 60.79259266365504, 6.516535184181532 60.79224728245993, 6.516379965711271 60.79225636923508, 6.514847526934715 60.792407633435246, 6.514457380919937 60.792430934037654, 6.51244785714249 60.79233483832088, 6.511617812476608 60.792234789216124, 6.509508379968354 60.79199122110759)</t>
  </si>
  <si>
    <t>[2054672, 2054680, 2054688, 2054696, 2054704, 2054712, 2054720, 2054728, 2054736, 2054745, 2054753, 2054761, 2054769, 2054777, 2054785, 2054793, 2054801, 2054809, 2054817, 2054825, 2054833, 2054841, 2054849, 2054857, 2054865, 2054873, 2054881, 2054889, 2054897, 2054905, 2054913, 2054921, 2054929, 2054937, 2054945, 2054953, 2054961, 2054969, 2054977, 2054985, 2054993, 2055001, 2055009, 2055017, 2055025, 2055033, 2055041, 2055049, 2055057, 2055065, 2055073, 2055081, 2055089, 2055097, 2055105, 2055113, 2055121, 2055129, 2055137, 2055145, 2055153, 2055161, 2055169, 2055177, 2055185, 2055193, 2055201, 2055209, 2055217, 2055225, 2055233, 2055241, 2055249, 2055257, 2055265, 2055273, 2055281, 2055289, 2055297, 2055305, 2055313, 2055321, 2055329, 2055337, 2055345, 2055353, 2055361, 2055369, 2055377, 2055385, 2055393, 2055401, 2055409, 2055417, 2055425, 2055433, 2055441, 2055449, 2055457, 2055465, 2055473, 2055481, 2055489, 2055497]</t>
  </si>
  <si>
    <t>[1787453, 1787457, 1721836, 1787465, 1787470, 1787477, 1787484, 1787491, 1787498, 1787505, 1787510, 1787518, 1695818, 1787531, 1695732, 1725421, 1777093, 1748328, 1754339, 1787560, 1748312, 1787572, 1787577, 1787581, 1721483, 1787592, 1726487, 1777135, 1058674, 1787615, 1787622, 1695549, 1695502, 1787641, 1721509, 1787654, 1787660, 1787668, 1721616, 1787681, 1787686, 1776901, 1787694, 1058734, 1777048, 1695477, 1759201, 1721444, 1787721, 1787728, 1787735, 688763, 1720142, 1720152, 1720160, 1720164, 1721421, 1721408, 1776916, 1776909, 1720166, 1776899, 1720883, 1787813, 1720180, 1695337, 1720466, 1787835, 1787839, 1787843, 1787849, 1776937, 1779348, 1695370, 1776923, 1787873, 1787877, 1720391, 688804, 1695217, 1779398, 1787904, 1720198, 1787917, 1787922, 1759349, 1787931, 1787937, 1719716, 1779293, 1787952, 1719725, 1787963, 1719727, 1719921, 1719933, 1787983, 1787988, 1719735, 1788000, 1695124, 1788010, 1754520, 1760912]</t>
  </si>
  <si>
    <t>0.005030607639949468</t>
  </si>
  <si>
    <t>[1751399, 1787453, 1787457, 1721836, 1787465, 1787470, 1787477, 1787484, 1787491, 1787498, 1787505, 1787510, 1787518, 1695818, 1787531, 1695732, 1725421, 1777093, 1748328, 1754339, 1787560, 1748312, 1787572, 1787577, 1787581, 1721483, 1787592, 1726487, 1777135, 1058674, 1787615, 1787622, 1695549, 1695502, 1787641, 1721509, 1787654, 1787660, 1787668, 1721616, 1787681, 1787686, 1776901, 1787694, 1058734, 1777048, 1695477, 1759201, 1721444, 1787721, 1787728, 1787735, 688763, 1720142, 1720152, 1720160, 1720164, 1721421, 1721408, 1776916, 1776909, 1720166, 1776899, 1720883, 1787813, 1720180, 1695337, 1720466, 1787835, 1787839, 1787843, 1787849, 1776937, 1779348, 1695370, 1776923, 1787873, 1787877, 1720391, 688804, 1695217, 1779398, 1787904, 1720198, 1787917, 1787922, 1759349, 1787931, 1787937, 1719716, 1779293, 1787952, 1719725, 1787963, 1719727, 1719921, 1719933, 1787983, 1787988, 1719735, 1788000, 1695124, 1788010, 1754520]</t>
  </si>
  <si>
    <t>[18.025, 0.126, 0.137, 0.073, 0.152, 0.162, 0.027, 0.019, 0.023, 0.029, 0.001, 0.0, 0.087, 0.046, 0.042, 0.046, 0.007, 0.02, 0.039, 0.026, 0.0, 0.013, 0.014, 0.005, 0.015, 0.034, 0.052, 0.037, 0.03, 0.034, 0.064, 0.056, 0.056, 0.033, 0.017, 0.02, 0.022, 0.029, 0.038, 0.039, 0.047, 0.043, 0.028, 0.042, 0.02, 0.014, 0.02, 0.047, 0.056, 0.06, 0.011, 0.153, 0.136, 0.108, 0.085, 0.101, 0.028, 0.018, 0.098, 0.078, 0.026, 0.099, 0.02, 0.136, 0.138, 0.079, 0.019, 0.019, 0.016, 0.012, 0.007, 0.009, 0.004, 0.009, 0.023, 0.014, 0.009, 0.002, 0.022, 0.01, 0.024, 0.039, 0.048, 0.051, 0.05, 0.063, 0.128, 0.123, 0.022, 0.092, 0.076, 0.065, 0.08, 0.089, 0.069, 0.036, 0.013, 0.03, 0.042, 0.036, 0.057, 0.062, 0.062, 0.111]</t>
  </si>
  <si>
    <t>16063.623707534434</t>
  </si>
  <si>
    <t>1528.0</t>
  </si>
  <si>
    <t>LINESTRING (6.95292923624202 60.886142847056746, 6.698061380878513 60.8398255527946)</t>
  </si>
  <si>
    <t>[-0.038, -0.021]</t>
  </si>
  <si>
    <t>LINESTRING (5.225477975963707 60.36973317818288, 5.225587590264532 60.36973316467831, 5.225684263781561 60.36975842711513)</t>
  </si>
  <si>
    <t>[1996051, 1996059]</t>
  </si>
  <si>
    <t>[1751466, 1751418]</t>
  </si>
  <si>
    <t>[1751465, 1751466]</t>
  </si>
  <si>
    <t>[0.038, 0.021]</t>
  </si>
  <si>
    <t>12.117256754868245</t>
  </si>
  <si>
    <t>[0.029, -0.003, 0.126]</t>
  </si>
  <si>
    <t>LINESTRING (6.375160869922962 60.61924598204335, 6.375027028744035 60.61921741878215, 6.373412850747901 60.618699806663315, 6.373381933432964 60.61872140764093)</t>
  </si>
  <si>
    <t>[1996014, 1996023, 1996031]</t>
  </si>
  <si>
    <t>[1751444, 1751449, 1696606]</t>
  </si>
  <si>
    <t>0.0019313707585721961</t>
  </si>
  <si>
    <t>[1751443, 1751444, 1751449]</t>
  </si>
  <si>
    <t>[0.029, 0.003, 0.126]</t>
  </si>
  <si>
    <t>129.1187210315852</t>
  </si>
  <si>
    <t>LINESTRING (6.375160869922962 60.61924598204335, 6.375056958590804 60.61919497656447, 6.374621311164486 60.618983332120855)</t>
  </si>
  <si>
    <t>[2056241, 2056249]</t>
  </si>
  <si>
    <t>[1788546, 1751528]</t>
  </si>
  <si>
    <t>0.007226463856953305</t>
  </si>
  <si>
    <t>[1751443, 1788546]</t>
  </si>
  <si>
    <t>41.680777735705824</t>
  </si>
  <si>
    <t>[0.045, 0.041, -0.04, -0.137, -0.003, -0.006, 0.015]</t>
  </si>
  <si>
    <t>LINESTRING (6.400091707950826 60.626943005364645, 6.398516299753556 60.62642192220416, 6.392982779610066 60.62528567083747, 6.390050634158975 60.62430218966575, 6.386470505482335 60.62319626379085, 6.375390693038228 60.619360639240156, 6.37537773552305 60.61935435142974, 6.375160869922962 60.61924598204335)</t>
  </si>
  <si>
    <t>[2113110, 2113118, 2113126, 2113134, 2056217, 2056225, 2056233]</t>
  </si>
  <si>
    <t>[1823111, 1823117, 1823123, 1788529, 1788530, 1788536, 1751443]</t>
  </si>
  <si>
    <t>[1823013, 1823111, 1823117, 1823123, 1788529, 1788530, 1788536]</t>
  </si>
  <si>
    <t>[0.045, 0.041, 0.04, 0.137, 0.003, 0.006, 0.015]</t>
  </si>
  <si>
    <t>1635.384352417039</t>
  </si>
  <si>
    <t>[-0.023, 0.015]</t>
  </si>
  <si>
    <t>LINESTRING (6.37268057170518 60.61807418809173, 6.372796581339631 60.618100692325946, 6.374636258103677 60.61872960269755)</t>
  </si>
  <si>
    <t>[1996039, 1996040]</t>
  </si>
  <si>
    <t>[1751460, 1751461]</t>
  </si>
  <si>
    <t>0.013028577579815275</t>
  </si>
  <si>
    <t>[1751459, 1751460]</t>
  </si>
  <si>
    <t>[0.023, 0.015]</t>
  </si>
  <si>
    <t>135.34037171500643</t>
  </si>
  <si>
    <t>[0.009, 0.009, 0.025, -0.017, -0.001, 0.007, 0.007, -0.004, -0.057, 0.032, -0.005, 0.016, 0.016, 0.007, 0.004, 0.006, 0.026, 0.017, 0.016, 0.02, -0.001, 0.225]</t>
  </si>
  <si>
    <t>5144.0</t>
  </si>
  <si>
    <t>[0, 0, 0, 0, 0, 0, 0, 0, 0, 0, 0, 1, 0, 1, 0, 0, 0, 0, 0, 0, 0, 0]</t>
  </si>
  <si>
    <t>LINESTRING (6.37268057170518 60.61807418809173, 6.363649756422826 60.61512326600307, 6.362251533716666 60.614641097762885, 6.362235116915028 60.61463722982483, 6.3618112813748136 60.61454592612741, 6.357321299895617 60.61364134015146, 6.3448312326980885 60.61612271572086, 6.339426718230904 60.61866532152343, 6.330404854168477 60.62152880837803, 6.327789681976709 60.62231621006981, 6.3255970570227005 60.62300760361095, 6.3146417535796955 60.62674281024628, 6.314384834193519 60.62677225432095, 6.313130393655401 60.6268719408882, 6.3128749108800175 60.626883862312326, 6.3116614625869945 60.62691652030524, 6.3116430604823455 60.626916851915695, 6.309738996432299 60.62695372526833, 6.306549463135752 60.62701333826034, 6.305368424780497 60.62703203653085, 6.30426706541494 60.62705928396518, 6.282362913781071 60.63088037132734, 6.280905766906451 60.63113340822331)</t>
  </si>
  <si>
    <t>[2056273, 2056281, 2056289, 2056297, 2056305, 2056313, 2056321, 2056329, 2056337, 2056345, 2056353, 2056361, 2056369, 2056377, 2056385, 2056393, 2056401, 2056409, 2056417, 2056425, 2056433, 2056441]</t>
  </si>
  <si>
    <t>[1788563, 1788568, 1788574, 1788582, 1788585, 1788592, 1788597, 1788602, 1753760, 1788609, 1788614, 1788621, 1788625, 1788630, 1788636, 1788641, 1786988, 1788649, 1788650, 1788655, 1788660, 1751557]</t>
  </si>
  <si>
    <t>0.005214162168611746</t>
  </si>
  <si>
    <t>[1751459, 1788563, 1788568, 1788574, 1788582, 1788585, 1788592, 1788597, 1788602, 1753760, 1788609, 1788614, 1788621, 1788625, 1788630, 1788636, 1788641, 1786988, 1788649, 1788650, 1788655, 1788660]</t>
  </si>
  <si>
    <t>[0.009, 0.009, 0.025, 0.017, 0.001, 0.007, 0.007, 0.004, 0.057, 0.032, 0.005, 0.016, 0.016, 0.007, 0.004, 0.006, 0.026, 0.017, 0.016, 0.02, 0.001, 0.225]</t>
  </si>
  <si>
    <t>5800.941893907918</t>
  </si>
  <si>
    <t>56.582196846773506</t>
  </si>
  <si>
    <t>[0.058, 0.055, 0.03]</t>
  </si>
  <si>
    <t>LINESTRING (6.374636258103677 60.61872960269755, 6.374593579990244 60.61875844229084, 6.374539223325412 60.61889219683026, 6.374621311164486 60.618983332120855)</t>
  </si>
  <si>
    <t>[1996133, 1996134, 1996142]</t>
  </si>
  <si>
    <t>[1751521, 1751522, 1751528]</t>
  </si>
  <si>
    <t>0.04639275049416779</t>
  </si>
  <si>
    <t>[1751461, 1751521, 1751522]</t>
  </si>
  <si>
    <t>30.94104885286731</t>
  </si>
  <si>
    <t>90.6536540907641</t>
  </si>
  <si>
    <t>[0.0, -0.123, -0.064]</t>
  </si>
  <si>
    <t>LINESTRING (6.3732894167435274 60.61863940257746, 6.3732894167435274 60.61863940257746, 6.373449887624363 60.61846647909489, 6.373456268501607 60.61840791505811)</t>
  </si>
  <si>
    <t>[1996156, 1996170, 1996184]</t>
  </si>
  <si>
    <t>[1751541, 1751551, 1751556]</t>
  </si>
  <si>
    <t>[1696613, 1751541, 1751551]</t>
  </si>
  <si>
    <t>[0.0, 0.123, 0.064]</t>
  </si>
  <si>
    <t>33.0533787724547</t>
  </si>
  <si>
    <t>[0.608, 0.202]</t>
  </si>
  <si>
    <t>LINESTRING (6.280905766906451 60.63113340822331, 6.280857811374234 60.63116097239516, 6.278865820380717 60.631561323873804)</t>
  </si>
  <si>
    <t>[1996185, 1996192]</t>
  </si>
  <si>
    <t>[1751558, 1751560]</t>
  </si>
  <si>
    <t>0.21510303505965112</t>
  </si>
  <si>
    <t>[1751557, 1751558]</t>
  </si>
  <si>
    <t>125.48044626493052</t>
  </si>
  <si>
    <t>181.23088597185813</t>
  </si>
  <si>
    <t>[-0.16, -0.134]</t>
  </si>
  <si>
    <t>LINESTRING (5.576912995686478 60.42777550279536, 5.576767304233293 60.427779574255105, 5.57576799289078 60.42770645573529)</t>
  </si>
  <si>
    <t>[1996234, 1996235]</t>
  </si>
  <si>
    <t>[1751588, 1751589]</t>
  </si>
  <si>
    <t>[1751587, 1751588]</t>
  </si>
  <si>
    <t>[0.16, 0.134]</t>
  </si>
  <si>
    <t>63.860755434266444</t>
  </si>
  <si>
    <t>[-0.098, 0.071, -0.011, -0.019, -0.396, 0.348, 0.018, -0.376, -0.289, -0.212, 0.068, 0.766, 0.424, 0.003, -0.63, -0.271]</t>
  </si>
  <si>
    <t>LINESTRING (5.625423679669206 60.42460621519222, 5.6251418115371195 60.42481856945378, 5.624623139387642 60.425312116194114, 5.62377367272298 60.42600134018464, 5.622510946834383 60.42650104058657, 5.622495133023011 60.426505487235346, 5.622486966499617 60.42650671565373, 5.596415047668866 60.4259928171024, 5.591940356877261 60.42683895083509, 5.591887843106234 60.426847615131116, 5.590412802949899 60.427189191396785, 5.587725949895266 60.42776330692628, 5.587719381856659 60.42776462910805, 5.5876354343807035 60.427781531062045, 5.57698973328544 60.427782063367594, 5.57698437853595 60.42778160895049, 5.576912995686478 60.42777550279536)</t>
  </si>
  <si>
    <t>[2058363, 2058371, 2058379, 2058387, 2058395, 2058403, 2058411, 2058419, 2058427, 2058435, 2058443, 2058451, 2058459, 2058467, 2058475, 2058483]</t>
  </si>
  <si>
    <t>[1789962, 1789966, 1789972, 1789977, 1789982, 1789989, 1789996, 1789998, 1790005, 1790008, 1790014, 1790020, 1790027, 1790033, 1790040, 1751587]</t>
  </si>
  <si>
    <t>[1761024, 1789962, 1789966, 1789972, 1789977, 1789982, 1789989, 1789996, 1789998, 1790005, 1790008, 1790014, 1790020, 1790027, 1790033, 1790040]</t>
  </si>
  <si>
    <t>[0.098, 0.071, 0.011, 0.019, 0.396, 0.348, 0.018, 0.376, 0.289, 0.212, 0.068, 0.766, 0.424, 0.003, 0.63, 0.271]</t>
  </si>
  <si>
    <t>2858.760722668585</t>
  </si>
  <si>
    <t>0.236</t>
  </si>
  <si>
    <t>26.689502679353485</t>
  </si>
  <si>
    <t>[-0.094, -0.042, -0.056]</t>
  </si>
  <si>
    <t>LINESTRING (5.57576799289078 60.42770645573529, 5.575699405944527 60.427697040114474, 5.575367960756244 60.427660727663195, 5.575278351873283 60.42766066200941)</t>
  </si>
  <si>
    <t>[1996339, 1996348, 1996349]</t>
  </si>
  <si>
    <t>[1751660, 1751666, 1751667]</t>
  </si>
  <si>
    <t>[1751589, 1751660, 1751666]</t>
  </si>
  <si>
    <t>[0.094, 0.042, 0.056]</t>
  </si>
  <si>
    <t>27.634001306592467</t>
  </si>
  <si>
    <t>[0.197, 0.356, 0.382]</t>
  </si>
  <si>
    <t>LINESTRING (5.575598699305059 60.42789782028037, 5.577136600013838 60.42789280070542, 5.577282995238421 60.427848921801115, 5.577337341395858 60.42782567339684)</t>
  </si>
  <si>
    <t>[1996269, 1996274, 1996282]</t>
  </si>
  <si>
    <t>[1751612, 1751616, 1678317]</t>
  </si>
  <si>
    <t>0.21936497377709605</t>
  </si>
  <si>
    <t>[1751608, 1751612, 1751616]</t>
  </si>
  <si>
    <t>100.06943093642161</t>
  </si>
  <si>
    <t>[0.084, 0.168]</t>
  </si>
  <si>
    <t>LINESTRING (5.575598699305059 60.42789782028037, 5.575532257187239 60.42785600629218, 5.575278351873283 60.42766066200941)</t>
  </si>
  <si>
    <t>[1996369, 1996379]</t>
  </si>
  <si>
    <t>[1751683, 1751667]</t>
  </si>
  <si>
    <t>0.15242543848750473</t>
  </si>
  <si>
    <t>[1751608, 1751683]</t>
  </si>
  <si>
    <t>32.04430158129297</t>
  </si>
  <si>
    <t>[0.043, 0.13]</t>
  </si>
  <si>
    <t>LINESTRING (5.575278351873283 60.42766066200941, 5.573884992534552 60.427346013356726, 5.57380017642617 60.42728570690254)</t>
  </si>
  <si>
    <t>[1996380, 1996388]</t>
  </si>
  <si>
    <t>[1751688, 1751691]</t>
  </si>
  <si>
    <t>0.05065198330322733</t>
  </si>
  <si>
    <t>[1751667, 1751688]</t>
  </si>
  <si>
    <t>93.31388651843363</t>
  </si>
  <si>
    <t>[-0.491, -0.357]</t>
  </si>
  <si>
    <t>LINESTRING (5.568456640970372 60.42449270471014, 5.568442396317464 60.42455453012651, 5.568793496739365 60.424933542859144)</t>
  </si>
  <si>
    <t>[1996356, 1996357]</t>
  </si>
  <si>
    <t>[1751673, 1751674]</t>
  </si>
  <si>
    <t>[1751672, 1751673]</t>
  </si>
  <si>
    <t>[0.491, 0.357]</t>
  </si>
  <si>
    <t>55.325239798190744</t>
  </si>
  <si>
    <t>[0.064, -0.031, 0.297]</t>
  </si>
  <si>
    <t>LINESTRING (5.568456640970372 60.42449270471014, 5.568831478335054 60.42450313754912, 5.569837517485726 60.42467806647469, 5.569975053393662 60.42465804933623)</t>
  </si>
  <si>
    <t>[1996426, 1996434, 1996442]</t>
  </si>
  <si>
    <t>[1091524, 1751724, 1678309]</t>
  </si>
  <si>
    <t>0.021005254986409233</t>
  </si>
  <si>
    <t>[1751672, 1091524, 1751724]</t>
  </si>
  <si>
    <t>[0.064, 0.031, 0.297]</t>
  </si>
  <si>
    <t>87.83962523404183</t>
  </si>
  <si>
    <t>77.58712757585887</t>
  </si>
  <si>
    <t>[-0.044, -0.082]</t>
  </si>
  <si>
    <t>LINESTRING (5.568793496739365 60.424933542859144, 5.569898860597235 60.42543836803104, 5.570013266457045 60.425528821154764)</t>
  </si>
  <si>
    <t>[1996359, 1996368]</t>
  </si>
  <si>
    <t>[1751675, 1751682]</t>
  </si>
  <si>
    <t>[1751674, 1751675]</t>
  </si>
  <si>
    <t>95.22553131382344</t>
  </si>
  <si>
    <t>[-0.132, -0.119, 0.029]</t>
  </si>
  <si>
    <t>LINESTRING (5.567056759959371 60.424542747903146, 5.567134047155084 60.42457249282161, 5.568673240234708 60.42491319918026, 5.568793496739365 60.424933542859144)</t>
  </si>
  <si>
    <t>[1996396, 1996401, 1996404]</t>
  </si>
  <si>
    <t>[1751697, 1751702, 1751674]</t>
  </si>
  <si>
    <t>[1751696, 1751697, 1751702]</t>
  </si>
  <si>
    <t>[0.132, 0.119, 0.029]</t>
  </si>
  <si>
    <t>106.00244736728477</t>
  </si>
  <si>
    <t>328.4702428403992</t>
  </si>
  <si>
    <t>288.7113359091237</t>
  </si>
  <si>
    <t>[0.014, 0.035]</t>
  </si>
  <si>
    <t>LINESTRING (5.564856915667852 60.42409080780122, 5.564994305162251 60.42411509206794, 5.567056759959371 60.424542747903146)</t>
  </si>
  <si>
    <t>[1996407, 1996410]</t>
  </si>
  <si>
    <t>[1751707, 1751696]</t>
  </si>
  <si>
    <t>0.03373163921431628</t>
  </si>
  <si>
    <t>[1751706, 1751707]</t>
  </si>
  <si>
    <t>133.45440759173403</t>
  </si>
  <si>
    <t>[0.005, 0.338, -0.011, -0.606, -0.085, 0.382, 0.386, 0.534, 0.034, -0.124, -0.188, -0.179]</t>
  </si>
  <si>
    <t>LINESTRING (5.564856915667852 60.42409080780122, 5.554317998544228 60.42206274249079, 5.55429732590615 60.42206270135927, 5.548709416743619 60.422108626216925, 5.548673487865285 60.42210859532926, 5.547559549174422 60.422113120459215, 5.547506303171836 60.422113829823665, 5.547495764289096 60.42211390725226, 5.547488138495287 60.422113967166595, 5.542440398734953 60.422144412055516, 5.542429186443736 60.42214454031123, 5.54242166035405 60.422144634201715, 5.542271704188597 60.42214589233552)</t>
  </si>
  <si>
    <t>[2058515, 2058531, 2058539, 2058542, 2058550, 2058558, 2058566, 2058574, 2058582, 2058590, 2058598, 2058611]</t>
  </si>
  <si>
    <t>[1790066, 1790077, 1790084, 1790086, 1790094, 1790099, 1790105, 1790111, 1790116, 1790120, 1790126, 1751748]</t>
  </si>
  <si>
    <t>0.002427863891331632</t>
  </si>
  <si>
    <t>[1751706, 1790066, 1790077, 1790084, 1790086, 1790094, 1790099, 1790105, 1790111, 1790116, 1790120, 1790126]</t>
  </si>
  <si>
    <t>[0.005, 0.338, 0.011, 0.606, 0.085, 0.382, 0.386, 0.534, 0.034, 0.124, 0.188, 0.179]</t>
  </si>
  <si>
    <t>1304.0946542639165</t>
  </si>
  <si>
    <t>[-0.13, -0.059, 0.07, 0.144]</t>
  </si>
  <si>
    <t>8640.0</t>
  </si>
  <si>
    <t>LINESTRING (5.538779432404156 60.422142555074466, 5.538640333297721 60.42216785350403, 5.537604334532804 60.42218313318448, 5.537334604334111 60.42210502587044, 5.537226272269032 60.42205657038147)</t>
  </si>
  <si>
    <t>[1996450, 1996451, 1996469, 1996470]</t>
  </si>
  <si>
    <t>[1751733, 1751734, 1751742, 1751743]</t>
  </si>
  <si>
    <t>[1751732, 1751733, 1751734, 1751742]</t>
  </si>
  <si>
    <t>[0.13, 0.059, 0.07, 0.144]</t>
  </si>
  <si>
    <t>91.46358651097715</t>
  </si>
  <si>
    <t>[-0.01, -0.017, -0.071, -0.03]</t>
  </si>
  <si>
    <t>LINESTRING (5.538779432404156 60.422142555074466, 5.538731337412887 60.42214184862278, 5.5380729272096305 60.42211313201988, 5.538054830660873 60.42211228730645, 5.537226272269032 60.42205657038147)</t>
  </si>
  <si>
    <t>[2058635, 2058643, 2058651, 2058659]</t>
  </si>
  <si>
    <t>[1790146, 1790150, 1790157, 1751743]</t>
  </si>
  <si>
    <t>[1751732, 1790146, 1790150, 1790157]</t>
  </si>
  <si>
    <t>[0.01, 0.017, 0.071, 0.03]</t>
  </si>
  <si>
    <t>86.3774833794154</t>
  </si>
  <si>
    <t>150.65371703670033</t>
  </si>
  <si>
    <t>[0.069, 0.014, -0.317, -0.189]</t>
  </si>
  <si>
    <t>2316.0</t>
  </si>
  <si>
    <t>LINESTRING (5.537226272269032 60.42205657038147, 5.536635337754101 60.421999767390886, 5.534389305756889 60.42167433612075, 5.5343722301634415 60.42167125821576, 5.533355957450511 60.42145269254998)</t>
  </si>
  <si>
    <t>[2058667, 2058675, 2058683, 2058691]</t>
  </si>
  <si>
    <t>[1790164, 1790169, 1790174, 1751774]</t>
  </si>
  <si>
    <t>[1751743, 1790164, 1790169, 1790174]</t>
  </si>
  <si>
    <t>[0.069, 0.014, 0.317, 0.189]</t>
  </si>
  <si>
    <t>224.91071919070902</t>
  </si>
  <si>
    <t>42.31784493561814</t>
  </si>
  <si>
    <t>[-0.232, -0.047, -0.056, -0.285]</t>
  </si>
  <si>
    <t>235.0</t>
  </si>
  <si>
    <t>LINESTRING (5.542271704188597 60.42214589233552, 5.542127701817193 60.42218169408799, 5.5398686369713515 60.42224662367696, 5.537994079423903 60.422394627652096, 5.5379432986023795 60.42241811620748)</t>
  </si>
  <si>
    <t>[1996477, 1996494, 1996502, 1996503]</t>
  </si>
  <si>
    <t>[1751749, 1751763, 1751769, 1751770]</t>
  </si>
  <si>
    <t>[1751748, 1751749, 1751763, 1751769]</t>
  </si>
  <si>
    <t>[0.232, 0.047, 0.056, 0.285]</t>
  </si>
  <si>
    <t>244.0286926726875</t>
  </si>
  <si>
    <t>22.649724060686864</t>
  </si>
  <si>
    <t>[-0.272, -0.311]</t>
  </si>
  <si>
    <t>LINESTRING (5.53723234080367 60.421705249871046, 5.537852165252254 60.42198658552992, 5.5379432986023795 60.42241811620748)</t>
  </si>
  <si>
    <t>[1996527, 1996535]</t>
  </si>
  <si>
    <t>[1751786, 1751770]</t>
  </si>
  <si>
    <t>[1751781, 1751786]</t>
  </si>
  <si>
    <t>[0.272, 0.311]</t>
  </si>
  <si>
    <t>96.34083077529668</t>
  </si>
  <si>
    <t>0.171</t>
  </si>
  <si>
    <t>25.14060460683402</t>
  </si>
  <si>
    <t>[0.295, 0.114]</t>
  </si>
  <si>
    <t>LINESTRING (5.533355957450511 60.42145269254998, 5.533518960204619 60.42146437968273, 5.53723234080367 60.421705249871046)</t>
  </si>
  <si>
    <t>[1996511, 1996519]</t>
  </si>
  <si>
    <t>[1751775, 1751781]</t>
  </si>
  <si>
    <t>0.12137038400345482</t>
  </si>
  <si>
    <t>[1751774, 1751775]</t>
  </si>
  <si>
    <t>223.47546603103297</t>
  </si>
  <si>
    <t>[-0.04, -0.32, -0.041, 0.1]</t>
  </si>
  <si>
    <t>LINESTRING (5.53723234080367 60.421705249871046, 5.536994282305868 60.421706273270445, 5.53674775911469 60.42187283759487, 5.54136226330448 60.422135001018745, 5.541505802821557 60.42215070915534)</t>
  </si>
  <si>
    <t>[1996551, 1996559, 1996567, 1996575]</t>
  </si>
  <si>
    <t>[1751801, 1751808, 1751812, 1751815]</t>
  </si>
  <si>
    <t>[1751781, 1751801, 1751808, 1751812]</t>
  </si>
  <si>
    <t>[0.04, 0.32, 0.041, 0.1]</t>
  </si>
  <si>
    <t>308.4485796402935</t>
  </si>
  <si>
    <t>[0.0, 0.249, 0.101, -0.035, -0.008]</t>
  </si>
  <si>
    <t>LINESTRING (5.537414759025494 60.42332880261033, 5.537414759025494 60.42332880261033, 5.537264089483364 60.42219582329308, 5.537169195872166 60.42217015056985, 5.533052075199804 60.42140377610722, 5.532948113886186 60.42135291727958)</t>
  </si>
  <si>
    <t>[1996583, 1996591, 1996599, 1996607, 1996615]</t>
  </si>
  <si>
    <t>[1751819, 1751826, 1751829, 1751832, 1751838]</t>
  </si>
  <si>
    <t>0.06482381548214183</t>
  </si>
  <si>
    <t>[1751818, 1751819, 1751826, 1751829, 1751832]</t>
  </si>
  <si>
    <t>[0.0, 0.249, 0.101, 0.035, 0.008]</t>
  </si>
  <si>
    <t>402.68836316763026</t>
  </si>
  <si>
    <t>[-0.083, 0.024]</t>
  </si>
  <si>
    <t>LINESTRING (5.532948113886186 60.42135291727958, 5.532714504993886 60.421292508871154, 5.518090236862083 60.42129587908528)</t>
  </si>
  <si>
    <t>[2058707, 2058715]</t>
  </si>
  <si>
    <t>[1790187, 1761028]</t>
  </si>
  <si>
    <t>0.022264501423246395</t>
  </si>
  <si>
    <t>[1751838, 1790187]</t>
  </si>
  <si>
    <t>[0.083, 0.024]</t>
  </si>
  <si>
    <t>898.0142587265644</t>
  </si>
  <si>
    <t>[-0.037, -0.086, -0.094, -0.074]</t>
  </si>
  <si>
    <t>LINESTRING (6.508640268300583 60.79195417246236, 6.508545564571682 60.79196981367289, 6.508391612851487 60.7919582016224, 6.508271774110936 60.79190180349921, 6.508243643485539 60.79185485900877)</t>
  </si>
  <si>
    <t>[1996623, 1996631, 1996639, 1996647]</t>
  </si>
  <si>
    <t>[1751843, 1751848, 1751852, 1751857]</t>
  </si>
  <si>
    <t>[1751842, 1751843, 1751848, 1751852]</t>
  </si>
  <si>
    <t>[0.037, 0.086, 0.094, 0.074]</t>
  </si>
  <si>
    <t>28.501340110524268</t>
  </si>
  <si>
    <t>[0.081, 0.003]</t>
  </si>
  <si>
    <t>LINESTRING (6.508774755894458 60.791830892713044, 6.508750206202196 60.79189525191627, 6.508640268300583 60.79195417246236)</t>
  </si>
  <si>
    <t>[1996703, 1996711]</t>
  </si>
  <si>
    <t>[1751895, 1751842]</t>
  </si>
  <si>
    <t>0.038166129915496054</t>
  </si>
  <si>
    <t>[1751890, 1751895]</t>
  </si>
  <si>
    <t>16.216005435358767</t>
  </si>
  <si>
    <t>[-0.086, -0.091, -0.632]</t>
  </si>
  <si>
    <t>LINESTRING (6.509508379968354 60.79199122110759, 6.509042938568143 60.791970111560616, 6.50879909082948 60.791957217448164, 6.508640268300583 60.79195417246236)</t>
  </si>
  <si>
    <t>[2013565, 2013573, 2013581]</t>
  </si>
  <si>
    <t>[1760913, 1760919, 1751842]</t>
  </si>
  <si>
    <t>[1760912, 1760913, 1760919]</t>
  </si>
  <si>
    <t>[0.086, 0.091, 0.632]</t>
  </si>
  <si>
    <t>47.843301773115854</t>
  </si>
  <si>
    <t>[-0.038, -0.002]</t>
  </si>
  <si>
    <t>LINESTRING (6.508243643485539 60.79185485900877, 6.508279722881276 60.791774979301174, 6.508402774262779 60.791722312645355)</t>
  </si>
  <si>
    <t>[1996655, 1996663]</t>
  </si>
  <si>
    <t>[1751864, 1751871]</t>
  </si>
  <si>
    <t>[1751857, 1751864]</t>
  </si>
  <si>
    <t>[0.038, 0.002]</t>
  </si>
  <si>
    <t>18.2135904777157</t>
  </si>
  <si>
    <t>[0.512, -0.091, -0.085]</t>
  </si>
  <si>
    <t>LINESTRING (6.508243643485539 60.79185485900877, 6.508146671176451 60.791810130797465, 6.507768426829274 60.79167612630614, 6.507483873722071 60.79156534641353)</t>
  </si>
  <si>
    <t>[2013589, 2013597, 2013605]</t>
  </si>
  <si>
    <t>[1760928, 1760932, 1760937]</t>
  </si>
  <si>
    <t>[1751857, 1760928, 1760932]</t>
  </si>
  <si>
    <t>[0.512, 0.091, 0.085]</t>
  </si>
  <si>
    <t>52.63205809669164</t>
  </si>
  <si>
    <t>[0.01, -0.003, 0.001, 0.024, -0.043, -0.092, -0.058, -0.041, -0.038]</t>
  </si>
  <si>
    <t>LINESTRING (5.269613339327609 60.382147773276095, 5.269500693921096 60.3820788509408, 5.269329134839079 60.381782311681455, 5.26933597810475 60.381671358581904, 5.26956579560599 60.38106743364006, 5.269405462175578 60.380702682255745, 5.269367888762642 60.38065693993327, 5.2691675369348445 60.3804666576127, 5.269076461146834 60.3803891766635, 5.268897637386621 60.38026400499262)</t>
  </si>
  <si>
    <t>[1996654, 1996662, 1996670, 1996678, 1996686, 1996694, 1996702, 1996710, 1996718]</t>
  </si>
  <si>
    <t>[1751863, 1751870, 1751875, 1751882, 1751885, 1751889, 1751894, 1751899, 1751901]</t>
  </si>
  <si>
    <t>[1751862, 1751863, 1751870, 1751875, 1751882, 1751885, 1751889, 1751894, 1751899]</t>
  </si>
  <si>
    <t>[0.01, 0.003, 0.001, 0.024, 0.043, 0.092, 0.058, 0.041, 0.038]</t>
  </si>
  <si>
    <t>224.5619499021861</t>
  </si>
  <si>
    <t>[2.417, -1.342]</t>
  </si>
  <si>
    <t>LINESTRING (5.269832690879552 60.38231141324343, 5.269739286993107 60.38225748035865, 5.269613339327609 60.382147773276095)</t>
  </si>
  <si>
    <t>[2079691, 2079699]</t>
  </si>
  <si>
    <t>[1803407, 1751862]</t>
  </si>
  <si>
    <t>0.011974322359822837</t>
  </si>
  <si>
    <t>[1752101, 1803407]</t>
  </si>
  <si>
    <t>[2.417, 1.342]</t>
  </si>
  <si>
    <t>22.042964424713517</t>
  </si>
  <si>
    <t>[0.024, 0.017]</t>
  </si>
  <si>
    <t>LINESTRING (5.269976596452387 60.38222252455458, 5.269856797812491 60.38220101949564, 5.269613339327609 60.382147773276095)</t>
  </si>
  <si>
    <t>[2064191, 2064199]</t>
  </si>
  <si>
    <t>[1793880, 1751862]</t>
  </si>
  <si>
    <t>0.019266360698880085</t>
  </si>
  <si>
    <t>[1752111, 1793880]</t>
  </si>
  <si>
    <t>21.776224802686194</t>
  </si>
  <si>
    <t>[0.033, 0.066, 0.099, 0.093]</t>
  </si>
  <si>
    <t>LINESTRING (6.508402774262779 60.791722312645355, 6.508534918866389 60.79171176551888, 6.508660120404269 60.79173418898615, 6.5087301914597635 60.7917693558489, 6.508774755894458 60.791830892713044)</t>
  </si>
  <si>
    <t>[1996671, 1996679, 1996687, 1996695]</t>
  </si>
  <si>
    <t>[1751876, 1751883, 1751886, 1751890]</t>
  </si>
  <si>
    <t>0.07099128141856718</t>
  </si>
  <si>
    <t>[1751871, 1751876, 1751883, 1751886]</t>
  </si>
  <si>
    <t>27.35777056225394</t>
  </si>
  <si>
    <t>[-0.059, -0.046, 0.085]</t>
  </si>
  <si>
    <t>LINESTRING (6.508402774262779 60.791722312645355, 6.508279519491202 60.7917044378891, 6.507826520605305 60.791630791084806, 6.507483873722071 60.79156534641353)</t>
  </si>
  <si>
    <t>[2016982, 2016990, 2016998]</t>
  </si>
  <si>
    <t>[1762870, 1762875, 1760937]</t>
  </si>
  <si>
    <t>0.0017702871610037227</t>
  </si>
  <si>
    <t>[1751871, 1762870, 1762875]</t>
  </si>
  <si>
    <t>[0.059, 0.046, 0.085]</t>
  </si>
  <si>
    <t>53.154332911173796</t>
  </si>
  <si>
    <t>[-0.327, -0.125, -0.146, -0.094, -0.105]</t>
  </si>
  <si>
    <t>LINESTRING (6.509508379968354 60.79199122110759, 6.50914549247237 60.79191629225811, 6.509103693493641 60.79190785957719, 6.509086306238831 60.79190363664848, 6.508877581991399 60.791855539124775, 6.508774755894458 60.791830892713044)</t>
  </si>
  <si>
    <t>[2016942, 2016950, 2016958, 2016966, 2016974]</t>
  </si>
  <si>
    <t>[1762847, 1762854, 1762859, 1762862, 1751890]</t>
  </si>
  <si>
    <t>[1760912, 1762847, 1762854, 1762859, 1762862]</t>
  </si>
  <si>
    <t>[0.327, 0.125, 0.146, 0.094, 0.105]</t>
  </si>
  <si>
    <t>44.49348998512274</t>
  </si>
  <si>
    <t>[-0.033, -0.031]</t>
  </si>
  <si>
    <t>LINESTRING (5.268897637386621 60.38026400499262, 5.268661074390543 60.38006109826949, 5.268606316141014 60.38002449041247)</t>
  </si>
  <si>
    <t>[2064207, 2064215]</t>
  </si>
  <si>
    <t>[1793894, 1752158]</t>
  </si>
  <si>
    <t>[1751901, 1793894]</t>
  </si>
  <si>
    <t>[0.033, 0.031]</t>
  </si>
  <si>
    <t>31.275402630799512</t>
  </si>
  <si>
    <t>[0.403, -2.552]</t>
  </si>
  <si>
    <t>LINESTRING (5.268897637386621 60.38026400499262, 5.268500989741984 60.38009451382034, 5.268435340474132 60.380064338999496)</t>
  </si>
  <si>
    <t>[2079707, 2079715]</t>
  </si>
  <si>
    <t>[1803418, 1752135]</t>
  </si>
  <si>
    <t>[1751901, 1803418]</t>
  </si>
  <si>
    <t>[0.403, 2.552]</t>
  </si>
  <si>
    <t>33.94799986253327</t>
  </si>
  <si>
    <t>[-0.219, -0.209, -0.068, 0.066]</t>
  </si>
  <si>
    <t>LINESTRING (5.626328440790627 60.42432017474796, 5.626306401172492 60.42435450454444, 5.6262535596991 60.42439162080217, 5.626087251064009 60.4244314062218, 5.626023415135416 60.42443144100674)</t>
  </si>
  <si>
    <t>[1996719, 1996727, 1996735, 1996743]</t>
  </si>
  <si>
    <t>[1751903, 1751910, 1751917, 1751923]</t>
  </si>
  <si>
    <t>[1751902, 1751903, 1751910, 1751917]</t>
  </si>
  <si>
    <t>[0.219, 0.209, 0.068, 0.066]</t>
  </si>
  <si>
    <t>22.82843391727254</t>
  </si>
  <si>
    <t>[-0.232, -0.27]</t>
  </si>
  <si>
    <t>LINESTRING (5.626179092435482 60.42417435179289, 5.626294165497729 60.4242266051918, 5.626328440790627 60.42432017474796)</t>
  </si>
  <si>
    <t>[1996807, 1996815]</t>
  </si>
  <si>
    <t>[1751961, 1751902]</t>
  </si>
  <si>
    <t>[1751958, 1751961]</t>
  </si>
  <si>
    <t>[0.232, 0.27]</t>
  </si>
  <si>
    <t>19.256490393063466</t>
  </si>
  <si>
    <t>[0.171, 0.233]</t>
  </si>
  <si>
    <t>LINESTRING (5.626023415135416 60.42443144100674, 5.62584629644703 60.42438395120211, 5.625781560621915 60.42429898753725)</t>
  </si>
  <si>
    <t>[1996759, 1996767]</t>
  </si>
  <si>
    <t>[1751934, 1751940]</t>
  </si>
  <si>
    <t>0.20029705124367114</t>
  </si>
  <si>
    <t>[1751923, 1751934]</t>
  </si>
  <si>
    <t>21.468939025620834</t>
  </si>
  <si>
    <t>[-0.072, -0.059]</t>
  </si>
  <si>
    <t>LINESTRING (5.626023415135416 60.42443144100674, 5.625881728017417 60.424470134852946, 5.625423679669206 60.42460621519222)</t>
  </si>
  <si>
    <t>[2013765, 2013773]</t>
  </si>
  <si>
    <t>[1761021, 1761024]</t>
  </si>
  <si>
    <t>[1751923, 1761021]</t>
  </si>
  <si>
    <t>[0.072, 0.059]</t>
  </si>
  <si>
    <t>38.58096981264012</t>
  </si>
  <si>
    <t>[0.221, 0.16, -0.025, -0.024]</t>
  </si>
  <si>
    <t>LINESTRING (5.625781560621915 60.42429898753725, 5.625800195768815 60.424246785512295, 5.625953502112868 60.424170346157, 5.626131713548423 60.42416507580178, 5.626179092435482 60.42417435179289)</t>
  </si>
  <si>
    <t>[1996775, 1996783, 1996794, 1996799]</t>
  </si>
  <si>
    <t>[1751944, 1751948, 1751954, 1751958]</t>
  </si>
  <si>
    <t>0.09585249297957386</t>
  </si>
  <si>
    <t>[1751940, 1751944, 1751948, 1751954]</t>
  </si>
  <si>
    <t>[0.221, 0.16, 0.025, 0.024]</t>
  </si>
  <si>
    <t>30.884565376361298</t>
  </si>
  <si>
    <t>[-0.186, -0.163]</t>
  </si>
  <si>
    <t>LINESTRING (5.625781560621915 60.42429898753725, 5.625698525867091 60.42436771176303, 5.625423679669206 60.42460621519222)</t>
  </si>
  <si>
    <t>[2017118, 2017126]</t>
  </si>
  <si>
    <t>[1762955, 1761024]</t>
  </si>
  <si>
    <t>[1751940, 1762955]</t>
  </si>
  <si>
    <t>[0.186, 0.163]</t>
  </si>
  <si>
    <t>39.857461520696845</t>
  </si>
  <si>
    <t>0.123</t>
  </si>
  <si>
    <t>4.875321630286949</t>
  </si>
  <si>
    <t>[-0.06, 0.049]</t>
  </si>
  <si>
    <t>LINESTRING (5.4647966334399385 60.41699251026054, 5.464753896647412 60.417112415355646, 5.4645753533928 60.41717819693671)</t>
  </si>
  <si>
    <t>[1996887, 1996895]</t>
  </si>
  <si>
    <t>[1752003, 1751967]</t>
  </si>
  <si>
    <t>[1752000, 1752003]</t>
  </si>
  <si>
    <t>[0.06, 0.049]</t>
  </si>
  <si>
    <t>26.36825963947545</t>
  </si>
  <si>
    <t>[0.154, 0.155]</t>
  </si>
  <si>
    <t>LINESTRING (5.465508662985873 60.41730620446566, 5.46476540489324 60.417185079535145, 5.4645753533928 60.41717819693671)</t>
  </si>
  <si>
    <t>[2013861, 2013869]</t>
  </si>
  <si>
    <t>[1761063, 1751967]</t>
  </si>
  <si>
    <t>0.15419545162953996</t>
  </si>
  <si>
    <t>[1761062, 1761063]</t>
  </si>
  <si>
    <t>53.87647542886735</t>
  </si>
  <si>
    <t>[0.174, 0.168]</t>
  </si>
  <si>
    <t>LINESTRING (5.464488562877506 60.41718603537823, 5.4642995945126875 60.41715827671303, 5.464170410257701 60.41706936125177)</t>
  </si>
  <si>
    <t>[1996839, 1996847]</t>
  </si>
  <si>
    <t>[1751978, 1751983]</t>
  </si>
  <si>
    <t>0.17080175472624762</t>
  </si>
  <si>
    <t>[1751968, 1751978]</t>
  </si>
  <si>
    <t>23.32812456725808</t>
  </si>
  <si>
    <t>[0.02, -0.013, -0.04, -0.037, 0.084, -0.046, -0.044, -0.005, -0.044, -0.094]</t>
  </si>
  <si>
    <t>LINESTRING (5.464488562877506 60.41718603537823, 5.464390056362634 60.41723545071661, 5.464094603170012 60.417437383716404, 5.4640177790600415 60.41750650655541, 5.463497368527157 60.418066400923834, 5.463490402981893 60.418074624746595, 5.46340448442203 60.41817612650783, 5.462884818364822 60.41881320604246, 5.460904993263534 60.421209742600325, 5.460477373583491 60.421836919228205, 5.460455589623425 60.42190968361018)</t>
  </si>
  <si>
    <t>[2013877, 2013885, 2013893, 2013901, 2013909, 2013917, 2013925, 2013933, 2013941, 2013949]</t>
  </si>
  <si>
    <t>[1761068, 1761071, 1761074, 1761079, 1761084, 1761091, 1761096, 1761099, 1761106, 1752012]</t>
  </si>
  <si>
    <t>[1751968, 1761068, 1761071, 1761074, 1761079, 1761084, 1761091, 1761096, 1761099, 1761106]</t>
  </si>
  <si>
    <t>[0.02, 0.013, 0.04, 0.037, 0.084, 0.046, 0.044, 0.005, 0.044, 0.094]</t>
  </si>
  <si>
    <t>575.0076716556412</t>
  </si>
  <si>
    <t>[0.043, -0.178, -0.19, -0.144]</t>
  </si>
  <si>
    <t>LINESTRING (5.464170410257701 60.41706936125177, 5.464359983664183 60.416879576026574, 5.464634030434233 60.41688671159635, 5.464776092105633 60.41696299146173, 5.4647966334399385 60.41699251026054)</t>
  </si>
  <si>
    <t>[1996855, 1996863, 1996871, 1996879]</t>
  </si>
  <si>
    <t>[1751989, 1751991, 1751997, 1752000]</t>
  </si>
  <si>
    <t>[1751983, 1751989, 1751991, 1751997]</t>
  </si>
  <si>
    <t>[0.043, 0.178, 0.19, 0.144]</t>
  </si>
  <si>
    <t>56.171476518651325</t>
  </si>
  <si>
    <t>[-0.099, -0.065, -0.03, -0.036, -0.037, -0.013, -0.033, 0.035]</t>
  </si>
  <si>
    <t>16550.0</t>
  </si>
  <si>
    <t>LINESTRING (5.464170410257701 60.41706936125177, 5.464150415351196 60.4171736269114, 5.46398497169392 60.417412281126815, 5.463902791188831 60.41748015781819, 5.463380756167508 60.41804170698349, 5.46337378275036 60.41804995736321, 5.460779871937427 60.421194434178396, 5.460218647190407 60.421791363505115, 5.460087274628852 60.421868598333646)</t>
  </si>
  <si>
    <t>[2017208, 2017216, 2017224, 2017232, 2017240, 2017248, 2017256, 2017264]</t>
  </si>
  <si>
    <t>[1763014, 1763019, 1763027, 1763030, 1763035, 1763042, 1763048, 1752045]</t>
  </si>
  <si>
    <t>[1751983, 1763014, 1763019, 1763027, 1763030, 1763035, 1763042, 1763048]</t>
  </si>
  <si>
    <t>[0.099, 0.065, 0.03, 0.036, 0.037, 0.013, 0.033, 0.035]</t>
  </si>
  <si>
    <t>583.2462348176753</t>
  </si>
  <si>
    <t>[0.158, 0.156, 0.175]</t>
  </si>
  <si>
    <t>LINESTRING (5.465508662985873 60.41730620446566, 5.465034483527329 60.41712490592868, 5.464916290003326 60.417068365242855, 5.4647966334399385 60.41699251026054)</t>
  </si>
  <si>
    <t>[2017183, 2017192, 2017200]</t>
  </si>
  <si>
    <t>[1762993, 1762998, 1752000]</t>
  </si>
  <si>
    <t>0.16110775566493063</t>
  </si>
  <si>
    <t>[1761062, 1762993, 1762998]</t>
  </si>
  <si>
    <t>52.95985655016177</t>
  </si>
  <si>
    <t>[-0.15, -0.108, 0.017, 0.076, -0.028]</t>
  </si>
  <si>
    <t>LINESTRING (5.460455589623425 60.42190968361018, 5.460490415422208 60.421946565904626, 5.460475950620901 60.42204500043564, 5.460360878884271 60.42210632103752, 5.460318307121722 60.422114947159386, 5.460310389439328 60.42211623799591)</t>
  </si>
  <si>
    <t>[1996903, 1996911, 1996919, 1996927, 1996935]</t>
  </si>
  <si>
    <t>[1752013, 1752020, 1752024, 1752029, 1752032]</t>
  </si>
  <si>
    <t>[1752012, 1752013, 1752020, 1752024, 1752029]</t>
  </si>
  <si>
    <t>[0.15, 0.108, 0.017, 0.076, 0.028]</t>
  </si>
  <si>
    <t>28.15309863181287</t>
  </si>
  <si>
    <t>[-0.155, -0.159]</t>
  </si>
  <si>
    <t>LINESTRING (5.460087274628852 60.421868598333646, 5.460326412152987 60.42185784399905, 5.460455589623425 60.42190968361018)</t>
  </si>
  <si>
    <t>[1996967, 1996975]</t>
  </si>
  <si>
    <t>[1752051, 1752012]</t>
  </si>
  <si>
    <t>[1752045, 1752051]</t>
  </si>
  <si>
    <t>[0.155, 0.159]</t>
  </si>
  <si>
    <t>22.79247073204155</t>
  </si>
  <si>
    <t>[0.149, 0.21]</t>
  </si>
  <si>
    <t>LINESTRING (5.460310389439328 60.42211623799591, 5.4601332701365495 60.42211519555068, 5.459965905636825 60.422031656464014)</t>
  </si>
  <si>
    <t>[1996943, 1996951]</t>
  </si>
  <si>
    <t>[1752036, 1752040]</t>
  </si>
  <si>
    <t>0.18432476591779481</t>
  </si>
  <si>
    <t>[1752032, 1752036]</t>
  </si>
  <si>
    <t>23.251599810716762</t>
  </si>
  <si>
    <t>20.833172005718318</t>
  </si>
  <si>
    <t>[-0.014, -0.008]</t>
  </si>
  <si>
    <t>LINESTRING (5.269832690879552 60.38231141324343, 5.2698819250973115 60.38225715085436, 5.269976596452387 60.38222252455458)</t>
  </si>
  <si>
    <t>[1997059, 1997067]</t>
  </si>
  <si>
    <t>[1752106, 1752111]</t>
  </si>
  <si>
    <t>[1752101, 1752106]</t>
  </si>
  <si>
    <t>13.16076534882184</t>
  </si>
  <si>
    <t>[0.013, 0.02, 0.01, -0.004]</t>
  </si>
  <si>
    <t>LINESTRING (5.270301500036046 60.38233786627581, 5.270179593563434 60.38243380636104, 5.269984146260601 60.38244019009372, 5.269869666793266 60.38239555752096, 5.269832690879552 60.38231141324343)</t>
  </si>
  <si>
    <t>[1997091, 1997099, 1997107, 1997051]</t>
  </si>
  <si>
    <t>[1752125, 1752129, 1752100, 1752101]</t>
  </si>
  <si>
    <t>0.010360313113562445</t>
  </si>
  <si>
    <t>[1752121, 1752125, 1752129, 1752100]</t>
  </si>
  <si>
    <t>[0.013, 0.02, 0.01, 0.004]</t>
  </si>
  <si>
    <t>41.818044722201385</t>
  </si>
  <si>
    <t>[0.013, -0.003]</t>
  </si>
  <si>
    <t>LINESTRING (5.268606316141014 60.38002449041247, 5.268543361462154 60.38005150557446, 5.268435340474132 60.380064338999496)</t>
  </si>
  <si>
    <t>[1997163, 1997171]</t>
  </si>
  <si>
    <t>[1752162, 1752135]</t>
  </si>
  <si>
    <t>0.0038570276147221355</t>
  </si>
  <si>
    <t>[1752158, 1752162]</t>
  </si>
  <si>
    <t>10.75631597282577</t>
  </si>
  <si>
    <t>34871.0</t>
  </si>
  <si>
    <t>16.99256822959983</t>
  </si>
  <si>
    <t>[-0.02, -0.039]</t>
  </si>
  <si>
    <t>LINESTRING (5.337853948275618 60.325110162793436, 5.337926753595686 60.32517537289061, 5.3381921981673965 60.32581064262867)</t>
  </si>
  <si>
    <t>[1997727, 1997735]</t>
  </si>
  <si>
    <t>[1752380, 1752382]</t>
  </si>
  <si>
    <t>[1752379, 1752380]</t>
  </si>
  <si>
    <t>[0.02, 0.039]</t>
  </si>
  <si>
    <t>84.36135268642121</t>
  </si>
  <si>
    <t>[0.908, 0.004, -0.019, -0.041, -0.039, -0.034, -0.887]</t>
  </si>
  <si>
    <t>LINESTRING (5.337227637309267 60.325113061187984, 5.337190520736042 60.32499181135221, 5.3373230849694835 60.32489839515016, 5.337493212885838 60.32486480902181, 5.337741011205909 60.324895650146615, 5.337854412073218 60.32496185740094, 5.337886521072516 60.3250248148616, 5.337853948275618 60.325110162793436)</t>
  </si>
  <si>
    <t>[2066067, 2066075, 2066083, 2066011, 2066019, 2066027, 2066035]</t>
  </si>
  <si>
    <t>[1570738, 1794991, 1570751, 1793919, 1794957, 1794964, 1752379]</t>
  </si>
  <si>
    <t>0.03184496379677901</t>
  </si>
  <si>
    <t>[1752415, 1570738, 1794991, 1570751, 1793919, 1794957, 1794964]</t>
  </si>
  <si>
    <t>[0.908, 0.004, 0.019, 0.041, 0.039, 0.034, 0.887]</t>
  </si>
  <si>
    <t>77.73074325438715</t>
  </si>
  <si>
    <t>12381.0</t>
  </si>
  <si>
    <t>39.19502519453202</t>
  </si>
  <si>
    <t>[-0.051, -0.08, -0.042]</t>
  </si>
  <si>
    <t>LINESTRING (5.3381921981673965 60.32581064262867, 5.338185808918901 60.32586263544829, 5.337947289881485 60.32616081289134, 5.337885364671561 60.326203304904304)</t>
  </si>
  <si>
    <t>[2001638, 2001646, 2001654]</t>
  </si>
  <si>
    <t>[1754200, 1754203, 1754172]</t>
  </si>
  <si>
    <t>[1752382, 1754200, 1754203]</t>
  </si>
  <si>
    <t>[0.051, 0.08, 0.042]</t>
  </si>
  <si>
    <t>47.637912926637455</t>
  </si>
  <si>
    <t>11.136426715464932</t>
  </si>
  <si>
    <t>[-0.039, -0.033]</t>
  </si>
  <si>
    <t>LINESTRING (5.337820471099278 60.326108998301684, 5.337610937494671 60.32644726386726, 5.337584449141393 60.32653941690215)</t>
  </si>
  <si>
    <t>[1997751, 1997759]</t>
  </si>
  <si>
    <t>[1752385, 1752388]</t>
  </si>
  <si>
    <t>[1752383, 1752385]</t>
  </si>
  <si>
    <t>[0.039, 0.033]</t>
  </si>
  <si>
    <t>50.08161273761468</t>
  </si>
  <si>
    <t>[-0.019, -0.0]</t>
  </si>
  <si>
    <t>4609.0</t>
  </si>
  <si>
    <t>LINESTRING (5.337100347019847 60.325777582806296, 5.337138000560344 60.325821952541475, 5.337820471099278 60.326108998301684)</t>
  </si>
  <si>
    <t>[2001542, 2001550]</t>
  </si>
  <si>
    <t>[1754167, 1752383]</t>
  </si>
  <si>
    <t>[1754151, 1754167]</t>
  </si>
  <si>
    <t>54.97525516130175</t>
  </si>
  <si>
    <t>[-0.024, -0.011]</t>
  </si>
  <si>
    <t>LINESTRING (5.337584449141393 60.32653941690215, 5.3378368421845055 60.32788846416322, 5.337844362476498 60.328003888478925)</t>
  </si>
  <si>
    <t>[1997767, 2014445]</t>
  </si>
  <si>
    <t>[1752392, 1753142]</t>
  </si>
  <si>
    <t>[1752388, 1752392]</t>
  </si>
  <si>
    <t>[0.024, 0.011]</t>
  </si>
  <si>
    <t>165.02482567989392</t>
  </si>
  <si>
    <t>[-0.04, -0.04, -0.03]</t>
  </si>
  <si>
    <t>LINESTRING (5.337885364671561 60.326203304904304, 5.337717445738732 60.3264405956179, 5.337654530428611 60.32650566385048, 5.337584449141393 60.32653941690215)</t>
  </si>
  <si>
    <t>[2001566, 2001574, 2001582]</t>
  </si>
  <si>
    <t>[1754174, 1754178, 1752388]</t>
  </si>
  <si>
    <t>[1754172, 1754174, 1754178]</t>
  </si>
  <si>
    <t>[0.04, 0.04, 0.03]</t>
  </si>
  <si>
    <t>41.66716067522627</t>
  </si>
  <si>
    <t>[0.038, -0.057, 0.028, 0.059, 0.08]</t>
  </si>
  <si>
    <t>LINESTRING (5.337200103374259 60.32753422319411, 5.336065819840382 60.32611134722705, 5.336441734850843 60.325826952036145, 5.337036189214762 60.32533415264899, 5.337145754521342 60.32515416104493, 5.337227637309267 60.325113061187984)</t>
  </si>
  <si>
    <t>[1997783, 1997791, 1997799, 1997807, 1997815]</t>
  </si>
  <si>
    <t>[1752401, 1752404, 1752407, 1752411, 1752415]</t>
  </si>
  <si>
    <t>0.027021323863193426</t>
  </si>
  <si>
    <t>[1752397, 1752401, 1752404, 1752407, 1752411]</t>
  </si>
  <si>
    <t>[0.038, 0.057, 0.028, 0.059, 0.08]</t>
  </si>
  <si>
    <t>322.7034507370192</t>
  </si>
  <si>
    <t>[0.021, 0.025, 0.019, 0.005]</t>
  </si>
  <si>
    <t>LINESTRING (5.337200103374259 60.32753422319411, 5.337180384136141 60.327490264665364, 5.337034515631699 60.32709876519126, 5.336780884327277 60.32668941018367, 5.336734400683197 60.32666790984147)</t>
  </si>
  <si>
    <t>[2001662, 2001670, 2001678, 2001686]</t>
  </si>
  <si>
    <t>[1754208, 1754211, 1754214, 1754195]</t>
  </si>
  <si>
    <t>0.021237844861920718</t>
  </si>
  <si>
    <t>[1752397, 1754208, 1754211, 1754214]</t>
  </si>
  <si>
    <t>101.75614231189475</t>
  </si>
  <si>
    <t>[0.009, 0.017]</t>
  </si>
  <si>
    <t>LINESTRING (5.337576017947192 60.32801676706795, 5.337500570931326 60.32793887194885, 5.337200103374259 60.32753422319411)</t>
  </si>
  <si>
    <t>[2014613, 1997775]</t>
  </si>
  <si>
    <t>[1752396, 1752397]</t>
  </si>
  <si>
    <t>0.015665694164486734</t>
  </si>
  <si>
    <t>[1761470, 1752396]</t>
  </si>
  <si>
    <t>57.90301346438409</t>
  </si>
  <si>
    <t>17.05750293964688</t>
  </si>
  <si>
    <t>[0.008, -0.013, -0.013]</t>
  </si>
  <si>
    <t>LINESTRING (5.325343956216292 60.46342911929457, 5.324172347515404 60.463650855759454, 5.3234625068926436 60.46378248480695, 5.323257279314755 60.46382534285447)</t>
  </si>
  <si>
    <t>[1998294, 1998302, 1998310]</t>
  </si>
  <si>
    <t>[1752553, 1752557, 1752561]</t>
  </si>
  <si>
    <t>[1752552, 1752553, 1752557]</t>
  </si>
  <si>
    <t>[0.008, 0.013, 0.013]</t>
  </si>
  <si>
    <t>123.38741202130558</t>
  </si>
  <si>
    <t>[-0.058, -0.001]</t>
  </si>
  <si>
    <t>LINESTRING (5.325814856362197 60.46341657032577, 5.325692190046002 60.463415727594615, 5.325343956216292 60.46342911929457)</t>
  </si>
  <si>
    <t>[2062658, 2062670]</t>
  </si>
  <si>
    <t>[1792861, 1752552]</t>
  </si>
  <si>
    <t>[1754976, 1792861]</t>
  </si>
  <si>
    <t>[0.058, 0.001]</t>
  </si>
  <si>
    <t>26.04582726267014</t>
  </si>
  <si>
    <t>[-0.062, 0.005]</t>
  </si>
  <si>
    <t>LINESTRING (5.325797051177394 60.463316669288126, 5.325666923239512 60.463335180368404, 5.325343956216292 60.46342911929457)</t>
  </si>
  <si>
    <t>[2016717, 2016725]</t>
  </si>
  <si>
    <t>[1762695, 1752552]</t>
  </si>
  <si>
    <t>[1754986, 1762695]</t>
  </si>
  <si>
    <t>[0.062, 0.005]</t>
  </si>
  <si>
    <t>28.311461731063982</t>
  </si>
  <si>
    <t>[-0.002, 0.009]</t>
  </si>
  <si>
    <t>LINESTRING (5.323257279314755 60.46382534285447, 5.322521487981737 60.46381547373427, 5.3223715454799665 60.46379120957519)</t>
  </si>
  <si>
    <t>[2016733, 2016741]</t>
  </si>
  <si>
    <t>[1762702, 1752887]</t>
  </si>
  <si>
    <t>[1752561, 1762702]</t>
  </si>
  <si>
    <t>49.7558097048786</t>
  </si>
  <si>
    <t>[-0.004, 0.007]</t>
  </si>
  <si>
    <t>LINESTRING (5.323257279314755 60.46382534285447, 5.322521576123201 60.4639173613169, 5.322355203353591 60.46391936509013)</t>
  </si>
  <si>
    <t>[2062678, 2062679]</t>
  </si>
  <si>
    <t>[1792871, 1752837]</t>
  </si>
  <si>
    <t>[1752561, 1792871]</t>
  </si>
  <si>
    <t>51.3237222185024</t>
  </si>
  <si>
    <t>[0.004, 0.006, 0.009, 0.008, 0.008, 0.003, -0.0]</t>
  </si>
  <si>
    <t>LINESTRING (5.322355203353591 60.46391936509013, 5.322292653019571 60.463944633101484, 5.322184186347708 60.46395749142167, 5.322089434252188 60.463944217493776, 5.322006084192888 60.46391006930004, 5.321972425610745 60.463864184133904, 5.32198836579134 60.463805650684456, 5.322057582476638 60.46376368449184)</t>
  </si>
  <si>
    <t>[1999061, 1999069, 1999077, 1999112, 1999123, 1999129, 1999138]</t>
  </si>
  <si>
    <t>[1752838, 1752843, 1752845, 1752853, 1752856, 1752862, 1752864]</t>
  </si>
  <si>
    <t>0.0053559494344483415</t>
  </si>
  <si>
    <t>[1752837, 1752838, 1752843, 1752845, 1752853, 1752856, 1752862]</t>
  </si>
  <si>
    <t>[0.004, 0.006, 0.009, 0.008, 0.008, 0.003, 0.0]</t>
  </si>
  <si>
    <t>40.13130558335078</t>
  </si>
  <si>
    <t>LINESTRING (5.3223715454799665 60.46379120957519, 5.322403476349734 60.46385686846427, 5.322355203353591 60.46391936509013)</t>
  </si>
  <si>
    <t>[1999196, 1999212]</t>
  </si>
  <si>
    <t>[1752892, 1752837]</t>
  </si>
  <si>
    <t>[1752887, 1752892]</t>
  </si>
  <si>
    <t>15.022114487495353</t>
  </si>
  <si>
    <t>13.450011150513031</t>
  </si>
  <si>
    <t>[0.004, 0.003, 0.008, 0.061, 0.383]</t>
  </si>
  <si>
    <t>LINESTRING (5.322057582476638 60.46376368449184, 5.322071088075364 60.463700449846655, 5.322182792029537 60.46346892407785, 5.322002732208067 60.462617199888065, 5.319875333578989 60.46103390447196, 5.319839699948033 60.46092817227442)</t>
  </si>
  <si>
    <t>[2002750, 2002758, 2002766, 2002774, 2007143]</t>
  </si>
  <si>
    <t>[1754738, 1627639, 324391, 1754752, 1757199]</t>
  </si>
  <si>
    <t>0.05146661020978384</t>
  </si>
  <si>
    <t>[1752864, 1754738, 1627639, 324391, 1754752]</t>
  </si>
  <si>
    <t>359.09259108715753</t>
  </si>
  <si>
    <t>5.990826320710473</t>
  </si>
  <si>
    <t>[0.001, 0.0, 0.004, -0.003]</t>
  </si>
  <si>
    <t>LINESTRING (5.3247413156795345 60.46476443661967, 5.324624993383936 60.46470526127739, 5.32239360549425 60.463435884468225, 5.322271853415863 60.46369073559696, 5.322290699087094 60.46375543585456)</t>
  </si>
  <si>
    <t>[2007159, 2006537, 2006545, 2006553]</t>
  </si>
  <si>
    <t>[1756874, 1756875, 1756879, 1752875]</t>
  </si>
  <si>
    <t>0.0004165601763038101</t>
  </si>
  <si>
    <t>[1757211, 1756874, 1756875, 1756879]</t>
  </si>
  <si>
    <t>[0.001, 0.0, 0.004, 0.003]</t>
  </si>
  <si>
    <t>257.6010106900086</t>
  </si>
  <si>
    <t>[0.038, -0.044, -0.046, -0.036, -0.026, -0.059, 0.034]</t>
  </si>
  <si>
    <t>LINESTRING (5.335239341770068 60.51300114731776, 5.333503022372884 60.51340611367755, 5.333291370130097 60.5134375883363, 5.332925016912324 60.51348094632337, 5.3329175775451745 60.51348176835717, 5.332907499023038 60.513482885918464, 5.332578885254169 60.513518861787375, 5.330482230091616 60.513579646676085)</t>
  </si>
  <si>
    <t>[1999240, 1999248, 1999256, 1999264, 1999265, 1999267, 1999274]</t>
  </si>
  <si>
    <t>[1752914, 1752915, 1752920, 1752925, 1752926, 1752927, 1752929]</t>
  </si>
  <si>
    <t>0.019544951793255164</t>
  </si>
  <si>
    <t>[1752913, 1752914, 1752915, 1752920, 1752925, 1752926, 1752927]</t>
  </si>
  <si>
    <t>[0.038, 0.044, 0.046, 0.036, 0.026, 0.059, 0.034]</t>
  </si>
  <si>
    <t>274.91295325925694</t>
  </si>
  <si>
    <t>[0.021, -0.018, -0.017, 0.012, -0.009, 0.034]</t>
  </si>
  <si>
    <t>LINESTRING (5.335239341770068 60.51300114731776, 5.333470719649573 60.513354905996785, 5.333257492226547 60.513384908595214, 5.332889981820115 60.51342876078279, 5.332882519187886 60.51342959920448, 5.3325472782481596 60.51346467438681, 5.330482230091616 60.513579646676085)</t>
  </si>
  <si>
    <t>[2021015, 2021023, 2021024, 2021031, 2021039, 2021047]</t>
  </si>
  <si>
    <t>[1764437, 1765549, 1765550, 1765555, 1765561, 1752929]</t>
  </si>
  <si>
    <t>0.019719894614042038</t>
  </si>
  <si>
    <t>[1752913, 1764437, 1765549, 1765550, 1765555, 1765561]</t>
  </si>
  <si>
    <t>[0.021, 0.018, 0.017, 0.012, 0.009, 0.034]</t>
  </si>
  <si>
    <t>272.19636207291524</t>
  </si>
  <si>
    <t>[0.035, 0.048, -0.014, 0.23, -0.024, -0.38, -0.054]</t>
  </si>
  <si>
    <t>LINESTRING (5.330482230091616 60.513579646676085, 5.31084138448191 60.51528866428001, 5.3108234533228105 60.515290199889904, 5.3062672836409055 60.5147421935474, 5.306196201254987 60.51471426806032, 5.2928584103985035 60.51325543718784, 5.292841284159405 60.51325837730933, 5.286556090482874 60.514936570512454)</t>
  </si>
  <si>
    <t>[2063590, 2063598, 2063606, 2063614, 2063622, 2063630, 2063638]</t>
  </si>
  <si>
    <t>[1793445, 1793449, 1793455, 1793461, 1793466, 1793471, 1756892]</t>
  </si>
  <si>
    <t>[1752929, 1793445, 1793449, 1793455, 1793461, 1793466, 1793471]</t>
  </si>
  <si>
    <t>[0.035, 0.048, 0.014, 0.23, 0.024, 0.38, 0.054]</t>
  </si>
  <si>
    <t>2606.4884104244566</t>
  </si>
  <si>
    <t>[0.032, 0.048]</t>
  </si>
  <si>
    <t>LINESTRING (5.280676347154748 60.54492963157131, 5.2818658494195745 60.54517297514234, 5.281976305833898 60.54519403349412)</t>
  </si>
  <si>
    <t>[1999277, 1999283]</t>
  </si>
  <si>
    <t>[1752931, 1752932]</t>
  </si>
  <si>
    <t>0.033347396488413734</t>
  </si>
  <si>
    <t>[1752930, 1752931]</t>
  </si>
  <si>
    <t>77.42309758991294</t>
  </si>
  <si>
    <t>[-0.038, 0.175]</t>
  </si>
  <si>
    <t>LINESTRING (5.280676347154748 60.54492963157131, 5.281740223679761 60.54526128653774, 5.281858376280585 60.54530387988379)</t>
  </si>
  <si>
    <t>[2021055, 2021063]</t>
  </si>
  <si>
    <t>[1765569, 1757524]</t>
  </si>
  <si>
    <t>[1752930, 1765569]</t>
  </si>
  <si>
    <t>[0.038, 0.175]</t>
  </si>
  <si>
    <t>77.44762128507074</t>
  </si>
  <si>
    <t>22.73529671412656</t>
  </si>
  <si>
    <t>[-0.028, 0.58]</t>
  </si>
  <si>
    <t>LINESTRING (5.281858376280585 60.54530387988379, 5.281885658621394 60.545238035545296, 5.281976305833898 60.54519403349412)</t>
  </si>
  <si>
    <t>[2007656, 2007664]</t>
  </si>
  <si>
    <t>[1757528, 1752932]</t>
  </si>
  <si>
    <t>0.2654318020166386</t>
  </si>
  <si>
    <t>[1757524, 1757528]</t>
  </si>
  <si>
    <t>[0.028, 0.58]</t>
  </si>
  <si>
    <t>14.516663659464015</t>
  </si>
  <si>
    <t>[-0.543, 0.022]</t>
  </si>
  <si>
    <t>LINESTRING (5.282314881735491 60.545258705217215, 5.28231491717143 60.545330174547765, 5.2822277974103375 60.54538800554212)</t>
  </si>
  <si>
    <t>[2007608, 2007616]</t>
  </si>
  <si>
    <t>[1757496, 1757502]</t>
  </si>
  <si>
    <t>[1752942, 1757496]</t>
  </si>
  <si>
    <t>[0.543, 0.022]</t>
  </si>
  <si>
    <t>16.03587628417427</t>
  </si>
  <si>
    <t>[0.212, 0.002]</t>
  </si>
  <si>
    <t>LINESTRING (5.4556477257555445 59.76329843162048, 5.455779944798383 59.763263813869564, 5.4559285044615535 59.76327017856794)</t>
  </si>
  <si>
    <t>[2007888, 2007896]</t>
  </si>
  <si>
    <t>[1757659, 1757665]</t>
  </si>
  <si>
    <t>0.10695548278120726</t>
  </si>
  <si>
    <t>[1752953, 1757659]</t>
  </si>
  <si>
    <t>16.80264709079628</t>
  </si>
  <si>
    <t>5.7199737758299305</t>
  </si>
  <si>
    <t>[0.08, 0.109]</t>
  </si>
  <si>
    <t>LINESTRING (5.480897351224454 59.67882536601355, 5.480704815504222 59.67871723968789, 5.480625636160037 59.67865719409666)</t>
  </si>
  <si>
    <t>[1999542, 1999549]</t>
  </si>
  <si>
    <t>[1753057, 1753059]</t>
  </si>
  <si>
    <t>0.08961512193168307</t>
  </si>
  <si>
    <t>[1753056, 1753057]</t>
  </si>
  <si>
    <t>24.32617699846718</t>
  </si>
  <si>
    <t>[0.68, 0.125]</t>
  </si>
  <si>
    <t>LINESTRING (5.480897351224454 59.67882536601355, 5.480874090956025 59.678706123056195, 5.480877263140026 59.67863944773376)</t>
  </si>
  <si>
    <t>[2021223, 2021231]</t>
  </si>
  <si>
    <t>[1765698, 1757592]</t>
  </si>
  <si>
    <t>0.4815428171990805</t>
  </si>
  <si>
    <t>[1753056, 1765698]</t>
  </si>
  <si>
    <t>20.843776204148497</t>
  </si>
  <si>
    <t>[-0.017, 0.097, 0.086]</t>
  </si>
  <si>
    <t>LINESTRING (5.477838071986538 59.678595055266214, 5.480926542682672 59.679511044737446, 5.481171273874683 59.67941684364247, 5.480897351224454 59.67882536601355)</t>
  </si>
  <si>
    <t>[2000998, 2001006, 2001014]</t>
  </si>
  <si>
    <t>[1753877, 1753882, 1753056]</t>
  </si>
  <si>
    <t>0.013981217629635195</t>
  </si>
  <si>
    <t>[1753865, 1753877, 1753882]</t>
  </si>
  <si>
    <t>[0.017, 0.097, 0.086]</t>
  </si>
  <si>
    <t>313.10276321807765</t>
  </si>
  <si>
    <t>6.221261929565972</t>
  </si>
  <si>
    <t>[-0.127, -0.867]</t>
  </si>
  <si>
    <t>LINESTRING (5.480877263140026 59.67863944773376, 5.480765223534315 59.67866922069699, 5.480625636160037 59.67865719409666)</t>
  </si>
  <si>
    <t>[2007784, 2007792]</t>
  </si>
  <si>
    <t>[1757597, 1753059]</t>
  </si>
  <si>
    <t>[1757592, 1757597]</t>
  </si>
  <si>
    <t>[0.127, 0.867]</t>
  </si>
  <si>
    <t>15.155408108950729</t>
  </si>
  <si>
    <t>[-0.001, 0.004]</t>
  </si>
  <si>
    <t>LINESTRING (5.404774730777268 59.74032390628928, 5.40420288204166 59.740622485018775, 5.404122614666079 59.74067082468096)</t>
  </si>
  <si>
    <t>[1999574, 1999589]</t>
  </si>
  <si>
    <t>[1753069, 1753075]</t>
  </si>
  <si>
    <t>[1753068, 1753069]</t>
  </si>
  <si>
    <t>53.462391692436995</t>
  </si>
  <si>
    <t>[-0.074, 0.006]</t>
  </si>
  <si>
    <t>LINESTRING (5.404774730777268 59.74032390628928, 5.404064664955513 59.740555327409055, 5.403962483446627 59.740592104595024)</t>
  </si>
  <si>
    <t>[2021239, 2021247]</t>
  </si>
  <si>
    <t>[1765710, 1757641]</t>
  </si>
  <si>
    <t>[1753068, 1765710]</t>
  </si>
  <si>
    <t>[0.074, 0.006]</t>
  </si>
  <si>
    <t>54.761080529451945</t>
  </si>
  <si>
    <t>17.26901343434766</t>
  </si>
  <si>
    <t>9.802040603687992</t>
  </si>
  <si>
    <t>[0.025, 0.612]</t>
  </si>
  <si>
    <t>LINESTRING (5.403962483446627 59.740592104595024, 5.404079254001336 59.74062874467894, 5.404122614666079 59.74067082468096)</t>
  </si>
  <si>
    <t>[2007864, 2007872]</t>
  </si>
  <si>
    <t>[1757648, 1753075]</t>
  </si>
  <si>
    <t>0.26330637937610313</t>
  </si>
  <si>
    <t>[1757641, 1757648]</t>
  </si>
  <si>
    <t>13.057366457462198</t>
  </si>
  <si>
    <t>[-0.008, -0.012, -0.011]</t>
  </si>
  <si>
    <t>LINESTRING (5.4532998473970435 59.764022258972325, 5.453372156991926 59.76405020935665, 5.453444638957862 59.76407886857244, 5.453675938846405 59.764158510065506)</t>
  </si>
  <si>
    <t>[1999623, 1999631, 1999632]</t>
  </si>
  <si>
    <t>[1753089, 1753091, 1753092]</t>
  </si>
  <si>
    <t>[1753088, 1753089, 1753091]</t>
  </si>
  <si>
    <t>[0.008, 0.012, 0.011]</t>
  </si>
  <si>
    <t>26.113830227019292</t>
  </si>
  <si>
    <t>[0.655, -0.038]</t>
  </si>
  <si>
    <t>LINESTRING (5.4532998473970435 59.764022258972325, 5.4532566013071015 59.764095224031216, 5.453174975599459 59.764140871881146)</t>
  </si>
  <si>
    <t>[2050424, 2050432]</t>
  </si>
  <si>
    <t>[1784927, 1765725]</t>
  </si>
  <si>
    <t>0.34546514591756294</t>
  </si>
  <si>
    <t>[1753088, 1784927]</t>
  </si>
  <si>
    <t>[0.655, 0.038]</t>
  </si>
  <si>
    <t>15.380787534819095</t>
  </si>
  <si>
    <t>13.011328645632698</t>
  </si>
  <si>
    <t>[0.009, 0.022, 0.02]</t>
  </si>
  <si>
    <t>LINESTRING (5.453675938846405 59.764158510065506, 5.454371018778727 59.76403493838234, 5.45486562291064 59.76368689516234, 5.455174500198153 59.763498848991794)</t>
  </si>
  <si>
    <t>[2001279, 2001280, 2001287]</t>
  </si>
  <si>
    <t>[1754020, 1754021, 1753106]</t>
  </si>
  <si>
    <t>0.016761478146851697</t>
  </si>
  <si>
    <t>[1753092, 1754020, 1754021]</t>
  </si>
  <si>
    <t>118.83552648635361</t>
  </si>
  <si>
    <t>[0.004, 0.003, -0.336]</t>
  </si>
  <si>
    <t>LINESTRING (5.453174975599459 59.764140871881146, 5.453272601219565 59.76414715021959, 5.4533794027991345 59.764156298257234, 5.453675938846405 59.764158510065506)</t>
  </si>
  <si>
    <t>[2021255, 2021263, 2021271]</t>
  </si>
  <si>
    <t>[1765726, 1765732, 1753092]</t>
  </si>
  <si>
    <t>[1765725, 1765726, 1765732]</t>
  </si>
  <si>
    <t>[0.004, 0.003, 0.336]</t>
  </si>
  <si>
    <t>28.37258882851898</t>
  </si>
  <si>
    <t>[0.018, 0.01]</t>
  </si>
  <si>
    <t>LINESTRING (5.455174500198153 59.763498848991794, 5.455445369005122 59.76337312019885, 5.4555892532464 59.763340261632386)</t>
  </si>
  <si>
    <t>[1999656, 1999664]</t>
  </si>
  <si>
    <t>[1753107, 1753110]</t>
  </si>
  <si>
    <t>0.015616118745604493</t>
  </si>
  <si>
    <t>[1753106, 1753107]</t>
  </si>
  <si>
    <t>29.87951174731851</t>
  </si>
  <si>
    <t>[0.149, 0.0]</t>
  </si>
  <si>
    <t>LINESTRING (5.455174500198153 59.763498848991794, 5.4554821850356925 59.76346506354278, 5.455612903464141 59.76347039245633)</t>
  </si>
  <si>
    <t>[2021279, 2021287]</t>
  </si>
  <si>
    <t>[1765743, 1757693]</t>
  </si>
  <si>
    <t>0.10545031405986369</t>
  </si>
  <si>
    <t>[1753106, 1765743]</t>
  </si>
  <si>
    <t>25.294104306986362</t>
  </si>
  <si>
    <t>[-0.012, -0.282]</t>
  </si>
  <si>
    <t>LINESTRING (5.455612903464141 59.76347039245633, 5.4555666163091825 59.763406418604305, 5.4555892532464 59.763340261632386)</t>
  </si>
  <si>
    <t>[2007952, 2007960]</t>
  </si>
  <si>
    <t>[1757700, 1753110]</t>
  </si>
  <si>
    <t>[1757693, 1757700]</t>
  </si>
  <si>
    <t>[0.012, 0.282]</t>
  </si>
  <si>
    <t>15.113323194787839</t>
  </si>
  <si>
    <t>LINESTRING (5.452843880384532 60.181115217023574, 5.4528358157993715 60.18106218063385, 5.452833923504647 60.18082818739613)</t>
  </si>
  <si>
    <t>[1999680, 1999688]</t>
  </si>
  <si>
    <t>[1753119, 1753123]</t>
  </si>
  <si>
    <t>0.030926033380991216</t>
  </si>
  <si>
    <t>[1753118, 1753119]</t>
  </si>
  <si>
    <t>32.093359502066875</t>
  </si>
  <si>
    <t>[-0.035, 0.002]</t>
  </si>
  <si>
    <t>LINESTRING (5.452843880384532 60.181115217023574, 5.452937992445941 60.18109764078945, 5.453018007501422 60.18110302231997)</t>
  </si>
  <si>
    <t>[2007976, 2007984]</t>
  </si>
  <si>
    <t>[1757711, 1757718]</t>
  </si>
  <si>
    <t>[1753118, 1757711]</t>
  </si>
  <si>
    <t>[0.035, 0.002]</t>
  </si>
  <si>
    <t>10.088896626853085</t>
  </si>
  <si>
    <t>5.024937810402182</t>
  </si>
  <si>
    <t>[0.006, 0.241, 0.131]</t>
  </si>
  <si>
    <t>LINESTRING (5.452833923504647 60.18082818739613, 5.452053286336161 60.18033475216685, 5.451374964580369 60.18036450775199, 5.450786663259478 60.180824603512654)</t>
  </si>
  <si>
    <t>[2001432, 2001446, 2001454]</t>
  </si>
  <si>
    <t>[1754104, 1754114, 1754098]</t>
  </si>
  <si>
    <t>0.10240834236768276</t>
  </si>
  <si>
    <t>[1753123, 1754104, 1754114]</t>
  </si>
  <si>
    <t>176.6744760090442</t>
  </si>
  <si>
    <t>[0.026, 0.038]</t>
  </si>
  <si>
    <t>LINESTRING (5.453018007501422 60.18110302231997, 5.4529911100358355 60.18105266848549, 5.452833923504647 60.18082818739613)</t>
  </si>
  <si>
    <t>[2021295, 2021303]</t>
  </si>
  <si>
    <t>[1765753, 1753123]</t>
  </si>
  <si>
    <t>0.03584774498506671</t>
  </si>
  <si>
    <t>[1757718, 1765753]</t>
  </si>
  <si>
    <t>32.46593941931667</t>
  </si>
  <si>
    <t>[-0.16, -0.08, -0.021]</t>
  </si>
  <si>
    <t>LINESTRING (5.336104634025695 60.32440746385419, 5.3362289716239735 60.32459595098632, 5.3366903188930594 60.3253458995978, 5.337844362476498 60.328003888478925)</t>
  </si>
  <si>
    <t>[1999704, 1999712, 1999720]</t>
  </si>
  <si>
    <t>[1753129, 1753136, 1753142]</t>
  </si>
  <si>
    <t>[1753126, 1753129, 1753136]</t>
  </si>
  <si>
    <t>[0.16, 0.08, 0.021]</t>
  </si>
  <si>
    <t>413.9409656997286</t>
  </si>
  <si>
    <t>[-0.206, -0.061]</t>
  </si>
  <si>
    <t>LINESTRING (5.336104634025695 60.32440746385419, 5.336189185587093 60.32446703355132, 5.337100347019847 60.325777582806296)</t>
  </si>
  <si>
    <t>[1999728, 2001518]</t>
  </si>
  <si>
    <t>[1753146, 1754151]</t>
  </si>
  <si>
    <t>[1753126, 1753146]</t>
  </si>
  <si>
    <t>[0.206, 0.061]</t>
  </si>
  <si>
    <t>163.49470575380604</t>
  </si>
  <si>
    <t>[-0.009, -0.002, 0.002, 0.007, 0.008, -0.022, -0.019, -0.02, 0.01]</t>
  </si>
  <si>
    <t>LINESTRING (5.337844362476498 60.328003888478925, 5.337928885746825 60.32833752072903, 5.338000871228946 60.328615962671684, 5.338364210494331 60.33151442947139, 5.338268761935478 60.33353353122967, 5.339025739734584 60.34224068556824, 5.339173413294628 60.34361973096796, 5.339172087611275 60.34362869697656, 5.339140519468315 60.34377175556149, 5.339036899952989 60.34412379224409)</t>
  </si>
  <si>
    <t>[2014453, 2014461, 2014469, 2014477, 2014485, 2014493, 2014501, 2014509, 2014517]</t>
  </si>
  <si>
    <t>[1761380, 1761385, 1761390, 1761396, 1761399, 1761403, 1761407, 1761411, 1753151]</t>
  </si>
  <si>
    <t>0.003521950600775036</t>
  </si>
  <si>
    <t>[1753142, 1761380, 1761385, 1761390, 1761396, 1761399, 1761403, 1761407, 1761411]</t>
  </si>
  <si>
    <t>[0.009, 0.002, 0.002, 0.007, 0.008, 0.022, 0.019, 0.02, 0.01]</t>
  </si>
  <si>
    <t>1823.7857600419647</t>
  </si>
  <si>
    <t>[0.034, -0.022, 0.034, 0.061, 0.055]</t>
  </si>
  <si>
    <t>LINESTRING (5.339036899952989 60.34412379224409, 5.3390839581045295 60.344192367270594, 5.338103335233489 60.345976908039496, 5.337371423003562 60.346658330562505, 5.337329861582987 60.34677277041448, 5.337352642740817 60.34684318400374)</t>
  </si>
  <si>
    <t>[1999736, 2001694, 2001702, 2001710, 2001718]</t>
  </si>
  <si>
    <t>[1753152, 1754220, 1754224, 1754226, 1754230]</t>
  </si>
  <si>
    <t>[1753151, 1753152, 1754220, 1754224, 1754226]</t>
  </si>
  <si>
    <t>[0.034, 0.022, 0.034, 0.061, 0.055]</t>
  </si>
  <si>
    <t>323.76012509829536</t>
  </si>
  <si>
    <t>[-0.025, 0.02, 0.047, 0.0, 0.035, 0.048, 0.053]</t>
  </si>
  <si>
    <t>LINESTRING (5.339036899952989 60.34412379224409, 5.338056356098222 60.345710050995486, 5.337556266175222 60.34646012850493, 5.33710077252482 60.34768671796673, 5.337099580918318 60.347693703899296, 5.33706716510192 60.34809879303636, 5.337065869048872 60.348197453000736, 5.337542502641309 60.349789542797296)</t>
  </si>
  <si>
    <t>[2014525, 2014533, 2014541, 2014549, 2014557, 2014565, 2014573]</t>
  </si>
  <si>
    <t>[1761419, 1761423, 1761427, 1761430, 1761435, 1761440, 1753161]</t>
  </si>
  <si>
    <t>0.0236016968360978</t>
  </si>
  <si>
    <t>[1753151, 1761419, 1761423, 1761427, 1761430, 1761435, 1761440]</t>
  </si>
  <si>
    <t>[0.025, 0.02, 0.047, 0.0, 0.035, 0.048, 0.053]</t>
  </si>
  <si>
    <t>651.0339237713056</t>
  </si>
  <si>
    <t>[0.054, -0.004, 0.009, 0.007, -0.113, 0.026, 0.035, 0.051, -0.088]</t>
  </si>
  <si>
    <t>LINESTRING (5.338926153870393 60.34376110391113, 5.338820929047309 60.344107505314945, 5.33784436750348 60.34568528116789, 5.33734429146895 60.34643101743908, 5.336885047839749 60.347681753476564, 5.336883574408204 60.34768882728542, 5.336850229094958 60.34809970960725, 5.336849500455112 60.34819976798381, 5.337257252971048 60.349822356026436, 5.337280048277792 60.34989150430334)</t>
  </si>
  <si>
    <t>[2020019, 2020027, 2020035, 2020043, 2020051, 2020059, 2020067, 2020075, 2020083]</t>
  </si>
  <si>
    <t>[1764825, 1764831, 1764835, 1764838, 1764844, 1764846, 1764852, 1764856, 1753164]</t>
  </si>
  <si>
    <t>0.01893190597300897</t>
  </si>
  <si>
    <t>[1753157, 1764825, 1764831, 1764835, 1764838, 1764844, 1764846, 1764852, 1764856]</t>
  </si>
  <si>
    <t>[0.054, 0.004, 0.009, 0.007, 0.113, 0.026, 0.035, 0.051, 0.088]</t>
  </si>
  <si>
    <t>702.6974869104064</t>
  </si>
  <si>
    <t>[-0.032, -0.045, -0.042, 0.017, 0.04]</t>
  </si>
  <si>
    <t>LINESTRING (5.336961125247968 60.346791861882785, 5.337048841108726 60.34673588248294, 5.337126171329926 60.34660587576018, 5.337577781140241 60.34577130845885, 5.338811280997892 60.34380966573537, 5.338926153870393 60.34376110391113)</t>
  </si>
  <si>
    <t>[2001758, 2001766, 2001774, 2001782, 1999744]</t>
  </si>
  <si>
    <t>[1754254, 1754258, 1754263, 1753156, 1753157]</t>
  </si>
  <si>
    <t>[1754253, 1754254, 1754258, 1754263, 1753156]</t>
  </si>
  <si>
    <t>[0.032, 0.045, 0.042, 0.017, 0.04]</t>
  </si>
  <si>
    <t>359.3207376494034</t>
  </si>
  <si>
    <t>[0.076, -0.012, -0.009, 0.009, 0.006, -0.001, 0.006, -0.132]</t>
  </si>
  <si>
    <t>1069.0</t>
  </si>
  <si>
    <t>LINESTRING (5.337576017947192 60.32801676706795, 5.3376781254624515 60.32835259398414, 5.337749822582828 60.328626492471784, 5.3381420018857755 60.331512604179046, 5.338046695959804 60.33352628986591, 5.338813282744196 60.34226219287839, 5.3389541393912 60.3436120751878, 5.338952616456425 60.343620845832554, 5.338926153870393 60.34376110391113)</t>
  </si>
  <si>
    <t>[2019955, 2019963, 2019971, 2019979, 2019987, 2019995, 2020003, 2020011]</t>
  </si>
  <si>
    <t>[1764790, 1764793, 1764797, 1764802, 1764807, 1764813, 1764816, 1753157]</t>
  </si>
  <si>
    <t>0.003021341873841305</t>
  </si>
  <si>
    <t>[1761470, 1764790, 1764793, 1764797, 1764802, 1764807, 1764813, 1764816]</t>
  </si>
  <si>
    <t>[0.076, 0.012, 0.009, 0.009, 0.006, 0.001, 0.006, 0.132]</t>
  </si>
  <si>
    <t>1781.797062547574</t>
  </si>
  <si>
    <t>[-0.028, -0.044, 0.0, -0.058, -0.044, 0.0, 0.02, 0.004, 0.207]</t>
  </si>
  <si>
    <t>1023.0</t>
  </si>
  <si>
    <t>LINESTRING (5.337542502641309 60.349789542797296, 5.337576491995151 60.34985788361801, 5.337585255554938 60.34987566672665, 5.337589629728248 60.34988455320031, 5.337663086163708 60.35004531661525, 5.338046243716916 60.35133457378142, 5.33869266989015 60.3533739581079, 5.338955162164039 60.3538613043458, 5.3403859487875875 60.35588182689961, 5.340440815753649 60.355948277515694)</t>
  </si>
  <si>
    <t>[2014581, 2014589, 2014597, 2014605, 2014621, 2014629, 2014637, 2014645, 2014653]</t>
  </si>
  <si>
    <t>[1761448, 1761453, 1761458, 1761465, 1761472, 1761477, 1761483, 1761488, 1757380]</t>
  </si>
  <si>
    <t>[1753161, 1761448, 1761453, 1761458, 1761465, 1761472, 1761477, 1761483, 1761488]</t>
  </si>
  <si>
    <t>[0.028, 0.044, 0.0, 0.058, 0.044, 0.0, 0.02, 0.004, 0.207]</t>
  </si>
  <si>
    <t>709.9173351030737</t>
  </si>
  <si>
    <t>[0.049, -0.125]</t>
  </si>
  <si>
    <t>LINESTRING (5.337265636650003 60.347721419768014, 5.337576437446911 60.349724192276085, 5.337542502641309 60.349789542797296)</t>
  </si>
  <si>
    <t>[2001806, 1999752]</t>
  </si>
  <si>
    <t>[1753160, 1753161]</t>
  </si>
  <si>
    <t>0.04336954570554574</t>
  </si>
  <si>
    <t>[1754247, 1753160]</t>
  </si>
  <si>
    <t>[0.049, 0.125]</t>
  </si>
  <si>
    <t>233.05749786395984</t>
  </si>
  <si>
    <t>[-0.054, -0.049]</t>
  </si>
  <si>
    <t>LINESTRING (5.337280048277792 60.34989150430334, 5.33720220616471 60.34982881221269, 5.336688050022185 60.347693538649416)</t>
  </si>
  <si>
    <t>[1999760, 2001814]</t>
  </si>
  <si>
    <t>[1753165, 1754274]</t>
  </si>
  <si>
    <t>[1753164, 1753165]</t>
  </si>
  <si>
    <t>249.84733269943817</t>
  </si>
  <si>
    <t>[0.565, 0.024, 0.044, 0.023, -0.015, -0.039, -0.006, -0.007, 0.009]</t>
  </si>
  <si>
    <t>45974.0</t>
  </si>
  <si>
    <t>LINESTRING (5.337280048277792 60.34989150430334, 5.337285963560554 60.349909105732614, 5.3372889212040135 60.349917906447224, 5.337349537987992 60.350075693519024, 5.337681994329462 60.35135436064462, 5.338215186385708 60.35329326763302, 5.338264855758513 60.353410045635776, 5.33852010158524 60.35389987386326, 5.340165855463043 60.355891800467624, 5.340213004229267 60.35597137985398)</t>
  </si>
  <si>
    <t>[2020091, 2020099, 2020107, 2020115, 2020123, 2020131, 2020139, 2020147, 2020155]</t>
  </si>
  <si>
    <t>[1764866, 1764870, 1764876, 1757988, 1764888, 1764895, 1762185, 1764908, 1757410]</t>
  </si>
  <si>
    <t>[1753164, 1764866, 1764870, 1764876, 1757988, 1764888, 1764895, 1762185, 1764908]</t>
  </si>
  <si>
    <t>[0.565, 0.024, 0.044, 0.023, 0.015, 0.039, 0.006, 0.007, 0.009]</t>
  </si>
  <si>
    <t>703.8636535012597</t>
  </si>
  <si>
    <t>[0.012, 0.046]</t>
  </si>
  <si>
    <t>LINESTRING (5.336688050022185 60.347693538649416, 5.335947164781615 60.34692282974362, 5.33582140047164 60.346885566439205)</t>
  </si>
  <si>
    <t>[2001822, 1999768]</t>
  </si>
  <si>
    <t>[1753171, 1753172]</t>
  </si>
  <si>
    <t>0.014331037142573201</t>
  </si>
  <si>
    <t>[1754274, 1753171]</t>
  </si>
  <si>
    <t>118.36971082768243</t>
  </si>
  <si>
    <t>119.8830560943141</t>
  </si>
  <si>
    <t>[-0.176, -0.086, -0.068, -0.055]</t>
  </si>
  <si>
    <t>LINESTRING (5.2862093036782465 60.515106494857285, 5.2857592279026715 60.51532672660929, 5.284194322644133 60.516096480136135, 5.283830040581664 60.5162823020624, 5.281086398128503 60.51765383529534)</t>
  </si>
  <si>
    <t>[2063661, 2063669, 2063677, 2000034]</t>
  </si>
  <si>
    <t>[1793487, 1793493, 1753291, 1753292]</t>
  </si>
  <si>
    <t>[1756944, 1793487, 1793493, 1753291]</t>
  </si>
  <si>
    <t>[0.176, 0.086, 0.068, 0.055]</t>
  </si>
  <si>
    <t>400.93801565745366</t>
  </si>
  <si>
    <t>[0.006, 0.011, 0.037, -0.055, -0.066, -0.091, 0.043, -0.233]</t>
  </si>
  <si>
    <t>LINESTRING (5.286111318738097 60.51603106469967, 5.286041706211561 60.51609198875822, 5.284962215247023 60.51639715038274, 5.28442057443644 60.51636010482667, 5.284209465587783 60.516368077787696, 5.284049373561296 60.51638617666339, 5.281221421030924 60.51762666905767, 5.281103170331672 60.5176503186772, 5.281086398128503 60.51765383529534)</t>
  </si>
  <si>
    <t>[2006648, 2006656, 2006664, 2006672, 2006680, 2006688, 2006696, 2006704]</t>
  </si>
  <si>
    <t>[1756950, 1756954, 1756959, 1756964, 1756967, 1756969, 1756973, 1753292]</t>
  </si>
  <si>
    <t>[1756949, 1756950, 1756954, 1756959, 1756964, 1756967, 1756969, 1756973]</t>
  </si>
  <si>
    <t>[0.006, 0.011, 0.037, 0.055, 0.066, 0.091, 0.043, 0.233]</t>
  </si>
  <si>
    <t>348.68285167504473</t>
  </si>
  <si>
    <t>[0.148, -0.034, 0.11, 0.096, 0.168]</t>
  </si>
  <si>
    <t>LINESTRING (5.279372710425012 60.518308574674286, 5.27949689976851 60.518242618756595, 5.281560087668323 60.517168927212474, 5.282121409751065 60.5165581465676, 5.282085658205505 60.5164734506083, 5.282063103093113 60.51640846851422)</t>
  </si>
  <si>
    <t>[2006712, 2006720, 2006728, 2006736, 2006744]</t>
  </si>
  <si>
    <t>[1756980, 1756986, 1756989, 1756992, 1753512]</t>
  </si>
  <si>
    <t>0.023482285753054145</t>
  </si>
  <si>
    <t>[1753306, 1756980, 1756986, 1756989, 1756992]</t>
  </si>
  <si>
    <t>[0.148, 0.034, 0.11, 0.096, 0.168]</t>
  </si>
  <si>
    <t>270.99656369628855</t>
  </si>
  <si>
    <t>43.25367822125117</t>
  </si>
  <si>
    <t>[-0.054, -0.093]</t>
  </si>
  <si>
    <t>LINESTRING (5.316198871906495 60.38726590275468, 5.316198685448143 60.38723603876481, 5.316077071050803 60.38705705249275)</t>
  </si>
  <si>
    <t>[2000243, 2000259]</t>
  </si>
  <si>
    <t>[1753430, 1753440]</t>
  </si>
  <si>
    <t>[1675726, 1753430]</t>
  </si>
  <si>
    <t>[0.054, 0.093]</t>
  </si>
  <si>
    <t>24.58201088104481</t>
  </si>
  <si>
    <t>[-0.057, 0.269]</t>
  </si>
  <si>
    <t>LINESTRING (5.3184074596364574 60.38641762736412, 5.316448475612317 60.38716482933224, 5.316198871906495 60.38726590275468)</t>
  </si>
  <si>
    <t>[2053667, 2053675]</t>
  </si>
  <si>
    <t>[1786813, 1675726]</t>
  </si>
  <si>
    <t>[1762650, 1786813]</t>
  </si>
  <si>
    <t>[0.057, 0.269]</t>
  </si>
  <si>
    <t>154.64808610976394</t>
  </si>
  <si>
    <t>78.38210570121687</t>
  </si>
  <si>
    <t>[0.029, -0.031]</t>
  </si>
  <si>
    <t>LINESTRING (5.315670239143714 60.387518152865006, 5.31580475808729 60.387294854572716, 5.316077071050803 60.38705705249275)</t>
  </si>
  <si>
    <t>[2019503, 2019511]</t>
  </si>
  <si>
    <t>[1764458, 1753440]</t>
  </si>
  <si>
    <t>[1762655, 1764458]</t>
  </si>
  <si>
    <t>59.16231605868835</t>
  </si>
  <si>
    <t>[-0.054, 0.013]</t>
  </si>
  <si>
    <t>LINESTRING (5.316882097144147 60.386480261583024, 5.317176070950369 60.38630361326325, 5.317247138152017 60.386257407327534)</t>
  </si>
  <si>
    <t>[2000270, 2000277]</t>
  </si>
  <si>
    <t>[1753447, 1753452]</t>
  </si>
  <si>
    <t>[1753446, 1753447]</t>
  </si>
  <si>
    <t>[0.054, 0.013]</t>
  </si>
  <si>
    <t>32.06784109772691</t>
  </si>
  <si>
    <t>[-0.072, 0.065]</t>
  </si>
  <si>
    <t>LINESTRING (5.316882097144147 60.386480261583024, 5.317021868770232 60.38626927043104, 5.317049722067355 60.38621487140238)</t>
  </si>
  <si>
    <t>[2019519, 2019528]</t>
  </si>
  <si>
    <t>[1764472, 1755195]</t>
  </si>
  <si>
    <t>[1753446, 1764472]</t>
  </si>
  <si>
    <t>[0.072, 0.065]</t>
  </si>
  <si>
    <t>31.087864796285785</t>
  </si>
  <si>
    <t>[-0.059, 0.056]</t>
  </si>
  <si>
    <t>LINESTRING (5.317247138152017 60.386257407327534, 5.3171274174548415 60.386247712619294, 5.317049722067355 60.38621487140238)</t>
  </si>
  <si>
    <t>[2003686, 2003694]</t>
  </si>
  <si>
    <t>[1755224, 1755195]</t>
  </si>
  <si>
    <t>[1753452, 1755224]</t>
  </si>
  <si>
    <t>[0.059, 0.056]</t>
  </si>
  <si>
    <t>12.362656296290993</t>
  </si>
  <si>
    <t>17.31441011171762</t>
  </si>
  <si>
    <t>[0.115, 0.073, 0.007, -0.005, 0.002]</t>
  </si>
  <si>
    <t>LINESTRING (5.317429218647528 60.386148661271065, 5.317525743573714 60.38613239259865, 5.318931527375612 60.38564772084554, 5.319022721662991 60.38561587247112, 5.3190378989326605 60.38561096231437, 5.319476500672453 60.38550114454926)</t>
  </si>
  <si>
    <t>[2000307, 2000308, 2000316, 2000324, 2000332]</t>
  </si>
  <si>
    <t>[1753471, 1753472, 1753479, 1753483, 1753486]</t>
  </si>
  <si>
    <t>0.056768257784019754</t>
  </si>
  <si>
    <t>[1753470, 1753471, 1753472, 1753479, 1753483]</t>
  </si>
  <si>
    <t>[0.115, 0.073, 0.007, 0.005, 0.002]</t>
  </si>
  <si>
    <t>134.99377404120318</t>
  </si>
  <si>
    <t>[0.039, 0.151]</t>
  </si>
  <si>
    <t>LINESTRING (5.317341009007436 60.38607162974327, 5.3174078204251565 60.386110908100775, 5.317429218647528 60.386148661271065)</t>
  </si>
  <si>
    <t>[2003662, 2003670]</t>
  </si>
  <si>
    <t>[1755212, 1753470]</t>
  </si>
  <si>
    <t>0.08749576425274361</t>
  </si>
  <si>
    <t>[1755208, 1755212]</t>
  </si>
  <si>
    <t>10.120714975456922</t>
  </si>
  <si>
    <t>[0.026, 0.031, -0.028, -0.055, -0.062, -0.359, 0.0, -0.005]</t>
  </si>
  <si>
    <t>LINESTRING (5.324854618889361 60.38550143508871, 5.324815799154354 60.385570045924005, 5.324010572211944 60.385858484920156, 5.3201875281189706 60.385586731924995, 5.31995860858919 60.385500884812934, 5.319748774389394 60.38547680778178, 5.319563349452834 60.38549123782239, 5.319559110666124 60.38549172267765, 5.319476500672453 60.38550114454926)</t>
  </si>
  <si>
    <t>[2016806, 2035478, 2035486, 2035494, 2035502, 2035510, 2016814, 2016822]</t>
  </si>
  <si>
    <t>[1762751, 1775874, 1775879, 1775885, 1775891, 1762759, 1762760, 1753486]</t>
  </si>
  <si>
    <t>[1762030, 1762751, 1775874, 1775879, 1775885, 1775891, 1762759, 1762760]</t>
  </si>
  <si>
    <t>[0.026, 0.031, 0.028, 0.055, 0.062, 0.359, 0.0, 0.005]</t>
  </si>
  <si>
    <t>365.8480568379622</t>
  </si>
  <si>
    <t>[0.068, 0.031, -0.021, -0.054, -0.072, -0.082, -0.065]</t>
  </si>
  <si>
    <t>LINESTRING (5.282063103093113 60.51640846851422, 5.2820310733186036 60.5162170457976, 5.282136228543272 60.51620306270019, 5.282214411676379 60.51621152244288, 5.282326054182124 60.51626043576021, 5.282349914566094 60.516302897840816, 5.282340114391242 60.51634198155085, 5.282239261954135 60.51640241742981)</t>
  </si>
  <si>
    <t>[2000379, 2000383, 2000384, 2000338, 2000352, 2000360, 2000368]</t>
  </si>
  <si>
    <t>[1753515, 1753519, 1753489, 1753490, 1753497, 1753501, 1753506]</t>
  </si>
  <si>
    <t>0.002655830535462145</t>
  </si>
  <si>
    <t>[1753512, 1753515, 1753519, 1753489, 1753490, 1753497, 1753501]</t>
  </si>
  <si>
    <t>[0.068, 0.031, 0.021, 0.054, 0.072, 0.082, 0.065]</t>
  </si>
  <si>
    <t>63.22555098791858</t>
  </si>
  <si>
    <t>[-0.085, -0.029, 0.038, 0.066, 0.045, -0.103]</t>
  </si>
  <si>
    <t>LINESTRING (5.282239261954135 60.51640241742981, 5.282308458137891 60.51645273446742, 5.282485422727822 60.51652594301823, 5.282810564169658 60.516554197310256, 5.286067752004551 60.51513770896137, 5.286176371651432 60.515111819203796, 5.2862093036782465 60.515106494857285)</t>
  </si>
  <si>
    <t>[2006593, 2006601, 2006616, 2006624, 2006632, 2006640]</t>
  </si>
  <si>
    <t>[1756913, 1756918, 1756926, 1756931, 1756937, 1756944]</t>
  </si>
  <si>
    <t>0.05482899186583697</t>
  </si>
  <si>
    <t>[1753506, 1756913, 1756918, 1756926, 1756931, 1756937]</t>
  </si>
  <si>
    <t>[0.085, 0.029, 0.038, 0.066, 0.045, 0.103]</t>
  </si>
  <si>
    <t>289.00014006311704</t>
  </si>
  <si>
    <t>[-0.04, -0.059, -0.078]</t>
  </si>
  <si>
    <t>LINESTRING (5.479285202259001 59.678541882729284, 5.479402081112465 59.67858389376882, 5.480120800719612 59.6788905799738, 5.480239519870821 59.67894990385206)</t>
  </si>
  <si>
    <t>[2000890, 2000898, 2000906]</t>
  </si>
  <si>
    <t>[1753814, 1753822, 1753826]</t>
  </si>
  <si>
    <t>[1753813, 1753814, 1753822]</t>
  </si>
  <si>
    <t>[0.04, 0.059, 0.078]</t>
  </si>
  <si>
    <t>70.74286987445555</t>
  </si>
  <si>
    <t>[0.052, 0.127]</t>
  </si>
  <si>
    <t>LINESTRING (5.479285202259001 59.678541882729284, 5.480404526365272 59.678535221457736, 5.480522146286903 59.678512186415794)</t>
  </si>
  <si>
    <t>[2000930, 2000938]</t>
  </si>
  <si>
    <t>[1753842, 1753845]</t>
  </si>
  <si>
    <t>0.05940780039615891</t>
  </si>
  <si>
    <t>[1753813, 1753842]</t>
  </si>
  <si>
    <t>72.1712306099301</t>
  </si>
  <si>
    <t>[0.017, -0.019]</t>
  </si>
  <si>
    <t>LINESTRING (5.476946858476413 59.677636481123656, 5.477092810946343 59.677664348828905, 5.479285202259001 59.678541882729284)</t>
  </si>
  <si>
    <t>[2000914, 2000922]</t>
  </si>
  <si>
    <t>[1753833, 1753813]</t>
  </si>
  <si>
    <t>[1753832, 1753833]</t>
  </si>
  <si>
    <t>167.41783598524026</t>
  </si>
  <si>
    <t>[-0.079, -0.013, -0.002, -0.067]</t>
  </si>
  <si>
    <t>LINESTRING (5.480239519870821 59.67894990385206, 5.480580983238847 59.67913674477387, 5.481186277452579 59.67948548230947, 5.481321567538346 59.67957468874344, 5.481316023012715 59.67966071112275)</t>
  </si>
  <si>
    <t>[2001086, 2001093, 2001108, 2001116]</t>
  </si>
  <si>
    <t>[1753920, 1753922, 1753927, 1753932]</t>
  </si>
  <si>
    <t>[1753826, 1753920, 1753922, 1753927]</t>
  </si>
  <si>
    <t>[0.079, 0.013, 0.002, 0.067]</t>
  </si>
  <si>
    <t>102.46962187132543</t>
  </si>
  <si>
    <t>[-0.1, -0.14]</t>
  </si>
  <si>
    <t>LINESTRING (5.480543018460841 59.678620404803056, 5.4804233383965055 59.67863876828623, 5.480239519870821 59.67894990385206)</t>
  </si>
  <si>
    <t>[2001073, 2001080]</t>
  </si>
  <si>
    <t>[1753915, 1753826]</t>
  </si>
  <si>
    <t>[1753914, 1753915]</t>
  </si>
  <si>
    <t>[0.1, 0.14]</t>
  </si>
  <si>
    <t>49.05122309503623</t>
  </si>
  <si>
    <t>[-0.077, 0.0]</t>
  </si>
  <si>
    <t>LINESTRING (5.476946858476413 59.677636481123656, 5.477238388627674 59.67781153809015, 5.4774312635172855 59.67791155774618)</t>
  </si>
  <si>
    <t>[2060265, 2060273]</t>
  </si>
  <si>
    <t>[1791194, 1753909]</t>
  </si>
  <si>
    <t>[1753832, 1791194]</t>
  </si>
  <si>
    <t>[0.077, 0.0]</t>
  </si>
  <si>
    <t>41.190061782858436</t>
  </si>
  <si>
    <t>[0.024, 0.022, -0.028, -0.019, -0.022, 0.005, -0.039, -0.026, 0.038, 0.056, 0.019, -0.007, 0.048, 0.013, -0.065, -0.043, -0.036, 0.011, 0.045, 0.045, 0.04, -0.014, -0.037, 0.008, 0.023, 0.009, -0.005, 0.032, 0.052, -0.002, 0.048, -0.012, -0.044, -0.035, 0.001, -0.008, -0.027, -0.036, -0.033, 0.002, 0.01, -0.023, -0.041, -0.057, -0.07, -0.067, -0.051, -0.045, -0.021, -0.0, 0.003, 0.043, 0.098, 0.081, 0.106, 0.103, 0.004, 0.002, -0.014, 0.021, 0.003, -0.043, -0.048, 0.0, 0.002, 0.031, -0.004, -0.029, -0.037, 0.044, 0.019, -0.019, 0.012, 0.003, -0.009, -0.057, 0.03, 0.025, 0.03, 0.012, -0.041, -0.064, -0.039, -0.045, -0.012, -0.006, 0.007, -0.01, 0.025, 0.028, 0.027, -0.019, -0.025, -0.055]</t>
  </si>
  <si>
    <t>5812.0</t>
  </si>
  <si>
    <t>[0, 0, 0, 0, 0, 0, 0, 0, 0, 0, 0, 0, 0, 0, 0, 0, 0, 0, 0, 0, 0, 0, 0, 0, 0, 0, 0, 0, 0, 0, 0, 0, 0, 0, 0, 0, 0, 1, 0, 0, 0, 0, 0, 0, 0, 0, 0, 0, 0, 0, 0, 0, 1, 0, 0, 0, 0, 0, 0, 0, 0, 0, 0, 0, 0, 0, 0, 0, 0, 0, 0, 0, 0, 0, 0, 0, 0, 0, 0, 0, 0, 0, 0, 0, 0, 0, 0, 0, 0, 0, 0, 0, 0, 0]</t>
  </si>
  <si>
    <t>LINESTRING (5.415145749562309 59.5631719227496, 5.415156195124792 59.56339883863242, 5.41516454520554 59.56344196270881, 5.4163208295514265 59.56538948950435, 5.416364898392501 59.56544662705066, 5.416506351317263 59.565622583587604, 5.41653014648269 59.56566684842096, 5.4181792270128595 59.56795174662442, 5.4182890991845145 59.56843869548172, 5.418117658537763 59.56959364338996, 5.41807180515247 59.569789500244106, 5.41772945969792 59.57223884064002, 5.434787571947835 59.581402824434626, 5.435567216083567 59.58184322841925, 5.4382445950387766 59.58290214410814, 5.438474154652601 59.582961951347386, 5.441293072762901 59.58371831114142, 5.442149263267536 59.584084548282526, 5.443332814795592 59.58732685785043, 5.443504075702423 59.589037596106266, 5.443521356319139 59.58911026271734, 5.44352177646164 59.58914211187021, 5.444593426926102 59.59160168307584, 5.444662920849224 59.59175196519618, 5.44610316362023 59.59370853569028, 5.446673229777835 59.59418236261484, 5.446951671831547 59.59437871655639, 5.4499068336540075 59.595812061167805, 5.452307491945818 59.59689625116691, 5.457790269016112 59.600427793922506, 5.4594730037713655 59.60157799211253, 5.459617743473689 59.60167671145802, 5.4626855654823006 59.60432740236382, 5.463425054189871 59.605514820866055, 5.463491204173583 59.605628440748696, 5.464305519604906 59.60656736857394, 5.466949208614314 59.607631092038716, 5.469175286542179 59.60793970429534, 5.469248391019578 59.60794859604187, 5.469916696591685 59.60803043838172, 5.472101332240821 59.60831265625335, 5.47562080471066 59.609121807541094, 5.475977128362944 59.609270886813235, 5.476123437763485 59.60933707742607, 5.476562099714393 59.60955583622105, 5.476813148555344 59.60969860283252, 5.476938013735668 59.60977648358046, 5.477215464698457 59.609958137750425, 5.477724465969873 59.6103636922566, 5.478255302496228 59.61095826497317, 5.478509198128913 59.611347515643004, 5.479262523906278 59.61258853670654, 5.4796737363374035 59.6132645013471, 5.479722547181497 59.61334340349739, 5.479962855530041 59.61374229557377, 5.480296893396635 59.614287909890116, 5.48084064446738 59.615187801923796, 5.482495846707882 59.622068633333235, 5.483017840297526 59.622945287829126, 5.493309019234892 59.62702197465006, 5.494801082296524 59.628754230313916, 5.4780281551807875 59.636221578263594, 5.477687786153091 59.63639536576576, 5.477509465208019 59.636506346233965, 5.477145983628078 59.63680718975319, 5.479315017947254 59.640745664237876, 5.480076474309577 59.641575494139914, 5.4811529060994815 59.64497781443127, 5.4811161874212075 59.64506734787368, 5.480758431657868 59.64839957400512, 5.480228893485226 59.64884306832416, 5.478539292806294 59.652228416345125, 5.478638806983638 59.65357575115285, 5.477493334317578 59.655925184504525, 5.4756085361645175 59.657797960862, 5.472365656404367 59.658898778373484, 5.471485408714743 59.65932713311633, 5.470643473169117 59.660015201083155, 5.466901948103589 59.666511865347466, 5.464385283980079 59.66760299565525, 5.464073706055634 59.66770973733638, 5.4636453663985876 59.66785605195491, 5.462725432396464 59.66816778088597, 5.461145168341399 59.668704751623665, 5.458356897702774 59.67099534525113, 5.458358046574446 59.67102823335629, 5.4602817340947825 59.67290132084699, 5.46685316401573 59.67355683587399, 5.469910788895321 59.674117097706294, 5.470668018518415 59.6745051041649, 5.471891090454708 59.67522933337816, 5.474986517449793 59.67642081708167, 5.47600148967331 59.676993245895666, 5.476348819577993 59.677230819165715, 5.476946858476413 59.677636481123656)</t>
  </si>
  <si>
    <t>[2059508, 2059516, 2059524, 2059532, 2059540, 2059548, 2059556, 2059567, 2059575, 2059582, 2059592, 2059600, 2059608, 2059616, 2059624, 2059632, 2059640, 2059648, 2059656, 2059664, 2059672, 2059680, 2059688, 2059696, 2059704, 2059712, 2059720, 2059728, 2059736, 2059744, 2059752, 2059760, 2059768, 2059776, 2059784, 2059792, 2059800, 2059808, 2059816, 2059824, 2059832, 2059841, 2059849, 2059857, 2059865, 2059873, 2059881, 2059889, 2059897, 2059905, 2059913, 2059921, 2059929, 2059937, 2059945, 2059953, 2059961, 2059969, 2059977, 2059985, 2059993, 2060001, 2060009, 2060017, 2060025, 2060033, 2060041, 2060049, 2060057, 2060065, 2060073, 2060081, 2060089, 2060097, 2060105, 2060113, 2060121, 2060129, 2060137, 2060145, 2060153, 2060161, 2060169, 2060177, 2060185, 2060193, 2060201, 2060209, 2060217, 2060225, 2060233, 2060241, 2060249, 2060257]</t>
  </si>
  <si>
    <t>[1789953, 1662396, 1748155, 1790733, 1790738, 1622676, 1623914, 1622696, 1622713, 1790764, 1624425, 1752556, 1660696, 1790784, 1790791, 1790797, 1660658, 1630355, 1622547, 1622527, 1622517, 1789929, 1630352, 1622511, 1790836, 1789937, 1660640, 1776263, 1790853, 1660613, 1660575, 1790868, 1659473, 1774054, 1622450, 1790883, 1790887, 1790889, 1659432, 1789852, 1790902, 1658705, 1790915, 1790921, 1790925, 1752418, 1790934, 1790939, 1790943, 1632760, 1790953, 1790958, 1790962, 1790969, 1790973, 1660459, 1790986, 1790993, 1748192, 1660281, 1791007, 1791012, 1752702, 1791021, 1634115, 1634118, 1623560, 1791039, 1791043, 1632817, 1622156, 1791060, 1748118, 1747873, 1632806, 1632661, 1660170, 1634284, 377567, 1791105, 377525, 1752814, 461560, 1631318, 1791133, 1632418, 1660129, 1791151, 1791156, 1660077, 1791167, 1791173, 1791180, 1753832]</t>
  </si>
  <si>
    <t>0.0013227144199555437</t>
  </si>
  <si>
    <t>[1790721, 1789953, 1662396, 1748155, 1790733, 1790738, 1622676, 1623914, 1622696, 1622713, 1790764, 1624425, 1752556, 1660696, 1790784, 1790791, 1790797, 1660658, 1630355, 1622547, 1622527, 1622517, 1789929, 1630352, 1622511, 1790836, 1789937, 1660640, 1776263, 1790853, 1660613, 1660575, 1790868, 1659473, 1774054, 1622450, 1790883, 1790887, 1790889, 1659432, 1789852, 1790902, 1658705, 1790915, 1790921, 1790925, 1752418, 1790934, 1790939, 1790943, 1632760, 1790953, 1790958, 1790962, 1790969, 1790973, 1660459, 1790986, 1790993, 1748192, 1660281, 1791007, 1791012, 1752702, 1791021, 1634115, 1634118, 1623560, 1791039, 1791043, 1632817, 1622156, 1791060, 1748118, 1747873, 1632806, 1632661, 1660170, 1634284, 377567, 1791105, 377525, 1752814, 461560, 1631318, 1791133, 1632418, 1660129, 1791151, 1791156, 1660077, 1791167, 1791173, 1791180]</t>
  </si>
  <si>
    <t>[0.024, 0.022, 0.028, 0.019, 0.022, 0.005, 0.039, 0.026, 0.038, 0.056, 0.019, 0.007, 0.048, 0.013, 0.065, 0.043, 0.036, 0.011, 0.045, 0.045, 0.04, 0.014, 0.037, 0.008, 0.023, 0.009, 0.005, 0.032, 0.052, 0.002, 0.048, 0.012, 0.044, 0.035, 0.001, 0.008, 0.027, 0.036, 0.033, 0.002, 0.01, 0.023, 0.041, 0.057, 0.07, 0.067, 0.051, 0.045, 0.021, 0.0, 0.003, 0.043, 0.098, 0.081, 0.106, 0.103, 0.004, 0.002, 0.014, 0.021, 0.003, 0.043, 0.048, 0.0, 0.002, 0.031, 0.004, 0.029, 0.037, 0.044, 0.019, 0.019, 0.012, 0.003, 0.009, 0.057, 0.03, 0.025, 0.03, 0.012, 0.041, 0.064, 0.039, 0.045, 0.012, 0.006, 0.007, 0.01, 0.025, 0.028, 0.027, 0.019, 0.025, 0.055]</t>
  </si>
  <si>
    <t>16685.249190089588</t>
  </si>
  <si>
    <t>[0.297, -0.055, -0.139, -0.132]</t>
  </si>
  <si>
    <t>LINESTRING (5.480522146286903 59.678512186415794, 5.480896345407892 59.678485329798015, 5.48094593002748 59.678543208835215, 5.480927932966957 59.67860608647661, 5.480877263140026 59.67863944773376)</t>
  </si>
  <si>
    <t>[2007752, 2007760, 2007768, 2007776]</t>
  </si>
  <si>
    <t>[1757576, 1757583, 1757589, 1757592]</t>
  </si>
  <si>
    <t>0.12467688861852404</t>
  </si>
  <si>
    <t>[1753845, 1757576, 1757583, 1757589]</t>
  </si>
  <si>
    <t>[0.297, 0.055, 0.139, 0.132]</t>
  </si>
  <si>
    <t>44.06631353044511</t>
  </si>
  <si>
    <t>0.151</t>
  </si>
  <si>
    <t>12.506346009919495</t>
  </si>
  <si>
    <t>44.49774924575354</t>
  </si>
  <si>
    <t>[0.025, 0.008, 0.006]</t>
  </si>
  <si>
    <t>LINESTRING (5.47849267889766 59.67846306018031, 5.478365571961898 59.67841306604983, 5.478025159070264 59.678285065641305, 5.477966349822954 59.678266292767226)</t>
  </si>
  <si>
    <t>[2000946, 2000947, 2000955]</t>
  </si>
  <si>
    <t>[1753848, 1753849, 1753855]</t>
  </si>
  <si>
    <t>0.011968320956410972</t>
  </si>
  <si>
    <t>[1753847, 1753848, 1753849]</t>
  </si>
  <si>
    <t>37.004756710767865</t>
  </si>
  <si>
    <t>[-0.036, 0.021, 0.043]</t>
  </si>
  <si>
    <t>LINESTRING (5.480710489734829 59.67928456096572, 5.480608080612989 59.67928068094457, 5.480439031477122 59.67920230244406, 5.47849267889766 59.67846306018031)</t>
  </si>
  <si>
    <t>[2000963, 2000967, 2000968]</t>
  </si>
  <si>
    <t>[1753858, 1753860, 1753847]</t>
  </si>
  <si>
    <t>0.038263067018128094</t>
  </si>
  <si>
    <t>[1753857, 1753858, 1753860]</t>
  </si>
  <si>
    <t>[0.036, 0.021, 0.043]</t>
  </si>
  <si>
    <t>156.9893059978364</t>
  </si>
  <si>
    <t>[0.026, 0.002, 0.031, 0.078]</t>
  </si>
  <si>
    <t>LINESTRING (5.477966349822954 59.678266292767226, 5.477552629053675 59.67804341107982, 5.477501609542896 59.6780161667953, 5.477437245134444 59.67798432859934, 5.4774312635172855 59.67791155774618)</t>
  </si>
  <si>
    <t>[2001052, 2001058, 2001059, 2001065]</t>
  </si>
  <si>
    <t>[1753901, 1753905, 1753906, 1753909]</t>
  </si>
  <si>
    <t>0.032700728043284256</t>
  </si>
  <si>
    <t>[1753855, 1753901, 1753905, 1753906]</t>
  </si>
  <si>
    <t>51.94231350888268</t>
  </si>
  <si>
    <t>[0.1, 0.102]</t>
  </si>
  <si>
    <t>LINESTRING (5.477838071986538 59.678595055266214, 5.477829300336983 59.67853202592277, 5.477966349822954 59.678266292767226)</t>
  </si>
  <si>
    <t>[2001035, 2001051]</t>
  </si>
  <si>
    <t>[1753893, 1753855]</t>
  </si>
  <si>
    <t>0.10163058255292612</t>
  </si>
  <si>
    <t>[1753865, 1753893]</t>
  </si>
  <si>
    <t>38.228629605605775</t>
  </si>
  <si>
    <t>54.204262747625535</t>
  </si>
  <si>
    <t>[-0.058, -0.004, -0.023, -0.054, -0.008]</t>
  </si>
  <si>
    <t>[0, 1, 0, 0, 1]</t>
  </si>
  <si>
    <t>LINESTRING (5.4774312635172855 59.67791155774618, 5.477562383518775 59.67797812170381, 5.477611343689143 59.678000694361785, 5.479374954349166 59.67867865260076, 5.48050513160475 59.67917187916831, 5.480710489734829 59.67928456096572)</t>
  </si>
  <si>
    <t>[2060281, 2060289, 2060297, 2060305, 2060313]</t>
  </si>
  <si>
    <t>[1791206, 1791213, 1791221, 1791228, 1753857]</t>
  </si>
  <si>
    <t>[1753909, 1791206, 1791213, 1791221, 1791228]</t>
  </si>
  <si>
    <t>[0.058, 0.004, 0.023, 0.054, 0.008]</t>
  </si>
  <si>
    <t>241.05230439913728</t>
  </si>
  <si>
    <t>[-0.011, -0.009, 0.02, 0.023]</t>
  </si>
  <si>
    <t>LINESTRING (5.452437568966685 59.762957286277846, 5.452642001184119 59.76301846776962, 5.455355181187939 59.76393146194725, 5.455746410181864 59.76358443071896, 5.455724567203736 59.7635183600022)</t>
  </si>
  <si>
    <t>[2001217, 2001236, 2001246, 2001247]</t>
  </si>
  <si>
    <t>[1753987, 1753997, 1754003, 1754004]</t>
  </si>
  <si>
    <t>[1753986, 1753987, 1753997, 1754003]</t>
  </si>
  <si>
    <t>[0.011, 0.009, 0.02, 0.023]</t>
  </si>
  <si>
    <t>258.0253419131599</t>
  </si>
  <si>
    <t>[-0.011, 0.005]</t>
  </si>
  <si>
    <t>LINESTRING (5.452437568966685 59.762957286277846, 5.454652043989545 59.7638887243049, 5.4565690480034705 59.76449439232326)</t>
  </si>
  <si>
    <t>[2060815, 2060823]</t>
  </si>
  <si>
    <t>[1791613, 1754042]</t>
  </si>
  <si>
    <t>[1753986, 1791613]</t>
  </si>
  <si>
    <t>290.2514181062808</t>
  </si>
  <si>
    <t>203.05364182979903</t>
  </si>
  <si>
    <t>0.33</t>
  </si>
  <si>
    <t>8.268010643636005</t>
  </si>
  <si>
    <t>13.680787967106466</t>
  </si>
  <si>
    <t>1707.0</t>
  </si>
  <si>
    <t>11.668384635554217</t>
  </si>
  <si>
    <t>[0.023, 0.002, 0.003]</t>
  </si>
  <si>
    <t>LINESTRING (5.453022001125102 59.763875394701266, 5.453064053190827 59.7638361959455, 5.450017119404384 59.76169007581861, 5.449989775018032 59.761625037872705)</t>
  </si>
  <si>
    <t>[2001255, 2001256, 2001271]</t>
  </si>
  <si>
    <t>[1754010, 1754011, 1754016]</t>
  </si>
  <si>
    <t>0.0023494912629413046</t>
  </si>
  <si>
    <t>[1754009, 1754010, 1754011]</t>
  </si>
  <si>
    <t>320.5501078751707</t>
  </si>
  <si>
    <t>[0.009, -0.012, -0.014, -0.01, -0.003, -0.001, -0.554]</t>
  </si>
  <si>
    <t>LINESTRING (5.453174975599459 59.764140871881146, 5.452863505655902 59.76414806222471, 5.452776612210763 59.76410764044148, 5.452726824118548 59.76405440396886, 5.4527537502895065 59.76395284512983, 5.452800216278681 59.763920353721794, 5.452865716442833 59.763894592325514, 5.453022001125102 59.763875394701266)</t>
  </si>
  <si>
    <t>[2050440, 2050360, 2050368, 2050376, 2050384, 2050392, 2050400]</t>
  </si>
  <si>
    <t>[1755881, 1784893, 1767210, 1784900, 1784905, 1784911, 1754009]</t>
  </si>
  <si>
    <t>[1765725, 1755881, 1784893, 1767210, 1784900, 1784905, 1784911]</t>
  </si>
  <si>
    <t>[0.009, 0.012, 0.014, 0.01, 0.003, 0.001, 0.554]</t>
  </si>
  <si>
    <t>61.259497641753484</t>
  </si>
  <si>
    <t>[-0.028, 0.013, 0.009]</t>
  </si>
  <si>
    <t>LINESTRING (5.455960481211968 59.76351394556491, 5.45593501277189 59.76357736331172, 5.459224800923737 59.765207399038054, 5.459311424908854 59.765252091224646)</t>
  </si>
  <si>
    <t>[2001295, 2001296, 2001311]</t>
  </si>
  <si>
    <t>[1754027, 1754028, 1754035]</t>
  </si>
  <si>
    <t>0.011920419226658102</t>
  </si>
  <si>
    <t>[1754026, 1754027, 1754028]</t>
  </si>
  <si>
    <t>[0.028, 0.013, 0.009]</t>
  </si>
  <si>
    <t>300.5037048864536</t>
  </si>
  <si>
    <t>[0.008, 0.013, 0.012, -0.473]</t>
  </si>
  <si>
    <t>LINESTRING (5.4559285044615535 59.76327017856794, 5.456058633890353 59.76332311573556, 5.456094880832003 59.76342071364292, 5.456039831050091 59.76348178303213, 5.455960481211968 59.76351394556491)</t>
  </si>
  <si>
    <t>[2007904, 2007912, 2007920, 2007928]</t>
  </si>
  <si>
    <t>[1756396, 1757674, 1753350, 1754026]</t>
  </si>
  <si>
    <t>[1757665, 1756396, 1757674, 1753350]</t>
  </si>
  <si>
    <t>[0.008, 0.013, 0.012, 0.473]</t>
  </si>
  <si>
    <t>34.00521142310304</t>
  </si>
  <si>
    <t>[-0.002, -0.008, 0.079, -0.005]</t>
  </si>
  <si>
    <t>LINESTRING (5.459311424908854 59.765252091224646, 5.465545502289684 59.76615263254482, 5.467171953445149 59.76652082154429, 5.468700057701875 59.7668650015856, 5.474514228822105 59.7706966731084)</t>
  </si>
  <si>
    <t>[2060863, 2060871, 2060879, 2060887]</t>
  </si>
  <si>
    <t>[1791641, 1791648, 1791654, 1761221]</t>
  </si>
  <si>
    <t>0.002690990383094722</t>
  </si>
  <si>
    <t>[1754035, 1791641, 1791648, 1791654]</t>
  </si>
  <si>
    <t>[0.002, 0.008, 0.079, 0.005]</t>
  </si>
  <si>
    <t>1135.1247820889919</t>
  </si>
  <si>
    <t>[0.015, -0.029, 0.024, 0.081]</t>
  </si>
  <si>
    <t>LINESTRING (5.4565690480034705 59.76449439232326, 5.45810015679215 59.76495658260016, 5.458115454794315 59.764961103075805, 5.459102861607809 59.76521557497594, 5.459311424908854 59.765252091224646)</t>
  </si>
  <si>
    <t>[2060831, 2060839, 2060847, 2060855]</t>
  </si>
  <si>
    <t>[1791623, 1791628, 1637477, 1754035]</t>
  </si>
  <si>
    <t>0.02259062089116393</t>
  </si>
  <si>
    <t>[1754042, 1791623, 1791628, 1637477]</t>
  </si>
  <si>
    <t>[0.015, 0.029, 0.024, 0.081]</t>
  </si>
  <si>
    <t>176.58761214198012</t>
  </si>
  <si>
    <t>[-0.018, -0.004, -0.024]</t>
  </si>
  <si>
    <t>7431.0</t>
  </si>
  <si>
    <t>LINESTRING (5.4565690480034705 59.76449439232326, 5.456430644345625 59.76447701803381, 5.453243647620232 59.7638710514881, 5.453211864572076 59.763916979811434)</t>
  </si>
  <si>
    <t>[2001324, 2001340, 2001348]</t>
  </si>
  <si>
    <t>[1754043, 1754051, 1754057]</t>
  </si>
  <si>
    <t>[1754042, 1754043, 1754051]</t>
  </si>
  <si>
    <t>[0.018, 0.004, 0.024]</t>
  </si>
  <si>
    <t>223.19091234270186</t>
  </si>
  <si>
    <t>[-0.123, -0.017, 0.012, 0.035]</t>
  </si>
  <si>
    <t>LINESTRING (5.451464030855065 60.17935549881249, 5.451554497352139 60.17939372635621, 5.451984520566791 60.18104834076267, 5.452692095259251 60.18117472137347, 5.452786505135072 60.18114993236572)</t>
  </si>
  <si>
    <t>[2001349, 2001372, 2001373, 2001380]</t>
  </si>
  <si>
    <t>[1754059, 1754067, 1754068, 1754071]</t>
  </si>
  <si>
    <t>[1754058, 1754059, 1754067, 1754068]</t>
  </si>
  <si>
    <t>[0.123, 0.017, 0.012, 0.035]</t>
  </si>
  <si>
    <t>245.6531711468154</t>
  </si>
  <si>
    <t>[0.009, 0.021, -0.04]</t>
  </si>
  <si>
    <t>LINESTRING (5.451464030855065 60.17935549881249, 5.451590893939114 60.18118420479678, 5.4512787747713025 60.18197645890679, 5.4507189316981695 60.18293306950926)</t>
  </si>
  <si>
    <t>[2061936, 2061944, 2061952]</t>
  </si>
  <si>
    <t>[1792401, 1792406, 1754075]</t>
  </si>
  <si>
    <t>[1754058, 1792401, 1792406]</t>
  </si>
  <si>
    <t>[0.009, 0.021, 0.04]</t>
  </si>
  <si>
    <t>406.90213229603427</t>
  </si>
  <si>
    <t>99.08834442069312</t>
  </si>
  <si>
    <t>12.132360529997857</t>
  </si>
  <si>
    <t>7.990619500757605</t>
  </si>
  <si>
    <t>[0.142, 0.055, 0.146, -0.007]</t>
  </si>
  <si>
    <t>LINESTRING (5.4507189316981695 60.18293306950926, 5.450668722179443 60.182875160392705, 5.451020495826734 60.18112886793237, 5.450779167095848 60.180887360753275, 5.450786663259478 60.180824603512654)</t>
  </si>
  <si>
    <t>[2001388, 2001404, 2001412, 2001424]</t>
  </si>
  <si>
    <t>[1754076, 1754080, 1754088, 1754098]</t>
  </si>
  <si>
    <t>0.06681860368822122</t>
  </si>
  <si>
    <t>[1754075, 1754076, 1754080, 1754088]</t>
  </si>
  <si>
    <t>[0.142, 0.055, 0.146, 0.007]</t>
  </si>
  <si>
    <t>248.83600859564206</t>
  </si>
  <si>
    <t>[-0.199, -0.025, -0.136]</t>
  </si>
  <si>
    <t>LINESTRING (5.450786663259478 60.180824603512654, 5.451445716198333 60.18101121815954, 5.450954398786917 60.178560632528416, 5.450990075264505 60.17850082840596)</t>
  </si>
  <si>
    <t>[2001462, 2001470, 2001478]</t>
  </si>
  <si>
    <t>[1754120, 1754124, 1754129]</t>
  </si>
  <si>
    <t>[1754098, 1754120, 1754124]</t>
  </si>
  <si>
    <t>[0.199, 0.025, 0.136]</t>
  </si>
  <si>
    <t>342.5747619306047</t>
  </si>
  <si>
    <t>[-0.02, 0.056, -0.028, -0.003]</t>
  </si>
  <si>
    <t>LINESTRING (5.452827301046133 60.18125237210878, 5.452721156517835 60.18124284860885, 5.451451963812443 60.18179491883131, 5.4507804815191525 60.18296467345808, 5.450677098649641 60.183001469510295)</t>
  </si>
  <si>
    <t>[2001486, 2001494, 2001502, 2001510]</t>
  </si>
  <si>
    <t>[1754134, 1754139, 1754143, 1754147]</t>
  </si>
  <si>
    <t>0.008244965732325403</t>
  </si>
  <si>
    <t>[1754133, 1754134, 1754139, 1754143]</t>
  </si>
  <si>
    <t>[0.02, 0.056, 0.028, 0.003]</t>
  </si>
  <si>
    <t>257.4436463513497</t>
  </si>
  <si>
    <t>[-0.015, -0.02, -0.032, -0.021, -0.014, 0.001, 0.056]</t>
  </si>
  <si>
    <t>LINESTRING (5.453018007501422 60.18110302231997, 5.453078393247184 60.18111808210984, 5.4531259590610075 60.181152484835955, 5.453141415853732 60.181196526980045, 5.453071963086161 60.181253876813905, 5.453000701648626 60.18127401828418, 5.452899333203381 60.181272980894235, 5.452827301046133 60.18125237210878)</t>
  </si>
  <si>
    <t>[2007992, 2008000, 2008008, 2008016, 2008024, 2008032, 2008040]</t>
  </si>
  <si>
    <t>[1757724, 1757729, 1756484, 1753003, 1757742, 1757747, 1754133]</t>
  </si>
  <si>
    <t>[1757718, 1757724, 1757729, 1756484, 1753003, 1757742, 1757747]</t>
  </si>
  <si>
    <t>[0.015, 0.02, 0.032, 0.021, 0.014, 0.001, 0.056]</t>
  </si>
  <si>
    <t>35.736281612782506</t>
  </si>
  <si>
    <t>[0.037, -0.019]</t>
  </si>
  <si>
    <t>LINESTRING (5.337100347019847 60.325777582806296, 5.337721789690089 60.32523523993602, 5.337623165080388 60.325204487888875)</t>
  </si>
  <si>
    <t>[2001526, 2001534]</t>
  </si>
  <si>
    <t>[1754155, 1754161]</t>
  </si>
  <si>
    <t>0.03437396546098706</t>
  </si>
  <si>
    <t>[1754151, 1754155]</t>
  </si>
  <si>
    <t>137.6872240517387</t>
  </si>
  <si>
    <t>8.900792099642505</t>
  </si>
  <si>
    <t>[-0.076, -0.078, -0.035, 0.055, -0.03]</t>
  </si>
  <si>
    <t>LINESTRING (5.337462572631223 60.32520537025572, 5.337369576101001 60.32524196456197, 5.337140700717422 60.325367182215, 5.336472868738137 60.32586993917579, 5.336235037929538 60.326048986399314, 5.336734400683197 60.32666790984147)</t>
  </si>
  <si>
    <t>[2001590, 2001598, 2001606, 2001614, 2001622]</t>
  </si>
  <si>
    <t>[1754183, 1754189, 1754190, 1754193, 1754195]</t>
  </si>
  <si>
    <t>[1754182, 1754183, 1754189, 1754190, 1754193]</t>
  </si>
  <si>
    <t>[0.076, 0.078, 0.035, 0.055, 0.03]</t>
  </si>
  <si>
    <t>248.22289432493102</t>
  </si>
  <si>
    <t>[0.766, 0.093, -0.016, -0.276]</t>
  </si>
  <si>
    <t>LINESTRING (5.337352642740817 60.34684318400374, 5.337412194682787 60.346888253890214, 5.3374473730401775 60.34697766678089, 5.337403304057657 60.34705312816797, 5.337225340351137 60.347135052775265)</t>
  </si>
  <si>
    <t>[2007336, 2007344, 2007352, 2007360]</t>
  </si>
  <si>
    <t>[1757329, 1757334, 1757338, 1754266]</t>
  </si>
  <si>
    <t>0.04265736398601861</t>
  </si>
  <si>
    <t>[1754230, 1757329, 1757334, 1757338]</t>
  </si>
  <si>
    <t>[0.766, 0.093, 0.016, 0.276]</t>
  </si>
  <si>
    <t>38.640748177895816</t>
  </si>
  <si>
    <t>23.4001630953531</t>
  </si>
  <si>
    <t>60.55771855496954</t>
  </si>
  <si>
    <t>[0.034, 0.066, 0.051, 0.043]</t>
  </si>
  <si>
    <t>LINESTRING (5.337155506741826 60.347197770692084, 5.337152902806623 60.347260895810784, 5.337275057064296 60.34755477524227, 5.337270849982599 60.34768562143702, 5.337265636650003 60.347721419768014)</t>
  </si>
  <si>
    <t>[2001726, 2001734, 2001742, 2001750]</t>
  </si>
  <si>
    <t>[1754233, 1754239, 1754244, 1754247]</t>
  </si>
  <si>
    <t>0.05692566128110596</t>
  </si>
  <si>
    <t>[1754232, 1754233, 1754239, 1754244]</t>
  </si>
  <si>
    <t>59.22640680016553</t>
  </si>
  <si>
    <t>8.00562302384992</t>
  </si>
  <si>
    <t>[-0.259, -0.056, 0.066, 0.229]</t>
  </si>
  <si>
    <t>LINESTRING (5.33685223959623 60.347113120920206, 5.336743861770763 60.347048189037714, 5.336710020211065 60.34693535648479, 5.3368541890791015 60.34681929634471, 5.336961125247968 60.346791861882785)</t>
  </si>
  <si>
    <t>[2007376, 2007384, 2007392, 2007400]</t>
  </si>
  <si>
    <t>[1757352, 1757357, 1757363, 1754253]</t>
  </si>
  <si>
    <t>[1754284, 1757352, 1757357, 1757363]</t>
  </si>
  <si>
    <t>[0.259, 0.056, 0.066, 0.229]</t>
  </si>
  <si>
    <t>44.32475698282461</t>
  </si>
  <si>
    <t>21.559132757072504</t>
  </si>
  <si>
    <t>[0.08, 0.007, -0.029]</t>
  </si>
  <si>
    <t>LINESTRING (5.336688050022185 60.347693538649416, 5.336718406468222 60.34767134276875, 5.336893495488104 60.34718217583884, 5.33685223959623 60.347113120920206)</t>
  </si>
  <si>
    <t>[2001830, 2001838, 2001846]</t>
  </si>
  <si>
    <t>[1754280, 1754283, 1754284]</t>
  </si>
  <si>
    <t>0.005941632227691603</t>
  </si>
  <si>
    <t>[1754274, 1754280, 1754283]</t>
  </si>
  <si>
    <t>[0.08, 0.007, 0.029]</t>
  </si>
  <si>
    <t>67.08239990947625</t>
  </si>
  <si>
    <t>[-0.004, 0.122, -0.048, 0.019, 0.014, 0.015]</t>
  </si>
  <si>
    <t>4095.0</t>
  </si>
  <si>
    <t>LINESTRING (5.335499774345261 60.383404663069776, 5.334470384953042 60.383498366816234, 5.334289456235011 60.3834923421364, 5.333966921388328 60.38348274006865, 5.333959382917757 60.38348246792698, 5.333949005352476 60.383482096231546, 5.333931089317562 60.38348145239207)</t>
  </si>
  <si>
    <t>[2001894, 2006935, 2015598, 2015606, 2015614, 2015622]</t>
  </si>
  <si>
    <t>[1754300, 1757083, 1762006, 1762010, 1762013, 1762019]</t>
  </si>
  <si>
    <t>0.0018356590627395977</t>
  </si>
  <si>
    <t>[1754298, 1754300, 1757083, 1762006, 1762010, 1762013]</t>
  </si>
  <si>
    <t>[0.004, 0.122, 0.048, 0.019, 0.014, 0.015]</t>
  </si>
  <si>
    <t>88.48414866494014</t>
  </si>
  <si>
    <t>[0.111, -0.017, 0.014, -0.005, -0.037]</t>
  </si>
  <si>
    <t>LINESTRING (5.335417601552036 60.38212144974033, 5.335530202655697 60.382233722457144, 5.335818875185543 60.382899804835134, 5.336114484622368 60.38343885633124, 5.335656666847908 60.38335999880947, 5.335499774345261 60.383404663069776)</t>
  </si>
  <si>
    <t>[2006927, 2001862, 2001870, 2001878, 2001886]</t>
  </si>
  <si>
    <t>[1754291, 1754292, 1754294, 1754297, 1754298]</t>
  </si>
  <si>
    <t>[1757079, 1754291, 1754292, 1754294, 1754297]</t>
  </si>
  <si>
    <t>[0.111, 0.017, 0.014, 0.005, 0.037]</t>
  </si>
  <si>
    <t>378.5227692670723</t>
  </si>
  <si>
    <t>[0.009, 0.001, -0.017, -0.017, 0.082]</t>
  </si>
  <si>
    <t>LINESTRING (5.335881729080786 60.383344010516964, 5.335891549107488 60.3834333736861, 5.335987385353743 60.38378502104871, 5.336131405171847 60.38420713402921, 5.335394749718565 60.38507486349726, 5.335294038765666 60.38519773494052)</t>
  </si>
  <si>
    <t>[2001902, 2001910, 2001918, 2001926, 2006943]</t>
  </si>
  <si>
    <t>[1754302, 1754304, 1754309, 1754312, 1757087]</t>
  </si>
  <si>
    <t>[1754301, 1754302, 1754304, 1754309, 1754312]</t>
  </si>
  <si>
    <t>[0.009, 0.001, 0.017, 0.017, 0.082]</t>
  </si>
  <si>
    <t>222.42848369493058</t>
  </si>
  <si>
    <t>[0.012, -0.026]</t>
  </si>
  <si>
    <t>7513.0</t>
  </si>
  <si>
    <t>LINESTRING (5.335881729080786 60.383344010516964, 5.336148532826997 60.38378326205589, 5.336307967758031 60.38460720915772)</t>
  </si>
  <si>
    <t>[2062903, 2062904]</t>
  </si>
  <si>
    <t>[1793038, 1754328]</t>
  </si>
  <si>
    <t>[1754301, 1793038]</t>
  </si>
  <si>
    <t>144.5405622598461</t>
  </si>
  <si>
    <t>[0.015, -0.016, -0.008, 0.005]</t>
  </si>
  <si>
    <t>LINESTRING (5.335417601552036 60.38212144974033, 5.335609231826901 60.38258594768245, 5.335639692769555 60.38267410999659, 5.335745054559298 60.38299389285121, 5.335881729080786 60.383344010516964)</t>
  </si>
  <si>
    <t>[2014957, 2014965, 2062879, 2062885]</t>
  </si>
  <si>
    <t>[1761674, 1761678, 1793018, 1754301]</t>
  </si>
  <si>
    <t>0.003915271786484302</t>
  </si>
  <si>
    <t>[1757079, 1761674, 1761678, 1793018]</t>
  </si>
  <si>
    <t>[0.015, 0.016, 0.008, 0.005]</t>
  </si>
  <si>
    <t>139.0441691486268</t>
  </si>
  <si>
    <t>[0.005, -0.013, -0.031]</t>
  </si>
  <si>
    <t>8489.0</t>
  </si>
  <si>
    <t>LINESTRING (5.336912960577659 60.38287686257542, 5.337257232614691 60.384084301472605, 5.336351164434833 60.384590474908116, 5.336307967758031 60.38460720915772)</t>
  </si>
  <si>
    <t>[2001950, 2001958, 2001966]</t>
  </si>
  <si>
    <t>[1754323, 1754326, 1754328]</t>
  </si>
  <si>
    <t>[1754321, 1754323, 1754326]</t>
  </si>
  <si>
    <t>[0.005, 0.013, 0.031]</t>
  </si>
  <si>
    <t>255.949445089247</t>
  </si>
  <si>
    <t>[-0.135, -0.004]</t>
  </si>
  <si>
    <t>11930.0</t>
  </si>
  <si>
    <t>LINESTRING (5.334484005660095 60.38336730404641, 5.334484005660095 60.38336730404641, 5.336912960577659 60.38287686257542)</t>
  </si>
  <si>
    <t>[2006959, 2001942]</t>
  </si>
  <si>
    <t>[1754320, 1754321]</t>
  </si>
  <si>
    <t>[1757094, 1754320]</t>
  </si>
  <si>
    <t>160.3187668783694</t>
  </si>
  <si>
    <t>[0.0, 0.079, 0.086, 0.144, 0.285]</t>
  </si>
  <si>
    <t>LINESTRING (5.321954793843219 60.41385975926691, 5.321954793843219 60.41385975926691, 5.32147058121062 60.414271266181714, 5.321461620539949 60.414279066529716, 5.322939172585152 60.414577802707704, 5.323081007354437 60.41458729942779)</t>
  </si>
  <si>
    <t>[2002062, 2002070, 2002078, 2002086, 2002094]</t>
  </si>
  <si>
    <t>[1754375, 1754381, 1754385, 1754388, 1754392]</t>
  </si>
  <si>
    <t>0.1297857859086144</t>
  </si>
  <si>
    <t>[1752222, 1754375, 1754381, 1754385, 1754388]</t>
  </si>
  <si>
    <t>229.6371850697855</t>
  </si>
  <si>
    <t>[-0.011, 0.205, 0.0, 0.176]</t>
  </si>
  <si>
    <t>LINESTRING (5.319847411183952 60.41541569589231, 5.322025637410695 60.41473328988529, 5.32203766016261 60.41473125898538, 5.322042648647937 60.41473042179013, 5.323081007354437 60.41458729942779)</t>
  </si>
  <si>
    <t>[2063058, 2063061, 2063068, 2063083]</t>
  </si>
  <si>
    <t>[1793152, 1793155, 1793159, 1754392]</t>
  </si>
  <si>
    <t>0.04449754804431468</t>
  </si>
  <si>
    <t>[1754437, 1793152, 1793155, 1793159]</t>
  </si>
  <si>
    <t>[0.011, 0.205, 0.0, 0.176]</t>
  </si>
  <si>
    <t>203.5353384599594</t>
  </si>
  <si>
    <t>[0.0, 0.119, 0.0, 0.0, 0.096, 0.075, 0.022, 0.0, -0.292, -0.034, -0.068]</t>
  </si>
  <si>
    <t>4941.0</t>
  </si>
  <si>
    <t>LINESTRING (5.321847253179652 60.41412858374927, 5.321847253179652 60.41412858374927, 5.3217325475682165 60.41432614666556, 5.321729314937217 60.41433168062273, 5.321727697860586 60.41433475509368, 5.321586017762116 60.41458426000361, 5.321527879449372 60.41467827562744, 5.3150818138287175 60.41777548336599, 5.315077825913904 60.41777603193687, 5.31501266147294 60.41778494459206, 5.313052647500486 60.41818617481001, 5.312788676543373 60.41826720466414)</t>
  </si>
  <si>
    <t>[2002102, 2002110, 2002118, 2002126, 2002134, 2002142, 2002150, 2002158, 2002166, 2002174, 2002182]</t>
  </si>
  <si>
    <t>[1754395, 1754398, 1754404, 1754405, 1754408, 1754413, 1754417, 1754422, 1621744, 1754430, 1621743]</t>
  </si>
  <si>
    <t>0.015738711055686774</t>
  </si>
  <si>
    <t>[1752226, 1754395, 1754398, 1754404, 1754405, 1754408, 1754413, 1754417, 1754422, 1621744, 1754430]</t>
  </si>
  <si>
    <t>[0.0, 0.119, 0.0, 0.0, 0.096, 0.075, 0.022, 0.0, 0.292, 0.034, 0.068]</t>
  </si>
  <si>
    <t>749.3624983417899</t>
  </si>
  <si>
    <t>LINESTRING (5.312788676543373 60.41826720466414, 5.312637355340055 60.418345920067416, 5.311447726738285 60.41910137317555)</t>
  </si>
  <si>
    <t>[2014973, 2014981]</t>
  </si>
  <si>
    <t>[1761681, 1757107]</t>
  </si>
  <si>
    <t>[1621743, 1761681]</t>
  </si>
  <si>
    <t>119.19708763767491</t>
  </si>
  <si>
    <t>[-0.406, -0.207, -0.041, -0.051, -0.082, -0.059, -0.022]</t>
  </si>
  <si>
    <t>7272.0</t>
  </si>
  <si>
    <t>LINESTRING (5.319847411183952 60.41541569589231, 5.319929718946731 60.415355646823755, 5.320467403571926 60.41501126727996, 5.321163669386831 60.414424066695325, 5.321304684752807 60.41429760508357, 5.321313827776772 60.414289745754864, 5.322128699968973 60.413590293476325, 5.322167334307819 60.413559658543015)</t>
  </si>
  <si>
    <t>[2002190, 2002198, 2002206, 2002214, 2002222, 2002230, 2002238]</t>
  </si>
  <si>
    <t>[1754438, 1754442, 1754446, 1754450, 1754455, 1754460, 1752219]</t>
  </si>
  <si>
    <t>[1754437, 1754438, 1754442, 1754446, 1754450, 1754455, 1754460]</t>
  </si>
  <si>
    <t>[0.406, 0.207, 0.041, 0.051, 0.082, 0.059, 0.022]</t>
  </si>
  <si>
    <t>244.26856131621466</t>
  </si>
  <si>
    <t>[-0.135, 0.038]</t>
  </si>
  <si>
    <t>LINESTRING (5.313386889233383 60.41776747200806, 5.314037322100335 60.417350267703775, 5.319847411183952 60.41541569589231)</t>
  </si>
  <si>
    <t>[2063042, 2063050]</t>
  </si>
  <si>
    <t>[1793142, 1754437]</t>
  </si>
  <si>
    <t>0.015283290226077526</t>
  </si>
  <si>
    <t>[1754488, 1793142]</t>
  </si>
  <si>
    <t>[0.135, 0.038]</t>
  </si>
  <si>
    <t>448.3622008630614</t>
  </si>
  <si>
    <t>[-0.002, 0.06, -0.439]</t>
  </si>
  <si>
    <t>LINESTRING (5.3116946587018985 60.41941891400709, 5.311405944276475 60.419399527225664, 5.311133253221045 60.419412071567834, 5.310938208004138 60.419477353737065)</t>
  </si>
  <si>
    <t>[2002302, 2002310, 2006991]</t>
  </si>
  <si>
    <t>[1754494, 1754500, 1757112]</t>
  </si>
  <si>
    <t>[1754462, 1754494, 1754500]</t>
  </si>
  <si>
    <t>[0.002, 0.06, 0.439]</t>
  </si>
  <si>
    <t>44.25132678439828</t>
  </si>
  <si>
    <t>[0.3, 0.132]</t>
  </si>
  <si>
    <t>LINESTRING (5.311447726738285 60.41910137317555, 5.311423212357159 60.41925063648164, 5.3116946587018985 60.41941891400709)</t>
  </si>
  <si>
    <t>[2006983, 2002246]</t>
  </si>
  <si>
    <t>[1754461, 1754462]</t>
  </si>
  <si>
    <t>0.19766072911124982</t>
  </si>
  <si>
    <t>[1757107, 1754461]</t>
  </si>
  <si>
    <t>42.823017617586636</t>
  </si>
  <si>
    <t>[-0.047, -0.011, 0.014, 0.021, 0.046]</t>
  </si>
  <si>
    <t>LINESTRING (5.311182070229324 60.418774315809365, 5.311502740389306 60.41858478735279, 5.311677485194636 60.41851629565238, 5.313147176776178 60.417785443681986, 5.31324322296572 60.41776531169802, 5.313386889233383 60.41776747200806)</t>
  </si>
  <si>
    <t>[2005923, 2002270, 2002278, 2002286, 2002294]</t>
  </si>
  <si>
    <t>[1754472, 1754473, 1754479, 1754483, 1754488]</t>
  </si>
  <si>
    <t>0.0032850041572542277</t>
  </si>
  <si>
    <t>[1754529, 1754472, 1754473, 1754479, 1754483]</t>
  </si>
  <si>
    <t>[0.047, 0.011, 0.014, 0.021, 0.046]</t>
  </si>
  <si>
    <t>172.24875407178718</t>
  </si>
  <si>
    <t>[0.0, 0.028, -0.045]</t>
  </si>
  <si>
    <t>LINESTRING (5.312614820475154 60.41820650022353, 5.312614820475154 60.41820650022353, 5.312895741608555 60.41805073135895, 5.313386889233383 60.41776747200806)</t>
  </si>
  <si>
    <t>[2015213, 2063026, 2063034]</t>
  </si>
  <si>
    <t>[1761800, 1793132, 1754488]</t>
  </si>
  <si>
    <t>[1761799, 1761800, 1793132]</t>
  </si>
  <si>
    <t>[0.0, 0.028, 0.045]</t>
  </si>
  <si>
    <t>74.9831236229993</t>
  </si>
  <si>
    <t>[0.536, -0.048, -0.143, -0.126, -0.087, -0.066]</t>
  </si>
  <si>
    <t>LINESTRING (5.309459489674279 60.4203556667001, 5.309511875309723 60.42027810184412, 5.310554589046607 60.419360051690994, 5.310857820520411 60.41902198895177, 5.310865302984991 60.419013763991266, 5.311086906536659 60.418817080311754, 5.311182070229324 60.418774315809365)</t>
  </si>
  <si>
    <t>[2006999, 2002318, 2002326, 2002334, 2002342, 2002350]</t>
  </si>
  <si>
    <t>[1754506, 1754507, 1754511, 1754518, 1754524, 1754529]</t>
  </si>
  <si>
    <t>[1757117, 1754506, 1754507, 1754511, 1754518, 1754524]</t>
  </si>
  <si>
    <t>[0.536, 0.048, 0.143, 0.126, 0.087, 0.066]</t>
  </si>
  <si>
    <t>202.15434730086895</t>
  </si>
  <si>
    <t>LINESTRING (5.304444665974493 60.42533611314789, 5.304899896271081 60.42516692791711, 5.304356611974652 60.425629060848934)</t>
  </si>
  <si>
    <t>[2002374, 2002422]</t>
  </si>
  <si>
    <t>[1753224, 1754548]</t>
  </si>
  <si>
    <t>0.004269949814161371</t>
  </si>
  <si>
    <t>[1754535, 1753224]</t>
  </si>
  <si>
    <t>118.91904156059718</t>
  </si>
  <si>
    <t>[0.015, 0.016, 0.015]</t>
  </si>
  <si>
    <t>LINESTRING (5.304444665974493 60.42533611314789, 5.304429537932302 60.425399227056474, 5.304375284071995 60.425585203477034, 5.304356611974652 60.425629060848934)</t>
  </si>
  <si>
    <t>[2002382, 2002390, 2002398]</t>
  </si>
  <si>
    <t>[1754541, 1754544, 1754548]</t>
  </si>
  <si>
    <t>0.015634211437199872</t>
  </si>
  <si>
    <t>[1754535, 1754541, 1754544]</t>
  </si>
  <si>
    <t>33.11228972624018</t>
  </si>
  <si>
    <t>[0.788, -0.001, 0.018]</t>
  </si>
  <si>
    <t>LINESTRING (5.305369914643184 60.423224948213836, 5.305366113459634 60.42330517650254, 5.304427685127839 60.42515281887858, 5.304444665974493 60.42533611314789)</t>
  </si>
  <si>
    <t>[2007007, 2002358, 2002366]</t>
  </si>
  <si>
    <t>[1754530, 1754531, 1754535]</t>
  </si>
  <si>
    <t>0.029624255954650305</t>
  </si>
  <si>
    <t>[1757122, 1754530, 1754531]</t>
  </si>
  <si>
    <t>[0.788, 0.001, 0.018]</t>
  </si>
  <si>
    <t>243.89744996754155</t>
  </si>
  <si>
    <t>[0.067, 0.986]</t>
  </si>
  <si>
    <t>LINESTRING (5.304356611974652 60.425629060848934, 5.304242974724487 60.4266700269698, 5.304246934877873 60.426742684380535)</t>
  </si>
  <si>
    <t>[2002430, 2007039]</t>
  </si>
  <si>
    <t>[1754566, 1757138]</t>
  </si>
  <si>
    <t>0.12506643782095428</t>
  </si>
  <si>
    <t>[1754548, 1754566]</t>
  </si>
  <si>
    <t>128.56511391503497</t>
  </si>
  <si>
    <t>[-0.019, -0.006, -0.155]</t>
  </si>
  <si>
    <t>LINESTRING (5.3040044826063975 60.42476735964079, 5.303973963918764 60.424734361827966, 5.303785682806384 60.42428452139353, 5.303723257495744 60.424266366439)</t>
  </si>
  <si>
    <t>[2002438, 2002446, 2007047]</t>
  </si>
  <si>
    <t>[1754572, 1754576, 1757144]</t>
  </si>
  <si>
    <t>[1754571, 1754572, 1754576]</t>
  </si>
  <si>
    <t>[0.019, 0.006, 0.155]</t>
  </si>
  <si>
    <t>61.709366155057076</t>
  </si>
  <si>
    <t>[-0.003, -0.144, -0.013, 0.033, -0.017, -0.037, -0.589]</t>
  </si>
  <si>
    <t>LINESTRING (5.3040044826063975 60.42476735964079, 5.304082063742638 60.42424749760187, 5.304087161693041 60.42418183772326, 5.304094538258044 60.42416338344657, 5.304245661851802 60.423928439756345, 5.304809442755263 60.42344610464713, 5.30614621360599 60.42240181623239, 5.306286146734486 60.42236234276972)</t>
  </si>
  <si>
    <t>[2002462, 2007063, 2007015, 2007023, 2002406, 2002414, 2007031]</t>
  </si>
  <si>
    <t>[1754582, 1757127, 1757128, 1754551, 1754552, 1754558, 1757134]</t>
  </si>
  <si>
    <t>[1754571, 1754582, 1757127, 1757128, 1754551, 1754552, 1754558]</t>
  </si>
  <si>
    <t>[0.003, 0.144, 0.013, 0.033, 0.017, 0.037, 0.589]</t>
  </si>
  <si>
    <t>304.6981593701971</t>
  </si>
  <si>
    <t>[-0.936, -0.026]</t>
  </si>
  <si>
    <t>LINESTRING (5.303829202471296 60.4260444157796, 5.303785432029404 60.42597697490882, 5.3040044826063975 60.42476735964079)</t>
  </si>
  <si>
    <t>[2007055, 2002454]</t>
  </si>
  <si>
    <t>[1754579, 1754571]</t>
  </si>
  <si>
    <t>[1757151, 1754579]</t>
  </si>
  <si>
    <t>[0.936, 0.026]</t>
  </si>
  <si>
    <t>143.72105803863397</t>
  </si>
  <si>
    <t>[-0.02, 0.101]</t>
  </si>
  <si>
    <t>LINESTRING (5.319269188731209 60.43570687662145, 5.319729502811291 60.43561851487493, 5.319872492726682 60.435514120480626)</t>
  </si>
  <si>
    <t>[2002486, 2007079]</t>
  </si>
  <si>
    <t>[1754592, 1753373]</t>
  </si>
  <si>
    <t>0.020603479925030557</t>
  </si>
  <si>
    <t>[1754589, 1754592]</t>
  </si>
  <si>
    <t>[0.02, 0.101]</t>
  </si>
  <si>
    <t>41.98579388771951</t>
  </si>
  <si>
    <t>[-0.071, -0.084, -0.084]</t>
  </si>
  <si>
    <t>LINESTRING (5.319269188731209 60.43570687662145, 5.319377191242643 60.4357184146655, 5.319788406184368 60.435811887419646, 5.319902591808215 60.43585282435358)</t>
  </si>
  <si>
    <t>[2002494, 2002502, 2002510]</t>
  </si>
  <si>
    <t>[1754596, 1754599, 1754602]</t>
  </si>
  <si>
    <t>[1754589, 1754596, 1754599]</t>
  </si>
  <si>
    <t>[0.071, 0.084, 0.084]</t>
  </si>
  <si>
    <t>38.894662435849376</t>
  </si>
  <si>
    <t>[-0.602, -0.065, -0.045]</t>
  </si>
  <si>
    <t>LINESTRING (5.314413398248374 60.434348446019854, 5.314560581286297 60.43438185893105, 5.31808400261534 60.43548791299375, 5.319269188731209 60.43570687662145)</t>
  </si>
  <si>
    <t>[2007071, 2002470, 2002478]</t>
  </si>
  <si>
    <t>[1754585, 1754586, 1754589]</t>
  </si>
  <si>
    <t>[1757160, 1754585, 1754586]</t>
  </si>
  <si>
    <t>[0.602, 0.065, 0.045]</t>
  </si>
  <si>
    <t>311.706770500079</t>
  </si>
  <si>
    <t>[-0.054, 0.034, 0.058, 0.66]</t>
  </si>
  <si>
    <t>LINESTRING (5.319902591808215 60.43585282435358, 5.321161268529276 60.43628160688961, 5.324503782180101 60.43835382019739, 5.325474509661919 60.43968228751295, 5.3254569048674645 60.43977145295776)</t>
  </si>
  <si>
    <t>[2002558, 2002566, 2002574, 2007103]</t>
  </si>
  <si>
    <t>[1754624, 1754630, 1754635, 1757177]</t>
  </si>
  <si>
    <t>0.03859142727941724</t>
  </si>
  <si>
    <t>[1754602, 1754624, 1754630, 1754635]</t>
  </si>
  <si>
    <t>[0.054, 0.034, 0.058, 0.66]</t>
  </si>
  <si>
    <t>554.3104933455511</t>
  </si>
  <si>
    <t>[-0.02, -0.078]</t>
  </si>
  <si>
    <t>LINESTRING (5.3199047619980195 60.43563769786889, 5.3199047619980195 60.43563769786889, 5.319902591808215 60.43585282435358)</t>
  </si>
  <si>
    <t>[2007095, 2002550]</t>
  </si>
  <si>
    <t>[1754620, 1754602]</t>
  </si>
  <si>
    <t>[1753386, 1754620]</t>
  </si>
  <si>
    <t>[0.02, 0.078]</t>
  </si>
  <si>
    <t>34.43292360707146</t>
  </si>
  <si>
    <t>[-0.048, 0.054, 0.376]</t>
  </si>
  <si>
    <t>LINESTRING (5.3222577472026265 60.437195992941625, 5.320574171656386 60.43644206172908, 5.3148962504713015 60.43486691125826, 5.314837975312783 60.434782572534)</t>
  </si>
  <si>
    <t>[2002534, 2002542, 2007087]</t>
  </si>
  <si>
    <t>[1754612, 1754616, 1757170]</t>
  </si>
  <si>
    <t>0.0343945871601198</t>
  </si>
  <si>
    <t>[1754609, 1754612, 1754616]</t>
  </si>
  <si>
    <t>[0.048, 0.054, 0.376]</t>
  </si>
  <si>
    <t>497.18091391593225</t>
  </si>
  <si>
    <t>[-0.087, -0.091, -0.11]</t>
  </si>
  <si>
    <t>LINESTRING (5.322766884970709 60.437463976396614, 5.3226969517923095 60.437433522622975, 5.32230688303287 60.437245727301764, 5.3222577472026265 60.437195992941625)</t>
  </si>
  <si>
    <t>[2002582, 2002590, 2002598]</t>
  </si>
  <si>
    <t>[1754641, 1754648, 1754609]</t>
  </si>
  <si>
    <t>[1754640, 1754641, 1754648]</t>
  </si>
  <si>
    <t>[0.087, 0.091, 0.11]</t>
  </si>
  <si>
    <t>41.41061759793662</t>
  </si>
  <si>
    <t>[-0.021, -0.026, 0.33, -0.372, 0.023, -0.037]</t>
  </si>
  <si>
    <t>LINESTRING (5.322766884970709 60.437463976396614, 5.321757673703701 60.43747773901065, 5.321709161245263 60.43748141911376, 5.321589406005443 60.43746449893466, 5.321676644325361 60.43739400676318, 5.3217207598034975 60.43738729066427, 5.3222577472026265 60.437195992941625)</t>
  </si>
  <si>
    <t>[2002622, 2002630, 2022480, 2022488, 2002518, 2002526]</t>
  </si>
  <si>
    <t>[1754667, 1754672, 1763128, 1754604, 1754605, 1754609]</t>
  </si>
  <si>
    <t>[1754640, 1754667, 1754672, 1763128, 1754604, 1754605]</t>
  </si>
  <si>
    <t>[0.021, 0.026, 0.33, 0.372, 0.023, 0.037]</t>
  </si>
  <si>
    <t>118.74400830987128</t>
  </si>
  <si>
    <t>[-0.167, -0.019, -0.085]</t>
  </si>
  <si>
    <t>LINESTRING (5.324601995789682 60.43893092396262, 5.324465438576176 60.43887927067964, 5.322855093615796 60.43748897648639, 5.322766884970709 60.437463976396614)</t>
  </si>
  <si>
    <t>[2007111, 2002606, 2002614]</t>
  </si>
  <si>
    <t>[1754659, 1754660, 1754640]</t>
  </si>
  <si>
    <t>[1757182, 1754659, 1754660]</t>
  </si>
  <si>
    <t>[0.167, 0.019, 0.085]</t>
  </si>
  <si>
    <t>196.69333201671435</t>
  </si>
  <si>
    <t>LINESTRING (5.319270671888623 60.45573857259392, 5.319186163269613 60.45589791398006, 5.3190289860991165 60.45590900703055, 5.318907761402042 60.45587298405511, 5.3188638418567455 60.455836295648716, 5.318852693227823 60.455794772872586, 5.318885310580161 60.455741080594755, 5.319021135155145 60.45569133531176)</t>
  </si>
  <si>
    <t>15.484171689009592</t>
  </si>
  <si>
    <t>[-0.656, 0.048, -0.02, -0.028, -0.022, 0.058, 0.07]</t>
  </si>
  <si>
    <t>LINESTRING (5.322956577535299 60.45283277746056, 5.32295789563349 60.45290704807706, 5.3220866159254685 60.454315115483325, 5.321404743428193 60.454578839925894, 5.320414962404888 60.45475776952475, 5.3193786557033365 60.455552910326965, 5.3193096015495405 60.45566996529519, 5.319270671888623 60.45573857259392)</t>
  </si>
  <si>
    <t>[2007119, 2002638, 2002646, 2002654, 2002662, 2002670, 2002678]</t>
  </si>
  <si>
    <t>[1754675, 1754676, 1754682, 1754684, 1754687, 1754694, 1754699]</t>
  </si>
  <si>
    <t>[1757186, 1754675, 1754676, 1754682, 1754684, 1754687, 1754694]</t>
  </si>
  <si>
    <t>[0.656, 0.048, 0.02, 0.028, 0.022, 0.058, 0.07]</t>
  </si>
  <si>
    <t>409.0789910657308</t>
  </si>
  <si>
    <t>[-0.068, -0.058, -0.047, 0.008, -0.002]</t>
  </si>
  <si>
    <t>LINESTRING (5.319021135155145 60.45569133531176, 5.319097078381362 60.455628154897205, 5.319161592494581 60.45557680064, 5.3192359614049 60.4555201985744, 5.323279062894834 60.4518876226705, 5.3233969733876485 60.45181756566319)</t>
  </si>
  <si>
    <t>[2002686, 2002694, 2002702, 2002710, 2007127]</t>
  </si>
  <si>
    <t>[1754703, 1754705, 1754709, 1754714, 1757190]</t>
  </si>
  <si>
    <t>0.004816790722010042</t>
  </si>
  <si>
    <t>[1754702, 1754703, 1754705, 1754709, 1754714]</t>
  </si>
  <si>
    <t>[0.068, 0.058, 0.047, 0.008, 0.002]</t>
  </si>
  <si>
    <t>498.38581687084087</t>
  </si>
  <si>
    <t>4.42040722117384</t>
  </si>
  <si>
    <t>13.866829475407869</t>
  </si>
  <si>
    <t>[-0.237, 0.003, 0.0, 0.005, -0.013]</t>
  </si>
  <si>
    <t>LINESTRING (5.323127654105934 60.46306234533337, 5.323257907567848 60.46310987907898, 5.324307421137547 60.46387620740514, 5.325702808239531 60.463948413779534, 5.325903675306753 60.4635044855153, 5.325870414306799 60.463445062328276)</t>
  </si>
  <si>
    <t>[2007135, 2002718, 2002726, 2002734, 2002742]</t>
  </si>
  <si>
    <t>[1754719, 1754720, 1754726, 1754729, 1754734]</t>
  </si>
  <si>
    <t>[1757195, 1754719, 1754720, 1754726, 1754729]</t>
  </si>
  <si>
    <t>[0.237, 0.003, 0.0, 0.005, 0.013]</t>
  </si>
  <si>
    <t>261.1862417310786</t>
  </si>
  <si>
    <t>[-0.014, -0.012, -0.003, -0.007]</t>
  </si>
  <si>
    <t>LINESTRING (5.326110629642045 60.46344365888959, 5.326101248679686 60.46350538648846, 5.325966290161165 60.46387541790177, 5.325849050393972 60.46679670290716, 5.32580495623495 60.46687578885239)</t>
  </si>
  <si>
    <t>[2002782, 2002790, 2002798, 2007151]</t>
  </si>
  <si>
    <t>[1754758, 1754763, 1754770, 1757203]</t>
  </si>
  <si>
    <t>[1754757, 1754758, 1754763, 1754770]</t>
  </si>
  <si>
    <t>[0.014, 0.012, 0.003, 0.007]</t>
  </si>
  <si>
    <t>402.3027463246225</t>
  </si>
  <si>
    <t>[0.042, 0.071, 0.064, 0.029, -0.011, -0.033, -0.048]</t>
  </si>
  <si>
    <t>LINESTRING (5.325797051177394 60.463316669288126, 5.325884434192408 60.46326969992327, 5.326012521602709 60.463257371125756, 5.326129449646581 60.46328402557198, 5.326187744774592 60.463327190844495, 5.326192753918746 60.463378213012895, 5.326149008255224 60.463425664660726, 5.326110629642045 60.46344365888959)</t>
  </si>
  <si>
    <t>[2003238, 2003246, 2003254, 2003174, 2003182, 2003190, 2003198]</t>
  </si>
  <si>
    <t>[1754988, 1754991, 1754962, 1754963, 1754964, 1754967, 1754757]</t>
  </si>
  <si>
    <t>0.024907554304960746</t>
  </si>
  <si>
    <t>[1754986, 1754988, 1754991, 1754962, 1754963, 1754964, 1754967]</t>
  </si>
  <si>
    <t>[0.042, 0.071, 0.064, 0.029, 0.011, 0.033, 0.048]</t>
  </si>
  <si>
    <t>41.69185961650771</t>
  </si>
  <si>
    <t>[-0.02, 0.009]</t>
  </si>
  <si>
    <t>LINESTRING (5.325814856362197 60.46341657032577, 5.325779839340607 60.46336787321859, 5.325797051177394 60.463316669288126)</t>
  </si>
  <si>
    <t>[2003222, 2003230]</t>
  </si>
  <si>
    <t>[1754981, 1754986]</t>
  </si>
  <si>
    <t>[1754976, 1754981]</t>
  </si>
  <si>
    <t>[0.02, 0.009]</t>
  </si>
  <si>
    <t>11.576162862357654</t>
  </si>
  <si>
    <t>[0.005, 0.016, -0.082, 0.018]</t>
  </si>
  <si>
    <t>LINESTRING (5.317049722067355 60.38621487140238, 5.317021541929879 60.38612596522523, 5.317095381697229 60.38607349540095, 5.317217146473804 60.38605258545737, 5.317341009007436 60.38607162974327)</t>
  </si>
  <si>
    <t>[2003630, 2003638, 2003646, 2003654]</t>
  </si>
  <si>
    <t>[1755196, 1755202, 1755205, 1755208]</t>
  </si>
  <si>
    <t>[1755195, 1755196, 1755202, 1755205]</t>
  </si>
  <si>
    <t>[0.005, 0.016, 0.082, 0.018]</t>
  </si>
  <si>
    <t>31.782329500500065</t>
  </si>
  <si>
    <t>[0.06, 0.06, 0.039, 0.05, 0.071, 0.001, 0.485, 0.058, 0.028, -0.025, 0.093]</t>
  </si>
  <si>
    <t>LINESTRING (5.317341009007436 60.38607162974327, 5.317451463528536 60.386063457463294, 5.318845094444565 60.38561714290196, 5.318934860315375 60.38558689028271, 5.318949454771043 60.38558197353405, 5.319417755742274 60.38546427758848, 5.319555319781391 60.38543874536323, 5.319698015925461 60.38543469285359, 5.319791337194457 60.38544215807041, 5.324022164477524 60.38553040738494, 5.324871429133564 60.38524939663856, 5.325034004179755 60.3852197148318)</t>
  </si>
  <si>
    <t>[2019536, 2019544, 2019552, 2019560, 2019568, 2016830, 2035522, 2035530, 2035538, 2035546, 2016838]</t>
  </si>
  <si>
    <t>[1764487, 1764493, 1764498, 1764501, 1762769, 1762770, 1775905, 1775910, 1775915, 1762778, 1762779]</t>
  </si>
  <si>
    <t>0.03967098372479938</t>
  </si>
  <si>
    <t>[1755208, 1764487, 1764493, 1764498, 1764501, 1762769, 1762770, 1775905, 1775910, 1775915, 1762778]</t>
  </si>
  <si>
    <t>[0.06, 0.06, 0.039, 0.05, 0.071, 0.001, 0.485, 0.058, 0.028, 0.025, 0.093]</t>
  </si>
  <si>
    <t>486.25974211073736</t>
  </si>
  <si>
    <t>0.117</t>
  </si>
  <si>
    <t>26.94011878266488</t>
  </si>
  <si>
    <t>[-0.196, -0.063, -0.037, 0.01]</t>
  </si>
  <si>
    <t>LINESTRING (5.286556090482874 60.514936570512454, 5.286488209829463 60.51500938202117, 5.284769682432285 60.51595963735656, 5.285875447201083 60.51606530078781, 5.2859187699166315 60.516006968614036)</t>
  </si>
  <si>
    <t>[2006561, 2006569, 2006577, 2006585]</t>
  </si>
  <si>
    <t>[1756893, 1756900, 1756902, 1756906]</t>
  </si>
  <si>
    <t>[1756892, 1756893, 1756900, 1756902]</t>
  </si>
  <si>
    <t>[0.196, 0.063, 0.037, 0.01]</t>
  </si>
  <si>
    <t>261.86271825629495</t>
  </si>
  <si>
    <t>LINESTRING (5.2859187699166315 60.516006968614036, 5.285857562473897 60.51595995449128, 5.285847090779407 60.51592842778797, 5.285856721129041 60.51589656860451, 5.286134622611164 60.515827697184804, 5.286262630045994 60.51589472568917, 5.2862737286690535 60.51592539376479, 5.286265626362523 60.51595826983908, 5.286111318738097 60.51603106469967)</t>
  </si>
  <si>
    <t>11.267980398509822</t>
  </si>
  <si>
    <t>[-0.184, -0.164, -0.085, -0.044, -0.036]</t>
  </si>
  <si>
    <t>LINESTRING (5.363324187232454 60.58251679523136, 5.363377108191806 60.582524236991134, 5.363856552688003 60.582700591764706, 5.364348672988358 60.582998712668385, 5.364413185099157 60.58303677457681, 5.36445814522618 60.5830633012462)</t>
  </si>
  <si>
    <t>[2006776, 2006784, 2006792, 2006800, 2006808]</t>
  </si>
  <si>
    <t>[1757014, 1561708, 1561715, 1757021, 1757026]</t>
  </si>
  <si>
    <t>[1757013, 1757014, 1561708, 1561715, 1757021]</t>
  </si>
  <si>
    <t>[0.184, 0.164, 0.085, 0.044, 0.036]</t>
  </si>
  <si>
    <t>88.77193529118937</t>
  </si>
  <si>
    <t>[-0.2, -0.038, 0.0, 0.007, 0.0, 0.137, 0.05, -0.136, -0.131, 0.004, -0.06, -0.009, -0.02, -0.063, 0.005, -0.008]</t>
  </si>
  <si>
    <t>[0, 0, 0, 0, 0, 0, 0, 0, 0, 0, 0, 0, 1, 0, 0, 0]</t>
  </si>
  <si>
    <t>LINESTRING (5.363324187232454 60.58251679523136, 5.363280480465006 60.58282772428448, 5.363447800965071 60.58349523576142, 5.363452761062672 60.5835038731765, 5.3643007562510245 60.58437951828114, 5.36430454285885 60.58438233551671, 5.364374780666594 60.58443481609626, 5.365719461229479 60.58556239635759, 5.3657217166847815 60.58556529211431, 5.365761073792843 60.585615733467854, 5.363266995827364 60.58957134494107, 5.362932368868489 60.58987281393359, 5.362457332079708 60.59028236206258, 5.362367509025921 60.59036076286717, 5.361718144635637 60.590902143556626, 5.361300518132336 60.59124991640464, 5.359599897174103 60.59350546974454)</t>
  </si>
  <si>
    <t>[2064018, 2064026, 2064034, 2064042, 2064050, 2064058, 2064066, 2064074, 2064082, 2064090, 2064098, 2064106, 2064114, 2064122, 2064130, 2064138]</t>
  </si>
  <si>
    <t>[1793751, 1793758, 1793763, 1793770, 1793777, 1793782, 1793790, 1793797, 1793802, 1793809, 1793816, 1793822, 1793830, 1793836, 1793841, 1757030]</t>
  </si>
  <si>
    <t>[1757013, 1793751, 1793758, 1793763, 1793770, 1793777, 1793782, 1793790, 1793797, 1793802, 1793809, 1793816, 1793822, 1793830, 1793836, 1793841]</t>
  </si>
  <si>
    <t>[0.2, 0.038, 0.0, 0.007, 0.0, 0.137, 0.05, 0.136, 0.131, 0.004, 0.06, 0.009, 0.02, 0.063, 0.005, 0.008]</t>
  </si>
  <si>
    <t>1349.2915011940843</t>
  </si>
  <si>
    <t>[0.132, 0.116, 0.113, -0.01, -0.089]</t>
  </si>
  <si>
    <t>LINESTRING (5.359599897174103 60.59350546974454, 5.3596554903743225 60.59350408832153, 5.361033308619369 60.5935247528022, 5.361273927274184 60.59355474387742, 5.3614085484135545 60.59357367513375, 5.361469550530897 60.59358598327214)</t>
  </si>
  <si>
    <t>[2006816, 2006824, 2006832, 2006840, 2006848]</t>
  </si>
  <si>
    <t>[1757031, 1738906, 1757039, 1757042, 1757048]</t>
  </si>
  <si>
    <t>0.09960895220668478</t>
  </si>
  <si>
    <t>[1757030, 1757031, 1738906, 1757039, 1757042]</t>
  </si>
  <si>
    <t>[0.132, 0.116, 0.113, 0.01, 0.089]</t>
  </si>
  <si>
    <t>103.99185044872883</t>
  </si>
  <si>
    <t>[-0.033, 0.058, 0.138, 0.0, 0.164, -0.055, -0.884, -0.462, -0.029, 0.278, 0.308, 0.348, 0.023, -0.237, -0.125, -0.047, 0.012, 0.071, 0.004, -0.014, 0.065, 0.026, -0.05, 0.068, 0.071, 0.112, 0.045, -0.027, 0.103, -0.009, -0.036, -0.128, -0.083, 0.072, 0.02, -0.01, -0.011, 0.013, 0.017, 0.022, 0.017, -0.001, 0.013, 0.064]</t>
  </si>
  <si>
    <t>[0, 0, 0, 0, 0, 0, 0, 0, 0, 1, 0, 0, 0, 0, 0, 0, 0, 0, 0, 0, 0, 0, 0, 0, 0, 0, 0, 0, 0, 0, 0, 0, 1, 0, 0, 0, 0, 0, 0, 0, 0, 0, 0, 0]</t>
  </si>
  <si>
    <t>LINESTRING (5.359599897174103 60.59350546974454, 5.360238428197382 60.594555755231745, 5.360247486224333 60.59456355123006, 5.360655040877074 60.59487153605909, 5.360657487928859 60.59487306189029, 5.360688884907948 60.59489268660672, 5.365260648553649 60.59602582330181, 5.365265870097729 60.59602656487228, 5.3653311500689655 60.596035799079125, 5.3684777957661955 60.596575950030555, 5.369128223129192 60.59672825255311, 5.369420086658758 60.59679909264378, 5.3694862161818655 60.596815604575674, 5.373110847880321 60.59763703876125, 5.373164265837948 60.597643281219916, 5.375727086601969 60.59764385769073, 5.376343749017647 60.597566742593024, 5.378025561072261 60.59718288482606, 5.378133484541182 60.597150408701, 5.378823215695355 60.59691072009198, 5.379769378759425 60.596598148821336, 5.3818073600576035 60.59593169881981, 5.384109422523175 60.595078161930196, 5.385043985033873 60.59465450185658, 5.385207060926376 60.59460942589321, 5.385710105502302 60.59451763013705, 5.388075720646346 60.59494226143994, 5.389417135613743 60.595345003931435, 5.393011515599922 60.59641323936288, 5.393583975150451 60.59658110798918, 5.39782640523998 60.59995135498127, 5.3971827553823815 60.60238745001076, 5.396831700337236 60.603057653784155, 5.397212730110614 60.604087809169876, 5.397479675617274 60.60442960648491, 5.398061158497397 60.60534602676632, 5.396375057117867 60.60848761969105, 5.396117642952613 60.608965533183316, 5.396029352917679 60.609534756392975, 5.399794205109055 60.61204037286697, 5.401641784060788 60.612356449758366, 5.404829015444926 60.6131227777241, 5.407099711896629 60.6138843900576, 5.422063748410577 60.61508798259291, 5.423243065224322 60.61501093739346)</t>
  </si>
  <si>
    <t>[2064146, 2064154, 2064162, 2064170, 2064178, 2064186, 2064194, 2064202, 2064210, 2064218, 2064226, 2064245, 2064253, 2064254, 2064266, 2064267, 2064274, 2064282, 2064283, 2064300, 2064312, 2064324, 2064328, 1764479, 1764487, 2064335, 2064343, 2064351, 2064368, 2064370, 2064374, 2064382, 2064390, 2064398, 2064399, 2064406, 2064414, 2064422, 2064430, 2064438, 2064446, 2064464, 2064470, 2064478]</t>
  </si>
  <si>
    <t>[1793853, 1793859, 1793864, 1793870, 1793875, 1793878, 1793883, 1793889, 1793896, 1793903, 1793909, 1793925, 1793930, 1793931, 1793938, 1691843, 1793944, 1793949, 1793950, 1739769, 1793967, 1761992, 1558912, 1558913, 1558920, 1736701, 1793980, 1746340, 1737670, 1761998, 1793998, 1794004, 1794011, 1701761, 1758662, 1758585, 1794030, 1794036, 1794042, 1794048, 366262, 1794060, 1794064, 1757052]</t>
  </si>
  <si>
    <t>0.0012865928520770173</t>
  </si>
  <si>
    <t>[1757030, 1793853, 1793859, 1793864, 1793870, 1793875, 1793878, 1793883, 1793889, 1793896, 1793903, 1793909, 1793925, 1793930, 1793931, 1793938, 1691843, 1793944, 1793949, 1793950, 1739769, 1793967, 1761992, 1558912, 1558913, 1558920, 1736701, 1793980, 1746340, 1737670, 1761998, 1793998, 1794004, 1794011, 1701761, 1758662, 1758585, 1794030, 1794036, 1794042, 1794048, 366262, 1794060, 1794064]</t>
  </si>
  <si>
    <t>[0.033, 0.058, 0.138, 0.0, 0.164, 0.055, 0.884, 0.462, 0.029, 0.278, 0.308, 0.348, 0.023, 0.237, 0.125, 0.047, 0.012, 0.071, 0.004, 0.014, 0.065, 0.026, 0.05, 0.068, 0.071, 0.112, 0.045, 0.027, 0.103, 0.009, 0.036, 0.128, 0.083, 0.072, 0.02, 0.01, 0.011, 0.013, 0.017, 0.022, 0.017, 0.001, 0.013, 0.064]</t>
  </si>
  <si>
    <t>5560.309542073018</t>
  </si>
  <si>
    <t>[-0.003, 0.04, 0.064, 0.087]</t>
  </si>
  <si>
    <t>LINESTRING (5.423243065224322 60.61501093739346, 5.423231645916215 60.61497793162769, 5.423877486888345 60.614616945703894, 5.4243810390695675 60.61461677681807, 5.424426231163682 60.61461334873943)</t>
  </si>
  <si>
    <t>[2006856, 2006864, 2006872, 2006880]</t>
  </si>
  <si>
    <t>[1757053, 1757055, 1757058, 1757061]</t>
  </si>
  <si>
    <t>0.04656419250086478</t>
  </si>
  <si>
    <t>[1757052, 1757053, 1757055, 1757058]</t>
  </si>
  <si>
    <t>[0.003, 0.04, 0.064, 0.087]</t>
  </si>
  <si>
    <t>94.82575235052371</t>
  </si>
  <si>
    <t>[0.022, 0.045, 0.03, 0.023, 0.041, 0.048, 0.049, 0.032, -0.002, -0.007, 0.001, -0.003, -0.01, -0.021, 0.056, -0.007, 0.021, -0.015, 0.023, 0.009, 0.005]</t>
  </si>
  <si>
    <t>3678.0</t>
  </si>
  <si>
    <t>LINESTRING (5.423243065224322 60.61501093739346, 5.423984263195385 60.61496382313666, 5.431187428244258 60.61351390112902, 5.431201750316213 60.61350834167855, 5.432060337768326 60.61315473080345, 5.432223419737028 60.61308143109489, 5.43235992972105 60.6130180432481, 5.432849394551018 60.61277959026886, 5.445853553415328 60.60906104129776, 5.447545059222034 60.60900918367582, 5.45185170893427 60.60935412003259, 5.451942555743947 60.609358032953104, 5.458136135298183 60.609589208891414, 5.458153792640787 60.60959157444121, 5.462465711539769 60.61091868055816, 5.462786030305094 60.6110972871198, 5.464414082826384 60.613736112360954, 5.464204124039991 60.61492181885477, 5.46458909076438 60.615956853203265, 5.464814706260606 60.61742566037545, 5.466423371955196 60.62428012318593, 5.473117572164756 60.62666867470713)</t>
  </si>
  <si>
    <t>[2064496, 2064497, 2064498, 2064500, 2064505, 2064506, 2064507, 2064515, 2064529, 2064537, 2064547, 2064557, 2064565, 2064575, 2064583, 2064591, 2064612, 2064627, 2064635, 2064643, 2064651]</t>
  </si>
  <si>
    <t>[1794078, 1794079, 1794080, 1794081, 1794085, 1794086, 1794087, 1794090, 1746315, 1794099, 1794104, 1794108, 1794113, 1794119, 1692320, 1794127, 1794143, 1794154, 1794162, 1794165, 1757063]</t>
  </si>
  <si>
    <t>0.012825675352949624</t>
  </si>
  <si>
    <t>[1757052, 1794078, 1794079, 1794080, 1794081, 1794085, 1794086, 1794087, 1794090, 1746315, 1794099, 1794104, 1794108, 1794113, 1794119, 1692320, 1794127, 1794143, 1794154, 1794162, 1794165]</t>
  </si>
  <si>
    <t>[0.022, 0.045, 0.03, 0.023, 0.041, 0.048, 0.049, 0.032, 0.002, 0.007, 0.001, 0.003, 0.01, 0.021, 0.056, 0.007, 0.021, 0.015, 0.023, 0.009, 0.005]</t>
  </si>
  <si>
    <t>4495.952955862779</t>
  </si>
  <si>
    <t>[0.042, 0.034, -0.002, -0.028]</t>
  </si>
  <si>
    <t>LINESTRING (5.473117572164756 60.62666867470713, 5.473182098666909 60.62664979686607, 5.473694989037913 60.62660887028, 5.474160356810071 60.626749303688214, 5.474221987512755 60.626767921377464)</t>
  </si>
  <si>
    <t>[2006888, 2006896, 2006904, 2006912]</t>
  </si>
  <si>
    <t>[1757064, 1739127, 1757071, 1757073]</t>
  </si>
  <si>
    <t>0.0148854319648063</t>
  </si>
  <si>
    <t>[1757063, 1757064, 1739127, 1757071]</t>
  </si>
  <si>
    <t>[0.042, 0.034, 0.002, 0.028]</t>
  </si>
  <si>
    <t>67.62896667062455</t>
  </si>
  <si>
    <t>LINESTRING (5.473117572164756 60.62666867470713, 5.546970415649263 60.70107500343034)</t>
  </si>
  <si>
    <t>[-0.044, 0.032, -0.002]</t>
  </si>
  <si>
    <t>LINESTRING (5.474221987512755 60.626767921377464, 5.474448278735434 60.626749811927866, 5.474316343562755 60.62687147006011, 5.474221987512755 60.626767921377464)</t>
  </si>
  <si>
    <t>[2008128, 2008136, 2008144]</t>
  </si>
  <si>
    <t>[1757804, 1757812, 1757073]</t>
  </si>
  <si>
    <t>0.00025282674270425524</t>
  </si>
  <si>
    <t>[1757073, 1757804, 1757812]</t>
  </si>
  <si>
    <t>[0.044, 0.032, 0.002]</t>
  </si>
  <si>
    <t>48.73833230767386</t>
  </si>
  <si>
    <t>[-0.076, -0.031, -0.019, -0.008, 0.004]</t>
  </si>
  <si>
    <t>LINESTRING (5.33674387487545 60.37811933997587, 5.336558690197134 60.378284511783534, 5.335882903875043 60.37887302789628, 5.3354684222485504 60.379336521159104, 5.334973217935212 60.38027212133609, 5.335120964243357 60.381983025620244)</t>
  </si>
  <si>
    <t>[2020355, 2020363, 2020371, 2020379, 2020387]</t>
  </si>
  <si>
    <t>[1765046, 1765053, 1765060, 1765067, 1757091]</t>
  </si>
  <si>
    <t>[1757075, 1765046, 1765053, 1765060, 1765067]</t>
  </si>
  <si>
    <t>[0.076, 0.031, 0.019, 0.008, 0.004]</t>
  </si>
  <si>
    <t>454.22208787847273</t>
  </si>
  <si>
    <t>[-0.087, -0.102, 0.139, -0.655, 0.093, 0.246, 0.388]</t>
  </si>
  <si>
    <t>LINESTRING (5.593432490686222 60.83820626685045, 5.593452311849451 60.83824809641391, 5.593440446347445 60.83838744810123, 5.589894615281333 60.837955325496374, 5.5899357706197375 60.837914320732494, 5.590345637479566 60.838156417915016, 5.590429499792952 60.83835398464286, 5.590425114668312 60.83839008113155)</t>
  </si>
  <si>
    <t>[2006920, 2006928, 2006936, 2006944, 2006952, 2006960, 2006968]</t>
  </si>
  <si>
    <t>[1757077, 1757080, 1757084, 1702311, 1757092, 1757095, 1757098]</t>
  </si>
  <si>
    <t>0.1187695028588967</t>
  </si>
  <si>
    <t>[1757076, 1757077, 1757080, 1757084, 1702311, 1757092, 1757095]</t>
  </si>
  <si>
    <t>[0.087, 0.102, 0.139, 0.655, 0.093, 0.246, 0.388]</t>
  </si>
  <si>
    <t>347.3110066830987</t>
  </si>
  <si>
    <t>[-2.088, 0.023, 0.058, 1.091, 0.49, 0.455]</t>
  </si>
  <si>
    <t>LINESTRING (5.593432490686222 60.83820626685045, 5.593209929401664 60.83825452962946, 5.592692310583634 60.83834165783721, 5.592126946681429 60.838401331735895, 5.591458881888003 60.8384266221837, 5.591019173823446 60.838421611660664, 5.590425114668312 60.83839008113155)</t>
  </si>
  <si>
    <t>[2065488, 2065489, 2065490, 2065496, 2065497, 2065498]</t>
  </si>
  <si>
    <t>[1794612, 1794613, 1794614, 1794621, 1794622, 1757098]</t>
  </si>
  <si>
    <t>0.24572178889212087</t>
  </si>
  <si>
    <t>[1757076, 1794612, 1794613, 1794614, 1794621, 1794622]</t>
  </si>
  <si>
    <t>[2.088, 0.023, 0.058, 1.091, 0.49, 0.455]</t>
  </si>
  <si>
    <t>167.79967873059556</t>
  </si>
  <si>
    <t>[-0.03, -0.074, -0.107, -0.087, -0.031, -0.003, 0.004, -0.097]</t>
  </si>
  <si>
    <t>[0, 0, 0, 0, 0, 1, 1, 1]</t>
  </si>
  <si>
    <t>LINESTRING (5.337453848217863 60.377794823709046, 5.337186744642158 60.37802154296957, 5.336995696682122 60.37817596497848, 5.336786255959142 60.378334212808625, 5.336533807712606 60.37852532677155, 5.336073813493525 60.378914815363835, 5.335668470821915 60.37937017788724, 5.335362897285602 60.38196466609284, 5.335417601552036 60.38212144974033)</t>
  </si>
  <si>
    <t>[2014893, 2014901, 2014909, 2014917, 2014925, 2014933, 2014941, 2014949]</t>
  </si>
  <si>
    <t>[1761642, 1761648, 1761651, 1761654, 1761658, 1761662, 1761666, 1757079]</t>
  </si>
  <si>
    <t>[1761636, 1761642, 1761648, 1761651, 1761654, 1761658, 1761662, 1761666]</t>
  </si>
  <si>
    <t>[0.03, 0.074, 0.107, 0.087, 0.031, 0.003, 0.004, 0.097]</t>
  </si>
  <si>
    <t>514.5383694177358</t>
  </si>
  <si>
    <t>[0.01, 0.011]</t>
  </si>
  <si>
    <t>LINESTRING (5.335120964243357 60.381983025620244, 5.335184276399795 60.38214034984115, 5.335364850364448 60.38260331438107)</t>
  </si>
  <si>
    <t>[2020395, 2020403]</t>
  </si>
  <si>
    <t>[1765078, 1757097]</t>
  </si>
  <si>
    <t>0.01074614988859821</t>
  </si>
  <si>
    <t>[1757091, 1765078]</t>
  </si>
  <si>
    <t>70.62466286538137</t>
  </si>
  <si>
    <t>[-0.041, 0.017, -0.229]</t>
  </si>
  <si>
    <t>LINESTRING (5.3339445333778475 60.38335037662182, 5.334319688277748 60.383287421034275, 5.3351218419444875 60.382071733556494, 5.335120964243357 60.381983025620244)</t>
  </si>
  <si>
    <t>[2022376, 2001934, 2006951]</t>
  </si>
  <si>
    <t>[1754317, 1754318, 1757091]</t>
  </si>
  <si>
    <t>[1766377, 1754317, 1754318]</t>
  </si>
  <si>
    <t>[0.041, 0.017, 0.229]</t>
  </si>
  <si>
    <t>188.75999747645056</t>
  </si>
  <si>
    <t>[-0.025, -0.021, -0.016, -0.017]</t>
  </si>
  <si>
    <t>LINESTRING (5.334484005660095 60.38336730404641, 5.333980279926804 60.383352010799584, 5.333972744786788 60.38335166653903, 5.33396239638744 60.383351197482206, 5.3339445333778475 60.38335037662182)</t>
  </si>
  <si>
    <t>[2081035, 2081043, 2081051, 2081059]</t>
  </si>
  <si>
    <t>[1804186, 1804191, 1804195, 1766377]</t>
  </si>
  <si>
    <t>[1757094, 1804186, 1804191, 1804195]</t>
  </si>
  <si>
    <t>[0.025, 0.021, 0.016, 0.017]</t>
  </si>
  <si>
    <t>19.849704722314815</t>
  </si>
  <si>
    <t>[0.01, 0.01, -0.041]</t>
  </si>
  <si>
    <t>LINESTRING (5.334352660277856 60.38574291850721, 5.334326619879471 60.38566502958882, 5.334285953026104 60.383534598195276, 5.333931089317562 60.38348145239207)</t>
  </si>
  <si>
    <t>[2006975, 2066003, 2022496]</t>
  </si>
  <si>
    <t>[1757103, 1766479, 1762019]</t>
  </si>
  <si>
    <t>0.006332977971683962</t>
  </si>
  <si>
    <t>[1757102, 1757103, 1766479]</t>
  </si>
  <si>
    <t>[0.01, 0.01, 0.041]</t>
  </si>
  <si>
    <t>285.25594626920986</t>
  </si>
  <si>
    <t>[-0.01, 0.029]</t>
  </si>
  <si>
    <t>LINESTRING (5.335218352427526 60.38501761457067, 5.334491835079826 60.38552997143542, 5.334352660277856 60.38574291850721)</t>
  </si>
  <si>
    <t>[2017304, 2017312]</t>
  </si>
  <si>
    <t>[1763074, 1757102]</t>
  </si>
  <si>
    <t>0.0013971611312724003</t>
  </si>
  <si>
    <t>[1761200, 1763074]</t>
  </si>
  <si>
    <t>[0.01, 0.029]</t>
  </si>
  <si>
    <t>85.59317311814497</t>
  </si>
  <si>
    <t>50.5817397883568</t>
  </si>
  <si>
    <t>[0.139, 0.02, 0.072, 0.025, -0.386]</t>
  </si>
  <si>
    <t>LINESTRING (5.310938208004138 60.419477353737065, 5.3096393230474215 60.420408672821225, 5.306455136044589 60.42240153056222, 5.30551591498663 60.42309084076295, 5.305506654961032 60.42309851886591, 5.305369914643184 60.423224948213836)</t>
  </si>
  <si>
    <t>[2014997, 2015005, 2015013, 2015021, 2015029]</t>
  </si>
  <si>
    <t>[1761686, 1761690, 1761692, 1761695, 1757122]</t>
  </si>
  <si>
    <t>0.04572272370592573</t>
  </si>
  <si>
    <t>[1757112, 1761686, 1761690, 1761692, 1761695]</t>
  </si>
  <si>
    <t>[0.139, 0.02, 0.072, 0.025, 0.386]</t>
  </si>
  <si>
    <t>520.3191104397266</t>
  </si>
  <si>
    <t>284.7251450851769</t>
  </si>
  <si>
    <t>[-0.03, 0.05, 0.066]</t>
  </si>
  <si>
    <t>LINESTRING (5.312614820475154 60.41820650022353, 5.311292461603463 60.41904637387793, 5.310778681930172 60.41942801120087, 5.309459489674279 60.4203556667001)</t>
  </si>
  <si>
    <t>[2020411, 2020419, 2020427]</t>
  </si>
  <si>
    <t>[1765088, 1765092, 1757117]</t>
  </si>
  <si>
    <t>0.02667684605125553</t>
  </si>
  <si>
    <t>[1761799, 1765088, 1765092]</t>
  </si>
  <si>
    <t>[0.03, 0.05, 0.066]</t>
  </si>
  <si>
    <t>287.0950208117469</t>
  </si>
  <si>
    <t>[0.027, 0.096, 0.125, 0.52]</t>
  </si>
  <si>
    <t>LINESTRING (5.305369914643184 60.423224948213836, 5.304019490229499 60.42603532816113, 5.304134140037513 60.42659197209061, 5.304139020852519 60.42660057137639, 5.304246934877873 60.426742684380535)</t>
  </si>
  <si>
    <t>[2015037, 2015045, 2015053, 2015061]</t>
  </si>
  <si>
    <t>[1761703, 1761707, 1761710, 1757138]</t>
  </si>
  <si>
    <t>0.05858149680021375</t>
  </si>
  <si>
    <t>[1757122, 1761703, 1761707, 1761710]</t>
  </si>
  <si>
    <t>405.29263543512053</t>
  </si>
  <si>
    <t>[0.064, 0.036, 0.048, 0.048]</t>
  </si>
  <si>
    <t>LINESTRING (5.306286146734486 60.42236234276972, 5.305353840238963 60.4230603552866, 5.305345301346738 60.4230683124967, 5.3052094076240675 60.4231958803392, 5.303829202471296 60.4260444157796)</t>
  </si>
  <si>
    <t>[2020443, 2020451, 2020459, 2020467]</t>
  </si>
  <si>
    <t>[1765104, 1765110, 1765116, 1757151]</t>
  </si>
  <si>
    <t>0.05138031149441843</t>
  </si>
  <si>
    <t>[1757134, 1765104, 1765110, 1765116]</t>
  </si>
  <si>
    <t>439.53906644189294</t>
  </si>
  <si>
    <t>[-0.282, 0.091, 0.076, 0.06, 0.055, 0.073, 0.042, 0.099, -0.003, -0.273, -0.245, -0.266, -0.243]</t>
  </si>
  <si>
    <t>LINESTRING (5.304246934877873 60.426742684380535, 5.304386202065068 60.426894210426006, 5.304513906181493 60.427000869963905, 5.30473108223058 60.42714676599511, 5.304802435554805 60.42718960164363, 5.304876325172023 60.42723136617929, 5.304938959429103 60.427265709524846, 5.304958154282927 60.42728044392712, 5.304968548608437 60.427288416933045, 5.3133565811884065 60.43360321286375, 5.313417065604763 60.433648130646596, 5.313447306545403 60.43367059395445, 5.313537204308198 60.433738294157344, 5.314413398248374 60.434348446019854)</t>
  </si>
  <si>
    <t>[2015069, 2015077, 2015085, 2015093, 2015101, 2015109, 2015117, 2015125, 2015133, 2015141, 2015149, 2015157, 2015165]</t>
  </si>
  <si>
    <t>[1761722, 1761728, 1761731, 1761737, 1761742, 1761748, 1761751, 1761756, 1761762, 1761766, 1761772, 1761776, 1757160]</t>
  </si>
  <si>
    <t>[1757138, 1761722, 1761728, 1761731, 1761737, 1761742, 1761748, 1761751, 1761756, 1761762, 1761766, 1761772, 1761776]</t>
  </si>
  <si>
    <t>[0.282, 0.091, 0.076, 0.06, 0.055, 0.073, 0.042, 0.099, 0.003, 0.273, 0.245, 0.266, 0.243]</t>
  </si>
  <si>
    <t>1019.3578857794741</t>
  </si>
  <si>
    <t>[0.088, 0.117, 0.091, 0.101, 0.103, 0.104, 0.112, 0.091, 0.121, 0.124, -0.016, -0.201, -0.201, -0.221, -0.216, -0.166]</t>
  </si>
  <si>
    <t>55903.0</t>
  </si>
  <si>
    <t>LINESTRING (5.303829202471296 60.4260444157796, 5.303940855318237 60.42661759272748, 5.303945958682577 60.42662642547151, 5.304052943314602 60.426773210406196, 5.304195586903983 60.426922632817025, 5.3043192412214335 60.42702949259276, 5.304515280801696 60.42718099159231, 5.304575283799411 60.427227435104356, 5.3046345009365075 60.427274119366324, 5.304705841963467 60.42732728446965, 5.304716747460776 60.427335322183744, 5.313006994983592 60.433705918650716, 5.313066261599407 60.43375141662919, 5.313095905251696 60.43377416184172, 5.313184823632864 60.4338458519635, 5.314142734614251 60.434462282538355, 5.314837975312783 60.434782572534)</t>
  </si>
  <si>
    <t>[2020475, 2020483, 2020491, 2020499, 2020507, 2020515, 2020523, 2020531, 2020539, 2020548, 2020556, 2020564, 2020572, 2020580, 2020588, 2020596]</t>
  </si>
  <si>
    <t>[1765128, 1765135, 1765140, 1765145, 1765153, 1765157, 1765164, 1765168, 1765171, 1765177, 1765183, 1765188, 1765194, 1765199, 1765205, 1757170]</t>
  </si>
  <si>
    <t>[1757151, 1765128, 1765135, 1765140, 1765145, 1765153, 1765157, 1765164, 1765168, 1765171, 1765177, 1765183, 1765188, 1765194, 1765199, 1765205]</t>
  </si>
  <si>
    <t>[0.088, 0.117, 0.091, 0.101, 0.103, 0.104, 0.112, 0.091, 0.121, 0.124, 0.016, 0.201, 0.201, 0.221, 0.216, 0.166]</t>
  </si>
  <si>
    <t>1160.4024092150971</t>
  </si>
  <si>
    <t>[-0.165, -0.059, -0.133, -0.049, -0.023, 0.058, 0.032, 0.129]</t>
  </si>
  <si>
    <t>LINESTRING (5.314413398248374 60.434348446019854, 5.3150599760179675 60.4346782897328, 5.316880053988453 60.43526625909565, 5.317410772137893 60.435410214809, 5.319367083140957 60.43588760449522, 5.321745037442831 60.43662412999902, 5.322110598533157 60.436776092388975, 5.324807060004507 60.43888336554918, 5.3254569048674645 60.43977145295776)</t>
  </si>
  <si>
    <t>[2015173, 2015181, 2015189, 2015197, 2015205, 2015229, 2015237, 2015245]</t>
  </si>
  <si>
    <t>[1761783, 1761785, 1761787, 1761791, 1761795, 1761808, 1761809, 1757177]</t>
  </si>
  <si>
    <t>[1757160, 1761783, 1761785, 1761787, 1761791, 1761795, 1761808, 1761809]</t>
  </si>
  <si>
    <t>[0.165, 0.059, 0.133, 0.049, 0.023, 0.058, 0.032, 0.129]</t>
  </si>
  <si>
    <t>894.6910088338581</t>
  </si>
  <si>
    <t>[-0.05, -0.081, -0.077, 0.013, 0.045, 0.026]</t>
  </si>
  <si>
    <t>LINESTRING (5.314837975312783 60.434782572534, 5.316677761493035 60.435348318018825, 5.317229960304231 60.43548522955151, 5.319196548061157 60.43596753642961, 5.321590163530496 60.436701775740886, 5.3219331916315875 60.436852095760266, 5.324601995789682 60.43893092396262)</t>
  </si>
  <si>
    <t>[2020604, 2020612, 2020620, 2020628, 2020636, 2020644]</t>
  </si>
  <si>
    <t>[1765212, 1765217, 1765226, 1765235, 1765241, 1757182]</t>
  </si>
  <si>
    <t>[1757170, 1765212, 1765217, 1765226, 1765235, 1765241]</t>
  </si>
  <si>
    <t>[0.05, 0.081, 0.077, 0.013, 0.045, 0.026]</t>
  </si>
  <si>
    <t>735.0699932741895</t>
  </si>
  <si>
    <t>[0.098, 0.205, 0.165, 0.115, -0.109, -0.053, 0.009, 0.031, 0.43, 0.382, 0.007, -0.313, -0.795, 0.0, 0.006, -0.012]</t>
  </si>
  <si>
    <t>LINESTRING (5.3254569048674645 60.43977145295776, 5.325829180998155 60.44032980414825, 5.3258441939100845 60.4403651777375, 5.325891642966676 60.44045149349435, 5.326412207368259 60.44140120795619, 5.326431094665128 60.441435752692115, 5.326809799513177 60.44299251904187, 5.326810089908411 60.443001495395926, 5.32604031650943 60.44553368169803, 5.326038711639703 60.44554262776391, 5.326002233623665 60.44564903559779, 5.324268928169057 60.450767037018515, 5.324262084722842 60.45078464488137, 5.324260616793312 60.450788435977834, 5.324258671955361 60.450793449469, 5.3237345712882265 60.45185442330511, 5.322956577535299 60.45283277746056)</t>
  </si>
  <si>
    <t>[2015253, 2015261, 2015269, 2015277, 2015285, 2015293, 2015301, 2015309, 2015317, 2015325, 2015333, 2015341, 2015349, 2015357, 2015365, 2015373]</t>
  </si>
  <si>
    <t>[1761812, 1761818, 1761820, 1761824, 1761828, 1761830, 1761834, 1761840, 1761846, 1761850, 1761856, 1761861, 1761866, 1761871, 1761876, 1757186]</t>
  </si>
  <si>
    <t>0.018875734059905332</t>
  </si>
  <si>
    <t>[1757177, 1761812, 1761818, 1761820, 1761824, 1761828, 1761830, 1761834, 1761840, 1761846, 1761850, 1761856, 1761861, 1761866, 1761871, 1761876]</t>
  </si>
  <si>
    <t>[0.098, 0.205, 0.165, 0.115, 0.109, 0.053, 0.009, 0.031, 0.43, 0.382, 0.007, 0.313, 0.795, 0.0, 0.006, 0.012]</t>
  </si>
  <si>
    <t>1493.028183890513</t>
  </si>
  <si>
    <t>[0.103, 0.153, 0.159, 0.182, 0.169, 0.151, -0.021, -0.031, -0.058, 0.089, 0.167, 0.191, 0.116, -0.011, -0.105, -0.339, 0.0, -0.132]</t>
  </si>
  <si>
    <t>LINESTRING (5.324601995789682 60.43893092396262, 5.325126049328918 60.4398070902583, 5.325463330657977 60.44036857710741, 5.325479373075985 60.44040295882054, 5.325515000499686 60.44048901458314, 5.325540151620663 60.44053104688174, 5.326042149026646 60.44144274124676, 5.326061615750195 60.44147742800983, 5.326545692238896 60.44299852471883, 5.326545461776657 60.443007345325725, 5.325686104909393 60.44548394991349, 5.325681546072062 60.445492489598884, 5.325626316673708 60.44559597676313, 5.325607908560313 60.445630466577185, 5.323860511684385 60.450767867369116, 5.323853829537428 60.45078475434733, 5.323852391481279 60.450788384809805, 5.323850487132191 60.450793202261686, 5.3233969733876485 60.45181756566319)</t>
  </si>
  <si>
    <t>[2020652, 2020660, 2020668, 2020676, 2020684, 2020692, 2020700, 2020708, 2020716, 2020724, 2020732, 2020740, 2020748, 2020756, 2020764, 2020772, 2020780, 2020788]</t>
  </si>
  <si>
    <t>[1765252, 1765257, 1765264, 1765271, 1765275, 1765281, 1765286, 1765292, 1765302, 1765308, 1765314, 1765320, 1765327, 1765335, 1765340, 1765347, 1765352, 1757190]</t>
  </si>
  <si>
    <t>0.027211115486360793</t>
  </si>
  <si>
    <t>[1757182, 1765252, 1765257, 1765264, 1765271, 1765275, 1765281, 1765286, 1765292, 1765302, 1765308, 1765314, 1765320, 1765327, 1765335, 1765340, 1765347, 1765352]</t>
  </si>
  <si>
    <t>[0.103, 0.153, 0.159, 0.182, 0.169, 0.151, 0.021, 0.031, 0.058, 0.089, 0.167, 0.191, 0.116, 0.011, 0.105, 0.339, 0.0, 0.132]</t>
  </si>
  <si>
    <t>1470.65389328254</t>
  </si>
  <si>
    <t>[-0.159, 0.042, 0.022, 0.03, 0.054, 0.063, -0.048]</t>
  </si>
  <si>
    <t>LINESTRING (5.322956577535299 60.45283277746056, 5.322659984704174 60.45316056685995, 5.321219374451381 60.45458985924025, 5.321211607434807 60.45459797384296, 5.319233258878406 60.4577321294961, 5.319231728211555 60.457741062981896, 5.320036876587659 60.46087975515444, 5.323127654105934 60.46306234533337)</t>
  </si>
  <si>
    <t>[2015381, 2015389, 2015397, 2015405, 2015413, 2015421, 2015429]</t>
  </si>
  <si>
    <t>[1761886, 1761890, 1761898, 1761904, 1761908, 1761914, 1757195]</t>
  </si>
  <si>
    <t>0.016478086053569686</t>
  </si>
  <si>
    <t>[1757186, 1761886, 1761890, 1761898, 1761904, 1761908, 1761914]</t>
  </si>
  <si>
    <t>[0.159, 0.042, 0.022, 0.03, 0.054, 0.063, 0.048]</t>
  </si>
  <si>
    <t>1246.5407763532019</t>
  </si>
  <si>
    <t>[-0.019, 0.038, 0.018, 0.001, 0.028, 0.037, 0.063]</t>
  </si>
  <si>
    <t>LINESTRING (5.3233969733876485 60.45181756566319, 5.322664619480218 60.45279148343941, 5.322373046285496 60.45312389158547, 5.320975098664657 60.45457975434505, 5.320967512058275 60.45458799975159, 5.31900236809619 60.4577541384046, 5.319000485527681 60.45776314559976, 5.319839699948033 60.46092817227442)</t>
  </si>
  <si>
    <t>[2020796, 2020804, 2020812, 2020820, 2020828, 2020836, 2020844]</t>
  </si>
  <si>
    <t>[1765367, 1765373, 1765382, 1765387, 1765394, 1765401, 1757199]</t>
  </si>
  <si>
    <t>0.03340795369904662</t>
  </si>
  <si>
    <t>[1757190, 1765367, 1765373, 1765382, 1765387, 1765394, 1765401]</t>
  </si>
  <si>
    <t>[0.019, 0.038, 0.018, 0.001, 0.028, 0.037, 0.063]</t>
  </si>
  <si>
    <t>1072.7501921921507</t>
  </si>
  <si>
    <t>[-0.023, 0.006, 0.0, -0.003]</t>
  </si>
  <si>
    <t>LINESTRING (5.323127654105934 60.46306234533337, 5.323930722851107 60.463655417976746, 5.323940038181522 60.46366319210667, 5.324952674728241 60.46472374379036, 5.32580495623495 60.46687578885239)</t>
  </si>
  <si>
    <t>[2015437, 2015445, 2015453, 2015461]</t>
  </si>
  <si>
    <t>[1761923, 1761929, 1761932, 1757203]</t>
  </si>
  <si>
    <t>[1757195, 1761923, 1761929, 1761932]</t>
  </si>
  <si>
    <t>[0.023, 0.006, 0.0, 0.003]</t>
  </si>
  <si>
    <t>457.61432816303056</t>
  </si>
  <si>
    <t>[-0.056, -0.022, -0.001, -0.001]</t>
  </si>
  <si>
    <t>LINESTRING (5.319839699948033 60.46092817227442, 5.322944360175257 60.463117573805526, 5.323747032949248 60.46370256806114, 5.323756176978172 60.463710302520575, 5.3247413156795345 60.46476443661967)</t>
  </si>
  <si>
    <t>[2020852, 2020860, 2020871, 2020879]</t>
  </si>
  <si>
    <t>[1765410, 1765415, 1765425, 1757211]</t>
  </si>
  <si>
    <t>[1757199, 1765410, 1765415, 1765425]</t>
  </si>
  <si>
    <t>[0.056, 0.022, 0.001, 0.001]</t>
  </si>
  <si>
    <t>509.1713649661119</t>
  </si>
  <si>
    <t>[0.004, 0.014, 0.01, -0.008, -0.015, -0.03]</t>
  </si>
  <si>
    <t>LINESTRING (5.32580495623495 60.46687578885239, 5.326425070689311 60.46824131449361, 5.326430212461828 60.46824981395066, 5.330824944647713 60.47214237976102, 5.331024083579253 60.472327634020886, 5.331032799304145 60.472335526394055, 5.331377326081296 60.47266312292471)</t>
  </si>
  <si>
    <t>[2015469, 2015477, 2015485, 2015493, 2015501, 2015509]</t>
  </si>
  <si>
    <t>[1761942, 1761946, 1761951, 1761953, 1761957, 1761962]</t>
  </si>
  <si>
    <t>0.00580717416517929</t>
  </si>
  <si>
    <t>[1757203, 1761942, 1761946, 1761951, 1761953, 1761957]</t>
  </si>
  <si>
    <t>[0.004, 0.014, 0.01, 0.008, 0.015, 0.03]</t>
  </si>
  <si>
    <t>723.2725851046358</t>
  </si>
  <si>
    <t>[-0.0, -0.001, -0.003, 0.008]</t>
  </si>
  <si>
    <t>LINESTRING (5.3247413156795345 60.46476443661967, 5.325608646307035 60.466905374251425, 5.326213819956289 60.46827614812718, 5.32621904865441 60.46828466300591, 5.330603220127813 60.47219670799811)</t>
  </si>
  <si>
    <t>[2020887, 2020895, 2020903, 2020911]</t>
  </si>
  <si>
    <t>[1765436, 1765442, 1765447, 1765453]</t>
  </si>
  <si>
    <t>0.004260960658320684</t>
  </si>
  <si>
    <t>[1757211, 1765436, 1765442, 1765447]</t>
  </si>
  <si>
    <t>[0.0, 0.001, 0.003, 0.008]</t>
  </si>
  <si>
    <t>903.9075988085606</t>
  </si>
  <si>
    <t>[0.031, -0.078]</t>
  </si>
  <si>
    <t>LINESTRING (6.67725656871896 59.870614058112984, 6.676302899664871 59.87128628339681, 6.6746274743174805 59.87237857211065)</t>
  </si>
  <si>
    <t>[2007167, 2007175]</t>
  </si>
  <si>
    <t>[1151950, 1757223]</t>
  </si>
  <si>
    <t>[1757217, 1151950]</t>
  </si>
  <si>
    <t>[0.031, 0.078]</t>
  </si>
  <si>
    <t>247.07056242827755</t>
  </si>
  <si>
    <t>[0.428, -0.315]</t>
  </si>
  <si>
    <t>LINESTRING (6.67725656871896 59.870614058112984, 6.676216980937326 59.871254150811716, 6.6746274743174805 59.87237857211065)</t>
  </si>
  <si>
    <t>[2021343, 2021351]</t>
  </si>
  <si>
    <t>[1151957, 1757223]</t>
  </si>
  <si>
    <t>[1757217, 1151957]</t>
  </si>
  <si>
    <t>[0.428, 0.315]</t>
  </si>
  <si>
    <t>246.77430376820624</t>
  </si>
  <si>
    <t>LINESTRING (6.895602496925623 59.85981005726673, 6.67725656871896 59.870614058112984)</t>
  </si>
  <si>
    <t>[-0.023, -0.088, -0.077, -0.079, -0.089, -0.039]</t>
  </si>
  <si>
    <t>LINESTRING (6.6746274743174805 59.87237857211065, 6.6733318731774025 59.87323006372931, 6.667385846923363 59.876485383482375, 6.667240324681703 59.87714620409149, 6.666200038924177 59.87909843031294, 6.663941070059065 59.87967819796929, 6.66186737838957 59.8812575902024)</t>
  </si>
  <si>
    <t>[2067083, 2067091, 2067099, 2067107, 2067115, 2067123]</t>
  </si>
  <si>
    <t>[1795557, 1781137, 1781159, 1781164, 1781172, 1757227]</t>
  </si>
  <si>
    <t>[1757223, 1795557, 1781137, 1781159, 1781164, 1781172]</t>
  </si>
  <si>
    <t>[0.023, 0.088, 0.077, 0.079, 0.089, 0.039]</t>
  </si>
  <si>
    <t>1298.204619843276</t>
  </si>
  <si>
    <t>[0.049, 0.035, -0.002]</t>
  </si>
  <si>
    <t>LINESTRING (6.66186737838957 59.8812575902024, 6.661662187172231 59.882049746584464, 6.661629743418051 59.88216413086486, 6.661086611954877 59.883526940976914)</t>
  </si>
  <si>
    <t>[2007183, 2007191, 2007199]</t>
  </si>
  <si>
    <t>[1756112, 1725171, 1757237]</t>
  </si>
  <si>
    <t>0.017520742573121532</t>
  </si>
  <si>
    <t>[1757227, 1756112, 1725171]</t>
  </si>
  <si>
    <t>[0.049, 0.035, 0.002]</t>
  </si>
  <si>
    <t>257.96591301653365</t>
  </si>
  <si>
    <t>[0.174, 0.099, -0.08]</t>
  </si>
  <si>
    <t>LINESTRING (6.66186737838957 59.8812575902024, 6.6615578997675895 59.882043100878484, 6.661524360378811 59.88215470714754, 6.661086611954877 59.883526940976914)</t>
  </si>
  <si>
    <t>[2021359, 2021367, 2021375]</t>
  </si>
  <si>
    <t>[1725175, 1756106, 1757237]</t>
  </si>
  <si>
    <t>0.017234797085961626</t>
  </si>
  <si>
    <t>[1757227, 1725175, 1756106]</t>
  </si>
  <si>
    <t>[0.174, 0.099, 0.08]</t>
  </si>
  <si>
    <t>257.56894603627103</t>
  </si>
  <si>
    <t>[0.023, -0.071, -0.093, -0.009, 0.073, -0.005, -0.16, 0.131, 0.093, -0.076, -0.133, 0.038, 0.026, -0.072, -0.039]</t>
  </si>
  <si>
    <t>LINESTRING (6.661086611954877 59.883526940976914, 6.659910999579698 59.88448970420995, 6.6551836745548805 59.88624159088575, 6.654680535382736 59.88634280294692, 6.647141877358239 59.89002539148181, 6.646339435354082 59.89037012493761, 6.644532794298481 59.89102203499373, 6.641761076787002 59.89202223010632, 6.640445100063774 59.89254907009508, 6.63921028759485 59.89316892181738, 6.6312925444887965 59.89744570102955, 6.630464668088276 59.897862201825276, 6.629575901140493 59.898308296847034, 6.628573539000984 59.898747301978524, 6.625945783445848 59.90003681888073, 6.624555175864384 59.901163877617684)</t>
  </si>
  <si>
    <t>[2067131, 2067139, 2067147, 2067155, 2067163, 2067171, 2067179, 2067187, 2067195, 2067203, 2067211, 2067219, 2067227, 2067235, 2067243]</t>
  </si>
  <si>
    <t>[1795584, 1780890, 1780855, 1715858, 1716149, 326077, 1717869, 1718379, 1717890, 1795623, 1717940, 1774795, 1774812, 1717925, 1757242]</t>
  </si>
  <si>
    <t>[1757237, 1795584, 1780890, 1780855, 1715858, 1716149, 326077, 1717869, 1718379, 1717890, 1795623, 1717940, 1774795, 1774812, 1717925]</t>
  </si>
  <si>
    <t>[0.023, 0.071, 0.093, 0.009, 0.073, 0.005, 0.16, 0.131, 0.093, 0.076, 0.133, 0.038, 0.026, 0.072, 0.039]</t>
  </si>
  <si>
    <t>2881.1904985050573</t>
  </si>
  <si>
    <t>[0.003, -0.059, -0.088, -0.084, 0.07]</t>
  </si>
  <si>
    <t>[0, 1, 1, 1, 1]</t>
  </si>
  <si>
    <t>LINESTRING (6.624555175864384 59.901163877617684, 6.623493604250839 59.902076999552506, 6.62285683542034 59.9025488167657, 6.622779121711946 59.90259573466257, 6.622033311276153 59.90306677223796, 6.621880577549161 59.903126871358964)</t>
  </si>
  <si>
    <t>[2007207, 2007215, 2007223, 2007231, 2007239]</t>
  </si>
  <si>
    <t>[1757243, 1757249, 1757256, 1757260, 1757265]</t>
  </si>
  <si>
    <t>[1757242, 1757243, 1757249, 1757256, 1757260]</t>
  </si>
  <si>
    <t>[0.003, 0.059, 0.088, 0.084, 0.07]</t>
  </si>
  <si>
    <t>266.7418535060154</t>
  </si>
  <si>
    <t>[0.14, -0.104, -0.097, -0.089, -1.118]</t>
  </si>
  <si>
    <t>LINESTRING (6.624555175864384 59.901163877617684, 6.623392500279259 59.902056003758325, 6.622763100179526 59.902521367831895, 6.622692024785688 59.902563582765744, 6.621951121957701 59.90303298397933, 6.621880577549161 59.903126871358964)</t>
  </si>
  <si>
    <t>[2021383, 2021391, 2021399, 2021407, 2021415]</t>
  </si>
  <si>
    <t>[1757824, 1765804, 1765809, 1765814, 1757265]</t>
  </si>
  <si>
    <t>[1757242, 1757824, 1765804, 1765809, 1765814]</t>
  </si>
  <si>
    <t>[0.14, 0.104, 0.097, 0.089, 1.118]</t>
  </si>
  <si>
    <t>266.54991259259253</t>
  </si>
  <si>
    <t>[0.067, 0.047, 0.01, -0.073, 0.009, 0.033, -0.025, -0.178, -0.154, -0.026, -0.001, -0.129, -0.094, -0.056, -0.068, -0.029, -0.022, -0.052, -0.046, -0.03, -0.004, -0.014]</t>
  </si>
  <si>
    <t>1411.0</t>
  </si>
  <si>
    <t>[1, 0, 0, 0, 0, 0, 0, 0, 0, 0, 0, 0, 0, 0, 0, 0, 0, 0, 0, 0, 0, 0]</t>
  </si>
  <si>
    <t>LINESTRING (6.621880577549161 59.903126871358964, 6.621742828683663 59.90321645719738, 6.62167689332271 59.903270917350724, 6.6206826352261485 59.90412106552427, 6.619342330882621 59.90495564423185, 6.6184065685397675 59.905390725047134, 6.6176649569666015 59.90571454270839, 6.61118313482245 59.91041841074646, 6.611069029735521 59.91051798927381, 6.610983973134478 59.91060165323977, 6.608146451905821 59.91383838297067, 6.608140763434858 59.913850151901364, 6.608136600015979 59.913858750470794, 6.607752944404029 59.91463164178734, 6.606904288821489 59.91543294567162, 6.606890016040852 59.91544311703265, 6.606513057007468 59.915680003676755, 6.606370361910287 59.9157597991067, 6.587694038906713 59.92338407817938, 6.580981437287256 59.92654333491784, 6.5809468217525655 59.926547745180244, 6.5776651529271755 59.92648116855728, 6.57593245777632 59.926060943620634)</t>
  </si>
  <si>
    <t>[2067251, 2067259, 2067267, 2067275, 2067283, 2067291, 2067299, 2067307, 2067315, 2067323, 2067331, 2067339, 2067347, 2067355, 2067363, 2067371, 2067379, 2067387, 2067395, 2067403, 2067411, 2067419]</t>
  </si>
  <si>
    <t>[1795640, 1717811, 1795647, 1795650, 1780720, 1795658, 1794370, 1795670, 1794265, 1781108, 1795684, 1795687, 1795692, 1795697, 1767760, 1767781, 1795713, 1795717, 1795722, 1795729, 1795737, 1757270]</t>
  </si>
  <si>
    <t>[1757265, 1795640, 1717811, 1795647, 1795650, 1780720, 1795658, 1794370, 1795670, 1794265, 1781108, 1795684, 1795687, 1795692, 1795697, 1767760, 1767781, 1795713, 1795717, 1795722, 1795729, 1795737]</t>
  </si>
  <si>
    <t>[0.067, 0.047, 0.01, 0.073, 0.009, 0.033, 0.025, 0.178, 0.154, 0.026, 0.001, 0.129, 0.094, 0.056, 0.068, 0.029, 0.022, 0.052, 0.046, 0.03, 0.004, 0.014]</t>
  </si>
  <si>
    <t>3969.7392830215977</t>
  </si>
  <si>
    <t>[0.075, 0.187, 0.118, 0.164, 0.112, 0.104]</t>
  </si>
  <si>
    <t>LINESTRING (6.57593245777632 59.926060943620634, 6.574697984216602 59.92552107517266, 6.574664301148389 59.92550126651246, 6.5746366854512255 59.9254864346388, 6.574581375744223 59.9254494709217, 6.573973013319688 59.92501265307934, 6.573392492867886 59.924421378564226)</t>
  </si>
  <si>
    <t>[2007247, 2007255, 2007263, 2007271, 2007279, 2007287]</t>
  </si>
  <si>
    <t>[1757271, 1757275, 1757279, 1757285, 1757289, 1757294]</t>
  </si>
  <si>
    <t>0.09712084576515112</t>
  </si>
  <si>
    <t>[1757270, 1757271, 1757275, 1757279, 1757285, 1757289]</t>
  </si>
  <si>
    <t>236.46186556905812</t>
  </si>
  <si>
    <t>[0.134, 0.161, 0.16, -0.001]</t>
  </si>
  <si>
    <t>LINESTRING (6.57593245777632 59.926060943620634, 6.574743594306818 59.92546557833526, 6.574717671880592 59.92545101793828, 6.574070694273055 59.924988910368825, 6.573392492867886 59.924421378564226)</t>
  </si>
  <si>
    <t>[2021423, 2021431, 2021439, 2021447]</t>
  </si>
  <si>
    <t>[1765824, 1757523, 1765831, 1757294]</t>
  </si>
  <si>
    <t>0.09850125426335164</t>
  </si>
  <si>
    <t>[1757270, 1765824, 1757523, 1765831]</t>
  </si>
  <si>
    <t>[0.134, 0.161, 0.16, 0.001]</t>
  </si>
  <si>
    <t>233.6787227993139</t>
  </si>
  <si>
    <t>[-0.023, -0.007, 0.028, 0.047]</t>
  </si>
  <si>
    <t>LINESTRING (5.340440815753649 60.355948277515694, 5.340494574267538 60.355969403140534, 5.3405365960095486 60.356024944566514, 5.340508581678641 60.35607535318324, 5.3404414589390035 60.356105709865844)</t>
  </si>
  <si>
    <t>[2007416, 2007424, 2007432, 2007440]</t>
  </si>
  <si>
    <t>[1752977, 1757386, 1757391, 1757396]</t>
  </si>
  <si>
    <t>0.01250193304894134</t>
  </si>
  <si>
    <t>[1757380, 1752977, 1757386, 1757391]</t>
  </si>
  <si>
    <t>[0.023, 0.007, 0.028, 0.047]</t>
  </si>
  <si>
    <t>21.303690251808398</t>
  </si>
  <si>
    <t>LINESTRING (5.340213004229267 60.35597137985398, 5.3403082552134515 60.355940371271075, 5.340440815753649 60.355948277515694)</t>
  </si>
  <si>
    <t>[2007472, 2007480]</t>
  </si>
  <si>
    <t>[1757414, 1757380]</t>
  </si>
  <si>
    <t>[1757410, 1757414]</t>
  </si>
  <si>
    <t>13.703339747277184</t>
  </si>
  <si>
    <t>[0.047, 0.037]</t>
  </si>
  <si>
    <t>LINESTRING (5.3404414589390035 60.356105709865844, 5.340316289444114 60.35611462657257, 5.340219186419973 60.35608580159072)</t>
  </si>
  <si>
    <t>[2007448, 2007456]</t>
  </si>
  <si>
    <t>[1757401, 1757406]</t>
  </si>
  <si>
    <t>0.04227658257067281</t>
  </si>
  <si>
    <t>[1757396, 1757401]</t>
  </si>
  <si>
    <t>13.269424145606415</t>
  </si>
  <si>
    <t>13.63789890486388</t>
  </si>
  <si>
    <t>[0.006, -0.014, -0.03, -0.041]</t>
  </si>
  <si>
    <t>LINESTRING (5.2822277974103375 60.54538800554212, 5.282146896424274 60.545406488979864, 5.28198438493824 60.54539726683423, 5.281880457218979 60.54534621063552, 5.281858376280585 60.54530387988379)</t>
  </si>
  <si>
    <t>[2007624, 2007632, 2007640, 2007648]</t>
  </si>
  <si>
    <t>[1757510, 1757516, 1757521, 1757524]</t>
  </si>
  <si>
    <t>[1757502, 1757510, 1757516, 1757521]</t>
  </si>
  <si>
    <t>[0.006, 0.014, 0.03, 0.041]</t>
  </si>
  <si>
    <t>26.87906636125478</t>
  </si>
  <si>
    <t>LINESTRING (5.4434764290341136 60.20411188607404, 5.443718780930749 60.204261750356615, 5.443677282911005 60.20431027963138, 5.4435916119357195 60.20434836201749, 5.443417115765026 60.20436099397033, 5.443313539716939 60.20433627947822, 5.443261852883147 60.204308103727605, 5.443218947086327 60.204250633102255, 5.4432294804444785 60.20420175122291, 5.443280057554053 60.20414655721812)</t>
  </si>
  <si>
    <t>11.589739988319234</t>
  </si>
  <si>
    <t>[2.064, 0.05, 0.023, -0.014, -0.046, -0.037, 0.046, -0.051, -0.085, -0.169, -0.085, -0.007, -0.006, -0.009, -0.016, -0.016, -0.012, 0.005, 0.003, 0.002, -0.0, -0.003, 0.001, 0.023, 0.078, 0.07, 0.058, 0.05, 0.041, 0.034, 0.014, 0.001, -0.003, -0.029, -0.037, 0.022, 0.017, -0.014, -0.012, -0.009, 0.01, -0.007, -0.005, -0.046, -0.053, -0.073, -0.071, -0.031, -0.008, -0.018, -0.028, -0.014, -0.016, -0.022, -0.019, -0.018, -0.019, 0.002, -0.007, 0.05, -0.001, -0.026, -0.034, 0.009, -0.043, -0.036, 0.006, 0.007, 0.008, 0.026, 0.016, 0.011, -0.02, 0.016, -0.011, 0.004, -0.029, -0.049, -0.002, 0.035, -0.059, -0.083, -0.004, -0.011, 0.004, 0.016, 0.006, 0.014, -0.031, 0.006, 0.028, -0.023, -0.024, -0.03, -0.034, -0.059, -0.042, 0.052, 0.027, -0.036, -0.001, 0.008, 0.04, -0.021, -0.009]</t>
  </si>
  <si>
    <t>4323.0</t>
  </si>
  <si>
    <t>[0, 1, 0, 0, 0, 0, 0, 0, 0, 0, 0, 0, 0, 0, 0, 0, 1, 0, 0, 1, 0, 0, 0, 0, 0, 0, 0, 0, 0, 0, 1, 0, 0, 0, 0, 0, 0, 0, 0, 0, 0, 0, 0, 0, 0, 0, 1, 0, 0, 0, 0, 0, 0, 0, 0, 0, 0, 0, 0, 0, 0, 0, 0, 0, 0, 0, 0, 0, 0, 0, 0, 0, 0, 0, 0, 0, 0, 0, 0, 0, 0, 0, 0, 0, 0, 0, 0, 0, 0, 0, 0, 0, 0, 0, 0, 0, 0, 0, 0, 0, 0, 0, 0, 0, 0]</t>
  </si>
  <si>
    <t>LINESTRING (6.507483873722071 60.79156534641353, 6.507275487447396 60.79148073011945, 6.5068894759026685 60.79132059026303, 6.5066279822427395 60.79118391476687, 6.505811757638219 60.79060006461872, 6.505303080326026 60.79018696865044, 6.501519349448431 60.78799211692226, 6.496595509084365 60.78432339952976, 6.4905726063002165 60.78409679086707, 6.489457235714131 60.78386780227096, 6.487871829399543 60.782028184380444, 6.487442760489323 60.78149375706571, 6.4872457723691515 60.78126389486138, 6.486945203492427 60.78090096717982, 6.486101746263306 60.779900680541296, 6.484458252807052 60.77790093563154, 6.4842937784447185 60.77702219502865, 6.484307450010948 60.77689708885395, 6.4855973049839655 60.77402925289681, 6.485720142350845 60.77391561924066, 6.485982612718225 60.7736972906175, 6.4861242889597985 60.773580661039404, 6.487593353305193 60.77162143153783, 6.487635200249957 60.77142298077445, 6.487955200430564 60.77070899653681, 6.488094219486955 60.77049146708821, 6.48841862248041 60.76998439646833, 6.488673427206691 60.76960019527955, 6.488925739182463 60.76929003122215, 6.488987624172485 60.76923721688773, 6.489380579842732 60.76896641515756, 6.49011752740331 60.76856886468469, 6.490207806725857 60.76852040102456, 6.490361847078392 60.76843898348582, 6.491932103742661 60.76756659817753, 6.492826176387379 60.764965882741755, 6.49256152092385 60.76378393524035, 6.492490146507287 60.76346059445149, 6.498492597453995 60.755341253111915, 6.500708214089904 60.75283287046469, 6.5007123627511225 60.752684600454735, 6.499276837763969 60.74862568065474, 6.4991164086786 60.74854048746662, 6.493216620562135 60.745258906172666, 6.48995139535102 60.74211424202843, 6.489960840951691 60.74191770586196, 6.489976286628399 60.74181474976956, 6.490030615870433 60.74137165451472, 6.490453696790698 60.730690397970776, 6.490482011537695 60.73046079715953, 6.490648309338516 60.7284882135336, 6.490332732862845 60.72764809487879, 6.490263933918491 60.72596946816772, 6.491384219991952 60.72442528804085, 6.491403797697639 60.724393189265896, 6.491668886574599 60.72387362302682, 6.491808691591351 60.72325847006838, 6.491809020736097 60.72287494226592, 6.490598449651392 60.72080329737336, 6.489680767984231 60.71974304753333, 6.489560794897098 60.719594841751466, 6.485665019091777 60.71336808794935, 6.48561244341886 60.709842620903665, 6.4836112501777015 60.70762215070104, 6.480724801128031 60.7057191247937, 6.480065659490926 60.705011084857524, 6.479987480253735 60.70491367636429, 6.475684365453543 60.69959102956516, 6.474147784605543 60.69797960171508, 6.472256778870952 60.6945109806662, 6.472026062901314 60.69430302106061, 6.4705738836152715 60.693047016473066, 6.468904113516972 60.691933450996395, 6.468189934492907 60.69156484652174, 6.466437103091527 60.690317442009466, 6.465544275375691 60.68962867386076, 6.464973473780107 60.68918263224533, 6.46435724070801 60.688709442097306, 6.464316000166024 60.68867805919093, 6.462896687204452 60.687600611004775, 6.461737282788759 60.686546060267574, 6.461476879395856 60.685981074359816, 6.461423007970297 60.685756827270254, 6.460403703375724 60.68230286102514, 6.460150983261874 60.682067271192196, 6.459695651550675 60.681717432494004, 6.458961111136356 60.681158203581596, 6.4582936447137165 60.6805292236977, 6.456973924232341 60.67956912173706, 6.456051792919479 60.67851290144577, 6.4526567066502 60.67439204734457, 6.451647908150382 60.67177113819833, 6.451606003311275 60.67174126054476, 6.450908947876775 60.67125663011652, 6.45044532508659 60.670948923801014, 6.4503310884422795 60.670872851557604, 6.449837908533966 60.670198549418934, 6.4487154843686865 60.66897356314453, 6.447390149050255 60.66845527963479, 6.44668547550955 60.668200613975024, 6.44356835717854 60.66666676640541, 6.439661147264105 60.66422981154247, 6.437860032474023 60.663221948436416, 6.436988992918558 60.662689445064004, 6.436123566667373 60.66112009635637, 6.436055698878039 60.65970401722039)</t>
  </si>
  <si>
    <t>[2055505, 2055513, 2055521, 2055529, 2055537, 2055545, 2055553, 2055561, 2055569, 2055577, 2055585, 2055593, 2055601, 2055609, 2055617, 2055625, 2055633, 2055641, 2055649, 2055657, 2055665, 2055673, 2055681, 2055689, 2055697, 2055705, 2055713, 2055721, 2055729, 2055737, 2055745, 2055753, 2055761, 2055769, 2055777, 2055785, 2055793, 2055801, 2055809, 2055817, 2055825, 2055833, 2055841, 2055849, 2055857, 2055865, 2055873, 2055881, 2055889, 2055897, 2055905, 2055913, 2055921, 2055929, 2055937, 2055945, 2055953, 2055961, 2055969, 2055977, 1991032, 1991035, 1991036, 1991037, 1991041, 1991042, 1991043, 1991044, 1991045, 1991046, 1991049, 1991050, 1991051, 1991056, 1991057, 1991058, 1991061, 1991062, 1991063, 1991064, 1991066, 1991079, 1991082, 1991090, 1991098, 1991106, 1991114, 1991128, 1991129, 1991154, 1991176, 1991192, 1991213, 1991221, 1991251, 1991277, 1991315, 1991323, 1991351, 1991377, 1991383, 1991394, 1991397, 1991400, 2061332]</t>
  </si>
  <si>
    <t>[1788024, 1788032, 1720498, 1788044, 1788049, 1717442, 1723240, 1788068, 1788076, 1698611, 1698456, 454017, 1670167, 1698052, 1788110, 1788118, 1788125, 1698223, 1788136, 1788144, 1775058, 1788156, 1788162, 1788168, 1768386, 1788181, 1720658, 1788190, 1788195, 1788201, 1788208, 1788215, 1788222, 1788232, 1723238, 1723226, 1788252, 1698157, 1723258, 1723224, 1788278, 1774906, 1788292, 688882, 1788306, 1745782, 1788318, 1698082, 1788326, 1788331, 1698112, 1788341, 1788348, 1776954, 1788356, 1788363, 1757360, 1788372, 1788379, 1748666, 1714723, 1748669, 1714694, 1723943, 1748672, 1748673, 1714671, 1748674, 1714663, 1714654, 1714632, 1714617, 1714610, 1714558, 1714542, 1714549, 1748675, 1714534, 1723147, 1723192, 1748677, 1748689, 1723098, 1714564, 1723476, 1714596, 1714602, 1748719, 1748720, 1697585, 1748749, 1726045, 1726054, 1722356, 1697554, 1748832, 1748861, 1714485, 1748879, 1714493, 1748896, 1748905, 1748906, 1748907, 1791946]</t>
  </si>
  <si>
    <t>[1760937, 1788024, 1788032, 1720498, 1788044, 1788049, 1717442, 1723240, 1788068, 1788076, 1698611, 1698456, 454017, 1670167, 1698052, 1788110, 1788118, 1788125, 1698223, 1788136, 1788144, 1775058, 1788156, 1788162, 1788168, 1768386, 1788181, 1720658, 1788190, 1788195, 1788201, 1788208, 1788215, 1788222, 1788232, 1723238, 1723226, 1788252, 1698157, 1723258, 1723224, 1788278, 1774906, 1788292, 688882, 1788306, 1745782, 1788318, 1698082, 1788326, 1788331, 1698112, 1788341, 1788348, 1776954, 1788356, 1788363, 1757360, 1788372, 1788379, 1748666, 1714723, 1748669, 1714694, 1723943, 1748672, 1748673, 1714671, 1748674, 1714663, 1714654, 1714632, 1714617, 1714610, 1714558, 1714542, 1714549, 1748675, 1714534, 1723147, 1723192, 1748677, 1748689, 1723098, 1714564, 1723476, 1714596, 1714602, 1748719, 1748720, 1697585, 1748749, 1726045, 1726054, 1722356, 1697554, 1748832, 1748861, 1714485, 1748879, 1714493, 1748896, 1748905, 1748906, 1748907]</t>
  </si>
  <si>
    <t>[2.064, 0.05, 0.023, 0.014, 0.046, 0.037, 0.046, 0.051, 0.085, 0.169, 0.085, 0.007, 0.006, 0.009, 0.016, 0.016, 0.012, 0.005, 0.003, 0.002, 0.0, 0.003, 0.001, 0.023, 0.078, 0.07, 0.058, 0.05, 0.041, 0.034, 0.014, 0.001, 0.003, 0.029, 0.037, 0.022, 0.017, 0.014, 0.012, 0.009, 0.01, 0.007, 0.005, 0.046, 0.053, 0.073, 0.071, 0.031, 0.008, 0.018, 0.028, 0.014, 0.016, 0.022, 0.019, 0.018, 0.019, 0.002, 0.007, 0.05, 0.001, 0.026, 0.034, 0.009, 0.043, 0.036, 0.006, 0.007, 0.008, 0.026, 0.016, 0.011, 0.02, 0.016, 0.011, 0.004, 0.029, 0.049, 0.002, 0.035, 0.059, 0.083, 0.004, 0.011, 0.004, 0.016, 0.006, 0.014, 0.031, 0.006, 0.028, 0.023, 0.024, 0.03, 0.034, 0.059, 0.042, 0.052, 0.027, 0.036, 0.001, 0.008, 0.04, 0.021, 0.009]</t>
  </si>
  <si>
    <t>16848.32462946228</t>
  </si>
  <si>
    <t>[-0.015, -0.021, -0.022, -0.023, 1.306]</t>
  </si>
  <si>
    <t>LINESTRING (6.4240697618891724 60.62939519707025, 6.423810277294825 60.62930486575248, 6.423714945929105 60.629189043334506, 6.423741844294047 60.62912629635803, 6.4239457818724235 60.62879492746319, 6.423895504683843 60.62874997471619)</t>
  </si>
  <si>
    <t>[2013613, 2013621, 2013629, 2013637, 2069927]</t>
  </si>
  <si>
    <t>[1760944, 1171697, 1760950, 1760955, 1797356]</t>
  </si>
  <si>
    <t>0.07036920771603065</t>
  </si>
  <si>
    <t>[1760943, 1760944, 1171697, 1760950, 1760955]</t>
  </si>
  <si>
    <t>[0.015, 0.021, 0.022, 0.023, 1.306]</t>
  </si>
  <si>
    <t>83.42097185707395</t>
  </si>
  <si>
    <t>[-0.035, -0.019, 1.406]</t>
  </si>
  <si>
    <t>LINESTRING (6.4240697618891724 60.62939519707025, 6.423843452876083 60.62918037949594, 6.424068551534138 60.62884144471577, 6.4240770908423315 60.62878993950195)</t>
  </si>
  <si>
    <t>[2017006, 2017014, 2069911]</t>
  </si>
  <si>
    <t>[1762886, 1762891, 1797345]</t>
  </si>
  <si>
    <t>0.08762306487629547</t>
  </si>
  <si>
    <t>[1760943, 1762886, 1762891]</t>
  </si>
  <si>
    <t>[0.035, 0.019, 1.406]</t>
  </si>
  <si>
    <t>73.02039249753764</t>
  </si>
  <si>
    <t>[-0.014, -0.058, -0.008, -0.014, -0.165, 0.004, 0.009, 0.005, 0.009, -1.411, -0.021, 0.25, -0.001, 0.001, 0.002, -0.0, -0.029, -0.037, -0.043, -0.017, -0.014, -0.016, 0.0, -0.031, 0.01]</t>
  </si>
  <si>
    <t>LINESTRING (6.436135129933391 60.64177920979084, 6.436217762143958 60.64120499514001, 6.436175814888411 60.64007809809928, 6.4365880333850045 60.63929437115886, 6.43662847198276 60.63925033148042, 6.436677458873078 60.6391952918715, 6.43752194266922 60.63833827429532, 6.437528680177965 60.63833226025265, 6.437971915302355 60.6379274191271, 6.438635977136942 60.63732891908814, 6.438657768847766 60.637307989299494, 6.438382297058458 60.63718510600383, 6.438287644556546 60.6370418321326, 6.435618414015611 60.63532305613499, 6.434821767931341 60.634827859214845, 6.4343390340627735 60.634521283632154, 6.433827513825409 60.6341993029189, 6.428807366719394 60.63115817419937, 6.428616354701166 60.631058029263514, 6.427751466122721 60.6306282703282, 6.42549110713455 60.629853281970405, 6.424612869564542 60.62958157975174, 6.424417996068212 60.62951395315325, 6.424396902035598 60.62950690160719, 6.424382593293241 60.62950211243875, 6.4240697618891724 60.62939519707025)</t>
  </si>
  <si>
    <t>[2115402, 2115410, 1991401, 1991415, 2055985, 2055993, 2056001, 2056009, 2056017, 2056025, 378600, 2056033, 2056041, 2056049, 2056057, 2056065, 2056073, 2056081, 2056089, 2056097, 2056105, 2056113, 2056121, 2056129, 2056137]</t>
  </si>
  <si>
    <t>[1824436, 1748908, 1748909, 1748917, 1788389, 1788396, 1788400, 1788407, 1788412, 367524, 367525, 1788422, 1775213, 1775208, 1788434, 1788438, 1694890, 1788446, 1678853, 1693529, 1788463, 1279936, 1788473, 1788477, 1760943]</t>
  </si>
  <si>
    <t>[1824435, 1824436, 1748908, 1748909, 1748917, 1788389, 1788396, 1788400, 1788407, 1788412, 367524, 367525, 1788422, 1775213, 1775208, 1788434, 1788438, 1694890, 1788446, 1678853, 1693529, 1788463, 1279936, 1788473, 1788477]</t>
  </si>
  <si>
    <t>[0.014, 0.058, 0.008, 0.014, 0.165, 0.004, 0.009, 0.005, 0.009, 1.411, 0.021, 0.25, 0.001, 0.001, 0.002, 0.0, 0.029, 0.037, 0.043, 0.017, 0.014, 0.016, 0.0, 0.031, 0.01]</t>
  </si>
  <si>
    <t>1741.6321041414915</t>
  </si>
  <si>
    <t>[-0.011, 0.004, 0.02, 0.036, 0.112]</t>
  </si>
  <si>
    <t>LINESTRING (6.422357506552807 60.62838087260803, 6.421744544060044 60.62831509726921, 6.41925803478115 60.62822620058967, 6.418116129135039 60.62819632056547, 6.416433342171989 60.628352414360826, 6.415795062779531 60.62848165220801)</t>
  </si>
  <si>
    <t>[2056145, 2056153, 2056161, 2056169, 2056177]</t>
  </si>
  <si>
    <t>[1679165, 1694265, 1695151, 1777671, 1694778]</t>
  </si>
  <si>
    <t>0.02473421167701224</t>
  </si>
  <si>
    <t>[1760961, 1679165, 1694265, 1695151, 1777671]</t>
  </si>
  <si>
    <t>[0.011, 0.004, 0.02, 0.036, 0.112]</t>
  </si>
  <si>
    <t>366.3297651529798</t>
  </si>
  <si>
    <t>[-0.046, -0.598, -0.012]</t>
  </si>
  <si>
    <t>LINESTRING (6.424102870539285 60.62871054780531, 6.4239570193047655 60.62868063007033, 6.42375467343395 60.62863972210593, 6.422357506552807 60.62838087260803)</t>
  </si>
  <si>
    <t>[2069895, 2069903, 2017022]</t>
  </si>
  <si>
    <t>[1797330, 1762898, 1760961]</t>
  </si>
  <si>
    <t>[1055039, 1797330, 1762898]</t>
  </si>
  <si>
    <t>[0.046, 0.598, 0.012]</t>
  </si>
  <si>
    <t>103.07557324886477</t>
  </si>
  <si>
    <t>[-0.622, -0.015]</t>
  </si>
  <si>
    <t>LINESTRING (6.423895504683843 60.62874997471619, 6.423696450312035 60.62869483810175, 6.422357506552807 60.62838087260803)</t>
  </si>
  <si>
    <t>[2069959, 2013645]</t>
  </si>
  <si>
    <t>[1760960, 1760961]</t>
  </si>
  <si>
    <t>[1797356, 1760960]</t>
  </si>
  <si>
    <t>[0.622, 0.015]</t>
  </si>
  <si>
    <t>94.05261530943046</t>
  </si>
  <si>
    <t>[-0.071, 0.094, 0.092, 0.074, -0.046, 0.09, 0.088, 0.375, 0.039, -0.179, 0.194, 0.233]</t>
  </si>
  <si>
    <t>[0, 0, 1, 1, 0, 0, 0, 0, 0, 0, 0, 1]</t>
  </si>
  <si>
    <t>LINESTRING (5.74496511976355 60.480445872282914, 5.744764310421297 60.47932157932118, 5.744710897836703 60.479195043746785, 5.744658040268669 60.4790602664634, 5.744572785620923 60.47881589147484, 5.744531411796572 60.47871343981534, 5.744515730114497 60.47867462797999, 5.744494789869506 60.47862422059441, 5.744484268185963 60.47859887769279, 5.744347126571123 60.47822669033592, 5.744266351809531 60.47779710336309, 5.744256016440197 60.47751433618411, 5.74429222247675 60.4774138158354)</t>
  </si>
  <si>
    <t>[2013685, 2013693, 2013701, 2013709, 2080281, 2080289, 2080297, 2080305, 2013717, 2013725, 2013733, 2013741]</t>
  </si>
  <si>
    <t>[1760982, 1760986, 1760989, 1760994, 1803770, 1803778, 1803784, 1761000, 1761001, 1761004, 1761007, 1761012]</t>
  </si>
  <si>
    <t>[1760981, 1760982, 1760986, 1760989, 1760994, 1803770, 1803778, 1803784, 1761000, 1761001, 1761004, 1761007]</t>
  </si>
  <si>
    <t>[0.071, 0.094, 0.092, 0.074, 0.046, 0.09, 0.088, 0.375, 0.039, 0.179, 0.194, 0.233]</t>
  </si>
  <si>
    <t>342.11897343975346</t>
  </si>
  <si>
    <t>[-0.125, -0.015, -0.024, -0.041, 1.086, 0.092, -5.529, 0.029, 0.196, 0.138]</t>
  </si>
  <si>
    <t>[0, 0, 1, 1, 0, 0, 0, 0, 0, 1]</t>
  </si>
  <si>
    <t>LINESTRING (5.74496511976355 60.480445872282914, 5.744898823057709 60.479318780240256, 5.744845534699845 60.479191810486356, 5.7447895947637235 60.479055009592116, 5.744694602940249 60.47880652716202, 5.74465230224065 60.47870130777141, 5.744615352000337 60.47861099891831, 5.744605183406164 60.47858653048954, 5.744465983330235 60.478217869439725, 5.74432910612733 60.47751493187925, 5.74429222247675 60.4774138158354)</t>
  </si>
  <si>
    <t>[2017046, 2017054, 2017062, 2017070, 2080313, 2080321, 2080329, 2017078, 2017086, 2017094]</t>
  </si>
  <si>
    <t>[1762911, 1762914, 1762918, 1762924, 1803801, 1803807, 1762931, 1762932, 1762937, 1761012]</t>
  </si>
  <si>
    <t>[1760981, 1762911, 1762914, 1762918, 1762924, 1803801, 1803807, 1762931, 1762932, 1762937]</t>
  </si>
  <si>
    <t>[0.125, 0.015, 0.024, 0.041, 1.086, 0.092, 5.529, 0.029, 0.196, 0.138]</t>
  </si>
  <si>
    <t>342.64126039516356</t>
  </si>
  <si>
    <t>[0.144, 0.038, 0.038, -0.01, -0.083, -0.077, -0.126, -0.081, 0.093, 0.213]</t>
  </si>
  <si>
    <t>LINESTRING (5.518090236862083 60.42129587908528, 5.517899271581986 60.421403971067335, 5.517886739320588 60.42141045899797, 5.517201162582668 60.42173214759314, 5.516441299517033 60.42199039714234, 5.516129867222056 60.4220792538157, 5.516052663348881 60.42210110794676, 5.51599043170245 60.422118069251894, 5.515039343730026 60.422360821069, 5.514217907036877 60.422506220950275, 5.513379950268027 60.42260512421179)</t>
  </si>
  <si>
    <t>[2013781, 2013789, 2013797, 2013805, 2013813, 2013821, 2013829, 2013837, 2013845, 2013853]</t>
  </si>
  <si>
    <t>[1761029, 1761033, 1761037, 1761040, 1761043, 1761045, 1753492, 1761051, 1761054, 1761060]</t>
  </si>
  <si>
    <t>0.03667893668520534</t>
  </si>
  <si>
    <t>[1761028, 1761029, 1761033, 1761037, 1761040, 1761043, 1761045, 1753492, 1761051, 1761054]</t>
  </si>
  <si>
    <t>[0.144, 0.038, 0.038, 0.01, 0.083, 0.077, 0.126, 0.081, 0.093, 0.213]</t>
  </si>
  <si>
    <t>304.075584588985</t>
  </si>
  <si>
    <t>[0.197, 0.161, 0.083, -0.034, -0.006, 0.144]</t>
  </si>
  <si>
    <t>LINESTRING (5.518090236862083 60.42129587908528, 5.517873516833906 60.421388231612575, 5.517859667934625 60.421393847298106, 5.517101514810102 60.421662323639566, 5.515968062978227 60.42203236394922, 5.514174820536531 60.422452810808736, 5.513379950268027 60.42260512421179)</t>
  </si>
  <si>
    <t>[2017134, 2017142, 2017150, 2017158, 2017167, 2017175]</t>
  </si>
  <si>
    <t>[1762967, 1762972, 1762977, 1753491, 1762987, 1761060]</t>
  </si>
  <si>
    <t>0.037022294731117976</t>
  </si>
  <si>
    <t>[1761028, 1762967, 1762972, 1762977, 1753491, 1762987]</t>
  </si>
  <si>
    <t>[0.197, 0.161, 0.083, 0.034, 0.006, 0.144]</t>
  </si>
  <si>
    <t>300.4657700791947</t>
  </si>
  <si>
    <t>[0.268, 0.989, 0.005, -0.203, 0.0, -0.008, 0.334, 0.278, 0.24, 0.263, 0.305, 0.0, 0.338, 0.278, -0.248, -0.241, -0.245, 0.007, 0.124]</t>
  </si>
  <si>
    <t>[0, 0, 0, 0, 0, 0, 0, 0, 0, 0, 0, 0, 0, 0, 0, 0, 0, 1, 0]</t>
  </si>
  <si>
    <t>LINESTRING (5.513379950268027 60.42260512421179, 5.51329630732509 60.422616702688195, 5.51329236005595 60.42261725101215, 5.511445573153366 60.422857678858335, 5.511339644098131 60.4228691556537, 5.5113354254861235 60.42286969346431, 5.505149582070872 60.42364583382325, 5.505131866309102 60.42364767060499, 5.505099943607178 60.42365098157187, 5.504925708472954 60.423668989685105, 5.504612593842851 60.42369810705644, 5.504563807222768 60.423702348271696, 5.504558943899359 60.42370277620828, 5.491045539166525 60.42118331628754, 5.491029642297973 60.42117904234752, 5.469222436595569 60.41771025423542, 5.46913255685096 60.41771802645552, 5.4687040418359 60.41773230408218, 5.4660899043163305 60.41746213427202, 5.465508662985873 60.41730620446566)</t>
  </si>
  <si>
    <t>[2058723, 2058731, 2058739, 2058747, 2058755, 2058763, 2058771, 2058786, 2058794, 2058802, 2058810, 2058818, 2058826, 2058834, 2058842, 2058858, 2058866, 2058870, 2058871]</t>
  </si>
  <si>
    <t>[1790195, 1790199, 1790204, 1790210, 1790218, 1790224, 1790230, 1790236, 1790239, 1790243, 1790250, 1790256, 1790262, 1790267, 1790270, 1790277, 1790281, 1790284, 1761062]</t>
  </si>
  <si>
    <t>[1761060, 1790195, 1790199, 1790204, 1790210, 1790218, 1790224, 1790230, 1790236, 1790239, 1790243, 1790250, 1790256, 1790262, 1790267, 1790270, 1790277, 1790281, 1790284]</t>
  </si>
  <si>
    <t>[0.268, 0.989, 0.005, 0.203, 0.0, 0.008, 0.334, 0.278, 0.24, 0.263, 0.305, 0.0, 0.338, 0.278, 0.248, 0.241, 0.245, 0.007, 0.124]</t>
  </si>
  <si>
    <t>2855.8100902686633</t>
  </si>
  <si>
    <t>[-0.06, -0.03, -0.003, -0.001, 0.015, 0.048]</t>
  </si>
  <si>
    <t>LINESTRING (5.474514228822105 59.7706966731084, 5.476291535342757 59.77115109914904, 5.4774796854101435 59.771500825036256, 5.47751328653401 59.77151423072908, 5.477605279342799 59.77154336949033, 5.478617219636548 59.77196686967298, 5.479885235368895 59.772582621720886)</t>
  </si>
  <si>
    <t>[2014173, 2014181, 2014189, 2014197, 2014205, 2014213]</t>
  </si>
  <si>
    <t>[1761222, 1761226, 1761231, 1761236, 1761241, 1761249]</t>
  </si>
  <si>
    <t>[1761221, 1761222, 1761226, 1761231, 1761236, 1761241]</t>
  </si>
  <si>
    <t>[0.06, 0.03, 0.003, 0.001, 0.015, 0.048]</t>
  </si>
  <si>
    <t>372.943983518855</t>
  </si>
  <si>
    <t>[-0.06, -0.018, 0.01, 0.041]</t>
  </si>
  <si>
    <t>LINESTRING (5.474514228822105 59.7706966731084, 5.476218481427764 59.77118619371979, 5.47743879964782 59.77157240447113, 5.4785263204287995 59.772011095556415, 5.479885235368895 59.772582621720886)</t>
  </si>
  <si>
    <t>[2017456, 2017464, 2017472, 2017480]</t>
  </si>
  <si>
    <t>[1763155, 1756059, 1763165, 1761249]</t>
  </si>
  <si>
    <t>[1761221, 1763155, 1756059, 1763165]</t>
  </si>
  <si>
    <t>[0.06, 0.018, 0.01, 0.041]</t>
  </si>
  <si>
    <t>370.2233262143498</t>
  </si>
  <si>
    <t>[-0.021, -0.024, -0.019, 0.026]</t>
  </si>
  <si>
    <t>LINESTRING (5.48326777643822 59.77840092203696, 5.482975646532939 59.77933530009424, 5.48283952156631 59.779704207843594, 5.482589155529725 59.780388421825435, 5.482109968418017 59.781588393083155)</t>
  </si>
  <si>
    <t>[2014221, 2014229, 2014237, 2014245]</t>
  </si>
  <si>
    <t>[1761257, 1753359, 1761267, 1761273]</t>
  </si>
  <si>
    <t>[1761256, 1761257, 1753359, 1761267]</t>
  </si>
  <si>
    <t>[0.021, 0.024, 0.019, 0.026]</t>
  </si>
  <si>
    <t>362.51087827740884</t>
  </si>
  <si>
    <t>[-0.022, 0.008, 0.01, -0.0]</t>
  </si>
  <si>
    <t>LINESTRING (5.48326777643822 59.77840092203696, 5.482868672951571 59.77932750480475, 5.48272993523972 59.77969801193138, 5.482482635199993 59.78037878783414, 5.482109968418017 59.781588393083155)</t>
  </si>
  <si>
    <t>[2017488, 2017496, 2017504, 2017512]</t>
  </si>
  <si>
    <t>[1763173, 1753358, 1763183, 1761273]</t>
  </si>
  <si>
    <t>[1761256, 1763173, 1753358, 1763183]</t>
  </si>
  <si>
    <t>[0.022, 0.008, 0.01, 0.0]</t>
  </si>
  <si>
    <t>362.76643962155663</t>
  </si>
  <si>
    <t>[-0.125, -0.009, -0.022, -0.024, 0.007]</t>
  </si>
  <si>
    <t>LINESTRING (5.331377326081296 60.47266312292471, 5.33152058179508 60.47269802924104, 5.332644340891335 60.473836324916405, 5.333284932894525 60.47426438161689, 5.333780448993544 60.47401306800211, 5.333752943145059 60.47392219256286)</t>
  </si>
  <si>
    <t>[2043150, 2043231, 2043236, 2043238, 2043246]</t>
  </si>
  <si>
    <t>[1780623, 1780675, 1780678, 1780679, 1780685]</t>
  </si>
  <si>
    <t>[1761962, 1780623, 1780675, 1780678, 1780679]</t>
  </si>
  <si>
    <t>[0.125, 0.009, 0.022, 0.024, 0.007]</t>
  </si>
  <si>
    <t>271.87968221740863</t>
  </si>
  <si>
    <t>[0.035, -0.056, -0.047]</t>
  </si>
  <si>
    <t>LINESTRING (5.333931089317562 60.38348145239207, 5.325245694296963 60.385346413029694, 5.324938235557228 60.38546807722676, 5.324854618889361 60.38550143508871)</t>
  </si>
  <si>
    <t>[2015630, 2015638, 2015646]</t>
  </si>
  <si>
    <t>[1762023, 1762026, 1762030]</t>
  </si>
  <si>
    <t>0.03068672741342897</t>
  </si>
  <si>
    <t>[1762019, 1762023, 1762026]</t>
  </si>
  <si>
    <t>[0.035, 0.056, 0.047]</t>
  </si>
  <si>
    <t>572.3547681214689</t>
  </si>
  <si>
    <t>[-0.02, -0.152, -0.086, -0.079, -0.061, -0.049]</t>
  </si>
  <si>
    <t>LINESTRING (5.324854618889361 60.38550143508871, 5.320152983146173 60.38607693107131, 5.320140616561758 60.38607270367557, 5.3200792905005665 60.38605103401502, 5.319727321681646 60.385883275195475, 5.319400853669168 60.38569098336583, 5.319242353277245 60.385593407118925)</t>
  </si>
  <si>
    <t>[2015654, 2015662, 2015678, 2015686, 2015694, 2015702]</t>
  </si>
  <si>
    <t>[1762036, 1762040, 1762050, 1762055, 1762059, 1762062]</t>
  </si>
  <si>
    <t>[1762030, 1762036, 1762040, 1762050, 1762055, 1762059]</t>
  </si>
  <si>
    <t>[0.02, 0.152, 0.086, 0.079, 0.061, 0.049]</t>
  </si>
  <si>
    <t>360.7185755771288</t>
  </si>
  <si>
    <t>[-0.038, 0.0]</t>
  </si>
  <si>
    <t>LINESTRING (5.319242353277245 60.385593407118925, 5.319174026724134 60.3855451539468, 5.3152696180532795 60.38276444063526)</t>
  </si>
  <si>
    <t>[2015710, 2015718]</t>
  </si>
  <si>
    <t>[1762065, 1762071]</t>
  </si>
  <si>
    <t>[1762062, 1762065]</t>
  </si>
  <si>
    <t>[0.038, 0.0]</t>
  </si>
  <si>
    <t>385.05355991439893</t>
  </si>
  <si>
    <t>[0.0, 0.076, -0.027, 0.087]</t>
  </si>
  <si>
    <t>LINESTRING (5.3189452970341184 60.38633413658872, 5.3189452970341184 60.38633413658872, 5.319097256107113 60.38633443697939, 5.319278161577861 60.385662972387834, 5.319242353277245 60.385593407118925)</t>
  </si>
  <si>
    <t>[2016846, 2016854, 2054296, 2018539]</t>
  </si>
  <si>
    <t>[1762786, 1762792, 1763811, 1762062]</t>
  </si>
  <si>
    <t>[1762785, 1762786, 1762792, 1763811]</t>
  </si>
  <si>
    <t>[0.0, 0.076, 0.027, 0.087]</t>
  </si>
  <si>
    <t>141.19913294100544</t>
  </si>
  <si>
    <t>[0.123, 0.122, 0.084, 0.124, 0.117, 0.206, 0.14, 0.157, 0.265, 0.262]</t>
  </si>
  <si>
    <t>LINESTRING (5.3152696180532795 60.38276444063526, 5.314888000441703 60.38249399237731, 5.314614180921086 60.38233712146197, 5.314372940402856 60.382220073305945, 5.314032292458959 60.38207286475638, 5.313903551255535 60.382025832991914, 5.313886455739225 60.382019710742185, 5.313799646080116 60.38198726485912, 5.309860244261304 60.38105553328342, 5.309487408186464 60.38101564220341, 5.308909257784762 60.38095840839068)</t>
  </si>
  <si>
    <t>[2015726, 2015734, 2015742, 2015750, 2015758, 2015774, 2015782, 2015790, 2015798, 2015806]</t>
  </si>
  <si>
    <t>[1762078, 1762083, 1762088, 1762092, 1762096, 1762102, 1762106, 1762110, 1762114, 1762120]</t>
  </si>
  <si>
    <t>0.15952282541883922</t>
  </si>
  <si>
    <t>[1762071, 1762078, 1762083, 1762088, 1762092, 1762096, 1762102, 1762106, 1762110, 1762114]</t>
  </si>
  <si>
    <t>416.5568077676729</t>
  </si>
  <si>
    <t>[0.208, 0.675]</t>
  </si>
  <si>
    <t>LINESTRING (5.3152696180532795 60.38276444063526, 5.315091125501447 60.38270700840484, 5.31480977087167 60.382541615486815)</t>
  </si>
  <si>
    <t>[2018571, 2054352]</t>
  </si>
  <si>
    <t>[1763842, 1787249]</t>
  </si>
  <si>
    <t>0.5219757258822083</t>
  </si>
  <si>
    <t>[1762071, 1763842]</t>
  </si>
  <si>
    <t>35.94320970601548</t>
  </si>
  <si>
    <t>[-0.044, -0.043, -0.039]</t>
  </si>
  <si>
    <t>2294.0</t>
  </si>
  <si>
    <t>LINESTRING (5.778395220808777 61.32162928075431, 5.778333902678172 61.32163434105538, 5.778252124955846 61.32164109272494, 5.77759397296813 61.321654348750954)</t>
  </si>
  <si>
    <t>[2015770, 2015778, 2015786]</t>
  </si>
  <si>
    <t>[1762100, 1762105, 1236298]</t>
  </si>
  <si>
    <t>[1762099, 1762100, 1762105]</t>
  </si>
  <si>
    <t>[0.044, 0.043, 0.039]</t>
  </si>
  <si>
    <t>43.629632729569195</t>
  </si>
  <si>
    <t>[3.143, -2.391]</t>
  </si>
  <si>
    <t>LINESTRING (5.778395220808777 61.32162928075431, 5.7783845702958185 61.32167854941246, 5.778356795911776 61.321743643206716)</t>
  </si>
  <si>
    <t>[2094046, 2092850]</t>
  </si>
  <si>
    <t>[1811271, 1762112]</t>
  </si>
  <si>
    <t>[1762099, 1811271]</t>
  </si>
  <si>
    <t>[3.143, 2.391]</t>
  </si>
  <si>
    <t>12.957697982556105</t>
  </si>
  <si>
    <t>1666.0</t>
  </si>
  <si>
    <t>LINESTRING (5.649463606117813 61.14943995314912, 5.778395220808777 61.32162928075431)</t>
  </si>
  <si>
    <t>[0.24, -0.022]</t>
  </si>
  <si>
    <t>LINESTRING (5.77759397296813 61.321654348750954, 5.776496384976458 61.321251904037304, 5.776468827008686 61.32107389404767)</t>
  </si>
  <si>
    <t>[2093042, 2092810]</t>
  </si>
  <si>
    <t>[1811242, 1811243]</t>
  </si>
  <si>
    <t>0.1876362751150569</t>
  </si>
  <si>
    <t>[1236298, 1811242]</t>
  </si>
  <si>
    <t>[0.24, 0.022]</t>
  </si>
  <si>
    <t>99.78157532794798</t>
  </si>
  <si>
    <t>[-0.042, -0.038, -0.032]</t>
  </si>
  <si>
    <t>LINESTRING (5.778356795911776 61.321743643206716, 5.778313153020111 61.321740411270106, 5.778254968659411 61.321736102420424, 5.77759397296813 61.321654348750954)</t>
  </si>
  <si>
    <t>[2015794, 2015802, 2015810]</t>
  </si>
  <si>
    <t>[1762113, 1762118, 1236298]</t>
  </si>
  <si>
    <t>[1762112, 1762113, 1762118]</t>
  </si>
  <si>
    <t>[0.042, 0.038, 0.032]</t>
  </si>
  <si>
    <t>42.52171720404817</t>
  </si>
  <si>
    <t>[-0.018, 0.225, 0.356, 0.3, 0.357, -0.126]</t>
  </si>
  <si>
    <t>LINESTRING (5.308909257784762 60.38095840839068, 5.302162352297349 60.38095500104221, 5.293650210751426 60.38129018912653, 5.293632199746335 60.38129089861935, 5.2931461302224365 60.38131002553335, 5.293128101324057 60.381310733640916, 5.274344503119154 60.38203909395014)</t>
  </si>
  <si>
    <t>[2015814, 2015822, 2015830, 2015838, 2015846, 2015854]</t>
  </si>
  <si>
    <t>[1762123, 1762126, 1762131, 1762136, 1762138, 1762143]</t>
  </si>
  <si>
    <t>[1762120, 1762123, 1762126, 1762131, 1762136, 1762138]</t>
  </si>
  <si>
    <t>[0.018, 0.225, 0.356, 0.3, 0.357, 0.126]</t>
  </si>
  <si>
    <t>1918.2576816990113</t>
  </si>
  <si>
    <t>[-0.105, -0.164, -0.14, 3.916, -0.092, -1.107, 3.244, 0.09, 0.082, 0.095, 0.124, 0.172, 1.39]</t>
  </si>
  <si>
    <t>LINESTRING (5.3095552698329 60.38088195992481, 5.309732919251746 60.38087511478974, 5.314322246398303 60.38204719786942, 5.314368362426591 60.38257613206178, 5.314381063235012 60.382606915275026, 5.3144584427639465 60.382684058644735, 5.314267459708573 60.38263294423587, 5.31422882213049 60.382596637711956, 5.314221197181266 60.382551908179266, 5.31420335376088 60.382507983925684, 5.314103708995781 60.3823495497144, 5.30907345804249 60.38099580382995, 5.308920991469622 60.38096107987536, 5.308909257784762 60.38095840839068)</t>
  </si>
  <si>
    <t>[2018587, 2054416, 2018593, 2018601, 1847318, 2022408, 2035602, 2035603, 2035608, 2035613, 2035621, 2018579, 2018581]</t>
  </si>
  <si>
    <t>[1763858, 1763861, 1763862, 1617583, 1617584, 1766404, 1775956, 1775957, 1775959, 1775961, 1763850, 1763851, 1762120]</t>
  </si>
  <si>
    <t>0.003697184216167168</t>
  </si>
  <si>
    <t>[1763857, 1763858, 1763861, 1763862, 1617583, 1617584, 1766404, 1775956, 1775957, 1775959, 1775961, 1763850, 1763851]</t>
  </si>
  <si>
    <t>[0.105, 0.164, 0.14, 3.916, 0.092, 1.107, 3.244, 0.09, 0.082, 0.095, 0.124, 0.172, 1.39]</t>
  </si>
  <si>
    <t>754.8496301179384</t>
  </si>
  <si>
    <t>[-0.237, -0.071, -0.048, -0.043, 0.0, -0.04, -0.033, -0.025, -0.002, -0.018, -0.028, 0.004, -0.02]</t>
  </si>
  <si>
    <t>LINESTRING (5.274344503119154 60.38203909395014, 5.272009162771061 60.38201377295322, 5.271954906219595 60.382012076773755, 5.271807958254071 60.38199619639676, 5.2715646749214855 60.38196627876176, 5.271559742110664 60.38196560724218, 5.271194192278104 60.38191849913582, 5.27079284078547 60.38185192236686, 5.269118540136104 60.381330209538255, 5.268886389279889 60.38121165032041, 5.268873909922486 60.38120484927368, 5.268534253876631 60.381010092391676, 5.267448022624961 60.38036959438946, 5.265042030893072 60.37970709269978)</t>
  </si>
  <si>
    <t>[2015862, 2015870, 2015878, 2015886, 2015894, 2015902, 2015910, 2015918, 2015926, 2015934, 2015942, 2015950, 2015958]</t>
  </si>
  <si>
    <t>[1762147, 1762152, 1762155, 1762158, 1762162, 1762167, 1762172, 1762174, 1762178, 1762182, 1762186, 1762192, 1762198]</t>
  </si>
  <si>
    <t>[1762143, 1762147, 1762152, 1762155, 1762158, 1762162, 1762167, 1762172, 1762174, 1762178, 1762182, 1762186, 1762192]</t>
  </si>
  <si>
    <t>[0.237, 0.071, 0.048, 0.043, 0.0, 0.04, 0.033, 0.025, 0.002, 0.018, 0.028, 0.004, 0.02]</t>
  </si>
  <si>
    <t>606.4489767865595</t>
  </si>
  <si>
    <t>[0.005, 0.004, 0.004, 0.035, -0.017, 0.635, -0.243, 0.402, 0.057, -0.172, 0.0, 0.007, -0.029]</t>
  </si>
  <si>
    <t>LINESTRING (5.265042030893072 60.37970709269978, 5.264952050903241 60.37969764462397, 5.264745559769442 60.379681050066466, 5.2646248772020945 60.37967185865032, 5.2574780392479425 60.3771041742986, 5.256900209070199 60.37677171780463, 5.256893725705468 60.376767647262355, 5.256888997097399 60.37676466531501, 5.256832662267786 60.37672952726987, 5.255007642707147 60.375450660922716, 5.254899253469599 60.37535137082429, 5.254895570149379 60.375348013735845, 5.252458373355795 60.373060741457, 5.251875723317023 60.37123931321422)</t>
  </si>
  <si>
    <t>[2015966, 2015974, 2015982, 2015990, 2015998, 2016006, 2016014, 2016022, 2016030, 2016038, 2016046, 2016054, 2016062]</t>
  </si>
  <si>
    <t>[1762201, 1762204, 1762209, 1762214, 1762219, 1762223, 1762225, 1762228, 1762232, 1762236, 1762241, 1762245, 1762250]</t>
  </si>
  <si>
    <t>0.01823418245082046</t>
  </si>
  <si>
    <t>[1762198, 1762201, 1762204, 1762209, 1762214, 1762219, 1762223, 1762225, 1762228, 1762232, 1762236, 1762241, 1762245]</t>
  </si>
  <si>
    <t>[0.005, 0.004, 0.004, 0.035, 0.017, 0.635, 0.243, 0.402, 0.057, 0.172, 0.0, 0.007, 0.029]</t>
  </si>
  <si>
    <t>1277.144457756781</t>
  </si>
  <si>
    <t>[-0.017, -0.013, 0.006, 0.006]</t>
  </si>
  <si>
    <t>LINESTRING (5.251875723317023 60.37123931321422, 5.251917068921578 60.370735292282596, 5.252058076263659 60.3688693415286, 5.251841732176436 60.368102617184626, 5.250445868172838 60.367065389066376)</t>
  </si>
  <si>
    <t>[2016070, 2016078, 2016086, 2016094]</t>
  </si>
  <si>
    <t>[1762253, 1762258, 1762260, 1762265]</t>
  </si>
  <si>
    <t>[1762250, 1762253, 1762258, 1762260]</t>
  </si>
  <si>
    <t>[0.017, 0.013, 0.006, 0.006]</t>
  </si>
  <si>
    <t>492.98389466142396</t>
  </si>
  <si>
    <t>[0.454, -0.043, -0.04, 0.038, 0.17, 0.176, 0.161, 0.238]</t>
  </si>
  <si>
    <t>LINESTRING (5.251875723317023 60.37123931321422, 5.2518142488691275 60.37116510977197, 5.251813686774495 60.37115613034922, 5.251858821138043 60.370204963206106, 5.25150734868186 60.36955800672705, 5.250909877475316 60.368695859728284, 5.250776184894596 60.3685534414723, 5.250483034524189 60.368271674186204, 5.250301183684978 60.368285317393685)</t>
  </si>
  <si>
    <t>[2018689, 1990697, 1990701, 2070467, 2070475, 2070941, 2070948, 2070956]</t>
  </si>
  <si>
    <t>[1748471, 1748472, 1748474, 1797756, 1797763, 1798091, 1798095, 1797910]</t>
  </si>
  <si>
    <t>0.08792193013312978</t>
  </si>
  <si>
    <t>[1762250, 1748471, 1748472, 1748474, 1797756, 1797763, 1798091, 1798095]</t>
  </si>
  <si>
    <t>[0.454, 0.043, 0.04, 0.038, 0.17, 0.176, 0.161, 0.238]</t>
  </si>
  <si>
    <t>358.6737453151452</t>
  </si>
  <si>
    <t>[0.089, 0.065, 0.019, 0.159, 0.371, 0.386, -0.037, -0.049, -0.105, -0.222, -0.047, 0.0, -0.073, 0.075]</t>
  </si>
  <si>
    <t>LINESTRING (5.250445868172838 60.367065389066376, 5.25024253814654 60.366982500856615, 5.248937170949841 60.366647282672595, 5.248930970335855 60.366646281164016, 5.248583045961845 60.3665973913418, 5.2484735295599645 60.366584774776456, 5.246775729732294 60.3665546755349, 5.231777372109408 60.37080706291079, 5.231746336497909 60.37080536005153, 5.231741536159477 60.37080510382814, 5.231723619523505 60.37080411985892, 5.231691849106778 60.37080176545045, 5.231687739323231 60.37080146088636, 5.230848146537422 60.370699107135344, 5.230257160959622 60.370578734198766)</t>
  </si>
  <si>
    <t>[2016102, 2016110, 2016118, 2016126, 2016134, 2016142, 2016150, 2016158, 2016166, 2016174, 2016182, 2016190, 2016198, 2016206]</t>
  </si>
  <si>
    <t>[1762270, 1762276, 1762280, 1762284, 1762289, 1762294, 1762300, 1762304, 1762307, 1762312, 1762316, 1762321, 1762326, 1762334]</t>
  </si>
  <si>
    <t>0.008090276890082536</t>
  </si>
  <si>
    <t>[1762265, 1762270, 1762276, 1762280, 1762284, 1762289, 1762294, 1762300, 1762304, 1762307, 1762312, 1762316, 1762321, 1762326]</t>
  </si>
  <si>
    <t>[0.089, 0.065, 0.019, 0.159, 0.371, 0.386, 0.037, 0.049, 0.105, 0.222, 0.047, 0.0, 0.073, 0.075]</t>
  </si>
  <si>
    <t>1299.1830673013862</t>
  </si>
  <si>
    <t>[0.0, -0.097, -0.002, 0.013, 0.141, -4.245]</t>
  </si>
  <si>
    <t>LINESTRING (5.25128740576936 60.36596514237828, 5.25128740576936 60.36596514237828, 5.251927459218246 60.36853012149012, 5.2517431139117825 60.36811096503148, 5.250530827318496 60.36714042606911, 5.250451075862582 60.36707010750317, 5.250445868172838 60.367065389066376)</t>
  </si>
  <si>
    <t>[2071424, 2071432, 1990703, 1990734, 2018697, 2018705]</t>
  </si>
  <si>
    <t>[1798436, 1748475, 1748476, 1748492, 1763927, 1762265]</t>
  </si>
  <si>
    <t>[1798422, 1798436, 1748475, 1748476, 1748492, 1763927]</t>
  </si>
  <si>
    <t>[0.0, 0.097, 0.002, 0.013, 0.141, 4.245]</t>
  </si>
  <si>
    <t>628.0927048616632</t>
  </si>
  <si>
    <t>[0.015, -0.003, 0.054, -0.021, -0.016, 0.04]</t>
  </si>
  <si>
    <t>LINESTRING (5.230257160959622 60.370578734198766, 5.229094153785209 60.37027359761169, 5.227200831292826 60.369761685023775, 5.225844373794665 60.36939874890064, 5.225828320954212 60.36939456402689, 5.225236713747475 60.36925571006886, 5.221917613342984 60.369044806981464)</t>
  </si>
  <si>
    <t>[2016214, 2016222, 2016230, 2016238, 2016246, 2016254]</t>
  </si>
  <si>
    <t>[1762339, 1762345, 1762351, 1762357, 1762365, 1762371]</t>
  </si>
  <si>
    <t>0.024374566697261325</t>
  </si>
  <si>
    <t>[1762334, 1762339, 1762345, 1762351, 1762357, 1762365]</t>
  </si>
  <si>
    <t>[0.015, 0.003, 0.054, 0.021, 0.016, 0.04]</t>
  </si>
  <si>
    <t>502.4511416568685</t>
  </si>
  <si>
    <t>[-0.088, -0.063]</t>
  </si>
  <si>
    <t>LINESTRING (5.221917613342984 60.369044806981464, 5.221231108606845 60.3691198356599, 5.21840571906141 60.369861710815975)</t>
  </si>
  <si>
    <t>[2016262, 2016270]</t>
  </si>
  <si>
    <t>[1762378, 1762382]</t>
  </si>
  <si>
    <t>[1762371, 1762378]</t>
  </si>
  <si>
    <t>[0.088, 0.063]</t>
  </si>
  <si>
    <t>216.88369061505563</t>
  </si>
  <si>
    <t>[0.07, -0.009, 0.012, 0.017, 0.133]</t>
  </si>
  <si>
    <t>LINESTRING (5.21840571906141 60.369861710815975, 5.218093027135709 60.36995566234255, 5.215224454093094 60.37089077109016, 5.21360249497818 60.37136844079221, 5.211900320101658 60.37173098445281, 5.211490073003215 60.37175299187583)</t>
  </si>
  <si>
    <t>[2016278, 2016286, 2016294, 2016302, 2016310]</t>
  </si>
  <si>
    <t>[1762390, 1762396, 1762402, 1762408, 1762413]</t>
  </si>
  <si>
    <t>0.013044381139759918</t>
  </si>
  <si>
    <t>[1762382, 1762390, 1762396, 1762402, 1762408]</t>
  </si>
  <si>
    <t>[0.07, 0.009, 0.012, 0.017, 0.133]</t>
  </si>
  <si>
    <t>440.67015627311724</t>
  </si>
  <si>
    <t>[-0.009, 0.017, 0.111, -0.222]</t>
  </si>
  <si>
    <t>LINESTRING (5.21798754457638 60.369873197230504, 5.215161043914158 60.37083566340954, 5.213560283920095 60.37130426697169, 5.211853859081705 60.371673252426135, 5.211490073003215 60.37175299187583)</t>
  </si>
  <si>
    <t>[2081716, 2081724, 2081732, 2081740]</t>
  </si>
  <si>
    <t>[1804617, 1804623, 1804628, 1762413]</t>
  </si>
  <si>
    <t>0.015808589040220075</t>
  </si>
  <si>
    <t>[1763967, 1804617, 1804623, 1804628]</t>
  </si>
  <si>
    <t>[0.009, 0.017, 0.111, 0.222]</t>
  </si>
  <si>
    <t>418.1360392614388</t>
  </si>
  <si>
    <t>[-0.454, 0.024]</t>
  </si>
  <si>
    <t>LINESTRING (5.3189452970341184 60.38633413658872, 5.318711639900842 60.38634240183693, 5.3184074596364574 60.38641762736412)</t>
  </si>
  <si>
    <t>[2082141, 2082149]</t>
  </si>
  <si>
    <t>[1804869, 1762650]</t>
  </si>
  <si>
    <t>[1762785, 1804869]</t>
  </si>
  <si>
    <t>[0.454, 0.024]</t>
  </si>
  <si>
    <t>25.18111889303976</t>
  </si>
  <si>
    <t>[0.084, 0.009, -0.101, 0.282, -0.099, -0.103]</t>
  </si>
  <si>
    <t>LINESTRING (5.319373190267872 60.385479992696546, 5.319533842606153 60.38554153573325, 5.31910236846614 60.38641983998269, 5.318939026843754 60.386410563089996, 5.31885016617887 60.38640765814161, 5.3187418143427525 60.386403322288096, 5.3184074596364574 60.38641762736412)</t>
  </si>
  <si>
    <t>[2018547, 2054304, 2018555, 2018563, 2016638, 2016646]</t>
  </si>
  <si>
    <t>[1763820, 1763828, 1763829, 1762642, 1762643, 1762650]</t>
  </si>
  <si>
    <t>0.002313069054357977</t>
  </si>
  <si>
    <t>[1763819, 1763820, 1763828, 1763829, 1762642, 1762643]</t>
  </si>
  <si>
    <t>[0.084, 0.009, 0.101, 0.282, 0.099, 0.103]</t>
  </si>
  <si>
    <t>233.0837978821611</t>
  </si>
  <si>
    <t>[-0.018, -0.006, -0.006, -0.002, 0.009, 0.013, 0.014]</t>
  </si>
  <si>
    <t>LINESTRING (5.315670239143714 60.387518152865006, 5.313873077320258 60.38924523683707, 5.313638030216861 60.38946225469048, 5.313090056856595 60.39006514957889, 5.313066003973709 60.39012037019627, 5.313493736381696 60.39061944266361, 5.313824577048463 60.39089430327331, 5.3138942141997525 60.39094916820657)</t>
  </si>
  <si>
    <t>[2053683, 2053691, 2053699, 2053707, 2053715, 2053723, 2053731]</t>
  </si>
  <si>
    <t>[1786828, 1670794, 1786841, 1676373, 1786853, 1758317, 1762663]</t>
  </si>
  <si>
    <t>[1762655, 1786828, 1670794, 1786841, 1676373, 1786853, 1758317]</t>
  </si>
  <si>
    <t>[0.018, 0.006, 0.006, 0.002, 0.009, 0.013, 0.014]</t>
  </si>
  <si>
    <t>430.0143113259574</t>
  </si>
  <si>
    <t>[-0.556, -0.005, -0.12, -0.096, -0.096, -0.085, -0.077, -0.077]</t>
  </si>
  <si>
    <t>LINESTRING (5.325034004179755 60.3852197148318, 5.324945260034465 60.38525427044692, 5.320310705085635 60.38596600469858, 5.320297446203728 60.38596249878046, 5.320234365446515 60.38594211149116, 5.3198712548561735 60.38580483263789, 5.319567304373548 60.38562418029444, 5.3194348245787095 60.38552606299847, 5.319373190267872 60.385479992696546)</t>
  </si>
  <si>
    <t>[2081083, 2081091, 2081099, 2081115, 2081123, 2081131, 2081139, 2081147]</t>
  </si>
  <si>
    <t>[1804210, 1804215, 1804218, 1804225, 1804229, 1804233, 1804240, 1763819]</t>
  </si>
  <si>
    <t>[1762779, 1804210, 1804215, 1804218, 1804225, 1804229, 1804233, 1804240]</t>
  </si>
  <si>
    <t>[0.556, 0.005, 0.12, 0.096, 0.096, 0.085, 0.077, 0.077]</t>
  </si>
  <si>
    <t>369.19727472843897</t>
  </si>
  <si>
    <t>[0.022, 0.234]</t>
  </si>
  <si>
    <t>LINESTRING (5.3339445333778475 60.38335037662182, 5.325336610061613 60.38509953980912, 5.325034004179755 60.3852197148318)</t>
  </si>
  <si>
    <t>[2081067, 2081075]</t>
  </si>
  <si>
    <t>[1804203, 1762779]</t>
  </si>
  <si>
    <t>0.030148422925915984</t>
  </si>
  <si>
    <t>[1766377, 1804203]</t>
  </si>
  <si>
    <t>558.3823308754951</t>
  </si>
  <si>
    <t>[0.007, 0.124]</t>
  </si>
  <si>
    <t>LINESTRING (5.319373190267872 60.385479992696546, 5.31546280901116 60.38270454588258, 5.315098017765066 60.38243343447102)</t>
  </si>
  <si>
    <t>[2081155, 2081163]</t>
  </si>
  <si>
    <t>[1804246, 1763877]</t>
  </si>
  <si>
    <t>0.01727422766609885</t>
  </si>
  <si>
    <t>[1763819, 1804246]</t>
  </si>
  <si>
    <t>414.5798848719714</t>
  </si>
  <si>
    <t>[0.145, 0.005, 0.215, 0.25, 0.202, 0.251, -0.115, -0.189, -0.217, -0.239, -0.25, -0.221, -0.525, -0.234]</t>
  </si>
  <si>
    <t>LINESTRING (5.3095552698329 60.38088195992481, 5.30897237564433 60.38082166396983, 5.302215456884829 60.38081835419862, 5.293692168787616 60.381153971686, 5.293674139981294 60.3811546798703, 5.293187407657227 60.38117383040894, 5.293169378835282 60.38117453852391, 5.2743609562052205 60.381903077868174, 5.272139282066448 60.3818612114933, 5.272069198205659 60.381854910114846, 5.2720166225886445 60.38185018085547, 5.271874503510654 60.381836836908136, 5.271637858672324 60.38181388618625, 5.27163304147867 60.38181337698344, 5.271280229475183 60.38177051974603)</t>
  </si>
  <si>
    <t>[2081243, 2081251, 2081259, 2081267, 2081275, 2081283, 2081291, 2081299, 2081307, 2081315, 2081323, 2081331, 2081339, 2081347]</t>
  </si>
  <si>
    <t>[1804293, 1804297, 1804303, 1804307, 1804311, 1804315, 1804321, 1804325, 1804329, 1804334, 1804342, 1804348, 1804355, 1763910]</t>
  </si>
  <si>
    <t>[1763857, 1804293, 1804297, 1804303, 1804307, 1804311, 1804315, 1804321, 1804325, 1804329, 1804334, 1804342, 1804348, 1804355]</t>
  </si>
  <si>
    <t>[0.145, 0.005, 0.215, 0.25, 0.202, 0.251, 0.115, 0.189, 0.217, 0.239, 0.25, 0.221, 0.525, 0.234]</t>
  </si>
  <si>
    <t>2125.515469032723</t>
  </si>
  <si>
    <t>[0.125, 0.141, 0.15, 0.149, 0.205, 0.166, 0.167, 0.163]</t>
  </si>
  <si>
    <t>LINESTRING (5.315098017765066 60.38243343447102, 5.314801621385716 60.38226574268294, 5.31453795260843 60.382144451476115, 5.314190005745194 60.381979773947805, 5.314060359536386 60.381925276587246, 5.314043162521046 60.381918151889664, 5.313958143029842 60.38188259928847, 5.312245164821747 60.38135268755185, 5.3095552698329 60.38088195992481)</t>
  </si>
  <si>
    <t>[2081171, 2081179, 2081187, 2081195, 2081211, 2081219, 2081227, 2081235]</t>
  </si>
  <si>
    <t>[1804258, 1804262, 1804266, 1804269, 1804275, 1804279, 1804283, 1763857]</t>
  </si>
  <si>
    <t>0.1592506435336167</t>
  </si>
  <si>
    <t>[1763877, 1804258, 1804262, 1804266, 1804269, 1804275, 1804279, 1804283]</t>
  </si>
  <si>
    <t>358.46550403712934</t>
  </si>
  <si>
    <t>[-0.123, -0.106, -0.839, -0.124]</t>
  </si>
  <si>
    <t>LINESTRING (5.313620454811264 60.381480051451895, 5.314589580630422 60.382051456054704, 5.314879869599295 60.382239088571346, 5.315038781902332 60.38235671953382, 5.315098017765066 60.38243343447102)</t>
  </si>
  <si>
    <t>[2054488, 2054496, 2054504, 2018617]</t>
  </si>
  <si>
    <t>[1787344, 1787353, 1763876, 1763877]</t>
  </si>
  <si>
    <t>[1783321, 1787344, 1787353, 1763876]</t>
  </si>
  <si>
    <t>[0.123, 0.106, 0.839, 0.124]</t>
  </si>
  <si>
    <t>131.10542476448393</t>
  </si>
  <si>
    <t>[-0.236, -0.058, -0.059, -0.103, -0.073, -0.051, 0.028, 0.06, 0.055, 0.059]</t>
  </si>
  <si>
    <t>LINESTRING (5.271280229475183 60.38177051974603, 5.270889815287361 60.381710774940345, 5.269240156542961 60.38123280172144, 5.269005406479559 60.38111838400819, 5.268992930122864 60.381111755071544, 5.268654152676488 60.38092142360291, 5.267643820743339 60.38026554185007, 5.265099283381742 60.3795940805967, 5.265008151189755 60.37958481885899, 5.264799330532323 60.37956795284046, 5.26467743805681 60.37955804792438)</t>
  </si>
  <si>
    <t>[2081355, 2081363, 2081371, 2081379, 2081387, 2081395, 2081403, 2081411, 2081419, 2081427]</t>
  </si>
  <si>
    <t>[1804366, 1804370, 1804377, 1804381, 1804387, 1804390, 1804397, 1804403, 1804410, 1763918]</t>
  </si>
  <si>
    <t>[1763910, 1804366, 1804370, 1804377, 1804381, 1804387, 1804390, 1804397, 1804403, 1804410]</t>
  </si>
  <si>
    <t>[0.236, 0.058, 0.059, 0.103, 0.073, 0.051, 0.028, 0.06, 0.055, 0.059]</t>
  </si>
  <si>
    <t>454.10291477526584</t>
  </si>
  <si>
    <t>[0.038, -0.037, 0.0, -0.108, -0.08, 0.016, 0.043, 0.143, 0.042, 0.056]</t>
  </si>
  <si>
    <t>LINESTRING (5.26467743805681 60.37955804792438, 5.257653879667554 60.37702697635564, 5.257121508460772 60.37668494386612, 5.257115524468355 60.376680792637124, 5.2571111237057515 60.37667775350932, 5.257059233077221 60.376641813205595, 5.255325586210722 60.375357175063336, 5.255207431434652 60.37526269979334, 5.255203444515011 60.37525950120067, 5.25271427267668 60.37302276126691, 5.252097235470788 60.3712256598282)</t>
  </si>
  <si>
    <t>[2081435, 2081443, 2081451, 2081459, 2081467, 2081475, 2081483, 2081491, 2081499, 2081507]</t>
  </si>
  <si>
    <t>[1804420, 1804427, 1804436, 1804442, 1804447, 1804453, 1804459, 1804463, 1804469, 1798465]</t>
  </si>
  <si>
    <t>0.035471030158371365</t>
  </si>
  <si>
    <t>[1763918, 1804420, 1804427, 1804436, 1804442, 1804447, 1804453, 1804459, 1804463, 1804469]</t>
  </si>
  <si>
    <t>[0.038, 0.037, 0.0, 0.108, 0.08, 0.016, 0.043, 0.143, 0.042, 0.056]</t>
  </si>
  <si>
    <t>1236.040863724066</t>
  </si>
  <si>
    <t>[0.015, 0.091, 0.053, 0.054, 0.026]</t>
  </si>
  <si>
    <t>LINESTRING (5.229194509755091 60.37017790403203, 5.227265719952032 60.36965703032273, 5.2258845123656545 60.36928714794391, 5.225867967403439 60.36928308037481, 5.221878452593104 60.368938134669186, 5.221159432585073 60.369014794621464)</t>
  </si>
  <si>
    <t>[2081660, 2081668, 2081676, 2081684, 2081692]</t>
  </si>
  <si>
    <t>[1804582, 1804588, 1804594, 1804599, 1763954]</t>
  </si>
  <si>
    <t>0.048422577130706954</t>
  </si>
  <si>
    <t>[1763940, 1804582, 1804588, 1804594, 1804599]</t>
  </si>
  <si>
    <t>478.27422380849265</t>
  </si>
  <si>
    <t>[-0.11, -0.001, 0.037, 0.162, 0.13, 0.0, 0.133, 0.351, 0.292, -0.047, 0.054, 0.0, 0.062, 0.052, 0.131, 0.041, 0.03, 0.021]</t>
  </si>
  <si>
    <t>LINESTRING (5.252097235470788 60.3712256598282, 5.252275641182195 60.36883540422364, 5.252073045957323 60.36803251656707, 5.25065793056617 60.36693578919726, 5.250448451560626 60.366850275336404, 5.249044744562055 60.36648053608718, 5.249038104263749 60.36647935731164, 5.248662426098701 60.366425049122554, 5.248550833111506 60.366414413924566, 5.246834644068888 60.366381181386664, 5.231942709732642 60.37065016936704, 5.231911696784331 60.370650024250416, 5.231906880549021 60.37065000206793, 5.231888967294686 60.3706499139905, 5.2318571440352475 60.37064846036847, 5.23185301737554 60.37064827216508, 5.231003708931338 60.37057946816709, 5.2304006626295045 60.370479905008864, 5.229194509755091 60.37017790403203)</t>
  </si>
  <si>
    <t>[2081515, 2081523, 2081531, 2081539, 2081547, 2081555, 2081563, 2081571, 2081580, 2081588, 2081596, 2081604, 2081612, 2081620, 2081628, 2081636, 2081644, 2081652]</t>
  </si>
  <si>
    <t>[1804479, 1804483, 1804488, 1804495, 1804501, 1804508, 1804515, 1804522, 1763936, 1804531, 1804537, 1804543, 1804548, 1804554, 1804560, 1804564, 1804571, 1763940]</t>
  </si>
  <si>
    <t>[1798465, 1804479, 1804483, 1804488, 1804495, 1804501, 1804508, 1804515, 1804522, 1763936, 1804531, 1804537, 1804543, 1804548, 1804554, 1804560, 1804564, 1804571]</t>
  </si>
  <si>
    <t>[0.11, 0.001, 0.037, 0.162, 0.13, 0.0, 0.133, 0.351, 0.292, 0.047, 0.054, 0.0, 0.062, 0.052, 0.131, 0.041, 0.03, 0.021]</t>
  </si>
  <si>
    <t>1882.8826883919905</t>
  </si>
  <si>
    <t>[-0.142, -0.027]</t>
  </si>
  <si>
    <t>LINESTRING (5.221159432585073 60.369014794621464, 5.2182903440953545 60.36977027917999, 5.21798754457638 60.369873197230504)</t>
  </si>
  <si>
    <t>[2081700, 2081708]</t>
  </si>
  <si>
    <t>[1804607, 1763967]</t>
  </si>
  <si>
    <t>[1763954, 1804607]</t>
  </si>
  <si>
    <t>[0.142, 0.027]</t>
  </si>
  <si>
    <t>201.09676029527898</t>
  </si>
  <si>
    <t>[-0.066, -0.07, -0.061, -0.06, -0.04]</t>
  </si>
  <si>
    <t>LINESTRING (13.411451260878815 65.46385211970225, 13.410265134246925 65.46515246367203, 13.410154853856808 65.4652564513277, 13.409708678772837 65.46565949666638, 13.409628378747204 65.46572903154099, 13.407711981060054 65.46719686957779)</t>
  </si>
  <si>
    <t>[2019886, 2019894, 2019902, 2019910, 2019918]</t>
  </si>
  <si>
    <t>[1764736, 1764743, 1764752, 1764758, 1764767]</t>
  </si>
  <si>
    <t>[1764735, 1764736, 1764743, 1764752, 1764758]</t>
  </si>
  <si>
    <t>[0.066, 0.07, 0.061, 0.06, 0.04]</t>
  </si>
  <si>
    <t>412.405247314332</t>
  </si>
  <si>
    <t>[-0.072, -0.061, -0.077, -0.058, -0.034]</t>
  </si>
  <si>
    <t>LINESTRING (13.411451260878815 65.46385211970225, 13.410000568743282 65.46522410307624, 13.409546122190067 65.4656310816967, 13.409522919023752 65.4656512729788, 13.40942207167329 65.46573991407868, 13.407711981060054 65.46719686957779)</t>
  </si>
  <si>
    <t>[2019926, 2019934, 2019942, 2019950, 2019958]</t>
  </si>
  <si>
    <t>[1764772, 1764777, 1764782, 1764786, 1764767]</t>
  </si>
  <si>
    <t>[1764735, 1764772, 1764777, 1764782, 1764786]</t>
  </si>
  <si>
    <t>[0.072, 0.061, 0.077, 0.058, 0.034]</t>
  </si>
  <si>
    <t>411.4460320736139</t>
  </si>
  <si>
    <t>[0.048, 0.04]</t>
  </si>
  <si>
    <t>LINESTRING (10.391800588030277 63.39792999129686, 10.39197392875969 63.39801688251013, 10.392031998199373 63.39805985343173)</t>
  </si>
  <si>
    <t>[2020334, 2020342]</t>
  </si>
  <si>
    <t>[1765033, 1765038]</t>
  </si>
  <si>
    <t>0.04561542686442126</t>
  </si>
  <si>
    <t>[1765032, 1765033]</t>
  </si>
  <si>
    <t>18.794168180511647</t>
  </si>
  <si>
    <t>[0.003, -0.005]</t>
  </si>
  <si>
    <t>LINESTRING (10.391800588030277 63.39792999129686, 10.391775105715682 63.398031139628195, 10.391764213933406 63.398073950323344)</t>
  </si>
  <si>
    <t>[2020350, 2020358]</t>
  </si>
  <si>
    <t>[1765044, 1765050]</t>
  </si>
  <si>
    <t>0.0006207422112301929</t>
  </si>
  <si>
    <t>[1765032, 1765044]</t>
  </si>
  <si>
    <t>16.15349083155582</t>
  </si>
  <si>
    <t>23.052531313703163</t>
  </si>
  <si>
    <t>[0.056, 0.064]</t>
  </si>
  <si>
    <t>LINESTRING (10.391764213933406 63.398073950323344, 10.391893024804329 63.39804735949946, 10.392031998199373 63.39805985343173)</t>
  </si>
  <si>
    <t>[2020422, 2020430]</t>
  </si>
  <si>
    <t>[1765094, 1765038]</t>
  </si>
  <si>
    <t>0.05999905447701361</t>
  </si>
  <si>
    <t>[1765050, 1765094]</t>
  </si>
  <si>
    <t>14.175577193524155</t>
  </si>
  <si>
    <t>[0.0, -0.033, 0.003, 0.007, -0.001]</t>
  </si>
  <si>
    <t>LINESTRING (5.331574761363387 60.47436044016786, 5.331574761363387 60.47436044016786, 5.332492422788587 60.47444921527759, 5.332075051385672 60.47368315633532, 5.330848029165646 60.472488650411314, 5.330603220127813 60.47219670799811)</t>
  </si>
  <si>
    <t>[2043375, 2043383, 2043391, 2043399, 2043126]</t>
  </si>
  <si>
    <t>[1780782, 1780789, 1780794, 1780611, 1765453]</t>
  </si>
  <si>
    <t>[1780781, 1780782, 1780789, 1780794, 1780611]</t>
  </si>
  <si>
    <t>[0.0, 0.033, 0.003, 0.007, 0.001]</t>
  </si>
  <si>
    <t>345.54999145958556</t>
  </si>
  <si>
    <t>[-0.178, -0.197]</t>
  </si>
  <si>
    <t>LINESTRING (10.899315633947868 63.54661649527808, 10.899261842595289 63.54666403229779, 10.899135943234025 63.54669314562972)</t>
  </si>
  <si>
    <t>[2028304, 2028312]</t>
  </si>
  <si>
    <t>[1770644, 1770608]</t>
  </si>
  <si>
    <t>[1770592, 1770644]</t>
  </si>
  <si>
    <t>[0.178, 0.197]</t>
  </si>
  <si>
    <t>12.988406112331852</t>
  </si>
  <si>
    <t>[0.108, -0.078]</t>
  </si>
  <si>
    <t>LINESTRING (10.899078617052501 63.54650058868478, 10.899262631887117 63.54653111514172, 10.899315633947868 63.54661649527808)</t>
  </si>
  <si>
    <t>[2028296, 2028301]</t>
  </si>
  <si>
    <t>[1770638, 1770592]</t>
  </si>
  <si>
    <t>0.014344371611035564</t>
  </si>
  <si>
    <t>[1770623, 1770638]</t>
  </si>
  <si>
    <t>[0.108, 0.078]</t>
  </si>
  <si>
    <t>20.21325031698397</t>
  </si>
  <si>
    <t>21.776660584477057</t>
  </si>
  <si>
    <t>[0.198, 0.202]</t>
  </si>
  <si>
    <t>LINESTRING (10.898895035668016 63.5465678691843, 10.898975852620177 63.54651876913428, 10.899078617052501 63.54650058868478)</t>
  </si>
  <si>
    <t>[2028331, 2028339]</t>
  </si>
  <si>
    <t>[1770666, 1770623]</t>
  </si>
  <si>
    <t>0.19978953205772607</t>
  </si>
  <si>
    <t>[1770637, 1770666]</t>
  </si>
  <si>
    <t>12.288310260503899</t>
  </si>
  <si>
    <t>[0.029, 0.024, -0.02, -0.02, -0.013]</t>
  </si>
  <si>
    <t>LINESTRING (5.8788060982488535 61.44826393761949, 5.877873923462184 61.44839599823911, 5.8776383906936776 61.44841598490076, 5.875994033168253 61.44853268949729, 5.874580527849088 61.44862858922675, 5.873434274257529 61.44865774904746)</t>
  </si>
  <si>
    <t>[2030146, 2030154, 2030162, 2030175, 2030193]</t>
  </si>
  <si>
    <t>[1771995, 1772002, 1772007, 1772019, 1772035]</t>
  </si>
  <si>
    <t>[1771994, 1771995, 1772002, 1772007, 1772019]</t>
  </si>
  <si>
    <t>[0.029, 0.024, 0.02, 0.02, 0.013]</t>
  </si>
  <si>
    <t>291.90035517886685</t>
  </si>
  <si>
    <t>[0.042, -0.021, -0.02, -0.027, -0.01, -0.022]</t>
  </si>
  <si>
    <t>LINESTRING (5.8788060982488535 61.44826393761949, 5.877715231982397 61.448334659619675, 5.875972207234735 61.44845808129757, 5.874639467606696 61.44855292668994, 5.874561061064046 61.44855822610255, 5.874482231454587 61.44856355113708, 5.873434274257529 61.44865774904746)</t>
  </si>
  <si>
    <t>[2030205, 2030213, 2030221, 2030240, 2030249, 2030270]</t>
  </si>
  <si>
    <t>[1772040, 1772045, 1772049, 1772059, 1772066, 1772035]</t>
  </si>
  <si>
    <t>[1771994, 1772040, 1772045, 1772049, 1772059, 1772066]</t>
  </si>
  <si>
    <t>[0.042, 0.021, 0.02, 0.027, 0.01, 0.022]</t>
  </si>
  <si>
    <t>291.1595045419549</t>
  </si>
  <si>
    <t>11.653111626980618</t>
  </si>
  <si>
    <t>[-0.023, -0.037, -0.016, -0.004, -0.003, -0.0, 0.003]</t>
  </si>
  <si>
    <t>LINESTRING (5.333600571429378 60.473768035414516, 5.333691986415549 60.473705009615514, 5.333809358780813 60.473681864912464, 5.333963581121356 60.47369644021856, 5.334055327611041 60.47373936137707, 5.334089718801563 60.47378319723121, 5.3340683501154835 60.473859986156434, 5.333959124824814 60.47391568492936)</t>
  </si>
  <si>
    <t>[2043260, 2043271, 2043279, 2043287, 2043295, 2043303, 2043311]</t>
  </si>
  <si>
    <t>[1780695, 1780707, 1780711, 1780718, 1780725, 1780729, 1780661]</t>
  </si>
  <si>
    <t>[1780694, 1780695, 1780707, 1780711, 1780718, 1780725, 1780729]</t>
  </si>
  <si>
    <t>[0.023, 0.037, 0.016, 0.004, 0.003, 0.0, 0.003]</t>
  </si>
  <si>
    <t>53.85148481011586</t>
  </si>
  <si>
    <t>3.5140325837050685</t>
  </si>
  <si>
    <t>[0.026, -0.001]</t>
  </si>
  <si>
    <t>LINESTRING (5.3336965754441605 60.47390754877893, 5.333602311743393 60.47384554712447, 5.333600571429378 60.473768035414516)</t>
  </si>
  <si>
    <t>[2043335, 2043343]</t>
  </si>
  <si>
    <t>[1780751, 1780694]</t>
  </si>
  <si>
    <t>0.012500306407030648</t>
  </si>
  <si>
    <t>[1780744, 1780751]</t>
  </si>
  <si>
    <t>[0.026, 0.001]</t>
  </si>
  <si>
    <t>17.326818168362244</t>
  </si>
  <si>
    <t>[0.0, -0.041, -0.041, -0.037, -0.037]</t>
  </si>
  <si>
    <t>LINESTRING (5.331655092627586 60.47408568947731, 5.331655092627586 60.47408568947731, 5.331773439730984 60.474074747843865, 5.333090443924505 60.47388865683129, 5.333420149390984 60.473804649098334, 5.333600571429378 60.473768035414516)</t>
  </si>
  <si>
    <t>[2043463, 2043471, 2043479, 2043487, 2043495]</t>
  </si>
  <si>
    <t>[1780852, 1780860, 1780862, 1780867, 1780694]</t>
  </si>
  <si>
    <t>[1780851, 1780852, 1780860, 1780862, 1780867]</t>
  </si>
  <si>
    <t>[0.0, 0.041, 0.041, 0.037, 0.037]</t>
  </si>
  <si>
    <t>122.21995712236739</t>
  </si>
  <si>
    <t>[0.0, -0.044, -0.041, -0.04, -0.041]</t>
  </si>
  <si>
    <t>LINESTRING (5.331730246861055 60.47421900242777, 5.331730246861055 60.47421900242777, 5.331855404761337 60.474190386582485, 5.33309754866487 60.47396373889476, 5.333462254760616 60.473930631069564, 5.3336965754441605 60.47390754877893)</t>
  </si>
  <si>
    <t>[2043344, 2043351, 2043359, 2043367, 2043368]</t>
  </si>
  <si>
    <t>[1780757, 1780764, 1780768, 1780776, 1780744]</t>
  </si>
  <si>
    <t>[1780756, 1780757, 1780764, 1780768, 1780776]</t>
  </si>
  <si>
    <t>[0.0, 0.044, 0.041, 0.04, 0.041]</t>
  </si>
  <si>
    <t>123.37100405768655</t>
  </si>
  <si>
    <t>[0.0, 0.129]</t>
  </si>
  <si>
    <t>LINESTRING (5.313620454811264 60.381480051451895, 5.313620454811264 60.381480051451895, 5.313559268844321 60.38143485184065)</t>
  </si>
  <si>
    <t>[2047896, 2047904]</t>
  </si>
  <si>
    <t>[1783322, 1749295]</t>
  </si>
  <si>
    <t>0.07855370331926209</t>
  </si>
  <si>
    <t>[1783321, 1783322]</t>
  </si>
  <si>
    <t>9.986086932885442</t>
  </si>
  <si>
    <t>[-0.0, -0.014]</t>
  </si>
  <si>
    <t>LINESTRING (10.912007454868718 63.466839069187756, 10.912007851950955 63.466931176230716, 10.911907896153158 63.46702090725677)</t>
  </si>
  <si>
    <t>[2051423, 2051434]</t>
  </si>
  <si>
    <t>[1785508, 1785515]</t>
  </si>
  <si>
    <t>[1785504, 1785508]</t>
  </si>
  <si>
    <t>[0.0, 0.014]</t>
  </si>
  <si>
    <t>21.4445914264703</t>
  </si>
  <si>
    <t>[0.027, 0.031]</t>
  </si>
  <si>
    <t>LINESTRING (10.912007454868718 63.466839069187756, 10.912163125483765 63.46687251844224, 10.913515274945075 63.46691307314902)</t>
  </si>
  <si>
    <t>[2135012, 2135020]</t>
  </si>
  <si>
    <t>[1835723, 1835660]</t>
  </si>
  <si>
    <t>0.030549332929681827</t>
  </si>
  <si>
    <t>[1785504, 1835723]</t>
  </si>
  <si>
    <t>76.43819145132909</t>
  </si>
  <si>
    <t>[0.03, 0.031]</t>
  </si>
  <si>
    <t>LINESTRING (10.911907896153158 63.46702090725677, 10.912075680695665 63.46699337487556, 10.91350951659401 63.46698922937055)</t>
  </si>
  <si>
    <t>[2134980, 2134988]</t>
  </si>
  <si>
    <t>[1835701, 1835632]</t>
  </si>
  <si>
    <t>0.030889264425191253</t>
  </si>
  <si>
    <t>[1785515, 1835701]</t>
  </si>
  <si>
    <t>80.48121480682383</t>
  </si>
  <si>
    <t>37.431101044482865</t>
  </si>
  <si>
    <t>[0.182, 0.154]</t>
  </si>
  <si>
    <t>LINESTRING (6.400769076856564 60.627269461410314, 6.400689409681125 60.627306029538424, 6.40058882056507 60.6273267021549)</t>
  </si>
  <si>
    <t>[2057729, 2057737]</t>
  </si>
  <si>
    <t>[1789506, 1789466]</t>
  </si>
  <si>
    <t>0.1679995501118739</t>
  </si>
  <si>
    <t>[1789500, 1789506]</t>
  </si>
  <si>
    <t>11.96439717924789</t>
  </si>
  <si>
    <t>[0.021, -2.899]</t>
  </si>
  <si>
    <t>LINESTRING (6.400893407989787 60.62749815314325, 6.400633229162653 60.62736421358647, 6.40058882056507 60.6273267021549)</t>
  </si>
  <si>
    <t>[2112894, 2112902]</t>
  </si>
  <si>
    <t>[1822982, 1789466]</t>
  </si>
  <si>
    <t>[1822981, 1822982]</t>
  </si>
  <si>
    <t>[0.021, 2.899]</t>
  </si>
  <si>
    <t>27.092803203196027</t>
  </si>
  <si>
    <t>[-0.169, -0.127]</t>
  </si>
  <si>
    <t>LINESTRING (6.400238521898929 60.62711390628399, 6.400328306991153 60.627058123973356, 6.400459675655996 60.62702824523155)</t>
  </si>
  <si>
    <t>[2057681, 2057689]</t>
  </si>
  <si>
    <t>[1789474, 1789479]</t>
  </si>
  <si>
    <t>[1789467, 1789474]</t>
  </si>
  <si>
    <t>[0.169, 0.127]</t>
  </si>
  <si>
    <t>15.884829229171032</t>
  </si>
  <si>
    <t>[2.668, -0.036]</t>
  </si>
  <si>
    <t>LINESTRING (6.400238521898929 60.62711390628399, 6.400173714365677 60.62706718929776, 6.400091707950826 60.626943005364645)</t>
  </si>
  <si>
    <t>[2112950, 2112958]</t>
  </si>
  <si>
    <t>[1823008, 1823013]</t>
  </si>
  <si>
    <t>0.7318347468628489</t>
  </si>
  <si>
    <t>[1789467, 1823008]</t>
  </si>
  <si>
    <t>[2.668, 0.036]</t>
  </si>
  <si>
    <t>22.234633666371963</t>
  </si>
  <si>
    <t>10.065697094590227</t>
  </si>
  <si>
    <t>[2.908, 0.056]</t>
  </si>
  <si>
    <t>LINESTRING (6.400459675655996 60.62702824523155, 6.400369450154863 60.6269967175705, 6.400091707950826 60.626943005364645)</t>
  </si>
  <si>
    <t>[2112966, 2112974]</t>
  </si>
  <si>
    <t>[1823017, 1823013]</t>
  </si>
  <si>
    <t>0.8060611069217196</t>
  </si>
  <si>
    <t>[1789479, 1823017]</t>
  </si>
  <si>
    <t>23.098734301948735</t>
  </si>
  <si>
    <t>[0.034, 0.107]</t>
  </si>
  <si>
    <t>LINESTRING (6.400642066055008 60.627037949735694, 6.400777967512242 60.62709225879587, 6.400825050251696 60.6271489277424)</t>
  </si>
  <si>
    <t>[2057705, 2057713]</t>
  </si>
  <si>
    <t>[1789490, 1789494]</t>
  </si>
  <si>
    <t>0.06433936623007752</t>
  </si>
  <si>
    <t>[1789485, 1789490]</t>
  </si>
  <si>
    <t>16.447429823038604</t>
  </si>
  <si>
    <t>[0.083, -2.153]</t>
  </si>
  <si>
    <t>LINESTRING (6.401297832166051 60.627031481003726, 6.400773766071054 60.62701910168514, 6.400642066055008 60.627037949735694)</t>
  </si>
  <si>
    <t>[2113022, 2113030]</t>
  </si>
  <si>
    <t>[1823053, 1789485]</t>
  </si>
  <si>
    <t>[1822960, 1823053]</t>
  </si>
  <si>
    <t>[0.083, 2.153]</t>
  </si>
  <si>
    <t>39.00634496491374</t>
  </si>
  <si>
    <t>0.153</t>
  </si>
  <si>
    <t>14.117024685768223</t>
  </si>
  <si>
    <t>[0.106, -2.516]</t>
  </si>
  <si>
    <t>LINESTRING (6.401297832166051 60.627031481003726, 6.400905420477436 60.62711282052905, 6.400825050251696 60.6271489277424)</t>
  </si>
  <si>
    <t>[2113006, 2113014]</t>
  </si>
  <si>
    <t>[1823044, 1789494]</t>
  </si>
  <si>
    <t>[1822960, 1823044]</t>
  </si>
  <si>
    <t>[0.106, 2.516]</t>
  </si>
  <si>
    <t>29.602390207069707</t>
  </si>
  <si>
    <t>[-0.034, -2.458]</t>
  </si>
  <si>
    <t>LINESTRING (6.400893407989787 60.62749815314325, 6.400812907228387 60.62731892931781, 6.400769076856564 60.627269461410314)</t>
  </si>
  <si>
    <t>[2112934, 2112942]</t>
  </si>
  <si>
    <t>[1823000, 1789500]</t>
  </si>
  <si>
    <t>[1822981, 1823000]</t>
  </si>
  <si>
    <t>[0.034, 2.458]</t>
  </si>
  <si>
    <t>28.390568547302095</t>
  </si>
  <si>
    <t>[0.352, -0.022, -0.041, -0.032, -0.036, -0.051, -0.05]</t>
  </si>
  <si>
    <t>LINESTRING (5.415145749562309 59.5631719227496, 5.415083041051579 59.56306711158102, 5.415162944621162 59.56135590284925, 5.415157205856533 59.56132025968166, 5.415142857712395 59.5612311561904, 5.415319326168158 59.56124982811362, 5.4165696552942055 59.56067245359111, 5.416862484742675 59.560604343579364)</t>
  </si>
  <si>
    <t>[2085362, 2085376, 2085377, 2085378, 2085381, 2085382, 2085383]</t>
  </si>
  <si>
    <t>[1806797, 1806809, 1806810, 1764646, 1806812, 1806813, 1790694]</t>
  </si>
  <si>
    <t>[1790721, 1806797, 1806809, 1806810, 1764646, 1806812, 1806813]</t>
  </si>
  <si>
    <t>[0.352, 0.022, 0.041, 0.032, 0.036, 0.051, 0.05]</t>
  </si>
  <si>
    <t>347.0230131884737</t>
  </si>
  <si>
    <t>[0.02, 0.009, 0.0, -0.014]</t>
  </si>
  <si>
    <t>LINESTRING (6.435920880501812 60.65939901651882, 6.435758330447325 60.65933047249922, 6.435722233907706 60.65927486250574, 6.4357222846487865 60.65924027618096, 6.435866094589405 60.659129155847126)</t>
  </si>
  <si>
    <t>[2061084, 2061092, 2061100, 2061108]</t>
  </si>
  <si>
    <t>[1791788, 1791795, 1791801, 1791807]</t>
  </si>
  <si>
    <t>0.0023040078877973333</t>
  </si>
  <si>
    <t>[1791787, 1791788, 1791795, 1791801]</t>
  </si>
  <si>
    <t>[0.02, 0.009, 0.0, 0.014]</t>
  </si>
  <si>
    <t>37.393298591414144</t>
  </si>
  <si>
    <t>LINESTRING (6.436152119979173 60.65939513018811, 6.436043218826731 60.65940807280717, 6.435920880501812 60.65939901651882)</t>
  </si>
  <si>
    <t>[2061164, 2061172]</t>
  </si>
  <si>
    <t>[1791845, 1791787]</t>
  </si>
  <si>
    <t>[1791839, 1791845]</t>
  </si>
  <si>
    <t>12.922662972792615</t>
  </si>
  <si>
    <t>LINESTRING (6.436055698878039 60.65970401722039, 6.435926348117679 60.659432992042944, 6.435920880501812 60.65939901651882)</t>
  </si>
  <si>
    <t>[2061404, 2061412]</t>
  </si>
  <si>
    <t>[1792007, 1791787]</t>
  </si>
  <si>
    <t>[1791946, 1792007]</t>
  </si>
  <si>
    <t>34.89263461612827</t>
  </si>
  <si>
    <t>[-0.024, -0.026]</t>
  </si>
  <si>
    <t>LINESTRING (6.435866094589405 60.659129155847126, 6.43598971781983 60.659107950112556, 6.436113328309654 60.65911293398849)</t>
  </si>
  <si>
    <t>[2061116, 2061124]</t>
  </si>
  <si>
    <t>[1791812, 1791818]</t>
  </si>
  <si>
    <t>[1791807, 1791812]</t>
  </si>
  <si>
    <t>[0.024, 0.026]</t>
  </si>
  <si>
    <t>13.975827453181315</t>
  </si>
  <si>
    <t>LINESTRING (6.435866094589405 60.659129155847126, 6.43587349244757 60.65908581300221, 6.4359562715123815 60.658940614102924)</t>
  </si>
  <si>
    <t>[2061452, 2061460]</t>
  </si>
  <si>
    <t>[1792047, 1791967]</t>
  </si>
  <si>
    <t>[1791807, 1792047]</t>
  </si>
  <si>
    <t>22.708976242143784</t>
  </si>
  <si>
    <t>[-0.019, -0.003, 0.003, 0.017]</t>
  </si>
  <si>
    <t>LINESTRING (6.436113328309654 60.65911293398849, 6.436319333378959 60.65921164188063, 6.436333925309244 60.659253403105716, 6.436323903010877 60.65929637817937, 6.436152119979173 60.65939513018811)</t>
  </si>
  <si>
    <t>[2061132, 2061140, 2061148, 2061156]</t>
  </si>
  <si>
    <t>[1791823, 1791827, 1791832, 1791839]</t>
  </si>
  <si>
    <t>[1791818, 1791823, 1791827, 1791832]</t>
  </si>
  <si>
    <t>[0.019, 0.003, 0.003, 0.017]</t>
  </si>
  <si>
    <t>40.689568484729556</t>
  </si>
  <si>
    <t>LINESTRING (6.436113328309654 60.65911293398849, 6.436104826051312 60.65907606262572, 6.4359562715123815 60.658940614102924)</t>
  </si>
  <si>
    <t>[2061436, 2061444]</t>
  </si>
  <si>
    <t>[1792034, 1791967]</t>
  </si>
  <si>
    <t>0.009704075380089832</t>
  </si>
  <si>
    <t>[1791818, 1792034]</t>
  </si>
  <si>
    <t>22.383856354997327</t>
  </si>
  <si>
    <t>LINESTRING (6.436055698878039 60.65970401722039, 6.436130623774567 60.65944116815887, 6.436152119979173 60.65939513018811)</t>
  </si>
  <si>
    <t>[2061420, 2061428]</t>
  </si>
  <si>
    <t>[1792019, 1791839]</t>
  </si>
  <si>
    <t>[1791946, 1792019]</t>
  </si>
  <si>
    <t>35.02570770001454</t>
  </si>
  <si>
    <t>LINESTRING (6.4359562715123815 60.658940614102924, 6.43575359619933 60.65827017264721, 6.435327049635519 60.65607167155578)</t>
  </si>
  <si>
    <t>[2061356, 2061364]</t>
  </si>
  <si>
    <t>[1791968, 1791972]</t>
  </si>
  <si>
    <t>0.0024061681507125676</t>
  </si>
  <si>
    <t>[1791967, 1791968]</t>
  </si>
  <si>
    <t>322.9736663468754</t>
  </si>
  <si>
    <t>LINESTRING (6.435327049635519 60.65607167155578, 6.435248746727341 60.65590937403382, 6.435240416569352 60.65586794384497)</t>
  </si>
  <si>
    <t>[2068293, 2068301]</t>
  </si>
  <si>
    <t>[1796334, 1796340]</t>
  </si>
  <si>
    <t>0.013026813533807254</t>
  </si>
  <si>
    <t>[1791972, 1796334]</t>
  </si>
  <si>
    <t>23.562296628116464</t>
  </si>
  <si>
    <t>LINESTRING (6.435327049635519 60.65607167155578, 6.4354451639602335 60.65591609753045, 6.435474006264754 60.65587306187617)</t>
  </si>
  <si>
    <t>[2068309, 2068317]</t>
  </si>
  <si>
    <t>[1796346, 1796351]</t>
  </si>
  <si>
    <t>[1791972, 1796346]</t>
  </si>
  <si>
    <t>23.82669821023243</t>
  </si>
  <si>
    <t>[0.134, 0.027, -0.049, -0.14]</t>
  </si>
  <si>
    <t>LINESTRING (6.435240416569352 60.65586794384497, 6.435082380925518 60.65578740662, 6.435059225633513 60.655723328042605, 6.435091112683062 60.65566189336941, 6.435249613626372 60.65558865882039)</t>
  </si>
  <si>
    <t>[2068573, 2068581, 2068589, 2068597]</t>
  </si>
  <si>
    <t>[1796355, 1796520, 1796371, 1796527]</t>
  </si>
  <si>
    <t>[1796340, 1796355, 1796520, 1796371]</t>
  </si>
  <si>
    <t>[0.134, 0.027, 0.049, 0.14]</t>
  </si>
  <si>
    <t>39.18398983530037</t>
  </si>
  <si>
    <t>[1.693, -1.795]</t>
  </si>
  <si>
    <t>LINESTRING (6.435474006264754 60.65587306187617, 6.435349921388104 60.655881593114856, 6.435240416569352 60.65586794384497)</t>
  </si>
  <si>
    <t>[2068653, 2068661]</t>
  </si>
  <si>
    <t>[1796567, 1796340]</t>
  </si>
  <si>
    <t>0.039142267323400225</t>
  </si>
  <si>
    <t>[1796351, 1796567]</t>
  </si>
  <si>
    <t>[1.693, 1.795]</t>
  </si>
  <si>
    <t>13.061455833763521</t>
  </si>
  <si>
    <t>[-0.07, -0.011, 0.03, -0.67]</t>
  </si>
  <si>
    <t>LINESTRING (6.43549657832193 60.655589852246074, 6.435673430489823 60.65569634700131, 6.435678478633905 60.65574833086995, 6.435658634556676 60.65578606704676, 6.435474006264754 60.65587306187617)</t>
  </si>
  <si>
    <t>[2068621, 2068629, 2068637, 2068645]</t>
  </si>
  <si>
    <t>[1796545, 1796550, 1796555, 1796351]</t>
  </si>
  <si>
    <t>[1796539, 1796545, 1796550, 1796555]</t>
  </si>
  <si>
    <t>[0.07, 0.011, 0.03, 0.67]</t>
  </si>
  <si>
    <t>40.286472204750375</t>
  </si>
  <si>
    <t>[1.217, -0.121]</t>
  </si>
  <si>
    <t>LINESTRING (6.435249613626372 60.65558865882039, 6.435411263989003 60.65557794250332, 6.43549657832193 60.655589852246074)</t>
  </si>
  <si>
    <t>[2068605, 2068613]</t>
  </si>
  <si>
    <t>[1796533, 1796539]</t>
  </si>
  <si>
    <t>0.7457134220899664</t>
  </si>
  <si>
    <t>[1796527, 1796533]</t>
  </si>
  <si>
    <t>[1.217, 0.121]</t>
  </si>
  <si>
    <t>13.803735064631542</t>
  </si>
  <si>
    <t>[1.848, -0.051]</t>
  </si>
  <si>
    <t>LINESTRING (6.435249613626372 60.65558865882039, 6.435301325032684 60.65553847208602, 6.435453772089492 60.65540249566666)</t>
  </si>
  <si>
    <t>[2069214, 2069222]</t>
  </si>
  <si>
    <t>[1796910, 1796826]</t>
  </si>
  <si>
    <t>0.4255682507048078</t>
  </si>
  <si>
    <t>[1796527, 1796910]</t>
  </si>
  <si>
    <t>[1.848, 0.051]</t>
  </si>
  <si>
    <t>25.027216883370908</t>
  </si>
  <si>
    <t>[-0.016, 0.024]</t>
  </si>
  <si>
    <t>LINESTRING (6.43549657832193 60.655589852246074, 6.43551361797556 60.65555434671491, 6.435453772089492 60.65540249566666)</t>
  </si>
  <si>
    <t>[2069198, 2069206]</t>
  </si>
  <si>
    <t>[1796904, 1796826]</t>
  </si>
  <si>
    <t>0.016594393950048626</t>
  </si>
  <si>
    <t>[1796539, 1796904]</t>
  </si>
  <si>
    <t>22.003249505885126</t>
  </si>
  <si>
    <t>[0.093, 0.045, -0.007, -0.074]</t>
  </si>
  <si>
    <t>LINESTRING (6.435998374933286 60.65206713961986, 6.435919017284138 60.65203023594677, 6.435866321112898 60.65196380231594, 6.435882593204278 60.65189517510566, 6.4359710321281085 60.65183571397193)</t>
  </si>
  <si>
    <t>[2068669, 2068677, 2068685, 2068693]</t>
  </si>
  <si>
    <t>[1791890, 1796583, 1791906, 1796593]</t>
  </si>
  <si>
    <t>0.008468837844142915</t>
  </si>
  <si>
    <t>[1796578, 1791890, 1796583, 1791906]</t>
  </si>
  <si>
    <t>[0.093, 0.045, 0.007, 0.074]</t>
  </si>
  <si>
    <t>29.892437708765627</t>
  </si>
  <si>
    <t>[0.114, 0.119]</t>
  </si>
  <si>
    <t>LINESTRING (6.436367778944533 60.65204515517256, 6.4361728492653345 60.65208958127827, 6.435998374933286 60.65206713961986)</t>
  </si>
  <si>
    <t>[2068750, 2068758]</t>
  </si>
  <si>
    <t>[1796634, 1796578]</t>
  </si>
  <si>
    <t>0.11625940430801147</t>
  </si>
  <si>
    <t>[1796629, 1796634]</t>
  </si>
  <si>
    <t>21.882003188555515</t>
  </si>
  <si>
    <t>[0.042, 0.06]</t>
  </si>
  <si>
    <t>LINESTRING (6.436217952895964 60.65234816116787, 6.43606576068672 60.65213367986175, 6.435998374933286 60.65206713961986)</t>
  </si>
  <si>
    <t>[2069054, 2069062]</t>
  </si>
  <si>
    <t>[1796816, 1796578]</t>
  </si>
  <si>
    <t>0.046396372760599276</t>
  </si>
  <si>
    <t>[1796815, 1796816]</t>
  </si>
  <si>
    <t>33.977051500338696</t>
  </si>
  <si>
    <t>[-0.118, -0.122]</t>
  </si>
  <si>
    <t>LINESTRING (6.4359710321281085 60.65183571397193, 6.436139131708711 60.65180355769122, 6.436281541926096 60.65181724998972)</t>
  </si>
  <si>
    <t>[2068701, 2068709]</t>
  </si>
  <si>
    <t>[1796600, 1796607]</t>
  </si>
  <si>
    <t>[1796593, 1796600]</t>
  </si>
  <si>
    <t>[0.118, 0.122]</t>
  </si>
  <si>
    <t>17.846455477779315</t>
  </si>
  <si>
    <t>[-0.034, -0.023]</t>
  </si>
  <si>
    <t>LINESTRING (6.4359710321281085 60.65183571397193, 6.436008433784308 60.65176938760121, 6.436082743359817 60.651602321224004)</t>
  </si>
  <si>
    <t>[2069118, 2069126]</t>
  </si>
  <si>
    <t>[1796860, 1796779]</t>
  </si>
  <si>
    <t>[1796593, 1796860]</t>
  </si>
  <si>
    <t>26.981588510358385</t>
  </si>
  <si>
    <t>[-0.092, -0.047, 0.016, 0.068]</t>
  </si>
  <si>
    <t>LINESTRING (6.436281541926096 60.65181724998972, 6.436412432065959 60.65187815550975, 6.4364456832426615 60.651929247233724, 6.436426787071014 60.65199991801931, 6.436367778944533 60.65204515517256)</t>
  </si>
  <si>
    <t>[2068717, 2068725, 2068734, 2068742]</t>
  </si>
  <si>
    <t>[1791886, 1796616, 1791870, 1796629]</t>
  </si>
  <si>
    <t>[1796607, 1791886, 1796616, 1791870]</t>
  </si>
  <si>
    <t>[0.092, 0.047, 0.016, 0.068]</t>
  </si>
  <si>
    <t>29.836018192347716</t>
  </si>
  <si>
    <t>[0.042, 0.058]</t>
  </si>
  <si>
    <t>LINESTRING (6.436281541926096 60.65181724998972, 6.43624085822158 60.65175989929728, 6.436082743359817 60.651602321224004)</t>
  </si>
  <si>
    <t>[2069110, 2069111]</t>
  </si>
  <si>
    <t>[1796851, 1796779]</t>
  </si>
  <si>
    <t>0.053889533694481746</t>
  </si>
  <si>
    <t>[1796607, 1796851]</t>
  </si>
  <si>
    <t>26.39898032670509</t>
  </si>
  <si>
    <t>[-0.025, -0.034]</t>
  </si>
  <si>
    <t>LINESTRING (6.436217952895964 60.65234816116787, 6.4363175952116505 60.652128187560045, 6.436367778944533 60.65204515517256)</t>
  </si>
  <si>
    <t>[2069094, 2069102]</t>
  </si>
  <si>
    <t>[1796841, 1796629]</t>
  </si>
  <si>
    <t>[1796815, 1796841]</t>
  </si>
  <si>
    <t>[0.025, 0.034]</t>
  </si>
  <si>
    <t>35.378216105917375</t>
  </si>
  <si>
    <t>[0.018, 0.02, 0.018, 0.005, -0.002, -0.01, -0.014, -0.012]</t>
  </si>
  <si>
    <t>LINESTRING (6.436082743359817 60.651602321224004, 6.435961929274634 60.6511446010784, 6.435874351446713 60.650832356870986, 6.435746780454242 60.65037694638476, 6.4354312168693 60.6459757048481, 6.435453533773753 60.645475026195506, 6.435586796913958 60.64431288233671, 6.435623697823435 60.64392646748285, 6.4356987556648555 60.642533817410374)</t>
  </si>
  <si>
    <t>[2069006, 2069014, 2069022, 2069030, 2069038, 2115290, 2115298, 2115306]</t>
  </si>
  <si>
    <t>[1796780, 1796787, 1796793, 1796799, 1789518, 1791934, 1824374, 1824379]</t>
  </si>
  <si>
    <t>0.001120424265578676</t>
  </si>
  <si>
    <t>[1796779, 1796780, 1796787, 1796793, 1796799, 1789518, 1791934, 1824374]</t>
  </si>
  <si>
    <t>[0.018, 0.02, 0.018, 0.005, 0.002, 0.01, 0.014, 0.012]</t>
  </si>
  <si>
    <t>1015.9877735504049</t>
  </si>
  <si>
    <t>[-0.021, -0.02, -0.012]</t>
  </si>
  <si>
    <t>LINESTRING (6.435453772089492 60.65540249566666, 6.43554344362622 60.65517439246791, 6.435619611223925 60.65496884608386, 6.436217952895964 60.65234816116787)</t>
  </si>
  <si>
    <t>[2069070, 2069078, 2069086]</t>
  </si>
  <si>
    <t>[1796827, 1796831, 1796815]</t>
  </si>
  <si>
    <t>[1796826, 1796827, 1796831]</t>
  </si>
  <si>
    <t>[0.021, 0.02, 0.012]</t>
  </si>
  <si>
    <t>344.9066987477589</t>
  </si>
  <si>
    <t>6.896327863234339</t>
  </si>
  <si>
    <t>8.978398186386746</t>
  </si>
  <si>
    <t>12.19907947357772</t>
  </si>
  <si>
    <t>10.916446766059147</t>
  </si>
  <si>
    <t>LINESTRING (11.885531807013034 60.2105707910992, 11.89624915951879 60.20719286401171, 11.89673347009207 60.20716847863639)</t>
  </si>
  <si>
    <t>[2069985, 2069993]</t>
  </si>
  <si>
    <t>[1797395, 1797401]</t>
  </si>
  <si>
    <t>0.014964171382442121</t>
  </si>
  <si>
    <t>[1797387, 1797395]</t>
  </si>
  <si>
    <t>753.3489165956719</t>
  </si>
  <si>
    <t>[-0.012, -0.005, -0.024]</t>
  </si>
  <si>
    <t>LINESTRING (11.885531807013034 60.2105707910992, 11.885840378694631 60.2103140421277, 11.888966719374926 60.20799134186537, 11.888990832216734 60.20795219116471)</t>
  </si>
  <si>
    <t>[2070066, 2070074, 2070082]</t>
  </si>
  <si>
    <t>[1797453, 1797458, 1797462]</t>
  </si>
  <si>
    <t>[1797387, 1797453, 1797458]</t>
  </si>
  <si>
    <t>[0.012, 0.005, 0.024]</t>
  </si>
  <si>
    <t>350.83554300862875</t>
  </si>
  <si>
    <t>[0.059, 0.057, 0.029, 0.022]</t>
  </si>
  <si>
    <t>LINESTRING (11.889613440882197 60.207789517478375, 11.889670861393167 60.207788888258456, 11.889800934687285 60.20778540832932, 11.896150665118832 60.207168488479724, 11.89673347009207 60.20716847863639)</t>
  </si>
  <si>
    <t>[2070017, 2070025, 2070034, 2070090]</t>
  </si>
  <si>
    <t>[1797418, 1797425, 1797432, 1797401]</t>
  </si>
  <si>
    <t>0.029177531119903424</t>
  </si>
  <si>
    <t>[1797417, 1797418, 1797425, 1797432]</t>
  </si>
  <si>
    <t>403.1008814355406</t>
  </si>
  <si>
    <t>20.224906376272905</t>
  </si>
  <si>
    <t>[-0.046, -0.034, -0.008, 0.02, 0.063, 0.066, 0.066]</t>
  </si>
  <si>
    <t>LINESTRING (11.888990832216734 60.20795219116471, 11.888948350306707 60.20784606138466, 11.8889579525514 60.2078209471568, 11.888976081301486 60.20779540408631, 11.889257898801386 60.20769275337958, 11.889405984983465 60.20770000322989, 11.889542572999359 60.207740948936745, 11.889613440882197 60.207789517478375)</t>
  </si>
  <si>
    <t>[2126938, 2126946, 2126954, 2126874, 2126882, 2126890, 2126898]</t>
  </si>
  <si>
    <t>[1831135, 1831199, 1831121, 1166785, 1831164, 1166748, 1797417]</t>
  </si>
  <si>
    <t>0.02056793705699701</t>
  </si>
  <si>
    <t>[1797462, 1831135, 1831199, 1831121, 1166785, 1831164, 1166748]</t>
  </si>
  <si>
    <t>[0.046, 0.034, 0.008, 0.02, 0.063, 0.066, 0.066]</t>
  </si>
  <si>
    <t>61.73301871381021</t>
  </si>
  <si>
    <t>17.387188115679805</t>
  </si>
  <si>
    <t>[0.052, 0.042, -0.003, -0.058]</t>
  </si>
  <si>
    <t>LINESTRING (11.890843282832007 60.20880051044704, 11.8908629943344 60.208824964635916, 11.890857568799607 60.20890130547253, 11.890771897830376 60.20895940981017, 11.890422801622647 60.20893738146837)</t>
  </si>
  <si>
    <t>[2126970, 2126978, 2126986, 2126994]</t>
  </si>
  <si>
    <t>[1831208, 1831213, 1831217, 1797437]</t>
  </si>
  <si>
    <t>[1797491, 1831208, 1831213, 1831217]</t>
  </si>
  <si>
    <t>[0.052, 0.042, 0.003, 0.058]</t>
  </si>
  <si>
    <t>40.749922545349804</t>
  </si>
  <si>
    <t>24.490352294666934</t>
  </si>
  <si>
    <t>17.3248737668091</t>
  </si>
  <si>
    <t>[0.031, 0.053]</t>
  </si>
  <si>
    <t>LINESTRING (5.248895620397646 60.36603765391072, 5.248879801390105 60.36610342726037, 5.248832121903396 60.3661494743581)</t>
  </si>
  <si>
    <t>[2070595, 2070603]</t>
  </si>
  <si>
    <t>[1797853, 1797857]</t>
  </si>
  <si>
    <t>0.04064916389023444</t>
  </si>
  <si>
    <t>[1797846, 1797853]</t>
  </si>
  <si>
    <t>13.18711774783424</t>
  </si>
  <si>
    <t>LINESTRING (5.248895620397646 60.36603765391072, 5.249062298184556 60.36606489337848, 5.252588740582656 60.36642779218386)</t>
  </si>
  <si>
    <t>[2071306, 2071314]</t>
  </si>
  <si>
    <t>[1798362, 1798359]</t>
  </si>
  <si>
    <t>[1797846, 1798362]</t>
  </si>
  <si>
    <t>282.3345073624637</t>
  </si>
  <si>
    <t>[-0.053, -0.045, -0.039, -0.008]</t>
  </si>
  <si>
    <t>LINESTRING (5.248290696448582 60.36615139317721, 5.248365514434966 60.36591484567872, 5.2485029708358075 60.36588665847362, 5.248597619160019 60.365885338229354, 5.248895620397646 60.36603765391072)</t>
  </si>
  <si>
    <t>[2070635, 2070643, 2070579, 2070587]</t>
  </si>
  <si>
    <t>[1797881, 1797837, 1797838, 1797846]</t>
  </si>
  <si>
    <t>[1797875, 1797881, 1797837, 1797838]</t>
  </si>
  <si>
    <t>[0.053, 0.045, 0.039, 0.008]</t>
  </si>
  <si>
    <t>68.51161125584902</t>
  </si>
  <si>
    <t>13.190601967817244</t>
  </si>
  <si>
    <t>[-0.058, -0.042]</t>
  </si>
  <si>
    <t>LINESTRING (5.248832121903396 60.3661494743581, 5.2490106110549055 60.36616086986935, 5.252588740582656 60.36642779218386)</t>
  </si>
  <si>
    <t>[2071290, 2071298]</t>
  </si>
  <si>
    <t>[1798353, 1798359]</t>
  </si>
  <si>
    <t>[1797857, 1798353]</t>
  </si>
  <si>
    <t>[0.058, 0.042]</t>
  </si>
  <si>
    <t>272.4917755813982</t>
  </si>
  <si>
    <t>[0.075, 0.026]</t>
  </si>
  <si>
    <t>LINESTRING (5.248636512194136 60.366213616279424, 5.248502765253615 60.36621557204403, 5.248290696448582 60.36615139317721)</t>
  </si>
  <si>
    <t>[2070619, 2070627]</t>
  </si>
  <si>
    <t>[1797869, 1797875]</t>
  </si>
  <si>
    <t>0.04295438354873897</t>
  </si>
  <si>
    <t>[1797864, 1797869]</t>
  </si>
  <si>
    <t>21.40635727503254</t>
  </si>
  <si>
    <t>LINESTRING (5.248636512194136 60.366213616279424, 5.248565402096991 60.36626219071411, 5.2483776753936 60.36645346629626)</t>
  </si>
  <si>
    <t>[2071176, 2071184]</t>
  </si>
  <si>
    <t>[1798263, 1797893]</t>
  </si>
  <si>
    <t>[1797864, 1798263]</t>
  </si>
  <si>
    <t>31.352761357424534</t>
  </si>
  <si>
    <t>[0.026, 0.04]</t>
  </si>
  <si>
    <t>LINESTRING (5.248290696448582 60.36615139317721, 5.248341700953462 60.36622391978891, 5.2483776753936 60.36645346629626)</t>
  </si>
  <si>
    <t>[2071192, 2071200]</t>
  </si>
  <si>
    <t>[1798278, 1797893]</t>
  </si>
  <si>
    <t>0.036609852109050045</t>
  </si>
  <si>
    <t>[1797875, 1798278]</t>
  </si>
  <si>
    <t>35.44740888021548</t>
  </si>
  <si>
    <t>173.58424192540903</t>
  </si>
  <si>
    <t>[-0.025, -0.015]</t>
  </si>
  <si>
    <t>LINESTRING (5.249761706827434 60.3678221753802, 5.249778106247509 60.36802702367876, 5.249780717564378 60.3680861995858)</t>
  </si>
  <si>
    <t>[2071137, 2071145]</t>
  </si>
  <si>
    <t>[1798231, 1797939]</t>
  </si>
  <si>
    <t>[1797894, 1798231]</t>
  </si>
  <si>
    <t>[0.025, 0.015]</t>
  </si>
  <si>
    <t>30.051037689058205</t>
  </si>
  <si>
    <t>[-0.118, -0.17]</t>
  </si>
  <si>
    <t>LINESTRING (5.249761706827434 60.3678221753802, 5.24996477524825 60.367999218138166, 5.250052644729269 60.368050678570754)</t>
  </si>
  <si>
    <t>[2071153, 2071168]</t>
  </si>
  <si>
    <t>[1798243, 1797899]</t>
  </si>
  <si>
    <t>[1797894, 1798243]</t>
  </si>
  <si>
    <t>[0.118, 0.17]</t>
  </si>
  <si>
    <t>31.27151053193925</t>
  </si>
  <si>
    <t>[-0.231, -0.072]</t>
  </si>
  <si>
    <t>LINESTRING (5.250052644729269 60.368050678570754, 5.250235228541863 60.36809819859917, 5.250301183684978 60.368285317393685)</t>
  </si>
  <si>
    <t>[2070675, 2070683]</t>
  </si>
  <si>
    <t>[1797905, 1797910]</t>
  </si>
  <si>
    <t>[1797899, 1797905]</t>
  </si>
  <si>
    <t>[0.231, 0.072]</t>
  </si>
  <si>
    <t>33.631413692144264</t>
  </si>
  <si>
    <t>[-0.203, -0.223]</t>
  </si>
  <si>
    <t>LINESTRING (5.249780717564378 60.3680861995858, 5.249898775682766 60.368055128149116, 5.250052644729269 60.368050678570754)</t>
  </si>
  <si>
    <t>[2070726, 2070667]</t>
  </si>
  <si>
    <t>[1797898, 1797899]</t>
  </si>
  <si>
    <t>[1797939, 1797898]</t>
  </si>
  <si>
    <t>[0.203, 0.223]</t>
  </si>
  <si>
    <t>15.931581460899938</t>
  </si>
  <si>
    <t>[0.128, 0.199, 0.246, 0.084]</t>
  </si>
  <si>
    <t>LINESTRING (5.250301183684978 60.368285317393685, 5.250223516925771 60.36833751496092, 5.250108991026651 60.368372014251314, 5.250006663443299 60.36838181435418, 5.249780717564378 60.3680861995858)</t>
  </si>
  <si>
    <t>[2070691, 2070699, 2070707, 2070715]</t>
  </si>
  <si>
    <t>[1797918, 1797924, 1797930, 1797939]</t>
  </si>
  <si>
    <t>0.11587567637019268</t>
  </si>
  <si>
    <t>[1797910, 1797918, 1797924, 1797930]</t>
  </si>
  <si>
    <t>66.09076739397469</t>
  </si>
  <si>
    <t>[-0.073, 0.061, 0.137, 0.232]</t>
  </si>
  <si>
    <t>LINESTRING (5.252588740582656 60.36642779218386, 5.25242971061887 60.36917925283226, 5.252205699185849 60.371111454516736, 5.252102939123646 60.37121964960871, 5.252097235470788 60.3712256598282)</t>
  </si>
  <si>
    <t>[2071472, 2071416, 2071480, 2071488]</t>
  </si>
  <si>
    <t>[1798429, 1798433, 1798461, 1798465]</t>
  </si>
  <si>
    <t>[1798359, 1798429, 1798433, 1798461]</t>
  </si>
  <si>
    <t>[0.073, 0.061, 0.137, 0.232]</t>
  </si>
  <si>
    <t>540.1267476901554</t>
  </si>
  <si>
    <t>[-0.023, -0.009, 0.007, 0.024]</t>
  </si>
  <si>
    <t>LINESTRING (5.484490090969233 59.77493054758521, 5.4846717508855765 59.77500538911382, 5.484706345984164 59.77506099069541, 5.484699158186635 59.775115982032254, 5.484568402314073 59.77520851380232)</t>
  </si>
  <si>
    <t>[2077697, 2077705, 2077713, 2077721]</t>
  </si>
  <si>
    <t>[1802109, 1802114, 1802118, 1802122]</t>
  </si>
  <si>
    <t>[1802108, 1802109, 1802114, 1802118]</t>
  </si>
  <si>
    <t>[0.023, 0.009, 0.007, 0.024]</t>
  </si>
  <si>
    <t>39.10598804413253</t>
  </si>
  <si>
    <t>[-0.03, -0.035]</t>
  </si>
  <si>
    <t>LINESTRING (5.4841574420841 59.77498247427265, 5.484280798649569 59.77493586801914, 5.484490090969233 59.77493054758521)</t>
  </si>
  <si>
    <t>[2077753, 2077761]</t>
  </si>
  <si>
    <t>[1802142, 1802108]</t>
  </si>
  <si>
    <t>[1802136, 1802142]</t>
  </si>
  <si>
    <t>20.495106018894294</t>
  </si>
  <si>
    <t>[-0.018, -0.023]</t>
  </si>
  <si>
    <t>290.0</t>
  </si>
  <si>
    <t>LINESTRING (5.484136135272523 59.774767623291794, 5.484376570829099 59.77488753637067, 5.484490090969233 59.77493054758521)</t>
  </si>
  <si>
    <t>[2077921, 2077929]</t>
  </si>
  <si>
    <t>[1802250, 1802108]</t>
  </si>
  <si>
    <t>[1802249, 1802250]</t>
  </si>
  <si>
    <t>[0.018, 0.023]</t>
  </si>
  <si>
    <t>27.625502643745058</t>
  </si>
  <si>
    <t>[0.038, 0.035]</t>
  </si>
  <si>
    <t>LINESTRING (5.484568402314073 59.77520851380232, 5.484422296003183 59.77523337713826, 5.484315936061315 59.77522723666882)</t>
  </si>
  <si>
    <t>[2077729, 2077737]</t>
  </si>
  <si>
    <t>[1802127, 1802132]</t>
  </si>
  <si>
    <t>0.036770694877126094</t>
  </si>
  <si>
    <t>[1802122, 1802127]</t>
  </si>
  <si>
    <t>14.722185379444143</t>
  </si>
  <si>
    <t>[0.0, 0.012]</t>
  </si>
  <si>
    <t>LINESTRING (5.484568402314073 59.77520851380232, 5.484575813213155 59.77524576451459, 5.484516600680556 59.775405095555286)</t>
  </si>
  <si>
    <t>[2077985, 2077993]</t>
  </si>
  <si>
    <t>[1802290, 1802282]</t>
  </si>
  <si>
    <t>0.009783743226651749</t>
  </si>
  <si>
    <t>[1802122, 1802290]</t>
  </si>
  <si>
    <t>22.653019603322747</t>
  </si>
  <si>
    <t>33.644521980593396</t>
  </si>
  <si>
    <t>[-0.008, -0.016]</t>
  </si>
  <si>
    <t>LINESTRING (5.484315936061315 59.77522723666882, 5.4843473334943385 59.77526587759776, 5.484516600680556 59.775405095555286)</t>
  </si>
  <si>
    <t>[2077969, 2077977]</t>
  </si>
  <si>
    <t>[1802276, 1802282]</t>
  </si>
  <si>
    <t>[1802132, 1802276]</t>
  </si>
  <si>
    <t>[0.008, 0.016]</t>
  </si>
  <si>
    <t>22.915719563323695</t>
  </si>
  <si>
    <t>LINESTRING (5.484136135272523 59.774767623291794, 5.484145422245176 59.77493005842608, 5.4841574420841 59.77498247427265)</t>
  </si>
  <si>
    <t>[2077945, 2077953]</t>
  </si>
  <si>
    <t>[1802264, 1802136]</t>
  </si>
  <si>
    <t>0.005513754142430077</t>
  </si>
  <si>
    <t>[1802249, 1802264]</t>
  </si>
  <si>
    <t>24.253646927566024</t>
  </si>
  <si>
    <t>[0.054, 0.029]</t>
  </si>
  <si>
    <t>LINESTRING (10.271109435307789 60.13621384398111, 10.271586756720069 60.13614754269851, 10.271697322711269 60.1361122821951)</t>
  </si>
  <si>
    <t>[2080330, 2080338]</t>
  </si>
  <si>
    <t>[1803816, 1803824]</t>
  </si>
  <si>
    <t>0.048825885682751785</t>
  </si>
  <si>
    <t>[1803815, 1803816]</t>
  </si>
  <si>
    <t>35.252570399669736</t>
  </si>
  <si>
    <t>[0.015, 0.01]</t>
  </si>
  <si>
    <t>LINESTRING (10.271109435307789 60.13621384398111, 10.271409705013637 60.13605575991349, 10.271478710640913 60.136021081352844)</t>
  </si>
  <si>
    <t>[2080346, 2080354]</t>
  </si>
  <si>
    <t>[1803830, 1803836]</t>
  </si>
  <si>
    <t>0.014089242609388535</t>
  </si>
  <si>
    <t>[1803815, 1803830]</t>
  </si>
  <si>
    <t>29.89843668670361</t>
  </si>
  <si>
    <t>[-0.082, -0.076]</t>
  </si>
  <si>
    <t>LINESTRING (10.271697322711269 60.1361122821951, 10.271561820357565 60.136080180830966, 10.271478710640913 60.136021081352844)</t>
  </si>
  <si>
    <t>[2080522, 2080530]</t>
  </si>
  <si>
    <t>[1803936, 1803836]</t>
  </si>
  <si>
    <t>[1803824, 1803936]</t>
  </si>
  <si>
    <t>[0.082, 0.076]</t>
  </si>
  <si>
    <t>16.386257724406605</t>
  </si>
  <si>
    <t>[0.06, 0.057, 0.023, -0.042]</t>
  </si>
  <si>
    <t>LINESTRING (10.272006584943218 60.13588912824212, 10.272031173432346 60.1359131418474, 10.272048884253486 60.13598247576721, 10.272003800175048 60.136047692387024, 10.271697322711269 60.1361122821951)</t>
  </si>
  <si>
    <t>[2080490, 2080498, 2080506, 2080514]</t>
  </si>
  <si>
    <t>[1803855, 1803926, 1803840, 1803824]</t>
  </si>
  <si>
    <t>[1803881, 1803855, 1803926, 1803840]</t>
  </si>
  <si>
    <t>[0.06, 0.057, 0.023, 0.042]</t>
  </si>
  <si>
    <t>37.84064619639302</t>
  </si>
  <si>
    <t>32.71417132560792</t>
  </si>
  <si>
    <t>[-0.024, -0.019]</t>
  </si>
  <si>
    <t>LINESTRING (10.272006584943218 60.13588912824212, 10.2720476530043 60.13583177310118, 10.272183544710131 60.13565724726378)</t>
  </si>
  <si>
    <t>[2080418, 2080426]</t>
  </si>
  <si>
    <t>[1803882, 1803888]</t>
  </si>
  <si>
    <t>[1803881, 1803882]</t>
  </si>
  <si>
    <t>[0.024, 0.019]</t>
  </si>
  <si>
    <t>27.80606153506241</t>
  </si>
  <si>
    <t>[0.078, 0.084]</t>
  </si>
  <si>
    <t>LINESTRING (10.271772615709896 60.13581945109141, 10.271904054900029 60.13583841877635, 10.272006584943218 60.13588912824212)</t>
  </si>
  <si>
    <t>[2080474, 2080482]</t>
  </si>
  <si>
    <t>[1803915, 1803881]</t>
  </si>
  <si>
    <t>0.08108065679036507</t>
  </si>
  <si>
    <t>[1803894, 1803915]</t>
  </si>
  <si>
    <t>15.634682591634856</t>
  </si>
  <si>
    <t>LINESTRING (10.271772615709896 60.13581945109141, 10.271831555986706 60.135779519232905, 10.272183544710131 60.13565724726378)</t>
  </si>
  <si>
    <t>[2080434, 2080442]</t>
  </si>
  <si>
    <t>[1803895, 1803888]</t>
  </si>
  <si>
    <t>0.02337468186493188</t>
  </si>
  <si>
    <t>[1803894, 1803895]</t>
  </si>
  <si>
    <t>29.87413273591902</t>
  </si>
  <si>
    <t>[-0.131, -0.101, -0.009, 0.123, -0.01, 0.181]</t>
  </si>
  <si>
    <t>LINESTRING (10.325874003465213 59.97688541698654, 10.32509047770881 59.977090693009266, 10.32477010779473 59.977174537532626, 10.320124143564756 59.97765881565173, 10.320116158044078 59.97779180057679, 10.324084245653198 59.9772485034424, 10.324890746018992 59.97706397978698)</t>
  </si>
  <si>
    <t>[2082288, 227727, 227735, 227743, 227751, 2082280]</t>
  </si>
  <si>
    <t>[232449, 232450, 232459, 232466, 232473, 1804949]</t>
  </si>
  <si>
    <t>[1804954, 232449, 232450, 232459, 232466, 232473]</t>
  </si>
  <si>
    <t>[0.131, 0.101, 0.009, 0.123, 0.01, 0.181]</t>
  </si>
  <si>
    <t>995.2162204239862</t>
  </si>
  <si>
    <t>[0.039, 0.022, 0.025, 0.014]</t>
  </si>
  <si>
    <t>LINESTRING (18.357409721165286 68.88742848556741, 18.358351788703402 68.88767416226412, 18.358997083713255 68.88779416525315, 18.35925162773119 68.88783977767989, 18.36074760164729 68.88808376469532)</t>
  </si>
  <si>
    <t>[2084735, 2084736, 2084744, 2084745]</t>
  </si>
  <si>
    <t>[1806462, 1806463, 1806468, 1806469]</t>
  </si>
  <si>
    <t>0.02397819227561845</t>
  </si>
  <si>
    <t>[1806461, 1806462, 1806463, 1806468]</t>
  </si>
  <si>
    <t>153.76023777442285</t>
  </si>
  <si>
    <t>[0.022, 0.02, 0.022, 0.024, 0.027]</t>
  </si>
  <si>
    <t>LINESTRING (18.357409721165286 68.88742848556741, 18.358213858856935 68.88756204174396, 18.358448321478736 68.88760387599444, 18.359107300857023 68.88772378806233, 18.359364520733774 68.88777127814687, 18.36074760164729 68.88808376469532)</t>
  </si>
  <si>
    <t>[2084747, 2084748, 2084749, 2084760, 2084761]</t>
  </si>
  <si>
    <t>[1806470, 1806471, 1806472, 1806474, 1806469]</t>
  </si>
  <si>
    <t>0.024163557152129776</t>
  </si>
  <si>
    <t>[1806461, 1806470, 1806471, 1806472, 1806474]</t>
  </si>
  <si>
    <t>153.31803707784502</t>
  </si>
  <si>
    <t>[-0.006, -0.01, -0.02]</t>
  </si>
  <si>
    <t>LINESTRING (11.15671471679214 60.16299221024363, 11.153761730575747 60.16039712347028, 11.144814247242762 60.16099031004247, 11.144348874387529 60.16111388369796)</t>
  </si>
  <si>
    <t>[2086961, 2086969, 2086970]</t>
  </si>
  <si>
    <t>[1807731, 1807738, 1807739]</t>
  </si>
  <si>
    <t>[1807730, 1807731, 1807738]</t>
  </si>
  <si>
    <t>[0.006, 0.01, 0.02]</t>
  </si>
  <si>
    <t>924.856169742612</t>
  </si>
  <si>
    <t>[-0.003, 0.019]</t>
  </si>
  <si>
    <t>LINESTRING (11.138377053133171 60.16328084024329, 11.144299080329567 60.16113198465416, 11.144348874387529 60.16111388369796)</t>
  </si>
  <si>
    <t>[2109389, 2109397]</t>
  </si>
  <si>
    <t>[1821117, 1807739]</t>
  </si>
  <si>
    <t>[1821039, 1821117]</t>
  </si>
  <si>
    <t>410.2425518834082</t>
  </si>
  <si>
    <t>[-0.039, -0.006, 0.03]</t>
  </si>
  <si>
    <t>LINESTRING (14.464671437178408 66.40605493420159, 14.464626248544205 66.40609184895223, 14.463705384739013 66.4058805503168, 14.463758106002338 66.40584637107756)</t>
  </si>
  <si>
    <t>[2088607, 2088615, 2088623]</t>
  </si>
  <si>
    <t>[1808703, 1808707, 1808622]</t>
  </si>
  <si>
    <t>[1808626, 1808703, 1808707]</t>
  </si>
  <si>
    <t>[0.039, 0.006, 0.03]</t>
  </si>
  <si>
    <t>81.3679568587142</t>
  </si>
  <si>
    <t>[0.005, 0.041, 0.036, 0.061, 0.075, 0.07, 0.077, 0.084, 0.091, 0.091, 0.098]</t>
  </si>
  <si>
    <t>LINESTRING (20.77779944449483 69.81947796654015, 20.778001332196055 69.81957775382483, 20.778066330797227 69.81960162111379, 20.779592887249475 69.82007133298131, 20.78095219854637 69.82035407724166, 20.78106158332947 69.82037311153246, 20.781162582175213 69.82038990923206, 20.78126953894934 69.82040769971725, 20.781352524806902 69.82042101023261, 20.784688332549475 69.820789956496, 20.78481485194618 69.82080178236363, 20.785737118863807 69.82087449091533)</t>
  </si>
  <si>
    <t>[2088947, 2088955, 2088963, 2088971, 2088979, 2088987, 2089267, 2089275, 2089283, 2089291, 2089299]</t>
  </si>
  <si>
    <t>[1808900, 1808905, 1808909, 1808913, 1808917, 1808923, 1808982, 1809097, 1809101, 1809104, 1808945]</t>
  </si>
  <si>
    <t>0.06957093876750435</t>
  </si>
  <si>
    <t>[1808899, 1808900, 1808905, 1808909, 1808913, 1808917, 1808923, 1808982, 1809097, 1809101, 1809104]</t>
  </si>
  <si>
    <t>351.09819392091606</t>
  </si>
  <si>
    <t>[0.042, 0.042, 0.039, 0.063, 0.07, 0.08, 0.092, 0.057, 0.089, 0.085]</t>
  </si>
  <si>
    <t>LINESTRING (20.77779944449483 69.81947796654015, 20.778137832216622 69.81957500623194, 20.779627057922756 69.81999651911973, 20.779704371007686 69.8200150937155, 20.781042717073557 69.82029272736195, 20.781143662094077 69.82031037304763, 20.781247334492054 69.82032750608846, 20.781347729181256 69.82034409844279, 20.781432992349664 69.82035782032494, 20.78472149028117 69.82075318251901, 20.785737118863807 69.82087449091533)</t>
  </si>
  <si>
    <t>[2089123, 2089131, 2089139, 2089147, 2089155, 2089163, 2089235, 2089243, 2089251, 2089259]</t>
  </si>
  <si>
    <t>[1809001, 1809005, 1809011, 1809017, 1809022, 1809027, 1808981, 1809075, 1809083, 1808945]</t>
  </si>
  <si>
    <t>0.07050874973229722</t>
  </si>
  <si>
    <t>[1808899, 1809001, 1809005, 1809011, 1809017, 1809022, 1809027, 1808981, 1809075, 1809083]</t>
  </si>
  <si>
    <t>347.4022382253974</t>
  </si>
  <si>
    <t>LINESTRING (20.77071994165384 69.6716133949455, 20.77779944449483 69.81947796654015)</t>
  </si>
  <si>
    <t>323.5279583333391</t>
  </si>
  <si>
    <t>64.19624808406347</t>
  </si>
  <si>
    <t>[-0.028, -0.026, -0.021, 0.003, 0.013, 0.025, 0.025, 0.023, 0.013, 0.0, -0.001]</t>
  </si>
  <si>
    <t>LINESTRING (5.776398275460373 61.32090563386639, 5.776257953589916 61.320841651114826, 5.776230433627238 61.32077647805455, 5.776271283103183 61.32071291278245, 5.776426377040672 61.32065547090512, 5.776512595768882 61.320649277712434, 5.7765999422085335 61.320656922417434, 5.7767586125268595 61.32072449384507, 5.776786816951832 61.32078799578223, 5.776754064283295 61.320845253305926, 5.776745311275565 61.32085314365201, 5.776561376437993 61.32091415329628)</t>
  </si>
  <si>
    <t>[2092680, 2092688, 2092696, 2092704, 2092712, 2092720, 2092728, 2092736, 2092746, 2092754, 2092656]</t>
  </si>
  <si>
    <t>[1811159, 1811164, 1811167, 1811171, 1811178, 1811184, 1811188, 1811195, 1811202, 1811150, 1811151]</t>
  </si>
  <si>
    <t>0.0012222831393689105</t>
  </si>
  <si>
    <t>[1811156, 1811159, 1811164, 1811167, 1811171, 1811178, 1811184, 1811188, 1811195, 1811202, 1811150]</t>
  </si>
  <si>
    <t>[0.028, 0.026, 0.021, 0.003, 0.013, 0.025, 0.025, 0.023, 0.013, 0.0, 0.001]</t>
  </si>
  <si>
    <t>83.97783395488737</t>
  </si>
  <si>
    <t>[-0.014, -0.023]</t>
  </si>
  <si>
    <t>LINESTRING (5.776468827008686 61.32107389404767, 5.776551507495193 61.32095595315484, 5.776561376437993 61.32091415329628)</t>
  </si>
  <si>
    <t>[2094567, 2094572]</t>
  </si>
  <si>
    <t>[1812248, 1811151]</t>
  </si>
  <si>
    <t>[1811243, 1812248]</t>
  </si>
  <si>
    <t>[0.014, 0.023]</t>
  </si>
  <si>
    <t>20.02633529142047</t>
  </si>
  <si>
    <t>[-0.021, -0.023]</t>
  </si>
  <si>
    <t>LINESTRING (5.776468827008686 61.32107389404767, 5.776402760527585 61.32095536029373, 5.776398275460373 61.32090563386639)</t>
  </si>
  <si>
    <t>[2094553, 2094557]</t>
  </si>
  <si>
    <t>[1812241, 1811156]</t>
  </si>
  <si>
    <t>[1811243, 1812241]</t>
  </si>
  <si>
    <t>20.64492177690955</t>
  </si>
  <si>
    <t>119.22602134735759</t>
  </si>
  <si>
    <t>[0.0, -0.048]</t>
  </si>
  <si>
    <t>LINESTRING (5.391706843779123 59.42380765756764, 5.391706843779123 59.42380765756764, 5.3913588346904575 59.423748607920665)</t>
  </si>
  <si>
    <t>[2094341, 2094342]</t>
  </si>
  <si>
    <t>[1812149, 1812047]</t>
  </si>
  <si>
    <t>[1812100, 1812149]</t>
  </si>
  <si>
    <t>[0.0, 0.048]</t>
  </si>
  <si>
    <t>24.729198970295105</t>
  </si>
  <si>
    <t>[0.0, -0.044]</t>
  </si>
  <si>
    <t>LINESTRING (5.391626201628063 59.423903482471765, 5.391626201628063 59.423903482471765, 5.3913588346904575 59.423748607920665)</t>
  </si>
  <si>
    <t>[2094343, 2094350]</t>
  </si>
  <si>
    <t>[1812150, 1812047]</t>
  </si>
  <si>
    <t>[1812089, 1812150]</t>
  </si>
  <si>
    <t>[0.0, 0.044]</t>
  </si>
  <si>
    <t>27.68162198363248</t>
  </si>
  <si>
    <t>[-0.05, 0.029, 0.051, 0.038, 0.022, 0.022, 0.026]</t>
  </si>
  <si>
    <t>LINESTRING (5.390531382220348 59.422774797731215, 5.390443827442263 59.42265472499659, 5.39052746581016 59.42265276365054, 5.392587683172623 59.42221465377606, 5.393222901424389 59.421494958186585, 5.3934518981846225 59.42115261305486, 5.393775446983755 59.420737212387934, 5.393977329097284 59.420553639588405)</t>
  </si>
  <si>
    <t>[2094199, 2094035, 2094058, 2094066, 2094084, 2094119, 2094361]</t>
  </si>
  <si>
    <t>[1811962, 1811963, 1811978, 1811983, 1811995, 1812019, 1812162]</t>
  </si>
  <si>
    <t>0.034155282490196726</t>
  </si>
  <si>
    <t>[1812048, 1811962, 1811963, 1811978, 1811983, 1811995, 1812019]</t>
  </si>
  <si>
    <t>[0.05, 0.029, 0.051, 0.038, 0.022, 0.022, 0.026]</t>
  </si>
  <si>
    <t>351.4075805373211</t>
  </si>
  <si>
    <t>33.27077596030099</t>
  </si>
  <si>
    <t>[-0.009, -0.015, 0.027, 0.013]</t>
  </si>
  <si>
    <t>LINESTRING (5.393975133709445 59.420682326123774, 5.393897247676859 59.42083061954089, 5.3934944248161845 59.42154007764598, 5.393627022454613 59.42192057712662, 5.3936588186752825 59.422323484374274)</t>
  </si>
  <si>
    <t>[2094351, 2094280, 2094303, 2094306]</t>
  </si>
  <si>
    <t>[1812110, 1812111, 1812128, 1812094]</t>
  </si>
  <si>
    <t>0.002160427546958208</t>
  </si>
  <si>
    <t>[1812154, 1812110, 1812111, 1812128]</t>
  </si>
  <si>
    <t>[0.009, 0.015, 0.027, 0.013]</t>
  </si>
  <si>
    <t>192.36487588086217</t>
  </si>
  <si>
    <t>[-0.011, 0.007, 0.025, 0.04]</t>
  </si>
  <si>
    <t>LINESTRING (30.027475156290656 69.70787055761068, 30.027639969368725 69.707907176333, 30.027739358858188 69.7079779716761, 30.027717125626065 69.70805119986575, 30.027601375231136 69.7081059845023)</t>
  </si>
  <si>
    <t>[2095061, 2095069, 2095077, 2095085]</t>
  </si>
  <si>
    <t>[1812552, 1812557, 1812561, 1812565]</t>
  </si>
  <si>
    <t>0.015134539714522572</t>
  </si>
  <si>
    <t>[1812551, 1812552, 1812557, 1812561]</t>
  </si>
  <si>
    <t>[0.011, 0.007, 0.025, 0.04]</t>
  </si>
  <si>
    <t>32.27404503181272</t>
  </si>
  <si>
    <t>[-0.041, -0.031]</t>
  </si>
  <si>
    <t>LINESTRING (30.027034352959262 69.70791948946281, 30.027219723982626 69.70787179088146, 30.027475156290656 69.70787055761068)</t>
  </si>
  <si>
    <t>[2095117, 2095125]</t>
  </si>
  <si>
    <t>[1812587, 1812551]</t>
  </si>
  <si>
    <t>[1812580, 1812587]</t>
  </si>
  <si>
    <t>[0.041, 0.031]</t>
  </si>
  <si>
    <t>18.895471574190037</t>
  </si>
  <si>
    <t>LINESTRING (30.026861411685065 69.70750698690699, 30.02739524236863 69.70783099485598, 30.027475156290656 69.70787055761068)</t>
  </si>
  <si>
    <t>[2095180, 2095188]</t>
  </si>
  <si>
    <t>[1812616, 1812551]</t>
  </si>
  <si>
    <t>0.005543184394475711</t>
  </si>
  <si>
    <t>[1812615, 1812616]</t>
  </si>
  <si>
    <t>47.37118160035742</t>
  </si>
  <si>
    <t>[0.038, 0.025]</t>
  </si>
  <si>
    <t>LINESTRING (30.027601375231136 69.7081059845023, 30.027359064927428 69.70813664793089, 30.027139280071186 69.70811533242517)</t>
  </si>
  <si>
    <t>[2095093, 2095101]</t>
  </si>
  <si>
    <t>[1812571, 1812577]</t>
  </si>
  <si>
    <t>0.03189725541029735</t>
  </si>
  <si>
    <t>[1812565, 1812571]</t>
  </si>
  <si>
    <t>18.891546926886054</t>
  </si>
  <si>
    <t>[0.032, 0.022]</t>
  </si>
  <si>
    <t>LINESTRING (30.027601375231136 69.7081059845023, 30.02755225195689 69.70815809580411, 30.027404048759625 69.70846602435265)</t>
  </si>
  <si>
    <t>[2095260, 2095268]</t>
  </si>
  <si>
    <t>[1812658, 1812596]</t>
  </si>
  <si>
    <t>0.023490431223764683</t>
  </si>
  <si>
    <t>[1812565, 1812658]</t>
  </si>
  <si>
    <t>41.19036092981418</t>
  </si>
  <si>
    <t>24.811702235697624</t>
  </si>
  <si>
    <t>[0.008, 0.01]</t>
  </si>
  <si>
    <t>LINESTRING (30.027139280071186 69.70811533242517, 30.02718680942564 69.70816493698442, 30.027404048759625 69.70846602435265)</t>
  </si>
  <si>
    <t>[2095276, 2095284]</t>
  </si>
  <si>
    <t>[1812665, 1812596]</t>
  </si>
  <si>
    <t>0.00971214127352673</t>
  </si>
  <si>
    <t>[1812577, 1812665]</t>
  </si>
  <si>
    <t>40.66707808038598</t>
  </si>
  <si>
    <t>[0.02, 0.026]</t>
  </si>
  <si>
    <t>LINESTRING (30.026861411685065 69.70750698690699, 30.027026294682912 69.7078717679134, 30.027034352959262 69.70791948946281)</t>
  </si>
  <si>
    <t>[2095212, 2095220]</t>
  </si>
  <si>
    <t>[1812631, 1812580]</t>
  </si>
  <si>
    <t>0.020685865589289573</t>
  </si>
  <si>
    <t>[1812615, 1812631]</t>
  </si>
  <si>
    <t>46.82347833970245</t>
  </si>
  <si>
    <t>[-0.027, 0.028, 0.018]</t>
  </si>
  <si>
    <t>LINESTRING (5.4526948134209485 59.16995452371332, 5.453621793097128 59.17013788126289, 5.4527011246582395 59.16998780034789, 5.4526948134209485 59.16995452371332)</t>
  </si>
  <si>
    <t>[2096773, 2096782, 2096787]</t>
  </si>
  <si>
    <t>[1813589, 1813596, 1813576]</t>
  </si>
  <si>
    <t>[1813576, 1813589, 1813596]</t>
  </si>
  <si>
    <t>[0.027, 0.028, 0.018]</t>
  </si>
  <si>
    <t>139.67037288749535</t>
  </si>
  <si>
    <t>[0.034, 0.035]</t>
  </si>
  <si>
    <t>LINESTRING (11.049388476663468 60.84238447059054, 11.04912006279241 60.842591793885774, 11.049071271625944 60.84263034248574)</t>
  </si>
  <si>
    <t>[2096915, 2096923]</t>
  </si>
  <si>
    <t>[1813674, 1813606]</t>
  </si>
  <si>
    <t>0.03415486489056516</t>
  </si>
  <si>
    <t>[1813584, 1813674]</t>
  </si>
  <si>
    <t>32.605427799451185</t>
  </si>
  <si>
    <t>LINESTRING (11.049388476663468 60.84238447059054, 11.049321468279524 60.84261648239357, 11.049317470798036 60.842654938065564)</t>
  </si>
  <si>
    <t>[2096940, 2096947]</t>
  </si>
  <si>
    <t>[1813694, 1813586]</t>
  </si>
  <si>
    <t>0.027729715998143473</t>
  </si>
  <si>
    <t>[1813584, 1813694]</t>
  </si>
  <si>
    <t>30.40325059665458</t>
  </si>
  <si>
    <t>20.270612168195065</t>
  </si>
  <si>
    <t>[-0.024, -0.014]</t>
  </si>
  <si>
    <t>LINESTRING (11.049071271625944 60.84263034248574, 11.04919750877382 60.84262992284589, 11.049317470798036 60.842654938065564)</t>
  </si>
  <si>
    <t>[2096800, 2096808]</t>
  </si>
  <si>
    <t>[1813607, 1813586]</t>
  </si>
  <si>
    <t>[1813606, 1813607]</t>
  </si>
  <si>
    <t>[0.024, 0.014]</t>
  </si>
  <si>
    <t>13.960108988305873</t>
  </si>
  <si>
    <t>[0.034, 0.032, 0.028, 0.012, -0.009, -0.025, -0.032]</t>
  </si>
  <si>
    <t>LINESTRING (11.049439713677558 60.842818006886226, 11.049374537312385 60.84287883442322, 11.049257028267123 60.842920412695264, 11.04912295991878 60.842932018406145, 11.048916576004224 60.8428878290182, 11.048843009175364 60.84283172749604, 11.048828408425042 60.842754618509574, 11.048927185275135 60.84266637385105)</t>
  </si>
  <si>
    <t>[2096769, 2096776, 2096777, 2096778, 2096781, 2096796, 2096797]</t>
  </si>
  <si>
    <t>[1813588, 1813591, 1813592, 1813593, 1813595, 1813603, 1813604]</t>
  </si>
  <si>
    <t>0.0036457614919082645</t>
  </si>
  <si>
    <t>[1813587, 1813588, 1813591, 1813592, 1813593, 1813595, 1813603]</t>
  </si>
  <si>
    <t>[0.034, 0.032, 0.028, 0.012, 0.009, 0.025, 0.032]</t>
  </si>
  <si>
    <t>62.675121476494105</t>
  </si>
  <si>
    <t>8.804930437218259</t>
  </si>
  <si>
    <t>[-0.01, -0.003, 0.002, 0.01]</t>
  </si>
  <si>
    <t>LINESTRING (10.2565145914809 59.76366146778825, 10.2566444580616 59.76370376235687, 10.25669349411642 59.76375270435414, 10.256695625175416 59.76380797356487, 10.256620001341778 59.76387584814708)</t>
  </si>
  <si>
    <t>[2099077, 2099084, 2099092, 2099100]</t>
  </si>
  <si>
    <t>[1815148, 1815154, 1815161, 1815164]</t>
  </si>
  <si>
    <t>[1815147, 1815148, 1815154, 1815161]</t>
  </si>
  <si>
    <t>[0.01, 0.003, 0.002, 0.01]</t>
  </si>
  <si>
    <t>29.64318157481525</t>
  </si>
  <si>
    <t>LINESTRING (10.256281309574907 59.76369062978293, 10.256390557971617 59.76366094005617, 10.2565145914809 59.76366146778825)</t>
  </si>
  <si>
    <t>[2099175, 2099198]</t>
  </si>
  <si>
    <t>[1815211, 1815147]</t>
  </si>
  <si>
    <t>[1815206, 1815211]</t>
  </si>
  <si>
    <t>13.950978095753984</t>
  </si>
  <si>
    <t>LINESTRING (10.256620001341778 59.76387584814708, 10.25649377098986 59.76390708271887, 10.256356586350106 59.76389996292359)</t>
  </si>
  <si>
    <t>[2099101, 2099108]</t>
  </si>
  <si>
    <t>[1815165, 1815168]</t>
  </si>
  <si>
    <t>0.012504831238877986</t>
  </si>
  <si>
    <t>[1815164, 1815165]</t>
  </si>
  <si>
    <t>15.658732632797639</t>
  </si>
  <si>
    <t>LINESTRING (10.256620001341778 59.76387584814708, 10.256628022992281 59.76392480014342, 10.256543958839213 59.76416497987876)</t>
  </si>
  <si>
    <t>[2099349, 2099364]</t>
  </si>
  <si>
    <t>[1815322, 1815310]</t>
  </si>
  <si>
    <t>0.004333285738856264</t>
  </si>
  <si>
    <t>[1815164, 1815322]</t>
  </si>
  <si>
    <t>32.84660021428365</t>
  </si>
  <si>
    <t>6.977083918192014</t>
  </si>
  <si>
    <t>[-0.002, -0.001]</t>
  </si>
  <si>
    <t>LINESTRING (10.256356586350106 59.76389996292359, 10.25639999158122 59.76394975379464, 10.256543958839213 59.76416497987876)</t>
  </si>
  <si>
    <t>[2099319, 2099326]</t>
  </si>
  <si>
    <t>[1815305, 1815310]</t>
  </si>
  <si>
    <t>[1815168, 1815305]</t>
  </si>
  <si>
    <t>31.380564635099244</t>
  </si>
  <si>
    <t>LINESTRING (10.256256850999836 59.76386271548295, 10.256204849304465 59.76380578660317, 10.256213727254877 59.76374332388437)</t>
  </si>
  <si>
    <t>[2099133, 2099158]</t>
  </si>
  <si>
    <t>[1815182, 1815199]</t>
  </si>
  <si>
    <t>1.8640094131403303e-06</t>
  </si>
  <si>
    <t>[1815172, 1815182]</t>
  </si>
  <si>
    <t>13.966508426688083</t>
  </si>
  <si>
    <t>LINESTRING (10.256256850999836 59.76386271548295, 10.256150364198392 59.76385666066242, 10.255652445725316 59.76378679718769)</t>
  </si>
  <si>
    <t>[2099327, 2099339]</t>
  </si>
  <si>
    <t>[1815311, 1815304]</t>
  </si>
  <si>
    <t>0.013828622339052186</t>
  </si>
  <si>
    <t>[1815172, 1815311]</t>
  </si>
  <si>
    <t>35.15617711859599</t>
  </si>
  <si>
    <t>6.995269830292357</t>
  </si>
  <si>
    <t>LINESTRING (10.256213727254877 59.76374332388437, 10.256121420255885 59.76375041955452, 10.255652445725316 59.76378679718769)</t>
  </si>
  <si>
    <t>[2099311, 2099318]</t>
  </si>
  <si>
    <t>[1815300, 1815304]</t>
  </si>
  <si>
    <t>0.015671141592884928</t>
  </si>
  <si>
    <t>[1815199, 1815300]</t>
  </si>
  <si>
    <t>31.927186812544697</t>
  </si>
  <si>
    <t>13.871952729062754</t>
  </si>
  <si>
    <t>13.553475573892488</t>
  </si>
  <si>
    <t>[-0.036, -0.067, -0.109, 0.042, 0.098]</t>
  </si>
  <si>
    <t>LINESTRING (5.5906732337230505 59.137392741451, 5.590611372639398 59.13735538109794, 5.589711077439967 59.13703008507639, 5.589572708628254 59.137080520156985, 5.590071954961018 59.1373823102809, 5.5906732337230505 59.137392741451)</t>
  </si>
  <si>
    <t>[2103188, 2103190, 2103204, 2103210, 2103218]</t>
  </si>
  <si>
    <t>[1817683, 1817685, 1817694, 1259208, 1817674]</t>
  </si>
  <si>
    <t>0.00015389042095079693</t>
  </si>
  <si>
    <t>[1817674, 1817683, 1817685, 1817694, 1259208]</t>
  </si>
  <si>
    <t>[0.036, 0.067, 0.109, 0.042, 0.098]</t>
  </si>
  <si>
    <t>168.29786102240814</t>
  </si>
  <si>
    <t>[0.008, -0.009]</t>
  </si>
  <si>
    <t>LINESTRING (11.239837495524604 60.410666268932786, 11.240911087086147 60.417144445481455, 11.24084140639747 60.417600860280906)</t>
  </si>
  <si>
    <t>[2105482, 2105490]</t>
  </si>
  <si>
    <t>[1819057, 1819047]</t>
  </si>
  <si>
    <t>0.006888531331011566</t>
  </si>
  <si>
    <t>[1819007, 1819057]</t>
  </si>
  <si>
    <t>780.1180493126094</t>
  </si>
  <si>
    <t>[0.037, 0.008]</t>
  </si>
  <si>
    <t>96.0</t>
  </si>
  <si>
    <t>LINESTRING (11.239656115986012 60.41011459720315, 11.240045084054836 60.41068146671756, 11.241100485675062 60.41709104707311)</t>
  </si>
  <si>
    <t>[2105433, 2105441]</t>
  </si>
  <si>
    <t>[1819027, 1819033]</t>
  </si>
  <si>
    <t>0.01045492061207298</t>
  </si>
  <si>
    <t>[1819018, 1819027]</t>
  </si>
  <si>
    <t>788.0067950103673</t>
  </si>
  <si>
    <t>[-0.01, -0.013, 0.038, 0.051]</t>
  </si>
  <si>
    <t>LINESTRING (11.243097497457944 60.51058544185445, 11.243102416969528 60.5106038631767, 11.243371262721023 60.51160857346667, 11.243050895105512 60.51773195263954, 11.24304715179056 60.517742219920564)</t>
  </si>
  <si>
    <t>[2105514, 2105522, 2105546, 2105554]</t>
  </si>
  <si>
    <t>[1819079, 1819084, 1819098, 1819103]</t>
  </si>
  <si>
    <t>0.030730757121320083</t>
  </si>
  <si>
    <t>[1819073, 1819079, 1819084, 1819098]</t>
  </si>
  <si>
    <t>[0.01, 0.013, 0.038, 0.051]</t>
  </si>
  <si>
    <t>803.890932633888</t>
  </si>
  <si>
    <t>[0.008, -0.004, -0.038, -0.025, -0.016, -0.018, -0.01, 0.036, 0.037, 0.0, -0.003, -0.003]</t>
  </si>
  <si>
    <t>10443.0</t>
  </si>
  <si>
    <t>LINESTRING (11.24304715179056 60.517742219920564, 11.242824365942342 60.518355790959205, 11.242536336019203 60.52523362382563, 11.242874125495105 60.52798677137274, 11.243263397791521 60.53115868543363, 11.24354744880765 60.53347524277773, 11.243582395956825 60.53375958996852, 11.244311023180979 60.53708424949308, 11.245438463298711 60.5394234645051, 11.246212302854362 60.54157492395777, 11.24704078327734 60.54807890710934, 11.253288155233122 60.55931738261262, 11.253456841735092 60.55962356403707)</t>
  </si>
  <si>
    <t>[2105562, 2105610, 2105618, 2105626, 2105634, 2105642, 1104739, 1104751, 1104759, 1104761, 2105706, 2105714]</t>
  </si>
  <si>
    <t>[1819109, 1819134, 1819139, 1819141, 1819144, 1046048, 1046049, 1046062, 1046069, 1046071, 1819175, 1819179]</t>
  </si>
  <si>
    <t>[1819103, 1819109, 1819134, 1819139, 1819141, 1819144, 1046048, 1046049, 1046062, 1046069, 1046071, 1819175]</t>
  </si>
  <si>
    <t>[0.008, 0.004, 0.038, 0.025, 0.016, 0.018, 0.01, 0.036, 0.037, 0.0, 0.003, 0.003]</t>
  </si>
  <si>
    <t>4747.825855343416</t>
  </si>
  <si>
    <t>[-0.004, -0.041, -0.027, -0.017, -0.019, -0.01, 0.044, 0.037, -0.0, -0.003, -0.085]</t>
  </si>
  <si>
    <t>LINESTRING (11.243003725225385 60.518371451627225, 11.242718769796943 60.52523458464942, 11.243056362456702 60.52798563156593, 11.243445241275971 60.53115511575835, 11.24372953030804 60.533469890455926, 11.243764181970569 60.533751766394154, 11.24449434806806 60.53707495783217, 11.245619825061025 60.539413432666926, 11.246393396363962 60.54156400242132, 11.247222483705615 60.54807738480945, 11.253431779321764 60.55923247442332, 11.253433855259203 60.559236146060336)</t>
  </si>
  <si>
    <t>[2105650, 2105658, 2105666, 2105674, 2105682, 1104763, 1104771, 1104788, 1104798, 2105722, 2105730]</t>
  </si>
  <si>
    <t>[337136, 1819155, 1819158, 1819162, 1046073, 1046074, 1046081, 1046096, 1046103, 1819185, 1819189]</t>
  </si>
  <si>
    <t>[1819130, 337136, 1819155, 1819158, 1819162, 1046073, 1046074, 1046081, 1046096, 1046103, 1819185]</t>
  </si>
  <si>
    <t>[0.004, 0.041, 0.027, 0.017, 0.019, 0.01, 0.044, 0.037, 0.0, 0.003, 0.085]</t>
  </si>
  <si>
    <t>4631.981175908967</t>
  </si>
  <si>
    <t>855.4256433916601</t>
  </si>
  <si>
    <t>[0.023, 0.026, 0.018, 0.008, 0.004, 0.007, 0.004, 0.001, 0.002, 0.009]</t>
  </si>
  <si>
    <t>LINESTRING (6.515876939252566 61.9829922618871, 6.516017633954294 61.98371390640694, 6.516026790338176 61.983750404120975, 6.516009353836289 61.984918212324445, 6.515985964952567 61.984989139321534, 6.515952671791703 61.985071438654415, 6.51593304930992 61.98511752529157, 6.515598875710411 61.985675578277345, 6.515514103450236 61.985775562227346, 6.5148114544718805 61.98640914924245, 6.51468106770761 61.986477945447156)</t>
  </si>
  <si>
    <t>[2106794, 2106900, 2106915, 2106932, 2106828, 2106836, 2107173, 2107181, 2107189, 2107197]</t>
  </si>
  <si>
    <t>[1819809, 1819858, 1819867, 1819826, 1819827, 1819829, 1820021, 1820029, 1820035, 1819833]</t>
  </si>
  <si>
    <t>0.012302050816256191</t>
  </si>
  <si>
    <t>[1819808, 1819809, 1819858, 1819867, 1819826, 1819827, 1819829, 1820021, 1820029, 1820035]</t>
  </si>
  <si>
    <t>405.7072062865282</t>
  </si>
  <si>
    <t>[0.02, 0.017, 0.008, 0.006, 0.004, 0.003, 0.003, 0.004, 0.015]</t>
  </si>
  <si>
    <t>LINESTRING (6.515876939252566 61.9829922618871, 6.515915970954944 61.983743250026066, 6.515850829951977 61.98493130723689, 6.515825624040495 61.98500330489592, 6.5157833445863815 61.985105424415096, 6.515459194172233 61.98565407221297, 6.5153821056899925 61.9857533579005, 6.515344726072272 61.98579983480079, 6.514752459219298 61.98639319227907, 6.51468106770761 61.986477945447156)</t>
  </si>
  <si>
    <t>[2106801, 2106809, 2106810, 2106842, 2107133, 2107141, 2107149, 2107157, 2107165]</t>
  </si>
  <si>
    <t>[1819812, 1819816, 1819817, 1819832, 1819996, 1820000, 1820005, 1820011, 1819833]</t>
  </si>
  <si>
    <t>0.012039810329705193</t>
  </si>
  <si>
    <t>[1819808, 1819812, 1819816, 1819817, 1819832, 1819996, 1820000, 1820005, 1820011]</t>
  </si>
  <si>
    <t>401.5030722492302</t>
  </si>
  <si>
    <t>LINESTRING (10.974206327951332 60.25883367483744, 10.974301471959539 60.258821199635605, 10.974383939119043 60.25881132419231)</t>
  </si>
  <si>
    <t>[2107954, 2107955]</t>
  </si>
  <si>
    <t>[1820461, 1820462]</t>
  </si>
  <si>
    <t>[1820460, 1820461]</t>
  </si>
  <si>
    <t>10.146302931948012</t>
  </si>
  <si>
    <t>8.399392596956774</t>
  </si>
  <si>
    <t>8.25588868640084</t>
  </si>
  <si>
    <t>[-0.03, -0.031]</t>
  </si>
  <si>
    <t>LINESTRING (10.97416063620566 60.25876180428528, 10.974273635478827 60.258748459832205, 10.974337652899608 60.258740901058935)</t>
  </si>
  <si>
    <t>[2108022, 2108028]</t>
  </si>
  <si>
    <t>[1820507, 1820483]</t>
  </si>
  <si>
    <t>[1820477, 1820507]</t>
  </si>
  <si>
    <t>10.075320989298515</t>
  </si>
  <si>
    <t>[0.126, 0.139, 0.178, -0.098, -0.291, -0.015]</t>
  </si>
  <si>
    <t>3587.0</t>
  </si>
  <si>
    <t>LINESTRING (6.434928215515121 60.64215586546621, 6.4337781031628465 60.642161738990914, 6.432242542949265 60.64209002426708, 6.419976570713974 60.6380421306738, 6.401832001169831 60.6287252927243, 6.40115199571655 60.6278226011488, 6.400893407989787 60.62749815314325)</t>
  </si>
  <si>
    <t>[2115346, 2115354, 2115362, 2112910, 2112918, 2112926]</t>
  </si>
  <si>
    <t>[1824400, 1824405, 1822989, 1822990, 1822993, 1822981]</t>
  </si>
  <si>
    <t>[1824399, 1824400, 1824405, 1822989, 1822990, 1822993]</t>
  </si>
  <si>
    <t>[0.126, 0.139, 0.178, 0.098, 0.291, 0.015]</t>
  </si>
  <si>
    <t>2572.668391137842</t>
  </si>
  <si>
    <t>[0.033, 0.034]</t>
  </si>
  <si>
    <t>LINESTRING (6.4356987556648555 60.642533817410374, 6.435577640273268 60.642360803110996, 6.435554868073593 60.642316644816205)</t>
  </si>
  <si>
    <t>[2115314, 2115322]</t>
  </si>
  <si>
    <t>[1824383, 1824388]</t>
  </si>
  <si>
    <t>0.03319768919529742</t>
  </si>
  <si>
    <t>[1824379, 1824383]</t>
  </si>
  <si>
    <t>25.732987908723153</t>
  </si>
  <si>
    <t>[-0.047, -0.046]</t>
  </si>
  <si>
    <t>LINESTRING (6.4356987556648555 60.642533817410374, 6.435814208444515 60.642370578292805, 6.435840566473329 60.64232322875554)</t>
  </si>
  <si>
    <t>[2115330, 2115338]</t>
  </si>
  <si>
    <t>[1824391, 1824394]</t>
  </si>
  <si>
    <t>[1824379, 1824391]</t>
  </si>
  <si>
    <t>[0.047, 0.046]</t>
  </si>
  <si>
    <t>24.7800779289131</t>
  </si>
  <si>
    <t>16.944030890547104</t>
  </si>
  <si>
    <t>[0.131, 0.124]</t>
  </si>
  <si>
    <t>LINESTRING (6.435840566473329 60.64232322875554, 6.435714912761757 60.642333011541844, 6.435554868073593 60.642316644816205)</t>
  </si>
  <si>
    <t>[2141077, 2141085]</t>
  </si>
  <si>
    <t>[1839031, 1824388]</t>
  </si>
  <si>
    <t>0.1270634932729117</t>
  </si>
  <si>
    <t>[1824394, 1839031]</t>
  </si>
  <si>
    <t>15.941925701597299</t>
  </si>
  <si>
    <t>41.39272490118898</t>
  </si>
  <si>
    <t>[0.114, 0.116]</t>
  </si>
  <si>
    <t>LINESTRING (6.435342960477559 60.64221014505843, 6.435245821424308 60.64220428097909, 6.434928215515121 60.64215586546621)</t>
  </si>
  <si>
    <t>[2115370, 2115378]</t>
  </si>
  <si>
    <t>[1824415, 1824399]</t>
  </si>
  <si>
    <t>0.11555241905882518</t>
  </si>
  <si>
    <t>[1824414, 1824415]</t>
  </si>
  <si>
    <t>23.98306033475826</t>
  </si>
  <si>
    <t>[0.136, 0.11]</t>
  </si>
  <si>
    <t>LINESTRING (6.435336173329379 60.64206972393561, 6.435254421127904 60.642080123421344, 6.434928215515121 60.64215586546621)</t>
  </si>
  <si>
    <t>[2115386, 2115394]</t>
  </si>
  <si>
    <t>[1824426, 1824399]</t>
  </si>
  <si>
    <t>0.11473403389091172</t>
  </si>
  <si>
    <t>[1824425, 1824426]</t>
  </si>
  <si>
    <t>25.435605341283562</t>
  </si>
  <si>
    <t>[0.021, -0.032]</t>
  </si>
  <si>
    <t>LINESTRING (6.435342960477559 60.64221014505843, 6.435314185886941 60.64214922622985, 6.435336173329379 60.64206972393561)</t>
  </si>
  <si>
    <t>[2141029, 2141037]</t>
  </si>
  <si>
    <t>[1839000, 1824425]</t>
  </si>
  <si>
    <t>[1824414, 1839000]</t>
  </si>
  <si>
    <t>[0.021, 0.032]</t>
  </si>
  <si>
    <t>15.943934930755198</t>
  </si>
  <si>
    <t>33.873071207823436</t>
  </si>
  <si>
    <t>[0.901, -0.017, -0.221]</t>
  </si>
  <si>
    <t>LINESTRING (6.435839934260956 60.64194785150376, 6.435865177831518 60.64192586199587, 6.43587359313819 60.64191852919931, 6.436135129933391 60.64177920979084)</t>
  </si>
  <si>
    <t>[2115418, 2115426, 2115434]</t>
  </si>
  <si>
    <t>[1824449, 1824455, 1824435]</t>
  </si>
  <si>
    <t>[1824448, 1824449, 1824455]</t>
  </si>
  <si>
    <t>[0.901, 0.017, 0.221]</t>
  </si>
  <si>
    <t>24.920095826509808</t>
  </si>
  <si>
    <t>[-0.056, -0.073, -0.139]</t>
  </si>
  <si>
    <t>LINESTRING (6.436037240461131 60.64201746520998, 6.436064586944554 60.64198251597731, 6.4360736963986165 60.64197086584315, 6.436135129933391 60.64177920979084)</t>
  </si>
  <si>
    <t>[2115482, 2115490, 2115498]</t>
  </si>
  <si>
    <t>[1824491, 1824496, 1824435]</t>
  </si>
  <si>
    <t>[1824490, 1824491, 1824496]</t>
  </si>
  <si>
    <t>[0.056, 0.073, 0.139]</t>
  </si>
  <si>
    <t>27.24200169339761</t>
  </si>
  <si>
    <t>[-0.104, 0.231]</t>
  </si>
  <si>
    <t>LINESTRING (6.435839934260956 60.64194785150376, 6.4359348197785575 60.6419703318241, 6.436037240461131 60.64201746520998)</t>
  </si>
  <si>
    <t>[2141053, 2141061]</t>
  </si>
  <si>
    <t>[1839015, 1824490]</t>
  </si>
  <si>
    <t>0.0873685613609734</t>
  </si>
  <si>
    <t>[1824448, 1839015]</t>
  </si>
  <si>
    <t>[0.104, 0.231]</t>
  </si>
  <si>
    <t>13.475207773474345</t>
  </si>
  <si>
    <t>[0.007, 0.002, -0.002, -0.007]</t>
  </si>
  <si>
    <t>LINESTRING (5.643840715725656 59.00704004858168, 5.643911341076913 59.00709341140727, 5.643911758405894 59.00714141488229, 5.6438579889437985 59.00718831727727, 5.643798397916456 59.00720740167803)</t>
  </si>
  <si>
    <t>[2118445, 2118453, 2118461, 2118480]</t>
  </si>
  <si>
    <t>[1826300, 1826304, 1826309, 1826318]</t>
  </si>
  <si>
    <t>0.0009151710783544511</t>
  </si>
  <si>
    <t>[1825897, 1826300, 1826304, 1826309]</t>
  </si>
  <si>
    <t>[0.007, 0.002, 0.002, 0.007]</t>
  </si>
  <si>
    <t>22.71635435879522</t>
  </si>
  <si>
    <t>[-0.006, -0.001, 0.004, 0.009]</t>
  </si>
  <si>
    <t>LINESTRING (5.643577104645958 59.00717096992969, 5.643549953787522 59.00713761213011, 5.643559755643678 59.00708249026142, 5.643620852655578 59.00704088484396, 5.643840715725656 59.00704004858168)</t>
  </si>
  <si>
    <t>[2118504, 2118519, 2118527, 2118439]</t>
  </si>
  <si>
    <t>[1826092, 1826345, 1826103, 1825897]</t>
  </si>
  <si>
    <t>0.0038409057149444512</t>
  </si>
  <si>
    <t>[1826329, 1826092, 1826345, 1826103]</t>
  </si>
  <si>
    <t>[0.006, 0.001, 0.004, 0.009]</t>
  </si>
  <si>
    <t>29.396128484379645</t>
  </si>
  <si>
    <t>[0.0, -0.004, 0.002, 0.006]</t>
  </si>
  <si>
    <t>LINESTRING (5.639244217225327 59.0065678766036, 5.639244217225327 59.0065678766036, 5.639171513798117 59.00665368817889, 5.640524359576818 59.007397517088684, 5.640621135251987 59.00733677715998)</t>
  </si>
  <si>
    <t>[2117828, 2117836, 2117844, 2118113]</t>
  </si>
  <si>
    <t>[1825904, 1825909, 1825916, 1825996]</t>
  </si>
  <si>
    <t>0.0019039397708951896</t>
  </si>
  <si>
    <t>[1300832, 1825904, 1825909, 1825916]</t>
  </si>
  <si>
    <t>[0.0, 0.004, 0.002, 0.006]</t>
  </si>
  <si>
    <t>348.344546184638</t>
  </si>
  <si>
    <t>[-0.019, -0.021]</t>
  </si>
  <si>
    <t>LINESTRING (5.640621135251987 59.00733677715998, 5.639063402000005 59.0087833888376, 5.638361954304931 59.00944750921532)</t>
  </si>
  <si>
    <t>[2117989, 2117997]</t>
  </si>
  <si>
    <t>[1826003, 1826007]</t>
  </si>
  <si>
    <t>[1825996, 1826003]</t>
  </si>
  <si>
    <t>269.4242847674815</t>
  </si>
  <si>
    <t>[0.021, 0.014, -0.001, -0.003]</t>
  </si>
  <si>
    <t>LINESTRING (5.638361954304931 59.00944750921532, 5.638416633553381 59.0093653545816, 5.639020006259035 59.00664093540695, 5.638996957329381 59.006549770521204, 5.638984419850691 59.00652518618558)</t>
  </si>
  <si>
    <t>[2118100, 2118074, 2118082, 2118090]</t>
  </si>
  <si>
    <t>[1826053, 1826054, 1826060, 1300825]</t>
  </si>
  <si>
    <t>0.013603825227722095</t>
  </si>
  <si>
    <t>[1826007, 1826053, 1826054, 1826060]</t>
  </si>
  <si>
    <t>[0.021, 0.014, 0.001, 0.003]</t>
  </si>
  <si>
    <t>339.3657801974463</t>
  </si>
  <si>
    <t>[-0.01, -0.008]</t>
  </si>
  <si>
    <t>LINESTRING (5.643798397916456 59.00720740167803, 5.643653331752169 59.00720457754097, 5.643577104645958 59.00717096992969)</t>
  </si>
  <si>
    <t>[2118488, 2118496]</t>
  </si>
  <si>
    <t>[1826322, 1826329]</t>
  </si>
  <si>
    <t>[1826318, 1826322]</t>
  </si>
  <si>
    <t>[0.01, 0.008]</t>
  </si>
  <si>
    <t>14.148155075113554</t>
  </si>
  <si>
    <t>53.68039082537907</t>
  </si>
  <si>
    <t>[0.018, 0.022]</t>
  </si>
  <si>
    <t>LINESTRING (10.37327218906683 63.36037264303257, 10.373218347683368 63.360319844603794, 10.373221686458313 63.3602577257615)</t>
  </si>
  <si>
    <t>[2121314, 2121322]</t>
  </si>
  <si>
    <t>[1827943, 1827948]</t>
  </si>
  <si>
    <t>0.02006767565672937</t>
  </si>
  <si>
    <t>[1827940, 1827943]</t>
  </si>
  <si>
    <t>13.40250354304975</t>
  </si>
  <si>
    <t>54.23638898579122</t>
  </si>
  <si>
    <t>[-0.024, -0.027]</t>
  </si>
  <si>
    <t>LINESTRING (10.372163391601067 63.360358307652604, 10.372228678518919 63.360416505085134, 10.37222682214231 63.36047786279762)</t>
  </si>
  <si>
    <t>[2121410, 2121370]</t>
  </si>
  <si>
    <t>[1827970, 1827971]</t>
  </si>
  <si>
    <t>[1827985, 1827970]</t>
  </si>
  <si>
    <t>14.107136962192548</t>
  </si>
  <si>
    <t>[-0.013, -0.035]</t>
  </si>
  <si>
    <t>LINESTRING (11.889589102570078 60.20796443667691, 11.889490255170337 60.20801297568458, 11.88937017984383 60.20803783330744)</t>
  </si>
  <si>
    <t>[2126914, 2126922]</t>
  </si>
  <si>
    <t>[1831181, 1831185]</t>
  </si>
  <si>
    <t>[1831177, 1831181]</t>
  </si>
  <si>
    <t>[0.013, 0.035]</t>
  </si>
  <si>
    <t>14.91049104731493</t>
  </si>
  <si>
    <t>LINESTRING (11.889589102570078 60.20796443667691, 11.889602170812502 60.208001440919446, 11.889688982490297 60.20816033242865)</t>
  </si>
  <si>
    <t>[2127155, 2127163]</t>
  </si>
  <si>
    <t>[1831299, 1831258]</t>
  </si>
  <si>
    <t>0.05307108096814664</t>
  </si>
  <si>
    <t>[1831177, 1831299]</t>
  </si>
  <si>
    <t>22.531040851691976</t>
  </si>
  <si>
    <t>LINESTRING (11.88937017984383 60.20803783330744, 11.889441762217396 60.20805695464316, 11.889688982490297 60.20816033242865)</t>
  </si>
  <si>
    <t>[2127139, 2127147]</t>
  </si>
  <si>
    <t>[1831292, 1831258]</t>
  </si>
  <si>
    <t>[1831185, 1831292]</t>
  </si>
  <si>
    <t>22.40862854446011</t>
  </si>
  <si>
    <t>[0.009, 0.048]</t>
  </si>
  <si>
    <t>LINESTRING (11.890410307804697 60.2087890941788, 11.890478544188124 60.208754932200904, 11.890576630821247 60.20873539834215)</t>
  </si>
  <si>
    <t>[2127010, 2127018]</t>
  </si>
  <si>
    <t>[1831228, 1831205]</t>
  </si>
  <si>
    <t>0.02935335148452033</t>
  </si>
  <si>
    <t>[1831224, 1831228]</t>
  </si>
  <si>
    <t>11.224398635051749</t>
  </si>
  <si>
    <t>[0.07, 0.077]</t>
  </si>
  <si>
    <t>LINESTRING (11.890279479876439 60.20860343544317, 11.890517989642252 60.20871077653844, 11.890576630821247 60.20873539834215)</t>
  </si>
  <si>
    <t>[2127050, 2127058]</t>
  </si>
  <si>
    <t>[1831248, 1831205]</t>
  </si>
  <si>
    <t>0.0713337574638664</t>
  </si>
  <si>
    <t>[1831247, 1831248]</t>
  </si>
  <si>
    <t>22.326510290587493</t>
  </si>
  <si>
    <t>[0.056, 0.059]</t>
  </si>
  <si>
    <t>LINESTRING (11.890279479876439 60.20860343544317, 11.890390803332131 60.20875369123052, 11.890410307804697 60.2087890941788)</t>
  </si>
  <si>
    <t>[2127090, 2127098]</t>
  </si>
  <si>
    <t>[1831272, 1831224]</t>
  </si>
  <si>
    <t>0.05655278109636092</t>
  </si>
  <si>
    <t>[1831247, 1831272]</t>
  </si>
  <si>
    <t>22.196172938798274</t>
  </si>
  <si>
    <t>[0.065, 0.065, 0.058]</t>
  </si>
  <si>
    <t>LINESTRING (11.889688982490297 60.20816033242865, 11.889728771343702 60.20819011026954, 11.890228555822329 60.20856539924533, 11.890279479876439 60.20860343544317)</t>
  </si>
  <si>
    <t>[2127066, 2127074, 2127082]</t>
  </si>
  <si>
    <t>[1831259, 1831263, 1831247]</t>
  </si>
  <si>
    <t>0.06439826361575375</t>
  </si>
  <si>
    <t>[1831258, 1831259, 1831263]</t>
  </si>
  <si>
    <t>59.23745284638777</t>
  </si>
  <si>
    <t>[-0.023, -0.029]</t>
  </si>
  <si>
    <t>LINESTRING (10.885466592895188 63.490351996231055, 10.885447071051502 63.49031020377245, 10.885483368645087 63.49026763532457)</t>
  </si>
  <si>
    <t>[2128219, 2128227]</t>
  </si>
  <si>
    <t>[1831882, 1831888]</t>
  </si>
  <si>
    <t>[1831880, 1831882]</t>
  </si>
  <si>
    <t>9.838139079802971</t>
  </si>
  <si>
    <t>[-0.326, -0.004, 0.035, 0.523]</t>
  </si>
  <si>
    <t>LINESTRING (10.885466592895188 63.490351996231055, 10.885339782286309 63.49032888732512, 10.884449443571507 63.49026885918413, 10.884387715793055 63.4902736534309, 10.884277703763471 63.490282199553754)</t>
  </si>
  <si>
    <t>[2161316, 2161324, 2161332, 2161340]</t>
  </si>
  <si>
    <t>[1850715, 1850721, 1850724, 1831911]</t>
  </si>
  <si>
    <t>0.010175287950210677</t>
  </si>
  <si>
    <t>[1831880, 1850715, 1850721, 1850724]</t>
  </si>
  <si>
    <t>[0.326, 0.004, 0.035, 0.523]</t>
  </si>
  <si>
    <t>60.43242112284427</t>
  </si>
  <si>
    <t>[-0.349, -0.004, 0.017, 0.535]</t>
  </si>
  <si>
    <t>LINESTRING (10.885483368645087 63.49026763532457, 10.885356575044122 63.49027471069652, 10.88445922497023 63.49021910999082, 10.88440821886686 63.49020867146274, 10.884312421954176 63.490185833929125)</t>
  </si>
  <si>
    <t>[2161348, 2161356, 2161364, 2161372]</t>
  </si>
  <si>
    <t>[1850733, 1850737, 1850741, 1831943]</t>
  </si>
  <si>
    <t>0.008997892500888383</t>
  </si>
  <si>
    <t>[1831888, 1850733, 1850737, 1850741]</t>
  </si>
  <si>
    <t>[0.349, 0.004, 0.017, 0.535]</t>
  </si>
  <si>
    <t>59.85999076798525</t>
  </si>
  <si>
    <t>[0.027, 0.029]</t>
  </si>
  <si>
    <t>LINESTRING (10.884312421954176 63.490185833929125, 10.884332341012147 63.490235745752614, 10.884277703763471 63.490282199553754)</t>
  </si>
  <si>
    <t>[2128315, 2128323]</t>
  </si>
  <si>
    <t>[1831948, 1831911]</t>
  </si>
  <si>
    <t>0.028017268461450587</t>
  </si>
  <si>
    <t>[1831943, 1831948]</t>
  </si>
  <si>
    <t>11.502834590953182</t>
  </si>
  <si>
    <t>[0.023, 0.018, 0.022, 0.025]</t>
  </si>
  <si>
    <t>LINESTRING (8.577221647960387 58.34442074080637, 8.571124180739611 58.3429385482438, 8.570887033564018 58.342874490808164, 8.56980131355329 58.34255946687061, 8.56932798602575 58.34241211969472)</t>
  </si>
  <si>
    <t>[2133620, 2133628, 2133636, 2133644]</t>
  </si>
  <si>
    <t>[1834982, 1834985, 1834989, 1834993]</t>
  </si>
  <si>
    <t>0.022832551662622515</t>
  </si>
  <si>
    <t>[1834979, 1834982, 1834985, 1834989]</t>
  </si>
  <si>
    <t>515.8721678216708</t>
  </si>
  <si>
    <t>[0.005, 0.01, 0.023, 0.023, 0.02]</t>
  </si>
  <si>
    <t>LINESTRING (8.580198291774987 58.34622722404893, 8.579907708028175 58.34603810530792, 8.57740968618044 58.344440608664804, 8.577284686392362 58.344385600537954, 8.571175104183528 58.342899224073165, 8.570937397963565 58.34283503945394)</t>
  </si>
  <si>
    <t>[2133708, 2133716, 2133724, 2133732, 2133740]</t>
  </si>
  <si>
    <t>[1835029, 1835033, 1835038, 1835042, 1835047]</t>
  </si>
  <si>
    <t>0.017792055754916172</t>
  </si>
  <si>
    <t>[1835024, 1835029, 1835033, 1835038, 1835042]</t>
  </si>
  <si>
    <t>679.5830406426977</t>
  </si>
  <si>
    <t>LINESTRING (10.91350951659401 63.46698922937055, 10.914699231187832 63.467017398236614, 10.914834474178967 63.46703267023077)</t>
  </si>
  <si>
    <t>[2134996, 2135004]</t>
  </si>
  <si>
    <t>[1835713, 1835717]</t>
  </si>
  <si>
    <t>0.030790658484290877</t>
  </si>
  <si>
    <t>[1835632, 1835713]</t>
  </si>
  <si>
    <t>66.45349175386862</t>
  </si>
  <si>
    <t>[0.031, 0.03]</t>
  </si>
  <si>
    <t>LINESTRING (10.913515274945075 63.46691307314902, 10.914722733850708 63.46689957549782, 10.91483261447477 63.46688673479996)</t>
  </si>
  <si>
    <t>[2135028, 2135036]</t>
  </si>
  <si>
    <t>[1835736, 1835745]</t>
  </si>
  <si>
    <t>0.030914156795888277</t>
  </si>
  <si>
    <t>[1835660, 1835736]</t>
  </si>
  <si>
    <t>65.97306617886495</t>
  </si>
  <si>
    <t>[-0.007, 0.008]</t>
  </si>
  <si>
    <t>LINESTRING (10.914834474178967 63.46703267023077, 10.914791377742631 63.466957373718714, 10.91483261447477 63.46688673479996)</t>
  </si>
  <si>
    <t>[2135100, 2135108]</t>
  </si>
  <si>
    <t>[1835786, 1835745]</t>
  </si>
  <si>
    <t>0.00026526959101101926</t>
  </si>
  <si>
    <t>[1835717, 1835786]</t>
  </si>
  <si>
    <t>16.803827315484536</t>
  </si>
  <si>
    <t>[-0.007, -0.01, -0.009, -0.016]</t>
  </si>
  <si>
    <t>LINESTRING (10.91540204047752 63.4670375662388, 10.91523515989134 63.467097621474856, 10.915088854049365 63.467105915948885, 10.914974153657553 63.46709158189769, 10.914834474178967 63.46703267023077)</t>
  </si>
  <si>
    <t>[2135068, 2135076, 2135084, 2135092]</t>
  </si>
  <si>
    <t>[1835676, 1835772, 1835683, 1835717]</t>
  </si>
  <si>
    <t>[1835761, 1835676, 1835772, 1835683]</t>
  </si>
  <si>
    <t>[0.007, 0.01, 0.009, 0.016]</t>
  </si>
  <si>
    <t>33.54691876132448</t>
  </si>
  <si>
    <t>34.430209610390506</t>
  </si>
  <si>
    <t>[0.001, -0.003]</t>
  </si>
  <si>
    <t>LINESTRING (10.915408515858893 63.466885307530575, 10.915451669580932 63.46696077624158, 10.91540204047752 63.4670375662388)</t>
  </si>
  <si>
    <t>[2135052, 2135060]</t>
  </si>
  <si>
    <t>[1835755, 1835761]</t>
  </si>
  <si>
    <t>[1835749, 1835755]</t>
  </si>
  <si>
    <t>17.59536008702197</t>
  </si>
  <si>
    <t>[-0.012, -0.022, -0.021, -0.02]</t>
  </si>
  <si>
    <t>LINESTRING (7.092010401239533 58.157521032834055, 7.0917817474352525 58.15762872479873, 7.091659138663504 58.15762365697528, 7.0915600782691195 58.157595053739925, 7.091529554687496 58.15757889781873)</t>
  </si>
  <si>
    <t>[2137659, 2137667, 2137675, 2137683]</t>
  </si>
  <si>
    <t>[1801992, 1837156, 1802011, 1837105]</t>
  </si>
  <si>
    <t>[1837088, 1801992, 1837156, 1802011]</t>
  </si>
  <si>
    <t>[0.012, 0.022, 0.021, 0.02]</t>
  </si>
  <si>
    <t>35.329361901661606</t>
  </si>
  <si>
    <t>LINESTRING (7.091959437610275 58.157391570679685, 7.092012036754477 58.157449036021525, 7.092010401239533 58.157521032834055)</t>
  </si>
  <si>
    <t>[2137739, 2137747]</t>
  </si>
  <si>
    <t>[1837183, 1837088]</t>
  </si>
  <si>
    <t>0.01028964210711615</t>
  </si>
  <si>
    <t>[1837095, 1837183]</t>
  </si>
  <si>
    <t>15.163908375372877</t>
  </si>
  <si>
    <t>[0.009, 0.019, 0.02, 0.019]</t>
  </si>
  <si>
    <t>LINESTRING (7.091469295073501 58.15745056940313, 7.091608744779522 58.15735336995582, 7.091728770671216 58.15733583438159, 7.091858763770552 58.157349480982816, 7.091959437610275 58.157391570679685)</t>
  </si>
  <si>
    <t>[2137707, 2137715, 2137723, 2137731]</t>
  </si>
  <si>
    <t>[1837147, 1837172, 1837132, 1837095]</t>
  </si>
  <si>
    <t>0.015414442732613231</t>
  </si>
  <si>
    <t>[1837115, 1837147, 1837172, 1837132]</t>
  </si>
  <si>
    <t>36.67313548544273</t>
  </si>
  <si>
    <t>[-0.014, -0.005]</t>
  </si>
  <si>
    <t>LINESTRING (7.091529554687496 58.15757889781873, 7.091470684940026 58.15751848838457, 7.091469295073501 58.15745056940313)</t>
  </si>
  <si>
    <t>[2137691, 2137699]</t>
  </si>
  <si>
    <t>[1837162, 1837115]</t>
  </si>
  <si>
    <t>[1837105, 1837162]</t>
  </si>
  <si>
    <t>15.167926324137767</t>
  </si>
  <si>
    <t>38.11542061225189</t>
  </si>
  <si>
    <t>[-0.057, -0.013]</t>
  </si>
  <si>
    <t>LINESTRING (6.050032421758024 62.174273468403634, 6.050136239527005 62.1741748146119, 6.050371185191455 62.17411675059784)</t>
  </si>
  <si>
    <t>[2146868, 2146876]</t>
  </si>
  <si>
    <t>[1842344, 1842312]</t>
  </si>
  <si>
    <t>[1842341, 1842344]</t>
  </si>
  <si>
    <t>[0.057, 0.013]</t>
  </si>
  <si>
    <t>26.359716902543937</t>
  </si>
  <si>
    <t>[0.079, 0.041]</t>
  </si>
  <si>
    <t>LINESTRING (6.047918371009179 62.17320688962094, 6.050214262551682 62.17409212552606, 6.050371185191455 62.17411675059784)</t>
  </si>
  <si>
    <t>[2147004, 2147012]</t>
  </si>
  <si>
    <t>[1842416, 1842312]</t>
  </si>
  <si>
    <t>0.07700603623188089</t>
  </si>
  <si>
    <t>[1842415, 1842416]</t>
  </si>
  <si>
    <t>164.7189904110385</t>
  </si>
  <si>
    <t>[0.05, 0.031]</t>
  </si>
  <si>
    <t>LINESTRING (6.050831594130751 62.17432360131014, 6.050724648189683 62.17443139824731, 6.050531332463124 62.174485565754416)</t>
  </si>
  <si>
    <t>[2146820, 2146828]</t>
  </si>
  <si>
    <t>[1842318, 1842323]</t>
  </si>
  <si>
    <t>0.04113298442799329</t>
  </si>
  <si>
    <t>[1842313, 1842318]</t>
  </si>
  <si>
    <t>25.217331387284496</t>
  </si>
  <si>
    <t>[0.058, 0.035]</t>
  </si>
  <si>
    <t>LINESTRING (6.050831594130751 62.17432360131014, 6.050896862889748 62.17438814984519, 6.051779814594078 62.17489151495446)</t>
  </si>
  <si>
    <t>[2147252, 2147260]</t>
  </si>
  <si>
    <t>[1842551, 1842526]</t>
  </si>
  <si>
    <t>0.0372589741000488</t>
  </si>
  <si>
    <t>[1842313, 1842551]</t>
  </si>
  <si>
    <t>81.19741614036401</t>
  </si>
  <si>
    <t>[-0.003, -0.036, -0.07, -0.074]</t>
  </si>
  <si>
    <t>LINESTRING (6.050531332463124 62.174485565754416, 6.050346167928232 62.17448738536791, 6.05012404877333 62.174425224766, 6.050029205909308 62.174320994183745, 6.050032421758024 62.174273468403634)</t>
  </si>
  <si>
    <t>[2146836, 2146844, 2146852, 2146860]</t>
  </si>
  <si>
    <t>[1842327, 1842332, 1842337, 1842341]</t>
  </si>
  <si>
    <t>[1842323, 1842327, 1842332, 1842337]</t>
  </si>
  <si>
    <t>[0.003, 0.036, 0.07, 0.074]</t>
  </si>
  <si>
    <t>41.33397184733568</t>
  </si>
  <si>
    <t>LINESTRING (6.050531332463124 62.174485565754416, 6.050658003050229 62.17451003766765, 6.051779814594078 62.17489151495446)</t>
  </si>
  <si>
    <t>[2147268, 2147276]</t>
  </si>
  <si>
    <t>[1842559, 1842526]</t>
  </si>
  <si>
    <t>0.024642309117727943</t>
  </si>
  <si>
    <t>[1842323, 1842559]</t>
  </si>
  <si>
    <t>80.03290021068679</t>
  </si>
  <si>
    <t>[0.084, 0.064]</t>
  </si>
  <si>
    <t>LINESTRING (6.047918371009179 62.17320688962094, 6.049973699208153 62.17421946930506, 6.050032421758024 62.174273468403634)</t>
  </si>
  <si>
    <t>[2147044, 2147052]</t>
  </si>
  <si>
    <t>[1842432, 1842341]</t>
  </si>
  <si>
    <t>0.08317044895967468</t>
  </si>
  <si>
    <t>[1842415, 1842432]</t>
  </si>
  <si>
    <t>163.1315182214693</t>
  </si>
  <si>
    <t>[-0.048, -0.06]</t>
  </si>
  <si>
    <t>LINESTRING (5.3530457594405165 60.476215495119554, 5.353174064647348 60.47624897689115, 5.353303398891562 60.47631565733449)</t>
  </si>
  <si>
    <t>[2156115, 2156123]</t>
  </si>
  <si>
    <t>[1847569, 1847362]</t>
  </si>
  <si>
    <t>[1847354, 1847569]</t>
  </si>
  <si>
    <t>[0.048, 0.06]</t>
  </si>
  <si>
    <t>18.3225933127203</t>
  </si>
  <si>
    <t>[-0.055, -0.042, -0.035, -0.013]</t>
  </si>
  <si>
    <t>LINESTRING (5.353303398891562 60.47631565733449, 5.353388533024928 60.47647003361956, 5.353359711510074 60.47654218193293, 5.353292914332867 60.47660572366714, 5.35315955566763 60.476669824135456)</t>
  </si>
  <si>
    <t>[2156131, 2156139, 2156147, 2156155]</t>
  </si>
  <si>
    <t>[1847377, 1847584, 1847367, 1847592]</t>
  </si>
  <si>
    <t>[1847362, 1847377, 1847584, 1847367]</t>
  </si>
  <si>
    <t>[0.055, 0.042, 0.035, 0.013]</t>
  </si>
  <si>
    <t>44.58076168682976</t>
  </si>
  <si>
    <t>25.029168856483036</t>
  </si>
  <si>
    <t>13.68743237424299</t>
  </si>
  <si>
    <t>[0.016, 0.037, 0.039, 0.038, 0.041, 0.042, 0.033]</t>
  </si>
  <si>
    <t>LINESTRING (10.885806558239839 63.48788912552291, 10.885046940322987 63.49010608274452, 10.884988238317042 63.490280732394716, 10.8848355343027 63.49073503669247, 10.884776872215577 63.490909669475684, 10.884754820937207 63.49097520917337, 10.884261904531728 63.492441774477705, 10.884061094300078 63.4929771196854)</t>
  </si>
  <si>
    <t>[2161420, 2161428, 2161436, 2161444, 2161452, 2161460, 2161468]</t>
  </si>
  <si>
    <t>[1850775, 1850780, 1850784, 1850790, 1850792, 1850797, 1850801]</t>
  </si>
  <si>
    <t>0.0291331852634614</t>
  </si>
  <si>
    <t>[1850554, 1850775, 1850780, 1850784, 1850790, 1850792, 1850797]</t>
  </si>
  <si>
    <t>573.856070453679</t>
  </si>
  <si>
    <t>[0.016, 0.04, 0.041, 0.046, 0.04, 0.042]</t>
  </si>
  <si>
    <t>LINESTRING (10.885609093261538 63.48787314323226, 10.884848906619489 63.49009143165708, 10.884790167938228 63.49026618805978, 10.884637380837166 63.49072076846924, 10.884578682071536 63.490895508004854, 10.88455662519364 63.490961083474986, 10.884063239140694 63.49242860556772)</t>
  </si>
  <si>
    <t>[2161508, 2161516, 2161524, 2161532, 2161540, 2161548]</t>
  </si>
  <si>
    <t>[1850825, 1850834, 1850840, 1850843, 1850850, 1850595]</t>
  </si>
  <si>
    <t>0.02928458557651351</t>
  </si>
  <si>
    <t>[1850591, 1850825, 1850834, 1850840, 1850843, 1850850]</t>
  </si>
  <si>
    <t>513.6609462972152</t>
  </si>
  <si>
    <t>[-0.027, 0.012]</t>
  </si>
  <si>
    <t>LINESTRING (7.097950640624595 62.60704778170967, 7.097411518544649 62.60872332558, 7.0973493871508415 62.608784808773834)</t>
  </si>
  <si>
    <t>[2166239, 2166245]</t>
  </si>
  <si>
    <t>[1853622, 1853458]</t>
  </si>
  <si>
    <t>[1853430, 1853622]</t>
  </si>
  <si>
    <t>[0.027, 0.012]</t>
  </si>
  <si>
    <t>197.79563453865944</t>
  </si>
  <si>
    <t>[-0.033, -0.037]</t>
  </si>
  <si>
    <t>LINESTRING (7.097950640624595 62.60704778170967, 7.0976382368697415 62.608742724380754, 7.097646086008393 62.60879774762977)</t>
  </si>
  <si>
    <t>[2166251, 2166257]</t>
  </si>
  <si>
    <t>[1853626, 1853434]</t>
  </si>
  <si>
    <t>[1853430, 1853626]</t>
  </si>
  <si>
    <t>[0.033, 0.037]</t>
  </si>
  <si>
    <t>197.42186898376693</t>
  </si>
  <si>
    <t>10.052729977404441</t>
  </si>
  <si>
    <t>[-0.096, -0.098]</t>
  </si>
  <si>
    <t>LINESTRING (7.0973493871508415 62.608784808773834, 7.097515487966568 62.60877669456557, 7.097646086008393 62.60879774762977)</t>
  </si>
  <si>
    <t>[2165956, 2165962]</t>
  </si>
  <si>
    <t>[1853463, 1853434]</t>
  </si>
  <si>
    <t>[1853458, 1853463]</t>
  </si>
  <si>
    <t>[0.096, 0.098]</t>
  </si>
  <si>
    <t>15.707107299308412</t>
  </si>
  <si>
    <t>[-0.032, 0.019]</t>
  </si>
  <si>
    <t>LINESTRING (7.097752384823459 62.608873316168896, 7.097757490812886 62.60895170425966, 7.097674778277362 62.6090259003261)</t>
  </si>
  <si>
    <t>[2165919, 2165925]</t>
  </si>
  <si>
    <t>[1853439, 1853443]</t>
  </si>
  <si>
    <t>[1853435, 1853439]</t>
  </si>
  <si>
    <t>[0.032, 0.019]</t>
  </si>
  <si>
    <t>18.066200205492272</t>
  </si>
  <si>
    <t>[0.089, 0.09, 0.095]</t>
  </si>
  <si>
    <t>LINESTRING (7.098470547358061 62.60903918515383, 7.098043684933565 62.60894247465849, 7.097868500795399 62.608903104785306, 7.097752384823459 62.608873316168896)</t>
  </si>
  <si>
    <t>[2166221, 2166227, 2166233]</t>
  </si>
  <si>
    <t>[1853614, 1853618, 1853435]</t>
  </si>
  <si>
    <t>0.09022988786974681</t>
  </si>
  <si>
    <t>[1853502, 1853614, 1853618]</t>
  </si>
  <si>
    <t>41.49812679608975</t>
  </si>
  <si>
    <t>8.321029323654054</t>
  </si>
  <si>
    <t>[0.09, 0.089, 0.083]</t>
  </si>
  <si>
    <t>LINESTRING (7.098470547358061 62.60903918515383, 7.098009246053513 62.60901263352116, 7.097819434415747 62.60901476296739, 7.097674778277362 62.6090259003261)</t>
  </si>
  <si>
    <t>[2166203, 2166209, 2166215]</t>
  </si>
  <si>
    <t>[1853609, 1853610, 1853443]</t>
  </si>
  <si>
    <t>0.08848206048159872</t>
  </si>
  <si>
    <t>[1853502, 1853609, 1853610]</t>
  </si>
  <si>
    <t>41.21841696780628</t>
  </si>
  <si>
    <t>[0.092, 0.087]</t>
  </si>
  <si>
    <t>LINESTRING (7.09752660404199 62.60905582756508, 7.097329699719378 62.60905092886214, 7.097176310586435 62.608992406909934)</t>
  </si>
  <si>
    <t>[2165937, 2165943]</t>
  </si>
  <si>
    <t>[1853450, 1853454]</t>
  </si>
  <si>
    <t>0.08948760263836815</t>
  </si>
  <si>
    <t>[1853446, 1853450]</t>
  </si>
  <si>
    <t>20.38490778240257</t>
  </si>
  <si>
    <t>[0.036, 0.027, 0.015, 0.049]</t>
  </si>
  <si>
    <t>LINESTRING (7.09752660404199 62.60905582756508, 7.097426792594283 62.60910957546501, 7.09722147584545 62.60923542168429, 7.097182720102302 62.60926751818627, 7.096321501611917 62.609652743395124)</t>
  </si>
  <si>
    <t>[2166155, 2166161, 2166167, 2166173]</t>
  </si>
  <si>
    <t>[1853586, 1853589, 1853592, 1853468]</t>
  </si>
  <si>
    <t>0.042160242163112045</t>
  </si>
  <si>
    <t>[1853446, 1853586, 1853589, 1853592]</t>
  </si>
  <si>
    <t>91.91977414939619</t>
  </si>
  <si>
    <t>28.10138145784496</t>
  </si>
  <si>
    <t>[-0.026, -0.012, 0.027, 0.04]</t>
  </si>
  <si>
    <t>LINESTRING (7.097176310586435 62.608992406909934, 7.097170839490869 62.60906485134901, 7.097095284498074 62.60922527771333, 7.097055109168285 62.60925828638843, 7.096321501611917 62.609652743395124)</t>
  </si>
  <si>
    <t>[2166179, 2166185, 2166191, 2166197]</t>
  </si>
  <si>
    <t>[1853597, 1853600, 1853602, 1853468]</t>
  </si>
  <si>
    <t>0.02261245444646678</t>
  </si>
  <si>
    <t>[1853454, 1853597, 1853600, 1853602]</t>
  </si>
  <si>
    <t>[0.026, 0.012, 0.027, 0.04]</t>
  </si>
  <si>
    <t>89.07453368834703</t>
  </si>
  <si>
    <t>[-0.003, 0.002, 0.076, 0.086]</t>
  </si>
  <si>
    <t>LINESTRING (7.139782419321816 62.610812380368046, 7.123046634140705 62.61076527279528, 7.099442802165715 62.60927069419027, 7.0989273436000575 62.60913019263092, 7.098470547358061 62.60903918515383)</t>
  </si>
  <si>
    <t>[2165992, 2165998, 2166004, 2166010]</t>
  </si>
  <si>
    <t>[1853487, 1853493, 1853499, 1853502]</t>
  </si>
  <si>
    <t>0.002052635137065249</t>
  </si>
  <si>
    <t>[1853486, 1853487, 1853493, 1853499]</t>
  </si>
  <si>
    <t>[0.003, 0.002, 0.076, 0.086]</t>
  </si>
  <si>
    <t>2199.3151427884272</t>
  </si>
  <si>
    <t>424.22946626664464</t>
  </si>
  <si>
    <t>[-0.006, 0.004, 0.013, 0.017]</t>
  </si>
  <si>
    <t>LINESTRING (11.231374304318054 60.72376761467944, 11.231435913076986 60.72380871783569, 11.231468794061119 60.723875708147375, 11.231433049825696 60.72394732875499, 11.230922124321028 60.723974206115585)</t>
  </si>
  <si>
    <t>[2168577, 2168580, 2168559, 2168562]</t>
  </si>
  <si>
    <t>[351869, 1854815, 351237, 1854780]</t>
  </si>
  <si>
    <t>0.012152331956845088</t>
  </si>
  <si>
    <t>[1854774, 351869, 1854815, 351237]</t>
  </si>
  <si>
    <t>[0.006, 0.004, 0.013, 0.017]</t>
  </si>
  <si>
    <t>54.32956824361593</t>
  </si>
  <si>
    <t>[0.008, -0.023, -0.034, -0.031]</t>
  </si>
  <si>
    <t>LINESTRING (11.228443849779211 60.7235252967739, 11.2281156889848 60.72338347413607, 11.228129536742534 60.72332804591774, 11.228203401872566 60.723267836526105, 11.228611934320801 60.72325336634214)</t>
  </si>
  <si>
    <t>[2168589, 2168592, 2168595, 2168598]</t>
  </si>
  <si>
    <t>[351750, 1854828, 351769, 1854776]</t>
  </si>
  <si>
    <t>[1854790, 351750, 1854828, 351769]</t>
  </si>
  <si>
    <t>[0.008, 0.023, 0.034, 0.031]</t>
  </si>
  <si>
    <t>64.54376762897766</t>
  </si>
  <si>
    <t>LINESTRING (8.665416418946899 62.16001612324547, 8.436242643914795 62.20870752031382)</t>
  </si>
  <si>
    <t>2874.0</t>
  </si>
  <si>
    <t>LINESTRING (8.896900162278033 62.11793348390825, 8.665416418946899 62.16001612324547)</t>
  </si>
  <si>
    <t>1600.0</t>
  </si>
  <si>
    <t>LINESTRING (13.322650874412526 68.07627480325694, 13.182103334875222 67.98930236137221)</t>
  </si>
  <si>
    <t>LINESTRING (13.44341094269305 68.1054782195722, 13.322650874412526 68.07627480325694)</t>
  </si>
  <si>
    <t>LINESTRING (20.763640438812857 69.52374882335086, 20.77071994165384 69.6716133949455)</t>
  </si>
  <si>
    <t>LINESTRING (20.794657504185885 69.50943674594288, 20.763640438812857 69.52374882335086)</t>
  </si>
  <si>
    <t>LINESTRING (14.043019720032737 68.25909120699906, 13.831657786259864 68.20441416170827)</t>
  </si>
  <si>
    <t>1377.0</t>
  </si>
  <si>
    <t>LINESTRING (14.287211744316973 68.24488248602316, 14.043019720032737 68.25909120699906)</t>
  </si>
  <si>
    <t>LINESTRING (7.1139484251322855 59.84900605642048, 6.895602496925623 59.85981005726673)</t>
  </si>
  <si>
    <t>LINESTRING (7.330717113007725 59.79160262757651, 7.1139484251322855 59.84900605642048)</t>
  </si>
  <si>
    <t>LINESTRING (11.930686258490752 64.1917537358746, 12.135883887668536 64.28990587025604)</t>
  </si>
  <si>
    <t>LINESTRING (11.72075273058356 64.13099957582696, 11.930686258490752 64.1917537358746)</t>
  </si>
  <si>
    <t>LINESTRING (12.739794812948853 64.68717141666168, 12.949163658033704 64.80732800787334)</t>
  </si>
  <si>
    <t>3448.0</t>
  </si>
  <si>
    <t>LINESTRING (12.526239665618132 64.5780260730179, 12.739794812948853 64.68717141666168)</t>
  </si>
  <si>
    <t>LINESTRING (24.1825791250472 70.30083292243917, 24.404789284637584 70.34407129995954)</t>
  </si>
  <si>
    <t>1013.0</t>
  </si>
  <si>
    <t>LINESTRING (23.985347499774132 70.21627303671912, 24.1825791250472 70.30083292243917)</t>
  </si>
  <si>
    <t>LINESTRING (25.025676875090795 70.26213028130589, 25.0021546882971 70.15676479521835)</t>
  </si>
  <si>
    <t>LINESTRING (25.04854831924976 70.36795835691326, 25.025676875090795 70.26213028130589)</t>
  </si>
  <si>
    <t>354.0</t>
  </si>
  <si>
    <t>LINESTRING (25.528298063350498 70.70042578366468, 25.637681254685262 70.7757493226982)</t>
  </si>
  <si>
    <t>LINESTRING (25.414078488365057 70.64376594587867, 25.528298063350498 70.70042578366468)</t>
  </si>
  <si>
    <t>LINESTRING (29.239183851956515 69.9623576862013, 29.39742621388858 69.9013447205116)</t>
  </si>
  <si>
    <t>LINESTRING (29.068306997624443 70.01488193634793, 29.239183851956515 69.9623576862013)</t>
  </si>
  <si>
    <t>LINESTRING (25.223759338168247 69.74761862246164, 25.363728536340723 69.61023322558282)</t>
  </si>
  <si>
    <t>LINESTRING (25.101695603776474 69.89931502723377, 25.223759338168247 69.74761862246164)</t>
  </si>
  <si>
    <t>LINESTRING (26.23561499014998 69.79636571026857, 26.436572990435245 69.82646732809687)</t>
  </si>
  <si>
    <t>199.0</t>
  </si>
  <si>
    <t>LINESTRING (26.054767375238633 69.71521099797158, 26.23561499014998 69.79636571026857)</t>
  </si>
  <si>
    <t>1198.0</t>
  </si>
  <si>
    <t>LINESTRING (11.341359729323777 63.46009595018128, 11.541280521751471 63.4373230505893)</t>
  </si>
  <si>
    <t>LINESTRING (11.143735040789572 63.464208826745086, 11.341359729323777 63.46009595018128)</t>
  </si>
  <si>
    <t>643.0</t>
  </si>
  <si>
    <t>LINESTRING (22.07217827411219 69.91665483957074, 22.316297324795876 69.92402872969325)</t>
  </si>
  <si>
    <t>LINESTRING (21.837782600900077 69.88819727564075, 22.07217827411219 69.91665483957074)</t>
  </si>
  <si>
    <t>1637.0</t>
  </si>
  <si>
    <t>LINESTRING (16.181366649375377 68.54108584475676, 15.97414178786607 68.53530252634204)</t>
  </si>
  <si>
    <t>LINESTRING (16.37452447441072 68.5872042612848, 16.181366649375377 68.54108584475676)</t>
  </si>
  <si>
    <t>LINESTRING (23.29700919876209 69.1317082265435, 23.30293337060009 69.01502338155424)</t>
  </si>
  <si>
    <t>LINESTRING (23.287242721738693 69.33132117726834, 23.29700919876209 69.1317082265435)</t>
  </si>
  <si>
    <t>LINESTRING (29.154634016894853 70.12289950667133, 29.453769833855137 70.09853256948116)</t>
  </si>
  <si>
    <t>LINESTRING (28.85562545580789 70.14788721920041, 29.154634016894853 70.12289950667133)</t>
  </si>
  <si>
    <t>362.0</t>
  </si>
  <si>
    <t>LINESTRING (30.4309716954793 70.20643538559018, 30.767245185115 70.29026427562127)</t>
  </si>
  <si>
    <t>LINESTRING (30.092891951456366 70.1401912043493, 30.4309716954793 70.20643538559018)</t>
  </si>
  <si>
    <t>LINESTRING (15.731059977857198 67.55413225102376, 15.763179622659852 67.63997931711515)</t>
  </si>
  <si>
    <t>LINESTRING (15.69444019617616 67.50303484069447, 15.731059977857198 67.55413225102376)</t>
  </si>
  <si>
    <t>LINESTRING (9.198087480289185 63.21551553314849, 8.981183345112381 63.199839282154436)</t>
  </si>
  <si>
    <t>2247.0</t>
  </si>
  <si>
    <t>LINESTRING (9.41096637996732 63.250988945317495, 9.198087480289185 63.21551553314849)</t>
  </si>
  <si>
    <t>1114.0</t>
  </si>
  <si>
    <t>LINESTRING (9.41154520349861 62.17330886315008, 9.535044916992877 62.37598297377158)</t>
  </si>
  <si>
    <t>1200.0</t>
  </si>
  <si>
    <t>LINESTRING (9.27150322143151 62.12361644675889, 9.41154520349861 62.17330886315008)</t>
  </si>
  <si>
    <t>1191.0</t>
  </si>
  <si>
    <t>LINESTRING (15.980301035084524 68.03820181566877, 16.025461517496144 68.12932875300143)</t>
  </si>
  <si>
    <t>LINESTRING (15.95599306875907 68.00081564867176, 15.980301035084524 68.03820181566877)</t>
  </si>
  <si>
    <t>LINESTRING (23.78811587450107 70.13171315099908, 23.985347499774132 70.21627303671912)</t>
  </si>
  <si>
    <t>LINESTRING (23.590884249228008 70.04715326527904, 23.78811587450107 70.13171315099908)</t>
  </si>
  <si>
    <t>LINESTRING (25.299858913379612 70.58710610809266, 25.414078488365057 70.64376594587867)</t>
  </si>
  <si>
    <t>LINESTRING (25.185639338394168 70.53044627030664, 25.299858913379612 70.58710610809266)</t>
  </si>
  <si>
    <t>LINESTRING (28.897430143292368 70.06740618649458, 29.068306997624443 70.01488193634793)</t>
  </si>
  <si>
    <t>596.0</t>
  </si>
  <si>
    <t>LINESTRING (28.726553288960293 70.11993043664123, 28.897430143292368 70.06740618649458)</t>
  </si>
  <si>
    <t>LINESTRING (25.873919760327293 69.6340562856746, 26.054767375238633 69.71521099797158)</t>
  </si>
  <si>
    <t>LINESTRING (25.693072145415954 69.55290157337762, 25.873919760327293 69.6340562856746)</t>
  </si>
  <si>
    <t>540.0</t>
  </si>
  <si>
    <t>LINESTRING (21.60338692768796 69.85973971171074, 21.837782600900077 69.88819727564075)</t>
  </si>
  <si>
    <t>LINESTRING (21.368991254475844 69.83128214778074, 21.60338692768796 69.85973971171074)</t>
  </si>
  <si>
    <t>242.0</t>
  </si>
  <si>
    <t>LINESTRING (23.277476244715295 69.53093412799316, 23.287242721738693 69.33132117726834)</t>
  </si>
  <si>
    <t>LINESTRING (23.267709767691898 69.73054707871799, 23.277476244715295 69.53093412799316)</t>
  </si>
  <si>
    <t>LINESTRING (15.657820414495122 67.45193743036518, 15.69444019617616 67.50303484069447)</t>
  </si>
  <si>
    <t>LINESTRING (15.621200632814084 67.40084002003589, 15.657820414495122 67.45193743036518)</t>
  </si>
  <si>
    <t>LINESTRING (24.626999444227966 70.3873096774799, 24.84920960381835 70.43054805500027)</t>
  </si>
  <si>
    <t>1405.0</t>
  </si>
  <si>
    <t>LINESTRING (24.404789284637584 70.34407129995954, 24.626999444227966 70.3873096774799)</t>
  </si>
  <si>
    <t>LINESTRING (25.747064446020026 70.85107286173172, 25.85644763735479 70.92639640076524)</t>
  </si>
  <si>
    <t>LINESTRING (25.637681254685262 70.7757493226982, 25.747064446020026 70.85107286173172)</t>
  </si>
  <si>
    <t>LINESTRING (29.555668575820647 69.8403317548219, 29.71391093775271 69.7793187891322)</t>
  </si>
  <si>
    <t>LINESTRING (29.39742621388858 69.9013447205116, 29.555668575820647 69.8403317548219)</t>
  </si>
  <si>
    <t>LINESTRING (26.637530990720506 69.85656894592516, 26.838488991005768 69.88667056375346)</t>
  </si>
  <si>
    <t>LINESTRING (26.436572990435245 69.82646732809687, 26.637530990720506 69.85656894592516)</t>
  </si>
  <si>
    <t>LINESTRING (22.560416375479562 69.93140261981577, 22.80453542616325 69.93877650993828)</t>
  </si>
  <si>
    <t>LINESTRING (22.316297324795876 69.92402872969325, 22.560416375479562 69.93140261981577)</t>
  </si>
  <si>
    <t>LINESTRING (23.308857542438094 68.89833853656498, 23.314781714276098 68.78165369157571)</t>
  </si>
  <si>
    <t>LINESTRING (23.30293337060009 69.01502338155424, 23.308857542438094 68.89833853656498)</t>
  </si>
  <si>
    <t>LINESTRING (15.795299267462507 67.72582638320654, 15.827418912265161 67.81167344929793)</t>
  </si>
  <si>
    <t>LINESTRING (15.763179622659852 67.63997931711515, 15.795299267462507 67.72582638320654)</t>
  </si>
  <si>
    <t>312.0</t>
  </si>
  <si>
    <t>LINESTRING (23.314781714276098 68.78165369157571, 23.3177438001951 68.72331126908108)</t>
  </si>
  <si>
    <t>Row Labels</t>
  </si>
  <si>
    <t>Grand Total</t>
  </si>
  <si>
    <t>Column Labels</t>
  </si>
  <si>
    <t>(blank)</t>
  </si>
  <si>
    <t>71007 Total</t>
  </si>
  <si>
    <t>92570 Total</t>
  </si>
  <si>
    <t>92578 Total</t>
  </si>
  <si>
    <t>108984 Total</t>
  </si>
  <si>
    <t>109767 Total</t>
  </si>
  <si>
    <t>113916 Total</t>
  </si>
  <si>
    <t>155201 Total</t>
  </si>
  <si>
    <t>155273 Total</t>
  </si>
  <si>
    <t>155289 Total</t>
  </si>
  <si>
    <t>156057 Total</t>
  </si>
  <si>
    <t>156671 Total</t>
  </si>
  <si>
    <t>156688 Total</t>
  </si>
  <si>
    <t>156709 Total</t>
  </si>
  <si>
    <t>156748 Total</t>
  </si>
  <si>
    <t>156805 Total</t>
  </si>
  <si>
    <t>156820 Total</t>
  </si>
  <si>
    <t>156827 Total</t>
  </si>
  <si>
    <t>157054 Total</t>
  </si>
  <si>
    <t>157060 Total</t>
  </si>
  <si>
    <t>157084 Total</t>
  </si>
  <si>
    <t>159316 Total</t>
  </si>
  <si>
    <t>160718 Total</t>
  </si>
  <si>
    <t>160734 Total</t>
  </si>
  <si>
    <t>160745 Total</t>
  </si>
  <si>
    <t>160806 Total</t>
  </si>
  <si>
    <t>168018 Total</t>
  </si>
  <si>
    <t>168099 Total</t>
  </si>
  <si>
    <t>168171 Total</t>
  </si>
  <si>
    <t>168215 Total</t>
  </si>
  <si>
    <t>179859 Total</t>
  </si>
  <si>
    <t>179972 Total</t>
  </si>
  <si>
    <t>179982 Total</t>
  </si>
  <si>
    <t>179987 Total</t>
  </si>
  <si>
    <t>191235 Total</t>
  </si>
  <si>
    <t>191263 Total</t>
  </si>
  <si>
    <t>191288 Total</t>
  </si>
  <si>
    <t>191524 Total</t>
  </si>
  <si>
    <t>195583 Total</t>
  </si>
  <si>
    <t>200325 Total</t>
  </si>
  <si>
    <t>200351 Total</t>
  </si>
  <si>
    <t>200369 Total</t>
  </si>
  <si>
    <t>203093 Total</t>
  </si>
  <si>
    <t>203142 Total</t>
  </si>
  <si>
    <t>203169 Total</t>
  </si>
  <si>
    <t>203175 Total</t>
  </si>
  <si>
    <t>203232 Total</t>
  </si>
  <si>
    <t>203290 Total</t>
  </si>
  <si>
    <t>203338 Total</t>
  </si>
  <si>
    <t>203361 Total</t>
  </si>
  <si>
    <t>203586 Total</t>
  </si>
  <si>
    <t>209022 Total</t>
  </si>
  <si>
    <t>210545 Total</t>
  </si>
  <si>
    <t>210996 Total</t>
  </si>
  <si>
    <t>211646 Total</t>
  </si>
  <si>
    <t>211769 Total</t>
  </si>
  <si>
    <t>211777 Total</t>
  </si>
  <si>
    <t>211784 Total</t>
  </si>
  <si>
    <t>211798 Total</t>
  </si>
  <si>
    <t>211809 Total</t>
  </si>
  <si>
    <t>211810 Total</t>
  </si>
  <si>
    <t>211839 Total</t>
  </si>
  <si>
    <t>211847 Total</t>
  </si>
  <si>
    <t>211952 Total</t>
  </si>
  <si>
    <t>211963 Total</t>
  </si>
  <si>
    <t>211970 Total</t>
  </si>
  <si>
    <t>211979 Total</t>
  </si>
  <si>
    <t>212002 Total</t>
  </si>
  <si>
    <t>212021 Total</t>
  </si>
  <si>
    <t>212035 Total</t>
  </si>
  <si>
    <t>212041 Total</t>
  </si>
  <si>
    <t>212063 Total</t>
  </si>
  <si>
    <t>212076 Total</t>
  </si>
  <si>
    <t>212080 Total</t>
  </si>
  <si>
    <t>212102 Total</t>
  </si>
  <si>
    <t>212103 Total</t>
  </si>
  <si>
    <t>212132 Total</t>
  </si>
  <si>
    <t>212139 Total</t>
  </si>
  <si>
    <t>213658 Total</t>
  </si>
  <si>
    <t>213685 Total</t>
  </si>
  <si>
    <t>213691 Total</t>
  </si>
  <si>
    <t>214588 Total</t>
  </si>
  <si>
    <t>214601 Total</t>
  </si>
  <si>
    <t>214619 Total</t>
  </si>
  <si>
    <t>214627 Total</t>
  </si>
  <si>
    <t>214669 Total</t>
  </si>
  <si>
    <t>218879 Total</t>
  </si>
  <si>
    <t>225466 Total</t>
  </si>
  <si>
    <t>225489 Total</t>
  </si>
  <si>
    <t>225540 Total</t>
  </si>
  <si>
    <t>225574 Total</t>
  </si>
  <si>
    <t>225581 Total</t>
  </si>
  <si>
    <t>225667 Total</t>
  </si>
  <si>
    <t>225796 Total</t>
  </si>
  <si>
    <t>225839 Total</t>
  </si>
  <si>
    <t>225918 Total</t>
  </si>
  <si>
    <t>226152 Total</t>
  </si>
  <si>
    <t>226166 Total</t>
  </si>
  <si>
    <t>226287 Total</t>
  </si>
  <si>
    <t>226303 Total</t>
  </si>
  <si>
    <t>226339 Total</t>
  </si>
  <si>
    <t>226402 Total</t>
  </si>
  <si>
    <t>226418 Total</t>
  </si>
  <si>
    <t>226441 Total</t>
  </si>
  <si>
    <t>226742 Total</t>
  </si>
  <si>
    <t>228337 Total</t>
  </si>
  <si>
    <t>229299 Total</t>
  </si>
  <si>
    <t>229327 Total</t>
  </si>
  <si>
    <t>229365 Total</t>
  </si>
  <si>
    <t>229402 Total</t>
  </si>
  <si>
    <t>229866 Total</t>
  </si>
  <si>
    <t>229905 Total</t>
  </si>
  <si>
    <t>229931 Total</t>
  </si>
  <si>
    <t>231348 Total</t>
  </si>
  <si>
    <t>231375 Total</t>
  </si>
  <si>
    <t>231381 Total</t>
  </si>
  <si>
    <t>231392 Total</t>
  </si>
  <si>
    <t>231399 Total</t>
  </si>
  <si>
    <t>232551 Total</t>
  </si>
  <si>
    <t>232649 Total</t>
  </si>
  <si>
    <t>232668 Total</t>
  </si>
  <si>
    <t>232683 Total</t>
  </si>
  <si>
    <t>232692 Total</t>
  </si>
  <si>
    <t>232704 Total</t>
  </si>
  <si>
    <t>232716 Total</t>
  </si>
  <si>
    <t>232751 Total</t>
  </si>
  <si>
    <t>232760 Total</t>
  </si>
  <si>
    <t>232800 Total</t>
  </si>
  <si>
    <t>232815 Total</t>
  </si>
  <si>
    <t>232828 Total</t>
  </si>
  <si>
    <t>232834 Total</t>
  </si>
  <si>
    <t>232847 Total</t>
  </si>
  <si>
    <t>232855 Total</t>
  </si>
  <si>
    <t>232890 Total</t>
  </si>
  <si>
    <t>232898 Total</t>
  </si>
  <si>
    <t>232965 Total</t>
  </si>
  <si>
    <t>232977 Total</t>
  </si>
  <si>
    <t>233289 Total</t>
  </si>
  <si>
    <t>233298 Total</t>
  </si>
  <si>
    <t>233322 Total</t>
  </si>
  <si>
    <t>233331 Total</t>
  </si>
  <si>
    <t>233352 Total</t>
  </si>
  <si>
    <t>233359 Total</t>
  </si>
  <si>
    <t>233695 Total</t>
  </si>
  <si>
    <t>233704 Total</t>
  </si>
  <si>
    <t>233709 Total</t>
  </si>
  <si>
    <t>233717 Total</t>
  </si>
  <si>
    <t>233723 Total</t>
  </si>
  <si>
    <t>233728 Total</t>
  </si>
  <si>
    <t>235735 Total</t>
  </si>
  <si>
    <t>235743 Total</t>
  </si>
  <si>
    <t>235771 Total</t>
  </si>
  <si>
    <t>235776 Total</t>
  </si>
  <si>
    <t>235791 Total</t>
  </si>
  <si>
    <t>235797 Total</t>
  </si>
  <si>
    <t>236575 Total</t>
  </si>
  <si>
    <t>236603 Total</t>
  </si>
  <si>
    <t>236709 Total</t>
  </si>
  <si>
    <t>236795 Total</t>
  </si>
  <si>
    <t>236898 Total</t>
  </si>
  <si>
    <t>236938 Total</t>
  </si>
  <si>
    <t>236965 Total</t>
  </si>
  <si>
    <t>236996 Total</t>
  </si>
  <si>
    <t>237024 Total</t>
  </si>
  <si>
    <t>237118 Total</t>
  </si>
  <si>
    <t>237167 Total</t>
  </si>
  <si>
    <t>237291 Total</t>
  </si>
  <si>
    <t>237352 Total</t>
  </si>
  <si>
    <t>237412 Total</t>
  </si>
  <si>
    <t>237506 Total</t>
  </si>
  <si>
    <t>237597 Total</t>
  </si>
  <si>
    <t>237654 Total</t>
  </si>
  <si>
    <t>238775 Total</t>
  </si>
  <si>
    <t>238838 Total</t>
  </si>
  <si>
    <t>238846 Total</t>
  </si>
  <si>
    <t>239563 Total</t>
  </si>
  <si>
    <t>239569 Total</t>
  </si>
  <si>
    <t>240312 Total</t>
  </si>
  <si>
    <t>240964 Total</t>
  </si>
  <si>
    <t>240969 Total</t>
  </si>
  <si>
    <t>240978 Total</t>
  </si>
  <si>
    <t>240993 Total</t>
  </si>
  <si>
    <t>241044 Total</t>
  </si>
  <si>
    <t>241059 Total</t>
  </si>
  <si>
    <t>241303 Total</t>
  </si>
  <si>
    <t>241317 Total</t>
  </si>
  <si>
    <t>241331 Total</t>
  </si>
  <si>
    <t>241391 Total</t>
  </si>
  <si>
    <t>241481 Total</t>
  </si>
  <si>
    <t>241509 Total</t>
  </si>
  <si>
    <t>241598 Total</t>
  </si>
  <si>
    <t>241691 Total</t>
  </si>
  <si>
    <t>241744 Total</t>
  </si>
  <si>
    <t>244655 Total</t>
  </si>
  <si>
    <t>244664 Total</t>
  </si>
  <si>
    <t>244670 Total</t>
  </si>
  <si>
    <t>244685 Total</t>
  </si>
  <si>
    <t>244696 Total</t>
  </si>
  <si>
    <t>244755 Total</t>
  </si>
  <si>
    <t>244810 Total</t>
  </si>
  <si>
    <t>244852 Total</t>
  </si>
  <si>
    <t>245339 Total</t>
  </si>
  <si>
    <t>245360 Total</t>
  </si>
  <si>
    <t>245888 Total</t>
  </si>
  <si>
    <t>245898 Total</t>
  </si>
  <si>
    <t>245914 Total</t>
  </si>
  <si>
    <t>247389 Total</t>
  </si>
  <si>
    <t>247396 Total</t>
  </si>
  <si>
    <t>247433 Total</t>
  </si>
  <si>
    <t>247439 Total</t>
  </si>
  <si>
    <t>247488 Total</t>
  </si>
  <si>
    <t>247507 Total</t>
  </si>
  <si>
    <t>248129 Total</t>
  </si>
  <si>
    <t>248140 Total</t>
  </si>
  <si>
    <t>248244 Total</t>
  </si>
  <si>
    <t>248878 Total</t>
  </si>
  <si>
    <t>248884 Total</t>
  </si>
  <si>
    <t>249333 Total</t>
  </si>
  <si>
    <t>249356 Total</t>
  </si>
  <si>
    <t>249363 Total</t>
  </si>
  <si>
    <t>249369 Total</t>
  </si>
  <si>
    <t>249375 Total</t>
  </si>
  <si>
    <t>249386 Total</t>
  </si>
  <si>
    <t>249391 Total</t>
  </si>
  <si>
    <t>249467 Total</t>
  </si>
  <si>
    <t>249494 Total</t>
  </si>
  <si>
    <t>249509 Total</t>
  </si>
  <si>
    <t>249532 Total</t>
  </si>
  <si>
    <t>249558 Total</t>
  </si>
  <si>
    <t>249580 Total</t>
  </si>
  <si>
    <t>249711 Total</t>
  </si>
  <si>
    <t>249765 Total</t>
  </si>
  <si>
    <t>249782 Total</t>
  </si>
  <si>
    <t>253044 Total</t>
  </si>
  <si>
    <t>253571 Total</t>
  </si>
  <si>
    <t>254938 Total</t>
  </si>
  <si>
    <t>254956 Total</t>
  </si>
  <si>
    <t>254984 Total</t>
  </si>
  <si>
    <t>255000 Total</t>
  </si>
  <si>
    <t>255071 Total</t>
  </si>
  <si>
    <t>255088 Total</t>
  </si>
  <si>
    <t>255982 Total</t>
  </si>
  <si>
    <t>255988 Total</t>
  </si>
  <si>
    <t>256038 Total</t>
  </si>
  <si>
    <t>256046 Total</t>
  </si>
  <si>
    <t>256067 Total</t>
  </si>
  <si>
    <t>261692 Total</t>
  </si>
  <si>
    <t>262087 Total</t>
  </si>
  <si>
    <t>262169 Total</t>
  </si>
  <si>
    <t>262197 Total</t>
  </si>
  <si>
    <t>262251 Total</t>
  </si>
  <si>
    <t>262303 Total</t>
  </si>
  <si>
    <t>262320 Total</t>
  </si>
  <si>
    <t>262324 Total</t>
  </si>
  <si>
    <t>262339 Total</t>
  </si>
  <si>
    <t>262342 Total</t>
  </si>
  <si>
    <t>262345 Total</t>
  </si>
  <si>
    <t>262373 Total</t>
  </si>
  <si>
    <t>262403 Total</t>
  </si>
  <si>
    <t>262405 Total</t>
  </si>
  <si>
    <t>262417 Total</t>
  </si>
  <si>
    <t>262588 Total</t>
  </si>
  <si>
    <t>262680 Total</t>
  </si>
  <si>
    <t>262698 Total</t>
  </si>
  <si>
    <t>262744 Total</t>
  </si>
  <si>
    <t>262878 Total</t>
  </si>
  <si>
    <t>262957 Total</t>
  </si>
  <si>
    <t>262962 Total</t>
  </si>
  <si>
    <t>263020 Total</t>
  </si>
  <si>
    <t>263021 Total</t>
  </si>
  <si>
    <t>263051 Total</t>
  </si>
  <si>
    <t>263061 Total</t>
  </si>
  <si>
    <t>263081 Total</t>
  </si>
  <si>
    <t>263094 Total</t>
  </si>
  <si>
    <t>263259 Total</t>
  </si>
  <si>
    <t>264384 Total</t>
  </si>
  <si>
    <t>264407 Total</t>
  </si>
  <si>
    <t>264414 Total</t>
  </si>
  <si>
    <t>264493 Total</t>
  </si>
  <si>
    <t>264500 Total</t>
  </si>
  <si>
    <t>264521 Total</t>
  </si>
  <si>
    <t>264541 Total</t>
  </si>
  <si>
    <t>264624 Total</t>
  </si>
  <si>
    <t>264633 Total</t>
  </si>
  <si>
    <t>264673 Total</t>
  </si>
  <si>
    <t>264680 Total</t>
  </si>
  <si>
    <t>264703 Total</t>
  </si>
  <si>
    <t>264806 Total</t>
  </si>
  <si>
    <t>264812 Total</t>
  </si>
  <si>
    <t>265049 Total</t>
  </si>
  <si>
    <t>265059 Total</t>
  </si>
  <si>
    <t>265084 Total</t>
  </si>
  <si>
    <t>265123 Total</t>
  </si>
  <si>
    <t>265157 Total</t>
  </si>
  <si>
    <t>266400 Total</t>
  </si>
  <si>
    <t>266412 Total</t>
  </si>
  <si>
    <t>266417 Total</t>
  </si>
  <si>
    <t>266418 Total</t>
  </si>
  <si>
    <t>266557 Total</t>
  </si>
  <si>
    <t>266564 Total</t>
  </si>
  <si>
    <t>266753 Total</t>
  </si>
  <si>
    <t>266773 Total</t>
  </si>
  <si>
    <t>266787 Total</t>
  </si>
  <si>
    <t>269231 Total</t>
  </si>
  <si>
    <t>271969 Total</t>
  </si>
  <si>
    <t>273000 Total</t>
  </si>
  <si>
    <t>273005 Total</t>
  </si>
  <si>
    <t>274810 Total</t>
  </si>
  <si>
    <t>274832 Total</t>
  </si>
  <si>
    <t>274838 Total</t>
  </si>
  <si>
    <t>274845 Total</t>
  </si>
  <si>
    <t>274851 Total</t>
  </si>
  <si>
    <t>274954 Total</t>
  </si>
  <si>
    <t>274963 Total</t>
  </si>
  <si>
    <t>276887 Total</t>
  </si>
  <si>
    <t>277335 Total</t>
  </si>
  <si>
    <t>277388 Total</t>
  </si>
  <si>
    <t>277450 Total</t>
  </si>
  <si>
    <t>278053 Total</t>
  </si>
  <si>
    <t>278681 Total</t>
  </si>
  <si>
    <t>278697 Total</t>
  </si>
  <si>
    <t>278701 Total</t>
  </si>
  <si>
    <t>278721 Total</t>
  </si>
  <si>
    <t>278735 Total</t>
  </si>
  <si>
    <t>278736 Total</t>
  </si>
  <si>
    <t>280387 Total</t>
  </si>
  <si>
    <t>281034 Total</t>
  </si>
  <si>
    <t>281197 Total</t>
  </si>
  <si>
    <t>281215 Total</t>
  </si>
  <si>
    <t>281262 Total</t>
  </si>
  <si>
    <t>281271 Total</t>
  </si>
  <si>
    <t>281311 Total</t>
  </si>
  <si>
    <t>281503 Total</t>
  </si>
  <si>
    <t>281516 Total</t>
  </si>
  <si>
    <t>281536 Total</t>
  </si>
  <si>
    <t>281560 Total</t>
  </si>
  <si>
    <t>281572 Total</t>
  </si>
  <si>
    <t>281609 Total</t>
  </si>
  <si>
    <t>281612 Total</t>
  </si>
  <si>
    <t>281632 Total</t>
  </si>
  <si>
    <t>282174 Total</t>
  </si>
  <si>
    <t>282307 Total</t>
  </si>
  <si>
    <t>282993 Total</t>
  </si>
  <si>
    <t>283317 Total</t>
  </si>
  <si>
    <t>283347 Total</t>
  </si>
  <si>
    <t>283356 Total</t>
  </si>
  <si>
    <t>283357 Total</t>
  </si>
  <si>
    <t>283367 Total</t>
  </si>
  <si>
    <t>283374 Total</t>
  </si>
  <si>
    <t>283390 Total</t>
  </si>
  <si>
    <t>283407 Total</t>
  </si>
  <si>
    <t>283408 Total</t>
  </si>
  <si>
    <t>283413 Total</t>
  </si>
  <si>
    <t>283417 Total</t>
  </si>
  <si>
    <t>283470 Total</t>
  </si>
  <si>
    <t>283477 Total</t>
  </si>
  <si>
    <t>283524 Total</t>
  </si>
  <si>
    <t>283537 Total</t>
  </si>
  <si>
    <t>283549 Total</t>
  </si>
  <si>
    <t>283795 Total</t>
  </si>
  <si>
    <t>284378 Total</t>
  </si>
  <si>
    <t>285295 Total</t>
  </si>
  <si>
    <t>285576 Total</t>
  </si>
  <si>
    <t>285591 Total</t>
  </si>
  <si>
    <t>285607 Total</t>
  </si>
  <si>
    <t>285639 Total</t>
  </si>
  <si>
    <t>285640 Total</t>
  </si>
  <si>
    <t>285672 Total</t>
  </si>
  <si>
    <t>285686 Total</t>
  </si>
  <si>
    <t>285710 Total</t>
  </si>
  <si>
    <t>285723 Total</t>
  </si>
  <si>
    <t>286492 Total</t>
  </si>
  <si>
    <t>286632 Total</t>
  </si>
  <si>
    <t>287011 Total</t>
  </si>
  <si>
    <t>287096 Total</t>
  </si>
  <si>
    <t>287104 Total</t>
  </si>
  <si>
    <t>287111 Total</t>
  </si>
  <si>
    <t>287148 Total</t>
  </si>
  <si>
    <t>287169 Total</t>
  </si>
  <si>
    <t>287246 Total</t>
  </si>
  <si>
    <t>287253 Total</t>
  </si>
  <si>
    <t>287260 Total</t>
  </si>
  <si>
    <t>287275 Total</t>
  </si>
  <si>
    <t>287542 Total</t>
  </si>
  <si>
    <t>287773 Total</t>
  </si>
  <si>
    <t>287783 Total</t>
  </si>
  <si>
    <t>287991 Total</t>
  </si>
  <si>
    <t>288077 Total</t>
  </si>
  <si>
    <t>290493 Total</t>
  </si>
  <si>
    <t>290597 Total</t>
  </si>
  <si>
    <t>290615 Total</t>
  </si>
  <si>
    <t>290641 Total</t>
  </si>
  <si>
    <t>290652 Total</t>
  </si>
  <si>
    <t>290697 Total</t>
  </si>
  <si>
    <t>290791 Total</t>
  </si>
  <si>
    <t>291813 Total</t>
  </si>
  <si>
    <t>291836 Total</t>
  </si>
  <si>
    <t>293267 Total</t>
  </si>
  <si>
    <t>293294 Total</t>
  </si>
  <si>
    <t>293304 Total</t>
  </si>
  <si>
    <t>293331 Total</t>
  </si>
  <si>
    <t>293381 Total</t>
  </si>
  <si>
    <t>293404 Total</t>
  </si>
  <si>
    <t>293466 Total</t>
  </si>
  <si>
    <t>293477 Total</t>
  </si>
  <si>
    <t>293574 Total</t>
  </si>
  <si>
    <t>293678 Total</t>
  </si>
  <si>
    <t>293901 Total</t>
  </si>
  <si>
    <t>293911 Total</t>
  </si>
  <si>
    <t>293924 Total</t>
  </si>
  <si>
    <t>293942 Total</t>
  </si>
  <si>
    <t>294255 Total</t>
  </si>
  <si>
    <t>294257 Total</t>
  </si>
  <si>
    <t>294287 Total</t>
  </si>
  <si>
    <t>294294 Total</t>
  </si>
  <si>
    <t>294396 Total</t>
  </si>
  <si>
    <t>294402 Total</t>
  </si>
  <si>
    <t>294420 Total</t>
  </si>
  <si>
    <t>294444 Total</t>
  </si>
  <si>
    <t>294463 Total</t>
  </si>
  <si>
    <t>294481 Total</t>
  </si>
  <si>
    <t>294509 Total</t>
  </si>
  <si>
    <t>294511 Total</t>
  </si>
  <si>
    <t>294517 Total</t>
  </si>
  <si>
    <t>294544 Total</t>
  </si>
  <si>
    <t>294570 Total</t>
  </si>
  <si>
    <t>294585 Total</t>
  </si>
  <si>
    <t>294672 Total</t>
  </si>
  <si>
    <t>294676 Total</t>
  </si>
  <si>
    <t>294691 Total</t>
  </si>
  <si>
    <t>294699 Total</t>
  </si>
  <si>
    <t>294719 Total</t>
  </si>
  <si>
    <t>294744 Total</t>
  </si>
  <si>
    <t>294756 Total</t>
  </si>
  <si>
    <t>294777 Total</t>
  </si>
  <si>
    <t>295316 Total</t>
  </si>
  <si>
    <t>295481 Total</t>
  </si>
  <si>
    <t>296433 Total</t>
  </si>
  <si>
    <t>298863 Total</t>
  </si>
  <si>
    <t>301604 Total</t>
  </si>
  <si>
    <t>306697 Total</t>
  </si>
  <si>
    <t>311078 Total</t>
  </si>
  <si>
    <t>311126 Total</t>
  </si>
  <si>
    <t>311127 Total</t>
  </si>
  <si>
    <t>311184 Total</t>
  </si>
  <si>
    <t>311274 Total</t>
  </si>
  <si>
    <t>311290 Total</t>
  </si>
  <si>
    <t>315687 Total</t>
  </si>
  <si>
    <t>315721 Total</t>
  </si>
  <si>
    <t>315743 Total</t>
  </si>
  <si>
    <t>315764 Total</t>
  </si>
  <si>
    <t>315843 Total</t>
  </si>
  <si>
    <t>315960 Total</t>
  </si>
  <si>
    <t>320518 Total</t>
  </si>
  <si>
    <t>321000 Total</t>
  </si>
  <si>
    <t>321024 Total</t>
  </si>
  <si>
    <t>321025 Total</t>
  </si>
  <si>
    <t>321041 Total</t>
  </si>
  <si>
    <t>321104 Total</t>
  </si>
  <si>
    <t>322684 Total</t>
  </si>
  <si>
    <t>322700 Total</t>
  </si>
  <si>
    <t>322714 Total</t>
  </si>
  <si>
    <t>322727 Total</t>
  </si>
  <si>
    <t>322733 Total</t>
  </si>
  <si>
    <t>322861 Total</t>
  </si>
  <si>
    <t>322867 Total</t>
  </si>
  <si>
    <t>322944 Total</t>
  </si>
  <si>
    <t>323129 Total</t>
  </si>
  <si>
    <t>323187 Total</t>
  </si>
  <si>
    <t>323207 Total</t>
  </si>
  <si>
    <t>323217 Total</t>
  </si>
  <si>
    <t>323242 Total</t>
  </si>
  <si>
    <t>323263 Total</t>
  </si>
  <si>
    <t>323274 Total</t>
  </si>
  <si>
    <t>323275 Total</t>
  </si>
  <si>
    <t>323305 Total</t>
  </si>
  <si>
    <t>323325 Total</t>
  </si>
  <si>
    <t>323335 Total</t>
  </si>
  <si>
    <t>323493 Total</t>
  </si>
  <si>
    <t>323532 Total</t>
  </si>
  <si>
    <t>323539 Total</t>
  </si>
  <si>
    <t>323551 Total</t>
  </si>
  <si>
    <t>323564 Total</t>
  </si>
  <si>
    <t>323577 Total</t>
  </si>
  <si>
    <t>323608 Total</t>
  </si>
  <si>
    <t>325589 Total</t>
  </si>
  <si>
    <t>325618 Total</t>
  </si>
  <si>
    <t>325898 Total</t>
  </si>
  <si>
    <t>325909 Total</t>
  </si>
  <si>
    <t>325922 Total</t>
  </si>
  <si>
    <t>325985 Total</t>
  </si>
  <si>
    <t>325991 Total</t>
  </si>
  <si>
    <t>326002 Total</t>
  </si>
  <si>
    <t>326008 Total</t>
  </si>
  <si>
    <t>326013 Total</t>
  </si>
  <si>
    <t>326015 Total</t>
  </si>
  <si>
    <t>326021 Total</t>
  </si>
  <si>
    <t>326036 Total</t>
  </si>
  <si>
    <t>326063 Total</t>
  </si>
  <si>
    <t>326074 Total</t>
  </si>
  <si>
    <t>326129 Total</t>
  </si>
  <si>
    <t>326204 Total</t>
  </si>
  <si>
    <t>326210 Total</t>
  </si>
  <si>
    <t>326236 Total</t>
  </si>
  <si>
    <t>326255 Total</t>
  </si>
  <si>
    <t>326260 Total</t>
  </si>
  <si>
    <t>326281 Total</t>
  </si>
  <si>
    <t>326302 Total</t>
  </si>
  <si>
    <t>326335 Total</t>
  </si>
  <si>
    <t>326339 Total</t>
  </si>
  <si>
    <t>326368 Total</t>
  </si>
  <si>
    <t>326400 Total</t>
  </si>
  <si>
    <t>326403 Total</t>
  </si>
  <si>
    <t>326447 Total</t>
  </si>
  <si>
    <t>326477 Total</t>
  </si>
  <si>
    <t>326543 Total</t>
  </si>
  <si>
    <t>326570 Total</t>
  </si>
  <si>
    <t>326635 Total</t>
  </si>
  <si>
    <t>326643 Total</t>
  </si>
  <si>
    <t>328004 Total</t>
  </si>
  <si>
    <t>328043 Total</t>
  </si>
  <si>
    <t>328068 Total</t>
  </si>
  <si>
    <t>328196 Total</t>
  </si>
  <si>
    <t>328198 Total</t>
  </si>
  <si>
    <t>328199 Total</t>
  </si>
  <si>
    <t>328207 Total</t>
  </si>
  <si>
    <t>328242 Total</t>
  </si>
  <si>
    <t>328257 Total</t>
  </si>
  <si>
    <t>328308 Total</t>
  </si>
  <si>
    <t>328318 Total</t>
  </si>
  <si>
    <t>328350 Total</t>
  </si>
  <si>
    <t>328445 Total</t>
  </si>
  <si>
    <t>328463 Total</t>
  </si>
  <si>
    <t>328491 Total</t>
  </si>
  <si>
    <t>328496 Total</t>
  </si>
  <si>
    <t>328521 Total</t>
  </si>
  <si>
    <t>328540 Total</t>
  </si>
  <si>
    <t>328548 Total</t>
  </si>
  <si>
    <t>328559 Total</t>
  </si>
  <si>
    <t>328691 Total</t>
  </si>
  <si>
    <t>328697 Total</t>
  </si>
  <si>
    <t>328710 Total</t>
  </si>
  <si>
    <t>328876 Total</t>
  </si>
  <si>
    <t>328981 Total</t>
  </si>
  <si>
    <t>329010 Total</t>
  </si>
  <si>
    <t>329037 Total</t>
  </si>
  <si>
    <t>329046 Total</t>
  </si>
  <si>
    <t>329055 Total</t>
  </si>
  <si>
    <t>329068 Total</t>
  </si>
  <si>
    <t>329086 Total</t>
  </si>
  <si>
    <t>329113 Total</t>
  </si>
  <si>
    <t>329271 Total</t>
  </si>
  <si>
    <t>329309 Total</t>
  </si>
  <si>
    <t>329331 Total</t>
  </si>
  <si>
    <t>329901 Total</t>
  </si>
  <si>
    <t>329910 Total</t>
  </si>
  <si>
    <t>329937 Total</t>
  </si>
  <si>
    <t>330138 Total</t>
  </si>
  <si>
    <t>330472 Total</t>
  </si>
  <si>
    <t>330683 Total</t>
  </si>
  <si>
    <t>330709 Total</t>
  </si>
  <si>
    <t>330717 Total</t>
  </si>
  <si>
    <t>330727 Total</t>
  </si>
  <si>
    <t>330735 Total</t>
  </si>
  <si>
    <t>331168 Total</t>
  </si>
  <si>
    <t>331175 Total</t>
  </si>
  <si>
    <t>331423 Total</t>
  </si>
  <si>
    <t>331436 Total</t>
  </si>
  <si>
    <t>331458 Total</t>
  </si>
  <si>
    <t>331476 Total</t>
  </si>
  <si>
    <t>331482 Total</t>
  </si>
  <si>
    <t>331497 Total</t>
  </si>
  <si>
    <t>331508 Total</t>
  </si>
  <si>
    <t>331512 Total</t>
  </si>
  <si>
    <t>331534 Total</t>
  </si>
  <si>
    <t>331541 Total</t>
  </si>
  <si>
    <t>331553 Total</t>
  </si>
  <si>
    <t>331566 Total</t>
  </si>
  <si>
    <t>331576 Total</t>
  </si>
  <si>
    <t>331577 Total</t>
  </si>
  <si>
    <t>331599 Total</t>
  </si>
  <si>
    <t>331611 Total</t>
  </si>
  <si>
    <t>331663 Total</t>
  </si>
  <si>
    <t>331992 Total</t>
  </si>
  <si>
    <t>332026 Total</t>
  </si>
  <si>
    <t>332126 Total</t>
  </si>
  <si>
    <t>332224 Total</t>
  </si>
  <si>
    <t>332455 Total</t>
  </si>
  <si>
    <t>332584 Total</t>
  </si>
  <si>
    <t>336016 Total</t>
  </si>
  <si>
    <t>336880 Total</t>
  </si>
  <si>
    <t>336984 Total</t>
  </si>
  <si>
    <t>337017 Total</t>
  </si>
  <si>
    <t>337165 Total</t>
  </si>
  <si>
    <t>337201 Total</t>
  </si>
  <si>
    <t>337260 Total</t>
  </si>
  <si>
    <t>337269 Total</t>
  </si>
  <si>
    <t>337316 Total</t>
  </si>
  <si>
    <t>337331 Total</t>
  </si>
  <si>
    <t>337356 Total</t>
  </si>
  <si>
    <t>337405 Total</t>
  </si>
  <si>
    <t>338533 Total</t>
  </si>
  <si>
    <t>338534 Total</t>
  </si>
  <si>
    <t>338537 Total</t>
  </si>
  <si>
    <t>338653 Total</t>
  </si>
  <si>
    <t>341391 Total</t>
  </si>
  <si>
    <t>342728 Total</t>
  </si>
  <si>
    <t>342733 Total</t>
  </si>
  <si>
    <t>342754 Total</t>
  </si>
  <si>
    <t>342763 Total</t>
  </si>
  <si>
    <t>342780 Total</t>
  </si>
  <si>
    <t>342781 Total</t>
  </si>
  <si>
    <t>342810 Total</t>
  </si>
  <si>
    <t>342851 Total</t>
  </si>
  <si>
    <t>342880 Total</t>
  </si>
  <si>
    <t>342895 Total</t>
  </si>
  <si>
    <t>342933 Total</t>
  </si>
  <si>
    <t>342997 Total</t>
  </si>
  <si>
    <t>343009 Total</t>
  </si>
  <si>
    <t>343064 Total</t>
  </si>
  <si>
    <t>343719 Total</t>
  </si>
  <si>
    <t>343766 Total</t>
  </si>
  <si>
    <t>343926 Total</t>
  </si>
  <si>
    <t>343936 Total</t>
  </si>
  <si>
    <t>343938 Total</t>
  </si>
  <si>
    <t>343979 Total</t>
  </si>
  <si>
    <t>344137 Total</t>
  </si>
  <si>
    <t>344396 Total</t>
  </si>
  <si>
    <t>344397 Total</t>
  </si>
  <si>
    <t>344521 Total</t>
  </si>
  <si>
    <t>344569 Total</t>
  </si>
  <si>
    <t>344663 Total</t>
  </si>
  <si>
    <t>344688 Total</t>
  </si>
  <si>
    <t>344790 Total</t>
  </si>
  <si>
    <t>344977 Total</t>
  </si>
  <si>
    <t>345153 Total</t>
  </si>
  <si>
    <t>345228 Total</t>
  </si>
  <si>
    <t>345325 Total</t>
  </si>
  <si>
    <t>345378 Total</t>
  </si>
  <si>
    <t>345478 Total</t>
  </si>
  <si>
    <t>345756 Total</t>
  </si>
  <si>
    <t>346204 Total</t>
  </si>
  <si>
    <t>346249 Total</t>
  </si>
  <si>
    <t>346256 Total</t>
  </si>
  <si>
    <t>346324 Total</t>
  </si>
  <si>
    <t>346897 Total</t>
  </si>
  <si>
    <t>346908 Total</t>
  </si>
  <si>
    <t>346916 Total</t>
  </si>
  <si>
    <t>346966 Total</t>
  </si>
  <si>
    <t>347019 Total</t>
  </si>
  <si>
    <t>347578 Total</t>
  </si>
  <si>
    <t>348077 Total</t>
  </si>
  <si>
    <t>348120 Total</t>
  </si>
  <si>
    <t>348147 Total</t>
  </si>
  <si>
    <t>348174 Total</t>
  </si>
  <si>
    <t>348177 Total</t>
  </si>
  <si>
    <t>348178 Total</t>
  </si>
  <si>
    <t>348344 Total</t>
  </si>
  <si>
    <t>350615 Total</t>
  </si>
  <si>
    <t>350624 Total</t>
  </si>
  <si>
    <t>350641 Total</t>
  </si>
  <si>
    <t>350651 Total</t>
  </si>
  <si>
    <t>350966 Total</t>
  </si>
  <si>
    <t>351102 Total</t>
  </si>
  <si>
    <t>351244 Total</t>
  </si>
  <si>
    <t>351267 Total</t>
  </si>
  <si>
    <t>351348 Total</t>
  </si>
  <si>
    <t>351455 Total</t>
  </si>
  <si>
    <t>351513 Total</t>
  </si>
  <si>
    <t>351564 Total</t>
  </si>
  <si>
    <t>351618 Total</t>
  </si>
  <si>
    <t>351797 Total</t>
  </si>
  <si>
    <t>351810 Total</t>
  </si>
  <si>
    <t>351827 Total</t>
  </si>
  <si>
    <t>351837 Total</t>
  </si>
  <si>
    <t>351986 Total</t>
  </si>
  <si>
    <t>352008 Total</t>
  </si>
  <si>
    <t>352016 Total</t>
  </si>
  <si>
    <t>352017 Total</t>
  </si>
  <si>
    <t>352041 Total</t>
  </si>
  <si>
    <t>352237 Total</t>
  </si>
  <si>
    <t>352293 Total</t>
  </si>
  <si>
    <t>352382 Total</t>
  </si>
  <si>
    <t>352446 Total</t>
  </si>
  <si>
    <t>352453 Total</t>
  </si>
  <si>
    <t>352477 Total</t>
  </si>
  <si>
    <t>352562 Total</t>
  </si>
  <si>
    <t>352576 Total</t>
  </si>
  <si>
    <t>352644 Total</t>
  </si>
  <si>
    <t>352671 Total</t>
  </si>
  <si>
    <t>352734 Total</t>
  </si>
  <si>
    <t>352755 Total</t>
  </si>
  <si>
    <t>352828 Total</t>
  </si>
  <si>
    <t>352867 Total</t>
  </si>
  <si>
    <t>352880 Total</t>
  </si>
  <si>
    <t>352886 Total</t>
  </si>
  <si>
    <t>352906 Total</t>
  </si>
  <si>
    <t>352913 Total</t>
  </si>
  <si>
    <t>352940 Total</t>
  </si>
  <si>
    <t>353465 Total</t>
  </si>
  <si>
    <t>353679 Total</t>
  </si>
  <si>
    <t>353703 Total</t>
  </si>
  <si>
    <t>353712 Total</t>
  </si>
  <si>
    <t>353738 Total</t>
  </si>
  <si>
    <t>353765 Total</t>
  </si>
  <si>
    <t>353790 Total</t>
  </si>
  <si>
    <t>353925 Total</t>
  </si>
  <si>
    <t>353969 Total</t>
  </si>
  <si>
    <t>354093 Total</t>
  </si>
  <si>
    <t>354103 Total</t>
  </si>
  <si>
    <t>354135 Total</t>
  </si>
  <si>
    <t>354156 Total</t>
  </si>
  <si>
    <t>354233 Total</t>
  </si>
  <si>
    <t>354259 Total</t>
  </si>
  <si>
    <t>354345 Total</t>
  </si>
  <si>
    <t>354364 Total</t>
  </si>
  <si>
    <t>354373 Total</t>
  </si>
  <si>
    <t>354422 Total</t>
  </si>
  <si>
    <t>354437 Total</t>
  </si>
  <si>
    <t>354504 Total</t>
  </si>
  <si>
    <t>354522 Total</t>
  </si>
  <si>
    <t>354561 Total</t>
  </si>
  <si>
    <t>354996 Total</t>
  </si>
  <si>
    <t>355075 Total</t>
  </si>
  <si>
    <t>355108 Total</t>
  </si>
  <si>
    <t>355176 Total</t>
  </si>
  <si>
    <t>355216 Total</t>
  </si>
  <si>
    <t>355303 Total</t>
  </si>
  <si>
    <t>355399 Total</t>
  </si>
  <si>
    <t>355461 Total</t>
  </si>
  <si>
    <t>355478 Total</t>
  </si>
  <si>
    <t>355488 Total</t>
  </si>
  <si>
    <t>355566 Total</t>
  </si>
  <si>
    <t>355598 Total</t>
  </si>
  <si>
    <t>355609 Total</t>
  </si>
  <si>
    <t>355615 Total</t>
  </si>
  <si>
    <t>355731 Total</t>
  </si>
  <si>
    <t>355738 Total</t>
  </si>
  <si>
    <t>355915 Total</t>
  </si>
  <si>
    <t>355924 Total</t>
  </si>
  <si>
    <t>355983 Total</t>
  </si>
  <si>
    <t>355991 Total</t>
  </si>
  <si>
    <t>356032 Total</t>
  </si>
  <si>
    <t>356058 Total</t>
  </si>
  <si>
    <t>356142 Total</t>
  </si>
  <si>
    <t>356143 Total</t>
  </si>
  <si>
    <t>356184 Total</t>
  </si>
  <si>
    <t>356326 Total</t>
  </si>
  <si>
    <t>356494 Total</t>
  </si>
  <si>
    <t>356511 Total</t>
  </si>
  <si>
    <t>356519 Total</t>
  </si>
  <si>
    <t>356523 Total</t>
  </si>
  <si>
    <t>356552 Total</t>
  </si>
  <si>
    <t>356622 Total</t>
  </si>
  <si>
    <t>356761 Total</t>
  </si>
  <si>
    <t>356849 Total</t>
  </si>
  <si>
    <t>356908 Total</t>
  </si>
  <si>
    <t>357105 Total</t>
  </si>
  <si>
    <t>357724 Total</t>
  </si>
  <si>
    <t>357882 Total</t>
  </si>
  <si>
    <t>357899 Total</t>
  </si>
  <si>
    <t>357958 Total</t>
  </si>
  <si>
    <t>358102 Total</t>
  </si>
  <si>
    <t>358109 Total</t>
  </si>
  <si>
    <t>358128 Total</t>
  </si>
  <si>
    <t>358154 Total</t>
  </si>
  <si>
    <t>358164 Total</t>
  </si>
  <si>
    <t>358200 Total</t>
  </si>
  <si>
    <t>358203 Total</t>
  </si>
  <si>
    <t>358209 Total</t>
  </si>
  <si>
    <t>358234 Total</t>
  </si>
  <si>
    <t>358243 Total</t>
  </si>
  <si>
    <t>358306 Total</t>
  </si>
  <si>
    <t>358325 Total</t>
  </si>
  <si>
    <t>358390 Total</t>
  </si>
  <si>
    <t>358411 Total</t>
  </si>
  <si>
    <t>358508 Total</t>
  </si>
  <si>
    <t>358711 Total</t>
  </si>
  <si>
    <t>358728 Total</t>
  </si>
  <si>
    <t>358763 Total</t>
  </si>
  <si>
    <t>359579 Total</t>
  </si>
  <si>
    <t>359910 Total</t>
  </si>
  <si>
    <t>359930 Total</t>
  </si>
  <si>
    <t>360401 Total</t>
  </si>
  <si>
    <t>360429 Total</t>
  </si>
  <si>
    <t>360430 Total</t>
  </si>
  <si>
    <t>360436 Total</t>
  </si>
  <si>
    <t>360482 Total</t>
  </si>
  <si>
    <t>360488 Total</t>
  </si>
  <si>
    <t>360497 Total</t>
  </si>
  <si>
    <t>360525 Total</t>
  </si>
  <si>
    <t>360550 Total</t>
  </si>
  <si>
    <t>360570 Total</t>
  </si>
  <si>
    <t>360654 Total</t>
  </si>
  <si>
    <t>360691 Total</t>
  </si>
  <si>
    <t>360699 Total</t>
  </si>
  <si>
    <t>360832 Total</t>
  </si>
  <si>
    <t>360841 Total</t>
  </si>
  <si>
    <t>360954 Total</t>
  </si>
  <si>
    <t>361383 Total</t>
  </si>
  <si>
    <t>361634 Total</t>
  </si>
  <si>
    <t>361651 Total</t>
  </si>
  <si>
    <t>361978 Total</t>
  </si>
  <si>
    <t>361987 Total</t>
  </si>
  <si>
    <t>361995 Total</t>
  </si>
  <si>
    <t>362114 Total</t>
  </si>
  <si>
    <t>362173 Total</t>
  </si>
  <si>
    <t>362181 Total</t>
  </si>
  <si>
    <t>362201 Total</t>
  </si>
  <si>
    <t>362298 Total</t>
  </si>
  <si>
    <t>362363 Total</t>
  </si>
  <si>
    <t>362460 Total</t>
  </si>
  <si>
    <t>362485 Total</t>
  </si>
  <si>
    <t>362525 Total</t>
  </si>
  <si>
    <t>362581 Total</t>
  </si>
  <si>
    <t>362591 Total</t>
  </si>
  <si>
    <t>362597 Total</t>
  </si>
  <si>
    <t>362600 Total</t>
  </si>
  <si>
    <t>362606 Total</t>
  </si>
  <si>
    <t>362612 Total</t>
  </si>
  <si>
    <t>362648 Total</t>
  </si>
  <si>
    <t>362649 Total</t>
  </si>
  <si>
    <t>362656 Total</t>
  </si>
  <si>
    <t>362663 Total</t>
  </si>
  <si>
    <t>362669 Total</t>
  </si>
  <si>
    <t>362703 Total</t>
  </si>
  <si>
    <t>362735 Total</t>
  </si>
  <si>
    <t>362741 Total</t>
  </si>
  <si>
    <t>362768 Total</t>
  </si>
  <si>
    <t>362779 Total</t>
  </si>
  <si>
    <t>362785 Total</t>
  </si>
  <si>
    <t>362794 Total</t>
  </si>
  <si>
    <t>362801 Total</t>
  </si>
  <si>
    <t>362805 Total</t>
  </si>
  <si>
    <t>362852 Total</t>
  </si>
  <si>
    <t>362860 Total</t>
  </si>
  <si>
    <t>362865 Total</t>
  </si>
  <si>
    <t>362870 Total</t>
  </si>
  <si>
    <t>362881 Total</t>
  </si>
  <si>
    <t>362886 Total</t>
  </si>
  <si>
    <t>362911 Total</t>
  </si>
  <si>
    <t>362913 Total</t>
  </si>
  <si>
    <t>362919 Total</t>
  </si>
  <si>
    <t>362920 Total</t>
  </si>
  <si>
    <t>362962 Total</t>
  </si>
  <si>
    <t>363094 Total</t>
  </si>
  <si>
    <t>363114 Total</t>
  </si>
  <si>
    <t>363147 Total</t>
  </si>
  <si>
    <t>363174 Total</t>
  </si>
  <si>
    <t>363213 Total</t>
  </si>
  <si>
    <t>363265 Total</t>
  </si>
  <si>
    <t>363266 Total</t>
  </si>
  <si>
    <t>363306 Total</t>
  </si>
  <si>
    <t>365457 Total</t>
  </si>
  <si>
    <t>365513 Total</t>
  </si>
  <si>
    <t>365562 Total</t>
  </si>
  <si>
    <t>365570 Total</t>
  </si>
  <si>
    <t>365756 Total</t>
  </si>
  <si>
    <t>365765 Total</t>
  </si>
  <si>
    <t>365813 Total</t>
  </si>
  <si>
    <t>365830 Total</t>
  </si>
  <si>
    <t>365871 Total</t>
  </si>
  <si>
    <t>366000 Total</t>
  </si>
  <si>
    <t>366078 Total</t>
  </si>
  <si>
    <t>366321 Total</t>
  </si>
  <si>
    <t>366326 Total</t>
  </si>
  <si>
    <t>366498 Total</t>
  </si>
  <si>
    <t>366613 Total</t>
  </si>
  <si>
    <t>366726 Total</t>
  </si>
  <si>
    <t>366750 Total</t>
  </si>
  <si>
    <t>366751 Total</t>
  </si>
  <si>
    <t>366764 Total</t>
  </si>
  <si>
    <t>366788 Total</t>
  </si>
  <si>
    <t>366793 Total</t>
  </si>
  <si>
    <t>366797 Total</t>
  </si>
  <si>
    <t>366804 Total</t>
  </si>
  <si>
    <t>366805 Total</t>
  </si>
  <si>
    <t>366815 Total</t>
  </si>
  <si>
    <t>366873 Total</t>
  </si>
  <si>
    <t>367224 Total</t>
  </si>
  <si>
    <t>367242 Total</t>
  </si>
  <si>
    <t>367381 Total</t>
  </si>
  <si>
    <t>367537 Total</t>
  </si>
  <si>
    <t>367572 Total</t>
  </si>
  <si>
    <t>367599 Total</t>
  </si>
  <si>
    <t>367682 Total</t>
  </si>
  <si>
    <t>367780 Total</t>
  </si>
  <si>
    <t>367803 Total</t>
  </si>
  <si>
    <t>367898 Total</t>
  </si>
  <si>
    <t>367952 Total</t>
  </si>
  <si>
    <t>368078 Total</t>
  </si>
  <si>
    <t>368090 Total</t>
  </si>
  <si>
    <t>368727 Total</t>
  </si>
  <si>
    <t>368845 Total</t>
  </si>
  <si>
    <t>369027 Total</t>
  </si>
  <si>
    <t>369034 Total</t>
  </si>
  <si>
    <t>369045 Total</t>
  </si>
  <si>
    <t>369405 Total</t>
  </si>
  <si>
    <t>369465 Total</t>
  </si>
  <si>
    <t>369541 Total</t>
  </si>
  <si>
    <t>369797 Total</t>
  </si>
  <si>
    <t>369798 Total</t>
  </si>
  <si>
    <t>369863 Total</t>
  </si>
  <si>
    <t>369881 Total</t>
  </si>
  <si>
    <t>369935 Total</t>
  </si>
  <si>
    <t>369971 Total</t>
  </si>
  <si>
    <t>370088 Total</t>
  </si>
  <si>
    <t>371626 Total</t>
  </si>
  <si>
    <t>371650 Total</t>
  </si>
  <si>
    <t>371674 Total</t>
  </si>
  <si>
    <t>371794 Total</t>
  </si>
  <si>
    <t>371863 Total</t>
  </si>
  <si>
    <t>371880 Total</t>
  </si>
  <si>
    <t>373466 Total</t>
  </si>
  <si>
    <t>373478 Total</t>
  </si>
  <si>
    <t>373525 Total</t>
  </si>
  <si>
    <t>374652 Total</t>
  </si>
  <si>
    <t>374676 Total</t>
  </si>
  <si>
    <t>375235 Total</t>
  </si>
  <si>
    <t>375471 Total</t>
  </si>
  <si>
    <t>378200 Total</t>
  </si>
  <si>
    <t>378304 Total</t>
  </si>
  <si>
    <t>381770 Total</t>
  </si>
  <si>
    <t>386136 Total</t>
  </si>
  <si>
    <t>395173 Total</t>
  </si>
  <si>
    <t>395203 Total</t>
  </si>
  <si>
    <t>396197 Total</t>
  </si>
  <si>
    <t>405920 Total</t>
  </si>
  <si>
    <t>415878 Total</t>
  </si>
  <si>
    <t>415889 Total</t>
  </si>
  <si>
    <t>417666 Total</t>
  </si>
  <si>
    <t>417678 Total</t>
  </si>
  <si>
    <t>417746 Total</t>
  </si>
  <si>
    <t>419951 Total</t>
  </si>
  <si>
    <t>419988 Total</t>
  </si>
  <si>
    <t>420056 Total</t>
  </si>
  <si>
    <t>420194 Total</t>
  </si>
  <si>
    <t>420282 Total</t>
  </si>
  <si>
    <t>420581 Total</t>
  </si>
  <si>
    <t>420669 Total</t>
  </si>
  <si>
    <t>420697 Total</t>
  </si>
  <si>
    <t>420752 Total</t>
  </si>
  <si>
    <t>420877 Total</t>
  </si>
  <si>
    <t>420987 Total</t>
  </si>
  <si>
    <t>421147 Total</t>
  </si>
  <si>
    <t>421149 Total</t>
  </si>
  <si>
    <t>421191 Total</t>
  </si>
  <si>
    <t>421234 Total</t>
  </si>
  <si>
    <t>421244 Total</t>
  </si>
  <si>
    <t>421593 Total</t>
  </si>
  <si>
    <t>421656 Total</t>
  </si>
  <si>
    <t>421667 Total</t>
  </si>
  <si>
    <t>424445 Total</t>
  </si>
  <si>
    <t>424463 Total</t>
  </si>
  <si>
    <t>424473 Total</t>
  </si>
  <si>
    <t>424491 Total</t>
  </si>
  <si>
    <t>424499 Total</t>
  </si>
  <si>
    <t>424527 Total</t>
  </si>
  <si>
    <t>424575 Total</t>
  </si>
  <si>
    <t>425421 Total</t>
  </si>
  <si>
    <t>426211 Total</t>
  </si>
  <si>
    <t>427851 Total</t>
  </si>
  <si>
    <t>427856 Total</t>
  </si>
  <si>
    <t>427933 Total</t>
  </si>
  <si>
    <t>429135 Total</t>
  </si>
  <si>
    <t>429330 Total</t>
  </si>
  <si>
    <t>429372 Total</t>
  </si>
  <si>
    <t>429381 Total</t>
  </si>
  <si>
    <t>429450 Total</t>
  </si>
  <si>
    <t>429470 Total</t>
  </si>
  <si>
    <t>429490 Total</t>
  </si>
  <si>
    <t>429532 Total</t>
  </si>
  <si>
    <t>429600 Total</t>
  </si>
  <si>
    <t>429621 Total</t>
  </si>
  <si>
    <t>429629 Total</t>
  </si>
  <si>
    <t>429650 Total</t>
  </si>
  <si>
    <t>429658 Total</t>
  </si>
  <si>
    <t>429678 Total</t>
  </si>
  <si>
    <t>429685 Total</t>
  </si>
  <si>
    <t>429704 Total</t>
  </si>
  <si>
    <t>429744 Total</t>
  </si>
  <si>
    <t>429906 Total</t>
  </si>
  <si>
    <t>429922 Total</t>
  </si>
  <si>
    <t>429961 Total</t>
  </si>
  <si>
    <t>430004 Total</t>
  </si>
  <si>
    <t>430023 Total</t>
  </si>
  <si>
    <t>430053 Total</t>
  </si>
  <si>
    <t>430066 Total</t>
  </si>
  <si>
    <t>430080 Total</t>
  </si>
  <si>
    <t>430088 Total</t>
  </si>
  <si>
    <t>430101 Total</t>
  </si>
  <si>
    <t>430110 Total</t>
  </si>
  <si>
    <t>430127 Total</t>
  </si>
  <si>
    <t>430135 Total</t>
  </si>
  <si>
    <t>430192 Total</t>
  </si>
  <si>
    <t>430210 Total</t>
  </si>
  <si>
    <t>430248 Total</t>
  </si>
  <si>
    <t>430263 Total</t>
  </si>
  <si>
    <t>430277 Total</t>
  </si>
  <si>
    <t>430307 Total</t>
  </si>
  <si>
    <t>430426 Total</t>
  </si>
  <si>
    <t>430440 Total</t>
  </si>
  <si>
    <t>430493 Total</t>
  </si>
  <si>
    <t>430509 Total</t>
  </si>
  <si>
    <t>430510 Total</t>
  </si>
  <si>
    <t>430522 Total</t>
  </si>
  <si>
    <t>430547 Total</t>
  </si>
  <si>
    <t>430567 Total</t>
  </si>
  <si>
    <t>430596 Total</t>
  </si>
  <si>
    <t>431853 Total</t>
  </si>
  <si>
    <t>431864 Total</t>
  </si>
  <si>
    <t>432000 Total</t>
  </si>
  <si>
    <t>432008 Total</t>
  </si>
  <si>
    <t>435391 Total</t>
  </si>
  <si>
    <t>435415 Total</t>
  </si>
  <si>
    <t>435423 Total</t>
  </si>
  <si>
    <t>437364 Total</t>
  </si>
  <si>
    <t>439222 Total</t>
  </si>
  <si>
    <t>439279 Total</t>
  </si>
  <si>
    <t>439419 Total</t>
  </si>
  <si>
    <t>439440 Total</t>
  </si>
  <si>
    <t>439499 Total</t>
  </si>
  <si>
    <t>439521 Total</t>
  </si>
  <si>
    <t>439557 Total</t>
  </si>
  <si>
    <t>439565 Total</t>
  </si>
  <si>
    <t>439583 Total</t>
  </si>
  <si>
    <t>439585 Total</t>
  </si>
  <si>
    <t>441708 Total</t>
  </si>
  <si>
    <t>442800 Total</t>
  </si>
  <si>
    <t>442818 Total</t>
  </si>
  <si>
    <t>442899 Total</t>
  </si>
  <si>
    <t>443013 Total</t>
  </si>
  <si>
    <t>443024 Total</t>
  </si>
  <si>
    <t>443068 Total</t>
  </si>
  <si>
    <t>443926 Total</t>
  </si>
  <si>
    <t>443934 Total</t>
  </si>
  <si>
    <t>443984 Total</t>
  </si>
  <si>
    <t>444024 Total</t>
  </si>
  <si>
    <t>444048 Total</t>
  </si>
  <si>
    <t>444061 Total</t>
  </si>
  <si>
    <t>444084 Total</t>
  </si>
  <si>
    <t>444107 Total</t>
  </si>
  <si>
    <t>444161 Total</t>
  </si>
  <si>
    <t>444179 Total</t>
  </si>
  <si>
    <t>444183 Total</t>
  </si>
  <si>
    <t>444209 Total</t>
  </si>
  <si>
    <t>444219 Total</t>
  </si>
  <si>
    <t>444243 Total</t>
  </si>
  <si>
    <t>444252 Total</t>
  </si>
  <si>
    <t>447422 Total</t>
  </si>
  <si>
    <t>447638 Total</t>
  </si>
  <si>
    <t>448103 Total</t>
  </si>
  <si>
    <t>448138 Total</t>
  </si>
  <si>
    <t>448263 Total</t>
  </si>
  <si>
    <t>448296 Total</t>
  </si>
  <si>
    <t>448431 Total</t>
  </si>
  <si>
    <t>448573 Total</t>
  </si>
  <si>
    <t>449377 Total</t>
  </si>
  <si>
    <t>449378 Total</t>
  </si>
  <si>
    <t>449389 Total</t>
  </si>
  <si>
    <t>450262 Total</t>
  </si>
  <si>
    <t>450288 Total</t>
  </si>
  <si>
    <t>450370 Total</t>
  </si>
  <si>
    <t>450383 Total</t>
  </si>
  <si>
    <t>450461 Total</t>
  </si>
  <si>
    <t>450473 Total</t>
  </si>
  <si>
    <t>450494 Total</t>
  </si>
  <si>
    <t>450508 Total</t>
  </si>
  <si>
    <t>450541 Total</t>
  </si>
  <si>
    <t>450560 Total</t>
  </si>
  <si>
    <t>450606 Total</t>
  </si>
  <si>
    <t>450640 Total</t>
  </si>
  <si>
    <t>450862 Total</t>
  </si>
  <si>
    <t>451921 Total</t>
  </si>
  <si>
    <t>451937 Total</t>
  </si>
  <si>
    <t>451945 Total</t>
  </si>
  <si>
    <t>451996 Total</t>
  </si>
  <si>
    <t>451997 Total</t>
  </si>
  <si>
    <t>452030 Total</t>
  </si>
  <si>
    <t>452040 Total</t>
  </si>
  <si>
    <t>452079 Total</t>
  </si>
  <si>
    <t>452095 Total</t>
  </si>
  <si>
    <t>452103 Total</t>
  </si>
  <si>
    <t>452138 Total</t>
  </si>
  <si>
    <t>452142 Total</t>
  </si>
  <si>
    <t>452144 Total</t>
  </si>
  <si>
    <t>452152 Total</t>
  </si>
  <si>
    <t>452183 Total</t>
  </si>
  <si>
    <t>452232 Total</t>
  </si>
  <si>
    <t>452268 Total</t>
  </si>
  <si>
    <t>452556 Total</t>
  </si>
  <si>
    <t>452563 Total</t>
  </si>
  <si>
    <t>452606 Total</t>
  </si>
  <si>
    <t>452787 Total</t>
  </si>
  <si>
    <t>452798 Total</t>
  </si>
  <si>
    <t>452816 Total</t>
  </si>
  <si>
    <t>452822 Total</t>
  </si>
  <si>
    <t>452839 Total</t>
  </si>
  <si>
    <t>452846 Total</t>
  </si>
  <si>
    <t>452874 Total</t>
  </si>
  <si>
    <t>452988 Total</t>
  </si>
  <si>
    <t>452992 Total</t>
  </si>
  <si>
    <t>453001 Total</t>
  </si>
  <si>
    <t>453008 Total</t>
  </si>
  <si>
    <t>453036 Total</t>
  </si>
  <si>
    <t>453052 Total</t>
  </si>
  <si>
    <t>453418 Total</t>
  </si>
  <si>
    <t>456045 Total</t>
  </si>
  <si>
    <t>456125 Total</t>
  </si>
  <si>
    <t>456231 Total</t>
  </si>
  <si>
    <t>456366 Total</t>
  </si>
  <si>
    <t>456373 Total</t>
  </si>
  <si>
    <t>456533 Total</t>
  </si>
  <si>
    <t>456544 Total</t>
  </si>
  <si>
    <t>456549 Total</t>
  </si>
  <si>
    <t>456573 Total</t>
  </si>
  <si>
    <t>456595 Total</t>
  </si>
  <si>
    <t>456626 Total</t>
  </si>
  <si>
    <t>456649 Total</t>
  </si>
  <si>
    <t>456658 Total</t>
  </si>
  <si>
    <t>456691 Total</t>
  </si>
  <si>
    <t>456742 Total</t>
  </si>
  <si>
    <t>456792 Total</t>
  </si>
  <si>
    <t>456852 Total</t>
  </si>
  <si>
    <t>458610 Total</t>
  </si>
  <si>
    <t>458611 Total</t>
  </si>
  <si>
    <t>458618 Total</t>
  </si>
  <si>
    <t>458634 Total</t>
  </si>
  <si>
    <t>458700 Total</t>
  </si>
  <si>
    <t>458744 Total</t>
  </si>
  <si>
    <t>460432 Total</t>
  </si>
  <si>
    <t>460884 Total</t>
  </si>
  <si>
    <t>460914 Total</t>
  </si>
  <si>
    <t>460937 Total</t>
  </si>
  <si>
    <t>460945 Total</t>
  </si>
  <si>
    <t>460963 Total</t>
  </si>
  <si>
    <t>460971 Total</t>
  </si>
  <si>
    <t>460976 Total</t>
  </si>
  <si>
    <t>460983 Total</t>
  </si>
  <si>
    <t>461013 Total</t>
  </si>
  <si>
    <t>461039 Total</t>
  </si>
  <si>
    <t>461376 Total</t>
  </si>
  <si>
    <t>462133 Total</t>
  </si>
  <si>
    <t>462617 Total</t>
  </si>
  <si>
    <t>462625 Total</t>
  </si>
  <si>
    <t>462627 Total</t>
  </si>
  <si>
    <t>462634 Total</t>
  </si>
  <si>
    <t>462644 Total</t>
  </si>
  <si>
    <t>462658 Total</t>
  </si>
  <si>
    <t>462668 Total</t>
  </si>
  <si>
    <t>462676 Total</t>
  </si>
  <si>
    <t>463799 Total</t>
  </si>
  <si>
    <t>463800 Total</t>
  </si>
  <si>
    <t>464882 Total</t>
  </si>
  <si>
    <t>465868 Total</t>
  </si>
  <si>
    <t>465883 Total</t>
  </si>
  <si>
    <t>465890 Total</t>
  </si>
  <si>
    <t>466236 Total</t>
  </si>
  <si>
    <t>466280 Total</t>
  </si>
  <si>
    <t>467585 Total</t>
  </si>
  <si>
    <t>467676 Total</t>
  </si>
  <si>
    <t>467677 Total</t>
  </si>
  <si>
    <t>467849 Total</t>
  </si>
  <si>
    <t>469742 Total</t>
  </si>
  <si>
    <t>469783 Total</t>
  </si>
  <si>
    <t>469799 Total</t>
  </si>
  <si>
    <t>469808 Total</t>
  </si>
  <si>
    <t>469848 Total</t>
  </si>
  <si>
    <t>472648 Total</t>
  </si>
  <si>
    <t>472922 Total</t>
  </si>
  <si>
    <t>473226 Total</t>
  </si>
  <si>
    <t>473249 Total</t>
  </si>
  <si>
    <t>473257 Total</t>
  </si>
  <si>
    <t>473270 Total</t>
  </si>
  <si>
    <t>473274 Total</t>
  </si>
  <si>
    <t>473280 Total</t>
  </si>
  <si>
    <t>473308 Total</t>
  </si>
  <si>
    <t>473309 Total</t>
  </si>
  <si>
    <t>473323 Total</t>
  </si>
  <si>
    <t>473332 Total</t>
  </si>
  <si>
    <t>473403 Total</t>
  </si>
  <si>
    <t>474038 Total</t>
  </si>
  <si>
    <t>474058 Total</t>
  </si>
  <si>
    <t>474067 Total</t>
  </si>
  <si>
    <t>474526 Total</t>
  </si>
  <si>
    <t>474537 Total</t>
  </si>
  <si>
    <t>474552 Total</t>
  </si>
  <si>
    <t>474559 Total</t>
  </si>
  <si>
    <t>474745 Total</t>
  </si>
  <si>
    <t>474781 Total</t>
  </si>
  <si>
    <t>474788 Total</t>
  </si>
  <si>
    <t>475173 Total</t>
  </si>
  <si>
    <t>475180 Total</t>
  </si>
  <si>
    <t>475424 Total</t>
  </si>
  <si>
    <t>475432 Total</t>
  </si>
  <si>
    <t>475460 Total</t>
  </si>
  <si>
    <t>475480 Total</t>
  </si>
  <si>
    <t>475488 Total</t>
  </si>
  <si>
    <t>475506 Total</t>
  </si>
  <si>
    <t>475514 Total</t>
  </si>
  <si>
    <t>475527 Total</t>
  </si>
  <si>
    <t>475528 Total</t>
  </si>
  <si>
    <t>475562 Total</t>
  </si>
  <si>
    <t>475570 Total</t>
  </si>
  <si>
    <t>475605 Total</t>
  </si>
  <si>
    <t>475631 Total</t>
  </si>
  <si>
    <t>476550 Total</t>
  </si>
  <si>
    <t>476859 Total</t>
  </si>
  <si>
    <t>476864 Total</t>
  </si>
  <si>
    <t>476865 Total</t>
  </si>
  <si>
    <t>476875 Total</t>
  </si>
  <si>
    <t>476876 Total</t>
  </si>
  <si>
    <t>476884 Total</t>
  </si>
  <si>
    <t>476941 Total</t>
  </si>
  <si>
    <t>476947 Total</t>
  </si>
  <si>
    <t>476948 Total</t>
  </si>
  <si>
    <t>477095 Total</t>
  </si>
  <si>
    <t>477106 Total</t>
  </si>
  <si>
    <t>477134 Total</t>
  </si>
  <si>
    <t>477144 Total</t>
  </si>
  <si>
    <t>477157 Total</t>
  </si>
  <si>
    <t>477163 Total</t>
  </si>
  <si>
    <t>477288 Total</t>
  </si>
  <si>
    <t>477311 Total</t>
  </si>
  <si>
    <t>477756 Total</t>
  </si>
  <si>
    <t>477778 Total</t>
  </si>
  <si>
    <t>477789 Total</t>
  </si>
  <si>
    <t>477798 Total</t>
  </si>
  <si>
    <t>477807 Total</t>
  </si>
  <si>
    <t>477818 Total</t>
  </si>
  <si>
    <t>477826 Total</t>
  </si>
  <si>
    <t>479774 Total</t>
  </si>
  <si>
    <t>479789 Total</t>
  </si>
  <si>
    <t>480048 Total</t>
  </si>
  <si>
    <t>480059 Total</t>
  </si>
  <si>
    <t>480347 Total</t>
  </si>
  <si>
    <t>480357 Total</t>
  </si>
  <si>
    <t>487460 Total</t>
  </si>
  <si>
    <t>488308 Total</t>
  </si>
  <si>
    <t>488387 Total</t>
  </si>
  <si>
    <t>488424 Total</t>
  </si>
  <si>
    <t>488425 Total</t>
  </si>
  <si>
    <t>488429 Total</t>
  </si>
  <si>
    <t>488432 Total</t>
  </si>
  <si>
    <t>488448 Total</t>
  </si>
  <si>
    <t>488607 Total</t>
  </si>
  <si>
    <t>488618 Total</t>
  </si>
  <si>
    <t>488885 Total</t>
  </si>
  <si>
    <t>489013 Total</t>
  </si>
  <si>
    <t>489103 Total</t>
  </si>
  <si>
    <t>489116 Total</t>
  </si>
  <si>
    <t>489117 Total</t>
  </si>
  <si>
    <t>490103 Total</t>
  </si>
  <si>
    <t>490716 Total</t>
  </si>
  <si>
    <t>490718 Total</t>
  </si>
  <si>
    <t>490719 Total</t>
  </si>
  <si>
    <t>491693 Total</t>
  </si>
  <si>
    <t>509456 Total</t>
  </si>
  <si>
    <t>509699 Total</t>
  </si>
  <si>
    <t>509720 Total</t>
  </si>
  <si>
    <t>509753 Total</t>
  </si>
  <si>
    <t>518291 Total</t>
  </si>
  <si>
    <t>518297 Total</t>
  </si>
  <si>
    <t>518311 Total</t>
  </si>
  <si>
    <t>518321 Total</t>
  </si>
  <si>
    <t>518358 Total</t>
  </si>
  <si>
    <t>518382 Total</t>
  </si>
  <si>
    <t>518407 Total</t>
  </si>
  <si>
    <t>518424 Total</t>
  </si>
  <si>
    <t>518435 Total</t>
  </si>
  <si>
    <t>518451 Total</t>
  </si>
  <si>
    <t>518461 Total</t>
  </si>
  <si>
    <t>518476 Total</t>
  </si>
  <si>
    <t>518486 Total</t>
  </si>
  <si>
    <t>518507 Total</t>
  </si>
  <si>
    <t>518528 Total</t>
  </si>
  <si>
    <t>518534 Total</t>
  </si>
  <si>
    <t>518553 Total</t>
  </si>
  <si>
    <t>518640 Total</t>
  </si>
  <si>
    <t>518661 Total</t>
  </si>
  <si>
    <t>518669 Total</t>
  </si>
  <si>
    <t>518709 Total</t>
  </si>
  <si>
    <t>518718 Total</t>
  </si>
  <si>
    <t>518721 Total</t>
  </si>
  <si>
    <t>518727 Total</t>
  </si>
  <si>
    <t>518771 Total</t>
  </si>
  <si>
    <t>518781 Total</t>
  </si>
  <si>
    <t>518846 Total</t>
  </si>
  <si>
    <t>518859 Total</t>
  </si>
  <si>
    <t>518866 Total</t>
  </si>
  <si>
    <t>518869 Total</t>
  </si>
  <si>
    <t>518975 Total</t>
  </si>
  <si>
    <t>518981 Total</t>
  </si>
  <si>
    <t>518997 Total</t>
  </si>
  <si>
    <t>519007 Total</t>
  </si>
  <si>
    <t>519021 Total</t>
  </si>
  <si>
    <t>519028 Total</t>
  </si>
  <si>
    <t>519114 Total</t>
  </si>
  <si>
    <t>519124 Total</t>
  </si>
  <si>
    <t>519215 Total</t>
  </si>
  <si>
    <t>519223 Total</t>
  </si>
  <si>
    <t>519309 Total</t>
  </si>
  <si>
    <t>519399 Total</t>
  </si>
  <si>
    <t>519500 Total</t>
  </si>
  <si>
    <t>519536 Total</t>
  </si>
  <si>
    <t>519545 Total</t>
  </si>
  <si>
    <t>519561 Total</t>
  </si>
  <si>
    <t>519636 Total</t>
  </si>
  <si>
    <t>519657 Total</t>
  </si>
  <si>
    <t>519667 Total</t>
  </si>
  <si>
    <t>519787 Total</t>
  </si>
  <si>
    <t>519795 Total</t>
  </si>
  <si>
    <t>519818 Total</t>
  </si>
  <si>
    <t>519826 Total</t>
  </si>
  <si>
    <t>519871 Total</t>
  </si>
  <si>
    <t>519910 Total</t>
  </si>
  <si>
    <t>519918 Total</t>
  </si>
  <si>
    <t>519924 Total</t>
  </si>
  <si>
    <t>519927 Total</t>
  </si>
  <si>
    <t>519992 Total</t>
  </si>
  <si>
    <t>520001 Total</t>
  </si>
  <si>
    <t>520011 Total</t>
  </si>
  <si>
    <t>520036 Total</t>
  </si>
  <si>
    <t>520039 Total</t>
  </si>
  <si>
    <t>520043 Total</t>
  </si>
  <si>
    <t>520106 Total</t>
  </si>
  <si>
    <t>520120 Total</t>
  </si>
  <si>
    <t>520142 Total</t>
  </si>
  <si>
    <t>520155 Total</t>
  </si>
  <si>
    <t>520266 Total</t>
  </si>
  <si>
    <t>520382 Total</t>
  </si>
  <si>
    <t>520391 Total</t>
  </si>
  <si>
    <t>520401 Total</t>
  </si>
  <si>
    <t>520437 Total</t>
  </si>
  <si>
    <t>520438 Total</t>
  </si>
  <si>
    <t>520469 Total</t>
  </si>
  <si>
    <t>520481 Total</t>
  </si>
  <si>
    <t>520950 Total</t>
  </si>
  <si>
    <t>522565 Total</t>
  </si>
  <si>
    <t>523187 Total</t>
  </si>
  <si>
    <t>523317 Total</t>
  </si>
  <si>
    <t>532023 Total</t>
  </si>
  <si>
    <t>532072 Total</t>
  </si>
  <si>
    <t>532078 Total</t>
  </si>
  <si>
    <t>541253 Total</t>
  </si>
  <si>
    <t>541329 Total</t>
  </si>
  <si>
    <t>541562 Total</t>
  </si>
  <si>
    <t>541600 Total</t>
  </si>
  <si>
    <t>541684 Total</t>
  </si>
  <si>
    <t>541694 Total</t>
  </si>
  <si>
    <t>541703 Total</t>
  </si>
  <si>
    <t>541763 Total</t>
  </si>
  <si>
    <t>541786 Total</t>
  </si>
  <si>
    <t>541794 Total</t>
  </si>
  <si>
    <t>541900 Total</t>
  </si>
  <si>
    <t>545211 Total</t>
  </si>
  <si>
    <t>553487 Total</t>
  </si>
  <si>
    <t>556379 Total</t>
  </si>
  <si>
    <t>556449 Total</t>
  </si>
  <si>
    <t>556460 Total</t>
  </si>
  <si>
    <t>556473 Total</t>
  </si>
  <si>
    <t>556476 Total</t>
  </si>
  <si>
    <t>556483 Total</t>
  </si>
  <si>
    <t>556486 Total</t>
  </si>
  <si>
    <t>556936 Total</t>
  </si>
  <si>
    <t>557791 Total</t>
  </si>
  <si>
    <t>558087 Total</t>
  </si>
  <si>
    <t>558131 Total</t>
  </si>
  <si>
    <t>567100 Total</t>
  </si>
  <si>
    <t>567437 Total</t>
  </si>
  <si>
    <t>567512 Total</t>
  </si>
  <si>
    <t>571077 Total</t>
  </si>
  <si>
    <t>571102 Total</t>
  </si>
  <si>
    <t>575553 Total</t>
  </si>
  <si>
    <t>578148 Total</t>
  </si>
  <si>
    <t>578966 Total</t>
  </si>
  <si>
    <t>579009 Total</t>
  </si>
  <si>
    <t>579107 Total</t>
  </si>
  <si>
    <t>579112 Total</t>
  </si>
  <si>
    <t>579130 Total</t>
  </si>
  <si>
    <t>579231 Total</t>
  </si>
  <si>
    <t>579254 Total</t>
  </si>
  <si>
    <t>579669 Total</t>
  </si>
  <si>
    <t>579692 Total</t>
  </si>
  <si>
    <t>579822 Total</t>
  </si>
  <si>
    <t>579836 Total</t>
  </si>
  <si>
    <t>579866 Total</t>
  </si>
  <si>
    <t>580361 Total</t>
  </si>
  <si>
    <t>580405 Total</t>
  </si>
  <si>
    <t>580411 Total</t>
  </si>
  <si>
    <t>580543 Total</t>
  </si>
  <si>
    <t>580544 Total</t>
  </si>
  <si>
    <t>580657 Total</t>
  </si>
  <si>
    <t>580665 Total</t>
  </si>
  <si>
    <t>580720 Total</t>
  </si>
  <si>
    <t>580742 Total</t>
  </si>
  <si>
    <t>580841 Total</t>
  </si>
  <si>
    <t>580886 Total</t>
  </si>
  <si>
    <t>581026 Total</t>
  </si>
  <si>
    <t>581033 Total</t>
  </si>
  <si>
    <t>581046 Total</t>
  </si>
  <si>
    <t>581052 Total</t>
  </si>
  <si>
    <t>581070 Total</t>
  </si>
  <si>
    <t>581380 Total</t>
  </si>
  <si>
    <t>581434 Total</t>
  </si>
  <si>
    <t>581441 Total</t>
  </si>
  <si>
    <t>581535 Total</t>
  </si>
  <si>
    <t>581536 Total</t>
  </si>
  <si>
    <t>581563 Total</t>
  </si>
  <si>
    <t>581565 Total</t>
  </si>
  <si>
    <t>581625 Total</t>
  </si>
  <si>
    <t>581633 Total</t>
  </si>
  <si>
    <t>581659 Total</t>
  </si>
  <si>
    <t>581698 Total</t>
  </si>
  <si>
    <t>581806 Total</t>
  </si>
  <si>
    <t>581811 Total</t>
  </si>
  <si>
    <t>581825 Total</t>
  </si>
  <si>
    <t>581827 Total</t>
  </si>
  <si>
    <t>582037 Total</t>
  </si>
  <si>
    <t>583692 Total</t>
  </si>
  <si>
    <t>583704 Total</t>
  </si>
  <si>
    <t>583729 Total</t>
  </si>
  <si>
    <t>583768 Total</t>
  </si>
  <si>
    <t>591394 Total</t>
  </si>
  <si>
    <t>591402 Total</t>
  </si>
  <si>
    <t>591465 Total</t>
  </si>
  <si>
    <t>591471 Total</t>
  </si>
  <si>
    <t>591488 Total</t>
  </si>
  <si>
    <t>591512 Total</t>
  </si>
  <si>
    <t>591556 Total</t>
  </si>
  <si>
    <t>591875 Total</t>
  </si>
  <si>
    <t>591920 Total</t>
  </si>
  <si>
    <t>591925 Total</t>
  </si>
  <si>
    <t>592047 Total</t>
  </si>
  <si>
    <t>592221 Total</t>
  </si>
  <si>
    <t>592884 Total</t>
  </si>
  <si>
    <t>593071 Total</t>
  </si>
  <si>
    <t>593078 Total</t>
  </si>
  <si>
    <t>593191 Total</t>
  </si>
  <si>
    <t>593207 Total</t>
  </si>
  <si>
    <t>594543 Total</t>
  </si>
  <si>
    <t>594712 Total</t>
  </si>
  <si>
    <t>595476 Total</t>
  </si>
  <si>
    <t>595491 Total</t>
  </si>
  <si>
    <t>595493 Total</t>
  </si>
  <si>
    <t>595532 Total</t>
  </si>
  <si>
    <t>595550 Total</t>
  </si>
  <si>
    <t>595598 Total</t>
  </si>
  <si>
    <t>595726 Total</t>
  </si>
  <si>
    <t>595737 Total</t>
  </si>
  <si>
    <t>596812 Total</t>
  </si>
  <si>
    <t>597181 Total</t>
  </si>
  <si>
    <t>597252 Total</t>
  </si>
  <si>
    <t>597259 Total</t>
  </si>
  <si>
    <t>597274 Total</t>
  </si>
  <si>
    <t>597282 Total</t>
  </si>
  <si>
    <t>597304 Total</t>
  </si>
  <si>
    <t>597321 Total</t>
  </si>
  <si>
    <t>597346 Total</t>
  </si>
  <si>
    <t>597364 Total</t>
  </si>
  <si>
    <t>597421 Total</t>
  </si>
  <si>
    <t>597468 Total</t>
  </si>
  <si>
    <t>598072 Total</t>
  </si>
  <si>
    <t>598075 Total</t>
  </si>
  <si>
    <t>598097 Total</t>
  </si>
  <si>
    <t>598221 Total</t>
  </si>
  <si>
    <t>598270 Total</t>
  </si>
  <si>
    <t>598298 Total</t>
  </si>
  <si>
    <t>599339 Total</t>
  </si>
  <si>
    <t>599379 Total</t>
  </si>
  <si>
    <t>600113 Total</t>
  </si>
  <si>
    <t>600119 Total</t>
  </si>
  <si>
    <t>600128 Total</t>
  </si>
  <si>
    <t>600419 Total</t>
  </si>
  <si>
    <t>600471 Total</t>
  </si>
  <si>
    <t>600588 Total</t>
  </si>
  <si>
    <t>600684 Total</t>
  </si>
  <si>
    <t>600782 Total</t>
  </si>
  <si>
    <t>600786 Total</t>
  </si>
  <si>
    <t>600792 Total</t>
  </si>
  <si>
    <t>600817 Total</t>
  </si>
  <si>
    <t>600846 Total</t>
  </si>
  <si>
    <t>600928 Total</t>
  </si>
  <si>
    <t>601093 Total</t>
  </si>
  <si>
    <t>601098 Total</t>
  </si>
  <si>
    <t>601125 Total</t>
  </si>
  <si>
    <t>601157 Total</t>
  </si>
  <si>
    <t>601170 Total</t>
  </si>
  <si>
    <t>601174 Total</t>
  </si>
  <si>
    <t>601215 Total</t>
  </si>
  <si>
    <t>601229 Total</t>
  </si>
  <si>
    <t>601241 Total</t>
  </si>
  <si>
    <t>601249 Total</t>
  </si>
  <si>
    <t>601262 Total</t>
  </si>
  <si>
    <t>601277 Total</t>
  </si>
  <si>
    <t>601285 Total</t>
  </si>
  <si>
    <t>601303 Total</t>
  </si>
  <si>
    <t>601308 Total</t>
  </si>
  <si>
    <t>601310 Total</t>
  </si>
  <si>
    <t>601321 Total</t>
  </si>
  <si>
    <t>601351 Total</t>
  </si>
  <si>
    <t>601371 Total</t>
  </si>
  <si>
    <t>601392 Total</t>
  </si>
  <si>
    <t>601404 Total</t>
  </si>
  <si>
    <t>601432 Total</t>
  </si>
  <si>
    <t>601453 Total</t>
  </si>
  <si>
    <t>601474 Total</t>
  </si>
  <si>
    <t>601485 Total</t>
  </si>
  <si>
    <t>601510 Total</t>
  </si>
  <si>
    <t>601529 Total</t>
  </si>
  <si>
    <t>601542 Total</t>
  </si>
  <si>
    <t>601562 Total</t>
  </si>
  <si>
    <t>601834 Total</t>
  </si>
  <si>
    <t>601899 Total</t>
  </si>
  <si>
    <t>601906 Total</t>
  </si>
  <si>
    <t>601924 Total</t>
  </si>
  <si>
    <t>601930 Total</t>
  </si>
  <si>
    <t>602188 Total</t>
  </si>
  <si>
    <t>602303 Total</t>
  </si>
  <si>
    <t>602323 Total</t>
  </si>
  <si>
    <t>602337 Total</t>
  </si>
  <si>
    <t>602358 Total</t>
  </si>
  <si>
    <t>602423 Total</t>
  </si>
  <si>
    <t>602428 Total</t>
  </si>
  <si>
    <t>604721 Total</t>
  </si>
  <si>
    <t>604762 Total</t>
  </si>
  <si>
    <t>606600 Total</t>
  </si>
  <si>
    <t>606624 Total</t>
  </si>
  <si>
    <t>606671 Total</t>
  </si>
  <si>
    <t>610925 Total</t>
  </si>
  <si>
    <t>610996 Total</t>
  </si>
  <si>
    <t>611960 Total</t>
  </si>
  <si>
    <t>611980 Total</t>
  </si>
  <si>
    <t>612349 Total</t>
  </si>
  <si>
    <t>612380 Total</t>
  </si>
  <si>
    <t>612442 Total</t>
  </si>
  <si>
    <t>612516 Total</t>
  </si>
  <si>
    <t>613106 Total</t>
  </si>
  <si>
    <t>613109 Total</t>
  </si>
  <si>
    <t>613168 Total</t>
  </si>
  <si>
    <t>613187 Total</t>
  </si>
  <si>
    <t>613192 Total</t>
  </si>
  <si>
    <t>613240 Total</t>
  </si>
  <si>
    <t>613259 Total</t>
  </si>
  <si>
    <t>613314 Total</t>
  </si>
  <si>
    <t>614116 Total</t>
  </si>
  <si>
    <t>619175 Total</t>
  </si>
  <si>
    <t>619187 Total</t>
  </si>
  <si>
    <t>619605 Total</t>
  </si>
  <si>
    <t>619647 Total</t>
  </si>
  <si>
    <t>619985 Total</t>
  </si>
  <si>
    <t>621008 Total</t>
  </si>
  <si>
    <t>621023 Total</t>
  </si>
  <si>
    <t>621046 Total</t>
  </si>
  <si>
    <t>621071 Total</t>
  </si>
  <si>
    <t>621106 Total</t>
  </si>
  <si>
    <t>621204 Total</t>
  </si>
  <si>
    <t>621211 Total</t>
  </si>
  <si>
    <t>621252 Total</t>
  </si>
  <si>
    <t>621325 Total</t>
  </si>
  <si>
    <t>621336 Total</t>
  </si>
  <si>
    <t>621357 Total</t>
  </si>
  <si>
    <t>621440 Total</t>
  </si>
  <si>
    <t>621454 Total</t>
  </si>
  <si>
    <t>621474 Total</t>
  </si>
  <si>
    <t>621503 Total</t>
  </si>
  <si>
    <t>621544 Total</t>
  </si>
  <si>
    <t>621546 Total</t>
  </si>
  <si>
    <t>621548 Total</t>
  </si>
  <si>
    <t>621565 Total</t>
  </si>
  <si>
    <t>621637 Total</t>
  </si>
  <si>
    <t>621677 Total</t>
  </si>
  <si>
    <t>621683 Total</t>
  </si>
  <si>
    <t>621736 Total</t>
  </si>
  <si>
    <t>621744 Total</t>
  </si>
  <si>
    <t>621747 Total</t>
  </si>
  <si>
    <t>621751 Total</t>
  </si>
  <si>
    <t>621775 Total</t>
  </si>
  <si>
    <t>621778 Total</t>
  </si>
  <si>
    <t>621785 Total</t>
  </si>
  <si>
    <t>621849 Total</t>
  </si>
  <si>
    <t>621861 Total</t>
  </si>
  <si>
    <t>621868 Total</t>
  </si>
  <si>
    <t>621873 Total</t>
  </si>
  <si>
    <t>621894 Total</t>
  </si>
  <si>
    <t>621971 Total</t>
  </si>
  <si>
    <t>622044 Total</t>
  </si>
  <si>
    <t>622046 Total</t>
  </si>
  <si>
    <t>622054 Total</t>
  </si>
  <si>
    <t>622125 Total</t>
  </si>
  <si>
    <t>622130 Total</t>
  </si>
  <si>
    <t>622137 Total</t>
  </si>
  <si>
    <t>622201 Total</t>
  </si>
  <si>
    <t>622207 Total</t>
  </si>
  <si>
    <t>622281 Total</t>
  </si>
  <si>
    <t>622386 Total</t>
  </si>
  <si>
    <t>622399 Total</t>
  </si>
  <si>
    <t>622401 Total</t>
  </si>
  <si>
    <t>622414 Total</t>
  </si>
  <si>
    <t>622445 Total</t>
  </si>
  <si>
    <t>622453 Total</t>
  </si>
  <si>
    <t>622531 Total</t>
  </si>
  <si>
    <t>622852 Total</t>
  </si>
  <si>
    <t>622858 Total</t>
  </si>
  <si>
    <t>622880 Total</t>
  </si>
  <si>
    <t>622890 Total</t>
  </si>
  <si>
    <t>622922 Total</t>
  </si>
  <si>
    <t>622986 Total</t>
  </si>
  <si>
    <t>623029 Total</t>
  </si>
  <si>
    <t>623054 Total</t>
  </si>
  <si>
    <t>623076 Total</t>
  </si>
  <si>
    <t>623083 Total</t>
  </si>
  <si>
    <t>623104 Total</t>
  </si>
  <si>
    <t>623121 Total</t>
  </si>
  <si>
    <t>623126 Total</t>
  </si>
  <si>
    <t>623147 Total</t>
  </si>
  <si>
    <t>623153 Total</t>
  </si>
  <si>
    <t>623183 Total</t>
  </si>
  <si>
    <t>623192 Total</t>
  </si>
  <si>
    <t>623212 Total</t>
  </si>
  <si>
    <t>623219 Total</t>
  </si>
  <si>
    <t>623449 Total</t>
  </si>
  <si>
    <t>623977 Total</t>
  </si>
  <si>
    <t>624026 Total</t>
  </si>
  <si>
    <t>624215 Total</t>
  </si>
  <si>
    <t>624887 Total</t>
  </si>
  <si>
    <t>624911 Total</t>
  </si>
  <si>
    <t>624945 Total</t>
  </si>
  <si>
    <t>624946 Total</t>
  </si>
  <si>
    <t>624973 Total</t>
  </si>
  <si>
    <t>625026 Total</t>
  </si>
  <si>
    <t>625449 Total</t>
  </si>
  <si>
    <t>625456 Total</t>
  </si>
  <si>
    <t>625470 Total</t>
  </si>
  <si>
    <t>625484 Total</t>
  </si>
  <si>
    <t>625495 Total</t>
  </si>
  <si>
    <t>626235 Total</t>
  </si>
  <si>
    <t>626304 Total</t>
  </si>
  <si>
    <t>626535 Total</t>
  </si>
  <si>
    <t>626540 Total</t>
  </si>
  <si>
    <t>627813 Total</t>
  </si>
  <si>
    <t>627828 Total</t>
  </si>
  <si>
    <t>628008 Total</t>
  </si>
  <si>
    <t>628147 Total</t>
  </si>
  <si>
    <t>628154 Total</t>
  </si>
  <si>
    <t>628790 Total</t>
  </si>
  <si>
    <t>628919 Total</t>
  </si>
  <si>
    <t>628971 Total</t>
  </si>
  <si>
    <t>628981 Total</t>
  </si>
  <si>
    <t>629779 Total</t>
  </si>
  <si>
    <t>630261 Total</t>
  </si>
  <si>
    <t>630485 Total</t>
  </si>
  <si>
    <t>632058 Total</t>
  </si>
  <si>
    <t>632079 Total</t>
  </si>
  <si>
    <t>632085 Total</t>
  </si>
  <si>
    <t>632092 Total</t>
  </si>
  <si>
    <t>632207 Total</t>
  </si>
  <si>
    <t>632214 Total</t>
  </si>
  <si>
    <t>632222 Total</t>
  </si>
  <si>
    <t>632227 Total</t>
  </si>
  <si>
    <t>633556 Total</t>
  </si>
  <si>
    <t>633563 Total</t>
  </si>
  <si>
    <t>634037 Total</t>
  </si>
  <si>
    <t>634052 Total</t>
  </si>
  <si>
    <t>634065 Total</t>
  </si>
  <si>
    <t>634066 Total</t>
  </si>
  <si>
    <t>634091 Total</t>
  </si>
  <si>
    <t>634132 Total</t>
  </si>
  <si>
    <t>634185 Total</t>
  </si>
  <si>
    <t>634214 Total</t>
  </si>
  <si>
    <t>634220 Total</t>
  </si>
  <si>
    <t>634258 Total</t>
  </si>
  <si>
    <t>634285 Total</t>
  </si>
  <si>
    <t>634304 Total</t>
  </si>
  <si>
    <t>634328 Total</t>
  </si>
  <si>
    <t>636884 Total</t>
  </si>
  <si>
    <t>636911 Total</t>
  </si>
  <si>
    <t>636918 Total</t>
  </si>
  <si>
    <t>636937 Total</t>
  </si>
  <si>
    <t>640093 Total</t>
  </si>
  <si>
    <t>642953 Total</t>
  </si>
  <si>
    <t>642988 Total</t>
  </si>
  <si>
    <t>643519 Total</t>
  </si>
  <si>
    <t>644771 Total</t>
  </si>
  <si>
    <t>644779 Total</t>
  </si>
  <si>
    <t>644897 Total</t>
  </si>
  <si>
    <t>645047 Total</t>
  </si>
  <si>
    <t>645174 Total</t>
  </si>
  <si>
    <t>645576 Total</t>
  </si>
  <si>
    <t>645595 Total</t>
  </si>
  <si>
    <t>645607 Total</t>
  </si>
  <si>
    <t>645627 Total</t>
  </si>
  <si>
    <t>645639 Total</t>
  </si>
  <si>
    <t>645655 Total</t>
  </si>
  <si>
    <t>645664 Total</t>
  </si>
  <si>
    <t>645797 Total</t>
  </si>
  <si>
    <t>645904 Total</t>
  </si>
  <si>
    <t>645915 Total</t>
  </si>
  <si>
    <t>645922 Total</t>
  </si>
  <si>
    <t>645929 Total</t>
  </si>
  <si>
    <t>645978 Total</t>
  </si>
  <si>
    <t>646017 Total</t>
  </si>
  <si>
    <t>646026 Total</t>
  </si>
  <si>
    <t>646035 Total</t>
  </si>
  <si>
    <t>646047 Total</t>
  </si>
  <si>
    <t>646653 Total</t>
  </si>
  <si>
    <t>646677 Total</t>
  </si>
  <si>
    <t>647963 Total</t>
  </si>
  <si>
    <t>647964 Total</t>
  </si>
  <si>
    <t>648163 Total</t>
  </si>
  <si>
    <t>648172 Total</t>
  </si>
  <si>
    <t>648521 Total</t>
  </si>
  <si>
    <t>648530 Total</t>
  </si>
  <si>
    <t>648835 Total</t>
  </si>
  <si>
    <t>648861 Total</t>
  </si>
  <si>
    <t>648936 Total</t>
  </si>
  <si>
    <t>648992 Total</t>
  </si>
  <si>
    <t>649004 Total</t>
  </si>
  <si>
    <t>649016 Total</t>
  </si>
  <si>
    <t>649190 Total</t>
  </si>
  <si>
    <t>651465 Total</t>
  </si>
  <si>
    <t>651466 Total</t>
  </si>
  <si>
    <t>651476 Total</t>
  </si>
  <si>
    <t>651532 Total</t>
  </si>
  <si>
    <t>651911 Total</t>
  </si>
  <si>
    <t>652356 Total</t>
  </si>
  <si>
    <t>652365 Total</t>
  </si>
  <si>
    <t>652383 Total</t>
  </si>
  <si>
    <t>652390 Total</t>
  </si>
  <si>
    <t>652431 Total</t>
  </si>
  <si>
    <t>652440 Total</t>
  </si>
  <si>
    <t>652447 Total</t>
  </si>
  <si>
    <t>652520 Total</t>
  </si>
  <si>
    <t>654112 Total</t>
  </si>
  <si>
    <t>654127 Total</t>
  </si>
  <si>
    <t>654132 Total</t>
  </si>
  <si>
    <t>654177 Total</t>
  </si>
  <si>
    <t>654178 Total</t>
  </si>
  <si>
    <t>654219 Total</t>
  </si>
  <si>
    <t>654306 Total</t>
  </si>
  <si>
    <t>654338 Total</t>
  </si>
  <si>
    <t>655359 Total</t>
  </si>
  <si>
    <t>655421 Total</t>
  </si>
  <si>
    <t>655460 Total</t>
  </si>
  <si>
    <t>655471 Total</t>
  </si>
  <si>
    <t>656453 Total</t>
  </si>
  <si>
    <t>656459 Total</t>
  </si>
  <si>
    <t>656542 Total</t>
  </si>
  <si>
    <t>656586 Total</t>
  </si>
  <si>
    <t>656662 Total</t>
  </si>
  <si>
    <t>656693 Total</t>
  </si>
  <si>
    <t>656694 Total</t>
  </si>
  <si>
    <t>656705 Total</t>
  </si>
  <si>
    <t>656715 Total</t>
  </si>
  <si>
    <t>656727 Total</t>
  </si>
  <si>
    <t>656745 Total</t>
  </si>
  <si>
    <t>656811 Total</t>
  </si>
  <si>
    <t>658647 Total</t>
  </si>
  <si>
    <t>658683 Total</t>
  </si>
  <si>
    <t>658696 Total</t>
  </si>
  <si>
    <t>658705 Total</t>
  </si>
  <si>
    <t>658712 Total</t>
  </si>
  <si>
    <t>658725 Total</t>
  </si>
  <si>
    <t>658731 Total</t>
  </si>
  <si>
    <t>658732 Total</t>
  </si>
  <si>
    <t>658738 Total</t>
  </si>
  <si>
    <t>658913 Total</t>
  </si>
  <si>
    <t>658914 Total</t>
  </si>
  <si>
    <t>658941 Total</t>
  </si>
  <si>
    <t>658947 Total</t>
  </si>
  <si>
    <t>658969 Total</t>
  </si>
  <si>
    <t>658978 Total</t>
  </si>
  <si>
    <t>659061 Total</t>
  </si>
  <si>
    <t>659063 Total</t>
  </si>
  <si>
    <t>659070 Total</t>
  </si>
  <si>
    <t>659073 Total</t>
  </si>
  <si>
    <t>659080 Total</t>
  </si>
  <si>
    <t>660252 Total</t>
  </si>
  <si>
    <t>660264 Total</t>
  </si>
  <si>
    <t>660338 Total</t>
  </si>
  <si>
    <t>660365 Total</t>
  </si>
  <si>
    <t>660402 Total</t>
  </si>
  <si>
    <t>660669 Total</t>
  </si>
  <si>
    <t>660703 Total</t>
  </si>
  <si>
    <t>662052 Total</t>
  </si>
  <si>
    <t>662056 Total</t>
  </si>
  <si>
    <t>664445 Total</t>
  </si>
  <si>
    <t>664567 Total</t>
  </si>
  <si>
    <t>664660 Total</t>
  </si>
  <si>
    <t>664669 Total</t>
  </si>
  <si>
    <t>664714 Total</t>
  </si>
  <si>
    <t>664746 Total</t>
  </si>
  <si>
    <t>664780 Total</t>
  </si>
  <si>
    <t>664787 Total</t>
  </si>
  <si>
    <t>664794 Total</t>
  </si>
  <si>
    <t>664846 Total</t>
  </si>
  <si>
    <t>664894 Total</t>
  </si>
  <si>
    <t>664908 Total</t>
  </si>
  <si>
    <t>664919 Total</t>
  </si>
  <si>
    <t>664920 Total</t>
  </si>
  <si>
    <t>664979 Total</t>
  </si>
  <si>
    <t>664993 Total</t>
  </si>
  <si>
    <t>665373 Total</t>
  </si>
  <si>
    <t>665392 Total</t>
  </si>
  <si>
    <t>665422 Total</t>
  </si>
  <si>
    <t>665648 Total</t>
  </si>
  <si>
    <t>665731 Total</t>
  </si>
  <si>
    <t>665872 Total</t>
  </si>
  <si>
    <t>670285 Total</t>
  </si>
  <si>
    <t>670332 Total</t>
  </si>
  <si>
    <t>672198 Total</t>
  </si>
  <si>
    <t>672414 Total</t>
  </si>
  <si>
    <t>672427 Total</t>
  </si>
  <si>
    <t>672432 Total</t>
  </si>
  <si>
    <t>672473 Total</t>
  </si>
  <si>
    <t>672660 Total</t>
  </si>
  <si>
    <t>672697 Total</t>
  </si>
  <si>
    <t>672870 Total</t>
  </si>
  <si>
    <t>672915 Total</t>
  </si>
  <si>
    <t>672922 Total</t>
  </si>
  <si>
    <t>672933 Total</t>
  </si>
  <si>
    <t>672986 Total</t>
  </si>
  <si>
    <t>673072 Total</t>
  </si>
  <si>
    <t>673080 Total</t>
  </si>
  <si>
    <t>673225 Total</t>
  </si>
  <si>
    <t>673244 Total</t>
  </si>
  <si>
    <t>673388 Total</t>
  </si>
  <si>
    <t>673409 Total</t>
  </si>
  <si>
    <t>673434 Total</t>
  </si>
  <si>
    <t>673488 Total</t>
  </si>
  <si>
    <t>673499 Total</t>
  </si>
  <si>
    <t>673519 Total</t>
  </si>
  <si>
    <t>673584 Total</t>
  </si>
  <si>
    <t>673595 Total</t>
  </si>
  <si>
    <t>673778 Total</t>
  </si>
  <si>
    <t>673839 Total</t>
  </si>
  <si>
    <t>673855 Total</t>
  </si>
  <si>
    <t>673996 Total</t>
  </si>
  <si>
    <t>674334 Total</t>
  </si>
  <si>
    <t>675246 Total</t>
  </si>
  <si>
    <t>677129 Total</t>
  </si>
  <si>
    <t>677139 Total</t>
  </si>
  <si>
    <t>688441 Total</t>
  </si>
  <si>
    <t>688458 Total</t>
  </si>
  <si>
    <t>688471 Total</t>
  </si>
  <si>
    <t>690247 Total</t>
  </si>
  <si>
    <t>690257 Total</t>
  </si>
  <si>
    <t>698484 Total</t>
  </si>
  <si>
    <t>698496 Total</t>
  </si>
  <si>
    <t>698505 Total</t>
  </si>
  <si>
    <t>701153 Total</t>
  </si>
  <si>
    <t>701160 Total</t>
  </si>
  <si>
    <t>703262 Total</t>
  </si>
  <si>
    <t>703449 Total</t>
  </si>
  <si>
    <t>711903 Total</t>
  </si>
  <si>
    <t>714557 Total</t>
  </si>
  <si>
    <t>714685 Total</t>
  </si>
  <si>
    <t>714686 Total</t>
  </si>
  <si>
    <t>714694 Total</t>
  </si>
  <si>
    <t>714714 Total</t>
  </si>
  <si>
    <t>716304 Total</t>
  </si>
  <si>
    <t>716426 Total</t>
  </si>
  <si>
    <t>716435 Total</t>
  </si>
  <si>
    <t>716483 Total</t>
  </si>
  <si>
    <t>716490 Total</t>
  </si>
  <si>
    <t>716502 Total</t>
  </si>
  <si>
    <t>716569 Total</t>
  </si>
  <si>
    <t>716616 Total</t>
  </si>
  <si>
    <t>716655 Total</t>
  </si>
  <si>
    <t>716681 Total</t>
  </si>
  <si>
    <t>716714 Total</t>
  </si>
  <si>
    <t>716762 Total</t>
  </si>
  <si>
    <t>716775 Total</t>
  </si>
  <si>
    <t>716783 Total</t>
  </si>
  <si>
    <t>716967 Total</t>
  </si>
  <si>
    <t>717008 Total</t>
  </si>
  <si>
    <t>717057 Total</t>
  </si>
  <si>
    <t>717094 Total</t>
  </si>
  <si>
    <t>717109 Total</t>
  </si>
  <si>
    <t>717464 Total</t>
  </si>
  <si>
    <t>717493 Total</t>
  </si>
  <si>
    <t>717531 Total</t>
  </si>
  <si>
    <t>717544 Total</t>
  </si>
  <si>
    <t>717549 Total</t>
  </si>
  <si>
    <t>717569 Total</t>
  </si>
  <si>
    <t>717584 Total</t>
  </si>
  <si>
    <t>717590 Total</t>
  </si>
  <si>
    <t>717602 Total</t>
  </si>
  <si>
    <t>717607 Total</t>
  </si>
  <si>
    <t>717664 Total</t>
  </si>
  <si>
    <t>717665 Total</t>
  </si>
  <si>
    <t>717666 Total</t>
  </si>
  <si>
    <t>717670 Total</t>
  </si>
  <si>
    <t>717699 Total</t>
  </si>
  <si>
    <t>717702 Total</t>
  </si>
  <si>
    <t>717740 Total</t>
  </si>
  <si>
    <t>717754 Total</t>
  </si>
  <si>
    <t>717766 Total</t>
  </si>
  <si>
    <t>717788 Total</t>
  </si>
  <si>
    <t>717798 Total</t>
  </si>
  <si>
    <t>717890 Total</t>
  </si>
  <si>
    <t>717937 Total</t>
  </si>
  <si>
    <t>718213 Total</t>
  </si>
  <si>
    <t>718222 Total</t>
  </si>
  <si>
    <t>718824 Total</t>
  </si>
  <si>
    <t>719129 Total</t>
  </si>
  <si>
    <t>719186 Total</t>
  </si>
  <si>
    <t>719528 Total</t>
  </si>
  <si>
    <t>720065 Total</t>
  </si>
  <si>
    <t>720071 Total</t>
  </si>
  <si>
    <t>720094 Total</t>
  </si>
  <si>
    <t>720174 Total</t>
  </si>
  <si>
    <t>720186 Total</t>
  </si>
  <si>
    <t>720217 Total</t>
  </si>
  <si>
    <t>720220 Total</t>
  </si>
  <si>
    <t>720241 Total</t>
  </si>
  <si>
    <t>720297 Total</t>
  </si>
  <si>
    <t>720427 Total</t>
  </si>
  <si>
    <t>720476 Total</t>
  </si>
  <si>
    <t>720511 Total</t>
  </si>
  <si>
    <t>720519 Total</t>
  </si>
  <si>
    <t>720544 Total</t>
  </si>
  <si>
    <t>720577 Total</t>
  </si>
  <si>
    <t>720658 Total</t>
  </si>
  <si>
    <t>720666 Total</t>
  </si>
  <si>
    <t>720685 Total</t>
  </si>
  <si>
    <t>720690 Total</t>
  </si>
  <si>
    <t>720719 Total</t>
  </si>
  <si>
    <t>720740 Total</t>
  </si>
  <si>
    <t>720757 Total</t>
  </si>
  <si>
    <t>720769 Total</t>
  </si>
  <si>
    <t>720837 Total</t>
  </si>
  <si>
    <t>720901 Total</t>
  </si>
  <si>
    <t>721706 Total</t>
  </si>
  <si>
    <t>721719 Total</t>
  </si>
  <si>
    <t>723483 Total</t>
  </si>
  <si>
    <t>723509 Total</t>
  </si>
  <si>
    <t>723521 Total</t>
  </si>
  <si>
    <t>723525 Total</t>
  </si>
  <si>
    <t>723576 Total</t>
  </si>
  <si>
    <t>723626 Total</t>
  </si>
  <si>
    <t>723627 Total</t>
  </si>
  <si>
    <t>723694 Total</t>
  </si>
  <si>
    <t>725657 Total</t>
  </si>
  <si>
    <t>725713 Total</t>
  </si>
  <si>
    <t>725718 Total</t>
  </si>
  <si>
    <t>725725 Total</t>
  </si>
  <si>
    <t>725731 Total</t>
  </si>
  <si>
    <t>725739 Total</t>
  </si>
  <si>
    <t>726939 Total</t>
  </si>
  <si>
    <t>726944 Total</t>
  </si>
  <si>
    <t>728191 Total</t>
  </si>
  <si>
    <t>728196 Total</t>
  </si>
  <si>
    <t>728206 Total</t>
  </si>
  <si>
    <t>729870 Total</t>
  </si>
  <si>
    <t>729886 Total</t>
  </si>
  <si>
    <t>729893 Total</t>
  </si>
  <si>
    <t>729929 Total</t>
  </si>
  <si>
    <t>729930 Total</t>
  </si>
  <si>
    <t>729957 Total</t>
  </si>
  <si>
    <t>731627 Total</t>
  </si>
  <si>
    <t>731635 Total</t>
  </si>
  <si>
    <t>731682 Total</t>
  </si>
  <si>
    <t>731699 Total</t>
  </si>
  <si>
    <t>732988 Total</t>
  </si>
  <si>
    <t>732993 Total</t>
  </si>
  <si>
    <t>733003 Total</t>
  </si>
  <si>
    <t>733008 Total</t>
  </si>
  <si>
    <t>733025 Total</t>
  </si>
  <si>
    <t>733032 Total</t>
  </si>
  <si>
    <t>733040 Total</t>
  </si>
  <si>
    <t>733047 Total</t>
  </si>
  <si>
    <t>733058 Total</t>
  </si>
  <si>
    <t>733066 Total</t>
  </si>
  <si>
    <t>733067 Total</t>
  </si>
  <si>
    <t>733100 Total</t>
  </si>
  <si>
    <t>733112 Total</t>
  </si>
  <si>
    <t>733128 Total</t>
  </si>
  <si>
    <t>733136 Total</t>
  </si>
  <si>
    <t>733145 Total</t>
  </si>
  <si>
    <t>733151 Total</t>
  </si>
  <si>
    <t>733162 Total</t>
  </si>
  <si>
    <t>733170 Total</t>
  </si>
  <si>
    <t>733177 Total</t>
  </si>
  <si>
    <t>733236 Total</t>
  </si>
  <si>
    <t>733245 Total</t>
  </si>
  <si>
    <t>733283 Total</t>
  </si>
  <si>
    <t>733288 Total</t>
  </si>
  <si>
    <t>733299 Total</t>
  </si>
  <si>
    <t>733307 Total</t>
  </si>
  <si>
    <t>733315 Total</t>
  </si>
  <si>
    <t>733326 Total</t>
  </si>
  <si>
    <t>733331 Total</t>
  </si>
  <si>
    <t>733336 Total</t>
  </si>
  <si>
    <t>733343 Total</t>
  </si>
  <si>
    <t>733353 Total</t>
  </si>
  <si>
    <t>733360 Total</t>
  </si>
  <si>
    <t>733364 Total</t>
  </si>
  <si>
    <t>733369 Total</t>
  </si>
  <si>
    <t>733373 Total</t>
  </si>
  <si>
    <t>733378 Total</t>
  </si>
  <si>
    <t>733379 Total</t>
  </si>
  <si>
    <t>733387 Total</t>
  </si>
  <si>
    <t>733396 Total</t>
  </si>
  <si>
    <t>733403 Total</t>
  </si>
  <si>
    <t>733414 Total</t>
  </si>
  <si>
    <t>733427 Total</t>
  </si>
  <si>
    <t>733448 Total</t>
  </si>
  <si>
    <t>733455 Total</t>
  </si>
  <si>
    <t>733459 Total</t>
  </si>
  <si>
    <t>733464 Total</t>
  </si>
  <si>
    <t>733470 Total</t>
  </si>
  <si>
    <t>733477 Total</t>
  </si>
  <si>
    <t>733487 Total</t>
  </si>
  <si>
    <t>733546 Total</t>
  </si>
  <si>
    <t>733578 Total</t>
  </si>
  <si>
    <t>733838 Total</t>
  </si>
  <si>
    <t>733844 Total</t>
  </si>
  <si>
    <t>734040 Total</t>
  </si>
  <si>
    <t>734047 Total</t>
  </si>
  <si>
    <t>734142 Total</t>
  </si>
  <si>
    <t>734173 Total</t>
  </si>
  <si>
    <t>734214 Total</t>
  </si>
  <si>
    <t>734246 Total</t>
  </si>
  <si>
    <t>734310 Total</t>
  </si>
  <si>
    <t>734343 Total</t>
  </si>
  <si>
    <t>734354 Total</t>
  </si>
  <si>
    <t>734391 Total</t>
  </si>
  <si>
    <t>734416 Total</t>
  </si>
  <si>
    <t>734438 Total</t>
  </si>
  <si>
    <t>734475 Total</t>
  </si>
  <si>
    <t>734488 Total</t>
  </si>
  <si>
    <t>734538 Total</t>
  </si>
  <si>
    <t>734567 Total</t>
  </si>
  <si>
    <t>734592 Total</t>
  </si>
  <si>
    <t>734595 Total</t>
  </si>
  <si>
    <t>734607 Total</t>
  </si>
  <si>
    <t>734619 Total</t>
  </si>
  <si>
    <t>734627 Total</t>
  </si>
  <si>
    <t>734641 Total</t>
  </si>
  <si>
    <t>734655 Total</t>
  </si>
  <si>
    <t>734676 Total</t>
  </si>
  <si>
    <t>734712 Total</t>
  </si>
  <si>
    <t>734737 Total</t>
  </si>
  <si>
    <t>734738 Total</t>
  </si>
  <si>
    <t>734755 Total</t>
  </si>
  <si>
    <t>734760 Total</t>
  </si>
  <si>
    <t>734782 Total</t>
  </si>
  <si>
    <t>734783 Total</t>
  </si>
  <si>
    <t>734819 Total</t>
  </si>
  <si>
    <t>734847 Total</t>
  </si>
  <si>
    <t>734848 Total</t>
  </si>
  <si>
    <t>734870 Total</t>
  </si>
  <si>
    <t>734879 Total</t>
  </si>
  <si>
    <t>734886 Total</t>
  </si>
  <si>
    <t>734891 Total</t>
  </si>
  <si>
    <t>734896 Total</t>
  </si>
  <si>
    <t>734905 Total</t>
  </si>
  <si>
    <t>735183 Total</t>
  </si>
  <si>
    <t>735215 Total</t>
  </si>
  <si>
    <t>735276 Total</t>
  </si>
  <si>
    <t>735292 Total</t>
  </si>
  <si>
    <t>735357 Total</t>
  </si>
  <si>
    <t>735467 Total</t>
  </si>
  <si>
    <t>735605 Total</t>
  </si>
  <si>
    <t>735844 Total</t>
  </si>
  <si>
    <t>735861 Total</t>
  </si>
  <si>
    <t>735910 Total</t>
  </si>
  <si>
    <t>735949 Total</t>
  </si>
  <si>
    <t>735957 Total</t>
  </si>
  <si>
    <t>735985 Total</t>
  </si>
  <si>
    <t>735996 Total</t>
  </si>
  <si>
    <t>736258 Total</t>
  </si>
  <si>
    <t>736268 Total</t>
  </si>
  <si>
    <t>736289 Total</t>
  </si>
  <si>
    <t>736303 Total</t>
  </si>
  <si>
    <t>736316 Total</t>
  </si>
  <si>
    <t>736326 Total</t>
  </si>
  <si>
    <t>736331 Total</t>
  </si>
  <si>
    <t>736345 Total</t>
  </si>
  <si>
    <t>736353 Total</t>
  </si>
  <si>
    <t>736392 Total</t>
  </si>
  <si>
    <t>736399 Total</t>
  </si>
  <si>
    <t>736400 Total</t>
  </si>
  <si>
    <t>736707 Total</t>
  </si>
  <si>
    <t>738060 Total</t>
  </si>
  <si>
    <t>738188 Total</t>
  </si>
  <si>
    <t>739549 Total</t>
  </si>
  <si>
    <t>740669 Total</t>
  </si>
  <si>
    <t>740687 Total</t>
  </si>
  <si>
    <t>741134 Total</t>
  </si>
  <si>
    <t>741143 Total</t>
  </si>
  <si>
    <t>742659 Total</t>
  </si>
  <si>
    <t>742716 Total</t>
  </si>
  <si>
    <t>742721 Total</t>
  </si>
  <si>
    <t>742743 Total</t>
  </si>
  <si>
    <t>744218 Total</t>
  </si>
  <si>
    <t>744227 Total</t>
  </si>
  <si>
    <t>744348 Total</t>
  </si>
  <si>
    <t>744378 Total</t>
  </si>
  <si>
    <t>744392 Total</t>
  </si>
  <si>
    <t>744645 Total</t>
  </si>
  <si>
    <t>745032 Total</t>
  </si>
  <si>
    <t>745557 Total</t>
  </si>
  <si>
    <t>747176 Total</t>
  </si>
  <si>
    <t>748560 Total</t>
  </si>
  <si>
    <t>749584 Total</t>
  </si>
  <si>
    <t>749662 Total</t>
  </si>
  <si>
    <t>749672 Total</t>
  </si>
  <si>
    <t>749787 Total</t>
  </si>
  <si>
    <t>749817 Total</t>
  </si>
  <si>
    <t>758885 Total</t>
  </si>
  <si>
    <t>759648 Total</t>
  </si>
  <si>
    <t>759658 Total</t>
  </si>
  <si>
    <t>761267 Total</t>
  </si>
  <si>
    <t>761571 Total</t>
  </si>
  <si>
    <t>763014 Total</t>
  </si>
  <si>
    <t>766799 Total</t>
  </si>
  <si>
    <t>770242 Total</t>
  </si>
  <si>
    <t>770250 Total</t>
  </si>
  <si>
    <t>770267 Total</t>
  </si>
  <si>
    <t>770319 Total</t>
  </si>
  <si>
    <t>770378 Total</t>
  </si>
  <si>
    <t>774249 Total</t>
  </si>
  <si>
    <t>774349 Total</t>
  </si>
  <si>
    <t>774393 Total</t>
  </si>
  <si>
    <t>774403 Total</t>
  </si>
  <si>
    <t>774423 Total</t>
  </si>
  <si>
    <t>774913 Total</t>
  </si>
  <si>
    <t>775023 Total</t>
  </si>
  <si>
    <t>775322 Total</t>
  </si>
  <si>
    <t>775347 Total</t>
  </si>
  <si>
    <t>775363 Total</t>
  </si>
  <si>
    <t>775380 Total</t>
  </si>
  <si>
    <t>775947 Total</t>
  </si>
  <si>
    <t>778667 Total</t>
  </si>
  <si>
    <t>778673 Total</t>
  </si>
  <si>
    <t>778683 Total</t>
  </si>
  <si>
    <t>779519 Total</t>
  </si>
  <si>
    <t>779980 Total</t>
  </si>
  <si>
    <t>779994 Total</t>
  </si>
  <si>
    <t>779997 Total</t>
  </si>
  <si>
    <t>780008 Total</t>
  </si>
  <si>
    <t>780033 Total</t>
  </si>
  <si>
    <t>780210 Total</t>
  </si>
  <si>
    <t>780218 Total</t>
  </si>
  <si>
    <t>780372 Total</t>
  </si>
  <si>
    <t>782195 Total</t>
  </si>
  <si>
    <t>782197 Total</t>
  </si>
  <si>
    <t>782228 Total</t>
  </si>
  <si>
    <t>782312 Total</t>
  </si>
  <si>
    <t>782457 Total</t>
  </si>
  <si>
    <t>783234 Total</t>
  </si>
  <si>
    <t>783308 Total</t>
  </si>
  <si>
    <t>783369 Total</t>
  </si>
  <si>
    <t>783484 Total</t>
  </si>
  <si>
    <t>783491 Total</t>
  </si>
  <si>
    <t>783522 Total</t>
  </si>
  <si>
    <t>783800 Total</t>
  </si>
  <si>
    <t>783827 Total</t>
  </si>
  <si>
    <t>784760 Total</t>
  </si>
  <si>
    <t>784781 Total</t>
  </si>
  <si>
    <t>785533 Total</t>
  </si>
  <si>
    <t>785601 Total</t>
  </si>
  <si>
    <t>785616 Total</t>
  </si>
  <si>
    <t>785659 Total</t>
  </si>
  <si>
    <t>785660 Total</t>
  </si>
  <si>
    <t>785699 Total</t>
  </si>
  <si>
    <t>785845 Total</t>
  </si>
  <si>
    <t>785991 Total</t>
  </si>
  <si>
    <t>786000 Total</t>
  </si>
  <si>
    <t>786008 Total</t>
  </si>
  <si>
    <t>786021 Total</t>
  </si>
  <si>
    <t>786161 Total</t>
  </si>
  <si>
    <t>786184 Total</t>
  </si>
  <si>
    <t>786195 Total</t>
  </si>
  <si>
    <t>786316 Total</t>
  </si>
  <si>
    <t>786495 Total</t>
  </si>
  <si>
    <t>788639 Total</t>
  </si>
  <si>
    <t>788643 Total</t>
  </si>
  <si>
    <t>788660 Total</t>
  </si>
  <si>
    <t>788666 Total</t>
  </si>
  <si>
    <t>788677 Total</t>
  </si>
  <si>
    <t>794410 Total</t>
  </si>
  <si>
    <t>794419 Total</t>
  </si>
  <si>
    <t>794428 Total</t>
  </si>
  <si>
    <t>794436 Total</t>
  </si>
  <si>
    <t>796400 Total</t>
  </si>
  <si>
    <t>796432 Total</t>
  </si>
  <si>
    <t>796518 Total</t>
  </si>
  <si>
    <t>799009 Total</t>
  </si>
  <si>
    <t>799053 Total</t>
  </si>
  <si>
    <t>799063 Total</t>
  </si>
  <si>
    <t>799090 Total</t>
  </si>
  <si>
    <t>799189 Total</t>
  </si>
  <si>
    <t>815860 Total</t>
  </si>
  <si>
    <t>815869 Total</t>
  </si>
  <si>
    <t>815870 Total</t>
  </si>
  <si>
    <t>815881 Total</t>
  </si>
  <si>
    <t>815954 Total</t>
  </si>
  <si>
    <t>815956 Total</t>
  </si>
  <si>
    <t>815991 Total</t>
  </si>
  <si>
    <t>815995 Total</t>
  </si>
  <si>
    <t>816055 Total</t>
  </si>
  <si>
    <t>816056 Total</t>
  </si>
  <si>
    <t>816086 Total</t>
  </si>
  <si>
    <t>816093 Total</t>
  </si>
  <si>
    <t>816096 Total</t>
  </si>
  <si>
    <t>816104 Total</t>
  </si>
  <si>
    <t>816117 Total</t>
  </si>
  <si>
    <t>816167 Total</t>
  </si>
  <si>
    <t>816200 Total</t>
  </si>
  <si>
    <t>816210 Total</t>
  </si>
  <si>
    <t>816213 Total</t>
  </si>
  <si>
    <t>816243 Total</t>
  </si>
  <si>
    <t>819034 Total</t>
  </si>
  <si>
    <t>819095 Total</t>
  </si>
  <si>
    <t>819124 Total</t>
  </si>
  <si>
    <t>819161 Total</t>
  </si>
  <si>
    <t>819163 Total</t>
  </si>
  <si>
    <t>819178 Total</t>
  </si>
  <si>
    <t>819251 Total</t>
  </si>
  <si>
    <t>819302 Total</t>
  </si>
  <si>
    <t>819307 Total</t>
  </si>
  <si>
    <t>819432 Total</t>
  </si>
  <si>
    <t>819534 Total</t>
  </si>
  <si>
    <t>819536 Total</t>
  </si>
  <si>
    <t>819538 Total</t>
  </si>
  <si>
    <t>819544 Total</t>
  </si>
  <si>
    <t>819545 Total</t>
  </si>
  <si>
    <t>819730 Total</t>
  </si>
  <si>
    <t>819821 Total</t>
  </si>
  <si>
    <t>821955 Total</t>
  </si>
  <si>
    <t>821961 Total</t>
  </si>
  <si>
    <t>821962 Total</t>
  </si>
  <si>
    <t>822035 Total</t>
  </si>
  <si>
    <t>822430 Total</t>
  </si>
  <si>
    <t>822825 Total</t>
  </si>
  <si>
    <t>824189 Total</t>
  </si>
  <si>
    <t>824295 Total</t>
  </si>
  <si>
    <t>824332 Total</t>
  </si>
  <si>
    <t>824350 Total</t>
  </si>
  <si>
    <t>824434 Total</t>
  </si>
  <si>
    <t>824500 Total</t>
  </si>
  <si>
    <t>824502 Total</t>
  </si>
  <si>
    <t>824526 Total</t>
  </si>
  <si>
    <t>824532 Total</t>
  </si>
  <si>
    <t>824666 Total</t>
  </si>
  <si>
    <t>824789 Total</t>
  </si>
  <si>
    <t>825033 Total</t>
  </si>
  <si>
    <t>825050 Total</t>
  </si>
  <si>
    <t>825224 Total</t>
  </si>
  <si>
    <t>825322 Total</t>
  </si>
  <si>
    <t>825880 Total</t>
  </si>
  <si>
    <t>825888 Total</t>
  </si>
  <si>
    <t>825953 Total</t>
  </si>
  <si>
    <t>825976 Total</t>
  </si>
  <si>
    <t>826188 Total</t>
  </si>
  <si>
    <t>826239 Total</t>
  </si>
  <si>
    <t>826281 Total</t>
  </si>
  <si>
    <t>826286 Total</t>
  </si>
  <si>
    <t>829200 Total</t>
  </si>
  <si>
    <t>829208 Total</t>
  </si>
  <si>
    <t>830975 Total</t>
  </si>
  <si>
    <t>830992 Total</t>
  </si>
  <si>
    <t>831001 Total</t>
  </si>
  <si>
    <t>831928 Total</t>
  </si>
  <si>
    <t>831950 Total</t>
  </si>
  <si>
    <t>831967 Total</t>
  </si>
  <si>
    <t>832028 Total</t>
  </si>
  <si>
    <t>832043 Total</t>
  </si>
  <si>
    <t>832056 Total</t>
  </si>
  <si>
    <t>833394 Total</t>
  </si>
  <si>
    <t>833417 Total</t>
  </si>
  <si>
    <t>833567 Total</t>
  </si>
  <si>
    <t>833674 Total</t>
  </si>
  <si>
    <t>833689 Total</t>
  </si>
  <si>
    <t>833730 Total</t>
  </si>
  <si>
    <t>833943 Total</t>
  </si>
  <si>
    <t>833952 Total</t>
  </si>
  <si>
    <t>833968 Total</t>
  </si>
  <si>
    <t>833983 Total</t>
  </si>
  <si>
    <t>834015 Total</t>
  </si>
  <si>
    <t>834022 Total</t>
  </si>
  <si>
    <t>834162 Total</t>
  </si>
  <si>
    <t>834211 Total</t>
  </si>
  <si>
    <t>834225 Total</t>
  </si>
  <si>
    <t>834256 Total</t>
  </si>
  <si>
    <t>834283 Total</t>
  </si>
  <si>
    <t>834411 Total</t>
  </si>
  <si>
    <t>837171 Total</t>
  </si>
  <si>
    <t>837711 Total</t>
  </si>
  <si>
    <t>837718 Total</t>
  </si>
  <si>
    <t>837727 Total</t>
  </si>
  <si>
    <t>837730 Total</t>
  </si>
  <si>
    <t>837739 Total</t>
  </si>
  <si>
    <t>837790 Total</t>
  </si>
  <si>
    <t>837803 Total</t>
  </si>
  <si>
    <t>837851 Total</t>
  </si>
  <si>
    <t>859076 Total</t>
  </si>
  <si>
    <t>861689 Total</t>
  </si>
  <si>
    <t>861711 Total</t>
  </si>
  <si>
    <t>861726 Total</t>
  </si>
  <si>
    <t>862141 Total</t>
  </si>
  <si>
    <t>873603 Total</t>
  </si>
  <si>
    <t>873604 Total</t>
  </si>
  <si>
    <t>873651 Total</t>
  </si>
  <si>
    <t>873669 Total</t>
  </si>
  <si>
    <t>875437 Total</t>
  </si>
  <si>
    <t>875447 Total</t>
  </si>
  <si>
    <t>875467 Total</t>
  </si>
  <si>
    <t>875533 Total</t>
  </si>
  <si>
    <t>875561 Total</t>
  </si>
  <si>
    <t>875569 Total</t>
  </si>
  <si>
    <t>875576 Total</t>
  </si>
  <si>
    <t>875577 Total</t>
  </si>
  <si>
    <t>875596 Total</t>
  </si>
  <si>
    <t>875626 Total</t>
  </si>
  <si>
    <t>875647 Total</t>
  </si>
  <si>
    <t>875657 Total</t>
  </si>
  <si>
    <t>875725 Total</t>
  </si>
  <si>
    <t>875748 Total</t>
  </si>
  <si>
    <t>875749 Total</t>
  </si>
  <si>
    <t>875776 Total</t>
  </si>
  <si>
    <t>875783 Total</t>
  </si>
  <si>
    <t>875811 Total</t>
  </si>
  <si>
    <t>875826 Total</t>
  </si>
  <si>
    <t>875864 Total</t>
  </si>
  <si>
    <t>875907 Total</t>
  </si>
  <si>
    <t>875935 Total</t>
  </si>
  <si>
    <t>875956 Total</t>
  </si>
  <si>
    <t>876004 Total</t>
  </si>
  <si>
    <t>876034 Total</t>
  </si>
  <si>
    <t>876111 Total</t>
  </si>
  <si>
    <t>876112 Total</t>
  </si>
  <si>
    <t>876128 Total</t>
  </si>
  <si>
    <t>876138 Total</t>
  </si>
  <si>
    <t>876141 Total</t>
  </si>
  <si>
    <t>876164 Total</t>
  </si>
  <si>
    <t>876189 Total</t>
  </si>
  <si>
    <t>876208 Total</t>
  </si>
  <si>
    <t>876235 Total</t>
  </si>
  <si>
    <t>876260 Total</t>
  </si>
  <si>
    <t>876279 Total</t>
  </si>
  <si>
    <t>876280 Total</t>
  </si>
  <si>
    <t>876296 Total</t>
  </si>
  <si>
    <t>876375 Total</t>
  </si>
  <si>
    <t>879203 Total</t>
  </si>
  <si>
    <t>879226 Total</t>
  </si>
  <si>
    <t>879228 Total</t>
  </si>
  <si>
    <t>879230 Total</t>
  </si>
  <si>
    <t>879252 Total</t>
  </si>
  <si>
    <t>880807 Total</t>
  </si>
  <si>
    <t>884140 Total</t>
  </si>
  <si>
    <t>884145 Total</t>
  </si>
  <si>
    <t>884154 Total</t>
  </si>
  <si>
    <t>884168 Total</t>
  </si>
  <si>
    <t>884183 Total</t>
  </si>
  <si>
    <t>884204 Total</t>
  </si>
  <si>
    <t>884227 Total</t>
  </si>
  <si>
    <t>884247 Total</t>
  </si>
  <si>
    <t>884281 Total</t>
  </si>
  <si>
    <t>885208 Total</t>
  </si>
  <si>
    <t>885221 Total</t>
  </si>
  <si>
    <t>886113 Total</t>
  </si>
  <si>
    <t>886162 Total</t>
  </si>
  <si>
    <t>886169 Total</t>
  </si>
  <si>
    <t>886184 Total</t>
  </si>
  <si>
    <t>886207 Total</t>
  </si>
  <si>
    <t>886217 Total</t>
  </si>
  <si>
    <t>886223 Total</t>
  </si>
  <si>
    <t>886251 Total</t>
  </si>
  <si>
    <t>886259 Total</t>
  </si>
  <si>
    <t>886280 Total</t>
  </si>
  <si>
    <t>887273 Total</t>
  </si>
  <si>
    <t>887369 Total</t>
  </si>
  <si>
    <t>887440 Total</t>
  </si>
  <si>
    <t>887596 Total</t>
  </si>
  <si>
    <t>887638 Total</t>
  </si>
  <si>
    <t>887645 Total</t>
  </si>
  <si>
    <t>887775 Total</t>
  </si>
  <si>
    <t>887781 Total</t>
  </si>
  <si>
    <t>887799 Total</t>
  </si>
  <si>
    <t>887813 Total</t>
  </si>
  <si>
    <t>887818 Total</t>
  </si>
  <si>
    <t>887837 Total</t>
  </si>
  <si>
    <t>888321 Total</t>
  </si>
  <si>
    <t>891704 Total</t>
  </si>
  <si>
    <t>891705 Total</t>
  </si>
  <si>
    <t>891807 Total</t>
  </si>
  <si>
    <t>891819 Total</t>
  </si>
  <si>
    <t>891891 Total</t>
  </si>
  <si>
    <t>891905 Total</t>
  </si>
  <si>
    <t>892035 Total</t>
  </si>
  <si>
    <t>892044 Total</t>
  </si>
  <si>
    <t>892203 Total</t>
  </si>
  <si>
    <t>892217 Total</t>
  </si>
  <si>
    <t>892311 Total</t>
  </si>
  <si>
    <t>893050 Total</t>
  </si>
  <si>
    <t>893431 Total</t>
  </si>
  <si>
    <t>894186 Total</t>
  </si>
  <si>
    <t>894219 Total</t>
  </si>
  <si>
    <t>894261 Total</t>
  </si>
  <si>
    <t>894269 Total</t>
  </si>
  <si>
    <t>894349 Total</t>
  </si>
  <si>
    <t>904786 Total</t>
  </si>
  <si>
    <t>904862 Total</t>
  </si>
  <si>
    <t>904875 Total</t>
  </si>
  <si>
    <t>904884 Total</t>
  </si>
  <si>
    <t>904906 Total</t>
  </si>
  <si>
    <t>904913 Total</t>
  </si>
  <si>
    <t>904926 Total</t>
  </si>
  <si>
    <t>917559 Total</t>
  </si>
  <si>
    <t>917667 Total</t>
  </si>
  <si>
    <t>917682 Total</t>
  </si>
  <si>
    <t>917701 Total</t>
  </si>
  <si>
    <t>917710 Total</t>
  </si>
  <si>
    <t>917822 Total</t>
  </si>
  <si>
    <t>917829 Total</t>
  </si>
  <si>
    <t>917877 Total</t>
  </si>
  <si>
    <t>918139 Total</t>
  </si>
  <si>
    <t>918794 Total</t>
  </si>
  <si>
    <t>918807 Total</t>
  </si>
  <si>
    <t>918834 Total</t>
  </si>
  <si>
    <t>918860 Total</t>
  </si>
  <si>
    <t>918875 Total</t>
  </si>
  <si>
    <t>921319 Total</t>
  </si>
  <si>
    <t>924946 Total</t>
  </si>
  <si>
    <t>925287 Total</t>
  </si>
  <si>
    <t>925298 Total</t>
  </si>
  <si>
    <t>925304 Total</t>
  </si>
  <si>
    <t>925325 Total</t>
  </si>
  <si>
    <t>925366 Total</t>
  </si>
  <si>
    <t>925392 Total</t>
  </si>
  <si>
    <t>925452 Total</t>
  </si>
  <si>
    <t>925494 Total</t>
  </si>
  <si>
    <t>925506 Total</t>
  </si>
  <si>
    <t>925520 Total</t>
  </si>
  <si>
    <t>925557 Total</t>
  </si>
  <si>
    <t>925569 Total</t>
  </si>
  <si>
    <t>925645 Total</t>
  </si>
  <si>
    <t>925650 Total</t>
  </si>
  <si>
    <t>926783 Total</t>
  </si>
  <si>
    <t>926858 Total</t>
  </si>
  <si>
    <t>926875 Total</t>
  </si>
  <si>
    <t>931378 Total</t>
  </si>
  <si>
    <t>931384 Total</t>
  </si>
  <si>
    <t>931392 Total</t>
  </si>
  <si>
    <t>931425 Total</t>
  </si>
  <si>
    <t>931426 Total</t>
  </si>
  <si>
    <t>931443 Total</t>
  </si>
  <si>
    <t>931449 Total</t>
  </si>
  <si>
    <t>931474 Total</t>
  </si>
  <si>
    <t>931480 Total</t>
  </si>
  <si>
    <t>931489 Total</t>
  </si>
  <si>
    <t>931889 Total</t>
  </si>
  <si>
    <t>931902 Total</t>
  </si>
  <si>
    <t>932076 Total</t>
  </si>
  <si>
    <t>932109 Total</t>
  </si>
  <si>
    <t>932143 Total</t>
  </si>
  <si>
    <t>932150 Total</t>
  </si>
  <si>
    <t>932154 Total</t>
  </si>
  <si>
    <t>932162 Total</t>
  </si>
  <si>
    <t>932197 Total</t>
  </si>
  <si>
    <t>932204 Total</t>
  </si>
  <si>
    <t>932208 Total</t>
  </si>
  <si>
    <t>932219 Total</t>
  </si>
  <si>
    <t>932272 Total</t>
  </si>
  <si>
    <t>932283 Total</t>
  </si>
  <si>
    <t>932313 Total</t>
  </si>
  <si>
    <t>932344 Total</t>
  </si>
  <si>
    <t>932365 Total</t>
  </si>
  <si>
    <t>932372 Total</t>
  </si>
  <si>
    <t>932479 Total</t>
  </si>
  <si>
    <t>932621 Total</t>
  </si>
  <si>
    <t>932927 Total</t>
  </si>
  <si>
    <t>933039 Total</t>
  </si>
  <si>
    <t>933110 Total</t>
  </si>
  <si>
    <t>933231 Total</t>
  </si>
  <si>
    <t>933302 Total</t>
  </si>
  <si>
    <t>933626 Total</t>
  </si>
  <si>
    <t>933642 Total</t>
  </si>
  <si>
    <t>933654 Total</t>
  </si>
  <si>
    <t>935300 Total</t>
  </si>
  <si>
    <t>936120 Total</t>
  </si>
  <si>
    <t>936141 Total</t>
  </si>
  <si>
    <t>936154 Total</t>
  </si>
  <si>
    <t>936166 Total</t>
  </si>
  <si>
    <t>936216 Total</t>
  </si>
  <si>
    <t>936575 Total</t>
  </si>
  <si>
    <t>936605 Total</t>
  </si>
  <si>
    <t>938346 Total</t>
  </si>
  <si>
    <t>938367 Total</t>
  </si>
  <si>
    <t>938470 Total</t>
  </si>
  <si>
    <t>938613 Total</t>
  </si>
  <si>
    <t>938617 Total</t>
  </si>
  <si>
    <t>938628 Total</t>
  </si>
  <si>
    <t>938693 Total</t>
  </si>
  <si>
    <t>938704 Total</t>
  </si>
  <si>
    <t>938710 Total</t>
  </si>
  <si>
    <t>938857 Total</t>
  </si>
  <si>
    <t>938863 Total</t>
  </si>
  <si>
    <t>938882 Total</t>
  </si>
  <si>
    <t>938901 Total</t>
  </si>
  <si>
    <t>938917 Total</t>
  </si>
  <si>
    <t>939195 Total</t>
  </si>
  <si>
    <t>939197 Total</t>
  </si>
  <si>
    <t>939223 Total</t>
  </si>
  <si>
    <t>939234 Total</t>
  </si>
  <si>
    <t>939248 Total</t>
  </si>
  <si>
    <t>939314 Total</t>
  </si>
  <si>
    <t>939318 Total</t>
  </si>
  <si>
    <t>939320 Total</t>
  </si>
  <si>
    <t>939342 Total</t>
  </si>
  <si>
    <t>939358 Total</t>
  </si>
  <si>
    <t>941238 Total</t>
  </si>
  <si>
    <t>941253 Total</t>
  </si>
  <si>
    <t>941484 Total</t>
  </si>
  <si>
    <t>941485 Total</t>
  </si>
  <si>
    <t>941510 Total</t>
  </si>
  <si>
    <t>941547 Total</t>
  </si>
  <si>
    <t>941568 Total</t>
  </si>
  <si>
    <t>942426 Total</t>
  </si>
  <si>
    <t>942445 Total</t>
  </si>
  <si>
    <t>943019 Total</t>
  </si>
  <si>
    <t>943332 Total</t>
  </si>
  <si>
    <t>943505 Total</t>
  </si>
  <si>
    <t>943544 Total</t>
  </si>
  <si>
    <t>943611 Total</t>
  </si>
  <si>
    <t>943621 Total</t>
  </si>
  <si>
    <t>943627 Total</t>
  </si>
  <si>
    <t>943633 Total</t>
  </si>
  <si>
    <t>943905 Total</t>
  </si>
  <si>
    <t>943911 Total</t>
  </si>
  <si>
    <t>944071 Total</t>
  </si>
  <si>
    <t>944789 Total</t>
  </si>
  <si>
    <t>945099 Total</t>
  </si>
  <si>
    <t>945218 Total</t>
  </si>
  <si>
    <t>945232 Total</t>
  </si>
  <si>
    <t>945283 Total</t>
  </si>
  <si>
    <t>945313 Total</t>
  </si>
  <si>
    <t>945323 Total</t>
  </si>
  <si>
    <t>945330 Total</t>
  </si>
  <si>
    <t>945350 Total</t>
  </si>
  <si>
    <t>945379 Total</t>
  </si>
  <si>
    <t>945385 Total</t>
  </si>
  <si>
    <t>945389 Total</t>
  </si>
  <si>
    <t>945406 Total</t>
  </si>
  <si>
    <t>945412 Total</t>
  </si>
  <si>
    <t>945417 Total</t>
  </si>
  <si>
    <t>945420 Total</t>
  </si>
  <si>
    <t>945426 Total</t>
  </si>
  <si>
    <t>945433 Total</t>
  </si>
  <si>
    <t>945498 Total</t>
  </si>
  <si>
    <t>945503 Total</t>
  </si>
  <si>
    <t>945504 Total</t>
  </si>
  <si>
    <t>945511 Total</t>
  </si>
  <si>
    <t>945527 Total</t>
  </si>
  <si>
    <t>945545 Total</t>
  </si>
  <si>
    <t>945580 Total</t>
  </si>
  <si>
    <t>945654 Total</t>
  </si>
  <si>
    <t>945705 Total</t>
  </si>
  <si>
    <t>945719 Total</t>
  </si>
  <si>
    <t>945732 Total</t>
  </si>
  <si>
    <t>945733 Total</t>
  </si>
  <si>
    <t>945782 Total</t>
  </si>
  <si>
    <t>945783 Total</t>
  </si>
  <si>
    <t>946421 Total</t>
  </si>
  <si>
    <t>946730 Total</t>
  </si>
  <si>
    <t>946757 Total</t>
  </si>
  <si>
    <t>946758 Total</t>
  </si>
  <si>
    <t>947480 Total</t>
  </si>
  <si>
    <t>947481 Total</t>
  </si>
  <si>
    <t>947482 Total</t>
  </si>
  <si>
    <t>947533 Total</t>
  </si>
  <si>
    <t>947539 Total</t>
  </si>
  <si>
    <t>947589 Total</t>
  </si>
  <si>
    <t>947796 Total</t>
  </si>
  <si>
    <t>947811 Total</t>
  </si>
  <si>
    <t>947841 Total</t>
  </si>
  <si>
    <t>947843 Total</t>
  </si>
  <si>
    <t>947845 Total</t>
  </si>
  <si>
    <t>947862 Total</t>
  </si>
  <si>
    <t>947863 Total</t>
  </si>
  <si>
    <t>947864 Total</t>
  </si>
  <si>
    <t>947931 Total</t>
  </si>
  <si>
    <t>948257 Total</t>
  </si>
  <si>
    <t>949431 Total</t>
  </si>
  <si>
    <t>949503 Total</t>
  </si>
  <si>
    <t>949588 Total</t>
  </si>
  <si>
    <t>950581 Total</t>
  </si>
  <si>
    <t>950599 Total</t>
  </si>
  <si>
    <t>950607 Total</t>
  </si>
  <si>
    <t>951394 Total</t>
  </si>
  <si>
    <t>951397 Total</t>
  </si>
  <si>
    <t>951446 Total</t>
  </si>
  <si>
    <t>951989 Total</t>
  </si>
  <si>
    <t>952049 Total</t>
  </si>
  <si>
    <t>952146 Total</t>
  </si>
  <si>
    <t>952202 Total</t>
  </si>
  <si>
    <t>952235 Total</t>
  </si>
  <si>
    <t>952455 Total</t>
  </si>
  <si>
    <t>954206 Total</t>
  </si>
  <si>
    <t>954240 Total</t>
  </si>
  <si>
    <t>954267 Total</t>
  </si>
  <si>
    <t>955522 Total</t>
  </si>
  <si>
    <t>955547 Total</t>
  </si>
  <si>
    <t>955573 Total</t>
  </si>
  <si>
    <t>955588 Total</t>
  </si>
  <si>
    <t>955598 Total</t>
  </si>
  <si>
    <t>956910 Total</t>
  </si>
  <si>
    <t>957006 Total</t>
  </si>
  <si>
    <t>957034 Total</t>
  </si>
  <si>
    <t>957739 Total</t>
  </si>
  <si>
    <t>957794 Total</t>
  </si>
  <si>
    <t>959684 Total</t>
  </si>
  <si>
    <t>959720 Total</t>
  </si>
  <si>
    <t>959728 Total</t>
  </si>
  <si>
    <t>959755 Total</t>
  </si>
  <si>
    <t>959763 Total</t>
  </si>
  <si>
    <t>959774 Total</t>
  </si>
  <si>
    <t>959793 Total</t>
  </si>
  <si>
    <t>959826 Total</t>
  </si>
  <si>
    <t>959838 Total</t>
  </si>
  <si>
    <t>959897 Total</t>
  </si>
  <si>
    <t>960414 Total</t>
  </si>
  <si>
    <t>960480 Total</t>
  </si>
  <si>
    <t>960488 Total</t>
  </si>
  <si>
    <t>960508 Total</t>
  </si>
  <si>
    <t>960514 Total</t>
  </si>
  <si>
    <t>960522 Total</t>
  </si>
  <si>
    <t>960532 Total</t>
  </si>
  <si>
    <t>960590 Total</t>
  </si>
  <si>
    <t>961757 Total</t>
  </si>
  <si>
    <t>961768 Total</t>
  </si>
  <si>
    <t>961806 Total</t>
  </si>
  <si>
    <t>961808 Total</t>
  </si>
  <si>
    <t>961913 Total</t>
  </si>
  <si>
    <t>961931 Total</t>
  </si>
  <si>
    <t>961950 Total</t>
  </si>
  <si>
    <t>965032 Total</t>
  </si>
  <si>
    <t>967077 Total</t>
  </si>
  <si>
    <t>967923 Total</t>
  </si>
  <si>
    <t>968007 Total</t>
  </si>
  <si>
    <t>969943 Total</t>
  </si>
  <si>
    <t>969952 Total</t>
  </si>
  <si>
    <t>969965 Total</t>
  </si>
  <si>
    <t>969972 Total</t>
  </si>
  <si>
    <t>969986 Total</t>
  </si>
  <si>
    <t>970013 Total</t>
  </si>
  <si>
    <t>970036 Total</t>
  </si>
  <si>
    <t>972160 Total</t>
  </si>
  <si>
    <t>972167 Total</t>
  </si>
  <si>
    <t>974178 Total</t>
  </si>
  <si>
    <t>974186 Total</t>
  </si>
  <si>
    <t>974427 Total</t>
  </si>
  <si>
    <t>974613 Total</t>
  </si>
  <si>
    <t>974682 Total</t>
  </si>
  <si>
    <t>974734 Total</t>
  </si>
  <si>
    <t>974757 Total</t>
  </si>
  <si>
    <t>974792 Total</t>
  </si>
  <si>
    <t>974806 Total</t>
  </si>
  <si>
    <t>974856 Total</t>
  </si>
  <si>
    <t>974896 Total</t>
  </si>
  <si>
    <t>975074 Total</t>
  </si>
  <si>
    <t>975129 Total</t>
  </si>
  <si>
    <t>975260 Total</t>
  </si>
  <si>
    <t>975271 Total</t>
  </si>
  <si>
    <t>975277 Total</t>
  </si>
  <si>
    <t>975290 Total</t>
  </si>
  <si>
    <t>975318 Total</t>
  </si>
  <si>
    <t>975338 Total</t>
  </si>
  <si>
    <t>975600 Total</t>
  </si>
  <si>
    <t>975604 Total</t>
  </si>
  <si>
    <t>975612 Total</t>
  </si>
  <si>
    <t>975624 Total</t>
  </si>
  <si>
    <t>976673 Total</t>
  </si>
  <si>
    <t>978654 Total</t>
  </si>
  <si>
    <t>978711 Total</t>
  </si>
  <si>
    <t>978729 Total</t>
  </si>
  <si>
    <t>978776 Total</t>
  </si>
  <si>
    <t>978910 Total</t>
  </si>
  <si>
    <t>978917 Total</t>
  </si>
  <si>
    <t>978925 Total</t>
  </si>
  <si>
    <t>978940 Total</t>
  </si>
  <si>
    <t>978944 Total</t>
  </si>
  <si>
    <t>978960 Total</t>
  </si>
  <si>
    <t>978966 Total</t>
  </si>
  <si>
    <t>978982 Total</t>
  </si>
  <si>
    <t>978989 Total</t>
  </si>
  <si>
    <t>979004 Total</t>
  </si>
  <si>
    <t>979009 Total</t>
  </si>
  <si>
    <t>979025 Total</t>
  </si>
  <si>
    <t>979032 Total</t>
  </si>
  <si>
    <t>979042 Total</t>
  </si>
  <si>
    <t>979051 Total</t>
  </si>
  <si>
    <t>979079 Total</t>
  </si>
  <si>
    <t>979107 Total</t>
  </si>
  <si>
    <t>979116 Total</t>
  </si>
  <si>
    <t>979158 Total</t>
  </si>
  <si>
    <t>979167 Total</t>
  </si>
  <si>
    <t>979185 Total</t>
  </si>
  <si>
    <t>979213 Total</t>
  </si>
  <si>
    <t>979223 Total</t>
  </si>
  <si>
    <t>979240 Total</t>
  </si>
  <si>
    <t>979244 Total</t>
  </si>
  <si>
    <t>979256 Total</t>
  </si>
  <si>
    <t>979263 Total</t>
  </si>
  <si>
    <t>979285 Total</t>
  </si>
  <si>
    <t>979334 Total</t>
  </si>
  <si>
    <t>979343 Total</t>
  </si>
  <si>
    <t>981021 Total</t>
  </si>
  <si>
    <t>981042 Total</t>
  </si>
  <si>
    <t>981050 Total</t>
  </si>
  <si>
    <t>981072 Total</t>
  </si>
  <si>
    <t>981094 Total</t>
  </si>
  <si>
    <t>981107 Total</t>
  </si>
  <si>
    <t>981136 Total</t>
  </si>
  <si>
    <t>981906 Total</t>
  </si>
  <si>
    <t>981960 Total</t>
  </si>
  <si>
    <t>981995 Total</t>
  </si>
  <si>
    <t>982045 Total</t>
  </si>
  <si>
    <t>982084 Total</t>
  </si>
  <si>
    <t>982150 Total</t>
  </si>
  <si>
    <t>982265 Total</t>
  </si>
  <si>
    <t>982276 Total</t>
  </si>
  <si>
    <t>982297 Total</t>
  </si>
  <si>
    <t>982335 Total</t>
  </si>
  <si>
    <t>982379 Total</t>
  </si>
  <si>
    <t>982469 Total</t>
  </si>
  <si>
    <t>982690 Total</t>
  </si>
  <si>
    <t>982718 Total</t>
  </si>
  <si>
    <t>982868 Total</t>
  </si>
  <si>
    <t>982902 Total</t>
  </si>
  <si>
    <t>982932 Total</t>
  </si>
  <si>
    <t>982946 Total</t>
  </si>
  <si>
    <t>982959 Total</t>
  </si>
  <si>
    <t>982982 Total</t>
  </si>
  <si>
    <t>983026 Total</t>
  </si>
  <si>
    <t>983044 Total</t>
  </si>
  <si>
    <t>983068 Total</t>
  </si>
  <si>
    <t>983121 Total</t>
  </si>
  <si>
    <t>983138 Total</t>
  </si>
  <si>
    <t>983147 Total</t>
  </si>
  <si>
    <t>983161 Total</t>
  </si>
  <si>
    <t>983169 Total</t>
  </si>
  <si>
    <t>983309 Total</t>
  </si>
  <si>
    <t>984851 Total</t>
  </si>
  <si>
    <t>984889 Total</t>
  </si>
  <si>
    <t>984897 Total</t>
  </si>
  <si>
    <t>986829 Total</t>
  </si>
  <si>
    <t>990330 Total</t>
  </si>
  <si>
    <t>990343 Total</t>
  </si>
  <si>
    <t>990410 Total</t>
  </si>
  <si>
    <t>990421 Total</t>
  </si>
  <si>
    <t>990511 Total</t>
  </si>
  <si>
    <t>990517 Total</t>
  </si>
  <si>
    <t>997219 Total</t>
  </si>
  <si>
    <t>1000179 Total</t>
  </si>
  <si>
    <t>1000215 Total</t>
  </si>
  <si>
    <t>1005498 Total</t>
  </si>
  <si>
    <t>1005585 Total</t>
  </si>
  <si>
    <t>1006359 Total</t>
  </si>
  <si>
    <t>1006461 Total</t>
  </si>
  <si>
    <t>1006470 Total</t>
  </si>
  <si>
    <t>1006555 Total</t>
  </si>
  <si>
    <t>1006563 Total</t>
  </si>
  <si>
    <t>1006596 Total</t>
  </si>
  <si>
    <t>1008753 Total</t>
  </si>
  <si>
    <t>1009283 Total</t>
  </si>
  <si>
    <t>1009482 Total</t>
  </si>
  <si>
    <t>1009509 Total</t>
  </si>
  <si>
    <t>1009522 Total</t>
  </si>
  <si>
    <t>1009529 Total</t>
  </si>
  <si>
    <t>1009592 Total</t>
  </si>
  <si>
    <t>1010517 Total</t>
  </si>
  <si>
    <t>1010518 Total</t>
  </si>
  <si>
    <t>1010533 Total</t>
  </si>
  <si>
    <t>1010565 Total</t>
  </si>
  <si>
    <t>1010588 Total</t>
  </si>
  <si>
    <t>1010589 Total</t>
  </si>
  <si>
    <t>1010605 Total</t>
  </si>
  <si>
    <t>1010615 Total</t>
  </si>
  <si>
    <t>1010628 Total</t>
  </si>
  <si>
    <t>1010636 Total</t>
  </si>
  <si>
    <t>1010664 Total</t>
  </si>
  <si>
    <t>1010689 Total</t>
  </si>
  <si>
    <t>1010704 Total</t>
  </si>
  <si>
    <t>1010736 Total</t>
  </si>
  <si>
    <t>1011342 Total</t>
  </si>
  <si>
    <t>1011677 Total</t>
  </si>
  <si>
    <t>1011683 Total</t>
  </si>
  <si>
    <t>1011746 Total</t>
  </si>
  <si>
    <t>1011753 Total</t>
  </si>
  <si>
    <t>1011802 Total</t>
  </si>
  <si>
    <t>1011830 Total</t>
  </si>
  <si>
    <t>1011864 Total</t>
  </si>
  <si>
    <t>1011872 Total</t>
  </si>
  <si>
    <t>1011880 Total</t>
  </si>
  <si>
    <t>1011888 Total</t>
  </si>
  <si>
    <t>1012119 Total</t>
  </si>
  <si>
    <t>1012132 Total</t>
  </si>
  <si>
    <t>1012151 Total</t>
  </si>
  <si>
    <t>1012181 Total</t>
  </si>
  <si>
    <t>1012182 Total</t>
  </si>
  <si>
    <t>1012209 Total</t>
  </si>
  <si>
    <t>1012215 Total</t>
  </si>
  <si>
    <t>1012251 Total</t>
  </si>
  <si>
    <t>1012269 Total</t>
  </si>
  <si>
    <t>1012284 Total</t>
  </si>
  <si>
    <t>1012303 Total</t>
  </si>
  <si>
    <t>1012328 Total</t>
  </si>
  <si>
    <t>1012342 Total</t>
  </si>
  <si>
    <t>1012360 Total</t>
  </si>
  <si>
    <t>1012426 Total</t>
  </si>
  <si>
    <t>1012457 Total</t>
  </si>
  <si>
    <t>1012469 Total</t>
  </si>
  <si>
    <t>1012611 Total</t>
  </si>
  <si>
    <t>1012617 Total</t>
  </si>
  <si>
    <t>1012673 Total</t>
  </si>
  <si>
    <t>1012680 Total</t>
  </si>
  <si>
    <t>1012732 Total</t>
  </si>
  <si>
    <t>1012738 Total</t>
  </si>
  <si>
    <t>1012835 Total</t>
  </si>
  <si>
    <t>1013582 Total</t>
  </si>
  <si>
    <t>1013609 Total</t>
  </si>
  <si>
    <t>1013623 Total</t>
  </si>
  <si>
    <t>1013629 Total</t>
  </si>
  <si>
    <t>1014784 Total</t>
  </si>
  <si>
    <t>1014792 Total</t>
  </si>
  <si>
    <t>1014808 Total</t>
  </si>
  <si>
    <t>1014847 Total</t>
  </si>
  <si>
    <t>1014856 Total</t>
  </si>
  <si>
    <t>1014871 Total</t>
  </si>
  <si>
    <t>1014903 Total</t>
  </si>
  <si>
    <t>1014922 Total</t>
  </si>
  <si>
    <t>1014952 Total</t>
  </si>
  <si>
    <t>1014967 Total</t>
  </si>
  <si>
    <t>1015021 Total</t>
  </si>
  <si>
    <t>1015538 Total</t>
  </si>
  <si>
    <t>1015574 Total</t>
  </si>
  <si>
    <t>1016487 Total</t>
  </si>
  <si>
    <t>1016494 Total</t>
  </si>
  <si>
    <t>1016544 Total</t>
  </si>
  <si>
    <t>1016634 Total</t>
  </si>
  <si>
    <t>1016827 Total</t>
  </si>
  <si>
    <t>1016866 Total</t>
  </si>
  <si>
    <t>1016873 Total</t>
  </si>
  <si>
    <t>1016906 Total</t>
  </si>
  <si>
    <t>1016914 Total</t>
  </si>
  <si>
    <t>1016951 Total</t>
  </si>
  <si>
    <t>1016957 Total</t>
  </si>
  <si>
    <t>1016986 Total</t>
  </si>
  <si>
    <t>1016991 Total</t>
  </si>
  <si>
    <t>1017026 Total</t>
  </si>
  <si>
    <t>1017154 Total</t>
  </si>
  <si>
    <t>1017172 Total</t>
  </si>
  <si>
    <t>1017215 Total</t>
  </si>
  <si>
    <t>1017217 Total</t>
  </si>
  <si>
    <t>1017224 Total</t>
  </si>
  <si>
    <t>1017229 Total</t>
  </si>
  <si>
    <t>1017232 Total</t>
  </si>
  <si>
    <t>1017238 Total</t>
  </si>
  <si>
    <t>1017255 Total</t>
  </si>
  <si>
    <t>1017272 Total</t>
  </si>
  <si>
    <t>1017276 Total</t>
  </si>
  <si>
    <t>1017300 Total</t>
  </si>
  <si>
    <t>1017306 Total</t>
  </si>
  <si>
    <t>1017346 Total</t>
  </si>
  <si>
    <t>1017353 Total</t>
  </si>
  <si>
    <t>1017380 Total</t>
  </si>
  <si>
    <t>1017397 Total</t>
  </si>
  <si>
    <t>1017402 Total</t>
  </si>
  <si>
    <t>1017485 Total</t>
  </si>
  <si>
    <t>1017519 Total</t>
  </si>
  <si>
    <t>1017534 Total</t>
  </si>
  <si>
    <t>1017563 Total</t>
  </si>
  <si>
    <t>1017650 Total</t>
  </si>
  <si>
    <t>1017764 Total</t>
  </si>
  <si>
    <t>1024104 Total</t>
  </si>
  <si>
    <t>1024409 Total</t>
  </si>
  <si>
    <t>1024579 Total</t>
  </si>
  <si>
    <t>1025129 Total</t>
  </si>
  <si>
    <t>1025182 Total</t>
  </si>
  <si>
    <t>1025219 Total</t>
  </si>
  <si>
    <t>1025265 Total</t>
  </si>
  <si>
    <t>1025282 Total</t>
  </si>
  <si>
    <t>1025295 Total</t>
  </si>
  <si>
    <t>1025340 Total</t>
  </si>
  <si>
    <t>1025385 Total</t>
  </si>
  <si>
    <t>1025400 Total</t>
  </si>
  <si>
    <t>1025434 Total</t>
  </si>
  <si>
    <t>1025460 Total</t>
  </si>
  <si>
    <t>1025518 Total</t>
  </si>
  <si>
    <t>1025538 Total</t>
  </si>
  <si>
    <t>1027717 Total</t>
  </si>
  <si>
    <t>1032542 Total</t>
  </si>
  <si>
    <t>1034617 Total</t>
  </si>
  <si>
    <t>1034671 Total</t>
  </si>
  <si>
    <t>1034678 Total</t>
  </si>
  <si>
    <t>1034760 Total</t>
  </si>
  <si>
    <t>1035179 Total</t>
  </si>
  <si>
    <t>1035188 Total</t>
  </si>
  <si>
    <t>1036367 Total</t>
  </si>
  <si>
    <t>1036502 Total</t>
  </si>
  <si>
    <t>1036510 Total</t>
  </si>
  <si>
    <t>1036515 Total</t>
  </si>
  <si>
    <t>1037091 Total</t>
  </si>
  <si>
    <t>1039413 Total</t>
  </si>
  <si>
    <t>1039517 Total</t>
  </si>
  <si>
    <t>1039958 Total</t>
  </si>
  <si>
    <t>1040588 Total</t>
  </si>
  <si>
    <t>1045070 Total</t>
  </si>
  <si>
    <t>1045653 Total</t>
  </si>
  <si>
    <t>1045654 Total</t>
  </si>
  <si>
    <t>1045935 Total</t>
  </si>
  <si>
    <t>1046032 Total</t>
  </si>
  <si>
    <t>1046136 Total</t>
  </si>
  <si>
    <t>1046163 Total</t>
  </si>
  <si>
    <t>1046787 Total</t>
  </si>
  <si>
    <t>1046814 Total</t>
  </si>
  <si>
    <t>1047239 Total</t>
  </si>
  <si>
    <t>1047244 Total</t>
  </si>
  <si>
    <t>1047260 Total</t>
  </si>
  <si>
    <t>1047265 Total</t>
  </si>
  <si>
    <t>1047266 Total</t>
  </si>
  <si>
    <t>1047291 Total</t>
  </si>
  <si>
    <t>1047298 Total</t>
  </si>
  <si>
    <t>1047372 Total</t>
  </si>
  <si>
    <t>1048365 Total</t>
  </si>
  <si>
    <t>1050036 Total</t>
  </si>
  <si>
    <t>1050042 Total</t>
  </si>
  <si>
    <t>1050101 Total</t>
  </si>
  <si>
    <t>1050156 Total</t>
  </si>
  <si>
    <t>1050165 Total</t>
  </si>
  <si>
    <t>1050182 Total</t>
  </si>
  <si>
    <t>1052216 Total</t>
  </si>
  <si>
    <t>1052261 Total</t>
  </si>
  <si>
    <t>1052277 Total</t>
  </si>
  <si>
    <t>1052295 Total</t>
  </si>
  <si>
    <t>1052349 Total</t>
  </si>
  <si>
    <t>1052378 Total</t>
  </si>
  <si>
    <t>1052468 Total</t>
  </si>
  <si>
    <t>1052469 Total</t>
  </si>
  <si>
    <t>1052490 Total</t>
  </si>
  <si>
    <t>1052653 Total</t>
  </si>
  <si>
    <t>1052664 Total</t>
  </si>
  <si>
    <t>1052672 Total</t>
  </si>
  <si>
    <t>1052697 Total</t>
  </si>
  <si>
    <t>1052723 Total</t>
  </si>
  <si>
    <t>1052730 Total</t>
  </si>
  <si>
    <t>1052884 Total</t>
  </si>
  <si>
    <t>1053393 Total</t>
  </si>
  <si>
    <t>1055039 Total</t>
  </si>
  <si>
    <t>1055519 Total</t>
  </si>
  <si>
    <t>1055557 Total</t>
  </si>
  <si>
    <t>1055588 Total</t>
  </si>
  <si>
    <t>1055681 Total</t>
  </si>
  <si>
    <t>1055873 Total</t>
  </si>
  <si>
    <t>1055926 Total</t>
  </si>
  <si>
    <t>1055983 Total</t>
  </si>
  <si>
    <t>1055996 Total</t>
  </si>
  <si>
    <t>1056034 Total</t>
  </si>
  <si>
    <t>1056112 Total</t>
  </si>
  <si>
    <t>1056139 Total</t>
  </si>
  <si>
    <t>1056253 Total</t>
  </si>
  <si>
    <t>1056333 Total</t>
  </si>
  <si>
    <t>1056348 Total</t>
  </si>
  <si>
    <t>1056976 Total</t>
  </si>
  <si>
    <t>1057080 Total</t>
  </si>
  <si>
    <t>1057095 Total</t>
  </si>
  <si>
    <t>1057160 Total</t>
  </si>
  <si>
    <t>1057187 Total</t>
  </si>
  <si>
    <t>1057190 Total</t>
  </si>
  <si>
    <t>1057332 Total</t>
  </si>
  <si>
    <t>1057372 Total</t>
  </si>
  <si>
    <t>1057387 Total</t>
  </si>
  <si>
    <t>1057444 Total</t>
  </si>
  <si>
    <t>1057487 Total</t>
  </si>
  <si>
    <t>1057530 Total</t>
  </si>
  <si>
    <t>1057562 Total</t>
  </si>
  <si>
    <t>1057604 Total</t>
  </si>
  <si>
    <t>1057633 Total</t>
  </si>
  <si>
    <t>1057672 Total</t>
  </si>
  <si>
    <t>1057755 Total</t>
  </si>
  <si>
    <t>1057770 Total</t>
  </si>
  <si>
    <t>1057806 Total</t>
  </si>
  <si>
    <t>1057838 Total</t>
  </si>
  <si>
    <t>1057850 Total</t>
  </si>
  <si>
    <t>1058097 Total</t>
  </si>
  <si>
    <t>1058176 Total</t>
  </si>
  <si>
    <t>1058190 Total</t>
  </si>
  <si>
    <t>1058240 Total</t>
  </si>
  <si>
    <t>1058249 Total</t>
  </si>
  <si>
    <t>1058365 Total</t>
  </si>
  <si>
    <t>1058387 Total</t>
  </si>
  <si>
    <t>1058398 Total</t>
  </si>
  <si>
    <t>1058407 Total</t>
  </si>
  <si>
    <t>1058417 Total</t>
  </si>
  <si>
    <t>1058439 Total</t>
  </si>
  <si>
    <t>1058491 Total</t>
  </si>
  <si>
    <t>1058551 Total</t>
  </si>
  <si>
    <t>1058610 Total</t>
  </si>
  <si>
    <t>1058630 Total</t>
  </si>
  <si>
    <t>1058655 Total</t>
  </si>
  <si>
    <t>1058716 Total</t>
  </si>
  <si>
    <t>1058758 Total</t>
  </si>
  <si>
    <t>1058793 Total</t>
  </si>
  <si>
    <t>1058810 Total</t>
  </si>
  <si>
    <t>1058933 Total</t>
  </si>
  <si>
    <t>1058976 Total</t>
  </si>
  <si>
    <t>1058987 Total</t>
  </si>
  <si>
    <t>1059028 Total</t>
  </si>
  <si>
    <t>1059046 Total</t>
  </si>
  <si>
    <t>1059135 Total</t>
  </si>
  <si>
    <t>1059152 Total</t>
  </si>
  <si>
    <t>1059210 Total</t>
  </si>
  <si>
    <t>1059219 Total</t>
  </si>
  <si>
    <t>1059242 Total</t>
  </si>
  <si>
    <t>1059253 Total</t>
  </si>
  <si>
    <t>1059259 Total</t>
  </si>
  <si>
    <t>1059389 Total</t>
  </si>
  <si>
    <t>1059395 Total</t>
  </si>
  <si>
    <t>1059398 Total</t>
  </si>
  <si>
    <t>1059408 Total</t>
  </si>
  <si>
    <t>1059419 Total</t>
  </si>
  <si>
    <t>1059507 Total</t>
  </si>
  <si>
    <t>1059571 Total</t>
  </si>
  <si>
    <t>1059578 Total</t>
  </si>
  <si>
    <t>1059637 Total</t>
  </si>
  <si>
    <t>1059644 Total</t>
  </si>
  <si>
    <t>1059736 Total</t>
  </si>
  <si>
    <t>1062692 Total</t>
  </si>
  <si>
    <t>1062726 Total</t>
  </si>
  <si>
    <t>1062743 Total</t>
  </si>
  <si>
    <t>1062746 Total</t>
  </si>
  <si>
    <t>1062776 Total</t>
  </si>
  <si>
    <t>1062778 Total</t>
  </si>
  <si>
    <t>1062787 Total</t>
  </si>
  <si>
    <t>1062794 Total</t>
  </si>
  <si>
    <t>1062825 Total</t>
  </si>
  <si>
    <t>1062865 Total</t>
  </si>
  <si>
    <t>1062883 Total</t>
  </si>
  <si>
    <t>1062934 Total</t>
  </si>
  <si>
    <t>1062950 Total</t>
  </si>
  <si>
    <t>1062985 Total</t>
  </si>
  <si>
    <t>1063028 Total</t>
  </si>
  <si>
    <t>1063054 Total</t>
  </si>
  <si>
    <t>1063102 Total</t>
  </si>
  <si>
    <t>1063574 Total</t>
  </si>
  <si>
    <t>1063583 Total</t>
  </si>
  <si>
    <t>1063635 Total</t>
  </si>
  <si>
    <t>1063773 Total</t>
  </si>
  <si>
    <t>1063790 Total</t>
  </si>
  <si>
    <t>1063801 Total</t>
  </si>
  <si>
    <t>1063833 Total</t>
  </si>
  <si>
    <t>1063849 Total</t>
  </si>
  <si>
    <t>1063880 Total</t>
  </si>
  <si>
    <t>1063995 Total</t>
  </si>
  <si>
    <t>1064000 Total</t>
  </si>
  <si>
    <t>1064048 Total</t>
  </si>
  <si>
    <t>1064059 Total</t>
  </si>
  <si>
    <t>1064066 Total</t>
  </si>
  <si>
    <t>1064077 Total</t>
  </si>
  <si>
    <t>1064174 Total</t>
  </si>
  <si>
    <t>1064200 Total</t>
  </si>
  <si>
    <t>1064217 Total</t>
  </si>
  <si>
    <t>1064239 Total</t>
  </si>
  <si>
    <t>1064252 Total</t>
  </si>
  <si>
    <t>1064253 Total</t>
  </si>
  <si>
    <t>1064259 Total</t>
  </si>
  <si>
    <t>1064266 Total</t>
  </si>
  <si>
    <t>1064337 Total</t>
  </si>
  <si>
    <t>1064351 Total</t>
  </si>
  <si>
    <t>1064381 Total</t>
  </si>
  <si>
    <t>1064427 Total</t>
  </si>
  <si>
    <t>1064452 Total</t>
  </si>
  <si>
    <t>1064516 Total</t>
  </si>
  <si>
    <t>1064560 Total</t>
  </si>
  <si>
    <t>1064864 Total</t>
  </si>
  <si>
    <t>1064945 Total</t>
  </si>
  <si>
    <t>1065033 Total</t>
  </si>
  <si>
    <t>1067554 Total</t>
  </si>
  <si>
    <t>1067571 Total</t>
  </si>
  <si>
    <t>1067598 Total</t>
  </si>
  <si>
    <t>1067779 Total</t>
  </si>
  <si>
    <t>1068469 Total</t>
  </si>
  <si>
    <t>1068477 Total</t>
  </si>
  <si>
    <t>1068485 Total</t>
  </si>
  <si>
    <t>1068550 Total</t>
  </si>
  <si>
    <t>1068586 Total</t>
  </si>
  <si>
    <t>1068594 Total</t>
  </si>
  <si>
    <t>1068643 Total</t>
  </si>
  <si>
    <t>1068661 Total</t>
  </si>
  <si>
    <t>1068752 Total</t>
  </si>
  <si>
    <t>1068757 Total</t>
  </si>
  <si>
    <t>1068811 Total</t>
  </si>
  <si>
    <t>1068920 Total</t>
  </si>
  <si>
    <t>1072002 Total</t>
  </si>
  <si>
    <t>1072019 Total</t>
  </si>
  <si>
    <t>1072147 Total</t>
  </si>
  <si>
    <t>1072160 Total</t>
  </si>
  <si>
    <t>1072163 Total</t>
  </si>
  <si>
    <t>1072176 Total</t>
  </si>
  <si>
    <t>1072210 Total</t>
  </si>
  <si>
    <t>1072216 Total</t>
  </si>
  <si>
    <t>1072217 Total</t>
  </si>
  <si>
    <t>1072243 Total</t>
  </si>
  <si>
    <t>1072471 Total</t>
  </si>
  <si>
    <t>1074456 Total</t>
  </si>
  <si>
    <t>1074865 Total</t>
  </si>
  <si>
    <t>1074891 Total</t>
  </si>
  <si>
    <t>1074899 Total</t>
  </si>
  <si>
    <t>1074921 Total</t>
  </si>
  <si>
    <t>1074923 Total</t>
  </si>
  <si>
    <t>1076967 Total</t>
  </si>
  <si>
    <t>1077009 Total</t>
  </si>
  <si>
    <t>1077029 Total</t>
  </si>
  <si>
    <t>1077043 Total</t>
  </si>
  <si>
    <t>1077405 Total</t>
  </si>
  <si>
    <t>1077436 Total</t>
  </si>
  <si>
    <t>1077507 Total</t>
  </si>
  <si>
    <t>1077636 Total</t>
  </si>
  <si>
    <t>1077662 Total</t>
  </si>
  <si>
    <t>1077692 Total</t>
  </si>
  <si>
    <t>1077722 Total</t>
  </si>
  <si>
    <t>1077734 Total</t>
  </si>
  <si>
    <t>1077794 Total</t>
  </si>
  <si>
    <t>1081885 Total</t>
  </si>
  <si>
    <t>1081908 Total</t>
  </si>
  <si>
    <t>1081914 Total</t>
  </si>
  <si>
    <t>1081920 Total</t>
  </si>
  <si>
    <t>1081930 Total</t>
  </si>
  <si>
    <t>1081938 Total</t>
  </si>
  <si>
    <t>1081944 Total</t>
  </si>
  <si>
    <t>1081951 Total</t>
  </si>
  <si>
    <t>1082364 Total</t>
  </si>
  <si>
    <t>1082414 Total</t>
  </si>
  <si>
    <t>1082487 Total</t>
  </si>
  <si>
    <t>1082610 Total</t>
  </si>
  <si>
    <t>1083706 Total</t>
  </si>
  <si>
    <t>1083738 Total</t>
  </si>
  <si>
    <t>1083744 Total</t>
  </si>
  <si>
    <t>1083785 Total</t>
  </si>
  <si>
    <t>1083792 Total</t>
  </si>
  <si>
    <t>1083816 Total</t>
  </si>
  <si>
    <t>1083821 Total</t>
  </si>
  <si>
    <t>1083864 Total</t>
  </si>
  <si>
    <t>1083874 Total</t>
  </si>
  <si>
    <t>1083920 Total</t>
  </si>
  <si>
    <t>1083926 Total</t>
  </si>
  <si>
    <t>1083965 Total</t>
  </si>
  <si>
    <t>1083972 Total</t>
  </si>
  <si>
    <t>1084007 Total</t>
  </si>
  <si>
    <t>1084015 Total</t>
  </si>
  <si>
    <t>1084100 Total</t>
  </si>
  <si>
    <t>1084109 Total</t>
  </si>
  <si>
    <t>1084149 Total</t>
  </si>
  <si>
    <t>1084155 Total</t>
  </si>
  <si>
    <t>1084173 Total</t>
  </si>
  <si>
    <t>1084189 Total</t>
  </si>
  <si>
    <t>1084214 Total</t>
  </si>
  <si>
    <t>1084221 Total</t>
  </si>
  <si>
    <t>1084247 Total</t>
  </si>
  <si>
    <t>1084417 Total</t>
  </si>
  <si>
    <t>1084423 Total</t>
  </si>
  <si>
    <t>1084462 Total</t>
  </si>
  <si>
    <t>1084468 Total</t>
  </si>
  <si>
    <t>1084519 Total</t>
  </si>
  <si>
    <t>1084581 Total</t>
  </si>
  <si>
    <t>1086193 Total</t>
  </si>
  <si>
    <t>1086235 Total</t>
  </si>
  <si>
    <t>1086237 Total</t>
  </si>
  <si>
    <t>1086260 Total</t>
  </si>
  <si>
    <t>1091844 Total</t>
  </si>
  <si>
    <t>1091849 Total</t>
  </si>
  <si>
    <t>1091886 Total</t>
  </si>
  <si>
    <t>1091994 Total</t>
  </si>
  <si>
    <t>1092001 Total</t>
  </si>
  <si>
    <t>1092011 Total</t>
  </si>
  <si>
    <t>1092017 Total</t>
  </si>
  <si>
    <t>1092053 Total</t>
  </si>
  <si>
    <t>1092178 Total</t>
  </si>
  <si>
    <t>1092185 Total</t>
  </si>
  <si>
    <t>1095056 Total</t>
  </si>
  <si>
    <t>1095065 Total</t>
  </si>
  <si>
    <t>1096376 Total</t>
  </si>
  <si>
    <t>1096407 Total</t>
  </si>
  <si>
    <t>1096416 Total</t>
  </si>
  <si>
    <t>1096451 Total</t>
  </si>
  <si>
    <t>1096606 Total</t>
  </si>
  <si>
    <t>1096879 Total</t>
  </si>
  <si>
    <t>1096891 Total</t>
  </si>
  <si>
    <t>1098131 Total</t>
  </si>
  <si>
    <t>1098415 Total</t>
  </si>
  <si>
    <t>1098477 Total</t>
  </si>
  <si>
    <t>1099823 Total</t>
  </si>
  <si>
    <t>1100053 Total</t>
  </si>
  <si>
    <t>1100054 Total</t>
  </si>
  <si>
    <t>1100062 Total</t>
  </si>
  <si>
    <t>1101833 Total</t>
  </si>
  <si>
    <t>1101951 Total</t>
  </si>
  <si>
    <t>1105365 Total</t>
  </si>
  <si>
    <t>1105372 Total</t>
  </si>
  <si>
    <t>1105779 Total</t>
  </si>
  <si>
    <t>1105784 Total</t>
  </si>
  <si>
    <t>1105795 Total</t>
  </si>
  <si>
    <t>1105882 Total</t>
  </si>
  <si>
    <t>1105890 Total</t>
  </si>
  <si>
    <t>1105918 Total</t>
  </si>
  <si>
    <t>1106086 Total</t>
  </si>
  <si>
    <t>1106097 Total</t>
  </si>
  <si>
    <t>1106151 Total</t>
  </si>
  <si>
    <t>1106181 Total</t>
  </si>
  <si>
    <t>1106189 Total</t>
  </si>
  <si>
    <t>1106215 Total</t>
  </si>
  <si>
    <t>1106219 Total</t>
  </si>
  <si>
    <t>1106242 Total</t>
  </si>
  <si>
    <t>1106250 Total</t>
  </si>
  <si>
    <t>1106256 Total</t>
  </si>
  <si>
    <t>1106257 Total</t>
  </si>
  <si>
    <t>1106291 Total</t>
  </si>
  <si>
    <t>1106296 Total</t>
  </si>
  <si>
    <t>1106307 Total</t>
  </si>
  <si>
    <t>1106325 Total</t>
  </si>
  <si>
    <t>1106352 Total</t>
  </si>
  <si>
    <t>1106358 Total</t>
  </si>
  <si>
    <t>1106381 Total</t>
  </si>
  <si>
    <t>1106386 Total</t>
  </si>
  <si>
    <t>1106402 Total</t>
  </si>
  <si>
    <t>1106422 Total</t>
  </si>
  <si>
    <t>1106427 Total</t>
  </si>
  <si>
    <t>1106433 Total</t>
  </si>
  <si>
    <t>1106462 Total</t>
  </si>
  <si>
    <t>1106466 Total</t>
  </si>
  <si>
    <t>1106508 Total</t>
  </si>
  <si>
    <t>1106547 Total</t>
  </si>
  <si>
    <t>1106564 Total</t>
  </si>
  <si>
    <t>1106571 Total</t>
  </si>
  <si>
    <t>1106585 Total</t>
  </si>
  <si>
    <t>1106614 Total</t>
  </si>
  <si>
    <t>1106622 Total</t>
  </si>
  <si>
    <t>1106655 Total</t>
  </si>
  <si>
    <t>1106661 Total</t>
  </si>
  <si>
    <t>1106697 Total</t>
  </si>
  <si>
    <t>1106725 Total</t>
  </si>
  <si>
    <t>1106737 Total</t>
  </si>
  <si>
    <t>1106743 Total</t>
  </si>
  <si>
    <t>1106784 Total</t>
  </si>
  <si>
    <t>1106798 Total</t>
  </si>
  <si>
    <t>1106806 Total</t>
  </si>
  <si>
    <t>1106844 Total</t>
  </si>
  <si>
    <t>1106850 Total</t>
  </si>
  <si>
    <t>1106856 Total</t>
  </si>
  <si>
    <t>1106875 Total</t>
  </si>
  <si>
    <t>1106889 Total</t>
  </si>
  <si>
    <t>1106950 Total</t>
  </si>
  <si>
    <t>1106963 Total</t>
  </si>
  <si>
    <t>1106976 Total</t>
  </si>
  <si>
    <t>1106987 Total</t>
  </si>
  <si>
    <t>1107020 Total</t>
  </si>
  <si>
    <t>1107027 Total</t>
  </si>
  <si>
    <t>1107068 Total</t>
  </si>
  <si>
    <t>1108862 Total</t>
  </si>
  <si>
    <t>1108950 Total</t>
  </si>
  <si>
    <t>1108998 Total</t>
  </si>
  <si>
    <t>1109017 Total</t>
  </si>
  <si>
    <t>1109060 Total</t>
  </si>
  <si>
    <t>1109074 Total</t>
  </si>
  <si>
    <t>1109124 Total</t>
  </si>
  <si>
    <t>1109193 Total</t>
  </si>
  <si>
    <t>1109982 Total</t>
  </si>
  <si>
    <t>1110008 Total</t>
  </si>
  <si>
    <t>1110064 Total</t>
  </si>
  <si>
    <t>1110126 Total</t>
  </si>
  <si>
    <t>1111445 Total</t>
  </si>
  <si>
    <t>1111473 Total</t>
  </si>
  <si>
    <t>1111486 Total</t>
  </si>
  <si>
    <t>1112161 Total</t>
  </si>
  <si>
    <t>1112166 Total</t>
  </si>
  <si>
    <t>1112195 Total</t>
  </si>
  <si>
    <t>1112244 Total</t>
  </si>
  <si>
    <t>1112348 Total</t>
  </si>
  <si>
    <t>1112355 Total</t>
  </si>
  <si>
    <t>1112392 Total</t>
  </si>
  <si>
    <t>1112495 Total</t>
  </si>
  <si>
    <t>1112632 Total</t>
  </si>
  <si>
    <t>1112686 Total</t>
  </si>
  <si>
    <t>1112692 Total</t>
  </si>
  <si>
    <t>1112943 Total</t>
  </si>
  <si>
    <t>1112965 Total</t>
  </si>
  <si>
    <t>1114019 Total</t>
  </si>
  <si>
    <t>1114022 Total</t>
  </si>
  <si>
    <t>1114141 Total</t>
  </si>
  <si>
    <t>1114154 Total</t>
  </si>
  <si>
    <t>1114288 Total</t>
  </si>
  <si>
    <t>1114300 Total</t>
  </si>
  <si>
    <t>1114554 Total</t>
  </si>
  <si>
    <t>1115020 Total</t>
  </si>
  <si>
    <t>1115616 Total</t>
  </si>
  <si>
    <t>1115619 Total</t>
  </si>
  <si>
    <t>1115626 Total</t>
  </si>
  <si>
    <t>1115691 Total</t>
  </si>
  <si>
    <t>1116635 Total</t>
  </si>
  <si>
    <t>1117151 Total</t>
  </si>
  <si>
    <t>1117282 Total</t>
  </si>
  <si>
    <t>1117432 Total</t>
  </si>
  <si>
    <t>1117438 Total</t>
  </si>
  <si>
    <t>1118721 Total</t>
  </si>
  <si>
    <t>1119037 Total</t>
  </si>
  <si>
    <t>1119082 Total</t>
  </si>
  <si>
    <t>1119099 Total</t>
  </si>
  <si>
    <t>1119116 Total</t>
  </si>
  <si>
    <t>1119162 Total</t>
  </si>
  <si>
    <t>1119200 Total</t>
  </si>
  <si>
    <t>1119209 Total</t>
  </si>
  <si>
    <t>1119242 Total</t>
  </si>
  <si>
    <t>1119249 Total</t>
  </si>
  <si>
    <t>1119417 Total</t>
  </si>
  <si>
    <t>1122561 Total</t>
  </si>
  <si>
    <t>1122566 Total</t>
  </si>
  <si>
    <t>1122567 Total</t>
  </si>
  <si>
    <t>1122573 Total</t>
  </si>
  <si>
    <t>1139160 Total</t>
  </si>
  <si>
    <t>1143527 Total</t>
  </si>
  <si>
    <t>1143559 Total</t>
  </si>
  <si>
    <t>1143943 Total</t>
  </si>
  <si>
    <t>1143960 Total</t>
  </si>
  <si>
    <t>1143974 Total</t>
  </si>
  <si>
    <t>1145784 Total</t>
  </si>
  <si>
    <t>1146503 Total</t>
  </si>
  <si>
    <t>1147694 Total</t>
  </si>
  <si>
    <t>1147726 Total</t>
  </si>
  <si>
    <t>1148220 Total</t>
  </si>
  <si>
    <t>1148250 Total</t>
  </si>
  <si>
    <t>1148454 Total</t>
  </si>
  <si>
    <t>1148885 Total</t>
  </si>
  <si>
    <t>1148895 Total</t>
  </si>
  <si>
    <t>1148919 Total</t>
  </si>
  <si>
    <t>1148925 Total</t>
  </si>
  <si>
    <t>1148926 Total</t>
  </si>
  <si>
    <t>1148927 Total</t>
  </si>
  <si>
    <t>1148932 Total</t>
  </si>
  <si>
    <t>1148942 Total</t>
  </si>
  <si>
    <t>1148954 Total</t>
  </si>
  <si>
    <t>1148963 Total</t>
  </si>
  <si>
    <t>1149413 Total</t>
  </si>
  <si>
    <t>1149433 Total</t>
  </si>
  <si>
    <t>1150681 Total</t>
  </si>
  <si>
    <t>1150928 Total</t>
  </si>
  <si>
    <t>1151061 Total</t>
  </si>
  <si>
    <t>1151758 Total</t>
  </si>
  <si>
    <t>1152182 Total</t>
  </si>
  <si>
    <t>1152434 Total</t>
  </si>
  <si>
    <t>1152773 Total</t>
  </si>
  <si>
    <t>1152794 Total</t>
  </si>
  <si>
    <t>1153102 Total</t>
  </si>
  <si>
    <t>1153147 Total</t>
  </si>
  <si>
    <t>1153154 Total</t>
  </si>
  <si>
    <t>1153752 Total</t>
  </si>
  <si>
    <t>1153759 Total</t>
  </si>
  <si>
    <t>1153772 Total</t>
  </si>
  <si>
    <t>1153829 Total</t>
  </si>
  <si>
    <t>1153836 Total</t>
  </si>
  <si>
    <t>1153852 Total</t>
  </si>
  <si>
    <t>1153865 Total</t>
  </si>
  <si>
    <t>1153906 Total</t>
  </si>
  <si>
    <t>1155893 Total</t>
  </si>
  <si>
    <t>1155909 Total</t>
  </si>
  <si>
    <t>1156038 Total</t>
  </si>
  <si>
    <t>1156045 Total</t>
  </si>
  <si>
    <t>1156058 Total</t>
  </si>
  <si>
    <t>1156136 Total</t>
  </si>
  <si>
    <t>1159929 Total</t>
  </si>
  <si>
    <t>1159969 Total</t>
  </si>
  <si>
    <t>1160005 Total</t>
  </si>
  <si>
    <t>1160031 Total</t>
  </si>
  <si>
    <t>1160201 Total</t>
  </si>
  <si>
    <t>1160470 Total</t>
  </si>
  <si>
    <t>1160486 Total</t>
  </si>
  <si>
    <t>1160507 Total</t>
  </si>
  <si>
    <t>1161274 Total</t>
  </si>
  <si>
    <t>1161279 Total</t>
  </si>
  <si>
    <t>1161717 Total</t>
  </si>
  <si>
    <t>1161718 Total</t>
  </si>
  <si>
    <t>1161884 Total</t>
  </si>
  <si>
    <t>1161983 Total</t>
  </si>
  <si>
    <t>1162003 Total</t>
  </si>
  <si>
    <t>1162183 Total</t>
  </si>
  <si>
    <t>1164013 Total</t>
  </si>
  <si>
    <t>1164022 Total</t>
  </si>
  <si>
    <t>1164648 Total</t>
  </si>
  <si>
    <t>1164677 Total</t>
  </si>
  <si>
    <t>1164679 Total</t>
  </si>
  <si>
    <t>1164692 Total</t>
  </si>
  <si>
    <t>1164693 Total</t>
  </si>
  <si>
    <t>1164743 Total</t>
  </si>
  <si>
    <t>1164747 Total</t>
  </si>
  <si>
    <t>1164858 Total</t>
  </si>
  <si>
    <t>1164892 Total</t>
  </si>
  <si>
    <t>1164916 Total</t>
  </si>
  <si>
    <t>1164933 Total</t>
  </si>
  <si>
    <t>1165148 Total</t>
  </si>
  <si>
    <t>1165163 Total</t>
  </si>
  <si>
    <t>1165172 Total</t>
  </si>
  <si>
    <t>1165174 Total</t>
  </si>
  <si>
    <t>1165836 Total</t>
  </si>
  <si>
    <t>1165866 Total</t>
  </si>
  <si>
    <t>1165897 Total</t>
  </si>
  <si>
    <t>1165904 Total</t>
  </si>
  <si>
    <t>1165943 Total</t>
  </si>
  <si>
    <t>1165956 Total</t>
  </si>
  <si>
    <t>1165973 Total</t>
  </si>
  <si>
    <t>1166058 Total</t>
  </si>
  <si>
    <t>1166789 Total</t>
  </si>
  <si>
    <t>1166797 Total</t>
  </si>
  <si>
    <t>1166895 Total</t>
  </si>
  <si>
    <t>1166912 Total</t>
  </si>
  <si>
    <t>1166934 Total</t>
  </si>
  <si>
    <t>1166959 Total</t>
  </si>
  <si>
    <t>1166968 Total</t>
  </si>
  <si>
    <t>1167069 Total</t>
  </si>
  <si>
    <t>1168630 Total</t>
  </si>
  <si>
    <t>1168652 Total</t>
  </si>
  <si>
    <t>1168660 Total</t>
  </si>
  <si>
    <t>1168662 Total</t>
  </si>
  <si>
    <t>1168672 Total</t>
  </si>
  <si>
    <t>1168691 Total</t>
  </si>
  <si>
    <t>1168736 Total</t>
  </si>
  <si>
    <t>1168793 Total</t>
  </si>
  <si>
    <t>1168805 Total</t>
  </si>
  <si>
    <t>1168823 Total</t>
  </si>
  <si>
    <t>1168854 Total</t>
  </si>
  <si>
    <t>1168968 Total</t>
  </si>
  <si>
    <t>1169091 Total</t>
  </si>
  <si>
    <t>1169093 Total</t>
  </si>
  <si>
    <t>1169161 Total</t>
  </si>
  <si>
    <t>1169218 Total</t>
  </si>
  <si>
    <t>1169244 Total</t>
  </si>
  <si>
    <t>1169265 Total</t>
  </si>
  <si>
    <t>1169334 Total</t>
  </si>
  <si>
    <t>1169350 Total</t>
  </si>
  <si>
    <t>1169404 Total</t>
  </si>
  <si>
    <t>1169472 Total</t>
  </si>
  <si>
    <t>1169512 Total</t>
  </si>
  <si>
    <t>1169541 Total</t>
  </si>
  <si>
    <t>1169582 Total</t>
  </si>
  <si>
    <t>1169628 Total</t>
  </si>
  <si>
    <t>1169678 Total</t>
  </si>
  <si>
    <t>1169801 Total</t>
  </si>
  <si>
    <t>1169989 Total</t>
  </si>
  <si>
    <t>1170291 Total</t>
  </si>
  <si>
    <t>1170383 Total</t>
  </si>
  <si>
    <t>1170401 Total</t>
  </si>
  <si>
    <t>1170414 Total</t>
  </si>
  <si>
    <t>1170429 Total</t>
  </si>
  <si>
    <t>1170457 Total</t>
  </si>
  <si>
    <t>1170463 Total</t>
  </si>
  <si>
    <t>1170474 Total</t>
  </si>
  <si>
    <t>1170475 Total</t>
  </si>
  <si>
    <t>1170478 Total</t>
  </si>
  <si>
    <t>1170484 Total</t>
  </si>
  <si>
    <t>1170496 Total</t>
  </si>
  <si>
    <t>1170986 Total</t>
  </si>
  <si>
    <t>1173457 Total</t>
  </si>
  <si>
    <t>1173462 Total</t>
  </si>
  <si>
    <t>1173565 Total</t>
  </si>
  <si>
    <t>1174214 Total</t>
  </si>
  <si>
    <t>1174216 Total</t>
  </si>
  <si>
    <t>1174239 Total</t>
  </si>
  <si>
    <t>1174245 Total</t>
  </si>
  <si>
    <t>1174604 Total</t>
  </si>
  <si>
    <t>1174617 Total</t>
  </si>
  <si>
    <t>1174631 Total</t>
  </si>
  <si>
    <t>1174636 Total</t>
  </si>
  <si>
    <t>1175795 Total</t>
  </si>
  <si>
    <t>1176203 Total</t>
  </si>
  <si>
    <t>1176907 Total</t>
  </si>
  <si>
    <t>1176917 Total</t>
  </si>
  <si>
    <t>1176926 Total</t>
  </si>
  <si>
    <t>1176953 Total</t>
  </si>
  <si>
    <t>1176971 Total</t>
  </si>
  <si>
    <t>1177041 Total</t>
  </si>
  <si>
    <t>1177050 Total</t>
  </si>
  <si>
    <t>1177077 Total</t>
  </si>
  <si>
    <t>1177085 Total</t>
  </si>
  <si>
    <t>1177168 Total</t>
  </si>
  <si>
    <t>1177175 Total</t>
  </si>
  <si>
    <t>1177213 Total</t>
  </si>
  <si>
    <t>1177298 Total</t>
  </si>
  <si>
    <t>1177324 Total</t>
  </si>
  <si>
    <t>1177408 Total</t>
  </si>
  <si>
    <t>1177423 Total</t>
  </si>
  <si>
    <t>1177506 Total</t>
  </si>
  <si>
    <t>1177518 Total</t>
  </si>
  <si>
    <t>1177635 Total</t>
  </si>
  <si>
    <t>1177758 Total</t>
  </si>
  <si>
    <t>1178154 Total</t>
  </si>
  <si>
    <t>1183897 Total</t>
  </si>
  <si>
    <t>1183932 Total</t>
  </si>
  <si>
    <t>1184086 Total</t>
  </si>
  <si>
    <t>1184099 Total</t>
  </si>
  <si>
    <t>1186105 Total</t>
  </si>
  <si>
    <t>1186165 Total</t>
  </si>
  <si>
    <t>1189756 Total</t>
  </si>
  <si>
    <t>1189757 Total</t>
  </si>
  <si>
    <t>1189773 Total</t>
  </si>
  <si>
    <t>1194001 Total</t>
  </si>
  <si>
    <t>1197536 Total</t>
  </si>
  <si>
    <t>1197597 Total</t>
  </si>
  <si>
    <t>1202296 Total</t>
  </si>
  <si>
    <t>1202307 Total</t>
  </si>
  <si>
    <t>1202331 Total</t>
  </si>
  <si>
    <t>1202377 Total</t>
  </si>
  <si>
    <t>1202382 Total</t>
  </si>
  <si>
    <t>1204259 Total</t>
  </si>
  <si>
    <t>1204262 Total</t>
  </si>
  <si>
    <t>1204286 Total</t>
  </si>
  <si>
    <t>1204356 Total</t>
  </si>
  <si>
    <t>1204364 Total</t>
  </si>
  <si>
    <t>1204437 Total</t>
  </si>
  <si>
    <t>1204452 Total</t>
  </si>
  <si>
    <t>1205259 Total</t>
  </si>
  <si>
    <t>1205572 Total</t>
  </si>
  <si>
    <t>1205589 Total</t>
  </si>
  <si>
    <t>1205598 Total</t>
  </si>
  <si>
    <t>1205805 Total</t>
  </si>
  <si>
    <t>1205889 Total</t>
  </si>
  <si>
    <t>1205890 Total</t>
  </si>
  <si>
    <t>1205999 Total</t>
  </si>
  <si>
    <t>1206482 Total</t>
  </si>
  <si>
    <t>1207586 Total</t>
  </si>
  <si>
    <t>1207587 Total</t>
  </si>
  <si>
    <t>1207592 Total</t>
  </si>
  <si>
    <t>1208516 Total</t>
  </si>
  <si>
    <t>1208521 Total</t>
  </si>
  <si>
    <t>1208539 Total</t>
  </si>
  <si>
    <t>1208544 Total</t>
  </si>
  <si>
    <t>1208946 Total</t>
  </si>
  <si>
    <t>1209004 Total</t>
  </si>
  <si>
    <t>1209013 Total</t>
  </si>
  <si>
    <t>1209016 Total</t>
  </si>
  <si>
    <t>1209055 Total</t>
  </si>
  <si>
    <t>1209064 Total</t>
  </si>
  <si>
    <t>1209143 Total</t>
  </si>
  <si>
    <t>1209148 Total</t>
  </si>
  <si>
    <t>1209156 Total</t>
  </si>
  <si>
    <t>1209163 Total</t>
  </si>
  <si>
    <t>1209232 Total</t>
  </si>
  <si>
    <t>1209240 Total</t>
  </si>
  <si>
    <t>1209306 Total</t>
  </si>
  <si>
    <t>1209337 Total</t>
  </si>
  <si>
    <t>1209394 Total</t>
  </si>
  <si>
    <t>1209579 Total</t>
  </si>
  <si>
    <t>1209621 Total</t>
  </si>
  <si>
    <t>1209667 Total</t>
  </si>
  <si>
    <t>1209837 Total</t>
  </si>
  <si>
    <t>1209902 Total</t>
  </si>
  <si>
    <t>1209926 Total</t>
  </si>
  <si>
    <t>1209933 Total</t>
  </si>
  <si>
    <t>1210066 Total</t>
  </si>
  <si>
    <t>1210100 Total</t>
  </si>
  <si>
    <t>1210108 Total</t>
  </si>
  <si>
    <t>1210861 Total</t>
  </si>
  <si>
    <t>1210869 Total</t>
  </si>
  <si>
    <t>1210875 Total</t>
  </si>
  <si>
    <t>1210889 Total</t>
  </si>
  <si>
    <t>1210900 Total</t>
  </si>
  <si>
    <t>1210915 Total</t>
  </si>
  <si>
    <t>1210923 Total</t>
  </si>
  <si>
    <t>1210936 Total</t>
  </si>
  <si>
    <t>1210953 Total</t>
  </si>
  <si>
    <t>1210967 Total</t>
  </si>
  <si>
    <t>1210976 Total</t>
  </si>
  <si>
    <t>1211248 Total</t>
  </si>
  <si>
    <t>1211319 Total</t>
  </si>
  <si>
    <t>1211358 Total</t>
  </si>
  <si>
    <t>1211360 Total</t>
  </si>
  <si>
    <t>1211425 Total</t>
  </si>
  <si>
    <t>1211433 Total</t>
  </si>
  <si>
    <t>1211438 Total</t>
  </si>
  <si>
    <t>1211458 Total</t>
  </si>
  <si>
    <t>1211498 Total</t>
  </si>
  <si>
    <t>1211504 Total</t>
  </si>
  <si>
    <t>1211525 Total</t>
  </si>
  <si>
    <t>1211532 Total</t>
  </si>
  <si>
    <t>1212397 Total</t>
  </si>
  <si>
    <t>1212405 Total</t>
  </si>
  <si>
    <t>1212417 Total</t>
  </si>
  <si>
    <t>1212643 Total</t>
  </si>
  <si>
    <t>1212648 Total</t>
  </si>
  <si>
    <t>1212730 Total</t>
  </si>
  <si>
    <t>1212743 Total</t>
  </si>
  <si>
    <t>1212916 Total</t>
  </si>
  <si>
    <t>1212974 Total</t>
  </si>
  <si>
    <t>1212998 Total</t>
  </si>
  <si>
    <t>1213863 Total</t>
  </si>
  <si>
    <t>1213869 Total</t>
  </si>
  <si>
    <t>1213871 Total</t>
  </si>
  <si>
    <t>1214388 Total</t>
  </si>
  <si>
    <t>1214393 Total</t>
  </si>
  <si>
    <t>1215615 Total</t>
  </si>
  <si>
    <t>1215639 Total</t>
  </si>
  <si>
    <t>1215642 Total</t>
  </si>
  <si>
    <t>1215651 Total</t>
  </si>
  <si>
    <t>1215661 Total</t>
  </si>
  <si>
    <t>1215666 Total</t>
  </si>
  <si>
    <t>1215671 Total</t>
  </si>
  <si>
    <t>1215677 Total</t>
  </si>
  <si>
    <t>1217329 Total</t>
  </si>
  <si>
    <t>1218215 Total</t>
  </si>
  <si>
    <t>1218232 Total</t>
  </si>
  <si>
    <t>1218257 Total</t>
  </si>
  <si>
    <t>1218267 Total</t>
  </si>
  <si>
    <t>1218340 Total</t>
  </si>
  <si>
    <t>1218388 Total</t>
  </si>
  <si>
    <t>1218415 Total</t>
  </si>
  <si>
    <t>1218458 Total</t>
  </si>
  <si>
    <t>1218464 Total</t>
  </si>
  <si>
    <t>1218525 Total</t>
  </si>
  <si>
    <t>1218585 Total</t>
  </si>
  <si>
    <t>1218610 Total</t>
  </si>
  <si>
    <t>1218634 Total</t>
  </si>
  <si>
    <t>1218653 Total</t>
  </si>
  <si>
    <t>1218699 Total</t>
  </si>
  <si>
    <t>1218704 Total</t>
  </si>
  <si>
    <t>1220261 Total</t>
  </si>
  <si>
    <t>1220273 Total</t>
  </si>
  <si>
    <t>1220277 Total</t>
  </si>
  <si>
    <t>1220289 Total</t>
  </si>
  <si>
    <t>1220290 Total</t>
  </si>
  <si>
    <t>1220300 Total</t>
  </si>
  <si>
    <t>1220319 Total</t>
  </si>
  <si>
    <t>1220328 Total</t>
  </si>
  <si>
    <t>1220342 Total</t>
  </si>
  <si>
    <t>1220361 Total</t>
  </si>
  <si>
    <t>1220369 Total</t>
  </si>
  <si>
    <t>1220377 Total</t>
  </si>
  <si>
    <t>1220407 Total</t>
  </si>
  <si>
    <t>1220450 Total</t>
  </si>
  <si>
    <t>1220451 Total</t>
  </si>
  <si>
    <t>1220464 Total</t>
  </si>
  <si>
    <t>1220492 Total</t>
  </si>
  <si>
    <t>1220506 Total</t>
  </si>
  <si>
    <t>1220599 Total</t>
  </si>
  <si>
    <t>1223192 Total</t>
  </si>
  <si>
    <t>1225626 Total</t>
  </si>
  <si>
    <t>1225629 Total</t>
  </si>
  <si>
    <t>1226474 Total</t>
  </si>
  <si>
    <t>1226534 Total</t>
  </si>
  <si>
    <t>1229505 Total</t>
  </si>
  <si>
    <t>1229525 Total</t>
  </si>
  <si>
    <t>1229532 Total</t>
  </si>
  <si>
    <t>1229568 Total</t>
  </si>
  <si>
    <t>1229574 Total</t>
  </si>
  <si>
    <t>1229627 Total</t>
  </si>
  <si>
    <t>1229633 Total</t>
  </si>
  <si>
    <t>1229693 Total</t>
  </si>
  <si>
    <t>1229706 Total</t>
  </si>
  <si>
    <t>1229711 Total</t>
  </si>
  <si>
    <t>1229873 Total</t>
  </si>
  <si>
    <t>1229879 Total</t>
  </si>
  <si>
    <t>1234021 Total</t>
  </si>
  <si>
    <t>1234048 Total</t>
  </si>
  <si>
    <t>1235499 Total</t>
  </si>
  <si>
    <t>1235508 Total</t>
  </si>
  <si>
    <t>1236298 Total</t>
  </si>
  <si>
    <t>1236482 Total</t>
  </si>
  <si>
    <t>1236625 Total</t>
  </si>
  <si>
    <t>1237437 Total</t>
  </si>
  <si>
    <t>1237442 Total</t>
  </si>
  <si>
    <t>1237443 Total</t>
  </si>
  <si>
    <t>1237450 Total</t>
  </si>
  <si>
    <t>1237458 Total</t>
  </si>
  <si>
    <t>1237508 Total</t>
  </si>
  <si>
    <t>1237516 Total</t>
  </si>
  <si>
    <t>1237527 Total</t>
  </si>
  <si>
    <t>1237534 Total</t>
  </si>
  <si>
    <t>1238658 Total</t>
  </si>
  <si>
    <t>1239367 Total</t>
  </si>
  <si>
    <t>1239431 Total</t>
  </si>
  <si>
    <t>1239447 Total</t>
  </si>
  <si>
    <t>1239462 Total</t>
  </si>
  <si>
    <t>1239471 Total</t>
  </si>
  <si>
    <t>1239491 Total</t>
  </si>
  <si>
    <t>1239538 Total</t>
  </si>
  <si>
    <t>1239540 Total</t>
  </si>
  <si>
    <t>1239796 Total</t>
  </si>
  <si>
    <t>1239823 Total</t>
  </si>
  <si>
    <t>1240175 Total</t>
  </si>
  <si>
    <t>1240203 Total</t>
  </si>
  <si>
    <t>1240804 Total</t>
  </si>
  <si>
    <t>1240913 Total</t>
  </si>
  <si>
    <t>1240914 Total</t>
  </si>
  <si>
    <t>1240951 Total</t>
  </si>
  <si>
    <t>1240970 Total</t>
  </si>
  <si>
    <t>1240981 Total</t>
  </si>
  <si>
    <t>1241123 Total</t>
  </si>
  <si>
    <t>1241139 Total</t>
  </si>
  <si>
    <t>1241554 Total</t>
  </si>
  <si>
    <t>1241563 Total</t>
  </si>
  <si>
    <t>1241680 Total</t>
  </si>
  <si>
    <t>1241691 Total</t>
  </si>
  <si>
    <t>1241705 Total</t>
  </si>
  <si>
    <t>1241721 Total</t>
  </si>
  <si>
    <t>1241823 Total</t>
  </si>
  <si>
    <t>1241841 Total</t>
  </si>
  <si>
    <t>1241924 Total</t>
  </si>
  <si>
    <t>1241937 Total</t>
  </si>
  <si>
    <t>1241946 Total</t>
  </si>
  <si>
    <t>1241980 Total</t>
  </si>
  <si>
    <t>1241993 Total</t>
  </si>
  <si>
    <t>1242074 Total</t>
  </si>
  <si>
    <t>1242103 Total</t>
  </si>
  <si>
    <t>1242515 Total</t>
  </si>
  <si>
    <t>1242529 Total</t>
  </si>
  <si>
    <t>1242592 Total</t>
  </si>
  <si>
    <t>1242600 Total</t>
  </si>
  <si>
    <t>1242647 Total</t>
  </si>
  <si>
    <t>1242665 Total</t>
  </si>
  <si>
    <t>1242722 Total</t>
  </si>
  <si>
    <t>1242778 Total</t>
  </si>
  <si>
    <t>1242779 Total</t>
  </si>
  <si>
    <t>1242872 Total</t>
  </si>
  <si>
    <t>1243694 Total</t>
  </si>
  <si>
    <t>1244036 Total</t>
  </si>
  <si>
    <t>1244075 Total</t>
  </si>
  <si>
    <t>1244089 Total</t>
  </si>
  <si>
    <t>1244116 Total</t>
  </si>
  <si>
    <t>1244130 Total</t>
  </si>
  <si>
    <t>1244159 Total</t>
  </si>
  <si>
    <t>1244173 Total</t>
  </si>
  <si>
    <t>1244196 Total</t>
  </si>
  <si>
    <t>1244211 Total</t>
  </si>
  <si>
    <t>1244227 Total</t>
  </si>
  <si>
    <t>1244228 Total</t>
  </si>
  <si>
    <t>1244243 Total</t>
  </si>
  <si>
    <t>1244249 Total</t>
  </si>
  <si>
    <t>1244272 Total</t>
  </si>
  <si>
    <t>1244280 Total</t>
  </si>
  <si>
    <t>1244291 Total</t>
  </si>
  <si>
    <t>1244301 Total</t>
  </si>
  <si>
    <t>1244308 Total</t>
  </si>
  <si>
    <t>1244337 Total</t>
  </si>
  <si>
    <t>1244350 Total</t>
  </si>
  <si>
    <t>1244363 Total</t>
  </si>
  <si>
    <t>1244364 Total</t>
  </si>
  <si>
    <t>1244379 Total</t>
  </si>
  <si>
    <t>1244456 Total</t>
  </si>
  <si>
    <t>1244751 Total</t>
  </si>
  <si>
    <t>1244772 Total</t>
  </si>
  <si>
    <t>1244809 Total</t>
  </si>
  <si>
    <t>1244855 Total</t>
  </si>
  <si>
    <t>1245273 Total</t>
  </si>
  <si>
    <t>1245321 Total</t>
  </si>
  <si>
    <t>1245454 Total</t>
  </si>
  <si>
    <t>1245557 Total</t>
  </si>
  <si>
    <t>1245563 Total</t>
  </si>
  <si>
    <t>1246492 Total</t>
  </si>
  <si>
    <t>1246511 Total</t>
  </si>
  <si>
    <t>1246516 Total</t>
  </si>
  <si>
    <t>1246527 Total</t>
  </si>
  <si>
    <t>1247964 Total</t>
  </si>
  <si>
    <t>1248073 Total</t>
  </si>
  <si>
    <t>1248111 Total</t>
  </si>
  <si>
    <t>1248119 Total</t>
  </si>
  <si>
    <t>1248156 Total</t>
  </si>
  <si>
    <t>1248246 Total</t>
  </si>
  <si>
    <t>1248312 Total</t>
  </si>
  <si>
    <t>1248864 Total</t>
  </si>
  <si>
    <t>1248882 Total</t>
  </si>
  <si>
    <t>1248968 Total</t>
  </si>
  <si>
    <t>1249021 Total</t>
  </si>
  <si>
    <t>1249032 Total</t>
  </si>
  <si>
    <t>1249047 Total</t>
  </si>
  <si>
    <t>1249071 Total</t>
  </si>
  <si>
    <t>1249084 Total</t>
  </si>
  <si>
    <t>1249607 Total</t>
  </si>
  <si>
    <t>1250125 Total</t>
  </si>
  <si>
    <t>1250131 Total</t>
  </si>
  <si>
    <t>1250668 Total</t>
  </si>
  <si>
    <t>1250719 Total</t>
  </si>
  <si>
    <t>1250777 Total</t>
  </si>
  <si>
    <t>1250834 Total</t>
  </si>
  <si>
    <t>1250970 Total</t>
  </si>
  <si>
    <t>1250981 Total</t>
  </si>
  <si>
    <t>1250987 Total</t>
  </si>
  <si>
    <t>1251008 Total</t>
  </si>
  <si>
    <t>1251042 Total</t>
  </si>
  <si>
    <t>1251061 Total</t>
  </si>
  <si>
    <t>1251075 Total</t>
  </si>
  <si>
    <t>1251095 Total</t>
  </si>
  <si>
    <t>1251253 Total</t>
  </si>
  <si>
    <t>1251259 Total</t>
  </si>
  <si>
    <t>1251302 Total</t>
  </si>
  <si>
    <t>1251308 Total</t>
  </si>
  <si>
    <t>1251314 Total</t>
  </si>
  <si>
    <t>1251321 Total</t>
  </si>
  <si>
    <t>1251504 Total</t>
  </si>
  <si>
    <t>1251541 Total</t>
  </si>
  <si>
    <t>1251681 Total</t>
  </si>
  <si>
    <t>1251827 Total</t>
  </si>
  <si>
    <t>1251840 Total</t>
  </si>
  <si>
    <t>1251880 Total</t>
  </si>
  <si>
    <t>1251897 Total</t>
  </si>
  <si>
    <t>1251914 Total</t>
  </si>
  <si>
    <t>1252611 Total</t>
  </si>
  <si>
    <t>1252632 Total</t>
  </si>
  <si>
    <t>1252648 Total</t>
  </si>
  <si>
    <t>1252664 Total</t>
  </si>
  <si>
    <t>1253113 Total</t>
  </si>
  <si>
    <t>1253118 Total</t>
  </si>
  <si>
    <t>1253152 Total</t>
  </si>
  <si>
    <t>1253166 Total</t>
  </si>
  <si>
    <t>1253247 Total</t>
  </si>
  <si>
    <t>1253255 Total</t>
  </si>
  <si>
    <t>1253262 Total</t>
  </si>
  <si>
    <t>1253639 Total</t>
  </si>
  <si>
    <t>1253654 Total</t>
  </si>
  <si>
    <t>1253664 Total</t>
  </si>
  <si>
    <t>1253742 Total</t>
  </si>
  <si>
    <t>1253793 Total</t>
  </si>
  <si>
    <t>1253821 Total</t>
  </si>
  <si>
    <t>1253832 Total</t>
  </si>
  <si>
    <t>1253835 Total</t>
  </si>
  <si>
    <t>1253875 Total</t>
  </si>
  <si>
    <t>1254835 Total</t>
  </si>
  <si>
    <t>1254850 Total</t>
  </si>
  <si>
    <t>1254886 Total</t>
  </si>
  <si>
    <t>1254887 Total</t>
  </si>
  <si>
    <t>1254897 Total</t>
  </si>
  <si>
    <t>1254917 Total</t>
  </si>
  <si>
    <t>1254924 Total</t>
  </si>
  <si>
    <t>1254943 Total</t>
  </si>
  <si>
    <t>1254963 Total</t>
  </si>
  <si>
    <t>1255074 Total</t>
  </si>
  <si>
    <t>1255078 Total</t>
  </si>
  <si>
    <t>1255128 Total</t>
  </si>
  <si>
    <t>1255133 Total</t>
  </si>
  <si>
    <t>1255134 Total</t>
  </si>
  <si>
    <t>1255139 Total</t>
  </si>
  <si>
    <t>1255189 Total</t>
  </si>
  <si>
    <t>1255219 Total</t>
  </si>
  <si>
    <t>1255254 Total</t>
  </si>
  <si>
    <t>1255274 Total</t>
  </si>
  <si>
    <t>1255317 Total</t>
  </si>
  <si>
    <t>1255334 Total</t>
  </si>
  <si>
    <t>1255861 Total</t>
  </si>
  <si>
    <t>1255867 Total</t>
  </si>
  <si>
    <t>1255891 Total</t>
  </si>
  <si>
    <t>1255895 Total</t>
  </si>
  <si>
    <t>1255920 Total</t>
  </si>
  <si>
    <t>1255951 Total</t>
  </si>
  <si>
    <t>1255960 Total</t>
  </si>
  <si>
    <t>1255966 Total</t>
  </si>
  <si>
    <t>1255981 Total</t>
  </si>
  <si>
    <t>1256030 Total</t>
  </si>
  <si>
    <t>1258283 Total</t>
  </si>
  <si>
    <t>1258291 Total</t>
  </si>
  <si>
    <t>1259329 Total</t>
  </si>
  <si>
    <t>1259348 Total</t>
  </si>
  <si>
    <t>1259395 Total</t>
  </si>
  <si>
    <t>1259402 Total</t>
  </si>
  <si>
    <t>1259467 Total</t>
  </si>
  <si>
    <t>1259524 Total</t>
  </si>
  <si>
    <t>1259530 Total</t>
  </si>
  <si>
    <t>1259544 Total</t>
  </si>
  <si>
    <t>1259654 Total</t>
  </si>
  <si>
    <t>1259662 Total</t>
  </si>
  <si>
    <t>1259667 Total</t>
  </si>
  <si>
    <t>1259673 Total</t>
  </si>
  <si>
    <t>1260193 Total</t>
  </si>
  <si>
    <t>1260259 Total</t>
  </si>
  <si>
    <t>1260267 Total</t>
  </si>
  <si>
    <t>1260272 Total</t>
  </si>
  <si>
    <t>1260288 Total</t>
  </si>
  <si>
    <t>1260305 Total</t>
  </si>
  <si>
    <t>1260323 Total</t>
  </si>
  <si>
    <t>1260337 Total</t>
  </si>
  <si>
    <t>1260348 Total</t>
  </si>
  <si>
    <t>1260384 Total</t>
  </si>
  <si>
    <t>1260406 Total</t>
  </si>
  <si>
    <t>1260513 Total</t>
  </si>
  <si>
    <t>1260580 Total</t>
  </si>
  <si>
    <t>1260656 Total</t>
  </si>
  <si>
    <t>1260715 Total</t>
  </si>
  <si>
    <t>1260726 Total</t>
  </si>
  <si>
    <t>1262138 Total</t>
  </si>
  <si>
    <t>1262143 Total</t>
  </si>
  <si>
    <t>1262147 Total</t>
  </si>
  <si>
    <t>1262166 Total</t>
  </si>
  <si>
    <t>1262167 Total</t>
  </si>
  <si>
    <t>1262183 Total</t>
  </si>
  <si>
    <t>1262187 Total</t>
  </si>
  <si>
    <t>1262302 Total</t>
  </si>
  <si>
    <t>1262329 Total</t>
  </si>
  <si>
    <t>1262340 Total</t>
  </si>
  <si>
    <t>1262925 Total</t>
  </si>
  <si>
    <t>1262937 Total</t>
  </si>
  <si>
    <t>1262962 Total</t>
  </si>
  <si>
    <t>1262984 Total</t>
  </si>
  <si>
    <t>1262994 Total</t>
  </si>
  <si>
    <t>1263183 Total</t>
  </si>
  <si>
    <t>1263193 Total</t>
  </si>
  <si>
    <t>1263909 Total</t>
  </si>
  <si>
    <t>1264264 Total</t>
  </si>
  <si>
    <t>1264290 Total</t>
  </si>
  <si>
    <t>1264308 Total</t>
  </si>
  <si>
    <t>1264323 Total</t>
  </si>
  <si>
    <t>1265436 Total</t>
  </si>
  <si>
    <t>1265470 Total</t>
  </si>
  <si>
    <t>1267201 Total</t>
  </si>
  <si>
    <t>1267535 Total</t>
  </si>
  <si>
    <t>1267545 Total</t>
  </si>
  <si>
    <t>1267547 Total</t>
  </si>
  <si>
    <t>1267578 Total</t>
  </si>
  <si>
    <t>1269059 Total</t>
  </si>
  <si>
    <t>1269067 Total</t>
  </si>
  <si>
    <t>1269075 Total</t>
  </si>
  <si>
    <t>1269083 Total</t>
  </si>
  <si>
    <t>1269091 Total</t>
  </si>
  <si>
    <t>1270102 Total</t>
  </si>
  <si>
    <t>1270157 Total</t>
  </si>
  <si>
    <t>1270177 Total</t>
  </si>
  <si>
    <t>1270193 Total</t>
  </si>
  <si>
    <t>1270199 Total</t>
  </si>
  <si>
    <t>1270219 Total</t>
  </si>
  <si>
    <t>1270287 Total</t>
  </si>
  <si>
    <t>1270299 Total</t>
  </si>
  <si>
    <t>1270304 Total</t>
  </si>
  <si>
    <t>1271672 Total</t>
  </si>
  <si>
    <t>1272258 Total</t>
  </si>
  <si>
    <t>1273494 Total</t>
  </si>
  <si>
    <t>1273513 Total</t>
  </si>
  <si>
    <t>1273578 Total</t>
  </si>
  <si>
    <t>1273971 Total</t>
  </si>
  <si>
    <t>1273979 Total</t>
  </si>
  <si>
    <t>1273994 Total</t>
  </si>
  <si>
    <t>1274011 Total</t>
  </si>
  <si>
    <t>1274054 Total</t>
  </si>
  <si>
    <t>1275213 Total</t>
  </si>
  <si>
    <t>1275228 Total</t>
  </si>
  <si>
    <t>1275280 Total</t>
  </si>
  <si>
    <t>1275287 Total</t>
  </si>
  <si>
    <t>1275772 Total</t>
  </si>
  <si>
    <t>1275989 Total</t>
  </si>
  <si>
    <t>1275999 Total</t>
  </si>
  <si>
    <t>1276012 Total</t>
  </si>
  <si>
    <t>1276087 Total</t>
  </si>
  <si>
    <t>1276103 Total</t>
  </si>
  <si>
    <t>1276137 Total</t>
  </si>
  <si>
    <t>1276144 Total</t>
  </si>
  <si>
    <t>1276220 Total</t>
  </si>
  <si>
    <t>1277008 Total</t>
  </si>
  <si>
    <t>1277018 Total</t>
  </si>
  <si>
    <t>1277055 Total</t>
  </si>
  <si>
    <t>1277059 Total</t>
  </si>
  <si>
    <t>1277062 Total</t>
  </si>
  <si>
    <t>1277098 Total</t>
  </si>
  <si>
    <t>1277120 Total</t>
  </si>
  <si>
    <t>1277249 Total</t>
  </si>
  <si>
    <t>1277254 Total</t>
  </si>
  <si>
    <t>1277270 Total</t>
  </si>
  <si>
    <t>1277697 Total</t>
  </si>
  <si>
    <t>1278094 Total</t>
  </si>
  <si>
    <t>1278100 Total</t>
  </si>
  <si>
    <t>1278109 Total</t>
  </si>
  <si>
    <t>1278381 Total</t>
  </si>
  <si>
    <t>1278515 Total</t>
  </si>
  <si>
    <t>1280434 Total</t>
  </si>
  <si>
    <t>1280437 Total</t>
  </si>
  <si>
    <t>1280442 Total</t>
  </si>
  <si>
    <t>1280449 Total</t>
  </si>
  <si>
    <t>1280487 Total</t>
  </si>
  <si>
    <t>1285447 Total</t>
  </si>
  <si>
    <t>1285519 Total</t>
  </si>
  <si>
    <t>1285529 Total</t>
  </si>
  <si>
    <t>1286869 Total</t>
  </si>
  <si>
    <t>1286914 Total</t>
  </si>
  <si>
    <t>1286945 Total</t>
  </si>
  <si>
    <t>1286951 Total</t>
  </si>
  <si>
    <t>1286962 Total</t>
  </si>
  <si>
    <t>1286994 Total</t>
  </si>
  <si>
    <t>1287001 Total</t>
  </si>
  <si>
    <t>1287039 Total</t>
  </si>
  <si>
    <t>1287096 Total</t>
  </si>
  <si>
    <t>1287650 Total</t>
  </si>
  <si>
    <t>1287669 Total</t>
  </si>
  <si>
    <t>1287674 Total</t>
  </si>
  <si>
    <t>1287780 Total</t>
  </si>
  <si>
    <t>1287788 Total</t>
  </si>
  <si>
    <t>1287839 Total</t>
  </si>
  <si>
    <t>1287926 Total</t>
  </si>
  <si>
    <t>1291062 Total</t>
  </si>
  <si>
    <t>1291070 Total</t>
  </si>
  <si>
    <t>1291078 Total</t>
  </si>
  <si>
    <t>1291096 Total</t>
  </si>
  <si>
    <t>1291183 Total</t>
  </si>
  <si>
    <t>1291189 Total</t>
  </si>
  <si>
    <t>1291195 Total</t>
  </si>
  <si>
    <t>1291216 Total</t>
  </si>
  <si>
    <t>1291224 Total</t>
  </si>
  <si>
    <t>1291241 Total</t>
  </si>
  <si>
    <t>1291275 Total</t>
  </si>
  <si>
    <t>1291319 Total</t>
  </si>
  <si>
    <t>1291336 Total</t>
  </si>
  <si>
    <t>1291443 Total</t>
  </si>
  <si>
    <t>1291516 Total</t>
  </si>
  <si>
    <t>1291531 Total</t>
  </si>
  <si>
    <t>1291538 Total</t>
  </si>
  <si>
    <t>1291627 Total</t>
  </si>
  <si>
    <t>1291636 Total</t>
  </si>
  <si>
    <t>1291994 Total</t>
  </si>
  <si>
    <t>1292004 Total</t>
  </si>
  <si>
    <t>1292019 Total</t>
  </si>
  <si>
    <t>1292031 Total</t>
  </si>
  <si>
    <t>1292044 Total</t>
  </si>
  <si>
    <t>1294102 Total</t>
  </si>
  <si>
    <t>1294187 Total</t>
  </si>
  <si>
    <t>1294239 Total</t>
  </si>
  <si>
    <t>1294280 Total</t>
  </si>
  <si>
    <t>1294519 Total</t>
  </si>
  <si>
    <t>1294522 Total</t>
  </si>
  <si>
    <t>1294532 Total</t>
  </si>
  <si>
    <t>1294550 Total</t>
  </si>
  <si>
    <t>1294611 Total</t>
  </si>
  <si>
    <t>1294648 Total</t>
  </si>
  <si>
    <t>1294651 Total</t>
  </si>
  <si>
    <t>1294656 Total</t>
  </si>
  <si>
    <t>1294671 Total</t>
  </si>
  <si>
    <t>1294679 Total</t>
  </si>
  <si>
    <t>1294704 Total</t>
  </si>
  <si>
    <t>1294913 Total</t>
  </si>
  <si>
    <t>1294927 Total</t>
  </si>
  <si>
    <t>1295018 Total</t>
  </si>
  <si>
    <t>1295031 Total</t>
  </si>
  <si>
    <t>1295036 Total</t>
  </si>
  <si>
    <t>1295043 Total</t>
  </si>
  <si>
    <t>1295062 Total</t>
  </si>
  <si>
    <t>1295068 Total</t>
  </si>
  <si>
    <t>1295087 Total</t>
  </si>
  <si>
    <t>1295103 Total</t>
  </si>
  <si>
    <t>1295159 Total</t>
  </si>
  <si>
    <t>1295165 Total</t>
  </si>
  <si>
    <t>1295233 Total</t>
  </si>
  <si>
    <t>1295267 Total</t>
  </si>
  <si>
    <t>1295470 Total</t>
  </si>
  <si>
    <t>1295521 Total</t>
  </si>
  <si>
    <t>1295533 Total</t>
  </si>
  <si>
    <t>1295582 Total</t>
  </si>
  <si>
    <t>1295750 Total</t>
  </si>
  <si>
    <t>1295765 Total</t>
  </si>
  <si>
    <t>1295789 Total</t>
  </si>
  <si>
    <t>1296455 Total</t>
  </si>
  <si>
    <t>1296649 Total</t>
  </si>
  <si>
    <t>1296655 Total</t>
  </si>
  <si>
    <t>1296695 Total</t>
  </si>
  <si>
    <t>1296712 Total</t>
  </si>
  <si>
    <t>1296725 Total</t>
  </si>
  <si>
    <t>1296759 Total</t>
  </si>
  <si>
    <t>1296767 Total</t>
  </si>
  <si>
    <t>1296772 Total</t>
  </si>
  <si>
    <t>1296777 Total</t>
  </si>
  <si>
    <t>1296836 Total</t>
  </si>
  <si>
    <t>1296850 Total</t>
  </si>
  <si>
    <t>1297863 Total</t>
  </si>
  <si>
    <t>1298042 Total</t>
  </si>
  <si>
    <t>1298158 Total</t>
  </si>
  <si>
    <t>1298164 Total</t>
  </si>
  <si>
    <t>1298209 Total</t>
  </si>
  <si>
    <t>1298359 Total</t>
  </si>
  <si>
    <t>1298429 Total</t>
  </si>
  <si>
    <t>1298430 Total</t>
  </si>
  <si>
    <t>1298446 Total</t>
  </si>
  <si>
    <t>1298448 Total</t>
  </si>
  <si>
    <t>1298471 Total</t>
  </si>
  <si>
    <t>1298536 Total</t>
  </si>
  <si>
    <t>1298551 Total</t>
  </si>
  <si>
    <t>1298557 Total</t>
  </si>
  <si>
    <t>1298572 Total</t>
  </si>
  <si>
    <t>1298615 Total</t>
  </si>
  <si>
    <t>1298616 Total</t>
  </si>
  <si>
    <t>1298627 Total</t>
  </si>
  <si>
    <t>1298640 Total</t>
  </si>
  <si>
    <t>1298674 Total</t>
  </si>
  <si>
    <t>1298677 Total</t>
  </si>
  <si>
    <t>1298694 Total</t>
  </si>
  <si>
    <t>1299701 Total</t>
  </si>
  <si>
    <t>1300520 Total</t>
  </si>
  <si>
    <t>1300614 Total</t>
  </si>
  <si>
    <t>1300646 Total</t>
  </si>
  <si>
    <t>1300651 Total</t>
  </si>
  <si>
    <t>1300666 Total</t>
  </si>
  <si>
    <t>1300673 Total</t>
  </si>
  <si>
    <t>1300683 Total</t>
  </si>
  <si>
    <t>1300689 Total</t>
  </si>
  <si>
    <t>1300784 Total</t>
  </si>
  <si>
    <t>1300796 Total</t>
  </si>
  <si>
    <t>1300815 Total</t>
  </si>
  <si>
    <t>1300825 Total</t>
  </si>
  <si>
    <t>1300885 Total</t>
  </si>
  <si>
    <t>1300890 Total</t>
  </si>
  <si>
    <t>1300933 Total</t>
  </si>
  <si>
    <t>1301007 Total</t>
  </si>
  <si>
    <t>1301021 Total</t>
  </si>
  <si>
    <t>1301032 Total</t>
  </si>
  <si>
    <t>1301041 Total</t>
  </si>
  <si>
    <t>1301053 Total</t>
  </si>
  <si>
    <t>1301083 Total</t>
  </si>
  <si>
    <t>1301090 Total</t>
  </si>
  <si>
    <t>1301117 Total</t>
  </si>
  <si>
    <t>1301184 Total</t>
  </si>
  <si>
    <t>1301192 Total</t>
  </si>
  <si>
    <t>1301457 Total</t>
  </si>
  <si>
    <t>1301479 Total</t>
  </si>
  <si>
    <t>1301608 Total</t>
  </si>
  <si>
    <t>1301663 Total</t>
  </si>
  <si>
    <t>1302225 Total</t>
  </si>
  <si>
    <t>1302231 Total</t>
  </si>
  <si>
    <t>1302238 Total</t>
  </si>
  <si>
    <t>1302244 Total</t>
  </si>
  <si>
    <t>1303459 Total</t>
  </si>
  <si>
    <t>1303484 Total</t>
  </si>
  <si>
    <t>1305301 Total</t>
  </si>
  <si>
    <t>1305305 Total</t>
  </si>
  <si>
    <t>1305316 Total</t>
  </si>
  <si>
    <t>1305334 Total</t>
  </si>
  <si>
    <t>1306015 Total</t>
  </si>
  <si>
    <t>1306026 Total</t>
  </si>
  <si>
    <t>1306066 Total</t>
  </si>
  <si>
    <t>1306562 Total</t>
  </si>
  <si>
    <t>1306590 Total</t>
  </si>
  <si>
    <t>1306725 Total</t>
  </si>
  <si>
    <t>1306751 Total</t>
  </si>
  <si>
    <t>1306909 Total</t>
  </si>
  <si>
    <t>1306939 Total</t>
  </si>
  <si>
    <t>1306941 Total</t>
  </si>
  <si>
    <t>1307107 Total</t>
  </si>
  <si>
    <t>1307137 Total</t>
  </si>
  <si>
    <t>1307339 Total</t>
  </si>
  <si>
    <t>1307366 Total</t>
  </si>
  <si>
    <t>1307759 Total</t>
  </si>
  <si>
    <t>1308078 Total</t>
  </si>
  <si>
    <t>1308424 Total</t>
  </si>
  <si>
    <t>1308567 Total</t>
  </si>
  <si>
    <t>1308573 Total</t>
  </si>
  <si>
    <t>1311171 Total</t>
  </si>
  <si>
    <t>1311226 Total</t>
  </si>
  <si>
    <t>1312378 Total</t>
  </si>
  <si>
    <t>1312437 Total</t>
  </si>
  <si>
    <t>1328490 Total</t>
  </si>
  <si>
    <t>1328497 Total</t>
  </si>
  <si>
    <t>1328498 Total</t>
  </si>
  <si>
    <t>1328512 Total</t>
  </si>
  <si>
    <t>1328543 Total</t>
  </si>
  <si>
    <t>1328558 Total</t>
  </si>
  <si>
    <t>1337213 Total</t>
  </si>
  <si>
    <t>1337503 Total</t>
  </si>
  <si>
    <t>1342897 Total</t>
  </si>
  <si>
    <t>1353167 Total</t>
  </si>
  <si>
    <t>1353172 Total</t>
  </si>
  <si>
    <t>1353307 Total</t>
  </si>
  <si>
    <t>1353323 Total</t>
  </si>
  <si>
    <t>1353354 Total</t>
  </si>
  <si>
    <t>1353406 Total</t>
  </si>
  <si>
    <t>1353413 Total</t>
  </si>
  <si>
    <t>1353435 Total</t>
  </si>
  <si>
    <t>1353478 Total</t>
  </si>
  <si>
    <t>1353488 Total</t>
  </si>
  <si>
    <t>1353510 Total</t>
  </si>
  <si>
    <t>1353540 Total</t>
  </si>
  <si>
    <t>1353554 Total</t>
  </si>
  <si>
    <t>1353611 Total</t>
  </si>
  <si>
    <t>1353683 Total</t>
  </si>
  <si>
    <t>1353723 Total</t>
  </si>
  <si>
    <t>1353738 Total</t>
  </si>
  <si>
    <t>1353744 Total</t>
  </si>
  <si>
    <t>1353753 Total</t>
  </si>
  <si>
    <t>1353760 Total</t>
  </si>
  <si>
    <t>1353774 Total</t>
  </si>
  <si>
    <t>1353780 Total</t>
  </si>
  <si>
    <t>1353787 Total</t>
  </si>
  <si>
    <t>1353801 Total</t>
  </si>
  <si>
    <t>1353828 Total</t>
  </si>
  <si>
    <t>1353867 Total</t>
  </si>
  <si>
    <t>1353882 Total</t>
  </si>
  <si>
    <t>1353889 Total</t>
  </si>
  <si>
    <t>1354120 Total</t>
  </si>
  <si>
    <t>1354126 Total</t>
  </si>
  <si>
    <t>1354127 Total</t>
  </si>
  <si>
    <t>1354510 Total</t>
  </si>
  <si>
    <t>1354512 Total</t>
  </si>
  <si>
    <t>1354548 Total</t>
  </si>
  <si>
    <t>1354580 Total</t>
  </si>
  <si>
    <t>1354589 Total</t>
  </si>
  <si>
    <t>1354753 Total</t>
  </si>
  <si>
    <t>1354756 Total</t>
  </si>
  <si>
    <t>1354773 Total</t>
  </si>
  <si>
    <t>1354816 Total</t>
  </si>
  <si>
    <t>1354817 Total</t>
  </si>
  <si>
    <t>1354830 Total</t>
  </si>
  <si>
    <t>1354835 Total</t>
  </si>
  <si>
    <t>1354848 Total</t>
  </si>
  <si>
    <t>1354859 Total</t>
  </si>
  <si>
    <t>1354917 Total</t>
  </si>
  <si>
    <t>1355006 Total</t>
  </si>
  <si>
    <t>1355042 Total</t>
  </si>
  <si>
    <t>1355067 Total</t>
  </si>
  <si>
    <t>1355108 Total</t>
  </si>
  <si>
    <t>1355133 Total</t>
  </si>
  <si>
    <t>1355183 Total</t>
  </si>
  <si>
    <t>1356102 Total</t>
  </si>
  <si>
    <t>1356103 Total</t>
  </si>
  <si>
    <t>1356131 Total</t>
  </si>
  <si>
    <t>1356191 Total</t>
  </si>
  <si>
    <t>1356192 Total</t>
  </si>
  <si>
    <t>1356207 Total</t>
  </si>
  <si>
    <t>1356309 Total</t>
  </si>
  <si>
    <t>1356315 Total</t>
  </si>
  <si>
    <t>1356350 Total</t>
  </si>
  <si>
    <t>1356471 Total</t>
  </si>
  <si>
    <t>1356486 Total</t>
  </si>
  <si>
    <t>1356527 Total</t>
  </si>
  <si>
    <t>1356545 Total</t>
  </si>
  <si>
    <t>1356596 Total</t>
  </si>
  <si>
    <t>1356628 Total</t>
  </si>
  <si>
    <t>1356641 Total</t>
  </si>
  <si>
    <t>1356654 Total</t>
  </si>
  <si>
    <t>1356687 Total</t>
  </si>
  <si>
    <t>1356700 Total</t>
  </si>
  <si>
    <t>1356706 Total</t>
  </si>
  <si>
    <t>1356715 Total</t>
  </si>
  <si>
    <t>1356721 Total</t>
  </si>
  <si>
    <t>1356730 Total</t>
  </si>
  <si>
    <t>1356754 Total</t>
  </si>
  <si>
    <t>1356762 Total</t>
  </si>
  <si>
    <t>1356777 Total</t>
  </si>
  <si>
    <t>1356899 Total</t>
  </si>
  <si>
    <t>1356936 Total</t>
  </si>
  <si>
    <t>1356946 Total</t>
  </si>
  <si>
    <t>1356979 Total</t>
  </si>
  <si>
    <t>1357022 Total</t>
  </si>
  <si>
    <t>1357073 Total</t>
  </si>
  <si>
    <t>1357077 Total</t>
  </si>
  <si>
    <t>1357088 Total</t>
  </si>
  <si>
    <t>1357097 Total</t>
  </si>
  <si>
    <t>1357107 Total</t>
  </si>
  <si>
    <t>1357111 Total</t>
  </si>
  <si>
    <t>1357115 Total</t>
  </si>
  <si>
    <t>1357122 Total</t>
  </si>
  <si>
    <t>1357128 Total</t>
  </si>
  <si>
    <t>1357131 Total</t>
  </si>
  <si>
    <t>1357138 Total</t>
  </si>
  <si>
    <t>1357147 Total</t>
  </si>
  <si>
    <t>1357149 Total</t>
  </si>
  <si>
    <t>1357161 Total</t>
  </si>
  <si>
    <t>1357181 Total</t>
  </si>
  <si>
    <t>1357185 Total</t>
  </si>
  <si>
    <t>1357186 Total</t>
  </si>
  <si>
    <t>1357189 Total</t>
  </si>
  <si>
    <t>1357244 Total</t>
  </si>
  <si>
    <t>1357251 Total</t>
  </si>
  <si>
    <t>1357256 Total</t>
  </si>
  <si>
    <t>1357264 Total</t>
  </si>
  <si>
    <t>1357271 Total</t>
  </si>
  <si>
    <t>1357274 Total</t>
  </si>
  <si>
    <t>1357276 Total</t>
  </si>
  <si>
    <t>1357339 Total</t>
  </si>
  <si>
    <t>1357342 Total</t>
  </si>
  <si>
    <t>1357343 Total</t>
  </si>
  <si>
    <t>1357347 Total</t>
  </si>
  <si>
    <t>1357361 Total</t>
  </si>
  <si>
    <t>1357362 Total</t>
  </si>
  <si>
    <t>1357621 Total</t>
  </si>
  <si>
    <t>1357632 Total</t>
  </si>
  <si>
    <t>1357805 Total</t>
  </si>
  <si>
    <t>1357811 Total</t>
  </si>
  <si>
    <t>1357826 Total</t>
  </si>
  <si>
    <t>1357883 Total</t>
  </si>
  <si>
    <t>1357942 Total</t>
  </si>
  <si>
    <t>1357949 Total</t>
  </si>
  <si>
    <t>1357957 Total</t>
  </si>
  <si>
    <t>1357967 Total</t>
  </si>
  <si>
    <t>1357999 Total</t>
  </si>
  <si>
    <t>1358019 Total</t>
  </si>
  <si>
    <t>1358025 Total</t>
  </si>
  <si>
    <t>1358029 Total</t>
  </si>
  <si>
    <t>1358048 Total</t>
  </si>
  <si>
    <t>1358062 Total</t>
  </si>
  <si>
    <t>1358075 Total</t>
  </si>
  <si>
    <t>1358083 Total</t>
  </si>
  <si>
    <t>1358084 Total</t>
  </si>
  <si>
    <t>1358090 Total</t>
  </si>
  <si>
    <t>1358093 Total</t>
  </si>
  <si>
    <t>1358098 Total</t>
  </si>
  <si>
    <t>1358163 Total</t>
  </si>
  <si>
    <t>1358175 Total</t>
  </si>
  <si>
    <t>1358386 Total</t>
  </si>
  <si>
    <t>1358395 Total</t>
  </si>
  <si>
    <t>1358404 Total</t>
  </si>
  <si>
    <t>1358461 Total</t>
  </si>
  <si>
    <t>1358487 Total</t>
  </si>
  <si>
    <t>1358507 Total</t>
  </si>
  <si>
    <t>1358513 Total</t>
  </si>
  <si>
    <t>1358519 Total</t>
  </si>
  <si>
    <t>1358556 Total</t>
  </si>
  <si>
    <t>1358557 Total</t>
  </si>
  <si>
    <t>1358574 Total</t>
  </si>
  <si>
    <t>1359263 Total</t>
  </si>
  <si>
    <t>1359269 Total</t>
  </si>
  <si>
    <t>1359352 Total</t>
  </si>
  <si>
    <t>1359360 Total</t>
  </si>
  <si>
    <t>1359375 Total</t>
  </si>
  <si>
    <t>1359379 Total</t>
  </si>
  <si>
    <t>1359667 Total</t>
  </si>
  <si>
    <t>1359673 Total</t>
  </si>
  <si>
    <t>1359748 Total</t>
  </si>
  <si>
    <t>1359749 Total</t>
  </si>
  <si>
    <t>1359757 Total</t>
  </si>
  <si>
    <t>1359857 Total</t>
  </si>
  <si>
    <t>1359872 Total</t>
  </si>
  <si>
    <t>1359887 Total</t>
  </si>
  <si>
    <t>1359923 Total</t>
  </si>
  <si>
    <t>1359964 Total</t>
  </si>
  <si>
    <t>1359977 Total</t>
  </si>
  <si>
    <t>1359979 Total</t>
  </si>
  <si>
    <t>1359996 Total</t>
  </si>
  <si>
    <t>1360022 Total</t>
  </si>
  <si>
    <t>1360034 Total</t>
  </si>
  <si>
    <t>1360052 Total</t>
  </si>
  <si>
    <t>1360062 Total</t>
  </si>
  <si>
    <t>1360083 Total</t>
  </si>
  <si>
    <t>1360096 Total</t>
  </si>
  <si>
    <t>1360124 Total</t>
  </si>
  <si>
    <t>1360158 Total</t>
  </si>
  <si>
    <t>1360161 Total</t>
  </si>
  <si>
    <t>1360233 Total</t>
  </si>
  <si>
    <t>1360373 Total</t>
  </si>
  <si>
    <t>1360509 Total</t>
  </si>
  <si>
    <t>1360613 Total</t>
  </si>
  <si>
    <t>1360681 Total</t>
  </si>
  <si>
    <t>1360708 Total</t>
  </si>
  <si>
    <t>1360742 Total</t>
  </si>
  <si>
    <t>1360765 Total</t>
  </si>
  <si>
    <t>1360772 Total</t>
  </si>
  <si>
    <t>1360773 Total</t>
  </si>
  <si>
    <t>1360779 Total</t>
  </si>
  <si>
    <t>1360799 Total</t>
  </si>
  <si>
    <t>1360800 Total</t>
  </si>
  <si>
    <t>1360826 Total</t>
  </si>
  <si>
    <t>1360844 Total</t>
  </si>
  <si>
    <t>1360975 Total</t>
  </si>
  <si>
    <t>1360997 Total</t>
  </si>
  <si>
    <t>1361036 Total</t>
  </si>
  <si>
    <t>1361059 Total</t>
  </si>
  <si>
    <t>1361060 Total</t>
  </si>
  <si>
    <t>1361080 Total</t>
  </si>
  <si>
    <t>1361081 Total</t>
  </si>
  <si>
    <t>1361083 Total</t>
  </si>
  <si>
    <t>1361084 Total</t>
  </si>
  <si>
    <t>1361092 Total</t>
  </si>
  <si>
    <t>1361096 Total</t>
  </si>
  <si>
    <t>1361101 Total</t>
  </si>
  <si>
    <t>1361116 Total</t>
  </si>
  <si>
    <t>1361117 Total</t>
  </si>
  <si>
    <t>1361126 Total</t>
  </si>
  <si>
    <t>1361141 Total</t>
  </si>
  <si>
    <t>1361150 Total</t>
  </si>
  <si>
    <t>1361153 Total</t>
  </si>
  <si>
    <t>1361158 Total</t>
  </si>
  <si>
    <t>1361160 Total</t>
  </si>
  <si>
    <t>1361178 Total</t>
  </si>
  <si>
    <t>1361180 Total</t>
  </si>
  <si>
    <t>1361195 Total</t>
  </si>
  <si>
    <t>1361196 Total</t>
  </si>
  <si>
    <t>1361201 Total</t>
  </si>
  <si>
    <t>1361228 Total</t>
  </si>
  <si>
    <t>1361240 Total</t>
  </si>
  <si>
    <t>1361244 Total</t>
  </si>
  <si>
    <t>1361247 Total</t>
  </si>
  <si>
    <t>1361249 Total</t>
  </si>
  <si>
    <t>1361262 Total</t>
  </si>
  <si>
    <t>1361274 Total</t>
  </si>
  <si>
    <t>1361281 Total</t>
  </si>
  <si>
    <t>1361285 Total</t>
  </si>
  <si>
    <t>1361318 Total</t>
  </si>
  <si>
    <t>1361333 Total</t>
  </si>
  <si>
    <t>1361335 Total</t>
  </si>
  <si>
    <t>1361355 Total</t>
  </si>
  <si>
    <t>1361356 Total</t>
  </si>
  <si>
    <t>1361363 Total</t>
  </si>
  <si>
    <t>1361383 Total</t>
  </si>
  <si>
    <t>1361411 Total</t>
  </si>
  <si>
    <t>1361480 Total</t>
  </si>
  <si>
    <t>1361481 Total</t>
  </si>
  <si>
    <t>1361508 Total</t>
  </si>
  <si>
    <t>1361559 Total</t>
  </si>
  <si>
    <t>1361685 Total</t>
  </si>
  <si>
    <t>1361738 Total</t>
  </si>
  <si>
    <t>1361793 Total</t>
  </si>
  <si>
    <t>1361858 Total</t>
  </si>
  <si>
    <t>1361908 Total</t>
  </si>
  <si>
    <t>1362035 Total</t>
  </si>
  <si>
    <t>1362037 Total</t>
  </si>
  <si>
    <t>1362039 Total</t>
  </si>
  <si>
    <t>1362060 Total</t>
  </si>
  <si>
    <t>1362126 Total</t>
  </si>
  <si>
    <t>1362133 Total</t>
  </si>
  <si>
    <t>1362327 Total</t>
  </si>
  <si>
    <t>1362403 Total</t>
  </si>
  <si>
    <t>1362564 Total</t>
  </si>
  <si>
    <t>1362632 Total</t>
  </si>
  <si>
    <t>1362670 Total</t>
  </si>
  <si>
    <t>1362713 Total</t>
  </si>
  <si>
    <t>1362746 Total</t>
  </si>
  <si>
    <t>1362799 Total</t>
  </si>
  <si>
    <t>1362817 Total</t>
  </si>
  <si>
    <t>1362819 Total</t>
  </si>
  <si>
    <t>1362873 Total</t>
  </si>
  <si>
    <t>1362910 Total</t>
  </si>
  <si>
    <t>1362917 Total</t>
  </si>
  <si>
    <t>1362920 Total</t>
  </si>
  <si>
    <t>1362923 Total</t>
  </si>
  <si>
    <t>1362932 Total</t>
  </si>
  <si>
    <t>1362938 Total</t>
  </si>
  <si>
    <t>1362969 Total</t>
  </si>
  <si>
    <t>1362985 Total</t>
  </si>
  <si>
    <t>1363017 Total</t>
  </si>
  <si>
    <t>1363024 Total</t>
  </si>
  <si>
    <t>1363042 Total</t>
  </si>
  <si>
    <t>1363051 Total</t>
  </si>
  <si>
    <t>1363061 Total</t>
  </si>
  <si>
    <t>1363075 Total</t>
  </si>
  <si>
    <t>1363127 Total</t>
  </si>
  <si>
    <t>1363149 Total</t>
  </si>
  <si>
    <t>1363169 Total</t>
  </si>
  <si>
    <t>1363242 Total</t>
  </si>
  <si>
    <t>1363300 Total</t>
  </si>
  <si>
    <t>1363364 Total</t>
  </si>
  <si>
    <t>1363575 Total</t>
  </si>
  <si>
    <t>1363598 Total</t>
  </si>
  <si>
    <t>1363644 Total</t>
  </si>
  <si>
    <t>1363657 Total</t>
  </si>
  <si>
    <t>1363664 Total</t>
  </si>
  <si>
    <t>1363672 Total</t>
  </si>
  <si>
    <t>1363690 Total</t>
  </si>
  <si>
    <t>1363745 Total</t>
  </si>
  <si>
    <t>1363792 Total</t>
  </si>
  <si>
    <t>1363794 Total</t>
  </si>
  <si>
    <t>1363807 Total</t>
  </si>
  <si>
    <t>1364700 Total</t>
  </si>
  <si>
    <t>1364713 Total</t>
  </si>
  <si>
    <t>1364730 Total</t>
  </si>
  <si>
    <t>1364787 Total</t>
  </si>
  <si>
    <t>1364822 Total</t>
  </si>
  <si>
    <t>1364868 Total</t>
  </si>
  <si>
    <t>1364887 Total</t>
  </si>
  <si>
    <t>1364901 Total</t>
  </si>
  <si>
    <t>1364909 Total</t>
  </si>
  <si>
    <t>1364924 Total</t>
  </si>
  <si>
    <t>1365009 Total</t>
  </si>
  <si>
    <t>1365023 Total</t>
  </si>
  <si>
    <t>1365121 Total</t>
  </si>
  <si>
    <t>1365133 Total</t>
  </si>
  <si>
    <t>1365501 Total</t>
  </si>
  <si>
    <t>1365544 Total</t>
  </si>
  <si>
    <t>1365576 Total</t>
  </si>
  <si>
    <t>1365585 Total</t>
  </si>
  <si>
    <t>1365600 Total</t>
  </si>
  <si>
    <t>1365610 Total</t>
  </si>
  <si>
    <t>1365628 Total</t>
  </si>
  <si>
    <t>1365636 Total</t>
  </si>
  <si>
    <t>1365666 Total</t>
  </si>
  <si>
    <t>1365668 Total</t>
  </si>
  <si>
    <t>1365675 Total</t>
  </si>
  <si>
    <t>1365962 Total</t>
  </si>
  <si>
    <t>1365968 Total</t>
  </si>
  <si>
    <t>1366887 Total</t>
  </si>
  <si>
    <t>1366902 Total</t>
  </si>
  <si>
    <t>1366977 Total</t>
  </si>
  <si>
    <t>1367076 Total</t>
  </si>
  <si>
    <t>1367534 Total</t>
  </si>
  <si>
    <t>1367541 Total</t>
  </si>
  <si>
    <t>1367557 Total</t>
  </si>
  <si>
    <t>1367571 Total</t>
  </si>
  <si>
    <t>1368021 Total</t>
  </si>
  <si>
    <t>1368061 Total</t>
  </si>
  <si>
    <t>1368075 Total</t>
  </si>
  <si>
    <t>1368091 Total</t>
  </si>
  <si>
    <t>1368169 Total</t>
  </si>
  <si>
    <t>1368219 Total</t>
  </si>
  <si>
    <t>1370250 Total</t>
  </si>
  <si>
    <t>1370304 Total</t>
  </si>
  <si>
    <t>1370305 Total</t>
  </si>
  <si>
    <t>1370331 Total</t>
  </si>
  <si>
    <t>1370337 Total</t>
  </si>
  <si>
    <t>1370379 Total</t>
  </si>
  <si>
    <t>1371041 Total</t>
  </si>
  <si>
    <t>1371092 Total</t>
  </si>
  <si>
    <t>1372311 Total</t>
  </si>
  <si>
    <t>1377331 Total</t>
  </si>
  <si>
    <t>1377343 Total</t>
  </si>
  <si>
    <t>1378343 Total</t>
  </si>
  <si>
    <t>1378367 Total</t>
  </si>
  <si>
    <t>1378380 Total</t>
  </si>
  <si>
    <t>1378834 Total</t>
  </si>
  <si>
    <t>1379036 Total</t>
  </si>
  <si>
    <t>1379046 Total</t>
  </si>
  <si>
    <t>1379075 Total</t>
  </si>
  <si>
    <t>1379248 Total</t>
  </si>
  <si>
    <t>1379282 Total</t>
  </si>
  <si>
    <t>1379398 Total</t>
  </si>
  <si>
    <t>1379407 Total</t>
  </si>
  <si>
    <t>1379414 Total</t>
  </si>
  <si>
    <t>1379415 Total</t>
  </si>
  <si>
    <t>1379517 Total</t>
  </si>
  <si>
    <t>1379559 Total</t>
  </si>
  <si>
    <t>1379580 Total</t>
  </si>
  <si>
    <t>1379754 Total</t>
  </si>
  <si>
    <t>1381277 Total</t>
  </si>
  <si>
    <t>1385707 Total</t>
  </si>
  <si>
    <t>1386221 Total</t>
  </si>
  <si>
    <t>1388276 Total</t>
  </si>
  <si>
    <t>1388481 Total</t>
  </si>
  <si>
    <t>1388976 Total</t>
  </si>
  <si>
    <t>1389037 Total</t>
  </si>
  <si>
    <t>1389176 Total</t>
  </si>
  <si>
    <t>1389190 Total</t>
  </si>
  <si>
    <t>1389205 Total</t>
  </si>
  <si>
    <t>1390053 Total</t>
  </si>
  <si>
    <t>1390107 Total</t>
  </si>
  <si>
    <t>1390114 Total</t>
  </si>
  <si>
    <t>1390141 Total</t>
  </si>
  <si>
    <t>1390158 Total</t>
  </si>
  <si>
    <t>1390187 Total</t>
  </si>
  <si>
    <t>1391722 Total</t>
  </si>
  <si>
    <t>1391725 Total</t>
  </si>
  <si>
    <t>1391733 Total</t>
  </si>
  <si>
    <t>1391741 Total</t>
  </si>
  <si>
    <t>1391750 Total</t>
  </si>
  <si>
    <t>1391796 Total</t>
  </si>
  <si>
    <t>1391803 Total</t>
  </si>
  <si>
    <t>1391813 Total</t>
  </si>
  <si>
    <t>1391817 Total</t>
  </si>
  <si>
    <t>1391824 Total</t>
  </si>
  <si>
    <t>1391833 Total</t>
  </si>
  <si>
    <t>1391852 Total</t>
  </si>
  <si>
    <t>1391875 Total</t>
  </si>
  <si>
    <t>1391882 Total</t>
  </si>
  <si>
    <t>1391887 Total</t>
  </si>
  <si>
    <t>1391901 Total</t>
  </si>
  <si>
    <t>1391983 Total</t>
  </si>
  <si>
    <t>1392718 Total</t>
  </si>
  <si>
    <t>1393239 Total</t>
  </si>
  <si>
    <t>1393271 Total</t>
  </si>
  <si>
    <t>1393358 Total</t>
  </si>
  <si>
    <t>1393480 Total</t>
  </si>
  <si>
    <t>1393573 Total</t>
  </si>
  <si>
    <t>1393621 Total</t>
  </si>
  <si>
    <t>1393732 Total</t>
  </si>
  <si>
    <t>1393746 Total</t>
  </si>
  <si>
    <t>1393854 Total</t>
  </si>
  <si>
    <t>1393902 Total</t>
  </si>
  <si>
    <t>1394062 Total</t>
  </si>
  <si>
    <t>1395655 Total</t>
  </si>
  <si>
    <t>1399836 Total</t>
  </si>
  <si>
    <t>1400855 Total</t>
  </si>
  <si>
    <t>1400869 Total</t>
  </si>
  <si>
    <t>1400875 Total</t>
  </si>
  <si>
    <t>1400900 Total</t>
  </si>
  <si>
    <t>1400906 Total</t>
  </si>
  <si>
    <t>1400950 Total</t>
  </si>
  <si>
    <t>1400965 Total</t>
  </si>
  <si>
    <t>1400977 Total</t>
  </si>
  <si>
    <t>1401200 Total</t>
  </si>
  <si>
    <t>1401426 Total</t>
  </si>
  <si>
    <t>1401504 Total</t>
  </si>
  <si>
    <t>1401584 Total</t>
  </si>
  <si>
    <t>1401597 Total</t>
  </si>
  <si>
    <t>1401624 Total</t>
  </si>
  <si>
    <t>1401706 Total</t>
  </si>
  <si>
    <t>1401750 Total</t>
  </si>
  <si>
    <t>1401797 Total</t>
  </si>
  <si>
    <t>1401860 Total</t>
  </si>
  <si>
    <t>1406055 Total</t>
  </si>
  <si>
    <t>1406400 Total</t>
  </si>
  <si>
    <t>1406676 Total</t>
  </si>
  <si>
    <t>1407349 Total</t>
  </si>
  <si>
    <t>1432423 Total</t>
  </si>
  <si>
    <t>1432449 Total</t>
  </si>
  <si>
    <t>1432508 Total</t>
  </si>
  <si>
    <t>1432935 Total</t>
  </si>
  <si>
    <t>1435151 Total</t>
  </si>
  <si>
    <t>1435166 Total</t>
  </si>
  <si>
    <t>1435176 Total</t>
  </si>
  <si>
    <t>1435186 Total</t>
  </si>
  <si>
    <t>1445308 Total</t>
  </si>
  <si>
    <t>1445349 Total</t>
  </si>
  <si>
    <t>1445385 Total</t>
  </si>
  <si>
    <t>1445392 Total</t>
  </si>
  <si>
    <t>1445398 Total</t>
  </si>
  <si>
    <t>1445426 Total</t>
  </si>
  <si>
    <t>1445433 Total</t>
  </si>
  <si>
    <t>1445470 Total</t>
  </si>
  <si>
    <t>1446350 Total</t>
  </si>
  <si>
    <t>1446492 Total</t>
  </si>
  <si>
    <t>1446494 Total</t>
  </si>
  <si>
    <t>1446614 Total</t>
  </si>
  <si>
    <t>1446638 Total</t>
  </si>
  <si>
    <t>1446976 Total</t>
  </si>
  <si>
    <t>1446992 Total</t>
  </si>
  <si>
    <t>1447015 Total</t>
  </si>
  <si>
    <t>1447043 Total</t>
  </si>
  <si>
    <t>1447067 Total</t>
  </si>
  <si>
    <t>1447072 Total</t>
  </si>
  <si>
    <t>1447325 Total</t>
  </si>
  <si>
    <t>1447394 Total</t>
  </si>
  <si>
    <t>1447426 Total</t>
  </si>
  <si>
    <t>1447438 Total</t>
  </si>
  <si>
    <t>1447896 Total</t>
  </si>
  <si>
    <t>1447902 Total</t>
  </si>
  <si>
    <t>1447909 Total</t>
  </si>
  <si>
    <t>1447922 Total</t>
  </si>
  <si>
    <t>1447939 Total</t>
  </si>
  <si>
    <t>1447961 Total</t>
  </si>
  <si>
    <t>1447984 Total</t>
  </si>
  <si>
    <t>1448006 Total</t>
  </si>
  <si>
    <t>1448013 Total</t>
  </si>
  <si>
    <t>1448019 Total</t>
  </si>
  <si>
    <t>1448118 Total</t>
  </si>
  <si>
    <t>1448119 Total</t>
  </si>
  <si>
    <t>1448228 Total</t>
  </si>
  <si>
    <t>1448271 Total</t>
  </si>
  <si>
    <t>1448278 Total</t>
  </si>
  <si>
    <t>1448301 Total</t>
  </si>
  <si>
    <t>1448639 Total</t>
  </si>
  <si>
    <t>1448654 Total</t>
  </si>
  <si>
    <t>1448879 Total</t>
  </si>
  <si>
    <t>1448901 Total</t>
  </si>
  <si>
    <t>1448929 Total</t>
  </si>
  <si>
    <t>1448943 Total</t>
  </si>
  <si>
    <t>1449292 Total</t>
  </si>
  <si>
    <t>1449306 Total</t>
  </si>
  <si>
    <t>1451131 Total</t>
  </si>
  <si>
    <t>1451175 Total</t>
  </si>
  <si>
    <t>1451179 Total</t>
  </si>
  <si>
    <t>1451397 Total</t>
  </si>
  <si>
    <t>1451473 Total</t>
  </si>
  <si>
    <t>1452380 Total</t>
  </si>
  <si>
    <t>1452388 Total</t>
  </si>
  <si>
    <t>1452399 Total</t>
  </si>
  <si>
    <t>1452839 Total</t>
  </si>
  <si>
    <t>1453439 Total</t>
  </si>
  <si>
    <t>1453455 Total</t>
  </si>
  <si>
    <t>1453477 Total</t>
  </si>
  <si>
    <t>1453550 Total</t>
  </si>
  <si>
    <t>1453671 Total</t>
  </si>
  <si>
    <t>1454836 Total</t>
  </si>
  <si>
    <t>1455225 Total</t>
  </si>
  <si>
    <t>1455254 Total</t>
  </si>
  <si>
    <t>1457385 Total</t>
  </si>
  <si>
    <t>1457404 Total</t>
  </si>
  <si>
    <t>1457419 Total</t>
  </si>
  <si>
    <t>1457436 Total</t>
  </si>
  <si>
    <t>1457447 Total</t>
  </si>
  <si>
    <t>1457507 Total</t>
  </si>
  <si>
    <t>1457545 Total</t>
  </si>
  <si>
    <t>1457552 Total</t>
  </si>
  <si>
    <t>1457581 Total</t>
  </si>
  <si>
    <t>1457626 Total</t>
  </si>
  <si>
    <t>1457640 Total</t>
  </si>
  <si>
    <t>1457671 Total</t>
  </si>
  <si>
    <t>1457688 Total</t>
  </si>
  <si>
    <t>1457698 Total</t>
  </si>
  <si>
    <t>1457715 Total</t>
  </si>
  <si>
    <t>1457792 Total</t>
  </si>
  <si>
    <t>1457801 Total</t>
  </si>
  <si>
    <t>1457814 Total</t>
  </si>
  <si>
    <t>1457875 Total</t>
  </si>
  <si>
    <t>1459244 Total</t>
  </si>
  <si>
    <t>1459275 Total</t>
  </si>
  <si>
    <t>1459284 Total</t>
  </si>
  <si>
    <t>1459316 Total</t>
  </si>
  <si>
    <t>1459320 Total</t>
  </si>
  <si>
    <t>1460410 Total</t>
  </si>
  <si>
    <t>1461371 Total</t>
  </si>
  <si>
    <t>1461385 Total</t>
  </si>
  <si>
    <t>1461773 Total</t>
  </si>
  <si>
    <t>1461895 Total</t>
  </si>
  <si>
    <t>1465541 Total</t>
  </si>
  <si>
    <t>1465770 Total</t>
  </si>
  <si>
    <t>1471994 Total</t>
  </si>
  <si>
    <t>1494993 Total</t>
  </si>
  <si>
    <t>1497902 Total</t>
  </si>
  <si>
    <t>1497984 Total</t>
  </si>
  <si>
    <t>1498010 Total</t>
  </si>
  <si>
    <t>1498039 Total</t>
  </si>
  <si>
    <t>1498046 Total</t>
  </si>
  <si>
    <t>1498054 Total</t>
  </si>
  <si>
    <t>1498062 Total</t>
  </si>
  <si>
    <t>1498142 Total</t>
  </si>
  <si>
    <t>1498703 Total</t>
  </si>
  <si>
    <t>1498817 Total</t>
  </si>
  <si>
    <t>1498856 Total</t>
  </si>
  <si>
    <t>1498929 Total</t>
  </si>
  <si>
    <t>1498985 Total</t>
  </si>
  <si>
    <t>1499042 Total</t>
  </si>
  <si>
    <t>1499074 Total</t>
  </si>
  <si>
    <t>1499593 Total</t>
  </si>
  <si>
    <t>1499753 Total</t>
  </si>
  <si>
    <t>1499783 Total</t>
  </si>
  <si>
    <t>1499807 Total</t>
  </si>
  <si>
    <t>1499884 Total</t>
  </si>
  <si>
    <t>1499900 Total</t>
  </si>
  <si>
    <t>1500456 Total</t>
  </si>
  <si>
    <t>1500485 Total</t>
  </si>
  <si>
    <t>1501718 Total</t>
  </si>
  <si>
    <t>1501744 Total</t>
  </si>
  <si>
    <t>1501842 Total</t>
  </si>
  <si>
    <t>1501846 Total</t>
  </si>
  <si>
    <t>1501851 Total</t>
  </si>
  <si>
    <t>1501861 Total</t>
  </si>
  <si>
    <t>1502144 Total</t>
  </si>
  <si>
    <t>1502152 Total</t>
  </si>
  <si>
    <t>1502160 Total</t>
  </si>
  <si>
    <t>1502271 Total</t>
  </si>
  <si>
    <t>1502277 Total</t>
  </si>
  <si>
    <t>1502293 Total</t>
  </si>
  <si>
    <t>1502308 Total</t>
  </si>
  <si>
    <t>1502333 Total</t>
  </si>
  <si>
    <t>1502352 Total</t>
  </si>
  <si>
    <t>1502374 Total</t>
  </si>
  <si>
    <t>1502400 Total</t>
  </si>
  <si>
    <t>1502413 Total</t>
  </si>
  <si>
    <t>1502428 Total</t>
  </si>
  <si>
    <t>1502437 Total</t>
  </si>
  <si>
    <t>1502487 Total</t>
  </si>
  <si>
    <t>1502492 Total</t>
  </si>
  <si>
    <t>1502506 Total</t>
  </si>
  <si>
    <t>1502533 Total</t>
  </si>
  <si>
    <t>1502547 Total</t>
  </si>
  <si>
    <t>1502554 Total</t>
  </si>
  <si>
    <t>1502600 Total</t>
  </si>
  <si>
    <t>1502606 Total</t>
  </si>
  <si>
    <t>1502634 Total</t>
  </si>
  <si>
    <t>1502661 Total</t>
  </si>
  <si>
    <t>1502689 Total</t>
  </si>
  <si>
    <t>1502720 Total</t>
  </si>
  <si>
    <t>1502721 Total</t>
  </si>
  <si>
    <t>1502735 Total</t>
  </si>
  <si>
    <t>1502741 Total</t>
  </si>
  <si>
    <t>1503135 Total</t>
  </si>
  <si>
    <t>1503281 Total</t>
  </si>
  <si>
    <t>1503301 Total</t>
  </si>
  <si>
    <t>1503331 Total</t>
  </si>
  <si>
    <t>1503571 Total</t>
  </si>
  <si>
    <t>1503578 Total</t>
  </si>
  <si>
    <t>1503628 Total</t>
  </si>
  <si>
    <t>1503646 Total</t>
  </si>
  <si>
    <t>1503663 Total</t>
  </si>
  <si>
    <t>1503670 Total</t>
  </si>
  <si>
    <t>1503688 Total</t>
  </si>
  <si>
    <t>1503695 Total</t>
  </si>
  <si>
    <t>1503707 Total</t>
  </si>
  <si>
    <t>1505441 Total</t>
  </si>
  <si>
    <t>1505446 Total</t>
  </si>
  <si>
    <t>1505458 Total</t>
  </si>
  <si>
    <t>1506210 Total</t>
  </si>
  <si>
    <t>1506520 Total</t>
  </si>
  <si>
    <t>1509891 Total</t>
  </si>
  <si>
    <t>1509905 Total</t>
  </si>
  <si>
    <t>1513650 Total</t>
  </si>
  <si>
    <t>1513725 Total</t>
  </si>
  <si>
    <t>1517735 Total</t>
  </si>
  <si>
    <t>1517784 Total</t>
  </si>
  <si>
    <t>1517807 Total</t>
  </si>
  <si>
    <t>1517822 Total</t>
  </si>
  <si>
    <t>1517915 Total</t>
  </si>
  <si>
    <t>1517945 Total</t>
  </si>
  <si>
    <t>1517997 Total</t>
  </si>
  <si>
    <t>1518033 Total</t>
  </si>
  <si>
    <t>1519914 Total</t>
  </si>
  <si>
    <t>1520018 Total</t>
  </si>
  <si>
    <t>1520073 Total</t>
  </si>
  <si>
    <t>1520306 Total</t>
  </si>
  <si>
    <t>1520315 Total</t>
  </si>
  <si>
    <t>1520384 Total</t>
  </si>
  <si>
    <t>1520405 Total</t>
  </si>
  <si>
    <t>1520441 Total</t>
  </si>
  <si>
    <t>1520452 Total</t>
  </si>
  <si>
    <t>1520525 Total</t>
  </si>
  <si>
    <t>1520536 Total</t>
  </si>
  <si>
    <t>1520568 Total</t>
  </si>
  <si>
    <t>1520595 Total</t>
  </si>
  <si>
    <t>1521301 Total</t>
  </si>
  <si>
    <t>1521346 Total</t>
  </si>
  <si>
    <t>1524334 Total</t>
  </si>
  <si>
    <t>1524347 Total</t>
  </si>
  <si>
    <t>1524367 Total</t>
  </si>
  <si>
    <t>1524382 Total</t>
  </si>
  <si>
    <t>1524386 Total</t>
  </si>
  <si>
    <t>1524966 Total</t>
  </si>
  <si>
    <t>1524982 Total</t>
  </si>
  <si>
    <t>1525037 Total</t>
  </si>
  <si>
    <t>1525045 Total</t>
  </si>
  <si>
    <t>1525049 Total</t>
  </si>
  <si>
    <t>1525144 Total</t>
  </si>
  <si>
    <t>1525158 Total</t>
  </si>
  <si>
    <t>1525165 Total</t>
  </si>
  <si>
    <t>1525177 Total</t>
  </si>
  <si>
    <t>1525198 Total</t>
  </si>
  <si>
    <t>1525210 Total</t>
  </si>
  <si>
    <t>1525217 Total</t>
  </si>
  <si>
    <t>1525230 Total</t>
  </si>
  <si>
    <t>1525237 Total</t>
  </si>
  <si>
    <t>1525442 Total</t>
  </si>
  <si>
    <t>1530645 Total</t>
  </si>
  <si>
    <t>1530672 Total</t>
  </si>
  <si>
    <t>1530673 Total</t>
  </si>
  <si>
    <t>1530707 Total</t>
  </si>
  <si>
    <t>1530713 Total</t>
  </si>
  <si>
    <t>1530717 Total</t>
  </si>
  <si>
    <t>1530719 Total</t>
  </si>
  <si>
    <t>1530721 Total</t>
  </si>
  <si>
    <t>1530772 Total</t>
  </si>
  <si>
    <t>1531268 Total</t>
  </si>
  <si>
    <t>1531269 Total</t>
  </si>
  <si>
    <t>1531281 Total</t>
  </si>
  <si>
    <t>1531303 Total</t>
  </si>
  <si>
    <t>1531845 Total</t>
  </si>
  <si>
    <t>1531927 Total</t>
  </si>
  <si>
    <t>1532406 Total</t>
  </si>
  <si>
    <t>1532429 Total</t>
  </si>
  <si>
    <t>1534541 Total</t>
  </si>
  <si>
    <t>1534546 Total</t>
  </si>
  <si>
    <t>1534588 Total</t>
  </si>
  <si>
    <t>1534595 Total</t>
  </si>
  <si>
    <t>1535485 Total</t>
  </si>
  <si>
    <t>1535507 Total</t>
  </si>
  <si>
    <t>1535514 Total</t>
  </si>
  <si>
    <t>1535517 Total</t>
  </si>
  <si>
    <t>1535536 Total</t>
  </si>
  <si>
    <t>1535594 Total</t>
  </si>
  <si>
    <t>1535744 Total</t>
  </si>
  <si>
    <t>1535829 Total</t>
  </si>
  <si>
    <t>1535840 Total</t>
  </si>
  <si>
    <t>1535852 Total</t>
  </si>
  <si>
    <t>1535866 Total</t>
  </si>
  <si>
    <t>1535885 Total</t>
  </si>
  <si>
    <t>1535901 Total</t>
  </si>
  <si>
    <t>1536159 Total</t>
  </si>
  <si>
    <t>1536181 Total</t>
  </si>
  <si>
    <t>1536273 Total</t>
  </si>
  <si>
    <t>1540872 Total</t>
  </si>
  <si>
    <t>1540897 Total</t>
  </si>
  <si>
    <t>1540899 Total</t>
  </si>
  <si>
    <t>1540900 Total</t>
  </si>
  <si>
    <t>1540904 Total</t>
  </si>
  <si>
    <t>1541059 Total</t>
  </si>
  <si>
    <t>1541064 Total</t>
  </si>
  <si>
    <t>1541073 Total</t>
  </si>
  <si>
    <t>1547266 Total</t>
  </si>
  <si>
    <t>1547272 Total</t>
  </si>
  <si>
    <t>1547278 Total</t>
  </si>
  <si>
    <t>1547279 Total</t>
  </si>
  <si>
    <t>1547285 Total</t>
  </si>
  <si>
    <t>1547291 Total</t>
  </si>
  <si>
    <t>1547394 Total</t>
  </si>
  <si>
    <t>1547420 Total</t>
  </si>
  <si>
    <t>1547449 Total</t>
  </si>
  <si>
    <t>1547465 Total</t>
  </si>
  <si>
    <t>1547873 Total</t>
  </si>
  <si>
    <t>1547897 Total</t>
  </si>
  <si>
    <t>1548053 Total</t>
  </si>
  <si>
    <t>1548056 Total</t>
  </si>
  <si>
    <t>1548129 Total</t>
  </si>
  <si>
    <t>1548140 Total</t>
  </si>
  <si>
    <t>1548402 Total</t>
  </si>
  <si>
    <t>1548403 Total</t>
  </si>
  <si>
    <t>1548405 Total</t>
  </si>
  <si>
    <t>1548457 Total</t>
  </si>
  <si>
    <t>1548458 Total</t>
  </si>
  <si>
    <t>1548469 Total</t>
  </si>
  <si>
    <t>1548470 Total</t>
  </si>
  <si>
    <t>1548618 Total</t>
  </si>
  <si>
    <t>1549053 Total</t>
  </si>
  <si>
    <t>1549088 Total</t>
  </si>
  <si>
    <t>1549096 Total</t>
  </si>
  <si>
    <t>1549109 Total</t>
  </si>
  <si>
    <t>1549128 Total</t>
  </si>
  <si>
    <t>1549146 Total</t>
  </si>
  <si>
    <t>1549238 Total</t>
  </si>
  <si>
    <t>1549239 Total</t>
  </si>
  <si>
    <t>1549260 Total</t>
  </si>
  <si>
    <t>1549335 Total</t>
  </si>
  <si>
    <t>1549340 Total</t>
  </si>
  <si>
    <t>1549341 Total</t>
  </si>
  <si>
    <t>1549528 Total</t>
  </si>
  <si>
    <t>1549532 Total</t>
  </si>
  <si>
    <t>1549602 Total</t>
  </si>
  <si>
    <t>1549608 Total</t>
  </si>
  <si>
    <t>1549757 Total</t>
  </si>
  <si>
    <t>1549820 Total</t>
  </si>
  <si>
    <t>1549832 Total</t>
  </si>
  <si>
    <t>1549839 Total</t>
  </si>
  <si>
    <t>1549867 Total</t>
  </si>
  <si>
    <t>1549934 Total</t>
  </si>
  <si>
    <t>1550023 Total</t>
  </si>
  <si>
    <t>1550072 Total</t>
  </si>
  <si>
    <t>1550083 Total</t>
  </si>
  <si>
    <t>1550099 Total</t>
  </si>
  <si>
    <t>1550104 Total</t>
  </si>
  <si>
    <t>1550113 Total</t>
  </si>
  <si>
    <t>1550885 Total</t>
  </si>
  <si>
    <t>1550904 Total</t>
  </si>
  <si>
    <t>1550910 Total</t>
  </si>
  <si>
    <t>1550914 Total</t>
  </si>
  <si>
    <t>1551469 Total</t>
  </si>
  <si>
    <t>1552535 Total</t>
  </si>
  <si>
    <t>1552547 Total</t>
  </si>
  <si>
    <t>1552556 Total</t>
  </si>
  <si>
    <t>1552646 Total</t>
  </si>
  <si>
    <t>1552659 Total</t>
  </si>
  <si>
    <t>1552667 Total</t>
  </si>
  <si>
    <t>1552669 Total</t>
  </si>
  <si>
    <t>1552676 Total</t>
  </si>
  <si>
    <t>1552677 Total</t>
  </si>
  <si>
    <t>1552938 Total</t>
  </si>
  <si>
    <t>1558481 Total</t>
  </si>
  <si>
    <t>1558489 Total</t>
  </si>
  <si>
    <t>1558500 Total</t>
  </si>
  <si>
    <t>1558508 Total</t>
  </si>
  <si>
    <t>1558513 Total</t>
  </si>
  <si>
    <t>1558527 Total</t>
  </si>
  <si>
    <t>1561941 Total</t>
  </si>
  <si>
    <t>1561951 Total</t>
  </si>
  <si>
    <t>1561984 Total</t>
  </si>
  <si>
    <t>1561996 Total</t>
  </si>
  <si>
    <t>1562057 Total</t>
  </si>
  <si>
    <t>1562066 Total</t>
  </si>
  <si>
    <t>1562114 Total</t>
  </si>
  <si>
    <t>1562156 Total</t>
  </si>
  <si>
    <t>1562177 Total</t>
  </si>
  <si>
    <t>1562218 Total</t>
  </si>
  <si>
    <t>1566973 Total</t>
  </si>
  <si>
    <t>1567587 Total</t>
  </si>
  <si>
    <t>1567594 Total</t>
  </si>
  <si>
    <t>1569101 Total</t>
  </si>
  <si>
    <t>1569267 Total</t>
  </si>
  <si>
    <t>1569293 Total</t>
  </si>
  <si>
    <t>1570377 Total</t>
  </si>
  <si>
    <t>1570410 Total</t>
  </si>
  <si>
    <t>1571099 Total</t>
  </si>
  <si>
    <t>1571111 Total</t>
  </si>
  <si>
    <t>1571131 Total</t>
  </si>
  <si>
    <t>1571197 Total</t>
  </si>
  <si>
    <t>1571298 Total</t>
  </si>
  <si>
    <t>1571331 Total</t>
  </si>
  <si>
    <t>1571835 Total</t>
  </si>
  <si>
    <t>1571849 Total</t>
  </si>
  <si>
    <t>1571856 Total</t>
  </si>
  <si>
    <t>1571858 Total</t>
  </si>
  <si>
    <t>1571882 Total</t>
  </si>
  <si>
    <t>1571895 Total</t>
  </si>
  <si>
    <t>1571923 Total</t>
  </si>
  <si>
    <t>1571968 Total</t>
  </si>
  <si>
    <t>1572082 Total</t>
  </si>
  <si>
    <t>1572106 Total</t>
  </si>
  <si>
    <t>1572128 Total</t>
  </si>
  <si>
    <t>1572138 Total</t>
  </si>
  <si>
    <t>1572150 Total</t>
  </si>
  <si>
    <t>1577151 Total</t>
  </si>
  <si>
    <t>1577178 Total</t>
  </si>
  <si>
    <t>1577642 Total</t>
  </si>
  <si>
    <t>1577652 Total</t>
  </si>
  <si>
    <t>1577710 Total</t>
  </si>
  <si>
    <t>1577853 Total</t>
  </si>
  <si>
    <t>1581707 Total</t>
  </si>
  <si>
    <t>1581732 Total</t>
  </si>
  <si>
    <t>1583026 Total</t>
  </si>
  <si>
    <t>1583052 Total</t>
  </si>
  <si>
    <t>1583060 Total</t>
  </si>
  <si>
    <t>1583089 Total</t>
  </si>
  <si>
    <t>1583100 Total</t>
  </si>
  <si>
    <t>1583106 Total</t>
  </si>
  <si>
    <t>1583201 Total</t>
  </si>
  <si>
    <t>1583217 Total</t>
  </si>
  <si>
    <t>1583718 Total</t>
  </si>
  <si>
    <t>1583727 Total</t>
  </si>
  <si>
    <t>1583736 Total</t>
  </si>
  <si>
    <t>1583743 Total</t>
  </si>
  <si>
    <t>1583762 Total</t>
  </si>
  <si>
    <t>1583770 Total</t>
  </si>
  <si>
    <t>1583780 Total</t>
  </si>
  <si>
    <t>1583790 Total</t>
  </si>
  <si>
    <t>1584581 Total</t>
  </si>
  <si>
    <t>1584597 Total</t>
  </si>
  <si>
    <t>1584608 Total</t>
  </si>
  <si>
    <t>1584640 Total</t>
  </si>
  <si>
    <t>1585017 Total</t>
  </si>
  <si>
    <t>1588427 Total</t>
  </si>
  <si>
    <t>1589383 Total</t>
  </si>
  <si>
    <t>1589663 Total</t>
  </si>
  <si>
    <t>1589773 Total</t>
  </si>
  <si>
    <t>1589818 Total</t>
  </si>
  <si>
    <t>1589889 Total</t>
  </si>
  <si>
    <t>1589925 Total</t>
  </si>
  <si>
    <t>1589985 Total</t>
  </si>
  <si>
    <t>1590005 Total</t>
  </si>
  <si>
    <t>1591175 Total</t>
  </si>
  <si>
    <t>1592206 Total</t>
  </si>
  <si>
    <t>1593026 Total</t>
  </si>
  <si>
    <t>1593028 Total</t>
  </si>
  <si>
    <t>1593029 Total</t>
  </si>
  <si>
    <t>1593176 Total</t>
  </si>
  <si>
    <t>1596703 Total</t>
  </si>
  <si>
    <t>1596708 Total</t>
  </si>
  <si>
    <t>1596719 Total</t>
  </si>
  <si>
    <t>1596725 Total</t>
  </si>
  <si>
    <t>1596734 Total</t>
  </si>
  <si>
    <t>1600416 Total</t>
  </si>
  <si>
    <t>1600423 Total</t>
  </si>
  <si>
    <t>1600436 Total</t>
  </si>
  <si>
    <t>1600506 Total</t>
  </si>
  <si>
    <t>1602247 Total</t>
  </si>
  <si>
    <t>1602638 Total</t>
  </si>
  <si>
    <t>1602641 Total</t>
  </si>
  <si>
    <t>1602649 Total</t>
  </si>
  <si>
    <t>1605391 Total</t>
  </si>
  <si>
    <t>1605405 Total</t>
  </si>
  <si>
    <t>1605420 Total</t>
  </si>
  <si>
    <t>1605433 Total</t>
  </si>
  <si>
    <t>1605487 Total</t>
  </si>
  <si>
    <t>1605662 Total</t>
  </si>
  <si>
    <t>1605677 Total</t>
  </si>
  <si>
    <t>1605683 Total</t>
  </si>
  <si>
    <t>1605702 Total</t>
  </si>
  <si>
    <t>1605707 Total</t>
  </si>
  <si>
    <t>1605730 Total</t>
  </si>
  <si>
    <t>1605734 Total</t>
  </si>
  <si>
    <t>1605767 Total</t>
  </si>
  <si>
    <t>1605828 Total</t>
  </si>
  <si>
    <t>1607688 Total</t>
  </si>
  <si>
    <t>1607698 Total</t>
  </si>
  <si>
    <t>1607704 Total</t>
  </si>
  <si>
    <t>1607720 Total</t>
  </si>
  <si>
    <t>1609056 Total</t>
  </si>
  <si>
    <t>1609668 Total</t>
  </si>
  <si>
    <t>1610274 Total</t>
  </si>
  <si>
    <t>1610288 Total</t>
  </si>
  <si>
    <t>1610328 Total</t>
  </si>
  <si>
    <t>1610336 Total</t>
  </si>
  <si>
    <t>1610340 Total</t>
  </si>
  <si>
    <t>1611915 Total</t>
  </si>
  <si>
    <t>1611932 Total</t>
  </si>
  <si>
    <t>1611936 Total</t>
  </si>
  <si>
    <t>1611947 Total</t>
  </si>
  <si>
    <t>1612171 Total</t>
  </si>
  <si>
    <t>1612180 Total</t>
  </si>
  <si>
    <t>1613340 Total</t>
  </si>
  <si>
    <t>1614227 Total</t>
  </si>
  <si>
    <t>1614721 Total</t>
  </si>
  <si>
    <t>1614734 Total</t>
  </si>
  <si>
    <t>1615942 Total</t>
  </si>
  <si>
    <t>1616003 Total</t>
  </si>
  <si>
    <t>1616024 Total</t>
  </si>
  <si>
    <t>1616028 Total</t>
  </si>
  <si>
    <t>1616121 Total</t>
  </si>
  <si>
    <t>1616139 Total</t>
  </si>
  <si>
    <t>1616251 Total</t>
  </si>
  <si>
    <t>1616282 Total</t>
  </si>
  <si>
    <t>1616391 Total</t>
  </si>
  <si>
    <t>1616408 Total</t>
  </si>
  <si>
    <t>1616643 Total</t>
  </si>
  <si>
    <t>1616651 Total</t>
  </si>
  <si>
    <t>1616668 Total</t>
  </si>
  <si>
    <t>1616680 Total</t>
  </si>
  <si>
    <t>1616684 Total</t>
  </si>
  <si>
    <t>1620526 Total</t>
  </si>
  <si>
    <t>1620872 Total</t>
  </si>
  <si>
    <t>1620881 Total</t>
  </si>
  <si>
    <t>1620910 Total</t>
  </si>
  <si>
    <t>1620935 Total</t>
  </si>
  <si>
    <t>1620947 Total</t>
  </si>
  <si>
    <t>1620951 Total</t>
  </si>
  <si>
    <t>1620967 Total</t>
  </si>
  <si>
    <t>1621272 Total</t>
  </si>
  <si>
    <t>1621301 Total</t>
  </si>
  <si>
    <t>1621415 Total</t>
  </si>
  <si>
    <t>1621483 Total</t>
  </si>
  <si>
    <t>1621498 Total</t>
  </si>
  <si>
    <t>1621513 Total</t>
  </si>
  <si>
    <t>1621743 Total</t>
  </si>
  <si>
    <t>1621813 Total</t>
  </si>
  <si>
    <t>1621843 Total</t>
  </si>
  <si>
    <t>1621916 Total</t>
  </si>
  <si>
    <t>1622127 Total</t>
  </si>
  <si>
    <t>1622142 Total</t>
  </si>
  <si>
    <t>1622165 Total</t>
  </si>
  <si>
    <t>1622331 Total</t>
  </si>
  <si>
    <t>1622366 Total</t>
  </si>
  <si>
    <t>1622377 Total</t>
  </si>
  <si>
    <t>1622386 Total</t>
  </si>
  <si>
    <t>1622422 Total</t>
  </si>
  <si>
    <t>1633182 Total</t>
  </si>
  <si>
    <t>1633215 Total</t>
  </si>
  <si>
    <t>1648617 Total</t>
  </si>
  <si>
    <t>1655024 Total</t>
  </si>
  <si>
    <t>1655234 Total</t>
  </si>
  <si>
    <t>1655795 Total</t>
  </si>
  <si>
    <t>1655832 Total</t>
  </si>
  <si>
    <t>1655845 Total</t>
  </si>
  <si>
    <t>1655933 Total</t>
  </si>
  <si>
    <t>1655940 Total</t>
  </si>
  <si>
    <t>1656091 Total</t>
  </si>
  <si>
    <t>1656101 Total</t>
  </si>
  <si>
    <t>1656115 Total</t>
  </si>
  <si>
    <t>1656119 Total</t>
  </si>
  <si>
    <t>1656205 Total</t>
  </si>
  <si>
    <t>1656207 Total</t>
  </si>
  <si>
    <t>1656217 Total</t>
  </si>
  <si>
    <t>1656222 Total</t>
  </si>
  <si>
    <t>1656258 Total</t>
  </si>
  <si>
    <t>1656268 Total</t>
  </si>
  <si>
    <t>1659666 Total</t>
  </si>
  <si>
    <t>1659672 Total</t>
  </si>
  <si>
    <t>1661337 Total</t>
  </si>
  <si>
    <t>1662585 Total</t>
  </si>
  <si>
    <t>1662627 Total</t>
  </si>
  <si>
    <t>1663567 Total</t>
  </si>
  <si>
    <t>1664980 Total</t>
  </si>
  <si>
    <t>1664981 Total</t>
  </si>
  <si>
    <t>1667799 Total</t>
  </si>
  <si>
    <t>1670339 Total</t>
  </si>
  <si>
    <t>1678309 Total</t>
  </si>
  <si>
    <t>1678317 Total</t>
  </si>
  <si>
    <t>1692454 Total</t>
  </si>
  <si>
    <t>1692549 Total</t>
  </si>
  <si>
    <t>1694778 Total</t>
  </si>
  <si>
    <t>1695865 Total</t>
  </si>
  <si>
    <t>1696605 Total</t>
  </si>
  <si>
    <t>1696606 Total</t>
  </si>
  <si>
    <t>1698817 Total</t>
  </si>
  <si>
    <t>1703037 Total</t>
  </si>
  <si>
    <t>1703051 Total</t>
  </si>
  <si>
    <t>1703067 Total</t>
  </si>
  <si>
    <t>1714782 Total</t>
  </si>
  <si>
    <t>1714798 Total</t>
  </si>
  <si>
    <t>1714821 Total</t>
  </si>
  <si>
    <t>1714915 Total</t>
  </si>
  <si>
    <t>1716117 Total</t>
  </si>
  <si>
    <t>1716430 Total</t>
  </si>
  <si>
    <t>1716456 Total</t>
  </si>
  <si>
    <t>1716465 Total</t>
  </si>
  <si>
    <t>1716481 Total</t>
  </si>
  <si>
    <t>1716500 Total</t>
  </si>
  <si>
    <t>1716598 Total</t>
  </si>
  <si>
    <t>1716625 Total</t>
  </si>
  <si>
    <t>1716642 Total</t>
  </si>
  <si>
    <t>1742442 Total</t>
  </si>
  <si>
    <t>1742443 Total</t>
  </si>
  <si>
    <t>1747695 Total</t>
  </si>
  <si>
    <t>1747699 Total</t>
  </si>
  <si>
    <t>1747722 Total</t>
  </si>
  <si>
    <t>1747760 Total</t>
  </si>
  <si>
    <t>1747768 Total</t>
  </si>
  <si>
    <t>1747779 Total</t>
  </si>
  <si>
    <t>1748302 Total</t>
  </si>
  <si>
    <t>1748354 Total</t>
  </si>
  <si>
    <t>1748450 Total</t>
  </si>
  <si>
    <t>1748456 Total</t>
  </si>
  <si>
    <t>1748537 Total</t>
  </si>
  <si>
    <t>1748558 Total</t>
  </si>
  <si>
    <t>1748584 Total</t>
  </si>
  <si>
    <t>1748594 Total</t>
  </si>
  <si>
    <t>1748641 Total</t>
  </si>
  <si>
    <t>1748697 Total</t>
  </si>
  <si>
    <t>1748797 Total</t>
  </si>
  <si>
    <t>1748828 Total</t>
  </si>
  <si>
    <t>1748877 Total</t>
  </si>
  <si>
    <t>1748932 Total</t>
  </si>
  <si>
    <t>1749295 Total</t>
  </si>
  <si>
    <t>1751141 Total</t>
  </si>
  <si>
    <t>1751145 Total</t>
  </si>
  <si>
    <t>1751155 Total</t>
  </si>
  <si>
    <t>1751204 Total</t>
  </si>
  <si>
    <t>1751213 Total</t>
  </si>
  <si>
    <t>1751216 Total</t>
  </si>
  <si>
    <t>1751243 Total</t>
  </si>
  <si>
    <t>1751285 Total</t>
  </si>
  <si>
    <t>1751303 Total</t>
  </si>
  <si>
    <t>1751315 Total</t>
  </si>
  <si>
    <t>1751327 Total</t>
  </si>
  <si>
    <t>1751363 Total</t>
  </si>
  <si>
    <t>1751374 Total</t>
  </si>
  <si>
    <t>1751388 Total</t>
  </si>
  <si>
    <t>1751389 Total</t>
  </si>
  <si>
    <t>1751418 Total</t>
  </si>
  <si>
    <t>1751461 Total</t>
  </si>
  <si>
    <t>1751465 Total</t>
  </si>
  <si>
    <t>1751528 Total</t>
  </si>
  <si>
    <t>1751556 Total</t>
  </si>
  <si>
    <t>1751557 Total</t>
  </si>
  <si>
    <t>1751560 Total</t>
  </si>
  <si>
    <t>1751589 Total</t>
  </si>
  <si>
    <t>1751608 Total</t>
  </si>
  <si>
    <t>1751667 Total</t>
  </si>
  <si>
    <t>1751674 Total</t>
  </si>
  <si>
    <t>1751682 Total</t>
  </si>
  <si>
    <t>1751691 Total</t>
  </si>
  <si>
    <t>1751696 Total</t>
  </si>
  <si>
    <t>1751706 Total</t>
  </si>
  <si>
    <t>1751743 Total</t>
  </si>
  <si>
    <t>1751748 Total</t>
  </si>
  <si>
    <t>1751770 Total</t>
  </si>
  <si>
    <t>1751774 Total</t>
  </si>
  <si>
    <t>1751781 Total</t>
  </si>
  <si>
    <t>1751797 Total</t>
  </si>
  <si>
    <t>1751815 Total</t>
  </si>
  <si>
    <t>1751838 Total</t>
  </si>
  <si>
    <t>1751857 Total</t>
  </si>
  <si>
    <t>1751871 Total</t>
  </si>
  <si>
    <t>1751890 Total</t>
  </si>
  <si>
    <t>1751901 Total</t>
  </si>
  <si>
    <t>1751902 Total</t>
  </si>
  <si>
    <t>1751923 Total</t>
  </si>
  <si>
    <t>1751940 Total</t>
  </si>
  <si>
    <t>1751958 Total</t>
  </si>
  <si>
    <t>1751968 Total</t>
  </si>
  <si>
    <t>1751983 Total</t>
  </si>
  <si>
    <t>1752000 Total</t>
  </si>
  <si>
    <t>1752012 Total</t>
  </si>
  <si>
    <t>1752032 Total</t>
  </si>
  <si>
    <t>1752040 Total</t>
  </si>
  <si>
    <t>1752045 Total</t>
  </si>
  <si>
    <t>1752101 Total</t>
  </si>
  <si>
    <t>1752111 Total</t>
  </si>
  <si>
    <t>1752121 Total</t>
  </si>
  <si>
    <t>1752135 Total</t>
  </si>
  <si>
    <t>1752158 Total</t>
  </si>
  <si>
    <t>1752219 Total</t>
  </si>
  <si>
    <t>1752382 Total</t>
  </si>
  <si>
    <t>1752383 Total</t>
  </si>
  <si>
    <t>1752388 Total</t>
  </si>
  <si>
    <t>1752415 Total</t>
  </si>
  <si>
    <t>1752561 Total</t>
  </si>
  <si>
    <t>1752837 Total</t>
  </si>
  <si>
    <t>1752864 Total</t>
  </si>
  <si>
    <t>1752875 Total</t>
  </si>
  <si>
    <t>1752887 Total</t>
  </si>
  <si>
    <t>1752913 Total</t>
  </si>
  <si>
    <t>1752929 Total</t>
  </si>
  <si>
    <t>1752930 Total</t>
  </si>
  <si>
    <t>1752932 Total</t>
  </si>
  <si>
    <t>1752942 Total</t>
  </si>
  <si>
    <t>1752953 Total</t>
  </si>
  <si>
    <t>1753059 Total</t>
  </si>
  <si>
    <t>1753075 Total</t>
  </si>
  <si>
    <t>1753092 Total</t>
  </si>
  <si>
    <t>1753106 Total</t>
  </si>
  <si>
    <t>1753110 Total</t>
  </si>
  <si>
    <t>1753123 Total</t>
  </si>
  <si>
    <t>1753126 Total</t>
  </si>
  <si>
    <t>1753142 Total</t>
  </si>
  <si>
    <t>1753151 Total</t>
  </si>
  <si>
    <t>1753161 Total</t>
  </si>
  <si>
    <t>1753164 Total</t>
  </si>
  <si>
    <t>1753306 Total</t>
  </si>
  <si>
    <t>1753373 Total</t>
  </si>
  <si>
    <t>1753386 Total</t>
  </si>
  <si>
    <t>1753440 Total</t>
  </si>
  <si>
    <t>1753446 Total</t>
  </si>
  <si>
    <t>1753452 Total</t>
  </si>
  <si>
    <t>1753470 Total</t>
  </si>
  <si>
    <t>1753486 Total</t>
  </si>
  <si>
    <t>1753512 Total</t>
  </si>
  <si>
    <t>1753826 Total</t>
  </si>
  <si>
    <t>1753832 Total</t>
  </si>
  <si>
    <t>1753845 Total</t>
  </si>
  <si>
    <t>1753855 Total</t>
  </si>
  <si>
    <t>1753857 Total</t>
  </si>
  <si>
    <t>1753865 Total</t>
  </si>
  <si>
    <t>1753909 Total</t>
  </si>
  <si>
    <t>1753914 Total</t>
  </si>
  <si>
    <t>1753932 Total</t>
  </si>
  <si>
    <t>1753950 Total</t>
  </si>
  <si>
    <t>1753953 Total</t>
  </si>
  <si>
    <t>1754004 Total</t>
  </si>
  <si>
    <t>1754016 Total</t>
  </si>
  <si>
    <t>1754026 Total</t>
  </si>
  <si>
    <t>1754035 Total</t>
  </si>
  <si>
    <t>1754042 Total</t>
  </si>
  <si>
    <t>1754057 Total</t>
  </si>
  <si>
    <t>1754071 Total</t>
  </si>
  <si>
    <t>1754075 Total</t>
  </si>
  <si>
    <t>1754098 Total</t>
  </si>
  <si>
    <t>1754129 Total</t>
  </si>
  <si>
    <t>1754133 Total</t>
  </si>
  <si>
    <t>1754147 Total</t>
  </si>
  <si>
    <t>1754151 Total</t>
  </si>
  <si>
    <t>1754161 Total</t>
  </si>
  <si>
    <t>1754172 Total</t>
  </si>
  <si>
    <t>1754182 Total</t>
  </si>
  <si>
    <t>1754195 Total</t>
  </si>
  <si>
    <t>1754230 Total</t>
  </si>
  <si>
    <t>1754247 Total</t>
  </si>
  <si>
    <t>1754253 Total</t>
  </si>
  <si>
    <t>1754266 Total</t>
  </si>
  <si>
    <t>1754274 Total</t>
  </si>
  <si>
    <t>1754284 Total</t>
  </si>
  <si>
    <t>1754298 Total</t>
  </si>
  <si>
    <t>1754321 Total</t>
  </si>
  <si>
    <t>1754328 Total</t>
  </si>
  <si>
    <t>1754392 Total</t>
  </si>
  <si>
    <t>1754437 Total</t>
  </si>
  <si>
    <t>1754462 Total</t>
  </si>
  <si>
    <t>1754488 Total</t>
  </si>
  <si>
    <t>1754529 Total</t>
  </si>
  <si>
    <t>1754548 Total</t>
  </si>
  <si>
    <t>1754602 Total</t>
  </si>
  <si>
    <t>1754640 Total</t>
  </si>
  <si>
    <t>1754702 Total</t>
  </si>
  <si>
    <t>1754757 Total</t>
  </si>
  <si>
    <t>1754976 Total</t>
  </si>
  <si>
    <t>1754986 Total</t>
  </si>
  <si>
    <t>1755195 Total</t>
  </si>
  <si>
    <t>1755208 Total</t>
  </si>
  <si>
    <t>1756892 Total</t>
  </si>
  <si>
    <t>1756906 Total</t>
  </si>
  <si>
    <t>1756944 Total</t>
  </si>
  <si>
    <t>1756949 Total</t>
  </si>
  <si>
    <t>1757000 Total</t>
  </si>
  <si>
    <t>1757013 Total</t>
  </si>
  <si>
    <t>1757026 Total</t>
  </si>
  <si>
    <t>1757030 Total</t>
  </si>
  <si>
    <t>1757048 Total</t>
  </si>
  <si>
    <t>1757052 Total</t>
  </si>
  <si>
    <t>1757061 Total</t>
  </si>
  <si>
    <t>1757063 Total</t>
  </si>
  <si>
    <t>1757073 Total</t>
  </si>
  <si>
    <t>1757075 Total</t>
  </si>
  <si>
    <t>1757076 Total</t>
  </si>
  <si>
    <t>1757079 Total</t>
  </si>
  <si>
    <t>1757087 Total</t>
  </si>
  <si>
    <t>1757091 Total</t>
  </si>
  <si>
    <t>1757094 Total</t>
  </si>
  <si>
    <t>1757097 Total</t>
  </si>
  <si>
    <t>1757098 Total</t>
  </si>
  <si>
    <t>1757102 Total</t>
  </si>
  <si>
    <t>1757107 Total</t>
  </si>
  <si>
    <t>1757112 Total</t>
  </si>
  <si>
    <t>1757117 Total</t>
  </si>
  <si>
    <t>1757122 Total</t>
  </si>
  <si>
    <t>1757134 Total</t>
  </si>
  <si>
    <t>1757138 Total</t>
  </si>
  <si>
    <t>1757144 Total</t>
  </si>
  <si>
    <t>1757151 Total</t>
  </si>
  <si>
    <t>1757160 Total</t>
  </si>
  <si>
    <t>1757170 Total</t>
  </si>
  <si>
    <t>1757177 Total</t>
  </si>
  <si>
    <t>1757182 Total</t>
  </si>
  <si>
    <t>1757186 Total</t>
  </si>
  <si>
    <t>1757190 Total</t>
  </si>
  <si>
    <t>1757195 Total</t>
  </si>
  <si>
    <t>1757199 Total</t>
  </si>
  <si>
    <t>1757203 Total</t>
  </si>
  <si>
    <t>1757211 Total</t>
  </si>
  <si>
    <t>1757223 Total</t>
  </si>
  <si>
    <t>1757227 Total</t>
  </si>
  <si>
    <t>1757237 Total</t>
  </si>
  <si>
    <t>1757242 Total</t>
  </si>
  <si>
    <t>1757262 Total</t>
  </si>
  <si>
    <t>1757265 Total</t>
  </si>
  <si>
    <t>1757270 Total</t>
  </si>
  <si>
    <t>1757294 Total</t>
  </si>
  <si>
    <t>1757324 Total</t>
  </si>
  <si>
    <t>1757380 Total</t>
  </si>
  <si>
    <t>1757396 Total</t>
  </si>
  <si>
    <t>1757406 Total</t>
  </si>
  <si>
    <t>1757410 Total</t>
  </si>
  <si>
    <t>1757502 Total</t>
  </si>
  <si>
    <t>1757524 Total</t>
  </si>
  <si>
    <t>1757535 Total</t>
  </si>
  <si>
    <t>1757568 Total</t>
  </si>
  <si>
    <t>1757592 Total</t>
  </si>
  <si>
    <t>1757641 Total</t>
  </si>
  <si>
    <t>1757665 Total</t>
  </si>
  <si>
    <t>1757693 Total</t>
  </si>
  <si>
    <t>1757718 Total</t>
  </si>
  <si>
    <t>1760912 Total</t>
  </si>
  <si>
    <t>1760937 Total</t>
  </si>
  <si>
    <t>1760981 Total</t>
  </si>
  <si>
    <t>1761012 Total</t>
  </si>
  <si>
    <t>1761024 Total</t>
  </si>
  <si>
    <t>1761028 Total</t>
  </si>
  <si>
    <t>1761060 Total</t>
  </si>
  <si>
    <t>1761062 Total</t>
  </si>
  <si>
    <t>1761200 Total</t>
  </si>
  <si>
    <t>1761221 Total</t>
  </si>
  <si>
    <t>1761249 Total</t>
  </si>
  <si>
    <t>1761256 Total</t>
  </si>
  <si>
    <t>1761273 Total</t>
  </si>
  <si>
    <t>1761470 Total</t>
  </si>
  <si>
    <t>1761636 Total</t>
  </si>
  <si>
    <t>1761799 Total</t>
  </si>
  <si>
    <t>1761962 Total</t>
  </si>
  <si>
    <t>1762019 Total</t>
  </si>
  <si>
    <t>1762030 Total</t>
  </si>
  <si>
    <t>1762062 Total</t>
  </si>
  <si>
    <t>1762071 Total</t>
  </si>
  <si>
    <t>1762112 Total</t>
  </si>
  <si>
    <t>1762120 Total</t>
  </si>
  <si>
    <t>1762143 Total</t>
  </si>
  <si>
    <t>1762198 Total</t>
  </si>
  <si>
    <t>1762250 Total</t>
  </si>
  <si>
    <t>1762265 Total</t>
  </si>
  <si>
    <t>1762334 Total</t>
  </si>
  <si>
    <t>1762371 Total</t>
  </si>
  <si>
    <t>1762382 Total</t>
  </si>
  <si>
    <t>1762413 Total</t>
  </si>
  <si>
    <t>1762650 Total</t>
  </si>
  <si>
    <t>1762655 Total</t>
  </si>
  <si>
    <t>1762663 Total</t>
  </si>
  <si>
    <t>1762779 Total</t>
  </si>
  <si>
    <t>1762785 Total</t>
  </si>
  <si>
    <t>1763819 Total</t>
  </si>
  <si>
    <t>1763857 Total</t>
  </si>
  <si>
    <t>1763877 Total</t>
  </si>
  <si>
    <t>1763910 Total</t>
  </si>
  <si>
    <t>1763918 Total</t>
  </si>
  <si>
    <t>1763940 Total</t>
  </si>
  <si>
    <t>1763954 Total</t>
  </si>
  <si>
    <t>1763967 Total</t>
  </si>
  <si>
    <t>1763974 Total</t>
  </si>
  <si>
    <t>1764735 Total</t>
  </si>
  <si>
    <t>1764767 Total</t>
  </si>
  <si>
    <t>1765038 Total</t>
  </si>
  <si>
    <t>1765050 Total</t>
  </si>
  <si>
    <t>1765105 Total</t>
  </si>
  <si>
    <t>1765453 Total</t>
  </si>
  <si>
    <t>1765725 Total</t>
  </si>
  <si>
    <t>1766377 Total</t>
  </si>
  <si>
    <t>1767627 Total</t>
  </si>
  <si>
    <t>1770592 Total</t>
  </si>
  <si>
    <t>1770608 Total</t>
  </si>
  <si>
    <t>1770623 Total</t>
  </si>
  <si>
    <t>1770637 Total</t>
  </si>
  <si>
    <t>1771994 Total</t>
  </si>
  <si>
    <t>1772035 Total</t>
  </si>
  <si>
    <t>1774526 Total</t>
  </si>
  <si>
    <t>1780661 Total</t>
  </si>
  <si>
    <t>1780685 Total</t>
  </si>
  <si>
    <t>1780694 Total</t>
  </si>
  <si>
    <t>1780744 Total</t>
  </si>
  <si>
    <t>1780756 Total</t>
  </si>
  <si>
    <t>1780781 Total</t>
  </si>
  <si>
    <t>1780818 Total</t>
  </si>
  <si>
    <t>1780851 Total</t>
  </si>
  <si>
    <t>1781068 Total</t>
  </si>
  <si>
    <t>1783321 Total</t>
  </si>
  <si>
    <t>1783342 Total</t>
  </si>
  <si>
    <t>1785504 Total</t>
  </si>
  <si>
    <t>1785515 Total</t>
  </si>
  <si>
    <t>1786815 Total</t>
  </si>
  <si>
    <t>1787249 Total</t>
  </si>
  <si>
    <t>1789467 Total</t>
  </si>
  <si>
    <t>1789479 Total</t>
  </si>
  <si>
    <t>1789485 Total</t>
  </si>
  <si>
    <t>1789494 Total</t>
  </si>
  <si>
    <t>1789500 Total</t>
  </si>
  <si>
    <t>1790694 Total</t>
  </si>
  <si>
    <t>1790721 Total</t>
  </si>
  <si>
    <t>1791807 Total</t>
  </si>
  <si>
    <t>1791818 Total</t>
  </si>
  <si>
    <t>1791839 Total</t>
  </si>
  <si>
    <t>1791946 Total</t>
  </si>
  <si>
    <t>1791967 Total</t>
  </si>
  <si>
    <t>1791972 Total</t>
  </si>
  <si>
    <t>1792384 Total</t>
  </si>
  <si>
    <t>1796340 Total</t>
  </si>
  <si>
    <t>1796351 Total</t>
  </si>
  <si>
    <t>1796527 Total</t>
  </si>
  <si>
    <t>1796539 Total</t>
  </si>
  <si>
    <t>1796593 Total</t>
  </si>
  <si>
    <t>1796607 Total</t>
  </si>
  <si>
    <t>1796629 Total</t>
  </si>
  <si>
    <t>1796779 Total</t>
  </si>
  <si>
    <t>1796815 Total</t>
  </si>
  <si>
    <t>1796826 Total</t>
  </si>
  <si>
    <t>1797143 Total</t>
  </si>
  <si>
    <t>1797154 Total</t>
  </si>
  <si>
    <t>1797345 Total</t>
  </si>
  <si>
    <t>1797356 Total</t>
  </si>
  <si>
    <t>1797387 Total</t>
  </si>
  <si>
    <t>1797401 Total</t>
  </si>
  <si>
    <t>1797417 Total</t>
  </si>
  <si>
    <t>1797437 Total</t>
  </si>
  <si>
    <t>1797462 Total</t>
  </si>
  <si>
    <t>1797491 Total</t>
  </si>
  <si>
    <t>1797857 Total</t>
  </si>
  <si>
    <t>1797864 Total</t>
  </si>
  <si>
    <t>1797875 Total</t>
  </si>
  <si>
    <t>1797893 Total</t>
  </si>
  <si>
    <t>1797894 Total</t>
  </si>
  <si>
    <t>1797899 Total</t>
  </si>
  <si>
    <t>1797910 Total</t>
  </si>
  <si>
    <t>1797939 Total</t>
  </si>
  <si>
    <t>1798359 Total</t>
  </si>
  <si>
    <t>1798422 Total</t>
  </si>
  <si>
    <t>1798465 Total</t>
  </si>
  <si>
    <t>1801659 Total</t>
  </si>
  <si>
    <t>1802122 Total</t>
  </si>
  <si>
    <t>1802132 Total</t>
  </si>
  <si>
    <t>1802136 Total</t>
  </si>
  <si>
    <t>1802249 Total</t>
  </si>
  <si>
    <t>1802282 Total</t>
  </si>
  <si>
    <t>1803815 Total</t>
  </si>
  <si>
    <t>1803824 Total</t>
  </si>
  <si>
    <t>1803836 Total</t>
  </si>
  <si>
    <t>1803881 Total</t>
  </si>
  <si>
    <t>1803888 Total</t>
  </si>
  <si>
    <t>1803894 Total</t>
  </si>
  <si>
    <t>1803928 Total</t>
  </si>
  <si>
    <t>1804261 Total</t>
  </si>
  <si>
    <t>1804949 Total</t>
  </si>
  <si>
    <t>1804954 Total</t>
  </si>
  <si>
    <t>1806461 Total</t>
  </si>
  <si>
    <t>1806469 Total</t>
  </si>
  <si>
    <t>1806748 Total</t>
  </si>
  <si>
    <t>1807729 Total</t>
  </si>
  <si>
    <t>1807730 Total</t>
  </si>
  <si>
    <t>1807739 Total</t>
  </si>
  <si>
    <t>1808622 Total</t>
  </si>
  <si>
    <t>1808626 Total</t>
  </si>
  <si>
    <t>1808945 Total</t>
  </si>
  <si>
    <t>1809095 Total</t>
  </si>
  <si>
    <t>1809128 Total</t>
  </si>
  <si>
    <t>1810042 Total</t>
  </si>
  <si>
    <t>1810123 Total</t>
  </si>
  <si>
    <t>1810129 Total</t>
  </si>
  <si>
    <t>1810201 Total</t>
  </si>
  <si>
    <t>1810208 Total</t>
  </si>
  <si>
    <t>1810247 Total</t>
  </si>
  <si>
    <t>1810285 Total</t>
  </si>
  <si>
    <t>1810307 Total</t>
  </si>
  <si>
    <t>1811156 Total</t>
  </si>
  <si>
    <t>1811243 Total</t>
  </si>
  <si>
    <t>1812048 Total</t>
  </si>
  <si>
    <t>1812089 Total</t>
  </si>
  <si>
    <t>1812094 Total</t>
  </si>
  <si>
    <t>1812095 Total</t>
  </si>
  <si>
    <t>1812100 Total</t>
  </si>
  <si>
    <t>1812154 Total</t>
  </si>
  <si>
    <t>1812162 Total</t>
  </si>
  <si>
    <t>1812565 Total</t>
  </si>
  <si>
    <t>1812577 Total</t>
  </si>
  <si>
    <t>1812580 Total</t>
  </si>
  <si>
    <t>1812596 Total</t>
  </si>
  <si>
    <t>1812615 Total</t>
  </si>
  <si>
    <t>1813548 Total</t>
  </si>
  <si>
    <t>1813576 Total</t>
  </si>
  <si>
    <t>1813584 Total</t>
  </si>
  <si>
    <t>1813586 Total</t>
  </si>
  <si>
    <t>1813587 Total</t>
  </si>
  <si>
    <t>1813604 Total</t>
  </si>
  <si>
    <t>1813606 Total</t>
  </si>
  <si>
    <t>1813848 Total</t>
  </si>
  <si>
    <t>1814446 Total</t>
  </si>
  <si>
    <t>1815147 Total</t>
  </si>
  <si>
    <t>1815164 Total</t>
  </si>
  <si>
    <t>1815168 Total</t>
  </si>
  <si>
    <t>1815172 Total</t>
  </si>
  <si>
    <t>1815199 Total</t>
  </si>
  <si>
    <t>1815206 Total</t>
  </si>
  <si>
    <t>1815304 Total</t>
  </si>
  <si>
    <t>1815310 Total</t>
  </si>
  <si>
    <t>1815331 Total</t>
  </si>
  <si>
    <t>1815348 Total</t>
  </si>
  <si>
    <t>1815419 Total</t>
  </si>
  <si>
    <t>1815492 Total</t>
  </si>
  <si>
    <t>1817647 Total</t>
  </si>
  <si>
    <t>1817674 Total</t>
  </si>
  <si>
    <t>1819007 Total</t>
  </si>
  <si>
    <t>1819018 Total</t>
  </si>
  <si>
    <t>1819033 Total</t>
  </si>
  <si>
    <t>1819047 Total</t>
  </si>
  <si>
    <t>1819073 Total</t>
  </si>
  <si>
    <t>1819103 Total</t>
  </si>
  <si>
    <t>1819130 Total</t>
  </si>
  <si>
    <t>1819179 Total</t>
  </si>
  <si>
    <t>1819189 Total</t>
  </si>
  <si>
    <t>1819224 Total</t>
  </si>
  <si>
    <t>1819808 Total</t>
  </si>
  <si>
    <t>1819833 Total</t>
  </si>
  <si>
    <t>1820460 Total</t>
  </si>
  <si>
    <t>1820462 Total</t>
  </si>
  <si>
    <t>1820477 Total</t>
  </si>
  <si>
    <t>1820483 Total</t>
  </si>
  <si>
    <t>1820937 Total</t>
  </si>
  <si>
    <t>1821039 Total</t>
  </si>
  <si>
    <t>1822960 Total</t>
  </si>
  <si>
    <t>1822981 Total</t>
  </si>
  <si>
    <t>1823013 Total</t>
  </si>
  <si>
    <t>1823981 Total</t>
  </si>
  <si>
    <t>1823989 Total</t>
  </si>
  <si>
    <t>1824379 Total</t>
  </si>
  <si>
    <t>1824388 Total</t>
  </si>
  <si>
    <t>1824394 Total</t>
  </si>
  <si>
    <t>1824399 Total</t>
  </si>
  <si>
    <t>1824414 Total</t>
  </si>
  <si>
    <t>1824425 Total</t>
  </si>
  <si>
    <t>1824435 Total</t>
  </si>
  <si>
    <t>1824448 Total</t>
  </si>
  <si>
    <t>1824490 Total</t>
  </si>
  <si>
    <t>1824695 Total</t>
  </si>
  <si>
    <t>1825897 Total</t>
  </si>
  <si>
    <t>1825981 Total</t>
  </si>
  <si>
    <t>1825996 Total</t>
  </si>
  <si>
    <t>1826007 Total</t>
  </si>
  <si>
    <t>1826318 Total</t>
  </si>
  <si>
    <t>1826329 Total</t>
  </si>
  <si>
    <t>1827940 Total</t>
  </si>
  <si>
    <t>1827948 Total</t>
  </si>
  <si>
    <t>1827971 Total</t>
  </si>
  <si>
    <t>1827985 Total</t>
  </si>
  <si>
    <t>1828019 Total</t>
  </si>
  <si>
    <t>1831177 Total</t>
  </si>
  <si>
    <t>1831185 Total</t>
  </si>
  <si>
    <t>1831205 Total</t>
  </si>
  <si>
    <t>1831224 Total</t>
  </si>
  <si>
    <t>1831247 Total</t>
  </si>
  <si>
    <t>1831258 Total</t>
  </si>
  <si>
    <t>1831880 Total</t>
  </si>
  <si>
    <t>1831888 Total</t>
  </si>
  <si>
    <t>1831911 Total</t>
  </si>
  <si>
    <t>1831943 Total</t>
  </si>
  <si>
    <t>1834398 Total</t>
  </si>
  <si>
    <t>1834417 Total</t>
  </si>
  <si>
    <t>1834710 Total</t>
  </si>
  <si>
    <t>1834979 Total</t>
  </si>
  <si>
    <t>1834993 Total</t>
  </si>
  <si>
    <t>1835024 Total</t>
  </si>
  <si>
    <t>1835047 Total</t>
  </si>
  <si>
    <t>1835632 Total</t>
  </si>
  <si>
    <t>1835660 Total</t>
  </si>
  <si>
    <t>1835717 Total</t>
  </si>
  <si>
    <t>1835745 Total</t>
  </si>
  <si>
    <t>1835749 Total</t>
  </si>
  <si>
    <t>1835761 Total</t>
  </si>
  <si>
    <t>1837088 Total</t>
  </si>
  <si>
    <t>1837095 Total</t>
  </si>
  <si>
    <t>1837105 Total</t>
  </si>
  <si>
    <t>1837115 Total</t>
  </si>
  <si>
    <t>1842313 Total</t>
  </si>
  <si>
    <t>1842323 Total</t>
  </si>
  <si>
    <t>1842341 Total</t>
  </si>
  <si>
    <t>1842415 Total</t>
  </si>
  <si>
    <t>1842526 Total</t>
  </si>
  <si>
    <t>1846660 Total</t>
  </si>
  <si>
    <t>1847354 Total</t>
  </si>
  <si>
    <t>1847362 Total</t>
  </si>
  <si>
    <t>1847506 Total</t>
  </si>
  <si>
    <t>1847592 Total</t>
  </si>
  <si>
    <t>1847598 Total</t>
  </si>
  <si>
    <t>1847604 Total</t>
  </si>
  <si>
    <t>1849142 Total</t>
  </si>
  <si>
    <t>1849176 Total</t>
  </si>
  <si>
    <t>1849308 Total</t>
  </si>
  <si>
    <t>1850554 Total</t>
  </si>
  <si>
    <t>1850591 Total</t>
  </si>
  <si>
    <t>1850595 Total</t>
  </si>
  <si>
    <t>1850801 Total</t>
  </si>
  <si>
    <t>1853430 Total</t>
  </si>
  <si>
    <t>1853434 Total</t>
  </si>
  <si>
    <t>1853435 Total</t>
  </si>
  <si>
    <t>1853443 Total</t>
  </si>
  <si>
    <t>1853446 Total</t>
  </si>
  <si>
    <t>1853454 Total</t>
  </si>
  <si>
    <t>1853458 Total</t>
  </si>
  <si>
    <t>1853468 Total</t>
  </si>
  <si>
    <t>1853486 Total</t>
  </si>
  <si>
    <t>1853502 Total</t>
  </si>
  <si>
    <t>1853888 Total</t>
  </si>
  <si>
    <t>1853895 Total</t>
  </si>
  <si>
    <t>1853899 Total</t>
  </si>
  <si>
    <t>1853930 Total</t>
  </si>
  <si>
    <t>1853959 Total</t>
  </si>
  <si>
    <t>1854774 Total</t>
  </si>
  <si>
    <t>1854776 Total</t>
  </si>
  <si>
    <t>1854780 Total</t>
  </si>
  <si>
    <t>1854790 Total</t>
  </si>
  <si>
    <t>1854791 Total</t>
  </si>
  <si>
    <t>1854792 Total</t>
  </si>
  <si>
    <t>1854795 Total</t>
  </si>
  <si>
    <t>1854796 Total</t>
  </si>
  <si>
    <t>1854797 Total</t>
  </si>
  <si>
    <t>1854799 Total</t>
  </si>
  <si>
    <t>1854800 Total</t>
  </si>
  <si>
    <t>1854801 Total</t>
  </si>
  <si>
    <t>1854802 Total</t>
  </si>
  <si>
    <t>1854804 Total</t>
  </si>
  <si>
    <t>1854806 Total</t>
  </si>
  <si>
    <t>1854809 Total</t>
  </si>
  <si>
    <t>1854810 Total</t>
  </si>
  <si>
    <t>1854811 Total</t>
  </si>
  <si>
    <t>1854815 Total</t>
  </si>
  <si>
    <t>1854819 Total</t>
  </si>
  <si>
    <t>1854821 Total</t>
  </si>
  <si>
    <t>1854822 Total</t>
  </si>
  <si>
    <t>1854823 Total</t>
  </si>
  <si>
    <t>1854825 Total</t>
  </si>
  <si>
    <t>1854826 Total</t>
  </si>
  <si>
    <t>1854827 Total</t>
  </si>
  <si>
    <t>1854829 Total</t>
  </si>
  <si>
    <t>1854834 Total</t>
  </si>
  <si>
    <t>1854835 Total</t>
  </si>
  <si>
    <t>1854836 Total</t>
  </si>
  <si>
    <t>1854840 Total</t>
  </si>
  <si>
    <t>1854841 Total</t>
  </si>
  <si>
    <t>1854842 Total</t>
  </si>
  <si>
    <t>1854843 Total</t>
  </si>
  <si>
    <t>1854844 Total</t>
  </si>
  <si>
    <t>1854845 Total</t>
  </si>
  <si>
    <t>1854846 Total</t>
  </si>
  <si>
    <t>1854847 Total</t>
  </si>
  <si>
    <t>1854848 Total</t>
  </si>
  <si>
    <t>1854849 Total</t>
  </si>
  <si>
    <t>1854850 Total</t>
  </si>
  <si>
    <t>1854851 Total</t>
  </si>
  <si>
    <t>1854852 Total</t>
  </si>
  <si>
    <t>1854854 Total</t>
  </si>
  <si>
    <t>1854857 Total</t>
  </si>
  <si>
    <t>1854859 Total</t>
  </si>
  <si>
    <t>1854861 Total</t>
  </si>
  <si>
    <t>1854863 Total</t>
  </si>
  <si>
    <t>1854864 Total</t>
  </si>
  <si>
    <t>1854866 Total</t>
  </si>
  <si>
    <t>1854867 Total</t>
  </si>
  <si>
    <t>1854868 Total</t>
  </si>
  <si>
    <t>1854869 Total</t>
  </si>
  <si>
    <t>1854870 Total</t>
  </si>
  <si>
    <t>1854871 Total</t>
  </si>
  <si>
    <t>1854872 Total</t>
  </si>
  <si>
    <t>1854873 Total</t>
  </si>
  <si>
    <t>1854874 Total</t>
  </si>
  <si>
    <t>1854875 Total</t>
  </si>
  <si>
    <t>1854877 Total</t>
  </si>
  <si>
    <t>1854880 Total</t>
  </si>
  <si>
    <t>1854882 Total</t>
  </si>
  <si>
    <t>1854884 Total</t>
  </si>
  <si>
    <t>1854886 Total</t>
  </si>
  <si>
    <t>1854887 Total</t>
  </si>
  <si>
    <t>1854889 Total</t>
  </si>
  <si>
    <t>1854890 Total</t>
  </si>
  <si>
    <t>1854891 Total</t>
  </si>
  <si>
    <t>1854892 Total</t>
  </si>
  <si>
    <t>1854893 Total</t>
  </si>
  <si>
    <t>1854894 Total</t>
  </si>
  <si>
    <t>1854895 Total</t>
  </si>
  <si>
    <t>1854896 Total</t>
  </si>
  <si>
    <t>1854897 Total</t>
  </si>
  <si>
    <t>1854898 Total</t>
  </si>
  <si>
    <t>1854899 Total</t>
  </si>
  <si>
    <t>1854900 Total</t>
  </si>
  <si>
    <t>1854901 Total</t>
  </si>
  <si>
    <t>1854902 Total</t>
  </si>
  <si>
    <t>1854903 Total</t>
  </si>
  <si>
    <t>1854904 Total</t>
  </si>
  <si>
    <t>1854905 Total</t>
  </si>
  <si>
    <t>1854906 Total</t>
  </si>
  <si>
    <t>1854907 Total</t>
  </si>
  <si>
    <t>1854908 Total</t>
  </si>
  <si>
    <t>1854909 Total</t>
  </si>
  <si>
    <t>1854910 Total</t>
  </si>
  <si>
    <t>1854911 Total</t>
  </si>
  <si>
    <t>1854912 Total</t>
  </si>
  <si>
    <t>1854913 Total</t>
  </si>
  <si>
    <t>1854914 Total</t>
  </si>
  <si>
    <t>1854915 Total</t>
  </si>
  <si>
    <t>1854916 Total</t>
  </si>
  <si>
    <t>1854917 Total</t>
  </si>
  <si>
    <t>1854918 Total</t>
  </si>
  <si>
    <t>1854919 Total</t>
  </si>
  <si>
    <t>1854920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</si>
</sst>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connections" Target="connection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nton/AppData/Local/Packages/microsoft.windowscommunicationsapps_8wekyb3d8bbwe/LocalState/Files/S0/4/Attachments/volume_Tested%5b3729%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n Glad" refreshedDate="44988.566740046299" createdVersion="6" refreshedVersion="6" minRefreshableVersion="3" recordCount="9807" xr:uid="{583150CE-F50D-7646-9F77-425FD59B89EA}">
  <cacheSource type="worksheet">
    <worksheetSource ref="A1:L9808" sheet=".xlsx]Sheet1" r:id="rId2"/>
  </cacheSource>
  <cacheFields count="12">
    <cacheField name="source" numFmtId="0">
      <sharedItems containsSemiMixedTypes="0" containsString="0" containsNumber="1" containsInteger="1" minValue="71007" maxValue="1854918" count="5520">
        <n v="155191"/>
        <n v="155201"/>
        <n v="155273"/>
        <n v="155289"/>
        <n v="155971"/>
        <n v="156057"/>
        <n v="156658"/>
        <n v="156671"/>
        <n v="156688"/>
        <n v="156748"/>
        <n v="156805"/>
        <n v="156820"/>
        <n v="157039"/>
        <n v="157054"/>
        <n v="157060"/>
        <n v="157084"/>
        <n v="160718"/>
        <n v="160734"/>
        <n v="160745"/>
        <n v="160806"/>
        <n v="168005"/>
        <n v="168018"/>
        <n v="168098"/>
        <n v="168099"/>
        <n v="168171"/>
        <n v="168215"/>
        <n v="179840"/>
        <n v="179953"/>
        <n v="179972"/>
        <n v="179982"/>
        <n v="179987"/>
        <n v="180551"/>
        <n v="189253"/>
        <n v="191215"/>
        <n v="191235"/>
        <n v="191263"/>
        <n v="191288"/>
        <n v="191524"/>
        <n v="195583"/>
        <n v="195595"/>
        <n v="200325"/>
        <n v="200351"/>
        <n v="203067"/>
        <n v="203093"/>
        <n v="203108"/>
        <n v="203142"/>
        <n v="203338"/>
        <n v="203361"/>
        <n v="203586"/>
        <n v="209022"/>
        <n v="210544"/>
        <n v="210545"/>
        <n v="210995"/>
        <n v="210996"/>
        <n v="211645"/>
        <n v="211646"/>
        <n v="211769"/>
        <n v="211777"/>
        <n v="211784"/>
        <n v="211798"/>
        <n v="211809"/>
        <n v="211810"/>
        <n v="211839"/>
        <n v="211952"/>
        <n v="211963"/>
        <n v="211970"/>
        <n v="211979"/>
        <n v="212002"/>
        <n v="212021"/>
        <n v="212035"/>
        <n v="212056"/>
        <n v="212063"/>
        <n v="212076"/>
        <n v="212080"/>
        <n v="212102"/>
        <n v="212103"/>
        <n v="212132"/>
        <n v="213657"/>
        <n v="213658"/>
        <n v="213685"/>
        <n v="213691"/>
        <n v="214595"/>
        <n v="214601"/>
        <n v="214619"/>
        <n v="214627"/>
        <n v="214669"/>
        <n v="218846"/>
        <n v="218879"/>
        <n v="225448"/>
        <n v="225466"/>
        <n v="225489"/>
        <n v="225526"/>
        <n v="225533"/>
        <n v="225540"/>
        <n v="225574"/>
        <n v="225625"/>
        <n v="225629"/>
        <n v="225640"/>
        <n v="225667"/>
        <n v="225766"/>
        <n v="225804"/>
        <n v="225918"/>
        <n v="226012"/>
        <n v="226102"/>
        <n v="226152"/>
        <n v="226166"/>
        <n v="226286"/>
        <n v="226287"/>
        <n v="226303"/>
        <n v="226339"/>
        <n v="226401"/>
        <n v="226402"/>
        <n v="226418"/>
        <n v="226441"/>
        <n v="226659"/>
        <n v="226733"/>
        <n v="226742"/>
        <n v="227057"/>
        <n v="228337"/>
        <n v="229298"/>
        <n v="229299"/>
        <n v="229304"/>
        <n v="229327"/>
        <n v="229357"/>
        <n v="229365"/>
        <n v="229402"/>
        <n v="229866"/>
        <n v="229905"/>
        <n v="229931"/>
        <n v="231304"/>
        <n v="231328"/>
        <n v="231348"/>
        <n v="231356"/>
        <n v="231375"/>
        <n v="231381"/>
        <n v="231392"/>
        <n v="231399"/>
        <n v="118349"/>
        <n v="232546"/>
        <n v="232551"/>
        <n v="232560"/>
        <n v="232649"/>
        <n v="232668"/>
        <n v="232683"/>
        <n v="232692"/>
        <n v="232704"/>
        <n v="232716"/>
        <n v="232751"/>
        <n v="232760"/>
        <n v="232800"/>
        <n v="232802"/>
        <n v="232815"/>
        <n v="232828"/>
        <n v="232834"/>
        <n v="232847"/>
        <n v="232855"/>
        <n v="232890"/>
        <n v="232898"/>
        <n v="232965"/>
        <n v="232977"/>
        <n v="233042"/>
        <n v="233289"/>
        <n v="233298"/>
        <n v="233322"/>
        <n v="233331"/>
        <n v="233352"/>
        <n v="233359"/>
        <n v="233695"/>
        <n v="233704"/>
        <n v="233709"/>
        <n v="233717"/>
        <n v="233723"/>
        <n v="233728"/>
        <n v="235463"/>
        <n v="235735"/>
        <n v="235743"/>
        <n v="235771"/>
        <n v="235776"/>
        <n v="235791"/>
        <n v="235797"/>
        <n v="236575"/>
        <n v="236596"/>
        <n v="236603"/>
        <n v="236709"/>
        <n v="236795"/>
        <n v="236898"/>
        <n v="236938"/>
        <n v="236957"/>
        <n v="236965"/>
        <n v="236996"/>
        <n v="237024"/>
        <n v="237118"/>
        <n v="237167"/>
        <n v="237244"/>
        <n v="237291"/>
        <n v="237352"/>
        <n v="237412"/>
        <n v="237506"/>
        <n v="237649"/>
        <n v="237654"/>
        <n v="120302"/>
        <n v="238775"/>
        <n v="238838"/>
        <n v="238846"/>
        <n v="239563"/>
        <n v="239569"/>
        <n v="240306"/>
        <n v="240312"/>
        <n v="240957"/>
        <n v="240964"/>
        <n v="240969"/>
        <n v="240978"/>
        <n v="240993"/>
        <n v="241044"/>
        <n v="241059"/>
        <n v="241176"/>
        <n v="241303"/>
        <n v="241317"/>
        <n v="241391"/>
        <n v="241432"/>
        <n v="241481"/>
        <n v="241598"/>
        <n v="244654"/>
        <n v="244655"/>
        <n v="244664"/>
        <n v="244670"/>
        <n v="244685"/>
        <n v="244696"/>
        <n v="244749"/>
        <n v="244810"/>
        <n v="245323"/>
        <n v="245339"/>
        <n v="245360"/>
        <n v="245875"/>
        <n v="245888"/>
        <n v="245898"/>
        <n v="245914"/>
        <n v="247382"/>
        <n v="247389"/>
        <n v="247395"/>
        <n v="247396"/>
        <n v="247433"/>
        <n v="247439"/>
        <n v="247458"/>
        <n v="247488"/>
        <n v="248129"/>
        <n v="248140"/>
        <n v="248857"/>
        <n v="248878"/>
        <n v="248884"/>
        <n v="249332"/>
        <n v="249333"/>
        <n v="249356"/>
        <n v="249363"/>
        <n v="249369"/>
        <n v="249375"/>
        <n v="249386"/>
        <n v="249467"/>
        <n v="249502"/>
        <n v="249509"/>
        <n v="249515"/>
        <n v="249526"/>
        <n v="249532"/>
        <n v="249558"/>
        <n v="249565"/>
        <n v="249580"/>
        <n v="249711"/>
        <n v="249765"/>
        <n v="249770"/>
        <n v="249782"/>
        <n v="253023"/>
        <n v="253044"/>
        <n v="254937"/>
        <n v="254938"/>
        <n v="254956"/>
        <n v="254984"/>
        <n v="255000"/>
        <n v="255071"/>
        <n v="255088"/>
        <n v="255966"/>
        <n v="255982"/>
        <n v="255988"/>
        <n v="256038"/>
        <n v="256046"/>
        <n v="256067"/>
        <n v="262087"/>
        <n v="262169"/>
        <n v="262196"/>
        <n v="262197"/>
        <n v="262251"/>
        <n v="262299"/>
        <n v="262303"/>
        <n v="262305"/>
        <n v="262320"/>
        <n v="262324"/>
        <n v="262339"/>
        <n v="262342"/>
        <n v="262345"/>
        <n v="262373"/>
        <n v="262389"/>
        <n v="262403"/>
        <n v="262441"/>
        <n v="262680"/>
        <n v="262873"/>
        <n v="262878"/>
        <n v="262898"/>
        <n v="262957"/>
        <n v="262962"/>
        <n v="263020"/>
        <n v="263051"/>
        <n v="263061"/>
        <n v="263081"/>
        <n v="263259"/>
        <n v="264384"/>
        <n v="264407"/>
        <n v="264414"/>
        <n v="264493"/>
        <n v="264500"/>
        <n v="264521"/>
        <n v="264541"/>
        <n v="264624"/>
        <n v="264633"/>
        <n v="264673"/>
        <n v="264680"/>
        <n v="264703"/>
        <n v="264806"/>
        <n v="264812"/>
        <n v="265029"/>
        <n v="265049"/>
        <n v="265059"/>
        <n v="265084"/>
        <n v="265123"/>
        <n v="265157"/>
        <n v="266400"/>
        <n v="266417"/>
        <n v="266557"/>
        <n v="266564"/>
        <n v="266753"/>
        <n v="266773"/>
        <n v="266787"/>
        <n v="269219"/>
        <n v="269231"/>
        <n v="273000"/>
        <n v="273005"/>
        <n v="273189"/>
        <n v="274794"/>
        <n v="274810"/>
        <n v="274832"/>
        <n v="274838"/>
        <n v="274845"/>
        <n v="274851"/>
        <n v="277299"/>
        <n v="277335"/>
        <n v="277366"/>
        <n v="277388"/>
        <n v="277472"/>
        <n v="278659"/>
        <n v="278681"/>
        <n v="278697"/>
        <n v="278701"/>
        <n v="278721"/>
        <n v="278735"/>
        <n v="271987"/>
        <n v="280386"/>
        <n v="280387"/>
        <n v="281012"/>
        <n v="281034"/>
        <n v="281197"/>
        <n v="281262"/>
        <n v="281481"/>
        <n v="281503"/>
        <n v="281516"/>
        <n v="281536"/>
        <n v="281560"/>
        <n v="281572"/>
        <n v="281603"/>
        <n v="281609"/>
        <n v="282167"/>
        <n v="282174"/>
        <n v="282297"/>
        <n v="282307"/>
        <n v="282984"/>
        <n v="282993"/>
        <n v="283308"/>
        <n v="283317"/>
        <n v="283347"/>
        <n v="283356"/>
        <n v="283357"/>
        <n v="283373"/>
        <n v="283374"/>
        <n v="283390"/>
        <n v="283407"/>
        <n v="283408"/>
        <n v="283457"/>
        <n v="283470"/>
        <n v="283477"/>
        <n v="283524"/>
        <n v="283537"/>
        <n v="283788"/>
        <n v="283795"/>
        <n v="284278"/>
        <n v="284317"/>
        <n v="284378"/>
        <n v="285567"/>
        <n v="285576"/>
        <n v="285591"/>
        <n v="285607"/>
        <n v="285639"/>
        <n v="285640"/>
        <n v="285672"/>
        <n v="285710"/>
        <n v="286997"/>
        <n v="287011"/>
        <n v="287096"/>
        <n v="287103"/>
        <n v="287104"/>
        <n v="287111"/>
        <n v="287148"/>
        <n v="287169"/>
        <n v="287246"/>
        <n v="287253"/>
        <n v="287260"/>
        <n v="287275"/>
        <n v="287773"/>
        <n v="287991"/>
        <n v="290450"/>
        <n v="290466"/>
        <n v="290493"/>
        <n v="290566"/>
        <n v="290597"/>
        <n v="290600"/>
        <n v="290615"/>
        <n v="290641"/>
        <n v="290652"/>
        <n v="290697"/>
        <n v="290791"/>
        <n v="291803"/>
        <n v="291813"/>
        <n v="291836"/>
        <n v="293267"/>
        <n v="293294"/>
        <n v="293304"/>
        <n v="293331"/>
        <n v="293381"/>
        <n v="293404"/>
        <n v="293466"/>
        <n v="293477"/>
        <n v="293574"/>
        <n v="293901"/>
        <n v="293911"/>
        <n v="293924"/>
        <n v="293942"/>
        <n v="294208"/>
        <n v="294255"/>
        <n v="294257"/>
        <n v="294287"/>
        <n v="294294"/>
        <n v="294386"/>
        <n v="294396"/>
        <n v="294402"/>
        <n v="294420"/>
        <n v="294444"/>
        <n v="294463"/>
        <n v="294481"/>
        <n v="294503"/>
        <n v="294509"/>
        <n v="294511"/>
        <n v="294517"/>
        <n v="294544"/>
        <n v="294563"/>
        <n v="294570"/>
        <n v="294585"/>
        <n v="294664"/>
        <n v="294672"/>
        <n v="294676"/>
        <n v="294691"/>
        <n v="294699"/>
        <n v="294740"/>
        <n v="294744"/>
        <n v="294756"/>
        <n v="295316"/>
        <n v="296433"/>
        <n v="298768"/>
        <n v="298863"/>
        <n v="301585"/>
        <n v="301604"/>
        <n v="306629"/>
        <n v="306697"/>
        <n v="311077"/>
        <n v="311078"/>
        <n v="311126"/>
        <n v="311127"/>
        <n v="311153"/>
        <n v="311274"/>
        <n v="311290"/>
        <n v="315681"/>
        <n v="315687"/>
        <n v="315721"/>
        <n v="315743"/>
        <n v="315764"/>
        <n v="315843"/>
        <n v="315960"/>
        <n v="317270"/>
        <n v="320473"/>
        <n v="320750"/>
        <n v="321000"/>
        <n v="321024"/>
        <n v="321025"/>
        <n v="321041"/>
        <n v="322664"/>
        <n v="322684"/>
        <n v="322691"/>
        <n v="322700"/>
        <n v="322714"/>
        <n v="322727"/>
        <n v="322733"/>
        <n v="322861"/>
        <n v="322944"/>
        <n v="323129"/>
        <n v="323187"/>
        <n v="323207"/>
        <n v="323242"/>
        <n v="323263"/>
        <n v="323274"/>
        <n v="323275"/>
        <n v="323285"/>
        <n v="323305"/>
        <n v="323325"/>
        <n v="323493"/>
        <n v="323532"/>
        <n v="323539"/>
        <n v="323564"/>
        <n v="323608"/>
        <n v="325589"/>
        <n v="325880"/>
        <n v="325894"/>
        <n v="325898"/>
        <n v="325909"/>
        <n v="325922"/>
        <n v="325977"/>
        <n v="325985"/>
        <n v="325991"/>
        <n v="326008"/>
        <n v="326013"/>
        <n v="326015"/>
        <n v="326021"/>
        <n v="326036"/>
        <n v="326063"/>
        <n v="326074"/>
        <n v="326129"/>
        <n v="326196"/>
        <n v="326204"/>
        <n v="326210"/>
        <n v="326255"/>
        <n v="326260"/>
        <n v="326281"/>
        <n v="326302"/>
        <n v="326335"/>
        <n v="326339"/>
        <n v="326368"/>
        <n v="326400"/>
        <n v="326403"/>
        <n v="326447"/>
        <n v="326477"/>
        <n v="326543"/>
        <n v="326635"/>
        <n v="327985"/>
        <n v="328004"/>
        <n v="328043"/>
        <n v="328068"/>
        <n v="328121"/>
        <n v="328160"/>
        <n v="328195"/>
        <n v="328196"/>
        <n v="328198"/>
        <n v="328199"/>
        <n v="328242"/>
        <n v="328257"/>
        <n v="328350"/>
        <n v="328440"/>
        <n v="328445"/>
        <n v="328463"/>
        <n v="328473"/>
        <n v="328491"/>
        <n v="328496"/>
        <n v="328505"/>
        <n v="328521"/>
        <n v="328540"/>
        <n v="328548"/>
        <n v="328559"/>
        <n v="328691"/>
        <n v="328697"/>
        <n v="328710"/>
        <n v="328977"/>
        <n v="329010"/>
        <n v="328968"/>
        <n v="329037"/>
        <n v="329046"/>
        <n v="329055"/>
        <n v="329068"/>
        <n v="329086"/>
        <n v="329113"/>
        <n v="329271"/>
        <n v="329309"/>
        <n v="329895"/>
        <n v="329897"/>
        <n v="329909"/>
        <n v="329919"/>
        <n v="330122"/>
        <n v="330138"/>
        <n v="330471"/>
        <n v="330472"/>
        <n v="330683"/>
        <n v="330709"/>
        <n v="330717"/>
        <n v="330727"/>
        <n v="331156"/>
        <n v="331162"/>
        <n v="331168"/>
        <n v="331175"/>
        <n v="331416"/>
        <n v="331423"/>
        <n v="331436"/>
        <n v="331452"/>
        <n v="331458"/>
        <n v="331476"/>
        <n v="331482"/>
        <n v="331497"/>
        <n v="331508"/>
        <n v="331534"/>
        <n v="331541"/>
        <n v="331553"/>
        <n v="331566"/>
        <n v="331576"/>
        <n v="331577"/>
        <n v="331611"/>
        <n v="331663"/>
        <n v="331836"/>
        <n v="331992"/>
        <n v="332224"/>
        <n v="332564"/>
        <n v="332584"/>
        <n v="332952"/>
        <n v="333222"/>
        <n v="335222"/>
        <n v="336715"/>
        <n v="336748"/>
        <n v="336754"/>
        <n v="336874"/>
        <n v="336880"/>
        <n v="336901"/>
        <n v="336975"/>
        <n v="336984"/>
        <n v="337011"/>
        <n v="337017"/>
        <n v="337162"/>
        <n v="337165"/>
        <n v="337193"/>
        <n v="337201"/>
        <n v="337260"/>
        <n v="337269"/>
        <n v="337316"/>
        <n v="337331"/>
        <n v="337350"/>
        <n v="337356"/>
        <n v="337396"/>
        <n v="337405"/>
        <n v="338533"/>
        <n v="338534"/>
        <n v="338537"/>
        <n v="338653"/>
        <n v="340036"/>
        <n v="342711"/>
        <n v="342728"/>
        <n v="342733"/>
        <n v="342754"/>
        <n v="342763"/>
        <n v="342780"/>
        <n v="342781"/>
        <n v="342810"/>
        <n v="342851"/>
        <n v="342895"/>
        <n v="342974"/>
        <n v="342997"/>
        <n v="343009"/>
        <n v="343064"/>
        <n v="343351"/>
        <n v="343717"/>
        <n v="343719"/>
        <n v="343766"/>
        <n v="343909"/>
        <n v="343924"/>
        <n v="343926"/>
        <n v="343936"/>
        <n v="343938"/>
        <n v="343979"/>
        <n v="344137"/>
        <n v="344359"/>
        <n v="344396"/>
        <n v="344397"/>
        <n v="344430"/>
        <n v="344521"/>
        <n v="344569"/>
        <n v="344663"/>
        <n v="344688"/>
        <n v="344790"/>
        <n v="344977"/>
        <n v="345153"/>
        <n v="345228"/>
        <n v="345325"/>
        <n v="345378"/>
        <n v="345441"/>
        <n v="345478"/>
        <n v="345690"/>
        <n v="345723"/>
        <n v="345748"/>
        <n v="345756"/>
        <n v="345764"/>
        <n v="346204"/>
        <n v="346249"/>
        <n v="346251"/>
        <n v="346256"/>
        <n v="346304"/>
        <n v="346324"/>
        <n v="346860"/>
        <n v="346897"/>
        <n v="346908"/>
        <n v="346916"/>
        <n v="347887"/>
        <n v="348056"/>
        <n v="348077"/>
        <n v="348108"/>
        <n v="348120"/>
        <n v="348147"/>
        <n v="348150"/>
        <n v="348174"/>
        <n v="348176"/>
        <n v="348177"/>
        <n v="348178"/>
        <n v="348200"/>
        <n v="348253"/>
        <n v="348344"/>
        <n v="348435"/>
        <n v="350592"/>
        <n v="350615"/>
        <n v="350624"/>
        <n v="350641"/>
        <n v="350946"/>
        <n v="350966"/>
        <n v="351082"/>
        <n v="351102"/>
        <n v="351244"/>
        <n v="351267"/>
        <n v="351348"/>
        <n v="351358"/>
        <n v="351455"/>
        <n v="351513"/>
        <n v="351564"/>
        <n v="351618"/>
        <n v="351788"/>
        <n v="351797"/>
        <n v="351810"/>
        <n v="351818"/>
        <n v="351827"/>
        <n v="351837"/>
        <n v="351985"/>
        <n v="351999"/>
        <n v="352008"/>
        <n v="352016"/>
        <n v="352032"/>
        <n v="352041"/>
        <n v="352182"/>
        <n v="352237"/>
        <n v="352369"/>
        <n v="352382"/>
        <n v="352446"/>
        <n v="352453"/>
        <n v="352537"/>
        <n v="352562"/>
        <n v="352622"/>
        <n v="352644"/>
        <n v="352671"/>
        <n v="352734"/>
        <n v="352755"/>
        <n v="352795"/>
        <n v="352828"/>
        <n v="352859"/>
        <n v="352867"/>
        <n v="352885"/>
        <n v="352886"/>
        <n v="352906"/>
        <n v="352913"/>
        <n v="352940"/>
        <n v="353427"/>
        <n v="353652"/>
        <n v="353679"/>
        <n v="353703"/>
        <n v="353712"/>
        <n v="353732"/>
        <n v="353738"/>
        <n v="353765"/>
        <n v="353772"/>
        <n v="353790"/>
        <n v="353969"/>
        <n v="354081"/>
        <n v="354093"/>
        <n v="354103"/>
        <n v="354134"/>
        <n v="354135"/>
        <n v="354233"/>
        <n v="354259"/>
        <n v="354310"/>
        <n v="354345"/>
        <n v="354364"/>
        <n v="354373"/>
        <n v="354422"/>
        <n v="354481"/>
        <n v="354504"/>
        <n v="354522"/>
        <n v="354561"/>
        <n v="354957"/>
        <n v="354996"/>
        <n v="355075"/>
        <n v="355108"/>
        <n v="355176"/>
        <n v="355216"/>
        <n v="355251"/>
        <n v="355270"/>
        <n v="355333"/>
        <n v="355375"/>
        <n v="355399"/>
        <n v="355403"/>
        <n v="355461"/>
        <n v="355478"/>
        <n v="355488"/>
        <n v="355549"/>
        <n v="355566"/>
        <n v="355587"/>
        <n v="355598"/>
        <n v="355609"/>
        <n v="355615"/>
        <n v="355698"/>
        <n v="355731"/>
        <n v="355738"/>
        <n v="355792"/>
        <n v="355800"/>
        <n v="355915"/>
        <n v="355924"/>
        <n v="355983"/>
        <n v="355991"/>
        <n v="356032"/>
        <n v="356058"/>
        <n v="356129"/>
        <n v="356132"/>
        <n v="356142"/>
        <n v="356184"/>
        <n v="356326"/>
        <n v="356455"/>
        <n v="356470"/>
        <n v="356488"/>
        <n v="356494"/>
        <n v="356511"/>
        <n v="356519"/>
        <n v="356523"/>
        <n v="356622"/>
        <n v="356761"/>
        <n v="356803"/>
        <n v="356849"/>
        <n v="356907"/>
        <n v="357075"/>
        <n v="357105"/>
        <n v="357714"/>
        <n v="357724"/>
        <n v="357882"/>
        <n v="357899"/>
        <n v="357958"/>
        <n v="357969"/>
        <n v="358057"/>
        <n v="358075"/>
        <n v="358109"/>
        <n v="358126"/>
        <n v="358128"/>
        <n v="358154"/>
        <n v="358164"/>
        <n v="358180"/>
        <n v="358200"/>
        <n v="358203"/>
        <n v="358209"/>
        <n v="358234"/>
        <n v="358243"/>
        <n v="358306"/>
        <n v="358325"/>
        <n v="358390"/>
        <n v="358411"/>
        <n v="358508"/>
        <n v="358561"/>
        <n v="358677"/>
        <n v="358711"/>
        <n v="358728"/>
        <n v="358763"/>
        <n v="359572"/>
        <n v="359579"/>
        <n v="359628"/>
        <n v="360325"/>
        <n v="360401"/>
        <n v="360418"/>
        <n v="360429"/>
        <n v="360430"/>
        <n v="360436"/>
        <n v="360482"/>
        <n v="360488"/>
        <n v="360497"/>
        <n v="360525"/>
        <n v="360550"/>
        <n v="360570"/>
        <n v="360654"/>
        <n v="360691"/>
        <n v="360699"/>
        <n v="360832"/>
        <n v="360841"/>
        <n v="360954"/>
        <n v="361356"/>
        <n v="361363"/>
        <n v="361383"/>
        <n v="361633"/>
        <n v="361634"/>
        <n v="361651"/>
        <n v="361978"/>
        <n v="361987"/>
        <n v="362021"/>
        <n v="362159"/>
        <n v="362173"/>
        <n v="362181"/>
        <n v="362201"/>
        <n v="362208"/>
        <n v="362298"/>
        <n v="362525"/>
        <n v="362581"/>
        <n v="362591"/>
        <n v="362597"/>
        <n v="362600"/>
        <n v="362606"/>
        <n v="362633"/>
        <n v="362648"/>
        <n v="362656"/>
        <n v="362663"/>
        <n v="362692"/>
        <n v="362740"/>
        <n v="362741"/>
        <n v="362768"/>
        <n v="362779"/>
        <n v="362789"/>
        <n v="362820"/>
        <n v="362852"/>
        <n v="362860"/>
        <n v="362870"/>
        <n v="362881"/>
        <n v="362886"/>
        <n v="362913"/>
        <n v="362945"/>
        <n v="362990"/>
        <n v="363111"/>
        <n v="363127"/>
        <n v="363147"/>
        <n v="363184"/>
        <n v="363213"/>
        <n v="363265"/>
        <n v="363266"/>
        <n v="365412"/>
        <n v="365457"/>
        <n v="365513"/>
        <n v="365525"/>
        <n v="365562"/>
        <n v="365570"/>
        <n v="365756"/>
        <n v="365968"/>
        <n v="366000"/>
        <n v="366303"/>
        <n v="366321"/>
        <n v="366503"/>
        <n v="366708"/>
        <n v="366726"/>
        <n v="366750"/>
        <n v="366751"/>
        <n v="366764"/>
        <n v="366788"/>
        <n v="366793"/>
        <n v="366797"/>
        <n v="366804"/>
        <n v="366805"/>
        <n v="366815"/>
        <n v="367380"/>
        <n v="367411"/>
        <n v="367487"/>
        <n v="367537"/>
        <n v="367572"/>
        <n v="367583"/>
        <n v="367682"/>
        <n v="367780"/>
        <n v="367843"/>
        <n v="367898"/>
        <n v="367952"/>
        <n v="367967"/>
        <n v="368012"/>
        <n v="368068"/>
        <n v="368078"/>
        <n v="368090"/>
        <n v="368382"/>
        <n v="368717"/>
        <n v="368727"/>
        <n v="368845"/>
        <n v="369019"/>
        <n v="369027"/>
        <n v="369034"/>
        <n v="369045"/>
        <n v="369340"/>
        <n v="369405"/>
        <n v="369465"/>
        <n v="369541"/>
        <n v="369720"/>
        <n v="369797"/>
        <n v="369863"/>
        <n v="369935"/>
        <n v="369942"/>
        <n v="371616"/>
        <n v="371626"/>
        <n v="371650"/>
        <n v="371674"/>
        <n v="371772"/>
        <n v="371794"/>
        <n v="371863"/>
        <n v="371880"/>
        <n v="372460"/>
        <n v="373446"/>
        <n v="373456"/>
        <n v="373466"/>
        <n v="373478"/>
        <n v="373598"/>
        <n v="374620"/>
        <n v="374652"/>
        <n v="374676"/>
        <n v="375163"/>
        <n v="375235"/>
        <n v="375433"/>
        <n v="378167"/>
        <n v="378176"/>
        <n v="378200"/>
        <n v="378304"/>
        <n v="380271"/>
        <n v="380275"/>
        <n v="381759"/>
        <n v="381770"/>
        <n v="395173"/>
        <n v="395203"/>
        <n v="396197"/>
        <n v="415877"/>
        <n v="415878"/>
        <n v="415889"/>
        <n v="417583"/>
        <n v="417666"/>
        <n v="417678"/>
        <n v="417746"/>
        <n v="420056"/>
        <n v="420193"/>
        <n v="420194"/>
        <n v="420249"/>
        <n v="420282"/>
        <n v="420571"/>
        <n v="420581"/>
        <n v="420638"/>
        <n v="420669"/>
        <n v="420697"/>
        <n v="420752"/>
        <n v="420877"/>
        <n v="420987"/>
        <n v="421123"/>
        <n v="421147"/>
        <n v="421149"/>
        <n v="421191"/>
        <n v="421214"/>
        <n v="421234"/>
        <n v="421243"/>
        <n v="421244"/>
        <n v="421593"/>
        <n v="421656"/>
        <n v="421667"/>
        <n v="424416"/>
        <n v="424445"/>
        <n v="424463"/>
        <n v="424473"/>
        <n v="424491"/>
        <n v="424499"/>
        <n v="424527"/>
        <n v="424575"/>
        <n v="425412"/>
        <n v="425421"/>
        <n v="426202"/>
        <n v="426211"/>
        <n v="427850"/>
        <n v="427851"/>
        <n v="427856"/>
        <n v="427933"/>
        <n v="429099"/>
        <n v="429183"/>
        <n v="429248"/>
        <n v="429341"/>
        <n v="429372"/>
        <n v="429381"/>
        <n v="429450"/>
        <n v="429461"/>
        <n v="429470"/>
        <n v="429490"/>
        <n v="429532"/>
        <n v="429551"/>
        <n v="429600"/>
        <n v="429621"/>
        <n v="429629"/>
        <n v="429650"/>
        <n v="429658"/>
        <n v="429678"/>
        <n v="429685"/>
        <n v="429704"/>
        <n v="429873"/>
        <n v="429906"/>
        <n v="429922"/>
        <n v="429961"/>
        <n v="429982"/>
        <n v="430004"/>
        <n v="430023"/>
        <n v="430053"/>
        <n v="430065"/>
        <n v="430066"/>
        <n v="430080"/>
        <n v="430088"/>
        <n v="430101"/>
        <n v="430110"/>
        <n v="430127"/>
        <n v="430135"/>
        <n v="430159"/>
        <n v="430192"/>
        <n v="430210"/>
        <n v="430248"/>
        <n v="430262"/>
        <n v="430263"/>
        <n v="430277"/>
        <n v="430307"/>
        <n v="430415"/>
        <n v="430426"/>
        <n v="430440"/>
        <n v="430493"/>
        <n v="430509"/>
        <n v="430510"/>
        <n v="430522"/>
        <n v="430596"/>
        <n v="430614"/>
        <n v="431853"/>
        <n v="431864"/>
        <n v="432000"/>
        <n v="432008"/>
        <n v="432412"/>
        <n v="432420"/>
        <n v="435391"/>
        <n v="435415"/>
        <n v="435463"/>
        <n v="439222"/>
        <n v="439279"/>
        <n v="439419"/>
        <n v="439440"/>
        <n v="439499"/>
        <n v="439518"/>
        <n v="439521"/>
        <n v="439557"/>
        <n v="439565"/>
        <n v="439583"/>
        <n v="441114"/>
        <n v="442791"/>
        <n v="442800"/>
        <n v="442818"/>
        <n v="442899"/>
        <n v="443012"/>
        <n v="443013"/>
        <n v="443024"/>
        <n v="443068"/>
        <n v="443901"/>
        <n v="443926"/>
        <n v="443934"/>
        <n v="443984"/>
        <n v="443992"/>
        <n v="444024"/>
        <n v="444048"/>
        <n v="444061"/>
        <n v="444070"/>
        <n v="444084"/>
        <n v="444107"/>
        <n v="444161"/>
        <n v="444178"/>
        <n v="444179"/>
        <n v="444209"/>
        <n v="444243"/>
        <n v="447314"/>
        <n v="447422"/>
        <n v="447638"/>
        <n v="448103"/>
        <n v="448138"/>
        <n v="448263"/>
        <n v="448296"/>
        <n v="448449"/>
        <n v="448573"/>
        <n v="449377"/>
        <n v="449378"/>
        <n v="449389"/>
        <n v="450262"/>
        <n v="450288"/>
        <n v="450370"/>
        <n v="450383"/>
        <n v="450461"/>
        <n v="450473"/>
        <n v="450493"/>
        <n v="450494"/>
        <n v="450508"/>
        <n v="450541"/>
        <n v="450606"/>
        <n v="451912"/>
        <n v="451921"/>
        <n v="451937"/>
        <n v="451945"/>
        <n v="451996"/>
        <n v="451997"/>
        <n v="452030"/>
        <n v="452069"/>
        <n v="452079"/>
        <n v="452095"/>
        <n v="452103"/>
        <n v="452137"/>
        <n v="452138"/>
        <n v="452142"/>
        <n v="452144"/>
        <n v="452152"/>
        <n v="452183"/>
        <n v="452232"/>
        <n v="452268"/>
        <n v="452556"/>
        <n v="452563"/>
        <n v="452606"/>
        <n v="452758"/>
        <n v="452787"/>
        <n v="452798"/>
        <n v="452816"/>
        <n v="452822"/>
        <n v="452839"/>
        <n v="452846"/>
        <n v="71007"/>
        <n v="452992"/>
        <n v="453001"/>
        <n v="456037"/>
        <n v="456045"/>
        <n v="456094"/>
        <n v="456125"/>
        <n v="456231"/>
        <n v="456366"/>
        <n v="456373"/>
        <n v="456533"/>
        <n v="456536"/>
        <n v="456544"/>
        <n v="456549"/>
        <n v="456595"/>
        <n v="456649"/>
        <n v="456658"/>
        <n v="456697"/>
        <n v="456852"/>
        <n v="458593"/>
        <n v="458600"/>
        <n v="458610"/>
        <n v="458611"/>
        <n v="458618"/>
        <n v="458634"/>
        <n v="458700"/>
        <n v="458744"/>
        <n v="460424"/>
        <n v="460432"/>
        <n v="460875"/>
        <n v="460884"/>
        <n v="460892"/>
        <n v="460914"/>
        <n v="460932"/>
        <n v="460937"/>
        <n v="460945"/>
        <n v="460963"/>
        <n v="460971"/>
        <n v="460976"/>
        <n v="460983"/>
        <n v="461013"/>
        <n v="461039"/>
        <n v="461367"/>
        <n v="461843"/>
        <n v="462606"/>
        <n v="462617"/>
        <n v="462625"/>
        <n v="462627"/>
        <n v="462634"/>
        <n v="462644"/>
        <n v="462658"/>
        <n v="462668"/>
        <n v="464856"/>
        <n v="464882"/>
        <n v="465850"/>
        <n v="465862"/>
        <n v="465868"/>
        <n v="465877"/>
        <n v="465883"/>
        <n v="465890"/>
        <n v="467585"/>
        <n v="467606"/>
        <n v="467676"/>
        <n v="467677"/>
        <n v="469707"/>
        <n v="469742"/>
        <n v="469754"/>
        <n v="469783"/>
        <n v="469799"/>
        <n v="469808"/>
        <n v="469837"/>
        <n v="472344"/>
        <n v="472605"/>
        <n v="472648"/>
        <n v="472756"/>
        <n v="472811"/>
        <n v="472818"/>
        <n v="472921"/>
        <n v="472922"/>
        <n v="473215"/>
        <n v="473226"/>
        <n v="473249"/>
        <n v="473257"/>
        <n v="473270"/>
        <n v="473308"/>
        <n v="473309"/>
        <n v="473323"/>
        <n v="473332"/>
        <n v="474029"/>
        <n v="474038"/>
        <n v="474058"/>
        <n v="474067"/>
        <n v="474526"/>
        <n v="474537"/>
        <n v="474552"/>
        <n v="474559"/>
        <n v="437364"/>
        <n v="474745"/>
        <n v="474781"/>
        <n v="474788"/>
        <n v="475173"/>
        <n v="475180"/>
        <n v="475424"/>
        <n v="475432"/>
        <n v="475459"/>
        <n v="475460"/>
        <n v="475480"/>
        <n v="475488"/>
        <n v="475506"/>
        <n v="475514"/>
        <n v="475527"/>
        <n v="475528"/>
        <n v="475562"/>
        <n v="475605"/>
        <n v="476541"/>
        <n v="476550"/>
        <n v="476859"/>
        <n v="476864"/>
        <n v="476865"/>
        <n v="476875"/>
        <n v="476876"/>
        <n v="476884"/>
        <n v="476930"/>
        <n v="476941"/>
        <n v="476947"/>
        <n v="476948"/>
        <n v="477095"/>
        <n v="477106"/>
        <n v="477134"/>
        <n v="477144"/>
        <n v="477157"/>
        <n v="477163"/>
        <n v="477288"/>
        <n v="477311"/>
        <n v="477756"/>
        <n v="477778"/>
        <n v="477789"/>
        <n v="477798"/>
        <n v="477818"/>
        <n v="477826"/>
        <n v="480048"/>
        <n v="480059"/>
        <n v="480347"/>
        <n v="480357"/>
        <n v="488387"/>
        <n v="488424"/>
        <n v="488425"/>
        <n v="488429"/>
        <n v="488432"/>
        <n v="488607"/>
        <n v="488885"/>
        <n v="488904"/>
        <n v="489013"/>
        <n v="489103"/>
        <n v="489116"/>
        <n v="489117"/>
        <n v="490103"/>
        <n v="491693"/>
        <n v="475258"/>
        <n v="509426"/>
        <n v="509456"/>
        <n v="509670"/>
        <n v="509699"/>
        <n v="509720"/>
        <n v="509753"/>
        <n v="518287"/>
        <n v="518290"/>
        <n v="518291"/>
        <n v="518297"/>
        <n v="518311"/>
        <n v="518321"/>
        <n v="518358"/>
        <n v="518382"/>
        <n v="518394"/>
        <n v="518401"/>
        <n v="518407"/>
        <n v="518424"/>
        <n v="518435"/>
        <n v="518441"/>
        <n v="518451"/>
        <n v="518461"/>
        <n v="518475"/>
        <n v="518476"/>
        <n v="518486"/>
        <n v="518488"/>
        <n v="518491"/>
        <n v="518507"/>
        <n v="518509"/>
        <n v="518528"/>
        <n v="518534"/>
        <n v="518553"/>
        <n v="518598"/>
        <n v="518640"/>
        <n v="518649"/>
        <n v="518661"/>
        <n v="518669"/>
        <n v="518709"/>
        <n v="518718"/>
        <n v="518721"/>
        <n v="518727"/>
        <n v="518771"/>
        <n v="518828"/>
        <n v="518859"/>
        <n v="518866"/>
        <n v="518869"/>
        <n v="518963"/>
        <n v="518975"/>
        <n v="518979"/>
        <n v="518981"/>
        <n v="518987"/>
        <n v="518997"/>
        <n v="519007"/>
        <n v="519021"/>
        <n v="519028"/>
        <n v="519032"/>
        <n v="519114"/>
        <n v="519124"/>
        <n v="519212"/>
        <n v="519215"/>
        <n v="519223"/>
        <n v="519245"/>
        <n v="519309"/>
        <n v="519399"/>
        <n v="519405"/>
        <n v="519480"/>
        <n v="519489"/>
        <n v="519500"/>
        <n v="519510"/>
        <n v="519536"/>
        <n v="519545"/>
        <n v="519561"/>
        <n v="519636"/>
        <n v="519657"/>
        <n v="519667"/>
        <n v="519675"/>
        <n v="356552"/>
        <n v="519702"/>
        <n v="519732"/>
        <n v="519787"/>
        <n v="519795"/>
        <n v="519818"/>
        <n v="519826"/>
        <n v="519878"/>
        <n v="519892"/>
        <n v="519910"/>
        <n v="519918"/>
        <n v="519924"/>
        <n v="519927"/>
        <n v="519943"/>
        <n v="519992"/>
        <n v="520001"/>
        <n v="520011"/>
        <n v="520034"/>
        <n v="520036"/>
        <n v="520039"/>
        <n v="520105"/>
        <n v="520106"/>
        <n v="520120"/>
        <n v="520142"/>
        <n v="520150"/>
        <n v="520155"/>
        <n v="520266"/>
        <n v="520362"/>
        <n v="520382"/>
        <n v="520391"/>
        <n v="520401"/>
        <n v="520437"/>
        <n v="520438"/>
        <n v="520469"/>
        <n v="520728"/>
        <n v="520736"/>
        <n v="520929"/>
        <n v="521003"/>
        <n v="522565"/>
        <n v="541253"/>
        <n v="541329"/>
        <n v="541335"/>
        <n v="541516"/>
        <n v="541553"/>
        <n v="541562"/>
        <n v="541600"/>
        <n v="541607"/>
        <n v="541684"/>
        <n v="541694"/>
        <n v="541703"/>
        <n v="541763"/>
        <n v="541786"/>
        <n v="541794"/>
        <n v="541900"/>
        <n v="552255"/>
        <n v="553481"/>
        <n v="553487"/>
        <n v="556360"/>
        <n v="556379"/>
        <n v="556449"/>
        <n v="556460"/>
        <n v="556473"/>
        <n v="556476"/>
        <n v="556483"/>
        <n v="556486"/>
        <n v="556935"/>
        <n v="556936"/>
        <n v="557764"/>
        <n v="557791"/>
        <n v="558078"/>
        <n v="558087"/>
        <n v="558131"/>
        <n v="567512"/>
        <n v="578126"/>
        <n v="578148"/>
        <n v="578339"/>
        <n v="578952"/>
        <n v="578966"/>
        <n v="579009"/>
        <n v="579107"/>
        <n v="579112"/>
        <n v="579130"/>
        <n v="579131"/>
        <n v="579231"/>
        <n v="579254"/>
        <n v="579669"/>
        <n v="579679"/>
        <n v="579692"/>
        <n v="579725"/>
        <n v="556603"/>
        <n v="579772"/>
        <n v="579776"/>
        <n v="579828"/>
        <n v="579836"/>
        <n v="579866"/>
        <n v="579911"/>
        <n v="550044"/>
        <n v="580351"/>
        <n v="580361"/>
        <n v="580405"/>
        <n v="580411"/>
        <n v="580470"/>
        <n v="580543"/>
        <n v="580544"/>
        <n v="580626"/>
        <n v="580657"/>
        <n v="580665"/>
        <n v="580720"/>
        <n v="580742"/>
        <n v="580840"/>
        <n v="580841"/>
        <n v="581002"/>
        <n v="581026"/>
        <n v="581033"/>
        <n v="581046"/>
        <n v="581052"/>
        <n v="581070"/>
        <n v="581371"/>
        <n v="581380"/>
        <n v="581434"/>
        <n v="581441"/>
        <n v="581535"/>
        <n v="581536"/>
        <n v="581563"/>
        <n v="581565"/>
        <n v="581625"/>
        <n v="581633"/>
        <n v="581659"/>
        <n v="581698"/>
        <n v="581806"/>
        <n v="581811"/>
        <n v="581825"/>
        <n v="581827"/>
        <n v="582037"/>
        <n v="583670"/>
        <n v="583692"/>
        <n v="583704"/>
        <n v="583729"/>
        <n v="583768"/>
        <n v="587711"/>
        <n v="590963"/>
        <n v="591378"/>
        <n v="591394"/>
        <n v="591402"/>
        <n v="591438"/>
        <n v="591465"/>
        <n v="591471"/>
        <n v="591487"/>
        <n v="591488"/>
        <n v="591512"/>
        <n v="591556"/>
        <n v="591603"/>
        <n v="591643"/>
        <n v="591868"/>
        <n v="591875"/>
        <n v="591920"/>
        <n v="591925"/>
        <n v="591986"/>
        <n v="591991"/>
        <n v="592047"/>
        <n v="592221"/>
        <n v="592876"/>
        <n v="592884"/>
        <n v="593063"/>
        <n v="593071"/>
        <n v="593191"/>
        <n v="593207"/>
        <n v="594543"/>
        <n v="594712"/>
        <n v="595476"/>
        <n v="595491"/>
        <n v="595493"/>
        <n v="595550"/>
        <n v="595726"/>
        <n v="595737"/>
        <n v="596812"/>
        <n v="597087"/>
        <n v="597195"/>
        <n v="597259"/>
        <n v="597282"/>
        <n v="597321"/>
        <n v="597364"/>
        <n v="597416"/>
        <n v="597421"/>
        <n v="597465"/>
        <n v="597468"/>
        <n v="598071"/>
        <n v="598072"/>
        <n v="598075"/>
        <n v="598097"/>
        <n v="598221"/>
        <n v="598270"/>
        <n v="599379"/>
        <n v="497797"/>
        <n v="600105"/>
        <n v="600113"/>
        <n v="600118"/>
        <n v="600119"/>
        <n v="600127"/>
        <n v="600128"/>
        <n v="600412"/>
        <n v="600471"/>
        <n v="600588"/>
        <n v="600684"/>
        <n v="600786"/>
        <n v="600792"/>
        <n v="600846"/>
        <n v="600853"/>
        <n v="600925"/>
        <n v="600928"/>
        <n v="532028"/>
        <n v="601093"/>
        <n v="601098"/>
        <n v="601125"/>
        <n v="601157"/>
        <n v="601170"/>
        <n v="601215"/>
        <n v="601229"/>
        <n v="601241"/>
        <n v="601243"/>
        <n v="601249"/>
        <n v="601262"/>
        <n v="601277"/>
        <n v="601303"/>
        <n v="601307"/>
        <n v="601308"/>
        <n v="601310"/>
        <n v="601321"/>
        <n v="601351"/>
        <n v="601371"/>
        <n v="601392"/>
        <n v="601404"/>
        <n v="601453"/>
        <n v="601474"/>
        <n v="601485"/>
        <n v="601528"/>
        <n v="601529"/>
        <n v="601542"/>
        <n v="601562"/>
        <n v="601834"/>
        <n v="601845"/>
        <n v="601899"/>
        <n v="601906"/>
        <n v="601924"/>
        <n v="601930"/>
        <n v="602181"/>
        <n v="602188"/>
        <n v="602308"/>
        <n v="602323"/>
        <n v="602337"/>
        <n v="602358"/>
        <n v="602423"/>
        <n v="604721"/>
        <n v="604762"/>
        <n v="610779"/>
        <n v="610925"/>
        <n v="610930"/>
        <n v="610996"/>
        <n v="611960"/>
        <n v="612324"/>
        <n v="612349"/>
        <n v="612380"/>
        <n v="612442"/>
        <n v="612516"/>
        <n v="613061"/>
        <n v="613106"/>
        <n v="613109"/>
        <n v="613168"/>
        <n v="613187"/>
        <n v="613192"/>
        <n v="613240"/>
        <n v="613314"/>
        <n v="619158"/>
        <n v="619175"/>
        <n v="619187"/>
        <n v="619605"/>
        <n v="619647"/>
        <n v="619977"/>
        <n v="620810"/>
        <n v="621008"/>
        <n v="621046"/>
        <n v="621071"/>
        <n v="621106"/>
        <n v="621204"/>
        <n v="621211"/>
        <n v="621252"/>
        <n v="621336"/>
        <n v="621357"/>
        <n v="621440"/>
        <n v="621454"/>
        <n v="621474"/>
        <n v="621503"/>
        <n v="621544"/>
        <n v="621546"/>
        <n v="621565"/>
        <n v="621605"/>
        <n v="621677"/>
        <n v="621683"/>
        <n v="621736"/>
        <n v="621744"/>
        <n v="621747"/>
        <n v="621751"/>
        <n v="621778"/>
        <n v="621849"/>
        <n v="621861"/>
        <n v="621868"/>
        <n v="621873"/>
        <n v="621894"/>
        <n v="621923"/>
        <n v="621971"/>
        <n v="621978"/>
        <n v="622044"/>
        <n v="622046"/>
        <n v="622054"/>
        <n v="622125"/>
        <n v="622130"/>
        <n v="622137"/>
        <n v="622201"/>
        <n v="622207"/>
        <n v="622281"/>
        <n v="622372"/>
        <n v="622381"/>
        <n v="622386"/>
        <n v="622399"/>
        <n v="622401"/>
        <n v="622445"/>
        <n v="622453"/>
        <n v="622531"/>
        <n v="622852"/>
        <n v="622875"/>
        <n v="622880"/>
        <n v="622890"/>
        <n v="622922"/>
        <n v="557387"/>
        <n v="557380"/>
        <n v="622986"/>
        <n v="623029"/>
        <n v="623076"/>
        <n v="623083"/>
        <n v="623104"/>
        <n v="623121"/>
        <n v="623147"/>
        <n v="623153"/>
        <n v="623183"/>
        <n v="623212"/>
        <n v="623449"/>
        <n v="623977"/>
        <n v="624026"/>
        <n v="624215"/>
        <n v="624887"/>
        <n v="624911"/>
        <n v="624930"/>
        <n v="624945"/>
        <n v="624946"/>
        <n v="624954"/>
        <n v="624973"/>
        <n v="625026"/>
        <n v="625111"/>
        <n v="625303"/>
        <n v="625449"/>
        <n v="625456"/>
        <n v="625470"/>
        <n v="625484"/>
        <n v="626207"/>
        <n v="626221"/>
        <n v="626235"/>
        <n v="626304"/>
        <n v="627691"/>
        <n v="627813"/>
        <n v="627828"/>
        <n v="628008"/>
        <n v="628147"/>
        <n v="628154"/>
        <n v="628790"/>
        <n v="628919"/>
        <n v="628971"/>
        <n v="629779"/>
        <n v="630485"/>
        <n v="632042"/>
        <n v="632058"/>
        <n v="632079"/>
        <n v="632085"/>
        <n v="632092"/>
        <n v="632207"/>
        <n v="632214"/>
        <n v="632222"/>
        <n v="632227"/>
        <n v="633548"/>
        <n v="633556"/>
        <n v="633563"/>
        <n v="634037"/>
        <n v="634046"/>
        <n v="634052"/>
        <n v="634065"/>
        <n v="634066"/>
        <n v="634091"/>
        <n v="634132"/>
        <n v="634214"/>
        <n v="634220"/>
        <n v="634285"/>
        <n v="634304"/>
        <n v="636874"/>
        <n v="636884"/>
        <n v="636895"/>
        <n v="636911"/>
        <n v="636918"/>
        <n v="638909"/>
        <n v="640084"/>
        <n v="640093"/>
        <n v="642730"/>
        <n v="642952"/>
        <n v="642953"/>
        <n v="642970"/>
        <n v="644770"/>
        <n v="644771"/>
        <n v="644779"/>
        <n v="645165"/>
        <n v="645174"/>
        <n v="645567"/>
        <n v="645576"/>
        <n v="645594"/>
        <n v="645595"/>
        <n v="645607"/>
        <n v="645639"/>
        <n v="645655"/>
        <n v="645755"/>
        <n v="645903"/>
        <n v="645904"/>
        <n v="645915"/>
        <n v="645922"/>
        <n v="645929"/>
        <n v="646017"/>
        <n v="646026"/>
        <n v="646035"/>
        <n v="646653"/>
        <n v="646677"/>
        <n v="647963"/>
        <n v="647964"/>
        <n v="648163"/>
        <n v="648172"/>
        <n v="648476"/>
        <n v="648519"/>
        <n v="648521"/>
        <n v="648530"/>
        <n v="648692"/>
        <n v="648709"/>
        <n v="648835"/>
        <n v="648861"/>
        <n v="648936"/>
        <n v="648992"/>
        <n v="649004"/>
        <n v="649016"/>
        <n v="649190"/>
        <n v="651465"/>
        <n v="651466"/>
        <n v="651476"/>
        <n v="651903"/>
        <n v="651911"/>
        <n v="652355"/>
        <n v="652356"/>
        <n v="652365"/>
        <n v="652383"/>
        <n v="652390"/>
        <n v="652431"/>
        <n v="652440"/>
        <n v="652447"/>
        <n v="654095"/>
        <n v="654112"/>
        <n v="654127"/>
        <n v="654132"/>
        <n v="654177"/>
        <n v="654178"/>
        <n v="654219"/>
        <n v="654306"/>
        <n v="654338"/>
        <n v="655059"/>
        <n v="655251"/>
        <n v="655285"/>
        <n v="655359"/>
        <n v="655421"/>
        <n v="655460"/>
        <n v="656404"/>
        <n v="656410"/>
        <n v="656413"/>
        <n v="656453"/>
        <n v="656459"/>
        <n v="656524"/>
        <n v="656542"/>
        <n v="656586"/>
        <n v="656662"/>
        <n v="656681"/>
        <n v="656693"/>
        <n v="656694"/>
        <n v="656705"/>
        <n v="656715"/>
        <n v="656727"/>
        <n v="656811"/>
        <n v="658638"/>
        <n v="658647"/>
        <n v="658683"/>
        <n v="658696"/>
        <n v="658705"/>
        <n v="658712"/>
        <n v="658725"/>
        <n v="658731"/>
        <n v="658732"/>
        <n v="658738"/>
        <n v="658913"/>
        <n v="658914"/>
        <n v="658941"/>
        <n v="658947"/>
        <n v="658969"/>
        <n v="659061"/>
        <n v="659063"/>
        <n v="659068"/>
        <n v="659070"/>
        <n v="660252"/>
        <n v="660263"/>
        <n v="660264"/>
        <n v="660337"/>
        <n v="660338"/>
        <n v="660365"/>
        <n v="660402"/>
        <n v="662034"/>
        <n v="662052"/>
        <n v="664358"/>
        <n v="664433"/>
        <n v="664445"/>
        <n v="664526"/>
        <n v="664567"/>
        <n v="664660"/>
        <n v="664669"/>
        <n v="664714"/>
        <n v="664746"/>
        <n v="664780"/>
        <n v="664787"/>
        <n v="664846"/>
        <n v="664894"/>
        <n v="664908"/>
        <n v="664919"/>
        <n v="664979"/>
        <n v="664993"/>
        <n v="665364"/>
        <n v="665373"/>
        <n v="665392"/>
        <n v="665422"/>
        <n v="665620"/>
        <n v="665697"/>
        <n v="665872"/>
        <n v="665874"/>
        <n v="670285"/>
        <n v="670332"/>
        <n v="672198"/>
        <n v="672413"/>
        <n v="672414"/>
        <n v="672427"/>
        <n v="672432"/>
        <n v="672660"/>
        <n v="672697"/>
        <n v="672745"/>
        <n v="672870"/>
        <n v="672879"/>
        <n v="672915"/>
        <n v="672922"/>
        <n v="672986"/>
        <n v="673072"/>
        <n v="673225"/>
        <n v="673244"/>
        <n v="673388"/>
        <n v="673409"/>
        <n v="673434"/>
        <n v="673488"/>
        <n v="673499"/>
        <n v="673584"/>
        <n v="673954"/>
        <n v="673996"/>
        <n v="674327"/>
        <n v="675246"/>
        <n v="677129"/>
        <n v="677139"/>
        <n v="687472"/>
        <n v="688441"/>
        <n v="688458"/>
        <n v="688465"/>
        <n v="690247"/>
        <n v="523187"/>
        <n v="698483"/>
        <n v="698484"/>
        <n v="698496"/>
        <n v="698505"/>
        <n v="701121"/>
        <n v="701153"/>
        <n v="701160"/>
        <n v="703261"/>
        <n v="703262"/>
        <n v="711897"/>
        <n v="711903"/>
        <n v="714553"/>
        <n v="714557"/>
        <n v="714685"/>
        <n v="714686"/>
        <n v="714694"/>
        <n v="716304"/>
        <n v="716426"/>
        <n v="716435"/>
        <n v="716483"/>
        <n v="716490"/>
        <n v="716502"/>
        <n v="716545"/>
        <n v="716569"/>
        <n v="716601"/>
        <n v="716616"/>
        <n v="716661"/>
        <n v="716681"/>
        <n v="716686"/>
        <n v="716714"/>
        <n v="716762"/>
        <n v="716775"/>
        <n v="716783"/>
        <n v="716967"/>
        <n v="717034"/>
        <n v="717057"/>
        <n v="717094"/>
        <n v="717464"/>
        <n v="717531"/>
        <n v="717549"/>
        <n v="717584"/>
        <n v="717602"/>
        <n v="717607"/>
        <n v="717654"/>
        <n v="717664"/>
        <n v="717665"/>
        <n v="717666"/>
        <n v="717670"/>
        <n v="717699"/>
        <n v="717702"/>
        <n v="717740"/>
        <n v="703449"/>
        <n v="717754"/>
        <n v="717759"/>
        <n v="717766"/>
        <n v="717788"/>
        <n v="717798"/>
        <n v="717866"/>
        <n v="717871"/>
        <n v="717890"/>
        <n v="717937"/>
        <n v="718213"/>
        <n v="718824"/>
        <n v="719129"/>
        <n v="720042"/>
        <n v="720065"/>
        <n v="720071"/>
        <n v="720094"/>
        <n v="720174"/>
        <n v="720186"/>
        <n v="720217"/>
        <n v="720220"/>
        <n v="720241"/>
        <n v="720297"/>
        <n v="720318"/>
        <n v="720333"/>
        <n v="720356"/>
        <n v="720386"/>
        <n v="720468"/>
        <n v="720476"/>
        <n v="720511"/>
        <n v="720519"/>
        <n v="720544"/>
        <n v="720577"/>
        <n v="720619"/>
        <n v="720658"/>
        <n v="720666"/>
        <n v="720685"/>
        <n v="720690"/>
        <n v="720719"/>
        <n v="720740"/>
        <n v="720757"/>
        <n v="720769"/>
        <n v="701485"/>
        <n v="720873"/>
        <n v="362919"/>
        <n v="362911"/>
        <n v="721706"/>
        <n v="723477"/>
        <n v="723483"/>
        <n v="723509"/>
        <n v="723521"/>
        <n v="723525"/>
        <n v="723528"/>
        <n v="723576"/>
        <n v="723626"/>
        <n v="723694"/>
        <n v="725657"/>
        <n v="725713"/>
        <n v="725718"/>
        <n v="725731"/>
        <n v="726939"/>
        <n v="726944"/>
        <n v="728146"/>
        <n v="728191"/>
        <n v="728196"/>
        <n v="728206"/>
        <n v="729870"/>
        <n v="729886"/>
        <n v="729893"/>
        <n v="729929"/>
        <n v="729930"/>
        <n v="729971"/>
        <n v="730001"/>
        <n v="730776"/>
        <n v="730907"/>
        <n v="731627"/>
        <n v="731635"/>
        <n v="731699"/>
        <n v="732988"/>
        <n v="732992"/>
        <n v="732993"/>
        <n v="733003"/>
        <n v="733008"/>
        <n v="733025"/>
        <n v="733032"/>
        <n v="733040"/>
        <n v="733044"/>
        <n v="733047"/>
        <n v="733058"/>
        <n v="733066"/>
        <n v="733067"/>
        <n v="733100"/>
        <n v="733111"/>
        <n v="733128"/>
        <n v="733136"/>
        <n v="733162"/>
        <n v="733177"/>
        <n v="733236"/>
        <n v="733245"/>
        <n v="733278"/>
        <n v="733283"/>
        <n v="733288"/>
        <n v="733297"/>
        <n v="733299"/>
        <n v="733314"/>
        <n v="733331"/>
        <n v="733336"/>
        <n v="733353"/>
        <n v="733360"/>
        <n v="733364"/>
        <n v="733369"/>
        <n v="733373"/>
        <n v="733378"/>
        <n v="733379"/>
        <n v="733387"/>
        <n v="733396"/>
        <n v="733403"/>
        <n v="733414"/>
        <n v="733420"/>
        <n v="733439"/>
        <n v="733448"/>
        <n v="733455"/>
        <n v="733477"/>
        <n v="733487"/>
        <n v="733524"/>
        <n v="733546"/>
        <n v="733838"/>
        <n v="734040"/>
        <n v="734047"/>
        <n v="734142"/>
        <n v="734173"/>
        <n v="734214"/>
        <n v="734246"/>
        <n v="734310"/>
        <n v="734343"/>
        <n v="734354"/>
        <n v="734391"/>
        <n v="734416"/>
        <n v="734494"/>
        <n v="734538"/>
        <n v="734559"/>
        <n v="734595"/>
        <n v="734607"/>
        <n v="734619"/>
        <n v="734641"/>
        <n v="734655"/>
        <n v="734676"/>
        <n v="734712"/>
        <n v="734737"/>
        <n v="734738"/>
        <n v="734760"/>
        <n v="734782"/>
        <n v="734783"/>
        <n v="734819"/>
        <n v="734847"/>
        <n v="734870"/>
        <n v="734879"/>
        <n v="734886"/>
        <n v="734896"/>
        <n v="734905"/>
        <n v="735844"/>
        <n v="735861"/>
        <n v="735949"/>
        <n v="735957"/>
        <n v="735985"/>
        <n v="736251"/>
        <n v="736258"/>
        <n v="736268"/>
        <n v="736289"/>
        <n v="736303"/>
        <n v="736316"/>
        <n v="736326"/>
        <n v="736331"/>
        <n v="736380"/>
        <n v="736399"/>
        <n v="736707"/>
        <n v="739490"/>
        <n v="739549"/>
        <n v="462133"/>
        <n v="741131"/>
        <n v="182158"/>
        <n v="742659"/>
        <n v="742716"/>
        <n v="742721"/>
        <n v="742743"/>
        <n v="744218"/>
        <n v="744378"/>
        <n v="744392"/>
        <n v="744645"/>
        <n v="745032"/>
        <n v="745543"/>
        <n v="749584"/>
        <n v="749662"/>
        <n v="749672"/>
        <n v="759648"/>
        <n v="761267"/>
        <n v="761571"/>
        <n v="770231"/>
        <n v="770242"/>
        <n v="770250"/>
        <n v="770267"/>
        <n v="770319"/>
        <n v="770378"/>
        <n v="775322"/>
        <n v="775347"/>
        <n v="775363"/>
        <n v="775947"/>
        <n v="778658"/>
        <n v="778667"/>
        <n v="778673"/>
        <n v="778683"/>
        <n v="779519"/>
        <n v="779973"/>
        <n v="779980"/>
        <n v="779994"/>
        <n v="779997"/>
        <n v="781274"/>
        <n v="782195"/>
        <n v="782228"/>
        <n v="783234"/>
        <n v="783308"/>
        <n v="783369"/>
        <n v="783484"/>
        <n v="783491"/>
        <n v="783522"/>
        <n v="783800"/>
        <n v="783827"/>
        <n v="784760"/>
        <n v="784781"/>
        <n v="785532"/>
        <n v="785533"/>
        <n v="785601"/>
        <n v="785616"/>
        <n v="785659"/>
        <n v="785819"/>
        <n v="785845"/>
        <n v="785961"/>
        <n v="662497"/>
        <n v="786000"/>
        <n v="786008"/>
        <n v="786013"/>
        <n v="786021"/>
        <n v="786154"/>
        <n v="786161"/>
        <n v="786184"/>
        <n v="786316"/>
        <n v="788632"/>
        <n v="788639"/>
        <n v="788643"/>
        <n v="788660"/>
        <n v="788666"/>
        <n v="788677"/>
        <n v="794410"/>
        <n v="794419"/>
        <n v="796400"/>
        <n v="796432"/>
        <n v="799009"/>
        <n v="799053"/>
        <n v="799063"/>
        <n v="799189"/>
        <n v="815421"/>
        <n v="815426"/>
        <n v="815860"/>
        <n v="815869"/>
        <n v="815870"/>
        <n v="815881"/>
        <n v="815901"/>
        <n v="815954"/>
        <n v="815956"/>
        <n v="815995"/>
        <n v="816055"/>
        <n v="816056"/>
        <n v="816078"/>
        <n v="816086"/>
        <n v="816093"/>
        <n v="816096"/>
        <n v="816104"/>
        <n v="816167"/>
        <n v="816200"/>
        <n v="816213"/>
        <n v="819028"/>
        <n v="819034"/>
        <n v="819075"/>
        <n v="819095"/>
        <n v="819124"/>
        <n v="819161"/>
        <n v="819163"/>
        <n v="819178"/>
        <n v="819251"/>
        <n v="819301"/>
        <n v="819307"/>
        <n v="819335"/>
        <n v="819432"/>
        <n v="819534"/>
        <n v="819536"/>
        <n v="819538"/>
        <n v="819544"/>
        <n v="819545"/>
        <n v="819730"/>
        <n v="819756"/>
        <n v="819821"/>
        <n v="821947"/>
        <n v="821955"/>
        <n v="821961"/>
        <n v="822354"/>
        <n v="822790"/>
        <n v="822825"/>
        <n v="491218"/>
        <n v="824295"/>
        <n v="824320"/>
        <n v="824332"/>
        <n v="824434"/>
        <n v="824494"/>
        <n v="824500"/>
        <n v="824532"/>
        <n v="824666"/>
        <n v="336016"/>
        <n v="825033"/>
        <n v="825050"/>
        <n v="825880"/>
        <n v="825888"/>
        <n v="825953"/>
        <n v="825976"/>
        <n v="826188"/>
        <n v="826237"/>
        <n v="826239"/>
        <n v="826281"/>
        <n v="829200"/>
        <n v="829208"/>
        <n v="830975"/>
        <n v="831898"/>
        <n v="831928"/>
        <n v="831950"/>
        <n v="831967"/>
        <n v="831976"/>
        <n v="832028"/>
        <n v="832043"/>
        <n v="833343"/>
        <n v="833349"/>
        <n v="833394"/>
        <n v="833417"/>
        <n v="833567"/>
        <n v="833674"/>
        <n v="833689"/>
        <n v="833730"/>
        <n v="833934"/>
        <n v="833943"/>
        <n v="833952"/>
        <n v="833968"/>
        <n v="833982"/>
        <n v="833983"/>
        <n v="834015"/>
        <n v="834022"/>
        <n v="834162"/>
        <n v="834211"/>
        <n v="834225"/>
        <n v="834256"/>
        <n v="834411"/>
        <n v="837704"/>
        <n v="837711"/>
        <n v="837718"/>
        <n v="837727"/>
        <n v="837730"/>
        <n v="837739"/>
        <n v="837790"/>
        <n v="837803"/>
        <n v="837851"/>
        <n v="861678"/>
        <n v="861689"/>
        <n v="873604"/>
        <n v="873651"/>
        <n v="873669"/>
        <n v="875429"/>
        <n v="875437"/>
        <n v="875447"/>
        <n v="875467"/>
        <n v="875532"/>
        <n v="875533"/>
        <n v="875561"/>
        <n v="875569"/>
        <n v="875575"/>
        <n v="875576"/>
        <n v="875577"/>
        <n v="875596"/>
        <n v="875625"/>
        <n v="875626"/>
        <n v="875647"/>
        <n v="875657"/>
        <n v="875686"/>
        <n v="875725"/>
        <n v="875748"/>
        <n v="875749"/>
        <n v="875772"/>
        <n v="875776"/>
        <n v="875783"/>
        <n v="875811"/>
        <n v="875825"/>
        <n v="875826"/>
        <n v="875864"/>
        <n v="875907"/>
        <n v="875934"/>
        <n v="875935"/>
        <n v="875956"/>
        <n v="876004"/>
        <n v="876034"/>
        <n v="876096"/>
        <n v="876111"/>
        <n v="876112"/>
        <n v="876128"/>
        <n v="876137"/>
        <n v="876138"/>
        <n v="876141"/>
        <n v="876164"/>
        <n v="876189"/>
        <n v="876208"/>
        <n v="876235"/>
        <n v="876260"/>
        <n v="876278"/>
        <n v="876279"/>
        <n v="876280"/>
        <n v="876296"/>
        <n v="876322"/>
        <n v="876375"/>
        <n v="879203"/>
        <n v="879226"/>
        <n v="879228"/>
        <n v="879230"/>
        <n v="879252"/>
        <n v="884120"/>
        <n v="884140"/>
        <n v="884145"/>
        <n v="884154"/>
        <n v="884168"/>
        <n v="884183"/>
        <n v="884204"/>
        <n v="884227"/>
        <n v="884247"/>
        <n v="884281"/>
        <n v="885208"/>
        <n v="886096"/>
        <n v="886113"/>
        <n v="886137"/>
        <n v="886162"/>
        <n v="886169"/>
        <n v="886184"/>
        <n v="886207"/>
        <n v="886217"/>
        <n v="886223"/>
        <n v="886251"/>
        <n v="886259"/>
        <n v="886280"/>
        <n v="887273"/>
        <n v="887369"/>
        <n v="887440"/>
        <n v="887596"/>
        <n v="887610"/>
        <n v="887638"/>
        <n v="887775"/>
        <n v="887781"/>
        <n v="887799"/>
        <n v="887813"/>
        <n v="887818"/>
        <n v="887837"/>
        <n v="891704"/>
        <n v="891807"/>
        <n v="891891"/>
        <n v="892035"/>
        <n v="892203"/>
        <n v="894261"/>
        <n v="904786"/>
        <n v="904862"/>
        <n v="904875"/>
        <n v="904884"/>
        <n v="904906"/>
        <n v="904913"/>
        <n v="904926"/>
        <n v="917641"/>
        <n v="917667"/>
        <n v="917682"/>
        <n v="917701"/>
        <n v="917710"/>
        <n v="917822"/>
        <n v="917829"/>
        <n v="917877"/>
        <n v="918793"/>
        <n v="918794"/>
        <n v="918807"/>
        <n v="918834"/>
        <n v="924946"/>
        <n v="925275"/>
        <n v="925280"/>
        <n v="925287"/>
        <n v="925298"/>
        <n v="925304"/>
        <n v="925325"/>
        <n v="925366"/>
        <n v="925392"/>
        <n v="925452"/>
        <n v="925494"/>
        <n v="925506"/>
        <n v="925520"/>
        <n v="925557"/>
        <n v="925645"/>
        <n v="925650"/>
        <n v="926783"/>
        <n v="926858"/>
        <n v="931358"/>
        <n v="931378"/>
        <n v="931384"/>
        <n v="931392"/>
        <n v="931408"/>
        <n v="931425"/>
        <n v="931426"/>
        <n v="931443"/>
        <n v="931448"/>
        <n v="931474"/>
        <n v="931480"/>
        <n v="931489"/>
        <n v="931889"/>
        <n v="931902"/>
        <n v="932076"/>
        <n v="932109"/>
        <n v="932132"/>
        <n v="932142"/>
        <n v="932143"/>
        <n v="932150"/>
        <n v="932154"/>
        <n v="932162"/>
        <n v="932176"/>
        <n v="932204"/>
        <n v="932208"/>
        <n v="932219"/>
        <n v="932272"/>
        <n v="932283"/>
        <n v="932313"/>
        <n v="932344"/>
        <n v="932479"/>
        <n v="932541"/>
        <n v="932621"/>
        <n v="932927"/>
        <n v="933039"/>
        <n v="933110"/>
        <n v="933231"/>
        <n v="935246"/>
        <n v="935300"/>
        <n v="936107"/>
        <n v="936120"/>
        <n v="936141"/>
        <n v="936154"/>
        <n v="936166"/>
        <n v="938346"/>
        <n v="938470"/>
        <n v="938601"/>
        <n v="938613"/>
        <n v="938617"/>
        <n v="938628"/>
        <n v="938655"/>
        <n v="938693"/>
        <n v="938704"/>
        <n v="938710"/>
        <n v="938857"/>
        <n v="938863"/>
        <n v="938882"/>
        <n v="938917"/>
        <n v="939195"/>
        <n v="939218"/>
        <n v="939223"/>
        <n v="939234"/>
        <n v="939248"/>
        <n v="939197"/>
        <n v="939294"/>
        <n v="939314"/>
        <n v="939318"/>
        <n v="939320"/>
        <n v="939342"/>
        <n v="939358"/>
        <n v="941221"/>
        <n v="941238"/>
        <n v="941253"/>
        <n v="941480"/>
        <n v="941484"/>
        <n v="941485"/>
        <n v="941510"/>
        <n v="942412"/>
        <n v="942426"/>
        <n v="943010"/>
        <n v="943019"/>
        <n v="943332"/>
        <n v="943505"/>
        <n v="943529"/>
        <n v="943544"/>
        <n v="943557"/>
        <n v="943611"/>
        <n v="943621"/>
        <n v="943627"/>
        <n v="943633"/>
        <n v="943903"/>
        <n v="943904"/>
        <n v="943905"/>
        <n v="943911"/>
        <n v="944071"/>
        <n v="944549"/>
        <n v="945099"/>
        <n v="945214"/>
        <n v="945232"/>
        <n v="945283"/>
        <n v="945313"/>
        <n v="945323"/>
        <n v="945347"/>
        <n v="945350"/>
        <n v="945379"/>
        <n v="945385"/>
        <n v="945389"/>
        <n v="945394"/>
        <n v="945406"/>
        <n v="945412"/>
        <n v="945420"/>
        <n v="945426"/>
        <n v="945433"/>
        <n v="945503"/>
        <n v="945504"/>
        <n v="945511"/>
        <n v="945527"/>
        <n v="945545"/>
        <n v="945654"/>
        <n v="945732"/>
        <n v="945782"/>
        <n v="946415"/>
        <n v="946722"/>
        <n v="946730"/>
        <n v="946757"/>
        <n v="946758"/>
        <n v="947480"/>
        <n v="947481"/>
        <n v="947482"/>
        <n v="947533"/>
        <n v="947539"/>
        <n v="947589"/>
        <n v="947773"/>
        <n v="947796"/>
        <n v="947811"/>
        <n v="947841"/>
        <n v="947843"/>
        <n v="947845"/>
        <n v="947862"/>
        <n v="947863"/>
        <n v="947864"/>
        <n v="947931"/>
        <n v="283417"/>
        <n v="949503"/>
        <n v="950581"/>
        <n v="758885"/>
        <n v="950599"/>
        <n v="950607"/>
        <n v="950825"/>
        <n v="951384"/>
        <n v="951391"/>
        <n v="951394"/>
        <n v="951397"/>
        <n v="951446"/>
        <n v="951989"/>
        <n v="952049"/>
        <n v="952202"/>
        <n v="954119"/>
        <n v="954204"/>
        <n v="954206"/>
        <n v="954240"/>
        <n v="954266"/>
        <n v="954267"/>
        <n v="955522"/>
        <n v="955547"/>
        <n v="955573"/>
        <n v="955588"/>
        <n v="955598"/>
        <n v="956645"/>
        <n v="956910"/>
        <n v="957006"/>
        <n v="957034"/>
        <n v="957739"/>
        <n v="959683"/>
        <n v="959684"/>
        <n v="959720"/>
        <n v="959728"/>
        <n v="959749"/>
        <n v="959755"/>
        <n v="959763"/>
        <n v="959784"/>
        <n v="959793"/>
        <n v="959826"/>
        <n v="959837"/>
        <n v="959838"/>
        <n v="959897"/>
        <n v="960370"/>
        <n v="960480"/>
        <n v="960508"/>
        <n v="960514"/>
        <n v="960522"/>
        <n v="960532"/>
        <n v="961913"/>
        <n v="961931"/>
        <n v="967970"/>
        <n v="969833"/>
        <n v="969841"/>
        <n v="969951"/>
        <n v="969952"/>
        <n v="969965"/>
        <n v="969972"/>
        <n v="969986"/>
        <n v="970013"/>
        <n v="970035"/>
        <n v="970036"/>
        <n v="972029"/>
        <n v="972160"/>
        <n v="972167"/>
        <n v="972234"/>
        <n v="973741"/>
        <n v="973790"/>
        <n v="974178"/>
        <n v="974186"/>
        <n v="974427"/>
        <n v="974613"/>
        <n v="974682"/>
        <n v="974734"/>
        <n v="974757"/>
        <n v="974792"/>
        <n v="974806"/>
        <n v="974856"/>
        <n v="974896"/>
        <n v="975050"/>
        <n v="975074"/>
        <n v="975097"/>
        <n v="975129"/>
        <n v="975259"/>
        <n v="975260"/>
        <n v="975271"/>
        <n v="975277"/>
        <n v="975290"/>
        <n v="975318"/>
        <n v="975338"/>
        <n v="975404"/>
        <n v="975434"/>
        <n v="975586"/>
        <n v="975600"/>
        <n v="975604"/>
        <n v="975612"/>
        <n v="975624"/>
        <n v="975765"/>
        <n v="975964"/>
        <n v="978654"/>
        <n v="978711"/>
        <n v="978729"/>
        <n v="978776"/>
        <n v="978900"/>
        <n v="978910"/>
        <n v="978917"/>
        <n v="978925"/>
        <n v="978940"/>
        <n v="978944"/>
        <n v="978960"/>
        <n v="978966"/>
        <n v="978982"/>
        <n v="978989"/>
        <n v="979004"/>
        <n v="979009"/>
        <n v="979025"/>
        <n v="979032"/>
        <n v="979042"/>
        <n v="979051"/>
        <n v="979079"/>
        <n v="979086"/>
        <n v="979107"/>
        <n v="979116"/>
        <n v="979158"/>
        <n v="979167"/>
        <n v="979185"/>
        <n v="979194"/>
        <n v="979213"/>
        <n v="979223"/>
        <n v="979240"/>
        <n v="979244"/>
        <n v="979256"/>
        <n v="979263"/>
        <n v="965032"/>
        <n v="979285"/>
        <n v="967923"/>
        <n v="979334"/>
        <n v="979343"/>
        <n v="980688"/>
        <n v="980846"/>
        <n v="980994"/>
        <n v="981021"/>
        <n v="981042"/>
        <n v="981050"/>
        <n v="981072"/>
        <n v="981094"/>
        <n v="981107"/>
        <n v="981280"/>
        <n v="981995"/>
        <n v="982136"/>
        <n v="982150"/>
        <n v="982247"/>
        <n v="982265"/>
        <n v="982276"/>
        <n v="982297"/>
        <n v="982313"/>
        <n v="982335"/>
        <n v="982469"/>
        <n v="982684"/>
        <n v="982690"/>
        <n v="982718"/>
        <n v="982778"/>
        <n v="982868"/>
        <n v="982902"/>
        <n v="982945"/>
        <n v="982946"/>
        <n v="982959"/>
        <n v="982982"/>
        <n v="982999"/>
        <n v="983026"/>
        <n v="983044"/>
        <n v="983068"/>
        <n v="983113"/>
        <n v="983121"/>
        <n v="983138"/>
        <n v="983147"/>
        <n v="983161"/>
        <n v="983309"/>
        <n v="984889"/>
        <n v="984897"/>
        <n v="990173"/>
        <n v="990330"/>
        <n v="990343"/>
        <n v="990374"/>
        <n v="990410"/>
        <n v="990511"/>
        <n v="990517"/>
        <n v="991174"/>
        <n v="967077"/>
        <n v="1000179"/>
        <n v="1000215"/>
        <n v="1005467"/>
        <n v="1005475"/>
        <n v="1005498"/>
        <n v="1005504"/>
        <n v="1005585"/>
        <n v="1006350"/>
        <n v="1006359"/>
        <n v="1006457"/>
        <n v="1006461"/>
        <n v="1006470"/>
        <n v="1006555"/>
        <n v="1006563"/>
        <n v="1008753"/>
        <n v="1009265"/>
        <n v="1009283"/>
        <n v="1009290"/>
        <n v="1009482"/>
        <n v="1009509"/>
        <n v="1009522"/>
        <n v="1009585"/>
        <n v="1009592"/>
        <n v="1010517"/>
        <n v="1010518"/>
        <n v="1010533"/>
        <n v="1010588"/>
        <n v="1010589"/>
        <n v="1010605"/>
        <n v="1010615"/>
        <n v="1010628"/>
        <n v="1010664"/>
        <n v="1010689"/>
        <n v="1010704"/>
        <n v="1010761"/>
        <n v="1011342"/>
        <n v="1011677"/>
        <n v="1011683"/>
        <n v="1011746"/>
        <n v="1011753"/>
        <n v="1011782"/>
        <n v="1011802"/>
        <n v="1011830"/>
        <n v="1011864"/>
        <n v="1011872"/>
        <n v="1011880"/>
        <n v="1011881"/>
        <n v="1011888"/>
        <n v="1012112"/>
        <n v="1012119"/>
        <n v="1012182"/>
        <n v="1012188"/>
        <n v="1012209"/>
        <n v="1012229"/>
        <n v="1012251"/>
        <n v="1012269"/>
        <n v="1012284"/>
        <n v="1012303"/>
        <n v="1012328"/>
        <n v="1012342"/>
        <n v="1012360"/>
        <n v="1012412"/>
        <n v="1012426"/>
        <n v="1012457"/>
        <n v="1012469"/>
        <n v="1012611"/>
        <n v="1012617"/>
        <n v="1012673"/>
        <n v="1012680"/>
        <n v="1012732"/>
        <n v="1012738"/>
        <n v="1012835"/>
        <n v="1013582"/>
        <n v="1013609"/>
        <n v="1013623"/>
        <n v="1014439"/>
        <n v="1014512"/>
        <n v="1014519"/>
        <n v="1014554"/>
        <n v="1014768"/>
        <n v="1014784"/>
        <n v="1014792"/>
        <n v="1014808"/>
        <n v="1014838"/>
        <n v="1014847"/>
        <n v="1014856"/>
        <n v="1014871"/>
        <n v="1014903"/>
        <n v="1014922"/>
        <n v="1014951"/>
        <n v="1014952"/>
        <n v="1014967"/>
        <n v="1015021"/>
        <n v="1015538"/>
        <n v="1015574"/>
        <n v="1016487"/>
        <n v="1016494"/>
        <n v="1016544"/>
        <n v="1016548"/>
        <n v="1016827"/>
        <n v="1016866"/>
        <n v="1016873"/>
        <n v="1016906"/>
        <n v="1016951"/>
        <n v="1016957"/>
        <n v="1016986"/>
        <n v="1016991"/>
        <n v="1017172"/>
        <n v="1017217"/>
        <n v="1017224"/>
        <n v="1017229"/>
        <n v="1017232"/>
        <n v="1017272"/>
        <n v="1017276"/>
        <n v="1017306"/>
        <n v="1017346"/>
        <n v="1017353"/>
        <n v="1017380"/>
        <n v="1017485"/>
        <n v="917559"/>
        <n v="1017650"/>
        <n v="1017764"/>
        <n v="1024104"/>
        <n v="1025102"/>
        <n v="1025129"/>
        <n v="1025182"/>
        <n v="1025265"/>
        <n v="1025282"/>
        <n v="1025294"/>
        <n v="1025295"/>
        <n v="1025340"/>
        <n v="1025385"/>
        <n v="1025434"/>
        <n v="1025460"/>
        <n v="1025518"/>
        <n v="1027717"/>
        <n v="1032535"/>
        <n v="1032542"/>
        <n v="1034617"/>
        <n v="1034625"/>
        <n v="1034671"/>
        <n v="1034678"/>
        <n v="1034760"/>
        <n v="1035179"/>
        <n v="1035188"/>
        <n v="1036367"/>
        <n v="1036375"/>
        <n v="1036502"/>
        <n v="1036510"/>
        <n v="1036515"/>
        <n v="1039413"/>
        <n v="1039517"/>
        <n v="1039523"/>
        <n v="1039958"/>
        <n v="1040580"/>
        <n v="1040588"/>
        <n v="1045070"/>
        <n v="1045653"/>
        <n v="1045917"/>
        <n v="1045935"/>
        <n v="1045967"/>
        <n v="1046032"/>
        <n v="1046131"/>
        <n v="1046136"/>
        <n v="1046163"/>
        <n v="1046787"/>
        <n v="1046814"/>
        <n v="1047231"/>
        <n v="1047239"/>
        <n v="1047244"/>
        <n v="1047260"/>
        <n v="1047261"/>
        <n v="1047265"/>
        <n v="1047266"/>
        <n v="1047298"/>
        <n v="1047372"/>
        <n v="1048357"/>
        <n v="1048365"/>
        <n v="1048717"/>
        <n v="1050036"/>
        <n v="1050042"/>
        <n v="1050165"/>
        <n v="1050182"/>
        <n v="1052200"/>
        <n v="1052261"/>
        <n v="1052277"/>
        <n v="1052295"/>
        <n v="1052349"/>
        <n v="1052468"/>
        <n v="1052469"/>
        <n v="1052490"/>
        <n v="1052653"/>
        <n v="1052672"/>
        <n v="1052697"/>
        <n v="1052723"/>
        <n v="1055223"/>
        <n v="1055491"/>
        <n v="1055557"/>
        <n v="1055588"/>
        <n v="1055873"/>
        <n v="1055926"/>
        <n v="1055983"/>
        <n v="1055996"/>
        <n v="1056034"/>
        <n v="1056112"/>
        <n v="1056318"/>
        <n v="1056328"/>
        <n v="1056333"/>
        <n v="1056348"/>
        <n v="1056976"/>
        <n v="1057017"/>
        <n v="1057080"/>
        <n v="1057095"/>
        <n v="1057160"/>
        <n v="1057187"/>
        <n v="1057190"/>
        <n v="1057323"/>
        <n v="1057332"/>
        <n v="1057370"/>
        <n v="1057372"/>
        <n v="1057387"/>
        <n v="1057444"/>
        <n v="1057487"/>
        <n v="1057530"/>
        <n v="1057562"/>
        <n v="1057604"/>
        <n v="1057633"/>
        <n v="1057672"/>
        <n v="1057755"/>
        <n v="1057770"/>
        <n v="1057806"/>
        <n v="1058097"/>
        <n v="1058176"/>
        <n v="1058190"/>
        <n v="1058240"/>
        <n v="1058249"/>
        <n v="1058347"/>
        <n v="1058365"/>
        <n v="1058382"/>
        <n v="1058387"/>
        <n v="1058398"/>
        <n v="1058407"/>
        <n v="1058417"/>
        <n v="1058439"/>
        <n v="1058491"/>
        <n v="1058610"/>
        <n v="1058630"/>
        <n v="1058655"/>
        <n v="1058716"/>
        <n v="1058758"/>
        <n v="1058793"/>
        <n v="1058799"/>
        <n v="1058810"/>
        <n v="1058861"/>
        <n v="1058899"/>
        <n v="1058976"/>
        <n v="1058987"/>
        <n v="1059028"/>
        <n v="1059046"/>
        <n v="1059135"/>
        <n v="1059152"/>
        <n v="1059203"/>
        <n v="1059210"/>
        <n v="1059219"/>
        <n v="1059242"/>
        <n v="1059253"/>
        <n v="1059259"/>
        <n v="1059381"/>
        <n v="1059389"/>
        <n v="1059392"/>
        <n v="1059395"/>
        <n v="1059398"/>
        <n v="1059408"/>
        <n v="1059419"/>
        <n v="1059506"/>
        <n v="1059507"/>
        <n v="1059571"/>
        <n v="1059578"/>
        <n v="1059637"/>
        <n v="1059644"/>
        <n v="1059736"/>
        <n v="1062663"/>
        <n v="1062678"/>
        <n v="1062685"/>
        <n v="1062692"/>
        <n v="1062704"/>
        <n v="1062726"/>
        <n v="1062743"/>
        <n v="1062746"/>
        <n v="1062751"/>
        <n v="1062776"/>
        <n v="1062778"/>
        <n v="1062787"/>
        <n v="1062794"/>
        <n v="1062825"/>
        <n v="1062865"/>
        <n v="1062934"/>
        <n v="1062950"/>
        <n v="1062985"/>
        <n v="1063054"/>
        <n v="1063555"/>
        <n v="1063574"/>
        <n v="1063619"/>
        <n v="1063635"/>
        <n v="1063763"/>
        <n v="1063773"/>
        <n v="1063790"/>
        <n v="1063801"/>
        <n v="1063833"/>
        <n v="1063849"/>
        <n v="1063880"/>
        <n v="1063989"/>
        <n v="1063995"/>
        <n v="1064000"/>
        <n v="1064048"/>
        <n v="1064059"/>
        <n v="1064066"/>
        <n v="1064165"/>
        <n v="1064174"/>
        <n v="1064200"/>
        <n v="1064212"/>
        <n v="1064217"/>
        <n v="1064239"/>
        <n v="1064252"/>
        <n v="1064253"/>
        <n v="1064381"/>
        <n v="1064427"/>
        <n v="1064864"/>
        <n v="1064945"/>
        <n v="1064985"/>
        <n v="1065033"/>
        <n v="1067528"/>
        <n v="1067554"/>
        <n v="1067571"/>
        <n v="1067598"/>
        <n v="1068469"/>
        <n v="1068477"/>
        <n v="1068485"/>
        <n v="1068515"/>
        <n v="1068550"/>
        <n v="1068586"/>
        <n v="1068594"/>
        <n v="1068637"/>
        <n v="1068643"/>
        <n v="1068655"/>
        <n v="1068661"/>
        <n v="1068752"/>
        <n v="1068757"/>
        <n v="1068811"/>
        <n v="1068920"/>
        <n v="1071996"/>
        <n v="1072002"/>
        <n v="1072028"/>
        <n v="1072147"/>
        <n v="1072162"/>
        <n v="1072163"/>
        <n v="1072171"/>
        <n v="1072176"/>
        <n v="1072210"/>
        <n v="1072216"/>
        <n v="1072217"/>
        <n v="1074825"/>
        <n v="1074865"/>
        <n v="1074891"/>
        <n v="1074899"/>
        <n v="1074921"/>
        <n v="1074923"/>
        <n v="1076967"/>
        <n v="1077009"/>
        <n v="1077029"/>
        <n v="1077405"/>
        <n v="1077436"/>
        <n v="1077507"/>
        <n v="1077626"/>
        <n v="1077636"/>
        <n v="1077662"/>
        <n v="1077692"/>
        <n v="1077722"/>
        <n v="1077734"/>
        <n v="1081908"/>
        <n v="1081914"/>
        <n v="1081920"/>
        <n v="1081930"/>
        <n v="1081938"/>
        <n v="1081951"/>
        <n v="1082364"/>
        <n v="1082414"/>
        <n v="1082487"/>
        <n v="1082610"/>
        <n v="1083738"/>
        <n v="1083785"/>
        <n v="1083816"/>
        <n v="1083864"/>
        <n v="1083926"/>
        <n v="1083965"/>
        <n v="1084007"/>
        <n v="1084100"/>
        <n v="1084109"/>
        <n v="1084136"/>
        <n v="1084149"/>
        <n v="1084155"/>
        <n v="1084173"/>
        <n v="1084189"/>
        <n v="1084214"/>
        <n v="1084221"/>
        <n v="1084247"/>
        <n v="1084417"/>
        <n v="1084423"/>
        <n v="1084462"/>
        <n v="1084468"/>
        <n v="1084581"/>
        <n v="1086193"/>
        <n v="1086235"/>
        <n v="1086237"/>
        <n v="1091843"/>
        <n v="1091844"/>
        <n v="1091849"/>
        <n v="1091886"/>
        <n v="1091963"/>
        <n v="1091994"/>
        <n v="1092001"/>
        <n v="1092011"/>
        <n v="1092017"/>
        <n v="1092053"/>
        <n v="1092185"/>
        <n v="1095056"/>
        <n v="1095065"/>
        <n v="1096407"/>
        <n v="1096606"/>
        <n v="1098370"/>
        <n v="1098392"/>
        <n v="1098415"/>
        <n v="1098468"/>
        <n v="1098477"/>
        <n v="989213"/>
        <n v="1100053"/>
        <n v="1100054"/>
        <n v="1101833"/>
        <n v="1105618"/>
        <n v="1105775"/>
        <n v="1105779"/>
        <n v="1105784"/>
        <n v="1105795"/>
        <n v="1105837"/>
        <n v="1105882"/>
        <n v="1105890"/>
        <n v="1106061"/>
        <n v="1106069"/>
        <n v="1106086"/>
        <n v="1106097"/>
        <n v="1106118"/>
        <n v="1106151"/>
        <n v="1106157"/>
        <n v="1106181"/>
        <n v="1106188"/>
        <n v="1106189"/>
        <n v="1106215"/>
        <n v="1106219"/>
        <n v="1106242"/>
        <n v="1106250"/>
        <n v="1106256"/>
        <n v="1106257"/>
        <n v="1106291"/>
        <n v="1106296"/>
        <n v="1106325"/>
        <n v="1106352"/>
        <n v="1106358"/>
        <n v="1106381"/>
        <n v="1106386"/>
        <n v="1106402"/>
        <n v="1106422"/>
        <n v="1106427"/>
        <n v="1106432"/>
        <n v="1106433"/>
        <n v="1106466"/>
        <n v="1106564"/>
        <n v="1106585"/>
        <n v="1106590"/>
        <n v="1106614"/>
        <n v="1106622"/>
        <n v="1106661"/>
        <n v="1106697"/>
        <n v="1106725"/>
        <n v="1106737"/>
        <n v="1106764"/>
        <n v="1106784"/>
        <n v="1106798"/>
        <n v="1106806"/>
        <n v="1106819"/>
        <n v="1106844"/>
        <n v="1106850"/>
        <n v="1106856"/>
        <n v="1106875"/>
        <n v="1106950"/>
        <n v="1106963"/>
        <n v="1106987"/>
        <n v="1107020"/>
        <n v="1107027"/>
        <n v="1107032"/>
        <n v="1108862"/>
        <n v="1108950"/>
        <n v="1108998"/>
        <n v="1109017"/>
        <n v="1109060"/>
        <n v="1109074"/>
        <n v="1109193"/>
        <n v="1109982"/>
        <n v="1110008"/>
        <n v="1110064"/>
        <n v="1110126"/>
        <n v="1111444"/>
        <n v="1111445"/>
        <n v="1111473"/>
        <n v="1111486"/>
        <n v="1112161"/>
        <n v="1112166"/>
        <n v="1112195"/>
        <n v="1112348"/>
        <n v="1112355"/>
        <n v="1112495"/>
        <n v="1112632"/>
        <n v="1112686"/>
        <n v="1112943"/>
        <n v="1112965"/>
        <n v="1114019"/>
        <n v="1114288"/>
        <n v="1115020"/>
        <n v="1115603"/>
        <n v="1115616"/>
        <n v="1115619"/>
        <n v="1115626"/>
        <n v="1117093"/>
        <n v="1117151"/>
        <n v="1117158"/>
        <n v="1117282"/>
        <n v="1119037"/>
        <n v="1119082"/>
        <n v="1119099"/>
        <n v="1119116"/>
        <n v="1119162"/>
        <n v="1119200"/>
        <n v="1119209"/>
        <n v="1119242"/>
        <n v="1119249"/>
        <n v="1119417"/>
        <n v="1122561"/>
        <n v="1122566"/>
        <n v="1122567"/>
        <n v="1139034"/>
        <n v="1143527"/>
        <n v="1143559"/>
        <n v="1143943"/>
        <n v="1143960"/>
        <n v="1143974"/>
        <n v="1145784"/>
        <n v="1146433"/>
        <n v="1146503"/>
        <n v="1147694"/>
        <n v="1148220"/>
        <n v="1148250"/>
        <n v="1148454"/>
        <n v="1148885"/>
        <n v="1148895"/>
        <n v="1148914"/>
        <n v="1148925"/>
        <n v="1148926"/>
        <n v="1148927"/>
        <n v="1148932"/>
        <n v="1148942"/>
        <n v="1149413"/>
        <n v="1150681"/>
        <n v="1150928"/>
        <n v="1151036"/>
        <n v="1151061"/>
        <n v="1151758"/>
        <n v="1152434"/>
        <n v="1152773"/>
        <n v="1153147"/>
        <n v="1153154"/>
        <n v="1153752"/>
        <n v="1153759"/>
        <n v="1153772"/>
        <n v="1153829"/>
        <n v="1153836"/>
        <n v="1153852"/>
        <n v="1155893"/>
        <n v="1155909"/>
        <n v="1156038"/>
        <n v="1156045"/>
        <n v="1156057"/>
        <n v="1156136"/>
        <n v="1159929"/>
        <n v="1159995"/>
        <n v="1160005"/>
        <n v="1160031"/>
        <n v="1160095"/>
        <n v="1160201"/>
        <n v="441738"/>
        <n v="1160470"/>
        <n v="1160486"/>
        <n v="1160507"/>
        <n v="1160508"/>
        <n v="1161274"/>
        <n v="1161279"/>
        <n v="1161717"/>
        <n v="1161983"/>
        <n v="1162183"/>
        <n v="1163547"/>
        <n v="1163570"/>
        <n v="1164013"/>
        <n v="1164022"/>
        <n v="1164626"/>
        <n v="1164648"/>
        <n v="1164675"/>
        <n v="1164677"/>
        <n v="1164679"/>
        <n v="1164690"/>
        <n v="1164692"/>
        <n v="1164693"/>
        <n v="1164743"/>
        <n v="1164747"/>
        <n v="1164858"/>
        <n v="1164892"/>
        <n v="1164916"/>
        <n v="1164980"/>
        <n v="1165144"/>
        <n v="1165148"/>
        <n v="1165163"/>
        <n v="1165170"/>
        <n v="1165172"/>
        <n v="1165174"/>
        <n v="1165836"/>
        <n v="1165866"/>
        <n v="1165897"/>
        <n v="1165904"/>
        <n v="1165943"/>
        <n v="1165973"/>
        <n v="1166058"/>
        <n v="1166768"/>
        <n v="1166769"/>
        <n v="1166780"/>
        <n v="1166789"/>
        <n v="1166797"/>
        <n v="1166895"/>
        <n v="1166936"/>
        <n v="1166968"/>
        <n v="1167055"/>
        <n v="1167955"/>
        <n v="1168630"/>
        <n v="1168633"/>
        <n v="1168652"/>
        <n v="1168660"/>
        <n v="1168662"/>
        <n v="1168672"/>
        <n v="1168678"/>
        <n v="1168691"/>
        <n v="1168736"/>
        <n v="1168793"/>
        <n v="1168805"/>
        <n v="1168823"/>
        <n v="1168841"/>
        <n v="1168854"/>
        <n v="1168957"/>
        <n v="1168968"/>
        <n v="1169161"/>
        <n v="1169218"/>
        <n v="1169404"/>
        <n v="1169472"/>
        <n v="1169541"/>
        <n v="1169582"/>
        <n v="1169628"/>
        <n v="1170291"/>
        <n v="1170383"/>
        <n v="1170401"/>
        <n v="1170414"/>
        <n v="1170456"/>
        <n v="1170457"/>
        <n v="1170463"/>
        <n v="1170474"/>
        <n v="1170475"/>
        <n v="1170478"/>
        <n v="1170484"/>
        <n v="1170496"/>
        <n v="1173457"/>
        <n v="1174214"/>
        <n v="1174239"/>
        <n v="1174604"/>
        <n v="1174631"/>
        <n v="1175795"/>
        <n v="1176907"/>
        <n v="1176917"/>
        <n v="1176926"/>
        <n v="1177041"/>
        <n v="1177050"/>
        <n v="1177077"/>
        <n v="1177168"/>
        <n v="1177175"/>
        <n v="1177213"/>
        <n v="1183680"/>
        <n v="1183730"/>
        <n v="1183878"/>
        <n v="1183897"/>
        <n v="1183932"/>
        <n v="1184086"/>
        <n v="1186105"/>
        <n v="1186165"/>
        <n v="1189741"/>
        <n v="1189756"/>
        <n v="1189757"/>
        <n v="1189773"/>
        <n v="1202273"/>
        <n v="1202296"/>
        <n v="1202307"/>
        <n v="1202331"/>
        <n v="1202382"/>
        <n v="1204262"/>
        <n v="1204286"/>
        <n v="1204356"/>
        <n v="1204437"/>
        <n v="1205259"/>
        <n v="1205589"/>
        <n v="1205598"/>
        <n v="1205738"/>
        <n v="1205805"/>
        <n v="1205875"/>
        <n v="1205889"/>
        <n v="1205890"/>
        <n v="1207573"/>
        <n v="1207586"/>
        <n v="1207587"/>
        <n v="1207592"/>
        <n v="1208516"/>
        <n v="1208521"/>
        <n v="1208539"/>
        <n v="1208544"/>
        <n v="1208946"/>
        <n v="1209004"/>
        <n v="1209013"/>
        <n v="1209016"/>
        <n v="1209055"/>
        <n v="1209064"/>
        <n v="1209143"/>
        <n v="1209148"/>
        <n v="1209156"/>
        <n v="1209163"/>
        <n v="1209232"/>
        <n v="1209240"/>
        <n v="1209292"/>
        <n v="1209306"/>
        <n v="1209337"/>
        <n v="1209371"/>
        <n v="1209394"/>
        <n v="1209579"/>
        <n v="1209621"/>
        <n v="1209667"/>
        <n v="1209834"/>
        <n v="1209837"/>
        <n v="1209901"/>
        <n v="1209902"/>
        <n v="1209926"/>
        <n v="1209966"/>
        <n v="1210055"/>
        <n v="1210066"/>
        <n v="1210100"/>
        <n v="1210108"/>
        <n v="1210845"/>
        <n v="1210861"/>
        <n v="1210869"/>
        <n v="1210875"/>
        <n v="1210889"/>
        <n v="1210900"/>
        <n v="1210915"/>
        <n v="1210936"/>
        <n v="1210953"/>
        <n v="1210967"/>
        <n v="1210976"/>
        <n v="1211248"/>
        <n v="1211319"/>
        <n v="1211419"/>
        <n v="1211425"/>
        <n v="1211433"/>
        <n v="1211438"/>
        <n v="1211458"/>
        <n v="1212371"/>
        <n v="1212397"/>
        <n v="1212405"/>
        <n v="1212417"/>
        <n v="1212631"/>
        <n v="1212648"/>
        <n v="1212730"/>
        <n v="1212815"/>
        <n v="1212916"/>
        <n v="1213372"/>
        <n v="1213863"/>
        <n v="1213871"/>
        <n v="1214393"/>
        <n v="1215615"/>
        <n v="1215639"/>
        <n v="1215651"/>
        <n v="1215661"/>
        <n v="1215666"/>
        <n v="1215671"/>
        <n v="1215677"/>
        <n v="1218215"/>
        <n v="1218257"/>
        <n v="1218388"/>
        <n v="1212643"/>
        <n v="1218415"/>
        <n v="1218458"/>
        <n v="1218585"/>
        <n v="1218610"/>
        <n v="1218634"/>
        <n v="1218699"/>
        <n v="1220236"/>
        <n v="1220261"/>
        <n v="1220273"/>
        <n v="1220277"/>
        <n v="1220289"/>
        <n v="1220290"/>
        <n v="1220300"/>
        <n v="1220312"/>
        <n v="1220342"/>
        <n v="1220361"/>
        <n v="1220369"/>
        <n v="1220407"/>
        <n v="1220450"/>
        <n v="1220451"/>
        <n v="1220464"/>
        <n v="1220492"/>
        <n v="1221654"/>
        <n v="1225626"/>
        <n v="1226405"/>
        <n v="1229505"/>
        <n v="1229525"/>
        <n v="1229568"/>
        <n v="1229627"/>
        <n v="1229693"/>
        <n v="1229706"/>
        <n v="1229711"/>
        <n v="1229873"/>
        <n v="1233937"/>
        <n v="1234021"/>
        <n v="1235499"/>
        <n v="1236482"/>
        <n v="1236596"/>
        <n v="1236618"/>
        <n v="1236625"/>
        <n v="1237436"/>
        <n v="1237437"/>
        <n v="1237442"/>
        <n v="1237443"/>
        <n v="1237450"/>
        <n v="1237508"/>
        <n v="1237516"/>
        <n v="1237527"/>
        <n v="1239352"/>
        <n v="1239367"/>
        <n v="1239430"/>
        <n v="1239431"/>
        <n v="1239447"/>
        <n v="1239462"/>
        <n v="1239471"/>
        <n v="1239491"/>
        <n v="1239538"/>
        <n v="1239540"/>
        <n v="1239796"/>
        <n v="1239823"/>
        <n v="1240175"/>
        <n v="1240880"/>
        <n v="1240913"/>
        <n v="1240914"/>
        <n v="1240949"/>
        <n v="1240951"/>
        <n v="1240970"/>
        <n v="1240981"/>
        <n v="1241123"/>
        <n v="1241303"/>
        <n v="1241307"/>
        <n v="1241493"/>
        <n v="1241544"/>
        <n v="1241554"/>
        <n v="1241563"/>
        <n v="1241585"/>
        <n v="1241680"/>
        <n v="1241691"/>
        <n v="1241705"/>
        <n v="1241721"/>
        <n v="1241758"/>
        <n v="1241823"/>
        <n v="1241841"/>
        <n v="1241924"/>
        <n v="1241937"/>
        <n v="1241946"/>
        <n v="1241980"/>
        <n v="1241993"/>
        <n v="1242074"/>
        <n v="1242509"/>
        <n v="1242515"/>
        <n v="1242529"/>
        <n v="1242592"/>
        <n v="1242600"/>
        <n v="1242779"/>
        <n v="1242665"/>
        <n v="1244035"/>
        <n v="1244036"/>
        <n v="1244075"/>
        <n v="1244088"/>
        <n v="1244089"/>
        <n v="1244116"/>
        <n v="1244130"/>
        <n v="1244139"/>
        <n v="1244158"/>
        <n v="1244159"/>
        <n v="1244173"/>
        <n v="1244195"/>
        <n v="1244196"/>
        <n v="1244211"/>
        <n v="1244227"/>
        <n v="1244228"/>
        <n v="1244243"/>
        <n v="1244249"/>
        <n v="1244272"/>
        <n v="1244279"/>
        <n v="1244280"/>
        <n v="1244301"/>
        <n v="1244337"/>
        <n v="1244350"/>
        <n v="1244363"/>
        <n v="1244364"/>
        <n v="1244751"/>
        <n v="1244772"/>
        <n v="1244809"/>
        <n v="1245273"/>
        <n v="1245321"/>
        <n v="1245454"/>
        <n v="1245557"/>
        <n v="1246492"/>
        <n v="1246511"/>
        <n v="1246516"/>
        <n v="1248064"/>
        <n v="1248073"/>
        <n v="1248111"/>
        <n v="1248119"/>
        <n v="1248246"/>
        <n v="1248864"/>
        <n v="1248968"/>
        <n v="1249021"/>
        <n v="1249032"/>
        <n v="1249047"/>
        <n v="1249071"/>
        <n v="1249607"/>
        <n v="1250125"/>
        <n v="1250131"/>
        <n v="1250668"/>
        <n v="1250719"/>
        <n v="1250777"/>
        <n v="1250834"/>
        <n v="1250970"/>
        <n v="1250981"/>
        <n v="1251042"/>
        <n v="1251061"/>
        <n v="1251075"/>
        <n v="1251253"/>
        <n v="1251259"/>
        <n v="1251302"/>
        <n v="1251308"/>
        <n v="1251314"/>
        <n v="1251321"/>
        <n v="365076"/>
        <n v="1251504"/>
        <n v="1251508"/>
        <n v="1251681"/>
        <n v="1251827"/>
        <n v="1251840"/>
        <n v="1251897"/>
        <n v="1252604"/>
        <n v="1252611"/>
        <n v="1252616"/>
        <n v="1252648"/>
        <n v="1253113"/>
        <n v="1253118"/>
        <n v="1253152"/>
        <n v="1253247"/>
        <n v="1253255"/>
        <n v="1253262"/>
        <n v="1253654"/>
        <n v="1253664"/>
        <n v="1253742"/>
        <n v="1253793"/>
        <n v="1253821"/>
        <n v="1253835"/>
        <n v="1254827"/>
        <n v="1254835"/>
        <n v="1254850"/>
        <n v="1254869"/>
        <n v="1254886"/>
        <n v="1254887"/>
        <n v="1254913"/>
        <n v="1254917"/>
        <n v="1254924"/>
        <n v="1254950"/>
        <n v="1255074"/>
        <n v="1255189"/>
        <n v="1255317"/>
        <n v="1255334"/>
        <n v="1255856"/>
        <n v="1255861"/>
        <n v="1255867"/>
        <n v="1255891"/>
        <n v="1255895"/>
        <n v="1255920"/>
        <n v="1255928"/>
        <n v="1255951"/>
        <n v="1255960"/>
        <n v="1255966"/>
        <n v="1255981"/>
        <n v="1256002"/>
        <n v="1256030"/>
        <n v="1258283"/>
        <n v="1258291"/>
        <n v="1259329"/>
        <n v="1259348"/>
        <n v="1259395"/>
        <n v="1259402"/>
        <n v="1259467"/>
        <n v="1259524"/>
        <n v="1259530"/>
        <n v="1259544"/>
        <n v="1259654"/>
        <n v="1259662"/>
        <n v="1260193"/>
        <n v="1260259"/>
        <n v="1260267"/>
        <n v="1260272"/>
        <n v="1260288"/>
        <n v="1260305"/>
        <n v="1260323"/>
        <n v="1260337"/>
        <n v="1260348"/>
        <n v="1260384"/>
        <n v="1260406"/>
        <n v="1260580"/>
        <n v="1260715"/>
        <n v="1262133"/>
        <n v="1262138"/>
        <n v="1262143"/>
        <n v="1262147"/>
        <n v="1262166"/>
        <n v="1262167"/>
        <n v="1262183"/>
        <n v="1262287"/>
        <n v="1262302"/>
        <n v="1262329"/>
        <n v="1262917"/>
        <n v="1262925"/>
        <n v="1262937"/>
        <n v="1262962"/>
        <n v="1262976"/>
        <n v="1262984"/>
        <n v="1263183"/>
        <n v="1263193"/>
        <n v="1263909"/>
        <n v="1264264"/>
        <n v="1264308"/>
        <n v="1264323"/>
        <n v="1265436"/>
        <n v="1265458"/>
        <n v="1265470"/>
        <n v="1265957"/>
        <n v="1267535"/>
        <n v="1267547"/>
        <n v="1269059"/>
        <n v="466236"/>
        <n v="1269075"/>
        <n v="1269083"/>
        <n v="1270102"/>
        <n v="1270177"/>
        <n v="1270193"/>
        <n v="1270287"/>
        <n v="1270299"/>
        <n v="1271278"/>
        <n v="419975"/>
        <n v="1273513"/>
        <n v="1273578"/>
        <n v="1273958"/>
        <n v="1273971"/>
        <n v="1273979"/>
        <n v="1273994"/>
        <n v="1274054"/>
        <n v="1275205"/>
        <n v="1275213"/>
        <n v="1275221"/>
        <n v="1275228"/>
        <n v="1275989"/>
        <n v="1275999"/>
        <n v="1276012"/>
        <n v="1276087"/>
        <n v="1276103"/>
        <n v="1276137"/>
        <n v="1277050"/>
        <n v="1277055"/>
        <n v="1277059"/>
        <n v="1277062"/>
        <n v="1277098"/>
        <n v="1277120"/>
        <n v="1277249"/>
        <n v="1277254"/>
        <n v="1278068"/>
        <n v="1278094"/>
        <n v="1278100"/>
        <n v="1278109"/>
        <n v="1278381"/>
        <n v="1278515"/>
        <n v="1280434"/>
        <n v="1280437"/>
        <n v="1280449"/>
        <n v="1285447"/>
        <n v="1285473"/>
        <n v="1285519"/>
        <n v="1285529"/>
        <n v="1286829"/>
        <n v="1286869"/>
        <n v="1286914"/>
        <n v="1286945"/>
        <n v="1286951"/>
        <n v="1286961"/>
        <n v="1286962"/>
        <n v="1286994"/>
        <n v="1287001"/>
        <n v="1287650"/>
        <n v="1287655"/>
        <n v="1287669"/>
        <n v="1287674"/>
        <n v="1287780"/>
        <n v="1287899"/>
        <n v="1291062"/>
        <n v="1291070"/>
        <n v="1291176"/>
        <n v="1291183"/>
        <n v="1291189"/>
        <n v="1291195"/>
        <n v="1291200"/>
        <n v="1291216"/>
        <n v="1291224"/>
        <n v="1291241"/>
        <n v="1291275"/>
        <n v="1291336"/>
        <n v="1291516"/>
        <n v="1291531"/>
        <n v="1291538"/>
        <n v="1291627"/>
        <n v="1291973"/>
        <n v="1291983"/>
        <n v="1291994"/>
        <n v="1292004"/>
        <n v="1292019"/>
        <n v="1294086"/>
        <n v="1294102"/>
        <n v="1294187"/>
        <n v="1294231"/>
        <n v="1294239"/>
        <n v="1294280"/>
        <n v="1294514"/>
        <n v="1294519"/>
        <n v="1294522"/>
        <n v="1294532"/>
        <n v="1294642"/>
        <n v="1294648"/>
        <n v="1294651"/>
        <n v="1294656"/>
        <n v="1294670"/>
        <n v="1294671"/>
        <n v="1294679"/>
        <n v="1294704"/>
        <n v="1294739"/>
        <n v="1294913"/>
        <n v="1295018"/>
        <n v="1295031"/>
        <n v="1295036"/>
        <n v="1295043"/>
        <n v="1295062"/>
        <n v="1295068"/>
        <n v="1295087"/>
        <n v="1295103"/>
        <n v="1295159"/>
        <n v="1295165"/>
        <n v="1295233"/>
        <n v="1295470"/>
        <n v="1295521"/>
        <n v="1295533"/>
        <n v="1295542"/>
        <n v="1295582"/>
        <n v="1295750"/>
        <n v="1296448"/>
        <n v="1296455"/>
        <n v="1296470"/>
        <n v="1296648"/>
        <n v="1296649"/>
        <n v="1296655"/>
        <n v="1296695"/>
        <n v="1296712"/>
        <n v="1296759"/>
        <n v="1296767"/>
        <n v="1296772"/>
        <n v="1296777"/>
        <n v="1296836"/>
        <n v="1296850"/>
        <n v="1297915"/>
        <n v="1298005"/>
        <n v="1298042"/>
        <n v="1298158"/>
        <n v="1298359"/>
        <n v="1298429"/>
        <n v="1298430"/>
        <n v="1298448"/>
        <n v="1298536"/>
        <n v="1298551"/>
        <n v="1298557"/>
        <n v="1298615"/>
        <n v="1298616"/>
        <n v="1298627"/>
        <n v="1298674"/>
        <n v="1298991"/>
        <n v="1300441"/>
        <n v="1300467"/>
        <n v="1300479"/>
        <n v="1300503"/>
        <n v="1300520"/>
        <n v="1300614"/>
        <n v="1300646"/>
        <n v="1300666"/>
        <n v="1300673"/>
        <n v="1300683"/>
        <n v="1300784"/>
        <n v="1300796"/>
        <n v="1300884"/>
        <n v="1300885"/>
        <n v="1300890"/>
        <n v="1300933"/>
        <n v="1301007"/>
        <n v="1301032"/>
        <n v="1301041"/>
        <n v="1301053"/>
        <n v="1301062"/>
        <n v="1301083"/>
        <n v="1301090"/>
        <n v="1301184"/>
        <n v="1301192"/>
        <n v="1301457"/>
        <n v="1301608"/>
        <n v="1301663"/>
        <n v="1302225"/>
        <n v="1302231"/>
        <n v="1302238"/>
        <n v="1303455"/>
        <n v="1305301"/>
        <n v="1305305"/>
        <n v="1305316"/>
        <n v="1306562"/>
        <n v="1306590"/>
        <n v="1306725"/>
        <n v="1306909"/>
        <n v="1306939"/>
        <n v="1307107"/>
        <n v="1307339"/>
        <n v="1307759"/>
        <n v="1308567"/>
        <n v="1311171"/>
        <n v="1311226"/>
        <n v="1328490"/>
        <n v="1328497"/>
        <n v="1328498"/>
        <n v="1328541"/>
        <n v="1328543"/>
        <n v="1337201"/>
        <n v="1337213"/>
        <n v="1353166"/>
        <n v="1353167"/>
        <n v="1353283"/>
        <n v="1353307"/>
        <n v="1353323"/>
        <n v="1353354"/>
        <n v="1353406"/>
        <n v="1353413"/>
        <n v="1353435"/>
        <n v="1353478"/>
        <n v="1353488"/>
        <n v="1353539"/>
        <n v="1353540"/>
        <n v="1353554"/>
        <n v="1353611"/>
        <n v="1353683"/>
        <n v="1353722"/>
        <n v="1353723"/>
        <n v="1353738"/>
        <n v="1353744"/>
        <n v="1353753"/>
        <n v="1353760"/>
        <n v="1353773"/>
        <n v="1353774"/>
        <n v="1353780"/>
        <n v="1353787"/>
        <n v="1353801"/>
        <n v="1353828"/>
        <n v="1353846"/>
        <n v="1353867"/>
        <n v="1353882"/>
        <n v="1353889"/>
        <n v="1354120"/>
        <n v="1354126"/>
        <n v="1354127"/>
        <n v="1354139"/>
        <n v="1354510"/>
        <n v="1354512"/>
        <n v="1354548"/>
        <n v="487460"/>
        <n v="1354580"/>
        <n v="1354748"/>
        <n v="1354753"/>
        <n v="1354756"/>
        <n v="1354773"/>
        <n v="1354816"/>
        <n v="1354817"/>
        <n v="1354830"/>
        <n v="1354835"/>
        <n v="1354848"/>
        <n v="1354917"/>
        <n v="1355042"/>
        <n v="1355107"/>
        <n v="1355108"/>
        <n v="1355133"/>
        <n v="1355183"/>
        <n v="1356102"/>
        <n v="1356103"/>
        <n v="1356131"/>
        <n v="1356177"/>
        <n v="1356185"/>
        <n v="1356190"/>
        <n v="1356191"/>
        <n v="1356192"/>
        <n v="1356207"/>
        <n v="1356237"/>
        <n v="1356298"/>
        <n v="1356305"/>
        <n v="1356309"/>
        <n v="1356315"/>
        <n v="1356350"/>
        <n v="1356471"/>
        <n v="1356486"/>
        <n v="1356527"/>
        <n v="1356545"/>
        <n v="1356596"/>
        <n v="1356628"/>
        <n v="1356641"/>
        <n v="1356654"/>
        <n v="1356700"/>
        <n v="1356706"/>
        <n v="1356715"/>
        <n v="1356720"/>
        <n v="1356721"/>
        <n v="1356730"/>
        <n v="1356754"/>
        <n v="1356762"/>
        <n v="1356777"/>
        <n v="1356889"/>
        <n v="1356899"/>
        <n v="1356908"/>
        <n v="1356936"/>
        <n v="1356940"/>
        <n v="1356946"/>
        <n v="1356960"/>
        <n v="1356979"/>
        <n v="1357022"/>
        <n v="1357034"/>
        <n v="1357040"/>
        <n v="1357058"/>
        <n v="1357064"/>
        <n v="1357073"/>
        <n v="1357077"/>
        <n v="1357094"/>
        <n v="1357097"/>
        <n v="1357098"/>
        <n v="1357101"/>
        <n v="1357107"/>
        <n v="1357114"/>
        <n v="1357115"/>
        <n v="1357122"/>
        <n v="1357127"/>
        <n v="1357128"/>
        <n v="1357131"/>
        <n v="1357138"/>
        <n v="1357147"/>
        <n v="1357149"/>
        <n v="1357161"/>
        <n v="1357162"/>
        <n v="1357174"/>
        <n v="1357181"/>
        <n v="1357185"/>
        <n v="1357186"/>
        <n v="1357189"/>
        <n v="1357250"/>
        <n v="1357251"/>
        <n v="1357256"/>
        <n v="1357264"/>
        <n v="1357271"/>
        <n v="1357274"/>
        <n v="1357330"/>
        <n v="1357338"/>
        <n v="1357339"/>
        <n v="1357342"/>
        <n v="1357343"/>
        <n v="1357347"/>
        <n v="1357361"/>
        <n v="1357621"/>
        <n v="1357805"/>
        <n v="1357826"/>
        <n v="1357942"/>
        <n v="1357957"/>
        <n v="1357999"/>
        <n v="1358025"/>
        <n v="1358048"/>
        <n v="1358062"/>
        <n v="1358075"/>
        <n v="1358083"/>
        <n v="1358090"/>
        <n v="1358093"/>
        <n v="1358163"/>
        <n v="1358378"/>
        <n v="1358386"/>
        <n v="1358395"/>
        <n v="1358404"/>
        <n v="1358461"/>
        <n v="1358487"/>
        <n v="1358507"/>
        <n v="1358519"/>
        <n v="1358556"/>
        <n v="1358557"/>
        <n v="1358574"/>
        <n v="1359263"/>
        <n v="1359352"/>
        <n v="1359360"/>
        <n v="1359375"/>
        <n v="1359379"/>
        <n v="1359667"/>
        <n v="1359673"/>
        <n v="1359748"/>
        <n v="1359749"/>
        <n v="1359872"/>
        <n v="1359887"/>
        <n v="1359964"/>
        <n v="1359965"/>
        <n v="1359977"/>
        <n v="1359996"/>
        <n v="1360022"/>
        <n v="1360034"/>
        <n v="1360062"/>
        <n v="1360083"/>
        <n v="1360096"/>
        <n v="1360158"/>
        <n v="1360161"/>
        <n v="1360233"/>
        <n v="1360373"/>
        <n v="1360509"/>
        <n v="1360613"/>
        <n v="1360708"/>
        <n v="1360713"/>
        <n v="1360742"/>
        <n v="1360758"/>
        <n v="1360764"/>
        <n v="1360765"/>
        <n v="1360772"/>
        <n v="1360779"/>
        <n v="1360799"/>
        <n v="1360826"/>
        <n v="1360844"/>
        <n v="1360957"/>
        <n v="1360990"/>
        <n v="1360997"/>
        <n v="1361059"/>
        <n v="1361060"/>
        <n v="1361080"/>
        <n v="1361081"/>
        <n v="1361083"/>
        <n v="1361084"/>
        <n v="1361092"/>
        <n v="1361096"/>
        <n v="1361101"/>
        <n v="1361116"/>
        <n v="1361117"/>
        <n v="1361126"/>
        <n v="1361141"/>
        <n v="1361150"/>
        <n v="1361153"/>
        <n v="1361158"/>
        <n v="1361160"/>
        <n v="1361178"/>
        <n v="1361180"/>
        <n v="1361195"/>
        <n v="1361196"/>
        <n v="1361201"/>
        <n v="1361228"/>
        <n v="1361244"/>
        <n v="1361247"/>
        <n v="1361249"/>
        <n v="1361262"/>
        <n v="1361274"/>
        <n v="1361281"/>
        <n v="1361285"/>
        <n v="1361297"/>
        <n v="1361318"/>
        <n v="1361328"/>
        <n v="1361335"/>
        <n v="1361355"/>
        <n v="1361356"/>
        <n v="1361363"/>
        <n v="1361383"/>
        <n v="1361411"/>
        <n v="1361480"/>
        <n v="1361508"/>
        <n v="1361523"/>
        <n v="1361541"/>
        <n v="1361559"/>
        <n v="1361685"/>
        <n v="1361731"/>
        <n v="1361738"/>
        <n v="1361793"/>
        <n v="1361858"/>
        <n v="1361908"/>
        <n v="1362035"/>
        <n v="1362037"/>
        <n v="1362039"/>
        <n v="1362060"/>
        <n v="1362125"/>
        <n v="1362126"/>
        <n v="1362327"/>
        <n v="1362403"/>
        <n v="1362557"/>
        <n v="1362564"/>
        <n v="1362632"/>
        <n v="1362713"/>
        <n v="1362746"/>
        <n v="1362799"/>
        <n v="1362817"/>
        <n v="1362819"/>
        <n v="1362873"/>
        <n v="1362910"/>
        <n v="1362917"/>
        <n v="1362920"/>
        <n v="1362932"/>
        <n v="1362969"/>
        <n v="1363017"/>
        <n v="1363042"/>
        <n v="1363061"/>
        <n v="1363075"/>
        <n v="1363127"/>
        <n v="1363242"/>
        <n v="1363300"/>
        <n v="1363364"/>
        <n v="1363575"/>
        <n v="1363598"/>
        <n v="1363657"/>
        <n v="1363672"/>
        <n v="1363690"/>
        <n v="1363745"/>
        <n v="1363792"/>
        <n v="1363807"/>
        <n v="1364713"/>
        <n v="1364787"/>
        <n v="1364822"/>
        <n v="1364868"/>
        <n v="1364901"/>
        <n v="1364909"/>
        <n v="1364924"/>
        <n v="1365009"/>
        <n v="1365023"/>
        <n v="1365121"/>
        <n v="1365133"/>
        <n v="1365501"/>
        <n v="1365544"/>
        <n v="1365576"/>
        <n v="1365585"/>
        <n v="1365610"/>
        <n v="1365628"/>
        <n v="1365636"/>
        <n v="1365666"/>
        <n v="1366887"/>
        <n v="1366902"/>
        <n v="1366977"/>
        <n v="1367534"/>
        <n v="1367541"/>
        <n v="1367557"/>
        <n v="1368021"/>
        <n v="1368061"/>
        <n v="1368075"/>
        <n v="1368091"/>
        <n v="1370304"/>
        <n v="1371041"/>
        <n v="1378343"/>
        <n v="1378367"/>
        <n v="1379036"/>
        <n v="1379046"/>
        <n v="1379075"/>
        <n v="1379247"/>
        <n v="1379248"/>
        <n v="1379254"/>
        <n v="1379282"/>
        <n v="1379398"/>
        <n v="1379407"/>
        <n v="1379414"/>
        <n v="1379415"/>
        <n v="1388976"/>
        <n v="1389037"/>
        <n v="1389176"/>
        <n v="1389190"/>
        <n v="1390081"/>
        <n v="1390114"/>
        <n v="1390141"/>
        <n v="1390158"/>
        <n v="1391722"/>
        <n v="1391725"/>
        <n v="1391733"/>
        <n v="1391741"/>
        <n v="1391750"/>
        <n v="1391779"/>
        <n v="1391796"/>
        <n v="1391803"/>
        <n v="1391813"/>
        <n v="1391817"/>
        <n v="1391824"/>
        <n v="1391852"/>
        <n v="1391875"/>
        <n v="1391882"/>
        <n v="1365373"/>
        <n v="1393234"/>
        <n v="1393239"/>
        <n v="1393358"/>
        <n v="1393480"/>
        <n v="1393573"/>
        <n v="1393732"/>
        <n v="1393746"/>
        <n v="1393854"/>
        <n v="1400855"/>
        <n v="1400869"/>
        <n v="1400900"/>
        <n v="1400906"/>
        <n v="1400950"/>
        <n v="1400977"/>
        <n v="1401426"/>
        <n v="1401584"/>
        <n v="1401597"/>
        <n v="1401624"/>
        <n v="1401706"/>
        <n v="1401750"/>
        <n v="1401797"/>
        <n v="1406676"/>
        <n v="1407349"/>
        <n v="1432449"/>
        <n v="1432935"/>
        <n v="1435151"/>
        <n v="1435166"/>
        <n v="1435176"/>
        <n v="1445308"/>
        <n v="1445349"/>
        <n v="1445376"/>
        <n v="1445385"/>
        <n v="1445392"/>
        <n v="1445398"/>
        <n v="1445425"/>
        <n v="1445426"/>
        <n v="1445433"/>
        <n v="1445470"/>
        <n v="1446350"/>
        <n v="1446492"/>
        <n v="1446494"/>
        <n v="1446614"/>
        <n v="1446976"/>
        <n v="1446992"/>
        <n v="1447015"/>
        <n v="1447043"/>
        <n v="1447067"/>
        <n v="1447072"/>
        <n v="1447325"/>
        <n v="1447394"/>
        <n v="1447426"/>
        <n v="1447896"/>
        <n v="1447902"/>
        <n v="1447909"/>
        <n v="1447939"/>
        <n v="1447961"/>
        <n v="1447984"/>
        <n v="1448006"/>
        <n v="1448013"/>
        <n v="1448019"/>
        <n v="1448118"/>
        <n v="1448119"/>
        <n v="1448228"/>
        <n v="1448271"/>
        <n v="1448278"/>
        <n v="1448301"/>
        <n v="1448639"/>
        <n v="1448654"/>
        <n v="1448879"/>
        <n v="1448901"/>
        <n v="1448929"/>
        <n v="1448943"/>
        <n v="1449292"/>
        <n v="1451103"/>
        <n v="1451131"/>
        <n v="1451175"/>
        <n v="1451179"/>
        <n v="1451397"/>
        <n v="1451473"/>
        <n v="1452372"/>
        <n v="1452388"/>
        <n v="1453439"/>
        <n v="1454836"/>
        <n v="1455225"/>
        <n v="1455254"/>
        <n v="1457385"/>
        <n v="1457404"/>
        <n v="1457419"/>
        <n v="1457436"/>
        <n v="1457507"/>
        <n v="1457543"/>
        <n v="1457545"/>
        <n v="1457552"/>
        <n v="1457581"/>
        <n v="1457640"/>
        <n v="1457671"/>
        <n v="1457688"/>
        <n v="1457792"/>
        <n v="1459275"/>
        <n v="1459316"/>
        <n v="1461371"/>
        <n v="1461773"/>
        <n v="1461895"/>
        <n v="1465541"/>
        <n v="1465770"/>
        <n v="1497902"/>
        <n v="1497984"/>
        <n v="1498010"/>
        <n v="1498039"/>
        <n v="1498046"/>
        <n v="1498054"/>
        <n v="1498062"/>
        <n v="1498126"/>
        <n v="1498142"/>
        <n v="1498817"/>
        <n v="1498929"/>
        <n v="1498985"/>
        <n v="1499042"/>
        <n v="1499074"/>
        <n v="1499753"/>
        <n v="1499783"/>
        <n v="1499807"/>
        <n v="1499884"/>
        <n v="1499900"/>
        <n v="1500456"/>
        <n v="1500485"/>
        <n v="1501712"/>
        <n v="1501718"/>
        <n v="1501744"/>
        <n v="1501842"/>
        <n v="1501846"/>
        <n v="1501851"/>
        <n v="1501861"/>
        <n v="1502137"/>
        <n v="1502144"/>
        <n v="1502152"/>
        <n v="1502160"/>
        <n v="1502271"/>
        <n v="1502277"/>
        <n v="1502333"/>
        <n v="1502352"/>
        <n v="1502374"/>
        <n v="1502400"/>
        <n v="1502413"/>
        <n v="1502428"/>
        <n v="1502437"/>
        <n v="1502487"/>
        <n v="1502492"/>
        <n v="1502506"/>
        <n v="1502533"/>
        <n v="1502547"/>
        <n v="1502600"/>
        <n v="1502606"/>
        <n v="1502689"/>
        <n v="1502713"/>
        <n v="1502720"/>
        <n v="1502735"/>
        <n v="1502741"/>
        <n v="1503571"/>
        <n v="1503578"/>
        <n v="1503634"/>
        <n v="1503646"/>
        <n v="1503651"/>
        <n v="1503670"/>
        <n v="1503688"/>
        <n v="1503695"/>
        <n v="1503707"/>
        <n v="1471994"/>
        <n v="1505441"/>
        <n v="1505446"/>
        <n v="1505458"/>
        <n v="1509891"/>
        <n v="1509905"/>
        <n v="1517784"/>
        <n v="1517807"/>
        <n v="1517822"/>
        <n v="1517915"/>
        <n v="1517945"/>
        <n v="1517997"/>
        <n v="1519913"/>
        <n v="1519914"/>
        <n v="1519987"/>
        <n v="1520018"/>
        <n v="1520073"/>
        <n v="1520306"/>
        <n v="1520384"/>
        <n v="1520441"/>
        <n v="1520525"/>
        <n v="1520568"/>
        <n v="1521301"/>
        <n v="1524312"/>
        <n v="1524334"/>
        <n v="1524347"/>
        <n v="1524367"/>
        <n v="1524966"/>
        <n v="1524978"/>
        <n v="1524982"/>
        <n v="1525037"/>
        <n v="1525045"/>
        <n v="1525144"/>
        <n v="1525158"/>
        <n v="1525165"/>
        <n v="1525177"/>
        <n v="1525198"/>
        <n v="1525210"/>
        <n v="1525217"/>
        <n v="1530636"/>
        <n v="1530645"/>
        <n v="1530672"/>
        <n v="1530673"/>
        <n v="1530707"/>
        <n v="1530713"/>
        <n v="1530717"/>
        <n v="1531268"/>
        <n v="1531269"/>
        <n v="1531281"/>
        <n v="1532406"/>
        <n v="1532429"/>
        <n v="1534536"/>
        <n v="1534541"/>
        <n v="1534546"/>
        <n v="1534588"/>
        <n v="1535485"/>
        <n v="1535507"/>
        <n v="1535514"/>
        <n v="1535517"/>
        <n v="1535536"/>
        <n v="1535594"/>
        <n v="1535744"/>
        <n v="1535829"/>
        <n v="1535840"/>
        <n v="1535852"/>
        <n v="1535866"/>
        <n v="1535885"/>
        <n v="1540872"/>
        <n v="1540897"/>
        <n v="1540899"/>
        <n v="1540900"/>
        <n v="1541059"/>
        <n v="1547260"/>
        <n v="1547266"/>
        <n v="1547272"/>
        <n v="1547278"/>
        <n v="1547279"/>
        <n v="1547285"/>
        <n v="1547291"/>
        <n v="1547380"/>
        <n v="1547394"/>
        <n v="1547420"/>
        <n v="1547449"/>
        <n v="1547465"/>
        <n v="1547873"/>
        <n v="1548053"/>
        <n v="1548129"/>
        <n v="1548140"/>
        <n v="1548402"/>
        <n v="1548403"/>
        <n v="1548405"/>
        <n v="1548457"/>
        <n v="1548458"/>
        <n v="1548469"/>
        <n v="1549053"/>
        <n v="1549058"/>
        <n v="1549088"/>
        <n v="1549096"/>
        <n v="1549109"/>
        <n v="1549128"/>
        <n v="1549146"/>
        <n v="1549234"/>
        <n v="1549238"/>
        <n v="1549260"/>
        <n v="1549335"/>
        <n v="1549340"/>
        <n v="1549341"/>
        <n v="1549528"/>
        <n v="1549532"/>
        <n v="1549757"/>
        <n v="1549820"/>
        <n v="1549832"/>
        <n v="1549839"/>
        <n v="1549934"/>
        <n v="1550023"/>
        <n v="1550072"/>
        <n v="1550083"/>
        <n v="1550089"/>
        <n v="1550099"/>
        <n v="1550885"/>
        <n v="1550904"/>
        <n v="1552524"/>
        <n v="1552535"/>
        <n v="1552547"/>
        <n v="1552556"/>
        <n v="1552646"/>
        <n v="1552659"/>
        <n v="1552667"/>
        <n v="1552669"/>
        <n v="1552676"/>
        <n v="1555803"/>
        <n v="109767"/>
        <n v="1558481"/>
        <n v="1558489"/>
        <n v="1558500"/>
        <n v="1558508"/>
        <n v="1558513"/>
        <n v="1561941"/>
        <n v="1561951"/>
        <n v="1561984"/>
        <n v="1561996"/>
        <n v="1562057"/>
        <n v="1562066"/>
        <n v="1562156"/>
        <n v="1566940"/>
        <n v="1567587"/>
        <n v="1569101"/>
        <n v="1569267"/>
        <n v="1570377"/>
        <n v="1570410"/>
        <n v="1571099"/>
        <n v="1571111"/>
        <n v="1571131"/>
        <n v="1571298"/>
        <n v="1571835"/>
        <n v="1571849"/>
        <n v="1571856"/>
        <n v="1571863"/>
        <n v="1571882"/>
        <n v="1571895"/>
        <n v="1571923"/>
        <n v="1572066"/>
        <n v="1572082"/>
        <n v="1572106"/>
        <n v="1572128"/>
        <n v="1572138"/>
        <n v="1577151"/>
        <n v="1577642"/>
        <n v="1577652"/>
        <n v="1581675"/>
        <n v="1581707"/>
        <n v="1583025"/>
        <n v="1583026"/>
        <n v="1583052"/>
        <n v="1583060"/>
        <n v="1583083"/>
        <n v="1583089"/>
        <n v="1583100"/>
        <n v="1583106"/>
        <n v="1583201"/>
        <n v="1583718"/>
        <n v="1583727"/>
        <n v="1583736"/>
        <n v="1583743"/>
        <n v="1583762"/>
        <n v="1583770"/>
        <n v="1584581"/>
        <n v="1584597"/>
        <n v="1584608"/>
        <n v="1589663"/>
        <n v="1589759"/>
        <n v="1589773"/>
        <n v="1589818"/>
        <n v="1589889"/>
        <n v="1589925"/>
        <n v="1592206"/>
        <n v="1593026"/>
        <n v="1593028"/>
        <n v="1593176"/>
        <n v="1596697"/>
        <n v="1596703"/>
        <n v="1596708"/>
        <n v="1596719"/>
        <n v="1596725"/>
        <n v="1600416"/>
        <n v="1600423"/>
        <n v="1602247"/>
        <n v="1602638"/>
        <n v="1605390"/>
        <n v="1605391"/>
        <n v="1605405"/>
        <n v="1605420"/>
        <n v="1605433"/>
        <n v="1605483"/>
        <n v="1605487"/>
        <n v="1605662"/>
        <n v="1605677"/>
        <n v="1605702"/>
        <n v="1605707"/>
        <n v="1605730"/>
        <n v="1607688"/>
        <n v="1607698"/>
        <n v="1607704"/>
        <n v="1609037"/>
        <n v="1609056"/>
        <n v="1610274"/>
        <n v="1610280"/>
        <n v="1610288"/>
        <n v="1610328"/>
        <n v="1610336"/>
        <n v="1614721"/>
        <n v="1616003"/>
        <n v="1616024"/>
        <n v="1616121"/>
        <n v="1616251"/>
        <n v="1616391"/>
        <n v="1616627"/>
        <n v="1616643"/>
        <n v="1616651"/>
        <n v="1616668"/>
        <n v="1617533"/>
        <n v="1617561"/>
        <n v="1620526"/>
        <n v="1620872"/>
        <n v="1620881"/>
        <n v="1620910"/>
        <n v="1620935"/>
        <n v="1620947"/>
        <n v="1620951"/>
        <n v="1621272"/>
        <n v="1621301"/>
        <n v="1621735"/>
        <n v="1621844"/>
        <n v="1621882"/>
        <n v="1621916"/>
        <n v="1622330"/>
        <n v="1622331"/>
        <n v="1622346"/>
        <n v="1622366"/>
        <n v="1622377"/>
        <n v="1622386"/>
        <n v="1622421"/>
        <n v="1633182"/>
        <n v="1654994"/>
        <n v="1655024"/>
        <n v="1655220"/>
        <n v="1655234"/>
        <n v="1655832"/>
        <n v="1655845"/>
        <n v="1655933"/>
        <n v="1655940"/>
        <n v="1648617"/>
        <n v="1585017"/>
        <n v="1589383"/>
        <n v="1656047"/>
        <n v="1656091"/>
        <n v="1656101"/>
        <n v="1656205"/>
        <n v="1656207"/>
        <n v="1656217"/>
        <n v="1656258"/>
        <n v="1656268"/>
        <n v="1659666"/>
        <n v="1659672"/>
        <n v="1661302"/>
        <n v="1662585"/>
        <n v="1662627"/>
        <n v="1664980"/>
        <n v="1670325"/>
        <n v="1670339"/>
        <n v="1692454"/>
        <n v="1703037"/>
        <n v="1703067"/>
        <n v="1714759"/>
        <n v="1714782"/>
        <n v="1714798"/>
        <n v="1714821"/>
        <n v="1716430"/>
        <n v="1716456"/>
        <n v="1716462"/>
        <n v="1716465"/>
        <n v="1716481"/>
        <n v="1742442"/>
        <n v="1747695"/>
        <n v="1747699"/>
        <n v="1747722"/>
        <n v="1747760"/>
        <n v="1747768"/>
        <n v="1747779"/>
        <n v="1748295"/>
        <n v="1748302"/>
        <n v="1748306"/>
        <n v="1621513"/>
        <n v="1748354"/>
        <n v="1748450"/>
        <n v="1748456"/>
        <n v="1748510"/>
        <n v="1748537"/>
        <n v="1748558"/>
        <n v="1748580"/>
        <n v="1748584"/>
        <n v="1748594"/>
        <n v="1748641"/>
        <n v="1748697"/>
        <n v="1748745"/>
        <n v="1748797"/>
        <n v="1748828"/>
        <n v="1748877"/>
        <n v="1748932"/>
        <n v="1750921"/>
        <n v="1750922"/>
        <n v="1751141"/>
        <n v="1751142"/>
        <n v="1751145"/>
        <n v="1751155"/>
        <n v="1751190"/>
        <n v="1751204"/>
        <n v="1751213"/>
        <n v="1751216"/>
        <n v="1751240"/>
        <n v="1751243"/>
        <n v="1751285"/>
        <n v="1751307"/>
        <n v="1751315"/>
        <n v="1751363"/>
        <n v="1751368"/>
        <n v="1751374"/>
        <n v="1751389"/>
        <n v="1751399"/>
        <n v="1751418"/>
        <n v="1751443"/>
        <n v="1751459"/>
        <n v="1751461"/>
        <n v="1751528"/>
        <n v="1696613"/>
        <n v="1751557"/>
        <n v="1751587"/>
        <n v="1751589"/>
        <n v="1751608"/>
        <n v="1751667"/>
        <n v="1751672"/>
        <n v="1751674"/>
        <n v="1751682"/>
        <n v="1751696"/>
        <n v="1751706"/>
        <n v="1751732"/>
        <n v="1751743"/>
        <n v="1751748"/>
        <n v="1751770"/>
        <n v="1751774"/>
        <n v="1751781"/>
        <n v="1751818"/>
        <n v="1751838"/>
        <n v="1751842"/>
        <n v="1751857"/>
        <n v="1751862"/>
        <n v="1751871"/>
        <n v="1751890"/>
        <n v="1751901"/>
        <n v="1751902"/>
        <n v="1751923"/>
        <n v="1751940"/>
        <n v="1751967"/>
        <n v="1751968"/>
        <n v="1751983"/>
        <n v="1752000"/>
        <n v="1752012"/>
        <n v="1752032"/>
        <n v="1752040"/>
        <n v="1752101"/>
        <n v="1752135"/>
        <n v="1752379"/>
        <n v="1752382"/>
        <n v="1752383"/>
        <n v="1752388"/>
        <n v="1752397"/>
        <n v="1752415"/>
        <n v="1752552"/>
        <n v="1752561"/>
        <n v="1752837"/>
        <n v="1752864"/>
        <n v="1752875"/>
        <n v="1752913"/>
        <n v="1752929"/>
        <n v="1752930"/>
        <n v="1752932"/>
        <n v="1752942"/>
        <n v="1752953"/>
        <n v="1753056"/>
        <n v="1753059"/>
        <n v="1753068"/>
        <n v="1753075"/>
        <n v="1753088"/>
        <n v="1753092"/>
        <n v="1753106"/>
        <n v="1753110"/>
        <n v="1753118"/>
        <n v="1753123"/>
        <n v="1753126"/>
        <n v="1753142"/>
        <n v="1753151"/>
        <n v="1753157"/>
        <n v="1753161"/>
        <n v="1753164"/>
        <n v="1753172"/>
        <n v="1753292"/>
        <n v="1753306"/>
        <n v="1675726"/>
        <n v="1753440"/>
        <n v="1753446"/>
        <n v="1753452"/>
        <n v="1753470"/>
        <n v="1753486"/>
        <n v="1753506"/>
        <n v="1753813"/>
        <n v="1753826"/>
        <n v="1753832"/>
        <n v="1753845"/>
        <n v="1753847"/>
        <n v="1753855"/>
        <n v="1753857"/>
        <n v="1753986"/>
        <n v="1754004"/>
        <n v="1754009"/>
        <n v="1754026"/>
        <n v="1754035"/>
        <n v="1754042"/>
        <n v="1754058"/>
        <n v="1754071"/>
        <n v="1754075"/>
        <n v="1754098"/>
        <n v="1754133"/>
        <n v="1754151"/>
        <n v="1754161"/>
        <n v="1754182"/>
        <n v="1754230"/>
        <n v="1754232"/>
        <n v="1754253"/>
        <n v="1754266"/>
        <n v="1754274"/>
        <n v="1754298"/>
        <n v="1754301"/>
        <n v="1754321"/>
        <n v="1752222"/>
        <n v="1754392"/>
        <n v="1752226"/>
        <n v="1621743"/>
        <n v="1754437"/>
        <n v="1754462"/>
        <n v="1754488"/>
        <n v="1754529"/>
        <n v="1754535"/>
        <n v="1754548"/>
        <n v="1754571"/>
        <n v="1754589"/>
        <n v="1754602"/>
        <n v="1754609"/>
        <n v="1754640"/>
        <n v="1754699"/>
        <n v="1754702"/>
        <n v="1754734"/>
        <n v="1754757"/>
        <n v="1754976"/>
        <n v="1755195"/>
        <n v="1755208"/>
        <n v="1756892"/>
        <n v="1756906"/>
        <n v="1757013"/>
        <n v="1757030"/>
        <n v="1757052"/>
        <n v="1757063"/>
        <n v="1757073"/>
        <n v="1757075"/>
        <n v="1757076"/>
        <n v="1757079"/>
        <n v="1757091"/>
        <n v="1757094"/>
        <n v="1757102"/>
        <n v="1757107"/>
        <n v="1757112"/>
        <n v="1757117"/>
        <n v="1757122"/>
        <n v="1757134"/>
        <n v="1757138"/>
        <n v="1757151"/>
        <n v="1757160"/>
        <n v="1757170"/>
        <n v="1757177"/>
        <n v="1757182"/>
        <n v="1757186"/>
        <n v="1757190"/>
        <n v="1757195"/>
        <n v="1757199"/>
        <n v="1757203"/>
        <n v="1757211"/>
        <n v="1757217"/>
        <n v="1757223"/>
        <n v="1757227"/>
        <n v="1757237"/>
        <n v="1757242"/>
        <n v="1757265"/>
        <n v="1757270"/>
        <n v="1757380"/>
        <n v="1757396"/>
        <n v="1757406"/>
        <n v="1757502"/>
        <n v="1757535"/>
        <n v="1760937"/>
        <n v="1760943"/>
        <n v="1760961"/>
        <n v="1760981"/>
        <n v="1761028"/>
        <n v="1761060"/>
        <n v="1761221"/>
        <n v="1761256"/>
        <n v="1761962"/>
        <n v="1762019"/>
        <n v="1762030"/>
        <n v="1762062"/>
        <n v="1762071"/>
        <n v="1762099"/>
        <n v="1236298"/>
        <n v="1762120"/>
        <n v="1762143"/>
        <n v="1762198"/>
        <n v="1762250"/>
        <n v="1762265"/>
        <n v="1762334"/>
        <n v="1762371"/>
        <n v="1762382"/>
        <n v="1762413"/>
        <n v="1762650"/>
        <n v="1762655"/>
        <n v="1762779"/>
        <n v="1763819"/>
        <n v="1763857"/>
        <n v="1763877"/>
        <n v="1763910"/>
        <n v="1763918"/>
        <n v="1763940"/>
        <n v="1763954"/>
        <n v="1764735"/>
        <n v="1765032"/>
        <n v="1765038"/>
        <n v="1765453"/>
        <n v="1770592"/>
        <n v="1770608"/>
        <n v="1770623"/>
        <n v="1771994"/>
        <n v="1780661"/>
        <n v="1780685"/>
        <n v="1780694"/>
        <n v="1780744"/>
        <n v="1783321"/>
        <n v="1785504"/>
        <n v="1785515"/>
        <n v="1789466"/>
        <n v="1789467"/>
        <n v="1789479"/>
        <n v="1789485"/>
        <n v="1789494"/>
        <n v="1789500"/>
        <n v="1790694"/>
        <n v="1791787"/>
        <n v="1791807"/>
        <n v="1791818"/>
        <n v="1791839"/>
        <n v="1791967"/>
        <n v="1791972"/>
        <n v="1796340"/>
        <n v="1796351"/>
        <n v="1796527"/>
        <n v="1796539"/>
        <n v="1796578"/>
        <n v="1796593"/>
        <n v="1796607"/>
        <n v="1796629"/>
        <n v="1796779"/>
        <n v="1796815"/>
        <n v="1797143"/>
        <n v="1055039"/>
        <n v="1797345"/>
        <n v="1797387"/>
        <n v="1797401"/>
        <n v="1797417"/>
        <n v="1797437"/>
        <n v="1797462"/>
        <n v="1797491"/>
        <n v="1797846"/>
        <n v="1797857"/>
        <n v="1797864"/>
        <n v="1797875"/>
        <n v="1797893"/>
        <n v="1797894"/>
        <n v="1797899"/>
        <n v="1797910"/>
        <n v="1798359"/>
        <n v="1802108"/>
        <n v="1802122"/>
        <n v="1802132"/>
        <n v="1802136"/>
        <n v="1803815"/>
        <n v="1803824"/>
        <n v="1803836"/>
        <n v="1803881"/>
        <n v="1803888"/>
        <n v="1804949"/>
        <n v="1806461"/>
        <n v="1807730"/>
        <n v="1807739"/>
        <n v="1808622"/>
        <n v="1808899"/>
        <n v="1810123"/>
        <n v="1810201"/>
        <n v="1811151"/>
        <n v="1811156"/>
        <n v="1812047"/>
        <n v="1812048"/>
        <n v="1812094"/>
        <n v="1812551"/>
        <n v="1812565"/>
        <n v="1812577"/>
        <n v="1812580"/>
        <n v="1813576"/>
        <n v="1813584"/>
        <n v="1813586"/>
        <n v="1813587"/>
        <n v="1813604"/>
        <n v="1815147"/>
        <n v="1815164"/>
        <n v="1815168"/>
        <n v="1815172"/>
        <n v="1815199"/>
        <n v="1815331"/>
        <n v="1815348"/>
        <n v="1817674"/>
        <n v="1819007"/>
        <n v="1819018"/>
        <n v="1819073"/>
        <n v="1819103"/>
        <n v="1819130"/>
        <n v="1819179"/>
        <n v="1819808"/>
        <n v="1820460"/>
        <n v="1820462"/>
        <n v="1820477"/>
        <n v="1822981"/>
        <n v="1824379"/>
        <n v="1824388"/>
        <n v="1824394"/>
        <n v="1824399"/>
        <n v="1824414"/>
        <n v="1824425"/>
        <n v="1824435"/>
        <n v="1824448"/>
        <n v="1825897"/>
        <n v="1300832"/>
        <n v="1825996"/>
        <n v="1826007"/>
        <n v="1826318"/>
        <n v="1827940"/>
        <n v="1827948"/>
        <n v="1827971"/>
        <n v="1831177"/>
        <n v="1831185"/>
        <n v="1831205"/>
        <n v="1831224"/>
        <n v="1831247"/>
        <n v="1831880"/>
        <n v="1831888"/>
        <n v="1831911"/>
        <n v="1834979"/>
        <n v="1835024"/>
        <n v="1835632"/>
        <n v="1835660"/>
        <n v="1835717"/>
        <n v="1835745"/>
        <n v="1835749"/>
        <n v="1837088"/>
        <n v="1837095"/>
        <n v="1837105"/>
        <n v="1842312"/>
        <n v="1842313"/>
        <n v="1842323"/>
        <n v="1842341"/>
        <n v="1847354"/>
        <n v="1847362"/>
        <n v="1847592"/>
        <n v="1847598"/>
        <n v="1850554"/>
        <n v="1850591"/>
        <n v="1853430"/>
        <n v="1853434"/>
        <n v="1853435"/>
        <n v="1853443"/>
        <n v="1853446"/>
        <n v="1853454"/>
        <n v="1853486"/>
        <n v="1853888"/>
        <n v="1854774"/>
        <n v="1854776"/>
        <n v="1854793"/>
        <n v="1854794"/>
        <n v="1854798"/>
        <n v="1854803"/>
        <n v="1854805"/>
        <n v="1854807"/>
        <n v="1854808"/>
        <n v="1854812"/>
        <n v="1854813"/>
        <n v="1854814"/>
        <n v="1854816"/>
        <n v="1854817"/>
        <n v="1854818"/>
        <n v="1854820"/>
        <n v="1854824"/>
        <n v="1854828"/>
        <n v="1854830"/>
        <n v="1854831"/>
        <n v="1854832"/>
        <n v="1854833"/>
        <n v="1854837"/>
        <n v="1854838"/>
        <n v="1854839"/>
        <n v="1854853"/>
        <n v="1854855"/>
        <n v="1854856"/>
        <n v="1854858"/>
        <n v="1854860"/>
        <n v="1854862"/>
        <n v="1854865"/>
        <n v="1854876"/>
        <n v="1854878"/>
        <n v="1854879"/>
        <n v="1854881"/>
        <n v="1854883"/>
        <n v="1854885"/>
        <n v="1854888"/>
        <n v="1854918"/>
      </sharedItems>
    </cacheField>
    <cacheField name="target" numFmtId="0">
      <sharedItems containsSemiMixedTypes="0" containsString="0" containsNumber="1" containsInteger="1" minValue="71007" maxValue="1854920" count="5783">
        <n v="155273"/>
        <n v="351348"/>
        <n v="155201"/>
        <n v="155289"/>
        <n v="351618"/>
        <n v="191524"/>
        <n v="156057"/>
        <n v="156688"/>
        <n v="156709"/>
        <n v="156827"/>
        <n v="156748"/>
        <n v="156671"/>
        <n v="179859"/>
        <n v="156805"/>
        <n v="156820"/>
        <n v="195583"/>
        <n v="157054"/>
        <n v="229866"/>
        <n v="229905"/>
        <n v="157060"/>
        <n v="160718"/>
        <n v="157084"/>
        <n v="160745"/>
        <n v="160734"/>
        <n v="200325"/>
        <n v="160806"/>
        <n v="200369"/>
        <n v="200351"/>
        <n v="168018"/>
        <n v="1076967"/>
        <n v="1077009"/>
        <n v="168215"/>
        <n v="612380"/>
        <n v="168099"/>
        <n v="1077029"/>
        <n v="1077043"/>
        <n v="168171"/>
        <n v="731627"/>
        <n v="1114154"/>
        <n v="1253639"/>
        <n v="731682"/>
        <n v="179972"/>
        <n v="179982"/>
        <n v="179987"/>
        <n v="326074"/>
        <n v="326129"/>
        <n v="1854791"/>
        <n v="326335"/>
        <n v="191235"/>
        <n v="191263"/>
        <n v="191288"/>
        <n v="228337"/>
        <n v="350651"/>
        <n v="346966"/>
        <n v="209022"/>
        <n v="347019"/>
        <n v="203093"/>
        <n v="203290"/>
        <n v="1328498"/>
        <n v="203586"/>
        <n v="203175"/>
        <n v="203142"/>
        <n v="203232"/>
        <n v="203169"/>
        <n v="203338"/>
        <n v="203361"/>
        <n v="744645"/>
        <n v="248129"/>
        <n v="248244"/>
        <n v="210545"/>
        <n v="211769"/>
        <n v="211777"/>
        <n v="211809"/>
        <n v="211847"/>
        <n v="210996"/>
        <n v="211952"/>
        <n v="211963"/>
        <n v="212002"/>
        <n v="212041"/>
        <n v="211646"/>
        <n v="212063"/>
        <n v="212076"/>
        <n v="212102"/>
        <n v="212139"/>
        <n v="211798"/>
        <n v="211784"/>
        <n v="264384"/>
        <n v="264414"/>
        <n v="211810"/>
        <n v="211839"/>
        <n v="264407"/>
        <n v="211979"/>
        <n v="211970"/>
        <n v="266412"/>
        <n v="212021"/>
        <n v="212035"/>
        <n v="266417"/>
        <n v="264541"/>
        <n v="212080"/>
        <n v="264500"/>
        <n v="212103"/>
        <n v="212132"/>
        <n v="264521"/>
        <n v="264493"/>
        <n v="213658"/>
        <n v="213691"/>
        <n v="285710"/>
        <n v="213685"/>
        <n v="233298"/>
        <n v="233331"/>
        <n v="285723"/>
        <n v="214601"/>
        <n v="214619"/>
        <n v="214627"/>
        <n v="331508"/>
        <n v="331553"/>
        <n v="214669"/>
        <n v="214588"/>
        <n v="331663"/>
        <n v="331611"/>
        <n v="218879"/>
        <n v="1757075"/>
        <n v="1761636"/>
        <n v="225466"/>
        <n v="1034760"/>
        <n v="225489"/>
        <n v="1034678"/>
        <n v="274954"/>
        <n v="274963"/>
        <n v="225581"/>
        <n v="225574"/>
        <n v="1263193"/>
        <n v="225540"/>
        <n v="359910"/>
        <n v="359930"/>
        <n v="1803928"/>
        <n v="262087"/>
        <n v="594543"/>
        <n v="634285"/>
        <n v="1301117"/>
        <n v="225667"/>
        <n v="262197"/>
        <n v="1303484"/>
        <n v="262251"/>
        <n v="225796"/>
        <n v="225918"/>
        <n v="594712"/>
        <n v="225839"/>
        <n v="1287650"/>
        <n v="262342"/>
        <n v="597181"/>
        <n v="1291078"/>
        <n v="1291062"/>
        <n v="226152"/>
        <n v="236795"/>
        <n v="236709"/>
        <n v="226166"/>
        <n v="236575"/>
        <n v="236898"/>
        <n v="453418"/>
        <n v="226287"/>
        <n v="226339"/>
        <n v="597274"/>
        <n v="226303"/>
        <n v="597282"/>
        <n v="226402"/>
        <n v="226441"/>
        <n v="1287926"/>
        <n v="226418"/>
        <n v="634037"/>
        <n v="236938"/>
        <n v="226742"/>
        <n v="237352"/>
        <n v="253571"/>
        <n v="1057080"/>
        <n v="1056976"/>
        <n v="1063833"/>
        <n v="1596703"/>
        <n v="229299"/>
        <n v="241331"/>
        <n v="241744"/>
        <n v="1081885"/>
        <n v="241059"/>
        <n v="229327"/>
        <n v="229931"/>
        <n v="351244"/>
        <n v="229365"/>
        <n v="229402"/>
        <n v="241303"/>
        <n v="241044"/>
        <n v="351513"/>
        <n v="241317"/>
        <n v="830975"/>
        <n v="231399"/>
        <n v="231375"/>
        <n v="830992"/>
        <n v="231348"/>
        <n v="831001"/>
        <n v="593071"/>
        <n v="231381"/>
        <n v="593078"/>
        <n v="231392"/>
        <n v="630261"/>
        <n v="232551"/>
        <n v="248884"/>
        <n v="263021"/>
        <n v="1849142"/>
        <n v="1287839"/>
        <n v="1849176"/>
        <n v="232649"/>
        <n v="332026"/>
        <n v="332455"/>
        <n v="232668"/>
        <n v="262405"/>
        <n v="232683"/>
        <n v="262417"/>
        <n v="232692"/>
        <n v="232704"/>
        <n v="232716"/>
        <n v="262588"/>
        <n v="232751"/>
        <n v="325618"/>
        <n v="232760"/>
        <n v="232800"/>
        <n v="249363"/>
        <n v="232815"/>
        <n v="262680"/>
        <n v="452144"/>
        <n v="232828"/>
        <n v="262698"/>
        <n v="232834"/>
        <n v="232847"/>
        <n v="262744"/>
        <n v="232855"/>
        <n v="323129"/>
        <n v="232890"/>
        <n v="323325"/>
        <n v="232898"/>
        <n v="323217"/>
        <n v="232965"/>
        <n v="323275"/>
        <n v="232977"/>
        <n v="281271"/>
        <n v="1513650"/>
        <n v="1513725"/>
        <n v="262878"/>
        <n v="233289"/>
        <n v="287096"/>
        <n v="287253"/>
        <n v="262962"/>
        <n v="233322"/>
        <n v="262957"/>
        <n v="233352"/>
        <n v="233359"/>
        <n v="233695"/>
        <n v="233704"/>
        <n v="233709"/>
        <n v="233717"/>
        <n v="233723"/>
        <n v="233728"/>
        <n v="1052664"/>
        <n v="235735"/>
        <n v="328068"/>
        <n v="328318"/>
        <n v="235743"/>
        <n v="235771"/>
        <n v="235776"/>
        <n v="235791"/>
        <n v="235797"/>
        <n v="1161983"/>
        <n v="634185"/>
        <n v="236603"/>
        <n v="1162003"/>
        <n v="261692"/>
        <n v="634214"/>
        <n v="236996"/>
        <n v="1391901"/>
        <n v="236965"/>
        <n v="244852"/>
        <n v="1258283"/>
        <n v="237024"/>
        <n v="237412"/>
        <n v="237118"/>
        <n v="1273513"/>
        <n v="237167"/>
        <n v="1461371"/>
        <n v="1109982"/>
        <n v="1461385"/>
        <n v="237291"/>
        <n v="1465541"/>
        <n v="1457814"/>
        <n v="1148895"/>
        <n v="1461773"/>
        <n v="237506"/>
        <n v="1391887"/>
        <n v="237597"/>
        <n v="591512"/>
        <n v="1273494"/>
        <n v="237654"/>
        <n v="1854829"/>
        <n v="263259"/>
        <n v="238775"/>
        <n v="1558481"/>
        <n v="238838"/>
        <n v="238846"/>
        <n v="239563"/>
        <n v="239569"/>
        <n v="1567587"/>
        <n v="240312"/>
        <n v="1567594"/>
        <n v="1854792"/>
        <n v="240993"/>
        <n v="240964"/>
        <n v="240969"/>
        <n v="1287096"/>
        <n v="240978"/>
        <n v="241509"/>
        <n v="241481"/>
        <n v="241691"/>
        <n v="338533"/>
        <n v="341391"/>
        <n v="241391"/>
        <n v="241598"/>
        <n v="1286914"/>
        <n v="1286994"/>
        <n v="1286945"/>
        <n v="1286962"/>
        <n v="244655"/>
        <n v="244696"/>
        <n v="244755"/>
        <n v="244664"/>
        <n v="244670"/>
        <n v="244685"/>
        <n v="244810"/>
        <n v="1854846"/>
        <n v="245339"/>
        <n v="249711"/>
        <n v="245360"/>
        <n v="266564"/>
        <n v="266557"/>
        <n v="264703"/>
        <n v="245888"/>
        <n v="245914"/>
        <n v="597304"/>
        <n v="245898"/>
        <n v="597252"/>
        <n v="247389"/>
        <n v="247507"/>
        <n v="247488"/>
        <n v="1536273"/>
        <n v="247396"/>
        <n v="247439"/>
        <n v="247433"/>
        <n v="1536181"/>
        <n v="1536159"/>
        <n v="248140"/>
        <n v="645047"/>
        <n v="625495"/>
        <n v="625484"/>
        <n v="248878"/>
        <n v="263020"/>
        <n v="365756"/>
        <n v="263061"/>
        <n v="263051"/>
        <n v="249333"/>
        <n v="325589"/>
        <n v="249391"/>
        <n v="249356"/>
        <n v="249467"/>
        <n v="108984"/>
        <n v="249369"/>
        <n v="249558"/>
        <n v="263081"/>
        <n v="249375"/>
        <n v="249386"/>
        <n v="263094"/>
        <n v="249494"/>
        <n v="249509"/>
        <n v="285295"/>
        <n v="262320"/>
        <n v="262373"/>
        <n v="92570"/>
        <n v="92578"/>
        <n v="249532"/>
        <n v="286492"/>
        <n v="249580"/>
        <n v="276887"/>
        <n v="249765"/>
        <n v="264806"/>
        <n v="249782"/>
        <n v="266753"/>
        <n v="264812"/>
        <n v="266787"/>
        <n v="253044"/>
        <n v="488448"/>
        <n v="430567"/>
        <n v="254938"/>
        <n v="254984"/>
        <n v="255000"/>
        <n v="254956"/>
        <n v="255071"/>
        <n v="255088"/>
        <n v="602428"/>
        <n v="556449"/>
        <n v="597346"/>
        <n v="255982"/>
        <n v="256038"/>
        <n v="579254"/>
        <n v="255988"/>
        <n v="541253"/>
        <n v="256046"/>
        <n v="256067"/>
        <n v="1307339"/>
        <n v="600792"/>
        <n v="262169"/>
        <n v="287773"/>
        <n v="287783"/>
        <n v="262303"/>
        <n v="262324"/>
        <n v="262345"/>
        <n v="278736"/>
        <n v="766799"/>
        <n v="331992"/>
        <n v="332224"/>
        <n v="262339"/>
        <n v="1757262"/>
        <n v="262403"/>
        <n v="1277120"/>
        <n v="600588"/>
        <n v="1160470"/>
        <n v="1277270"/>
        <n v="600684"/>
        <n v="1815304"/>
        <n v="281197"/>
        <n v="281215"/>
        <n v="281311"/>
        <n v="326002"/>
        <n v="286632"/>
        <n v="320518"/>
        <n v="264624"/>
        <n v="264633"/>
        <n v="266418"/>
        <n v="264673"/>
        <n v="266400"/>
        <n v="264680"/>
        <n v="1571131"/>
        <n v="1571197"/>
        <n v="1571099"/>
        <n v="1571111"/>
        <n v="265049"/>
        <n v="265084"/>
        <n v="265123"/>
        <n v="265059"/>
        <n v="265157"/>
        <n v="1292044"/>
        <n v="824500"/>
        <n v="273000"/>
        <n v="266773"/>
        <n v="287991"/>
        <n v="269231"/>
        <n v="1280434"/>
        <n v="1280437"/>
        <n v="1153865"/>
        <n v="1153906"/>
        <n v="273005"/>
        <n v="1360708"/>
        <n v="716655"/>
        <n v="719528"/>
        <n v="733245"/>
        <n v="274845"/>
        <n v="274810"/>
        <n v="274851"/>
        <n v="580544"/>
        <n v="580543"/>
        <n v="274832"/>
        <n v="274838"/>
        <n v="624026"/>
        <n v="623104"/>
        <n v="579009"/>
        <n v="621637"/>
        <n v="277335"/>
        <n v="794419"/>
        <n v="1692454"/>
        <n v="523187"/>
        <n v="740687"/>
        <n v="277388"/>
        <n v="628008"/>
        <n v="627828"/>
        <n v="315960"/>
        <n v="277450"/>
        <n v="643519"/>
        <n v="278681"/>
        <n v="278701"/>
        <n v="278721"/>
        <n v="278697"/>
        <n v="278735"/>
        <n v="1064174"/>
        <n v="1036367"/>
        <n v="280387"/>
        <n v="281262"/>
        <n v="281034"/>
        <n v="947482"/>
        <n v="947533"/>
        <n v="281503"/>
        <n v="281560"/>
        <n v="1045654"/>
        <n v="281516"/>
        <n v="281572"/>
        <n v="281536"/>
        <n v="461376"/>
        <n v="281612"/>
        <n v="281632"/>
        <n v="281609"/>
        <n v="1153102"/>
        <n v="917822"/>
        <n v="1152773"/>
        <n v="282174"/>
        <n v="1152794"/>
        <n v="917829"/>
        <n v="294511"/>
        <n v="282307"/>
        <n v="295316"/>
        <n v="1150681"/>
        <n v="1150928"/>
        <n v="282993"/>
        <n v="1156136"/>
        <n v="296433"/>
        <n v="283317"/>
        <n v="283347"/>
        <n v="974186"/>
        <n v="283356"/>
        <n v="283367"/>
        <n v="283357"/>
        <n v="293901"/>
        <n v="283374"/>
        <n v="283390"/>
        <n v="1854872"/>
        <n v="283407"/>
        <n v="283413"/>
        <n v="283408"/>
        <n v="283524"/>
        <n v="283470"/>
        <n v="283477"/>
        <n v="283537"/>
        <n v="974178"/>
        <n v="283549"/>
        <n v="283795"/>
        <n v="1552938"/>
        <n v="1161279"/>
        <n v="1162183"/>
        <n v="284378"/>
        <n v="1270287"/>
        <n v="1353413"/>
        <n v="1270304"/>
        <n v="734438"/>
        <n v="1353406"/>
        <n v="285576"/>
        <n v="293304"/>
        <n v="285607"/>
        <n v="285591"/>
        <n v="285639"/>
        <n v="285686"/>
        <n v="293331"/>
        <n v="285640"/>
        <n v="285672"/>
        <n v="293267"/>
        <n v="293294"/>
        <n v="287011"/>
        <n v="293678"/>
        <n v="295481"/>
        <n v="287148"/>
        <n v="287104"/>
        <n v="287111"/>
        <n v="287542"/>
        <n v="287169"/>
        <n v="287246"/>
        <n v="287260"/>
        <n v="287275"/>
        <n v="294255"/>
        <n v="488387"/>
        <n v="488308"/>
        <n v="290493"/>
        <n v="1854842"/>
        <n v="290597"/>
        <n v="290652"/>
        <n v="290697"/>
        <n v="290615"/>
        <n v="290791"/>
        <n v="290641"/>
        <n v="427856"/>
        <n v="427933"/>
        <n v="358209"/>
        <n v="358306"/>
        <n v="291813"/>
        <n v="632227"/>
        <n v="113916"/>
        <n v="291836"/>
        <n v="1039958"/>
        <n v="1046814"/>
        <n v="1046787"/>
        <n v="293466"/>
        <n v="293381"/>
        <n v="293404"/>
        <n v="1525442"/>
        <n v="293574"/>
        <n v="293477"/>
        <n v="1525049"/>
        <n v="1525045"/>
        <n v="293911"/>
        <n v="293924"/>
        <n v="293942"/>
        <n v="1854847"/>
        <n v="294257"/>
        <n v="1819179"/>
        <n v="294287"/>
        <n v="1621301"/>
        <n v="1621916"/>
        <n v="294294"/>
        <n v="1819189"/>
        <n v="1819224"/>
        <n v="1046136"/>
        <n v="294396"/>
        <n v="294420"/>
        <n v="294402"/>
        <n v="294544"/>
        <n v="294444"/>
        <n v="294463"/>
        <n v="294481"/>
        <n v="294509"/>
        <n v="294517"/>
        <n v="1819007"/>
        <n v="1045070"/>
        <n v="917710"/>
        <n v="1819018"/>
        <n v="1819033"/>
        <n v="1819047"/>
        <n v="294570"/>
        <n v="294585"/>
        <n v="294672"/>
        <n v="294719"/>
        <n v="294676"/>
        <n v="294691"/>
        <n v="294756"/>
        <n v="294777"/>
        <n v="294699"/>
        <n v="1819103"/>
        <n v="1819073"/>
        <n v="294744"/>
        <n v="1046032"/>
        <n v="1819130"/>
        <n v="1151758"/>
        <n v="921319"/>
        <n v="1156058"/>
        <n v="298863"/>
        <n v="1379407"/>
        <n v="1379754"/>
        <n v="1379559"/>
        <n v="1379414"/>
        <n v="435391"/>
        <n v="301604"/>
        <n v="435423"/>
        <n v="1152182"/>
        <n v="306697"/>
        <n v="984851"/>
        <n v="984889"/>
        <n v="311078"/>
        <n v="311127"/>
        <n v="311184"/>
        <n v="311126"/>
        <n v="1583790"/>
        <n v="1583718"/>
        <n v="311274"/>
        <n v="311290"/>
        <n v="1445349"/>
        <n v="1445308"/>
        <n v="315687"/>
        <n v="315743"/>
        <n v="315764"/>
        <n v="315721"/>
        <n v="315843"/>
        <n v="346204"/>
        <n v="1298158"/>
        <n v="986829"/>
        <n v="736345"/>
        <n v="321000"/>
        <n v="1842415"/>
        <n v="321104"/>
        <n v="321024"/>
        <n v="321025"/>
        <n v="321041"/>
        <n v="1211248"/>
        <n v="725739"/>
        <n v="322684"/>
        <n v="725731"/>
        <n v="728191"/>
        <n v="322714"/>
        <n v="322700"/>
        <n v="322733"/>
        <n v="725713"/>
        <n v="725657"/>
        <n v="322727"/>
        <n v="322861"/>
        <n v="322944"/>
        <n v="322867"/>
        <n v="734488"/>
        <n v="323187"/>
        <n v="323207"/>
        <n v="323242"/>
        <n v="323263"/>
        <n v="323274"/>
        <n v="323335"/>
        <n v="323577"/>
        <n v="323305"/>
        <n v="1017026"/>
        <n v="323493"/>
        <n v="1854825"/>
        <n v="323532"/>
        <n v="323564"/>
        <n v="323539"/>
        <n v="323608"/>
        <n v="1854795"/>
        <n v="288077"/>
        <n v="325898"/>
        <n v="325922"/>
        <n v="326204"/>
        <n v="325909"/>
        <n v="948257"/>
        <n v="945218"/>
        <n v="326643"/>
        <n v="945498"/>
        <n v="326635"/>
        <n v="325985"/>
        <n v="325991"/>
        <n v="326021"/>
        <n v="326008"/>
        <n v="326013"/>
        <n v="326015"/>
        <n v="326236"/>
        <n v="326281"/>
        <n v="326036"/>
        <n v="326302"/>
        <n v="326063"/>
        <n v="326255"/>
        <n v="326260"/>
        <n v="326403"/>
        <n v="326477"/>
        <n v="326210"/>
        <n v="326543"/>
        <n v="326570"/>
        <n v="326368"/>
        <n v="648163"/>
        <n v="326447"/>
        <n v="1797387"/>
        <n v="326400"/>
        <n v="326339"/>
        <n v="1797401"/>
        <n v="648172"/>
        <n v="328004"/>
        <n v="328198"/>
        <n v="328043"/>
        <n v="328308"/>
        <n v="328207"/>
        <n v="328199"/>
        <n v="328697"/>
        <n v="328242"/>
        <n v="329309"/>
        <n v="328350"/>
        <n v="328196"/>
        <n v="329055"/>
        <n v="329068"/>
        <n v="328257"/>
        <n v="1053393"/>
        <n v="328445"/>
        <n v="328876"/>
        <n v="328491"/>
        <n v="328463"/>
        <n v="328521"/>
        <n v="328540"/>
        <n v="328710"/>
        <n v="328496"/>
        <n v="1052884"/>
        <n v="328691"/>
        <n v="328548"/>
        <n v="328559"/>
        <n v="329331"/>
        <n v="329271"/>
        <n v="329010"/>
        <n v="329046"/>
        <n v="328981"/>
        <n v="329037"/>
        <n v="1052672"/>
        <n v="329113"/>
        <n v="329086"/>
        <n v="329901"/>
        <n v="1703037"/>
        <n v="329937"/>
        <n v="1498817"/>
        <n v="1498703"/>
        <n v="1501718"/>
        <n v="329910"/>
        <n v="1696605"/>
        <n v="1751461"/>
        <n v="1751557"/>
        <n v="330138"/>
        <n v="1589985"/>
        <n v="775322"/>
        <n v="330472"/>
        <n v="395203"/>
        <n v="330683"/>
        <n v="330709"/>
        <n v="330717"/>
        <n v="330735"/>
        <n v="330727"/>
        <n v="395173"/>
        <n v="331168"/>
        <n v="1499074"/>
        <n v="1502554"/>
        <n v="1502547"/>
        <n v="331175"/>
        <n v="1518033"/>
        <n v="688471"/>
        <n v="688441"/>
        <n v="331423"/>
        <n v="331436"/>
        <n v="331512"/>
        <n v="431853"/>
        <n v="331458"/>
        <n v="331476"/>
        <n v="1170457"/>
        <n v="331482"/>
        <n v="331497"/>
        <n v="331534"/>
        <n v="331541"/>
        <n v="331566"/>
        <n v="331576"/>
        <n v="332126"/>
        <n v="331599"/>
        <n v="331577"/>
        <n v="917559"/>
        <n v="332584"/>
        <n v="1363664"/>
        <n v="1363794"/>
        <n v="1854796"/>
        <n v="726939"/>
        <n v="726944"/>
        <n v="1239796"/>
        <n v="1499753"/>
        <n v="1499593"/>
        <n v="944789"/>
        <n v="344137"/>
        <n v="945733"/>
        <n v="362460"/>
        <n v="361978"/>
        <n v="362485"/>
        <n v="336880"/>
        <n v="362298"/>
        <n v="362525"/>
        <n v="362600"/>
        <n v="362201"/>
        <n v="362881"/>
        <n v="361995"/>
        <n v="362648"/>
        <n v="336984"/>
        <n v="362656"/>
        <n v="362779"/>
        <n v="362735"/>
        <n v="362785"/>
        <n v="337017"/>
        <n v="362114"/>
        <n v="363306"/>
        <n v="362173"/>
        <n v="361987"/>
        <n v="337165"/>
        <n v="337331"/>
        <n v="358154"/>
        <n v="337316"/>
        <n v="357882"/>
        <n v="337201"/>
        <n v="337269"/>
        <n v="358102"/>
        <n v="337260"/>
        <n v="357899"/>
        <n v="362363"/>
        <n v="358203"/>
        <n v="337356"/>
        <n v="358164"/>
        <n v="362612"/>
        <n v="362581"/>
        <n v="362801"/>
        <n v="337405"/>
        <n v="362606"/>
        <n v="362794"/>
        <n v="362649"/>
        <n v="358128"/>
        <n v="338534"/>
        <n v="338537"/>
        <n v="338653"/>
        <n v="621357"/>
        <n v="1295087"/>
        <n v="342728"/>
        <n v="342733"/>
        <n v="342754"/>
        <n v="342781"/>
        <n v="1295068"/>
        <n v="342763"/>
        <n v="342780"/>
        <n v="342851"/>
        <n v="342810"/>
        <n v="1295165"/>
        <n v="342880"/>
        <n v="342895"/>
        <n v="1295159"/>
        <n v="342933"/>
        <n v="342997"/>
        <n v="343064"/>
        <n v="1295043"/>
        <n v="343009"/>
        <n v="1295062"/>
        <n v="1295750"/>
        <n v="1295765"/>
        <n v="1295470"/>
        <n v="343719"/>
        <n v="1298446"/>
        <n v="343766"/>
        <n v="1295521"/>
        <n v="1295103"/>
        <n v="343979"/>
        <n v="356143"/>
        <n v="945719"/>
        <n v="343926"/>
        <n v="945705"/>
        <n v="343936"/>
        <n v="343938"/>
        <n v="945732"/>
        <n v="1558508"/>
        <n v="1298694"/>
        <n v="344396"/>
        <n v="344397"/>
        <n v="1297863"/>
        <n v="1298674"/>
        <n v="344521"/>
        <n v="646653"/>
        <n v="646677"/>
        <n v="344569"/>
        <n v="945782"/>
        <n v="344663"/>
        <n v="344688"/>
        <n v="945783"/>
        <n v="344790"/>
        <n v="344977"/>
        <n v="345153"/>
        <n v="345228"/>
        <n v="345325"/>
        <n v="345378"/>
        <n v="1115691"/>
        <n v="621565"/>
        <n v="345478"/>
        <n v="621546"/>
        <n v="1854797"/>
        <n v="1435166"/>
        <n v="1435176"/>
        <n v="1173462"/>
        <n v="1173457"/>
        <n v="936216"/>
        <n v="345756"/>
        <n v="1214393"/>
        <n v="1214388"/>
        <n v="960480"/>
        <n v="346249"/>
        <n v="918875"/>
        <n v="1068586"/>
        <n v="1356628"/>
        <n v="346256"/>
        <n v="1356471"/>
        <n v="1356545"/>
        <n v="346324"/>
        <n v="1356730"/>
        <n v="1406055"/>
        <n v="472648"/>
        <n v="1360975"/>
        <n v="346897"/>
        <n v="346916"/>
        <n v="346908"/>
        <n v="1114019"/>
        <n v="1112161"/>
        <n v="159316"/>
        <n v="348077"/>
        <n v="348177"/>
        <n v="348178"/>
        <n v="348120"/>
        <n v="1353744"/>
        <n v="1361178"/>
        <n v="348147"/>
        <n v="367803"/>
        <n v="456742"/>
        <n v="348174"/>
        <n v="456658"/>
        <n v="456792"/>
        <n v="1361244"/>
        <n v="1361333"/>
        <n v="825224"/>
        <n v="925452"/>
        <n v="467849"/>
        <n v="348344"/>
        <n v="1012151"/>
        <n v="1017402"/>
        <n v="466280"/>
        <n v="961913"/>
        <n v="961931"/>
        <n v="350615"/>
        <n v="350641"/>
        <n v="351455"/>
        <n v="350624"/>
        <n v="362669"/>
        <n v="350966"/>
        <n v="1291636"/>
        <n v="918860"/>
        <n v="351102"/>
        <n v="351267"/>
        <n v="1854790"/>
        <n v="1854776"/>
        <n v="351564"/>
        <n v="1854780"/>
        <n v="1854774"/>
        <n v="351797"/>
        <n v="351810"/>
        <n v="351827"/>
        <n v="351837"/>
        <n v="351986"/>
        <n v="352016"/>
        <n v="1547266"/>
        <n v="352008"/>
        <n v="352041"/>
        <n v="1547272"/>
        <n v="352017"/>
        <n v="1549335"/>
        <n v="600471"/>
        <n v="352237"/>
        <n v="352382"/>
        <n v="355738"/>
        <n v="352293"/>
        <n v="352446"/>
        <n v="352453"/>
        <n v="352477"/>
        <n v="783308"/>
        <n v="352562"/>
        <n v="352644"/>
        <n v="783522"/>
        <n v="352576"/>
        <n v="352671"/>
        <n v="352755"/>
        <n v="352734"/>
        <n v="356058"/>
        <n v="354422"/>
        <n v="354437"/>
        <n v="352828"/>
        <n v="353465"/>
        <n v="1571835"/>
        <n v="356326"/>
        <n v="352867"/>
        <n v="353925"/>
        <n v="352880"/>
        <n v="352886"/>
        <n v="352940"/>
        <n v="367537"/>
        <n v="352906"/>
        <n v="367682"/>
        <n v="352913"/>
        <n v="796518"/>
        <n v="365513"/>
        <n v="1566973"/>
        <n v="353679"/>
        <n v="353712"/>
        <n v="783234"/>
        <n v="353703"/>
        <n v="355461"/>
        <n v="353738"/>
        <n v="353765"/>
        <n v="353969"/>
        <n v="672933"/>
        <n v="672922"/>
        <n v="353790"/>
        <n v="673519"/>
        <n v="354156"/>
        <n v="354233"/>
        <n v="354093"/>
        <n v="354103"/>
        <n v="369971"/>
        <n v="1197597"/>
        <n v="354135"/>
        <n v="370088"/>
        <n v="1197536"/>
        <n v="354259"/>
        <n v="369798"/>
        <n v="354345"/>
        <n v="354373"/>
        <n v="1307366"/>
        <n v="354364"/>
        <n v="369465"/>
        <n v="369405"/>
        <n v="354504"/>
        <n v="354561"/>
        <n v="369541"/>
        <n v="354522"/>
        <n v="1812154"/>
        <n v="1812162"/>
        <n v="354996"/>
        <n v="355303"/>
        <n v="355075"/>
        <n v="355108"/>
        <n v="355176"/>
        <n v="355216"/>
        <n v="467585"/>
        <n v="518718"/>
        <n v="518640"/>
        <n v="717602"/>
        <n v="599379"/>
        <n v="355983"/>
        <n v="1174214"/>
        <n v="355615"/>
        <n v="355399"/>
        <n v="356184"/>
        <n v="356032"/>
        <n v="1593029"/>
        <n v="974427"/>
        <n v="1055681"/>
        <n v="1244227"/>
        <n v="355478"/>
        <n v="355488"/>
        <n v="355598"/>
        <n v="355566"/>
        <n v="369045"/>
        <n v="1251914"/>
        <n v="1813587"/>
        <n v="355609"/>
        <n v="1294611"/>
        <n v="1813604"/>
        <n v="355731"/>
        <n v="1825897"/>
        <n v="1294550"/>
        <n v="1825996"/>
        <n v="1825981"/>
        <n v="1826007"/>
        <n v="355915"/>
        <n v="1174617"/>
        <n v="1174631"/>
        <n v="355924"/>
        <n v="1174604"/>
        <n v="355991"/>
        <n v="1174636"/>
        <n v="1174216"/>
        <n v="1174239"/>
        <n v="1174245"/>
        <n v="662056"/>
        <n v="356142"/>
        <n v="356494"/>
        <n v="356511"/>
        <n v="1593026"/>
        <n v="670285"/>
        <n v="1610274"/>
        <n v="1714915"/>
        <n v="356523"/>
        <n v="519871"/>
        <n v="356761"/>
        <n v="1714782"/>
        <n v="1714798"/>
        <n v="356519"/>
        <n v="356622"/>
        <n v="283417"/>
        <n v="356849"/>
        <n v="672473"/>
        <n v="672427"/>
        <n v="1251681"/>
        <n v="356908"/>
        <n v="1055557"/>
        <n v="374676"/>
        <n v="357105"/>
        <n v="664979"/>
        <n v="951446"/>
        <n v="357724"/>
        <n v="1854799"/>
        <n v="357958"/>
        <n v="365562"/>
        <n v="1218215"/>
        <n v="1218257"/>
        <n v="366078"/>
        <n v="1359667"/>
        <n v="465883"/>
        <n v="465890"/>
        <n v="358109"/>
        <n v="1249607"/>
        <n v="1250987"/>
        <n v="1251042"/>
        <n v="1251095"/>
        <n v="358200"/>
        <n v="1251061"/>
        <n v="1251075"/>
        <n v="358234"/>
        <n v="1218232"/>
        <n v="1218267"/>
        <n v="1176907"/>
        <n v="1176953"/>
        <n v="1176917"/>
        <n v="1176926"/>
        <n v="358243"/>
        <n v="1742442"/>
        <n v="358325"/>
        <n v="1250668"/>
        <n v="358390"/>
        <n v="1250719"/>
        <n v="358411"/>
        <n v="1250777"/>
        <n v="358508"/>
        <n v="1250834"/>
        <n v="1177041"/>
        <n v="1177085"/>
        <n v="1263909"/>
        <n v="1767627"/>
        <n v="1245273"/>
        <n v="358711"/>
        <n v="358763"/>
        <n v="358728"/>
        <n v="369863"/>
        <n v="359579"/>
        <n v="779519"/>
        <n v="1308573"/>
        <n v="1212743"/>
        <n v="1269067"/>
        <n v="1269091"/>
        <n v="1055519"/>
        <n v="360401"/>
        <n v="420669"/>
        <n v="420697"/>
        <n v="1531303"/>
        <n v="1531268"/>
        <n v="360429"/>
        <n v="672986"/>
        <n v="360430"/>
        <n v="360436"/>
        <n v="1212998"/>
        <n v="360482"/>
        <n v="1248111"/>
        <n v="360488"/>
        <n v="360497"/>
        <n v="1248156"/>
        <n v="360525"/>
        <n v="1248312"/>
        <n v="360550"/>
        <n v="1248246"/>
        <n v="360570"/>
        <n v="360654"/>
        <n v="360691"/>
        <n v="1620526"/>
        <n v="360699"/>
        <n v="1176971"/>
        <n v="360832"/>
        <n v="360841"/>
        <n v="360954"/>
        <n v="1267545"/>
        <n v="1267547"/>
        <n v="1251840"/>
        <n v="1055926"/>
        <n v="1251827"/>
        <n v="361383"/>
        <n v="974682"/>
        <n v="974734"/>
        <n v="1251880"/>
        <n v="361634"/>
        <n v="368845"/>
        <n v="1194001"/>
        <n v="361651"/>
        <n v="1177175"/>
        <n v="369935"/>
        <n v="369881"/>
        <n v="362865"/>
        <n v="630485"/>
        <n v="621894"/>
        <n v="622414"/>
        <n v="362181"/>
        <n v="362663"/>
        <n v="363114"/>
        <n v="362703"/>
        <n v="362591"/>
        <n v="362597"/>
        <n v="363174"/>
        <n v="362741"/>
        <n v="1177758"/>
        <n v="362768"/>
        <n v="1177298"/>
        <n v="363094"/>
        <n v="1169989"/>
        <n v="362920"/>
        <n v="362805"/>
        <n v="362852"/>
        <n v="362962"/>
        <n v="362860"/>
        <n v="362870"/>
        <n v="362886"/>
        <n v="362913"/>
        <n v="1177635"/>
        <n v="975604"/>
        <n v="363213"/>
        <n v="363147"/>
        <n v="1177518"/>
        <n v="1177324"/>
        <n v="366815"/>
        <n v="363265"/>
        <n v="366750"/>
        <n v="1168672"/>
        <n v="363266"/>
        <n v="1168662"/>
        <n v="366613"/>
        <n v="1177423"/>
        <n v="365457"/>
        <n v="796400"/>
        <n v="782457"/>
        <n v="796432"/>
        <n v="365871"/>
        <n v="365570"/>
        <n v="365765"/>
        <n v="365830"/>
        <n v="365813"/>
        <n v="366000"/>
        <n v="1067779"/>
        <n v="1806461"/>
        <n v="366321"/>
        <n v="1307759"/>
        <n v="366326"/>
        <n v="367952"/>
        <n v="647963"/>
        <n v="366726"/>
        <n v="366751"/>
        <n v="366764"/>
        <n v="366873"/>
        <n v="366804"/>
        <n v="366797"/>
        <n v="366788"/>
        <n v="366793"/>
        <n v="367381"/>
        <n v="1177506"/>
        <n v="366805"/>
        <n v="1177408"/>
        <n v="367224"/>
        <n v="367242"/>
        <n v="782195"/>
        <n v="1056139"/>
        <n v="1271672"/>
        <n v="367572"/>
        <n v="974896"/>
        <n v="367898"/>
        <n v="367780"/>
        <n v="782228"/>
        <n v="367599"/>
        <n v="1306066"/>
        <n v="1168630"/>
        <n v="782312"/>
        <n v="975074"/>
        <n v="1056333"/>
        <n v="1308078"/>
        <n v="368078"/>
        <n v="960414"/>
        <n v="1854848"/>
        <n v="368090"/>
        <n v="665648"/>
        <n v="1287788"/>
        <n v="597259"/>
        <n v="1287780"/>
        <n v="368727"/>
        <n v="475631"/>
        <n v="690247"/>
        <n v="369027"/>
        <n v="369034"/>
        <n v="1055983"/>
        <n v="1251897"/>
        <n v="1822960"/>
        <n v="1694778"/>
        <n v="1058810"/>
        <n v="672660"/>
        <n v="672697"/>
        <n v="369797"/>
        <n v="373525"/>
        <n v="672870"/>
        <n v="1177168"/>
        <n v="1302231"/>
        <n v="672915"/>
        <n v="371650"/>
        <n v="371626"/>
        <n v="824789"/>
        <n v="371674"/>
        <n v="1388976"/>
        <n v="371794"/>
        <n v="371863"/>
        <n v="1358098"/>
        <n v="371880"/>
        <n v="1571849"/>
        <n v="458700"/>
        <n v="1296649"/>
        <n v="1296759"/>
        <n v="373466"/>
        <n v="373478"/>
        <n v="1169472"/>
        <n v="1223192"/>
        <n v="1092178"/>
        <n v="1092001"/>
        <n v="374652"/>
        <n v="1571858"/>
        <n v="1269059"/>
        <n v="1269083"/>
        <n v="375235"/>
        <n v="375471"/>
        <n v="1186105"/>
        <n v="674334"/>
        <n v="378304"/>
        <n v="378200"/>
        <n v="443013"/>
        <n v="1447922"/>
        <n v="1119242"/>
        <n v="1253113"/>
        <n v="1360613"/>
        <n v="1393732"/>
        <n v="1393621"/>
        <n v="1401504"/>
        <n v="1401426"/>
        <n v="1813848"/>
        <n v="381770"/>
        <n v="1337503"/>
        <n v="1569293"/>
        <n v="450606"/>
        <n v="450560"/>
        <n v="396197"/>
        <n v="420056"/>
        <n v="976673"/>
        <n v="600782"/>
        <n v="415878"/>
        <n v="1540900"/>
        <n v="1540904"/>
        <n v="415889"/>
        <n v="1354120"/>
        <n v="417666"/>
        <n v="417746"/>
        <n v="1276144"/>
        <n v="417678"/>
        <n v="1276220"/>
        <n v="489117"/>
        <n v="420194"/>
        <n v="449377"/>
        <n v="488618"/>
        <n v="449389"/>
        <n v="449378"/>
        <n v="420282"/>
        <n v="592221"/>
        <n v="1300689"/>
        <n v="420581"/>
        <n v="1460410"/>
        <n v="420752"/>
        <n v="420987"/>
        <n v="420877"/>
        <n v="421147"/>
        <n v="421191"/>
        <n v="421244"/>
        <n v="421149"/>
        <n v="421593"/>
        <n v="421234"/>
        <n v="421656"/>
        <n v="604721"/>
        <n v="421667"/>
        <n v="604762"/>
        <n v="1540872"/>
        <n v="1362670"/>
        <n v="1355042"/>
        <n v="1355067"/>
        <n v="424445"/>
        <n v="424499"/>
        <n v="424575"/>
        <n v="424463"/>
        <n v="424527"/>
        <n v="424473"/>
        <n v="424491"/>
        <n v="1453439"/>
        <n v="1025265"/>
        <n v="425421"/>
        <n v="1854919"/>
        <n v="1274011"/>
        <n v="426211"/>
        <n v="1854891"/>
        <n v="480048"/>
        <n v="427851"/>
        <n v="430596"/>
        <n v="430509"/>
        <n v="430547"/>
        <n v="429135"/>
        <n v="619605"/>
        <n v="1764767"/>
        <n v="405920"/>
        <n v="477756"/>
        <n v="477778"/>
        <n v="429330"/>
        <n v="1095056"/>
        <n v="477807"/>
        <n v="429372"/>
        <n v="429450"/>
        <n v="595726"/>
        <n v="429381"/>
        <n v="595737"/>
        <n v="429470"/>
        <n v="429532"/>
        <n v="447422"/>
        <n v="429490"/>
        <n v="447638"/>
        <n v="429600"/>
        <n v="429629"/>
        <n v="450508"/>
        <n v="429621"/>
        <n v="429650"/>
        <n v="429744"/>
        <n v="429658"/>
        <n v="429678"/>
        <n v="926783"/>
        <n v="429685"/>
        <n v="450640"/>
        <n v="429704"/>
        <n v="450862"/>
        <n v="429906"/>
        <n v="429961"/>
        <n v="926858"/>
        <n v="926875"/>
        <n v="429922"/>
        <n v="430004"/>
        <n v="430053"/>
        <n v="450262"/>
        <n v="430023"/>
        <n v="450288"/>
        <n v="430066"/>
        <n v="430135"/>
        <n v="490716"/>
        <n v="430080"/>
        <n v="430088"/>
        <n v="490718"/>
        <n v="430101"/>
        <n v="430110"/>
        <n v="430127"/>
        <n v="489103"/>
        <n v="430192"/>
        <n v="430248"/>
        <n v="450370"/>
        <n v="450383"/>
        <n v="430210"/>
        <n v="430263"/>
        <n v="430307"/>
        <n v="490719"/>
        <n v="430277"/>
        <n v="430426"/>
        <n v="430493"/>
        <n v="598298"/>
        <n v="430440"/>
        <n v="1275772"/>
        <n v="430510"/>
        <n v="430522"/>
        <n v="488607"/>
        <n v="997219"/>
        <n v="1225626"/>
        <n v="431864"/>
        <n v="432000"/>
        <n v="432008"/>
        <n v="439222"/>
        <n v="439419"/>
        <n v="439499"/>
        <n v="1854800"/>
        <n v="1012611"/>
        <n v="439440"/>
        <n v="439521"/>
        <n v="435415"/>
        <n v="1229532"/>
        <n v="1229525"/>
        <n v="439279"/>
        <n v="490103"/>
        <n v="439557"/>
        <n v="439583"/>
        <n v="1229706"/>
        <n v="439565"/>
        <n v="1229711"/>
        <n v="442800"/>
        <n v="442899"/>
        <n v="613259"/>
        <n v="442818"/>
        <n v="613314"/>
        <n v="443068"/>
        <n v="1115020"/>
        <n v="443024"/>
        <n v="1253118"/>
        <n v="443926"/>
        <n v="443984"/>
        <n v="444183"/>
        <n v="443934"/>
        <n v="444219"/>
        <n v="444024"/>
        <n v="444061"/>
        <n v="444209"/>
        <n v="444048"/>
        <n v="444252"/>
        <n v="444084"/>
        <n v="444161"/>
        <n v="444243"/>
        <n v="444107"/>
        <n v="1834710"/>
        <n v="444179"/>
        <n v="1854890"/>
        <n v="749584"/>
        <n v="733315"/>
        <n v="735292"/>
        <n v="932372"/>
        <n v="448103"/>
        <n v="448138"/>
        <n v="448263"/>
        <n v="448296"/>
        <n v="473270"/>
        <n v="448573"/>
        <n v="473280"/>
        <n v="473323"/>
        <n v="488885"/>
        <n v="386136"/>
        <n v="450461"/>
        <n v="450473"/>
        <n v="450494"/>
        <n v="450541"/>
        <n v="1058976"/>
        <n v="475605"/>
        <n v="1058933"/>
        <n v="1058987"/>
        <n v="451921"/>
        <n v="452268"/>
        <n v="451945"/>
        <n v="451937"/>
        <n v="451996"/>
        <n v="452040"/>
        <n v="452556"/>
        <n v="451997"/>
        <n v="452030"/>
        <n v="452232"/>
        <n v="452563"/>
        <n v="452079"/>
        <n v="931902"/>
        <n v="452103"/>
        <n v="452095"/>
        <n v="880807"/>
        <n v="938346"/>
        <n v="452138"/>
        <n v="452183"/>
        <n v="452606"/>
        <n v="452142"/>
        <n v="932076"/>
        <n v="931889"/>
        <n v="452152"/>
        <n v="1620935"/>
        <n v="816210"/>
        <n v="816167"/>
        <n v="452846"/>
        <n v="452787"/>
        <n v="452839"/>
        <n v="452798"/>
        <n v="452816"/>
        <n v="624215"/>
        <n v="452874"/>
        <n v="452822"/>
        <n v="71007"/>
        <n v="452992"/>
        <n v="579112"/>
        <n v="453001"/>
        <n v="579130"/>
        <n v="949431"/>
        <n v="456045"/>
        <n v="1178154"/>
        <n v="456366"/>
        <n v="456125"/>
        <n v="456231"/>
        <n v="456626"/>
        <n v="1581707"/>
        <n v="456373"/>
        <n v="456533"/>
        <n v="456573"/>
        <n v="456549"/>
        <n v="456544"/>
        <n v="456649"/>
        <n v="456595"/>
        <n v="456852"/>
        <n v="456691"/>
        <n v="824295"/>
        <n v="458634"/>
        <n v="1296455"/>
        <n v="1296777"/>
        <n v="1815419"/>
        <n v="458610"/>
        <n v="1301608"/>
        <n v="458611"/>
        <n v="458618"/>
        <n v="1301663"/>
        <n v="1815492"/>
        <n v="1055873"/>
        <n v="458744"/>
        <n v="1296655"/>
        <n v="974613"/>
        <n v="460432"/>
        <n v="1342897"/>
        <n v="1854801"/>
        <n v="460884"/>
        <n v="1357131"/>
        <n v="1365668"/>
        <n v="460914"/>
        <n v="677139"/>
        <n v="461039"/>
        <n v="1170291"/>
        <n v="460937"/>
        <n v="783484"/>
        <n v="461013"/>
        <n v="460945"/>
        <n v="460971"/>
        <n v="460963"/>
        <n v="460976"/>
        <n v="460983"/>
        <n v="783369"/>
        <n v="677129"/>
        <n v="1017229"/>
        <n v="1602641"/>
        <n v="1498856"/>
        <n v="1602649"/>
        <n v="462617"/>
        <n v="462625"/>
        <n v="1084173"/>
        <n v="462627"/>
        <n v="462676"/>
        <n v="462634"/>
        <n v="462644"/>
        <n v="1812615"/>
        <n v="462658"/>
        <n v="462668"/>
        <n v="1213863"/>
        <n v="925645"/>
        <n v="464882"/>
        <n v="925325"/>
        <n v="925366"/>
        <n v="925520"/>
        <n v="1600506"/>
        <n v="645664"/>
        <n v="1535514"/>
        <n v="465868"/>
        <n v="645576"/>
        <n v="1535744"/>
        <n v="646026"/>
        <n v="645922"/>
        <n v="646017"/>
        <n v="645929"/>
        <n v="961950"/>
        <n v="467676"/>
        <n v="467677"/>
        <n v="469742"/>
        <n v="469783"/>
        <n v="469799"/>
        <n v="1169218"/>
        <n v="1169265"/>
        <n v="469808"/>
        <n v="469848"/>
        <n v="1250125"/>
        <n v="1810201"/>
        <n v="1244075"/>
        <n v="1447426"/>
        <n v="1361908"/>
        <n v="1356527"/>
        <n v="1356762"/>
        <n v="1068469"/>
        <n v="1356754"/>
        <n v="473403"/>
        <n v="473309"/>
        <n v="1361096"/>
        <n v="473249"/>
        <n v="1363657"/>
        <n v="473274"/>
        <n v="472922"/>
        <n v="473257"/>
        <n v="473308"/>
        <n v="473226"/>
        <n v="1854806"/>
        <n v="1122561"/>
        <n v="1361153"/>
        <n v="473332"/>
        <n v="659061"/>
        <n v="474038"/>
        <n v="658978"/>
        <n v="474058"/>
        <n v="474067"/>
        <n v="474526"/>
        <n v="474537"/>
        <n v="474552"/>
        <n v="474559"/>
        <n v="437364"/>
        <n v="474745"/>
        <n v="474781"/>
        <n v="474788"/>
        <n v="475173"/>
        <n v="475180"/>
        <n v="475424"/>
        <n v="475432"/>
        <n v="475506"/>
        <n v="475460"/>
        <n v="1364713"/>
        <n v="475488"/>
        <n v="475480"/>
        <n v="475527"/>
        <n v="475570"/>
        <n v="1364730"/>
        <n v="475514"/>
        <n v="1494993"/>
        <n v="475528"/>
        <n v="475562"/>
        <n v="1361685"/>
        <n v="1361738"/>
        <n v="476550"/>
        <n v="957794"/>
        <n v="476859"/>
        <n v="476864"/>
        <n v="476865"/>
        <n v="476875"/>
        <n v="476876"/>
        <n v="476884"/>
        <n v="476941"/>
        <n v="476947"/>
        <n v="477288"/>
        <n v="477789"/>
        <n v="476948"/>
        <n v="477311"/>
        <n v="522565"/>
        <n v="477095"/>
        <n v="477106"/>
        <n v="477134"/>
        <n v="477144"/>
        <n v="477157"/>
        <n v="477163"/>
        <n v="1854802"/>
        <n v="477818"/>
        <n v="1359887"/>
        <n v="477798"/>
        <n v="477826"/>
        <n v="1059419"/>
        <n v="1059398"/>
        <n v="480059"/>
        <n v="480347"/>
        <n v="480357"/>
        <n v="1000179"/>
        <n v="488424"/>
        <n v="488425"/>
        <n v="488429"/>
        <n v="488432"/>
        <n v="1571298"/>
        <n v="489013"/>
        <n v="822430"/>
        <n v="1854849"/>
        <n v="489116"/>
        <n v="491693"/>
        <n v="439585"/>
        <n v="673225"/>
        <n v="509456"/>
        <n v="885208"/>
        <n v="885221"/>
        <n v="509699"/>
        <n v="509753"/>
        <n v="518781"/>
        <n v="509720"/>
        <n v="518859"/>
        <n v="518297"/>
        <n v="733299"/>
        <n v="763014"/>
        <n v="518291"/>
        <n v="861726"/>
        <n v="884140"/>
        <n v="518311"/>
        <n v="861711"/>
        <n v="518358"/>
        <n v="733331"/>
        <n v="518321"/>
        <n v="518382"/>
        <n v="735276"/>
        <n v="716967"/>
        <n v="887369"/>
        <n v="518407"/>
        <n v="951989"/>
        <n v="518424"/>
        <n v="733378"/>
        <n v="518435"/>
        <n v="873603"/>
        <n v="887440"/>
        <n v="733379"/>
        <n v="733373"/>
        <n v="518451"/>
        <n v="873604"/>
        <n v="884247"/>
        <n v="518461"/>
        <n v="1277018"/>
        <n v="1277008"/>
        <n v="518476"/>
        <n v="518553"/>
        <n v="518486"/>
        <n v="733396"/>
        <n v="733403"/>
        <n v="518507"/>
        <n v="714694"/>
        <n v="887596"/>
        <n v="518534"/>
        <n v="714686"/>
        <n v="518528"/>
        <n v="873651"/>
        <n v="884183"/>
        <n v="884204"/>
        <n v="873669"/>
        <n v="733326"/>
        <n v="518661"/>
        <n v="946421"/>
        <n v="734538"/>
        <n v="519787"/>
        <n v="519795"/>
        <n v="1609668"/>
        <n v="734567"/>
        <n v="518669"/>
        <n v="518709"/>
        <n v="518721"/>
        <n v="520036"/>
        <n v="518727"/>
        <n v="518771"/>
        <n v="520043"/>
        <n v="518846"/>
        <n v="734655"/>
        <n v="518866"/>
        <n v="734641"/>
        <n v="518869"/>
        <n v="1363672"/>
        <n v="735844"/>
        <n v="518975"/>
        <n v="519028"/>
        <n v="717464"/>
        <n v="734676"/>
        <n v="518981"/>
        <n v="519007"/>
        <n v="717544"/>
        <n v="735861"/>
        <n v="519021"/>
        <n v="518997"/>
        <n v="717531"/>
        <n v="717493"/>
        <n v="735910"/>
        <n v="1275989"/>
        <n v="734712"/>
        <n v="519114"/>
        <n v="946758"/>
        <n v="519124"/>
        <n v="519215"/>
        <n v="519309"/>
        <n v="734738"/>
        <n v="519223"/>
        <n v="519399"/>
        <n v="735949"/>
        <n v="735957"/>
        <n v="734760"/>
        <n v="1854804"/>
        <n v="519536"/>
        <n v="717584"/>
        <n v="519561"/>
        <n v="734783"/>
        <n v="519500"/>
        <n v="717590"/>
        <n v="717549"/>
        <n v="717569"/>
        <n v="519636"/>
        <n v="735985"/>
        <n v="519545"/>
        <n v="519657"/>
        <n v="734819"/>
        <n v="735996"/>
        <n v="519667"/>
        <n v="519818"/>
        <n v="356552"/>
        <n v="734627"/>
        <n v="734595"/>
        <n v="1259662"/>
        <n v="520106"/>
        <n v="520120"/>
        <n v="723694"/>
        <n v="1259654"/>
        <n v="519826"/>
        <n v="520142"/>
        <n v="1218464"/>
        <n v="519910"/>
        <n v="723626"/>
        <n v="519927"/>
        <n v="519918"/>
        <n v="1259667"/>
        <n v="519924"/>
        <n v="1391875"/>
        <n v="723525"/>
        <n v="519992"/>
        <n v="520011"/>
        <n v="723627"/>
        <n v="520001"/>
        <n v="723576"/>
        <n v="1259673"/>
        <n v="520039"/>
        <n v="1391882"/>
        <n v="520155"/>
        <n v="734607"/>
        <n v="950581"/>
        <n v="520266"/>
        <n v="734619"/>
        <n v="1854850"/>
        <n v="520382"/>
        <n v="520437"/>
        <n v="520401"/>
        <n v="520391"/>
        <n v="520481"/>
        <n v="717094"/>
        <n v="717057"/>
        <n v="520438"/>
        <n v="520469"/>
        <n v="733369"/>
        <n v="733360"/>
        <n v="733128"/>
        <n v="716426"/>
        <n v="733112"/>
        <n v="733145"/>
        <n v="733151"/>
        <n v="748560"/>
        <n v="716435"/>
        <n v="733136"/>
        <n v="733162"/>
        <n v="520950"/>
        <n v="716502"/>
        <n v="733464"/>
        <n v="733470"/>
        <n v="1359923"/>
        <n v="541329"/>
        <n v="600786"/>
        <n v="624887"/>
        <n v="600817"/>
        <n v="1328512"/>
        <n v="628154"/>
        <n v="825880"/>
        <n v="628919"/>
        <n v="541562"/>
        <n v="601229"/>
        <n v="825976"/>
        <n v="541600"/>
        <n v="601215"/>
        <n v="628971"/>
        <n v="541684"/>
        <n v="628981"/>
        <n v="541694"/>
        <n v="541703"/>
        <n v="672198"/>
        <n v="541763"/>
        <n v="601093"/>
        <n v="541786"/>
        <n v="541794"/>
        <n v="622399"/>
        <n v="541900"/>
        <n v="629779"/>
        <n v="601834"/>
        <n v="799009"/>
        <n v="799090"/>
        <n v="553487"/>
        <n v="1328490"/>
        <n v="556379"/>
        <n v="595491"/>
        <n v="595476"/>
        <n v="595550"/>
        <n v="595598"/>
        <n v="556460"/>
        <n v="556473"/>
        <n v="556476"/>
        <n v="611980"/>
        <n v="556483"/>
        <n v="556486"/>
        <n v="611960"/>
        <n v="610925"/>
        <n v="1204437"/>
        <n v="556936"/>
        <n v="601310"/>
        <n v="557791"/>
        <n v="580665"/>
        <n v="579669"/>
        <n v="579692"/>
        <n v="580657"/>
        <n v="558087"/>
        <n v="558131"/>
        <n v="623029"/>
        <n v="579836"/>
        <n v="621204"/>
        <n v="567512"/>
        <n v="621106"/>
        <n v="578148"/>
        <n v="600419"/>
        <n v="1114288"/>
        <n v="621736"/>
        <n v="578966"/>
        <n v="579866"/>
        <n v="621778"/>
        <n v="621785"/>
        <n v="799189"/>
        <n v="579107"/>
        <n v="824189"/>
        <n v="621849"/>
        <n v="623147"/>
        <n v="622044"/>
        <n v="623183"/>
        <n v="579231"/>
        <n v="623192"/>
        <n v="1205572"/>
        <n v="622137"/>
        <n v="623212"/>
        <n v="623219"/>
        <n v="1277697"/>
        <n v="580720"/>
        <n v="981960"/>
        <n v="580742"/>
        <n v="621008"/>
        <n v="622852"/>
        <n v="622858"/>
        <n v="621023"/>
        <n v="621211"/>
        <n v="606600"/>
        <n v="626535"/>
        <n v="606624"/>
        <n v="626540"/>
        <n v="622922"/>
        <n v="596812"/>
        <n v="580411"/>
        <n v="580361"/>
        <n v="621440"/>
        <n v="623076"/>
        <n v="580405"/>
        <n v="623083"/>
        <n v="621454"/>
        <n v="1592206"/>
        <n v="955573"/>
        <n v="1797154"/>
        <n v="673839"/>
        <n v="621474"/>
        <n v="623121"/>
        <n v="623126"/>
        <n v="621503"/>
        <n v="580841"/>
        <n v="949588"/>
        <n v="575553"/>
        <n v="580886"/>
        <n v="581026"/>
        <n v="581033"/>
        <n v="581046"/>
        <n v="581070"/>
        <n v="581052"/>
        <n v="774913"/>
        <n v="775023"/>
        <n v="581380"/>
        <n v="581434"/>
        <n v="656745"/>
        <n v="581441"/>
        <n v="581535"/>
        <n v="581536"/>
        <n v="581563"/>
        <n v="581565"/>
        <n v="581625"/>
        <n v="581633"/>
        <n v="581659"/>
        <n v="581698"/>
        <n v="581806"/>
        <n v="581811"/>
        <n v="581825"/>
        <n v="581827"/>
        <n v="582037"/>
        <n v="583692"/>
        <n v="571077"/>
        <n v="583729"/>
        <n v="583704"/>
        <n v="583768"/>
        <n v="571102"/>
        <n v="602423"/>
        <n v="960488"/>
        <n v="1854889"/>
        <n v="651465"/>
        <n v="651532"/>
        <n v="652520"/>
        <n v="591394"/>
        <n v="591556"/>
        <n v="591402"/>
        <n v="1457801"/>
        <n v="591465"/>
        <n v="591471"/>
        <n v="1457715"/>
        <n v="591488"/>
        <n v="1110008"/>
        <n v="1110064"/>
        <n v="1457875"/>
        <n v="1457792"/>
        <n v="1300646"/>
        <n v="1273578"/>
        <n v="1164013"/>
        <n v="591875"/>
        <n v="1531845"/>
        <n v="591920"/>
        <n v="591925"/>
        <n v="1531927"/>
        <n v="1461895"/>
        <n v="592047"/>
        <n v="1655795"/>
        <n v="1432935"/>
        <n v="1465770"/>
        <n v="941568"/>
        <n v="593207"/>
        <n v="592884"/>
        <n v="601285"/>
        <n v="1280487"/>
        <n v="593191"/>
        <n v="601241"/>
        <n v="621046"/>
        <n v="595493"/>
        <n v="982084"/>
        <n v="623449"/>
        <n v="1122573"/>
        <n v="932344"/>
        <n v="622986"/>
        <n v="1291070"/>
        <n v="1291096"/>
        <n v="597364"/>
        <n v="665872"/>
        <n v="597321"/>
        <n v="1287674"/>
        <n v="1530672"/>
        <n v="597421"/>
        <n v="634091"/>
        <n v="634066"/>
        <n v="452988"/>
        <n v="453008"/>
        <n v="597468"/>
        <n v="1291443"/>
        <n v="1291336"/>
        <n v="453052"/>
        <n v="453036"/>
        <n v="598072"/>
        <n v="598097"/>
        <n v="598221"/>
        <n v="598075"/>
        <n v="598270"/>
        <n v="1303459"/>
        <n v="599339"/>
        <n v="600113"/>
        <n v="601308"/>
        <n v="601321"/>
        <n v="601371"/>
        <n v="601432"/>
        <n v="600119"/>
        <n v="601474"/>
        <n v="601485"/>
        <n v="621677"/>
        <n v="634258"/>
        <n v="600128"/>
        <n v="621683"/>
        <n v="634220"/>
        <n v="621744"/>
        <n v="634328"/>
        <n v="1547278"/>
        <n v="1277098"/>
        <n v="1277249"/>
        <n v="600846"/>
        <n v="601125"/>
        <n v="601174"/>
        <n v="545211"/>
        <n v="601157"/>
        <n v="601170"/>
        <n v="600928"/>
        <n v="1114300"/>
        <n v="621775"/>
        <n v="825888"/>
        <n v="601098"/>
        <n v="1183932"/>
        <n v="1184086"/>
        <n v="825953"/>
        <n v="601262"/>
        <n v="601249"/>
        <n v="660264"/>
        <n v="601303"/>
        <n v="601277"/>
        <n v="621544"/>
        <n v="601351"/>
        <n v="621548"/>
        <n v="601392"/>
        <n v="601404"/>
        <n v="601453"/>
        <n v="601510"/>
        <n v="601529"/>
        <n v="601562"/>
        <n v="621751"/>
        <n v="601542"/>
        <n v="621861"/>
        <n v="634304"/>
        <n v="621336"/>
        <n v="621325"/>
        <n v="601899"/>
        <n v="601906"/>
        <n v="601924"/>
        <n v="601930"/>
        <n v="1591175"/>
        <n v="602188"/>
        <n v="1854882"/>
        <n v="602303"/>
        <n v="602323"/>
        <n v="602358"/>
        <n v="1835749"/>
        <n v="602337"/>
        <n v="622445"/>
        <n v="1835761"/>
        <n v="1355006"/>
        <n v="1354917"/>
        <n v="822035"/>
        <n v="1253793"/>
        <n v="1253875"/>
        <n v="610996"/>
        <n v="1253821"/>
        <n v="1253835"/>
        <n v="612442"/>
        <n v="612349"/>
        <n v="1072160"/>
        <n v="1072243"/>
        <n v="731635"/>
        <n v="1114141"/>
        <n v="612516"/>
        <n v="1208516"/>
        <n v="975600"/>
        <n v="613106"/>
        <n v="1250131"/>
        <n v="613109"/>
        <n v="613168"/>
        <n v="1114554"/>
        <n v="1096606"/>
        <n v="613187"/>
        <n v="613192"/>
        <n v="613240"/>
        <n v="1077405"/>
        <n v="619175"/>
        <n v="1204259"/>
        <n v="619187"/>
        <n v="778667"/>
        <n v="441708"/>
        <n v="619647"/>
        <n v="619985"/>
        <n v="1385707"/>
        <n v="1613340"/>
        <n v="932197"/>
        <n v="1036510"/>
        <n v="1036502"/>
        <n v="621071"/>
        <n v="567437"/>
        <n v="673778"/>
        <n v="648992"/>
        <n v="621252"/>
        <n v="623054"/>
        <n v="606671"/>
        <n v="955598"/>
        <n v="1052730"/>
        <n v="660252"/>
        <n v="621747"/>
        <n v="621873"/>
        <n v="621868"/>
        <n v="621971"/>
        <n v="1854851"/>
        <n v="622046"/>
        <n v="1854874"/>
        <n v="622054"/>
        <n v="622125"/>
        <n v="622130"/>
        <n v="622201"/>
        <n v="622207"/>
        <n v="622281"/>
        <n v="1854852"/>
        <n v="1072471"/>
        <n v="622386"/>
        <n v="1365666"/>
        <n v="622401"/>
        <n v="1363792"/>
        <n v="821962"/>
        <n v="1365600"/>
        <n v="622453"/>
        <n v="622531"/>
        <n v="982297"/>
        <n v="622880"/>
        <n v="622890"/>
        <n v="595532"/>
        <n v="623977"/>
        <n v="648861"/>
        <n v="1828019"/>
        <n v="579822"/>
        <n v="649004"/>
        <n v="623153"/>
        <n v="1050156"/>
        <n v="1052261"/>
        <n v="1797143"/>
        <n v="673855"/>
        <n v="1052295"/>
        <n v="624911"/>
        <n v="1835660"/>
        <n v="1785504"/>
        <n v="624945"/>
        <n v="624946"/>
        <n v="625026"/>
        <n v="1550914"/>
        <n v="624973"/>
        <n v="1785515"/>
        <n v="1244751"/>
        <n v="1835632"/>
        <n v="1244855"/>
        <n v="1605433"/>
        <n v="1306751"/>
        <n v="1307137"/>
        <n v="625449"/>
        <n v="628790"/>
        <n v="625456"/>
        <n v="625470"/>
        <n v="1835024"/>
        <n v="626235"/>
        <n v="626304"/>
        <n v="1153147"/>
        <n v="1153759"/>
        <n v="1152434"/>
        <n v="1153752"/>
        <n v="1834979"/>
        <n v="1156038"/>
        <n v="627813"/>
        <n v="1850595"/>
        <n v="1850801"/>
        <n v="1170429"/>
        <n v="1170383"/>
        <n v="1170401"/>
        <n v="1170414"/>
        <n v="628147"/>
        <n v="1770623"/>
        <n v="1770637"/>
        <n v="1770592"/>
        <n v="1770608"/>
        <n v="567100"/>
        <n v="1176203"/>
        <n v="632058"/>
        <n v="924946"/>
        <n v="931449"/>
        <n v="632079"/>
        <n v="1147726"/>
        <n v="632085"/>
        <n v="1161884"/>
        <n v="632092"/>
        <n v="632207"/>
        <n v="1143527"/>
        <n v="632214"/>
        <n v="1148220"/>
        <n v="632222"/>
        <n v="1145784"/>
        <n v="633556"/>
        <n v="1551469"/>
        <n v="633563"/>
        <n v="1280442"/>
        <n v="634065"/>
        <n v="634052"/>
        <n v="1854875"/>
        <n v="1854809"/>
        <n v="634132"/>
        <n v="1035179"/>
        <n v="636884"/>
        <n v="1753950"/>
        <n v="636937"/>
        <n v="1633182"/>
        <n v="636918"/>
        <n v="636911"/>
        <n v="1753953"/>
        <n v="1753932"/>
        <n v="1757641"/>
        <n v="1086235"/>
        <n v="736316"/>
        <n v="736303"/>
        <n v="1270193"/>
        <n v="640093"/>
        <n v="1270177"/>
        <n v="749787"/>
        <n v="1270102"/>
        <n v="1242074"/>
        <n v="1098477"/>
        <n v="1105372"/>
        <n v="642953"/>
        <n v="642988"/>
        <n v="1532406"/>
        <n v="1265436"/>
        <n v="1294102"/>
        <n v="644771"/>
        <n v="644779"/>
        <n v="1011342"/>
        <n v="1016914"/>
        <n v="1016951"/>
        <n v="645174"/>
        <n v="943505"/>
        <n v="1220506"/>
        <n v="645639"/>
        <n v="645627"/>
        <n v="1600423"/>
        <n v="1600416"/>
        <n v="645595"/>
        <n v="645607"/>
        <n v="1600436"/>
        <n v="645655"/>
        <n v="645797"/>
        <n v="645904"/>
        <n v="645915"/>
        <n v="645978"/>
        <n v="646047"/>
        <n v="646035"/>
        <n v="647964"/>
        <n v="736707"/>
        <n v="366498"/>
        <n v="1797437"/>
        <n v="1797491"/>
        <n v="648530"/>
        <n v="1831911"/>
        <n v="648521"/>
        <n v="1831888"/>
        <n v="1850554"/>
        <n v="1831880"/>
        <n v="1831943"/>
        <n v="1850591"/>
        <n v="1827940"/>
        <n v="648835"/>
        <n v="1827985"/>
        <n v="649016"/>
        <n v="649190"/>
        <n v="648936"/>
        <n v="1827948"/>
        <n v="1050182"/>
        <n v="1050042"/>
        <n v="1827971"/>
        <n v="651466"/>
        <n v="651476"/>
        <n v="673499"/>
        <n v="673244"/>
        <n v="651911"/>
        <n v="1291241"/>
        <n v="1602247"/>
        <n v="652356"/>
        <n v="652390"/>
        <n v="652431"/>
        <n v="652365"/>
        <n v="673409"/>
        <n v="652383"/>
        <n v="652440"/>
        <n v="652447"/>
        <n v="673434"/>
        <n v="654112"/>
        <n v="654127"/>
        <n v="1854823"/>
        <n v="654132"/>
        <n v="654178"/>
        <n v="654177"/>
        <n v="654306"/>
        <n v="654219"/>
        <n v="654338"/>
        <n v="675246"/>
        <n v="794428"/>
        <n v="720901"/>
        <n v="655359"/>
        <n v="655421"/>
        <n v="1812596"/>
        <n v="1098131"/>
        <n v="655460"/>
        <n v="655471"/>
        <n v="656453"/>
        <n v="656459"/>
        <n v="733236"/>
        <n v="718824"/>
        <n v="733170"/>
        <n v="656542"/>
        <n v="673584"/>
        <n v="656586"/>
        <n v="656662"/>
        <n v="656694"/>
        <n v="656705"/>
        <n v="656693"/>
        <n v="656727"/>
        <n v="656715"/>
        <n v="673388"/>
        <n v="1050101"/>
        <n v="656811"/>
        <n v="658647"/>
        <n v="1235508"/>
        <n v="658683"/>
        <n v="658696"/>
        <n v="658705"/>
        <n v="658712"/>
        <n v="658725"/>
        <n v="658731"/>
        <n v="658732"/>
        <n v="658738"/>
        <n v="658913"/>
        <n v="658914"/>
        <n v="658941"/>
        <n v="658947"/>
        <n v="658969"/>
        <n v="659063"/>
        <n v="659080"/>
        <n v="659073"/>
        <n v="659070"/>
        <n v="1235499"/>
        <n v="660669"/>
        <n v="660703"/>
        <n v="660365"/>
        <n v="660338"/>
        <n v="660402"/>
        <n v="662052"/>
        <n v="1250970"/>
        <n v="1251008"/>
        <n v="1306941"/>
        <n v="664445"/>
        <n v="664669"/>
        <n v="664660"/>
        <n v="664567"/>
        <n v="664714"/>
        <n v="981995"/>
        <n v="664846"/>
        <n v="664746"/>
        <n v="664794"/>
        <n v="664787"/>
        <n v="664894"/>
        <n v="664908"/>
        <n v="664780"/>
        <n v="981906"/>
        <n v="664920"/>
        <n v="664919"/>
        <n v="664993"/>
        <n v="1656119"/>
        <n v="665373"/>
        <n v="665422"/>
        <n v="824502"/>
        <n v="336016"/>
        <n v="665392"/>
        <n v="824666"/>
        <n v="665731"/>
        <n v="1530717"/>
        <n v="1530645"/>
        <n v="670332"/>
        <n v="1817647"/>
        <n v="821961"/>
        <n v="672414"/>
        <n v="1742443"/>
        <n v="672432"/>
        <n v="673072"/>
        <n v="673080"/>
        <n v="1812048"/>
        <n v="1812094"/>
        <n v="1091844"/>
        <n v="1092017"/>
        <n v="1092185"/>
        <n v="1302244"/>
        <n v="1531269"/>
        <n v="1531281"/>
        <n v="1206482"/>
        <n v="673595"/>
        <n v="673488"/>
        <n v="1050036"/>
        <n v="1050165"/>
        <n v="673996"/>
        <n v="690257"/>
        <n v="1570377"/>
        <n v="826286"/>
        <n v="979285"/>
        <n v="783800"/>
        <n v="785699"/>
        <n v="1173565"/>
        <n v="1757076"/>
        <n v="1854845"/>
        <n v="688458"/>
        <n v="829208"/>
        <n v="829200"/>
        <n v="462133"/>
        <n v="698484"/>
        <n v="732993"/>
        <n v="735357"/>
        <n v="698496"/>
        <n v="716304"/>
        <n v="698505"/>
        <n v="733008"/>
        <n v="732988"/>
        <n v="701153"/>
        <n v="701160"/>
        <n v="733427"/>
        <n v="733414"/>
        <n v="703262"/>
        <n v="734879"/>
        <n v="734886"/>
        <n v="721706"/>
        <n v="721719"/>
        <n v="711903"/>
        <n v="738188"/>
        <n v="738060"/>
        <n v="736353"/>
        <n v="714557"/>
        <n v="735215"/>
        <n v="745557"/>
        <n v="714685"/>
        <n v="714714"/>
        <n v="733032"/>
        <n v="716483"/>
        <n v="717607"/>
        <n v="716569"/>
        <n v="716490"/>
        <n v="1823981"/>
        <n v="775947"/>
        <n v="719186"/>
        <n v="716616"/>
        <n v="733177"/>
        <n v="780372"/>
        <n v="719129"/>
        <n v="716783"/>
        <n v="716681"/>
        <n v="716714"/>
        <n v="716775"/>
        <n v="718213"/>
        <n v="718222"/>
        <n v="716762"/>
        <n v="733288"/>
        <n v="733283"/>
        <n v="717008"/>
        <n v="733343"/>
        <n v="733353"/>
        <n v="717109"/>
        <n v="733364"/>
        <n v="717664"/>
        <n v="733578"/>
        <n v="734755"/>
        <n v="717665"/>
        <n v="717666"/>
        <n v="717670"/>
        <n v="717699"/>
        <n v="717702"/>
        <n v="717740"/>
        <n v="703449"/>
        <n v="717754"/>
        <n v="734475"/>
        <n v="733838"/>
        <n v="717798"/>
        <n v="717766"/>
        <n v="717788"/>
        <n v="733844"/>
        <n v="729870"/>
        <n v="729893"/>
        <n v="733546"/>
        <n v="717890"/>
        <n v="734737"/>
        <n v="717937"/>
        <n v="729957"/>
        <n v="729930"/>
        <n v="734847"/>
        <n v="720065"/>
        <n v="720186"/>
        <n v="734782"/>
        <n v="720071"/>
        <n v="720094"/>
        <n v="720174"/>
        <n v="734047"/>
        <n v="734040"/>
        <n v="720217"/>
        <n v="720220"/>
        <n v="720241"/>
        <n v="720297"/>
        <n v="734142"/>
        <n v="734870"/>
        <n v="734891"/>
        <n v="734173"/>
        <n v="734896"/>
        <n v="720427"/>
        <n v="734214"/>
        <n v="744348"/>
        <n v="734905"/>
        <n v="1159929"/>
        <n v="720511"/>
        <n v="720476"/>
        <n v="734246"/>
        <n v="720544"/>
        <n v="720577"/>
        <n v="720519"/>
        <n v="1159969"/>
        <n v="734310"/>
        <n v="720658"/>
        <n v="720769"/>
        <n v="734391"/>
        <n v="720666"/>
        <n v="720740"/>
        <n v="720685"/>
        <n v="744392"/>
        <n v="720690"/>
        <n v="720719"/>
        <n v="720757"/>
        <n v="744378"/>
        <n v="720837"/>
        <n v="734416"/>
        <n v="362919"/>
        <n v="794436"/>
        <n v="362911"/>
        <n v="741134"/>
        <n v="741143"/>
        <n v="723521"/>
        <n v="723483"/>
        <n v="723509"/>
        <n v="735467"/>
        <n v="749672"/>
        <n v="749662"/>
        <n v="749817"/>
        <n v="1270157"/>
        <n v="742716"/>
        <n v="742721"/>
        <n v="725718"/>
        <n v="728196"/>
        <n v="725725"/>
        <n v="1692549"/>
        <n v="1086193"/>
        <n v="1208946"/>
        <n v="728206"/>
        <n v="729886"/>
        <n v="729929"/>
        <n v="1357276"/>
        <n v="1366887"/>
        <n v="735605"/>
        <n v="744227"/>
        <n v="744218"/>
        <n v="1357361"/>
        <n v="1166895"/>
        <n v="1211358"/>
        <n v="1819833"/>
        <n v="731699"/>
        <n v="734848"/>
        <n v="733003"/>
        <n v="734592"/>
        <n v="733025"/>
        <n v="733040"/>
        <n v="733100"/>
        <n v="733047"/>
        <n v="1262962"/>
        <n v="1110126"/>
        <n v="1175795"/>
        <n v="733058"/>
        <n v="733067"/>
        <n v="747176"/>
        <n v="733066"/>
        <n v="759648"/>
        <n v="735183"/>
        <n v="759658"/>
        <n v="742659"/>
        <n v="733307"/>
        <n v="733336"/>
        <n v="745032"/>
        <n v="733477"/>
        <n v="733387"/>
        <n v="733448"/>
        <n v="733455"/>
        <n v="1362327"/>
        <n v="733459"/>
        <n v="1406400"/>
        <n v="733487"/>
        <n v="1359996"/>
        <n v="1401200"/>
        <n v="734343"/>
        <n v="734354"/>
        <n v="1360022"/>
        <n v="1393358"/>
        <n v="1086237"/>
        <n v="1362133"/>
        <n v="761267"/>
        <n v="740669"/>
        <n v="761571"/>
        <n v="736258"/>
        <n v="736289"/>
        <n v="736392"/>
        <n v="736268"/>
        <n v="736399"/>
        <n v="736331"/>
        <n v="736400"/>
        <n v="736326"/>
        <n v="739549"/>
        <n v="1806469"/>
        <n v="1616680"/>
        <n v="794410"/>
        <n v="1106296"/>
        <n v="1106352"/>
        <n v="1270219"/>
        <n v="742743"/>
        <n v="1367534"/>
        <n v="1393480"/>
        <n v="644897"/>
        <n v="770242"/>
        <n v="770319"/>
        <n v="770250"/>
        <n v="1298209"/>
        <n v="770267"/>
        <n v="770378"/>
        <n v="1298164"/>
        <n v="775347"/>
        <n v="775363"/>
        <n v="1752913"/>
        <n v="775380"/>
        <n v="1823989"/>
        <n v="1229505"/>
        <n v="778683"/>
        <n v="1160031"/>
        <n v="778673"/>
        <n v="1160201"/>
        <n v="1229693"/>
        <n v="1155893"/>
        <n v="1204286"/>
        <n v="1308567"/>
        <n v="779980"/>
        <n v="780008"/>
        <n v="1202377"/>
        <n v="779994"/>
        <n v="780218"/>
        <n v="779997"/>
        <n v="780210"/>
        <n v="347578"/>
        <n v="780033"/>
        <n v="1164743"/>
        <n v="1164747"/>
        <n v="917701"/>
        <n v="782197"/>
        <n v="1716625"/>
        <n v="1716598"/>
        <n v="783491"/>
        <n v="1716642"/>
        <n v="783827"/>
        <n v="1267578"/>
        <n v="784760"/>
        <n v="784781"/>
        <n v="785601"/>
        <n v="785533"/>
        <n v="785616"/>
        <n v="1813548"/>
        <n v="785659"/>
        <n v="785660"/>
        <n v="1813576"/>
        <n v="824350"/>
        <n v="785845"/>
        <n v="824434"/>
        <n v="1247964"/>
        <n v="785991"/>
        <n v="786008"/>
        <n v="786000"/>
        <n v="1253262"/>
        <n v="786021"/>
        <n v="1248864"/>
        <n v="786161"/>
        <n v="1255189"/>
        <n v="786316"/>
        <n v="786184"/>
        <n v="786495"/>
        <n v="786195"/>
        <n v="1311171"/>
        <n v="788639"/>
        <n v="788643"/>
        <n v="788660"/>
        <n v="788666"/>
        <n v="788677"/>
        <n v="1270199"/>
        <n v="799053"/>
        <n v="799063"/>
        <n v="1765105"/>
        <n v="1765050"/>
        <n v="1765038"/>
        <n v="876208"/>
        <n v="815991"/>
        <n v="933302"/>
        <n v="815860"/>
        <n v="876111"/>
        <n v="1149433"/>
        <n v="815869"/>
        <n v="815881"/>
        <n v="815870"/>
        <n v="815956"/>
        <n v="815954"/>
        <n v="815995"/>
        <n v="816243"/>
        <n v="816055"/>
        <n v="816056"/>
        <n v="816117"/>
        <n v="816104"/>
        <n v="816086"/>
        <n v="816096"/>
        <n v="816093"/>
        <n v="816200"/>
        <n v="816213"/>
        <n v="819251"/>
        <n v="819034"/>
        <n v="1260406"/>
        <n v="819307"/>
        <n v="819302"/>
        <n v="819095"/>
        <n v="819124"/>
        <n v="1260580"/>
        <n v="819432"/>
        <n v="819161"/>
        <n v="819178"/>
        <n v="819163"/>
        <n v="1260726"/>
        <n v="819544"/>
        <n v="1260715"/>
        <n v="1853899"/>
        <n v="819534"/>
        <n v="819536"/>
        <n v="819538"/>
        <n v="819545"/>
        <n v="819730"/>
        <n v="1853895"/>
        <n v="1655933"/>
        <n v="982932"/>
        <n v="819821"/>
        <n v="982902"/>
        <n v="821955"/>
        <n v="941238"/>
        <n v="822825"/>
        <n v="1824695"/>
        <n v="978654"/>
        <n v="825322"/>
        <n v="825033"/>
        <n v="824332"/>
        <n v="824532"/>
        <n v="824526"/>
        <n v="825050"/>
        <n v="826188"/>
        <n v="532023"/>
        <n v="532078"/>
        <n v="532072"/>
        <n v="826239"/>
        <n v="826281"/>
        <n v="1502606"/>
        <n v="1502600"/>
        <n v="1160005"/>
        <n v="831928"/>
        <n v="832043"/>
        <n v="1757396"/>
        <n v="831950"/>
        <n v="831967"/>
        <n v="832056"/>
        <n v="832028"/>
        <n v="1757406"/>
        <n v="833567"/>
        <n v="833417"/>
        <n v="837730"/>
        <n v="833394"/>
        <n v="837851"/>
        <n v="1853930"/>
        <n v="833674"/>
        <n v="1541064"/>
        <n v="837711"/>
        <n v="947864"/>
        <n v="833730"/>
        <n v="833689"/>
        <n v="834162"/>
        <n v="834256"/>
        <n v="833943"/>
        <n v="833968"/>
        <n v="833952"/>
        <n v="834283"/>
        <n v="834411"/>
        <n v="833983"/>
        <n v="834022"/>
        <n v="837171"/>
        <n v="834015"/>
        <n v="834211"/>
        <n v="834225"/>
        <n v="887273"/>
        <n v="837739"/>
        <n v="1541073"/>
        <n v="837718"/>
        <n v="837727"/>
        <n v="837790"/>
        <n v="1541059"/>
        <n v="837803"/>
        <n v="1853959"/>
        <n v="861689"/>
        <n v="884281"/>
        <n v="884168"/>
        <n v="884227"/>
        <n v="875437"/>
        <n v="875467"/>
        <n v="875447"/>
        <n v="1148925"/>
        <n v="891704"/>
        <n v="875533"/>
        <n v="875569"/>
        <n v="891705"/>
        <n v="875561"/>
        <n v="1148919"/>
        <n v="1148885"/>
        <n v="875576"/>
        <n v="875596"/>
        <n v="1148942"/>
        <n v="875577"/>
        <n v="1148963"/>
        <n v="891807"/>
        <n v="875626"/>
        <n v="875657"/>
        <n v="891819"/>
        <n v="875647"/>
        <n v="932621"/>
        <n v="1148954"/>
        <n v="875725"/>
        <n v="875749"/>
        <n v="931480"/>
        <n v="875748"/>
        <n v="891891"/>
        <n v="1143943"/>
        <n v="875776"/>
        <n v="875811"/>
        <n v="891905"/>
        <n v="875783"/>
        <n v="931489"/>
        <n v="932927"/>
        <n v="875826"/>
        <n v="875907"/>
        <n v="1143960"/>
        <n v="875864"/>
        <n v="892035"/>
        <n v="1143974"/>
        <n v="875935"/>
        <n v="876004"/>
        <n v="892044"/>
        <n v="875956"/>
        <n v="933039"/>
        <n v="933110"/>
        <n v="876034"/>
        <n v="933231"/>
        <n v="876128"/>
        <n v="876112"/>
        <n v="892203"/>
        <n v="876138"/>
        <n v="876189"/>
        <n v="892217"/>
        <n v="876141"/>
        <n v="879203"/>
        <n v="876164"/>
        <n v="876235"/>
        <n v="876260"/>
        <n v="892311"/>
        <n v="876279"/>
        <n v="876296"/>
        <n v="939318"/>
        <n v="876280"/>
        <n v="939358"/>
        <n v="879226"/>
        <n v="876375"/>
        <n v="879230"/>
        <n v="879252"/>
        <n v="879228"/>
        <n v="939342"/>
        <n v="939320"/>
        <n v="887813"/>
        <n v="887799"/>
        <n v="884145"/>
        <n v="884154"/>
        <n v="887837"/>
        <n v="887818"/>
        <n v="1577853"/>
        <n v="887775"/>
        <n v="887781"/>
        <n v="1577710"/>
        <n v="952146"/>
        <n v="952235"/>
        <n v="1854811"/>
        <n v="886113"/>
        <n v="894186"/>
        <n v="894219"/>
        <n v="1525158"/>
        <n v="886162"/>
        <n v="886169"/>
        <n v="886184"/>
        <n v="894261"/>
        <n v="886207"/>
        <n v="886217"/>
        <n v="894269"/>
        <n v="886223"/>
        <n v="886251"/>
        <n v="886259"/>
        <n v="886280"/>
        <n v="894349"/>
        <n v="952455"/>
        <n v="1204356"/>
        <n v="952202"/>
        <n v="904862"/>
        <n v="887645"/>
        <n v="887638"/>
        <n v="904786"/>
        <n v="888321"/>
        <n v="859076"/>
        <n v="904884"/>
        <n v="904906"/>
        <n v="961806"/>
        <n v="961808"/>
        <n v="961757"/>
        <n v="961768"/>
        <n v="960590"/>
        <n v="904875"/>
        <n v="1577642"/>
        <n v="904913"/>
        <n v="904926"/>
        <n v="1299701"/>
        <n v="917667"/>
        <n v="917682"/>
        <n v="1081944"/>
        <n v="917877"/>
        <n v="1081908"/>
        <n v="1834417"/>
        <n v="1834398"/>
        <n v="1081914"/>
        <n v="1081938"/>
        <n v="1081920"/>
        <n v="1081930"/>
        <n v="918794"/>
        <n v="918834"/>
        <n v="918807"/>
        <n v="931474"/>
        <n v="1525198"/>
        <n v="925392"/>
        <n v="1525237"/>
        <n v="925287"/>
        <n v="925494"/>
        <n v="925304"/>
        <n v="925298"/>
        <n v="925557"/>
        <n v="925650"/>
        <n v="925569"/>
        <n v="1524966"/>
        <n v="925506"/>
        <n v="957739"/>
        <n v="1525037"/>
        <n v="1260193"/>
        <n v="1260348"/>
        <n v="1524382"/>
        <n v="1524386"/>
        <n v="931378"/>
        <n v="931392"/>
        <n v="1229568"/>
        <n v="931384"/>
        <n v="1229574"/>
        <n v="1161718"/>
        <n v="931425"/>
        <n v="931443"/>
        <n v="1229633"/>
        <n v="931426"/>
        <n v="1229627"/>
        <n v="1161717"/>
        <n v="932109"/>
        <n v="932272"/>
        <n v="932283"/>
        <n v="932143"/>
        <n v="932150"/>
        <n v="932313"/>
        <n v="932162"/>
        <n v="932154"/>
        <n v="932479"/>
        <n v="932204"/>
        <n v="932219"/>
        <n v="932365"/>
        <n v="932208"/>
        <n v="938470"/>
        <n v="938857"/>
        <n v="1161274"/>
        <n v="1059644"/>
        <n v="1834993"/>
        <n v="935300"/>
        <n v="1017300"/>
        <n v="1017306"/>
        <n v="936120"/>
        <n v="936141"/>
        <n v="936154"/>
        <n v="936166"/>
        <n v="938367"/>
        <n v="938863"/>
        <n v="938613"/>
        <n v="938882"/>
        <n v="938628"/>
        <n v="938617"/>
        <n v="938917"/>
        <n v="938693"/>
        <n v="938710"/>
        <n v="938901"/>
        <n v="938704"/>
        <n v="939195"/>
        <n v="939223"/>
        <n v="939234"/>
        <n v="956910"/>
        <n v="939248"/>
        <n v="957006"/>
        <n v="939197"/>
        <n v="1854810"/>
        <n v="939314"/>
        <n v="1039413"/>
        <n v="1077636"/>
        <n v="1524982"/>
        <n v="941253"/>
        <n v="942426"/>
        <n v="942445"/>
        <n v="941547"/>
        <n v="941484"/>
        <n v="941485"/>
        <n v="941510"/>
        <n v="1854821"/>
        <n v="943019"/>
        <n v="1842526"/>
        <n v="943332"/>
        <n v="945283"/>
        <n v="945330"/>
        <n v="323551"/>
        <n v="1854836"/>
        <n v="943544"/>
        <n v="945412"/>
        <n v="945420"/>
        <n v="945503"/>
        <n v="945580"/>
        <n v="943611"/>
        <n v="945504"/>
        <n v="945511"/>
        <n v="943621"/>
        <n v="945099"/>
        <n v="943627"/>
        <n v="943633"/>
        <n v="1552659"/>
        <n v="943911"/>
        <n v="1854917"/>
        <n v="943905"/>
        <n v="1220319"/>
        <n v="1853430"/>
        <n v="944071"/>
        <n v="945654"/>
        <n v="1853468"/>
        <n v="945232"/>
        <n v="945350"/>
        <n v="1220599"/>
        <n v="945313"/>
        <n v="945323"/>
        <n v="1205259"/>
        <n v="945379"/>
        <n v="945385"/>
        <n v="945417"/>
        <n v="945406"/>
        <n v="945389"/>
        <n v="945433"/>
        <n v="945426"/>
        <n v="1205999"/>
        <n v="945527"/>
        <n v="945545"/>
        <n v="947480"/>
        <n v="1236482"/>
        <n v="946730"/>
        <n v="946757"/>
        <n v="1164916"/>
        <n v="1164933"/>
        <n v="1164858"/>
        <n v="1164892"/>
        <n v="947481"/>
        <n v="1209004"/>
        <n v="1218525"/>
        <n v="1209064"/>
        <n v="1218585"/>
        <n v="947539"/>
        <n v="947589"/>
        <n v="1209143"/>
        <n v="1218653"/>
        <n v="947796"/>
        <n v="947841"/>
        <n v="947843"/>
        <n v="947811"/>
        <n v="947845"/>
        <n v="947863"/>
        <n v="947862"/>
        <n v="947931"/>
        <n v="1853888"/>
        <n v="949503"/>
        <n v="1218458"/>
        <n v="758885"/>
        <n v="950599"/>
        <n v="950607"/>
        <n v="975129"/>
        <n v="1295789"/>
        <n v="1502352"/>
        <n v="951394"/>
        <n v="1448654"/>
        <n v="951397"/>
        <n v="1448639"/>
        <n v="1502333"/>
        <n v="1517915"/>
        <n v="1502374"/>
        <n v="1498929"/>
        <n v="1656115"/>
        <n v="952049"/>
        <n v="862141"/>
        <n v="1353172"/>
        <n v="1391833"/>
        <n v="954206"/>
        <n v="954240"/>
        <n v="1588427"/>
        <n v="954267"/>
        <n v="955547"/>
        <n v="955522"/>
        <n v="1052378"/>
        <n v="1052349"/>
        <n v="955588"/>
        <n v="1052490"/>
        <n v="1446976"/>
        <n v="1445426"/>
        <n v="1446350"/>
        <n v="957034"/>
        <n v="1854869"/>
        <n v="959684"/>
        <n v="959728"/>
        <n v="959763"/>
        <n v="959720"/>
        <n v="960532"/>
        <n v="960522"/>
        <n v="959774"/>
        <n v="959755"/>
        <n v="960508"/>
        <n v="960514"/>
        <n v="959793"/>
        <n v="959826"/>
        <n v="1305301"/>
        <n v="1305316"/>
        <n v="959838"/>
        <n v="959897"/>
        <n v="1305305"/>
        <n v="1305334"/>
        <n v="1581732"/>
        <n v="968007"/>
        <n v="1084581"/>
        <n v="1096879"/>
        <n v="1854887"/>
        <n v="969943"/>
        <n v="969952"/>
        <n v="969965"/>
        <n v="970013"/>
        <n v="1084221"/>
        <n v="969972"/>
        <n v="969986"/>
        <n v="1084247"/>
        <n v="970036"/>
        <n v="1213869"/>
        <n v="1099823"/>
        <n v="972160"/>
        <n v="979116"/>
        <n v="1083874"/>
        <n v="972167"/>
        <n v="1854892"/>
        <n v="1037091"/>
        <n v="1008753"/>
        <n v="1096891"/>
        <n v="1854920"/>
        <n v="1854854"/>
        <n v="1854893"/>
        <n v="1854913"/>
        <n v="1252611"/>
        <n v="1252664"/>
        <n v="974757"/>
        <n v="974792"/>
        <n v="1815348"/>
        <n v="974806"/>
        <n v="974856"/>
        <n v="1212397"/>
        <n v="1212730"/>
        <n v="1272258"/>
        <n v="975290"/>
        <n v="448431"/>
        <n v="1854870"/>
        <n v="979158"/>
        <n v="1083920"/>
        <n v="1854877"/>
        <n v="975260"/>
        <n v="975277"/>
        <n v="975318"/>
        <n v="975271"/>
        <n v="1034617"/>
        <n v="1781068"/>
        <n v="975338"/>
        <n v="1804949"/>
        <n v="1804954"/>
        <n v="1854815"/>
        <n v="1100062"/>
        <n v="1854916"/>
        <n v="982469"/>
        <n v="1854840"/>
        <n v="975612"/>
        <n v="975624"/>
        <n v="1854894"/>
        <n v="1084109"/>
        <n v="1096376"/>
        <n v="1854822"/>
        <n v="978711"/>
        <n v="983161"/>
        <n v="978729"/>
        <n v="1084417"/>
        <n v="978776"/>
        <n v="983169"/>
        <n v="982045"/>
        <n v="978910"/>
        <n v="978917"/>
        <n v="983309"/>
        <n v="978925"/>
        <n v="978940"/>
        <n v="1083706"/>
        <n v="978944"/>
        <n v="978960"/>
        <n v="1083738"/>
        <n v="978966"/>
        <n v="978982"/>
        <n v="1083744"/>
        <n v="978989"/>
        <n v="979004"/>
        <n v="1083785"/>
        <n v="979009"/>
        <n v="979025"/>
        <n v="1083792"/>
        <n v="979032"/>
        <n v="979042"/>
        <n v="1083816"/>
        <n v="979051"/>
        <n v="979079"/>
        <n v="1083821"/>
        <n v="979107"/>
        <n v="1083864"/>
        <n v="1025182"/>
        <n v="979167"/>
        <n v="979185"/>
        <n v="1083926"/>
        <n v="1854857"/>
        <n v="979213"/>
        <n v="1083965"/>
        <n v="1854880"/>
        <n v="979223"/>
        <n v="979240"/>
        <n v="1083972"/>
        <n v="979244"/>
        <n v="979256"/>
        <n v="1084007"/>
        <n v="979263"/>
        <n v="965032"/>
        <n v="1084015"/>
        <n v="1854895"/>
        <n v="967923"/>
        <n v="979334"/>
        <n v="979343"/>
        <n v="1084100"/>
        <n v="1854819"/>
        <n v="981021"/>
        <n v="981042"/>
        <n v="981136"/>
        <n v="981072"/>
        <n v="981050"/>
        <n v="981094"/>
        <n v="981107"/>
        <n v="1655832"/>
        <n v="1661337"/>
        <n v="1204452"/>
        <n v="982150"/>
        <n v="1655845"/>
        <n v="982265"/>
        <n v="982276"/>
        <n v="982379"/>
        <n v="1854859"/>
        <n v="982335"/>
        <n v="1263183"/>
        <n v="1854841"/>
        <n v="982690"/>
        <n v="1209240"/>
        <n v="1218699"/>
        <n v="982718"/>
        <n v="1215615"/>
        <n v="982868"/>
        <n v="983026"/>
        <n v="983044"/>
        <n v="1656205"/>
        <n v="1664980"/>
        <n v="982946"/>
        <n v="982982"/>
        <n v="1455225"/>
        <n v="982959"/>
        <n v="1455254"/>
        <n v="983068"/>
        <n v="983121"/>
        <n v="1656258"/>
        <n v="983147"/>
        <n v="983138"/>
        <n v="1656222"/>
        <n v="984897"/>
        <n v="990330"/>
        <n v="990343"/>
        <n v="1571331"/>
        <n v="990421"/>
        <n v="990410"/>
        <n v="990511"/>
        <n v="990517"/>
        <n v="1170474"/>
        <n v="967077"/>
        <n v="1000215"/>
        <n v="1572128"/>
        <n v="1010565"/>
        <n v="1010517"/>
        <n v="1616684"/>
        <n v="1005498"/>
        <n v="1010518"/>
        <n v="1010533"/>
        <n v="1010636"/>
        <n v="1010588"/>
        <n v="1005585"/>
        <n v="1010615"/>
        <n v="1010628"/>
        <n v="1010736"/>
        <n v="1010664"/>
        <n v="1006359"/>
        <n v="1016634"/>
        <n v="1006461"/>
        <n v="1226534"/>
        <n v="1012360"/>
        <n v="1012342"/>
        <n v="1006470"/>
        <n v="1006555"/>
        <n v="1006563"/>
        <n v="1016827"/>
        <n v="1009283"/>
        <n v="1010589"/>
        <n v="1010605"/>
        <n v="1009482"/>
        <n v="1009529"/>
        <n v="614116"/>
        <n v="1009509"/>
        <n v="1009522"/>
        <n v="1009592"/>
        <n v="1808945"/>
        <n v="1854896"/>
        <n v="1010689"/>
        <n v="1010704"/>
        <n v="1016487"/>
        <n v="1011677"/>
        <n v="1011683"/>
        <n v="1011746"/>
        <n v="1011753"/>
        <n v="1017172"/>
        <n v="1012284"/>
        <n v="1011802"/>
        <n v="1011830"/>
        <n v="1025219"/>
        <n v="1011864"/>
        <n v="1012181"/>
        <n v="1011872"/>
        <n v="1012215"/>
        <n v="1012209"/>
        <n v="1011880"/>
        <n v="1012182"/>
        <n v="1011888"/>
        <n v="1017215"/>
        <n v="1045653"/>
        <n v="1012119"/>
        <n v="1017397"/>
        <n v="1012132"/>
        <n v="1017519"/>
        <n v="1012251"/>
        <n v="1012303"/>
        <n v="1118721"/>
        <n v="1012269"/>
        <n v="1012328"/>
        <n v="1017485"/>
        <n v="1226474"/>
        <n v="1012426"/>
        <n v="1017563"/>
        <n v="1012469"/>
        <n v="1012457"/>
        <n v="1017534"/>
        <n v="1012617"/>
        <n v="1012673"/>
        <n v="1012680"/>
        <n v="1012732"/>
        <n v="1012738"/>
        <n v="1012835"/>
        <n v="1013629"/>
        <n v="1013582"/>
        <n v="1013609"/>
        <n v="1013623"/>
        <n v="1017764"/>
        <n v="893050"/>
        <n v="1014952"/>
        <n v="1014967"/>
        <n v="1017217"/>
        <n v="1017154"/>
        <n v="1017255"/>
        <n v="1017238"/>
        <n v="1006596"/>
        <n v="1014784"/>
        <n v="1014808"/>
        <n v="1014792"/>
        <n v="1014847"/>
        <n v="1015538"/>
        <n v="1014922"/>
        <n v="1014856"/>
        <n v="1024104"/>
        <n v="1014871"/>
        <n v="1024409"/>
        <n v="1014903"/>
        <n v="1027717"/>
        <n v="1015021"/>
        <n v="1015574"/>
        <n v="1016494"/>
        <n v="1016544"/>
        <n v="1854826"/>
        <n v="1016866"/>
        <n v="1016873"/>
        <n v="1016906"/>
        <n v="1016957"/>
        <n v="1016986"/>
        <n v="1016991"/>
        <n v="1017224"/>
        <n v="1017232"/>
        <n v="1017272"/>
        <n v="1017276"/>
        <n v="1017346"/>
        <n v="1017353"/>
        <n v="1017380"/>
        <n v="1017650"/>
        <n v="1854827"/>
        <n v="1854861"/>
        <n v="1025129"/>
        <n v="1025385"/>
        <n v="1025400"/>
        <n v="1025434"/>
        <n v="1025460"/>
        <n v="1025518"/>
        <n v="1025538"/>
        <n v="1025282"/>
        <n v="1025340"/>
        <n v="1025295"/>
        <n v="1112943"/>
        <n v="1453671"/>
        <n v="1112965"/>
        <n v="1453550"/>
        <n v="1024579"/>
        <n v="1032542"/>
        <n v="1086260"/>
        <n v="1571968"/>
        <n v="1034671"/>
        <n v="1035188"/>
        <n v="1036515"/>
        <n v="1280449"/>
        <n v="271969"/>
        <n v="1081951"/>
        <n v="1550904"/>
        <n v="1039517"/>
        <n v="1251253"/>
        <n v="1108862"/>
        <n v="1251259"/>
        <n v="109767"/>
        <n v="1040588"/>
        <n v="918139"/>
        <n v="1045935"/>
        <n v="1210915"/>
        <n v="1210953"/>
        <n v="1210100"/>
        <n v="1210066"/>
        <n v="1046163"/>
        <n v="1164648"/>
        <n v="1166934"/>
        <n v="1047239"/>
        <n v="1047244"/>
        <n v="1561951"/>
        <n v="1562156"/>
        <n v="1047260"/>
        <n v="1047291"/>
        <n v="1562177"/>
        <n v="1047265"/>
        <n v="1047266"/>
        <n v="1561941"/>
        <n v="1047298"/>
        <n v="1047372"/>
        <n v="1562114"/>
        <n v="1048365"/>
        <n v="1084519"/>
        <n v="1854897"/>
        <n v="1056112"/>
        <n v="1056034"/>
        <n v="1237450"/>
        <n v="1237443"/>
        <n v="1237534"/>
        <n v="1237508"/>
        <n v="1052216"/>
        <n v="1052723"/>
        <n v="1052277"/>
        <n v="1052468"/>
        <n v="1052697"/>
        <n v="1052469"/>
        <n v="1052653"/>
        <n v="1846660"/>
        <n v="1210861"/>
        <n v="1614734"/>
        <n v="1055588"/>
        <n v="1615942"/>
        <n v="1055996"/>
        <n v="1815331"/>
        <n v="1056253"/>
        <n v="1056348"/>
        <n v="1295018"/>
        <n v="1057190"/>
        <n v="1057850"/>
        <n v="1057095"/>
        <n v="1057160"/>
        <n v="1063880"/>
        <n v="1057530"/>
        <n v="1058610"/>
        <n v="1057187"/>
        <n v="1057672"/>
        <n v="1057755"/>
        <n v="1057770"/>
        <n v="1057387"/>
        <n v="1057332"/>
        <n v="1058249"/>
        <n v="1057372"/>
        <n v="1058439"/>
        <n v="1241123"/>
        <n v="1058716"/>
        <n v="1057444"/>
        <n v="1057487"/>
        <n v="1058240"/>
        <n v="1058097"/>
        <n v="1241139"/>
        <n v="1058758"/>
        <n v="1248968"/>
        <n v="1057604"/>
        <n v="1057562"/>
        <n v="1057633"/>
        <n v="1058190"/>
        <n v="1058176"/>
        <n v="1057838"/>
        <n v="1057806"/>
        <n v="1058365"/>
        <n v="1058630"/>
        <n v="1106697"/>
        <n v="1106743"/>
        <n v="1106798"/>
        <n v="1106784"/>
        <n v="1058793"/>
        <n v="1105890"/>
        <n v="1058387"/>
        <n v="1058417"/>
        <n v="1058398"/>
        <n v="1058407"/>
        <n v="1107068"/>
        <n v="1058551"/>
        <n v="1058491"/>
        <n v="1058655"/>
        <n v="1106725"/>
        <n v="1106844"/>
        <n v="1105882"/>
        <n v="1249021"/>
        <n v="1106850"/>
        <n v="1610288"/>
        <n v="1610328"/>
        <n v="1569267"/>
        <n v="1059028"/>
        <n v="1569101"/>
        <n v="1448943"/>
        <n v="1059210"/>
        <n v="1059046"/>
        <n v="1448901"/>
        <n v="1059135"/>
        <n v="1059253"/>
        <n v="1059152"/>
        <n v="1059242"/>
        <n v="1502689"/>
        <n v="1502721"/>
        <n v="1059219"/>
        <n v="1059259"/>
        <n v="1500485"/>
        <n v="1500456"/>
        <n v="1448019"/>
        <n v="1448013"/>
        <n v="1059389"/>
        <n v="1447896"/>
        <n v="1059395"/>
        <n v="1448006"/>
        <n v="1068920"/>
        <n v="1059408"/>
        <n v="1447902"/>
        <n v="1447909"/>
        <n v="1068661"/>
        <n v="1389205"/>
        <n v="1059507"/>
        <n v="1059578"/>
        <n v="1457447"/>
        <n v="1059571"/>
        <n v="1082487"/>
        <n v="1059637"/>
        <n v="1059736"/>
        <n v="1082364"/>
        <n v="1148454"/>
        <n v="1835047"/>
        <n v="1062746"/>
        <n v="1062794"/>
        <n v="1259467"/>
        <n v="1063028"/>
        <n v="1062985"/>
        <n v="1062692"/>
        <n v="1062743"/>
        <n v="1062883"/>
        <n v="1062776"/>
        <n v="1062726"/>
        <n v="1064864"/>
        <n v="1064048"/>
        <n v="1063583"/>
        <n v="1062865"/>
        <n v="1062778"/>
        <n v="1062825"/>
        <n v="1062787"/>
        <n v="1062934"/>
        <n v="1063102"/>
        <n v="1064452"/>
        <n v="1062950"/>
        <n v="1063054"/>
        <n v="1063801"/>
        <n v="1063849"/>
        <n v="1063574"/>
        <n v="1064560"/>
        <n v="1064381"/>
        <n v="1063635"/>
        <n v="1063773"/>
        <n v="1063790"/>
        <n v="1064516"/>
        <n v="1064351"/>
        <n v="1064337"/>
        <n v="1064217"/>
        <n v="1064259"/>
        <n v="1063995"/>
        <n v="1064059"/>
        <n v="1064000"/>
        <n v="1064066"/>
        <n v="1064077"/>
        <n v="1064427"/>
        <n v="1064200"/>
        <n v="1064266"/>
        <n v="1064253"/>
        <n v="1757324"/>
        <n v="1064239"/>
        <n v="1064252"/>
        <n v="1064945"/>
        <n v="1259329"/>
        <n v="1259395"/>
        <n v="1259348"/>
        <n v="1065033"/>
        <n v="1082414"/>
        <n v="1259524"/>
        <n v="1259544"/>
        <n v="1067554"/>
        <n v="1067598"/>
        <n v="1067571"/>
        <n v="1068477"/>
        <n v="1068550"/>
        <n v="1356777"/>
        <n v="1068485"/>
        <n v="1068594"/>
        <n v="1356700"/>
        <n v="1068757"/>
        <n v="1356687"/>
        <n v="1068752"/>
        <n v="1356131"/>
        <n v="1068643"/>
        <n v="1356102"/>
        <n v="1362035"/>
        <n v="1356641"/>
        <n v="1068811"/>
        <n v="1363690"/>
        <n v="1356103"/>
        <n v="1356715"/>
        <n v="1072002"/>
        <n v="1072019"/>
        <n v="1072147"/>
        <n v="1112244"/>
        <n v="1072163"/>
        <n v="1072217"/>
        <n v="1217329"/>
        <n v="1072216"/>
        <n v="1074456"/>
        <n v="1072176"/>
        <n v="1072210"/>
        <n v="1243694"/>
        <n v="1074865"/>
        <n v="1074899"/>
        <n v="1074923"/>
        <n v="1074891"/>
        <n v="1074921"/>
        <n v="1291627"/>
        <n v="1291538"/>
        <n v="1077436"/>
        <n v="1077507"/>
        <n v="1077722"/>
        <n v="1077692"/>
        <n v="1077662"/>
        <n v="1077734"/>
        <n v="1077794"/>
        <n v="1550910"/>
        <n v="1457385"/>
        <n v="1082610"/>
        <n v="1457404"/>
        <n v="1084189"/>
        <n v="1096451"/>
        <n v="1084149"/>
        <n v="1096407"/>
        <n v="1084155"/>
        <n v="1096416"/>
        <n v="1084214"/>
        <n v="1854863"/>
        <n v="1854886"/>
        <n v="1854864"/>
        <n v="1084423"/>
        <n v="1084462"/>
        <n v="1084468"/>
        <n v="1854915"/>
        <n v="1091886"/>
        <n v="1092053"/>
        <n v="1091849"/>
        <n v="1091994"/>
        <n v="1242778"/>
        <n v="1092011"/>
        <n v="1302225"/>
        <n v="1242722"/>
        <n v="1302238"/>
        <n v="1095065"/>
        <n v="1854898"/>
        <n v="1098415"/>
        <n v="1101951"/>
        <n v="1100053"/>
        <n v="1854834"/>
        <n v="1854914"/>
        <n v="1101833"/>
        <n v="1264308"/>
        <n v="1106950"/>
        <n v="1106875"/>
        <n v="1105365"/>
        <n v="1241937"/>
        <n v="1100054"/>
        <n v="1116635"/>
        <n v="1264290"/>
        <n v="1663567"/>
        <n v="1854835"/>
        <n v="1105779"/>
        <n v="1106889"/>
        <n v="1106086"/>
        <n v="1105784"/>
        <n v="1105795"/>
        <n v="1112392"/>
        <n v="1106097"/>
        <n v="1105918"/>
        <n v="1453477"/>
        <n v="1264264"/>
        <n v="1106987"/>
        <n v="1107020"/>
        <n v="1242103"/>
        <n v="1106151"/>
        <n v="1106307"/>
        <n v="1107027"/>
        <n v="1106219"/>
        <n v="1106215"/>
        <n v="1106181"/>
        <n v="1106547"/>
        <n v="1106189"/>
        <n v="1106386"/>
        <n v="1106508"/>
        <n v="1106242"/>
        <n v="1106250"/>
        <n v="1106325"/>
        <n v="1106256"/>
        <n v="1106257"/>
        <n v="1106564"/>
        <n v="1106291"/>
        <n v="1106402"/>
        <n v="1106381"/>
        <n v="1106358"/>
        <n v="1106462"/>
        <n v="1106466"/>
        <n v="1106422"/>
        <n v="1106427"/>
        <n v="1106585"/>
        <n v="1106571"/>
        <n v="1240804"/>
        <n v="1106433"/>
        <n v="1106655"/>
        <n v="1106622"/>
        <n v="1106963"/>
        <n v="1106661"/>
        <n v="1106614"/>
        <n v="1106976"/>
        <n v="1112166"/>
        <n v="1452839"/>
        <n v="1106737"/>
        <n v="1106806"/>
        <n v="1106856"/>
        <n v="1249084"/>
        <n v="1108950"/>
        <n v="1109017"/>
        <n v="1108998"/>
        <n v="1109060"/>
        <n v="1109124"/>
        <n v="1109074"/>
        <n v="1109193"/>
        <n v="1112348"/>
        <n v="1112355"/>
        <n v="1300651"/>
        <n v="1300673"/>
        <n v="1111445"/>
        <n v="1112632"/>
        <n v="1111486"/>
        <n v="1111473"/>
        <n v="1112692"/>
        <n v="1119037"/>
        <n v="1119082"/>
        <n v="1112195"/>
        <n v="1114022"/>
        <n v="1112495"/>
        <n v="1112686"/>
        <n v="1115616"/>
        <n v="1115619"/>
        <n v="1115626"/>
        <n v="1435186"/>
        <n v="1435151"/>
        <n v="1117151"/>
        <n v="1298430"/>
        <n v="1298448"/>
        <n v="1298557"/>
        <n v="1298572"/>
        <n v="1117282"/>
        <n v="1298536"/>
        <n v="1298551"/>
        <n v="1298640"/>
        <n v="1298615"/>
        <n v="1119200"/>
        <n v="1119116"/>
        <n v="1119099"/>
        <n v="1119162"/>
        <n v="1253742"/>
        <n v="1119209"/>
        <n v="1253166"/>
        <n v="1253152"/>
        <n v="1119249"/>
        <n v="1119417"/>
        <n v="1253832"/>
        <n v="1122566"/>
        <n v="1122567"/>
        <n v="1139160"/>
        <n v="1250981"/>
        <n v="1143559"/>
        <n v="278053"/>
        <n v="1147694"/>
        <n v="1149413"/>
        <n v="1213871"/>
        <n v="1146503"/>
        <n v="1354589"/>
        <n v="1596719"/>
        <n v="1148250"/>
        <n v="936605"/>
        <n v="1148927"/>
        <n v="1148926"/>
        <n v="1148932"/>
        <n v="893431"/>
        <n v="1153772"/>
        <n v="1153836"/>
        <n v="1153852"/>
        <n v="1209013"/>
        <n v="1151061"/>
        <n v="1234048"/>
        <n v="1153829"/>
        <n v="933626"/>
        <n v="1166912"/>
        <n v="1153154"/>
        <n v="933654"/>
        <n v="933642"/>
        <n v="1155909"/>
        <n v="1204262"/>
        <n v="1156045"/>
        <n v="1716117"/>
        <n v="1502661"/>
        <n v="1502634"/>
        <n v="1285447"/>
        <n v="1517822"/>
        <n v="1160486"/>
        <n v="1160507"/>
        <n v="1577178"/>
        <n v="1577151"/>
        <n v="1298359"/>
        <n v="1246492"/>
        <n v="1246511"/>
        <n v="1246516"/>
        <n v="1246527"/>
        <n v="1502271"/>
        <n v="1448271"/>
        <n v="1448301"/>
        <n v="1502277"/>
        <n v="1164022"/>
        <n v="1607688"/>
        <n v="1165956"/>
        <n v="1165943"/>
        <n v="1164677"/>
        <n v="1164679"/>
        <n v="1164692"/>
        <n v="1165973"/>
        <n v="1166058"/>
        <n v="1164693"/>
        <n v="1166968"/>
        <n v="1607720"/>
        <n v="1165148"/>
        <n v="1165163"/>
        <n v="1165172"/>
        <n v="1165897"/>
        <n v="1165904"/>
        <n v="1165836"/>
        <n v="1165174"/>
        <n v="1165866"/>
        <n v="1607698"/>
        <n v="1607704"/>
        <n v="1166797"/>
        <n v="1166789"/>
        <n v="1361318"/>
        <n v="1807739"/>
        <n v="1379580"/>
        <n v="1821039"/>
        <n v="1379046"/>
        <n v="1166959"/>
        <n v="1167069"/>
        <n v="1255317"/>
        <n v="1168652"/>
        <n v="1168660"/>
        <n v="1169244"/>
        <n v="1169801"/>
        <n v="1169091"/>
        <n v="1169678"/>
        <n v="1169334"/>
        <n v="1169541"/>
        <n v="1169628"/>
        <n v="1169093"/>
        <n v="1169350"/>
        <n v="1306026"/>
        <n v="1168691"/>
        <n v="1168736"/>
        <n v="1168793"/>
        <n v="1168805"/>
        <n v="1168823"/>
        <n v="1169582"/>
        <n v="1168854"/>
        <n v="1169161"/>
        <n v="1168968"/>
        <n v="1169404"/>
        <n v="1169512"/>
        <n v="1306015"/>
        <n v="1817674"/>
        <n v="1170463"/>
        <n v="1170496"/>
        <n v="1170475"/>
        <n v="1170478"/>
        <n v="1170484"/>
        <n v="1801659"/>
        <n v="1262925"/>
        <n v="1177050"/>
        <n v="1177077"/>
        <n v="1245557"/>
        <n v="1245563"/>
        <n v="1177213"/>
        <n v="1241691"/>
        <n v="1780818"/>
        <n v="1590005"/>
        <n v="1765453"/>
        <n v="1183897"/>
        <n v="1761962"/>
        <n v="1780661"/>
        <n v="1589663"/>
        <n v="1589818"/>
        <n v="1184099"/>
        <n v="1186165"/>
        <n v="1764735"/>
        <n v="1189756"/>
        <n v="1189773"/>
        <n v="1189757"/>
        <n v="1202296"/>
        <n v="1202331"/>
        <n v="1202382"/>
        <n v="1202307"/>
        <n v="1251541"/>
        <n v="1204364"/>
        <n v="1205589"/>
        <n v="1205598"/>
        <n v="1205805"/>
        <n v="1205889"/>
        <n v="1205890"/>
        <n v="1401584"/>
        <n v="1207586"/>
        <n v="1207592"/>
        <n v="1218340"/>
        <n v="1207587"/>
        <n v="1215651"/>
        <n v="1215661"/>
        <n v="1208521"/>
        <n v="1240175"/>
        <n v="1208539"/>
        <n v="1240203"/>
        <n v="1208544"/>
        <n v="1854866"/>
        <n v="1262340"/>
        <n v="1209016"/>
        <n v="1209055"/>
        <n v="1234021"/>
        <n v="1218610"/>
        <n v="1209148"/>
        <n v="1209156"/>
        <n v="1218634"/>
        <n v="1209163"/>
        <n v="1209232"/>
        <n v="1218704"/>
        <n v="1209306"/>
        <n v="1209337"/>
        <n v="1215642"/>
        <n v="1209837"/>
        <n v="1209394"/>
        <n v="1783342"/>
        <n v="1215677"/>
        <n v="1209579"/>
        <n v="1212643"/>
        <n v="1209621"/>
        <n v="1209667"/>
        <n v="1211360"/>
        <n v="1238658"/>
        <n v="1209933"/>
        <n v="1215639"/>
        <n v="1849308"/>
        <n v="1209926"/>
        <n v="1209902"/>
        <n v="1210108"/>
        <n v="1210976"/>
        <n v="1210936"/>
        <n v="1210875"/>
        <n v="1210923"/>
        <n v="1210869"/>
        <n v="1210889"/>
        <n v="1210900"/>
        <n v="1210967"/>
        <n v="1255139"/>
        <n v="1255133"/>
        <n v="1255128"/>
        <n v="1255134"/>
        <n v="1211319"/>
        <n v="1211433"/>
        <n v="1211425"/>
        <n v="1211458"/>
        <n v="1211532"/>
        <n v="1211438"/>
        <n v="1211498"/>
        <n v="1792384"/>
        <n v="1211504"/>
        <n v="1211525"/>
        <n v="1212417"/>
        <n v="1212405"/>
        <n v="1212648"/>
        <n v="1212974"/>
        <n v="1212916"/>
        <n v="936575"/>
        <n v="1215666"/>
        <n v="1215671"/>
        <n v="1218415"/>
        <n v="1218388"/>
        <n v="1220261"/>
        <n v="1220277"/>
        <n v="1220407"/>
        <n v="1220273"/>
        <n v="1220289"/>
        <n v="1220328"/>
        <n v="1605828"/>
        <n v="1220290"/>
        <n v="1220300"/>
        <n v="1220342"/>
        <n v="1220377"/>
        <n v="1552676"/>
        <n v="1220361"/>
        <n v="1220369"/>
        <n v="1220450"/>
        <n v="1616408"/>
        <n v="1614227"/>
        <n v="1605767"/>
        <n v="1220451"/>
        <n v="1220492"/>
        <n v="1220464"/>
        <n v="1616251"/>
        <n v="1616121"/>
        <n v="1616391"/>
        <n v="1225629"/>
        <n v="1229873"/>
        <n v="1229879"/>
        <n v="1853486"/>
        <n v="1616139"/>
        <n v="1616282"/>
        <n v="1616024"/>
        <n v="1616003"/>
        <n v="1236625"/>
        <n v="1616028"/>
        <n v="1237437"/>
        <n v="1237516"/>
        <n v="1237527"/>
        <n v="1237442"/>
        <n v="1237458"/>
        <n v="1239367"/>
        <n v="1399836"/>
        <n v="1239431"/>
        <n v="1239538"/>
        <n v="1239540"/>
        <n v="1239447"/>
        <n v="1239462"/>
        <n v="1239491"/>
        <n v="1239471"/>
        <n v="1497984"/>
        <n v="1497902"/>
        <n v="1239823"/>
        <n v="1240913"/>
        <n v="1241823"/>
        <n v="1241841"/>
        <n v="1240914"/>
        <n v="1241563"/>
        <n v="1241554"/>
        <n v="1240951"/>
        <n v="1240970"/>
        <n v="1241680"/>
        <n v="1240981"/>
        <n v="1241924"/>
        <n v="1241946"/>
        <n v="1241705"/>
        <n v="1241721"/>
        <n v="1506520"/>
        <n v="1241980"/>
        <n v="1241993"/>
        <n v="1242515"/>
        <n v="1242529"/>
        <n v="1242665"/>
        <n v="1242872"/>
        <n v="1242592"/>
        <n v="1242600"/>
        <n v="1242779"/>
        <n v="1242647"/>
        <n v="1244036"/>
        <n v="1810042"/>
        <n v="1244116"/>
        <n v="1244130"/>
        <n v="1244337"/>
        <n v="1810247"/>
        <n v="1244089"/>
        <n v="1244159"/>
        <n v="1754147"/>
        <n v="1757535"/>
        <n v="1757568"/>
        <n v="1244173"/>
        <n v="1810285"/>
        <n v="1244228"/>
        <n v="1809095"/>
        <n v="1810129"/>
        <n v="1809128"/>
        <n v="1810123"/>
        <n v="1810307"/>
        <n v="1244196"/>
        <n v="1244211"/>
        <n v="1244243"/>
        <n v="1244272"/>
        <n v="1244249"/>
        <n v="1244308"/>
        <n v="1447325"/>
        <n v="1447394"/>
        <n v="1244291"/>
        <n v="1244280"/>
        <n v="1244301"/>
        <n v="1244350"/>
        <n v="1244363"/>
        <n v="1244364"/>
        <n v="1244379"/>
        <n v="1244456"/>
        <n v="1244772"/>
        <n v="1244809"/>
        <n v="1245321"/>
        <n v="1245454"/>
        <n v="1248073"/>
        <n v="1614721"/>
        <n v="1248882"/>
        <n v="1248119"/>
        <n v="1249047"/>
        <n v="1249032"/>
        <n v="1249071"/>
        <n v="1584608"/>
        <n v="1584597"/>
        <n v="1584581"/>
        <n v="1584640"/>
        <n v="1312437"/>
        <n v="1251302"/>
        <n v="1251321"/>
        <n v="1312378"/>
        <n v="1837088"/>
        <n v="1837095"/>
        <n v="1837105"/>
        <n v="1837115"/>
        <n v="1251308"/>
        <n v="1251314"/>
        <n v="1251504"/>
        <n v="1790694"/>
        <n v="1252648"/>
        <n v="1252632"/>
        <n v="1253247"/>
        <n v="1253255"/>
        <n v="1253654"/>
        <n v="1253664"/>
        <n v="1117432"/>
        <n v="1117438"/>
        <n v="1254835"/>
        <n v="1254850"/>
        <n v="1254963"/>
        <n v="1754129"/>
        <n v="1255078"/>
        <n v="1254886"/>
        <n v="1255074"/>
        <n v="1254887"/>
        <n v="1254897"/>
        <n v="1254917"/>
        <n v="1254924"/>
        <n v="1255254"/>
        <n v="1254943"/>
        <n v="1255274"/>
        <n v="1255219"/>
        <n v="1255334"/>
        <n v="1400977"/>
        <n v="1255951"/>
        <n v="1547873"/>
        <n v="1255861"/>
        <n v="1255867"/>
        <n v="1255891"/>
        <n v="1547897"/>
        <n v="1255895"/>
        <n v="1255920"/>
        <n v="1548053"/>
        <n v="1548056"/>
        <n v="1255960"/>
        <n v="1363644"/>
        <n v="1255966"/>
        <n v="1451473"/>
        <n v="1255981"/>
        <n v="1548402"/>
        <n v="1451397"/>
        <n v="1548140"/>
        <n v="1256030"/>
        <n v="1548129"/>
        <n v="1549146"/>
        <n v="1451131"/>
        <n v="1258291"/>
        <n v="1854867"/>
        <n v="1259402"/>
        <n v="1449306"/>
        <n v="1259530"/>
        <n v="1449292"/>
        <n v="1260259"/>
        <n v="1260267"/>
        <n v="1260656"/>
        <n v="1260272"/>
        <n v="1260305"/>
        <n v="1260288"/>
        <n v="1260323"/>
        <n v="1260337"/>
        <n v="1260513"/>
        <n v="1260384"/>
        <n v="1262138"/>
        <n v="1621498"/>
        <n v="1262147"/>
        <n v="1262143"/>
        <n v="1262166"/>
        <n v="1262187"/>
        <n v="1262167"/>
        <n v="1262183"/>
        <n v="1267535"/>
        <n v="1262302"/>
        <n v="1262329"/>
        <n v="1262937"/>
        <n v="1262984"/>
        <n v="1262994"/>
        <n v="1815310"/>
        <n v="1170986"/>
        <n v="1264323"/>
        <n v="1300784"/>
        <n v="1294187"/>
        <n v="1265470"/>
        <n v="1300796"/>
        <n v="1432423"/>
        <n v="1296772"/>
        <n v="1296767"/>
        <n v="466236"/>
        <n v="1269075"/>
        <n v="1270299"/>
        <n v="1365962"/>
        <n v="1359872"/>
        <n v="1360052"/>
        <n v="419988"/>
        <n v="419951"/>
        <n v="1273971"/>
        <n v="1273994"/>
        <n v="1273979"/>
        <n v="1274054"/>
        <n v="1854868"/>
        <n v="1275213"/>
        <n v="1275287"/>
        <n v="1275280"/>
        <n v="1361247"/>
        <n v="1275228"/>
        <n v="1361240"/>
        <n v="1275999"/>
        <n v="1276012"/>
        <n v="1276087"/>
        <n v="1276103"/>
        <n v="1276137"/>
        <n v="1277055"/>
        <n v="1277062"/>
        <n v="1277059"/>
        <n v="1291516"/>
        <n v="1277254"/>
        <n v="1278094"/>
        <n v="1278109"/>
        <n v="1278381"/>
        <n v="1278100"/>
        <n v="1278515"/>
        <n v="1854884"/>
        <n v="1285529"/>
        <n v="1501842"/>
        <n v="1285519"/>
        <n v="1454836"/>
        <n v="1501846"/>
        <n v="1501861"/>
        <n v="1448879"/>
        <n v="1448929"/>
        <n v="1501851"/>
        <n v="1287039"/>
        <n v="1286869"/>
        <n v="1286951"/>
        <n v="1502487"/>
        <n v="1502506"/>
        <n v="1287001"/>
        <n v="1287669"/>
        <n v="1803888"/>
        <n v="1803815"/>
        <n v="1530707"/>
        <n v="1530772"/>
        <n v="1291319"/>
        <n v="1291183"/>
        <n v="1291189"/>
        <n v="1291195"/>
        <n v="1757000"/>
        <n v="1291275"/>
        <n v="1291224"/>
        <n v="1291216"/>
        <n v="1753306"/>
        <n v="1291531"/>
        <n v="1459275"/>
        <n v="1459316"/>
        <n v="1459284"/>
        <n v="1459320"/>
        <n v="1292031"/>
        <n v="1752953"/>
        <n v="1757665"/>
        <n v="1291994"/>
        <n v="1292019"/>
        <n v="1292004"/>
        <n v="1300666"/>
        <n v="1300815"/>
        <n v="1294239"/>
        <n v="1301021"/>
        <n v="1294280"/>
        <n v="1306909"/>
        <n v="1301007"/>
        <n v="1294519"/>
        <n v="1294532"/>
        <n v="1294522"/>
        <n v="1294648"/>
        <n v="1294656"/>
        <n v="1294913"/>
        <n v="1294651"/>
        <n v="1294671"/>
        <n v="1294704"/>
        <n v="1459244"/>
        <n v="1294679"/>
        <n v="1294927"/>
        <n v="1295031"/>
        <n v="1295036"/>
        <n v="1295267"/>
        <n v="1295233"/>
        <n v="1295582"/>
        <n v="1295533"/>
        <n v="1296712"/>
        <n v="1296725"/>
        <n v="774403"/>
        <n v="1296850"/>
        <n v="1296695"/>
        <n v="1296836"/>
        <n v="1298677"/>
        <n v="774393"/>
        <n v="774249"/>
        <n v="774349"/>
        <n v="774423"/>
        <n v="1298471"/>
        <n v="1298429"/>
        <n v="1359979"/>
        <n v="1298042"/>
        <n v="1298616"/>
        <n v="1298627"/>
        <n v="1815206"/>
        <n v="1815147"/>
        <n v="1362799"/>
        <n v="1362819"/>
        <n v="1391852"/>
        <n v="1301032"/>
        <n v="1306939"/>
        <n v="1301053"/>
        <n v="1301090"/>
        <n v="1301083"/>
        <n v="1306590"/>
        <n v="1300520"/>
        <n v="1301192"/>
        <n v="1307107"/>
        <n v="1301479"/>
        <n v="1306725"/>
        <n v="1300614"/>
        <n v="1301184"/>
        <n v="1301457"/>
        <n v="1300683"/>
        <n v="1300885"/>
        <n v="1300933"/>
        <n v="1300890"/>
        <n v="1532429"/>
        <n v="1306562"/>
        <n v="1301041"/>
        <n v="1432449"/>
        <n v="1432508"/>
        <n v="1550885"/>
        <n v="1308424"/>
        <n v="1311226"/>
        <n v="1761273"/>
        <n v="1328497"/>
        <n v="1328558"/>
        <n v="1328543"/>
        <n v="1814446"/>
        <n v="1337213"/>
        <n v="1357088"/>
        <n v="1358090"/>
        <n v="1353167"/>
        <n v="1362910"/>
        <n v="1362917"/>
        <n v="1353307"/>
        <n v="1353354"/>
        <n v="1359857"/>
        <n v="1353323"/>
        <n v="1389037"/>
        <n v="1353435"/>
        <n v="1353510"/>
        <n v="1353478"/>
        <n v="1353488"/>
        <n v="1360158"/>
        <n v="1360233"/>
        <n v="1353540"/>
        <n v="1353611"/>
        <n v="1360773"/>
        <n v="1353554"/>
        <n v="1360779"/>
        <n v="1353683"/>
        <n v="1353723"/>
        <n v="1353760"/>
        <n v="1394062"/>
        <n v="1353738"/>
        <n v="1357632"/>
        <n v="1357621"/>
        <n v="1353753"/>
        <n v="1361274"/>
        <n v="1353774"/>
        <n v="1353828"/>
        <n v="1361481"/>
        <n v="1353780"/>
        <n v="1391741"/>
        <n v="1353787"/>
        <n v="1391725"/>
        <n v="1353801"/>
        <n v="1358175"/>
        <n v="1358163"/>
        <n v="1353867"/>
        <n v="1353889"/>
        <n v="1391750"/>
        <n v="1353882"/>
        <n v="1361480"/>
        <n v="1391796"/>
        <n v="1354126"/>
        <n v="1354127"/>
        <n v="1390187"/>
        <n v="1390114"/>
        <n v="1354510"/>
        <n v="1355108"/>
        <n v="1355133"/>
        <n v="1354512"/>
        <n v="1354548"/>
        <n v="487460"/>
        <n v="1354580"/>
        <n v="1354753"/>
        <n v="1354816"/>
        <n v="1354773"/>
        <n v="1354756"/>
        <n v="1354859"/>
        <n v="1357264"/>
        <n v="1357271"/>
        <n v="1354817"/>
        <n v="1354830"/>
        <n v="1363242"/>
        <n v="1354835"/>
        <n v="1357251"/>
        <n v="1354848"/>
        <n v="1391983"/>
        <n v="1355183"/>
        <n v="1390107"/>
        <n v="1357883"/>
        <n v="1356207"/>
        <n v="1361335"/>
        <n v="1357805"/>
        <n v="1356192"/>
        <n v="1363745"/>
        <n v="1356191"/>
        <n v="1357811"/>
        <n v="1357826"/>
        <n v="1361383"/>
        <n v="1357967"/>
        <n v="1356350"/>
        <n v="1361411"/>
        <n v="1356315"/>
        <n v="1357949"/>
        <n v="1363807"/>
        <n v="1356309"/>
        <n v="1357942"/>
        <n v="1357957"/>
        <n v="1364700"/>
        <n v="1361508"/>
        <n v="1356486"/>
        <n v="1361793"/>
        <n v="1360034"/>
        <n v="1356596"/>
        <n v="523317"/>
        <n v="1372311"/>
        <n v="1356654"/>
        <n v="1388481"/>
        <n v="1356706"/>
        <n v="1386221"/>
        <n v="1364787"/>
        <n v="1356721"/>
        <n v="1364822"/>
        <n v="1356899"/>
        <n v="1362060"/>
        <n v="1357999"/>
        <n v="1358019"/>
        <n v="1356936"/>
        <n v="1364868"/>
        <n v="1364887"/>
        <n v="1356946"/>
        <n v="1364901"/>
        <n v="1359360"/>
        <n v="1356979"/>
        <n v="1357022"/>
        <n v="1364909"/>
        <n v="1359757"/>
        <n v="1362403"/>
        <n v="1359352"/>
        <n v="1359748"/>
        <n v="1364924"/>
        <n v="1365501"/>
        <n v="1357077"/>
        <n v="1362632"/>
        <n v="1357107"/>
        <n v="1365009"/>
        <n v="1365544"/>
        <n v="1365576"/>
        <n v="1368219"/>
        <n v="1357073"/>
        <n v="1365610"/>
        <n v="1365628"/>
        <n v="1362713"/>
        <n v="1371041"/>
        <n v="1357097"/>
        <n v="1365636"/>
        <n v="1359269"/>
        <n v="1359263"/>
        <n v="1361281"/>
        <n v="1357111"/>
        <n v="1357128"/>
        <n v="1371092"/>
        <n v="1365023"/>
        <n v="1357115"/>
        <n v="1358025"/>
        <n v="1358029"/>
        <n v="1358048"/>
        <n v="1358084"/>
        <n v="1357122"/>
        <n v="1357138"/>
        <n v="1362746"/>
        <n v="1367571"/>
        <n v="1357147"/>
        <n v="1357161"/>
        <n v="1362817"/>
        <n v="1357149"/>
        <n v="1357185"/>
        <n v="1357244"/>
        <n v="1365675"/>
        <n v="1358075"/>
        <n v="1400855"/>
        <n v="1363061"/>
        <n v="1357181"/>
        <n v="1362920"/>
        <n v="1400875"/>
        <n v="1400869"/>
        <n v="1357186"/>
        <n v="1357189"/>
        <n v="1357256"/>
        <n v="1368021"/>
        <n v="1363127"/>
        <n v="1357274"/>
        <n v="1357342"/>
        <n v="1400900"/>
        <n v="1400906"/>
        <n v="1357362"/>
        <n v="1370379"/>
        <n v="1357347"/>
        <n v="1807729"/>
        <n v="1370331"/>
        <n v="1357339"/>
        <n v="1807730"/>
        <n v="1370337"/>
        <n v="1357343"/>
        <n v="1368061"/>
        <n v="1365133"/>
        <n v="1358062"/>
        <n v="1391733"/>
        <n v="1358083"/>
        <n v="1534588"/>
        <n v="1358093"/>
        <n v="1358386"/>
        <n v="1358461"/>
        <n v="1358404"/>
        <n v="1358395"/>
        <n v="1358513"/>
        <n v="1393854"/>
        <n v="1393902"/>
        <n v="1358487"/>
        <n v="1358507"/>
        <n v="1358519"/>
        <n v="1361036"/>
        <n v="1358556"/>
        <n v="1358574"/>
        <n v="1358557"/>
        <n v="1401750"/>
        <n v="1360997"/>
        <n v="1359379"/>
        <n v="1359749"/>
        <n v="1359375"/>
        <n v="1392718"/>
        <n v="1359673"/>
        <n v="1359964"/>
        <n v="1360062"/>
        <n v="1360124"/>
        <n v="1359977"/>
        <n v="1360083"/>
        <n v="1360096"/>
        <n v="1360161"/>
        <n v="1360373"/>
        <n v="1360509"/>
        <n v="1365968"/>
        <n v="1378834"/>
        <n v="1360681"/>
        <n v="1820460"/>
        <n v="1820477"/>
        <n v="1360742"/>
        <n v="1820462"/>
        <n v="1820483"/>
        <n v="1361059"/>
        <n v="1362932"/>
        <n v="1360826"/>
        <n v="1361060"/>
        <n v="1362938"/>
        <n v="1360765"/>
        <n v="1360772"/>
        <n v="1360844"/>
        <n v="1360799"/>
        <n v="1360800"/>
        <n v="1806748"/>
        <n v="1361080"/>
        <n v="1362969"/>
        <n v="1393746"/>
        <n v="1401706"/>
        <n v="1361081"/>
        <n v="1361083"/>
        <n v="1362985"/>
        <n v="1361084"/>
        <n v="1361092"/>
        <n v="1363017"/>
        <n v="1361101"/>
        <n v="1361116"/>
        <n v="1363024"/>
        <n v="1361117"/>
        <n v="1361126"/>
        <n v="1363042"/>
        <n v="1361141"/>
        <n v="1361150"/>
        <n v="1363051"/>
        <n v="1361158"/>
        <n v="1361160"/>
        <n v="1363075"/>
        <n v="1361180"/>
        <n v="1361201"/>
        <n v="1401797"/>
        <n v="1361195"/>
        <n v="1370250"/>
        <n v="1361196"/>
        <n v="1361228"/>
        <n v="1401860"/>
        <n v="1361249"/>
        <n v="1370304"/>
        <n v="1361262"/>
        <n v="1361285"/>
        <n v="1370305"/>
        <n v="1391722"/>
        <n v="1379036"/>
        <n v="1407349"/>
        <n v="1400965"/>
        <n v="1820937"/>
        <n v="1363575"/>
        <n v="1363364"/>
        <n v="1361355"/>
        <n v="1379282"/>
        <n v="1361356"/>
        <n v="1361363"/>
        <n v="1365121"/>
        <n v="1362037"/>
        <n v="1361559"/>
        <n v="1391803"/>
        <n v="1391817"/>
        <n v="1381277"/>
        <n v="1391824"/>
        <n v="1362039"/>
        <n v="1361858"/>
        <n v="1368075"/>
        <n v="1368169"/>
        <n v="1378343"/>
        <n v="1362126"/>
        <n v="1365585"/>
        <n v="1367076"/>
        <n v="1362564"/>
        <n v="1362873"/>
        <n v="1362923"/>
        <n v="1363300"/>
        <n v="1391813"/>
        <n v="1393271"/>
        <n v="1363598"/>
        <n v="1363149"/>
        <n v="1363169"/>
        <n v="1390053"/>
        <n v="1406676"/>
        <n v="1367557"/>
        <n v="1366902"/>
        <n v="1366977"/>
        <n v="1367541"/>
        <n v="1388276"/>
        <n v="1368091"/>
        <n v="1378367"/>
        <n v="1378380"/>
        <n v="1379415"/>
        <n v="1379075"/>
        <n v="1379398"/>
        <n v="1379517"/>
        <n v="1379248"/>
        <n v="1377343"/>
        <n v="1377331"/>
        <n v="479774"/>
        <n v="479789"/>
        <n v="1389176"/>
        <n v="463799"/>
        <n v="1389190"/>
        <n v="463800"/>
        <n v="1390141"/>
        <n v="1390158"/>
        <n v="1400950"/>
        <n v="1393239"/>
        <n v="1393573"/>
        <n v="1401597"/>
        <n v="1401624"/>
        <n v="1534541"/>
        <n v="1583727"/>
        <n v="1583780"/>
        <n v="1445385"/>
        <n v="1445398"/>
        <n v="1446638"/>
        <n v="1445392"/>
        <n v="1446492"/>
        <n v="1446494"/>
        <n v="1446614"/>
        <n v="1445470"/>
        <n v="1445433"/>
        <n v="1447015"/>
        <n v="1446992"/>
        <n v="1447067"/>
        <n v="1503135"/>
        <n v="1447043"/>
        <n v="1447072"/>
        <n v="1503331"/>
        <n v="1498062"/>
        <n v="1498039"/>
        <n v="1447438"/>
        <n v="1804261"/>
        <n v="1761470"/>
        <n v="1754195"/>
        <n v="1753126"/>
        <n v="1447984"/>
        <n v="1447961"/>
        <n v="1447939"/>
        <n v="1448118"/>
        <n v="1448119"/>
        <n v="1448228"/>
        <n v="1448278"/>
        <n v="1562218"/>
        <n v="1502308"/>
        <n v="1502293"/>
        <n v="1457640"/>
        <n v="1457698"/>
        <n v="1457626"/>
        <n v="1457507"/>
        <n v="1451175"/>
        <n v="1451179"/>
        <n v="1549128"/>
        <n v="1548618"/>
        <n v="1452380"/>
        <n v="1452388"/>
        <n v="1517735"/>
        <n v="1452399"/>
        <n v="1517784"/>
        <n v="1453455"/>
        <n v="1662627"/>
        <n v="1457419"/>
        <n v="1457436"/>
        <n v="1457545"/>
        <n v="1457581"/>
        <n v="1457552"/>
        <n v="1457671"/>
        <n v="1457688"/>
        <n v="1498010"/>
        <n v="1535594"/>
        <n v="1535507"/>
        <n v="1498046"/>
        <n v="1499783"/>
        <n v="1498054"/>
        <n v="1499807"/>
        <n v="1498142"/>
        <n v="1499884"/>
        <n v="1499900"/>
        <n v="1498985"/>
        <n v="1502437"/>
        <n v="1499042"/>
        <n v="1502400"/>
        <n v="1502492"/>
        <n v="1502533"/>
        <n v="1535485"/>
        <n v="1520306"/>
        <n v="1501744"/>
        <n v="1520073"/>
        <n v="1517807"/>
        <n v="1520315"/>
        <n v="1520441"/>
        <n v="1520384"/>
        <n v="1520452"/>
        <n v="1520405"/>
        <n v="1502144"/>
        <n v="1503281"/>
        <n v="1502152"/>
        <n v="1502160"/>
        <n v="1503301"/>
        <n v="1505458"/>
        <n v="1471994"/>
        <n v="1506210"/>
        <n v="1502413"/>
        <n v="1502428"/>
        <n v="1517945"/>
        <n v="1517997"/>
        <n v="1520568"/>
        <n v="1520525"/>
        <n v="1520595"/>
        <n v="1520536"/>
        <n v="1502720"/>
        <n v="1503578"/>
        <n v="1502735"/>
        <n v="1503571"/>
        <n v="1502741"/>
        <n v="1503628"/>
        <n v="1503663"/>
        <n v="1503646"/>
        <n v="1503695"/>
        <n v="1503670"/>
        <n v="1521301"/>
        <n v="1521346"/>
        <n v="1503707"/>
        <n v="1509891"/>
        <n v="1503688"/>
        <n v="1786815"/>
        <n v="1509905"/>
        <n v="1505441"/>
        <n v="1505446"/>
        <n v="1602638"/>
        <n v="1519914"/>
        <n v="1520018"/>
        <n v="1524334"/>
        <n v="1524367"/>
        <n v="1524347"/>
        <n v="1525144"/>
        <n v="1525217"/>
        <n v="1525165"/>
        <n v="1525177"/>
        <n v="1525230"/>
        <n v="1525210"/>
        <n v="1267201"/>
        <n v="1530673"/>
        <n v="1530713"/>
        <n v="1530719"/>
        <n v="1530721"/>
        <n v="1534546"/>
        <n v="1534595"/>
        <n v="1535840"/>
        <n v="1535536"/>
        <n v="1535517"/>
        <n v="1535885"/>
        <n v="1535901"/>
        <n v="1535829"/>
        <n v="1535852"/>
        <n v="1535866"/>
        <n v="1540897"/>
        <n v="1540899"/>
        <n v="1549053"/>
        <n v="1549260"/>
        <n v="1547420"/>
        <n v="1549088"/>
        <n v="1547279"/>
        <n v="1547285"/>
        <n v="1611932"/>
        <n v="1547291"/>
        <n v="1611947"/>
        <n v="1547449"/>
        <n v="1612180"/>
        <n v="1547394"/>
        <n v="1547465"/>
        <n v="1549341"/>
        <n v="1549096"/>
        <n v="1395655"/>
        <n v="1549608"/>
        <n v="1549934"/>
        <n v="1549109"/>
        <n v="1550083"/>
        <n v="1548470"/>
        <n v="1548405"/>
        <n v="1548403"/>
        <n v="1548457"/>
        <n v="1548458"/>
        <n v="1548469"/>
        <n v="1549239"/>
        <n v="1549602"/>
        <n v="1550072"/>
        <n v="1550113"/>
        <n v="1550023"/>
        <n v="1549532"/>
        <n v="1549528"/>
        <n v="1549238"/>
        <n v="1549820"/>
        <n v="1549867"/>
        <n v="1549340"/>
        <n v="1611915"/>
        <n v="1611936"/>
        <n v="1612171"/>
        <n v="1549757"/>
        <n v="1549832"/>
        <n v="1549839"/>
        <n v="1550099"/>
        <n v="1550104"/>
        <n v="1552535"/>
        <n v="1552556"/>
        <n v="1552547"/>
        <n v="1552677"/>
        <n v="1552646"/>
        <n v="1552669"/>
        <n v="1552667"/>
        <n v="1826318"/>
        <n v="1826329"/>
        <n v="1558489"/>
        <n v="1558500"/>
        <n v="1558513"/>
        <n v="1558527"/>
        <n v="1561984"/>
        <n v="1561996"/>
        <n v="1562057"/>
        <n v="1562066"/>
        <n v="1808626"/>
        <n v="1570410"/>
        <n v="1808622"/>
        <n v="1571856"/>
        <n v="1571895"/>
        <n v="1571882"/>
        <n v="1571923"/>
        <n v="1572082"/>
        <n v="1572150"/>
        <n v="1572106"/>
        <n v="1572138"/>
        <n v="1577652"/>
        <n v="1757294"/>
        <n v="1583026"/>
        <n v="1583060"/>
        <n v="1583217"/>
        <n v="1583052"/>
        <n v="1583770"/>
        <n v="1583736"/>
        <n v="1583089"/>
        <n v="1583762"/>
        <n v="1583106"/>
        <n v="1583100"/>
        <n v="1583201"/>
        <n v="1583743"/>
        <n v="1847354"/>
        <n v="1847604"/>
        <n v="1589773"/>
        <n v="1847598"/>
        <n v="1589889"/>
        <n v="1847592"/>
        <n v="1589925"/>
        <n v="1847506"/>
        <n v="1593028"/>
        <n v="1593176"/>
        <n v="1813584"/>
        <n v="1596708"/>
        <n v="1596725"/>
        <n v="1596734"/>
        <n v="1752930"/>
        <n v="1605391"/>
        <n v="1605420"/>
        <n v="1605730"/>
        <n v="1605405"/>
        <n v="1605734"/>
        <n v="1605707"/>
        <n v="1605702"/>
        <n v="1605662"/>
        <n v="1605487"/>
        <n v="1605683"/>
        <n v="1605677"/>
        <n v="1609056"/>
        <n v="1761256"/>
        <n v="1802282"/>
        <n v="1802249"/>
        <n v="1761249"/>
        <n v="1610340"/>
        <n v="1610336"/>
        <n v="1616643"/>
        <n v="1616668"/>
        <n v="1616651"/>
        <n v="1622165"/>
        <n v="1621272"/>
        <n v="1620881"/>
        <n v="1622127"/>
        <n v="1620872"/>
        <n v="1621415"/>
        <n v="1621483"/>
        <n v="1620910"/>
        <n v="1620967"/>
        <n v="1622142"/>
        <n v="1620947"/>
        <n v="1620951"/>
        <n v="1621813"/>
        <n v="1621843"/>
        <n v="1703067"/>
        <n v="1754462"/>
        <n v="1622331"/>
        <n v="1622366"/>
        <n v="1622377"/>
        <n v="1716430"/>
        <n v="1716456"/>
        <n v="1622386"/>
        <n v="1622422"/>
        <n v="1757013"/>
        <n v="1633215"/>
        <n v="1754016"/>
        <n v="1655024"/>
        <n v="1667799"/>
        <n v="1854844"/>
        <n v="1656268"/>
        <n v="1655234"/>
        <n v="1659666"/>
        <n v="1670339"/>
        <n v="1854843"/>
        <n v="1662585"/>
        <n v="1655940"/>
        <n v="1648617"/>
        <n v="1585017"/>
        <n v="1589383"/>
        <n v="1747695"/>
        <n v="1656091"/>
        <n v="1656101"/>
        <n v="1656207"/>
        <n v="1656217"/>
        <n v="1664981"/>
        <n v="1659672"/>
        <n v="1819808"/>
        <n v="1757098"/>
        <n v="1762112"/>
        <n v="1771994"/>
        <n v="1703051"/>
        <n v="1760981"/>
        <n v="1754529"/>
        <n v="1714821"/>
        <n v="1716500"/>
        <n v="1716465"/>
        <n v="1716481"/>
        <n v="1752942"/>
        <n v="1757502"/>
        <n v="1747699"/>
        <n v="1747722"/>
        <n v="1747768"/>
        <n v="1747760"/>
        <n v="1747779"/>
        <n v="1772035"/>
        <n v="1748302"/>
        <n v="1752121"/>
        <n v="1762143"/>
        <n v="1762198"/>
        <n v="1748354"/>
        <n v="1748456"/>
        <n v="1621513"/>
        <n v="1752135"/>
        <n v="1763910"/>
        <n v="1748450"/>
        <n v="1752111"/>
        <n v="1763918"/>
        <n v="1752158"/>
        <n v="1748537"/>
        <n v="1748558"/>
        <n v="1762334"/>
        <n v="1751465"/>
        <n v="1748594"/>
        <n v="1762371"/>
        <n v="1748697"/>
        <n v="1748584"/>
        <n v="1751388"/>
        <n v="1763940"/>
        <n v="1748641"/>
        <n v="1751418"/>
        <n v="1763954"/>
        <n v="1751374"/>
        <n v="1748797"/>
        <n v="1748828"/>
        <n v="1762382"/>
        <n v="1748877"/>
        <n v="1774526"/>
        <n v="1748932"/>
        <n v="1763967"/>
        <n v="1762413"/>
        <n v="1763974"/>
        <n v="1751902"/>
        <n v="1751958"/>
        <n v="1761012"/>
        <n v="1751141"/>
        <n v="1752032"/>
        <n v="1752040"/>
        <n v="1847362"/>
        <n v="1751145"/>
        <n v="1757097"/>
        <n v="1754392"/>
        <n v="1751155"/>
        <n v="1754298"/>
        <n v="1757087"/>
        <n v="1754321"/>
        <n v="1751204"/>
        <n v="1751363"/>
        <n v="1751213"/>
        <n v="1698817"/>
        <n v="1751216"/>
        <n v="1751285"/>
        <n v="1751327"/>
        <n v="1751243"/>
        <n v="1751303"/>
        <n v="1751315"/>
        <n v="1757102"/>
        <n v="1751389"/>
        <n v="1761200"/>
        <n v="1621743"/>
        <n v="1754328"/>
        <n v="1695865"/>
        <n v="1760912"/>
        <n v="1696606"/>
        <n v="1751528"/>
        <n v="1823013"/>
        <n v="1751556"/>
        <n v="1751560"/>
        <n v="1751691"/>
        <n v="1751589"/>
        <n v="1761024"/>
        <n v="1751608"/>
        <n v="1751667"/>
        <n v="1678317"/>
        <n v="1751674"/>
        <n v="1678309"/>
        <n v="1751696"/>
        <n v="1751682"/>
        <n v="1751706"/>
        <n v="1751748"/>
        <n v="1751743"/>
        <n v="1751815"/>
        <n v="1751774"/>
        <n v="1751770"/>
        <n v="1751797"/>
        <n v="1751781"/>
        <n v="1751838"/>
        <n v="1761028"/>
        <n v="1751857"/>
        <n v="1751890"/>
        <n v="1751871"/>
        <n v="1760937"/>
        <n v="1751901"/>
        <n v="1752101"/>
        <n v="1751923"/>
        <n v="1751940"/>
        <n v="1751968"/>
        <n v="1752000"/>
        <n v="1761062"/>
        <n v="1751983"/>
        <n v="1752012"/>
        <n v="1752045"/>
        <n v="1754161"/>
        <n v="1752382"/>
        <n v="1752415"/>
        <n v="1752383"/>
        <n v="1754172"/>
        <n v="1752388"/>
        <n v="1754151"/>
        <n v="1753142"/>
        <n v="1754182"/>
        <n v="1752561"/>
        <n v="1754976"/>
        <n v="1754986"/>
        <n v="1752887"/>
        <n v="1752837"/>
        <n v="1752864"/>
        <n v="1752875"/>
        <n v="1757199"/>
        <n v="1757211"/>
        <n v="1752929"/>
        <n v="1756892"/>
        <n v="1752932"/>
        <n v="1757524"/>
        <n v="1753110"/>
        <n v="1753059"/>
        <n v="1757592"/>
        <n v="1753865"/>
        <n v="1753914"/>
        <n v="1753075"/>
        <n v="1753092"/>
        <n v="1765725"/>
        <n v="1754057"/>
        <n v="1753106"/>
        <n v="1757693"/>
        <n v="1753123"/>
        <n v="1757718"/>
        <n v="1754071"/>
        <n v="1754098"/>
        <n v="1753151"/>
        <n v="1754230"/>
        <n v="1753161"/>
        <n v="1753164"/>
        <n v="1754253"/>
        <n v="1757380"/>
        <n v="1754247"/>
        <n v="1754274"/>
        <n v="1757410"/>
        <n v="1756944"/>
        <n v="1756949"/>
        <n v="1753512"/>
        <n v="1762655"/>
        <n v="1753440"/>
        <n v="1762650"/>
        <n v="1753446"/>
        <n v="1753452"/>
        <n v="1755195"/>
        <n v="1753470"/>
        <n v="1753486"/>
        <n v="1755208"/>
        <n v="1762030"/>
        <n v="1753826"/>
        <n v="1753845"/>
        <n v="1753832"/>
        <n v="1753909"/>
        <n v="1790721"/>
        <n v="1753855"/>
        <n v="1753857"/>
        <n v="1754004"/>
        <n v="1754042"/>
        <n v="1754026"/>
        <n v="1754035"/>
        <n v="1761221"/>
        <n v="1754075"/>
        <n v="1754133"/>
        <n v="1754266"/>
        <n v="1754284"/>
        <n v="1762019"/>
        <n v="1757079"/>
        <n v="1757094"/>
        <n v="1754437"/>
        <n v="1757107"/>
        <n v="1752219"/>
        <n v="1754488"/>
        <n v="1757112"/>
        <n v="1761799"/>
        <n v="1757117"/>
        <n v="1754548"/>
        <n v="1757122"/>
        <n v="1757138"/>
        <n v="1757144"/>
        <n v="1757134"/>
        <n v="1757151"/>
        <n v="1753373"/>
        <n v="1754602"/>
        <n v="1757160"/>
        <n v="1757177"/>
        <n v="1753386"/>
        <n v="1757170"/>
        <n v="1754640"/>
        <n v="1757182"/>
        <n v="1754702"/>
        <n v="1757186"/>
        <n v="1757190"/>
        <n v="1754757"/>
        <n v="1757195"/>
        <n v="1757203"/>
        <n v="1762779"/>
        <n v="1756906"/>
        <n v="1757026"/>
        <n v="1757030"/>
        <n v="1757048"/>
        <n v="1757052"/>
        <n v="1757061"/>
        <n v="1757063"/>
        <n v="1757073"/>
        <n v="1757091"/>
        <n v="1766377"/>
        <n v="1757223"/>
        <n v="1854873"/>
        <n v="1757227"/>
        <n v="1757237"/>
        <n v="1757242"/>
        <n v="1757265"/>
        <n v="1757270"/>
        <n v="1791946"/>
        <n v="1797356"/>
        <n v="1797345"/>
        <n v="1824435"/>
        <n v="1055039"/>
        <n v="1761060"/>
        <n v="1780685"/>
        <n v="1762062"/>
        <n v="1762071"/>
        <n v="1762785"/>
        <n v="1762120"/>
        <n v="1787249"/>
        <n v="1236298"/>
        <n v="1811243"/>
        <n v="1763857"/>
        <n v="1762250"/>
        <n v="1762265"/>
        <n v="1797910"/>
        <n v="1798422"/>
        <n v="1763819"/>
        <n v="1762663"/>
        <n v="1763877"/>
        <n v="1783321"/>
        <n v="1798465"/>
        <n v="1780781"/>
        <n v="1780694"/>
        <n v="1780744"/>
        <n v="1780851"/>
        <n v="1780756"/>
        <n v="1749295"/>
        <n v="1789467"/>
        <n v="1789500"/>
        <n v="1822981"/>
        <n v="1789479"/>
        <n v="1789485"/>
        <n v="1789494"/>
        <n v="1791807"/>
        <n v="1791839"/>
        <n v="1791818"/>
        <n v="1791967"/>
        <n v="1791972"/>
        <n v="1796340"/>
        <n v="1796351"/>
        <n v="1796527"/>
        <n v="1796539"/>
        <n v="1796826"/>
        <n v="1796593"/>
        <n v="1796629"/>
        <n v="1796815"/>
        <n v="1796607"/>
        <n v="1796779"/>
        <n v="1824379"/>
        <n v="1797462"/>
        <n v="1797417"/>
        <n v="1831177"/>
        <n v="1831224"/>
        <n v="1831185"/>
        <n v="1831205"/>
        <n v="1797857"/>
        <n v="1798359"/>
        <n v="1797875"/>
        <n v="1797864"/>
        <n v="1797893"/>
        <n v="1797894"/>
        <n v="1797939"/>
        <n v="1797899"/>
        <n v="1802122"/>
        <n v="1802136"/>
        <n v="1802132"/>
        <n v="1803824"/>
        <n v="1803836"/>
        <n v="1803881"/>
        <n v="1803894"/>
        <n v="1854871"/>
        <n v="1810208"/>
        <n v="1811156"/>
        <n v="1812100"/>
        <n v="1812089"/>
        <n v="1812095"/>
        <n v="1812565"/>
        <n v="1812580"/>
        <n v="1812577"/>
        <n v="1813606"/>
        <n v="1813586"/>
        <n v="1815164"/>
        <n v="1815168"/>
        <n v="1815172"/>
        <n v="1815199"/>
        <n v="1824399"/>
        <n v="1824388"/>
        <n v="1824394"/>
        <n v="1824414"/>
        <n v="1824490"/>
        <n v="1824425"/>
        <n v="1824448"/>
        <n v="1300825"/>
        <n v="1831258"/>
        <n v="1831247"/>
        <n v="1835717"/>
        <n v="1835745"/>
        <n v="1842313"/>
        <n v="1842341"/>
        <n v="1842323"/>
        <n v="1853458"/>
        <n v="1853434"/>
        <n v="1853435"/>
        <n v="1853443"/>
        <n v="1853502"/>
        <n v="1853446"/>
        <n v="1853454"/>
        <n v="1854899"/>
        <n v="1854906"/>
        <n v="1854900"/>
        <n v="1854907"/>
        <n v="1854901"/>
        <n v="1854908"/>
        <n v="1854902"/>
        <n v="1854909"/>
        <n v="1854903"/>
        <n v="1854910"/>
        <n v="1854904"/>
        <n v="1854911"/>
        <n v="1854905"/>
        <n v="1854912"/>
        <n v="1854918"/>
      </sharedItems>
    </cacheField>
    <cacheField name="volume" numFmtId="0">
      <sharedItems containsBlank="1" count="553">
        <m/>
        <s v="378.0"/>
        <s v="8073.0"/>
        <s v="8941.0"/>
        <s v="526.0"/>
        <s v="53709.0"/>
        <s v="10492.0"/>
        <s v="12551.0"/>
        <s v="17176.0"/>
        <s v="16217.0"/>
        <s v="13701.0"/>
        <s v="9667.0"/>
        <s v="7002.0"/>
        <s v="6261.0"/>
        <s v="5271.0"/>
        <s v="7510.0"/>
        <s v="3597.0"/>
        <s v="58756.0"/>
        <s v="1362.0"/>
        <s v="8270.0"/>
        <s v="3512.0"/>
        <s v="1469.0"/>
        <s v="480.0"/>
        <s v="10754.0"/>
        <s v="2697.0"/>
        <s v="11205.0"/>
        <s v="5783.0"/>
        <s v="14734.0"/>
        <s v="16236.0"/>
        <s v="10980.0"/>
        <s v="11541.0"/>
        <s v="9532.0"/>
        <s v="19133.0"/>
        <s v="4381.0"/>
        <s v="45791.0"/>
        <s v="17516.0"/>
        <s v="5775.0"/>
        <s v="9765.0"/>
        <s v="7724.0"/>
        <s v="4294.0"/>
        <s v="6648.0"/>
        <s v="2929.0"/>
        <s v="12378.0"/>
        <s v="7867.0"/>
        <s v="12024.0"/>
        <s v="7917.0"/>
        <s v="1815.0"/>
        <s v="10244.0"/>
        <s v="123.0"/>
        <s v="9441.0"/>
        <s v="9401.0"/>
        <s v="11002.0"/>
        <s v="22787.0"/>
        <s v="488.0"/>
        <s v="1702.0"/>
        <s v="11627.0"/>
        <s v="7069.0"/>
        <s v="3644.0"/>
        <s v="3428.0"/>
        <s v="6130.0"/>
        <s v="3924.0"/>
        <s v="15092.0"/>
        <s v="12129.0"/>
        <s v="2783.0"/>
        <s v="3533.0"/>
        <s v="2189.0"/>
        <s v="10755.0"/>
        <s v="19642.0"/>
        <s v="2240.0"/>
        <s v="1486.0"/>
        <s v="7442.0"/>
        <s v="3921.0"/>
        <s v="9981.0"/>
        <s v="17602.0"/>
        <s v="7264.0"/>
        <s v="5942.0"/>
        <s v="2979.0"/>
        <s v="1837.0"/>
        <s v="1247.0"/>
        <s v="1483.0"/>
        <s v="40334.0"/>
        <s v="6342.0"/>
        <s v="11833.0"/>
        <s v="4548.0"/>
        <s v="14689.0"/>
        <s v="17433.0"/>
        <s v="1791.0"/>
        <s v="2187.0"/>
        <s v="9488.0"/>
        <s v="8488.0"/>
        <s v="4905.0"/>
        <s v="15837.0"/>
        <s v="24545.0"/>
        <s v="20876.0"/>
        <s v="24687.0"/>
        <s v="20704.0"/>
        <s v="10493.0"/>
        <s v="74440.0"/>
        <s v="3984.0"/>
        <s v="4296.0"/>
        <s v="15944.0"/>
        <s v="18901.0"/>
        <s v="17790.0"/>
        <s v="98878.0"/>
        <s v="103996.0"/>
        <s v="13706.0"/>
        <s v="1573.0"/>
        <s v="13382.0"/>
        <s v="962.0"/>
        <s v="17309.0"/>
        <s v="2214.0"/>
        <s v="4498.0"/>
        <s v="1087.0"/>
        <s v="1288.0"/>
        <s v="101.0"/>
        <s v="16108.0"/>
        <s v="9591.0"/>
        <s v="23893.0"/>
        <s v="48478.0"/>
        <s v="10099.0"/>
        <s v="14.0"/>
        <s v="9559.0"/>
        <s v="2839.0"/>
        <s v="14704.0"/>
        <s v="17451.0"/>
        <s v="794.0"/>
        <s v="23158.0"/>
        <s v="2178.0"/>
        <s v="2055.0"/>
        <s v="2068.0"/>
        <s v="4448.0"/>
        <s v="4728.0"/>
        <s v="1931.0"/>
        <s v="1431.0"/>
        <s v="289.0"/>
        <s v="2577.0"/>
        <s v="1949.0"/>
        <s v="18658.0"/>
        <s v="7066.0"/>
        <s v="320.0"/>
        <s v="28386.0"/>
        <s v="10193.0"/>
        <s v="14693.0"/>
        <s v="22439.0"/>
        <s v="5245.0"/>
        <s v="2386.0"/>
        <s v="2486.0"/>
        <s v="3832.0"/>
        <s v="324.0"/>
        <s v="1067.0"/>
        <s v="11217.0"/>
        <s v="3643.0"/>
        <s v="3786.0"/>
        <s v="10792.0"/>
        <s v="8447.0"/>
        <s v="1213.0"/>
        <s v="17197.0"/>
        <s v="4014.0"/>
        <s v="4004.0"/>
        <s v="1977.0"/>
        <s v="22779.0"/>
        <s v="21770.0"/>
        <s v="16069.0"/>
        <s v="13846.0"/>
        <s v="12532.0"/>
        <s v="9953.0"/>
        <s v="1993.0"/>
        <s v="248.0"/>
        <s v="15201.0"/>
        <s v="16226.0"/>
        <s v="5234.0"/>
        <s v="16731.0"/>
        <s v="4382.0"/>
        <s v="5668.0"/>
        <s v="11016.0"/>
        <s v="9832.0"/>
        <s v="1920.0"/>
        <s v="27651.0"/>
        <s v="4116.0"/>
        <s v="18779.0"/>
        <s v="9982.0"/>
        <s v="17194.0"/>
        <s v="60675.0"/>
        <s v="53974.0"/>
        <s v="47718.0"/>
        <s v="2840.0"/>
        <s v="4131.0"/>
        <s v="773.0"/>
        <s v="1834.0"/>
        <s v="3971.0"/>
        <s v="53181.0"/>
        <s v="7270.0"/>
        <s v="7833.0"/>
        <s v="9012.0"/>
        <s v="1212.0"/>
        <s v="1725.0"/>
        <s v="4389.0"/>
        <s v="1728.0"/>
        <s v="21729.0"/>
        <s v="8711.0"/>
        <s v="3385.0"/>
        <s v="5621.0"/>
        <s v="2920.0"/>
        <s v="12640.0"/>
        <s v="30.0"/>
        <s v="6934.0"/>
        <s v="5785.0"/>
        <s v="1787.0"/>
        <s v="56663.0"/>
        <s v="2683.0"/>
        <s v="10838.0"/>
        <s v="10137.0"/>
        <s v="2492.0"/>
        <s v="66236.0"/>
        <s v="39390.0"/>
        <s v="86531.0"/>
        <s v="79486.0"/>
        <s v="2288.0"/>
        <s v="6979.0"/>
        <s v="50517.0"/>
        <s v="8262.0"/>
        <s v="89675.0"/>
        <s v="19068.0"/>
        <s v="90089.0"/>
        <s v="59336.0"/>
        <s v="59517.0"/>
        <s v="4393.0"/>
        <s v="179.0"/>
        <s v="2496.0"/>
        <s v="3288.0"/>
        <s v="3900.0"/>
        <s v="98782.0"/>
        <s v="1464.0"/>
        <s v="61264.0"/>
        <s v="4284.0"/>
        <s v="4469.0"/>
        <s v="3169.0"/>
        <s v="27573.0"/>
        <s v="32260.0"/>
        <s v="29641.0"/>
        <s v="4676.0"/>
        <s v="2584.0"/>
        <s v="1154.0"/>
        <s v="7195.0"/>
        <s v="71.0"/>
        <s v="863.0"/>
        <s v="401.0"/>
        <s v="18725.0"/>
        <s v="8137.0"/>
        <s v="6160.0"/>
        <s v="20276.0"/>
        <s v="7075.0"/>
        <s v="3615.0"/>
        <s v="13213.0"/>
        <s v="35259.0"/>
        <s v="760.0"/>
        <s v="29195.0"/>
        <s v="27393.0"/>
        <s v="36827.0"/>
        <s v="24365.0"/>
        <s v="3757.0"/>
        <s v="3126.0"/>
        <s v="3280.0"/>
        <s v="35630.0"/>
        <s v="1257.0"/>
        <s v="2014.0"/>
        <s v="11372.0"/>
        <s v="14433.0"/>
        <s v="10262.0"/>
        <s v="13082.0"/>
        <s v="7820.0"/>
        <s v="4347.0"/>
        <s v="4625.0"/>
        <s v="14486.0"/>
        <s v="4727.0"/>
        <s v="8232.0"/>
        <s v="11452.0"/>
        <s v="95.0"/>
        <s v="22729.0"/>
        <s v="1449.0"/>
        <s v="59615.0"/>
        <s v="40971.0"/>
        <s v="1757.0"/>
        <s v="740.0"/>
        <s v="16723.0"/>
        <s v="76631.0"/>
        <s v="6360.0"/>
        <s v="12073.0"/>
        <s v="1470.0"/>
        <s v="873.0"/>
        <s v="1115.0"/>
        <s v="1106.0"/>
        <s v="14786.0"/>
        <s v="7328.0"/>
        <s v="677.0"/>
        <s v="604.0"/>
        <s v="788.0"/>
        <s v="6403.0"/>
        <s v="1062.0"/>
        <s v="784.0"/>
        <s v="4021.0"/>
        <s v="90.0"/>
        <s v="185.0"/>
        <s v="1422.0"/>
        <s v="14163.0"/>
        <s v="12399.0"/>
        <s v="1002.0"/>
        <s v="1387.0"/>
        <s v="1550.0"/>
        <s v="9510.0"/>
        <s v="14378.0"/>
        <s v="3404.0"/>
        <s v="1093.0"/>
        <s v="1275.0"/>
        <s v="2882.0"/>
        <s v="478.0"/>
        <s v="3689.0"/>
        <s v="6695.0"/>
        <s v="13251.0"/>
        <s v="3443.0"/>
        <s v="28405.0"/>
        <s v="144.0"/>
        <s v="24425.0"/>
        <s v="8560.0"/>
        <s v="2661.0"/>
        <s v="3811.0"/>
        <s v="2509.0"/>
        <s v="292.0"/>
        <s v="12696.0"/>
        <s v="1962.0"/>
        <s v="4869.0"/>
        <s v="13132.0"/>
        <s v="1749.0"/>
        <s v="22414.0"/>
        <s v="7057.0"/>
        <s v="4863.0"/>
        <s v="3133.0"/>
        <s v="13452.0"/>
        <s v="684.0"/>
        <s v="26478.0"/>
        <s v="6642.0"/>
        <s v="3641.0"/>
        <s v="4124.0"/>
        <s v="5431.0"/>
        <s v="70617.0"/>
        <s v="53944.0"/>
        <s v="5753.0"/>
        <s v="68682.0"/>
        <s v="18823.0"/>
        <s v="47226.0"/>
        <s v="12752.0"/>
        <s v="4592.0"/>
        <s v="29750.0"/>
        <s v="45820.0"/>
        <s v="29631.0"/>
        <s v="18849.0"/>
        <s v="17149.0"/>
        <s v="16141.0"/>
        <s v="15980.0"/>
        <s v="6791.0"/>
        <s v="15115.0"/>
        <s v="15153.0"/>
        <s v="47830.0"/>
        <s v="2833.0"/>
        <s v="50031.0"/>
        <s v="1303.0"/>
        <s v="14530.0"/>
        <s v="2241.0"/>
        <s v="3119.0"/>
        <s v="4518.0"/>
        <s v="1496.0"/>
        <s v="2354.0"/>
        <s v="277.0"/>
        <s v="825.0"/>
        <s v="54.0"/>
        <s v="2155.0"/>
        <s v="7044.0"/>
        <s v="4798.0"/>
        <s v="25560.0"/>
        <s v="7740.0"/>
        <s v="6730.0"/>
        <s v="6346.0"/>
        <s v="4237.0"/>
        <s v="5267.0"/>
        <s v="16001.0"/>
        <s v="6838.0"/>
        <s v="9696.0"/>
        <s v="34094.0"/>
        <s v="26496.0"/>
        <s v="30500.0"/>
        <s v="38062.0"/>
        <s v="37933.0"/>
        <s v="9609.0"/>
        <s v="0.0"/>
        <s v="8227.0"/>
        <s v="4656.0"/>
        <s v="5287.0"/>
        <s v="36549.0"/>
        <s v="9484.0"/>
        <s v="2718.0"/>
        <s v="103942.0"/>
        <s v="14706.0"/>
        <s v="11476.0"/>
        <s v="3177.0"/>
        <s v="29555.0"/>
        <s v="8166.0"/>
        <s v="847.0"/>
        <s v="7617.0"/>
        <s v="2061.0"/>
        <s v="1659.0"/>
        <s v="6301.0"/>
        <s v="43587.0"/>
        <s v="15240.0"/>
        <s v="6872.0"/>
        <s v="14143.0"/>
        <s v="4850.0"/>
        <s v="3810.0"/>
        <s v="8657.0"/>
        <s v="635.0"/>
        <s v="350.0"/>
        <s v="18785.0"/>
        <s v="2754.0"/>
        <s v="17555.0"/>
        <s v="759.0"/>
        <s v="758.0"/>
        <s v="30100.0"/>
        <s v="30858.0"/>
        <s v="20000.0"/>
        <s v="26368.0"/>
        <s v="10797.0"/>
        <s v="12708.0"/>
        <s v="2032.0"/>
        <s v="4143.0"/>
        <s v="55277.0"/>
        <s v="11581.0"/>
        <s v="24334.0"/>
        <s v="14859.0"/>
        <s v="15114.0"/>
        <s v="7988.0"/>
        <s v="12344.0"/>
        <s v="25007.0"/>
        <s v="47714.0"/>
        <s v="40447.0"/>
        <s v="55040.0"/>
        <s v="80592.0"/>
        <s v="73446.0"/>
        <s v="68531.0"/>
        <s v="45575.0"/>
        <s v="2417.0"/>
        <s v="79097.0"/>
        <s v="4516.0"/>
        <s v="3513.0"/>
        <s v="88911.0"/>
        <s v="96298.0"/>
        <s v="16260.0"/>
        <s v="58617.0"/>
        <s v="91253.0"/>
        <s v="95098.0"/>
        <s v="88204.0"/>
        <s v="11376.0"/>
        <s v="11969.0"/>
        <s v="39217.0"/>
        <s v="986.0"/>
        <s v="2001.0"/>
        <s v="8231.0"/>
        <s v="6600.0"/>
        <s v="2651.0"/>
        <s v="6792.0"/>
        <s v="43687.0"/>
        <s v="656.0"/>
        <s v="843.0"/>
        <s v="524.0"/>
        <s v="979.0"/>
        <s v="308.0"/>
        <s v="12.0"/>
        <s v="2282.0"/>
        <s v="18671.0"/>
        <s v="1267.0"/>
        <s v="14605.0"/>
        <s v="14384.0"/>
        <s v="16118.0"/>
        <s v="3134.0"/>
        <s v="9098.0"/>
        <s v="6199.0"/>
        <s v="3201.0"/>
        <s v="660.0"/>
        <s v="15465.0"/>
        <s v="275.0"/>
        <s v="15445.0"/>
        <s v="3340.0"/>
        <s v="1807.0"/>
        <s v="1703.0"/>
        <s v="4982.0"/>
        <s v="1364.0"/>
        <s v="3479.0"/>
        <s v="14896.0"/>
        <s v="4736.0"/>
        <s v="18383.0"/>
        <s v="3095.0"/>
        <s v="5881.0"/>
        <s v="9837.0"/>
        <s v="28008.0"/>
        <s v="1528.0"/>
        <s v="5144.0"/>
        <s v="8640.0"/>
        <s v="2316.0"/>
        <s v="235.0"/>
        <s v="16550.0"/>
        <s v="34871.0"/>
        <s v="12381.0"/>
        <s v="4609.0"/>
        <s v="1069.0"/>
        <s v="1023.0"/>
        <s v="45974.0"/>
        <s v="5812.0"/>
        <s v="1707.0"/>
        <s v="7431.0"/>
        <s v="4095.0"/>
        <s v="7513.0"/>
        <s v="8489.0"/>
        <s v="11930.0"/>
        <s v="4941.0"/>
        <s v="7272.0"/>
        <s v="3678.0"/>
        <s v="55903.0"/>
        <s v="1411.0"/>
        <s v="4323.0"/>
        <s v="2294.0"/>
        <s v="1666.0"/>
        <s v="290.0"/>
        <s v="96.0"/>
        <s v="10443.0"/>
        <s v="3587.0"/>
        <s v="2874.0"/>
        <s v="1600.0"/>
        <s v="1377.0"/>
        <s v="3448.0"/>
        <s v="1013.0"/>
        <s v="354.0"/>
        <s v="199.0"/>
        <s v="1198.0"/>
        <s v="643.0"/>
        <s v="1637.0"/>
        <s v="362.0"/>
        <s v="2247.0"/>
        <s v="1114.0"/>
        <s v="1200.0"/>
        <s v="1191.0"/>
        <s v="596.0"/>
        <s v="540.0"/>
        <s v="242.0"/>
        <s v="1405.0"/>
        <s v="312.0"/>
      </sharedItems>
    </cacheField>
    <cacheField name="isBridge" numFmtId="0">
      <sharedItems containsMixedTypes="1" containsNumber="1" containsInteger="1" minValue="0" maxValue="1" longText="1"/>
    </cacheField>
    <cacheField name="geometry" numFmtId="0">
      <sharedItems containsBlank="1" longText="1"/>
    </cacheField>
    <cacheField name="id" numFmtId="0">
      <sharedItems containsBlank="1" containsMixedTypes="1" containsNumber="1" containsInteger="1" minValue="138086" maxValue="2168844" longText="1"/>
    </cacheField>
    <cacheField name="v" numFmtId="0">
      <sharedItems containsBlank="1" containsMixedTypes="1" containsNumber="1" containsInteger="1" minValue="109767" maxValue="1854790" longText="1"/>
    </cacheField>
    <cacheField name="wa_grade" numFmtId="0">
      <sharedItems/>
    </cacheField>
    <cacheField name="u" numFmtId="0">
      <sharedItems containsBlank="1" containsMixedTypes="1" containsNumber="1" containsInteger="1" minValue="155191" maxValue="1854780" longText="1"/>
    </cacheField>
    <cacheField name="grade_abs" numFmtId="0">
      <sharedItems containsMixedTypes="1" containsNumber="1" containsInteger="1" minValue="0" maxValue="0" longText="1"/>
    </cacheField>
    <cacheField name="length" numFmtId="0">
      <sharedItems/>
    </cacheField>
    <cacheField name="grade" numFmtId="0">
      <sharedItems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7">
  <r>
    <x v="0"/>
    <x v="0"/>
    <x v="0"/>
    <n v="0"/>
    <m/>
    <n v="138086"/>
    <n v="155273"/>
    <s v="#FIELD!"/>
    <n v="155191"/>
    <s v="0.03"/>
    <s v="15.291208102096657"/>
    <s v="#FIELD!"/>
  </r>
  <r>
    <x v="0"/>
    <x v="1"/>
    <x v="0"/>
    <n v="0"/>
    <s v="LINESTRING (11.127465806112035 60.78620456025842, 11.127540614401756 60.78617894499934, 11.131610286185648 60.784172328182656, 11.133287120428163 60.78335426507841, 11.133833188298052 60.78318205446203)"/>
    <s v="[138014, 2168667, 362740, 363590]"/>
    <s v="[155192, 351173, 351174, 351348]"/>
    <s v="0.018791953057683067"/>
    <s v="[155191, 155192, 351173, 351174]"/>
    <s v="[0.002, 0.013, 0.034, 0.018]"/>
    <s v="485.74388175423786"/>
    <s v="[-0.002, 0.013, 0.034, 0.018]"/>
  </r>
  <r>
    <x v="0"/>
    <x v="2"/>
    <x v="0"/>
    <n v="0"/>
    <s v="LINESTRING (11.127184981853482 60.78642854398455, 11.126991489219847 60.78630726707704, 11.12700304550839 60.78624512763299, 11.127047786393202 60.78620965516098, 11.127098351756342 60.786186845566625, 11.127465806112035 60.78620456025842)"/>
    <s v="[138118, 138126, 138134, 138142, 138150]"/>
    <s v="[24154, 155317, 155327, 155337, 155191]"/>
    <s v="0.008433672104882285"/>
    <s v="[155201, 24154, 155317, 155327, 155337]"/>
    <s v="[0.031, 0.027, 0.018, 0.005, 0.018]"/>
    <s v="54.859299688825416"/>
    <s v="[0.031, 0.027, 0.018, 0.005, -0.018]"/>
  </r>
  <r>
    <x v="1"/>
    <x v="3"/>
    <x v="0"/>
    <n v="0"/>
    <m/>
    <n v="138110"/>
    <n v="155201"/>
    <s v="0.013"/>
    <n v="155289"/>
    <s v="0.013"/>
    <s v="11.790339265781334"/>
    <s v="0.013"/>
  </r>
  <r>
    <x v="1"/>
    <x v="4"/>
    <x v="0"/>
    <n v="0"/>
    <s v="LINESTRING (11.125266280578165 60.789677274131606, 11.125377615548942 60.789317786571154, 11.125741199602919 60.78876163696242, 11.127138610234928 60.78653577318793, 11.127170525469534 60.78647208242007, 11.127184981853482 60.78642854398455)"/>
    <s v="[363598, 362732, 2168670, 2168673, 138022]"/>
    <s v="[351165, 351166, 1854868, 155200, 155201]"/>
    <s v="0.04490649729731151"/>
    <s v="[351618, 351165, 351166, 1854868, 155200]"/>
    <s v="[0.056, 0.053, 0.042, 0.028, 0.025]"/>
    <s v="377.46876889194306"/>
    <s v="[0.056, 0.053, 0.042, 0.028, 0.025]"/>
  </r>
  <r>
    <x v="2"/>
    <x v="3"/>
    <x v="0"/>
    <n v="0"/>
    <s v="LINESTRING (11.127534712389643 60.78633428345484, 11.127487262551208 60.78637695889534, 11.127399824588059 60.786415782679235)"/>
    <s v="[138094, 138102]"/>
    <s v="[155281, 155289]"/>
    <s v="#FIELD!"/>
    <s v="[155273, 155281]"/>
    <s v="[0.022, 0.007]"/>
    <s v="11.848007658434195"/>
    <s v="[-0.022, -0.007]"/>
  </r>
  <r>
    <x v="2"/>
    <x v="5"/>
    <x v="0"/>
    <n v="0"/>
    <s v="LINESTRING (11.127534712389643 60.78633428345484, 11.127579728905834 60.786368644972875, 11.12772319305844 60.786480161376126, 11.127724280011572 60.78648349171342)"/>
    <s v="[176720, 176733, 176745]"/>
    <s v="[191500, 191515, 191524]"/>
    <s v="#FIELD!"/>
    <s v="[155273, 191500, 191515]"/>
    <s v="[0.037, 0.03, 0.0]"/>
    <s v="19.941539913581025"/>
    <s v="[-0.037, -0.03, 0.0]"/>
  </r>
  <r>
    <x v="3"/>
    <x v="5"/>
    <x v="0"/>
    <n v="0"/>
    <s v="LINESTRING (11.127399824588059 60.786415782679235, 11.127466980195944 60.786431430448125, 11.12771739225946 60.78648342762825, 11.127724280011572 60.78648349171342)"/>
    <s v="[239688, 239696, 239704]"/>
    <s v="[242144, 242153, 191524]"/>
    <s v="#FIELD!"/>
    <s v="[155289, 242144, 242153]"/>
    <s v="[0.022, 0.024, 0.0]"/>
    <s v="19.2498302168369"/>
    <s v="[-0.022, -0.024, 0.0]"/>
  </r>
  <r>
    <x v="4"/>
    <x v="6"/>
    <x v="0"/>
    <s v="[0, 0, 0, 1, 1, 1, 0, 0, 0, 0, 0]"/>
    <s v="LINESTRING (11.993829462815306 60.189188517538796, 11.993972696508822 60.189170364625134, 11.99447806383991 60.189111071278525, 11.995326165071852 60.189013383204795, 11.996457282961213 60.188822477849456, 11.996673712197937 60.1887753597186, 11.998598050392824 60.18833197791656, 12.006126427700908 60.188065187470016, 12.007896137031041 60.18757944344272, 12.008687614418983 60.186972961931815, 12.008754018616889 60.18687755588619, 12.008829142241824 60.1867450311458)"/>
    <s v="[138799, 138807, 138815, 138823, 138831, 138839, 138847, 138855, 138863, 138871, 138879]"/>
    <s v="[155972, 155979, 155987, 155999, 156009, 156018, 156028, 156037, 156044, 156051, 156057]"/>
    <s v="#FIELD!"/>
    <s v="[155971, 155972, 155979, 155987, 155999, 156009, 156018, 156028, 156037, 156044, 156051]"/>
    <s v="[0.025, 0.004, 0.042, 0.046, 0.048, 0.018, 0.008, 0.024, 0.058, 0.05, 0.051]"/>
    <s v="927.2830658348358"/>
    <s v="[0.025, 0.004, -0.042, -0.046, -0.048, -0.018, -0.008, 0.024, 0.058, 0.05, 0.051]"/>
  </r>
  <r>
    <x v="4"/>
    <x v="7"/>
    <x v="0"/>
    <n v="0"/>
    <s v="LINESTRING (11.992699865233478 60.18932957614192, 11.992805880096016 60.18929934805448, 11.993829462815306 60.189188517538796)"/>
    <s v="[232579, 232587]"/>
    <s v="[236231, 155971]"/>
    <s v="0.02525245699188449"/>
    <s v="[156688, 236231]"/>
    <s v="[0.036, 0.024]"/>
    <s v="64.93509042960575"/>
    <s v="[0.036, 0.024]"/>
  </r>
  <r>
    <x v="4"/>
    <x v="8"/>
    <x v="0"/>
    <n v="0"/>
    <s v="LINESTRING (11.992837773866784 60.18947034273615, 11.992940479866027 60.18943053302321, 11.993829462815306 60.189188517538796)"/>
    <s v="[222593, 222601]"/>
    <s v="[228506, 155971]"/>
    <s v="0.03378863232132978"/>
    <s v="[156709, 228506]"/>
    <s v="[0.095, 0.026]"/>
    <s v="63.967234494749576"/>
    <s v="[0.095, 0.026]"/>
  </r>
  <r>
    <x v="5"/>
    <x v="9"/>
    <x v="0"/>
    <n v="0"/>
    <s v="LINESTRING (12.008829142241824 60.1867450311458, 12.009028569787688 60.186459976686784, 12.009060216120746 60.1864046774253)"/>
    <s v="[222609, 222617]"/>
    <s v="[228517, 156827]"/>
    <s v="0.05230888519587489"/>
    <s v="[156057, 228517]"/>
    <s v="[0.019, 0.428]"/>
    <s v="40.15678965477007"/>
    <s v="[-0.019, 0.428]"/>
  </r>
  <r>
    <x v="5"/>
    <x v="10"/>
    <x v="0"/>
    <n v="0"/>
    <s v="LINESTRING (12.008829142241824 60.1867450311458, 12.008786680780034 60.18645755236152, 12.008772921007788 60.186402584707174)"/>
    <s v="[232595, 232603]"/>
    <s v="[236241, 156748]"/>
    <s v="0.03351642634659082"/>
    <s v="[156057, 236241]"/>
    <s v="[0.034, 0.031]"/>
    <s v="38.28535601727953"/>
    <s v="[0.034, 0.031]"/>
  </r>
  <r>
    <x v="6"/>
    <x v="11"/>
    <x v="0"/>
    <n v="0"/>
    <s v="LINESTRING (11.992378444943366 60.18953260692518, 11.992321692738484 60.18946464788627, 11.992386334106081 60.18935379952435)"/>
    <s v="[139471, 139479]"/>
    <s v="[156665, 156671]"/>
    <s v="0.040812608154032516"/>
    <s v="[156658, 156665]"/>
    <s v="[0.034, 0.045]"/>
    <s v="21.540294227432035"/>
    <s v="[0.034, 0.045]"/>
  </r>
  <r>
    <x v="6"/>
    <x v="8"/>
    <x v="0"/>
    <n v="0"/>
    <s v="LINESTRING (11.992837773866784 60.18947034273615, 11.9927883423321 60.18951360793844, 11.992648547152436 60.189564346342635, 11.992453527129648 60.189556055714526, 11.992378444943366 60.18953260692518)"/>
    <s v="[139519, 139527, 139535, 139463]"/>
    <s v="[156719, 156728, 156657, 156658]"/>
    <s v="#FIELD!"/>
    <s v="[156709, 156719, 156728, 156657]"/>
    <s v="[0.043, 0.04, 0.019, 0.014]"/>
    <s v="31.25237451586127"/>
    <s v="[-0.043, -0.04, -0.019, 0.014]"/>
  </r>
  <r>
    <x v="6"/>
    <x v="12"/>
    <x v="0"/>
    <n v="0"/>
    <s v="LINESTRING (11.991811531246267 60.18950446103631, 11.992273225436838 60.18952634560682, 11.992378444943366 60.18953260692518)"/>
    <s v="[236964, 236972]"/>
    <s v="[239894, 156658]"/>
    <s v="0.014301935238525961"/>
    <s v="[179859, 239894]"/>
    <s v="[0.013, 0.02]"/>
    <s v="31.60813380092757"/>
    <s v="[0.013, 0.02]"/>
  </r>
  <r>
    <x v="7"/>
    <x v="7"/>
    <x v="0"/>
    <n v="0"/>
    <s v="LINESTRING (11.992386334106081 60.18935379952435, 11.992585891117477 60.18931645825998, 11.992699865233478 60.18932957614192)"/>
    <s v="[139487, 139495]"/>
    <s v="[156679, 156688]"/>
    <s v="0.021342019379965983"/>
    <s v="[156671, 156679]"/>
    <s v="[0.028, 0.009]"/>
    <s v="18.519789255187263"/>
    <s v="[0.028, 0.009]"/>
  </r>
  <r>
    <x v="7"/>
    <x v="12"/>
    <x v="0"/>
    <n v="0"/>
    <s v="LINESTRING (11.991811531246267 60.18950446103631, 11.992246405874527 60.18938549470393, 11.992386334106081 60.18935379952435)"/>
    <s v="[174148, 174149]"/>
    <s v="[188952, 156671]"/>
    <s v="0.036705363494293694"/>
    <s v="[179859, 188952]"/>
    <s v="[0.036, 0.039]"/>
    <s v="36.27171128903152"/>
    <s v="[0.036, 0.039]"/>
  </r>
  <r>
    <x v="8"/>
    <x v="8"/>
    <x v="0"/>
    <n v="0"/>
    <s v="LINESTRING (11.992699865233478 60.18932957614192, 11.992806877369302 60.189387605985054, 11.992837773866784 60.18947034273615)"/>
    <s v="[139503, 139511]"/>
    <s v="[156698, 156709]"/>
    <s v="#FIELD!"/>
    <s v="[156688, 156698]"/>
    <s v="[0.02, 0.036]"/>
    <s v="18.152979393434613"/>
    <s v="[-0.02, -0.036]"/>
  </r>
  <r>
    <x v="9"/>
    <x v="13"/>
    <x v="0"/>
    <n v="0"/>
    <s v="LINESTRING (12.008772921007788 60.186402584707174, 12.008714345796939 60.186372967735515, 12.008647039752965 60.18630369957698, 12.008744532854084 60.186178131362695, 12.008845792331583 60.18614991292261, 12.00901873372939 60.1861524068758, 12.009137404069271 60.18618245497283, 12.009186975125491 60.18621525590167)"/>
    <s v="[139543, 139551, 139559, 139567, 139575, 139583, 139591]"/>
    <s v="[156749, 156757, 156769, 156777, 156786, 156795, 156805]"/>
    <s v="0.03356392193658547"/>
    <s v="[156748, 156749, 156757, 156769, 156777, 156786, 156795]"/>
    <s v="[0.009, 0.015, 0.048, 0.066, 0.048, 0.028, 0.005]"/>
    <s v="56.8813446518499"/>
    <s v="[-0.009, 0.015, 0.048, 0.066, 0.048, 0.028, -0.005]"/>
  </r>
  <r>
    <x v="9"/>
    <x v="9"/>
    <x v="0"/>
    <n v="0"/>
    <s v="LINESTRING (12.009060216120746 60.1864046774253, 12.008909698924018 60.18641983359973, 12.008772921007788 60.186402584707174)"/>
    <s v="[139623, 139631]"/>
    <s v="[156833, 156748]"/>
    <s v="#FIELD!"/>
    <s v="[156827, 156833]"/>
    <s v="[0.059, 0.04]"/>
    <s v="16.348316155599555"/>
    <s v="[-0.059, -0.04]"/>
  </r>
  <r>
    <x v="10"/>
    <x v="14"/>
    <x v="0"/>
    <n v="0"/>
    <s v="LINESTRING (12.009186975125491 60.18621525590167, 12.009200050516569 60.18630351618725, 12.009099701442555 60.1863911026958)"/>
    <s v="[139599, 139607]"/>
    <s v="[156812, 156820]"/>
    <s v="#FIELD!"/>
    <s v="[156805, 156812]"/>
    <s v="[0.03, 0.057]"/>
    <s v="21.0941835440846"/>
    <s v="[-0.03, -0.057]"/>
  </r>
  <r>
    <x v="10"/>
    <x v="15"/>
    <x v="0"/>
    <n v="0"/>
    <s v="LINESTRING (12.009186975125491 60.18621525590167, 12.009276799285995 60.186245470292434, 12.010799327207902 60.18635491302175, 12.011519256514177 60.18639032961285, 12.011568457046183 60.18639470109723, 12.011617333312175 60.186401050975284, 12.011716285110252 60.186414451616926, 12.012760557434962 60.18667059317993)"/>
    <s v="[233293, 233301, 233317, 233325, 233333, 233341, 233349]"/>
    <s v="[236821, 236828, 236838, 13166, 236847, 236851, 195583]"/>
    <s v="0.013897046668906494"/>
    <s v="[156805, 236821, 236828, 236838, 13166, 236847, 236851]"/>
    <s v="[0.021, 0.045, 0.007, 0.01, 0.008, 0.0, 0.021]"/>
    <s v="208.8665570817458"/>
    <s v="[0.021, 0.045, 0.007, 0.01, -0.008, 0.0, -0.021]"/>
  </r>
  <r>
    <x v="11"/>
    <x v="9"/>
    <x v="0"/>
    <n v="0"/>
    <m/>
    <n v="139615"/>
    <n v="156827"/>
    <s v="#FIELD!"/>
    <n v="156820"/>
    <s v="0.057"/>
    <s v="2.662048083912055"/>
    <s v="#FIELD!"/>
  </r>
  <r>
    <x v="11"/>
    <x v="15"/>
    <x v="0"/>
    <n v="0"/>
    <s v="LINESTRING (12.009099701442555 60.1863911026958, 12.009235071678535 60.18637466091548, 12.010871336621408 60.186430243319904, 12.011463958958506 60.18646449488966, 12.011523118306448 60.186469468422494, 12.011569418464617 60.186473792448325, 12.011645738208028 60.186480527757105, 12.011706766476419 60.18648677433524, 12.012760557434962 60.18667059317993)"/>
    <s v="[235032, 235040, 235048, 235056, 235064, 235072, 235080, 235088]"/>
    <s v="[238227, 238234, 238241, 194587, 238256, 227004, 238272, 195583]"/>
    <s v="0.018376106223208028"/>
    <s v="[156820, 238227, 238234, 238241, 194587, 238256, 227004, 238272]"/>
    <s v="[0.061, 0.046, 0.004, 0.007, 0.007, 0.004, 0.009, 0.015]"/>
    <s v="208.14308599697472"/>
    <s v="[0.061, 0.046, 0.004, -0.007, 0.007, -0.004, -0.009, -0.015]"/>
  </r>
  <r>
    <x v="12"/>
    <x v="16"/>
    <x v="0"/>
    <n v="0"/>
    <s v="LINESTRING (11.277430815205612 60.7059673203488, 11.28000909086506 60.709822209464015, 11.280548802473852 60.71069027327801, 11.281131167203952 60.71163385129553)"/>
    <s v="[139831, 139839, 139847]"/>
    <s v="[157040, 157047, 157054]"/>
    <s v="#FIELD!"/>
    <s v="[157039, 157040, 157047]"/>
    <s v="[0.002, 0.004, 0.003]"/>
    <s v="663.6152353689015"/>
    <s v="[-0.002, -0.004, -0.003]"/>
  </r>
  <r>
    <x v="12"/>
    <x v="17"/>
    <x v="0"/>
    <n v="0"/>
    <s v="LINESTRING (11.275265924399918 60.7000653915949, 11.275009763189942 60.700502280711596, 11.277272554922208 60.70576792029384, 11.277430815205612 60.7059673203488)"/>
    <s v="[224309, 224325, 224333]"/>
    <s v="[229878, 229895, 157039]"/>
    <s v="0.0"/>
    <s v="[229866, 229878, 229895]"/>
    <s v="0.0"/>
    <s v="739.6258858652781"/>
    <s v="0.0"/>
  </r>
  <r>
    <x v="12"/>
    <x v="18"/>
    <x v="0"/>
    <n v="0"/>
    <m/>
    <n v="224389"/>
    <n v="157039"/>
    <s v="0.0"/>
    <n v="229905"/>
    <s v="0.0"/>
    <s v="97.35591549193919"/>
    <s v="0.0"/>
  </r>
  <r>
    <x v="13"/>
    <x v="19"/>
    <x v="0"/>
    <n v="0"/>
    <m/>
    <n v="139855"/>
    <n v="157060"/>
    <s v="#FIELD!"/>
    <n v="157054"/>
    <s v="0.005"/>
    <s v="178.24208819134645"/>
    <s v="#FIELD!"/>
  </r>
  <r>
    <x v="13"/>
    <x v="20"/>
    <x v="0"/>
    <n v="0"/>
    <s v="LINESTRING (11.281131167203952 60.71163385129553, 11.281236700284094 60.71172055246367, 11.282714175687868 60.71295062778922)"/>
    <s v="[143629, 143637]"/>
    <s v="[160710, 160718]"/>
    <s v="#FIELD!"/>
    <s v="[157054, 160710]"/>
    <s v="[0.006, 0.007]"/>
    <s v="181.65977306675018"/>
    <s v="[-0.006, -0.007]"/>
  </r>
  <r>
    <x v="14"/>
    <x v="21"/>
    <x v="0"/>
    <s v="[0, 1, 0]"/>
    <s v="LINESTRING (11.282100994234781 60.713161002218264, 11.282511443369387 60.713688410011734, 11.282837169509472 60.71409194415596, 11.283508574251917 60.714837724854895)"/>
    <s v="[139863, 139871, 139879]"/>
    <s v="[157069, 157077, 157084]"/>
    <s v="#FIELD!"/>
    <s v="[157060, 157069, 157077]"/>
    <s v="[0.008, 0.008, 0.006]"/>
    <s v="202.08940260157098"/>
    <s v="[-0.008, -0.008, -0.006]"/>
  </r>
  <r>
    <x v="14"/>
    <x v="20"/>
    <x v="0"/>
    <n v="0"/>
    <s v="LINESTRING (11.282714175687868 60.71295062778922, 11.282584131463688 60.71294890459892, 11.282124364680218 60.71306997188199, 11.282100994234781 60.713161002218264)"/>
    <s v="[143683, 143691, 143699]"/>
    <s v="[160765, 160773, 157060]"/>
    <s v="0.007474066971850365"/>
    <s v="[160718, 160765, 160773]"/>
    <s v="[0.013, 0.009, 0.001]"/>
    <s v="48.381870467746396"/>
    <s v="[0.013, 0.009, -0.001]"/>
  </r>
  <r>
    <x v="15"/>
    <x v="22"/>
    <x v="0"/>
    <n v="0"/>
    <s v="LINESTRING (11.283200598064543 60.715073743657356, 11.283200598064543 60.715073743657356, 11.283516500644247 60.714927826463565, 11.283508574251917 60.714837724854895)"/>
    <s v="[143659, 143667, 143675]"/>
    <s v="[160746, 160752, 157084]"/>
    <s v="#FIELD!"/>
    <s v="[160745, 160746, 160752]"/>
    <s v="[0.0, 0.003, 0.004]"/>
    <s v="44.11285422036895"/>
    <s v="[0.0, -0.003, 0.004]"/>
  </r>
  <r>
    <x v="16"/>
    <x v="23"/>
    <x v="0"/>
    <n v="0"/>
    <m/>
    <n v="143651"/>
    <n v="160734"/>
    <s v="#FIELD!"/>
    <n v="160718"/>
    <s v="0.007"/>
    <s v="66.21403629300468"/>
    <s v="#FIELD!"/>
  </r>
  <r>
    <x v="17"/>
    <x v="24"/>
    <x v="0"/>
    <n v="0"/>
    <s v="LINESTRING (11.283318544228672 60.71345096962891, 11.283593329443107 60.71364465226105, 11.283649643015163 60.71368117932554, 11.283532190549247 60.71370395781217, 11.283503273351796 60.71370956367937, 11.283370117970167 60.71373471943406)"/>
    <s v="[233237, 233245, 185570, 185578, 185586]"/>
    <s v="[236775, 200309, 200313, 200318, 200325]"/>
    <s v="#FIELD!"/>
    <s v="[160734, 236775, 200309, 200313, 200318]"/>
    <s v="[0.006, 0.007, 0.005, 0.004, 0.005]"/>
    <s v="47.77354683236498"/>
    <s v="[-0.006, -0.007, 0.005, 0.004, 0.005]"/>
  </r>
  <r>
    <x v="17"/>
    <x v="24"/>
    <x v="0"/>
    <n v="0"/>
    <s v="LINESTRING (11.283318544228672 60.71345096962891, 11.283356918882665 60.713690221165585, 11.283370117970167 60.71373471943406)"/>
    <s v="[234976, 234984]"/>
    <s v="[238177, 200325]"/>
    <s v="#FIELD!"/>
    <s v="[160734, 238177]"/>
    <s v="0.004"/>
    <s v="31.754208743049375"/>
    <s v="#FIELD!"/>
  </r>
  <r>
    <x v="18"/>
    <x v="25"/>
    <x v="0"/>
    <n v="0"/>
    <m/>
    <n v="143723"/>
    <n v="160806"/>
    <s v="0.008"/>
    <n v="160745"/>
    <s v="0.008"/>
    <s v="101.88350325178904"/>
    <s v="0.008"/>
  </r>
  <r>
    <x v="19"/>
    <x v="26"/>
    <x v="0"/>
    <n v="0"/>
    <s v="LINESTRING (11.28208235348167 60.714337125601695, 11.2817713400301 60.7141711958662, 11.281721637411591 60.71414096353951)"/>
    <s v="[233253, 233261]"/>
    <s v="[236789, 200369]"/>
    <s v="0.010853011623003814"/>
    <s v="[160806, 236789]"/>
    <s v="[0.011, 0.01]"/>
    <s v="29.43076007905007"/>
    <s v="[0.011, 0.01]"/>
  </r>
  <r>
    <x v="19"/>
    <x v="27"/>
    <x v="0"/>
    <n v="0"/>
    <s v="LINESTRING (11.28208235348167 60.714337125601695, 11.282018200663947 60.71409877557937, 11.282001221741908 60.71405525076262)"/>
    <s v="[234992, 235000]"/>
    <s v="[238192, 200351]"/>
    <s v="0.006"/>
    <s v="[160806, 238192]"/>
    <s v="0.006"/>
    <s v="31.72874073111544"/>
    <s v="0.006"/>
  </r>
  <r>
    <x v="20"/>
    <x v="28"/>
    <x v="0"/>
    <s v="[0, 1, 0, 0, 0]"/>
    <s v="LINESTRING (7.938166145484731 58.141123539842795, 7.938461346102994 58.14126046025185, 7.938902822787671 58.14148707998608, 7.938951000939077 58.14205357361886, 7.9384962100416905 58.14222104517974, 7.938081254054311 58.142225985638)"/>
    <s v="[151421, 151423, 151424, 151435, 151436]"/>
    <s v="[168006, 168008, 168009, 168017, 168018]"/>
    <s v="0.025777514658142212"/>
    <s v="[168005, 168006, 168008, 168009, 168017]"/>
    <s v="[0.04, 0.041, 0.037, 0.008, 0.017]"/>
    <s v="185.32806713241877"/>
    <s v="[0.04, 0.041, 0.037, 0.008, -0.017]"/>
  </r>
  <r>
    <x v="20"/>
    <x v="29"/>
    <x v="0"/>
    <n v="0"/>
    <s v="LINESTRING (7.9377345581975325 58.14098515788407, 7.9378360579072025 58.141012931184456, 7.937956605965335 58.141057004228905, 7.938166145484731 58.141123539842795)"/>
    <s v="[1140647, 1140648, 1140661]"/>
    <s v="[1076968, 1076969, 168005]"/>
    <s v="0.03506179677631596"/>
    <s v="[1076967, 1076968, 1076969]"/>
    <s v="[0.031, 0.04, 0.034]"/>
    <s v="29.810179425291693"/>
    <s v="[0.031, 0.04, 0.034]"/>
  </r>
  <r>
    <x v="20"/>
    <x v="30"/>
    <x v="0"/>
    <n v="0"/>
    <s v="LINESTRING (7.937886253997099 58.14091825554052, 7.937933222285915 58.14095971234621, 7.938020787971552 58.14102325530437, 7.938166145484731 58.141123539842795)"/>
    <s v="[1140684, 1140692, 1140699]"/>
    <s v="[1077010, 1077018, 168005]"/>
    <s v="0.041502529757238005"/>
    <s v="[1077009, 1077010, 1077018]"/>
    <s v="[0.041, 0.041, 0.042]"/>
    <s v="28.472808063957498"/>
    <s v="[0.041, 0.041, 0.042]"/>
  </r>
  <r>
    <x v="21"/>
    <x v="31"/>
    <x v="0"/>
    <n v="0"/>
    <m/>
    <n v="151649"/>
    <n v="168215"/>
    <s v="#FIELD!"/>
    <n v="168018"/>
    <s v="0.036"/>
    <s v="54.107734695671"/>
    <s v="#FIELD!"/>
  </r>
  <r>
    <x v="21"/>
    <x v="32"/>
    <x v="0"/>
    <n v="0"/>
    <s v="LINESTRING (7.938081254054311 58.142225985638, 7.937181070456906 58.14209226017515, 7.934700153495251 58.14315886318785, 7.934460920627686 58.143217644712244)"/>
    <s v="[151447, 1614530, 1162490]"/>
    <s v="[168027, 1096934, 612380]"/>
    <s v="0.11480004076019623"/>
    <s v="[168018, 168027, 1096934]"/>
    <s v="[0.036, 0.142, 0.075]"/>
    <s v="262.6774187948518"/>
    <s v="[0.036, 0.142, 0.075]"/>
  </r>
  <r>
    <x v="22"/>
    <x v="33"/>
    <x v="0"/>
    <n v="0"/>
    <m/>
    <n v="151519"/>
    <n v="168099"/>
    <s v="0.065"/>
    <n v="168098"/>
    <s v="0.065"/>
    <s v="35.28587358559385"/>
    <s v="0.065"/>
  </r>
  <r>
    <x v="22"/>
    <x v="34"/>
    <x v="0"/>
    <n v="0"/>
    <s v="LINESTRING (7.937680620020903 58.1409838688199, 7.9375997332284784 58.14102208643254, 7.937384358962942 58.1411143746255)"/>
    <s v="[1140707, 1140715]"/>
    <s v="[1077030, 168098]"/>
    <s v="0.06880321167543473"/>
    <s v="[1077029, 1077030]"/>
    <s v="[0.032, 0.083]"/>
    <s v="22.99044191591533"/>
    <s v="[0.032, 0.083]"/>
  </r>
  <r>
    <x v="22"/>
    <x v="35"/>
    <x v="0"/>
    <n v="0"/>
    <s v="LINESTRING (7.937553453467325 58.14092407011405, 7.937504992656566 58.140978331608416, 7.937384358962942 58.1411143746255)"/>
    <s v="[1140720, 1140721]"/>
    <s v="[1077044, 168098]"/>
    <s v="0.06812924882564791"/>
    <s v="[1077043, 1077044]"/>
    <s v="[0.071, 0.067]"/>
    <s v="23.71579891062102"/>
    <s v="[0.071, 0.067]"/>
  </r>
  <r>
    <x v="23"/>
    <x v="36"/>
    <x v="0"/>
    <n v="0"/>
    <m/>
    <n v="151594"/>
    <n v="168171"/>
    <s v="0.049"/>
    <n v="168099"/>
    <s v="0.049"/>
    <s v="37.011594512576735"/>
    <s v="0.049"/>
  </r>
  <r>
    <x v="23"/>
    <x v="37"/>
    <x v="0"/>
    <n v="0"/>
    <s v="LINESTRING (7.937225559371234 58.14140880406185, 7.937741455189429 58.14153890118621, 7.940246483192359 58.140834080808354, 7.940406386737366 58.14081413589495)"/>
    <s v="[151526, 1614359, 749688]"/>
    <s v="[168106, 731626, 731627]"/>
    <s v="#FIELD!"/>
    <s v="[168099, 168106, 731626]"/>
    <s v="[0.038, 0.066, 0.038]"/>
    <s v="213.40351684701233"/>
    <s v="[-0.038, -0.066, -0.038]"/>
  </r>
  <r>
    <x v="24"/>
    <x v="38"/>
    <x v="0"/>
    <n v="0"/>
    <s v="LINESTRING (7.935317959089268 58.142788236309606, 7.935379742454599 58.14273129230096, 7.937217495592881 58.141734513165154)"/>
    <s v="[1625936, 1614598]"/>
    <s v="[1447912, 168171]"/>
    <s v="#FIELD!"/>
    <s v="[1114154, 1447912]"/>
    <s v="[0.158, 0.138]"/>
    <s v="163.01131850387503"/>
    <s v="[-0.158, -0.138]"/>
  </r>
  <r>
    <x v="25"/>
    <x v="39"/>
    <x v="0"/>
    <n v="0"/>
    <m/>
    <n v="1354666"/>
    <n v="1253639"/>
    <s v="2.368"/>
    <n v="168215"/>
    <s v="2.368"/>
    <s v="5.070000000065193"/>
    <s v="2.368"/>
  </r>
  <r>
    <x v="25"/>
    <x v="40"/>
    <x v="0"/>
    <n v="0"/>
    <s v="LINESTRING (7.9395285167290295 58.14114409128873, 7.939351376078236 58.14125752571376, 7.937962660875187 58.14180788215448)"/>
    <s v="[749816, 1354654]"/>
    <s v="[731751, 168215]"/>
    <s v="0.0846169771084992"/>
    <s v="[731682, 731751]"/>
    <s v="[0.101, 0.082]"/>
    <s v="119.16764500958564"/>
    <s v="[0.101, 0.082]"/>
  </r>
  <r>
    <x v="26"/>
    <x v="12"/>
    <x v="0"/>
    <s v="[0, 1, 0, 0]"/>
    <s v="LINESTRING (11.98752917130985 60.18982479385166, 11.988169629392905 60.1897433921473, 11.990186594120619 60.18973971973233, 11.991364064855109 60.18958316457546, 11.991811531246267 60.18950446103631)"/>
    <s v="[164247, 164255, 164264, 164274]"/>
    <s v="[179841, 179843, 179850, 179859]"/>
    <s v="#FIELD!"/>
    <s v="[179840, 179841, 179843, 179850]"/>
    <s v="[0.076, 0.043, 0.004, 0.016]"/>
    <s v="242.8479657467954"/>
    <s v="[-0.076, -0.043, -0.004, 0.016]"/>
  </r>
  <r>
    <x v="26"/>
    <x v="41"/>
    <x v="0"/>
    <n v="0"/>
    <s v="LINESTRING (11.986703857315279 60.189968030128135, 11.986808495776963 60.18994659897682, 11.98752917130985 60.18982479385166)"/>
    <s v="[174135, 174140]"/>
    <s v="[188940, 179840]"/>
    <s v="#FIELD!"/>
    <s v="[179972, 188940]"/>
    <s v="[0.072, 0.069]"/>
    <s v="48.91408385413882"/>
    <s v="[-0.072, -0.069]"/>
  </r>
  <r>
    <x v="26"/>
    <x v="42"/>
    <x v="0"/>
    <n v="0"/>
    <s v="LINESTRING (11.986777843155679 60.19011356731831, 11.98690922956146 60.190038563132184, 11.98752917130985 60.18982479385166)"/>
    <s v="[236948, 236956]"/>
    <s v="[239880, 179840]"/>
    <s v="#FIELD!"/>
    <s v="[179982, 239880]"/>
    <s v="[0.022, 0.044]"/>
    <s v="53.29371642664289"/>
    <s v="[-0.022, -0.044]"/>
  </r>
  <r>
    <x v="27"/>
    <x v="41"/>
    <x v="0"/>
    <n v="0"/>
    <s v="LINESTRING (11.986265095074286 60.1900497899777, 11.986306044309222 60.189996809714195, 11.986392750094813 60.189956461270754, 11.986551704433607 60.189935007860925, 11.986703857315279 60.189968030128135)"/>
    <s v="[164398, 164399, 164406, 164407]"/>
    <s v="[179962, 179963, 179971, 179972]"/>
    <s v="#FIELD!"/>
    <s v="[179953, 179962, 179963, 179971]"/>
    <s v="[0.015, 0.027, 0.078, 0.106]"/>
    <s v="31.2524232802618"/>
    <s v="[0.015, -0.027, -0.078, -0.106]"/>
  </r>
  <r>
    <x v="27"/>
    <x v="43"/>
    <x v="0"/>
    <n v="0"/>
    <s v="LINESTRING (11.986511143564432 60.19020013971749, 11.986304684475973 60.19014164862249, 11.986265095074286 60.1900497899777)"/>
    <s v="[164441, 164387]"/>
    <s v="[179952, 179953]"/>
    <s v="0.09030310870291275"/>
    <s v="[179987, 179952]"/>
    <s v="[0.108, 0.067]"/>
    <s v="24.249626634706267"/>
    <s v="[0.108, 0.067]"/>
  </r>
  <r>
    <x v="27"/>
    <x v="44"/>
    <x v="0"/>
    <n v="0"/>
    <s v="LINESTRING (11.975824991882716 60.195111711019365, 11.975948771542043 60.19508650187249, 11.984480523207031 60.19086902272637, 11.985502051241777 60.19042357835517, 11.986146673637434 60.19012900606533, 11.986177689612632 60.19010680811267, 11.986265095074286 60.1900497899777)"/>
    <s v="[336826, 336834, 336842, 336850, 336858, 336866]"/>
    <s v="[326075, 326082, 326091, 326098, 326107, 179953]"/>
    <s v="#FIELD!"/>
    <s v="[326074, 326075, 326082, 326091, 326098, 326107]"/>
    <s v="[0.085, 0.008, 0.06, 0.021, 0.013, 0.014]"/>
    <s v="809.9446532346385"/>
    <s v="[-0.085, -0.008, 0.06, 0.021, -0.013, -0.014]"/>
  </r>
  <r>
    <x v="28"/>
    <x v="42"/>
    <x v="0"/>
    <n v="0"/>
    <s v="LINESTRING (11.986703857315279 60.189968030128135, 11.986765129018913 60.19000824012958, 11.986777843155679 60.19011356731831)"/>
    <s v="[164421, 164422]"/>
    <s v="[179981, 179982]"/>
    <s v="#FIELD!"/>
    <s v="[179972, 179981]"/>
    <s v="[0.11, 0.056]"/>
    <s v="17.684213642596323"/>
    <s v="[-0.11, -0.056]"/>
  </r>
  <r>
    <x v="29"/>
    <x v="43"/>
    <x v="0"/>
    <n v="0"/>
    <s v="LINESTRING (11.986777843155679 60.19011356731831, 11.98653455263608 60.19020067216465, 11.986511143564432 60.19020013971749)"/>
    <s v="[164424, 164428]"/>
    <s v="[179984, 179987]"/>
    <s v="0.04663915173518998"/>
    <s v="[179982, 179984]"/>
    <s v="[0.044, 0.082]"/>
    <s v="18.718135581545663"/>
    <s v="[0.044, 0.082]"/>
  </r>
  <r>
    <x v="30"/>
    <x v="45"/>
    <x v="0"/>
    <n v="0"/>
    <s v="LINESTRING (11.976062729189618 60.195250299471425, 11.97611299917542 60.19518925028478, 11.984580842748082 60.190932630659674, 11.98562254083874 60.19049844474138, 11.986322877701596 60.19023660568851, 11.986368574271195 60.190221965801314, 11.986511143564432 60.19020013971749)"/>
    <s v="[336890, 336898, 336906, 336914, 336922, 336930]"/>
    <s v="[326130, 326136, 326144, 326152, 326161, 179987]"/>
    <s v="#FIELD!"/>
    <s v="[326129, 326130, 326136, 326144, 326152, 326161]"/>
    <s v="[0.014, 0.007, 0.058, 0.002, 0.048, 0.076]"/>
    <s v="810.4928818001205"/>
    <s v="[0.014, -0.007, 0.058, 0.002, -0.048, -0.076]"/>
  </r>
  <r>
    <x v="31"/>
    <x v="46"/>
    <x v="1"/>
    <n v="0"/>
    <s v="LINESTRING (12.323257882584095 60.18267490336616, 12.513481087099391 60.25585101206168)"/>
    <m/>
    <m/>
    <s v="0.0"/>
    <m/>
    <n v="0"/>
    <s v="19942.794279941754"/>
    <n v="0"/>
  </r>
  <r>
    <x v="32"/>
    <x v="47"/>
    <x v="0"/>
    <s v="[0, 0, 0, 0, 0, 1, 0, 0, 0, 0, 0, 0, 0, 0, 0, 0, 0, 0, 0, 0, 0, 0, 0, 0, 0]"/>
    <s v="LINESTRING (11.675771683428916 60.25789922840169, 11.675963856062294 60.25823900157715, 11.675979373872288 60.25825841505885, 11.676028744843258 60.25832435571245, 11.677228439022745 60.259423008104754, 11.677972856219993 60.259447763842836, 11.678940232106 60.259342669848884, 11.681081273961828 60.25943184281943, 11.68119615368043 60.259443074563286, 11.68140340665923 60.25946811999332, 11.681560611979009 60.25948732994722, 11.682992245059602 60.2596195621467, 11.69066900221018 60.25889080997774, 11.692037843816566 60.25848015573752, 11.693674558064222 60.257955161675795, 11.700493252078147 60.25576210305444, 11.703307761243819 60.254856063999014, 11.705746301664357 60.254072911220774, 11.707228458270645 60.25359730670966, 11.709296650977397 60.25293070719841, 11.709378893200599 60.252903990990134, 11.713717309368857 60.25150777435518, 11.718691702443842 60.249898705293596, 11.722371392177175 60.248720769130166, 11.730155118853254 60.24804208017224, 11.733096931048598 60.24795992288121)"/>
    <s v="[174486, 174497, 174505, 174513, 174536, 174537, 174540, 174541, 174548, 174556, 174557, 174562, 174563, 174564, 174575, 174576, 174596, 174608, 174612, 174613, 174617, 174629, 174645, 174653, 2159538]"/>
    <s v="[189254, 189266, 29321, 45454, 189301, 189302, 189304, 189305, 189310, 189318, 189319, 46132, 189326, 189327, 29253, 29152, 30663, 189365, 29115, 37261, 189370, 29121, 189395, 29088, 326335]"/>
    <s v="0.0023931629505300365"/>
    <s v="[189253, 189254, 189266, 29321, 45454, 189301, 189302, 189304, 189305, 189310, 189318, 189319, 46132, 189326, 189327, 29253, 29152, 30663, 189365, 29115, 37261, 189370, 29121, 189395, 29088]"/>
    <s v="[0.01, 0.004, 0.004, 0.004, 0.091, 0.03, 0.024, 0.019, 0.013, 0.01, 0.007, 0.003, 0.024, 0.016, 0.006, 0.021, 0.001, 0.01, 0.014, 0.024, 0.008, 0.015, 0.003, 0.005, 0.017]"/>
    <s v="3649.8473562500967"/>
    <s v="[0.01, 0.004, 0.004, -0.004, -0.091, -0.03, 0.024, 0.019, 0.013, 0.01, 0.007, -0.003, 0.024, -0.016, 0.006, 0.021, -0.001, -0.01, 0.014, 0.024, -0.008, 0.015, 0.003, -0.005, 0.017]"/>
  </r>
  <r>
    <x v="32"/>
    <x v="48"/>
    <x v="0"/>
    <n v="0"/>
    <s v="LINESTRING (11.67569755286991 60.25759312044079, 11.675709959487667 60.25763837333216, 11.675771683428916 60.25789922840169)"/>
    <s v="[232435, 232443]"/>
    <s v="[236126, 189253]"/>
    <s v="0.01399488354439794"/>
    <s v="[191235, 236126]"/>
    <s v="[0.062, 0.027]"/>
    <s v="34.82346539460756"/>
    <s v="[-0.062, 0.027]"/>
  </r>
  <r>
    <x v="32"/>
    <x v="49"/>
    <x v="0"/>
    <n v="0"/>
    <s v="LINESTRING (11.675508710900699 60.257640914280934, 11.67554680545136 60.25767717737396, 11.675771683428916 60.25789922840169)"/>
    <s v="[222433, 222441]"/>
    <s v="[228359, 189253]"/>
    <s v="0.008742983235838026"/>
    <s v="[191263, 228359]"/>
    <s v="[0.424, 0.079]"/>
    <s v="32.6309234587211"/>
    <s v="[-0.424, 0.079]"/>
  </r>
  <r>
    <x v="33"/>
    <x v="48"/>
    <x v="0"/>
    <n v="0"/>
    <s v="LINESTRING (11.675532223227227 60.25741478073565, 11.67564957631948 60.2574370161163, 11.675704997736085 60.25746844726603, 11.67573912968646 60.25750722609424, 11.67569755286991 60.25759312044079)"/>
    <s v="[176432, 176433, 176440, 176448]"/>
    <s v="[191216, 191217, 191225, 191235]"/>
    <s v="0.0028547197849890476"/>
    <s v="[191215, 191216, 191217, 191225]"/>
    <s v="[0.016, 0.003, 0.009, 0.016]"/>
    <s v="26.168925016182072"/>
    <s v="[-0.016, -0.003, 0.009, 0.016]"/>
  </r>
  <r>
    <x v="33"/>
    <x v="50"/>
    <x v="0"/>
    <n v="0"/>
    <s v="LINESTRING (11.675331406615527 60.25745477038242, 11.675413000769048 60.25742414918861, 11.675532223227227 60.25741478073565)"/>
    <s v="[176498, 176505]"/>
    <s v="[191289, 191215]"/>
    <s v="#FIELD!"/>
    <s v="[191288, 191289]"/>
    <s v="[0.021, 0.025]"/>
    <s v="12.344148413888266"/>
    <s v="[-0.021, -0.025]"/>
  </r>
  <r>
    <x v="33"/>
    <x v="51"/>
    <x v="0"/>
    <n v="0"/>
    <s v="LINESTRING (11.67518520436329 60.25722751927178, 11.675311243279625 60.25728639536203, 11.675471985333523 60.257383767987776, 11.675532223227227 60.25741478073565)"/>
    <s v="[232411, 232419, 232427]"/>
    <s v="[236109, 236113, 191215]"/>
    <s v="0.04193627826343033"/>
    <s v="[228337, 236109, 236113]"/>
    <s v="[0.108, 0.006, 0.045]"/>
    <s v="28.79414330164484"/>
    <s v="[0.108, -0.006, 0.045]"/>
  </r>
  <r>
    <x v="34"/>
    <x v="49"/>
    <x v="0"/>
    <n v="0"/>
    <s v="LINESTRING (11.67569755286991 60.25759312044079, 11.675603607526535 60.25763068444611, 11.675508710900699 60.257640914280934)"/>
    <s v="[176456, 176469]"/>
    <s v="[191246, 191263]"/>
    <s v="0.016877488259148966"/>
    <s v="[191235, 191246]"/>
    <s v="[0.02, 0.013]"/>
    <s v="12.052489400056832"/>
    <s v="[0.02, 0.013]"/>
  </r>
  <r>
    <x v="35"/>
    <x v="50"/>
    <x v="0"/>
    <n v="0"/>
    <s v="LINESTRING (11.675508710900699 60.257640914280934, 11.675361425434444 60.257614244057116, 11.67529954359745 60.25757448201837, 11.675279967457422 60.25752984918319, 11.675331406615527 60.25745477038242)"/>
    <s v="[176480, 176481, 176489, 176497]"/>
    <s v="[191273, 191274, 191280, 191288]"/>
    <s v="0.00011739936728648422"/>
    <s v="[191263, 191273, 191274, 191280]"/>
    <s v="[0.009, 0.004, 0.0, 0.011]"/>
    <s v="28.20604409542743"/>
    <s v="[0.009, 0.004, 0.0, -0.011]"/>
  </r>
  <r>
    <x v="36"/>
    <x v="51"/>
    <x v="0"/>
    <n v="0"/>
    <s v="LINESTRING (11.67518520436329 60.25722751927178, 11.675196757629413 60.25730967676789, 11.675305487705414 60.257427906833286, 11.675331406615527 60.25745477038242)"/>
    <s v="[222409, 222417, 222425]"/>
    <s v="[228338, 228347, 191288]"/>
    <s v="0.05504491455569544"/>
    <s v="[228337, 228338, 228347]"/>
    <s v="[0.001, 0.009, 0.494]"/>
    <s v="27.24958627087446"/>
    <s v="[-0.001, -0.009, 0.494]"/>
  </r>
  <r>
    <x v="37"/>
    <x v="52"/>
    <x v="0"/>
    <n v="0"/>
    <m/>
    <n v="362171"/>
    <n v="350651"/>
    <s v="#FIELD!"/>
    <n v="191524"/>
    <s v="0.027"/>
    <s v="24.111974203747376"/>
    <s v="#FIELD!"/>
  </r>
  <r>
    <x v="38"/>
    <x v="53"/>
    <x v="0"/>
    <n v="0"/>
    <s v="LINESTRING (12.012760557434962 60.18667059317993, 12.017770751002406 60.187083368624, 12.018561894657532 60.187098138303845, 12.018872911730998 60.18710709598686, 12.020150616174618 60.187269809527486)"/>
    <s v="[180932, 358567, 358575, 358583]"/>
    <s v="[195584, 13563, 346937, 346966]"/>
    <s v="#FIELD!"/>
    <s v="[195583, 195584, 13563, 346937]"/>
    <s v="[0.002, 0.073, 0.013, 0.006]"/>
    <s v="420.79657230493365"/>
    <s v="[-0.002, -0.073, 0.013, -0.006]"/>
  </r>
  <r>
    <x v="39"/>
    <x v="54"/>
    <x v="0"/>
    <n v="0"/>
    <s v="LINESTRING (12.029504488353046 60.19364404177697, 12.029510618906613 60.19367941880846, 12.029621274669061 60.19409932063392, 12.029721112774586 60.1945185395388, 12.029779202833643 60.19451636447745, 12.02990344959328 60.19451101804651, 12.034014874849902 60.1937296994744, 12.034045211616311 60.19370350414617)"/>
    <s v="[180949, 180962, 180963, 197568, 197576, 197584, 197592]"/>
    <s v="[195600, 195611, 195612, 209893, 209901, 209906, 209022]"/>
    <s v="0.0077082889988336544"/>
    <s v="[195595, 195600, 195611, 195612, 209893, 209901, 209906]"/>
    <s v="[0.006, 0.004, 0.001, 0.009, 0.043, 0.01, 0.074]"/>
    <s v="374.75239818061493"/>
    <s v="[-0.006, -0.004, -0.001, -0.009, 0.043, 0.01, 0.074]"/>
  </r>
  <r>
    <x v="39"/>
    <x v="54"/>
    <x v="0"/>
    <n v="0"/>
    <s v="LINESTRING (12.029504488353046 60.19364404177697, 12.029555597610994 60.19364201582927, 12.029685297349358 60.1936369985559, 12.03128110775568 60.19354618968734, 12.031566082493534 60.19353189962573, 12.031962750295538 60.193516337208976, 12.032865321666412 60.19352511389089, 12.034045211616311 60.19370350414617)"/>
    <s v="[196304, 196312, 196320, 196328, 196336, 196344, 196352]"/>
    <s v="[208984, 208990, 208995, 209002, 209009, 209014, 209022]"/>
    <s v="0.011193752675151337"/>
    <s v="[195595, 208984, 208990, 208995, 209002, 209009, 209014]"/>
    <s v="[0.036, 0.023, 0.004, 0.019, 0.032, 0.03, 0.001]"/>
    <s v="255.83634796907398"/>
    <s v="[-0.036, 0.023, 0.004, 0.019, 0.032, 0.03, -0.001]"/>
  </r>
  <r>
    <x v="39"/>
    <x v="55"/>
    <x v="2"/>
    <s v="[0, 1, 0, 0, 0, 1, 0, 0, 0, 0, 0]"/>
    <s v="LINESTRING (12.021306739744801 60.18771415694941, 12.02150376996782 60.18781364957532, 12.022822624369077 60.18847962104789, 12.023168631186133 60.188654169101305, 12.027508510065681 60.190846284337844, 12.02891394482955 60.19185844313204, 12.029111879035236 60.19218789089992, 12.029243555314713 60.19260113041031, 12.029409666104916 60.19327098372126, 12.029442906630946 60.19342303818081, 12.029479951594107 60.19355038800363, 12.029504488353046 60.19364404177697)"/>
    <s v="[358631, 358639, 358647, 358655, 358663, 358671, 358679, 358687, 180933, 180941, 180942]"/>
    <s v="[347020, 347032, 347040, 3681, 347059, 347069, 347078, 195585, 195586, 195594, 195595]"/>
    <s v="#FIELD!"/>
    <s v="[347019, 347020, 347032, 347040, 3681, 347059, 347069, 347078, 195585, 195586, 195594]"/>
    <s v="[0.032, 0.033, 0.024, 0.006, 0.004, 0.005, 0.005, 0.013, 0.007, 0.005, 0.006]"/>
    <s v="830.1065947343728"/>
    <s v="[-0.032, -0.033, -0.024, -0.006, 0.004, 0.005, 0.005, 0.013, -0.007, -0.005, -0.006]"/>
  </r>
  <r>
    <x v="40"/>
    <x v="27"/>
    <x v="0"/>
    <n v="0"/>
    <s v="LINESTRING (11.283370117970167 60.71373471943406, 11.282867828980624 60.713839688677446, 11.282482013921324 60.713926201704425, 11.282001221741908 60.71405525076262)"/>
    <s v="[185594, 185602, 185610]"/>
    <s v="[200334, 200343, 200351]"/>
    <s v="0.007560218524315565"/>
    <s v="[200325, 200334, 200343]"/>
    <s v="[0.006, 0.009, 0.008]"/>
    <s v="82.91319557526158"/>
    <s v="[0.006, 0.009, 0.008]"/>
  </r>
  <r>
    <x v="41"/>
    <x v="26"/>
    <x v="0"/>
    <n v="0"/>
    <s v="LINESTRING (11.282001221741908 60.71405525076262, 11.281849543811857 60.714097777147344, 11.281721637411591 60.71414096353951)"/>
    <s v="[185618, 185626]"/>
    <s v="[200360, 200369]"/>
    <s v="0.007"/>
    <s v="[200351, 200360]"/>
    <s v="0.007"/>
    <s v="18.022643935321163"/>
    <s v="0.007"/>
  </r>
  <r>
    <x v="42"/>
    <x v="56"/>
    <x v="0"/>
    <s v="[0, 0, 1, 0, 0]"/>
    <s v="LINESTRING (11.101135541845837 63.668650098783296, 11.10123758633848 63.66933322406455, 11.101467367132978 63.67087133853349, 11.101482539456558 63.67095038689964, 11.101505322368933 63.671074594993115, 11.102609488826207 63.67243406855809)"/>
    <s v="[188786, 188794, 188802, 188810, 188818]"/>
    <s v="[203073, 203077, 203081, 203087, 203093]"/>
    <s v="0.04045524514770126"/>
    <s v="[203067, 203073, 203077, 203081, 203087]"/>
    <s v="[0.001, 0.002, 0.002, 0.002, 0.105]"/>
    <s v="433.48438178363347"/>
    <s v="[0.001, 0.002, 0.002, 0.002, 0.105]"/>
  </r>
  <r>
    <x v="42"/>
    <x v="57"/>
    <x v="0"/>
    <n v="0"/>
    <s v="LINESTRING (11.101135541845837 63.668650098783296, 11.10118824308538 63.66872446757245, 11.102260952468622 63.67076114850161, 11.102286633838302 63.67083206985868, 11.102290948784352 63.67084410371939, 11.102295364143945 63.6708642376428)"/>
    <s v="[189018, 189026, 189034, 189042, 189050]"/>
    <s v="[203259, 203267, 203276, 203282, 203290]"/>
    <s v="#FIELD!"/>
    <s v="[203067, 203259, 203267, 203276, 203282]"/>
    <s v="[0.002, 0.004, 0.011, 0.003, 0.013]"/>
    <s v="255.4007148676846"/>
    <s v="[-0.002, -0.004, -0.011, -0.003, -0.013]"/>
  </r>
  <r>
    <x v="42"/>
    <x v="58"/>
    <x v="0"/>
    <s v="[0, 0, 0, 0, 1, 0, 0, 0, 0, 1, 0, 0, 1, 0, 0]"/>
    <s v="LINESTRING (11.066711369978297 63.62962028740446, 11.066676253142408 63.62974879656792, 11.066363704854886 63.63023300764549, 11.066327617643784 63.63029323147862, 11.065061029687058 63.633577747459036, 11.064541067045624 63.63415371181243, 11.072108614091071 63.64358167861907, 11.072161882061724 63.643718870302216, 11.07268416267369 63.64476421821483, 11.094812506356819 63.65511855245685, 11.094969305806487 63.65517557809425, 11.095948958817935 63.65554747982661, 11.103717497341062 63.661052710343384, 11.103699024589837 63.66116228287852, 11.102732937681019 63.662716960233716, 11.101135541845837 63.668650098783296)"/>
    <s v="[1465887, 2097991, 2097998, 2098006, 2098007, 2098029, 2098038, 2098039, 2098046, 2098047, 2098051, 2098059, 2098060, 2098067, 188778]"/>
    <s v="[1328502, 1814447, 1814453, 1814459, 1814460, 1814472, 1814478, 1814479, 1814484, 1814485, 1814488, 1814494, 1814495, 203066, 203067]"/>
    <s v="0.004246534854190748"/>
    <s v="[1328498, 1328502, 1814447, 1814453, 1814459, 1814460, 1814472, 1814478, 1814479, 1814484, 1814485, 1814488, 1814494, 1814495, 203066]"/>
    <s v="[0.014, 0.04, 0.009, 0.02, 0.038, 0.026, 0.08, 0.001, 0.002, 0.032, 0.029, 0.009, 0.039, 0.087, 0.014]"/>
    <s v="5144.165566415357"/>
    <s v="[0.014, 0.04, 0.009, 0.02, 0.038, 0.026, -0.08, 0.001, -0.002, 0.032, 0.029, 0.009, -0.039, -0.087, -0.014]"/>
  </r>
  <r>
    <x v="43"/>
    <x v="59"/>
    <x v="3"/>
    <s v="[0, 0, 0, 1, 0, 1, 0, 1, 0, 0, 0, 0, 0, 0, 0, 0, 0, 1, 0, 0, 0, 0, 0, 0, 0, 0, 0, 0, 0, 0, 1, 1, 0, 0, 1, 0, 0, 1]"/>
    <s v="LINESTRING (11.102609488826207 63.67243406855809, 11.105564817815102 63.673595163890205, 11.121169494266676 63.67962607257478, 11.131216735778994 63.682471422991476, 11.13126171432243 63.6824893848545, 11.13457877941796 63.68347595146797, 11.136813596487332 63.68405604982632, 11.145617811394422 63.69103455745718, 11.145648993952905 63.69106909360825, 11.14892141436222 63.69467538131802, 11.148961933704841 63.69472292776405, 11.149024241881051 63.6947987907088, 11.149063323459435 63.6948433599564, 11.151905390162533 63.69931489940854, 11.152450413523729 63.70024239493937, 11.15247333624885 63.70027762491618, 11.154851274397101 63.702737712448105, 11.155118272195853 63.70294131625836, 11.15702010590718 63.704277861019925, 11.15792503487812 63.70490817479595, 11.159224089346305 63.70587031414494, 11.159304568911816 63.70593715774073, 11.159524233034134 63.7061237797095, 11.159657445276842 63.706240693563785, 11.159708858907774 63.70628673870805, 11.159896722054016 63.70645900415088, 11.159935525160446 63.70649615728953, 11.159975689072333 63.706534182497506, 11.160090182662294 63.70664364056051, 11.16012456857296 63.70667721587394, 11.160193528573316 63.706743877227176, 11.161795402205275 63.7084112289847, 11.161887091540692 63.708507864084105, 11.16429814638537 63.710063666031495, 11.164999865224742 63.710300288267945, 11.165119060527395 63.71033567333056, 11.18410771516539 63.7108720022089, 11.185419595552258 63.71073434604047, 11.18625487792864 63.71069875893292)"/>
    <s v="[188954, 188962, 188970, 188978, 189154, 189162, 189170, 189178, 189186, 189194, 189202, 189210, 189218, 189226, 189234, 189242, 189250, 189266, 189274, 189282, 189290, 189298, 189306, 189314, 189322, 189330, 189338, 189346, 189354, 189362, 189370, 189378, 189386, 189394, 189402, 189410, 189418, 189426]"/>
    <s v="[203206, 203212, 203217, 203224, 203382, 203389, 203394, 203401, 203407, 203414, 203421, 203427, 203431, 203434, 203439, 203446, 203454, 203467, 203475, 203482, 203487, 203494, 203499, 203508, 203513, 203517, 203521, 203526, 203530, 203537, 203543, 203548, 203553, 203559, 203566, 203573, 203581, 203586]"/>
    <s v="#FIELD!"/>
    <s v="[203093, 203206, 203212, 203217, 203224, 203382, 203389, 203394, 203401, 203407, 203414, 203421, 203427, 203431, 203434, 203439, 203446, 203454, 203467, 203475, 203482, 203487, 203494, 203499, 203508, 203513, 203517, 203521, 203526, 203530, 203537, 203543, 203548, 203553, 203559, 203566, 203573, 203581]"/>
    <s v="[0.019, 0.024, 0.0, 0.023, 0.001, 0.031, 0.002, 0.018, 0.014, 0.013, 0.013, 0.014, 0.025, 0.031, 0.033, 0.031, 0.026, 0.018, 0.008, 0.002, 0.009, 0.0, 0.003, 0.001, 0.002, 0.0, 0.004, 0.0, 0.005, 0.002, 0.037, 0.051, 0.075, 0.011, 0.049, 0.01, 0.011, 0.027]"/>
    <s v="6589.133884340191"/>
    <s v="[-0.019, -0.024, 0.0, -0.023, 0.001, -0.031, -0.002, -0.018, -0.014, -0.013, -0.013, -0.014, -0.025, -0.031, -0.033, -0.031, -0.026, -0.018, 0.008, -0.002, -0.009, 0.0, 0.003, 0.001, 0.002, 0.0, 0.004, -0.0, -0.005, 0.002, 0.037, 0.051, 0.075, 0.011, -0.049, -0.01, -0.011, -0.027]"/>
  </r>
  <r>
    <x v="43"/>
    <x v="60"/>
    <x v="0"/>
    <n v="0"/>
    <s v="LINESTRING (11.102192431597702 63.670890968578874, 11.102192431597702 63.670890968578874, 11.102338978000278 63.67216535341342, 11.102609488826207 63.67243406855809)"/>
    <s v="[188914, 188922, 588008]"/>
    <s v="[203176, 203182, 203093]"/>
    <s v="0.1022458435424168"/>
    <s v="[203175, 203176, 203182]"/>
    <s v="[0.0, 0.104, 0.102]"/>
    <s v="179.90251587866328"/>
    <s v="[0.0, 0.104, 0.102]"/>
  </r>
  <r>
    <x v="44"/>
    <x v="61"/>
    <x v="0"/>
    <s v="[0, 1, 0, 0, 0]"/>
    <s v="LINESTRING (11.101105896208683 63.66933000196316, 11.10136617913398 63.670874048857215, 11.101381978279283 63.67095457014746, 11.101412877381108 63.67108038243257, 11.102528325450734 63.67246094977892, 11.105497884116607 63.67364603230588)"/>
    <s v="[188842, 188850, 188858, 188866, 188874]"/>
    <s v="[203114, 203120, 203128, 203134, 203142]"/>
    <s v="0.02618679135056349"/>
    <s v="[203108, 203114, 203120, 203128, 203134]"/>
    <s v="[0.001, 0.002, 0.002, 0.108, 0.017]"/>
    <s v="559.9315642015818"/>
    <s v="[0.001, 0.002, 0.002, 0.108, -0.017]"/>
  </r>
  <r>
    <x v="44"/>
    <x v="62"/>
    <x v="0"/>
    <n v="0"/>
    <s v="LINESTRING (11.100169253538526 63.671017991864026, 11.100169253538526 63.671017991864026, 11.100035238946356 63.67058019884844, 11.100126167350751 63.670455103726084, 11.101095672378007 63.66954484802746, 11.101105896208683 63.66933000196316)"/>
    <s v="[188986, 188994, 189002, 189010, 189586]"/>
    <s v="[203233, 203239, 203247, 203253, 203108]"/>
    <s v="#FIELD!"/>
    <s v="[203232, 203233, 203239, 203247, 203253]"/>
    <s v="[0.0, 0.0, 0.003, 0.005, 0.002]"/>
    <s v="205.19780172779235"/>
    <s v="[0.0, 0.0, -0.003, -0.005, -0.002]"/>
  </r>
  <r>
    <x v="44"/>
    <x v="58"/>
    <x v="0"/>
    <s v="[0, 0, 0, 0, 1, 0, 0, 0, 0, 1, 0, 0, 1, 0, 0, 0]"/>
    <s v="LINESTRING (11.066711369978297 63.62962028740446, 11.066556599440656 63.629738930478645, 11.066225704524555 63.63021932229376, 11.066190895219668 63.630279509215974, 11.06491975937631 63.63355210828552, 11.064397750125375 63.634130280885, 11.07195985177406 63.64359092896339, 11.072014668103908 63.64373138949677, 11.072543649471225 63.64477926697135, 11.094680315421028 63.655144274962396, 11.09483545665369 63.655200563662696, 11.09584779431297 63.65559478882531, 11.103566374251729 63.66104898072164, 11.103548356562827 63.66115538417158, 11.102588167768156 63.66269137478817, 11.10100461227815 63.66865725924722, 11.101105896208683 63.66933000196316)"/>
    <s v="[1465880, 2098068, 2098076, 2098084, 2098089, 2098091, 2098103, 2098104, 2098110, 2098125, 2098126, 2098133, 2098141, 2098157, 188826, 188834]"/>
    <s v="[1328499, 1814501, 1814505, 1814511, 1814513, 1814515, 1814520, 1814521, 1814526, 1814536, 1814537, 1814541, 1814544, 203100, 203101, 203108]"/>
    <s v="0.0040882473706601915"/>
    <s v="[1328498, 1328499, 1814501, 1814505, 1814511, 1814513, 1814515, 1814520, 1814521, 1814526, 1814536, 1814537, 1814541, 1814544, 203100, 203101]"/>
    <s v="[0.007, 0.038, 0.007, 0.019, 0.038, 0.027, 0.075, 0.002, 0.002, 0.032, 0.03, 0.007, 0.039, 0.084, 0.015, 0.001]"/>
    <s v="5221.126284880407"/>
    <s v="[0.007, 0.038, 0.007, 0.019, 0.038, 0.027, -0.075, 0.002, -0.002, 0.032, 0.03, 0.007, -0.039, -0.084, -0.015, 0.001]"/>
  </r>
  <r>
    <x v="45"/>
    <x v="63"/>
    <x v="0"/>
    <n v="0"/>
    <s v="LINESTRING (11.105497884116607 63.67364603230588, 11.105204689209485 63.67357747017452, 11.098552783119501 63.67164813367768, 11.09830529527194 63.67154209903865, 11.098260122625716 63.671522287429546)"/>
    <s v="[188882, 188890, 188898, 188906]"/>
    <s v="[203150, 203156, 203160, 203169]"/>
    <s v="#FIELD!"/>
    <s v="[203142, 203150, 203156, 203160]"/>
    <s v="[0.178, 0.019, 0.073, 0.062]"/>
    <s v="442.48097849331583"/>
    <s v="[0.178, -0.019, -0.073, -0.062]"/>
  </r>
  <r>
    <x v="45"/>
    <x v="64"/>
    <x v="0"/>
    <s v="[0, 0, 1, 0, 1, 0, 1, 0, 0, 0]"/>
    <s v="LINESTRING (11.105497884116607 63.67364603230588, 11.12109346797244 63.67967470751653, 11.131151133452544 63.6825038346831, 11.131196492761475 63.68252271448592, 11.13452449922751 63.683517386302334, 11.136760386315197 63.6840944047682, 11.145519872713074 63.691051900961185, 11.1455506930785 63.69108612187743, 11.148822874240285 63.694686348563096, 11.148964303902375 63.69485412574993, 11.151803685511116 63.69931893645423)"/>
    <s v="[188930, 188938, 188946, 189058, 189066, 189074, 189082, 189090, 189098, 189106]"/>
    <s v="[203187, 203193, 203200, 203298, 203305, 203310, 203317, 203324, 203331, 203338]"/>
    <s v="#FIELD!"/>
    <s v="[203142, 203187, 203193, 203200, 203298, 203305, 203310, 203317, 203324, 203331]"/>
    <s v="[0.025, 0.001, 0.037, 0.001, 0.03, 0.002, 0.017, 0.014, 0.013, 0.026]"/>
    <s v="3881.5948166400494"/>
    <s v="[-0.025, 0.001, -0.037, 0.001, -0.03, -0.002, -0.017, -0.014, -0.013, -0.026]"/>
  </r>
  <r>
    <x v="46"/>
    <x v="65"/>
    <x v="0"/>
    <n v="0"/>
    <s v="LINESTRING (11.151803685511116 63.69931893645423, 11.15235324089218 63.70025479448297, 11.152376380857238 63.700290362796935, 11.154770055064539 63.702765044739465)"/>
    <s v="[189114, 189122, 189130]"/>
    <s v="[203346, 203354, 203361]"/>
    <s v="#FIELD!"/>
    <s v="[203338, 203346, 203354]"/>
    <s v="[0.031, 0.036, 0.031]"/>
    <s v="412.8449150351225"/>
    <s v="[-0.031, -0.036, -0.031]"/>
  </r>
  <r>
    <x v="46"/>
    <x v="66"/>
    <x v="0"/>
    <n v="0"/>
    <s v="LINESTRING (11.152740971884898 63.701689172985425, 11.152775476692439 63.70166735945793, 11.151782969859529 63.69938074107237, 11.151803685511116 63.69931893645423)"/>
    <s v="[765605, 765613, 765773]"/>
    <s v="[744703, 744709, 203338]"/>
    <s v="0.027309423173043215"/>
    <s v="[744645, 744703, 744709]"/>
    <s v="[0.01, 0.031, 0.107]"/>
    <s v="277.36473267059904"/>
    <s v="[0.01, 0.031, -0.107]"/>
  </r>
  <r>
    <x v="47"/>
    <x v="67"/>
    <x v="0"/>
    <s v="[0, 1, 0, 0, 0, 0, 0, 0, 0, 0, 0, 1, 1, 0, 0, 1, 0, 0, 1, 1, 0, 0, 0]"/>
    <s v="LINESTRING (11.154770055064539 63.702765044739465, 11.15502980195351 63.702963116800916, 11.156930715502346 63.704299107988874, 11.157826619507793 63.70492739296606, 11.15920312263769 63.7059528630819, 11.159429214593805 63.70614451859953, 11.159610428290355 63.70630469962903, 11.159802580727845 63.706481186609246, 11.159842777705956 63.70651881732789, 11.15987948326098 63.706554108172746, 11.159993135859649 63.70666274405775, 11.160099852335767 63.706766359880504, 11.161696213592892 63.70842801195311, 11.161787831295332 63.70852427675774, 11.164221458953827 63.710107857810236, 11.164935011201608 63.71034717728144, 11.165052496608388 63.71038202255586, 11.184089685902025 63.710930421614236, 11.185399781576693 63.71078498086592, 11.186258984457373 63.71074512124812, 11.186357729656285 63.710743146417606, 11.188834460877988 63.710861521115525, 11.189025435765839 63.71088338415155, 11.192357840790251 63.711619243734894)"/>
    <s v="[189138, 189146, 189442, 189450, 189458, 189466, 189474, 189482, 189490, 189498, 189506, 189514, 189522, 189530, 189538, 189546, 189554, 189562, 189570, 189578, 680885, 680900, 680908]"/>
    <s v="[203367, 203376, 203601, 203609, 203615, 203622, 203630, 203636, 203641, 203648, 203653, 203662, 203670, 203676, 203680, 203687, 203693, 203702, 203707, 203713, 671750, 671766, 248129]"/>
    <s v="0.0015548308189861576"/>
    <s v="[203361, 203367, 203376, 203601, 203609, 203615, 203622, 203630, 203636, 203641, 203648, 203653, 203662, 203670, 203676, 203680, 203687, 203693, 203702, 203707, 203713, 671750, 671766]"/>
    <s v="[0.026, 0.019, 0.008, 0.002, 0.005, 0.003, 0.001, 0.0, 0.004, 0.0, 0.0, 0.037, 0.048, 0.071, 0.017, 0.034, 0.01, 0.009, 0.026, 0.017, 0.024, 0.026, 0.008]"/>
    <s v="2425.40443526626"/>
    <s v="[-0.026, -0.019, 0.008, -0.002, -0.005, 0.003, 0.001, 0.0, 0.004, -0.0, -0.0, 0.037, 0.048, 0.071, 0.017, -0.034, -0.01, -0.009, -0.026, -0.017, -0.024, -0.026, -0.008]"/>
  </r>
  <r>
    <x v="47"/>
    <x v="66"/>
    <x v="0"/>
    <n v="0"/>
    <s v="LINESTRING (11.154770055064539 63.702765044739465, 11.154623486243668 63.702712122292255, 11.152740971884898 63.701689172985425)"/>
    <s v="[246909, 765541]"/>
    <s v="[248116, 744645]"/>
    <s v="0.031667521297565636"/>
    <s v="[203361, 248116]"/>
    <s v="[0.026, 0.032]"/>
    <s v="168.65617242531772"/>
    <s v="[0.026, 0.032]"/>
  </r>
  <r>
    <x v="48"/>
    <x v="68"/>
    <x v="0"/>
    <s v="[1, 0, 0, 0, 0, 0]"/>
    <s v="LINESTRING (11.18625487792864 63.71069875893292, 11.186352891024443 63.7106963513255, 11.188363025642811 63.71075223083462, 11.188857648867828 63.710799328837574, 11.188979499317789 63.7108129626287, 11.189051302754539 63.710821307739515, 11.192440799462394 63.71156834704874)"/>
    <s v="[189434, 533871, 533879, 533887, 533895, 533903]"/>
    <s v="[203593, 541380, 541387, 541395, 541406, 248244]"/>
    <s v="#FIELD!"/>
    <s v="[203586, 203593, 541380, 541387, 541395, 541406]"/>
    <s v="[0.034, 0.022, 0.027, 0.023, 0.03, 0.005]"/>
    <s v="327.67682501242"/>
    <s v="[-0.034, -0.022, -0.027, -0.023, -0.03, -0.005]"/>
  </r>
  <r>
    <x v="48"/>
    <x v="68"/>
    <x v="0"/>
    <n v="0"/>
    <s v="LINESTRING (11.18625487792864 63.71069875893292, 11.186541946322892 63.710663268378596, 11.188239074540366 63.71002802492868, 11.18807216554744 63.7099520976072, 11.188004823706006 63.709903727554575, 11.188143908744962 63.709916794293626, 11.188370746474728 63.70996254194154, 11.191315892664525 63.71121203449738, 11.192411006522276 63.71153224191384, 11.192425031950119 63.711549237990845, 11.192440799462394 63.71156834704874)"/>
    <s v="[765741, 765749, 765757, 765765, 765629, 765637, 765645, 765653, 247061, 247069]"/>
    <s v="[744823, 744832, 744841, 608618, 744718, 744725, 744732, 248235, 248236, 248244]"/>
    <s v="#FIELD!"/>
    <s v="[203586, 744823, 744832, 744841, 608618, 744718, 744725, 744732, 248235, 248236]"/>
    <s v="[0.552, 0.041, 0.094, 0.115, 0.052, 0.057, 0.024, 0.005, 0.007, 0.031]"/>
    <s v="541.7304223783739"/>
    <s v="[-0.552, 0.041, 0.094, 0.115, -0.052, -0.057, -0.024, 0.005, -0.007, -0.031]"/>
  </r>
  <r>
    <x v="49"/>
    <x v="46"/>
    <x v="4"/>
    <n v="0"/>
    <s v="LINESTRING (12.034045211616311 60.19370350414617, 12.323257882584095 60.18267490336616)"/>
    <m/>
    <m/>
    <s v="0.0"/>
    <m/>
    <n v="0"/>
    <s v="19942.794279941754"/>
    <n v="0"/>
  </r>
  <r>
    <x v="50"/>
    <x v="69"/>
    <x v="0"/>
    <n v="1"/>
    <m/>
    <n v="198554"/>
    <n v="210545"/>
    <s v="0.008"/>
    <n v="210544"/>
    <s v="0.008"/>
    <s v="35.14446898148761"/>
    <s v="0.008"/>
  </r>
  <r>
    <x v="50"/>
    <x v="70"/>
    <x v="0"/>
    <n v="0"/>
    <s v="LINESTRING (10.741159543638704 60.15265193722621, 10.741133473352887 60.152568608772846, 10.741139044198514 60.152417585300874)"/>
    <s v="[296415, 296423]"/>
    <s v="[288837, 210544]"/>
    <s v="0.004775855169198181"/>
    <s v="[211769, 288837]"/>
    <s v="[0.008, 0.003]"/>
    <s v="26.46315856876288"/>
    <s v="[0.008, 0.003]"/>
  </r>
  <r>
    <x v="50"/>
    <x v="71"/>
    <x v="0"/>
    <n v="0"/>
    <s v="LINESTRING (10.741435576530312 60.152594287228325, 10.741332580756106 60.15252626737992, 10.741139044198514 60.152417585300874)"/>
    <s v="[339210, 339218]"/>
    <s v="[328299, 210544]"/>
    <s v="0.01636964863987044"/>
    <s v="[211777, 328299]"/>
    <s v="[0.017, 0.016]"/>
    <s v="25.69438751921559"/>
    <s v="[0.017, 0.016]"/>
  </r>
  <r>
    <x v="51"/>
    <x v="72"/>
    <x v="0"/>
    <n v="0"/>
    <s v="LINESTRING (10.740964770898216 60.15211444129668, 10.74079735793146 60.15203774678586, 10.740711292638952 60.15198552136243)"/>
    <s v="[296431, 296439]"/>
    <s v="[288853, 211809]"/>
    <s v="0.010630797591236647"/>
    <s v="[210545, 288853]"/>
    <s v="[0.011, 0.01]"/>
    <s v="20.402636757082703"/>
    <s v="[0.011, 0.01]"/>
  </r>
  <r>
    <x v="51"/>
    <x v="73"/>
    <x v="0"/>
    <n v="0"/>
    <s v="LINESTRING (10.740964770898216 60.15211444129668, 10.740971951122956 60.1519951290871, 10.74094348020593 60.15191154343466)"/>
    <s v="[339226, 339234]"/>
    <s v="[328312, 211847]"/>
    <s v="0.003225835163825586"/>
    <s v="[210545, 328312]"/>
    <s v="[0.002, 0.005]"/>
    <s v="23.12387538252417"/>
    <s v="[0.002, 0.005]"/>
  </r>
  <r>
    <x v="52"/>
    <x v="74"/>
    <x v="0"/>
    <n v="0"/>
    <m/>
    <n v="199130"/>
    <n v="210996"/>
    <s v="#FIELD!"/>
    <n v="210995"/>
    <s v="0.058"/>
    <s v="117.77495573970802"/>
    <s v="#FIELD!"/>
  </r>
  <r>
    <x v="52"/>
    <x v="75"/>
    <x v="0"/>
    <n v="0"/>
    <s v="LINESTRING (10.679043633134132 60.251093294571795, 10.678934529338097 60.251078991861604, 10.678544962975606 60.25100608826275)"/>
    <s v="[296527, 296535]"/>
    <s v="[288945, 210995]"/>
    <s v="#FIELD!"/>
    <s v="[211952, 288945]"/>
    <s v="[0.036, 0.049]"/>
    <s v="29.735687823137727"/>
    <s v="[-0.036, -0.049]"/>
  </r>
  <r>
    <x v="52"/>
    <x v="76"/>
    <x v="0"/>
    <n v="0"/>
    <s v="LINESTRING (10.679051040277221 60.25096863834342, 10.678933271231298 60.250976128252375, 10.678544962975606 60.25100608826275)"/>
    <s v="[339314, 339322]"/>
    <s v="[328392, 210995]"/>
    <s v="#FIELD!"/>
    <s v="[211963, 328392]"/>
    <s v="[0.009, 0.021]"/>
    <s v="28.344177115341317"/>
    <s v="[-0.009, -0.021]"/>
  </r>
  <r>
    <x v="53"/>
    <x v="77"/>
    <x v="0"/>
    <n v="0"/>
    <s v="LINESTRING (10.676684061531327 60.25050748629602, 10.676365405375696 60.25038033904987, 10.676273345568182 60.250316046473024)"/>
    <s v="[296543, 296551]"/>
    <s v="[288958, 212002]"/>
    <s v="#FIELD!"/>
    <s v="[210996, 288958]"/>
    <s v="0.053"/>
    <s v="31.771659106170027"/>
    <s v="#FIELD!"/>
  </r>
  <r>
    <x v="53"/>
    <x v="78"/>
    <x v="0"/>
    <n v="0"/>
    <s v="LINESTRING (10.676684061531327 60.25050748629602, 10.676555931064867 60.25034041733745, 10.676507319901654 60.25028411550823)"/>
    <s v="[339330, 339338]"/>
    <s v="[328406, 212041]"/>
    <s v="#FIELD!"/>
    <s v="[210996, 328406]"/>
    <s v="[0.053, 0.056]"/>
    <s v="26.755014304180897"/>
    <s v="[-0.053, -0.056]"/>
  </r>
  <r>
    <x v="54"/>
    <x v="79"/>
    <x v="0"/>
    <n v="1"/>
    <m/>
    <n v="199939"/>
    <n v="211646"/>
    <s v="0.018"/>
    <n v="211645"/>
    <s v="0.018"/>
    <s v="32.46846624033513"/>
    <s v="0.018"/>
  </r>
  <r>
    <x v="54"/>
    <x v="80"/>
    <x v="0"/>
    <s v="[0, 0, 1]"/>
    <s v="LINESTRING (10.698419987437997 60.208380663710074, 10.69828387245465 60.20835223352141, 10.698142713281163 60.20831680551764, 10.698049370403982 60.20829012436375)"/>
    <s v="[296639, 296647, 296655]"/>
    <s v="[289052, 289061, 211645]"/>
    <s v="0.009151747917186233"/>
    <s v="[212063, 289052, 289061]"/>
    <s v="[0.012, 0.01, 0.004]"/>
    <s v="22.926733965507818"/>
    <s v="[0.012, 0.01, 0.004]"/>
  </r>
  <r>
    <x v="54"/>
    <x v="81"/>
    <x v="0"/>
    <s v="[0, 0, 1]"/>
    <s v="LINESTRING (10.69844729885983 60.20824820217917, 10.698307116102136 60.20825767528432, 10.69815621235609 60.20827174543601, 10.698049370403982 60.20829012436375)"/>
    <s v="[339514, 339522, 339530]"/>
    <s v="[328572, 328581, 211645]"/>
    <s v="0.02166224054520316"/>
    <s v="[212076, 328572, 328581]"/>
    <s v="[0.02, 0.02, 0.026]"/>
    <s v="22.6322186010308"/>
    <s v="[0.02, 0.02, 0.026]"/>
  </r>
  <r>
    <x v="55"/>
    <x v="82"/>
    <x v="0"/>
    <s v="[1, 0, 0]"/>
    <s v="LINESTRING (10.697467778714275 60.20825702026712, 10.697353944092601 60.20827085534016, 10.697181200360333 60.20828475420916, 10.697015981149997 60.20830051591437)"/>
    <s v="[296663, 296671, 296679]"/>
    <s v="[289077, 289084, 212102]"/>
    <s v="0.024494360165605914"/>
    <s v="[211646, 289077, 289084]"/>
    <s v="[0.026, 0.023, 0.025]"/>
    <s v="25.53589428733043"/>
    <s v="[0.026, 0.023, 0.025]"/>
  </r>
  <r>
    <x v="55"/>
    <x v="83"/>
    <x v="0"/>
    <s v="[1, 0, 0]"/>
    <s v="LINESTRING (10.697467778714275 60.20825702026712, 10.697363489295707 60.20823115185319, 10.697199072041665 60.20819811417942, 10.697066802472595 60.20817619186249)"/>
    <s v="[339538, 339546, 339554]"/>
    <s v="[328599, 328608, 212139]"/>
    <s v="0.01283669705353342"/>
    <s v="[211646, 328599, 328608]"/>
    <s v="[0.01, 0.013, 0.015]"/>
    <s v="24.030358290963445"/>
    <s v="[0.01, 0.013, 0.015]"/>
  </r>
  <r>
    <x v="56"/>
    <x v="71"/>
    <x v="0"/>
    <n v="0"/>
    <s v="LINESTRING (10.741159543638704 60.15265193722621, 10.741254883482375 60.152585681823105, 10.741435576530312 60.152594287228325)"/>
    <s v="[200083, 200091]"/>
    <s v="[211770, 211777]"/>
    <s v="#FIELD!"/>
    <s v="[211769, 211770]"/>
    <s v="[0.008, 0.02]"/>
    <s v="19.866902508151192"/>
    <s v="[-0.008, -0.02]"/>
  </r>
  <r>
    <x v="56"/>
    <x v="84"/>
    <x v="0"/>
    <n v="0"/>
    <m/>
    <n v="200123"/>
    <n v="211769"/>
    <s v="0.007"/>
    <n v="211798"/>
    <s v="0.007"/>
    <s v="5.023116562599196"/>
    <s v="0.007"/>
  </r>
  <r>
    <x v="57"/>
    <x v="85"/>
    <x v="0"/>
    <n v="0"/>
    <m/>
    <n v="200099"/>
    <n v="211784"/>
    <s v="#FIELD!"/>
    <n v="211777"/>
    <s v="0.016"/>
    <s v="6.30800285338632"/>
    <s v="#FIELD!"/>
  </r>
  <r>
    <x v="58"/>
    <x v="84"/>
    <x v="0"/>
    <n v="0"/>
    <s v="LINESTRING (10.741497613048795 60.152641692242, 10.741212235315064 60.15272970285489, 10.741172886643353 60.15269651565147)"/>
    <s v="[200107, 200115]"/>
    <s v="[211792, 211798]"/>
    <s v="0.012454269513126877"/>
    <s v="[211784, 211792]"/>
    <s v="[0.012, 0.015]"/>
    <s v="28.373347152071155"/>
    <s v="[0.012, 0.015]"/>
  </r>
  <r>
    <x v="58"/>
    <x v="86"/>
    <x v="0"/>
    <n v="0"/>
    <s v="LINESTRING (10.747482827404443 60.15233648924957, 10.74727517522368 60.15235642772438, 10.741598818611989 60.15261048591243, 10.741497613048795 60.152641692242)"/>
    <s v="[269210, 269218, 269226]"/>
    <s v="[266183, 266191, 211784]"/>
    <s v="0.005002225594307444"/>
    <s v="[264384, 266183, 266191]"/>
    <s v="[0.0, 0.005, 0.014]"/>
    <s v="340.77187456399986"/>
    <s v="[0.0, 0.005, 0.014]"/>
  </r>
  <r>
    <x v="59"/>
    <x v="87"/>
    <x v="0"/>
    <n v="0"/>
    <s v="LINESTRING (10.741172886643353 60.15269651565147, 10.74106221034895 60.1527021143274, 10.734445510485909 60.15291815774785, 10.73421124991072 60.152897025146274)"/>
    <s v="[269298, 269306, 269314]"/>
    <s v="[266240, 266245, 264414]"/>
    <s v="0.009581343771040689"/>
    <s v="[211798, 266240, 266245]"/>
    <s v="[0.022, 0.01, 0.008]"/>
    <s v="391.51363630699785"/>
    <s v="[0.022, 0.01, -0.008]"/>
  </r>
  <r>
    <x v="60"/>
    <x v="88"/>
    <x v="0"/>
    <n v="0"/>
    <m/>
    <n v="200131"/>
    <n v="211810"/>
    <s v="0.01"/>
    <n v="211809"/>
    <s v="0.01"/>
    <s v="6.0855648875333666"/>
    <s v="0.01"/>
  </r>
  <r>
    <x v="60"/>
    <x v="73"/>
    <x v="0"/>
    <n v="0"/>
    <s v="LINESTRING (10.74094348020593 60.15191154343466, 10.740859509365652 60.15197887503401, 10.740711292638952 60.15198552136243)"/>
    <s v="[200179, 200187]"/>
    <s v="[211853, 211809]"/>
    <s v="0.008279574103197001"/>
    <s v="[211847, 211853]"/>
    <s v="[0.004, 0.013]"/>
    <s v="17.387962836970527"/>
    <s v="[0.004, 0.013]"/>
  </r>
  <r>
    <x v="61"/>
    <x v="89"/>
    <x v="0"/>
    <n v="0"/>
    <s v="LINESTRING (10.740626491872176 60.15195096015493, 10.740602370871745 60.151919971546725, 10.740619842728101 60.15186586522813, 10.740707685574707 60.151825444473204, 10.740915144552513 60.15185712191327)"/>
    <s v="[200139, 200147, 200155, 200163]"/>
    <s v="[211816, 211823, 211833, 211839]"/>
    <s v="#FIELD!"/>
    <s v="[211810, 211816, 211823, 211833]"/>
    <s v="[0.006, 0.001, 0.008, 0.011]"/>
    <s v="29.22989577551231"/>
    <s v="[0.006, -0.001, -0.008, -0.011]"/>
  </r>
  <r>
    <x v="61"/>
    <x v="90"/>
    <x v="0"/>
    <n v="0"/>
    <s v="LINESTRING (10.735882981725998 60.15280598639463, 10.736099081641704 60.152758553794136, 10.74055526620193 60.151988409288954, 10.740626491872176 60.15195096015493)"/>
    <s v="[269322, 269330, 269338]"/>
    <s v="[266256, 266262, 211810]"/>
    <s v="#FIELD!"/>
    <s v="[264407, 266256, 266262]"/>
    <s v="[0.013, 0.007, 0.008]"/>
    <s v="283.0149977579594"/>
    <s v="[-0.013, -0.007, -0.008]"/>
  </r>
  <r>
    <x v="62"/>
    <x v="73"/>
    <x v="0"/>
    <n v="0"/>
    <m/>
    <n v="200171"/>
    <n v="211847"/>
    <s v="#FIELD!"/>
    <n v="211839"/>
    <s v="0.004"/>
    <s v="6.266086896387679"/>
    <s v="#FIELD!"/>
  </r>
  <r>
    <x v="62"/>
    <x v="86"/>
    <x v="0"/>
    <n v="0"/>
    <s v="LINESTRING (10.740915144552513 60.15185712191327, 10.741023510392138 60.15185081960923, 10.747312532909458 60.152296306390255, 10.747535292661448 60.152339434915625, 10.747482827404443 60.15233648924957)"/>
    <s v="[269274, 269282, 269290, 267083]"/>
    <s v="[266229, 266233, 264379, 264384]"/>
    <s v="#FIELD!"/>
    <s v="[211839, 266229, 266233, 264379]"/>
    <s v="[0.01, 0.007, 0.002, 0.001]"/>
    <s v="376.6157503677705"/>
    <s v="[-0.01, -0.007, -0.002, 0.001]"/>
  </r>
  <r>
    <x v="63"/>
    <x v="76"/>
    <x v="0"/>
    <n v="0"/>
    <s v="LINESTRING (10.679043633134132 60.251093294571795, 10.67900493885639 60.25103007862647, 10.679051040277221 60.25096863834342)"/>
    <s v="[200307, 200315]"/>
    <s v="[211959, 211963]"/>
    <s v="#FIELD!"/>
    <s v="[211952, 211959]"/>
    <s v="[0.066, 0.051]"/>
    <s v="14.672459255827071"/>
    <s v="[-0.066, -0.051]"/>
  </r>
  <r>
    <x v="63"/>
    <x v="91"/>
    <x v="0"/>
    <n v="0"/>
    <s v="LINESTRING (10.679339678378229 60.25094747654771, 10.67937899534132 60.250964853913985, 10.67942785525721 60.25101958908015, 10.67939689179721 60.25108970565622, 10.679043633134132 60.251093294571795)"/>
    <s v="[200347, 200355, 200363, 200299]"/>
    <s v="[211986, 211989, 211951, 211952]"/>
    <s v="0.01752027103469747"/>
    <s v="[211979, 211986, 211989, 211951]"/>
    <s v="[0.043, 0.083, 0.067, 0.022]"/>
    <s v="40.5417857147052"/>
    <s v="[0.043, 0.083, 0.067, -0.022]"/>
  </r>
  <r>
    <x v="64"/>
    <x v="92"/>
    <x v="0"/>
    <n v="0"/>
    <m/>
    <n v="200323"/>
    <n v="211970"/>
    <s v="#FIELD!"/>
    <n v="211963"/>
    <s v="0.036"/>
    <s v="4.39113880469765"/>
    <s v="#FIELD!"/>
  </r>
  <r>
    <x v="65"/>
    <x v="91"/>
    <x v="0"/>
    <n v="0"/>
    <s v="LINESTRING (10.679110558625617 60.250942614060406, 10.67922808335471 60.25092765274078, 10.679339678378229 60.25094747654771)"/>
    <s v="[200331, 200339]"/>
    <s v="[211975, 211979]"/>
    <s v="0.023800811328513544"/>
    <s v="[211970, 211975]"/>
    <s v="[0.007, 0.041]"/>
    <s v="13.28485778822525"/>
    <s v="[0.007, 0.041]"/>
  </r>
  <r>
    <x v="65"/>
    <x v="93"/>
    <x v="0"/>
    <n v="0"/>
    <s v="LINESTRING (10.679287911274082 60.25066802848594, 10.679112388761244 60.25088872222639, 10.679110558625617 60.250942614060406)"/>
    <s v="[336772, 336780]"/>
    <s v="[326017, 211970]"/>
    <s v="0.05936990588076786"/>
    <s v="[266412, 326017]"/>
    <s v="[0.516, 1.972]"/>
    <s v="32.73036054085679"/>
    <s v="[0.516, -1.972]"/>
  </r>
  <r>
    <x v="66"/>
    <x v="93"/>
    <x v="0"/>
    <n v="0"/>
    <s v="LINESTRING (10.679287911274082 60.25066802848594, 10.679326952893035 60.2508931101638, 10.679339678378229 60.25094747654771)"/>
    <s v="[293999, 294007]"/>
    <s v="[286646, 211979]"/>
    <s v="0.07295022729458082"/>
    <s v="[266412, 286646]"/>
    <s v="[0.071, 0.081]"/>
    <s v="31.27840542972282"/>
    <s v="[0.071, 0.081]"/>
  </r>
  <r>
    <x v="67"/>
    <x v="94"/>
    <x v="0"/>
    <n v="0"/>
    <s v="LINESTRING (10.676273345568182 60.250316046473024, 10.676226021578174 60.250304521402846, 10.676144258985325 60.25025239807804, 10.676138468470903 60.25018665793589, 10.67639229181549 60.25011401191704)"/>
    <s v="[200371, 200379, 200387, 200395]"/>
    <s v="[212003, 212007, 212014, 212021]"/>
    <s v="#FIELD!"/>
    <s v="[212002, 212003, 212007, 212014]"/>
    <s v="[0.057, 0.053, 0.037, 0.004]"/>
    <s v="35.288524239459456"/>
    <s v="[-0.057, -0.053, -0.037, 0.004]"/>
  </r>
  <r>
    <x v="67"/>
    <x v="78"/>
    <x v="0"/>
    <n v="0"/>
    <s v="LINESTRING (10.676507319901654 60.25028411550823, 10.676397875403213 60.25031831099312, 10.676273345568182 60.250316046473024)"/>
    <s v="[200427, 200435]"/>
    <s v="[212044, 212002]"/>
    <s v="#FIELD!"/>
    <s v="[212041, 212044]"/>
    <s v="[0.002, 0.035]"/>
    <s v="14.063903458255584"/>
    <s v="[-0.002, -0.035]"/>
  </r>
  <r>
    <x v="68"/>
    <x v="95"/>
    <x v="0"/>
    <n v="0"/>
    <s v="LINESTRING (10.67639229181549 60.25011401191704, 10.676486726578428 60.25013867352265, 10.676557027556496 60.250222793662914)"/>
    <s v="[200403, 200411]"/>
    <s v="[212028, 212035]"/>
    <s v="0.05045010083372414"/>
    <s v="[212021, 212028]"/>
    <s v="[0.053, 0.049]"/>
    <s v="16.30042420166707"/>
    <s v="[0.053, 0.049]"/>
  </r>
  <r>
    <x v="68"/>
    <x v="96"/>
    <x v="0"/>
    <n v="0"/>
    <s v="LINESTRING (10.67639229181549 60.25011401191704, 10.676481341520224 60.25008355711961, 10.676738203963769 60.24999473422472, 10.676919721899901 60.24995587596705)"/>
    <s v="[294015, 294023, 294031]"/>
    <s v="[286658, 286664, 266417]"/>
    <s v="0.0036773005397199303"/>
    <s v="[212021, 286658, 286664]"/>
    <s v="[0.002, 0.001, 0.012]"/>
    <s v="34.269762616164485"/>
    <s v="[0.002, -0.001, 0.012]"/>
  </r>
  <r>
    <x v="69"/>
    <x v="78"/>
    <x v="0"/>
    <n v="0"/>
    <m/>
    <n v="200419"/>
    <n v="212041"/>
    <s v="0.027"/>
    <n v="212035"/>
    <s v="0.027"/>
    <s v="7.3681748079209095"/>
    <s v="0.027"/>
  </r>
  <r>
    <x v="69"/>
    <x v="96"/>
    <x v="0"/>
    <n v="0"/>
    <s v="LINESTRING (10.676557027556496 60.250222793662914, 10.676633164026288 60.25016682998087, 10.676812192564718 60.25003860075041, 10.676919721899901 60.24995587596705)"/>
    <s v="[336788, 336796, 336804]"/>
    <s v="[326032, 326043, 266417]"/>
    <s v="#FIELD!"/>
    <s v="[212035, 326032, 326043]"/>
    <s v="[1.246, 0.098, 0.762]"/>
    <s v="35.900888557399796"/>
    <s v="[1.246, -0.098, -0.762]"/>
  </r>
  <r>
    <x v="70"/>
    <x v="80"/>
    <x v="0"/>
    <n v="0"/>
    <m/>
    <n v="200451"/>
    <n v="212063"/>
    <s v="0.016"/>
    <n v="212056"/>
    <s v="0.016"/>
    <s v="9.921542691932945"/>
    <s v="0.016"/>
  </r>
  <r>
    <x v="70"/>
    <x v="97"/>
    <x v="0"/>
    <n v="0"/>
    <s v="LINESTRING (10.698587795147587 60.20840301976893, 10.698505574372035 60.208447196174525, 10.697706825195873 60.20921963015842, 10.697483838842125 60.2111671189735, 10.69747779856994 60.21119938322149, 10.697432748289158 60.21139124380215, 10.697390615689113 60.211505779514326)"/>
    <s v="[269450, 269458, 269466, 269474, 269482, 269490]"/>
    <s v="[266354, 266360, 266368, 266376, 266382, 264541]"/>
    <s v="0.02785589057144869"/>
    <s v="[212056, 266354, 266360, 266368, 266376, 266382]"/>
    <s v="[0.028, 0.029, 0.026, 0.033, 0.035, 0.037]"/>
    <s v="360.23590526443104"/>
    <s v="[0.028, 0.029, 0.026, 0.033, 0.035, 0.037]"/>
  </r>
  <r>
    <x v="70"/>
    <x v="98"/>
    <x v="0"/>
    <n v="0"/>
    <s v="LINESTRING (10.698546486072106 60.20823308107888, 10.698680069859494 60.20826565493565, 10.69871590783176 60.20833129050871, 10.698649948421997 60.20838786444816, 10.698587795147587 60.20840301976893)"/>
    <s v="[200483, 200491, 200499, 200443]"/>
    <s v="[212086, 212092, 212055, 212056]"/>
    <s v="0.009590306772558668"/>
    <s v="[212080, 212086, 212092, 212055]"/>
    <s v="[0.007, 0.007, 0.024, 0.023]"/>
    <s v="26.95961483214432"/>
    <s v="[-0.007, 0.007, 0.024, 0.023]"/>
  </r>
  <r>
    <x v="71"/>
    <x v="81"/>
    <x v="0"/>
    <n v="0"/>
    <s v="LINESTRING (10.698419987437997 60.208380663710074, 10.698371013321784 60.20830911627483, 10.69844729885983 60.20824820217917)"/>
    <s v="[200459, 200467]"/>
    <s v="[212070, 212076]"/>
    <s v="#FIELD!"/>
    <s v="[212063, 212070]"/>
    <s v="[0.01, 0.025]"/>
    <s v="16.70283716749376"/>
    <s v="[-0.01, -0.025]"/>
  </r>
  <r>
    <x v="72"/>
    <x v="98"/>
    <x v="0"/>
    <n v="0"/>
    <m/>
    <n v="200475"/>
    <n v="212080"/>
    <s v="#FIELD!"/>
    <n v="212076"/>
    <s v="0.023"/>
    <s v="5.753781365345932"/>
    <s v="#FIELD!"/>
  </r>
  <r>
    <x v="73"/>
    <x v="99"/>
    <x v="0"/>
    <n v="0"/>
    <s v="LINESTRING (10.698497054598153 60.20589485906415, 10.698487185973276 60.20601143221437, 10.6981621395825 60.20720865426637, 10.698164666318803 60.2074235511511, 10.698418798738698 60.208116984731, 10.698490050346534 60.20818453516165, 10.698546486072106 60.20823308107888)"/>
    <s v="[269346, 269354, 269362, 269370, 269378, 269386]"/>
    <s v="[266271, 266277, 266284, 266289, 266295, 212080]"/>
    <s v="0.007866941633878688"/>
    <s v="[264500, 266271, 266277, 266284, 266289, 266295]"/>
    <s v="[0.007, 0.007, 0.007, 0.01, 0.007, 0.006]"/>
    <s v="265.0170897386497"/>
    <s v="[0.007, 0.007, 0.007, 0.01, 0.007, 0.006]"/>
  </r>
  <r>
    <x v="74"/>
    <x v="100"/>
    <x v="0"/>
    <n v="0"/>
    <m/>
    <n v="200507"/>
    <n v="212103"/>
    <s v="0.025"/>
    <n v="212102"/>
    <s v="0.025"/>
    <s v="5.37398362469528"/>
    <s v="0.025"/>
  </r>
  <r>
    <x v="74"/>
    <x v="83"/>
    <x v="0"/>
    <n v="0"/>
    <s v="LINESTRING (10.697066802472595 60.20817619186249, 10.697097588557442 60.20823761744953, 10.697015981149997 60.20830051591437)"/>
    <s v="[200555, 200563]"/>
    <s v="[212145, 212102]"/>
    <s v="0.019585806096340704"/>
    <s v="[212139, 212145]"/>
    <s v="[0.012, 0.026]"/>
    <s v="15.399879515786864"/>
    <s v="[0.012, 0.026]"/>
  </r>
  <r>
    <x v="75"/>
    <x v="101"/>
    <x v="0"/>
    <n v="0"/>
    <s v="LINESTRING (10.696922820398273 60.208313763613894, 10.696810552100171 60.20829087252034, 10.696754784175624 60.20824221263437, 10.69676361554412 60.2081955622613, 10.696890101321705 60.208141765497096)"/>
    <s v="[200515, 200523, 200531, 200539]"/>
    <s v="[212110, 212117, 212125, 212132]"/>
    <s v="#FIELD!"/>
    <s v="[212103, 212110, 212117, 212125]"/>
    <s v="[0.013, 0.003, 0.016, 0.029]"/>
    <s v="27.73598185058789"/>
    <s v="[0.013, -0.003, -0.016, -0.029]"/>
  </r>
  <r>
    <x v="75"/>
    <x v="102"/>
    <x v="0"/>
    <n v="0"/>
    <s v="LINESTRING (10.69739940635574 60.2107364543129, 10.697374989961421 60.210619576403964, 10.697417236305986 60.209237196120284, 10.69698307906428 60.2083598718089, 10.696922820398273 60.208313763613894)"/>
    <s v="[269394, 269402, 269410, 269418]"/>
    <s v="[266310, 266316, 266323, 212103]"/>
    <s v="#FIELD!"/>
    <s v="[264521, 266310, 266316, 266323]"/>
    <s v="[0.038, 0.021, 0.015, 0.005]"/>
    <s v="274.4075683129382"/>
    <s v="[-0.038, -0.021, -0.015, -0.005]"/>
  </r>
  <r>
    <x v="76"/>
    <x v="83"/>
    <x v="0"/>
    <n v="0"/>
    <m/>
    <n v="200547"/>
    <n v="212139"/>
    <s v="#FIELD!"/>
    <n v="212132"/>
    <s v="0.014"/>
    <s v="10.994565680711764"/>
    <s v="#FIELD!"/>
  </r>
  <r>
    <x v="76"/>
    <x v="103"/>
    <x v="0"/>
    <n v="0"/>
    <s v="LINESTRING (10.696890101321705 60.208141765497096, 10.696952380770353 60.208098110948654, 10.698799037483086 60.20513505909528, 10.698887364466746 60.20502633990413)"/>
    <s v="[269426, 269434, 269442]"/>
    <s v="[266337, 266344, 264493]"/>
    <s v="#FIELD!"/>
    <s v="[212132, 266337, 266344]"/>
    <s v="[0.026, 0.012, 0.01]"/>
    <s v="367.8883978439211"/>
    <s v="[-0.026, -0.012, 0.01]"/>
  </r>
  <r>
    <x v="77"/>
    <x v="104"/>
    <x v="0"/>
    <n v="0"/>
    <m/>
    <n v="202426"/>
    <n v="213658"/>
    <s v="0.016"/>
    <n v="213657"/>
    <s v="0.016"/>
    <s v="12.151524356199046"/>
    <s v="0.016"/>
  </r>
  <r>
    <x v="77"/>
    <x v="105"/>
    <x v="0"/>
    <n v="0"/>
    <s v="LINESTRING (10.187839165426224 61.452350789051536, 10.187926642346328 61.45227113521804, 10.18807456545272 61.45225028650855)"/>
    <s v="[202474, 202482]"/>
    <s v="[213698, 213657]"/>
    <s v="0.013559549995621676"/>
    <s v="[213691, 213698]"/>
    <s v="[0.01, 0.018]"/>
    <s v="18.49222734901943"/>
    <s v="[0.01, 0.018]"/>
  </r>
  <r>
    <x v="77"/>
    <x v="106"/>
    <x v="0"/>
    <s v="[0, 0, 1, 0, 0]"/>
    <s v="LINESTRING (10.187146791386235 61.45172364438519, 10.187176819793311 61.45181267433373, 10.187187174687928 61.45183930505365, 10.187606996742735 61.45208982385573, 10.187932533652734 61.45221147588815, 10.18807456545272 61.45225028650855)"/>
    <s v="[298553, 298561, 298569, 298577, 298585]"/>
    <s v="[290845, 290853, 290861, 290870, 213657]"/>
    <s v="0.015347887425058661"/>
    <s v="[285710, 290845, 290853, 290861, 290870]"/>
    <s v="[0.01, 0.011, 0.017, 0.015, 0.017]"/>
    <s v="80.24258970101084"/>
    <s v="[0.01, 0.011, 0.017, 0.015, 0.017]"/>
  </r>
  <r>
    <x v="78"/>
    <x v="107"/>
    <x v="0"/>
    <n v="0"/>
    <s v="LINESTRING (10.188257190238001 61.452308918526455, 10.188278315489583 61.45235463901323, 10.18823659117021 61.45241792319668, 10.18816419220793 61.45244864074646, 10.187962823127453 61.4524505082527)"/>
    <s v="[202434, 202442, 202450, 202458]"/>
    <s v="[213664, 213671, 213680, 213685]"/>
    <s v="#FIELD!"/>
    <s v="[213658, 213664, 213671, 213680]"/>
    <s v="[0.003, 0.007, 0.017, 0.019]"/>
    <s v="28.808842576772786"/>
    <s v="[0.003, -0.007, -0.017, -0.019]"/>
  </r>
  <r>
    <x v="78"/>
    <x v="108"/>
    <x v="0"/>
    <n v="0"/>
    <s v="LINESTRING (10.1909491883929 61.450170640120156, 10.190883255309373 61.45025933264407, 10.188255860943332 61.45225670299694, 10.188257190238001 61.452308918526455)"/>
    <s v="[264999, 265007, 265015]"/>
    <s v="[262916, 262922, 213658]"/>
    <s v="0.0054405485976144734"/>
    <s v="[233298, 262916, 262922]"/>
    <s v="[0.066, 0.001, 0.19]"/>
    <s v="281.8186416763525"/>
    <s v="[0.066, -0.001, 0.19]"/>
  </r>
  <r>
    <x v="79"/>
    <x v="105"/>
    <x v="0"/>
    <n v="0"/>
    <m/>
    <n v="202466"/>
    <n v="213691"/>
    <s v="#FIELD!"/>
    <n v="213685"/>
    <s v="0.008"/>
    <s v="13.513063755749986"/>
    <s v="#FIELD!"/>
  </r>
  <r>
    <x v="79"/>
    <x v="109"/>
    <x v="0"/>
    <s v="[0, 0, 0, 1, 0, 0, 0]"/>
    <s v="LINESTRING (10.187962823127453 61.4524505082527, 10.187871312555487 61.45245896225697, 10.187766001160462 61.45246551557109, 10.185148317100152 61.453029954313024, 10.18443397338197 61.45337163398509, 10.182776688222287 61.454439048781225, 10.182682060251066 61.45450405503332, 10.182585739014028 61.45456603301375)"/>
    <s v="[265103, 265111, 265119, 265127, 265135, 265144, 265152]"/>
    <s v="[262980, 262987, 262993, 262999, 263004, 263010, 233331]"/>
    <s v="#FIELD!"/>
    <s v="[213685, 262980, 262987, 262993, 262999, 263004, 263010]"/>
    <s v="[0.148, 0.003, 0.003, 0.005, 0.005, 0.005, 0.007]"/>
    <s v="384.66017966266133"/>
    <s v="[-0.148, -0.003, -0.003, 0.005, -0.005, -0.005, -0.007]"/>
  </r>
  <r>
    <x v="80"/>
    <x v="110"/>
    <x v="0"/>
    <s v="[0, 0, 1, 0, 0]"/>
    <s v="LINESTRING (10.18685095979184 61.45181391076482, 10.186993652764643 61.45187310972082, 10.187066812599323 61.451900704579295, 10.187550102974251 61.452117492077925, 10.187779043497079 61.45228027532439, 10.187839165426224 61.452350789051536)"/>
    <s v="[341571, 341579, 341587, 341595, 341603]"/>
    <s v="[330270, 330278, 330284, 330291, 213691]"/>
    <s v="0.012702190867709347"/>
    <s v="[285723, 330270, 330278, 330284, 330291]"/>
    <s v="[0.008, 0.009, 0.017, 0.011, 0.007]"/>
    <s v="81.02779558094326"/>
    <s v="[0.008, 0.009, 0.017, 0.011, 0.007]"/>
  </r>
  <r>
    <x v="81"/>
    <x v="111"/>
    <x v="0"/>
    <n v="0"/>
    <m/>
    <n v="203593"/>
    <n v="214601"/>
    <s v="0.0"/>
    <n v="214595"/>
    <s v="0.0"/>
    <s v="8.418669728537916"/>
    <s v="0.0"/>
  </r>
  <r>
    <x v="82"/>
    <x v="112"/>
    <x v="0"/>
    <n v="0"/>
    <s v="LINESTRING (10.619402145373561 60.95755250597522, 10.621011041185755 60.95786682178413, 10.622199419277257 60.95802332986738, 10.622254832824638 60.95802649994039)"/>
    <s v="[203601, 203609, 203617]"/>
    <s v="[122200, 214612, 214619]"/>
    <s v="#FIELD!"/>
    <s v="[214601, 122200, 214612]"/>
    <s v="[0.025, 0.028, 0.027]"/>
    <s v="163.77936076090214"/>
    <s v="[-0.025, -0.028, -0.027]"/>
  </r>
  <r>
    <x v="82"/>
    <x v="113"/>
    <x v="0"/>
    <n v="0"/>
    <s v="LINESTRING (10.619402145373561 60.95755250597522, 10.61940433069352 60.95751247336117, 10.619408380525867 60.95743701951164, 10.619465640643073 60.95727411695806)"/>
    <s v="[341723, 341731, 341739]"/>
    <s v="[330422, 330434, 214627]"/>
    <s v="0.017427863386192177"/>
    <s v="[214601, 330422, 330434]"/>
    <s v="[0.02, 0.017, 0.017]"/>
    <s v="31.297121603181136"/>
    <s v="[0.02, 0.017, 0.017]"/>
  </r>
  <r>
    <x v="83"/>
    <x v="114"/>
    <x v="0"/>
    <n v="0"/>
    <s v="LINESTRING (10.622254832824638 60.95802649994039, 10.62426769002928 60.95575974580603, 10.62434971518414 60.95566986089996)"/>
    <s v="[1688397, 343596]"/>
    <s v="[332169, 331508]"/>
    <s v="#FIELD!"/>
    <s v="[214619, 332169]"/>
    <s v="[0.0, 0.004]"/>
    <s v="314.79303326690575"/>
    <s v="[0.0, -0.004]"/>
  </r>
  <r>
    <x v="83"/>
    <x v="115"/>
    <x v="0"/>
    <n v="0"/>
    <s v="LINESTRING (10.622588580136057 60.95936834423053, 10.622613464259464 60.95927368739171, 10.62234748981752 60.958045673575214, 10.622254832824638 60.95802649994039)"/>
    <s v="[343612, 1688405, 1688413]"/>
    <s v="[332184, 1511988, 214619]"/>
    <s v="0.013386863869050148"/>
    <s v="[331553, 332184, 1511988]"/>
    <s v="[0.011, 0.013, 0.029]"/>
    <s v="170.7186051805669"/>
    <s v="[0.011, 0.013, 0.029]"/>
  </r>
  <r>
    <x v="84"/>
    <x v="116"/>
    <x v="0"/>
    <s v="[0, 0, 0, 0, 0, 0, 1, 0, 0]"/>
    <s v="LINESTRING (10.619465640643073 60.95727411695806, 10.619733540306948 60.95696950962445, 10.620215671902402 60.95645393212682, 10.622378984821456 60.955176541770996, 10.622989318148665 60.95491695393014, 10.623220095144225 60.95486264404399, 10.624990010701802 60.95473746189957, 10.625336861360081 60.95472167714391, 10.626542917245866 60.954597063715134, 10.62662960790992 60.95457767243038)"/>
    <s v="[203625, 203633, 203641, 203649, 203657, 203665, 203673, 203681, 203689]"/>
    <s v="[214628, 127672, 214638, 128803, 214647, 214654, 214660, 214664, 214669]"/>
    <s v="#FIELD!"/>
    <s v="[214627, 214628, 127672, 214638, 128803, 214647, 214654, 214660, 214664]"/>
    <s v="[0.01, 0.01, 0.005, 0.019, 0.028, 0.037, 0.038, 0.035, 0.019]"/>
    <s v="531.9778448141135"/>
    <s v="[0.01, 0.01, -0.005, -0.019, -0.028, -0.037, -0.038, -0.035, -0.019]"/>
  </r>
  <r>
    <x v="84"/>
    <x v="117"/>
    <x v="0"/>
    <n v="0"/>
    <s v="LINESTRING (10.61915249381773 60.95747459905375, 10.61915249381773 60.95747459905375, 10.619228345563036 60.957417992580076, 10.619465640643073 60.95727411695806)"/>
    <s v="[298675, 298683, 298691]"/>
    <s v="[290946, 290955, 214627]"/>
    <s v="0.0026795234632756163"/>
    <s v="[214588, 290946, 290955]"/>
    <s v="[0.0, 0.003, 0.003]"/>
    <s v="31.610040805071637"/>
    <s v="[0.0, 0.003, 0.003]"/>
  </r>
  <r>
    <x v="85"/>
    <x v="118"/>
    <x v="0"/>
    <n v="0"/>
    <s v="LINESTRING (10.62662960790992 60.95457767243038, 10.626648912789395 60.95462178458451, 10.626234340687695 60.95518736156758, 10.625985986678467 60.955249566339205, 10.623506755578639 60.95754124747312, 10.623432053636654 60.95764465123685)"/>
    <s v="[1688261, 1688269, 1688277, 1688285, 343604]"/>
    <s v="[1511888, 1511893, 1511896, 332176, 331663]"/>
    <s v="0.005130137041737139"/>
    <s v="[214669, 1511888, 1511893, 1511896, 332176]"/>
    <s v="[0.082, 0.004, 0.028, 0.006, 0.003]"/>
    <s v="418.057297104073"/>
    <s v="[-0.082, 0.004, 0.028, 0.006, -0.003]"/>
  </r>
  <r>
    <x v="85"/>
    <x v="119"/>
    <x v="0"/>
    <n v="0"/>
    <s v="LINESTRING (10.62883802273717 60.95243928347046, 10.6287152365389 60.95249884737897, 10.62662960790992 60.95457767243038)"/>
    <s v="[343588, 1688309]"/>
    <s v="[332162, 214669]"/>
    <s v="0.002662463444394141"/>
    <s v="[331611, 332162]"/>
    <s v="[0.023, 0.002]"/>
    <s v="297.99864936860433"/>
    <s v="[0.023, 0.002]"/>
  </r>
  <r>
    <x v="86"/>
    <x v="120"/>
    <x v="0"/>
    <n v="0"/>
    <s v="LINESTRING (5.335134043376609 60.37928650596723, 5.335142842758344 60.3793157339291, 5.335112772899144 60.3793790176649, 5.335081747898186 60.37940089455456, 5.335018674661352 60.37942729687179, 5.3349833163249505 60.37943555959819, 5.334820535489432 60.37943918631448, 5.334667724733641 60.37937654532691, 5.3347158936826355 60.37923007835385, 5.334856624107559 60.37919570985951, 5.334978808340912 60.379202585058245, 5.335037618329585 60.379217930768135)"/>
    <s v="[209371, 209379, 209387, 209395, 209403, 209411, 209323, 209331, 209339, 209347, 209355]"/>
    <s v="[218882, 218887, 218891, 218897, 218903, 218856, 218857, 218822, 218868, 218843, 218846]"/>
    <s v="#FIELD!"/>
    <s v="[218879, 218882, 218887, 218891, 218897, 218903, 218856, 218857, 218822, 218868, 218843]"/>
    <s v="[0.003, 0.009, 0.012, 0.014, 0.016, 0.013, 0.01, 0.004, 0.017, 0.018, 0.014]"/>
    <s v="77.09227036412314"/>
    <s v="[-0.003, -0.009, -0.012, -0.014, -0.016, -0.013, -0.01, 0.004, 0.017, 0.018, 0.014]"/>
  </r>
  <r>
    <x v="86"/>
    <x v="121"/>
    <x v="0"/>
    <n v="0"/>
    <s v="LINESTRING (5.335037618329585 60.379217930768135, 5.335083320224519 60.37920348845389, 5.3356493637542615 60.37889028371796, 5.3364716695541565 60.37821155247899, 5.33674387487545 60.37811933997587)"/>
    <s v="[209307, 209315, 2001854, 2006919]"/>
    <s v="[218847, 218851, 1754289, 1757075]"/>
    <s v="0.03381817003754329"/>
    <s v="[218846, 218847, 218851, 1754289]"/>
    <s v="[0.017, 0.02, 0.027, 0.106]"/>
    <s v="157.75695494192757"/>
    <s v="[0.017, 0.02, 0.027, 0.106]"/>
  </r>
  <r>
    <x v="87"/>
    <x v="122"/>
    <x v="0"/>
    <n v="0"/>
    <s v="LINESTRING (5.337453848217863 60.377794823709046, 5.337392037622687 60.37787788825623, 5.335561582144692 60.3792076701528, 5.335248208253232 60.379239489420144, 5.335134043376609 60.37928650596723)"/>
    <s v="[2048145, 2048121, 2048129, 2048137]"/>
    <s v="[1783458, 1783459, 1783466, 218879]"/>
    <s v="#FIELD!"/>
    <s v="[1761636, 1783458, 1783459, 1783466]"/>
    <s v="[0.17, 0.008, 0.019, 0.823]"/>
    <s v="230.68724281593205"/>
    <s v="[-0.17, -0.008, 0.019, -0.823]"/>
  </r>
  <r>
    <x v="88"/>
    <x v="123"/>
    <x v="0"/>
    <n v="0"/>
    <s v="LINESTRING (10.301926182909867 59.990717014823296, 10.30192917237363 59.991074757327326, 10.30184489579077 59.992274296971694, 10.301258269710264 59.992890492059466, 10.301076931442118 59.99286594739858, 10.300320457428956 59.99255771585046)"/>
    <s v="[218594, 218602, 218610, 218618, 218626]"/>
    <s v="[225449, 225455, 225459, 225463, 225466]"/>
    <s v="0.03464926828195037"/>
    <s v="[225448, 225449, 225455, 225459, 225463]"/>
    <s v="[0.163, 0.108, 0.075, 0.119, 0.27]"/>
    <s v="326.6411909091979"/>
    <s v="[0.163, 0.108, 0.075, -0.119, -0.27]"/>
  </r>
  <r>
    <x v="88"/>
    <x v="124"/>
    <x v="0"/>
    <s v="[0, 0, 0, 0, 1, 0, 0, 0, 0, 0, 0]"/>
    <s v="LINESTRING (10.301926182909867 59.990717014823296, 10.301896143062853 59.99082939938462, 10.30184003353964 59.991103437543124, 10.301684211788373 59.99185326904608, 10.301434502875042 59.99282409178142, 10.301400626945288 59.992930718018975, 10.301339054561035 59.99309933565, 10.30132018849393 59.99313405601328, 10.286038174983942 60.00127354691058, 10.285848859487542 60.00135254746268, 10.285399866597045 60.00154576296032, 10.282484663011644 60.00297982402645)"/>
    <s v="[1090878, 1090886, 1090894, 1090902, 1090910, 1090918, 1090926, 1090934, 1090942, 1090950, 1090958]"/>
    <s v="[1034691, 1034697, 1034704, 1034710, 1034719, 1034727, 1034733, 1034741, 1034748, 1034754, 1034760]"/>
    <s v="#FIELD!"/>
    <s v="[225448, 1034691, 1034697, 1034704, 1034710, 1034719, 1034727, 1034733, 1034741, 1034748, 1034754]"/>
    <s v="[0.166, 0.065, 0.091, 0.138, 0.18, 0.185, 0.162, 0.047, 0.273, 0.119, 0.073]"/>
    <s v="1822.1811847938343"/>
    <s v="[0.166, 0.065, 0.091, 0.138, 0.18, 0.185, 0.162, -0.047, -0.273, -0.119, 0.073]"/>
  </r>
  <r>
    <x v="88"/>
    <x v="125"/>
    <x v="0"/>
    <n v="0"/>
    <s v="LINESTRING (10.30080324006375 59.99233707502884, 10.30157476862186 59.99159996980754, 10.301719959047363 59.99118002531452, 10.301817188208155 59.99082430884552, 10.301926182909867 59.990717014823296)"/>
    <s v="[218674, 218682, 1306508, 1306516]"/>
    <s v="[225494, 225500, 1216136, 225448]"/>
    <s v="#FIELD!"/>
    <s v="[225489, 225494, 225500, 1216136]"/>
    <s v="[0.043, 0.069, 0.258, 0.649]"/>
    <s v="197.0139681566275"/>
    <s v="[-0.043, -0.069, -0.258, 0.649]"/>
  </r>
  <r>
    <x v="88"/>
    <x v="126"/>
    <x v="0"/>
    <n v="0"/>
    <s v="LINESTRING (10.302350023080756 59.989566934825845, 10.302136463037755 59.990009014990214, 10.301926182909867 59.990717014823296)"/>
    <s v="[1090862, 1090870]"/>
    <s v="[1034679, 225448]"/>
    <s v="0.15545827798278286"/>
    <s v="[1034678, 1034679]"/>
    <s v="[0.131, 0.171]"/>
    <s v="130.48078044219153"/>
    <s v="[0.131, 0.171]"/>
  </r>
  <r>
    <x v="89"/>
    <x v="125"/>
    <x v="0"/>
    <n v="0"/>
    <s v="LINESTRING (10.300320457428956 59.99255771585046, 10.300006220932426 59.99257701790779, 10.297849002106258 59.992748218392464, 10.297055667918587 59.99272869593503, 10.297163698853353 59.992674042423765, 10.30080324006375 59.99233707502884)"/>
    <s v="[218634, 218642, 218650, 218658, 218666]"/>
    <s v="[225471, 225474, 225479, 225485, 225489]"/>
    <s v="#FIELD!"/>
    <s v="[225466, 225471, 225474, 225479, 225485]"/>
    <s v="[0.112, 0.083, 0.162, 0.133, 0.063]"/>
    <s v="480.9550528267753"/>
    <s v="[-0.112, -0.083, -0.162, -0.133, 0.063]"/>
  </r>
  <r>
    <x v="89"/>
    <x v="127"/>
    <x v="0"/>
    <n v="0"/>
    <s v="LINESTRING (10.300320457428956 59.99255771585046, 10.300366157636548 59.99252495097715, 10.30055057835924 59.99246360192629)"/>
    <s v="[280040, 280048]"/>
    <s v="[274949, 274954]"/>
    <s v="#FIELD!"/>
    <s v="[225466, 274949]"/>
    <s v="[0.227, 0.024]"/>
    <s v="16.81636510620006"/>
    <s v="[-0.227, -0.024]"/>
  </r>
  <r>
    <x v="90"/>
    <x v="128"/>
    <x v="0"/>
    <n v="0"/>
    <s v="LINESTRING (10.300741810232132 59.99239841205167, 10.300741810232132 59.99239841205167, 10.30080324006375 59.99233707502884)"/>
    <s v="[280064, 280072]"/>
    <s v="[274964, 225489]"/>
    <s v="#FIELD!"/>
    <s v="[274963, 274964]"/>
    <s v="[0.0, 0.146]"/>
    <s v="20.06820269316723"/>
    <s v="[0.0, -0.146]"/>
  </r>
  <r>
    <x v="91"/>
    <x v="129"/>
    <x v="0"/>
    <n v="0"/>
    <m/>
    <n v="1369721"/>
    <n v="225581"/>
    <s v="#FIELD!"/>
    <n v="225526"/>
    <s v="0.005"/>
    <s v="108.28440902090168"/>
    <s v="#FIELD!"/>
  </r>
  <r>
    <x v="91"/>
    <x v="130"/>
    <x v="0"/>
    <n v="0"/>
    <s v="LINESTRING (10.282811236374839 60.05206805497715, 10.283063370619914 60.05213102745667, 10.285198292600995 60.05263256036295, 10.285194884007726 60.052697064008086, 10.288137986048561 60.05429843317032, 10.288393227598915 60.05442345969728)"/>
    <s v="[218746, 218754, 218802, 218810, 218818]"/>
    <s v="[225527, 225531, 225563, 225568, 225574]"/>
    <s v="0.011773896506622455"/>
    <s v="[225526, 225527, 225531, 225563, 225568]"/>
    <s v="[0.021, 0.041, 0.159, 0.001, 0.041]"/>
    <s v="448.2236362066037"/>
    <s v="[-0.021, 0.041, -0.159, -0.001, 0.041]"/>
  </r>
  <r>
    <x v="91"/>
    <x v="131"/>
    <x v="0"/>
    <s v="[0, 1]"/>
    <s v="LINESTRING (10.281429271751756 60.05144559683234, 10.2824036361795 60.05188951125463, 10.282811236374839 60.05206805497715)"/>
    <s v="[1369705, 1369713]"/>
    <s v="[1263194, 225526]"/>
    <s v="#FIELD!"/>
    <s v="[1263193, 1263194]"/>
    <s v="[0.042, 0.046]"/>
    <s v="103.67148613613122"/>
    <s v="[-0.042, -0.046]"/>
  </r>
  <r>
    <x v="92"/>
    <x v="132"/>
    <x v="0"/>
    <n v="0"/>
    <s v="LINESTRING (10.279030527523267 60.050952962361045, 10.279709461559948 60.05125070666397, 10.280222920111882 60.05149833752048)"/>
    <s v="[218762, 218770]"/>
    <s v="[225534, 225540]"/>
    <s v="#FIELD!"/>
    <s v="[225533, 225534]"/>
    <s v="[0.014, 0.008]"/>
    <s v="90.23096158688804"/>
    <s v="[-0.014, 0.008]"/>
  </r>
  <r>
    <x v="92"/>
    <x v="133"/>
    <x v="0"/>
    <n v="0"/>
    <s v="LINESTRING (10.27853199641734 60.050972917526856, 10.27853199641734 60.050972917526856, 10.279030527523267 60.050952962361045)"/>
    <s v="[371017, 371025]"/>
    <s v="[359911, 225533]"/>
    <s v="0.10058742778746818"/>
    <s v="[359910, 359911]"/>
    <s v="[0.0, 0.112]"/>
    <s v="33.15862435928264"/>
    <s v="[0.0, 0.112]"/>
  </r>
  <r>
    <x v="92"/>
    <x v="134"/>
    <x v="0"/>
    <n v="0"/>
    <s v="LINESTRING (10.278670015876223 60.05105317699567, 10.278670015876223 60.05105317699567, 10.279030527523267 60.050952962361045)"/>
    <s v="[371033, 371041]"/>
    <s v="[359931, 225533]"/>
    <s v="0.13262650292938263"/>
    <s v="[359930, 359931]"/>
    <s v="[0.0, 0.151]"/>
    <s v="27.214626119857638"/>
    <s v="[0.0, 0.151]"/>
  </r>
  <r>
    <x v="93"/>
    <x v="135"/>
    <x v="0"/>
    <n v="0"/>
    <s v="LINESTRING (10.280222920111882 60.05149833752048, 10.28036115011758 60.05153831610777, 10.280362947632213 60.05098170009356, 10.28021097088819 60.05086759146789)"/>
    <s v="[218778, 218786, 2080524]"/>
    <s v="[225545, 225549, 1803928]"/>
    <s v="0.02531965761873959"/>
    <s v="[225540, 225545, 225549]"/>
    <s v="[0.035, 0.067, 0.286]"/>
    <s v="140.1951430458827"/>
    <s v="[0.035, 0.067, -0.286]"/>
  </r>
  <r>
    <x v="93"/>
    <x v="129"/>
    <x v="0"/>
    <s v="[0, 0, 1, 0, 0]"/>
    <s v="LINESTRING (10.28427787238597 60.052705180571145, 10.283721484491997 60.05251127640376, 10.28265793676021 60.05206273580495, 10.282241120356122 60.05188147848851, 10.280436301749743 60.051618645202, 10.280222920111882 60.05149833752048)"/>
    <s v="[218826, 218834, 218842, 218850, 218858]"/>
    <s v="[225582, 225587, 225592, 225597, 225540]"/>
    <s v="0.006076214337191205"/>
    <s v="[225581, 225582, 225587, 225592, 225597]"/>
    <s v="[0.019, 0.015, 0.044, 0.002, 0.004]"/>
    <s v="272.4445061525747"/>
    <s v="[-0.019, 0.015, 0.044, -0.002, 0.004]"/>
  </r>
  <r>
    <x v="94"/>
    <x v="136"/>
    <x v="0"/>
    <n v="0"/>
    <s v="LINESTRING (10.288393227598915 60.05442345969728, 10.291430410595384 60.055012066744084, 10.292245259966979 60.05513598010018, 10.293940548645917 60.05532540018145, 10.294860897152255 60.0555658678225, 10.294930904732547 60.055597056447404, 10.300260261809276 60.05705676905819, 10.300375439912182 60.057058352868914, 10.301473295842792 60.0572029537398, 10.305287163759838 60.0584899342983, 10.30569357033654 60.05868621362997, 10.306635339581176 60.05945222223282, 10.308281407223772 60.06140727697317)"/>
    <s v="[1369745, 1369753, 1369761, 1369769, 1369777, 1369785, 1369793, 1369801, 1369809, 1369817, 1369825, 1369833]"/>
    <s v="[1263210, 1263215, 287818, 1263227, 1263233, 1263241, 1263250, 1263258, 1263266, 1263271, 1263280, 262087]"/>
    <s v="#FIELD!"/>
    <s v="[225574, 1263210, 1263215, 287818, 1263227, 1263233, 1263241, 1263250, 1263258, 1263266, 1263271, 1263280]"/>
    <s v="[0.025, 0.034, 0.017, 0.025, 0.016, 0.004, 0.037, 0.004, 0.001, 0.022, 0.024, 0.046]"/>
    <s v="1476.7124749520344"/>
    <s v="[0.025, -0.034, -0.017, 0.025, 0.016, 0.004, 0.037, 0.004, -0.001, -0.022, -0.024, -0.046]"/>
  </r>
  <r>
    <x v="94"/>
    <x v="129"/>
    <x v="0"/>
    <n v="0"/>
    <s v="LINESTRING (10.28427787238597 60.052705180571145, 10.285361974337631 60.0531811102053, 10.288393227598915 60.05442345969728)"/>
    <s v="[1369729, 1369737]"/>
    <s v="[1263203, 225574]"/>
    <s v="0.019094442054400237"/>
    <s v="[225581, 1263203]"/>
    <s v="[0.016, 0.032]"/>
    <s v="299.0550888082908"/>
    <s v="[-0.016, 0.032]"/>
  </r>
  <r>
    <x v="95"/>
    <x v="137"/>
    <x v="0"/>
    <n v="0"/>
    <s v="LINESTRING (10.286432952802818 60.081662792947924, 10.286586051324965 60.0816346108102, 10.286696310622784 60.08164916084741, 10.28679237890208 60.0817012507661, 10.2867350150956 60.081834956349184, 10.286597329003383 60.081863248219115)"/>
    <s v="[1427767, 1427711, 1427719, 1427727, 1427735]"/>
    <s v="[1301088, 1301089, 1301094, 1301100, 594543]"/>
    <s v="0.006443532991529802"/>
    <s v="[225625, 1301088, 1301089, 1301094, 1301100]"/>
    <s v="[0.111, 0.071, 0.022, 0.064, 0.11]"/>
    <s v="47.69173237294616"/>
    <s v="[-0.111, -0.071, -0.022, 0.064, 0.11]"/>
  </r>
  <r>
    <x v="95"/>
    <x v="138"/>
    <x v="0"/>
    <s v="[0, 0, 1, 0, 0]"/>
    <s v="LINESTRING (10.285037027935308 60.08007884579868, 10.285129006743858 60.08019910414895, 10.28562019083021 60.0810313660308, 10.285704626583891 60.081183995455866, 10.286336952564055 60.08163338924658, 10.286432952802818 60.081662792947924)"/>
    <s v="[639805, 218866, 218874, 218882, 218890]"/>
    <s v="[225606, 225607, 225614, 225619, 225625]"/>
    <s v="0.009171270199036321"/>
    <s v="[634285, 225606, 225607, 225614, 225619]"/>
    <s v="[0.027, 0.024, 0.019, 0.015, 0.045]"/>
    <s v="198.02724838943413"/>
    <s v="[0.027, 0.024, 0.019, -0.015, -0.045]"/>
  </r>
  <r>
    <x v="95"/>
    <x v="139"/>
    <x v="0"/>
    <n v="0"/>
    <m/>
    <n v="1427759"/>
    <n v="225625"/>
    <s v="#FIELD!"/>
    <n v="1301117"/>
    <s v="0.056"/>
    <s v="19.126112956530925"/>
    <s v="#FIELD!"/>
  </r>
  <r>
    <x v="96"/>
    <x v="140"/>
    <x v="0"/>
    <n v="0"/>
    <s v="LINESTRING (10.283810151854462 60.079848708928836, 10.28374436011742 60.07989067432993, 10.283643011498922 60.07991441475327, 10.283524845020814 60.079910130027045, 10.283441797562471 60.07988486555239, 10.283382731269784 60.079838205462444, 10.283375327069974 60.07977950368312, 10.283467016309528 60.07970866497481, 10.283573473597777 60.07968809339074, 10.283686694117499 60.07969573622584, 10.283750665913006 60.07971516521076)"/>
    <s v="[1744608, 1744616, 1744624, 1744542, 1744550, 1744558, 1744565, 1744573, 1744581, 1744589]"/>
    <s v="[1528243, 1547498, 1547444, 1038672, 1547450, 619597, 1547460, 1547466, 1528307, 225629]"/>
    <s v="#FIELD!"/>
    <s v="[225667, 1528243, 1547498, 1547444, 1038672, 1547450, 619597, 1547460, 1547466, 1528307]"/>
    <s v="[0.076, 0.062, 0.044, 0.006, 0.027, 0.071, 0.078, 0.057, 0.029, 0.004]"/>
    <s v="63.189550721116916"/>
    <s v="[0.076, 0.062, 0.044, -0.006, -0.027, -0.071, -0.078, -0.057, -0.029, 0.004]"/>
  </r>
  <r>
    <x v="96"/>
    <x v="141"/>
    <x v="0"/>
    <n v="0"/>
    <s v="LINESTRING (10.283750665913006 60.07971516521076, 10.283915139841284 60.07971248736392, 10.28583350333709 60.07810615358683, 10.286130397038992 60.07801429965833)"/>
    <s v="[218898, 218906, 589172]"/>
    <s v="[225630, 225635, 262197]"/>
    <s v="#FIELD!"/>
    <s v="[225629, 225630, 225635]"/>
    <s v="[0.048, 0.014, 0.028]"/>
    <s v="249.0251840071807"/>
    <s v="[-0.048, -0.014, 0.028]"/>
  </r>
  <r>
    <x v="97"/>
    <x v="142"/>
    <x v="0"/>
    <n v="0"/>
    <s v="LINESTRING (10.286392191293661 60.08211123220523, 10.2867604318114 60.08346896304223, 10.286423870709461 60.08461466186231, 10.286395151210236 60.08490967160838, 10.286369808164325 60.08609701765213, 10.286379427616703 60.08627531672462)"/>
    <s v="[218914, 218922, 218930, 1444067, 1444059]"/>
    <s v="[225641, 225646, 225651, 1311112, 1303484]"/>
    <s v="0.04681033550928412"/>
    <s v="[225640, 225641, 225646, 225651, 1311112]"/>
    <s v="[0.039, 0.064, 0.044, 0.041, 0.038]"/>
    <s v="467.7783711681271"/>
    <s v="[0.039, 0.064, 0.044, 0.041, 0.038]"/>
  </r>
  <r>
    <x v="97"/>
    <x v="137"/>
    <x v="0"/>
    <n v="0"/>
    <s v="LINESTRING (10.286597329003383 60.081863248219115, 10.286555843183955 60.08190532728333, 10.286392191293661 60.08211123220523)"/>
    <s v="[589236, 589244]"/>
    <s v="[594544, 225640]"/>
    <s v="0.08709677230087426"/>
    <s v="[594543, 594544]"/>
    <s v="[0.097, 0.085]"/>
    <s v="29.922224394444047"/>
    <s v="[0.097, 0.085]"/>
  </r>
  <r>
    <x v="97"/>
    <x v="139"/>
    <x v="0"/>
    <n v="0"/>
    <s v="LINESTRING (10.28640612561768 60.08182138808361, 10.286391583959931 60.081868548591665, 10.286392191293661 60.08211123220523)"/>
    <s v="[2123669, 2123677]"/>
    <s v="[1829262, 225640]"/>
    <s v="0.056260527753094695"/>
    <s v="[1301117, 1829262]"/>
    <s v="[0.403, 0.011]"/>
    <s v="32.73722648748091"/>
    <s v="[0.403, -0.011]"/>
  </r>
  <r>
    <x v="98"/>
    <x v="143"/>
    <x v="0"/>
    <n v="0"/>
    <s v="LINESTRING (10.285411920689581 60.08092147220223, 10.285309286416261 60.08080470121058, 10.283946434151776 60.07982389580106, 10.283810151854462 60.079848708928836)"/>
    <s v="[589380, 218954, 218962]"/>
    <s v="[225660, 225661, 225667]"/>
    <s v="#FIELD!"/>
    <s v="[262251, 225660, 225661]"/>
    <s v="[0.014, 0.012, 0.066]"/>
    <s v="169.07478370837174"/>
    <s v="[-0.014, -0.012, 0.066]"/>
  </r>
  <r>
    <x v="99"/>
    <x v="144"/>
    <x v="0"/>
    <s v="[0, 0, 1, 0, 0]"/>
    <s v="LINESTRING (10.290930688130565 60.09088094216306, 10.290445655264596 60.09053808045332, 10.290166327985897 60.09056480564584, 10.289779967782085 60.090647264429485, 10.28964456848111 60.0906748143724, 10.289590690253481 60.09068638402104)"/>
    <s v="[219130, 219138, 219146, 219154, 219162]"/>
    <s v="[225772, 225780, 225785, 225789, 225796]"/>
    <s v="0.09233491836227255"/>
    <s v="[225766, 225772, 225780, 225785, 225789]"/>
    <s v="[0.042, 0.134, 0.142, 0.139, 0.143]"/>
    <s v="98.16119814763806"/>
    <s v="[0.042, 0.134, 0.142, 0.139, 0.143]"/>
  </r>
  <r>
    <x v="99"/>
    <x v="145"/>
    <x v="0"/>
    <n v="0"/>
    <s v="LINESTRING (10.290930688130565 60.09088094216306, 10.29101316647286 60.09091369116888, 10.291674440437431 60.092573225263166, 10.291724780483849 60.092751841798936)"/>
    <s v="[219275, 219283, 219291]"/>
    <s v="[225904, 225912, 225918]"/>
    <s v="0.01238815248910856"/>
    <s v="[225766, 225904, 225912]"/>
    <s v="[0.078, 0.014, 0.023]"/>
    <s v="222.5458192751751"/>
    <s v="[-0.078, 0.014, 0.023]"/>
  </r>
  <r>
    <x v="99"/>
    <x v="146"/>
    <x v="0"/>
    <n v="0"/>
    <s v="LINESTRING (10.29007186531949 60.09064888019309, 10.290206023994578 60.09075620225652, 10.290930688130565 60.09088094216306)"/>
    <s v="[589412, 219122]"/>
    <s v="[225765, 225766]"/>
    <s v="#FIELD!"/>
    <s v="[594712, 225765]"/>
    <s v="[0.036, 0.044]"/>
    <s v="122.53251040452443"/>
    <s v="[-0.036, -0.044]"/>
  </r>
  <r>
    <x v="100"/>
    <x v="147"/>
    <x v="0"/>
    <n v="0"/>
    <s v="LINESTRING (10.292058171752357 60.093227823499014, 10.291870234286389 60.0930740458313, 10.291413101663922 60.09264281477477, 10.29093956403604 60.09217676395891, 10.290802369744704 60.09205031134093, 10.290761229813215 60.09202088941616)"/>
    <s v="[219170, 219178, 219186, 219194, 219202]"/>
    <s v="[225805, 225815, 225825, 225832, 225839]"/>
    <s v="0.02783567829722168"/>
    <s v="[225804, 225805, 225815, 225825, 225832]"/>
    <s v="[0.039, 0.024, 0.026, 0.03, 0.042]"/>
    <s v="152.75241133482868"/>
    <s v="[0.039, 0.024, 0.026, 0.03, 0.042]"/>
  </r>
  <r>
    <x v="100"/>
    <x v="148"/>
    <x v="0"/>
    <n v="0"/>
    <s v="LINESTRING (10.292058171752357 60.093227823499014, 10.292117796501085 60.09331416415984, 10.292520016405556 60.09525933779028, 10.292394365082316 60.09550862732747, 10.29217249159544 60.09590423473977, 10.290291145629306 60.099758403621024, 10.290270046108926 60.09980340589522, 10.289855822623649 60.10072726640025, 10.289603201808015 60.101270956241436, 10.289581793046953 60.101315335796215, 10.289559691635128 60.10136115673914, 10.289207552562555 60.10205087425991, 10.288023258246914 60.10449851689496, 10.286806872917706 60.107043281188346, 10.286246064134975 60.1082216190866, 10.28563491120302 60.109560940577616, 10.285476278269806 60.10991340260421, 10.285451249012713 60.10996876068626, 10.285431032386713 60.11001165330652, 10.285185607272224 60.11051976973897, 10.285053926241845 60.110776224060594, 10.283423785071673 60.11420780573511, 10.283096456517477 60.11491244805809, 10.283083931496984 60.114939730832106, 10.283064663139644 60.114980111646375, 10.2830179906581 60.11506884870341, 10.28116487699209 60.11955608550996, 10.280847137535906 60.12079440447531, 10.280615669799964 60.12168635964635, 10.280416259104442 60.1224500109828, 10.280306794279905 60.12288243281919, 10.280220388663869 60.1232277391373, 10.279998156459238 60.12433208710003, 10.27999806807779 60.12443672592532, 10.277788767918542 60.127401852960354, 10.2766470578377 60.127875776335046, 10.275553659881428 60.1290471983698)"/>
    <s v="[1370041, 1370049, 1370057, 1370065, 1370073, 1370081, 1370089, 1370097, 1370105, 1370113, 1370121, 1370129, 1370137, 1370145, 1370153, 1370161, 1370169, 1370177, 1370185, 1370193, 1370201, 1370209, 1370217, 1370225, 1370233, 1370241, 1370249, 1407282, 1407290, 1407298, 1407306, 1407314, 1407322, 1407330, 1407338, 1407346]"/>
    <s v="[1263421, 1263425, 1263428, 1263432, 1263438, 1263440, 1263446, 1263451, 1263455, 1263462, 1263466, 1263473, 1263479, 1263486, 1263490, 1263498, 1263501, 1263506, 1263509, 1263514, 1263519, 1263522, 1263527, 1263532, 1263536, 1263544, 1263547, 1287602, 1287608, 1287613, 1090886, 1287626, 1074885, 1287637, 1287643, 1287650]"/>
    <s v="2.5464439239715497e-05"/>
    <s v="[225804, 1263421, 1263425, 1263428, 1263432, 1263438, 1263440, 1263446, 1263451, 1263455, 1263462, 1263466, 1263473, 1263479, 1263486, 1263490, 1263498, 1263501, 1263506, 1263509, 1263514, 1263519, 1263522, 1263527, 1263532, 1263536, 1263544, 1263547, 1287602, 1287608, 1287613, 1090886, 1287626, 1074885, 1287637, 1287643]"/>
    <s v="[0.016, 0.011, 0.019, 0.036, 0.06, 0.005, 0.006, 0.007, 0.008, 0.006, 0.008, 0.004, 0.003, 0.003, 0.005, 0.009, 0.01, 0.008, 0.008, 0.008, 0.012, 0.021, 0.042, 0.031, 0.029, 0.019, 0.035, 0.047, 0.046, 0.041, 0.034, 0.025, 0.025, 0.014, 0.07, 0.029]"/>
    <s v="4159.482100324521"/>
    <s v="[-0.016, 0.011, -0.019, -0.036, -0.06, -0.005, -0.006, 0.007, 0.008, 0.006, 0.008, 0.004, 0.003, 0.003, 0.005, 0.009, 0.01, 0.008, 0.008, 0.008, 0.012, 0.021, 0.042, 0.031, 0.029, 0.019, 0.035, 0.047, 0.046, 0.041, 0.034, 0.025, 0.025, -0.014, -0.07, -0.029]"/>
  </r>
  <r>
    <x v="100"/>
    <x v="145"/>
    <x v="0"/>
    <n v="0"/>
    <s v="LINESTRING (10.291724780483849 60.092751841798936, 10.291762730465074 60.092802457455505, 10.292058171752357 60.093227823499014)"/>
    <s v="[1370025, 1370033]"/>
    <s v="[1263411, 225804]"/>
    <s v="#FIELD!"/>
    <s v="[225918, 1263411]"/>
    <s v="[0.009, 0.008]"/>
    <s v="56.20834225091556"/>
    <s v="[-0.009, -0.008]"/>
  </r>
  <r>
    <x v="101"/>
    <x v="149"/>
    <x v="0"/>
    <n v="0"/>
    <m/>
    <n v="1370017"/>
    <n v="225918"/>
    <s v="#FIELD!"/>
    <n v="262342"/>
    <s v="0.005"/>
    <s v="26.97067270253895"/>
    <s v="#FIELD!"/>
  </r>
  <r>
    <x v="102"/>
    <x v="150"/>
    <x v="0"/>
    <n v="0"/>
    <s v="LINESTRING (10.275378994321203 60.1303398439344, 10.274698623012101 60.13063501163414, 10.274692378288798 60.13063417670839, 10.27452417188815 60.130611728892944, 10.27451287016903 60.13061020043626, 10.273596053510337 60.129916655904466, 10.27358503791329 60.12986446237367, 10.273578575567237 60.129837166673795, 10.273682651587167 60.129832847994194, 10.273903717944272 60.1298113783422)"/>
    <s v="[219387, 219395, 219403, 219411, 353303, 353311, 353314, 1427695, 1427703]"/>
    <s v="[226019, 226027, 226035, 226044, 341338, 341345, 341348, 1301082, 597181]"/>
    <s v="#FIELD!"/>
    <s v="[226012, 226019, 226027, 226035, 226044, 341338, 341345, 341348, 1301082]"/>
    <s v="[0.005, 0.031, 0.031, 0.034, 0.013, 0.046, 0.027, 0.027, 0.026]"/>
    <s v="195.8943030798243"/>
    <s v="[-0.005, -0.031, 0.031, 0.034, -0.013, -0.046, -0.027, -0.027, -0.026]"/>
  </r>
  <r>
    <x v="102"/>
    <x v="151"/>
    <x v="0"/>
    <n v="0"/>
    <s v="LINESTRING (10.275378994321203 60.1303398439344, 10.275325208504723 60.130330068706385, 10.275159440781602 60.13030383222295, 10.274854094282619 60.130360850015066, 10.274818440914236 60.130355131861734)"/>
    <s v="[592931, 592939, 592947, 1411920]"/>
    <s v="[597149, 597158, 597164, 1291078]"/>
    <s v="#FIELD!"/>
    <s v="[226012, 597149, 597158, 597164]"/>
    <s v="[0.074, 0.082, 0.024, 0.216]"/>
    <s v="33.44744617270048"/>
    <s v="[-0.074, -0.082, -0.024, -0.216]"/>
  </r>
  <r>
    <x v="102"/>
    <x v="152"/>
    <x v="0"/>
    <n v="0"/>
    <s v="LINESTRING (10.275539992867692 60.12914447122662, 10.275497037286675 60.12927430947861, 10.275217619651174 60.13022191248976, 10.275428990123066 60.13025564376109, 10.275378994321203 60.1303398439344)"/>
    <s v="[1411895, 219363, 219371, 219379]"/>
    <s v="[225996, 225997, 226006, 226012]"/>
    <s v="0.015833987696648264"/>
    <s v="[1291062, 225996, 225997, 226006]"/>
    <s v="[0.017, 0.01, 0.081, 0.001]"/>
    <s v="149.3225912897179"/>
    <s v="[0.017, 0.01, 0.081, -0.001]"/>
  </r>
  <r>
    <x v="103"/>
    <x v="153"/>
    <x v="0"/>
    <s v="[0, 0, 0, 0, 0, 1, 0]"/>
    <s v="LINESTRING (10.25874052556782 60.20383770565536, 10.258739405858568 60.20382470431965, 10.258704748898362 60.20334318692117, 10.258694154257483 60.20326724370051, 10.258686140207912 60.203197698146816, 10.258902535093954 60.201172733497714, 10.260039235164008 60.200637734936045, 10.260169745592021 60.20057236855579)"/>
    <s v="[219475, 219483, 219491, 219499, 219507, 219515, 219523]"/>
    <s v="[226108, 226116, 226123, 226131, 226139, 226145, 226152]"/>
    <s v="#FIELD!"/>
    <s v="[226102, 226108, 226116, 226123, 226131, 226139, 226145]"/>
    <s v="[0.007, 0.008, 0.01, 0.005, 0.034, 0.033, 0.008]"/>
    <s v="400.2904623317808"/>
    <s v="[0.007, 0.008, 0.01, 0.005, -0.034, -0.033, -0.008]"/>
  </r>
  <r>
    <x v="103"/>
    <x v="154"/>
    <x v="0"/>
    <n v="0"/>
    <s v="LINESTRING (10.25874052556782 60.20383770565536, 10.258779041417696 60.20388964414713, 10.259415592370297 60.20408669932915, 10.259482613514237 60.204059228947955)"/>
    <s v="[219563, 219571, 233260]"/>
    <s v="[226191, 226200, 236795]"/>
    <s v="#FIELD!"/>
    <s v="[226102, 226191, 226200]"/>
    <s v="[0.03, 0.054, 0.049]"/>
    <s v="57.796694122674715"/>
    <s v="[-0.03, -0.054, -0.049]"/>
  </r>
  <r>
    <x v="103"/>
    <x v="155"/>
    <x v="0"/>
    <n v="0"/>
    <s v="LINESTRING (10.258570609364197 60.20520477033622, 10.258673858378986 60.20504189820968, 10.25874052556782 60.20383770565536)"/>
    <s v="[233156, 219467]"/>
    <s v="[226101, 226102]"/>
    <s v="0.0010022835664892722"/>
    <s v="[236709, 226101]"/>
    <s v="[0.014, 0.003]"/>
    <s v="161.9981478025837"/>
    <s v="[-0.014, 0.003]"/>
  </r>
  <r>
    <x v="104"/>
    <x v="156"/>
    <x v="0"/>
    <n v="0"/>
    <s v="LINESTRING (10.260169745592021 60.20057236855579, 10.260259444150712 60.20052620991656, 10.260352464839128 60.200473316326274)"/>
    <s v="[219531, 219539]"/>
    <s v="[226159, 226166]"/>
    <s v="#FIELD!"/>
    <s v="[226152, 226159]"/>
    <s v="0.001"/>
    <s v="14.994286966041013"/>
    <s v="#FIELD!"/>
  </r>
  <r>
    <x v="104"/>
    <x v="157"/>
    <x v="0"/>
    <n v="0"/>
    <s v="LINESTRING (10.259251531589621 60.200557017323284, 10.259394563250508 60.200656899284844, 10.260921525491478 60.20132277252825, 10.260661519167156 60.20076071671746, 10.26022915839481 60.200591856085154, 10.260169745592021 60.20057236855579)"/>
    <s v="[232988, 593483, 593491, 593499, 593507]"/>
    <s v="[236576, 597555, 597561, 597568, 226152]"/>
    <s v="0.0021382074817978313"/>
    <s v="[236575, 236576, 597555, 597561, 597568]"/>
    <s v="[0.04, 0.01, 0.012, 0.043, 0.132]"/>
    <s v="281.5418955690257"/>
    <s v="[0.04, 0.01, -0.012, -0.043, 0.132]"/>
  </r>
  <r>
    <x v="105"/>
    <x v="158"/>
    <x v="0"/>
    <n v="0"/>
    <s v="LINESTRING (10.260352464839128 60.200473316326274, 10.260397091329427 60.20050447087008, 10.260577154051882 60.20062319920208, 10.261003082508324 60.20133608185368, 10.260682702298194 60.20156969327427, 10.259841471550997 60.203703070303774, 10.25970934671805 60.203874380153415)"/>
    <s v="[2113500, 2113508, 2113516, 219643, 219651, 233412]"/>
    <s v="[1823342, 1823347, 226252, 226253, 226262, 236898]"/>
    <s v="0.015331466469545082"/>
    <s v="[226166, 1823342, 1823347, 226252, 226253, 226262]"/>
    <s v="[0.01, 0.035, 0.009, 0.021, 0.021, 0.03]"/>
    <s v="411.0188033346676"/>
    <s v="[-0.01, 0.035, -0.009, 0.021, 0.021, 0.03]"/>
  </r>
  <r>
    <x v="105"/>
    <x v="159"/>
    <x v="0"/>
    <n v="0"/>
    <s v="LINESTRING (10.271882912635544 60.182041690745095, 10.271882912635544 60.182041690745095, 10.271922546975118 60.18208997779875, 10.272038788143643 60.18223426702617, 10.272413006123081 60.182873920636546, 10.272372761576841 60.18312945589215, 10.272229870001464 60.18349239615305, 10.269574189948887 60.185718025213745, 10.269563085267158 60.18576874411393, 10.2695520064704 60.18581389631992, 10.26951134085612 60.18597232018634, 10.269032457932552 60.187040558445275, 10.26869065675002 60.1874609549346, 10.263616734777905 60.18875357063072, 10.263009193093163 60.18905101930741, 10.262596851526926 60.189374559552796, 10.262022154045042 60.1900370292321, 10.261904065448963 60.19018930618643, 10.26419839243772 60.19528172180686, 10.26420660388334 60.19538563313953, 10.264096249138685 60.19713359190374, 10.262355045691315 60.19889116403637, 10.261261528314442 60.199788985146775, 10.261189056737173 60.19984549342161, 10.26088226287542 60.200091230477646, 10.260769011060175 60.20017985494283, 10.260411947227514 60.200434314431526, 10.260352464839128 60.200473316326274)"/>
    <s v="[454995, 455003, 455011, 455019, 455027, 455035, 455043, 455051, 455059, 455067, 455075, 455083, 455091, 455099, 455107, 455116, 455124, 455132, 455140, 455148, 455156, 455164, 455172, 455180, 455188, 455196, 455204]"/>
    <s v="[453419, 453427, 453436, 453444, 453454, 453461, 453469, 453478, 453484, 453492, 453499, 453506, 453513, 453521, 453529, 453536, 453542, 453552, 453562, 453570, 453579, 453586, 453596, 453602, 453609, 453619, 226166]"/>
    <s v="0.022161980424952467"/>
    <s v="[453418, 453419, 453427, 453436, 453444, 453454, 453461, 453469, 453478, 453484, 453492, 453499, 453506, 453513, 453521, 453529, 453536, 453542, 453552, 453562, 453570, 453579, 453586, 453596, 453602, 453609, 453619]"/>
    <s v="[0.0, 0.028, 0.02, 0.026, 0.071, 0.102, 0.043, 0.03, 0.028, 0.049, 0.107, 0.089, 0.016, 0.015, 0.004, 0.018, 0.023, 0.032, 0.025, 0.025, 0.006, 0.029, 0.031, 0.034, 0.023, 0.013, 0.003]"/>
    <s v="2430.4337034823097"/>
    <s v="[0.0, 0.028, 0.02, 0.026, 0.071, 0.102, 0.043, -0.03, -0.028, 0.049, 0.107, 0.089, -0.016, -0.015, 0.004, 0.018, 0.023, 0.032, 0.025, 0.025, -0.006, -0.029, -0.031, -0.034, -0.023, -0.013, -0.003]"/>
  </r>
  <r>
    <x v="106"/>
    <x v="160"/>
    <x v="0"/>
    <n v="0"/>
    <m/>
    <n v="219683"/>
    <n v="226287"/>
    <s v="#FIELD!"/>
    <n v="226286"/>
    <s v="0.081"/>
    <s v="8.420708105441218"/>
    <s v="#FIELD!"/>
  </r>
  <r>
    <x v="106"/>
    <x v="161"/>
    <x v="0"/>
    <n v="0"/>
    <s v="LINESTRING (10.250024296195715 60.146499237342724, 10.250061335181805 60.1465553728992, 10.250035112323443 60.146619606106704)"/>
    <s v="[219763, 219771]"/>
    <s v="[226345, 226286]"/>
    <s v="#FIELD!"/>
    <s v="[226339, 226345]"/>
    <s v="[0.002, 0.039]"/>
    <s v="13.893671264980915"/>
    <s v="[-0.002, -0.039]"/>
  </r>
  <r>
    <x v="106"/>
    <x v="162"/>
    <x v="0"/>
    <n v="0"/>
    <s v="LINESTRING (10.250548224534604 60.146513007972, 10.250141525369175 60.14659228126942, 10.250035112323443 60.146619606106704)"/>
    <s v="[1411968, 1411972]"/>
    <s v="[1291105, 226286]"/>
    <s v="#FIELD!"/>
    <s v="[597274, 1291105]"/>
    <s v="[0.025, 0.357]"/>
    <s v="30.921746843730432"/>
    <s v="[0.025, -0.357]"/>
  </r>
  <r>
    <x v="107"/>
    <x v="163"/>
    <x v="0"/>
    <n v="0"/>
    <s v="LINESTRING (10.249928329692747 60.146673200052675, 10.249819183972217 60.14668685354818, 10.249680847763925 60.14666720301666)"/>
    <s v="[219691, 219699]"/>
    <s v="[226296, 226303]"/>
    <s v="#FIELD!"/>
    <s v="[226287, 226296]"/>
    <s v="[0.095, 0.075]"/>
    <s v="14.248440681977545"/>
    <s v="[-0.095, -0.075]"/>
  </r>
  <r>
    <x v="107"/>
    <x v="164"/>
    <x v="0"/>
    <n v="0"/>
    <s v="LINESTRING (10.249928329692747 60.146673200052675, 10.249915574244111 60.14671352359813, 10.24988604612623 60.14681185379756, 10.249851551868604 60.146951030299746)"/>
    <s v="[1411989, 1412004, 1412005]"/>
    <s v="[1291121, 1291130, 597282]"/>
    <s v="#FIELD!"/>
    <s v="[226287, 1291121, 1291130]"/>
    <s v="[0.323, 0.061, 0.138]"/>
    <s v="31.264131196603252"/>
    <s v="[0.323, -0.061, -0.138]"/>
  </r>
  <r>
    <x v="108"/>
    <x v="161"/>
    <x v="0"/>
    <n v="0"/>
    <s v="LINESTRING (10.249680847763925 60.14666720301666, 10.249585821521823 60.146607886116485, 10.24956961146461 60.14655916400573, 10.24961103633526 60.1464958459652, 10.249660721702643 60.14646847970972, 10.249755528618419 60.146445694175675, 10.249873085002582 60.14644448581399, 10.250024296195715 60.146499237342724)"/>
    <s v="[219707, 219715, 219723, 219731, 219739, 219747, 219755]"/>
    <s v="[226308, 226313, 226319, 226324, 226328, 226332, 226339]"/>
    <s v="0.04469782929410556"/>
    <s v="[226303, 226308, 226313, 226319, 226324, 226328, 226332]"/>
    <s v="[0.023, 0.018, 0.056, 0.082, 0.089, 0.08, 0.044]"/>
    <s v="48.473465983705324"/>
    <s v="[-0.023, 0.018, 0.056, 0.082, 0.089, 0.08, 0.044]"/>
  </r>
  <r>
    <x v="108"/>
    <x v="164"/>
    <x v="0"/>
    <n v="0"/>
    <s v="LINESTRING (10.249680847763925 60.14666720301666, 10.249707863278935 60.146710062105676, 10.249760948714142 60.146806566889204, 10.249851551868604 60.146951030299746)"/>
    <s v="[1592991, 1592999, 1593007]"/>
    <s v="[1432234, 1432240, 597282]"/>
    <s v="#FIELD!"/>
    <s v="[226303, 1432234, 1432240]"/>
    <s v="[0.001, 0.011, 0.002]"/>
    <s v="33.16863545264974"/>
    <s v="[-0.001, -0.011, -0.002]"/>
  </r>
  <r>
    <x v="109"/>
    <x v="162"/>
    <x v="0"/>
    <n v="0"/>
    <s v="LINESTRING (10.250548224534604 60.146513007972, 10.250114368300917 60.14649198613443, 10.250024296195715 60.146499237342724)"/>
    <s v="[1592975, 1592983]"/>
    <s v="[1432222, 226339]"/>
    <s v="#FIELD!"/>
    <s v="[597274, 1432222]"/>
    <s v="[0.042, 0.086]"/>
    <s v="29.5001097575716"/>
    <s v="[-0.042, -0.086]"/>
  </r>
  <r>
    <x v="110"/>
    <x v="165"/>
    <x v="0"/>
    <n v="0"/>
    <m/>
    <n v="219843"/>
    <n v="226402"/>
    <s v="#FIELD!"/>
    <n v="226401"/>
    <s v="0.001"/>
    <s v="40.80868516952009"/>
    <s v="#FIELD!"/>
  </r>
  <r>
    <x v="110"/>
    <x v="166"/>
    <x v="0"/>
    <n v="0"/>
    <s v="LINESTRING (10.214604293528703 60.169358681950314, 10.21477573181877 60.16936367118039, 10.21490266118514 60.16939387251474)"/>
    <s v="[219899, 219907]"/>
    <s v="[226445, 226401]"/>
    <s v="#FIELD!"/>
    <s v="[226441, 226445]"/>
    <s v="[0.034, 0.03]"/>
    <s v="17.350191612858524"/>
    <s v="[-0.034, -0.03]"/>
  </r>
  <r>
    <x v="110"/>
    <x v="167"/>
    <x v="0"/>
    <n v="0"/>
    <s v="LINESTRING (10.21496926119497 60.1689667484927, 10.214952279673952 60.16910989965695, 10.214905402050995 60.16934657751776, 10.21490266118514 60.16939387251474)"/>
    <s v="[1432108, 1432116, 1432124]"/>
    <s v="[1303675, 1303681, 226401]"/>
    <s v="#FIELD!"/>
    <s v="[1287926, 1303675, 1303681]"/>
    <s v="[0.007, 0.007, 0.002]"/>
    <s v="47.76834088950508"/>
    <s v="[-0.007, -0.007, -0.002]"/>
  </r>
  <r>
    <x v="111"/>
    <x v="168"/>
    <x v="0"/>
    <n v="0"/>
    <s v="LINESTRING (10.214857495902393 60.169706862171026, 10.214718077541324 60.169727659791945, 10.214582502819983 60.169724067235066)"/>
    <s v="[219851, 219859]"/>
    <s v="[226409, 226418]"/>
    <s v="0.024930562792311945"/>
    <s v="[226402, 226409]"/>
    <s v="[0.023, 0.027]"/>
    <s v="15.623244398706989"/>
    <s v="[0.023, 0.027]"/>
  </r>
  <r>
    <x v="111"/>
    <x v="169"/>
    <x v="0"/>
    <n v="0"/>
    <s v="LINESTRING (10.214857495902393 60.169706862171026, 10.214851493325437 60.16974742788997, 10.214807496153984 60.17009896701772)"/>
    <s v="[639472, 639480]"/>
    <s v="[634028, 634037]"/>
    <s v="#FIELD!"/>
    <s v="[226402, 634028]"/>
    <s v="[0.0, 0.002]"/>
    <s v="43.97141153410216"/>
    <s v="[-0.0, -0.002]"/>
  </r>
  <r>
    <x v="112"/>
    <x v="166"/>
    <x v="0"/>
    <n v="0"/>
    <s v="LINESTRING (10.214582502819983 60.169724067235066, 10.214352620123424 60.169637133008685, 10.214308640544465 60.169578081985634, 10.214310805884152 60.16950043530932, 10.214604293528703 60.169358681950314)"/>
    <s v="[219867, 219875, 219883, 219891]"/>
    <s v="[226424, 226430, 226436, 226441]"/>
    <s v="0.003729331059882076"/>
    <s v="[226418, 226424, 226430, 226436]"/>
    <s v="[0.053, 0.025, 0.005, 0.051]"/>
    <s v="55.632321702243246"/>
    <s v="[-0.053, -0.025, 0.005, 0.051]"/>
  </r>
  <r>
    <x v="112"/>
    <x v="169"/>
    <x v="0"/>
    <n v="0"/>
    <s v="LINESTRING (10.214582502819983 60.169724067235066, 10.214612580984456 60.16976331204326, 10.214807496153984 60.17009896701772)"/>
    <s v="[2123253, 2123261]"/>
    <s v="[1829033, 634037]"/>
    <s v="#FIELD!"/>
    <s v="[226418, 1829033]"/>
    <s v="[1.3, 0.143]"/>
    <s v="43.85698003137525"/>
    <s v="[-1.3, 0.143]"/>
  </r>
  <r>
    <x v="113"/>
    <x v="167"/>
    <x v="0"/>
    <n v="0"/>
    <s v="LINESTRING (10.21496926119497 60.1689667484927, 10.214841287656867 60.16909471185632, 10.21464568319394 60.16931883006639, 10.214604293528703 60.169358681950314)"/>
    <s v="[2123140, 2123148, 2123156]"/>
    <s v="[1828967, 1828971, 226441]"/>
    <s v="0.00513884401610108"/>
    <s v="[1287926, 1828967, 1828971]"/>
    <s v="[0.388, 0.009, 1.335]"/>
    <s v="48.26294869157358"/>
    <s v="[-0.388, -0.009, 1.335]"/>
  </r>
  <r>
    <x v="114"/>
    <x v="170"/>
    <x v="0"/>
    <n v="0"/>
    <s v="LINESTRING (10.346034674384944 59.82074269082984, 10.34575365237619 59.82071568794508, 10.341824417473662 59.82005842010384, 10.340902031196897 59.82006990689651, 10.340837007035379 59.82008313310311)"/>
    <s v="[234036, 220187, 220195, 220203]"/>
    <s v="[226647, 226648, 226654, 226659]"/>
    <s v="0.02589528631829965"/>
    <s v="[236938, 226647, 226648, 226654]"/>
    <s v="[0.032, 0.022, 0.041, 0.029]"/>
    <s v="305.6540413772468"/>
    <s v="[0.032, 0.022, 0.041, 0.029]"/>
  </r>
  <r>
    <x v="115"/>
    <x v="171"/>
    <x v="5"/>
    <n v="0"/>
    <s v="LINESTRING (10.336871709646935 59.81861202595161, 10.336871709646935 59.81861202595161, 10.337268996661775 59.81889811907321)"/>
    <s v="[220291, 220299]"/>
    <s v="[226734, 226742]"/>
    <s v="0.059370484195030875"/>
    <s v="[226733, 226734]"/>
    <s v="[0.0, 0.067]"/>
    <s v="48.95177846729085"/>
    <s v="[0.0, 0.067]"/>
  </r>
  <r>
    <x v="116"/>
    <x v="172"/>
    <x v="0"/>
    <n v="0"/>
    <s v="LINESTRING (10.337268996661775 59.81889811907321, 10.341304772382031 59.819566611526376, 10.341496787708225 59.81963584294933)"/>
    <s v="[220307, 234044]"/>
    <s v="[226748, 237352]"/>
    <s v="0.006108796134167152"/>
    <s v="[226742, 226748]"/>
    <s v="[0.008, 0.028]"/>
    <s v="252.3157785425296"/>
    <s v="[0.008, -0.028]"/>
  </r>
  <r>
    <x v="116"/>
    <x v="173"/>
    <x v="0"/>
    <n v="0"/>
    <s v="LINESTRING (10.337152399431664 59.81864570141123, 10.337152399431664 59.81864570141123, 10.337212707078054 59.81886643939997, 10.337268996661775 59.81889811907321)"/>
    <s v="[1386955, 1386963, 1386971]"/>
    <s v="[1273453, 1273456, 226742]"/>
    <s v="0.03379039523541875"/>
    <s v="[253571, 1273453, 1273456]"/>
    <s v="[0.0, 0.033, 0.08]"/>
    <s v="42.620082139884545"/>
    <s v="[0.0, 0.033, 0.08]"/>
  </r>
  <r>
    <x v="117"/>
    <x v="174"/>
    <x v="0"/>
    <s v="[0, 0, 1, 0, 0, 0, 0]"/>
    <s v="LINESTRING (8.158096091304634 58.192827062714265, 8.157268769184432 58.19235957859458, 8.156290724419618 58.19170898640189, 8.156241906665686 58.19167267579358, 8.154628342196984 58.19022881846257, 8.154517652056068 58.19010015869423, 8.152565835081598 58.18721480293936, 8.152477079009106 58.18707522176699)"/>
    <s v="[220689, 220697, 220705, 220713, 220721, 1118095, 1118106]"/>
    <s v="[227062, 227068, 227073, 227079, 227085, 1057071, 1057080]"/>
    <s v="0.01862694801514669"/>
    <s v="[227057, 227062, 227068, 227073, 227079, 227085, 1057071]"/>
    <s v="[0.011, 0.01, 0.035, 0.03, 0.039, 0.016, 0.001]"/>
    <s v="730.3423216312539"/>
    <s v="[0.011, 0.01, 0.035, 0.03, 0.039, 0.016, 0.001]"/>
  </r>
  <r>
    <x v="117"/>
    <x v="175"/>
    <x v="0"/>
    <s v="[0, 0, 1, 0, 0]"/>
    <s v="LINESTRING (8.158096091304634 58.192827062714265, 8.157669276407097 58.19264980282853, 8.156215962667881 58.19173941602814, 8.156160695353716 58.19169965839753, 8.153722527000046 58.190545050822806, 8.153658292073766 58.19051684685344)"/>
    <s v="[220729, 1117993, 1117996, 1117999, 1118000]"/>
    <s v="[227089, 1056969, 1056972, 1056975, 1056976]"/>
    <s v="0.019506464081065097"/>
    <s v="[227057, 227089, 1056969, 1056972, 1056975]"/>
    <s v="[0.009, 0.01, 0.031, 0.027, 0.036]"/>
    <s v="369.55567677555734"/>
    <s v="[0.009, 0.01, 0.031, 0.027, 0.036]"/>
  </r>
  <r>
    <x v="117"/>
    <x v="176"/>
    <x v="0"/>
    <s v="[0, 0, 1, 0, 0, 0, 1, 0, 1, 0, 0, 0, 1, 0, 0, 0, 1, 0, 0, 0, 1, 0, 1, 0, 0, 0, 1, 0, 0, 1, 0]"/>
    <s v="LINESTRING (8.296356790883468 58.236883411653295, 8.29557674870845 58.23653818584807, 8.29518610535563 58.23636924551821, 8.289914275870636 58.23409095193984, 8.282044168546625 58.231881223864114, 8.257439548116436 58.22798850800548, 8.257151746382581 58.22790263895311, 8.256410816590037 58.22767455135665, 8.255792714097971 58.22747574990038, 8.25573048787979 58.22745508799738, 8.251448647104265 58.225805835543156, 8.251365656529456 58.22576861762306, 8.247203948064733 58.22360219771414, 8.247164608572119 58.22357916077969, 8.243797220355079 58.221540992692454, 8.219415103102694 58.20637657710306, 8.215094205474701 58.20391862160226, 8.21498543557564 58.20387448670133, 8.212067837753654 58.202975179723516, 8.206699966998862 58.20195193327238, 8.192608464390334 58.200277093354856, 8.192521533688113 58.20026737336753, 8.185312379737631 58.19959787324306, 8.183622710708002 58.199496348703306, 8.182928158296905 58.199454544623904, 8.17799635639018 58.199090377201884, 8.176951885684419 58.19900027404082, 8.175945986688886 58.19891000768646, 8.16029343058931 58.193958134699, 8.158887521879835 58.193237329020654, 8.158752550798456 58.19316810632879, 8.158096091304634 58.192827062714265)"/>
    <s v="[1125319, 1125322, 1125323, 1123473, 1123489, 1123510, 1123518, 1123526, 1123558, 1123566, 1123567, 1123690, 1123691, 1123703, 1123704, 1123726, 1123727, 1123732, 1123743, 1123756, 1123896, 1123898, 1123899, 1123900, 1123901, 220641, 220649, 220657, 220665, 220673, 220681]"/>
    <s v="[1063839, 1063841, 1062216, 1062217, 1062235, 1062251, 1062258, 1062266, 1062294, 1062301, 1062302, 1062421, 1062422, 1062432, 1062433, 1062449, 1062450, 1062454, 1062462, 1062477, 1062591, 1062592, 1062593, 1062594, 227030, 227031, 227035, 227042, 227048, 227052, 227057]"/>
    <s v="#FIELD!"/>
    <s v="[1063833, 1063839, 1063841, 1062216, 1062217, 1062235, 1062251, 1062258, 1062266, 1062294, 1062301, 1062302, 1062421, 1062422, 1062432, 1062433, 1062449, 1062450, 1062454, 1062462, 1062477, 1062591, 1062592, 1062593, 1062594, 227030, 227031, 227035, 227042, 227048, 227052]"/>
    <s v="[0.127, 0.144, 0.012, 0.058, 0.008, 0.268, 0.226, 0.005, 0.112, 0.002, 0.093, 0.082, 0.099, 0.078, 0.01, 0.079, 0.056, 0.134, 0.039, 0.021, 0.119, 0.028, 0.15, 0.21, 0.089, 0.015, 0.054, 0.02, 0.004, 0.007, 0.008]"/>
    <s v="9883.559299374669"/>
    <s v="[-0.127, -0.144, 0.012, 0.058, -0.008, -0.268, -0.226, -0.005, 0.112, -0.002, -0.093, -0.082, -0.099, 0.078, 0.01, -0.079, -0.056, 0.134, -0.039, -0.021, -0.119, -0.028, 0.15, 0.21, 0.089, -0.015, -0.054, -0.02, -0.004, 0.007, 0.008]"/>
  </r>
  <r>
    <x v="118"/>
    <x v="177"/>
    <x v="0"/>
    <n v="0"/>
    <m/>
    <n v="1814602"/>
    <n v="228337"/>
    <s v="#FIELD!"/>
    <n v="1596703"/>
    <s v="0.008"/>
    <s v="91.18316346790013"/>
    <s v="#FIELD!"/>
  </r>
  <r>
    <x v="119"/>
    <x v="178"/>
    <x v="0"/>
    <n v="0"/>
    <m/>
    <n v="223503"/>
    <n v="229299"/>
    <s v="0.018"/>
    <n v="229298"/>
    <s v="0.018"/>
    <s v="25.674660269978908"/>
    <s v="0.018"/>
  </r>
  <r>
    <x v="119"/>
    <x v="179"/>
    <x v="0"/>
    <n v="0"/>
    <s v="LINESTRING (11.276016725791635 60.6959119054483, 11.276050977046074 60.69109857243312, 11.2760379271272 60.691054526546196)"/>
    <s v="[239262, 239270]"/>
    <s v="[241797, 241331]"/>
    <s v="0.014018100759266468"/>
    <s v="[229298, 241797]"/>
    <s v="[0.014, 0.016]"/>
    <s v="548.0221455194815"/>
    <s v="[0.014, 0.016]"/>
  </r>
  <r>
    <x v="119"/>
    <x v="180"/>
    <x v="0"/>
    <n v="0"/>
    <m/>
    <n v="239278"/>
    <n v="229298"/>
    <s v="0.023"/>
    <n v="241744"/>
    <s v="0.023"/>
    <s v="25.42331843044227"/>
    <s v="0.023"/>
  </r>
  <r>
    <x v="119"/>
    <x v="181"/>
    <x v="0"/>
    <n v="0"/>
    <s v="LINESTRING (11.27131736743971 60.701573504987266, 11.27131736743971 60.701573504987266, 11.276016725791635 60.6959119054483)"/>
    <s v="[1146082, 238744]"/>
    <s v="[241323, 229298]"/>
    <s v="0.0049533286742721875"/>
    <s v="[1081885, 241323]"/>
    <s v="[0.146, 0.006]"/>
    <s v="733.7820018597106"/>
    <s v="[-0.146, 0.006]"/>
  </r>
  <r>
    <x v="120"/>
    <x v="182"/>
    <x v="0"/>
    <n v="0"/>
    <m/>
    <n v="239214"/>
    <n v="241059"/>
    <s v="0.002"/>
    <n v="229299"/>
    <s v="0.002"/>
    <s v="964.7619107496083"/>
    <s v="0.002"/>
  </r>
  <r>
    <x v="120"/>
    <x v="180"/>
    <x v="0"/>
    <n v="0"/>
    <m/>
    <n v="239206"/>
    <n v="229299"/>
    <s v="0.021"/>
    <n v="241744"/>
    <s v="0.021"/>
    <s v="50.01483080036519"/>
    <s v="0.021"/>
  </r>
  <r>
    <x v="121"/>
    <x v="180"/>
    <x v="0"/>
    <n v="0"/>
    <s v="LINESTRING (11.276127466079698 60.6968516304554, 11.276127466079698 60.6968516304554, 11.276120120879446 60.69613434645536)"/>
    <s v="[223511, 239198]"/>
    <s v="[229305, 241744]"/>
    <s v="0.016002256418207437"/>
    <s v="[229304, 229305]"/>
    <s v="[0.0, 0.018]"/>
    <s v="89.91102199552809"/>
    <s v="[0.0, 0.018]"/>
  </r>
  <r>
    <x v="121"/>
    <x v="183"/>
    <x v="0"/>
    <n v="0"/>
    <s v="LINESTRING (11.276127466079698 60.6968516304554, 11.274984446847807 60.69999864052957, 11.271937586492612 60.702559900949026)"/>
    <s v="[238696, 238704]"/>
    <s v="[241282, 229327]"/>
    <s v="#FIELD!"/>
    <s v="[229304, 241282]"/>
    <s v="[0.004, 0.003]"/>
    <s v="679.9922578272456"/>
    <s v="[-0.004, -0.003]"/>
  </r>
  <r>
    <x v="122"/>
    <x v="184"/>
    <x v="0"/>
    <n v="0"/>
    <s v="LINESTRING (11.271937586492612 60.702559900949026, 11.272096506996707 60.70242512633709, 11.271410904141046 60.701576389229714, 11.271397195437716 60.70162123615125, 11.27139495271559 60.702056995166075)"/>
    <s v="[223535, 223527, 1146074, 1146098]"/>
    <s v="[229320, 229321, 1081877, 229931]"/>
    <s v="#FIELD!"/>
    <s v="[229327, 229320, 229321, 1081877]"/>
    <s v="[0.0, 0.0, 0.148, 0.02]"/>
    <s v="451.14769809004343"/>
    <s v="[-0.0, 0.0, 0.148, -0.02]"/>
  </r>
  <r>
    <x v="122"/>
    <x v="185"/>
    <x v="0"/>
    <s v="[0, 0, 0, 1, 0, 0, 1, 0]"/>
    <s v="LINESTRING (11.271937586492612 60.702559900949026, 11.270160047699674 60.70345792194491, 11.265716652549376 60.705226253182715, 11.251035466253445 60.71187388152205, 11.250745270442941 60.712098732639134, 11.246372684457368 60.71518117809183, 11.246087864718149 60.71533777854092, 11.24580262553573 60.71549291954791, 11.236446728959015 60.72021109172185)"/>
    <s v="[238712, 362772, 362780, 363068, 363076, 363084, 363100, 362812]"/>
    <s v="[241295, 351205, 351211, 351465, 351474, 351484, 351243, 351244]"/>
    <s v="0.007319879990768895"/>
    <s v="[229327, 241295, 351205, 351211, 351465, 351474, 351484, 351243]"/>
    <s v="[0.0, 0.002, 0.011, 0.007, 0.009, 0.015, 0.016, 0.004]"/>
    <s v="2778.858794571213"/>
    <s v="[0.0, 0.002, 0.011, 0.007, 0.009, 0.015, 0.016, 0.004]"/>
  </r>
  <r>
    <x v="123"/>
    <x v="186"/>
    <x v="0"/>
    <n v="0"/>
    <s v="LINESTRING (11.277006101439873 60.691079218105514, 11.276439258860595 60.69103793849908, 11.27635594207376 60.69103587187243)"/>
    <s v="[223575, 223583]"/>
    <s v="[229358, 229365]"/>
    <s v="0.04061877192052634"/>
    <s v="[229357, 229358]"/>
    <s v="[0.041, 0.038]"/>
    <s v="35.86896858284001"/>
    <s v="[0.041, 0.038]"/>
  </r>
  <r>
    <x v="123"/>
    <x v="187"/>
    <x v="0"/>
    <n v="0"/>
    <s v="LINESTRING (11.277006101439873 60.691079218105514, 11.276498771094023 60.690954404096, 11.276428026542035 60.69093415362348)"/>
    <s v="[223615, 223623]"/>
    <s v="[229393, 229402]"/>
    <s v="0.03987388100264287"/>
    <s v="[229357, 229393]"/>
    <s v="[0.04, 0.039]"/>
    <s v="35.48918359895907"/>
    <s v="[0.04, 0.039]"/>
  </r>
  <r>
    <x v="123"/>
    <x v="188"/>
    <x v="0"/>
    <s v="[0, 1, 0, 1]"/>
    <s v="LINESTRING (11.279277582540853 60.69151513313319, 11.279017570699855 60.69139999136616, 11.278123766796613 60.69125623095587, 11.27782170605773 60.691208443366506, 11.277006101439873 60.691079218105514)"/>
    <s v="[238816, 238824, 238832, 238840]"/>
    <s v="[241366, 241372, 241377, 229357]"/>
    <s v="0.033985094874823873"/>
    <s v="[241303, 241366, 241372, 241377]"/>
    <s v="[0.027, 0.033, 0.034, 0.038]"/>
    <s v="135.2761107116931"/>
    <s v="[0.027, 0.033, 0.034, 0.038]"/>
  </r>
  <r>
    <x v="124"/>
    <x v="179"/>
    <x v="0"/>
    <n v="0"/>
    <m/>
    <n v="238752"/>
    <n v="241331"/>
    <s v="0.037"/>
    <n v="229365"/>
    <s v="0.037"/>
    <s v="18.54308498457479"/>
    <s v="0.037"/>
  </r>
  <r>
    <x v="124"/>
    <x v="187"/>
    <x v="0"/>
    <n v="0"/>
    <s v="LINESTRING (11.276428026542035 60.69093415362348, 11.276417109525333 60.690985711862616, 11.27635594207376 60.69103587187243)"/>
    <s v="[238800, 238808]"/>
    <s v="[241354, 229365]"/>
    <s v="0.002599108081731378"/>
    <s v="[229402, 241354]"/>
    <s v="[0.008, 0.012]"/>
    <s v="12.288863127378532"/>
    <s v="[-0.008, 0.012]"/>
  </r>
  <r>
    <x v="125"/>
    <x v="189"/>
    <x v="0"/>
    <n v="0"/>
    <m/>
    <n v="238792"/>
    <n v="229402"/>
    <s v="#FIELD!"/>
    <n v="241044"/>
    <s v="0.034"/>
    <s v="19.09181064162416"/>
    <s v="#FIELD!"/>
  </r>
  <r>
    <x v="126"/>
    <x v="190"/>
    <x v="0"/>
    <n v="0"/>
    <s v="LINESTRING (11.275265924399918 60.7000653915949, 11.272147280787465 60.70266829681039, 11.270364875024631 60.703573177828545, 11.26593196984053 60.70533121139983)"/>
    <s v="[224293, 224301, 363244]"/>
    <s v="[229870, 229873, 351513]"/>
    <s v="#FIELD!"/>
    <s v="[229866, 229870, 229873]"/>
    <s v="[0.002, 0.0, 0.001]"/>
    <s v="789.7527808089939"/>
    <s v="[-0.002, -0.0, 0.001]"/>
  </r>
  <r>
    <x v="126"/>
    <x v="191"/>
    <x v="0"/>
    <n v="0"/>
    <s v="LINESTRING (11.276696234918125 60.695258115424295, 11.276515419576938 60.69684860030388, 11.276498587475785 60.69696073632383, 11.275265924399918 60.7000653915949)"/>
    <s v="[239246, 223519, 224285]"/>
    <s v="[229313, 229314, 229866]"/>
    <s v="#FIELD!"/>
    <s v="[241317, 229313, 229314]"/>
    <s v="[0.017, 0.004, 0.003]"/>
    <s v="543.8394457624298"/>
    <s v="[-0.017, -0.004, -0.003]"/>
  </r>
  <r>
    <x v="127"/>
    <x v="190"/>
    <x v="0"/>
    <n v="0"/>
    <s v="LINESTRING (11.276483798670363 60.705228082525586, 11.276217751594327 60.70510496773805, 11.27614648865508 60.705071984999904, 11.271594052433924 60.7036295495269, 11.266632021004668 60.7051147058486, 11.26593196984053 60.70533121139983)"/>
    <s v="[224341, 224349, 224357, 362220, 363252]"/>
    <s v="[229906, 229915, 229924, 350695, 351513]"/>
    <s v="#FIELD!"/>
    <s v="[229905, 229906, 229915, 229924, 350695]"/>
    <s v="[0.0, 0.0, 0.002, 0.001, 0.011]"/>
    <s v="702.0547160711304"/>
    <s v="[0.0, 0.0, -0.002, -0.001, 0.011]"/>
  </r>
  <r>
    <x v="127"/>
    <x v="184"/>
    <x v="0"/>
    <s v="[0, 1, 0]"/>
    <s v="LINESTRING (11.27139495271559 60.702056995166075, 11.271636441934422 60.70241938622632, 11.2721419451115 60.7028709226636, 11.276483798670363 60.705228082525586)"/>
    <s v="[224365, 224373, 224381]"/>
    <s v="[229932, 229938, 229905]"/>
    <s v="0.00206573228766873"/>
    <s v="[229931, 229932, 229938]"/>
    <s v="[0.0, 0.004, 0.002]"/>
    <s v="454.107918935562"/>
    <s v="[0.0, 0.004, 0.002]"/>
  </r>
  <r>
    <x v="128"/>
    <x v="181"/>
    <x v="0"/>
    <n v="0"/>
    <m/>
    <n v="1146090"/>
    <n v="229931"/>
    <s v="#FIELD!"/>
    <n v="1081885"/>
    <s v="0.019"/>
    <s v="49.42505594790415"/>
    <s v="#FIELD!"/>
  </r>
  <r>
    <x v="129"/>
    <x v="192"/>
    <x v="0"/>
    <n v="0"/>
    <m/>
    <n v="857208"/>
    <n v="830975"/>
    <s v="0.014"/>
    <n v="231304"/>
    <s v="0.014"/>
    <s v="10.809078384134828"/>
    <s v="0.014"/>
  </r>
  <r>
    <x v="129"/>
    <x v="193"/>
    <x v="0"/>
    <n v="0"/>
    <s v="LINESTRING (11.415808087063859 63.96902302233082, 11.415791211133728 63.96899689921507, 11.415704134713863 63.96874032080211, 11.414606396141995 63.96651412432363, 11.414561945542156 63.96642063291896)"/>
    <s v="[226160, 226168, 226176, 226272]"/>
    <s v="[231305, 231297, 231321, 231399]"/>
    <s v="0.016403430850579225"/>
    <s v="[231304, 231305, 231297, 231321]"/>
    <s v="[0.007, 0.02, 0.016, 0.019]"/>
    <s v="298.3649388781258"/>
    <s v="[0.007, 0.02, 0.016, 0.019]"/>
  </r>
  <r>
    <x v="129"/>
    <x v="194"/>
    <x v="0"/>
    <n v="0"/>
    <s v="LINESTRING (11.415885636922601 63.96914310939547, 11.415713755329863 63.96910579399159, 11.415808087063859 63.96902302233082)"/>
    <s v="[857224, 857200]"/>
    <s v="[231288, 231304]"/>
    <s v="0.008717167358721908"/>
    <s v="[231375, 231288]"/>
    <s v="[0.023, 0.037]"/>
    <s v="21.44223655253443"/>
    <s v="[-0.023, 0.037]"/>
  </r>
  <r>
    <x v="130"/>
    <x v="195"/>
    <x v="0"/>
    <n v="0"/>
    <m/>
    <n v="857256"/>
    <n v="830992"/>
    <s v="#FIELD!"/>
    <n v="231328"/>
    <s v="0.019"/>
    <s v="10.310285873997113"/>
    <s v="#FIELD!"/>
  </r>
  <r>
    <x v="130"/>
    <x v="196"/>
    <x v="0"/>
    <n v="0"/>
    <s v="LINESTRING (11.417054869436562 63.96898280064724, 11.417073932981928 63.96901116998776, 11.417567058288826 63.970231780468644, 11.417614969024418 63.97032344237337)"/>
    <s v="[226184, 226192, 226208]"/>
    <s v="[231329, 231336, 231348]"/>
    <s v="#FIELD!"/>
    <s v="[231328, 231329, 231336]"/>
    <s v="[0.009, 0.009, 0.003]"/>
    <s v="152.48249257905073"/>
    <s v="[-0.009, -0.009, 0.003]"/>
  </r>
  <r>
    <x v="130"/>
    <x v="197"/>
    <x v="0"/>
    <n v="0"/>
    <m/>
    <n v="857248"/>
    <n v="231328"/>
    <s v="#FIELD!"/>
    <n v="831001"/>
    <s v="0.03"/>
    <s v="10.900587879101892"/>
    <s v="#FIELD!"/>
  </r>
  <r>
    <x v="131"/>
    <x v="198"/>
    <x v="0"/>
    <s v="[0, 0, 0, 1, 0, 0, 0, 0, 0, 1, 0, 0, 0, 0, 0, 0, 0, 0]"/>
    <s v="LINESTRING (11.417614969024418 63.97032344237337, 11.418168443128824 63.97090157860266, 11.423886724997518 63.97591386934326, 11.42467881095305 63.9768759976361, 11.424705577242783 63.97691797003198, 11.425000367095123 63.97740361039068, 11.427684975567802 63.98105401162561, 11.433258500758022 63.98357485111237, 11.434803032628398 63.983982977170434, 11.435979024757176 63.98428367971127, 11.436034529704347 63.98429842244347, 11.436576844156074 63.9844589587288, 11.456849406989008 63.99247646354238, 11.460912371182276 63.99444050805309, 11.461449517639833 63.99485365381928, 11.461847933435548 63.99510375684046, 11.462257407178283 63.99532249367844, 11.463626178030662 63.99586872459702, 11.46364248685445 63.99587408174853)"/>
    <s v="[857288, 857296, 857304, 857312, 857328, 1398352, 1398360, 1398368, 1398376, 1398384, 587920, 587928, 587936, 587944, 587952, 587968, 587976, 587984]"/>
    <s v="[831038, 831046, 831054, 831059, 831072, 1280502, 1280506, 1280509, 1280515, 593326, 593327, 593337, 593348, 593356, 593362, 593376, 593384, 593071]"/>
    <s v="#FIELD!"/>
    <s v="[231348, 831038, 831046, 831054, 831059, 831072, 1280502, 1280506, 1280509, 1280515, 593326, 593327, 593337, 593348, 593356, 593362, 593376, 593384]"/>
    <s v="[0.017, 0.002, 0.007, 0.009, 0.014, 0.004, 0.003, 0.017, 0.015, 0.156, 0.004, 0.002, 0.009, 0.07, 0.062, 0.054, 0.011, 0.012]"/>
    <s v="3738.027810483892"/>
    <s v="[0.017, 0.002, -0.007, -0.009, -0.014, -0.004, 0.003, 0.017, 0.015, 0.156, -0.004, -0.002, -0.009, -0.07, -0.062, -0.054, 0.011, 0.012]"/>
  </r>
  <r>
    <x v="131"/>
    <x v="199"/>
    <x v="0"/>
    <n v="0"/>
    <m/>
    <n v="857280"/>
    <n v="231348"/>
    <s v="#FIELD!"/>
    <n v="231381"/>
    <s v="0.01"/>
    <s v="389.4158695119022"/>
    <s v="#FIELD!"/>
  </r>
  <r>
    <x v="132"/>
    <x v="194"/>
    <x v="0"/>
    <n v="0"/>
    <s v="LINESTRING (11.417464318524896 63.970351165374154, 11.417346634197497 63.97026849749863, 11.41611283553224 63.969363322998284, 11.415903770219678 63.969167718194896, 11.415885636922601 63.96914310939547)"/>
    <s v="[226216, 226224, 226232, 226240]"/>
    <s v="[231357, 231343, 231370, 231375]"/>
    <s v="#FIELD!"/>
    <s v="[231356, 231357, 231343, 231370]"/>
    <s v="[0.01, 0.005, 0.005, 0.022]"/>
    <s v="155.57051695788934"/>
    <s v="[-0.01, -0.005, 0.005, 0.022]"/>
  </r>
  <r>
    <x v="132"/>
    <x v="200"/>
    <x v="0"/>
    <s v="[0, 0, 0, 1, 0, 0, 0, 0, 0, 0, 0, 1, 0, 0, 0, 0, 0, 0]"/>
    <s v="LINESTRING (11.417464318524896 63.970351165374154, 11.418017896281471 63.97092943057571, 11.423730951353496 63.975936369517825, 11.424523962222606 63.976896185511166, 11.424551716089718 63.97693811042128, 11.424841233528722 63.97741985646029, 11.427547751874055 63.98109299337499, 11.427551994213074 63.98109597305425, 11.433144402351706 63.9836276866396, 11.433155405950968 63.983630913344044, 11.434709203149936 63.984042116484744, 11.435905243817558 63.984348128437944, 11.435959570487645 63.98436409111059, 11.436501807371135 63.98452363743179, 11.456731983925906 63.99252831977832, 11.460785400552025 63.99448856770144, 11.461323739618408 63.994900368412985, 11.46172220369894 63.995149763183505, 11.462148362721381 63.99537702048201)"/>
    <s v="[857360, 857368, 857376, 857392, 857400, 1398392, 1398400, 1398408, 1398416, 1398424, 1398426, 1398434, 587880, 587888, 587896, 587904, 587912, 587960]"/>
    <s v="[831094, 831102, 831109, 831119, 831126, 1280522, 1187183, 1187177, 1280533, 1280535, 1280536, 593287, 593288, 593296, 593303, 593311, 593320, 593078]"/>
    <s v="#FIELD!"/>
    <s v="[231356, 831094, 831102, 831109, 831119, 831126, 1280522, 1187183, 1187177, 1280533, 1280535, 1280536, 593287, 593288, 593296, 593303, 593311, 593320]"/>
    <s v="[0.014, 0.002, 0.005, 0.008, 0.014, 0.003, 0.077, 0.003, 0.085, 0.017, 0.014, 0.049, 0.011, 0.004, 0.004, 0.07, 0.065, 0.049]"/>
    <s v="3650.01146642775"/>
    <s v="[0.014, 0.002, -0.005, -0.008, -0.014, -0.003, -0.077, 0.003, 0.085, 0.017, 0.014, 0.049, 0.011, -0.004, -0.004, -0.07, -0.065, -0.049]"/>
  </r>
  <r>
    <x v="132"/>
    <x v="193"/>
    <x v="0"/>
    <n v="0"/>
    <s v="LINESTRING (11.414561945542156 63.96642063291896, 11.415104588051571 63.96701634169089, 11.417464318524896 63.970351165374154)"/>
    <s v="[857344, 857352]"/>
    <s v="[831084, 231356]"/>
    <s v="#FIELD!"/>
    <s v="[231399, 831084]"/>
    <s v="[0.005, 0.011]"/>
    <s v="461.6239480416486"/>
    <s v="[-0.005, -0.011]"/>
  </r>
  <r>
    <x v="133"/>
    <x v="192"/>
    <x v="0"/>
    <n v="0"/>
    <m/>
    <n v="857216"/>
    <n v="231375"/>
    <s v="#FIELD!"/>
    <n v="830975"/>
    <s v="0.032"/>
    <s v="10.557926897750242"/>
    <s v="#FIELD!"/>
  </r>
  <r>
    <x v="134"/>
    <x v="201"/>
    <x v="0"/>
    <n v="0"/>
    <s v="LINESTRING (11.415203362561389 63.96700307065505, 11.415268401862122 63.96703672865594, 11.416952418624325 63.96883438928971, 11.416977286085771 63.96886166223516)"/>
    <s v="[226248, 226256, 226264]"/>
    <s v="[231382, 231387, 231392]"/>
    <s v="#FIELD!"/>
    <s v="[231381, 231382, 231387]"/>
    <s v="[0.022, 0.012, 0.005]"/>
    <s v="225.85557782481794"/>
    <s v="[0.022, -0.012, -0.005]"/>
  </r>
  <r>
    <x v="134"/>
    <x v="202"/>
    <x v="0"/>
    <n v="0"/>
    <s v="LINESTRING (11.42037727833619 63.94132198760059, 11.419103068459586 63.944859267830765, 11.418817325861617 63.945347628349886, 11.414908089293387 63.954393633987145, 11.412531467750265 63.9633674727337, 11.414682559172624 63.966409870323346, 11.415203362561389 63.96700307065505)"/>
    <s v="[2147831, 2147839, 2147847, 2147855, 857264, 857272]"/>
    <s v="[1842900, 1842907, 1842912, 831018, 831019, 231381]"/>
    <s v="0.0008194427341922451"/>
    <s v="[630261, 1842900, 1842907, 1842912, 831018, 831019]"/>
    <s v="[0.0, 0.006, 0.002, 0.003, 0.007, 0.002]"/>
    <s v="2921.9178741510095"/>
    <s v="[-0.0, -0.006, 0.002, 0.003, -0.007, 0.002]"/>
  </r>
  <r>
    <x v="135"/>
    <x v="197"/>
    <x v="0"/>
    <n v="0"/>
    <m/>
    <n v="857240"/>
    <n v="831001"/>
    <s v="0.018"/>
    <n v="231392"/>
    <s v="0.018"/>
    <s v="10.445141627340757"/>
    <s v="0.018"/>
  </r>
  <r>
    <x v="135"/>
    <x v="195"/>
    <x v="0"/>
    <n v="0"/>
    <m/>
    <n v="857232"/>
    <n v="231392"/>
    <s v="0.03"/>
    <n v="830992"/>
    <s v="0.03"/>
    <s v="11.175123955168061"/>
    <s v="0.03"/>
  </r>
  <r>
    <x v="136"/>
    <x v="202"/>
    <x v="6"/>
    <n v="0"/>
    <s v="LINESTRING (11.42037727833619 63.94132198760059, 11.418982478965734 63.94485300660503, 11.41867405310742 63.945338685569354, 11.414753907428109 63.954413196811565, 11.412415443758114 63.96337314469058, 11.414561945542156 63.96642063291896)"/>
    <s v="[2147799, 2147807, 2147815, 2147823, 857336]"/>
    <s v="[1842879, 1842883, 1842889, 831079, 231399]"/>
    <s v="0.0011270842758859558"/>
    <s v="[630261, 1842879, 1842883, 1842889, 831079]"/>
    <s v="[0.001, 0.006, 0.002, 0.004, 0.006]"/>
    <s v="2853.0413980859357"/>
    <s v="[-0.001, -0.006, 0.002, 0.004, -0.006]"/>
  </r>
  <r>
    <x v="137"/>
    <x v="203"/>
    <x v="0"/>
    <n v="0"/>
    <s v="LINESTRING (10.65464119248814 60.93049546907854, 10.654597987950156 60.93061058675306, 10.654420993674547 60.93110839968049, 10.65394464983696 60.93202074561415, 10.6533176707884 60.9328569526639, 10.653118865906725 60.9330784734878, 10.651649124018066 60.93436712259188, 10.651579574302914 60.93441672840307, 10.649523937358262 60.93578452550465)"/>
    <s v="[227789, 227797, 227805, 227813, 227821, 227829, 227837, 227845]"/>
    <s v="[232510, 232516, 124409, 232528, 124389, 104151, 232545, 232551]"/>
    <s v="0.011828260075257878"/>
    <s v="[118349, 232510, 232516, 124409, 232528, 124389, 104151, 232545]"/>
    <s v="[0.005, 0.003, 0.01, 0.031, 0.013, 0.012, 0.032, 0.028]"/>
    <s v="660.4748313018194"/>
    <s v="[0.005, 0.003, 0.01, 0.031, 0.013, -0.012, -0.032, 0.028]"/>
  </r>
  <r>
    <x v="137"/>
    <x v="204"/>
    <x v="0"/>
    <n v="0"/>
    <s v="LINESTRING (10.654926709516397 60.929480995293616, 10.654960801800785 60.92954000345985, 10.654980959655946 60.92984843974276, 10.65464119248814 60.93049546907854)"/>
    <s v="[247773, 247781, 247789]"/>
    <s v="[248885, 248895, 118349]"/>
    <s v="#FIELD!"/>
    <s v="[248884, 248885, 248895]"/>
    <s v="[0.069, 0.04, 0.005]"/>
    <s v="116.77648661142996"/>
    <s v="[-0.069, -0.04, 0.005]"/>
  </r>
  <r>
    <x v="137"/>
    <x v="205"/>
    <x v="0"/>
    <n v="0"/>
    <s v="LINESTRING (10.655286257615668 60.9295067319157, 10.655257003991972 60.92956012318989, 10.655104841415435 60.9298679629402, 10.65464119248814 60.93049546907854)"/>
    <s v="[335732, 335740, 335748]"/>
    <s v="[325053, 325061, 118349]"/>
    <s v="0.01128705101621335"/>
    <s v="[263021, 325053, 325061]"/>
    <s v="[0.007, 0.0, 0.017]"/>
    <s v="115.79362123010301"/>
    <s v="[0.007, 0.0, 0.017]"/>
  </r>
  <r>
    <x v="138"/>
    <x v="206"/>
    <x v="0"/>
    <n v="0"/>
    <s v="LINESTRING (10.311473093125388 59.98143338056356, 10.311276258352327 59.9817242689857, 10.311177274692287 59.98191207438343, 10.311130548023266 59.98199520129069, 10.311094097875593 59.98205723337152, 10.310170386413851 59.98260309897789, 10.30857321974554 59.98356946484627, 10.30840693258838 59.98365631179925)"/>
    <s v="[227839, 227847, 227855, 227863, 227871, 227879, 2158948]"/>
    <s v="[232547, 232553, 232562, 232570, 232575, 232580, 1849142]"/>
    <s v="#FIELD!"/>
    <s v="[232546, 232547, 232553, 232562, 232570, 232575, 232580]"/>
    <s v="[0.036, 0.051, 0.046, 0.024, 0.149, 0.123, 0.374]"/>
    <s v="308.7868138216669"/>
    <s v="[0.036, 0.051, 0.046, 0.024, -0.149, -0.123, -0.374]"/>
  </r>
  <r>
    <x v="138"/>
    <x v="207"/>
    <x v="0"/>
    <n v="0"/>
    <m/>
    <n v="1407598"/>
    <n v="232546"/>
    <s v="0.0"/>
    <n v="1287839"/>
    <s v="0.0"/>
    <s v="24.913324065840392"/>
    <s v="0.0"/>
  </r>
  <r>
    <x v="138"/>
    <x v="208"/>
    <x v="0"/>
    <n v="0"/>
    <s v="LINESTRING (10.309185573653037 59.98301317208627, 10.309691087936544 59.982625045936935, 10.311359521383228 59.981453353871025, 10.311473093125388 59.98143338056356)"/>
    <s v="[2158956, 227927, 227935]"/>
    <s v="[232618, 232619, 232546]"/>
    <s v="0.0999356249760902"/>
    <s v="[1849176, 232618, 232619]"/>
    <s v="[0.029, 0.118, 0.219]"/>
    <s v="219.41541256042916"/>
    <s v="[0.029, 0.118, 0.219]"/>
  </r>
  <r>
    <x v="139"/>
    <x v="119"/>
    <x v="7"/>
    <n v="0"/>
    <s v="LINESTRING (10.649523937358262 60.93578452550465, 10.648178873696612 60.93677815701891, 10.634074588741905 60.951220600898075, 10.632746750903522 60.95143928993822, 10.62883802273717 60.95243928347046)"/>
    <s v="[342803, 342811, 342988, 342996]"/>
    <s v="[331433, 331441, 331603, 331611]"/>
    <s v="#FIELD!"/>
    <s v="[232551, 331433, 331441, 331603]"/>
    <s v="[0.011, 0.006, 0.03, 0.022]"/>
    <s v="2315.61759202227"/>
    <s v="[0.011, -0.006, -0.03, -0.022]"/>
  </r>
  <r>
    <x v="139"/>
    <x v="114"/>
    <x v="0"/>
    <n v="0"/>
    <s v="LINESTRING (10.649523937358262 60.93578452550465, 10.64811050835096 60.9367519725249, 10.634046428166076 60.951180734397276, 10.632720399126068 60.95140093852799, 10.628788898648486 60.952406827125216, 10.62715964046439 60.953163908043045, 10.626804582064244 60.953364203438994, 10.626509562557303 60.953550885244894, 10.625133149788152 60.95470857777224, 10.625050227044198 60.954796419689934, 10.62434971518414 60.95566986089996)"/>
    <s v="[342819, 342827, 342835, 342843, 342852, 342860, 342868, 342876, 342884, 342892]"/>
    <s v="[331448, 331455, 331461, 331466, 331472, 331479, 331486, 331493, 331500, 331508]"/>
    <s v="#FIELD!"/>
    <s v="[232551, 331448, 331455, 331461, 331466, 331472, 331479, 331486, 331493, 331500]"/>
    <s v="[0.019, 0.006, 0.03, 0.023, 0.021, 0.012, 0.007, 0.003, 0.002, 0.003]"/>
    <s v="2756.5756276957572"/>
    <s v="[0.019, -0.006, -0.03, -0.023, 0.021, 0.012, 0.007, 0.003, -0.002, 0.003]"/>
  </r>
  <r>
    <x v="140"/>
    <x v="209"/>
    <x v="0"/>
    <s v="[0, 1, 0, 0, 0, 0, 0, 0, 0, 0, 0, 0, 1, 0, 0]"/>
    <s v="LINESTRING (10.434424965712866 61.05347191420264, 10.431516913479982 61.058277036525325, 10.431496581935905 61.05832086306222, 10.430609751351414 61.06727809553307, 10.43059467305193 61.06844737397429, 10.430602082160334 61.068622719828596, 10.430605485732979 61.06867564238839, 10.431321437265009 61.07162022607851, 10.431547851843497 61.07388465725427, 10.430271419664008 61.07757754233703, 10.430257261111095 61.07761644312238, 10.431301716702004 61.08600614363806, 10.433912886908756 61.09242226193565, 10.433969675711966 61.092484347433505, 10.440773680430608 61.10362177162148, 10.441589615197381 61.10436923438541)"/>
    <s v="[227853, 227861, 227869, 227877, 227885, 227893, 227901, 227909, 227917, 227925, 227933, 227941, 227949, 227957, 227965]"/>
    <s v="[232561, 232568, 232574, 232578, 232586, 232592, 113464, 109232, 232612, 232616, 232624, 232630, 232635, 232643, 232649]"/>
    <s v="0.0005474352795507415"/>
    <s v="[232560, 232561, 232568, 232574, 232578, 232586, 232592, 113464, 109232, 232612, 232616, 232624, 232630, 232635, 232643]"/>
    <s v="[0.002, 0.03, 0.002, 0.0, 0.005, 0.014, 0.012, 0.002, 0.012, 0.001, 0.004, 0.002, 0.018, 0.007, 0.034]"/>
    <s v="5828.684659683448"/>
    <s v="[0.002, 0.03, -0.002, -0.0, -0.005, -0.014, -0.012, -0.002, 0.012, -0.001, -0.004, 0.002, -0.018, 0.007, -0.034]"/>
  </r>
  <r>
    <x v="140"/>
    <x v="210"/>
    <x v="0"/>
    <n v="0"/>
    <s v="LINESTRING (10.43576984975745 61.049702981136384, 10.435666549921736 61.05011080585102, 10.434424965712866 61.05347191420264)"/>
    <s v="[343420, 343428]"/>
    <s v="[332034, 232560]"/>
    <s v="0.0025359634365975936"/>
    <s v="[332026, 332034]"/>
    <s v="[0.007, 0.002]"/>
    <s v="427.277061603684"/>
    <s v="[0.007, 0.002]"/>
  </r>
  <r>
    <x v="140"/>
    <x v="211"/>
    <x v="0"/>
    <n v="0"/>
    <m/>
    <n v="343913"/>
    <n v="232560"/>
    <s v="0.003"/>
    <n v="332455"/>
    <s v="0.003"/>
    <s v="381.2375001952602"/>
    <s v="0.003"/>
  </r>
  <r>
    <x v="141"/>
    <x v="212"/>
    <x v="0"/>
    <n v="0"/>
    <s v="LINESTRING (10.441589615197381 61.10436923438541, 10.442231101870885 61.105065555475576, 10.442266072778338 61.10510962409928, 10.442376303768015 61.105274150357054)"/>
    <s v="[227973, 227981, 227989]"/>
    <s v="[232655, 232662, 232668]"/>
    <s v="#FIELD!"/>
    <s v="[232649, 232655, 232662]"/>
    <s v="[0.032, 0.037, 0.023]"/>
    <s v="109.56813669803161"/>
    <s v="[-0.032, -0.037, -0.023]"/>
  </r>
  <r>
    <x v="141"/>
    <x v="213"/>
    <x v="0"/>
    <n v="0"/>
    <s v="LINESTRING (10.441589615197381 61.10436923438541, 10.441693824680051 61.10443516594083, 10.442122769967314 61.10480824091491, 10.442241165042226 61.10495157690453, 10.44231540131938 61.10504472438264, 10.443233750263333 61.105572627320306)"/>
    <s v="[264327, 264335, 264343, 264351, 264359]"/>
    <s v="[262378, 262384, 262392, 262399, 262405]"/>
    <s v="#FIELD!"/>
    <s v="[232649, 262378, 262384, 262392, 262399]"/>
    <s v="[0.19, 0.026, 0.019, 0.02, 0.029]"/>
    <s v="167.3305467523989"/>
    <s v="[-0.19, -0.026, -0.019, -0.02, -0.029]"/>
  </r>
  <r>
    <x v="142"/>
    <x v="214"/>
    <x v="0"/>
    <n v="0"/>
    <s v="LINESTRING (10.442376303768015 61.105274150357054, 10.442805864879015 61.10666049749545, 10.442682942298298 61.10749938157523)"/>
    <s v="[227997, 228005]"/>
    <s v="[232676, 232683]"/>
    <s v="#FIELD!"/>
    <s v="[232668, 232676]"/>
    <s v="[0.013, 0.019]"/>
    <s v="250.76324406288316"/>
    <s v="[-0.013, -0.019]"/>
  </r>
  <r>
    <x v="142"/>
    <x v="215"/>
    <x v="0"/>
    <n v="0"/>
    <s v="LINESTRING (10.442075420305821 61.106968782477196, 10.442697317936934 61.10644481377126, 10.442386469442583 61.1053969418042, 10.442376303768015 61.105274150357054)"/>
    <s v="[264383, 264391, 264399]"/>
    <s v="[262422, 262428, 232668]"/>
    <s v="0.0013364383631603643"/>
    <s v="[262417, 262422, 262428]"/>
    <s v="[0.016, 0.015, 0.006]"/>
    <s v="219.21947387421014"/>
    <s v="[-0.016, 0.015, -0.006]"/>
  </r>
  <r>
    <x v="143"/>
    <x v="216"/>
    <x v="0"/>
    <n v="0"/>
    <m/>
    <n v="228013"/>
    <n v="232692"/>
    <s v="#FIELD!"/>
    <n v="232683"/>
    <s v="0.017"/>
    <s v="158.09485420144597"/>
    <s v="#FIELD!"/>
  </r>
  <r>
    <x v="143"/>
    <x v="213"/>
    <x v="0"/>
    <n v="0"/>
    <s v="LINESTRING (10.443233750263333 61.105572627320306, 10.443055408522337 61.105598080067566, 10.442839211800163 61.10720051735594, 10.442775295960137 61.10739890168744, 10.442682942298298 61.10749938157523)"/>
    <s v="[264407, 264415, 264423, 264431]"/>
    <s v="[262445, 262451, 262458, 232683]"/>
    <s v="#FIELD!"/>
    <s v="[262405, 262445, 262451, 262458]"/>
    <s v="[0.057, 0.012, 0.014, 0.062]"/>
    <s v="230.85274601982755"/>
    <s v="[0.057, -0.012, -0.014, 0.062]"/>
  </r>
  <r>
    <x v="144"/>
    <x v="217"/>
    <x v="8"/>
    <s v="[0, 1]"/>
    <s v="LINESTRING (10.442405540210526 61.10891130442781, 10.44239542778718 61.10922108493394, 10.444673762684094 61.113422541283065)"/>
    <s v="[228021, 228029]"/>
    <s v="[232697, 232704]"/>
    <s v="#FIELD!"/>
    <s v="[232692, 232697]"/>
    <s v="[0.003, 0.002]"/>
    <s v="521.6702152822651"/>
    <s v="[-0.003, -0.002]"/>
  </r>
  <r>
    <x v="144"/>
    <x v="215"/>
    <x v="0"/>
    <n v="0"/>
    <s v="LINESTRING (10.442405540210526 61.10891130442781, 10.442372934284498 61.10879720675149, 10.442487037201698 61.10796120834195, 10.442556436952142 61.10727999772589, 10.442168623586968 61.1070464102245, 10.442075420305821 61.106968782477196)"/>
    <s v="[264439, 264447, 264455, 264463, 264471]"/>
    <s v="[262470, 262477, 262483, 262490, 262417]"/>
    <s v="0.027584479382214797"/>
    <s v="[232692, 262470, 262477, 262483, 262490]"/>
    <s v="[0.0, 0.017, 0.017, 0.079, 0.069]"/>
    <s v="226.37763919579012"/>
    <s v="[-0.0, 0.017, 0.017, 0.079, 0.069]"/>
  </r>
  <r>
    <x v="145"/>
    <x v="218"/>
    <x v="0"/>
    <s v="[1, 0]"/>
    <s v="LINESTRING (10.444673762684094 61.113422541283065, 10.445090231326276 61.11400233405058, 10.445111366078116 61.114032364292534)"/>
    <s v="[228037, 228045]"/>
    <s v="[232710, 232716]"/>
    <s v="0.0"/>
    <s v="[232704, 232710]"/>
    <s v="0.0"/>
    <s v="71.95668980557323"/>
    <s v="0.0"/>
  </r>
  <r>
    <x v="145"/>
    <x v="219"/>
    <x v="0"/>
    <s v="[0, 0, 1, 1]"/>
    <s v="LINESTRING (10.444652015264545 61.11583109587719, 10.44477780123434 61.11575800198268, 10.445004383403013 61.113993141675685, 10.444710101983912 61.11354615270196, 10.444673762684094 61.113422541283065)"/>
    <s v="[264583, 264591, 264599, 264607]"/>
    <s v="[262601, 262610, 262618, 232704]"/>
    <s v="0.0"/>
    <s v="[262588, 262601, 262610, 262618]"/>
    <s v="0.0"/>
    <s v="293.0457951836296"/>
    <s v="0.0"/>
  </r>
  <r>
    <x v="146"/>
    <x v="220"/>
    <x v="0"/>
    <s v="[0, 1, 1, 1, 0]"/>
    <s v="LINESTRING (10.445111366078116 61.114032364292534, 10.44595986337115 61.116299247225584, 10.446009809376754 61.11661787914407, 10.446023369176327 61.1167307752134, 10.446047659430478 61.116978387638106, 10.44606841885268 61.117590912762694)"/>
    <s v="[228053, 228061, 228070, 228078, 228086]"/>
    <s v="[232725, 232730, 232739, 232745, 232751]"/>
    <s v="0.005547807023790631"/>
    <s v="[232716, 232725, 232730, 232739, 232745]"/>
    <s v="[0.0, 0.0, 0.0, 0.004, 0.031]"/>
    <s v="401.4937755984887"/>
    <s v="[0.0, 0.0, 0.0, 0.004, 0.031]"/>
  </r>
  <r>
    <x v="146"/>
    <x v="221"/>
    <x v="0"/>
    <n v="0"/>
    <s v="LINESTRING (10.445111366078116 61.114032364292534, 10.445221534259924 61.11413716287506, 10.446973946070083 61.11621610189467, 10.44705890383515 61.11625215166119)"/>
    <s v="[264519, 264527, 336548]"/>
    <s v="[262543, 262551, 325618]"/>
    <s v="0.0"/>
    <s v="[232716, 262543, 262551]"/>
    <s v="0.0"/>
    <s v="283.3733764869182"/>
    <s v="0.0"/>
  </r>
  <r>
    <x v="147"/>
    <x v="222"/>
    <x v="0"/>
    <n v="0"/>
    <m/>
    <n v="228094"/>
    <n v="232760"/>
    <s v="0.016"/>
    <n v="232751"/>
    <s v="0.016"/>
    <s v="269.06414202238585"/>
    <s v="0.016"/>
  </r>
  <r>
    <x v="147"/>
    <x v="219"/>
    <x v="0"/>
    <s v="[0, 0, 1, 1, 0]"/>
    <s v="LINESTRING (10.44606841885268 61.117590912762694, 10.44600999181422 61.117500145318516, 10.445964707383089 61.11697612840318, 10.445908172065806 61.11662261540563, 10.445853884151267 61.11630161566906, 10.444652015264545 61.11583109587719)"/>
    <s v="[264535, 264543, 264551, 264559, 264567]"/>
    <s v="[262558, 262565, 262572, 262580, 262588]"/>
    <s v="#FIELD!"/>
    <s v="[232751, 262558, 262565, 262572, 262580]"/>
    <s v="[0.21, 0.0, 0.0, 0.0, 0.0]"/>
    <s v="247.37469601958693"/>
    <s v="[-0.21, 0.0, 0.0, 0.0, 0.0]"/>
  </r>
  <r>
    <x v="148"/>
    <x v="223"/>
    <x v="9"/>
    <s v="[0, 0, 0, 1, 0]"/>
    <s v="LINESTRING (10.445417915875813 61.11997845728321, 10.444538273214086 61.1212267951469, 10.442737293802416 61.12293131008879, 10.436975232291719 61.12728046257777, 10.436706739745762 61.12747076181259, 10.435739713823526 61.128144371865226)"/>
    <s v="[228102, 228111, 228120, 228128, 228136]"/>
    <s v="[232766, 232775, 232784, 232792, 232800]"/>
    <s v="0.016644743411178012"/>
    <s v="[232760, 232766, 232775, 232784, 232792]"/>
    <s v="[0.057, 0.008, 0.01, 0.03, 0.01]"/>
    <s v="1053.4153482419165"/>
    <s v="[0.057, 0.008, 0.01, 0.03, 0.01]"/>
  </r>
  <r>
    <x v="148"/>
    <x v="224"/>
    <x v="0"/>
    <s v="[0, 0, 1, 0, 0]"/>
    <s v="LINESTRING (10.4470890711121 61.11632529249821, 10.447052942369083 61.116364451988375, 10.446493967857421 61.11658486077965, 10.446259266919244 61.11695728928047, 10.445523890979505 61.119865970349416, 10.445417915875813 61.11997845728321)"/>
    <s v="[336564, 264615, 264623, 264631, 264639]"/>
    <s v="[262632, 262633, 262639, 262647, 232760]"/>
    <s v="0.015027275268485232"/>
    <s v="[249363, 262632, 262633, 262639, 262647]"/>
    <s v="[0.0, 0.0, 0.0, 0.018, 0.04]"/>
    <s v="428.65981515036265"/>
    <s v="[0.0, 0.0, 0.0, 0.018, 0.04]"/>
  </r>
  <r>
    <x v="149"/>
    <x v="225"/>
    <x v="0"/>
    <n v="0"/>
    <s v="LINESTRING (10.435739713823526 61.128144371865226, 10.431231866699907 61.13112952250748, 10.431133659270243 61.131191299652016)"/>
    <s v="[228144, 228152]"/>
    <s v="[232808, 232815]"/>
    <s v="#FIELD!"/>
    <s v="[232800, 232808]"/>
    <s v="[0.004, 0.051]"/>
    <s v="420.7404663047534"/>
    <s v="[-0.004, 0.051]"/>
  </r>
  <r>
    <x v="149"/>
    <x v="226"/>
    <x v="0"/>
    <n v="0"/>
    <s v="LINESTRING (10.435739713823526 61.128144371865226, 10.43566843495182 61.1282319908631, 10.434334956666792 61.1291977142434, 10.432888921978485 61.131154865957754, 10.432922485940487 61.1311897340936)"/>
    <s v="[264647, 264655, 264663, 264671]"/>
    <s v="[262657, 262665, 262673, 262680]"/>
    <s v="0.01413065776667237"/>
    <s v="[232800, 262657, 262665, 262673]"/>
    <s v="[0.023, 0.031, 0.036, 0.134]"/>
    <s v="384.320961864946"/>
    <s v="[0.023, -0.031, 0.036, 0.134]"/>
  </r>
  <r>
    <x v="150"/>
    <x v="227"/>
    <x v="0"/>
    <n v="0"/>
    <s v="LINESTRING (10.272390570133279 60.18203007133583, 10.273466231978228 60.182288343497184, 10.274648913322425 60.18257153939326, 10.276976743575066 60.183127455543705, 10.28003339427756 60.183857427902595, 10.28049555387786 60.18397044477571, 10.281760965063244 60.18442451490983, 10.283152918128005 60.18571673438335, 10.28378955047386 60.18684673693548, 10.28391181109966 60.187295420686965, 10.283973090663855 60.18755655507847, 10.284011756342673 60.18773149909692, 10.284254590127947 60.18894368287182)"/>
    <s v="[453465, 453473, 453481, 453489, 453497, 453505, 453513, 453521, 453529, 453537, 453545, 453553]"/>
    <s v="[452053, 452062, 452074, 452082, 452092, 452098, 452107, 452114, 452123, 452133, 452139, 452144]"/>
    <s v="#FIELD!"/>
    <s v="[232802, 452053, 452062, 452074, 452082, 452092, 452098, 452107, 452114, 452123, 452133, 452139]"/>
    <s v="[0.061, 0.086, 0.067, 0.009, 0.011, 0.006, 0.02, 0.013, 0.0, 0.003, 0.004, 0.003]"/>
    <s v="1116.6153645718034"/>
    <s v="[-0.061, -0.086, -0.067, -0.009, -0.011, 0.006, 0.02, 0.013, 0.0, -0.003, -0.004, -0.003]"/>
  </r>
  <r>
    <x v="150"/>
    <x v="159"/>
    <x v="0"/>
    <n v="0"/>
    <s v="LINESTRING (10.271882912635544 60.182041690745095, 10.271911948214703 60.181963243901066, 10.271966894582533 60.18195964913055, 10.272390570133279 60.18203007133583)"/>
    <s v="[1835492, 228130, 228138]"/>
    <s v="[232794, 232795, 232802]"/>
    <s v="#FIELD!"/>
    <s v="[453418, 232794, 232795]"/>
    <s v="[0.099, 0.106, 0.063]"/>
    <s v="37.085389275229886"/>
    <s v="[-0.099, -0.106, -0.063]"/>
  </r>
  <r>
    <x v="150"/>
    <x v="159"/>
    <x v="0"/>
    <n v="0"/>
    <s v="LINESTRING (10.271882912635544 60.182041690745095, 10.271995567252688 60.182061961253574, 10.272017836615861 60.18205629910465, 10.272390570133279 60.18203007133583)"/>
    <s v="[1835500, 1375489, 1375497]"/>
    <s v="[1267258, 1267259, 232802]"/>
    <s v="#FIELD!"/>
    <s v="[453418, 1267258, 1267259]"/>
    <s v="[0.073, 0.084, 0.1]"/>
    <s v="29.871245213730877"/>
    <s v="[-0.073, -0.084, -0.1]"/>
  </r>
  <r>
    <x v="151"/>
    <x v="228"/>
    <x v="0"/>
    <n v="0"/>
    <s v="LINESTRING (10.431133659270243 61.131191299652016, 10.429861896339293 61.13199398827642, 10.427433868202636 61.1335242865912)"/>
    <s v="[228160, 228168]"/>
    <s v="[232823, 232828]"/>
    <s v="0.037503110983547826"/>
    <s v="[232815, 232823]"/>
    <s v="[0.048, 0.032]"/>
    <s v="327.7166485455871"/>
    <s v="[0.048, 0.032]"/>
  </r>
  <r>
    <x v="151"/>
    <x v="229"/>
    <x v="0"/>
    <n v="0"/>
    <s v="LINESTRING (10.428868480297481 61.132030800912865, 10.428876973230908 61.13208774456432, 10.430981011591404 61.13123537972711, 10.431133659270243 61.131191299652016)"/>
    <s v="[264719, 264727, 264735]"/>
    <s v="[262727, 262733, 232815]"/>
    <s v="#FIELD!"/>
    <s v="[262698, 262727, 262733]"/>
    <s v="[0.091, 0.011, 0.031]"/>
    <s v="193.6617562537332"/>
    <s v="[0.091, -0.011, -0.031]"/>
  </r>
  <r>
    <x v="152"/>
    <x v="230"/>
    <x v="0"/>
    <n v="0"/>
    <m/>
    <n v="228176"/>
    <n v="232834"/>
    <s v="#FIELD!"/>
    <n v="232828"/>
    <s v="0.012"/>
    <s v="96.82460138823134"/>
    <s v="#FIELD!"/>
  </r>
  <r>
    <x v="152"/>
    <x v="229"/>
    <x v="0"/>
    <n v="0"/>
    <s v="LINESTRING (10.427433868202636 61.1335242865912, 10.427465635160171 61.13345995600586, 10.428868480297481 61.132030800912865)"/>
    <s v="[264679, 264687]"/>
    <s v="[262688, 262698]"/>
    <s v="#FIELD!"/>
    <s v="[232828, 262688]"/>
    <s v="[0.044, 0.061]"/>
    <s v="186.66043026181163"/>
    <s v="[0.044, -0.061]"/>
  </r>
  <r>
    <x v="153"/>
    <x v="231"/>
    <x v="10"/>
    <n v="0"/>
    <s v="LINESTRING (10.426344437989373 61.134214952351044, 10.425265081938784 61.13489236322738, 10.415216340628987 61.144554610651)"/>
    <s v="[228184, 228192]"/>
    <s v="[232839, 232847]"/>
    <s v="0.002089230663267212"/>
    <s v="[232834, 232839]"/>
    <s v="[0.016, 0.001]"/>
    <s v="1312.682027972419"/>
    <s v="[0.016, 0.001]"/>
  </r>
  <r>
    <x v="153"/>
    <x v="232"/>
    <x v="0"/>
    <n v="0"/>
    <s v="LINESTRING (10.433127310146803 61.131524817256015, 10.433052796585649 61.131562567491585, 10.43124323593446 61.13216064199029, 10.426517560602507 61.13414998725335, 10.426344437989373 61.134214952351044)"/>
    <s v="[264743, 264751, 264759, 264767]"/>
    <s v="[262745, 262751, 262757, 232834]"/>
    <s v="#FIELD!"/>
    <s v="[262744, 262745, 262751, 262757]"/>
    <s v="[0.003, 0.005, 0.003, 0.052]"/>
    <s v="488.75167556485803"/>
    <s v="[0.003, -0.005, 0.003, -0.052]"/>
  </r>
  <r>
    <x v="154"/>
    <x v="233"/>
    <x v="0"/>
    <n v="0"/>
    <m/>
    <n v="228200"/>
    <n v="232855"/>
    <s v="#FIELD!"/>
    <n v="232847"/>
    <s v="0.012"/>
    <s v="49.38523873597254"/>
    <s v="#FIELD!"/>
  </r>
  <r>
    <x v="154"/>
    <x v="234"/>
    <x v="0"/>
    <n v="0"/>
    <s v="LINESTRING (10.415216340628987 61.144554610651, 10.415255854973449 61.14462365229839, 10.414820380537883 61.14558462178347, 10.414732495102193 61.14592562491314, 10.415371434816283 61.146495815294095, 10.415456412833526 61.146512450394326)"/>
    <s v="[264775, 264783, 334018, 334026, 334034]"/>
    <s v="[262767, 262770, 323552, 323559, 323129]"/>
    <s v="#FIELD!"/>
    <s v="[232847, 262767, 262770, 323552, 323559]"/>
    <s v="[0.0, 0.006, 0.031, 0.013, 0.003]"/>
    <s v="236.73226787847878"/>
    <s v="[0.0, -0.006, -0.031, -0.013, -0.003]"/>
  </r>
  <r>
    <x v="155"/>
    <x v="235"/>
    <x v="0"/>
    <s v="[0, 1, 1, 0, 0]"/>
    <s v="LINESTRING (10.41499631199189 61.14498469214091, 10.414183777684032 61.14788817978455, 10.414243292606642 61.14810267207714, 10.414323677241976 61.14831722539272, 10.414575780980464 61.148777032528955, 10.41504165660494 61.14938386697658)"/>
    <s v="[228208, 228216, 228224, 228232, 228240]"/>
    <s v="[232864, 232871, 232877, 232884, 232890]"/>
    <s v="#FIELD!"/>
    <s v="[232855, 232864, 232871, 232877, 232884]"/>
    <s v="[0.018, 0.046, 0.046, 0.042, 0.034]"/>
    <s v="501.8698612999385"/>
    <s v="[-0.018, -0.046, -0.046, -0.042, -0.034]"/>
  </r>
  <r>
    <x v="155"/>
    <x v="236"/>
    <x v="0"/>
    <n v="0"/>
    <s v="LINESTRING (10.413294405427731 61.14841888097667, 10.41326439819455 61.14838184444314, 10.413200776011832 61.1482540048022, 10.41390011499256 61.147412848020096, 10.414892625305205 61.145061876232965, 10.41499631199189 61.14498469214091)"/>
    <s v="[333994, 334002, 334010, 264791, 264799]"/>
    <s v="[323533, 323540, 262775, 262776, 232855]"/>
    <s v="0.021908766974121287"/>
    <s v="[323325, 323533, 323540, 262775, 262776]"/>
    <s v="[0.054, 0.054, 0.058, 0.008, 0.039]"/>
    <s v="401.0286797471284"/>
    <s v="[0.054, 0.054, 0.058, 0.008, -0.039]"/>
  </r>
  <r>
    <x v="156"/>
    <x v="237"/>
    <x v="0"/>
    <n v="0"/>
    <m/>
    <n v="228248"/>
    <n v="232898"/>
    <s v="0.076"/>
    <n v="232890"/>
    <s v="0.076"/>
    <s v="223.54023735465316"/>
    <s v="0.076"/>
  </r>
  <r>
    <x v="156"/>
    <x v="238"/>
    <x v="0"/>
    <s v="[0, 0, 0, 0, 1, 0, 0]"/>
    <s v="LINESTRING (10.415270465429057 61.14683942320015, 10.415171974972024 61.14682690679176, 10.414305622048952 61.14712160604063, 10.414253613617143 61.147384687695286, 10.41429511831279 61.14786722906622, 10.414407231257943 61.148235257063895, 10.415004878923199 61.14926997070744, 10.41504165660494 61.14938386697658)"/>
    <s v="[333898, 333906, 333914, 264847, 264855, 264863, 264871]"/>
    <s v="[323460, 323468, 262818, 262819, 262824, 262829, 232890]"/>
    <s v="#FIELD!"/>
    <s v="[323217, 323460, 323468, 262818, 262819, 262824, 262829]"/>
    <s v="[0.003, 0.006, 0.003, 0.042, 0.045, 0.049, 0.035]"/>
    <s v="328.44836585416556"/>
    <s v="[0.003, 0.006, -0.003, -0.042, -0.045, -0.049, -0.035]"/>
  </r>
  <r>
    <x v="157"/>
    <x v="239"/>
    <x v="11"/>
    <s v="[1, 0, 0, 1, 0, 0, 0, 0, 0]"/>
    <s v="LINESTRING (10.416259846213336 61.15129195001145, 10.416277132095876 61.151435527051724, 10.409779196270787 61.15764959422972, 10.40920276667598 61.16163181558096, 10.409207880705218 61.16167327691708, 10.40862093904915 61.16487680170777, 10.419063444452796 61.18302350372837, 10.41607858780277 61.18857554947685, 10.416001591533174 61.18874613656719, 10.415799106721497 61.1891940060786)"/>
    <s v="[228256, 228264, 228272, 228280, 228288, 228296, 228304, 228312, 228320]"/>
    <s v="[232906, 232915, 232923, 232929, 232935, 232941, 232950, 232957, 232965]"/>
    <s v="0.0011020264282284563"/>
    <s v="[232898, 232906, 232915, 232923, 232929, 232935, 232941, 232950, 232957]"/>
    <s v="[0.094, 0.045, 0.013, 0.074, 0.009, 0.003, 0.064, 0.013, 0.004]"/>
    <s v="4479.4436439632855"/>
    <s v="[0.094, 0.045, 0.013, 0.074, -0.009, 0.003, -0.064, -0.013, -0.004]"/>
  </r>
  <r>
    <x v="157"/>
    <x v="240"/>
    <x v="0"/>
    <n v="0"/>
    <s v="LINESTRING (10.416259846213336 61.15129195001145, 10.416199616473168 61.151228752917696, 10.41427208081112 61.14899477817441, 10.41386004809027 61.14866615461767, 10.413772277755676 61.148628245000566, 10.413721982876602 61.14860723791926)"/>
    <s v="[264879, 264887, 334202, 334210, 334218]"/>
    <s v="[262841, 262845, 323683, 323691, 323275]"/>
    <s v="#FIELD!"/>
    <s v="[232898, 262841, 262845, 323683, 323691]"/>
    <s v="[0.779, 0.033, 0.015, 0.031, 0.027]"/>
    <s v="332.0388370075242"/>
    <s v="[-0.779, -0.033, 0.015, 0.031, 0.027]"/>
  </r>
  <r>
    <x v="158"/>
    <x v="241"/>
    <x v="0"/>
    <n v="0"/>
    <s v="LINESTRING (10.415799106721497 61.1891940060786, 10.415151121900557 61.19065654864848, 10.415030576480875 61.190926021443616)"/>
    <s v="[228328, 228336]"/>
    <s v="[232972, 232977]"/>
    <s v="0.019801502893975503"/>
    <s v="[232965, 232972]"/>
    <s v="[0.017, 0.035]"/>
    <s v="197.4468613583749"/>
    <s v="[0.017, 0.035]"/>
  </r>
  <r>
    <x v="158"/>
    <x v="242"/>
    <x v="0"/>
    <n v="0"/>
    <s v="LINESTRING (10.415799106721497 61.1891940060786, 10.415796186496083 61.189301752232815, 10.415350757992353 61.19234879600529, 10.41532890624621 61.19253088460778, 10.415319994385074 61.192575457938936, 10.415309747677433 61.19264327812038)"/>
    <s v="[264895, 264903, 2157030, 2157038, 2157046]"/>
    <s v="[262852, 262857, 1848116, 1848119, 281271]"/>
    <s v="0.012839765768524835"/>
    <s v="[232965, 262852, 262857, 1848116, 1848119]"/>
    <s v="[0.327, 0.01, 0.376, 0.012, 0.687]"/>
    <s v="387.83082485562454"/>
    <s v="[0.327, 0.01, -0.376, 0.012, 0.687]"/>
  </r>
  <r>
    <x v="159"/>
    <x v="243"/>
    <x v="0"/>
    <s v="[0, 1, 0]"/>
    <s v="LINESTRING (10.415030576480875 61.190926021443616, 10.414433075560455 61.192296134428005, 10.414346994162663 61.19270172632166, 10.414739027514198 61.19524465573373)"/>
    <s v="[1690873, 1690881, 1690889]"/>
    <s v="[1513638, 1513645, 1513650]"/>
    <s v="#FIELD!"/>
    <s v="[232977, 1513638, 1513645]"/>
    <s v="[0.015, 0.019, 0.016]"/>
    <s v="486.92622971516585"/>
    <s v="[-0.015, -0.019, -0.016]"/>
  </r>
  <r>
    <x v="159"/>
    <x v="244"/>
    <x v="0"/>
    <s v="[0, 1, 0, 0]"/>
    <s v="LINESTRING (10.415030576480875 61.190926021443616, 10.414518986653658 61.19230412946309, 10.414433759950777 61.19268376930544, 10.414836841495017 61.195235337643055, 10.415194224498354 61.195854302178574)"/>
    <s v="[1690985, 1690993, 1691001, 1691009]"/>
    <s v="[1513707, 1513713, 1513719, 1513725]"/>
    <s v="#FIELD!"/>
    <s v="[232977, 1513707, 1513713, 1513719]"/>
    <s v="[0.011, 0.021, 0.016, 0.012]"/>
    <s v="556.8264483479256"/>
    <s v="[-0.011, -0.021, -0.016, -0.012]"/>
  </r>
  <r>
    <x v="159"/>
    <x v="245"/>
    <x v="0"/>
    <s v="[0, 0, 1, 0, 0]"/>
    <s v="LINESTRING (10.413651373730007 61.192348712506636, 10.413589882221997 61.192387095431165, 10.414292663942293 61.19270500957065, 10.414379510263197 61.19230056777787, 10.414943963476547 61.19103459836628, 10.415030576480875 61.190926021443616)"/>
    <s v="[264935, 264943, 264951, 264959, 264967]"/>
    <s v="[262879, 262885, 262888, 262891, 232977]"/>
    <s v="0.01802494505444317"/>
    <s v="[262878, 262879, 262885, 262888, 262891]"/>
    <s v="[0.034, 0.02, 0.021, 0.02, 0.02]"/>
    <s v="387.5804053935247"/>
    <s v="[-0.034, 0.02, 0.021, 0.02, -0.02]"/>
  </r>
  <r>
    <x v="160"/>
    <x v="246"/>
    <x v="12"/>
    <s v="[1, 0, 0, 1, 0, 0, 0, 0, 0, 0, 0, 0, 0, 0, 0, 0, 0, 0, 0, 0, 0, 0, 0, 0, 0, 0, 0, 0, 1, 0, 0, 0, 0, 0, 0, 0, 0, 0, 0, 0, 0, 0, 0, 0, 0, 0, 0, 0, 0, 0, 0, 0, 0, 0, 0, 0, 0, 0, 0, 0, 0, 0, 0, 0, 0, 0, 0, 0, 0, 0, 0, 0, 0, 0, 0, 0, 0, 0, 0]"/>
    <s v="LINESTRING (10.301899297244196 61.311698251737646, 10.301871439843778 61.31175241826001, 10.301567403344821 61.31224329394932, 10.29765682811812 61.315284038756054, 10.297403794373475 61.31542923535339, 10.296792657202094 61.31578052167484, 10.289871260272758 61.3213032618759, 10.289554651993775 61.32188138894635, 10.289541916744698 61.32191355834067, 10.289487561811038 61.32205721805277, 10.289374220914059 61.322434657323946, 10.289364831445592 61.3224784191833, 10.289352732171452 61.32253907636806, 10.289338444462823 61.32260171711611, 10.28912928438653 61.325061243219054, 10.28759408465147 61.32839253555918, 10.286066380221747 61.331334138040255, 10.285919062899646 61.33179223062893, 10.28617096846874 61.333328398263056, 10.28833454355278 61.335564645273315, 10.288375264934206 61.343625045636514, 10.287574965742872 61.3447040331396, 10.28751358010141 61.3448380681804, 10.286726563727452 61.35000020884922, 10.286738029441254 61.35020454409286, 10.287144212657527 61.357871074137336, 10.287224539649749 61.35811512569102, 10.287227608645255 61.358123974362755, 10.287594575901709 61.35917707145811, 10.28761019664537 61.35922384261506, 10.287791187354001 61.36258413224278, 10.287362435664056 61.36445425560311, 10.286232217168259 61.36661591680008, 10.285536076968778 61.36718479295912, 10.282742948375358 61.3695366882892, 10.278200553177541 61.37536826940042, 10.277805762633466 61.37563548833451, 10.27556299058495 61.37696633121113, 10.274130779774914 61.3777949437787, 10.260008283102193 61.385698304572585, 10.259868818406382 61.38573025698838, 10.25882192595238 61.385970439696756, 10.258621167490784 61.386013336736895, 10.257650659487485 61.38620923830051, 10.257518004286108 61.38623298981233, 10.256632191893075 61.386377347701824, 10.256554783590854 61.386388467085716, 10.256410823729958 61.38640712765501, 10.256217830910195 61.38643218748085, 10.254781576289925 61.3865889224948, 10.253333816961087 61.38668281217603, 10.251663222195061 61.38675643624738, 10.240521191445886 61.38929659886508, 10.236694977596953 61.392553128075626, 10.236669934983503 61.392623969650096, 10.23392245759301 61.39626062524526, 10.233804107362475 61.39635306063445, 10.2327752042327 61.39714160027675, 10.232735453766018 61.39717207146775, 10.232667233373075 61.39722400184301, 10.232607799434286 61.39726912619354, 10.225883267824612 61.40401985019247, 10.225926711414909 61.40639391577711, 10.226673524248856 61.41054376673166, 10.225726118875055 61.4120943692958, 10.224819918289468 61.41320101720319, 10.223957787263686 61.4212620023923, 10.223924999262826 61.4213471413377, 10.22354140554054 61.42213455610772, 10.223374441173407 61.42240978605421, 10.223358996046045 61.42243413935972, 10.223332968637374 61.42247450829385, 10.223290631998722 61.422540090584384, 10.210797158028553 61.42889104945544, 10.210688282533079 61.428931635633106, 10.200423639905924 61.441880194392546, 10.200543719679148 61.442841141413254, 10.20054185658204 61.44288482478811, 10.200539365684852 61.44294160894485, 10.192088330034643 61.44931588413995)"/>
    <s v="[228409, 228417, 228426, 228434, 228442, 228450, 228458, 228466, 228474, 228482, 228490, 228498, 228506, 228514, 228523, 228531, 228539, 228547, 228556, 228564, 228572, 228580, 228588, 228596, 228604, 228612, 228620, 228629, 228637, 228645, 228654, 228662, 228670, 228678, 228686, 228694, 262663, 262671, 262679, 262687, 262695, 262703, 262711, 262719, 262727, 262735, 262743, 262751, 262759, 262767, 262775, 262783, 262791, 262799, 262807, 262815, 262823, 262831, 262839, 262847, 262855, 262863, 262871, 262879, 262887, 262895, 262903, 262911, 262919, 262927, 262935, 262943, 262951, 262959, 262967, 262975, 262983, 262990, 228702]"/>
    <s v="[233043, 233050, 233060, 233070, 233078, 233084, 233091, 233100, 233107, 233114, 233120, 233127, 233133, 233139, 145402, 159094, 233160, 145439, 145448, 146896, 146855, 146885, 233194, 233199, 114098, 233211, 233217, 233225, 233232, 146773, 233243, 233251, 154825, 233265, 233273, 233281, 260907, 260912, 260921, 260927, 260935, 260941, 260949, 260957, 260964, 260970, 260978, 260985, 260995, 261002, 261009, 261015, 261021, 261029, 261034, 261039, 261045, 261052, 261059, 261067, 261074, 261080, 140302, 151437, 154935, 261099, 261105, 261111, 261119, 248109, 261132, 261138, 261145, 261153, 261160, 261167, 112263, 233288, 233289]"/>
    <s v="#FIELD!"/>
    <s v="[233042, 233043, 233050, 233060, 233070, 233078, 233084, 233091, 233100, 233107, 233114, 233120, 233127, 233133, 233139, 145402, 159094, 233160, 145439, 145448, 146896, 146855, 146885, 233194, 233199, 114098, 233211, 233217, 233225, 233232, 146773, 233243, 233251, 154825, 233265, 233273, 233281, 260907, 260912, 260921, 260927, 260935, 260941, 260949, 260957, 260964, 260970, 260978, 260985, 260995, 261002, 261009, 261015, 261021, 261029, 261034, 261039, 261045, 261052, 261059, 261067, 261074, 261080, 140302, 151437, 154935, 261099, 261105, 261111, 261119, 248109, 261132, 261138, 261145, 261153, 261160, 261167, 112263, 233288]"/>
    <s v="[0.015, 0.007, 0.009, 0.014, 0.009, 0.004, 0.004, 0.006, 0.006, 0.004, 0.008, 0.008, 0.008, 0.024, 0.008, 0.017, 0.015, 0.021, 0.04, 0.003, 0.004, 0.007, 0.005, 0.0, 0.006, 0.002, 0.091, 0.006, 0.023, 0.013, 0.02, 0.02, 0.027, 0.002, 0.018, 0.036, 0.048, 0.084, 0.005, 0.074, 0.085, 0.107, 0.068, 0.059, 0.055, 0.091, 0.075, 0.093, 0.065, 0.02, 0.005, 0.006, 0.009, 0.046, 0.013, 0.009, 0.014, 0.005, 0.001, 0.01, 0.005, 0.0, 0.009, 0.039, 0.017, 0.005, 0.02, 0.027, 0.03, 0.027, 0.016, 0.028, 0.004, 0.016, 0.009, 0.01, 0.022, 0.001, 0.011]"/>
    <s v="17743.38051474207"/>
    <s v="[-0.015, 0.007, -0.009, -0.014, -0.009, 0.004, 0.004, 0.006, 0.006, 0.004, 0.008, 0.008, 0.008, 0.024, 0.008, -0.017, -0.015, 0.021, 0.04, -0.003, -0.004, 0.007, 0.005, 0.0, -0.006, -0.002, 0.091, 0.006, 0.023, 0.013, 0.02, -0.02, -0.027, -0.002, 0.018, 0.036, 0.048, -0.084, 0.005, -0.074, -0.085, -0.107, -0.068, -0.059, -0.055, -0.091, -0.075, -0.093, -0.065, -0.02, -0.005, 0.006, -0.009, -0.046, -0.013, -0.009, 0.014, 0.005, 0.001, 0.01, 0.005, 0.0, 0.009, -0.039, -0.017, 0.005, 0.02, 0.027, 0.03, 0.027, 0.016, 0.028, 0.004, 0.016, -0.009, -0.01, -0.022, -0.001, -0.011]"/>
  </r>
  <r>
    <x v="160"/>
    <x v="247"/>
    <x v="0"/>
    <n v="0"/>
    <m/>
    <n v="303651"/>
    <n v="233042"/>
    <s v="#FIELD!"/>
    <n v="287096"/>
    <s v="0.019"/>
    <s v="36.90654055635099"/>
    <s v="#FIELD!"/>
  </r>
  <r>
    <x v="160"/>
    <x v="248"/>
    <x v="0"/>
    <n v="0"/>
    <s v="LINESTRING (10.302260596314772 61.31047467331155, 10.301993560294523 61.311379990013826, 10.301899297244196 61.311698251737646)"/>
    <s v="[303682, 303686]"/>
    <s v="[295457, 233042]"/>
    <s v="#FIELD!"/>
    <s v="[287253, 295457]"/>
    <s v="[0.084, 0.283]"/>
    <s v="138.00776701300933"/>
    <s v="[0.084, -0.283]"/>
  </r>
  <r>
    <x v="161"/>
    <x v="108"/>
    <x v="0"/>
    <n v="0"/>
    <m/>
    <n v="228710"/>
    <n v="233298"/>
    <s v="0.009"/>
    <n v="233289"/>
    <s v="0.009"/>
    <s v="113.04874569382692"/>
    <s v="0.009"/>
  </r>
  <r>
    <x v="161"/>
    <x v="249"/>
    <x v="0"/>
    <n v="0"/>
    <s v="LINESTRING (10.18702209953728 61.451618490945286, 10.187126480534024 61.45159969970092, 10.191033453428291 61.450053273806994, 10.19192784034268 61.449408518529935, 10.192088330034643 61.44931588413995)"/>
    <s v="[265071, 265079, 265087, 265095]"/>
    <s v="[262963, 262967, 262970, 233289]"/>
    <s v="#FIELD!"/>
    <s v="[262962, 262963, 262967, 262970]"/>
    <s v="[0.004, 0.001, 0.013, 0.017]"/>
    <s v="381.42694175319673"/>
    <s v="[0.004, 0.001, -0.013, -0.017]"/>
  </r>
  <r>
    <x v="162"/>
    <x v="250"/>
    <x v="0"/>
    <s v="[0, 1, 0]"/>
    <s v="LINESTRING (10.1909491883929 61.450170640120156, 10.185051960356432 61.45302901540283, 10.184384756982604 61.4533505883773, 10.183249923258442 61.454023444411995)"/>
    <s v="[228718, 228726, 228734]"/>
    <s v="[233305, 233314, 233322]"/>
    <s v="#FIELD!"/>
    <s v="[233298, 233305, 233314]"/>
    <s v="[0.001, 0.005, 0.003]"/>
    <s v="595.760749031258"/>
    <s v="[-0.001, -0.005, 0.003]"/>
  </r>
  <r>
    <x v="163"/>
    <x v="109"/>
    <x v="0"/>
    <n v="0"/>
    <m/>
    <n v="228742"/>
    <n v="233331"/>
    <s v="#FIELD!"/>
    <n v="233322"/>
    <s v="0.003"/>
    <s v="70.15477958926829"/>
    <s v="#FIELD!"/>
  </r>
  <r>
    <x v="163"/>
    <x v="251"/>
    <x v="0"/>
    <s v="[0, 0, 0, 1, 0, 0]"/>
    <s v="LINESTRING (10.183249923258442 61.454023444411995, 10.183323876823346 61.45395113934297, 10.183522398428952 61.45378547587839, 10.184323761539877 61.45333085249932, 10.185026057313234 61.452969858084266, 10.18668046647644 61.45181057314108, 10.186739157610187 61.45177127595979)"/>
    <s v="[265023, 265031, 265039, 265047, 265055, 265063]"/>
    <s v="[262931, 262934, 262939, 262944, 262950, 262957]"/>
    <s v="0.0007461071105076713"/>
    <s v="[233322, 262931, 262934, 262939, 262944, 262950]"/>
    <s v="[0.031, 0.005, 0.004, 0.005, 0.001, 0.003]"/>
    <s v="313.6456635658373"/>
    <s v="[0.031, 0.005, 0.004, -0.005, -0.001, 0.003]"/>
  </r>
  <r>
    <x v="164"/>
    <x v="252"/>
    <x v="0"/>
    <n v="0"/>
    <s v="LINESTRING (10.182585739014028 61.45456603301375, 10.181666235289008 61.45615346085008, 10.182004008031075 61.45787775195564, 10.184129699170576 61.46150906805575)"/>
    <s v="[228750, 228758, 228766]"/>
    <s v="[233338, 233345, 233352]"/>
    <s v="0.006452039748421164"/>
    <s v="[233331, 233338, 233345]"/>
    <s v="[0.002, 0.003, 0.01]"/>
    <s v="799.0047556694645"/>
    <s v="[0.002, 0.003, 0.01]"/>
  </r>
  <r>
    <x v="165"/>
    <x v="253"/>
    <x v="0"/>
    <n v="0"/>
    <s v="LINESTRING (10.184129699170576 61.46150906805575, 10.184213754013747 61.461581078306665, 10.184260374239368 61.46165860768511, 10.184436356290778 61.46195129944913, 10.184862270100004 61.46265576241368, 10.184876944990872 61.462682060512954, 10.184898482136873 61.46271771310582, 10.184904496078751 61.46272683968318, 10.184936710864783 61.4627757415951, 10.184945273307262 61.46279111969819, 10.185522415293075 61.463793618146454, 10.185752266584919 61.464173321383555, 10.185819351946227 61.46428741789944, 10.186554652433772 61.46557384617026)"/>
    <s v="[2066572, 2066580, 2066588, 335764, 335772, 335780, 335788, 335796, 335804, 335812, 335820, 1851437, 1851448]"/>
    <s v="[1795281, 1795283, 325085, 325086, 325095, 325104, 325112, 290900, 325128, 325135, 325142, 1621082, 233359]"/>
    <s v="0.047971746833755"/>
    <s v="[233352, 1795281, 1795283, 325085, 325086, 325095, 325104, 325112, 290900, 325128, 325135, 325142, 1621082]"/>
    <s v="[0.144, 0.009, 0.063, 0.04, 0.058, 0.048, 0.009, 0.066, 0.052, 0.048, 0.054, 0.033, 0.062]"/>
    <s v="471.59542979846117"/>
    <s v="[-0.144, 0.009, 0.063, 0.04, 0.058, 0.048, 0.009, 0.066, 0.052, 0.048, 0.054, 0.033, 0.062]"/>
  </r>
  <r>
    <x v="165"/>
    <x v="253"/>
    <x v="0"/>
    <n v="0"/>
    <s v="LINESTRING (10.184129699170576 61.46150906805575, 10.184158951143692 61.46166715857593, 10.18430453105178 61.46196255158929, 10.184696334293662 61.4626860180352, 10.18471163440896 61.46271277003459, 10.184735491024577 61.46274776723263, 10.184741587371171 61.46275721154666, 10.18477419756439 61.462807809491494, 10.184783197581 61.46282327505732, 10.18538084732333 61.46383293148657, 10.185423879001933 61.463898208557154, 10.185629915717993 61.46418719505394, 10.186554652433772 61.46557384617026)"/>
    <s v="[2066596, 2066604, 247797, 247805, 247813, 247821, 247829, 247837, 247845, 247853, 247861, 1851429]"/>
    <s v="[1795290, 248909, 248910, 248917, 248922, 248930, 248938, 248944, 248952, 248958, 248963, 233359]"/>
    <s v="0.04797387867461164"/>
    <s v="[233352, 1795290, 248909, 248910, 248917, 248922, 248930, 248938, 248944, 248952, 248958, 248963]"/>
    <s v="[0.072, 0.042, 0.033, 0.029, 0.065, 0.005, 0.047, 0.05, 0.048, 0.052, 0.063, 0.067]"/>
    <s v="472.01502885772703"/>
    <s v="[-0.072, 0.042, 0.033, 0.029, 0.065, 0.005, 0.047, 0.05, 0.048, 0.052, 0.063, 0.067]"/>
  </r>
  <r>
    <x v="166"/>
    <x v="254"/>
    <x v="0"/>
    <n v="0"/>
    <s v="LINESTRING (10.186554652433772 61.46557384617026, 10.187121956327264 61.4664929940355, 10.18712724363182 61.466501600062415, 10.187448488137962 61.46703440108006, 10.187453621876278 61.46704302863916, 10.187909089500288 61.46813448088564, 10.188074470288816 61.47286721642317, 10.189010679337022 61.473943026479596, 10.189785028603573 61.475734152569665, 10.18875223277602 61.47812363804876, 10.185671915323386 61.480025307416454, 10.183747232675895 61.48092072716705, 10.175326995496505 61.494921932235634, 10.175318743691138 61.494929995707786, 10.174808396370846 61.49540960217295, 10.174800436807836 61.49541772095516, 10.17425929391578 61.49631262318331, 10.174002848969602 61.497140697674865, 10.173658175184121 61.49777169146953, 10.17360902302449 61.49784074530129, 10.173088226179106 61.49841490615039, 10.173048500560025 61.49845257000382, 10.172989633879434 61.49850817390996, 10.169837806861644 61.50178435861558, 10.169810403593548 61.50183787589891, 10.169783787768171 61.501889838060194, 10.168487035267612 61.503798196426054, 10.166505837345621 61.51112956080139, 10.16383781648519 61.51599695892427, 10.163793175425678 61.51604903572313, 10.163778906796523 61.51606569080877, 10.163761617949863 61.51608589946195, 10.163511734106699 61.51639690228693, 10.16286681478037 61.51736183702975, 10.159823786485429 61.52075255095144, 10.158221626126746 61.521970237250216, 10.15771470264167 61.522280034487, 10.157703218310056 61.52228712772437, 10.15712786097579 61.52265389088336, 10.156882530420255 61.5228148607742, 10.156626994216309 61.522982555165555, 10.156516292395319 61.523055882710025, 10.156194438591898 61.52327533006762, 10.154832252157108 61.52426864403755, 10.152803852745313 61.525603693058535, 10.150710227782234 61.52663272881733, 10.149475055918169 61.5272534570636, 10.148349872682996 61.52784391341331, 10.148250956011514 61.527899809258834, 10.147423822542166 61.52837296147307)"/>
    <s v="[228774, 228782, 228790, 228799, 228808, 228817, 228825, 228833, 228841, 228849, 228857, 228865, 228873, 228881, 228889, 228898, 228906, 228914, 228922, 228930, 228938, 228946, 228954, 228962, 228970, 228978, 228986, 228994, 229002, 229010, 229018, 229026, 229034, 229042, 229050, 229059, 229068, 229076, 229084, 229092, 229100, 229108, 229116, 229132, 229140, 229148, 229156, 229164, 229172]"/>
    <s v="[233360, 233367, 233374, 233384, 145099, 233398, 233290, 145169, 145130, 233385, 233430, 233436, 233444, 233452, 233458, 233464, 233471, 233477, 233484, 233492, 151791, 233502, 233506, 141567, 233522, 233530, 142633, 233543, 233550, 233554, 233561, 233566, 233570, 233576, 144656, 233593, 233601, 233610, 233618, 233625, 233632, 144638, 144621, 144604, 111457, 233675, 141104, 233688, 233695]"/>
    <s v="#FIELD!"/>
    <s v="[233359, 233360, 233367, 233374, 233384, 145099, 233398, 233290, 145169, 145130, 233385, 233430, 233436, 233444, 233452, 233458, 233464, 233471, 233477, 233484, 233492, 151791, 233502, 233506, 141567, 233522, 233530, 142633, 233543, 233550, 233554, 233561, 233566, 233570, 233576, 144656, 233593, 233601, 233610, 233618, 233625, 233632, 144638, 144621, 144604, 111457, 233675, 141104, 233688]"/>
    <s v="[0.017, 0.085, 0.02, 0.071, 0.006, 0.02, 0.002, 0.003, 0.004, 0.005, 0.003, 0.006, 0.063, 0.078, 0.11, 0.062, 0.033, 0.064, 0.088, 0.055, 0.0, 0.001, 0.02, 0.037, 0.026, 0.001, 0.025, 0.018, 0.003, 0.079, 0.001, 0.021, 0.023, 0.057, 0.021, 0.067, 0.036, 0.101, 0.131, 0.015, 0.003, 0.008, 0.022, 0.023, 0.001, 0.021, 0.012, 0.023, 0.01]"/>
    <s v="7632.410994543951"/>
    <s v="[0.017, 0.085, 0.02, -0.071, -0.006, -0.02, -0.002, -0.003, 0.004, 0.005, 0.003, 0.006, -0.063, -0.078, -0.11, -0.062, -0.033, -0.064, -0.088, -0.055, 0.0, -0.001, 0.02, 0.037, 0.026, 0.001, 0.025, 0.018, 0.003, 0.079, 0.001, 0.021, 0.023, -0.057, 0.021, -0.067, -0.036, -0.101, -0.131, -0.015, -0.003, -0.008, 0.022, -0.023, 0.001, 0.021, -0.012, 0.023, 0.01]"/>
  </r>
  <r>
    <x v="167"/>
    <x v="255"/>
    <x v="0"/>
    <n v="0"/>
    <s v="LINESTRING (10.147423822542166 61.52837296147307, 10.147273614340564 61.52842143428925, 10.14721825600884 61.52849018808257)"/>
    <s v="[247869, 247877]"/>
    <s v="[248969, 233704]"/>
    <s v="0.002267094129443774"/>
    <s v="[233695, 248969]"/>
    <s v="[0.019, 0.027]"/>
    <s v="18.67598522748508"/>
    <s v="[-0.019, 0.027]"/>
  </r>
  <r>
    <x v="167"/>
    <x v="255"/>
    <x v="0"/>
    <n v="0"/>
    <s v="LINESTRING (10.147423822542166 61.52837296147307, 10.14733695054666 61.528451934899124, 10.14721825600884 61.52849018808257)"/>
    <s v="[335828, 335836]"/>
    <s v="[325148, 233704]"/>
    <s v="0.0017583016726886566"/>
    <s v="[233695, 325148]"/>
    <s v="[0.02, 0.022]"/>
    <s v="18.061448040113962"/>
    <s v="[0.02, -0.022]"/>
  </r>
  <r>
    <x v="168"/>
    <x v="256"/>
    <x v="0"/>
    <n v="0"/>
    <s v="LINESTRING (10.14721825600884 61.52849018808257, 10.146906199549973 61.52865651828204, 10.146211019372737 61.528955521799034)"/>
    <s v="[229180, 229188]"/>
    <s v="[233705, 233709]"/>
    <s v="#FIELD!"/>
    <s v="[233704, 233705]"/>
    <s v="[0.007, 0.021]"/>
    <s v="74.79970329270758"/>
    <s v="[-0.007, -0.021]"/>
  </r>
  <r>
    <x v="169"/>
    <x v="257"/>
    <x v="0"/>
    <n v="0"/>
    <s v="LINESTRING (10.146211019372737 61.528955521799034, 10.146010095055697 61.52899251633968, 10.145927935406068 61.529044087759836)"/>
    <s v="[247885, 247893]"/>
    <s v="[248981, 233717]"/>
    <s v="#FIELD!"/>
    <s v="[233709, 248981]"/>
    <s v="0.038"/>
    <s v="18.97288257102906"/>
    <s v="[-0.038, 0.038]"/>
  </r>
  <r>
    <x v="169"/>
    <x v="257"/>
    <x v="0"/>
    <n v="0"/>
    <s v="LINESTRING (10.146211019372737 61.528955521799034, 10.146068373623711 61.52902548176202, 10.145927935406068 61.529044087759836)"/>
    <s v="[335844, 335852]"/>
    <s v="[325159, 233717]"/>
    <s v="#FIELD!"/>
    <s v="[233709, 325159]"/>
    <s v="[0.026, 0.059]"/>
    <s v="18.90436527333732"/>
    <s v="[0.026, -0.059]"/>
  </r>
  <r>
    <x v="170"/>
    <x v="258"/>
    <x v="0"/>
    <n v="0"/>
    <s v="LINESTRING (10.145927935406068 61.529044087759836, 10.14565499504246 61.52911608643467, 10.144848185628554 61.52926245568223)"/>
    <s v="[229196, 229204]"/>
    <s v="[219900, 233723]"/>
    <s v="0.012298598561001938"/>
    <s v="[233717, 219900]"/>
    <s v="[0.027, 0.007]"/>
    <s v="62.64983395090864"/>
    <s v="[0.027, 0.007]"/>
  </r>
  <r>
    <x v="171"/>
    <x v="259"/>
    <x v="0"/>
    <n v="0"/>
    <s v="LINESTRING (10.144848185628554 61.52926245568223, 10.144686851434171 61.529258179169354, 10.144677795731173 61.5292592235395, 10.144519184806024 61.52929860598958)"/>
    <s v="[247901, 247909, 247917]"/>
    <s v="[248991, 248996, 233728]"/>
    <s v="#FIELD!"/>
    <s v="[233723, 248991, 248996]"/>
    <s v="[0.029, 0.032, 0.008]"/>
    <s v="19.224280246351547"/>
    <s v="[-0.029, -0.032, 0.008]"/>
  </r>
  <r>
    <x v="171"/>
    <x v="259"/>
    <x v="0"/>
    <n v="0"/>
    <s v="LINESTRING (10.144848185628554 61.52926245568223, 10.144709236408392 61.529304895938814, 10.144699984396869 61.5293058703482, 10.144519184806024 61.52929860598958)"/>
    <s v="[335860, 335868, 335876]"/>
    <s v="[325171, 325179, 233728]"/>
    <s v="#FIELD!"/>
    <s v="[233723, 325171, 325179]"/>
    <s v="[0.014, 0.143, 0.039]"/>
    <s v="19.82163649503621"/>
    <s v="[0.014, 0.143, -0.039]"/>
  </r>
  <r>
    <x v="172"/>
    <x v="260"/>
    <x v="13"/>
    <s v="[0, 1, 0, 0, 0, 0, 0, 0, 0, 0, 0, 0, 0, 0, 0, 0, 0, 0, 0, 0, 0, 0, 0, 0, 0, 0, 0, 0, 0, 0, 0, 0, 0, 0, 0, 0, 0, 0, 0, 0, 0, 0, 0, 0, 0, 0, 0, 0, 0, 0, 0, 0, 0, 0, 0, 0, 0, 0, 0, 0, 1, 1, 0, 0, 0, 0, 0, 0, 0, 0, 0, 0, 0, 0, 0, 0]"/>
    <s v="LINESTRING (10.144519184806024 61.52929860598958, 10.1439477861143 61.5293422494186, 10.143082000461668 61.52938621291149, 10.142851382416913 61.52939837055271, 10.14213528540511 61.52943119700402, 10.141804016236577 61.52944665270501, 10.141163318864319 61.529477882196936, 10.140700602487483 61.52950079760696, 10.140315691330496 61.52951939985974, 10.140202695983188 61.5295252531459, 10.140140680766782 61.52952846408956, 10.140014218275159 61.52953622029585, 10.139362981749048 61.529581547081854, 10.139004608006088 61.52961414438636, 10.138933587165686 61.52962132391496, 10.13886351654201 61.5296283304417, 10.13875735690537 61.52963877107202, 10.137643625351823 61.52976434750327, 10.137498810000556 61.52978064794933, 10.137366166232798 61.529796942079415, 10.137019619041334 61.52983843873376, 10.136128718455401 61.52990675549033, 10.135725309564723 61.529910247484956, 10.135621027102438 61.52990857364677, 10.135527721183585 61.52990706691924, 10.135424334594443 61.529904966187964, 10.135097367494046 61.52989831499675, 10.135041107768737 61.529897249771466, 10.12916512993627 61.53051717731029, 10.128063113070588 61.53080962000797, 10.125392899836978 61.531524548865406, 10.115349642683157 61.53376711701832, 10.114750274356657 61.533882956658566, 10.11118467333436 61.5347474193123, 10.104416216002411 61.536400776485735, 10.098003584067383 61.53731549582824, 10.094250107744944 61.53822650350127, 10.092253500918051 61.53884498108578, 10.091641879019209 61.53905527182555, 10.09156326421366 61.53908247405295, 10.090402339796144 61.53948898509334, 10.090392362708121 61.53949248444615, 10.090289007643687 61.53952868904004, 10.084852850057876 61.54198417874955, 10.083069062159822 61.54294023074117, 10.075847613527687 61.546114527557336, 10.067479664745404 61.54857879580333, 10.064494827187222 61.54948539100706, 10.064385469936795 61.54952288033206, 10.063712384773655 61.54976384231901, 10.063669989783687 61.549779793405015, 10.063599318873827 61.54980637806522, 10.063547766113073 61.54982561347416, 10.063485848568703 61.549848728158985, 10.061930801892972 61.550418584174835, 10.061879847991202 61.550435465909494, 10.061802819061484 61.550460991687295, 10.061694896530051 61.55049676791328, 10.061045941365792 61.550686328767505, 10.060925952166292 61.55071877945766, 10.05683643539209 61.55130125101946, 10.056446090374717 61.55131201477634, 10.0558867659578 61.55131878649431, 10.0477004070919 61.549466164553515, 10.047563255271799 61.54940979634739, 10.045728744639934 61.54875147621058, 10.045271406199914 61.54862188670965, 10.045214165397354 61.548607624905806, 10.045120606014047 61.54858432397056, 10.044987214735162 61.54855108242229, 10.040837951415213 61.548001420615975, 10.040696720506979 61.54799602758004, 10.040501062750028 61.547991099833574, 10.035245993293644 61.548024104092356, 10.031547601844673 61.54805354230102, 10.029894200056093 61.548064828556996, 10.029677849858652 61.54806631786289)"/>
    <s v="[229212, 229220, 229228, 229236, 335884, 229244, 229252, 335892, 229260, 229264, 229274, 229281, 335900, 229289, 229306, 229312, 229320, 229328, 229329, 335908, 229336, 335916, 229349, 229357, 229365, 229366, 2137009, 2137017, 2137025, 229392, 229400, 229408, 229415, 229423, 229431, 229439, 229440, 229455, 229463, 229471, 229479, 229493, 229501, 229509, 229517, 229525, 229533, 229542, 229550, 229558, 229566, 229574, 229576, 229577, 229578, 229586, 229594, 229602, 229610, 229618, 229626, 229641, 229649, 229657, 229665, 229673, 229681, 229689, 229697, 229705, 229713, 229721, 229729, 229737, 1113027, 1113035]"/>
    <s v="[233729, 233734, 233742, 233748, 233755, 233756, 233762, 233768, 233769, 99939, 233779, 233783, 233790, 233791, 99906, 233805, 233814, 99858, 233821, 233824, 233825, 233837, 233838, 233844, 233850, 233851, 1836828, 1836831, 233866, 233867, 233872, 151341, 233882, 141795, 137362, 151315, 233899, 233909, 233915, 233921, 233927, 143465, 151287, 151277, 140920, 233960, 233966, 233973, 233980, 233987, 233995, 234001, 234003, 234004, 234005, 234009, 234014, 234020, 234025, 234029, 234036, 234047, 234055, 234061, 234066, 234072, 234079, 234084, 234091, 234095, 234101, 234105, 139057, 139070, 1052652, 1052664]"/>
    <s v="#FIELD!"/>
    <s v="[233728, 233729, 233734, 233742, 233748, 233755, 233756, 233762, 233768, 233769, 99939, 233779, 233783, 233790, 233791, 99906, 233805, 233814, 99858, 233821, 233824, 233825, 233837, 233838, 233844, 233850, 233851, 1836828, 1836831, 233866, 233867, 233872, 151341, 233882, 141795, 137362, 151315, 233899, 233909, 233915, 233921, 233927, 143465, 151287, 151277, 140920, 233960, 233966, 233973, 233980, 233987, 233995, 234001, 234003, 234004, 234005, 234009, 234014, 234020, 234025, 234029, 234036, 234047, 234055, 234061, 234066, 234072, 234079, 234084, 234091, 234095, 234101, 234105, 139057, 139070, 1052652]"/>
    <s v="[0.023, 0.028, 0.017, 0.017, 0.016, 0.019, 0.019, 0.015, 0.001, 0.003, 0.001, 0.001, 0.003, 0.008, 0.009, 0.006, 0.009, 0.053, 0.058, 0.057, 0.06, 0.048, 0.054, 0.05, 0.034, 0.05, 0.208, 0.033, 0.145, 0.032, 0.005, 0.027, 0.004, 0.007, 0.018, 0.021, 0.019, 0.037, 0.059, 0.042, 0.061, 0.029, 0.014, 0.025, 0.012, 0.002, 0.029, 0.017, 0.021, 0.01, 0.021, 0.026, 0.036, 0.038, 0.053, 0.07, 0.062, 0.074, 0.087, 0.015, 0.027, 0.025, 0.012, 0.011, 0.002, 0.008, 0.001, 0.018, 0.009, 0.018, 0.0, 0.004, 0.015, 0.027, 0.015, 0.006]"/>
    <s v="6978.019576615351"/>
    <s v="[-0.023, -0.028, -0.017, -0.017, -0.016, -0.019, -0.019, -0.015, 0.001, -0.003, 0.001, 0.001, 0.003, 0.008, 0.009, 0.006, 0.009, 0.053, 0.058, 0.057, 0.06, 0.048, 0.054, 0.05, 0.034, 0.05, 0.208, 0.033, -0.145, -0.032, 0.005, -0.027, 0.004, 0.007, -0.018, 0.021, -0.019, -0.037, -0.059, -0.042, -0.061, -0.029, 0.014, -0.025, 0.012, 0.002, 0.029, -0.017, -0.021, -0.01, -0.021, -0.026, -0.036, -0.038, -0.053, -0.07, -0.062, -0.074, -0.087, 0.015, 0.027, 0.025, -0.012, -0.011, -0.002, -0.008, 0.001, -0.018, -0.009, -0.018, -0.0, -0.004, -0.015, -0.027, -0.015, -0.006]"/>
  </r>
  <r>
    <x v="173"/>
    <x v="261"/>
    <x v="14"/>
    <n v="0"/>
    <s v="LINESTRING (9.549353529003419 61.68004884090561, 9.549157052391058 61.68044552493271, 9.548869893570254 61.681105423379265, 9.548714330214873 61.68148169136718, 9.54861651870123 61.68171024339468, 9.547874819075027 61.68666913921383, 9.547872784035672 61.68670045711321, 9.549370328054373 61.69127443617176, 9.549476330183882 61.69136868698338, 9.550322475181813 61.69204940470751, 9.553037921485148 61.699087234233815, 9.553532229507313 61.69966715229034, 9.55488143262046 61.7042064347695, 9.554878292789263 61.70424585303311, 9.554315610522012 61.70604020431438, 9.553548286520272 61.70741214770446, 9.553032455411701 61.70798605469412, 9.552393761192718 61.70857350274123, 9.552318680915883 61.708644458230744, 9.552003165426035 61.70896656069561, 9.548691279472754 61.712004762131535, 9.548211241143783 61.71227093384667, 9.548000903655046 61.71240208933594, 9.547224424300264 61.71304853947521, 9.544815902935369 61.71572816009495, 9.53989159884001 61.71774438149693, 9.538634585136988 61.72037386686631, 9.541774012153867 61.72446308741328, 9.54318283658774 61.72667455264559, 9.545301163171862 61.72816333382009, 9.54618235332127 61.728783181483266, 9.549183177892301 61.7306738902499, 9.55016139016189 61.73107150066228, 9.550175955500366 61.73107721086195, 9.551596175382905 61.73168115307949, 9.553270686873864 61.733266748713504, 9.554784628632106 61.7350437590692, 9.557410198102389 61.73685473308501, 9.559412179692035 61.7397405909251, 9.559067496917168 61.74158365441461, 9.558642606697227 61.74343189673133, 9.55832042363406 61.744445763036246, 9.556179608592698 61.74711366813641, 9.555694768289518 61.74749430483938)"/>
    <s v="[231545, 231553, 231561, 231569, 231577, 231586, 231594, 231602, 231610, 231618, 231626, 231634, 231642, 231650, 231658, 231666, 231674, 231682, 231690, 231698, 231706, 231714, 231723, 231732, 231740, 231748, 231756, 231764, 231772, 231780, 231788, 231796, 231804, 231812, 231820, 231828, 231836, 231844, 231852, 231860, 231868, 231876, 231884]"/>
    <s v="[235464, 235468, 235474, 235481, 141985, 235490, 235496, 235502, 235506, 144771, 235520, 144779, 235531, 235537, 143511, 235550, 235558, 207681, 235569, 144845, 235579, 235585, 235592, 235600, 235607, 235612, 235619, 235624, 141822, 235637, 235643, 235654, 235662, 221181, 140694, 235684, 144828, 144811, 142004, 235714, 133214, 144787, 235735]"/>
    <s v="#FIELD!"/>
    <s v="[235463, 235464, 235468, 235474, 235481, 141985, 235490, 235496, 235502, 235506, 144771, 235520, 144779, 235531, 235537, 143511, 235550, 235558, 207681, 235569, 144845, 235579, 235585, 235592, 235600, 235607, 235612, 235619, 235624, 141822, 235637, 235643, 235654, 235662, 221181, 140694, 235684, 144828, 144811, 142004, 235714, 133214, 144787]"/>
    <s v="[0.035, 0.022, 0.008, 0.004, 0.026, 0.063, 0.015, 0.034, 0.097, 0.01, 0.073, 0.004, 0.03, 0.013, 0.011, 0.022, 0.015, 0.017, 0.02, 0.014, 0.018, 0.02, 0.011, 0.006, 0.032, 0.026, 0.011, 0.003, 0.017, 0.012, 0.009, 0.008, 0.035, 0.022, 0.007, 0.037, 0.039, 0.006, 0.044, 0.018, 0.001, 0.015, 0.003]"/>
    <s v="8199.397363467617"/>
    <s v="[0.035, 0.022, 0.008, 0.004, -0.026, -0.063, -0.015, 0.034, 0.097, -0.01, 0.073, -0.004, -0.03, -0.013, -0.011, -0.022, -0.015, 0.017, 0.02, 0.014, -0.018, -0.02, -0.011, 0.006, -0.032, -0.026, 0.011, -0.003, 0.017, 0.012, 0.009, 0.008, 0.035, 0.022, -0.007, -0.037, 0.039, 0.006, -0.044, -0.018, -0.001, 0.015, 0.003]"/>
  </r>
  <r>
    <x v="173"/>
    <x v="262"/>
    <x v="0"/>
    <n v="0"/>
    <s v="LINESTRING (9.551402767026802 61.67792939234088, 9.551402767026802 61.67792939234088, 9.550730249689051 61.678403513640234, 9.550168370288318 61.67887138285176, 9.550101502598304 61.67892928078772, 9.55005542789418 61.678969199604566, 9.550008913715121 61.679009460849635, 9.549979439812882 61.679035508002514, 9.549492658858767 61.67971540211413, 9.549470871869655 61.6797564610644, 9.549353529003419 61.68004884090561)"/>
    <s v="[338948, 338956, 338964, 351741, 351751, 351759, 351767, 247965, 247973, 247981]"/>
    <s v="[328069, 328076, 328080, 339802, 339810, 339820, 249032, 249033, 249038, 235463]"/>
    <s v="#FIELD!"/>
    <s v="[328068, 328069, 328076, 328080, 339802, 339810, 339820, 249032, 249033, 249038]"/>
    <s v="[0.0, 0.016, 0.033, 0.049, 0.036, 0.059, 1.871, 0.006, 0.013, 0.134]"/>
    <s v="270.8381881469211"/>
    <s v="[0.0, -0.016, -0.033, -0.049, -0.036, -0.059, 1.871, 0.006, 0.013, -0.134]"/>
  </r>
  <r>
    <x v="173"/>
    <x v="263"/>
    <x v="0"/>
    <s v="[0, 0, 0, 0, 1, 0, 0, 0, 0, 0, 0, 0, 0, 0, 0, 0, 0, 0, 0, 0, 0, 0, 0, 0, 0, 0, 0, 0, 0, 0, 0, 0]"/>
    <s v="LINESTRING (9.667094635483403 61.66318500966399, 9.666001290451648 61.66328569314216, 9.662731721302766 61.663512180727956, 9.661999150101218 61.66356151538482, 9.649651352752677 61.663732689830546, 9.646187583559449 61.66443181197987, 9.626100591399481 61.662811121260695, 9.589163557109227 61.66605023343387, 9.586022209619717 61.66666993856661, 9.56481078658626 61.67173985551126, 9.560774080141954 61.67342693295955, 9.559857088685964 61.673862160634584, 9.559058924565653 61.67425874940609, 9.55883853457832 61.674369029908554, 9.558169330283324 61.67472044594292, 9.557974684110562 61.674824533597, 9.557756663441207 61.67496748475913, 9.552571835377409 61.67759107823792, 9.552463254180534 61.67762247484159, 9.551793787442028 61.67788042107676, 9.551732821737964 61.677907093100266, 9.551643529397985 61.677946152176276, 9.551543980712202 61.67799641129219, 9.550919574524533 61.67840836787042, 9.550865920045473 61.67844713853418, 9.550310585716487 61.67890477608713, 9.550241507135114 61.67896339581428, 9.550198490750429 61.67900208679743, 9.550156128864716 61.67904350372095, 9.550133593254719 61.67906791089036, 9.549688660821726 61.6795853525822, 9.549581536220336 61.679729307423855, 9.549353529003419 61.68004884090561)"/>
    <s v="[339660, 339668, 339676, 339684, 339692, 339052, 339060, 339228, 339236, 339244, 339252, 339260, 339044, 338918, 338926, 338934, 338972, 338980, 338988, 338996, 339004, 339012, 339020, 339028, 339036, 351718, 351724, 351732, 351740, 335924, 335932, 335940]"/>
    <s v="[328709, 328715, 328724, 328732, 328147, 328148, 328153, 328314, 328324, 328332, 328338, 328142, 328044, 328045, 328051, 328056, 328084, 328090, 328096, 328103, 328110, 328116, 328120, 328127, 328133, 339776, 339784, 339794, 325227, 325228, 325234, 235463]"/>
    <s v="0.011623280476084125"/>
    <s v="[328318, 328709, 328715, 328724, 328732, 328147, 328148, 328153, 328314, 328324, 328332, 328338, 328142, 328044, 328045, 328051, 328056, 328084, 328090, 328096, 328103, 328110, 328116, 328120, 328127, 328133, 339776, 339784, 339794, 325227, 325228, 325234]"/>
    <s v="[0.005, 0.001, 0.033, 0.024, 0.161, 0.041, 0.023, 0.015, 0.028, 0.041, 0.022, 0.012, 0.002, 0.011, 0.03, 0.067, 0.015, 0.039, 0.026, 0.019, 0.032, 0.025, 0.018, 0.019, 0.033, 0.045, 0.034, 0.035, 1.878, 0.002, 0.003, 0.138]"/>
    <s v="7120.584098896927"/>
    <s v="[-0.005, -0.001, 0.033, 0.024, 0.161, 0.041, -0.023, -0.015, 0.028, 0.041, 0.022, 0.012, 0.002, 0.011, 0.03, 0.067, -0.015, -0.039, -0.026, -0.019, -0.032, -0.025, -0.018, -0.019, -0.033, -0.045, -0.034, -0.035, 1.878, 0.002, -0.003, -0.138]"/>
  </r>
  <r>
    <x v="174"/>
    <x v="264"/>
    <x v="0"/>
    <n v="0"/>
    <s v="LINESTRING (9.555694768289518 61.74749430483938, 9.55565043822605 61.74755446527828, 9.554267583662591 61.748430038699986, 9.552737605422848 61.74931412295054, 9.552698204385358 61.74933741935656, 9.55262010576093 61.74938079136315, 9.552564704062867 61.74941156804011, 9.552535676440064 61.749428068961045, 9.552180905497401 61.74962972890018, 9.552053759341602 61.74970260930366, 9.551465966044894 61.750043603740224, 9.551180176352899 61.75020732251043, 9.547613712932495 61.75223210824852)"/>
    <s v="[2154095, 2154103, 2154111, 2154119, 2154127, 2154135, 2154143, 2154151, 2154159, 2154167, 2154175, 2154183]"/>
    <s v="[1846356, 1846361, 1846366, 1846372, 1846377, 1846382, 1846388, 1846394, 1846398, 1846403, 1846408, 235743]"/>
    <s v="0.003858190838160365"/>
    <s v="[235735, 1846356, 1846361, 1846366, 1846372, 1846377, 1846382, 1846388, 1846394, 1846398, 1846403, 1846408]"/>
    <s v="[0.853, 0.027, 0.111, 0.217, 0.126, 0.144, 0.22, 0.139, 0.115, 0.1, 0.07, 0.098]"/>
    <s v="680.2554104908115"/>
    <s v="[0.853, -0.027, 0.111, 0.217, 0.126, 0.144, 0.22, 0.139, 0.115, 0.1, 0.07, -0.098]"/>
  </r>
  <r>
    <x v="174"/>
    <x v="264"/>
    <x v="0"/>
    <n v="0"/>
    <s v="LINESTRING (9.555694768289518 61.74749430483938, 9.555596344773676 61.74753737332041, 9.554192127900208 61.74839968559539, 9.55259342152762 61.749271366800365, 9.5525529600176 61.74929464793459, 9.552485242630036 61.7493324666538, 9.55242359404079 61.74936689125641, 9.55239502101203 61.74938296928017, 9.552052093008529 61.749581860723936, 9.551929382288247 61.74965220883146, 9.551339939011248 61.749992120091036, 9.551060178667024 61.75015277597489, 9.550538647528919 61.75045058119386, 9.547613712932495 61.75223210824852)"/>
    <s v="[2154191, 2154199, 2154207, 2154215, 2154223, 2154231, 2154239, 2154247, 2154255, 2154263, 2154271, 2154279, 2154287]"/>
    <s v="[1846419, 1846424, 1846427, 1846431, 1846434, 1846439, 1846444, 1846450, 1846455, 1846460, 1846467, 1846471, 235743]"/>
    <s v="0.004218697136318091"/>
    <s v="[235735, 1846419, 1846424, 1846427, 1846431, 1846434, 1846439, 1846444, 1846450, 1846455, 1846460, 1846467, 1846471]"/>
    <s v="[0.825, 0.028, 0.097, 0.137, 0.178, 0.181, 0.09, 0.142, 0.124, 0.097, 0.064, 0.035, 0.11]"/>
    <s v="679.987694156332"/>
    <s v="[0.825, -0.028, 0.097, 0.137, 0.178, 0.181, 0.09, 0.142, 0.124, 0.097, 0.064, 0.035, -0.11]"/>
  </r>
  <r>
    <x v="175"/>
    <x v="265"/>
    <x v="0"/>
    <n v="0"/>
    <s v="LINESTRING (9.547613712932495 61.75223210824852, 9.545983615205117 61.75446694451312, 9.546064177598973 61.755923930317906, 9.54680504517515 61.75956044630391, 9.547258889189639 61.762621250087165, 9.547338151760107 61.76426140978495)"/>
    <s v="[231892, 231900, 231908, 231916, 231924]"/>
    <s v="[235744, 235751, 235758, 235765, 235771]"/>
    <s v="#FIELD!"/>
    <s v="[235743, 235744, 235751, 235758, 235765]"/>
    <s v="[0.02, 0.003, 0.001, 0.003, 0.009]"/>
    <s v="1368.5147965271788"/>
    <s v="[-0.02, -0.003, 0.001, 0.003, 0.009]"/>
  </r>
  <r>
    <x v="176"/>
    <x v="266"/>
    <x v="0"/>
    <n v="0"/>
    <s v="LINESTRING (9.547338151760107 61.76426140978495, 9.547317675502185 61.764357941004874, 9.547277896684763 61.765309515474584, 9.547279380766645 61.76533090332273, 9.547284038820065 61.76536672677719, 9.547284724487739 61.765429210330886, 9.547285504133875 61.765441939630485, 9.547329966672796 61.76637808885774, 9.547331142178292 61.76646445848327, 9.547285036163489 61.767063524149954, 9.547246150512953 61.76733758315464)"/>
    <s v="[247989, 247997, 248005, 248013, 248021, 248029, 248037, 248045, 248053, 248061]"/>
    <s v="[249048, 249053, 246728, 249061, 249068, 249075, 249082, 249087, 249096, 235776]"/>
    <s v="9.663013372286282e-07"/>
    <s v="[235771, 249048, 249053, 246728, 249061, 249068, 249075, 249082, 249087, 249096]"/>
    <s v="[0.136, 0.01, 0.015, 0.018, 0.016, 0.198, 0.027, 0.015, 0.0, 0.126]"/>
    <s v="343.4672102119059"/>
    <s v="[0.136, -0.01, 0.015, 0.018, 0.016, 0.198, 0.027, 0.015, -0.0, -0.126]"/>
  </r>
  <r>
    <x v="176"/>
    <x v="266"/>
    <x v="0"/>
    <n v="0"/>
    <s v="LINESTRING (9.547338151760107 61.76426140978495, 9.547359239866605 61.76435705034541, 9.547434157884501 61.76529991170652, 9.547437195299679 61.765329991920225, 9.547439115793075 61.765357696771275, 9.547443649824226 61.765422043548234, 9.547443931047193 61.765434905976385, 9.547488136080549 61.76638077316663, 9.547393498791436 61.767070806534676, 9.547246150512953 61.76733758315464)"/>
    <s v="[335948, 335956, 335964, 335972, 335980, 335988, 335996, 336004, 336012]"/>
    <s v="[325245, 325252, 246729, 325263, 325268, 325274, 325280, 325286, 235776]"/>
    <s v="3.425872480099593e-05"/>
    <s v="[235771, 325245, 325252, 246729, 325263, 325268, 325274, 325280, 325286]"/>
    <s v="[0.235, 0.017, 0.096, 0.019, 0.016, 0.014, 0.031, 0.018, 0.216]"/>
    <s v="344.7611603276635"/>
    <s v="[0.235, 0.017, 0.096, 0.019, 0.016, 0.014, 0.031, -0.018, -0.216]"/>
  </r>
  <r>
    <x v="177"/>
    <x v="267"/>
    <x v="0"/>
    <n v="0"/>
    <s v="LINESTRING (9.547246150512953 61.76733758315464, 9.545908911117001 61.770429672381795, 9.545782040839917 61.770789994829414, 9.545703606665954 61.77096432060487)"/>
    <s v="[231932, 231940, 231948]"/>
    <s v="[235777, 235784, 235791]"/>
    <s v="0.0037715553436349857"/>
    <s v="[235776, 235777, 235784]"/>
    <s v="[0.001, 0.026, 0.043]"/>
    <s v="413.7789152309262"/>
    <s v="[-0.001, 0.026, 0.043]"/>
  </r>
  <r>
    <x v="178"/>
    <x v="268"/>
    <x v="0"/>
    <n v="0"/>
    <s v="LINESTRING (9.545703606665954 61.77096432060487, 9.545194004567298 61.77166741557232, 9.545123958321465 61.771769989684316, 9.54470951703052 61.772395088951924, 9.544683257743312 61.77243596186944, 9.54465833176467 61.77247767088213, 9.544646141911 61.772496452895105, 9.544628289569495 61.772528715413685, 9.544320769488188 61.77322356493075, 9.54430975268693 61.77327220896614, 9.544246514085645 61.773518334911536, 9.5442364271415 61.77368911197655)"/>
    <s v="[248069, 248077, 248085, 248093, 248101, 248109, 248117, 248125, 248133, 2123255, 2123263]"/>
    <s v="[249106, 249111, 249117, 249125, 249130, 249136, 249141, 249147, 249155, 1829034, 235797]"/>
    <s v="#FIELD!"/>
    <s v="[235791, 249106, 249111, 249117, 249125, 249130, 249136, 249141, 249147, 249155, 1829034]"/>
    <s v="[0.028, 0.012, 0.009, 0.0, 0.01, 0.011, 0.002, 0.009, 0.02, 0.016, 0.489]"/>
    <s v="314.950282956071"/>
    <s v="[0.028, 0.012, 0.009, -0.0, 0.01, 0.011, 0.002, 0.009, 0.02, 0.016, -0.489]"/>
  </r>
  <r>
    <x v="178"/>
    <x v="268"/>
    <x v="0"/>
    <n v="0"/>
    <s v="LINESTRING (9.545703606665954 61.77096432060487, 9.54536134742764 61.771643099787724, 9.545333250206147 61.771689623202974, 9.545268213333932 61.77179405292449, 9.544867579322075 61.77240571768629, 9.5448411066112 61.77244554718216, 9.544814500061777 61.77248730622787, 9.544800896990253 61.772508803763834, 9.544778357429486 61.7725405014991, 9.544397589296986 61.77327229933065, 9.544319773294239 61.77352123704608, 9.5442364271415 61.77368911197655)"/>
    <s v="[336020, 336028, 336036, 336044, 336052, 336060, 336068, 336076, 336084, 2123231, 2123239]"/>
    <s v="[325298, 325307, 325315, 325324, 325331, 325339, 286745, 325354, 325362, 1829018, 235797]"/>
    <s v="#FIELD!"/>
    <s v="[235791, 325298, 325307, 325315, 325324, 325331, 325339, 286745, 325354, 325362, 1829018]"/>
    <s v="[0.037, 0.02, 0.017, 0.011, 0.002, 0.001, 0.011, 0.004, 0.006, 0.012, 0.505]"/>
    <s v="314.16364742240677"/>
    <s v="[0.037, 0.02, 0.017, 0.011, 0.002, 0.001, 0.011, 0.004, 0.006, 0.012, -0.505]"/>
  </r>
  <r>
    <x v="179"/>
    <x v="269"/>
    <x v="0"/>
    <s v="[0, 0, 0, 0, 0, 0, 0, 0, 0, 0, 0, 0, 0, 0, 0, 0, 0, 0, 0, 0, 0, 0, 0, 0, 0, 0, 1, 0, 0, 0, 0, 0, 0, 0, 0, 0, 0, 0, 0, 0, 0, 0, 0, 0, 0, 0, 0, 0, 0, 0, 0, 0, 0, 0, 0, 0, 0, 0, 0, 0, 1, 0, 0, 0, 0, 0, 0, 0, 0, 0, 0]"/>
    <s v="LINESTRING (9.5442364271415 61.77368911197655, 9.54421042059115 61.77406392069184, 9.544217995279116 61.774215170924876, 9.544386469385795 61.775050927322184, 9.544399586816718 61.775099867359444, 9.544415912954259 61.775161012588086, 9.544546035612687 61.77565634653197, 9.551123489359052 61.786190551727216, 9.551241758560955 61.78629233534538, 9.551575965304886 61.786589342136644, 9.551620955441713 61.786630567943654, 9.551678669527378 61.786684170298734, 9.55172812772139 61.78673127949362, 9.553588051417144 61.79136357513008, 9.553613601630609 61.792082806583466, 9.553641028022794 61.79280603635126, 9.553690995771955 61.79413242944227, 9.553692991535476 61.79418523630182, 9.553694507763979 61.794233461393326, 9.553694894361449 61.794252276515365, 9.553718545656299 61.795034482048806, 9.553719176111558 61.79510772623733, 9.553734134845179 61.795426179946084, 9.553802324088212 61.79589569066676, 9.554906464475385 61.79886426394739, 9.554810306776337 61.799730573810635, 9.554724897614774 61.799922167824036, 9.55454412692405 61.800283631514574, 9.554517332200533 61.80033569856232, 9.554034942736076 61.801288497554765, 9.5540135360839 61.80133077146897, 9.553988026178626 61.801381053675094, 9.553863111078678 61.80163261442137, 9.5532564044088 61.803002936468076, 9.55301835978117 61.804114273726974, 9.553026595386399 61.80420143648807, 9.55346849532055 61.805636954583065, 9.553685239327965 61.80631314817882, 9.55377292299266 61.80677514482924, 9.553779232707809 61.80683129095923, 9.553782980350292 61.80688397844609, 9.552633553405702 61.80985884272049, 9.551974510051084 61.810722549937324, 9.550767509569253 61.814561726214414, 9.550039179993373 61.81575228564669, 9.541034957452814 61.82085392382275, 9.537369637713585 61.82213479492435, 9.536004654065227 61.822357332632336, 9.533167351941577 61.82347071436579, 9.532496024933154 61.82396404205043, 9.524029869187714 61.827035897654454, 9.518434540339394 61.82926864399931, 9.516341519388234 61.830020299361514, 9.51109095003364 61.831775688414474, 9.509780947699603 61.83220376794178, 9.508544296152222 61.83263873490475, 9.503096621023852 61.83386433402434, 9.502048843568883 61.83407912622163, 9.48147209520023 61.83880673933979, 9.481113365204308 61.83889071116823, 9.478993448149282 61.839343091022364, 9.478759068221231 61.8393852204977, 9.477431688678514 61.83959826502384, 9.476351812405412 61.8397671899092, 9.473581353184757 61.84055708294928, 9.464375793405797 61.84305852088541, 9.463735713975645 61.8431855840899, 9.451765088289868 61.84451890384742, 9.451674505679266 61.84452659594729, 9.445035010640659 61.84598859128362, 9.437163762028344 61.846936139312106, 9.435214200908554 61.84728372399338)"/>
    <s v="[231956, 231964, 231972, 231980, 231988, 231996, 232004, 232012, 232020, 232028, 232036, 232044, 232052, 232060, 232068, 232077, 232085, 232093, 232101, 232109, 232117, 262998, 263006, 263014, 263022, 263030, 263038, 263046, 263055, 263063, 263071, 263079, 263080, 263088, 263096, 263104, 263105, 263111, 263112, 263113, 263122, 263130, 263142, 263157, 263164, 263172, 263180, 263188, 263196, 263204, 263212, 263220, 263228, 263236, 263244, 263252, 263259, 263267, 263275, 263283, 263291, 263298, 263306, 263314, 263322, 263332, 263340, 263348, 263356, 263364, 1241569]"/>
    <s v="[235798, 235804, 235809, 235815, 235823, 235827, 235835, 235840, 235845, 235852, 235859, 235866, 235870, 235876, 235882, 235888, 235895, 235902, 235908, 235914, 235921, 261189, 261194, 261199, 261207, 261216, 261225, 261230, 261238, 261243, 261251, 261256, 261257, 261266, 261274, 261281, 261282, 261288, 261289, 261290, 261300, 261307, 261315, 261326, 261334, 145512, 145492, 261357, 261366, 147645, 146346, 146377, 206620, 146277, 146482, 147661, 147715, 145013, 146529, 261433, 261440, 261448, 147733, 261462, 146366, 261478, 140691, 261493, 147653, 140682, 1161983]"/>
    <s v="0.0012988396092049736"/>
    <s v="[235797, 235798, 235804, 235809, 235815, 235823, 235827, 235835, 235840, 235845, 235852, 235859, 235866, 235870, 235876, 235882, 235888, 235895, 235902, 235908, 235914, 235921, 261189, 261194, 261199, 261207, 261216, 261225, 261230, 261238, 261243, 261251, 261256, 261257, 261266, 261274, 261281, 261282, 261288, 261289, 261290, 261300, 261307, 261315, 261326, 261334, 145512, 145492, 261357, 261366, 147645, 146346, 146377, 206620, 146277, 146482, 147661, 147715, 145013, 146529, 261433, 261440, 261448, 147733, 261462, 146366, 261478, 140691, 261493, 147653, 140682]"/>
    <s v="[0.002, 0.0, 0.005, 0.031, 0.049, 0.039, 0.004, 0.006, 0.025, 0.04, 0.037, 0.052, 0.009, 0.007, 0.019, 0.048, 0.05, 0.037, 0.047, 0.051, 0.05, 0.303, 0.014, 0.061, 0.013, 0.05, 0.05, 0.034, 0.034, 0.015, 0.005, 0.013, 0.025, 0.05, 0.016, 0.023, 0.042, 0.013, 0.014, 0.006, 0.041, 0.012, 0.013, 0.0, 0.037, 0.058, 0.061, 0.023, 0.003, 0.001, 0.041, 0.053, 0.005, 0.011, 0.039, 0.009, 0.096, 0.01, 0.082, 0.029, 0.003, 0.027, 0.075, 0.01, 0.022, 0.059, 0.036, 0.082, 0.021, 0.021, 0.075]"/>
    <s v="12011.680304346795"/>
    <s v="[-0.002, -0.0, 0.005, 0.031, 0.049, 0.039, 0.004, -0.006, -0.025, -0.04, -0.037, -0.052, 0.009, 0.007, 0.019, 0.048, 0.05, 0.037, 0.047, 0.051, 0.05, -0.303, 0.014, 0.061, -0.013, -0.05, -0.05, -0.034, -0.034, -0.015, -0.005, 0.013, -0.025, -0.05, -0.016, 0.023, 0.042, 0.013, 0.014, -0.006, -0.041, -0.012, -0.013, -0.0, 0.037, -0.058, -0.061, -0.023, -0.003, 0.001, 0.041, -0.053, -0.005, -0.011, 0.039, 0.009, 0.096, 0.01, 0.082, 0.029, 0.003, -0.027, -0.075, -0.01, 0.022, -0.059, -0.036, -0.082, -0.021, 0.021, -0.075]"/>
  </r>
  <r>
    <x v="180"/>
    <x v="158"/>
    <x v="0"/>
    <n v="0"/>
    <s v="LINESTRING (10.259251531589621 60.200557017323284, 10.259381405792427 60.200702417336075, 10.259478644806844 60.20083296735912, 10.25970934671805 60.203874380153415)"/>
    <s v="[639682, 639687, 639688]"/>
    <s v="[634188, 634193, 236898]"/>
    <s v="0.018906183313316904"/>
    <s v="[236575, 634188, 634193]"/>
    <s v="[0.041, 0.036, 0.017]"/>
    <s v="378.01383710206284"/>
    <s v="[0.041, 0.036, 0.017]"/>
  </r>
  <r>
    <x v="180"/>
    <x v="270"/>
    <x v="0"/>
    <n v="0"/>
    <m/>
    <n v="639679"/>
    <n v="236575"/>
    <s v="0.047"/>
    <n v="634185"/>
    <s v="0.047"/>
    <s v="6.849689993163415"/>
    <s v="0.047"/>
  </r>
  <r>
    <x v="181"/>
    <x v="271"/>
    <x v="0"/>
    <s v="[0, 0, 0, 0, 0, 1, 0, 0, 0, 0, 0, 0, 0, 0, 0, 0, 0, 0]"/>
    <s v="LINESTRING (9.248309867834722 61.98419924083553, 9.248148498805865 61.984341834138, 9.248101396137342 61.98439613538769, 9.248075507680163 61.98442648748255, 9.248049325612781 61.9844555580074, 9.247970027160797 61.98454371031078, 9.247886354002242 61.98463364201691, 9.24779528463254 61.98472584785952, 9.247391382904583 61.98511332165059, 9.247266442391426 61.98521845943084, 9.2470814979018 61.98536078563526, 9.246229826535977 61.985964079255666, 9.246206851019336 61.98597840333269, 9.246150923605192 61.986015176956805, 9.246082484844866 61.98605597306021, 9.246033414506162 61.98608745231326, 9.244889192306276 61.98675126052073, 9.244781108811916 61.98680817588363, 9.243955625860124 61.987259933219384)"/>
    <s v="[248141, 248149, 248157, 248165, 248173, 248181, 248189, 248197, 248205, 248213, 248221, 248229, 248237, 248245, 248253, 248262, 248270, 248278]"/>
    <s v="[213780, 249166, 247011, 249179, 249187, 249196, 249203, 249210, 249216, 249222, 249228, 213770, 249239, 247002, 249253, 249264, 249271, 236603]"/>
    <s v="#FIELD!"/>
    <s v="[236596, 213780, 249166, 247011, 249179, 249187, 249196, 249203, 249210, 249216, 249222, 249228, 213770, 249239, 247002, 249253, 249264, 249271]"/>
    <s v="[0.02, 0.004, 0.004, 0.002, 0.001, 0.002, 0.002, 0.0, 0.001, 0.003, 0.004, 0.003, 0.006, 0.007, 0.007, 0.007, 0.001, 0.002]"/>
    <s v="413.27005884296443"/>
    <s v="[0.02, 0.004, 0.004, 0.002, 0.001, 0.002, 0.002, -0.0, -0.001, -0.003, -0.004, -0.003, -0.006, -0.007, -0.007, -0.007, -0.001, -0.002]"/>
  </r>
  <r>
    <x v="181"/>
    <x v="271"/>
    <x v="0"/>
    <s v="[0, 0, 0, 0, 0, 1, 0, 0, 0, 0, 0, 0, 0, 0, 0, 0, 0, 0]"/>
    <s v="LINESTRING (9.248309867834722 61.98419924083553, 9.248206841279222 61.98435066608171, 9.248158912448211 61.984406706186896, 9.248132124478714 61.984437362740266, 9.24810661118515 61.98446664129051, 9.248027937285782 61.98455513481956, 9.247943353704173 61.98464563160699, 9.247850581084583 61.98473864842953, 9.247507954922293 61.98507258523485, 9.247422988124958 61.985150516939264, 9.247132826441021 61.98540449545316, 9.247029474309809 61.98549443165256, 9.246346299341457 61.98600525802908, 9.246322681711032 61.98601913216153, 9.246276710583734 61.986052541578246, 9.246215449951569 61.98609677080736, 9.246159742190148 61.986130357910035, 9.244897595873205 61.98684918540502, 9.243955625860124 61.987259933219384)"/>
    <s v="[336092, 336100, 336108, 336116, 336124, 336132, 336140, 336148, 336156, 336164, 336172, 336180, 336188, 336196, 336204, 336212, 336220, 336228]"/>
    <s v="[213779, 325376, 247010, 325397, 325407, 325417, 325425, 325434, 325443, 325451, 325459, 325468, 213762, 325482, 246998, 325497, 325504, 236603]"/>
    <s v="#FIELD!"/>
    <s v="[236596, 213779, 325376, 247010, 325397, 325407, 325417, 325425, 325434, 325443, 325451, 325459, 325468, 213762, 325482, 246998, 325497, 325504]"/>
    <s v="[0.073, 0.003, 0.004, 0.002, 0.004, 0.005, 0.005, 0.002, 0.006, 0.005, 0.005, 0.003, 0.008, 0.001, 0.003, 0.003, 0.002, 0.035]"/>
    <s v="415.5753391163026"/>
    <s v="[0.073, -0.003, -0.004, -0.002, -0.004, -0.005, -0.005, 0.002, 0.006, 0.005, 0.005, 0.003, -0.008, 0.001, 0.003, -0.003, -0.002, -0.035]"/>
  </r>
  <r>
    <x v="181"/>
    <x v="272"/>
    <x v="15"/>
    <s v="[0, 0, 0, 0, 0, 0, 0, 0, 0, 0, 0, 0, 0, 0, 0, 0, 0, 0, 0, 1, 0, 0, 0, 0, 0, 0, 0, 0, 0, 0, 0, 0, 0, 0, 0, 0, 0, 0, 0, 0, 0, 0, 0, 0, 0, 0, 0, 0, 0, 0, 0, 0, 0, 0, 1, 0, 0, 0, 0, 0, 0, 0, 0, 0, 0, 0, 0, 0, 0, 0, 0, 0, 0, 0, 0, 0, 0, 0, 0, 0, 0, 0, 0, 0, 0, 0, 0, 0, 0, 0, 0, 0, 0, 1, 0, 0, 0, 0, 0, 1, 0, 0, 0, 0, 0, 0, 0, 0, 0, 0]"/>
    <s v="LINESTRING (9.430460312809577 61.84917471968637, 9.429114009972238 61.84967233119419, 9.426520554957838 61.850865662182954, 9.408791374974395 61.85892416338584, 9.40866729029975 61.858957626404916, 9.408574735088258 61.85898309535139, 9.408527053233506 61.858996371083, 9.40720518911323 61.85939205347853, 9.407044362228392 61.85944552806098, 9.403139626209663 61.86115288263525, 9.399589242483199 61.86408280097975, 9.399796595270775 61.865225329210254, 9.40022990074986 61.86571221064876, 9.401138392565285 61.866302385697736, 9.410198592565282 61.8682453099919, 9.411429993093565 61.86853974944249, 9.420347159057815 61.87633221522899, 9.419137256645216 61.877277727870805, 9.41843600399437 61.87759674448259, 9.41116060798412 61.87941794645328, 9.409887279937212 61.87983598903744, 9.409802075148301 61.879872218837384, 9.406330633678492 61.88172453316107, 9.4057268356018 61.88883913369474, 9.401528010214703 61.893081278951136, 9.39462083462962 61.89578399067285, 9.39460487003114 61.89578885606763, 9.393624740808304 61.89608679813216, 9.393608760239728 61.89609164476632, 9.39225967174303 61.89649380090829, 9.392213827725273 61.8965065719231, 9.39104849474593 61.896816325915786, 9.390969250015551 61.89683591318134, 9.390295827002612 61.896992850811934, 9.38693273746246 61.89768899910702, 9.385317285400584 61.89801950502825, 9.371200507686284 61.90267727088019, 9.364585786123225 61.907975293967546, 9.362516955255298 61.90967206245841, 9.362431558181708 61.90974151774705, 9.361283916636664 61.91067673711829, 9.361250355435306 61.910704350922735, 9.361207790664485 61.91073937178978, 9.361141931783491 61.91079354413602, 9.360884559889275 61.91100405561257, 9.35979548451191 61.91192819639805, 9.35832590565634 61.91339672209461, 9.356057750714099 61.91619261611832, 9.355992522943808 61.916255336562664, 9.35484729431596 61.917126616566264, 9.354807098151346 61.91715214715984, 9.354756766596026 61.91718282368955, 9.354671565558249 61.91723448820335, 9.35398431223092 61.917615823749045, 9.35275459635239 61.918164904424216, 9.352490689059792 61.91826314318363, 9.341134957902714 61.92026719703921, 9.341116726709323 61.920269749125964, 9.340015384696065 61.920422247087, 9.339997153323692 61.92042479902311, 9.335857521145664 61.92112675931667, 9.335750159363785 61.921154888075975, 9.335676211523158 61.92117500683844, 9.335612669384023 61.92119225136278, 9.334307489450847 61.92158951985004, 9.334114134825105 61.92166013167162, 9.329953022520389 61.92320997574594, 9.328251507962221 61.923870325352105, 9.323941831900635 61.92508638163655, 9.323842540264101 61.92511184693437, 9.32278929950212 61.92538232007942, 9.320358166182897 61.92601002016497, 9.315375254079212 61.92728642810843, 9.31411486318255 61.92761278641264, 9.305417402582618 61.93231605970713, 9.304678436438111 61.936854345808335, 9.304467588256662 61.93959846593016, 9.304410171596778 61.93969337371632, 9.3037213452309 61.94078362905207, 9.30366125425317 61.94087850677878, 9.295366988640755 61.94791978491615, 9.291830813395698 61.94959895724501, 9.290231140300511 61.95001576933502, 9.279467071182365 61.95193697683966, 9.275422531774947 61.9531297046071, 9.273066702343128 61.954266357019335, 9.271192110987416 61.95527015148652, 9.26985892900935 61.9560181652885, 9.26787431230198 61.95699596246791, 9.265773545302432 61.95770216297616, 9.262881339371843 61.95914396607133, 9.262825903562494 61.95918957777338, 9.262757221632224 61.959242576113986, 9.262661584662535 61.95932194083946, 9.261704083177627 61.960045323198486, 9.26151402058165 61.96016224320051, 9.261379627741416 61.960238008468224, 9.255901753294372 61.96308331879999, 9.253031539309143 61.965798174776964, 9.25283953632386 61.96607628309959, 9.252798230540492 61.96613766875604, 9.252331034384165 61.966948618824055, 9.25070887186607 61.97183845151566, 9.250236685384369 61.97473746461237, 9.250630159770107 61.978419416458706, 9.250617933986982 61.97851796314425, 9.250422083496408 61.97949127849561, 9.250415817078542 61.97951766234951, 9.25040708834257 61.97955130686464, 9.250390844031116 61.97961419964198, 9.248309867834722 61.98419924083553)"/>
    <s v="[1241587, 232125, 232133, 232141, 232149, 232157, 232165, 232173, 232181, 232189, 232197, 232205, 232213, 232221, 232229, 232237, 232245, 232253, 232261, 232269, 232277, 232285, 232293, 232301, 232309, 232317, 232325, 232333, 232341, 232349, 232357, 232365, 232373, 232381, 232389, 232397, 232405, 232413, 232421, 232429, 232437, 232445, 232453, 232461, 232469, 232477, 232485, 232493, 232501, 232509, 232517, 232525, 232533, 232541, 232549, 232557, 232565, 232573, 232581, 232589, 232597, 232605, 232613, 232621, 232629, 232637, 232638, 232656, 232664, 232672, 232673, 232681, 232690, 232707, 232713, 232721, 232729, 232737, 232745, 232762, 232773, 232786, 232794, 232795, 232811, 232819, 232827, 232835, 232843, 232851, 232859, 232867, 232875, 232883, 232891, 232899, 232907, 232915, 232923, 232931, 232939, 232947, 232955, 232963, 232971, 232979, 232987, 232995, 233003, 233011]"/>
    <s v="[235926, 235927, 235934, 235940, 235945, 235950, 235957, 235963, 206196, 146569, 235978, 235985, 146590, 146412, 146401, 225272, 236005, 236010, 236016, 236020, 146540, 236028, 236035, 236039, 236044, 236050, 236055, 236063, 140918, 236075, 236080, 236086, 236091, 236096, 113955, 120049, 109571, 236111, 236114, 236118, 219113, 236133, 219097, 236147, 236153, 236159, 236164, 236167, 236173, 236177, 236182, 213715, 236194, 236199, 236207, 236213, 236219, 236225, 236233, 236238, 236242, 236249, 236256, 236263, 236269, 236275, 109724, 236290, 236297, 113978, 236302, 128671, 133187, 119708, 118368, 236342, 119968, 119530, 236362, 109686, 113680, 113506, 109594, 113470, 236414, 119639, 236430, 109616, 236440, 236446, 236454, 236463, 236470, 236479, 113395, 236493, 109385, 113761, 236514, 236523, 236531, 236539, 119732, 236552, 236560, 236567, 236574, 236583, 236590, 236596]"/>
    <s v="0.006916056221977067"/>
    <s v="[1162003, 235926, 235927, 235934, 235940, 235945, 235950, 235957, 235963, 206196, 146569, 235978, 235985, 146590, 146412, 146401, 225272, 236005, 236010, 236016, 236020, 146540, 236028, 236035, 236039, 236044, 236050, 236055, 236063, 140918, 236075, 236080, 236086, 236091, 236096, 113955, 120049, 109571, 236111, 236114, 236118, 219113, 236133, 219097, 236147, 236153, 236159, 236164, 236167, 236173, 236177, 236182, 213715, 236194, 236199, 236207, 236213, 236219, 236225, 236233, 236238, 236242, 236249, 236256, 236263, 236269, 236275, 109724, 236290, 236297, 113978, 236302, 128671, 133187, 119708, 118368, 236342, 119968, 119530, 236362, 109686, 113680, 113506, 109594, 113470, 236414, 119639, 236430, 109616, 236440, 236446, 236454, 236463, 236470, 236479, 113395, 236493, 109385, 113761, 236514, 236523, 236531, 236539, 119732, 236552, 236560, 236567, 236574, 236583, 236590]"/>
    <s v="[0.091, 0.039, 0.018, 0.05, 0.01, 0.099, 0.015, 0.021, 0.021, 0.027, 0.016, 0.028, 0.025, 0.096, 0.042, 0.024, 0.041, 0.04, 0.004, 0.088, 0.031, 0.013, 0.008, 0.034, 0.01, 0.034, 0.0, 0.031, 0.009, 0.041, 0.018, 0.03, 0.017, 0.028, 0.027, 0.031, 0.006, 0.007, 0.037, 0.03, 0.013, 0.03, 0.012, 0.017, 0.014, 0.011, 0.028, 0.024, 0.016, 0.011, 0.019, 0.018, 0.025, 0.009, 0.006, 0.005, 0.012, 0.012, 0.026, 0.014, 0.003, 0.031, 0.009, 0.019, 0.028, 0.002, 0.007, 0.014, 0.03, 0.004, 0.013, 0.0, 0.036, 0.002, 0.003, 0.003, 0.014, 0.02, 0.025, 0.005, 0.01, 0.012, 0.004, 0.012, 0.005, 0.008, 0.008, 0.005, 0.011, 0.002, 0.011, 0.006, 0.008, 0.011, 0.01, 0.021, 0.005, 0.006, 0.026, 0.023, 0.018, 0.0, 0.004, 0.0, 0.003, 0.004, 0.0, 0.0, 0.0, 0.005]"/>
    <s v="20678.00581503565"/>
    <s v="[-0.091, 0.039, 0.018, 0.05, -0.01, 0.099, 0.015, 0.021, 0.021, 0.027, 0.016, 0.028, 0.025, 0.096, -0.042, -0.024, 0.041, -0.04, 0.004, 0.088, 0.031, 0.013, -0.008, 0.034, 0.01, -0.034, -0.0, 0.031, 0.009, -0.041, -0.018, -0.03, -0.017, 0.028, 0.027, 0.031, -0.006, -0.007, 0.037, 0.03, 0.013, -0.03, -0.012, -0.017, -0.014, -0.011, -0.028, -0.024, -0.016, -0.011, -0.019, -0.018, -0.025, -0.009, -0.006, -0.005, 0.012, 0.012, 0.026, 0.014, 0.003, -0.031, 0.009, -0.019, -0.028, 0.002, 0.007, 0.014, 0.03, -0.004, -0.013, 0.0, 0.036, 0.002, -0.003, 0.003, 0.014, 0.02, 0.025, 0.005, -0.01, 0.012, 0.004, 0.012, 0.005, -0.008, -0.008, 0.005, 0.011, -0.002, -0.011, -0.006, -0.008, -0.011, -0.01, 0.021, 0.005, 0.006, 0.026, 0.023, 0.018, 0.0, 0.004, 0.0, -0.003, -0.004, 0.0, 0.0, 0.0, 0.005]"/>
  </r>
  <r>
    <x v="182"/>
    <x v="273"/>
    <x v="16"/>
    <s v="[0, 0, 0, 1, 0, 0, 0, 0, 0, 0, 0, 0, 0, 0, 0, 0, 0, 0, 0, 0, 0, 0, 0, 0, 0, 0, 0, 0, 0, 0, 0, 0, 0, 0, 0, 0, 0, 0, 0, 0, 0, 0, 0, 0, 0, 0, 0, 0, 0, 0, 0, 0, 0, 0, 0, 0, 0, 0, 0, 0, 0, 1, 0, 0, 0, 0, 0, 0, 0, 0, 0, 0, 0, 0, 0, 0, 0, 0, 0, 0, 0, 0, 0, 0, 0, 0, 0]"/>
    <s v="LINESTRING (9.243955625860124 61.987259933219384, 9.243817909643743 61.98732222404937, 9.243495395058115 61.98745590693224, 9.233837424496574 61.990655090004005, 9.233556204936539 61.99078859295533, 9.22758166352677 61.99587462455529, 9.22751874731569 61.99593881627532, 9.227415137372313 61.99603786695678, 9.223072480023887 61.99905807795752, 9.222983553076482 61.99911155223893, 9.222959134994793 61.999126199564884, 9.222922130386147 61.999149149439916, 9.222882517175183 61.99917373617702, 9.222268642270873 61.99961975005239, 9.220756469801868 62.00337504455062, 9.22073258290622 62.003422734228366, 9.218827497535756 62.00602120284018, 9.218650327625 62.00614499254677, 9.218452324796361 62.006269562951935, 9.218425612977864 62.00628555367903, 9.215328107192049 62.00794444103761, 9.214628760682183 62.00831560027073, 9.21337356516232 62.008981556041874, 9.213314478798992 62.00901304557511, 9.213187099652735 62.009081020725425, 9.210708203503389 62.0106157248722, 9.210278111750371 62.01096609275158, 9.209836073764508 62.01133587905302, 9.207988370079583 62.01289956365181, 9.20733675300968 62.01344248608558, 9.207120595103516 62.01361063340683, 9.206709720443746 62.01389822687378, 9.206678659389848 62.01391837173381, 9.206390725495057 62.01409672048026, 9.203413842232543 62.01537204385988, 9.20252945801917 62.015715964618636, 9.201519629430832 62.016108473587764, 9.198544929681175 62.01726590848061, 9.19536849514613 62.018696211962016, 9.191085980679782 62.02094316091871, 9.189853272372762 62.02140453466754, 9.188747869754987 62.02171607054323, 9.186053823239945 62.022581865918696, 9.18537239803839 62.0228188768656, 9.182699583712356 62.023802867433346, 9.180128909075597 62.02543457541967, 9.178420858294535 62.026357135625524, 9.173697592509237 62.029445951274695, 9.172701420988298 62.03011203860713, 9.171556244200762 62.030815131470355, 9.169855051496558 62.03185155215984, 9.1682456319574 62.03336241648447, 9.165653746170184 62.035858501677076, 9.160557744379217 62.03772497579485, 9.153449977072755 62.04010506131817, 9.151059975344781 62.04106584575731, 9.15067286524788 62.04121241425898, 9.150575603200872 62.04124579685417, 9.150470514235103 62.041285067830046, 9.147904651952055 62.04204817141064, 9.144889531738322 62.04308388410793, 9.143980274096798 62.04410531903655, 9.143948391113312 62.044171863218814, 9.143110945340322 62.04595416408234, 9.141931757191754 62.046759938182085, 9.141031297145211 62.047065349106376, 9.13508942313728 62.05315236203823, 9.129056502405499 62.05669085700438, 9.128973468724862 62.056725265279645, 9.128864220176405 62.05677071911486, 9.127511691521462 62.05740169071719, 9.12557128990863 62.05934394630333, 9.124173500761708 62.06038190968843, 9.12328936739775 62.061956452878206, 9.123281756288204 62.061968201351554, 9.12317382906058 62.06211678489474, 9.121709340997647 62.063224287281116, 9.120730362585162 62.064996948059886, 9.121731378730974 62.066957225952464, 9.122396954037198 62.06810058595183, 9.123190038082802 62.07054992114713, 9.123239133677197 62.07064882631907, 9.123467749673242 62.07100937698534, 9.123514173236485 62.07107752133321, 9.123567557066407 62.07115095029381, 9.12380771867952 62.07147148751432, 9.123981170914389 62.071699030474846, 9.124435970725063 62.07231375104997)"/>
    <s v="[233019, 233027, 233035, 233043, 233051, 233059, 233067, 233075, 233083, 233091, 233099, 233107, 233115, 233123, 233131, 233139, 233147, 233155, 233163, 233171, 233179, 233187, 233195, 233203, 233211, 233219, 233227, 233235, 233243, 233251, 233259, 233267, 233275, 233283, 233291, 233299, 233307, 233315, 233323, 233331, 233339, 233347, 233355, 233363, 233371, 233379, 233387, 233395, 233403, 233411, 233419, 233427, 233435, 233443, 233451, 233459, 233467, 233475, 233483, 233491, 263372, 263380, 263388, 263396, 263404, 263412, 263420, 263428, 263435, 263443, 263451, 263459, 263467, 263475, 263483, 263491, 263499, 263507, 263515, 263523, 263531, 263539, 263547, 263557, 263565, 263566, 263567]"/>
    <s v="[236604, 236609, 236616, 236625, 236635, 236641, 236645, 213877, 236655, 236661, 236667, 236673, 236679, 236687, 236694, 236699, 128337, 236708, 236714, 236722, 236728, 128591, 236742, 236748, 236755, 236762, 125960, 128498, 236782, 236786, 236794, 236801, 125319, 128507, 128518, 128529, 118924, 128553, 125936, 118935, 128785, 127860, 236859, 128613, 128622, 128632, 117934, 128641, 128654, 128673, 128682, 128690, 128918, 236917, 129036, 236930, 236937, 236941, 129064, 128611, 261513, 261521, 129087, 261537, 261545, 129100, 213743, 261565, 246985, 119018, 261588, 124298, 261603, 261610, 261617, 261625, 261632, 261642, 134519, 261651, 261657, 261663, 261670, 261679, 261690, 261691, 261692]"/>
    <s v="0.014791330860545938"/>
    <s v="[236603, 236604, 236609, 236616, 236625, 236635, 236641, 236645, 213877, 236655, 236661, 236667, 236673, 236679, 236687, 236694, 236699, 128337, 236708, 236714, 236722, 236728, 128591, 236742, 236748, 236755, 236762, 125960, 128498, 236782, 236786, 236794, 236801, 125319, 128507, 128518, 128529, 118924, 128553, 125936, 118935, 128785, 127860, 236859, 128613, 128622, 128632, 117934, 128641, 128654, 128673, 128682, 128690, 128918, 236917, 129036, 236930, 236937, 236941, 129064, 128611, 261513, 261521, 129087, 261537, 261545, 129100, 213743, 261565, 246985, 119018, 261588, 124298, 261603, 261610, 261617, 261625, 261632, 261642, 134519, 261651, 261657, 261663, 261670, 261679, 261690, 261691]"/>
    <s v="[0.005, 0.004, 0.002, 0.004, 0.003, 0.024, 0.02, 0.011, 0.003, 0.022, 0.006, 0.005, 0.008, 0.0, 0.005, 0.008, 0.003, 0.002, 0.007, 0.004, 0.0, 0.004, 0.005, 0.004, 0.008, 0.001, 0.01, 0.01, 0.016, 0.012, 0.019, 0.019, 0.019, 0.009, 0.006, 0.002, 0.004, 0.0, 0.007, 0.002, 0.012, 0.001, 0.0, 0.0, 0.006, 0.003, 0.002, 0.003, 0.007, 0.005, 0.0, 0.005, 0.003, 0.008, 0.005, 0.008, 0.03, 0.026, 0.024, 0.005, 0.044, 0.046, 0.065, 0.051, 0.076, 0.06, 0.025, 0.036, 0.007, 0.016, 0.064, 0.002, 0.052, 0.076, 0.113, 0.01, 0.038, 0.074, 0.027, 0.005, 0.025, 0.027, 0.022, 0.028, 0.023, 0.018, 0.022]"/>
    <s v="12112.108673121355"/>
    <s v="[0.005, 0.004, 0.002, 0.004, 0.003, 0.024, 0.02, 0.011, 0.003, 0.022, 0.006, 0.005, 0.008, 0.0, -0.005, 0.008, 0.003, 0.002, 0.007, -0.004, 0.0, -0.004, -0.005, -0.004, -0.008, -0.001, 0.01, 0.01, 0.016, 0.012, 0.019, 0.019, 0.019, 0.009, 0.006, -0.002, -0.004, -0.0, -0.007, -0.002, -0.012, 0.001, 0.0, 0.0, 0.006, 0.003, 0.002, -0.003, 0.007, -0.005, -0.0, 0.005, 0.003, 0.008, 0.005, 0.008, 0.03, 0.026, 0.024, 0.005, 0.044, 0.046, 0.065, 0.051, 0.076, 0.06, 0.025, 0.036, -0.007, -0.016, 0.064, -0.002, 0.052, 0.076, 0.113, 0.01, 0.038, 0.074, 0.027, -0.005, 0.025, 0.027, 0.022, 0.028, 0.023, 0.018, 0.022]"/>
  </r>
  <r>
    <x v="183"/>
    <x v="274"/>
    <x v="0"/>
    <n v="0"/>
    <s v="LINESTRING (10.258570609364197 60.20520477033622, 10.258529646844245 60.20525346572693, 10.258527960122613 60.205312238997)"/>
    <s v="[2123557, 2123565]"/>
    <s v="[1829201, 634214]"/>
    <s v="0.00900911944163191"/>
    <s v="[236709, 1829201]"/>
    <s v="[1.601, 1.455]"/>
    <s v="12.436246510585825"/>
    <s v="[-1.601, 1.455]"/>
  </r>
  <r>
    <x v="183"/>
    <x v="154"/>
    <x v="0"/>
    <n v="0"/>
    <s v="LINESTRING (10.259482613514237 60.204059228947955, 10.25894403085643 60.20476768025121, 10.258570609364197 60.20520477033622)"/>
    <s v="[2123541, 2123549]"/>
    <s v="[1829191, 236709]"/>
    <s v="0.020492510176531562"/>
    <s v="[236795, 1829191]"/>
    <s v="[0.082, 0.184]"/>
    <s v="137.40154811978175"/>
    <s v="[-0.082, 0.184]"/>
  </r>
  <r>
    <x v="184"/>
    <x v="270"/>
    <x v="0"/>
    <n v="0"/>
    <s v="LINESTRING (10.259163883322028 60.200513743492074, 10.259263604633887 60.2006918561353, 10.259365918858624 60.20083454188773, 10.259456009602047 60.20095929517588, 10.259604417965202 60.203859198649994, 10.259482613514237 60.204059228947955)"/>
    <s v="[2123501, 2123509, 2123517, 2123525, 2123533]"/>
    <s v="[1829173, 1829176, 1829180, 1829182, 236795]"/>
    <s v="0.020216878461233982"/>
    <s v="[634185, 1829173, 1829176, 1829180, 1829182]"/>
    <s v="[0.114, 0.027, 0.025, 0.008, 0.304]"/>
    <s v="403.9022922160796"/>
    <s v="[-0.114, 0.027, 0.025, 0.008, 0.304]"/>
  </r>
  <r>
    <x v="185"/>
    <x v="274"/>
    <x v="0"/>
    <n v="0"/>
    <s v="LINESTRING (10.25970934671805 60.203874380153415, 10.259584953096892 60.204075199263684, 10.259046572835437 60.204783514273, 10.258656951850838 60.20522428771654, 10.258612926164385 60.2052721718141, 10.258527960122613 60.205312238997)"/>
    <s v="[639695, 639703, 639704, 639712, 639720]"/>
    <s v="[634197, 634204, 634205, 634209, 634214]"/>
    <s v="0.022448207104855417"/>
    <s v="[236898, 634197, 634204, 634205, 634209]"/>
    <s v="[0.025, 0.022, 0.02, 0.025, 0.037]"/>
    <s v="173.87709746747313"/>
    <s v="[0.025, 0.022, 0.02, 0.025, 0.037]"/>
  </r>
  <r>
    <x v="186"/>
    <x v="275"/>
    <x v="0"/>
    <s v="[0, 0, 0, 1, 0, 0, 0, 0, 0, 0]"/>
    <s v="LINESTRING (10.346034674384944 59.82074269082984, 10.341348746782014 59.81974956732992, 10.333113415317486 59.81893796697216, 10.327359316779667 59.8186095765501, 10.32676584082726 59.81857379782012, 10.309445573524995 59.81369644000789, 10.309402880806429 59.813678140295764, 10.309304720181206 59.813636137513654, 10.309263367174069 59.813618470249956, 10.296551505145468 59.80957593082339, 10.292739474626181 59.80882953834423)"/>
    <s v="[233476, 233484, 233492, 233500, 233508, 233516, 233524, 233532, 233540, 233548]"/>
    <s v="[236942, 236946, 236951, 236958, 236966, 236970, 236976, 236982, 236990, 236996]"/>
    <s v="0.006617341862053559"/>
    <s v="[236938, 236942, 236946, 236951, 236958, 236966, 236970, 236976, 236982, 236990]"/>
    <s v="[0.02, 0.024, 0.004, 0.02, 0.035, 0.058, 0.051, 0.059, 0.014, 0.007]"/>
    <s v="3349.1882763962913"/>
    <s v="[0.02, -0.024, 0.004, 0.02, 0.035, -0.058, -0.051, -0.059, -0.014, -0.007]"/>
  </r>
  <r>
    <x v="186"/>
    <x v="276"/>
    <x v="17"/>
    <n v="0"/>
    <s v="LINESTRING (10.406537410744773 59.828878143863484, 10.406301290373813 59.82879852984048, 10.406286995306614 59.82879324521939, 10.404366070933012 59.828215133327106, 10.404275394508293 59.82819220145951, 10.39897374494017 59.827558263932545, 10.394185042967491 59.8274160734027, 10.394167359276208 59.82741515654181, 10.378558074252147 59.82504793085706, 10.378454595599349 59.82504572894542, 10.378402816615795 59.825044527629416, 10.378384906403003 59.825044095301585, 10.378152155208246 59.82503814490824, 10.378060231165756 59.825036349270334, 10.361568454049179 59.824663101286696, 10.350950338296443 59.82232879029289, 10.350865845294003 59.82229787243787, 10.34939662304292 59.821773795343596, 10.349168812171508 59.821695420665996, 10.347358346873154 59.821114065818215, 10.347007870477 59.821011041568894, 10.346034674384944 59.82074269082984)"/>
    <s v="[1553823, 1553831, 1553839, 1553847, 1553855, 1553863, 1553871, 1553879, 1553887, 1553895, 1553903, 1553911, 1553919, 1553927, 1553935, 233428, 233436, 233444, 233452, 233460, 233468]"/>
    <s v="[1402415, 1402423, 1402431, 1402439, 1402447, 1402454, 1402460, 1402466, 1402476, 1402484, 1402490, 1402496, 1402503, 1402507, 236907, 236908, 236913, 236918, 236922, 236931, 236938]"/>
    <s v="0.009789092900122217"/>
    <s v="[1391901, 1402415, 1402423, 1402431, 1402439, 1402447, 1402454, 1402460, 1402466, 1402476, 1402484, 1402490, 1402496, 1402503, 1402507, 236907, 236908, 236913, 236918, 236922, 236931]"/>
    <s v="[0.044, 0.074, 0.033, 0.026, 0.037, 0.034, 0.038, 0.029, 0.035, 0.028, 0.038, 0.033, 0.033, 0.022, 0.013, 0.013, 0.008, 0.004, 0.018, 0.026, 0.017]"/>
    <s v="3596.0587187737883"/>
    <s v="[-0.044, 0.074, 0.033, -0.026, 0.037, 0.034, 0.038, 0.029, -0.035, -0.028, -0.038, -0.033, -0.033, -0.022, 0.013, 0.013, 0.008, 0.004, -0.018, -0.026, -0.017]"/>
  </r>
  <r>
    <x v="187"/>
    <x v="277"/>
    <x v="0"/>
    <n v="0"/>
    <s v="LINESTRING (9.126772239506417 62.071998144661876, 9.127613621640224 62.07156864074591, 9.128168302134789 62.071886315412286)"/>
    <s v="[248326, 1263607]"/>
    <s v="[249326, 236965]"/>
    <s v="0.08655508265238739"/>
    <s v="[236957, 249326]"/>
    <s v="[0.078, 0.106]"/>
    <s v="151.08835969993828"/>
    <s v="[0.078, 0.106]"/>
  </r>
  <r>
    <x v="187"/>
    <x v="277"/>
    <x v="0"/>
    <n v="0"/>
    <s v="LINESTRING (9.126772239506417 62.071998144661876, 9.127683113372477 62.07153758012001, 9.128168302134789 62.071886315412286)"/>
    <s v="[336236, 1263615]"/>
    <s v="[325521, 236965]"/>
    <s v="0.07808151831820304"/>
    <s v="[236957, 325521]"/>
    <s v="[0.147, 0.1]"/>
    <s v="167.99870955252712"/>
    <s v="[0.147, -0.1]"/>
  </r>
  <r>
    <x v="187"/>
    <x v="278"/>
    <x v="0"/>
    <n v="0"/>
    <s v="LINESTRING (9.128522313823883 62.07523354848253, 9.128465595359412 62.07462187379981, 9.128366810827425 62.0744504764063, 9.128317457111502 62.07436557158575, 9.127813369293152 62.07350457528822, 9.126772239506417 62.071998144661876)"/>
    <s v="[242976, 242984, 242992, 243000, 233499]"/>
    <s v="[244853, 244861, 244870, 236956, 236957]"/>
    <s v="#FIELD!"/>
    <s v="[244852, 244853, 244861, 244870, 236956]"/>
    <s v="[0.035, 0.015, 0.01, 0.002, 0.036]"/>
    <s v="376.32803205796375"/>
    <s v="[0.035, 0.015, 0.01, -0.002, -0.036]"/>
  </r>
  <r>
    <x v="188"/>
    <x v="279"/>
    <x v="0"/>
    <n v="0"/>
    <s v="LINESTRING (9.128168302134789 62.071886315412286, 9.131067657985357 62.07358045361605, 9.13127286826593 62.07375584191862)"/>
    <s v="[233507, 1362325]"/>
    <s v="[135932, 1258283]"/>
    <s v="0.0772695755699935"/>
    <s v="[236965, 135932]"/>
    <s v="[0.075, 0.102]"/>
    <s v="265.4470092490659"/>
    <s v="[0.075, 0.102]"/>
  </r>
  <r>
    <x v="189"/>
    <x v="280"/>
    <x v="0"/>
    <s v="[0, 0, 0, 1, 0, 0]"/>
    <s v="LINESTRING (10.292739474626181 59.80882953834423, 10.292673165717565 59.80881812142037, 10.288910608568633 59.808252586363885, 10.287529629070491 59.808082219340726, 10.286614669581807 59.807970600399585, 10.282532025984409 59.807449251362335, 10.280147803807846 59.807054467577174)"/>
    <s v="[233556, 233564, 233572, 233580, 233588, 233596]"/>
    <s v="[236999, 237004, 237009, 237014, 237019, 237024]"/>
    <s v="#FIELD!"/>
    <s v="[236996, 236999, 237004, 237009, 237014, 237019]"/>
    <s v="[0.023, 0.01, 0.041, 0.045, 0.037, 0.063]"/>
    <s v="734.5872775432649"/>
    <s v="[0.023, -0.01, -0.041, -0.045, 0.037, -0.063]"/>
  </r>
  <r>
    <x v="189"/>
    <x v="281"/>
    <x v="0"/>
    <n v="0"/>
    <s v="LINESTRING (10.292739474626181 59.80882953834423, 10.292345955916655 59.80880352910136, 10.286443401426759 59.808557483491654, 10.286415313493578 59.808540329788926, 10.28646073825409 59.808427747204526)"/>
    <s v="[234060, 1387011, 234108, 234116]"/>
    <s v="[237365, 237405, 237406, 237412]"/>
    <s v="#FIELD!"/>
    <s v="[236996, 237365, 237405, 237406]"/>
    <s v="[0.029, 0.017, 0.061, 0.039]"/>
    <s v="374.1136663493302"/>
    <s v="[0.029, -0.017, -0.061, -0.039]"/>
  </r>
  <r>
    <x v="190"/>
    <x v="282"/>
    <x v="0"/>
    <s v="[0, 0, 0, 0, 0, 0, 0, 0, 0, 0, 0, 0, 1, 0, 0, 1, 0, 0, 0, 1, 1]"/>
    <s v="LINESTRING (10.280147803807846 59.807054467577174, 10.280079208698222 59.807041342871926, 10.276260525981458 59.80604079176083, 10.267513281780237 59.798157368915795, 10.267491751447206 59.797899928205744, 10.268007558068046 59.795533573684516, 10.271351568493586 59.79134235236785, 10.27239864398752 59.78970915579512, 10.272496119013155 59.78945666000943, 10.272766960503965 59.78802363995262, 10.272767996510012 59.788005004283896, 10.273595068995553 59.783025569309174, 10.273699548837277 59.78285952165303, 10.27408482169513 59.78232265279998, 10.274114537243177 59.78228619715461, 10.276033198306362 59.77612761078778, 10.275631156053809 59.77566891455665, 10.27537493416514 59.775433373101514, 10.26993042799307 59.772924643027935, 10.269053655757999 59.772659121668674, 10.268474847766429 59.77248392585203, 10.268428276887494 59.77246971661566)"/>
    <s v="[233604, 233612, 233620, 1243917, 2078080, 2078088, 2078096, 1243921, 233628, 233636, 233644, 233652, 233660, 233668, 233676, 233684, 233692, 233700, 233708, 233716, 233724]"/>
    <s v="[237030, 237038, 237042, 1164015, 1802327, 1802331, 1164021, 237048, 237049, 237055, 237061, 237068, 237074, 237080, 237087, 237091, 237098, 237103, 237108, 237113, 237118]"/>
    <s v="#FIELD!"/>
    <s v="[237024, 237030, 237038, 237042, 1164015, 1802327, 1802331, 1164021, 237048, 237049, 237055, 237061, 237068, 237074, 237080, 237087, 237091, 237098, 237103, 237108, 237113]"/>
    <s v="[0.022, 0.004, 0.063, 0.05, 0.011, 0.002, 0.224, 0.023, 0.057, 0.043, 0.065, 0.066, 0.059, 0.036, 0.045, 0.046, 0.044, 0.017, 0.004, 0.014, 0.013]"/>
    <s v="4444.255239998707"/>
    <s v="[-0.022, -0.004, -0.063, -0.05, -0.011, -0.002, -0.224, -0.023, -0.057, -0.043, -0.065, -0.066, -0.059, -0.036, -0.045, -0.046, -0.044, -0.017, -0.004, 0.014, 0.013]"/>
  </r>
  <r>
    <x v="190"/>
    <x v="283"/>
    <x v="0"/>
    <n v="0"/>
    <s v="LINESTRING (10.285017748834271 59.80794789854736, 10.280396949583944 59.80715314580068, 10.280147803807846 59.807054467577174)"/>
    <s v="[1387059, 234373]"/>
    <s v="[237656, 237024]"/>
    <s v="#FIELD!"/>
    <s v="[1273513, 237656]"/>
    <s v="[0.007, 0.06]"/>
    <s v="292.22187232582684"/>
    <s v="[-0.007, -0.06]"/>
  </r>
  <r>
    <x v="191"/>
    <x v="284"/>
    <x v="0"/>
    <s v="[1, 0, 0, 0, 0, 0, 0, 0]"/>
    <s v="LINESTRING (10.268428276887494 59.77246971661566, 10.268052260130549 59.77235421766498, 10.266742013124885 59.77195465589957, 10.259953593609321 59.76923945128444, 10.258450964196717 59.76835690824923, 10.258240719059911 59.76822084517573, 10.256283691347361 59.76676970274214, 10.2549273444518 59.765475062485336, 10.254909860348901 59.76545643138693)"/>
    <s v="[233732, 233740, 233748, 233756, 233764, 233772, 233780, 233788]"/>
    <s v="[237125, 237131, 237136, 237143, 237147, 237152, 237160, 237167]"/>
    <s v="0.007901593701927808"/>
    <s v="[237118, 237125, 237131, 237136, 237143, 237147, 237152, 237160]"/>
    <s v="[0.018, 0.024, 0.008, 0.014, 0.037, 0.02, 0.003, 0.012]"/>
    <s v="1109.73216691683"/>
    <s v="[0.018, 0.024, 0.008, -0.014, 0.037, 0.02, -0.003, 0.012]"/>
  </r>
  <r>
    <x v="191"/>
    <x v="285"/>
    <x v="0"/>
    <n v="0"/>
    <s v="LINESTRING (10.268428276887494 59.77246971661566, 10.267976222285188 59.77237209102705, 10.26633263955113 59.77189294212547, 10.265388295421062 59.771672485018236, 10.26432298692978 59.77134116544617, 10.263222088690249 59.77096293025841, 10.262453571854055 59.770647904901786, 10.260636704717113 59.7698251634102, 10.25817080177434 59.768533657524934)"/>
    <s v="[1257838, 1257912, 1634683, 1634684, 1634689, 1634702, 1634731, 1634742]"/>
    <s v="[1175742, 1175793, 1284936, 1461492, 220139, 219763, 1284962, 1461371]"/>
    <s v="0.00819026905308276"/>
    <s v="[237118, 1175742, 1175793, 1284936, 1461492, 220139, 219763, 1284962]"/>
    <s v="[0.097, 0.008, 0.011, 0.003, 0.001, 0.006, 0.018, 0.0]"/>
    <s v="731.6613030040552"/>
    <s v="[0.097, 0.008, -0.011, 0.003, 0.001, 0.006, 0.018, 0.0]"/>
  </r>
  <r>
    <x v="192"/>
    <x v="286"/>
    <x v="0"/>
    <s v="[0, 0, 1, 0, 0, 1, 0, 0, 0, 1, 0, 0, 0, 0, 0]"/>
    <s v="LINESTRING (10.254909860348901 59.76545643138693, 10.254376297959782 59.76484098843079, 10.25390608173816 59.764229768725144, 10.2537120331548 59.76396205934488, 10.251949574224593 59.761231916142016, 10.251665737873678 59.76077399477405, 10.251547428382024 59.760584148061184, 10.248712879703826 59.75607266593531, 10.248455476298613 59.75568915406888, 10.2475823940177 59.75445850279615, 10.24727232902488 59.75405688882802, 10.24565416549764 59.75227588624134, 10.244008709284723 59.75088079400249, 10.24101808622562 59.749096291780205, 10.238883661880434 59.74802814623114, 10.236461174595977 59.74681040016237)"/>
    <s v="[233796, 233804, 233812, 233820, 233828, 233836, 233844, 233852, 233860, 233868, 233876, 1179147, 1179155, 1179163, 1179171]"/>
    <s v="[237172, 237178, 237188, 237193, 237200, 237204, 237209, 237212, 237216, 237220, 237227, 1109963, 1109969, 1109975, 1109982]"/>
    <s v="0.0008901114121338806"/>
    <s v="[237167, 237172, 237178, 237188, 237193, 237200, 237204, 237209, 237212, 237216, 237220, 237227, 1109963, 1109969, 1109975]"/>
    <s v="[0.013, 0.018, 0.021, 0.009, 0.002, 0.003, 0.006, 0.012, 0.01, 0.017, 0.01, 0.02, 0.005, 0.015, 0.021]"/>
    <s v="2363.676493923018"/>
    <s v="[0.013, 0.018, 0.021, 0.009, 0.002, 0.003, -0.006, -0.012, -0.01, -0.017, -0.01, -0.02, 0.005, 0.015, 0.021]"/>
  </r>
  <r>
    <x v="192"/>
    <x v="287"/>
    <x v="0"/>
    <n v="0"/>
    <s v="LINESTRING (10.257421608585027 59.767909319739395, 10.25633683853688 59.76691734057751, 10.255066838190405 59.765711194289345, 10.254909860348901 59.76545643138693)"/>
    <s v="[1635105, 1257925, 1257921]"/>
    <s v="[1175805, 1175800, 237167]"/>
    <s v="0.006699818604579597"/>
    <s v="[1461385, 1175805, 1175800]"/>
    <s v="[0.017, 0.001, 0.008]"/>
    <s v="309.11257616519396"/>
    <s v="[0.017, 0.001, -0.008]"/>
  </r>
  <r>
    <x v="193"/>
    <x v="288"/>
    <x v="0"/>
    <s v="[0, 0, 1, 1, 1, 0, 0, 0]"/>
    <s v="LINESTRING (10.24757957555235 59.696851093492846, 10.247670974039936 59.69674809863717, 10.248860692956068 59.69450782078106, 10.248865586230913 59.694475481737484, 10.248912160940156 59.69417220829586, 10.248916316038242 59.69413917685602, 10.248439885342664 59.69192894940629, 10.248202163055762 59.69154692045369, 10.246708568427527 59.68996565283791)"/>
    <s v="[233908, 233916, 233924, 233932, 233940, 233948, 233956, 233964]"/>
    <s v="[237250, 237256, 237260, 237267, 237274, 237280, 237286, 237291]"/>
    <s v="0.013460065716792837"/>
    <s v="[237244, 237250, 237256, 237260, 237267, 237274, 237280, 237286]"/>
    <s v="[0.015, 0.009, 0.022, 0.016, 0.04, 0.039, 0.022, 0.014]"/>
    <s v="802.6421383673713"/>
    <s v="[0.015, -0.009, -0.022, -0.016, 0.04, 0.039, 0.022, 0.014]"/>
  </r>
  <r>
    <x v="193"/>
    <x v="289"/>
    <x v="0"/>
    <n v="0"/>
    <s v="LINESTRING (10.24757957555235 59.696851093492846, 10.24761692183687 59.69669700756291, 10.247987779837649 59.694478638990226, 10.247956328620363 59.69441063894602)"/>
    <s v="[586226, 1638789, 1638790]"/>
    <s v="[591818, 1465540, 1465541]"/>
    <s v="#FIELD!"/>
    <s v="[237244, 591818, 1465540]"/>
    <s v="[0.002, 0.006, 0.005]"/>
    <s v="282.1288734212733"/>
    <s v="[-0.002, -0.006, -0.005]"/>
  </r>
  <r>
    <x v="193"/>
    <x v="290"/>
    <x v="0"/>
    <n v="0"/>
    <s v="LINESTRING (10.237344227152679 59.709997553760054, 10.237351230497033 59.70999313094101, 10.241412040721405 59.705831000604704, 10.246776515966719 59.697768688133124, 10.247546921140685 59.69689068268428, 10.24757957555235 59.696851093492846)"/>
    <s v="[1630253, 1630254, 1630264, 233892, 233900]"/>
    <s v="[1457832, 1457833, 237238, 237239, 237244]"/>
    <s v="0.0056353401887053135"/>
    <s v="[1457814, 1457832, 1457833, 237238, 237239]"/>
    <s v="[0.055, 0.007, 0.005, 0.004, 0.013]"/>
    <s v="1582.1207844244323"/>
    <s v="[0.055, 0.007, 0.005, 0.004, 0.013]"/>
  </r>
  <r>
    <x v="194"/>
    <x v="291"/>
    <x v="0"/>
    <s v="[0, 0, 0, 0, 0, 0, 1, 0, 0, 0]"/>
    <s v="LINESTRING (10.246708568427527 59.68996565283791, 10.24482417349486 59.6834773990768, 10.241788019160976 59.67310785831737, 10.240675323098667 59.671451744127616, 10.240533730350732 59.67123926342102, 10.237666113026911 59.66693856447809, 10.23412986341408 59.661098954987196, 10.233985062936693 59.66087960200092, 10.233177512833432 59.65973301744718, 10.232956062645322 59.65943286697601, 10.231926284961702 59.65820686694825)"/>
    <s v="[233972, 233980, 233988, 233996, 234004, 1242297, 1242298, 1242303, 1242327, 1242343]"/>
    <s v="[237296, 237301, 237306, 237314, 237321, 1162617, 1162618, 1162621, 1162645, 1148895]"/>
    <s v="0.003096562822767795"/>
    <s v="[237291, 237296, 237301, 237306, 237314, 237321, 1162617, 1162618, 1162621, 1162645]"/>
    <s v="[0.019, 0.004, 0.002, 0.007, 0.002, 0.004, 0.025, 0.013, 0.008, 0.019]"/>
    <s v="3717.593926901548"/>
    <s v="[0.019, -0.004, 0.002, 0.007, -0.002, -0.004, 0.025, 0.013, -0.008, 0.019]"/>
  </r>
  <r>
    <x v="194"/>
    <x v="292"/>
    <x v="0"/>
    <n v="0"/>
    <s v="LINESTRING (10.24802018011499 59.694179501816585, 10.24805444059551 59.69412343822486, 10.248079342356958 59.69408566354591, 10.246828189894899 59.690150836506795, 10.246708568427527 59.68996565283791)"/>
    <s v="[1634997, 1635005, 1635006, 586650]"/>
    <s v="[1461774, 1461784, 592105, 237291]"/>
    <s v="0.02410297535768517"/>
    <s v="[1461773, 1461774, 1461784, 592105]"/>
    <s v="[0.039, 0.038, 0.024, 0.019]"/>
    <s v="493.28000866030726"/>
    <s v="[0.039, 0.038, 0.024, 0.019]"/>
  </r>
  <r>
    <x v="195"/>
    <x v="293"/>
    <x v="0"/>
    <s v="[0, 0, 1, 0, 0, 0, 0, 0, 0]"/>
    <s v="LINESTRING (10.341496787708225 59.81963584294933, 10.333112951278244 59.81880999764838, 10.327406733287347 59.81848165537059, 10.326801576004222 59.81844538916068, 10.30967663661507 59.81362109939989, 10.309634837700461 59.813603173479656, 10.309534004299374 59.81355998706984, 10.309490534683045 59.81354137180907, 10.296757912960272 59.80948085018765, 10.296707490295573 59.809469959468586)"/>
    <s v="[1593575, 1593583, 1593591, 1593599, 1593607, 1593615, 1593623, 1593631, 1593639]"/>
    <s v="[1432620, 1432626, 1432630, 1432635, 1432643, 1432651, 1432657, 1432666, 237506]"/>
    <s v="0.0064480950299783315"/>
    <s v="[237352, 1432620, 1432626, 1432630, 1432635, 1432643, 1432651, 1432657, 1432666]"/>
    <s v="[0.022, 0.005, 0.019, 0.034, 0.06, 0.05, 0.056, 0.013, 0.025]"/>
    <s v="2833.011464229399"/>
    <s v="[-0.022, 0.005, 0.019, 0.034, -0.06, -0.05, -0.056, -0.013, -0.025]"/>
  </r>
  <r>
    <x v="195"/>
    <x v="294"/>
    <x v="0"/>
    <n v="0"/>
    <s v="LINESTRING (10.40774078314589 59.82912666257951, 10.407696066083982 59.82911151863505, 10.406669482376861 59.828763953716994, 10.406609934363827 59.8287439197765, 10.406443611052289 59.82869098500775, 10.40437124936201 59.82808624390106, 10.39906115566702 59.82743634679684, 10.394254296669027 59.82729136387186, 10.39423653697763 59.82729048032959, 10.37856832562326 59.82491653839315, 10.378469490593048 59.82491485963039, 10.378416174070752 59.82491315451498, 10.378397730259131 59.82491257749578, 10.3781578938916 59.8249064587348, 10.378079510663303 59.82490517555555, 10.36157016006367 59.824535445156364, 10.351117363062006 59.82222990239078, 10.350982363453562 59.82218217653685, 10.349541552289628 59.82166571741972, 10.349310112642467 59.82158685471694, 10.346182644174851 59.82063488610339, 10.341496787708225 59.81963584294933)"/>
    <s v="[1543932, 1543940, 1543948, 1543956, 1543964, 1543972, 1543980, 1543988, 1543996, 1544004, 1544012, 1544020, 1544028, 1544036, 1544044, 1544052, 1593535, 1593543, 1593551, 1593559, 1593567]"/>
    <s v="[1394742, 1394750, 1394759, 1394767, 1394775, 1394781, 1394786, 1394792, 1394799, 1394806, 1394815, 1394824, 1394831, 1394840, 1394849, 1394854, 1432599, 1432603, 1432608, 1432612, 237352]"/>
    <s v="0.009799691366077399"/>
    <s v="[1391887, 1394742, 1394750, 1394759, 1394767, 1394775, 1394781, 1394786, 1394792, 1394799, 1394806, 1394815, 1394824, 1394831, 1394840, 1394849, 1394854, 1432599, 1432603, 1432608, 1432612]"/>
    <s v="[0.766, 0.015, 0.112, 0.1, 0.02, 0.034, 0.041, 0.02, 0.028, 0.041, 0.041, 0.047, 0.044, 0.045, 0.023, 0.002, 0.754, 0.007, 0.001, 0.021, 0.021]"/>
    <s v="3952.4624408402015"/>
    <s v="[-0.766, 0.015, 0.112, 0.1, 0.02, 0.034, 0.041, 0.02, 0.028, -0.041, -0.041, -0.047, -0.044, -0.045, -0.023, 0.002, 0.754, 0.007, 0.001, -0.021, 0.021]"/>
  </r>
  <r>
    <x v="196"/>
    <x v="283"/>
    <x v="0"/>
    <n v="0"/>
    <s v="LINESTRING (10.28646073825409 59.808427747204526, 10.286415221462134 59.80842146287396, 10.285192360613484 59.80798834872411, 10.285017748834271 59.80794789854736)"/>
    <s v="[234309, 1387043, 1387051]"/>
    <s v="[237606, 1273506, 1273513]"/>
    <s v="0.008332663688185178"/>
    <s v="[237412, 237606, 1273506]"/>
    <s v="[0.052, 0.004, 0.057]"/>
    <s v="97.75463061987232"/>
    <s v="[-0.052, 0.004, 0.057]"/>
  </r>
  <r>
    <x v="196"/>
    <x v="295"/>
    <x v="0"/>
    <n v="0"/>
    <m/>
    <n v="234301"/>
    <n v="237412"/>
    <s v="0.0"/>
    <n v="237597"/>
    <s v="0.0"/>
    <s v="8.410108976919503"/>
    <s v="0.0"/>
  </r>
  <r>
    <x v="197"/>
    <x v="296"/>
    <x v="0"/>
    <s v="[0, 0, 0, 1, 0, 0]"/>
    <s v="LINESTRING (10.296707490295573 59.809469959468586, 10.29287837462969 59.80871426104199, 10.289025700699357 59.808125062450536, 10.287696087298697 59.80795171908191, 10.28676530297782 59.807837509343294, 10.282739071070516 59.80733057717534, 10.282687327468986 59.80732351909274)"/>
    <s v="[1593647, 1593655, 1593663, 1593671, 1593679, 1593687]"/>
    <s v="[1432680, 1432683, 1432688, 1432695, 1432700, 591512]"/>
    <s v="#FIELD!"/>
    <s v="[237506, 1432680, 1432683, 1432688, 1432695, 1432700]"/>
    <s v="[0.012, 0.008, 0.037, 0.044, 0.039, 0.055]"/>
    <s v="824.0048479330725"/>
    <s v="[-0.012, -0.008, -0.037, -0.044, 0.039, -0.055]"/>
  </r>
  <r>
    <x v="197"/>
    <x v="297"/>
    <x v="0"/>
    <n v="0"/>
    <s v="LINESTRING (10.288552662123344 59.80764755631957, 10.296335041250904 59.809333346893816, 10.296707490295573 59.809469959468586)"/>
    <s v="[1387035, 234212]"/>
    <s v="[237505, 237506]"/>
    <s v="0.015566407193731903"/>
    <s v="[1273494, 237505]"/>
    <s v="[0.015, 0.026]"/>
    <s v="502.3710561651511"/>
    <s v="[0.015, 0.026]"/>
  </r>
  <r>
    <x v="198"/>
    <x v="298"/>
    <x v="0"/>
    <n v="0"/>
    <s v="LINESTRING (9.853388898704235 60.64770679190461, 9.853236410365152 60.64775390831891, 9.851965857725212 60.64823919696586, 9.851902094909695 60.64826399142709, 9.851811838785355 60.64829539411072, 9.851772658539236 60.64830902594439, 9.851707727108488 60.648334594017385, 9.851656870591482 60.648352481213294, 9.850451755805798 60.648723521692055, 9.850390453181356 60.64874014184246, 9.850327486505693 60.6487557080871, 9.848974144037935 60.64905890196097)"/>
    <s v="[248640, 248648, 248656, 248664, 248672, 248680, 248688, 248696, 248704, 248713, 248721]"/>
    <s v="[249587, 249593, 249601, 249605, 175332, 249612, 249616, 249621, 249626, 249634, 237654]"/>
    <s v="0.025602347663302435"/>
    <s v="[237649, 249587, 249593, 249601, 249605, 175332, 249612, 249616, 249621, 249626, 249634]"/>
    <s v="[0.019, 0.009, 0.064, 0.05, 0.06, 0.047, 0.047, 0.04, 0.021, 0.019, 0.024]"/>
    <s v="286.1139593704059"/>
    <s v="[0.019, 0.009, 0.064, 0.05, 0.06, 0.047, 0.047, 0.04, 0.021, 0.019, 0.024]"/>
  </r>
  <r>
    <x v="198"/>
    <x v="298"/>
    <x v="0"/>
    <n v="0"/>
    <s v="LINESTRING (9.853388898704235 60.64770679190461, 9.853267137007093 60.64777227748192, 9.852241915273368 60.64822121946304, 9.852057590041028 60.648294692950095, 9.85199573770107 60.64832014593636, 9.851908930290376 60.64835530755712, 9.851814183137847 60.648393132115075, 9.851763670645804 60.64841207630251, 9.850533739429613 60.64878381624513, 9.848974144037935 60.64905890196097)"/>
    <s v="[293022, 293030, 293038, 293046, 293054, 293062, 293070, 293078, 293086]"/>
    <s v="[285791, 285801, 285809, 285817, 285823, 285829, 285834, 285844, 237654]"/>
    <s v="0.025089585420211048"/>
    <s v="[237649, 285791, 285801, 285809, 285817, 285823, 285829, 285834, 285844]"/>
    <s v="[0.009, 0.006, 0.002, 0.003, 0.043, 0.055, 0.045, 0.039, 0.031]"/>
    <s v="289.00520740132015"/>
    <s v="[0.009, 0.006, 0.002, -0.003, 0.043, 0.055, 0.045, 0.039, 0.031]"/>
  </r>
  <r>
    <x v="198"/>
    <x v="299"/>
    <x v="18"/>
    <n v="0"/>
    <s v="LINESTRING (9.988731282095815 60.56325322109984, 9.853388898704235 60.64770679190461)"/>
    <m/>
    <m/>
    <s v="0.0"/>
    <m/>
    <n v="0"/>
    <s v="21365.400605663388"/>
    <n v="0"/>
  </r>
  <r>
    <x v="199"/>
    <x v="300"/>
    <x v="0"/>
    <s v="[0, 0, 0, 0, 0, 0, 0, 0, 0, 0, 0, 0, 0, 0, 0, 0, 0, 0, 0, 0, 0, 0, 0, 0, 0, 0, 0, 0, 0, 0, 0, 0, 0, 0, 0, 0, 0, 0, 0, 0, 0, 0, 0, 0, 0, 0, 0, 0, 0, 0, 0, 0, 0, 0, 0, 0, 1, 0, 0, 0, 0, 0, 0, 0, 0, 0, 0, 0, 0, 0, 0, 0, 0, 0, 0, 0, 0, 0, 0, 0, 0, 0, 0, 0, 0, 0, 0, 0, 0, 0, 0, 0, 0, 0, 0, 0, 0, 0, 0, 0, 0, 0, 0, 0, 0]"/>
    <s v="LINESTRING (9.848974144037935 60.64905890196097, 9.848512096838444 60.64911755441469, 9.844147345569102 60.64968588568776, 9.84249156205653 60.650366114236135, 9.835330819749492 60.651590024441504, 9.826991185492309 60.6510851035357, 9.824896176194894 60.651080180327874, 9.8233997983739 60.65107404939519, 9.818656723528777 60.65095366660754, 9.816210407821428 60.650797033035815, 9.816119640928521 60.65079161983181, 9.813788791779677 60.650486339072046, 9.812899748585451 60.65027806257484, 9.81134135740501 60.649883614495735, 9.811080880125605 60.64982706484631, 9.806089759926865 60.64909369418815, 9.799494211704 60.647673866924265, 9.79595491150518 60.64737091977641, 9.793361570899336 60.647111544601884, 9.791951931153267 60.64696658884445, 9.79169173277921 60.64694375218373, 9.791409811860492 60.646919257786806, 9.790531995825736 60.64684002142833, 9.787684669602887 60.64660707319133, 9.78656533438895 60.64656291120435, 9.785876125910042 60.64657327498814, 9.782376186415219 60.64720754906135, 9.78157042924357 60.64748530429856, 9.781518835706956 60.64750398273717, 9.781388273195136 60.64755261456437, 9.777657706701651 60.64899664937751, 9.776712456636014 60.64918070656276, 9.770696399210836 60.648878321807466, 9.765589446339671 60.64800516066048, 9.75792927624197 60.648103234267076, 9.75577021975894 60.64904871884385, 9.754847044173468 60.6495064462793, 9.754398597361366 60.64969398335507, 9.753669592204428 60.64996810594048, 9.751934597102453 60.65060862489469, 9.749497584435694 60.651536703213615, 9.741612936788355 60.65629649713272, 9.74154596779505 60.65642919161906, 9.741524381437161 60.65647153252062, 9.741002690201984 60.657520954065525, 9.740554689373337 60.658419057941984, 9.74052581548863 60.65847691243592, 9.740281872529685 60.658970722568135, 9.740229601436596 60.65906772413951, 9.740166135383824 60.65924372920092, 9.740158855156093 60.65926392218573, 9.740138872677711 60.65931706089465, 9.740111564360042 60.65939526777295, 9.742767356225924 60.66688799893945, 9.742757193752677 60.66725751093624, 9.742752709603284 60.66750928131104, 9.74195268113167 60.670069244632515, 9.741981011238774 60.6702773163048, 9.742588231203994 60.671184831194154, 9.742675338512235 60.67127384053721, 9.742818646853713 60.671419689181754, 9.743573171196793 60.672189107008705, 9.743710937920435 60.672329634488094, 9.744531645340738 60.67318509817949, 9.74528232679626 60.673974247655956, 9.747895067477623 60.675770800711, 9.7489938948758 60.678847501001925, 9.748306457352259 60.681116496652166, 9.74790803976671 60.682113495100666, 9.742375278105605 60.688849532949384, 9.737254970929747 60.69226836595865, 9.73100695032385 60.69453185823949, 9.728485070541156 60.6954468639261, 9.728394436904 60.69548018155613, 9.722913073949943 60.69835304391636, 9.720823704213585 60.6993304364966, 9.719546155564771 60.69994053196984, 9.71934345141545 60.70005843626005, 9.718799612067139 60.7004816163454, 9.718470454564489 60.70086181677465, 9.718359377948373 60.70099984330754, 9.718150820036849 60.70125304688713, 9.717096737809893 60.702331855384834, 9.716243239065639 60.70298978181775, 9.7139279305097 60.70448134659064, 9.711560402206215 60.70600622848485, 9.710989902966428 60.70641764646254, 9.709934343554261 60.707398089067816, 9.708739396745536 60.71003568733925, 9.70873202356467 60.71029007584824, 9.708751561221327 60.710890427297954, 9.708873978339463 60.713364770662174, 9.7083249977404 60.71497250059209, 9.709288301562989 60.719210827003636, 9.70885980252489 60.72147722911028, 9.706899737849968 60.72593976091846, 9.70787731001478 60.72669207397507, 9.708618814612167 60.7278027919358, 9.708115681192929 60.73211200902192, 9.699148217988279 60.748357302884315, 9.69786645206598 60.74953356544359, 9.697679087841266 60.74964941876812, 9.692026460758106 60.752377772636535, 9.682310139343905 60.75418818874742, 9.666781461950736 60.75672594705299, 9.665678226395839 60.757321021346)"/>
    <s v="[234372, 234380, 234388, 234396, 234404, 234412, 234420, 234428, 234436, 234444, 234452, 234460, 234468, 234476, 234484, 234492, 234500, 234508, 234516, 234524, 234532, 234540, 234548, 234556, 234564, 234572, 234580, 234588, 234596, 234604, 234612, 234620, 234628, 234636, 234644, 234652, 234660, 234668, 234676, 234684, 234692, 234700, 234708, 234716, 234724, 234732, 234740, 234748, 234756, 234764, 234772, 234780, 234788, 234796, 234804, 234812, 234820, 234828, 234836, 234844, 234852, 234860, 234869, 234877, 234885, 234893, 234902, 234910, 234918, 234926, 234934, 234942, 234950, 234958, 234966, 234974, 234982, 234990, 234998, 235006, 235014, 265328, 265336, 265344, 265352, 265360, 265368, 265376, 265384, 265392, 265400, 265408, 265416, 265424, 265432, 265440, 265448, 265456, 265464, 265472, 265480, 265488, 265496, 265504, 265512]"/>
    <s v="[237655, 180240, 232296, 175044, 180278, 180272, 237696, 180264, 180234, 233726, 180232, 237724, 174800, 173264, 174797, 174788, 174693, 174686, 174662, 237776, 174666, 174659, 175048, 237808, 237815, 237823, 117360, 237835, 237843, 237851, 237859, 174493, 174469, 175056, 174357, 237894, 175066, 237907, 173245, 233818, 237927, 237936, 178346, 178348, 237950, 237954, 237960, 237970, 237979, 237987, 237995, 238004, 172103, 238021, 238030, 238037, 238045, 238053, 238058, 238065, 238071, 238077, 238086, 238095, 238103, 173188, 238117, 174343, 173184, 173182, 238144, 173186, 238156, 238161, 238169, 175033, 238183, 238189, 238197, 238204, 238213, 263122, 263128, 180830, 263139, 263143, 180823, 263154, 263158, 263164, 258569, 263174, 263180, 171798, 263192, 263196, 263203, 180798, 180791, 263227, 263234, 173561, 263247, 263253, 263259]"/>
    <s v="0.0018611372742937803"/>
    <s v="[237654, 237655, 180240, 232296, 175044, 180278, 180272, 237696, 180264, 180234, 233726, 180232, 237724, 174800, 173264, 174797, 174788, 174693, 174686, 174662, 237776, 174666, 174659, 175048, 237808, 237815, 237823, 117360, 237835, 237843, 237851, 237859, 174493, 174469, 175056, 174357, 237894, 175066, 237907, 173245, 233818, 237927, 237936, 178346, 178348, 237950, 237954, 237960, 237970, 237979, 237987, 237995, 238004, 172103, 238021, 238030, 238037, 238045, 238053, 238058, 238065, 238071, 238077, 238086, 238095, 238103, 173188, 238117, 174343, 173184, 173182, 238144, 173186, 238156, 238161, 238169, 175033, 238183, 238189, 238197, 238204, 238213, 263122, 263128, 180830, 263139, 263143, 180823, 263154, 263158, 263164, 258569, 263174, 263180, 171798, 263192, 263196, 263203, 180798, 180791, 263227, 263234, 173561, 263247, 263253]"/>
    <s v="[0.039, 0.01, 0.059, 0.006, 0.015, 0.017, 0.021, 0.006, 0.008, 0.003, 0.001, 0.015, 0.035, 0.049, 0.003, 0.025, 0.025, 0.016, 0.009, 0.015, 0.004, 0.013, 0.065, 0.049, 0.023, 0.015, 0.039, 0.012, 0.035, 0.012, 0.043, 0.015, 0.016, 0.012, 0.066, 0.044, 0.02, 0.02, 0.004, 0.047, 0.048, 0.029, 0.02, 0.003, 0.042, 0.049, 0.063, 0.067, 0.053, 0.067, 0.061, 0.059, 0.012, 0.029, 0.029, 0.019, 0.051, 0.068, 0.047, 0.042, 0.015, 0.032, 0.013, 0.024, 0.015, 0.0, 0.028, 0.003, 0.003, 0.017, 0.007, 0.009, 0.018, 0.003, 0.014, 0.038, 0.037, 0.002, 0.017, 0.011, 0.008, 0.005, 0.035, 0.005, 0.01, 0.039, 0.014, 0.004, 0.028, 0.042, 0.041, 0.042, 0.018, 0.01, 0.026, 0.059, 0.035, 0.07, 0.023, 0.002, 0.047, 0.025, 0.029, 0.006, 0.02]"/>
    <s v="20137.12210777863"/>
    <s v="[0.039, -0.01, -0.059, 0.006, 0.015, -0.017, -0.021, -0.006, -0.008, -0.003, 0.001, 0.015, 0.035, 0.049, 0.003, 0.025, 0.025, 0.016, -0.009, -0.015, -0.004, 0.013, 0.065, 0.049, 0.023, -0.015, -0.039, -0.012, -0.035, -0.012, 0.043, 0.015, 0.016, 0.012, -0.066, -0.044, -0.02, -0.02, -0.004, 0.047, -0.048, -0.029, -0.02, 0.003, 0.042, 0.049, 0.063, 0.067, 0.053, 0.067, 0.061, 0.059, -0.012, -0.029, -0.029, 0.019, 0.051, 0.068, 0.047, 0.042, 0.015, 0.032, -0.013, 0.024, -0.015, 0.0, 0.028, -0.003, -0.003, -0.017, -0.007, 0.009, 0.018, 0.003, 0.014, 0.038, 0.037, 0.002, -0.017, 0.011, 0.008, 0.005, 0.035, -0.005, 0.01, 0.039, 0.014, 0.004, -0.028, -0.042, -0.041, 0.042, 0.018, -0.01, 0.026, -0.059, -0.035, 0.07, -0.023, 0.002, 0.047, 0.025, 0.029, -0.006, -0.02]"/>
  </r>
  <r>
    <x v="200"/>
    <x v="301"/>
    <x v="0"/>
    <n v="0"/>
    <s v="LINESTRING (9.247136023175235 60.984954725615886, 9.245904787807488 60.98506479748513, 9.245828837096337 60.98507866793262, 9.245009882728192 60.9852615904954, 9.244964193771628 60.985275036770766, 9.244927980520542 60.98528497285916, 9.24487369142441 60.98529986028856, 9.24475495304976 60.985332422782584, 9.244514134102987 60.985398295568785, 9.244110561347258 60.985518808573545)"/>
    <s v="[248729, 248737, 248745, 248753, 248761, 248769, 248777, 248785, 248793]"/>
    <s v="[249650, 249658, 249664, 249671, 249679, 249685, 249692, 249700, 238775]"/>
    <s v="0.004415566965420792"/>
    <s v="[120302, 249650, 249658, 249664, 249671, 249679, 249685, 249692, 249700]"/>
    <s v="[0.001, 0.004, 0.074, 0.171, 0.002, 0.15, 0.103, 0.118, 0.25]"/>
    <s v="177.87358121372216"/>
    <s v="[0.001, -0.004, 0.074, 0.171, 0.002, 0.15, 0.103, 0.118, -0.25]"/>
  </r>
  <r>
    <x v="200"/>
    <x v="301"/>
    <x v="0"/>
    <n v="0"/>
    <s v="LINESTRING (9.247136023175235 60.984954725615886, 9.246099222966578 60.98510760780059, 9.245960555443236 60.98513359288015, 9.245886026689895 60.985148919552465, 9.245089054696624 60.98532291745147, 9.245042319209913 60.98533365434236, 9.244994959641888 60.985344562542245, 9.244937427488273 60.98535781680527, 9.244811612914702 60.98538679062953, 9.244565065819694 60.98544041852131, 9.244110561347258 60.985518808573545)"/>
    <s v="[293094, 293102, 293110, 293118, 293126, 293134, 293142, 293150, 293158, 293166]"/>
    <s v="[285858, 285867, 285875, 285883, 285889, 285895, 285903, 285910, 248841, 238775]"/>
    <s v="0.004502333008257798"/>
    <s v="[120302, 285858, 285867, 285875, 285883, 285889, 285895, 285903, 285910, 248841]"/>
    <s v="[0.003, 0.061, 0.114, 0.085, 0.081, 0.081, 0.146, 0.101, 0.087, 0.283]"/>
    <s v="175.86720468441493"/>
    <s v="[0.003, 0.061, 0.114, 0.085, 0.081, 0.081, 0.146, 0.101, 0.087, -0.283]"/>
  </r>
  <r>
    <x v="200"/>
    <x v="302"/>
    <x v="19"/>
    <n v="0"/>
    <s v="LINESTRING (9.290805761545295 60.97149757221295, 9.289999686854053 60.971757164495884, 9.288401619475696 60.972206712121555, 9.286144054003309 60.97267039304308, 9.283666299742684 60.97308818781372, 9.282846445178327 60.97322492843237, 9.282297639807856 60.97331706226171, 9.282158367962834 60.97333958195378, 9.282006697188178 60.973364094419594, 9.26117756904773 60.98116185440387, 9.260516071755337 60.981423073244294, 9.248200172213657 60.9848957088279, 9.247136023175235 60.984954725615886)"/>
    <s v="[1763540, 1763548, 266363, 266371, 266379, 266387, 266395, 266403, 235615, 235623, 235631, 235639]"/>
    <s v="[1558482, 263887, 263888, 263895, 263900, 263907, 263912, 238746, 121080, 238754, 238762, 120302]"/>
    <s v="#FIELD!"/>
    <s v="[1558481, 1558482, 263887, 263888, 263895, 263900, 263907, 263912, 238746, 121080, 238754, 238762]"/>
    <s v="[0.025, 0.053, 0.001, 0.08, 0.096, 0.103, 0.117, 0.463, 0.006, 0.003, 0.005, 0.001]"/>
    <s v="2931.6082909679626"/>
    <s v="[0.025, -0.053, 0.001, -0.08, -0.096, -0.103, -0.117, -0.463, -0.006, 0.003, -0.005, -0.001]"/>
  </r>
  <r>
    <x v="201"/>
    <x v="303"/>
    <x v="0"/>
    <n v="0"/>
    <s v="LINESTRING (9.244110561347258 60.985518808573545, 9.24300475188783 60.985754205262324, 9.241515950354588 60.98606575427412, 9.238870883709803 60.986653465939426, 9.238436896179246 60.98675470921357, 9.236768363242776 60.98716125438638, 9.234789078437071 60.987547934654486, 9.233710450501865 60.98743125278924, 9.23332207567733 60.987192769684185, 9.233091464333716 60.98697253173662, 9.232877031484088 60.986728762665216)"/>
    <s v="[235647, 235655, 235663, 235671, 235679, 235687, 235695, 235703, 235711, 235719]"/>
    <s v="[120627, 238783, 238788, 238794, 238801, 238812, 120436, 189368, 122668, 238838]"/>
    <s v="0.0011017787432325563"/>
    <s v="[238775, 120627, 238783, 238788, 238794, 238801, 238812, 120436, 189368, 122668]"/>
    <s v="[0.008, 0.008, 0.031, 0.067, 0.061, 0.015, 0.083, 0.123, 0.106, 0.093]"/>
    <s v="706.9811529083481"/>
    <s v="[0.008, 0.008, 0.031, 0.067, 0.061, 0.015, -0.083, -0.123, -0.106, -0.093]"/>
  </r>
  <r>
    <x v="202"/>
    <x v="304"/>
    <x v="0"/>
    <n v="0"/>
    <s v="LINESTRING (9.232877031484088 60.986728762665216, 9.232748910189713 60.98665046512692, 9.232684812887772 60.98655760341039, 9.23266760788553 60.986533594637855, 9.232661016454221 60.98652439068797, 9.232505264750015 60.98627620702644, 9.23246505904054 60.98620177147496, 9.232449484613063 60.98617379066445, 9.232299271767408 60.98595936834725, 9.232274122314937 60.98593818736283, 9.232149339520321 60.9858662168499, 9.23202861780912 60.98578557135825)"/>
    <s v="[1804832, 1804840, 1804848, 1804856, 1804864, 1804872, 1804880, 1804888, 1804896, 1804904, 1804912]"/>
    <s v="[1590600, 1590617, 1590638, 449574, 1590646, 1590654, 1590659, 1590664, 1590583, 1590594, 238846]"/>
    <s v="#FIELD!"/>
    <s v="[238838, 1590600, 1590617, 1590638, 449574, 1590646, 1590654, 1590659, 1590664, 1590583, 1590594]"/>
    <s v="[2.357, 0.172, 0.203, 0.195, 0.162, 0.173, 0.174, 0.152, 0.136, 0.122, 1.302]"/>
    <s v="116.8186108301149"/>
    <s v="[2.357, -0.172, -0.203, -0.195, -0.162, -0.173, -0.174, -0.152, -0.136, -0.122, -1.302]"/>
  </r>
  <r>
    <x v="202"/>
    <x v="304"/>
    <x v="0"/>
    <n v="0"/>
    <s v="LINESTRING (9.232877031484088 60.986728762665216, 9.232844373935045 60.98663196571605, 9.232778626718973 60.98654002349675, 9.232764101577526 60.9865180921899, 9.232760494759301 60.98651265317284, 9.232611839395963 60.98627924959381, 9.232593840297667 60.98624564644971, 9.232557252070578 60.98617903598199, 9.23239263602854 60.98592590766766, 9.23235438594791 60.98589932139499, 9.232230297601886 60.985826894640866, 9.23202861780912 60.98578557135825)"/>
    <s v="[1804920, 1804928, 1804936, 1804944, 1804952, 1804960, 1804968, 1804976, 1804984, 1804992, 1805000]"/>
    <s v="[1590599, 1590616, 1590691, 449566, 1590701, 1590707, 1590712, 1590716, 1590575, 1590590, 238846]"/>
    <s v="#FIELD!"/>
    <s v="[238838, 1590599, 1590616, 1590691, 449566, 1590701, 1590707, 1590712, 1590716, 1590575, 1590590]"/>
    <s v="[2.448, 0.172, 0.168, 0.287, 0.168, 0.15, 0.17, 0.156, 0.154, 0.122, 1.158]"/>
    <s v="119.7935028122976"/>
    <s v="[2.448, -0.172, -0.168, -0.287, -0.168, -0.15, -0.17, -0.156, -0.154, -0.122, -1.158]"/>
  </r>
  <r>
    <x v="203"/>
    <x v="305"/>
    <x v="20"/>
    <s v="[0, 0, 0, 1, 1, 0, 0, 0, 0, 0, 0, 0, 0, 0, 0, 0, 0, 0, 0, 0, 0, 0, 0, 0, 0, 0, 0, 0, 0, 0, 0, 0, 0, 0, 0, 0, 0, 0, 0, 0, 0, 0, 0, 0, 0, 0, 0, 0, 0, 0, 0, 0, 0, 0, 0, 0, 0, 0, 0, 0, 0, 0, 0, 0, 0, 0, 0, 0, 0, 0, 0, 0, 0, 0, 0, 0, 0, 0, 0, 0, 0, 0, 0, 0, 0, 0, 0, 0, 0, 0, 0, 0, 0, 0, 0, 0, 0, 0, 0, 0, 0, 0, 0, 0, 0, 0, 0, 0, 0, 0, 0, 0, 0, 0, 0]"/>
    <s v="LINESTRING (9.23202861780912 60.98578557135825, 9.231178318264606 60.98560948347024, 9.230768531320633 60.98551411639145, 9.229793804343693 60.9852248954797, 9.229368201758565 60.98508480623626, 9.228896024547579 60.98493041878778, 9.228690338831786 60.98484587875191, 9.228619616176154 60.98479786709457, 9.228561013872362 60.98474292202949, 9.228651472604799 60.984400123193055, 9.22912661465626 60.983906329142116, 9.229466508133319 60.98361466840761, 9.230469870745603 60.98279791887169, 9.231007116802045 60.982018644448836, 9.230777663765954 60.98169705025923, 9.230245096239836 60.98126439148567, 9.229527725902875 60.98064378808115, 9.228828362994447 60.980073861378095, 9.228786809333707 60.980048887352424, 9.228062440134435 60.979755275446095, 9.226150196149282 60.979315062814074, 9.223387646808103 60.97875258238613, 9.222894830589132 60.978720244477294, 9.221832075165894 60.978679875076715, 9.220227604710875 60.97853806972787, 9.218016932520234 60.97831809539972, 9.217342103539155 60.97825088071986, 9.21633547392063 60.977916004755734, 9.215030587037278 60.97746785199422, 9.211969829921458 60.977468391852085, 9.206865802844026 60.97747468877539, 9.20144951381715 60.97660258217781, 9.194841383263261 60.975705736280574, 9.192179907085544 60.975615182504924, 9.1910940403051 60.97551354681726, 9.190538862870786 60.97545084409019, 9.188712738806062 60.975251140397134, 9.187620679126274 60.97531976102264, 9.187396693367186 60.97534855810125, 9.185898116975208 60.97565612517387, 9.185481957071076 60.97575692482381, 9.184915821672778 60.97590446525786, 9.18441823476608 60.97603174355817, 9.182666147510659 60.976510336634924, 9.182318397801577 60.97661125284751, 9.182245515712445 60.97663317866709, 9.179063679709316 60.97784555976355, 9.175368575297554 60.97908022590989, 9.17449672667191 60.979373281213675, 9.17392686174977 60.97956013871575, 9.173772260163409 60.979611611172615, 9.169568064058694 60.9806419155561, 9.167519324718578 60.98108237313128, 9.164553711698737 60.982187743166584, 9.161343278154417 60.9825950215783, 9.16008781363937 60.982679834492174, 9.158144351438336 60.98270335631356, 9.154535905126624 60.98265101896142, 9.149114590705008 60.98192440070321, 9.149024712958136 60.981911079628226, 9.147747124708168 60.981981813891586, 9.14762071517099 60.98201183432351, 9.140289096328418 60.98221009070129, 9.139453867994227 60.982056000820464, 9.138576754701958 60.98185796282146, 9.131628651945938 60.98123402341557, 9.126401656145514 60.98307850725666, 9.126172102335726 60.98316572506855, 9.12573499253112 60.98332952524234, 9.123091913440623 60.98430967769335, 9.122841158260268 60.98441080030046, 9.12217952842605 60.984746039325245, 9.118694499657742 60.98843826348947, 9.117677657032191 60.989691564733945, 9.11715825367744 60.99075870631838, 9.115997939174731 60.99324778454372, 9.115978294563206 60.99420599377787, 9.115449885435153 60.995326190268415, 9.11518234047635 60.99577272019873, 9.115157249872556 60.99581600731415, 9.115134765305463 60.995858238106166, 9.114840247753222 60.99649635339042, 9.113255434284307 61.000044803093736, 9.112240953348405 61.00096263603571, 9.10326881182592 61.00725725502936, 9.103186860797233 61.007393976673285, 9.102690587984627 61.00830123922075, 9.10122524213909 61.00995703665445, 9.099868653132788 61.01122090104035, 9.099452717691587 61.011668849195544, 9.098798450207273 61.012277066808245, 9.097519664438568 61.01298177412312, 9.095395690073644 61.01492260317748, 9.091448730152466 61.01772259081851, 9.08893104089609 61.02002249036576, 9.085964406645434 61.02287689615652, 9.085761068339737 61.02307685207674, 9.085661649140436 61.023163585833586, 9.08446044962749 61.02387421385085, 9.081394806145429 61.02550371634044, 9.079775969779954 61.026906294659845, 9.077157454530662 61.028188206077445, 9.075091008988487 61.0289775176069, 9.074736661952423 61.029077883444806, 9.072539261642053 61.030067346554645, 9.071323282370095 61.030698297903356, 9.068956359760175 61.03096760620001, 9.067949509675472 61.03109319686139, 9.067670091776357 61.031136246676056, 9.067081280202913 61.03122768520949, 9.060860702726599 61.031794032188486, 9.060516195804984 61.03187426002997, 9.056564148217344 61.03321934459229, 9.05639438871129 61.033788187006984, 9.056319724633822 61.034237880702456, 9.056247852569172 61.034643435747064)"/>
    <s v="[235727, 235735, 235743, 235751, 235759, 235767, 235775, 235783, 235791, 235799, 235807, 235815, 235823, 235831, 235839, 235847, 235855, 235863, 235871, 235879, 235887, 235895, 235903, 235911, 235919, 235927, 235935, 235943, 235951, 235959, 235967, 235975, 235983, 235991, 235999, 236007, 236015, 236023, 236031, 236039, 236047, 236055, 236063, 236071, 236079, 236087, 236095, 236103, 236111, 236119, 236127, 236135, 236143, 236151, 236159, 236167, 236175, 236183, 236191, 236199, 236207, 236215, 236223, 236231, 236239, 236247, 236255, 236263, 236271, 236281, 236289, 236297, 236305, 236313, 236321, 236329, 236337, 236345, 236353, 236361, 236369, 236377, 236385, 1776924, 1776932, 236393, 236401, 236409, 236417, 236425, 236433, 236441, 236449, 236457, 236465, 236474, 236482, 236490, 236498, 236506, 236514, 236522, 236530, 236538, 236546, 236554, 236562, 236570, 1776856, 1776864, 1776872, 1776880, 1776892, 236578, 236586]"/>
    <s v="[238847, 120543, 238856, 238860, 238866, 238872, 238882, 238891, 238899, 238906, 238915, 121091, 181768, 238934, 238945, 195240, 238962, 238972, 195192, 120430, 238991, 196923, 239001, 195172, 239018, 239022, 239031, 239039, 239046, 118620, 239064, 239071, 239080, 239089, 190082, 187658, 239107, 239112, 186400, 187677, 187597, 239137, 239146, 239153, 187686, 239166, 187694, 239181, 239186, 239194, 187329, 239208, 187332, 239222, 239229, 187343, 186927, 239250, 239257, 239263, 239270, 239280, 239286, 239295, 186254, 239305, 187391, 239315, 239321, 187318, 239334, 187422, 239347, 239353, 239358, 186820, 239367, 239372, 239379, 239385, 239391, 118456, 239402, 1567566, 239408, 198560, 239415, 198502, 190046, 239433, 198515, 239446, 239452, 196885, 239464, 239473, 239479, 108725, 199014, 194881, 194879, 239506, 188996, 199924, 200841, 239530, 239540, 239545, 1567508, 1567516, 1567372, 1567346, 239554, 239555, 239563]"/>
    <s v="0.0024645760364401825"/>
    <s v="[238846, 238847, 120543, 238856, 238860, 238866, 238872, 238882, 238891, 238899, 238906, 238915, 121091, 181768, 238934, 238945, 195240, 238962, 238972, 195192, 120430, 238991, 196923, 239001, 195172, 239018, 239022, 239031, 239039, 239046, 118620, 239064, 239071, 239080, 239089, 190082, 187658, 239107, 239112, 186400, 187677, 187597, 239137, 239146, 239153, 187686, 239166, 187694, 239181, 239186, 239194, 187329, 239208, 187332, 239222, 239229, 187343, 186927, 239250, 239257, 239263, 239270, 239280, 239286, 239295, 186254, 239305, 187391, 239315, 239321, 187318, 239334, 187422, 239347, 239353, 239358, 186820, 239367, 239372, 239379, 239385, 239391, 118456, 239402, 1567566, 239408, 198560, 239415, 198502, 190046, 239433, 198515, 239446, 239452, 196885, 239464, 239473, 239479, 108725, 199014, 194881, 194879, 239506, 188996, 199924, 200841, 239530, 239540, 239545, 1567508, 1567516, 1567372, 1567346, 239554, 239555]"/>
    <s v="[0.012, 0.018, 0.024, 0.077, 0.087, 0.088, 0.081, 0.077, 0.027, 0.005, 0.011, 0.001, 0.003, 0.029, 0.039, 0.017, 0.005, 0.028, 0.039, 0.032, 0.004, 0.034, 0.089, 0.048, 0.077, 0.086, 0.029, 0.006, 0.036, 0.025, 0.048, 0.003, 0.002, 0.026, 0.0, 0.001, 0.009, 0.008, 0.02, 0.016, 0.007, 0.004, 0.011, 0.002, 0.0, 0.0, 0.009, 0.019, 0.033, 0.042, 0.001, 0.003, 0.002, 0.026, 0.163, 0.012, 0.02, 0.007, 0.052, 0.038, 0.044, 0.03, 0.007, 0.025, 0.046, 0.003, 0.004, 0.006, 0.0, 0.004, 0.0, 0.0, 0.002, 0.002, 0.0, 0.0, 0.001, 0.001, 0.001, 0.001, 0.0, 0.013, 0.013, 0.022, 0.026, 0.055, 0.039, 0.04, 0.04, 0.071, 0.102, 0.037, 0.029, 0.002, 0.015, 0.022, 0.003, 0.01, 0.008, 0.005, 0.02, 0.015, 0.016, 0.002, 0.074, 0.05, 0.051, 0.072, 0.286, 0.055, 0.014, 0.001, 0.051, 0.053, 0.041]"/>
    <s v="14252.963891225687"/>
    <s v="[0.012, 0.018, 0.024, 0.077, 0.087, 0.088, 0.081, 0.077, 0.027, -0.005, -0.011, -0.001, -0.003, 0.029, 0.039, 0.017, 0.005, 0.028, 0.039, 0.032, -0.004, 0.034, 0.089, -0.048, -0.077, -0.086, -0.029, 0.006, 0.036, 0.025, -0.048, 0.003, -0.002, -0.026, 0.0, -0.001, -0.009, -0.008, 0.02, 0.016, 0.007, 0.004, 0.011, 0.002, -0.0, -0.0, -0.009, -0.019, -0.033, -0.042, 0.001, -0.003, -0.002, 0.026, 0.163, -0.012, -0.02, -0.007, 0.052, -0.038, -0.044, 0.03, 0.007, 0.025, -0.046, -0.003, -0.004, -0.006, -0.0, -0.004, -0.0, 0.0, 0.002, -0.002, 0.0, 0.0, 0.001, 0.001, 0.001, -0.001, -0.0, 0.013, 0.013, 0.022, -0.026, 0.055, 0.039, -0.04, 0.04, 0.071, -0.102, -0.037, -0.029, 0.002, 0.015, 0.022, 0.003, 0.01, -0.008, -0.005, 0.02, -0.015, -0.016, 0.002, 0.074, 0.05, 0.051, 0.072, 0.286, -0.055, -0.014, -0.001, 0.051, 0.053, 0.041]"/>
  </r>
  <r>
    <x v="204"/>
    <x v="306"/>
    <x v="0"/>
    <n v="0"/>
    <s v="LINESTRING (9.056247852569172 61.034643435747064, 9.056145519760207 61.03485445323959, 9.056074786389544 61.03507768927899)"/>
    <s v="[1778044, 1778052]"/>
    <s v="[1568457, 239569]"/>
    <s v="0.005406788656270983"/>
    <s v="[239563, 1568457]"/>
    <s v="[0.041, 0.029]"/>
    <s v="49.53810060837638"/>
    <s v="[0.041, -0.029]"/>
  </r>
  <r>
    <x v="204"/>
    <x v="306"/>
    <x v="0"/>
    <n v="0"/>
    <s v="LINESTRING (9.056247852569172 61.034643435747064, 9.05623968227006 61.03486486213159, 9.056074786389544 61.03507768927899)"/>
    <s v="[1778060, 1778083]"/>
    <s v="[1568474, 239569]"/>
    <s v="0.004838295705120661"/>
    <s v="[239563, 1568474]"/>
    <s v="[0.05, 0.039]"/>
    <s v="50.77624742217904"/>
    <s v="[0.05, -0.039]"/>
  </r>
  <r>
    <x v="205"/>
    <x v="307"/>
    <x v="0"/>
    <n v="0"/>
    <s v="LINESTRING (9.056074786389544 61.03507768927899, 9.055820330177436 61.03536410773042, 9.055581510359826 61.03559798703627, 9.054757217202107 61.03648922920166, 9.054619177861456 61.03664249411385, 9.054217310220977 61.03702962968525, 9.053818000484679 61.037401120954854)"/>
    <s v="[236594, 236602, 236610, 236618, 236626, 1776940]"/>
    <s v="[239570, 108823, 239582, 239587, 239595, 1567587]"/>
    <s v="#FIELD!"/>
    <s v="[239569, 239570, 108823, 239582, 239587, 239595]"/>
    <s v="[0.013, 0.024, 0.028, 0.04, 0.05, 0.116]"/>
    <s v="286.56363101667085"/>
    <s v="[-0.013, -0.024, -0.028, -0.04, -0.05, 0.116]"/>
  </r>
  <r>
    <x v="206"/>
    <x v="308"/>
    <x v="0"/>
    <n v="0"/>
    <s v="LINESTRING (8.795267691887442 61.14084866241953, 8.79714571890298 61.138984122066525, 8.80543493345436 61.13688711202945)"/>
    <s v="[1803264, 1803272]"/>
    <s v="[1589375, 240306]"/>
    <s v="#FIELD!"/>
    <s v="[240312, 1589375]"/>
    <s v="[0.018, 0.015]"/>
    <s v="763.4051058949523"/>
    <s v="[0.018, -0.015]"/>
  </r>
  <r>
    <x v="206"/>
    <x v="309"/>
    <x v="21"/>
    <s v="[0, 0, 0, 0, 0, 0, 0, 0, 0, 0, 0, 0, 0, 0, 0, 0, 0, 0, 0, 0, 0, 0, 0, 0, 0, 0, 0, 0, 0, 0, 0, 0, 0, 0, 1, 0, 0, 1, 0, 1, 0, 0, 0, 0, 0, 0, 0, 0, 0, 0, 0, 0, 0, 0, 0, 0, 0, 0, 0, 0, 0, 0, 0, 0, 0, 0, 0, 0, 0, 0, 0, 0, 0, 0, 0, 0, 0, 0, 0, 0, 0, 0, 0, 0, 0, 0, 0, 0, 0, 0, 0, 0, 0, 0, 0, 0, 0, 0, 0, 0, 0, 0, 0, 0, 0, 0, 0, 0, 0, 0, 0, 0, 0, 0, 0, 1, 0, 0, 0, 0, 0, 0, 0, 0]"/>
    <s v="LINESTRING (9.053649487796367 61.037796741194384, 9.053688337857114 61.03803003325217, 9.053744483513471 61.038128007925586, 9.053988273291228 61.038718953348734, 9.053657209591417 61.03928306073985, 9.051977695778923 61.04055275837281, 9.049073779669195 61.042609347098185, 9.041431586393957 61.05476218659663, 9.03949926852174 61.05698362465138, 9.038471974164885 61.05779405662057, 9.030604475925077 61.061243210213554, 9.027339452043702 61.0635139442542, 9.0228358306823 61.06559420321625, 9.020243075919963 61.06606521313045, 9.013760383425378 61.06951138707805, 9.01322893731996 61.06978178176146, 9.008355392633497 61.0725624098157, 9.008266165212648 61.072602387803556, 9.003340869724793 61.074886609178115, 9.001067785581876 61.07576446974649, 8.99803283014116 61.07727622139141, 8.997718697647098 61.07748717873216, 8.99704036212384 61.077931089591296, 8.996144218162824 61.07840041121671, 8.994574399248306 61.07902832128162, 8.993547353462935 61.07946847745972, 8.993460795724358 61.07950935827296, 8.99204520004601 61.08011576733164, 8.99199664059338 61.08013493171591, 8.991932203111118 61.08015996971817, 8.991767788507993 61.08021998527765, 8.991411531333062 61.08034932690214, 8.989886266684852 61.08089688638367, 8.983637700895859 61.085356866037216, 8.983150445687736 61.08556761493098, 8.983099930825366 61.08558876916307, 8.97961922531548 61.08863155061451, 8.970467215847055 61.096778123812506, 8.970481161493419 61.09682196934155, 8.96979701305107 61.09864085447466, 8.969762524135428 61.098675328272904, 8.96693101222382 61.1021512263844, 8.966890476687208 61.102236754319904, 8.966869201190677 61.102279923377914, 8.966311441737538 61.10311486988459, 8.966128780661018 61.103369619261294, 8.965448152986704 61.10430475482767, 8.965287390031044 61.10453053548798, 8.964772064244665 61.105254264615446, 8.964317606887988 61.105895825140315, 8.96359695501316 61.1068916438736, 8.963463219595578 61.107078420064774, 8.962506552524484 61.1082914558243, 8.962077775483923 61.108685547892435, 8.961614360651014 61.109043554249865, 8.960083515202367 61.11105456816935, 8.960106975178112 61.11122557124182, 8.960143815596632 61.11155315950662, 8.960121229751836 61.11205991232224, 8.959632820693475 61.11355122958462, 8.959008479780096 61.11470931782515, 8.958486203891797 61.11505436828053, 8.956336974799319 61.11735527456042, 8.956343006272402 61.117394219653995, 8.956374629530616 61.117605579245826, 8.95640516423807 61.11784836093767, 8.95641785179578 61.11791619401205, 8.956568718512171 61.11919094594224, 8.95646066934089 61.119335251948016, 8.956091681054831 61.11973355308746, 8.956078116270266 61.11975013444245, 8.955757863962742 61.120376986472785, 8.955743657103586 61.12042993547038, 8.955707923731946 61.12054430263934, 8.955486987196911 61.1212744789294, 8.952437199442048 61.12438741621649, 8.950406613623723 61.12554882841852, 8.946458358298901 61.12748645686688, 8.942904129597885 61.128386018779096, 8.939881210706695 61.12899032701241, 8.929567940964402 61.129636352431376, 8.92791399665747 61.13073950408012, 8.927462116687506 61.13137226678864, 8.924780157733592 61.132904795507, 8.921328948082362 61.13314812359622, 8.916769362660606 61.13387417104247, 8.913161069661149 61.133954060196935, 8.9016357226052 61.13418226443826, 8.899814741662441 61.13444750993144, 8.893881410866213 61.134865978186944, 8.89320722745831 61.13472648411468, 8.892895009767537 61.134661018979436, 8.890665059968237 61.134448045653244, 8.88743573592209 61.134942345728, 8.885884695344952 61.1352065638497, 8.883483382328901 61.13560957105211, 8.882789972731764 61.13575498631408, 8.881016353615868 61.136152197362286, 8.878090900254364 61.13692282345539, 8.87713802025996 61.13714983919739, 8.875203970756067 61.1375361613786, 8.873035379617315 61.13758452621065, 8.869529000618593 61.135967145065244, 8.864944983419702 61.13412139157685, 8.860060109905165 61.13333172251097, 8.853922529408527 61.13317051955634, 8.851971530790705 61.13339384432713, 8.844551654358826 61.13543670036364, 8.84300834160188 61.13564847601706, 8.839693258016316 61.136136011866846, 8.837352699568804 61.13699554425835, 8.82854723682318 61.13716513655285, 8.828203651945834 61.13715043197401, 8.826732559910992 61.137118639796284, 8.826385130585749 61.13711823569249, 8.823550661697757 61.13719180761381, 8.823280014803947 61.13720507229864, 8.822815532271532 61.137229356420065, 8.820279943754715 61.137469817159044, 8.819310793047384 61.137581668873054, 8.811367956737108 61.13692913134632, 8.809356535992098 61.13698772264389, 8.80868415640458 61.13702859894975, 8.806864364172156 61.136983300265626, 8.80543493345436 61.13688711202945)"/>
    <s v="[1776948, 236634, 236642, 236650, 236658, 236666, 236674, 236682, 1776956, 1776964, 1776972, 1776980, 1777004, 1777012, 1777020, 1777028, 1777036, 1777044, 1777052, 1777060, 604539, 604547, 604555, 604563, 604571, 604579, 604587, 604595, 604603, 604611, 604619, 236698, 236706, 236714, 236722, 236730, 236738, 236746, 236754, 236762, 236770, 236778, 236786, 236794, 236802, 236810, 236818, 236826, 236834, 236842, 236850, 236858, 236866, 236874, 236882, 236890, 236898, 236906, 236914, 236922, 236930, 236938, 236946, 236954, 236962, 236970, 236978, 236986, 236994, 237002, 237010, 237018, 237026, 237034, 237042, 237050, 237058, 237066, 237074, 237082, 237090, 237098, 237106, 237114, 237122, 237130, 237138, 237146, 237154, 237162, 237170, 237178, 237186, 237194, 237202, 237210, 237218, 237226, 237234, 237242, 237250, 237258, 237266, 237274, 237282, 237290, 237298, 237306, 237315, 237323, 237331, 237339, 237347, 237355, 237363, 237371, 237379, 237387, 237395, 237403, 237411, 237419, 237427, 237435]"/>
    <s v="[239601, 239602, 239609, 239615, 239623, 199807, 109075, 239642, 1567453, 363756, 363753, 363752, 363747, 363746, 1567653, 1567661, 1567667, 1567628, 1567551, 606401, 606402, 606408, 606415, 606352, 606427, 606432, 606436, 606378, 606446, 606394, 239658, 239659, 239665, 239671, 239678, 239683, 239691, 239699, 239707, 239712, 239720, 239728, 239734, 239744, 239751, 239756, 239764, 189171, 239777, 239784, 239790, 239799, 239805, 198747, 239823, 194933, 239836, 194032, 199074, 239853, 239863, 239872, 239878, 199072, 239891, 239899, 239908, 239917, 239924, 239935, 239941, 239948, 198298, 188921, 198435, 199257, 199217, 199220, 194938, 240002, 240009, 199237, 240020, 240028, 198802, 198777, 193948, 193965, 240065, 240073, 201324, 108673, 240093, 108693, 198772, 240110, 240117, 240125, 240131, 198588, 240146, 240152, 240159, 240166, 240172, 240181, 240186, 197242, 199395, 111484, 240208, 240215, 240222, 240226, 240234, 240240, 111588, 240255, 240264, 240275, 196916, 198206, 240298, 240306]"/>
    <s v="0.0013491133061727801"/>
    <s v="[1567594, 239601, 239602, 239609, 239615, 239623, 199807, 109075, 239642, 1567453, 363756, 363753, 363752, 363747, 363746, 1567653, 1567661, 1567667, 1567628, 1567551, 606401, 606402, 606408, 606415, 606352, 606427, 606432, 606436, 606378, 606446, 606394, 239658, 239659, 239665, 239671, 239678, 239683, 239691, 239699, 239707, 239712, 239720, 239728, 239734, 239744, 239751, 239756, 239764, 189171, 239777, 239784, 239790, 239799, 239805, 198747, 239823, 194933, 239836, 194032, 199074, 239853, 239863, 239872, 239878, 199072, 239891, 239899, 239908, 239917, 239924, 239935, 239941, 239948, 198298, 188921, 198435, 199257, 199217, 199220, 194938, 240002, 240009, 199237, 240020, 240028, 198802, 198777, 193948, 193965, 240065, 240073, 201324, 108673, 240093, 108693, 198772, 240110, 240117, 240125, 240131, 198588, 240146, 240152, 240159, 240166, 240172, 240181, 240186, 197242, 199395, 111484, 240208, 240215, 240222, 240226, 240234, 240240, 111588, 240255, 240264, 240275, 196916, 198206, 240298]"/>
    <s v="[0.354, 0.003, 0.014, 0.015, 0.021, 0.014, 0.004, 0.024, 0.217, 0.029, 0.046, 0.016, 0.104, 0.004, 0.019, 0.036, 0.019, 0.033, 0.003, 0.048, 0.052, 0.007, 0.016, 0.049, 0.036, 0.025, 0.009, 0.017, 0.02, 0.008, 0.186, 0.059, 0.01, 0.0, 0.005, 0.004, 0.01, 0.055, 0.053, 0.04, 0.001, 0.0, 0.003, 0.017, 0.011, 0.037, 0.039, 0.046, 0.062, 0.017, 0.004, 0.043, 0.001, 0.082, 0.039, 0.074, 0.081, 0.113, 0.062, 0.034, 0.133, 0.03, 0.004, 0.012, 0.014, 0.013, 0.001, 0.05, 0.053, 0.012, 0.009, 0.002, 0.004, 0.006, 0.012, 0.01, 0.009, 0.017, 0.001, 0.023, 0.076, 0.076, 0.039, 0.012, 0.028, 0.028, 0.015, 0.008, 0.016, 0.059, 0.031, 0.002, 0.008, 0.018, 0.001, 0.012, 0.019, 0.035, 0.058, 0.08, 0.002, 0.039, 0.012, 0.004, 0.016, 0.007, 0.007, 0.024, 0.001, 0.01, 0.002, 0.004, 0.007, 0.009, 0.011, 0.014, 0.014, 0.006, 0.002, 0.013, 0.022, 0.036, 0.035, 0.03]"/>
    <s v="20557.880435090887"/>
    <s v="[-0.354, 0.003, 0.014, 0.015, -0.021, 0.014, -0.004, 0.024, 0.217, -0.029, 0.046, 0.016, -0.104, 0.004, 0.019, -0.036, -0.019, 0.033, -0.003, -0.048, -0.052, -0.007, -0.016, 0.049, 0.036, 0.025, 0.009, -0.017, 0.02, 0.008, -0.186, -0.059, -0.01, -0.0, -0.005, -0.004, 0.01, 0.055, 0.053, 0.04, -0.001, -0.0, -0.003, -0.017, 0.011, 0.037, 0.039, 0.046, 0.062, 0.017, 0.004, 0.043, -0.001, -0.082, -0.039, 0.074, 0.081, 0.113, 0.062, -0.034, -0.133, -0.03, 0.004, 0.012, 0.014, 0.013, -0.001, -0.05, -0.053, -0.012, -0.009, -0.002, 0.004, 0.006, 0.012, 0.01, -0.009, -0.017, -0.001, -0.023, 0.076, 0.076, 0.039, -0.012, 0.028, -0.028, -0.015, 0.008, 0.016, -0.059, -0.031, 0.002, 0.008, 0.018, -0.001, 0.012, 0.019, 0.035, -0.058, -0.08, 0.002, -0.039, -0.012, 0.004, 0.016, -0.007, -0.007, 0.024, -0.001, 0.01, 0.002, 0.004, 0.007, 0.009, 0.011, 0.014, 0.014, 0.006, 0.002, 0.013, 0.022, 0.036, 0.035, 0.03]"/>
  </r>
  <r>
    <x v="207"/>
    <x v="310"/>
    <x v="0"/>
    <n v="0"/>
    <s v="LINESTRING (8.795267691887442 61.14084866241953, 8.61469496219722 61.138904456997714)"/>
    <m/>
    <m/>
    <s v="0.0"/>
    <m/>
    <n v="0"/>
    <s v="12556.027143805819"/>
    <n v="0"/>
  </r>
  <r>
    <x v="208"/>
    <x v="311"/>
    <x v="0"/>
    <n v="0"/>
    <m/>
    <n v="238318"/>
    <n v="240993"/>
    <s v="#FIELD!"/>
    <n v="240957"/>
    <s v="0.04"/>
    <s v="15.722506767638539"/>
    <s v="#FIELD!"/>
  </r>
  <r>
    <x v="208"/>
    <x v="312"/>
    <x v="0"/>
    <n v="0"/>
    <s v="LINESTRING (11.300716013027616 60.633395900731266, 11.300616051417727 60.63339331383033, 11.300191129834417 60.63336627249664)"/>
    <s v="[238262, 238270]"/>
    <s v="[240958, 240964]"/>
    <s v="0.03762124378278577"/>
    <s v="[240957, 240958]"/>
    <s v="[0.036, 0.038]"/>
    <s v="28.93173103892004"/>
    <s v="[0.036, 0.038]"/>
  </r>
  <r>
    <x v="208"/>
    <x v="313"/>
    <x v="0"/>
    <n v="0"/>
    <s v="LINESTRING (11.30062487632675 60.63350923535143, 11.300639110493544 60.63344895942131, 11.300716013027616 60.633395900731266)"/>
    <s v="[238302, 238310]"/>
    <s v="[240983, 240957]"/>
    <s v="#FIELD!"/>
    <s v="[240969, 240983]"/>
    <s v="[0.024, 0.038]"/>
    <s v="14.01969927555163"/>
    <s v="[-0.024, -0.038]"/>
  </r>
  <r>
    <x v="209"/>
    <x v="314"/>
    <x v="0"/>
    <s v="[0, 1, 0]"/>
    <s v="LINESTRING (11.300191129834417 60.63336627249664, 11.300067520653615 60.63334348140052, 11.298991964550982 60.633145122159384, 11.298866886052934 60.63312207351891)"/>
    <s v="[1406678, 1406686, 1406694]"/>
    <s v="[1287107, 1287115, 1287096]"/>
    <s v="0.031249959538029656"/>
    <s v="[240964, 1287107, 1287115]"/>
    <s v="[0.027, 0.032, 0.029]"/>
    <s v="77.42324031375723"/>
    <s v="[0.027, 0.032, 0.029]"/>
  </r>
  <r>
    <x v="209"/>
    <x v="313"/>
    <x v="0"/>
    <n v="0"/>
    <s v="LINESTRING (11.30062487632675 60.63350923535143, 11.30054521349799 60.63347629104403, 11.300191129834417 60.63336627249664)"/>
    <s v="[238278, 238286]"/>
    <s v="[240970, 240964]"/>
    <s v="0.02240743393769347"/>
    <s v="[240969, 240970]"/>
    <s v="[0.016, 0.024]"/>
    <s v="28.633035124197246"/>
    <s v="[0.016, 0.024]"/>
  </r>
  <r>
    <x v="210"/>
    <x v="315"/>
    <x v="0"/>
    <n v="0"/>
    <m/>
    <n v="238294"/>
    <n v="240969"/>
    <s v="0.028"/>
    <n v="240978"/>
    <s v="0.028"/>
    <s v="20.38397275893292"/>
    <s v="0.028"/>
  </r>
  <r>
    <x v="211"/>
    <x v="316"/>
    <x v="0"/>
    <n v="0"/>
    <s v="LINESTRING (11.300887553115661 60.63361852061958, 11.30084570813004 60.63364799408549, 11.298591406973594 60.63719762312073, 11.298572301990133 60.637250699361836, 11.298414238396445 60.63738268146993)"/>
    <s v="[238358, 238366, 238374, 239056]"/>
    <s v="[241023, 241030, 241038, 241509]"/>
    <s v="0.007449710529770627"/>
    <s v="[240978, 241023, 241030, 241038]"/>
    <s v="[0.016, 0.007, 0.006, 0.017]"/>
    <s v="446.195679576711"/>
    <s v="[0.016, 0.007, 0.006, 0.017]"/>
  </r>
  <r>
    <x v="211"/>
    <x v="311"/>
    <x v="0"/>
    <n v="0"/>
    <s v="LINESTRING (11.300989783828282 60.633379748906954, 11.301134468447982 60.63349511588389, 11.301104604593588 60.633551274182935, 11.300981727560707 60.633607914355764, 11.300887553115661 60.63361852061958)"/>
    <s v="[238326, 238334, 238342, 238350]"/>
    <s v="[240947, 241008, 240925, 240978]"/>
    <s v="0.013556688886958334"/>
    <s v="[240993, 240947, 241008, 240925]"/>
    <s v="[0.004, 0.023, 0.024, 0.036]"/>
    <s v="36.705491328139495"/>
    <s v="[-0.004, 0.023, 0.024, 0.036]"/>
  </r>
  <r>
    <x v="212"/>
    <x v="317"/>
    <x v="0"/>
    <n v="0"/>
    <s v="LINESTRING (11.299900537311894 60.62939841415242, 11.299917155739092 60.62943744234598, 11.299954218481849 60.62959873594485, 11.3000659734565 60.631490309520316, 11.30068352487922 60.6325912198025, 11.300729997894086 60.63266782660948, 11.300962237470028 60.6332989292795, 11.300977258663554 60.63334441148051, 11.300989783828282 60.633379748906954)"/>
    <s v="[238984, 238992, 239000, 239008, 239016, 239024, 239032, 239040]"/>
    <s v="[241522, 241533, 241542, 241550, 241559, 241568, 241577, 240993]"/>
    <s v="0.016344342101994674"/>
    <s v="[241481, 241522, 241533, 241542, 241550, 241559, 241568, 241577]"/>
    <s v="[0.022, 0.025, 0.023, 0.008, 0.007, 0.011, 0.007, 0.014]"/>
    <s v="450.87078636154433"/>
    <s v="[0.022, 0.025, 0.023, 0.008, 0.007, 0.011, 0.007, 0.014]"/>
  </r>
  <r>
    <x v="213"/>
    <x v="182"/>
    <x v="0"/>
    <n v="0"/>
    <s v="LINESTRING (11.27619128422264 60.690822403938505, 11.276221024321897 60.69079019980872, 11.280860677036712 60.68766412333544, 11.281055263047428 60.68751222008226)"/>
    <s v="[238383, 238391, 238399]"/>
    <s v="[241045, 241052, 241059]"/>
    <s v="#FIELD!"/>
    <s v="[241044, 241045, 241052]"/>
    <s v="[0.008, 0.014, 0.022]"/>
    <s v="464.1914871979484"/>
    <s v="[-0.008, -0.014, 0.022]"/>
  </r>
  <r>
    <x v="213"/>
    <x v="179"/>
    <x v="0"/>
    <n v="0"/>
    <s v="LINESTRING (11.2760379271272 60.691054526546196, 11.275921282091574 60.69096948773715, 11.275930375585428 60.69090835126572, 11.276014210194422 60.69084908798697, 11.27619128422264 60.690822403938505)"/>
    <s v="[238760, 238768, 238776, 238784]"/>
    <s v="[229334, 241339, 229345, 241044]"/>
    <s v="#FIELD!"/>
    <s v="[241331, 229334, 241339, 229345]"/>
    <s v="[0.03, 0.006, 0.014, 0.036]"/>
    <s v="36.67044100583771"/>
    <s v="[0.03, 0.006, -0.014, -0.036]"/>
  </r>
  <r>
    <x v="214"/>
    <x v="318"/>
    <x v="0"/>
    <n v="0"/>
    <s v="LINESTRING (11.281055263047428 60.68751222008226, 11.282333045771653 60.68586531749381, 11.282383676861391 60.68577926913299)"/>
    <s v="[239222, 239190]"/>
    <s v="[241736, 241691]"/>
    <s v="0.013613383028154237"/>
    <s v="[241059, 241736]"/>
    <s v="[0.014, 0.006]"/>
    <s v="206.510232447892"/>
    <s v="[0.014, 0.006]"/>
  </r>
  <r>
    <x v="215"/>
    <x v="319"/>
    <x v="0"/>
    <s v="[0, 0, 0, 0, 0, 0, 0, 0, 0, 0, 0, 0, 0, 0, 0, 0, 0, 0, 0, 0, 0, 0, 0, 0, 0, 0, 0, 0, 0, 0, 0, 0, 0, 0, 1, 0]"/>
    <s v="LINESTRING (8.390720951451208 61.18409695165392, 8.390749802640508 61.184567690667606, 8.39076393261248 61.18497903581048, 8.389023060631184 61.19067466138538, 8.387711125445403 61.191610902127415, 8.386527249996092 61.192430966859526, 8.385684447732581 61.19328270551074, 8.385526861815357 61.193456320983394, 8.38548993986925 61.19349814555244, 8.383176589107649 61.19602131417022, 8.382583870289823 61.19659622184589, 8.382401358397598 61.19675132192335, 8.378694149895669 61.199450191696535, 8.376968854545046 61.200681503443235, 8.373734674798872 61.201812925577656, 8.3673341939694 61.20318058856354, 8.362365664550031 61.20501171928412, 8.36002074236951 61.20563071688023, 8.359883352213997 61.205659428243436, 8.359741703978873 61.205689461637526, 8.359715059464312 61.20569454750139, 8.359034958625639 61.20583068092261, 8.356855730155383 61.20655070602206, 8.353952439503471 61.207947908438115, 8.35357874597903 61.20805348162287, 8.352666557390926 61.20824199932232, 8.349869065385782 61.20863876120636, 8.343253822323813 61.209642644772366, 8.341982827252746 61.209866282111776, 8.341240862422874 61.209973355865166, 8.32481646036917 61.208773421024375, 8.32059728942906 61.20856704181018, 8.312598174221934 61.20797381409597, 8.310912719822927 61.20787110268332, 8.296625175559388 61.207587497607, 8.296206587731167 61.20743694231943, 8.295239213063613 61.20709917047479)"/>
    <s v="[1760884, 1760892, 1760900, 1343918, 1343938, 1343951, 1343959, 1343988, 1343996, 1344004, 1344014, 1344023, 1344031, 1344039, 1344047, 1760770, 1760780, 1760788, 1760796, 1760804, 1760812, 1760820, 1760681, 1760689, 1760697, 1760705, 1760713, 1760721, 1760729, 1760737, 1760541, 1760542, 1760549, 1760550, 238557, 238565]"/>
    <s v="[1556887, 1556890, 1246153, 302808, 1246163, 1246172, 1246179, 1246204, 1246213, 1246220, 1246227, 1246234, 1246239, 1246245, 1246252, 1556829, 377355, 1556842, 377346, 1556847, 1556852, 1556802, 1556796, 1556804, 1556791, 1556778, 302695, 1556774, 1556815, 1556735, 1556726, 1556721, 377436, 241170, 241171, 241176]"/>
    <s v="0.03108104662557094"/>
    <s v="[338533, 1556887, 1556890, 1246153, 302808, 1246163, 1246172, 1246179, 1246204, 1246213, 1246220, 1246227, 1246234, 1246239, 1246245, 1246252, 1556829, 377355, 1556842, 377346, 1556847, 1556852, 1556802, 1556796, 1556804, 1556791, 1556778, 302695, 1556774, 1556815, 1556735, 1556726, 1556721, 377436, 241170, 241171]"/>
    <s v="[0.008, 0.001, 0.003, 0.061, 0.008, 0.012, 0.014, 0.026, 0.078, 0.028, 0.066, 0.002, 0.124, 0.064, 0.034, 0.019, 0.096, 0.107, 0.102, 0.006, 0.095, 0.117, 0.116, 0.054, 0.03, 0.004, 0.006, 0.065, 0.055, 0.085, 0.124, 0.146, 0.151, 0.118, 0.119, 0.202]"/>
    <s v="6777.541284390588"/>
    <s v="[0.008, -0.001, 0.003, -0.061, -0.008, -0.012, -0.014, -0.026, 0.078, 0.028, 0.066, 0.002, 0.124, 0.064, -0.034, -0.019, 0.096, 0.107, 0.102, -0.006, 0.095, 0.117, 0.116, 0.054, 0.03, -0.004, -0.006, 0.065, 0.055, 0.085, 0.124, 0.146, 0.151, -0.118, 0.119, 0.202]"/>
  </r>
  <r>
    <x v="215"/>
    <x v="320"/>
    <x v="22"/>
    <s v="[0, 0, 0, 0, 1, 0, 0, 0, 0, 0, 0, 0, 0, 0, 0, 0, 0, 0, 0, 0, 0, 0, 0, 0, 0, 0, 0, 0, 0, 0, 0, 0, 0, 0, 0, 0, 1, 0, 0, 0, 0, 1, 0, 0, 0, 0, 0, 0, 0, 0, 0, 0, 0, 0, 0, 0, 0]"/>
    <s v="LINESTRING (8.079245577100332 61.17904497770818, 8.079245577100332 61.17904497770818, 8.083607831349996 61.17898974442296, 8.087666653525606 61.17922735822068, 8.092474361610826 61.179837768217645, 8.09279477803108 61.179882894228996, 8.093457838558162 61.17997504889403, 8.09346198741071 61.17997562199388, 8.093978029639318 61.18004474763998, 8.096595836177222 61.18028243990741, 8.11250572517766 61.17928720299741, 8.114458857827424 61.17919069308271, 8.11608655455664 61.17912259854664, 8.116977360542544 61.17909085151955, 8.118712349164083 61.17903820833551, 8.12010513011326 61.179005388995876, 8.121777488920127 61.178976998331606, 8.127262939254402 61.178969118680925, 8.133812120016009 61.178734015477744, 8.133947566010315 61.17872902739506, 8.134069739053887 61.17872532781502, 8.139162879653318 61.179223666374504, 8.23072670602578 61.20403726031651, 8.231939072609999 61.20402823983429, 8.231957632359466 61.20402809871107, 8.232191903830666 61.20402635395996, 8.234900867660913 61.20400568879164, 8.237488195612354 61.20398705358228, 8.237504394354175 61.203986946523656, 8.23758165865803 61.2039860349943, 8.23758602188926 61.20398598339469, 8.237675701486303 61.203985793355606, 8.239619400820558 61.20404371580205, 8.247778356014098 61.20469287830767, 8.24787979575037 61.20470323658941, 8.24799879602647 61.20471532084189, 8.25012054915712 61.20506445176597, 8.250859000637272 61.205193586023555, 8.251328611346016 61.20525840678266, 8.25204720016976 61.20532851687245, 8.25292680864831 61.205372452018096, 8.253915649088102 61.20536477571107, 8.254403058956296 61.20533922761198, 8.258018703930505 61.20467137766627, 8.258022089968081 61.20467048357547, 8.260088022774001 61.204121942161585, 8.262505036488546 61.203488901126114, 8.264085216475841 61.2032371081327, 8.266297792211532 61.20326745845855, 8.266848345932727 61.20334351951495, 8.267425812109954 61.20345653339917, 8.271983956586299 61.20430698949075, 8.275594103871944 61.204778109015045, 8.275938570588576 61.2048197895608, 8.2759773756992 61.20482436404368, 8.276157911282352 61.20484559971453, 8.293887366453292 61.2067976064885, 8.295239213063613 61.20709917047479)"/>
    <s v="[1259382, 1259426, 1259434, 1259450, 1259459, 1259467, 1259475, 1259487, 1259495, 1259503, 1259505, 1259509, 1259510, 1259517, 1259520, 1259521, 1259522, 1259529, 1259543, 1259568, 1259577, 1259591, 1259606, 1259611, 1259624, 1259632, 1259658, 1259666, 1259667, 1259674, 1259683, 1259687, 1259689, 1259694, 1259695, 1259696, 1259703, 1259708, 1259727, 1259728, 1259736, 1259744, 1259767, 1259775, 1259783, 1259805, 1259816, 1259821, 1259822, 1259979, 1260003, 1260018, 1260019, 1260027, 1260035, 1260043, 353035]"/>
    <s v="[1177070, 341101, 1177073, 1177129, 1177137, 1177143, 1177082, 1177157, 1177103, 1177108, 341172, 341139, 341145, 341146, 1177183, 341147, 341150, 1177187, 1177201, 1177225, 1177238, 1177253, 1177266, 1177270, 1177284, 1177290, 1177308, 1177313, 1177314, 1177318, 1177327, 1177333, 377363, 1177339, 377371, 1177340, 1177346, 1177351, 1177363, 341281, 1177369, 1177376, 1177392, 341290, 341321, 1177421, 341336, 1177432, 341343, 1177539, 341350, 341352, 341372, 1177578, 1177584, 341090, 241176]"/>
    <s v="#FIELD!"/>
    <s v="[341391, 1177070, 341101, 1177073, 1177129, 1177137, 1177143, 1177082, 1177157, 1177103, 1177108, 341172, 341139, 341145, 341146, 1177183, 341147, 341150, 1177187, 1177201, 1177225, 1177238, 1177253, 1177266, 1177270, 1177284, 1177290, 1177308, 1177313, 1177314, 1177318, 1177327, 1177333, 377363, 1177339, 377371, 1177340, 1177346, 1177351, 1177363, 341281, 1177369, 1177376, 1177392, 341290, 341321, 1177421, 341336, 1177432, 341343, 1177539, 341350, 341352, 341372, 1177578, 1177584, 341090]"/>
    <s v="[0.0, 0.034, 0.043, 0.045, 0.019, 0.024, 0.0, 0.023, 0.027, 0.001, 0.008, 0.016, 0.013, 0.011, 0.038, 0.044, 0.079, 0.012, 0.005, 0.004, 0.035, 0.024, 0.099, 0.109, 0.099, 0.093, 0.069, 0.044, 0.072, 0.162, 0.07, 0.071, 0.055, 0.062, 0.077, 0.033, 0.005, 0.018, 0.009, 0.001, 0.015, 0.023, 0.034, 0.0, 0.072, 0.071, 0.053, 0.006, 0.052, 0.079, 0.068, 0.061, 0.064, 0.007, 0.021, 0.041, 1.158]"/>
    <s v="12780.474014523179"/>
    <s v="[0.0, 0.034, 0.043, 0.045, 0.019, 0.024, 0.0, 0.023, 0.027, -0.001, -0.008, -0.016, -0.013, -0.011, 0.038, 0.044, 0.079, 0.012, 0.005, 0.004, 0.035, -0.024, -0.099, -0.109, -0.099, -0.093, -0.069, -0.044, -0.072, -0.162, -0.07, -0.071, -0.055, -0.062, -0.077, -0.033, -0.005, 0.018, 0.009, -0.001, -0.015, -0.023, -0.034, 0.0, 0.072, 0.071, 0.053, -0.006, -0.052, -0.079, -0.068, -0.061, -0.064, -0.007, -0.021, 0.041, -1.158]"/>
  </r>
  <r>
    <x v="216"/>
    <x v="191"/>
    <x v="0"/>
    <n v="0"/>
    <s v="LINESTRING (11.279277582540853 60.69151513313319, 11.279300770147707 60.691549231901334, 11.276764210719293 60.69508188714781, 11.276696234918125 60.695258115424295)"/>
    <s v="[238720, 238728, 238736]"/>
    <s v="[241304, 241312, 241317]"/>
    <s v="#FIELD!"/>
    <s v="[241303, 241304, 241312]"/>
    <s v="[0.013, 0.0, 0.016]"/>
    <s v="452.3713739195589"/>
    <s v="[-0.013, 0.0, -0.016]"/>
  </r>
  <r>
    <x v="216"/>
    <x v="321"/>
    <x v="0"/>
    <n v="0"/>
    <s v="LINESTRING (11.281135738473813 60.68805293930136, 11.281040669765455 60.68822619612259, 11.281006717234588 60.68828808897088, 11.279358784381866 60.691487945439086, 11.279277582540853 60.69151513313319)"/>
    <s v="[238848, 238856, 238864, 238872]"/>
    <s v="[241392, 241398, 241405, 241303]"/>
    <s v="0.0041134492135490005"/>
    <s v="[241391, 241392, 241398, 241405]"/>
    <s v="[0.04, 0.039, 0.007, 0.024]"/>
    <s v="407.7229921673468"/>
    <s v="[-0.04, -0.039, 0.007, 0.024]"/>
  </r>
  <r>
    <x v="217"/>
    <x v="321"/>
    <x v="0"/>
    <n v="0"/>
    <m/>
    <n v="239238"/>
    <n v="241317"/>
    <s v="0.002"/>
    <n v="241391"/>
    <s v="0.002"/>
    <s v="842.894423590135"/>
    <s v="0.002"/>
  </r>
  <r>
    <x v="218"/>
    <x v="316"/>
    <x v="0"/>
    <n v="0"/>
    <s v="LINESTRING (11.298414238396445 60.63738268146993, 11.292217882579562 60.651072439755154, 11.289007891925165 60.667663253662134, 11.28673710799888 60.675565734062275, 11.286390180157523 60.676484932966275, 11.284825805962527 60.68053448240146, 11.284427947656457 60.68156414851368, 11.282735045997281 60.68581362255896, 11.28269934625119 60.68588196565939, 11.281135738473813 60.68805293930136)"/>
    <s v="[238976, 239078, 239150, 239158, 239166, 239174, 239182, 239254, 239230]"/>
    <s v="[241515, 241630, 241699, 241708, 241715, 241722, 241728, 241772, 241391]"/>
    <s v="#FIELD!"/>
    <s v="[241509, 241515, 241630, 241699, 241708, 241715, 241722, 241728, 241772]"/>
    <s v="[0.001, 0.003, 0.008, 0.006, 0.003, 0.011, 0.012, 0.001, 0.016]"/>
    <s v="5738.539653805692"/>
    <s v="[0.001, -0.003, -0.008, -0.006, -0.003, 0.011, 0.012, -0.001, -0.016]"/>
  </r>
  <r>
    <x v="219"/>
    <x v="322"/>
    <x v="0"/>
    <n v="0"/>
    <s v="LINESTRING (11.299666131863741 60.628647526480485, 11.29971384379752 60.62937925080902, 11.299450337206618 60.63316271222949, 11.299431148371907 60.63327045208152, 11.298392835488407 60.63677206360767)"/>
    <s v="[1406766, 1406774, 1406782, 1406790]"/>
    <s v="[1287180, 1287188, 1287196, 241598]"/>
    <s v="0.014823417138645292"/>
    <s v="[241432, 1287180, 1287188, 1287196]"/>
    <s v="[0.028, 0.024, 0.024, 0.002]"/>
    <s v="910.1714165490969"/>
    <s v="[0.028, 0.024, 0.024, 0.002]"/>
  </r>
  <r>
    <x v="219"/>
    <x v="323"/>
    <x v="0"/>
    <n v="0"/>
    <s v="LINESTRING (11.30509710123894 60.599487871270604, 11.305884942486419 60.60005497370125, 11.305628593918454 60.61223600087233, 11.299666131863741 60.628647526480485)"/>
    <s v="[1406462, 1406470, 238888]"/>
    <s v="[1286918, 241431, 241432]"/>
    <s v="#FIELD!"/>
    <s v="[1286914, 1286918, 241431]"/>
    <s v="[0.011, 0.029, 0.001]"/>
    <s v="3418.73725295814"/>
    <s v="[-0.011, -0.029, 0.001]"/>
  </r>
  <r>
    <x v="219"/>
    <x v="324"/>
    <x v="0"/>
    <n v="0"/>
    <s v="LINESTRING (11.298227512111811 60.6328767872781, 11.29828123094353 60.632852443126126, 11.29835756461123 60.63280946367665, 11.299638050175616 60.628895010425694, 11.299652403343716 60.62875347608651, 11.299666131863741 60.628647526480485)"/>
    <s v="[1406734, 1406742, 1406750, 1406758, 238928]"/>
    <s v="[1287152, 1287159, 1287166, 241472, 241432]"/>
    <s v="#FIELD!"/>
    <s v="[1286994, 1287152, 1287159, 1287166, 241472]"/>
    <s v="[0.048, 0.045, 0.03, 0.031, 0.029]"/>
    <s v="487.5209839201723"/>
    <s v="[-0.048, -0.045, -0.03, -0.031, -0.029]"/>
  </r>
  <r>
    <x v="220"/>
    <x v="316"/>
    <x v="0"/>
    <n v="0"/>
    <s v="LINESTRING (11.299900537311894 60.62939841415242, 11.299645585726793 60.6332057421842, 11.299628122574024 60.63330530568131, 11.29864487023107 60.636779725895224, 11.298414238396445 60.63738268146993)"/>
    <s v="[238944, 238952, 238960, 238968]"/>
    <s v="[241488, 241495, 241502, 241509]"/>
    <s v="0.013003893661963832"/>
    <s v="[241481, 241488, 241495, 241502]"/>
    <s v="[0.024, 0.023, 0.002, 0.006]"/>
    <s v="895.2068328473783"/>
    <s v="[0.024, 0.023, 0.002, 0.006]"/>
  </r>
  <r>
    <x v="220"/>
    <x v="325"/>
    <x v="0"/>
    <n v="0"/>
    <s v="LINESTRING (11.30605074113208 60.60000877627011, 11.305798117335735 60.61227013359537, 11.299847488377637 60.628628010052324, 11.299900537311894 60.62939841415242)"/>
    <s v="[1406502, 238880, 238936]"/>
    <s v="[241421, 241422, 241481]"/>
    <s v="#FIELD!"/>
    <s v="[1286945, 241421, 241422]"/>
    <s v="[0.029, 0.001, 0.027]"/>
    <s v="3431.0652661217655"/>
    <s v="[-0.029, 0.001, 0.027]"/>
  </r>
  <r>
    <x v="221"/>
    <x v="318"/>
    <x v="23"/>
    <n v="0"/>
    <s v="LINESTRING (11.298392835488407 60.63677206360767, 11.298129715291186 60.637391592058684, 11.29190890056001 60.65105162039588, 11.288697346993445 60.667653199295934, 11.286081067780252 60.67646553923101, 11.28451829901566 60.68051085198773, 11.282383676861391 60.68577926913299)"/>
    <s v="[1406798, 1406806, 239064, 239126, 239134, 239142]"/>
    <s v="[1287210, 241615, 241616, 241678, 241684, 241691]"/>
    <s v="#FIELD!"/>
    <s v="[241598, 1287210, 241615, 241616, 241678, 241684]"/>
    <s v="[0.006, 0.0, 0.003, 0.008, 0.003, 0.014]"/>
    <s v="5540.601763397857"/>
    <s v="[0.006, 0.0, -0.003, -0.008, -0.003, 0.014]"/>
  </r>
  <r>
    <x v="221"/>
    <x v="326"/>
    <x v="0"/>
    <n v="0"/>
    <s v="LINESTRING (11.298134020325216 60.63312056299911, 11.298139428407547 60.63315634179479, 11.298383468298125 60.63658712485361, 11.298392835488407 60.63677206360767)"/>
    <s v="[1406718, 1406726, 239048]"/>
    <s v="[1287142, 241597, 241598]"/>
    <s v="#FIELD!"/>
    <s v="[1286962, 1287142, 241597]"/>
    <s v="[0.021, 0.005, 0.001]"/>
    <s v="413.8665544047952"/>
    <s v="[0.021, -0.005, -0.001]"/>
  </r>
  <r>
    <x v="222"/>
    <x v="327"/>
    <x v="0"/>
    <n v="0"/>
    <m/>
    <n v="242733"/>
    <n v="244655"/>
    <s v="0.026"/>
    <n v="244654"/>
    <s v="0.026"/>
    <s v="10.086788388799047"/>
    <s v="0.026"/>
  </r>
  <r>
    <x v="222"/>
    <x v="328"/>
    <x v="0"/>
    <n v="0"/>
    <s v="LINESTRING (9.127601313885638 62.07549193943606, 9.127687557192735 62.07543718509367, 9.127808106885446 62.07540748098897)"/>
    <s v="[242798, 242806]"/>
    <s v="[244701, 244654]"/>
    <s v="0.028420264790216882"/>
    <s v="[244696, 244701]"/>
    <s v="[0.026, 0.031]"/>
    <s v="14.71535683243572"/>
    <s v="[0.026, 0.031]"/>
  </r>
  <r>
    <x v="222"/>
    <x v="329"/>
    <x v="0"/>
    <n v="0"/>
    <s v="LINESTRING (9.127345709116938 62.07525767779734, 9.12773418006402 62.075383713082196, 9.127808106885446 62.07540748098897)"/>
    <s v="[242870, 242878]"/>
    <s v="[244756, 244654]"/>
    <s v="0.01588360619717753"/>
    <s v="[244755, 244756]"/>
    <s v="[0.017, 0.01]"/>
    <s v="29.39667635520356"/>
    <s v="[0.017, 0.01]"/>
  </r>
  <r>
    <x v="223"/>
    <x v="330"/>
    <x v="0"/>
    <n v="0"/>
    <s v="LINESTRING (9.128000661229065 62.0754123564163, 9.128121475917238 62.07545162709321, 9.128192099015271 62.07551513771399)"/>
    <s v="[242742, 242750]"/>
    <s v="[244660, 244664]"/>
    <s v="#FIELD!"/>
    <s v="[244655, 244660]"/>
    <s v="[0.004, 0.019]"/>
    <s v="15.67775826915097"/>
    <s v="[0.004, -0.019]"/>
  </r>
  <r>
    <x v="223"/>
    <x v="278"/>
    <x v="0"/>
    <n v="0"/>
    <s v="LINESTRING (9.128000661229065 62.0754123564163, 9.128075448229694 62.07538997492296, 9.128522313823883 62.07523354848253)"/>
    <s v="[243008, 243016]"/>
    <s v="[244885, 244852]"/>
    <s v="0.043905244936277274"/>
    <s v="[244655, 244885]"/>
    <s v="[0.037, 0.045]"/>
    <s v="33.91098623516527"/>
    <s v="[0.037, 0.045]"/>
  </r>
  <r>
    <x v="224"/>
    <x v="331"/>
    <x v="0"/>
    <n v="0"/>
    <m/>
    <n v="242758"/>
    <n v="244670"/>
    <s v="#FIELD!"/>
    <n v="244664"/>
    <s v="0.031"/>
    <s v="10.230239489334707"/>
    <s v="#FIELD!"/>
  </r>
  <r>
    <x v="224"/>
    <x v="278"/>
    <x v="0"/>
    <n v="0"/>
    <s v="LINESTRING (9.128192099015271 62.07551513771399, 9.128243329518 62.07547226049852, 9.128522313823883 62.07523354848253)"/>
    <s v="[243024, 243032]"/>
    <s v="[244900, 244852]"/>
    <s v="0.044544282456528764"/>
    <s v="[244664, 244900]"/>
    <s v="[0.042, 0.045]"/>
    <s v="36.086580338672995"/>
    <s v="[0.042, 0.045]"/>
  </r>
  <r>
    <x v="225"/>
    <x v="332"/>
    <x v="0"/>
    <n v="0"/>
    <s v="LINESTRING (9.128173067663706 62.07560642836086, 9.128078690059839 62.07566452759953, 9.127938425234989 62.07569294157182)"/>
    <s v="[242766, 242774]"/>
    <s v="[244679, 244685]"/>
    <s v="#FIELD!"/>
    <s v="[244670, 244679]"/>
    <s v="0.033"/>
    <s v="16.138143270977707"/>
    <s v="#FIELD!"/>
  </r>
  <r>
    <x v="225"/>
    <x v="333"/>
    <x v="0"/>
    <n v="0"/>
    <s v="LINESTRING (9.128173067663706 62.07560642836086, 9.128212724855036 62.075650433008555, 9.128383905609166 62.075850844571036)"/>
    <s v="[242944, 242952]"/>
    <s v="[244828, 244810]"/>
    <s v="#FIELD!"/>
    <s v="[244670, 244828]"/>
    <s v="[0.016, 0.019]"/>
    <s v="29.406983997236193"/>
    <s v="[-0.016, -0.019]"/>
  </r>
  <r>
    <x v="226"/>
    <x v="328"/>
    <x v="0"/>
    <n v="0"/>
    <s v="LINESTRING (9.127938425234989 62.07569294157182, 9.127664517100452 62.075649216554645, 9.127601313885638 62.07549193943606)"/>
    <s v="[242782, 242790]"/>
    <s v="[244690, 244696]"/>
    <s v="0.008145140715143911"/>
    <s v="[244685, 244690]"/>
    <s v="[0.012, 0.025]"/>
    <s v="34.26280919847405"/>
    <s v="[-0.012, 0.025]"/>
  </r>
  <r>
    <x v="226"/>
    <x v="333"/>
    <x v="0"/>
    <n v="0"/>
    <s v="LINESTRING (9.127938425234989 62.07569294157182, 9.12801431753402 62.075717567373125, 9.128383905609166 62.075850844571036)"/>
    <s v="[242960, 242968]"/>
    <s v="[244839, 244810]"/>
    <s v="#FIELD!"/>
    <s v="[244685, 244839]"/>
    <s v="[0.004, 0.0]"/>
    <s v="29.213387430644307"/>
    <s v="[-0.004, 0.0]"/>
  </r>
  <r>
    <x v="227"/>
    <x v="329"/>
    <x v="0"/>
    <n v="0"/>
    <s v="LINESTRING (9.127345709116938 62.07525767779734, 9.12755109109392 62.075447781353695, 9.127601313885638 62.07549193943606)"/>
    <s v="[242886, 242895]"/>
    <s v="[244775, 244696]"/>
    <s v="0.002239290036947703"/>
    <s v="[244755, 244775]"/>
    <s v="[0.003, 0.001]"/>
    <s v="29.35059051397772"/>
    <s v="[0.003, -0.001]"/>
  </r>
  <r>
    <x v="228"/>
    <x v="329"/>
    <x v="0"/>
    <n v="0"/>
    <m/>
    <n v="243139"/>
    <n v="244755"/>
    <s v="0.024"/>
    <n v="244749"/>
    <s v="0.024"/>
    <s v="44.79786825268932"/>
    <s v="0.024"/>
  </r>
  <r>
    <x v="228"/>
    <x v="273"/>
    <x v="0"/>
    <n v="0"/>
    <s v="LINESTRING (9.124435970725063 62.07231375104997, 9.124733256894784 62.07299798195598, 9.124827205436755 62.07323806845981, 9.12484963252493 62.07328724560928, 9.124935416848972 62.07345409449433, 9.125351852505018 62.07394778424362, 9.12539715093377 62.07398988769102, 9.125717749799037 62.07426850130727, 9.125781930116005 62.0743200526533, 9.12601605963275 62.07449951855967, 9.126089926391618 62.07455438170918, 9.126176397136636 62.07461958655253, 9.126307469341459 62.07470990281953, 9.126783840478037 62.07495454115507)"/>
    <s v="[2075093, 2075101, 2075109, 2075117, 2075126, 2075134, 2075143, 2075151, 2075159, 2075167, 2075175, 243147, 243155]"/>
    <s v="[1800482, 1800487, 1800493, 1800502, 1800510, 1800517, 1800522, 1800526, 1800532, 1800536, 244999, 245000, 244749]"/>
    <s v="0.03932176392714539"/>
    <s v="[261692, 1800482, 1800487, 1800493, 1800502, 1800510, 1800517, 1800522, 1800526, 1800532, 1800536, 244999, 245000]"/>
    <s v="[0.027, 0.018, 0.016, 0.023, 0.034, 0.047, 0.041, 0.039, 0.043, 0.039, 0.362, 0.03, 0.025]"/>
    <s v="325.03611387729217"/>
    <s v="[0.027, 0.018, 0.016, 0.023, 0.034, 0.047, 0.041, 0.039, 0.043, 0.039, 0.362, 0.03, 0.025]"/>
  </r>
  <r>
    <x v="228"/>
    <x v="273"/>
    <x v="0"/>
    <n v="0"/>
    <s v="LINESTRING (9.124435970725063 62.07231375104997, 9.124849530257686 62.0729518836499, 9.124866609530859 62.07299359423143, 9.124967246616366 62.07322849193069, 9.124989980275748 62.07327668277636, 9.12507247018644 62.07343567538917, 9.125484581023393 62.073920987414915, 9.125527461759306 62.073962690624626, 9.125775836696048 62.07418213512022, 9.125837368873837 62.07423259219592, 9.126136027160188 62.07446270570948, 9.126209873319468 62.07451916146431, 9.126292998583136 62.07458191880444, 9.126427298958895 62.07467469537906, 9.126783840478037 62.07495454115507)"/>
    <s v="[2075183, 2075191, 2075199, 2075207, 2075215, 2075223, 2075231, 2075239, 2075247, 2075255, 2075263, 2075271, 242854, 242862]"/>
    <s v="[1800550, 1800555, 1800561, 1800567, 1800576, 1800584, 1800588, 1800593, 1800599, 1800605, 1800613, 244742, 244743, 244749]"/>
    <s v="0.039795794593599956"/>
    <s v="[261692, 1800550, 1800555, 1800561, 1800567, 1800576, 1800584, 1800588, 1800593, 1800599, 1800605, 1800613, 244742, 244743]"/>
    <s v="[0.04, 0.022, 0.017, 0.015, 0.02, 0.034, 0.047, 0.04, 0.04, 0.042, 0.035, 0.308, 0.03, 0.022]"/>
    <s v="322.2137952772161"/>
    <s v="[0.04, 0.022, 0.017, 0.015, 0.02, 0.034, 0.047, 0.04, 0.04, 0.042, 0.035, 0.308, 0.03, 0.022]"/>
  </r>
  <r>
    <x v="229"/>
    <x v="334"/>
    <x v="24"/>
    <n v="0"/>
    <s v="LINESTRING (9.128383905609166 62.075850844571036, 8.896900162278033 62.11793348390825)"/>
    <m/>
    <m/>
    <s v="0.0"/>
    <m/>
    <n v="0"/>
    <s v="13838.274275619538"/>
    <n v="0"/>
  </r>
  <r>
    <x v="230"/>
    <x v="335"/>
    <x v="0"/>
    <n v="0"/>
    <s v="LINESTRING (10.66586928493102 60.26938980943163, 10.665893397848034 60.269360834262145, 10.66732931400137 60.26843492757344, 10.667704542271132 60.26692323004645)"/>
    <s v="[243512, 243520, 243528]"/>
    <s v="[245324, 245331, 245339]"/>
    <s v="0.04238862210754268"/>
    <s v="[245323, 245324, 245331]"/>
    <s v="[0.005, 0.002, 0.076]"/>
    <s v="309.9704318706218"/>
    <s v="[0.005, -0.002, 0.076]"/>
  </r>
  <r>
    <x v="230"/>
    <x v="336"/>
    <x v="25"/>
    <n v="0"/>
    <s v="LINESTRING (10.66586928493102 60.26938980943163, 10.665741654968405 60.26945807629614, 10.665663116740356 60.269499839100824, 10.665004335175336 60.26983819482945, 10.65985568857583 60.272542691703045, 10.65412650859186 60.27794708687498, 10.634183339866727 60.285716804528924, 10.633894060968766 60.285852045789426, 10.633736558902356 60.28592599133463, 10.632937709766162 60.28628967802428, 10.631643188547129 60.28679951369045)"/>
    <s v="[267467, 267475, 267483, 267491, 267499, 267507, 267515, 267523, 267531, 267539]"/>
    <s v="[264731, 264739, 264746, 264751, 264760, 264766, 264775, 264784, 264792, 249711]"/>
    <s v="#FIELD!"/>
    <s v="[245323, 264731, 264739, 264746, 264751, 264760, 264766, 264775, 264784, 264792]"/>
    <s v="[0.04, 0.046, 0.057, 0.141, 0.092, 0.032, 0.025, 0.027, 0.025, 0.023]"/>
    <s v="2780.1711713015216"/>
    <s v="[0.04, 0.046, 0.057, 0.141, -0.092, -0.032, -0.025, -0.027, -0.025, -0.023]"/>
  </r>
  <r>
    <x v="230"/>
    <x v="337"/>
    <x v="0"/>
    <n v="0"/>
    <s v="LINESTRING (10.670873882682642 60.265108332054396, 10.66589710298444 60.26937467716252, 10.66586928493102 60.26938980943163)"/>
    <s v="[267451, 267459]"/>
    <s v="[264717, 245323]"/>
    <s v="#FIELD!"/>
    <s v="[245360, 264717]"/>
    <s v="[0.034, 0.032]"/>
    <s v="555.7027790593203"/>
    <s v="[-0.034, 0.032]"/>
  </r>
  <r>
    <x v="230"/>
    <x v="338"/>
    <x v="0"/>
    <n v="0"/>
    <s v="LINESTRING (10.674103151142873 60.26742747718396, 10.673764035679904 60.26741173514791, 10.672991416487578 60.267297409120644, 10.672342710509994 60.267197374472076, 10.668313172515 60.2678972570091, 10.66618327857862 60.26925782105016, 10.66586928493102 60.26938980943163)"/>
    <s v="[269698, 269706, 269714, 269722, 269730, 269738]"/>
    <s v="[266565, 266570, 266575, 266582, 266591, 245323]"/>
    <s v="#FIELD!"/>
    <s v="[266564, 266565, 266570, 266575, 266582, 266591]"/>
    <s v="[0.274, 0.251, 0.248, 0.107, 0.019, 0.043]"/>
    <s v="575.3773536089094"/>
    <s v="[-0.274, -0.251, -0.248, -0.107, -0.019, 0.043]"/>
  </r>
  <r>
    <x v="231"/>
    <x v="337"/>
    <x v="0"/>
    <n v="0"/>
    <s v="LINESTRING (10.667704542271132 60.26692323004645, 10.669286175173943 60.26683832052813, 10.670725481342314 60.26522586614728, 10.670873882682642 60.265108332054396)"/>
    <s v="[243536, 243544, 243552]"/>
    <s v="[245346, 245353, 245360]"/>
    <s v="0.015529905494517632"/>
    <s v="[245339, 245346, 245353]"/>
    <s v="[0.044, 0.037, 0.219]"/>
    <s v="335.8932251467068"/>
    <s v="[-0.044, 0.037, 0.219]"/>
  </r>
  <r>
    <x v="231"/>
    <x v="339"/>
    <x v="0"/>
    <s v="[0, 0, 1, 0]"/>
    <s v="LINESTRING (10.667704542271132 60.26692323004645, 10.667713777929693 60.26685348436821, 10.6692479681762 60.26656632421913, 10.669994588624457 60.266723704345026, 10.670576964505495 60.266846132691164)"/>
    <s v="[277599, 277607, 277615, 277623]"/>
    <s v="[272928, 272935, 272940, 266557]"/>
    <s v="#FIELD!"/>
    <s v="[245339, 272928, 272935, 272940]"/>
    <s v="[0.079, 0.038, 0.089, 0.021]"/>
    <s v="195.87766916352825"/>
    <s v="[0.079, -0.038, -0.089, -0.021]"/>
  </r>
  <r>
    <x v="232"/>
    <x v="340"/>
    <x v="0"/>
    <n v="0"/>
    <m/>
    <n v="267443"/>
    <n v="245360"/>
    <s v="#FIELD!"/>
    <n v="264703"/>
    <s v="0.166"/>
    <s v="93.86030716478702"/>
    <s v="#FIELD!"/>
  </r>
  <r>
    <x v="233"/>
    <x v="341"/>
    <x v="0"/>
    <n v="0"/>
    <s v="LINESTRING (10.250896400502976 60.14863378011049, 10.250934023454997 60.148585660999736, 10.251023305394344 60.14854209612331)"/>
    <s v="[244143, 244151]"/>
    <s v="[245883, 245888]"/>
    <s v="0.11369446853627875"/>
    <s v="[245875, 245883]"/>
    <s v="[0.088, 0.135]"/>
    <s v="12.699357169071826"/>
    <s v="[0.088, 0.135]"/>
  </r>
  <r>
    <x v="233"/>
    <x v="342"/>
    <x v="0"/>
    <n v="0"/>
    <s v="LINESTRING (10.251409207697181 60.1486306147464, 10.251407609375352 60.148679128576234, 10.25136819225957 60.14872718335786, 10.251277244822921 60.14876978917179, 10.25112588206374 60.14878466173375, 10.251032089830762 60.148769302435895, 10.250923931359331 60.148715037674265, 10.250896400502976 60.14863378011049)"/>
    <s v="[244183, 244191, 244199, 244207, 244215, 244223, 244135]"/>
    <s v="[245922, 245929, 245934, 245941, 245946, 232872, 245875]"/>
    <s v="#FIELD!"/>
    <s v="[245914, 245922, 245929, 245934, 245941, 245946, 232872]"/>
    <s v="[0.053, 0.098, 0.126, 0.132, 0.116, 0.046, 0.062]"/>
    <s v="49.903952388347456"/>
    <s v="[-0.053, -0.098, -0.126, -0.132, -0.116, -0.046, 0.062]"/>
  </r>
  <r>
    <x v="233"/>
    <x v="343"/>
    <x v="0"/>
    <n v="0"/>
    <s v="LINESTRING (10.250489627723123 60.14841394332043, 10.250807920841192 60.148606630584894, 10.250896400502976 60.14863378011049)"/>
    <s v="[1593015, 1593023]"/>
    <s v="[1432251, 245875]"/>
    <s v="0.016285818220929293"/>
    <s v="[597304, 1432251]"/>
    <s v="[0.005, 0.073]"/>
    <s v="34.78883050682939"/>
    <s v="[0.005, 0.073]"/>
  </r>
  <r>
    <x v="234"/>
    <x v="344"/>
    <x v="0"/>
    <n v="0"/>
    <m/>
    <n v="244159"/>
    <n v="245898"/>
    <s v="0.115"/>
    <n v="245888"/>
    <s v="0.115"/>
    <s v="12.330415207808883"/>
    <s v="0.115"/>
  </r>
  <r>
    <x v="234"/>
    <x v="343"/>
    <x v="0"/>
    <n v="0"/>
    <s v="LINESTRING (10.250489627723123 60.14841394332043, 10.25091920459617 60.14852217487548, 10.251023305394344 60.14854209612331)"/>
    <s v="[1412012, 1412022]"/>
    <s v="[1291137, 245888]"/>
    <s v="0.060691984829177134"/>
    <s v="[597304, 1291137]"/>
    <s v="[0.397, 1.408]"/>
    <s v="33.25928873535203"/>
    <s v="[0.397, -1.408]"/>
  </r>
  <r>
    <x v="235"/>
    <x v="342"/>
    <x v="0"/>
    <n v="0"/>
    <s v="LINESTRING (10.251239334741664 60.148532766830925, 10.251351078292736 60.148570960710074, 10.251409207697181 60.1486306147464)"/>
    <s v="[244167, 244175]"/>
    <s v="[245906, 245914]"/>
    <s v="0.030742790271456228"/>
    <s v="[245898, 245906]"/>
    <s v="[0.057, 0.004]"/>
    <s v="14.921840025177247"/>
    <s v="[0.057, 0.004]"/>
  </r>
  <r>
    <x v="235"/>
    <x v="345"/>
    <x v="0"/>
    <n v="0"/>
    <s v="LINESTRING (10.251825727118426 60.148352556699315, 10.25151831664118 60.14843610256342, 10.251320623430725 60.148505311918186, 10.251239334741664 60.148532766830925)"/>
    <s v="[1592951, 1592959, 1592967]"/>
    <s v="[1432208, 1432214, 245898]"/>
    <s v="#FIELD!"/>
    <s v="[597252, 1432208, 1432214]"/>
    <s v="[0.107, 0.117, 0.112]"/>
    <s v="38.81521149180683"/>
    <s v="[-0.107, -0.117, -0.112]"/>
  </r>
  <r>
    <x v="236"/>
    <x v="345"/>
    <x v="0"/>
    <n v="0"/>
    <s v="LINESTRING (10.251825727118426 60.148352556699315, 10.251620927820007 60.14849155275791, 10.251478629248947 60.148583161035155, 10.251409207697181 60.1486306147464)"/>
    <s v="[1411952, 1411960, 1411961]"/>
    <s v="[1291097, 1291102, 245914]"/>
    <s v="#FIELD!"/>
    <s v="[597252, 1291097, 1291102]"/>
    <s v="[0.31, 0.04, 1.447]"/>
    <s v="39.22748404541728"/>
    <s v="[0.31, -0.04, -1.447]"/>
  </r>
  <r>
    <x v="237"/>
    <x v="346"/>
    <x v="0"/>
    <n v="0"/>
    <s v="LINESTRING (11.302889424000892 60.59688263037437, 11.302799291804387 60.596894956758355, 11.302469042457357 60.59694703244654)"/>
    <s v="[245987, 245995]"/>
    <s v="[247383, 247389]"/>
    <s v="#FIELD!"/>
    <s v="[247382, 247383]"/>
    <s v="[0.085, 0.083]"/>
    <s v="24.130880708757417"/>
    <s v="[-0.085, -0.083]"/>
  </r>
  <r>
    <x v="237"/>
    <x v="347"/>
    <x v="0"/>
    <n v="0"/>
    <s v="LINESTRING (11.302889424000892 60.59688263037437, 11.302787903997654 60.59684003849834, 11.302744170668333 60.59676718327851)"/>
    <s v="[246123, 246131]"/>
    <s v="[247500, 247507]"/>
    <s v="#FIELD!"/>
    <s v="[247382, 247500]"/>
    <s v="[0.063, 0.026]"/>
    <s v="15.777406283573706"/>
    <s v="[-0.063, -0.026]"/>
  </r>
  <r>
    <x v="237"/>
    <x v="348"/>
    <x v="0"/>
    <n v="0"/>
    <m/>
    <n v="246115"/>
    <n v="247382"/>
    <s v="#FIELD!"/>
    <n v="247488"/>
    <s v="0.087"/>
    <s v="8.230721778790238"/>
    <s v="#FIELD!"/>
  </r>
  <r>
    <x v="238"/>
    <x v="349"/>
    <x v="0"/>
    <s v="[0, 1, 0]"/>
    <s v="LINESTRING (11.302469042457357 60.59694703244654, 11.302362143953047 60.596982551180034, 11.301541195775993 60.59725908058179, 11.30141372577463 60.59730167784898)"/>
    <s v="[1726564, 1726572, 1726578]"/>
    <s v="[1536275, 1536283, 1536273]"/>
    <s v="#FIELD!"/>
    <s v="[247389, 1536275, 1536283]"/>
    <s v="[0.356, 0.006, 0.033]"/>
    <s v="70.04220750255324"/>
    <s v="[-0.356, 0.006, 0.033]"/>
  </r>
  <r>
    <x v="238"/>
    <x v="347"/>
    <x v="0"/>
    <n v="0"/>
    <s v="LINESTRING (11.302744170668333 60.59676718327851, 11.302686905335564 60.59681109599761, 11.302469042457357 60.59694703244654)"/>
    <s v="[1726683, 1726691]"/>
    <s v="[1536372, 247389]"/>
    <s v="#FIELD!"/>
    <s v="[247507, 1536372]"/>
    <s v="[0.475, 0.074]"/>
    <s v="25.099941080843088"/>
    <s v="[-0.475, 0.074]"/>
  </r>
  <r>
    <x v="239"/>
    <x v="350"/>
    <x v="0"/>
    <n v="0"/>
    <m/>
    <n v="246003"/>
    <n v="247396"/>
    <s v="#FIELD!"/>
    <n v="247395"/>
    <s v="0.002"/>
    <s v="11.973534723170328"/>
    <s v="#FIELD!"/>
  </r>
  <r>
    <x v="239"/>
    <x v="351"/>
    <x v="0"/>
    <n v="0"/>
    <s v="LINESTRING (11.301018728174705 60.59737003217522, 11.301100718278985 60.59740742865848, 11.30114285853253 60.59746320778588)"/>
    <s v="[246059, 246067]"/>
    <s v="[247444, 247395]"/>
    <s v="0.05244820146481239"/>
    <s v="[247439, 247444]"/>
    <s v="[0.067, 0.039]"/>
    <s v="12.758622617783372"/>
    <s v="[0.067, 0.039]"/>
  </r>
  <r>
    <x v="239"/>
    <x v="349"/>
    <x v="0"/>
    <n v="0"/>
    <s v="LINESTRING (11.30141372577463 60.59730167784898, 11.30121430627722 60.597420614223616, 11.30114285853253 60.59746320778588)"/>
    <s v="[1726582, 1726603]"/>
    <s v="[1536289, 247395]"/>
    <s v="#FIELD!"/>
    <s v="[1536273, 1536289]"/>
    <s v="[0.043, 0.66]"/>
    <s v="23.33021409754865"/>
    <s v="[0.043, -0.66]"/>
  </r>
  <r>
    <x v="240"/>
    <x v="352"/>
    <x v="0"/>
    <n v="0"/>
    <s v="LINESTRING (11.301077762287166 60.597563492448984, 11.300912098067332 60.597603134964835, 11.300646380925778 60.59751732659692, 11.300637455223445 60.59745674184123, 11.300713063902476 60.59738644542908, 11.300839720648318 60.5973546300513)"/>
    <s v="[246011, 246019, 246027, 246035, 246043]"/>
    <s v="[247404, 247410, 247416, 247425, 247433]"/>
    <s v="#FIELD!"/>
    <s v="[247396, 247404, 247410, 247416, 247425]"/>
    <s v="[0.054, 0.064, 0.03, 0.01, 0.055]"/>
    <s v="51.978322787469"/>
    <s v="[-0.054, -0.064, -0.03, 0.01, 0.055]"/>
  </r>
  <r>
    <x v="240"/>
    <x v="323"/>
    <x v="0"/>
    <n v="0"/>
    <s v="LINESTRING (11.30509710123894 60.599487871270604, 11.304532313664284 60.59916161571579, 11.304193866374444 60.59892162427498, 11.301169267645731 60.59757271387275, 11.301077762287166 60.597563492448984)"/>
    <s v="[1726499, 1726611, 1726619, 1726628]"/>
    <s v="[1536218, 1536309, 1536318, 247396]"/>
    <s v="#FIELD!"/>
    <s v="[1286914, 1536218, 1536309, 1536318]"/>
    <s v="[0.025, 0.017, 0.002, 0.932]"/>
    <s v="313.09836568453255"/>
    <s v="[0.025, 0.017, -0.002, -0.932]"/>
  </r>
  <r>
    <x v="241"/>
    <x v="351"/>
    <x v="0"/>
    <n v="0"/>
    <m/>
    <n v="246051"/>
    <n v="247439"/>
    <s v="0.078"/>
    <n v="247433"/>
    <s v="0.078"/>
    <s v="9.95802912228284"/>
    <s v="0.078"/>
  </r>
  <r>
    <x v="241"/>
    <x v="353"/>
    <x v="0"/>
    <n v="0"/>
    <s v="LINESTRING (11.300839720648318 60.5973546300513, 11.300837561480272 60.597319543387634, 11.297327117605612 60.594179130376986, 11.296759500542104 60.59385398248124)"/>
    <s v="[1726551, 1726559, 1726491]"/>
    <s v="[1536266, 1536211, 1536181]"/>
    <s v="#FIELD!"/>
    <s v="[247433, 1536266, 1536211]"/>
    <s v="[1.434, 0.036, 0.034]"/>
    <s v="457.93895761291105"/>
    <s v="[1.434, -0.036, 0.034]"/>
  </r>
  <r>
    <x v="242"/>
    <x v="349"/>
    <x v="0"/>
    <n v="0"/>
    <s v="LINESTRING (11.30141372577463 60.59730167784898, 11.301115607249907 60.59735116168092, 11.301018728174705 60.59737003217522)"/>
    <s v="[1726562, 1726563]"/>
    <s v="[1536274, 247439]"/>
    <s v="#FIELD!"/>
    <s v="[1536273, 1536274]"/>
    <s v="[0.034, 0.802]"/>
    <s v="23.13217553303309"/>
    <s v="[0.034, -0.802]"/>
  </r>
  <r>
    <x v="243"/>
    <x v="348"/>
    <x v="0"/>
    <n v="0"/>
    <s v="LINESTRING (11.30278079663992 60.59670302411863, 11.302953064045274 60.59664443541596, 11.303081306343417 60.59665045706346, 11.303185708070895 60.5966835201563, 11.30323930511304 60.59681280618791, 11.303037952894874 60.59689362680018)"/>
    <s v="[246075, 246083, 246091, 246099, 246107]"/>
    <s v="[247338, 247465, 247352, 247363, 247488]"/>
    <s v="0.020817837438837958"/>
    <s v="[247458, 247338, 247465, 247352, 247363]"/>
    <s v="[0.077, 0.094, 0.078, 0.007, 0.071]"/>
    <s v="55.567560663872996"/>
    <s v="[0.077, 0.094, 0.078, 0.007, -0.071]"/>
  </r>
  <r>
    <x v="243"/>
    <x v="347"/>
    <x v="0"/>
    <n v="0"/>
    <m/>
    <n v="246139"/>
    <n v="247458"/>
    <s v="0.031"/>
    <n v="247507"/>
    <s v="0.031"/>
    <s v="7.425860556354417"/>
    <s v="0.031"/>
  </r>
  <r>
    <x v="243"/>
    <x v="354"/>
    <x v="0"/>
    <n v="0"/>
    <s v="LINESTRING (11.297709902159077 60.594175442495384, 11.298402214232917 60.594485625530105, 11.302616822212059 60.596663943249396, 11.302722374450719 60.59668823017586, 11.30278079663992 60.59670302411863)"/>
    <s v="[1726483, 1726699, 1726707, 1726716]"/>
    <s v="[1536204, 1536385, 1536392, 247458]"/>
    <s v="0.038661602413542585"/>
    <s v="[1536159, 1536204, 1536385, 1536392]"/>
    <s v="[0.036, 0.042, 0.052, 0.766]"/>
    <s v="399.10038655060174"/>
    <s v="[-0.036, 0.042, 0.052, 0.766]"/>
  </r>
  <r>
    <x v="244"/>
    <x v="325"/>
    <x v="0"/>
    <n v="0"/>
    <s v="LINESTRING (11.303037952894874 60.59689362680018, 11.30304081267148 60.59693634574061, 11.304529232036607 60.59880901561748, 11.30562633561906 60.59961369414483, 11.30605074113208 60.60000877627011)"/>
    <s v="[1726639, 1726657, 1726670, 1726507]"/>
    <s v="[1536335, 1536346, 1536227, 1286945]"/>
    <s v="#FIELD!"/>
    <s v="[247488, 1536335, 1536346, 1536227]"/>
    <s v="[0.689, 0.001, 0.009, 0.017]"/>
    <s v="390.95844277693476"/>
    <s v="[-0.689, -0.001, -0.009, -0.017]"/>
  </r>
  <r>
    <x v="245"/>
    <x v="355"/>
    <x v="0"/>
    <n v="0"/>
    <m/>
    <n v="680916"/>
    <n v="248140"/>
    <s v="0.076"/>
    <n v="248129"/>
    <s v="0.076"/>
    <s v="24.354893603337857"/>
    <s v="0.076"/>
  </r>
  <r>
    <x v="245"/>
    <x v="356"/>
    <x v="0"/>
    <n v="0"/>
    <s v="LINESTRING (11.192357840790251 63.711619243734894, 11.19230551209842 63.71161463284314, 11.192246674098621 63.71160945427082, 11.186206356300424 63.7110180569146, 11.185287422830456 63.71096972095364, 11.185245866573098 63.710940680179554)"/>
    <s v="[246925, 246933, 765661, 765669, 765677]"/>
    <s v="[248130, 248135, 248122, 744754, 645047]"/>
    <s v="#FIELD!"/>
    <s v="[248129, 248130, 248135, 248122, 744754]"/>
    <s v="[0.064, 0.025, 0.021, 0.042, 0.127]"/>
    <s v="383.0430373587355"/>
    <s v="[-0.064, -0.025, -0.021, 0.042, 0.127]"/>
  </r>
  <r>
    <x v="246"/>
    <x v="357"/>
    <x v="26"/>
    <s v="[0, 1, 0, 0, 0, 0, 0, 0, 0, 0, 0, 0, 0, 0, 0, 0, 0, 0]"/>
    <s v="LINESTRING (11.192782337701152 63.71172021501598, 11.19652939002088 63.7131420855405, 11.196618225640858 63.71317453816149, 11.206704617914628 63.71562418931857, 11.206851627325403 63.715652480288085, 11.207980274346408 63.715869087528475, 11.212581470618954 63.716244336904914, 11.214204373748304 63.71633503552945, 11.21539001367331 63.71642039051242, 11.217304057620392 63.71656102648483, 11.218490288465885 63.71664890520704, 11.220389182156728 63.716771919672425, 11.222121902570871 63.71686577146265, 11.222322734367896 63.71687787297562, 11.222400084840928 63.71688279697196, 11.223135540535267 63.716924664804075, 11.223487077024798 63.7169452847337, 11.22430661830774 63.71703670156655, 11.224452040937631 63.717087991125545)"/>
    <s v="[246941, 246949, 246957, 246965, 246973, 246981, 246989, 246997, 247005, 2083095, 680924, 680932, 680940, 680948, 680965, 680973, 629660, 629668]"/>
    <s v="[248141, 248148, 248155, 248160, 248166, 248172, 248178, 248184, 248191, 671792, 671793, 671803, 671810, 671817, 671833, 625488, 625489, 625495]"/>
    <s v="0.02298482329711127"/>
    <s v="[248140, 248141, 248148, 248155, 248160, 248166, 248172, 248178, 248184, 248191, 671792, 671793, 671803, 671810, 671817, 671833, 625488, 625489]"/>
    <s v="[0.055, 0.019, 0.021, 0.007, 0.007, 0.03, 0.035, 0.014, 0.012, 0.009, 0.008, 0.007, 0.004, 0.001, 0.01, 0.012, 0.011, 0.003]"/>
    <s v="1719.1355294412326"/>
    <s v="[0.055, 0.019, 0.021, 0.007, 0.007, 0.03, 0.035, 0.014, 0.012, 0.009, 0.008, -0.007, -0.004, 0.001, 0.01, 0.012, 0.011, -0.003]"/>
  </r>
  <r>
    <x v="246"/>
    <x v="358"/>
    <x v="0"/>
    <s v="[0, 1, 0, 0, 0, 0, 0, 0, 0, 0, 0, 0, 0, 0, 0, 0, 0]"/>
    <s v="LINESTRING (11.192782337701152 63.71172021501598, 11.196582891516487 63.71308628313895, 11.19666447493971 63.713115398795864, 11.206759944340297 63.71556765872795, 11.206906815752896 63.71559591904937, 11.208026131665367 63.715810761324214, 11.212588935206352 63.71618342638322, 11.214228671073776 63.7162723481899, 11.215409907848258 63.716357874789594, 11.217314701422197 63.71650415345372, 11.218502445219176 63.716592673971654, 11.220097081282695 63.71669570949888, 11.220475884275967 63.71671715190201, 11.222123992712014 63.71680306629602, 11.222329115857319 63.71681307882923, 11.223505680693979 63.71688213229828, 11.224352847505711 63.71689683037641, 11.224521587823107 63.716889107901956)"/>
    <s v="[765573, 765621, 765581, 247013, 247021, 247029, 247037, 247045, 247053, 2083117, 533919, 533927, 533935, 533943, 533951, 629644, 629652]"/>
    <s v="[744673, 744681, 248196, 248197, 248205, 248212, 248219, 248224, 248230, 541428, 541429, 541436, 541445, 541452, 541459, 625479, 625484]"/>
    <s v="0.023319493319275256"/>
    <s v="[248140, 744673, 744681, 248196, 248197, 248205, 248212, 248219, 248224, 248230, 541428, 541429, 541436, 541445, 541452, 541459, 625479]"/>
    <s v="[0.066, 0.062, 0.017, 0.007, 0.009, 0.029, 0.037, 0.011, 0.011, 0.008, 0.009, 0.008, 0.006, 0.005, 0.009, 0.016, 0.022]"/>
    <s v="1714.723530410519"/>
    <s v="[0.066, 0.062, 0.017, 0.007, 0.009, 0.029, 0.037, 0.011, 0.011, 0.008, 0.009, -0.008, -0.006, -0.005, 0.009, 0.016, 0.022]"/>
  </r>
  <r>
    <x v="246"/>
    <x v="68"/>
    <x v="0"/>
    <n v="0"/>
    <m/>
    <n v="533911"/>
    <n v="248140"/>
    <s v="0.042"/>
    <n v="248244"/>
    <s v="0.042"/>
    <s v="25.116277399586025"/>
    <s v="0.042"/>
  </r>
  <r>
    <x v="247"/>
    <x v="359"/>
    <x v="0"/>
    <n v="0"/>
    <s v="LINESTRING (10.658189954903563 60.929016529154815, 10.657579225270778 60.929043659846265, 10.656244735551939 60.92923667100514, 10.655661986855195 60.929244870530006, 10.655545823104807 60.92923880595838)"/>
    <s v="[247741, 247749, 247757, 247765]"/>
    <s v="[248858, 248864, 248871, 248878]"/>
    <s v="0.06777760871382182"/>
    <s v="[248857, 248858, 248864, 248871]"/>
    <s v="[0.011, 0.055, 0.144, 0.137]"/>
    <s v="147.2815915071463"/>
    <s v="[0.011, 0.055, 0.144, 0.137]"/>
  </r>
  <r>
    <x v="247"/>
    <x v="360"/>
    <x v="0"/>
    <n v="0"/>
    <s v="LINESTRING (10.658189954903563 60.929016529154815, 10.657595249926565 60.929080602615244, 10.656265413298826 60.92930287929914, 10.655659182887542 60.92938228944738, 10.655533149818181 60.92940887839974)"/>
    <s v="[335700, 335708, 335716, 335724]"/>
    <s v="[325027, 325034, 325041, 263020]"/>
    <s v="0.063339416335696"/>
    <s v="[248857, 325027, 325034, 325041]"/>
    <s v="[0.009, 0.05, 0.133, 0.122]"/>
    <s v="151.2175140835233"/>
    <s v="[0.009, 0.05, 0.133, 0.122]"/>
  </r>
  <r>
    <x v="247"/>
    <x v="361"/>
    <x v="27"/>
    <s v="[0, 0, 0, 0, 1, 0, 0, 0, 1, 1, 1, 1, 1]"/>
    <s v="LINESTRING (10.699792355969489 60.91951042452344, 10.696365374036036 60.92053404432351, 10.695937428802663 60.92070833519784, 10.693289164154363 60.922125893159084, 10.692691061631397 60.92247825618714, 10.691635151838273 60.92311509042512, 10.690564275613829 60.92378030004578, 10.68829610710492 60.92519745587126, 10.683967629894367 60.926916111231094, 10.680860106424108 60.92748905620087, 10.676540284483501 60.92781857396857, 10.67115697189936 60.9281830410629, 10.669788164863382 60.92826295420859, 10.658189954903563 60.929016529154815)"/>
    <s v="[1255854, 137814, 137830, 137838, 137846, 137854, 137862, 137870, 137878, 137886, 137894, 137902, 262655]"/>
    <s v="[154946, 25166, 25177, 154974, 154983, 154994, 155005, 155013, 155023, 155033, 155044, 155054, 248857]"/>
    <s v="#FIELD!"/>
    <s v="[365756, 154946, 25166, 25177, 154974, 154983, 154994, 155005, 155013, 155023, 155033, 155044, 155054]"/>
    <s v="[0.038, 0.042, 0.009, 0.037, 0.01, 0.012, 0.007, 0.039, 0.0, 0.0, 0.0, 0.0, 0.001]"/>
    <s v="2627.149774828061"/>
    <s v="[-0.038, -0.042, -0.009, 0.037, 0.01, 0.012, 0.007, -0.039, 0.0, 0.0, 0.0, 0.0, 0.001]"/>
  </r>
  <r>
    <x v="248"/>
    <x v="360"/>
    <x v="0"/>
    <n v="0"/>
    <s v="LINESTRING (10.655545823104807 60.92923880595838, 10.655578390704855 60.929322401841574, 10.655533149818181 60.92940887839974)"/>
    <s v="[265240, 265248]"/>
    <s v="[263070, 263020]"/>
    <s v="#FIELD!"/>
    <s v="[248878, 263070]"/>
    <s v="[0.052, 0.01]"/>
    <s v="19.429581092704986"/>
    <s v="[-0.052, 0.01]"/>
  </r>
  <r>
    <x v="248"/>
    <x v="362"/>
    <x v="0"/>
    <n v="0"/>
    <m/>
    <n v="265232"/>
    <n v="248878"/>
    <s v="#FIELD!"/>
    <n v="263061"/>
    <s v="0.111"/>
    <s v="12.784568822971497"/>
    <s v="#FIELD!"/>
  </r>
  <r>
    <x v="249"/>
    <x v="363"/>
    <x v="0"/>
    <n v="0"/>
    <s v="LINESTRING (10.654926709516397 60.929480995293616, 10.654766518066506 60.92936998603482, 10.654748281909736 60.929297822944015, 10.654784165337416 60.92922983676168, 10.65499939159914 60.92912844311867)"/>
    <s v="[265184, 265192, 265200, 265208]"/>
    <s v="[263037, 263042, 263045, 263051]"/>
    <s v="0.018212099580538276"/>
    <s v="[248884, 263037, 263042, 263045]"/>
    <s v="[0.11, 0.057, 0.009, 0.082]"/>
    <s v="47.78030792492043"/>
    <s v="[0.11, 0.057, 0.009, -0.082]"/>
  </r>
  <r>
    <x v="249"/>
    <x v="205"/>
    <x v="0"/>
    <n v="0"/>
    <s v="LINESTRING (10.655286257615668 60.9295067319157, 10.655093788241405 60.929511751488626, 10.654926709516397 60.929480995293616)"/>
    <s v="[265168, 265176]"/>
    <s v="[263027, 248884]"/>
    <s v="0.14063301089689292"/>
    <s v="[263021, 263027]"/>
    <s v="[0.144, 0.137]"/>
    <s v="20.144436730481445"/>
    <s v="[0.144, 0.137]"/>
  </r>
  <r>
    <x v="250"/>
    <x v="364"/>
    <x v="0"/>
    <n v="0"/>
    <m/>
    <n v="248334"/>
    <n v="249333"/>
    <s v="#FIELD!"/>
    <n v="249332"/>
    <s v="0.014"/>
    <s v="6.707739559392906"/>
    <s v="#FIELD!"/>
  </r>
  <r>
    <x v="250"/>
    <x v="365"/>
    <x v="0"/>
    <n v="0"/>
    <s v="LINESTRING (10.462296118443337 61.113064284648125, 10.462374752170454 61.11308230615377, 10.462448342688639 61.1131007605744)"/>
    <s v="[336452, 336460]"/>
    <s v="[325720, 325589]"/>
    <s v="0.09031805207892316"/>
    <s v="[249332, 325720]"/>
    <s v="[0.083, 0.098]"/>
    <s v="9.163015451771821"/>
    <s v="[0.083, 0.098]"/>
  </r>
  <r>
    <x v="250"/>
    <x v="366"/>
    <x v="0"/>
    <n v="0"/>
    <s v="LINESTRING (10.460208049259244 61.1133624101566, 10.460332068964261 61.11312017815648, 10.460368400085233 61.113087227436424, 10.460404731129405 61.11305427670569, 10.46047119902849 61.113023077048275, 10.460882905921492 61.11290985567759, 10.461063805439204 61.112906748977935, 10.461426107826354 61.11292290794381, 10.46155063320108 61.11293094440272, 10.461656757917469 61.112942606606474, 10.462296118443337 61.113064284648125)"/>
    <s v="[336372, 336380, 336388, 336396, 336404, 336412, 336420, 336428, 336436, 336444]"/>
    <s v="[247243, 325657, 214045, 325672, 325680, 325688, 325695, 325701, 325707, 249332]"/>
    <s v="0.08223588921218862"/>
    <s v="[249391, 247243, 325657, 214045, 325672, 325680, 325688, 325695, 325701, 325707]"/>
    <s v="[0.025, 0.025, 0.006, 0.068, 0.099, 0.143, 0.148, 0.142, 0.15, 0.098]"/>
    <s v="146.4104383100226"/>
    <s v="[-0.025, 0.025, -0.006, 0.068, 0.099, 0.143, 0.148, 0.142, 0.15, 0.098]"/>
  </r>
  <r>
    <x v="251"/>
    <x v="367"/>
    <x v="0"/>
    <n v="0"/>
    <s v="LINESTRING (10.462253956201115 61.11312089773615, 10.4622424678463 61.11313631185757, 10.462208457927632 61.11318274937694, 10.462180436719615 61.11334303950633)"/>
    <s v="[248342, 248350, 248358]"/>
    <s v="[249341, 249350, 249356]"/>
    <s v="0.008312901546826677"/>
    <s v="[249333, 249341, 249350]"/>
    <s v="[0.001, 0.008, 0.014]"/>
    <s v="25.41915191136851"/>
    <s v="[0.001, -0.008, 0.014]"/>
  </r>
  <r>
    <x v="251"/>
    <x v="368"/>
    <x v="0"/>
    <n v="0"/>
    <s v="LINESTRING (10.462253956201115 61.11312089773615, 10.462309944570976 61.113132888099024, 10.462400848742712 61.113150368898346)"/>
    <s v="[248486, 248495]"/>
    <s v="[249459, 249467]"/>
    <s v="0.09353985049937927"/>
    <s v="[249333, 249459]"/>
    <s v="[0.096, 0.092]"/>
    <s v="8.57792688334104"/>
    <s v="[0.096, 0.092]"/>
  </r>
  <r>
    <x v="251"/>
    <x v="366"/>
    <x v="0"/>
    <n v="0"/>
    <s v="LINESTRING (10.460208049259244 61.1133624101566, 10.460480271912628 61.11314944373083, 10.46051552101229 61.11312053033251, 10.4605533691192 61.11309344895267, 10.460604305647385 61.11306763512587, 10.460933969336283 61.11298096172056, 10.461040626543136 61.112974944434065, 10.46110384513987 61.112973473406676, 10.461423781626719 61.1129806355986, 10.461540684594398 61.11298726465058, 10.461632140542946 61.11299753431247, 10.462253956201115 61.11312089773615)"/>
    <s v="[248398, 248406, 248414, 248422, 248430, 248438, 248446, 248454, 248462, 248470, 248478]"/>
    <s v="[247242, 249397, 214044, 249411, 249417, 249424, 249430, 249436, 249442, 249446, 249333]"/>
    <s v="0.08887494871546714"/>
    <s v="[249391, 247242, 249397, 214044, 249411, 249417, 249424, 249430, 249436, 249442, 249446]"/>
    <s v="[0.019, 0.03, 0.013, 0.064, 0.098, 0.137, 0.134, 0.143, 0.148, 0.14, 0.099]"/>
    <s v="134.1792472131075"/>
    <s v="[0.019, 0.03, 0.013, 0.064, 0.098, 0.137, 0.134, 0.143, 0.148, 0.14, 0.099]"/>
  </r>
  <r>
    <x v="252"/>
    <x v="369"/>
    <x v="0"/>
    <n v="0"/>
    <s v="LINESTRING (10.462180436719615 61.11334303950633, 10.462089641854678 61.11347322435913, 10.46193121120561 61.11397827593881, 10.461977288899961 61.1140443936957, 10.462021853232589 61.114088697922, 10.462296958968889 61.114340780632325)"/>
    <s v="[264207, 264215, 264223, 264231, 264239]"/>
    <s v="[262271, 262278, 262284, 108999, 108984]"/>
    <s v="0.0273934335073691"/>
    <s v="[249356, 262271, 262278, 262284, 108999]"/>
    <s v="[0.051, 0.001, 0.044, 0.05, 0.06]"/>
    <s v="118.50682378419731"/>
    <s v="[0.051, -0.001, 0.044, 0.05, 0.06]"/>
  </r>
  <r>
    <x v="252"/>
    <x v="368"/>
    <x v="0"/>
    <n v="0"/>
    <s v="LINESTRING (10.462400848742712 61.113150368898346, 10.462386469832657 61.11316507433563, 10.462340608993726 61.11320719257423, 10.462180436719615 61.11334303950633)"/>
    <s v="[336316, 336324, 336332]"/>
    <s v="[325597, 325605, 249356]"/>
    <s v="#FIELD!"/>
    <s v="[249467, 325597, 325605]"/>
    <s v="[0.0, 0.027, 0.026]"/>
    <s v="24.55324483424767"/>
    <s v="[0.0, -0.027, -0.026]"/>
  </r>
  <r>
    <x v="253"/>
    <x v="370"/>
    <x v="0"/>
    <n v="0"/>
    <s v="LINESTRING (10.4470890711121 61.11632529249821, 10.448873727101182 61.11606100847831, 10.448980249875376 61.11604014861156)"/>
    <s v="[248366, 248374]"/>
    <s v="[249364, 249369]"/>
    <s v="0.03150660159697192"/>
    <s v="[249363, 249364]"/>
    <s v="[0.03, 0.056]"/>
    <s v="106.94944752414678"/>
    <s v="[0.03, 0.056]"/>
  </r>
  <r>
    <x v="253"/>
    <x v="371"/>
    <x v="0"/>
    <n v="0"/>
    <m/>
    <n v="248608"/>
    <n v="249363"/>
    <s v="0.0"/>
    <n v="249558"/>
    <s v="0.0"/>
    <s v="84.30622232278625"/>
    <s v="0.0"/>
  </r>
  <r>
    <x v="254"/>
    <x v="372"/>
    <x v="0"/>
    <n v="0"/>
    <s v="LINESTRING (10.448980249875376 61.11604014861156, 10.448836755658535 61.11598333109293, 10.448802839063728 61.11588974033328)"/>
    <s v="[265312, 265320]"/>
    <s v="[263112, 263081]"/>
    <s v="#FIELD!"/>
    <s v="[249369, 263112]"/>
    <s v="[0.275, 0.013]"/>
    <s v="20.79296002366803"/>
    <s v="[-0.275, -0.013]"/>
  </r>
  <r>
    <x v="254"/>
    <x v="373"/>
    <x v="0"/>
    <n v="0"/>
    <m/>
    <n v="265304"/>
    <n v="249369"/>
    <s v="#FIELD!"/>
    <n v="249375"/>
    <s v="0.039"/>
    <s v="25.383032480250776"/>
    <s v="#FIELD!"/>
  </r>
  <r>
    <x v="255"/>
    <x v="374"/>
    <x v="0"/>
    <n v="0"/>
    <s v="LINESTRING (10.449340803421288 61.11593989420748, 10.44943764057137 61.11589477731735, 10.449995165715421 61.11572265405716)"/>
    <s v="[248382, 248390]"/>
    <s v="[249376, 249386]"/>
    <s v="0.03016122371120266"/>
    <s v="[249375, 249376]"/>
    <s v="[0.026, 0.031]"/>
    <s v="43.21833809739911"/>
    <s v="[0.026, 0.031]"/>
  </r>
  <r>
    <x v="255"/>
    <x v="375"/>
    <x v="0"/>
    <n v="0"/>
    <s v="LINESTRING (10.449162122325841 61.11578926374084, 10.449315477015078 61.11585117961957, 10.449340803421288 61.11593989420748)"/>
    <s v="[265288, 265296]"/>
    <s v="[263098, 249375]"/>
    <s v="0.189676817787562"/>
    <s v="[263094, 263098]"/>
    <s v="[0.017, 0.376]"/>
    <s v="20.7544309519364"/>
    <s v="[0.017, 0.376]"/>
  </r>
  <r>
    <x v="256"/>
    <x v="366"/>
    <x v="28"/>
    <n v="0"/>
    <s v="LINESTRING (10.449995165715421 61.11572265405716, 10.450187754654113 61.1156903959518, 10.453912513631042 61.115108247337865, 10.456251674201726 61.115042914516835, 10.456619317830155 61.115066298106456, 10.460041897896748 61.113742613787736, 10.460208049259244 61.1133624101566)"/>
    <s v="[1186574, 1186582, 1186590, 1186598, 1186606, 1186614]"/>
    <s v="[1115468, 276263, 1115479, 1115486, 1115492, 249391]"/>
    <s v="0.06923270643305457"/>
    <s v="[249386, 1115468, 276263, 1115479, 1115486, 1115492]"/>
    <s v="[0.55, 0.071, 0.069, 0.082, 0.033, 0.167]"/>
    <s v="697.9745880957821"/>
    <s v="[0.55, 0.071, 0.069, 0.082, 0.033, 0.167]"/>
  </r>
  <r>
    <x v="256"/>
    <x v="375"/>
    <x v="0"/>
    <n v="0"/>
    <s v="LINESTRING (10.449162122325841 61.11578926374084, 10.449282411628166 61.11577322039958, 10.449995165715421 61.11572265405716)"/>
    <s v="[336356, 336364]"/>
    <s v="[325634, 249386]"/>
    <s v="0.11491507681383023"/>
    <s v="[263094, 325634]"/>
    <s v="[0.496, 0.049]"/>
    <s v="45.632494959081086"/>
    <s v="[0.496, 0.049]"/>
  </r>
  <r>
    <x v="257"/>
    <x v="376"/>
    <x v="0"/>
    <n v="0"/>
    <s v="LINESTRING (10.462400848742712 61.113150368898346, 10.463203682541184 61.11336718783809, 10.463377195318547 61.11351663553733, 10.463426133292689 61.11356414384117, 10.463479782971817 61.11361378891491)"/>
    <s v="[248503, 248511, 248519, 248527]"/>
    <s v="[249473, 249479, 249486, 249494]"/>
    <s v="0.07763193727644853"/>
    <s v="[249467, 249473, 249479, 249486]"/>
    <s v="[0.088, 0.064, 0.056, 0.057]"/>
    <s v="81.16223068170258"/>
    <s v="[0.088, 0.064, 0.056, 0.057]"/>
  </r>
  <r>
    <x v="257"/>
    <x v="365"/>
    <x v="0"/>
    <n v="0"/>
    <m/>
    <n v="336308"/>
    <n v="249467"/>
    <s v="#FIELD!"/>
    <n v="325589"/>
    <s v="0.02"/>
    <s v="6.094195599214864"/>
    <s v="#FIELD!"/>
  </r>
  <r>
    <x v="258"/>
    <x v="377"/>
    <x v="0"/>
    <n v="0"/>
    <s v="LINESTRING (10.434285935182206 61.047433235979824, 10.433634923007332 61.04763843282402, 10.433584531939989 61.047674046500035)"/>
    <s v="[248535, 248544]"/>
    <s v="[249503, 249509]"/>
    <s v="0.04550113324647965"/>
    <s v="[249502, 249503]"/>
    <s v="[0.046, 0.041]"/>
    <s v="48.25092246443522"/>
    <s v="[0.046, 0.041]"/>
  </r>
  <r>
    <x v="258"/>
    <x v="378"/>
    <x v="0"/>
    <n v="0"/>
    <s v="LINESTRING (10.434285935182206 61.047433235979824, 10.433840419264493 61.04768733024031, 10.433806817169206 61.04774300076702)"/>
    <s v="[336500, 336508]"/>
    <s v="[325763, 285295]"/>
    <s v="0.046538424787667586"/>
    <s v="[249502, 325763]"/>
    <s v="[0.048, 0.038]"/>
    <s v="44.23833920983483"/>
    <s v="[0.048, 0.038]"/>
  </r>
  <r>
    <x v="258"/>
    <x v="379"/>
    <x v="0"/>
    <n v="0"/>
    <s v="LINESTRING (10.436301938848711 61.0478588143295, 10.435654360491245 61.04722967385025, 10.434891627348668 61.04732263653124, 10.434695464119532 61.0473582856509, 10.434488055533501 61.047394353908636, 10.434285935182206 61.047433235979824)"/>
    <s v="[1186630, 1186638, 1186646, 1186654, 1186662]"/>
    <s v="[133315, 1115509, 1115512, 1115515, 249502]"/>
    <s v="0.04872109547628965"/>
    <s v="[262320, 133315, 1115509, 1115512, 1115515]"/>
    <s v="[0.01, 0.06, 0.06, 0.062, 0.299]"/>
    <s v="173.47892642182825"/>
    <s v="[0.01, 0.06, 0.06, 0.062, 0.299]"/>
  </r>
  <r>
    <x v="259"/>
    <x v="378"/>
    <x v="0"/>
    <n v="0"/>
    <s v="LINESTRING (10.433584531939989 61.047674046500035, 10.433700240493891 61.047687140053505, 10.433806817169206 61.04774300076702)"/>
    <s v="[292459, 292467]"/>
    <s v="[285287, 285295]"/>
    <s v="#FIELD!"/>
    <s v="[249509, 285287]"/>
    <s v="[0.018, 0.002]"/>
    <s v="14.903772463380914"/>
    <s v="[-0.018, 0.002]"/>
  </r>
  <r>
    <x v="259"/>
    <x v="380"/>
    <x v="0"/>
    <n v="0"/>
    <s v="LINESTRING (10.433678074986888 61.047893678655555, 10.4335682457574 61.04790155824871, 10.433463346409075 61.047884244416835, 10.433373733556438 61.04783165617486, 10.43335707739414 61.04780051541354, 10.433382407378083 61.04773545471814, 10.433485554068794 61.04768643049879, 10.433584531939989 61.047674046500035)"/>
    <s v="[292491, 292499, 292507, 292515, 292523, 292531, 292451]"/>
    <s v="[285311, 285320, 285328, 285335, 285344, 285279, 249509]"/>
    <s v="0.006180216223483948"/>
    <s v="[262373, 285311, 285320, 285328, 285335, 285344, 285279]"/>
    <s v="[0.194, 0.016, 0.006, 0.027, 0.035, 0.047, 0.04]"/>
    <s v="43.889928580912446"/>
    <s v="[0.194, 0.016, -0.006, -0.027, -0.035, -0.047, -0.04]"/>
  </r>
  <r>
    <x v="260"/>
    <x v="381"/>
    <x v="0"/>
    <n v="0"/>
    <s v="LINESTRING (10.443754108919507 61.105572212531406, 10.444268187706703 61.105473560630955, 10.444348739454082 61.105447143028094)"/>
    <s v="[248552, 248560]"/>
    <s v="[249516, 92570]"/>
    <s v="#FIELD!"/>
    <s v="[249515, 249516]"/>
    <s v="[0.043, 0.038]"/>
    <s v="35.55290575908083"/>
    <s v="[-0.043, -0.038]"/>
  </r>
  <r>
    <x v="260"/>
    <x v="382"/>
    <x v="0"/>
    <n v="0"/>
    <s v="LINESTRING (10.443754108919507 61.105572212531406, 10.44408996306647 61.10538851336108, 10.444148143570434 61.10534094455867)"/>
    <s v="[336516, 336524]"/>
    <s v="[325777, 92578]"/>
    <s v="#FIELD!"/>
    <s v="[249515, 325777]"/>
    <s v="[0.035, 0.03]"/>
    <s v="33.721867481180674"/>
    <s v="[-0.035, -0.03]"/>
  </r>
  <r>
    <x v="260"/>
    <x v="213"/>
    <x v="0"/>
    <n v="0"/>
    <m/>
    <n v="264367"/>
    <n v="249515"/>
    <s v="#FIELD!"/>
    <n v="262405"/>
    <s v="0.026"/>
    <s v="28.071337695236398"/>
    <s v="#FIELD!"/>
  </r>
  <r>
    <x v="261"/>
    <x v="383"/>
    <x v="0"/>
    <n v="0"/>
    <s v="LINESTRING (10.441266040916656 61.10585509180492, 10.441266040916656 61.10585509180492, 10.441703012480131 61.10591751628769)"/>
    <s v="[248568, 248576]"/>
    <s v="[249527, 249532]"/>
    <s v="#FIELD!"/>
    <s v="[249526, 249527]"/>
    <s v="[0.0, 0.121]"/>
    <s v="28.7546164362345"/>
    <s v="[0.0, -0.121]"/>
  </r>
  <r>
    <x v="262"/>
    <x v="215"/>
    <x v="0"/>
    <n v="0"/>
    <m/>
    <n v="264375"/>
    <n v="262417"/>
    <s v="#FIELD!"/>
    <n v="249532"/>
    <s v="0.052"/>
    <s v="123.45247675169188"/>
    <s v="#FIELD!"/>
  </r>
  <r>
    <x v="262"/>
    <x v="384"/>
    <x v="0"/>
    <n v="0"/>
    <s v="LINESTRING (10.441353221648031 61.10574022924646, 10.441353221648031 61.10574022924646, 10.441703012480131 61.10591751628769)"/>
    <s v="[336532, 336540]"/>
    <s v="[325790, 249532]"/>
    <s v="#FIELD!"/>
    <s v="[286492, 325790]"/>
    <s v="[0.0, 0.076]"/>
    <s v="32.05300091522438"/>
    <s v="[0.0, -0.076]"/>
  </r>
  <r>
    <x v="263"/>
    <x v="221"/>
    <x v="0"/>
    <n v="0"/>
    <m/>
    <n v="336556"/>
    <n v="325618"/>
    <s v="0.0"/>
    <n v="249558"/>
    <s v="0.0"/>
    <s v="84.21955426404085"/>
    <s v="0.0"/>
  </r>
  <r>
    <x v="263"/>
    <x v="219"/>
    <x v="0"/>
    <n v="0"/>
    <m/>
    <n v="264575"/>
    <n v="249558"/>
    <s v="0.0"/>
    <n v="262588"/>
    <s v="0.0"/>
    <s v="125.25641052440528"/>
    <s v="0.0"/>
  </r>
  <r>
    <x v="264"/>
    <x v="385"/>
    <x v="0"/>
    <n v="0"/>
    <s v="LINESTRING (10.432104066320685 61.13120224583308, 10.432157007417986 61.131238660069315, 10.432484301913941 61.13136451063452, 10.43259166365285 61.13140552657131)"/>
    <s v="[248616, 248624, 248632]"/>
    <s v="[249566, 249571, 249580]"/>
    <s v="0.126236776215726"/>
    <s v="[249565, 249566, 249571]"/>
    <s v="[0.137, 0.121, 0.135]"/>
    <s v="34.87662226503899"/>
    <s v="[0.137, 0.121, 0.135]"/>
  </r>
  <r>
    <x v="264"/>
    <x v="386"/>
    <x v="0"/>
    <n v="0"/>
    <s v="LINESTRING (10.432104066320685 61.13120224583308, 10.43221429743427 61.13119617284217, 10.432583329526333 61.13123328930738, 10.432700094987565 61.13123706848338)"/>
    <s v="[292998, 293006, 293014]"/>
    <s v="[285772, 285778, 276887]"/>
    <s v="0.10695319790145243"/>
    <s v="[249565, 285772, 285778]"/>
    <s v="[0.097, 0.108, 0.113]"/>
    <s v="32.710851826830456"/>
    <s v="[0.097, 0.108, 0.113]"/>
  </r>
  <r>
    <x v="264"/>
    <x v="229"/>
    <x v="0"/>
    <s v="[0, 1, 0]"/>
    <s v="LINESTRING (10.428868480297481 61.132030800912865, 10.430784935609472 61.13114070245513, 10.431707536816752 61.131154925840356, 10.432104066320685 61.13120224583308)"/>
    <s v="[264695, 264703, 264711]"/>
    <s v="[262706, 262712, 249565]"/>
    <s v="0.008764401658919308"/>
    <s v="[262698, 262706, 262712]"/>
    <s v="[0.02, 0.054, 0.102]"/>
    <s v="222.22595632872884"/>
    <s v="[-0.02, 0.054, 0.102]"/>
  </r>
  <r>
    <x v="265"/>
    <x v="386"/>
    <x v="0"/>
    <n v="0"/>
    <s v="LINESTRING (10.43259166365285 61.13140552657131, 10.432605165152037 61.13130706021572, 10.432700094987565 61.13123706848338)"/>
    <s v="[282432, 282440]"/>
    <s v="[276881, 276887]"/>
    <s v="#FIELD!"/>
    <s v="[249580, 276881]"/>
    <s v="[0.07, 0.015]"/>
    <s v="20.330303164148155"/>
    <s v="[-0.07, -0.015]"/>
  </r>
  <r>
    <x v="265"/>
    <x v="232"/>
    <x v="0"/>
    <n v="0"/>
    <m/>
    <n v="282424"/>
    <n v="249580"/>
    <s v="#FIELD!"/>
    <n v="262744"/>
    <s v="0.084"/>
    <s v="36.51323394576928"/>
    <s v="#FIELD!"/>
  </r>
  <r>
    <x v="266"/>
    <x v="387"/>
    <x v="0"/>
    <n v="0"/>
    <s v="LINESTRING (10.631643188547129 60.28679951369045, 10.62980607903516 60.28730972182828, 10.628424632653113 60.28761858326349, 10.628378259673624 60.287628915359655, 10.628289004029508 60.287648264801, 10.628207583134277 60.28766591215693, 10.628122300018855 60.287684403302315, 10.627651196322969 60.28778500657734, 10.627368014024347 60.28785130346464, 10.62630241169447 60.28816079158756)"/>
    <s v="[248801, 248809, 248817, 248825, 248833, 248841, 248850, 248858, 248866]"/>
    <s v="[249712, 249719, 249727, 249734, 249740, 249746, 249753, 249761, 249765]"/>
    <s v="0.005138864326014604"/>
    <s v="[249711, 249712, 249719, 249727, 249734, 249740, 249746, 249753, 249761]"/>
    <s v="[0.016, 0.011, 0.034, 0.034, 0.036, 0.012, 0.028, 0.018, 0.015]"/>
    <s v="332.89125953580617"/>
    <s v="[-0.016, 0.011, 0.034, 0.034, 0.036, 0.012, 0.028, 0.018, 0.015]"/>
  </r>
  <r>
    <x v="266"/>
    <x v="387"/>
    <x v="0"/>
    <n v="0"/>
    <s v="LINESTRING (10.631643188547129 60.28679951369045, 10.629991966067706 60.28734520678643, 10.629877215862756 60.28737345571403, 10.628502089220271 60.28768597026529, 10.628455355215605 60.287695750957326, 10.628368510691411 60.2877145414868, 10.628286553543846 60.28773227013123, 10.628200184870863 60.28775102228754, 10.627725065831424 60.28785523423364, 10.62630241169447 60.28816079158756)"/>
    <s v="[293174, 293182, 293190, 293198, 293206, 293214, 293222, 293230, 293238]"/>
    <s v="[285930, 285935, 285944, 285950, 285957, 285962, 285971, 285978, 249765]"/>
    <s v="0.004958527240826725"/>
    <s v="[249711, 285930, 285935, 285944, 285950, 285957, 285962, 285971, 285978]"/>
    <s v="[0.018, 0.012, 0.023, 0.032, 0.012, 0.034, 0.03, 0.025, 0.007]"/>
    <s v="333.6596259552199"/>
    <s v="[-0.018, -0.012, 0.023, 0.032, 0.012, 0.034, 0.03, 0.025, 0.007]"/>
  </r>
  <r>
    <x v="267"/>
    <x v="388"/>
    <x v="0"/>
    <n v="0"/>
    <m/>
    <n v="267547"/>
    <n v="264806"/>
    <s v="#FIELD!"/>
    <n v="249765"/>
    <s v="0.007"/>
    <s v="776.446436023023"/>
    <s v="#FIELD!"/>
  </r>
  <r>
    <x v="268"/>
    <x v="389"/>
    <x v="0"/>
    <n v="0"/>
    <s v="LINESTRING (10.610866412138295 60.29503647484047, 10.610753207246525 60.29506798753881, 10.609697822763728 60.295450625540404, 10.609643888339857 60.295470718611156)"/>
    <s v="[248874, 248882, 248890]"/>
    <s v="[249771, 249777, 249782]"/>
    <s v="#FIELD!"/>
    <s v="[249770, 249771, 249777]"/>
    <s v="[0.016, 0.019, 0.028]"/>
    <s v="83.32463841965058"/>
    <s v="[-0.016, -0.019, -0.028]"/>
  </r>
  <r>
    <x v="268"/>
    <x v="390"/>
    <x v="0"/>
    <n v="0"/>
    <s v="LINESTRING (10.610866412138295 60.29503647484047, 10.6107815894838 60.29508543664186, 10.609888873257935 60.29555184502635, 10.609836600736246 60.29560056176349)"/>
    <s v="[293246, 293254, 293262]"/>
    <s v="[285990, 285995, 266753]"/>
    <s v="#FIELD!"/>
    <s v="[249770, 285990, 285995]"/>
    <s v="[0.016, 0.019, 0.026]"/>
    <s v="85.85649472619882"/>
    <s v="[-0.016, -0.019, -0.026]"/>
  </r>
  <r>
    <x v="268"/>
    <x v="391"/>
    <x v="0"/>
    <n v="0"/>
    <s v="LINESTRING (10.61637057282862 60.29368540671199, 10.612853196348345 60.294448959763756, 10.612107833288663 60.294633131740206, 10.610866412138295 60.29503647484047)"/>
    <s v="[267555, 267563, 267571]"/>
    <s v="[264813, 264819, 249770]"/>
    <s v="#FIELD!"/>
    <s v="[264812, 264813, 264819]"/>
    <s v="[0.058, 0.012, 0.013]"/>
    <s v="340.6352697144955"/>
    <s v="[-0.058, -0.012, -0.013]"/>
  </r>
  <r>
    <x v="269"/>
    <x v="390"/>
    <x v="0"/>
    <n v="0"/>
    <s v="LINESTRING (10.609643888339857 60.295470718611156, 10.609756760808263 60.29551653869859, 10.609836600736246 60.29560056176349)"/>
    <s v="[270011, 270019]"/>
    <s v="[266823, 266753]"/>
    <s v="#FIELD!"/>
    <s v="[249782, 266823]"/>
    <s v="[0.001, 0.007]"/>
    <s v="18.42033791194024"/>
    <s v="[0.001, -0.007]"/>
  </r>
  <r>
    <x v="269"/>
    <x v="392"/>
    <x v="0"/>
    <n v="0"/>
    <s v="LINESTRING (10.609167846498613 60.29552141388524, 10.609294672143774 60.29546878079062, 10.609403001954739 60.29545132475377, 10.609511703671375 60.29544997718685, 10.609643888339857 60.295470718611156)"/>
    <s v="[269978, 269987, 269995, 270003]"/>
    <s v="[266793, 266801, 266807, 249782]"/>
    <s v="0.02154961902397191"/>
    <s v="[266787, 266793, 266801, 266807]"/>
    <s v="[0.032, 0.026, 0.017, 0.009]"/>
    <s v="29.13011753569472"/>
    <s v="[0.032, 0.026, 0.017, 0.009]"/>
  </r>
  <r>
    <x v="270"/>
    <x v="393"/>
    <x v="0"/>
    <n v="0"/>
    <s v="LINESTRING (17.411886936468235 68.40792028605325, 17.41242048251 68.40735792619863, 17.412473836607536 68.40731617793823, 17.413133241859743 68.40683142524365, 17.413273122889592 68.40673916571579, 17.414697793593238 68.40607337751233)"/>
    <s v="[252888, 252896, 252904, 252912, 252920]"/>
    <s v="[253024, 253030, 253036, 253040, 253044]"/>
    <s v="#FIELD!"/>
    <s v="[253023, 253024, 253030, 253036, 253040]"/>
    <s v="[0.074, 0.123, 0.161, 0.203, 0.117]"/>
    <s v="239.51825593588376"/>
    <s v="[-0.074, -0.123, -0.161, -0.203, 0.117]"/>
  </r>
  <r>
    <x v="270"/>
    <x v="393"/>
    <x v="0"/>
    <n v="0"/>
    <s v="LINESTRING (17.411886936468235 68.40792028605325, 17.412613997326062 68.40734653610309, 17.413300833516697 68.4068610817399, 17.41337093433762 68.40681302453487, 17.41343777561903 68.40677005812437, 17.413528453961938 68.40671137393139, 17.414697793593238 68.40607337751233)"/>
    <s v="[252944, 252952, 252960, 252968, 252976, 252984]"/>
    <s v="[253062, 253068, 253073, 253079, 253085, 253044]"/>
    <s v="#FIELD!"/>
    <s v="[253023, 253062, 253068, 253073, 253079, 253085]"/>
    <s v="[0.113, 0.172, 0.083, 0.001, 0.002, 0.144]"/>
    <s v="236.7287292026984"/>
    <s v="[-0.113, -0.172, -0.083, 0.001, 0.002, 0.144]"/>
  </r>
  <r>
    <x v="270"/>
    <x v="394"/>
    <x v="0"/>
    <n v="0"/>
    <s v="LINESTRING (17.41179132511567 68.40804976086838, 17.411815746015126 68.40801384194344, 17.411886936468235 68.40792028605325)"/>
    <s v="[1021618, 252928]"/>
    <s v="[253050, 253023]"/>
    <s v="1.4629025596645833"/>
    <s v="[488448, 253050]"/>
    <s v="[5.396, 0.036]"/>
    <s v="14.96343693120848"/>
    <s v="[5.396, -0.036]"/>
  </r>
  <r>
    <x v="271"/>
    <x v="395"/>
    <x v="29"/>
    <s v="[0, 0, 0, 0, 0, 1, 1, 1, 0, 0]"/>
    <s v="LINESTRING (17.414697793593238 68.40607337751233, 17.415038816289297 68.40597888417004, 17.41687571247141 68.40579016628027, 17.418538400144026 68.40604038845764, 17.418694242850265 68.4060912283101, 17.419410504773694 68.40636593731378, 17.419558880074185 68.40642667589097, 17.425508672426645 68.40887338706165, 17.425542101584355 68.40888703733735, 17.42691915170153 68.40964606344275, 17.427062226581814 68.40980580146686)"/>
    <s v="[252936, 1021626, 1021634, 1021642, 1021650, 1021658, 1021666, 1021674, 1021682, 1021690]"/>
    <s v="[253055, 382854, 430627, 976950, 976958, 976963, 976973, 976981, 976988, 430567]"/>
    <s v="#FIELD!"/>
    <s v="[253044, 253055, 382854, 430627, 976950, 976958, 976963, 976973, 976981, 976988]"/>
    <s v="[0.2, 0.11, 0.08, 0.103, 0.106, 0.035, 0.005, 0.008, 0.003, 0.006]"/>
    <s v="722.2132456008864"/>
    <s v="[0.2, -0.11, -0.08, -0.103, -0.106, -0.035, -0.005, -0.008, 0.003, 0.006]"/>
  </r>
  <r>
    <x v="272"/>
    <x v="396"/>
    <x v="0"/>
    <n v="0"/>
    <m/>
    <n v="255297"/>
    <n v="254938"/>
    <s v="#FIELD!"/>
    <n v="254937"/>
    <s v="0.127"/>
    <s v="10.039732317245113"/>
    <s v="#FIELD!"/>
  </r>
  <r>
    <x v="272"/>
    <x v="397"/>
    <x v="0"/>
    <n v="0"/>
    <s v="LINESTRING (9.854235871682494 63.296671053925046, 9.854039277094389 63.29669678349895, 9.853824929020313 63.29667017572742)"/>
    <s v="[255357, 255366]"/>
    <s v="[254989, 254937]"/>
    <s v="#FIELD!"/>
    <s v="[254984, 254989]"/>
    <s v="[0.255, 0.227]"/>
    <s v="21.43107761036699"/>
    <s v="[-0.255, -0.227]"/>
  </r>
  <r>
    <x v="272"/>
    <x v="398"/>
    <x v="0"/>
    <n v="0"/>
    <s v="LINESTRING (9.854047618864467 63.297187785858846, 9.8539072234998 63.29672450750968, 9.853824929020313 63.29667017572742)"/>
    <s v="[255398, 255406]"/>
    <s v="[255016, 254937]"/>
    <s v="#FIELD!"/>
    <s v="[255000, 255016]"/>
    <s v="[0.016, 0.116]"/>
    <s v="60.264768957674384"/>
    <s v="[0.016, -0.116]"/>
  </r>
  <r>
    <x v="273"/>
    <x v="399"/>
    <x v="0"/>
    <n v="0"/>
    <s v="LINESTRING (9.853688775131944 63.29660420463918, 9.85364355758242 63.29652499903312, 9.85368753314143 63.29644118659964)"/>
    <s v="[255309, 255317]"/>
    <s v="[254948, 254956]"/>
    <s v="0.03873170276979637"/>
    <s v="[254938, 254948]"/>
    <s v="[0.03, 0.104]"/>
    <s v="18.722299657893196"/>
    <s v="[-0.03, 0.104]"/>
  </r>
  <r>
    <x v="273"/>
    <x v="400"/>
    <x v="30"/>
    <n v="0"/>
    <s v="LINESTRING (9.853688775131944 63.29660420463918, 9.853570308896078 63.29658154458041, 9.851905491397357 63.29659254877535, 9.851784846294965 63.29662086396786)"/>
    <s v="[255446, 255454, 255462]"/>
    <s v="[255057, 255063, 255071]"/>
    <s v="#FIELD!"/>
    <s v="[254938, 255057, 255063]"/>
    <s v="[0.219, 0.235, 0.024]"/>
    <s v="97.7659102860527"/>
    <s v="[-0.219, -0.235, -0.024]"/>
  </r>
  <r>
    <x v="274"/>
    <x v="397"/>
    <x v="0"/>
    <n v="0"/>
    <s v="LINESTRING (9.85368753314143 63.29644118659964, 9.853788161684468 63.296386262025905, 9.853973287174325 63.29634963662613, 9.854209277188495 63.29636588993044, 9.854235871682494 63.296671053925046)"/>
    <s v="[255325, 255333, 255341, 255349]"/>
    <s v="[254962, 254969, 254977, 254984]"/>
    <s v="0.08075407204755562"/>
    <s v="[254956, 254962, 254969, 254977]"/>
    <s v="[0.192, 0.252, 0.253, 0.034]"/>
    <s v="70.88511118062922"/>
    <s v="[0.192, 0.252, 0.253, -0.034]"/>
  </r>
  <r>
    <x v="274"/>
    <x v="401"/>
    <x v="0"/>
    <n v="0"/>
    <s v="LINESTRING (9.85368753314143 63.29644118659964, 9.853600265354864 63.2964633164818, 9.851910844691076 63.29648269628609, 9.85178780138131 63.296459032237756)"/>
    <s v="[255470, 255478, 255486]"/>
    <s v="[255077, 255084, 255088]"/>
    <s v="#FIELD!"/>
    <s v="[254956, 255077, 255084]"/>
    <s v="[0.248, 0.242, 0.023]"/>
    <s v="97.67312396599931"/>
    <s v="[-0.248, -0.242, -0.023]"/>
  </r>
  <r>
    <x v="275"/>
    <x v="398"/>
    <x v="0"/>
    <n v="0"/>
    <s v="LINESTRING (9.854047618864467 63.297187785858846, 9.854174837080814 63.29672750212094, 9.854235871682494 63.296671053925046)"/>
    <s v="[255374, 255382]"/>
    <s v="[255001, 254984]"/>
    <s v="0.08730977400817344"/>
    <s v="[255000, 255001]"/>
    <s v="[0.076, 0.172]"/>
    <s v="59.419272305218186"/>
    <s v="[0.076, 0.172]"/>
  </r>
  <r>
    <x v="276"/>
    <x v="402"/>
    <x v="0"/>
    <n v="0"/>
    <s v="LINESTRING (9.85461857821334 63.30635096881147, 9.85409174536385 63.305829983554474, 9.85404558541888 63.29728336386616, 9.854047618864467 63.297187785858846)"/>
    <s v="[599649, 599657, 255390]"/>
    <s v="[602429, 255010, 255000]"/>
    <s v="0.02171198203892862"/>
    <s v="[602428, 602429, 255010]"/>
    <s v="[0.002, 0.023, 0.046]"/>
    <s v="1048.485182822013"/>
    <s v="[-0.002, 0.023, 0.046]"/>
  </r>
  <r>
    <x v="277"/>
    <x v="403"/>
    <x v="0"/>
    <n v="0"/>
    <s v="LINESTRING (9.851784846294965 63.29662086396786, 9.85172920472747 63.296644228147414, 9.851568981964006 63.29666522595775, 9.851476418188373 63.29665737503773, 9.851308123212187 63.296581105817005)"/>
    <s v="[593125, 593133, 593141, 593149]"/>
    <s v="[597317, 597322, 597330, 556449]"/>
    <s v="#FIELD!"/>
    <s v="[255071, 597317, 597322, 597330]"/>
    <s v="[0.016, 0.023, 0.024, 0.018]"/>
    <s v="29.195040504406414"/>
    <s v="[-0.016, -0.023, -0.024, -0.018]"/>
  </r>
  <r>
    <x v="277"/>
    <x v="401"/>
    <x v="0"/>
    <n v="0"/>
    <s v="LINESTRING (9.85178780138131 63.296459032237756, 9.85181440033975 63.29647798878802, 9.85184558760942 63.29651600436327, 9.851850111563031 63.296537993953635, 9.851848325200605 63.296556588198605, 9.851784846294965 63.29662086396786)"/>
    <s v="[593205, 593213, 593221, 593229, 593117]"/>
    <s v="[597376, 597379, 597387, 597310, 255071]"/>
    <s v="#FIELD!"/>
    <s v="[255088, 597376, 597379, 597387, 597310]"/>
    <s v="[0.01, 0.011, 0.0, 0.0, 0.011]"/>
    <s v="19.400348169838935"/>
    <s v="[0.01, 0.011, 0.0, 0.0, -0.011]"/>
  </r>
  <r>
    <x v="278"/>
    <x v="404"/>
    <x v="0"/>
    <n v="0"/>
    <s v="LINESTRING (9.851307671746186 63.29650114566203, 9.85137044585846 63.29645288549568, 9.851499244865655 63.29641799259488, 9.851616960317443 63.29641555372885, 9.85178780138131 63.296459032237756)"/>
    <s v="[593173, 593181, 593189, 593197]"/>
    <s v="[597352, 597359, 597365, 255088]"/>
    <s v="0.02022337335025483"/>
    <s v="[597346, 597352, 597359, 597365]"/>
    <s v="[0.011, 0.021, 0.026, 0.022]"/>
    <s v="29.541449540157984"/>
    <s v="[0.011, 0.021, 0.026, 0.022]"/>
  </r>
  <r>
    <x v="279"/>
    <x v="405"/>
    <x v="0"/>
    <n v="0"/>
    <s v="LINESTRING (10.88198779958223 63.44504837411619, 10.88737413152105 63.44578749715177, 10.887742664380944 63.44580867793784, 10.887853014083875 63.44580789975062)"/>
    <s v="[256828, 256836, 256844]"/>
    <s v="[255967, 255974, 255982]"/>
    <s v="#FIELD!"/>
    <s v="[255966, 255967, 255974]"/>
    <s v="[0.056, 0.024, 0.012]"/>
    <s v="305.7311518037297"/>
    <s v="[-0.056, -0.024, -0.012]"/>
  </r>
  <r>
    <x v="279"/>
    <x v="406"/>
    <x v="0"/>
    <n v="0"/>
    <s v="LINESTRING (10.88198779958223 63.44504837411619, 10.88732339444164 63.44585915887125, 10.887659513322651 63.44593041706915, 10.887749169156054 63.44595627873403)"/>
    <s v="[256892, 256900, 256908]"/>
    <s v="[256026, 256033, 256038]"/>
    <s v="#FIELD!"/>
    <s v="[255966, 256026, 256033]"/>
    <s v="[0.06, 0.061, 0.1]"/>
    <s v="305.42462198963966"/>
    <s v="[-0.06, -0.061, -0.1]"/>
  </r>
  <r>
    <x v="279"/>
    <x v="407"/>
    <x v="31"/>
    <n v="0"/>
    <s v="LINESTRING (10.825236733393405 63.415373476633874, 10.826036782923651 63.4159358436564, 10.826047535951652 63.415943412312, 10.827434359685844 63.41699528681448, 10.856682053243455 63.43588061280646, 10.875731060984243 63.44418174624818, 10.878751035748543 63.44465030478598, 10.878904538704301 63.444662868488734, 10.878923744874024 63.44466544507752, 10.88198779958223 63.44504837411619)"/>
    <s v="[571471, 571484, 571485, 571489, 632101, 632109, 632117, 632125, 632133]"/>
    <s v="[579255, 579262, 579263, 579268, 627452, 627457, 627466, 627475, 255966]"/>
    <s v="#FIELD!"/>
    <s v="[579254, 579255, 579262, 579263, 579268, 627452, 627457, 627466, 627475]"/>
    <s v="[0.028, 0.175, 0.132, 0.047, 0.114, 0.14, 0.07, 0.619, 0.129]"/>
    <s v="4449.463767311755"/>
    <s v="[0.028, 0.175, 0.132, 0.047, -0.114, -0.14, -0.07, -0.619, 0.129]"/>
  </r>
  <r>
    <x v="280"/>
    <x v="408"/>
    <x v="0"/>
    <n v="0"/>
    <s v="LINESTRING (10.887853014083875 63.44580789975062, 10.888381894908647 63.44587094376983, 10.888394670888541 63.44589243478836)"/>
    <s v="[2103771, 2103773]"/>
    <s v="[1325268, 255988]"/>
    <s v="#FIELD!"/>
    <s v="[255982, 1325268]"/>
    <s v="[0.026, 0.296]"/>
    <s v="34.322386255382334"/>
    <s v="[-0.026, -0.296]"/>
  </r>
  <r>
    <x v="280"/>
    <x v="406"/>
    <x v="0"/>
    <n v="0"/>
    <s v="LINESTRING (10.887749169156054 63.44595627873403, 10.887751089023908 63.445880020536976, 10.887853014083875 63.44580789975062)"/>
    <s v="[2103797, 2103798]"/>
    <s v="[1818055, 255982]"/>
    <s v="0.13337087084047383"/>
    <s v="[256038, 1818055]"/>
    <s v="[0.164, 0.106]"/>
    <s v="18.015912386306958"/>
    <s v="[0.164, 0.106]"/>
  </r>
  <r>
    <x v="281"/>
    <x v="409"/>
    <x v="0"/>
    <s v="[0, 0, 0, 1, 0, 1, 0]"/>
    <s v="LINESTRING (10.888394670888541 63.44589243478836, 10.888479470364876 63.445932537996036, 10.897745342399642 63.447712012962114, 10.899857860643078 63.44804616645087, 10.903445581882808 63.44876963704241, 10.904245843362947 63.44901008753203, 10.904887641674351 63.44922492176745, 10.905731473777092 63.44956329273632)"/>
    <s v="[256852, 256860, 256868, 256876, 256884, 533735, 533743]"/>
    <s v="[255989, 255998, 256005, 256012, 256019, 541246, 541253]"/>
    <s v="#FIELD!"/>
    <s v="[255988, 255989, 255998, 256005, 256012, 256019, 541246]"/>
    <s v="[0.109, 0.008, 0.005, 0.005, 0.001, 0.007, 0.015]"/>
    <s v="963.0611629104383"/>
    <s v="[-0.109, -0.008, -0.005, -0.005, 0.001, 0.007, 0.015]"/>
  </r>
  <r>
    <x v="281"/>
    <x v="410"/>
    <x v="0"/>
    <n v="0"/>
    <s v="LINESTRING (10.888394670888541 63.44589243478836, 10.888361804728827 63.44598927601408, 10.888228745164968 63.446049453912785)"/>
    <s v="[2103781, 2103782]"/>
    <s v="[1818045, 256046]"/>
    <s v="#FIELD!"/>
    <s v="[255988, 1818045]"/>
    <s v="[0.115, 0.119]"/>
    <s v="20.35910958131815"/>
    <s v="[-0.115, -0.119]"/>
  </r>
  <r>
    <x v="282"/>
    <x v="410"/>
    <x v="0"/>
    <n v="0"/>
    <s v="LINESTRING (10.888228745164968 63.446049453912785, 10.887975402118911 63.44606157655357, 10.887749169156054 63.44595627873403)"/>
    <s v="[2103789, 2103790]"/>
    <s v="[1818035, 256038]"/>
    <s v="0.052046568333111526"/>
    <s v="[256046, 1818035]"/>
    <s v="[0.017, 0.079]"/>
    <s v="29.795382397223907"/>
    <s v="[0.017, 0.079]"/>
  </r>
  <r>
    <x v="283"/>
    <x v="411"/>
    <x v="0"/>
    <s v="[0, 0, 1, 0]"/>
    <s v="LINESTRING (10.888228745164968 63.446049453912785, 10.888336634479984 63.44605462688822, 10.899814102356794 63.448091453182165, 10.903389459457797 63.44881210735421, 10.904185593771302 63.449047864657295)"/>
    <s v="[256916, 256924, 256932, 256940]"/>
    <s v="[256047, 256054, 256061, 256067]"/>
    <s v="#FIELD!"/>
    <s v="[256046, 256047, 256054, 256061]"/>
    <s v="[0.007, 0.005, 0.005, 0.001]"/>
    <s v="865.3972601156566"/>
    <s v="[-0.007, -0.005, -0.005, 0.001]"/>
  </r>
  <r>
    <x v="284"/>
    <x v="412"/>
    <x v="0"/>
    <s v="[1, 0, 0, 0, 0, 0, 0, 0, 0, 0]"/>
    <s v="LINESTRING (10.904185593771302 63.449047864657295, 10.904815836053695 63.44927006205141, 10.90565160544012 63.44959811724951, 10.907545601971902 63.45063517996861, 10.908098043604012 63.45106327029024, 10.908153501639203 63.451108578716976, 10.908576139941681 63.451516311307934, 10.908704976585627 63.45165523266191, 10.909166590719945 63.452288890190765, 10.909200800165461 63.45234546347849, 10.909202114488618 63.45234764935875)"/>
    <s v="[680794, 680802, 680810, 680818, 1750207, 1750208, 1750214, 1750222, 1750242, 1750243]"/>
    <s v="[671660, 671666, 671677, 671685, 1550918, 1550919, 1550922, 1550926, 1550933, 1307339]"/>
    <s v="0.017160815140336568"/>
    <s v="[256067, 671660, 671666, 671677, 671685, 1550918, 1550919, 1550922, 1550926, 1550933]"/>
    <s v="[0.008, 0.015, 0.027, 0.028, 0.023, 0.024, 0.012, 0.008, 0.004, 3.317]"/>
    <s v="453.9777634203924"/>
    <s v="[0.008, 0.015, 0.027, 0.028, -0.023, 0.024, 0.012, 0.008, 0.004, -3.317]"/>
  </r>
  <r>
    <x v="284"/>
    <x v="413"/>
    <x v="0"/>
    <s v="[0, 1, 0]"/>
    <s v="LINESTRING (10.906384970136884 63.45096288773221, 10.904773578832655 63.44928735802952, 10.90433820599657 63.44912623358117, 10.904185593771302 63.449047864657295)"/>
    <s v="[597524, 597532, 625538]"/>
    <s v="[600860, 600865, 256067]"/>
    <s v="#FIELD!"/>
    <s v="[600792, 600860, 600865]"/>
    <s v="[0.018, 0.009, 0.005]"/>
    <s v="270.8979239506561"/>
    <s v="[-0.018, -0.009, -0.005]"/>
  </r>
  <r>
    <x v="285"/>
    <x v="414"/>
    <x v="0"/>
    <n v="0"/>
    <s v="LINESTRING (10.308281407223772 60.06140727697317, 10.308082139247288 60.06218761100724, 10.307764304285582 60.06240245521638, 10.307642285754072 60.062459817881816, 10.30758924053462 60.06248298100274, 10.307297339364679 60.06259139882052, 10.307192008297907 60.06261935834841, 10.307098702233175 60.06264133244559, 10.306716402249 60.06270739994419, 10.306363526614563 60.06273763604201, 10.305901688207923 60.062728926469944, 10.305736367317012 60.06271732550831, 10.304618415868068 60.06258989483128)"/>
    <s v="[264013, 264021, 264029, 264037, 264045, 264053, 264061, 264069, 264077, 264085, 264093, 264101]"/>
    <s v="[262088, 262095, 262103, 262110, 262119, 262127, 262136, 262143, 262152, 262158, 262163, 262169]"/>
    <s v="#FIELD!"/>
    <s v="[262087, 262088, 262095, 262103, 262110, 262119, 262127, 262136, 262143, 262152, 262158, 262163]"/>
    <s v="[0.089, 0.039, 0.03, 0.032, 0.037, 0.046, 0.045, 0.049, 0.055, 0.056, 0.054, 0.02]"/>
    <s v="307.02011637013203"/>
    <s v="[-0.089, -0.039, -0.03, -0.032, -0.037, -0.046, -0.045, -0.049, -0.055, -0.056, -0.054, -0.02]"/>
  </r>
  <r>
    <x v="285"/>
    <x v="414"/>
    <x v="0"/>
    <n v="0"/>
    <s v="LINESTRING (10.308281407223772 60.06140727697317, 10.308175969312494 60.06221632001618, 10.307705456438955 60.062521534622846, 10.30732781277833 60.06266933013301, 10.307278743890786 60.062684017951895, 10.307201044221824 60.06270392072845, 10.307094340572519 60.06272508561825, 10.306752471680717 60.06277937829822, 10.306331002462816 60.06280787644932, 10.305888817942465 60.06278976521346, 10.304618415868068 60.06258989483128)"/>
    <s v="[1431604, 1431612, 1431620, 1431628, 1431636, 1431644, 1431652, 1431660, 1431668, 1431676]"/>
    <s v="[1303342, 1303347, 1065593, 1303354, 1065568, 1303361, 1303366, 1303373, 1303378, 262169]"/>
    <s v="#FIELD!"/>
    <s v="[262087, 1303342, 1303347, 1065593, 1303354, 1065568, 1303361, 1303366, 1303373, 1303378]"/>
    <s v="[0.087, 0.023, 0.037, 0.045, 0.047, 0.049, 0.051, 0.055, 0.056, 0.024]"/>
    <s v="321.0098877943865"/>
    <s v="[-0.087, -0.023, -0.037, -0.045, -0.047, -0.049, -0.051, -0.055, -0.056, -0.024]"/>
  </r>
  <r>
    <x v="286"/>
    <x v="415"/>
    <x v="0"/>
    <s v="[0, 0, 1, 0, 0, 0, 0]"/>
    <s v="LINESTRING (10.304618415868068 60.06258989483128, 10.302527317783289 60.06242929323428, 10.300626009654104 60.06337634799014, 10.299529176938583 60.064124700147524, 10.298092741477257 60.06516824835895, 10.297810340301375 60.06552611202828, 10.297788460490908 60.065571149973586, 10.29777494601164 60.065610018991535)"/>
    <s v="[1369841, 1369849, 1369857, 1369865, 1369873, 1369881, 1369889]"/>
    <s v="[1263289, 1263298, 1263307, 1263314, 1039313, 1263321, 287773]"/>
    <s v="0.008784998683778963"/>
    <s v="[262169, 1263289, 1263298, 1263307, 1263314, 1039313, 1263321]"/>
    <s v="[0.016, 0.012, 0.005, 0.01, 0.076, 0.075, 0.089]"/>
    <s v="569.9531807776342"/>
    <s v="[0.016, -0.012, -0.005, 0.01, 0.076, 0.075, 0.089]"/>
  </r>
  <r>
    <x v="287"/>
    <x v="141"/>
    <x v="0"/>
    <n v="0"/>
    <m/>
    <n v="264133"/>
    <n v="262197"/>
    <s v="#FIELD!"/>
    <n v="262196"/>
    <s v="0.017"/>
    <s v="82.11146637843065"/>
    <s v="#FIELD!"/>
  </r>
  <r>
    <x v="287"/>
    <x v="138"/>
    <x v="0"/>
    <n v="0"/>
    <s v="LINESTRING (10.28744947538968 60.07771394897363, 10.286198240421648 60.078055227636796, 10.284887013204669 60.07917572119763, 10.285037027935308 60.08007884579868)"/>
    <s v="[1431692, 1431700, 1431708]"/>
    <s v="[1303394, 1303402, 634285]"/>
    <s v="0.0022276099840271507"/>
    <s v="[262196, 1303394, 1303402]"/>
    <s v="[0.024, 0.013, 0.045]"/>
    <s v="329.7296073123089"/>
    <s v="[-0.024, -0.013, 0.045]"/>
  </r>
  <r>
    <x v="287"/>
    <x v="416"/>
    <x v="0"/>
    <n v="0"/>
    <s v="LINESTRING (10.297736770192344 60.0659309644081, 10.298643898963157 60.06723965955526, 10.300034580110891 60.068572438717325, 10.302594347314358 60.072364968636506, 10.301485891209571 60.07397514840276, 10.30141846069585 60.07400777228937, 10.300351920367156 60.07450613884939, 10.29331768503352 60.07662982914752, 10.292658114441718 60.077081378234475, 10.291259047489774 60.077534044264056, 10.290637064518817 60.07760039764286, 10.289884256408117 60.07763343291146, 10.288970799270416 60.077650135315324, 10.288912367585219 60.07765064040166, 10.287855647354306 60.07767281768051, 10.28744947538968 60.07771394897363)"/>
    <s v="[1369897, 1369905, 1369913, 1369921, 1369929, 1369937, 1369945, 1369953, 1369961, 1369969, 1369977, 1369985, 1369993, 1370001, 1370009]"/>
    <s v="[1263327, 1263330, 1263335, 1263340, 1263342, 1263345, 1263349, 1263354, 1263360, 1263366, 1263371, 1263376, 1263383, 1263387, 262196]"/>
    <s v="0.0018437175705228427"/>
    <s v="[287783, 1263327, 1263330, 1263335, 1263340, 1263342, 1263345, 1263349, 1263354, 1263360, 1263366, 1263371, 1263376, 1263383, 1263387]"/>
    <s v="[0.019, 0.011, 0.008, 0.013, 0.017, 0.025, 0.02, 0.06, 0.039, 0.015, 0.002, 0.001, 0.005, 0.008, 0.002]"/>
    <s v="1895.9334542737665"/>
    <s v="[0.019, 0.011, -0.008, 0.013, -0.017, -0.025, 0.02, -0.06, -0.039, -0.015, -0.002, 0.001, 0.005, 0.008, -0.002]"/>
  </r>
  <r>
    <x v="288"/>
    <x v="143"/>
    <x v="0"/>
    <n v="0"/>
    <s v="LINESTRING (10.286130397038992 60.07801429965833, 10.284758793560513 60.07926763425149, 10.285038766427451 60.0802599578636, 10.285047946533325 60.0802765747501, 10.285071358057277 60.08031803899463, 10.28512972438733 60.0804181814324, 10.285368691941429 60.080842980592045, 10.285411920689581 60.08092147220223)"/>
    <s v="[264141, 264149, 264157, 264165, 264173, 264181, 264189]"/>
    <s v="[262205, 262211, 262218, 262227, 262234, 262242, 262251]"/>
    <s v="0.014951663912589477"/>
    <s v="[262197, 262205, 262211, 262218, 262227, 262234, 262242]"/>
    <s v="[0.01, 0.043, 0.04, 0.032, 0.029, 0.026, 0.026]"/>
    <s v="353.01677531969585"/>
    <s v="[-0.01, 0.043, 0.04, 0.032, 0.029, 0.026, 0.026]"/>
  </r>
  <r>
    <x v="289"/>
    <x v="417"/>
    <x v="0"/>
    <s v="[0, 1, 0, 0, 0, 0, 0]"/>
    <s v="LINESTRING (10.285411920689581 60.08092147220223, 10.285445544437493 60.080982792102354, 10.285533826857465 60.08114376199862, 10.286290023543978 60.08358242636639, 10.286297289643889 60.08377440301718, 10.286227942578302 60.08492763607632, 10.286214698934511 60.08508199411294, 10.286208207631327 60.08514347343921)"/>
    <s v="[264197, 264205, 264213, 264221, 264229, 264237, 264245]"/>
    <s v="[262261, 262270, 262276, 262282, 262290, 262296, 262303]"/>
    <s v="0.040571425712601014"/>
    <s v="[262251, 262261, 262270, 262276, 262282, 262290, 262296]"/>
    <s v="[0.018, 0.023, 0.038, 0.051, 0.048, 0.043, 0.037]"/>
    <s v="475.55649998722004"/>
    <s v="[0.018, 0.023, 0.038, 0.051, 0.048, 0.043, 0.037]"/>
  </r>
  <r>
    <x v="290"/>
    <x v="418"/>
    <x v="0"/>
    <n v="0"/>
    <s v="LINESTRING (9.942896854012881 59.75917745905116, 9.942854037790367 59.759300423755676, 9.942775562581891 59.75934436982107, 9.942657606934315 59.75937664454923, 9.942404467857353 59.75936706045111)"/>
    <s v="[264243, 264251, 264259, 264267]"/>
    <s v="[262300, 262309, 262316, 262324]"/>
    <s v="#FIELD!"/>
    <s v="[262299, 262300, 262309, 262316]"/>
    <s v="[0.021, 0.014, 0.012, 0.007]"/>
    <s v="42.83313451898875"/>
    <s v="[-0.021, -0.014, -0.012, -0.007]"/>
  </r>
  <r>
    <x v="290"/>
    <x v="419"/>
    <x v="0"/>
    <n v="0"/>
    <s v="LINESTRING (9.942700914279321 59.75904945112418, 9.942829776431461 59.75910406628235, 9.942896854012881 59.75917745905116)"/>
    <s v="[264299, 264307]"/>
    <s v="[262355, 262299]"/>
    <s v="#FIELD!"/>
    <s v="[262345, 262355]"/>
    <s v="[0.015, 0.023]"/>
    <s v="18.474073800312585"/>
    <s v="[-0.015, -0.023]"/>
  </r>
  <r>
    <x v="290"/>
    <x v="420"/>
    <x v="0"/>
    <n v="0"/>
    <s v="LINESTRING (9.983210948623242 59.7547590921824, 9.981014662340447 59.754644375514886, 9.97807392068768 59.754751342015076, 9.977424849057314 59.75484438041157, 9.948959612484014 59.757346724477955, 9.948519763639215 59.75739829907458, 9.944862662795732 59.75832312943025, 9.94333101777741 59.75895025273564, 9.942956385234815 59.759143191697966, 9.942896854012881 59.75917745905116)"/>
    <s v="[2007449, 2007457, 2007465, 2007473, 2007369, 2007377, 2007385, 2007393, 2007401]"/>
    <s v="[1757402, 1757407, 1757411, 1757347, 1757348, 1757353, 1757358, 1757364, 262299]"/>
    <s v="#FIELD!"/>
    <s v="[278736, 1757402, 1757407, 1757411, 1757347, 1757348, 1757353, 1757358, 1757364]"/>
    <s v="[0.03, 0.006, 0.033, 0.001, 0.015, 0.005, 0.009, 0.014, 0.018]"/>
    <s v="2419.058207057457"/>
    <s v="[-0.03, 0.006, 0.033, 0.001, -0.015, 0.005, -0.009, -0.014, -0.018]"/>
  </r>
  <r>
    <x v="291"/>
    <x v="149"/>
    <x v="0"/>
    <n v="0"/>
    <s v="LINESTRING (10.286208207631327 60.08514347343921, 10.28955479131103 60.090218867052776, 10.28986513732971 60.09055262289059, 10.289974392065455 60.09066786241267, 10.291411893734363 60.0924189631255, 10.291553061907576 60.09252558007039)"/>
    <s v="[264253, 264261, 264269, 264277, 264285]"/>
    <s v="[262311, 262318, 262326, 262334, 262342]"/>
    <s v="#FIELD!"/>
    <s v="[262303, 262311, 262318, 262326, 262334]"/>
    <s v="[0.003, 0.018, 0.011, 0.013, 0.03]"/>
    <s v="884.8630274719975"/>
    <s v="[0.003, -0.018, -0.011, -0.013, -0.03]"/>
  </r>
  <r>
    <x v="291"/>
    <x v="421"/>
    <x v="0"/>
    <n v="0"/>
    <s v="LINESTRING (10.286442830584482 60.08714592460672, 10.286442830584482 60.08714592460672, 10.286465587798899 60.087127066133064, 10.286144766597934 60.08526887593212, 10.286208207631327 60.08514347343921)"/>
    <s v="[786843, 786851, 786827, 786923]"/>
    <s v="[766800, 766786, 766787, 262303]"/>
    <s v="#FIELD!"/>
    <s v="[766799, 766800, 766786, 766787]"/>
    <s v="[0.0, 0.07, 0.031, 0.064]"/>
    <s v="236.82172256923815"/>
    <s v="[0.0, -0.07, -0.031, -0.064]"/>
  </r>
  <r>
    <x v="292"/>
    <x v="380"/>
    <x v="0"/>
    <n v="0"/>
    <m/>
    <n v="292483"/>
    <n v="262373"/>
    <s v="0.048"/>
    <n v="262305"/>
    <s v="0.048"/>
    <s v="14.79469446190191"/>
    <s v="0.048"/>
  </r>
  <r>
    <x v="292"/>
    <x v="422"/>
    <x v="0"/>
    <n v="0"/>
    <s v="LINESTRING (10.433825062823356 61.0477888539778, 10.43388524085208 61.04782136136539, 10.434801838894568 61.04765998134394, 10.434152337868394 61.04603413195718, 10.434165960787608 61.04596637231013)"/>
    <s v="[264247, 264255, 342707, 343580]"/>
    <s v="[262306, 262313, 331333, 331992]"/>
    <s v="#FIELD!"/>
    <s v="[262305, 262306, 262313, 331333]"/>
    <s v="[0.018, 0.043, 0.016, 0.037]"/>
    <s v="283.59891519980357"/>
    <s v="[0.018, -0.043, -0.016, -0.037]"/>
  </r>
  <r>
    <x v="292"/>
    <x v="378"/>
    <x v="0"/>
    <n v="0"/>
    <m/>
    <n v="292475"/>
    <n v="262305"/>
    <s v="#FIELD!"/>
    <n v="285295"/>
    <s v="0.168"/>
    <s v="5.205429856721238"/>
    <s v="#FIELD!"/>
  </r>
  <r>
    <x v="293"/>
    <x v="211"/>
    <x v="0"/>
    <n v="0"/>
    <s v="LINESTRING (10.436301938848711 61.0478588143295, 10.436267180285233 61.047945589058216, 10.435754239471594 61.048655753863706, 10.435753532261382 61.04869310494055, 10.435805997578068 61.05000542680295, 10.43575029760308 61.05011791379066)"/>
    <s v="[264263, 264271, 264279, 264287, 343921]"/>
    <s v="[262321, 109003, 262336, 262343, 332455]"/>
    <s v="0.011111488966812013"/>
    <s v="[262320, 262321, 109003, 262336, 262343]"/>
    <s v="[0.012, 0.03, 0.004, 0.009, 0.117]"/>
    <s v="259.0024148085947"/>
    <s v="[0.012, 0.03, 0.004, -0.009, 0.117]"/>
  </r>
  <r>
    <x v="293"/>
    <x v="423"/>
    <x v="0"/>
    <n v="0"/>
    <s v="LINESTRING (10.434442639289415 61.04686531963772, 10.434506225527805 61.04692307778224, 10.434906507341948 61.047461363538375, 10.436301938848711 61.0478588143295)"/>
    <s v="[343660, 342715, 1186622]"/>
    <s v="[331340, 331341, 262320]"/>
    <s v="#FIELD!"/>
    <s v="[332224, 331340, 331341]"/>
    <s v="[0.008, 0.004, 0.051]"/>
    <s v="185.5049478877849"/>
    <s v="[-0.008, 0.004, -0.051]"/>
  </r>
  <r>
    <x v="294"/>
    <x v="424"/>
    <x v="0"/>
    <n v="0"/>
    <s v="LINESTRING (9.942404467857353 59.75936706045111, 9.942272148472712 59.75930972041523, 9.94221224040349 59.75923668483024)"/>
    <s v="[264275, 264283]"/>
    <s v="[262331, 262339]"/>
    <s v="0.013258675705915912"/>
    <s v="[262324, 262331]"/>
    <s v="[0.009, 0.018]"/>
    <s v="18.620817107575576"/>
    <s v="[0.009, 0.018]"/>
  </r>
  <r>
    <x v="294"/>
    <x v="425"/>
    <x v="0"/>
    <n v="0"/>
    <s v="LINESTRING (9.942404467857353 59.75936706045111, 9.942324896811945 59.7593811662427, 9.941851176807203 59.75949404933438, 9.93891609962952 59.760202524435854, 9.935678380587538 59.76052145728, 9.931130603927983 59.76009879553708, 9.915341502431346 59.76096264972786, 9.909505270361658 59.76174176855027, 9.908896147897618 59.76179807658811)"/>
    <s v="[2007177, 2007185, 2007193, 2007201, 2007209, 2007217, 2007225, 2007233]"/>
    <s v="[1757225, 1757228, 1757233, 1757239, 1757245, 1757251, 1757258, 1757262]"/>
    <s v="#FIELD!"/>
    <s v="[262324, 1757225, 1757228, 1757233, 1757239, 1757245, 1757251, 1757258]"/>
    <s v="[0.015, 0.02, 0.014, 0.013, 0.003, 0.0, 0.001, 0.021]"/>
    <s v="1942.4625661854373"/>
    <s v="[-0.015, -0.02, -0.014, 0.013, 0.003, 0.0, -0.001, -0.021]"/>
  </r>
  <r>
    <x v="295"/>
    <x v="419"/>
    <x v="0"/>
    <n v="0"/>
    <m/>
    <n v="264291"/>
    <n v="262345"/>
    <s v="0.016"/>
    <n v="262339"/>
    <s v="0.016"/>
    <s v="41.64082789195554"/>
    <s v="0.016"/>
  </r>
  <r>
    <x v="295"/>
    <x v="425"/>
    <x v="32"/>
    <n v="0"/>
    <s v="LINESTRING (9.94221224040349 59.75923668483024, 9.942159007860447 59.7592637453996, 9.941768968215728 59.75942966297665, 9.938878611183032 59.760148913219396, 9.935675820934941 59.7604586496644, 9.93117166327441 59.760021623242686, 9.915303269087898 59.7608874808841, 9.909476883844524 59.76169086736435, 9.908896147897618 59.76179807658811)"/>
    <s v="[2007241, 2007249, 2007257, 2007265, 2007273, 2007281, 2007289, 2007297]"/>
    <s v="[1757267, 1757273, 1757276, 1757282, 1757287, 1757291, 1757296, 1757262]"/>
    <s v="#FIELD!"/>
    <s v="[262339, 1757267, 1757273, 1757276, 1757282, 1757287, 1757291, 1757296]"/>
    <s v="[0.019, 0.024, 0.016, 0.012, 0.005, 0.0, 0.0, 0.027]"/>
    <s v="1939.8601707212886"/>
    <s v="[-0.019, -0.024, -0.016, 0.012, 0.005, -0.0, 0.0, -0.027]"/>
  </r>
  <r>
    <x v="296"/>
    <x v="146"/>
    <x v="0"/>
    <n v="0"/>
    <s v="LINESTRING (10.29007186531949 60.09064888019309, 10.290145377413051 60.090730725436295, 10.291553061907576 60.09252558007039)"/>
    <s v="[1431836, 1431844]"/>
    <s v="[1303503, 262342]"/>
    <s v="#FIELD!"/>
    <s v="[594712, 1303503]"/>
    <s v="[0.021, 0.01]"/>
    <s v="225.665042263466"/>
    <s v="[-0.021, -0.01]"/>
  </r>
  <r>
    <x v="297"/>
    <x v="420"/>
    <x v="0"/>
    <n v="0"/>
    <s v="LINESTRING (9.983210948623242 59.7547590921824, 9.9810110343028 59.75458822353573, 9.978047834769892 59.754696587787244, 9.977389978077413 59.75479018915763, 9.948965462652836 59.75728544730737, 9.94848911142542 59.75734126558582, 9.944793379922295 59.75827722817348, 9.943239606478977 59.75889339371058, 9.942771258797636 59.759032794014736, 9.942700914279321 59.75904945112418)"/>
    <s v="[2007481, 2007489, 2007497, 2007505, 2007409, 2007417, 2007425, 2007433, 2007441]"/>
    <s v="[1757420, 1757427, 1757430, 1757374, 1757375, 1757381, 1757387, 1757392, 262345]"/>
    <s v="#FIELD!"/>
    <s v="[278736, 1757420, 1757427, 1757430, 1757374, 1757375, 1757381, 1757387, 1757392]"/>
    <s v="[0.027, 0.003, 0.034, 0.001, 0.016, 0.006, 0.008, 0.009, 0.009]"/>
    <s v="2424.067941821823"/>
    <s v="[-0.027, 0.003, 0.034, 0.001, -0.016, 0.006, -0.008, -0.009, -0.009]"/>
  </r>
  <r>
    <x v="298"/>
    <x v="210"/>
    <x v="0"/>
    <n v="0"/>
    <s v="LINESTRING (10.43576984975745 61.049702981136384, 10.435711416629722 61.04958867927107, 10.435588736520538 61.04883090851487, 10.435203024267176 61.04828065466164, 10.433766102806588 61.04791222826568, 10.433678074986888 61.047893678655555)"/>
    <s v="[343620, 264295, 264303, 264311, 264319]"/>
    <s v="[262351, 262352, 262361, 262367, 262373]"/>
    <s v="0.02860528699906714"/>
    <s v="[332026, 262351, 262352, 262361, 262367]"/>
    <s v="[0.039, 0.002, 0.033, 0.051, 0.001]"/>
    <s v="257.03654764179964"/>
    <s v="[0.039, 0.002, 0.033, 0.051, -0.001]"/>
  </r>
  <r>
    <x v="299"/>
    <x v="426"/>
    <x v="0"/>
    <n v="0"/>
    <s v="LINESTRING (10.263650203790041 59.75425362930587, 10.263577692258774 59.75428713353665, 10.263257839480472 59.75434512012079, 10.263131136039501 59.754342549647866)"/>
    <s v="[264341, 264349, 264357]"/>
    <s v="[262390, 262397, 262403]"/>
    <s v="0.0005508110831983405"/>
    <s v="[262389, 262390, 262397]"/>
    <s v="[0.01, 0.001, 0.008]"/>
    <s v="32.096719719830034"/>
    <s v="[0.01, 0.001, -0.008]"/>
  </r>
  <r>
    <x v="299"/>
    <x v="427"/>
    <x v="0"/>
    <n v="0"/>
    <s v="LINESTRING (10.263650203790041 59.75425362930587, 10.263679091858913 59.7541961346376, 10.263763205076502 59.75414857676031, 10.263899777707095 59.75412467165464, 10.264174884762161 59.754225030681795)"/>
    <s v="[1393031, 1393039, 1393047, 1393055]"/>
    <s v="[1063952, 1277114, 1277117, 1277120]"/>
    <s v="#FIELD!"/>
    <s v="[262389, 1063952, 1277114, 1277117]"/>
    <s v="[0.014, 0.011, 0.002, 0.003]"/>
    <s v="42.144799429369215"/>
    <s v="[-0.014, -0.011, -0.002, 0.003]"/>
  </r>
  <r>
    <x v="299"/>
    <x v="428"/>
    <x v="0"/>
    <n v="0"/>
    <s v="LINESTRING (10.263738599532624 59.75435936202765, 10.263679955490476 59.75432036558899, 10.263650203790041 59.75425362930587)"/>
    <s v="[1393015, 1393023]"/>
    <s v="[1277109, 262389]"/>
    <s v="0.09237214549322395"/>
    <s v="[600588, 1277109]"/>
    <s v="[0.248, 0.019]"/>
    <s v="13.080492393557684"/>
    <s v="[0.248, -0.019]"/>
  </r>
  <r>
    <x v="300"/>
    <x v="429"/>
    <x v="0"/>
    <n v="0"/>
    <s v="LINESTRING (10.263131136039501 59.754342549647866, 10.26301586796283 59.754304736814845, 10.262513670426308 59.75409784127435, 10.26212545261025 59.7539813303468)"/>
    <s v="[1422892, 1422900, 1239705]"/>
    <s v="[1298215, 1160493, 1160470]"/>
    <s v="#FIELD!"/>
    <s v="[262403, 1298215, 1160493]"/>
    <s v="[0.003, 0.018, 0.014]"/>
    <s v="69.70579336730121"/>
    <s v="[-0.003, -0.018, -0.014]"/>
  </r>
  <r>
    <x v="300"/>
    <x v="428"/>
    <x v="0"/>
    <n v="0"/>
    <s v="LINESTRING (10.263738599532624 59.75435936202765, 10.263660061659262 59.7543789226548, 10.263131136039501 59.754342549647866)"/>
    <s v="[597182, 597190]"/>
    <s v="[600589, 262403]"/>
    <s v="0.03256474894852201"/>
    <s v="[600588, 600589]"/>
    <s v="[0.01, 0.036]"/>
    <s v="37.28065516258314"/>
    <s v="[0.01, 0.036]"/>
  </r>
  <r>
    <x v="301"/>
    <x v="430"/>
    <x v="0"/>
    <n v="0"/>
    <s v="LINESTRING (10.25688784139255 59.76786538473107, 10.256875645013853 59.768178295808376, 10.256892291434829 59.76822391669085)"/>
    <s v="[264405, 2023221]"/>
    <s v="[262442, 1277270]"/>
    <s v="0.003231265095736857"/>
    <s v="[262441, 262442]"/>
    <s v="[0.004, 0.002]"/>
    <s v="40.35452844641279"/>
    <s v="[0.004, -0.002]"/>
  </r>
  <r>
    <x v="301"/>
    <x v="431"/>
    <x v="0"/>
    <n v="0"/>
    <s v="LINESTRING (10.25688784139255 59.76786538473107, 10.257045679803095 59.768155678210505, 10.257096423197014 59.76821022240482)"/>
    <s v="[597279, 597287]"/>
    <s v="[600677, 600684]"/>
    <s v="0.011520592972367343"/>
    <s v="[262441, 600677]"/>
    <s v="[0.014, 0.001]"/>
    <s v="40.62768460340309"/>
    <s v="[0.014, -0.001]"/>
  </r>
  <r>
    <x v="301"/>
    <x v="432"/>
    <x v="0"/>
    <n v="0"/>
    <s v="LINESTRING (10.255652445725316 59.76378679718769, 10.255119450879217 59.763768759363025, 10.25418703586358 59.76394364444547, 10.253698370549445 59.76415719349865, 10.253462539659306 59.76430078055611, 10.25339380221167 59.76444694179288, 10.253403237427946 59.76448316359306, 10.253418348164146 59.76452010347078, 10.25444226145678 59.765311015711525, 10.25688784139255 59.76786538473107)"/>
    <s v="[2099461, 1423108, 1423116, 1423124, 1423132, 1423140, 1423148, 1423156, 1423164]"/>
    <s v="[1298365, 1298366, 1298371, 1298378, 1298388, 1298397, 1298406, 1298412, 262441]"/>
    <s v="0.0017931675147758604"/>
    <s v="[1815304, 1298365, 1298366, 1298371, 1298378, 1298388, 1298397, 1298406, 1298412]"/>
    <s v="[0.06, 0.031, 0.005, 0.012, 0.011, 0.008, 0.011, 0.014, 0.001]"/>
    <s v="592.6283000767769"/>
    <s v="[0.06, 0.031, -0.005, -0.012, -0.011, -0.008, -0.011, -0.014, -0.001]"/>
  </r>
  <r>
    <x v="302"/>
    <x v="232"/>
    <x v="0"/>
    <n v="0"/>
    <s v="LINESTRING (10.432922485940487 61.1311897340936, 10.43307330178468 61.13119879255052, 10.43320052602999 61.131235434783235, 10.433301525690544 61.13130912236516, 10.433319531608676 61.13134921068274, 10.433298128000743 61.13143032307006, 10.43322241160668 61.13148963390245, 10.433127310146803 61.131524817256015)"/>
    <s v="[282456, 282464, 282472, 282480, 282488, 282496, 282416]"/>
    <s v="[213940, 276901, 247095, 276913, 276917, 276868, 262744]"/>
    <s v="0.07940860544210258"/>
    <s v="[262680, 213940, 276901, 247095, 276913, 276917, 276868]"/>
    <s v="[0.235, 0.126, 0.109, 0.092, 0.058, 0.01, 0.116]"/>
    <s v="53.93958956526671"/>
    <s v="[0.235, 0.126, 0.109, 0.092, 0.058, 0.01, -0.116]"/>
  </r>
  <r>
    <x v="302"/>
    <x v="386"/>
    <x v="0"/>
    <n v="0"/>
    <m/>
    <n v="282448"/>
    <n v="262680"/>
    <s v="#FIELD!"/>
    <n v="276887"/>
    <s v="0.024"/>
    <s v="13.285072574452878"/>
    <s v="#FIELD!"/>
  </r>
  <r>
    <x v="303"/>
    <x v="433"/>
    <x v="0"/>
    <n v="0"/>
    <s v="LINESTRING (10.413419769504824 61.1923012856664, 10.413607674142385 61.19212420097381, 10.413702364915006 61.19213280914975, 10.413791850068488 61.19216462274232, 10.413846581607592 61.19223662562265)"/>
    <s v="[287559, 287567, 287575, 287519]"/>
    <s v="[281239, 281247, 281196, 281197]"/>
    <s v="0.02162831734176372"/>
    <s v="[262873, 281239, 281247, 281196]"/>
    <s v="[0.016, 0.104, 0.09, 0.042]"/>
    <s v="46.55348534183579"/>
    <s v="[-0.016, 0.104, 0.09, 0.042]"/>
  </r>
  <r>
    <x v="303"/>
    <x v="245"/>
    <x v="0"/>
    <n v="0"/>
    <m/>
    <n v="287551"/>
    <n v="262873"/>
    <s v="#FIELD!"/>
    <n v="262878"/>
    <s v="0.084"/>
    <s v="14.111163812696798"/>
    <s v="#FIELD!"/>
  </r>
  <r>
    <x v="303"/>
    <x v="243"/>
    <x v="0"/>
    <n v="0"/>
    <s v="LINESTRING (10.414739027514198 61.19524465573373, 10.414660981134515 61.19513576439301, 10.414547478820813 61.194925865078105, 10.414199553248087 61.193957288432465, 10.41339113226335 61.19234438035249, 10.413419769504824 61.1923012856664)"/>
    <s v="[1691121, 1691113, 264911, 264919, 264927]"/>
    <s v="[1513785, 262862, 262863, 262868, 262873]"/>
    <s v="#FIELD!"/>
    <s v="[1513650, 1513785, 262862, 262863, 262868]"/>
    <s v="[0.001, 0.004, 0.005, 0.005, 0.007]"/>
    <s v="353.00256126010316"/>
    <s v="[-0.001, 0.004, 0.005, -0.005, 0.007]"/>
  </r>
  <r>
    <x v="304"/>
    <x v="434"/>
    <x v="0"/>
    <n v="0"/>
    <m/>
    <n v="287543"/>
    <n v="262878"/>
    <s v="0.238"/>
    <n v="281215"/>
    <s v="0.238"/>
    <s v="3.7696153651325064"/>
    <s v="0.238"/>
  </r>
  <r>
    <x v="305"/>
    <x v="435"/>
    <x v="0"/>
    <n v="0"/>
    <m/>
    <n v="287631"/>
    <n v="281311"/>
    <s v="#FIELD!"/>
    <n v="262898"/>
    <s v="0.115"/>
    <s v="21.343802398270043"/>
    <s v="#FIELD!"/>
  </r>
  <r>
    <x v="305"/>
    <x v="244"/>
    <x v="0"/>
    <n v="0"/>
    <s v="LINESTRING (10.415133916928868 61.19282706964882, 10.415114552744463 61.192870479128764, 10.414505786963216 61.19368043554286, 10.41508819790016 61.19559046458097, 10.415166332869063 61.1957386944116, 10.415194224498354 61.195854302178574)"/>
    <s v="[264975, 264983, 264991, 1691097, 1691105]"/>
    <s v="[262899, 262905, 262911, 1513777, 1513725]"/>
    <s v="#FIELD!"/>
    <s v="[262898, 262899, 262905, 262911, 1513777]"/>
    <s v="[0.046, 0.057, 0.013, 0.012, 0.024]"/>
    <s v="347.9625983023245"/>
    <s v="[-0.046, -0.057, -0.013, -0.012, -0.024]"/>
  </r>
  <r>
    <x v="305"/>
    <x v="242"/>
    <x v="0"/>
    <n v="0"/>
    <s v="LINESTRING (10.415309747677433 61.19264327812038, 10.415365525795634 61.19270812129651, 10.415323580640225 61.19277864364619, 10.415203696638656 61.192821342264025, 10.415133916928868 61.19282706964882)"/>
    <s v="[287599, 287607, 287615, 287623]"/>
    <s v="[281281, 281291, 281299, 262898]"/>
    <s v="#FIELD!"/>
    <s v="[281271, 281281, 281291, 281299]"/>
    <s v="[0.033, 0.054, 0.101, 0.254]"/>
    <s v="27.82836493697567"/>
    <s v="[0.033, -0.054, -0.101, 0.254]"/>
  </r>
  <r>
    <x v="306"/>
    <x v="249"/>
    <x v="0"/>
    <n v="0"/>
    <s v="LINESTRING (10.186739157610187 61.45177127595979, 10.186722729943442 61.451670854555125, 10.186793049388841 61.4516292706686, 10.186895838047047 61.45160862430818, 10.18702209953728 61.451618490945286)"/>
    <s v="[292958, 292966, 292974, 292918]"/>
    <s v="[285735, 285745, 285705, 262962]"/>
    <s v="0.0019363621950909053"/>
    <s v="[262957, 285735, 285745, 285705]"/>
    <s v="[0.005, 0.002, 0.001, 0.001]"/>
    <s v="30.305973452718604"/>
    <s v="[0.005, -0.002, 0.001, 0.001]"/>
  </r>
  <r>
    <x v="306"/>
    <x v="110"/>
    <x v="0"/>
    <n v="0"/>
    <m/>
    <n v="292950"/>
    <n v="262957"/>
    <s v="#FIELD!"/>
    <n v="285723"/>
    <s v="0.022"/>
    <s v="7.62758153011937"/>
    <s v="#FIELD!"/>
  </r>
  <r>
    <x v="307"/>
    <x v="106"/>
    <x v="0"/>
    <n v="0"/>
    <m/>
    <n v="292926"/>
    <n v="285710"/>
    <s v="0.012"/>
    <n v="262962"/>
    <s v="0.012"/>
    <s v="14.156362358256757"/>
    <s v="0.012"/>
  </r>
  <r>
    <x v="308"/>
    <x v="205"/>
    <x v="0"/>
    <n v="0"/>
    <m/>
    <n v="265160"/>
    <n v="263021"/>
    <s v="0.084"/>
    <n v="263020"/>
    <s v="0.084"/>
    <s v="17.572498559263035"/>
    <s v="0.084"/>
  </r>
  <r>
    <x v="309"/>
    <x v="362"/>
    <x v="0"/>
    <n v="0"/>
    <s v="LINESTRING (10.65499939159914 60.92912844311867, 10.655199700948755 60.92911198793008, 10.655410068130161 60.92914504188549)"/>
    <s v="[265216, 265224]"/>
    <s v="[263056, 263061]"/>
    <s v="#FIELD!"/>
    <s v="[263051, 263056]"/>
    <s v="[0.14, 0.153]"/>
    <s v="23.010082643270003"/>
    <s v="[-0.14, -0.153]"/>
  </r>
  <r>
    <x v="309"/>
    <x v="436"/>
    <x v="0"/>
    <n v="0"/>
    <m/>
    <n v="336764"/>
    <n v="263051"/>
    <s v="0.0"/>
    <n v="326002"/>
    <s v="0.0"/>
    <s v="6.470896382962686"/>
    <s v="0.0"/>
  </r>
  <r>
    <x v="310"/>
    <x v="437"/>
    <x v="0"/>
    <n v="0"/>
    <m/>
    <n v="293991"/>
    <n v="263061"/>
    <s v="0.0"/>
    <n v="286632"/>
    <s v="0.0"/>
    <s v="8.680472337367346"/>
    <s v="0.0"/>
  </r>
  <r>
    <x v="311"/>
    <x v="375"/>
    <x v="0"/>
    <n v="0"/>
    <s v="LINESTRING (10.448802839063728 61.11588974033328, 10.448821789186153 61.11586142216829, 10.448908782969184 61.115808509613935, 10.449077528963253 61.11578164519655, 10.449162122325841 61.11578926374084)"/>
    <s v="[265256, 265264, 265272, 265280]"/>
    <s v="[263082, 263086, 248622, 263094]"/>
    <s v="#FIELD!"/>
    <s v="[263081, 263082, 263086, 248622]"/>
    <s v="[0.009, 0.004, 0.001, 0.01]"/>
    <s v="25.074891440183734"/>
    <s v="[-0.009, -0.004, 0.001, 0.01]"/>
  </r>
  <r>
    <x v="311"/>
    <x v="221"/>
    <x v="0"/>
    <n v="0"/>
    <s v="LINESTRING (10.44705890383515 61.11625215166119, 10.448706969648654 61.115939745592016, 10.448802839063728 61.11588974033328)"/>
    <s v="[336340, 336348]"/>
    <s v="[325619, 263081]"/>
    <s v="0.00407434291734959"/>
    <s v="[325618, 325619]"/>
    <s v="[0.024, 0.249]"/>
    <s v="104.1624735401789"/>
    <s v="[0.024, -0.249]"/>
  </r>
  <r>
    <x v="312"/>
    <x v="438"/>
    <x v="0"/>
    <s v="[0, 0, 0, 0, 0, 0, 0, 0, 0, 1, 0, 0, 0, 0]"/>
    <s v="LINESTRING (9.637307366972149 60.776349135431836, 9.638255443504205 60.775995481524454, 9.640519016016153 60.77423740096394, 9.648978545231486 60.76871213118186, 9.649865451288708 60.768229076089575, 9.65601334339826 60.764821645653164, 9.658293213460377 60.76374012752225, 9.658384899986379 60.76369663373765, 9.65846881864031 60.7636566993123, 9.660612008567542 60.762640195586066, 9.660944185700345 60.76248220281148, 9.662047889149108 60.76191422912075, 9.662572648640756 60.761564188143765, 9.664450625528074 60.758486747575226, 9.665678226395839 60.757321021346)"/>
    <s v="[2149986, 2149994, 2150002, 2150010, 2150018, 2150026, 2150034, 2150042, 2149844, 2149852, 2149860, 2149868, 2149876, 2149884]"/>
    <s v="[1844001, 319398, 319419, 319417, 319424, 320614, 1844015, 320608, 1843951, 1843955, 1843960, 320129, 320149, 263259]"/>
    <s v="#FIELD!"/>
    <s v="[320518, 1844001, 319398, 319419, 319417, 319424, 320614, 1844015, 320608, 1843951, 1843955, 1843960, 320129, 320149]"/>
    <s v="[0.019, 0.067, 0.034, 0.047, 0.076, 0.061, 0.027, 0.027, 0.003, 0.037, 0.056, 0.05, 0.016, 0.112]"/>
    <s v="2674.421042490686"/>
    <s v="[-0.019, 0.067, 0.034, 0.047, -0.076, -0.061, 0.027, 0.027, -0.003, -0.037, -0.056, -0.05, 0.016, -0.112]"/>
  </r>
  <r>
    <x v="313"/>
    <x v="90"/>
    <x v="0"/>
    <n v="0"/>
    <s v="LINESTRING (10.747482827404443 60.15233648924957, 10.745371679573788 60.152227368509514, 10.741857158649784 60.1522151792366, 10.735882981725998 60.15280598639463)"/>
    <s v="[267091, 267099, 267107]"/>
    <s v="[264392, 264398, 264407]"/>
    <s v="0.007315115793712638"/>
    <s v="[264384, 264392, 264398]"/>
    <s v="[0.003, 0.007, 0.009]"/>
    <s v="652.0706838391266"/>
    <s v="[0.003, 0.007, 0.009]"/>
  </r>
  <r>
    <x v="314"/>
    <x v="87"/>
    <x v="0"/>
    <n v="0"/>
    <m/>
    <n v="267115"/>
    <n v="264414"/>
    <s v="0.01"/>
    <n v="264407"/>
    <s v="0.01"/>
    <s v="93.48093733479195"/>
    <s v="0.01"/>
  </r>
  <r>
    <x v="315"/>
    <x v="103"/>
    <x v="0"/>
    <s v="[0, 1, 1, 0, 1, 0, 0, 0, 1, 1, 0, 1, 0, 1, 0]"/>
    <s v="LINESTRING (10.73421124991072 60.152897025146274, 10.73275461724898 60.15293024299463, 10.73150658223688 60.1529603581298, 10.731128547247254 60.152971616627234, 10.726234048964733 60.15382973107748, 10.726156671139485 60.15386023032928, 10.721336219251048 60.156983031644394, 10.718090628430794 60.160122414129184, 10.710212843120043 60.16784054069806, 10.710159877422532 60.16802987167595, 10.710139251331688 60.168107116662206, 10.702533236758876 60.187211372661174, 10.702259622293194 60.187493193608056, 10.699227682779718 60.204368493076316, 10.699106404221668 60.204605228673344, 10.698887364466746 60.20502633990413)"/>
    <s v="[267123, 267131, 1504372, 1504377, 1504378, 1504381, 267139, 267147, 267155, 267163, 267171, 267179, 267187, 267195, 267203]"/>
    <s v="[264419, 264428, 1360404, 1360409, 1360410, 264436, 264437, 264444, 264452, 264459, 264467, 264475, 264481, 264487, 264493]"/>
    <s v="#FIELD!"/>
    <s v="[264414, 264419, 264428, 1360404, 1360409, 1360410, 264436, 264437, 264444, 264452, 264459, 264467, 264475, 264481, 264487]"/>
    <s v="[0.016, 0.034, 0.107, 0.004, 0.0, 0.024, 0.003, 0.003, 0.029, 0.029, 0.003, 0.011, 0.002, 0.017, 0.023]"/>
    <s v="6722.083194910038"/>
    <s v="[-0.016, -0.034, -0.107, 0.004, -0.0, 0.024, -0.003, -0.003, 0.029, 0.029, -0.003, -0.011, 0.002, -0.017, -0.023]"/>
  </r>
  <r>
    <x v="316"/>
    <x v="99"/>
    <x v="0"/>
    <n v="0"/>
    <m/>
    <n v="267211"/>
    <n v="264500"/>
    <s v="0.004"/>
    <n v="264493"/>
    <s v="0.004"/>
    <s v="99.18714634467332"/>
    <s v="0.004"/>
  </r>
  <r>
    <x v="317"/>
    <x v="102"/>
    <x v="0"/>
    <n v="0"/>
    <s v="LINESTRING (10.698497054598153 60.20589485906415, 10.697956227015489 60.20746058712153, 10.697742750410844 60.20824338543925, 10.69739940635574 60.2107364543129)"/>
    <s v="[267219, 267227, 267235]"/>
    <s v="[264507, 264515, 264521]"/>
    <s v="0.017140893276561424"/>
    <s v="[264500, 264507, 264515]"/>
    <s v="[0.007, 0.019, 0.023]"/>
    <s v="543.7210117097416"/>
    <s v="[0.007, 0.019, 0.023]"/>
  </r>
  <r>
    <x v="318"/>
    <x v="97"/>
    <x v="0"/>
    <n v="0"/>
    <s v="LINESTRING (10.69739940635574 60.2107364543129, 10.697397190824924 60.21115270411356, 10.69739800680031 60.21118779876839, 10.697390615689113 60.211505779514326)"/>
    <s v="[267243, 267251, 267259]"/>
    <s v="[264528, 264533, 264541]"/>
    <s v="0.03568705251897542"/>
    <s v="[264521, 264528, 264533]"/>
    <s v="[0.035, 0.041, 0.036]"/>
    <s v="85.74321968490423"/>
    <s v="[0.035, 0.041, 0.036]"/>
  </r>
  <r>
    <x v="319"/>
    <x v="439"/>
    <x v="0"/>
    <n v="0"/>
    <s v="LINESTRING (10.697390615689113 60.211505779514326, 10.697946369111571 60.21443790738579, 10.697950097409377 60.21444667864096, 10.698264560876291 60.21511834156711, 10.698268692262161 60.21512707195209, 10.700605398288873 60.22284546101098, 10.700623783557328 60.22288375145115, 10.6875424970667 60.2445444518314, 10.687533112287817 60.244552122192864, 10.686939961038204 60.24501243429149, 10.686929814164374 60.24501984602166, 10.682171821212998 60.24742953400553, 10.68191805165443 60.24757062050869)"/>
    <s v="[267267, 267275, 267283, 267291, 267299, 267307, 267315, 267323, 267331, 267339, 267347, 267355]"/>
    <s v="[264548, 264556, 264562, 264570, 264578, 264585, 264593, 264598, 264606, 264611, 264617, 264624]"/>
    <s v="0.015429918810248617"/>
    <s v="[264541, 264548, 264556, 264562, 264570, 264578, 264585, 264593, 264598, 264606, 264611, 264617]"/>
    <s v="[0.038, 0.05, 0.033, 0.021, 0.022, 0.033, 0.013, 0.006, 0.002, 0.035, 0.002, 0.006]"/>
    <s v="4509.671626431393"/>
    <s v="[0.038, 0.05, 0.033, 0.021, 0.022, 0.033, 0.013, -0.006, -0.002, -0.035, -0.002, 0.006]"/>
  </r>
  <r>
    <x v="320"/>
    <x v="440"/>
    <x v="0"/>
    <n v="0"/>
    <m/>
    <n v="267363"/>
    <n v="264633"/>
    <s v="0.004"/>
    <n v="264624"/>
    <s v="0.004"/>
    <s v="87.99200020430632"/>
    <s v="0.004"/>
  </r>
  <r>
    <x v="320"/>
    <x v="441"/>
    <x v="0"/>
    <n v="0"/>
    <s v="LINESTRING (10.677646097312584 60.24972959406156, 10.681732085986358 60.247636495815065, 10.68191805165443 60.24757062050869)"/>
    <s v="[269538, 269546]"/>
    <s v="[266426, 264624]"/>
    <s v="#FIELD!"/>
    <s v="[266418, 266426]"/>
    <s v="[0.014, 0.022]"/>
    <s v="344.9572200500743"/>
    <s v="[-0.014, -0.022]"/>
  </r>
  <r>
    <x v="321"/>
    <x v="442"/>
    <x v="0"/>
    <s v="[0, 0, 1, 1, 0]"/>
    <s v="LINESTRING (10.680883876277063 60.248169857731085, 10.67854463451035 60.24993145305551, 10.67784137789456 60.250607370781765, 10.677647529837454 60.250814966336115, 10.677436785583408 60.25104089360083, 10.677324867320502 60.25116232081961)"/>
    <s v="[267371, 267379, 267387, 267395, 267403]"/>
    <s v="[264641, 264650, 264658, 264666, 264673]"/>
    <s v="0.030287944322085654"/>
    <s v="[264633, 264641, 264650, 264658, 264666]"/>
    <s v="[0.03, 0.033, 0.029, 0.029, 0.024]"/>
    <s v="388.4424562532784"/>
    <s v="[0.03, 0.033, 0.029, 0.029, 0.024]"/>
  </r>
  <r>
    <x v="321"/>
    <x v="443"/>
    <x v="0"/>
    <n v="0"/>
    <s v="LINESTRING (10.680883876277063 60.248169857731085, 10.680805270087774 60.248279056133555, 10.679423936941605 60.25036386076081)"/>
    <s v="[269498, 269506]"/>
    <s v="[266393, 266400]"/>
    <s v="0.035972438525452746"/>
    <s v="[264633, 266393]"/>
    <s v="[0.044, 0.04]"/>
    <s v="269.5835682849832"/>
    <s v="[-0.044, 0.04]"/>
  </r>
  <r>
    <x v="322"/>
    <x v="444"/>
    <x v="0"/>
    <n v="0"/>
    <m/>
    <n v="267411"/>
    <n v="264680"/>
    <s v="0.069"/>
    <n v="264673"/>
    <s v="0.069"/>
    <s v="103.44224523844268"/>
    <s v="0.069"/>
  </r>
  <r>
    <x v="322"/>
    <x v="441"/>
    <x v="0"/>
    <s v="[0, 0, 1, 0, 0]"/>
    <s v="LINESTRING (10.677324867320502 60.25116232081961, 10.677371242351809 60.25105772871934, 10.677384032302854 60.251029371727576, 10.677778431592046 60.25059084081226, 10.677799001777956 60.24974986744678, 10.677646097312584 60.24972959406156)"/>
    <s v="[269626, 269634, 269642, 269650, 269658]"/>
    <s v="[266495, 266504, 266511, 266519, 266418]"/>
    <s v="#FIELD!"/>
    <s v="[264673, 266495, 266504, 266511, 266519]"/>
    <s v="[0.035, 0.043, 0.029, 0.042, 0.037]"/>
    <s v="191.85512669589278"/>
    <s v="[-0.035, -0.043, -0.029, -0.042, -0.037]"/>
  </r>
  <r>
    <x v="323"/>
    <x v="340"/>
    <x v="0"/>
    <n v="0"/>
    <s v="LINESTRING (10.676591596184066 60.252015923677504, 10.67650774142788 60.25211659529021, 10.671467127355623 60.26428102198996, 10.671443855986082 60.26431519584664)"/>
    <s v="[267419, 267427, 267435]"/>
    <s v="[264688, 264696, 264703]"/>
    <s v="0.0010465615445552983"/>
    <s v="[264680, 264688, 264696]"/>
    <s v="[0.184, 0.0, 0.19]"/>
    <s v="1405.005352443806"/>
    <s v="[0.184, 0.0, -0.19]"/>
  </r>
  <r>
    <x v="323"/>
    <x v="443"/>
    <x v="0"/>
    <s v="[0, 0, 1, 0, 0]"/>
    <s v="LINESTRING (10.679423936941605 60.25036386076081, 10.679340522467525 60.25028309137536, 10.677934025645396 60.25063188309749, 10.677526989935055 60.25105651439525, 10.676714703758991 60.25191940995257, 10.676591596184066 60.252015923677504)"/>
    <s v="[269554, 269562, 269570, 269578, 269586]"/>
    <s v="[266438, 266444, 266450, 266455, 264680]"/>
    <s v="0.030969002867939945"/>
    <s v="[266400, 266438, 266444, 266450, 266455]"/>
    <s v="[0.06, 0.009, 0.03, 0.048, 0.164]"/>
    <s v="296.87234871215827"/>
    <s v="[-0.06, 0.009, 0.03, 0.048, 0.164]"/>
  </r>
  <r>
    <x v="324"/>
    <x v="339"/>
    <x v="0"/>
    <n v="0"/>
    <s v="LINESTRING (10.671443855986082 60.26431519584664, 10.671451624241087 60.264443360078815, 10.670710521123512 60.265459438280764, 10.670555886676555 60.26681118495399, 10.670576964505495 60.266846132691164)"/>
    <s v="[269666, 269674, 269682, 269690]"/>
    <s v="[266532, 266540, 266549, 266557]"/>
    <s v="#FIELD!"/>
    <s v="[264703, 266532, 266540, 266549]"/>
    <s v="[0.056, 0.171, 0.051, 0.04]"/>
    <s v="292.1650964805338"/>
    <s v="[-0.056, -0.171, -0.051, 0.04]"/>
  </r>
  <r>
    <x v="325"/>
    <x v="445"/>
    <x v="0"/>
    <n v="0"/>
    <s v="LINESTRING (10.617281183156392 60.293404466131406, 10.61702187211874 60.29352807463177, 10.616946068362077 60.29356378677293)"/>
    <s v="[1781204, 1781212]"/>
    <s v="[1571125, 1571131]"/>
    <s v="0.02796406739917413"/>
    <s v="[264806, 1571125]"/>
    <s v="[0.039, 0.01]"/>
    <s v="25.671313099264093"/>
    <s v="[0.039, -0.01]"/>
  </r>
  <r>
    <x v="325"/>
    <x v="446"/>
    <x v="0"/>
    <n v="0"/>
    <s v="LINESTRING (10.617281183156392 60.293404466131406, 10.61695200506242 60.29348170367715, 10.61687191782399 60.293500728442275)"/>
    <s v="[1781285, 1781293]"/>
    <s v="[1571190, 1571197]"/>
    <s v="0.005766164328580139"/>
    <s v="[264806, 1571190]"/>
    <s v="[0.014, 0.028]"/>
    <s v="25.05499135070668"/>
    <s v="[0.014, -0.028]"/>
  </r>
  <r>
    <x v="326"/>
    <x v="447"/>
    <x v="0"/>
    <n v="0"/>
    <s v="LINESTRING (10.616709195701677 60.29354831537048, 10.616636062125423 60.2935774882819, 10.61637057282862 60.29368540671199)"/>
    <s v="[1781172, 1781180]"/>
    <s v="[1571100, 264812]"/>
    <s v="#FIELD!"/>
    <s v="[1571099, 1571100]"/>
    <s v="[0.012, 0.107]"/>
    <s v="24.17446616872814"/>
    <s v="[-0.012, -0.107]"/>
  </r>
  <r>
    <x v="326"/>
    <x v="448"/>
    <x v="0"/>
    <n v="0"/>
    <s v="LINESTRING (10.616782816956364 60.2936112663824, 10.616698220858252 60.29362635629843, 10.61637057282862 60.29368540671199)"/>
    <s v="[1781188, 1781196]"/>
    <s v="[1571112, 264812]"/>
    <s v="#FIELD!"/>
    <s v="[1571111, 1571112]"/>
    <s v="[0.03, 0.129]"/>
    <s v="24.257153431321953"/>
    <s v="[-0.03, -0.129]"/>
  </r>
  <r>
    <x v="327"/>
    <x v="449"/>
    <x v="0"/>
    <n v="0"/>
    <s v="LINESTRING (5.452559878714733 59.75966206596605, 5.4524354656727985 59.7596665088475, 5.45238185963499 59.75965100519572, 5.452343335771532 59.759623586492204, 5.452332763191743 59.759578776247075)"/>
    <s v="[267817, 267825, 267833, 267841]"/>
    <s v="[265030, 265037, 265043, 265049]"/>
    <s v="#FIELD!"/>
    <s v="[265029, 265030, 265037, 265043]"/>
    <s v="[0.021, 0.01, 0.0, 0.009]"/>
    <s v="19.3145013957543"/>
    <s v="[-0.021, -0.01, 0.0, 0.009]"/>
  </r>
  <r>
    <x v="327"/>
    <x v="450"/>
    <x v="0"/>
    <n v="0"/>
    <s v="LINESTRING (5.4526398029999115 59.759607975573495, 5.45261364899639 59.759637796208125, 5.452559878714733 59.75966206596605)"/>
    <s v="[267897, 267905]"/>
    <s v="[265091, 265029]"/>
    <s v="#FIELD!"/>
    <s v="[265084, 265091]"/>
    <s v="[0.021, 0.02]"/>
    <s v="7.7119809632219605"/>
    <s v="[-0.021, -0.02]"/>
  </r>
  <r>
    <x v="327"/>
    <x v="451"/>
    <x v="0"/>
    <n v="0"/>
    <s v="LINESTRING (5.452854152220953 59.759728124978054, 5.452645739977617 59.75968400298928, 5.452559878714733 59.75966206596605)"/>
    <s v="[267961, 267969]"/>
    <s v="[265138, 265029]"/>
    <s v="#FIELD!"/>
    <s v="[265123, 265138]"/>
    <s v="[0.011, 0.013]"/>
    <s v="18.168922256144285"/>
    <s v="[-0.011, -0.013]"/>
  </r>
  <r>
    <x v="328"/>
    <x v="452"/>
    <x v="0"/>
    <n v="0"/>
    <s v="LINESTRING (5.452332763191743 59.759578776247075, 5.452353639534865 59.75955110056188, 5.452393853659786 59.759529092288545)"/>
    <s v="[267849, 267857]"/>
    <s v="[265055, 265059]"/>
    <s v="0.021005383833296556"/>
    <s v="[265049, 265055]"/>
    <s v="[0.02, 0.022]"/>
    <s v="6.654375740628968"/>
    <s v="[0.02, 0.022]"/>
  </r>
  <r>
    <x v="328"/>
    <x v="453"/>
    <x v="0"/>
    <n v="0"/>
    <s v="LINESTRING (5.452332763191743 59.759578776247075, 5.452242404521355 59.759570587897244, 5.452086903769878 59.759486516563825)"/>
    <s v="[267977, 267985]"/>
    <s v="[265151, 265157]"/>
    <s v="#FIELD!"/>
    <s v="[265049, 265151]"/>
    <s v="[0.016, 0.004]"/>
    <s v="18.52332037975128"/>
    <s v="[-0.016, -0.004]"/>
  </r>
  <r>
    <x v="329"/>
    <x v="450"/>
    <x v="0"/>
    <n v="0"/>
    <s v="LINESTRING (5.452393853659786 59.759529092288545, 5.452505823481078 59.759514333482784, 5.452578548297648 59.759528797244215, 5.452628194918804 59.75955929176941, 5.4526398029999115 59.759607975573495)"/>
    <s v="[267865, 267873, 267881, 267889]"/>
    <s v="[265066, 265072, 265076, 265084]"/>
    <s v="0.007690898139338904"/>
    <s v="[265059, 265066, 265072, 265076]"/>
    <s v="[0.025, 0.011, 0.002, 0.011]"/>
    <s v="20.82190625576139"/>
    <s v="[0.025, 0.011, 0.002, -0.011]"/>
  </r>
  <r>
    <x v="329"/>
    <x v="453"/>
    <x v="0"/>
    <n v="0"/>
    <s v="LINESTRING (5.452393853659786 59.759529092288545, 5.452316386958906 59.75950433445302, 5.452086903769878 59.759486516563825)"/>
    <s v="[268025, 268033]"/>
    <s v="[265189, 265157]"/>
    <s v="#FIELD!"/>
    <s v="[265059, 265189]"/>
    <s v="[0.006, 0.018]"/>
    <s v="18.696198885235894"/>
    <s v="[-0.006, -0.018]"/>
  </r>
  <r>
    <x v="330"/>
    <x v="451"/>
    <x v="0"/>
    <n v="0"/>
    <s v="LINESTRING (5.452854152220953 59.759728124978054, 5.452730782778061 59.759634356718166, 5.4526398029999115 59.759607975573495)"/>
    <s v="[267945, 267953]"/>
    <s v="[265124, 265084]"/>
    <s v="#FIELD!"/>
    <s v="[265123, 265124]"/>
    <s v="[0.001, 0.012]"/>
    <s v="18.80718377409583"/>
    <s v="[0.001, -0.012]"/>
  </r>
  <r>
    <x v="331"/>
    <x v="454"/>
    <x v="0"/>
    <n v="0"/>
    <s v="LINESTRING (5.455506034232162 59.76188326844215, 5.455505886398296 59.76161986134362, 5.455189465592902 59.76106110995949, 5.455127105262414 59.76100192566924, 5.453984779604462 59.76031618209602, 5.452854152220953 59.759728124978054)"/>
    <s v="[1413213, 2000447, 2000455, 2000463, 2000464]"/>
    <s v="[1292045, 1753564, 1716565, 1644148, 265123]"/>
    <s v="#FIELD!"/>
    <s v="[1292044, 1292045, 1753564, 1716565, 1644148]"/>
    <s v="[0.005, 0.003, 0.024, 0.027, 0.006]"/>
    <s v="294.0392040897025"/>
    <s v="[0.005, 0.003, -0.024, -0.027, -0.006]"/>
  </r>
  <r>
    <x v="332"/>
    <x v="455"/>
    <x v="0"/>
    <n v="0"/>
    <s v="LINESTRING (5.452086903769878 59.759486516563825, 5.450473705091813 59.759351686104054, 5.449422528792903 59.75947627384151, 5.448707982123766 59.7595807642327, 5.448195271415557 59.75961669385187, 5.447047920371535 59.75910143623685, 5.44700411575307 59.758962626272556, 5.446906360798179 59.75838568850084, 5.446814724323107 59.75787322723109, 5.4467914072376145 59.7577938714335, 5.44678876009645 59.75778489727562, 5.4465644707136525 59.757242631236, 5.446490724136186 59.75711556757614, 5.446089227854897 59.75626710700715, 5.446206786581405 59.75549475592567, 5.447151343621233 59.754193883790236, 5.448022639308157 59.753055656730275, 5.448112345644487 59.75294680439186, 5.448196612375017 59.75285173115265, 5.455301488887274 59.750245184986795, 5.45560183719885 59.750120103371785, 5.458897198172759 59.749042114105606, 5.460775041741021 59.748843060271184, 5.4609596955871815 59.74884443502256, 5.461151393091545 59.7488458643505)"/>
    <s v="[2000465, 2000466, 2000481, 1413316, 1413340, 1413348, 1413356, 2000482, 2000483, 2000484, 2000488, 2000490, 2000496, 2000497, 2000498, 2000506, 2000507, 2000508, 2000516, 2000528, 2000529, 2000530, 2000538, 2000554]"/>
    <s v="[1669615, 1674965, 1292123, 1292124, 1292142, 1292149, 1292158, 1753578, 1753579, 1753580, 1753582, 1753584, 340251, 1753588, 1753589, 1753591, 1753592, 1753593, 1636666, 1679035, 1636918, 1753603, 1753607, 824500]"/>
    <s v="#FIELD!"/>
    <s v="[265157, 1669615, 1674965, 1292123, 1292124, 1292142, 1292149, 1292158, 1753578, 1753579, 1753580, 1753582, 1753584, 340251, 1753588, 1753589, 1753591, 1753592, 1753593, 1636666, 1679035, 1636918, 1753603, 1753607]"/>
    <s v="[0.011, 0.016, 0.004, 0.004, 0.002, 0.004, 0.004, 0.004, 0.007, 0.002, 0.016, 0.025, 0.003, 0.082, 0.073, 0.023, 0.027, 0.025, 0.012, 0.02, 0.008, 0.004, 0.034, 0.231]"/>
    <s v="1926.7645226345394"/>
    <s v="[-0.011, -0.016, -0.004, -0.004, -0.002, -0.004, -0.004, -0.004, -0.007, -0.002, -0.016, -0.025, -0.003, -0.082, -0.073, -0.023, 0.027, 0.025, -0.012, -0.02, 0.008, -0.004, -0.034, -0.231]"/>
  </r>
  <r>
    <x v="333"/>
    <x v="93"/>
    <x v="0"/>
    <n v="0"/>
    <s v="LINESTRING (10.679423936941605 60.25036386076081, 10.679388276709393 60.250483279736166, 10.679287911274082 60.25066802848594)"/>
    <s v="[269514, 269522]"/>
    <s v="[266405, 266412]"/>
    <s v="0.07277366327888629"/>
    <s v="[266400, 266405]"/>
    <s v="[0.074, 0.072]"/>
    <s v="34.78267694812444"/>
    <s v="[0.074, 0.072]"/>
  </r>
  <r>
    <x v="334"/>
    <x v="441"/>
    <x v="0"/>
    <n v="0"/>
    <m/>
    <n v="269530"/>
    <n v="266418"/>
    <s v="#FIELD!"/>
    <n v="266417"/>
    <s v="0.003"/>
    <s v="47.61094454906688"/>
    <s v="#FIELD!"/>
  </r>
  <r>
    <x v="335"/>
    <x v="338"/>
    <x v="0"/>
    <n v="0"/>
    <s v="LINESTRING (10.670576964505495 60.266846132691164, 10.671576632816858 60.26703093833069, 10.672479443238101 60.26717382809887, 10.673022484806205 60.26725957798145, 10.674103151142873 60.26742747718396)"/>
    <s v="[277631, 277639, 277647, 277655]"/>
    <s v="[272954, 272963, 272969, 266564]"/>
    <s v="0.2493670436435422"/>
    <s v="[266557, 272954, 272963, 272969]"/>
    <s v="[0.251, 0.25, 0.244, 0.25]"/>
    <s v="205.7555185786579"/>
    <s v="[0.251, 0.25, 0.244, 0.25]"/>
  </r>
  <r>
    <x v="336"/>
    <x v="456"/>
    <x v="0"/>
    <n v="0"/>
    <s v="LINESTRING (10.674103151142873 60.26742747718396, 10.740267903939694 60.27394833001352, 10.745685241987804 60.27516706900684, 10.745864971021625 60.27518926282607)"/>
    <s v="[277663, 277671, 277680]"/>
    <s v="[272983, 272991, 273000]"/>
    <s v="0.015040469854506399"/>
    <s v="[266564, 272983, 272991]"/>
    <s v="[0.023, 0.074, 0.031]"/>
    <s v="4090.7593860472552"/>
    <s v="[0.023, -0.074, -0.031]"/>
  </r>
  <r>
    <x v="337"/>
    <x v="457"/>
    <x v="0"/>
    <n v="0"/>
    <s v="LINESTRING (10.609836600736246 60.29560056176349, 10.60938112287464 60.29581910564092, 10.609222483808253 60.29577950362542, 10.609112823666585 60.29570168685258, 10.609089055073992 60.29563318785581)"/>
    <s v="[269930, 269938, 269946, 269954]"/>
    <s v="[266754, 266761, 249791, 266773]"/>
    <s v="#FIELD!"/>
    <s v="[266753, 266754, 266761, 249791]"/>
    <s v="[0.013, 0.042, 0.033, 0.03]"/>
    <s v="69.34564140184014"/>
    <s v="[-0.013, -0.042, -0.033, 0.03]"/>
  </r>
  <r>
    <x v="338"/>
    <x v="392"/>
    <x v="0"/>
    <n v="0"/>
    <s v="LINESTRING (10.609089055073992 60.29563318785581, 10.609110630738213 60.29557239464507, 10.609167846498613 60.29552141388524)"/>
    <s v="[269962, 269970]"/>
    <s v="[266782, 266787]"/>
    <s v="0.0369719177168855"/>
    <s v="[266773, 266782]"/>
    <s v="[0.036, 0.038]"/>
    <s v="13.383973061143637"/>
    <s v="[0.036, 0.038]"/>
  </r>
  <r>
    <x v="338"/>
    <x v="458"/>
    <x v="0"/>
    <n v="0"/>
    <s v="LINESTRING (10.60865125946395 60.29536421151498, 10.608706458930069 60.29546817381709, 10.609022015462068 60.29561597834263, 10.609089055073992 60.29563318785581)"/>
    <s v="[338273, 338281, 338289]"/>
    <s v="[327424, 327428, 266773]"/>
    <s v="#FIELD!"/>
    <s v="[287991, 327424, 327428]"/>
    <s v="[0.038, 0.012, 0.013]"/>
    <s v="40.15971680239562"/>
    <s v="[-0.038, -0.012, 0.013]"/>
  </r>
  <r>
    <x v="339"/>
    <x v="458"/>
    <x v="0"/>
    <n v="0"/>
    <s v="LINESTRING (10.60865125946395 60.29536421151498, 10.608800219637065 60.29544022746859, 10.60909360765075 60.295509784111644, 10.609167846498613 60.29552141388524)"/>
    <s v="[295438, 295446, 295454]"/>
    <s v="[287992, 288001, 266787]"/>
    <s v="#FIELD!"/>
    <s v="[287991, 287992, 288001]"/>
    <s v="[0.02, 0.0, 0.011]"/>
    <s v="34.52641385009688"/>
    <s v="[-0.02, 0.0, 0.011]"/>
  </r>
  <r>
    <x v="340"/>
    <x v="459"/>
    <x v="0"/>
    <n v="0"/>
    <s v="LINESTRING (8.642620952103096 58.37527140784618, 8.639844376989775 58.37488216431917, 8.630559422363952 58.37422576949459, 8.630305921573115 58.374226350768936, 8.629393830919668 58.37422286258397)"/>
    <s v="[273120, 273128, 273136, 273144]"/>
    <s v="[269220, 269224, 269228, 269231]"/>
    <s v="#FIELD!"/>
    <s v="[269219, 269220, 269224, 269228]"/>
    <s v="[0.064, 0.032, 0.131, 0.071]"/>
    <s v="788.2229982138007"/>
    <s v="[0.064, -0.032, -0.131, -0.071]"/>
  </r>
  <r>
    <x v="340"/>
    <x v="460"/>
    <x v="0"/>
    <s v="[0, 1, 0, 0, 1, 0, 0, 1, 0, 1, 0, 0, 0, 1, 0, 1, 0, 1, 0, 1, 0, 0, 1, 0, 0]"/>
    <s v="LINESTRING (8.696166979222447 58.41742156506593, 8.695375654671874 58.417080150763596, 8.695285513985219 58.41704489800582, 8.69363529657362 58.41651726859521, 8.687231157052029 58.413668955979425, 8.68718009375754 58.41362166969178, 8.678973186191266 58.40592403352107, 8.678764823974069 58.40572224002319, 8.678710048024252 58.40566900172135, 8.675967419666195 58.401659420761824, 8.675925984084525 58.4015921616255, 8.675700558635711 58.40122091744341, 8.673293360347964 58.397305479463974, 8.668585676278168 58.392424465012795, 8.668535383458194 58.39238558373123, 8.667285594232675 58.39142526597613, 8.667217153253693 58.39137287443725, 8.663618764954894 58.387964347839386, 8.663603543102862 58.387941255938124, 8.659874090480544 58.38370857564785, 8.65983786363963 58.383685970441825, 8.651078457624122 58.37881395945122, 8.650697034897124 58.378221682976736, 8.650661219357172 58.37816739225176, 8.645932745257069 58.37576997530089, 8.642620952103096 58.37527140784618)"/>
    <s v="[1398388, 1398396, 1398406, 1398414, 1398422, 1398430, 1398438, 1398446, 1398454, 1398462, 1398470, 1398471, 1398478, 1398486, 1398494, 1398502, 1398510, 1398518, 1398582, 1398590, 1398594, 1398595, 1398596, 1398604, 1398612]"/>
    <s v="[1280519, 1280524, 1280528, 1280531, 1280534, 1280537, 1280540, 1280543, 1280546, 1280549, 1280552, 1280553, 1280560, 1280564, 1280569, 1280573, 1280578, 1280583, 1280614, 1280618, 1280620, 1280621, 1280622, 1280623, 269219]"/>
    <s v="0.004553411560261382"/>
    <s v="[1280434, 1280519, 1280524, 1280528, 1280531, 1280534, 1280537, 1280540, 1280543, 1280546, 1280549, 1280552, 1280553, 1280560, 1280564, 1280569, 1280573, 1280578, 1280583, 1280614, 1280618, 1280620, 1280621, 1280622, 1280623]"/>
    <s v="[0.073, 0.161, 0.152, 0.02, 0.012, 0.018, 0.053, 0.045, 0.002, 0.003, 0.008, 0.0, 0.001, 0.028, 0.046, 0.046, 0.024, 0.008, 0.012, 0.022, 0.019, 0.042, 0.022, 0.009, 0.061]"/>
    <s v="5850.237283522653"/>
    <s v="[0.073, 0.161, 0.152, 0.02, 0.012, -0.018, -0.053, -0.045, -0.002, 0.003, 0.008, 0.0, -0.001, 0.028, 0.046, 0.046, 0.024, 0.008, 0.012, 0.022, -0.019, -0.042, -0.022, -0.009, 0.061]"/>
  </r>
  <r>
    <x v="340"/>
    <x v="461"/>
    <x v="0"/>
    <s v="[0, 1, 0, 0, 1, 0, 1, 0, 0, 0, 1, 0, 1, 0, 1, 0, 1, 0, 0, 1, 0, 0]"/>
    <s v="LINESTRING (8.693812290338379 58.41650246045209, 8.687323018076302 58.41364197670378, 8.687271428306975 58.41359475448339, 8.679060564855696 58.40589957658361, 8.678863485321175 58.40571271610576, 8.67881019178261 58.40565982145686, 8.676061580969897 58.401652918649354, 8.676009908196491 58.401569120991994, 8.675787234961794 58.40119783323489, 8.673390503082548 58.397277476177905, 8.668675634809315 58.392393533337966, 8.668623664607532 58.392353488098365, 8.667373168583994 58.39139232559654, 8.667304419659686 58.391339738695756, 8.663719676202536 58.38794684301846, 8.663703813331502 58.387922548460914, 8.659963193083977 58.383671843920204, 8.659923305191416 58.38364671512731, 8.651174030454204 58.3787953348968, 8.650779977045799 58.378187713429625, 8.650745066570316 58.378132206861395, 8.645989051471538 58.3757271256278, 8.642620952103096 58.37527140784618)"/>
    <s v="[1398700, 1398708, 1398716, 1398724, 1398732, 1398740, 1398748, 1398756, 1398526, 1398534, 1398542, 1398550, 1398558, 1398566, 1398574, 1398620, 1398628, 1398636, 1398644, 1398652, 1398660, 1398668]"/>
    <s v="[1280661, 1280667, 1280671, 1280677, 1280682, 1280686, 1280690, 1280587, 1280588, 1280594, 1280599, 1280601, 1280605, 1280610, 1280612, 1280628, 1280630, 1280632, 1280637, 1280641, 1280643, 269219]"/>
    <s v="0.0009009116011092436"/>
    <s v="[1280437, 1280661, 1280667, 1280671, 1280677, 1280682, 1280686, 1280690, 1280587, 1280588, 1280594, 1280599, 1280601, 1280605, 1280610, 1280612, 1280628, 1280630, 1280632, 1280637, 1280641, 1280643]"/>
    <s v="[0.024, 0.013, 0.019, 0.056, 0.047, 0.002, 0.003, 0.006, 0.001, 0.001, 0.032, 0.05, 0.038, 0.024, 0.006, 0.012, 0.017, 0.019, 0.042, 0.011, 0.011, 0.06]"/>
    <s v="5680.4601637591495"/>
    <s v="[0.024, 0.013, -0.019, -0.056, -0.047, -0.002, 0.003, 0.006, 0.001, -0.001, 0.032, 0.05, 0.038, 0.024, 0.006, 0.012, 0.017, -0.019, -0.042, -0.011, -0.011, 0.06]"/>
  </r>
  <r>
    <x v="341"/>
    <x v="462"/>
    <x v="0"/>
    <n v="0"/>
    <m/>
    <n v="1232315"/>
    <n v="1153865"/>
    <s v="0.037"/>
    <n v="269231"/>
    <s v="0.037"/>
    <s v="185.59147870678152"/>
    <s v="0.037"/>
  </r>
  <r>
    <x v="341"/>
    <x v="463"/>
    <x v="0"/>
    <n v="0"/>
    <s v="LINESTRING (8.629393830919668 58.37422286258397, 8.62627650679768 58.37400167366945, 8.625929236934898 58.373956652079215)"/>
    <s v="[1232348, 1232349]"/>
    <s v="[1153905, 1153906]"/>
    <s v="0.03398052964642367"/>
    <s v="[269231, 1153905]"/>
    <s v="[0.04, 0.019]"/>
    <s v="205.41426762722608"/>
    <s v="[0.04, -0.019]"/>
  </r>
  <r>
    <x v="342"/>
    <x v="464"/>
    <x v="0"/>
    <n v="0"/>
    <s v="LINESTRING (10.745864971021625 60.27518926282607, 10.74717904409182 60.275301845858706, 10.747392055685932 60.275316338323115, 10.74870420598249 60.275360769800756, 10.748911959274139 60.27536181977991, 10.749041259533058 60.27536195483868, 10.749865614243825 60.27534397108127, 10.751135924796511 60.27529589076481)"/>
    <s v="[557756, 557761, 557772, 557773, 557780, 557781, 557789]"/>
    <s v="[565462, 565469, 565482, 565483, 565490, 565491, 273005]"/>
    <s v="#FIELD!"/>
    <s v="[273000, 565462, 565469, 565482, 565483, 565490, 565491]"/>
    <s v="[0.027, 0.024, 0.043, 0.044, 0.044, 0.046, 0.021]"/>
    <s v="293.4323879032057"/>
    <s v="[-0.027, -0.024, -0.043, -0.044, -0.044, -0.046, -0.021]"/>
  </r>
  <r>
    <x v="342"/>
    <x v="464"/>
    <x v="0"/>
    <n v="0"/>
    <s v="LINESTRING (10.745864971021625 60.27518926282607, 10.747377697250483 60.27538374562206, 10.748699790773934 60.27543401674821, 10.748909226320592 60.275437170715115, 10.749039892448652 60.27543710678796, 10.749870997730971 60.27540550148474, 10.7501524793319 60.27538809738975, 10.751135924796511 60.27529589076481)"/>
    <s v="[557790, 557791, 557792, 557794, 557795, 557796, 557804]"/>
    <s v="[565502, 565503, 565504, 565506, 565507, 565508, 273005]"/>
    <s v="#FIELD!"/>
    <s v="[273000, 565502, 565503, 565504, 565506, 565507, 565508]"/>
    <s v="[0.026, 0.04, 0.038, 0.04, 0.044, 0.046, 0.02]"/>
    <s v="296.26944057759937"/>
    <s v="[-0.026, -0.04, -0.038, -0.04, -0.044, -0.046, -0.02]"/>
  </r>
  <r>
    <x v="343"/>
    <x v="465"/>
    <x v="33"/>
    <s v="[0, 1, 0, 1, 0, 1, 0, 0, 1, 0, 0, 0, 0, 0, 0, 0, 1, 0, 1, 0, 0, 0, 1, 0, 1, 0, 1, 0]"/>
    <s v="LINESTRING (10.751135924796511 60.27529589076481, 10.754915388310797 60.274952263386176, 10.755361172276082 60.27490710072418, 10.769350850505969 60.2749558663762, 10.76992911101747 60.274950037973646, 10.795799304161385 60.275637911575295, 10.796160281494592 60.275632362348745, 10.81064510589081 60.275744604279815, 10.816488250361655 60.27657094596768, 10.816868163630083 60.27662968433278, 10.81742415343233 60.27670941287912, 10.819219024637517 60.2769196057631, 10.819825015797653 60.27697251557101, 10.825392182391681 60.27714914443142, 10.82542824621008 60.27714758239365, 10.844155121904198 60.275793615194715, 10.847115075772498 60.27542413810054, 10.847842188757829 60.275333531370116, 10.885209561405226 60.26012475480164, 10.885704321858176 60.260099742011334, 10.898620660320436 60.258649409254076, 10.899358978897379 60.25853319996246, 10.917279200996632 60.255595783129294, 10.917713632823627 60.25554595878313, 10.934531942246933 60.256675589868635, 10.934884444991399 60.25678277679561, 10.962379529475294 60.25934132905679, 10.963125993399911 60.25931820976395, 10.971228868593004 60.25905754565382)"/>
    <s v="[277688, 277696, 277704, 277712, 277720, 277728, 277736, 277744, 277752, 277760, 277768, 277776, 277784, 277792, 1504614, 1504622, 1504623, 1504638, 1504639, 1504641, 1504656, 1504664, 1504672, 1504680, 1504704, 1504705, 1504712, 1504713]"/>
    <s v="[273006, 273013, 273019, 273026, 273034, 273040, 273048, 273055, 273061, 273068, 273071, 273075, 273078, 273084, 1360620, 1360626, 1360627, 1360640, 1360641, 287582, 287576, 1360665, 1360672, 1360680, 1360700, 1360701, 1360707, 1360708]"/>
    <s v="#FIELD!"/>
    <s v="[273005, 273006, 273013, 273019, 273026, 273034, 273040, 273048, 273055, 273061, 273068, 273071, 273075, 273078, 273084, 1360620, 1360626, 1360627, 1360640, 1360641, 287582, 287576, 1360665, 1360672, 1360680, 1360700, 1360701, 1360707]"/>
    <s v="[0.044, 0.059, 0.004, 0.018, 0.023, 0.083, 0.001, 0.081, 0.05, 0.048, 0.055, 0.082, 0.006, 0.088, 0.023, 0.022, 0.006, 0.004, 0.024, 0.008, 0.004, 0.017, 0.047, 0.014, 0.075, 0.037, 0.045, 0.018]"/>
    <s v="13123.391836461715"/>
    <s v="[-0.044, -0.059, -0.004, -0.018, -0.023, -0.083, -0.001, -0.081, 0.05, 0.048, 0.055, 0.082, 0.006, -0.088, -0.023, -0.022, 0.006, -0.004, 0.024, -0.008, -0.004, -0.017, -0.047, -0.014, -0.075, -0.037, -0.045, -0.018]"/>
  </r>
  <r>
    <x v="344"/>
    <x v="466"/>
    <x v="0"/>
    <n v="0"/>
    <s v="LINESTRING (10.819682941213927 59.91043864342352, 10.819584857425212 59.91057248380721, 10.818103499022396 59.91147293137127, 10.817712174200349 59.91194052620734, 10.817653264472948 59.91200123395211)"/>
    <s v="[277941, 727404, 727412, 727420]"/>
    <s v="[273190, 716647, 716651, 716655]"/>
    <s v="0.02601449234751248"/>
    <s v="[273189, 273190, 716647, 716651]"/>
    <s v="[0.002, 0.031, 0.026, 0.002]"/>
    <s v="211.70434686926558"/>
    <s v="[-0.002, 0.031, 0.026, -0.002]"/>
  </r>
  <r>
    <x v="344"/>
    <x v="467"/>
    <x v="0"/>
    <n v="0"/>
    <s v="LINESTRING (10.819809870083512 59.90970093711441, 10.819991168198435 59.91025823925888, 10.819682941213927 59.91043864342352)"/>
    <s v="[754212, 277949]"/>
    <s v="[273193, 273189]"/>
    <s v="#FIELD!"/>
    <s v="[719528, 273193]"/>
    <s v="[0.004, 0.013]"/>
    <s v="65.7051464197977"/>
    <s v="[-0.004, -0.013]"/>
  </r>
  <r>
    <x v="344"/>
    <x v="468"/>
    <x v="0"/>
    <n v="0"/>
    <s v="LINESTRING (10.818654749510216 59.91007744194246, 10.81868463961935 59.9101386332471, 10.81859520714122 59.91046487407856, 10.819456879699564 59.91054619262715, 10.819682941213927 59.91043864342352)"/>
    <s v="[751610, 727388, 727396, 752407]"/>
    <s v="[716637, 716638, 716642, 273189]"/>
    <s v="#FIELD!"/>
    <s v="[733245, 716637, 716638, 716642]"/>
    <s v="[0.053, 0.002, 0.031, 0.013]"/>
    <s v="123.49715771492808"/>
    <s v="[0.053, -0.002, -0.031, -0.013]"/>
  </r>
  <r>
    <x v="345"/>
    <x v="469"/>
    <x v="0"/>
    <n v="0"/>
    <m/>
    <n v="279912"/>
    <n v="274845"/>
    <s v="0.006"/>
    <n v="274794"/>
    <s v="0.006"/>
    <s v="12.323851427221296"/>
    <s v="0.006"/>
  </r>
  <r>
    <x v="345"/>
    <x v="470"/>
    <x v="0"/>
    <s v="[0, 0, 0, 0, 0, 1, 0, 0, 0, 0]"/>
    <s v="LINESTRING (10.524048209706539 63.42293001955765, 10.526886808222056 63.422486678728134, 10.528342717606382 63.42228255746447, 10.533417380377161 63.42178912420234, 10.533564898643506 63.42178697095351, 10.533563128959187 63.421870910895166, 10.533571941284595 63.4223935725398, 10.533580376786423 63.42248105070515, 10.533479821502196 63.42248239914421, 10.527915107137837 63.4226210192793, 10.524398347763698 63.42312392714793)"/>
    <s v="[279864, 573036, 573039, 573047, 1588272, 1588280, 1588288, 573055, 573063, 279872]"/>
    <s v="[274803, 580593, 580595, 580604, 1428851, 1428857, 580609, 580610, 274809, 274810]"/>
    <s v="#FIELD!"/>
    <s v="[274794, 274803, 580593, 580595, 580604, 1428851, 1428857, 580609, 580610, 274809]"/>
    <s v="[0.019, 0.001, 0.036, 0.026, 0.175, 0.061, 0.185, 0.057, 0.034, 0.018]"/>
    <s v="1039.5525522052835"/>
    <s v="[0.019, -0.001, 0.036, 0.026, 0.175, -0.061, 0.185, -0.057, -0.034, -0.018]"/>
  </r>
  <r>
    <x v="345"/>
    <x v="471"/>
    <x v="0"/>
    <n v="0"/>
    <m/>
    <n v="279920"/>
    <n v="274794"/>
    <s v="0.048"/>
    <n v="274851"/>
    <s v="0.048"/>
    <s v="13.437349626547233"/>
    <s v="0.048"/>
  </r>
  <r>
    <x v="345"/>
    <x v="472"/>
    <x v="0"/>
    <n v="0"/>
    <s v="LINESTRING (10.51783272958815 63.42442664803934, 10.517884901043123 63.42441390052384, 10.518719571162057 63.424208056357976, 10.521383427651747 63.42353966805122, 10.524048209706539 63.42293001955765)"/>
    <s v="[572988, 573002, 573003, 279856]"/>
    <s v="[580545, 580559, 274793, 274794]"/>
    <s v="0.0029379466467276652"/>
    <s v="[580544, 580545, 580559, 274793]"/>
    <s v="[0.018, 0.002, 0.018, 0.025]"/>
    <s v="352.62625035330836"/>
    <s v="[-0.018, 0.002, -0.018, 0.025]"/>
  </r>
  <r>
    <x v="346"/>
    <x v="473"/>
    <x v="0"/>
    <n v="0"/>
    <s v="LINESTRING (10.524398347763698 63.42312392714793, 10.521129674911407 63.42389177676059, 10.518829685794252 63.42490482086923, 10.518775413939794 63.42493098967722)"/>
    <s v="[279880, 572978, 572987]"/>
    <s v="[274819, 580534, 580543]"/>
    <s v="#FIELD!"/>
    <s v="[274810, 274819, 580534]"/>
    <s v="[0.027, 0.015, 0.016]"/>
    <s v="349.72811761630135"/>
    <s v="[-0.027, 0.015, 0.016]"/>
  </r>
  <r>
    <x v="346"/>
    <x v="474"/>
    <x v="0"/>
    <n v="0"/>
    <s v="LINESTRING (10.524398347763698 63.42312392714793, 10.524151823013995 63.42312360436346, 10.524137316342737 63.42312358096814)"/>
    <s v="[279888, 279896]"/>
    <s v="[274824, 274832]"/>
    <s v="#FIELD!"/>
    <s v="[274810, 274824]"/>
    <s v="[0.009, 0.006]"/>
    <s v="13.038192707017359"/>
    <s v="[-0.009, -0.006]"/>
  </r>
  <r>
    <x v="346"/>
    <x v="475"/>
    <x v="0"/>
    <n v="0"/>
    <m/>
    <n v="279904"/>
    <n v="274810"/>
    <s v="#FIELD!"/>
    <n v="274838"/>
    <s v="0.044"/>
    <s v="13.017026542259783"/>
    <s v="#FIELD!"/>
  </r>
  <r>
    <x v="347"/>
    <x v="475"/>
    <x v="0"/>
    <n v="0"/>
    <s v="LINESTRING (10.524137316342737 63.42312358096814, 10.524433878731285 63.42307006014649, 10.524585526044294 63.42304269027419)"/>
    <s v="[627872, 627880]"/>
    <s v="[624089, 274838]"/>
    <s v="0.02801502782824376"/>
    <s v="[274832, 624089]"/>
    <s v="[0.027, 0.03]"/>
    <s v="24.13573717639433"/>
    <s v="[0.027, 0.03]"/>
  </r>
  <r>
    <x v="347"/>
    <x v="476"/>
    <x v="0"/>
    <n v="0"/>
    <s v="LINESTRING (10.514221982986767 63.42626168626555, 10.515851018856997 63.42570779185971, 10.518166440180925 63.42483364299267, 10.520213149799176 63.42410298629621, 10.52131749607235 63.42378290696367, 10.521677519994457 63.42368300130592, 10.521881130824339 63.4236310103674, 10.522149284541872 63.42356298092656, 10.523993381080134 63.42315103941517, 10.524126267946864 63.42312557217254, 10.524137316342737 63.42312358096814)"/>
    <s v="[627791, 627799, 627807, 627815, 627823, 627831, 627839, 627847, 627856, 627864]"/>
    <s v="[624034, 624040, 624044, 624051, 624055, 624061, 624065, 624069, 624078, 274832]"/>
    <s v="#FIELD!"/>
    <s v="[624026, 624034, 624040, 624044, 624051, 624055, 624061, 624065, 624069, 624078]"/>
    <s v="[0.011, 0.039, 0.035, 0.01, 0.007, 0.002, 0.003, 0.037, 0.026, 0.114]"/>
    <s v="608.8792180056507"/>
    <s v="[0.011, -0.039, -0.035, 0.01, 0.007, 0.002, 0.003, 0.037, 0.026, 0.114]"/>
  </r>
  <r>
    <x v="348"/>
    <x v="477"/>
    <x v="0"/>
    <n v="0"/>
    <s v="LINESTRING (10.524585526044294 63.42304269027419, 10.52458998671913 63.42304188608334, 10.525275528937334 63.4229195416393, 10.525737726839964 63.422848886495714, 10.5263327341156 63.42276324201014, 10.526506670655973 63.42273923928392, 10.526564310238138 63.42273191102618, 10.53622477855615 63.42226268445889)"/>
    <s v="[627888, 627896, 627904, 627912, 627920, 627928, 627936]"/>
    <s v="[624097, 624103, 624108, 624113, 624118, 624121, 623104]"/>
    <s v="0.032181124593670625"/>
    <s v="[274838, 624097, 624103, 624108, 624113, 624118, 624121]"/>
    <s v="[0.0, 0.023, 0.018, 0.017, 0.013, 0.02, 0.035]"/>
    <s v="593.2081229506597"/>
    <s v="[0.0, 0.023, 0.018, 0.017, 0.013, 0.02, 0.035]"/>
  </r>
  <r>
    <x v="349"/>
    <x v="478"/>
    <x v="0"/>
    <n v="0"/>
    <s v="LINESTRING (10.524294812840129 63.4229335548837, 10.524306415762462 63.42293148215596, 10.52446702450775 63.42290275707145, 10.525162588564543 63.42277996327743, 10.5257010694351 63.42269914849874, 10.526295764852248 63.422615481515734, 10.526483698091733 63.4225889774876, 10.5265416341523 63.42258167652206, 10.53625127823934 63.422122253681266, 10.53923775030045 63.42238610663705, 10.539698643830096 63.422449693608314, 10.540381754530427 63.42254993894085, 10.54214842586775 63.42281839477265, 10.548284471838306 63.422971836383624, 10.549757843728418 63.422824840623065, 10.553114237782095 63.42257481344232, 10.562745956565673 63.424253915882396, 10.574492639343418 63.424734235301216, 10.574583100951298 63.424689119044615, 10.575016371074087 63.4245581597969, 10.575130285163182 63.42453660708939, 10.576167637279958 63.4242070272286, 10.579981755758151 63.42332658987217, 10.580117819088045 63.42332947305999)"/>
    <s v="[624861, 624869, 624877, 624885, 624893, 624901, 624925, 624933, 624941, 624949, 624957, 624965, 1713868, 1713876, 1713884, 1713892, 1713900, 1713908, 1713916, 1713924, 1713932, 1713940, 1713948]"/>
    <s v="[621730, 621738, 621748, 621756, 621765, 621770, 621791, 621799, 621807, 621815, 621821, 621827, 1528774, 1528780, 1528783, 1528788, 1528793, 1528799, 1528806, 1528813, 1528816, 1528822, 579009]"/>
    <s v="0.030400730941197735"/>
    <s v="[274845, 621730, 621738, 621748, 621756, 621765, 621770, 621791, 621799, 621807, 621815, 621821, 621827, 1528774, 1528780, 1528783, 1528788, 1528793, 1528799, 1528806, 1528813, 1528816, 1528822]"/>
    <s v="[4.074, 0.033, 0.025, 0.006, 0.01, 0.062, 0.068, 0.044, 0.039, 0.034, 0.047, 0.077, 0.027, 0.03, 0.017, 0.002, 0.033, 0.066, 0.052, 0.03, 0.05, 0.076, 0.219]"/>
    <s v="2979.920395611496"/>
    <s v="[-4.074, -0.033, -0.025, -0.006, 0.01, 0.062, 0.068, 0.044, 0.039, 0.034, 0.047, 0.077, 0.027, 0.03, 0.017, 0.002, 0.033, 0.066, 0.052, 0.03, 0.05, 0.076, -0.219]"/>
  </r>
  <r>
    <x v="349"/>
    <x v="471"/>
    <x v="0"/>
    <n v="0"/>
    <s v="LINESTRING (10.523861773087265 63.42301690751249, 10.52399761565598 63.42299075986253, 10.524294812840129 63.4229335548837)"/>
    <s v="[624845, 624853]"/>
    <s v="[621713, 274845]"/>
    <s v="0.03075432801182679"/>
    <s v="[274851, 621713]"/>
    <s v="[0.182, 0.128]"/>
    <s v="23.541689510363955"/>
    <s v="[-0.182, 0.128]"/>
  </r>
  <r>
    <x v="350"/>
    <x v="479"/>
    <x v="0"/>
    <n v="0"/>
    <s v="LINESTRING (10.51416095725496 63.42609129836113, 10.51564260184759 63.425595460968296, 10.520102627402142 63.42396000874493, 10.521144287395419 63.4236576628585, 10.521198227506979 63.42364346816825, 10.521558006158518 63.42354589286738, 10.521722590424577 63.42350128208994, 10.521773604242291 63.4234893690556, 10.523861773087265 63.42301690751249)"/>
    <s v="[624773, 624781, 624789, 624797, 624805, 624813, 624821, 624829]"/>
    <s v="[621645, 621652, 621658, 621665, 621674, 621681, 621690, 274851]"/>
    <s v="#FIELD!"/>
    <s v="[621637, 621645, 621652, 621658, 621665, 621674, 621681, 621690]"/>
    <s v="[0.027, 0.017, 0.016, 0.057, 0.045, 0.064, 0.05, 0.013]"/>
    <s v="595.8558596437879"/>
    <s v="[-0.027, -0.017, 0.016, 0.057, 0.045, 0.064, 0.05, 0.013]"/>
  </r>
  <r>
    <x v="351"/>
    <x v="480"/>
    <x v="0"/>
    <n v="0"/>
    <s v="LINESTRING (10.748750106249586 59.90647755758081, 10.748437107216017 59.90658542667121, 10.745499447323823 59.906950346522976, 10.74581856150159 59.90763074410476, 10.746754158434166 59.908437455094884, 10.746766853522622 59.90848341743973)"/>
    <s v="[282925, 282933, 282941, 282949, 282957]"/>
    <s v="[277300, 277309, 277318, 277328, 277335]"/>
    <s v="0.004384700158558673"/>
    <s v="[277299, 277300, 277309, 277318, 277328]"/>
    <s v="[0.004, 0.008, 0.001, 0.001, 0.007]"/>
    <s v="387.82323764549386"/>
    <s v="[0.004, 0.008, 0.001, 0.001, 0.007]"/>
  </r>
  <r>
    <x v="351"/>
    <x v="481"/>
    <x v="0"/>
    <n v="0"/>
    <s v="LINESTRING (10.748750106249586 59.90647755758081, 10.743332068922975 59.9066159590468, 10.741085801172542 59.90668696501067)"/>
    <s v="[1928954, 2025373]"/>
    <s v="[1692603, 794419]"/>
    <s v="0.010460918403233115"/>
    <s v="[277299, 1692603]"/>
    <s v="[0.009, 0.014]"/>
    <s v="431.48949782462427"/>
    <s v="[0.009, 0.014]"/>
  </r>
  <r>
    <x v="351"/>
    <x v="482"/>
    <x v="34"/>
    <n v="0"/>
    <s v="LINESTRING (10.75801874280059 59.90387570020286, 10.75192174177245 59.9058769750422, 10.751902293166147 59.90588080713447, 10.748750106249586 59.90647755758081)"/>
    <s v="[1928930, 1928938, 1928946]"/>
    <s v="[1692585, 1692591, 277299]"/>
    <s v="#FIELD!"/>
    <s v="[1692454, 1692585, 1692591]"/>
    <s v="[0.005, 0.0, 0.003]"/>
    <s v="604.9420749417873"/>
    <s v="[-0.005, 0.0, 0.003]"/>
  </r>
  <r>
    <x v="352"/>
    <x v="481"/>
    <x v="0"/>
    <n v="0"/>
    <s v="LINESTRING (10.746766853522622 59.90848341743973, 10.746696542355803 59.90845522203579, 10.74569443697739 59.907668902975765, 10.74433235008713 59.9067331816939, 10.741653077109168 59.906707236884706, 10.741085801172542 59.90668696501067)"/>
    <s v="[282965, 282973, 282981, 282989, 816419]"/>
    <s v="[277342, 277347, 277352, 277356, 794419]"/>
    <s v="0.006429668929100731"/>
    <s v="[277335, 277342, 277347, 277352, 277356]"/>
    <s v="[0.001, 0.001, 0.004, 0.01, 0.025]"/>
    <s v="422.61239493116847"/>
    <s v="[-0.001, -0.001, 0.004, 0.01, 0.025]"/>
  </r>
  <r>
    <x v="352"/>
    <x v="483"/>
    <x v="0"/>
    <n v="0"/>
    <s v="LINESTRING (10.746766853522622 59.90848341743973, 10.74662189539067 59.90851746011869, 10.746525403142716 59.908540174873835, 10.746102420725931 59.90863945802456, 10.745871589754262 59.90869366220797)"/>
    <s v="[2138866, 2138874, 2138882, 2138890]"/>
    <s v="[1837800, 796276, 1837804, 523187]"/>
    <s v="0.010493801579237442"/>
    <s v="[277335, 1837800, 796276, 1837804]"/>
    <s v="[0.038, 0.008, 0.009, 0.003]"/>
    <s v="55.31555235631252"/>
    <s v="[0.038, 0.008, 0.009, -0.003]"/>
  </r>
  <r>
    <x v="352"/>
    <x v="484"/>
    <x v="0"/>
    <n v="0"/>
    <s v="LINESTRING (10.74857807429188 59.90803736795421, 10.748469227750544 59.90806123156655, 10.748188495744223 59.90812476155517, 10.747645220106271 59.9082592142092, 10.747092956008549 59.90839587395351, 10.746766853522622 59.90848341743973)"/>
    <s v="[761404, 761412, 2138842, 2138850, 2138858]"/>
    <s v="[740723, 740731, 1837792, 1837796, 277335]"/>
    <s v="0.008833297010046825"/>
    <s v="[740687, 740723, 740731, 1837792, 1837796]"/>
    <s v="[0.008, 0.008, 0.024, 0.004, 0.007]"/>
    <s v="112.93547715249446"/>
    <s v="[0.008, 0.008, 0.024, 0.004, -0.007]"/>
  </r>
  <r>
    <x v="353"/>
    <x v="485"/>
    <x v="0"/>
    <n v="0"/>
    <m/>
    <n v="283037"/>
    <n v="277388"/>
    <s v="0.037"/>
    <n v="277366"/>
    <s v="0.037"/>
    <s v="64.04475036134785"/>
    <s v="0.037"/>
  </r>
  <r>
    <x v="353"/>
    <x v="486"/>
    <x v="0"/>
    <n v="0"/>
    <s v="LINESTRING (10.841278305416203 63.52646985972163, 10.840921157037862 63.52667129731588, 10.837394645119165 63.52842265454366, 10.838291298125412 63.5325394198161, 10.839884505558839 63.53326593344043, 10.840050831042264 63.53333515394909, 10.85761587152327 63.54156614769787, 10.85947453016199 63.54211485005626, 10.860339150761908 63.542312197486)"/>
    <s v="[283005, 283013, 283021, 283029, 283157, 1125790, 1125798, 1125806]"/>
    <s v="[277367, 277374, 277379, 277383, 277477, 1064262, 1064267, 628008]"/>
    <s v="#FIELD!"/>
    <s v="[277366, 277367, 277374, 277379, 277383, 277477, 1064262, 1064267]"/>
    <s v="[0.042, 0.049, 0.029, 0.012, 0.008, 0.044, 0.082, 0.025]"/>
    <s v="2386.2788084628373"/>
    <s v="[0.042, 0.049, -0.029, -0.012, -0.008, -0.044, -0.082, 0.025]"/>
  </r>
  <r>
    <x v="353"/>
    <x v="487"/>
    <x v="0"/>
    <n v="0"/>
    <s v="LINESTRING (10.855482895963714 63.50681778458239, 10.852626628782822 63.50926188116169, 10.852691619544172 63.509566131313434, 10.852972096918156 63.50999142360055, 10.85333642706442 63.51028593992701, 10.854020887830012 63.510639745526255, 10.857173852066655 63.511655911283924, 10.85882068185862 63.51283413870723, 10.85889051054121 63.512932159829106, 10.858653302769289 63.51539358852885, 10.858649348109452 63.51540239095564, 10.858301168606754 63.51621374553284, 10.857758016621254 63.517480410437685, 10.857495985242183 63.5179056091133, 10.857008310671505 63.51840653185939, 10.854577634930864 63.51983962203901, 10.851413604575166 63.52141368703431, 10.847951103136527 63.523143491430176, 10.845456263183848 63.52438920612492, 10.845002939886532 63.524614162592044, 10.844151912837384 63.52503943904155, 10.842742501449157 63.525737936555146, 10.841291693090291 63.5264632553171, 10.841278305416203 63.52646985972163)"/>
    <s v="[632450, 632458, 632466, 632474, 632482, 632490, 632498, 632506, 632514, 632522, 632530, 632538, 632550, 632558, 632566, 632574, 632582, 632590, 632598, 632606, 632614, 632622, 632630]"/>
    <s v="[627829, 627838, 627844, 505512, 627856, 627863, 627872, 578292, 627887, 627895, 559399, 560203, 627921, 627928, 532741, 536386, 560621, 627961, 627968, 627975, 559674, 627992, 277366]"/>
    <s v="0.02412893039450599"/>
    <s v="[627828, 627829, 627838, 627844, 505512, 627856, 627863, 627872, 578292, 627887, 627895, 559399, 560203, 627921, 627928, 532741, 536386, 560621, 627961, 627968, 627975, 559674, 627992]"/>
    <s v="[0.044, 0.074, 0.054, 0.052, 0.046, 0.087, 0.022, 0.037, 0.023, 0.008, 0.019, 0.015, 0.041, 0.053, 0.009, 0.014, 0.015, 0.002, 0.014, 0.033, 0.04, 0.007, 9.956]"/>
    <s v="2665.917876919321"/>
    <s v="[0.044, 0.074, 0.054, 0.052, 0.046, 0.087, 0.022, 0.037, 0.023, 0.008, 0.019, 0.015, 0.041, 0.053, 0.009, 0.014, -0.015, -0.002, -0.014, -0.033, -0.04, 0.007, 9.956]"/>
  </r>
  <r>
    <x v="354"/>
    <x v="488"/>
    <x v="0"/>
    <n v="0"/>
    <s v="LINESTRING (10.8403557844057 63.526867465384136, 10.837170398159943 63.52844943740501, 10.838192432229103 63.532586137620605)"/>
    <s v="[2119424, 2119432]"/>
    <s v="[1826840, 315960]"/>
    <s v="#FIELD!"/>
    <s v="[277388, 1826840]"/>
    <s v="[0.05, 0.03]"/>
    <s v="765.2665194552225"/>
    <s v="[0.05, -0.03]"/>
  </r>
  <r>
    <x v="354"/>
    <x v="489"/>
    <x v="0"/>
    <n v="0"/>
    <s v="LINESTRING (10.836211476257922 63.52792677016583, 10.836211476257922 63.52792677016583, 10.840222113873539 63.526892300451856, 10.8403557844057 63.526867465384136)"/>
    <s v="[2119464, 2119472, 283085]"/>
    <s v="[1826857, 277424, 277388]"/>
    <s v="#FIELD!"/>
    <s v="[277450, 1826857, 277424]"/>
    <s v="[0.0, 0.03, 0.011]"/>
    <s v="258.8696149655798"/>
    <s v="[0.0, -0.03, -0.011]"/>
  </r>
  <r>
    <x v="355"/>
    <x v="488"/>
    <x v="0"/>
    <n v="0"/>
    <s v="LINESTRING (10.838192432229103 63.532586137620605, 10.838047129410585 63.5325548209333, 10.835965231047288 63.531975539564996)"/>
    <s v="[326088, 2119664]"/>
    <s v="[315961, 277472]"/>
    <s v="#FIELD!"/>
    <s v="[315960, 315961]"/>
    <s v="[0.006, 0.04]"/>
    <s v="142.4287514505329"/>
    <s v="[0.006, -0.04]"/>
  </r>
  <r>
    <x v="355"/>
    <x v="490"/>
    <x v="0"/>
    <n v="0"/>
    <s v="LINESTRING (10.83297183871424 63.52939777254961, 10.83297183871424 63.52939777254961, 10.834758625358642 63.53015038984245, 10.835965231047288 63.531975539564996)"/>
    <s v="[2119640, 2119648, 283149]"/>
    <s v="[1826935, 277391, 277472]"/>
    <s v="#FIELD!"/>
    <s v="[643519, 1826935, 277391]"/>
    <s v="[0.0, 0.031, 0.042]"/>
    <s v="341.77812594294284"/>
    <s v="[0.0, -0.031, -0.042]"/>
  </r>
  <r>
    <x v="356"/>
    <x v="491"/>
    <x v="0"/>
    <n v="0"/>
    <s v="LINESTRING (9.987294665729271 59.75477214933291, 9.987153430888238 59.75489693035303, 9.98700084673972 59.7549298718438, 9.986835139307237 59.75492434572581, 9.986692693350015 59.75488147327441)"/>
    <s v="[284539, 284547, 284555, 284563]"/>
    <s v="[278660, 278669, 278675, 278681]"/>
    <s v="#FIELD!"/>
    <s v="[278659, 278660, 278669, 278675]"/>
    <s v="[0.023, 0.021, 0.014, 0.008]"/>
    <s v="44.36535057192873"/>
    <s v="[-0.023, -0.021, -0.014, -0.008]"/>
  </r>
  <r>
    <x v="356"/>
    <x v="492"/>
    <x v="0"/>
    <n v="0"/>
    <s v="LINESTRING (9.987133386148868 59.75460179520251, 9.987267323349272 59.75468113797361, 9.987294665729271 59.75477214933291)"/>
    <s v="[284595, 284603]"/>
    <s v="[278709, 278659]"/>
    <s v="#FIELD!"/>
    <s v="[278701, 278709]"/>
    <s v="[0.011, 0.015]"/>
    <s v="21.878961416270577"/>
    <s v="[-0.011, -0.015]"/>
  </r>
  <r>
    <x v="356"/>
    <x v="493"/>
    <x v="0"/>
    <n v="0"/>
    <s v="LINESTRING (9.988049466434681 59.754556846224546, 9.98734714359147 59.754749334047006, 9.987294665729271 59.75477214933291)"/>
    <s v="[284715, 284723]"/>
    <s v="[278809, 278659]"/>
    <s v="#FIELD!"/>
    <s v="[278721, 278809]"/>
    <s v="[0.029, 0.025]"/>
    <s v="49.717682617044424"/>
    <s v="[-0.029, -0.025]"/>
  </r>
  <r>
    <x v="357"/>
    <x v="494"/>
    <x v="0"/>
    <n v="0"/>
    <s v="LINESTRING (9.986692693350015 59.75488147327441, 9.986592793799218 59.75479038634518, 9.98659680581244 59.75470669140179)"/>
    <s v="[284571, 284579]"/>
    <s v="[278690, 278697]"/>
    <s v="0.009457358039569123"/>
    <s v="[278681, 278690]"/>
    <s v="[0.005, 0.015]"/>
    <s v="20.936959173683988"/>
    <s v="[0.005, 0.015]"/>
  </r>
  <r>
    <x v="357"/>
    <x v="495"/>
    <x v="0"/>
    <n v="0"/>
    <s v="LINESTRING (9.986692693350015 59.75488147327441, 9.986629392333667 59.754880897141355, 9.985780608427588 59.75484443577662)"/>
    <s v="[284667, 284675]"/>
    <s v="[278772, 278735]"/>
    <s v="0.02220243281715005"/>
    <s v="[278681, 278772]"/>
    <s v="[0.016, 0.025]"/>
    <s v="52.18717821125735"/>
    <s v="[-0.016, 0.025]"/>
  </r>
  <r>
    <x v="358"/>
    <x v="492"/>
    <x v="0"/>
    <n v="0"/>
    <m/>
    <n v="284587"/>
    <n v="278701"/>
    <s v="0.023"/>
    <n v="278697"/>
    <s v="0.023"/>
    <s v="37.34095693782713"/>
    <s v="0.023"/>
  </r>
  <r>
    <x v="358"/>
    <x v="495"/>
    <x v="0"/>
    <n v="0"/>
    <s v="LINESTRING (9.98659680581244 59.75470669140179, 9.986531335357933 59.754719374223804, 9.985780608427588 59.75484443577662)"/>
    <s v="[284651, 284659]"/>
    <s v="[278757, 278735]"/>
    <s v="0.019714251809216994"/>
    <s v="[278697, 278757]"/>
    <s v="[0.005, 0.021]"/>
    <s v="49.085010235821365"/>
    <s v="[0.005, 0.021]"/>
  </r>
  <r>
    <x v="359"/>
    <x v="493"/>
    <x v="0"/>
    <n v="0"/>
    <s v="LINESTRING (9.988049466434681 59.754556846224546, 9.987209233256543 59.75459873033676, 9.987133386148868 59.75460179520251)"/>
    <s v="[284731, 284739]"/>
    <s v="[278822, 278701]"/>
    <s v="#FIELD!"/>
    <s v="[278721, 278822]"/>
    <s v="[0.022, 0.019]"/>
    <s v="52.43840478050405"/>
    <s v="[-0.022, -0.019]"/>
  </r>
  <r>
    <x v="360"/>
    <x v="496"/>
    <x v="0"/>
    <s v="[1, 0, 0, 0, 0]"/>
    <s v="LINESTRING (10.002318410073231 59.75266530859667, 10.002141204215134 59.75266865670818, 10.001279114620464 59.75266315841414, 9.993472672159518 59.75345773426111, 9.988858793761255 59.754382200429596, 9.988049466434681 59.754556846224546)"/>
    <s v="[1125700, 1125708, 2094704, 2094705, 284611]"/>
    <s v="[1064183, 1064191, 1812328, 278720, 278721]"/>
    <s v="0.0017653957645784228"/>
    <s v="[1064174, 1064183, 1064191, 1812328, 278720]"/>
    <s v="[0.009, 0.009, 0.0, 0.013, 0.033]"/>
    <s v="838.2097171757816"/>
    <s v="[-0.009, -0.009, -0.0, 0.013, -0.033]"/>
  </r>
  <r>
    <x v="361"/>
    <x v="420"/>
    <x v="0"/>
    <n v="0"/>
    <m/>
    <n v="284627"/>
    <n v="278736"/>
    <s v="0.014"/>
    <n v="278735"/>
    <s v="0.014"/>
    <s v="145.25305671245422"/>
    <s v="0.014"/>
  </r>
  <r>
    <x v="362"/>
    <x v="497"/>
    <x v="0"/>
    <n v="0"/>
    <s v="LINESTRING (8.697827339642757 58.42790000244936, 8.69804405600996 58.4276786991993, 8.698587893806764 58.42526198320005, 8.698659755407174 58.42521797707288, 8.698710827455441 58.4251902367845)"/>
    <s v="[1092795, 285652, 285660, 285668]"/>
    <s v="[279633, 279634, 279640, 271987]"/>
    <s v="#FIELD!"/>
    <s v="[1036367, 279633, 279634, 279640]"/>
    <s v="[0.069, 0.004, 0.078, 0.083]"/>
    <s v="330.88246504448745"/>
    <s v="[-0.069, -0.004, -0.078, -0.083]"/>
  </r>
  <r>
    <x v="363"/>
    <x v="498"/>
    <x v="0"/>
    <n v="0"/>
    <m/>
    <n v="286621"/>
    <n v="280387"/>
    <s v="0.079"/>
    <n v="280386"/>
    <s v="0.079"/>
    <s v="20.65187642796544"/>
    <s v="0.079"/>
  </r>
  <r>
    <x v="363"/>
    <x v="433"/>
    <x v="0"/>
    <n v="0"/>
    <s v="LINESTRING (10.413846581607592 61.19223662562265, 10.413923710712075 61.19227216578748, 10.414235860770452 61.19242969252578)"/>
    <s v="[298248, 298256]"/>
    <s v="[290557, 280386]"/>
    <s v="0.0726179698229879"/>
    <s v="[281197, 290557]"/>
    <s v="[0.071, 0.073]"/>
    <s v="30.0341127826589"/>
    <s v="[0.071, 0.073]"/>
  </r>
  <r>
    <x v="363"/>
    <x v="434"/>
    <x v="0"/>
    <n v="0"/>
    <s v="LINESTRING (10.413718095847864 61.192338385628574, 10.413823675600334 61.192359233995774, 10.414235860770452 61.19242969252578)"/>
    <s v="[341283, 341291]"/>
    <s v="[330005, 280386]"/>
    <s v="0.09755168922880858"/>
    <s v="[281215, 330005]"/>
    <s v="[0.092, 0.099]"/>
    <s v="29.661795080757955"/>
    <s v="[0.092, 0.099]"/>
  </r>
  <r>
    <x v="364"/>
    <x v="499"/>
    <x v="0"/>
    <n v="0"/>
    <s v="LINESTRING (10.414554344346294 61.19253312394846, 10.414952077031304 61.19259139898411, 10.41504586506579 61.19261274575843)"/>
    <s v="[298264, 298272]"/>
    <s v="[290571, 281262]"/>
    <s v="0.092"/>
    <s v="[280387, 290571]"/>
    <s v="0.092"/>
    <s v="28.13493003767965"/>
    <s v="0.092"/>
  </r>
  <r>
    <x v="364"/>
    <x v="435"/>
    <x v="0"/>
    <n v="0"/>
    <s v="LINESTRING (10.414554344346294 61.19253312394846, 10.41483085603174 61.19266759618123, 10.41490687758689 61.192697063801084)"/>
    <s v="[341299, 341307]"/>
    <s v="[330017, 281311]"/>
    <s v="0.06478284587906893"/>
    <s v="[280387, 330017]"/>
    <s v="[0.063, 0.072]"/>
    <s v="26.480302173559306"/>
    <s v="[0.063, 0.072]"/>
  </r>
  <r>
    <x v="365"/>
    <x v="500"/>
    <x v="0"/>
    <n v="0"/>
    <s v="LINESTRING (6.333042388302799 62.465385768126744, 6.331124746074383 62.46559669470177, 6.330956113270198 62.46561093367552, 6.330008782953869 62.4656767074323, 6.328743361659173 62.465723256464656)"/>
    <s v="[287313, 287321, 287329, 287337]"/>
    <s v="[281013, 281020, 281028, 281034]"/>
    <s v="#FIELD!"/>
    <s v="[281012, 281013, 281020, 281028]"/>
    <s v="[0.012, 0.023, 0.022, 0.033]"/>
    <s v="226.2745076675863"/>
    <s v="[-0.012, -0.023, -0.022, -0.033]"/>
  </r>
  <r>
    <x v="365"/>
    <x v="500"/>
    <x v="0"/>
    <n v="0"/>
    <s v="LINESTRING (6.333042388302799 62.465385768126744, 6.331099337038246 62.465529117448355, 6.330930943065217 62.465542205730976, 6.329990816975609 62.465618269958455, 6.329887348536148 62.465626575312406, 6.328743361659173 62.465723256464656)"/>
    <s v="[287345, 287353, 287361, 287369, 287377]"/>
    <s v="[281040, 281047, 281052, 281059, 281034]"/>
    <s v="#FIELD!"/>
    <s v="[281012, 281040, 281047, 281052, 281059]"/>
    <s v="[0.021, 0.025, 0.019, 0.016, 0.022]"/>
    <s v="225.70747167548484"/>
    <s v="[-0.021, -0.025, -0.019, -0.016, -0.022]"/>
  </r>
  <r>
    <x v="365"/>
    <x v="501"/>
    <x v="35"/>
    <n v="0"/>
    <s v="LINESTRING (6.346129255504305 62.46532642386009, 6.343168746338346 62.46496482260765, 6.338678150624025 62.46493674549521, 6.337620486372814 62.465021032534274, 6.33667890773317 62.46509546864294, 6.336258195949165 62.465128778176165, 6.33589523275269 62.46515828077468, 6.33429926082183 62.46528583307644, 6.333042388302799 62.465385768126744)"/>
    <s v="[988096, 988104, 988109, 988110, 988111, 988119, 988120, 988128]"/>
    <s v="[947483, 296286, 947489, 947490, 947491, 947496, 947497, 281012]"/>
    <s v="0.027296646562145727"/>
    <s v="[947482, 947483, 296286, 947489, 947490, 947491, 947496, 947497]"/>
    <s v="[0.038, 0.01, 0.016, 0.005, 0.002, 0.015, 0.01, 0.159]"/>
    <s v="688.2100318653446"/>
    <s v="[0.038, 0.01, -0.016, -0.005, -0.002, 0.015, 0.01, 0.159]"/>
  </r>
  <r>
    <x v="366"/>
    <x v="502"/>
    <x v="0"/>
    <n v="0"/>
    <s v="LINESTRING (6.328743361659173 62.465723256464656, 6.327099886055956 62.46575620523124, 6.3264955002752785 62.46576047337168, 6.326177674393764 62.46576574317881, 6.324417558755648 62.46578363011298, 6.324276572069163 62.46578506344635, 6.3232976154287215 62.46579533781933, 6.3201587597911795 62.46583210212293, 6.317620673702507 62.46591669524452, 6.314616340596101 62.46600325092346, 6.314325329269919 62.46598575138294)"/>
    <s v="[988134, 988135, 988141, 988142, 988143, 988151, 988159, 988167, 988170, 988172]"/>
    <s v="[947507, 947508, 629844, 947513, 947514, 947518, 947524, 947529, 947531, 947533]"/>
    <s v="#FIELD!"/>
    <s v="[281034, 947507, 947508, 629844, 947513, 947514, 947518, 947524, 947529, 947531]"/>
    <s v="[0.088, 0.011, 0.023, 0.007, 0.005, 0.021, 0.027, 0.007, 0.028, 0.027]"/>
    <s v="747.0325401986657"/>
    <s v="[-0.088, -0.011, 0.023, -0.007, -0.005, -0.021, -0.027, -0.007, 0.028, -0.027]"/>
  </r>
  <r>
    <x v="367"/>
    <x v="434"/>
    <x v="0"/>
    <n v="0"/>
    <s v="LINESTRING (10.413846581607592 61.19223662562265, 10.413809515134663 61.19229921927243, 10.413718095847864 61.192338385628574)"/>
    <s v="[287527, 287535]"/>
    <s v="[281208, 281215]"/>
    <s v="#FIELD!"/>
    <s v="[281197, 281208]"/>
    <s v="[0.03, 0.076]"/>
    <s v="13.833194241366353"/>
    <s v="[-0.03, -0.076]"/>
  </r>
  <r>
    <x v="368"/>
    <x v="242"/>
    <x v="0"/>
    <n v="0"/>
    <s v="LINESTRING (10.41504586506579 61.19261274575843, 10.415158812826034 61.19260488514346, 10.415309747677433 61.19264327812038)"/>
    <s v="[287583, 287591]"/>
    <s v="[281263, 281271]"/>
    <s v="0.10501569260489521"/>
    <s v="[281262, 281263]"/>
    <s v="[0.117, 0.097]"/>
    <s v="15.317998066641557"/>
    <s v="[0.117, 0.097]"/>
  </r>
  <r>
    <x v="368"/>
    <x v="435"/>
    <x v="0"/>
    <n v="0"/>
    <s v="LINESTRING (10.41490687758689 61.192697063801084, 10.414940945515186 61.192655052323786, 10.41504586506579 61.19261274575843)"/>
    <s v="[287639, 287647]"/>
    <s v="[281319, 281262]"/>
    <s v="0.07010229409957383"/>
    <s v="[281311, 281319]"/>
    <s v="[0.041, 0.09]"/>
    <s v="12.38418660408983"/>
    <s v="[0.041, 0.09]"/>
  </r>
  <r>
    <x v="369"/>
    <x v="503"/>
    <x v="0"/>
    <n v="0"/>
    <s v="LINESTRING (19.016285163490988 69.5476470714101, 19.013325613850462 69.54715226634647, 19.012996910593806 69.54709676186656, 19.009951879398404 69.5465839225372, 19.009864112982193 69.54656921880759)"/>
    <s v="[287824, 287832, 287840, 287848]"/>
    <s v="[281482, 281489, 281496, 281503]"/>
    <s v="#FIELD!"/>
    <s v="[281481, 281482, 281489, 281496]"/>
    <s v="[0.014, 0.011, 0.081, 0.062]"/>
    <s v="278.30750818124636"/>
    <s v="[-0.014, -0.011, -0.081, -0.062]"/>
  </r>
  <r>
    <x v="369"/>
    <x v="504"/>
    <x v="0"/>
    <n v="0"/>
    <s v="LINESTRING (19.016285163490988 69.5476470714101, 19.01310357982757 69.54703952320364, 19.010068457657063 69.54652183129282, 19.009963721921544 69.54650349246138)"/>
    <s v="[287896, 287904, 287912]"/>
    <s v="[281543, 281551, 281560]"/>
    <s v="#FIELD!"/>
    <s v="[281481, 281543, 281551]"/>
    <s v="[0.029, 0.083, 0.133]"/>
    <s v="278.48573901213996"/>
    <s v="[-0.029, -0.083, -0.133]"/>
  </r>
  <r>
    <x v="369"/>
    <x v="505"/>
    <x v="0"/>
    <s v="[0, 0, 0, 0, 1, 0, 0]"/>
    <s v="LINESTRING (19.128135630747163 69.56364176102802, 19.12757509584494 69.56361250747058, 19.126054718377862 69.56348699926936, 19.075644949895878 69.55832622030717, 19.074962227515037 69.55828016563261, 19.073020375578324 69.5581394794679, 19.07195340634008 69.5580439642042, 19.016285163490988 69.5476470714101)"/>
    <s v="[1104210, 1104217, 1104222, 1104224, 1104230, 1104232, 1104240]"/>
    <s v="[1045655, 1045660, 920403, 1045663, 1045665, 914127, 281481]"/>
    <s v="0.01414964071010431"/>
    <s v="[1045654, 1045655, 1045660, 920403, 1045663, 1045665, 914127]"/>
    <s v="[0.043, 0.055, 0.009, 0.055, 0.052, 0.044, 0.015]"/>
    <s v="4764.739616300947"/>
    <s v="[0.043, 0.055, 0.009, 0.055, 0.052, 0.044, 0.015]"/>
  </r>
  <r>
    <x v="370"/>
    <x v="504"/>
    <x v="0"/>
    <n v="0"/>
    <m/>
    <n v="287968"/>
    <n v="281560"/>
    <s v="#FIELD!"/>
    <n v="281503"/>
    <s v="0.355"/>
    <s v="8.297583081632432"/>
    <s v="#FIELD!"/>
  </r>
  <r>
    <x v="370"/>
    <x v="506"/>
    <x v="0"/>
    <n v="0"/>
    <s v="LINESTRING (19.009864112982193 69.54656921880759, 19.00970332974088 69.54654229350253, 19.009645049037232 69.54653234789407)"/>
    <s v="[287856, 287864]"/>
    <s v="[281509, 281516]"/>
    <s v="#FIELD!"/>
    <s v="[281503, 281509]"/>
    <s v="[0.132, 0.125]"/>
    <s v="9.484114043978108"/>
    <s v="[-0.132, -0.125]"/>
  </r>
  <r>
    <x v="371"/>
    <x v="507"/>
    <x v="0"/>
    <n v="0"/>
    <m/>
    <n v="287992"/>
    <n v="281572"/>
    <s v="#FIELD!"/>
    <n v="281516"/>
    <s v="0.339"/>
    <s v="8.521076223253079"/>
    <s v="#FIELD!"/>
  </r>
  <r>
    <x v="371"/>
    <x v="508"/>
    <x v="0"/>
    <n v="0"/>
    <s v="LINESTRING (19.009645049037232 69.54653234789407, 19.00944071637956 69.54649731257108, 19.006507703482786 69.54601084486596, 19.005626534183044 69.54585208237307)"/>
    <s v="[287872, 287880, 287888]"/>
    <s v="[281523, 281530, 281536]"/>
    <s v="#FIELD!"/>
    <s v="[281516, 281523, 281530]"/>
    <s v="[0.097, 0.08, 0.011]"/>
    <s v="174.3634069239188"/>
    <s v="[-0.097, -0.08, 0.011]"/>
  </r>
  <r>
    <x v="372"/>
    <x v="509"/>
    <x v="0"/>
    <s v="[0, 0, 1, 0, 1, 0, 1, 0]"/>
    <s v="LINESTRING (19.005626534183044 69.54585208237307, 19.003140186941874 69.54553555333617, 18.947484369452535 69.58158936710277, 18.947425781088608 69.58162033649594, 18.944921818744938 69.58307742516105, 18.94489967204217 69.58309679076851, 18.94426523725641 69.58360341452844, 18.94413871178356 69.58370949216446, 18.939789683716448 69.58677136447679)"/>
    <s v="[1104248, 1104256, 1190576, 1190584, 1190592, 1190600, 1190608, 1190616]"/>
    <s v="[1045675, 1045680, 1118573, 1118579, 1118584, 1118590, 1118596, 461376]"/>
    <s v="#FIELD!"/>
    <s v="[281536, 1045675, 1045680, 1118573, 1118579, 1118584, 1118590, 1118596]"/>
    <s v="[0.457, 0.016, 0.673, 0.068, 0.023, 0.04, 0.034, 0.046]"/>
    <s v="6172.982489601626"/>
    <s v="[0.457, -0.016, -0.673, -0.068, -0.023, -0.04, -0.034, -0.046]"/>
  </r>
  <r>
    <x v="372"/>
    <x v="507"/>
    <x v="36"/>
    <n v="0"/>
    <s v="LINESTRING (19.009700220351263 69.54645843349456, 19.009516740629397 69.54642568644938, 19.006557821041646 69.54596717194542, 19.006208393184632 69.54591820444303, 19.005626534183044 69.54585208237307)"/>
    <s v="[287936, 287944, 287952, 287960]"/>
    <s v="[281579, 281586, 281591, 281536]"/>
    <s v="#FIELD!"/>
    <s v="[281572, 281579, 281586, 281591]"/>
    <s v="[0.115, 0.056, 0.01, 0.007]"/>
    <s v="172.87753346548885"/>
    <s v="[-0.115, -0.056, 0.01, 0.007]"/>
  </r>
  <r>
    <x v="373"/>
    <x v="510"/>
    <x v="0"/>
    <n v="0"/>
    <m/>
    <n v="287976"/>
    <n v="281612"/>
    <s v="#FIELD!"/>
    <n v="281560"/>
    <s v="0.291"/>
    <s v="2.829982685487999"/>
    <s v="#FIELD!"/>
  </r>
  <r>
    <x v="373"/>
    <x v="507"/>
    <x v="0"/>
    <n v="0"/>
    <s v="LINESTRING (19.009963721921544 69.54650349246138, 19.009770523077325 69.54647042986954, 19.009700220351263 69.54645843349456)"/>
    <s v="[287920, 287928]"/>
    <s v="[281566, 281572]"/>
    <s v="#FIELD!"/>
    <s v="[281560, 281566]"/>
    <s v="[0.105, 0.095]"/>
    <s v="11.442462077471049"/>
    <s v="[-0.105, -0.095]"/>
  </r>
  <r>
    <x v="374"/>
    <x v="511"/>
    <x v="0"/>
    <n v="0"/>
    <m/>
    <n v="288000"/>
    <n v="281632"/>
    <s v="#FIELD!"/>
    <n v="281572"/>
    <s v="0.433"/>
    <s v="2.8036832922598696"/>
    <s v="#FIELD!"/>
  </r>
  <r>
    <x v="375"/>
    <x v="512"/>
    <x v="0"/>
    <n v="0"/>
    <s v="LINESTRING (8.745204826389887 58.47350443329505, 8.74562929675005 58.47361328370834, 8.745726638127135 58.473644884705095)"/>
    <s v="[287965, 287973]"/>
    <s v="[281604, 281609]"/>
    <s v="0.028612276684840066"/>
    <s v="[281603, 281604]"/>
    <s v="[0.029, 0.027]"/>
    <s v="34.51084099991555"/>
    <s v="[0.029, 0.027]"/>
  </r>
  <r>
    <x v="375"/>
    <x v="513"/>
    <x v="0"/>
    <n v="0"/>
    <s v="LINESTRING (8.745204826389887 58.47350443329505, 8.745476339956921 58.47368695861953, 8.745521570305806 58.47373535398032)"/>
    <s v="[1231315, 1231323]"/>
    <s v="[1153096, 1153102]"/>
    <s v="0.21295842506196874"/>
    <s v="[281603, 1153096]"/>
    <s v="[0.27, 0.032]"/>
    <s v="31.815711854855326"/>
    <s v="[0.27, -0.032]"/>
  </r>
  <r>
    <x v="375"/>
    <x v="514"/>
    <x v="0"/>
    <n v="0"/>
    <m/>
    <n v="1757327"/>
    <n v="281603"/>
    <s v="#FIELD!"/>
    <n v="917822"/>
    <s v="0.396"/>
    <s v="22.716489605585686"/>
    <s v="#FIELD!"/>
  </r>
  <r>
    <x v="376"/>
    <x v="515"/>
    <x v="0"/>
    <n v="0"/>
    <s v="LINESTRING (8.745726638127135 58.473644884705095, 8.745852502448015 58.473648612537225, 8.745982062255264 58.47369331741758, 8.746037951464958 58.47375395973506, 8.74602910693347 58.4738315172683, 8.746010533701815 58.473852762689624, 8.745927258983649 58.4739003809909, 8.745795233419173 58.47392444989228, 8.745698557358839 58.473918998396954)"/>
    <s v="[1756394, 1756402, 1756410, 1756415, 1756417, 1756424, 1756426, 1756427]"/>
    <s v="[1002928, 1514112, 1554340, 295700, 439618, 1554346, 439615, 1152773]"/>
    <s v="0.09085212571312565"/>
    <s v="[281609, 1002928, 1514112, 1554340, 295700, 439618, 1554346, 439615]"/>
    <s v="[0.022, 0.025, 0.023, 0.015, 0.007, 0.003, 0.009, 0.784]"/>
    <s v="56.25875268352158"/>
    <s v="[0.022, 0.025, 0.023, 0.015, 0.007, 0.003, -0.009, 0.784]"/>
  </r>
  <r>
    <x v="376"/>
    <x v="513"/>
    <x v="0"/>
    <n v="0"/>
    <s v="LINESTRING (8.745521570305806 58.47373535398032, 8.745607717487538 58.47367355726516, 8.745726638127135 58.473644884705095)"/>
    <s v="[1756392, 1756393]"/>
    <s v="[1554327, 281609]"/>
    <s v="#FIELD!"/>
    <s v="[1153102, 1554327]"/>
    <s v="[0.685, 0.009]"/>
    <s v="16.181894637711878"/>
    <s v="[-0.685, 0.009]"/>
  </r>
  <r>
    <x v="377"/>
    <x v="516"/>
    <x v="0"/>
    <n v="0"/>
    <s v="LINESTRING (8.72270311637003 58.463044197517334, 8.72305935974703 58.46311624790895, 8.7231773376367 58.463135219323284)"/>
    <s v="[288639, 288647]"/>
    <s v="[282168, 282174]"/>
    <s v="0.03038239484776211"/>
    <s v="[282167, 282168]"/>
    <s v="[0.036, 0.013]"/>
    <s v="29.527677697378202"/>
    <s v="[0.036, 0.013]"/>
  </r>
  <r>
    <x v="377"/>
    <x v="517"/>
    <x v="0"/>
    <n v="0"/>
    <s v="LINESTRING (8.72270311637003 58.463044197517334, 8.722984178140075 58.46319919220506, 8.723076703147578 58.46324140960401)"/>
    <s v="[1230976, 1230977]"/>
    <s v="[1152793, 1152794]"/>
    <s v="#FIELD!"/>
    <s v="[282167, 1152793]"/>
    <s v="[0.059, 0.05]"/>
    <s v="31.345262215974646"/>
    <s v="[-0.059, 0.05]"/>
  </r>
  <r>
    <x v="377"/>
    <x v="518"/>
    <x v="0"/>
    <n v="0"/>
    <m/>
    <n v="1758119"/>
    <n v="282167"/>
    <s v="0.03"/>
    <n v="917829"/>
    <s v="0.03"/>
    <s v="85.57530491647378"/>
    <s v="0.03"/>
  </r>
  <r>
    <x v="378"/>
    <x v="519"/>
    <x v="0"/>
    <n v="0"/>
    <m/>
    <n v="1752209"/>
    <n v="294511"/>
    <s v="#FIELD!"/>
    <n v="282174"/>
    <s v="0.031"/>
    <s v="5.541137067243183"/>
    <s v="#FIELD!"/>
  </r>
  <r>
    <x v="378"/>
    <x v="517"/>
    <x v="0"/>
    <n v="0"/>
    <s v="LINESTRING (8.723076703147578 58.46324140960401, 8.7230986326674 58.463179354895495, 8.7231773376367 58.463135219323284)"/>
    <s v="[1752193, 1752201]"/>
    <s v="[1552040, 282174]"/>
    <s v="0.14264874078344034"/>
    <s v="[1152794, 1552040]"/>
    <s v="[0.261, 0.019]"/>
    <s v="13.77496547215426"/>
    <s v="[0.261, 0.019]"/>
  </r>
  <r>
    <x v="379"/>
    <x v="520"/>
    <x v="0"/>
    <n v="0"/>
    <s v="LINESTRING (8.617416326208197 58.37065536409488, 8.617541260770158 58.37045319849337, 8.617573337683508 58.37038500091276)"/>
    <s v="[288796, 288804]"/>
    <s v="[282298, 282307]"/>
    <s v="#FIELD!"/>
    <s v="[282297, 282298]"/>
    <s v="[0.015, 0.011]"/>
    <s v="31.541019653609712"/>
    <s v="[-0.015, -0.011]"/>
  </r>
  <r>
    <x v="379"/>
    <x v="521"/>
    <x v="0"/>
    <n v="0"/>
    <s v="LINESTRING (8.617416326208197 58.37065536409488, 8.617712539455031 58.37051454906618, 8.617817141839884 58.370472767713984)"/>
    <s v="[303515, 303523]"/>
    <s v="[295310, 295316]"/>
    <s v="#FIELD!"/>
    <s v="[282297, 295310]"/>
    <s v="[0.019, 0.018]"/>
    <s v="31.107354824658078"/>
    <s v="[-0.019, -0.018]"/>
  </r>
  <r>
    <x v="379"/>
    <x v="522"/>
    <x v="0"/>
    <s v="[0, 1, 0]"/>
    <s v="LINESTRING (8.615603450966129 58.37110351065486, 8.616395016124617 58.371363166399476, 8.617108976520393 58.37090109089907, 8.617416326208197 58.37065536409488)"/>
    <s v="[1228030, 1228038, 1228046]"/>
    <s v="[1150688, 1150694, 282297]"/>
    <s v="#FIELD!"/>
    <s v="[1150681, 1150688, 1150694]"/>
    <s v="[0.01, 0.029, 0.021]"/>
    <s v="170.74382187292224"/>
    <s v="[-0.01, -0.029, -0.021]"/>
  </r>
  <r>
    <x v="380"/>
    <x v="523"/>
    <x v="0"/>
    <n v="0"/>
    <s v="LINESTRING (8.617573337683508 58.37038500091276, 8.617569584182808 58.370360314585874, 8.617607194373816 58.37029563633619, 8.617734771351694 58.370250050973546, 8.617775008573561 58.37024653422005, 8.617903876418882 58.37026702412496, 8.617975584106361 58.37031204345871, 8.617990036713431 58.37033454506175, 8.617998233485876 58.3703655512967)"/>
    <s v="[1753902, 1753903, 1753911, 1753920, 1753921, 1753922, 1753930, 1753931]"/>
    <s v="[1552841, 1552842, 1164982, 305021, 1552855, 1552856, 1175301, 1150928]"/>
    <s v="#FIELD!"/>
    <s v="[282307, 1552841, 1552842, 1164982, 305021, 1552855, 1552856, 1175301]"/>
    <s v="[0.012, 0.039, 0.034, 0.016, 0.001, 0.016, 0.028, 0.036]"/>
    <s v="42.312389826803354"/>
    <s v="[-0.012, -0.039, -0.034, -0.016, -0.001, 0.016, 0.028, 0.036]"/>
  </r>
  <r>
    <x v="380"/>
    <x v="521"/>
    <x v="0"/>
    <n v="0"/>
    <s v="LINESTRING (8.617817141839884 58.370472767713984, 8.617667074569912 58.370455170926014, 8.617573337683508 58.37038500091276)"/>
    <s v="[1753946, 1753949]"/>
    <s v="[1552870, 282307]"/>
    <s v="0.008821871587394049"/>
    <s v="[295316, 1552870]"/>
    <s v="[0.015, 0.003]"/>
    <s v="18.571107232781635"/>
    <s v="[0.015, 0.003]"/>
  </r>
  <r>
    <x v="381"/>
    <x v="524"/>
    <x v="0"/>
    <n v="0"/>
    <s v="LINESTRING (8.581766887262377 58.34620572118809, 8.581766887262377 58.34620572118809, 8.582054831590819 58.346461787168856)"/>
    <s v="[289578, 289586]"/>
    <s v="[282985, 282993]"/>
    <s v="0.004214503228698369"/>
    <s v="[282984, 282985]"/>
    <s v="[0.0, 0.005]"/>
    <s v="39.3608679067282"/>
    <s v="[0.0, 0.005]"/>
  </r>
  <r>
    <x v="382"/>
    <x v="525"/>
    <x v="0"/>
    <n v="0"/>
    <m/>
    <n v="1234828"/>
    <n v="1156136"/>
    <s v="#FIELD!"/>
    <n v="282993"/>
    <s v="0.102"/>
    <s v="44.75569989271509"/>
    <s v="#FIELD!"/>
  </r>
  <r>
    <x v="382"/>
    <x v="526"/>
    <x v="0"/>
    <n v="0"/>
    <s v="LINESTRING (8.58146873812447 58.3463095140261, 8.581566580439473 58.346334796058144, 8.582054831590819 58.346461787168856)"/>
    <s v="[304746, 304754]"/>
    <s v="[296434, 282993]"/>
    <s v="#FIELD!"/>
    <s v="[296433, 296434]"/>
    <s v="[0.0, 0.001]"/>
    <s v="38.33493424972135"/>
    <s v="[-0.0, -0.001]"/>
  </r>
  <r>
    <x v="383"/>
    <x v="527"/>
    <x v="0"/>
    <n v="0"/>
    <s v="LINESTRING (13.608333640791967 68.1424679174128, 13.607929687440828 68.14242047477181, 13.607922332905448 68.14241947996607, 13.607482080221219 68.14238074706898)"/>
    <s v="[289992, 290000, 290008]"/>
    <s v="[283309, 283313, 283317]"/>
    <s v="0.0005384376475626459"/>
    <s v="[283308, 283309, 283313]"/>
    <s v="[0.0, 0.003, 0.001]"/>
    <s v="36.71807293234713"/>
    <s v="[-0.0, 0.003, 0.001]"/>
  </r>
  <r>
    <x v="383"/>
    <x v="528"/>
    <x v="0"/>
    <n v="0"/>
    <s v="LINESTRING (13.608333640791967 68.1424679174128, 13.60799079768124 68.1423701761599, 13.607581064496186 68.14229139293212)"/>
    <s v="[290040, 290056]"/>
    <s v="[283336, 283347]"/>
    <s v="#FIELD!"/>
    <s v="[283308, 283336]"/>
    <s v="[0.002, 0.0]"/>
    <s v="37.09239029422376"/>
    <s v="[-0.002, 0.0]"/>
  </r>
  <r>
    <x v="383"/>
    <x v="529"/>
    <x v="0"/>
    <n v="0"/>
    <s v="LINESTRING (13.6091000436273 68.14267674273434, 13.6091000436273 68.14267674273434, 13.608333640791967 68.1424679174128)"/>
    <s v="[1017775, 1017783]"/>
    <s v="[974187, 283308]"/>
    <s v="#FIELD!"/>
    <s v="[974186, 974187]"/>
    <s v="[0.0, 0.005]"/>
    <s v="174.290627232509"/>
    <s v="[0.0, -0.005]"/>
  </r>
  <r>
    <x v="384"/>
    <x v="530"/>
    <x v="0"/>
    <n v="0"/>
    <s v="LINESTRING (13.607482080221219 68.14238074706898, 13.607338826402199 68.14239689268652, 13.607182149218353 68.14237351532292, 13.607116271940567 68.14233593765958, 13.607106013202872 68.14231850130669)"/>
    <s v="[1019873, 1019881, 1019889, 1019897]"/>
    <s v="[283326, 975628, 283324, 283356]"/>
    <s v="0.0007264016383761481"/>
    <s v="[283317, 283326, 975628, 283324]"/>
    <s v="[0.003, 0.001, 0.001, 0.003]"/>
    <s v="20.225640905084692"/>
    <s v="[0.003, 0.001, -0.001, -0.003]"/>
  </r>
  <r>
    <x v="384"/>
    <x v="528"/>
    <x v="0"/>
    <n v="0"/>
    <s v="LINESTRING (13.607581064496186 68.14229139293212, 13.607560411256875 68.14234663369095, 13.607482080221219 68.14238074706898)"/>
    <s v="[1019953, 1019865]"/>
    <s v="[975617, 283317]"/>
    <s v="0.00455402160313071"/>
    <s v="[283347, 975617]"/>
    <s v="[0.005, 0.004]"/>
    <s v="11.224661300500628"/>
    <s v="[0.005, 0.004]"/>
  </r>
  <r>
    <x v="385"/>
    <x v="531"/>
    <x v="0"/>
    <n v="0"/>
    <s v="LINESTRING (13.607178887358863 68.14224212428616, 13.607404781380065 68.14222047464919, 13.60751008283708 68.14224228952745, 13.607567237274042 68.14227404323428, 13.607581064496186 68.14229139293212)"/>
    <s v="[1019921, 1019929, 1019937, 1019945]"/>
    <s v="[283351, 975658, 283330, 283347]"/>
    <s v="#FIELD!"/>
    <s v="[283367, 283351, 975658, 283330]"/>
    <s v="[0.004, 0.001, 0.001, 0.004]"/>
    <s v="21.297202773395053"/>
    <s v="[-0.004, -0.001, 0.001, 0.004]"/>
  </r>
  <r>
    <x v="386"/>
    <x v="532"/>
    <x v="0"/>
    <n v="0"/>
    <m/>
    <n v="290072"/>
    <n v="283357"/>
    <s v="#FIELD!"/>
    <n v="283356"/>
    <s v="0.0"/>
    <s v="39.42687133195625"/>
    <s v="#FIELD!"/>
  </r>
  <r>
    <x v="386"/>
    <x v="531"/>
    <x v="0"/>
    <n v="0"/>
    <s v="LINESTRING (13.607106013202872 68.14231850130669, 13.607118844446305 68.14227636437055, 13.607178887358863 68.14224212428616)"/>
    <s v="[1019905, 1019913]"/>
    <s v="[975644, 283367]"/>
    <s v="#FIELD!"/>
    <s v="[283356, 975644]"/>
    <s v="[0.003, 0.005]"/>
    <s v="9.28886744236135"/>
    <s v="[-0.003, -0.005]"/>
  </r>
  <r>
    <x v="387"/>
    <x v="533"/>
    <x v="37"/>
    <n v="0"/>
    <s v="LINESTRING (13.606243033506646 68.14217481828341, 13.605679596764903 68.14210522399755, 13.604260282716591 68.14192687367832, 13.601156836765249 68.14104896619253, 13.596226353495606 68.13906024777556, 13.578528805780863 68.13737841250642, 13.57838131956241 68.13734947037223, 13.57700190357663 68.1370146064934, 13.576066680834249 68.13671782990282, 13.567408149818666 68.13463853338962)"/>
    <s v="[1017791, 1017799, 1017807, 1017815, 1017823, 1017831, 1017847, 1017855, 1017863]"/>
    <s v="[974197, 974204, 974211, 440202, 415523, 974232, 415522, 387303, 293901]"/>
    <s v="#FIELD!"/>
    <s v="[283357, 974197, 974204, 974211, 440202, 415523, 974232, 415522, 387303]"/>
    <s v="[0.065, 0.003, 0.001, 0.012, 0.007, 0.003, 0.0, 0.006, 0.006]"/>
    <s v="1892.3877443093647"/>
    <s v="[0.065, 0.003, -0.001, -0.012, -0.007, -0.003, -0.0, 0.006, 0.006]"/>
  </r>
  <r>
    <x v="387"/>
    <x v="531"/>
    <x v="0"/>
    <n v="0"/>
    <m/>
    <n v="290080"/>
    <n v="283357"/>
    <s v="0.001"/>
    <n v="283367"/>
    <s v="0.001"/>
    <s v="39.60207773589113"/>
    <s v="0.001"/>
  </r>
  <r>
    <x v="388"/>
    <x v="534"/>
    <x v="0"/>
    <n v="0"/>
    <m/>
    <n v="290088"/>
    <n v="283374"/>
    <s v="#FIELD!"/>
    <n v="283373"/>
    <s v="0.011"/>
    <s v="38.1160494410053"/>
    <s v="#FIELD!"/>
  </r>
  <r>
    <x v="388"/>
    <x v="535"/>
    <x v="0"/>
    <n v="0"/>
    <m/>
    <n v="290104"/>
    <n v="283390"/>
    <s v="#FIELD!"/>
    <n v="283373"/>
    <s v="0.011"/>
    <s v="37.64123879432898"/>
    <s v="#FIELD!"/>
  </r>
  <r>
    <x v="388"/>
    <x v="536"/>
    <x v="38"/>
    <n v="0"/>
    <s v="LINESTRING (13.831657786259864 68.20441416170827, 13.62029585248699 68.14973711641748)"/>
    <m/>
    <m/>
    <s v="0.0"/>
    <m/>
    <n v="0"/>
    <s v="16432.770963112045"/>
    <n v="0"/>
  </r>
  <r>
    <x v="389"/>
    <x v="537"/>
    <x v="0"/>
    <n v="0"/>
    <s v="LINESTRING (13.619936632003128 68.14942254223484, 13.619813940740544 68.14939041755325, 13.619743265620153 68.14932618817014, 13.619766286475304 68.14927204234836, 13.619865205029967 68.14922801120555)"/>
    <s v="[1019681, 1019689, 1019697, 1019705]"/>
    <s v="[283395, 975510, 283402, 283407]"/>
    <s v="#FIELD!"/>
    <s v="[283374, 283395, 975510, 283402]"/>
    <s v="[0.008, 0.011, 0.012, 0.006]"/>
    <s v="26.48304365105269"/>
    <s v="[-0.008, -0.011, -0.012, -0.006]"/>
  </r>
  <r>
    <x v="389"/>
    <x v="535"/>
    <x v="0"/>
    <n v="0"/>
    <s v="LINESTRING (13.620243264476338 68.14940073984232, 13.620073165236503 68.14942907110765, 13.619936632003128 68.14942254223484)"/>
    <s v="[1019761, 1019673]"/>
    <s v="[975502, 283374]"/>
    <s v="2.5817303661519273e-05"/>
    <s v="[283390, 975502]"/>
    <s v="[0.003, 0.004]"/>
    <s v="13.45704777294319"/>
    <s v="[0.003, -0.004]"/>
  </r>
  <r>
    <x v="390"/>
    <x v="538"/>
    <x v="0"/>
    <n v="0"/>
    <s v="LINESTRING (13.620187517921526 68.14922054969144, 13.620296196805995 68.1492590434696, 13.620340927142262 68.14931944122044, 13.62031114595311 68.14936708063439, 13.620243264476338 68.14940073984232)"/>
    <s v="[1019729, 1019737, 1019745, 1019753]"/>
    <s v="[740244, 975535, 740259, 283390]"/>
    <s v="0.009495324323373229"/>
    <s v="[283413, 740244, 975535, 740259]"/>
    <s v="[0.01, 0.011, 0.01, 0.006]"/>
    <s v="23.36260118409982"/>
    <s v="[0.01, 0.011, 0.01, 0.006]"/>
  </r>
  <r>
    <x v="391"/>
    <x v="539"/>
    <x v="0"/>
    <n v="0"/>
    <m/>
    <n v="290128"/>
    <n v="283408"/>
    <s v="#FIELD!"/>
    <n v="283407"/>
    <s v="0.012"/>
    <s v="37.98175993752581"/>
    <s v="#FIELD!"/>
  </r>
  <r>
    <x v="391"/>
    <x v="538"/>
    <x v="0"/>
    <n v="0"/>
    <s v="LINESTRING (13.619865205029967 68.14922801120555, 13.620042359142865 68.14920649412105, 13.620187517921526 68.14922054969144)"/>
    <s v="[1019713, 1019721]"/>
    <s v="[975521, 283413]"/>
    <s v="0.0022297911003698987"/>
    <s v="[283407, 975521]"/>
    <s v="[0.0, 0.005]"/>
    <s v="13.969503339798269"/>
    <s v="[-0.0, 0.005]"/>
  </r>
  <r>
    <x v="392"/>
    <x v="540"/>
    <x v="0"/>
    <n v="0"/>
    <s v="LINESTRING (13.619734650552834 68.14889085030023, 13.618135424683121 68.14677346658556, 13.617910910707913 68.14642665664972)"/>
    <s v="[1190176, 1190184]"/>
    <s v="[450929, 283524]"/>
    <s v="#FIELD!"/>
    <s v="[283408, 450929]"/>
    <s v="[0.004, 0.054]"/>
    <s v="285.05123564916624"/>
    <s v="[-0.004, -0.054]"/>
  </r>
  <r>
    <x v="392"/>
    <x v="538"/>
    <x v="0"/>
    <n v="0"/>
    <m/>
    <n v="290136"/>
    <n v="283408"/>
    <s v="#FIELD!"/>
    <n v="283413"/>
    <s v="0.012"/>
    <s v="41.29406670392722"/>
    <s v="#FIELD!"/>
  </r>
  <r>
    <x v="393"/>
    <x v="541"/>
    <x v="0"/>
    <n v="0"/>
    <s v="LINESTRING (13.617336830211523 68.14592070702265, 13.617214501606863 68.14576639751172, 13.617045284661051 68.14555022677592)"/>
    <s v="[290192, 290208]"/>
    <s v="[283458, 283470]"/>
    <s v="#FIELD!"/>
    <s v="[283457, 283458]"/>
    <s v="[0.004, 0.005]"/>
    <s v="43.04675447912269"/>
    <s v="[-0.004, -0.005]"/>
  </r>
  <r>
    <x v="393"/>
    <x v="542"/>
    <x v="0"/>
    <n v="0"/>
    <s v="LINESTRING (13.617336830211523 68.14592070702265, 13.617501930462284 68.14588143716247, 13.617640046282151 68.14588010481835)"/>
    <s v="[1019809, 1019817]"/>
    <s v="[975576, 283477]"/>
    <s v="#FIELD!"/>
    <s v="[283457, 975576]"/>
    <s v="[0.012, 0.002]"/>
    <s v="13.876889086725313"/>
    <s v="[-0.012, -0.002]"/>
  </r>
  <r>
    <x v="393"/>
    <x v="543"/>
    <x v="0"/>
    <n v="0"/>
    <s v="LINESTRING (13.617507667983785 68.14610920626946, 13.61736822283558 68.14608176621901, 13.617297158155155 68.14604632051, 13.617265972512383 68.14598874413404, 13.617336830211523 68.14592070702265)"/>
    <s v="[1019777, 1019785, 1019793, 1019801]"/>
    <s v="[283507, 975559, 283518, 283457]"/>
    <s v="#FIELD!"/>
    <s v="[283537, 283507, 975559, 283518]"/>
    <s v="[0.003, 0.0, 0.006, 0.011]"/>
    <s v="26.17039244005884"/>
    <s v="[0.003, -0.0, -0.006, -0.011]"/>
  </r>
  <r>
    <x v="394"/>
    <x v="544"/>
    <x v="0"/>
    <n v="0"/>
    <s v="LINESTRING (13.617045284661051 68.14555022677592, 13.615987940988806 68.14491611315904, 13.614178881524401 68.14423219521314)"/>
    <s v="[1017759, 1017767]"/>
    <s v="[974172, 974178]"/>
    <s v="0.006244577989347739"/>
    <s v="[283470, 974172]"/>
    <s v="[0.022, 0.006]"/>
    <s v="190.5767125444137"/>
    <s v="[0.022, -0.006]"/>
  </r>
  <r>
    <x v="394"/>
    <x v="542"/>
    <x v="0"/>
    <n v="0"/>
    <s v="LINESTRING (13.617640046282151 68.14588010481835, 13.617378042433982 68.14573302668781, 13.617374691337904 68.14573109685385, 13.617045284661051 68.14555022677592)"/>
    <s v="[290216, 290224, 290232]"/>
    <s v="[283478, 283486, 283470]"/>
    <s v="#FIELD!"/>
    <s v="[283477, 283478, 283486]"/>
    <s v="[0.004, 0.016, 0.001]"/>
    <s v="44.312218384990935"/>
    <s v="[-0.004, 0.016, -0.001]"/>
  </r>
  <r>
    <x v="395"/>
    <x v="545"/>
    <x v="0"/>
    <n v="0"/>
    <s v="LINESTRING (13.617640046282151 68.14588010481835, 13.617733346954909 68.1458925098733, 13.61784756906743 68.14593298941368, 13.617894836321753 68.14598902226098, 13.61779192919243 68.14608195598409)"/>
    <s v="[1019825, 1019833, 1019841, 1019849]"/>
    <s v="[283452, 975597, 283433, 283549]"/>
    <s v="0.006997628596956089"/>
    <s v="[283477, 283452, 975597, 283433]"/>
    <s v="[0.005, 0.008, 0.009, 0.006]"/>
    <s v="28.69681644198616"/>
    <s v="[0.005, 0.008, 0.009, 0.006]"/>
  </r>
  <r>
    <x v="396"/>
    <x v="543"/>
    <x v="0"/>
    <n v="0"/>
    <s v="LINESTRING (13.617910910707913 68.14642665664972, 13.617714780073433 68.14627590333569, 13.617712483451024 68.1462740540769, 13.617507667983785 68.14610920626946)"/>
    <s v="[290272, 290280, 290288]"/>
    <s v="[283525, 283531, 283537]"/>
    <s v="#FIELD!"/>
    <s v="[283524, 283525, 283531]"/>
    <s v="[0.009, 0.044, 0.008]"/>
    <s v="39.1604786696985"/>
    <s v="[-0.009, -0.044, -0.008]"/>
  </r>
  <r>
    <x v="396"/>
    <x v="545"/>
    <x v="0"/>
    <n v="0"/>
    <s v="LINESTRING (13.617910910707913 68.14642665664972, 13.617876068969892 68.1462568130679, 13.61779192919243 68.14608195598409)"/>
    <s v="[290296, 290304]"/>
    <s v="[283543, 283549]"/>
    <s v="#FIELD!"/>
    <s v="[283524, 283543]"/>
    <s v="0.009"/>
    <s v="38.79938580779594"/>
    <s v="#FIELD!"/>
  </r>
  <r>
    <x v="397"/>
    <x v="545"/>
    <x v="0"/>
    <n v="0"/>
    <s v="LINESTRING (13.61779192919243 68.14608195598409, 13.6176523704829 68.14610927453413, 13.617507667983785 68.14610920626946)"/>
    <s v="[1019857, 1019769]"/>
    <s v="[975549, 283537]"/>
    <s v="0.0005214065267654026"/>
    <s v="[283549, 975549]"/>
    <s v="[0.001, 0.0]"/>
    <s v="12.560433924200623"/>
    <s v="[0.001, 0.0]"/>
  </r>
  <r>
    <x v="398"/>
    <x v="546"/>
    <x v="0"/>
    <n v="0"/>
    <s v="LINESTRING (8.567243767997859 58.340987055523804, 8.567726133943435 58.34094384289358, 8.567855487309915 58.34094181322687)"/>
    <s v="[290616, 290624]"/>
    <s v="[283789, 283795]"/>
    <s v="0.002"/>
    <s v="[283788, 283789]"/>
    <s v="0.002"/>
    <s v="36.83693154686358"/>
    <s v="0.002"/>
  </r>
  <r>
    <x v="398"/>
    <x v="547"/>
    <x v="0"/>
    <n v="0"/>
    <s v="LINESTRING (8.567243767997859 58.340987055523804, 8.56765287539309 58.341046791365045, 8.567739441709145 58.341071786021914)"/>
    <s v="[2111152, 2111153]"/>
    <s v="[1821995, 1552938]"/>
    <s v="#FIELD!"/>
    <s v="[283788, 1821995]"/>
    <s v="[0.0, 0.001]"/>
    <s v="30.693058519335594"/>
    <s v="[-0.0, -0.001]"/>
  </r>
  <r>
    <x v="398"/>
    <x v="548"/>
    <x v="0"/>
    <n v="0"/>
    <m/>
    <n v="1240697"/>
    <n v="283788"/>
    <s v="#FIELD!"/>
    <n v="1161279"/>
    <s v="0.004"/>
    <s v="98.08986252746496"/>
    <s v="#FIELD!"/>
  </r>
  <r>
    <x v="399"/>
    <x v="549"/>
    <x v="0"/>
    <n v="0"/>
    <s v="LINESTRING (8.567855487309915 58.34094181322687, 8.567902271699511 58.34092949221267, 8.568004734068124 58.34092088132853, 8.56810471745683 58.34093430296361, 8.568148854866717 58.34094868972193, 8.568227494032197 58.341002107061264, 8.568246819010387 58.34106892466808, 8.568236283160797 58.34109568484599, 8.568162001031268 58.34115543749828, 8.568037116555388 58.34118741671509, 8.567990168105647 58.34118937124242)"/>
    <s v="[1753957, 1753971, 1753982, 1753990, 1753991, 1754001, 1754005, 1754015, 1754023, 1754048]"/>
    <s v="[919846, 1552886, 1159459, 1552897, 1552898, 1147268, 1170325, 1552911, 1170313, 1162183]"/>
    <s v="#FIELD!"/>
    <s v="[283795, 919846, 1552886, 1159459, 1552897, 1552898, 1147268, 1170325, 1552911, 1170313]"/>
    <s v="[0.003, 0.003, 0.0, 0.003, 0.004, 0.007, 0.008, 0.006, 0.003, 0.336]"/>
    <s v="55.24228589172676"/>
    <s v="[0.003, 0.003, 0.0, -0.003, -0.004, -0.007, -0.008, -0.006, -0.003, -0.336]"/>
  </r>
  <r>
    <x v="399"/>
    <x v="547"/>
    <x v="0"/>
    <n v="0"/>
    <s v="LINESTRING (8.567739441709145 58.341071786021914, 8.567756556390878 58.34100428505076, 8.567855487309915 58.34094181322687)"/>
    <s v="[1754069, 1754070]"/>
    <s v="[1552939, 283795]"/>
    <s v="0.005455830371854131"/>
    <s v="[1552938, 1552939]"/>
    <s v="[0.006, 0.005]"/>
    <s v="16.662257287249723"/>
    <s v="[0.006, 0.005]"/>
  </r>
  <r>
    <x v="400"/>
    <x v="550"/>
    <x v="0"/>
    <n v="0"/>
    <m/>
    <n v="1495063"/>
    <n v="284378"/>
    <s v="#FIELD!"/>
    <n v="284278"/>
    <s v="0.045"/>
    <s v="12.44668602738674"/>
    <s v="#FIELD!"/>
  </r>
  <r>
    <x v="400"/>
    <x v="551"/>
    <x v="0"/>
    <n v="0"/>
    <s v="LINESTRING (10.634418138654572 59.91329696188329, 10.634589619026091 59.91328077141593, 10.634787390302852 59.91326210757773, 10.635923258492902 59.912996005501675, 10.635937824450012 59.9129533250942, 10.635942274755205 59.91291948148195, 10.635942146656541 59.91289321949647, 10.635894124002846 59.912795408664046, 10.633008329576395 59.911989618269125, 10.632986474436997 59.911981384414915, 10.632959303616309 59.91197068110795, 10.632016005549486 59.91159914910643)"/>
    <s v="[291228, 291236, 291244, 1495175, 1495183, 1495191, 1504250, 1380585, 1380593, 1380601, 1380609]"/>
    <s v="[284279, 284286, 284291, 1353521, 1353526, 1353534, 1270269, 1270270, 1270276, 1270282, 1270287]"/>
    <s v="#FIELD!"/>
    <s v="[284278, 284279, 284286, 284291, 1353521, 1353526, 1353534, 1270269, 1270270, 1270276, 1270282]"/>
    <s v="[0.029, 0.027, 0.0, 0.044, 0.037, 0.048, 0.042, 0.01, 0.026, 0.03, 0.043]"/>
    <s v="375.9020293885374"/>
    <s v="[-0.029, -0.027, 0.0, 0.044, 0.037, 0.048, 0.042, 0.01, -0.026, -0.03, -0.043]"/>
  </r>
  <r>
    <x v="400"/>
    <x v="552"/>
    <x v="0"/>
    <n v="0"/>
    <m/>
    <n v="1495055"/>
    <n v="284278"/>
    <s v="#FIELD!"/>
    <n v="1353413"/>
    <s v="0.048"/>
    <s v="5.494899543954385"/>
    <s v="#FIELD!"/>
  </r>
  <r>
    <x v="401"/>
    <x v="550"/>
    <x v="0"/>
    <n v="0"/>
    <s v="LINESTRING (10.639661871626556 59.913108232028, 10.639291129501009 59.91310174859753, 10.637342538347873 59.91292418112044, 10.637323646221178 59.91292540729947, 10.636510098808019 59.91300539198105, 10.636506623448101 59.913007309032054, 10.63631378081136 59.913174683837774, 10.636081715146542 59.913189560061205, 10.63482467315657 59.913337126662476, 10.634616325801876 59.913364989678946, 10.634499947922874 59.91339546240209)"/>
    <s v="[291276, 291284, 291292, 291300, 291308, 291316, 291324, 291332, 291340, 291348]"/>
    <s v="[284318, 284322, 284327, 284334, 284340, 284347, 284357, 284363, 284371, 284378]"/>
    <s v="0.024452218387272122"/>
    <s v="[284317, 284318, 284322, 284327, 284334, 284340, 284347, 284357, 284363, 284371]"/>
    <s v="[0.044, 0.049, 0.025, 0.01, 0.0, 0.025, 0.011, 0.009, 0.026, 0.018]"/>
    <s v="306.5165524607018"/>
    <s v="[0.044, 0.049, -0.025, 0.01, 0.0, -0.025, 0.011, 0.009, 0.026, 0.018]"/>
  </r>
  <r>
    <x v="401"/>
    <x v="553"/>
    <x v="39"/>
    <n v="0"/>
    <s v="LINESTRING (10.639661871626556 59.913108232028, 10.639103800322353 59.91303566146655, 10.637927541165627 59.912883502837644, 10.63753674540694 59.91283833000936, 10.63739931516615 59.912821383032025, 10.637128549747743 59.91278930596273, 10.63674195128948 59.91274082578709, 10.6351971656872 59.912525904633, 10.633639600403981 59.912180277126836, 10.633054074769117 59.91196353853408, 10.633023554853354 59.91195202270427, 10.632205576364909 59.911622733227446)"/>
    <s v="[1552423, 1552431, 1552439, 1552447, 1552455, 1552463, 1552471, 1552479, 1552487, 1552503, 1552511]"/>
    <s v="[1401273, 1401279, 1401286, 1401292, 1401302, 1401311, 1401316, 1401322, 1401330, 1401338, 1270304]"/>
    <s v="0.017606449911816934"/>
    <s v="[284317, 1401273, 1401279, 1401286, 1401292, 1401302, 1401311, 1401316, 1401322, 1401330, 1401338]"/>
    <s v="[0.036, 0.054, 0.06, 0.039, 0.03, 0.033, 0.043, 0.031, 0.091, 0.139, 0.003]"/>
    <s v="455.6453882075458"/>
    <s v="[-0.036, 0.054, 0.06, 0.039, 0.03, 0.033, 0.043, 0.031, -0.091, -0.139, -0.003]"/>
  </r>
  <r>
    <x v="401"/>
    <x v="554"/>
    <x v="0"/>
    <s v="[0, 0, 1, 1, 1, 0]"/>
    <s v="LINESTRING (10.642908615268524 59.913748105018875, 10.64159696547905 59.91347204362321, 10.64112564214557 59.91337523366418, 10.640773241282357 59.9133042123832, 10.640757324099187 59.913301194290504, 10.64026486238084 59.913207340868716, 10.639661871626556 59.913108232028)"/>
    <s v="[753131, 753139, 753147, 1552399, 1552407, 1552415]"/>
    <s v="[734445, 734453, 734459, 1401253, 1401260, 284317]"/>
    <s v="#FIELD!"/>
    <s v="[734438, 734445, 734453, 734459, 1401253, 1401260]"/>
    <s v="[0.03, 0.021, 0.017, 1.191, 0.038, 0.107]"/>
    <s v="195.27930262406585"/>
    <s v="[-0.03, -0.021, -0.017, -1.191, -0.038, 0.107]"/>
  </r>
  <r>
    <x v="402"/>
    <x v="555"/>
    <x v="0"/>
    <n v="0"/>
    <s v="LINESTRING (10.634499947922874 59.91339546240209, 10.634431444390193 59.91346235954799, 10.63429816063416 59.9134899782692, 10.634155396807095 59.91346755448647, 10.634075624901246 59.913404074728675, 10.634188539615005 59.91328572180116)"/>
    <s v="[1495007, 1495015, 1495023, 1495031, 1495039]"/>
    <s v="[1353376, 477993, 1353391, 524238, 1353406]"/>
    <s v="0.02213817129714082"/>
    <s v="[284378, 1353376, 477993, 1353391, 524238]"/>
    <s v="[0.005, 0.03, 0.052, 0.047, 0.003]"/>
    <s v="48.54594184093775"/>
    <s v="[-0.005, 0.03, 0.052, 0.047, 0.003]"/>
  </r>
  <r>
    <x v="403"/>
    <x v="556"/>
    <x v="0"/>
    <n v="0"/>
    <m/>
    <n v="292782"/>
    <n v="285576"/>
    <s v="0.08"/>
    <n v="285567"/>
    <s v="0.08"/>
    <s v="11.58650768291299"/>
    <s v="0.08"/>
  </r>
  <r>
    <x v="403"/>
    <x v="557"/>
    <x v="0"/>
    <n v="0"/>
    <s v="LINESTRING (10.435398567598318 61.242562101310604, 10.435468636155552 61.24252813288443, 10.437517089774051 61.239215501703576, 10.437708589019334 61.23887676403181)"/>
    <s v="[1708971, 1708979, 1708987]"/>
    <s v="[1525421, 1525429, 293304]"/>
    <s v="0.009445083359068473"/>
    <s v="[285567, 1525421, 1525429]"/>
    <s v="[0.069, 0.016, 0.064]"/>
    <s v="434.4648392456789"/>
    <s v="[0.069, 0.016, -0.064]"/>
  </r>
  <r>
    <x v="403"/>
    <x v="558"/>
    <x v="0"/>
    <n v="0"/>
    <s v="LINESTRING (10.435349541014917 61.242775379044694, 10.435176018456739 61.24270657632902, 10.435183873424894 61.242626804113655, 10.435277105386952 61.242575990839065, 10.435398567598318 61.242562101310604)"/>
    <s v="[292822, 292830, 292838, 292774]"/>
    <s v="[285613, 285621, 285566, 285567]"/>
    <s v="0.00784084199497826"/>
    <s v="[285607, 285613, 285621, 285566]"/>
    <s v="[0.07, 0.001, 0.069, 0.093]"/>
    <s v="35.66135019124623"/>
    <s v="[-0.07, 0.001, 0.069, 0.093]"/>
  </r>
  <r>
    <x v="404"/>
    <x v="559"/>
    <x v="0"/>
    <n v="0"/>
    <s v="LINESTRING (10.435577661106024 61.24261400504592, 10.435611668639737 61.24267540454724, 10.435559593524276 61.242738397525336)"/>
    <s v="[292790, 292798]"/>
    <s v="[285583, 285591]"/>
    <s v="#FIELD!"/>
    <s v="[285576, 285583]"/>
    <s v="[0.02, 0.036]"/>
    <s v="14.642223292013286"/>
    <s v="[0.02, -0.036]"/>
  </r>
  <r>
    <x v="404"/>
    <x v="560"/>
    <x v="0"/>
    <n v="0"/>
    <s v="LINESTRING (10.435577661106024 61.24261400504592, 10.435696522463203 61.242623804854716, 10.436889039849387 61.24268170335898, 10.437027028053407 61.24268355857445)"/>
    <s v="[298432, 298440, 298448]"/>
    <s v="[290721, 290729, 285639]"/>
    <s v="0.09508260048935234"/>
    <s v="[285576, 290721, 290729]"/>
    <s v="[0.096, 0.095, 0.095]"/>
    <s v="78.41473041970883"/>
    <s v="[0.096, 0.095, 0.095]"/>
  </r>
  <r>
    <x v="405"/>
    <x v="558"/>
    <x v="0"/>
    <n v="0"/>
    <s v="LINESTRING (10.435559593524276 61.242738397525336, 10.435414061442728 61.242776655687166, 10.435349541014917 61.242775379044694)"/>
    <s v="[292806, 292814]"/>
    <s v="[285598, 285607]"/>
    <s v="#FIELD!"/>
    <s v="[285591, 285598]"/>
    <s v="[0.088, 0.089]"/>
    <s v="12.372935116854624"/>
    <s v="[-0.088, -0.089]"/>
  </r>
  <r>
    <x v="405"/>
    <x v="561"/>
    <x v="0"/>
    <n v="0"/>
    <s v="LINESTRING (10.435559593524276 61.242738397525336, 10.435703542544026 61.24273121037137, 10.436874648785462 61.242770401020294, 10.436983446460768 61.24279090370129)"/>
    <s v="[341491, 341499, 341507]"/>
    <s v="[330191, 330201, 285686]"/>
    <s v="0.09431511598121078"/>
    <s v="[285591, 330191, 330201]"/>
    <s v="[0.093, 0.095, 0.089]"/>
    <s v="77.66993841258376"/>
    <s v="[0.093, 0.095, 0.089]"/>
  </r>
  <r>
    <x v="406"/>
    <x v="562"/>
    <x v="0"/>
    <n v="0"/>
    <s v="LINESTRING (10.436447727084348 61.24569362782713, 10.436379502917752 61.24558865540906, 10.435482967716418 61.2429119490278, 10.43539968187467 61.24282554195514, 10.435349541014917 61.242775379044694)"/>
    <s v="[1708931, 1708939, 1708947, 1708955]"/>
    <s v="[1525393, 1525399, 1525403, 285607]"/>
    <s v="#FIELD!"/>
    <s v="[293331, 1525393, 1525399, 1525403]"/>
    <s v="[0.23, 0.009, 0.038, 0.04]"/>
    <s v="331.9209266136907"/>
    <s v="[-0.23, 0.009, -0.038, -0.04]"/>
  </r>
  <r>
    <x v="407"/>
    <x v="563"/>
    <x v="0"/>
    <n v="0"/>
    <m/>
    <n v="292846"/>
    <n v="285640"/>
    <s v="0.069"/>
    <n v="285639"/>
    <s v="0.069"/>
    <s v="12.8808264436305"/>
    <s v="0.069"/>
  </r>
  <r>
    <x v="407"/>
    <x v="561"/>
    <x v="0"/>
    <n v="0"/>
    <s v="LINESTRING (10.436983446460768 61.24279090370129, 10.436972670628537 61.24273658287069, 10.437027028053407 61.24268355857445)"/>
    <s v="[292902, 292910]"/>
    <s v="[285694, 285639]"/>
    <s v="0.021565540485785413"/>
    <s v="[285686, 285694]"/>
    <s v="[0.006, 0.047]"/>
    <s v="12.675182420355078"/>
    <s v="[-0.006, 0.047]"/>
  </r>
  <r>
    <x v="408"/>
    <x v="564"/>
    <x v="0"/>
    <n v="0"/>
    <s v="LINESTRING (10.437246587344037 61.24264959287089, 10.43736276005407 61.24268498434722, 10.437412928400716 61.242737935171256, 10.437383441753557 61.24281248172247, 10.437231023307584 61.24286000618276)"/>
    <s v="[292854, 292862, 292870, 292878]"/>
    <s v="[285647, 285656, 285664, 285672]"/>
    <s v="#FIELD!"/>
    <s v="[285640, 285647, 285656, 285664]"/>
    <s v="[0.058, 0.027, 0.017, 0.062]"/>
    <s v="32.30977949360268"/>
    <s v="[0.058, 0.027, -0.017, -0.062]"/>
  </r>
  <r>
    <x v="408"/>
    <x v="565"/>
    <x v="0"/>
    <n v="0"/>
    <s v="LINESTRING (10.437358776476566 61.23996217984147, 10.43732564698542 61.24014089445615, 10.43718670220851 61.242594156106215, 10.437246587344037 61.24264959287089)"/>
    <s v="[1708907, 1708915, 1708923]"/>
    <s v="[1525376, 1525383, 285640]"/>
    <s v="0.0022813647552504452"/>
    <s v="[293267, 1525376, 1525383]"/>
    <s v="[0.024, 0.0, 0.031]"/>
    <s v="305.07214439506356"/>
    <s v="[0.024, 0.0, 0.031]"/>
  </r>
  <r>
    <x v="409"/>
    <x v="561"/>
    <x v="0"/>
    <n v="0"/>
    <s v="LINESTRING (10.437231023307584 61.24286000618276, 10.43718581672524 61.24286247507486, 10.436983446460768 61.24279090370129)"/>
    <s v="[292886, 292894]"/>
    <s v="[285680, 285686]"/>
    <s v="#FIELD!"/>
    <s v="[285672, 285680]"/>
    <s v="[0.065, 0.06]"/>
    <s v="16.540163847150392"/>
    <s v="[-0.065, -0.06]"/>
  </r>
  <r>
    <x v="409"/>
    <x v="566"/>
    <x v="0"/>
    <n v="0"/>
    <s v="LINESTRING (10.437231023307584 61.24286000618276, 10.437175398989618 61.24290466040427, 10.437086344306394 61.24298031932234, 10.436800109389559 61.24631758419828, 10.436803149078804 61.24640011580953)"/>
    <s v="[1708883, 1708891, 1708899, 1708875]"/>
    <s v="[1525362, 1525368, 1525359, 293294]"/>
    <s v="#FIELD!"/>
    <s v="[285672, 1525362, 1525368, 1525359]"/>
    <s v="[0.037, 0.04, 0.029, 0.015]"/>
    <s v="404.2798495033679"/>
    <s v="[-0.037, -0.04, -0.029, -0.015]"/>
  </r>
  <r>
    <x v="410"/>
    <x v="110"/>
    <x v="0"/>
    <n v="0"/>
    <s v="LINESTRING (10.187146791386235 61.45172364438519, 10.187032318738302 61.45180773879735, 10.18685095979184 61.45181391076482)"/>
    <s v="[292934, 292942]"/>
    <s v="[285718, 285723]"/>
    <s v="#FIELD!"/>
    <s v="[285710, 285718]"/>
    <s v="[0.001, 0.005]"/>
    <s v="21.46804391641958"/>
    <s v="[-0.001, -0.005]"/>
  </r>
  <r>
    <x v="411"/>
    <x v="567"/>
    <x v="0"/>
    <n v="0"/>
    <s v="LINESTRING (10.30469283273347 61.30519091248029, 10.30458057585048 61.3053197717005, 10.30364570140278 61.30765319951778, 10.303658841077883 61.30768783130723)"/>
    <s v="[294367, 294375, 294383]"/>
    <s v="[286998, 287003, 287011]"/>
    <s v="#FIELD!"/>
    <s v="[286997, 286998, 287003]"/>
    <s v="[0.089, 0.042, 0.015]"/>
    <s v="291.33451575877604"/>
    <s v="[-0.089, -0.042, 0.015]"/>
  </r>
  <r>
    <x v="411"/>
    <x v="247"/>
    <x v="0"/>
    <n v="0"/>
    <s v="LINESTRING (10.30469283273347 61.30519091248029, 10.302382384255663 61.31048331040288, 10.302116052316638 61.31138757240672)"/>
    <s v="[303599, 303600]"/>
    <s v="[295385, 287096]"/>
    <s v="#FIELD!"/>
    <s v="[286997, 295385]"/>
    <s v="[0.024, 0.105]"/>
    <s v="713.2319597277582"/>
    <s v="[-0.024, -0.105]"/>
  </r>
  <r>
    <x v="411"/>
    <x v="568"/>
    <x v="0"/>
    <n v="0"/>
    <s v="LINESTRING (10.305613385302312 61.30446534542221, 10.305564968624077 61.30450628087348, 10.30469283273347 61.30519091248029)"/>
    <s v="[303541, 303581]"/>
    <s v="[295334, 286997]"/>
    <s v="#FIELD!"/>
    <s v="[293678, 295334]"/>
    <s v="[0.175, 0.174]"/>
    <s v="94.75194939889579"/>
    <s v="[-0.175, -0.174]"/>
  </r>
  <r>
    <x v="412"/>
    <x v="569"/>
    <x v="0"/>
    <n v="0"/>
    <s v="LINESTRING (10.303658841077883 61.30768783130723, 10.303800088207216 61.307740033144725, 10.303749432693115 61.30790331425981, 10.303652557275813 61.307928197947845, 10.303544624249898 61.30793201263448, 10.303447377686203 61.30791569166982)"/>
    <s v="[1708547, 1708555, 1708563, 1708571, 1708579]"/>
    <s v="[1525126, 295606, 1525139, 295526, 295481]"/>
    <s v="0.09870549138028904"/>
    <s v="[287011, 1525126, 295606, 1525139, 295526]"/>
    <s v="[0.102, 0.02, 0.123, 0.136, 0.999]"/>
    <s v="46.43160130776053"/>
    <s v="[0.102, -0.02, -0.123, -0.136, 0.999]"/>
  </r>
  <r>
    <x v="412"/>
    <x v="570"/>
    <x v="0"/>
    <n v="0"/>
    <m/>
    <n v="1708539"/>
    <n v="287011"/>
    <s v="0.12"/>
    <n v="287148"/>
    <s v="0.12"/>
    <s v="16.554366521190246"/>
    <s v="0.12"/>
  </r>
  <r>
    <x v="413"/>
    <x v="569"/>
    <x v="0"/>
    <n v="0"/>
    <s v="LINESTRING (10.303447377686203 61.30791569166982, 10.303395738123303 61.30793701627196, 10.303296523936412 61.307981245299985, 10.302234624773362 61.311184374644704, 10.302116052316638 61.31138757240672)"/>
    <s v="[303711, 303712, 303713, 294487]"/>
    <s v="[295482, 295483, 287095, 287096]"/>
    <s v="#FIELD!"/>
    <s v="[295481, 295482, 295483, 287095]"/>
    <s v="[0.089, 0.089, 0.043, 0.017]"/>
    <s v="400.0979669466355"/>
    <s v="[-0.089, -0.089, -0.043, -0.017]"/>
  </r>
  <r>
    <x v="414"/>
    <x v="571"/>
    <x v="0"/>
    <n v="1"/>
    <m/>
    <n v="294495"/>
    <n v="287104"/>
    <s v="0.127"/>
    <n v="287103"/>
    <s v="0.127"/>
    <s v="29.47145228867946"/>
    <s v="0.127"/>
  </r>
  <r>
    <x v="414"/>
    <x v="572"/>
    <x v="0"/>
    <s v="[0, 0, 1]"/>
    <s v="LINESTRING (10.302067937238748 61.30770869182039, 10.30213899356715 61.307708816482545, 10.302251599453005 61.307708762430494, 10.302433848678453 61.30770203845285)"/>
    <s v="[294503, 294511, 294519]"/>
    <s v="[287112, 287120, 287103]"/>
    <s v="0.06119151156801738"/>
    <s v="[287111, 287112, 287120]"/>
    <s v="[0.061, 0.06, 0.062]"/>
    <s v="19.642830195021034"/>
    <s v="[0.061, 0.06, 0.062]"/>
  </r>
  <r>
    <x v="414"/>
    <x v="573"/>
    <x v="0"/>
    <s v="[0, 0, 1]"/>
    <s v="LINESTRING (10.30209926674945 61.307639446142595, 10.302158422935669 61.30764745959248, 10.30226997660989 61.30766353094958, 10.302433848678453 61.30770203845285)"/>
    <s v="[294972, 294980, 294988]"/>
    <s v="[287543, 287550, 287103]"/>
    <s v="0.053456472143952834"/>
    <s v="[287542, 287543, 287550]"/>
    <s v="[0.057, 0.057, 0.05]"/>
    <s v="19.313568012244446"/>
    <s v="[0.057, 0.057, 0.05]"/>
  </r>
  <r>
    <x v="415"/>
    <x v="570"/>
    <x v="0"/>
    <s v="[1, 0, 0]"/>
    <s v="LINESTRING (10.30297387020707 61.30775169375989, 10.30316680787307 61.3077435404592, 10.303290390506607 61.30773514194759, 10.303376912731386 61.30772941631647)"/>
    <s v="[294527, 294535, 294543]"/>
    <s v="[287133, 287139, 287148]"/>
    <s v="0.13292455383324758"/>
    <s v="[287104, 287133, 287139]"/>
    <s v="[0.136, 0.126, 0.136]"/>
    <s v="21.753816162424606"/>
    <s v="[0.136, 0.126, 0.136]"/>
  </r>
  <r>
    <x v="415"/>
    <x v="574"/>
    <x v="0"/>
    <s v="[1, 0, 0]"/>
    <s v="LINESTRING (10.30297387020707 61.30775169375989, 10.303155033368537 61.30779214868443, 10.303256341174107 61.307812567890814, 10.303322355436949 61.3078263676635)"/>
    <s v="[294551, 294559, 294568]"/>
    <s v="[287154, 287162, 287169]"/>
    <s v="0.1187309233604384"/>
    <s v="[287104, 287154, 287162]"/>
    <s v="[0.123, 0.118, 0.108]"/>
    <s v="20.453700410989356"/>
    <s v="[0.123, 0.118, 0.108]"/>
  </r>
  <r>
    <x v="416"/>
    <x v="575"/>
    <x v="0"/>
    <n v="0"/>
    <m/>
    <n v="1708499"/>
    <n v="287246"/>
    <s v="#FIELD!"/>
    <n v="287111"/>
    <s v="0.056"/>
    <s v="16.854873802583803"/>
    <s v="#FIELD!"/>
  </r>
  <r>
    <x v="416"/>
    <x v="573"/>
    <x v="0"/>
    <n v="0"/>
    <s v="LINESTRING (10.30209926674945 61.307639446142595, 10.302093648202627 61.30767567635408, 10.302067937238748 61.30770869182039)"/>
    <s v="[1708483, 1708491]"/>
    <s v="[1525080, 287111]"/>
    <s v="#FIELD!"/>
    <s v="[287542, 1525080]"/>
    <s v="[0.018, 0.025]"/>
    <s v="7.9800250685602965"/>
    <s v="[-0.018, -0.025]"/>
  </r>
  <r>
    <x v="417"/>
    <x v="574"/>
    <x v="0"/>
    <n v="0"/>
    <s v="LINESTRING (10.303322355436949 61.3078263676635, 10.30333018859898 61.30777285612561, 10.303376912731386 61.30772941631647)"/>
    <s v="[1708595, 1708603]"/>
    <s v="[1525166, 287148]"/>
    <s v="0.041321870844516606"/>
    <s v="[287169, 1525166]"/>
    <s v="[0.017, 0.068]"/>
    <s v="11.431852086270384"/>
    <s v="[0.017, 0.068]"/>
  </r>
  <r>
    <x v="418"/>
    <x v="569"/>
    <x v="0"/>
    <n v="0"/>
    <m/>
    <n v="1708587"/>
    <n v="287169"/>
    <s v="#FIELD!"/>
    <n v="295481"/>
    <s v="0.572"/>
    <s v="12.298892170100615"/>
    <s v="#FIELD!"/>
  </r>
  <r>
    <x v="419"/>
    <x v="576"/>
    <x v="0"/>
    <n v="0"/>
    <s v="LINESTRING (10.30179863029233 61.307772116398695, 10.301599054547244 61.307697294466664, 10.301645639292321 61.30756373226115, 10.30173553179538 61.307533031755774, 10.301819547783746 61.30752281327174, 10.301958145525932 61.30753652166615)"/>
    <s v="[1708507, 1708515, 1708523, 1708531, 1708467]"/>
    <s v="[1525096, 287216, 1525107, 287195, 287260]"/>
    <s v="0.015287540646934524"/>
    <s v="[287246, 1525096, 287216, 1525107, 287195]"/>
    <s v="[0.043, 0.018, 0.055, 0.06, 0.059]"/>
    <s v="47.87396660342751"/>
    <s v="[-0.043, 0.018, 0.055, 0.06, 0.059]"/>
  </r>
  <r>
    <x v="419"/>
    <x v="248"/>
    <x v="0"/>
    <n v="0"/>
    <s v="LINESTRING (10.302260596314772 61.31047467331155, 10.302242865950427 61.31036586314945, 10.301860911307116 61.30785198201117, 10.30182478484895 61.30780351211553, 10.30179863029233 61.307772116398695)"/>
    <s v="[294657, 294633, 294641, 294649]"/>
    <s v="[287231, 287232, 287239, 287246]"/>
    <s v="0.0024183020829420115"/>
    <s v="[287253, 287231, 287232, 287239]"/>
    <s v="[0.001, 0.003, 0.015, 0.01]"/>
    <s v="303.7014220561609"/>
    <s v="[0.001, 0.003, -0.015, -0.01]"/>
  </r>
  <r>
    <x v="420"/>
    <x v="577"/>
    <x v="0"/>
    <n v="0"/>
    <s v="LINESTRING (10.3055482591774 61.30450071948942, 10.304593969021598 61.305163842484305, 10.304039313036167 61.30565723524449, 10.302260596314772 61.31047467331155)"/>
    <s v="[303653, 303666, 303667]"/>
    <s v="[295437, 295445, 287253]"/>
    <s v="#FIELD!"/>
    <s v="[287275, 295437, 295445]"/>
    <s v="[0.104, 0.072, 0.043]"/>
    <s v="703.8944871705569"/>
    <s v="[-0.104, -0.072, -0.043]"/>
  </r>
  <r>
    <x v="421"/>
    <x v="573"/>
    <x v="0"/>
    <n v="0"/>
    <m/>
    <n v="1708475"/>
    <n v="287542"/>
    <s v="0.026"/>
    <n v="287260"/>
    <s v="0.026"/>
    <s v="14.221751897553155"/>
    <s v="0.026"/>
  </r>
  <r>
    <x v="421"/>
    <x v="577"/>
    <x v="0"/>
    <n v="0"/>
    <s v="LINESTRING (10.301958145525932 61.30753652166615, 10.301996780669173 61.3075096203371, 10.305265636330045 61.304633174955036, 10.3055482591774 61.30450071948942)"/>
    <s v="[294665, 294673, 294682]"/>
    <s v="[287261, 287268, 287275]"/>
    <s v="0.09226994767583944"/>
    <s v="[287260, 287261, 287268]"/>
    <s v="[0.045, 0.083, 0.261]"/>
    <s v="391.2944384240211"/>
    <s v="[0.045, 0.083, 0.261]"/>
  </r>
  <r>
    <x v="422"/>
    <x v="568"/>
    <x v="0"/>
    <n v="0"/>
    <m/>
    <n v="303652"/>
    <n v="287275"/>
    <s v="#FIELD!"/>
    <n v="293678"/>
    <s v="0.575"/>
    <s v="5.266826084365178"/>
    <s v="#FIELD!"/>
  </r>
  <r>
    <x v="423"/>
    <x v="416"/>
    <x v="0"/>
    <n v="0"/>
    <s v="LINESTRING (10.29777494601164 60.065610018991535, 10.297679655925995 60.06573286032466, 10.297736770192344 60.0659309644081)"/>
    <s v="[295212, 295220]"/>
    <s v="[287774, 287783]"/>
    <s v="0.07411590425738275"/>
    <s v="[287773, 287774]"/>
    <s v="[0.083, 0.068]"/>
    <s v="38.626778781301454"/>
    <s v="[0.083, 0.068]"/>
  </r>
  <r>
    <x v="423"/>
    <x v="416"/>
    <x v="0"/>
    <n v="0"/>
    <s v="LINESTRING (10.29777494601164 60.065610018991535, 10.297802343652233 60.065738275018376, 10.297736770192344 60.0659309644081)"/>
    <s v="[295228, 295236]"/>
    <s v="[287793, 287783]"/>
    <s v="0.07695939676236029"/>
    <s v="[287773, 287793]"/>
    <s v="[0.068, 0.083]"/>
    <s v="37.1009078006483"/>
    <s v="[0.068, 0.083]"/>
  </r>
  <r>
    <x v="424"/>
    <x v="578"/>
    <x v="40"/>
    <s v="[0, 0, 0, 0, 0, 1, 0, 1, 0, 0, 0, 0, 0, 0, 0, 0, 0, 0, 0, 0, 1, 0, 0, 0, 0, 0, 0, 0, 0, 0, 0, 1, 0, 0, 0, 0, 0, 0, 0, 0, 0, 0, 0]"/>
    <s v="LINESTRING (10.509766629386743 60.27531943633586, 10.518684159121673 60.278470572238106, 10.51887884648696 60.27850307016622, 10.521160797903699 60.278906781703476, 10.521241894766604 60.27892313647304, 10.522063668192606 60.279110032035035, 10.52218217097882 60.279139933829924, 10.528083022599349 60.28168172748301, 10.528146858762703 60.28171418631945, 10.528303754102685 60.28179187006017, 10.535127802538886 60.28345032357641, 10.535134915461441 60.283451021719394, 10.538582556323734 60.28395658920929, 10.54502880838588 60.287036290713424, 10.549441885304772 60.28856951149538, 10.549521574497817 60.288595539918525, 10.5538348732785 60.28981790493006, 10.554233729244304 60.289912246535195, 10.554297936919527 60.2899273574112, 10.554807994279212 60.2900458562963, 10.557889032667763 60.29098257649064, 10.558419754011284 60.291174899024114, 10.564072423693252 60.293224290969775, 10.567024581968248 60.293903235151845, 10.56714161476546 60.293916328217485, 10.56721531506229 60.29392406113452, 10.567259066514067 60.29392820319667, 10.56789593552021 60.29397765191524, 10.568218087625915 60.293991132722354, 10.571461304883917 60.293887455918394, 10.572018650897173 60.293858386222446, 10.58921438202719 60.29662179555343, 10.589701340615171 60.29658592179664, 10.59411798190767 60.295138348509106, 10.594288367464245 60.29510425281848, 10.594405122066343 60.295081477469886, 10.603139579685976 60.293594654571734, 10.60409573384761 60.29370919485353, 10.607156940330176 60.294582681741865, 10.607490212578822 60.29470518809258, 10.607545335534029 60.29472571763417, 10.60801613805996 60.294906425263534, 10.608059950187668 60.29492943060778, 10.60865125946395 60.29536421151498)"/>
    <s v="[302355, 302363, 302371, 302379, 302387, 302395, 302403, 302411, 302419, 302427, 302435, 302443, 302451, 302459, 302467, 302475, 302483, 302491, 302499, 302507, 302515, 302523, 302531, 302539, 302547, 302555, 302563, 302571, 302579, 302587, 302595, 302603, 302611, 302619, 302627, 302635, 302643, 302651, 302659, 302667, 302675, 302683, 302691]"/>
    <s v="[294256, 294266, 294275, 294286, 294293, 294302, 294310, 294317, 294323, 294333, 294339, 294344, 294352, 294359, 294367, 294375, 294385, 294395, 294401, 294410, 294419, 294427, 288806, 294443, 294455, 294462, 294473, 294480, 294488, 294498, 294508, 294516, 294527, 294535, 288823, 294549, 294558, 294565, 294571, 294579, 294588, 294593, 287991]"/>
    <s v="#FIELD!"/>
    <s v="[294255, 294256, 294266, 294275, 294286, 294293, 294302, 294310, 294317, 294323, 294333, 294339, 294344, 294352, 294359, 294367, 294375, 294385, 294395, 294401, 294410, 294419, 294427, 288806, 294443, 294455, 294462, 294473, 294480, 294488, 294498, 294508, 294516, 294527, 294535, 288823, 294549, 294558, 294565, 294571, 294579, 294588, 294593]"/>
    <s v="[0.015, 0.0, 0.021, 0.034, 0.04, 0.031, 0.011, 0.008, 0.004, 0.028, 0.0, 0.026, 0.057, 0.031, 0.02, 0.031, 0.046, 0.053, 0.051, 0.053, 0.025, 0.033, 0.015, 0.002, 0.022, 0.011, 0.012, 0.018, 0.001, 0.039, 0.062, 0.033, 0.025, 0.144, 0.166, 0.041, 0.087, 0.087, 0.065, 0.05, 0.044, 0.038, 0.037]"/>
    <s v="6468.05261028935"/>
    <s v="[-0.015, -0.0, -0.021, -0.034, -0.04, -0.031, -0.011, 0.008, 0.004, 0.028, 0.0, 0.026, -0.057, -0.031, -0.02, 0.031, 0.046, 0.053, 0.051, 0.053, -0.025, -0.033, -0.015, 0.002, -0.022, 0.011, -0.012, -0.018, 0.001, -0.039, -0.062, -0.033, -0.025, -0.144, -0.166, -0.041, -0.087, -0.087, -0.065, -0.05, -0.044, -0.038, -0.037]"/>
  </r>
  <r>
    <x v="425"/>
    <x v="579"/>
    <x v="0"/>
    <n v="0"/>
    <s v="LINESTRING (17.385533884957205 68.42121156862116, 17.386495245069206 68.4206726657381, 17.386618113053782 68.42059020466492, 17.38674175627371 68.4205077055051, 17.38698847111125 68.42034424968145)"/>
    <s v="[1021506, 1021514, 1021522, 1021530]"/>
    <s v="[490296, 976868, 976874, 488387]"/>
    <s v="#FIELD!"/>
    <s v="[290450, 490296, 976868, 976874]"/>
    <s v="[0.169, 0.002, 0.003, 0.005]"/>
    <s v="113.81310694845422"/>
    <s v="[-0.169, -0.002, -0.003, -0.005]"/>
  </r>
  <r>
    <x v="425"/>
    <x v="580"/>
    <x v="0"/>
    <n v="0"/>
    <s v="LINESTRING (17.37898049978173 68.42190762382296, 17.381424699556863 68.4218683594591, 17.38153454755704 68.42186640975024, 17.381655451170552 68.42186387179208, 17.381892895379803 68.42185927056393, 17.3834066293356 68.4217403905033, 17.384221874161756 68.42159987192254, 17.385533884957205 68.42121156862116)"/>
    <s v="[488165, 488173, 488174, 488181, 488205, 488219, 298135]"/>
    <s v="[488309, 488318, 488319, 488329, 488358, 290458, 290450]"/>
    <s v="0.0038956950005257064"/>
    <s v="[488308, 488309, 488318, 488319, 488329, 488358, 290458]"/>
    <s v="[0.076, 0.063, 0.062, 0.046, 0.032, 0.283, 0.02]"/>
    <s v="289.597451912606"/>
    <s v="[-0.076, -0.063, -0.062, -0.046, -0.032, 0.283, 0.02]"/>
  </r>
  <r>
    <x v="425"/>
    <x v="580"/>
    <x v="0"/>
    <n v="0"/>
    <s v="LINESTRING (17.37898049978173 68.42190762382296, 17.38143649852885 68.42194910577719, 17.381557099039114 68.42194785556714, 17.381658220561867 68.42194684669738, 17.381905624712868 68.4219398061825, 17.383477525465032 68.42180506497785, 17.38370764126945 68.42176602260248, 17.384296485721045 68.4216460773726, 17.385533884957205 68.42121156862116)"/>
    <s v="[490517, 490518, 490519, 490526, 490534, 490557, 490565, 298127]"/>
    <s v="[490297, 490966, 490967, 490974, 490983, 491010, 290449, 290450]"/>
    <s v="0.004071717186208704"/>
    <s v="[488308, 490297, 490966, 490967, 490974, 490983, 491010, 290449]"/>
    <s v="[0.052, 0.035, 0.035, 0.029, 0.026, 0.018, 0.256, 0.027]"/>
    <s v="295.4425340930604"/>
    <s v="[-0.052, -0.035, -0.035, -0.029, -0.026, -0.018, 0.256, 0.027]"/>
  </r>
  <r>
    <x v="426"/>
    <x v="581"/>
    <x v="0"/>
    <n v="0"/>
    <s v="LINESTRING (17.35463361570463 68.42429080025858, 17.35662352369965 68.42395494220945, 17.356833801464404 68.42391536449172, 17.356948122274368 68.42389395642284, 17.35855937855347 68.42361027305739, 17.359961948384505 68.42348053917472)"/>
    <s v="[298143, 298151, 298159, 298167, 298175]"/>
    <s v="[290467, 290474, 290480, 290486, 290493]"/>
    <s v="#FIELD!"/>
    <s v="[290466, 290467, 290474, 290480, 290486]"/>
    <s v="[0.037, 0.046, 0.033, 0.046, 0.049]"/>
    <s v="237.6994284615538"/>
    <s v="[-0.037, -0.046, -0.033, -0.046, -0.049]"/>
  </r>
  <r>
    <x v="426"/>
    <x v="581"/>
    <x v="0"/>
    <n v="0"/>
    <s v="LINESTRING (17.35463361570463 68.42429080025858, 17.356725909061982 68.42401829514274, 17.356940529190123 68.42398084588037, 17.357040913134867 68.42396257769919, 17.35863373898288 68.423675366125, 17.358844212548373 68.4236410061549, 17.359961948384505 68.42348053917472)"/>
    <s v="[298191, 298199, 298207, 298215, 298223, 298231]"/>
    <s v="[290507, 290512, 290518, 290527, 290531, 290493]"/>
    <s v="#FIELD!"/>
    <s v="[290466, 290507, 290512, 290518, 290527, 290531]"/>
    <s v="[0.045, 0.038, 0.038, 0.044, 0.033, 0.042]"/>
    <s v="237.28369812184292"/>
    <s v="[-0.045, -0.038, -0.038, -0.044, -0.033, -0.042]"/>
  </r>
  <r>
    <x v="426"/>
    <x v="582"/>
    <x v="41"/>
    <n v="0"/>
    <s v="LINESTRING (17.084676333621587 68.38258411562806, 17.35463361570463 68.42429080025858)"/>
    <m/>
    <m/>
    <s v="0.0"/>
    <m/>
    <n v="0"/>
    <s v="16566.766998893174"/>
    <n v="0"/>
  </r>
  <r>
    <x v="427"/>
    <x v="580"/>
    <x v="0"/>
    <n v="0"/>
    <s v="LINESTRING (17.359961948384505 68.42348053917472, 17.36013291387387 68.42346742986305, 17.360462705661636 68.42344475636874, 17.369811793252605 68.42259031889904, 17.37110253271968 68.42254660478729, 17.37119868885531 68.42254238799754, 17.37132547600882 68.42253499077297, 17.37898049978173 68.42190762382296)"/>
    <s v="[1021450, 1021458, 1021466, 1021474, 1021482, 1021490, 1021498]"/>
    <s v="[976823, 976830, 976836, 290578, 976850, 290586, 488308]"/>
    <s v="#FIELD!"/>
    <s v="[290493, 976823, 976830, 976836, 290578, 976850, 290586]"/>
    <s v="[1.134, 0.012, 0.004, 0.053, 0.016, 0.0, 0.003]"/>
    <s v="804.2599568069694"/>
    <s v="[-1.134, 0.012, -0.004, -0.053, 0.016, -0.0, 0.003]"/>
  </r>
  <r>
    <x v="428"/>
    <x v="583"/>
    <x v="0"/>
    <n v="0"/>
    <s v="LINESTRING (5.279778671331014 59.365199483722094, 5.279821706752098 59.3652143242895, 5.279896204894233 59.36526819407586, 5.279910958281158 59.36532036332843, 5.2798784415733335 59.365377449901864, 5.2797713276243465 59.36542990981138)"/>
    <s v="[298259, 298267, 298275, 298283, 298291]"/>
    <s v="[290567, 290574, 290582, 290589, 290597]"/>
    <s v="0.0017019651152654634"/>
    <s v="[290566, 290567, 290574, 290582, 290589]"/>
    <s v="[0.028, 0.022, 0.002, 0.011, 0.028]"/>
    <s v="31.33914058369507"/>
    <s v="[-0.028, -0.022, -0.002, 0.011, 0.028]"/>
  </r>
  <r>
    <x v="428"/>
    <x v="584"/>
    <x v="0"/>
    <n v="0"/>
    <s v="LINESTRING (5.27955542238675 59.36519409986855, 5.279671359860343 59.36518354213235, 5.279778671331014 59.365199483722094)"/>
    <s v="[298355, 298363]"/>
    <s v="[290659, 290566]"/>
    <s v="#FIELD!"/>
    <s v="[290652, 290659]"/>
    <s v="[0.035, 0.037]"/>
    <s v="13.095840199262977"/>
    <s v="[-0.035, -0.037]"/>
  </r>
  <r>
    <x v="428"/>
    <x v="585"/>
    <x v="0"/>
    <s v="[0, 0, 1, 0, 0]"/>
    <s v="LINESTRING (5.279235782093868 59.36377265651739, 5.279385842485905 59.363916442927135, 5.27952083432974 59.364202307328156, 5.279536507718587 59.364241224886946, 5.279760617563184 59.36513579800248, 5.279778671331014 59.365199483722094)"/>
    <s v="[298443, 298451, 298459, 298467, 298475]"/>
    <s v="[290733, 290739, 290749, 290757, 290566]"/>
    <s v="0.0023601603040623964"/>
    <s v="[290697, 290733, 290739, 290749, 290757]"/>
    <s v="[0.002, 0.007, 0.006, 0.002, 0.005]"/>
    <s v="163.57140089378686"/>
    <s v="[-0.002, 0.007, 0.006, 0.002, -0.005]"/>
  </r>
  <r>
    <x v="429"/>
    <x v="586"/>
    <x v="0"/>
    <n v="0"/>
    <s v="LINESTRING (5.2797713276243465 59.36542990981138, 5.2796448273464645 59.36544360686181, 5.279554924193458 59.36543241147271)"/>
    <s v="[298299, 298307]"/>
    <s v="[290606, 290615]"/>
    <s v="0.03558288117772408"/>
    <s v="[290597, 290606]"/>
    <s v="[0.036, 0.035]"/>
    <s v="12.657752541468994"/>
    <s v="[0.036, 0.035]"/>
  </r>
  <r>
    <x v="429"/>
    <x v="587"/>
    <x v="0"/>
    <n v="0"/>
    <s v="LINESTRING (5.2797713276243465 59.36542990981138, 5.279754061298541 59.36548283525008, 5.279202289051862 59.36716398115841, 5.279171881783983 59.3673343691329)"/>
    <s v="[298539, 298548, 298556]"/>
    <s v="[290832, 290840, 290791]"/>
    <s v="0.004729733172788527"/>
    <s v="[290597, 290832, 290840]"/>
    <s v="[0.008, 0.005, 0.001]"/>
    <s v="216.46269167130384"/>
    <s v="[0.008, 0.005, 0.001]"/>
  </r>
  <r>
    <x v="430"/>
    <x v="588"/>
    <x v="0"/>
    <n v="0"/>
    <s v="LINESTRING (17.424184534622103 68.43148776081506, 17.42407471076239 68.43185373423518, 17.424060414777358 68.43193942550035, 17.424096559749085 68.4324311023216, 17.424119260076083 68.43250601752202, 17.424142924002957 68.43257922254082, 17.424313652845456 68.43314981197105)"/>
    <s v="[298295, 298303, 298311, 298319, 298327, 298335]"/>
    <s v="[290601, 290610, 290618, 290624, 290633, 290641]"/>
    <s v="0.06358058778913821"/>
    <s v="[290600, 290601, 290610, 290618, 290624, 290633]"/>
    <s v="[0.051, 0.06, 0.063, 0.073, 0.067, 0.071]"/>
    <s v="186.23925761945338"/>
    <s v="[0.051, 0.06, 0.063, 0.073, 0.067, 0.071]"/>
  </r>
  <r>
    <x v="430"/>
    <x v="588"/>
    <x v="0"/>
    <n v="0"/>
    <s v="LINESTRING (17.424184534622103 68.43148776081506, 17.42387070517285 68.43193472441125, 17.423900056920573 68.43244068864387, 17.42393125253035 68.43251544491541, 17.42396453116619 68.43258846581544, 17.424313652845456 68.43314981197105)"/>
    <s v="[298343, 298351, 298359, 298367, 298375]"/>
    <s v="[290647, 290655, 290663, 290670, 290641]"/>
    <s v="0.06285626970534244"/>
    <s v="[290600, 290647, 290655, 290663, 290670]"/>
    <s v="[0.039, 0.061, 0.076, 0.07, 0.081]"/>
    <s v="189.11566916254873"/>
    <s v="[0.039, 0.061, 0.076, 0.07, 0.081]"/>
  </r>
  <r>
    <x v="430"/>
    <x v="589"/>
    <x v="0"/>
    <n v="0"/>
    <s v="LINESTRING (17.427231179586872 68.41129118324508, 17.42737368266096 68.41155543143405, 17.429104146455973 68.4126965365175, 17.430257225662654 68.41315849672868, 17.428822050988785 68.42883445236461, 17.427553980955505 68.4292797826127, 17.42590667876418 68.43006428143012, 17.42493361023739 68.43072841586897, 17.424184534622103 68.43148776081506)"/>
    <s v="[429668, 429676, 429684, 429692, 429700, 429708, 429716, 429724]"/>
    <s v="[427857, 427867, 427876, 427883, 427889, 427896, 427904, 290600]"/>
    <s v="0.007786186486914221"/>
    <s v="[427856, 427857, 427867, 427876, 427883, 427889, 427896, 427904]"/>
    <s v="[0.04, 0.082, 0.121, 0.018, 0.199, 0.116, 0.045, 0.072]"/>
    <s v="2601.9417935322335"/>
    <s v="[0.04, 0.082, 0.121, 0.018, -0.199, -0.116, -0.045, -0.072]"/>
  </r>
  <r>
    <x v="431"/>
    <x v="584"/>
    <x v="0"/>
    <n v="0"/>
    <s v="LINESTRING (5.279554924193458 59.36543241147271, 5.279478143293857 59.365405590504245, 5.279429673338796 59.3653698123079, 5.279401466230506 59.365314785851126, 5.279416260474284 59.36527281597019, 5.27955542238675 59.36519409986855)"/>
    <s v="[298315, 298323, 298331, 298339, 298347]"/>
    <s v="[290621, 290629, 290638, 290645, 290652]"/>
    <s v="#FIELD!"/>
    <s v="[290615, 290621, 290629, 290638, 290645]"/>
    <s v="[0.027, 0.021, 0.01, 0.009, 0.025]"/>
    <s v="33.42156084632916"/>
    <s v="[0.027, 0.021, 0.01, -0.009, -0.025]"/>
  </r>
  <r>
    <x v="431"/>
    <x v="587"/>
    <x v="0"/>
    <n v="0"/>
    <s v="LINESTRING (5.279554924193458 59.36543241147271, 5.279555736999566 59.36548254619426, 5.279064741061636 59.367164620011685, 5.279171881783983 59.3673343691329)"/>
    <s v="[298483, 298491, 298499]"/>
    <s v="[290774, 290782, 290791]"/>
    <s v="0.002715086865164483"/>
    <s v="[290615, 290774, 290782]"/>
    <s v="[0.003, 0.004, 0.008]"/>
    <s v="216.69106625208786"/>
    <s v="[-0.003, 0.004, -0.008]"/>
  </r>
  <r>
    <x v="432"/>
    <x v="590"/>
    <x v="0"/>
    <n v="0"/>
    <s v="LINESTRING (17.424313652845456 68.43314981197105, 17.424373697062027 68.43329603775763, 17.424407196526854 68.43342420503467, 17.424448792175422 68.43359656319939)"/>
    <s v="[429732, 429740, 429748]"/>
    <s v="[427917, 427926, 427933]"/>
    <s v="0.09988237929453582"/>
    <s v="[290641, 427917, 427926]"/>
    <s v="[0.181, 0.063, 0.058]"/>
    <s v="50.144013969955786"/>
    <s v="[0.181, 0.063, 0.058]"/>
  </r>
  <r>
    <x v="433"/>
    <x v="585"/>
    <x v="0"/>
    <s v="[0, 0, 1, 0, 0]"/>
    <s v="LINESTRING (5.279235782093868 59.36377265651739, 5.279262545661757 59.36394090692717, 5.279381484683936 59.36421738839998, 5.2793974228074045 59.36425520451509, 5.279563115209382 59.36513898912025, 5.27955542238675 59.36519409986855)"/>
    <s v="[298403, 298411, 298419, 298427, 298435]"/>
    <s v="[290698, 290704, 290709, 290714, 290652]"/>
    <s v="0.0053877046863301655"/>
    <s v="[290697, 290698, 290704, 290709, 290714]"/>
    <s v="[0.015, 0.008, 0.007, 0.003, 0.0]"/>
    <s v="160.56213784471277"/>
    <s v="[0.015, 0.008, 0.007, 0.003, 0.0]"/>
  </r>
  <r>
    <x v="434"/>
    <x v="591"/>
    <x v="0"/>
    <n v="0"/>
    <s v="LINESTRING (5.276765658717814 59.35913825190469, 5.2772279308294054 59.360175549939854, 5.277250272052863 59.360212464763904, 5.277844809541537 59.361277855121266, 5.2780984860573845 59.36172334489647, 5.27908452648897 59.36349680889573, 5.279235782093868 59.36377265651739)"/>
    <s v="[369320, 369328, 369336, 369344, 369352, 369360]"/>
    <s v="[358210, 353461, 358224, 358235, 358245, 290697]"/>
    <s v="0.002048955405833313"/>
    <s v="[358209, 358210, 353461, 358224, 358235, 358245]"/>
    <s v="[0.007, 0.007, 0.006, 0.004, 0.0, 0.091]"/>
    <s v="537.016772843675"/>
    <s v="[-0.007, -0.007, -0.006, -0.004, 0.0, 0.091]"/>
  </r>
  <r>
    <x v="435"/>
    <x v="592"/>
    <x v="42"/>
    <n v="0"/>
    <s v="LINESTRING (5.279171881783983 59.3673343691329, 5.279568990385869 59.36799194328307, 5.281272405027631 59.370007930614626, 5.28130102157695 59.3700541969662, 5.282055832338382 59.372268026430675, 5.2821599460435 59.37248609828303)"/>
    <s v="[369368, 369376, 369384, 369392, 369400]"/>
    <s v="[358266, 358277, 358286, 358296, 358306]"/>
    <s v="#FIELD!"/>
    <s v="[290791, 358266, 358277, 358286, 358296]"/>
    <s v="[0.076, 0.037, 0.053, 0.021, 0.014]"/>
    <s v="604.4289687986906"/>
    <s v="[-0.076, 0.037, 0.053, -0.021, -0.014]"/>
  </r>
  <r>
    <x v="436"/>
    <x v="593"/>
    <x v="0"/>
    <n v="0"/>
    <m/>
    <n v="299663"/>
    <n v="291813"/>
    <s v="0.029"/>
    <n v="291803"/>
    <s v="0.029"/>
    <s v="82.70785200801109"/>
    <s v="0.029"/>
  </r>
  <r>
    <x v="436"/>
    <x v="594"/>
    <x v="0"/>
    <s v="[0, 0, 0, 0, 1, 0, 1, 1, 0, 0, 0, 0, 0, 1, 0, 0, 0, 0, 0, 0, 1, 0, 0, 0, 0, 0]"/>
    <s v="LINESTRING (9.004917661595275 58.68788534774994, 9.000310907626659 58.68556447410065, 8.998581615212816 58.68469032744628, 8.994749965675732 58.68217025811824, 8.98987065183379 58.67736670420281, 8.989610771734764 58.67715266228414, 8.9869679666605 58.67532096398775, 8.986685759036959 58.67515639010523, 8.98584173744487 58.67467031351897, 8.985674454466526 58.674574133992046, 8.984811382061423 58.67407841386835, 8.980715242504976 58.6708962784642, 8.980587590042092 58.67078321333312, 8.975568669463911 58.668475003669215, 8.975404547252033 58.668447577424075, 8.974800214379655 58.668363100155226, 8.974136418388307 58.668290251402986, 8.971444685510217 58.667933075470486, 8.968018026568565 58.66557086066996, 8.963794239912042 58.66168000720673, 8.95797171278976 58.658575781590514, 8.956439862056376 58.65785386761819, 8.954079489791082 58.656989016827694, 8.950769824947006 58.65586787462806, 8.94992903984065 58.65558217406009, 8.9468741904802 58.654539530197056, 8.945432592711725 58.65402464389193)"/>
    <s v="[637418, 637426, 637434, 637442, 637450, 637458, 637466, 637474, 637482, 637490, 637498, 637506, 637514, 637522, 637530, 637538, 637546, 637554, 637562, 637570, 637578, 299623, 299631, 299639, 299647, 299655]"/>
    <s v="[632235, 632242, 632250, 632258, 632264, 632270, 632276, 632281, 632289, 632295, 632302, 632311, 632317, 632324, 632331, 632337, 632343, 632351, 632354, 632361, 291771, 291772, 291783, 154381, 291796, 291803]"/>
    <s v="0.004622502968424235"/>
    <s v="[632227, 632235, 632242, 632250, 632258, 632264, 632270, 632276, 632281, 632289, 632295, 632302, 632311, 632317, 632324, 632331, 632337, 632343, 632351, 632354, 632361, 291771, 291772, 291783, 154381, 291796]"/>
    <s v="[0.045, 0.087, 0.002, 0.022, 0.077, 0.033, 0.009, 0.085, 0.061, 0.039, 0.017, 0.011, 0.022, 0.174, 0.157, 0.148, 0.049, 0.005, 0.008, 0.01, 0.112, 0.089, 0.036, 0.052, 0.053, 0.056]"/>
    <s v="5255.316864447599"/>
    <s v="[0.045, 0.087, 0.002, -0.022, -0.077, -0.033, 0.009, 0.085, 0.061, 0.039, -0.017, 0.011, -0.022, 0.174, 0.157, 0.148, 0.049, 0.005, -0.008, -0.01, 0.112, -0.089, -0.036, 0.052, 0.053, 0.056]"/>
  </r>
  <r>
    <x v="436"/>
    <x v="595"/>
    <x v="0"/>
    <n v="0"/>
    <s v="LINESTRING (8.942918706431213 58.652292537934116, 8.942825487730717 58.65237138901867, 8.945128693070963 58.653866425954945, 8.945432592711725 58.65402464389193)"/>
    <s v="[1766291, 1766299, 1766307]"/>
    <s v="[1559942, 1559947, 291803]"/>
    <s v="0.016735091229356767"/>
    <s v="[113916, 1559942, 1559947]"/>
    <s v="[0.107, 0.017, 0.023]"/>
    <s v="260.64693536073383"/>
    <s v="[0.107, 0.017, -0.023]"/>
  </r>
  <r>
    <x v="437"/>
    <x v="596"/>
    <x v="0"/>
    <n v="0"/>
    <s v="LINESTRING (8.9443267467052 58.65355818979093, 8.943170296822151 58.65294224990545, 8.942659110749576 58.65261104135385, 8.942514915991033 58.65250841567235)"/>
    <s v="[299671, 299679, 299687]"/>
    <s v="[291821, 291829, 291836]"/>
    <s v="#FIELD!"/>
    <s v="[291813, 291821, 291829]"/>
    <s v="[0.005, 0.047, 0.075]"/>
    <s v="157.72622434032647"/>
    <s v="[-0.005, -0.047, -0.075]"/>
  </r>
  <r>
    <x v="437"/>
    <x v="597"/>
    <x v="0"/>
    <n v="0"/>
    <s v="LINESTRING (8.9443267467052 58.65355818979093, 8.94394963815632 58.653419427899195, 8.941823160659544 58.65256973581796)"/>
    <s v="[1762737, 1762745]"/>
    <s v="[1558014, 1039958]"/>
    <s v="#FIELD!"/>
    <s v="[291813, 1558014]"/>
    <s v="[0.025, 0.091]"/>
    <s v="187.7010622875211"/>
    <s v="[0.025, -0.091]"/>
  </r>
  <r>
    <x v="438"/>
    <x v="598"/>
    <x v="0"/>
    <n v="0"/>
    <m/>
    <n v="1105775"/>
    <n v="1046814"/>
    <s v="#FIELD!"/>
    <n v="291836"/>
    <s v="0.085"/>
    <s v="98.678447364666"/>
    <s v="#FIELD!"/>
  </r>
  <r>
    <x v="438"/>
    <x v="599"/>
    <x v="0"/>
    <s v="[0, 1, 0]"/>
    <s v="LINESTRING (8.942514915991033 58.65250841567235, 8.941552826280923 58.65174712526481, 8.940841456921325 58.6509421159532, 8.940506944743971 58.650505258866076)"/>
    <s v="[1105738, 1105746, 1105747]"/>
    <s v="[1046778, 1046786, 1046787]"/>
    <s v="#FIELD!"/>
    <s v="[291836, 1046778, 1046786]"/>
    <s v="[0.082, 0.095, 0.096]"/>
    <s v="253.38584415548794"/>
    <s v="[-0.082, -0.095, -0.096]"/>
  </r>
  <r>
    <x v="439"/>
    <x v="566"/>
    <x v="0"/>
    <s v="[0, 1, 0, 0]"/>
    <s v="LINESTRING (10.437358776476566 61.23996217984147, 10.436442595429908 61.24260189327274, 10.436390379013323 61.242826646558335, 10.43656554769331 61.24568509989002, 10.436803149078804 61.24640011580953)"/>
    <s v="[301368, 301376, 301384, 301392]"/>
    <s v="[293273, 293281, 293288, 293294]"/>
    <s v="#FIELD!"/>
    <s v="[293267, 293273, 293281, 293288]"/>
    <s v="[0.011, 0.013, 0.022, 0.008]"/>
    <s v="723.9099624532457"/>
    <s v="[-0.011, -0.013, -0.022, -0.008]"/>
  </r>
  <r>
    <x v="439"/>
    <x v="244"/>
    <x v="0"/>
    <s v="[0, 0, 1, 0, 0, 0, 0, 0, 0, 0, 0, 0]"/>
    <s v="LINESTRING (10.415194224498354 61.195854302178574, 10.41557222453341 61.19635941046907, 10.429944180328183 61.20749516993865, 10.430193719852438 61.20759973710173, 10.432274574102854 61.20855682059588, 10.432311494705218 61.20857732148606, 10.43284317884459 61.208850542578425, 10.434068929055613 61.20953570856535, 10.444718186948782 61.21935331963129, 10.445065365542233 61.22001257813966, 10.445362856510618 61.23056881932808, 10.43782568711994 61.23888768991439, 10.437358776476566 61.23996217984147)"/>
    <s v="[1691017, 1691025, 1691033, 1691041, 1691049, 1691057, 1691065, 1691073, 1691081, 1691089, 301352, 301360]"/>
    <s v="[1513727, 1513733, 1513737, 1513740, 1513747, 1513751, 1513757, 1513761, 1513768, 293259, 293260, 293267]"/>
    <s v="0.0034179865964651217"/>
    <s v="[1513725, 1513727, 1513733, 1513737, 1513740, 1513747, 1513751, 1513757, 1513761, 1513768, 293259, 293260]"/>
    <s v="[0.003, 0.005, 0.004, 0.03, 0.01, 0.003, 0.012, 0.007, 0.039, 0.002, 0.01, 0.01]"/>
    <s v="5531.0908531217365"/>
    <s v="[-0.003, -0.005, 0.004, 0.03, 0.01, -0.003, 0.012, 0.007, 0.039, -0.002, 0.01, 0.01]"/>
  </r>
  <r>
    <x v="440"/>
    <x v="600"/>
    <x v="43"/>
    <n v="0"/>
    <s v="LINESTRING (10.436803149078804 61.24640011580953, 10.437311061775565 61.25023019015497, 10.421291616335523 61.25910203140017, 10.418575152124346 61.26054560408495, 10.417954321516188 61.260869056782234)"/>
    <s v="[301400, 301464, 301560, 301568]"/>
    <s v="[293298, 293356, 293457, 293466]"/>
    <s v="0.003256153779540665"/>
    <s v="[293294, 293298, 293356, 293457]"/>
    <s v="[0.015, 0.003, 0.013, 0.028]"/>
    <s v="2036.308096718641"/>
    <s v="[0.015, -0.003, 0.013, 0.028]"/>
  </r>
  <r>
    <x v="441"/>
    <x v="562"/>
    <x v="0"/>
    <s v="[0, 0, 1, 0]"/>
    <s v="LINESTRING (10.437708589019334 61.23887676403181, 10.43724113059024 61.23995294383382, 10.436324360290037 61.24259484908829, 10.4362715845356 61.24282267705574, 10.436447727084348 61.24569362782713)"/>
    <s v="[301416, 301424, 301432, 301440]"/>
    <s v="[293312, 293316, 293323, 293331]"/>
    <s v="#FIELD!"/>
    <s v="[293304, 293312, 293316, 293323]"/>
    <s v="[0.004, 0.002, 0.005, 0.013]"/>
    <s v="767.7408471181195"/>
    <s v="[-0.004, 0.002, 0.005, -0.013]"/>
  </r>
  <r>
    <x v="441"/>
    <x v="243"/>
    <x v="44"/>
    <s v="[0, 0, 0, 1, 0, 0, 0, 0, 0, 0, 0, 0]"/>
    <s v="LINESTRING (10.414739027514198 61.19524465573373, 10.415116080705612 61.19586674271434, 10.415493896684575 61.196372339628525, 10.429862964645151 61.20752039369828, 10.430119557261023 61.20762645835727, 10.432153698787868 61.2085727025521, 10.432197841682237 61.20859353733313, 10.432751567327854 61.20888855577005, 10.433957732387189 61.20957905071138, 10.44459945509923 61.2193709044352, 10.44495839847646 61.2200190935076, 10.44528349381366 61.230547442787696, 10.437708589019334 61.23887676403181)"/>
    <s v="[1690897, 1690905, 1690913, 1690921, 1690929, 1690937, 1690945, 1690953, 1690961, 1690969, 1690977, 301408]"/>
    <s v="[1513656, 1513662, 1513667, 1513670, 1513677, 1513683, 1513686, 1513690, 1513694, 1513698, 293303, 293304]"/>
    <s v="0.0024431260712649183"/>
    <s v="[1513650, 1513656, 1513662, 1513667, 1513670, 1513677, 1513683, 1513686, 1513690, 1513694, 1513698, 293303]"/>
    <s v="[0.012, 0.003, 0.005, 0.006, 0.029, 0.02, 0.005, 0.012, 0.006, 0.043, 0.008, 0.004]"/>
    <s v="5477.270762882766"/>
    <s v="[-0.012, -0.003, -0.005, 0.006, 0.029, 0.02, -0.005, 0.012, 0.006, 0.043, 0.008, -0.004]"/>
  </r>
  <r>
    <x v="442"/>
    <x v="601"/>
    <x v="0"/>
    <n v="0"/>
    <s v="LINESTRING (10.436447727084348 61.24569362782713, 10.43668551309751 61.246409153843025, 10.437126225601714 61.25021622624429, 10.42115198835692 61.25904407083404, 10.41849168705596 61.26050446058626)"/>
    <s v="[301448, 301456, 301472, 301488]"/>
    <s v="[293339, 293346, 293365, 293381]"/>
    <s v="0.0004710637370462704"/>
    <s v="[293331, 293339, 293346, 293365]"/>
    <s v="[0.013, 0.008, 0.003, 0.012]"/>
    <s v="2060.033711467766"/>
    <s v="[-0.013, 0.008, -0.003, 0.012]"/>
  </r>
  <r>
    <x v="443"/>
    <x v="602"/>
    <x v="0"/>
    <n v="0"/>
    <s v="LINESTRING (10.41849168705596 61.26050446058626, 10.417869749816546 61.26082858590333, 10.4115371047796 61.264238895967594, 10.410292486312889 61.26545707095257)"/>
    <s v="[301496, 301504, 301512]"/>
    <s v="[293388, 293396, 293404]"/>
    <s v="#FIELD!"/>
    <s v="[293381, 293388, 293396]"/>
    <s v="[0.031, 0.007, 0.04]"/>
    <s v="711.5722438138484"/>
    <s v="[0.031, 0.007, -0.04]"/>
  </r>
  <r>
    <x v="443"/>
    <x v="603"/>
    <x v="0"/>
    <s v="[1, 1, 0, 0]"/>
    <s v="LINESTRING (10.413151174857525 61.26295899834837, 10.413186533159877 61.26294068111221, 10.413531804664625 61.26276325212873, 10.41818760713569 61.260640056326714, 10.41849168705596 61.26050446058626)"/>
    <s v="[1708995, 1709003, 1709011, 1709043]"/>
    <s v="[1525443, 1525451, 1525457, 293381]"/>
    <s v="0.01420788345327259"/>
    <s v="[1525442, 1525443, 1525451, 1525457]"/>
    <s v="[0.003, 0.001, 0.003, 0.301]"/>
    <s v="397.14274393740976"/>
    <s v="[0.003, -0.001, -0.003, 0.301]"/>
  </r>
  <r>
    <x v="444"/>
    <x v="604"/>
    <x v="0"/>
    <s v="[0, 0, 1, 0, 0, 0, 0, 0, 0, 0, 0, 0]"/>
    <s v="LINESTRING (10.410292486312889 61.26545707095257, 10.410249366372705 61.26551273358434, 10.392980346939789 61.27463636602319, 10.39286613322297 61.274679542436765, 10.38630858079919 61.277496588894394, 10.385949326925408 61.27758225191428, 10.359989631972782 61.27897553129306, 10.358255380141353 61.27894917065261, 10.355059691813533 61.27843651336577, 10.35498306169289 61.278417580278784, 10.35289995164523 61.27792659800957, 10.344060252118794 61.27757460625109, 10.343650785423998 61.2776403026774)"/>
    <s v="[301520, 301528, 301536, 301544, 301552, 301743, 301631, 301639, 301647, 301655, 301663, 301671]"/>
    <s v="[293413, 293423, 293433, 287759, 293447, 293531, 293532, 293543, 293548, 293556, 287324, 293574]"/>
    <s v="0.009709982950616033"/>
    <s v="[293404, 293413, 293423, 293433, 287759, 293447, 293531, 293532, 293543, 293548, 293556, 287324]"/>
    <s v="[0.081, 0.004, 0.006, 0.035, 0.093, 0.001, 0.088, 0.021, 0.034, 0.064, 0.017, 0.127]"/>
    <s v="4240.015822633456"/>
    <s v="[0.081, 0.004, -0.006, 0.035, 0.093, 0.001, 0.088, 0.021, -0.034, -0.064, 0.017, 0.127]"/>
  </r>
  <r>
    <x v="444"/>
    <x v="603"/>
    <x v="0"/>
    <s v="[0, 0, 1, 1]"/>
    <s v="LINESTRING (10.410292486312889 61.26545707095257, 10.410370522658969 61.26530999885329, 10.412820548502816 61.26313458439128, 10.413115272075197 61.262977207201416, 10.413151174857525 61.26295899834837)"/>
    <s v="[1709051, 1709059, 1709067, 1709075]"/>
    <s v="[1525485, 1525493, 1525500, 1525442]"/>
    <s v="#FIELD!"/>
    <s v="[293404, 1525485, 1525493, 1525500]"/>
    <s v="[0.03, 0.015, 0.002, 0.018]"/>
    <s v="319.89916031319626"/>
    <s v="[-0.03, -0.015, 0.002, -0.018]"/>
  </r>
  <r>
    <x v="445"/>
    <x v="605"/>
    <x v="0"/>
    <n v="0"/>
    <m/>
    <n v="301576"/>
    <n v="293477"/>
    <s v="0.006"/>
    <n v="293466"/>
    <s v="0.006"/>
    <s v="509.2037263337785"/>
    <s v="0.006"/>
  </r>
  <r>
    <x v="445"/>
    <x v="606"/>
    <x v="0"/>
    <n v="0"/>
    <s v="LINESTRING (10.417954321516188 61.260869056782234, 10.417787060383828 61.26098163705564, 10.41611462224048 61.26284774416345, 10.416215792506593 61.26287751864656)"/>
    <s v="[1709099, 1709083, 1709091]"/>
    <s v="[1525510, 1525511, 1525049]"/>
    <s v="0.020388800710036015"/>
    <s v="[293466, 1525510, 1525511]"/>
    <s v="[0.497, 0.049, 0.11]"/>
    <s v="280.902193974875"/>
    <s v="[-0.497, 0.049, 0.11]"/>
  </r>
  <r>
    <x v="446"/>
    <x v="604"/>
    <x v="0"/>
    <s v="[0, 0, 0, 1, 0, 0, 0, 0, 0, 0, 0, 0, 0, 0]"/>
    <s v="LINESTRING (10.411640498436991 61.2642675171541, 10.410398821695201 61.265483859208715, 10.410355846929741 61.26553967967369, 10.393052529606889 61.274682492321475, 10.392938432932207 61.27472499828817, 10.386369873693718 61.27755830192257, 10.38603739230108 61.27765935624558, 10.359998666937454 61.27906100859558, 10.35501783377721 61.27849067551057, 10.354940405402917 61.27847158012496, 10.352856758555774 61.27798016515287, 10.352849572776092 61.27797872247461, 10.345330937750019 61.27751019663261, 10.344074418838147 61.27761702113355, 10.343650785423998 61.2776403026774)"/>
    <s v="[301584, 301591, 301599, 301607, 301615, 301623, 301735, 301679, 301687, 301695, 301703, 301711, 301719, 301727]"/>
    <s v="[293484, 293490, 293499, 293505, 287750, 293522, 293582, 293583, 293592, 293601, 293608, 293615, 293622, 293574]"/>
    <s v="0.007712257458585955"/>
    <s v="[293477, 293484, 293490, 293499, 293505, 287750, 293522, 293582, 293583, 293592, 293601, 293608, 293615, 293622]"/>
    <s v="[0.035, 0.107, 0.003, 0.006, 0.038, 0.124, 0.0, 0.044, 0.032, 0.064, 0.038, 0.004, 0.092, 0.07]"/>
    <s v="4398.562854073347"/>
    <s v="[-0.035, 0.107, 0.003, -0.006, 0.038, 0.124, -0.0, 0.044, -0.032, -0.064, 0.038, 0.004, 0.092, 0.07]"/>
  </r>
  <r>
    <x v="446"/>
    <x v="607"/>
    <x v="0"/>
    <n v="0"/>
    <s v="LINESTRING (10.415977851108911 61.262947973084, 10.41593397380621 61.26290952621396, 10.41201531189815 61.26403008344437, 10.411640498436991 61.2642675171541)"/>
    <s v="[1709107, 1709115, 302641]"/>
    <s v="[1525530, 294557, 293477]"/>
    <s v="#FIELD!"/>
    <s v="[1525045, 1525530, 294557]"/>
    <s v="[0.129, 0.001, 0.048]"/>
    <s v="339.6070858710715"/>
    <s v="[-0.129, -0.001, -0.048]"/>
  </r>
  <r>
    <x v="447"/>
    <x v="568"/>
    <x v="45"/>
    <n v="0"/>
    <s v="LINESTRING (10.343650785423998 61.2776403026774, 10.317047256342079 61.29046016499293, 10.317042612635555 61.29046885430215, 10.316719430711727 61.29106749335189, 10.31671469650111 61.29107616153799, 10.305613385302312 61.30446534542221)"/>
    <s v="[301751, 301759, 301767, 301775, 301783]"/>
    <s v="[293647, 293655, 293664, 293671, 293678]"/>
    <s v="0.0030917071569971865"/>
    <s v="[293574, 293647, 293655, 293664, 293671]"/>
    <s v="[0.125, 0.281, 0.253, 0.28, 0.172]"/>
    <s v="3869.864057170247"/>
    <s v="[0.125, 0.281, 0.253, 0.28, -0.172]"/>
  </r>
  <r>
    <x v="448"/>
    <x v="608"/>
    <x v="0"/>
    <n v="0"/>
    <s v="LINESTRING (13.567408149818666 68.13463853338962, 13.565471404588303 68.13429743824511, 13.565286729033563 68.13425298268352)"/>
    <s v="[302015, 302023]"/>
    <s v="[293902, 293911]"/>
    <s v="#FIELD!"/>
    <s v="[293901, 293902]"/>
    <s v="[0.006, 0.008]"/>
    <s v="98.39491423306679"/>
    <s v="[-0.006, -0.008]"/>
  </r>
  <r>
    <x v="448"/>
    <x v="609"/>
    <x v="0"/>
    <n v="0"/>
    <s v="LINESTRING (13.567408149818666 68.13463853338962, 13.565604785148897 68.1342270393973, 13.565231112951903 68.1341302590444)"/>
    <s v="[302031, 302039]"/>
    <s v="[293918, 293924]"/>
    <s v="#FIELD!"/>
    <s v="[293901, 293918]"/>
    <s v="[0.007, 0.008]"/>
    <s v="106.79429834772483"/>
    <s v="[-0.007, -0.008]"/>
  </r>
  <r>
    <x v="449"/>
    <x v="610"/>
    <x v="0"/>
    <n v="0"/>
    <m/>
    <n v="302118"/>
    <n v="293942"/>
    <s v="0.009"/>
    <n v="293911"/>
    <s v="0.009"/>
    <s v="66.63668728121239"/>
    <s v="0.009"/>
  </r>
  <r>
    <x v="449"/>
    <x v="609"/>
    <x v="0"/>
    <n v="0"/>
    <m/>
    <n v="302063"/>
    <n v="293911"/>
    <s v="0.013"/>
    <n v="293924"/>
    <s v="0.013"/>
    <s v="13.877302223578896"/>
    <s v="0.013"/>
  </r>
  <r>
    <x v="450"/>
    <x v="610"/>
    <x v="0"/>
    <n v="0"/>
    <s v="LINESTRING (13.565231112951903 68.1341302590444, 13.564972427921752 68.13416468261164, 13.564171010973581 68.13468163588749)"/>
    <s v="[302047, 302055]"/>
    <s v="[293934, 293942]"/>
    <s v="0.009975815767038166"/>
    <s v="[293924, 293934]"/>
    <s v="[0.004, 0.011]"/>
    <s v="78.02924920853346"/>
    <s v="[0.004, 0.011]"/>
  </r>
  <r>
    <x v="451"/>
    <x v="611"/>
    <x v="46"/>
    <n v="0"/>
    <s v="LINESTRING (13.564171010973581 68.13468163588749, 13.44341094269305 68.1054782195722)"/>
    <m/>
    <m/>
    <s v="0.0"/>
    <m/>
    <n v="0"/>
    <s v="14206.539524385877"/>
    <n v="0"/>
  </r>
  <r>
    <x v="452"/>
    <x v="612"/>
    <x v="0"/>
    <n v="1"/>
    <m/>
    <n v="302476"/>
    <n v="294257"/>
    <s v="0.125"/>
    <n v="294208"/>
    <s v="0.125"/>
    <s v="21.29446160635853"/>
    <s v="0.125"/>
  </r>
  <r>
    <x v="452"/>
    <x v="613"/>
    <x v="0"/>
    <n v="0"/>
    <s v="LINESTRING (11.255321309924858 60.56315883219703, 11.2552903771473 60.56311390296566, 11.255235864701255 60.5630515306856, 11.253506206995631 60.55985087442905, 11.253456841735092 60.55962356403707)"/>
    <s v="[302316, 302324, 302332, 2105746]"/>
    <s v="[294209, 294218, 294228, 1819179]"/>
    <s v="0.014360220699247622"/>
    <s v="[294208, 294209, 294218, 294228]"/>
    <s v="[0.015, 0.006, 0.014, 0.022]"/>
    <s v="412.3924664326093"/>
    <s v="[0.015, 0.006, 0.014, 0.022]"/>
  </r>
  <r>
    <x v="452"/>
    <x v="614"/>
    <x v="0"/>
    <n v="1"/>
    <s v="LINESTRING (11.255458480395577 60.563404469728475, 11.25535840334284 60.563373060539035, 11.255269908004452 60.56330155528729, 11.255265000584997 60.56321936222454, 11.255321309924858 60.56315883219703)"/>
    <s v="[302444, 302452, 302460, 302468]"/>
    <s v="[294345, 294353, 294360, 294208]"/>
    <s v="0.012464193630419687"/>
    <s v="[294287, 294345, 294353, 294360]"/>
    <s v="[0.028, 0.003, 0.029, 0.047]"/>
    <s v="32.42289170884"/>
    <s v="[-0.028, -0.003, 0.029, 0.047]"/>
  </r>
  <r>
    <x v="453"/>
    <x v="615"/>
    <x v="0"/>
    <s v="[0, 1, 0]"/>
    <s v="LINESTRING (10.502614439899647 60.26905772239342, 10.508905561460708 60.27479830028292, 10.509189405923921 60.27498511298097, 10.509766629386743 60.27531943633586)"/>
    <s v="[1851669, 1851670, 1851673]"/>
    <s v="[1621311, 1621312, 294255]"/>
    <s v="0.006743527013868491"/>
    <s v="[1621301, 1621311, 1621312]"/>
    <s v="[0.006, 0.012, 0.015]"/>
    <s v="808.2019845922624"/>
    <s v="[0.006, 0.012, 0.015]"/>
  </r>
  <r>
    <x v="453"/>
    <x v="616"/>
    <x v="0"/>
    <s v="[0, 0, 1, 0]"/>
    <s v="LINESTRING (10.503715539455968 60.269789443642935, 10.508078322916148 60.274153796752714, 10.50899214467617 60.27476589115841, 10.509276178619748 60.27495251223996, 10.509766629386743 60.27531943633586)"/>
    <s v="[1852910, 1852917, 1852936, 1852946]"/>
    <s v="[1622462, 1622468, 1622488, 294255]"/>
    <s v="0.001959625382172898"/>
    <s v="[1621916, 1622462, 1622468, 1622488]"/>
    <s v="[0.001, 0.006, 0.01, 0.022]"/>
    <s v="706.0361381842857"/>
    <s v="[0.001, -0.006, 0.01, 0.022]"/>
  </r>
  <r>
    <x v="454"/>
    <x v="617"/>
    <x v="0"/>
    <n v="1"/>
    <s v="LINESTRING (11.255671577044753 60.56309845138863, 11.255805711775135 60.56313376407351, 11.255894033273844 60.56319889128647, 11.255916050327238 60.56327052651774, 11.255859877857167 60.563347230794875)"/>
    <s v="[302404, 302412, 302420, 302428]"/>
    <s v="[294311, 294318, 294324, 294294]"/>
    <s v="0.033566692868516254"/>
    <s v="[294257, 294311, 294318, 294324]"/>
    <s v="[0.17, 0.07, 0.008, 0.104]"/>
    <s v="34.2296442784575"/>
    <s v="[0.17, 0.07, 0.008, -0.104]"/>
  </r>
  <r>
    <x v="454"/>
    <x v="618"/>
    <x v="0"/>
    <n v="0"/>
    <s v="LINESTRING (11.253433855259203 60.559236146060336, 11.253580040004175 60.55940464881099, 11.255662769364413 60.5629978934352, 11.255665292355125 60.56304990833851, 11.255671577044753 60.56309845138863)"/>
    <s v="[2105778, 302340, 302348, 302356]"/>
    <s v="[294237, 294238, 294247, 294257]"/>
    <s v="#FIELD!"/>
    <s v="[1819189, 294237, 294238, 294247]"/>
    <s v="[0.014, 0.011, 0.012, 0.033]"/>
    <s v="451.8973742434401"/>
    <s v="[0.014, -0.011, -0.012, -0.033]"/>
  </r>
  <r>
    <x v="455"/>
    <x v="617"/>
    <x v="0"/>
    <n v="1"/>
    <m/>
    <n v="302436"/>
    <n v="294287"/>
    <s v="#FIELD!"/>
    <n v="294294"/>
    <s v="0.17"/>
    <s v="24.75416674979389"/>
    <s v="#FIELD!"/>
  </r>
  <r>
    <x v="455"/>
    <x v="619"/>
    <x v="0"/>
    <n v="0"/>
    <s v="LINESTRING (11.258557793832852 60.566851792215765, 11.258310857540918 60.56668945108589, 11.255491320702058 60.56345705664034, 11.255458480395577 60.563404469728475)"/>
    <s v="[2105826, 302372, 302380]"/>
    <s v="[294276, 294277, 294287]"/>
    <s v="#FIELD!"/>
    <s v="[1819224, 294276, 294277]"/>
    <s v="[0.059, 0.034, 0.02]"/>
    <s v="427.8321179710373"/>
    <s v="[-0.059, -0.034, 0.02]"/>
  </r>
  <r>
    <x v="456"/>
    <x v="620"/>
    <x v="0"/>
    <n v="0"/>
    <s v="LINESTRING (11.255859877857167 60.563347230794875, 11.255888955481346 60.56339131684631, 11.258870708135039 60.566834704062764, 11.259093623071783 60.56711820862458)"/>
    <s v="[302388, 302396, 2105834]"/>
    <s v="[294295, 294303, 1046136]"/>
    <s v="0.029339489879089003"/>
    <s v="[294294, 294295, 294303]"/>
    <s v="[0.034, 0.031, 0.008]"/>
    <s v="459.8854603667023"/>
    <s v="[0.034, 0.031, 0.008]"/>
  </r>
  <r>
    <x v="457"/>
    <x v="621"/>
    <x v="0"/>
    <n v="1"/>
    <s v="LINESTRING (11.241014530365755 60.413799682757755, 11.24068180491686 60.413888904168076, 11.24056964275319 60.41393137887006)"/>
    <s v="[302484, 302492]"/>
    <s v="[294387, 294396]"/>
    <s v="#FIELD!"/>
    <s v="[294386, 294387]"/>
    <s v="[0.128, 0.115]"/>
    <s v="28.64312437751518"/>
    <s v="[-0.128, -0.115]"/>
  </r>
  <r>
    <x v="457"/>
    <x v="622"/>
    <x v="0"/>
    <n v="1"/>
    <s v="LINESTRING (11.241014530365755 60.413799682757755, 11.240627666732438 60.41380043636312, 11.240512306415086 60.41379367084602)"/>
    <s v="[302508, 302516]"/>
    <s v="[294411, 294420]"/>
    <s v="#FIELD!"/>
    <s v="[294386, 294411]"/>
    <s v="[0.143, 0.151]"/>
    <s v="27.721562013101657"/>
    <s v="[-0.143, -0.151]"/>
  </r>
  <r>
    <x v="457"/>
    <x v="623"/>
    <x v="47"/>
    <n v="1"/>
    <m/>
    <n v="302500"/>
    <n v="294386"/>
    <s v="#FIELD!"/>
    <n v="294402"/>
    <s v="0.145"/>
    <s v="19.85743689402668"/>
    <s v="#FIELD!"/>
  </r>
  <r>
    <x v="458"/>
    <x v="624"/>
    <x v="0"/>
    <n v="0"/>
    <m/>
    <n v="302644"/>
    <n v="294544"/>
    <s v="#FIELD!"/>
    <n v="294396"/>
    <s v="0.102"/>
    <s v="11.253056539986858"/>
    <s v="#FIELD!"/>
  </r>
  <r>
    <x v="458"/>
    <x v="622"/>
    <x v="0"/>
    <n v="0"/>
    <s v="LINESTRING (11.240512306415086 60.41379367084602, 11.24058064698017 60.41385187086556, 11.24056964275319 60.41393137887006)"/>
    <s v="[302692, 302700]"/>
    <s v="[294599, 294396]"/>
    <s v="0.02783273976267606"/>
    <s v="[294420, 294599]"/>
    <s v="[0.075, 0.012]"/>
    <s v="16.38019637003208"/>
    <s v="[0.075, -0.012]"/>
  </r>
  <r>
    <x v="459"/>
    <x v="625"/>
    <x v="0"/>
    <n v="1"/>
    <s v="LINESTRING (11.241857263838249 60.413630326598145, 11.241767867961105 60.41365699622569, 11.24136427486288 60.41375680132139)"/>
    <s v="[302540, 302548]"/>
    <s v="[294445, 294402]"/>
    <s v="#FIELD!"/>
    <s v="[294444, 294445]"/>
    <s v="[0.156, 0.143]"/>
    <s v="30.620613084213417"/>
    <s v="[-0.156, -0.143]"/>
  </r>
  <r>
    <x v="459"/>
    <x v="626"/>
    <x v="0"/>
    <n v="1"/>
    <s v="LINESTRING (11.241910985907067 60.4137317077199, 11.241812004565114 60.413731212662896, 11.24136427486288 60.41375680132139)"/>
    <s v="[302556, 302564]"/>
    <s v="[294464, 294402]"/>
    <s v="#FIELD!"/>
    <s v="[294463, 294464]"/>
    <s v="[0.172, 0.152]"/>
    <s v="30.293012540698072"/>
    <s v="[-0.172, -0.152]"/>
  </r>
  <r>
    <x v="460"/>
    <x v="627"/>
    <x v="0"/>
    <n v="0"/>
    <m/>
    <n v="302684"/>
    <n v="294420"/>
    <s v="0.137"/>
    <n v="294481"/>
    <s v="0.137"/>
    <s v="19.573059939782084"/>
    <s v="0.137"/>
  </r>
  <r>
    <x v="461"/>
    <x v="628"/>
    <x v="0"/>
    <n v="0"/>
    <m/>
    <n v="302764"/>
    <n v="294509"/>
    <s v="0.132"/>
    <n v="294444"/>
    <s v="0.132"/>
    <s v="20.853849817639876"/>
    <s v="0.132"/>
  </r>
  <r>
    <x v="461"/>
    <x v="626"/>
    <x v="0"/>
    <n v="0"/>
    <s v="LINESTRING (11.241910985907067 60.4137317077199, 11.24186177977068 60.413685644273336, 11.241857263838249 60.413630326598145)"/>
    <s v="[302748, 302756]"/>
    <s v="[294642, 294444]"/>
    <s v="#FIELD!"/>
    <s v="[294463, 294642]"/>
    <s v="[0.066, 0.02]"/>
    <s v="11.974493932806286"/>
    <s v="[-0.066, 0.02]"/>
  </r>
  <r>
    <x v="462"/>
    <x v="629"/>
    <x v="0"/>
    <n v="0"/>
    <m/>
    <n v="302740"/>
    <n v="294463"/>
    <s v="#FIELD!"/>
    <n v="294517"/>
    <s v="0.143"/>
    <s v="11.780573496850472"/>
    <s v="#FIELD!"/>
  </r>
  <r>
    <x v="463"/>
    <x v="630"/>
    <x v="0"/>
    <n v="0"/>
    <s v="LINESTRING (11.240180102858949 60.41378383314998, 11.240233934373649 60.413734011491904, 11.239955703429661 60.410981263902535, 11.239837495524604 60.410666268932786)"/>
    <s v="[302572, 302580, 2105417]"/>
    <s v="[294482, 294489, 1819007]"/>
    <s v="0.008649801789100246"/>
    <s v="[294481, 294482, 294489]"/>
    <s v="[0.058, 0.017, 0.225]"/>
    <s v="355.23046846866686"/>
    <s v="[0.058, -0.017, 0.225]"/>
  </r>
  <r>
    <x v="463"/>
    <x v="624"/>
    <x v="0"/>
    <n v="0"/>
    <s v="LINESTRING (11.240426599845783 60.41400059385236, 11.240260476242486 60.414003719223636, 11.240155058935159 60.41397224603164, 11.240081113590756 60.41387604526609, 11.240180102858949 60.41378383314998)"/>
    <s v="[302652, 302660, 302668, 302676]"/>
    <s v="[294566, 294572, 294580, 294481]"/>
    <s v="#FIELD!"/>
    <s v="[294544, 294566, 294572, 294580]"/>
    <s v="[0.15, 0.117, 0.052, 0.067]"/>
    <s v="39.55737431869498"/>
    <s v="[-0.15, -0.117, -0.052, 0.067]"/>
  </r>
  <r>
    <x v="464"/>
    <x v="519"/>
    <x v="0"/>
    <n v="0"/>
    <s v="LINESTRING (8.723537090150312 58.46296016330743, 8.72333540747724 58.463076880351686, 8.723267553195669 58.46311992795963)"/>
    <s v="[302590, 302598]"/>
    <s v="[294504, 294511]"/>
    <s v="0.010523547943638337"/>
    <s v="[294503, 294504]"/>
    <s v="[0.01, 0.012]"/>
    <s v="23.78676816971041"/>
    <s v="[0.01, 0.012]"/>
  </r>
  <r>
    <x v="464"/>
    <x v="631"/>
    <x v="0"/>
    <n v="0"/>
    <s v="LINESTRING (8.723537090150312 58.46296016330743, 8.723490991896533 58.463112171444635, 8.72347821535396 58.463189355571146)"/>
    <s v="[1103505, 1103513]"/>
    <s v="[1045066, 1045070]"/>
    <s v="#FIELD!"/>
    <s v="[294503, 1045066]"/>
    <s v="[0.109, 0.009]"/>
    <s v="25.805490151539708"/>
    <s v="[-0.109, 0.009]"/>
  </r>
  <r>
    <x v="464"/>
    <x v="632"/>
    <x v="0"/>
    <s v="[0, 1, 0]"/>
    <s v="LINESTRING (8.724413943062514 58.46207714781994, 8.724377092891544 58.462116945527306, 8.72404815174611 58.46244553791663, 8.723537090150312 58.46296016330743)"/>
    <s v="[949078, 1766666, 1766674]"/>
    <s v="[917711, 1560202, 294503]"/>
    <s v="0.035567193621903026"/>
    <s v="[917710, 917711, 1560202]"/>
    <s v="[0.014, 0.1, 0.004]"/>
    <s v="111.01458977746543"/>
    <s v="[0.014, 0.1, -0.004]"/>
  </r>
  <r>
    <x v="465"/>
    <x v="629"/>
    <x v="0"/>
    <n v="0"/>
    <s v="LINESTRING (11.242135960504894 60.41352745955098, 11.242251797282087 60.413548978456596, 11.242329467434276 60.41359141435645, 11.242344095491598 60.41369720105385, 11.24209835327093 60.41377753914662)"/>
    <s v="[302708, 302716, 302724, 302732]"/>
    <s v="[294611, 294618, 294623, 294517]"/>
    <s v="#FIELD!"/>
    <s v="[294509, 294611, 294618, 294623]"/>
    <s v="[0.143, 0.105, 0.006, 0.14]"/>
    <s v="42.314518227193886"/>
    <s v="[0.143, 0.105, -0.006, -0.14]"/>
  </r>
  <r>
    <x v="465"/>
    <x v="633"/>
    <x v="0"/>
    <n v="0"/>
    <s v="LINESTRING (11.239656115986012 60.41011459720315, 11.23981282633782 60.410293109783495, 11.242106963024971 60.413496366793645, 11.242135960504894 60.41352745955098)"/>
    <s v="[2105434, 302588, 302596]"/>
    <s v="[294499, 294500, 294509]"/>
    <s v="0.035177826704659854"/>
    <s v="[1819018, 294499, 294500]"/>
    <s v="[0.228, 0.05, 0.058]"/>
    <s v="404.68360484180715"/>
    <s v="[-0.228, 0.05, 0.058]"/>
  </r>
  <r>
    <x v="466"/>
    <x v="631"/>
    <x v="0"/>
    <n v="0"/>
    <s v="LINESTRING (8.723267553195669 58.46311992795963, 8.723374656789563 58.46313032265352, 8.723431246179455 58.46315120450972, 8.72347821535396 58.463189355571146)"/>
    <s v="[1752217, 1752225, 1752233]"/>
    <s v="[1552051, 1552057, 1045070]"/>
    <s v="#FIELD!"/>
    <s v="[294511, 1552051, 1552057]"/>
    <s v="[0.042, 0.049, 0.312]"/>
    <s v="15.473674809968935"/>
    <s v="[-0.042, -0.049, -0.312]"/>
  </r>
  <r>
    <x v="467"/>
    <x v="634"/>
    <x v="48"/>
    <n v="0"/>
    <s v="LINESTRING (11.24209835327093 60.41377753914662, 11.242065596237392 60.41382117040687, 11.241207199268686 60.41668802818935, 11.241100485675062 60.41709104707311)"/>
    <s v="[302604, 302612, 2105458]"/>
    <s v="[294518, 294528, 1819033]"/>
    <s v="#FIELD!"/>
    <s v="[294517, 294518, 294528]"/>
    <s v="[0.067, 0.024, 0.065]"/>
    <s v="374.6032179928457"/>
    <s v="[-0.067, -0.024, 0.065]"/>
  </r>
  <r>
    <x v="468"/>
    <x v="635"/>
    <x v="0"/>
    <n v="0"/>
    <s v="LINESTRING (11.24084140639747 60.417600860280906, 11.24080135565685 60.417351885470445, 11.240466294229734 60.41403253759296, 11.240426599845783 60.41400059385236)"/>
    <s v="[2105498, 302620, 302628]"/>
    <s v="[294536, 294537, 294544]"/>
    <s v="#FIELD!"/>
    <s v="[1819047, 294536, 294537]"/>
    <s v="[0.147, 0.006, 0.075]"/>
    <s v="404.5209331560463"/>
    <s v="[-0.147, -0.006, -0.075]"/>
  </r>
  <r>
    <x v="469"/>
    <x v="636"/>
    <x v="0"/>
    <n v="0"/>
    <s v="LINESTRING (10.415594238538004 61.26311691550423, 10.415868832585609 61.26302222521147, 10.415937422244943 61.262999753386254)"/>
    <s v="[302649, 302657]"/>
    <s v="[294564, 294570]"/>
    <s v="0.021774745904582067"/>
    <s v="[294563, 294564]"/>
    <s v="[0.02, 0.029]"/>
    <s v="22.58230761051722"/>
    <s v="[0.02, 0.029]"/>
  </r>
  <r>
    <x v="469"/>
    <x v="637"/>
    <x v="0"/>
    <n v="0"/>
    <s v="LINESTRING (10.415594238538004 61.26311691550423, 10.415894000652171 61.263091730252306, 10.415965987967928 61.263091910033516)"/>
    <s v="[302665, 302673]"/>
    <s v="[294578, 294585]"/>
    <s v="0.06897422448439071"/>
    <s v="[294563, 294578]"/>
    <s v="[0.064, 0.09]"/>
    <s v="20.197756541914604"/>
    <s v="[0.064, 0.09]"/>
  </r>
  <r>
    <x v="469"/>
    <x v="603"/>
    <x v="0"/>
    <s v="[1, 0]"/>
    <s v="LINESTRING (10.413151174857525 61.26295899834837, 10.413913399405091 61.26327817006875, 10.415594238538004 61.26311691550423)"/>
    <s v="[1709027, 1709035]"/>
    <s v="[1525470, 294563]"/>
    <s v="0.12977239054126619"/>
    <s v="[1525442, 1525470]"/>
    <s v="[0.144, 0.122]"/>
    <s v="153.4717598745346"/>
    <s v="[0.144, 0.122]"/>
  </r>
  <r>
    <x v="470"/>
    <x v="607"/>
    <x v="0"/>
    <n v="0"/>
    <m/>
    <n v="1708426"/>
    <n v="1525045"/>
    <s v="#FIELD!"/>
    <n v="294570"/>
    <s v="1.094"/>
    <s v="6.166498196042394"/>
    <s v="#FIELD!"/>
  </r>
  <r>
    <x v="470"/>
    <x v="637"/>
    <x v="0"/>
    <n v="0"/>
    <s v="LINESTRING (10.415965987967928 61.263091910033516, 10.415937529220031 61.26305146708435, 10.415937422244943 61.262999753386254)"/>
    <s v="[1708410, 1708418]"/>
    <s v="[1525038, 294570]"/>
    <s v="#FIELD!"/>
    <s v="[294585, 1525038]"/>
    <s v="[1.387, 0.986]"/>
    <s v="10.524609362430127"/>
    <s v="[-1.387, 0.986]"/>
  </r>
  <r>
    <x v="471"/>
    <x v="606"/>
    <x v="0"/>
    <n v="0"/>
    <s v="LINESTRING (10.416215792506593 61.26287751864656, 10.416507896697546 61.2629528759966, 10.41654441585635 61.26300591213188, 10.416542406688118 61.263049100706525, 10.416435105634575 61.263139356085055, 10.416192321132497 61.26317133658118, 10.416110065293138 61.263159109346454, 10.416021929087682 61.263129596185586, 10.415965987967928 61.263091910033516)"/>
    <s v="[1708443, 1708451, 1708459, 1708370, 1708378, 1708386, 1708394, 1708402]"/>
    <s v="[294633, 1525059, 294622, 1525010, 294863, 1525020, 294885, 294585]"/>
    <s v="0.10961670311811163"/>
    <s v="[1525049, 294633, 1525059, 294622, 1525010, 294863, 1525020, 294885]"/>
    <s v="[0.096, 0.138, 0.106, 0.068, 0.036, 0.087, 0.117, 1.041]"/>
    <s v="70.71792112337361"/>
    <s v="[0.096, 0.138, 0.106, 0.068, -0.036, -0.087, -0.117, 1.041]"/>
  </r>
  <r>
    <x v="472"/>
    <x v="638"/>
    <x v="0"/>
    <n v="1"/>
    <s v="LINESTRING (11.243854529643201 60.514601456582824, 11.243555695309851 60.51464730951058, 11.24344868883563 60.514665884835985)"/>
    <s v="[302780, 302788]"/>
    <s v="[294665, 294672]"/>
    <s v="#FIELD!"/>
    <s v="[294664, 294665]"/>
    <s v="[0.064, 0.068]"/>
    <s v="23.426510588245076"/>
    <s v="[-0.064, -0.068]"/>
  </r>
  <r>
    <x v="472"/>
    <x v="639"/>
    <x v="0"/>
    <n v="1"/>
    <s v="LINESTRING (11.243854529643201 60.514601456582824, 11.243566109749432 60.514548351621535, 11.243451952841033 60.51452449735834)"/>
    <s v="[302836, 302844]"/>
    <s v="[294713, 294719]"/>
    <s v="#FIELD!"/>
    <s v="[294664, 294713]"/>
    <s v="[0.102, 0.115]"/>
    <s v="23.725777077261696"/>
    <s v="[-0.102, -0.115]"/>
  </r>
  <r>
    <x v="472"/>
    <x v="640"/>
    <x v="0"/>
    <n v="1"/>
    <m/>
    <n v="302796"/>
    <n v="294664"/>
    <s v="#FIELD!"/>
    <n v="294676"/>
    <s v="0.096"/>
    <s v="21.002690303869684"/>
    <s v="#FIELD!"/>
  </r>
  <r>
    <x v="473"/>
    <x v="641"/>
    <x v="0"/>
    <n v="0"/>
    <m/>
    <n v="303050"/>
    <n v="294691"/>
    <s v="#FIELD!"/>
    <n v="294672"/>
    <s v="0.046"/>
    <s v="8.916978187254012"/>
    <s v="#FIELD!"/>
  </r>
  <r>
    <x v="473"/>
    <x v="639"/>
    <x v="0"/>
    <n v="0"/>
    <s v="LINESTRING (11.243451952841033 60.51452449735834, 11.243494428616007 60.51460002934499, 11.24344868883563 60.514665884835985)"/>
    <s v="[303104, 303112]"/>
    <s v="[294948, 294672]"/>
    <s v="0.05895219610527092"/>
    <s v="[294719, 294948]"/>
    <s v="[0.082, 0.033]"/>
    <s v="16.49122537116383"/>
    <s v="[0.082, 0.033]"/>
  </r>
  <r>
    <x v="474"/>
    <x v="642"/>
    <x v="0"/>
    <n v="1"/>
    <s v="LINESTRING (11.244643114380613 60.51467499658733, 11.244559521895168 60.51465956359306, 11.244236734015294 60.514605662779026)"/>
    <s v="[302892, 302900]"/>
    <s v="[294757, 294676]"/>
    <s v="#FIELD!"/>
    <s v="[294756, 294757]"/>
    <s v="[0.275, 0.137]"/>
    <s v="23.62665835571465"/>
    <s v="[-0.275, -0.137]"/>
  </r>
  <r>
    <x v="474"/>
    <x v="643"/>
    <x v="0"/>
    <n v="1"/>
    <s v="LINESTRING (11.244674135841908 60.51452845863739, 11.244552886668691 60.51455525363127, 11.244236734015294 60.514605662779026)"/>
    <s v="[302921, 302931]"/>
    <s v="[294778, 294676]"/>
    <s v="#FIELD!"/>
    <s v="[294777, 294778]"/>
    <s v="[0.224, 0.088]"/>
    <s v="25.554287205997575"/>
    <s v="[-0.224, -0.088]"/>
  </r>
  <r>
    <x v="475"/>
    <x v="644"/>
    <x v="0"/>
    <n v="0"/>
    <s v="LINESTRING (11.243319292008579 60.514714192409926, 11.243247431281624 60.51472070657838, 11.243111810618398 60.51470475035494, 11.243009546317497 60.514652701250505, 11.243141356720528 60.51447664507836)"/>
    <s v="[303061, 303067, 303075, 303083]"/>
    <s v="[294906, 294912, 294919, 294699]"/>
    <s v="#FIELD!"/>
    <s v="[294691, 294906, 294912, 294919]"/>
    <s v="[0.074, 0.109, 0.099, 0.016]"/>
    <s v="43.10178941904697"/>
    <s v="[-0.074, -0.109, -0.099, -0.016]"/>
  </r>
  <r>
    <x v="475"/>
    <x v="645"/>
    <x v="0"/>
    <n v="0"/>
    <s v="LINESTRING (11.24304715179056 60.517742219920564, 11.243025062584655 60.51750516320773, 11.243396636427335 60.514741054325995, 11.243319292008579 60.514714192409926)"/>
    <s v="[2105698, 302804, 302812]"/>
    <s v="[294683, 294684, 294691]"/>
    <s v="#FIELD!"/>
    <s v="[1819103, 294683, 294684]"/>
    <s v="[0.058, 0.046, 0.116]"/>
    <s v="344.552897991514"/>
    <s v="[-0.058, -0.046, -0.116]"/>
  </r>
  <r>
    <x v="476"/>
    <x v="639"/>
    <x v="0"/>
    <n v="0"/>
    <m/>
    <n v="303096"/>
    <n v="294719"/>
    <s v="0.092"/>
    <n v="294699"/>
    <s v="0.092"/>
    <s v="18.972031393952037"/>
    <s v="0.092"/>
  </r>
  <r>
    <x v="476"/>
    <x v="646"/>
    <x v="0"/>
    <n v="0"/>
    <s v="LINESTRING (11.243141356720528 60.51447664507836, 11.243191501969443 60.514441672580745, 11.243132653296907 60.51096279152734, 11.243097497457944 60.51058544185445)"/>
    <s v="[302820, 302828, 2105530]"/>
    <s v="[294700, 294705, 1819073]"/>
    <s v="#FIELD!"/>
    <s v="[294699, 294700, 294705]"/>
    <s v="[0.001, 0.018, 0.017]"/>
    <s v="440.0017474303573"/>
    <s v="[-0.001, -0.018, 0.017]"/>
  </r>
  <r>
    <x v="477"/>
    <x v="647"/>
    <x v="0"/>
    <n v="0"/>
    <s v="LINESTRING (11.244893069496605 60.514483121207256, 11.245018394179077 60.51450453827921, 11.245115936563632 60.514562744761385, 11.245135336460327 60.51462504229005, 11.24512351456111 60.514653113052844, 11.245048223529757 60.51470968751403, 11.244960117054298 60.514735250122136, 11.244857944278122 60.51474216977481)"/>
    <s v="[302939, 302947, 302955, 302968, 302969, 302976, 302997]"/>
    <s v="[294794, 294804, 294812, 294826, 294827, 294833, 294744]"/>
    <s v="0.03882366212108342"/>
    <s v="[294740, 294794, 294804, 294812, 294826, 294827, 294833]"/>
    <s v="[0.302, 0.249, 0.133, 0.044, 0.077, 0.209, 0.282]"/>
    <s v="44.74101804111845"/>
    <s v="[0.302, 0.249, 0.133, -0.044, -0.077, -0.209, -0.282]"/>
  </r>
  <r>
    <x v="477"/>
    <x v="643"/>
    <x v="0"/>
    <n v="0"/>
    <m/>
    <n v="303038"/>
    <n v="294740"/>
    <s v="0.225"/>
    <n v="294777"/>
    <s v="0.225"/>
    <s v="13.397079699834858"/>
    <s v="0.225"/>
  </r>
  <r>
    <x v="477"/>
    <x v="648"/>
    <x v="0"/>
    <n v="0"/>
    <s v="LINESTRING (11.243551951491968 60.51159687453969, 11.243663867167735 60.511828085091345, 11.244834866282288 60.51444604905251, 11.244893069496605 60.514483121207256)"/>
    <s v="[2105538, 302860, 302868]"/>
    <s v="[294731, 294732, 294740]"/>
    <s v="0.059766875201531094"/>
    <s v="[1046032, 294731, 294732]"/>
    <s v="[0.01, 0.063, 0.228]"/>
    <s v="331.4710369137212"/>
    <s v="[-0.01, 0.063, 0.228]"/>
  </r>
  <r>
    <x v="478"/>
    <x v="642"/>
    <x v="0"/>
    <n v="0"/>
    <m/>
    <n v="303011"/>
    <n v="294756"/>
    <s v="#FIELD!"/>
    <n v="294744"/>
    <s v="0.283"/>
    <s v="14.434707008443166"/>
    <s v="#FIELD!"/>
  </r>
  <r>
    <x v="478"/>
    <x v="649"/>
    <x v="0"/>
    <n v="0"/>
    <s v="LINESTRING (11.244857944278122 60.51474216977481, 11.244803020224236 60.51477056349784, 11.24319010076615 60.51806352500321, 11.243003725225385 60.518371451627225)"/>
    <s v="[302876, 302884, 2105690]"/>
    <s v="[294745, 294750, 1819130]"/>
    <s v="0.016157861705651828"/>
    <s v="[294744, 294745, 294750]"/>
    <s v="[0.161, 0.022, 0.024]"/>
    <s v="418.9034899582234"/>
    <s v="[-0.161, 0.022, -0.024]"/>
  </r>
  <r>
    <x v="479"/>
    <x v="643"/>
    <x v="0"/>
    <n v="0"/>
    <s v="LINESTRING (11.244643114380613 60.51467499658733, 11.244611004804892 60.514609105087175, 11.244674135841908 60.51452845863739)"/>
    <s v="[303019, 303026]"/>
    <s v="[294869, 294777]"/>
    <s v="#FIELD!"/>
    <s v="[294756, 294869]"/>
    <s v="[0.128, 0.03]"/>
    <s v="17.184339066409407"/>
    <s v="[-0.128, 0.03]"/>
  </r>
  <r>
    <x v="480"/>
    <x v="650"/>
    <x v="0"/>
    <n v="0"/>
    <m/>
    <n v="1753938"/>
    <n v="295316"/>
    <s v="0.017"/>
    <n v="1151758"/>
    <s v="0.017"/>
    <s v="3.176302882281506"/>
    <s v="0.017"/>
  </r>
  <r>
    <x v="481"/>
    <x v="651"/>
    <x v="0"/>
    <n v="0"/>
    <m/>
    <n v="1234827"/>
    <n v="921319"/>
    <s v="#FIELD!"/>
    <n v="296433"/>
    <s v="0.122"/>
    <s v="10.734887051046702"/>
    <s v="#FIELD!"/>
  </r>
  <r>
    <x v="481"/>
    <x v="652"/>
    <x v="0"/>
    <s v="[0, 0, 0, 0, 0, 1, 1, 0]"/>
    <s v="LINESTRING (8.579647599742307 58.34700014150375, 8.579759360368469 58.34697169595748, 8.579787906959787 58.34696386525551, 8.579793984055575 58.34696219874186, 8.580116201172654 58.3468738076712, 8.580550576430685 58.346725617955734, 8.580906644857006 58.34658313064502, 8.5810989916612 58.346504455872925, 8.58146873812447 58.3463095140261)"/>
    <s v="[1234738, 1234753, 1234769, 1234775, 1234776, 1234807, 1234808, 1234815]"/>
    <s v="[1156059, 1156072, 1156084, 1156086, 1156087, 1156119, 1156120, 296433]"/>
    <s v="#FIELD!"/>
    <s v="[1156058, 1156059, 1156072, 1156084, 1156086, 1156087, 1156119, 1156120]"/>
    <s v="[0.025, 0.026, 0.0, 0.024, 0.046, 0.066, 0.065, 0.037]"/>
    <s v="132.47997567256596"/>
    <s v="[-0.025, -0.026, 0.0, -0.024, -0.046, -0.066, -0.065, -0.037]"/>
  </r>
  <r>
    <x v="482"/>
    <x v="653"/>
    <x v="0"/>
    <s v="[1, 0, 0, 1, 1, 1, 1, 1, 1, 1, 1, 1, 1]"/>
    <s v="LINESTRING (11.100022224857065 60.1904177840813, 11.101425888036749 60.19065670223643, 11.102176081058351 60.191246028350584, 11.10203720660074 60.19224382363987, 11.101990088910656 60.19233501976906, 11.101885174478621 60.192546520351186, 11.098362183772165 60.19325942352383, 11.097347006568963 60.193404839118756, 11.094374911366364 60.19380291502211, 11.0941124243656 60.193713097751505, 11.09405280463729 60.193620706199916, 11.093926064663798 60.19155118069411, 11.094476128883764 60.19125861468443, 11.095763906561556 60.19056421289835)"/>
    <s v="[1525906, 1525914, 1525922, 1525930, 1525938, 1525946, 1525618, 991578, 991590, 991591, 991600, 991601, 1525626]"/>
    <s v="[1379669, 1379677, 1379684, 1379692, 376606, 1379431, 950308, 950309, 376623, 950317, 950328, 950329, 298863]"/>
    <s v="#FIELD!"/>
    <s v="[298768, 1379669, 1379677, 1379684, 1379692, 376606, 1379431, 950308, 950309, 376623, 950317, 950328, 950329]"/>
    <s v="[0.001, 0.04, 0.002, 0.013, 0.012, 0.005, 0.026, 0.009, 0.001, 0.011, 0.014, 0.035, 0.004]"/>
    <s v="1182.662753131489"/>
    <s v="[0.001, 0.04, -0.002, -0.013, -0.012, -0.005, -0.026, 0.009, -0.001, -0.011, -0.014, -0.035, -0.004]"/>
  </r>
  <r>
    <x v="482"/>
    <x v="654"/>
    <x v="0"/>
    <s v="[0, 0, 1, 0, 0, 0, 0, 1, 0, 0, 0, 0]"/>
    <s v="LINESTRING (11.093999986433618 60.17981830726118, 11.093317042811963 60.182884153967635, 11.093722726415084 60.18460446087298, 11.094003970637118 60.1852273317739, 11.094931020532883 60.18687280352015, 11.095100105610745 60.18716470193277, 11.095144871688793 60.1872419751728, 11.096026014845899 60.18876144242556, 11.096313182841008 60.18921579208055, 11.096364912803462 60.18927310650518, 11.097852268249877 60.19010348245392, 11.098374660282625 60.19020427781488, 11.100022224857065 60.1904177840813)"/>
    <s v="[1525810, 1525818, 1525826, 1525834, 1525842, 1525850, 1525858, 1525866, 1525874, 1525882, 1525890, 1525898]"/>
    <s v="[1379593, 1379600, 1379606, 1379614, 1379619, 1379622, 1379628, 1379635, 1379642, 1379648, 1379655, 298768]"/>
    <s v="0.0010458944476252321"/>
    <s v="[1379407, 1379593, 1379600, 1379606, 1379614, 1379619, 1379622, 1379628, 1379635, 1379642, 1379648, 1379655]"/>
    <s v="[0.007, 0.001, 0.006, 0.015, 0.008, 0.0, 0.002, 0.005, 0.021, 0.012, 0.081, 0.003]"/>
    <s v="1330.4025437795856"/>
    <s v="[0.007, -0.001, 0.006, 0.015, -0.008, -0.0, 0.002, 0.005, -0.021, -0.012, -0.081, -0.003]"/>
  </r>
  <r>
    <x v="482"/>
    <x v="655"/>
    <x v="0"/>
    <n v="0"/>
    <s v="LINESTRING (11.096645357759163 60.18894241407658, 11.096645357759163 60.18894241407658, 11.097816354621678 60.19001073053302, 11.099821278314993 60.19036334850897, 11.100022224857065 60.1904177840813)"/>
    <s v="[1526002, 1526010, 307324, 307332]"/>
    <s v="[1379755, 298759, 298760, 298768]"/>
    <s v="#FIELD!"/>
    <s v="[1379754, 1379755, 298759, 298760]"/>
    <s v="[0.0, 0.025, 0.011, 0.021]"/>
    <s v="274.63039005968295"/>
    <s v="[0.0, -0.025, 0.011, 0.021]"/>
  </r>
  <r>
    <x v="483"/>
    <x v="656"/>
    <x v="0"/>
    <s v="[1, 0, 0]"/>
    <s v="LINESTRING (11.095763906561556 60.19056421289835, 11.096040006788472 60.1900855958561, 11.09544559203096 60.18914885749198, 11.095378649047511 60.18908179881164)"/>
    <s v="[307444, 1525762, 1525770]"/>
    <s v="[298864, 1379553, 1379559]"/>
    <s v="0.027001607032103973"/>
    <s v="[298863, 298864, 1379553]"/>
    <s v="[0.029, 0.03, 0.026]"/>
    <s v="174.455049889519"/>
    <s v="[0.029, 0.03, -0.026]"/>
  </r>
  <r>
    <x v="483"/>
    <x v="657"/>
    <x v="49"/>
    <s v="[1, 1, 0, 1, 0, 0, 0, 0, 1, 0, 0]"/>
    <s v="LINESTRING (11.095763906561556 60.19056421289835, 11.096073865541232 60.1902409810111, 11.09615597282265 60.19010220277491, 11.095947493645124 60.18921076306222, 11.09571051085106 60.188797446514585, 11.094823553389121 60.18720206821561, 11.09482089294954 60.1871971173926, 11.094656820602737 60.18690907913687, 11.093655703095608 60.18510657420731, 11.09346928889359 60.1847192860063, 11.093023829997872 60.182888742554326, 11.093098305120964 60.181520989981856)"/>
    <s v="[1525634, 1525642, 1525650, 1525658, 1525666, 1525674, 1525682, 1525690, 1525698, 1525706, 1525714]"/>
    <s v="[1379444, 1379452, 1379459, 1379465, 1379473, 1379479, 1379483, 1379490, 1379498, 1379504, 1379414]"/>
    <s v="0.0034981555788148335"/>
    <s v="[298863, 1379444, 1379452, 1379459, 1379465, 1379473, 1379479, 1379483, 1379490, 1379498, 1379504]"/>
    <s v="[0.097, 0.161, 0.011, 0.002, 0.004, 0.0, 0.007, 0.017, 0.008, 0.003, 0.005]"/>
    <s v="1034.6388579157697"/>
    <s v="[0.097, 0.161, 0.011, 0.002, 0.004, 0.0, -0.007, -0.017, 0.008, -0.003, -0.005]"/>
  </r>
  <r>
    <x v="484"/>
    <x v="658"/>
    <x v="0"/>
    <n v="0"/>
    <m/>
    <n v="436673"/>
    <n v="435391"/>
    <s v="0.018"/>
    <n v="301585"/>
    <s v="0.018"/>
    <s v="14.924713740879756"/>
    <s v="0.018"/>
  </r>
  <r>
    <x v="484"/>
    <x v="659"/>
    <x v="0"/>
    <s v="[0, 0, 1]"/>
    <s v="LINESTRING (9.076245217486479 58.82073373903345, 9.076138282299473 58.82075708591679, 9.075932688214666 58.82079497712292, 9.07577013421517 58.82082278537094)"/>
    <s v="[310594, 310602, 310610]"/>
    <s v="[301586, 301593, 301604]"/>
    <s v="#FIELD!"/>
    <s v="[301585, 301586, 301593]"/>
    <s v="0.02"/>
    <s v="29.22782452102384"/>
    <s v="#FIELD!"/>
  </r>
  <r>
    <x v="484"/>
    <x v="660"/>
    <x v="0"/>
    <n v="0"/>
    <s v="LINESTRING (9.076227498429933 58.820895072857816, 9.076188988600672 58.82081479091715, 9.076245217486479 58.82073373903345)"/>
    <s v="[436654, 436669]"/>
    <s v="[435435, 301585]"/>
    <s v="#FIELD!"/>
    <s v="[435423, 435435]"/>
    <s v="[0.008, 0.007]"/>
    <s v="18.829972016679434"/>
    <s v="[-0.008, 0.007]"/>
  </r>
  <r>
    <x v="485"/>
    <x v="661"/>
    <x v="0"/>
    <n v="1"/>
    <m/>
    <n v="1230137"/>
    <n v="1152182"/>
    <s v="#FIELD!"/>
    <n v="301604"/>
    <s v="0.022"/>
    <s v="25.779681922060607"/>
    <s v="#FIELD!"/>
  </r>
  <r>
    <x v="485"/>
    <x v="660"/>
    <x v="0"/>
    <s v="[0, 0, 1]"/>
    <s v="LINESTRING (9.076227498429933 58.820895072857816, 9.076115749693813 58.8208745320487, 9.075938291511735 58.820848444705234, 9.07577013421517 58.82082278537094)"/>
    <s v="[1241845, 1241852, 1241853]"/>
    <s v="[1162198, 1162208, 301604]"/>
    <s v="#FIELD!"/>
    <s v="[435423, 1162198, 1162208]"/>
    <s v="[0.155, 0.013, 0.061]"/>
    <s v="27.661159922025973"/>
    <s v="[-0.155, -0.013, 0.061]"/>
  </r>
  <r>
    <x v="486"/>
    <x v="662"/>
    <x v="0"/>
    <n v="0"/>
    <s v="LINESTRING (14.19193762235914 66.32197701547406, 14.192810577494445 66.32193692941834, 14.194246975202574 66.3217969400081, 14.194293011994121 66.32179140053499, 14.194490150054328 66.32176774865974, 14.194584019299368 66.3217563379221, 14.195863948628245 66.3215979389219, 14.196001105684951 66.32158105392675, 14.19667477866077 66.32149917541712, 14.196804920900204 66.32148319554362, 14.197004308311007 66.32145883436723, 14.198997657019621 66.32119600623959)"/>
    <s v="[315962, 315970, 315978, 315986, 315994, 316002, 316010, 316018, 316026, 316034, 316042]"/>
    <s v="[306630, 306637, 306642, 306647, 306652, 306662, 306668, 306677, 306685, 306689, 306697]"/>
    <s v="0.034689566362792246"/>
    <s v="[306629, 306630, 306637, 306642, 306647, 306652, 306662, 306668, 306677, 306685, 306689]"/>
    <s v="[0.013, 0.022, 0.042, 0.035, 0.039, 0.043, 0.046, 0.041, 0.047, 0.038, 0.043]"/>
    <s v="328.8783859644694"/>
    <s v="[0.013, 0.022, 0.042, 0.035, 0.039, 0.043, 0.046, 0.041, 0.047, 0.038, 0.043]"/>
  </r>
  <r>
    <x v="486"/>
    <x v="662"/>
    <x v="0"/>
    <n v="0"/>
    <s v="LINESTRING (14.19193762235914 66.32197701547406, 14.192382953131627 66.32193841592287, 14.192792333014925 66.3219011538202, 14.194191742581056 66.3217224300843, 14.194237379640182 66.3217168257553, 14.194438567838148 66.32169211830121, 14.194531835831603 66.32168065962423, 14.195661530317839 66.3215439499931, 14.195807631249892 66.3215265102891, 14.196611776233468 66.32143227025564, 14.196740748456477 66.32141728026824, 14.196936739925178 66.32139442685893, 14.198997657019621 66.32119600623959)"/>
    <s v="[316114, 316122, 316130, 316138, 316146, 316154, 316162, 316170, 316178, 316186, 316194, 316202]"/>
    <s v="[306754, 306762, 306768, 306777, 306786, 306793, 306799, 306806, 306815, 306823, 306831, 306697]"/>
    <s v="0.03460824308684625"/>
    <s v="[306629, 306754, 306762, 306768, 306777, 306786, 306793, 306799, 306806, 306815, 306823, 306831]"/>
    <s v="[0.021, 0.022, 0.027, 0.006, 0.039, 0.039, 0.042, 0.034, 0.042, 0.035, 0.048, 0.037]"/>
    <s v="328.38179260548594"/>
    <s v="[0.021, 0.022, 0.027, 0.006, 0.039, 0.039, 0.042, 0.034, 0.042, 0.035, 0.048, 0.037]"/>
  </r>
  <r>
    <x v="486"/>
    <x v="663"/>
    <x v="0"/>
    <s v="[1, 0, 0, 0, 0, 0, 0]"/>
    <s v="LINESTRING (14.172097454202287 66.3198946937514, 14.172448031469258 66.31982630908495, 14.173894575023022 66.31987670209327, 14.174033332951222 66.31990298162613, 14.17419399260082 66.31993912071425, 14.1752084962235 66.32016227566122, 14.190691932774152 66.32199996917706, 14.19193762235914 66.32197701547406)"/>
    <s v="[1030952, 1030960, 1030968, 1030976, 1030984, 1030992, 1031000]"/>
    <s v="[984852, 673625, 984862, 673641, 984873, 984881, 306629]"/>
    <s v="0.008405579743082273"/>
    <s v="[984851, 984852, 673625, 984862, 673641, 984873, 984881]"/>
    <s v="[0.018, 0.045, 0.03, 0.016, 0.01, 0.017, 0.156]"/>
    <s v="938.035939063004"/>
    <s v="[0.018, 0.045, 0.03, 0.016, 0.01, 0.017, -0.156]"/>
  </r>
  <r>
    <x v="487"/>
    <x v="664"/>
    <x v="0"/>
    <n v="0"/>
    <m/>
    <n v="1031008"/>
    <n v="984889"/>
    <s v="0.106"/>
    <n v="306697"/>
    <s v="0.106"/>
    <s v="42.08384250517599"/>
    <s v="0.106"/>
  </r>
  <r>
    <x v="488"/>
    <x v="665"/>
    <x v="0"/>
    <n v="0"/>
    <m/>
    <n v="320619"/>
    <n v="311078"/>
    <s v="#FIELD!"/>
    <n v="311077"/>
    <s v="0.01"/>
    <s v="20.204187099188673"/>
    <s v="#FIELD!"/>
  </r>
  <r>
    <x v="488"/>
    <x v="666"/>
    <x v="0"/>
    <n v="0"/>
    <s v="LINESTRING (11.325009337142852 59.57729368071148, 11.325163486722909 59.57726628067124, 11.325217716010828 59.57727030303285, 11.325313090448175 59.57729187690405)"/>
    <s v="[320675, 320683, 320691]"/>
    <s v="[311133, 311142, 311077]"/>
    <s v="0.02411520150617859"/>
    <s v="[311127, 311133, 311142]"/>
    <s v="[0.028, 0.028, 0.016]"/>
    <s v="18.23106797629707"/>
    <s v="[0.028, 0.028, 0.016]"/>
  </r>
  <r>
    <x v="488"/>
    <x v="667"/>
    <x v="0"/>
    <n v="0"/>
    <s v="LINESTRING (11.32518302997454 59.577041838560326, 11.325269821326096 59.57723388775213, 11.325313090448175 59.57729187690405)"/>
    <s v="[320832, 320833]"/>
    <s v="[311266, 311077]"/>
    <s v="#FIELD!"/>
    <s v="[311184, 311266]"/>
    <s v="[0.009, 0.007]"/>
    <s v="28.86144634169323"/>
    <s v="[-0.009, -0.007]"/>
  </r>
  <r>
    <x v="489"/>
    <x v="668"/>
    <x v="0"/>
    <n v="0"/>
    <s v="LINESTRING (11.32537643669288 59.57745813453008, 11.325347030421426 59.577476868218646, 11.325296763884722 59.57749838671857, 11.325170304605386 59.57751708159158, 11.325036750015105 59.57750029573655, 11.324959407658929 59.577463695526795)"/>
    <s v="[320635, 320643, 320651, 320659, 320667]"/>
    <s v="[311091, 311102, 311110, 311118, 311126]"/>
    <s v="#FIELD!"/>
    <s v="[311078, 311091, 311102, 311110, 311118]"/>
    <s v="[0.03, 0.03, 0.031, 0.02, 0.008]"/>
    <s v="27.584439203367047"/>
    <s v="[-0.03, -0.03, -0.031, -0.02, -0.008]"/>
  </r>
  <r>
    <x v="489"/>
    <x v="669"/>
    <x v="0"/>
    <n v="0"/>
    <s v="LINESTRING (11.331061380767888 59.57688342882672, 11.33093240533571 59.57691729466896, 11.325718404121494 59.57745367286053, 11.325578095667767 59.57745833402928, 11.325480243664337 59.577463019130235, 11.32537643669288 59.57745813453008)"/>
    <s v="[1795924, 2054300, 2054308, 2054316, 2054324]"/>
    <s v="[1583791, 1787243, 1787246, 1787254, 311078]"/>
    <s v="0.020894681024185555"/>
    <s v="[1583790, 1583791, 1787243, 1787246, 1787254]"/>
    <s v="[0.018, 0.024, 0.028, 0.027, 0.025]"/>
    <s v="333.1367861612724"/>
    <s v="[0.018, 0.024, -0.028, -0.027, -0.025]"/>
  </r>
  <r>
    <x v="490"/>
    <x v="666"/>
    <x v="0"/>
    <n v="0"/>
    <m/>
    <n v="320668"/>
    <n v="311127"/>
    <s v="0.018"/>
    <n v="311126"/>
    <s v="0.018"/>
    <s v="20.62914589990894"/>
    <s v="0.018"/>
  </r>
  <r>
    <x v="490"/>
    <x v="670"/>
    <x v="0"/>
    <n v="0"/>
    <s v="LINESTRING (11.324959407658929 59.577463695526795, 11.324835526312741 59.57744255196259, 11.318135524597617 59.5764930407394, 11.317693709297073 59.57642510657952)"/>
    <s v="[2054284, 2054292, 1795860]"/>
    <s v="[1787235, 1583717, 1583718]"/>
    <s v="#FIELD!"/>
    <s v="[311126, 1787235, 1583717]"/>
    <s v="[0.019, 0.045, 0.079]"/>
    <s v="432.9289677035332"/>
    <s v="[-0.019, -0.045, -0.079]"/>
  </r>
  <r>
    <x v="491"/>
    <x v="667"/>
    <x v="0"/>
    <n v="0"/>
    <s v="LINESTRING (11.32518302997454 59.577041838560326, 11.325151277374047 59.57707816939355, 11.325055646630599 59.577229363060944, 11.325009337142852 59.57729368071148)"/>
    <s v="[320809, 320815, 320824]"/>
    <s v="[311251, 311255, 311127]"/>
    <s v="#FIELD!"/>
    <s v="[311184, 311251, 311255]"/>
    <s v="[0.026, 0.023, 0.024]"/>
    <s v="29.748853180105634"/>
    <s v="[-0.026, -0.023, -0.024]"/>
  </r>
  <r>
    <x v="492"/>
    <x v="667"/>
    <x v="0"/>
    <s v="[1, 1, 1, 0, 1]"/>
    <s v="LINESTRING (11.325221568896383 59.5766304224902, 11.325216593371998 59.57666901570698, 11.325209581838099 59.57672349796215, 11.325191741769531 59.57696788925861, 11.32519041068656 59.576990306034425, 11.32518302997454 59.577041838560326)"/>
    <s v="[320699, 320704, 320712, 320726, 320734]"/>
    <s v="[311154, 311157, 311163, 311177, 311184]"/>
    <s v="#FIELD!"/>
    <s v="[311153, 311154, 311157, 311163, 311177]"/>
    <s v="[0.016, 0.017, 0.017, 0.014, 0.018]"/>
    <s v="45.89672551216817"/>
    <s v="[-0.016, -0.017, -0.017, -0.014, -0.018]"/>
  </r>
  <r>
    <x v="492"/>
    <x v="671"/>
    <x v="0"/>
    <n v="0"/>
    <s v="LINESTRING (11.325086190446148 59.57637556036927, 11.325129912126739 59.57642922969634, 11.325221568896383 59.5766304224902)"/>
    <s v="[320840, 320849]"/>
    <s v="[311275, 311153]"/>
    <s v="#FIELD!"/>
    <s v="[311274, 311275]"/>
    <s v="[0.006, 0.01]"/>
    <s v="29.477808754493687"/>
    <s v="[-0.006, -0.01]"/>
  </r>
  <r>
    <x v="492"/>
    <x v="672"/>
    <x v="0"/>
    <n v="0"/>
    <s v="LINESTRING (11.32537462317622 59.57637978015171, 11.325346953360002 59.5764363427787, 11.325221568896383 59.5766304224902)"/>
    <s v="[320857, 320865]"/>
    <s v="[311291, 311153]"/>
    <s v="#FIELD!"/>
    <s v="[311290, 311291]"/>
    <s v="[0.02, 0.023]"/>
    <s v="29.249110624239528"/>
    <s v="[-0.02, -0.023]"/>
  </r>
  <r>
    <x v="493"/>
    <x v="673"/>
    <x v="0"/>
    <n v="0"/>
    <s v="LINESTRING (11.325086190446148 59.57637556036927, 11.324993753473846 59.576299030014674, 11.325066761875274 59.576183461925055)"/>
    <s v="[1610876, 1610884]"/>
    <s v="[1445345, 1445349]"/>
    <s v="0.14166887454119295"/>
    <s v="[311274, 1445345]"/>
    <s v="[0.242, 0.07]"/>
    <s v="23.99973690327832"/>
    <s v="[0.242, 0.07]"/>
  </r>
  <r>
    <x v="493"/>
    <x v="672"/>
    <x v="0"/>
    <n v="0"/>
    <s v="LINESTRING (11.32537462317622 59.57637978015171, 11.325236035324117 59.576400534321216, 11.325086190446148 59.57637556036927)"/>
    <s v="[1610860, 1610868]"/>
    <s v="[1445334, 311274]"/>
    <s v="#FIELD!"/>
    <s v="[311290, 1445334]"/>
    <s v="[0.413, 0.421]"/>
    <s v="17.08155038495549"/>
    <s v="[0.413, -0.421]"/>
  </r>
  <r>
    <x v="494"/>
    <x v="674"/>
    <x v="0"/>
    <n v="0"/>
    <s v="LINESTRING (11.325454922395258 59.57622160274835, 11.325472722005726 59.57629554173651, 11.325434940010924 59.57634458428304, 11.325407057850681 59.57636300122877, 11.32537462317622 59.57637978015171)"/>
    <s v="[1610828, 1610836, 1610844, 1610852]"/>
    <s v="[1445313, 1445319, 1445324, 311290]"/>
    <s v="#FIELD!"/>
    <s v="[1445308, 1445313, 1445319, 1445324]"/>
    <s v="[0.024, 0.075, 0.085, 1.788]"/>
    <s v="19.37175155209127"/>
    <s v="[-0.024, -0.075, -0.085, -1.788]"/>
  </r>
  <r>
    <x v="495"/>
    <x v="675"/>
    <x v="0"/>
    <n v="0"/>
    <s v="LINESTRING (10.289949107786057 59.749669531244386, 10.289956416470014 59.74975217530581, 10.289913664778274 59.749795720751465, 10.2898357308035 59.749832174031766, 10.28960204486999 59.74983986278081)"/>
    <s v="[325771, 325772, 325779, 325780]"/>
    <s v="[315682, 315683, 315686, 315687]"/>
    <s v="#FIELD!"/>
    <s v="[315681, 315682, 315683, 315686]"/>
    <s v="[0.002, 0.006, 0.009, 0.015]"/>
    <s v="34.09673528349427"/>
    <s v="[0.002, -0.006, -0.009, -0.015]"/>
  </r>
  <r>
    <x v="495"/>
    <x v="676"/>
    <x v="0"/>
    <n v="0"/>
    <s v="LINESTRING (10.289796862311032 59.74959392309368, 10.289895778785182 59.749626312620585, 10.289949107786057 59.749669531244386)"/>
    <s v="[325861, 325867]"/>
    <s v="[315758, 315681]"/>
    <s v="0.00453890734918139"/>
    <s v="[315743, 315758]"/>
    <s v="[0.005, 0.004]"/>
    <s v="12.307032782421633"/>
    <s v="[0.005, 0.004]"/>
  </r>
  <r>
    <x v="495"/>
    <x v="677"/>
    <x v="0"/>
    <n v="0"/>
    <s v="LINESTRING (10.290200405340213 59.74946807412722, 10.289983410726776 59.749641530831326, 10.289949107786057 59.749669531244386)"/>
    <s v="[325898, 325910]"/>
    <s v="[315787, 315681]"/>
    <s v="0.000588651008707333"/>
    <s v="[315764, 315787]"/>
    <s v="[0.001, 0.002]"/>
    <s v="26.75944164372278"/>
    <s v="[0.001, -0.002]"/>
  </r>
  <r>
    <x v="496"/>
    <x v="678"/>
    <x v="0"/>
    <n v="0"/>
    <s v="LINESTRING (10.28960204486999 59.74983986278081, 10.289503657183731 59.749801573584854, 10.289451483672963 59.74975294554631)"/>
    <s v="[325785, 325816]"/>
    <s v="[315692, 315721]"/>
    <s v="#FIELD!"/>
    <s v="[315687, 315692]"/>
    <s v="[0.007, 0.002]"/>
    <s v="13.151891524526729"/>
    <s v="[-0.007, 0.002]"/>
  </r>
  <r>
    <x v="496"/>
    <x v="679"/>
    <x v="0"/>
    <n v="0"/>
    <s v="LINESTRING (10.28960204486999 59.74983986278081, 10.289516503684512 59.749857711632586, 10.28916597926341 59.749937315100574)"/>
    <s v="[325991, 326013]"/>
    <s v="[315861, 315843]"/>
    <s v="#FIELD!"/>
    <s v="[315687, 315861]"/>
    <s v="[0.016, 0.02]"/>
    <s v="26.95006649593493"/>
    <s v="[-0.016, -0.02]"/>
  </r>
  <r>
    <x v="497"/>
    <x v="676"/>
    <x v="0"/>
    <n v="0"/>
    <s v="LINESTRING (10.289451483672963 59.74975294554631, 10.289504574633575 59.74963205824075, 10.289566819015155 59.74960524147743, 10.289663539136384 59.749587110554245, 10.289796862311032 59.74959392309368)"/>
    <s v="[325824, 325834, 325838, 325839]"/>
    <s v="[315728, 315738, 315742, 315743]"/>
    <s v="0.007936520463238228"/>
    <s v="[315721, 315728, 315738, 315742]"/>
    <s v="[0.009, 0.009, 0.007, 0.006]"/>
    <s v="32.176377148371756"/>
    <s v="[0.009, 0.009, 0.007, 0.006]"/>
  </r>
  <r>
    <x v="497"/>
    <x v="679"/>
    <x v="0"/>
    <n v="0"/>
    <s v="LINESTRING (10.289451483672963 59.74975294554631, 10.289408476539453 59.74978313367293, 10.28916597926341 59.749937315100574)"/>
    <s v="[326016, 326017]"/>
    <s v="[315885, 315843]"/>
    <s v="#FIELD!"/>
    <s v="[315721, 315885]"/>
    <s v="[0.014, 0.019]"/>
    <s v="26.260977317685686"/>
    <s v="[-0.014, -0.019]"/>
  </r>
  <r>
    <x v="498"/>
    <x v="677"/>
    <x v="0"/>
    <n v="0"/>
    <s v="LINESTRING (10.290200405340213 59.74946807412722, 10.289853876540644 59.74957524734696, 10.289796862311032 59.74959392309368)"/>
    <s v="[325919, 325928]"/>
    <s v="[315807, 315743]"/>
    <s v="#FIELD!"/>
    <s v="[315764, 315807]"/>
    <s v="[0.001, 0.004]"/>
    <s v="26.867324358352732"/>
    <s v="[-0.001, -0.004]"/>
  </r>
  <r>
    <x v="499"/>
    <x v="680"/>
    <x v="0"/>
    <n v="0"/>
    <s v="LINESTRING (10.302891053319119 59.7424149720642, 10.30057298528706 59.74330372677315, 10.300445897803728 59.74340121495085, 10.299258526341795 59.74449689498163, 10.297951523132852 59.744914800168125, 10.297067179679322 59.74500419745017, 10.292036016830185 59.74775521701231, 10.29160141675053 59.74819436184686, 10.291593597240874 59.748202419073564, 10.291352580704872 59.748448779842114, 10.29131285174805 59.74848911519594, 10.290703828266185 59.74909587795046, 10.290200405340213 59.74946807412722)"/>
    <s v="[357817, 357832, 1413099, 1413107, 1413115, 1413130, 1413138, 1413144, 1413157, 1413171, 1413179, 325872]"/>
    <s v="[346205, 346227, 1291943, 1291949, 821096, 824480, 1291977, 1291985, 1291998, 1083890, 315763, 315764]"/>
    <s v="#FIELD!"/>
    <s v="[346204, 346205, 346227, 1291943, 1291949, 821096, 824480, 1291977, 1291985, 1291998, 1083890, 315763]"/>
    <s v="[0.051, 0.017, 0.021, 0.058, 0.052, 0.039, 0.013, 0.019, 0.016, 0.015, 0.01, 0.008]"/>
    <s v="1103.514628976713"/>
    <s v="[-0.051, -0.017, -0.021, -0.058, -0.052, -0.039, -0.013, -0.019, -0.016, -0.015, 0.01, 0.008]"/>
  </r>
  <r>
    <x v="500"/>
    <x v="681"/>
    <x v="0"/>
    <n v="0"/>
    <s v="LINESTRING (10.28916597926341 59.749937315100574, 10.2888680527469 59.7500568364492, 10.287942742230985 59.75061009452156, 10.287724575214405 59.750971340359676)"/>
    <s v="[325966, 1422803, 1422811]"/>
    <s v="[315844, 1298151, 1298158]"/>
    <s v="#FIELD!"/>
    <s v="[315843, 315844, 1298151]"/>
    <s v="[0.027, 0.058, 0.011]"/>
    <s v="145.0669585016544"/>
    <s v="[-0.027, -0.058, 0.011]"/>
  </r>
  <r>
    <x v="501"/>
    <x v="486"/>
    <x v="0"/>
    <n v="0"/>
    <s v="LINESTRING (10.838192432229103 63.532586137620605, 10.838823254328783 63.53289235337944, 10.839786816509104 63.53331273148348, 10.83994877346253 63.53337986558511, 10.848506395754296 63.53757359148469, 10.859403799030552 63.54217068357341, 10.860339150761908 63.542312197486)"/>
    <s v="[2119440, 2119416, 283165, 1125814, 1125822, 1125830]"/>
    <s v="[1826835, 277482, 277483, 1064280, 1064283, 628008]"/>
    <s v="#FIELD!"/>
    <s v="[315960, 1826835, 277482, 277483, 1064280, 1064283]"/>
    <s v="[0.014, 0.01, 0.009, 0.044, 0.053, 0.07]"/>
    <s v="1571.6067022014813"/>
    <s v="[-0.014, -0.01, -0.009, -0.044, -0.053, 0.07]"/>
  </r>
  <r>
    <x v="502"/>
    <x v="682"/>
    <x v="0"/>
    <n v="0"/>
    <s v="LINESTRING (23.340936413332262 69.97499322414676, 23.34094729137152 69.97502908148368, 23.340906392788483 69.97521387903055, 23.340432825223594 69.97580977728728, 23.339939916347355 69.9764449187237, 23.338791100195426 69.97766303642224, 23.33829847686927 69.97803151912879, 23.338129995062992 69.97815431284987, 23.33799338661431 69.97823850850955, 23.33712065195763 69.97859719353718, 23.335290807338215 69.97898655463314)"/>
    <s v="[1164038, 1164040, 1164048, 1164056, 1164068, 1164071, 1164081, 1164089, 1164097, 327435]"/>
    <s v="[1098132, 1098134, 1033193, 1098147, 1033183, 1098156, 1098164, 1098170, 317269, 317270]"/>
    <s v="#FIELD!"/>
    <s v="[986829, 1098132, 1098134, 1033193, 1098147, 1033183, 1098156, 1098164, 1098170, 317269]"/>
    <s v="[2.345, 0.059, 0.058, 0.06, 0.051, 0.0, 0.0, 0.0, 0.0, 0.0]"/>
    <s v="516.3991643924759"/>
    <s v="[-2.345, -0.059, -0.058, -0.06, -0.051, 0.0, 0.0, 0.0, 0.0, 0.0]"/>
  </r>
  <r>
    <x v="503"/>
    <x v="438"/>
    <x v="0"/>
    <n v="0"/>
    <s v="LINESTRING (9.634010002008132 60.77725592364715, 9.635032144527994 60.77698482810365, 9.635776714594432 60.7767955702447, 9.63584929909124 60.7767776463781, 9.636027979082922 60.776733782474444, 9.637307366972149 60.776349135431836)"/>
    <s v="[330714, 330722, 330746, 330747, 330756]"/>
    <s v="[320474, 320487, 320510, 320511, 320518]"/>
    <s v="#FIELD!"/>
    <s v="[320473, 320474, 320487, 320510, 320511]"/>
    <s v="[0.119, 0.072, 0.078, 0.086, 0.1]"/>
    <s v="206.4817032973035"/>
    <s v="[-0.119, -0.072, -0.078, -0.086, -0.1]"/>
  </r>
  <r>
    <x v="503"/>
    <x v="438"/>
    <x v="0"/>
    <n v="0"/>
    <s v="LINESTRING (9.634010002008132 60.77725592364715, 9.63485051732813 60.77695809319329, 9.634964051252826 60.776924236117736, 9.635701762124596 60.7767303303344, 9.635774909022425 60.77671311296436, 9.6359525069297 60.77666911581824, 9.637307366972149 60.776349135431836)"/>
    <s v="[330780, 330795, 330805, 330812, 330819, 330827]"/>
    <s v="[320543, 320565, 320573, 320532, 320527, 320518]"/>
    <s v="#FIELD!"/>
    <s v="[320473, 320543, 320565, 320573, 320532, 320527]"/>
    <s v="[0.101, 0.114, 0.078, 0.081, 0.092, 0.108]"/>
    <s v="206.85956350823"/>
    <s v="[-0.101, -0.114, -0.078, -0.081, -0.092, -0.108]"/>
  </r>
  <r>
    <x v="503"/>
    <x v="683"/>
    <x v="0"/>
    <n v="0"/>
    <s v="LINESTRING (9.580435616954807 60.795662836551266, 9.582901259237044 60.79479058621953, 9.583009067339242 60.7947650697018, 9.58311318603635 60.7947385039271, 9.586387476500786 60.79403830180112, 9.601388149972315 60.783538211342574, 9.603721328481734 60.78265037809188, 9.604655909113891 60.7822645460921, 9.606002928849787 60.781646230594916, 9.606808087999061 60.78134759144075, 9.612854506423625 60.7808078480721, 9.613018540407085 60.78080104019852, 9.62371572356064 60.78058520018992, 9.623852677447339 60.780575221830695, 9.623994441945204 60.780563996676065, 9.62786436016705 60.77989585058641, 9.628781045921626 60.77961649964044, 9.634010002008132 60.77725592364715)"/>
    <s v="[2149796, 2149804, 2149812, 2149820, 2149828, 2149836, 2149892, 2149900, 2149908, 2149916, 2149924, 2149932, 2149940, 2149948, 2149956, 2149967, 2149975]"/>
    <s v="[320428, 1843935, 320171, 341244, 1843943, 1843947, 1843972, 1843976, 1843978, 319038, 1843982, 320431, 1843987, 320437, 341236, 319383, 320473]"/>
    <s v="0.006366075312980464"/>
    <s v="[736345, 320428, 1843935, 320171, 341244, 1843943, 1843947, 1843972, 1843976, 1843978, 319038, 1843982, 320431, 1843987, 320437, 341236, 319383]"/>
    <s v="[0.247, 0.103, 0.098, 0.096, 0.002, 0.059, 0.104, 0.027, 0.177, 0.033, 0.004, 0.011, 0.012, 0.037, 0.035, 0.066, 0.003]"/>
    <s v="3791.9737790773834"/>
    <s v="[0.247, -0.103, -0.098, -0.096, 0.002, -0.059, -0.104, -0.027, 0.177, 0.033, 0.004, -0.011, 0.012, 0.037, 0.035, 0.066, 0.003]"/>
  </r>
  <r>
    <x v="504"/>
    <x v="684"/>
    <x v="50"/>
    <s v="[0, 0, 0, 0, 0, 0, 0, 0, 0, 0, 0, 0, 0, 1, 0, 0, 0, 0, 0, 0, 0, 0, 0, 1, 0, 0, 0, 0, 0, 0, 0, 0, 0]"/>
    <s v="LINESTRING (6.061330708056268 62.14641336174978, 6.061330708056268 62.14641336174978, 6.061346702904898 62.14638612907092, 6.063655595122824 62.14493548587817, 6.0641278467556665 62.14486346311236, 6.064508757406914 62.14481468351874, 6.0652725076608185 62.14473961774402, 6.067420947910651 62.14467961135653, 6.070003955205427 62.143928775959544, 6.070472288031875 62.14380346612207, 6.070783629469376 62.14376784556529, 6.072638131687606 62.14377398798052, 6.072909414614768 62.14378956646699, 6.073050232550746 62.14373494104039, 6.0731695625074495 62.1435870773281, 6.073509605701011 62.14331757905968, 6.073656105308438 62.14329729865716, 6.073785691873228 62.143297105650454, 6.0752860587702155 62.14348685991533, 6.076800841321157 62.14373811000466, 6.080511638866058 62.14477007068036, 6.080571629679406 62.14481861629175, 6.0806398906946795 62.14487295023842, 6.080965219187976 62.14513115400575, 6.08138377402483 62.14545951961565, 6.081559875884601 62.14559459057472, 6.081672982333437 62.145685313971434, 6.081785884841698 62.14577490322642, 6.0818698932375845 62.14583803180212, 6.081935432341834 62.14588716277018, 6.08328828632936 62.1463444380223, 6.0839700365521985 62.14645791234972, 6.085359657236664 62.14664794170362, 6.086393022608575 62.14675343433273)"/>
    <s v="[330982, 330983, 330984, 330992, 331002, 331028, 331036, 331044, 331051, 331059, 331067, 331083, 331091, 331099, 331107, 331115, 331123, 331131, 331139, 331147, 331155, 331163, 331171, 331179, 331187, 331195, 331203, 331211, 331219, 331227, 331235, 331243, 331251]"/>
    <s v="[320751, 320752, 272960, 320763, 320774, 320796, 272997, 320804, 270700, 320814, 320819, 274162, 320844, 320853, 320860, 320869, 320876, 277022, 320890, 320898, 320905, 320913, 320923, 320931, 320941, 320951, 320959, 320968, 320975, 274206, 320987, 320993, 321000]"/>
    <s v="0.028017847973051464"/>
    <s v="[320750, 320751, 320752, 272960, 320763, 320774, 320796, 272997, 320804, 270700, 320814, 320819, 274162, 320844, 320853, 320860, 320869, 320876, 277022, 320890, 320898, 320905, 320913, 320923, 320931, 320941, 320951, 320959, 320968, 320975, 274206, 320987, 320993]"/>
    <s v="[0.0, 0.042, 0.048, 0.021, 0.014, 0.002, 0.013, 0.014, 0.03, 0.036, 0.039, 0.041, 0.016, 0.004, 0.001, 0.029, 0.035, 0.041, 0.091, 0.085, 0.073, 0.07, 0.069, 0.054, 0.052, 0.055, 0.05, 0.054, 0.053, 0.05, 0.046, 0.043, 0.04]"/>
    <s v="1621.8937718355332"/>
    <s v="[0.0, -0.042, -0.048, -0.021, -0.014, 0.002, 0.013, -0.014, 0.03, 0.036, 0.039, 0.041, 0.016, -0.004, 0.001, 0.029, 0.035, 0.041, 0.091, 0.085, 0.073, 0.07, 0.069, 0.054, 0.052, 0.055, 0.05, 0.054, 0.053, 0.05, 0.046, 0.043, 0.04]"/>
  </r>
  <r>
    <x v="504"/>
    <x v="685"/>
    <x v="51"/>
    <n v="0"/>
    <s v="LINESTRING (6.061330708056268 62.14641336174978, 6.0612606001542675 62.14653192678194, 6.0550021309050805 62.15084534699493, 6.050630706866936 62.152977717927975, 6.042846914692619 62.159310641984106, 6.036778635513742 62.161885608942434, 6.037398119359039 62.16261863364171, 6.038778512510274 62.16397837216953, 6.039042526335375 62.164450592854685, 6.039247047765194 62.16482512503112, 6.039330661168842 62.16497905436734, 6.039423376543797 62.16515237856156, 6.0399515596386655 62.16617612562987, 6.039985626952286 62.166247613822485, 6.040025299083077 62.166325849060854, 6.040314840464354 62.16686085270334, 6.040328059720263 62.16688381525347, 6.040662662920167 62.16749542450551, 6.044402534593435 62.17144979773664, 6.044497591227292 62.17151975303762, 6.045453827046367 62.17210650114802, 6.046833416253587 62.17273550532577, 6.046950538765341 62.172787181515616, 6.047068828559327 62.1728373427383, 6.047298402223767 62.1729375610407, 6.047918371009179 62.17320688962094)"/>
    <s v="[982128, 982135, 982143, 982160, 982163, 982168, 982199, 982202, 982210, 982219, 982223, 982228, 982231, 982232, 982234, 982266, 982285, 982286, 982297, 2147749, 2147757, 2147765, 2147020, 2147028, 2147036]"/>
    <s v="[942881, 942888, 272272, 942910, 942912, 942916, 942932, 942933, 942936, 275610, 942945, 942948, 942951, 942952, 942953, 942977, 942994, 942995, 942998, 1842852, 1756623, 1842422, 1756636, 1842425, 1842415]"/>
    <s v="0.02165820335498119"/>
    <s v="[320750, 942881, 942888, 272272, 942910, 942912, 942916, 942932, 942933, 942936, 275610, 942945, 942948, 942951, 942952, 942953, 942977, 942994, 942995, 942998, 1842852, 1756623, 1842422, 1756636, 1842425]"/>
    <s v="[0.327, 0.023, 0.049, 0.028, 0.063, 0.052, 0.063, 0.027, 0.017, 0.009, 0.005, 0.005, 0.026, 0.025, 0.029, 0.042, 0.036, 0.019, 0.028, 0.096, 0.097, 0.095, 0.096, 0.097, 0.098]"/>
    <s v="3675.335631453776"/>
    <s v="[-0.327, 0.023, 0.049, 0.028, -0.063, 0.052, 0.063, 0.027, 0.017, 0.009, 0.005, -0.005, 0.026, 0.025, 0.029, 0.042, 0.036, 0.019, -0.028, 0.096, 0.097, 0.095, 0.096, 0.097, 0.098]"/>
  </r>
  <r>
    <x v="505"/>
    <x v="686"/>
    <x v="0"/>
    <n v="0"/>
    <s v="LINESTRING (6.086393022608575 62.14675343433273, 6.086548994043954 62.1467922693694, 6.086937640241261 62.14686194510546, 6.087054652840221 62.146884603819984)"/>
    <s v="[1299320, 1299336, 1299344]"/>
    <s v="[1211120, 1211136, 321104]"/>
    <s v="0.029182834782524005"/>
    <s v="[321000, 1211120, 1211136]"/>
    <s v="[0.768, 0.015, 1.188]"/>
    <s v="37.603635372756216"/>
    <s v="[-0.768, 0.015, 1.188]"/>
  </r>
  <r>
    <x v="505"/>
    <x v="687"/>
    <x v="0"/>
    <n v="0"/>
    <s v="LINESTRING (6.086393022608575 62.14675343433273, 6.086566368965717 62.14674785183789, 6.086984066033007 62.14675841174142, 6.08710410811245 62.146757287939664)"/>
    <s v="[2079132, 2079143, 2079144]"/>
    <s v="[1803029, 1803038, 321024]"/>
    <s v="0.020563386003408714"/>
    <s v="[321000, 1803029, 1803038]"/>
    <s v="[0.023, 0.02, 0.019]"/>
    <s v="37.21762442590906"/>
    <s v="[0.023, 0.02, 0.019]"/>
  </r>
  <r>
    <x v="506"/>
    <x v="688"/>
    <x v="0"/>
    <n v="0"/>
    <m/>
    <n v="331275"/>
    <n v="321025"/>
    <s v="#FIELD!"/>
    <n v="321024"/>
    <s v="0.001"/>
    <s v="3.9041748164422008"/>
    <s v="#FIELD!"/>
  </r>
  <r>
    <x v="506"/>
    <x v="686"/>
    <x v="0"/>
    <n v="0"/>
    <s v="LINESTRING (6.087054652840221 62.146884603819984, 6.0870503983869115 62.1468119387507, 6.08710410811245 62.146757287939664)"/>
    <s v="[331355, 331363]"/>
    <s v="[321113, 321024]"/>
    <s v="#FIELD!"/>
    <s v="[321104, 321113]"/>
    <s v="[0.027, 0.016]"/>
    <s v="14.838280344332276"/>
    <s v="[-0.027, -0.016]"/>
  </r>
  <r>
    <x v="507"/>
    <x v="689"/>
    <x v="0"/>
    <n v="0"/>
    <s v="LINESTRING (6.087164179896374 62.146736510254364, 6.087326020593273 62.14673220496686, 6.087444737800371 62.14675087048665)"/>
    <s v="[331283, 331291]"/>
    <s v="[321032, 321041]"/>
    <s v="0.020794435178706352"/>
    <s v="[321025, 321032]"/>
    <s v="[0.016, 0.027]"/>
    <s v="15.017238107147225"/>
    <s v="[0.016, 0.027]"/>
  </r>
  <r>
    <x v="507"/>
    <x v="690"/>
    <x v="0"/>
    <n v="0"/>
    <s v="LINESTRING (6.087164179896374 62.146736510254364, 6.087226023449094 62.14668615615236, 6.087337477137478 62.146551763286716, 6.087339851483268 62.14654974809578, 6.087450709560706 62.14645536594862)"/>
    <s v="[2079233, 2079241, 2079249, 2079257]"/>
    <s v="[1803101, 1803106, 1803111, 1211248]"/>
    <s v="#FIELD!"/>
    <s v="[321025, 1803101, 1803106, 1803111]"/>
    <s v="[0.014, 0.022, 0.0, 0.552]"/>
    <s v="34.87507687798633"/>
    <s v="[-0.014, -0.022, 0.0, -0.552]"/>
  </r>
  <r>
    <x v="508"/>
    <x v="686"/>
    <x v="0"/>
    <n v="0"/>
    <s v="LINESTRING (6.087444737800371 62.14675087048665, 6.087494130549337 62.1467858811759, 6.087508991187633 62.146844140031874, 6.087463772956235 62.146901493013516, 6.087417343107065 62.14692023643942, 6.087291791236245 62.14694660000898, 6.0871342148005 62.14693253561786, 6.087054652840221 62.146884603819984)"/>
    <s v="[331299, 331307, 331315, 331323, 331331, 331339, 331347]"/>
    <s v="[321049, 321056, 321068, 321076, 321087, 321095, 321104]"/>
    <s v="0.0005389076280198818"/>
    <s v="[321041, 321049, 321056, 321068, 321076, 321087, 321095]"/>
    <s v="[0.039, 0.029, 0.022, 0.007, 0.006, 0.028, 0.036]"/>
    <s v="43.626987846074414"/>
    <s v="[0.039, 0.029, 0.022, 0.007, -0.006, -0.028, -0.036]"/>
  </r>
  <r>
    <x v="508"/>
    <x v="690"/>
    <x v="0"/>
    <n v="0"/>
    <s v="LINESTRING (6.087444737800371 62.14675087048665, 6.087444276923231 62.14670777233928, 6.087463158502588 62.14656178794498, 6.087463672842854 62.14655966112198, 6.087450709560706 62.14645536594862)"/>
    <s v="[1299424, 1299432, 1299440, 1299448]"/>
    <s v="[1211228, 1211233, 1211240, 1211248]"/>
    <s v="#FIELD!"/>
    <s v="[321041, 1211228, 1211233, 1211240]"/>
    <s v="[1.541, 0.002, 0.0, 0.0]"/>
    <s v="33.05799987810809"/>
    <s v="[-1.541, 0.002, 0.0, 0.0]"/>
  </r>
  <r>
    <x v="509"/>
    <x v="691"/>
    <x v="0"/>
    <n v="0"/>
    <m/>
    <n v="741433"/>
    <n v="725739"/>
    <s v="0.237"/>
    <n v="322664"/>
    <s v="0.237"/>
    <s v="8.573937543708183"/>
    <s v="0.237"/>
  </r>
  <r>
    <x v="509"/>
    <x v="692"/>
    <x v="52"/>
    <n v="0"/>
    <s v="LINESTRING (10.75576527024349 59.89766055762443, 10.755902641903782 59.89685797637319, 10.757813973243527 59.8947768434828, 10.757859253135104 59.89471824801358)"/>
    <s v="[333033, 333041, 333049]"/>
    <s v="[322673, 322678, 322684]"/>
    <s v="0.04633088202811732"/>
    <s v="[322664, 322673, 322678]"/>
    <s v="[0.008, 0.06, 0.039]"/>
    <s v="353.10311413991496"/>
    <s v="[0.008, 0.06, 0.039]"/>
  </r>
  <r>
    <x v="509"/>
    <x v="693"/>
    <x v="0"/>
    <n v="0"/>
    <m/>
    <n v="741425"/>
    <n v="322664"/>
    <s v="#FIELD!"/>
    <n v="725731"/>
    <s v="0.198"/>
    <s v="8.802645113670412"/>
    <s v="#FIELD!"/>
  </r>
  <r>
    <x v="509"/>
    <x v="694"/>
    <x v="0"/>
    <n v="0"/>
    <s v="LINESTRING (10.760610672629385 59.9008902836788, 10.760484823807255 59.90087345210322, 10.758690515568274 59.90046588350464, 10.755914750836883 59.898222179760126, 10.75576527024349 59.89766055762443)"/>
    <s v="[1088412, 1088419, 1088420, 333025]"/>
    <s v="[1032590, 1032597, 322663, 322664]"/>
    <s v="#FIELD!"/>
    <s v="[728191, 1032590, 1032597, 322663]"/>
    <s v="[0.175, 0.181, 0.006, 0.02]"/>
    <s v="480.4522481077019"/>
    <s v="[-0.175, -0.181, -0.006, -0.02]"/>
  </r>
  <r>
    <x v="510"/>
    <x v="695"/>
    <x v="0"/>
    <n v="0"/>
    <m/>
    <n v="333081"/>
    <n v="322714"/>
    <s v="#FIELD!"/>
    <n v="322684"/>
    <s v="0.064"/>
    <s v="8.91659239853535"/>
    <s v="#FIELD!"/>
  </r>
  <r>
    <x v="510"/>
    <x v="696"/>
    <x v="0"/>
    <n v="0"/>
    <m/>
    <n v="333073"/>
    <n v="322684"/>
    <s v="#FIELD!"/>
    <n v="322700"/>
    <s v="0.16"/>
    <s v="23.495171331145006"/>
    <s v="#FIELD!"/>
  </r>
  <r>
    <x v="511"/>
    <x v="696"/>
    <x v="0"/>
    <n v="0"/>
    <s v="LINESTRING (10.758431124357678 59.89458002282331, 10.758407301228598 59.89474640090897, 10.758210699876951 59.894807329570156)"/>
    <s v="[333057, 333065]"/>
    <s v="[322692, 322700]"/>
    <s v="#FIELD!"/>
    <s v="[322691, 322692]"/>
    <s v="[0.026, 0.13]"/>
    <s v="32.72181193099441"/>
    <s v="[0.026, -0.13]"/>
  </r>
  <r>
    <x v="511"/>
    <x v="697"/>
    <x v="0"/>
    <n v="0"/>
    <m/>
    <n v="333113"/>
    <n v="322691"/>
    <s v="0.154"/>
    <n v="322733"/>
    <s v="0.154"/>
    <s v="20.85076885750538"/>
    <s v="0.154"/>
  </r>
  <r>
    <x v="511"/>
    <x v="698"/>
    <x v="0"/>
    <n v="0"/>
    <s v="LINESTRING (10.759372487492094 59.89305390070099, 10.759315884910047 59.89315917602153, 10.758503038521734 59.89452095500121, 10.758431124357678 59.89458002282331)"/>
    <s v="[741401, 741297, 741305]"/>
    <s v="[725638, 725639, 322691]"/>
    <s v="0.04653724044358766"/>
    <s v="[725713, 725638, 725639]"/>
    <s v="[0.016, 0.061, 2.357]"/>
    <s v="178.59561276733064"/>
    <s v="[-0.016, -0.061, 2.357]"/>
  </r>
  <r>
    <x v="512"/>
    <x v="699"/>
    <x v="0"/>
    <n v="0"/>
    <s v="LINESTRING (10.758210699876951 59.894807329570156, 10.758158736800452 59.89485968527425, 10.756141076600725 59.89807183736025)"/>
    <s v="[741313, 741321]"/>
    <s v="[725651, 725657]"/>
    <s v="#FIELD!"/>
    <s v="[322700, 725651]"/>
    <s v="[2.664, 0.007]"/>
    <s v="391.3925285355163"/>
    <s v="[-2.664, 0.007]"/>
  </r>
  <r>
    <x v="513"/>
    <x v="700"/>
    <x v="0"/>
    <n v="0"/>
    <s v="LINESTRING (10.75783086754089 59.89463951891929, 10.757863241778393 59.89457435705212, 10.757967486896842 59.89451633189154)"/>
    <s v="[333089, 333097]"/>
    <s v="[322721, 322727]"/>
    <s v="0.056097549097424815"/>
    <s v="[322714, 322721]"/>
    <s v="[0.005, 0.1]"/>
    <s v="16.19596384665435"/>
    <s v="[0.005, 0.1]"/>
  </r>
  <r>
    <x v="513"/>
    <x v="701"/>
    <x v="0"/>
    <n v="1"/>
    <s v="LINESTRING (10.75783086754089 59.89463951891929, 10.75773656801548 59.894608037873375, 10.757455401847976 59.89448168477539)"/>
    <s v="[333305, 333313]"/>
    <s v="[322885, 322861]"/>
    <s v="#FIELD!"/>
    <s v="[322714, 322885]"/>
    <s v="[0.153, 0.147]"/>
    <s v="27.46142041026136"/>
    <s v="[-0.153, -0.147]"/>
  </r>
  <r>
    <x v="514"/>
    <x v="697"/>
    <x v="0"/>
    <n v="0"/>
    <m/>
    <n v="333105"/>
    <n v="322733"/>
    <s v="0.147"/>
    <n v="322727"/>
    <s v="0.147"/>
    <s v="9.629988577565623"/>
    <s v="0.147"/>
  </r>
  <r>
    <x v="514"/>
    <x v="701"/>
    <x v="0"/>
    <n v="1"/>
    <s v="LINESTRING (10.757967486896842 59.89451633189154, 10.757835264426886 59.89450728532934, 10.757455401847976 59.89448168477539)"/>
    <s v="[333321, 333329]"/>
    <s v="[322898, 322861]"/>
    <s v="#FIELD!"/>
    <s v="[322727, 322898]"/>
    <s v="[0.171, 0.173]"/>
    <s v="28.932403618368898"/>
    <s v="[-0.171, -0.173]"/>
  </r>
  <r>
    <x v="515"/>
    <x v="702"/>
    <x v="0"/>
    <n v="0"/>
    <s v="LINESTRING (10.758130583537486 59.89448891439858, 10.758196117565502 59.89444113239551, 10.759112692738968 59.893198789939866, 10.759170086648156 59.89315838806627)"/>
    <s v="[333257, 333265, 333377]"/>
    <s v="[322843, 322854, 322944]"/>
    <s v="0.02150153622326994"/>
    <s v="[322733, 322843, 322854]"/>
    <s v="[0.073, 0.018, 0.055]"/>
    <s v="160.03140724366634"/>
    <s v="[0.073, 0.018, 0.055]"/>
  </r>
  <r>
    <x v="516"/>
    <x v="703"/>
    <x v="0"/>
    <s v="[1, 0]"/>
    <s v="LINESTRING (10.757455401847976 59.89448168477539, 10.755769943534961 59.89516326027507, 10.756070899750272 59.895221424004205)"/>
    <s v="[333273, 333281]"/>
    <s v="[322862, 322867]"/>
    <s v="#FIELD!"/>
    <s v="[322861, 322862]"/>
    <s v="[0.09, 0.173]"/>
    <s v="185.30020061827474"/>
    <s v="[-0.09, 0.173]"/>
  </r>
  <r>
    <x v="517"/>
    <x v="691"/>
    <x v="0"/>
    <n v="0"/>
    <s v="LINESTRING (10.759170086648156 59.89315838806627, 10.758515956180348 59.89422541075853, 10.758258707857786 59.89450664937103, 10.757904959033267 59.89483931980474, 10.756657259287833 59.8959851069388, 10.755985161766457 59.896906747335535, 10.755829081721325 59.89759061949679)"/>
    <s v="[741329, 741337, 741345, 741353, 741361, 1151015]"/>
    <s v="[725661, 725666, 725673, 725678, 725685, 725739]"/>
    <s v="#FIELD!"/>
    <s v="[322944, 725661, 725666, 725673, 725678, 725685]"/>
    <s v="[0.152, 0.079, 0.036, 0.036, 0.03, 0.016]"/>
    <s v="533.0639741154442"/>
    <s v="[-0.152, -0.079, 0.036, 0.036, -0.03, -0.016]"/>
  </r>
  <r>
    <x v="517"/>
    <x v="704"/>
    <x v="0"/>
    <n v="0"/>
    <s v="LINESTRING (10.77907741801737 59.8734405218157, 10.778834226508343 59.873792379250645, 10.778493073202052 59.874278474164, 10.778391896703535 59.874402852903756, 10.777217751444459 59.87573400077564, 10.775735880926394 59.87794016338412, 10.775732348192625 59.87794896057963, 10.7747624219651 59.87952953900686, 10.774311115603268 59.87997780212532, 10.774302635089311 59.87998569404354, 10.772889859554159 59.88113933814559, 10.772732338862252 59.88125813523492, 10.771720174041253 59.882042940040364, 10.77168806374244 59.882071759993515, 10.771671718542494 59.88208634047611, 10.771605903073764 59.882146671526186, 10.771597585424955 59.88215482029417, 10.770899275278056 59.88272311074654, 10.77038968182294 59.88313014117977, 10.770117194105001 59.88334976632384, 10.769978481495668 59.88346511907988, 10.768641030006686 59.884860628253, 10.767935944784455 59.88587638878754, 10.761158801116851 59.89125007409514, 10.761067567995491 59.891320263792856, 10.759245037767503 59.893059656685864, 10.759170086648156 59.89315838806627)"/>
    <s v="[780922, 780930, 780938, 780946, 780954, 780962, 780970, 780978, 780986, 780994, 781002, 781010, 781018, 781026, 781034, 781042, 781050, 781058, 781066, 781074, 781082, 781090, 781098, 781106, 781114, 781122]"/>
    <s v="[761059, 761068, 761077, 761085, 761092, 761102, 738703, 761117, 761124, 761134, 522601, 523306, 761156, 735164, 761171, 761182, 761190, 761198, 761204, 761212, 761219, 761227, 761236, 761243, 761253, 322944]"/>
    <s v="0.005808913632851879"/>
    <s v="[734488, 761059, 761068, 761077, 761085, 761092, 761102, 738703, 761117, 761124, 761134, 522601, 523306, 761156, 735164, 761171, 761182, 761190, 761198, 761204, 761212, 761219, 761227, 761236, 761243, 761253]"/>
    <s v="[0.304, 0.048, 0.08, 0.055, 0.038, 0.135, 0.033, 0.077, 0.054, 0.06, 0.072, 0.022, 0.052, 0.065, 0.045, 0.075, 0.0, 0.047, 0.076, 0.089, 0.028, 0.021, 0.006, 0.016, 0.044, 0.899]"/>
    <s v="2483.324177413938"/>
    <s v="[0.304, -0.048, -0.08, -0.055, 0.038, -0.135, 0.033, 0.077, 0.054, -0.06, -0.072, -0.022, 0.052, 0.065, 0.045, -0.075, 0.0, -0.047, -0.076, -0.089, 0.028, 0.021, 0.006, -0.016, -0.044, 0.899]"/>
  </r>
  <r>
    <x v="518"/>
    <x v="705"/>
    <x v="0"/>
    <n v="0"/>
    <s v="LINESTRING (10.415456412833526 61.146512450394326, 10.415769595539794 61.14651094037571, 10.415876501076372 61.14653840076742, 10.415970411757632 61.146583586096945, 10.416054601301056 61.14668671678433, 10.416051853836636 61.14674660759632, 10.41600922631037 61.146808202508375, 10.415670609984241 61.1469219832428)"/>
    <s v="[333594, 333602, 333610, 333618, 333626, 333634, 333642]"/>
    <s v="[323130, 323139, 323148, 323157, 323166, 323175, 323187]"/>
    <s v="#FIELD!"/>
    <s v="[323129, 323130, 323139, 323148, 323157, 323166, 323175]"/>
    <s v="[0.0, 0.007, 0.008, 0.013, 0.013, 0.012, 0.007]"/>
    <s v="79.95720471476244"/>
    <s v="[0.0, -0.007, -0.008, -0.013, -0.013, -0.012, -0.007]"/>
  </r>
  <r>
    <x v="518"/>
    <x v="238"/>
    <x v="0"/>
    <n v="0"/>
    <m/>
    <n v="333674"/>
    <n v="323129"/>
    <s v="0.011"/>
    <n v="323217"/>
    <s v="0.011"/>
    <s v="43.32928565864302"/>
    <s v="0.011"/>
  </r>
  <r>
    <x v="519"/>
    <x v="706"/>
    <x v="0"/>
    <n v="0"/>
    <s v="LINESTRING (10.415670609984241 61.1469219832428, 10.41551592415269 61.14691601315537, 10.41539757646322 61.14689302037714)"/>
    <s v="[333650, 333658]"/>
    <s v="[323197, 323207]"/>
    <s v="0.002706853992675567"/>
    <s v="[323187, 323197]"/>
    <s v="[0.0, 0.006]"/>
    <s v="15.232332999104564"/>
    <s v="[0.0, 0.006]"/>
  </r>
  <r>
    <x v="519"/>
    <x v="707"/>
    <x v="0"/>
    <n v="0"/>
    <s v="LINESTRING (10.415670609984241 61.1469219832428, 10.41561626236515 61.14696332343525, 10.415399768390214 61.147144272543464)"/>
    <s v="[334170, 334178]"/>
    <s v="[323657, 323242]"/>
    <s v="#FIELD!"/>
    <s v="[323187, 323657]"/>
    <s v="0.011"/>
    <s v="29.32572431624946"/>
    <s v="#FIELD!"/>
  </r>
  <r>
    <x v="520"/>
    <x v="238"/>
    <x v="0"/>
    <n v="0"/>
    <m/>
    <n v="333666"/>
    <n v="323217"/>
    <s v="0.008"/>
    <n v="323207"/>
    <s v="0.008"/>
    <s v="9.088063599837547"/>
    <s v="0.008"/>
  </r>
  <r>
    <x v="520"/>
    <x v="707"/>
    <x v="0"/>
    <n v="0"/>
    <s v="LINESTRING (10.41539757646322 61.14689302037714, 10.415394488966646 61.146938852413506, 10.415399768390214 61.147144272543464)"/>
    <s v="[334186, 334194]"/>
    <s v="[323671, 323242]"/>
    <s v="#FIELD!"/>
    <s v="[323207, 323671]"/>
    <s v="[0.014, 0.012]"/>
    <s v="28.641591788985345"/>
    <s v="[-0.014, -0.012]"/>
  </r>
  <r>
    <x v="521"/>
    <x v="708"/>
    <x v="0"/>
    <n v="0"/>
    <s v="LINESTRING (10.415399768390214 61.147144272543464, 10.415081284066062 61.14757529310598, 10.414315985281293 61.1480629084844, 10.414032756011125 61.148212829888344)"/>
    <s v="[333690, 333698, 333706]"/>
    <s v="[323243, 323254, 323263]"/>
    <s v="#FIELD!"/>
    <s v="[323242, 323243, 323254]"/>
    <s v="[0.036, 0.028, 0.032]"/>
    <s v="142.1485695936246"/>
    <s v="[-0.036, -0.028, -0.032]"/>
  </r>
  <r>
    <x v="522"/>
    <x v="709"/>
    <x v="0"/>
    <n v="0"/>
    <s v="LINESTRING (10.414032756011125 61.148212829888344, 10.413887311153731 61.14835061222034, 10.413813376186217 61.14841593685969, 10.413770347443867 61.14845374875645)"/>
    <s v="[334626, 334634, 334642]"/>
    <s v="[324059, 324065, 323274]"/>
    <s v="#FIELD!"/>
    <s v="[323263, 324059, 324065]"/>
    <s v="[0.042, 0.047, 0.035]"/>
    <s v="30.852232220263055"/>
    <s v="[-0.042, -0.047, -0.035]"/>
  </r>
  <r>
    <x v="522"/>
    <x v="710"/>
    <x v="0"/>
    <n v="0"/>
    <s v="LINESTRING (10.414032756011125 61.148212829888344, 10.413772618058594 61.14830373056146, 10.41365648024214 61.14835165026161, 10.413593271628995 61.14837902829993)"/>
    <s v="[334650, 334658, 334666]"/>
    <s v="[324082, 324089, 323335]"/>
    <s v="#FIELD!"/>
    <s v="[323263, 324082, 324089]"/>
    <s v="[0.027, 0.034, 0.038]"/>
    <s v="30.51249392085383"/>
    <s v="[-0.027, -0.034, -0.038]"/>
  </r>
  <r>
    <x v="523"/>
    <x v="240"/>
    <x v="0"/>
    <n v="0"/>
    <m/>
    <n v="333714"/>
    <n v="323275"/>
    <s v="#FIELD!"/>
    <n v="323274"/>
    <s v="0.05"/>
    <s v="18.08633418831152"/>
    <s v="#FIELD!"/>
  </r>
  <r>
    <x v="523"/>
    <x v="710"/>
    <x v="0"/>
    <n v="0"/>
    <s v="LINESTRING (10.413593271628995 61.14837902829993, 10.413691660900378 61.14840494208428, 10.413770347443867 61.14845374875645)"/>
    <s v="[333770, 333778]"/>
    <s v="[323346, 323274]"/>
    <s v="#FIELD!"/>
    <s v="[323335, 323346]"/>
    <s v="[0.018, 0.04]"/>
    <s v="12.933600220255812"/>
    <s v="[-0.018, -0.04]"/>
  </r>
  <r>
    <x v="524"/>
    <x v="236"/>
    <x v="0"/>
    <n v="0"/>
    <s v="LINESTRING (10.413721982876602 61.14860723791926, 10.413556709633047 61.14865099798843, 10.413442322776811 61.1486493619045, 10.413351991197086 61.14863073622699, 10.413268579746237 61.148591391498954, 10.413294405427731 61.14841888097667)"/>
    <s v="[333722, 333730, 333738, 333746, 333754]"/>
    <s v="[323287, 323296, 323306, 323316, 323325]"/>
    <s v="0.021105187911903373"/>
    <s v="[323275, 323287, 323296, 323306, 323316]"/>
    <s v="[0.027, 0.006, 0.017, 0.035, 0.05]"/>
    <s v="48.305046404940256"/>
    <s v="[-0.027, -0.006, 0.017, 0.035, 0.05]"/>
  </r>
  <r>
    <x v="525"/>
    <x v="711"/>
    <x v="0"/>
    <n v="0"/>
    <m/>
    <n v="334153"/>
    <n v="323577"/>
    <s v="#FIELD!"/>
    <n v="323285"/>
    <s v="0.023"/>
    <s v="267.6160572614882"/>
    <s v="#FIELD!"/>
  </r>
  <r>
    <x v="525"/>
    <x v="712"/>
    <x v="0"/>
    <n v="0"/>
    <s v="LINESTRING (20.281437561101775 69.37043240905946, 20.281488240264284 69.3706535293146, 20.288904304888547 69.37328034562735, 20.2892073759448 69.37337868827929)"/>
    <s v="[333721, 333729, 333737]"/>
    <s v="[323286, 323295, 323305]"/>
    <s v="0.019181229619383573"/>
    <s v="[323285, 323286, 323295]"/>
    <s v="[0.033, 0.022, 0.022]"/>
    <s v="482.931063475234"/>
    <s v="[-0.033, 0.022, 0.022]"/>
  </r>
  <r>
    <x v="525"/>
    <x v="713"/>
    <x v="0"/>
    <s v="[0, 0, 0, 0, 0, 0, 1, 0, 0, 0, 0, 0, 0, 0, 0, 1, 0, 0, 0, 0, 0, 0, 0, 0, 0, 0, 0, 0, 0, 0, 0, 0, 0, 0, 0, 0, 0, 0, 0, 0, 0, 0, 0, 0, 0, 0, 0, 0, 0, 0, 0, 0, 0, 0, 0, 0, 0, 0, 0, 0, 0, 0, 0, 0, 0, 0, 0, 0, 0, 0, 1, 0, 0, 0, 0, 0, 0, 0]"/>
    <s v="LINESTRING (19.95223603634337 69.27498311083161, 19.961319321125313 69.27845733131088, 19.960304031224528 69.2833180294583, 19.959764287930504 69.28607584737394, 19.981917244249953 69.29957664405104, 19.983307461116866 69.30002182061534, 19.983582473732575 69.30009878304149, 19.983843738304618 69.30017344378852, 19.984291629053033 69.30032009789888, 20.005122418705383 69.31569803064434, 20.008958259527514 69.31807544810158, 20.012622953070316 69.31944344821088, 20.014850930836246 69.32067472828504, 20.039574306324596 69.33203304881717, 20.050865445485652 69.33448187771884, 20.05377331382309 69.33600193016012, 20.053922734185342 69.33609838829351, 20.056170476751163 69.3383151452692, 20.05674067555997 69.34026703931869, 20.058149011270068 69.34398886653283, 20.076310014406623 69.35306248096347, 20.076466117808188 69.3531014165774, 20.079074940181226 69.35365933249037, 20.079201282394315 69.35368193299144, 20.090224677815158 69.35472254735517, 20.092132974400762 69.35515148389013, 20.09353406124008 69.35572176757712, 20.101890756205968 69.35972139810724, 20.10498222809109 69.36089233122293, 20.111049848094233 69.36284437218742, 20.111900236401613 69.36306347053647, 20.123040525665537 69.36635766074062, 20.123293961209743 69.36649210087522, 20.123446797334417 69.36656752483607, 20.125849812154982 69.36733148546645, 20.12600809585131 69.36736554942209, 20.127796976199132 69.36768210749919, 20.128880657430116 69.36790888386814, 20.170152527152364 69.379881676563, 20.17188464391573 69.38094363673889, 20.184199603335713 69.38509460158403, 20.19215212221448 69.38606123340134, 20.195343133944732 69.38523179488827, 20.20117677108924 69.38344669579533, 20.21352068095863 69.38024985622054, 20.214028585475127 69.38014397005267, 20.217582889630098 69.37940380505695, 20.2181471936527 69.3792852137377, 20.220417259528666 69.37881408452425, 20.224839269798423 69.37789583962281, 20.225987559109328 69.37765563477535, 20.232541490458857 69.37629005008736, 20.240781643391408 69.37481944617268, 20.24725251020185 69.37382787498449, 20.250328793805554 69.37335921049964, 20.252047406317065 69.37302445357051, 20.25539718821096 69.37184952462079, 20.2560384033347 69.37160515199078, 20.25668041031297 69.37135049673027, 20.25771925453319 69.37095424059423, 20.2595873322808 69.37022421205303, 20.261010578726946 69.36967317612623, 20.26318994854743 69.36882496592203, 20.264216817685508 69.36842627567292, 20.26699938007076 69.36734114296513, 20.267843084150996 69.36701417853911, 20.271235880672243 69.36583599490383, 20.272485640599207 69.36562816769354, 20.27293713171705 69.36559381263194, 20.273473244778668 69.36556472327395, 20.27382711591439 69.36555536338503, 20.275139098584535 69.36551421545751, 20.278466072428255 69.36569018342068, 20.278587680646442 69.36571478723283, 20.280887544519686 69.36807406366793, 20.28151059397178 69.36941356324157, 20.281523000882405 69.36967939466943, 20.281473645439394 69.3701552020644, 20.281437561101775 69.37043240905946)"/>
    <s v="[1100279, 1059069, 1059077, 1059085, 1059093, 1059101, 1059109, 1059117, 1059125, 1059133, 1059141, 1059149, 1059157, 1059165, 1059173, 1059181, 1059189, 1059197, 1059205, 1059213, 1059221, 1059229, 1059237, 1059245, 1059253, 1059261, 1059269, 1059277, 1059285, 1059293, 1059301, 1059309, 1059317, 1059325, 1059333, 1059341, 1059349, 1059357, 1059365, 1059373, 1059381, 1059389, 1059397, 1059405, 1059413, 1059421, 1059429, 1059437, 1059445, 1059453, 1059461, 1059469, 1059477, 1059485, 1059493, 1059501, 1059509, 1059517, 1059525, 1059533, 1059541, 1059549, 1059557, 1059565, 1059573, 1059581, 1059589, 1059597, 1059605, 1100287, 1100295, 1100296, 1100297, 1100306, 1100314, 1100322, 334137, 334145]"/>
    <s v="[1007084, 1007085, 911043, 1007102, 1007112, 1007121, 1007131, 364642, 1007150, 1007160, 1007169, 911053, 1007186, 364651, 1007203, 1007211, 911247, 1007231, 1007239, 1007249, 1007256, 1007266, 1007276, 1007286, 1007296, 364411, 1007313, 1007321, 1007332, 1007340, 1007348, 1007358, 1007371, 1007381, 1007390, 962387, 962392, 363784, 1007427, 1007437, 1007447, 363925, 1007465, 1007474, 1007483, 1007490, 1007499, 1007508, 962398, 962412, 1007538, 363827, 1007556, 1007568, 1007578, 1007586, 1007593, 1007602, 1007614, 1007623, 363999, 1007643, 1007653, 1007662, 1007672, 1007682, 1007690, 1007699, 1007708, 1042382, 1042389, 1042390, 1042391, 1042398, 1031553, 323641, 323521, 323285]"/>
    <s v="0.0014997054199531476"/>
    <s v="[1017026, 1007084, 1007085, 911043, 1007102, 1007112, 1007121, 1007131, 364642, 1007150, 1007160, 1007169, 911053, 1007186, 364651, 1007203, 1007211, 911247, 1007231, 1007239, 1007249, 1007256, 1007266, 1007276, 1007286, 1007296, 364411, 1007313, 1007321, 1007332, 1007340, 1007348, 1007358, 1007371, 1007381, 1007390, 962387, 962392, 363784, 1007427, 1007437, 1007447, 363925, 1007465, 1007474, 1007483, 1007490, 1007499, 1007508, 962398, 962412, 1007538, 363827, 1007556, 1007568, 1007578, 1007586, 1007593, 1007602, 1007614, 1007623, 363999, 1007643, 1007653, 1007662, 1007672, 1007682, 1007690, 1007699, 1007708, 1042382, 1042389, 1042390, 1042391, 1042398, 1031553, 323641, 323521]"/>
    <s v="[0.042, 0.032, 0.048, 0.001, 0.057, 0.021, 0.01, 0.002, 0.003, 0.014, 0.067, 0.023, 0.01, 0.003, 0.03, 0.076, 0.035, 0.046, 0.017, 0.003, 0.052, 0.005, 0.029, 0.04, 0.168, 0.093, 0.023, 0.006, 0.014, 0.021, 0.003, 0.008, 0.003, 0.002, 0.025, 0.044, 0.12, 0.007, 0.007, 0.007, 0.014, 0.009, 0.017, 0.025, 0.073, 0.032, 0.005, 0.018, 0.005, 0.001, 0.018, 0.012, 0.012, 0.017, 0.0, 0.001, 0.007, 0.011, 0.015, 0.012, 0.012, 0.011, 0.008, 0.009, 0.012, 0.002, 0.017, 0.027, 0.028, 0.029, 0.002, 0.037, 0.051, 0.036, 0.072, 0.096, 0.025, 0.021]"/>
    <s v="21284.87660332562"/>
    <s v="[0.042, 0.032, -0.048, -0.001, -0.057, -0.021, -0.01, -0.002, -0.003, -0.014, 0.067, 0.023, 0.01, -0.003, -0.03, -0.076, -0.035, -0.046, -0.017, 0.003, 0.052, 0.005, -0.029, 0.04, -0.168, -0.093, 0.023, -0.006, -0.014, -0.021, -0.003, 0.008, -0.003, 0.002, 0.025, 0.044, 0.12, 0.007, -0.007, -0.007, 0.014, -0.009, -0.017, -0.025, -0.073, -0.032, -0.005, -0.018, 0.005, -0.001, 0.018, 0.012, -0.012, -0.017, -0.0, 0.001, -0.007, -0.011, -0.015, -0.012, -0.012, -0.011, -0.008, -0.009, -0.012, -0.002, 0.017, 0.027, 0.028, 0.029, 0.002, 0.037, 0.051, 0.036, 0.072, -0.096, 0.025, 0.021]"/>
  </r>
  <r>
    <x v="526"/>
    <x v="714"/>
    <x v="0"/>
    <n v="0"/>
    <s v="LINESTRING (20.2892073759448 69.37337868827929, 20.288847710301678 69.37332417890694, 20.286231505406594 69.37298581755748)"/>
    <s v="[333937, 333945]"/>
    <s v="[323486, 323493]"/>
    <s v="#FIELD!"/>
    <s v="[323305, 323486]"/>
    <s v="[0.058, 0.076]"/>
    <s v="126.08311264042236"/>
    <s v="[-0.058, -0.076]"/>
  </r>
  <r>
    <x v="526"/>
    <x v="715"/>
    <x v="53"/>
    <n v="0"/>
    <s v="LINESTRING (20.525027364221465 69.27166220276601, 20.2892073759448 69.37337868827929)"/>
    <m/>
    <m/>
    <s v="0.0"/>
    <m/>
    <n v="0"/>
    <s v="19176.50781992076"/>
    <n v="0"/>
  </r>
  <r>
    <x v="527"/>
    <x v="710"/>
    <x v="0"/>
    <n v="0"/>
    <m/>
    <n v="333762"/>
    <n v="323335"/>
    <s v="0.015"/>
    <n v="323325"/>
    <s v="0.015"/>
    <s v="17.38863750838373"/>
    <s v="0.015"/>
  </r>
  <r>
    <x v="528"/>
    <x v="716"/>
    <x v="0"/>
    <n v="0"/>
    <s v="LINESTRING (20.286231505406594 69.37298581755748, 20.28546634848713 69.3731514139962, 20.285421244214294 69.37317348317431)"/>
    <s v="[333985, 333993]"/>
    <s v="[323529, 323532]"/>
    <s v="#FIELD!"/>
    <s v="[323493, 323529]"/>
    <s v="[0.107, 0.111]"/>
    <s v="39.08020848061944"/>
    <s v="[-0.107, -0.111]"/>
  </r>
  <r>
    <x v="528"/>
    <x v="717"/>
    <x v="0"/>
    <n v="0"/>
    <s v="LINESTRING (20.286231505406594 69.37298581755748, 20.285661797969784 69.37319708838663, 20.28561230045799 69.37321893186446)"/>
    <s v="[334025, 334033]"/>
    <s v="[323558, 323564]"/>
    <s v="#FIELD!"/>
    <s v="[323493, 323558]"/>
    <s v="[0.112, 0.079]"/>
    <s v="35.73350434306149"/>
    <s v="[-0.112, -0.079]"/>
  </r>
  <r>
    <x v="529"/>
    <x v="718"/>
    <x v="0"/>
    <n v="0"/>
    <m/>
    <n v="334001"/>
    <n v="323539"/>
    <s v="#FIELD!"/>
    <n v="323532"/>
    <s v="0.056"/>
    <s v="9.132869209905234"/>
    <s v="#FIELD!"/>
  </r>
  <r>
    <x v="529"/>
    <x v="717"/>
    <x v="0"/>
    <n v="0"/>
    <s v="LINESTRING (20.285421244214294 69.37317348317431, 20.28549815759123 69.37319179163492, 20.28561230045799 69.37321893186446)"/>
    <s v="[334057, 334065]"/>
    <s v="[323583, 323564]"/>
    <s v="0.032415921198078554"/>
    <s v="[323532, 323583]"/>
    <s v="[0.036, 0.03]"/>
    <s v="9.066008232154942"/>
    <s v="[0.036, 0.03]"/>
  </r>
  <r>
    <x v="529"/>
    <x v="711"/>
    <x v="0"/>
    <n v="0"/>
    <m/>
    <n v="334049"/>
    <n v="323532"/>
    <s v="0.019"/>
    <n v="323577"/>
    <s v="0.019"/>
    <s v="104.17016482713136"/>
    <s v="0.019"/>
  </r>
  <r>
    <x v="530"/>
    <x v="719"/>
    <x v="54"/>
    <n v="0"/>
    <s v="LINESTRING (20.285380559420457 69.37325407565324, 20.285549473373777 69.37329414558096, 20.286734399158718 69.37357467069027, 20.28692499127071 69.37361924159894, 20.287863964078575 69.37382250285619)"/>
    <s v="[334105, 334113, 334121, 334129]"/>
    <s v="[323620, 323624, 323627, 323608]"/>
    <s v="0.046312421446539236"/>
    <s v="[323539, 323620, 323624, 323627]"/>
    <s v="[0.035, 0.042, 0.051, 0.053]"/>
    <s v="116.5913580986045"/>
    <s v="[0.035, 0.042, 0.051, 0.053]"/>
  </r>
  <r>
    <x v="530"/>
    <x v="717"/>
    <x v="0"/>
    <n v="0"/>
    <m/>
    <n v="334041"/>
    <n v="323539"/>
    <s v="#FIELD!"/>
    <n v="323564"/>
    <s v="0.082"/>
    <s v="9.923245436926718"/>
    <s v="#FIELD!"/>
  </r>
  <r>
    <x v="530"/>
    <x v="711"/>
    <x v="0"/>
    <n v="0"/>
    <m/>
    <n v="334097"/>
    <n v="323539"/>
    <s v="0.014"/>
    <n v="323577"/>
    <s v="0.014"/>
    <s v="108.5514735248829"/>
    <s v="0.014"/>
  </r>
  <r>
    <x v="531"/>
    <x v="719"/>
    <x v="0"/>
    <n v="0"/>
    <s v="LINESTRING (20.28561230045799 69.37321893186446, 20.28566458765445 69.37323130750107, 20.28684864837795 69.37351600565349, 20.287863964078575 69.37382250285619)"/>
    <s v="[334073, 334081, 334089]"/>
    <s v="[323594, 323601, 323608]"/>
    <s v="0.04154150777002568"/>
    <s v="[323564, 323594, 323601]"/>
    <s v="[0.038, 0.045, 0.038]"/>
    <s v="111.4299168383435"/>
    <s v="[0.038, 0.045, 0.038]"/>
  </r>
  <r>
    <x v="532"/>
    <x v="720"/>
    <x v="0"/>
    <n v="0"/>
    <s v="LINESTRING (20.287863964078575 69.37382250285619, 20.353522012103674 69.50685467578417)"/>
    <m/>
    <m/>
    <s v="0.0"/>
    <m/>
    <n v="0"/>
    <s v="13653.259496142731"/>
    <n v="0"/>
  </r>
  <r>
    <x v="533"/>
    <x v="721"/>
    <x v="0"/>
    <n v="0"/>
    <s v="LINESTRING (10.462448342688639 61.1131007605744, 10.463280958943399 61.11333642211395, 10.46353352573174 61.11346343697642, 10.463585676353146 61.11348857117668, 10.46369667208202 61.11355435229639)"/>
    <s v="[336468, 336476, 336484, 336492]"/>
    <s v="[325736, 325744, 325751, 288077]"/>
    <s v="0.08345331583762326"/>
    <s v="[325589, 325736, 325744, 325751]"/>
    <s v="[0.088, 0.076, 0.09, 0.071]"/>
    <s v="85.499610268522"/>
    <s v="[0.088, 0.076, 0.09, 0.071]"/>
  </r>
  <r>
    <x v="534"/>
    <x v="722"/>
    <x v="0"/>
    <n v="0"/>
    <s v="LINESTRING (11.743250687471118 60.24765469068435, 11.743453239001147 60.24766940557563, 11.743584766948599 60.247678602038455, 11.7436547308435 60.247678594524494)"/>
    <s v="[336634, 336642, 336650]"/>
    <s v="[325881, 325890, 325898]"/>
    <s v="#FIELD!"/>
    <s v="[325880, 325881, 325890]"/>
    <s v="[0.036, 0.037, 0.042]"/>
    <s v="22.567732693906034"/>
    <s v="[-0.036, -0.037, -0.042]"/>
  </r>
  <r>
    <x v="534"/>
    <x v="723"/>
    <x v="0"/>
    <n v="0"/>
    <s v="LINESTRING (11.743250687471118 60.24765469068435, 11.74343741657358 60.247615961981026, 11.743557834054034 60.247593424645196, 11.74362405476694 60.24758887702544)"/>
    <s v="[336658, 336666, 336674]"/>
    <s v="[325904, 325913, 325922]"/>
    <s v="#FIELD!"/>
    <s v="[325880, 325904, 325913]"/>
    <s v="[0.049, 0.054, 0.039]"/>
    <s v="22.033990018407245"/>
    <s v="[-0.049, -0.054, -0.039]"/>
  </r>
  <r>
    <x v="534"/>
    <x v="724"/>
    <x v="0"/>
    <s v="[0, 1, 0, 0]"/>
    <s v="LINESTRING (11.740780100972673 60.24691873227289, 11.740858146087495 60.247075574147956, 11.741039950630057 60.247441560851115, 11.742629346464142 60.24769295381153, 11.743250687471118 60.24765469068435)"/>
    <s v="[337455, 337463, 337471, 337479]"/>
    <s v="[326603, 326613, 326620, 325880]"/>
    <s v="#FIELD!"/>
    <s v="[326204, 326603, 326613, 326620]"/>
    <s v="[0.024, 0.022, 0.013, 0.045]"/>
    <s v="204.45569659798906"/>
    <s v="[0.024, 0.022, -0.013, -0.045]"/>
  </r>
  <r>
    <x v="535"/>
    <x v="725"/>
    <x v="0"/>
    <n v="0"/>
    <s v="LINESTRING (6.3646770935219985 62.47144969664746, 6.36468143680357 62.471402298020486, 6.364700792419055 62.47131168951951, 6.3647816276494655 62.47122406399556)"/>
    <s v="[336647, 336655, 336663]"/>
    <s v="[325895, 325902, 325909]"/>
    <s v="0.03583324101413617"/>
    <s v="[325894, 325895, 325902]"/>
    <s v="[0.035, 0.034, 0.038]"/>
    <s v="26.10711143413331"/>
    <s v="[0.035, 0.034, 0.038]"/>
  </r>
  <r>
    <x v="535"/>
    <x v="726"/>
    <x v="0"/>
    <n v="0"/>
    <s v="LINESTRING (6.3646770935219985 62.47144969664746, 6.36478284614625 62.47145133736686, 6.364863907575665 62.4714714878881)"/>
    <s v="[989113, 989114]"/>
    <s v="[948256, 948257]"/>
    <s v="0.010092938459251561"/>
    <s v="[325894, 948256]"/>
    <s v="[0.018, 0.001]"/>
    <s v="10.225722949444663"/>
    <s v="[0.018, 0.001]"/>
  </r>
  <r>
    <x v="535"/>
    <x v="727"/>
    <x v="0"/>
    <n v="0"/>
    <s v="LINESTRING (6.364904170694914 62.47161716827096, 6.364812307790825 62.47165051011759, 6.364660081793502 62.471655089035266, 6.364555154219646 62.471625653397425, 6.3644994734636136 62.471577042992635, 6.364503553640249 62.47152518266881, 6.364560194321739 62.471478649695705, 6.3646770935219985 62.47144969664746)"/>
    <s v="[989138, 989147, 989155, 989092, 989100, 989101, 989107]"/>
    <s v="[948273, 948279, 325886, 948242, 948247, 948248, 325894]"/>
    <s v="#FIELD!"/>
    <s v="[945218, 948273, 948279, 325886, 948242, 948247, 948248]"/>
    <s v="[1.621, 0.023, 0.002, 0.021, 0.032, 0.04, 0.033]"/>
    <s v="45.01984501110424"/>
    <s v="[-1.621, -0.023, 0.002, 0.021, 0.032, 0.04, 0.033]"/>
  </r>
  <r>
    <x v="536"/>
    <x v="723"/>
    <x v="0"/>
    <n v="0"/>
    <s v="LINESTRING (11.7436547308435 60.247678594524494, 11.743621275036999 60.24763140380226, 11.74362405476694 60.24758887702544)"/>
    <s v="[337559, 337567]"/>
    <s v="[326727, 325922]"/>
    <s v="#FIELD!"/>
    <s v="[325898, 326727]"/>
    <s v="[0.019, 0.029]"/>
    <s v="10.3154127188287"/>
    <s v="[-0.019, -0.029]"/>
  </r>
  <r>
    <x v="536"/>
    <x v="728"/>
    <x v="0"/>
    <n v="0"/>
    <s v="LINESTRING (11.743996853781065 60.24750493202408, 11.744097059028174 60.247557176144575, 11.744122464650705 60.24759805843011, 11.744115159091622 60.24764793272024, 11.744005043993903 60.247720893952305, 11.7438994691534 60.24773906032793, 11.74377488075013 60.24773025023544, 11.7436547308435 60.247678594524494)"/>
    <s v="[337503, 337511, 337519, 337527, 337535, 337543, 337551]"/>
    <s v="[325952, 326664, 325929, 326682, 326692, 326696, 325898]"/>
    <s v="0.029806111293655093"/>
    <s v="[326643, 325952, 326664, 325929, 326682, 326692, 326696]"/>
    <s v="[0.002, 0.023, 0.036, 0.052, 0.053, 0.037, 0.011]"/>
    <s v="50.49819004940009"/>
    <s v="[-0.002, 0.023, 0.036, 0.052, 0.053, 0.037, 0.011]"/>
  </r>
  <r>
    <x v="537"/>
    <x v="729"/>
    <x v="0"/>
    <n v="0"/>
    <s v="LINESTRING (6.3647816276494655 62.47122406399556, 6.364979473647344 62.470864221346936, 6.365041816334614 62.47075400271627, 6.365459284173688 62.4701784023664)"/>
    <s v="[988977, 988978, 988992]"/>
    <s v="[948167, 948168, 945498]"/>
    <s v="0.09270975460528724"/>
    <s v="[325909, 948167, 948168]"/>
    <s v="[0.036, 0.036, 0.138]"/>
    <s v="122.0465979103707"/>
    <s v="[0.036, 0.036, 0.138]"/>
  </r>
  <r>
    <x v="537"/>
    <x v="726"/>
    <x v="0"/>
    <n v="0"/>
    <s v="LINESTRING (6.364863907575665 62.4714714878881, 6.364843949631825 62.471409591017206, 6.3647816276494655 62.47122406399556)"/>
    <s v="[2138661, 2138669]"/>
    <s v="[1837727, 325909]"/>
    <s v="0.029751879956199132"/>
    <s v="[948257, 1837727]"/>
    <s v="[0.029, 0.03]"/>
    <s v="28.16818409173688"/>
    <s v="[0.029, 0.03]"/>
  </r>
  <r>
    <x v="538"/>
    <x v="730"/>
    <x v="0"/>
    <n v="0"/>
    <m/>
    <n v="337487"/>
    <n v="326635"/>
    <s v="#FIELD!"/>
    <n v="325922"/>
    <s v="0.05"/>
    <s v="11.584324464138309"/>
    <s v="#FIELD!"/>
  </r>
  <r>
    <x v="539"/>
    <x v="731"/>
    <x v="0"/>
    <n v="0"/>
    <s v="LINESTRING (11.820529060904654 60.23433429527268, 11.820520410767193 60.23437318576735, 11.82049862433357 60.234471140495344)"/>
    <s v="[336730, 336738]"/>
    <s v="[325978, 325985]"/>
    <s v="0.024"/>
    <s v="[325977, 325978]"/>
    <s v="0.024"/>
    <s v="15.339445883642172"/>
    <s v="0.024"/>
  </r>
  <r>
    <x v="539"/>
    <x v="732"/>
    <x v="0"/>
    <n v="0"/>
    <s v="LINESTRING (11.820529060904654 60.23433429527268, 11.820431490979667 60.23436214844396, 11.820289010112035 60.23436304498649)"/>
    <s v="[336911, 336919]"/>
    <s v="[326149, 325991]"/>
    <s v="#FIELD!"/>
    <s v="[325977, 326149]"/>
    <s v="[0.007, 0.023]"/>
    <s v="14.127751026965637"/>
    <s v="[-0.007, -0.023]"/>
  </r>
  <r>
    <x v="539"/>
    <x v="733"/>
    <x v="0"/>
    <n v="0"/>
    <m/>
    <n v="336903"/>
    <n v="325977"/>
    <s v="0.02"/>
    <n v="326021"/>
    <s v="0.02"/>
    <s v="18.563224389251154"/>
    <s v="0.02"/>
  </r>
  <r>
    <x v="540"/>
    <x v="734"/>
    <x v="0"/>
    <s v="[0, 1, 0]"/>
    <s v="LINESTRING (11.82049862433357 60.234471140495344, 11.820591223912686 60.23462126982595, 11.820749664797704 60.23487883237509, 11.8209689045135 60.23523436155714)"/>
    <s v="[336959, 336967, 336975]"/>
    <s v="[326194, 326202, 326008]"/>
    <s v="0.032337419833647095"/>
    <s v="[325985, 326194, 326202]"/>
    <s v="[0.032, 0.033, 0.032]"/>
    <s v="88.93569402012693"/>
    <s v="[0.032, 0.033, 0.032]"/>
  </r>
  <r>
    <x v="540"/>
    <x v="732"/>
    <x v="0"/>
    <n v="0"/>
    <s v="LINESTRING (11.820289010112035 60.23436304498649, 11.820352599491484 60.2343958410377, 11.82049862433357 60.234471140495344)"/>
    <s v="[336746, 336754]"/>
    <s v="[325992, 325985]"/>
    <s v="0.03521352861861495"/>
    <s v="[325991, 325992]"/>
    <s v="[0.038, 0.034]"/>
    <s v="16.730609683351755"/>
    <s v="[0.038, 0.034]"/>
  </r>
  <r>
    <x v="541"/>
    <x v="735"/>
    <x v="0"/>
    <n v="0"/>
    <m/>
    <n v="336927"/>
    <n v="326013"/>
    <s v="#FIELD!"/>
    <n v="325991"/>
    <s v="0.033"/>
    <s v="17.669729572654802"/>
    <s v="#FIELD!"/>
  </r>
  <r>
    <x v="542"/>
    <x v="736"/>
    <x v="0"/>
    <n v="0"/>
    <s v="LINESTRING (11.8209689045135 60.23523436155714, 11.821099407630262 60.23530466934471, 11.821160391294994 60.23533752829616)"/>
    <s v="[336762, 336770]"/>
    <s v="[326009, 326015]"/>
    <s v="0.03922942953591244"/>
    <s v="[326008, 326009]"/>
    <s v="[0.037, 0.044]"/>
    <s v="15.641719862010962"/>
    <s v="[0.037, 0.044]"/>
  </r>
  <r>
    <x v="542"/>
    <x v="737"/>
    <x v="0"/>
    <n v="0"/>
    <s v="LINESTRING (11.8209689045135 60.23523436155714, 11.820960232995477 60.2353265922069, 11.82095711299416 60.23535970254739)"/>
    <s v="[337010, 337018]"/>
    <s v="[326231, 326236]"/>
    <s v="0.028207510815112063"/>
    <s v="[326008, 326231]"/>
    <s v="[0.029, 0.026]"/>
    <s v="13.980014321354616"/>
    <s v="[0.029, 0.026]"/>
  </r>
  <r>
    <x v="543"/>
    <x v="733"/>
    <x v="0"/>
    <n v="0"/>
    <s v="LINESTRING (11.82010489185036 60.23424360924299, 11.82018023455346 60.234152411391314, 11.82027448301845 60.23412340044378, 11.82040809010504 60.234118966335316, 11.820575762780672 60.234178789829166)"/>
    <s v="[336935, 336943, 336951, 336895]"/>
    <s v="[326171, 326179, 326134, 326021]"/>
    <s v="0.012035843140847154"/>
    <s v="[326013, 326171, 326179, 326134]"/>
    <s v="[0.014, 0.005, 0.024, 0.033]"/>
    <s v="36.51158126937394"/>
    <s v="[-0.014, 0.005, 0.024, 0.033]"/>
  </r>
  <r>
    <x v="543"/>
    <x v="738"/>
    <x v="0"/>
    <n v="0"/>
    <s v="LINESTRING (11.813108814267771 60.236007900880544, 11.813563575262181 60.23588855101964, 11.819919086767017 60.23428634738183, 11.820035146515316 60.2342593873196, 11.82010489185036 60.23424360924299)"/>
    <s v="[337745, 336751, 336759, 336767]"/>
    <s v="[325997, 325998, 326005, 326013]"/>
    <s v="0.008912427645990924"/>
    <s v="[326281, 325997, 325998, 326005]"/>
    <s v="[0.008, 0.009, 0.01, 0.005]"/>
    <s v="438.17305214169716"/>
    <s v="[0.008, 0.009, 0.01, 0.005]"/>
  </r>
  <r>
    <x v="544"/>
    <x v="739"/>
    <x v="0"/>
    <n v="0"/>
    <m/>
    <n v="336983"/>
    <n v="326036"/>
    <s v="0.034"/>
    <n v="326015"/>
    <s v="0.034"/>
    <s v="10.245438009408625"/>
    <s v="0.034"/>
  </r>
  <r>
    <x v="544"/>
    <x v="737"/>
    <x v="0"/>
    <n v="0"/>
    <s v="LINESTRING (11.82095711299416 60.23535970254739, 11.82103250735916 60.2353406626983, 11.821160391294994 60.23533752829616)"/>
    <s v="[337055, 337063]"/>
    <s v="[326265, 326015]"/>
    <s v="0.01944287419881575"/>
    <s v="[326236, 326265]"/>
    <s v="[0.008, 0.027]"/>
    <s v="11.77843254749413"/>
    <s v="[0.008, 0.027]"/>
  </r>
  <r>
    <x v="545"/>
    <x v="740"/>
    <x v="0"/>
    <n v="0"/>
    <s v="LINESTRING (11.820575762780672 60.234178789829166, 11.820666100733698 60.23416811504365, 11.829724925353725 60.23347316150635, 11.83049633015047 60.23344914497632)"/>
    <s v="[336775, 336783, 337774]"/>
    <s v="[326022, 326029, 326302]"/>
    <s v="0.00046183364562702237"/>
    <s v="[326021, 326022, 326029]"/>
    <s v="[0.017, 0.0, 0.004]"/>
    <s v="560.2657837868264"/>
    <s v="[0.017, -0.0, 0.004]"/>
  </r>
  <r>
    <x v="546"/>
    <x v="741"/>
    <x v="0"/>
    <n v="0"/>
    <m/>
    <n v="336991"/>
    <n v="326063"/>
    <s v="0.025"/>
    <n v="326036"/>
    <s v="0.025"/>
    <s v="8.652080674514474"/>
    <s v="0.025"/>
  </r>
  <r>
    <x v="546"/>
    <x v="742"/>
    <x v="0"/>
    <n v="0"/>
    <s v="LINESTRING (11.821314680430149 60.23538822363464, 11.821388810269095 60.2353827849668, 11.81606034470511 60.23556624527031, 11.815578439742948 60.235623981720124)"/>
    <s v="[336791, 336799, 337753]"/>
    <s v="[326037, 326047, 326255]"/>
    <s v="#FIELD!"/>
    <s v="[326036, 326037, 326047]"/>
    <s v="[0.011, 0.017, 0.018]"/>
    <s v="449.057260354442"/>
    <s v="[-0.011, -0.017, -0.018]"/>
  </r>
  <r>
    <x v="547"/>
    <x v="737"/>
    <x v="0"/>
    <n v="0"/>
    <s v="LINESTRING (11.821360979990873 60.2354623893655, 11.821293991873212 60.23554570079165, 11.821196138560744 60.235578310333594, 11.821058815485486 60.23558373455678, 11.820931051673412 60.23555020904796, 11.820866423218257 60.23549734972405, 11.820860013774965 60.235436720552414, 11.82095711299416 60.23535970254739)"/>
    <s v="[336999, 337007, 337015, 337023, 337031, 337039, 337047]"/>
    <s v="[326050, 326230, 326023, 326240, 326245, 326253, 326236]"/>
    <s v="#FIELD!"/>
    <s v="[326063, 326050, 326230, 326023, 326240, 326245, 326253]"/>
    <s v="[0.031, 0.005, 0.027, 0.036, 0.036, 0.031, 0.011]"/>
    <s v="55.94215693762514"/>
    <s v="[0.031, -0.005, -0.027, -0.036, -0.036, -0.031, -0.011]"/>
  </r>
  <r>
    <x v="547"/>
    <x v="743"/>
    <x v="0"/>
    <n v="0"/>
    <s v="LINESTRING (11.827811393309213 60.233825076651115, 11.827460599662377 60.23389270471938, 11.821428324841845 60.235447532487974, 11.821360979990873 60.2354623893655)"/>
    <s v="[337768, 336807, 336815]"/>
    <s v="[326055, 326056, 326063]"/>
    <s v="0.009858727563552026"/>
    <s v="[326260, 326055, 326056]"/>
    <s v="[0.007, 0.01, 0.011]"/>
    <s v="413.7618270391851"/>
    <s v="[0.007, 0.01, 0.011]"/>
  </r>
  <r>
    <x v="548"/>
    <x v="45"/>
    <x v="0"/>
    <n v="0"/>
    <s v="LINESTRING (11.975824991882716 60.195111711019365, 11.975959133542254 60.19515233126533, 11.976062729189618 60.195250299471425)"/>
    <s v="[337271, 337279]"/>
    <s v="[326436, 326129]"/>
    <s v="#FIELD!"/>
    <s v="[326074, 326436]"/>
    <s v="[0.124, 0.099]"/>
    <s v="21.043527560861428"/>
    <s v="[-0.124, -0.099]"/>
  </r>
  <r>
    <x v="548"/>
    <x v="744"/>
    <x v="0"/>
    <n v="0"/>
    <s v="LINESTRING (11.975350685259446 60.1953000894266, 11.97540738694207 60.19518214842343, 11.975501526411975 60.195133889610254, 11.975581416390494 60.19511298029726, 11.975824991882716 60.195111711019365)"/>
    <s v="[337239, 337247, 337255, 337263]"/>
    <s v="[326404, 326412, 326420, 326074]"/>
    <s v="#FIELD!"/>
    <s v="[326403, 326404, 326412, 326420]"/>
    <s v="[0.043, 0.018, 0.064, 0.102]"/>
    <s v="39.94291469417722"/>
    <s v="[0.043, -0.018, -0.064, -0.102]"/>
  </r>
  <r>
    <x v="549"/>
    <x v="745"/>
    <x v="0"/>
    <n v="0"/>
    <s v="LINESTRING (11.976062729189618 60.195250299471425, 11.976008599702064 60.19537953108429, 11.975893093767898 60.19543423927923, 11.975746623700445 60.19545909223785, 11.975634481201638 60.19545590363705)"/>
    <s v="[337287, 337295, 337303, 337311]"/>
    <s v="[326450, 326459, 326468, 326477]"/>
    <s v="0.022739403939881126"/>
    <s v="[326129, 326450, 326459, 326468]"/>
    <s v="[0.038, 0.034, 0.061, 0.1]"/>
    <s v="38.62760456831889"/>
    <s v="[-0.038, 0.034, 0.061, 0.1]"/>
  </r>
  <r>
    <x v="550"/>
    <x v="724"/>
    <x v="0"/>
    <n v="0"/>
    <s v="LINESTRING (11.740799784243459 60.24678262413442, 11.740793779912792 60.24682409216241, 11.740780100972673 60.24691873227289)"/>
    <s v="[336962, 336970]"/>
    <s v="[326197, 326204]"/>
    <s v="0.018085985022778063"/>
    <s v="[326196, 326197]"/>
    <s v="[0.016, 0.019]"/>
    <s v="15.203802182542496"/>
    <s v="[0.016, 0.019]"/>
  </r>
  <r>
    <x v="550"/>
    <x v="746"/>
    <x v="0"/>
    <n v="0"/>
    <s v="LINESTRING (11.740799784243459 60.24678262413442, 11.74072105233434 60.246799919955066, 11.740629843053062 60.24680271071557)"/>
    <s v="[337407, 337415]"/>
    <s v="[326558, 326210]"/>
    <s v="#FIELD!"/>
    <s v="[326196, 326558]"/>
    <s v="[0.012, 0.023]"/>
    <s v="9.828382278896324"/>
    <s v="[-0.012, -0.023]"/>
  </r>
  <r>
    <x v="550"/>
    <x v="747"/>
    <x v="0"/>
    <n v="0"/>
    <m/>
    <n v="337399"/>
    <n v="326196"/>
    <s v="0.01"/>
    <n v="326543"/>
    <s v="0.01"/>
    <s v="19.210883244335825"/>
    <s v="0.01"/>
  </r>
  <r>
    <x v="551"/>
    <x v="746"/>
    <x v="0"/>
    <n v="0"/>
    <s v="LINESTRING (11.740629843053062 60.24680271071557, 11.740676649411437 60.24683885372252, 11.740780100972673 60.24691873227289)"/>
    <s v="[336978, 336986]"/>
    <s v="[326211, 326204]"/>
    <s v="0.029246064247234426"/>
    <s v="[326210, 326211]"/>
    <s v="[0.032, 0.028]"/>
    <s v="15.373760113698506"/>
    <s v="[0.032, 0.028]"/>
  </r>
  <r>
    <x v="552"/>
    <x v="748"/>
    <x v="0"/>
    <n v="0"/>
    <m/>
    <n v="337423"/>
    <n v="326570"/>
    <s v="#FIELD!"/>
    <n v="326210"/>
    <s v="0.029"/>
    <s v="20.53857265154025"/>
    <s v="#FIELD!"/>
  </r>
  <r>
    <x v="553"/>
    <x v="743"/>
    <x v="0"/>
    <n v="0"/>
    <m/>
    <n v="337050"/>
    <n v="326260"/>
    <s v="0.005"/>
    <n v="326255"/>
    <s v="0.005"/>
    <s v="707.1195230594567"/>
    <s v="0.005"/>
  </r>
  <r>
    <x v="553"/>
    <x v="749"/>
    <x v="55"/>
    <n v="0"/>
    <s v="LINESTRING (11.750460222021351 60.24661094700167, 11.750465489176666 60.246610698635884, 11.750563440673258 60.246605891649295, 11.752321612250634 60.24651276214264, 11.757972120458678 60.246209815623494, 11.787569916704244 60.242411929165776, 11.80849252220927 60.23704620935536, 11.813143455103441 60.23608302962209, 11.815578439742948 60.235623981720124)"/>
    <s v="[337202, 337210, 337218, 337226, 336994, 337322, 337034, 337042]"/>
    <s v="[326372, 326379, 326385, 326220, 326221, 326246, 326247, 326255]"/>
    <s v="0.0014371147526818868"/>
    <s v="[326368, 326372, 326379, 326385, 326220, 326221, 326246, 326247]"/>
    <s v="[0.02, 0.011, 0.01, 0.007, 0.007, 0.009, 0.003, 0.009]"/>
    <s v="3843.408510979718"/>
    <s v="[0.02, 0.011, 0.01, 0.007, 0.007, -0.009, 0.003, 0.009]"/>
  </r>
  <r>
    <x v="554"/>
    <x v="750"/>
    <x v="0"/>
    <s v="[0, 0, 0, 1, 0, 0, 0, 1, 0, 0, 0]"/>
    <s v="LINESTRING (11.827811393309213 60.233825076651115, 11.830476072802199 60.233529354283895, 11.833176358838534 60.23324216639643, 11.845965894212904 60.231073026828554, 11.847556466835357 60.230646106369036, 11.85757283082026 60.226635123301996, 11.86223196419354 60.22274831890866, 11.867307536141196 60.21785790159091, 11.867675028404829 60.21759539565945, 11.872004152721514 60.215338110679866, 11.880191552021493 60.212895956888495, 11.884894901677846 60.21108687775226)"/>
    <s v="[337058, 337066, 337330, 337338, 337346, 337386, 337394, 337402, 337410, 337418, 656706]"/>
    <s v="[326266, 326273, 326493, 326502, 326507, 326538, 326547, 326553, 326561, 326567, 648163]"/>
    <s v="0.001467793621311556"/>
    <s v="[326260, 326266, 326273, 326493, 326502, 326507, 326538, 326547, 326553, 326561, 326567]"/>
    <s v="[0.003, 0.002, 0.007, 0.002, 0.011, 0.033, 0.039, 0.009, 0.009, 0.002, 0.022]"/>
    <s v="4236.887319926679"/>
    <s v="[-0.003, -0.002, -0.007, -0.002, 0.011, 0.033, -0.039, 0.009, 0.009, 0.002, 0.022]"/>
  </r>
  <r>
    <x v="555"/>
    <x v="740"/>
    <x v="0"/>
    <n v="0"/>
    <s v="LINESTRING (11.813108814267771 60.236007900880544, 11.815556858436851 60.235551279036635, 11.827819555515813 60.23374612386016, 11.83049633015047 60.23344914497632)"/>
    <s v="[337082, 337090, 337098]"/>
    <s v="[326288, 326295, 326302]"/>
    <s v="0.004367414030986753"/>
    <s v="[326281, 326288, 326295]"/>
    <s v="[0.009, 0.005, 0.003]"/>
    <s v="1005.7279773266057"/>
    <s v="[0.009, 0.005, -0.003]"/>
  </r>
  <r>
    <x v="555"/>
    <x v="751"/>
    <x v="0"/>
    <n v="0"/>
    <s v="LINESTRING (11.750067132790852 60.24655543096214, 11.750449054594753 60.24653524268174, 11.75054691963065 60.246530029210696, 11.752304688651558 60.24643690810334, 11.757953779920461 60.24613335275916, 11.787506594221972 60.24234246031003, 11.808423804208163 60.23697612691298, 11.813108814267771 60.236007900880544)"/>
    <s v="[337290, 337298, 337306, 337314, 337002, 337026, 337074]"/>
    <s v="[326455, 326464, 326472, 326225, 326226, 326241, 326281]"/>
    <s v="0.001459021142620167"/>
    <s v="[326447, 326455, 326464, 326472, 326225, 326226, 326241]"/>
    <s v="[0.011, 0.01, 0.01, 0.006, 0.007, 0.008, 0.003]"/>
    <s v="3719.1346613760547"/>
    <s v="[0.011, 0.01, 0.01, 0.006, 0.007, -0.008, 0.003]"/>
  </r>
  <r>
    <x v="556"/>
    <x v="752"/>
    <x v="0"/>
    <s v="[0, 0, 1, 0, 0, 0, 1, 0, 0, 0, 0]"/>
    <s v="LINESTRING (11.83049633015047 60.23344914497632, 11.83315854107354 60.233165468465565, 11.845895625882184 60.23100521937253, 11.847481002069928 60.2305797038291, 11.857454068059393 60.22658684006589, 11.862093018098028 60.222716041902764, 11.867141233913634 60.21784426655552, 11.867501545935593 60.21758509583263, 11.871916387971412 60.21527649987031, 11.88011680662367 60.212829320572965, 11.88477922510335 60.21103669638524, 11.885531807013034 60.2105707910992)"/>
    <s v="[337106, 337114, 337122, 337130, 337354, 337362, 337370, 337378, 337138, 2069969, 2069977]"/>
    <s v="[326308, 326312, 326317, 326324, 326514, 326519, 326527, 326329, 326330, 1797382, 1797387]"/>
    <s v="0.0017684132819136224"/>
    <s v="[326302, 326308, 326312, 326317, 326324, 326514, 326519, 326527, 326329, 326330, 1797382]"/>
    <s v="[0.002, 0.007, 0.003, 0.01, 0.033, 0.037, 0.009, 0.01, 0.001, 0.022, 0.006]"/>
    <s v="4143.737664778913"/>
    <s v="[-0.002, -0.007, -0.003, 0.01, 0.033, -0.037, 0.009, 0.01, 0.001, 0.022, 0.006]"/>
  </r>
  <r>
    <x v="557"/>
    <x v="753"/>
    <x v="0"/>
    <n v="0"/>
    <m/>
    <n v="337234"/>
    <n v="326400"/>
    <s v="0.017"/>
    <n v="326335"/>
    <s v="0.017"/>
    <s v="131.98423702073902"/>
    <s v="0.017"/>
  </r>
  <r>
    <x v="557"/>
    <x v="754"/>
    <x v="0"/>
    <n v="0"/>
    <s v="LINESTRING (11.733096931048598 60.24795992288121, 11.735476346627056 60.24786497272253, 11.737828841089192 60.24765637784041)"/>
    <s v="[337146, 337154]"/>
    <s v="[326336, 326339]"/>
    <s v="#FIELD!"/>
    <s v="[326335, 326336]"/>
    <s v="[0.02, 0.027]"/>
    <s v="264.90860236296794"/>
    <s v="[0.02, -0.027]"/>
  </r>
  <r>
    <x v="558"/>
    <x v="749"/>
    <x v="0"/>
    <n v="0"/>
    <s v="LINESTRING (11.737828841089192 60.24765637784041, 11.737866801089094 60.2476518838083, 11.73905613346392 60.24750480292642, 11.74293744267823 60.24704811546449, 11.750044140385596 60.24663342545187, 11.750460222021351 60.24661094700167)"/>
    <s v="[337162, 337170, 337178, 337186, 337194]"/>
    <s v="[326343, 326350, 326358, 326364, 326368]"/>
    <s v="#FIELD!"/>
    <s v="[326339, 326343, 326350, 326358, 326364]"/>
    <s v="[0.056, 0.035, 0.011, 0.006, 0.011]"/>
    <s v="710.5194674728657"/>
    <s v="[-0.056, -0.035, -0.011, -0.006, 0.011]"/>
  </r>
  <r>
    <x v="558"/>
    <x v="730"/>
    <x v="0"/>
    <n v="0"/>
    <s v="LINESTRING (11.743742922648405 60.24750606635836, 11.74375057581604 60.24746725375369, 11.743745525503796 60.24739982242387, 11.7382066055368 60.24764313156732, 11.737828841089192 60.24765637784041)"/>
    <s v="[2159562, 2159570, 2159578, 337682]"/>
    <s v="[1849621, 1849627, 326857, 326339]"/>
    <s v="0.01576946057890816"/>
    <s v="[326635, 1849621, 1849627, 326857]"/>
    <s v="[0.253, 0.024, 0.012, 0.039]"/>
    <s v="356.22990163920434"/>
    <s v="[0.253, -0.024, 0.012, 0.039]"/>
  </r>
  <r>
    <x v="559"/>
    <x v="728"/>
    <x v="0"/>
    <n v="0"/>
    <s v="LINESTRING (11.750460222021351 60.24661094700167, 11.75014961427258 60.24665138559037, 11.743916671440694 60.2473912728479, 11.743957070056897 60.24745956302017, 11.743996853781065 60.24750493202408)"/>
    <s v="[337690, 2159586, 2159594, 2159602]"/>
    <s v="[326868, 1849640, 1849646, 326643]"/>
    <s v="0.0021988090616114593"/>
    <s v="[326368, 326868, 1849640, 1849646]"/>
    <s v="[0.01, 0.007, 0.021, 0.303]"/>
    <s v="395.8751479892404"/>
    <s v="[-0.01, 0.007, 0.021, -0.303]"/>
  </r>
  <r>
    <x v="560"/>
    <x v="751"/>
    <x v="0"/>
    <n v="0"/>
    <s v="LINESTRING (11.735457792673769 60.247801512859134, 11.737837359126386 60.2475769865441, 11.739027834665228 60.24742965550079, 11.742913381984149 60.24697280350006, 11.750027295037132 60.24655756396811, 11.750067132790852 60.24655543096214)"/>
    <s v="[337250, 337258, 337266, 337274, 337282]"/>
    <s v="[326415, 326423, 326430, 326439, 326447]"/>
    <s v="#FIELD!"/>
    <s v="[326400, 326415, 326423, 326430, 326439]"/>
    <s v="[0.027, 0.035, 0.01, 0.006, 0.011]"/>
    <s v="822.2763485979236"/>
    <s v="[-0.027, -0.035, -0.01, -0.006, 0.011]"/>
  </r>
  <r>
    <x v="560"/>
    <x v="748"/>
    <x v="0"/>
    <n v="0"/>
    <s v="LINESTRING (11.735457792673769 60.247801512859134, 11.73557900030156 60.24778617321015, 11.740320187626764 60.246688207969996, 11.740407690921222 60.24667341948219)"/>
    <s v="[337674, 2159546, 2159554]"/>
    <s v="[326848, 1849611, 326570]"/>
    <s v="#FIELD!"/>
    <s v="[326400, 326848, 1849611]"/>
    <s v="[0.014, 0.029, 0.388]"/>
    <s v="307.58890939178013"/>
    <s v="[0.014, -0.029, 0.388]"/>
  </r>
  <r>
    <x v="561"/>
    <x v="745"/>
    <x v="0"/>
    <n v="0"/>
    <s v="LINESTRING (11.975634481201638 60.19545590363705, 11.975441889057043 60.1954048287481, 11.975350685259446 60.1953000894266)"/>
    <s v="[337319, 337327]"/>
    <s v="[326485, 326403]"/>
    <s v="0.10875232877584573"/>
    <s v="[326477, 326485]"/>
    <s v="[0.119, 0.099]"/>
    <s v="24.8219277382538"/>
    <s v="[0.119, 0.099]"/>
  </r>
  <r>
    <x v="561"/>
    <x v="755"/>
    <x v="0"/>
    <s v="[0, 1, 1, 0, 0, 1, 0, 0, 0, 0, 0, 0, 0, 0]"/>
    <s v="LINESTRING (11.89673347009207 60.20716847863639, 11.899767381001505 60.20712019303642, 11.905919372463273 60.20668856212474, 11.912957461468825 60.205414028518014, 11.914489388986008 60.20508119730772, 11.94206820329442 60.206619887574554, 11.942644011095162 60.206537746773954, 11.945113643386616 60.20604316980587, 11.960338953016523 60.20022045144768, 11.966812956437607 60.19842742882458, 11.967995089817443 60.198076729674, 11.9680162883424 60.19807037687275, 11.973928880482575 60.19598478131959, 11.975284913390999 60.19536561858146, 11.975350685259446 60.1953000894266)"/>
    <s v="[2070001, 2070009, 656752, 656760, 337642, 337650, 337658, 337442, 337490, 337498, 337506, 337514, 337522, 337530]"/>
    <s v="[1797406, 648203, 648204, 326808, 326809, 326816, 326590, 326591, 326638, 326648, 326657, 326668, 326675, 326403]"/>
    <s v="0.0002592840072601649"/>
    <s v="[1797401, 1797406, 648203, 648204, 326808, 326809, 326816, 326590, 326591, 326638, 326648, 326657, 326668, 326675]"/>
    <s v="[0.004, 0.028, 0.011, 0.026, 0.001, 0.026, 0.027, 0.012, 0.02, 0.037, 0.018, 0.004, 0.024, 0.021]"/>
    <s v="4842.26429069284"/>
    <s v="[0.004, -0.028, -0.011, 0.026, 0.001, 0.026, 0.027, 0.012, -0.02, -0.037, -0.018, 0.004, 0.024, 0.021]"/>
  </r>
  <r>
    <x v="562"/>
    <x v="747"/>
    <x v="0"/>
    <n v="0"/>
    <s v="LINESTRING (11.740891704655565 60.24662726325407, 11.740977679387306 60.24661420713528, 11.741070355916262 60.24660338249727, 11.749072340210896 60.24655740626424, 11.750067132790852 60.24655543096214)"/>
    <s v="[2159610, 2159618, 2159626, 337666]"/>
    <s v="[1849655, 1849660, 326838, 326447]"/>
    <s v="#FIELD!"/>
    <s v="[326543, 1849655, 1849660, 326838]"/>
    <s v="[0.604, 0.011, 0.005, 0.016]"/>
    <s v="514.3415622687658"/>
    <s v="[-0.604, -0.011, -0.005, 0.016]"/>
  </r>
  <r>
    <x v="563"/>
    <x v="756"/>
    <x v="56"/>
    <s v="[0, 0, 1, 1, 0, 0, 1, 0, 0, 0, 0, 0, 0, 0]"/>
    <s v="LINESTRING (11.896266850140512 60.20726870391912, 11.896747290549806 60.2072443985655, 11.899764152123973 60.20719663023624, 11.906098405004373 60.20674519988621, 11.913013168882943 60.20548397605091, 11.91454575944019 60.205151033795715, 11.942109413679278 60.206694968493636, 11.94268821725066 60.206609751694934, 11.945184105905438 60.20611030691719, 11.960420067105064 60.20028562311986, 11.966888291775776 60.19849330876442, 11.968091323293535 60.198136986032516, 11.974020278740216 60.19604546200515, 11.975482393929582 60.19548315297184, 11.975634481201638 60.19545590363705)"/>
    <s v="[656724, 656731, 656732, 656733, 656744, 337618, 337626, 337634, 337426, 337450, 337458, 337466, 337474, 337482]"/>
    <s v="[648178, 648183, 648184, 648185, 326792, 326793, 326797, 326573, 326574, 326597, 326607, 326616, 326622, 326477]"/>
    <s v="#FIELD!"/>
    <s v="[648172, 648178, 648183, 648184, 648185, 326792, 326793, 326797, 326573, 326574, 326597, 326607, 326616, 326622]"/>
    <s v="[0.013, 0.006, 0.03, 0.011, 0.022, 0.0, 0.027, 0.025, 0.012, 0.02, 0.035, 0.003, 0.014, 0.07]"/>
    <s v="4874.804134311199"/>
    <s v="[0.013, 0.006, -0.03, -0.011, 0.022, 0.0, 0.027, 0.025, 0.012, -0.02, -0.035, 0.003, 0.014, -0.07]"/>
  </r>
  <r>
    <x v="564"/>
    <x v="748"/>
    <x v="0"/>
    <n v="0"/>
    <s v="LINESTRING (11.740407690921222 60.24667341948219, 11.740510795642288 60.24657647514279, 11.74058531494852 60.24655790770085, 11.740656377328959 60.24655228540538, 11.740891704655565 60.24662726325407)"/>
    <s v="[337431, 337439, 337447, 337391]"/>
    <s v="[326579, 326586, 326174, 326543]"/>
    <s v="0.015303691163523876"/>
    <s v="[326570, 326579, 326586, 326174]"/>
    <s v="[0.006, 0.015, 0.019, 0.031]"/>
    <s v="37.29997022649495"/>
    <s v="[-0.006, 0.015, 0.019, 0.031]"/>
  </r>
  <r>
    <x v="565"/>
    <x v="728"/>
    <x v="0"/>
    <n v="0"/>
    <m/>
    <n v="337495"/>
    <n v="326643"/>
    <s v="#FIELD!"/>
    <n v="326635"/>
    <s v="0.047"/>
    <s v="14.565290841136342"/>
    <s v="#FIELD!"/>
  </r>
  <r>
    <x v="566"/>
    <x v="263"/>
    <x v="0"/>
    <n v="0"/>
    <m/>
    <n v="339652"/>
    <n v="328318"/>
    <s v="0.004"/>
    <n v="327985"/>
    <s v="0.004"/>
    <s v="414.11470565682527"/>
    <s v="0.004"/>
  </r>
  <r>
    <x v="566"/>
    <x v="757"/>
    <x v="0"/>
    <n v="0"/>
    <s v="LINESTRING (9.673707624166008 61.66135394869356, 9.667103287836797 61.66312399589668, 9.666006726934295 61.66322336595262, 9.666002079426944 61.66322375130148)"/>
    <s v="[338852, 338860, 338868]"/>
    <s v="[327986, 327995, 328004]"/>
    <s v="0.002853450731067973"/>
    <s v="[327985, 327986, 327995]"/>
    <s v="[0.004, 0.005, 0.012]"/>
    <s v="467.9631413804537"/>
    <s v="[0.004, -0.005, -0.012]"/>
  </r>
  <r>
    <x v="566"/>
    <x v="758"/>
    <x v="0"/>
    <n v="0"/>
    <s v="LINESTRING (9.673707624166008 61.66135394869356, 9.673633086733947 61.6614460554476, 9.672486011369763 61.66200735667734, 9.675086587323479 61.661992003208816, 9.675105159873658 61.661937027274774)"/>
    <s v="[339524, 339532, 339540, 339548]"/>
    <s v="[328584, 328592, 328601, 328198]"/>
    <s v="#FIELD!"/>
    <s v="[327985, 328584, 328592, 328601]"/>
    <s v="[0.001, 0.004, 0.006, 0.005]"/>
    <s v="328.6734467965761"/>
    <s v="[0.001, 0.004, -0.006, 0.005]"/>
  </r>
  <r>
    <x v="566"/>
    <x v="759"/>
    <x v="0"/>
    <n v="1"/>
    <m/>
    <n v="338924"/>
    <n v="327985"/>
    <s v="#FIELD!"/>
    <n v="328043"/>
    <s v="0.016"/>
    <s v="95.04011224712386"/>
    <s v="#FIELD!"/>
  </r>
  <r>
    <x v="567"/>
    <x v="760"/>
    <x v="57"/>
    <s v="[0, 0, 0, 1, 0, 0, 0, 0, 0, 0, 0]"/>
    <s v="LINESTRING (9.666002079426944 61.66322375130148, 9.662715728360498 61.663443661700455, 9.661977614512542 61.663489045148, 9.649603241437324 61.66365098669785, 9.64610680867296 61.66435620553786, 9.626155945100887 61.66274436897164, 9.589104931971606 61.66598941585517, 9.585955647752026 61.66659827578275, 9.564717682836724 61.67169007311374, 9.560699107656577 61.673376574064, 9.559784171229015 61.67381035319946, 9.558961831760888 61.67421870340785)"/>
    <s v="[338876, 338884, 338892, 338900, 338932, 338940, 339188, 339196, 339204, 339212, 339220]"/>
    <s v="[328013, 328019, 328024, 328031, 328055, 328060, 328281, 328287, 328294, 328301, 328308]"/>
    <s v="0.014765771165384169"/>
    <s v="[328004, 328013, 328019, 328024, 328031, 328055, 328060, 328281, 328287, 328294, 328301]"/>
    <s v="[0.001, 0.0, 0.022, 0.162, 0.04, 0.021, 0.015, 0.027, 0.041, 0.021, 0.012]"/>
    <s v="6207.087910092525"/>
    <s v="[-0.001, 0.0, 0.022, 0.162, 0.04, -0.021, -0.015, 0.027, 0.041, 0.021, 0.012]"/>
  </r>
  <r>
    <x v="567"/>
    <x v="761"/>
    <x v="0"/>
    <n v="0"/>
    <s v="LINESTRING (9.666002079426944 61.66322375130148, 9.66624689716326 61.6631907610856, 9.669537854119934 61.66272752924459, 9.675447462426572 61.66168537291122, 9.675492665206738 61.661744815573)"/>
    <s v="[339198, 339206, 339214, 339222]"/>
    <s v="[328288, 328295, 328302, 328207]"/>
    <s v="#FIELD!"/>
    <s v="[328004, 328288, 328295, 328302]"/>
    <s v="[0.005, 0.001, 0.005, 0.01]"/>
    <s v="663.2160871671651"/>
    <s v="[0.005, 0.001, -0.005, -0.01]"/>
  </r>
  <r>
    <x v="568"/>
    <x v="762"/>
    <x v="0"/>
    <s v="[0, 0, 0, 1, 1]"/>
    <s v="LINESTRING (9.675203016726158 61.661736309410315, 9.675230378642638 61.66168743523679, 9.671781557322143 61.662118804056206, 9.673614417909391 61.66132392923785, 9.674545895486768 61.66076746532403, 9.674767595639848 61.6606673214788)"/>
    <s v="[339158, 339166, 339174, 339182, 339190]"/>
    <s v="[328251, 328258, 328266, 328275, 328043]"/>
    <s v="0.0039611222825143965"/>
    <s v="[328199, 328251, 328258, 328266, 328275]"/>
    <s v="[0.005, 0.004, 0.005, 0.001, 0.09]"/>
    <s v="625.3488827185716"/>
    <s v="[0.005, 0.004, -0.005, 0.001, 0.09]"/>
  </r>
  <r>
    <x v="568"/>
    <x v="763"/>
    <x v="58"/>
    <s v="[0, 0, 0, 0, 0, 0, 0, 0, 0, 0, 0, 1]"/>
    <s v="LINESTRING (9.708022556642517 61.62698098427674, 9.707807058137275 61.62731961270568, 9.707801413320624 61.62732817595914, 9.707189533610293 61.62818549625974, 9.707182840826473 61.6281938838698, 9.70665461036203 61.62880296655836, 9.679187146375074 61.65695608989055, 9.679178270166709 61.65696399547688, 9.678649320129269 61.65742945462707, 9.67864026181544 61.65743731709429, 9.676514952158392 61.65923020773179, 9.67644504332981 61.65928876106946, 9.674767595639848 61.6606673214788)"/>
    <s v="[340969, 340977, 340985, 340993, 341001, 338822, 338830, 338838, 338846, 338854, 338908, 338916]"/>
    <s v="[329760, 329766, 329774, 329781, 327957, 327958, 327964, 327972, 327980, 327988, 328039, 328043]"/>
    <s v="#FIELD!"/>
    <s v="[328697, 329760, 329766, 329774, 329781, 327957, 327958, 327964, 327972, 327980, 327988, 328039]"/>
    <s v="[0.081, 0.183, 0.102, 0.232, 0.127, 0.004, 0.131, 0.528, 0.641, 0.351, 0.218, 0.164]"/>
    <s v="4167.341532895282"/>
    <s v="[0.081, 0.183, 0.102, 0.232, 0.127, 0.004, -0.131, -0.528, -0.641, -0.351, -0.218, -0.164]"/>
  </r>
  <r>
    <x v="569"/>
    <x v="760"/>
    <x v="0"/>
    <n v="0"/>
    <s v="LINESTRING (9.551402767026802 61.67792939234088, 9.551586531634886 61.67783621805123, 9.551637830487785 61.67781012337828, 9.55320399447488 61.67715773579984, 9.558719559860219 61.674317762578, 9.558961831760888 61.67421870340785)"/>
    <s v="[339556, 339564, 339910, 339918, 339318]"/>
    <s v="[328618, 328625, 328919, 328396, 328308]"/>
    <s v="0.011417745074512537"/>
    <s v="[328068, 328618, 328625, 328919, 328396]"/>
    <s v="[0.064, 0.003, 0.041, 0.003, 0.016]"/>
    <s v="568.740533632174"/>
    <s v="[0.064, 0.003, 0.041, 0.003, 0.016]"/>
  </r>
  <r>
    <x v="570"/>
    <x v="758"/>
    <x v="0"/>
    <n v="0"/>
    <m/>
    <n v="339150"/>
    <n v="328198"/>
    <s v="0.014"/>
    <n v="328121"/>
    <s v="0.014"/>
    <s v="15.213112562095418"/>
    <s v="0.014"/>
  </r>
  <r>
    <x v="570"/>
    <x v="263"/>
    <x v="0"/>
    <n v="0"/>
    <s v="LINESTRING (9.6753588060474 61.66199074142854, 9.675284859442975 61.66203096012223, 9.674536149172212 61.66248511046258, 9.670986179062773 61.662519959007746, 9.667361217870704 61.663169118827014, 9.667094635483403 61.66318500966399)"/>
    <s v="[339022, 339030, 339238, 339246, 339230]"/>
    <s v="[328122, 328128, 328326, 328317, 328318]"/>
    <s v="0.005739322690656627"/>
    <s v="[328121, 328122, 328128, 328326, 328317]"/>
    <s v="[0.002, 0.004, 0.011, 0.002, 0.005]"/>
    <s v="492.57886504201576"/>
    <s v="[0.002, 0.004, 0.011, 0.002, -0.005]"/>
  </r>
  <r>
    <x v="570"/>
    <x v="761"/>
    <x v="0"/>
    <n v="0"/>
    <s v="LINESTRING (9.675492665206738 61.661744815573, 9.675593654281194 61.661803464189624, 9.675616335730204 61.66185959898134, 9.67558749071403 61.66191597405871, 9.6753588060474 61.66199074142854)"/>
    <s v="[339118, 339126, 339134, 339142]"/>
    <s v="[328163, 328222, 328179, 328121]"/>
    <s v="#FIELD!"/>
    <s v="[328207, 328163, 328222, 328179]"/>
    <s v="[0.014, 0.013, 0.008, 0.005]"/>
    <s v="36.50225344053029"/>
    <s v="[-0.014, -0.013, -0.008, 0.005]"/>
  </r>
  <r>
    <x v="571"/>
    <x v="764"/>
    <x v="0"/>
    <n v="0"/>
    <m/>
    <n v="339308"/>
    <n v="328242"/>
    <s v="0.018"/>
    <n v="328160"/>
    <s v="0.018"/>
    <s v="26.679697611315028"/>
    <s v="0.018"/>
  </r>
  <r>
    <x v="571"/>
    <x v="765"/>
    <x v="0"/>
    <n v="0"/>
    <s v="LINESTRING (9.724699840027787 61.59358987870792, 9.724585793481683 61.59360868958321, 9.724442627705141 61.59363191634371, 9.72188661205862 61.594373959547625, 9.720356395258788 61.59541409341892, 9.720168545299966 61.59552391070764)"/>
    <s v="[339068, 339076, 339084, 339092, 340336]"/>
    <s v="[328161, 328170, 328177, 328185, 329309]"/>
    <s v="0.01977499345985921"/>
    <s v="[328160, 328161, 328170, 328177, 328185]"/>
    <s v="[0.039, 0.042, 0.037, 0.002, 0.015]"/>
    <s v="332.4919885353863"/>
    <s v="[0.039, 0.042, 0.037, 0.002, -0.015]"/>
  </r>
  <r>
    <x v="571"/>
    <x v="766"/>
    <x v="0"/>
    <n v="0"/>
    <s v="LINESTRING (9.724999555383148 61.59335277004741, 9.725067653585098 61.593438546822696, 9.725032203587727 61.59351356852146, 9.724915908414758 61.59357205499119, 9.724699840027787 61.59358987870792)"/>
    <s v="[339276, 339284, 339292, 339300]"/>
    <s v="[328359, 328368, 328263, 328160]"/>
    <s v="0.017628931617477285"/>
    <s v="[328350, 328359, 328368, 328263]"/>
    <s v="[0.013, 0.011, 0.028, 0.041]"/>
    <s v="39.62987477740815"/>
    <s v="[-0.013, 0.011, 0.028, 0.041]"/>
  </r>
  <r>
    <x v="572"/>
    <x v="767"/>
    <x v="0"/>
    <n v="1"/>
    <m/>
    <n v="339100"/>
    <n v="328196"/>
    <s v="#FIELD!"/>
    <n v="328195"/>
    <s v="0.025"/>
    <s v="50.200008964262075"/>
    <s v="#FIELD!"/>
  </r>
  <r>
    <x v="572"/>
    <x v="768"/>
    <x v="0"/>
    <n v="0"/>
    <s v="LINESTRING (9.723278493028944 61.59287441524052, 9.723375896873598 61.592892285270686, 9.723640848676709 61.59293343035838)"/>
    <s v="[340062, 340070]"/>
    <s v="[329056, 328195]"/>
    <s v="#FIELD!"/>
    <s v="[329055, 329056]"/>
    <s v="0.034"/>
    <s v="20.553954415848246"/>
    <s v="#FIELD!"/>
  </r>
  <r>
    <x v="572"/>
    <x v="769"/>
    <x v="0"/>
    <n v="0"/>
    <s v="LINESTRING (9.723497647396572 61.59276979216243, 9.723541461036495 61.592812438069615, 9.723640848676709 61.59293343035838)"/>
    <s v="[340078, 340086]"/>
    <s v="[329069, 328195]"/>
    <s v="#FIELD!"/>
    <s v="[329068, 329069]"/>
    <s v="[0.011, 0.009]"/>
    <s v="19.97392810542343"/>
    <s v="[-0.011, -0.009]"/>
  </r>
  <r>
    <x v="573"/>
    <x v="764"/>
    <x v="0"/>
    <n v="0"/>
    <s v="LINESTRING (9.724318607767728 61.59324714770143, 9.724414178279 61.59337039406551, 9.724457881249707 61.59340838334841)"/>
    <s v="[339140, 339148]"/>
    <s v="[328235, 328242]"/>
    <s v="#FIELD!"/>
    <s v="[328196, 328235]"/>
    <s v="[0.01, 0.02]"/>
    <s v="19.967763598063478"/>
    <s v="[-0.01, -0.02]"/>
  </r>
  <r>
    <x v="573"/>
    <x v="770"/>
    <x v="0"/>
    <n v="0"/>
    <s v="LINESTRING (9.724318607767728 61.59324714770143, 9.724580259385013 61.593287956177896, 9.724663486198203 61.59330458378547)"/>
    <s v="[339156, 339164]"/>
    <s v="[328249, 328257]"/>
    <s v="#FIELD!"/>
    <s v="[328196, 328249]"/>
    <s v="[0.036, 0.035]"/>
    <s v="19.6700205295906"/>
    <s v="[-0.036, -0.035]"/>
  </r>
  <r>
    <x v="574"/>
    <x v="762"/>
    <x v="0"/>
    <n v="0"/>
    <m/>
    <n v="339102"/>
    <n v="328199"/>
    <s v="0.005"/>
    <n v="328198"/>
    <s v="0.005"/>
    <s v="25.924567488176457"/>
    <s v="0.005"/>
  </r>
  <r>
    <x v="575"/>
    <x v="761"/>
    <x v="0"/>
    <n v="0"/>
    <m/>
    <n v="339110"/>
    <n v="328207"/>
    <s v="#FIELD!"/>
    <n v="328199"/>
    <s v="0.009"/>
    <s v="15.951532533454651"/>
    <s v="#FIELD!"/>
  </r>
  <r>
    <x v="576"/>
    <x v="770"/>
    <x v="0"/>
    <n v="0"/>
    <s v="LINESTRING (9.724457881249707 61.59340838334841, 9.724529448403791 61.59334528708313, 9.724663486198203 61.59330458378547)"/>
    <s v="[339316, 339324]"/>
    <s v="[328394, 328257]"/>
    <s v="#FIELD!"/>
    <s v="[328242, 328394]"/>
    <s v="[0.021, 0.035]"/>
    <s v="16.441028860759502"/>
    <s v="[-0.021, -0.035]"/>
  </r>
  <r>
    <x v="577"/>
    <x v="766"/>
    <x v="0"/>
    <n v="0"/>
    <m/>
    <n v="339268"/>
    <n v="328350"/>
    <s v="#FIELD!"/>
    <n v="328257"/>
    <s v="0.037"/>
    <s v="19.527342456276557"/>
    <s v="#FIELD!"/>
  </r>
  <r>
    <x v="578"/>
    <x v="771"/>
    <x v="0"/>
    <n v="0"/>
    <s v="LINESTRING (9.729158207664865 61.591106001967866, 9.72889229465382 61.591204614276414, 9.727149825974994 61.59182440747213, 9.725012633464242 61.59330584741394, 9.724999555383148 61.59335277004741)"/>
    <s v="[1115017, 1115025, 1115033, 1115041]"/>
    <s v="[1054485, 1054490, 1054500, 328350]"/>
    <s v="0.05259551130978386"/>
    <s v="[1053393, 1054485, 1054490, 1054500]"/>
    <s v="[0.066, 0.08, 0.037, 0.005]"/>
    <s v="340.98298246530004"/>
    <s v="[0.066, 0.08, 0.037, 0.005]"/>
  </r>
  <r>
    <x v="579"/>
    <x v="772"/>
    <x v="0"/>
    <n v="0"/>
    <s v="LINESTRING (9.84701567005828 61.571695750389715, 9.847001000222651 61.57166028701418, 9.846939462161558 61.57148116743649)"/>
    <s v="[339374, 339382]"/>
    <s v="[328441, 328445]"/>
    <s v="0.02599644370999672"/>
    <s v="[328440, 328441]"/>
    <s v="[0.031, 0.025]"/>
    <s v="24.267493286218176"/>
    <s v="[0.031, 0.025]"/>
  </r>
  <r>
    <x v="579"/>
    <x v="773"/>
    <x v="0"/>
    <n v="0"/>
    <s v="LINESTRING (9.84701567005828 61.571695750389715, 9.84710031969711 61.57166899083198, 9.847223242274021 61.57165888340914)"/>
    <s v="[339854, 339862]"/>
    <s v="[328869, 328876]"/>
    <s v="#FIELD!"/>
    <s v="[328440, 328869]"/>
    <s v="[0.015, 0.03]"/>
    <s v="12.03020847098167"/>
    <s v="[-0.015, -0.03]"/>
  </r>
  <r>
    <x v="579"/>
    <x v="774"/>
    <x v="0"/>
    <n v="0"/>
    <m/>
    <n v="339846"/>
    <n v="328440"/>
    <s v="0.001"/>
    <n v="328491"/>
    <s v="0.001"/>
    <s v="10.5950180192862"/>
    <s v="0.001"/>
  </r>
  <r>
    <x v="580"/>
    <x v="775"/>
    <x v="0"/>
    <s v="[0, 1, 0]"/>
    <s v="LINESTRING (9.846939462161558 61.57148116743649, 9.846867839916763 61.57139784532593, 9.846403413416501 61.570858092132816, 9.84633308590248 61.57077607821755)"/>
    <s v="[339390, 339398, 339406]"/>
    <s v="[328455, 328460, 328463]"/>
    <s v="0.02953492486385637"/>
    <s v="[328445, 328455, 328460]"/>
    <s v="[0.03, 0.03, 0.026]"/>
    <s v="84.96702868953884"/>
    <s v="[0.03, 0.03, 0.026]"/>
  </r>
  <r>
    <x v="580"/>
    <x v="773"/>
    <x v="0"/>
    <n v="0"/>
    <s v="LINESTRING (9.847223242274021 61.57165888340914, 9.847175870853151 61.57162659216752, 9.846939462161558 61.57148116743649)"/>
    <s v="[339894, 339902]"/>
    <s v="[328905, 328445]"/>
    <s v="0.03611803055557566"/>
    <s v="[328876, 328905]"/>
    <s v="[0.032, 0.037]"/>
    <s v="24.90815304204614"/>
    <s v="[0.032, 0.037]"/>
  </r>
  <r>
    <x v="581"/>
    <x v="776"/>
    <x v="0"/>
    <n v="0"/>
    <s v="LINESTRING (9.84633308590248 61.57077607821755, 9.846077023745552 61.57061614290604, 9.846025909265178 61.57058424945278)"/>
    <s v="[339462, 339470]"/>
    <s v="[328513, 328521]"/>
    <s v="0.029498936262561046"/>
    <s v="[328463, 328513]"/>
    <s v="[0.029, 0.032]"/>
    <s v="26.909511785105522"/>
    <s v="[0.029, 0.032]"/>
  </r>
  <r>
    <x v="581"/>
    <x v="777"/>
    <x v="0"/>
    <n v="0"/>
    <s v="LINESTRING (9.84633308590248 61.57077607821755, 9.84627553658432 61.57057641572528, 9.846273359338744 61.57053278747495)"/>
    <s v="[339478, 339486]"/>
    <s v="[328531, 328540]"/>
    <s v="0.022355988563158628"/>
    <s v="[328463, 328531]"/>
    <s v="[0.022, 0.024]"/>
    <s v="27.336596786700692"/>
    <s v="[0.022, 0.024]"/>
  </r>
  <r>
    <x v="582"/>
    <x v="774"/>
    <x v="0"/>
    <n v="0"/>
    <m/>
    <n v="339838"/>
    <n v="328491"/>
    <s v="0.031"/>
    <n v="328473"/>
    <s v="0.031"/>
    <s v="15.061825536004598"/>
    <s v="0.031"/>
  </r>
  <r>
    <x v="582"/>
    <x v="778"/>
    <x v="0"/>
    <n v="0"/>
    <s v="LINESTRING (9.847042252028196 61.57189784029687, 9.846953601439365 61.57190213578566, 9.8394645822193 61.57256307478938, 9.839038404057797 61.57259941648886)"/>
    <s v="[339414, 339422, 339662]"/>
    <s v="[328474, 328479, 328710]"/>
    <s v="0.012737861425311582"/>
    <s v="[328473, 328474, 328479]"/>
    <s v="[0.035, 0.014, 0.015]"/>
    <s v="449.9858612639009"/>
    <s v="[0.035, 0.014, -0.015]"/>
  </r>
  <r>
    <x v="582"/>
    <x v="773"/>
    <x v="0"/>
    <n v="0"/>
    <s v="LINESTRING (9.847223242274021 61.57165888340914, 9.84739967456971 61.571695784435605, 9.84746525711235 61.57174055029935, 9.84748264679886 61.571809585577256, 9.847312115716727 61.57191362214108, 9.847042252028196 61.57189784029687)"/>
    <s v="[339870, 339878, 339886, 339822, 339830]"/>
    <s v="[328432, 328891, 328417, 327199, 328473]"/>
    <s v="#FIELD!"/>
    <s v="[328876, 328432, 328891, 328417, 327199]"/>
    <s v="[0.041, 0.035, 0.022, 0.006, 0.034]"/>
    <s v="54.238056812525016"/>
    <s v="[-0.041, -0.035, -0.022, 0.006, 0.034]"/>
  </r>
  <r>
    <x v="583"/>
    <x v="779"/>
    <x v="0"/>
    <n v="0"/>
    <s v="LINESTRING (9.848447465095822 61.570838667055604, 9.8481206343612 61.570936409021975, 9.84686421252965 61.57180536604535, 9.84692857446296 61.57177918900875)"/>
    <s v="[339446, 339430, 339438]"/>
    <s v="[328485, 328486, 328491]"/>
    <s v="0.003137226797012368"/>
    <s v="[328496, 328485, 328486]"/>
    <s v="[0.019, 0.002, 0.014]"/>
    <s v="243.3179253679351"/>
    <s v="[0.019, 0.002, -0.014]"/>
  </r>
  <r>
    <x v="584"/>
    <x v="778"/>
    <x v="0"/>
    <n v="0"/>
    <s v="LINESTRING (9.848447465095822 61.570838667055604, 9.841056120310805 61.57225971277312, 9.839051350871893 61.572597369587236, 9.839038404057797 61.57259941648886)"/>
    <s v="[1113609, 1113617, 1113625]"/>
    <s v="[1053254, 1053262, 328710]"/>
    <s v="0.010449441587660811"/>
    <s v="[328496, 1053254, 1053262]"/>
    <s v="[0.017, 0.014, 0.006]"/>
    <s v="537.4282663871676"/>
    <s v="[0.017, -0.014, -0.006]"/>
  </r>
  <r>
    <x v="584"/>
    <x v="780"/>
    <x v="0"/>
    <s v="[0, 0, 0, 0, 0, 0, 0, 0, 0, 0, 0, 0, 0, 1, 0, 1, 0, 0, 0]"/>
    <s v="LINESTRING (9.9291615856417 61.55944877210174, 9.92843724594942 61.559958685606716, 9.928426569123348 61.55996607013902, 9.92841574496536 61.55997354814778, 9.928405068128964 61.55998093267829, 9.924449244353964 61.56292282971176, 9.924446954669083 61.56292425583542, 9.924050883379977 61.56317690506593, 9.924047135924223 61.563179284487745, 9.917978749890466 61.56598149216771, 9.917960002278097 61.56598709958071, 9.915934954005628 61.56648345647776, 9.900421466574382 61.56965533033747, 9.876518510283743 61.569024003251755, 9.87093577623739 61.56807229267312, 9.858805272491333 61.56904470648654, 9.857312590888482 61.56921519816858, 9.8553585400517 61.5695039320346, 9.850000545033868 61.57053360743676, 9.848447465095822 61.570838667055604)"/>
    <s v="[1113259, 1113267, 1113275, 1113283, 1113291, 1113299, 1113307, 1113315, 1113323, 1113331, 1113348, 1113356, 1113845, 1113853, 1113487, 1113495, 1113503, 1113590, 1113598]"/>
    <s v="[1052885, 1052894, 1052903, 1052910, 1052920, 1052929, 1052937, 1052947, 1052955, 1052963, 1052982, 1052990, 1053467, 1053119, 1053120, 1053131, 1053142, 1053240, 328496]"/>
    <s v="0.010230535799787818"/>
    <s v="[1052884, 1052885, 1052894, 1052903, 1052910, 1052920, 1052929, 1052937, 1052947, 1052955, 1052963, 1052982, 1052990, 1053467, 1053119, 1053120, 1053131, 1053142, 1053240]"/>
    <s v="[0.023, 0.004, 0.03, 0.005, 0.004, 0.0, 0.012, 0.0, 0.004, 0.001, 0.055, 0.018, 0.019, 0.018, 0.044, 0.001, 0.003, 0.048, 0.035]"/>
    <s v="4838.001499480358"/>
    <s v="[-0.023, -0.004, -0.03, -0.005, -0.004, 0.0, -0.012, 0.0, 0.004, -0.001, 0.055, 0.018, -0.019, 0.018, 0.044, 0.001, 0.003, 0.048, 0.035]"/>
  </r>
  <r>
    <x v="585"/>
    <x v="781"/>
    <x v="0"/>
    <n v="0"/>
    <s v="LINESTRING (9.849921608868588 61.57046813977004, 9.84836712205219 61.57076907856148, 9.840980519255897 61.572196965959336)"/>
    <s v="[1113535, 1113543]"/>
    <s v="[1053181, 328691]"/>
    <s v="0.019956072405009587"/>
    <s v="[328505, 1053181]"/>
    <s v="[0.034, 0.017]"/>
    <s v="512.9261855518605"/>
    <s v="[0.034, 0.017]"/>
  </r>
  <r>
    <x v="585"/>
    <x v="782"/>
    <x v="0"/>
    <n v="0"/>
    <s v="LINESTRING (9.845855123471205 61.57054351129831, 9.845777099704685 61.57054973734775, 9.849588089101099 61.570515140724645, 9.849921608868588 61.57046813977004)"/>
    <s v="[339582, 339590, 339454]"/>
    <s v="[328642, 328504, 328505]"/>
    <s v="#FIELD!"/>
    <s v="[328548, 328642, 328504]"/>
    <s v="[0.018, 0.021, 0.048]"/>
    <s v="352.2604338894991"/>
    <s v="[0.018, -0.021, -0.048]"/>
  </r>
  <r>
    <x v="585"/>
    <x v="780"/>
    <x v="0"/>
    <s v="[0, 0, 0, 0, 0, 0, 0, 0, 0, 0, 0, 1, 0, 1, 0, 0]"/>
    <s v="LINESTRING (9.9291615856417 61.55944877210174, 9.928370482999668 61.55993373643907, 9.928359788882226 61.55994111132627, 9.928348966180424 61.55994858038768, 9.928338290800305 61.55995595597087, 9.925702002670118 61.56197570869918, 9.924337335769065 61.56288510438641, 9.92393631883634 61.56313397047873, 9.923932342279743 61.56313625139816, 9.917860151267872 61.565913445684025, 9.900363355673855 61.56957506473893, 9.8766165857167 61.56893295362739, 9.87099369827177 61.56797199808803, 9.858767568111228 61.568961501344425, 9.857265914086772 61.569132643578115, 9.855304468273715 61.569427305411246, 9.849921608868588 61.57046813977004)"/>
    <s v="[1113364, 1113372, 1113384, 1113385, 1113386, 1113393, 1113418, 1113424, 1113432, 1113455, 1113861, 1113869, 1113463, 1113471, 1113479, 1113519]"/>
    <s v="[1052999, 1053005, 1053019, 1053020, 1053021, 1053028, 1053055, 1053058, 1053066, 1053088, 1053481, 1053093, 1053094, 1053103, 1053112, 328505]"/>
    <s v="0.009626588981760041"/>
    <s v="[1052884, 1052999, 1053005, 1053019, 1053020, 1053021, 1053028, 1053055, 1053058, 1053066, 1053088, 1053481, 1053093, 1053094, 1053103, 1053112]"/>
    <s v="[0.027, 0.005, 0.005, 0.006, 0.019, 0.027, 0.015, 0.021, 0.005, 0.021, 0.019, 0.019, 0.045, 0.003, 0.001, 0.046]"/>
    <s v="4745.254970403477"/>
    <s v="[-0.027, -0.005, -0.005, -0.006, -0.019, 0.027, -0.015, -0.021, 0.005, 0.021, -0.019, 0.019, 0.045, 0.003, 0.001, 0.046]"/>
  </r>
  <r>
    <x v="586"/>
    <x v="782"/>
    <x v="0"/>
    <n v="0"/>
    <m/>
    <n v="339494"/>
    <n v="328548"/>
    <s v="0.028"/>
    <n v="328521"/>
    <s v="0.028"/>
    <s v="10.152053979217367"/>
    <s v="0.028"/>
  </r>
  <r>
    <x v="586"/>
    <x v="777"/>
    <x v="0"/>
    <n v="0"/>
    <s v="LINESTRING (9.846273359338744 61.57053278747495, 9.846158993815823 61.57057371768418, 9.846025909265178 61.57058424945278)"/>
    <s v="[339566, 339574]"/>
    <s v="[328627, 328521]"/>
    <s v="0.012310705014611865"/>
    <s v="[328540, 328627]"/>
    <s v="[0.006, 0.019]"/>
    <s v="14.773817616947266"/>
    <s v="[0.006, 0.019]"/>
  </r>
  <r>
    <x v="587"/>
    <x v="783"/>
    <x v="0"/>
    <n v="0"/>
    <s v="LINESTRING (9.845778361114656 61.570438940872435, 9.845846163513169 61.570364850049906, 9.845952930309013 61.570328761065284, 9.846111947675942 61.57032226917938, 9.846213527154193 61.570343790120184, 9.846310769883921 61.57040034358501, 9.846328812343367 61.57047178801713, 9.846273359338744 61.57053278747495)"/>
    <s v="[339510, 339518, 339526, 339534, 339542, 339550, 339558]"/>
    <s v="[328567, 328576, 328586, 328595, 328603, 328611, 328540]"/>
    <s v="#FIELD!"/>
    <s v="[328559, 328567, 328576, 328586, 328595, 328603, 328611]"/>
    <s v="[0.009, 0.008, 0.019, 0.026, 0.03, 0.022, 0.008]"/>
    <s v="53.95415512917094"/>
    <s v="[0.009, -0.008, -0.019, -0.026, -0.03, -0.022, -0.008]"/>
  </r>
  <r>
    <x v="588"/>
    <x v="783"/>
    <x v="0"/>
    <n v="0"/>
    <m/>
    <n v="339502"/>
    <n v="328559"/>
    <s v="0.023"/>
    <n v="328548"/>
    <s v="0.023"/>
    <s v="12.644142661850937"/>
    <s v="0.023"/>
  </r>
  <r>
    <x v="589"/>
    <x v="781"/>
    <x v="0"/>
    <n v="0"/>
    <s v="LINESTRING (9.840980519255897 61.572196965959336, 9.8412704731461 61.57212837150669, 9.845711003513376 61.57046158511875, 9.845778361114656 61.570438940872435)"/>
    <s v="[339638, 339646, 339654]"/>
    <s v="[328692, 328699, 328559]"/>
    <s v="#FIELD!"/>
    <s v="[328691, 328692, 328699]"/>
    <s v="[0.005, 0.007, 0.01]"/>
    <s v="337.2680114005818"/>
    <s v="[-0.005, -0.007, -0.01]"/>
  </r>
  <r>
    <x v="590"/>
    <x v="784"/>
    <x v="59"/>
    <s v="[0, 0, 0, 0, 0, 0, 0, 1, 0, 1, 0, 0, 0, 0, 0, 1, 0, 0]"/>
    <s v="LINESTRING (9.840980519255897 61.572196965959336, 9.84097169147109 61.572198530170034, 9.838950316762036 61.57253653749925, 9.828826248060215 61.574507390266945, 9.810927360110961 61.577459156969546, 9.80913155185281 61.57733755371209, 9.794394475568776 61.57517265386848, 9.779638417077962 61.57766244856261, 9.778761348492841 61.57787484558335, 9.77649969482319 61.5784222460172, 9.776054369015206 61.578529974879125, 9.773179922883747 61.57919399021898, 9.763452188059482 61.581279329510686, 9.760338925283632 61.58224609889724, 9.755024242237608 61.584066885347774, 9.741464905597113 61.587768964034545, 9.73916712834829 61.588369185778475, 9.736284873612343 61.589129102141584, 9.729296217244766 61.59099308615076)"/>
    <s v="[1113551, 1113564, 1113572, 1113633, 651047, 651055, 1113933, 1113941, 1113949, 1113957, 1113965, 1113973, 1113685, 1113687, 1113701, 1113710, 1113727, 1113789]"/>
    <s v="[1053202, 1053214, 1053222, 643325, 643326, 643333, 1053555, 1053564, 1053573, 1053582, 1053593, 1053320, 1053321, 1053322, 1053340, 1053348, 1053363, 329331]"/>
    <s v="#FIELD!"/>
    <s v="[328691, 1053202, 1053214, 1053222, 643325, 643326, 643333, 1053555, 1053564, 1053573, 1053582, 1053593, 1053320, 1053321, 1053322, 1053340, 1053348, 1053363]"/>
    <s v="[0.0, 0.013, 0.004, 0.014, 0.016, 0.049, 0.046, 0.085, 0.042, 0.039, 0.032, 0.009, 0.03, 0.039, 0.016, 0.022, 0.027, 0.035]"/>
    <s v="6564.650149055394"/>
    <s v="[0.0, -0.013, -0.004, -0.014, 0.016, 0.049, -0.046, -0.085, -0.042, 0.039, 0.032, -0.009, 0.03, 0.039, -0.016, -0.022, -0.027, 0.035]"/>
  </r>
  <r>
    <x v="591"/>
    <x v="785"/>
    <x v="0"/>
    <s v="[0, 0, 0, 0, 0, 1, 1, 0, 0]"/>
    <s v="LINESTRING (9.719879105592547 61.59563657792671, 9.719784345189245 61.595713530745016, 9.719224813427335 61.59618812165744, 9.718661538467453 61.59670158145065, 9.711067960981788 61.611861266572745, 9.709610505719379 61.61917171095925, 9.7094821212 61.619367120667825, 9.709163245190222 61.619886544179515, 9.708879074283878 61.62290286355783, 9.708022556642517 61.62698098427674)"/>
    <s v="[1113829, 339500, 339508, 339516, 340945, 340953, 340961, 339636, 339644]"/>
    <s v="[328556, 328557, 328564, 328574, 329740, 329747, 328687, 328688, 328697]"/>
    <s v="0.01980461906329389"/>
    <s v="[329271, 328556, 328557, 328564, 328574, 329740, 329747, 328687, 328688]"/>
    <s v="[0.007, 0.015, 0.018, 0.021, 0.015, 0.025, 0.048, 0.019, 0.031]"/>
    <s v="3592.7189241172473"/>
    <s v="[-0.007, -0.015, -0.018, 0.021, 0.015, 0.025, 0.048, 0.019, 0.031]"/>
  </r>
  <r>
    <x v="591"/>
    <x v="765"/>
    <x v="0"/>
    <s v="[0, 0, 0, 0, 0, 0, 1, 1, 0, 0]"/>
    <s v="LINESTRING (9.720168545299966 61.59552391070764, 9.720000151026536 61.595658281167466, 9.719894158362967 61.59574405807898, 9.719337166990885 61.59621727212024, 9.718786766079878 61.596731446981885, 9.71122971995959 61.611860160885506, 9.709784026071034 61.619195986970425, 9.709655747124557 61.61939133792229, 9.709337002813244 61.61991055991682, 9.709022892154081 61.62289647398052, 9.708022556642517 61.62698098427674)"/>
    <s v="[1113775, 1113783, 339476, 339484, 339492, 341009, 341017, 341025, 341033, 341041]"/>
    <s v="[1053411, 328527, 328528, 328537, 328546, 329791, 329796, 329802, 329807, 328697]"/>
    <s v="0.019993948624778157"/>
    <s v="[329309, 1053411, 328527, 328528, 328537, 328546, 329791, 329796, 329802, 329807]"/>
    <s v="[0.013, 0.008, 0.015, 0.019, 0.02, 0.016, 0.023, 0.05, 0.02, 0.035]"/>
    <s v="3608.6660148365645"/>
    <s v="[-0.013, -0.008, -0.015, -0.019, 0.02, 0.016, 0.023, 0.05, 0.02, 0.035]"/>
  </r>
  <r>
    <x v="592"/>
    <x v="771"/>
    <x v="0"/>
    <s v="[0, 0, 0, 0, 0, 1, 0, 1, 0, 0, 0, 0, 0, 0, 0, 1, 0, 0, 0, 0]"/>
    <s v="LINESTRING (9.839038404057797 61.57259941648886, 9.828907727476933 61.574561945976086, 9.810977744772735 61.57752230230953, 9.80916480402788 61.57740188277796, 9.794391864700762 61.57523310727253, 9.779705377579692 61.577714230297886, 9.77882635718294 61.57792700288504, 9.776557820086182 61.57847603016122, 9.776116425527878 61.57858283019257, 9.773243958740807 61.579246616925154, 9.773239378512574 61.5792475839785, 9.763525360533286 61.58133333788619, 9.760427495002478 61.58230492986872, 9.760421983071069 61.58230682345841, 9.755117661676698 61.58413283482584, 9.741551018234432 61.58784336939847, 9.73925183269164 61.5884440782262, 9.736361185650889 61.589192245069064, 9.729403440719155 61.59103234193666, 9.729166685274999 61.59110345938402, 9.729158207664865 61.591106001967866)"/>
    <s v="[1113629, 1113632, 1113981, 1113989, 1113877, 1113885, 1113893, 1113901, 1113909, 1113917, 1113925, 1113640, 1113648, 1113662, 1113670, 1113678, 1113684, 1113743, 1113751, 1113759]"/>
    <s v="[1053272, 1053273, 1053610, 1053499, 1053500, 1053510, 1053520, 1053529, 1053534, 958721, 1053278, 958723, 1053284, 1053296, 1053304, 1053313, 1053319, 1053379, 1053385, 1053393]"/>
    <s v="#FIELD!"/>
    <s v="[328710, 1053272, 1053273, 1053610, 1053499, 1053500, 1053510, 1053520, 1053529, 1053534, 958721, 1053278, 958723, 1053284, 1053296, 1053304, 1053313, 1053319, 1053379, 1053385]"/>
    <s v="[0.004, 0.014, 0.036, 0.038, 0.037, 0.089, 0.037, 0.039, 0.031, 0.0, 0.008, 0.029, 0.017, 0.039, 0.016, 0.021, 0.026, 0.036, 0.062, 0.18]"/>
    <s v="6464.254234533546"/>
    <s v="[-0.004, -0.014, 0.036, 0.038, -0.037, -0.089, -0.037, 0.039, 0.031, 0.0, -0.008, 0.029, 0.017, 0.039, -0.016, -0.021, -0.026, 0.036, 0.062, 0.18]"/>
  </r>
  <r>
    <x v="593"/>
    <x v="786"/>
    <x v="0"/>
    <n v="0"/>
    <s v="LINESTRING (10.006456545316054 61.54845738705814, 10.006456545316054 61.54845738705814, 10.006858479881105 61.54829264292867, 10.007119527212607 61.54826873707941)"/>
    <s v="[339998, 340006, 340014]"/>
    <s v="[328995, 329001, 329010]"/>
    <s v="#FIELD!"/>
    <s v="[328977, 328995, 329001]"/>
    <s v="[0.0, 0.334, 0.111]"/>
    <s v="46.12675648581514"/>
    <s v="[0.0, -0.334, -0.111]"/>
  </r>
  <r>
    <x v="594"/>
    <x v="787"/>
    <x v="0"/>
    <n v="0"/>
    <s v="LINESTRING (10.007119527212607 61.54826873707941, 10.017065952397543 61.54817033071068, 10.01745657441168 61.54818721779414)"/>
    <s v="[340022, 340054]"/>
    <s v="[329017, 329046]"/>
    <s v="#FIELD!"/>
    <s v="[329010, 329017]"/>
    <s v="[0.025, 0.006]"/>
    <s v="550.1723959283034"/>
    <s v="[-0.025, 0.006]"/>
  </r>
  <r>
    <x v="594"/>
    <x v="788"/>
    <x v="0"/>
    <n v="0"/>
    <s v="LINESTRING (10.005712603848021 61.548284913218225, 10.005712603848021 61.548284913218225, 10.007119527212607 61.54826873707941)"/>
    <s v="[2122602, 2122610]"/>
    <s v="[1828650, 329010]"/>
    <s v="#FIELD!"/>
    <s v="[328981, 1828650]"/>
    <s v="[0.0, 0.817]"/>
    <s v="87.00242473633111"/>
    <s v="[0.0, -0.817]"/>
  </r>
  <r>
    <x v="595"/>
    <x v="789"/>
    <x v="0"/>
    <n v="0"/>
    <s v="LINESTRING (10.014076313597121 61.54827848168315, 10.013743308368165 61.54830145819511, 10.009735083175762 61.54893745563297, 10.009738293626162 61.54897280995942)"/>
    <s v="[340046, 340030, 340038]"/>
    <s v="[329025, 329026, 328968]"/>
    <s v="0.1176854804844878"/>
    <s v="[329037, 329025, 329026]"/>
    <s v="[0.047, 0.12, 0.295]"/>
    <s v="266.23136629147825"/>
    <s v="[0.047, 0.12, 0.295]"/>
  </r>
  <r>
    <x v="596"/>
    <x v="790"/>
    <x v="0"/>
    <n v="0"/>
    <s v="LINESTRING (10.014076313597121 61.54827848168315, 10.00998080938781 61.54842780116854, 10.009962160631082 61.54842887226636, 10.008256768781548 61.548549981434384, 10.008238225258188 61.548551451973076, 10.007723043457803 61.54858347226321, 10.007608997036149 61.548588396704254)"/>
    <s v="[1113107, 1113115, 1113123, 1113131, 1113139, 1113147]"/>
    <s v="[1052741, 1052751, 1052760, 1052765, 1052774, 1052672]"/>
    <s v="0.06506601659740276"/>
    <s v="[329037, 1052741, 1052751, 1052760, 1052765, 1052774]"/>
    <s v="[0.046, 0.033, 0.093, 0.062, 0.109, 0.135]"/>
    <s v="346.0172962892234"/>
    <s v="[0.046, 0.033, 0.093, 0.062, 0.109, 0.135]"/>
  </r>
  <r>
    <x v="596"/>
    <x v="260"/>
    <x v="0"/>
    <n v="0"/>
    <s v="LINESTRING (10.029677849858652 61.54806631786289, 10.026428895900342 61.548160132042945, 10.022174289329667 61.5482088058183, 10.018521844818443 61.54823823847245, 10.016346822978441 61.54825628357808, 10.014076313597121 61.54827848168315)"/>
    <s v="[1113059, 1113067, 1113075, 1113083, 1113091]"/>
    <s v="[1052689, 1052696, 1052706, 1052713, 329037]"/>
    <s v="0.009768486424847784"/>
    <s v="[1052664, 1052689, 1052696, 1052706, 1052713]"/>
    <s v="[0.006, 0.006, 0.017, 0.02, 0.018]"/>
    <s v="830.4182155147888"/>
    <s v="[-0.006, 0.006, 0.017, 0.02, 0.018]"/>
  </r>
  <r>
    <x v="597"/>
    <x v="790"/>
    <x v="0"/>
    <n v="0"/>
    <s v="LINESTRING (10.01745657441168 61.54818721779414, 10.017449365696887 61.548187259996865, 10.01401802858956 61.54821954892201, 10.009948170980849 61.5483877435983, 10.009929528040498 61.54838889586671, 10.008236117967165 61.54851042561832, 10.00821757446668 61.54851189615442, 10.007718627443687 61.548572371468396, 10.007608997036149 61.548588396704254)"/>
    <s v="[1113187, 1113195, 1113203, 1113211, 1113219, 1113227, 1113235, 1113251]"/>
    <s v="[1052815, 1052823, 1052831, 1052837, 1052845, 1052854, 1052863, 1052672]"/>
    <s v="0.051330134459761236"/>
    <s v="[329046, 1052815, 1052823, 1052831, 1052837, 1052845, 1052854, 1052863]"/>
    <s v="[0.021, 0.018, 0.045, 0.029, 0.091, 0.059, 0.157, 0.212]"/>
    <s v="526.9342181825534"/>
    <s v="[0.021, 0.018, 0.045, 0.029, 0.091, 0.059, 0.157, 0.212]"/>
  </r>
  <r>
    <x v="597"/>
    <x v="260"/>
    <x v="0"/>
    <n v="0"/>
    <s v="LINESTRING (10.029677849858652 61.54806631786289, 10.02873713809188 61.54806164325058, 10.026694826992188 61.548093412811234, 10.022794721765889 61.54814328936988, 10.01745657441168 61.54818721779414)"/>
    <s v="[1113155, 1113163, 1113171, 1113179]"/>
    <s v="[1052787, 1052792, 1052801, 329046]"/>
    <s v="0.005405453245708988"/>
    <s v="[1052664, 1052787, 1052792, 1052801]"/>
    <s v="[0.006, 0.006, 0.001, 0.015]"/>
    <s v="650.3245829265941"/>
    <s v="[-0.006, -0.006, 0.001, 0.015]"/>
  </r>
  <r>
    <x v="598"/>
    <x v="791"/>
    <x v="0"/>
    <n v="0"/>
    <m/>
    <n v="340126"/>
    <n v="329113"/>
    <s v="0.035"/>
    <n v="329055"/>
    <s v="0.035"/>
    <s v="16.097122390968032"/>
    <s v="0.035"/>
  </r>
  <r>
    <x v="598"/>
    <x v="769"/>
    <x v="0"/>
    <n v="0"/>
    <s v="LINESTRING (9.723497647396572 61.59276979216243, 9.72342191104644 61.592834076246504, 9.723278493028944 61.59287441524052)"/>
    <s v="[340110, 340118]"/>
    <s v="[329100, 329055]"/>
    <s v="0.029702346102281826"/>
    <s v="[329068, 329100]"/>
    <s v="[0.024, 0.035]"/>
    <s v="17.067604276716402"/>
    <s v="[0.024, 0.035]"/>
  </r>
  <r>
    <x v="599"/>
    <x v="792"/>
    <x v="0"/>
    <n v="0"/>
    <m/>
    <n v="340102"/>
    <n v="329068"/>
    <s v="#FIELD!"/>
    <n v="329086"/>
    <s v="0.014"/>
    <s v="26.670320302706354"/>
    <s v="#FIELD!"/>
  </r>
  <r>
    <x v="600"/>
    <x v="784"/>
    <x v="0"/>
    <n v="0"/>
    <s v="LINESTRING (9.723259261855892 61.59258735283532, 9.723367922619635 61.592567659837464, 9.726918493358681 61.59174347550236, 9.728848384961024 61.591104955132224, 9.729296217244766 61.59099308615076)"/>
    <s v="[340158, 340166, 340174, 340358]"/>
    <s v="[329144, 329151, 329157, 329331]"/>
    <s v="#FIELD!"/>
    <s v="[329086, 329144, 329151, 329157]"/>
    <s v="[0.037, 0.051, 0.079, 0.06]"/>
    <s v="368.22791239642373"/>
    <s v="[-0.037, -0.051, -0.079, -0.06]"/>
  </r>
  <r>
    <x v="600"/>
    <x v="791"/>
    <x v="0"/>
    <n v="0"/>
    <s v="LINESTRING (9.72299280414826 61.59284203165992, 9.72289487459062 61.592703090151794, 9.722985995676238 61.592625004970934, 9.723125491884874 61.59258883356872, 9.723259261855892 61.59258735283532)"/>
    <s v="[340134, 340142, 340150, 340094]"/>
    <s v="[329121, 329127, 329085, 329086]"/>
    <s v="#FIELD!"/>
    <s v="[329113, 329121, 329127, 329085]"/>
    <s v="[0.006, 0.025, 0.036, 0.036]"/>
    <s v="42.41796242437879"/>
    <s v="[0.006, -0.025, -0.036, -0.036]"/>
  </r>
  <r>
    <x v="601"/>
    <x v="785"/>
    <x v="0"/>
    <n v="0"/>
    <s v="LINESTRING (9.719879105592547 61.59563657792671, 9.720013647233648 61.5954953897477, 9.721264618985577 61.59455152437332, 9.722949901922894 61.59293548042996, 9.722981310777389 61.592880197425984, 9.72299280414826 61.59284203165992)"/>
    <s v="[340294, 340302, 340310, 340318, 340326]"/>
    <s v="[329272, 329280, 329288, 329294, 329113]"/>
    <s v="#FIELD!"/>
    <s v="[329271, 329272, 329280, 329288, 329294]"/>
    <s v="[0.018, 0.005, 0.022, 0.016, 0.011]"/>
    <s v="354.03872515827635"/>
    <s v="[0.018, 0.005, -0.022, -0.016, -0.011]"/>
  </r>
  <r>
    <x v="602"/>
    <x v="784"/>
    <x v="0"/>
    <n v="0"/>
    <s v="LINESTRING (9.729296217244766 61.59099308615076, 9.729288495197434 61.59099540601001, 9.729050043637072 61.5910671685192, 9.72002723180964 61.59551761021399, 9.719879105592547 61.59563657792671)"/>
    <s v="[1113797, 1113805, 1113813, 1113821]"/>
    <s v="[1053430, 1053435, 1053442, 329271]"/>
    <s v="0.036623680477917316"/>
    <s v="[329331, 1053430, 1053435, 1053442]"/>
    <s v="[0.196, 0.063, 0.037, 0.011]"/>
    <s v="727.0909834838317"/>
    <s v="[0.196, 0.063, 0.037, -0.011]"/>
  </r>
  <r>
    <x v="603"/>
    <x v="771"/>
    <x v="0"/>
    <n v="0"/>
    <m/>
    <n v="1113767"/>
    <n v="329309"/>
    <s v="0.037"/>
    <n v="1053393"/>
    <s v="0.037"/>
    <s v="692.1390221463713"/>
    <s v="0.037"/>
  </r>
  <r>
    <x v="604"/>
    <x v="793"/>
    <x v="0"/>
    <n v="0"/>
    <s v="LINESTRING (6.059308761791449 60.64525838640346, 6.059250369935429 60.64530820116467, 6.059808569659559 60.64560132202936)"/>
    <s v="[341160, 341168]"/>
    <s v="[329896, 329901]"/>
    <s v="0.04216394119199554"/>
    <s v="[329895, 329896]"/>
    <s v="[0.244, 0.073]"/>
    <s v="66.0020636478641"/>
    <s v="[-0.244, 0.073]"/>
  </r>
  <r>
    <x v="604"/>
    <x v="794"/>
    <x v="0"/>
    <s v="[0, 0, 0, 0, 0, 0, 0, 0, 0, 0, 0, 0, 0, 0, 0, 0, 0, 0, 0, 0, 0, 0, 0, 0, 0, 0, 0, 0, 0, 0, 0, 0, 0, 0, 0, 0, 0, 0, 1, 0, 0, 0, 0, 0, 0, 0, 0, 0, 0, 0, 1, 0, 0, 0, 0, 0, 0, 0, 1, 0, 0]"/>
    <s v="LINESTRING (6.059308761791449 60.64525838640346, 6.054821832646228 60.64386872247963, 6.054671819822507 60.64374528612633, 6.049977853161287 60.6405629893166, 6.049794374837006 60.64052318762306, 6.048783526710392 60.64040490166135, 6.048428270409017 60.640383770123904, 6.04497522201363 60.64068568250194, 6.044793023578847 60.64070303260551, 6.039372648455652 60.64129085567264, 6.0269555066761615 60.64135182966482, 6.026940034589752 60.641353720860046, 6.026616247495251 60.64141200027677, 6.0266090405217865 60.641413618682634, 6.0237917204803 60.64220680844183, 6.015685487020852 60.64530713987609, 6.014644056358447 60.64632413465547, 6.011458177992351 60.64716514515945, 6.0110794480928975 60.64716817150025, 6.007723953286087 60.6469743379039, 6.007343081539016 60.64695223094733, 6.004568233678272 60.646663605509424, 6.000269425126987 60.64617747100562, 5.999973535017641 60.64619433053363, 5.999088605906299 60.64623351489807, 5.992562113891439 60.644974061029096, 5.963747532006091 60.63670524390949, 5.961197828247721 60.63752611564138, 5.961126760445535 60.63753485954272, 5.961108995366755 60.63753703886187, 5.95788306738588 60.63754166169296, 5.957367383941888 60.63752370467448, 5.9570807264201875 60.63751250932627, 5.956933694903853 60.63750862027334, 5.9500186999411016 60.637418706678105, 5.949788783216045 60.6373622994876, 5.943558590501747 60.63601811560264, 5.9433241217261035 60.635968371614716, 5.942679215251812 60.635845288831895, 5.942397965180733 60.63579030840354, 5.930117352850135 60.63408337046291, 5.9298570757915945 60.63404163423425, 5.912004051260682 60.627038831953755, 5.911690073870984 60.627086894117326, 5.906885387428238 60.627335385461784, 5.906466451732421 60.627271321422285, 5.9044124081349905 60.62706095643497, 5.904050794898302 60.62701920575415, 5.898535147501306 60.62641041893357, 5.898231207334688 60.62644561720894, 5.896322388169125 60.626899986182664, 5.89595814822784 60.6269970121523, 5.895803933349708 60.62702902861465, 5.893898393722561 60.62720849601723, 5.893406857442384 60.6271844444777, 5.893049213815485 60.627146550789526, 5.880916798707291 60.624748343204246, 5.880723980425985 60.6246953318119, 5.874642052978544 60.621670241863, 5.874342294821879 60.6216816206797, 5.8732128982065515 60.621727400252695, 5.87101848306044 60.621614300744476)"/>
    <s v="[2057024, 2057032, 2057040, 2057048, 2057056, 2057064, 2057072, 2057080, 2057088, 2057096, 2057104, 2057112, 2057120, 2057128, 2057136, 2057144, 2057152, 2057160, 2057168, 2057176, 2057184, 2057192, 2057200, 2057208, 2057216, 2057224, 2057232, 2057240, 2057248, 2057256, 2057264, 2057272, 2057280, 2057288, 2057296, 2057308, 2057315, 2057323, 2057331, 2057339, 2057347, 2057355, 2057363, 2057371, 2057379, 2057387, 2057395, 2057403, 2057411, 2057419, 2057427, 2057435, 2057443, 2057451, 2057459, 2057467, 2057475, 2057483, 2057491, 2057499, 2057507]"/>
    <s v="[1789042, 1789048, 1789055, 1789062, 1789067, 1789071, 1789077, 1789080, 1722802, 1789089, 1789097, 1789106, 1789111, 1722825, 1696817, 1789132, 1789137, 1789143, 1789153, 1789160, 1696546, 1722305, 1173511, 1173548, 1789184, 1789190, 1724224, 1789198, 1789206, 1173554, 1789215, 1173569, 1789222, 1789228, 1789235, 1789246, 1789251, 1789256, 1789260, 1789264, 1789270, 1789276, 1789281, 1789285, 1789291, 1789296, 1789300, 1789305, 1789309, 1789314, 1789322, 1749340, 1789330, 1789334, 1789338, 1789341, 1789345, 1789350, 1789351, 1789354, 1703037]"/>
    <s v="#FIELD!"/>
    <s v="[329895, 1789042, 1789048, 1789055, 1789062, 1789067, 1789071, 1789077, 1789080, 1722802, 1789089, 1789097, 1789106, 1789111, 1722825, 1696817, 1789132, 1789137, 1789143, 1789153, 1789160, 1696546, 1722305, 1173511, 1173548, 1789184, 1789190, 1724224, 1789198, 1789206, 1173554, 1789215, 1173569, 1789222, 1789228, 1789235, 1789246, 1789251, 1789256, 1789260, 1789264, 1789270, 1789276, 1789281, 1789285, 1789291, 1789296, 1789300, 1789305, 1789309, 1789314, 1789322, 1749340, 1789330, 1789334, 1789338, 1789341, 1789345, 1789350, 1789351, 1789354]"/>
    <s v="[0.11, 0.143, 0.054, 0.255, 0.072, 0.139, 0.068, 0.087, 0.017, 0.012, 0.162, 0.042, 0.152, 0.012, 0.033, 0.072, 0.08, 0.034, 0.048, 0.01, 0.023, 0.033, 0.201, 0.121, 0.046, 0.007, 0.151, 0.03, 0.292, 0.067, 0.073, 0.047, 0.006, 0.01, 0.163, 0.034, 0.151, 0.162, 0.149, 0.007, 0.231, 0.002, 0.316, 0.027, 0.215, 0.453, 0.259, 0.106, 0.385, 0.246, 0.149, 0.106, 0.025, 0.105, 0.079, 0.197, 0.952, 0.199, 0.309, 0.206, 0.129]"/>
    <s v="12436.48158869667"/>
    <s v="[-0.11, 0.143, 0.054, -0.255, -0.072, 0.139, -0.068, -0.087, -0.017, -0.012, 0.162, -0.042, 0.152, -0.012, 0.033, 0.072, -0.08, 0.034, 0.048, 0.01, 0.023, -0.033, -0.201, -0.121, 0.046, -0.007, -0.151, 0.03, -0.292, 0.067, 0.073, 0.047, 0.006, -0.01, 0.163, 0.034, -0.151, -0.162, -0.149, 0.007, 0.231, 0.002, -0.316, -0.027, 0.215, 0.453, 0.259, -0.106, -0.385, -0.246, -0.149, -0.106, 0.025, 0.105, 0.079, 0.197, -0.952, -0.199, -0.309, -0.206, -0.129]"/>
  </r>
  <r>
    <x v="604"/>
    <x v="795"/>
    <x v="60"/>
    <s v="[0, 0, 0, 0, 0, 0, 0, 0, 0, 0, 0, 0, 0, 0, 0, 0, 0, 0, 0, 0, 0, 0, 0, 0, 0, 0, 0, 0, 1, 0, 0, 0, 0, 0, 0, 0, 0, 1, 0, 1, 0, 0, 0, 0, 0, 0, 0, 0, 0, 0, 0, 0]"/>
    <s v="LINESTRING (6.238298168777537 60.63689097993368, 6.237235926705799 60.63691049373396, 6.235130319749993 60.63661978207023, 6.2312900667978806 60.63507987211667, 6.2239147644653965 60.63318077282877, 6.220102469424566 60.63289616964527, 6.215683470197386 60.63321770161118, 6.215437024555539 60.633249812065806, 6.214240093177879 60.63341179870164, 6.209441779351846 60.6340982849587, 6.2092091795861375 60.63416929820662, 6.203360727084227 60.63807367469363, 6.200368986104662 60.63818941246639, 6.197838451645556 60.63870921750445, 6.1771518478715075 60.63810545618167, 6.176460067786093 60.637963583817, 6.17357429943392 60.63750709984515, 6.16703100794246 60.63894569610759, 6.167015221082716 60.63895017523832, 6.166042260974603 60.639232873227456, 6.166026366961808 60.639237272848405, 6.164693201500086 60.63963412156414, 6.1527643046102805 60.64483551161393, 6.137672813610644 60.64688847206365, 6.133855192801669 60.646191951682525, 6.124431780615644 60.64762154883457, 6.118674181150774 60.64678535130125, 6.11601382400826 60.646829161831796, 6.115247818833779 60.64686923869176, 6.112946480260428 60.64707848082196, 6.112199593537761 60.64717035446437, 6.112106165170347 60.64718605788837, 6.111876777260454 60.64723344783443, 6.110949229415733 60.64739913211802, 6.1108659017408264 60.64741490540878, 6.11065337766654 60.64746185900604, 6.110429968530436 60.647510234115266, 6.109818407270155 60.64764706864896, 6.108821928205836 60.64782250917839, 6.104046286906194 60.64721989712277, 6.103249160520357 60.64703548564994, 6.098257791144675 60.64629247312265, 6.09781867560452 60.6462811366454, 6.089883266342419 60.64613055755318, 6.089554060054952 60.64612533880664, 6.081786796601676 60.64632833222875, 6.080629747733192 60.64622950781953, 6.079075385862076 60.64616475784543, 6.078772694585044 60.646166208867676, 6.069880521477407 60.64729564355118, 6.069498601988502 60.64731551049591, 6.066441759283668 60.64713068867424, 6.059308761791449 60.64525838640346)"/>
    <s v="[2056593, 2056601, 2056609, 2056617, 2056625, 2056633, 2056640, 2056648, 2056656, 2056664, 2056672, 2056680, 2056688, 2056696, 2056704, 2056712, 2056720, 2056728, 2056736, 2056744, 2056752, 2056776, 2056784, 2056792, 2056800, 2056808, 2056816, 2056824, 2056832, 2056840, 2056848, 2056856, 2056864, 2056872, 2056880, 2056888, 2056896, 2056904, 2056912, 2056920, 2056928, 2056936, 2056944, 2056952, 2056960, 2056968, 2056976, 2056984, 2056992, 2057000, 2057008, 2057016]"/>
    <s v="[1788773, 1788779, 1788783, 1788788, 1788793, 1788799, 1788805, 1788811, 1788815, 1788820, 1724730, 1788831, 1669360, 1788837, 1678678, 1669612, 1788849, 1788855, 1788862, 1788869, 1788874, 1722785, 1697442, 1722766, 1788896, 1788900, 1788907, 1788911, 1788918, 1788922, 1777886, 1755337, 1788938, 1788945, 1788947, 1788952, 1788958, 1788964, 1788970, 1788976, 1788983, 1788986, 1788991, 1788997, 1754228, 1754261, 1789014, 1789020, 1789027, 1789030, 1697051, 329895]"/>
    <s v="#FIELD!"/>
    <s v="[329937, 1788773, 1788779, 1788783, 1788788, 1788793, 1788799, 1788805, 1788811, 1788815, 1788820, 1724730, 1788831, 1669360, 1788837, 1678678, 1669612, 1788849, 1788855, 1788862, 1788869, 1788874, 1722785, 1697442, 1722766, 1788896, 1788900, 1788907, 1788911, 1788918, 1788922, 1777886, 1755337, 1788938, 1788945, 1788947, 1788952, 1788958, 1788964, 1788970, 1788976, 1788983, 1788986, 1788991, 1788997, 1754228, 1754261, 1789014, 1789020, 1789027, 1789030, 1697051]"/>
    <s v="[0.67, 0.054, 0.055, 0.047, 0.003, 0.135, 0.24, 0.145, 0.24, 0.195, 0.004, 0.021, 0.014, 0.002, 0.154, 0.079, 0.004, 0.025, 0.028, 0.225, 0.007, 0.006, 0.004, 0.082, 0.019, 0.017, 0.07, 0.068, 0.023, 0.025, 0.033, 0.024, 0.006, 0.0, 0.0, 0.0, 0.0, 0.0, 0.001, 0.024, 0.068, 0.201, 0.017, 0.145, 0.051, 0.175, 0.213, 0.341, 0.088, 0.122, 0.041, 0.097]"/>
    <s v="10946.95256175184"/>
    <s v="[-0.67, -0.054, -0.055, 0.047, -0.003, 0.135, 0.24, 0.145, -0.24, -0.195, -0.004, 0.021, 0.014, -0.002, -0.154, -0.079, -0.004, -0.025, 0.028, 0.225, 0.007, 0.006, 0.004, -0.082, 0.019, -0.017, -0.07, -0.068, -0.023, -0.025, -0.033, -0.024, -0.006, 0.0, 0.0, 0.0, 0.0, 0.0, 0.001, 0.024, 0.068, 0.201, -0.017, -0.145, 0.051, 0.175, 0.213, 0.341, -0.088, -0.122, -0.041, 0.097]"/>
  </r>
  <r>
    <x v="605"/>
    <x v="796"/>
    <x v="0"/>
    <n v="0"/>
    <s v="LINESTRING (11.254785484873883 59.10652918912949, 11.255164197513844 59.10748425255183, 11.255548182645922 59.10830589951309, 11.255824501913295 59.10873997795099, 11.256198549518857 59.10928277531894, 11.256380989364708 59.109493977281296, 11.256423935923449 59.10954023730564, 11.257083486247163 59.11017560735029, 11.257386168307107 59.11042307331007, 11.260264175789175 59.11252776443491, 11.260343042594618 59.11258518140228)"/>
    <s v="[1671006, 1671014, 1671022, 1671030, 1671038, 1671046, 1671054, 1671062, 1671070, 1671078]"/>
    <s v="[1498754, 1498761, 1498769, 1498774, 1498783, 1498788, 1498798, 1498804, 1498809, 1498817]"/>
    <s v="#FIELD!"/>
    <s v="[329897, 1498754, 1498761, 1498769, 1498774, 1498783, 1498788, 1498798, 1498804, 1498809]"/>
    <s v="[0.006, 0.011, 0.015, 0.002, 0.043, 0.037, 0.018, 0.015, 0.013, 0.042]"/>
    <s v="756.6411104571008"/>
    <s v="[-0.006, 0.011, 0.015, 0.002, 0.043, 0.037, 0.018, -0.015, -0.013, -0.042]"/>
  </r>
  <r>
    <x v="605"/>
    <x v="797"/>
    <x v="61"/>
    <s v="[1, 0, 0, 1, 1, 0, 0, 0]"/>
    <s v="LINESTRING (11.25110004756096 59.09645377327206, 11.25110004756096 59.09645377327206, 11.251931448972309 59.102995166712475, 11.252007633424382 59.10307377231336, 11.252311836799871 59.10337344479196, 11.252397136089932 59.10345373402718, 11.254723522268906 59.10637288585325, 11.25476937174133 59.1064885311413, 11.254785484873883 59.10652918912949)"/>
    <s v="[1670942, 1670950, 1670958, 1670966, 1670974, 1670982, 1670990, 1670998]"/>
    <s v="[1498704, 1498713, 1498720, 1498727, 1498733, 1498740, 1498744, 329897]"/>
    <s v="0.014197606648202766"/>
    <s v="[1498703, 1498704, 1498713, 1498720, 1498727, 1498733, 1498740, 1498744]"/>
    <s v="[0.0, 0.007, 0.005, 0.009, 0.018, 0.061, 0.061, 0.513]"/>
    <s v="1408.2678962728999"/>
    <s v="[0.0, -0.007, -0.005, 0.009, 0.018, 0.061, 0.061, 0.513]"/>
  </r>
  <r>
    <x v="605"/>
    <x v="798"/>
    <x v="0"/>
    <n v="0"/>
    <s v="LINESTRING (11.255650258360937 59.111025894176024, 11.255659707495722 59.11097666149725, 11.255692770465219 59.11092103606692, 11.256323388950689 59.110069750213064, 11.256182889301568 59.10971773316335, 11.254759930906838 59.10660138331087, 11.254785484873883 59.10652918912949)"/>
    <s v="[1674354, 1674362, 1674370, 1674378, 341153, 341161]"/>
    <s v="[1501719, 1501727, 1160080, 329892, 329893, 329897]"/>
    <s v="#FIELD!"/>
    <s v="[1501718, 1501719, 1501727, 1160080, 329892, 329893]"/>
    <s v="[0.029, 0.03, 0.025, 0.02, 0.008, 0.035]"/>
    <s v="520.9132143307984"/>
    <s v="[-0.029, -0.03, -0.025, -0.02, -0.008, 0.035]"/>
  </r>
  <r>
    <x v="606"/>
    <x v="799"/>
    <x v="0"/>
    <n v="0"/>
    <m/>
    <n v="341176"/>
    <n v="329910"/>
    <s v="#FIELD!"/>
    <n v="329909"/>
    <s v="0.081"/>
    <s v="81.73330304721011"/>
    <s v="#FIELD!"/>
  </r>
  <r>
    <x v="606"/>
    <x v="800"/>
    <x v="0"/>
    <s v="[0, 0, 1, 0, 0]"/>
    <s v="LINESTRING (6.374797786942101 60.61872013408553, 6.3749945349164125 60.618757389882994, 6.3754190450166766 60.6192585052213, 6.375154454581653 60.61939215342077, 6.37510775608749 60.61941243174484, 6.3750449917381395 60.61943968691688)"/>
    <s v="[1996055, 1996063, 1996072, 1996080, 1996106]"/>
    <s v="[1751470, 1751473, 1751478, 1751484, 1696605]"/>
    <s v="#FIELD!"/>
    <s v="[329909, 1751470, 1751473, 1751478, 1751484]"/>
    <s v="[2.056, 0.013, 0.06, 0.058, 0.072]"/>
    <s v="107.00222879297218"/>
    <s v="[-2.056, 0.013, 0.06, 0.058, 0.072]"/>
  </r>
  <r>
    <x v="606"/>
    <x v="801"/>
    <x v="0"/>
    <n v="0"/>
    <m/>
    <n v="1996047"/>
    <n v="329909"/>
    <s v="2.656"/>
    <n v="1751461"/>
    <s v="2.656"/>
    <s v="8.927855285554173"/>
    <s v="2.656"/>
  </r>
  <r>
    <x v="607"/>
    <x v="795"/>
    <x v="0"/>
    <n v="0"/>
    <m/>
    <n v="2056585"/>
    <n v="329937"/>
    <s v="0.01"/>
    <n v="329919"/>
    <s v="0.01"/>
    <s v="78.04826533425879"/>
    <s v="0.01"/>
  </r>
  <r>
    <x v="607"/>
    <x v="795"/>
    <x v="0"/>
    <n v="0"/>
    <s v="LINESTRING (6.239701017336183 60.63678132923854, 6.239662240848539 60.636762104363285, 6.238360343196014 60.63684966933364, 6.238298168777537 60.63689097993368)"/>
    <s v="[341184, 341192, 341200]"/>
    <s v="[329920, 329929, 329937]"/>
    <s v="0.008843325500179357"/>
    <s v="[329919, 329920, 329929]"/>
    <s v="[0.164, 0.006, 0.14]"/>
    <s v="89.69673362065852"/>
    <s v="[-0.164, 0.006, 0.14]"/>
  </r>
  <r>
    <x v="607"/>
    <x v="802"/>
    <x v="0"/>
    <s v="[0, 0, 0, 0, 0, 0, 0, 0, 1, 0, 0, 0, 0, 1, 0, 0, 0]"/>
    <s v="LINESTRING (6.280905766906451 60.63113340822331, 6.27900882693465 60.63132302569905, 6.278337418335743 60.631316547790696, 6.277985051328611 60.631302945179584, 6.276953879343142 60.631223564829945, 6.276152608013953 60.63116108532322, 6.27613445856494 60.63116027247186, 6.272785911741015 60.63145828131557, 6.266803476528785 60.63217593787603, 6.26642454498918 60.63219519154256, 6.26105677020884 60.63254144222538, 6.254911869298331 60.632213722095024, 6.250347744125688 60.63197063117316, 6.24538416928641 60.635429751949125, 6.244980916900975 60.6356064250425, 6.242005754235899 60.63645816260045, 6.241276095357154 60.636590716821985, 6.239701017336183 60.63678132923854)"/>
    <s v="[2056449, 2056457, 2056465, 2056473, 2056481, 2056489, 2056497, 2056505, 2056513, 2056521, 2056529, 2056537, 2056545, 2056553, 2056561, 2056569, 2056577]"/>
    <s v="[1751582, 1788674, 1788680, 1788687, 1788693, 1788699, 1788705, 1788710, 1788716, 1669250, 1788725, 1788733, 1788738, 1788744, 1669294, 1788755, 329919]"/>
    <s v="0.009419093012072095"/>
    <s v="[1751557, 1751582, 1788674, 1788680, 1788687, 1788693, 1788699, 1788705, 1788710, 1788716, 1669250, 1788725, 1788733, 1788738, 1788744, 1669294, 1788755]"/>
    <s v="[0.005, 0.061, 0.1, 0.123, 0.122, 0.069, 0.057, 0.044, 0.04, 0.003, 0.062, 0.072, 0.026, 0.044, 0.017, 0.01, 0.463]"/>
    <s v="2544.025986247107"/>
    <s v="[0.005, -0.061, -0.1, -0.123, -0.122, -0.069, 0.057, 0.044, 0.04, 0.003, -0.062, -0.072, 0.026, 0.044, -0.017, 0.01, 0.463]"/>
  </r>
  <r>
    <x v="608"/>
    <x v="803"/>
    <x v="0"/>
    <n v="0"/>
    <m/>
    <n v="2063400"/>
    <n v="330138"/>
    <s v="0.017"/>
    <n v="330122"/>
    <s v="0.017"/>
    <s v="88.42068697407863"/>
    <s v="0.017"/>
  </r>
  <r>
    <x v="608"/>
    <x v="803"/>
    <x v="0"/>
    <n v="0"/>
    <s v="LINESTRING (5.361284200587086 60.50114881796639, 5.361299524567223 60.50118696618708, 5.3603553647854945 60.5017745572696, 5.3602919045752895 60.50177047297979)"/>
    <s v="[341424, 341432, 341440]"/>
    <s v="[330123, 330131, 330138]"/>
    <s v="0.015449265443891453"/>
    <s v="[330122, 330123, 330131]"/>
    <s v="[0.113, 0.017, 0.135]"/>
    <s v="95.92919574102484"/>
    <s v="[-0.113, 0.017, 0.135]"/>
  </r>
  <r>
    <x v="608"/>
    <x v="804"/>
    <x v="0"/>
    <n v="0"/>
    <s v="LINESTRING (5.375994763039742 60.48534803103942, 5.376312921237821 60.48609901724972, 5.37638782872481 60.48639143134359, 5.376477369652373 60.486717237449106, 5.3767722083342955 60.488569400773265, 5.376811889294174 60.489109704186134, 5.376845878019484 60.4896900060071, 5.376928154383617 60.49032823767025, 5.376263055839151 60.49145475577829, 5.3736820154135465 60.49348193736641, 5.371621223230542 60.495061287554385, 5.371611600607283 60.49506887193972, 5.37129835363076 60.49533314566487, 5.370667627550858 60.49580404687456, 5.370602787787222 60.49584932487712, 5.37056160638651 60.49587890541547, 5.365008634304542 60.49885418938257, 5.363097647844299 60.50002373709712, 5.363047820967127 60.500055381194606, 5.361606309412674 60.50095521651568, 5.361284200587086 60.50114881796639)"/>
    <s v="[2063250, 2063251, 2063260, 2063261, 2063263, 2063270, 2063278, 2063286, 2063288, 2063291, 2063292, 2063299, 2063307, 2063319, 2063323, 2063335, 2063360, 2063368, 2063384, 2063399]"/>
    <s v="[1793282, 1621026, 1793291, 1621065, 1793292, 1621070, 1769501, 1793306, 1793309, 1793311, 1793312, 1591787, 1772093, 1793327, 1772094, 1620654, 1702911, 1715029, 1793354, 330122]"/>
    <s v="#FIELD!"/>
    <s v="[1589985, 1793282, 1621026, 1793291, 1621065, 1793292, 1621070, 1769501, 1793306, 1793309, 1793311, 1793312, 1591787, 1772093, 1793327, 1772094, 1620654, 1702911, 1715029, 1793354]"/>
    <s v="[0.131, 0.048, 0.046, 0.04, 0.05, 0.026, 0.011, 0.023, 0.015, 0.001, 0.03, 0.019, 0.005, 0.015, 0.011, 0.001, 0.018, 0.125, 0.003, 0.048]"/>
    <s v="2063.835711311165"/>
    <s v="[-0.131, -0.048, -0.046, -0.04, -0.05, -0.026, -0.011, -0.023, -0.015, 0.001, 0.03, 0.019, 0.005, 0.015, 0.011, 0.001, -0.018, -0.125, -0.003, -0.048]"/>
  </r>
  <r>
    <x v="609"/>
    <x v="805"/>
    <x v="0"/>
    <n v="0"/>
    <s v="LINESTRING (5.3602919045752895 60.50177047297979, 5.359454207075152 60.50227357856077, 5.357569848466827 60.50343361199633, 5.357424341989231 60.503538417480264, 5.355317009363344 60.50481268825834, 5.354151741923669 60.505551980112955, 5.353206956718865 60.506116458584955, 5.353017504064237 60.50623852384408, 5.352890613635767 60.50631358619977, 5.3522483757869805 60.5067110232599, 5.351983325131935 60.50684916249866, 5.351758338133818 60.5069638123711, 5.349617533660571 60.50785602931849, 5.349064110092643 60.508028411006634, 5.349048789263602 60.50803319034266, 5.347213227987505 60.50862026494849)"/>
    <s v="[2063409, 2063417, 2063433, 2063441, 2063449, 2063457, 2063465, 2063473, 2063481, 2063489, 2063497, 2063505, 2063513, 2063521, 2063529]"/>
    <s v="[1628253, 1620609, 1793372, 1632600, 1620658, 1670313, 1793394, 1621220, 1620662, 1793406, 1620682, 1620698, 1793415, 1793419, 775322]"/>
    <s v="6.777685321398773e-05"/>
    <s v="[330138, 1628253, 1620609, 1793372, 1632600, 1620658, 1670313, 1793394, 1621220, 1620662, 1793406, 1620682, 1620698, 1793415, 1793419]"/>
    <s v="[0.06, 0.015, 0.075, 0.031, 0.025, 0.037, 0.002, 0.021, 0.04, 0.046, 0.049, 0.005, 0.015, 0.055, 0.016]"/>
    <s v="1059.9351028083474"/>
    <s v="[0.06, 0.015, 0.075, -0.031, -0.025, 0.037, 0.002, -0.021, -0.04, -0.046, -0.049, -0.005, 0.015, 0.055, 0.016]"/>
  </r>
  <r>
    <x v="610"/>
    <x v="806"/>
    <x v="0"/>
    <n v="0"/>
    <m/>
    <n v="341761"/>
    <n v="330472"/>
    <s v="0.0"/>
    <n v="330471"/>
    <s v="0.0"/>
    <s v="34.75708273147876"/>
    <s v="0.0"/>
  </r>
  <r>
    <x v="610"/>
    <x v="807"/>
    <x v="0"/>
    <n v="0"/>
    <s v="LINESTRING (14.150499189573221 66.31854445678502, 14.15665558239035 66.32173398838559, 14.157928394971172 66.32404634049325)"/>
    <s v="[402578, 402586]"/>
    <s v="[395193, 395203]"/>
    <s v="0.01908916463459479"/>
    <s v="[330471, 395193]"/>
    <s v="[0.027, 0.006]"/>
    <s v="706.9287084845039"/>
    <s v="[0.027, 0.006]"/>
  </r>
  <r>
    <x v="611"/>
    <x v="808"/>
    <x v="0"/>
    <n v="0"/>
    <s v="LINESTRING (14.150499189573221 66.31854445678502, 14.149875910942251 66.31857687722746, 14.149869965485925 66.31857717670162, 14.14946236852083 66.31860159558266)"/>
    <s v="[341995, 342003, 342011]"/>
    <s v="[330669, 330678, 330683]"/>
    <s v="#FIELD!"/>
    <s v="[330472, 330669, 330678]"/>
    <s v="[0.022, 0.007, 0.011]"/>
    <s v="46.907358942013715"/>
    <s v="[-0.022, -0.007, -0.011]"/>
  </r>
  <r>
    <x v="611"/>
    <x v="809"/>
    <x v="0"/>
    <n v="0"/>
    <s v="LINESTRING (14.150499189573221 66.31854445678502, 14.149872373835388 66.31849931379958, 14.14986113714606 66.31849838212767, 14.149436559580392 66.31846741434887)"/>
    <s v="[342019, 342027, 342035]"/>
    <s v="[330691, 330699, 330709]"/>
    <s v="0.0011638449279373919"/>
    <s v="[330472, 330691, 330699]"/>
    <s v="[0.002, 0.004, 0.006]"/>
    <s v="48.57845424990059"/>
    <s v="[-0.002, -0.004, 0.006]"/>
  </r>
  <r>
    <x v="612"/>
    <x v="810"/>
    <x v="0"/>
    <n v="0"/>
    <m/>
    <n v="342088"/>
    <n v="330717"/>
    <s v="#FIELD!"/>
    <n v="330683"/>
    <s v="0.046"/>
    <s v="10.889881076479945"/>
    <s v="#FIELD!"/>
  </r>
  <r>
    <x v="612"/>
    <x v="809"/>
    <x v="0"/>
    <n v="0"/>
    <s v="LINESTRING (14.149436559580392 66.31846741434887, 14.14949194707163 66.31853850540107, 14.14946236852083 66.31860159558266)"/>
    <s v="[342145, 342153]"/>
    <s v="[330820, 330683]"/>
    <s v="#FIELD!"/>
    <s v="[330709, 330820]"/>
    <s v="[0.056, 0.058]"/>
    <s v="15.460721393198373"/>
    <s v="[-0.056, -0.058]"/>
  </r>
  <r>
    <x v="613"/>
    <x v="811"/>
    <x v="0"/>
    <n v="0"/>
    <s v="LINESTRING (14.148930045707226 66.31865879637083, 14.148817258187346 66.31858936491864, 14.148797043473023 66.31852734822976, 14.148872165958359 66.31845697092544, 14.149436559580392 66.31846741434887)"/>
    <s v="[342113, 342121, 342129, 342137]"/>
    <s v="[330662, 330795, 330642, 330709]"/>
    <s v="0.025191355745860216"/>
    <s v="[330735, 330662, 330795, 330642]"/>
    <s v="[0.047, 0.056, 0.056, 0.002]"/>
    <s v="54.51169327069168"/>
    <s v="[0.047, 0.056, 0.056, 0.002]"/>
  </r>
  <r>
    <x v="614"/>
    <x v="812"/>
    <x v="0"/>
    <n v="0"/>
    <s v="LINESTRING (14.149302019842445 66.318671686639, 14.149234893703671 66.31879857699232, 14.149098505483266 66.31888984693177)"/>
    <s v="[342044, 342053]"/>
    <s v="[330718, 330727]"/>
    <s v="#FIELD!"/>
    <s v="[330717, 330718]"/>
    <s v="[0.061, 0.049]"/>
    <s v="26.95336381417336"/>
    <s v="[-0.061, -0.049]"/>
  </r>
  <r>
    <x v="614"/>
    <x v="811"/>
    <x v="0"/>
    <n v="0"/>
    <s v="LINESTRING (14.149302019842445 66.318671686639, 14.149125233627242 66.3186867796286, 14.148930045707226 66.31865879637083)"/>
    <s v="[342096, 342105]"/>
    <s v="[330770, 330735]"/>
    <s v="0.0008318349576578837"/>
    <s v="[330717, 330770]"/>
    <s v="[0.02, 0.019]"/>
    <s v="17.38809998044006"/>
    <s v="[-0.02, 0.019]"/>
  </r>
  <r>
    <x v="615"/>
    <x v="813"/>
    <x v="0"/>
    <s v="[0, 0, 1, 0, 0, 0, 0, 0, 0]"/>
    <s v="LINESTRING (14.149098505483266 66.31888984693177, 14.149080291924466 66.31896257221221, 14.14829622519681 66.31974972019067, 14.148071065761513 66.31980792634373, 14.144946428702518 66.32048919518917, 14.14462906760363 66.32055735095247, 14.143762768713746 66.32073319060366, 14.14212921782173 66.3210690907719, 14.137373861197345 66.32205233776739, 14.136872786971683 66.32217859319313)"/>
    <s v="[402498, 402506, 402514, 402522, 402530, 402538, 402546, 402554, 402562]"/>
    <s v="[395102, 395113, 395122, 379416, 395141, 395150, 395158, 395165, 395173]"/>
    <s v="#FIELD!"/>
    <s v="[330727, 395102, 395113, 395122, 379416, 395141, 395150, 395158, 395165]"/>
    <s v="[0.057, 0.001, 0.0, 0.0, 0.0, 0.0, 0.0, 0.001, 0.001]"/>
    <s v="686.3776188252348"/>
    <s v="[-0.057, -0.001, 0.0, 0.0, 0.0, 0.0, 0.0, 0.001, 0.001]"/>
  </r>
  <r>
    <x v="615"/>
    <x v="811"/>
    <x v="0"/>
    <n v="0"/>
    <s v="LINESTRING (14.148930045707226 66.31865879637083, 14.148980913729995 66.31879155365395, 14.14898185043312 66.31879420548721, 14.149098505483266 66.31888984693177)"/>
    <s v="[342062, 342071, 342080]"/>
    <s v="[330736, 330747, 330727]"/>
    <s v="#FIELD!"/>
    <s v="[330735, 330736, 330747]"/>
    <s v="[0.057, 0.0, 0.053]"/>
    <s v="27.770284902351797"/>
    <s v="[-0.057, 0.0, -0.053]"/>
  </r>
  <r>
    <x v="616"/>
    <x v="814"/>
    <x v="0"/>
    <n v="0"/>
    <s v="LINESTRING (10.699777153409066 59.411112735386816, 10.699667378537304 59.41145057781607, 10.703142862236078 59.41767851814696)"/>
    <s v="[1671494, 1671502]"/>
    <s v="[1499153, 331168]"/>
    <s v="0.00024816335167436473"/>
    <s v="[331156, 1499153]"/>
    <s v="[0.005, 0.0]"/>
    <s v="768.8840048168129"/>
    <s v="[0.005, 0.0]"/>
  </r>
  <r>
    <x v="616"/>
    <x v="815"/>
    <x v="0"/>
    <n v="0"/>
    <s v="LINESTRING (10.745250881295476 59.38840669182848, 10.744135452877678 59.388890302830774, 10.744084228450223 59.38891920236393, 10.743998816729007 59.38896766671637, 10.743598476433627 59.38916845410451, 10.707718492705732 59.40657855728351, 10.704086811715761 59.407736811794685, 10.699869105096768 59.410890233563435, 10.699863782833672 59.41090005738708, 10.699777153409066 59.411112735386816)"/>
    <s v="[1671422, 1671430, 1671438, 1671446, 1671454, 1671462, 1671470, 1671478, 1671486]"/>
    <s v="[1499085, 1499093, 1499099, 1499107, 1499115, 1499123, 1499130, 1499140, 331156]"/>
    <s v="#FIELD!"/>
    <s v="[1499074, 1499085, 1499093, 1499099, 1499107, 1499115, 1499123, 1499130, 1499140]"/>
    <s v="[0.007, 0.051, 0.041, 0.055, 0.003, 0.003, 0.008, 0.025, 0.001]"/>
    <s v="3680.529028213841"/>
    <s v="[-0.007, -0.051, -0.041, -0.055, -0.003, -0.003, 0.008, 0.025, 0.001]"/>
  </r>
  <r>
    <x v="616"/>
    <x v="816"/>
    <x v="0"/>
    <n v="0"/>
    <s v="LINESTRING (10.70007053432719 59.414894937435015, 10.70004113428131 59.414862494404005, 10.69968830285948 59.411174251377545, 10.699777153409066 59.411112735386816)"/>
    <s v="[1675324, 1675332, 342481]"/>
    <s v="[1502555, 331155, 331156]"/>
    <s v="#FIELD!"/>
    <s v="[1502554, 1502555, 331155]"/>
    <s v="[0.004, 0.008, 0.006]"/>
    <s v="426.383255980363"/>
    <s v="[-0.004, -0.008, -0.006]"/>
  </r>
  <r>
    <x v="617"/>
    <x v="817"/>
    <x v="0"/>
    <n v="0"/>
    <s v="LINESTRING (10.699905623890068 59.41146534525754, 10.699945588436723 59.41162628626595, 10.70160178991872 59.414603741305974, 10.701629320740722 59.414637021538624)"/>
    <s v="[342489, 1675308, 1675316]"/>
    <s v="[331163, 1502542, 1502547]"/>
    <s v="#FIELD!"/>
    <s v="[331162, 331163, 1502542]"/>
    <s v="[0.003, 0.004, 0.014]"/>
    <s v="375.5437967259454"/>
    <s v="[0.003, -0.004, 0.014]"/>
  </r>
  <r>
    <x v="617"/>
    <x v="818"/>
    <x v="0"/>
    <n v="0"/>
    <s v="LINESTRING (10.699905623890068 59.41146534525754, 10.70335419521777 59.41764391369983, 10.703701839215302 59.41808552800708)"/>
    <s v="[1697671, 1697679]"/>
    <s v="[1518069, 331175]"/>
    <s v="0.000887022090552576"/>
    <s v="[331162, 1518069]"/>
    <s v="[0.003, 0.028]"/>
    <s v="777.9598736280954"/>
    <s v="[0.003, -0.028]"/>
  </r>
  <r>
    <x v="617"/>
    <x v="819"/>
    <x v="62"/>
    <n v="0"/>
    <s v="LINESTRING (10.743776432274194 59.38924876769415, 10.739366420439126 59.39156756001227, 10.7393547004342 59.39157426248082, 10.707858965227848 59.406672603244616, 10.704226041043155 59.4078332487142, 10.700083739761867 59.41095491129002, 10.700079596779474 59.41096475604696, 10.700005406688586 59.41114102113008, 10.699905623890068 59.41146534525754)"/>
    <s v="[1697607, 1697615, 1697623, 1697631, 1697639, 1697647, 1697655, 1697663]"/>
    <s v="[1518037, 1518040, 1518045, 1518047, 1518052, 1518056, 1518059, 331162]"/>
    <s v="#FIELD!"/>
    <s v="[1518033, 1518037, 1518040, 1518045, 1518047, 1518052, 1518056, 1518059]"/>
    <s v="[0.016, 0.016, 0.002, 0.003, 0.007, 0.003, 0.011, 0.0]"/>
    <s v="3583.935249540167"/>
    <s v="[-0.016, -0.016, -0.002, -0.003, 0.007, 0.003, 0.011, -0.0]"/>
  </r>
  <r>
    <x v="618"/>
    <x v="816"/>
    <x v="0"/>
    <n v="0"/>
    <s v="LINESTRING (10.703142862236078 59.41767851814696, 10.702925919408298 59.41753337045398, 10.700161667586606 59.414960836251566, 10.700109173578147 59.41492408836053, 10.70007053432719 59.414894937435015)"/>
    <s v="[342497, 1675356, 1675364, 1675372]"/>
    <s v="[331169, 1502577, 1502582, 1502554]"/>
    <s v="0.00855436902218892"/>
    <s v="[331168, 331169, 1502577, 1502582]"/>
    <s v="[0.005, 0.009, 0.001, 0.002]"/>
    <s v="357.77167754314723"/>
    <s v="[0.005, 0.009, -0.001, 0.002]"/>
  </r>
  <r>
    <x v="618"/>
    <x v="820"/>
    <x v="0"/>
    <s v="[0, 0, 0, 1, 0]"/>
    <s v="LINESTRING (10.703142862236078 59.41767851814696, 10.703483743781849 59.41811806673383, 10.703859514680193 59.418588771438635, 10.70512799932868 59.420177605360884, 10.705326569771978 59.420430221488374, 10.706630929067849 59.4222556368695)"/>
    <s v="[1671510, 1671518, 1671526, 1671534, 1671542]"/>
    <s v="[1499166, 1499173, 1499181, 1499190, 688471]"/>
    <s v="0.004612641935806548"/>
    <s v="[331168, 1499166, 1499173, 1499181, 1499190]"/>
    <s v="[0.03, 0.01, 0.017, 0.007, 0.009]"/>
    <s v="547.484021312016"/>
    <s v="[0.03, -0.01, 0.017, 0.007, -0.009]"/>
  </r>
  <r>
    <x v="619"/>
    <x v="821"/>
    <x v="0"/>
    <s v="[0, 0, 1, 0, 0]"/>
    <s v="LINESTRING (10.703701839215302 59.41808552800708, 10.704090418517364 59.4185711407345, 10.705344921795687 59.42013089813685, 10.705590022005138 59.4204477859323, 10.706863017248299 59.422239982083155, 10.70691363147695 59.42234456544036)"/>
    <s v="[1697687, 1697695, 1697703, 1697711, 1697719]"/>
    <s v="[1518075, 1518078, 1518080, 1518085, 688441]"/>
    <s v="0.006022559709211435"/>
    <s v="[331175, 1518075, 1518078, 1518080, 1518085]"/>
    <s v="[0.025, 0.018, 0.008, 0.032, 0.74]"/>
    <s v="508.7880312250812"/>
    <s v="[0.025, 0.018, 0.008, 0.032, -0.74]"/>
  </r>
  <r>
    <x v="619"/>
    <x v="817"/>
    <x v="0"/>
    <n v="0"/>
    <s v="LINESTRING (10.701629320740722 59.414637021538624, 10.70165322424777 59.41467108136274, 10.703638353827712 59.41790647634326, 10.703701839215302 59.41808552800708)"/>
    <s v="[1675340, 1675348, 342505]"/>
    <s v="[1502564, 331174, 331175]"/>
    <s v="0.004728400620804367"/>
    <s v="[1502547, 1502564, 331174]"/>
    <s v="[0.013, 0.005, 0.002]"/>
    <s v="403.85363784447316"/>
    <s v="[0.013, 0.005, -0.002]"/>
  </r>
  <r>
    <x v="620"/>
    <x v="822"/>
    <x v="0"/>
    <n v="0"/>
    <s v="LINESTRING (17.557054108097667 68.54926833109185, 17.55689520342298 68.54928831323373, 17.5561828288799 68.54939521156098)"/>
    <s v="[342783, 342791]"/>
    <s v="[331417, 331423]"/>
    <s v="#FIELD!"/>
    <s v="[331416, 331417]"/>
    <s v="[0.07, 0.071]"/>
    <s v="38.28392316522144"/>
    <s v="[-0.07, -0.071]"/>
  </r>
  <r>
    <x v="620"/>
    <x v="823"/>
    <x v="0"/>
    <n v="0"/>
    <s v="LINESTRING (17.557054108097667 68.54926833109185, 17.55690980021251 68.54922834275584, 17.556856786581836 68.5491501668331)"/>
    <s v="[432288, 432296]"/>
    <s v="[430544, 331436]"/>
    <s v="#FIELD!"/>
    <s v="[331416, 430544]"/>
    <s v="[0.451, 0.262]"/>
    <s v="16.370032456035705"/>
    <s v="[-0.451, 0.262]"/>
  </r>
  <r>
    <x v="620"/>
    <x v="824"/>
    <x v="0"/>
    <n v="0"/>
    <m/>
    <n v="432280"/>
    <n v="331416"/>
    <s v="#FIELD!"/>
    <n v="331512"/>
    <s v="0.089"/>
    <s v="4.079215610837698"/>
    <s v="#FIELD!"/>
  </r>
  <r>
    <x v="621"/>
    <x v="825"/>
    <x v="63"/>
    <s v="[0, 0, 0, 0, 0, 0, 0, 1, 0, 0, 0, 0, 0, 0, 0, 0, 0, 0, 0, 0, 0, 0, 0, 0, 0, 0, 0, 0, 0, 0, 0, 0, 0]"/>
    <s v="LINESTRING (17.5561828288799 68.54939521156098, 17.55533744623749 68.54957967389217, 17.55089868394894 68.5503084777991, 17.54890146461205 68.55052415198054, 17.54837611573918 68.55057707494197, 17.54587644629104 68.55087020181983, 17.545470348809637 68.55093322829268, 17.544445402904653 68.55111471674704, 17.54428966479116 68.55114274333782, 17.544101947869898 68.55117922379641, 17.53787412061698 68.55208260978202, 17.53764832696873 68.5520940784369, 17.53480488171228 68.55197373245694, 17.53446122663686 68.55194313048932, 17.532481155377962 68.5517654509989, 17.5306524828607 68.55159812420469, 17.53054996436331 68.55158840384567, 17.52932893320932 68.55147535907817, 17.528185112784584 68.55136996683943, 17.526974478904467 68.55125800540097, 17.52692654539048 68.55125348454766, 17.52414292703825 68.55099671625274, 17.523674012312064 68.55095247359125, 17.521807474171776 68.55074882287177, 17.517763614185746 68.55001992602769, 17.517567566043606 68.54998282483719, 17.51261045276051 68.54906187504416, 17.509326785981262 68.5483224214019, 17.509281399166824 68.54830831715438, 17.507587810105125 68.54773450203099, 17.504225537541664 68.54656616014604, 17.501366002330343 68.5455740450412, 17.500260753114524 68.54519370803594, 17.499412679516844 68.54490085988363)"/>
    <s v="[342799, 433218, 433226, 433234, 433242, 433251, 433259, 433267, 433275, 433283, 433291, 433299, 433307, 433315, 433327, 433335, 433343, 433351, 433358, 433359, 433360, 433368, 433376, 433384, 433392, 433400, 433408, 433420, 433428, 433436, 433444, 433452, 433460]"/>
    <s v="[331429, 431572, 431583, 384420, 431600, 431613, 431624, 431635, 384854, 431656, 431667, 431676, 431684, 431697, 431708, 431716, 431726, 431735, 431743, 431744, 403971, 431753, 403980, 431771, 431781, 404005, 431796, 431814, 430583, 431828, 431835, 431844, 431853]"/>
    <s v="0.03525469201532332"/>
    <s v="[331423, 331429, 431572, 431583, 384420, 431600, 431613, 431624, 431635, 384854, 431656, 431667, 431676, 431684, 431697, 431708, 431716, 431726, 431735, 431743, 431744, 403971, 431753, 403980, 431771, 431781, 404005, 431796, 431814, 430583, 431828, 431835, 431844]"/>
    <s v="[0.009, 0.002, 0.009, 0.003, 0.009, 0.015, 0.017, 0.024, 0.029, 0.057, 0.018, 0.006, 0.001, 0.004, 0.035, 0.059, 0.051, 0.036, 0.014, 0.022, 0.012, 0.031, 0.027, 0.056, 0.093, 0.07, 0.073, 0.054, 0.02, 0.027, 0.061, 0.064, 0.042]"/>
    <s v="2616.8097951294476"/>
    <s v="[0.009, -0.002, -0.009, 0.003, 0.009, 0.015, 0.017, 0.024, 0.029, 0.057, 0.018, 0.006, 0.001, 0.004, 0.035, 0.059, 0.051, 0.036, 0.014, 0.022, 0.012, 0.031, 0.027, 0.056, 0.093, 0.07, 0.073, 0.054, 0.02, 0.027, 0.061, 0.064, 0.042]"/>
  </r>
  <r>
    <x v="621"/>
    <x v="823"/>
    <x v="0"/>
    <n v="0"/>
    <s v="LINESTRING (17.556856786581836 68.5491501668331, 17.55675292382884 68.54920075187465, 17.5561828288799 68.54939521156098)"/>
    <s v="[342807, 342815]"/>
    <s v="[331437, 331423]"/>
    <s v="#FIELD!"/>
    <s v="[331436, 331437]"/>
    <s v="[0.05, 0.043]"/>
    <s v="38.86380846954164"/>
    <s v="[-0.05, -0.043]"/>
  </r>
  <r>
    <x v="622"/>
    <x v="826"/>
    <x v="0"/>
    <n v="0"/>
    <m/>
    <n v="432304"/>
    <n v="331458"/>
    <s v="0.063"/>
    <n v="331436"/>
    <s v="0.063"/>
    <s v="21.05606954714932"/>
    <s v="0.063"/>
  </r>
  <r>
    <x v="623"/>
    <x v="826"/>
    <x v="0"/>
    <n v="0"/>
    <s v="LINESTRING (17.558019563993618 68.54893555571269, 17.557411323058183 68.54904551473128, 17.557249172163306 68.54906431701518)"/>
    <s v="[342823, 342831]"/>
    <s v="[331453, 331458]"/>
    <s v="#FIELD!"/>
    <s v="[331452, 331453]"/>
    <s v="[0.072, 0.08]"/>
    <s v="34.632822363418235"/>
    <s v="[-0.072, -0.08]"/>
  </r>
  <r>
    <x v="623"/>
    <x v="827"/>
    <x v="0"/>
    <n v="0"/>
    <s v="LINESTRING (17.558019563993618 68.54893555571269, 17.55753387047768 68.54914650665617, 17.557439355037317 68.54918438451223)"/>
    <s v="[342847, 342856]"/>
    <s v="[331470, 331476]"/>
    <s v="#FIELD!"/>
    <s v="[331452, 331470]"/>
    <s v="[0.048, 0.051]"/>
    <s v="36.596011910950594"/>
    <s v="[-0.048, -0.051]"/>
  </r>
  <r>
    <x v="623"/>
    <x v="828"/>
    <x v="64"/>
    <s v="[0, 0, 0, 0, 0, 0, 0, 0, 0, 0, 0, 0, 0, 0, 0, 0, 0, 0, 0, 1, 0, 0, 0, 0, 0, 0, 0, 0, 0, 0, 0, 0, 0, 0, 0, 0, 0, 0, 0, 0, 0, 0, 0, 0, 0, 0, 0, 1, 0, 0, 0, 0, 0, 0, 0, 0, 0, 0, 0, 0, 0, 1, 0, 0, 0, 0, 0, 0, 1, 0, 0, 0, 0]"/>
    <s v="LINESTRING (17.52481150377741 68.48571779083882, 17.522724338767887 68.48820573349896, 17.52158278621383 68.48877265805753, 17.519050150167956 68.49003006603553, 17.518915327206674 68.49337511280774, 17.518964166622975 68.49347965760326, 17.51901596377437 68.49359097906745, 17.519228679857093 68.49400683311119, 17.51996786753036 68.49484639228541, 17.52071890872362 68.49543708755472, 17.521272835524588 68.49583597333607, 17.521468055659767 68.49595920241497, 17.52857616239874 68.49732116796832, 17.530898519955688 68.49733873947586, 17.532465595820515 68.49759019621017, 17.53589997550174 68.49863533463532, 17.536778018198028 68.49879195993736, 17.539364008314532 68.49892237665345, 17.539566302892492 68.49892640475338, 17.53997290520139 68.4989458282894, 17.540142646432194 68.49895842629637, 17.542409019005255 68.49951604684634, 17.543370457238936 68.49999911497919, 17.544250366277083 68.50097457634331, 17.54459825214849 68.50162099340893, 17.54515418891373 68.5026577471564, 17.545242586209152 68.5028238665036, 17.54533365925708 68.50299786140197, 17.545511267995472 68.5043804978316, 17.54527641912146 68.50476658593603, 17.54482338593112 68.50520884704954, 17.544136980859292 68.50566083817219, 17.543415394584972 68.50607169629195, 17.542997586375623 68.50631453530936, 17.545221767027872 68.50901235066785, 17.545638874648734 68.50996221159245, 17.54579344150327 68.51032420839361, 17.54629580675603 68.51086712929025, 17.54641773012312 68.51097683288293, 17.548062789945483 68.51235871054895, 17.550905631194105 68.51294122985976, 17.557102004141058 68.51498853914502, 17.557530594623724 68.51521429041165, 17.55936963438783 68.51617955820022, 17.561289274245542 68.51711360042918, 17.56310072394505 68.51773824330839, 17.563734962802243 68.5179566127414, 17.566497699944566 68.51964264643928, 17.566503459451457 68.51968034461859, 17.56644554567849 68.52013978061795, 17.566256537624543 68.52105479865585, 17.567171112234035 68.52687910281752, 17.568147064552665 68.52829201527946, 17.569401609816047 68.52970843416094, 17.571705740473707 68.53124271705923, 17.572368036694513 68.53438855713767, 17.572333270808155 68.53508006721648, 17.572367588532334 68.53553911641819, 17.572375685860756 68.5356066128396, 17.572433971903457 68.53589070614925, 17.573933508069363 68.53720644932048, 17.57454250645807 68.53806422849271, 17.574572737453412 68.53817865002596, 17.574604303357148 68.53849777943753, 17.570587953540247 68.54170873342899, 17.569396504599965 68.5422146776823, 17.568237321052525 68.54270522054824, 17.56407465246318 68.5454593243165, 17.563240147088464 68.54604557768613, 17.562954831011762 68.54621202342858, 17.562929741990256 68.54622746663085, 17.56235550956999 68.54654283764054, 17.562204983143474 68.54662267933719, 17.558019563993618 68.54893555571269)"/>
    <s v="[1251274, 430581, 430589, 430597, 430605, 430613, 430621, 430629, 430637, 430645, 430653, 430661, 430669, 430677, 430685, 430693, 430701, 430709, 430717, 430725, 430733, 430741, 430749, 430758, 430766, 430775, 430783, 430791, 430799, 430807, 430815, 430823, 430831, 430839, 430847, 430855, 430863, 430870, 430878, 430886, 1022114, 1022122, 1022130, 1022138, 1022146, 1022154, 1022162, 1022170, 1022178, 1022186, 1022194, 1022202, 1022210, 1022218, 1022226, 1022234, 1022242, 1022250, 1022258, 1022266, 1022274, 1022282, 1022290, 1022298, 1022306, 1022314, 1022322, 1022330, 1022338, 343080, 343088, 343096, 342839]"/>
    <s v="[428760, 428761, 428767, 428774, 428783, 402233, 402253, 402278, 428809, 428818, 426539, 428829, 402333, 428845, 428854, 426639, 428869, 402374, 428884, 428893, 428901, 402385, 402394, 428924, 428932, 402404, 402440, 428954, 402451, 402469, 426527, 428985, 428994, 429002, 429010, 402513, 402490, 429034, 429044, 402523, 402532, 402551, 402562, 402582, 977342, 445598, 977353, 977360, 402614, 977371, 445606, 402627, 977383, 977389, 402650, 977400, 446882, 977408, 446876, 977420, 977424, 977429, 402686, 403137, 403165, 403164, 977452, 977461, 331687, 331688, 331692, 250606, 331452]"/>
    <s v="#FIELD!"/>
    <s v="[1170457, 428760, 428761, 428767, 428774, 428783, 402233, 402253, 402278, 428809, 428818, 426539, 428829, 402333, 428845, 428854, 426639, 428869, 402374, 428884, 428893, 428901, 402385, 402394, 428924, 428932, 402404, 402440, 428954, 402451, 402469, 426527, 428985, 428994, 429002, 429010, 402513, 402490, 429034, 429044, 402523, 402532, 402551, 402562, 402582, 977342, 445598, 977353, 977360, 402614, 977371, 445606, 402627, 977383, 977389, 402650, 977400, 446882, 977408, 446876, 977420, 977424, 977429, 402686, 403137, 403165, 403164, 977452, 977461, 331687, 331688, 331692, 250606]"/>
    <s v="[0.011, 0.008, 0.031, 0.062, 0.061, 0.056, 0.061, 0.008, 0.062, 0.052, 0.004, 0.015, 0.005, 0.04, 0.023, 0.017, 0.038, 0.047, 0.007, 0.003, 0.045, 0.012, 0.025, 0.005, 0.008, 0.069, 0.067, 0.039, 0.011, 0.009, 0.003, 0.06, 0.085, 0.004, 0.05, 0.063, 0.057, 0.005, 0.028, 0.032, 0.021, 0.022, 0.018, 0.024, 0.049, 0.02, 0.007, 0.048, 0.057, 0.03, 0.025, 0.073, 0.027, 0.042, 0.099, 0.025, 0.018, 0.041, 0.039, 0.012, 0.033, 0.054, 0.043, 0.004, 0.016, 0.005, 0.004, 0.04, 0.142, 0.033, 0.023, 0.024, 0.012]"/>
    <s v="8447.677469803397"/>
    <s v="[-0.011, -0.008, -0.031, -0.062, -0.061, -0.056, -0.061, 0.008, 0.062, 0.052, 0.004, -0.015, 0.005, 0.04, 0.023, 0.017, -0.038, -0.047, -0.007, 0.003, -0.045, 0.012, -0.025, 0.005, 0.008, 0.069, 0.067, 0.039, 0.011, -0.009, -0.003, -0.06, -0.085, -0.004, -0.05, -0.063, -0.057, -0.005, 0.028, 0.032, 0.021, 0.022, 0.018, -0.024, -0.049, -0.02, 0.007, -0.048, -0.057, -0.03, 0.025, 0.073, 0.027, 0.042, -0.099, -0.025, -0.018, -0.041, -0.039, -0.012, -0.033, -0.054, 0.043, -0.004, -0.016, -0.005, 0.004, 0.04, 0.142, 0.033, 0.023, 0.024, -0.012]"/>
  </r>
  <r>
    <x v="624"/>
    <x v="827"/>
    <x v="0"/>
    <n v="0"/>
    <s v="LINESTRING (17.557249172163306 68.54906431701518, 17.557412140620027 68.54911748402742, 17.557439355037317 68.54918438451223)"/>
    <s v="[432313, 432321]"/>
    <s v="[430563, 331476]"/>
    <s v="0.048596697476295574"/>
    <s v="[331458, 430563]"/>
    <s v="[0.441, 0.627]"/>
    <s v="16.45321375338268"/>
    <s v="[-0.441, 0.627]"/>
  </r>
  <r>
    <x v="625"/>
    <x v="829"/>
    <x v="0"/>
    <n v="0"/>
    <m/>
    <n v="343032"/>
    <n v="331482"/>
    <s v="#FIELD!"/>
    <n v="331476"/>
    <s v="0.001"/>
    <s v="2.973213749288288"/>
    <s v="#FIELD!"/>
  </r>
  <r>
    <x v="626"/>
    <x v="830"/>
    <x v="0"/>
    <n v="0"/>
    <s v="LINESTRING (17.557417726106536 68.54920984440827, 17.557463090671906 68.54925519729962, 17.557533080537556 68.5493323428604, 17.557626225489543 68.5495226733242)"/>
    <s v="[342864, 342872, 342880]"/>
    <s v="[331483, 331490, 331497]"/>
    <s v="0.05054300322606684"/>
    <s v="[331482, 331483, 331490]"/>
    <s v="[0.059, 0.054, 0.047]"/>
    <s v="36.15072257343397"/>
    <s v="[0.059, 0.054, 0.047]"/>
  </r>
  <r>
    <x v="626"/>
    <x v="824"/>
    <x v="0"/>
    <n v="0"/>
    <s v="LINESTRING (17.557417726106536 68.54920984440827, 17.557310214101097 68.54925635670676, 17.557152835162537 68.54927400923481)"/>
    <s v="[432264, 432272]"/>
    <s v="[430526, 331512]"/>
    <s v="#FIELD!"/>
    <s v="[331482, 430526]"/>
    <s v="[0.627, 0.519]"/>
    <s v="13.512745913512909"/>
    <s v="[-0.627, 0.519]"/>
  </r>
  <r>
    <x v="627"/>
    <x v="831"/>
    <x v="0"/>
    <n v="0"/>
    <s v="LINESTRING (17.557626225489543 68.5495226733242, 17.557904210532385 68.55014017852388, 17.558119141946488 68.55357524745362)"/>
    <s v="[342888, 342936]"/>
    <s v="[331504, 331534]"/>
    <s v="0.0338464895249715"/>
    <s v="[331497, 331504]"/>
    <s v="[0.044, 0.032]"/>
    <s v="453.5436141908328"/>
    <s v="[0.044, 0.032]"/>
  </r>
  <r>
    <x v="627"/>
    <x v="824"/>
    <x v="0"/>
    <n v="0"/>
    <s v="LINESTRING (17.557152835162537 68.54927400923481, 17.55723461869071 68.54930473483834, 17.557393169319933 68.54937425923823, 17.557626225489543 68.5495226733242)"/>
    <s v="[342896, 342904, 342912]"/>
    <s v="[331513, 331521, 331497]"/>
    <s v="0.07608358946687568"/>
    <s v="[331512, 331513, 331521]"/>
    <s v="[0.082, 0.081, 0.072]"/>
    <s v="33.97180417142645"/>
    <s v="[0.082, 0.081, 0.072]"/>
  </r>
  <r>
    <x v="628"/>
    <x v="115"/>
    <x v="0"/>
    <n v="0"/>
    <s v="LINESTRING (10.62434971518414 60.95566986089996, 10.623345106452147 60.957636265499474, 10.623211208672549 60.957964203068116, 10.623122215190511 60.95819481705785, 10.623019929181392 60.95843130181201, 10.62285534635382 60.95879334498246, 10.622588580136057 60.95936834423053)"/>
    <s v="[342900, 342908, 342916, 342924, 342932, 342940]"/>
    <s v="[331517, 331523, 331530, 331537, 331545, 331553]"/>
    <s v="#FIELD!"/>
    <s v="[331508, 331517, 331523, 331530, 331537, 331545]"/>
    <s v="[0.005, 0.005, 0.006, 0.007, 0.007, 0.008]"/>
    <s v="423.3657545283305"/>
    <s v="[-0.005, -0.005, -0.006, -0.007, -0.007, -0.008]"/>
  </r>
  <r>
    <x v="629"/>
    <x v="832"/>
    <x v="0"/>
    <n v="0"/>
    <s v="LINESTRING (17.558119141946488 68.55357524745362, 17.558158648004362 68.55383507293078, 17.558165797171362 68.55391676482272)"/>
    <s v="[342920, 342928]"/>
    <s v="[331535, 331541]"/>
    <s v="0.03476160038488146"/>
    <s v="[331534, 331535]"/>
    <s v="[0.035, 0.034]"/>
    <s v="38.23166923469586"/>
    <s v="[0.035, 0.034]"/>
  </r>
  <r>
    <x v="629"/>
    <x v="833"/>
    <x v="0"/>
    <n v="0"/>
    <s v="LINESTRING (17.558119141946488 68.55357524745362, 17.557950462604772 68.5538099239932, 17.55784976403919 68.55389823823646)"/>
    <s v="[342944, 342952]"/>
    <s v="[331557, 331566]"/>
    <s v="0.003888942369499737"/>
    <s v="[331534, 331557]"/>
    <s v="[0.007, 0.004]"/>
    <s v="37.73100870784497"/>
    <s v="[0.007, -0.004]"/>
  </r>
  <r>
    <x v="630"/>
    <x v="834"/>
    <x v="0"/>
    <n v="0"/>
    <s v="LINESTRING (17.558165797171362 68.55391676482272, 17.558212310669035 68.55393759763714, 17.55826218421801 68.55398799772493, 17.558236362987817 68.5540413448325, 17.558080779111755 68.55409666664957)"/>
    <s v="[343040, 432200, 432208, 432216]"/>
    <s v="[331607, 430467, 430317, 331576]"/>
    <s v="0.012343407655079842"/>
    <s v="[331541, 331607, 430467, 430317]"/>
    <s v="[0.069, 0.548, 0.016, 0.369]"/>
    <s v="23.87166384958435"/>
    <s v="[0.069, -0.548, 0.016, 0.369]"/>
  </r>
  <r>
    <x v="630"/>
    <x v="833"/>
    <x v="0"/>
    <n v="0"/>
    <s v="LINESTRING (17.55784976403919 68.55389823823646, 17.55803542976016 68.55389182288589, 17.558165797171362 68.55391676482272)"/>
    <s v="[432248, 432256]"/>
    <s v="[430513, 331541]"/>
    <s v="0.08671889463180703"/>
    <s v="[331566, 430513]"/>
    <s v="[0.33, 0.615]"/>
    <s v="13.613851444053628"/>
    <s v="[-0.33, 0.615]"/>
  </r>
  <r>
    <x v="631"/>
    <x v="835"/>
    <x v="0"/>
    <s v="[0, 0, 0, 0, 0, 0, 0, 0, 1, 0]"/>
    <s v="LINESTRING (10.622588580136057 60.95936834423053, 10.6225337622989 60.959470866039716, 10.606176460407498 60.96655849971658, 10.605706262275257 60.966685522586516, 10.596488404245767 60.970849586893564, 10.589171050715317 60.974591211147555, 10.586846823244608 60.97558263764106, 10.586364797124185 60.975818427488676, 10.582929461585104 60.977727676273844, 10.582507291577175 60.97799302398937, 10.581434685275983 60.97867751302972)"/>
    <s v="[342948, 343164, 343172, 343500, 343508, 343516, 343524, 343532, 343540, 343548]"/>
    <s v="[331561, 331773, 331784, 332085, 332091, 332100, 332108, 332113, 332119, 332126]"/>
    <s v="0.014812862196664"/>
    <s v="[331553, 331561, 331773, 331784, 332085, 332091, 332100, 332108, 332113, 332119]"/>
    <s v="[0.007, 0.002, 0.018, 0.049, 0.026, 0.032, 0.02, 0.01, 0.01, 0.025]"/>
    <s v="3180.3113112088504"/>
    <s v="[-0.007, -0.002, 0.018, 0.049, 0.026, 0.032, 0.02, -0.01, -0.01, -0.025]"/>
  </r>
  <r>
    <x v="632"/>
    <x v="836"/>
    <x v="0"/>
    <n v="0"/>
    <m/>
    <n v="432240"/>
    <n v="331566"/>
    <s v="#FIELD!"/>
    <n v="331599"/>
    <s v="0.001"/>
    <s v="19.42377684227799"/>
    <s v="#FIELD!"/>
  </r>
  <r>
    <x v="633"/>
    <x v="837"/>
    <x v="0"/>
    <n v="0"/>
    <m/>
    <n v="342960"/>
    <n v="331577"/>
    <s v="0.013"/>
    <n v="331576"/>
    <s v="0.013"/>
    <s v="28.935860204571632"/>
    <s v="0.013"/>
  </r>
  <r>
    <x v="633"/>
    <x v="836"/>
    <x v="0"/>
    <n v="0"/>
    <s v="LINESTRING (17.558080779111755 68.55409666664957, 17.557875015897626 68.55409890020044, 17.55770731700529 68.55404760021491)"/>
    <s v="[432224, 432232]"/>
    <s v="[430488, 331599]"/>
    <s v="#FIELD!"/>
    <s v="[331576, 430488]"/>
    <s v="[0.456, 0.266]"/>
    <s v="17.320236465410755"/>
    <s v="[-0.456, 0.266]"/>
  </r>
  <r>
    <x v="634"/>
    <x v="838"/>
    <x v="65"/>
    <s v="[0, 0, 0, 0, 0, 0, 0, 0, 0, 0, 0, 0, 0, 0, 0, 0, 0, 0, 0, 0, 0, 0, 0, 0, 0, 1, 0, 0, 0, 0, 0, 0, 0, 0, 0, 0, 0, 0, 0, 0, 0, 0, 0, 0, 0, 0, 0, 0, 0, 0, 0, 0, 0, 0, 0, 0, 0, 0, 1, 0, 0, 0, 0, 0, 0, 0, 0, 0, 0, 0, 0, 0, 0, 0, 0]"/>
    <s v="LINESTRING (17.557936625428436 68.5543475651772, 17.560316884538636 68.55598216874718, 17.56133600133611 68.55646701732725, 17.561882106279516 68.55671574868896, 17.562803956421828 68.5571169855183, 17.563682970204514 68.55766732243883, 17.564234055914657 68.55807339776308, 17.564676872495994 68.5583256707885, 17.56607371128776 68.55904706438652, 17.566603994437717 68.55930446010517, 17.56721915074675 68.55959179252554, 17.568787419920227 68.5601608395406, 17.569623941069786 68.56059879841659, 17.57015350559745 68.56134328625875, 17.570957375437338 68.56211544148121, 17.57195831842131 68.56325463271075, 17.574455537106626 68.56494399546251, 17.5751298267609 68.56702349331093, 17.575285266494834 68.5674402622935, 17.57528831212328 68.56755904935793, 17.5753028535341 68.56822479801616, 17.575862213445426 68.56884836658934, 17.57601451279034 68.56904995418984, 17.576726346492357 68.56989888102095, 17.58379650161664 68.5758461286534, 17.588864151431668 68.5764969367812, 17.58899310318488 68.57650599220037, 17.599854809705263 68.57956742013387, 17.59954775079535 68.57981898981772, 17.597919652876918 68.58081438267298, 17.594576612600477 68.5825055973929, 17.593359372318645 68.58393637633756, 17.598374068755472 68.58924968367624, 17.60437396085005 68.59416419951755, 17.605405799531763 68.59445349028142, 17.611477917392023 68.59598577337795, 17.6123046780835 68.5962131323921, 17.614937685261154 68.59722679414641, 17.6151092635032 68.5973163260043, 17.61801575516086 68.59922643649746, 17.618653941896977 68.59966126037833, 17.620681832373606 68.60198951240632, 17.621037039878516 68.60266057115993, 17.626072337419256 68.60476260201088, 17.626392224043155 68.60485296149673, 17.62662636532601 68.60491953502682, 17.634141719681782 68.6079387455956, 17.637802483258913 68.61275234104775, 17.637870085879793 68.61287663637127, 17.638057439818933 68.61323119361455, 17.638342899869627 68.61376504668948, 17.638754317858186 68.61445036535564, 17.640801762851382 68.61586175021952, 17.64277244818895 68.61817121975929, 17.642778765457404 68.61817974629307, 17.64283236670153 68.61824765021977, 17.64371959604966 68.6188727460875, 17.643734653563538 68.61887945701372, 17.644485218276863 68.61915648073175, 17.644631246464407 68.61920167026898, 17.65046677218649 68.620587025253, 17.651603614690263 68.62085518765082, 17.652256096817137 68.62100469628439, 17.65621522418201 68.62193050345931, 17.65810563811566 68.6223735119059, 17.663789508531092 68.62389904602028, 17.67285110590403 68.62928827293277, 17.673320106203803 68.62952102865191, 17.674379038632217 68.63154910407309, 17.677438388548758 68.63824373002164, 17.67785935679022 68.6393129787519, 17.679916848344714 68.64275037295356, 17.67993921105567 68.64357214199728, 17.679976815707665 68.64473339545764, 17.68677713812475 68.64950902567783, 17.68924290655567 68.65081430606094)"/>
    <s v="[342976, 432192, 343024, 1022346, 1022354, 1022362, 1022370, 1022378, 1022386, 1022394, 1022402, 1022410, 1022418, 1022426, 1022434, 1022442, 1022450, 1022458, 1022466, 1022474, 1022482, 1022490, 1022498, 1022506, 1022514, 1022522, 1022530, 1022538, 1022546, 1022554, 1022562, 430894, 430902, 430910, 430918, 430926, 1096870, 1096878, 1096886, 1096894, 1096902, 1096910, 1096918, 1096926, 1096934, 1096942, 1096950, 1096958, 1096966, 1096974, 1096982, 1096990, 1096998, 1097006, 1097014, 1097022, 1097030, 1097044, 1097053, 1097061, 1097069, 1097077, 1097086, 1097094, 1097103, 1097111, 1097119, 1097127, 1097135, 1097143, 1097151, 1097159, 1097167, 1097175, 1097183]"/>
    <s v="[331592, 331637, 331638, 382584, 977479, 977486, 977494, 977499, 977503, 977505, 977509, 977514, 977520, 977524, 331715, 977538, 977543, 977550, 977557, 977565, 977572, 977579, 977585, 250629, 977597, 977606, 977612, 383628, 977626, 977633, 429058, 429059, 429067, 429075, 429082, 429091, 1039643, 1039649, 1039654, 1039659, 1039664, 1039672, 1039679, 1039685, 1039692, 917328, 1039704, 1039709, 1039714, 1039720, 1039726, 1039733, 1039739, 1039745, 1039751, 1039759, 1039764, 1039782, 1039790, 1039796, 879074, 1039807, 1039816, 917450, 1021075, 917472, 917473, 917483, 917490, 223731, 1039860, 1039865, 1039869, 1039876, 917559]"/>
    <s v="0.012701156441116544"/>
    <s v="[331577, 331592, 331637, 331638, 382584, 977479, 977486, 977494, 977499, 977503, 977505, 977509, 977514, 977520, 977524, 331715, 977538, 977543, 977550, 977557, 977565, 977572, 977579, 977585, 250629, 977597, 977606, 977612, 383628, 977626, 977633, 429058, 429059, 429067, 429075, 429082, 429091, 1039643, 1039649, 1039654, 1039659, 1039664, 1039672, 1039679, 1039685, 1039692, 917328, 1039704, 1039709, 1039714, 1039720, 1039726, 1039733, 1039739, 1039745, 1039751, 1039759, 1039764, 1039782, 1039790, 1039796, 879074, 1039807, 1039816, 917450, 1021075, 917472, 917473, 917483, 917490, 223731, 1039860, 1039865, 1039869, 1039876]"/>
    <s v="[0.034, 0.028, 0.029, 0.066, 0.003, 0.005, 0.003, 0.005, 0.011, 0.017, 0.035, 0.056, 0.018, 0.024, 0.024, 0.038, 0.02, 0.069, 0.052, 0.052, 0.054, 0.041, 0.057, 0.024, 0.031, 0.024, 0.036, 0.158, 0.09, 0.022, 0.108, 0.067, 0.073, 0.146, 0.057, 0.113, 0.002, 0.086, 0.104, 0.07, 0.082, 0.041, 0.045, 0.032, 0.03, 0.001, 0.006, 0.021, 0.018, 0.013, 0.004, 0.001, 0.004, 0.037, 0.032, 0.014, 0.012, 0.005, 0.015, 0.013, 0.01, 0.014, 0.029, 0.011, 0.032, 0.043, 0.042, 0.015, 0.009, 0.05, 0.053, 0.021, 0.021, 0.015, 0.004]"/>
    <s v="13783.505982600595"/>
    <s v="[0.034, 0.028, 0.029, 0.066, -0.003, -0.005, 0.003, 0.005, 0.011, 0.017, 0.035, 0.056, 0.018, 0.024, 0.024, 0.038, 0.02, 0.069, 0.052, 0.052, 0.054, 0.041, 0.057, 0.024, 0.031, 0.024, 0.036, 0.158, 0.09, 0.022, 0.108, 0.067, 0.073, 0.146, 0.057, 0.113, -0.002, -0.086, -0.104, -0.07, -0.082, -0.041, -0.045, -0.032, -0.03, 0.001, -0.006, -0.021, -0.018, -0.013, -0.004, 0.001, 0.004, 0.037, 0.032, 0.014, 0.012, 0.005, 0.015, 0.013, 0.01, 0.014, 0.029, 0.011, -0.032, -0.043, -0.042, -0.015, -0.009, -0.05, -0.053, 0.021, 0.021, -0.015, -0.004]"/>
  </r>
  <r>
    <x v="634"/>
    <x v="836"/>
    <x v="0"/>
    <n v="0"/>
    <m/>
    <n v="342984"/>
    <n v="331577"/>
    <s v="0.051"/>
    <n v="331599"/>
    <s v="0.051"/>
    <s v="35.94566213666255"/>
    <s v="0.051"/>
  </r>
  <r>
    <x v="635"/>
    <x v="118"/>
    <x v="0"/>
    <n v="0"/>
    <s v="LINESTRING (10.62883802273717 60.95243928347046, 10.627219732197737 60.95319190191884, 10.626873714084375 60.95339113361745, 10.626582170003008 60.95357540186373, 10.625214203150342 60.95472601445502, 10.625131672335813 60.95481329368751, 10.624435141351624 60.95568133478279, 10.623432053636654 60.95764465123685)"/>
    <s v="[343004, 343012, 343020, 343028, 343036, 343044, 343052]"/>
    <s v="[331618, 331626, 331633, 331641, 331648, 331654, 331663]"/>
    <s v="0.004074466794442061"/>
    <s v="[331611, 331618, 331626, 331633, 331641, 331648, 331654]"/>
    <s v="[0.021, 0.012, 0.007, 0.003, 0.0, 0.003, 0.005]"/>
    <s v="665.0541128154832"/>
    <s v="[0.021, 0.012, 0.007, 0.003, 0.0, 0.003, -0.005]"/>
  </r>
  <r>
    <x v="636"/>
    <x v="423"/>
    <x v="0"/>
    <s v="[0, 0, 0, 0, 0, 0, 0, 0, 0, 0, 0, 0, 0, 1, 0, 0, 0, 0, 0, 0, 0, 0, 0, 1, 0, 0, 0, 0, 0, 1, 0, 0, 1, 0, 0, 1, 0, 0, 0, 0, 1, 0, 0]"/>
    <s v="LINESTRING (10.623432053636654 60.95764465123685, 10.623298271076044 60.95797216101218, 10.623208782741683 60.9582043594955, 10.623105962933012 60.958441771078604, 10.622941638245678 60.95880248294599, 10.622674513035609 60.95937902624168, 10.622620218660838 60.95948097165027, 10.606224217574965 60.96660097269442, 10.605754842883766 60.96672792372254, 10.59656881088422 60.97087829508049, 10.589224883680387 60.974624627710064, 10.58699849601091 60.97564570035516, 10.586507685873798 60.97588345067632, 10.583015538011878 60.97781934338848, 10.582595037839587 60.97808465627401, 10.581594538601813 60.97872942135202, 10.581491163262747 60.97879876455357, 10.56444869770437 60.98409949419142, 10.562628147169605 60.98459223745965, 10.562466377732308 60.98463195514674, 10.560607178138238 60.98515046484832, 10.529274225438808 60.99057354979488, 10.500664670665806 60.99962402964244, 10.499686488890221 61.00022060383683, 10.498909901218028 61.00064643293104, 10.488778117678468 61.00486105564833, 10.486554420412384 61.0060259900626, 10.473693005916697 61.01290124289196, 10.456252155915498 61.0203688477563, 10.45611543258881 61.02047940741027, 10.45569264918424 61.020838933808626, 10.454659315176562 61.021726747979365, 10.449104153663825 61.025397393960006, 10.448734676238786 61.025599500465304, 10.448068587705748 61.02597065991514, 10.442664614134628 61.031490088167466, 10.44264559109783 61.03152904977727, 10.440664756678368 61.035778658709994, 10.436623966985277 61.04134039611764, 10.435923817578754 61.04189649949157, 10.4341965951221 61.044787514267085, 10.434222557016641 61.04533966731187, 10.434258469977866 61.04596563060077, 10.434442639289415 61.04686531963772)"/>
    <s v="[343060, 343068, 343076, 343084, 343092, 343100, 343180, 343188, 343108, 343116, 343124, 343132, 343140, 343148, 343156, 343684, 343204, 343212, 343196, 343701, 343709, 343228, 343236, 342956, 342964, 342972, 342980, 343316, 343324, 343332, 343340, 343348, 343790, 343799, 343807, 343815, 343823, 343831, 343840, 343848, 343856, 343864, 343872]"/>
    <s v="[331669, 331678, 331684, 331689, 331696, 331703, 331793, 331711, 331712, 331720, 331729, 331739, 331749, 331755, 331762, 331815, 331816, 331805, 331806, 332261, 331847, 331848, 331571, 331572, 331581, 331589, 331595, 331938, 331946, 331951, 331957, 331964, 332345, 332350, 332357, 332364, 332370, 332378, 332387, 332398, 332406, 332413, 332224]"/>
    <s v="7.337987324188679e-05"/>
    <s v="[331663, 331669, 331678, 331684, 331689, 331696, 331703, 331793, 331711, 331712, 331720, 331729, 331739, 331749, 331755, 331762, 331815, 331816, 331805, 331806, 332261, 331847, 331848, 331571, 331572, 331581, 331589, 331595, 331938, 331946, 331951, 331957, 331964, 332345, 332350, 332357, 332364, 332370, 332378, 332387, 332398, 332406, 332413]"/>
    <s v="[0.006, 0.006, 0.006, 0.006, 0.007, 0.008, 0.002, 0.018, 0.049, 0.025, 0.024, 0.023, 0.008, 0.007, 0.025, 0.032, 0.011, 0.008, 0.001, 0.003, 0.008, 0.0, 0.063, 0.06, 0.007, 0.011, 0.005, 0.004, 0.026, 0.029, 0.034, 0.012, 0.003, 0.001, 0.008, 0.098, 0.013, 0.005, 0.005, 0.011, 0.011, 0.021, 0.03]"/>
    <s v="15041.247030097562"/>
    <s v="[-0.006, -0.006, -0.006, -0.006, -0.007, -0.008, -0.002, 0.018, 0.049, 0.025, 0.024, 0.023, -0.008, -0.007, -0.025, -0.032, -0.011, 0.008, 0.001, -0.003, -0.008, 0.0, -0.063, -0.06, 0.007, 0.011, -0.005, 0.004, -0.026, -0.029, -0.034, -0.012, 0.003, -0.001, -0.008, -0.098, 0.013, -0.005, -0.005, -0.011, -0.011, 0.021, 0.03]"/>
  </r>
  <r>
    <x v="637"/>
    <x v="835"/>
    <x v="0"/>
    <n v="0"/>
    <s v="LINESTRING (10.5625294414814 60.984513088843066, 10.5625294414814 60.984513088843066, 10.577132970221049 60.98049391337503, 10.581167772106479 60.97883841252777, 10.581319246186737 60.978747637988285, 10.581434685275983 60.97867751302972)"/>
    <s v="[343220, 342779, 342787, 342795, 343693]"/>
    <s v="[331411, 214563, 331420, 331426, 332126]"/>
    <s v="0.009137966083558127"/>
    <s v="[331836, 331411, 214563, 331420, 331426]"/>
    <s v="[0.0, 0.0, 0.037, 0.025, 0.027]"/>
    <s v="1229.8403846081962"/>
    <s v="[0.0, -0.0, 0.037, 0.025, 0.027]"/>
  </r>
  <r>
    <x v="637"/>
    <x v="422"/>
    <x v="66"/>
    <s v="[0, 0, 0, 0, 0, 1, 0, 0, 0, 0, 0, 1, 0, 0, 1, 0, 0, 1, 0, 0, 0, 0, 0, 1, 0]"/>
    <s v="LINESTRING (10.5625294414814 60.984513088843066, 10.560565012803245 60.985118410556666, 10.529255561062971 60.99053332718313, 10.50060151295479 60.999596119078255, 10.500581952784671 60.999608297847814, 10.499621976061443 61.00019362772109, 10.498848626825506 61.000617775182896, 10.488719498745853 61.00483105240057, 10.486488728722197 61.005999741530296, 10.473634502039754 61.01287133588721, 10.45617846643096 61.02034819610569, 10.456043662669657 61.020459584846556, 10.455617974462903 61.020820496855, 10.45458663384844 61.021705383117904, 10.44904069632974 61.02537035753813, 10.4486704766895 61.02557233987099, 10.447994936500722 61.02594878222148, 10.442582410826887 61.031478889876055, 10.442562932587665 61.03151959870368, 10.440583165297749 61.03576480923103, 10.440577461999103 61.03577996728213, 10.436548808109714 61.0413211956545, 10.435842541614935 61.04187431261601, 10.4341040799966 61.04478986540642, 10.434130117660965 61.045341481491626, 10.434165960787608 61.04596637231013)"/>
    <s v="[343717, 343725, 343556, 343564, 343572, 343244, 343252, 343260, 343268, 343276, 343284, 343292, 343300, 343308, 343734, 343742, 343750, 343758, 343766, 343774, 343782, 343356, 343364, 343372, 343380]"/>
    <s v="[332276, 332133, 332134, 332140, 331863, 331864, 331876, 331885, 331892, 331900, 331907, 331916, 331922, 331930, 332289, 332299, 332308, 332316, 332321, 332330, 331968, 331969, 331977, 331984, 331992]"/>
    <s v="#FIELD!"/>
    <s v="[331836, 332276, 332133, 332134, 332140, 331863, 331864, 331876, 331885, 331892, 331900, 331907, 331916, 331922, 331930, 332289, 332299, 332308, 332316, 332321, 332330, 331968, 331969, 331977, 331984]"/>
    <s v="[0.014, 0.008, 0.0, 0.038, 0.062, 0.061, 0.008, 0.011, 0.005, 0.004, 0.023, 0.03, 0.034, 0.012, 0.003, 0.001, 0.008, 0.091, 0.013, 0.024, 0.005, 0.003, 0.011, 0.013, 0.02]"/>
    <s v="10330.689096531878"/>
    <s v="[-0.014, -0.008, 0.0, -0.038, -0.062, -0.061, 0.008, 0.011, -0.005, 0.004, -0.023, -0.03, -0.034, -0.012, 0.003, -0.001, -0.008, -0.091, 0.013, -0.024, -0.005, -0.003, -0.011, -0.013, 0.02]"/>
  </r>
  <r>
    <x v="638"/>
    <x v="210"/>
    <x v="0"/>
    <n v="0"/>
    <s v="LINESTRING (10.434165960787608 61.04596637231013, 10.434350411096412 61.046874389616534, 10.434786310418842 61.04750387579114, 10.435498997424428 61.04850224950587, 10.43576984975745 61.049702981136384)"/>
    <s v="[343388, 343396, 343404, 343412]"/>
    <s v="[332000, 332009, 332018, 332026]"/>
    <s v="#FIELD!"/>
    <s v="[331992, 332000, 332009, 332018]"/>
    <s v="[0.031, 0.007, 0.013, 0.016]"/>
    <s v="428.8456839340598"/>
    <s v="[0.031, 0.007, -0.013, -0.016]"/>
  </r>
  <r>
    <x v="639"/>
    <x v="211"/>
    <x v="0"/>
    <n v="0"/>
    <s v="LINESTRING (10.434442639289415 61.04686531963772, 10.434872474632186 61.04748772937882, 10.435581023631464 61.048491151412286, 10.435854816744458 61.04970586763442, 10.43575029760308 61.05011791379066)"/>
    <s v="[343881, 343889, 343897, 343905]"/>
    <s v="[332431, 332439, 332446, 332455]"/>
    <s v="#FIELD!"/>
    <s v="[332224, 332431, 332439, 332446]"/>
    <s v="[0.006, 0.013, 0.015, 0.007]"/>
    <s v="374.42688305504805"/>
    <s v="[0.006, -0.013, -0.015, 0.007]"/>
  </r>
  <r>
    <x v="640"/>
    <x v="839"/>
    <x v="67"/>
    <n v="0"/>
    <s v="LINESTRING (10.727446954458454 59.53668868828797, 10.727446954458454 59.53668868828797, 10.727946265073946 59.53540348744596, 10.727995012314684 59.53527649500101, 10.729638704696104 59.52736409861607, 10.72962952396486 59.52724905977215, 10.729486858763854 59.52596656051993, 10.729469269298578 59.52588157693342)"/>
    <s v="[344024, 343928, 343936, 343944, 343952, 343960, 344008]"/>
    <s v="[332475, 332476, 332487, 332497, 332504, 332510, 332564]"/>
    <s v="0.0029628894593572213"/>
    <s v="[332584, 332475, 332476, 332487, 332497, 332504, 332510]"/>
    <s v="[0.0, 0.135, 0.132, 0.01, 0.103, 0.054, 0.005]"/>
    <s v="1224.6719353782817"/>
    <s v="[0.0, 0.135, 0.132, -0.01, -0.103, -0.054, -0.005]"/>
  </r>
  <r>
    <x v="640"/>
    <x v="840"/>
    <x v="0"/>
    <n v="0"/>
    <s v="LINESTRING (10.726190225573665 59.518768655914855, 10.72671268338521 59.51950404001342, 10.726761667291363 59.51957553825182, 10.727116004971323 59.520124525506404, 10.72723385851894 59.52031815013977, 10.72890298505514 59.5237806689654, 10.729469269298578 59.52588157693342)"/>
    <s v="[1557655, 1557663, 1557671, 1557679, 1557687, 1557695]"/>
    <s v="[1405351, 1405357, 1405361, 1405368, 1405378, 332564]"/>
    <s v="0.011756794073880339"/>
    <s v="[1363664, 1405351, 1405357, 1405361, 1405368, 1405378]"/>
    <s v="[0.001, 0.051, 0.044, 0.007, 0.005, 0.021]"/>
    <s v="816.50524289127"/>
    <s v="[0.001, -0.051, 0.044, 0.007, 0.005, 0.021]"/>
  </r>
  <r>
    <x v="641"/>
    <x v="841"/>
    <x v="0"/>
    <s v="[1, 1, 1, 1, 0, 0, 0, 1, 1, 0, 0, 0, 0, 0, 0, 1, 0, 0, 0]"/>
    <s v="LINESTRING (10.727446954458454 59.53668868828797, 10.727363626375958 59.53688687284962, 10.726926188230504 59.537920061018745, 10.725739261971873 59.54075212520224, 10.725719682659658 59.540800095823926, 10.725434295872315 59.541499100916354, 10.722632690167941 59.550572904165016, 10.721667106697268 59.55522020310884, 10.721554153025334 59.55585818081869, 10.721349489931484 59.556994734876554, 10.721243967522131 59.55764662375611, 10.72273787503742 59.57015373203951, 10.722743090751207 59.57016233725751, 10.732613223581422 59.583001991726306, 10.732618645864664 59.58301054024276, 10.732718577071852 59.58316813129367, 10.732771235069126 59.58325617300502, 10.732976204732458 59.58358171830247, 10.733046964829528 59.583685007544275, 10.738545010975109 59.59956436814268)"/>
    <s v="[1557703, 1557711, 1557719, 1557727, 1557735, 1557743, 1557751, 1557759, 1557767, 1557775, 1557783, 1557791, 1557799, 1557807, 1557815, 1557823, 1557831, 1557839, 1557847]"/>
    <s v="[1405393, 1405400, 1405409, 1405416, 1405421, 1405426, 1405432, 1405443, 1405449, 1405457, 1405461, 1405470, 1405477, 1405483, 1405490, 1405494, 1405501, 1405507, 1363794]"/>
    <s v="0.0023317361059673686"/>
    <s v="[332584, 1405393, 1405400, 1405409, 1405416, 1405421, 1405426, 1405432, 1405443, 1405449, 1405457, 1405461, 1405470, 1405477, 1405483, 1405490, 1405494, 1405501, 1405507]"/>
    <s v="[0.026, 0.138, 0.069, 0.264, 0.117, 0.015, 0.015, 0.119, 0.082, 0.092, 0.002, 0.015, 0.012, 0.061, 0.032, 0.042, 0.069, 0.012, 0.002]"/>
    <s v="7191.105693132869"/>
    <s v="[-0.026, -0.138, 0.069, 0.264, 0.117, 0.015, -0.015, -0.119, 0.082, 0.092, 0.002, -0.015, -0.012, -0.061, -0.032, -0.042, -0.069, -0.012, 0.002]"/>
  </r>
  <r>
    <x v="642"/>
    <x v="842"/>
    <x v="68"/>
    <n v="0"/>
    <s v="LINESTRING (7.682508833493104 62.55807459731853, 7.408220014521703 62.56369062623124)"/>
    <m/>
    <m/>
    <s v="0.0"/>
    <m/>
    <n v="0"/>
    <s v="20290.826371943655"/>
    <n v="0"/>
  </r>
  <r>
    <x v="642"/>
    <x v="843"/>
    <x v="0"/>
    <n v="0"/>
    <s v="LINESTRING (7.682830351617759 62.558579526555555, 7.682784102585996 62.558519836659485, 7.68251931848996 62.558165476642564, 7.682508833493104 62.55807459731853)"/>
    <s v="[743314, 1296819, 344367]"/>
    <s v="[726940, 332951, 332952]"/>
    <s v="0.02117254742633626"/>
    <s v="[726939, 726940, 332951]"/>
    <s v="[0.009, 0.037, 0.023]"/>
    <s v="59.06433023957784"/>
    <s v="[-0.009, 0.037, -0.023]"/>
  </r>
  <r>
    <x v="642"/>
    <x v="844"/>
    <x v="0"/>
    <n v="0"/>
    <s v="LINESTRING (7.682956346649905 62.558538247427975, 7.682921040469835 62.558501507621415, 7.682628505957637 62.55814683373204, 7.682508833493104 62.55807459731853)"/>
    <s v="[743322, 1333269, 344375]"/>
    <s v="[726945, 332960, 332952]"/>
    <s v="0.021050783655141857"/>
    <s v="[726944, 726945, 332960]"/>
    <s v="[0.011, 0.035, 0.023]"/>
    <s v="56.98676351415331"/>
    <s v="[-0.011, 0.035, -0.023]"/>
  </r>
  <r>
    <x v="643"/>
    <x v="845"/>
    <x v="0"/>
    <n v="0"/>
    <s v="LINESTRING (11.16132358840326 59.57077494664146, 11.1615642534361 59.57070962571027, 11.164260281814157 59.570490425215134, 11.166601325025065 59.56986361934358, 11.166672572871565 59.5698693576212)"/>
    <s v="[344618, 1689984, 1689992, 1690000]"/>
    <s v="[333223, 1513077, 1513082, 1239796]"/>
    <s v="#FIELD!"/>
    <s v="[333222, 333223, 1513077, 1513082]"/>
    <s v="[0.01, 0.001, 0.015, 0.359]"/>
    <s v="333.21724057603626"/>
    <s v="[-0.01, -0.001, -0.015, 0.359]"/>
  </r>
  <r>
    <x v="643"/>
    <x v="846"/>
    <x v="0"/>
    <s v="[0, 0, 0, 1, 1, 0, 0, 0, 0]"/>
    <s v="LINESTRING (11.16132358840326 59.57077494664146, 11.1605192757613 59.57084109720819, 11.16022844629678 59.57086757322713, 11.136077545207879 59.57868360704531, 11.13601756726693 59.57870446251556, 11.135357226777906 59.578937054108565, 11.13530136853736 59.578955981315644, 11.12371786332631 59.58242175802417, 11.121511898325007 59.58327649886178, 11.121428535723007 59.58331261162497)"/>
    <s v="[1672054, 1672062, 1672070, 1672078, 1672086, 1672094, 1672102, 1672110, 1672118]"/>
    <s v="[1499703, 1499710, 1499715, 1499721, 1499725, 1499730, 1499736, 1499743, 1499753]"/>
    <s v="0.004155407716876661"/>
    <s v="[333222, 1499703, 1499710, 1499715, 1499721, 1499725, 1499730, 1499736, 1499743]"/>
    <s v="[0.03, 0.023, 0.011, 0.009, 0.011, 0.003, 0.029, 0.037, 0.142]"/>
    <s v="2686.3527811632584"/>
    <s v="[0.03, -0.023, -0.011, 0.009, -0.011, 0.003, 0.029, 0.037, 0.142]"/>
  </r>
  <r>
    <x v="643"/>
    <x v="847"/>
    <x v="0"/>
    <s v="[0, 0, 0, 1, 0, 0, 1, 1, 0, 0, 0, 0, 0]"/>
    <s v="LINESTRING (11.175029075544568 59.5698694320482, 11.174897378594952 59.569878758831926, 11.174822268709901 59.56988407720917, 11.174641826670312 59.569896850307686, 11.171934701664158 59.57014404856234, 11.170090838691006 59.570298891317336, 11.167346773638181 59.570445038850465, 11.166059811064313 59.570505554472454, 11.165975583554792 59.570509845385565, 11.164040549556141 59.57060581719022, 11.16388587501192 59.57061349710608, 11.162728845100844 59.57067729704321, 11.161532430948437 59.570757946173366, 11.16132358840326 59.57077494664146)"/>
    <s v="[1671950, 1671958, 1671966, 1671974, 1671982, 1671990, 1671998, 1672006, 1672014, 1672022, 1672030, 1672038, 1672046]"/>
    <s v="[1499603, 1499611, 1499619, 1499627, 1499635, 1499643, 1499652, 1499659, 1499667, 1499676, 1499684, 1499691, 333222]"/>
    <s v="#FIELD!"/>
    <s v="[1499593, 1499603, 1499611, 1499619, 1499627, 1499635, 1499643, 1499652, 1499659, 1499667, 1499676, 1499684, 1499691]"/>
    <s v="[0.097, 0.113, 0.097, 0.018, 0.015, 0.032, 0.011, 0.047, 0.023, 0.005, 0.009, 0.017, 0.063]"/>
    <s v="781.7662291718888"/>
    <s v="[-0.097, -0.113, -0.097, -0.018, -0.015, -0.032, -0.011, 0.047, 0.023, -0.005, 0.009, 0.017, -0.063]"/>
  </r>
  <r>
    <x v="644"/>
    <x v="848"/>
    <x v="0"/>
    <n v="0"/>
    <s v="LINESTRING (7.073919074336787 62.631308269334085, 7.073915066745155 62.63136764820166, 7.0738903864495315 62.63146552817692, 7.073842572774757 62.631594061086396, 7.076414628195835 62.63651973468154, 7.077291247930108 62.63831111926558, 7.078687030671976 62.63942306949879, 7.081361254368124 62.64511102894855, 7.081267041524113 62.64571786698529, 7.081393523566826 62.64612837551047, 7.083125271485435 62.64743027001005, 7.084452384412342 62.64810786689447, 7.085245228604142 62.64853927154937, 7.086214774476418 62.64984458172315, 7.085061377568849 62.65134530851156, 7.085037103633985 62.65163052480215, 7.103818242325196 62.68082137042743, 7.169424489667771 62.73697101728476, 7.170017990451009 62.73708905065395, 7.1701065758231906 62.737094018004036, 7.17417385219421 62.736739623060096, 7.174341863094041 62.73671384265248, 7.17468690473213 62.73666275967553)"/>
    <s v="[984290, 984298, 984306, 984314, 984322, 984337, 984345, 984353, 984361, 984369, 984377, 984385, 984393, 984413, 984421, 984422, 984454, 984483, 984484, 984499, 984503, 984507]"/>
    <s v="[944613, 944620, 944627, 936371, 944639, 944651, 944661, 941246, 944673, 944680, 944686, 944694, 944702, 944722, 944726, 944727, 944747, 944765, 944766, 944784, 944787, 944789]"/>
    <s v="#FIELD!"/>
    <s v="[335222, 944613, 944620, 944627, 936371, 944639, 944651, 944661, 941246, 944673, 944680, 944686, 944694, 944702, 944722, 944726, 944727, 944747, 944765, 944766, 944784, 944787]"/>
    <s v="[0.125, 0.02, 0.019, 0.012, 0.019, 0.0, 0.019, 0.055, 0.07, 0.008, 0.06, 0.111, 0.062, 0.004, 0.036, inf, inf, 0.016, 0.0, 0.007, 0.007, 0.006]"/>
    <s v="2725.7170488861707"/>
    <s v="[0.125, 0.02, 0.019, 0.012, 0.019, -0.0, -0.019, 0.055, 0.07, 0.008, -0.06, -0.111, -0.062, 0.004, -0.036, 0, 0, -0.016, 0.0, 0.007, -0.007, -0.006]"/>
  </r>
  <r>
    <x v="644"/>
    <x v="849"/>
    <x v="0"/>
    <n v="0"/>
    <s v="LINESTRING (7.073544541729201 62.63097738887856, 7.073639061447134 62.63102045242014, 7.07380321165063 62.631126328245784, 7.073852983292784 62.63122942997698, 7.073919074336787 62.631308269334085)"/>
    <s v="[355834, 355835, 355847, 346720]"/>
    <s v="[344138, 344139, 335221, 335222]"/>
    <s v="0.022466319180641462"/>
    <s v="[344137, 344138, 344139, 335221]"/>
    <s v="[0.05, 0.049, 0.029, 0.026]"/>
    <s v="42.58064692057965"/>
    <s v="[0.05, 0.049, -0.029, 0.026]"/>
  </r>
  <r>
    <x v="644"/>
    <x v="850"/>
    <x v="0"/>
    <n v="0"/>
    <s v="LINESTRING (7.073973835612962 62.63091996964949, 7.073969793677466 62.63096662907514, 7.0739654256458735 62.63109954842238, 7.073970579316922 62.631224462238855, 7.073919074336787 62.631308269334085)"/>
    <s v="[2072304, 2072312, 2072320, 346728]"/>
    <s v="[1798922, 1798925, 335228, 335222]"/>
    <s v="0.0011435641532422177"/>
    <s v="[945733, 1798922, 1798925, 335228]"/>
    <s v="[0.313, 0.041, 0.04, 0.053]"/>
    <s v="43.723844073646916"/>
    <s v="[-0.313, 0.041, 0.04, 0.053]"/>
  </r>
  <r>
    <x v="645"/>
    <x v="851"/>
    <x v="0"/>
    <n v="0"/>
    <s v="LINESTRING (11.117676066655497 60.800665036621766, 11.117676066655497 60.800665036621766, 11.11450167595387 60.80258692076642, 11.112346995291206 60.804158060287094, 11.11172934633314 60.80451877476868)"/>
    <s v="[348434, 348441, 374860, 373444]"/>
    <s v="[336716, 336725, 362459, 362460]"/>
    <s v="0.004951525695006838"/>
    <s v="[336715, 336716, 336725, 362459]"/>
    <s v="[0.0, 0.004, 0.007, 0.003]"/>
    <s v="552.2025279686641"/>
    <s v="[0.0, 0.004, 0.007, 0.003]"/>
  </r>
  <r>
    <x v="646"/>
    <x v="852"/>
    <x v="0"/>
    <n v="0"/>
    <s v="LINESTRING (11.112627115762164 60.803684457193626, 11.113002893521998 60.803312415193695, 11.114094204364603 60.80251390088767, 11.116429578867711 60.800379504463386, 11.116536133192884 60.80025629427332)"/>
    <s v="[373453, 374716, 348457, 348469]"/>
    <s v="[362474, 336737, 336738, 336748]"/>
    <s v="#FIELD!"/>
    <s v="[361978, 362474, 336737, 336738]"/>
    <s v="[0.009, 0.007, 0.008, 0.009]"/>
    <s v="438.080720152989"/>
    <s v="[-0.009, -0.007, -0.008, -0.009]"/>
  </r>
  <r>
    <x v="647"/>
    <x v="853"/>
    <x v="0"/>
    <s v="[0, 0, 1, 0, 0]"/>
    <s v="LINESTRING (11.117179370336363 60.799800208596416, 11.117179370336363 60.799800208596416, 11.119799120508048 60.79759560998481, 11.120076912121823 60.79726431260221, 11.120722252158622 60.79649060211929, 11.121146970535554 60.796132271202964)"/>
    <s v="[348482, 348490, 374861, 374862, 373660]"/>
    <s v="[336755, 336760, 363726, 362677, 362485]"/>
    <s v="#FIELD!"/>
    <s v="[336754, 336755, 336760, 363726, 362677]"/>
    <s v="[0.0, 0.013, 0.015, 0.014, 0.013]"/>
    <s v="478.57169103704325"/>
    <s v="[0.0, -0.013, -0.015, -0.014, -0.013]"/>
  </r>
  <r>
    <x v="648"/>
    <x v="854"/>
    <x v="0"/>
    <n v="0"/>
    <s v="LINESTRING (11.100748711462662 60.81470052316311, 11.10078956934469 60.814760948721066, 11.100764256898302 60.81484030577481, 11.10067119156936 60.8148971985143, 11.10048987699269 60.81492870288231)"/>
    <s v="[373536, 373549, 373557, 373571]"/>
    <s v="[362564, 362574, 362579, 336880]"/>
    <s v="0.002887851089918099"/>
    <s v="[336874, 362564, 362574, 362579]"/>
    <s v="[0.003, 0.004, 0.004, 0.001]"/>
    <s v="34.63245687150484"/>
    <s v="[0.003, 0.004, 0.004, 0.001]"/>
  </r>
  <r>
    <x v="648"/>
    <x v="855"/>
    <x v="0"/>
    <n v="0"/>
    <s v="LINESTRING (11.102955249104104 60.81116954658514, 11.10253340617482 60.81160377880522, 11.101964720407574 60.812063497055114, 11.100798700722489 60.81454793012984, 11.100767875951876 60.81462781913139, 11.100748711462662 60.81470052316311)"/>
    <s v="[373278, 373006, 348627, 348635, 348643]"/>
    <s v="[362038, 336860, 336861, 336869, 336874]"/>
    <s v="0.0013754629898115648"/>
    <s v="[362298, 362038, 336860, 336861, 336869]"/>
    <s v="0.003"/>
    <s v="418.91106086053793"/>
    <s v="[-0.003, -0.003, 0.003, 0.003, 0.003]"/>
  </r>
  <r>
    <x v="648"/>
    <x v="856"/>
    <x v="0"/>
    <n v="0"/>
    <s v="LINESTRING (11.100272246841463 60.814665549869986, 11.10035647713462 60.814638873597396, 11.100458682546625 60.814626293268276, 11.10056605184272 60.814631751233556, 11.100748711462662 60.81470052316311)"/>
    <s v="[373499, 373507, 373515, 373528]"/>
    <s v="[362526, 362537, 362545, 336874]"/>
    <s v="0.00029837246830973353"/>
    <s v="[362525, 362526, 362537, 362545]"/>
    <s v="[0.002, 0.001, 0.0, 0.002]"/>
    <s v="29.86524248027202"/>
    <s v="[-0.002, -0.001, 0.0, 0.002]"/>
  </r>
  <r>
    <x v="649"/>
    <x v="857"/>
    <x v="0"/>
    <n v="0"/>
    <m/>
    <n v="373579"/>
    <n v="362600"/>
    <s v="#FIELD!"/>
    <n v="336880"/>
    <s v="0.003"/>
    <s v="28.4752834819926"/>
    <s v="#FIELD!"/>
  </r>
  <r>
    <x v="649"/>
    <x v="858"/>
    <x v="0"/>
    <s v="[0, 0, 1, 0, 0, 0]"/>
    <s v="LINESTRING (11.10048987699269 60.81492870288231, 11.10042307195243 60.81495208336078, 11.100199786057278 60.815042558304874, 11.100109197313719 60.81507654656825, 11.096638241403946 60.816989038779575, 11.095684843396139 60.817997157757155, 11.095134722381156 60.81846736918729)"/>
    <s v="[348651, 348656, 348660, 348668, 372998, 373174]"/>
    <s v="[336881, 336884, 336885, 336894, 362030, 362201]"/>
    <s v="0.0021400703133298586"/>
    <s v="[336880, 336881, 336884, 336885, 336894, 362030]"/>
    <s v="[0.002, 0.003, 0.003, 0.003, 0.001, 0.0]"/>
    <s v="503.5682828635449"/>
    <s v="[0.002, 0.003, 0.003, 0.003, 0.001, 0.0]"/>
  </r>
  <r>
    <x v="650"/>
    <x v="859"/>
    <x v="0"/>
    <n v="0"/>
    <m/>
    <n v="374204"/>
    <n v="362881"/>
    <s v="#FIELD!"/>
    <n v="336901"/>
    <s v="0.005"/>
    <s v="27.341932005121212"/>
    <s v="#FIELD!"/>
  </r>
  <r>
    <x v="650"/>
    <x v="860"/>
    <x v="0"/>
    <n v="0"/>
    <s v="LINESTRING (11.097676126676808 60.8139182155722, 11.097793411806167 60.81384081505986, 11.101452130665926 60.81207008574905, 11.103064368174994 60.81081288383631, 11.103611818339356 60.810486481991695)"/>
    <s v="[348676, 348684, 373190, 373286]"/>
    <s v="[336902, 336909, 362215, 361995]"/>
    <s v="#FIELD!"/>
    <s v="[336901, 336902, 336909, 362215]"/>
    <s v="[0.007, 0.004, 0.003, 0.002]"/>
    <s v="507.92468187453466"/>
    <s v="[-0.007, -0.004, 0.003, 0.002]"/>
  </r>
  <r>
    <x v="650"/>
    <x v="861"/>
    <x v="0"/>
    <n v="0"/>
    <s v="LINESTRING (11.097503736180286 60.81416076089698, 11.09742623949044 60.81407032348523, 11.097450980113411 60.81400326534008, 11.097584286137142 60.81393334253088, 11.097676126676808 60.8139182155722)"/>
    <s v="[374252, 374260, 374268, 374196]"/>
    <s v="[361923, 363201, 362450, 336901]"/>
    <s v="#FIELD!"/>
    <s v="[362648, 361923, 363201, 362450]"/>
    <s v="[0.002, 0.003, 0.007, 0.009]"/>
    <s v="34.442586053406515"/>
    <s v="[0.002, -0.003, -0.007, -0.009]"/>
  </r>
  <r>
    <x v="651"/>
    <x v="862"/>
    <x v="0"/>
    <n v="0"/>
    <s v="LINESTRING (11.07929569255805 60.833884957771126, 11.07932595021114 60.834009173366255, 11.079255651151668 60.83406734733425, 11.079151287159434 60.83410295206006, 11.078797739743406 60.8340635881442)"/>
    <s v="[374004, 374012, 374020, 374028]"/>
    <s v="[362046, 363032, 363039, 336984]"/>
    <s v="0.005106986380205747"/>
    <s v="[336975, 362046, 363032, 363039]"/>
    <s v="[0.01, 0.013, 0.025, 0.006]"/>
    <s v="49.44712401447127"/>
    <s v="[-0.01, 0.013, 0.025, 0.006]"/>
  </r>
  <r>
    <x v="651"/>
    <x v="863"/>
    <x v="0"/>
    <n v="0"/>
    <m/>
    <n v="373996"/>
    <n v="336975"/>
    <s v="#FIELD!"/>
    <n v="362656"/>
    <s v="0.016"/>
    <s v="23.627443487864973"/>
    <s v="#FIELD!"/>
  </r>
  <r>
    <x v="651"/>
    <x v="864"/>
    <x v="0"/>
    <n v="0"/>
    <s v="LINESTRING (11.083821942418554 60.83162913234303, 11.08307247678057 60.8319418376728, 11.082404179384604 60.83215629262464, 11.07931377708384 60.833811055565285, 11.07929569255805 60.833884957771126)"/>
    <s v="[374772, 375479, 348740, 348748]"/>
    <s v="[363630, 336967, 336968, 336975]"/>
    <s v="0.014249313083224276"/>
    <s v="[362779, 363630, 336967, 336968]"/>
    <s v="[0.022, 0.022, 0.012, 0.007]"/>
    <s v="361.8211297521327"/>
    <s v="[0.022, 0.022, 0.012, -0.007]"/>
  </r>
  <r>
    <x v="652"/>
    <x v="865"/>
    <x v="0"/>
    <n v="0"/>
    <m/>
    <n v="374036"/>
    <n v="362735"/>
    <s v="0.009"/>
    <n v="336984"/>
    <s v="0.009"/>
    <s v="15.642773169222146"/>
    <s v="0.009"/>
  </r>
  <r>
    <x v="652"/>
    <x v="866"/>
    <x v="0"/>
    <n v="0"/>
    <s v="LINESTRING (11.078797739743406 60.8340635881442, 11.078669414413138 60.834051299175414, 11.078568334684814 60.83404960436586, 11.07522758696975 60.8348201312419, 11.072386908257695 60.836418018644984, 11.071774271427566 60.83672145493287)"/>
    <s v="[348756, 348757, 348765, 375463, 374500]"/>
    <s v="[336985, 336986, 336994, 363375, 362785]"/>
    <s v="0.015151126149833489"/>
    <s v="[336984, 336985, 336986, 336994, 363375]"/>
    <s v="[0.009, 0.013, 0.026, 0.011, 0.01]"/>
    <s v="501.42469132557727"/>
    <s v="[0.009, 0.013, 0.026, 0.011, -0.01]"/>
  </r>
  <r>
    <x v="653"/>
    <x v="867"/>
    <x v="0"/>
    <n v="0"/>
    <s v="LINESTRING (11.076506697377475 60.8330812620975, 11.076431804175277 60.832942706375505, 11.076503707894764 60.832877479265555, 11.076643450073282 60.832834191303334, 11.076970365556816 60.832881861861964)"/>
    <s v="[374404, 374412, 374420, 374364]"/>
    <s v="[363318, 363323, 362281, 337017]"/>
    <s v="#FIELD!"/>
    <s v="[337011, 363318, 363323, 362281]"/>
    <s v="[0.024, 0.0, 0.015, 0.032]"/>
    <s v="53.13197044142845"/>
    <s v="[0.024, 0.0, -0.015, -0.032]"/>
  </r>
  <r>
    <x v="653"/>
    <x v="868"/>
    <x v="0"/>
    <n v="0"/>
    <s v="LINESTRING (11.072812530838705 60.83583772322116, 11.073252276507406 60.83550971798559, 11.073712746397236 60.83524083757025, 11.076482824079221 60.83318548621363, 11.07650265838476 60.83313669732259, 11.076506697377475 60.8330812620975)"/>
    <s v="[374508, 375391, 348770, 348778, 348786]"/>
    <s v="[363381, 336997, 336998, 337005, 337011]"/>
    <s v="#FIELD!"/>
    <s v="[362114, 363381, 336997, 336998, 337005]"/>
    <s v="[0.006, 0.012, 0.014, 0.011, 0.016]"/>
    <s v="371.41873200885357"/>
    <s v="[-0.006, -0.012, -0.014, 0.011, 0.016]"/>
  </r>
  <r>
    <x v="653"/>
    <x v="869"/>
    <x v="0"/>
    <n v="0"/>
    <m/>
    <n v="374396"/>
    <n v="337011"/>
    <s v="0.03"/>
    <n v="363306"/>
    <s v="0.03"/>
    <s v="20.82184809922657"/>
    <s v="0.03"/>
  </r>
  <r>
    <x v="654"/>
    <x v="870"/>
    <x v="0"/>
    <n v="0"/>
    <m/>
    <n v="374372"/>
    <n v="362173"/>
    <s v="#FIELD!"/>
    <n v="337017"/>
    <s v="0.02"/>
    <s v="16.456355727378874"/>
    <s v="#FIELD!"/>
  </r>
  <r>
    <x v="654"/>
    <x v="871"/>
    <x v="0"/>
    <n v="0"/>
    <s v="LINESTRING (11.076970365556816 60.832881861861964, 11.077109830330889 60.83289187129693, 11.081729435112102 60.832093833340565, 11.084326219218978 60.83116291698349, 11.085150110895322 60.830829373061725)"/>
    <s v="[348794, 348809, 375471, 374780]"/>
    <s v="[337018, 337027, 363639, 361987]"/>
    <s v="#FIELD!"/>
    <s v="[337017, 337018, 337027, 363639]"/>
    <s v="[0.024, 0.021, 0.022, 0.008]"/>
    <s v="511.60386460369637"/>
    <s v="[-0.024, -0.021, -0.022, -0.008]"/>
  </r>
  <r>
    <x v="655"/>
    <x v="872"/>
    <x v="0"/>
    <n v="0"/>
    <s v="LINESTRING (10.811520135306717 60.91216836787103, 10.811539698026117 60.91235247784614, 10.811394790732198 60.912408379829365, 10.8112417138643 60.91241826435732, 10.811000534853562 60.91233423718771)"/>
    <s v="[349169, 349177, 349185, 349193]"/>
    <s v="[337286, 337294, 337300, 337165]"/>
    <s v="#FIELD!"/>
    <s v="[337162, 337286, 337294, 337300]"/>
    <s v="[0.018, 0.023, 0.014, 0.005]"/>
    <s v="56.89040802049318"/>
    <s v="[-0.018, -0.023, -0.014, 0.005]"/>
  </r>
  <r>
    <x v="655"/>
    <x v="873"/>
    <x v="0"/>
    <n v="0"/>
    <m/>
    <n v="349225"/>
    <n v="337162"/>
    <s v="#FIELD!"/>
    <n v="337331"/>
    <s v="0.002"/>
    <s v="12.530689741238973"/>
    <s v="#FIELD!"/>
  </r>
  <r>
    <x v="655"/>
    <x v="874"/>
    <x v="0"/>
    <n v="0"/>
    <s v="LINESTRING (10.817791613470716 60.909152451786774, 10.817381340402285 60.90934125569608, 10.815470817847201 60.91004869256736, 10.811589443281008 60.91207513618233, 10.81154931757343 60.91212756034504, 10.811520135306717 60.91216836787103)"/>
    <s v="[369274, 373901, 348977, 348985, 348993]"/>
    <s v="[358155, 337151, 337152, 337157, 337162]"/>
    <s v="0.008688297189471623"/>
    <s v="[358154, 358155, 337151, 337152, 337157]"/>
    <s v="[0.04, 0.027, 0.001, 0.02, 0.022]"/>
    <s v="483.57732608636485"/>
    <s v="[0.04, 0.027, -0.001, -0.02, -0.022]"/>
  </r>
  <r>
    <x v="656"/>
    <x v="875"/>
    <x v="0"/>
    <n v="0"/>
    <m/>
    <n v="349201"/>
    <n v="337316"/>
    <s v="0.023"/>
    <n v="337165"/>
    <s v="0.023"/>
    <s v="20.64810012560456"/>
    <s v="0.023"/>
  </r>
  <r>
    <x v="656"/>
    <x v="876"/>
    <x v="0"/>
    <n v="0"/>
    <s v="LINESTRING (10.811000534853562 60.91233423718771, 10.810911305125988 60.9123416157836, 10.80605857922347 60.91333283078563, 10.803455453203267 60.91399826607263, 10.802765184919602 60.91411625031359)"/>
    <s v="[349001, 349009, 373893, 369266]"/>
    <s v="[337166, 337171, 358144, 357882]"/>
    <s v="#FIELD!"/>
    <s v="[337165, 337166, 337171, 358144]"/>
    <s v="[0.015, 0.023, 0.021, 0.0]"/>
    <s v="491.29878228596397"/>
    <s v="[-0.015, -0.023, -0.021, -0.0]"/>
  </r>
  <r>
    <x v="657"/>
    <x v="877"/>
    <x v="0"/>
    <n v="0"/>
    <s v="LINESTRING (10.81039277594296 60.91104985143631, 10.810278306461862 60.91095430824199, 10.810290050606241 60.91088463663795, 10.81032630596338 60.91084620761768, 10.810456629696315 60.91079165046089, 10.81057638995623 60.91077812122043, 10.810732974480976 60.91079486955192, 10.810899177201895 60.91091683909929)"/>
    <s v="[349073, 349081, 349089, 349097, 349105, 349113, 349121]"/>
    <s v="[337220, 337226, 337232, 337237, 337244, 337250, 337201]"/>
    <s v="0.0023195593068455417"/>
    <s v="[337193, 337220, 337226, 337232, 337237, 337244, 337250]"/>
    <s v="[0.03, 0.033, 0.017, 0.013, 0.008, 0.012, 0.031]"/>
    <s v="66.60384382247341"/>
    <s v="[0.03, 0.033, 0.017, 0.013, -0.008, -0.012, -0.031]"/>
  </r>
  <r>
    <x v="657"/>
    <x v="878"/>
    <x v="0"/>
    <n v="0"/>
    <m/>
    <n v="349153"/>
    <n v="337193"/>
    <s v="0.021"/>
    <n v="337269"/>
    <s v="0.021"/>
    <s v="9.344864899846828"/>
    <s v="0.021"/>
  </r>
  <r>
    <x v="657"/>
    <x v="879"/>
    <x v="0"/>
    <n v="0"/>
    <s v="LINESTRING (10.803297314165896 60.91389928545407, 10.803742495458723 60.91376061097506, 10.804341780845617 60.913594468633654, 10.806300593864846 60.91304566534861, 10.81022361695782 60.9111736852139, 10.810351280709423 60.91108038512811, 10.81039277594296 60.91104985143631)"/>
    <s v="[369226, 373765, 349017, 349025, 349033, 349041]"/>
    <s v="[358103, 337177, 337178, 337184, 337189, 337193]"/>
    <s v="0.027158531031964316"/>
    <s v="[358102, 358103, 337177, 337178, 337184, 337189]"/>
    <s v="[0.003, 0.018, 0.039, 0.027, 0.015, 0.016]"/>
    <s v="504.6957399397574"/>
    <s v="[-0.003, 0.018, 0.039, 0.027, 0.015, 0.016]"/>
  </r>
  <r>
    <x v="658"/>
    <x v="880"/>
    <x v="0"/>
    <n v="0"/>
    <m/>
    <n v="349129"/>
    <n v="337260"/>
    <s v="#FIELD!"/>
    <n v="337201"/>
    <s v="0.022"/>
    <s v="14.351363871528815"/>
    <s v="#FIELD!"/>
  </r>
  <r>
    <x v="658"/>
    <x v="881"/>
    <x v="0"/>
    <n v="0"/>
    <s v="LINESTRING (10.810899177201895 60.91091683909929, 10.810984050009486 60.91091588802744, 10.811124956957974 60.91091425574945, 10.815241210996222 60.909889241635895, 10.817109553316103 60.9092401035848, 10.817601330268955 60.90910130754733)"/>
    <s v="[349049, 349057, 349065, 373885, 369306]"/>
    <s v="[337202, 337207, 337213, 358194, 357899]"/>
    <s v="#FIELD!"/>
    <s v="[337201, 337202, 337207, 337213, 358194]"/>
    <s v="[0.007, 0.003, 0.008, 0.029, 0.041]"/>
    <s v="421.54668369491225"/>
    <s v="[-0.007, -0.003, -0.008, -0.029, -0.041]"/>
  </r>
  <r>
    <x v="659"/>
    <x v="878"/>
    <x v="0"/>
    <n v="0"/>
    <s v="LINESTRING (10.810815228010519 60.911035777074936, 10.810666930587578 60.91107817634873, 10.810551762122683 60.91108204893743)"/>
    <s v="[349137, 349145]"/>
    <s v="[337265, 337269]"/>
    <s v="#FIELD!"/>
    <s v="[337260, 337265]"/>
    <s v="[0.007, 0.005]"/>
    <s v="15.598270269482542"/>
    <s v="[-0.007, 0.005]"/>
  </r>
  <r>
    <x v="659"/>
    <x v="882"/>
    <x v="0"/>
    <n v="0"/>
    <s v="LINESTRING (10.810815228010519 60.911035777074936, 10.810784208224812 60.9110947783218, 10.810778167713554 60.911161660780785, 10.810793746108875 60.91132281038703)"/>
    <s v="[373329, 373337, 373345]"/>
    <s v="[362347, 362355, 362363]"/>
    <s v="#FIELD!"/>
    <s v="[337260, 362347, 362355]"/>
    <s v="[0.019, 0.026, 0.025]"/>
    <s v="32.23002747071497"/>
    <s v="[-0.019, -0.026, -0.025]"/>
  </r>
  <r>
    <x v="660"/>
    <x v="882"/>
    <x v="0"/>
    <n v="0"/>
    <s v="LINESTRING (10.810551762122683 60.91108204893743, 10.810596937845478 60.91111762175749, 10.810655108368158 60.911175977482486, 10.810793746108875 60.91132281038703)"/>
    <s v="[373434, 373435, 373454]"/>
    <s v="[362447, 362448, 362363]"/>
    <s v="#FIELD!"/>
    <s v="[337269, 362447, 362448]"/>
    <s v="[0.028, 0.026, 0.023]"/>
    <s v="29.903002362744054"/>
    <s v="[-0.028, -0.026, -0.023]"/>
  </r>
  <r>
    <x v="661"/>
    <x v="873"/>
    <x v="0"/>
    <n v="0"/>
    <s v="LINESTRING (10.811056312540117 60.91215993737014, 10.811201264816813 60.912119141559195, 10.811321045980769 60.91211532217399)"/>
    <s v="[349209, 349217]"/>
    <s v="[337322, 337331]"/>
    <s v="0.013824212690475892"/>
    <s v="[337316, 337322]"/>
    <s v="[0.018, 0.008]"/>
    <s v="15.600373298602129"/>
    <s v="[0.018, 0.008]"/>
  </r>
  <r>
    <x v="661"/>
    <x v="883"/>
    <x v="0"/>
    <n v="0"/>
    <s v="LINESTRING (10.811096205063436 60.911907013195346, 10.811079272697542 60.91210185366812, 10.811056312540117 60.91215993737014)"/>
    <s v="[369314, 369322]"/>
    <s v="[358204, 337316]"/>
    <s v="#FIELD!"/>
    <s v="[358203, 358204]"/>
    <s v="[0.023, 0.025]"/>
    <s v="28.327540052720614"/>
    <s v="[-0.023, -0.025]"/>
  </r>
  <r>
    <x v="662"/>
    <x v="883"/>
    <x v="0"/>
    <n v="0"/>
    <s v="LINESTRING (10.811096205063436 60.911907013195346, 10.8112787485148 60.912077501759676, 10.811321045980769 60.91211532217399)"/>
    <s v="[373475, 373476]"/>
    <s v="[362499, 337331]"/>
    <s v="#FIELD!"/>
    <s v="[358203, 362499]"/>
    <s v="0.017"/>
    <s v="26.22863503630343"/>
    <s v="#FIELD!"/>
  </r>
  <r>
    <x v="663"/>
    <x v="884"/>
    <x v="0"/>
    <n v="0"/>
    <s v="LINESTRING (10.849262778402876 60.895449439087315, 10.849363945535082 60.89553563634643, 10.849357769065621 60.895601525662144, 10.84931814269138 60.89564651271194, 10.848809323759864 60.89565812516182)"/>
    <s v="[1256987, 1256988, 1256998, 1257022]"/>
    <s v="[362745, 1175047, 362664, 337356]"/>
    <s v="0.05717874695566596"/>
    <s v="[337350, 362745, 1175047, 362664]"/>
    <s v="[1.436, 0.027, 0.048, 0.412]"/>
    <s v="55.81601214232823"/>
    <s v="[1.436, 0.027, 0.048, -0.412]"/>
  </r>
  <r>
    <x v="663"/>
    <x v="885"/>
    <x v="0"/>
    <n v="0"/>
    <s v="LINESTRING (10.857630557059554 60.8937348938825, 10.857094583349886 60.89380809353245, 10.853537677749049 60.894241245034685, 10.849288147926478 60.895410484804316, 10.849262778402876 60.895449439087315)"/>
    <s v="[373741, 373749, 349233, 349241]"/>
    <s v="[362764, 337342, 337343, 337350]"/>
    <s v="0.042795669856624356"/>
    <s v="[358164, 362764, 337342, 337343]"/>
    <s v="[0.02, 0.002, 0.077, 0.13]"/>
    <s v="503.8282250032107"/>
    <s v="[0.02, -0.002, 0.077, 0.13]"/>
  </r>
  <r>
    <x v="663"/>
    <x v="886"/>
    <x v="0"/>
    <n v="0"/>
    <m/>
    <n v="1257053"/>
    <n v="337350"/>
    <s v="#FIELD!"/>
    <n v="362612"/>
    <s v="0.031"/>
    <s v="20.617078617127262"/>
    <s v="#FIELD!"/>
  </r>
  <r>
    <x v="664"/>
    <x v="887"/>
    <x v="0"/>
    <n v="0"/>
    <m/>
    <n v="1257023"/>
    <n v="362581"/>
    <s v="#FIELD!"/>
    <n v="337356"/>
    <s v="0.108"/>
    <s v="15.964528791580896"/>
    <s v="#FIELD!"/>
  </r>
  <r>
    <x v="664"/>
    <x v="888"/>
    <x v="0"/>
    <n v="0"/>
    <s v="LINESTRING (10.848809323759864 60.89565812516182, 10.848707753969917 60.895658673296936, 10.848588564597488 60.8956597558419, 10.845201519075445 60.89597507677891, 10.84057368862578 60.89756422404082, 10.840160005687776 60.89770218947492)"/>
    <s v="[349249, 349257, 349265, 373709, 373781]"/>
    <s v="[337357, 337364, 337373, 362725, 362801]"/>
    <s v="#FIELD!"/>
    <s v="[337356, 337357, 337364, 337373, 362725]"/>
    <s v="[0.035, 0.036, 0.018, 0.004, 0.131]"/>
    <s v="534.9896630097877"/>
    <s v="[-0.035, -0.036, -0.018, -0.004, 0.131]"/>
  </r>
  <r>
    <x v="665"/>
    <x v="889"/>
    <x v="0"/>
    <n v="0"/>
    <s v="LINESTRING (10.84648216468933 60.89472635665957, 10.846438663143516 60.89458853599031, 10.846501041382503 60.894536071679745, 10.846597116736097 60.89449975303509, 10.846993744427209 60.89455031240364)"/>
    <s v="[2167843, 2167848, 2167853, 2167858]"/>
    <s v="[362503, 1854502, 362567, 337405]"/>
    <s v="#FIELD!"/>
    <s v="[337396, 362503, 1854502, 362567]"/>
    <s v="[0.054, 0.051, 0.049, 0.005]"/>
    <s v="53.33980467298046"/>
    <s v="[-0.054, -0.051, -0.049, 0.005]"/>
  </r>
  <r>
    <x v="665"/>
    <x v="890"/>
    <x v="0"/>
    <n v="0"/>
    <m/>
    <n v="2167838"/>
    <n v="337396"/>
    <s v="#FIELD!"/>
    <n v="362606"/>
    <s v="0.009"/>
    <s v="25.683704027902937"/>
    <s v="#FIELD!"/>
  </r>
  <r>
    <x v="665"/>
    <x v="891"/>
    <x v="0"/>
    <n v="0"/>
    <s v="LINESTRING (10.84071587525553 60.897330573721156, 10.841108149492031 60.89712845291981, 10.844817699871383 60.895697915926796, 10.846377742239287 60.89479997955285, 10.846438875772352 60.894756934798814, 10.84648216468933 60.89472635665957)"/>
    <s v="[373773, 373701, 349273, 349281, 349289]"/>
    <s v="[362716, 337381, 337382, 337390, 337396]"/>
    <s v="#FIELD!"/>
    <s v="[362794, 362716, 337381, 337382, 337390]"/>
    <s v="[0.019, 0.019, 0.039, 0.043, 0.047]"/>
    <s v="429.32832368160945"/>
    <s v="[-0.019, 0.019, -0.039, -0.043, -0.047]"/>
  </r>
  <r>
    <x v="666"/>
    <x v="892"/>
    <x v="0"/>
    <n v="0"/>
    <m/>
    <n v="2167863"/>
    <n v="362649"/>
    <s v="0.066"/>
    <n v="337405"/>
    <s v="0.066"/>
    <s v="15.846353592859437"/>
    <s v="0.066"/>
  </r>
  <r>
    <x v="666"/>
    <x v="893"/>
    <x v="0"/>
    <n v="0"/>
    <s v="LINESTRING (10.846993744427209 60.89455031240364, 10.84710312004371 60.894545062123136, 10.853232832359534 60.894040385143875, 10.856685098606805 60.89368317628699, 10.857244246202644 60.89367164802681)"/>
    <s v="[349297, 349305, 373757, 373733]"/>
    <s v="[337406, 337413, 362755, 358128]"/>
    <s v="#FIELD!"/>
    <s v="[337405, 337406, 337413, 362755]"/>
    <s v="[0.01, 0.033, 0.007, 0.008]"/>
    <s v="567.43270222059"/>
    <s v="[-0.01, -0.033, -0.007, -0.008]"/>
  </r>
  <r>
    <x v="667"/>
    <x v="894"/>
    <x v="0"/>
    <n v="0"/>
    <m/>
    <n v="350471"/>
    <n v="338534"/>
    <s v="0.0"/>
    <n v="338533"/>
    <s v="0.0"/>
    <s v="34.32543460818154"/>
    <s v="0.0"/>
  </r>
  <r>
    <x v="668"/>
    <x v="895"/>
    <x v="0"/>
    <s v="[0, 0, 0, 0, 0, 0, 0, 1]"/>
    <s v="LINESTRING (8.390720951451208 61.18409695165392, 8.390718124704001 61.18367924987714, 8.39066948844682 61.183470954232845, 8.390650496565337 61.183402494319594, 8.390416410778602 61.1828445175081, 8.390389531852845 61.1827922671773, 8.390355021793543 61.18273086717548, 8.390161442620178 61.18243468423818, 8.389496576244836 61.18174482176528)"/>
    <s v="[1841256, 1841264, 1841272, 1841280, 1841304, 1841312, 1841232, 1841240]"/>
    <s v="[1613672, 1613678, 1613684, 365533, 1613698, 365524, 1613664, 338537]"/>
    <s v="#FIELD!"/>
    <s v="[338534, 1613672, 1613678, 1613684, 365533, 1613698, 365524, 1613664]"/>
    <s v="[0.004, 0.021, 0.027, 0.042, 0.139, 0.13, 0.148, 0.158]"/>
    <s v="274.24240328530544"/>
    <s v="[0.004, -0.021, -0.027, -0.042, -0.139, -0.13, -0.148, -0.158]"/>
  </r>
  <r>
    <x v="668"/>
    <x v="895"/>
    <x v="0"/>
    <s v="[0, 0, 0, 0, 0, 0, 0, 0, 1]"/>
    <s v="LINESTRING (8.390720951451208 61.18409695165392, 8.39058943826134 61.18368716051258, 8.390530555478975 61.18348206566017, 8.390509242510904 61.18341328472927, 8.390307675001118 61.18293169254502, 8.390277270652412 61.18286896207758, 8.390246331882716 61.182812323121546, 8.390209761011118 61.182745371079335, 8.39002513689698 61.182457195144885, 8.389496576244836 61.18174482176528)"/>
    <s v="[1841288, 1841296, 1841344, 1841352, 1841360, 1841368, 1841376, 376559, 1841248]"/>
    <s v="[1613691, 1613695, 1613727, 1613735, 365532, 1613745, 365523, 365552, 338537]"/>
    <s v="#FIELD!"/>
    <s v="[338534, 1613691, 1613695, 1613727, 1613735, 365532, 1613745, 365523, 365552]"/>
    <s v="[0.029, 0.027, 0.027, 0.04, 0.046, 0.128, 0.134, 0.142, 0.145]"/>
    <s v="271.625305336803"/>
    <s v="[-0.029, -0.027, -0.027, -0.04, -0.046, -0.128, -0.134, -0.142, -0.145]"/>
  </r>
  <r>
    <x v="669"/>
    <x v="896"/>
    <x v="0"/>
    <s v="[1, 0, 0, 0, 0, 0, 0, 0, 0, 0, 0, 0, 0, 0, 0, 0]"/>
    <s v="LINESTRING (8.389496576244836 61.18174482176528, 8.388168971623388 61.18071468283546, 8.387417698508797 61.1802806869409, 8.387391436267851 61.18026802856591, 8.394870596877668 61.16551631262244, 8.395078599255234 61.16547816650356, 8.399389613639281 61.164569018601526, 8.410315215224056 61.162398156611125, 8.411454309743416 61.162248516424015, 8.418986045504298 61.16155906300051, 8.419522947188643 61.16155319155903, 8.420427776688623 61.16154915046899, 8.420725183835296 61.16154717951421, 8.4208251068874 61.16154584905526, 8.420926296447051 61.16154541822905, 8.42241192020364 61.1615299956707, 8.42694243757241 61.16076303564081)"/>
    <s v="[350479, 350495, 350503, 350504, 350519, 350527, 350538, 350552, 350564, 350565, 350581, 350597, 350605, 350608, 350613, 350615]"/>
    <s v="[338538, 338552, 338561, 338562, 338573, 338579, 338588, 338599, 338607, 338608, 338623, 338638, 338645, 338647, 338651, 338653]"/>
    <s v="#FIELD!"/>
    <s v="[338537, 338538, 338552, 338561, 338562, 338573, 338579, 338588, 338599, 338607, 338608, 338623, 338638, 338645, 338647, 338651]"/>
    <s v="[0.159, 0.107, 0.226, 0.01, 0.05, 0.049, 0.032, 0.064, 0.072, 0.066, 0.069, 0.069, 0.068, 0.067, 0.04, 0.013]"/>
    <s v="4146.2749871583965"/>
    <s v="[-0.159, 0.107, 0.226, 0.01, 0.05, 0.049, -0.032, -0.064, -0.072, -0.066, -0.069, -0.069, -0.068, -0.067, -0.04, -0.013]"/>
  </r>
  <r>
    <x v="670"/>
    <x v="310"/>
    <x v="0"/>
    <n v="0"/>
    <s v="LINESTRING (8.61469496219722 61.138904456997714, 8.42694243757241 61.16076303564081)"/>
    <m/>
    <m/>
    <s v="0.0"/>
    <m/>
    <n v="0"/>
    <s v="12556.027143805819"/>
    <n v="0"/>
  </r>
  <r>
    <x v="671"/>
    <x v="897"/>
    <x v="0"/>
    <s v="[0, 0, 1, 0, 0, 0, 0]"/>
    <s v="LINESTRING (10.40306003587325 63.40063373005551, 10.40306003587325 63.40063373005551, 10.402697544070557 63.401133122195795, 10.402695545647134 63.40140821722736, 10.40384213848825 63.40173741845406, 10.406120116289285 63.40212823570899, 10.406311683289205 63.40217940273392, 10.406327876881118 63.40218348520378)"/>
    <s v="[351964, 572324, 572332, 572340, 572348, 626318, 626326]"/>
    <s v="[340037, 579926, 579933, 579939, 579947, 622931, 621357]"/>
    <s v="0.015480527315288423"/>
    <s v="[340036, 340037, 579926, 579933, 579939, 579947, 622931]"/>
    <s v="[0.0, 0.085, 0.041, 0.045, 0.034, 0.09, 0.025]"/>
    <s v="297.2091239434697"/>
    <s v="[0.0, -0.085, 0.041, 0.045, 0.034, 0.09, 0.025]"/>
  </r>
  <r>
    <x v="672"/>
    <x v="898"/>
    <x v="0"/>
    <n v="0"/>
    <m/>
    <n v="1418228"/>
    <n v="1295087"/>
    <s v="#FIELD!"/>
    <n v="342711"/>
    <s v="0.409"/>
    <s v="6.198330420089928"/>
    <s v="#FIELD!"/>
  </r>
  <r>
    <x v="672"/>
    <x v="899"/>
    <x v="0"/>
    <n v="0"/>
    <s v="LINESTRING (5.721473595353292 58.954464215010255, 5.721493495410341 58.95453408976945, 5.72155715191896 58.95495875964686, 5.721766356911496 58.95646602604567, 5.72208885817187 58.95827209828574, 5.722041494567479 58.95835135132611)"/>
    <s v="[354527, 354530, 354531, 354534, 354537]"/>
    <s v="[342712, 342717, 342718, 342723, 342728]"/>
    <s v="#FIELD!"/>
    <s v="[342711, 342712, 342717, 342718, 342723]"/>
    <s v="[0.043, 0.041, 0.001, 0.02, 0.026]"/>
    <s v="436.30147752915116"/>
    <s v="[0.043, 0.041, 0.001, -0.02, -0.026]"/>
  </r>
  <r>
    <x v="672"/>
    <x v="900"/>
    <x v="0"/>
    <n v="0"/>
    <s v="LINESTRING (5.721788941554797 58.95446701152637, 5.7216257222313525 58.954490217114426, 5.721473595353292 58.954464215010255)"/>
    <s v="[1418212, 1418220]"/>
    <s v="[1295077, 342711]"/>
    <s v="#FIELD!"/>
    <s v="[342733, 1295077]"/>
    <s v="[0.217, 0.12]"/>
    <s v="19.022816132291087"/>
    <s v="[-0.217, 0.12]"/>
  </r>
  <r>
    <x v="673"/>
    <x v="901"/>
    <x v="0"/>
    <n v="0"/>
    <s v="LINESTRING (5.722041494567479 58.95835135132611, 5.722240833321847 58.958302597262076, 5.722461981818957 58.9583372118526)"/>
    <s v="[1418303, 1418311]"/>
    <s v="[1295138, 342754]"/>
    <s v="0.0042728565596816676"/>
    <s v="[342728, 1295138]"/>
    <s v="[0.134, 0.136]"/>
    <s v="26.509168096029356"/>
    <s v="[-0.134, 0.136]"/>
  </r>
  <r>
    <x v="673"/>
    <x v="902"/>
    <x v="0"/>
    <n v="0"/>
    <m/>
    <n v="1418295"/>
    <n v="342728"/>
    <s v="0.023"/>
    <n v="342781"/>
    <s v="0.023"/>
    <s v="31.4539498404147"/>
    <s v="0.023"/>
  </r>
  <r>
    <x v="674"/>
    <x v="901"/>
    <x v="0"/>
    <n v="0"/>
    <s v="LINESTRING (5.721788941554797 58.95446701152637, 5.72176673021266 58.95453014496392, 5.721774112615218 58.954952968299175, 5.721982948511275 58.95645730639536, 5.7223660129157 58.958251535427706, 5.722461981818957 58.9583372118526)"/>
    <s v="[354541, 354542, 354545, 354558, 354559]"/>
    <s v="[342734, 342735, 342738, 342753, 342754]"/>
    <s v="#FIELD!"/>
    <s v="[342733, 342734, 342735, 342738, 342753]"/>
    <s v="[0.027, 0.038, 0.0, 0.023, 0.022]"/>
    <s v="435.8106491935982"/>
    <s v="[0.027, 0.038, -0.0, -0.023, -0.022]"/>
  </r>
  <r>
    <x v="674"/>
    <x v="903"/>
    <x v="0"/>
    <n v="0"/>
    <m/>
    <n v="1418204"/>
    <n v="342733"/>
    <s v="0.067"/>
    <n v="1295068"/>
    <s v="0.067"/>
    <s v="19.672954307794274"/>
    <s v="0.067"/>
  </r>
  <r>
    <x v="675"/>
    <x v="904"/>
    <x v="0"/>
    <n v="0"/>
    <s v="LINESTRING (5.722461981818957 58.9583372118526, 5.72249957237756 58.95835536457874, 5.722533222397691 58.958551221105246, 5.722495560631133 58.95857633142982)"/>
    <s v="[1418264, 1418265, 1418271]"/>
    <s v="[1295112, 1295113, 342763]"/>
    <s v="#FIELD!"/>
    <s v="[342754, 1295112, 1295113]"/>
    <s v="[0.8, 0.01, 0.544]"/>
    <s v="29.715088081098585"/>
    <s v="[-0.8, -0.01, 0.544]"/>
  </r>
  <r>
    <x v="676"/>
    <x v="905"/>
    <x v="0"/>
    <n v="0"/>
    <s v="LINESTRING (5.722495560631133 58.95857633142982, 5.7224665928664615 58.95865606519879, 5.723136625635623 58.96059439913954, 5.723261229486085 58.9606611342038)"/>
    <s v="[354566, 354574, 354582]"/>
    <s v="[342764, 342772, 342780]"/>
    <s v="#FIELD!"/>
    <s v="[342763, 342764, 342772]"/>
    <s v="[0.026, 0.025, 0.017]"/>
    <s v="240.57734365713245"/>
    <s v="[-0.026, -0.025, -0.017]"/>
  </r>
  <r>
    <x v="676"/>
    <x v="902"/>
    <x v="0"/>
    <n v="0"/>
    <s v="LINESTRING (5.722495560631133 58.95857633142982, 5.72231702000901 58.95862521613003, 5.722089509137824 58.95859903354717)"/>
    <s v="[1418279, 1418287]"/>
    <s v="[1295123, 342781]"/>
    <s v="#FIELD!"/>
    <s v="[342763, 1295123]"/>
    <s v="[0.154, 0.12]"/>
    <s v="25.375150394012906"/>
    <s v="[-0.154, 0.12]"/>
  </r>
  <r>
    <x v="677"/>
    <x v="906"/>
    <x v="0"/>
    <n v="0"/>
    <m/>
    <n v="1418319"/>
    <n v="342851"/>
    <s v="#FIELD!"/>
    <n v="342780"/>
    <s v="0.021"/>
    <s v="27.44892668134316"/>
    <s v="#FIELD!"/>
  </r>
  <r>
    <x v="677"/>
    <x v="907"/>
    <x v="0"/>
    <n v="0"/>
    <s v="LINESTRING (5.722853784152136 58.960740933013625, 5.7230254770969236 58.960657311594055, 5.723261229486085 58.9606611342038)"/>
    <s v="[1418366, 1418384]"/>
    <s v="[1295175, 342780]"/>
    <s v="0.011522725759143386"/>
    <s v="[342810, 1295175]"/>
    <s v="[0.033, 0.01]"/>
    <s v="27.774678922533024"/>
    <s v="[0.033, -0.01]"/>
  </r>
  <r>
    <x v="678"/>
    <x v="907"/>
    <x v="0"/>
    <n v="0"/>
    <s v="LINESTRING (5.722089509137824 58.95859903354717, 5.722185410408864 58.958675921514384, 5.722853842701424 58.960654455104894, 5.722853784152136 58.960740933013625)"/>
    <s v="[354583, 354598, 354606]"/>
    <s v="[342782, 342800, 342810]"/>
    <s v="#FIELD!"/>
    <s v="[342781, 342782, 342800]"/>
    <s v="[0.021, 0.025, 0.027]"/>
    <s v="244.50089377021166"/>
    <s v="[-0.021, -0.025, -0.027]"/>
  </r>
  <r>
    <x v="679"/>
    <x v="908"/>
    <x v="0"/>
    <n v="0"/>
    <m/>
    <n v="1418358"/>
    <n v="342810"/>
    <s v="#FIELD!"/>
    <n v="1295165"/>
    <s v="0.001"/>
    <s v="11.849919927836966"/>
    <s v="#FIELD!"/>
  </r>
  <r>
    <x v="680"/>
    <x v="909"/>
    <x v="0"/>
    <n v="0"/>
    <s v="LINESTRING (5.723419215142863 58.96086901514604, 5.723419641771537 58.96095480512393, 5.72385602281977 58.961759285221106, 5.7239763745950665 58.96232791326609, 5.724045221021047 58.96242211902799)"/>
    <s v="[354648, 354649, 354656, 354672]"/>
    <s v="[342852, 342853, 342861, 342880]"/>
    <s v="#FIELD!"/>
    <s v="[342851, 342852, 342853, 342861]"/>
    <s v="[0.005, 0.006, 0.005, 0.002]"/>
    <s v="178.2888085782876"/>
    <s v="[-0.005, -0.006, -0.005, 0.002]"/>
  </r>
  <r>
    <x v="680"/>
    <x v="910"/>
    <x v="0"/>
    <n v="0"/>
    <s v="LINESTRING (5.723419215142863 58.96086901514604, 5.723261782699633 58.96095224021874, 5.723085828902438 58.96096441632717)"/>
    <s v="[1418327, 1418335]"/>
    <s v="[1295152, 342895]"/>
    <s v="#FIELD!"/>
    <s v="[342851, 1295152]"/>
    <s v="[0.004, 0.014]"/>
    <s v="23.47579225804585"/>
    <s v="[0.004, -0.014]"/>
  </r>
  <r>
    <x v="681"/>
    <x v="911"/>
    <x v="0"/>
    <n v="0"/>
    <m/>
    <n v="1418343"/>
    <n v="1295159"/>
    <s v="0.054"/>
    <n v="342895"/>
    <s v="0.054"/>
    <s v="2.8502317449248107"/>
    <s v="0.054"/>
  </r>
  <r>
    <x v="681"/>
    <x v="912"/>
    <x v="0"/>
    <n v="0"/>
    <s v="LINESTRING (5.723085828902438 58.96096441632717, 5.723176923722682 58.9610190414814, 5.72362023935789 58.96177653561118, 5.723683365190764 58.96234488607654, 5.723680607068157 58.96241298675819)"/>
    <s v="[354684, 354691, 354705, 354713]"/>
    <s v="[342896, 342904, 342923, 342933]"/>
    <s v="#FIELD!"/>
    <s v="[342895, 342896, 342904, 342923]"/>
    <s v="[0.0, 0.005, 0.006, 0.006]"/>
    <s v="168.32945210326105"/>
    <s v="[-0.0, -0.005, -0.006, -0.006]"/>
  </r>
  <r>
    <x v="682"/>
    <x v="913"/>
    <x v="0"/>
    <n v="1"/>
    <s v="LINESTRING (5.6871550724597 58.978528890857085, 5.687121413839722 58.97858437769978, 5.687060052828549 58.97862851906639, 5.68689084302007 58.978681608463845, 5.686849424880514 58.97868528183199)"/>
    <s v="[354747, 354760, 354761, 354765]"/>
    <s v="[342975, 342991, 342992, 342997]"/>
    <s v="0.007071780448707028"/>
    <s v="[342974, 342975, 342991, 342992]"/>
    <s v="[0.0, 0.003, 0.012, 0.013]"/>
    <s v="26.415347505126203"/>
    <s v="[-0.0, 0.003, 0.012, 0.013]"/>
  </r>
  <r>
    <x v="682"/>
    <x v="914"/>
    <x v="0"/>
    <n v="1"/>
    <m/>
    <n v="354825"/>
    <n v="342974"/>
    <s v="#FIELD!"/>
    <n v="343064"/>
    <s v="0.025"/>
    <s v="42.612238669452"/>
    <s v="#FIELD!"/>
  </r>
  <r>
    <x v="682"/>
    <x v="915"/>
    <x v="0"/>
    <n v="0"/>
    <s v="LINESTRING (5.690288447767765 58.97614009468312, 5.690109758470306 58.976343304275424, 5.688087536381899 58.97795336021252, 5.687982763114684 58.97802890187322, 5.687267659529186 58.97846060421816, 5.6871550724597 58.978528890857085)"/>
    <s v="[1419171, 1419179, 1419193, 1419201, 1419215]"/>
    <s v="[1295833, 1295838, 1295849, 1295854, 342974]"/>
    <s v="#FIELD!"/>
    <s v="[1295043, 1295833, 1295838, 1295849, 1295854]"/>
    <s v="[0.018, 0.014, 0.003, 0.052, 0.432]"/>
    <s v="323.3672793520047"/>
    <s v="[0.018, -0.014, 0.003, -0.052, 0.432]"/>
  </r>
  <r>
    <x v="683"/>
    <x v="916"/>
    <x v="0"/>
    <n v="1"/>
    <m/>
    <n v="354776"/>
    <n v="343009"/>
    <s v="0.026"/>
    <n v="342997"/>
    <s v="0.026"/>
    <s v="47.97496262307913"/>
    <s v="0.026"/>
  </r>
  <r>
    <x v="683"/>
    <x v="917"/>
    <x v="0"/>
    <n v="0"/>
    <s v="LINESTRING (5.686849424880514 58.97868528183199, 5.686721546676986 58.978748581688265, 5.685037273073195 58.979513807624485, 5.682910316737207 58.98074731641236, 5.6827304770914235 58.98080665155543)"/>
    <s v="[1419216, 1419217, 1419218, 1419220]"/>
    <s v="[1295866, 1295867, 1295868, 1295062]"/>
    <s v="#FIELD!"/>
    <s v="[342997, 1295866, 1295867, 1295868]"/>
    <s v="[0.897, 0.056, 0.047, 0.021]"/>
    <s v="337.4997516317378"/>
    <s v="[-0.897, 0.056, -0.047, -0.021]"/>
  </r>
  <r>
    <x v="684"/>
    <x v="914"/>
    <x v="0"/>
    <n v="1"/>
    <s v="LINESTRING (5.68631787384942 58.97841491537682, 5.686346201917958 58.9783650607342, 5.686520256383342 58.97827269513266, 5.6865976515002785 58.97825909767118, 5.686666393163758 58.9782555543453, 5.686721958124197 58.978256947204486)"/>
    <s v="[354788, 354821, 354822, 354823, 354824]"/>
    <s v="[343022, 343061, 343062, 343063, 343064]"/>
    <s v="#FIELD!"/>
    <s v="[343009, 343022, 343061, 343062, 343063]"/>
    <s v="[0.007, 0.005, 0.026, 0.031, 0.028]"/>
    <s v="32.38573115188381"/>
    <s v="[0.007, -0.005, -0.026, -0.031, -0.028]"/>
  </r>
  <r>
    <x v="684"/>
    <x v="918"/>
    <x v="0"/>
    <n v="0"/>
    <s v="LINESTRING (5.683252798970017 58.98036422114212, 5.683333668245217 58.98025342801774, 5.686202151799641 58.97847863587787, 5.68631787384942 58.97841491537682)"/>
    <s v="[1419896, 1419904, 1419912]"/>
    <s v="[1296341, 1296344, 343009]"/>
    <s v="0.04388537384598721"/>
    <s v="[1295750, 1296341, 1296344]"/>
    <s v="[0.012, 0.031, 0.463]"/>
    <s v="283.08030215315887"/>
    <s v="[-0.012, 0.031, 0.463]"/>
  </r>
  <r>
    <x v="685"/>
    <x v="919"/>
    <x v="0"/>
    <n v="0"/>
    <s v="LINESTRING (5.686721958124197 58.978256947204486, 5.686791857792001 58.97820349359478, 5.688129385301517 58.9773454772682, 5.688732355136601 58.97694183135454, 5.690222680408684 58.97588454108922, 5.690401009276546 58.97578686022147)"/>
    <s v="[1419255, 1419263, 1419264, 1419267, 1419269]"/>
    <s v="[1295892, 1295898, 1295899, 1295901, 1295765]"/>
    <s v="0.0008108075012440544"/>
    <s v="[343064, 1295892, 1295898, 1295899, 1295901]"/>
    <s v="[0.567, 0.012, 0.023, 0.01, 0.008]"/>
    <s v="348.40465551701953"/>
    <s v="[-0.567, 0.012, 0.023, 0.01, 0.008]"/>
  </r>
  <r>
    <x v="686"/>
    <x v="920"/>
    <x v="0"/>
    <n v="0"/>
    <s v="LINESTRING (5.722227100940102 58.95197972699007, 5.7231372781832395 58.95215280758106, 5.723206813172739 58.95214662971097)"/>
    <s v="[1418722, 355089]"/>
    <s v="[343350, 343351]"/>
    <s v="#FIELD!"/>
    <s v="[1295470, 343350]"/>
    <s v="[0.011, 0.01]"/>
    <s v="68.56454912330935"/>
    <s v="[-0.011, 0.01]"/>
  </r>
  <r>
    <x v="687"/>
    <x v="921"/>
    <x v="0"/>
    <n v="0"/>
    <s v="LINESTRING (5.719080196012784 58.9531644640686, 5.7190720902845085 58.953237880300655, 5.719360959710245 58.95356297318455)"/>
    <s v="[355451, 355452]"/>
    <s v="[343718, 343719]"/>
    <s v="#FIELD!"/>
    <s v="[343717, 343718]"/>
    <s v="[0.002, 0.014]"/>
    <s v="49.46620980199996"/>
    <s v="[-0.002, -0.014]"/>
  </r>
  <r>
    <x v="687"/>
    <x v="922"/>
    <x v="0"/>
    <n v="0"/>
    <s v="LINESTRING (5.718832837274931 58.953165448788944, 5.7188026212935945 58.95315018672732, 5.71876564134651 58.953117608784396, 5.718767869075005 58.9530497497188, 5.718879195993775 58.95298837296832, 5.719071188114508 58.95299955008804, 5.71915051301898 58.953061045350275, 5.719129220132743 58.95313523370786, 5.719080196012784 58.9531644640686)"/>
    <s v="[1423298, 1423306, 1423314, 1423322, 1423330, 1423338, 1423346, 1423274]"/>
    <s v="[1298529, 1056437, 1298541, 975216, 343661, 1298562, 343706, 343717]"/>
    <s v="#FIELD!"/>
    <s v="[1298446, 1298529, 1056437, 1298541, 975216, 343661, 1298562, 343706]"/>
    <s v="[0.029, 0.023, 0.025, 0.013, 0.008, 0.026, 0.028, 0.211]"/>
    <s v="56.336710610384195"/>
    <s v="[0.029, 0.023, 0.025, 0.013, -0.008, -0.026, -0.028, -0.211]"/>
  </r>
  <r>
    <x v="688"/>
    <x v="923"/>
    <x v="0"/>
    <n v="0"/>
    <s v="LINESTRING (5.719360959710245 58.95356297318455, 5.719437689169844 58.95361036374798, 5.720422366838333 58.95414188323834, 5.721244167231368 58.95428839516559, 5.721377307143314 58.95427943473366)"/>
    <s v="[355469, 355477, 355485, 355493]"/>
    <s v="[343739, 343749, 343759, 343766]"/>
    <s v="0.0047559079807118826"/>
    <s v="[343719, 343739, 343749, 343759]"/>
    <s v="[0.015, 0.002, 0.012, 0.046]"/>
    <s v="148.23371479426433"/>
    <s v="[-0.015, -0.002, 0.012, 0.046]"/>
  </r>
  <r>
    <x v="688"/>
    <x v="924"/>
    <x v="0"/>
    <n v="0"/>
    <s v="LINESTRING (5.719360959710245 58.95356297318455, 5.719449525021219 58.953564490457886, 5.720827631431845 58.95419826727025, 5.721103768513799 58.95349294366079, 5.721166429846383 58.953450429703054)"/>
    <s v="[1439717, 1418769, 1418770, 1418778]"/>
    <s v="[1295511, 1295512, 1295513, 1295521]"/>
    <s v="#FIELD!"/>
    <s v="[343719, 1295511, 1295512, 1295513]"/>
    <s v="[0.005, 0.03, 0.018, 0.012]"/>
    <s v="216.61958425719226"/>
    <s v="[-0.005, -0.03, -0.018, 0.012]"/>
  </r>
  <r>
    <x v="689"/>
    <x v="925"/>
    <x v="0"/>
    <n v="0"/>
    <m/>
    <n v="1418248"/>
    <n v="1295103"/>
    <s v="#FIELD!"/>
    <n v="343766"/>
    <s v="0.463"/>
    <s v="5.055355378485489"/>
    <s v="#FIELD!"/>
  </r>
  <r>
    <x v="689"/>
    <x v="898"/>
    <x v="0"/>
    <n v="0"/>
    <s v="LINESTRING (5.721398244284306 58.954424697209184, 5.7213517298514445 58.954358798800214, 5.721377307143314 58.95427943473366)"/>
    <s v="[1418236, 1418240]"/>
    <s v="[1295093, 343766]"/>
    <s v="0.09414871558826073"/>
    <s v="[1295087, 1295093]"/>
    <s v="[0.072, 0.239]"/>
    <s v="16.82767262049244"/>
    <s v="[-0.072, 0.239]"/>
  </r>
  <r>
    <x v="690"/>
    <x v="926"/>
    <x v="0"/>
    <n v="0"/>
    <s v="LINESTRING (9.459707429534026 60.895763083209715, 9.459535262378346 60.895948094439156, 9.45953375730579 60.8959499493539, 9.459108678768908 60.896447942285725, 9.458986770639418 60.89657521245484, 9.458966442581918 60.896596162718964, 9.45842711994494 60.8970572783891, 9.458349779947245 60.89711547538954, 9.457926093013816 60.89742999806718)"/>
    <s v="[355648, 355671, 355679, 355680, 355687, 355695, 355705, 355708]"/>
    <s v="[343910, 343931, 343941, 343942, 343952, 343964, 343978, 343979]"/>
    <s v="0.032919326113650414"/>
    <s v="[343909, 343910, 343931, 343941, 343942, 343952, 343964, 343978]"/>
    <s v="[0.025, 0.175, 0.02, 0.023, 0.019, 0.016, 0.012, 0.089]"/>
    <s v="210.19119935914858"/>
    <s v="[0.025, -0.175, 0.02, 0.023, 0.019, 0.016, 0.012, 0.089]"/>
  </r>
  <r>
    <x v="690"/>
    <x v="926"/>
    <x v="0"/>
    <n v="0"/>
    <s v="LINESTRING (9.459707429534026 60.895763083209715, 9.4596038525998 60.89596182585424, 9.459236432655043 60.896476078258054, 9.459124728919573 60.89659566964443, 9.459105133387862 60.89661761320539, 9.458540618106936 60.897091648464304, 9.457926093013816 60.89742999806718)"/>
    <s v="[355709, 355716, 355726, 355727, 355731, 355740]"/>
    <s v="[343980, 343988, 344004, 344005, 344009, 343979]"/>
    <s v="0.03263330284060652"/>
    <s v="[343909, 343980, 343988, 344004, 344005, 344009]"/>
    <s v="[0.038, 0.024, 0.019, 0.03, 0.015, 0.066]"/>
    <s v="212.6812774581415"/>
    <s v="[0.038, 0.024, 0.019, 0.03, 0.015, 0.066]"/>
  </r>
  <r>
    <x v="690"/>
    <x v="927"/>
    <x v="69"/>
    <s v="[0, 0, 1, 0, 0, 1, 1, 0, 0, 0, 0, 0, 0, 0, 0, 0, 0, 0, 0, 0, 0, 0, 0, 0, 0, 0, 0, 0, 0, 0, 0, 0, 0, 0, 0, 0, 0, 0, 0, 0, 0, 0, 0, 0, 0, 0, 0, 0, 0, 1, 0]"/>
    <s v="LINESTRING (9.554342432599176 60.82290830729825, 9.55422458692227 60.82330012691013, 9.554199219279184 60.823451097943554, 9.554191517573514 60.82393522967288, 9.554278487749365 60.824450018757126, 9.554587488068302 60.82561074573994, 9.554602680665566 60.82687920758783, 9.554591826003863 60.82693682242656, 9.551192561323495 60.83074584357969, 9.516135552231042 60.85391898608405, 9.508567651104368 60.85657657406487, 9.508332335402041 60.8566277662004, 9.506548731172224 60.85701503550033, 9.50366099887042 60.85773557973949, 9.501777655561604 60.8587001055381, 9.500707727907171 60.86128196312624, 9.502294195867648 60.86298518699892, 9.502846421740815 60.86336576281416, 9.504070106948507 60.866596035449746, 9.503397973729342 60.86728200260353, 9.502576191716093 60.86793222305398, 9.500772414326423 60.86925236211845, 9.500078630460147 60.86973456942737, 9.497524851661797 60.87154114075074, 9.49639754204651 60.872487314183964, 9.495326379944467 60.87353235434637, 9.494801005917019 60.87411694088724, 9.49385612283356 60.87534409536194, 9.493515708723795 60.875860130984165, 9.49192512853023 60.87771299730987, 9.491776548542278 60.87784090633001, 9.49074748254595 60.87861692694741, 9.488967815245008 60.87983910765642, 9.488038550166875 60.88051346071916, 9.486821040768437 60.88144479410738, 9.48400854633625 60.8838410353142, 9.48341557388064 60.8843982201618, 9.480597460242102 60.887398404680745, 9.479922770095392 60.88822477527546, 9.479529581291658 60.888709345863454, 9.479328864817017 60.88895428727435, 9.478997931341537 60.88933115794891, 9.47766147081946 60.89052204420689, 9.475827549053925 60.891661299050426, 9.474511650561967 60.89228086652302, 9.473406973254491 60.89271228898826, 9.472888794536605 60.89289128854295, 9.471404962767583 60.89333362746938, 9.467669365647568 60.893943143594065, 9.462314916039947 60.894207560674396, 9.461876865241253 60.89432574517509, 9.459707429534026 60.895763083209715)"/>
    <s v="[367438, 367446, 355805, 355813, 355814, 355821, 355831, 355852, 355783, 355792, 355800, 1848510, 1848516, 1848519, 1848535, 1848553, 1848561, 1848017, 1848022, 1848030, 1848038, 1848046, 1848054, 1848062, 1848070, 1848078, 1848086, 1848094, 1848100, 1848107, 1848115, 1848123, 1848131, 1848139, 1848147, 1848155, 1848163, 1848171, 1848179, 1848186, 1848195, 1848203, 1848211, 1848219, 1848227, 1848235, 1848243, 1848251, 1848259, 1848267, 1848275]"/>
    <s v="[356144, 344098, 344099, 344111, 344112, 344119, 344133, 344068, 344069, 344080, 344092, 1618489, 1618494, 356434, 356537, 343887, 1618099, 1618100, 343885, 343886, 343879, 343880, 343875, 343866, 343874, 1618136, 343860, 343861, 343852, 1618156, 1618162, 343845, 343835, 343836, 343824, 343825, 343799, 343813, 343769, 1618211, 343770, 1618232, 343768, 1618246, 1618254, 1618261, 343764, 343763, 1618276, 1618284, 343909]"/>
    <s v="0.02197202759501541"/>
    <s v="[356143, 356144, 344098, 344099, 344111, 344112, 344119, 344133, 344068, 344069, 344080, 344092, 1618489, 1618494, 356434, 356537, 343887, 1618099, 1618100, 343885, 343886, 343879, 343880, 343875, 343866, 343874, 1618136, 343860, 343861, 343852, 1618156, 1618162, 343845, 343835, 343836, 343824, 343825, 343799, 343813, 343769, 1618211, 343770, 1618232, 343768, 1618246, 1618254, 1618261, 343764, 343763, 1618276, 1618284]"/>
    <s v="[0.003, 0.016, 0.015, 0.013, 0.012, 0.368, 0.896, 0.302, 0.003, 0.043, 0.069, 0.063, 0.11, 0.051, 0.061, 0.089, 0.09, 0.041, 0.035, 0.051, 0.018, 0.015, 0.003, 0.006, 0.016, 0.001, 0.009, 0.055, 0.033, 0.007, 0.021, 0.006, 0.007, 0.034, 0.006, 0.048, 0.028, 0.022, 0.02, 0.018, 0.102, 0.042, 0.068, 0.041, 0.022, 0.064, 0.024, 0.014, 0.02, 0.017, 0.036]"/>
    <s v="10366.276729583495"/>
    <s v="[0.003, 0.016, 0.015, 0.013, 0.012, 0.368, -0.896, 0.302, -0.003, -0.043, -0.069, -0.063, -0.11, -0.051, 0.061, 0.089, 0.09, 0.041, 0.035, 0.051, 0.018, 0.015, -0.003, -0.006, 0.016, 0.001, 0.009, 0.055, 0.033, 0.007, 0.021, -0.006, -0.007, -0.034, -0.006, 0.048, 0.028, 0.022, 0.02, 0.018, 0.102, 0.042, -0.068, 0.041, -0.022, -0.064, -0.024, -0.014, 0.02, 0.017, 0.036]"/>
  </r>
  <r>
    <x v="691"/>
    <x v="928"/>
    <x v="0"/>
    <n v="0"/>
    <m/>
    <n v="985655"/>
    <n v="945719"/>
    <s v="#FIELD!"/>
    <n v="343924"/>
    <s v="0.218"/>
    <s v="31.533978827100647"/>
    <s v="#FIELD!"/>
  </r>
  <r>
    <x v="691"/>
    <x v="929"/>
    <x v="0"/>
    <n v="0"/>
    <s v="LINESTRING (7.087998462508401 62.623171049875516, 7.087991930351672 62.623259563762105, 7.087786581747916 62.62364899594622)"/>
    <s v="[355665, 355666]"/>
    <s v="[343925, 343926]"/>
    <s v="0.04563943461368879"/>
    <s v="[343924, 343925]"/>
    <s v="[0.044, 0.046]"/>
    <s v="54.841497654782515"/>
    <s v="[0.044, 0.046]"/>
  </r>
  <r>
    <x v="691"/>
    <x v="930"/>
    <x v="0"/>
    <n v="0"/>
    <s v="LINESTRING (7.088423281385854 62.62327969931626, 7.088187471561199 62.62326303147107, 7.087998462508401 62.623171049875516)"/>
    <s v="[985650, 985651]"/>
    <s v="[945715, 343924]"/>
    <s v="0.31475787846898085"/>
    <s v="[945705, 945715]"/>
    <s v="[0.005, 0.59]"/>
    <s v="26.96875153288187"/>
    <s v="[-0.005, 0.59]"/>
  </r>
  <r>
    <x v="692"/>
    <x v="931"/>
    <x v="70"/>
    <s v="[1, 1, 0, 0, 0, 0, 0, 0]"/>
    <s v="LINESTRING (7.087786581747916 62.62364899594622, 7.087021728840382 62.62440325523388, 7.08674146596403 62.62468160061202, 7.081042380399289 62.6284039332155, 7.079678830999878 62.629004729855346, 7.078578757954115 62.62940504922949, 7.078439209065092 62.62945342239837, 7.0782811071886895 62.62950203965303, 7.074672736698842 62.630530750060025)"/>
    <s v="[984226, 984234, 984242, 984250, 984258, 984266, 984274, 984282]"/>
    <s v="[944558, 944567, 292913, 944581, 944587, 944592, 939230, 343936]"/>
    <s v="0.001103636430244957"/>
    <s v="[343926, 944558, 944567, 292913, 944581, 944587, 944592, 939230]"/>
    <s v="[0.034, 0.085, 0.036, 0.067, 0.043, 0.028, 0.028, 0.032]"/>
    <s v="1047.4452801492537"/>
    <s v="[-0.034, 0.085, 0.036, -0.067, -0.043, -0.028, -0.028, -0.032]"/>
  </r>
  <r>
    <x v="692"/>
    <x v="930"/>
    <x v="0"/>
    <n v="0"/>
    <s v="LINESTRING (7.088423281385854 62.62327969931626, 7.088318985983808 62.623321328894136, 7.087786581747916 62.62364899594622)"/>
    <s v="[2071819, 2071827]"/>
    <s v="[1798675, 343926]"/>
    <s v="0.20719041334185978"/>
    <s v="[945705, 1798675]"/>
    <s v="[1.265, 0.044]"/>
    <s v="53.08774748461717"/>
    <s v="[1.265, 0.044]"/>
  </r>
  <r>
    <x v="693"/>
    <x v="932"/>
    <x v="0"/>
    <n v="0"/>
    <s v="LINESTRING (7.074672736698842 62.630530750060025, 7.0739330013898325 62.63064685957972, 7.073825037684197 62.63065539013521)"/>
    <s v="[355674, 355675]"/>
    <s v="[343937, 343938]"/>
    <s v="0.040386723900761715"/>
    <s v="[343936, 343937]"/>
    <s v="[0.041, 0.036]"/>
    <s v="45.90035341382631"/>
    <s v="[0.041, 0.036]"/>
  </r>
  <r>
    <x v="693"/>
    <x v="933"/>
    <x v="0"/>
    <n v="0"/>
    <s v="LINESTRING (7.074672736698842 62.630530750060025, 7.074100357107665 62.63079218919419, 7.074037502508731 62.630841755898224)"/>
    <s v="[2072185, 2072193]"/>
    <s v="[1798860, 945732]"/>
    <s v="0.09603539042239573"/>
    <s v="[343936, 1798860]"/>
    <s v="[0.049, 0.402]"/>
    <s v="48.08716071269892"/>
    <s v="[0.049, 0.402]"/>
  </r>
  <r>
    <x v="694"/>
    <x v="933"/>
    <x v="0"/>
    <n v="0"/>
    <s v="LINESTRING (7.073825037684197 62.63065539013521, 7.073977459971336 62.63072638107694, 7.074037502508731 62.630841755898224)"/>
    <s v="[985720, 985733]"/>
    <s v="[945769, 945732]"/>
    <s v="0.11246088753404843"/>
    <s v="[343938, 945769]"/>
    <s v="[0.225, 0.019]"/>
    <s v="24.561494972394883"/>
    <s v="[0.225, 0.019]"/>
  </r>
  <r>
    <x v="694"/>
    <x v="849"/>
    <x v="0"/>
    <n v="0"/>
    <s v="LINESTRING (7.073544541729201 62.63097738887856, 7.073433353823713 62.63095215028853, 7.073330470501466 62.630880882921566, 7.073315402324549 62.630760774985, 7.073825037684197 62.63065539013521)"/>
    <s v="[985687, 985699, 985700, 985708]"/>
    <s v="[945747, 945755, 324316, 343938]"/>
    <s v="#FIELD!"/>
    <s v="[344137, 945747, 945755, 324316]"/>
    <s v="[0.038, 0.049, 0.04, 0.038]"/>
    <s v="60.88626081162003"/>
    <s v="[0.038, -0.049, -0.04, -0.038]"/>
  </r>
  <r>
    <x v="695"/>
    <x v="934"/>
    <x v="71"/>
    <n v="0"/>
    <s v="LINESTRING (9.457926093013816 60.89742999806718, 9.455767221432582 60.89828647976593, 9.454978972093786 60.89846298724047, 9.45318770546834 60.89906265809849, 9.448652248434454 60.90188553238935, 9.447091799860122 60.902928190690034, 9.444940632735266 60.90445319611279, 9.442850832297866 60.905720403934794, 9.442803059197844 60.90574729913809, 9.4411684896565 60.90719742071778, 9.439700257490005 60.908643707119474, 9.439533612507718 60.90878256545806, 9.438391796748423 60.909611396447595, 9.437575817849048 60.9100285055526, 9.433591975287507 60.91258501333803, 9.430503091659178 60.91455149065256, 9.428985775137862 60.9155585002821, 9.426297905490035 60.91804249990546, 9.426082859101834 60.91817480772787, 9.42494037348634 60.91874435396627, 9.423860038305184 60.919281847993645, 9.42350109065077 60.919474716184716, 9.42237288133158 60.920079128426316, 9.419841554532736 60.921489366027465, 9.419636812578464 60.921616917903364, 9.417759164543892 60.92276120465035, 9.41769712523217 60.92279725573664, 9.415688955596607 60.923968780821525, 9.41488483006019 60.924435542416944, 9.414120354418587 60.92488635322671, 9.413935254066818 60.92498940504179, 9.410999967121692 60.9265440094823, 9.410627028051655 60.92676882082462, 9.410061152040559 60.92711384052846, 9.405473465094284 60.92932163309845, 9.405410151197916 60.929332496165635, 9.403382391971018 60.92959092948345, 9.402315364278838 60.92991504005906, 9.396309767056147 60.931735082086774, 9.392159926154427 60.93291455281101, 9.391608816052093 60.93302480258131, 9.388341203209869 60.93395411503936, 9.384821347602255 60.93499423702877, 9.38019490398434 60.93649724080934, 9.379740863976311 60.93662819468702, 9.376587439381778 60.93742423378337, 9.365424755555335 60.94153182485595, 9.361785380143452 60.942948649550665, 9.361676876647675 60.94298514839553, 9.36127567406733 60.94312015304588, 9.36103346077419 60.943199625499936, 9.359115984017983 60.943830011530075, 9.3535031863854 60.946141751190105, 9.351307960813605 60.9467888022286, 9.351177449556761 60.94683829256235, 9.350354579880817 60.947208330680795, 9.350223626331779 60.9472711143029, 9.341882139593073 60.95027026293712, 9.341367546021356 60.9503922276683, 9.339800780987062 60.950875562692694, 9.337651455015273 60.951727770718904, 9.335690603838117 60.95276693082464, 9.335181350463506 60.95301644915291, 9.334426032103737 60.953320163328705, 9.334346591232078 60.95334899246823, 9.331793306143345 60.95449803498277, 9.331742384567782 60.954530703473736, 9.331053608529098 60.95495363152585, 9.32849682816554 60.9564700770642, 9.32308907685794 60.95886745336503, 9.32219349858183 60.959159427424105, 9.31851877732185 60.96167802208551, 9.316155523391675 60.962883932826244, 9.315211084349544 60.96349909312635, 9.31297888943694 60.96411556599871, 9.311843736656089 60.96464378018983, 9.310836764525963 60.96513020948414, 9.308040297040645 60.96575274199035, 9.30665684659795 60.96635690261832, 9.305900138087972 60.966599357177536, 9.303610921686074 60.967597950913245, 9.30279127196492 60.96835490584854, 9.298240249183467 60.97021707850529, 9.298127370251713 60.970219121077065, 9.298037323576615 60.97022128624166, 9.297721729078038 60.9702143034604, 9.293767671289924 60.97047154685375, 9.293416038270736 60.97057878470053, 9.29234380048892 60.970955125809034)"/>
    <s v="[1848276, 1848283, 235463, 235471, 235479, 235487, 235495, 235503, 235511, 235519, 235527, 235535, 235543, 235551, 235559, 235567, 235575, 235583, 235591, 235599, 235607, 265840, 265848, 265856, 265864, 265872, 265880, 265888, 265896, 265905, 265913, 265921, 265929, 265937, 265945, 265953, 265961, 265969, 265977, 265985, 265993, 266001, 266009, 266017, 266025, 266033, 266041, 266049, 266057, 266065, 266075, 266083, 266091, 266099, 266107, 266115, 266123, 266131, 266139, 266147, 266155, 266163, 266171, 266179, 266187, 266195, 266203, 266211, 266219, 266227, 266235, 266243, 266251, 266259, 266267, 266275, 266283, 266291, 266299, 266307, 266315, 266323, 266331, 266339, 266347, 266355, 1763604, 1763612]"/>
    <s v="[343695, 238622, 184204, 238628, 188181, 184410, 238646, 238654, 238662, 238670, 238675, 238680, 238685, 238694, 197434, 184615, 238713, 122675, 227006, 184201, 191406, 263525, 263532, 226812, 226833, 263551, 263558, 263566, 263571, 263577, 263581, 263587, 263597, 263603, 122850, 263615, 263620, 187969, 263634, 263641, 197499, 182057, 188140, 188131, 197515, 190277, 263676, 263682, 197497, 197998, 263698, 187962, 189983, 263712, 263722, 189994, 263732, 223326, 194973, 194971, 263748, 196806, 223264, 263764, 263771, 263777, 263784, 194956, 263795, 263802, 194945, 263814, 181251, 187956, 194924, 263831, 181702, 122117, 122136, 187952, 225590, 263862, 263866, 263870, 263874, 263879, 1558518, 1558508]"/>
    <s v="#FIELD!"/>
    <s v="[343979, 343695, 238622, 184204, 238628, 188181, 184410, 238646, 238654, 238662, 238670, 238675, 238680, 238685, 238694, 197434, 184615, 238713, 122675, 227006, 184201, 191406, 263525, 263532, 226812, 226833, 263551, 263558, 263566, 263571, 263577, 263581, 263587, 263597, 263603, 122850, 263615, 263620, 187969, 263634, 263641, 197499, 182057, 188140, 188131, 197515, 190277, 263676, 263682, 197497, 197998, 263698, 187962, 189983, 263712, 263722, 189994, 263732, 223326, 194973, 194971, 263748, 196806, 223264, 263764, 263771, 263777, 263784, 194956, 263795, 263802, 194945, 263814, 181251, 187956, 194924, 263831, 181702, 122117, 122136, 187952, 225590, 263862, 263866, 263870, 263874, 263879, 1558518]"/>
    <s v="[0.028, 0.194, 0.014, 0.003, 0.004, 0.008, 0.017, 0.052, 0.005, 0.021, 0.015, 0.029, 0.003, 0.009, 0.01, 0.019, 0.05, 0.031, 0.007, 0.021, 0.016, 0.055, 0.028, 0.022, 0.005, 0.066, 0.03, 0.005, 0.033, 0.04, 0.04, 0.026, 0.033, 0.012, 0.064, 0.077, 0.007, 0.026, 0.041, 0.017, 0.036, 0.001, 0.061, 0.004, 0.026, 0.031, 0.1, 0.14, 0.172, 0.199, 0.163, 0.022, 0.077, 0.085, 0.114, 0.117, 0.027, 0.058, 0.05, 0.043, 0.04, 0.048, 0.003, 0.019, 0.013, 0.002, 0.003, 0.003, 0.069, 0.076, 0.004, 0.022, 0.004, 0.064, 0.02, 0.018, 0.067, 0.012, 0.055, 0.028, 0.025, 0.002, 0.066, 0.068, 0.073, 0.042, 0.337, 0.023]"/>
    <s v="12455.155610659021"/>
    <s v="[0.028, -0.194, -0.014, -0.003, -0.004, 0.008, -0.017, -0.052, 0.005, -0.021, -0.015, -0.029, 0.003, 0.009, -0.01, 0.019, 0.05, 0.031, -0.007, 0.021, 0.016, -0.055, -0.028, -0.022, -0.005, 0.066, 0.03, -0.005, -0.033, -0.04, -0.04, -0.026, -0.033, 0.012, -0.064, -0.077, -0.007, -0.026, -0.041, -0.017, 0.036, -0.001, 0.061, -0.004, -0.026, 0.031, -0.1, -0.14, -0.172, -0.199, -0.163, 0.022, -0.077, 0.085, 0.114, 0.117, 0.027, -0.058, -0.05, -0.043, 0.04, 0.048, 0.003, -0.019, -0.013, 0.002, -0.003, 0.003, -0.069, -0.076, -0.004, -0.022, -0.004, -0.064, -0.02, -0.018, -0.067, -0.012, -0.055, -0.028, 0.025, 0.002, -0.066, -0.068, -0.073, -0.042, 0.337, 0.023]"/>
  </r>
  <r>
    <x v="696"/>
    <x v="850"/>
    <x v="0"/>
    <n v="0"/>
    <s v="LINESTRING (7.073973835612962 62.63091996964949, 7.073779128325197 62.63097240173496, 7.073544541729201 62.63097738887856)"/>
    <s v="[985678, 985686]"/>
    <s v="[945739, 344137]"/>
    <s v="#FIELD!"/>
    <s v="[945733, 945739]"/>
    <s v="[0.002, 0.072]"/>
    <s v="23.662331660700374"/>
    <s v="[-0.002, -0.072]"/>
  </r>
  <r>
    <x v="697"/>
    <x v="935"/>
    <x v="0"/>
    <n v="0"/>
    <m/>
    <n v="1423643"/>
    <n v="1298694"/>
    <s v="0.046"/>
    <n v="344359"/>
    <s v="0.046"/>
    <s v="17.401321657189406"/>
    <s v="0.046"/>
  </r>
  <r>
    <x v="697"/>
    <x v="936"/>
    <x v="0"/>
    <n v="0"/>
    <s v="LINESTRING (10.445140597601412 59.72598955597613, 10.445026184562066 59.7260048990427, 10.444271163813493 59.72603037686114, 10.442966676351416 59.72612272177065, 10.435384267140874 59.72737838689075, 10.433020880084616 59.72825478817147, 10.41962270951301 59.73532773252502, 10.418551548396097 59.73565787626339)"/>
    <s v="[355991, 355998, 355999, 356007, 356015, 356031, 356033]"/>
    <s v="[344360, 344366, 344367, 344373, 344380, 344393, 344396]"/>
    <s v="0.029527828586244517"/>
    <s v="[344359, 344360, 344366, 344367, 344373, 344380, 344393]"/>
    <s v="[0.008, 0.006, 0.003, 0.001, 0.07, 0.035, 0.089]"/>
    <s v="1922.248413269073"/>
    <s v="[-0.008, -0.006, -0.003, 0.001, 0.07, 0.035, 0.089]"/>
  </r>
  <r>
    <x v="697"/>
    <x v="937"/>
    <x v="0"/>
    <n v="0"/>
    <s v="LINESTRING (10.445114548070917 59.72614154274477, 10.44508261716405 59.72606218866254, 10.445140597601412 59.72598955597613)"/>
    <s v="[1423627, 1423635]"/>
    <s v="[1298685, 344359]"/>
    <s v="0.01449163948255162"/>
    <s v="[344397, 1298685]"/>
    <s v="[0.014, 0.015]"/>
    <s v="17.753080863501992"/>
    <s v="[0.014, 0.015]"/>
  </r>
  <r>
    <x v="698"/>
    <x v="938"/>
    <x v="0"/>
    <s v="[0, 1, 0]"/>
    <s v="LINESTRING (10.418551548396097 59.73565787626339, 10.41674081569046 59.73643213349667, 10.415238852329137 59.737455401547585, 10.41349305478542 59.73871058475694)"/>
    <s v="[1422778, 1422786, 1422794]"/>
    <s v="[1298133, 1298140, 1297863]"/>
    <s v="0.019682535760787365"/>
    <s v="[344396, 1298133, 1298140]"/>
    <s v="[0.083, 0.051, 0.074]"/>
    <s v="447.14168374364374"/>
    <s v="[-0.083, 0.051, 0.074]"/>
  </r>
  <r>
    <x v="698"/>
    <x v="937"/>
    <x v="0"/>
    <n v="0"/>
    <s v="LINESTRING (10.445114548070917 59.72614154274477, 10.444988752874531 59.72611794358619, 10.444274191142865 59.726081610926364, 10.442976830931629 59.726174176680395, 10.435438778551145 59.72742786152892, 10.433107514338296 59.728300130515635, 10.419675366723254 59.735381951851934, 10.418551548396097 59.73565787626339)"/>
    <s v="[356035, 356043, 356049, 356056, 356060, 356078, 356083]"/>
    <s v="[344398, 344411, 344417, 344424, 344427, 344445, 344396]"/>
    <s v="0.029963984423272617"/>
    <s v="[344397, 344398, 344411, 344417, 344424, 344427, 344445]"/>
    <s v="[0.002, 0.002, 0.001, 0.001, 0.064, 0.035, 0.109]"/>
    <s v="1918.0639851824126"/>
    <s v="[0.002, -0.002, -0.001, 0.001, 0.064, 0.035, 0.109]"/>
  </r>
  <r>
    <x v="699"/>
    <x v="939"/>
    <x v="0"/>
    <n v="0"/>
    <s v="LINESTRING (10.445617539203077 59.72603130835786, 10.445631737146348 59.72608396468724, 10.445590685976097 59.726149990800884, 10.445486001653157 59.72619941638225, 10.445114548070917 59.72614154274477)"/>
    <s v="[1423595, 1423603, 1423611, 1423619]"/>
    <s v="[1298675, 1298678, 1298680, 344397]"/>
    <s v="#FIELD!"/>
    <s v="[1298674, 1298675, 1298678, 1298680]"/>
    <s v="[0.011, 0.039, 0.06, 0.034]"/>
    <s v="45.83118834297452"/>
    <s v="[-0.011, -0.039, -0.06, -0.034]"/>
  </r>
  <r>
    <x v="700"/>
    <x v="940"/>
    <x v="72"/>
    <n v="0"/>
    <s v="LINESTRING (7.1778023032144755 62.73706643358164, 7.179279417240791 62.7371646389379, 7.179561708165154 62.73718631500706, 7.179865180332264 62.73721740719075)"/>
    <s v="[984508, 984509, 984510]"/>
    <s v="[944790, 944791, 344521]"/>
    <s v="0.019489050553136298"/>
    <s v="[344430, 944790, 944791]"/>
    <s v="[0.012, 0.033, 0.043]"/>
    <s v="107.00844205734047"/>
    <s v="[0.012, 0.033, 0.043]"/>
  </r>
  <r>
    <x v="700"/>
    <x v="941"/>
    <x v="0"/>
    <n v="0"/>
    <s v="LINESTRING (7.1750960982995 62.73687571528548, 7.175293494216895 62.736879511908434, 7.176484203575782 62.736938279157854, 7.1777294868521 62.73705277933703, 7.1778023032144755 62.73706643358164)"/>
    <s v="[654777, 1298149, 1298157, 1298165]"/>
    <s v="[646654, 1210115, 1210122, 344430]"/>
    <s v="0.007326493672463911"/>
    <s v="[646653, 646654, 1210115, 1210122]"/>
    <s v="[0.012, 0.014, 0.014, 0.214]"/>
    <s v="140.65662249002315"/>
    <s v="[0.012, 0.014, 0.014, -0.214]"/>
  </r>
  <r>
    <x v="700"/>
    <x v="942"/>
    <x v="0"/>
    <n v="0"/>
    <s v="LINESTRING (7.175050518235475 62.73692830211114, 7.1752811188259 62.73693381506763, 7.176468630307324 62.736988197651335, 7.177723928372395 62.73706656452048, 7.1778023032144755 62.73706643358164)"/>
    <s v="[654809, 356039, 356062, 356063]"/>
    <s v="[344405, 344406, 344429, 344430]"/>
    <s v="0.007413744248670818"/>
    <s v="[646677, 344405, 344406, 344429]"/>
    <s v="[0.047, 0.007, 0.017, 0.019]"/>
    <s v="141.85538497335153"/>
    <s v="[-0.047, 0.007, 0.017, 0.019]"/>
  </r>
  <r>
    <x v="701"/>
    <x v="943"/>
    <x v="0"/>
    <n v="0"/>
    <s v="LINESTRING (7.179865180332264 62.73721740719075, 7.1809182035029036 62.73751432835242, 7.181005075650754 62.73754976821938, 7.181103277639672 62.73759416314349, 7.181147425656752 62.73761412489501, 7.181594411364035 62.73804903332065, 7.181595719027222 62.73844212057046, 7.181587080783783 62.73846548905037, 7.181483350204614 62.73858388741429, 7.181435957126278 62.738626907616826)"/>
    <s v="[356155, 356163, 356171, 356179, 356187, 356195, 356203, 356211, 356219]"/>
    <s v="[328189, 344526, 344533, 344539, 344545, 344551, 344557, 344561, 344569]"/>
    <s v="0.06573090357842554"/>
    <s v="[344521, 328189, 344526, 344533, 344539, 344545, 344551, 344557, 344561]"/>
    <s v="[0.022, 0.071, 0.06, 0.066, 0.084, 0.093, 0.121, 0.084, 0.101]"/>
    <s v="200.22880070964672"/>
    <s v="[0.022, 0.071, 0.06, 0.066, 0.084, 0.093, 0.121, 0.084, 0.101]"/>
  </r>
  <r>
    <x v="701"/>
    <x v="944"/>
    <x v="0"/>
    <n v="0"/>
    <s v="LINESTRING (7.179865180332264 62.73721740719075, 7.181023266998723 62.73745671391596, 7.181132199296991 62.73749841566908, 7.181229369565136 62.73754705748883, 7.181271486658487 62.73756991971461, 7.181724356361362 62.73803418036254, 7.181725750133036 62.73845135009462, 7.181720785948634 62.738474220358775, 7.181697825281306 62.738610046178614, 7.181673025998946 62.738706791649015)"/>
    <s v="[1298262, 1298263, 1298279, 1298287, 1298295, 1298303, 1298311, 1298319, 1298327]"/>
    <s v="[328190, 1210212, 1159185, 1210237, 1210247, 1210257, 1210262, 1210271, 945782]"/>
    <s v="0.04948293630399353"/>
    <s v="[344521, 328190, 1210212, 1159185, 1210237, 1210247, 1210257, 1210262, 1210271]"/>
    <s v="[0.003, 0.046, 0.061, 0.053, 0.077, 0.093, 0.084, 0.096, 0.04]"/>
    <s v="217.2712524713569"/>
    <s v="[-0.003, 0.046, 0.061, 0.053, 0.077, 0.093, 0.084, 0.096, -0.04]"/>
  </r>
  <r>
    <x v="702"/>
    <x v="944"/>
    <x v="0"/>
    <n v="0"/>
    <s v="LINESTRING (7.181435957126278 62.738626907616826, 7.181592794625223 62.73865185191609, 7.181673025998946 62.738706791649015)"/>
    <s v="[985790, 985791]"/>
    <s v="[945819, 945782]"/>
    <s v="#FIELD!"/>
    <s v="[344569, 945819]"/>
    <s v="[0.327, 0.047]"/>
    <s v="15.88157682129401"/>
    <s v="[-0.327, 0.047]"/>
  </r>
  <r>
    <x v="702"/>
    <x v="945"/>
    <x v="0"/>
    <n v="0"/>
    <s v="LINESTRING (7.181537143259122 62.738819509357185, 7.1815043668347265 62.73882689743294, 7.181371221741033 62.738824631909075, 7.181243572232241 62.73876497038001, 7.181228647201703 62.738738694241704, 7.181259470806027 62.73868090254869, 7.181371963718568 62.73863116705536, 7.181435957126278 62.738626907616826)"/>
    <s v="[985749, 985750, 985757, 985765, 985773, 985781, 985783]"/>
    <s v="[945791, 945792, 327943, 324344, 945803, 945810, 344569]"/>
    <s v="#FIELD!"/>
    <s v="[344663, 945791, 945792, 327943, 324344, 945803, 945810]"/>
    <s v="[1.634, 0.009, 0.04, 0.047, 0.077, 0.068, 0.796]"/>
    <s v="39.260579908588035"/>
    <s v="[-1.634, 0.009, -0.04, -0.047, -0.077, -0.068, 0.796]"/>
  </r>
  <r>
    <x v="703"/>
    <x v="946"/>
    <x v="0"/>
    <n v="0"/>
    <s v="LINESTRING (7.181537143259122 62.738819509357185, 7.1816511206648155 62.73882837251325, 7.181708120271731 62.73883280015343, 7.182037354367301 62.738856611358315, 7.182663689000579 62.738917566828476)"/>
    <s v="[356331, 356339, 356347, 356355]"/>
    <s v="[344664, 344670, 344678, 344688]"/>
    <s v="#FIELD!"/>
    <s v="[344663, 344664, 344670, 344678]"/>
    <s v="[0.007, 0.011, 0.007, 0.004]"/>
    <s v="58.84774833537908"/>
    <s v="[0.007, -0.011, 0.007, -0.004]"/>
  </r>
  <r>
    <x v="703"/>
    <x v="947"/>
    <x v="0"/>
    <n v="0"/>
    <s v="LINESTRING (7.181676612605153 62.738722370440016, 7.181633177934577 62.738780385664924, 7.181537143259122 62.738819509357185)"/>
    <s v="[985739, 985744]"/>
    <s v="[945784, 344663]"/>
    <s v="0.321469543838328"/>
    <s v="[945783, 945784]"/>
    <s v="[0.077, 0.576]"/>
    <s v="13.424318883628228"/>
    <s v="[0.077, 0.576]"/>
  </r>
  <r>
    <x v="704"/>
    <x v="948"/>
    <x v="73"/>
    <n v="0"/>
    <s v="LINESTRING (7.182663689000579 62.738917566828476, 7.184935208411663 62.739295438511064, 7.186557760256689 62.73956861882946, 7.189811059984617 62.739725553574715, 7.190290320057347 62.73972334257579)"/>
    <s v="[1313137, 1313145, 1313167, 1313168]"/>
    <s v="[1221018, 1221026, 339980, 344790]"/>
    <s v="#FIELD!"/>
    <s v="[344688, 1221018, 1221026, 339980]"/>
    <s v="[0.023, 0.001, 0.037, 0.024]"/>
    <s v="405.273085139099"/>
    <s v="[-0.023, 0.001, -0.037, 0.024]"/>
  </r>
  <r>
    <x v="704"/>
    <x v="947"/>
    <x v="0"/>
    <n v="0"/>
    <s v="LINESTRING (7.181676612605153 62.738722370440016, 7.181754660957112 62.73873080124929, 7.181793675458051 62.7387350160952, 7.18209557947365 62.73879402734027, 7.182663689000579 62.738917566828476)"/>
    <s v="[1298415, 1298423, 1298431, 1298439]"/>
    <s v="[1210356, 1210362, 1210370, 344688]"/>
    <s v="0.07818445581390267"/>
    <s v="[945783, 1210356, 1210362, 1210370]"/>
    <s v="[0.384, 0.034, 0.015, 0.075]"/>
    <s v="55.36154960728082"/>
    <s v="[0.384, 0.034, 0.015, 0.075]"/>
  </r>
  <r>
    <x v="705"/>
    <x v="949"/>
    <x v="0"/>
    <n v="0"/>
    <s v="LINESTRING (7.190290320057347 62.73972334257579, 7.191211581310407 62.7397485804991, 7.191954271156171 62.73974880234984, 7.191998002418951 62.73974860325097, 7.1921142405305085 62.73974809019285, 7.19224938977643 62.73974815605372, 7.192440788972975 62.73974829829588, 7.1925633187709295 62.73974750490509, 7.193701909993748 62.73975148579064, 7.193994663226754 62.73975351921734, 7.194387845566087 62.7397550017341, 7.196206006651402 62.73975719157636, 7.196225563683321 62.739757264675326, 7.197737177782003 62.739759342309874, 7.197849333148511 62.73976041930709, 7.19791707142948 62.739759908125905, 7.198008776975855 62.73975931005168, 7.1981681174017975 62.73975866410823, 7.198220250750459 62.73975823757386, 7.198340609671276 62.73975665002443, 7.19841460926212 62.73975567619403, 7.200043859841296 62.73972697554895)"/>
    <s v="[356443, 356451, 356459, 356467, 356475, 356483, 356491, 356499, 356507, 356515, 356523, 356531, 356539, 356547, 356555, 356563, 356571, 356579, 356587, 356595, 356603]"/>
    <s v="[344791, 344798, 344806, 344817, 344828, 328297, 344841, 344850, 344860, 344870, 344878, 344886, 344895, 344904, 344918, 344929, 327245, 344946, 344957, 344968, 344977]"/>
    <s v="#FIELD!"/>
    <s v="[344790, 344791, 344798, 344806, 344817, 344828, 328297, 344841, 344850, 344860, 344870, 344878, 344886, 344895, 344904, 344918, 344929, 327245, 344946, 344957, 344968]"/>
    <s v="[0.046, 0.048, 0.055, 0.046, 0.05, 0.048, 0.047, 0.023, 0.024, 0.026, 0.024, 0.018, 0.018, 0.018, 0.019, 0.018, 0.018, 0.018, 0.018, 0.017, 0.02]"/>
    <s v="500.37694650786"/>
    <s v="[-0.046, -0.048, -0.055, -0.046, -0.05, -0.048, -0.047, -0.023, 0.024, 0.026, 0.024, 0.018, 0.018, 0.018, 0.019, 0.018, 0.018, 0.018, 0.018, 0.017, -0.02]"/>
  </r>
  <r>
    <x v="705"/>
    <x v="949"/>
    <x v="0"/>
    <n v="0"/>
    <s v="LINESTRING (7.190290320057347 62.73972334257579, 7.19121069911746 62.73969852630701, 7.19195269591223 62.739690542283284, 7.1919963707659065 62.73968988880912, 7.192134187275649 62.73968783877187, 7.192248603941722 62.739688848185, 7.192440746207939 62.73969004273229, 7.192562951827489 62.739688987566026, 7.193698507921228 62.73969549720887, 7.19399245084679 62.73969549446114, 7.194387186629918 62.73969682920811, 7.196212449910173 62.73970019218771, 7.196232098623899 62.73970021626386, 7.197749546666498 62.73969787303589, 7.1978227547335045 62.73969595285907, 7.197924342758468 62.73969733283526, 7.198015403594152 62.739698124606214, 7.198201900954637 62.73969804826856, 7.198343902008012 62.739695422711435, 7.198415682738163 62.73969695103781, 7.200043859841296 62.73972697554895)"/>
    <s v="[1295587, 1295595, 1295603, 1295611, 1295619, 1295627, 1295635, 1295643, 1295651, 1295659, 1295667, 1295675, 1295683, 1295691, 1295699, 1295707, 1295715, 1295723, 1295731, 1295739]"/>
    <s v="[1207986, 1207996, 1208002, 1159332, 1208015, 328292, 1208029, 1208038, 1208043, 1208050, 1208060, 1208068, 1208074, 1208079, 634597, 1208094, 327244, 1208106, 1208116, 344977]"/>
    <s v="#FIELD!"/>
    <s v="[344790, 1207986, 1207996, 1208002, 1159332, 1208015, 328292, 1208029, 1208038, 1208043, 1208050, 1208060, 1208068, 1208074, 1208079, 634597, 1208094, 327244, 1208106, 1208116]"/>
    <s v="[0.168, 0.0, 0.004, 0.003, 0.003, 0.003, 0.003, 0.005, 0.003, 0.003, 0.002, 0.003, 0.003, 0.003, 0.003, 0.003, 0.003, 0.003, 0.003, 0.14]"/>
    <s v="499.975735421275"/>
    <s v="[0.168, 0.0, 0.004, 0.003, 0.003, 0.003, 0.003, 0.005, 0.003, 0.003, 0.002, -0.003, -0.003, -0.003, -0.003, -0.003, -0.003, -0.003, -0.003, -0.14]"/>
  </r>
  <r>
    <x v="706"/>
    <x v="950"/>
    <x v="74"/>
    <n v="0"/>
    <s v="LINESTRING (7.200043859841296 62.73972697554895, 7.20074922999231 62.73974078665388, 7.20155911407952 62.739769563157196, 7.2042037017700915 62.74001314559953, 7.207050802611023 62.7402373482402, 7.209149210662848 62.74034126013482, 7.209168727364349 62.740341708171556, 7.211180289552173 62.7403829436628, 7.211746221914329 62.74039509416413, 7.214540716752588 62.7405137181925, 7.215583376343918 62.74058503263768, 7.215845060265692 62.74060408543112, 7.21736922097683 62.740711075632426)"/>
    <s v="[1313176, 1313183, 1313201, 1313202, 1313221, 1313229, 1313237, 1313238, 1313240, 1313248, 1313256, 1313264]"/>
    <s v="[1221049, 1221054, 288439, 1221065, 1221078, 1221083, 935105, 1221092, 231817, 1221098, 446867, 345153]"/>
    <s v="#FIELD!"/>
    <s v="[344977, 1221049, 1221054, 288439, 1221065, 1221078, 1221083, 935105, 1221092, 231817, 1221098, 446867]"/>
    <s v="[0.071, 0.015, 0.015, 0.005, 0.0, 0.005, 0.009, 0.001, 0.004, 0.007, 0.009, 0.015]"/>
    <s v="895.2042852833831"/>
    <s v="[-0.071, -0.015, -0.015, -0.005, -0.0, -0.005, -0.009, 0.001, 0.004, 0.007, -0.009, 0.015]"/>
  </r>
  <r>
    <x v="707"/>
    <x v="951"/>
    <x v="0"/>
    <n v="0"/>
    <s v="LINESTRING (7.21736922097683 62.740711075632426, 7.2182478461128605 62.74078875912707, 7.221044062605145 62.741014868817686, 7.22207222487652 62.741159170348176, 7.222184747105911 62.74117923471577, 7.222260713936671 62.74119290456784, 7.2222972593628345 62.74119829675272, 7.225403634835158 62.74168543724525, 7.225422130200879 62.74168833480298, 7.225728414869532 62.74171718772051)"/>
    <s v="[356756, 356764, 356772, 356788, 356796, 356804, 356812, 356820, 356828]"/>
    <s v="[345154, 345163, 345173, 345188, 327366, 345203, 345212, 345220, 345228]"/>
    <s v="0.007572025760465927"/>
    <s v="[345153, 345154, 345163, 345173, 345188, 327366, 345203, 345212, 345220]"/>
    <s v="[0.01, 0.008, 0.012, 0.014, 0.007, 0.025, 0.006, 0.016, 0.005]"/>
    <s v="443.8578113755006"/>
    <s v="[0.01, 0.008, 0.012, 0.014, 0.007, 0.025, 0.006, -0.016, -0.005]"/>
  </r>
  <r>
    <x v="707"/>
    <x v="951"/>
    <x v="0"/>
    <n v="0"/>
    <s v="LINESTRING (7.21736922097683 62.740711075632426, 7.218259922294487 62.74075311871198, 7.221064713846913 62.74095641460281, 7.222094997141318 62.74109797353302, 7.222203723432469 62.74111684286336, 7.22231355502402 62.74113451027917, 7.2223317355991385 62.74113688539162, 7.22542760185885 62.741651523311326, 7.225446080169721 62.74165441089322, 7.225728414869532 62.74171718772051)"/>
    <s v="[1295827, 1295835, 1295843, 1295859, 1295867, 1295875, 1295883, 1295891, 1295899]"/>
    <s v="[1208195, 1208201, 1208208, 1208222, 327365, 1208235, 1208239, 1208246, 345228]"/>
    <s v="0.007762660586947807"/>
    <s v="[345153, 1208195, 1208201, 1208208, 1208222, 327365, 1208235, 1208239, 1208246]"/>
    <s v="[0.206, 0.007, 0.004, 0.002, 0.008, 0.021, 0.008, 0.023, 0.209]"/>
    <s v="445.0620790092446"/>
    <s v="[0.206, -0.007, -0.004, -0.002, -0.008, 0.021, -0.008, -0.023, -0.209]"/>
  </r>
  <r>
    <x v="708"/>
    <x v="952"/>
    <x v="0"/>
    <n v="0"/>
    <s v="LINESTRING (7.225728414869532 62.74171718772051, 7.226468807668948 62.74183263107349, 7.228244093988201 62.742114383130755)"/>
    <s v="[1313279, 1313282]"/>
    <s v="[1221125, 345325]"/>
    <s v="#FIELD!"/>
    <s v="[345228, 1221125]"/>
    <s v="[0.137, 0.052]"/>
    <s v="136.2152879074315"/>
    <s v="[-0.137, 0.052]"/>
  </r>
  <r>
    <x v="709"/>
    <x v="953"/>
    <x v="0"/>
    <n v="0"/>
    <s v="LINESTRING (7.228244093988201 62.742114383130755, 7.23009814519378 62.742433060759325, 7.231014513101841 62.742579961884374, 7.231167256287885 62.74260592857599, 7.231271878679208 62.74262182782134, 7.231398345511184 62.74263934809173, 7.2316437101371465 62.742670348652204, 7.231661836050831 62.742672936014785, 7.23379051748455 62.743000438037434, 7.235142164578606 62.74319284563179)"/>
    <s v="[356924, 356932, 356940, 356948, 356956, 356964, 356973, 356981, 356989]"/>
    <s v="[345326, 345335, 345340, 345348, 325851, 345360, 345365, 345371, 345378]"/>
    <s v="0.001650745486030566"/>
    <s v="[345325, 345326, 345335, 345340, 345348, 325851, 345360, 345365, 345371]"/>
    <s v="[0.003, 0.002, 0.001, 0.006, 0.004, 0.005, 0.013, 0.007, 0.005]"/>
    <s v="373.48511878167074"/>
    <s v="[-0.003, -0.002, -0.001, -0.006, -0.004, -0.005, -0.013, 0.007, 0.005]"/>
  </r>
  <r>
    <x v="709"/>
    <x v="953"/>
    <x v="0"/>
    <n v="0"/>
    <s v="LINESTRING (7.228244093988201 62.742114383130755, 7.230129607480561 62.74237041556493, 7.231043132377337 62.74251102208169, 7.231198376813538 62.74253169542483, 7.231335684501758 62.742548248594574, 7.231439694625062 62.74256333759766, 7.231685543669759 62.74259711737602, 7.231708884915745 62.74260081599432, 7.2338267750706535 62.742960041367176, 7.235142164578606 62.74319284563179)"/>
    <s v="[1295995, 1296003, 1296011, 1296019, 1296027, 1296035, 1296043, 1296051, 1296059]"/>
    <s v="[1208344, 1208350, 1208356, 1208363, 325850, 1208373, 1208381, 1208390, 345378]"/>
    <s v="0.00199971615564744"/>
    <s v="[345325, 1208344, 1208350, 1208356, 1208363, 325850, 1208373, 1208381, 1208390]"/>
    <s v="[0.006, 0.004, 0.006, 0.005, 0.006, 0.005, 0.008, 0.001, 0.009]"/>
    <s v="373.5342358924701"/>
    <s v="[0.006, -0.004, -0.006, -0.005, -0.006, -0.005, -0.008, -0.001, 0.009]"/>
  </r>
  <r>
    <x v="710"/>
    <x v="954"/>
    <x v="0"/>
    <n v="0"/>
    <s v="LINESTRING (7.235142164578606 62.74319284563179, 7.235850048866371 62.74330184471474, 7.238678221678187 62.74374747015391)"/>
    <s v="[1313293, 1313294]"/>
    <s v="[1221136, 1115691]"/>
    <s v="0.02021306780807605"/>
    <s v="[345378, 1221136]"/>
    <s v="[0.035, 0.034]"/>
    <s v="191.3222188854688"/>
    <s v="[-0.035, 0.034]"/>
  </r>
  <r>
    <x v="711"/>
    <x v="955"/>
    <x v="0"/>
    <n v="0"/>
    <s v="LINESTRING (10.46423489475599 63.419773131988855, 10.464209634883305 63.419824930291284, 10.464528282692827 63.42010274081463, 10.467153805621509 63.421506861633766, 10.469155220519244 63.42244261128337, 10.469279354052384 63.42252457289165, 10.469289693670778 63.422531402116974)"/>
    <s v="[357063, 357071, 572198, 572213, 626262, 626270]"/>
    <s v="[345442, 345451, 579817, 579827, 622902, 621565]"/>
    <s v="#FIELD!"/>
    <s v="[345441, 345442, 345451, 579817, 579827, 622902]"/>
    <s v="[0.039, 0.025, 0.033, 0.032, 0.152, 2.344]"/>
    <s v="403.09171446340275"/>
    <s v="[-0.039, -0.025, -0.033, -0.032, 0.152, -2.344]"/>
  </r>
  <r>
    <x v="711"/>
    <x v="956"/>
    <x v="0"/>
    <n v="0"/>
    <s v="LINESTRING (10.463908506370322 63.419640559784824, 10.464118577024038 63.419604077734334, 10.464230532062185 63.41962831739276, 10.464287540492322 63.41966535888936, 10.464298977443267 63.4196827346693, 10.46423489475599 63.419773131988855)"/>
    <s v="[357120, 357121, 357128, 357136, 357103]"/>
    <s v="[345507, 345508, 345519, 345488, 345441]"/>
    <s v="#FIELD!"/>
    <s v="[345478, 345507, 345508, 345519, 345488]"/>
    <s v="[0.031, 0.005, 0.024, 0.017, 0.041]"/>
    <s v="35.831334676121195"/>
    <s v="[0.031, -0.005, -0.024, -0.017, -0.041]"/>
  </r>
  <r>
    <x v="712"/>
    <x v="957"/>
    <x v="0"/>
    <n v="0"/>
    <s v="LINESTRING (10.459504416296266 63.41808150543758, 10.459707694882368 63.41814102508576, 10.46215408971992 63.41910884656091, 10.463690695974933 63.419634543621235, 10.463814652249551 63.41964521906683, 10.463908506370322 63.419640559784824)"/>
    <s v="[626206, 572174, 357079, 357087, 357095]"/>
    <s v="[579798, 345460, 345461, 345467, 345478]"/>
    <s v="#FIELD!"/>
    <s v="[621546, 579798, 345460, 345461, 345467]"/>
    <s v="[0.021, 0.015, 0.011, 0.003, 0.028]"/>
    <s v="283.12063910208883"/>
    <s v="[-0.021, -0.015, -0.011, 0.003, 0.028]"/>
  </r>
  <r>
    <x v="713"/>
    <x v="958"/>
    <x v="75"/>
    <n v="0"/>
    <s v="LINESTRING (7.267909332350908 62.74888080700154, 7.546122095000506 62.79572554987923)"/>
    <m/>
    <m/>
    <s v="0.0"/>
    <m/>
    <n v="0"/>
    <s v="20545.3820902328"/>
    <n v="0"/>
  </r>
  <r>
    <x v="713"/>
    <x v="959"/>
    <x v="0"/>
    <s v="[0, 0, 0, 1, 1, 0, 0, 0, 0, 0, 0, 0, 0]"/>
    <s v="LINESTRING (7.25919373823189 62.747822847893936, 7.259290040800228 62.7478507163869, 7.26015480293265 62.748001312376154, 7.260477188453724 62.7480363731377, 7.261024524175444 62.748095770551025, 7.26108366970829 62.74810215130314, 7.262081760754863 62.74820781084829, 7.264527181721087 62.74847452022308, 7.265953793872059 62.748629677444576, 7.266185814708591 62.74865595873266, 7.266400619566317 62.74868103388758, 7.266442180030958 62.748685373984856, 7.267350041187984 62.748787199297716, 7.267909332350908 62.74888080700154)"/>
    <s v="[1597309, 1597310, 1296331, 1296339, 1296347, 1296355, 1296363, 1296371, 1296379, 1296387, 1296395, 1296403, 1296411]"/>
    <s v="[1435287, 1208609, 1208610, 1208616, 1208622, 1208628, 1208633, 1208637, 327824, 1208646, 1208650, 1208654, 345690]"/>
    <s v="0.008203656346905832"/>
    <s v="[1435166, 1435287, 1208609, 1208610, 1208616, 1208622, 1208628, 1208633, 1208637, 327824, 1208646, 1208650, 1208654]"/>
    <s v="[0.001, 0.006, 0.01, 0.01, 0.016, 0.009, 0.007, 0.018, 0.021, 0.016, 0.039, 0.019, 0.045]"/>
    <s v="462.65406776055363"/>
    <s v="[0.001, -0.006, -0.01, -0.01, -0.016, -0.009, 0.007, 0.018, 0.021, 0.016, 0.039, 0.019, 0.045]"/>
  </r>
  <r>
    <x v="713"/>
    <x v="960"/>
    <x v="0"/>
    <s v="[0, 0, 0, 1, 0, 0, 0, 0, 0, 0, 0, 0]"/>
    <s v="LINESTRING (7.2591062052141435 62.748014541991935, 7.259214393482723 62.748008138512404, 7.260123792014132 62.74805664176011, 7.260387836474419 62.7480871257253, 7.260998352310712 62.74815253219832, 7.262050084339412 62.748270385733406, 7.264496042305087 62.748538587024086, 7.265923131153723 62.74869441151101, 7.266155171505915 62.74872091950059, 7.266375360337788 62.7487453542878, 7.266416801198022 62.748749326824566, 7.267324652886751 62.74883833823286, 7.267909332350908 62.74888080700154)"/>
    <s v="[1597353, 1597354, 357221, 357229, 357237, 357245, 357253, 357261, 357269, 357277, 357285, 357294]"/>
    <s v="[1435317, 345624, 345625, 345632, 345640, 345648, 345658, 327825, 345673, 345678, 345683, 345690]"/>
    <s v="0.006769170707197805"/>
    <s v="[1435176, 1435317, 345624, 345625, 345632, 345640, 345648, 345658, 327825, 345673, 345678, 345683]"/>
    <s v="[0.015, 0.023, 0.006, 0.007, 0.006, 0.011, 0.02, 0.026, 0.028, 0.004, 0.023, 0.009]"/>
    <s v="461.81232310244496"/>
    <s v="[-0.015, -0.023, -0.006, -0.007, -0.006, 0.011, 0.02, 0.026, 0.028, 0.004, 0.023, 0.009]"/>
  </r>
  <r>
    <x v="714"/>
    <x v="961"/>
    <x v="0"/>
    <n v="0"/>
    <s v="LINESTRING (7.998370348983225 63.012148009229044, 7.999634314158578 63.01199374684377, 8.00075733187651 63.01177934999207, 8.000925730796553 63.01174318802476, 8.000999268737091 63.011725884111456)"/>
    <s v="[357326, 357334, 357342, 1254998]"/>
    <s v="[345724, 345735, 345740, 1173462]"/>
    <s v="0.09644629768229487"/>
    <s v="[345723, 345724, 345735, 345740]"/>
    <s v="[0.063, 0.056, 0.109, 1.195]"/>
    <s v="142.18346187252544"/>
    <s v="[0.063, 0.056, 0.109, 1.195]"/>
  </r>
  <r>
    <x v="714"/>
    <x v="962"/>
    <x v="0"/>
    <n v="0"/>
    <s v="LINESTRING (7.998370348983225 63.012148009229044, 7.999576209026239 63.011924128573334, 8.00068627584875 63.01170682563106, 8.000834409667657 63.0116779590687, 8.000996416033379 63.01164288556832)"/>
    <s v="[1296739, 1296747, 1296755, 1254991]"/>
    <s v="[1208899, 1208904, 1173489, 1173457]"/>
    <s v="0.09446025246792636"/>
    <s v="[345723, 1208899, 1208904, 1173489]"/>
    <s v="[0.103, 0.087, 0.084, 0.092]"/>
    <s v="144.7424469518317"/>
    <s v="[0.103, 0.087, 0.084, 0.092]"/>
  </r>
  <r>
    <x v="714"/>
    <x v="963"/>
    <x v="76"/>
    <s v="[0, 0, 0, 0, 0, 1, 0, 0, 0, 0, 1, 0, 0, 0, 1, 1, 1, 0, 0, 1, 0, 0, 0, 0, 0, 0, 0, 1, 0, 0, 0, 0, 0, 0, 0, 0, 0, 0, 0, 0, 0, 0, 1, 0]"/>
    <s v="LINESTRING (7.7880812904613625 62.975442135813765, 7.788289755882469 62.97514959870858, 7.788633618288448 62.974731196956846, 7.788754878171045 62.974615374134316, 7.79055500082464 62.973731757587146, 7.807974393294091 62.97148083093613, 7.808175441960653 62.971437011728774, 7.816272253758736 62.96981342976505, 7.816407364059243 62.969815436855974, 7.816519052524839 62.96981624712468, 7.8569399401485835 62.97623820728516, 7.857260503250543 62.976256293008234, 7.8584401239983865 62.976349564656715, 7.869486509486725 62.9819935877578, 7.869291145772571 62.98310984256325, 7.874472921000867 62.98711489304026, 7.875039406426065 62.98739271057418, 7.880435737910472 62.98932389310981, 7.8825158102537936 62.99012014113857, 7.882791444507452 62.9903159003303, 7.882850058279756 62.990365389899665, 7.90203626971522 62.99230227659439, 7.90363946430682 62.99208331770489, 7.922668078704858 62.99527262256995, 7.945435590155981 63.00002731978539, 7.945519663790661 63.00005785981428, 7.945578640279169 63.000079532563454, 7.946800854545552 63.000576571260865, 7.947190656926355 63.000756593328774, 7.957677422482457 63.00551921730349, 7.958009213640858 63.005617506732506, 7.962999495322658 63.00842606573411, 7.963522064394896 63.008790987931754, 7.96447244307451 63.00934037888077, 7.964612404154314 63.00941157269024, 7.968469817012731 63.01066442272753, 7.970436677080551 63.01097665807214, 7.97060027732491 63.01099677263917, 7.970718313298886 63.01101129422392, 7.9746656495185535 63.011476886529465, 7.974808900858499 63.01149305954643, 7.974904016218458 63.01150352172498, 7.982841529163726 63.01276332714905, 7.990925342524177 63.01209486933513, 7.998370348983225 63.012148009229044)"/>
    <s v="[973856, 973857, 973865, 973866, 1315358, 1315359, 1315365, 1315374, 1315381, 1315389, 1315390, 1315397, 1315405, 1315431, 1315432, 1315433, 1315434, 1315442, 1315472, 1315480, 1315488, 1315496, 1315504, 1315512, 1315541, 1315576, 1315581, 1315596, 1324666, 1324681, 1324692, 1324707, 1324708, 1324709, 1324716, 1324717, 1324723, 1324726, 1324743, 1324757, 1324765, 1324773, 1324783, 1324796]"/>
    <s v="[936220, 936221, 936228, 936229, 1222987, 1222988, 1222995, 1223003, 1223002, 1223013, 1223014, 1223023, 1223032, 1223061, 1223062, 1223063, 1223064, 1223073, 1223102, 1223108, 1223116, 1223121, 1223128, 1159120, 1223166, 1223198, 1223202, 1223216, 1230883, 736466, 443478, 1230918, 1230919, 1230920, 1230925, 1230926, 1230931, 1210322, 1230947, 1230954, 1230964, 1230968, 1230978, 345723]"/>
    <s v="0.0008868474658369848"/>
    <s v="[936216, 936220, 936221, 936228, 936229, 1222987, 1222988, 1222995, 1223003, 1223002, 1223013, 1223014, 1223023, 1223032, 1223061, 1223062, 1223063, 1223064, 1223073, 1223102, 1223108, 1223116, 1223121, 1223128, 1159120, 1223166, 1223198, 1223202, 1223216, 1230883, 736466, 443478, 1230918, 1230919, 1230920, 1230925, 1230926, 1230931, 1210322, 1230947, 1230954, 1230964, 1230968, 1230978]"/>
    <s v="[0.03, 0.035, 0.043, 0.115, 0.063, 0.092, 0.06, 0.015, 0.038, 0.019, 0.077, 0.076, 0.007, 0.033, 0.013, 0.0, 0.006, 0.087, 0.028, 0.038, 0.008, 0.058, 0.004, 0.027, 0.055, 0.045, 0.023, 0.015, 0.008, 0.043, 0.028, 0.054, 0.106, 0.153, 0.07, 0.042, 0.051, 0.015, 0.01, 0.003, 0.001, 0.026, 0.013, 0.04]"/>
    <s v="12914.417476042585"/>
    <s v="[0.03, 0.035, 0.043, 0.115, 0.063, -0.092, -0.06, -0.015, -0.038, -0.019, -0.077, -0.076, -0.007, -0.033, -0.013, 0.0, 0.006, 0.087, 0.028, 0.038, -0.008, 0.058, 0.004, 0.027, 0.055, 0.045, 0.023, 0.015, 0.008, -0.043, -0.028, -0.054, -0.106, -0.153, -0.07, -0.042, -0.051, 0.015, 0.01, -0.003, 0.001, -0.026, 0.013, 0.04]"/>
  </r>
  <r>
    <x v="715"/>
    <x v="964"/>
    <x v="77"/>
    <s v="[0, 0, 0, 0, 0, 0, 0, 0, 0, 0, 0, 0, 0, 0, 0, 0, 0, 0, 0, 0, 0, 0, 0, 0, 0, 0, 0, 0, 0, 0, 0, 0, 0, 0, 0, 0, 0, 0, 0, 0, 0, 0, 0, 0, 0, 0, 0, 0, 0, 0, 0, 0, 0, 0, 0, 0, 0, 0, 0, 0, 0, 0, 0, 0, 0, 0, 0, 0, 0, 0, 0, 0, 0, 0, 0, 0, 0, 0, 0, 0, 0, 0, 0, 0, 0, 0, 0, 0, 0, 0, 0, 0, 0, 0, 0, 0, 0, 0, 0, 0, 0, 0, 0, 0, 0, 0, 0, 0, 0, 0, 0, 0, 0, 0, 1, 0, 0, 0, 0, 0, 1, 0, 0, 0, 0, 0, 1, 0, 0, 0, 1, 0, 0, 0, 0, 0, 0, 0, 0]"/>
    <s v="LINESTRING (8.00129102394081 63.01199658504202, 8.001387862645949 63.01214380871035, 8.00141970027181 63.01219713738, 8.001455638639676 63.01226384077406, 8.001520168271588 63.012376346171, 8.001560388196744 63.01244644464563, 8.00157984557539 63.01247876595801, 8.002938788126396 63.01408753673715, 8.003073510285889 63.014765531221904, 8.003052940240647 63.01507898694015, 8.003060116813502 63.015175037415695, 8.00316533757399 63.015497457799654, 8.007214874722921 63.01759889145123, 8.007329784084119 63.01763506851078, 8.008143895755712 63.01798227353636, 8.008749525083854 63.01837798931224, 8.011646062254393 63.019549829100264, 8.012912174190216 63.02015663255531, 8.0136325138585 63.02145587552896, 8.013652686660706 63.021487526808464, 8.014195150460965 63.022070653769084, 8.014947393714468 63.02271405327035, 8.015541157839401 63.02317822496815, 8.01644458020658 63.023744084252925, 8.017699781842643 63.02443235507681, 8.018528487555749 63.024942676698714, 8.023650081491821 63.02879569308918, 8.023996635953527 63.02929856242503, 8.027014577009313 63.03046061229826, 8.029796723461777 63.031732195366246, 8.030810886175782 63.032330448258, 8.031488847521208 63.03272727887983, 8.032128577860748 63.03337277646674, 8.032221773420572 63.033553721644154, 8.032660012286673 63.034387111474224, 8.033343145287258 63.034816638967385, 8.040545684994338 63.035469887328, 8.041589646547406 63.03630563053252, 8.042249776025978 63.036867188846706, 8.043652718736395 63.0382477018637, 8.045274513244703 63.03911601424999, 8.045379040536323 63.039164064899204, 8.045673168854014 63.03934535133037, 8.046075707259318 63.03960742098998, 8.046913328971122 63.040411529205834, 8.047919114535805 63.04255888062228, 8.048643684077815 63.042722092841736, 8.048876779965463 63.042754830206, 8.049480715057886 63.04280093840867, 8.052003343922172 63.042884542557, 8.056258493787551 63.043470475198575, 8.060423906136574 63.044352481367554, 8.063483511221547 63.04482240201464, 8.065297873309156 63.0448724896197, 8.069000966375413 63.04534763807855, 8.071662574774246 63.0459960277541, 8.077579667738073 63.04816865778179, 8.078341201650693 63.04840574279913, 8.086365781960225 63.04961590278675, 8.092478902578607 63.050684591062215, 8.093604799605954 63.05080430622538, 8.094326317951655 63.05080376625897, 8.09592863506923 63.05077600838907, 8.099818875807763 63.050991079349735, 8.102544079176159 63.05042567958344, 8.102684812722362 63.05041759470747, 8.103586471961007 63.05050561356465, 8.110814470391183 63.05158224892272, 8.110993795777027 63.05160890603527, 8.113611209234994 63.05200241716654, 8.117854265037318 63.05198539316182, 8.11942896941933 63.05189168755705, 8.121052914157872 63.05189807572644, 8.122163287266309 63.05200084478507, 8.122388861176027 63.05205600933221, 8.122532339104591 63.05209828941263, 8.124180669123286 63.052860495312395, 8.124269442858692 63.0529107770288, 8.124934346867489 63.05318878444232, 8.17660073541605 63.05943007269409, 8.2273199653394 63.06834793432413, 8.2276185391221 63.068383280217084, 8.227910376106925 63.0684108847119, 8.228018018296854 63.06841955926654, 8.228552224593855 63.06842943748982, 8.228780813272845 63.06842571328889, 8.2301868433445 63.06829920133084, 8.230404454608573 63.06826817167439, 8.232192438753438 63.06809719315599, 8.233277292099395 63.068226755073646, 8.235653636520544 63.06874335168968, 8.236488766605582 63.06891740856095, 8.237319826429152 63.06908944446282, 8.239285501489238 63.069489643747964, 8.240795676172736 63.06980112271427, 8.240850686940837 63.06981243789704, 8.243689577459042 63.070396233883805, 8.24471833753117 63.0706103537523, 8.250947110846411 63.07180179391236, 8.251600290436889 63.0718534408809, 8.253899019713485 63.071973631343866, 8.255651347716098 63.07206012443306, 8.26068548394782 63.07227570409594, 8.261666771612761 63.07231096860068, 8.264884144136277 63.07243090701617, 8.265506419315878 63.072454778442975, 8.267114988119776 63.072504964944706, 8.272694860476495 63.072190371791386, 8.277073155138867 63.07196494861391, 8.281248504199104 63.07175489537971, 8.283326819106685 63.07169891561524, 8.283882086904521 63.071734655081414, 8.296955669066449 63.073081289796455, 8.298664694708094 63.07327034072412, 8.299177268728775 63.07338276103181, 8.299274430135382 63.07341035611038, 8.30409721205783 63.07373399084887, 8.305557511823759 63.0738212131587, 8.311857576592034 63.07520465427064, 8.319985046574034 63.07618044014868, 8.322138002821365 63.07674430867528, 8.3222761160052 63.07679788561446, 8.328200072301213 63.07884267762175, 8.329313554816673 63.078986314662814, 8.331983548195925 63.07956756036444, 8.333551723000413 63.08006905991636, 8.338251742211991 63.08128775344092, 8.338393233442194 63.081338949128536, 8.347211136701555 63.08403299651475, 8.348524998277242 63.08448456544727, 8.348723006490717 63.084615017201955, 8.349044874187248 63.084939900354314, 8.349150316180294 63.08599601851971, 8.350166470152148 63.08705224981452, 8.35056086956551 63.087195853846744, 8.350977273809313 63.08731036022448, 8.352377492179093 63.087648368815984, 8.352912428476788 63.08779873855777, 8.353267494085955 63.087908050659244, 8.353433005144517 63.0879621626898)"/>
    <s v="[1324816, 1324827, 1324844, 1324856, 1324879, 1324887, 1324890, 1324891, 1324892, 1324899, 1324902, 1324903, 1324914, 1324922, 1324936, 1324944, 1324952, 1324954, 1324955, 1324957, 1324972, 1324990, 1325006, 1325034, 1325040, 1325041, 1325048, 1325056, 1325074, 1325094, 1325095, 1325096, 1325103, 1325104, 1325105, 1325111, 1325127, 1325130, 1325131, 1325132, 1325140, 1325148, 1325156, 1325157, 1325167, 1325175, 1325183, 1325205, 1325213, 1325214, 1325223, 1325237, 1325238, 1325245, 1325254, 1325255, 1325258, 1325266, 984512, 984531, 984532, 984538, 984565, 984573, 984574, 984609, 984610, 984611, 984619, 984623, 984639, 984649, 984657, 984664, 984677, 984683, 984696, 984703, 984711, 984719, 1325359, 1325364, 1325381, 1325402, 1325403, 1325422, 1325435, 1325459, 1325465, 1325466, 1325473, 1325474, 1325481, 1325489, 1325497, 1325498, 1325513, 1325532, 1325538, 1325554, 1325557, 1325565, 1325573, 1325580, 1325588, 1325596, 1325604, 1325605, 1325610, 1325611, 1325642, 1325643, 1325658, 1325661, 1325697, 1325710, 1325740, 1325750, 1325751, 1325763, 1325764, 1325771, 1325779, 1325787, 1325804, 1325812, 1325834, 1325859, 1325867, 1325877, 1325893, 1325901, 1325909, 1325910, 1325918, 1325926, 1325933, 1325941, 1325948]"/>
    <s v="[1223033, 1231011, 1231027, 1231038, 1231057, 1231063, 1046486, 1046487, 453638, 926166, 1231074, 1231075, 1231086, 1231095, 1231106, 443896, 1231122, 1231123, 445257, 445234, 1231135, 295641, 1231166, 1231193, 1231198, 445258, 445265, 1231208, 1231226, 295521, 445280, 1231243, 1231252, 1231253, 1231254, 1231261, 1231276, 1231279, 1231280, 1231281, 1231291, 1231299, 1231308, 444377, 1231317, 458952, 1231328, 1231350, 458934, 458944, 1231364, 457651, 1231378, 1231385, 1231394, 1231395, 941620, 944794, 944795, 323868, 323893, 944817, 944837, 944845, 323885, 323876, 944874, 944875, 944880, 944883, 944896, 944905, 295980, 944917, 944928, 944936, 944949, 944955, 944964, 944970, 291887, 1231481, 1231494, 1231509, 1231510, 1231531, 1231542, 1208830, 1231568, 1231569, 1231573, 1174979, 319282, 319347, 1231590, 1174827, 1231599, 1208474, 1231616, 1231626, 736724, 736478, 1231636, 736359, 736464, 1231649, 1231655, 1231656, 639083, 1231662, 1231688, 1231689, 1174958, 1231701, 1231726, 320117, 1231756, 652958, 1231765, 1231774, 1231775, 929195, 1035644, 1231796, 321514, 1231814, 1231835, 1231864, 1231874, 1231887, 1231899, 942167, 1231912, 1231913, 1231923, 989878, 1231934, 1231943, 345756]"/>
    <s v="0.00013375944940564066"/>
    <s v="[345748, 1223033, 1231011, 1231027, 1231038, 1231057, 1231063, 1046486, 1046487, 453638, 926166, 1231074, 1231075, 1231086, 1231095, 1231106, 443896, 1231122, 1231123, 445257, 445234, 1231135, 295641, 1231166, 1231193, 1231198, 445258, 445265, 1231208, 1231226, 295521, 445280, 1231243, 1231252, 1231253, 1231254, 1231261, 1231276, 1231279, 1231280, 1231281, 1231291, 1231299, 1231308, 444377, 1231317, 458952, 1231328, 1231350, 458934, 458944, 1231364, 457651, 1231378, 1231385, 1231394, 1231395, 941620, 944794, 944795, 323868, 323893, 944817, 944837, 944845, 323885, 323876, 944874, 944875, 944880, 944883, 944896, 944905, 295980, 944917, 944928, 944936, 944949, 944955, 944964, 944970, 291887, 1231481, 1231494, 1231509, 1231510, 1231531, 1231542, 1208830, 1231568, 1231569, 1231573, 1174979, 319282, 319347, 1231590, 1174827, 1231599, 1208474, 1231616, 1231626, 736724, 736478, 1231636, 736359, 736464, 1231649, 1231655, 1231656, 639083, 1231662, 1231688, 1231689, 1174958, 1231701, 1231726, 320117, 1231756, 652958, 1231765, 1231774, 1231775, 929195, 1035644, 1231796, 321514, 1231814, 1231835, 1231864, 1231874, 1231887, 1231899, 942167, 1231912, 1231913, 1231923, 989878, 1231934, 1231943]"/>
    <s v="[0.014, 0.043, 0.025, 0.039, 0.032, 0.024, 0.005, 0.044, 0.093, 0.093, 0.074, 0.012, 0.086, 0.061, 0.023, 0.041, 0.039, 0.059, 0.047, 0.034, 0.003, 0.026, 0.041, 0.025, 0.02, 0.012, 0.034, 0.023, 0.024, 0.008, 0.005, 0.002, 0.004, 0.036, 0.074, 0.014, 0.02, 0.004, 0.064, 0.034, 0.014, 0.014, 0.012, 0.021, 0.025, 0.042, 0.046, 0.046, 0.035, 0.009, 0.024, 0.025, 0.021, 0.014, 0.012, 0.037, 0.063, 0.001, 0.046, 0.1, 0.015, 0.031, 0.111, 0.171, 0.026, 0.035, 0.011, 0.033, 0.049, 0.059, 0.082, 0.081, 0.083, 0.078, 0.072, 0.064, 0.063, 0.028, inf, inf, 0.057, 0.06, 0.061, 0.05, 0.046, 0.008, 0.002, 0.012, 0.059, 0.052, 0.04, 0.035, 0.033, 0.028, 0.043, 0.045, 0.039, 0.021, 0.005, 0.012, 0.02, 0.026, 0.046, 0.036, 0.063, 0.063, 0.035, 0.019, 0.001, 0.012, 0.004, 0.002, 0.024, 0.011, 0.006, 0.024, 0.007, 0.001, 0.017, 0.032, 0.01, 0.019, 0.031, 0.005, 0.046, 0.002, 0.011, 0.007, 0.025, 0.028, 0.026, 0.023, 0.074, 0.056, 0.038, 0.034, 0.071, 0.076, 0.072]"/>
    <s v="15871.70985129375"/>
    <s v="[0.014, -0.043, -0.025, -0.039, -0.032, -0.024, -0.005, -0.044, -0.093, -0.093, -0.074, 0.012, 0.086, 0.061, 0.023, 0.041, 0.039, 0.059, 0.047, 0.034, 0.003, -0.026, -0.041, -0.025, -0.02, -0.012, 0.034, -0.023, -0.024, -0.008, -0.005, 0.002, 0.004, 0.036, 0.074, -0.014, 0.02, -0.004, -0.064, -0.034, 0.014, 0.014, 0.012, -0.021, -0.025, 0.042, 0.046, 0.046, 0.035, 0.009, -0.024, -0.025, 0.021, 0.014, -0.012, 0.037, 0.063, -0.001, 0.046, 0.1, 0.015, 0.031, 0.111, -0.171, -0.026, 0.035, -0.011, -0.033, -0.049, -0.059, -0.082, -0.081, -0.083, -0.078, -0.072, -0.064, -0.063, -0.028, 0, 0, 0.057, 0.06, 0.061, 0.05, 0.046, 0.008, -0.002, 0.012, 0.059, 0.052, 0.04, 0.035, 0.033, 0.028, 0.043, 0.045, 0.039, 0.021, -0.005, -0.012, -0.02, -0.026, -0.046, -0.036, -0.063, -0.063, -0.035, -0.019, -0.001, 0.012, -0.004, -0.002, 0.024, 0.011, -0.006, 0.024, 0.007, 0.001, -0.017, -0.032, 0.01, 0.019, 0.031, -0.005, -0.046, 0.002, 0.011, 0.007, 0.025, 0.028, 0.026, 0.023, 0.074, 0.056, 0.038, 0.034, 0.071, 0.076, 0.072]"/>
  </r>
  <r>
    <x v="715"/>
    <x v="962"/>
    <x v="0"/>
    <n v="0"/>
    <s v="LINESTRING (8.000996416033379 63.01164288556832, 8.001134501527417 63.01169407705001, 8.001161376643399 63.01171684172115, 8.00129102394081 63.01199658504202)"/>
    <s v="[1255035, 1255009, 1296763]"/>
    <s v="[1173458, 1173501, 345748]"/>
    <s v="#FIELD!"/>
    <s v="[1173457, 1173458, 1173501]"/>
    <s v="[0.079, 0.063, 0.109]"/>
    <s v="44.39289589122458"/>
    <s v="[0.079, 0.063, -0.109]"/>
  </r>
  <r>
    <x v="715"/>
    <x v="961"/>
    <x v="0"/>
    <n v="0"/>
    <s v="LINESTRING (8.000999268737091 63.011725884111456, 8.001022488232037 63.011745951893815, 8.00129102394081 63.01199658504202)"/>
    <s v="[1255032, 357350]"/>
    <s v="[345747, 345748]"/>
    <s v="#FIELD!"/>
    <s v="[1173462, 345747]"/>
    <s v="[1.751, 0.055]"/>
    <s v="33.63669308196395"/>
    <s v="[-1.751, 0.055]"/>
  </r>
  <r>
    <x v="716"/>
    <x v="965"/>
    <x v="0"/>
    <n v="0"/>
    <s v="LINESTRING (8.353433005144517 63.0879621626898, 8.35406625124535 63.08822568706812, 8.35410531359338 63.08824652191604)"/>
    <s v="[357358, 1303790]"/>
    <s v="[345757, 1214393]"/>
    <s v="0.17727192202138142"/>
    <s v="[345756, 345757]"/>
    <s v="[0.086, 1.478]"/>
    <s v="46.523920642176485"/>
    <s v="[0.086, 1.478]"/>
  </r>
  <r>
    <x v="716"/>
    <x v="966"/>
    <x v="0"/>
    <n v="0"/>
    <s v="LINESTRING (8.353433005144517 63.0879621626898, 8.354190599965618 63.08814445969344, 8.354262126072642 63.08814969317036, 8.354305069838993 63.08824258309108)"/>
    <s v="[1296771, 1303798, 1303806]"/>
    <s v="[1208920, 954828, 1214388]"/>
    <s v="0.14302168230091225"/>
    <s v="[345756, 1208920, 954828]"/>
    <s v="[0.174, 0.022, 0.058]"/>
    <s v="57.628267370292164"/>
    <s v="[0.174, 0.022, 0.058]"/>
  </r>
  <r>
    <x v="717"/>
    <x v="967"/>
    <x v="78"/>
    <s v="[0, 0, 0, 0, 0, 0, 0, 0, 0, 0, 0, 0, 0, 0, 0, 0, 0, 0, 0, 0, 0, 0, 0, 0, 0, 0, 0, 0, 0, 0, 0, 0, 0, 0, 0, 0, 0, 0, 0, 0, 0, 0, 0, 0, 0, 0, 0, 0, 0, 0, 0, 0, 0, 0, 0, 0, 0, 0, 0, 0, 1, 0, 0, 0, 0, 0, 0, 0, 0, 0, 0, 0, 0, 0, 0, 0, 0, 0, 0, 0, 0, 0, 1, 0, 0, 0, 0, 1, 0, 0, 0, 0, 0, 0, 0, 0, 0, 0, 0, 0, 0, 0, 1, 0, 0, 0, 0, 0, 0, 1, 0, 0, 1, 0, 0, 0, 0, 0, 0, 0, 0, 0, 1, 0, 0]"/>
    <s v="LINESTRING (8.353424035058485 63.088742668074346, 8.35321206344317 63.088881124727195, 8.351879803557384 63.090381457573486, 8.351827718794182 63.09052707462851, 8.351474503155377 63.091167282913915, 8.351030237784432 63.09161229220116, 8.35006809390717 63.09236579052775, 8.348853410852133 63.09331231529581, 8.34864761403063 63.093472225194844, 8.347653775239872 63.095328345426644, 8.34294346712598 63.098109259355965, 8.342721260501499 63.098248528413194, 8.342524277158537 63.098427590792554, 8.336936076263374 63.101975157683405, 8.335301155973582 63.10278136129998, 8.335050524845652 63.10335152373034, 8.336061895354323 63.10379167114456, 8.338101399807384 63.10431396665489, 8.338096723690102 63.10539662929312, 8.32944790834923 63.108617681946875, 8.329240771688639 63.10885793431537, 8.324828977478072 63.11286553909387, 8.317903623056814 63.11616757593025, 8.316109020809572 63.11627529897977, 8.31390360003568 63.11679900558425, 8.310323898928777 63.1173370713756, 8.308259174552292 63.117913536189505, 8.308102799148632 63.11799404373123, 8.307735846095321 63.118820411735825, 8.307726537807087 63.118974339373295, 8.307714463570703 63.11926060647961, 8.30776482296717 63.1193658151093, 8.310365223710267 63.119296972935246, 8.310721631563805 63.1192862426611, 8.312238250442489 63.11943325913904, 8.31356272972027 63.11961724746662, 8.314489463547016 63.11974658386333, 8.317215389934839 63.120122434524966, 8.31907620638087 63.12036756567396, 8.32305373792724 63.12085315029442, 8.323418154042 63.120895681128474, 8.325148593137996 63.121104079948964, 8.337968260269633 63.122636492332035, 8.33919663624422 63.122780723776394, 8.343539862467228 63.12330147836084, 8.344260743538621 63.12338382854882, 8.353512310551025 63.1244981963624, 8.359930618746095 63.12526303475986, 8.372030368227612 63.1267194393642, 8.37271302083916 63.12683712292801, 8.376809636253311 63.12819188375842, 8.378088598923394 63.12864097837514, 8.380199830330591 63.129313843442006, 8.38617777943445 63.13113948872373, 8.392481213445556 63.133053431649046, 8.395511886959099 63.13378978830104, 8.396448346641698 63.13391615610417, 8.401318831097562 63.13347902867434, 8.401549363916615 63.13344218227114, 8.40466818668981 63.13348043725707, 8.405045732465018 63.133524693987866, 8.405263785730611 63.13355865875761, 8.405917578908415 63.13370027029312, 8.408288448305726 63.13482711276805, 8.415874835514831 63.13770001130845, 8.423762192149649 63.139290325695356, 8.424483254780522 63.1394589593224, 8.42884473473622 63.138404060787245, 8.430179434918431 63.13744886265258, 8.430284280567347 63.13737299566054, 8.433186253609252 63.1360532851896, 8.434034805174822 63.135941810263084, 8.435739007021343 63.135818954645416, 8.441962984587294 63.13539122929277, 8.444739416993254 63.13540409566246, 8.446544118206877 63.13561108369868, 8.450485467242679 63.13575486176983, 8.452538509716907 63.13526520870549, 8.452615972777432 63.13524810161445, 8.456991603634734 63.13418166723288, 8.457054339729819 63.13416670516007, 8.457202480632034 63.13413136132152, 8.464126363252308 63.13262832694658, 8.464186199027774 63.13261956176835, 8.470240632474226 63.1326876168022, 8.471956636892457 63.13290157844069, 8.473200643445173 63.133109044894404, 8.475930331644781 63.133793320935574, 8.476008949847893 63.13382142999335, 8.478476224821739 63.13497475778811, 8.480566128333946 63.13582964143947, 8.4820083631308 63.13620869436252, 8.485574453558918 63.13669759121833, 8.48701342218868 63.1368898125539, 8.493814024114418 63.13744857079281, 8.4941908709673 63.137462143125134, 8.495236263295602 63.13739881175036, 8.494357284861577 63.1360114216608, 8.495006076554231 63.13472959887282, 8.503164924915728 63.13214091547907, 8.511015159691405 63.13037418074489, 8.515092340447346 63.130098461429505, 8.516710256435378 63.13001335161455, 8.516814183100946 63.13001505651431, 8.51718856249926 63.13003477274908, 8.519365540154903 63.130509657962754, 8.521600242200863 63.13129739751351, 8.522905282655337 63.13195604743832, 8.523380204929566 63.132861920985526, 8.523238441816039 63.1333284291521, 8.522689132523308 63.13439684551406, 8.524495288053686 63.13654411304643, 8.532221153648532 63.14043295591378, 8.533049333031494 63.141439694872794, 8.533108230040925 63.141500489540896, 8.533302673636758 63.141666712202564, 8.534372071174497 63.14229267614769, 8.534967659937658 63.14251210888975, 8.544065527208737 63.14393136387714, 8.547802883113782 63.144170099571696, 8.549925538799368 63.14479644951503, 8.552154544407353 63.14550825428335, 8.553550852919521 63.145591300046696, 8.5604121868797 63.14423554203576, 8.560825330280338 63.14421913581507, 8.561587407635585 63.14424476398649)"/>
    <s v="[1325956, 1325957, 1325971, 1325988, 1326001, 1326009, 1326017, 1326019, 1326024, 1326032, 1326040, 1326048, 1326056, 1326064, 1326072, 1326080, 1326088, 1326096, 1326200, 1326208, 1326216, 1326224, 1326232, 1326240, 1326248, 1326256, 1326264, 1326272, 1326280, 1326288, 1326296, 1326304, 1326312, 1326320, 1326328, 1326336, 1326344, 1326352, 1326360, 1326368, 1326376, 1326384, 1326392, 1326400, 1326408, 1326416, 1326424, 1326432, 1326440, 1326448, 1326456, 1326464, 1326472, 1326480, 1326488, 1326496, 1326504, 1326512, 1326520, 1326528, 1326536, 1326544, 1326552, 1326560, 1326568, 1326576, 1326584, 1326592, 1326600, 1326608, 1326616, 1326624, 1326632, 1326640, 1326648, 1326656, 1326664, 1326672, 1326680, 1326688, 1326696, 1326704, 1326712, 1326720, 1326728, 1326736, 1326744, 1326752, 1326760, 1326768, 1326776, 1326784, 1326792, 1326800, 1326808, 1326816, 1326824, 1326832, 1326840, 1326848, 1326856, 1326864, 1326872, 1326880, 1326888, 1326896, 1326904, 1326912, 1326920, 1326928, 1326936, 1326944, 1326952, 1326960, 1326968, 1326976, 1326984, 1326992, 1327000, 1327008, 1327016, 1327024, 1327032, 1327040, 1327048]"/>
    <s v="[1231955, 1231956, 648016, 1231982, 1231995, 989929, 1232010, 1232013, 649583, 1232024, 1232031, 648021, 1232044, 1232052, 1232060, 1232068, 929211, 929202, 1232179, 1232185, 1232191, 1232199, 565187, 537844, 1232220, 1232229, 728950, 537896, 728956, 1232253, 1208997, 537944, 537976, 537936, 1232287, 535147, 1232301, 728928, 1232314, 321808, 321816, 1209318, 322022, 1174802, 1232346, 1232354, 1232364, 533715, 535323, 990101, 1232380, 1232387, 728919, 1232399, 533741, 533793, 1232415, 1232422, 990143, 1232434, 1232443, 990555, 1232453, 1232462, 1232468, 535360, 1232482, 1232490, 1232496, 1232504, 321584, 1232515, 1232519, 1232526, 1232531, 1232535, 1232538, 1232544, 1232550, 1232554, 1232559, 1232565, 1232572, 1232577, 1232585, 1232591, 1232596, 1232604, 1048908, 654996, 444772, 1232630, 654910, 535671, 1232645, 652540, 1232658, 1232665, 652524, 1232679, 1232684, 1232692, 1232698, 1232704, 1209319, 1232712, 1232721, 663839, 1232734, 1232741, 1232746, 1232753, 1232759, 1232766, 1232769, 663856, 1232782, 1232789, 1232793, 1232799, 1232805, 1232813, 1232821, 1232829, 960480]"/>
    <s v="#FIELD!"/>
    <s v="[345764, 1231955, 1231956, 648016, 1231982, 1231995, 989929, 1232010, 1232013, 649583, 1232024, 1232031, 648021, 1232044, 1232052, 1232060, 1232068, 929211, 929202, 1232179, 1232185, 1232191, 1232199, 565187, 537844, 1232220, 1232229, 728950, 537896, 728956, 1232253, 1208997, 537944, 537976, 537936, 1232287, 535147, 1232301, 728928, 1232314, 321808, 321816, 1209318, 322022, 1174802, 1232346, 1232354, 1232364, 533715, 535323, 990101, 1232380, 1232387, 728919, 1232399, 533741, 533793, 1232415, 1232422, 990143, 1232434, 1232443, 990555, 1232453, 1232462, 1232468, 535360, 1232482, 1232490, 1232496, 1232504, 321584, 1232515, 1232519, 1232526, 1232531, 1232535, 1232538, 1232544, 1232550, 1232554, 1232559, 1232565, 1232572, 1232577, 1232585, 1232591, 1232596, 1232604, 1048908, 654996, 444772, 1232630, 654910, 535671, 1232645, 652540, 1232658, 1232665, 652524, 1232679, 1232684, 1232692, 1232698, 1232704, 1209319, 1232712, 1232721, 663839, 1232734, 1232741, 1232746, 1232753, 1232759, 1232766, 1232769, 663856, 1232782, 1232789, 1232793, 1232799, 1232805, 1232813, 1232821, 1232829]"/>
    <s v="[0.064, 0.027, 0.029, 0.025, 0.016, 0.013, 0.01, 0.036, 0.01, 0.014, 0.034, 0.024, 0.004, 0.019, 0.06, 0.018, 0.003, 0.035, 0.039, 0.053, 0.025, 0.001, 0.021, 0.087, 0.021, 0.02, 0.058, 0.115, 0.125, 0.141, 0.196, 0.025, 0.024, 0.024, 0.023, 0.018, 0.026, 0.057, 0.026, 0.023, 0.017, 0.007, 0.004, 0.005, 0.001, 0.031, 0.035, 0.025, 0.009, 0.003, 0.002, 0.003, 0.041, 0.069, 0.032, 0.039, 0.015, 0.003, 0.032, 0.072, 0.054, 0.045, 0.012, 0.007, 0.031, 0.024, 0.065, 0.004, 0.031, 0.012, 0.031, 0.014, 0.014, 0.017, 0.042, 0.048, 0.003, 0.029, 0.006, 0.029, 0.007, 0.029, 0.089, 0.004, 0.043, 0.011, 0.028, 0.034, 0.002, 0.019, 0.05, 0.031, 0.015, 0.027, 0.091, 0.09, 0.023, 0.087, 0.027, 0.011, 0.025, 0.025, 0.024, 0.008, 0.062, 0.001, 0.038, 0.067, 0.022, 0.006, 0.011, 0.003, 0.027, 0.1, 0.1, 0.095, 0.093, 0.035, 0.045, 0.045, 0.031, 0.095, 0.007, 0.096, 0.007]"/>
    <s v="20115.913224523323"/>
    <s v="[0.064, 0.027, 0.029, 0.025, 0.016, 0.013, -0.01, -0.036, -0.01, -0.014, -0.034, -0.024, -0.004, 0.019, -0.06, -0.018, -0.003, -0.035, -0.039, 0.053, 0.025, 0.001, 0.021, 0.087, 0.021, 0.02, 0.058, 0.115, 0.125, 0.141, 0.196, 0.025, 0.024, 0.024, 0.023, 0.018, 0.026, 0.057, 0.026, 0.023, 0.017, 0.007, 0.004, 0.005, -0.001, -0.031, -0.035, -0.025, 0.009, -0.003, -0.002, -0.003, -0.041, -0.069, -0.032, -0.039, -0.015, 0.003, 0.032, 0.072, 0.054, 0.045, -0.012, -0.007, 0.031, -0.024, -0.065, 0.004, 0.031, -0.012, -0.031, -0.014, 0.014, 0.017, 0.042, 0.048, -0.003, -0.029, -0.006, -0.029, -0.007, -0.029, 0.089, 0.004, -0.043, 0.011, 0.028, 0.034, -0.002, 0.019, 0.05, 0.031, 0.015, -0.027, -0.091, -0.09, 0.023, 0.087, -0.027, -0.011, -0.025, 0.025, -0.024, 0.008, 0.062, 0.001, -0.038, -0.067, -0.022, 0.006, -0.011, -0.003, 0.027, 0.1, 0.1, 0.095, 0.093, 0.035, -0.045, -0.045, -0.031, -0.095, 0.007, 0.096, 0.007]"/>
  </r>
  <r>
    <x v="717"/>
    <x v="965"/>
    <x v="0"/>
    <n v="0"/>
    <s v="LINESTRING (8.35410531359338 63.08824652191604, 8.354019473703007 63.08829566299943, 8.353424035058485 63.088742668074346)"/>
    <s v="[1303830, 357366]"/>
    <s v="[345763, 345764]"/>
    <s v="0.0011960817707496658"/>
    <s v="[1214393, 345763]"/>
    <s v="[0.547, 0.067]"/>
    <s v="65.25098238677688"/>
    <s v="[-0.547, 0.067]"/>
  </r>
  <r>
    <x v="717"/>
    <x v="966"/>
    <x v="79"/>
    <n v="0"/>
    <s v="LINESTRING (8.354305069838993 63.08824258309108, 8.354160341500483 63.08832936589525, 8.353424035058485 63.088742668074346)"/>
    <s v="[1303822, 1296779]"/>
    <s v="[1208927, 345764]"/>
    <s v="0.0015107726256559245"/>
    <s v="[1214388, 1208927]"/>
    <s v="[0.048, 0.008]"/>
    <s v="71.46552888981499"/>
    <s v="[0.048, -0.008]"/>
  </r>
  <r>
    <x v="718"/>
    <x v="968"/>
    <x v="0"/>
    <n v="0"/>
    <s v="LINESTRING (10.303346085854377 59.74198018759284, 10.303142460227873 59.742105931626924, 10.303058393712684 59.742182818590926, 10.303010516923102 59.74223576327026, 10.302891053319119 59.7424149720642)"/>
    <s v="[357860, 2096392, 2096409, 357887]"/>
    <s v="[346250, 1813344, 346270, 346204]"/>
    <s v="#FIELD!"/>
    <s v="[346249, 346250, 1813344, 346270]"/>
    <s v="[0.121, 3.017, 4.645, 0.009]"/>
    <s v="55.45112271314211"/>
    <s v="[-0.121, 3.017, -4.645, 0.009]"/>
  </r>
  <r>
    <x v="718"/>
    <x v="968"/>
    <x v="0"/>
    <n v="0"/>
    <s v="LINESTRING (10.303346085854377 59.74198018759284, 10.303259034055566 59.742134842293524, 10.303187933300817 59.74221596247311, 10.303133387073062 59.74226678843578, 10.302891053319119 59.7424149720642)"/>
    <s v="[357864, 2096383, 2096391, 357882]"/>
    <s v="[346252, 1813338, 346266, 346204]"/>
    <s v="#FIELD!"/>
    <s v="[346249, 346252, 1813338, 346266]"/>
    <s v="[0.038, 2.931, 4.56, 0.135]"/>
    <s v="55.84286656671979"/>
    <s v="[0.038, 2.931, -4.56, -0.135]"/>
  </r>
  <r>
    <x v="719"/>
    <x v="969"/>
    <x v="0"/>
    <n v="0"/>
    <s v="LINESTRING (10.313514797428196 59.72757495687386, 10.313347514593596 59.727651401359296, 10.313295003114998 59.727675302035095, 10.312912429091986 59.727847898522064, 10.31227184352996 59.728156150395144, 10.312259605177314 59.72816263848127, 10.311907457961704 59.728361289025266, 10.31139512586775 59.728715840138946, 10.311265244042438 59.72880976501632, 10.31026392333553 59.72948907000747, 10.310136874657138 59.72955615679001, 10.309981936490889 59.72963297606842, 10.308508309496162 59.73040852996807, 10.30711184837583 59.73140459715875, 10.307005374255208 59.731480593748515, 10.306995084164988 59.73148790667823, 10.306723872654413 59.73168056462171, 10.306265786296294 59.732006926526154, 10.305531782490421 59.732523390771966, 10.305039779394924 59.73286681123553, 10.304646934266973 59.73315068501269, 10.304637579065167 59.733158310094645, 10.304329942158084 59.73342540193, 10.304258210874396 59.73350457481538, 10.304208357971111 59.733565984633074, 10.304154190145853 59.73363147629703, 10.304000396996875 59.73384227665111, 10.30381076002316 59.73416233554807, 10.302315389625138 59.73548124483418, 10.302376111598518 59.736001055749284, 10.302591800675302 59.73630569331251, 10.302753381664546 59.73651428213005, 10.303985883521825 59.74010044826833, 10.303346085854377 59.74198018759284)"/>
    <s v="[950504, 950512, 1412806, 1412820, 1412837, 1412844, 1412857, 1412865, 1412873, 1412881, 1412889, 1412890, 1412891, 1412911, 1412923, 1412940, 1412952, 1412953, 1412961, 1412969, 1412996, 1413001, 1413006, 1413014, 1413022, 1413030, 1413034, 1413042, 1413050, 1413067, 1413075, 1413083, 1413091]"/>
    <s v="[918883, 918890, 819360, 1291685, 1291702, 1291707, 1291718, 1291724, 1291730, 1291734, 1291739, 1291740, 1291741, 1291760, 1291773, 1291793, 1130910, 1130975, 1245636, 1291822, 1291854, 1291860, 1291865, 1291874, 1291880, 1130990, 1245613, 1245661, 821436, 1291916, 1291924, 1291930, 346249]"/>
    <s v="0.0010186185310068967"/>
    <s v="[918875, 918883, 918890, 819360, 1291685, 1291702, 1291707, 1291718, 1291724, 1291730, 1291734, 1291739, 1291740, 1291741, 1291760, 1291773, 1291793, 1130910, 1130975, 1245636, 1291822, 1291854, 1291860, 1291865, 1291874, 1291880, 1130990, 1245613, 1245661, 821436, 1291916, 1291924, 1291930]"/>
    <s v="[0.077, 0.042, 0.129, 0.095, 0.145, 0.081, 0.013, 0.026, 0.004, 0.033, 0.066, 0.023, 0.01, 0.143, 0.181, 0.077, 0.015, 0.089, 0.066, 0.005, 0.012, 0.039, 0.051, 0.031, 0.078, 0.06, 0.014, 0.06, 0.016, 0.133, 0.202, 0.02, 0.084]"/>
    <s v="1840.5349953446075"/>
    <s v="[0.077, 0.042, -0.129, -0.095, -0.145, -0.081, 0.013, 0.026, 0.004, -0.033, -0.066, -0.023, -0.01, 0.143, 0.181, 0.077, 0.015, -0.089, -0.066, 0.005, 0.012, -0.039, -0.051, -0.031, -0.078, -0.06, -0.014, -0.06, -0.016, 0.133, 0.202, 0.02, 0.084]"/>
  </r>
  <r>
    <x v="720"/>
    <x v="970"/>
    <x v="80"/>
    <n v="0"/>
    <s v="LINESTRING (10.774594774473702 59.737506159957945, 10.776266166817111 59.7388013002235, 10.77639782317739 59.73888836179534, 10.779418402873256 59.740677672245745, 10.779478464535545 59.74071424055484, 10.779536760714047 59.74075181304342, 10.779547781368194 59.74075891135938, 10.780624148599937 59.74157709657252, 10.780851633295095 59.741793091420924, 10.780859866702082 59.74180110702692, 10.78162044731768 59.742725755886816, 10.781626154718891 59.74273431062779, 10.782314886138124 59.744154618120675, 10.78242260076352 59.74436264064402)"/>
    <s v="[357862, 357834, 357841, 1833761, 1505978, 1505979, 1505986, 1505994, 1506014, 1506024, 1506040, 1506048, 1130749]"/>
    <s v="[346230, 346231, 346236, 1361909, 1361910, 1361911, 1361917, 1361926, 1361943, 1361952, 1361966, 1068585, 1068586]"/>
    <s v="#FIELD!"/>
    <s v="[346251, 346230, 346231, 346236, 1361909, 1361910, 1361911, 1361917, 1361926, 1361943, 1361952, 1361966, 1068585]"/>
    <s v="[0.049, 0.03, 0.051, 0.477, 0.039, 0.06, 0.021, 0.025, 0.004, 0.018, 0.069, 0.047, 0.048]"/>
    <s v="895.6233956256291"/>
    <s v="[-0.049, -0.03, -0.051, -0.477, -0.039, -0.06, -0.021, 0.025, -0.004, -0.018, -0.069, 0.047, -0.048]"/>
  </r>
  <r>
    <x v="720"/>
    <x v="971"/>
    <x v="0"/>
    <n v="0"/>
    <s v="LINESTRING (10.774594774473702 59.737506159957945, 10.774961580984748 59.73754155209611, 10.7762697679965 59.73871726322749, 10.776313372031465 59.73875645027022, 10.777667547647775 59.73956052650769, 10.777992105612936 59.739712574043686, 10.780398583372873 59.73995387300683, 10.780572587052491 59.739949849286916)"/>
    <s v="[1840946, 1498895, 1498907, 1498917, 1498918, 1498925, 1498933]"/>
    <s v="[1356606, 1356607, 1356609, 1356615, 1356616, 1356623, 1356628]"/>
    <s v="#FIELD!"/>
    <s v="[346251, 1356606, 1356607, 1356609, 1356615, 1356616, 1356623]"/>
    <s v="[0.017, 0.091, 0.174, 0.077, 0.114, 0.02, 0.017]"/>
    <s v="471.74515368032235"/>
    <s v="[-0.017, -0.091, -0.174, -0.077, 0.114, 0.02, 0.017]"/>
  </r>
  <r>
    <x v="720"/>
    <x v="972"/>
    <x v="0"/>
    <s v="[0, 1, 0, 0, 0]"/>
    <s v="LINESTRING (10.737921743381635 59.70870297884604, 10.738007611655592 59.70933528461522, 10.738050974527491 59.7095701061667, 10.738314787380844 59.71044666187285, 10.743259953647025 59.71454689500352, 10.774594774473702 59.737506159957945)"/>
    <s v="[357871, 357872, 357873, 357842, 357861]"/>
    <s v="[346258, 346259, 346237, 346238, 346251]"/>
    <s v="0.00954407097331612"/>
    <s v="[346256, 346258, 346259, 346237, 346238]"/>
    <s v="[0.015, 0.022, 0.045, 0.068, 0.002]"/>
    <s v="3861.070973425468"/>
    <s v="[0.015, 0.022, 0.045, 0.068, -0.002]"/>
  </r>
  <r>
    <x v="721"/>
    <x v="973"/>
    <x v="0"/>
    <n v="0"/>
    <s v="LINESTRING (10.737895346374891 59.704176963930095, 10.73796497078843 59.705376949293004, 10.737980987775659 59.706083181525386, 10.737959360596237 59.70710806761969, 10.737921743381635 59.70870297884604)"/>
    <s v="[1505096, 1505097, 357868, 357869]"/>
    <s v="[1361043, 346254, 346255, 346256]"/>
    <s v="0.018518737335235364"/>
    <s v="[1356471, 1361043, 346254, 346255]"/>
    <s v="[0.022, 0.184, 0.013, 0.004]"/>
    <s v="504.49427159442644"/>
    <s v="[-0.022, 0.184, -0.013, -0.004]"/>
  </r>
  <r>
    <x v="721"/>
    <x v="974"/>
    <x v="0"/>
    <n v="0"/>
    <s v="LINESTRING (10.739163854231755 59.70682046004064, 10.739141986987638 59.70674062056372, 10.738028245787344 59.70783514446325, 10.73797936696997 59.70863158638762, 10.737921743381635 59.70870297884604)"/>
    <s v="[1498797, 1498813, 1498815, 1840930]"/>
    <s v="[1356546, 1356556, 1356557, 346256]"/>
    <s v="0.043564867265304175"/>
    <s v="[1356545, 1356546, 1356556, 1356557]"/>
    <s v="[0.031, 0.014, 0.013, 1.997]"/>
    <s v="299.05568936200575"/>
    <s v="[-0.031, -0.014, -0.013, 1.997]"/>
  </r>
  <r>
    <x v="722"/>
    <x v="975"/>
    <x v="0"/>
    <n v="0"/>
    <s v="LINESTRING (10.776561613382972 59.7392243759171, 10.77641769657818 59.73913790885172, 10.776151000525969 59.738992099341544, 10.742984065694598 59.71471010417389, 10.738598162810241 59.71164374826305)"/>
    <s v="[357939, 357945, 357953, 357954]"/>
    <s v="[346310, 346316, 346323, 346324]"/>
    <s v="#FIELD!"/>
    <s v="[346304, 346310, 346316, 346323]"/>
    <s v="[0.033, 0.033, 0.005, 0.047]"/>
    <s v="3761.279783170907"/>
    <s v="[0.033, 0.033, 0.005, -0.047]"/>
  </r>
  <r>
    <x v="722"/>
    <x v="976"/>
    <x v="0"/>
    <n v="0"/>
    <s v="LINESTRING (10.77877439327292 59.74153656596738, 10.778875144776027 59.741556892233355, 10.776610492394678 59.739299780244245, 10.776561613382972 59.7392243759171)"/>
    <s v="[1499118, 1499119, 1840954]"/>
    <s v="[1356731, 1356732, 346304]"/>
    <s v="0.029596639524623457"/>
    <s v="[1356730, 1356731, 1356732]"/>
    <s v="[0.007, 0.0, 1.265]"/>
    <s v="376.45462071382656"/>
    <s v="[-0.007, -0.0, 1.265]"/>
  </r>
  <r>
    <x v="722"/>
    <x v="977"/>
    <x v="0"/>
    <n v="0"/>
    <s v="LINESTRING (10.7793712591359 59.740818250281244, 10.779245805230111 59.74073837811724, 10.778776092899827 59.74045148191431, 10.776561613382972 59.7392243759171)"/>
    <s v="[1833769, 357909, 357934]"/>
    <s v="[346282, 346283, 346304]"/>
    <s v="0.07008461841516803"/>
    <s v="[1406055, 346282, 346283]"/>
    <s v="[0.649, 0.083, 0.048]"/>
    <s v="232.59385190116694"/>
    <s v="[0.649, 0.083, 0.048]"/>
  </r>
  <r>
    <x v="723"/>
    <x v="978"/>
    <x v="0"/>
    <s v="[0, 0, 0, 1, 0, 0, 0, 0]"/>
    <s v="LINESTRING (10.738598162810241 59.71164374826305, 10.737970377627846 59.710608280112126, 10.737936364512763 59.71053535597189, 10.737688124103762 59.70976883599489, 10.73766144039122 59.70957969594847, 10.737677550074892 59.70710330144587, 10.737697304786158 59.70608452277114, 10.737649564486556 59.70527811406986, 10.737546575495548 59.70465208461727)"/>
    <s v="[357956, 357877, 357885, 357893, 357900, 357908, 474255, 474263]"/>
    <s v="[346261, 346262, 346268, 346274, 346277, 346281, 472639, 472648]"/>
    <s v="#FIELD!"/>
    <s v="[346324, 346261, 346262, 346268, 346274, 346277, 346281, 472639]"/>
    <s v="[0.18, 0.054, 0.032, 0.006, 0.012, 0.023, 0.03, 0.033]"/>
    <s v="786.3491885823379"/>
    <s v="[-0.18, -0.054, -0.032, -0.006, 0.012, 0.023, 0.03, 0.033]"/>
  </r>
  <r>
    <x v="723"/>
    <x v="979"/>
    <x v="0"/>
    <s v="[0, 0, 0, 0, 0, 0, 1, 0, 0, 0]"/>
    <s v="LINESTRING (10.738598162810241 59.71164374826305, 10.738447632308175 59.71159255566764, 10.737896213660695 59.71062757530981, 10.737888237932806 59.71061362133479, 10.737886750483574 59.71061076750117, 10.737774865525274 59.71037554338055, 10.737451351016887 59.70812435904849, 10.736846528865007 59.70766138921987, 10.736470863658596 59.70763478401454, 10.736455898082962 59.707635196441906, 10.736156551063255 59.70764344347701)"/>
    <s v="[1840938, 1498816, 1498822, 1498852, 1498853, 1498870, 1498871, 1498881, 1754557, 1754562]"/>
    <s v="[1356558, 1356559, 1356562, 1356581, 1356582, 1356588, 1356589, 1356595, 1553202, 1360975]"/>
    <s v="#FIELD!"/>
    <s v="[346324, 1356558, 1356559, 1356562, 1356581, 1356582, 1356588, 1356589, 1356595, 1553202]"/>
    <s v="[1.322, 0.353, 0.297, 0.0, 0.213, 0.027, 0.116, 0.452, 6.532, 0.112]"/>
    <s v="508.1385847414085"/>
    <s v="[1.322, -0.353, -0.297, 0.0, -0.213, -0.027, 0.116, 0.452, 6.532, -0.112]"/>
  </r>
  <r>
    <x v="724"/>
    <x v="980"/>
    <x v="0"/>
    <n v="0"/>
    <s v="LINESTRING (12.020576113953416 60.18732295729461, 12.02078499914319 60.187299621115436, 12.020904970155135 60.18731966025963, 12.021021208360393 60.18737888045907, 12.021056603041778 60.187482017176094)"/>
    <s v="[358479, 358487, 358495, 358503]"/>
    <s v="[346831, 346877, 346889, 346897]"/>
    <s v="#FIELD!"/>
    <s v="[346860, 346831, 346877, 346889]"/>
    <s v="[0.012, 0.012, 0.032, 0.044]"/>
    <s v="40.14445164098706"/>
    <s v="[0.012, -0.012, -0.032, -0.044]"/>
  </r>
  <r>
    <x v="724"/>
    <x v="981"/>
    <x v="0"/>
    <n v="0"/>
    <s v="LINESTRING (12.020441084293253 60.1874152529773, 12.020489727197878 60.18736432292903, 12.020576113953416 60.18732295729461)"/>
    <s v="[358535, 358471]"/>
    <s v="[346859, 346860]"/>
    <s v="0.04274539515761374"/>
    <s v="[346916, 346859]"/>
    <s v="[0.052, 0.034]"/>
    <s v="12.93209804638822"/>
    <s v="[0.052, 0.034]"/>
  </r>
  <r>
    <x v="724"/>
    <x v="53"/>
    <x v="0"/>
    <n v="0"/>
    <s v="LINESTRING (12.020150616174618 60.187269809527486, 12.020516385254323 60.1873111014055, 12.020576113953416 60.18732295729461)"/>
    <s v="[1829800, 1829808]"/>
    <s v="[1606803, 346860]"/>
    <s v="#FIELD!"/>
    <s v="[346966, 1606803]"/>
    <s v="[0.007, 0.012]"/>
    <s v="24.375322389174165"/>
    <s v="[-0.007, -0.012]"/>
  </r>
  <r>
    <x v="725"/>
    <x v="982"/>
    <x v="0"/>
    <n v="0"/>
    <s v="LINESTRING (12.021056603041778 60.187482017176094, 12.020985525645372 60.18755751152743, 12.020882015510765 60.187596695351864)"/>
    <s v="[358511, 358519]"/>
    <s v="[346901, 346908]"/>
    <s v="#FIELD!"/>
    <s v="[346897, 346901]"/>
    <s v="[0.047, 0.032]"/>
    <s v="16.50283935854288"/>
    <s v="[-0.047, -0.032]"/>
  </r>
  <r>
    <x v="725"/>
    <x v="55"/>
    <x v="0"/>
    <n v="0"/>
    <s v="LINESTRING (12.021056603041778 60.187482017176094, 12.021095907964797 60.18751416927662, 12.021306739744801 60.18771415694941)"/>
    <s v="[1829849, 1829857]"/>
    <s v="[1606841, 347019]"/>
    <s v="#FIELD!"/>
    <s v="[346897, 1606841]"/>
    <s v="[0.036, 0.041]"/>
    <s v="29.448357773892944"/>
    <s v="[-0.036, -0.041]"/>
  </r>
  <r>
    <x v="726"/>
    <x v="981"/>
    <x v="0"/>
    <n v="0"/>
    <m/>
    <n v="358527"/>
    <n v="346916"/>
    <s v="0.022"/>
    <n v="346908"/>
    <s v="0.022"/>
    <s v="39.26211188165652"/>
    <s v="0.022"/>
  </r>
  <r>
    <x v="726"/>
    <x v="55"/>
    <x v="0"/>
    <n v="0"/>
    <s v="LINESTRING (12.020882015510765 60.187596695351864, 12.020938514270728 60.187612342050635, 12.021306739744801 60.18771415694941)"/>
    <s v="[1829832, 1829840]"/>
    <s v="[1606826, 347019]"/>
    <s v="#FIELD!"/>
    <s v="[346908, 1606826]"/>
    <s v="[0.012, 0.02]"/>
    <s v="26.95360898432064"/>
    <s v="[-0.012, -0.02]"/>
  </r>
  <r>
    <x v="727"/>
    <x v="53"/>
    <x v="0"/>
    <n v="0"/>
    <s v="LINESTRING (12.020150616174618 60.187269809527486, 12.020396935908753 60.1873987157541, 12.020441084293253 60.1874152529773)"/>
    <s v="[1829816, 1829824]"/>
    <s v="[1606815, 346916]"/>
    <s v="#FIELD!"/>
    <s v="[346966, 1606815]"/>
    <s v="0.032"/>
    <s v="22.88923141234903"/>
    <s v="#FIELD!"/>
  </r>
  <r>
    <x v="728"/>
    <x v="983"/>
    <x v="0"/>
    <n v="0"/>
    <s v="LINESTRING (7.982823834643155 58.14520829599523, 7.982846459540084 58.14516800152286, 7.982382762111039 58.144843619191974, 7.982299213856992 58.1448541402334)"/>
    <s v="[359441, 1184491, 1184499]"/>
    <s v="[347888, 1114015, 1114019]"/>
    <s v="#FIELD!"/>
    <s v="[347887, 347888, 1114015]"/>
    <s v="[0.053, 0.016, 0.059]"/>
    <s v="66.09475539905509"/>
    <s v="[-0.053, -0.016, 0.059]"/>
  </r>
  <r>
    <x v="728"/>
    <x v="984"/>
    <x v="0"/>
    <n v="0"/>
    <s v="LINESTRING (7.982823834643155 58.14520829599523, 7.982778012086182 58.145171967882405, 7.982444124803134 58.144936762026575, 7.982390896624936 58.144949869605874)"/>
    <s v="[1182044, 1182052, 1182060]"/>
    <s v="[1112149, 1112154, 1112161]"/>
    <s v="#FIELD!"/>
    <s v="[347887, 1112149, 1112154]"/>
    <s v="[0.483, 0.027, 0.054]"/>
    <s v="46.60711985861878"/>
    <s v="[-0.483, 0.027, 0.054]"/>
  </r>
  <r>
    <x v="728"/>
    <x v="985"/>
    <x v="0"/>
    <n v="0"/>
    <s v="LINESTRING (7.983912494770567 58.14538029544653, 7.983912494770567 58.14538029544653, 7.982823834643155 58.14520829599523)"/>
    <s v="[1184468, 1184476]"/>
    <s v="[1114002, 347887]"/>
    <s v="0.0671831445689846"/>
    <s v="[159316, 1114002]"/>
    <s v="[0.0, 0.073]"/>
    <s v="80.43613657868553"/>
    <s v="[0.0, 0.073]"/>
  </r>
  <r>
    <x v="729"/>
    <x v="986"/>
    <x v="0"/>
    <n v="0"/>
    <s v="LINESTRING (10.487006681617412 59.90779187920909, 10.487011797650458 59.9080149982048, 10.486910006831843 59.90804721019417, 10.486775231571453 59.908055987376635, 10.486501858498157 59.90791072163668)"/>
    <s v="[359615, 359623, 359579, 359582]"/>
    <s v="[348085, 348053, 348054, 348056]"/>
    <s v="#FIELD!"/>
    <s v="[348077, 348085, 348053, 348054]"/>
    <s v="[0.018, 0.012, 0.026, 0.032]"/>
    <s v="65.77670879976316"/>
    <s v="[0.018, -0.012, -0.026, -0.032]"/>
  </r>
  <r>
    <x v="729"/>
    <x v="987"/>
    <x v="0"/>
    <n v="0"/>
    <s v="LINESTRING (10.486501858498157 59.90791072163668, 10.486395297685203 59.90787648907302, 10.484021088919093 59.90785681635354, 10.48352605839519 59.90790636653533)"/>
    <s v="[359796, 359808, 359809]"/>
    <s v="[348213, 348224, 348177]"/>
    <s v="#FIELD!"/>
    <s v="[348056, 348213, 348224]"/>
    <s v="[0.03, 0.027, 0.017]"/>
    <s v="173.42722837266882"/>
    <s v="[-0.03, -0.027, -0.017]"/>
  </r>
  <r>
    <x v="730"/>
    <x v="988"/>
    <x v="0"/>
    <n v="0"/>
    <s v="LINESTRING (10.489003081790395 59.90640432783417, 10.488641525241638 59.90665957130361, 10.487034956066402 59.9077589533051, 10.487006681617412 59.90779187920909)"/>
    <s v="[359771, 359776, 359784]"/>
    <s v="[348194, 348197, 348077]"/>
    <s v="0.012347425653463749"/>
    <s v="[348178, 348194, 348197]"/>
    <s v="[0.023, 0.01, 0.01]"/>
    <s v="193.34636523598056"/>
    <s v="[0.023, 0.01, 0.01]"/>
  </r>
  <r>
    <x v="731"/>
    <x v="989"/>
    <x v="81"/>
    <n v="0"/>
    <m/>
    <n v="359666"/>
    <n v="348120"/>
    <s v="0.006"/>
    <n v="348108"/>
    <s v="0.006"/>
    <s v="2202.4143042166174"/>
    <s v="0.006"/>
  </r>
  <r>
    <x v="731"/>
    <x v="990"/>
    <x v="0"/>
    <n v="0"/>
    <s v="LINESTRING (10.52349686116758 59.8873467301768, 10.523441235186858 59.887389289708125, 10.523388051929956 59.88743018770217, 10.523378171599012 59.887437774317114, 10.523097422162657 59.88776120510554, 10.522170547535945 59.88825904001686, 10.5221130658338 59.88828812719972, 10.521647405923419 59.88847652407349)"/>
    <s v="[1537306, 1537314, 1537322, 1537330, 1537338, 359631, 359648]"/>
    <s v="[1389246, 1389256, 1389264, 1389273, 348097, 348098, 348108]"/>
    <s v="0.07027827515833385"/>
    <s v="[1353744, 1389246, 1389256, 1389264, 1389273, 348097, 348098]"/>
    <s v="[0.029, 0.026, 0.03, 0.019, 0.099, 0.07, 0.08]"/>
    <s v="166.74787270047503"/>
    <s v="[0.029, 0.026, 0.03, 0.019, 0.099, 0.07, 0.08]"/>
  </r>
  <r>
    <x v="731"/>
    <x v="991"/>
    <x v="0"/>
    <s v="[0, 0, 1, 0, 0, 0]"/>
    <s v="LINESTRING (10.524128184271628 59.88838533132252, 10.524019995083352 59.888324993377786, 10.523938619210202 59.888278158105415, 10.523576200016498 59.888139021978866, 10.522144656352467 59.88833760342901, 10.52179226769205 59.888436050173745, 10.521647405923419 59.88847652407349)"/>
    <s v="[1505272, 1505280, 1505288, 1505289, 1250626, 1250643]"/>
    <s v="[1361205, 1361213, 1361220, 1169854, 1169855, 348108]"/>
    <s v="0.052216444337986646"/>
    <s v="[1361178, 1361205, 1361213, 1361220, 1169854, 1169855]"/>
    <s v="[0.04, 0.024, 0.014, 0.004, 0.01, 0.941]"/>
    <s v="161.3903167130215"/>
    <s v="[-0.04, -0.024, -0.014, 0.004, 0.01, 0.941]"/>
  </r>
  <r>
    <x v="732"/>
    <x v="992"/>
    <x v="0"/>
    <s v="[0, 0, 0, 1]"/>
    <s v="LINESTRING (10.496242791938425 59.90163906354782, 10.496032748203046 59.90183587546073, 10.495255315566212 59.9024818264725, 10.494777143692158 59.90282860009275, 10.494048246944176 59.903316972640624)"/>
    <s v="[359677, 359684, 359685, 359706]"/>
    <s v="[348127, 348132, 348133, 348147]"/>
    <s v="0.0065804646655062225"/>
    <s v="[348120, 348127, 348132, 348133]"/>
    <s v="[0.031, 0.017, 0.001, 0.01]"/>
    <s v="224.05926878051673"/>
    <s v="[0.031, 0.017, -0.001, -0.01]"/>
  </r>
  <r>
    <x v="732"/>
    <x v="993"/>
    <x v="0"/>
    <s v="[0, 0, 0, 0, 1, 1]"/>
    <s v="LINESTRING (10.496242791938425 59.90163906354782, 10.496137807201556 59.90181776237955, 10.495433186576458 59.9025208678314, 10.495499871933005 59.90313773967879, 10.495560871900722 59.903450697270515, 10.495496397944718 59.90362712248646, 10.495470274366081 59.90368690543924)"/>
    <s v="[1250659, 1250674, 1250677, 378868, 378869, 378884]"/>
    <s v="[1169887, 1169904, 367787, 367788, 367789, 367803]"/>
    <s v="0.017649743229758905"/>
    <s v="[348120, 1169887, 1169904, 367787, 367788, 367789]"/>
    <s v="[0.119, 0.002, 0.008, 0.02, 0.013, 0.011]"/>
    <s v="240.75773068223467"/>
    <s v="[0.119, 0.002, 0.008, 0.02, 0.013, 0.011]"/>
  </r>
  <r>
    <x v="733"/>
    <x v="994"/>
    <x v="0"/>
    <n v="1"/>
    <m/>
    <n v="458460"/>
    <n v="348147"/>
    <s v="0.011"/>
    <n v="456742"/>
    <s v="0.011"/>
    <s v="45.39389055850685"/>
    <s v="0.011"/>
  </r>
  <r>
    <x v="734"/>
    <x v="995"/>
    <x v="0"/>
    <n v="0"/>
    <s v="LINESTRING (10.49472473628774 59.902651590199746, 10.495053723417112 59.90241323023398, 10.49581318145325 59.90178234018731, 10.495833677162322 59.901763625486666, 10.521910294039442 59.88824419027089)"/>
    <s v="[359709, 359716, 359720, 359747]"/>
    <s v="[348151, 348154, 348156, 348174]"/>
    <s v="#FIELD!"/>
    <s v="[348150, 348151, 348154, 348156]"/>
    <s v="[0.0, 0.015, 0.027, 0.007]"/>
    <s v="2430.3986723469648"/>
    <s v="[0.0, -0.015, -0.027, -0.007]"/>
  </r>
  <r>
    <x v="734"/>
    <x v="996"/>
    <x v="0"/>
    <s v="[1, 0, 1]"/>
    <s v="LINESTRING (10.491022853290696 59.90512025381743, 10.491480744682493 59.9048243466643, 10.493356967346127 59.90357583643107, 10.49472473628774 59.902651590199746)"/>
    <s v="[458430, 359707, 359708]"/>
    <s v="[348148, 348149, 348150]"/>
    <s v="0.00911784683658489"/>
    <s v="[456658, 348148, 348149]"/>
    <s v="[0.008, 0.008, 0.011]"/>
    <s v="344.46512180586745"/>
    <s v="[0.008, 0.008, 0.011]"/>
  </r>
  <r>
    <x v="734"/>
    <x v="997"/>
    <x v="0"/>
    <s v="[0, 0, 1, 1]"/>
    <s v="LINESTRING (10.493274938193723 59.903163141348266, 10.493274938193723 59.903163141348266, 10.493268082114918 59.90353938185176, 10.494550031118745 59.90271863264132, 10.49472473628774 59.902651590199746)"/>
    <s v="[2100245, 2100246, 2100247, 2100255]"/>
    <s v="[1815905, 1815906, 1815907, 348150]"/>
    <s v="0.005460949384561867"/>
    <s v="[456792, 1815905, 1815906, 1815907]"/>
    <s v="[0.0, 0.003, 0.008, 0.029]"/>
    <s v="361.49917077197404"/>
    <s v="[0.0, 0.003, 0.008, 0.029]"/>
  </r>
  <r>
    <x v="735"/>
    <x v="998"/>
    <x v="0"/>
    <n v="0"/>
    <s v="LINESTRING (10.521910294039442 59.88824419027089, 10.522061853152378 59.888181902084845, 10.52202189609923 59.88715083411252, 10.52195239155159 59.88710889818895)"/>
    <s v="[458462, 1505434, 1505441]"/>
    <s v="[456923, 1361366, 1361244]"/>
    <s v="#FIELD!"/>
    <s v="[348174, 456923, 1361366]"/>
    <s v="[0.073, 0.045, 0.023]"/>
    <s v="145.37745359016841"/>
    <s v="[-0.073, -0.045, 0.023]"/>
  </r>
  <r>
    <x v="735"/>
    <x v="999"/>
    <x v="0"/>
    <n v="0"/>
    <s v="LINESTRING (10.521910294039442 59.88824419027089, 10.522002869230075 59.88821815052553, 10.522081419164483 59.888196057826484, 10.522957925383762 59.887680915107424)"/>
    <s v="[458474, 458482, 1537346]"/>
    <s v="[456931, 456940, 1361333]"/>
    <s v="#FIELD!"/>
    <s v="[348174, 456931, 456940]"/>
    <s v="[0.072, 0.076, 0.119]"/>
    <s v="87.43125206705912"/>
    <s v="[-0.072, -0.076, -0.119]"/>
  </r>
  <r>
    <x v="736"/>
    <x v="987"/>
    <x v="0"/>
    <n v="0"/>
    <m/>
    <n v="359750"/>
    <n v="348177"/>
    <s v="0.0"/>
    <n v="348176"/>
    <s v="0.0"/>
    <s v="324.64544242988495"/>
    <s v="0.0"/>
  </r>
  <r>
    <x v="736"/>
    <x v="1000"/>
    <x v="0"/>
    <s v="[0, 0, 1, 0, 1, 0, 0, 0, 0, 0, 0, 0, 0]"/>
    <s v="LINESTRING (10.48352605839519 59.90790636653533, 10.478892578059291 59.90971622011719, 10.478496872681438 59.90998649786148, 10.478269052291454 59.91019127167735, 10.478029866545468 59.91044158356188, 10.47753688202859 59.911223339504154, 10.477399924993671 59.911706080490355, 10.477380375579793 59.91232007651883, 10.477401449589435 59.91356882477177, 10.477399908851677 59.913596291442325, 10.467707010203448 59.92145311809078, 10.46763175569095 59.9214794582957, 10.46727834112051 59.921596333405795, 10.46677004955822 59.921760322673165)"/>
    <s v="[1250609, 1250625, 850317, 850325, 850333, 850341, 850349, 850357, 850365, 850373, 850381, 850389, 850397]"/>
    <s v="[1169840, 825154, 825155, 825163, 825171, 825180, 825187, 825193, 825202, 825208, 825214, 825220, 825224]"/>
    <s v="0.022391292938917253"/>
    <s v="[348176, 1169840, 825154, 825155, 825163, 825171, 825180, 825187, 825193, 825202, 825208, 825214, 825220]"/>
    <s v="[0.561, 0.106, 0.001, 0.002, 0.002, 0.046, 0.045, 0.046, 0.05, 0.023, 0.036, 0.035, 0.04]"/>
    <s v="1606.983437345248"/>
    <s v="[0.561, -0.106, -0.001, 0.002, 0.002, 0.046, 0.045, 0.046, 0.05, 0.023, -0.036, -0.035, -0.04]"/>
  </r>
  <r>
    <x v="737"/>
    <x v="988"/>
    <x v="0"/>
    <n v="0"/>
    <m/>
    <n v="359751"/>
    <n v="348178"/>
    <s v="0.007"/>
    <n v="348177"/>
    <s v="0.007"/>
    <s v="350.80611386689594"/>
    <s v="0.007"/>
  </r>
  <r>
    <x v="738"/>
    <x v="994"/>
    <x v="0"/>
    <s v="[0, 1, 0, 0]"/>
    <s v="LINESTRING (10.489003081790395 59.90640432783417, 10.491029482103707 59.90528617282934, 10.49163176528916 59.90489055883633, 10.492324084202345 59.90444187325194, 10.493553618757737 59.90363970638072)"/>
    <s v="[359752, 359756, 359770, 458459]"/>
    <s v="[348179, 348183, 348193, 456742]"/>
    <s v="0.006000406451116321"/>
    <s v="[348178, 348179, 348183, 348193]"/>
    <s v="[0.002, 0.008, 0.006, 0.011]"/>
    <s v="400.3575858090662"/>
    <s v="[0.002, 0.008, 0.006, 0.011]"/>
  </r>
  <r>
    <x v="739"/>
    <x v="1001"/>
    <x v="0"/>
    <s v="[0, 0, 0, 0, 0, 0, 1, 0, 0, 0, 0, 0, 0, 0, 0, 0, 0]"/>
    <s v="LINESTRING (15.245159865920316 66.49590038052875, 15.246040215226595 66.49658019081309, 15.255113414949916 66.50077834755963, 15.260988041606154 66.50258596946735, 15.2630102530497 66.50303517557462, 15.264695903972093 66.50333039828456, 15.264768491821451 66.5033418930687, 15.26525928596356 66.50341668833487, 15.272891823787953 66.50454630463283, 15.298736438060173 66.51151456353155, 15.298923858069974 66.5116318436951, 15.299488691272282 66.51203976515906, 15.30042494602435 66.5130029016593, 15.30505013733801 66.51915045627267, 15.30402924119792 66.52154538728576, 15.304719404654325 66.53247596186628, 15.314055539248635 66.54816653892831, 15.315113152220338 66.54914692633928)"/>
    <s v="[359785, 359794, 359806, 359816, 359817, 477523, 477531, 1197216, 1197224, 1197232, 1197240, 1197248, 1197256, 1197264, 1197272, 1197280, 1197288]"/>
    <s v="[348201, 348210, 348222, 348229, 348230, 476204, 476213, 1123262, 1123266, 1123271, 1123276, 1123278, 1123284, 1123289, 1123292, 1123296, 925452]"/>
    <s v="0.014779153634324768"/>
    <s v="[348200, 348201, 348210, 348222, 348229, 348230, 476204, 476213, 1123262, 1123266, 1123271, 1123276, 1123278, 1123284, 1123289, 1123292, 1123296]"/>
    <s v="[0.041, 0.001, 0.078, 0.013, 0.031, 5.849, 0.017, 0.024, 0.017, 0.026, 0.024, 0.018, 0.007, 0.064, 0.021, 0.009, 0.004]"/>
    <s v="7392.920159157742"/>
    <s v="[0.041, -0.001, 0.078, 0.013, -0.031, -5.849, 0.017, 0.024, 0.017, 0.026, 0.024, 0.018, 0.007, 0.064, 0.021, 0.009, 0.004]"/>
  </r>
  <r>
    <x v="739"/>
    <x v="1002"/>
    <x v="0"/>
    <n v="0"/>
    <s v="LINESTRING (15.241112247858169 66.49293823810096, 15.242974614981316 66.49425837631429, 15.243485377217839 66.49465911894265, 15.243501068503825 66.49467142976034, 15.24360929906926 66.4947562174268, 15.245159865920316 66.49590038052875)"/>
    <s v="[1004805, 1004820, 1004821, 1004822, 1004833]"/>
    <s v="[961801, 961814, 961815, 961816, 348200]"/>
    <s v="0.002856035443372289"/>
    <s v="[467849, 961801, 961814, 961815, 961816]"/>
    <s v="[0.028, 0.057, 0.04, 0.012, 0.061]"/>
    <s v="376.53668783506"/>
    <s v="[-0.028, -0.057, -0.04, -0.012, 0.061]"/>
  </r>
  <r>
    <x v="739"/>
    <x v="1002"/>
    <x v="0"/>
    <n v="0"/>
    <s v="LINESTRING (15.241112247858169 66.49293823810096, 15.243011400875515 66.4941342850557, 15.243126853795335 66.4942274139152, 15.243639069774394 66.49462958018871, 15.243704734999877 66.49468125003483, 15.245159865920316 66.49590038052875)"/>
    <s v="[1005051, 1005052, 1005053, 1005054, 1005061]"/>
    <s v="[962033, 962034, 962035, 961840, 348200]"/>
    <s v="0.002696529544663239"/>
    <s v="[467849, 962033, 962034, 962035, 961840]"/>
    <s v="[0.032, 0.049, 0.044, 0.004, 0.059]"/>
    <s v="377.27529905503036"/>
    <s v="[-0.032, -0.049, -0.044, -0.004, 0.059]"/>
  </r>
  <r>
    <x v="740"/>
    <x v="1003"/>
    <x v="0"/>
    <n v="0"/>
    <s v="LINESTRING (18.987662118425778 69.65014185689911, 18.988471163836746 69.65008437057045, 18.988659416968993 69.65007444530909, 18.99012756807407 69.65000369609008, 18.990341624863976 69.64999921896853, 18.990591231017973 69.64999641194059, 18.99075925909079 69.64999590194493, 18.99224277926529 69.65004704066138, 18.993069712763532 69.65013429976922)"/>
    <s v="[359840, 359847, 359848, 359849, 359880, 359881, 359887, 359911]"/>
    <s v="[348254, 348263, 348264, 348265, 348302, 348303, 348311, 348344]"/>
    <s v="0.011501819361085476"/>
    <s v="[348253, 348254, 348263, 348264, 348265, 348302, 348303, 348311]"/>
    <s v="[0.03, 0.029, 0.026, 0.003, 0.003, 0.003, 0.001, 0.007]"/>
    <s v="213.30537600424526"/>
    <s v="[0.03, 0.029, 0.026, 0.003, 0.003, 0.003, -0.001, -0.007]"/>
  </r>
  <r>
    <x v="740"/>
    <x v="1003"/>
    <x v="0"/>
    <n v="0"/>
    <s v="LINESTRING (18.987662118425778 69.65014185689911, 18.988672492873487 69.65015642399814, 18.99013690166024 69.65008963210563, 18.990341683044793 69.65008744145008, 18.990585339897464 69.6500859378062, 18.99074809291697 69.65008592524966, 18.992204758640458 69.65012998535545, 18.99232948527095 69.65013489814375, 18.993069712763532 69.65013429976922)"/>
    <s v="[359918, 359922, 359923, 359924, 359935, 359943, 359944, 359945]"/>
    <s v="[348352, 348356, 348357, 348358, 348371, 348381, 348382, 348344]"/>
    <s v="0.011729278230212647"/>
    <s v="[348253, 348352, 348356, 348357, 348358, 348371, 348381, 348382]"/>
    <s v="[0.022, 0.025, 0.003, 0.003, 0.003, 0.0, 0.003, 0.003]"/>
    <s v="211.07564187197275"/>
    <s v="[0.022, 0.025, 0.003, 0.003, 0.003, -0.0, 0.003, 0.003]"/>
  </r>
  <r>
    <x v="740"/>
    <x v="1004"/>
    <x v="0"/>
    <n v="0"/>
    <s v="LINESTRING (18.982103672871304 69.64812614711579, 18.984768653849272 69.64981028730031, 18.986832735563414 69.65011166825913, 18.987196535399047 69.6501341195963, 18.987662118425778 69.65014185689911)"/>
    <s v="[1190848, 1190856, 1190864, 359839]"/>
    <s v="[896752, 1118767, 348252, 348253]"/>
    <s v="0.023156441914523544"/>
    <s v="[1012151, 896752, 1118767, 348252]"/>
    <s v="[0.009, 0.011, 0.334, 0.022]"/>
    <s v="358.20854251475214"/>
    <s v="[0.009, 0.011, 0.334, 0.022]"/>
  </r>
  <r>
    <x v="741"/>
    <x v="1005"/>
    <x v="0"/>
    <s v="[0, 0, 0, 0, 0, 0, 0, 0, 0, 0, 0, 0, 0, 1, 0, 0]"/>
    <s v="LINESTRING (18.993069712763532 69.65013429976922, 18.993394302644848 69.65015355273125, 18.993684014472414 69.65017717537528, 18.994461724525785 69.65023982796687, 18.99463304571563 69.65025392831025, 18.99522937961884 69.65029936426039, 18.996244769770453 69.65037270965203, 19.000759272662272 69.65085829065805, 19.00182378291575 69.65109884734451, 19.00196571252181 69.65113280192362, 19.002043696389666 69.65115359893332, 19.002118127167304 69.6511730754917, 19.003433713151804 69.65157032540436, 19.003620220173275 69.65163802963465, 19.00376958826765 69.65169085951973, 19.00407260966787 69.65180088622942, 19.007253393819433 69.65330865216652)"/>
    <s v="[1190872, 1190880, 1190888, 1190896, 1190904, 1190912, 1190920, 1190928, 1190936, 1190944, 1190952, 1190960, 1190968, 1190976, 1190984, 1190992]"/>
    <s v="[1118780, 1118786, 1118795, 1118802, 892441, 1118811, 896727, 230667, 1118828, 1118834, 230654, 1118847, 1118851, 1118860, 1118867, 1017402]"/>
    <s v="#FIELD!"/>
    <s v="[348344, 1118780, 1118786, 1118795, 1118802, 892441, 1118811, 896727, 230667, 1118828, 1118834, 230654, 1118847, 1118851, 1118860, 1118867]"/>
    <s v="[0.261, 0.012, 0.009, 0.007, 0.01, 0.038, 0.027, 0.015, 0.016, 0.013, 0.015, 0.013, 0.009, 0.004, 0.003, 0.001]"/>
    <s v="686.3265670286935"/>
    <s v="[-0.261, -0.012, -0.009, -0.007, -0.01, -0.038, -0.027, -0.015, -0.016, -0.013, -0.015, -0.013, -0.009, 0.004, 0.003, 0.001]"/>
  </r>
  <r>
    <x v="742"/>
    <x v="1006"/>
    <x v="0"/>
    <n v="0"/>
    <s v="LINESTRING (15.088356758886492 66.4638422165389, 15.089886075656644 66.46317735118929, 15.090391235491518 66.46306488568773)"/>
    <s v="[359995, 1197184]"/>
    <s v="[348436, 466280]"/>
    <s v="0.010506476313616796"/>
    <s v="[348435, 348436]"/>
    <s v="[0.003, 0.042]"/>
    <s v="133.86952995774305"/>
    <s v="[0.003, 0.042]"/>
  </r>
  <r>
    <x v="742"/>
    <x v="1007"/>
    <x v="0"/>
    <n v="0"/>
    <s v="LINESTRING (15.088371043212854 66.4641119684241, 15.088325891584285 66.46393445654266, 15.088356758886492 66.4638422165389)"/>
    <s v="[1005041, 1005042]"/>
    <s v="[962022, 348435]"/>
    <s v="#FIELD!"/>
    <s v="[961913, 962022]"/>
    <s v="[0.012, 0.009]"/>
    <s v="30.262750086528353"/>
    <s v="[-0.012, -0.009]"/>
  </r>
  <r>
    <x v="742"/>
    <x v="1008"/>
    <x v="0"/>
    <n v="0"/>
    <m/>
    <n v="1005008"/>
    <n v="348435"/>
    <s v="#FIELD!"/>
    <n v="961931"/>
    <s v="0.015"/>
    <s v="29.808331865339433"/>
    <s v="#FIELD!"/>
  </r>
  <r>
    <x v="743"/>
    <x v="1009"/>
    <x v="0"/>
    <n v="0"/>
    <s v="LINESTRING (11.128820717360847 60.78669079650472, 11.128862016593962 60.78677055227818, 11.128837152173277 60.7868089363234, 11.128783186800343 60.786841626134105, 11.128602612868926 60.78686751424226)"/>
    <s v="[362106, 362114, 362122, 362130]"/>
    <s v="[350593, 350603, 350609, 350615]"/>
    <s v="#FIELD!"/>
    <s v="[350592, 350593, 350603, 350609]"/>
    <s v="[0.024, 0.018, 0.007, 0.004]"/>
    <s v="28.822490077929693"/>
    <s v="[-0.024, -0.018, -0.007, 0.004]"/>
  </r>
  <r>
    <x v="743"/>
    <x v="1010"/>
    <x v="0"/>
    <n v="0"/>
    <m/>
    <n v="362163"/>
    <n v="350592"/>
    <s v="#FIELD!"/>
    <n v="350641"/>
    <s v="0.014"/>
    <s v="20.249071576489737"/>
    <s v="#FIELD!"/>
  </r>
  <r>
    <x v="743"/>
    <x v="1011"/>
    <x v="0"/>
    <n v="0"/>
    <s v="LINESTRING (11.134275435487295 60.783111874817386, 11.133900347997884 60.783341656777495, 11.132276132133784 60.78410718573039, 11.128845842180443 60.78664873451344, 11.128820717360847 60.78669079650472)"/>
    <s v="[363582, 362748, 2168652, 2168655]"/>
    <s v="[351180, 351181, 1854857, 350592]"/>
    <s v="#FIELD!"/>
    <s v="[351455, 351180, 351181, 1854857]"/>
    <s v="[0.038, 0.031, 0.019, 0.015]"/>
    <s v="500.77719500203955"/>
    <s v="[-0.038, -0.031, -0.019, -0.015]"/>
  </r>
  <r>
    <x v="744"/>
    <x v="1012"/>
    <x v="0"/>
    <n v="0"/>
    <m/>
    <n v="362138"/>
    <n v="350624"/>
    <s v="0.024"/>
    <n v="350615"/>
    <s v="0.024"/>
    <s v="16.74676319011873"/>
    <s v="0.024"/>
  </r>
  <r>
    <x v="744"/>
    <x v="1013"/>
    <x v="0"/>
    <s v="[0, 0, 0, 0, 0, 1, 0, 0]"/>
    <s v="LINESTRING (11.128602612868926 60.78686751424226, 11.128521162985514 60.78689482601834, 11.12842164083269 60.78693473978421, 11.126017855858521 60.78894742292374, 11.125539132988818 60.789717248942964, 11.125318139780282 60.79009846741887, 11.12510967751828 60.79044597955531, 11.124927228709087 60.790750197263954, 11.124558120772933 60.791212439715586)"/>
    <s v="[2168658, 2168661, 2168664, 362724, 373732, 373740, 373748, 373652]"/>
    <s v="[1854860, 1854863, 351159, 351160, 362754, 362763, 362668, 362669]"/>
    <s v="#FIELD!"/>
    <s v="[350615, 1854860, 1854863, 351159, 351160, 362754, 362763, 362668]"/>
    <s v="[0.0, 0.006, 0.039, 0.053, 0.054, 0.0, 0.0, 0.0]"/>
    <s v="537.9607641548498"/>
    <s v="[-0.0, -0.006, -0.039, -0.053, -0.054, -0.0, 0.0, 0.0]"/>
  </r>
  <r>
    <x v="745"/>
    <x v="1010"/>
    <x v="0"/>
    <n v="0"/>
    <s v="LINESTRING (11.128405136702792 60.78676392264143, 11.128427402028672 60.78670748571979, 11.128487081448045 60.78667057443149)"/>
    <s v="[362146, 362155]"/>
    <s v="[350632, 350641]"/>
    <s v="0.014849189110842447"/>
    <s v="[350624, 350632]"/>
    <s v="[0.018, 0.011]"/>
    <s v="11.648486324509676"/>
    <s v="[0.018, 0.011]"/>
  </r>
  <r>
    <x v="745"/>
    <x v="52"/>
    <x v="0"/>
    <n v="0"/>
    <s v="LINESTRING (11.128080773737368 60.78661172186987, 11.128339261305483 60.78673584465927, 11.128405136702792 60.78676392264143)"/>
    <s v="[363477, 363485]"/>
    <s v="[351887, 350624]"/>
    <s v="#FIELD!"/>
    <s v="[350651, 351887]"/>
    <s v="[0.027, 0.021]"/>
    <s v="24.500470253430343"/>
    <s v="[-0.027, -0.021]"/>
  </r>
  <r>
    <x v="746"/>
    <x v="52"/>
    <x v="0"/>
    <n v="0"/>
    <s v="LINESTRING (11.128080773737368 60.78661172186987, 11.128410704587893 60.786661079041544, 11.128487081448045 60.78667057443149)"/>
    <s v="[363461, 363469]"/>
    <s v="[351875, 350641]"/>
    <s v="#FIELD!"/>
    <s v="[350651, 351875]"/>
    <s v="0.02"/>
    <s v="23.09002419139589"/>
    <s v="#FIELD!"/>
  </r>
  <r>
    <x v="747"/>
    <x v="1014"/>
    <x v="0"/>
    <n v="0"/>
    <s v="LINESTRING (10.319359578050443 59.72965049882648, 10.318605345340297 59.72946880820497, 10.31853299822698 59.72944497072777, 10.31791646287547 59.729188016944704, 10.317403840192208 59.72880541395703)"/>
    <s v="[362479, 362487, 362495, 362503]"/>
    <s v="[350947, 350953, 350960, 350966]"/>
    <s v="0.04966657773024645"/>
    <s v="[350946, 350947, 350953, 350960]"/>
    <s v="[0.002, 0.158, 0.112, 0.029]"/>
    <s v="149.4323952015093"/>
    <s v="[0.002, 0.158, 0.112, 0.029]"/>
  </r>
  <r>
    <x v="747"/>
    <x v="1014"/>
    <x v="0"/>
    <n v="0"/>
    <s v="LINESTRING (10.319359578050443 59.72965049882648, 10.318678144808912 59.72940738562079, 10.318607521832924 59.72938344785369, 10.31800424845453 59.72912808338652, 10.317403840192208 59.72880541395703)"/>
    <s v="[362511, 362519, 362527, 362535]"/>
    <s v="[350970, 350976, 350984, 350966]"/>
    <s v="0.051087732321467405"/>
    <s v="[350946, 350970, 350976, 350984]"/>
    <s v="[0.023, 0.133, 0.112, 0.059]"/>
    <s v="145.71895371637243"/>
    <s v="[-0.023, 0.133, 0.112, 0.059]"/>
  </r>
  <r>
    <x v="747"/>
    <x v="1015"/>
    <x v="0"/>
    <n v="0"/>
    <s v="LINESTRING (10.322194629066654 59.73031869333165, 10.322161994016177 59.73031132265947, 10.32076411095291 59.72998881292286, 10.319359578050443 59.72965049882648)"/>
    <s v="[1412765, 1412774, 1412791]"/>
    <s v="[1291637, 1291645, 350946]"/>
    <s v="#FIELD!"/>
    <s v="[1291636, 1291637, 1291645]"/>
    <s v="[0.006, 0.076, 0.085]"/>
    <s v="176.08637743260937"/>
    <s v="[-0.006, -0.076, -0.085]"/>
  </r>
  <r>
    <x v="748"/>
    <x v="1016"/>
    <x v="0"/>
    <n v="0"/>
    <s v="LINESTRING (10.317403840192208 59.72880541395703, 10.316959785879755 59.72777761366102, 10.315464638206958 59.7269966924561, 10.314727375800047 59.72707177307542, 10.314537843107308 59.72712807661026)"/>
    <s v="[1412796, 1412805, 950472, 950480]"/>
    <s v="[1291664, 918851, 918852, 918860]"/>
    <s v="#FIELD!"/>
    <s v="[350966, 1291664, 918851, 918852]"/>
    <s v="[0.097, 0.044, 0.017, 0.012]"/>
    <s v="315.82166900156795"/>
    <s v="[-0.097, -0.044, -0.017, 0.012]"/>
  </r>
  <r>
    <x v="749"/>
    <x v="1017"/>
    <x v="0"/>
    <n v="0"/>
    <m/>
    <n v="2168502"/>
    <n v="351102"/>
    <s v="#FIELD!"/>
    <n v="351082"/>
    <s v="0.035"/>
    <s v="99.63217632328943"/>
    <s v="#FIELD!"/>
  </r>
  <r>
    <x v="749"/>
    <x v="1017"/>
    <x v="0"/>
    <n v="0"/>
    <s v="LINESTRING (11.227474022440212 60.7245050444514, 11.22755799444478 60.724388492824325, 11.228364612432014 60.72379226906689, 11.228469072125108 60.72375907760355)"/>
    <s v="[362636, 362644, 362652]"/>
    <s v="[351083, 351093, 351102]"/>
    <s v="#FIELD!"/>
    <s v="[351082, 351083, 351093]"/>
    <s v="[0.024, 0.036, 0.042]"/>
    <s v="100.8299528889996"/>
    <s v="[-0.024, -0.036, -0.042]"/>
  </r>
  <r>
    <x v="749"/>
    <x v="1018"/>
    <x v="0"/>
    <n v="0"/>
    <s v="LINESTRING (11.224238920122511 60.72631573762135, 11.224564713379886 60.72607962759177, 11.22620715820899 60.72525862551636, 11.227474022440212 60.7245050444514)"/>
    <s v="[363574, 362628, 2168499]"/>
    <s v="[351070, 351071, 351082]"/>
    <s v="#FIELD!"/>
    <s v="[351267, 351070, 351071]"/>
    <s v="[0.016, 0.027, 0.033]"/>
    <s v="268.7885034547161"/>
    <s v="[-0.016, -0.027, -0.033]"/>
  </r>
  <r>
    <x v="750"/>
    <x v="1019"/>
    <x v="0"/>
    <n v="0"/>
    <s v="LINESTRING (11.228469072125108 60.72375907760355, 11.228489675772245 60.72362655696274, 11.228457996822163 60.72355328975731, 11.228443849779211 60.7235252967739)"/>
    <s v="[2168505, 2168508, 2168511]"/>
    <s v="[1854787, 1854789, 1854790]"/>
    <s v="#FIELD!"/>
    <s v="[351102, 1854787, 1854789]"/>
    <s v="[0.023, 0.015, 0.003]"/>
    <s v="26.370001582183384"/>
    <s v="[-0.023, -0.015, -0.003]"/>
  </r>
  <r>
    <x v="751"/>
    <x v="1018"/>
    <x v="0"/>
    <n v="0"/>
    <s v="LINESTRING (11.236446728959015 60.72021109172185, 11.236048586315029 60.72041026529782, 11.230060882487017 60.723404894869795, 11.224238920122511 60.72631573762135)"/>
    <s v="[362820, 362828, 362836]"/>
    <s v="[351252, 351259, 351267]"/>
    <s v="0.019543525504956714"/>
    <s v="[351244, 351252, 351259]"/>
    <s v="[0.004, 0.009, 0.032]"/>
    <s v="952.2679499802608"/>
    <s v="[-0.004, 0.009, 0.032]"/>
  </r>
  <r>
    <x v="751"/>
    <x v="1020"/>
    <x v="0"/>
    <n v="0"/>
    <s v="LINESTRING (11.228611934320801 60.72325336634214, 11.228691353861658 60.72325056954091, 11.233166281903342 60.721778201114866, 11.235877026277553 60.72042230493076, 11.236446728959015 60.72021109172185)"/>
    <s v="[2168484, 2168487, 362236, 363268]"/>
    <s v="[1854777, 350706, 350707, 351244]"/>
    <s v="#FIELD!"/>
    <s v="[1854776, 1854777, 350706, 350707]"/>
    <s v="[0.031, 0.021, 0.0, 0.003]"/>
    <s v="552.031063604018"/>
    <s v="[-0.031, -0.021, 0.0, 0.003]"/>
  </r>
  <r>
    <x v="752"/>
    <x v="1"/>
    <x v="0"/>
    <s v="[0, 0, 0, 1, 0, 1, 0, 0, 1, 0, 1, 0, 0, 0, 0]"/>
    <s v="LINESTRING (11.224238920122511 60.72631573762135, 11.222527417851312 60.727171370681965, 11.221264891102898 60.727802680180396, 11.20540395912364 60.74350467520595, 11.204934363221135 60.743870240759385, 11.191879024079757 60.75779958778639, 11.191669023784977 60.75801797587497, 11.190052876366424 60.75955154543202, 11.179866689940571 60.76598192081864, 11.179710316767745 60.766055934859274, 11.164748630392587 60.770784943709536, 11.164411158250907 60.77088054564114, 11.16364542559776 60.7711097688856, 11.13481423848394 60.7827737492262, 11.134153043945776 60.78304645710228, 11.133833188298052 60.78318205446203)"/>
    <s v="[362844, 362852, 362860, 362868, 362876, 362884, 362892, 362900, 362908, 362916, 362924, 362932, 362940, 362948, 362956]"/>
    <s v="[351274, 351279, 351285, 351292, 351298, 351304, 351308, 351311, 351315, 351320, 351327, 351332, 351336, 351342, 351348]"/>
    <s v="#FIELD!"/>
    <s v="[351267, 351274, 351279, 351285, 351292, 351298, 351304, 351308, 351311, 351315, 351320, 351327, 351332, 351336, 351342]"/>
    <s v="[0.014, 0.001, 0.0, 0.004, 0.007, 0.02, 0.02, 0.004, 0.007, 0.003, 0.017, 0.011, 0.025, 0.028, 0.026]"/>
    <s v="8282.106446078884"/>
    <s v="[0.014, -0.001, 0.0, 0.004, -0.007, -0.02, -0.02, 0.004, 0.007, -0.003, 0.017, 0.011, -0.025, -0.028, -0.026]"/>
  </r>
  <r>
    <x v="753"/>
    <x v="4"/>
    <x v="0"/>
    <s v="[0, 1, 0]"/>
    <s v="LINESTRING (11.133833188298052 60.78318205446203, 11.128360034096291 60.786402163413385, 11.12788174617003 60.78678575337128, 11.125266280578165 60.789677274131606)"/>
    <s v="[363188, 363196, 363204]"/>
    <s v="[351598, 351608, 351618]"/>
    <s v="#FIELD!"/>
    <s v="[351348, 351598, 351608]"/>
    <s v="[0.022, 0.014, 0.044]"/>
    <s v="872.4791799650869"/>
    <s v="[-0.022, -0.014, -0.044]"/>
  </r>
  <r>
    <x v="754"/>
    <x v="1011"/>
    <x v="0"/>
    <s v="[0, 0, 1, 0, 1, 0, 0, 1, 0, 1, 0, 0, 0]"/>
    <s v="LINESTRING (11.222676566605532 60.727250703315576, 11.22142667756671 60.72787536876306, 11.20556018384579 60.743551616093846, 11.205088353426936 60.74391900647197, 11.192045374564197 60.757837483001424, 11.191837901894854 60.758053156690416, 11.190213332434904 60.75959519870741, 11.179996761842352 60.7660454028711, 11.179816475750126 60.76613042076096, 11.164838697293316 60.770863206103535, 11.164497411361792 60.7709599575688, 11.163743805522682 60.771185510423436, 11.134931685587052 60.78284266430307, 11.134275435487295 60.783111874817386)"/>
    <s v="[362964, 362972, 362980, 362988, 362996, 363004, 363012, 363020, 363028, 363036, 363044, 363052, 363060]"/>
    <s v="[351359, 351369, 351378, 351385, 351390, 351396, 351403, 351410, 351419, 351428, 351436, 351445, 351455]"/>
    <s v="#FIELD!"/>
    <s v="[351358, 351359, 351369, 351378, 351385, 351390, 351396, 351403, 351410, 351419, 351428, 351436, 351445]"/>
    <s v="[0.0, 0.0, 0.004, 0.007, 0.019, 0.02, 0.004, 0.009, 0.003, 0.012, 0.012, 0.025, 0.026]"/>
    <s v="8125.44458447085"/>
    <s v="[0.0, 0.0, 0.004, -0.007, -0.019, -0.02, 0.004, 0.009, -0.003, 0.012, 0.012, -0.025, -0.026]"/>
  </r>
  <r>
    <x v="754"/>
    <x v="1021"/>
    <x v="0"/>
    <n v="0"/>
    <s v="LINESTRING (11.236193491025835 60.72049169270067, 11.23021781861667 60.723480267703515, 11.224384559831202 60.726396821040574, 11.222676566605532 60.727250703315576)"/>
    <s v="[363164, 363172, 363180]"/>
    <s v="[351575, 351584, 351358]"/>
    <s v="0.01941974831208125"/>
    <s v="[351564, 351575, 351584]"/>
    <s v="[0.008, 0.033, 0.013]"/>
    <s v="1054.3541145048423"/>
    <s v="[0.008, 0.033, 0.013]"/>
  </r>
  <r>
    <x v="754"/>
    <x v="1022"/>
    <x v="0"/>
    <n v="0"/>
    <s v="LINESTRING (11.230922124321028 60.723974206115585, 11.230850654249924 60.72397336299488, 11.230675806502898 60.72397695356677, 11.226742938311094 60.72529081906245, 11.2232426707631 60.7270406993103, 11.222676566605532 60.727250703315576)"/>
    <s v="[2168490, 2168493, 2168496, 362756, 363566]"/>
    <s v="[1854781, 1854783, 351189, 351190, 351358]"/>
    <s v="0.02885362040658899"/>
    <s v="[1854780, 1854781, 1854783, 351189, 351190]"/>
    <s v="[0.018, 0.03, 0.038, 0.023, 0.009]"/>
    <s v="587.4793986322719"/>
    <s v="[0.018, 0.03, 0.038, 0.023, 0.009]"/>
  </r>
  <r>
    <x v="755"/>
    <x v="1013"/>
    <x v="0"/>
    <s v="[0, 0, 1, 0, 0, 1, 0]"/>
    <s v="LINESTRING (11.134275435487295 60.783111874817386, 11.133971560768023 60.78324210846815, 11.128529192153504 60.78643877880932, 11.128041728834091 60.786829834876094, 11.12544205574543 60.7897033874859, 11.125228293482147 60.79008715190376, 11.12502073673473 60.79043325185167, 11.124558120772933 60.791212439715586)"/>
    <s v="[363212, 363220, 363228, 363236, 374356, 374556, 375519]"/>
    <s v="[351626, 351635, 351644, 351653, 363283, 363414, 362669]"/>
    <s v="#FIELD!"/>
    <s v="[351455, 351626, 351635, 351644, 351653, 363283, 363414]"/>
    <s v="[0.028, 0.022, 0.013, 0.044, 0.056, 0.002, 0.0]"/>
    <s v="1065.1334909734333"/>
    <s v="[-0.028, -0.022, -0.013, -0.044, -0.056, -0.002, 0.0]"/>
  </r>
  <r>
    <x v="756"/>
    <x v="1021"/>
    <x v="0"/>
    <s v="[0, 1, 0, 0, 1, 0, 0]"/>
    <s v="LINESTRING (11.26593196984053 60.70533121139983, 11.251301756631156 60.71195306499578, 11.251001897233955 60.71218528614527, 11.246536519735345 60.71525290524697, 11.246251550155964 60.71540969059523, 11.245959492343793 60.715568236107416, 11.2365909187607 60.72029298397367, 11.236193491025835 60.72049169270067)"/>
    <s v="[363108, 363116, 363124, 363132, 363140, 363148, 363156]"/>
    <s v="[351514, 351522, 351529, 351537, 351544, 351554, 351564]"/>
    <s v="0.00830163445863222"/>
    <s v="[351513, 351514, 351522, 351529, 351537, 351544, 351554]"/>
    <s v="[0.011, 0.007, 0.009, 0.016, 0.016, 0.004, 0.005]"/>
    <s v="2357.755322388755"/>
    <s v="[0.011, 0.007, 0.009, 0.016, 0.016, 0.004, -0.005]"/>
  </r>
  <r>
    <x v="757"/>
    <x v="1023"/>
    <x v="0"/>
    <n v="0"/>
    <s v="LINESTRING (11.236193491025835 60.72049169270067, 11.235806754757744 60.720759012809694, 11.234415661481597 60.72145472110979, 11.231359968480719 60.72372916319615, 11.231374304318054 60.72376761467944)"/>
    <s v="[363260, 362228, 2168478, 2168481]"/>
    <s v="[350698, 350699, 1854773, 1854774]"/>
    <s v="0.00606859547648002"/>
    <s v="[351564, 350698, 350699, 1854773]"/>
    <s v="[0.003, 0.002, 0.01, 0.006]"/>
    <s v="456.41013669092075"/>
    <s v="[-0.003, -0.002, 0.01, 0.006]"/>
  </r>
  <r>
    <x v="758"/>
    <x v="853"/>
    <x v="0"/>
    <s v="[0, 1, 0, 0, 0, 1, 0]"/>
    <s v="LINESTRING (11.125266280578165 60.789677274131606, 11.125008838252079 60.79005573100421, 11.12480127936393 60.79040183059433, 11.124336927127453 60.791176023684095, 11.124202425587441 60.791451243681045, 11.122600138994278 60.794123009518195, 11.12226499388236 60.7946793547557, 11.121146970535554 60.796132271202964)"/>
    <s v="[374324, 375543, 375431, 375439, 375535, 372982, 373462]"/>
    <s v="[363253, 364258, 364259, 364268, 362011, 362012, 362485]"/>
    <s v="#FIELD!"/>
    <s v="[351618, 363253, 364258, 364259, 364268, 362011, 362012]"/>
    <s v="[0.054, 0.006, 0.0, 0.0, 0.001, 0.003, 0.008]"/>
    <s v="754.0323250106928"/>
    <s v="[-0.054, -0.006, 0.0, 0.0, 0.001, 0.003, 0.008]"/>
  </r>
  <r>
    <x v="759"/>
    <x v="1024"/>
    <x v="0"/>
    <n v="0"/>
    <s v="LINESTRING (11.229125681391297 60.72350099464495, 11.228714843485047 60.72348349254017, 11.228642382354035 60.723481721462136)"/>
    <s v="[363372, 363380]"/>
    <s v="[351789, 351797]"/>
    <s v="0.032"/>
    <s v="[351788, 351789]"/>
    <s v="0.032"/>
    <s v="26.469791553322125"/>
    <s v="0.032"/>
  </r>
  <r>
    <x v="759"/>
    <x v="1025"/>
    <x v="0"/>
    <n v="0"/>
    <s v="LINESTRING (11.229125681391297 60.72350099464495, 11.22878987224175 60.72338835055556, 11.228734190700262 60.72337338963608)"/>
    <s v="[363388, 363396]"/>
    <s v="[351801, 351810]"/>
    <s v="0.017134976995748365"/>
    <s v="[351788, 351801]"/>
    <s v="[0.017, 0.018]"/>
    <s v="25.682557726165978"/>
    <s v="[0.017, 0.018]"/>
  </r>
  <r>
    <x v="759"/>
    <x v="1026"/>
    <x v="0"/>
    <s v="[0, 1, 0]"/>
    <s v="LINESTRING (11.23046200150644 60.723747959091284, 11.230245698646469 60.723707929734275, 11.22933924186597 60.723540445293565, 11.229125681391297 60.72350099464495)"/>
    <s v="[2168607, 2168610, 2168613]"/>
    <s v="[1854832, 1854834, 351788]"/>
    <s v="0.02684228343041969"/>
    <s v="[351827, 1854832, 1854834]"/>
    <s v="[0.028, 0.027, 0.025]"/>
    <s v="77.96014593329298"/>
    <s v="[0.028, 0.027, 0.025]"/>
  </r>
  <r>
    <x v="760"/>
    <x v="1019"/>
    <x v="0"/>
    <n v="0"/>
    <m/>
    <n v="2168586"/>
    <n v="1854790"/>
    <s v="0.04"/>
    <n v="351797"/>
    <s v="0.04"/>
    <s v="12.063775564334687"/>
    <s v="0.04"/>
  </r>
  <r>
    <x v="760"/>
    <x v="1025"/>
    <x v="0"/>
    <n v="0"/>
    <s v="LINESTRING (11.228734190700262 60.72337338963608, 11.228714272498506 60.723427388553404, 11.228642382354035 60.723481721462136)"/>
    <s v="[2168604, 2168583]"/>
    <s v="[1854825, 351797]"/>
    <s v="0.030247598870136734"/>
    <s v="[351810, 1854825]"/>
    <s v="[0.027, 0.033]"/>
    <s v="13.33004986581112"/>
    <s v="[0.027, 0.033]"/>
  </r>
  <r>
    <x v="761"/>
    <x v="1020"/>
    <x v="0"/>
    <n v="0"/>
    <m/>
    <n v="2168601"/>
    <n v="351810"/>
    <s v="0.004"/>
    <n v="1854776"/>
    <s v="0.004"/>
    <s v="15.348865544159192"/>
    <s v="0.004"/>
  </r>
  <r>
    <x v="762"/>
    <x v="1026"/>
    <x v="0"/>
    <n v="0"/>
    <s v="LINESTRING (11.230849986605016 60.723883639625754, 11.23079366404126 60.72386317861099, 11.23046200150644 60.723747959091284)"/>
    <s v="[363404, 363412]"/>
    <s v="[351819, 351827]"/>
    <s v="0.021087835633625866"/>
    <s v="[351818, 351819]"/>
    <s v="[0.01, 0.023]"/>
    <s v="26.02177659124341"/>
    <s v="[0.01, 0.023]"/>
  </r>
  <r>
    <x v="762"/>
    <x v="1027"/>
    <x v="0"/>
    <n v="0"/>
    <s v="LINESTRING (11.230849986605016 60.723883639625754, 11.230869796325925 60.72382271630861, 11.23093324054545 60.72377308818257)"/>
    <s v="[2168568, 2168571]"/>
    <s v="[1854818, 351837]"/>
    <s v="#FIELD!"/>
    <s v="[351818, 1854818]"/>
    <s v="[0.012, 0.017]"/>
    <s v="13.399896529745876"/>
    <s v="[-0.012, -0.017]"/>
  </r>
  <r>
    <x v="762"/>
    <x v="1022"/>
    <x v="0"/>
    <n v="0"/>
    <m/>
    <n v="2168565"/>
    <n v="351818"/>
    <s v="#FIELD!"/>
    <n v="1854780"/>
    <s v="0.002"/>
    <s v="10.83340205070504"/>
    <s v="#FIELD!"/>
  </r>
  <r>
    <x v="763"/>
    <x v="1027"/>
    <x v="0"/>
    <n v="0"/>
    <s v="LINESTRING (11.23093324054545 60.72377308818257, 11.230867998036473 60.723767656473306, 11.23046200150644 60.723747959091284)"/>
    <s v="[363420, 363429]"/>
    <s v="[351838, 351827]"/>
    <s v="0.028906465957881728"/>
    <s v="[351837, 351838]"/>
    <s v="[0.016, 0.031]"/>
    <s v="25.881227488636746"/>
    <s v="[0.016, 0.031]"/>
  </r>
  <r>
    <x v="764"/>
    <x v="1023"/>
    <x v="0"/>
    <n v="0"/>
    <m/>
    <n v="2168574"/>
    <n v="1854774"/>
    <s v="#FIELD!"/>
    <n v="351837"/>
    <s v="0.016"/>
    <s v="26.62280563700921"/>
    <s v="#FIELD!"/>
  </r>
  <r>
    <x v="765"/>
    <x v="1028"/>
    <x v="0"/>
    <n v="0"/>
    <m/>
    <n v="363589"/>
    <n v="351986"/>
    <s v="#FIELD!"/>
    <n v="351985"/>
    <s v="0.069"/>
    <s v="12.485168561151074"/>
    <s v="#FIELD!"/>
  </r>
  <r>
    <x v="765"/>
    <x v="1029"/>
    <x v="0"/>
    <n v="0"/>
    <m/>
    <n v="1747597"/>
    <n v="352016"/>
    <s v="0.063"/>
    <n v="351985"/>
    <s v="0.063"/>
    <s v="37.7245262664353"/>
    <s v="0.063"/>
  </r>
  <r>
    <x v="765"/>
    <x v="1030"/>
    <x v="0"/>
    <n v="0"/>
    <s v="LINESTRING (11.192426334162368 60.33409585655505, 11.193538425271846 60.334985818597694, 11.193834615859233 60.33519992008404, 11.194534799227874 60.33567499476557, 11.195673401798253 60.33637297377542)"/>
    <s v="[1747543, 1747557, 1747572, 1747591]"/>
    <s v="[1549292, 1549300, 1549307, 351985]"/>
    <s v="0.038975769232232484"/>
    <s v="[1547266, 1549292, 1549300, 1549307]"/>
    <s v="[0.041, 0.016, 0.047, 0.038]"/>
    <s v="311.2014059669966"/>
    <s v="[0.041, 0.016, 0.047, 0.038]"/>
  </r>
  <r>
    <x v="766"/>
    <x v="1031"/>
    <x v="0"/>
    <n v="0"/>
    <s v="LINESTRING (11.195389202780174 60.33634016738297, 11.195389202780174 60.33634016738297, 11.195097928238408 60.33630553067618)"/>
    <s v="[363605, 363613]"/>
    <s v="[351998, 352008]"/>
    <s v="#FIELD!"/>
    <s v="[351999, 351998]"/>
    <s v="[0.0, 0.069]"/>
    <s v="19.179970725751577"/>
    <s v="[0.0, -0.069]"/>
  </r>
  <r>
    <x v="767"/>
    <x v="1032"/>
    <x v="0"/>
    <n v="0"/>
    <m/>
    <n v="1748175"/>
    <n v="352041"/>
    <s v="0.064"/>
    <n v="352008"/>
    <s v="0.064"/>
    <s v="90.89713384391918"/>
    <s v="0.064"/>
  </r>
  <r>
    <x v="767"/>
    <x v="1033"/>
    <x v="0"/>
    <n v="0"/>
    <m/>
    <n v="1748167"/>
    <n v="352008"/>
    <s v="0.036"/>
    <n v="1547272"/>
    <s v="0.036"/>
    <s v="71.3301559018246"/>
    <s v="0.036"/>
  </r>
  <r>
    <x v="768"/>
    <x v="1034"/>
    <x v="0"/>
    <n v="0"/>
    <m/>
    <n v="363621"/>
    <n v="352017"/>
    <s v="0.029"/>
    <n v="352016"/>
    <s v="0.029"/>
    <s v="13.338445186853786"/>
    <s v="0.029"/>
  </r>
  <r>
    <x v="768"/>
    <x v="1035"/>
    <x v="82"/>
    <n v="0"/>
    <s v="LINESTRING (11.19610691857099 60.33663455438863, 11.196968163613523 60.33714391800828, 11.197104364048037 60.33722187746943, 11.20850107942626 60.345822834339444, 11.208557632187636 60.34595879568996, 11.208584008587223 60.346059594332814, 11.208616018156617 60.34618200112134, 11.208715927494385 60.346592946026064)"/>
    <s v="[1747598, 1747605, 1536322, 1536330, 1747621, 1747626, 1747627]"/>
    <s v="[1549319, 1388396, 1388397, 1388406, 1549331, 1549334, 1549335]"/>
    <s v="0.007424890891746642"/>
    <s v="[352016, 1549319, 1388396, 1388397, 1388406, 1549331, 1549334]"/>
    <s v="[0.029, 0.193, 0.021, 0.19, 0.162, 0.178, 0.159]"/>
    <s v="1333.5104271103312"/>
    <s v="[-0.029, 0.193, 0.021, -0.19, -0.162, -0.178, -0.159]"/>
  </r>
  <r>
    <x v="769"/>
    <x v="1032"/>
    <x v="0"/>
    <n v="0"/>
    <s v="LINESTRING (11.196121845561212 60.33678419794997, 11.196121845561212 60.33678419794997, 11.196138551218498 60.33693740711273)"/>
    <s v="[363637, 363645]"/>
    <s v="[352031, 352041]"/>
    <s v="0.03427409857919531"/>
    <s v="[352032, 352031]"/>
    <s v="[0.0, 0.039]"/>
    <s v="19.455077657885653"/>
    <s v="[0.0, 0.039]"/>
  </r>
  <r>
    <x v="770"/>
    <x v="1036"/>
    <x v="0"/>
    <n v="0"/>
    <s v="LINESTRING (11.196138551218498 60.33693740711273, 11.196638505181966 60.33723801269784, 11.196768550721812 60.33731976936083)"/>
    <s v="[1748190, 1748197]"/>
    <s v="[1549660, 600471]"/>
    <s v="0.10114718625479024"/>
    <s v="[352041, 1549660]"/>
    <s v="[0.111, 0.895]"/>
    <s v="55.01599780355653"/>
    <s v="[-0.111, 0.895]"/>
  </r>
  <r>
    <x v="771"/>
    <x v="1037"/>
    <x v="0"/>
    <s v="[0, 0, 1, 1, 0, 0, 0]"/>
    <s v="LINESTRING (5.63623432962855 59.0114755843806, 5.636155713865669 59.01162304603977, 5.636052517513485 59.01173807660945, 5.635855501570055 59.01192234797319, 5.6358336107746245 59.01194282254729, 5.635655908174621 59.0121244529616, 5.63579792884516 59.0123325600163, 5.635948177430143 59.01236041656123)"/>
    <s v="[363767, 363775, 363783, 363791, 363799, 363807, 363815]"/>
    <s v="[352183, 352192, 352201, 352211, 352221, 352228, 352237]"/>
    <s v="#FIELD!"/>
    <s v="[352182, 352183, 352192, 352201, 352211, 352221, 352228]"/>
    <s v="[0.01, 0.003, 0.021, 0.051, 0.03, 0.042, 0.103]"/>
    <s v="116.52474494980878"/>
    <s v="[-0.01, -0.003, 0.021, 0.051, 0.03, -0.042, -0.103]"/>
  </r>
  <r>
    <x v="771"/>
    <x v="1038"/>
    <x v="0"/>
    <s v="[0, 1, 0]"/>
    <s v="LINESTRING (5.63623432962855 59.0114755843806, 5.635980675854673 59.01171313542004, 5.635766205930614 59.01191639716808, 5.635487606542641 59.01219442642912)"/>
    <s v="[367104, 367112, 367120]"/>
    <s v="[355752, 355758, 352382]"/>
    <s v="0.02155933975294041"/>
    <s v="[352182, 355752, 355758]"/>
    <s v="[0.0, 0.03, 0.034]"/>
    <s v="91.13595391188628"/>
    <s v="[-0.0, 0.03, 0.034]"/>
  </r>
  <r>
    <x v="771"/>
    <x v="1039"/>
    <x v="0"/>
    <n v="0"/>
    <s v="LINESTRING (5.638128944755327 59.0097091447653, 5.6372553657181195 59.0105251492097, 5.63623432962855 59.0114755843806)"/>
    <s v="[367088, 367096]"/>
    <s v="[355739, 352182]"/>
    <s v="#FIELD!"/>
    <s v="[355738, 355739]"/>
    <s v="[0.019, 0.015]"/>
    <s v="225.58237810765036"/>
    <s v="[-0.019, -0.015]"/>
  </r>
  <r>
    <x v="772"/>
    <x v="1040"/>
    <x v="0"/>
    <n v="0"/>
    <s v="LINESTRING (5.635948177430143 59.01236041656123, 5.6365378025474735 59.01213995056207, 5.635982722476878 59.011864219084565, 5.635801709909857 59.01180284781262, 5.63578655807324 59.0117975855068, 5.635771423420938 59.011792324451974, 5.635148765722336 59.0115787412216)"/>
    <s v="[363823, 363831, 363839, 363847, 363856, 363865]"/>
    <s v="[352246, 352255, 352264, 352275, 352285, 352293]"/>
    <s v="0.036662449748103655"/>
    <s v="[352237, 352246, 352255, 352264, 352275, 352285]"/>
    <s v="[0.025, 0.041, 0.086, 0.051, 0.118, 0.082]"/>
    <s v="149.31631089960624"/>
    <s v="[-0.025, 0.041, 0.086, 0.051, 0.118, 0.082]"/>
  </r>
  <r>
    <x v="772"/>
    <x v="1041"/>
    <x v="0"/>
    <n v="0"/>
    <s v="LINESTRING (5.635948177430143 59.01236041656123, 5.635853039305111 59.012375712971796, 5.635426096788545 59.012379829519666, 5.635342058340495 59.01237208366324)"/>
    <s v="[364018, 364026, 364034]"/>
    <s v="[352434, 352440, 352446]"/>
    <s v="0.10290041989769835"/>
    <s v="[352237, 352434, 352440]"/>
    <s v="[0.099, 0.102, 0.112]"/>
    <s v="35.50798382562808"/>
    <s v="[0.099, 0.102, 0.112]"/>
  </r>
  <r>
    <x v="773"/>
    <x v="1038"/>
    <x v="0"/>
    <n v="0"/>
    <s v="LINESTRING (5.634820267861344 59.01220550413393, 5.634820267861344 59.01220550413393, 5.635370191320693 59.01221939553855, 5.635487606542641 59.01219442642912)"/>
    <s v="[363938, 363946, 363954]"/>
    <s v="[352370, 352377, 352382]"/>
    <s v="#FIELD!"/>
    <s v="[352369, 352370, 352377]"/>
    <s v="[0.0, 0.101, 0.091]"/>
    <s v="43.10839895883021"/>
    <s v="[0.0, -0.101, -0.091]"/>
  </r>
  <r>
    <x v="774"/>
    <x v="1041"/>
    <x v="0"/>
    <n v="0"/>
    <m/>
    <n v="367128"/>
    <n v="352446"/>
    <s v="0.031"/>
    <n v="352382"/>
    <s v="0.031"/>
    <s v="21.551758396269033"/>
    <s v="0.031"/>
  </r>
  <r>
    <x v="775"/>
    <x v="1042"/>
    <x v="0"/>
    <n v="0"/>
    <s v="LINESTRING (5.635342058340495 59.01237208366324, 5.635096067372116 59.01281150486082, 5.634890655775207 59.0132016996311)"/>
    <s v="[367136, 367144]"/>
    <s v="[355780, 352453]"/>
    <s v="0.01536938340744788"/>
    <s v="[352446, 355780]"/>
    <s v="[0.021, 0.009]"/>
    <s v="96.28923402347536"/>
    <s v="[0.021, 0.009]"/>
  </r>
  <r>
    <x v="776"/>
    <x v="1043"/>
    <x v="0"/>
    <n v="0"/>
    <s v="LINESTRING (5.634890655775207 59.0132016996311, 5.634919307007213 59.0129628808878, 5.635213451781547 59.01241403241518, 5.634881739739617 59.01233923038589, 5.634801301474379 59.0123597102927)"/>
    <s v="[364042, 364050, 364058, 364066]"/>
    <s v="[352454, 352463, 352468, 352477]"/>
    <s v="0.014410376024858005"/>
    <s v="[352453, 352454, 352463, 352468]"/>
    <s v="[0.024, 0.022, 0.079, 0.09]"/>
    <s v="121.38774489425873"/>
    <s v="[0.024, -0.022, 0.079, 0.09]"/>
  </r>
  <r>
    <x v="776"/>
    <x v="1044"/>
    <x v="0"/>
    <n v="0"/>
    <s v="LINESTRING (5.634890655775207 59.0132016996311, 5.634872056554175 59.013236242293665, 5.634867172943416 59.01324485187152, 5.634679283853183 59.01359814781112, 5.634336146621837 59.01425236756083, 5.634331640684349 59.01426100467564, 5.63299764607936 59.01583661044222, 5.613378947103801 59.02772636370692, 5.616679272828507 59.030708476723625, 5.616999130362986 59.03086565124399, 5.617011657426136 59.030871808419406, 5.618568942808508 59.03165295459616, 5.622298515232367 59.03351637946702, 5.625679283789122 59.03540650388424, 5.633799700486159 59.040504979104526, 5.633810502504782 59.040511948553934, 5.656078178866765 59.054550299204784, 5.65810823528502 59.05557351079339)"/>
    <s v="[367152, 367160, 367168, 367176, 367184, 367192, 367200, 367208, 367216, 367224, 367232, 367240, 367248, 804881, 804889, 804897, 804905]"/>
    <s v="[355795, 355802, 355810, 355821, 355829, 355838, 355846, 355859, 355868, 355877, 355886, 355893, 355902, 783284, 783291, 783299, 783308]"/>
    <s v="#FIELD!"/>
    <s v="[352453, 355795, 355802, 355810, 355821, 355829, 355838, 355846, 355859, 355868, 355877, 355886, 355893, 355902, 783284, 783291, 783299]"/>
    <s v="[0.023, 0.0, 0.023, 0.031, 0.022, 0.036, 0.005, 0.0, 0.0, 0.0, 0.0, 0.0, 0.0, 0.043, 0.318, 0.011, 0.018]"/>
    <s v="6341.758363292759"/>
    <s v="[-0.023, 0.0, -0.023, -0.031, -0.022, -0.036, -0.005, 0.0, 0.0, 0.0, 0.0, 0.0, 0.0, 0.043, 0.318, -0.011, -0.018]"/>
  </r>
  <r>
    <x v="777"/>
    <x v="1045"/>
    <x v="0"/>
    <n v="0"/>
    <s v="LINESTRING (5.702037406940451 59.105578669215504, 5.701939132777678 59.10575385139629, 5.701856639890445 59.105856329544714, 5.7017634095196925 59.10597328681081, 5.701680225585401 59.10665089944338)"/>
    <s v="[364130, 364138, 364146, 364154]"/>
    <s v="[352538, 352544, 352553, 352562]"/>
    <s v="#FIELD!"/>
    <s v="[352537, 352538, 352544, 352553]"/>
    <s v="[0.083, 0.046, 0.006, 0.0]"/>
    <s v="134.50246192082568"/>
    <s v="[-0.083, -0.046, 0.006, -0.0]"/>
  </r>
  <r>
    <x v="777"/>
    <x v="1046"/>
    <x v="0"/>
    <n v="0"/>
    <s v="LINESTRING (5.702037406940451 59.105578669215504, 5.701798827635865 59.105813064985966, 5.7017910378955685 59.10582138579715, 5.701698676658185 59.10592152399407, 5.701612478897035 59.10602225217086)"/>
    <s v="[367304, 367312, 367320, 367328]"/>
    <s v="[355966, 355976, 355987, 352644]"/>
    <s v="#FIELD!"/>
    <s v="[352537, 355966, 355976, 355987]"/>
    <s v="[0.064, 0.01, 0.008, 0.008]"/>
    <s v="55.277184761272196"/>
    <s v="[-0.064, -0.01, -0.008, 0.008]"/>
  </r>
  <r>
    <x v="777"/>
    <x v="1047"/>
    <x v="0"/>
    <n v="0"/>
    <s v="LINESTRING (5.674137400777704 59.07040905400899, 5.676857777531527 59.07195048970413, 5.690405865897954 59.08036867173898, 5.690416708970632 59.08037563831056, 5.699554644598527 59.08630765213449, 5.701532236782405 59.08758663196101, 5.705782612138577 59.09240730483513, 5.705785513665654 59.09241610895601, 5.706120829656589 59.09341507234269, 5.706207762109176 59.09367859989634, 5.70303511353152 59.10486550756748, 5.702037406940451 59.105578669215504)"/>
    <s v="[805121, 805129, 805137, 805145, 805153, 367256, 367264, 367272, 367280, 367288, 367296]"/>
    <s v="[783529, 783536, 783543, 783549, 355910, 355911, 355919, 355927, 355938, 355949, 352537]"/>
    <s v="0.00045205413635887354"/>
    <s v="[783522, 783529, 783536, 783543, 783549, 355910, 355911, 355919, 355927, 355938, 355949]"/>
    <s v="[0.044, 0.013, 0.0, 0.003, 0.005, 0.131, 0.163, 0.165, 0.257, 0.059, 0.183]"/>
    <s v="4744.106235400971"/>
    <s v="[0.044, -0.013, 0.0, 0.003, -0.005, 0.131, 0.163, 0.165, 0.257, -0.059, -0.183]"/>
  </r>
  <r>
    <x v="778"/>
    <x v="1048"/>
    <x v="0"/>
    <n v="0"/>
    <s v="LINESTRING (5.701680225585401 59.10665089944338, 5.702289514446995 59.106526291497126, 5.7023304291646015 59.10648134994636)"/>
    <s v="[364162, 364170]"/>
    <s v="[352571, 352576]"/>
    <s v="0.12341553919644384"/>
    <s v="[352562, 352571]"/>
    <s v="[0.127, 0.098]"/>
    <s v="44.861607348006764"/>
    <s v="[0.127, 0.098]"/>
  </r>
  <r>
    <x v="778"/>
    <x v="1049"/>
    <x v="0"/>
    <n v="0"/>
    <s v="LINESTRING (5.701680225585401 59.10665089944338, 5.701607484577536 59.10666923028293, 5.70121918376553 59.1066910819285, 5.701135777840963 59.10669950495769)"/>
    <s v="[364250, 364258, 364266]"/>
    <s v="[352652, 352660, 352671]"/>
    <s v="0.039138346476729396"/>
    <s v="[352562, 352652, 352660]"/>
    <s v="[0.041, 0.039, 0.038]"/>
    <s v="31.99051545945451"/>
    <s v="[0.041, 0.039, 0.038]"/>
  </r>
  <r>
    <x v="779"/>
    <x v="1046"/>
    <x v="0"/>
    <n v="0"/>
    <s v="LINESTRING (5.701154627322942 59.10597514646336, 5.701236814804305 59.106008740656016, 5.701484874715657 59.106037277760386, 5.701612478897035 59.10602225217086)"/>
    <s v="[364226, 364234, 364242]"/>
    <s v="[352623, 352635, 352644]"/>
    <s v="#FIELD!"/>
    <s v="[352622, 352623, 352635]"/>
    <s v="[0.041, 0.039, 0.036]"/>
    <s v="28.46315142090249"/>
    <s v="[-0.041, -0.039, -0.036]"/>
  </r>
  <r>
    <x v="779"/>
    <x v="1050"/>
    <x v="0"/>
    <n v="0"/>
    <s v="LINESTRING (5.701154627322942 59.10597514646336, 5.701091998550811 59.1059188359177, 5.700906519942689 59.10574881282186)"/>
    <s v="[364354, 364362]"/>
    <s v="[352748, 352755]"/>
    <s v="0.029"/>
    <s v="[352622, 352748]"/>
    <s v="0.029"/>
    <s v="29.033498827798063"/>
    <s v="0.029"/>
  </r>
  <r>
    <x v="779"/>
    <x v="1051"/>
    <x v="0"/>
    <n v="0"/>
    <s v="LINESTRING (5.700870867917743 59.10721932281181, 5.700854726579929 59.107073042732104, 5.701154627322942 59.10597514646336)"/>
    <s v="[364338, 364346]"/>
    <s v="[352735, 352622]"/>
    <s v="#FIELD!"/>
    <s v="[352734, 352735]"/>
    <s v="[0.011, 0.008]"/>
    <s v="143.28979679456418"/>
    <s v="[-0.011, -0.008]"/>
  </r>
  <r>
    <x v="780"/>
    <x v="1049"/>
    <x v="0"/>
    <n v="0"/>
    <m/>
    <n v="367336"/>
    <n v="352671"/>
    <s v="0.012"/>
    <n v="352644"/>
    <s v="0.012"/>
    <s v="80.52958393046887"/>
    <s v="0.012"/>
  </r>
  <r>
    <x v="781"/>
    <x v="1051"/>
    <x v="0"/>
    <n v="0"/>
    <m/>
    <n v="367344"/>
    <n v="352734"/>
    <s v="0.022"/>
    <n v="352671"/>
    <s v="0.022"/>
    <s v="60.045830779600564"/>
    <s v="0.022"/>
  </r>
  <r>
    <x v="782"/>
    <x v="1052"/>
    <x v="0"/>
    <n v="0"/>
    <s v="LINESTRING (5.700870867917743 59.10721932281181, 5.7007396672465305 59.107494148208275, 5.7003337915495305 59.10832355731598, 5.699106715380637 59.110773215632996, 5.697955629444955 59.113295639867594)"/>
    <s v="[367352, 367360, 367368, 367376]"/>
    <s v="[356026, 356037, 356048, 356058]"/>
    <s v="#FIELD!"/>
    <s v="[352734, 356026, 356037, 356048]"/>
    <s v="[0.09, 0.005, 0.003, 0.012]"/>
    <s v="699.4381988950765"/>
    <s v="[-0.09, -0.005, -0.003, 0.012]"/>
  </r>
  <r>
    <x v="783"/>
    <x v="1053"/>
    <x v="0"/>
    <n v="0"/>
    <s v="LINESTRING (5.700906519942689 59.10574881282186, 5.700801495283593 59.105559172955786, 5.7007729464546415 59.10551433559734)"/>
    <s v="[379974, 379992]"/>
    <s v="[369081, 354422]"/>
    <s v="0.02257333185417245"/>
    <s v="[352755, 369081]"/>
    <s v="[0.022, 0.025]"/>
    <s v="27.585615957947837"/>
    <s v="[0.022, 0.025]"/>
  </r>
  <r>
    <x v="783"/>
    <x v="1054"/>
    <x v="0"/>
    <n v="0"/>
    <s v="LINESTRING (5.700906519942689 59.10574881282186, 5.700616357103134 59.10559797394437, 5.70056565049586 59.10555468909948)"/>
    <s v="[1112710, 1112718]"/>
    <s v="[1052365, 354437]"/>
    <s v="0.035235377219427925"/>
    <s v="[352755, 1052365]"/>
    <s v="[0.036, 0.032]"/>
    <s v="29.54012646834429"/>
    <s v="[0.036, 0.032]"/>
  </r>
  <r>
    <x v="784"/>
    <x v="1055"/>
    <x v="0"/>
    <n v="0"/>
    <s v="LINESTRING (14.528665853091866 66.40512668809225, 14.531726341132954 66.40428237068868, 14.531901571235496 66.40425024085225, 14.532005786852157 66.40423119334419, 14.532981897172549 66.40406550193384, 14.535864635143678 66.40362888384631)"/>
    <s v="[364407, 364415, 364423, 364431, 364439]"/>
    <s v="[352796, 352803, 352811, 352821, 352828]"/>
    <s v="0.028534795181349586"/>
    <s v="[352795, 352796, 352803, 352811, 352821]"/>
    <s v="[0.044, 0.06, 0.066, 0.021, 0.009]"/>
    <s v="365.8622493389352"/>
    <s v="[0.044, 0.06, 0.066, 0.021, 0.009]"/>
  </r>
  <r>
    <x v="784"/>
    <x v="1055"/>
    <x v="0"/>
    <n v="0"/>
    <s v="LINESTRING (14.528665853091866 66.40512668809225, 14.531892317708905 66.4043261105545, 14.532103873646175 66.40428736097223, 14.5330547995194 66.40412642912428, 14.533483737786288 66.40405904567571, 14.535864635143678 66.40362888384631)"/>
    <s v="[364447, 364455, 364463, 364471, 364479]"/>
    <s v="[352835, 352838, 352845, 352856, 352828]"/>
    <s v="0.028459602821709822"/>
    <s v="[352795, 352835, 352838, 352845, 352856]"/>
    <s v="[0.044, 0.062, 0.023, 0.006, 0.009]"/>
    <s v="364.47892222011984"/>
    <s v="[0.044, 0.062, 0.023, 0.006, 0.009]"/>
  </r>
  <r>
    <x v="784"/>
    <x v="1056"/>
    <x v="0"/>
    <n v="0"/>
    <m/>
    <n v="2088551"/>
    <n v="352795"/>
    <s v="0.004"/>
    <n v="353465"/>
    <s v="0.004"/>
    <s v="287.6469321335166"/>
    <s v="0.004"/>
  </r>
  <r>
    <x v="785"/>
    <x v="1057"/>
    <x v="0"/>
    <s v="[0, 1, 0, 0, 0, 0, 0, 0, 0, 0]"/>
    <s v="LINESTRING (14.535864635143678 66.40362888384631, 14.536947978623436 66.40330204763937, 14.537431213254928 66.40308987375124, 14.535169930164354 66.39881464695348, 14.535081786355354 66.39875780207609, 14.530168515474662 66.3951870304697, 14.52954524521715 66.39406507948034, 14.537386696815263 66.38912556098094, 14.537476825657476 66.38905385122084, 14.537792501780247 66.38879953446784, 14.538183547921362 66.3884870637626)"/>
    <s v="[2088559, 2088567, 2088575, 2088583, 2088591, 2088599, 595574, 1819958, 1819966, 1819982]"/>
    <s v="[1808677, 1808682, 456467, 1808691, 456401, 599310, 599311, 1600094, 1600004, 1571835]"/>
    <s v="#FIELD!"/>
    <s v="[352828, 1808677, 1808682, 456467, 1808691, 456401, 599310, 599311, 1600094, 1600004]"/>
    <s v="[0.106, 0.008, 0.019, 0.01, 0.012, 0.037, 0.033, 0.038, 0.027, 0.012]"/>
    <s v="1963.1924361864449"/>
    <s v="[-0.106, -0.008, 0.019, 0.01, 0.012, -0.037, -0.033, 0.038, 0.027, 0.012]"/>
  </r>
  <r>
    <x v="786"/>
    <x v="1058"/>
    <x v="0"/>
    <n v="0"/>
    <m/>
    <n v="367616"/>
    <n v="356326"/>
    <s v="#FIELD!"/>
    <n v="352859"/>
    <s v="0.1"/>
    <s v="132.6456094599202"/>
    <s v="#FIELD!"/>
  </r>
  <r>
    <x v="786"/>
    <x v="1059"/>
    <x v="0"/>
    <n v="0"/>
    <s v="LINESTRING (5.6388704286886275 59.126454804926304, 5.638757414422297 59.126413143247056, 5.638750113878753 59.12636065149991)"/>
    <s v="[364474, 364482]"/>
    <s v="[352860, 352867]"/>
    <s v="0.05923224949040474"/>
    <s v="[352859, 352860]"/>
    <s v="[0.041, 0.084]"/>
    <s v="13.869092410469431"/>
    <s v="[0.041, 0.084]"/>
  </r>
  <r>
    <x v="786"/>
    <x v="1052"/>
    <x v="83"/>
    <s v="[0, 0, 0, 0, 0, 0, 0, 0, 0, 0, 0, 0, 0, 0, 0, 0, 0, 0, 0, 0, 0, 0, 0, 0, 0, 1, 1, 0, 0]"/>
    <s v="LINESTRING (5.697955629444955 59.113295639867594, 5.697603314047502 59.11441761206318, 5.697589150930176 59.114468201150906, 5.69757144254494 59.11453098757411, 5.697416798369221 59.11511854021222, 5.6973525549565505 59.115356624258496, 5.696906357011222 59.11650918948419, 5.693193085741794 59.11942200551653, 5.693175998351991 59.11942863246772, 5.693107631491 59.11945513900175, 5.682650329423956 59.12150605688931, 5.6825710829237 59.121523266307605, 5.676617923370144 59.12359939026636, 5.676552196522213 59.12361380698672, 5.670247375578873 59.12494624915293, 5.6702293344959855 59.12494901741191, 5.670157182513716 59.12496010939473, 5.6586562351866325 59.12638397764925, 5.658636347332726 59.12638405257287, 5.658457268032902 59.126384729352765, 5.6476134726557 59.126254977749745, 5.647548289804537 59.12626376208962, 5.643070001497854 59.12646236906854, 5.641603005162791 59.1264265830866, 5.641553068624488 59.12642557304005, 5.641032041782841 59.126417773681446, 5.640749186685931 59.12641455774872, 5.640400105658327 59.12641547280655, 5.638997590432642 59.126449412195626, 5.6388704286886275 59.126454804926304)"/>
    <s v="[367384, 367392, 367400, 367408, 367416, 367424, 367432, 367440, 367448, 367456, 367464, 367472, 367480, 367488, 367496, 367504, 367512, 367520, 367528, 367536, 367544, 367552, 367560, 367568, 367576, 367584, 367592, 367600, 367608]"/>
    <s v="[356070, 356083, 356093, 356100, 356112, 356124, 356134, 356146, 356155, 356165, 356172, 356179, 356186, 356193, 356200, 356208, 356216, 356223, 356230, 356238, 356246, 356257, 356265, 356272, 356282, 356292, 356299, 356307, 352859]"/>
    <s v="0.006495924478470797"/>
    <s v="[356058, 356070, 356083, 356093, 356100, 356112, 356124, 356134, 356146, 356155, 356165, 356172, 356179, 356186, 356193, 356200, 356208, 356216, 356223, 356230, 356238, 356246, 356257, 356265, 356272, 356282, 356292, 356299, 356307]"/>
    <s v="[0.017, 0.015, 0.018, 0.005, 0.013, 0.011, 0.007, 0.037, 0.02, 0.009, 0.033, 0.005, 0.054, 0.004, 0.024, 0.001, 0.039, 0.005, 0.005, 0.007, 0.018, 0.014, 0.082, 0.085, 0.009, 0.004, 0.001, 0.001, 1.082]"/>
    <s v="4075.145280677925"/>
    <s v="[0.017, 0.015, 0.018, -0.005, -0.013, -0.011, -0.007, -0.037, -0.02, 0.009, 0.033, -0.005, 0.054, -0.004, 0.024, -0.001, 0.039, 0.005, 0.005, -0.007, 0.018, 0.014, -0.082, -0.085, -0.009, 0.004, -0.001, -0.001, 1.082]"/>
  </r>
  <r>
    <x v="786"/>
    <x v="1060"/>
    <x v="0"/>
    <n v="0"/>
    <s v="LINESTRING (5.638931240030865 59.12614731920055, 5.638931240030865 59.12614731920055, 5.638968060117413 59.12640249801163, 5.6388704286886275 59.126454804926304)"/>
    <s v="[1351166, 1351174, 1351182]"/>
    <s v="[1251311, 1251319, 352859]"/>
    <s v="0.15753685773930906"/>
    <s v="[353925, 1251311, 1251319]"/>
    <s v="[0.0, 0.041, 0.949]"/>
    <s v="41.20738153360087"/>
    <s v="[0.0, -0.041, 0.949]"/>
  </r>
  <r>
    <x v="787"/>
    <x v="1061"/>
    <x v="0"/>
    <n v="0"/>
    <s v="LINESTRING (5.638750113878753 59.12636065149991, 5.638831525793004 59.12613111850836, 5.638854322906977 59.12609300853621)"/>
    <s v="[364490, 364498]"/>
    <s v="[352873, 352880]"/>
    <s v="0.09129189497376886"/>
    <s v="[352867, 352873]"/>
    <s v="[0.091, 0.093]"/>
    <s v="30.52696540013632"/>
    <s v="[0.091, 0.093]"/>
  </r>
  <r>
    <x v="787"/>
    <x v="1058"/>
    <x v="0"/>
    <n v="0"/>
    <s v="LINESTRING (5.636598535284886 59.126663023145426, 5.63681315173811 59.12659907344373, 5.638693306463111 59.12637585223143, 5.638750113878753 59.12636065149991)"/>
    <s v="[1351230, 1351238, 1351246]"/>
    <s v="[1251360, 1251368, 352867]"/>
    <s v="0.10881922486214526"/>
    <s v="[356326, 1251360, 1251368]"/>
    <s v="[0.046, 0.044, 2.309]"/>
    <s v="128.98826516031363"/>
    <s v="[0.046, 0.044, 2.309]"/>
  </r>
  <r>
    <x v="788"/>
    <x v="1062"/>
    <x v="0"/>
    <n v="0"/>
    <m/>
    <n v="364506"/>
    <n v="352886"/>
    <s v="0.008"/>
    <n v="352885"/>
    <s v="0.008"/>
    <s v="2.6958238073241163"/>
    <s v="0.008"/>
  </r>
  <r>
    <x v="788"/>
    <x v="1063"/>
    <x v="0"/>
    <n v="0"/>
    <m/>
    <n v="364570"/>
    <n v="352885"/>
    <s v="0.014"/>
    <n v="352940"/>
    <s v="0.014"/>
    <s v="3.7519009847271576"/>
    <s v="0.014"/>
  </r>
  <r>
    <x v="788"/>
    <x v="1064"/>
    <x v="0"/>
    <n v="0"/>
    <s v="LINESTRING (5.70352752537634 58.919806109685695, 5.703822528490619 58.919904194852, 5.707513399692109 58.922106950471736, 5.707586834871838 58.92216097211218)"/>
    <s v="[378609, 803768, 803770]"/>
    <s v="[367538, 782218, 352885]"/>
    <s v="#FIELD!"/>
    <s v="[367537, 367538, 782218]"/>
    <s v="[0.018, 0.003, 0.007]"/>
    <s v="354.3556768832806"/>
    <s v="[0.018, -0.003, -0.007]"/>
  </r>
  <r>
    <x v="789"/>
    <x v="1065"/>
    <x v="0"/>
    <n v="0"/>
    <s v="LINESTRING (5.707633488588453 58.92216105458383, 5.707677179088871 58.92216742886471, 5.707728822908737 58.92218785350177, 5.707759188653047 58.92226139129116)"/>
    <s v="[364514, 364522, 364530]"/>
    <s v="[352891, 352898, 352906]"/>
    <s v="#FIELD!"/>
    <s v="[352886, 352891, 352898]"/>
    <s v="[0.003, 0.003, 0.014]"/>
    <s v="15.042816898796898"/>
    <s v="[0.003, -0.003, -0.014]"/>
  </r>
  <r>
    <x v="789"/>
    <x v="1066"/>
    <x v="0"/>
    <n v="0"/>
    <s v="LINESTRING (5.707633488588453 58.92216105458383, 5.7076656280593 58.92212396474018, 5.70830678854188 58.92178319631157, 5.708451229431669 58.921810824007984)"/>
    <s v="[806291, 806299, 747008]"/>
    <s v="[784659, 729614, 367682]"/>
    <s v="0.15065393776644376"/>
    <s v="[352886, 784659, 729614]"/>
    <s v="[0.022, 0.02, 0.977]"/>
    <s v="67.05892442452887"/>
    <s v="[0.022, 0.02, 0.977]"/>
  </r>
  <r>
    <x v="790"/>
    <x v="1067"/>
    <x v="0"/>
    <n v="0"/>
    <m/>
    <n v="364538"/>
    <n v="352913"/>
    <s v="#FIELD!"/>
    <n v="352906"/>
    <s v="0.017"/>
    <s v="12.82192409865593"/>
    <s v="#FIELD!"/>
  </r>
  <r>
    <x v="790"/>
    <x v="1066"/>
    <x v="0"/>
    <n v="0"/>
    <s v="LINESTRING (5.707759188653047 58.92226139129116, 5.707858193170403 58.92221067551518, 5.708451229431669 58.921810824007984)"/>
    <s v="[2018489, 2018497]"/>
    <s v="[1763780, 367682]"/>
    <s v="0.15852522679466402"/>
    <s v="[352906, 1763780]"/>
    <s v="[1.288, 0.003]"/>
    <s v="64.35945121206063"/>
    <s v="[1.288, -0.003]"/>
  </r>
  <r>
    <x v="791"/>
    <x v="1063"/>
    <x v="0"/>
    <n v="0"/>
    <s v="LINESTRING (5.707581961083979 58.92231695724497, 5.707474945349239 58.92227316274083, 5.707460637875623 58.922233809428256, 5.70752671008697 58.922173649468355)"/>
    <s v="[364546, 364554, 364562]"/>
    <s v="[352921, 352931, 352940]"/>
    <s v="0.013444304650271471"/>
    <s v="[352913, 352921, 352931]"/>
    <s v="[0.005, 0.017, 0.02]"/>
    <s v="20.090797672230696"/>
    <s v="[0.005, 0.017, 0.02]"/>
  </r>
  <r>
    <x v="791"/>
    <x v="1068"/>
    <x v="0"/>
    <n v="0"/>
    <s v="LINESTRING (5.7052171618445975 58.922409140615, 5.70531538052415 58.922449922749315, 5.705823763473445 58.92251610652155, 5.70658369710808 58.922525323775666, 5.706689016821881 58.922514828891316, 5.706706543723137 58.92251302661441, 5.707066892778476 58.92245973529119, 5.7075093626175475 58.92234271073545, 5.707581961083979 58.92231695724497)"/>
    <s v="[818580, 818588, 818596, 818604, 818612, 818620, 818628, 818636]"/>
    <s v="[796519, 796528, 796538, 796546, 796553, 796561, 796570, 352913]"/>
    <s v="0.007400083526265152"/>
    <s v="[796518, 796519, 796528, 796538, 796546, 796553, 796561, 796570]"/>
    <s v="[0.016, 0.016, 0.009, 0.008, 0.008, 0.005, 0.005, 0.015]"/>
    <s v="144.34250485956605"/>
    <s v="[0.016, 0.016, 0.009, -0.008, 0.008, -0.005, 0.005, 0.015]"/>
  </r>
  <r>
    <x v="792"/>
    <x v="1069"/>
    <x v="0"/>
    <n v="0"/>
    <s v="LINESTRING (5.705250693647433 58.92232959728328, 5.705387722835621 58.922342277310015, 5.705607385614171 58.92238373797963, 5.706499355165105 58.92242463062423, 5.706607347563937 58.92241420301295, 5.706625168630296 58.92241202444547, 5.706984082120335 58.922342941288946, 5.707329085814722 58.92220930164994, 5.70752671008697 58.922173649468355)"/>
    <s v="[376518, 376526, 376534, 376542, 376550, 376558, 376566, 376574]"/>
    <s v="[365514, 365522, 365531, 365538, 365546, 365551, 365559, 352940]"/>
    <s v="0.008429347112289981"/>
    <s v="[365513, 365514, 365522, 365531, 365538, 365546, 365551, 365559]"/>
    <s v="[0.005, 0.002, 0.005, 0.009, 0.007, 0.011, 0.015, 0.014]"/>
    <s v="140.68268669984425"/>
    <s v="[0.005, 0.002, 0.005, 0.009, 0.007, 0.011, 0.015, 0.014]"/>
  </r>
  <r>
    <x v="793"/>
    <x v="1056"/>
    <x v="0"/>
    <n v="0"/>
    <s v="LINESTRING (14.516116206503987 66.40752856868016, 14.518711499767273 66.40748547633582, 14.519186697507875 66.4074768395576, 14.520081775396607 66.40744372758267, 14.52032139693331 66.40743021788572, 14.520419276853309 66.40742396966428, 14.524105799937047 66.40693232325305)"/>
    <s v="[365025, 365033, 365041, 365049, 365057, 365065]"/>
    <s v="[353428, 353433, 353441, 353401, 353457, 353465]"/>
    <s v="0.002999066648583284"/>
    <s v="[353427, 353428, 353433, 353441, 353401, 353457]"/>
    <s v="[0.045, 0.014, 0.006, 0.009, 0.012, 0.027]"/>
    <s v="367.0942906318711"/>
    <s v="[0.045, 0.014, 0.006, 0.009, -0.012, -0.027]"/>
  </r>
  <r>
    <x v="793"/>
    <x v="1056"/>
    <x v="0"/>
    <n v="0"/>
    <s v="LINESTRING (14.516116206503987 66.40752856868016, 14.51919282854981 66.40754471765688, 14.520111831888263 66.4075111319708, 14.520240479673351 66.40750479008199, 14.520462370947312 66.4074922842718, 14.520478980835277 66.40749134846797, 14.524105799937047 66.40693232325305)"/>
    <s v="[365073, 365081, 365089, 365097, 365105, 365113]"/>
    <s v="[353473, 353481, 353416, 353495, 353402, 353465]"/>
    <s v="0.002878822617520334"/>
    <s v="[353427, 353473, 353481, 353416, 353495, 353402]"/>
    <s v="[0.048, 0.009, 0.006, 0.005, 0.027, 0.034]"/>
    <s v="370.49660657498384"/>
    <s v="[0.048, 0.009, -0.006, 0.005, 0.027, -0.034]"/>
  </r>
  <r>
    <x v="793"/>
    <x v="1070"/>
    <x v="0"/>
    <s v="[0, 0, 0, 1, 0, 1, 0, 0, 0]"/>
    <s v="LINESTRING (14.47813554706138 66.4062015820818, 14.496532647216613 66.4067132236948, 14.501738532806408 66.40688506665408, 14.505416196048092 66.40702151341148, 14.5059625010364 66.4070459415418, 14.50944500830192 66.40722675624576, 14.509955856422362 66.40725563428865, 14.515097035125116 66.40750573077523, 14.515969346264287 66.40752600493623, 14.516116206503987 66.40752856868016)"/>
    <s v="[2088479, 2088487, 2088495, 2088503, 2088511, 2088519, 2088527, 2088535, 2088543]"/>
    <s v="[456481, 1186073, 1808638, 1808643, 1808647, 1808652, 1808658, 1808663, 353427]"/>
    <s v="0.006519095487725877"/>
    <s v="[1566973, 456481, 1186073, 1808638, 1808643, 1808647, 1808652, 1808658, 1808663]"/>
    <s v="[0.017, 0.008, 0.008, 0.014, 0.019, 0.023, 0.041, 0.065, 1.561]"/>
    <s v="1723.3204508803387"/>
    <s v="[-0.017, -0.008, 0.008, 0.014, 0.019, 0.023, 0.041, 0.065, 1.561]"/>
  </r>
  <r>
    <x v="794"/>
    <x v="1071"/>
    <x v="0"/>
    <n v="0"/>
    <s v="LINESTRING (5.676882957934548 58.9834922671886, 5.676868726581877 58.98351050133836, 5.676792713247958 58.98354196158268, 5.6767174280315205 58.98354049713289, 5.676687102352544 58.98353517663216)"/>
    <s v="[365237, 365245, 365253, 365261]"/>
    <s v="[353653, 353663, 353672, 353679]"/>
    <s v="#FIELD!"/>
    <s v="[353652, 353653, 353663, 353672]"/>
    <s v="[0.076, 0.014, 0.081, 0.082]"/>
    <s v="14.009605070001477"/>
    <s v="[0.076, -0.014, -0.081, -0.082]"/>
  </r>
  <r>
    <x v="794"/>
    <x v="1072"/>
    <x v="0"/>
    <n v="0"/>
    <s v="LINESTRING (5.676730307880591 58.983410706358214, 5.6768466911895175 58.98342819677719, 5.676882957934548 58.9834922671886)"/>
    <s v="[365301, 365309]"/>
    <s v="[353721, 353652]"/>
    <s v="0.10745154754350016"/>
    <s v="[353712, 353721]"/>
    <s v="[0.109, 0.106]"/>
    <s v="14.450538056090544"/>
    <s v="[0.109, 0.106]"/>
  </r>
  <r>
    <x v="794"/>
    <x v="1073"/>
    <x v="0"/>
    <n v="0"/>
    <s v="LINESTRING (5.677869359299563 58.98302131784364, 5.676956026857708 58.98344893478398, 5.676882957934548 58.9834922671886)"/>
    <s v="[1370663, 1370671]"/>
    <s v="[1263813, 353652]"/>
    <s v="0.052128810620688984"/>
    <s v="[783234, 1263813]"/>
    <s v="[0.056, 0.009]"/>
    <s v="77.9379687760931"/>
    <s v="[0.056, 0.009]"/>
  </r>
  <r>
    <x v="795"/>
    <x v="1074"/>
    <x v="0"/>
    <n v="0"/>
    <s v="LINESTRING (5.676687102352544 58.98353517663216, 5.676624492691682 58.98348932818539, 5.676633687253375 58.983451677346196, 5.676670807293775 58.98342539043763)"/>
    <s v="[365269, 365277, 365285]"/>
    <s v="[353689, 353697, 353703]"/>
    <s v="#FIELD!"/>
    <s v="[353679, 353689, 353697]"/>
    <s v="[0.136, 0.083, 0.004]"/>
    <s v="14.14341497505982"/>
    <s v="[-0.136, -0.083, -0.004]"/>
  </r>
  <r>
    <x v="795"/>
    <x v="1075"/>
    <x v="0"/>
    <n v="0"/>
    <s v="LINESTRING (5.676687102352544 58.98353517663216, 5.6765797304978864 58.9835354303641, 5.675262774921766 58.983661485443626, 5.674723597109197 58.983643247783924)"/>
    <s v="[1370743, 1370751, 1370759]"/>
    <s v="[1263870, 1263874, 355461]"/>
    <s v="#FIELD!"/>
    <s v="[353679, 1263870, 1263874]"/>
    <s v="[0.089, 0.078, 0.093]"/>
    <s v="115.86793484459818"/>
    <s v="[-0.089, -0.078, -0.093]"/>
  </r>
  <r>
    <x v="796"/>
    <x v="1072"/>
    <x v="0"/>
    <n v="0"/>
    <m/>
    <n v="365293"/>
    <n v="353712"/>
    <s v="0.019"/>
    <n v="353703"/>
    <s v="0.019"/>
    <s v="3.8041436619152966"/>
    <s v="0.019"/>
  </r>
  <r>
    <x v="796"/>
    <x v="1075"/>
    <x v="0"/>
    <n v="0"/>
    <s v="LINESTRING (5.676670807293775 58.98342539043763, 5.676566512985066 58.98342450301901, 5.675069132223264 58.983602376012236, 5.674723597109197 58.983643247783924)"/>
    <s v="[1019878, 1019886, 1019894]"/>
    <s v="[975625, 975631, 355461]"/>
    <s v="#FIELD!"/>
    <s v="[353703, 975625, 975631]"/>
    <s v="[0.296, 0.086, 0.049]"/>
    <s v="116.57240389274173"/>
    <s v="[-0.296, -0.086, 0.049]"/>
  </r>
  <r>
    <x v="797"/>
    <x v="1073"/>
    <x v="0"/>
    <n v="0"/>
    <s v="LINESTRING (5.677869359299563 58.98302131784364, 5.676812912446336 58.98337413976458, 5.676730307880591 58.983410706358214)"/>
    <s v="[1019862, 1019870]"/>
    <s v="[975614, 353712]"/>
    <s v="0.03135190926004624"/>
    <s v="[783234, 975614]"/>
    <s v="[0.023, 0.128]"/>
    <s v="78.91185975470843"/>
    <s v="[0.023, 0.128]"/>
  </r>
  <r>
    <x v="798"/>
    <x v="1076"/>
    <x v="0"/>
    <n v="0"/>
    <s v="LINESTRING (5.321706306855407 59.396596232046456, 5.321706306855407 59.396596232046456, 5.321645959866528 59.396791473614414)"/>
    <s v="[365313, 365318]"/>
    <s v="[353733, 353738]"/>
    <s v="0.014551008690598007"/>
    <s v="[353732, 353733]"/>
    <s v="[0.0, 0.022]"/>
    <s v="33.400245716387694"/>
    <s v="[0.0, 0.022]"/>
  </r>
  <r>
    <x v="799"/>
    <x v="1077"/>
    <x v="0"/>
    <n v="0"/>
    <s v="LINESTRING (5.321645959866528 59.396791473614414, 5.321677618861369 59.3968594594065, 5.323479997678199 59.39723887623554, 5.323793863451639 59.39730515850174)"/>
    <s v="[365326, 365334, 365342]"/>
    <s v="[353744, 353756, 353765]"/>
    <s v="0.04131239978861901"/>
    <s v="[353738, 353744, 353756]"/>
    <s v="[0.036, 0.043, 0.033]"/>
    <s v="147.1325862435241"/>
    <s v="[0.036, 0.043, 0.033]"/>
  </r>
  <r>
    <x v="799"/>
    <x v="1078"/>
    <x v="0"/>
    <s v="[0, 0, 1, 0, 0]"/>
    <s v="LINESTRING (5.318585710356253 59.39688388618618, 5.319061490969332 59.39690362539061, 5.320349196167724 59.39698870335012, 5.320670184839595 59.39701524950181, 5.321582112897779 59.39685847706953, 5.321645959866528 59.396791473614414)"/>
    <s v="[365520, 365521, 365522, 365530, 365539]"/>
    <s v="[353970, 353971, 353972, 353983, 353738]"/>
    <s v="#FIELD!"/>
    <s v="[353969, 353970, 353971, 353972, 353983]"/>
    <s v="[0.063, 0.045, 0.043, 0.028, 0.009]"/>
    <s v="187.77807769878632"/>
    <s v="[-0.063, -0.045, 0.043, 0.028, -0.009]"/>
  </r>
  <r>
    <x v="800"/>
    <x v="1079"/>
    <x v="0"/>
    <n v="0"/>
    <m/>
    <n v="681862"/>
    <n v="672933"/>
    <s v="0.0"/>
    <n v="353765"/>
    <s v="0.0"/>
    <s v="94.1001968807782"/>
    <s v="0.0"/>
  </r>
  <r>
    <x v="800"/>
    <x v="1080"/>
    <x v="0"/>
    <n v="0"/>
    <m/>
    <n v="681856"/>
    <n v="353765"/>
    <s v="#FIELD!"/>
    <n v="672922"/>
    <s v="0.024"/>
    <s v="81.00964803034256"/>
    <s v="#FIELD!"/>
  </r>
  <r>
    <x v="801"/>
    <x v="1081"/>
    <x v="0"/>
    <n v="0"/>
    <s v="LINESTRING (5.319096207653206 59.3972474175354, 5.319015969500213 59.3972113864909, 5.318767875523536 59.39693924282399, 5.3186948549764805 59.39689588458842)"/>
    <s v="[365350, 365358, 365366]"/>
    <s v="[353773, 353782, 353790]"/>
    <s v="0.031133044490152646"/>
    <s v="[353772, 353773, 353782]"/>
    <s v="[0.044, 0.026, 0.046]"/>
    <s v="46.2591921000693"/>
    <s v="[0.044, 0.026, 0.046]"/>
  </r>
  <r>
    <x v="801"/>
    <x v="1082"/>
    <x v="0"/>
    <n v="0"/>
    <s v="LINESTRING (5.319096207653206 59.3972474175354, 5.31912398503146 59.397281753900295, 5.3192017138998535 59.39734719472002, 5.319237158937602 59.39736875772711, 5.319621038811627 59.39752215029157, 5.319681442900868 59.39753974019857)"/>
    <s v="[682366, 682374, 682382, 682390, 682398]"/>
    <s v="[673477, 673486, 673498, 673508, 673519]"/>
    <s v="0.11808408539222234"/>
    <s v="[353772, 673477, 673486, 673498, 673508]"/>
    <s v="[1.253, 0.014, 0.01, 0.009, 0.008]"/>
    <s v="47.72822808591735"/>
    <s v="[1.253, 0.014, 0.01, 0.009, 0.008]"/>
  </r>
  <r>
    <x v="801"/>
    <x v="1079"/>
    <x v="0"/>
    <s v="[0, 0, 1, 0]"/>
    <s v="LINESTRING (5.322162118461382 59.39717720857183, 5.321484628845218 59.397164681024314, 5.320563959204705 59.3971013345465, 5.320165961651856 59.397066770681334, 5.319096207653206 59.3972474175354)"/>
    <s v="[682334, 682342, 682350, 682358]"/>
    <s v="[673440, 673447, 673458, 353772]"/>
    <s v="#FIELD!"/>
    <s v="[672933, 673440, 673447, 673458]"/>
    <s v="[0.002, 0.003, 0.004, 0.066]"/>
    <s v="189.90235292972866"/>
    <s v="[-0.002, -0.003, -0.004, -0.066]"/>
  </r>
  <r>
    <x v="802"/>
    <x v="1078"/>
    <x v="0"/>
    <n v="0"/>
    <m/>
    <n v="681888"/>
    <n v="353969"/>
    <s v="0.057"/>
    <n v="353790"/>
    <s v="0.057"/>
    <s v="6.364073302496334"/>
    <s v="0.057"/>
  </r>
  <r>
    <x v="802"/>
    <x v="1079"/>
    <x v="0"/>
    <s v="[0, 1, 0]"/>
    <s v="LINESTRING (5.322162118461382 59.39717720857183, 5.320617839632617 59.39705719652085, 5.320241720567995 59.39702695664225, 5.3186948549764805 59.39689588458842)"/>
    <s v="[681869, 681872, 681880]"/>
    <s v="[672941, 672945, 353790]"/>
    <s v="#FIELD!"/>
    <s v="[672933, 672941, 672945]"/>
    <s v="[0.003, 0.004, 0.039]"/>
    <s v="200.1204539492432"/>
    <s v="[-0.003, -0.004, -0.039]"/>
  </r>
  <r>
    <x v="803"/>
    <x v="1083"/>
    <x v="0"/>
    <n v="0"/>
    <m/>
    <n v="681896"/>
    <n v="354156"/>
    <s v="0.015"/>
    <n v="353969"/>
    <s v="0.015"/>
    <s v="119.34466512357798"/>
    <s v="0.015"/>
  </r>
  <r>
    <x v="804"/>
    <x v="1084"/>
    <x v="0"/>
    <n v="0"/>
    <m/>
    <n v="681904"/>
    <n v="354233"/>
    <s v="#FIELD!"/>
    <n v="354081"/>
    <s v="0.064"/>
    <s v="143.5383146685112"/>
    <s v="#FIELD!"/>
  </r>
  <r>
    <x v="804"/>
    <x v="1085"/>
    <x v="0"/>
    <n v="0"/>
    <s v="LINESTRING (5.316516258085067 59.3964496770072, 5.316150012066009 59.396368745427715, 5.314375163184471 59.39595397044543)"/>
    <s v="[365608, 365616]"/>
    <s v="[354082, 354093]"/>
    <s v="#FIELD!"/>
    <s v="[354081, 354082]"/>
    <s v="[0.066, 0.064]"/>
    <s v="138.91235404037192"/>
    <s v="[-0.066, -0.064]"/>
  </r>
  <r>
    <x v="804"/>
    <x v="1083"/>
    <x v="0"/>
    <n v="0"/>
    <m/>
    <n v="681901"/>
    <n v="354081"/>
    <s v="#FIELD!"/>
    <n v="354156"/>
    <s v="0.059"/>
    <s v="8.758139071819542"/>
    <s v="#FIELD!"/>
  </r>
  <r>
    <x v="805"/>
    <x v="1086"/>
    <x v="0"/>
    <n v="0"/>
    <m/>
    <n v="365624"/>
    <n v="354103"/>
    <s v="#FIELD!"/>
    <n v="354093"/>
    <s v="0.024"/>
    <s v="59.25026344603756"/>
    <s v="#FIELD!"/>
  </r>
  <r>
    <x v="805"/>
    <x v="1084"/>
    <x v="0"/>
    <n v="0"/>
    <s v="LINESTRING (5.314375163184471 59.39595397044543, 5.31438832394586 59.39592059279779, 5.314451675805051 59.39574990364153, 5.314445658005207 59.39571908619221)"/>
    <s v="[365720, 365728, 365736]"/>
    <s v="[354217, 354226, 354233]"/>
    <s v="#FIELD!"/>
    <s v="[354093, 354217, 354226]"/>
    <s v="[0.007, 0.008, 0.014]"/>
    <s v="27.623353597744174"/>
    <s v="[-0.007, -0.008, -0.014]"/>
  </r>
  <r>
    <x v="806"/>
    <x v="1087"/>
    <x v="0"/>
    <n v="0"/>
    <s v="LINESTRING (5.313568213546144 59.39628688556921, 5.313216666063246 59.39622075580265, 5.313163918038817 59.3962081221334)"/>
    <s v="[380874, 380880]"/>
    <s v="[369965, 369971]"/>
    <s v="#FIELD!"/>
    <s v="[354103, 369965]"/>
    <s v="[0.041, 0.044]"/>
    <s v="24.893416641330045"/>
    <s v="[-0.041, -0.044]"/>
  </r>
  <r>
    <x v="806"/>
    <x v="1088"/>
    <x v="0"/>
    <n v="0"/>
    <s v="LINESTRING (5.313568213546144 59.39628688556921, 5.3131357278118605 59.39632320820886, 5.313055993397895 59.3963254630132)"/>
    <s v="[1441162, 1441170]"/>
    <s v="[1309170, 1197597]"/>
    <s v="#FIELD!"/>
    <s v="[354103, 1309170]"/>
    <s v="[0.038, 0.042]"/>
    <s v="32.05481211134598"/>
    <s v="[-0.038, -0.042]"/>
  </r>
  <r>
    <x v="807"/>
    <x v="1089"/>
    <x v="0"/>
    <n v="0"/>
    <m/>
    <n v="365648"/>
    <n v="354135"/>
    <s v="0.012"/>
    <n v="354134"/>
    <s v="0.012"/>
    <s v="20.457450965431253"/>
    <s v="0.012"/>
  </r>
  <r>
    <x v="807"/>
    <x v="1090"/>
    <x v="0"/>
    <n v="0"/>
    <s v="LINESTRING (5.314514248286535 59.39503877900843, 5.314514248286535 59.39503877900843, 5.31482022870368 59.39519123523736)"/>
    <s v="[380991, 380999]"/>
    <s v="[370089, 354134]"/>
    <s v="0.04702615829323788"/>
    <s v="[370088, 370089]"/>
    <s v="[0.0, 0.054]"/>
    <s v="29.469566217701864"/>
    <s v="[0.0, 0.054]"/>
  </r>
  <r>
    <x v="807"/>
    <x v="1091"/>
    <x v="0"/>
    <n v="0"/>
    <s v="LINESTRING (5.314626314796519 59.3949219828252, 5.314626314796519 59.3949219828252, 5.31482022870368 59.39519123523736)"/>
    <s v="[1441178, 1441186]"/>
    <s v="[1309178, 354134]"/>
    <s v="0.03815750443710855"/>
    <s v="[1197536, 1309178]"/>
    <s v="[0.0, 0.042]"/>
    <s v="37.724486430939805"/>
    <s v="[0.0, 0.042]"/>
  </r>
  <r>
    <x v="808"/>
    <x v="1083"/>
    <x v="0"/>
    <n v="0"/>
    <s v="LINESTRING (5.314807968208416 59.39537416204987, 5.316374128944533 59.396367012470684, 5.316647191633488 59.39649068254055)"/>
    <s v="[365656, 365664]"/>
    <s v="[354145, 354156]"/>
    <s v="0.052241070576385704"/>
    <s v="[354135, 354145]"/>
    <s v="[0.052, 0.054]"/>
    <s v="172.6987062952541"/>
    <s v="[0.052, 0.054]"/>
  </r>
  <r>
    <x v="808"/>
    <x v="1092"/>
    <x v="0"/>
    <n v="0"/>
    <s v="LINESTRING (5.312905474144591 59.39524833077155, 5.313250868215921 59.395298853679634, 5.313791383158506 59.39543554389384, 5.313991610122694 59.39550158472078, 5.3147868080481855 59.395405149890365, 5.314807968208416 59.39537416204987)"/>
    <s v="[365760, 365768, 365776, 365784, 365792]"/>
    <s v="[354260, 354272, 354281, 354292, 354135]"/>
    <s v="0.028637200315157752"/>
    <s v="[354259, 354260, 354272, 354281, 354292]"/>
    <s v="[0.026, 0.028, 0.03, 0.031, 0.009]"/>
    <s v="127.02040463105422"/>
    <s v="[0.026, 0.028, 0.03, 0.031, 0.009]"/>
  </r>
  <r>
    <x v="809"/>
    <x v="1092"/>
    <x v="0"/>
    <n v="0"/>
    <s v="LINESTRING (5.314445658005207 59.39571908619221, 5.313943809267602 59.39554133771675, 5.313936194613591 59.39553884102877, 5.313920193371672 59.39553357278178, 5.313744109808665 59.39547635821195, 5.313036929700016 59.395281032766356, 5.312905474144591 59.39524833077155)"/>
    <s v="[681942, 681947, 681961, 681969, 681977, 681980]"/>
    <s v="[673006, 673013, 673026, 673033, 673040, 354259]"/>
    <s v="#FIELD!"/>
    <s v="[354233, 673006, 673013, 673026, 673033, 673040]"/>
    <s v="[0.01, 0.0, 0.047, 0.036, 0.035, 0.071]"/>
    <s v="102.5110494442121"/>
    <s v="[-0.01, 0.0, -0.047, -0.036, -0.035, -0.071]"/>
  </r>
  <r>
    <x v="810"/>
    <x v="1093"/>
    <x v="0"/>
    <n v="0"/>
    <m/>
    <n v="681981"/>
    <n v="369798"/>
    <s v="#FIELD!"/>
    <n v="354259"/>
    <s v="0.03"/>
    <s v="317.1734163896368"/>
    <s v="#FIELD!"/>
  </r>
  <r>
    <x v="811"/>
    <x v="1094"/>
    <x v="0"/>
    <n v="0"/>
    <s v="LINESTRING (5.446025297811989 59.42105533702056, 5.445987275816742 59.42109639808806, 5.44590099733585 59.421125288171446, 5.445813584479798 59.42112697024843, 5.445744666005994 59.42111103110735)"/>
    <s v="[365800, 365808, 365816, 365824]"/>
    <s v="[354311, 354323, 354334, 354345]"/>
    <s v="#FIELD!"/>
    <s v="[354310, 354311, 354323, 354334]"/>
    <s v="[0.021, 0.003, 0.028, 0.045]"/>
    <s v="20.24616222095957"/>
    <s v="[0.021, -0.003, -0.028, -0.045]"/>
  </r>
  <r>
    <x v="811"/>
    <x v="1095"/>
    <x v="0"/>
    <n v="0"/>
    <s v="LINESTRING (5.445873737935384 59.4209507382286, 5.446006042335184 59.420994522176834, 5.446025297811989 59.42105533702056)"/>
    <s v="[365856, 365864]"/>
    <s v="[354385, 354310]"/>
    <s v="0.04470954292866933"/>
    <s v="[354373, 354385]"/>
    <s v="[0.043, 0.047]"/>
    <s v="16.108232825048155"/>
    <s v="[0.043, 0.047]"/>
  </r>
  <r>
    <x v="811"/>
    <x v="1096"/>
    <x v="0"/>
    <n v="0"/>
    <s v="LINESTRING (5.446083862523387 59.42103069314618, 5.446083862523387 59.42103069314618, 5.446025297811989 59.42105533702056)"/>
    <s v="[1438351, 1438359]"/>
    <s v="[1307367, 354310]"/>
    <s v="0.0037817726488208418"/>
    <s v="[1307366, 1307367]"/>
    <s v="[0.0, 0.01]"/>
    <s v="11.437911266204246"/>
    <s v="[0.0, 0.01]"/>
  </r>
  <r>
    <x v="812"/>
    <x v="1097"/>
    <x v="0"/>
    <n v="0"/>
    <s v="LINESTRING (5.445744666005994 59.42111103110735, 5.445690763259328 59.42107429351001, 5.445683864512376 59.42101345080877)"/>
    <s v="[365832, 365840]"/>
    <s v="[354356, 354364]"/>
    <s v="#FIELD!"/>
    <s v="[354345, 354356]"/>
    <s v="[0.049, 0.04]"/>
    <s v="11.937503214446043"/>
    <s v="[-0.049, -0.04]"/>
  </r>
  <r>
    <x v="812"/>
    <x v="1098"/>
    <x v="0"/>
    <n v="0"/>
    <s v="LINESTRING (5.445744666005994 59.42111103110735, 5.4456952962821195 59.421128044837566, 5.444409221362956 59.421478615644126, 5.443764068823091 59.4216203460092)"/>
    <s v="[1438463, 1438471, 1438479]"/>
    <s v="[1307435, 1307441, 369465]"/>
    <s v="#FIELD!"/>
    <s v="[354345, 1307435, 1307441]"/>
    <s v="[0.007, 0.004, 0.005]"/>
    <s v="126.99085719641207"/>
    <s v="[0.007, -0.004, -0.005]"/>
  </r>
  <r>
    <x v="813"/>
    <x v="1095"/>
    <x v="0"/>
    <n v="0"/>
    <m/>
    <n v="365848"/>
    <n v="354373"/>
    <s v="0.004"/>
    <n v="354364"/>
    <s v="0.004"/>
    <s v="13.725205665908376"/>
    <s v="0.004"/>
  </r>
  <r>
    <x v="813"/>
    <x v="1098"/>
    <x v="0"/>
    <n v="0"/>
    <s v="LINESTRING (5.445683864512376 59.42101345080877, 5.445605202195727 59.42104662819352, 5.444367089223264 59.42142332584015, 5.444318043038389 59.421436764512585, 5.443764068823091 59.4216203460092)"/>
    <s v="[380300, 380325, 380338, 380357]"/>
    <s v="[369412, 369435, 369451, 369465]"/>
    <s v="0.00030037171638298523"/>
    <s v="[354364, 369412, 369435, 369451]"/>
    <s v="[0.011, 0.002, 0.008, 0.003]"/>
    <s v="129.37051309038313"/>
    <s v="[0.011, -0.002, 0.008, 0.003]"/>
  </r>
  <r>
    <x v="814"/>
    <x v="1099"/>
    <x v="0"/>
    <n v="0"/>
    <s v="LINESTRING (5.445953883751191 59.42093417983898, 5.445953883751191 59.42093417983898, 5.445873737935384 59.4209507382286)"/>
    <s v="[380290, 380295]"/>
    <s v="[369406, 354373]"/>
    <s v="#FIELD!"/>
    <s v="[369405, 369406]"/>
    <s v="[0.0, 0.009]"/>
    <s v="12.85131786356784"/>
    <s v="[0.0, -0.009]"/>
  </r>
  <r>
    <x v="815"/>
    <x v="1054"/>
    <x v="0"/>
    <n v="0"/>
    <s v="LINESTRING (5.70056565049586 59.10555468909948, 5.700532424208589 59.10554839249289, 5.700438455859493 59.10549682943789, 5.700437095264093 59.105425145849885, 5.7004960135643525 59.105383765453844, 5.700591781497828 59.105363394330446, 5.700699674879609 59.10537272881388, 5.700728799732562 59.10538188300137, 5.70080149881558 59.10544165091624, 5.700789156462965 59.105498860291526, 5.7007729464546415 59.10551433559734)"/>
    <s v="[365908, 365916, 365924, 365932, 365940, 365948, 365860, 365868, 365876, 365884]"/>
    <s v="[354445, 354455, 354464, 354476, 354487, 354389, 354390, 354400, 354411, 354422]"/>
    <s v="#FIELD!"/>
    <s v="[354437, 354445, 354455, 354464, 354476, 354487, 354389, 354390, 354400, 354411]"/>
    <s v="[0.045, 0.034, 0.011, 0.013, 0.03, 0.042, 0.042, 0.03, 0.008, 0.017]"/>
    <s v="54.153781433713625"/>
    <s v="[0.045, 0.034, 0.011, -0.013, -0.03, -0.042, -0.042, -0.03, -0.008, 0.017]"/>
  </r>
  <r>
    <x v="816"/>
    <x v="1100"/>
    <x v="0"/>
    <n v="0"/>
    <s v="LINESTRING (5.404544150380299 59.41846495484254, 5.404388441837726 59.41851941098189, 5.40429907892072 59.41851549482636, 5.404226208849478 59.41849110138375, 5.404186085448377 59.41846572820534)"/>
    <s v="[365936, 365944, 365952, 365960]"/>
    <s v="[354482, 354490, 354496, 354504]"/>
    <s v="0.0028546153665081147"/>
    <s v="[354481, 354482, 354490, 354496]"/>
    <s v="[0.013, 0.001, 0.01, 0.008]"/>
    <s v="24.83926307194566"/>
    <s v="[0.013, 0.001, -0.01, -0.008]"/>
  </r>
  <r>
    <x v="816"/>
    <x v="1101"/>
    <x v="0"/>
    <n v="0"/>
    <s v="LINESTRING (5.404558946717095 59.41838829178365, 5.404566205818246 59.418424997953416, 5.404544150380299 59.41846495484254)"/>
    <s v="[366016, 366024]"/>
    <s v="[354569, 354481]"/>
    <s v="0.018117748366837248"/>
    <s v="[354561, 354569]"/>
    <s v="[0.016, 0.02]"/>
    <s v="8.762071028068853"/>
    <s v="[0.016, 0.02]"/>
  </r>
  <r>
    <x v="816"/>
    <x v="1102"/>
    <x v="0"/>
    <n v="0"/>
    <s v="LINESTRING (5.419726044215016 59.421709959690155, 5.418945389651698 59.4214365477651, 5.4189067182635124 59.42142283371569, 5.41854332945503 59.42129256475949, 5.413452516741245 59.41956395480334, 5.413449037383224 59.41956309116571, 5.413432570613931 59.41955899560589, 5.413381596397167 59.41954513654559, 5.412154921407529 59.41926470190533, 5.40942019665519 59.41879451115395, 5.407177191379879 59.41856981716977, 5.404637556073804 59.41846776016698, 5.404544150380299 59.41846495484254)"/>
    <s v="[1438568, 1438576, 1438584, 1438592, 1438600, 1438608, 1438616, 1438624, 1438632, 1438640, 1438648, 1438656]"/>
    <s v="[1307510, 1307518, 1307524, 1307531, 1307537, 1307541, 1307546, 1307552, 1307555, 1307559, 1307563, 354481]"/>
    <s v="0.011043790934271215"/>
    <s v="[369541, 1307510, 1307518, 1307524, 1307531, 1307537, 1307541, 1307546, 1307552, 1307555, 1307559, 1307563]"/>
    <s v="[0.09, 0.157, 0.167, 0.04, 0.0, 0.063, 0.002, 0.035, 0.025, 0.049, 0.092, 0.002]"/>
    <s v="957.6823467555911"/>
    <s v="[0.09, 0.157, 0.167, 0.04, 0.0, 0.063, -0.002, 0.035, 0.025, -0.049, -0.092, -0.002]"/>
  </r>
  <r>
    <x v="817"/>
    <x v="1103"/>
    <x v="0"/>
    <n v="0"/>
    <s v="LINESTRING (5.404186085448377 59.41846572820534, 5.404166894364775 59.41840930253942, 5.404207059504417 59.41835314770404)"/>
    <s v="[365968, 365976]"/>
    <s v="[354512, 354522]"/>
    <s v="#FIELD!"/>
    <s v="[354504, 354512]"/>
    <s v="[0.015, 0.017]"/>
    <s v="13.080143690976012"/>
    <s v="[-0.015, -0.017]"/>
  </r>
  <r>
    <x v="817"/>
    <x v="1104"/>
    <x v="0"/>
    <s v="[0, 0, 1, 0, 0, 0, 0, 0]"/>
    <s v="LINESTRING (5.404186085448377 59.41846572820534, 5.404093208761663 59.4184638659863, 5.402363220270183 59.41848599116112, 5.402033665557199 59.41850539348205, 5.401209835662374 59.4185624174351, 5.400923451217203 59.418585707500114, 5.399265843779266 59.41875575478259, 5.394069049293456 59.42057570434624, 5.393975133709445 59.420682326123774)"/>
    <s v="[1438768, 1438776, 1438784, 1438792, 1438808, 2094470, 2094471, 2094475]"/>
    <s v="[1307652, 1307661, 1307665, 1307672, 1307680, 1812207, 1812208, 1812154]"/>
    <s v="0.00026337075484232094"/>
    <s v="[354504, 1307652, 1307661, 1307665, 1307672, 1307680, 1812207, 1812208]"/>
    <s v="[0.001, 0.007, 0.051, 0.051, 0.053, 0.022, 0.02, 0.043]"/>
    <s v="668.3730877631267"/>
    <s v="[-0.001, 0.007, 0.051, 0.051, 0.053, 0.022, -0.02, 0.043]"/>
  </r>
  <r>
    <x v="818"/>
    <x v="1101"/>
    <x v="0"/>
    <n v="0"/>
    <s v="LINESTRING (5.404207059504417 59.41835314770404, 5.40430928524967 59.418318233583555, 5.404384781697899 59.418314791823875, 5.4044562324052 59.418325517008384, 5.404558946717095 59.41838829178365)"/>
    <s v="[365984, 365992, 366000, 366008]"/>
    <s v="[354532, 354541, 354552, 354561]"/>
    <s v="#FIELD!"/>
    <s v="[354522, 354532, 354541, 354552]"/>
    <s v="[0.012, 0.01, 0.003, 0.011]"/>
    <s v="24.70442403289256"/>
    <s v="[-0.012, -0.01, 0.003, 0.011]"/>
  </r>
  <r>
    <x v="818"/>
    <x v="1105"/>
    <x v="0"/>
    <s v="[0, 0, 1, 0, 0, 0, 0]"/>
    <s v="LINESTRING (5.404207059504417 59.41835314770404, 5.404098186537055 59.41835983704848, 5.402356297811299 59.418451841474656, 5.402026120226546 59.4184698231685, 5.401247202902296 59.418511417549844, 5.400908322686469 59.418535387492014, 5.399230590247252 59.41870707840404, 5.393977329097284 59.420553639588405)"/>
    <s v="[380580, 380588, 380605, 380606, 380607, 2094494, 2094506]"/>
    <s v="[369666, 369675, 369687, 369688, 369689, 1812215, 1812162]"/>
    <s v="#FIELD!"/>
    <s v="[354522, 369666, 369675, 369687, 369688, 369689, 1812215]"/>
    <s v="[0.008, 0.009, 0.05, 0.051, 0.052, 0.02, 0.019]"/>
    <s v="663.3518872181453"/>
    <s v="[0.008, 0.009, 0.05, 0.051, 0.052, 0.02, -0.019]"/>
  </r>
  <r>
    <x v="819"/>
    <x v="1102"/>
    <x v="0"/>
    <n v="0"/>
    <s v="LINESTRING (5.419726044215016 59.421709959690155, 5.4189790284259285 59.42141191375529, 5.418949044861288 59.42139884312315, 5.418583396706101 59.42126853353635, 5.4134697935435305 59.41953449291825, 5.413466702407406 59.419533450088196, 5.413452005219513 59.419528500106125, 5.41340234812399 59.41951593217667, 5.412169473252985 59.41923416113094, 5.409419895473081 59.41876349330666, 5.407805140228693 59.418563938386285, 5.407180091070919 59.41850248923895, 5.404648341987845 59.418385880823735, 5.404558946717095 59.41838829178365)"/>
    <s v="[380440, 380448, 380456, 380464, 380468, 380469, 380470, 380478, 380479, 380514, 380538, 380552, 380560]"/>
    <s v="[369542, 369550, 369560, 369569, 369574, 369575, 369576, 369587, 369588, 369616, 369635, 369646, 354561]"/>
    <s v="0.010833263861659085"/>
    <s v="[369541, 369542, 369550, 369560, 369569, 369574, 369575, 369576, 369587, 369588, 369616, 369635, 369646]"/>
    <s v="[0.075, 0.164, 0.166, 0.041, 0.0, 0.066, 0.037, 0.035, 0.025, 0.021, 0.132, 0.089, 0.004]"/>
    <s v="960.0131335939202"/>
    <s v="[0.075, 0.164, 0.166, 0.041, 0.0, 0.066, 0.037, 0.035, 0.025, -0.021, -0.132, -0.089, 0.004]"/>
  </r>
  <r>
    <x v="820"/>
    <x v="1106"/>
    <x v="0"/>
    <n v="0"/>
    <s v="LINESTRING (14.861141339106767 66.47239424131969, 14.862107867082766 66.47347422614784, 14.862184922498349 66.47355837090015, 14.862617343290262 66.47403803950749, 14.862709003139468 66.47414112576867, 14.863392350220314 66.47502823576255)"/>
    <s v="[366362, 366370, 366378, 366386, 366394]"/>
    <s v="[354958, 354968, 354976, 354985, 354996]"/>
    <s v="#FIELD!"/>
    <s v="[354957, 354958, 354968, 354976, 354985]"/>
    <s v="[0.066, 0.055, 0.045, 0.05, 0.072]"/>
    <s v="310.33166572686844"/>
    <s v="[-0.066, -0.055, -0.045, -0.05, -0.072]"/>
  </r>
  <r>
    <x v="820"/>
    <x v="1106"/>
    <x v="0"/>
    <n v="0"/>
    <s v="LINESTRING (14.861141339106767 66.47239424131969, 14.862230408689431 66.47339924633444, 14.862340011902967 66.47351685484293, 14.862385987363407 66.47356613748589, 14.862804320184688 66.47403228275165, 14.863392350220314 66.47502823576255)"/>
    <s v="[366402, 366410, 366418, 366426, 366434]"/>
    <s v="[355004, 355014, 355023, 355031, 354996]"/>
    <s v="#FIELD!"/>
    <s v="[354957, 355004, 355014, 355023, 355031]"/>
    <s v="[0.051, 0.041, 0.036, 0.049, 0.086]"/>
    <s v="311.6028215895448"/>
    <s v="[-0.051, -0.041, -0.036, -0.049, -0.086]"/>
  </r>
  <r>
    <x v="820"/>
    <x v="1107"/>
    <x v="0"/>
    <s v="[0, 1, 0, 0, 0, 0, 0, 0, 1, 0, 0, 0]"/>
    <s v="LINESTRING (14.83385035621848 66.44722995161251, 14.83894913852857 66.44979982307603, 14.839148010453435 66.44995029383121, 14.844238968054647 66.46092806500715, 14.84467290382425 66.46139117151422, 14.846963092870633 66.463874140962, 14.851513062773769 66.46818513919897, 14.851587019090273 66.46822304043779, 14.854073317778136 66.46923501218225, 14.856177975327094 66.46999663259226, 14.85871173567353 66.47094836887761, 14.859370831466375 66.47125783692995, 14.861141339106767 66.47239424131969)"/>
    <s v="[1832732, 1832741, 1832749, 1254269, 1254280, 1254084, 1254092, 1254100, 1254108, 1254119, 1254127, 1254128]"/>
    <s v="[1608702, 1608706, 1173002, 354735, 1172822, 354744, 1172828, 1172837, 1172847, 1172853, 1172854, 354957]"/>
    <s v="0.018390431514169057"/>
    <s v="[355303, 1608702, 1608706, 1173002, 354735, 1172822, 354744, 1172828, 1172837, 1172847, 1172853, 1172854]"/>
    <s v="[0.025, 0.049, 0.003, 0.002, 0.024, 0.001, 0.074, 0.002, 0.196, 0.061, 0.007, 0.039]"/>
    <s v="3163.386161317658"/>
    <s v="[0.025, -0.049, 0.003, -0.002, 0.024, -0.001, -0.074, -0.002, 0.196, 0.061, 0.007, 0.039]"/>
  </r>
  <r>
    <x v="821"/>
    <x v="1108"/>
    <x v="0"/>
    <n v="0"/>
    <s v="LINESTRING (14.863392350220314 66.47502823576255, 14.869799711859766 66.47872976905576, 14.88271378308792 66.49273564402097, 14.885381875038872 66.4954574598714, 14.911624151356651 66.50355288791405)"/>
    <s v="[1254143, 1254162, 1254179, 1254190]"/>
    <s v="[1172863, 1172874, 354763, 355075]"/>
    <s v="0.010543403622138367"/>
    <s v="[354996, 1172863, 1172874, 354763]"/>
    <s v="[0.03, 0.005, 0.089, 0.007]"/>
    <s v="4049.370694369146"/>
    <s v="[0.03, 0.005, 0.089, -0.007]"/>
  </r>
  <r>
    <x v="822"/>
    <x v="1109"/>
    <x v="0"/>
    <n v="0"/>
    <s v="LINESTRING (14.911624151356651 66.50355288791405, 14.913832220221975 66.50381537300689, 14.914802580217055 66.50391593101762, 14.914929150385436 66.50392907062955, 14.915196169712635 66.50395900827063, 14.917662144220174 66.50416289039586)"/>
    <s v="[366474, 366482, 366490, 366498, 366506]"/>
    <s v="[355076, 355086, 355094, 355101, 355108]"/>
    <s v="0.005595513673052608"/>
    <s v="[355075, 355076, 355086, 355094, 355101]"/>
    <s v="[0.008, 0.015, 0.026, 0.011, 0.002]"/>
    <s v="277.4847530605531"/>
    <s v="[0.008, 0.015, 0.026, 0.011, -0.002]"/>
  </r>
  <r>
    <x v="822"/>
    <x v="1109"/>
    <x v="0"/>
    <n v="0"/>
    <s v="LINESTRING (14.911624151356651 66.50355288791405, 14.913580655289449 66.50371788081968, 14.913894735855514 66.50374844771585, 14.914859102055397 66.50384607752865, 14.91511902848903 66.50387280879009, 14.917662144220174 66.50416289039586)"/>
    <s v="[366530, 366538, 366546, 366554, 366563]"/>
    <s v="[355139, 355144, 355154, 355165, 355108]"/>
    <s v="0.005109019612703411"/>
    <s v="[355075, 355139, 355144, 355154, 355165]"/>
    <s v="[0.022, 0.015, 0.016, 0.025, 0.015]"/>
    <s v="277.3717162410895"/>
    <s v="[0.022, 0.015, 0.016, 0.025, -0.015]"/>
  </r>
  <r>
    <x v="823"/>
    <x v="1110"/>
    <x v="0"/>
    <s v="[0, 0, 1, 0, 1, 0]"/>
    <s v="LINESTRING (14.917662144220174 66.50416289039586, 14.928821029671132 66.50337511788173, 14.929909170692206 66.50325049011178, 14.930025412400274 66.5032373547217, 14.93189787749319 66.50307470170779, 14.932629176384554 66.50303302482952, 14.933930088893328 66.50299380183938)"/>
    <s v="[1254205, 1254213, 1254219, 1254230, 1254239, 1254240]"/>
    <s v="[1172927, 1172936, 1172944, 1172959, 1172970, 355176]"/>
    <s v="#FIELD!"/>
    <s v="[355108, 1172927, 1172936, 1172944, 1172959, 1172970]"/>
    <s v="[0.007, 0.007, 0.021, 0.009, 0.019, 0.371]"/>
    <s v="741.9970969449856"/>
    <s v="[0.007, -0.007, -0.021, -0.009, -0.019, -0.371]"/>
  </r>
  <r>
    <x v="824"/>
    <x v="1111"/>
    <x v="0"/>
    <n v="0"/>
    <s v="LINESTRING (14.933930088893328 66.50299380183938, 14.93794983382368 66.50311203424597, 14.93828681949512 66.50314189741678, 14.938388324898867 66.50315066620217, 14.939631905215158 66.50328424474579, 14.944298642996143 66.5041317084843)"/>
    <s v="[366571, 366579, 366587, 366595, 366603]"/>
    <s v="[355177, 355185, 355195, 355207, 355216]"/>
    <s v="0.026960020809530846"/>
    <s v="[355176, 355177, 355185, 355195, 355207]"/>
    <s v="[0.009, 0.021, 0.02, 0.102, 0.037]"/>
    <s v="485.7585446815856"/>
    <s v="[-0.009, 0.021, 0.02, 0.102, 0.037]"/>
  </r>
  <r>
    <x v="824"/>
    <x v="1111"/>
    <x v="0"/>
    <n v="0"/>
    <s v="LINESTRING (14.933930088893328 66.50299380183938, 14.938096900184924 66.50319281368682, 14.938305013599729 66.50321033550705, 14.939546820645823 66.50334396785198, 14.939806058234648 66.50337616605252, 14.944298642996143 66.5041317084843)"/>
    <s v="[366611, 366619, 366627, 366635, 366643]"/>
    <s v="[355227, 355238, 355248, 355257, 355216]"/>
    <s v="0.027295465801668417"/>
    <s v="[355176, 355227, 355238, 355248, 355257]"/>
    <s v="[0.008, 0.021, 0.093, 0.111, 0.036]"/>
    <s v="482.886390660187"/>
    <s v="[-0.008, 0.021, 0.093, 0.111, 0.036]"/>
  </r>
  <r>
    <x v="825"/>
    <x v="1112"/>
    <x v="0"/>
    <n v="0"/>
    <s v="LINESTRING (14.944298642996143 66.5041317084843, 14.945594841178377 66.50435477111658, 14.9509688074481 66.50500210974027, 14.967728197748025 66.50752327900702, 14.982580105478785 66.50496985803345, 14.983095488233266 66.50390842847271, 14.983242146828454 66.50358299382734, 14.983917061392802 66.50209033272343, 14.9845218153279 66.50075021364466, 14.98493738416123 66.49983163998141, 14.984999269375535 66.49969426375995, 14.987030348963884 66.4944014712192, 14.987943102831066 66.49239248316258, 14.997773981878154 66.48725728687415, 15.004350923301162 66.4844947380207, 15.032771040491518 66.4784037620496, 15.037878535351377 66.47744136113448, 15.04756655500242 66.47279870926243, 15.059134744469123 66.46968844553157, 15.076686814364242 66.46617582928927, 15.077814474697838 66.46592103220364, 15.084574754039709 66.46457975626092)"/>
    <s v="[1254254, 1254255, 1254256, 1254264, 360014, 360018, 360027, 360043, 360052, 360057, 360061, 360069, 360090, 469421, 469449, 469456, 469457, 469465, 469482, 469483, 469490]"/>
    <s v="[1172989, 1172990, 1172991, 348454, 348455, 348461, 348468, 348367, 348496, 348501, 348359, 348379, 348323, 467524, 348307, 467559, 348305, 467496, 467579, 467580, 467585]"/>
    <s v="0.010952282557605877"/>
    <s v="[355216, 1172989, 1172990, 1172991, 348454, 348455, 348461, 348468, 348367, 348496, 348501, 348359, 348379, 348323, 467524, 348307, 467559, 348305, 467496, 467579, 467580]"/>
    <s v="[0.022, 0.008, 0.07, 0.009, 0.006, 0.008, 0.007, 0.007, 0.013, 0.023, 0.034, 0.093, 0.01, 0.045, 0.023, 0.018, 0.008, 0.046, 0.022, 0.025, 0.003]"/>
    <s v="8799.47483104504"/>
    <s v="[-0.022, -0.008, 0.07, -0.009, 0.006, 0.008, 0.007, 0.007, 0.013, 0.023, 0.034, 0.093, 0.01, 0.045, -0.023, 0.018, -0.008, 0.046, -0.022, 0.025, 0.003]"/>
  </r>
  <r>
    <x v="826"/>
    <x v="1113"/>
    <x v="0"/>
    <n v="0"/>
    <s v="LINESTRING (10.785917887535765 59.90097586129721, 10.785751430224009 59.90103549430712, 10.785033119312333 59.90119501643435, 10.783379598433196 59.901638177935205, 10.78268987314799 59.90239493933596, 10.782726212847113 59.90243296913851, 10.782780911627752 59.90248147794038)"/>
    <s v="[366630, 512640, 512648, 512656, 512664, 512672]"/>
    <s v="[355252, 518677, 518686, 518696, 518706, 518718]"/>
    <s v="#FIELD!"/>
    <s v="[355251, 355252, 518677, 518686, 518696, 518706]"/>
    <s v="[0.116, 0.196, 0.068, 0.227, 0.293, 0.279]"/>
    <s v="272.25830412920703"/>
    <s v="[-0.116, 0.196, -0.068, -0.227, -0.293, -0.279]"/>
  </r>
  <r>
    <x v="826"/>
    <x v="1114"/>
    <x v="0"/>
    <n v="0"/>
    <s v="LINESTRING (10.785917887535765 59.90097586129721, 10.783305368362125 59.901494830415594, 10.781968988359651 59.90175733643602, 10.772830199000165 59.90000783505945, 10.772754739166388 59.89993977246386)"/>
    <s v="[1834463, 512592, 512600, 512608]"/>
    <s v="[518616, 518617, 518629, 518640]"/>
    <s v="0.062285519946286276"/>
    <s v="[355251, 518616, 518617, 518629]"/>
    <s v="[0.004, 0.087, 0.101, 0.098]"/>
    <s v="817.3128386360735"/>
    <s v="[-0.004, -0.087, 0.101, 0.098]"/>
  </r>
  <r>
    <x v="826"/>
    <x v="1115"/>
    <x v="0"/>
    <s v="[0, 0, 1, 0, 0, 0, 0]"/>
    <s v="LINESTRING (10.80471341897392 59.89515677171888, 10.804673453670192 59.89520866361422, 10.804659903723245 59.895554121693294, 10.804690579946543 59.895814807302834, 10.804649468558187 59.89666226650603, 10.803885999098707 59.898330481887264, 10.803878389309755 59.898338583247174, 10.785917887535765 59.90097586129721)"/>
    <s v="[1834370, 1834380, 1834388, 1834396, 1834411, 1834452, 1834462]"/>
    <s v="[1609680, 1609685, 1609686, 1609690, 1609694, 1609712, 355251]"/>
    <s v="#FIELD!"/>
    <s v="[717602, 1609680, 1609685, 1609686, 1609690, 1609694, 1609712]"/>
    <s v="[0.317, 0.013, 0.017, 0.014, 0.012, 0.028, 0.055]"/>
    <s v="1464.0777671373544"/>
    <s v="[-0.317, -0.013, -0.017, -0.014, -0.012, -0.028, -0.055]"/>
  </r>
  <r>
    <x v="827"/>
    <x v="1107"/>
    <x v="0"/>
    <n v="0"/>
    <s v="LINESTRING (14.829242174606996 66.4454923218763, 14.830875920495414 66.44615491958284, 14.831575950110393 66.44641853813215, 14.831639366230142 66.44644241579358, 14.83185880723314 66.44652501581821, 14.83385035621848 66.44722995161251)"/>
    <s v="[366651, 366659, 366667, 366675, 366683]"/>
    <s v="[355271, 355278, 354942, 354916, 355303]"/>
    <s v="0.014754161035743039"/>
    <s v="[355270, 355271, 355278, 354942, 354916]"/>
    <s v="[0.018, 0.009, 0.02, 0.022, 0.013]"/>
    <s v="282.7626344717446"/>
    <s v="[0.018, 0.009, 0.02, 0.022, 0.013]"/>
  </r>
  <r>
    <x v="827"/>
    <x v="1107"/>
    <x v="0"/>
    <n v="0"/>
    <s v="LINESTRING (14.829242174606996 66.4454923218763, 14.830733140322323 66.4460087422686, 14.830990690021709 66.44610575651616, 14.831677276105093 66.44636425551165, 14.831858263264106 66.44643249622246, 14.83385035621848 66.44722995161251)"/>
    <s v="[366691, 366699, 366707, 366715, 366723]"/>
    <s v="[355312, 355321, 355331, 354925, 355303]"/>
    <s v="0.014595767224013397"/>
    <s v="[355270, 355312, 355321, 355331, 354925]"/>
    <s v="[0.018, 0.012, 0.011, 0.023, 0.013]"/>
    <s v="282.8830920009648"/>
    <s v="[0.018, 0.012, 0.011, 0.023, 0.013]"/>
  </r>
  <r>
    <x v="827"/>
    <x v="1116"/>
    <x v="0"/>
    <n v="0"/>
    <s v="LINESTRING (14.738918478793611 66.41412895843328, 14.739697699587197 66.41441234072826, 14.759840786120987 66.41904033019159, 14.763696253973302 66.4198936390235, 14.764583843359565 66.42012004855596, 14.77131244959621 66.42211989793552, 14.78261134062381 66.42491933015987, 14.819768669220752 66.44175251482777, 14.829242174606996 66.4454923218763)"/>
    <s v="[595662, 595622, 1832676, 1832684, 1832692, 1832708, 1832716, 1832724]"/>
    <s v="[599338, 599350, 1608671, 1608676, 354864, 354662, 354674, 355270]"/>
    <s v="#FIELD!"/>
    <s v="[599379, 599338, 599350, 1608671, 1608676, 354864, 354662, 354674]"/>
    <s v="[0.1, 0.004, 0.025, 0.023, 0.008, 0.015, 0.009, 0.016]"/>
    <s v="5426.12780835674"/>
    <s v="[0.1, -0.004, 0.025, -0.023, -0.008, 0.015, -0.009, -0.016]"/>
  </r>
  <r>
    <x v="828"/>
    <x v="1117"/>
    <x v="0"/>
    <n v="0"/>
    <s v="LINESTRING (11.00072976754026 60.853747742700435, 10.993907825265797 60.854157602173444, 10.986064434663458 60.85476584956238, 10.985663273774923 60.85484284504687, 10.982159298683058 60.85574574720504)"/>
    <s v="[366717, 366725, 366733, 2026389]"/>
    <s v="[355341, 355349, 355356, 355983]"/>
    <s v="#FIELD!"/>
    <s v="[355333, 355341, 355349, 355356]"/>
    <s v="[0.0, 0.004, 0.062, 0.089]"/>
    <s v="1049.006015556568"/>
    <s v="[-0.0, -0.004, -0.062, -0.089]"/>
  </r>
  <r>
    <x v="828"/>
    <x v="1118"/>
    <x v="0"/>
    <n v="0"/>
    <s v="LINESTRING (11.00072976754026 60.853747742700435, 11.000110304118275 60.85386476302298, 10.999641646095201 60.85393915924405, 10.993649267680016 60.85478090781477, 10.99360203512375 60.85479603940926)"/>
    <s v="[367349, 367341, 1255858, 1255884]"/>
    <s v="[356010, 356011, 1174196, 1174214]"/>
    <s v="0.013369632469105367"/>
    <s v="[355333, 356010, 356011, 1174196]"/>
    <s v="[0.006, 0.014, 0.014, 0.024]"/>
    <s v="409.59596159745865"/>
    <s v="[0.006, 0.014, 0.014, 0.024]"/>
  </r>
  <r>
    <x v="828"/>
    <x v="1119"/>
    <x v="0"/>
    <s v="[0, 0, 1, 0, 0]"/>
    <s v="LINESTRING (11.041375604873496 60.84283564553687, 11.035446040017359 60.844844272651954, 11.028357201028681 60.84740447398382, 11.027735760187467 60.84759563210005, 11.002826106584902 60.85338873678825, 11.00072976754026 60.853747742700435)"/>
    <s v="[366973, 2026417, 2026409, 366701, 366709]"/>
    <s v="[355626, 1769228, 355324, 355325, 355333]"/>
    <s v="0.011177665903623148"/>
    <s v="[355615, 355626, 1769228, 355324, 355325]"/>
    <s v="[0.023, 0.019, 0.008, 0.006, 0.007]"/>
    <s v="2535.245988743289"/>
    <s v="[0.023, 0.019, 0.008, 0.006, 0.007]"/>
  </r>
  <r>
    <x v="829"/>
    <x v="1120"/>
    <x v="0"/>
    <n v="0"/>
    <s v="LINESTRING (11.060413062420022 60.84135965993448, 11.0570200547115 60.84170848545476, 11.050084583995702 60.841962176214196, 11.042183369122682 60.8425322502743)"/>
    <s v="[366757, 366765, 366773]"/>
    <s v="[355382, 355392, 355399]"/>
    <s v="0.027289947992308744"/>
    <s v="[355375, 355382, 355392]"/>
    <s v="[0.021, 0.025, 0.032]"/>
    <s v="1003.3448213456029"/>
    <s v="[0.021, 0.025, 0.032]"/>
  </r>
  <r>
    <x v="829"/>
    <x v="1121"/>
    <x v="0"/>
    <n v="0"/>
    <s v="LINESTRING (11.050468754348541 60.84114345759438, 11.050568827991922 60.841177037763366, 11.059850291185606 60.84141026508497, 11.060413062420022 60.84135965993448)"/>
    <s v="[367477, 367485, 367509]"/>
    <s v="[356185, 356191, 355375]"/>
    <s v="#FIELD!"/>
    <s v="[356184, 356185, 356191]"/>
    <s v="[0.045, 0.028, 0.022]"/>
    <s v="556.9537468993243"/>
    <s v="[-0.045, -0.028, -0.022]"/>
  </r>
  <r>
    <x v="829"/>
    <x v="868"/>
    <x v="0"/>
    <s v="[0, 1, 0, 0, 0, 0]"/>
    <s v="LINESTRING (11.072812530838705 60.83583772322116, 11.070620981241348 60.83718740837588, 11.070093528831714 60.83751229865717, 11.068494585803217 60.838496989922035, 11.068349594557263 60.838585808699214, 11.065069453205714 60.840176138056584, 11.060413062420022 60.84135965993448)"/>
    <s v="[373078, 373780, 373700, 367541, 367365, 366749]"/>
    <s v="[362115, 362715, 356244, 356044, 355374, 355375]"/>
    <s v="0.00964220158377462"/>
    <s v="[362114, 362115, 362715, 356244, 356044, 355374]"/>
    <s v="[0.004, 0.019, 0.012, 0.006, 0.005, 0.015]"/>
    <s v="929.8289806179461"/>
    <s v="[0.004, 0.019, 0.012, 0.006, 0.005, 0.015]"/>
  </r>
  <r>
    <x v="830"/>
    <x v="1122"/>
    <x v="0"/>
    <s v="[0, 0, 0, 1, 0]"/>
    <s v="LINESTRING (11.042183369122682 60.8425322502743, 11.04126145099963 60.84272078352119, 11.035284252726749 60.84474654369817, 11.028295704007581 60.847251451685494, 11.027420301483481 60.84752031481141, 11.002724594893431 60.85327658066187)"/>
    <s v="[366781, 366789, 366741, 367333, 367645]"/>
    <s v="[355409, 355363, 355364, 356001, 356032]"/>
    <s v="0.011624479816296515"/>
    <s v="[355399, 355409, 355363, 355364, 356001]"/>
    <s v="[0.037, 0.023, 0.02, 0.012, 0.005]"/>
    <s v="2467.9885609320772"/>
    <s v="[0.037, 0.023, 0.02, 0.012, 0.005]"/>
  </r>
  <r>
    <x v="830"/>
    <x v="1123"/>
    <x v="0"/>
    <n v="0"/>
    <s v="LINESTRING (11.042183369122682 60.8425322502743, 11.042670050985672 60.84241921922214, 11.048416883307942 60.84161011505973, 11.048747331645451 60.84147016970263, 11.049730670656334 60.84114031962478, 11.049856911259976 60.84111820827697, 11.049993220907437 60.84110047428161)"/>
    <s v="[367397, 367461, 138062, 1808554, 1808562, 1808596]"/>
    <s v="[356089, 155245, 155246, 1593200, 1593206, 1593029]"/>
    <s v="#FIELD!"/>
    <s v="[355399, 356089, 155245, 155246, 1593200, 1593206]"/>
    <s v="[0.037, 0.028, 0.002, 0.017, 0.015, 0.015]"/>
    <s v="461.71911501208257"/>
    <s v="[-0.037, -0.028, 0.002, 0.017, -0.015, -0.015]"/>
  </r>
  <r>
    <x v="831"/>
    <x v="1124"/>
    <x v="0"/>
    <n v="0"/>
    <s v="LINESTRING (5.864380366836587 58.766460353015404, 5.863188594668328 58.76661194579397, 5.862732981435941 58.76674886882885, 5.862682507823246 58.76676739781383, 5.862583991595942 58.76679395946026, 5.862492455664156 58.76681970971115)"/>
    <s v="[1018022, 1018030, 1018038, 1018046, 1018054]"/>
    <s v="[638353, 974409, 974413, 974421, 974427]"/>
    <s v="0.03960601438972748"/>
    <s v="[355403, 638353, 974409, 974413, 974421]"/>
    <s v="[0.034, 0.051, 0.05, 0.038, 0.045]"/>
    <s v="119.32774385775349"/>
    <s v="[0.034, 0.051, 0.05, 0.038, 0.045]"/>
  </r>
  <r>
    <x v="831"/>
    <x v="1125"/>
    <x v="0"/>
    <n v="0"/>
    <s v="LINESTRING (5.864380366836587 58.766460353015404, 5.86278451730535 58.76678702696817, 5.862731196263779 58.766808821862426, 5.862669939258322 58.76684521898693, 5.862588175780106 58.76689823845707)"/>
    <s v="[1116423, 1116431, 1116439, 1116447]"/>
    <s v="[1055659, 1055666, 1055675, 1055681]"/>
    <s v="0.042118511925918346"/>
    <s v="[355403, 1055659, 1055666, 1055675]"/>
    <s v="[0.041, 0.045, 0.054, 0.047]"/>
    <s v="117.57662160332207"/>
    <s v="[0.041, 0.045, 0.054, 0.047]"/>
  </r>
  <r>
    <x v="831"/>
    <x v="1126"/>
    <x v="84"/>
    <s v="[0, 0, 0, 0, 0, 0, 0, 0, 0, 0, 0, 0, 0, 0, 0, 0, 0, 0, 0, 0, 0, 0, 0, 0, 0, 0, 0, 0, 1, 0, 0, 0, 0, 0, 0, 0, 0, 0, 0, 0, 0, 0, 0, 0, 0]"/>
    <s v="LINESTRING (5.925376029395927 58.74829727832489, 5.924784129211038 58.748759199523306, 5.910332301212611 58.75419338701127, 5.907304755533625 58.755171449844575, 5.9064958729178905 58.755686344512846, 5.906433204070015 58.755731738509425, 5.906361845249697 58.755783326275065, 5.9060706360804085 58.75601304428547, 5.905841431595305 58.75619182807156, 5.905711403901458 58.756293014599095, 5.905307864647054 58.75662592619328, 5.902217206873927 58.759232198529396, 5.897515255140198 58.763073511345524, 5.897438876146622 58.76311751080448, 5.897359717464384 58.76316090585061, 5.894637473760257 58.76413528049292, 5.894537099578314 58.764156366756815, 5.894420953826452 58.76418041361012, 5.893855973448439 58.76427910964156, 5.89093397674144 58.76466794204192, 5.890483331122422 58.764726595797384, 5.888521592183572 58.76498385372323, 5.887608538883524 58.765105120694294, 5.886466031081011 58.76527166427841, 5.886358887892549 58.76528871163213, 5.8862581381154815 58.76530209479599, 5.88618223169782 58.76531129450521, 5.886137737641391 58.76531718544419, 5.884082285233415 58.76552769572674, 5.883735810778055 58.76555418958657, 5.882319682574484 58.76563230684193, 5.882238805326574 58.765635232363834, 5.882117462345257 58.76564005227193, 5.881404394981432 58.765654751793676, 5.880989504498371 58.7656517326552, 5.8797536832775394 58.765610232053376, 5.8787282045685485 58.76553381395877, 5.874810965743114 58.76541883401751, 5.873102183436325 58.76575052856065, 5.8719236636287215 58.76605208068535, 5.871863646125658 58.76606706793173, 5.870507526755804 58.766398286587865, 5.866291334903059 58.766520585770834, 5.865602229001676 58.76648718243204, 5.865388323050008 58.76647660312651, 5.864380366836587 58.766460353015404)"/>
    <s v="[1341377, 371334, 1341417, 1341424, 1341425, 1341443, 1341451, 1341458, 1341459, 1341467, 366551, 366560, 366568, 366576, 366584, 366592, 366600, 366608, 366616, 366624, 366632, 366640, 334479, 334487, 334495, 334503, 334511, 334519, 366648, 366656, 366664, 366672, 366680, 366688, 366696, 366704, 366712, 366720, 366728, 366736, 366744, 366752, 366760, 366768, 366776]"/>
    <s v="[360279, 360280, 1244342, 1244348, 1244349, 1244362, 1244370, 1244374, 933133, 355161, 355162, 355169, 355174, 355181, 355191, 355203, 355212, 355223, 355234, 355244, 355254, 323952, 323953, 323931, 323967, 323908, 323978, 323985, 355268, 355275, 355282, 355292, 355300, 355309, 355318, 355329, 355337, 355345, 355352, 355359, 355367, 355378, 355387, 355395, 355403]"/>
    <s v="#FIELD!"/>
    <s v="[1244227, 360279, 360280, 1244342, 1244348, 1244349, 1244362, 1244370, 1244374, 933133, 355161, 355162, 355169, 355174, 355181, 355191, 355203, 355212, 355223, 355234, 355244, 355254, 323952, 323953, 323931, 323967, 323908, 323978, 323985, 355268, 355275, 355282, 355292, 355300, 355309, 355318, 355329, 355337, 355345, 355352, 355359, 355367, 355378, 355387, 355395]"/>
    <s v="[0.033, 0.008, 0.012, 0.084, 0.054, 0.041, 0.024, 0.004, 0.01, 0.035, 0.086, 0.048, 0.017, 0.017, 0.098, 0.105, 0.11, 0.012, 0.048, 0.093, 0.085, 0.033, 0.065, 0.067, 0.07, 0.074, 0.057, 0.076, 0.215, 0.02, 0.034, 0.031, 0.033, 0.032, 0.106, 0.154, 0.049, 0.173, 0.137, 0.041, 0.026, 0.004, 0.014, 0.013, 0.008]"/>
    <s v="4450.820290505892"/>
    <s v="[0.033, 0.008, -0.012, 0.084, 0.054, 0.041, 0.024, 0.004, -0.01, -0.035, -0.086, -0.048, -0.017, 0.017, 0.098, 0.105, 0.11, 0.012, -0.048, -0.093, -0.085, 0.033, -0.065, -0.067, -0.07, -0.074, -0.057, -0.076, -0.215, 0.02, 0.034, 0.031, 0.033, 0.032, 0.106, 0.154, 0.049, -0.173, -0.137, 0.041, 0.026, 0.004, -0.014, -0.013, -0.008]"/>
  </r>
  <r>
    <x v="832"/>
    <x v="1127"/>
    <x v="0"/>
    <n v="0"/>
    <s v="LINESTRING (5.674723597109197 58.983643247783924, 5.673312079697261 58.98357413620076, 5.670760951901851 58.98336977133839, 5.670295432014315 58.98332418840186)"/>
    <s v="[366832, 366840, 366848]"/>
    <s v="[355462, 355471, 355478]"/>
    <s v="0.007971013023806177"/>
    <s v="[355461, 355462, 355471]"/>
    <s v="[0.01, 0.016, 0.018]"/>
    <s v="258.02948192924913"/>
    <s v="[-0.01, 0.016, 0.018]"/>
  </r>
  <r>
    <x v="833"/>
    <x v="1128"/>
    <x v="0"/>
    <n v="0"/>
    <s v="LINESTRING (5.670295432014315 58.98332418840186, 5.670162875807793 58.983293984490274, 5.670027744215214 58.98328105369101, 5.669591508936887 58.98325404488509, 5.66948111987626 58.983252265793695, 5.669426254596936 58.983252190927, 5.66888188266716 58.98328125060331, 5.668817427406252 58.983299899967946)"/>
    <s v="[1019902, 1019910, 1019918, 1019926, 1019934, 1019942, 1019950]"/>
    <s v="[975641, 975647, 975651, 975655, 975663, 975667, 355488]"/>
    <s v="0.01547823553004072"/>
    <s v="[355478, 975641, 975647, 975651, 975655, 975663, 975667]"/>
    <s v="[1.183, 0.011, 0.011, 0.009, 0.008, 0.001, 2.833]"/>
    <s v="87.5238050415129"/>
    <s v="[-1.183, -0.011, -0.011, -0.009, -0.008, 0.001, 2.833]"/>
  </r>
  <r>
    <x v="833"/>
    <x v="1128"/>
    <x v="0"/>
    <n v="0"/>
    <s v="LINESTRING (5.670295432014315 58.98332418840186, 5.670149154762274 58.98333202919398, 5.670082876019521 58.983326814157145, 5.670024389670407 58.98332178589623, 5.669574004720294 58.98329536630473, 5.669498979087976 58.983291602826576, 5.668888244177406 58.98330452373177, 5.668817427406252 58.983299899967946)"/>
    <s v="[1370767, 1370775, 1370783, 1370791, 1370799, 1370807, 1370815]"/>
    <s v="[1263885, 1263895, 1263900, 1263908, 1263914, 1263921, 355488]"/>
    <s v="0.015477035012129693"/>
    <s v="[355478, 1263885, 1263895, 1263900, 1263908, 1263914, 1263921]"/>
    <s v="[0.009, 0.014, 0.023, 0.016, 0.021, 0.014, 0.028]"/>
    <s v="85.98675063923797"/>
    <s v="[0.009, 0.014, 0.023, 0.016, 0.021, 0.014, 0.028]"/>
  </r>
  <r>
    <x v="834"/>
    <x v="1129"/>
    <x v="0"/>
    <n v="0"/>
    <s v="LINESTRING (5.668817427406252 58.983299899967946, 5.668028305837582 58.983388037166456, 5.665852058156636 58.98494570167079, 5.6658477609632065 58.98495439060494, 5.665229914161076 58.98639922347565, 5.665124888087149 58.98683533075994, 5.6651034971869265 58.98734349422304, 5.665039878158492 58.98767407151277, 5.66353048241446 58.988724819228764, 5.661193818956491 58.98924409120385, 5.6600490173324856 58.98941798070251, 5.659992341626131 58.9894264828131, 5.659458344500707 58.98950407133873, 5.656895408318755 58.989970673871696)"/>
    <s v="[366856, 366864, 366872, 366880, 366888, 366896, 366904, 366912, 366920, 366928, 366936, 366944, 366952]"/>
    <s v="[355489, 355500, 355509, 355519, 355530, 355539, 355548, 355557, 355565, 355575, 355583, 355589, 355598]"/>
    <s v="#FIELD!"/>
    <s v="[355488, 355489, 355500, 355509, 355519, 355530, 355539, 355548, 355557, 355565, 355575, 355583, 355589]"/>
    <s v="[0.021, 0.007, 0.0, 0.004, 0.009, 0.001, 0.006, 0.029, 0.028, 0.013, 0.053, 0.043, 0.044]"/>
    <s v="1143.5077181967224"/>
    <s v="[0.021, -0.007, 0.0, 0.004, 0.009, -0.001, 0.006, 0.029, 0.028, -0.013, -0.053, -0.043, -0.044]"/>
  </r>
  <r>
    <x v="835"/>
    <x v="1130"/>
    <x v="0"/>
    <n v="0"/>
    <s v="LINESTRING (5.725393269836751 58.873968757394245, 5.725584445710302 58.8739820998778, 5.725633715218028 58.874038440074116, 5.725591728851066 58.87409992176177, 5.72556854896273 58.874110804587275, 5.725463519944642 58.874127211593446, 5.725357601661998 58.87410366671729, 5.725318526750593 58.87407304149458)"/>
    <s v="[366929, 366937, 366945, 366881, 366889, 366897, 366905]"/>
    <s v="[355576, 355584, 355520, 355521, 355531, 355540, 355549]"/>
    <s v="0.0024732891899549143"/>
    <s v="[355566, 355576, 355584, 355520, 355521, 355531, 355540]"/>
    <s v="[0.001, 0.015, 0.013, 0.007, 0.0, 0.01, 0.011]"/>
    <s v="44.88132247942249"/>
    <s v="[0.001, 0.015, 0.013, 0.007, 0.0, -0.01, -0.011]"/>
  </r>
  <r>
    <x v="835"/>
    <x v="1131"/>
    <x v="0"/>
    <s v="[0, 0, 1, 0, 0]"/>
    <s v="LINESTRING (5.7243030773780035 58.87406292694744, 5.724464931479912 58.87406394588471, 5.725123896981559 58.87406137337886, 5.725190219900452 58.87406320172425, 5.725233296105581 58.87406439537207, 5.725318526750593 58.87407304149458)"/>
    <s v="[379932, 379940, 379949, 379957, 379965]"/>
    <s v="[369046, 369053, 369062, 369071, 355549]"/>
    <s v="0.007447892011064014"/>
    <s v="[369045, 369046, 369053, 369062, 369071]"/>
    <s v="[0.021, 0.021, 0.022, 0.02, 0.138]"/>
    <s v="58.8619525498445"/>
    <s v="[0.021, 0.021, 0.022, 0.02, -0.138]"/>
  </r>
  <r>
    <x v="836"/>
    <x v="1132"/>
    <x v="0"/>
    <n v="0"/>
    <s v="LINESTRING (5.724435041245335 58.87396711461045, 5.724502500579206 58.873972360098506, 5.725165423286104 58.87398278841674, 5.725235191942747 58.8739782514254, 5.7252875157365635 58.87397343649771, 5.725393269836751 58.873968757394245)"/>
    <s v="[1435839, 1435847, 1435855, 1435863, 1435871]"/>
    <s v="[1305621, 1305628, 1305634, 1305640, 355566]"/>
    <s v="#FIELD!"/>
    <s v="[1251914, 1305621, 1305628, 1305634, 1305640]"/>
    <s v="[0.0, 0.0, 0.0, 0.004, 0.0]"/>
    <s v="55.95652254427282"/>
    <s v="[0.0, 0.0, 0.0, -0.004, -0.0]"/>
  </r>
  <r>
    <x v="837"/>
    <x v="1119"/>
    <x v="0"/>
    <n v="0"/>
    <s v="LINESTRING (11.057052562701593 60.84183322316152, 11.050143260418185 60.84208601413765, 11.04227096419951 60.84265349295263, 11.041375604873496 60.84283564553687)"/>
    <s v="[366949, 366957, 366965]"/>
    <s v="[355594, 355606, 355615]"/>
    <s v="0.029252777831967364"/>
    <s v="[355587, 355594, 355606]"/>
    <s v="[0.025, 0.032, 0.037]"/>
    <s v="864.1245218522183"/>
    <s v="[0.025, 0.032, 0.037]"/>
  </r>
  <r>
    <x v="837"/>
    <x v="1133"/>
    <x v="0"/>
    <n v="0"/>
    <s v="LINESTRING (11.057052562701593 60.84183322316152, 11.05644017741531 60.84189362053295, 11.050577448195478 60.84256724240341, 11.049511836250119 60.84280233051456, 11.049439713677558 60.842818006886226)"/>
    <s v="[367501, 367805, 2096837, 2096843]"/>
    <s v="[356206, 356524, 1813631, 1813587]"/>
    <s v="0.024419605325440685"/>
    <s v="[355587, 356206, 356524, 1813631]"/>
    <s v="[0.021, 0.023, 0.033, 0.034]"/>
    <s v="433.83451292767"/>
    <s v="[0.021, 0.023, 0.033, 0.034]"/>
  </r>
  <r>
    <x v="837"/>
    <x v="866"/>
    <x v="0"/>
    <s v="[0, 1, 0, 0, 0, 0, 0]"/>
    <s v="LINESTRING (11.071774271427566 60.83672145493287, 11.070862502215535 60.83728131477572, 11.070334188079771 60.83760573129522, 11.068732259798352 60.838589259222914, 11.068587213357805 60.83867777998963, 11.065241641529406 60.84028716907232, 11.060492679531212 60.84147905515007, 11.057052562701593 60.84183322316152)"/>
    <s v="[373892, 374636, 373836, 367517, 367445, 366933, 366941]"/>
    <s v="[362916, 362857, 356221, 356152, 355580, 355581, 355587]"/>
    <s v="0.01290269592089544"/>
    <s v="[362785, 362916, 362857, 356221, 356152, 355580, 355581]"/>
    <s v="[0.015, 0.02, 0.012, 0.006, 0.006, 0.014, 0.019]"/>
    <s v="1017.9748326865199"/>
    <s v="[0.015, 0.02, 0.012, 0.006, 0.006, 0.014, 0.019]"/>
  </r>
  <r>
    <x v="838"/>
    <x v="1134"/>
    <x v="85"/>
    <n v="0"/>
    <s v="LINESTRING (5.656895408318755 58.989970673871696, 5.656234848455728 58.990183578161364, 5.654596136664189 58.990876612847174, 5.654559540836702 58.990895693522035, 5.65429745975877 58.99104312541116, 5.654247954446556 58.991072852569665, 5.653668455869226 58.9914686503617, 5.65363161856556 58.991497835497604, 5.652710187985204 58.992404664269735)"/>
    <s v="[1370823, 1370831, 1370839, 1370847, 1370855, 1370863, 1370871, 1370879]"/>
    <s v="[1263931, 1263937, 1263943, 1263948, 1263953, 1263959, 1263963, 355609]"/>
    <s v="#FIELD!"/>
    <s v="[355598, 1263931, 1263937, 1263943, 1263948, 1263953, 1263959, 1263963]"/>
    <s v="[0.033, 0.016, 0.025, 0.021, 0.019, 0.035, 0.03, 0.015]"/>
    <s v="371.6956577945839"/>
    <s v="[-0.033, -0.016, -0.025, -0.021, -0.019, -0.035, -0.03, -0.015]"/>
  </r>
  <r>
    <x v="838"/>
    <x v="1134"/>
    <x v="0"/>
    <n v="0"/>
    <s v="LINESTRING (5.656895408318755 58.989970673871696, 5.655011042118815 58.99059178858875, 5.6549818438452295 58.9906040511613, 5.654466062174892 58.9908473873649, 5.654196141019204 58.990996914433744, 5.654141774854648 58.99102866460304, 5.6535635834902 58.99142172829426, 5.653544759150287 58.991436011143506, 5.653507586776269 58.9914647561169, 5.653470874870848 58.99149335385235, 5.652710187985204 58.992404664269735)"/>
    <s v="[1375367, 1375375, 1375383, 1375391, 1375399, 1375407, 1375415, 1375423, 1375431, 1375439]"/>
    <s v="[1267174, 1267180, 1267185, 1267190, 1267195, 1267200, 1267205, 1267211, 1267218, 355609]"/>
    <s v="#FIELD!"/>
    <s v="[355598, 1267174, 1267180, 1267185, 1267190, 1267195, 1267200, 1267205, 1267211, 1267218]"/>
    <s v="[0.021, 0.029, 0.024, 0.021, 0.022, 0.032, 0.034, 0.021, 0.028, 0.013]"/>
    <s v="376.1740632655206"/>
    <s v="[-0.021, -0.029, -0.024, -0.021, -0.022, -0.032, -0.034, -0.021, -0.028, -0.013]"/>
  </r>
  <r>
    <x v="839"/>
    <x v="1135"/>
    <x v="0"/>
    <n v="0"/>
    <s v="LINESTRING (5.652710187985204 58.992404664269735, 5.6515795189012055 58.99434236392428, 5.651551264696511 58.994371396448734, 5.65142958769414 58.994508948030955, 5.651379000102983 58.99456585352848)"/>
    <s v="[366960, 1417496, 1417503, 1417514]"/>
    <s v="[355610, 1294614, 1294618, 1294611]"/>
    <s v="#FIELD!"/>
    <s v="[355609, 355610, 1294614, 1294618]"/>
    <s v="[0.008, 0.074, 0.023, 0.022]"/>
    <s v="253.84925016690266"/>
    <s v="[-0.008, -0.074, -0.023, -0.022]"/>
  </r>
  <r>
    <x v="840"/>
    <x v="1136"/>
    <x v="0"/>
    <n v="0"/>
    <s v="LINESTRING (11.048927185275135 60.84266637385105, 11.048906898625876 60.84263377462166, 11.048864088537727 60.84257624115967, 11.048760127181723 60.84249182738039, 11.041845843210119 60.842770675146376, 11.041375604873496 60.84283564553687)"/>
    <s v="[2096824, 2096828, 2096831, 367469, 367405]"/>
    <s v="[1813621, 1813624, 356178, 356097, 355615]"/>
    <s v="0.032820914213201116"/>
    <s v="[1813604, 1813621, 1813624, 356178, 356097]"/>
    <s v="[0.023, 0.011, 0.013, 0.035, 0.039]"/>
    <s v="438.03803380733893"/>
    <s v="[-0.023, -0.011, -0.013, 0.035, 0.039]"/>
  </r>
  <r>
    <x v="841"/>
    <x v="1137"/>
    <x v="0"/>
    <s v="[0, 0, 1, 0]"/>
    <s v="LINESTRING (5.643144819804145 59.0039435219097, 5.64310046639134 59.00403417541673, 5.641348936658968 59.00669923397552, 5.64115739963766 59.00688682007133, 5.641064285719348 59.00697597123927)"/>
    <s v="[367056, 367064, 367072, 367080]"/>
    <s v="[355707, 355714, 355722, 355731]"/>
    <s v="#FIELD!"/>
    <s v="[355698, 355707, 355714, 355722]"/>
    <s v="[0.026, 0.003, 0.003, 0.004]"/>
    <s v="360.6850710972122"/>
    <s v="[-0.026, -0.003, 0.003, 0.004]"/>
  </r>
  <r>
    <x v="841"/>
    <x v="1138"/>
    <x v="0"/>
    <s v="[0, 0, 1, 0, 0]"/>
    <s v="LINESTRING (5.643144819804145 59.0039435219097, 5.643153191808506 59.00404117171929, 5.643824839508175 59.006598024019894, 5.643828777920576 59.00663822225396, 5.643829951965234 59.00699265598203, 5.643840715725656 59.00704004858168)"/>
    <s v="[2117788, 2117796, 2117804, 2117812, 2117820]"/>
    <s v="[1825879, 1825884, 1825887, 1825893, 1825897]"/>
    <s v="0.008525426998333998"/>
    <s v="[355698, 1825879, 1825884, 1825887, 1825893]"/>
    <s v="[0.188, 0.003, 0.003, 0.002, 0.003]"/>
    <s v="358.51876273568183"/>
    <s v="[0.188, 0.003, 0.003, 0.002, 0.003]"/>
  </r>
  <r>
    <x v="841"/>
    <x v="1139"/>
    <x v="0"/>
    <s v="[1, 0, 0, 0, 0, 0, 0, 0, 0, 0, 1, 0, 0]"/>
    <s v="LINESTRING (5.650651757111632 58.99526868810158, 5.6506223435453675 58.995296190030565, 5.65057630721696 58.995340285853885, 5.650076006917479 58.99580006188925, 5.649631702969168 58.99620188849077, 5.646986875760102 58.99861443770073, 5.64544711278225 59.00013178512813, 5.645066135073985 59.00058936038932, 5.645016303985622 59.000656224981334, 5.644973788060296 59.000709161979785, 5.644927856829359 59.00076817662964, 5.644868002432507 59.00084606010627, 5.644064869295297 59.00210345429882, 5.643144819804145 59.0039435219097)"/>
    <s v="[1417402, 1417410, 366968, 366976, 366984, 366992, 367000, 367008, 367016, 367024, 367032, 367040, 367048]"/>
    <s v="[1294565, 355619, 355620, 355629, 355636, 355648, 355654, 355660, 355665, 355673, 355679, 355688, 355698]"/>
    <s v="0.0002015614017899157"/>
    <s v="[1294550, 1294565, 355619, 355620, 355629, 355636, 355648, 355654, 355660, 355665, 355673, 355679, 355688]"/>
    <s v="[0.001, 0.123, 0.0, 0.005, 0.009, 0.005, 0.022, 0.024, 0.025, 0.024, 0.026, 0.027, 0.023]"/>
    <s v="1067.7628749861901"/>
    <s v="[-0.001, 0.123, -0.0, 0.005, -0.009, 0.005, 0.022, 0.024, 0.025, 0.024, 0.026, 0.027, -0.023]"/>
  </r>
  <r>
    <x v="842"/>
    <x v="1140"/>
    <x v="0"/>
    <n v="0"/>
    <m/>
    <n v="2117981"/>
    <n v="1825996"/>
    <s v="0.05"/>
    <n v="355731"/>
    <s v="0.05"/>
    <s v="47.9486225591992"/>
    <s v="0.05"/>
  </r>
  <r>
    <x v="842"/>
    <x v="1141"/>
    <x v="0"/>
    <n v="0"/>
    <s v="LINESTRING (5.641064285719348 59.00697597123927, 5.640700223090929 59.00735730941481, 5.639135360139508 59.00880238998317)"/>
    <s v="[2117941, 2117949]"/>
    <s v="[1825975, 1825981]"/>
    <s v="#FIELD!"/>
    <s v="[355731, 1825975]"/>
    <s v="[0.051, 0.019]"/>
    <s v="232.64156619915894"/>
    <s v="[0.051, -0.019]"/>
  </r>
  <r>
    <x v="843"/>
    <x v="1141"/>
    <x v="0"/>
    <n v="0"/>
    <s v="LINESTRING (5.639135360139508 59.00880238998317, 5.638420341705444 59.00947121532279, 5.638128944755327 59.0097091447653)"/>
    <s v="[2117965, 2117973]"/>
    <s v="[1825989, 355738]"/>
    <s v="#FIELD!"/>
    <s v="[1825981, 1825989]"/>
    <s v="[0.021, 0.03]"/>
    <s v="116.79568729340947"/>
    <s v="[-0.021, -0.03]"/>
  </r>
  <r>
    <x v="843"/>
    <x v="1142"/>
    <x v="0"/>
    <n v="0"/>
    <m/>
    <n v="2118013"/>
    <n v="355738"/>
    <s v="#FIELD!"/>
    <n v="1826007"/>
    <s v="0.029"/>
    <s v="32.173505140747544"/>
    <s v="#FIELD!"/>
  </r>
  <r>
    <x v="844"/>
    <x v="885"/>
    <x v="0"/>
    <s v="[0, 0, 0, 0, 0, 0, 0, 0, 0, 0, 1, 0]"/>
    <s v="LINESTRING (10.917586384824485 60.882746304318665, 10.916401997433065 60.88300554131154, 10.916078924904244 60.883070023379574, 10.915103922409918 60.88324994785858, 10.91315242202142 60.883545154746606, 10.913051578767547 60.883558520810446, 10.907756309663165 60.884181441032716, 10.903873109661046 60.88463763064432, 10.89707808802208 60.88586458226338, 10.8821423183471 60.891019617896994, 10.867916021379221 60.8936511642173, 10.866742786633756 60.8936554454591, 10.857630557059554 60.8937348938825)"/>
    <s v="[383598, 369202, 1005578, 1005594, 1005595, 1005603, 1005619, 368991, 369162, 369186, 369258, 369282]"/>
    <s v="[358078, 358079, 962522, 962538, 962539, 962548, 357849, 357850, 358038, 358061, 358137, 358164]"/>
    <s v="0.005268973842964556"/>
    <s v="[355792, 358078, 358079, 962522, 962538, 962539, 962548, 357849, 357850, 358038, 358061, 358137]"/>
    <s v="[0.0, 0.002, 0.028, 0.01, 0.009, 0.021, 0.023, 0.004, 0.005, 0.012, 0.041, 0.038]"/>
    <s v="3561.8107420794636"/>
    <s v="[0.0, -0.002, 0.028, 0.01, 0.009, 0.021, 0.023, -0.004, -0.005, -0.012, 0.041, 0.038]"/>
  </r>
  <r>
    <x v="844"/>
    <x v="1143"/>
    <x v="0"/>
    <s v="[0, 0, 0, 1, 0, 0]"/>
    <s v="LINESTRING (10.931758897481108 60.877951339822125, 10.930014730054392 60.878573043000614, 10.926535997044837 60.879812828978245, 10.926156072077912 60.879948312669875, 10.92466952238618 60.88047795575595, 10.91892402809969 60.88240867177266, 10.917586384824485 60.882746304318665)"/>
    <s v="[367861, 367869, 367877, 367829, 383582, 383590]"/>
    <s v="[356586, 356595, 356546, 356547, 373184, 355792]"/>
    <s v="0.003150107133399496"/>
    <s v="[355915, 356586, 356595, 356546, 356547, 373184]"/>
    <s v="[0.002, 0.007, 0.013, 0.004, 0.002, 0.005]"/>
    <s v="938.2573040824159"/>
    <s v="[0.002, 0.007, 0.013, 0.004, 0.002, -0.005]"/>
  </r>
  <r>
    <x v="844"/>
    <x v="1144"/>
    <x v="0"/>
    <n v="0"/>
    <s v="LINESTRING (10.925834979447862 60.8807355420087, 10.925742201478077 60.880706656986426, 10.920934542708315 60.88185856284591, 10.918196836158373 60.88263323916659, 10.917586384824485 60.882746304318665)"/>
    <s v="[1256412, 1256413, 367373, 367149]"/>
    <s v="[1174618, 356053, 355791, 355792]"/>
    <s v="#FIELD!"/>
    <s v="[1174617, 1174618, 356053, 355791]"/>
    <s v="[0.023, 0.003, 0.001, 0.004]"/>
    <s v="512.2372940550839"/>
    <s v="[-0.023, -0.003, 0.001, -0.004]"/>
  </r>
  <r>
    <x v="845"/>
    <x v="1145"/>
    <x v="0"/>
    <n v="0"/>
    <s v="LINESTRING (10.918842932706127 60.8823279674016, 10.9193706858956 60.88214316112552, 10.91976844153247 60.88200600754882, 10.924990882387045 60.879798617361715, 10.925010186917921 60.87975692277197)"/>
    <s v="[367157, 367069, 1256420, 1256429]"/>
    <s v="[355717, 355718, 1174622, 1174631]"/>
    <s v="#FIELD!"/>
    <s v="[355800, 355717, 355718, 1174622]"/>
    <s v="[0.006, 0.006, 0.001, 0.005]"/>
    <s v="445.03048438566213"/>
    <s v="[-0.006, -0.006, -0.001, -0.005]"/>
  </r>
  <r>
    <x v="845"/>
    <x v="893"/>
    <x v="0"/>
    <s v="[0, 0, 0, 0, 0, 0, 0, 0, 0, 0, 0, 1, 0, 0]"/>
    <s v="LINESTRING (10.918842932706127 60.8823279674016, 10.917510129931445 60.88266469434991, 10.91633881312328 60.88292127131293, 10.916008467676455 60.88298709638902, 10.915041186639153 60.88316551102574, 10.913105472113184 60.883458338291675, 10.913003903322577 60.88347175416295, 10.907706955146763 60.88408241245367, 10.90382131048652 60.88453531637079, 10.89699105921234 60.88577872891881, 10.88203848682999 60.890945493136826, 10.86789235529594 60.89356179125656, 10.866733024557101 60.89356560089678, 10.857608734482266 60.89364575514162, 10.857244246202644 60.89367164802681)"/>
    <s v="[2026077, 2026082, 369290, 369050, 369058, 369066, 369074, 369082, 369090, 369194, 369418, 369298, 369234, 369250]"/>
    <s v="[1769014, 358173, 357916, 357917, 357925, 357934, 357943, 357952, 357961, 358069, 358185, 358111, 358112, 358128]"/>
    <s v="0.005047979106117387"/>
    <s v="[355800, 1769014, 358173, 357916, 357917, 357925, 357934, 357943, 357952, 357961, 358069, 358185, 358111, 358112]"/>
    <s v="[0.012, 0.014, 0.001, 0.003, 0.025, 0.033, 0.029, 0.035, 0.003, 0.006, 0.011, 0.04, 0.038, 0.019]"/>
    <s v="3660.5782452017825"/>
    <s v="[0.012, -0.014, -0.001, -0.003, -0.025, -0.033, 0.029, 0.035, -0.003, -0.006, -0.011, 0.04, 0.038, 0.019]"/>
  </r>
  <r>
    <x v="845"/>
    <x v="1146"/>
    <x v="0"/>
    <s v="[0, 0, 0, 0, 1, 0]"/>
    <s v="LINESTRING (10.93273513033326 60.87749220620337, 10.931650240472026 60.877878924727035, 10.92990626443025 60.878500587307364, 10.92642786595514 60.87974023670782, 10.92604786098411 60.87987562775884, 10.9245609112007 60.88040552717947, 10.918842932706127 60.8823279674016)"/>
    <s v="[2026483, 2026491, 2026500, 2026517, 2026293, 2026069]"/>
    <s v="[1769288, 1769296, 1769303, 1769152, 1769009, 355800]"/>
    <s v="0.002999998132138176"/>
    <s v="[355924, 1769288, 1769296, 1769303, 1769152, 1769009]"/>
    <s v="[0.008, 0.006, 0.007, 0.007, 0.007, 0.001]"/>
    <s v="927.69030921079"/>
    <s v="[0.008, 0.006, 0.007, 0.007, -0.007, 0.001]"/>
  </r>
  <r>
    <x v="846"/>
    <x v="1147"/>
    <x v="0"/>
    <n v="0"/>
    <s v="LINESTRING (10.931758897481108 60.877951339822125, 10.931296437254531 60.87815462136363, 10.92987776118618 60.87868302122869, 10.92636429441061 60.880585638346666, 10.926330619176529 60.880634152270815)"/>
    <s v="[367261, 367205, 1256383, 1256391]"/>
    <s v="[355854, 355855, 1174599, 1174604]"/>
    <s v="0.009210198784733763"/>
    <s v="[355915, 355854, 355855, 1174599]"/>
    <s v="[0.003, 0.003, 0.012, 0.009]"/>
    <s v="428.432251536181"/>
    <s v="[0.003, 0.003, 0.012, 0.009]"/>
  </r>
  <r>
    <x v="846"/>
    <x v="1117"/>
    <x v="0"/>
    <s v="[0, 0, 1, 0, 0, 1, 0, 0, 1, 0, 1, 0, 0, 1, 0, 0, 0, 0]"/>
    <s v="LINESTRING (10.982159298683058 60.85574574720504, 10.969286913006817 60.860163387137575, 10.965060299780383 60.86109892749657, 10.96460682329413 60.861188143983284, 10.959379646404848 60.86226851627311, 10.958438856206055 60.86250736499961, 10.958028361340915 60.86262077783083, 10.957469972673966 60.86278556439324, 10.957087658392625 60.862906385451964, 10.95691785131953 60.86296195458926, 10.955439244028916 60.86350644505336, 10.955296854857567 60.86356526532965, 10.947371366876473 60.87053822233823, 10.946941364151257 60.871008356139846, 10.946701538933475 60.87125184767464, 10.944981657649855 60.872652939569946, 10.934346474968974 60.87702900690112, 10.932847418211514 60.87756334587536, 10.931758897481108 60.877951339822125)"/>
    <s v="[2026397, 383614, 2026190, 2026143, 2026144, 367901, 367173, 367181, 367061, 2026360, 366925, 367189, 367197, 383606, 367165, 367837, 367845, 367853]"/>
    <s v="[373226, 373227, 1769054, 1769055, 356632, 355817, 355818, 355710, 355711, 355570, 355571, 355835, 355843, 355807, 355808, 356556, 356566, 355915]"/>
    <s v="#FIELD!"/>
    <s v="[355983, 373226, 373227, 1769054, 1769055, 356632, 355817, 355818, 355710, 355711, 355570, 355571, 355835, 355843, 355807, 355808, 356556, 356566]"/>
    <s v="[0.045, 0.065, 0.073, 0.008, 0.024, 0.014, 0.013, 0.011, 0.01, 0.004, 0.0, 0.009, 0.032, 0.03, 0.023, 0.0, 0.002, 0.002]"/>
    <s v="3812.9867833916815"/>
    <s v="[-0.045, -0.065, -0.073, -0.008, -0.024, 0.014, 0.013, 0.011, 0.01, 0.004, 0.0, -0.009, -0.032, -0.03, -0.023, 0.0, 0.002, 0.002]"/>
  </r>
  <r>
    <x v="847"/>
    <x v="1148"/>
    <x v="0"/>
    <s v="[0, 0, 0, 0, 1, 0, 0, 1, 0, 0, 1, 0, 1, 0, 0, 1, 0, 0, 0]"/>
    <s v="LINESTRING (10.985996513236929 60.85468232724219, 10.98559582498144 60.854759381585886, 10.982059928884809 60.85567026239242, 10.969200865483536 60.86008412111837, 10.965082678592232 60.86099765529902, 10.9646371311193 60.86108540204552, 10.959300418806771 60.8621875069304, 10.958634323368889 60.86235385759017, 10.95815202230975 60.86248263989662, 10.957368872978655 60.86271062880464, 10.957102231043361 60.86279418107671, 10.956915228104082 60.862854536505715, 10.955393806911527 60.86340816558134, 10.955247826805325 60.86346768673119, 10.947207233455163 60.87049721095656, 10.946774687727139 60.87097051289168, 10.946536352013641 60.871212430916614, 10.94483322651743 60.87260017320828, 10.934236798023692 60.87695690470055, 10.93273513033326 60.87749220620337)"/>
    <s v="[367677, 2026536, 2026563, 2026307, 367685, 2026161, 2026165, 367909, 383566, 383574, 2026285, 367765, 367293, 367277, 367285, 2026111, 2026520, 2026473, 2026482]"/>
    <s v="[356388, 1769332, 1769165, 356398, 356399, 1769067, 356642, 356643, 373162, 373174, 356485, 355953, 355933, 355934, 355944, 1769035, 1769281, 1769282, 355924]"/>
    <s v="#FIELD!"/>
    <s v="[355991, 356388, 1769332, 1769165, 356398, 356399, 1769067, 356642, 356643, 373162, 373174, 356485, 355953, 355933, 355934, 355944, 1769035, 1769281, 1769282]"/>
    <s v="[0.06, 0.008, 0.066, 0.061, 0.07, 0.011, 0.04, 0.016, 0.025, 0.001, 0.022, 0.004, 0.0, 0.009, 0.032, 0.113, 0.011, 0.007, 0.0]"/>
    <s v="3981.665744896474"/>
    <s v="[-0.06, -0.008, -0.066, -0.061, -0.07, -0.011, -0.04, 0.016, 0.025, 0.001, -0.022, 0.004, 0.0, -0.009, -0.032, 0.113, -0.011, -0.007, -0.0]"/>
  </r>
  <r>
    <x v="847"/>
    <x v="1149"/>
    <x v="0"/>
    <n v="0"/>
    <s v="LINESTRING (10.925517793318932 60.87962122469545, 10.925682741207924 60.879614990241876, 10.929711816623584 60.878508827714164, 10.932380875750262 60.87758603287043, 10.93273513033326 60.87749220620337)"/>
    <s v="[1256437, 1256452, 367381, 367269]"/>
    <s v="[1174637, 356065, 355923, 355924]"/>
    <s v="#FIELD!"/>
    <s v="[1174636, 1174637, 356065, 355923]"/>
    <s v="[0.014, 0.009, 0.002, 0.001]"/>
    <s v="461.1330304855458"/>
    <s v="[0.014, -0.009, -0.002, -0.001]"/>
  </r>
  <r>
    <x v="848"/>
    <x v="1150"/>
    <x v="0"/>
    <n v="0"/>
    <s v="LINESTRING (10.993050910455985 60.854767456883884, 10.992997735065362 60.85475444405075, 10.992868579253606 60.85472319791787, 10.986189865906242 60.85479794394188, 10.982673644883183 60.85562575243029, 10.982159298683058 60.85574574720504)"/>
    <s v="[1255887, 1255888, 1255898, 367453, 367317]"/>
    <s v="[1174217, 1174218, 356161, 355982, 355983]"/>
    <s v="#FIELD!"/>
    <s v="[1174216, 1174217, 1174218, 356161, 355982]"/>
    <s v="[0.038, 0.027, 0.017, 0.084, 0.105]"/>
    <s v="626.2638804457088"/>
    <s v="[-0.038, -0.027, -0.017, -0.084, -0.105]"/>
  </r>
  <r>
    <x v="849"/>
    <x v="1151"/>
    <x v="0"/>
    <n v="0"/>
    <s v="LINESTRING (10.985996513236929 60.85468232724219, 10.986615980733596 60.854540918818124, 10.987011169589838 60.854458159503686, 10.99329445451984 60.85355581571821, 10.993426613539103 60.85353207145412, 10.99348223394253 60.853522044682116)"/>
    <s v="[367325, 367301, 1255906, 1255912, 1255923]"/>
    <s v="[355961, 355962, 1174231, 1174233, 1174239]"/>
    <s v="0.0026519196132648386"/>
    <s v="[355991, 355961, 355962, 1174231, 1174233]"/>
    <s v="[0.041, 0.024, 0.002, 0.023, 0.019]"/>
    <s v="428.0220666004716"/>
    <s v="[0.041, 0.024, -0.002, -0.023, -0.019]"/>
  </r>
  <r>
    <x v="849"/>
    <x v="1122"/>
    <x v="0"/>
    <n v="0"/>
    <s v="LINESTRING (11.002724594893431 60.85327658066187, 11.000650005063934 60.853635603449774, 10.993831803349691 60.854050055854906, 10.985996513236929 60.85468232724219)"/>
    <s v="[367653, 367661, 367669]"/>
    <s v="[356364, 356370, 355991]"/>
    <s v="#FIELD!"/>
    <s v="[356032, 356364, 356370]"/>
    <s v="[0.007, 0.001, 0.004]"/>
    <s v="929.2897707971853"/>
    <s v="[0.007, 0.001, -0.004]"/>
  </r>
  <r>
    <x v="850"/>
    <x v="1152"/>
    <x v="0"/>
    <n v="0"/>
    <s v="LINESTRING (10.994096229212007 60.85356050254033, 10.994149176947072 60.85357179115274, 10.999328761921292 60.85375629160147, 11.002164940948324 60.853348734673766, 11.002724594893431 60.85327658066187)"/>
    <s v="[1255934, 1255965, 367389, 367357]"/>
    <s v="[1174246, 356079, 356031, 356032]"/>
    <s v="#FIELD!"/>
    <s v="[1174245, 1174246, 356079, 356031]"/>
    <s v="[0.014, 0.001, 0.006, 0.002]"/>
    <s v="484.6459157198422"/>
    <s v="[0.014, 0.001, -0.006, -0.002]"/>
  </r>
  <r>
    <x v="851"/>
    <x v="1153"/>
    <x v="0"/>
    <n v="0"/>
    <s v="LINESTRING (5.697955629444955 59.113295639867594, 5.6979894325858504 59.11342059503396, 5.698110322436142 59.114473411993856, 5.698116194624403 59.11450207848818)"/>
    <s v="[679774, 679775, 679782]"/>
    <s v="[670344, 670345, 662056]"/>
    <s v="0.004673058884073882"/>
    <s v="[356058, 670344, 670345]"/>
    <s v="[0.003, 0.005, 0.001]"/>
    <s v="145.34352090950966"/>
    <s v="[0.003, 0.005, -0.001]"/>
  </r>
  <r>
    <x v="852"/>
    <x v="1151"/>
    <x v="0"/>
    <n v="0"/>
    <m/>
    <n v="1255982"/>
    <n v="1174239"/>
    <s v="0.039"/>
    <n v="356129"/>
    <s v="0.039"/>
    <s v="18.22975610807198"/>
    <s v="0.039"/>
  </r>
  <r>
    <x v="852"/>
    <x v="1154"/>
    <x v="0"/>
    <n v="0"/>
    <s v="LINESTRING (10.99365229428926 60.8536560312248, 10.99365135386999 60.85368998410465, 10.9936673991041 60.85386917747245)"/>
    <s v="[367429, 367437]"/>
    <s v="[356130, 356142]"/>
    <s v="0.028522464675428186"/>
    <s v="[356129, 356130]"/>
    <s v="[0.026, 0.029]"/>
    <s v="23.773843062687398"/>
    <s v="[0.026, 0.029]"/>
  </r>
  <r>
    <x v="852"/>
    <x v="1155"/>
    <x v="0"/>
    <n v="0"/>
    <s v="LINESTRING (10.993850818003631 60.85367031540427, 10.993739866838455 60.85367042081989, 10.99365229428926 60.8536560312248)"/>
    <s v="[1256101, 1255974]"/>
    <s v="[1174283, 356129]"/>
    <s v="0.007530136246519136"/>
    <s v="[356494, 1174283]"/>
    <s v="[0.252, 0.286]"/>
    <s v="11.055784772557242"/>
    <s v="[0.252, -0.286]"/>
  </r>
  <r>
    <x v="853"/>
    <x v="927"/>
    <x v="0"/>
    <n v="0"/>
    <s v="LINESTRING (9.55601052672299 60.821094924988046, 9.555353554444117 60.82153027334876, 9.554837363881617 60.82202101789959, 9.554819714845282 60.82204152151447, 9.554780975361489 60.822088121575426, 9.554740192421283 60.82213719444543, 9.554731715446538 60.82214670441276, 9.554342432599176 60.82290830729825)"/>
    <s v="[367838, 367846, 367854, 367862, 367870, 367878, 367886]"/>
    <s v="[356557, 356567, 356577, 356587, 356596, 356603, 356143]"/>
    <s v="#FIELD!"/>
    <s v="[356132, 356557, 356567, 356577, 356587, 356596, 356603]"/>
    <s v="[0.003, 0.001, 0.002, 0.007, 0.008, 0.003, 0.016]"/>
    <s v="225.28921324144153"/>
    <s v="[-0.003, 0.001, -0.002, -0.007, -0.008, -0.003, -0.016]"/>
  </r>
  <r>
    <x v="853"/>
    <x v="927"/>
    <x v="0"/>
    <n v="0"/>
    <s v="LINESTRING (9.55601052672299 60.821094924988046, 9.555568122096346 60.8214837265347, 9.555473659771256 60.82156316054119, 9.554967192760026 60.82204801001151, 9.554949170011957 60.82206811147445, 9.554908525299405 60.82211323921359, 9.554869479635109 60.82216152776617, 9.554861806519224 60.82217107940936, 9.554342432599176 60.82290830729825)"/>
    <s v="[367894, 367902, 367910, 367918, 367926, 367934, 367942, 367950]"/>
    <s v="[356623, 356633, 356644, 356652, 356661, 356670, 356682, 356143]"/>
    <s v="#FIELD!"/>
    <s v="[356132, 356623, 356633, 356644, 356652, 356661, 356670, 356682]"/>
    <s v="[0.005, 0.008, 0.002, 0.002, 0.002, 0.007, 0.003, 0.013]"/>
    <s v="222.6878392500831"/>
    <s v="[-0.005, -0.008, -0.002, -0.002, -0.002, -0.007, -0.003, -0.013]"/>
  </r>
  <r>
    <x v="853"/>
    <x v="683"/>
    <x v="86"/>
    <n v="0"/>
    <s v="LINESTRING (9.580435616954807 60.795662836551266, 9.580435616954807 60.795662836551266, 9.57922061404921 60.79603491712187, 9.568591622471073 60.79869479028466, 9.566194577860399 60.800824335318204, 9.565025013657992 60.80248283892039, 9.565971183696268 60.808149311555425, 9.566730785903031 60.80972685855652, 9.565083322048617 60.81393263719455, 9.557187568122515 60.82019054406987, 9.556758995022228 60.82052893746921, 9.556652223438132 60.82061153485447, 9.55601052672299 60.821094924988046)"/>
    <s v="[755668, 755676, 755684, 755692, 755700, 755708, 755716, 755724, 755732, 755740, 755748, 367430]"/>
    <s v="[736346, 341180, 736355, 736362, 736370, 736374, 736378, 736382, 736388, 736394, 356131, 356132]"/>
    <s v="0.0090659229004894"/>
    <s v="[736345, 736346, 341180, 736355, 736362, 736370, 736374, 736378, 736382, 736388, 736394, 356131]"/>
    <s v="[0.0, 0.092, 0.001, 0.076, 0.386, 0.054, 0.119, 0.03, 0.0, 0.004, 0.008, 0.003]"/>
    <s v="3520.2723139757686"/>
    <s v="[0.0, 0.092, -0.001, 0.076, 0.386, -0.054, -0.119, -0.03, -0.0, 0.004, 0.008, 0.003]"/>
  </r>
  <r>
    <x v="854"/>
    <x v="1156"/>
    <x v="0"/>
    <s v="[1, 0]"/>
    <s v="LINESTRING (10.9936673991041 60.85386917747245, 10.993477083845438 60.85439047271692, 10.993456080866343 60.85444773943042)"/>
    <s v="[1256460, 1256468]"/>
    <s v="[1174646, 356511]"/>
    <s v="0.029957858664687174"/>
    <s v="[356142, 1174646]"/>
    <s v="[0.075, 0.38]"/>
    <s v="65.49431073103594"/>
    <s v="[0.075, -0.38]"/>
  </r>
  <r>
    <x v="854"/>
    <x v="1155"/>
    <x v="0"/>
    <n v="0"/>
    <s v="LINESTRING (10.993850818003631 60.85367031540427, 10.993824638759053 60.853701267774966, 10.9936673991041 60.85386917747245)"/>
    <s v="[367773, 367781]"/>
    <s v="[356495, 356142]"/>
    <s v="0.031"/>
    <s v="[356494, 356495]"/>
    <s v="0.031"/>
    <s v="24.304713279984348"/>
    <s v="0.031"/>
  </r>
  <r>
    <x v="855"/>
    <x v="1157"/>
    <x v="0"/>
    <n v="0"/>
    <s v="LINESTRING (11.050468754348541 60.84114345759438, 11.05044558303404 60.84116774822685, 11.0502284585341 60.84122025770384)"/>
    <s v="[1808300, 1808304]"/>
    <s v="[1593023, 1593026]"/>
    <s v="0.09752179923136621"/>
    <s v="[356184, 1593023]"/>
    <s v="[0.506, 0.008]"/>
    <s v="16.61089740919173"/>
    <s v="[0.506, 0.008]"/>
  </r>
  <r>
    <x v="855"/>
    <x v="1123"/>
    <x v="0"/>
    <n v="0"/>
    <s v="LINESTRING (11.049993220907437 60.84110047428161, 11.050061642902962 60.841015425843715, 11.050111211958605 60.8409966404592, 11.050170456903386 60.84098302998498, 11.050402074706739 60.841007617249296, 11.0504602470965 60.84104234678037, 11.0504849861755 60.84107887027806, 11.050468754348541 60.84114345759438)"/>
    <s v="[1808308, 1808309, 1808323, 1808284, 1808290, 1808291, 1808292]"/>
    <s v="[1593030, 1593031, 1593011, 1593012, 1593016, 1593017, 356184]"/>
    <s v="#FIELD!"/>
    <s v="[1593029, 1593030, 1593031, 1593011, 1593012, 1593016, 1593017]"/>
    <s v="[0.026, 0.004, 0.001, 0.039, 0.048, 0.052, 0.26]"/>
    <s v="47.204686987506825"/>
    <s v="[0.026, 0.004, -0.001, -0.039, -0.048, -0.052, -0.26]"/>
  </r>
  <r>
    <x v="856"/>
    <x v="1158"/>
    <x v="0"/>
    <n v="0"/>
    <s v="LINESTRING (5.636598535284886 59.126663023145426, 5.635669194156362 59.126784568359895, 5.632351310475524 59.12722948055571, 5.632278518976791 59.12723790243498, 5.62548312924082 59.12735027231093, 5.625402834876233 59.127351075839165, 5.624083291915355 59.127410294636256, 5.624068775828929 59.12741141536948, 5.6239961732622055 59.12741703547578, 5.613617904133568 59.12959654733452, 5.613552913459547 59.12961807346005, 5.609054008067361 59.13166933576637, 5.6090070547247945 59.13169683993047, 5.606020097170024 59.133513857547534, 5.60596549662027 59.13354820536016, 5.601837848466136 59.13749446026411, 5.597956085192671 59.13801413463803)"/>
    <s v="[367624, 367632, 367640, 367648, 367656, 367664, 367672, 367680, 367688, 367696, 367704, 367712, 367720, 367728, 805241, 805249]"/>
    <s v="[356332, 356342, 356348, 356357, 356366, 356373, 356381, 356391, 356400, 356409, 356418, 356428, 356437, 356448, 783641, 670285]"/>
    <s v="#FIELD!"/>
    <s v="[356326, 356332, 356342, 356348, 356357, 356366, 356373, 356381, 356391, 356400, 356409, 356418, 356428, 356437, 356448, 783641]"/>
    <s v="[0.036, 0.028, 0.034, 0.007, 0.024, 0.03, 0.025, 0.028, 0.003, 0.011, 0.014, 0.014, 0.03, 0.02, 0.016, 0.037]"/>
    <s v="2752.6412619311536"/>
    <s v="[-0.036, -0.028, -0.034, -0.007, 0.024, 0.03, 0.025, 0.028, -0.003, 0.011, 0.014, -0.014, -0.03, -0.02, 0.016, -0.037]"/>
  </r>
  <r>
    <x v="857"/>
    <x v="1159"/>
    <x v="0"/>
    <n v="0"/>
    <m/>
    <n v="1835406"/>
    <n v="1610274"/>
    <s v="0.005"/>
    <n v="356455"/>
    <s v="0.005"/>
    <s v="129.56722986848249"/>
    <s v="0.005"/>
  </r>
  <r>
    <x v="857"/>
    <x v="1160"/>
    <x v="0"/>
    <n v="0"/>
    <s v="LINESTRING (5.458971452735985 59.42191370210947, 5.458971452735985 59.42191370210947, 5.459469233330765 59.423300253905246, 5.459422135296643 59.423872616545424, 5.459277658112991 59.42546446661224, 5.459258662753564 59.425620573254285)"/>
    <s v="[367736, 367744, 367752, 367760, 1955314]"/>
    <s v="[356456, 356466, 356473, 356481, 1714915]"/>
    <s v="#FIELD!"/>
    <s v="[356455, 356456, 356466, 356473, 356481]"/>
    <s v="[0.0, 0.034, 0.001, 0.004, 0.133]"/>
    <s v="845.5953898177222"/>
    <s v="[0.0, -0.034, 0.001, 0.004, 0.133]"/>
  </r>
  <r>
    <x v="858"/>
    <x v="1161"/>
    <x v="0"/>
    <n v="0"/>
    <s v="LINESTRING (8.324996592499696 59.48947499735416, 8.324996592499696 59.48947499735416, 8.341005350999668 59.48432113408301, 8.347761866812926 59.481993784478945, 8.351371503678362 59.48009447598443, 8.352472217309307 59.47968116980029, 8.361454070030309 59.47821487929318, 8.3703177688406 59.47769172021534, 8.373874771286888 59.47828814338371, 8.376340094913548 59.478512849738166, 8.37820817759636 59.478779621523486)"/>
    <s v="[367804, 367756, 367764, 367700, 367708, 367716, 367724, 367732, 367740, 367748]"/>
    <s v="[356477, 356478, 356405, 356414, 356423, 356433, 356442, 356396, 356461, 356470]"/>
    <s v="#FIELD!"/>
    <s v="[356523, 356477, 356478, 356405, 356414, 356423, 356433, 356442, 356396, 356461]"/>
    <s v="[0.0, 0.042, 0.011, 0.009, 0.141, 0.056, 0.08, 0.093, 0.046, 0.042]"/>
    <s v="3820.3868088710774"/>
    <s v="[0.0, -0.042, -0.011, -0.009, 0.141, 0.056, -0.08, -0.093, -0.046, -0.042]"/>
  </r>
  <r>
    <x v="858"/>
    <x v="1162"/>
    <x v="87"/>
    <n v="0"/>
    <s v="LINESTRING (8.48562768045577 59.43720360609427, 8.482316012053932 59.43564215016133, 8.475773079765892 59.435720826425396, 8.474456357266067 59.43654459154325, 8.474136846391962 59.437083783928955, 8.47393406086426 59.43773403257645, 8.473687127558403 59.4381227143541, 8.473048271402053 59.4385570764845, 8.471282621109717 59.44003726081055, 8.470583930829081 59.44049181552086, 8.469346476525217 59.44106033658015, 8.466747086970582 59.44176878788531, 8.458710302791541 59.44236969859703, 8.4582875672075 59.44252059242287, 8.45623799324274 59.443262899039226, 8.4523722248072 59.4447642703317, 8.447632104867779 59.44524841483161, 8.441984117938363 59.44783927470823, 8.43804620792795 59.45385213076901, 8.437951561721345 59.45419566103755, 8.437466597715469 59.45531458656876, 8.43719523355489 59.45636546847472, 8.436675885918245 59.45752789153222, 8.435698909626463 59.45847355713483, 8.433646263540195 59.461135959676575, 8.433370731394138 59.46246790953086, 8.43283227333211 59.46481350875888, 8.432152872659024 59.46690721787956, 8.43012468952591 59.469139566765804, 8.424228828308664 59.472259031307566, 8.421192247457572 59.474010611772705, 8.420653590630788 59.4743484493771, 8.42056342191499 59.47440453892297, 8.420512817872861 59.47443491721564, 8.419764484422885 59.47491611359331, 8.413751531378084 59.4794302111285, 8.409397659911956 59.481246688235196, 8.40768169119644 59.481385423668584, 8.407368253963584 59.4813789545186, 8.405746960062356 59.481221793137614, 8.397800123855948 59.4802792753911, 8.392092063261973 59.48057928356514, 8.385263727053532 59.4795909655202, 8.384594100716113 59.47958458195395, 8.38443306751588 59.47958360451557, 8.37820817759636 59.478779621523486)"/>
    <s v="[990263, 990271, 990279, 990287, 990295, 990303, 990311, 990319, 990327, 990335, 990343, 990351, 990359, 990367, 990375, 990383, 990391, 990399, 990407, 990415, 990423, 990431, 990439, 990447, 990455, 990463, 990471, 990479, 990487, 990495, 990503, 990511, 990519, 990527, 990535, 990543, 990551, 990559, 990567, 990575, 990583, 990591, 990599, 990607, 990615]"/>
    <s v="[949153, 949160, 949169, 743007, 501260, 743015, 743025, 949203, 501272, 949219, 754987, 747672, 742945, 949250, 754968, 936139, 949278, 771510, 754958, 754937, 949301, 754928, 746945, 746935, 771377, 949337, 807540, 764311, 949358, 949364, 807826, 770942, 949382, 949388, 949398, 742768, 742789, 742781, 742802, 949429, 770903, 807805, 949449, 949457, 356470]"/>
    <s v="0.011121656522322575"/>
    <s v="[519871, 949153, 949160, 949169, 743007, 501260, 743015, 743025, 949203, 501272, 949219, 754987, 747672, 742945, 949250, 754968, 936139, 949278, 771510, 754958, 754937, 949301, 754928, 746945, 746935, 771377, 949337, 807540, 764311, 949358, 949364, 807826, 770942, 949382, 949388, 949398, 742768, 742789, 742781, 742802, 949429, 770903, 807805, 949449, 949457]"/>
    <s v="[0.12, 0.063, 0.071, 0.019, 0.056, 0.013, 0.083, 0.05, 0.004, 0.031, 0.02, 0.015, 0.013, 0.028, 0.037, 0.013, 0.015, 0.017, 0.025, 0.035, 0.072, 0.026, 0.033, 0.004, 0.013, 0.019, 0.03, 0.0, 0.014, 0.002, 0.012, 0.062, 0.063, 0.086, 0.001, 0.033, 0.059, 0.097, 0.086, 0.018, 0.002, 0.042, 0.014, 0.022, 0.03]"/>
    <s v="9416.725278158789"/>
    <s v="[0.12, -0.063, -0.071, 0.019, 0.056, 0.013, -0.083, 0.05, 0.004, -0.031, -0.02, 0.015, 0.013, 0.028, 0.037, -0.013, 0.015, 0.017, -0.025, -0.035, 0.072, 0.026, -0.033, 0.004, 0.013, -0.019, -0.03, 0.0, 0.014, -0.002, 0.012, 0.062, 0.063, 0.086, -0.001, 0.033, 0.059, 0.097, 0.086, 0.018, -0.002, 0.042, -0.014, -0.022, 0.03]"/>
  </r>
  <r>
    <x v="859"/>
    <x v="1163"/>
    <x v="88"/>
    <s v="[0, 0, 0, 0, 0, 0, 0, 0, 0, 0, 0, 0, 0, 0, 0, 0, 0, 0, 0, 0, 0, 0, 0, 0, 0, 0, 0, 0, 1, 0, 0, 0]"/>
    <s v="LINESTRING (5.459200767027214 59.426308265934075, 5.459149662017376 59.42684501885309, 5.459087917503353 59.42757928886875, 5.459190331433525 59.428250638739215, 5.459203903238946 59.428287949022554, 5.459233161893145 59.42836636914535, 5.460774036844474 59.43245837951888, 5.460623696467918 59.43303217448211, 5.460426924185506 59.43481403635866, 5.460540649201334 59.435962410822114, 5.460673270192188 59.43656398953153, 5.46074529836804 59.43700273553838, 5.46069040281206 59.438445965987576, 5.460657831316468 59.43855511614474, 5.460036564996758 59.44009830599441, 5.460085991074041 59.44053067637901, 5.4601963250065 59.441271674812604, 5.460876463741299 59.44309399624346, 5.4625132966982575 59.445684445854916, 5.4663196024344645 59.45229418278778, 5.466394345497727 59.4529098957992, 5.466271101186837 59.45435614690653, 5.4655061862634 59.456497963942724, 5.46511339625774 59.45782201246466, 5.465126490182897 59.45809673621025, 5.465203888301777 59.45845761173829, 5.466354540414109 59.46082377654267, 5.466861522891999 59.46201080348759, 5.467558115047923 59.46306447706438, 5.467630421720175 59.46310995201778, 5.467936570189364 59.46327344141376, 5.46806409176978 59.46332883930375, 5.4711155678327055 59.46360393133655)"/>
    <s v="[367768, 367776, 367784, 367792, 367800, 367808, 367816, 367824, 367832, 367840, 367848, 367856, 367864, 367872, 367880, 367888, 367896, 367904, 367912, 367920, 367928, 367936, 367944, 367952, 367960, 367968, 367976, 367984, 367992, 368000, 368008, 368016]"/>
    <s v="[356489, 356496, 356505, 356514, 248063, 356527, 356533, 356540, 356550, 356560, 356570, 356579, 356590, 343200, 356606, 356615, 356626, 356636, 356646, 356655, 248026, 356673, 356685, 356694, 356702, 356711, 247840, 356728, 356736, 356743, 356753, 356761]"/>
    <s v="0.001124571176670422"/>
    <s v="[356488, 356489, 356496, 356505, 356514, 248063, 356527, 356533, 356540, 356550, 356560, 356570, 356579, 356590, 343200, 356606, 356615, 356626, 356636, 356646, 356655, 248026, 356673, 356685, 356694, 356702, 356711, 247840, 356728, 356736, 356743, 356753]"/>
    <s v="[0.009, 0.007, 0.049, 0.07, 0.05, 0.013, 0.007, 0.006, 0.005, 0.024, 0.022, 0.004, 0.011, 0.029, 0.011, 0.014, 0.001, 0.005, 0.024, 0.014, 0.004, 0.0, 0.007, 0.003, 0.07, 0.038, 0.018, 0.02, 0.006, 0.022, 0.019, 0.057]"/>
    <s v="4444.201762707853"/>
    <s v="[0.009, 0.007, 0.049, 0.07, 0.05, -0.013, -0.007, 0.006, -0.005, -0.024, -0.022, -0.004, 0.011, 0.029, -0.011, -0.014, 0.001, -0.005, -0.024, -0.014, -0.004, 0.0, -0.007, 0.003, 0.07, 0.038, 0.018, 0.02, -0.006, -0.022, -0.019, 0.057]"/>
  </r>
  <r>
    <x v="859"/>
    <x v="1164"/>
    <x v="0"/>
    <n v="0"/>
    <s v="LINESTRING (5.459328925887618 59.426116105199064, 5.459306999388722 59.426153637002415, 5.459200767027214 59.426308265934075)"/>
    <s v="[1955218, 1955226]"/>
    <s v="[1714858, 356488]"/>
    <s v="#FIELD!"/>
    <s v="[1714782, 1714858]"/>
    <s v="[0.094, 0.17]"/>
    <s v="23.352920301367682"/>
    <s v="[0.094, -0.17]"/>
  </r>
  <r>
    <x v="859"/>
    <x v="1165"/>
    <x v="0"/>
    <n v="0"/>
    <s v="LINESTRING (5.45905524426634 59.42609447871217, 5.459082611685604 59.426147688139, 5.459200767027214 59.426308265934075)"/>
    <s v="[1955234, 1955242]"/>
    <s v="[1714874, 356488]"/>
    <s v="#FIELD!"/>
    <s v="[1714798, 1714874]"/>
    <s v="[0.002, 0.325]"/>
    <s v="25.711983179832895"/>
    <s v="[0.002, -0.325]"/>
  </r>
  <r>
    <x v="860"/>
    <x v="1152"/>
    <x v="0"/>
    <n v="0"/>
    <m/>
    <n v="1256080"/>
    <n v="356494"/>
    <s v="#FIELD!"/>
    <n v="1174245"/>
    <s v="0.047"/>
    <s v="18.84313384016417"/>
    <s v="#FIELD!"/>
  </r>
  <r>
    <x v="861"/>
    <x v="1166"/>
    <x v="0"/>
    <n v="0"/>
    <s v="LINESTRING (10.993456080866343 60.85444773943042, 10.993291392346814 60.85467426389363, 10.993274739741752 60.854700511209984)"/>
    <s v="[367789, 367797]"/>
    <s v="[356512, 356519]"/>
    <s v="0.02751294175386001"/>
    <s v="[356511, 356512]"/>
    <s v="[0.027, 0.032]"/>
    <s v="29.84808970331543"/>
    <s v="[0.027, 0.032]"/>
  </r>
  <r>
    <x v="861"/>
    <x v="1167"/>
    <x v="0"/>
    <n v="0"/>
    <s v="LINESTRING (10.993456080866343 60.85444773943042, 10.993454161953668 60.8546877332647, 10.993450885504176 60.85471547649351)"/>
    <s v="[367885, 367893]"/>
    <s v="[356612, 356622]"/>
    <s v="0.029207548893405627"/>
    <s v="[356511, 356612]"/>
    <s v="[0.029, 0.031]"/>
    <s v="29.843758588359684"/>
    <s v="[0.029, 0.031]"/>
  </r>
  <r>
    <x v="862"/>
    <x v="1167"/>
    <x v="0"/>
    <n v="0"/>
    <s v="LINESTRING (10.993274739741752 60.854700511209984, 10.993363426457913 60.85470162953443, 10.993450885504176 60.85471547649351)"/>
    <s v="[1256113, 1256121]"/>
    <s v="[1174405, 356622]"/>
    <s v="0.003633336941062733"/>
    <s v="[356519, 1174405]"/>
    <s v="[0.65, 0.62]"/>
    <s v="9.82180685190061"/>
    <s v="[0.65, -0.62]"/>
  </r>
  <r>
    <x v="862"/>
    <x v="1150"/>
    <x v="0"/>
    <n v="0"/>
    <m/>
    <n v="1256107"/>
    <n v="356519"/>
    <s v="#FIELD!"/>
    <n v="1174216"/>
    <s v="0.227"/>
    <s v="14.580459848954053"/>
    <s v="#FIELD!"/>
  </r>
  <r>
    <x v="863"/>
    <x v="1168"/>
    <x v="0"/>
    <s v="[0, 0, 0, 0, 0, 0, 1, 1, 0, 0, 0, 0]"/>
    <s v="LINESTRING (8.324996592499696 59.48947499735416, 8.318683658120648 59.49049987342671, 8.317743792543457 59.49072813208429, 8.317333925155909 59.49082675984885, 8.309921158710235 59.492922662351205, 8.307760905955817 59.49292593347224, 8.307402178727656 59.49289036351784, 8.30734120012689 59.49288284970108, 8.304921708485653 59.49229221803745, 8.302194445329786 59.490849436001426, 8.301176395524793 59.49051703812754, 8.301081427187356 59.490492770421575, 8.300986448442211 59.490469267952165)"/>
    <s v="[990636, 990637, 990638, 990641, 990642, 990643, 990651, 990655, 990656, 990657, 990663, 990664]"/>
    <s v="[949476, 949477, 949478, 949481, 949482, 949483, 949492, 949495, 949496, 283400, 949502, 283417]"/>
    <s v="#FIELD!"/>
    <s v="[356523, 949476, 949477, 949478, 949481, 949482, 949483, 949492, 949495, 949496, 283400, 949502]"/>
    <s v="[0.784, 0.137, 0.129, 0.03, 0.106, 0.171, 0.177, 0.078, 0.004, 0.073, 0.081, 0.082]"/>
    <s v="1203.937753701176"/>
    <s v="[-0.784, -0.137, -0.129, -0.03, -0.106, -0.171, -0.177, -0.078, 0.004, 0.073, 0.081, 0.082]"/>
  </r>
  <r>
    <x v="864"/>
    <x v="1118"/>
    <x v="0"/>
    <n v="0"/>
    <m/>
    <n v="1256122"/>
    <n v="1174214"/>
    <s v="0.303"/>
    <n v="356622"/>
    <s v="0.303"/>
    <s v="12.369375955069518"/>
    <s v="0.303"/>
  </r>
  <r>
    <x v="865"/>
    <x v="1169"/>
    <x v="0"/>
    <n v="0"/>
    <s v="LINESTRING (5.47316959021257 59.464425438597, 5.473274176979501 59.46434765807884, 5.473381687322853 59.464283600047445, 5.473627952797427 59.46414554067044, 5.471459843486371 59.463587178661946, 5.4711155678327055 59.46360393133655)"/>
    <s v="[368096, 368104, 368112, 368121, 368129]"/>
    <s v="[356860, 356871, 356880, 356889, 356761]"/>
    <s v="#FIELD!"/>
    <s v="[356849, 356860, 356871, 356880, 356889]"/>
    <s v="[0.088, 0.076, 0.058, 0.084, 0.061]"/>
    <s v="309.3802501618223"/>
    <s v="[-0.088, -0.076, -0.058, -0.084, -0.061]"/>
  </r>
  <r>
    <x v="865"/>
    <x v="1170"/>
    <x v="0"/>
    <n v="0"/>
    <m/>
    <n v="681470"/>
    <n v="356761"/>
    <s v="#FIELD!"/>
    <n v="672473"/>
    <s v="0.052"/>
    <s v="83.90175016262788"/>
    <s v="#FIELD!"/>
  </r>
  <r>
    <x v="866"/>
    <x v="1169"/>
    <x v="0"/>
    <s v="[0, 1, 0, 1, 0]"/>
    <s v="LINESTRING (5.474275031280178 59.46249744338462, 5.4740841747247515 59.46285804016633, 5.474292424012116 59.463189790231944, 5.473701388639812 59.46419113999313, 5.473648764540526 59.46421343366375, 5.47316959021257 59.464425438597)"/>
    <s v="[368056, 368064, 368072, 368080, 368088]"/>
    <s v="[356811, 356822, 356830, 356841, 356849]"/>
    <s v="0.07168196121414377"/>
    <s v="[356803, 356811, 356822, 356830, 356841]"/>
    <s v="[0.001, 0.075, 0.108, 0.033, 0.039]"/>
    <s v="248.76426786226793"/>
    <s v="[-0.001, 0.075, 0.108, 0.033, 0.039]"/>
  </r>
  <r>
    <x v="866"/>
    <x v="1171"/>
    <x v="0"/>
    <n v="0"/>
    <s v="LINESTRING (5.474275031280178 59.46249744338462, 5.4743489945020825 59.462458790861106, 5.479941940654581 59.46190631048671, 5.480268088968996 59.461885680160755)"/>
    <s v="[1351494, 1351502, 1351510]"/>
    <s v="[1251548, 1251555, 672427]"/>
    <s v="0.10457899529212447"/>
    <s v="[356803, 1251548, 1251555]"/>
    <s v="[0.071, 0.074, 0.659]"/>
    <s v="357.0554554201683"/>
    <s v="[0.071, 0.074, 0.659]"/>
  </r>
  <r>
    <x v="866"/>
    <x v="1170"/>
    <x v="0"/>
    <n v="0"/>
    <s v="LINESTRING (5.472509305899611 59.46335907020718, 5.47280985095131 59.463262047876015, 5.474102310837252 59.46300241402098, 5.474234587754111 59.46297553737857, 5.474462226008475 59.46292992651869, 5.474275031280178 59.46249744338462)"/>
    <s v="[1828036, 368024, 368032, 368040, 368048]"/>
    <s v="[356771, 356772, 356784, 356794, 356803]"/>
    <s v="0.013187107860361267"/>
    <s v="[672473, 356771, 356772, 356784, 356794]"/>
    <s v="[0.064, 0.059, 0.106, 0.108, 0.036]"/>
    <s v="205.25109343788034"/>
    <s v="[-0.064, 0.059, 0.106, 0.108, -0.036]"/>
  </r>
  <r>
    <x v="867"/>
    <x v="1172"/>
    <x v="0"/>
    <n v="0"/>
    <m/>
    <n v="2102676"/>
    <n v="1251681"/>
    <s v="0.017"/>
    <n v="356849"/>
    <s v="0.017"/>
    <s v="17.648897642751987"/>
    <s v="0.017"/>
  </r>
  <r>
    <x v="868"/>
    <x v="1173"/>
    <x v="0"/>
    <n v="0"/>
    <m/>
    <n v="368137"/>
    <n v="356908"/>
    <s v="#FIELD!"/>
    <n v="356907"/>
    <s v="0.129"/>
    <s v="6.155434184241476"/>
    <s v="#FIELD!"/>
  </r>
  <r>
    <x v="868"/>
    <x v="1174"/>
    <x v="0"/>
    <n v="0"/>
    <s v="LINESTRING (6.1022934664753095 58.52060286031392, 6.10057659938976 58.52097423401155, 6.100016098853095 58.521193824171675, 6.098894573644984 58.521849986012846)"/>
    <s v="[1843842, 1843850, 1843858]"/>
    <s v="[1615393, 1615396, 1055557]"/>
    <s v="#FIELD!"/>
    <s v="[356907, 1615393, 1615396]"/>
    <s v="[0.483, 0.13, 0.019]"/>
    <s v="248.44507033000485"/>
    <s v="[-0.483, -0.13, 0.019]"/>
  </r>
  <r>
    <x v="868"/>
    <x v="1175"/>
    <x v="89"/>
    <s v="[0, 0, 0, 0, 0, 1, 0, 0, 0, 0, 0, 0, 0, 0, 0, 0, 0, 0, 0, 0, 0, 0, 0, 0, 0, 0, 0, 0, 0, 0, 0]"/>
    <s v="LINESTRING (6.157588539024937 58.53431948484176, 6.15695037367508 58.53416673180438, 6.156439989910996 58.5340997043643, 6.15186968585638 58.533875547232626, 6.149953659412391 58.533911131132314, 6.149698748917938 58.53388598532989, 6.148966061945691 58.53380935691441, 6.148897002529392 58.533803241501616, 6.148315836647746 58.5337480251145, 6.147909869061406 58.53370645799607, 6.14682326621219 58.53356115947963, 6.14625553077624 58.53345894857216, 6.136333418200461 58.5312289036963, 6.133469158928581 58.53063577748948, 6.126417332629578 58.52684868412673, 6.126379022714438 58.526807299560026, 6.126342593227379 58.52676788829325, 6.126181655408777 58.526596376909595, 6.121953291574972 58.52504447868182, 6.12170129027878 58.52499810792617, 6.117024030738032 58.52309540046317, 6.114431505516932 58.522740315988166, 6.114241579831177 58.52271458744915, 6.1117622527765425 58.52237743857929, 6.106431464631425 58.52098936481232, 6.106181266124459 58.52090362004228, 6.105348141000631 58.52070058788973, 6.104132901216976 58.52056081777106, 6.104020957299737 58.520555709580826, 6.103847930137339 58.52054913516692, 6.102405913409128 58.52059111652505, 6.1022934664753095 58.52060286031392)"/>
    <s v="[1378162, 370719, 370727, 1843616, 1843624, 1843632, 1843641, 1843649, 1843657, 1843665, 1843673, 1843681, 1843689, 1843697, 1843705, 1843713, 1843721, 1843729, 1843737, 1843745, 1843753, 1843761, 1843770, 1843778, 1843786, 1843794, 1843802, 1843810, 1843818, 1843826, 1843834]"/>
    <s v="[359638, 359639, 359645, 1615237, 1615245, 1615250, 1254901, 1615262, 1615268, 1615273, 357248, 1612297, 1184307, 1615294, 1615299, 1615306, 1612352, 1615320, 1615324, 1615330, 1615335, 1174798, 997492, 1615349, 997505, 1615364, 1615370, 1615376, 1615379, 1615383, 356907]"/>
    <s v="0.013206446243705696"/>
    <s v="[374676, 359638, 359639, 359645, 1615237, 1615245, 1615250, 1254901, 1615262, 1615268, 1615273, 357248, 1612297, 1184307, 1615294, 1615299, 1615306, 1612352, 1615320, 1615324, 1615330, 1615335, 1174798, 997492, 1615349, 997505, 1615364, 1615370, 1615376, 1615379, 1615383]"/>
    <s v="[0.209, 0.025, 0.009, 0.082, 0.122, 0.081, 0.103, 0.098, 0.084, 0.044, 0.053, 0.001, 0.12, 0.006, 0.014, 0.013, 0.008, 0.002, 0.155, 0.005, 0.006, 0.001, 0.037, 0.033, 0.123, 0.049, 0.065, 0.042, 0.045, 0.041, 6.386]"/>
    <s v="3774.648654926515"/>
    <s v="[-0.209, -0.025, 0.009, 0.082, -0.122, 0.081, 0.103, 0.098, 0.084, 0.044, -0.053, 0.001, -0.12, 0.006, 0.014, 0.013, 0.008, 0.002, 0.155, -0.005, -0.006, -0.001, 0.037, 0.033, 0.123, 0.049, -0.065, -0.042, -0.045, -0.041, 6.386]"/>
  </r>
  <r>
    <x v="869"/>
    <x v="1176"/>
    <x v="0"/>
    <n v="0"/>
    <s v="LINESTRING (6.082125728453217 61.84627795243651, 6.082046725213028 61.84625558811518, 6.0820114537989785 61.84615950405915, 6.082688179481962 61.845785847914094, 6.082828120680735 61.84578226184845)"/>
    <n v="1427342"/>
    <n v="357075"/>
    <s v="#FIELD!"/>
    <n v="357105"/>
    <s v="0.11"/>
    <s v="66.77041779040898"/>
    <s v="#FIELD!"/>
  </r>
  <r>
    <x v="869"/>
    <x v="1177"/>
    <x v="0"/>
    <n v="0"/>
    <s v="LINESTRING (6.082125728453217 61.84627795243651, 6.0820259936994505 61.846370949198985, 6.082017704117971 61.84637901139972, 6.081622877993305 61.846764037585004, 6.086686713911162 61.85435150126675, 6.07948499159832 61.86403143054196, 6.079228103747598 61.86422883938815)"/>
    <s v="[992955, 992963, 992971, 1028282, 1028290, 1894100]"/>
    <s v="[951452, 951458, 951461, 982764, 982771, 664979]"/>
    <s v="0.07335690939606664"/>
    <s v="[357075, 951452, 951458, 951461, 982764, 982771]"/>
    <s v="[0.05, 0.174, inf, inf, inf, 0.093]"/>
    <s v="39.10128580704743"/>
    <s v="[0.05, -0.174, 0, 0, 0, 0.093]"/>
  </r>
  <r>
    <x v="869"/>
    <x v="1178"/>
    <x v="0"/>
    <n v="0"/>
    <s v="LINESTRING (6.0895516033935255 61.844211773412866, 6.087786144804551 61.844685531834116, 6.087169351556839 61.844799182274286, 6.084981934101213 61.845411913816534, 6.084754246723167 61.84553567456761, 6.08383809118659 61.84588126217276, 6.08322212443332 61.84601703033937, 6.082125728453217 61.84627795243651)"/>
    <s v="[1427350, 1427358, 1427366, 1427374, 1427382, 1427390, 1427398]"/>
    <s v="[1300886, 1300891, 1300897, 1300902, 1300908, 1300914, 357075]"/>
    <s v="0.009308352149225499"/>
    <s v="[951446, 1300886, 1300891, 1300897, 1300902, 1300908, 1300914]"/>
    <s v="[0.239, 0.108, 0.057, 0.137, 0.11, 0.085, 0.076]"/>
    <s v="461.17813100428265"/>
    <s v="[0.239, 0.108, -0.057, -0.137, -0.11, -0.085, -0.076]"/>
  </r>
  <r>
    <x v="870"/>
    <x v="1178"/>
    <x v="0"/>
    <n v="0"/>
    <s v="LINESTRING (6.0895516033935255 61.844211773412866, 6.087770596341981 61.84462532674863, 6.0871643426163144 61.84473485757246, 6.084744952479194 61.84508465232876, 6.082828120680735 61.84578226184845)"/>
    <s v="[1427310, 1427318, 1427326, 1427334]"/>
    <s v="[1300851, 1300856, 1300864, 357105]"/>
    <s v="0.029084588264470804"/>
    <s v="[951446, 1300851, 1300856, 1300864]"/>
    <s v="[0.255, 0.115, 0.034, 0.112]"/>
    <s v="401.5136386468322"/>
    <s v="[0.255, 0.115, -0.034, -0.112]"/>
  </r>
  <r>
    <x v="871"/>
    <x v="1179"/>
    <x v="0"/>
    <n v="0"/>
    <m/>
    <n v="368890"/>
    <n v="357724"/>
    <s v="0.011"/>
    <n v="357714"/>
    <s v="0.011"/>
    <s v="53.93123182579505"/>
    <s v="0.011"/>
  </r>
  <r>
    <x v="871"/>
    <x v="1179"/>
    <x v="0"/>
    <n v="0"/>
    <s v="LINESTRING (5.652984723095396 59.523477425260765, 5.652874911340713 59.523461899886364, 5.652217234828956 59.52369272466068, 5.652208011043393 59.52375206946861)"/>
    <s v="[992950, 992958, 992966]"/>
    <s v="[951448, 951453, 357724]"/>
    <s v="0.009345616136698107"/>
    <s v="[357714, 951448, 951453]"/>
    <s v="[0.17, 0.042, 0.063]"/>
    <s v="63.400291579904724"/>
    <s v="[-0.17, 0.042, -0.063]"/>
  </r>
  <r>
    <x v="871"/>
    <x v="1180"/>
    <x v="90"/>
    <n v="0"/>
    <s v="LINESTRING (5.793901198911979 59.60258982289302, 5.652984723095396 59.523477425260765)"/>
    <m/>
    <m/>
    <s v="0.0"/>
    <m/>
    <n v="0"/>
    <s v="13095.607546955804"/>
    <n v="0"/>
  </r>
  <r>
    <x v="872"/>
    <x v="1181"/>
    <x v="0"/>
    <n v="0"/>
    <s v="LINESTRING (5.652208011043393 59.52375206946861, 5.652169812882552 59.523770611955214, 5.651028758728211 59.52423081607548, 5.6509576079770065 59.52425942944692, 5.650441258813404 59.52457680492337, 5.650410161930349 59.524603930743126, 5.647538262649623 59.52537645130052, 5.647206517096357 59.52540158226726, 5.647098487836836 59.525409971416, 5.646487703922213 59.5254455558818, 5.646216368476065 59.5254340491993, 5.644629070695005 59.5250511510652, 5.6415996024597295 59.52393702021313, 5.636403337056172 59.52112496260012, 5.634474427986469 59.520359161266825, 5.632947365059138 59.5198563081126, 5.631830260313554 59.51934100262966, 5.631352438038329 59.519077056825104, 5.6306372898641746 59.518556520947314, 5.630484615971319 59.51842058521066, 5.630317829903348 59.518271770041466, 5.629343486932833 59.51743551167958, 5.62784954649986 59.516395591694355, 5.627564370206129 59.51619789946859, 5.625376808373054 59.5146178943842)"/>
    <s v="[368898, 368906, 368914, 368922, 368930, 368938, 368946, 368954, 368962, 368970, 368978, 368986, 368994, 369001, 369010, 369018, 369026, 369034, 369047, 369055, 369063, 369071, 369079, 369087]"/>
    <s v="[357734, 357740, 357750, 357760, 357771, 357780, 357791, 357801, 357811, 357823, 357833, 357844, 357854, 357862, 357875, 356324, 357891, 357900, 357913, 357922, 357931, 357940, 357949, 357958]"/>
    <s v="#FIELD!"/>
    <s v="[357724, 357734, 357740, 357750, 357760, 357771, 357780, 357791, 357801, 357811, 357823, 357833, 357844, 357854, 357862, 357875, 356324, 357891, 357900, 357913, 357922, 357931, 357940, 357949]"/>
    <s v="[0.074, 0.06, 0.034, 0.012, 0.018, 0.005, 0.043, 0.041, 0.052, 0.055, 0.002, 0.095, 0.02, 0.014, 0.012, 0.003, 0.01, 0.025, 0.032, 0.005, 0.009, 0.017, 0.038, 0.024]"/>
    <s v="2133.6383716387622"/>
    <s v="[-0.074, -0.06, -0.034, 0.012, 0.018, 0.005, -0.043, -0.041, 0.052, 0.055, 0.002, -0.095, -0.02, -0.014, -0.012, 0.003, -0.01, -0.025, -0.032, -0.005, -0.009, -0.017, 0.038, 0.024]"/>
  </r>
  <r>
    <x v="873"/>
    <x v="1182"/>
    <x v="0"/>
    <s v="[0, 0, 1, 0, 0, 0, 0, 0, 0, 0, 0, 0, 0, 0, 0]"/>
    <s v="LINESTRING (10.802765184919602 60.91411625031359, 10.787786886728252 60.91540811182844, 10.763404156390715 60.913678247739924, 10.761406539694356 60.91322559759823, 10.752251794951905 60.91114553049894, 10.73338130137398 60.90903575768866, 10.732979446113836 60.90904622352777, 10.72478464444307 60.91012246811188, 10.7207793001388 60.91166840488569, 10.717253514611558 60.914030366506836, 10.716364279739015 60.914642964055574, 10.716159124054524 60.914779405044584, 10.715588754321962 60.915147032628354, 10.715471519541143 60.91521298716082, 10.71494103670073 60.91553259346594, 10.708696316848636 60.9180252078284)"/>
    <s v="[369017, 368983, 1005451, 1005358, 1005705, 1005419, 1255797, 1255805, 1255813, 1255825, 1255833, 1255853, 376934, 377073, 376985]"/>
    <s v="[357839, 357840, 962318, 962319, 962375, 962376, 1174158, 1174163, 1174171, 1174175, 1174182, 365922, 365923, 365981, 365562]"/>
    <s v="#FIELD!"/>
    <s v="[357882, 357839, 357840, 962318, 962319, 962375, 962376, 1174158, 1174163, 1174171, 1174175, 1174182, 365922, 365923, 365981]"/>
    <s v="[0.002, 0.029, 0.006, 0.015, 0.037, 0.01, 0.009, 0.013, 0.017, 0.022, 0.019, 0.22, 0.055, 0.049, 0.006]"/>
    <s v="5659.823806859649"/>
    <s v="[-0.002, -0.029, 0.006, 0.015, -0.037, 0.01, 0.009, -0.013, -0.017, -0.022, -0.019, -0.22, -0.055, -0.049, 0.006]"/>
  </r>
  <r>
    <x v="873"/>
    <x v="874"/>
    <x v="0"/>
    <n v="0"/>
    <s v="LINESTRING (10.817791613470716 60.909152451786774, 10.817718765924544 60.909179143940214, 10.811271383194578 60.91149997868272, 10.803376676488478 60.91398034249015, 10.802765184919602 60.91411625031359)"/>
    <s v="[1005379, 1005389, 1005404, 1005414]"/>
    <s v="[962333, 962342, 962358, 357882]"/>
    <s v="#FIELD!"/>
    <s v="[358154, 962333, 962342, 962358]"/>
    <s v="[0.333, 0.01, 0.023, 0.035]"/>
    <s v="987.4360738208926"/>
    <s v="[0.333, 0.01, -0.023, -0.035]"/>
  </r>
  <r>
    <x v="874"/>
    <x v="879"/>
    <x v="0"/>
    <n v="0"/>
    <s v="LINESTRING (10.817601330268955 60.90910130754733, 10.811127877605593 60.91141881563293, 10.803297314165896 60.91389928545407)"/>
    <s v="[373981, 373989]"/>
    <s v="[363003, 358102]"/>
    <s v="#FIELD!"/>
    <s v="[357899, 363003]"/>
    <s v="[0.013, 0.024]"/>
    <s v="944.0594093510008"/>
    <s v="[0.013, -0.024]"/>
  </r>
  <r>
    <x v="874"/>
    <x v="891"/>
    <x v="0"/>
    <n v="0"/>
    <s v="LINESTRING (10.84071587525553 60.897330573721156, 10.84002240428035 60.89762789325118, 10.820718626334964 60.907879364922024, 10.817668198364556 60.90907684788308, 10.817601330268955 60.90910130754733)"/>
    <s v="[1005677, 1005691, 369025, 369033]"/>
    <s v="[962606, 357889, 357890, 357899]"/>
    <s v="0.046219928225838286"/>
    <s v="[362794, 962606, 357889, 357890]"/>
    <s v="[0.312, 0.04, 0.029, 0.043]"/>
    <s v="1819.4057194116258"/>
    <s v="[0.312, 0.04, 0.029, 0.043]"/>
  </r>
  <r>
    <x v="875"/>
    <x v="1183"/>
    <x v="0"/>
    <n v="0"/>
    <s v="LINESTRING (5.625376808373054 59.5146178943842, 5.624830168850483 59.51422302605239, 5.624792912029096 59.51419269898063, 5.6244821838773875 59.5139408493249, 5.6244494092509365 59.513914145579875, 5.6237870022307135 59.51331364478076, 5.619123856888293 59.50823177399488, 5.614033156011928 59.5072582679864, 5.6138458132907285 59.507236803358396)"/>
    <s v="[1301829, 1301837, 1301845, 1301853, 1301861, 1301869, 1309387, 1309395]"/>
    <s v="[1213111, 1213117, 1213120, 1213126, 1213133, 1213137, 1218208, 1218215]"/>
    <s v="0.001090362149458837"/>
    <s v="[357958, 1213111, 1213117, 1213120, 1213126, 1213133, 1213137, 1218208]"/>
    <s v="[0.003, 0.083, 0.073, 0.046, 0.068, 0.001, 0.023, 0.05]"/>
    <s v="1136.5615189844852"/>
    <s v="[0.003, 0.083, 0.073, 0.046, 0.068, 0.001, -0.023, -0.05]"/>
  </r>
  <r>
    <x v="875"/>
    <x v="1184"/>
    <x v="0"/>
    <n v="0"/>
    <s v="LINESTRING (5.625376808373054 59.5146178943842, 5.6249089580917815 59.51418708812731, 5.624654840631599 59.51397940347304, 5.624543905027556 59.51388766884133, 5.623851793309591 59.5132623950757, 5.619188264440179 59.50818423232548, 5.614052616519367 59.507215474238365, 5.613659680672128 59.50716831261631, 5.613419860812356 59.50713992909624)"/>
    <s v="[1301877, 1301885, 1301893, 1301909, 1301917, 1309435, 1309443, 1309451]"/>
    <s v="[1213141, 1213146, 1213151, 1213162, 1213168, 1218244, 1218249, 1218257]"/>
    <s v="0.0003413673491179533"/>
    <s v="[357958, 1213141, 1213146, 1213151, 1213162, 1213168, 1218244, 1218249]"/>
    <s v="[0.034, 0.072, 0.073, 0.067, 0.003, 0.019, 0.053, 0.049]"/>
    <s v="1166.8647978640345"/>
    <s v="[-0.034, 0.072, 0.073, 0.067, 0.003, -0.019, -0.053, -0.049]"/>
  </r>
  <r>
    <x v="876"/>
    <x v="879"/>
    <x v="0"/>
    <s v="[0, 0, 0, 1, 0, 0]"/>
    <s v="LINESTRING (10.803297314165896 60.91389928545407, 10.802690367619785 60.91403420197903, 10.787782757014154 60.915318379587575, 10.763473549571609 60.91359520028725, 10.761488855070679 60.91314538615315, 10.75233102368589 60.911064507430766, 10.733373635127325 60.90894696906172)"/>
    <s v="[373925, 373933, 1005475, 373917, 1005724, 1005669]"/>
    <s v="[362950, 362958, 362939, 362940, 962600, 357969]"/>
    <s v="#FIELD!"/>
    <s v="[358102, 362950, 362958, 362939, 362940, 962600]"/>
    <s v="[0.0, 0.002, 0.029, 0.003, 0.015, 0.043]"/>
    <s v="3950.2620345749165"/>
    <s v="[0.0, -0.002, -0.029, 0.003, 0.015, -0.043]"/>
  </r>
  <r>
    <x v="876"/>
    <x v="1185"/>
    <x v="0"/>
    <n v="0"/>
    <s v="LINESTRING (10.71530422954733 60.915054613495705, 10.71530422954733 60.915054613495705, 10.716814904120035 60.91390887193918, 10.72022546974437 60.91159736187142, 10.732974850485034 60.90895643542115, 10.733373635127325 60.90894696906172)"/>
    <s v="[377081, 374429, 374437, 374445, 369098]"/>
    <s v="[363332, 363333, 363338, 357968, 357969]"/>
    <s v="0.00933764434360423"/>
    <s v="[366078, 363332, 363333, 363338, 357968]"/>
    <s v="[0.0, 0.067, 0.015, 0.004, 0.002]"/>
    <s v="1272.8768381077264"/>
    <s v="[0.0, 0.067, 0.015, -0.004, 0.002]"/>
  </r>
  <r>
    <x v="877"/>
    <x v="1186"/>
    <x v="0"/>
    <s v="[0, 0, 0, 0, 0, 0, 0, 0, 0, 0, 0, 0, 0, 0, 0, 0, 0, 0, 0, 0, 0, 0, 0, 0, 0, 0, 0, 0, 0, 0, 0, 0, 0, 0, 0, 1, 0, 0]"/>
    <s v="LINESTRING (10.926332858099103 59.64503449648273, 10.923936578161921 59.64684909188439, 10.923693065748887 59.647199978676085, 10.923659810886058 59.64724738641438, 10.923612070732936 59.647316946332666, 10.923424401101787 59.64768620426727, 10.923292075281653 59.648015107579454, 10.92239040176683 59.64957797362732, 10.920085044504267 59.653373250547695, 10.91991021830645 59.65360328500277, 10.919761066146995 59.653795008688306, 10.919464010045541 59.65416596120315, 10.91909071164808 59.65453284717752, 10.918991974725115 59.654614285096144, 10.918898520723655 59.65468150210689, 10.91876574546974 59.65477986101809, 10.918699575517861 59.65482724902876, 10.9181296873714 59.6552752360529, 10.915253159504955 59.657027236690105, 10.913690865965895 59.65780620874631, 10.913023860680996 59.65814252620216, 10.91068060827212 59.659360208336416, 10.910261640683656 59.659612180349434, 10.908109744994654 59.66156848751429, 10.907737795359452 59.662061341815544, 10.906377022200015 59.663860083555576, 10.90531377638177 59.665181522541296, 10.901859021446496 59.667484241606694, 10.901744480708176 59.66755762122441, 10.900236481588395 59.66844828702747, 10.898128408170482 59.669568463152984, 10.8929150033278 59.671444756966316, 10.891062323781524 59.67196755616403, 10.89104667850862 59.671971785768896, 10.889679051708805 59.67228121694322, 10.889500085670804 59.67231138629566, 10.889245514123775 59.67234493738177, 10.88791461098914 59.67249602835852, 10.88649130411682 59.67270760085353)"/>
    <s v="[1821154, 1503187, 1503188, 1503197, 1503205, 369110, 1503235, 1503236, 1503244, 1503262, 1503270, 1503281, 1503285, 1503293, 1503294, 1503307, 1503310, 1503319, 1503327, 1503328, 1503348, 1503349, 1503360, 1503366, 1503374, 1503382, 1503383, 1503390, 1503398, 1503399, 1503404, 1503413, 1503414, 1503415, 1503425, 1503426, 1503435, 1503451]"/>
    <s v="[1359463, 357997, 1359464, 358013, 357973, 357974, 1359500, 1359501, 1359508, 1359519, 1359525, 1085057, 1359536, 1085253, 1359542, 1359551, 1359554, 1359558, 1359565, 1359566, 1359583, 1359584, 1359593, 1359598, 1359604, 1359610, 661348, 1359617, 1359625, 1359626, 1359630, 1359638, 1359639, 517281, 1359648, 1359649, 1359656, 1359667]"/>
    <s v="#FIELD!"/>
    <s v="[358057, 1359463, 357997, 1359464, 358013, 357973, 357974, 1359500, 1359501, 1359508, 1359519, 1359525, 1085057, 1359536, 1085253, 1359542, 1359551, 1359554, 1359558, 1359565, 1359566, 1359583, 1359584, 1359593, 1359598, 1359604, 1359610, 661348, 1359617, 1359625, 1359626, 1359630, 1359638, 1359639, 517281, 1359648, 1359649, 1359656]"/>
    <s v="[0.011, 0.011, 0.02, 0.038, 0.048, 0.01, 0.022, 0.002, 0.011, 0.017, 0.024, 0.033, 0.001, 0.032, 0.03, 0.03, 0.013, 0.003, 0.011, 0.006, 0.035, 0.001, 0.01, 0.052, 0.015, 0.007, 0.012, 0.072, 0.012, 0.02, 0.025, 0.02, 0.033, 0.036, 0.016, 0.009, 0.004, 0.054]"/>
    <s v="3974.939712797571"/>
    <s v="[0.011, -0.011, -0.02, -0.038, 0.048, 0.01, -0.022, 0.002, -0.011, -0.017, -0.024, -0.033, 0.001, 0.032, 0.03, 0.03, 0.013, 0.003, -0.011, 0.006, 0.035, 0.001, 0.01, 0.052, -0.015, 0.007, 0.012, 0.072, -0.012, -0.02, -0.025, -0.02, -0.033, -0.036, -0.016, -0.009, 0.004, 0.054]"/>
  </r>
  <r>
    <x v="877"/>
    <x v="1187"/>
    <x v="91"/>
    <s v="[0, 0, 0, 1, 0, 1, 1, 0, 0, 0, 0, 0, 0]"/>
    <s v="LINESTRING (10.948427851380401 59.632388949169915, 10.948399383201004 59.6324124151156, 10.948295150632424 59.63249833266818, 10.945434507250312 59.634910956513416, 10.94485100219156 59.635407336784404, 10.940032548988718 59.63936448052114, 10.939640102849776 59.63962140563075, 10.939613836214482 59.63963787139582, 10.937422985497554 59.64081255920664, 10.935060390579098 59.64173535283909, 10.928698878139162 59.643838940782274, 10.927827840091275 59.64425809871406, 10.927695876692242 59.64432399760909, 10.926332858099103 59.64503449648273)"/>
    <s v="[1821364, 1821372, 1821380, 1821388, 1821396, 1821404, 1821412, 1821419, 369150, 369158, 369166, 369174, 369182]"/>
    <s v="[1601187, 1601193, 1601197, 1601202, 1601206, 1601214, 1601221, 358023, 358024, 358033, 358041, 358050, 358057]"/>
    <s v="#FIELD!"/>
    <s v="[465883, 1601187, 1601193, 1601197, 1601202, 1601206, 1601214, 1601221, 358023, 358024, 358033, 358041, 358050]"/>
    <s v="[0.064, 0.064, 0.019, 0.044, 0.009, 0.029, 0.072, 0.027, 0.011, 0.019, 0.072, 0.082, 0.086]"/>
    <s v="1916.4295022585113"/>
    <s v="[0.064, 0.064, -0.019, 0.044, 0.009, 0.029, 0.072, 0.027, 0.011, -0.019, -0.072, -0.082, -0.086]"/>
  </r>
  <r>
    <x v="877"/>
    <x v="1188"/>
    <x v="0"/>
    <s v="[0, 0, 0, 0, 1, 0, 0, 1, 1, 0, 0, 0, 0, 0]"/>
    <s v="LINESTRING (10.949603711852472 59.63131587508353, 10.949488811125768 59.63140006981597, 10.948287100352625 59.63234378389866, 10.948181826199189 59.6324308289355, 10.9452955962465 59.63486711285202, 10.944708439874258 59.635363577227245, 10.939898521668988 59.63931437236412, 10.939828399505505 59.639361476499374, 10.9395099305188 59.63956863847426, 10.939397137418059 59.639639359566644, 10.937338189994083 59.640730404289904, 10.928537242016679 59.64377309167431, 10.927640657530672 59.64418498958217, 10.927502114378964 59.644247006378656, 10.926332858099103 59.64503449648273)"/>
    <s v="[1821061, 1821069, 1821078, 1821086, 1821094, 1821110, 1821116, 1821117, 1821129, 1821134, 369190, 369198, 369206, 369214]"/>
    <s v="[1600959, 1600967, 1600973, 1600981, 1600987, 1600997, 1601002, 1601003, 1601013, 358064, 358065, 358073, 358084, 358057]"/>
    <s v="#FIELD!"/>
    <s v="[465890, 1600959, 1600967, 1600973, 1600981, 1600987, 1600997, 1601002, 1601003, 1601013, 358064, 358065, 358073, 358084]"/>
    <s v="[0.1, 0.083, 0.066, 0.023, 0.043, 0.008, 0.031, 0.042, 0.061, 0.026, 0.02, 0.034, 0.052, 0.052]"/>
    <s v="2052.4783913852457"/>
    <s v="[0.1, 0.083, 0.066, -0.023, 0.043, 0.008, 0.031, 0.042, 0.061, 0.026, -0.02, -0.034, -0.052, -0.052]"/>
  </r>
  <r>
    <x v="878"/>
    <x v="1189"/>
    <x v="0"/>
    <n v="0"/>
    <s v="LINESTRING (5.275171386691388 59.343137097987444, 5.275100125548022 59.34380411213327, 5.275097863562115 59.34384341645719, 5.275036845746991 59.346028033796465, 5.274924266029826 59.346431522031736, 5.27478520660139 59.3467984703348)"/>
    <s v="[369200, 369208, 369216, 369224, 369232]"/>
    <s v="[358076, 358086, 358093, 358100, 358109]"/>
    <s v="0.0033341532647297657"/>
    <s v="[358075, 358076, 358086, 358093, 358100]"/>
    <s v="[0.004, 0.003, 0.017, 0.034, 0.037]"/>
    <s v="410.6114839422049"/>
    <s v="[0.004, 0.003, 0.017, -0.034, -0.037]"/>
  </r>
  <r>
    <x v="878"/>
    <x v="1190"/>
    <x v="0"/>
    <n v="0"/>
    <s v="LINESTRING (5.275264157978699 59.34233168424071, 5.275241940080236 59.342392347578794, 5.275166918067337 59.3431252220389, 5.275171386691388 59.343137097987444)"/>
    <s v="[1348817, 1348825, 1348833]"/>
    <s v="[1249608, 1249616, 358075]"/>
    <s v="#FIELD!"/>
    <s v="[1249607, 1249608, 1249616]"/>
    <s v="[0.038, 0.004, 0.78]"/>
    <s v="90.64787418723465"/>
    <s v="[-0.038, -0.004, -0.78]"/>
  </r>
  <r>
    <x v="878"/>
    <x v="1191"/>
    <x v="0"/>
    <n v="0"/>
    <s v="LINESTRING (5.27545021465173 59.34234707879917, 5.275422697611535 59.34241125891822, 5.275180084846382 59.34312567095436, 5.275171386691388 59.343137097987444)"/>
    <s v="[1370296, 1370304, 1370312]"/>
    <s v="[1263576, 1263579, 358075]"/>
    <s v="#FIELD!"/>
    <s v="[1250987, 1263576, 1263579]"/>
    <s v="[0.033, 0.001, 0.756]"/>
    <s v="89.9016922658374"/>
    <s v="[-0.033, 0.001, -0.756]"/>
  </r>
  <r>
    <x v="879"/>
    <x v="1192"/>
    <x v="0"/>
    <n v="0"/>
    <s v="LINESTRING (5.27478520660139 59.3467984703348, 5.2747916783852915 59.34692381171947, 5.274796912194777 59.34696591428715, 5.274805718950887 59.34700428869458, 5.274810133273282 59.34705873718294)"/>
    <s v="[1370408, 1370416, 1370424, 1370432]"/>
    <s v="[1263644, 1263647, 1263654, 1251042]"/>
    <s v="0.17139212932635178"/>
    <s v="[358109, 1263644, 1263647, 1263654]"/>
    <s v="[0.353, 0.003, 0.002, 0.004]"/>
    <s v="29.139611880765237"/>
    <s v="[0.353, 0.003, 0.002, 0.004]"/>
  </r>
  <r>
    <x v="879"/>
    <x v="1193"/>
    <x v="0"/>
    <n v="0"/>
    <s v="LINESTRING (5.27478520660139 59.3467984703348, 5.274693435560111 59.34692100784285, 5.274670392303343 59.346952986645675, 5.2746450182922064 59.34698659862596, 5.274618122550733 59.347041122068866)"/>
    <s v="[2023657, 2023665, 2023673, 2023674]"/>
    <s v="[1767326, 1767333, 1767341, 1251095]"/>
    <s v="0.1729710420017627"/>
    <s v="[358109, 1767326, 1767333, 1767341]"/>
    <s v="[0.336, 0.003, 0.003, 0.002]"/>
    <s v="28.879489136112955"/>
    <s v="[0.336, 0.003, 0.003, 0.002]"/>
  </r>
  <r>
    <x v="880"/>
    <x v="1194"/>
    <x v="0"/>
    <s v="[0, 0, 0, 0, 1, 0, 1, 0, 0]"/>
    <s v="LINESTRING (5.274631223356426 59.34744532960534, 5.274790694432316 59.3484287871748, 5.276373677508278 59.35063864956616, 5.276499185974751 59.35081186617889, 5.276736787397464 59.351145830891596, 5.276762057492851 59.35118350007942, 5.2771170727160985 59.35343484065272, 5.277117775252215 59.35347154663314, 5.277122986568324 59.35380630235401, 5.277125647991724 59.35416258852996)"/>
    <s v="[369248, 369256, 369264, 369272, 369280, 369288, 369296, 369304, 369312]"/>
    <s v="[354576, 358135, 358142, 358152, 358162, 358171, 358182, 358193, 358200]"/>
    <s v="0.012055609925683577"/>
    <s v="[358126, 354576, 358135, 358142, 358152, 358162, 358171, 358182, 358193]"/>
    <s v="[0.025, 0.026, 0.011, 0.002, 0.005, 0.006, 0.007, 0.008, 0.021]"/>
    <s v="773.3344539828721"/>
    <s v="[0.025, 0.026, 0.011, -0.002, -0.005, -0.006, -0.007, 0.008, 0.021]"/>
  </r>
  <r>
    <x v="880"/>
    <x v="1195"/>
    <x v="0"/>
    <n v="0"/>
    <s v="LINESTRING (5.2747535821552605 59.34719795330694, 5.2747365122938685 59.3472467777411, 5.274631223356426 59.34744532960534)"/>
    <s v="[1370440, 1370448]"/>
    <s v="[1263666, 358126]"/>
    <s v="#FIELD!"/>
    <s v="[1251061, 1263666]"/>
    <s v="[0.002, 0.132]"/>
    <s v="28.66471676873942"/>
    <s v="[0.002, -0.132]"/>
  </r>
  <r>
    <x v="880"/>
    <x v="1196"/>
    <x v="0"/>
    <n v="0"/>
    <s v="LINESTRING (5.27456050353272 59.347173791650036, 5.274558027586497 59.347225731742334, 5.274631223356426 59.34744532960534)"/>
    <s v="[2023763, 2023772]"/>
    <s v="[1767416, 358126]"/>
    <s v="#FIELD!"/>
    <s v="[1251075, 1767416]"/>
    <s v="[0.001, 0.119]"/>
    <s v="31.173700591852597"/>
    <s v="[0.001, -0.119]"/>
  </r>
  <r>
    <x v="881"/>
    <x v="891"/>
    <x v="0"/>
    <n v="0"/>
    <s v="LINESTRING (10.857244246202644 60.89367164802681, 10.846540498336863 60.89539770100514, 10.84071587525553 60.897330573721156)"/>
    <s v="[1005560, 1005482]"/>
    <s v="[962433, 362794]"/>
    <s v="0.015295894128170071"/>
    <s v="[358128, 962433]"/>
    <s v="[0.051, 0.042]"/>
    <s v="998.5082858575729"/>
    <s v="[0.051, -0.042]"/>
  </r>
  <r>
    <x v="882"/>
    <x v="888"/>
    <x v="0"/>
    <n v="0"/>
    <s v="LINESTRING (10.840160005687776 60.89770218947492, 10.820842240967433 60.90794783359706, 10.817791613470716 60.909152451786774)"/>
    <s v="[1005365, 1005376]"/>
    <s v="[962324, 358154]"/>
    <s v="0.04346377758058042"/>
    <s v="[362801, 962324]"/>
    <s v="[0.046, 0.025]"/>
    <s v="1765.305166442859"/>
    <s v="[0.046, 0.025]"/>
  </r>
  <r>
    <x v="883"/>
    <x v="888"/>
    <x v="0"/>
    <n v="0"/>
    <s v="LINESTRING (10.857630557059554 60.8937348938825, 10.857265860717122 60.89376096024191, 10.84664492176942 60.895491571137725, 10.84084994850374 60.897410415073395, 10.840160005687776 60.89770218947492)"/>
    <s v="[1005568, 1005569, 1005441, 1005450]"/>
    <s v="[962514, 962405, 962406, 362801]"/>
    <s v="0.02167834457874182"/>
    <s v="[358164, 962514, 962405, 962406]"/>
    <s v="[0.373, 0.04, 0.012, 0.087]"/>
    <s v="1061.6886729438859"/>
    <s v="[0.373, 0.04, -0.012, -0.087]"/>
  </r>
  <r>
    <x v="884"/>
    <x v="1197"/>
    <x v="0"/>
    <s v="[1, 0, 0, 0, 0, 0, 1]"/>
    <s v="LINESTRING (5.588324636838726 59.50464977038006, 5.588164335734653 59.50458461588188, 5.586549459227324 59.50356953953339, 5.584511433587598 59.50242225688556, 5.584507042366944 59.502421052004046, 5.5823639264953915 59.50183320743267, 5.578959950805581 59.50087538180593, 5.578682614111882 59.50077564493602)"/>
    <s v="[369295, 369303, 369311, 369319, 369327, 369335, 369343]"/>
    <s v="[358181, 358192, 358199, 358208, 358217, 358223, 358234]"/>
    <s v="#FIELD!"/>
    <s v="[358180, 358181, 358192, 358199, 358208, 358217, 358223]"/>
    <s v="[0.022, 0.013, 0.043, 0.0, 0.02, 0.132, 0.099]"/>
    <s v="711.4578574865911"/>
    <s v="[-0.022, 0.013, 0.043, 0.0, 0.02, -0.132, -0.099]"/>
  </r>
  <r>
    <x v="884"/>
    <x v="1198"/>
    <x v="0"/>
    <n v="0"/>
    <s v="LINESTRING (5.606280537770681 59.50633631636976, 5.598951736398546 59.50573053869388, 5.592508859114569 59.50535866701124, 5.588324636838726 59.50464977038006)"/>
    <s v="[1309427, 1309491, 1301813]"/>
    <s v="[1218238, 1213101, 358180]"/>
    <s v="#FIELD!"/>
    <s v="[1218232, 1218238, 1213101]"/>
    <s v="[0.037, 0.006, 0.051]"/>
    <s v="1045.7847273156294"/>
    <s v="[-0.037, 0.006, -0.051]"/>
  </r>
  <r>
    <x v="884"/>
    <x v="1199"/>
    <x v="0"/>
    <n v="0"/>
    <s v="LINESTRING (5.60670903721269 59.506341640186214, 5.606379723465264 59.50630241919408, 5.598964118828217 59.5056864194711, 5.592525928790899 59.505306119686566, 5.588324636838726 59.50464977038006)"/>
    <s v="[1309475, 1309483, 1301805, 1301821]"/>
    <s v="[1218271, 1213093, 1213094, 358180]"/>
    <s v="#FIELD!"/>
    <s v="[1218267, 1218271, 1213093, 1213094]"/>
    <s v="[0.039, 0.037, 0.006, 0.051]"/>
    <s v="1067.8770938700454"/>
    <s v="[-0.039, -0.037, 0.006, -0.051]"/>
  </r>
  <r>
    <x v="885"/>
    <x v="1200"/>
    <x v="0"/>
    <n v="0"/>
    <s v="LINESTRING (5.277125647991724 59.35416258852996, 5.277212148542903 59.35433533638488, 5.277252555905202 59.354445361948116, 5.277239860028919 59.354505350109925)"/>
    <s v="[1370456, 1370464, 1370472]"/>
    <s v="[1263681, 1263689, 1176907]"/>
    <s v="#FIELD!"/>
    <s v="[358200, 1263681, 1263689]"/>
    <s v="[0.028, 0.004, 0.018]"/>
    <s v="39.55211223738241"/>
    <s v="[-0.028, 0.004, -0.018]"/>
  </r>
  <r>
    <x v="885"/>
    <x v="1201"/>
    <x v="0"/>
    <n v="0"/>
    <s v="LINESTRING (5.277125647991724 59.35416258852996, 5.277031942100767 59.3543273605112, 5.2769839189170975 59.354421252113966, 5.276962313907422 59.35447903225642)"/>
    <s v="[2023819, 2023826, 2023828]"/>
    <s v="[1767462, 1767466, 1176953]"/>
    <s v="#FIELD!"/>
    <s v="[358200, 1767462, 1767466]"/>
    <s v="[0.031, 0.003, 0.049]"/>
    <s v="36.68858460718082"/>
    <s v="[-0.031, 0.003, 0.049]"/>
  </r>
  <r>
    <x v="886"/>
    <x v="882"/>
    <x v="0"/>
    <s v="[1, 0]"/>
    <s v="LINESTRING (10.810793746108875 60.91132281038703, 10.811040792383809 60.911794790395454, 10.811096205063436 60.911907013195346)"/>
    <s v="[374405, 374413]"/>
    <s v="[363319, 358203]"/>
    <s v="#FIELD!"/>
    <s v="[362363, 363319]"/>
    <s v="0.023"/>
    <s v="67.14957790765062"/>
    <s v="#FIELD!"/>
  </r>
  <r>
    <x v="887"/>
    <x v="1202"/>
    <x v="0"/>
    <n v="0"/>
    <s v="LINESTRING (5.277186177558788 59.354721969504936, 5.277141449342765 59.35477935661457, 5.276951902640631 59.35514928191182, 5.2769457874963 59.35517782396513, 5.276879485457961 59.355851110537266, 5.276827588896008 59.35619709555181, 5.276778170825673 59.35657681843632, 5.2767133487035185 59.35702141726268, 5.276708298610151 59.357059272892045, 5.27666478340697 59.35738517044356, 5.276661274833362 59.357411123349344, 5.276634944187049 59.357849259727175, 5.276634736585229 59.35787887049671, 5.27663345275814 59.35794275638669, 5.276656543871363 59.35838879098433, 5.276669939987295 59.35852654559605, 5.276765658717814 59.35913825190469)"/>
    <s v="[1370480, 1370488, 1370496, 1370504, 1370512, 1370520, 1370528, 1370536, 1370544, 1370552, 1370560, 1370568, 1370576, 1370584, 1370592, 1370600]"/>
    <s v="[1263701, 1263707, 1263711, 1263715, 1125943, 1263722, 1263725, 1176520, 1263735, 1263741, 1263745, 1263749, 1263755, 1263759, 1263764, 358209]"/>
    <s v="#FIELD!"/>
    <s v="[1176917, 1263701, 1263707, 1263711, 1263715, 1125943, 1263722, 1263725, 1176520, 1263735, 1263741, 1263745, 1263749, 1263755, 1263759, 1263764]"/>
    <s v="[0.084, 0.004, 0.005, 0.005, 0.005, 0.01, 0.024, 0.027, 0.023, 0.019, 0.023, 0.025, 0.023, 0.026, 0.027, 0.035]"/>
    <s v="496.8745072872903"/>
    <s v="[0.084, 0.004, 0.005, 0.005, 0.005, -0.01, -0.024, -0.027, -0.023, -0.019, -0.023, -0.025, -0.023, -0.026, -0.027, -0.035]"/>
  </r>
  <r>
    <x v="887"/>
    <x v="1203"/>
    <x v="0"/>
    <n v="0"/>
    <s v="LINESTRING (5.2768618273569095 59.354692128461444, 5.27685700955541 59.3547505301754, 5.276849862621362 59.35513985558193, 5.276845711510993 59.35516821991122, 5.276753849449608 59.3558242086444, 5.276646395728958 59.356525407888554, 5.276581414054566 59.35695043369855, 5.276574845074058 59.35698655621623, 5.2765633562541066 59.357081552141054, 5.276528977657394 59.35732820225985, 5.276526129841945 59.357353400035464, 5.27652281088503 59.35738145625628, 5.276520855393049 59.35740663076633, 5.276487225734963 59.35783899970412, 5.2764851226377925 59.357892288295815, 5.276503151925881 59.35835124494076, 5.276542998471588 59.358572219015514, 5.276554818317426 59.35862010762531, 5.276765658717814 59.35913825190469)"/>
    <s v="[2023838, 2023846, 2023872, 2023881, 2023897, 2023905, 2023913, 2023919, 2023920, 2023927, 2023932, 2023933, 2023943, 2023951, 2023959, 2023971, 2023983, 2023991]"/>
    <s v="[1767474, 1767479, 1767495, 1767503, 1767516, 1767519, 1306068, 1176519, 1767524, 1767527, 1767530, 1767531, 1767536, 1268586, 1767545, 1767553, 1767562, 358209]"/>
    <s v="#FIELD!"/>
    <s v="[1176926, 1767474, 1767479, 1767495, 1767503, 1767516, 1767519, 1306068, 1176519, 1767524, 1767527, 1767530, 1767531, 1767536, 1268586, 1767545, 1767553, 1767562]"/>
    <s v="[0.01, 0.005, 0.005, 0.005, 0.0, 0.023, 0.024, 0.021, 0.022, 0.018, 0.02, 0.027, 0.022, 0.021, 0.023, 0.027, 0.03, 0.043]"/>
    <s v="499.58819336852815"/>
    <s v="[0.01, 0.005, 0.005, 0.005, -0.0, -0.023, -0.024, -0.021, -0.022, -0.018, -0.02, -0.027, -0.022, -0.021, -0.023, -0.027, -0.03, -0.043]"/>
  </r>
  <r>
    <x v="888"/>
    <x v="1204"/>
    <x v="0"/>
    <n v="0"/>
    <s v="LINESTRING (5.578682614111882 59.50077564493602, 5.5773694683880795 59.50015971605977, 5.577313717802577 59.5001303513219, 5.577242113729428 59.500090974910734, 5.576621072396258 59.49977354160863, 5.575663115679659 59.49926355493503)"/>
    <s v="[380110, 380133, 380134, 380135, 380143]"/>
    <s v="[369235, 359762, 369262, 369263, 358243]"/>
    <s v="#FIELD!"/>
    <s v="[358234, 369235, 359762, 369262, 369263]"/>
    <s v="[0.011, 0.034, 0.035, 0.022, 0.004]"/>
    <s v="241.18733263348676"/>
    <s v="[0.011, -0.034, -0.035, -0.022, -0.004]"/>
  </r>
  <r>
    <x v="888"/>
    <x v="1204"/>
    <x v="0"/>
    <n v="0"/>
    <s v="LINESTRING (5.578682614111882 59.50077564493602, 5.577264660896051 59.500203623754814, 5.577213225037586 59.50018022257845, 5.577153158173065 59.50015122195647, 5.5765380690358874 59.49982255051572, 5.575663115679659 59.49926355493503)"/>
    <s v="[1112734, 1112742, 1112750, 1112758, 1112766]"/>
    <s v="[359763, 1052388, 1052395, 1052402, 358243]"/>
    <s v="#FIELD!"/>
    <s v="[358234, 359763, 1052388, 1052395, 1052402]"/>
    <s v="[0.072, 0.053, 0.058, 0.054, 0.06]"/>
    <s v="242.68460368526095"/>
    <s v="[0.072, -0.053, -0.058, -0.054, -0.06]"/>
  </r>
  <r>
    <x v="889"/>
    <x v="1205"/>
    <x v="0"/>
    <s v="[0, 0, 0, 0, 0, 0, 0, 0, 0, 0, 0, 0, 0, 0, 0, 0, 0, 0, 0, 0, 0, 0, 0, 0, 0, 0, 0, 0, 0, 0, 0, 0, 0, 0, 0, 0, 0, 0, 0, 0, 0, 0, 1, 0, 0, 0]"/>
    <s v="LINESTRING (5.575663115679659 59.49926355493503, 5.575008418339543 59.49882063214059, 5.574322137422936 59.49843290208175, 5.572963373378761 59.498014370394394, 5.572292890203937 59.497872343098756, 5.57205455860768 59.497822425893446, 5.571534878487081 59.49771428975846, 5.571028442680445 59.497607811021425, 5.569333600480261 59.49716621428318, 5.567706023419883 59.49651694966171, 5.567306241018021 59.49631211485057, 5.565227540256899 59.49536187011651, 5.564710009786968 59.49515884950966, 5.562649391966212 59.494341884943495, 5.562416458831041 59.494249319611406, 5.561892166913703 59.49404176183272, 5.561405631029507 59.49384711260698, 5.560631745047905 59.4935393129465, 5.559755111260753 59.49318629873233, 5.55844344143329 59.492631112831546, 5.55716483787344 59.491763273168644, 5.554782739417387 59.49060114327612, 5.554278200066122 59.49037859068822, 5.552853422845409 59.489768138882404, 5.551814284488344 59.4893337586366, 5.550965035287814 59.48898011372096, 5.550674170498387 59.48885714608282, 5.550612767852401 59.488831197758785, 5.550201540977522 59.48866268477629, 5.5496825874742886 59.48844927564968, 5.548274282029186 59.48786428514617, 5.54730286267807 59.487463198313804, 5.546304437902691 59.48704670793132, 5.544851755233209 59.486441359586784, 5.543317344787996 59.48579947116493, 5.541088199653968 59.484805412439414, 5.539674855837354 59.4838650682693, 5.5375202662244165 59.48274007071227, 5.5350900826016405 59.481516507124844, 5.533203012382806 59.480569509778505, 5.5313917612884 59.47965894887952, 5.53018946561683 59.47905370955188, 5.527629763491309 59.477745657430724, 5.527451233402639 59.477636394008265, 5.527190552668649 59.47746770276925, 5.526940976556408 59.47727959037833, 5.525559206582074 59.475452715169546)"/>
    <s v="[369351, 369359, 369367, 369375, 369383, 369391, 369399, 369407, 369415, 369423, 369431, 369439, 369447, 369455, 369463, 369471, 369479, 369487, 369495, 369503, 369511, 369519, 369527, 369535, 369543, 369551, 369559, 369567, 369575, 369583, 369591, 369599, 369607, 369615, 369623, 369631, 369639, 369647, 369655, 681253, 1982235, 1982243, 1982247, 1982248, 1982249, 1982256]"/>
    <s v="[358244, 358254, 358265, 358276, 358285, 358295, 358305, 358315, 358324, 358332, 358344, 358354, 358364, 358373, 358381, 358389, 358400, 358410, 358419, 358427, 358433, 358441, 358449, 358456, 358466, 358473, 358482, 358492, 358500, 358507, 358516, 358524, 358534, 358541, 358549, 358560, 358568, 358577, 358585, 672197, 1742428, 1742433, 1742435, 1742436, 1742437, 1742442]"/>
    <s v="0.018180874259632617"/>
    <s v="[358243, 358244, 358254, 358265, 358276, 358285, 358295, 358305, 358315, 358324, 358332, 358344, 358354, 358364, 358373, 358381, 358389, 358400, 358410, 358419, 358427, 358433, 358441, 358449, 358456, 358466, 358473, 358482, 358492, 358500, 358507, 358516, 358524, 358534, 358541, 358549, 358560, 358568, 358577, 358585, 672197, 1742428, 1742433, 1742435, 1742436, 1742437]"/>
    <s v="[0.037, 0.025, 0.034, 0.029, 0.027, 0.034, 0.028, 0.006, 0.002, 0.031, 0.032, 0.044, 0.03, 0.036, 0.037, 0.046, 0.044, 0.032, 0.035, 0.024, 0.033, 0.016, 0.024, 0.036, 0.016, 0.007, 0.024, 0.017, 0.016, 0.008, 0.023, 0.003, 0.011, 0.009, 0.003, 0.032, 0.038, 0.02, 0.004, 0.018, 0.055, 0.056, 0.056, 0.056, 0.055, 0.046]"/>
    <s v="3946.4341452266212"/>
    <s v="[0.037, 0.025, 0.034, 0.029, 0.027, 0.034, 0.028, 0.006, 0.002, 0.031, 0.032, 0.044, 0.03, 0.036, 0.037, 0.046, 0.044, 0.032, 0.035, 0.024, 0.033, 0.016, 0.024, 0.036, 0.016, -0.007, -0.024, -0.017, -0.016, 0.008, 0.023, 0.003, 0.011, 0.009, -0.003, -0.032, -0.038, -0.02, -0.004, 0.018, 0.055, 0.056, 0.056, 0.056, 0.055, 0.046]"/>
  </r>
  <r>
    <x v="890"/>
    <x v="1206"/>
    <x v="0"/>
    <n v="0"/>
    <s v="LINESTRING (5.2821599460435 59.37248609828303, 5.282425388820854 59.372899070505746, 5.2825456695916655 59.373040484748245)"/>
    <s v="[369408, 369416]"/>
    <s v="[358316, 358325]"/>
    <s v="#FIELD!"/>
    <s v="[358306, 358316]"/>
    <s v="[0.017, 0.012]"/>
    <s v="65.80954737288373"/>
    <s v="[-0.017, -0.012]"/>
  </r>
  <r>
    <x v="890"/>
    <x v="1207"/>
    <x v="0"/>
    <n v="0"/>
    <s v="LINESTRING (5.2821599460435 59.37248609828303, 5.282316772176923 59.372630858179605, 5.285971507964002 59.37377196379581, 5.286103869985327 59.37376660363437)"/>
    <s v="[1350131, 1350138, 1350146]"/>
    <s v="[1250660, 1250664, 1250668]"/>
    <s v="0.0013198011614855862"/>
    <s v="[358306, 1250660, 1250664]"/>
    <s v="[0.024, 0.001, 0.031]"/>
    <s v="303.71831115149405"/>
    <s v="[0.024, -0.001, 0.031]"/>
  </r>
  <r>
    <x v="891"/>
    <x v="1208"/>
    <x v="0"/>
    <s v="[0, 0, 0, 0, 0, 1, 0]"/>
    <s v="LINESTRING (5.2825456695916655 59.373040484748245, 5.2836428904965755 59.37381718517814, 5.284202542083028 59.37405954144653, 5.284743980728608 59.37425016287143, 5.285169641067785 59.374377229290886, 5.285869707756659 59.374553500049835, 5.286359926998439 59.37466039228665, 5.2888630918289685 59.37498202135604)"/>
    <s v="[369424, 369432, 369440, 369448, 369456, 369464, 369472]"/>
    <s v="[358333, 358345, 358355, 358365, 358374, 358382, 358390]"/>
    <s v="0.021199814023411603"/>
    <s v="[358325, 358333, 358345, 358355, 358365, 358374, 358382]"/>
    <s v="[0.0, 0.008, 0.023, 0.028, 0.027, 0.045, 0.032]"/>
    <s v="437.76443237238686"/>
    <s v="[-0.0, 0.008, 0.023, 0.028, 0.027, 0.045, 0.032]"/>
  </r>
  <r>
    <x v="891"/>
    <x v="1209"/>
    <x v="0"/>
    <n v="0"/>
    <s v="LINESTRING (5.285825869974548 59.374968967663825, 5.285760562438102 59.37494939883736, 5.284133927225371 59.37410053991468, 5.282589544265584 59.37316089664064, 5.2825456695916655 59.373040484748245)"/>
    <s v="[1350234, 1350242, 1350246, 1350254]"/>
    <s v="[1250720, 1250727, 1250730, 358325]"/>
    <s v="#FIELD!"/>
    <s v="[1250719, 1250720, 1250727, 1250730]"/>
    <s v="[0.038, 0.036, 0.004, 0.057]"/>
    <s v="290.663444563593"/>
    <s v="[-0.038, -0.036, 0.004, -0.057]"/>
  </r>
  <r>
    <x v="892"/>
    <x v="1210"/>
    <x v="0"/>
    <n v="0"/>
    <s v="LINESTRING (5.2888630918289685 59.37498202135604, 5.28908511027862 59.374998706007865, 5.289372168636477 59.3750185143626)"/>
    <s v="[369480, 369488]"/>
    <s v="[358401, 358411]"/>
    <s v="0.010873060104034094"/>
    <s v="[358390, 358401]"/>
    <s v="[0.012, 0.01]"/>
    <s v="29.322150767991243"/>
    <s v="[0.012, 0.01]"/>
  </r>
  <r>
    <x v="892"/>
    <x v="1211"/>
    <x v="0"/>
    <s v="[0, 0, 1, 0, 0, 0]"/>
    <s v="LINESTRING (5.286087179214287 59.37389490440962, 5.2859831457636 59.373891876727775, 5.285888364766245 59.37450397023522, 5.286380029182809 59.374610826373086, 5.286758548575757 59.37468937068387, 5.2887570885112245 59.37495056046198, 5.2888630918289685 59.37498202135604)"/>
    <s v="[1350336, 1350344, 1350352, 1350360, 1350368, 1350376]"/>
    <s v="[1250778, 1250782, 1250785, 1250788, 1250793, 358390]"/>
    <s v="0.02239022451751629"/>
    <s v="[1250777, 1250778, 1250782, 1250785, 1250788, 1250793]"/>
    <s v="[0.033, 0.014, 0.036, 0.035, 0.033, 0.042]"/>
    <s v="325.1779264424549"/>
    <s v="[-0.033, 0.014, 0.036, 0.035, 0.033, -0.042]"/>
  </r>
  <r>
    <x v="893"/>
    <x v="1212"/>
    <x v="92"/>
    <s v="[0, 0, 1, 1, 1, 0, 0, 0, 0, 0, 0, 0]"/>
    <s v="LINESTRING (5.289372168636477 59.3750185143626, 5.290258409696481 59.37508516353977, 5.290373628960643 59.37509390240313, 5.295024434887442 59.375446029399605, 5.29699289161009 59.37559501444674, 5.302299663368521 59.376414740263776, 5.302760270642186 59.37664608394502, 5.302947803384093 59.376752966027304, 5.303884030316732 59.3776055918112, 5.303926184786093 59.37766896391571, 5.304283127558841 59.37830432107565, 5.3042961426767885 59.37833043748762, 5.304808422330418 59.379332073414275)"/>
    <s v="[369496, 369504, 369512, 369520, 369528, 369536, 369544, 369552, 369560, 369568, 369576, 369584]"/>
    <s v="[358420, 358428, 358434, 358442, 358450, 358457, 358467, 358474, 358483, 358493, 358501, 358508]"/>
    <s v="0.005207239700038503"/>
    <s v="[358411, 358420, 358428, 358434, 358442, 358450, 358457, 358467, 358474, 358483, 358493, 358501]"/>
    <s v="[0.022, 0.074, 0.066, 0.002, 0.06, 0.034, 0.035, 0.019, 0.007, 0.005, 0.01, 0.011]"/>
    <s v="1124.1221802660182"/>
    <s v="[-0.022, -0.074, -0.066, 0.002, 0.06, 0.034, 0.035, 0.019, 0.007, 0.005, 0.01, 0.011]"/>
  </r>
  <r>
    <x v="893"/>
    <x v="1213"/>
    <x v="0"/>
    <n v="0"/>
    <s v="LINESTRING (5.289372168636477 59.3750185143626, 5.2890498072743 59.37503629590803, 5.286219697760523 59.37503384212916, 5.28611924180984 59.37502086463239)"/>
    <s v="[1350432, 1350440, 1350448]"/>
    <s v="[1250824, 1250831, 1250834]"/>
    <s v="#FIELD!"/>
    <s v="[358411, 1250824, 1250831]"/>
    <s v="[0.031, 0.026, 0.028]"/>
    <s v="187.66877197210232"/>
    <s v="[0.031, -0.026, -0.028]"/>
  </r>
  <r>
    <x v="894"/>
    <x v="1214"/>
    <x v="0"/>
    <n v="0"/>
    <s v="LINESTRING (5.304808422330418 59.379332073414275, 5.305083929666823 59.379751688675825, 5.30546391380701 59.38039013472295, 5.305515965352903 59.38044433715224, 5.305540015513598 59.3804719593555)"/>
    <s v="[1370608, 1370616, 1370624, 1370632]"/>
    <s v="[1263774, 1263781, 1263787, 1177041]"/>
    <s v="0.009255522130601934"/>
    <s v="[358508, 1263774, 1263781, 1263787]"/>
    <s v="[0.032, 0.012, 0.012, 0.391]"/>
    <s v="134.3905251939334"/>
    <s v="[0.032, 0.012, 0.012, -0.391]"/>
  </r>
  <r>
    <x v="894"/>
    <x v="1215"/>
    <x v="0"/>
    <n v="0"/>
    <s v="LINESTRING (5.304808422330418 59.379332073414275, 5.304952675307843 59.37977141353649, 5.305133015844685 59.38043132794819, 5.305140835669281 59.380476831855965, 5.305143281918701 59.3804996503552)"/>
    <s v="[2024038, 2024039, 2024046, 2024059]"/>
    <s v="[1767598, 1767599, 1767602, 1177085]"/>
    <s v="0.0032234114611016523"/>
    <s v="[358508, 1767598, 1767599, 1767602]"/>
    <s v="[0.029, 0.01, 0.01, 0.712]"/>
    <s v="132.1249213603636"/>
    <s v="[0.029, 0.01, 0.01, -0.712]"/>
  </r>
  <r>
    <x v="895"/>
    <x v="1216"/>
    <x v="0"/>
    <s v="[0, 1, 0]"/>
    <s v="LINESTRING (5.299768861791125 59.39075895984823, 5.299281027621646 59.39135710574812, 5.299011098865315 59.39163514048708, 5.298703953231281 59.39197640668225)"/>
    <s v="[1370776, 1370784, 1370792]"/>
    <s v="[1263896, 1263901, 1263909]"/>
    <s v="0.0057471719009633635"/>
    <s v="[358561, 1263896, 1263901]"/>
    <s v="[0.016, 0.003, 0.005]"/>
    <s v="150.22682562931226"/>
    <s v="[0.016, -0.003, -0.005]"/>
  </r>
  <r>
    <x v="895"/>
    <x v="1217"/>
    <x v="0"/>
    <s v="[0, 0, 1, 0, 0]"/>
    <s v="LINESTRING (5.299768861791125 59.39075895984823, 5.2991211826405555 59.391316886104896, 5.299087840783101 59.391347898222534, 5.298844148520949 59.39160424446332, 5.298816981588711 59.39163271759312, 5.29857356377392 59.391908255859605)"/>
    <s v="[2024077, 2024078, 2024081, 2024082, 2024083]"/>
    <s v="[1767623, 1767624, 1767625, 1767626, 1767627]"/>
    <s v="0.003617896137530802"/>
    <s v="[358561, 1767623, 1767624, 1767625, 1767626]"/>
    <s v="[0.012, 0.003, 0.004, 0.002, 0.006]"/>
    <s v="146.30565194253944"/>
    <s v="[0.012, -0.003, -0.004, -0.002, -0.006]"/>
  </r>
  <r>
    <x v="895"/>
    <x v="1218"/>
    <x v="0"/>
    <s v="[0, 1, 0]"/>
    <s v="LINESTRING (5.303025169305397 59.387002141842814, 5.301050057555352 59.389396948882485, 5.300851477947086 59.38961150233576, 5.299768861791125 59.39075895984823)"/>
    <s v="[1342779, 369624, 369632]"/>
    <s v="[358550, 358551, 358561]"/>
    <s v="0.0038715315404615883"/>
    <s v="[1245273, 358550, 358551]"/>
    <s v="[0.003, 0.002, 0.006]"/>
    <s v="459.5045518520053"/>
    <s v="[0.003, 0.002, 0.006]"/>
  </r>
  <r>
    <x v="896"/>
    <x v="1219"/>
    <x v="0"/>
    <n v="0"/>
    <s v="LINESTRING (5.306304270582007 59.39459702451408, 5.30622853862284 59.394613944622826, 5.306090354009215 59.39460516527708, 5.305994929468348 59.39456590643339, 5.30597696986278 59.394552306192956)"/>
    <s v="[369743, 369751, 369759, 369767]"/>
    <s v="[358678, 358687, 358697, 358711]"/>
    <s v="#FIELD!"/>
    <s v="[358677, 358678, 358687, 358697]"/>
    <s v="[0.001, 0.002, 0.011, 0.019]"/>
    <s v="21.47246531042496"/>
    <s v="[0.001, -0.002, -0.011, -0.019]"/>
  </r>
  <r>
    <x v="896"/>
    <x v="1220"/>
    <x v="0"/>
    <n v="0"/>
    <s v="LINESTRING (5.3063913478494795 59.39445236126618, 5.306406040218685 59.39452145852388, 5.306304270582007 59.39459702451408)"/>
    <s v="[369823, 369831]"/>
    <s v="[358770, 358677]"/>
    <s v="0.011449743330883038"/>
    <s v="[358763, 358770]"/>
    <s v="[0.016, 0.008]"/>
    <s v="18.01466713923942"/>
    <s v="[0.016, 0.008]"/>
  </r>
  <r>
    <x v="896"/>
    <x v="1093"/>
    <x v="0"/>
    <n v="0"/>
    <s v="LINESTRING (5.307520562738385 59.394560614116074, 5.306938508875617 59.39456716265353, 5.306437498296125 59.39459433597827, 5.306304270582007 59.39459702451408)"/>
    <s v="[1438976, 1438984, 1438992]"/>
    <s v="[1307802, 1307812, 358677]"/>
    <s v="#FIELD!"/>
    <s v="[369798, 1307802, 1307812]"/>
    <s v="[0.03, 0.029, 0.01]"/>
    <s v="69.50833642114446"/>
    <s v="[-0.03, -0.029, -0.01]"/>
  </r>
  <r>
    <x v="897"/>
    <x v="1221"/>
    <x v="0"/>
    <n v="0"/>
    <s v="LINESTRING (5.30597696986278 59.394552306192956, 5.305956351355077 59.39447455325573, 5.306035890400669 59.39440696957792)"/>
    <s v="[369775, 369783]"/>
    <s v="[358720, 358728]"/>
    <s v="#FIELD!"/>
    <s v="[358711, 358720]"/>
    <s v="[0.016, 0.01]"/>
    <s v="17.579607161689722"/>
    <s v="[-0.016, -0.01]"/>
  </r>
  <r>
    <x v="897"/>
    <x v="1222"/>
    <x v="0"/>
    <n v="0"/>
    <s v="LINESTRING (5.30597696986278 59.394552306192956, 5.3058594536485755 59.394536168927495, 5.305380844486502 59.3945057490041, 5.304850751869696 59.394493260270565)"/>
    <s v="[1440627, 1440635, 1440643]"/>
    <s v="[1308907, 1308912, 369863]"/>
    <s v="#FIELD!"/>
    <s v="[358711, 1308907, 1308912]"/>
    <s v="[0.018, 0.007, 0.006]"/>
    <s v="64.90379923459741"/>
    <s v="[-0.018, -0.007, -0.006]"/>
  </r>
  <r>
    <x v="898"/>
    <x v="1220"/>
    <x v="0"/>
    <n v="0"/>
    <s v="LINESTRING (5.306035890400669 59.39440696957792, 5.306108331861462 59.3943876234547, 5.306245332763678 59.394387035773505, 5.306357752013992 59.39442405099144, 5.3063913478494795 59.39445236126618)"/>
    <s v="[369791, 369799, 369807, 369815]"/>
    <s v="[358737, 358746, 358754, 358763]"/>
    <s v="0.0057857224874365565"/>
    <s v="[358728, 358737, 358746, 358754]"/>
    <s v="[0.003, 0.004, 0.009, 0.014]"/>
    <s v="23.797667273952353"/>
    <s v="[-0.003, 0.004, 0.009, 0.014]"/>
  </r>
  <r>
    <x v="898"/>
    <x v="1222"/>
    <x v="0"/>
    <n v="0"/>
    <s v="LINESTRING (5.306035890400669 59.39440696957792, 5.305916502411872 59.39440341572504, 5.305375652040577 59.39443747246536, 5.304850751869696 59.394493260270565)"/>
    <s v="[380763, 380781, 380795]"/>
    <s v="[369823, 369848, 369863]"/>
    <s v="#FIELD!"/>
    <s v="[358728, 369823, 369848]"/>
    <s v="[0.012, 0.004, 0.003]"/>
    <s v="68.67470838717551"/>
    <s v="[-0.012, -0.004, -0.003]"/>
  </r>
  <r>
    <x v="899"/>
    <x v="1093"/>
    <x v="0"/>
    <n v="0"/>
    <s v="LINESTRING (5.307520562738385 59.394560614116074, 5.306927372661971 59.394495628247, 5.306476148703213 59.39446253618706, 5.3063913478494795 59.39445236126618)"/>
    <s v="[380733, 380740, 380755]"/>
    <s v="[369799, 369803, 358763]"/>
    <s v="#FIELD!"/>
    <s v="[369798, 369799, 369803]"/>
    <s v="0.032"/>
    <s v="65.88262095972908"/>
    <s v="#FIELD!"/>
  </r>
  <r>
    <x v="900"/>
    <x v="1223"/>
    <x v="0"/>
    <n v="0"/>
    <s v="LINESTRING (5.714715576195419 58.89423743549744, 5.714567701271828 58.89424789499249, 5.713071460947305 58.89443880667789)"/>
    <s v="[370652, 370660]"/>
    <s v="[359573, 359579]"/>
    <s v="#FIELD!"/>
    <s v="[359572, 359573]"/>
    <s v="[0.051, 0.014]"/>
    <s v="98.36265495617135"/>
    <s v="[0.051, -0.014]"/>
  </r>
  <r>
    <x v="900"/>
    <x v="1224"/>
    <x v="0"/>
    <n v="0"/>
    <s v="LINESTRING (5.714715576195419 58.89423743549744, 5.714612521112081 58.89417844158991, 5.714590026412889 58.89413366135699)"/>
    <s v="[1440090, 1440098]"/>
    <s v="[1308551, 779519]"/>
    <s v="#FIELD!"/>
    <s v="[359572, 1308551]"/>
    <s v="[0.086, 0.03]"/>
    <s v="14.056548498780579"/>
    <s v="[-0.086, -0.03]"/>
  </r>
  <r>
    <x v="900"/>
    <x v="1225"/>
    <x v="0"/>
    <n v="0"/>
    <s v="LINESTRING (5.714887611051291 58.893993111150756, 5.714936186817948 58.89399969385494, 5.7150595464286695 58.894051013325594, 5.715090641534847 58.89408665684215, 5.715100865039669 58.89413000574267, 5.715078385085382 58.89417825995333, 5.714715576195419 58.89423743549744)"/>
    <s v="[1440131, 1440140, 1440150, 1440158, 1440166, 1440081]"/>
    <s v="[779496, 1308582, 1308589, 1308595, 359567, 359572]"/>
    <s v="0.027296261698896842"/>
    <s v="[1308573, 779496, 1308582, 1308589, 1308595, 359567]"/>
    <s v="[0.009, 0.016, 0.027, 0.025, 0.028, 0.034]"/>
    <s v="51.48368284793888"/>
    <s v="[0.009, 0.016, 0.027, 0.025, 0.028, 0.034]"/>
  </r>
  <r>
    <x v="901"/>
    <x v="1226"/>
    <x v="0"/>
    <n v="1"/>
    <m/>
    <n v="1840351"/>
    <n v="1212743"/>
    <s v="#FIELD!"/>
    <n v="359579"/>
    <s v="0.008"/>
    <s v="120.10008841120967"/>
    <s v="#FIELD!"/>
  </r>
  <r>
    <x v="901"/>
    <x v="1224"/>
    <x v="0"/>
    <n v="0"/>
    <s v="LINESTRING (5.714590026412889 58.89413366135699, 5.714511610552787 58.89416032254939, 5.713071460947305 58.89443880667789)"/>
    <s v="[800992, 801000]"/>
    <s v="[779520, 359579]"/>
    <s v="0.0010914791007209771"/>
    <s v="[779519, 779520]"/>
    <s v="[0.019, 0.0]"/>
    <s v="94.4500300812926"/>
    <s v="[0.019, 0.0]"/>
  </r>
  <r>
    <x v="902"/>
    <x v="1227"/>
    <x v="0"/>
    <n v="0"/>
    <s v="LINESTRING (6.1907398147993495 58.539426252445985, 6.189928684283314 58.53936165953566, 6.189225327939718 58.53928462709359, 6.188459409318801 58.53916857029661, 6.184679405944836 58.53862681736837, 6.16908088494813 58.53785195776589, 6.167575335070274 58.53757081060684, 6.166232250839707 58.5370726925441, 6.166174631414842 58.53704928250413, 6.165995616789163 58.53697745145908, 6.165922954393183 58.536948663781864, 6.165174605330304 58.53665120487006)"/>
    <s v="[1379478, 1379486, 1379494, 1379502, 1379510, 1379518, 1379526, 1378168, 1378184, 1378192, 1378206]"/>
    <s v="[1269820, 1269280, 1269824, 1269831, 1269836, 1269841, 1269177, 1269178, 1269188, 1269192, 1269067]"/>
    <s v="#FIELD!"/>
    <s v="[359628, 1269820, 1269280, 1269824, 1269831, 1269836, 1269841, 1269177, 1269178, 1269188, 1269192]"/>
    <s v="[0.051, 0.042, 0.037, 0.015, 0.059, 0.052, 0.054, 0.063, 0.089, 0.078, 0.061]"/>
    <s v="1559.1988931247479"/>
    <s v="[0.051, -0.042, -0.037, -0.015, -0.059, -0.052, 0.054, 0.063, 0.089, 0.078, 0.061]"/>
  </r>
  <r>
    <x v="902"/>
    <x v="1228"/>
    <x v="0"/>
    <n v="0"/>
    <s v="LINESTRING (6.1907398147993495 58.539426252445985, 6.189974567123706 58.539323499124386, 6.189250874119718 58.539244455951064, 6.188482696490037 58.53912825212004, 6.184688557786963 58.53858135894028, 6.169132777289781 58.53779678226995, 6.1676418964475115 58.53751193830968, 6.166308495216744 58.53701991050542, 6.166071716021981 58.53692592378901, 6.165999597540831 58.536897715698316, 6.165066694160415 58.53653748672553, 6.164928742485388 58.53648401550356, 6.16377858006518 58.53608445687002)"/>
    <s v="[1379534, 1379542, 1379550, 1379558, 1379566, 1379574, 1379582, 1377984, 1378003, 1378018, 1378019, 1378046]"/>
    <s v="[1269848, 942485, 1269856, 1269860, 1269864, 1269867, 1269094, 1269095, 1269103, 1269108, 1269109, 1269091]"/>
    <s v="#FIELD!"/>
    <s v="[359628, 1269848, 942485, 1269856, 1269860, 1269864, 1269867, 1269094, 1269095, 1269103, 1269108, 1269109]"/>
    <s v="[0.053, 0.041, 0.036, 0.016, 0.058, 0.045, 0.054, 0.083, 0.09, 0.051, 0.04, 0.019]"/>
    <s v="1658.973437594521"/>
    <s v="[0.053, -0.041, -0.036, -0.016, -0.058, -0.045, 0.054, 0.083, 0.09, 0.051, 0.04, -0.019]"/>
  </r>
  <r>
    <x v="902"/>
    <x v="1229"/>
    <x v="0"/>
    <s v="[0, 0, 0, 0, 0, 0, 0, 0, 0, 0, 0, 0, 0, 0, 0, 0, 0, 1, 0, 0, 0, 0, 1, 0, 0, 0, 0, 1, 0, 0, 0, 0, 0, 0, 0, 0, 0, 0, 0, 0, 0, 0, 0, 1, 0, 0, 0, 0, 0, 0, 0, 0]"/>
    <s v="LINESTRING (6.33169451724257 58.53211828815571, 6.330028531307846 58.532510205197006, 6.326135328629843 58.533423580990316, 6.3251490553665635 58.5336571689478, 6.3249886200424 58.533695638139626, 6.318139609943236 58.53530638730486, 6.314254058185657 58.53730413977712, 6.313189571450651 58.53778745548839, 6.312750539363701 58.537947660185495, 6.312679349493457 58.53797147571597, 6.310007020122259 58.53852791185538, 6.309945339593229 58.538534559935826, 6.30986199323716 58.538543333575134, 6.304040535502589 58.53858211745628, 6.303024303306104 58.53859531376504, 6.302886957491522 58.53859903530087, 6.295146696053786 58.539749866797216, 6.293398027163557 58.540056350702145, 6.293334351085159 58.5400672248136, 6.288879100363408 58.54085026697483, 6.286974824211331 58.541181699250096, 6.285156450803825 58.54150142430489, 6.284720512823137 58.541576189252794, 6.284660042180931 58.54158616779392, 6.283659717806525 58.54174807499897, 6.279590461644728 58.54215015711626, 6.278647350957267 58.54218713598139, 6.273162407299465 58.54207417873685, 6.273077929379191 58.54207104097256, 6.270119941759513 58.54196371560509, 6.269497436403924 58.54194246394502, 6.269477715033556 58.541941700154766, 6.2694185679083 58.541939409928744, 6.266608049428598 58.54184012438542, 6.265767416158723 58.541843901376126, 6.264018314866347 58.54201324081387, 6.263927483576701 58.54202697118285, 6.256489016861635 58.54384414797842, 6.234335509675871 58.54424578000796, 6.234294692843795 58.54425389031474, 6.230138996252705 58.544444817895155, 6.219784345213235 58.54300296116274, 6.214835605329491 58.54227597019156, 6.21433432803717 58.54211590001246, 6.214206147248048 58.54207086279745, 6.213923469511145 58.541969194271594, 6.2113853439677476 58.54106493363756, 6.2088964048324025 58.54027219089568, 6.205433089184366 58.54008368690854, 6.202341364873204 58.540237446480624, 6.200385740189291 58.54033262249776, 6.192706397441564 58.53963598182824, 6.1907398147993495 58.539426252445985)"/>
    <s v="[1843528, 1843536, 1843544, 1843552, 1843560, 1843568, 1843576, 370359, 370367, 370375, 370383, 370391, 370399, 370407, 370415, 370423, 370431, 370439, 370447, 370455, 370463, 370471, 370479, 370487, 370495, 370503, 370511, 370519, 370527, 370535, 370543, 370551, 370559, 370567, 370575, 370583, 370591, 370599, 370607, 370615, 370623, 370631, 370639, 370647, 370655, 370663, 370671, 370679, 370687, 370695, 370703, 370711]"/>
    <s v="[353360, 1594196, 1615168, 1594205, 1615182, 1615190, 359294, 359295, 359304, 359313, 359321, 359328, 359336, 359343, 359351, 359358, 359367, 359375, 359382, 359389, 359397, 359403, 359411, 215642, 359423, 359430, 359436, 359442, 359448, 359454, 359462, 359468, 359475, 359481, 359487, 359495, 359505, 359513, 359523, 359534, 359543, 359553, 359562, 359570, 359575, 359583, 359589, 359596, 359602, 359612, 359621, 359628]"/>
    <s v="#FIELD!"/>
    <s v="[1055519, 353360, 1594196, 1615168, 1594205, 1615182, 1615190, 359294, 359295, 359304, 359313, 359321, 359328, 359336, 359343, 359351, 359358, 359367, 359375, 359382, 359389, 359397, 359403, 359411, 215642, 359423, 359430, 359436, 359442, 359448, 359454, 359462, 359468, 359475, 359481, 359487, 359495, 359505, 359513, 359523, 359534, 359543, 359553, 359562, 359570, 359575, 359583, 359589, 359596, 359602, 359612, 359621]"/>
    <s v="[0.04, 0.126, 0.025, 0.038, 0.048, 0.026, 0.05, 0.113, 0.032, 0.019, 0.037, 0.007, 0.017, 0.012, 0.07, 0.019, 0.039, 0.022, 0.017, 0.004, 0.049, 0.04, 0.047, 0.021, 0.015, 0.035, 0.005, 0.006, 0.003, 0.023, 0.028, 0.028, 0.044, 0.02, 0.015, 0.011, 0.038, 0.009, 0.14, 0.063, 0.016, 0.014, 0.043, 0.045, 0.044, 0.003, 0.079, 0.034, 0.137, 0.047, 0.035, 0.065]"/>
    <s v="8780.22009510957"/>
    <s v="[0.04, 0.126, 0.025, -0.038, -0.048, -0.026, -0.05, -0.113, 0.032, 0.019, 0.037, 0.007, 0.017, -0.012, -0.07, -0.019, -0.039, 0.022, -0.017, 0.004, -0.049, 0.04, 0.047, 0.021, -0.015, -0.035, -0.005, 0.006, -0.003, -0.023, -0.028, -0.028, -0.044, 0.02, 0.015, -0.011, 0.038, -0.009, -0.14, -0.063, -0.016, 0.014, -0.043, -0.045, 0.044, -0.003, 0.079, 0.034, -0.137, 0.047, 0.035, -0.065]"/>
  </r>
  <r>
    <x v="903"/>
    <x v="1230"/>
    <x v="0"/>
    <n v="0"/>
    <s v="LINESTRING (5.856358178078146 58.76934269256262, 5.855444260611747 58.76964617978614, 5.854007832819586 58.770040981267655, 5.853690770327165 58.7701241962507, 5.852335941053244 58.770481755893606, 5.852207616825615 58.77051504164928, 5.851916759063622 58.77059182381634, 5.851820186141733 58.770617143732615, 5.851722352414801 58.77064288838771, 5.849320144742763 58.77127761513323)"/>
    <s v="[371374, 371382, 371390, 371398, 371406, 371414, 371422, 371430, 371438]"/>
    <s v="[360326, 360337, 360347, 360357, 360368, 360378, 360384, 360392, 360401]"/>
    <s v="#FIELD!"/>
    <s v="[360325, 360326, 360337, 360347, 360357, 360368, 360378, 360384, 360392]"/>
    <s v="[0.131, 0.059, 0.02, 0.063, 0.088, 0.094, 0.089, 0.101, 0.047]"/>
    <s v="462.3728860418996"/>
    <s v="[-0.131, -0.059, -0.02, -0.063, -0.088, -0.094, -0.089, -0.101, -0.047]"/>
  </r>
  <r>
    <x v="903"/>
    <x v="1231"/>
    <x v="0"/>
    <n v="0"/>
    <s v="LINESTRING (5.857052622715437 58.769157505117754, 5.85696264658797 58.76917542184024, 5.856358178078146 58.76934269256262)"/>
    <s v="[422941, 422948]"/>
    <s v="[420772, 360325]"/>
    <s v="#FIELD!"/>
    <s v="[420669, 420772]"/>
    <s v="[0.058, 0.177]"/>
    <s v="46.15444064455237"/>
    <s v="[-0.058, -0.177]"/>
  </r>
  <r>
    <x v="903"/>
    <x v="1232"/>
    <x v="0"/>
    <n v="0"/>
    <s v="LINESTRING (5.856896194436544 58.7690720572215, 5.8568403549832215 58.769104574900794, 5.856358178078146 58.76934269256262)"/>
    <s v="[422949, 422964]"/>
    <s v="[420782, 360325]"/>
    <s v="#FIELD!"/>
    <s v="[420697, 420782]"/>
    <s v="[0.025, 0.157]"/>
    <s v="44.186053466630156"/>
    <s v="[-0.025, -0.157]"/>
  </r>
  <r>
    <x v="904"/>
    <x v="1233"/>
    <x v="0"/>
    <n v="0"/>
    <s v="LINESTRING (5.849320144742763 58.77127761513323, 5.8486327789562305 58.77143720526112, 5.847060557449382 58.77179513309184, 5.846973754154348 58.771795661399)"/>
    <s v="[1717808, 1717816, 1717821]"/>
    <s v="[1531329, 1531334, 1531303]"/>
    <s v="0.044582579363269884"/>
    <s v="[360401, 1531329, 1531334]"/>
    <s v="[0.026, 0.058, 0.058]"/>
    <s v="149.83216190864732"/>
    <s v="[0.026, 0.058, -0.058]"/>
  </r>
  <r>
    <x v="904"/>
    <x v="1234"/>
    <x v="0"/>
    <n v="0"/>
    <s v="LINESTRING (5.849320144742763 58.77127761513323, 5.847126977334742 58.771905413389185, 5.84704767183968 58.77193813648832)"/>
    <s v="[1717836, 1717837]"/>
    <s v="[1531348, 1531268]"/>
    <s v="0.07185229024609008"/>
    <s v="[360401, 1531348]"/>
    <s v="[0.071, 0.093]"/>
    <s v="151.71714985393191"/>
    <s v="[0.071, 0.093]"/>
  </r>
  <r>
    <x v="905"/>
    <x v="1235"/>
    <x v="0"/>
    <n v="0"/>
    <s v="LINESTRING (5.842436800793204 58.773657876880925, 5.841993694202978 58.773925289692436, 5.841622058821654 58.774199074543596, 5.841506016636051 58.77429674569076, 5.840785583635002 58.774946271962804, 5.840407342571205 58.775356442817525)"/>
    <s v="[1018134, 1018142, 1018150, 1018158, 1018166]"/>
    <s v="[974483, 974489, 974495, 974500, 360429]"/>
    <s v="#FIELD!"/>
    <s v="[360418, 974483, 974489, 974495, 974500]"/>
    <s v="[0.175, 0.033, 0.059, 0.039, 0.046]"/>
    <s v="224.8109283428273"/>
    <s v="[-0.175, 0.033, 0.059, 0.039, -0.046]"/>
  </r>
  <r>
    <x v="905"/>
    <x v="1235"/>
    <x v="0"/>
    <n v="0"/>
    <s v="LINESTRING (5.842436800793204 58.773657876880925, 5.842027377620092 58.77399074713156, 5.841664149921632 58.77429216663942, 5.8416145034481834 58.774330949676774, 5.841556476939699 58.77437534872382, 5.840828218218827 58.77501463852527, 5.840407342571205 58.775356442817525)"/>
    <s v="[1116495, 1116503, 1116511, 1116519, 1116527, 1116535]"/>
    <s v="[1055724, 1055729, 1055734, 1055741, 1055747, 360429]"/>
    <s v="#FIELD!"/>
    <s v="[360418, 1055724, 1055729, 1055734, 1055741, 1055747]"/>
    <s v="[0.143, 0.026, 0.06, 0.06, 0.038, 0.056]"/>
    <s v="223.85358740850327"/>
    <s v="[-0.143, 0.026, 0.06, 0.06, 0.038, -0.056]"/>
  </r>
  <r>
    <x v="905"/>
    <x v="1236"/>
    <x v="0"/>
    <n v="0"/>
    <s v="LINESTRING (5.845936710669313 58.772165094101425, 5.8450393394577755 58.772449198431964, 5.844977199650342 58.77247136752959, 5.844794727819399 58.77253479623899, 5.842436800793204 58.773657876880925)"/>
    <s v="[1717776, 1717784, 371446, 371454]"/>
    <s v="[1531314, 360409, 360410, 360418]"/>
    <s v="0.0024889174424346005"/>
    <s v="[672986, 1531314, 360409, 360410]"/>
    <s v="[0.187, 3.271, 0.002, 0.019]"/>
    <s v="264.2856944110712"/>
    <s v="[0.187, -3.271, 0.002, 0.019]"/>
  </r>
  <r>
    <x v="906"/>
    <x v="1237"/>
    <x v="0"/>
    <n v="0"/>
    <m/>
    <n v="371462"/>
    <n v="360430"/>
    <s v="#FIELD!"/>
    <n v="360429"/>
    <s v="0.008"/>
    <s v="206.54452774423063"/>
    <s v="#FIELD!"/>
  </r>
  <r>
    <x v="907"/>
    <x v="1238"/>
    <x v="0"/>
    <n v="0"/>
    <m/>
    <n v="371470"/>
    <n v="360436"/>
    <s v="#FIELD!"/>
    <n v="360430"/>
    <s v="0.001"/>
    <s v="123.27504218549456"/>
    <s v="#FIELD!"/>
  </r>
  <r>
    <x v="907"/>
    <x v="1239"/>
    <x v="0"/>
    <n v="0"/>
    <s v="LINESTRING (5.836191814351652 58.779133314433835, 5.836249934422428 58.7790884268753, 5.838584291730532 58.77708880620161, 5.838762377151538 58.77699585141757)"/>
    <s v="[1346882, 1346890, 1346898]"/>
    <s v="[1248137, 1248144, 360430]"/>
    <s v="#FIELD!"/>
    <s v="[1212998, 1248137, 1248144]"/>
    <s v="[0.027, 0.006, 0.24]"/>
    <s v="282.6781374027814"/>
    <s v="[0.027, 0.006, -0.24]"/>
  </r>
  <r>
    <x v="908"/>
    <x v="1240"/>
    <x v="0"/>
    <n v="0"/>
    <s v="LINESTRING (5.837782086064482 58.77797473790629, 5.837307984389792 58.77844394723961, 5.836498896600921 58.779199123345876, 5.836489193955957 58.77920663209216, 5.836379997067202 58.77928836482351, 5.834807722027441 58.780261699242885)"/>
    <s v="[371478, 371486, 371494, 371502, 371510]"/>
    <s v="[360444, 360454, 360463, 360471, 360482]"/>
    <s v="0.0010359938252984932"/>
    <s v="[360436, 360444, 360454, 360463, 360471]"/>
    <s v="[0.0, 0.009, 0.047, 0.009, 0.008]"/>
    <s v="310.16892021105537"/>
    <s v="[-0.0, -0.009, -0.047, 0.009, 0.008]"/>
  </r>
  <r>
    <x v="908"/>
    <x v="1241"/>
    <x v="0"/>
    <n v="0"/>
    <s v="LINESTRING (5.837782086064482 58.77797473790629, 5.837651819978227 58.77817708834109, 5.8369501023139865 58.77930519727013)"/>
    <s v="[1346842, 1346850]"/>
    <s v="[1248104, 1248111]"/>
    <s v="0.03981230120763735"/>
    <s v="[360436, 1248104]"/>
    <s v="[0.345, 0.015]"/>
    <s v="156.5662604594294"/>
    <s v="[0.345, -0.015]"/>
  </r>
  <r>
    <x v="909"/>
    <x v="1242"/>
    <x v="0"/>
    <n v="0"/>
    <m/>
    <n v="371518"/>
    <n v="360488"/>
    <s v="0.02"/>
    <n v="360482"/>
    <s v="0.02"/>
    <s v="103.18450937986208"/>
    <s v="0.02"/>
  </r>
  <r>
    <x v="909"/>
    <x v="1239"/>
    <x v="0"/>
    <n v="0"/>
    <s v="LINESTRING (5.834807722027441 58.780261699242885, 5.8350247290124715 58.78010422600254, 5.8361019072324165 58.7792091736887, 5.836150574581103 58.77916980701245, 5.836191814351652 58.779133314433835)"/>
    <s v="[1346946, 1346954, 1346962, 1346970]"/>
    <s v="[1248189, 1248197, 1248204, 1212998]"/>
    <s v="0.011615233151000258"/>
    <s v="[360482, 1248189, 1248197, 1248204]"/>
    <s v="[0.547, 0.088, 0.031, 0.03]"/>
    <s v="149.7557351330662"/>
    <s v="[0.547, -0.088, 0.031, 0.03]"/>
  </r>
  <r>
    <x v="910"/>
    <x v="1243"/>
    <x v="0"/>
    <n v="0"/>
    <m/>
    <n v="371526"/>
    <n v="360497"/>
    <s v="#FIELD!"/>
    <n v="360488"/>
    <s v="0.079"/>
    <s v="9.595950187002435"/>
    <s v="#FIELD!"/>
  </r>
  <r>
    <x v="910"/>
    <x v="1244"/>
    <x v="0"/>
    <n v="0"/>
    <s v="LINESTRING (5.836787833293348 58.77943063479007, 5.836701219202558 58.77946567524188, 5.8366487739743755 58.77948376509697, 5.836113808358567 58.77971319548748, 5.833705010693629 58.78077106921839, 5.8334120114728245 58.780832934547284)"/>
    <s v="[1346906, 1346914, 1346922, 1346930, 1346938]"/>
    <s v="[1248157, 1248163, 1248170, 1248175, 360488]"/>
    <s v="#FIELD!"/>
    <s v="[1248156, 1248157, 1248163, 1248170, 1248175]"/>
    <s v="[0.132, 0.129, 0.024, 0.086, 0.975]"/>
    <s v="251.88080766926709"/>
    <s v="[-0.132, -0.129, 0.024, 0.086, -0.975]"/>
  </r>
  <r>
    <x v="911"/>
    <x v="1245"/>
    <x v="0"/>
    <n v="0"/>
    <s v="LINESTRING (5.833277573959397 58.780882968585, 5.832921481827735 58.78101094783806, 5.8327525193755365 58.7810712648107, 5.832054854176239 58.78132086972963)"/>
    <s v="[371534, 371542, 371550]"/>
    <s v="[360504, 360513, 360525]"/>
    <s v="#FIELD!"/>
    <s v="[360497, 360504, 360513]"/>
    <s v="[0.067, 0.006, 0.003]"/>
    <s v="86.1726166537378"/>
    <s v="[-0.067, 0.006, -0.003]"/>
  </r>
  <r>
    <x v="911"/>
    <x v="1246"/>
    <x v="0"/>
    <n v="0"/>
    <s v="LINESTRING (5.830900762821302 58.78136592802724, 5.832863070673384 58.78097775045673, 5.833061628879552 58.7809185513047, 5.833277573959397 58.780882968585)"/>
    <s v="[1347098, 1347106, 1347114]"/>
    <s v="[1248318, 1248323, 360497]"/>
    <s v="0.02178542717067109"/>
    <s v="[1248312, 1248318, 1248323]"/>
    <s v="[0.136, 0.076, 1.192]"/>
    <s v="159.80415233101212"/>
    <s v="[0.136, 0.076, -1.192]"/>
  </r>
  <r>
    <x v="912"/>
    <x v="1247"/>
    <x v="0"/>
    <s v="[0, 0, 1]"/>
    <s v="LINESTRING (5.832054854176239 58.78132086972963, 5.830539693952493 58.78186167931515, 5.829851399695979 58.78210614483068, 5.829723300933312 58.78215114567236)"/>
    <s v="[371558, 371566, 371574]"/>
    <s v="[360534, 360542, 360550]"/>
    <s v="0.015080687840093261"/>
    <s v="[360525, 360534, 360542]"/>
    <s v="[0.025, 0.089, 0.093]"/>
    <s v="164.01722854355756"/>
    <s v="[-0.025, 0.089, 0.093]"/>
  </r>
  <r>
    <x v="912"/>
    <x v="1248"/>
    <x v="0"/>
    <n v="0"/>
    <s v="LINESTRING (5.832054854176239 58.78132086972963, 5.831877011144408 58.78141864110885, 5.830721356502108 58.782241037218405)"/>
    <s v="[1346994, 1347002]"/>
    <s v="[1248237, 1248246]"/>
    <s v="#FIELD!"/>
    <s v="[360525, 1248237]"/>
    <s v="[0.668, 0.088]"/>
    <s v="135.93589358294088"/>
    <s v="[0.668, -0.088]"/>
  </r>
  <r>
    <x v="913"/>
    <x v="1249"/>
    <x v="0"/>
    <s v="[1, 0]"/>
    <s v="LINESTRING (5.829723300933312 58.78215114567236, 5.829688712979778 58.78216395363367, 5.828538440629202 58.78257319116509)"/>
    <s v="[371582, 371590]"/>
    <s v="[360560, 360570]"/>
    <s v="0.02571484632136362"/>
    <s v="[360550, 360560]"/>
    <s v="[0.082, 0.024]"/>
    <s v="83.3575146030377"/>
    <s v="[0.082, 0.024]"/>
  </r>
  <r>
    <x v="913"/>
    <x v="1246"/>
    <x v="0"/>
    <n v="0"/>
    <s v="LINESTRING (5.829723300933312 58.78215114567236, 5.830006083247874 58.78200808000934, 5.830982696627785 58.7814511016535, 5.830900762821302 58.78136592802724)"/>
    <s v="[1850676, 1850678, 1850691]"/>
    <s v="[1620374, 1620376, 1248312]"/>
    <s v="#FIELD!"/>
    <s v="[360550, 1620374, 1620376]"/>
    <s v="[0.112, 0.017, 0.002]"/>
    <s v="124.35731897248252"/>
    <s v="[-0.112, -0.017, 0.002]"/>
  </r>
  <r>
    <x v="914"/>
    <x v="1250"/>
    <x v="0"/>
    <s v="[0, 0, 0, 0, 0, 0, 0, 1, 0]"/>
    <s v="LINESTRING (5.828538440629202 58.78257319116509, 5.824774133025787 58.783912917078105, 5.824757499867281 58.78391898839096, 5.824707619792256 58.78393719467444, 5.823186164473853 58.78447743999197, 5.82313873403805 58.78449467399107, 5.822823890894576 58.7846071556973, 5.815741321384609 58.787856576301756, 5.815581579489387 58.78792742906402, 5.807656832435916 58.78950495149883)"/>
    <s v="[371598, 371606, 371614, 371622, 371630, 371638, 371646, 371654, 371662]"/>
    <s v="[360581, 360590, 360600, 360609, 360618, 360628, 360636, 360644, 360654]"/>
    <s v="#FIELD!"/>
    <s v="[360570, 360581, 360590, 360600, 360609, 360618, 360628, 360636, 360644]"/>
    <s v="[0.013, 0.034, 0.072, 0.081, 0.058, 0.037, 0.005, 0.029, 0.015]"/>
    <s v="1461.8645851754823"/>
    <s v="[0.013, -0.034, -0.072, -0.081, -0.058, -0.037, 0.005, -0.029, -0.015]"/>
  </r>
  <r>
    <x v="914"/>
    <x v="1248"/>
    <x v="0"/>
    <s v="[0, 0, 1, 0, 0]"/>
    <s v="LINESTRING (5.830721356502108 58.782241037218405, 5.830744733786239 58.782161026579274, 5.829904690688498 58.78214825566568, 5.8297528213415495 58.78220242181467, 5.828758218055935 58.78252685829009, 5.828538440629202 58.78257319116509)"/>
    <s v="[1850486, 1850487, 1850488, 1850496, 1850547]"/>
    <s v="[1620205, 1620206, 1620207, 1620213, 360570]"/>
    <s v="0.030980605971650317"/>
    <s v="[1248246, 1620205, 1620206, 1620207, 1620213]"/>
    <s v="[0.01, 0.012, 0.017, 0.041, 0.114]"/>
    <s v="170.31913520768614"/>
    <s v="[-0.01, 0.012, 0.017, 0.041, 0.114]"/>
  </r>
  <r>
    <x v="915"/>
    <x v="1251"/>
    <x v="0"/>
    <s v="[0, 0, 1, 0]"/>
    <s v="LINESTRING (5.807656832435916 58.78950495149883, 5.807023609681583 58.78971777435673, 5.8050231032881 58.790533328640535, 5.804845279764414 58.79061270960287, 5.802823568305327 58.79163057700389)"/>
    <s v="[371670, 371678, 371686, 371694]"/>
    <s v="[360665, 360673, 360683, 360691]"/>
    <s v="0.006156373430494922"/>
    <s v="[360654, 360665, 360673, 360683]"/>
    <s v="[0.002, 0.068, 0.038, 0.079]"/>
    <s v="368.31865401979707"/>
    <s v="[-0.002, -0.068, -0.038, 0.079]"/>
  </r>
  <r>
    <x v="915"/>
    <x v="1252"/>
    <x v="0"/>
    <s v="[0, 0, 1, 0]"/>
    <s v="LINESTRING (5.807656832435916 58.78950495149883, 5.807402585430202 58.78962549411045, 5.80502481243692 58.790592181689206, 5.804843862026872 58.790676759187264, 5.804709376198063 58.791106847419535)"/>
    <s v="[1850816, 1850823, 1850824, 1850832]"/>
    <s v="[1620507, 1620514, 1620515, 1620526]"/>
    <s v="0.07814888371626992"/>
    <s v="[360654, 1620507, 1620514, 1620515]"/>
    <s v="[0.398, 0.031, 0.185, 0.215]"/>
    <s v="291.4113806586505"/>
    <s v="[0.398, -0.031, 0.185, 0.215]"/>
  </r>
  <r>
    <x v="916"/>
    <x v="1253"/>
    <x v="0"/>
    <n v="0"/>
    <m/>
    <n v="371702"/>
    <n v="360699"/>
    <s v="#FIELD!"/>
    <n v="360691"/>
    <s v="0.317"/>
    <s v="56.811916118106524"/>
    <s v="#FIELD!"/>
  </r>
  <r>
    <x v="916"/>
    <x v="1254"/>
    <x v="0"/>
    <n v="0"/>
    <s v="LINESTRING (5.802823568305327 58.79163057700389, 5.802988647370864 58.79148697993674, 5.805129759082129 58.79012957534561, 5.805287076932757 58.79009828870331)"/>
    <s v="[1851007, 1851009, 1851014]"/>
    <s v="[1620676, 1620677, 1176971]"/>
    <s v="0.18013959197739382"/>
    <s v="[360691, 1620676, 1620677]"/>
    <s v="[2.124, 0.003, 0.033]"/>
    <s v="225.36866797932407"/>
    <s v="[2.124, 0.003, 0.033]"/>
  </r>
  <r>
    <x v="917"/>
    <x v="1255"/>
    <x v="0"/>
    <n v="0"/>
    <s v="LINESTRING (5.802147538352599 58.79199853956664, 5.801901505553958 58.79213328899414, 5.7983516515039115 58.794079583955025, 5.797731607753298 58.79441891782408, 5.7953383929625115 58.7956132311283, 5.79474000477024 58.79579387459105, 5.792753863760388 58.796088721641986, 5.792226026482626 58.79610364956928, 5.786560617598493 58.79626128139604, 5.785881198977947 58.796421720367, 5.78442590363175 58.796936847422515, 5.7823284109674375 58.79864434772136, 5.782021440122329 58.799401138853774, 5.781758809762185 58.80037548782541, 5.781669315278977 58.80069930508012)"/>
    <s v="[371710, 371718, 371726, 371734, 371742, 371750, 371758, 371766, 371774, 371782, 371790, 371798, 371806, 371814]"/>
    <s v="[360709, 360717, 360725, 360734, 360744, 360754, 360763, 360771, 360781, 360789, 360799, 360812, 360821, 360832]"/>
    <s v="#FIELD!"/>
    <s v="[360699, 360709, 360717, 360725, 360734, 360744, 360754, 360763, 360771, 360781, 360789, 360799, 360812, 360821]"/>
    <s v="[0.31, 0.053, 0.093, 0.033, 0.086, 0.094, 0.002, 0.009, 0.014, 0.018, 0.035, 0.003, 0.011, 0.024]"/>
    <s v="1696.6310870350376"/>
    <s v="[0.31, 0.053, -0.093, -0.033, -0.086, -0.094, -0.002, -0.009, 0.014, 0.018, -0.035, 0.003, 0.011, -0.024]"/>
  </r>
  <r>
    <x v="917"/>
    <x v="1252"/>
    <x v="0"/>
    <n v="0"/>
    <s v="LINESTRING (5.804709376198063 58.791106847419535, 5.804687607680661 58.791144216510716, 5.802557471336766 58.79182306730653, 5.802147538352599 58.79199853956664)"/>
    <s v="[1850985, 1850986, 1851001]"/>
    <s v="[1620656, 1620657, 360699]"/>
    <s v="#FIELD!"/>
    <s v="[1620526, 1620656, 1620657]"/>
    <s v="[8.234, 0.135, 1.754]"/>
    <s v="185.2083522713243"/>
    <s v="[8.234, -0.135, -1.754]"/>
  </r>
  <r>
    <x v="918"/>
    <x v="1256"/>
    <x v="0"/>
    <n v="0"/>
    <s v="LINESTRING (5.781669315278977 58.80069930508012, 5.781285986021673 58.80202092150628, 5.781266441540916 58.80211610539958, 5.7812486909081136 58.80220087383537, 5.7812451260581685 58.802216086180515, 5.781236279377906 58.80225390490125, 5.781184221792787 58.8024754965716, 5.781168925082043 58.80253918073402, 5.781081906765748 58.802801236699985, 5.780965235589466 58.80321661618586, 5.780962829611404 58.80322547858399, 5.780828118578391 58.80381838475799)"/>
    <s v="[1018214, 1018222, 1018230, 1018238, 1018246, 1018254, 1018262, 1018270, 1018278, 1018286, 1018294]"/>
    <s v="[974535, 974539, 974546, 974551, 974555, 974560, 974565, 974572, 974578, 974581, 360841]"/>
    <s v="#FIELD!"/>
    <s v="[360832, 974535, 974539, 974546, 974551, 974555, 974560, 974565, 974572, 974578, 974581]"/>
    <s v="[0.025, 0.018, 0.014, 0.023, 0.01, 0.011, 0.01, 0.002, 0.004, 0.053, 0.009]"/>
    <s v="352.27532369444214"/>
    <s v="[-0.025, -0.018, -0.014, -0.023, -0.01, -0.011, -0.01, -0.002, 0.004, 0.053, -0.009]"/>
  </r>
  <r>
    <x v="918"/>
    <x v="1256"/>
    <x v="0"/>
    <n v="0"/>
    <s v="LINESTRING (5.781669315278977 58.80069930508012, 5.7814145488521556 58.802030454647934, 5.781404880258979 58.802069849621894, 5.781382371863426 58.802157889588536, 5.781362697629903 58.802241453231716, 5.781354498667789 58.80227815300951, 5.781305677703561 58.802483614164245, 5.781284901236762 58.802554764639, 5.781205986489273 58.802809118687556, 5.781069941864149 58.80322408738014, 5.781067025780501 58.80323290399338, 5.780828118578391 58.80381838475799)"/>
    <s v="[1116543, 1116551, 1116559, 1116575, 1116583, 1116591, 1116599, 1116607, 1116615, 1116623, 1116631]"/>
    <s v="[1055755, 1055759, 1055765, 1055776, 1055780, 1055789, 1055796, 1055804, 1055809, 1055816, 360841]"/>
    <s v="#FIELD!"/>
    <s v="[360832, 1055755, 1055759, 1055765, 1055776, 1055780, 1055789, 1055796, 1055804, 1055809, 1055816]"/>
    <s v="[0.025, 0.023, 0.022, 0.018, 0.02, 0.016, 0.009, 0.009, 0.002, 0.011, 0.001]"/>
    <s v="352.6282709985063"/>
    <s v="[-0.025, -0.023, -0.022, -0.018, -0.02, -0.016, -0.009, -0.009, 0.002, -0.011, 0.001]"/>
  </r>
  <r>
    <x v="919"/>
    <x v="1257"/>
    <x v="93"/>
    <s v="[0, 0, 0, 0, 0, 0, 1, 0, 0, 0, 0, 0, 0, 0]"/>
    <s v="LINESTRING (5.780828118578391 58.80381838475799, 5.776524531591088 58.80806894988273, 5.77645411892767 58.8080962141076, 5.776440285457479 58.80810156924128, 5.775707811327883 58.808383858642, 5.773335861093841 58.80929449306881, 5.769546788832951 58.81190682004194, 5.769414954937582 58.812060861301035, 5.7688616728827435 58.812711270609356, 5.768667600674527 58.812937049168845, 5.768564856970077 58.81305706264352, 5.7683191512844685 58.81334211491764, 5.766814643289226 58.815095030100466, 5.766718775460401 58.81520532817298, 5.766447510141671 58.815520359062155)"/>
    <s v="[371822, 371830, 371838, 371846, 371854, 371862, 371870, 371878, 371886, 371894, 371902, 371910, 371918, 371926]"/>
    <s v="[360842, 360852, 360863, 360873, 360886, 360896, 360906, 360915, 360925, 360934, 360940, 360945, 360950, 360954]"/>
    <s v="#FIELD!"/>
    <s v="[360841, 360842, 360852, 360863, 360873, 360886, 360896, 360906, 360915, 360925, 360934, 360940, 360945, 360950]"/>
    <s v="[0.004, 0.043, 0.063, 0.014, 0.023, 0.032, 0.024, 0.028, 0.004, 0.007, 0.012, 0.001, 0.002, 0.007]"/>
    <s v="1602.7313029458248"/>
    <s v="[0.004, -0.043, 0.063, -0.014, 0.023, -0.032, -0.024, -0.028, 0.004, 0.007, 0.012, -0.001, -0.002, -0.007]"/>
  </r>
  <r>
    <x v="920"/>
    <x v="1258"/>
    <x v="0"/>
    <n v="0"/>
    <s v="LINESTRING (5.766447510141671 58.815520359062155, 5.7654214534763915 58.81663040249219, 5.764845899233289 58.817315908150114, 5.764838665723398 58.81732436796932, 5.76418513519115 58.818095653455075, 5.762242926889968 58.81975519141862)"/>
    <s v="[1375872, 1375880, 1375888, 1375896, 1375904]"/>
    <s v="[1267556, 1267561, 1267567, 1267572, 1267545]"/>
    <s v="#FIELD!"/>
    <s v="[360954, 1267556, 1267561, 1267567, 1267572]"/>
    <s v="[0.015, 0.017, 0.005, 0.0, 0.025]"/>
    <s v="534.7596012256635"/>
    <s v="[0.015, 0.017, -0.005, -0.0, -0.025]"/>
  </r>
  <r>
    <x v="920"/>
    <x v="1259"/>
    <x v="0"/>
    <n v="0"/>
    <s v="LINESTRING (5.766447510141671 58.815520359062155, 5.765525071826455 58.81665416134622, 5.7649401476361675 58.81733843109724, 5.764932909389183 58.81734690865113, 5.762314124623913 58.819789624558666, 5.761695847017413 58.82011982392612, 5.760669117535083 58.82056019890678)"/>
    <s v="[1376125, 1376141, 1376155, 1376156, 1376158, 1376171]"/>
    <s v="[1267780, 1267790, 1267802, 1267803, 1267804, 1267547]"/>
    <s v="#FIELD!"/>
    <s v="[360954, 1267780, 1267790, 1267802, 1267803, 1267804]"/>
    <s v="[0.015, 0.016, 0.015, 0.018, 0.003, 0.007]"/>
    <s v="665.5752097587558"/>
    <s v="[0.015, 0.016, 0.015, -0.018, 0.003, 0.007]"/>
  </r>
  <r>
    <x v="921"/>
    <x v="1260"/>
    <x v="0"/>
    <n v="0"/>
    <s v="LINESTRING (5.721063336821023 58.87369920085804, 5.721093021755907 58.87371379427291, 5.721113600921702 58.873728505330455)"/>
    <s v="[1352015, 1352023]"/>
    <s v="[1131054, 1251840]"/>
    <s v="0.004"/>
    <s v="[361356, 1131054]"/>
    <s v="0.004"/>
    <s v="4.398212184380372"/>
    <s v="0.004"/>
  </r>
  <r>
    <x v="921"/>
    <x v="1261"/>
    <x v="0"/>
    <n v="0"/>
    <s v="LINESTRING (5.718404326743006 58.87152845613467, 5.718746867463849 58.8718171431537, 5.7210369501511185 58.87362884636689, 5.721063336821023 58.87369920085804)"/>
    <s v="[1435709, 372326, 372334]"/>
    <s v="[361349, 361350, 361356]"/>
    <s v="0.002316848980452704"/>
    <s v="[1055926, 361349, 361350]"/>
    <s v="[0.002, 0.003, 0.002]"/>
    <s v="289.9787959948192"/>
    <s v="[-0.002, 0.003, 0.002]"/>
  </r>
  <r>
    <x v="921"/>
    <x v="1262"/>
    <x v="0"/>
    <n v="0"/>
    <m/>
    <n v="1352007"/>
    <n v="361356"/>
    <s v="0.005"/>
    <n v="1251827"/>
    <s v="0.005"/>
    <s v="12.973846622839172"/>
    <s v="0.005"/>
  </r>
  <r>
    <x v="922"/>
    <x v="1263"/>
    <x v="0"/>
    <s v="[0, 1, 0]"/>
    <s v="LINESTRING (5.71800397886735 58.87405682414012, 5.719041897910932 58.87369645142115, 5.720030941228698 58.8737301429007, 5.720178096315266 58.87373447636563)"/>
    <s v="[372350, 372358, 372366]"/>
    <s v="[361370, 361378, 361383]"/>
    <s v="0.0016805657976058323"/>
    <s v="[361363, 361370, 361378]"/>
    <s v="[0.001, 0.005, 0.005]"/>
    <s v="147.4675907831557"/>
    <s v="[-0.001, 0.005, 0.005]"/>
  </r>
  <r>
    <x v="922"/>
    <x v="1264"/>
    <x v="0"/>
    <n v="0"/>
    <s v="LINESTRING (5.71800397886735 58.87405682414012, 5.7181197395923 58.87421612325913, 5.719353028747837 58.87412722068844, 5.719357682528664 58.87411858442005, 5.7193667851035634 58.87375342238626, 5.719345473391333 58.87365789746119, 5.718348993761994 58.87177205144028, 5.718194382426881 58.87156927253416)"/>
    <s v="[2099226, 2099233, 2099241, 2099249, 2099257, 2099261, 1435879]"/>
    <s v="[1815247, 1815253, 1815257, 1815263, 1815267, 1305654, 974682]"/>
    <s v="#FIELD!"/>
    <s v="[361363, 1815247, 1815253, 1815257, 1815263, 1815267, 1305654]"/>
    <s v="[0.033, 0.006, 0.007, 0.0, 0.001, 0.002, 0.0]"/>
    <s v="409.0842968367485"/>
    <s v="[0.033, -0.006, -0.007, 0.0, 0.001, -0.002, -0.0]"/>
  </r>
  <r>
    <x v="922"/>
    <x v="1265"/>
    <x v="0"/>
    <n v="0"/>
    <s v="LINESTRING (5.718694780154696 58.87708716046317, 5.718701237138104 58.87701804593901, 5.718819769427152 58.87675372545997, 5.71800397886735 58.87405682414012)"/>
    <s v="[1435717, 1435725, 372342]"/>
    <s v="[1305542, 361362, 361363]"/>
    <s v="0.009487872444668834"/>
    <s v="[974734, 1305542, 361362]"/>
    <s v="[0.031, 0.031, 0.007]"/>
    <s v="367.0819178986633"/>
    <s v="[0.031, 0.031, 0.007]"/>
  </r>
  <r>
    <x v="923"/>
    <x v="1262"/>
    <x v="0"/>
    <n v="0"/>
    <s v="LINESTRING (5.720178096315266 58.87373447636563, 5.720684929203078 58.87369902072907, 5.720849986794098 58.87368739917896)"/>
    <s v="[1435789, 1435798]"/>
    <s v="[1305582, 1251827]"/>
    <s v="0.004245683141003658"/>
    <s v="[361383, 1305582]"/>
    <s v="[0.004, 0.005]"/>
    <s v="39.23270139384295"/>
    <s v="[0.004, 0.005]"/>
  </r>
  <r>
    <x v="923"/>
    <x v="1266"/>
    <x v="0"/>
    <n v="0"/>
    <s v="LINESTRING (5.720178096315266 58.87373447636563, 5.720638378223669 58.87380999852588, 5.7207400995169895 58.87381353464627)"/>
    <s v="[2018893, 2018901]"/>
    <s v="[1764051, 1251880]"/>
    <s v="0.005318182056635586"/>
    <s v="[361383, 1764051]"/>
    <s v="[0.036, 0.201]"/>
    <s v="33.83798164051964"/>
    <s v="[-0.036, 0.201]"/>
  </r>
  <r>
    <x v="924"/>
    <x v="1267"/>
    <x v="0"/>
    <n v="0"/>
    <m/>
    <n v="372637"/>
    <n v="361634"/>
    <s v="#FIELD!"/>
    <n v="361633"/>
    <s v="0.0"/>
    <s v="24.80972645000095"/>
    <s v="#FIELD!"/>
  </r>
  <r>
    <x v="924"/>
    <x v="1268"/>
    <x v="0"/>
    <n v="0"/>
    <s v="LINESTRING (5.29815412008093 59.39733171591006, 5.2982601851958915 59.39723884295161, 5.298121569987856 59.397093740888955)"/>
    <s v="[379692, 379702]"/>
    <s v="[368833, 368845]"/>
    <s v="#FIELD!"/>
    <s v="[361633, 368833]"/>
    <s v="[0.068, 0.011]"/>
    <s v="30.736600105716438"/>
    <s v="[-0.068, 0.011]"/>
  </r>
  <r>
    <x v="924"/>
    <x v="1269"/>
    <x v="0"/>
    <n v="0"/>
    <m/>
    <n v="1279610"/>
    <n v="361633"/>
    <s v="#FIELD!"/>
    <n v="1194001"/>
    <s v="0.031"/>
    <s v="77.14261403690861"/>
    <s v="#FIELD!"/>
  </r>
  <r>
    <x v="925"/>
    <x v="1270"/>
    <x v="0"/>
    <n v="0"/>
    <s v="LINESTRING (5.2979748257521395 59.39713302702453, 5.297976124775702 59.397080592074616, 5.297993983725937 59.39704064069799)"/>
    <s v="[372645, 372653]"/>
    <s v="[361643, 361651]"/>
    <s v="0.002"/>
    <s v="[361634, 361643]"/>
    <s v="0.002"/>
    <s v="10.44106812478722"/>
    <s v="0.002"/>
  </r>
  <r>
    <x v="925"/>
    <x v="1271"/>
    <x v="0"/>
    <s v="[0, 1, 0, 0, 0, 0]"/>
    <s v="LINESTRING (5.2979748257521395 59.39713302702453, 5.297406260339146 59.397229921836946, 5.29714778534101 59.397253026212894, 5.296992629871522 59.39726399849653, 5.296048810783149 59.397314626938446, 5.295556384603502 59.397357443749016, 5.295408072563812 59.39736706495291)"/>
    <s v="[1440819, 1440827, 1440835, 1440843, 1440851, 1440859]"/>
    <s v="[1309011, 1309014, 1309018, 1309021, 1309025, 1177175]"/>
    <s v="#FIELD!"/>
    <s v="[361634, 1309011, 1309014, 1309018, 1309021, 1309025]"/>
    <s v="[0.022, 0.001, 0.002, 0.003, 0.003, 0.014]"/>
    <s v="149.14499595560693"/>
    <s v="[-0.022, 0.001, 0.002, 0.003, 0.003, -0.014]"/>
  </r>
  <r>
    <x v="925"/>
    <x v="1268"/>
    <x v="0"/>
    <n v="0"/>
    <s v="LINESTRING (5.298121569987856 59.397093740888955, 5.298078406568899 59.397108127010334, 5.2979748257521395 59.39713302702453)"/>
    <s v="[1440803, 1440811]"/>
    <s v="[1309002, 361634]"/>
    <s v="0.06622566330296092"/>
    <s v="[368845, 1309002]"/>
    <s v="[0.011, 0.101]"/>
    <s v="9.466313332782349"/>
    <s v="[-0.011, 0.101]"/>
  </r>
  <r>
    <x v="926"/>
    <x v="1272"/>
    <x v="0"/>
    <s v="[0, 1, 0, 0, 0, 0, 0]"/>
    <s v="LINESTRING (5.297993983725937 59.39704064069799, 5.2974142170296075 59.39714421886183, 5.297091031534698 59.39718546357468, 5.296963610811223 59.39719815566896, 5.296921182104397 59.39720255851584, 5.296026879735859 59.39725562807907, 5.295564645103052 59.39724686720595, 5.29545694865665 59.397244362583415)"/>
    <s v="[380824, 380831, 380838, 380839, 380845, 380847, 380848]"/>
    <s v="[369905, 369909, 369920, 369921, 369931, 369934, 369935]"/>
    <s v="#FIELD!"/>
    <s v="[361651, 369905, 369909, 369920, 369921, 369931, 369934]"/>
    <s v="[0.018, 0.001, 0.001, 0.002, 0.002, 0.004, 0.004]"/>
    <s v="147.7721726337411"/>
    <s v="[-0.018, -0.001, 0.001, 0.002, 0.002, 0.004, 0.004]"/>
  </r>
  <r>
    <x v="926"/>
    <x v="1268"/>
    <x v="0"/>
    <n v="0"/>
    <m/>
    <n v="379710"/>
    <n v="361651"/>
    <s v="0.069"/>
    <n v="368845"/>
    <s v="0.069"/>
    <s v="9.386823211332295"/>
    <s v="0.069"/>
  </r>
  <r>
    <x v="926"/>
    <x v="1273"/>
    <x v="0"/>
    <n v="0"/>
    <s v="LINESTRING (5.298972269329236 59.39677131411503, 5.298125200958554 59.397010055547526, 5.297993983725937 59.39704064069799)"/>
    <s v="[380806, 380823]"/>
    <s v="[369882, 361651]"/>
    <s v="#FIELD!"/>
    <s v="[369881, 369882]"/>
    <s v="[0.017, 0.061]"/>
    <s v="63.67876416261476"/>
    <s v="[-0.017, 0.061]"/>
  </r>
  <r>
    <x v="927"/>
    <x v="860"/>
    <x v="0"/>
    <s v="[0, 1, 0, 0]"/>
    <s v="LINESTRING (11.112627115762164 60.803684457193626, 11.111147241980081 60.80477759278521, 11.110571793032507 60.80520721333823, 11.10810822406111 60.80706152394082, 11.103611818339356 60.810486481991695)"/>
    <s v="[375351, 373467, 373668, 373772]"/>
    <s v="[362491, 362492, 362684, 361995]"/>
    <s v="0.0033078972633356625"/>
    <s v="[361978, 362491, 362492, 362684]"/>
    <s v="[0.005, 0.005, 0.008, 0.0]"/>
    <s v="903.0761675319375"/>
    <s v="[0.005, 0.005, 0.008, -0.0]"/>
  </r>
  <r>
    <x v="927"/>
    <x v="853"/>
    <x v="0"/>
    <s v="[0, 1, 0, 0]"/>
    <s v="LINESTRING (11.121146970535554 60.796132271202964, 11.120190903421095 60.7972661182216, 11.119911990021347 60.79759939689566, 11.117471533749388 60.80007695233428, 11.112627115762164 60.803684457193626)"/>
    <s v="[375077, 373868, 372942, 372950]"/>
    <s v="[362889, 361968, 361969, 361978]"/>
    <s v="0.010370240265007451"/>
    <s v="[362485, 362889, 361968, 361969]"/>
    <s v="[0.014, 0.015, 0.015, 0.006]"/>
    <s v="964.3912672787458"/>
    <s v="[0.014, 0.015, 0.015, 0.006]"/>
  </r>
  <r>
    <x v="928"/>
    <x v="868"/>
    <x v="0"/>
    <n v="0"/>
    <s v="LINESTRING (11.085150110895322 60.830829373061725, 11.084384470077753 60.83118963337997, 11.077887644062496 60.83339345879384, 11.072812530838705 60.83583772322116)"/>
    <s v="[374628, 374540, 374548]"/>
    <s v="[363400, 363401, 362114]"/>
    <s v="0.01676563306549212"/>
    <s v="[361987, 363400, 363401]"/>
    <s v="[0.006, 0.018, 0.017]"/>
    <s v="877.5521044010868"/>
    <s v="[0.006, 0.018, 0.017]"/>
  </r>
  <r>
    <x v="928"/>
    <x v="860"/>
    <x v="0"/>
    <n v="0"/>
    <s v="LINESTRING (11.103611818339356 60.810486481991695, 11.099042747891232 60.81423026708608, 11.090042007241504 60.82367756125585, 11.089262379334967 60.82599175766687, 11.085150110895322 60.830829373061725)"/>
    <s v="[372966, 372974, 374316, 372958]"/>
    <s v="[361996, 362004, 361986, 361987]"/>
    <s v="0.0013480970609706679"/>
    <s v="[361995, 361996, 362004, 361986]"/>
    <s v="[0.0, 0.004, 0.002, 0.003]"/>
    <s v="2506.7335163556636"/>
    <s v="[0.0, 0.004, 0.002, -0.003]"/>
  </r>
  <r>
    <x v="929"/>
    <x v="1274"/>
    <x v="0"/>
    <n v="0"/>
    <s v="LINESTRING (11.089957784941461 60.8232301717331, 11.089957784941461 60.8232301717331, 11.093883640529473 60.818868856965736, 11.094224968051101 60.81856569363153, 11.094962691266796 60.8178529003911, 11.097212050347906 60.814917158610676, 11.097228100846241 60.81486809556789)"/>
    <s v="[372990, 138030, 138038, 375551, 374188, 373844]"/>
    <s v="[155210, 155211, 155220, 363159, 362864, 362865]"/>
    <s v="#FIELD!"/>
    <s v="[362021, 155210, 155211, 155220, 363159, 362864]"/>
    <s v="[0.0, 0.006, 0.0, 0.0, 0.002, 0.003]"/>
    <s v="1294.4482886144544"/>
    <s v="[0.0, -0.006, -0.0, -0.0, -0.002, -0.003]"/>
  </r>
  <r>
    <x v="930"/>
    <x v="1275"/>
    <x v="0"/>
    <n v="0"/>
    <s v="LINESTRING (11.492300311355145 64.04664699739695, 11.493292187717145 64.04760805351609, 11.492750652859316 64.0525475476716, 11.492595869831138 64.05265086789178, 11.492513853149342 64.05270619867825, 11.492232006784336 64.05289019352006, 11.491836395850694 64.05314708868087, 11.491762318599342 64.05319731905318, 11.49162000310211 64.0532924402663, 11.490553595495618 64.05435183843795, 11.490417676833241 64.0548504212193, 11.490417329085894 64.05494115487693, 11.491059304288923 64.05694880975508, 11.491340006257103 64.05792325838668, 11.491350757266748 64.0579610366987, 11.49137606795587 64.05805033253465)"/>
    <s v="[635274, 635282, 635290, 635298, 635306, 635314, 635322, 635330, 635338, 635346, 635354, 635362, 635370, 635378, 635386]"/>
    <s v="[528159, 434633, 630395, 630404, 630411, 630422, 630430, 630439, 630444, 630450, 630457, 630464, 630470, 630477, 630485]"/>
    <s v="0.00047715613732465806"/>
    <s v="[362159, 528159, 434633, 630395, 630404, 630411, 630422, 630430, 630439, 630444, 630450, 630457, 630464, 630470, 630477]"/>
    <s v="[0.004, 0.006, 0.02, 0.018, 0.01, 0.004, 0.004, 0.014, 0.019, 0.023, 0.026, 0.003, 0.003, 0.004, 0.003]"/>
    <s v="1347.1844610568328"/>
    <s v="[-0.004, -0.006, 0.02, 0.018, 0.01, 0.004, 0.004, 0.014, 0.019, 0.023, 0.026, -0.003, 0.003, -0.004, -0.003]"/>
  </r>
  <r>
    <x v="930"/>
    <x v="1276"/>
    <x v="0"/>
    <n v="0"/>
    <s v="LINESTRING (11.489286297328302 64.04329604209688, 11.489945569654159 64.04392350888132, 11.491477130802803 64.04568707975608, 11.491773863359649 64.04604347011917, 11.49187555172912 64.0461494352833, 11.492300311355145 64.04664699739695)"/>
    <s v="[625041, 625049, 625057, 373119, 373127]"/>
    <s v="[621900, 621907, 362150, 362151, 362159]"/>
    <s v="0.015097579515302125"/>
    <s v="[621894, 621900, 621907, 362150, 362151]"/>
    <s v="[0.022, 0.02, 0.035, 0.031, 0.021]"/>
    <s v="402.1230859704338"/>
    <s v="[0.022, 0.02, -0.035, 0.031, 0.021]"/>
  </r>
  <r>
    <x v="930"/>
    <x v="1277"/>
    <x v="0"/>
    <n v="0"/>
    <s v="LINESTRING (11.489809375651802 64.04394181544295, 11.491343068795183 64.04570809877075, 11.49166345591375 64.0460708737355, 11.491753029171102 64.04616557642498, 11.492300311355145 64.04664699739695)"/>
    <s v="[681801, 681816, 373167, 373175]"/>
    <s v="[672852, 362193, 362194, 362159]"/>
    <s v="0.014241506161119714"/>
    <s v="[622414, 672852, 362193, 362194]"/>
    <s v="[0.022, 0.044, 0.014, 0.029]"/>
    <s v="326.06378545511166"/>
    <s v="[0.022, -0.044, 0.014, 0.029]"/>
  </r>
  <r>
    <x v="931"/>
    <x v="1278"/>
    <x v="0"/>
    <n v="0"/>
    <s v="LINESTRING (11.07702882768332 60.83302227415299, 11.07707812095997 60.833064795650316, 11.07729227584873 60.833219556777316)"/>
    <s v="[373142, 373150]"/>
    <s v="[362174, 362181]"/>
    <s v="#FIELD!"/>
    <s v="[362173, 362174]"/>
    <s v="0.024"/>
    <s v="26.257980822969724"/>
    <s v="#FIELD!"/>
  </r>
  <r>
    <x v="931"/>
    <x v="869"/>
    <x v="0"/>
    <n v="0"/>
    <s v="LINESTRING (11.07702882768332 60.83302227415299, 11.076963462441919 60.83307924279934, 11.076863620701298 60.833115517274074)"/>
    <s v="[374380, 374388]"/>
    <s v="[363300, 363306]"/>
    <s v="0.0041937632557688285"/>
    <s v="[362173, 363300]"/>
    <s v="[0.004, 0.013]"/>
    <s v="14.047443311433405"/>
    <s v="[-0.004, 0.013]"/>
  </r>
  <r>
    <x v="932"/>
    <x v="1279"/>
    <x v="0"/>
    <s v="[0, 1, 0]"/>
    <s v="LINESTRING (11.07729227584873 60.833219556777316, 11.077345109888313 60.833242225622485, 11.078272417548494 60.83364093871532, 11.078458056184939 60.8337219621477)"/>
    <s v="[374436, 374444, 374452]"/>
    <s v="[363337, 363342, 362663]"/>
    <s v="#FIELD!"/>
    <s v="[362181, 363337, 363342]"/>
    <s v="[0.025, 0.022, 0.02]"/>
    <s v="84.5972048795929"/>
    <s v="[-0.025, -0.022, -0.02]"/>
  </r>
  <r>
    <x v="932"/>
    <x v="869"/>
    <x v="0"/>
    <n v="0"/>
    <s v="LINESTRING (11.076863620701298 60.833115517274074, 11.076948917706785 60.83313625866688, 11.07729227584873 60.833219556777316)"/>
    <s v="[375327, 375335]"/>
    <s v="[364167, 362181]"/>
    <s v="#FIELD!"/>
    <s v="[363306, 364167]"/>
    <s v="[0.035, 0.025]"/>
    <s v="26.042146482236046"/>
    <s v="[-0.035, -0.025]"/>
  </r>
  <r>
    <x v="933"/>
    <x v="864"/>
    <x v="0"/>
    <n v="0"/>
    <s v="LINESTRING (11.095134722381156 60.81846736918729, 11.09026294801554 60.82371277321538, 11.089501349708991 60.825997382391186, 11.085410135245471 60.83095408663922, 11.08463885903856 60.83130743317035, 11.083821942418554 60.83162913234303)"/>
    <s v="[373302, 374820, 374828, 374836, 374332]"/>
    <s v="[362323, 363681, 363690, 363262, 362779]"/>
    <s v="0.0019138331898866572"/>
    <s v="[362201, 362323, 363681, 363690, 363262]"/>
    <s v="[0.004, 0.003, 0.003, 0.003, 0.025]"/>
    <s v="1626.3434059652673"/>
    <s v="[0.004, 0.003, -0.003, 0.003, 0.025]"/>
  </r>
  <r>
    <x v="933"/>
    <x v="855"/>
    <x v="0"/>
    <n v="0"/>
    <s v="LINESTRING (11.102955249104104 60.81116954658514, 11.099267919554558 60.814308070816736, 11.095134722381156 60.81846736918729)"/>
    <s v="[375085, 375093]"/>
    <s v="[363938, 362201]"/>
    <s v="0.0015609493070905735"/>
    <s v="[362298, 363938]"/>
    <s v="[0.001, 0.002]"/>
    <s v="918.6033005209191"/>
    <s v="[0.001, 0.002]"/>
  </r>
  <r>
    <x v="934"/>
    <x v="1280"/>
    <x v="0"/>
    <s v="[0, 0, 1, 0, 0, 0]"/>
    <s v="LINESTRING (11.121254204275171 60.79627353337628, 11.120982807109074 60.79673445913055, 11.12053532307197 60.79726561858095, 11.1202462899363 60.797610794211664, 11.119645958333908 60.7983162304727, 11.118351802000735 60.80006066887728, 11.118288127288716 60.800214155854334)"/>
    <s v="[373724, 374870, 374882, 374890, 2168676, 2168679]"/>
    <s v="[362744, 363737, 363749, 363755, 1854870, 363114]"/>
    <s v="0.015985240459416652"/>
    <s v="[362208, 362744, 363737, 363749, 363755, 1854870]"/>
    <s v="[0.014, 0.014, 0.014, 0.015, 0.018, 0.015]"/>
    <s v="468.4904060781411"/>
    <s v="[0.014, 0.014, 0.014, 0.015, 0.018, 0.015]"/>
  </r>
  <r>
    <x v="934"/>
    <x v="851"/>
    <x v="0"/>
    <s v="[0, 1, 0, 0, 0, 0, 0, 0, 0, 0]"/>
    <s v="LINESTRING (11.121254204275171 60.79627353337628, 11.120421652813185 60.79726556640524, 11.120135522267667 60.79760651107305, 11.11786566053511 60.7999554497438, 11.11774971745165 60.80005600649485, 11.117672853551174 60.80012069566044, 11.117397341291875 60.80034810615016, 11.117341075168135 60.80039492802106, 11.117259428732595 60.80046142015462, 11.117135288171424 60.80055976154963, 11.11172934633314 60.80451877476868)"/>
    <s v="[374844, 373884, 374564, 374572, 374580, 374588, 374596, 374604, 374612, 374620]"/>
    <s v="[362907, 362908, 363423, 363428, 363437, 363445, 363453, 363462, 363469, 362460]"/>
    <s v="0.010039455088811378"/>
    <s v="[362208, 362907, 362908, 363423, 363428, 363437, 363445, 363453, 363462, 363469]"/>
    <s v="[0.014, 0.014, 0.016, 0.007, 0.006, 0.008, 0.005, 0.008, 0.007, 0.006]"/>
    <s v="1058.8642892603445"/>
    <s v="[0.014, 0.014, 0.016, 0.007, 0.006, 0.008, 0.005, 0.008, 0.007, 0.006]"/>
  </r>
  <r>
    <x v="934"/>
    <x v="1013"/>
    <x v="0"/>
    <s v="[0, 0, 1, 0]"/>
    <s v="LINESTRING (11.124558120772933 60.791212439715586, 11.124392055720463 60.791454117700354, 11.12278413796476 60.794137588129935, 11.122433335592786 60.79471694227345, 11.121254204275171 60.79627353337628)"/>
    <s v="[375527, 375343, 373294, 373182]"/>
    <s v="[364181, 362314, 362207, 362208]"/>
    <s v="0.003038685750897364"/>
    <s v="[362669, 364181, 362314, 362207]"/>
    <s v="[0.0, 0.0, 0.002, 0.009]"/>
    <s v="592.4076415482575"/>
    <s v="[0.0, 0.0, 0.002, 0.009]"/>
  </r>
  <r>
    <x v="935"/>
    <x v="851"/>
    <x v="0"/>
    <s v="[0, 1, 0, 0]"/>
    <s v="LINESTRING (11.11172934633314 60.80451877476868, 11.111311391404252 60.80482882511609, 11.110729581052896 60.80525781244251, 11.108262964262805 60.80710969126548, 11.102955249104104 60.81116954658514)"/>
    <s v="[374532, 374348, 374852, 374340]"/>
    <s v="[363276, 363277, 363270, 362298]"/>
    <s v="0.0018587042353024933"/>
    <s v="[362460, 363276, 363277, 363270]"/>
    <s v="[0.004, 0.005, 0.007, 0.001]"/>
    <s v="881.7875632367336"/>
    <s v="[0.004, 0.005, 0.007, -0.001]"/>
  </r>
  <r>
    <x v="936"/>
    <x v="857"/>
    <x v="0"/>
    <n v="0"/>
    <s v="LINESTRING (11.100172728026088 60.81476180666542, 11.100203515821102 60.814710025568985, 11.100272246841463 60.814665549869986)"/>
    <s v="[373587, 373595]"/>
    <s v="[362608, 362525]"/>
    <s v="#FIELD!"/>
    <s v="[362600, 362608]"/>
    <s v="[0.003, 0.002]"/>
    <s v="12.218906037817685"/>
    <s v="[-0.003, -0.002]"/>
  </r>
  <r>
    <x v="936"/>
    <x v="1281"/>
    <x v="0"/>
    <n v="0"/>
    <s v="LINESTRING (11.099827359918358 60.81460857069062, 11.100195441069229 60.81465244047491, 11.100272246841463 60.814665549869986)"/>
    <s v="[375423, 375415]"/>
    <s v="[364244, 362525]"/>
    <s v="0.0011748645710005516"/>
    <s v="[362703, 364244]"/>
    <s v="[0.001, 0.002]"/>
    <s v="25.325369696481232"/>
    <s v="[0.001, 0.002]"/>
  </r>
  <r>
    <x v="937"/>
    <x v="1282"/>
    <x v="0"/>
    <n v="0"/>
    <s v="LINESTRING (10.848753298094442 60.895521446951776, 10.848702661954158 60.895482302278545, 10.84846682537501 60.895331977046716)"/>
    <s v="[373559, 373568]"/>
    <s v="[362582, 362591]"/>
    <s v="#FIELD!"/>
    <s v="[362581, 362582]"/>
    <s v="[0.104, 0.094]"/>
    <s v="26.244108366322568"/>
    <s v="[-0.104, -0.094]"/>
  </r>
  <r>
    <x v="937"/>
    <x v="886"/>
    <x v="0"/>
    <n v="0"/>
    <s v="LINESTRING (10.848753298094442 60.895521446951776, 10.848816680438544 60.89546550634013, 10.848903507678553 60.89542934985343)"/>
    <s v="[1257035, 1257038]"/>
    <s v="[1175082, 362612]"/>
    <s v="#FIELD!"/>
    <s v="[362581, 1175082]"/>
    <s v="[2.052, 2.487]"/>
    <s v="13.323468264353458"/>
    <s v="[2.052, -2.487]"/>
  </r>
  <r>
    <x v="938"/>
    <x v="1283"/>
    <x v="0"/>
    <s v="[0, 1, 0]"/>
    <s v="LINESTRING (10.84846682537501 60.895331977046716, 10.84830967328832 60.89527326833201, 10.84753601191429 60.894959147853335, 10.8473097196811 60.89486881229031)"/>
    <s v="[2167818, 2167823, 2167828]"/>
    <s v="[1854486, 1854488, 362597]"/>
    <s v="#FIELD!"/>
    <s v="[362591, 1854486, 1854488]"/>
    <s v="[0.076, 0.065, 0.052]"/>
    <s v="81.32219414324992"/>
    <s v="[-0.076, -0.065, -0.052]"/>
  </r>
  <r>
    <x v="938"/>
    <x v="886"/>
    <x v="0"/>
    <n v="0"/>
    <s v="LINESTRING (10.848903507678553 60.89542934985343, 10.848817349306033 60.89541500042645, 10.84846682537501 60.895331977046716)"/>
    <s v="[373592, 373600]"/>
    <s v="[362613, 362591]"/>
    <s v="#FIELD!"/>
    <s v="[362612, 362613]"/>
    <s v="[0.047, 0.069]"/>
    <s v="26.106615382049537"/>
    <s v="[-0.047, -0.069]"/>
  </r>
  <r>
    <x v="939"/>
    <x v="890"/>
    <x v="0"/>
    <n v="0"/>
    <s v="LINESTRING (10.8473097196811 60.89486881229031, 10.84696981329905 60.89478368549734, 10.846906308025625 60.89476544980426)"/>
    <s v="[373576, 373584]"/>
    <s v="[362598, 362606]"/>
    <s v="#FIELD!"/>
    <s v="[362597, 362598]"/>
    <s v="[0.035, 0.018]"/>
    <s v="24.754742103198414"/>
    <s v="[-0.035, -0.018]"/>
  </r>
  <r>
    <x v="939"/>
    <x v="892"/>
    <x v="0"/>
    <n v="0"/>
    <s v="LINESTRING (10.8473097196811 60.89486881229031, 10.847086089253606 60.89472119916558, 10.84703148341775 60.89468705568243)"/>
    <s v="[373621, 373629]"/>
    <s v="[362641, 362649]"/>
    <s v="#FIELD!"/>
    <s v="[362597, 362641]"/>
    <s v="[0.058, 0.045]"/>
    <s v="25.27180830055111"/>
    <s v="[-0.058, -0.045]"/>
  </r>
  <r>
    <x v="940"/>
    <x v="1281"/>
    <x v="0"/>
    <n v="0"/>
    <s v="LINESTRING (11.099827359918358 60.81460857069062, 11.10010897570917 60.81473370532954, 11.100172728026088 60.81476180666542)"/>
    <s v="[374524, 374516]"/>
    <s v="[363386, 362600]"/>
    <s v="0.002"/>
    <s v="[362703, 363386]"/>
    <s v="0.002"/>
    <s v="25.59764342642389"/>
    <s v="0.002"/>
  </r>
  <r>
    <x v="941"/>
    <x v="892"/>
    <x v="0"/>
    <n v="0"/>
    <s v="LINESTRING (10.84703148341775 60.89468705568243, 10.846977618160496 60.8947336698073, 10.846906308025625 60.89476544980426)"/>
    <s v="[2167868, 2167833]"/>
    <s v="[1854493, 362606]"/>
    <s v="0.05480883489856286"/>
    <s v="[362649, 1854493]"/>
    <s v="[0.052, 0.058]"/>
    <s v="11.209628912258413"/>
    <s v="[0.052, 0.058]"/>
  </r>
  <r>
    <x v="942"/>
    <x v="861"/>
    <x v="0"/>
    <n v="0"/>
    <s v="LINESTRING (11.097733292538853 60.81420860831442, 11.097612853521026 60.81419563951295, 11.097503736180286 60.81416076089698)"/>
    <s v="[374236, 374244]"/>
    <s v="[363187, 362648]"/>
    <s v="0.006972112628593198"/>
    <s v="[362633, 363187]"/>
    <s v="[0.008, 0.006]"/>
    <s v="13.81136219857859"/>
    <s v="[0.008, 0.006]"/>
  </r>
  <r>
    <x v="942"/>
    <x v="1274"/>
    <x v="0"/>
    <s v="[0, 1, 0, 0]"/>
    <s v="LINESTRING (11.097228100846241 60.81486809556789, 11.097375068698494 60.814624442409745, 11.097421782601378 60.81454080033316, 11.097677994019719 60.8142651593147, 11.097733292538853 60.81420860831442)"/>
    <s v="[1048900, 1048908, 373603, 373612]"/>
    <s v="[998794, 362622, 362623, 362633]"/>
    <s v="#FIELD!"/>
    <s v="[362865, 998794, 362622, 362623]"/>
    <s v="[0.006, 0.032, 0.005, 0.005]"/>
    <s v="78.76791127153388"/>
    <s v="[0.006, -0.032, -0.005, -0.005]"/>
  </r>
  <r>
    <x v="942"/>
    <x v="1284"/>
    <x v="0"/>
    <n v="0"/>
    <m/>
    <n v="374228"/>
    <n v="362633"/>
    <s v="0.009"/>
    <n v="363174"/>
    <s v="0.009"/>
    <s v="7.801140942130692"/>
    <s v="0.009"/>
  </r>
  <r>
    <x v="943"/>
    <x v="1274"/>
    <x v="0"/>
    <s v="[0, 1, 0, 0]"/>
    <s v="LINESTRING (11.097228100846241 60.81486809556789, 11.097300799470082 60.814584806361005, 11.097347296320528 60.81449132391455, 11.097473557363223 60.81423634433253, 11.097503736180286 60.81416076089698)"/>
    <s v="[1048916, 1048924, 373620, 373628]"/>
    <s v="[998807, 362639, 362640, 362648]"/>
    <s v="#FIELD!"/>
    <s v="[362865, 998807, 362639, 362640]"/>
    <s v="[0.006, 0.028, 0.003, 0.003]"/>
    <s v="80.75075924059807"/>
    <s v="[0.006, -0.028, -0.003, -0.003]"/>
  </r>
  <r>
    <x v="944"/>
    <x v="1279"/>
    <x v="0"/>
    <n v="0"/>
    <s v="LINESTRING (11.078458056184939 60.8337219621477, 11.07881257422073 60.83380594180289, 11.078912571804459 60.83382396515974)"/>
    <s v="[373644, 373636]"/>
    <s v="[362655, 362656]"/>
    <s v="#FIELD!"/>
    <s v="[362663, 362655]"/>
    <s v="[0.019, 0.016]"/>
    <s v="27.234933806812467"/>
    <s v="[-0.019, -0.016]"/>
  </r>
  <r>
    <x v="944"/>
    <x v="865"/>
    <x v="0"/>
    <n v="0"/>
    <s v="LINESTRING (11.078728143087789 60.83393130135865, 11.078797100691498 60.83386454872688, 11.078912571804459 60.83382396515974)"/>
    <s v="[374044, 374052]"/>
    <s v="[363056, 362656]"/>
    <s v="#FIELD!"/>
    <s v="[362735, 363056]"/>
    <s v="[0.003, 0.006]"/>
    <s v="16.07170713827378"/>
    <s v="[0.003, -0.006]"/>
  </r>
  <r>
    <x v="945"/>
    <x v="865"/>
    <x v="0"/>
    <n v="0"/>
    <s v="LINESTRING (11.078458056184939 60.8337219621477, 11.078680448014346 60.833881725773225, 11.078728143087789 60.83393130135865)"/>
    <s v="[373852, 373716]"/>
    <s v="[362734, 362735]"/>
    <s v="#FIELD!"/>
    <s v="[362663, 362734]"/>
    <s v="[0.017, 0.016]"/>
    <s v="27.629616581235705"/>
    <s v="[-0.017, -0.016]"/>
  </r>
  <r>
    <x v="946"/>
    <x v="1281"/>
    <x v="0"/>
    <s v="[1, 0]"/>
    <s v="LINESTRING (11.098572617118357 60.814283358140045, 11.099464823429773 60.81451317380696, 11.099827359918358 60.81460857069062)"/>
    <s v="[373676, 373684]"/>
    <s v="[362693, 362703]"/>
    <s v="#FIELD!"/>
    <s v="[362692, 362693]"/>
    <s v="[0.001, 0.002]"/>
    <s v="77.31817458475945"/>
    <s v="[-0.001, 0.002]"/>
  </r>
  <r>
    <x v="946"/>
    <x v="859"/>
    <x v="0"/>
    <n v="0"/>
    <s v="LINESTRING (11.09802137942989 60.814057161429254, 11.098145600828385 60.81411156276562, 11.098572617118357 60.814283358140045)"/>
    <s v="[373860, 374300]"/>
    <s v="[362882, 362692]"/>
    <s v="#FIELD!"/>
    <s v="[362881, 362882]"/>
    <s v="0.005"/>
    <s v="39.19448184753894"/>
    <s v="#FIELD!"/>
  </r>
  <r>
    <x v="946"/>
    <x v="1284"/>
    <x v="0"/>
    <n v="0"/>
    <s v="LINESTRING (11.097870635077864 60.81418860224344, 11.09804426990034 60.814204529299694, 11.098572617118357 60.814283358140045)"/>
    <s v="[375173, 375181]"/>
    <s v="[364018, 362692]"/>
    <s v="#FIELD!"/>
    <s v="[363174, 364018]"/>
    <s v="[0.008, 0.007]"/>
    <s v="39.68695408697756"/>
    <s v="[-0.008, -0.007]"/>
  </r>
  <r>
    <x v="947"/>
    <x v="1285"/>
    <x v="0"/>
    <n v="0"/>
    <m/>
    <n v="373720"/>
    <n v="362741"/>
    <s v="0.0"/>
    <n v="362740"/>
    <s v="0.0"/>
    <s v="30.9610981719168"/>
    <s v="0.0"/>
  </r>
  <r>
    <x v="947"/>
    <x v="1286"/>
    <x v="0"/>
    <s v="[0, 0, 0, 0, 0, 1, 0, 0]"/>
    <s v="LINESTRING (7.827618939345505 58.11041720023238, 7.826840438874359 58.110132516425566, 7.822918214513689 58.10885542647614, 7.790139378954129 58.1055553019191, 7.757182732727592 58.101670229669395, 7.755824093763246 58.10133075913826, 7.755213136736801 58.10118903649346, 7.751698759118807 58.100500255443364, 7.751296914245287 58.100434466210565)"/>
    <s v="[1260139, 374312, 374320, 374344, 374352, 374360, 374368, 1260288]"/>
    <s v="[363245, 363246, 363250, 363272, 363279, 363287, 363292, 1177758]"/>
    <s v="#FIELD!"/>
    <s v="[362740, 363245, 363246, 363250, 363272, 363279, 363287, 363292]"/>
    <s v="[0.289, 0.015, 0.022, 0.018, 0.022, 0.085, 0.057, 1.772]"/>
    <s v="4689.511710825117"/>
    <s v="[-0.289, -0.015, 0.022, -0.018, -0.022, 0.085, 0.057, -1.772]"/>
  </r>
  <r>
    <x v="948"/>
    <x v="1287"/>
    <x v="0"/>
    <s v="[0, 1, 0]"/>
    <s v="LINESTRING (7.827618939345505 58.11041720023238, 7.833465234505259 58.11285660585629, 7.838307115944954 58.114954549015934, 7.841344382535785 58.11625076005693)"/>
    <s v="[373728, 373736, 373744]"/>
    <s v="[362749, 362759, 362768]"/>
    <s v="#FIELD!"/>
    <s v="[362741, 362749, 362759]"/>
    <s v="[0.068, 0.005, 0.061]"/>
    <s v="1039.6665517652732"/>
    <s v="[-0.068, -0.005, 0.061]"/>
  </r>
  <r>
    <x v="948"/>
    <x v="1288"/>
    <x v="0"/>
    <n v="0"/>
    <s v="LINESTRING (7.827914441240196 58.11056631664045, 7.827914441240196 58.11056631664045, 7.827618939345505 58.11041720023238)"/>
    <s v="[1259643, 374104]"/>
    <s v="[363115, 362741]"/>
    <s v="0.017465792183342172"/>
    <s v="[1177298, 363115]"/>
    <s v="[0.019, 0.006]"/>
    <s v="392.9002571301494"/>
    <s v="[0.019, -0.006]"/>
  </r>
  <r>
    <x v="949"/>
    <x v="1289"/>
    <x v="0"/>
    <n v="0"/>
    <s v="LINESTRING (7.841344382535785 58.11625076005693, 7.843448203861769 58.117018244033375, 7.844741776371103 58.11742596891251)"/>
    <s v="[373752, 1260142]"/>
    <s v="[362775, 363094]"/>
    <s v="0.015302063310899276"/>
    <s v="[362768, 362775]"/>
    <s v="[0.009, 0.026]"/>
    <s v="239.80977974155877"/>
    <s v="[0.009, 0.026]"/>
  </r>
  <r>
    <x v="949"/>
    <x v="1290"/>
    <x v="0"/>
    <s v="[0, 0, 1, 0, 0]"/>
    <s v="LINESTRING (7.841344382535785 58.11625076005693, 7.841016020048708 58.11615687752284, 7.838308576506213 58.11507486790046, 7.83609712173261 58.11430842207049, 7.834237010098771 58.11364037989777, 7.834123300214714 58.11364432094249)"/>
    <s v="[374072, 1259645, 1259647, 1259649, 1259650]"/>
    <s v="[363083, 1177299, 1177300, 1177302, 1169989]"/>
    <s v="0.015533551911394433"/>
    <s v="[362768, 363083, 1177299, 1177300, 1177302]"/>
    <s v="[0.077, 0.02, 0.087, 0.055, 0.024]"/>
    <s v="524.1734728886712"/>
    <s v="[-0.077, 0.02, 0.087, -0.055, -0.024]"/>
  </r>
  <r>
    <x v="950"/>
    <x v="866"/>
    <x v="0"/>
    <n v="0"/>
    <s v="LINESTRING (11.083821942418554 60.83162913234303, 11.078128809455684 60.833514525228104, 11.071774271427566 60.83672145493287)"/>
    <s v="[373756, 373764]"/>
    <s v="[362780, 362785]"/>
    <s v="0.015143741947539056"/>
    <s v="[362779, 362780]"/>
    <s v="[0.018, 0.013]"/>
    <s v="873.0775362645586"/>
    <s v="[0.018, 0.013]"/>
  </r>
  <r>
    <x v="951"/>
    <x v="1291"/>
    <x v="0"/>
    <n v="0"/>
    <m/>
    <n v="1260160"/>
    <n v="362920"/>
    <s v="#FIELD!"/>
    <n v="362789"/>
    <s v="0.036"/>
    <s v="17.89988175828587"/>
    <s v="#FIELD!"/>
  </r>
  <r>
    <x v="951"/>
    <x v="1292"/>
    <x v="0"/>
    <n v="0"/>
    <s v="LINESTRING (7.903643974844455 58.14213259807216, 7.9036699605210385 58.14210151533607, 7.903722370656304 58.14203459767299, 7.903759505193356 58.14195125197455)"/>
    <s v="[373768, 373776, 373784]"/>
    <s v="[362790, 362797, 362805]"/>
    <s v="#FIELD!"/>
    <s v="[362789, 362790, 362797]"/>
    <s v="[0.117, 0.12, 0.11]"/>
    <s v="21.42683271254931"/>
    <s v="[-0.117, -0.12, -0.11]"/>
  </r>
  <r>
    <x v="951"/>
    <x v="1293"/>
    <x v="0"/>
    <n v="0"/>
    <s v="LINESTRING (7.90411280128121 58.14226065497393, 7.904036238773912 58.14245348122176, 7.903550346487142 58.1424883202062, 7.903458699312846 58.142442908997864, 7.9034012434083545 58.14238760299914, 7.903381658371103 58.14230485305086, 7.903401956561308 58.142255336857325, 7.903444189142199 58.14221119299912, 7.903643974844455 58.14213259807216)"/>
    <s v="[1260184, 1260203, 1260226, 1260230, 1260143, 1260144, 1260145, 1260146]"/>
    <s v="[1177695, 363075, 1177716, 363042, 1177673, 1177674, 1177675, 362789]"/>
    <s v="#FIELD!"/>
    <s v="[362852, 1177695, 363075, 1177716, 363042, 1177673, 1177674, 1177675]"/>
    <s v="[0.653, 0.014, 0.11, 0.114, 0.152, 0.109, 0.139, 0.737]"/>
    <s v="103.96320582612618"/>
    <s v="[0.653, 0.014, -0.11, -0.114, -0.152, -0.109, -0.139, -0.737]"/>
  </r>
  <r>
    <x v="952"/>
    <x v="1294"/>
    <x v="94"/>
    <s v="[0, 0, 0, 1, 1, 0, 0, 0, 0, 0, 0, 0, 0]"/>
    <s v="LINESTRING (7.9037653538074935 58.14165342191416, 7.9037653538074935 58.14165342191416, 7.901482320058847 58.140150769610045, 7.901386184383633 58.14009546196964, 7.9012694435099435 58.140028997582, 7.899923181660032 58.13937083389521, 7.899055087493369 58.13894048462863, 7.898780572875733 58.138769113821866, 7.895512417169364 58.13725456126226, 7.890819604140353 58.13492736931586, 7.884122326014098 58.13153610265543, 7.8710853121032 58.12663201684222, 7.869878200332222 58.12627009091306, 7.869506988136939 58.126161442111126)"/>
    <s v="[373800, 373808, 373816, 373824, 374200, 374208, 374216, 1259720, 1259729, 1259730, 1259731, 1259733, 374112]"/>
    <s v="[362819, 362829, 362837, 362845, 363164, 363167, 363171, 1177357, 1177364, 1177365, 1177366, 363119, 362962]"/>
    <s v="#FIELD!"/>
    <s v="[362820, 362819, 362829, 362837, 362845, 363164, 363167, 363171, 1177357, 1177364, 1177365, 1177366, 363119]"/>
    <s v="[0.0, 0.077, 0.08, 0.091, 0.027, 0.033, 0.051, 0.048, 0.041, 0.044, 0.039, 0.206, 0.206]"/>
    <s v="2710.2852460769823"/>
    <s v="[0.0, -0.077, -0.08, -0.091, -0.027, 0.033, 0.051, 0.048, 0.041, 0.044, -0.039, -0.206, -0.206]"/>
  </r>
  <r>
    <x v="953"/>
    <x v="1295"/>
    <x v="0"/>
    <n v="0"/>
    <s v="LINESTRING (7.90411280128121 58.14226065497393, 7.9041437021126 58.14222885557242, 7.904349218235175 58.14205765942084)"/>
    <s v="[373832, 373840]"/>
    <s v="[362853, 362860]"/>
    <s v="#FIELD!"/>
    <s v="[362852, 362853]"/>
    <s v="[0.108, 0.111]"/>
    <s v="26.613648366030887"/>
    <s v="[-0.108, -0.111]"/>
  </r>
  <r>
    <x v="953"/>
    <x v="1291"/>
    <x v="0"/>
    <n v="0"/>
    <s v="LINESTRING (7.903939479071369 58.14214894073562, 7.904042020323345 58.142194419952624, 7.90411280128121 58.14226065497393)"/>
    <s v="[1260169, 1260177]"/>
    <s v="[1177689, 362852]"/>
    <s v="0.04525731844743143"/>
    <s v="[362920, 1177689]"/>
    <s v="[1.457, 1.268]"/>
    <s v="16.384643465475442"/>
    <s v="[1.457, -1.268]"/>
  </r>
  <r>
    <x v="954"/>
    <x v="1296"/>
    <x v="0"/>
    <s v="[0, 1]"/>
    <s v="LINESTRING (7.904349218235175 58.14205765942084, 7.9045381827734245 58.14197350120584, 7.905509039458695 58.14154091310512)"/>
    <s v="[1260241, 1260242]"/>
    <s v="[1177728, 362870]"/>
    <s v="#FIELD!"/>
    <s v="[362860, 1177728]"/>
    <s v="[0.712, 0.21]"/>
    <s v="89.48117708187193"/>
    <s v="[0.712, -0.21]"/>
  </r>
  <r>
    <x v="954"/>
    <x v="1291"/>
    <x v="0"/>
    <n v="0"/>
    <s v="LINESTRING (7.903939479071369 58.14214894073562, 7.904002750983347 58.14213850881772, 7.904349218235175 58.14205765942084)"/>
    <s v="[373896, 373904]"/>
    <s v="[362921, 362860]"/>
    <s v="#FIELD!"/>
    <s v="[362920, 362921]"/>
    <s v="[0.074, 0.085]"/>
    <s v="26.253972022358383"/>
    <s v="[-0.074, -0.085]"/>
  </r>
  <r>
    <x v="955"/>
    <x v="1297"/>
    <x v="0"/>
    <s v="[1, 0, 0]"/>
    <s v="LINESTRING (7.905509039458695 58.14154091310512, 7.905578286142992 58.14148097448503, 7.905721108326279 58.14138206823208, 7.905763052996344 58.14134872282453)"/>
    <s v="[373848, 373856, 373864]"/>
    <s v="[362871, 362877, 362886]"/>
    <s v="#FIELD!"/>
    <s v="[362870, 362871, 362877]"/>
    <s v="[0.072, 0.066, 0.062]"/>
    <s v="26.190036914073996"/>
    <s v="[-0.072, -0.066, -0.062]"/>
  </r>
  <r>
    <x v="955"/>
    <x v="1298"/>
    <x v="0"/>
    <s v="[1, 0, 0]"/>
    <s v="LINESTRING (7.905509039458695 58.14154091310512, 7.9056366025879665 58.141517491087086, 7.905847238820773 58.14145959774314, 7.905919003691172 58.14144333081929)"/>
    <s v="[373872, 373880, 373888]"/>
    <s v="[362895, 362904, 362913]"/>
    <s v="#FIELD!"/>
    <s v="[362870, 362895, 362904]"/>
    <s v="[0.007, 0.028, 0.029]"/>
    <s v="26.580286438805867"/>
    <s v="[-0.007, -0.028, -0.029]"/>
  </r>
  <r>
    <x v="956"/>
    <x v="1284"/>
    <x v="0"/>
    <n v="0"/>
    <s v="LINESTRING (11.09802137942989 60.814057161429254, 11.097984609882358 60.81413231954585, 11.097870635077864 60.81418860224344)"/>
    <s v="[374212, 374220]"/>
    <s v="[363170, 363174]"/>
    <s v="0.005518106990012818"/>
    <s v="[362881, 363170]"/>
    <s v="[0.004, 0.007]"/>
    <s v="17.433734869923896"/>
    <s v="[0.004, 0.007]"/>
  </r>
  <r>
    <x v="957"/>
    <x v="1299"/>
    <x v="0"/>
    <n v="0"/>
    <m/>
    <n v="1260097"/>
    <n v="1177635"/>
    <s v="0.098"/>
    <n v="362886"/>
    <s v="0.098"/>
    <s v="18.283695587190582"/>
    <s v="0.098"/>
  </r>
  <r>
    <x v="957"/>
    <x v="1298"/>
    <x v="0"/>
    <n v="0"/>
    <s v="LINESTRING (7.905919003691172 58.14144333081929, 7.905821468938056 58.14140435172101, 7.905763052996344 58.14134872282453)"/>
    <s v="[1260137, 1260138]"/>
    <s v="[1177672, 362886]"/>
    <s v="#FIELD!"/>
    <s v="[362913, 1177672]"/>
    <s v="[0.487, 0.66]"/>
    <s v="14.312709642171171"/>
    <s v="[0.487, -0.66]"/>
  </r>
  <r>
    <x v="958"/>
    <x v="1300"/>
    <x v="0"/>
    <n v="0"/>
    <m/>
    <n v="1260131"/>
    <n v="362913"/>
    <s v="#FIELD!"/>
    <n v="975604"/>
    <s v="0.164"/>
    <s v="16.476495886479988"/>
    <s v="#FIELD!"/>
  </r>
  <r>
    <x v="959"/>
    <x v="1294"/>
    <x v="0"/>
    <s v="[0, 1, 0]"/>
    <s v="LINESTRING (7.865730260766212 58.12498923864904, 7.865730260766212 58.12498923864904, 7.86807795940767 58.12574844973033, 7.869506988136939 58.126161442111126)"/>
    <s v="[373920, 373928, 373936]"/>
    <s v="[362946, 362954, 362962]"/>
    <s v="0.03403150275622559"/>
    <s v="[362945, 362946, 362954]"/>
    <s v="[0.0, 0.027, 0.173]"/>
    <s v="617.5143197769436"/>
    <s v="[0.0, 0.027, 0.173]"/>
  </r>
  <r>
    <x v="959"/>
    <x v="1289"/>
    <x v="0"/>
    <n v="0"/>
    <s v="LINESTRING (7.865730260766212 58.12498923864904, 7.860656683320607 58.12284092360964, 7.858819680745663 58.12198593173167, 7.848669932747618 58.11844650332661, 7.845113305419462 58.117534804169175, 7.844741776371103 58.11742596891251)"/>
    <s v="[374120, 1259849, 1259850, 1259857, 374080]"/>
    <s v="[363123, 1177454, 1177455, 363093, 363094]"/>
    <s v="#FIELD!"/>
    <s v="[362945, 363123, 1177454, 1177455, 363093]"/>
    <s v="[0.653, 0.043, 0.021, 0.034, 0.006]"/>
    <s v="1147.591820320951"/>
    <s v="[0.653, 0.043, -0.021, -0.034, 0.006]"/>
  </r>
  <r>
    <x v="960"/>
    <x v="1301"/>
    <x v="0"/>
    <s v="[0, 1, 0, 0, 0, 1, 0, 0, 0, 0]"/>
    <s v="LINESTRING (7.715583197917009 58.10031963040168, 7.7426450430813025 58.09948279591287, 7.743346846770764 58.099506108804974, 7.751387141871691 58.10027340657366, 7.751794042719927 58.100337771950564, 7.755209355490462 58.10098375300811, 7.755928850474568 58.10114510765007, 7.7573529189380315 58.101491830090836, 7.790127887271751 58.10534003367038, 7.822994941415251 58.108650929047876, 7.826998740102234 58.11001140736046)"/>
    <s v="[373968, 373976, 373984, 1260345, 374280, 374288, 374296, 374304, 374264, 374272]"/>
    <s v="[362991, 362998, 363006, 363218, 363219, 363226, 363233, 363204, 363205, 363213]"/>
    <s v="0.0007661049570826542"/>
    <s v="[362990, 362991, 362998, 363006, 363218, 363219, 363226, 363233, 363204, 363205]"/>
    <s v="[0.008, 0.045, 0.028, 0.056, 0.057, 0.059, 0.048, 0.017, 0.024, 0.024]"/>
    <s v="6812.133397366638"/>
    <s v="[0.008, -0.045, 0.028, -0.056, -0.057, -0.059, 0.048, 0.017, -0.024, 0.024]"/>
  </r>
  <r>
    <x v="960"/>
    <x v="1302"/>
    <x v="0"/>
    <s v="[0, 1, 0]"/>
    <s v="LINESTRING (7.705457207111415 58.09743019676186, 7.706891051034934 58.09786091527104, 7.707655289561815 58.09810752014042, 7.715583197917009 58.10031963040168)"/>
    <s v="[1260037, 1260044, 1260049]"/>
    <s v="[1177586, 1177592, 362990]"/>
    <s v="#FIELD!"/>
    <s v="[363147, 1177586, 1177592]"/>
    <s v="[0.063, 0.107, 0.039]"/>
    <s v="682.3147086301848"/>
    <s v="[0.063, -0.107, -0.039]"/>
  </r>
  <r>
    <x v="960"/>
    <x v="1303"/>
    <x v="0"/>
    <n v="0"/>
    <s v="LINESTRING (7.715212576224231 58.10022721293639, 7.715212576224231 58.10022721293639, 7.715583197917009 58.10031963040168)"/>
    <s v="[1259953, 374136]"/>
    <s v="[363132, 362990]"/>
    <s v="#FIELD!"/>
    <s v="[1177518, 363132]"/>
    <s v="[0.037, 0.13]"/>
    <s v="381.72471417654884"/>
    <s v="[-0.037, 0.13]"/>
  </r>
  <r>
    <x v="961"/>
    <x v="1299"/>
    <x v="95"/>
    <s v="[0, 0, 0, 0, 0, 0, 0, 1, 0, 0, 0, 0, 0, 0, 0, 0, 0, 1, 1, 0, 0, 0, 0, 0]"/>
    <s v="LINESTRING (7.843572036854691 58.116913376984385, 7.8448622602493225 58.117312349250064, 7.845232481385489 58.117419217642976, 7.849023578066175 58.118342239080214, 7.8590867898280745 58.12183170254417, 7.860815861929932 58.12275073818193, 7.861118571397759 58.122906663683764, 7.8658289858924455 58.12491078926425, 7.868164673760267 58.12566616890188, 7.869600711097006 58.12606630523227, 7.869981446631623 58.126164853700466, 7.8712401970362995 58.12647830647185, 7.884380201903007 58.13136057391063, 7.891070835723578 58.134790930877436, 7.8957599387413016 58.1371119574261, 7.899439436706929 58.13889592722702, 7.899791736475478 58.13902009584873, 7.90031209423539 58.139244693742356, 7.901700237505678 58.13987581441241, 7.901841021360634 58.13993028439324, 7.901962660143598 58.13997737452388, 7.904269949183098 58.14085922982553, 7.905615043039412 58.14120075297353, 7.905753746106124 58.141200034605625, 7.905841530303767 58.14119655991317)"/>
    <s v="[1260244, 374224, 1259865, 1259867, 1259888, 374152, 1260348, 1260349, 1260350, 374088, 1259740, 1259741, 1259748, 1259749, 1259757, 374400, 374408, 374416, 1260052, 1260058, 1260062, 1260070, 1260088, 1260089]"/>
    <s v="[363177, 363178, 1177465, 1177467, 363143, 363144, 1177802, 1177803, 363102, 363103, 1177373, 1177374, 1177379, 1177380, 363314, 363315, 363320, 363325, 1177595, 1177601, 1177604, 1177612, 1177634, 1177635]"/>
    <s v="0.009797029500674912"/>
    <s v="[363111, 363177, 363178, 1177465, 1177467, 363143, 363144, 1177802, 1177803, 363102, 363103, 1177373, 1177374, 1177379, 1177380, 363314, 363315, 363320, 363325, 1177595, 1177601, 1177604, 1177612, 1177634]"/>
    <s v="[0.016, 0.009, 0.038, 0.018, 0.041, 0.01, 0.038, 0.04, 0.154, 0.201, 0.189, 0.042, 0.046, 0.04, 0.05, 0.025, 0.031, 0.003, 0.237, 0.084, 0.081, 0.029, 0.048, 0.052]"/>
    <s v="4603.555067119608"/>
    <s v="[0.016, -0.009, 0.038, 0.018, -0.041, -0.01, 0.038, 0.04, -0.154, 0.201, 0.189, 0.042, -0.046, -0.04, -0.05, -0.025, -0.031, 0.003, 0.237, 0.084, 0.081, 0.029, -0.048, -0.052]"/>
  </r>
  <r>
    <x v="961"/>
    <x v="1301"/>
    <x v="0"/>
    <s v="[0, 0, 1, 0]"/>
    <s v="LINESTRING (7.826998740102234 58.11001140736046, 7.827343364974326 58.11014239265066, 7.83343819286608 58.11272303357356, 7.838098333416851 58.11474239647817, 7.843572036854691 58.116913376984385)"/>
    <s v="[1260353, 1260245, 1260246, 1260249]"/>
    <s v="[1177729, 1177730, 1177731, 363111]"/>
    <s v="#FIELD!"/>
    <s v="[363213, 1177729, 1177730, 1177731]"/>
    <s v="[0.058, 0.054, 0.066, 0.009]"/>
    <s v="1245.9822237159988"/>
    <s v="[-0.058, -0.054, 0.066, -0.009]"/>
  </r>
  <r>
    <x v="961"/>
    <x v="1304"/>
    <x v="0"/>
    <s v="[0, 1, 0, 0]"/>
    <s v="LINESTRING (7.835354029475473 58.113295181804375, 7.835354029475473 58.113295181804375, 7.837996049784954 58.114562936188875, 7.843180668999656 58.116745823236315, 7.843572036854691 58.116913376984385)"/>
    <s v="[1259680, 1259681, 1259698, 374096]"/>
    <s v="[1177323, 1177325, 363110, 363111]"/>
    <s v="#FIELD!"/>
    <s v="[1177324, 1177323, 1177325, 363110]"/>
    <s v="[0.0, 0.012, 0.015, 0.021]"/>
    <s v="698.0517121234706"/>
    <s v="[0.0, 0.012, -0.015, 0.021]"/>
  </r>
  <r>
    <x v="962"/>
    <x v="1305"/>
    <x v="0"/>
    <n v="0"/>
    <s v="LINESTRING (7.715323044181718 58.10037688767434, 7.714797415418576 58.10032216666922, 7.707584566308192 58.099588931591434, 7.707450155715069 58.09956605615521, 7.707382760781508 58.099560106245654)"/>
    <s v="[374128, 1259827, 1259834, 1259848]"/>
    <s v="[363128, 1177436, 1177443, 366815]"/>
    <s v="0.028429081103526908"/>
    <s v="[363127, 363128, 1177436, 1177443]"/>
    <s v="[0.133, 0.038, 0.093, 0.102]"/>
    <s v="490.50291344934584"/>
    <s v="[-0.133, 0.038, 0.093, 0.102]"/>
  </r>
  <r>
    <x v="962"/>
    <x v="1286"/>
    <x v="0"/>
    <s v="[0, 0, 1, 0]"/>
    <s v="LINESTRING (7.715323044181718 58.10037688767434, 7.715534005145577 58.1004101021244, 7.7426677244477355 58.09961101221233, 7.743367997910049 58.099637662649755, 7.751296914245287 58.100434466210565)"/>
    <s v="[1260285, 1260293, 1260312, 1260317]"/>
    <s v="[1177755, 1177762, 1177776, 1177758]"/>
    <s v="#FIELD!"/>
    <s v="[363127, 1177755, 1177762, 1177776]"/>
    <s v="[1.411, 0.022, 0.011, 0.007]"/>
    <s v="2149.602988789139"/>
    <s v="[1.411, -0.022, -0.011, -0.007]"/>
  </r>
  <r>
    <x v="962"/>
    <x v="1306"/>
    <x v="0"/>
    <s v="[0, 1, 0]"/>
    <s v="LINESTRING (7.7033924443819375 58.09706997042769, 7.706846562724973 58.097994743644215, 7.707607466534752 58.09823106077675, 7.715323044181718 58.10037688767434)"/>
    <s v="[1260275, 1260283, 1260284]"/>
    <s v="[1177750, 1177754, 363127]"/>
    <s v="#FIELD!"/>
    <s v="[363265, 1177750, 1177754]"/>
    <s v="[0.022, 0.056, 0.045]"/>
    <s v="768.8548251401224"/>
    <s v="[-0.022, -0.056, -0.045]"/>
  </r>
  <r>
    <x v="963"/>
    <x v="1307"/>
    <x v="0"/>
    <s v="[0, 0, 1, 0, 0, 0]"/>
    <s v="LINESTRING (7.705457207111415 58.09743019676186, 7.7057859970691105 58.09748976929729, 7.706929749192751 58.097821675270914, 7.707704017725434 58.09807084001363, 7.708822800450891 58.097031648459456, 7.70870919172653 58.09699455584097, 7.708649737707349 58.09697896705637)"/>
    <s v="[374160, 1259967, 1259968, 1259969, 1259977, 1259986]"/>
    <s v="[363148, 1177531, 1177532, 1177533, 1177538, 366750]"/>
    <s v="0.002976666773102814"/>
    <s v="[363147, 363148, 1177531, 1177532, 1177533, 1177538]"/>
    <s v="[0.121, 0.113, 0.108, 0.001, 0.11, 0.103]"/>
    <s v="474.3045876885466"/>
    <s v="[-0.121, 0.113, -0.108, -0.001, 0.11, 0.103]"/>
  </r>
  <r>
    <x v="963"/>
    <x v="1308"/>
    <x v="0"/>
    <s v="[0, 0, 0, 0, 0, 1, 0, 1, 0, 0, 0, 0, 0, 0, 0]"/>
    <s v="LINESTRING (7.633748252530983 58.09539620027374, 7.635493517186144 58.09533320238902, 7.645272352480879 58.09414932404204, 7.64593986000697 58.09405156608079, 7.646156817966536 58.094019168519665, 7.652848210067664 58.09285194285921, 7.652931844518893 58.09283524496298, 7.673615621411521 58.092875543368834, 7.682414679582611 58.094111359012395, 7.685554554903791 58.09449458680287, 7.68596360411232 58.094534504662874, 7.689605960765542 58.09485385971159, 7.699276856367971 58.09599792996386, 7.703532466361488 58.0969136965847, 7.703975615831876 58.09702655057392, 7.705457207111415 58.09743019676186)"/>
    <s v="[1250227, 373944, 373952, 373960, 1260289, 1260290, 1260292, 1260004, 1260005, 374328, 1259889, 1259902, 1259907, 374144, 1260030]"/>
    <s v="[362971, 362972, 362978, 362984, 1177759, 1177760, 1177559, 1177560, 363256, 363257, 1177478, 1177483, 363137, 363138, 363147]"/>
    <s v="#FIELD!"/>
    <s v="[1168672, 362971, 362972, 362978, 362984, 1177759, 1177760, 1177559, 1177560, 363256, 363257, 1177478, 1177483, 363137, 363138]"/>
    <s v="[0.016, 0.09, 0.002, 0.008, 0.058, 0.03, 0.068, 0.004, 0.112, 0.021, 0.158, 0.02, 0.064, 0.028, 0.086]"/>
    <s v="4389.618535951734"/>
    <s v="[0.016, 0.09, -0.002, -0.008, -0.058, -0.03, -0.068, 0.004, 0.112, 0.021, 0.158, 0.02, -0.064, -0.028, -0.086]"/>
  </r>
  <r>
    <x v="964"/>
    <x v="1309"/>
    <x v="96"/>
    <n v="0"/>
    <s v="LINESTRING (7.7033924443819375 58.09706997042769, 7.699153837569551 58.09619898906532, 7.689429800942049 58.09504733935153, 7.685927776477152 58.094669729428894, 7.68550883372247 58.09461914432308)"/>
    <s v="[1259987, 1259988, 1260000, 374232]"/>
    <s v="[1177545, 1177546, 363183, 363184]"/>
    <s v="#FIELD!"/>
    <s v="[363266, 1177545, 1177546, 363183]"/>
    <s v="[0.071, 0.024, 0.157, 0.026]"/>
    <s v="1094.6449179850997"/>
    <s v="[0.071, -0.024, -0.157, -0.026]"/>
  </r>
  <r>
    <x v="964"/>
    <x v="1310"/>
    <x v="0"/>
    <s v="[0, 0, 0, 0, 0, 0, 1, 0, 1, 0]"/>
    <s v="LINESTRING (7.633007975021045 58.09548822427448, 7.633750372196894 58.09549045854719, 7.635514830043406 58.09542679959781, 7.645319933487976 58.09424025085775, 7.64597742971873 58.094143985206514, 7.64600782333419 58.09413943806825, 7.652881354374621 58.09294608608596, 7.652964989036822 58.092929388172465, 7.673569944293603 58.09296665604576, 7.68236902291523 58.09420247531524, 7.68550883372247 58.09461914432308)"/>
    <s v="[1249805, 1250209, 1260012, 1260013, 1260029, 1260252, 1260253, 1260267, 1260318, 1260334]"/>
    <s v="[1169123, 1169469, 1177568, 1177569, 1177580, 1177733, 1177734, 1177746, 1177780, 363184]"/>
    <s v="#FIELD!"/>
    <s v="[1168662, 1169123, 1169469, 1177568, 1177569, 1177580, 1177733, 1177734, 1177746, 1177780]"/>
    <s v="[0.019, 0.021, 0.093, 0.042, 0.033, 0.033, 0.015, 0.079, 0.025, 0.058]"/>
    <s v="3203.347699185656"/>
    <s v="[0.019, 0.021, 0.093, 0.042, 0.033, -0.033, -0.015, -0.079, 0.025, 0.058]"/>
  </r>
  <r>
    <x v="965"/>
    <x v="1311"/>
    <x v="0"/>
    <n v="0"/>
    <s v="LINESTRING (7.826998740102234 58.11001140736046, 7.827366487250176 58.11011305503311, 7.833268830398996 58.112223565807, 7.833455143104223 58.1121966251402, 7.833544273405185 58.112178587336935)"/>
    <s v="[1259699, 1259704, 1259711, 1259719]"/>
    <s v="[1177341, 1177347, 1177353, 366613]"/>
    <s v="#FIELD!"/>
    <s v="[363213, 1177341, 1177347, 1177353]"/>
    <s v="[0.08, 0.093, 0.144, 0.085]"/>
    <s v="466.9269148485082"/>
    <s v="[-0.08, -0.093, 0.144, 0.085]"/>
  </r>
  <r>
    <x v="966"/>
    <x v="1309"/>
    <x v="0"/>
    <n v="0"/>
    <m/>
    <n v="374336"/>
    <n v="363266"/>
    <s v="0.0"/>
    <n v="363265"/>
    <s v="0.0"/>
    <s v="29.013936306499446"/>
    <s v="0.0"/>
  </r>
  <r>
    <x v="967"/>
    <x v="1312"/>
    <x v="0"/>
    <s v="[0, 1, 0, 0]"/>
    <s v="LINESTRING (7.707561877021028 58.09827152716731, 7.707561877021028 58.09827152716731, 7.706800083945701 58.0980370516433, 7.703690464009247 58.09717573433599, 7.7033924443819375 58.09706997042769)"/>
    <s v="[1259807, 1259808, 1259823, 1259824]"/>
    <s v="[1177422, 1177424, 1177433, 363266]"/>
    <s v="0.020975221023270416"/>
    <s v="[1177423, 1177422, 1177424, 1177433]"/>
    <s v="[0.0, 0.097, 0.014, 0.087]"/>
    <s v="467.1070788016923"/>
    <s v="[0.0, 0.097, 0.014, 0.087]"/>
  </r>
  <r>
    <x v="968"/>
    <x v="1313"/>
    <x v="0"/>
    <n v="0"/>
    <s v="LINESTRING (5.703636062541703 58.92121904286989, 5.703675966757081 58.92126071350861, 5.70434985366719 58.92183847408015, 5.704391458963418 58.92186923364815, 5.705119262858789 58.9222631917237, 5.7052012408075505 58.92231140889577)"/>
    <s v="[376430, 376438, 376446, 376454, 376462]"/>
    <s v="[365413, 365425, 365435, 365446, 365457]"/>
    <s v="#FIELD!"/>
    <s v="[365412, 365413, 365425, 365435, 365446]"/>
    <s v="[0.001, 0.0, 0.002, 0.0, 0.004]"/>
    <s v="153.16842303624628"/>
    <s v="[-0.001, 0.0, 0.002, 0.0, -0.004]"/>
  </r>
  <r>
    <x v="968"/>
    <x v="1314"/>
    <x v="0"/>
    <n v="0"/>
    <s v="LINESTRING (5.703636062541703 58.92121904286989, 5.703519012430001 58.92126720910397, 5.703459985055016 58.92127371053574, 5.7033405174007505 58.92125692450602)"/>
    <s v="[1261991, 1262004, 1262012]"/>
    <s v="[1179173, 1179184, 796400]"/>
    <s v="#FIELD!"/>
    <s v="[365412, 1179173, 1179184]"/>
    <s v="[0.416, 0.01, 0.545]"/>
    <s v="19.28488590717999"/>
    <s v="[0.416, -0.01, -0.545]"/>
  </r>
  <r>
    <x v="968"/>
    <x v="1315"/>
    <x v="0"/>
    <n v="0"/>
    <m/>
    <n v="1261988"/>
    <n v="365412"/>
    <s v="#FIELD!"/>
    <n v="782457"/>
    <s v="0.016"/>
    <s v="4.686899614602346"/>
    <s v="#FIELD!"/>
  </r>
  <r>
    <x v="969"/>
    <x v="1069"/>
    <x v="0"/>
    <n v="0"/>
    <m/>
    <n v="1262046"/>
    <n v="365513"/>
    <s v="#FIELD!"/>
    <n v="365457"/>
    <s v="0.002"/>
    <s v="3.506565271210324"/>
    <s v="#FIELD!"/>
  </r>
  <r>
    <x v="969"/>
    <x v="1316"/>
    <x v="0"/>
    <n v="0"/>
    <s v="LINESTRING (5.705066525021106 58.92235994984749, 5.705097532447711 58.922323953250796, 5.705141092579394 58.9223110160844, 5.7052012408075505 58.92231140889577)"/>
    <s v="[1262092, 1262096, 1262115]"/>
    <s v="[1179264, 1179268, 365457]"/>
    <s v="0.010511931353046886"/>
    <s v="[796432, 1179264, 1179268]"/>
    <s v="[1.597, 0.003, 1.993]"/>
    <s v="10.781693419650122"/>
    <s v="[1.597, 0.003, -1.993]"/>
  </r>
  <r>
    <x v="970"/>
    <x v="1068"/>
    <x v="0"/>
    <n v="0"/>
    <s v="LINESTRING (5.705250693647433 58.92232959728328, 5.705262021896592 58.92238567020625, 5.7052171618445975 58.922409140615)"/>
    <s v="[1262047, 1262056]"/>
    <s v="[1179223, 796518]"/>
    <s v="#FIELD!"/>
    <s v="[365513, 1179223]"/>
    <s v="[1.146, 1.988]"/>
    <s v="9.987047440576033"/>
    <s v="[1.146, -1.988]"/>
  </r>
  <r>
    <x v="971"/>
    <x v="361"/>
    <x v="0"/>
    <n v="0"/>
    <m/>
    <n v="376782"/>
    <n v="365756"/>
    <s v="#FIELD!"/>
    <n v="365525"/>
    <s v="0.035"/>
    <s v="26.66510828746245"/>
    <s v="#FIELD!"/>
  </r>
  <r>
    <x v="971"/>
    <x v="1317"/>
    <x v="0"/>
    <n v="0"/>
    <s v="LINESTRING (10.700228041381656 60.91939974108649, 10.70058564059131 60.91930651961398, 10.706035081828144 60.917895713139934, 10.706023940090349 60.91782216758202)"/>
    <s v="[376528, 376942, 376950]"/>
    <s v="[365526, 365932, 365871]"/>
    <s v="0.009063648061939362"/>
    <s v="[365525, 365526, 365932]"/>
    <s v="[0.034, 0.009, 0.055]"/>
    <s v="380.23492617637106"/>
    <s v="[0.034, 0.009, -0.055]"/>
  </r>
  <r>
    <x v="971"/>
    <x v="1318"/>
    <x v="0"/>
    <s v="[0, 0, 0, 1, 0, 0]"/>
    <s v="LINESTRING (10.71474316610305 60.915459209993855, 10.708635122811415 60.917957797224744, 10.707850073605094 60.91813318453625, 10.706961880221938 60.91831339244236, 10.705849751496356 60.91851157181116, 10.704075551176869 60.918783857006346, 10.700228041381656 60.91939974108649)"/>
    <s v="[377065, 376918, 376926, 376678, 376758, 376774]"/>
    <s v="[365904, 365905, 365661, 365662, 365735, 365525]"/>
    <s v="#FIELD!"/>
    <s v="[365570, 365904, 365905, 365661, 365662, 365735]"/>
    <s v="[0.005, 0.004, 0.007, 0.01, 0.014, 0.025]"/>
    <s v="921.1690980078055"/>
    <s v="[0.005, -0.004, -0.007, -0.01, -0.014, -0.025]"/>
  </r>
  <r>
    <x v="972"/>
    <x v="1319"/>
    <x v="0"/>
    <s v="[0, 0, 1, 0, 0]"/>
    <s v="LINESTRING (10.708696316848636 60.9180252078284, 10.708255574768065 60.918175587867545, 10.706845570736599 60.91847079367827, 10.705736733489202 60.9186649233657, 10.704249572873294 60.91966480885791, 10.704372427082811 60.91968240178281)"/>
    <s v="[376568, 376993, 377001, 377009, 377017]"/>
    <s v="[365563, 365989, 365997, 366003, 365765]"/>
    <s v="#FIELD!"/>
    <s v="[365562, 365563, 365989, 365997, 366003]"/>
    <s v="[0.008, 0.007, 0.011, 0.004, 0.03]"/>
    <s v="376.50565344122185"/>
    <s v="[0.008, -0.007, -0.011, -0.004, 0.03]"/>
  </r>
  <r>
    <x v="972"/>
    <x v="361"/>
    <x v="0"/>
    <s v="[0, 0, 1, 0, 0, 0]"/>
    <s v="LINESTRING (10.708696316848636 60.9180252078284, 10.707837736135836 60.91821735416703, 10.70686226605328 60.91841008682542, 10.705761949817294 60.91860528006202, 10.704113436610898 60.918849976469986, 10.700254993153248 60.91943118292615, 10.699792355969489 60.91951042452344)"/>
    <s v="[818966, 818974, 818990, 818934, 818950, 818958]"/>
    <s v="[796902, 796911, 796864, 796865, 796882, 365756]"/>
    <s v="#FIELD!"/>
    <s v="[365562, 796902, 796911, 796864, 796865, 796882]"/>
    <s v="[0.035, 0.029, 0.023, 0.016, 0.025, 0.046]"/>
    <s v="511.45268030242494"/>
    <s v="[0.035, -0.029, -0.023, -0.016, -0.025, -0.046]"/>
  </r>
  <r>
    <x v="973"/>
    <x v="1320"/>
    <x v="0"/>
    <n v="0"/>
    <s v="LINESTRING (10.706725465073307 60.91768866627162, 10.706725465073307 60.91768866627162, 10.714393631522734 60.91560228452282, 10.71474316610305 60.915459209993855)"/>
    <s v="[377025, 377033, 376576]"/>
    <s v="[366018, 365569, 365570]"/>
    <s v="0.003860611204715182"/>
    <s v="[365830, 366018, 365569]"/>
    <s v="[0.0, 0.002, 0.043]"/>
    <s v="539.2159698711888"/>
    <s v="[0.0, 0.002, 0.043]"/>
  </r>
  <r>
    <x v="973"/>
    <x v="1185"/>
    <x v="0"/>
    <n v="0"/>
    <m/>
    <n v="818982"/>
    <n v="365570"/>
    <s v="#FIELD!"/>
    <n v="366078"/>
    <s v="0.057"/>
    <s v="45.40022431634393"/>
    <s v="#FIELD!"/>
  </r>
  <r>
    <x v="974"/>
    <x v="1321"/>
    <x v="0"/>
    <n v="0"/>
    <s v="LINESTRING (10.7041228101694 60.91975426798983, 10.7041228101694 60.91975426798983, 10.70026699117474 60.91946284775783, 10.699792355969489 60.91951042452344)"/>
    <s v="[376961, 376969, 376977]"/>
    <s v="[365955, 365963, 365756]"/>
    <s v="#FIELD!"/>
    <s v="[365813, 365955, 365963]"/>
    <s v="[0.0, 0.027, 0.033]"/>
    <s v="265.44342920110535"/>
    <s v="[0.0, -0.027, -0.033]"/>
  </r>
  <r>
    <x v="975"/>
    <x v="1322"/>
    <x v="0"/>
    <n v="0"/>
    <s v="LINESTRING (18.356232818398563 68.87612208935664, 18.356098641932544 68.87654732555069, 18.35604531117764 68.87662084465566, 18.356019956299882 68.87665557585126, 18.355800295613857 68.87694909456583, 18.355535840355323 68.8771652826532)"/>
    <s v="[376972, 376980, 376988, 376996, 377004]"/>
    <s v="[365969, 365938, 365985, 365993, 366000]"/>
    <s v="#FIELD!"/>
    <s v="[365968, 365969, 365938, 365985, 365993]"/>
    <s v="[0.015, 0.006, 0.006, 0.006, 0.0]"/>
    <s v="120.95131422332648"/>
    <s v="[-0.015, -0.006, -0.006, -0.006, 0.0]"/>
  </r>
  <r>
    <x v="975"/>
    <x v="1322"/>
    <x v="0"/>
    <n v="0"/>
    <s v="LINESTRING (18.356232818398563 68.87612208935664, 18.355884207862072 68.87652380878933, 18.355830368512386 68.87660218693351, 18.355807115574986 68.87663600558409, 18.355607596866612 68.87692905479447, 18.355569225518078 68.87699140407967, 18.355535840355323 68.8771652826532)"/>
    <s v="[377012, 377020, 377028, 377036, 377044, 377052]"/>
    <s v="[366007, 365937, 366023, 366031, 366039, 366000]"/>
    <s v="#FIELD!"/>
    <s v="[365968, 366007, 365937, 366023, 366031, 366039]"/>
    <s v="[0.001, 0.009, 0.014, 0.009, 0.01, 0.023]"/>
    <s v="120.23594087438467"/>
    <s v="[-0.001, -0.009, -0.014, -0.009, -0.01, -0.023]"/>
  </r>
  <r>
    <x v="975"/>
    <x v="1323"/>
    <x v="0"/>
    <n v="0"/>
    <s v="LINESTRING (18.348458552925457 68.8612839051235, 18.34840368215322 68.86137514254102, 18.348373013170328 68.86142405763842, 18.348331115470124 68.86149250033995, 18.34786848886689 68.86217464321574, 18.347737374944042 68.86236935567962, 18.347504305302557 68.86271091875109, 18.347401296109563 68.86286132817452, 18.34690411623284 68.86354207339875, 18.346671424513055 68.86382686655936, 18.346441503311315 68.86410006581127, 18.34633962153865 68.86422114232312, 18.346088109132175 68.86451864300433, 18.345741427325233 68.8649916120178, 18.345714063398095 68.86512505039343, 18.345821713635985 68.86539780135689, 18.346258010649212 68.86573498848661, 18.3465010873976 68.86585823733301, 18.346710215168528 68.86594882135103, 18.3469232655318 68.8660380168851, 18.34972128125343 68.86716124796739, 18.352356290328007 68.8682181300479, 18.352775549390287 68.8683852387862, 18.355243216513408 68.86940273523189, 18.355887602433167 68.86973841750874, 18.355942777293386 68.86977058081115, 18.356186198482924 68.86992794281079, 18.357382331979178 68.87168053567576, 18.357310933594004 68.87220591635828, 18.356719334881564 68.87448332135106, 18.356711967914826 68.8745146804983, 18.35663945901967 68.87480310560798, 18.356594495323012 68.87497442938201, 18.35635452180893 68.87582146914684, 18.356232818398563 68.87612208935664)"/>
    <s v="[1129912, 1129920, 1129928, 1129936, 1129944, 1129952, 1129960, 1129968, 1129976, 1129984, 1129992, 1130000, 1056627, 1056635, 1056643, 1056651, 1056659, 1056667, 1056675, 1056683, 1056691, 1056699, 1056707, 1056715, 1056723, 1056731, 1056739, 1056747, 1056755, 1056763, 1056771, 1056779, 1056787, 1056795]"/>
    <s v="[1067788, 1067798, 1067805, 1067813, 1067819, 1067828, 1067836, 1067843, 1041382, 918200, 1067860, 1004767, 1004768, 1004776, 1004781, 1004787, 1004793, 904176, 893003, 904149, 904203, 928682, 928697, 1004829, 1004835, 891087, 903576, 904086, 1004853, 1004859, 1004864, 1004873, 1004880, 365968]"/>
    <s v="0.0027142921389074984"/>
    <s v="[1067779, 1067788, 1067798, 1067805, 1067813, 1067819, 1067828, 1067836, 1067843, 1041382, 918200, 1067860, 1004767, 1004768, 1004776, 1004781, 1004787, 1004793, 904176, 893003, 904149, 904203, 928682, 928697, 1004829, 1004835, 891087, 903576, 904086, 1004853, 1004859, 1004864, 1004873, 1004880]"/>
    <s v="[0.019, 0.01, 0.018, 0.009, 0.004, 0.001, 0.004, 0.004, 0.002, 0.0, 0.0, 0.0, 0.002, 0.012, 0.013, 0.014, 0.025, 0.032, 0.03, 0.005, 0.017, 0.025, 0.015, 0.027, 0.029, 0.033, 0.008, 0.012, 0.005, 0.013, 0.019, 0.019, 0.024, 0.022]"/>
    <s v="1831.7665660023858"/>
    <s v="[-0.019, -0.01, -0.018, -0.009, -0.004, -0.001, -0.004, -0.004, -0.002, 0.0, 0.0, 0.0, -0.002, 0.012, 0.013, -0.014, -0.025, -0.032, -0.03, 0.005, 0.017, 0.025, 0.015, 0.027, 0.029, 0.033, 0.008, 0.012, 0.005, -0.013, -0.019, -0.019, -0.024, -0.022]"/>
  </r>
  <r>
    <x v="976"/>
    <x v="1324"/>
    <x v="0"/>
    <s v="[0, 0, 0, 0, 0, 0, 0, 0, 0, 1, 0]"/>
    <s v="LINESTRING (18.355535840355323 68.8771652826532, 18.355410644416857 68.87733298028118, 18.355075343142698 68.87778985810273, 18.35441113113471 68.87890206369318, 18.35390839773808 68.88030464857545, 18.35291206356035 68.88152820472783, 18.351507231249467 68.88228157492449, 18.35140416585266 68.8823904282972, 18.352189693803155 68.88360333828571, 18.353851809104672 68.88500047568651, 18.354086959444956 68.88540810154495, 18.357409721165286 68.88742848556741)"/>
    <s v="[1056803, 1056811, 1056819, 1056827, 1056835, 1056843, 1056851, 2084886, 2084887, 2084910, 2084911]"/>
    <s v="[1004893, 1004902, 928926, 893290, 1004918, 1004925, 1004931, 1806528, 1806529, 1806541, 1806461]"/>
    <s v="0.005803956643364417"/>
    <s v="[366000, 1004893, 1004902, 928926, 893290, 1004918, 1004925, 1004931, 1806528, 1806529, 1806541]"/>
    <s v="[0.009, 0.012, 0.023, 0.043, 0.044, 0.023, 0.033, 0.023, 0.024, 0.098, 0.075]"/>
    <s v="1246.503241312195"/>
    <s v="[-0.009, 0.012, -0.023, -0.043, -0.044, -0.023, -0.033, -0.023, 0.024, 0.098, 0.075]"/>
  </r>
  <r>
    <x v="977"/>
    <x v="1325"/>
    <x v="0"/>
    <n v="0"/>
    <s v="LINESTRING (5.726645990103853 58.94462762790107, 5.726645990103853 58.94462762790107, 5.726454207893929 58.94458703367787)"/>
    <s v="[377289, 377291]"/>
    <s v="[366318, 366321]"/>
    <s v="0.1278133917363286"/>
    <s v="[366303, 366318]"/>
    <s v="[0.0, 0.21]"/>
    <s v="19.662565882471092"/>
    <s v="[0.0, 0.21]"/>
  </r>
  <r>
    <x v="978"/>
    <x v="1326"/>
    <x v="0"/>
    <n v="0"/>
    <m/>
    <n v="1438918"/>
    <n v="1307759"/>
    <s v="#FIELD!"/>
    <n v="366321"/>
    <s v="0.294"/>
    <s v="9.708243919651009"/>
    <s v="#FIELD!"/>
  </r>
  <r>
    <x v="978"/>
    <x v="1327"/>
    <x v="0"/>
    <s v="[0, 0, 1, 1, 0]"/>
    <s v="LINESTRING (5.726454207893929 58.94458703367787, 5.725980947092599 58.94450013707291, 5.725631922285588 58.94443360669112, 5.7244602606087005 58.9442931381886, 5.724242730802668 58.94428798241664, 5.724033340798482 58.9442844088921)"/>
    <s v="[377292, 377293, 377295, 377296, 377297]"/>
    <s v="[366322, 366323, 366324, 366325, 366326]"/>
    <s v="0.00842560340392442"/>
    <s v="[366321, 366322, 366323, 366324, 366325]"/>
    <s v="[0.007, 0.009, 0.009, 0.007, 0.009]"/>
    <s v="144.76606285281264"/>
    <s v="[0.007, 0.009, 0.009, 0.007, 0.009]"/>
  </r>
  <r>
    <x v="978"/>
    <x v="1328"/>
    <x v="0"/>
    <n v="0"/>
    <s v="LINESTRING (5.7256139626397795 58.941677011497454, 5.725773403685629 58.94211507204001, 5.72660020703251 58.9445063169334, 5.726591090862134 58.94453999745598, 5.72652753682439 58.94456160971099, 5.726454207893929 58.94458703367787)"/>
    <s v="[378997, 804265, 378998, 378999, 379000]"/>
    <s v="[367953, 367954, 367955, 367956, 366321]"/>
    <s v="#FIELD!"/>
    <s v="[367952, 367953, 367954, 367955, 367956]"/>
    <s v="[0.018, 0.012, 0.006, 0.001, 0.002]"/>
    <s v="338.40729496261343"/>
    <s v="[-0.018, -0.012, -0.006, -0.001, -0.002]"/>
  </r>
  <r>
    <x v="979"/>
    <x v="1329"/>
    <x v="0"/>
    <n v="0"/>
    <s v="LINESTRING (10.749976359258001 59.90898603445817, 10.750099245694107 59.909009847358554, 10.750133282699698 59.909039899738644, 10.750522870777479 59.90942744228996, 10.750711310773482 59.909479608912704, 10.75094305022301 59.90942667546446, 10.752930111596209 59.90894536679139, 10.753167378393695 59.908887653522896, 10.753464199189349 59.908815046952924, 10.75374427678528 59.90874693488932, 10.755037932352252 59.90843277585995, 10.755307349399207 59.908367194094616, 10.755621102540903 59.90829090286647, 10.755960643049136 59.908211746910894, 10.758822806789736 59.90752054190697, 10.759028152189428 59.90746687008813, 10.759225287616076 59.907417339326, 10.759282575991152 59.90740248779591, 10.759338878578072 59.90738848566004, 10.759506588182955 59.90734983036118, 10.760105851040924 59.907201910878356, 10.760295225824901 59.907154385465105, 10.760472048597286 59.907111499762635, 10.760527157741127 59.90710024610435, 10.760597567113122 59.90708245381464, 10.76076653307407 59.90704276743699, 10.761139972803749 59.90695421530201, 10.761574293281894 59.90684353422815, 10.761789444016108 59.90678913103084, 10.761898044750408 59.906766516589876, 10.762045696468977 59.906730251435974)"/>
    <s v="[2146046, 2146054, 755898, 755906, 755914, 755922, 755935, 755951, 755955, 755963, 755971, 755991, 756229, 756237, 756245, 756253, 756261, 756269, 756277, 756285, 756293, 756301, 756309, 756317, 756325, 756333, 756341, 756349, 377461, 377462]"/>
    <s v="[1841917, 736501, 736502, 638903, 736512, 736519, 736530, 638970, 736544, 736550, 736554, 638927, 736759, 736764, 736772, 736216, 736784, 736202, 736796, 736803, 736809, 639205, 736820, 639228, 736828, 736833, 736841, 366502, 366499, 366503]"/>
    <s v="0.002239422511288079"/>
    <s v="[647963, 1841917, 736501, 736502, 638903, 736512, 736519, 736530, 638970, 736544, 736550, 736554, 638927, 736759, 736764, 736772, 736216, 736784, 736202, 736796, 736803, 736809, 639205, 736820, 639228, 736828, 736833, 736841, 366502, 366499]"/>
    <s v="[0.05, 0.101, 0.001, 0.001, 0.002, 0.008, 0.006, 0.003, 0.001, 0.001, 0.003, 0.006, 0.006, 0.008, 0.014, 0.015, 0.018, 0.014, 0.016, 0.008, 0.002, 0.006, 0.009, 0.009, 0.011, 0.007, 0.009, 0.119, 0.003, 0.003]"/>
    <s v="776.6616233678278"/>
    <s v="[0.05, -0.101, -0.001, -0.001, -0.002, 0.008, -0.006, -0.003, -0.001, 0.001, -0.003, -0.006, 0.006, -0.008, 0.014, 0.015, 0.018, 0.014, 0.016, 0.008, -0.002, -0.006, -0.009, -0.009, -0.011, -0.007, 0.009, 0.119, 0.003, 0.003]"/>
  </r>
  <r>
    <x v="980"/>
    <x v="1330"/>
    <x v="0"/>
    <n v="0"/>
    <s v="LINESTRING (7.708097629884563 58.09711001180007, 7.707799612309413 58.097339413333565, 7.707053043560309 58.09888435214935, 7.707084966470999 58.09907891600481)"/>
    <s v="[377684, 377692, 377700]"/>
    <s v="[366709, 366718, 366726]"/>
    <s v="#FIELD!"/>
    <s v="[366708, 366709, 366718]"/>
    <s v="[0.012, 0.029, 0.064]"/>
    <s v="233.34650454628814"/>
    <s v="[0.012, -0.029, -0.064]"/>
  </r>
  <r>
    <x v="980"/>
    <x v="1331"/>
    <x v="0"/>
    <n v="0"/>
    <s v="LINESTRING (7.708480165042766 58.09698147378121, 7.708407941837666 58.09699742190481, 7.708097629884563 58.09711001180007)"/>
    <s v="[1264044, 1264052]"/>
    <s v="[1181148, 366708]"/>
    <s v="0.05378949986483303"/>
    <s v="[366751, 1181148]"/>
    <s v="[1.524, 0.382]"/>
    <s v="26.84896511394347"/>
    <s v="[-1.524, 0.382]"/>
  </r>
  <r>
    <x v="980"/>
    <x v="1332"/>
    <x v="0"/>
    <n v="0"/>
    <s v="LINESTRING (7.708287791532453 58.09688765739256, 7.708263248424699 58.09692762172241, 7.708097629884563 58.09711001180007)"/>
    <s v="[1264073, 1264074]"/>
    <s v="[1181180, 366708]"/>
    <s v="#FIELD!"/>
    <s v="[366764, 1181180]"/>
    <s v="[1.848, 0.376]"/>
    <s v="27.271722302429364"/>
    <s v="[-1.848, 0.376]"/>
  </r>
  <r>
    <x v="981"/>
    <x v="1333"/>
    <x v="0"/>
    <n v="0"/>
    <s v="LINESTRING (7.707084966470999 58.09907891600481, 7.707050063176063 58.09927720784088, 7.707038550532723 58.09931422571418)"/>
    <s v="[1263997, 1264013]"/>
    <s v="[1181103, 366873]"/>
    <s v="#FIELD!"/>
    <s v="[366726, 1181103]"/>
    <s v="[0.506, 2.976]"/>
    <s v="26.40892407622975"/>
    <s v="[0.506, -2.976]"/>
  </r>
  <r>
    <x v="981"/>
    <x v="1334"/>
    <x v="0"/>
    <n v="0"/>
    <s v="LINESTRING (7.707084966470999 58.09907891600481, 7.707246887132823 58.099255627267546, 7.707291786413872 58.099288227862246)"/>
    <s v="[1264030, 1264031]"/>
    <s v="[1181136, 366804]"/>
    <s v="#FIELD!"/>
    <s v="[366726, 1181136]"/>
    <s v="[0.48, 2.86]"/>
    <s v="26.418734315952165"/>
    <s v="[0.48, -2.86]"/>
  </r>
  <r>
    <x v="982"/>
    <x v="1331"/>
    <x v="0"/>
    <n v="0"/>
    <m/>
    <n v="377732"/>
    <n v="366751"/>
    <s v="0.098"/>
    <n v="366750"/>
    <s v="0.098"/>
    <s v="10.022699237270029"/>
    <s v="0.098"/>
  </r>
  <r>
    <x v="982"/>
    <x v="1335"/>
    <x v="0"/>
    <n v="0"/>
    <m/>
    <n v="377801"/>
    <n v="366750"/>
    <s v="0.024"/>
    <n v="366797"/>
    <s v="0.024"/>
    <s v="18.205933477625504"/>
    <s v="0.024"/>
  </r>
  <r>
    <x v="983"/>
    <x v="1332"/>
    <x v="0"/>
    <n v="0"/>
    <s v="LINESTRING (7.708480165042766 58.09698147378121, 7.708360206883622 58.09694545794323, 7.708287791532453 58.09688765739256)"/>
    <s v="[377740, 377748]"/>
    <s v="[366757, 366764]"/>
    <s v="0.1021283287419927"/>
    <s v="[366751, 366757]"/>
    <s v="[0.107, 0.097]"/>
    <s v="15.887426776232282"/>
    <s v="[0.107, 0.097]"/>
  </r>
  <r>
    <x v="984"/>
    <x v="1336"/>
    <x v="0"/>
    <n v="0"/>
    <s v="LINESTRING (7.708287791532453 58.09688765739256, 7.708275804796104 58.096801692009755, 7.708325615607929 58.096743872205316, 7.708414963296664 58.09670179384754, 7.708696257235835 58.09670075486588)"/>
    <s v="[377759, 377767, 377768, 377776]"/>
    <s v="[366772, 366779, 366780, 366788]"/>
    <s v="#FIELD!"/>
    <s v="[366764, 366772, 366779, 366780]"/>
    <s v="[0.06, 0.007, 0.034, 0.099]"/>
    <s v="40.95098237430665"/>
    <s v="[0.06, 0.007, -0.034, -0.099]"/>
  </r>
  <r>
    <x v="985"/>
    <x v="1337"/>
    <x v="0"/>
    <n v="0"/>
    <s v="LINESTRING (7.708696257235835 58.09670075486588, 7.7087945106837 58.096747961936146, 7.708843557950939 58.09681676791357)"/>
    <s v="[377777, 377785]"/>
    <s v="[366789, 366793]"/>
    <s v="#FIELD!"/>
    <s v="[366788, 366789]"/>
    <s v="[0.104, 0.084]"/>
    <s v="16.04534966879057"/>
    <s v="[-0.104, -0.084]"/>
  </r>
  <r>
    <x v="985"/>
    <x v="1338"/>
    <x v="0"/>
    <n v="0"/>
    <s v="LINESTRING (7.709165447601578 58.0966186648854, 7.708899019067654 58.09667314061661, 7.708770046302126 58.09669210815388, 7.708696257235835 58.09670075486588)"/>
    <s v="[1264084, 1264091, 1264097]"/>
    <s v="[1181190, 1181197, 366788]"/>
    <s v="0.07932912041851801"/>
    <s v="[367381, 1181190, 1181197]"/>
    <s v="[0.427, 0.038, 2.066]"/>
    <s v="29.248124865553606"/>
    <s v="[-0.427, 0.038, 2.066]"/>
  </r>
  <r>
    <x v="986"/>
    <x v="1335"/>
    <x v="0"/>
    <n v="0"/>
    <m/>
    <n v="377793"/>
    <n v="366797"/>
    <s v="#FIELD!"/>
    <n v="366793"/>
    <s v="0.047"/>
    <s v="4.7169905662134015"/>
    <s v="#FIELD!"/>
  </r>
  <r>
    <x v="986"/>
    <x v="1338"/>
    <x v="0"/>
    <n v="0"/>
    <s v="LINESTRING (7.709165447601578 58.0966186648854, 7.708962868172834 58.096725147695125, 7.708884590786309 58.0967818984593, 7.708843557950939 58.09681676791357)"/>
    <s v="[1264136, 1264137, 1264144]"/>
    <s v="[1181242, 1181243, 366793]"/>
    <s v="0.028129706805077023"/>
    <s v="[367381, 1181242, 1181243]"/>
    <s v="[0.42, 0.042, 1.653]"/>
    <s v="29.291440098653776"/>
    <s v="[-0.42, 0.042, 1.653]"/>
  </r>
  <r>
    <x v="987"/>
    <x v="1339"/>
    <x v="0"/>
    <n v="0"/>
    <s v="LINESTRING (7.708841698411581 58.09685902848684, 7.708876087658811 58.09689472000329, 7.708971195726654 58.096964732643485, 7.710314201681824 58.09853226980479)"/>
    <s v="[1259915, 1259929, 1259937]"/>
    <s v="[1177490, 1177499, 1177506]"/>
    <s v="#FIELD!"/>
    <s v="[366797, 1177490, 1177499]"/>
    <s v="[0.09, 0.095, 0.08]"/>
    <s v="214.17181303104488"/>
    <s v="[-0.09, -0.095, -0.08]"/>
  </r>
  <r>
    <x v="988"/>
    <x v="1340"/>
    <x v="0"/>
    <n v="0"/>
    <m/>
    <n v="377802"/>
    <n v="366805"/>
    <s v="#FIELD!"/>
    <n v="366804"/>
    <s v="0.083"/>
    <s v="25.332861545130214"/>
    <s v="#FIELD!"/>
  </r>
  <r>
    <x v="988"/>
    <x v="1333"/>
    <x v="0"/>
    <n v="0"/>
    <s v="LINESTRING (7.707038550532723 58.09931422571418, 7.707156069361262 58.09928582970995, 7.707291786413872 58.099288227862246)"/>
    <s v="[377892, 377915]"/>
    <s v="[366887, 366804]"/>
    <s v="#FIELD!"/>
    <s v="[366873, 366887]"/>
    <s v="[0.064, 0.083]"/>
    <s v="15.654217919585928"/>
    <s v="[-0.064, -0.083]"/>
  </r>
  <r>
    <x v="989"/>
    <x v="1305"/>
    <x v="0"/>
    <n v="0"/>
    <m/>
    <n v="377815"/>
    <n v="366815"/>
    <s v="0.0"/>
    <n v="366805"/>
    <s v="0.0"/>
    <s v="12.868318823266264"/>
    <s v="0.0"/>
  </r>
  <r>
    <x v="989"/>
    <x v="1341"/>
    <x v="0"/>
    <n v="0"/>
    <s v="LINESTRING (7.707498514060101 58.09946481178987, 7.7075436244994 58.09948228026599, 7.707655622549452 58.09951729789491, 7.709784164351779 58.0993702716892)"/>
    <s v="[1259770, 1259778, 1259794]"/>
    <s v="[1177393, 1177398, 1177408]"/>
    <s v="#FIELD!"/>
    <s v="[366805, 1177393, 1177398]"/>
    <s v="[0.098, 0.11, 0.064]"/>
    <s v="166.34375530272678"/>
    <s v="[-0.098, -0.11, -0.064]"/>
  </r>
  <r>
    <x v="990"/>
    <x v="1333"/>
    <x v="0"/>
    <n v="0"/>
    <s v="LINESTRING (7.707382760781508 58.099560106245654, 7.707274909441903 58.09958536268207, 7.707149200163387 58.09958480224095, 7.707041296624901 58.09955804248614, 7.706954063091884 58.09950191289913, 7.706925901051051 58.09943836406381, 7.706949403041016 58.09937445185901, 7.707038550532723 58.09931422571418)"/>
    <s v="[377816, 377823, 377839, 377853, 377861, 377880, 377882]"/>
    <s v="[366816, 366822, 366838, 366848, 366855, 366871, 366873]"/>
    <s v="0.06183543358946548"/>
    <s v="[366815, 366816, 366822, 366838, 366848, 366855, 366871]"/>
    <s v="[0.053, 0.09, 0.096, 0.102, 0.065, 0.046, 0.011]"/>
    <s v="52.632314336033474"/>
    <s v="[0.053, 0.09, 0.096, 0.102, 0.065, 0.046, -0.011]"/>
  </r>
  <r>
    <x v="991"/>
    <x v="1338"/>
    <x v="0"/>
    <n v="0"/>
    <m/>
    <n v="378452"/>
    <n v="367381"/>
    <s v="0.043"/>
    <n v="367380"/>
    <s v="0.043"/>
    <s v="43.009977824686615"/>
    <s v="0.043"/>
  </r>
  <r>
    <x v="991"/>
    <x v="1342"/>
    <x v="0"/>
    <n v="0"/>
    <s v="LINESTRING (7.710003933377151 58.09618200093581, 7.710003933377151 58.09618200093581, 7.709915864939879 58.09624035266132, 7.7097141990916125 58.09636780235956)"/>
    <s v="[1264075, 1264077, 1264078]"/>
    <s v="[1181181, 1181182, 367380]"/>
    <s v="0.28432273337243474"/>
    <s v="[367224, 1181181, 1181182]"/>
    <s v="[0.0, 0.037, 0.453]"/>
    <s v="30.864538231334016"/>
    <s v="[0.0, 0.037, 0.453]"/>
  </r>
  <r>
    <x v="991"/>
    <x v="1343"/>
    <x v="0"/>
    <n v="0"/>
    <s v="LINESTRING (7.709819914898302 58.09615618484915, 7.709819914898302 58.09615618484915, 7.70979885650353 58.09622100404862, 7.7097141990916125 58.09636780235956)"/>
    <s v="[1264105, 1264114, 1264122]"/>
    <s v="[1181204, 1181215, 367380]"/>
    <s v="0.3170192939615413"/>
    <s v="[367242, 1181204, 1181215]"/>
    <s v="[0.0, 0.03, 0.488]"/>
    <s v="27.059311881617553"/>
    <s v="[0.0, 0.03, 0.488]"/>
  </r>
  <r>
    <x v="992"/>
    <x v="1064"/>
    <x v="0"/>
    <n v="0"/>
    <s v="LINESTRING (5.6954287484608725 58.91302854344897, 5.698655032975415 58.917339435054984, 5.698667239797976 58.91734706221445, 5.698728305859256 58.91738520934536, 5.700147443773206 58.918180783893405, 5.701010079972144 58.91861120070144, 5.703205131061988 58.91964908687528, 5.70352752537634 58.919806109685695)"/>
    <s v="[1117141, 1117147, 1117157, 1117166, 1117170, 1117175, 1117183]"/>
    <s v="[1056169, 1056172, 1056174, 1056184, 1056185, 1056186, 367537]"/>
    <s v="#FIELD!"/>
    <s v="[367411, 1056169, 1056172, 1056174, 1056184, 1056185, 1056186]"/>
    <s v="[0.006, 0.03, 0.025, 0.02, 0.023, 0.02, 0.018]"/>
    <s v="920.2789111982433"/>
    <s v="[-0.006, -0.03, -0.025, -0.02, -0.023, -0.02, 0.018]"/>
  </r>
  <r>
    <x v="992"/>
    <x v="1344"/>
    <x v="0"/>
    <n v="0"/>
    <s v="LINESTRING (5.698414002314633 58.90923087843139, 5.698509509307885 58.90922840984544, 5.697626136172176 58.910050911722585, 5.695584361169236 58.9120266605238, 5.695573563290292 58.91208778947756, 5.695503305970819 58.91277306476077, 5.6954287484608725 58.91302854344897)"/>
    <s v="[803753, 803758, 803759, 803765, 803766, 378488]"/>
    <s v="[782203, 782208, 782209, 782216, 367410, 367411]"/>
    <s v="#FIELD!"/>
    <s v="[782195, 782203, 782208, 782209, 782216, 367410]"/>
    <s v="[0.014, 0.0, 0.005, 0.001, 0.015, 0.009]"/>
    <s v="523.1383344101656"/>
    <s v="[-0.014, 0.0, -0.005, 0.001, -0.015, -0.009]"/>
  </r>
  <r>
    <x v="992"/>
    <x v="1345"/>
    <x v="0"/>
    <n v="0"/>
    <s v="LINESTRING (5.698652979838435 58.90766861798844, 5.697342042400969 58.90888553499447, 5.6972527135727535 58.908979507767356, 5.695502088820794 58.91197360645128, 5.69550029162662 58.91198396799742, 5.695491332689265 58.912035804802066, 5.695480284149913 58.91209927422658, 5.6954287484608725 58.91302854344897)"/>
    <s v="[1117076, 1117084, 1117104, 1117112, 1117120, 1117128, 1117136]"/>
    <s v="[1056146, 1056151, 1056158, 1056161, 1056164, 1056167, 367411]"/>
    <s v="0.0020331075914748983"/>
    <s v="[1056139, 1056146, 1056151, 1056158, 1056161, 1056164, 1056167]"/>
    <s v="[0.034, 0.0, 0.007, 0.001, 0.002, 0.001, 0.015]"/>
    <s v="636.6512562766025"/>
    <s v="[0.034, -0.0, -0.007, -0.001, 0.002, 0.001, -0.015]"/>
  </r>
  <r>
    <x v="993"/>
    <x v="1346"/>
    <x v="0"/>
    <n v="0"/>
    <s v="LINESTRING (5.695222415018482 58.91209357149136, 5.695195232564892 58.912026197601406, 5.695200358002035 58.91195661398456, 5.69521025539518 58.911806576668894, 5.6955536920395815 58.91083801830405, 5.696173694266705 58.90912559796205, 5.695129170360184 58.908216662145996, 5.695053240538182 58.90817007737598, 5.694983559388327 58.90812608790383, 5.6941053377688595 58.907421294749106, 5.6940516035607684 58.90730828075002)"/>
    <s v="[378566, 378581, 378582, 803767, 1383335, 1383343, 1383351, 1383359, 1383367, 1383575]"/>
    <s v="[367488, 367503, 367504, 782217, 1271533, 1271535, 1271539, 1271543, 1271550, 1271672]"/>
    <s v="#FIELD!"/>
    <s v="[367487, 367488, 367503, 367504, 782217, 1271533, 1271535, 1271539, 1271543, 1271550]"/>
    <s v="[0.009, 0.01, 0.009, 0.007, 0.011, 0.02, 0.044, 0.038, 0.041, 0.042]"/>
    <s v="578.4406594765936"/>
    <s v="[0.009, 0.01, 0.009, 0.007, 0.011, -0.02, -0.044, -0.038, -0.041, -0.042]"/>
  </r>
  <r>
    <x v="993"/>
    <x v="1347"/>
    <x v="0"/>
    <n v="0"/>
    <s v="LINESTRING (5.695222415018482 58.91209357149136, 5.695175695348472 58.913032561880016, 5.698481029304019 58.917438038979604, 5.698492140823175 58.917444872771625, 5.698503249943082 58.917451715425415, 5.698547676541645 58.91747905820113, 5.699968348801741 58.918274773196096, 5.7008396378831 58.91870562901309)"/>
    <s v="[1018838, 1018846, 1018854, 1018862, 1018870, 1018878, 1018886]"/>
    <s v="[974959, 974964, 974970, 974976, 974982, 974988, 367572]"/>
    <s v="#FIELD!"/>
    <s v="[367487, 974959, 974964, 974970, 974976, 974982, 974988]"/>
    <s v="[0.011, 0.01, 0.004, 0.033, 0.027, 0.021, 0.035]"/>
    <s v="839.3576846978546"/>
    <s v="[0.011, -0.01, -0.004, -0.033, -0.027, -0.021, -0.035]"/>
  </r>
  <r>
    <x v="993"/>
    <x v="1348"/>
    <x v="0"/>
    <n v="0"/>
    <s v="LINESTRING (5.699858095853455 58.906489886364675, 5.699325249818978 58.90689580898305, 5.698546907345969 58.907515552595065, 5.698463000920428 58.90758549236509, 5.697124470746213 58.90882478697284, 5.697033710094606 58.90892171924628, 5.695248519792853 58.91196036264476, 5.695246000919965 58.911971774328144, 5.695243501581889 58.91198317839242, 5.695233445598777 58.91202881750576, 5.695222415018482 58.91209357149136)"/>
    <s v="[1018758, 1018766, 1018774, 1018782, 1018790, 1018798, 1018806, 1018814, 1018822, 1018830]"/>
    <s v="[974903, 974908, 974914, 974920, 974925, 974931, 974936, 974941, 974947, 367487]"/>
    <s v="0.006934535703901237"/>
    <s v="[974896, 974903, 974908, 974914, 974920, 974925, 974931, 974936, 974941, 974947]"/>
    <s v="[0.002, 0.024, 0.033, 0.036, 0.002, 0.007, 0.001, 0.013, 0.004, 0.117]"/>
    <s v="688.8089789822546"/>
    <s v="[0.002, 0.024, 0.033, 0.036, -0.002, -0.007, 0.001, 0.013, 0.004, -0.117]"/>
  </r>
  <r>
    <x v="994"/>
    <x v="1349"/>
    <x v="0"/>
    <s v="[0, 0, 0, 0, 1, 1, 1, 0, 0, 0, 0]"/>
    <s v="LINESTRING (5.70352752537634 58.919806109685695, 5.704319477050102 58.92022218492492, 5.705278503980935 58.92082534761594, 5.706684398554967 58.9221107521967, 5.7067179872209755 58.92215652758336, 5.706926612526479 58.92244428213093, 5.707385433885702 58.923314016565804, 5.707403318194707 58.9233587439764, 5.707837154597633 58.925317256454925, 5.707929178495409 58.92596150521637, 5.708053950130304 58.926794467656556, 5.708058854544316 58.926828928294704)"/>
    <s v="[1117191, 1117195, 1117196, 1117197, 1117198, 1117206, 1117214, 1117222, 1117235, 1117236, 1117243]"/>
    <s v="[1056197, 1056200, 1056201, 1056202, 1056203, 1056209, 1056211, 1056215, 1056222, 1056223, 367898]"/>
    <s v="0.021717557479177"/>
    <s v="[367537, 1056197, 1056200, 1056201, 1056202, 1056203, 1056209, 1056211, 1056215, 1056222, 1056223]"/>
    <s v="[0.002, 0.002, 0.006, 0.013, 0.009, 0.051, 0.059, 0.059, 0.047, 0.046, 1.624]"/>
    <s v="853.3742402927451"/>
    <s v="[-0.002, 0.002, -0.006, -0.013, -0.009, 0.051, 0.059, 0.059, 0.047, 0.046, -1.624]"/>
  </r>
  <r>
    <x v="995"/>
    <x v="1350"/>
    <x v="0"/>
    <s v="[0, 0, 0, 1, 1]"/>
    <s v="LINESTRING (5.7008396378831 58.91870562901309, 5.703073501871668 58.91975691462285, 5.703298416753923 58.919866402498954, 5.706451008151551 58.9221757834362, 5.706500027209204 58.92223625973166, 5.706680126650279 58.9224855375671)"/>
    <s v="[1018894, 1018902, 1018910, 1018918, 1018926]"/>
    <s v="[974996, 975001, 975006, 975011, 367780]"/>
    <s v="0.011418309225191306"/>
    <s v="[367572, 974996, 975001, 975006, 975011]"/>
    <s v="[0.014, 0.005, 0.001, 0.011, 0.303]"/>
    <s v="547.9112267036069"/>
    <s v="[-0.014, 0.005, -0.001, -0.011, 0.303]"/>
  </r>
  <r>
    <x v="995"/>
    <x v="1351"/>
    <x v="0"/>
    <n v="0"/>
    <s v="LINESTRING (5.703580098779093 58.921069147182806, 5.703669327996886 58.921049409335545, 5.701093673369973 58.918880184963385, 5.7008396378831 58.91870562901309)"/>
    <s v="[803778, 803782, 378640]"/>
    <s v="[782229, 367571, 367572]"/>
    <s v="0.010205439909646027"/>
    <s v="[782228, 782229, 367571]"/>
    <s v="[0.019, 0.009, 0.024]"/>
    <s v="350.29764000916134"/>
    <s v="[0.019, 0.009, 0.024]"/>
  </r>
  <r>
    <x v="996"/>
    <x v="1352"/>
    <x v="0"/>
    <n v="0"/>
    <s v="LINESTRING (7.533886757998152 58.06912587555298, 7.53369078743943 58.06913380013719, 7.530655319533909 58.06947030327233, 7.530411919105826 58.06939861028987)"/>
    <s v="[378650, 378657, 378664]"/>
    <s v="[367584, 367592, 367599]"/>
    <s v="#FIELD!"/>
    <s v="[367583, 367584, 367592]"/>
    <s v="[0.026, 0.006, 0.004]"/>
    <s v="225.5023144683126"/>
    <s v="[-0.026, -0.006, -0.004]"/>
  </r>
  <r>
    <x v="996"/>
    <x v="1353"/>
    <x v="0"/>
    <n v="0"/>
    <s v="LINESTRING (7.533886757998152 58.06912587555298, 7.533255707678624 58.06912755020803, 7.533136947691964 58.06914545236712, 7.532965351338588 58.069182915185635, 7.532903423061004 58.0691999114357)"/>
    <s v="[1436528, 1436536, 1436544, 1436552]"/>
    <s v="[1306046, 1306053, 1306060, 1306066]"/>
    <s v="#FIELD!"/>
    <s v="[367583, 1306046, 1306053, 1306060]"/>
    <s v="[0.026, 0.004, 0.003, 0.01]"/>
    <s v="59.8018274860465"/>
    <s v="[-0.026, -0.004, -0.003, 0.01]"/>
  </r>
  <r>
    <x v="996"/>
    <x v="1354"/>
    <x v="0"/>
    <n v="0"/>
    <s v="LINESTRING (7.544835399496939 58.069920864296655, 7.544835399496939 58.069920864296655, 7.533886757998152 58.06912587555298)"/>
    <s v="[1249273, 1436520]"/>
    <s v="[1168631, 367583]"/>
    <s v="#FIELD!"/>
    <s v="[1168630, 1168631]"/>
    <s v="[0.0, 0.047]"/>
    <s v="694.0110950624306"/>
    <s v="[0.0, -0.047]"/>
  </r>
  <r>
    <x v="997"/>
    <x v="1355"/>
    <x v="0"/>
    <s v="[0, 0, 1, 1]"/>
    <s v="LINESTRING (5.708451229431669 58.921810824007984, 5.708520224008301 58.92181255216289, 5.708338743392061 58.922285803033176, 5.708294955556087 58.92234530989706, 5.70824738033989 58.922476512099664)"/>
    <s v="[378744, 803858, 803859, 803866]"/>
    <s v="[367683, 782303, 782304, 782312]"/>
    <s v="#FIELD!"/>
    <s v="[367682, 367683, 782303, 782304]"/>
    <s v="[0.023, 0.172, 0.021, 0.014]"/>
    <s v="84.48207041686697"/>
    <s v="[0.023, -0.172, -0.021, 0.014]"/>
  </r>
  <r>
    <x v="998"/>
    <x v="1315"/>
    <x v="0"/>
    <s v="[1, 1, 0, 0, 0]"/>
    <s v="LINESTRING (5.706680126650279 58.9224855375671, 5.7064831895399495 58.92231618180532, 5.706381734879582 58.922199066239294, 5.704409908014206 58.92097848103299, 5.703755122445305 58.921147282208025, 5.703667051436545 58.92118027996089)"/>
    <s v="[378863, 803982, 803983, 803991, 804007]"/>
    <s v="[367781, 782433, 782434, 782441, 782457]"/>
    <s v="#FIELD!"/>
    <s v="[367780, 367781, 782433, 782434, 782441]"/>
    <s v="[0.032, 0.577, 0.002, 0.019, 0.019]"/>
    <s v="274.2533228048128"/>
    <s v="[-0.032, -0.577, 0.002, -0.019, -0.019]"/>
  </r>
  <r>
    <x v="998"/>
    <x v="1356"/>
    <x v="0"/>
    <s v="[1, 1, 0, 0, 0, 0, 0, 0, 0, 0, 0, 0, 0]"/>
    <s v="LINESTRING (5.706680126650279 58.9224855375671, 5.706762679692466 58.92261475695568, 5.70714720448651 58.92338469021027, 5.707171435904641 58.923451972880756, 5.70766535739375 58.92589716747902, 5.707677130694093 58.92596747826265, 5.707807506557927 58.926846546954145, 5.707833830837882 58.92701587214068, 5.712560995886887 58.933524793903864, 5.712573679568157 58.93353114353635, 5.716968250940295 58.93576960826626, 5.717089205628312 58.93583073981329, 5.723924128992902 58.93970554743883, 5.723972260482823 58.939751862221904)"/>
    <s v="[1018934, 1018942, 1018950, 1018958, 1018966, 1018974, 1018982, 1018990, 1018998, 1019006, 1019014, 1019022, 1019030]"/>
    <s v="[975020, 975024, 975027, 975033, 975039, 975043, 975047, 975053, 975056, 975060, 975064, 975069, 975074]"/>
    <s v="0.01356283466212274"/>
    <s v="[367780, 975020, 975024, 975027, 975033, 975039, 975043, 975047, 975053, 975056, 975060, 975064, 975069]"/>
    <s v="[0.544, 0.05, 0.053, 0.054, 0.048, 0.048, 0.046, 0.018, 0.024, 0.024, 0.147, 0.014, 0.029]"/>
    <s v="2271.499677861251"/>
    <s v="[-0.544, 0.05, 0.053, 0.054, 0.048, 0.048, 0.046, 0.018, -0.024, 0.024, -0.147, -0.014, 0.029]"/>
  </r>
  <r>
    <x v="999"/>
    <x v="1355"/>
    <x v="0"/>
    <s v="[0, 0, 1]"/>
    <s v="LINESTRING (5.709710210263671 58.921011390851596, 5.709710210263671 58.921011390851596, 5.708413915734423 58.92227324873293, 5.70824738033989 58.922476512099664)"/>
    <s v="[378926, 804203, 804211]"/>
    <s v="[367844, 782644, 782312]"/>
    <s v="#FIELD!"/>
    <s v="[367843, 367844, 782644]"/>
    <s v="[0.0, 0.053, 0.001]"/>
    <s v="208.17385331516186"/>
    <s v="[0.0, -0.053, -0.001]"/>
  </r>
  <r>
    <x v="1000"/>
    <x v="1328"/>
    <x v="97"/>
    <n v="0"/>
    <s v="LINESTRING (5.708058854544316 58.926828928294704, 5.7128225103272685 58.93334672748228, 5.717397205518252 58.935676849390234, 5.724355195821469 58.939690993766135, 5.725495736887339 58.94133862344417, 5.7255002267284 58.941348391437366, 5.725522571773373 58.94140743536254, 5.7256139626397795 58.941677011497454)"/>
    <s v="[1117251, 1117259, 1117262, 1117263, 1117264, 1117265, 1117273]"/>
    <s v="[1056234, 1056243, 1056247, 1056248, 1056249, 1056250, 367952]"/>
    <s v="0.011488460672260151"/>
    <s v="[367898, 1056234, 1056243, 1056247, 1056248, 1056249, 1056250]"/>
    <s v="[0.025, 0.025, 0.015, 0.001, 0.004, 0.014, 0.091]"/>
    <s v="2010.9789256946399"/>
    <s v="[0.025, 0.025, -0.015, 0.001, -0.004, -0.014, 0.091]"/>
  </r>
  <r>
    <x v="1000"/>
    <x v="1355"/>
    <x v="0"/>
    <s v="[1, 0, 0, 0]"/>
    <s v="LINESTRING (5.70824738033989 58.922476512099664, 5.708160202773582 58.922624427517505, 5.707813362273381 58.92360278682336, 5.7081085642311296 58.926607402909504, 5.708058854544316 58.926828928294704)"/>
    <s v="[804219, 804227, 804235, 378964]"/>
    <s v="[782659, 782667, 367897, 367898]"/>
    <s v="0.03849260690519562"/>
    <s v="[782312, 782659, 782667, 367897]"/>
    <s v="[0.052, 0.053, 0.036, 0.002]"/>
    <s v="489.90266987902646"/>
    <s v="[0.052, 0.053, 0.036, -0.002]"/>
  </r>
  <r>
    <x v="1001"/>
    <x v="1357"/>
    <x v="0"/>
    <n v="0"/>
    <s v="LINESTRING (5.7256139626397795 58.941677011497454, 5.725698167383938 58.94201836172577, 5.725342497268717 58.94426899812841, 5.725337804357814 58.944278066073245, 5.725262298608231 58.94442314998987, 5.724255386374846 58.94587529792561, 5.724115205670296 58.9460571929909, 5.724108524302869 58.946065981593115, 5.724088215358467 58.94609229210214, 5.724076795272592 58.946108636184356)"/>
    <s v="[1117281, 1117291, 1117299, 1117312, 1117320, 1117329, 1117337, 1117341, 1117342]"/>
    <s v="[1056269, 1056277, 1056285, 1056303, 1056311, 1056319, 1056329, 1056332, 1056333]"/>
    <s v="#FIELD!"/>
    <s v="[367952, 1056269, 1056277, 1056285, 1056303, 1056311, 1056319, 1056329, 1056332]"/>
    <s v="[0.107, 0.012, 0.018, 0.013, 0.004, 0.017, 0.025, 0.017, 0.017]"/>
    <s v="510.30163551789235"/>
    <s v="[-0.107, -0.012, -0.018, -0.013, -0.004, -0.017, -0.025, -0.017, -0.017]"/>
  </r>
  <r>
    <x v="1002"/>
    <x v="1356"/>
    <x v="0"/>
    <n v="0"/>
    <s v="LINESTRING (5.723762435365732 58.9442069484266, 5.723762783573006 58.94416833247084, 5.725089049733908 58.941394164065876, 5.725057586409365 58.94132953572104, 5.7242277514817665 58.94007397209837, 5.723972260482823 58.939751862221904)"/>
    <s v="[379040, 804320, 804328, 804336, 1438910]"/>
    <s v="[368009, 782742, 782752, 782762, 975074]"/>
    <s v="#FIELD!"/>
    <s v="[367967, 368009, 782742, 782752, 782762]"/>
    <s v="[0.023, 0.004, 0.008, 0.005, 0.026]"/>
    <s v="532.6974655823756"/>
    <s v="[0.023, 0.004, 0.008, -0.005, -0.026]"/>
  </r>
  <r>
    <x v="1002"/>
    <x v="1358"/>
    <x v="0"/>
    <n v="0"/>
    <m/>
    <n v="1440004"/>
    <n v="367967"/>
    <s v="0.431"/>
    <n v="1308078"/>
    <s v="0.431"/>
    <s v="9.455281328430349"/>
    <s v="0.431"/>
  </r>
  <r>
    <x v="1002"/>
    <x v="1358"/>
    <x v="0"/>
    <n v="0"/>
    <s v="LINESTRING (5.723926131317613 58.94420497719052, 5.723923317511581 58.94425069846937, 5.723875099758511 58.94428308773522, 5.723762435365732 58.9442069484266)"/>
    <s v="[1439390, 1439398, 379007]"/>
    <s v="[1308082, 366333, 367967]"/>
    <s v="0.19548162937332067"/>
    <s v="[1308078, 1308082, 366333]"/>
    <s v="[0.038, 0.867, 0.028]"/>
    <s v="20.86029248020886"/>
    <s v="[-0.038, 0.867, 0.028]"/>
  </r>
  <r>
    <x v="1003"/>
    <x v="1359"/>
    <x v="0"/>
    <n v="0"/>
    <s v="LINESTRING (5.938112926609499 59.66510166115134, 5.937309212784168 59.66510595274848, 5.937161529520754 59.66509880189906, 5.937045733084192 59.66509004978623, 5.93639592858456 59.66500445275469, 5.935855060341348 59.66490268627636)"/>
    <s v="[379042, 379050, 379064, 379100, 379101]"/>
    <s v="[368013, 368022, 368034, 368077, 368078]"/>
    <s v="#FIELD!"/>
    <s v="[368012, 368013, 368022, 368034, 368077]"/>
    <s v="[0.01, 0.007, 0.005, 0.004, 0.002]"/>
    <s v="132.26499515555741"/>
    <s v="[-0.01, -0.007, -0.005, -0.004, -0.002]"/>
  </r>
  <r>
    <x v="1003"/>
    <x v="1359"/>
    <x v="0"/>
    <n v="0"/>
    <s v="LINESTRING (5.938112926609499 59.66510166115134, 5.937275046960632 59.665173292117956, 5.937138893057747 59.66516958268553, 5.937049703784962 59.66516373194068, 5.936343656802089 59.66507019642783, 5.935855060341348 59.66490268627636)"/>
    <s v="[379145, 379153, 379161, 379169, 379177]"/>
    <s v="[368124, 368134, 368085, 368157, 368078]"/>
    <s v="#FIELD!"/>
    <s v="[368012, 368124, 368134, 368085, 368157]"/>
    <s v="[0.013, 0.01, 0.005, 0.004, 0.004]"/>
    <s v="137.79711564129641"/>
    <s v="[-0.013, -0.01, -0.005, -0.004, 0.004]"/>
  </r>
  <r>
    <x v="1003"/>
    <x v="1360"/>
    <x v="0"/>
    <n v="0"/>
    <s v="LINESTRING (5.94334964994721 59.66361073164794, 5.943026726870783 59.66374484063279, 5.942631901183815 59.6639029841463, 5.942003376890863 59.664123214552134, 5.939725630110462 59.66479222826845, 5.939296187048895 59.66488509170564, 5.938112926609499 59.66510166115134)"/>
    <s v="[2069045, 2069053, 2069061, 2069069, 2069077, 2069092]"/>
    <s v="[1631620, 1796814, 1632369, 1796825, 444145, 368012]"/>
    <s v="#FIELD!"/>
    <s v="[960414, 1631620, 1796814, 1632369, 1796825, 444145]"/>
    <s v="[0.145, 0.018, 0.01, 0.004, 0.009, 0.018]"/>
    <s v="341.8785428142014"/>
    <s v="[-0.145, -0.018, -0.01, -0.004, -0.009, 0.018]"/>
  </r>
  <r>
    <x v="1004"/>
    <x v="1361"/>
    <x v="0"/>
    <n v="0"/>
    <s v="LINESTRING (20.825674569558917 69.4951246685349, 20.794657504185885 69.50943674594288)"/>
    <m/>
    <m/>
    <s v="0.0"/>
    <m/>
    <n v="0"/>
    <s v="12897.273664193312"/>
    <n v="0"/>
  </r>
  <r>
    <x v="1004"/>
    <x v="1362"/>
    <x v="0"/>
    <s v="[0, 0, 1, 1, 0, 0, 0, 0, 0, 0, 0, 0, 0, 0, 0, 0]"/>
    <s v="LINESTRING (20.823745734656278 69.49229467907257, 20.824287567214036 69.4924853148006, 20.824582000166988 69.4926177779306, 20.824858109663033 69.49275563505432, 20.824927001879306 69.49279077902654, 20.8255577897814 69.49322338176468, 20.82558467220535 69.49324607763333, 20.82561279778025 69.49327389950318, 20.825677830097675 69.49333820689098, 20.82575318299155 69.49341277386854, 20.82609996121626 69.49403589426774, 20.826073821992104 69.49454600055195, 20.825985008857867 69.49477231995222, 20.825962071118642 69.49480677728941, 20.825794006276485 69.49503902885542, 20.82573778496446 69.4950918507899, 20.825674569558917 69.4951246685349)"/>
    <s v="[379112, 379113, 1080132, 1080140, 1080148, 1080156, 1080164, 1080172, 1080180, 1080188, 1080196, 379054, 379076, 379077, 379090, 379091]"/>
    <s v="[368091, 368092, 1025208, 1025216, 1025223, 1007057, 1025232, 1025238, 1025243, 1025252, 368027, 368028, 368049, 368050, 368067, 368068]"/>
    <s v="0.017571865499413992"/>
    <s v="[368090, 368091, 368092, 1025208, 1025216, 1025223, 1007057, 1025232, 1025238, 1025243, 1025252, 368027, 368028, 368049, 368050, 368067]"/>
    <s v="[0.047, 0.035, 0.002, 0.0, 0.001, 0.003, 0.0, 0.001, 0.001, 0.001, 0.073, 0.066, 0.072, 0.06, 0.05, 0.028]"/>
    <s v="344.2055146518683"/>
    <s v="[-0.047, -0.035, -0.002, -0.0, -0.001, -0.003, 0.0, -0.001, -0.001, 0.001, 0.073, 0.066, 0.072, 0.06, 0.05, 0.028]"/>
  </r>
  <r>
    <x v="1004"/>
    <x v="1362"/>
    <x v="0"/>
    <s v="[0, 0, 1, 0, 0, 0, 0, 0, 0, 0, 0, 0, 0, 0]"/>
    <s v="LINESTRING (20.823745734656278 69.49229467907257, 20.824186778203106 69.49250441904272, 20.824444986817227 69.49263794276834, 20.824747395538537 69.49281012028901, 20.82535370594636 69.49324280543675, 20.825418385239242 69.49329828389408, 20.82553242203579 69.49341416552477, 20.825891430301017 69.49403328425349, 20.825913420456384 69.49409699913309, 20.825918162869684 69.49454302335221, 20.825849328487852 69.49476407277777, 20.82583631294815 69.49479856677449, 20.82569232153957 69.49503133507422, 20.825656550100568 69.49508588461633, 20.825674569558917 69.4951246685349)"/>
    <s v="[379114, 379115, 1069966, 1069974, 1069982, 1069990, 1069998, 1070006, 1070014, 379037, 379046, 379095, 379103, 379104]"/>
    <s v="[368093, 368094, 1017031, 1017036, 1007056, 1017045, 1017049, 1017053, 368005, 368006, 368017, 368072, 368081, 368068]"/>
    <s v="0.01809832054586519"/>
    <s v="[368090, 368093, 368094, 1017031, 1017036, 1007056, 1017045, 1017049, 1017053, 368005, 368006, 368017, 368072, 368081]"/>
    <s v="[0.043, 0.034, 0.075, 0.003, 0.003, 0.003, 0.004, 0.03, 0.094, 0.068, 0.079, 0.06, 0.067, 0.057]"/>
    <s v="337.3512509817804"/>
    <s v="[-0.043, -0.034, -0.075, 0.003, 0.003, 0.003, 0.004, 0.03, 0.094, 0.068, 0.079, 0.06, 0.067, 0.057]"/>
  </r>
  <r>
    <x v="1005"/>
    <x v="1180"/>
    <x v="98"/>
    <n v="0"/>
    <s v="LINESTRING (5.935855060341348 59.66490268627636, 5.793901198911979 59.60258982289302)"/>
    <m/>
    <m/>
    <s v="0.0"/>
    <m/>
    <n v="0"/>
    <s v="13095.607546955804"/>
    <n v="0"/>
  </r>
  <r>
    <x v="1006"/>
    <x v="1363"/>
    <x v="0"/>
    <s v="[0, 0, 0, 0, 0, 0, 0, 0, 0, 0, 0, 0, 0, 0, 0, 0, 0, 0, 0, 0, 0, 0, 0, 0, 0, 0, 0, 0, 0, 0, 0, 0, 0, 0, 0, 0, 0, 1, 0, 1, 0, 0, 0]"/>
    <s v="LINESTRING (20.552959398680212 69.54314207533571, 20.55467751640928 69.54377399791865, 20.554839546749673 69.54383399128693, 20.557002217036807 69.54465949176699, 20.618131398923193 69.52175197069714, 20.621011565272525 69.52018491986176, 20.62360624047713 69.51891126700846, 20.624424081100248 69.51870933758438, 20.630427203239464 69.51837488023493, 20.633777180704342 69.51673190019667, 20.633895803790782 69.51665551625607, 20.63394543114058 69.51662834838528, 20.63506602073513 69.51624015309959, 20.63513348559599 69.51622546727275, 20.636255222241832 69.51602343992415, 20.63962655403772 69.51540030841304, 20.639871181580073 69.51534720811877, 20.64056582841605 69.51516509060896, 20.64088168049404 69.51507062675392, 20.646542633752237 69.51340464697101, 20.694341929447127 69.51055335972826, 20.698164673924335 69.51139079760797, 20.6990085352412 69.51150470230868, 20.700641275929417 69.51170624394513, 20.701038257918267 69.51175507006035, 20.701186925355934 69.51177486356521, 20.70177349583367 69.51185160133423, 20.702382877773942 69.5119396516709, 20.704004757760952 69.5122097412743, 20.704879827631544 69.51236960192381, 20.71362067892387 69.51243332289354, 20.71625217992158 69.51243727417743, 20.72270619357272 69.51251951551701, 20.761963519749802 69.503098070629, 20.79219264486507 69.49692948521437, 20.792828805722536 69.49684662869271, 20.79369090503243 69.49671375983111, 20.813941788000296 69.49149186166807, 20.815359204900894 69.49137531654118, 20.819403553457537 69.49142070634184, 20.81950500692898 69.49143045461655, 20.820719202753526 69.49157093651563, 20.823681206312706 69.4922721456198, 20.823745734656278 69.49229467907257)"/>
    <s v="[1104572, 1104580, 1100761, 1100769, 1100777, 1100785, 1100793, 1100801, 1100809, 1100817, 1100825, 1100833, 1100841, 1100849, 1100857, 1100865, 1100873, 1100881, 367604, 367612, 1100889, 1100897, 1100905, 1100913, 1100921, 1100929, 1100937, 1100945, 1100953, 1100963, 1100989, 1100996, 367588, 367580, 1101002, 1101009, 1101014, 1101018, 1101019, 1101024, 1101052, 1101053, 1101060]"/>
    <s v="[1045896, 1042820, 1042821, 1042829, 1042836, 998887, 998880, 1021219, 1030347, 1038044, 1042875, 1042882, 1042890, 1042897, 1042903, 1042910, 1042917, 356312, 356313, 356321, 1042930, 1042938, 1042945, 1042949, 466922, 1042957, 1042960, 466941, 1042970, 1042980, 1042998, 356298, 356289, 356290, 1043004, 1043011, 1043013, 1043016, 1043017, 1043021, 1043041, 1043042, 368090]"/>
    <s v="#FIELD!"/>
    <s v="[665648, 1045896, 1042820, 1042821, 1042829, 1042836, 998887, 998880, 1021219, 1030347, 1038044, 1042875, 1042882, 1042890, 1042897, 1042903, 1042910, 1042917, 356312, 356313, 356321, 1042930, 1042938, 1042945, 1042949, 466922, 1042957, 1042960, 466941, 1042970, 1042980, 1042998, 356298, 356289, 356290, 1043004, 1043011, 1043013, 1043016, 1043017, 1043021, 1043041, 1043042]"/>
    <s v="[0.038, 0.438, 0.0, 0.002, 0.002, 0.011, 0.055, 0.053, 0.027, 0.043, 0.051, 0.016, 0.039, 0.053, 0.145, 0.183, 0.213, 1.6, 0.363, 0.057, 0.21, 0.002, 0.036, 0.068, 0.007, 0.091, 0.006, 0.059, 0.051, 0.055, 0.008, 0.39, 0.137, 0.2, 2.974, 0.138, 0.027, 0.095, 0.005, 0.023, 0.024, 0.009, 1.155]"/>
    <s v="13933.403875216389"/>
    <s v="[0.038, -0.438, 0.0, 0.002, 0.002, 0.011, -0.055, -0.053, 0.027, 0.043, 0.051, 0.016, -0.039, -0.053, 0.145, 0.183, 0.213, 1.6, 0.363, -0.057, -0.21, -0.002, -0.036, -0.068, -0.007, -0.091, -0.006, 0.059, -0.051, 0.055, 0.008, 0.39, 0.137, -0.2, -2.974, -0.138, -0.027, -0.095, -0.005, -0.023, -0.024, -0.009, 1.155]"/>
  </r>
  <r>
    <x v="1007"/>
    <x v="1364"/>
    <x v="0"/>
    <n v="0"/>
    <m/>
    <n v="2122956"/>
    <n v="1287788"/>
    <s v="#FIELD!"/>
    <n v="368382"/>
    <s v="0.007"/>
    <s v="28.106228068865228"/>
    <s v="#FIELD!"/>
  </r>
  <r>
    <x v="1007"/>
    <x v="1365"/>
    <x v="0"/>
    <n v="0"/>
    <s v="LINESTRING (10.253952351852057 60.14674533175313, 10.253974667173294 60.146718096601965, 10.254709153825432 60.14611457857781)"/>
    <s v="[379320, 593059]"/>
    <s v="[368383, 597259]"/>
    <s v="0.024296226319536426"/>
    <s v="[368382, 368383]"/>
    <s v="[0.037, 0.024]"/>
    <s v="143.9148917460757"/>
    <s v="[0.037, 0.024]"/>
  </r>
  <r>
    <x v="1007"/>
    <x v="1366"/>
    <x v="0"/>
    <n v="0"/>
    <m/>
    <n v="2122948"/>
    <n v="368382"/>
    <s v="#FIELD!"/>
    <n v="1287780"/>
    <s v="0.023"/>
    <s v="244.92427082885362"/>
    <s v="#FIELD!"/>
  </r>
  <r>
    <x v="1008"/>
    <x v="1367"/>
    <x v="0"/>
    <n v="0"/>
    <s v="LINESTRING (14.315935445925003 66.34383117987619, 14.316473557075112 66.34479781369843, 14.316495305192817 66.34486293553083, 14.316585168815976 66.34527903038791, 14.316590476360194 66.34531957852951, 14.316612374753152 66.34554096883122, 14.316507627528102 66.3462301941018)"/>
    <s v="[379572, 379573, 379574, 379575, 379590, 379594]"/>
    <s v="[368713, 368718, 368719, 368720, 368726, 368727]"/>
    <s v="0.04406071267840784"/>
    <s v="[368717, 368713, 368718, 368719, 368720, 368726]"/>
    <s v="[0.038, 0.032, 0.043, 0.048, 0.045, 0.054]"/>
    <s v="270.7812895093392"/>
    <s v="[0.038, 0.032, 0.043, 0.048, 0.045, 0.054]"/>
  </r>
  <r>
    <x v="1008"/>
    <x v="1367"/>
    <x v="0"/>
    <n v="0"/>
    <s v="LINESTRING (14.315935445925003 66.34383117987619, 14.316632358314685 66.3447553930051, 14.316645243593976 66.34478915596281, 14.316660715493448 66.34482965002034, 14.316670494471408 66.34485526207631, 14.31675439222849 66.34527892961704, 14.316766576525543 66.34554381658656, 14.316507627528102 66.3462301941018)"/>
    <s v="[379601, 379609, 379610, 379611, 379615, 379617, 379624]"/>
    <s v="[368716, 368742, 368714, 368743, 368747, 368750, 368727]"/>
    <s v="0.042996359720597135"/>
    <s v="[368717, 368716, 368742, 368714, 368743, 368747, 368750]"/>
    <s v="[0.032, 0.027, 0.04, 0.045, 0.041, 0.044, 0.06]"/>
    <s v="274.29120184225667"/>
    <s v="[0.032, 0.027, 0.04, 0.045, 0.041, 0.044, 0.06]"/>
  </r>
  <r>
    <x v="1008"/>
    <x v="1368"/>
    <x v="99"/>
    <n v="0"/>
    <s v="LINESTRING (14.176957104687203 66.32392407426644, 14.183485216453299 66.32405439131558, 14.18439930734362 66.32417651855867, 14.18747073786076 66.32460721020547, 14.189590345512618 66.32492238094713, 14.1903082422161 66.32503771838643, 14.19301659140574 66.32546127827051, 14.193963571885098 66.32560200139862, 14.194237860517445 66.32563733529108, 14.197322558766006 66.32580223522685, 14.197389217059882 66.32580255210655, 14.197757634857346 66.32580358146785, 14.199970471366106 66.32574214869277, 14.200550632967978 66.32571158449466, 14.201743119538882 66.32564676570323, 14.202848809903596 66.32558374514993, 14.206997160016867 66.3254288763483, 14.222687808800131 66.32529775008405, 14.22488597104797 66.32517792351817, 14.229408488696182 66.32514287428586, 14.233578199971536 66.32451531839472, 14.23443186722365 66.32437547870138, 14.24091457718363 66.32318314725067, 14.242373104705777 66.32278170844383, 14.242416227501069 66.32276888243334, 14.242788412849292 66.32265809845556, 14.24821531703301 66.32167607704964, 14.261034076339614 66.32707999156395, 14.261191608676333 66.32718804127816, 14.26233018603394 66.32791817769463, 14.276788483009415 66.33521582187481, 14.280160772434854 66.33543345849338, 14.294025482742326 66.33546294871117, 14.30057896045019 66.33670451183046, 14.302430940988797 66.339656062378, 14.306912568314342 66.34079223961675, 14.307413782445428 66.34091110129503, 14.311017012834943 66.34173839270848, 14.315935445925003 66.34383117987619)"/>
    <s v="[476939, 476947, 476955, 476963, 476971, 476979, 476987, 476995, 477003, 477011, 477019, 477027, 477035, 477043, 477051, 477059, 477067, 477075, 477083, 477091, 477099, 477107, 477115, 477123, 477131, 477139, 477147, 477155, 477163, 477171, 477179, 477187, 477195, 477203, 477211, 477219, 695628, 695629]"/>
    <s v="[435484, 404577, 434389, 404655, 433784, 475667, 475676, 398833, 475696, 450173, 475712, 475719, 475727, 402011, 475742, 402022, 475757, 402032, 475773, 402043, 402051, 475792, 429333, 402060, 475814, 475822, 475830, 402082, 402119, 475852, 475860, 475868, 475878, 475887, 475895, 475903, 690205, 368717]"/>
    <s v="0.008922470252348344"/>
    <s v="[475631, 435484, 404577, 434389, 404655, 433784, 475667, 475676, 398833, 475696, 450173, 475712, 475719, 475727, 402011, 475742, 402022, 475757, 402032, 475773, 402043, 402051, 475792, 429333, 402060, 475814, 475822, 475830, 402082, 402119, 475852, 475860, 475868, 475878, 475887, 475895, 475903, 690205]"/>
    <s v="[0.006, 0.036, 0.027, 0.011, 0.02, 0.028, 0.033, 0.034, 0.038, 0.017, 0.017, 0.01, 0.024, 0.024, 0.006, 0.05, 0.01, 0.028, 0.025, 0.053, 0.036, 0.046, 0.044, 0.033, 0.067, 0.061, 0.01, 0.026, 0.005, 0.005, 0.001, 0.004, 0.023, 0.04, 0.029, 0.075, 0.075, 0.033]"/>
    <s v="7751.744265658371"/>
    <s v="[0.006, -0.036, -0.027, 0.011, 0.02, 0.028, 0.033, 0.034, 0.038, 0.017, 0.017, 0.01, -0.024, -0.024, -0.006, 0.05, 0.01, -0.028, 0.025, -0.053, 0.036, 0.046, -0.044, -0.033, -0.067, -0.061, 0.01, -0.026, -0.005, 0.005, 0.001, 0.004, 0.023, 0.04, -0.029, 0.075, 0.075, 0.033]"/>
  </r>
  <r>
    <x v="1009"/>
    <x v="1369"/>
    <x v="0"/>
    <s v="[0, 0, 0, 1, 0, 1, 0]"/>
    <s v="LINESTRING (14.316507627528102 66.3462301941018, 14.31557143962616 66.34760062561124, 14.31332656133989 66.35311968856995, 14.313345842678645 66.3531989930113, 14.313895519954066 66.35445744236638, 14.314213241867792 66.35491630444749, 14.314245184070264 66.35495762480951, 14.315351866677448 66.3565008562493)"/>
    <s v="[695630, 695639, 695647, 695655, 695663, 695671, 695679]"/>
    <s v="[690206, 690214, 690222, 690231, 690238, 690243, 690247]"/>
    <s v="#FIELD!"/>
    <s v="[368727, 690206, 690214, 690222, 690231, 690238, 690243]"/>
    <s v="[0.002, 0.02, 0.053, 0.053, 0.051, 0.052, 0.04]"/>
    <s v="1174.634936388272"/>
    <s v="[0.002, -0.02, -0.053, -0.053, -0.051, -0.052, -0.04]"/>
  </r>
  <r>
    <x v="1010"/>
    <x v="1273"/>
    <x v="0"/>
    <n v="0"/>
    <s v="LINESTRING (5.298972269329236 59.39677131411503, 5.298931756811435 59.396819721237414, 5.298121569987856 59.397093740888955)"/>
    <s v="[1440787, 1440795]"/>
    <s v="[1308994, 368845]"/>
    <s v="#FIELD!"/>
    <s v="[369881, 1308994]"/>
    <s v="[0.017, 0.018]"/>
    <s v="62.024074008233285"/>
    <s v="[-0.017, -0.018]"/>
  </r>
  <r>
    <x v="1011"/>
    <x v="1370"/>
    <x v="0"/>
    <n v="0"/>
    <s v="LINESTRING (5.721070199483351 58.87387958091357, 5.721200326009714 58.87387628191201, 5.723287897544196 58.8739922243856)"/>
    <s v="[379909, 379914]"/>
    <s v="[369020, 369027]"/>
    <s v="#FIELD!"/>
    <s v="[369019, 369020]"/>
    <s v="0.012"/>
    <s v="129.2589214135903"/>
    <s v="#FIELD!"/>
  </r>
  <r>
    <x v="1011"/>
    <x v="1266"/>
    <x v="0"/>
    <n v="0"/>
    <s v="LINESTRING (5.721070199483351 58.87387958091357, 5.720948143702277 58.87389460648663, 5.720795702022359 58.8738641005137, 5.720752419534297 58.87383072001485, 5.7207400995169895 58.87381353464627)"/>
    <s v="[1352047, 1352055, 1352063, 1352071]"/>
    <s v="[662556, 1251866, 1251871, 1251880]"/>
    <s v="0.06475876278143336"/>
    <s v="[369019, 662556, 1251866, 1251871]"/>
    <s v="[0.216, 0.004, 0.004, 0.003]"/>
    <s v="23.257049673393535"/>
    <s v="[0.216, -0.004, -0.004, -0.003]"/>
  </r>
  <r>
    <x v="1011"/>
    <x v="1260"/>
    <x v="0"/>
    <n v="0"/>
    <s v="LINESTRING (5.721113600921702 58.873728505330455, 5.721141235338237 58.87380593547497, 5.721070199483351 58.87387958091357)"/>
    <s v="[1352031, 1352039]"/>
    <s v="[1251848, 369019]"/>
    <s v="#FIELD!"/>
    <s v="[1251840, 1251848]"/>
    <s v="[0.001, 0.169]"/>
    <s v="18.219315290371867"/>
    <s v="[0.001, -0.169]"/>
  </r>
  <r>
    <x v="1012"/>
    <x v="1371"/>
    <x v="0"/>
    <n v="0"/>
    <s v="LINESTRING (5.723287897544196 58.8739922243856, 5.724068338156809 58.874033777225335, 5.724158525027252 58.874039900313434)"/>
    <s v="[379920, 379923]"/>
    <s v="[369031, 369034]"/>
    <s v="#FIELD!"/>
    <s v="[369027, 369031]"/>
    <s v="[0.005, 0.019]"/>
    <s v="50.660369756484975"/>
    <s v="[-0.005, 0.019]"/>
  </r>
  <r>
    <x v="1012"/>
    <x v="1372"/>
    <x v="0"/>
    <n v="0"/>
    <s v="LINESTRING (5.723287897544196 58.8739922243856, 5.722919856661624 58.87399810617098, 5.720351654675743 58.87434527281239, 5.720210167885053 58.87443623490563, 5.720079054336111 58.874552103180896, 5.7200709774340215 58.874560039689754, 5.719091171202387 58.87694417845612, 5.719021870824624 58.877052116626004, 5.718938255695857 58.877135522526125, 5.718904953202807 58.87716835307646)"/>
    <s v="[1435887, 2099299, 2099305, 2099313, 2099314, 2099322, 1435895, 1435903, 1435911]"/>
    <s v="[1305661, 1815293, 1815296, 1815301, 1815302, 1305665, 1305666, 1305674, 1055983]"/>
    <s v="#FIELD!"/>
    <s v="[369027, 1305661, 1815293, 1815296, 1815301, 1815302, 1305665, 1305666, 1305674]"/>
    <s v="[0.062, 0.004, 0.007, 0.006, 0.006, 0.008, 0.03, 0.032, 0.03]"/>
    <s v="510.72772756712925"/>
    <s v="[0.062, 0.004, 0.007, 0.006, 0.006, -0.008, -0.03, -0.032, -0.03]"/>
  </r>
  <r>
    <x v="1013"/>
    <x v="1373"/>
    <x v="0"/>
    <n v="0"/>
    <s v="LINESTRING (5.724158525027252 58.874039900313434, 5.724110849032922 58.87397592141769, 5.72416875289156 58.873914761196794)"/>
    <s v="[1352151, 1352159]"/>
    <s v="[1251931, 1251897]"/>
    <s v="0.03409123347975516"/>
    <s v="[369034, 1251931]"/>
    <s v="[0.061, 0.007]"/>
    <s v="15.273726735133643"/>
    <s v="[0.061, 0.007]"/>
  </r>
  <r>
    <x v="1013"/>
    <x v="1131"/>
    <x v="0"/>
    <n v="0"/>
    <m/>
    <n v="1352143"/>
    <n v="369034"/>
    <s v="#FIELD!"/>
    <n v="369045"/>
    <s v="0.017"/>
    <s v="9.00228003345629"/>
    <s v="#FIELD!"/>
  </r>
  <r>
    <x v="1014"/>
    <x v="1132"/>
    <x v="0"/>
    <n v="0"/>
    <s v="LINESTRING (5.724435041245335 58.87396711461045, 5.724422167516891 58.87401479936661, 5.7243030773780035 58.87406292694744)"/>
    <s v="[1352127, 1352135]"/>
    <s v="[1251918, 369045]"/>
    <s v="#FIELD!"/>
    <s v="[1251914, 1251918]"/>
    <s v="[0.003, 0.033]"/>
    <s v="14.371422429397228"/>
    <s v="[-0.003, -0.033]"/>
  </r>
  <r>
    <x v="1015"/>
    <x v="1374"/>
    <x v="0"/>
    <n v="0"/>
    <s v="LINESTRING (6.412485425698237 60.62883218617543, 6.41217116577984 60.62881873239051, 6.41123520639151 60.6287364498512, 6.410768061876754 60.62866234993969, 6.4094552846429655 60.62827733608107, 6.408679978400445 60.62807304076922, 6.407244738147413 60.628211533009775, 6.406891621990715 60.628205342806055, 6.405488830944306 60.62812406484412, 6.403658364686199 60.62807937103221, 6.403482297443035 60.62805861012437, 6.402555289437435 60.62788426077551, 6.401727377088876 60.62733205204459, 6.401297832166051 60.627031481003726)"/>
    <s v="[380234, 380242, 380243, 380247, 380248, 380264, 380265, 2056185, 2056193, 2056201, 2056209, 2112854, 2112862]"/>
    <s v="[369354, 369274, 369254, 369363, 369364, 358211, 369385, 1788508, 1788513, 946312, 1788524, 1822956, 1822960]"/>
    <s v="#FIELD!"/>
    <s v="[369340, 369354, 369274, 369254, 369363, 369364, 358211, 369385, 1788508, 1788513, 946312, 1788524, 1822956]"/>
    <s v="[0.017, 0.016, 0.067, 0.126, 0.136, 0.084, 0.023, 0.059, 0.055, 0.004, 0.017, 0.122, 0.011]"/>
    <s v="694.5001408228707"/>
    <s v="[0.017, -0.016, -0.067, -0.126, -0.136, 0.084, 0.023, -0.059, 0.055, 0.004, 0.017, 0.122, 0.011]"/>
  </r>
  <r>
    <x v="1015"/>
    <x v="1375"/>
    <x v="0"/>
    <n v="0"/>
    <s v="LINESTRING (6.415795062779531 60.62848165220801, 6.414887752504625 60.62869124636925, 6.414804644909617 60.62870700839885, 6.41466975641113 60.628729538754136, 6.414144832628558 60.62879495525909, 6.4131592770856205 60.62886007119499, 6.412485425698237 60.62883218617543)"/>
    <s v="[2013653, 2013661, 2013669, 2013677, 380232, 380233]"/>
    <s v="[1753777, 1760970, 1760973, 369352, 369353, 369340]"/>
    <s v="0.0920305974354778"/>
    <s v="[1694778, 1753777, 1760970, 1760973, 369352, 369353]"/>
    <s v="[0.054, 0.062, 0.045, 0.332, 0.065, 0.011]"/>
    <s v="189.8874619669172"/>
    <s v="[0.054, 0.062, 0.045, 0.332, 0.065, 0.011]"/>
  </r>
  <r>
    <x v="1015"/>
    <x v="1375"/>
    <x v="0"/>
    <n v="0"/>
    <s v="LINESTRING (6.415795062779531 60.62848165220801, 6.414737141443329 60.62864267662966, 6.414113397808409 60.628726993794544, 6.413183620630072 60.62878840881879, 6.412485425698237 60.62883218617543)"/>
    <s v="[2017030, 2017038, 380216, 380217]"/>
    <s v="[1753782, 369338, 369339, 369340]"/>
    <s v="0.09283465192965797"/>
    <s v="[1694778, 1753782, 369338, 369339]"/>
    <s v="[0.037, 0.404, 0.059, 0.058]"/>
    <s v="187.5177888969611"/>
    <s v="[-0.037, 0.404, 0.059, 0.058]"/>
  </r>
  <r>
    <x v="1016"/>
    <x v="1376"/>
    <x v="0"/>
    <n v="0"/>
    <s v="LINESTRING (5.445953883751191 59.42093417983898, 5.446878157057377 59.42070071993337, 5.44721791854974 59.42059415584807, 5.447706722118023 59.42029226226517, 5.447790085832312 59.420068603818315, 5.447784313342771 59.419998107024554)"/>
    <s v="[1835974, 1835982, 1835990, 1835998, 1119888]"/>
    <s v="[1610583, 1610585, 1610588, 1058809, 1058810]"/>
    <s v="#FIELD!"/>
    <s v="[369405, 1610583, 1610585, 1610588, 1058809]"/>
    <s v="[0.006, 0.018, 0.034, 0.057, 0.028]"/>
    <s v="151.2104059435181"/>
    <s v="[0.006, -0.018, -0.034, -0.057, -0.028]"/>
  </r>
  <r>
    <x v="1017"/>
    <x v="1377"/>
    <x v="0"/>
    <n v="0"/>
    <s v="LINESTRING (5.443764068823091 59.4216203460092, 5.443374312431915 59.4217251349715, 5.442872533463335 59.42186539937667, 5.442856488303991 59.42187003681295, 5.442726943443234 59.42190749183743, 5.439479462497654 59.4228270631875)"/>
    <s v="[681610, 681624, 681627, 681636, 681644]"/>
    <s v="[672619, 672637, 672639, 672650, 672660]"/>
    <s v="0.02802053826067489"/>
    <s v="[369465, 672619, 672637, 672639, 672650]"/>
    <s v="[0.182, 0.017, 0.009, 0.019, 0.012]"/>
    <s v="278.81881048778223"/>
    <s v="[0.182, 0.017, -0.009, 0.019, 0.012]"/>
  </r>
  <r>
    <x v="1018"/>
    <x v="1378"/>
    <x v="100"/>
    <n v="0"/>
    <s v="LINESTRING (5.437500976273188 59.42326461270859, 5.428841640195358 59.42375430794181, 5.420143976462005 59.42186563840693, 5.419726044215016 59.421709959690155)"/>
    <s v="[681676, 681683, 681684]"/>
    <s v="[672698, 672707, 369541]"/>
    <s v="#FIELD!"/>
    <s v="[672697, 672698, 672707]"/>
    <s v="[0.029, 0.022, 0.045]"/>
    <s v="1075.4772111675459"/>
    <s v="[-0.029, 0.022, 0.045]"/>
  </r>
  <r>
    <x v="1019"/>
    <x v="1379"/>
    <x v="0"/>
    <n v="0"/>
    <s v="LINESTRING (5.363901973475251 59.41200031240223, 5.3625101464839195 59.4120397931277, 5.36146361946172 59.41210526409998, 5.361397652880439 59.41210703937741, 5.361314895274322 59.41211045685085, 5.360532139505796 59.41216153299923, 5.360114983474312 59.412181078829185, 5.3592691516366715 59.41223558431825, 5.357928504878764 59.412349534830554)"/>
    <s v="[380655, 380695, 380700, 380702, 380704, 380712, 380720, 380732]"/>
    <s v="[369721, 369757, 369761, 369763, 369766, 369773, 369782, 369797]"/>
    <s v="0.09693033701150879"/>
    <s v="[369720, 369721, 369757, 369761, 369763, 369766, 369773, 369782]"/>
    <s v="[0.077, 0.071, 0.058, 0.084, 0.125, 0.125, 0.118, 0.102]"/>
    <s v="343.09043255746275"/>
    <s v="[0.077, 0.071, 0.058, 0.084, 0.125, 0.125, 0.118, 0.102]"/>
  </r>
  <r>
    <x v="1019"/>
    <x v="1379"/>
    <x v="0"/>
    <n v="0"/>
    <s v="LINESTRING (5.363901973475251 59.41200031240223, 5.362689936482711 59.41209718192838, 5.361396077341151 59.41218613410618, 5.361344566309822 59.412190822289794, 5.360604046435186 59.41225098753103, 5.360536393559971 59.41225245585168, 5.360468240956526 59.41225442944087, 5.360165773414717 59.412267648537416, 5.359312189514516 59.412307244236366, 5.357928504878764 59.412349534830554)"/>
    <s v="[1438904, 1438912, 1438920, 1438928, 1438936, 1438944, 1438952, 1438960, 1438968]"/>
    <s v="[1307750, 1251033, 1307760, 1303148, 1307769, 1269024, 1307785, 1307790, 369797]"/>
    <s v="0.09693061279643983"/>
    <s v="[369720, 1307750, 1251033, 1307760, 1303148, 1307769, 1269024, 1307785, 1307790]"/>
    <s v="[0.083, 0.065, 0.065, 0.121, 0.109, 0.126, 0.119, 0.119, 0.107]"/>
    <s v="343.3746212686979"/>
    <s v="[0.083, 0.065, 0.065, 0.121, 0.109, 0.126, 0.119, 0.119, 0.107]"/>
  </r>
  <r>
    <x v="1019"/>
    <x v="1380"/>
    <x v="0"/>
    <n v="0"/>
    <s v="LINESTRING (5.377871390077949 59.42177757095311, 5.3735960108726335 59.41756922986406, 5.3732618644574535 59.41711359383209, 5.37325306072208 59.41709973680345, 5.373221548425522 59.41704946711208, 5.37274301853344 59.41624037856042, 5.371635149697859 59.41488592688779, 5.367093605986593 59.41211523439212, 5.365817324690848 59.41191528692622, 5.363901973475251 59.41200031240223)"/>
    <s v="[681731, 681732, 681733, 681741, 681743, 681744, 681745, 681760, 681765]"/>
    <s v="[672767, 672768, 672769, 672779, 672781, 672782, 672783, 672803, 369720]"/>
    <s v="0.032643482130962354"/>
    <s v="[373525, 672767, 672768, 672769, 672779, 672781, 672782, 672783, 672803]"/>
    <s v="[0.027, 0.019, 0.004, 0.032, 0.038, 0.008, 0.068, 0.072, 0.053]"/>
    <s v="1445.880815208943"/>
    <s v="[0.027, -0.019, -0.004, -0.032, -0.038, -0.008, 0.068, 0.072, 0.053]"/>
  </r>
  <r>
    <x v="1020"/>
    <x v="1381"/>
    <x v="101"/>
    <s v="[0, 0, 0, 0, 0, 0, 0, 0, 0, 0, 1, 0, 0, 0]"/>
    <s v="LINESTRING (5.357928504878764 59.412349534830554, 5.3488152919328655 59.4104406800789, 5.347700796725268 59.41038323026237, 5.346104525690952 59.41038943999173, 5.343283098114905 59.41023549141282, 5.343003848727301 59.4102045295916, 5.341269786072401 59.40994445279962, 5.341161995954193 59.40992202427033, 5.341012780657585 59.409888815307745, 5.339682852931589 59.40948238490819, 5.339274067290186 59.40931091634905, 5.339204473449749 59.40927990031275, 5.338562819714988 59.408929818130424, 5.3382817211264335 59.408737872293344, 5.336917786443922 59.406682528638385)"/>
    <s v="[681766, 681767, 681772, 681773, 681774, 681781, 681782, 681783, 681791, 681796, 681799, 681807, 1339052, 681815]"/>
    <s v="[672811, 672812, 672818, 672819, 672820, 672831, 672832, 672833, 672843, 672849, 672850, 672858, 672869, 672870]"/>
    <s v="#FIELD!"/>
    <s v="[369797, 672811, 672812, 672818, 672819, 672820, 672831, 672832, 672833, 672843, 672849, 672850, 672858, 672869]"/>
    <s v="[0.018, 0.002, 0.001, 0.035, 0.062, 0.059, 0.058, 0.057, 0.052, 0.051, 0.065, 0.062, 0.058, 0.044]"/>
    <s v="1489.9723318863716"/>
    <s v="[-0.018, -0.002, -0.001, -0.035, -0.062, -0.059, -0.058, -0.057, -0.052, -0.051, -0.065, -0.062, -0.058, -0.044]"/>
  </r>
  <r>
    <x v="1021"/>
    <x v="1273"/>
    <x v="102"/>
    <n v="0"/>
    <m/>
    <n v="681982"/>
    <n v="369881"/>
    <s v="#FIELD!"/>
    <n v="369863"/>
    <s v="0.009"/>
    <s v="427.03144564368256"/>
    <s v="#FIELD!"/>
  </r>
  <r>
    <x v="1022"/>
    <x v="1271"/>
    <x v="0"/>
    <n v="0"/>
    <s v="LINESTRING (5.29545694865665 59.397244362583415, 5.295467639883383 59.397299415999875, 5.295408072563812 59.39736706495291)"/>
    <s v="[1259502, 1259504]"/>
    <s v="[1177174, 1177175]"/>
    <s v="#FIELD!"/>
    <s v="[369935, 1177174]"/>
    <s v="[0.033, 0.001]"/>
    <s v="14.471943193556893"/>
    <s v="[-0.033, 0.001]"/>
  </r>
  <r>
    <x v="1022"/>
    <x v="1382"/>
    <x v="0"/>
    <n v="0"/>
    <m/>
    <n v="1259494"/>
    <n v="369935"/>
    <s v="0.116"/>
    <n v="1177168"/>
    <s v="0.116"/>
    <s v="2.0463259761722483"/>
    <s v="0.116"/>
  </r>
  <r>
    <x v="1023"/>
    <x v="1383"/>
    <x v="0"/>
    <s v="[0, 0, 0, 1, 0, 0]"/>
    <s v="LINESTRING (5.329174028872595 59.39822819108781, 5.329174028872595 59.39822819108781, 5.329215026113533 59.39793972448171, 5.329241528846026 59.39785436176947, 5.329306250251556 59.39764807897201, 5.329368569903101 59.39753238886164, 5.329393308730728 59.39749699171596)"/>
    <s v="[380853, 380865, 1430031, 1430039, 1430047, 1430055]"/>
    <s v="[368962, 369956, 1302413, 1302417, 1302423, 1302231]"/>
    <s v="#FIELD!"/>
    <s v="[369942, 368962, 369956, 1302413, 1302417, 1302423]"/>
    <s v="[0.0, 0.116, 0.309, 0.071, 0.042, 0.002]"/>
    <s v="87.29683770547771"/>
    <s v="[0.0, -0.116, -0.309, -0.071, -0.042, -0.002]"/>
  </r>
  <r>
    <x v="1023"/>
    <x v="1384"/>
    <x v="0"/>
    <n v="0"/>
    <s v="LINESTRING (5.329174028872595 59.39822819108781, 5.3292103915828895 59.39830460135655, 5.3292319289025425 59.39833570112915, 5.329311044886633 59.39779244531313, 5.329020861065332 59.39776733041602, 5.32687420487827 59.39757751308108, 5.326601469531707 59.39752707569785)"/>
    <s v="[2010567, 2010575, 682243, 682270, 682271, 682278]"/>
    <s v="[1759196, 673335, 673336, 673370, 673371, 672915]"/>
    <s v="#FIELD!"/>
    <s v="[369942, 1759196, 673335, 673336, 673370, 673371]"/>
    <s v="[0.211, 0.998, 0.025, 0.0, 0.021, 0.014]"/>
    <s v="345.97492969626757"/>
    <s v="[0.211, -0.998, -0.025, 0.0, -0.021, -0.014]"/>
  </r>
  <r>
    <x v="1024"/>
    <x v="1385"/>
    <x v="0"/>
    <n v="0"/>
    <s v="LINESTRING (10.419902915981194 59.938004769838024, 10.419816771386419 59.93801985014511, 10.419617511788312 59.93792999579271)"/>
    <s v="[382386, 382394]"/>
    <s v="[371725, 371650]"/>
    <s v="0.05147641611070818"/>
    <s v="[371616, 371725]"/>
    <s v="[0.053, 0.051]"/>
    <s v="21.420635726436824"/>
    <s v="[0.053, 0.051]"/>
  </r>
  <r>
    <x v="1024"/>
    <x v="1386"/>
    <x v="0"/>
    <n v="0"/>
    <s v="LINESTRING (10.41998295166156 59.93791455953843, 10.419973433652235 59.93796009621463, 10.419902915981194 59.938004769838024)"/>
    <s v="[382368, 382378]"/>
    <s v="[371705, 371616]"/>
    <s v="0.014625595005246891"/>
    <s v="[371626, 371705]"/>
    <s v="[0.007, 0.032]"/>
    <s v="11.455001991698975"/>
    <s v="[-0.007, 0.032]"/>
  </r>
  <r>
    <x v="1024"/>
    <x v="1387"/>
    <x v="0"/>
    <n v="0"/>
    <s v="LINESTRING (10.421902912587452 59.93819350076288, 10.420634769503756 59.93811216148035, 10.42001110690587 59.938021466685534, 10.419902915981194 59.938004769838024)"/>
    <s v="[1834812, 382272, 382283]"/>
    <s v="[371603, 371604, 371616]"/>
    <s v="0.3681652561582088"/>
    <s v="[824789, 371603, 371604]"/>
    <s v="[0.546, 0.065, 0.069]"/>
    <s v="115.20242872357596"/>
    <s v="[0.546, 0.065, 0.069]"/>
  </r>
  <r>
    <x v="1025"/>
    <x v="1388"/>
    <x v="0"/>
    <n v="0"/>
    <s v="LINESTRING (10.419699378842251 59.93785118141716, 10.419875876376924 59.937843741485835, 10.41998295166156 59.93791455953843)"/>
    <s v="[382338, 382360]"/>
    <s v="[371675, 371626]"/>
    <s v="#FIELD!"/>
    <s v="[371674, 371675]"/>
    <s v="[0.06, 0.044]"/>
    <s v="20.45637867810518"/>
    <s v="[-0.06, -0.044]"/>
  </r>
  <r>
    <x v="1025"/>
    <x v="1387"/>
    <x v="0"/>
    <n v="0"/>
    <s v="LINESTRING (10.421902912587452 59.93819350076288, 10.42072147299033 59.93806319389899, 10.420065488010774 59.937932207540086, 10.41998295166156 59.93791455953843)"/>
    <s v="[1834726, 382284, 382299]"/>
    <s v="[371617, 371618, 371626]"/>
    <s v="0.37334414732864896"/>
    <s v="[824789, 371617, 371618]"/>
    <s v="[0.576, 0.061, 0.071]"/>
    <s v="113.16691055216165"/>
    <s v="[0.576, 0.061, 0.071]"/>
  </r>
  <r>
    <x v="1026"/>
    <x v="1389"/>
    <x v="0"/>
    <n v="0"/>
    <s v="LINESTRING (10.419617511788312 59.93792999579271, 10.41952395843547 59.93790582149956, 10.419115963137173 59.93780327143181, 10.409459099283438 59.938920912255654, 10.407918652445339 59.93940296557892, 10.406422866881067 59.939991301657905, 10.406411002230112 59.939998145655224, 10.406263189397155 59.9400614307524)"/>
    <s v="[382320, 382332, 1834808, 1834802, 1834782, 1834790, 1834798]"/>
    <s v="[371651, 371667, 1609918, 1609901, 1609902, 1609909, 1388976]"/>
    <s v="#FIELD!"/>
    <s v="[371650, 371651, 371667, 1609918, 1609901, 1609902, 1609909]"/>
    <s v="[0.064, 0.058, 0.02, 0.027, 0.015, 0.04, 2.975]"/>
    <s v="824.68784449989"/>
    <s v="[0.064, 0.058, 0.02, 0.027, -0.015, -0.04, -2.975]"/>
  </r>
  <r>
    <x v="1026"/>
    <x v="1388"/>
    <x v="0"/>
    <n v="0"/>
    <s v="LINESTRING (10.419617511788312 59.93792999579271, 10.419638193759782 59.93788538717148, 10.419699378842251 59.93785118141716)"/>
    <s v="[382395, 382403]"/>
    <s v="[371736, 371674]"/>
    <s v="#FIELD!"/>
    <s v="[371650, 371736]"/>
    <s v="[0.006, 0.033]"/>
    <s v="10.227573898137326"/>
    <s v="[-0.006, -0.033]"/>
  </r>
  <r>
    <x v="1027"/>
    <x v="1389"/>
    <x v="0"/>
    <n v="0"/>
    <s v="LINESTRING (10.419699378842251 59.93785118141716, 10.4195876608098 59.93783225705595, 10.419155560636687 59.93775797200669, 10.409378150825233 59.938885217462214, 10.407880649290489 59.93935318161174, 10.406352069794735 59.939963585903776, 10.40634046172538 59.939970906523634, 10.406263189397155 59.9400614307524)"/>
    <s v="[382470, 382478, 1834734, 1834742, 1834750, 1834758, 1834766]"/>
    <s v="[371827, 371837, 1609870, 1609875, 1609880, 1609885, 1388976]"/>
    <s v="#FIELD!"/>
    <s v="[371674, 371827, 371837, 1609870, 1609875, 1609880, 1609885]"/>
    <s v="[0.061, 0.06, 0.02, 0.027, 0.015, 0.039, 2.863]"/>
    <s v="833.2770093734536"/>
    <s v="[0.061, 0.06, 0.02, 0.027, -0.015, -0.039, -2.863]"/>
  </r>
  <r>
    <x v="1028"/>
    <x v="1390"/>
    <x v="0"/>
    <n v="0"/>
    <s v="LINESTRING (10.384505648264557 59.94749778503134, 10.384525492173069 59.94756512547058, 10.384466324595092 59.94761404689322)"/>
    <s v="[382580, 382601]"/>
    <s v="[371951, 371794]"/>
    <s v="0.08845669704125388"/>
    <s v="[371772, 371951]"/>
    <s v="[0.088, 0.089]"/>
    <s v="13.9648792346172"/>
    <s v="[0.088, 0.089]"/>
  </r>
  <r>
    <x v="1028"/>
    <x v="1391"/>
    <x v="0"/>
    <n v="0"/>
    <m/>
    <n v="382572"/>
    <n v="371772"/>
    <s v="#FIELD!"/>
    <n v="371863"/>
    <s v="0.048"/>
    <s v="25.493706885774255"/>
    <s v="#FIELD!"/>
  </r>
  <r>
    <x v="1028"/>
    <x v="1392"/>
    <x v="0"/>
    <n v="0"/>
    <s v="LINESTRING (10.392484091471466 59.94656520108209, 10.3856379912015 59.947592146516136, 10.384636378520577 59.94752268473921, 10.384505648264557 59.94749778503134)"/>
    <s v="[1834605, 382414, 382425]"/>
    <s v="[371756, 371757, 371772]"/>
    <s v="0.05510524231251476"/>
    <s v="[1358098, 371756, 371757]"/>
    <s v="[0.059, 0.032, 0.018]"/>
    <s v="479.47166218194764"/>
    <s v="[0.059, 0.032, 0.018]"/>
  </r>
  <r>
    <x v="1029"/>
    <x v="1393"/>
    <x v="0"/>
    <n v="0"/>
    <m/>
    <n v="382604"/>
    <n v="371880"/>
    <s v="0.078"/>
    <n v="371794"/>
    <s v="0.078"/>
    <s v="8.78039862426107"/>
    <s v="0.078"/>
  </r>
  <r>
    <x v="1029"/>
    <x v="1392"/>
    <x v="0"/>
    <n v="0"/>
    <s v="LINESTRING (10.392484091471466 59.94656520108209, 10.385653869845106 59.947641629787505, 10.3845944760311 59.947614087019545, 10.384466324595092 59.94761404689322)"/>
    <s v="[1834629, 382433, 382442]"/>
    <s v="[371782, 371783, 371794]"/>
    <s v="0.058127661065349646"/>
    <s v="[1358098, 371782, 371783]"/>
    <s v="[0.061, 0.04, 0.043]"/>
    <s v="479.06754867184617"/>
    <s v="[0.061, 0.04, 0.043]"/>
  </r>
  <r>
    <x v="1030"/>
    <x v="1394"/>
    <x v="0"/>
    <n v="0"/>
    <s v="LINESTRING (10.384162404906908 59.94753440977565, 10.384065054963601 59.94757736064068, 10.383105207244501 59.94779891034927, 10.380513760836008 59.94881041363526, 10.379700100945186 59.94927229586576)"/>
    <s v="[382499, 382508, 1834613, 1834621]"/>
    <s v="[371864, 371872, 1609791, 1571849]"/>
    <s v="0.07609633467974909"/>
    <s v="[371863, 371864, 371872, 1609791]"/>
    <s v="[0.101, 0.075, 0.086, 0.048]"/>
    <s v="319.5783520069965"/>
    <s v="[0.101, 0.075, 0.086, 0.048]"/>
  </r>
  <r>
    <x v="1030"/>
    <x v="1393"/>
    <x v="0"/>
    <n v="0"/>
    <s v="LINESTRING (10.384315093587114 59.947635277637374, 10.384198999365251 59.94759990913001, 10.384162404906908 59.94753440977565)"/>
    <s v="[382616, 382631]"/>
    <s v="[371989, 371863]"/>
    <s v="#FIELD!"/>
    <s v="[371880, 371989]"/>
    <s v="[0.013, 0.078]"/>
    <s v="15.175962636431862"/>
    <s v="[-0.013, -0.078]"/>
  </r>
  <r>
    <x v="1031"/>
    <x v="1394"/>
    <x v="0"/>
    <n v="0"/>
    <s v="LINESTRING (10.384315093587114 59.947635277637374, 10.384189662233762 59.94765586568757, 10.383304518940362 59.947807068046814, 10.38060407638687 59.9488254361382, 10.379700100945186 59.94927229586576)"/>
    <s v="[382516, 382535, 1834637, 1834645]"/>
    <s v="[371881, 371900, 1609802, 1571849]"/>
    <s v="0.0737299916274515"/>
    <s v="[371880, 371881, 371900, 1609802]"/>
    <s v="[0.072, 0.069, 0.084, 0.05]"/>
    <s v="320.18454488124905"/>
    <s v="[0.072, 0.069, 0.084, 0.05]"/>
  </r>
  <r>
    <x v="1032"/>
    <x v="1395"/>
    <x v="0"/>
    <s v="[0, 0, 1, 0, 0, 0, 0]"/>
    <s v="LINESTRING (5.727150918579271 58.839783550469484, 5.726668991806901 58.83992209268472, 5.7251220143677015 58.84040719816642, 5.724157054304716 58.84074758721715, 5.72175883184159 58.84176911189244, 5.719946854261887 58.8430445627429, 5.719935421189065 58.843055599123005, 5.719766063837674 58.84322807718511)"/>
    <s v="[1423690, 1423698, 1423706, 1423714, 460243, 460264, 460274]"/>
    <s v="[1298713, 1298717, 1298723, 458664, 458665, 458690, 458700]"/>
    <s v="0.05425547874368899"/>
    <s v="[372460, 1298713, 1298717, 1298723, 458664, 458665, 458690]"/>
    <s v="[0.155, 0.028, 0.042, 0.076, 0.042, 0.028, 0.004]"/>
    <s v="584.7415186480039"/>
    <s v="[0.155, 0.028, 0.042, 0.076, 0.042, -0.028, -0.004]"/>
  </r>
  <r>
    <x v="1032"/>
    <x v="1396"/>
    <x v="0"/>
    <s v="[0, 0, 0, 0, 0, 1, 0, 0]"/>
    <s v="LINESTRING (5.723639185021727 58.839190551236975, 5.723490499673449 58.83919347786713, 5.722654126396005 58.83937107044039, 5.722580301438202 58.839405391401975, 5.722527116340281 58.83943570467108, 5.724105458553393 58.840709158113704, 5.725074199616635 58.840369097596735, 5.726691846531833 58.83986582417131, 5.727150918579271 58.839783550469484)"/>
    <s v="[1420512, 1420520, 1420528, 1420536, 1420544, 1420552, 1420560, 383002]"/>
    <s v="[1296805, 1296573, 1296815, 1296556, 1296823, 1296828, 372459, 372460]"/>
    <s v="#FIELD!"/>
    <s v="[1296649, 1296805, 1296573, 1296815, 1296556, 1296823, 1296828, 372459]"/>
    <s v="[0.023, 0.027, 0.032, 0.03, 0.004, 0.078, 0.038, 0.064]"/>
    <s v="529.9477826303198"/>
    <s v="[0.023, 0.027, 0.032, 0.03, 0.004, -0.078, -0.038, -0.064]"/>
  </r>
  <r>
    <x v="1032"/>
    <x v="1397"/>
    <x v="0"/>
    <s v="[0, 1, 1, 1, 0]"/>
    <s v="LINESTRING (5.734634970919359 58.83643622800615, 5.733227514042376 58.837490470856544, 5.7329968605746355 58.83763351262227, 5.729414434902532 58.83913666758547, 5.728561749866188 58.83938353746387, 5.727150918579271 58.839783550469484)"/>
    <s v="[1423650, 1423658, 1423666, 1423674, 1423682]"/>
    <s v="[1298697, 1298702, 1298704, 1298707, 372460]"/>
    <s v="#FIELD!"/>
    <s v="[1296759, 1298697, 1298702, 1298704, 1298707]"/>
    <s v="[0.076, 0.073, 0.04, 0.051, 0.05]"/>
    <s v="582.060692840761"/>
    <s v="[-0.076, -0.073, -0.04, 0.051, 0.05]"/>
  </r>
  <r>
    <x v="1033"/>
    <x v="1398"/>
    <x v="0"/>
    <n v="0"/>
    <s v="LINESTRING (5.384156256873275 59.424318523350344, 5.381553744399604 59.423345189202536, 5.380743819243579 59.42302503071732, 5.379284810406431 59.422441091807244)"/>
    <s v="[383903, 383911, 383919]"/>
    <s v="[373555, 373568, 373466]"/>
    <s v="0.029439706398172425"/>
    <s v="[373446, 373555, 373568]"/>
    <s v="[0.001, 0.042, 0.072]"/>
    <s v="347.9420436734993"/>
    <s v="[0.001, 0.042, 0.072]"/>
  </r>
  <r>
    <x v="1033"/>
    <x v="1399"/>
    <x v="0"/>
    <n v="0"/>
    <s v="LINESTRING (5.385080073395953 59.42456826485235, 5.384205919600296 59.42433311055647, 5.384156256873275 59.424318523350344)"/>
    <s v="[383887, 383895]"/>
    <s v="[373535, 373446]"/>
    <s v="#FIELD!"/>
    <s v="[373478, 373535]"/>
    <s v="[0.043, 0.044]"/>
    <s v="60.33026473953213"/>
    <s v="[-0.043, -0.044]"/>
  </r>
  <r>
    <x v="1033"/>
    <x v="1400"/>
    <x v="0"/>
    <n v="0"/>
    <s v="LINESTRING (5.381932420039439 59.42317318426076, 5.381877153007676 59.42315053868836, 5.381778762565796 59.4230703340103, 5.381454231876966 59.42320779905385, 5.381985620387882 59.42347326384525, 5.382601841489217 59.4237148496886, 5.383982249229226 59.424241905202244, 5.384156256873275 59.424318523350344)"/>
    <s v="[1250212, 1250220, 1250221, 1250148, 1250149, 1250163, 383815]"/>
    <s v="[1169473, 1169481, 1169430, 1169431, 1169432, 373445, 373446]"/>
    <s v="#FIELD!"/>
    <s v="[1169472, 1169473, 1169481, 1169430, 1169431, 1169432, 373445]"/>
    <s v="[0.018, 0.007, 0.026, 0.017, 0.022, 0.021, 0.055]"/>
    <s v="251.5521299131932"/>
    <s v="[0.018, 0.007, 0.026, -0.017, -0.022, -0.021, 0.055]"/>
  </r>
  <r>
    <x v="1034"/>
    <x v="1380"/>
    <x v="0"/>
    <n v="0"/>
    <s v="LINESTRING (5.380468334260633 59.42298265483569, 5.379224391299532 59.422480064663034, 5.377871390077949 59.42177757095311)"/>
    <s v="[383871, 383879]"/>
    <s v="[373517, 373525]"/>
    <s v="0.06058168520086112"/>
    <s v="[373456, 373517]"/>
    <s v="[0.076, 0.048]"/>
    <s v="201.20876575634242"/>
    <s v="[0.076, 0.048]"/>
  </r>
  <r>
    <x v="1034"/>
    <x v="1399"/>
    <x v="0"/>
    <n v="0"/>
    <s v="LINESTRING (5.385080073395953 59.42456826485235, 5.384165886529473 59.424373962577825, 5.381503013889136 59.42338528129623, 5.380684506158645 59.42306813740427, 5.380468334260633 59.42298265483569)"/>
    <s v="[383839, 383847, 383855, 383863]"/>
    <s v="[373479, 373488, 373497, 373456]"/>
    <s v="0.004121318580471267"/>
    <s v="[373478, 373479, 373488, 373497]"/>
    <s v="[0.042, 0.002, 0.043, 0.053]"/>
    <s v="319.17300802980515"/>
    <s v="[-0.042, 0.002, 0.043, 0.053]"/>
  </r>
  <r>
    <x v="1034"/>
    <x v="1401"/>
    <x v="0"/>
    <s v="[0, 0, 1, 0, 0, 0, 0, 0, 0, 0, 0, 0, 0]"/>
    <s v="LINESTRING (5.3853736627852005 59.424618124146576, 5.385137615544207 59.42461577217536, 5.384435522636793 59.424490258181336, 5.384211808132969 59.42442957653207, 5.383536467511633 59.4243194824634, 5.383267326606029 59.42434948859449, 5.383044675566439 59.42444458193816, 5.382881289833525 59.42451736989808, 5.382945660089714 59.424415194519526, 5.383002548380016 59.424121780443315, 5.382286047274503 59.42373558016613, 5.382089597071587 59.42365841187909, 5.380603741673175 59.423060920267986, 5.380468334260633 59.42298265483569)"/>
    <s v="[2071686, 2071694, 2071702, 2071710, 2071718, 2071726, 1417781, 1417788, 2071534, 2071542, 2071630, 2071647, 383823]"/>
    <s v="[1798585, 1798593, 1798597, 1798603, 1798609, 1294780, 1203381, 1294786, 1798486, 1798492, 1798548, 373455, 373456]"/>
    <s v="#FIELD!"/>
    <s v="[1223192, 1798585, 1798593, 1798597, 1798603, 1798609, 1294780, 1203381, 1294786, 1798486, 1798492, 1798548, 373455]"/>
    <s v="[0.113, 0.115, 0.112, 0.112, 0.091, 0.077, 0.065, 0.055, 0.042, 0.017, 0.023, 0.009, 0.043]"/>
    <s v="396.41688224551484"/>
    <s v="[-0.113, -0.115, -0.112, -0.112, -0.091, -0.077, 0.065, -0.055, 0.042, 0.017, 0.023, 0.009, 0.043]"/>
  </r>
  <r>
    <x v="1035"/>
    <x v="1380"/>
    <x v="0"/>
    <n v="0"/>
    <m/>
    <n v="383927"/>
    <n v="373525"/>
    <s v="0.052"/>
    <n v="373466"/>
    <s v="0.052"/>
    <s v="109.86597808502768"/>
    <s v="0.052"/>
  </r>
  <r>
    <x v="1035"/>
    <x v="1400"/>
    <x v="0"/>
    <n v="0"/>
    <s v="LINESTRING (5.379284810406431 59.422441091807244, 5.379505710647435 59.42251196334841, 5.380965532150138 59.42301754544701, 5.381226485976065 59.42301350194973, 5.381932420039439 59.42317318426076)"/>
    <s v="[383831, 1250175, 1250244, 1250245]"/>
    <s v="[373467, 1169445, 1169501, 1169472]"/>
    <s v="#FIELD!"/>
    <s v="[373466, 373467, 1169445, 1169501]"/>
    <s v="[0.095, 0.051, 0.04, 0.023]"/>
    <s v="185.41326797769813"/>
    <s v="[-0.095, -0.051, -0.04, -0.023]"/>
  </r>
  <r>
    <x v="1036"/>
    <x v="1401"/>
    <x v="0"/>
    <n v="0"/>
    <m/>
    <n v="1315914"/>
    <n v="373478"/>
    <s v="#FIELD!"/>
    <n v="1223192"/>
    <s v="0.692"/>
    <s v="17.62396101914375"/>
    <s v="#FIELD!"/>
  </r>
  <r>
    <x v="1037"/>
    <x v="1402"/>
    <x v="0"/>
    <n v="0"/>
    <s v="LINESTRING (5.336781233498914 59.40644924783088, 5.336807697599799 59.406425245477315, 5.3362089990260975 59.40561311487484, 5.3362055328744145 59.40560882275014, 5.335488389904014 59.40476848401716, 5.335384486988916 59.40462218245741, 5.334708946461996 59.40320679475124, 5.334697852708776 59.40317068045493, 5.334561054953315 59.40104965468676, 5.3345610536942285 59.4010453411727, 5.3345473778688905 59.40036410977463)"/>
    <s v="[383935, 1339060, 1339068, 1339076, 1339084, 1339092, 1339100, 1339108, 1339116, 1339124]"/>
    <s v="[373599, 1242599, 1242604, 1242613, 1242620, 1242623, 1242629, 1242633, 1242639, 1092178]"/>
    <s v="#FIELD!"/>
    <s v="[373598, 373599, 1242599, 1242604, 1242613, 1242620, 1242623, 1242629, 1242633, 1242639]"/>
    <s v="[0.088, 0.037, 0.0, 0.052, 0.035, 0.012, 0.002, 0.039, 0.0, 0.081]"/>
    <s v="701.7327375566756"/>
    <s v="[0.088, -0.037, 0.0, -0.052, -0.035, -0.012, 0.002, 0.039, 0.0, -0.081]"/>
  </r>
  <r>
    <x v="1037"/>
    <x v="1403"/>
    <x v="0"/>
    <n v="0"/>
    <s v="LINESTRING (5.336781233498914 59.40644924783088, 5.3367347871480115 59.406438244359386, 5.336125563315165 59.40562633049842, 5.336122936094274 59.405623068647046)"/>
    <s v="[383943, 1157237, 1157245]"/>
    <s v="[373611, 1092224, 1092001]"/>
    <s v="#FIELD!"/>
    <s v="[373598, 373611, 1092224]"/>
    <s v="[0.126, 0.061, 0.101]"/>
    <s v="100.51432310343465"/>
    <s v="[-0.126, -0.061, -0.101]"/>
  </r>
  <r>
    <x v="1037"/>
    <x v="1381"/>
    <x v="0"/>
    <n v="0"/>
    <m/>
    <n v="1157181"/>
    <n v="373598"/>
    <s v="0.079"/>
    <n v="672870"/>
    <s v="0.079"/>
    <s v="27.20937266804052"/>
    <s v="0.079"/>
  </r>
  <r>
    <x v="1038"/>
    <x v="1404"/>
    <x v="0"/>
    <n v="0"/>
    <s v="LINESTRING (14.648233415074731 66.39089151715729, 14.651415951481887 66.39207059592772, 14.65161680092042 66.39214532668602, 14.652393031090114 66.39243389652948, 14.6524603826393 66.392458475346, 14.653570512360387 66.39282463068848)"/>
    <s v="[384866, 384870, 384877, 384889, 384897]"/>
    <s v="[371003, 374625, 374629, 374644, 374652]"/>
    <s v="#FIELD!"/>
    <s v="[374620, 371003, 374625, 374629, 374644]"/>
    <s v="[0.016, 0.006, 0.001, 0.001, 0.014]"/>
    <s v="321.725631652017"/>
    <s v="[-0.016, 0.006, -0.001, -0.001, -0.014]"/>
  </r>
  <r>
    <x v="1038"/>
    <x v="1404"/>
    <x v="0"/>
    <n v="0"/>
    <s v="LINESTRING (14.648233415074731 66.39089151715729, 14.651441428041421 66.3919877136131, 14.651626870953192 66.39205674906668, 14.651726338697149 66.39209374438396, 14.652505270657544 66.39238432926524, 14.653570512360387 66.39282463068848)"/>
    <s v="[384900, 384908, 384916, 384931, 384933]"/>
    <s v="[371002, 371013, 374671, 374695, 374652]"/>
    <s v="#FIELD!"/>
    <s v="[374620, 371002, 371013, 374671, 374695]"/>
    <s v="[0.018, 0.005, 0.002, 0.001, 0.007]"/>
    <s v="322.10282198955986"/>
    <s v="[-0.018, 0.005, -0.002, -0.001, -0.007]"/>
  </r>
  <r>
    <x v="1038"/>
    <x v="1405"/>
    <x v="0"/>
    <n v="0"/>
    <s v="LINESTRING (14.54151834366411 66.38680744739848, 14.54760067433238 66.38580091809101, 14.605395054632732 66.38557077082949, 14.646262178547165 66.39034601984825, 14.648233415074731 66.39089151715729)"/>
    <s v="[1819990, 1819998, 1820013, 1820021]"/>
    <s v="[1600116, 677210, 1600133, 374620]"/>
    <s v="0.003956680875396738"/>
    <s v="[1571858, 1600116, 677210, 1600133]"/>
    <s v="[0.004, 0.038, 0.038, 0.046]"/>
    <s v="4903.285970482002"/>
    <s v="[-0.004, 0.038, -0.038, -0.046]"/>
  </r>
  <r>
    <x v="1039"/>
    <x v="1116"/>
    <x v="0"/>
    <s v="[0, 0, 0, 1, 0, 0, 0, 0, 0, 0, 0, 0, 0, 0, 0, 0, 0, 0, 0]"/>
    <s v="LINESTRING (14.653570512360387 66.39282463068848, 14.65501134722723 66.39336070767818, 14.658085137932458 66.39450424997415, 14.660346084316386 66.39534530087589, 14.661009163977637 66.39559194539376, 14.661735601941684 66.3958645257694, 14.662259811566107 66.39605979938085, 14.672108856205199 66.39904168007693, 14.675861601158585 66.39939500474264, 14.679094627804188 66.39966418686964, 14.68037414526192 66.39977290736077, 14.680872296326793 66.39981570619098, 14.686564668847623 66.40033196780973, 14.688433947033822 66.40057997164207, 14.690187101047348 66.400944240668, 14.715156804270142 66.4088061851807, 14.716202566770152 66.40882361966578, 14.719571929236984 66.40879448096949, 14.727498840795054 66.40935173908571, 14.738918478793611 66.41412895843328)"/>
    <s v="[1820039, 1820053, 1820054, 1820056, 1820069, 1820073, 1820092, 1820093, 1820094, 1820109, 1820130, 1820138, 595670, 595678, 595686, 595630, 595638, 595646, 595654]"/>
    <s v="[1600024, 1600164, 1600165, 1600167, 1600040, 1600033, 1600048, 1600052, 1600070, 1600081, 1600087, 599393, 599394, 599402, 599356, 599357, 599364, 599329, 599379]"/>
    <s v="0.011058838328373946"/>
    <s v="[374652, 1600024, 1600164, 1600165, 1600167, 1600040, 1600033, 1600048, 1600052, 1600070, 1600081, 1600087, 599393, 599394, 599402, 599356, 599357, 599364, 599329]"/>
    <s v="[0.022, 0.009, 0.017, 0.041, 0.043, 0.06, 0.031, 0.013, 0.009, 0.007, 0.009, 0.027, 0.057, 0.026, 0.042, 0.006, 0.04, 0.045, 0.014]"/>
    <s v="4689.549990314057"/>
    <s v="[-0.022, 0.009, -0.017, -0.041, -0.043, 0.06, 0.031, 0.013, 0.009, 0.007, 0.009, -0.027, -0.057, -0.026, 0.042, -0.006, -0.04, -0.045, 0.014]"/>
  </r>
  <r>
    <x v="1040"/>
    <x v="1406"/>
    <x v="0"/>
    <s v="[0, 0, 0, 0, 1, 0, 0]"/>
    <s v="LINESTRING (6.164859356586233 58.5365247286334, 6.163569538824416 58.53609572647284, 6.163258132566613 58.536034632587786, 6.161064556741225 58.53584375196993, 6.16048039098853 58.53573891525275, 6.159176007885411 58.535268035530905, 6.157621849342014 58.53435658274763, 6.157588539024937 58.53431948484176)"/>
    <s v="[1378266, 1378267, 1378270, 1378274, 1378280, 1378288, 384919]"/>
    <s v="[1269227, 1269228, 1269231, 1269234, 1269236, 374675, 374676]"/>
    <s v="#FIELD!"/>
    <s v="[1269059, 1269227, 1269228, 1269231, 1269234, 1269236, 374675]"/>
    <s v="[0.027, 0.078, 0.068, 0.067, 0.112, 0.027, 0.147]"/>
    <s v="509.9628729077683"/>
    <s v="[-0.027, -0.078, -0.068, -0.067, -0.112, -0.027, 0.147]"/>
  </r>
  <r>
    <x v="1040"/>
    <x v="1407"/>
    <x v="0"/>
    <s v="[0, 0, 0, 1, 0, 0]"/>
    <s v="LINESTRING (6.163405828069994 58.536004308354734, 6.163289293048744 58.53598373802469, 6.161100251608361 58.53579242277495, 6.160516679530188 58.53568858462812, 6.159217778270253 58.53521638775711, 6.1576706420182346 58.53431864374928, 6.157588539024937 58.53431948484176)"/>
    <s v="[1378087, 1378100, 1378119, 1378132, 1378148, 384941]"/>
    <s v="[1269136, 1269139, 1269151, 1269161, 374704, 374676]"/>
    <s v="#FIELD!"/>
    <s v="[1269083, 1269136, 1269139, 1269151, 1269161, 374704]"/>
    <s v="[0.097, 0.069, 0.064, 0.115, 0.029, 0.021]"/>
    <s v="406.6242878690463"/>
    <s v="[-0.097, -0.069, -0.064, -0.115, -0.029, 0.021]"/>
  </r>
  <r>
    <x v="1041"/>
    <x v="1408"/>
    <x v="0"/>
    <n v="0"/>
    <s v="LINESTRING (13.36551271789853 65.37351557438892, 13.36496059105087 65.37426006519767, 13.364409803773457 65.37542853484743, 13.364388600894674 65.37551619476378, 13.364324110510546 65.37602669690945, 13.364322879025428 65.37612358370563, 13.364324699677825 65.37620426826975, 13.364642563728202 65.37765060352005, 13.364693933267109 65.3778910988997)"/>
    <s v="[385286, 385294, 385311, 385333, 385341, 385349, 385357, 385369]"/>
    <s v="[375164, 375171, 375187, 375211, 375151, 375221, 375228, 375235]"/>
    <s v="#FIELD!"/>
    <s v="[375163, 375164, 375171, 375187, 375211, 375151, 375221, 375228]"/>
    <s v="[0.021, 0.043, 0.035, 0.03, 0.021, 0.023, 0.012, 0.012]"/>
    <s v="495.5866939441232"/>
    <s v="[0.021, -0.043, -0.035, -0.03, -0.021, -0.023, -0.012, -0.012]"/>
  </r>
  <r>
    <x v="1041"/>
    <x v="1408"/>
    <x v="0"/>
    <n v="0"/>
    <s v="LINESTRING (13.36551271789853 65.37351557438892, 13.364805318124239 65.37424437472582, 13.36420312782874 65.37551170923764, 13.364139968999364 65.37602875935777, 13.364139161167536 65.37607492558429, 13.364138257983521 65.3761260807266, 13.364137547146631 65.37616654007618, 13.364136930949007 65.3762065158152, 13.36454740638593 65.37765291190698, 13.364582619953245 65.37773394900205, 13.364693933267109 65.3778910988997)"/>
    <s v="[385371, 385384, 385392, 385399, 385406, 385416, 385424, 385432, 385440, 385448]"/>
    <s v="[375237, 375251, 375259, 375152, 375268, 375277, 375284, 375292, 375298, 375235]"/>
    <s v="#FIELD!"/>
    <s v="[375163, 375237, 375251, 375259, 375152, 375268, 375277, 375284, 375292, 375298]"/>
    <s v="[0.017, 0.047, 0.029, 0.02, 0.027, 0.023, 0.023, 0.008, 0.003, 0.013]"/>
    <s v="499.85581584504877"/>
    <s v="[0.017, -0.047, -0.029, -0.02, -0.027, -0.023, -0.023, -0.008, -0.003, 0.013]"/>
  </r>
  <r>
    <x v="1041"/>
    <x v="1409"/>
    <x v="0"/>
    <s v="[0, 1, 0, 0, 0, 0, 0, 1, 0, 0]"/>
    <s v="LINESTRING (13.370445557656938 65.34446939559292, 13.370400945508592 65.34478737367334, 13.370377145728703 65.34495590467968, 13.371230089271679 65.3523319275289, 13.377964640473586 65.36533170478191, 13.377858032378212 65.36542138354066, 13.376549828165375 65.36642069409444, 13.376470453858719 65.36648015970891, 13.37623979112239 65.36665299144772, 13.374935884590467 65.36763399979719, 13.36551271789853 65.37351557438892)"/>
    <s v="[683265, 683273, 683281, 683217, 683225, 683233, 683000, 683008, 683016, 683024]"/>
    <s v="[674492, 674501, 674445, 674117, 674455, 674216, 674217, 674224, 674125, 375163]"/>
    <s v="0.0032919847849390248"/>
    <s v="[375471, 674492, 674501, 674445, 674117, 674455, 674216, 674217, 674224, 674125]"/>
    <s v="[0.03, 0.03, 0.008, 0.004, 0.01, 0.011, 0.012, 0.011, 0.005, 0.036]"/>
    <s v="3521.3927421384833"/>
    <s v="[-0.03, -0.03, -0.008, -0.004, -0.01, -0.011, -0.012, -0.011, -0.005, 0.036]"/>
  </r>
  <r>
    <x v="1042"/>
    <x v="1410"/>
    <x v="0"/>
    <s v="[0, 0, 0, 1, 0, 0, 0, 0, 0, 0, 0, 0, 0, 1, 0, 1, 0, 0]"/>
    <s v="LINESTRING (13.364693933267109 65.3778910988997, 13.364974048134222 65.37843516328007, 13.37444000174165 65.3926409538952, 13.383929769924341 65.40230719116587, 13.383853336668052 65.40242232641783, 13.383227171848961 65.40455941266852, 13.386774181846336 65.40814649125373, 13.389699536833353 65.41407776696157, 13.389622832982534 65.41448466678912, 13.38950892717715 65.41490157197887, 13.389992379771616 65.41785488755562, 13.390008229402186 65.41789016493979, 13.390347524178193 65.4186095729728, 13.405271104881779 65.4269938314774, 13.40557120451149 65.42730550380233, 13.407162034441095 65.42895671480008, 13.407464344167456 65.42926964467512, 13.41158467247944 65.43408892572097, 13.412487355627096 65.43555406646796)"/>
    <s v="[683033, 2161554, 2161538, 2161546, 2161514, 2161522, 2161490, 2161498, 2161506, 2161530, 2095002, 2095010, 2095018, 2095026, 2095034, 2095042, 2095050, 2095058]"/>
    <s v="[674247, 1850847, 1850848, 1850831, 1850832, 1850813, 1850814, 451055, 1850823, 1812512, 1812513, 672571, 1812524, 1812530, 1812534, 1812540, 978075, 1186105]"/>
    <s v="#FIELD!"/>
    <s v="[375235, 674247, 1850847, 1850848, 1850831, 1850832, 1850813, 1850814, 451055, 1850823, 1812512, 1812513, 672571, 1812524, 1812530, 1812534, 1812540, 978075]"/>
    <s v="[0.001, 0.032, 0.009, 0.015, 0.008, 0.004, 0.002, 0.001, 0.001, 0.002, 0.001, 0.007, 0.022, 0.004, 0.003, 0.021, 0.025, 0.005]"/>
    <s v="7099.422577979672"/>
    <s v="[-0.001, -0.032, -0.009, -0.015, -0.008, -0.004, -0.002, -0.001, -0.001, -0.002, -0.001, 0.007, 0.022, -0.004, 0.003, 0.021, 0.025, -0.005]"/>
  </r>
  <r>
    <x v="1043"/>
    <x v="1409"/>
    <x v="0"/>
    <n v="0"/>
    <s v="LINESTRING (13.373084388937238 65.33972994772486, 13.371019257165877 65.34218182449035, 13.370986619466887 65.34225369192613, 13.37080399759616 65.34275444067922, 13.370781504271395 65.34286062035491, 13.370445557656938 65.34446939559292)"/>
    <s v="[385568, 385576, 385584, 385592, 385600]"/>
    <s v="[375434, 375445, 375454, 375403, 375471]"/>
    <s v="#FIELD!"/>
    <s v="[375433, 375434, 375445, 375454, 375403]"/>
    <s v="[0.013, 0.023, 0.025, 0.028, 0.028]"/>
    <s v="547.0430581818547"/>
    <s v="[0.013, -0.023, -0.025, -0.028, -0.028]"/>
  </r>
  <r>
    <x v="1043"/>
    <x v="1409"/>
    <x v="0"/>
    <n v="0"/>
    <s v="LINESTRING (13.373084388937238 65.33972994772486, 13.370805632253838 65.34224229652544, 13.370621873530556 65.34274816636788, 13.370609521350726 65.34280644063624, 13.370587047557601 65.34291263844976, 13.370445557656938 65.34446939559292)"/>
    <s v="[385608, 385616, 385624, 385632, 385640]"/>
    <s v="[375482, 375490, 375404, 375418, 375471]"/>
    <s v="#FIELD!"/>
    <s v="[375433, 375482, 375490, 375404, 375418]"/>
    <s v="[0.012, 0.026, 0.029, 0.026, 0.029]"/>
    <s v="549.9481259744317"/>
    <s v="[0.012, -0.026, -0.029, -0.026, -0.029]"/>
  </r>
  <r>
    <x v="1043"/>
    <x v="1411"/>
    <x v="0"/>
    <s v="[0, 0, 0, 0, 0, 0, 0, 0, 0, 0, 0, 1, 0, 0, 0, 0]"/>
    <s v="LINESTRING (13.342791598131493 65.26801268211932, 13.344029254833922 65.27210192936049, 13.343118709322903 65.27324949597892, 13.33787811145612 65.27574716985464, 13.334952953674076 65.28172248868991, 13.335320209562434 65.28799426841843, 13.342837971072493 65.29735915504449, 13.348687767707903 65.30385861302025, 13.372716973187925 65.31817224112135, 13.378367159956486 65.32190887219869, 13.379540826250246 65.32461633391978, 13.379256625183455 65.32782962008434, 13.379165802468679 65.32808379591441, 13.37539253659392 65.33495898691113, 13.374499048546147 65.33633524226065, 13.37427746810483 65.33689709677256, 13.373084388937238 65.33972994772486)"/>
    <s v="[683113, 683185, 683193, 683201, 683209, 683169, 683177, 683161, 683121, 683129, 683137, 683145, 683153, 683241, 683249, 683257]"/>
    <s v="[674335, 674026, 674035, 674186, 674401, 674046, 674393, 674346, 674347, 674082, 674366, 674376, 674383, 674471, 674100, 375433]"/>
    <s v="#FIELD!"/>
    <s v="[674334, 674335, 674026, 674035, 674186, 674401, 674046, 674393, 674346, 674347, 674082, 674366, 674376, 674383, 674471, 674100]"/>
    <s v="[0.015, 0.029, 0.02, 0.025, 0.032, 0.036, 0.036, 0.011, 0.01, 0.001, 0.001, 0.002, 0.006, 0.011, 0.02, 0.025]"/>
    <s v="8766.362971923254"/>
    <s v="[0.015, -0.029, -0.02, -0.025, -0.032, -0.036, 0.036, -0.011, -0.01, -0.001, -0.001, -0.002, 0.006, 0.011, 0.02, 0.025]"/>
  </r>
  <r>
    <x v="1044"/>
    <x v="1412"/>
    <x v="0"/>
    <s v="[0, 0, 1, 1, 0]"/>
    <s v="LINESTRING (6.68022574953607 58.296843310475, 6.680042468757546 58.29711535481981, 6.6796665250678275 58.29786490608759, 6.679664855864508 58.29786856001472, 6.6795115856759155 58.29828839009873, 6.679481718932783 58.298574319584716)"/>
    <s v="[388155, 388163, 388189, 388197, 388205]"/>
    <s v="[378391, 378401, 378437, 378447, 378304]"/>
    <s v="#FIELD!"/>
    <s v="[378167, 378391, 378401, 378437, 378447]"/>
    <s v="[0.169, 0.166, 0.377, 0.132, 0.128]"/>
    <s v="199.19142332177452"/>
    <s v="[-0.169, -0.166, -0.377, -0.132, -0.128]"/>
  </r>
  <r>
    <x v="1044"/>
    <x v="1413"/>
    <x v="0"/>
    <n v="0"/>
    <s v="LINESTRING (6.689048352348651 58.29505026664696, 6.68642619314018 58.295317608185535, 6.683273438943151 58.295516618164484, 6.682762435426619 58.29559412193439, 6.6806877870182575 58.29641465518744, 6.68022574953607 58.296843310475)"/>
    <s v="[388111, 388122, 388137, 388147, 388148]"/>
    <s v="[378320, 378339, 378367, 378380, 378167]"/>
    <s v="#FIELD!"/>
    <s v="[378200, 378320, 378339, 378367, 378380]"/>
    <s v="[0.056, 0.019, 0.079, 0.12, 0.161]"/>
    <s v="585.4918508135852"/>
    <s v="[0.056, -0.019, -0.079, -0.12, -0.161]"/>
  </r>
  <r>
    <x v="1044"/>
    <x v="1414"/>
    <x v="0"/>
    <s v="[0, 0, 1, 0, 0]"/>
    <s v="LINESTRING (6.677999061917587 58.29842303534217, 6.678037616552942 58.29847095549518, 6.679449245988217 58.298295406572024, 6.679603429261687 58.29787439997108, 6.680102994647074 58.2969536725107, 6.68022574953607 58.296843310475)"/>
    <s v="[2136930, 2136938, 2136946, 2136954, 387997]"/>
    <s v="[1836780, 1836783, 1836787, 378166, 378167]"/>
    <s v="0.09710201198995376"/>
    <s v="[443013, 1836780, 1836783, 1836787, 378166]"/>
    <s v="[0.111, 0.023, 0.134, 0.163, 0.182]"/>
    <s v="294.0681057054771"/>
    <s v="[-0.111, 0.023, 0.134, 0.163, 0.182]"/>
  </r>
  <r>
    <x v="1045"/>
    <x v="1415"/>
    <x v="0"/>
    <s v="[0, 0, 1, 0]"/>
    <s v="LINESTRING (6.680123008575994 58.2971402592292, 6.680095613918978 58.29726778770313, 6.679827713582331 58.297840720333674, 6.679667972711581 58.29827074864717, 6.680420268021328 58.29865177308639)"/>
    <s v="[388004, 1614599, 1614602, 1614611]"/>
    <s v="[378177, 1447913, 1447916, 1447922]"/>
    <s v="#FIELD!"/>
    <s v="[378176, 378177, 1447913, 1447916]"/>
    <s v="[0.136, 0.165, 0.165, 0.068]"/>
    <s v="200.18720293668167"/>
    <s v="[-0.136, -0.165, -0.165, 0.068]"/>
  </r>
  <r>
    <x v="1045"/>
    <x v="1412"/>
    <x v="0"/>
    <s v="[0, 1, 1, 0]"/>
    <s v="LINESTRING (6.680123008575994 58.2971402592292, 6.679762128626992 58.29785059271393, 6.679760484793202 58.29785428440231, 6.679606877710448 58.29827757599324, 6.679481718932783 58.298574319584716)"/>
    <s v="[388069, 388070, 388082, 388099]"/>
    <s v="[378261, 378262, 378283, 378304]"/>
    <s v="#FIELD!"/>
    <s v="[378176, 378261, 378262, 378283]"/>
    <s v="[0.168, 0.0, 0.152, 0.126]"/>
    <s v="164.76666150404543"/>
    <s v="[-0.168, 0.0, -0.152, -0.126]"/>
  </r>
  <r>
    <x v="1045"/>
    <x v="1413"/>
    <x v="0"/>
    <n v="0"/>
    <s v="LINESTRING (6.689048352348651 58.29505026664696, 6.686478485793869 58.295368283721274, 6.682828556794891 58.29563775409696, 6.680756385976195 58.296456212661894, 6.680299035587743 58.29688577986716, 6.680123008575994 58.2971402592292)"/>
    <s v="[388023, 388024, 388044, 388045, 388058]"/>
    <s v="[378201, 378202, 378229, 378230, 378176]"/>
    <s v="#FIELD!"/>
    <s v="[378200, 378201, 378202, 378229, 378230]"/>
    <s v="[0.056, 0.027, 0.121, 0.161, 0.163]"/>
    <s v="613.9065801821298"/>
    <s v="[0.056, -0.027, -0.121, -0.161, -0.163]"/>
  </r>
  <r>
    <x v="1046"/>
    <x v="1416"/>
    <x v="0"/>
    <s v="[0, 1, 1, 0, 0, 0, 0, 0, 0, 0, 0, 0, 0, 0, 0, 0, 0, 0, 0, 0, 0, 0, 0, 0, 0, 0, 0, 0, 0, 0, 0, 0, 0, 0, 0, 0, 0, 0, 0, 0, 0, 0, 0, 0, 0, 0, 0, 0, 0, 0, 0, 0, 0, 0, 0, 0, 0, 0, 0, 0]"/>
    <s v="LINESTRING (6.782361186501546 58.27371783418992, 6.780450376398984 58.273691334109294, 6.779342082984765 58.27350238987409, 6.777545142776624 58.272809056563545, 6.776079622694426 58.272029256642945, 6.766784414446813 58.270070119134566, 6.7664531396672984 58.270019987118644, 6.762585600201018 58.269493344387264, 6.76185924215593 58.26945273222296, 6.757927530052978 58.26970559218382, 6.757749302616995 58.26972615598309, 6.756140997735091 58.26984327332798, 6.753196311453552 58.26978500663915, 6.752540602384532 58.26977101092617, 6.747264652073135 58.270492638287706, 6.747222413736215 58.27050018905067, 6.74344651738604 58.27066753310868, 6.742628325844388 58.2706130237837, 6.742503189616631 58.27060194345371, 6.737289456480578 58.27058402523583, 6.737255973161726 58.270586655942815, 6.727418285748215 58.27325532176515, 6.726496353732982 58.27473340036514, 6.722400211684861 58.27828331807393, 6.717936431054909 58.28072603948717, 6.716643524686434 58.28085909978386, 6.7163450762212165 58.28086734424921, 6.7156859929356445 58.28088534199783, 6.715535213690271 58.28089064769904, 6.712242474366799 58.281254227649626, 6.710429682027517 58.28105654771291, 6.707728533088925 58.280491278855315, 6.707658604799464 58.280484411019934, 6.7068318279424775 58.28045356314961, 6.704630880439219 58.28080027896133, 6.702754417045163 58.28230311151546, 6.703317704249833 58.283861415782894, 6.703877618091623 58.28424647260546, 6.705245281148335 58.2850520239262, 6.705354190019485 58.28512660371406, 6.705460146804303 58.285210520280444, 6.7060395629328555 58.285654180277305, 6.707047417476527 58.28700126680614, 6.707091228646618 58.287594869707604, 6.705400710251412 58.289465662903694, 6.703457593837281 58.290562172494276, 6.703176963407189 58.29070957223048, 6.703080639158387 58.29075792206746, 6.703014200078924 58.29078729670357, 6.702964866148696 58.2908091705121, 6.702576666427536 58.29098774173527, 6.7021345630487525 58.291200502992396, 6.700061351880961 58.292186023727474, 6.693522653006474 58.29359375312564, 6.691819434350111 58.29416617820385, 6.690489114267672 58.29461499623885, 6.69039523912829 58.294646594899596, 6.69031399483242 58.29467383982182, 6.689564960610829 58.29491368759972, 6.689369660929174 58.29496935049873, 6.689048352348651 58.29505026664696)"/>
    <s v="[1191552, 1191560, 1353243, 1353251, 1353259, 1353267, 1353275, 1353283, 1353291, 1353299, 1353307, 1353315, 1353323, 1353331, 1353339, 1353347, 1353355, 1353363, 1353371, 1353379, 1353387, 1353395, 1353403, 1353411, 1353419, 1353427, 1353435, 1353443, 1353451, 1353459, 1353467, 1353476, 1353484, 1353492, 1353500, 1353508, 1353516, 1353524, 1353532, 1353540, 1353548, 1353556, 1353564, 1353572, 1353580, 1353588, 1353596, 1353604, 1353612, 1353620, 1353628, 1353636, 1353644, 1353652, 1353660, 1353668, 1353676, 1353684, 1353692, 1353700]"/>
    <s v="[1119281, 1119289, 1252752, 1252757, 1252763, 1252773, 1171557, 1097627, 1252794, 1252802, 1252811, 1252819, 1066135, 1252833, 1252838, 1252846, 1252852, 1252860, 1252865, 1252870, 213435, 1103606, 244890, 1220562, 1220578, 1252899, 1252903, 1252907, 1108910, 1252919, 1121179, 1252928, 1252934, 1252940, 1252948, 235007, 1252958, 1252963, 244538, 1252970, 1252975, 1252980, 1252985, 1252994, 742749, 1220595, 1253009, 1220586, 1253019, 1253027, 1253034, 1253042, 1253048, 229741, 1220556, 1253063, 1220548, 1253071, 1253077, 378200]"/>
    <s v="#FIELD!"/>
    <s v="[1119242, 1119281, 1119289, 1252752, 1252757, 1252763, 1252773, 1171557, 1097627, 1252794, 1252802, 1252811, 1252819, 1066135, 1252833, 1252838, 1252846, 1252852, 1252860, 1252865, 1252870, 213435, 1103606, 244890, 1220562, 1220578, 1252899, 1252903, 1252907, 1108910, 1252919, 1121179, 1252928, 1252934, 1252940, 1252948, 235007, 1252958, 1252963, 244538, 1252970, 1252975, 1252980, 1252985, 1252994, 742749, 1220595, 1253009, 1220586, 1253019, 1253027, 1253034, 1253042, 1253048, 229741, 1220556, 1253063, 1220548, 1253071, 1253077]"/>
    <s v="[0.11, 0.209, 0.104, 0.277, 0.089, 0.066, 0.049, 0.033, 0.011, 0.037, 0.05, 0.036, 0.119, 0.099, 0.073, 0.088, 0.086, 0.014, 0.036, 0.022, 0.04, 0.113, 0.039, 0.086, 0.109, 0.067, 0.067, 0.045, 0.015, 0.071, 0.018, 0.099, 0.15, 0.188, 0.041, 0.018, 0.064, 0.047, 0.035, 0.043, 0.002, 0.001, 0.055, 0.097, 0.024, 0.009, 0.122, 0.127, 0.121, 0.125, 0.135, 0.079, 0.077, 0.025, 0.015, 0.047, 0.014, 0.041, 0.051, 1.289]"/>
    <s v="7579.871997272094"/>
    <s v="[-0.11, -0.209, 0.104, 0.277, 0.089, -0.066, -0.049, -0.033, 0.011, 0.037, 0.05, 0.036, -0.119, -0.099, -0.073, -0.088, -0.086, 0.014, -0.036, 0.022, -0.04, -0.113, 0.039, -0.086, -0.109, -0.067, -0.067, -0.045, -0.015, 0.071, 0.018, -0.099, -0.15, -0.188, -0.041, -0.018, -0.064, -0.047, -0.035, -0.043, 0.002, 0.001, 0.055, 0.097, 0.024, 0.009, 0.122, 0.127, 0.121, 0.125, 0.135, 0.079, -0.077, 0.025, -0.015, -0.047, -0.014, -0.041, -0.051, 1.289]"/>
  </r>
  <r>
    <x v="1047"/>
    <x v="1417"/>
    <x v="0"/>
    <n v="0"/>
    <s v="LINESTRING (6.679481718932783 58.298574319584716, 6.679446019443849 58.298760830584165, 6.679391920963072 58.299458456232585, 6.679429838772336 58.299836103609074, 6.679453619168975 58.299968229950224, 6.679509202141928 58.30023205150249)"/>
    <s v="[1353708, 1353716, 1353724, 1353732, 1353740]"/>
    <s v="[1253089, 1253097, 1253101, 1253107, 1253113]"/>
    <s v="0.07289843728776428"/>
    <s v="[378304, 1253089, 1253097, 1253101, 1253107]"/>
    <s v="[0.198, 0.058, 0.15, 0.15, 0.155]"/>
    <s v="185.58205066438643"/>
    <s v="[-0.198, 0.058, 0.15, 0.15, 0.155]"/>
  </r>
  <r>
    <x v="1048"/>
    <x v="1418"/>
    <x v="0"/>
    <n v="0"/>
    <s v="LINESTRING (10.622249432063223 59.90837584830408, 10.622739875660153 59.908434022744125, 10.6242239888841 59.908747983148075)"/>
    <s v="[389663, 1504636]"/>
    <s v="[380272, 1360613]"/>
    <s v="#FIELD!"/>
    <s v="[380271, 380272]"/>
    <s v="[0.008, 0.018]"/>
    <s v="118.40238430237528"/>
    <s v="[-0.008, -0.018]"/>
  </r>
  <r>
    <x v="1048"/>
    <x v="1419"/>
    <x v="103"/>
    <n v="0"/>
    <s v="LINESTRING (10.622249432063223 59.90837584830408, 10.615388546146008 59.90669209119597, 10.605708954085037 59.90470368518981, 10.603220911005804 59.90423965570376, 10.603204741346676 59.9042360309443, 10.602992622932522 59.904188620148, 10.60146010620247 59.90384345012487, 10.599486715233787 59.90339752155759, 10.595975650230214 59.90296580399762, 10.595859655619822 59.902941418329604, 10.59392206498555 59.902497779670504, 10.587834557646262 59.90104839147681, 10.58602617179796 59.9006797367007, 10.581674047561656 59.90013069452664, 10.581621832532868 59.90012489431778, 10.581484145863588 59.90010815723082, 10.581466938167484 59.9001060415841, 10.58139812284444 59.90009759747884, 10.58132843163154 59.900089951249925, 10.578785215004459 59.899752042901234, 10.578728134395174 59.89974165359209, 10.577614017679497 59.89951832954509, 10.57756012897109 59.899505618963154, 10.576043521002006 59.89910651323829)"/>
    <s v="[389672, 1542668, 1283932, 1283940, 1283948, 1283956, 1283964, 1283972, 1542676, 1542684, 1542692, 1542700, 1542708, 1542716, 1542724, 1542732, 1542740, 1542748, 1542756, 1542764, 1542772, 1542780, 1542788]"/>
    <s v="[380281, 1197851, 1197852, 1197862, 1197866, 1197873, 1197881, 1197888, 1393634, 1393639, 1393646, 1393652, 1393660, 1393669, 1393677, 1393684, 1393689, 1393697, 1393704, 1393712, 1393719, 1393724, 1393732]"/>
    <s v="0.0006696788925978175"/>
    <s v="[380271, 380281, 1197851, 1197852, 1197862, 1197866, 1197873, 1197881, 1197888, 1393634, 1393639, 1393646, 1393652, 1393660, 1393669, 1393677, 1393684, 1393689, 1393697, 1393704, 1393712, 1393719, 1393724]"/>
    <s v="[0.002, 0.006, 0.007, 0.016, 0.0, 0.003, 0.017, 0.018, 0.052, 0.016, 0.005, 0.02, 0.001, 0.002, 0.013, 0.012, 0.012, 0.016, 0.004, 0.009, 0.008, 0.018, 0.003]"/>
    <s v="2804.13197034818"/>
    <s v="[0.002, -0.006, 0.007, 0.016, 0.0, 0.003, 0.017, 0.018, 0.052, 0.016, -0.005, -0.02, -0.001, 0.002, -0.013, -0.012, -0.012, -0.016, 0.004, 0.009, -0.008, -0.018, -0.003]"/>
  </r>
  <r>
    <x v="1048"/>
    <x v="1420"/>
    <x v="0"/>
    <n v="0"/>
    <m/>
    <n v="1542660"/>
    <n v="380271"/>
    <s v="0.008"/>
    <n v="1393621"/>
    <s v="0.008"/>
    <s v="142.68408740986757"/>
    <s v="0.008"/>
  </r>
  <r>
    <x v="1049"/>
    <x v="1421"/>
    <x v="104"/>
    <n v="0"/>
    <s v="LINESTRING (10.62219962332323 59.90847113004717, 10.615310154555551 59.90677944014838, 10.605703760450062 59.90480108104439, 10.605633613808854 59.90479406231887, 10.603083741892853 59.90452065845933, 10.60306637119091 59.904518531282946, 10.602840617878869 59.90448740884002, 10.601239326015072 59.90421113252468, 10.599231861695662 59.903780490962035, 10.595861930748248 59.90303088114823, 10.59392230310428 59.9025877139873)"/>
    <s v="[389666, 1552631, 1552639, 1552647, 1552655, 1552663, 1552671, 1552679, 1552687, 1552695]"/>
    <s v="[380276, 1401453, 1401459, 1401466, 1401474, 1401481, 1401484, 1401491, 1401497, 1401504]"/>
    <s v="0.004105113243673801"/>
    <s v="[380275, 380276, 1401453, 1401459, 1401466, 1401474, 1401481, 1401484, 1401491, 1401497]"/>
    <s v="[0.003, 0.012, 0.005, 0.035, 0.007, 0.005, 0.033, 0.012, 0.006, 0.015]"/>
    <s v="1725.0275413028476"/>
    <s v="[0.003, -0.012, -0.005, 0.035, 0.007, 0.005, 0.033, 0.012, 0.006, 0.015]"/>
  </r>
  <r>
    <x v="1049"/>
    <x v="1422"/>
    <x v="0"/>
    <s v="[1, 0, 0]"/>
    <s v="LINESTRING (10.627760825384742 59.909871792812986, 10.627012231158384 59.909655380801055, 10.624493957230547 59.90902538424588, 10.62219962332323 59.90847113004717)"/>
    <s v="[1552607, 1552615, 1552623]"/>
    <s v="[1401433, 1401439, 380275]"/>
    <s v="0.012471857408902044"/>
    <s v="[1401426, 1401433, 1401439]"/>
    <s v="[0.014, 0.007, 0.018]"/>
    <s v="348.31805066302695"/>
    <s v="[0.014, 0.007, 0.018]"/>
  </r>
  <r>
    <x v="1049"/>
    <x v="1423"/>
    <x v="0"/>
    <s v="[0, 0, 1, 1, 1, 0, 0]"/>
    <s v="LINESTRING (10.627481539021987 59.91117630731271, 10.627481539021987 59.91117630731271, 10.627460682083543 59.911130472352475, 10.627457641095832 59.91112378885798, 10.627141774310168 59.91058489856437, 10.626702822482361 59.90996522953411, 10.622375918305087 59.90853274799752, 10.62219962332323 59.90847113004717)"/>
    <s v="[2097203, 1504737, 1504745, 1504746, 1504753, 1504767, 1554063]"/>
    <s v="[1360729, 1360730, 1360737, 1360738, 1360743, 1360757, 380275]"/>
    <s v="#FIELD!"/>
    <s v="[1813848, 1360729, 1360730, 1360737, 1360738, 1360743, 1360757]"/>
    <s v="[1.053, 0.025, 0.037, 0.02, 0.023, 0.003, 0.285]"/>
    <s v="456.4306393629009"/>
    <s v="[-1.053, -0.025, -0.037, -0.02, 0.023, 0.003, 0.285]"/>
  </r>
  <r>
    <x v="1050"/>
    <x v="1424"/>
    <x v="0"/>
    <s v="[1, 0]"/>
    <s v="LINESTRING (11.09728844638879 59.259980273183224, 11.098464687119622 59.2601302268261, 11.099570490005279 59.26031137389672)"/>
    <s v="[1779258, 1779266]"/>
    <s v="[1569389, 381770]"/>
    <s v="#FIELD!"/>
    <s v="[381759, 1569389]"/>
    <s v="[0.005, 0.009]"/>
    <s v="135.45105015988938"/>
    <s v="[-0.005, -0.009]"/>
  </r>
  <r>
    <x v="1050"/>
    <x v="1425"/>
    <x v="0"/>
    <n v="0"/>
    <s v="LINESTRING (11.093813468475478 59.25963935997509, 11.093813468475478 59.25963935997509, 11.097228670420407 59.25995705468675, 11.09728844638879 59.259980273183224)"/>
    <s v="[1476633, 1779090, 390789]"/>
    <s v="[1337504, 381758, 381759]"/>
    <s v="0.004611769134911561"/>
    <s v="[1337503, 1337504, 381758]"/>
    <s v="[0.0, 0.005, 0.006]"/>
    <s v="214.54471932469494"/>
    <s v="[0.0, 0.005, -0.006]"/>
  </r>
  <r>
    <x v="1050"/>
    <x v="1426"/>
    <x v="0"/>
    <n v="0"/>
    <s v="LINESTRING (11.095839623099147 59.2597989989505, 11.095923535927732 59.25980722807796, 11.09728844638879 59.259980273183224)"/>
    <s v="[1779242, 1779250]"/>
    <s v="[1569378, 381759]"/>
    <s v="0.0006272634783222247"/>
    <s v="[1569293, 1569378]"/>
    <s v="[0.011, 0.0]"/>
    <s v="85.48227703086042"/>
    <s v="[0.011, -0.0]"/>
  </r>
  <r>
    <x v="1051"/>
    <x v="1427"/>
    <x v="0"/>
    <n v="0"/>
    <s v="LINESTRING (11.099570490005279 59.26031137389672, 11.099602506809397 59.26029856154424, 11.099695359877638 59.260271185393535, 11.100333681818965 59.25962432203033, 11.100320931658016 59.25956343521777)"/>
    <s v="[390797, 1779186, 1779194, 1779202]"/>
    <s v="[381771, 1569328, 1569339, 450606]"/>
    <s v="0.029367288555892997"/>
    <s v="[381770, 381771, 1569328, 1569339]"/>
    <s v="[0.014, 0.016, 0.008, 0.485]"/>
    <s v="155.2564322565951"/>
    <s v="[0.014, 0.016, 0.008, 0.485]"/>
  </r>
  <r>
    <x v="1051"/>
    <x v="1428"/>
    <x v="0"/>
    <n v="0"/>
    <s v="LINESTRING (11.099570490005279 59.26031137389672, 11.100740217500181 59.260314327508496, 11.10088099996148 59.26030584729641)"/>
    <s v="[1779274, 1779282]"/>
    <s v="[1569402, 450560]"/>
    <s v="0.013840732630692552"/>
    <s v="[381770, 1569402]"/>
    <s v="[0.003, 0.155]"/>
    <s v="75.87604671123303"/>
    <s v="[-0.003, 0.155]"/>
  </r>
  <r>
    <x v="1052"/>
    <x v="1429"/>
    <x v="0"/>
    <n v="0"/>
    <s v="LINESTRING (14.134311469281714 66.32038212902539, 14.134311469281714 66.32038212902539, 14.135610521424505 66.32129479696512, 14.136872786971683 66.32217859319313)"/>
    <s v="[403394, 403402, 403410]"/>
    <s v="[396204, 396216, 395173]"/>
    <s v="#FIELD!"/>
    <s v="[396197, 396204, 396216]"/>
    <s v="[0.0, 0.002, 0.002]"/>
    <s v="442.2158685500485"/>
    <s v="[0.0, -0.002, -0.002]"/>
  </r>
  <r>
    <x v="1053"/>
    <x v="1430"/>
    <x v="0"/>
    <n v="0"/>
    <m/>
    <n v="422359"/>
    <n v="420056"/>
    <s v="#FIELD!"/>
    <n v="395203"/>
    <s v="0.005"/>
    <s v="32.420255924784904"/>
    <s v="#FIELD!"/>
  </r>
  <r>
    <x v="1053"/>
    <x v="1431"/>
    <x v="0"/>
    <n v="0"/>
    <m/>
    <n v="1201072"/>
    <n v="976673"/>
    <s v="0.01"/>
    <n v="395203"/>
    <s v="0.01"/>
    <s v="34.540736803058955"/>
    <s v="0.01"/>
  </r>
  <r>
    <x v="1054"/>
    <x v="1432"/>
    <x v="0"/>
    <n v="0"/>
    <s v="LINESTRING (14.134311469281714 66.32038212902539, 14.131338566706347 66.31778765693181, 14.130965937245307 66.31766517272062)"/>
    <s v="[597399, 597407]"/>
    <s v="[600775, 600782]"/>
    <s v="0.0011889468725514057"/>
    <s v="[396197, 600775]"/>
    <s v="[0.002, 0.004]"/>
    <s v="159.58807594506874"/>
    <s v="[0.002, -0.004]"/>
  </r>
  <r>
    <x v="1055"/>
    <x v="1433"/>
    <x v="0"/>
    <n v="0"/>
    <m/>
    <n v="419224"/>
    <n v="415878"/>
    <s v="0.008"/>
    <n v="415877"/>
    <s v="0.008"/>
    <s v="169.0488522173452"/>
    <s v="0.008"/>
  </r>
  <r>
    <x v="1055"/>
    <x v="1434"/>
    <x v="0"/>
    <n v="0"/>
    <s v="LINESTRING (11.339341497327085 60.12909166232929, 11.339432574789008 60.12912227160362, 11.339942227570493 60.12927762759975)"/>
    <s v="[1734061, 1734062]"/>
    <s v="[1540901, 415877]"/>
    <s v="0.01"/>
    <s v="[1540900, 1540901]"/>
    <s v="0.01"/>
    <s v="39.890245094902674"/>
    <s v="0.01"/>
  </r>
  <r>
    <x v="1055"/>
    <x v="1435"/>
    <x v="0"/>
    <n v="0"/>
    <s v="LINESTRING (11.339210609953353 60.12924632433412, 11.339364089408694 60.12924801954744, 11.339942227570493 60.12927762759975)"/>
    <s v="[1734065, 1734074]"/>
    <s v="[1540905, 415877]"/>
    <s v="0.004791613892163901"/>
    <s v="[1540904, 1540905]"/>
    <s v="[0.004, 0.005]"/>
    <s v="40.95151599726865"/>
    <s v="[0.004, 0.005]"/>
  </r>
  <r>
    <x v="1056"/>
    <x v="1436"/>
    <x v="0"/>
    <n v="0"/>
    <s v="LINESTRING (11.342813705545451 60.1297772607686, 11.343522239786058 60.12992922996113, 11.343719178919764 60.12996110879844, 11.345038446643185 60.13016383686045, 11.346642717525024 60.130377255124955)"/>
    <s v="[419236, 419244, 419257, 419265]"/>
    <s v="[415896, 415909, 415924, 415889]"/>
    <s v="0.005576319123849095"/>
    <s v="[415878, 415896, 415909, 415924]"/>
    <s v="[0.008, 0.005, 0.005, 0.005]"/>
    <s v="223.51762683408043"/>
    <s v="[0.008, 0.005, 0.005, 0.005]"/>
  </r>
  <r>
    <x v="1056"/>
    <x v="1436"/>
    <x v="0"/>
    <n v="0"/>
    <s v="LINESTRING (11.342813705545451 60.1297772607686, 11.343525946509741 60.12986001453966, 11.343748188354477 60.12989004913509, 11.34508053973626 60.13010132684739, 11.346642717525024 60.130377255124955)"/>
    <s v="[419281, 419289, 419297, 419305]"/>
    <s v="[415958, 415969, 415980, 415889]"/>
    <s v="0.00577682570876601"/>
    <s v="[415878, 415958, 415969, 415980]"/>
    <s v="[0.007, 0.005, 0.005, 0.006]"/>
    <s v="223.4162492411039"/>
    <s v="[0.007, 0.005, 0.005, 0.006]"/>
  </r>
  <r>
    <x v="1057"/>
    <x v="1437"/>
    <x v="0"/>
    <n v="0"/>
    <s v="LINESTRING (11.346642717525024 60.130377255124955, 11.34698041007008 60.13042720918048, 11.347175214656078 60.1304577564473, 11.353999135698965 60.131590701089834, 11.354142852659121 60.13161084136352, 11.354326992426316 60.13164018504985, 11.360274675800365 60.13263539173886, 11.36278597343379 60.13306399809134, 11.363884740309302 60.133255095306446, 11.364780094184969 60.133411830911975, 11.36934170530079 60.134268750876245, 11.37078079567554 60.13465069070072, 11.370919165141288 60.13468684429536, 11.37131451334167 60.134794762127314, 11.371995853972754 60.13498755132244, 11.3729818108254 60.13526472920483, 11.373933639108056 60.13553091516177, 11.374619553303521 60.1357182789218, 11.37636580449419 60.13619147084037, 11.378130113636205 60.13667311461855, 11.380013845173421 60.13717587921088, 11.384998706872386 60.138682876646264, 11.38525845490466 60.138762777738165, 11.385413807311362 60.13881852421893, 11.390079885763287 60.14038375167176, 11.39139107777753 60.14082839852999, 11.39174601297095 60.14095140972172, 11.393962653940612 60.14169314017378, 11.394652288464131 60.14192944576455, 11.398710539670311 60.14345019437474, 11.400928420259715 60.14444709531659, 11.403753946535474 60.14582268989971, 11.405838162903606 60.14682485765092, 11.409586913051166 60.14869726179424)"/>
    <s v="[419232, 1538186, 1495617, 1495625, 1495633, 1495641, 1495649, 1495657, 1495665, 1495676, 1495680, 1495681, 1495688, 1495696, 1495704, 1495712, 1495720, 1495728, 1495736, 1495744, 1495752, 1495760, 1495768, 1495776, 1495784, 1495792, 1495800, 1495808, 1495816, 1495837, 1495856, 1495869, 1495877]"/>
    <s v="[415890, 1353901, 1353902, 1353910, 1353917, 1353927, 1353933, 1353940, 1353947, 1353954, 1353958, 1353959, 1353962, 495536, 1353972, 1353978, 1353983, 1353990, 497611, 1354005, 1354011, 1354017, 1354024, 1354032, 1354040, 1354044, 1354051, 1354055, 1354062, 1354083, 1354101, 1354114, 1354120]"/>
    <s v="#FIELD!"/>
    <s v="[415889, 415890, 1353901, 1353902, 1353910, 1353917, 1353927, 1353933, 1353940, 1353947, 1353954, 1353958, 1353959, 1353962, 495536, 1353972, 1353978, 1353983, 1353990, 497611, 1354005, 1354011, 1354017, 1354024, 1354032, 1354040, 1354044, 1354051, 1354055, 1354062, 1354083, 1354101, 1354114]"/>
    <s v="[0.007, 0.06, 0.005, 0.008, 0.009, 0.009, 0.006, 0.019, 0.024, 0.036, 0.007, 0.006, 0.018, 0.016, 0.017, 0.065, 0.047, 0.029, 0.004, 0.008, 0.002, 0.01, 0.048, 0.001, 0.022, 0.003, 0.014, 0.031, 0.005, 0.008, 0.007, 0.017, 0.044]"/>
    <s v="4105.028643719195"/>
    <s v="[0.007, 0.06, 0.005, 0.008, 0.009, 0.009, 0.006, 0.019, 0.024, 0.036, -0.007, 0.006, 0.018, 0.016, 0.017, -0.065, -0.047, -0.029, -0.004, -0.008, -0.002, 0.01, 0.048, -0.001, 0.022, 0.003, 0.014, -0.031, -0.005, -0.008, -0.007, -0.017, -0.044]"/>
  </r>
  <r>
    <x v="1058"/>
    <x v="1438"/>
    <x v="0"/>
    <n v="0"/>
    <s v="LINESTRING (9.2140899805323 59.56713463362734, 9.214056206681681 59.56719744872914, 9.213937964995614 59.567251703021476, 9.213811405123103 59.567262458493, 9.213699593471626 59.56724371902428)"/>
    <s v="[420464, 420472, 420502, 420514]"/>
    <s v="[417584, 417596, 417647, 417666]"/>
    <s v="0.0013184369967709896"/>
    <s v="[417583, 417584, 417596, 417647]"/>
    <s v="[0.002, 0.002, 0.001, 0.0]"/>
    <s v="30.202485859650338"/>
    <s v="[0.002, 0.002, 0.001, 0.0]"/>
  </r>
  <r>
    <x v="1058"/>
    <x v="1439"/>
    <x v="0"/>
    <n v="0"/>
    <s v="LINESTRING (9.213944154148594 59.56701555936267, 9.214060958647893 59.56707371592702, 9.2140899805323 59.56713463362734)"/>
    <s v="[420570, 420578]"/>
    <s v="[417747, 417583]"/>
    <s v="0.001"/>
    <s v="[417746, 417747]"/>
    <s v="0.001"/>
    <s v="16.247235236134095"/>
    <s v="0.001"/>
  </r>
  <r>
    <x v="1058"/>
    <x v="1440"/>
    <x v="0"/>
    <n v="0"/>
    <s v="LINESTRING (9.215765592971419 59.56672656210658, 9.21418709394629 59.56709695204405, 9.2140899805323 59.56713463362734)"/>
    <s v="[1391504, 1391518]"/>
    <s v="[1276185, 417583]"/>
    <s v="6.553205246213682e-05"/>
    <s v="[1276144, 1276185]"/>
    <s v="[0.0, 0.001]"/>
    <s v="105.55103889803826"/>
    <s v="[-0.0, 0.001]"/>
  </r>
  <r>
    <x v="1059"/>
    <x v="1441"/>
    <x v="0"/>
    <n v="0"/>
    <s v="LINESTRING (9.213699593471626 59.56724371902428, 9.213607716115028 59.56719380608169, 9.213577449390414 59.567133940341904)"/>
    <s v="[420515, 420524]"/>
    <s v="[417667, 417678]"/>
    <s v="#FIELD!"/>
    <s v="[417666, 417667]"/>
    <s v="[0.001, 0.002]"/>
    <s v="14.507187333676576"/>
    <s v="[-0.001, -0.002]"/>
  </r>
  <r>
    <x v="1059"/>
    <x v="1442"/>
    <x v="0"/>
    <n v="0"/>
    <s v="LINESTRING (9.213699593471626 59.56724371902428, 9.213602591574947 59.567255298579376, 9.211993286721972 59.56760152178047)"/>
    <s v="[1391534, 1391542]"/>
    <s v="[1276214, 1276220]"/>
    <s v="0.002"/>
    <s v="[417666, 1276214]"/>
    <s v="0.002"/>
    <s v="104.87324620784543"/>
    <s v="0.002"/>
  </r>
  <r>
    <x v="1060"/>
    <x v="1439"/>
    <x v="0"/>
    <n v="0"/>
    <s v="LINESTRING (9.213577449390414 59.567133940341904, 9.213608586194944 59.56707078337076, 9.213724543557795 59.567015266813, 9.213882728924187 59.56700527432835, 9.213944154148594 59.56701555936267)"/>
    <s v="[420525, 420532, 420561, 420569]"/>
    <s v="[417511, 417689, 417449, 417746]"/>
    <s v="#FIELD!"/>
    <s v="[417678, 417511, 417689, 417449]"/>
    <s v="[0.002, 0.001, 0.0, 0.0]"/>
    <s v="28.958369922635697"/>
    <s v="[-0.002, -0.001, -0.0, 0.0]"/>
  </r>
  <r>
    <x v="1060"/>
    <x v="1442"/>
    <x v="0"/>
    <n v="0"/>
    <s v="LINESTRING (9.213577449390414 59.567133940341904, 9.213508259199166 59.56716246183314, 9.211993286721972 59.56760152178047)"/>
    <s v="[1391558, 1391566]"/>
    <s v="[1276235, 1276220]"/>
    <s v="0.002951499243839958"/>
    <s v="[417678, 1276235]"/>
    <s v="[0.002, 0.003]"/>
    <s v="103.99280691206147"/>
    <s v="[0.002, 0.003]"/>
  </r>
  <r>
    <x v="1061"/>
    <x v="1440"/>
    <x v="0"/>
    <n v="0"/>
    <s v="LINESTRING (9.215765592971419 59.56672656210658, 9.214097287295477 59.567002966041386, 9.213944154148594 59.56701555936267)"/>
    <s v="[1391488, 1391496]"/>
    <s v="[1276171, 417746]"/>
    <s v="8.10257634680331e-05"/>
    <s v="[1276144, 1276171]"/>
    <s v="[0.0, 0.001]"/>
    <s v="108.325511651821"/>
    <s v="[-0.0, 0.001]"/>
  </r>
  <r>
    <x v="1062"/>
    <x v="1431"/>
    <x v="0"/>
    <n v="0"/>
    <s v="LINESTRING (14.157929531970412 66.32433564483301, 14.15810880151762 66.32430072728691, 14.158304716969043 66.32431524489367)"/>
    <s v="[1021230, 1021238]"/>
    <s v="[976667, 976673]"/>
    <s v="0.027999969881486234"/>
    <s v="[420056, 976667]"/>
    <s v="[0.029, 0.027]"/>
    <s v="17.85331340988882"/>
    <s v="[0.029, 0.027]"/>
  </r>
  <r>
    <x v="1062"/>
    <x v="1443"/>
    <x v="0"/>
    <n v="0"/>
    <s v="LINESTRING (14.158420905424883 66.32449800238156, 14.158368961677683 66.32452293243247, 14.158227558588145 66.3245533897408, 14.158041783761997 66.32454924456933, 14.157929531970412 66.32433564483301)"/>
    <s v="[1021198, 1021206, 1021214, 1021222]"/>
    <s v="[489118, 976642, 491711, 420056]"/>
    <s v="#FIELD!"/>
    <s v="[489117, 489118, 976642, 491711]"/>
    <s v="[0.015, 0.023, 0.028, 0.004]"/>
    <s v="47.89195732191557"/>
    <s v="[-0.015, -0.023, -0.028, -0.004]"/>
  </r>
  <r>
    <x v="1063"/>
    <x v="1444"/>
    <x v="0"/>
    <n v="0"/>
    <m/>
    <n v="422462"/>
    <n v="420194"/>
    <s v="#FIELD!"/>
    <n v="420193"/>
    <s v="0.005"/>
    <s v="8.060048262855084"/>
    <s v="#FIELD!"/>
  </r>
  <r>
    <x v="1063"/>
    <x v="1445"/>
    <x v="0"/>
    <n v="0"/>
    <s v="LINESTRING (17.43634931458188 68.4419906952529, 17.436377031335436 68.4420124236515, 17.436387371822843 68.44202052994544, 17.436404241827276 68.44203375554962)"/>
    <s v="[490904, 490905, 490906]"/>
    <s v="[491391, 491392, 449377]"/>
    <s v="#FIELD!"/>
    <s v="[420193, 491391, 491392]"/>
    <s v="[4.855, 0.092, 7.91]"/>
    <s v="5.303818436028275"/>
    <s v="[-4.855, -0.092, 7.91]"/>
  </r>
  <r>
    <x v="1063"/>
    <x v="1446"/>
    <x v="0"/>
    <n v="0"/>
    <s v="LINESTRING (17.432013220852394 68.44023209507586, 17.43368792500273 68.44093032223425, 17.4339166793184 68.44102830345858, 17.434588781119384 68.44129346287357, 17.434715737914015 68.44134310464462, 17.43484327628636 68.44139179551716, 17.434915244499834 68.44141931539998, 17.435944572185022 68.44182171188112, 17.43607618010101 68.44187347485449, 17.43634931458188 68.4419906952529)"/>
    <s v="[490876, 490885, 490895, 490896, 490897, 490898, 490899, 490901, 490903]"/>
    <s v="[490338, 491373, 491385, 491386, 449451, 491387, 491388, 491390, 420193]"/>
    <s v="0.018817264590047955"/>
    <s v="[488618, 490338, 491373, 491385, 491386, 449451, 491387, 491388, 491390]"/>
    <s v="[0.016, 0.026, 0.022, 0.023, 0.026, 0.024, 0.045, 0.061, 0.676]"/>
    <s v="264.8372129273989"/>
    <s v="[-0.016, -0.026, -0.022, -0.023, -0.026, -0.024, -0.045, -0.061, 0.676]"/>
  </r>
  <r>
    <x v="1064"/>
    <x v="1447"/>
    <x v="0"/>
    <n v="0"/>
    <s v="LINESTRING (17.436532249708463 68.44196427658827, 17.43657815509764 68.44195796331597, 17.437127999213473 68.44194189115578)"/>
    <s v="[450666, 450674]"/>
    <s v="[449411, 449389]"/>
    <s v="#FIELD!"/>
    <s v="[420194, 449411]"/>
    <s v="[0.022, 0.017]"/>
    <s v="25.019511069474635"/>
    <s v="[-0.022, -0.017]"/>
  </r>
  <r>
    <x v="1064"/>
    <x v="1448"/>
    <x v="0"/>
    <n v="0"/>
    <s v="LINESTRING (17.436532249708463 68.44196427658827, 17.436554051642165 68.4419820613761, 17.436564672206185 68.44199072899372, 17.436593429953344 68.44201419228747)"/>
    <s v="[488460, 488468, 488469]"/>
    <s v="[488669, 488676, 449378]"/>
    <s v="#FIELD!"/>
    <s v="[420194, 488669, 488676]"/>
    <s v="[5.566, 0.06, 4.152]"/>
    <s v="6.1055130933644985"/>
    <s v="[-5.566, -0.06, 4.152]"/>
  </r>
  <r>
    <x v="1064"/>
    <x v="1446"/>
    <x v="0"/>
    <n v="0"/>
    <s v="LINESTRING (17.432013220852394 68.44023209507586, 17.433832067825193 68.44087949366893, 17.434074301053855 68.44097347341172, 17.43474598197868 68.4412394819469, 17.43500077137336 68.44133873447367, 17.435071578954336 68.44136703402684, 17.436117550739432 68.44176921426963, 17.436532249708463 68.44196427658827)"/>
    <s v="[488421, 488429, 488430, 488439, 488447, 488455, 488458]"/>
    <s v="[488619, 488626, 488627, 449452, 488650, 488663, 420194]"/>
    <s v="0.017929449514397556"/>
    <s v="[488618, 488619, 488626, 488627, 449452, 488650, 488663]"/>
    <s v="[0.02, 0.019, 0.027, 0.026, 0.029, 0.033, 0.391]"/>
    <s v="268.2718919141083"/>
    <s v="[-0.02, -0.019, -0.027, -0.026, -0.029, -0.033, 0.391]"/>
  </r>
  <r>
    <x v="1065"/>
    <x v="1449"/>
    <x v="0"/>
    <n v="0"/>
    <s v="LINESTRING (10.217281229957644 59.731233733206096, 10.217344641766976 59.73124138995416, 10.217474313937487 59.731294559624054, 10.217517697778256 59.73137382396566, 10.217512006364931 59.73139218215381, 10.217192048274548 59.73149924318887, 10.217030857122392 59.731442989230786, 10.216989621582986 59.73134523724621, 10.217006637884623 59.73131347586246)"/>
    <s v="[422542, 422550, 422559, 422585, 422493, 422500, 422501, 422508]"/>
    <s v="[420293, 420304, 420317, 420227, 420228, 420238, 420239, 420249]"/>
    <s v="0.005236980080105208"/>
    <s v="[420282, 420293, 420304, 420317, 420227, 420228, 420238, 420239]"/>
    <s v="[0.004, 0.001, 0.001, 0.002, 0.007, 0.018, 0.005, 0.007]"/>
    <s v="74.62077002619554"/>
    <s v="[-0.004, -0.001, 0.001, 0.002, 0.007, 0.018, 0.005, -0.007]"/>
  </r>
  <r>
    <x v="1065"/>
    <x v="1450"/>
    <x v="0"/>
    <n v="0"/>
    <s v="LINESTRING (10.217006637884623 59.73131347586246, 10.21697217292045 59.73125554926935, 10.216525632500908 59.730849389771265, 10.216201416677364 59.730622314435756, 10.21611696776615 59.73057843969518)"/>
    <s v="[586762, 586770, 586778, 586786]"/>
    <s v="[592195, 592204, 592212, 592221]"/>
    <s v="0.01755453435525613"/>
    <s v="[420249, 592195, 592204, 592212]"/>
    <s v="[0.008, 0.015, 0.022, 0.026]"/>
    <s v="96.62839776718278"/>
    <s v="[0.008, 0.015, 0.022, 0.026]"/>
  </r>
  <r>
    <x v="1066"/>
    <x v="1451"/>
    <x v="0"/>
    <n v="0"/>
    <s v="LINESTRING (10.217281229957644 59.731233733206096, 10.217200659064876 59.731190126664494, 10.21642815594579 59.73055202611722, 10.216397672890524 59.730502385193745)"/>
    <s v="[1719009, 1719017, 1719029]"/>
    <s v="[1532048, 1532053, 1300689]"/>
    <s v="0.016818968377745627"/>
    <s v="[420282, 1532048, 1532053]"/>
    <s v="[0.017, 0.017, 0.014]"/>
    <s v="95.99876704564552"/>
    <s v="[0.017, 0.017, 0.014]"/>
  </r>
  <r>
    <x v="1067"/>
    <x v="1452"/>
    <x v="0"/>
    <n v="0"/>
    <s v="LINESTRING (10.228420114613948 59.74255803730318, 10.228323408079092 59.74256372869379, 10.228135965360064 59.74253855698376, 10.227995765497393 59.74247084905922, 10.227944503437474 59.742328211474046, 10.227965563316369 59.74229231435076, 10.227999530510848 59.7422598733493, 10.228028747138765 59.74223997837264, 10.228186740175714 59.742183123431225, 10.228379396225435 59.74217178524219, 10.228700753213289 59.74230890650026, 10.228715132796667 59.74234460023687, 10.22871673138187 59.74238081830829, 10.228710355392952 59.742405619362685)"/>
    <s v="[422795, 422803, 422811, 422819, 422827, 422835, 422850, 422861, 422877, 422755, 422763, 422771, 422779]"/>
    <s v="[420591, 420603, 420611, 265500, 420631, 420641, 420661, 420676, 420540, 420541, 420551, 420563, 420571]"/>
    <s v="#FIELD!"/>
    <s v="[420581, 420591, 420603, 420611, 265500, 420631, 420641, 420661, 420676, 420540, 420541, 420551, 420563]"/>
    <s v="[0.01, 0.014, 0.008, 0.005, 0.017, 0.015, 0.018, 0.02, 0.013, 0.002, 0.004, 0.009, 0.011]"/>
    <s v="112.29871706608546"/>
    <s v="[0.01, 0.014, 0.008, -0.005, -0.017, -0.015, -0.018, -0.02, -0.013, -0.002, 0.004, 0.009, 0.011]"/>
  </r>
  <r>
    <x v="1067"/>
    <x v="1453"/>
    <x v="0"/>
    <n v="0"/>
    <s v="LINESTRING (10.228710355392952 59.742405619362685, 10.228812081772455 59.742448746330254, 10.231070034277826 59.74360660423679, 10.232218102066902 59.74405367940469, 10.233340059246379 59.74450859161481, 10.23397992824185 59.744682967265405)"/>
    <s v="[1638634, 1638641, 1638649, 1638650, 1638658]"/>
    <s v="[1465382, 1326354, 1326326, 419798, 1460410]"/>
    <s v="0.0008253073367576147"/>
    <s v="[420571, 1465382, 1326354, 1326326, 419798]"/>
    <s v="[0.009, 0.001, 0.013, 0.005, 0.002]"/>
    <s v="393.02825864423687"/>
    <s v="[-0.009, -0.001, 0.013, -0.005, -0.002]"/>
  </r>
  <r>
    <x v="1068"/>
    <x v="286"/>
    <x v="0"/>
    <n v="0"/>
    <s v="LINESTRING (10.236461174595977 59.74681040016237, 10.236051914165936 59.74665903334827, 10.232258827421145 59.74478666767979, 10.231771890317921 59.74453841040471, 10.22944709534344 59.74297863105231, 10.22851440481851 59.742588723638036, 10.228420114613948 59.74255803730318)"/>
    <s v="[1179371, 1664224, 1664232, 1664240, 1633268, 1633280]"/>
    <s v="[1110162, 1492734, 1492744, 419943, 1460324, 420581]"/>
    <s v="#FIELD!"/>
    <s v="[1109982, 1110162, 1492734, 1492744, 419943, 1460324]"/>
    <s v="[0.015, 0.048, 0.003, 0.005, 0.007, 0.015]"/>
    <s v="659.6429672105165"/>
    <s v="[0.015, -0.048, 0.003, -0.005, 0.007, -0.015]"/>
  </r>
  <r>
    <x v="1069"/>
    <x v="1231"/>
    <x v="0"/>
    <n v="0"/>
    <s v="LINESTRING (5.857256770334601 58.76905339082793, 5.857248228451592 58.769093246842274, 5.857176260116244 58.76914259085607, 5.857086659042859 58.7691575168668, 5.857052622715437 58.769157505117754)"/>
    <s v="[422832, 422844, 422853, 422855]"/>
    <s v="[420639, 420653, 420666, 420669]"/>
    <s v="#FIELD!"/>
    <s v="[420638, 420639, 420653, 420666]"/>
    <s v="[0.044, 0.005, 0.058, 0.098]"/>
    <s v="18.833044123082914"/>
    <s v="[0.044, -0.005, -0.058, -0.098]"/>
  </r>
  <r>
    <x v="1069"/>
    <x v="1454"/>
    <x v="0"/>
    <n v="0"/>
    <s v="LINESTRING (5.85713642960894 58.768975311286475, 5.8572229566941 58.76900763406462, 5.857256770334601 58.76905339082793)"/>
    <s v="[422927, 422940]"/>
    <s v="[420753, 420638]"/>
    <s v="0.08330413283754712"/>
    <s v="[420752, 420753]"/>
    <s v="[0.088, 0.078]"/>
    <s v="11.66122344424456"/>
    <s v="[0.088, 0.078]"/>
  </r>
  <r>
    <x v="1069"/>
    <x v="1455"/>
    <x v="0"/>
    <n v="0"/>
    <s v="LINESTRING (5.862419478020144 58.76696796790803, 5.86232795370612 58.76698716875717, 5.86217415699262 58.76703516803894, 5.860382602120461 58.76775582964755, 5.859738694945703 58.76801845833093, 5.858621329661426 58.76846961729435, 5.8585452717325035 58.7685006634222, 5.857311526014707 58.76903034523948, 5.857256770334601 58.76905339082793)"/>
    <s v="[423107, 423115, 423129, 423155, 423170, 423176, 423181, 423182]"/>
    <s v="[420988, 420998, 421015, 421051, 421068, 421077, 421082, 420638]"/>
    <s v="0.03153777046530349"/>
    <s v="[420987, 420988, 420998, 421015, 421051, 421068, 421077, 421082]"/>
    <s v="[0.087, 0.102, 0.077, 0.024, 0.007, 0.001, 0.014, 0.027]"/>
    <s v="379.9867436110329"/>
    <s v="[0.087, 0.102, 0.077, 0.024, 0.007, -0.001, -0.014, -0.027]"/>
  </r>
  <r>
    <x v="1070"/>
    <x v="1232"/>
    <x v="0"/>
    <n v="0"/>
    <s v="LINESTRING (5.857052622715437 58.769157505117754, 5.856933341820918 58.76912229873412, 5.856896194436544 58.7690720572215)"/>
    <s v="[422871, 422879]"/>
    <s v="[420690, 420697]"/>
    <s v="#FIELD!"/>
    <s v="[420669, 420690]"/>
    <s v="[0.1, 0.069]"/>
    <s v="13.974951048705574"/>
    <s v="[-0.1, -0.069]"/>
  </r>
  <r>
    <x v="1071"/>
    <x v="1454"/>
    <x v="0"/>
    <n v="0"/>
    <s v="LINESTRING (5.856896194436544 58.7690720572215, 5.856896360750238 58.76905436100641, 5.856915222950736 58.76902039255849, 5.8569815042793305 58.7689831914137, 5.85713642960894 58.768975311286475)"/>
    <s v="[422899, 422910, 422918, 422926]"/>
    <s v="[420719, 420732, 420743, 420752]"/>
    <s v="0.028518734222182457"/>
    <s v="[420697, 420719, 420732, 420743]"/>
    <s v="[0.055, 0.018, 0.009, 0.078]"/>
    <s v="20.87486373520506"/>
    <s v="[-0.055, -0.018, 0.009, 0.078]"/>
  </r>
  <r>
    <x v="1072"/>
    <x v="1456"/>
    <x v="0"/>
    <n v="0"/>
    <s v="LINESTRING (5.862293705656657 58.766885557268196, 5.862233128514715 58.7669275952497, 5.862120131922193 58.766990778555005, 5.8617682413659224 58.76713629272034, 5.860969494519722 58.767460917852745, 5.8600790803348835 58.767817620380384, 5.858571382903815 58.768434922820305, 5.858492915643671 58.76846652852538, 5.857204551893396 58.76895328448683, 5.85713642960894 58.768975311286475)"/>
    <s v="[423026, 423027, 423028, 423040, 423055, 423075, 423083, 423098, 423104]"/>
    <s v="[420878, 420879, 420880, 420894, 420919, 420944, 420955, 420979, 420752]"/>
    <s v="0.030612639900308818"/>
    <s v="[420877, 420878, 420879, 420880, 420894, 420919, 420944, 420955, 420979]"/>
    <s v="[0.111, 0.108, 0.11, 0.091, 0.035, 0.012, 0.007, 0.02, 0.02]"/>
    <s v="380.1192606742959"/>
    <s v="[0.111, 0.108, 0.11, 0.091, 0.035, 0.012, 0.007, -0.02, -0.02]"/>
  </r>
  <r>
    <x v="1073"/>
    <x v="1124"/>
    <x v="0"/>
    <n v="0"/>
    <s v="LINESTRING (5.862293705656657 58.766885557268196, 5.862300140694517 58.766867559177186, 5.862348036416273 58.76683203261542, 5.86244863603513 58.76681514253328, 5.862492455664156 58.76681970971115)"/>
    <s v="[1351911, 1351919, 1351927, 1351935]"/>
    <s v="[1251773, 1251779, 1251783, 974427]"/>
    <s v="#FIELD!"/>
    <s v="[420877, 1251773, 1251779, 1251783]"/>
    <s v="[4.615, 0.05, 0.029, 0.021]"/>
    <s v="15.620920119305243"/>
    <s v="[-4.615, -0.05, -0.029, -0.021]"/>
  </r>
  <r>
    <x v="1073"/>
    <x v="1455"/>
    <x v="0"/>
    <n v="0"/>
    <s v="LINESTRING (5.862419478020144 58.76696796790803, 5.862323616159522 58.766938387815095, 5.862293705656657 58.766885557268196)"/>
    <s v="[1351895, 1351903]"/>
    <s v="[1251765, 420877]"/>
    <s v="#FIELD!"/>
    <s v="[420987, 1251765]"/>
    <s v="[1.507, 1.487]"/>
    <s v="12.623695711274436"/>
    <s v="[-1.507, 1.487]"/>
  </r>
  <r>
    <x v="1074"/>
    <x v="1125"/>
    <x v="0"/>
    <n v="0"/>
    <s v="LINESTRING (5.862588175780106 58.76689823845707, 5.862581779521288 58.76691595925179, 5.862529852169872 58.76695304997048, 5.862450716931667 58.76696841992285, 5.862419478020144 58.76696796790803)"/>
    <s v="[1351863, 1351871, 1351879, 1351887]"/>
    <s v="[354978, 1251750, 1251758, 420987]"/>
    <s v="0.739620437979414"/>
    <s v="[1055681, 354978, 1251750, 1251758]"/>
    <s v="[0.055, 0.04, 0.037, 5.376]"/>
    <s v="13.855471749905645"/>
    <s v="[0.055, 0.04, 0.037, 5.376]"/>
  </r>
  <r>
    <x v="1075"/>
    <x v="1457"/>
    <x v="0"/>
    <n v="0"/>
    <s v="LINESTRING (11.303183796723417 60.123098136791164, 11.303400248990515 60.1230811768167, 11.303502580102146 60.12310354233171, 11.303580821419905 60.123143121584526, 11.30363052406305 60.12323151975738)"/>
    <s v="[423215, 423223, 423230, 423235]"/>
    <s v="[421124, 421131, 421140, 421147]"/>
    <s v="0.001"/>
    <s v="[421123, 421124, 421131, 421140]"/>
    <s v="0.001"/>
    <s v="35.03875377819068"/>
    <s v="0.001"/>
  </r>
  <r>
    <x v="1075"/>
    <x v="1458"/>
    <x v="0"/>
    <n v="0"/>
    <s v="LINESTRING (11.303039136668074 60.12322172989374, 11.303079549825645 60.1231505919016, 11.303183796723417 60.123098136791164)"/>
    <s v="[423276, 423277]"/>
    <s v="[421202, 421123]"/>
    <s v="#FIELD!"/>
    <s v="[421191, 421202]"/>
    <s v="0.0"/>
    <s v="16.470505242953724"/>
    <s v="#FIELD!"/>
  </r>
  <r>
    <x v="1075"/>
    <x v="1459"/>
    <x v="0"/>
    <s v="[0, 1, 0, 1, 0, 1, 0, 1, 0, 1, 0, 0, 0, 0]"/>
    <s v="LINESTRING (11.222237520869006 60.092697903083256, 11.229288397311015 60.09337406702899, 11.231990270191234 60.093632975656035, 11.24544651370622 60.09498647225662, 11.246215393673822 60.09511968466736, 11.258297068169249 60.102552810250764, 11.258901910623699 60.10319563837366, 11.262520905128975 60.10686618726774, 11.263176105403334 60.107495045462194, 11.280359543216587 60.11646655291717, 11.282053800969772 60.11693568130024, 11.297573507765883 60.12222441856675, 11.30066811747431 60.122632750677504, 11.303046915260474 60.12307576692545, 11.303183796723417 60.123098136791164)"/>
    <s v="[423702, 423710, 423718, 423726, 423734, 423320, 423341, 423349, 423357, 423430, 423438, 423446, 423454, 423462]"/>
    <s v="[421738, 421750, 421761, 421768, 421254, 421255, 421273, 421282, 421290, 421385, 421394, 421403, 421413, 421123]"/>
    <s v="#FIELD!"/>
    <s v="[421244, 421738, 421750, 421761, 421768, 421254, 421255, 421273, 421282, 421290, 421385, 421394, 421403, 421413]"/>
    <s v="[0.034, 0.038, 0.018, 0.014, 0.006, 0.015, 0.013, 0.012, 0.001, 0.022, 0.016, 0.005, 0.015, 0.001]"/>
    <s v="6042.8743883185525"/>
    <s v="[-0.034, -0.038, -0.018, -0.014, 0.006, -0.015, 0.013, 0.012, -0.001, 0.022, 0.016, 0.005, 0.015, 0.001]"/>
  </r>
  <r>
    <x v="1076"/>
    <x v="1460"/>
    <x v="0"/>
    <n v="0"/>
    <s v="LINESTRING (11.30363052406305 60.12323151975738, 11.30358709938419 60.123302214179915, 11.303480638652571 60.12335352910315)"/>
    <s v="[423236, 423237]"/>
    <s v="[421148, 421149]"/>
    <s v="0.0005002787393576593"/>
    <s v="[421147, 421148]"/>
    <s v="[0.001, 0.0]"/>
    <s v="16.46879217521647"/>
    <s v="[0.001, -0.0]"/>
  </r>
  <r>
    <x v="1076"/>
    <x v="1461"/>
    <x v="0"/>
    <n v="0"/>
    <s v="LINESTRING (11.30363052406305 60.12323151975738, 11.303764424490595 60.123307089647405, 11.304059975641307 60.12347389852577)"/>
    <s v="[423606, 423614]"/>
    <s v="[421617, 421593]"/>
    <s v="0.002"/>
    <s v="[421147, 421617]"/>
    <s v="0.002"/>
    <s v="36.04884741852453"/>
    <s v="0.002"/>
  </r>
  <r>
    <x v="1077"/>
    <x v="1458"/>
    <x v="0"/>
    <n v="0"/>
    <s v="LINESTRING (11.303480638652571 60.12335352910315, 11.303337612330763 60.12337272152603, 11.303204914036867 60.12335768656786, 11.303092310321514 60.12330968601578, 11.303039136668074 60.12322172989374)"/>
    <s v="[423245, 423253, 423261, 423269]"/>
    <s v="[421161, 421171, 421180, 421191]"/>
    <s v="#FIELD!"/>
    <s v="[421149, 421161, 421171, 421180]"/>
    <s v="0.001"/>
    <s v="34.27141616169144"/>
    <s v="#FIELD!"/>
  </r>
  <r>
    <x v="1077"/>
    <x v="1461"/>
    <x v="0"/>
    <n v="0"/>
    <s v="LINESTRING (11.303480638652571 60.12335352910315, 11.303636448448145 60.12338590146324, 11.304059975641307 60.12347389852577)"/>
    <s v="[423582, 423590]"/>
    <s v="[421583, 421593]"/>
    <s v="0.002"/>
    <s v="[421149, 421583]"/>
    <s v="0.002"/>
    <s v="34.89120519591633"/>
    <s v="0.002"/>
  </r>
  <r>
    <x v="1078"/>
    <x v="1462"/>
    <x v="105"/>
    <s v="[0, 1, 0, 1, 0, 1, 0, 1, 0, 1, 0, 0, 0, 0]"/>
    <s v="LINESTRING (11.222224836576338 60.09277089047739, 11.229261401782102 60.093444848682324, 11.231962941886488 60.09370356848687, 11.24540450529465 60.09505503229684, 11.246163523161497 60.095186346817925, 11.258163126344975 60.10258290639433, 11.258771863955284 60.103226294850494, 11.262392936377758 60.10689906355766, 11.26304830413793 60.10752801704081, 11.280298701481271 60.11653162700281, 11.281969591170279 60.116993986757755, 11.297493181324244 60.12229333199715, 11.301666942812817 60.122878839678975, 11.30293168033463 60.12317939204539, 11.303039136668074 60.12322172989374)"/>
    <s v="[423662, 423670, 423678, 423686, 423694, 423373, 423381, 423389, 423397, 423405, 423406, 423407, 423414, 423422]"/>
    <s v="[421688, 421701, 421710, 421721, 421310, 421311, 421320, 421331, 421342, 421353, 421354, 421355, 421364, 421191]"/>
    <s v="#FIELD!"/>
    <s v="[421234, 421688, 421701, 421710, 421721, 421310, 421311, 421320, 421331, 421342, 421353, 421354, 421355, 421364]"/>
    <s v="[0.035, 0.036, 0.018, 0.014, 0.006, 0.016, 0.013, 0.011, 0.001, 0.022, 0.016, 0.009, 0.008, 0.001]"/>
    <s v="6038.802425111062"/>
    <s v="[-0.035, -0.036, -0.018, -0.014, 0.006, -0.016, 0.013, 0.011, -0.001, 0.022, 0.016, 0.009, 0.008, 0.001]"/>
  </r>
  <r>
    <x v="1079"/>
    <x v="1462"/>
    <x v="106"/>
    <n v="0"/>
    <s v="LINESTRING (11.208738574794197 60.09146761550727, 11.210556179431162 60.091641801890354, 11.222224836576338 60.09277089047739)"/>
    <s v="[423288, 423304]"/>
    <s v="[421215, 421234]"/>
    <s v="#FIELD!"/>
    <s v="[421214, 421215]"/>
    <s v="[0.027, 0.016]"/>
    <s v="764.4682220103888"/>
    <s v="[0.027, -0.016]"/>
  </r>
  <r>
    <x v="1079"/>
    <x v="1463"/>
    <x v="0"/>
    <n v="0"/>
    <s v="LINESTRING (11.208738574794197 60.09146761550727, 11.209181117944015 60.0915567088727, 11.21431453596766 60.092225506845274, 11.215382266380916 60.09251732781054, 11.215461281249093 60.092525145843865)"/>
    <s v="[602510, 589440, 589449, 589457]"/>
    <s v="[594730, 594731, 594740, 421656]"/>
    <s v="0.0016775167655857092"/>
    <s v="[421214, 594730, 594731, 594740]"/>
    <s v="[0.028, 0.004, 0.017, 0.023]"/>
    <s v="396.50237024272496"/>
    <s v="[0.028, 0.004, -0.017, -0.023]"/>
  </r>
  <r>
    <x v="1079"/>
    <x v="1464"/>
    <x v="0"/>
    <s v="[0, 0, 0, 0, 0, 1, 0, 1, 0]"/>
    <s v="LINESTRING (11.154832178096836 60.08037153589818, 11.154994556339085 60.08039238869122, 11.155641085404563 60.080467611611674, 11.1571281615027 60.08074546076594, 11.160292551224815 60.08112127690909, 11.16098618574891 60.08113256185725, 11.165392492500194 60.08080280998068, 11.174683277941117 60.08120294555537, 11.177122345461962 60.081806720672056, 11.208738574794197 60.09146761550727)"/>
    <s v="[602550, 602558, 602566, 602574, 602582, 589306, 589309, 589399, 589415]"/>
    <s v="[604722, 604731, 604739, 604749, 594609, 594610, 594614, 594703, 421214]"/>
    <s v="0.004494791325619239"/>
    <s v="[604721, 604722, 604731, 604739, 604749, 594609, 594610, 594614, 594703]"/>
    <s v="[0.023, 0.024, 0.026, 0.019, 0.147, 0.019, 0.014, 0.031, 0.012]"/>
    <s v="3450.146243555306"/>
    <s v="[-0.023, -0.024, -0.026, -0.019, -0.147, 0.019, -0.014, 0.031, 0.012]"/>
  </r>
  <r>
    <x v="1080"/>
    <x v="1463"/>
    <x v="0"/>
    <n v="0"/>
    <s v="LINESTRING (11.222224836576338 60.09277089047739, 11.221802877291108 60.09277250878965, 11.21553234660408 60.092529778795466, 11.215461281249093 60.092525145843865)"/>
    <s v="[423622, 423630, 423638]"/>
    <s v="[421636, 421646, 421656]"/>
    <s v="0.02295029357856993"/>
    <s v="[421234, 421636, 421646]"/>
    <s v="[0.006, 0.024, 0.03]"/>
    <s v="379.88699892184013"/>
    <s v="[0.006, 0.024, 0.03]"/>
  </r>
  <r>
    <x v="1081"/>
    <x v="1459"/>
    <x v="107"/>
    <n v="0"/>
    <m/>
    <n v="423312"/>
    <n v="421244"/>
    <s v="#FIELD!"/>
    <n v="421243"/>
    <s v="0.016"/>
    <s v="660.5690005584872"/>
    <s v="#FIELD!"/>
  </r>
  <r>
    <x v="1081"/>
    <x v="1465"/>
    <x v="0"/>
    <n v="0"/>
    <s v="LINESTRING (11.210583530327769 60.09157343357013, 11.21101492759254 60.09157712888581, 11.215658548959837 60.091780878329836, 11.215743162599352 60.091795724156526)"/>
    <s v="[602518, 589465, 589479]"/>
    <s v="[594755, 594756, 421667]"/>
    <s v="#FIELD!"/>
    <s v="[421243, 594755, 594756]"/>
    <s v="[0.024, 0.016, 0.018]"/>
    <s v="289.87556819529294"/>
    <s v="[0.024, -0.016, -0.018]"/>
  </r>
  <r>
    <x v="1081"/>
    <x v="1466"/>
    <x v="0"/>
    <s v="[0, 0, 0, 0, 0, 1, 0, 1, 0, 0]"/>
    <s v="LINESTRING (11.154841022323195 60.08026482023759, 11.155027689125411 60.08029601648248, 11.155659359223817 60.08039589611786, 11.157142805595463 60.080671670887526, 11.160295071232598 60.08105080208863, 11.160986662119832 60.08106200969001, 11.16536775388684 60.080733944235426, 11.174736013365838 60.08113749370361, 11.177195779355317 60.081743350045905, 11.208816384126326 60.0914045064472, 11.210583530327769 60.09157343357013)"/>
    <s v="[602590, 602598, 602606, 602614, 602622, 602630, 589307, 589407, 589408, 589487]"/>
    <s v="[604763, 604772, 604779, 604785, 604793, 594611, 594612, 594707, 594708, 421243]"/>
    <s v="0.005171451980147086"/>
    <s v="[604762, 604763, 604772, 604779, 604785, 604793, 594611, 594612, 594707, 594708]"/>
    <s v="[0.026, 0.024, 0.026, 0.02, 0.016, 0.002, 0.013, 0.032, 0.012, 0.026]"/>
    <s v="3555.6303312140894"/>
    <s v="[-0.026, -0.024, -0.026, -0.02, -0.016, -0.002, -0.013, 0.032, 0.012, 0.026]"/>
  </r>
  <r>
    <x v="1082"/>
    <x v="1465"/>
    <x v="0"/>
    <n v="0"/>
    <s v="LINESTRING (11.215743162599352 60.091795724156526, 11.215892541093591 60.091774436947574, 11.222105779264435 60.09263911554274, 11.222237520869006 60.092697903083256)"/>
    <s v="[423646, 423654, 1354822]"/>
    <s v="[421668, 421678, 421244]"/>
    <s v="#FIELD!"/>
    <s v="[421667, 421668, 421678]"/>
    <s v="[0.032, 0.019, 0.019]"/>
    <s v="379.29382118494925"/>
    <s v="[-0.032, -0.019, 0.019]"/>
  </r>
  <r>
    <x v="1083"/>
    <x v="1467"/>
    <x v="0"/>
    <n v="0"/>
    <s v="LINESTRING (11.304059975641307 60.12347389852577, 11.304403797669368 60.12360372857317, 11.304828763020883 60.1237686780166, 11.30705034660357 60.12460298162096, 11.30721960765616 60.124667931006975, 11.309191853262305 60.12541060721149, 11.312379505986577 60.1265619666717, 11.317196170534368 60.12763187878505, 11.3176164220813 60.12769211795345, 11.326786969675798 60.128788444002865, 11.32857409136716 60.128917521848216, 11.33201234636826 60.128929865972246, 11.332750467382189 60.12890269559527, 11.332937267774238 60.12889169582562, 11.337051856146655 60.12887987435103, 11.337691034332916 60.12894359484308, 11.338392963613616 60.12902792494916)"/>
    <s v="[423598, 1538082, 1538090, 1538098, 1538106, 1538114, 1538122, 1538130, 1538138, 1538146, 1538154, 1538162, 1538170, 1538178, 419221, 1734026]"/>
    <s v="[421605, 1389982, 1389987, 1356513, 1390003, 1390011, 494988, 1390026, 1390034, 1390041, 1390047, 1390055, 494960, 415872, 415873, 1540872]"/>
    <s v="#FIELD!"/>
    <s v="[421593, 421605, 1389982, 1389987, 1356513, 1390003, 1390011, 494988, 1390026, 1390034, 1390041, 1390047, 1390055, 494960, 415872, 415873]"/>
    <s v="[0.002, 0.026, 0.015, 0.053, 0.05, 0.045, 0.011, 0.01, 0.003, 0.007, 0.003, 0.002, 0.018, 0.011, 0.016, 0.007]"/>
    <s v="2068.3814466733293"/>
    <s v="[0.002, -0.026, -0.015, -0.053, -0.05, 0.045, 0.011, -0.01, -0.003, -0.007, 0.003, -0.002, -0.018, -0.011, 0.016, 0.007]"/>
  </r>
  <r>
    <x v="1084"/>
    <x v="1468"/>
    <x v="0"/>
    <n v="0"/>
    <m/>
    <n v="1506850"/>
    <n v="1362670"/>
    <s v="0.044"/>
    <n v="421656"/>
    <s v="0.044"/>
    <s v="41.41684124535577"/>
    <s v="0.044"/>
  </r>
  <r>
    <x v="1084"/>
    <x v="1465"/>
    <x v="0"/>
    <s v="[0, 1, 0]"/>
    <s v="LINESTRING (11.215743162599352 60.091795724156526, 11.215702944299636 60.09190822942807, 11.215506386487682 60.09242934730684, 11.215461281249093 60.092525145843865)"/>
    <s v="[1506835, 1506842, 1506843]"/>
    <s v="[1362655, 1362663, 421656]"/>
    <s v="0.021028312820145674"/>
    <s v="[421667, 1362655, 1362663]"/>
    <s v="[0.168, 0.012, 0.101]"/>
    <s v="82.79005403193366"/>
    <s v="[0.168, 0.012, -0.101]"/>
  </r>
  <r>
    <x v="1085"/>
    <x v="1469"/>
    <x v="0"/>
    <n v="0"/>
    <s v="LINESTRING (11.215951027271554 60.09153006468821, 11.215915779847444 60.09157983426821, 11.215743162599352 60.091795724156526)"/>
    <s v="[1505729, 1505730]"/>
    <s v="[1361668, 421667]"/>
    <s v="#FIELD!"/>
    <s v="[1355042, 1361668]"/>
    <s v="[0.096, 0.041]"/>
    <s v="32.13501499449156"/>
    <s v="[0.096, -0.041]"/>
  </r>
  <r>
    <x v="1085"/>
    <x v="1470"/>
    <x v="0"/>
    <n v="0"/>
    <s v="LINESTRING (11.215726231878534 60.0915018741868, 11.215744982430644 60.09157605804291, 11.215743162599352 60.091795724156526)"/>
    <s v="[1542632, 1542640]"/>
    <s v="[1393605, 421667]"/>
    <s v="#FIELD!"/>
    <s v="[1355067, 1393605]"/>
    <s v="[0.017, 0.037]"/>
    <s v="33.28960044071187"/>
    <s v="[0.017, -0.037]"/>
  </r>
  <r>
    <x v="1086"/>
    <x v="1471"/>
    <x v="0"/>
    <n v="0"/>
    <s v="LINESTRING (23.348877563983518 69.9744848983259, 23.349029723200587 69.97442509027374, 23.349201203196223 69.97440740361029, 23.349390604628628 69.97442114580065, 23.349501206346364 69.97445081688173)"/>
    <s v="[426354, 426362, 426370, 426378]"/>
    <s v="[424417, 424426, 424436, 424445]"/>
    <s v="#FIELD!"/>
    <s v="[424416, 424417, 424426, 424436]"/>
    <s v="[0.019, 0.015, 0.049, 0.072]"/>
    <s v="28.495062968264012"/>
    <s v="[0.019, -0.015, -0.049, -0.072]"/>
  </r>
  <r>
    <x v="1086"/>
    <x v="1472"/>
    <x v="0"/>
    <n v="0"/>
    <s v="LINESTRING (23.3489157279996 69.97460794936994, 23.34885095257269 69.97454989395288, 23.348877563983518 69.9744848983259)"/>
    <s v="[426434, 426442]"/>
    <s v="[424510, 424416]"/>
    <s v="0.07532311555933818"/>
    <s v="[424499, 424510]"/>
    <s v="[0.082, 0.069]"/>
    <s v="14.268119708626012"/>
    <s v="[0.082, 0.069]"/>
  </r>
  <r>
    <x v="1086"/>
    <x v="1473"/>
    <x v="0"/>
    <n v="0"/>
    <s v="LINESTRING (23.348054952302082 69.97458244302418, 23.348394390743604 69.97453227534959, 23.34876632857241 69.97449666400944, 23.348877563983518 69.9744848983259)"/>
    <s v="[1623799, 1623815, 1623823]"/>
    <s v="[1453375, 1453385, 424416]"/>
    <s v="#FIELD!"/>
    <s v="[424575, 1453375, 1453385]"/>
    <s v="[0.005, 0.021, 0.001]"/>
    <s v="33.37689493154019"/>
    <s v="[-0.005, -0.021, -0.001]"/>
  </r>
  <r>
    <x v="1087"/>
    <x v="1474"/>
    <x v="0"/>
    <n v="0"/>
    <s v="LINESTRING (23.349501206346364 69.97445081688173, 23.349584622890273 69.97450799118491, 23.34957680515027 69.97457182763806)"/>
    <s v="[426386, 426394]"/>
    <s v="[424457, 424463]"/>
    <s v="#FIELD!"/>
    <s v="[424445, 424457]"/>
    <s v="[0.079, 0.062]"/>
    <s v="14.271299467997682"/>
    <s v="[-0.079, -0.062]"/>
  </r>
  <r>
    <x v="1087"/>
    <x v="1475"/>
    <x v="0"/>
    <n v="0"/>
    <s v="LINESTRING (23.349501206346364 69.97445081688173, 23.3496247240166 69.97445325211913, 23.350183966722614 69.97445679300615)"/>
    <s v="[426474, 426482]"/>
    <s v="[424559, 424527]"/>
    <s v="#FIELD!"/>
    <s v="[424445, 424559]"/>
    <s v="[0.038, 0.042]"/>
    <s v="26.13754002469536"/>
    <s v="[-0.038, -0.042]"/>
  </r>
  <r>
    <x v="1088"/>
    <x v="1476"/>
    <x v="0"/>
    <n v="0"/>
    <m/>
    <n v="426402"/>
    <n v="424473"/>
    <s v="#FIELD!"/>
    <n v="424463"/>
    <s v="0.022"/>
    <s v="14.268134421748275"/>
    <s v="#FIELD!"/>
  </r>
  <r>
    <x v="1088"/>
    <x v="1475"/>
    <x v="0"/>
    <n v="0"/>
    <s v="LINESTRING (23.34957680515027 69.97457182763806, 23.34966708304169 69.97455498542399, 23.350183966722614 69.97445679300615)"/>
    <s v="[426458, 426466]"/>
    <s v="[424542, 424527]"/>
    <s v="#FIELD!"/>
    <s v="[424463, 424542]"/>
    <s v="[0.005, 0.004]"/>
    <s v="26.848179043625894"/>
    <s v="[0.005, -0.004]"/>
  </r>
  <r>
    <x v="1089"/>
    <x v="1477"/>
    <x v="0"/>
    <n v="0"/>
    <s v="LINESTRING (23.34931757250338 69.9746579421446, 23.349164598204062 69.97466065058647, 23.34901651874378 69.97464142949538)"/>
    <s v="[426410, 426418]"/>
    <s v="[424481, 424491]"/>
    <s v="0.04716585863765045"/>
    <s v="[424473, 424481]"/>
    <s v="[0.037, 0.057]"/>
    <s v="11.920440865608047"/>
    <s v="[0.037, 0.057]"/>
  </r>
  <r>
    <x v="1089"/>
    <x v="1478"/>
    <x v="0"/>
    <n v="0"/>
    <s v="LINESTRING (23.34931757250338 69.9746579421446, 23.34927558516128 69.97469448957065, 23.349019734126305 69.97487602385073)"/>
    <s v="[1623887, 1623895]"/>
    <s v="[1453434, 1453439]"/>
    <s v="#FIELD!"/>
    <s v="[424473, 1453434]"/>
    <s v="[0.039, 0.049]"/>
    <s v="27.006378699870478"/>
    <s v="[-0.039, -0.049]"/>
  </r>
  <r>
    <x v="1090"/>
    <x v="1472"/>
    <x v="0"/>
    <n v="0"/>
    <m/>
    <n v="426426"/>
    <n v="424499"/>
    <s v="0.069"/>
    <n v="424491"/>
    <s v="0.069"/>
    <s v="5.371126511578476"/>
    <s v="0.069"/>
  </r>
  <r>
    <x v="1090"/>
    <x v="1478"/>
    <x v="0"/>
    <n v="0"/>
    <s v="LINESTRING (23.34901651874378 69.97464142949538, 23.349021456101458 69.9746840589678, 23.349019734126305 69.97487602385073)"/>
    <s v="[1623927, 1623935]"/>
    <s v="[1453461, 1453439]"/>
    <s v="#FIELD!"/>
    <s v="[424491, 1453461]"/>
    <s v="[0.065, 0.072]"/>
    <s v="26.197551289192464"/>
    <s v="[-0.065, -0.072]"/>
  </r>
  <r>
    <x v="1091"/>
    <x v="1473"/>
    <x v="0"/>
    <n v="0"/>
    <s v="LINESTRING (23.348054952302082 69.97458244302418, 23.34842718548397 69.97459647996392, 23.348804721611067 69.97460540157303, 23.3489157279996 69.97460794936994)"/>
    <s v="[426490, 426506, 426514]"/>
    <s v="[424576, 424595, 424499]"/>
    <s v="#FIELD!"/>
    <s v="[424575, 424576, 424595]"/>
    <s v="[0.049, 0.041, 0.039]"/>
    <s v="33.06744507469479"/>
    <s v="[-0.049, -0.041, -0.039]"/>
  </r>
  <r>
    <x v="1092"/>
    <x v="1479"/>
    <x v="0"/>
    <n v="0"/>
    <s v="LINESTRING (23.350183966722614 69.97445679300615, 23.352309740491055 69.97433099830565, 23.35444009600485 69.97423110686252, 23.354826137230493 69.9742207899775, 23.354927429896502 69.97421880267773, 23.355699402820377 69.97419796312379, 23.35618754567554 69.9741903546342, 23.35640594523257 69.97418686903914, 23.357293140191253 69.97415710089912, 23.357472196683783 69.97415287118329, 23.357628727326706 69.97414917344241, 23.357746881837105 69.97414647726946, 23.358009808532515 69.97414049452246, 23.358514962455395 69.97413837639058, 23.35871194653295 69.97413254684565, 23.35967633746668 69.97409271321882, 23.359830668604037 69.97408466936511, 23.361014798408572 69.9740060506352, 23.361427626850055 69.97397258999248, 23.362154235170355 69.97390013731417, 23.362584753037627 69.97385100911987)"/>
    <s v="[426450, 1033604, 1033612, 1033620, 1033628, 1033636, 1033644, 1033652, 1033660, 1033668, 1033676, 1033684, 1033692, 1033700, 1033708, 1080226, 1080234, 1080242, 1080250, 1080258]"/>
    <s v="[424528, 986847, 986854, 986860, 986866, 986874, 986879, 986886, 986890, 986897, 986905, 986914, 986923, 986930, 986938, 1025291, 1025010, 1025303, 1025311, 1025265]"/>
    <s v="#FIELD!"/>
    <s v="[424527, 424528, 986847, 986854, 986860, 986866, 986874, 986879, 986886, 986890, 986897, 986905, 986914, 986923, 986930, 986938, 1025291, 1025010, 1025303, 1025311]"/>
    <s v="[0.017, 0.003, 0.007, 0.011, 0.266, 0.004, 0.007, 0.001, 0.005, 0.0, 0.0, 0.004, 0.005, 0.007, 0.007, 0.217, 0.003, 0.008, 0.007, 0.003]"/>
    <s v="480.57175450339065"/>
    <s v="[-0.017, -0.003, -0.007, -0.011, -0.266, -0.004, -0.007, -0.001, 0.005, 0.0, 0.0, 0.004, -0.005, -0.007, -0.007, 0.217, 0.003, 0.008, 0.007, 0.003]"/>
  </r>
  <r>
    <x v="1093"/>
    <x v="682"/>
    <x v="0"/>
    <n v="0"/>
    <s v="LINESTRING (23.340936413332262 69.97499322414676, 23.346244865123754 69.97467989192401, 23.3468879618677 69.9746430025291, 23.348054952302082 69.97458244302418)"/>
    <s v="[1033588, 1033596, 426522]"/>
    <s v="[986836, 424616, 424575]"/>
    <s v="#FIELD!"/>
    <s v="[986829, 986836, 424616]"/>
    <s v="[0.006, 0.021, 0.025]"/>
    <s v="276.23090876137775"/>
    <s v="[0.006, -0.021, -0.025]"/>
  </r>
  <r>
    <x v="1094"/>
    <x v="1480"/>
    <x v="0"/>
    <n v="0"/>
    <s v="LINESTRING (15.859538557067815 67.89752051538932, 15.85965255639255 67.89831763502924, 15.859668846560343 67.89838276281033, 15.85979910160855 67.89881351861348, 15.859807836389109 67.89883656206779, 15.859837684208822 67.89890889363578, 15.859843686991178 67.8989230978461, 15.860240953092694 67.8998352737343)"/>
    <s v="[968338, 968346, 968361, 968369, 968377, 968385, 968393]"/>
    <s v="[931923, 931928, 931941, 931948, 931954, 931960, 425421]"/>
    <s v="#FIELD!"/>
    <s v="[425412, 931923, 931928, 931941, 931948, 931954, 931960]"/>
    <s v="[0.013, 0.019, 0.024, 0.035, 0.029, 0.016, 0.039]"/>
    <s v="260.5718138942877"/>
    <s v="[-0.013, -0.019, -0.024, -0.035, -0.029, -0.016, -0.039]"/>
  </r>
  <r>
    <x v="1094"/>
    <x v="1480"/>
    <x v="0"/>
    <n v="0"/>
    <s v="LINESTRING (15.859538557067815 67.89752051538932, 15.859520306192445 67.8983831368191, 15.859649953966851 67.89881622814936, 15.859659166961888 67.89884190633444, 15.859686600657794 67.89891853830429, 15.860240953092694 67.8998352737343)"/>
    <s v="[968401, 968408, 968413, 968414, 968460]"/>
    <s v="[931970, 931974, 931977, 931978, 425421]"/>
    <s v="#FIELD!"/>
    <s v="[425412, 931970, 931974, 931977, 931978]"/>
    <s v="[0.012, 0.021, 0.021, 0.027, 0.041]"/>
    <s v="261.87221669668673"/>
    <s v="[-0.012, -0.021, -0.021, -0.027, -0.041]"/>
  </r>
  <r>
    <x v="1094"/>
    <x v="1481"/>
    <x v="108"/>
    <n v="0"/>
    <s v="LINESTRING (15.827418912265161 67.81167344929793, 15.859538557067815 67.89752051538932)"/>
    <m/>
    <m/>
    <s v="0.0"/>
    <m/>
    <n v="0"/>
    <s v="11667.912640201068"/>
    <n v="0"/>
  </r>
  <r>
    <x v="1095"/>
    <x v="1482"/>
    <x v="0"/>
    <s v="[0, 0, 0, 0, 0, 0, 0, 0, 0, 0, 0, 1, 0, 0, 0, 0, 0, 0, 0, 0, 0, 0, 0, 0, 0, 0, 0, 0, 0, 0, 0, 0, 0, 0, 0, 0, 0, 0, 0, 0]"/>
    <s v="LINESTRING (15.860240953092694 67.8998352737343, 15.860281448625381 67.89988690910049, 15.872339979055972 67.90673168827752, 15.872913802307762 67.9071142493205, 15.872986803259462 67.9071604793122, 15.873064860479804 67.90720556112285, 15.88258173888478 67.91261957670638, 15.88333851162863 67.91309882271246, 15.887043332112203 67.91626040668132, 15.890507193040232 67.92252471350409, 15.890528550706346 67.92260053937952, 15.890558545832192 67.92306199167452, 15.890535155604775 67.92315914894859, 15.890026680398673 67.9239733287101, 15.889968340569547 67.9240302375564, 15.884424287300996 67.92588894378622, 15.877493105448208 67.92725999523587, 15.875319335582637 67.93263265263631, 15.87549586392716 67.93295667426608, 15.875140146014433 67.93420275497581, 15.874346520538783 67.93465003121695, 15.871728620335709 67.93637694317181, 15.880892447283403 67.94160317912821, 15.882422269341646 67.9419768185932, 15.892093356591674 67.94598538920678, 15.892160808539252 67.94636273009827, 15.892700714608015 67.94753661455245, 15.894446450895174 67.94858424674678, 15.89598268754381 67.94949945439748, 15.897194072858781 67.95021486055003, 15.898753204944594 67.95114238679712, 15.90198331079571 67.95306188872615, 15.919795988150694 67.96009696804347, 15.920540177585387 67.96040977762344, 15.925107397224721 67.9619865937181, 15.926309302482203 67.9622835281654, 15.926807244030988 67.96240512347413, 15.9278960009536 67.9626720952836, 15.92821203031169 67.96275068619464, 15.928907962327706 67.96292813719674, 15.929976284204525 67.9631953363821)"/>
    <s v="[427268, 427276, 427284, 427292, 427301, 427309, 427317, 427325, 427333, 427341, 427349, 427357, 427365, 427373, 427381, 427389, 427397, 427405, 427413, 427421, 427429, 480205, 480213, 480221, 480229, 480237, 480245, 480253, 480261, 480269, 480277, 480285, 480293, 480301, 480309, 480317, 480325, 480333, 1387967, 1387975]"/>
    <s v="[425422, 425432, 420156, 425447, 425457, 425464, 425473, 425480, 425488, 425496, 425505, 425515, 425523, 392695, 392720, 425546, 392729, 425562, 425570, 425579, 425588, 479182, 479189, 479194, 392762, 479207, 392800, 392828, 392845, 479242, 392890, 479255, 392898, 392920, 479280, 479288, 392961, 392988, 1274008, 1274011]"/>
    <s v="#FIELD!"/>
    <s v="[425421, 425422, 425432, 420156, 425447, 425457, 425464, 425473, 425480, 425488, 425496, 425505, 425515, 425523, 392695, 392720, 425546, 392729, 425562, 425570, 425579, 425588, 479182, 479189, 479194, 392762, 479207, 392800, 392828, 392845, 479242, 392890, 479255, 392898, 392920, 479280, 479288, 392961, 392988, 1274008]"/>
    <s v="[0.058, 0.033, 0.002, 0.002, 0.001, 0.003, 0.007, 0.041, 0.014, 0.134, 0.08, 0.155, 0.105, 0.051, 0.036, 0.036, 0.0, 0.08, 0.008, 0.023, 0.057, 0.038, 0.223, 0.032, 0.051, 0.004, 0.007, 0.005, 0.008, 0.004, 0.009, 0.003, 0.014, 0.018, 0.003, 0.009, 0.016, 0.031, 0.03, 0.021]"/>
    <s v="8953.142488888989"/>
    <s v="[-0.058, -0.033, 0.002, 0.002, 0.001, 0.003, -0.007, 0.041, -0.014, -0.134, -0.08, 0.155, 0.105, 0.051, -0.036, 0.036, 0.0, 0.08, 0.008, -0.023, -0.057, 0.038, -0.223, -0.032, -0.051, -0.004, 0.007, 0.005, -0.008, 0.004, 0.009, -0.003, 0.014, 0.018, 0.003, -0.009, -0.016, -0.031, 0.03, -0.021]"/>
  </r>
  <r>
    <x v="1096"/>
    <x v="1483"/>
    <x v="0"/>
    <n v="0"/>
    <s v="LINESTRING (16.07062199990777 68.2204556903341, 16.07110770440798 68.22093406275238, 16.07118118991756 68.22103808301075, 16.071245544169365 68.22112915530367, 16.07161413826953 68.2215985218906, 16.071620821847663 68.22160714400972, 16.071687343002953 68.22168818242943, 16.072280788747147 68.22255945189185)"/>
    <s v="[487951, 487963, 487964, 487973, 487983, 487991, 488003]"/>
    <s v="[488074, 488088, 488089, 488099, 488108, 488115, 426211]"/>
    <s v="#FIELD!"/>
    <s v="[426202, 488074, 488088, 488089, 488099, 488108, 488115]"/>
    <s v="[0.068, 0.04, 0.011, 0.016, 0.006, 0.01, 0.01]"/>
    <s v="246.00519884613797"/>
    <s v="[-0.068, -0.04, -0.011, -0.016, -0.006, -0.01, -0.01]"/>
  </r>
  <r>
    <x v="1096"/>
    <x v="1483"/>
    <x v="0"/>
    <n v="0"/>
    <s v="LINESTRING (16.07062199990777 68.2204556903341, 16.070947219904227 68.22106161341856, 16.071011687155266 68.22115202127243, 16.07138662439659 68.2216264425292, 16.07139369761515 68.22163513390583, 16.071422397322294 68.2216723994771, 16.071469592703714 68.22171829171631, 16.072280788747147 68.22255945189185)"/>
    <s v="[490367, 490368, 490369, 490375, 490390, 490399, 490407]"/>
    <s v="[490830, 490831, 490832, 490838, 490855, 490864, 426211]"/>
    <s v="#FIELD!"/>
    <s v="[426202, 490830, 490831, 490832, 490838, 490855, 490864]"/>
    <s v="[0.04, 0.015, 0.014, 0.062, 0.008, 0.012, 0.082]"/>
    <s v="245.3979731917376"/>
    <s v="[0.04, -0.015, -0.014, -0.062, -0.008, -0.012, -0.082]"/>
  </r>
  <r>
    <x v="1096"/>
    <x v="1484"/>
    <x v="0"/>
    <n v="0"/>
    <s v="LINESTRING (16.025461517496144 68.12932875300143, 16.07062199990777 68.2204556903341)"/>
    <m/>
    <m/>
    <s v="0.0"/>
    <m/>
    <n v="0"/>
    <s v="11535.50774066956"/>
    <n v="0"/>
  </r>
  <r>
    <x v="1097"/>
    <x v="1485"/>
    <x v="0"/>
    <n v="0"/>
    <s v="LINESTRING (16.072280788747147 68.22255945189185, 16.072369820304484 68.22270688586093, 16.073077361589046 68.22357861817025, 16.07367831741748 68.22387604527597, 16.074002212688697 68.22400523995141, 16.075428052066947 68.22456081781122, 16.07562007625567 68.22468874599065, 16.075768003293717 68.22480359385256, 16.075928255883436 68.22492365420463, 16.135026672784456 68.23333395498413, 16.234832046353805 68.23238663389175, 16.234827618543882 68.23234306976481)"/>
    <s v="[428081, 428089, 428097, 428105, 428113, 428121, 428129, 428137, 428145, 428153, 481045]"/>
    <s v="[426212, 426218, 426225, 426232, 426238, 426246, 426258, 426265, 426274, 426282, 480048]"/>
    <s v="#FIELD!"/>
    <s v="[426211, 426212, 426218, 426225, 426232, 426238, 426246, 426258, 426265, 426274, 426282]"/>
    <s v="[0.016, 0.022, 0.027, 0.028, 0.041, 0.074, 0.077, inf, inf, inf, 1.031]"/>
    <s v="301.20761201434976"/>
    <s v="[-0.016, -0.022, -0.027, -0.028, -0.041, -0.074, -0.077, 0, 0, 0, 1.031]"/>
  </r>
  <r>
    <x v="1098"/>
    <x v="1486"/>
    <x v="0"/>
    <n v="0"/>
    <m/>
    <n v="429660"/>
    <n v="427851"/>
    <s v="0.019"/>
    <n v="427850"/>
    <s v="0.019"/>
    <s v="121.07190688392492"/>
    <s v="0.019"/>
  </r>
  <r>
    <x v="1098"/>
    <x v="395"/>
    <x v="0"/>
    <n v="0"/>
    <s v="LINESTRING (17.427062226581814 68.40980580146686, 17.427375253403056 68.4098845431652, 17.427136638369717 68.41000019142045)"/>
    <s v="[432317, 432325]"/>
    <s v="[430568, 427850]"/>
    <s v="0.004910596146971964"/>
    <s v="[430567, 430568]"/>
    <s v="[0.01, 0.0]"/>
    <s v="34.83776761886051"/>
    <s v="[0.01, -0.0]"/>
  </r>
  <r>
    <x v="1099"/>
    <x v="589"/>
    <x v="0"/>
    <n v="0"/>
    <m/>
    <n v="432341"/>
    <n v="427856"/>
    <s v="0.021"/>
    <n v="427851"/>
    <s v="0.021"/>
    <s v="34.55997615352811"/>
    <s v="0.021"/>
  </r>
  <r>
    <x v="1099"/>
    <x v="1487"/>
    <x v="0"/>
    <n v="0"/>
    <m/>
    <n v="432357"/>
    <n v="427851"/>
    <s v="#FIELD!"/>
    <n v="430596"/>
    <s v="0.0"/>
    <s v="19.296901710291614"/>
    <s v="#FIELD!"/>
  </r>
  <r>
    <x v="1100"/>
    <x v="1487"/>
    <x v="0"/>
    <n v="0"/>
    <m/>
    <n v="432349"/>
    <n v="430596"/>
    <s v="#FIELD!"/>
    <n v="427856"/>
    <s v="0.043"/>
    <s v="17.11139414183743"/>
    <s v="#FIELD!"/>
  </r>
  <r>
    <x v="1101"/>
    <x v="1488"/>
    <x v="0"/>
    <n v="0"/>
    <s v="LINESTRING (17.424448792175422 68.43359656319939, 17.424738406232002 68.43419925575601, 17.424789309506938 68.43428943214427, 17.42498879182932 68.43464614983887, 17.425156430182746 68.43494166349542, 17.425241859292463 68.43509339069864, 17.425463756313597 68.43548410249936, 17.425517329084208 68.4355772824696, 17.425697713017605 68.43589577477111, 17.425746502542417 68.43598322634162, 17.42577259079506 68.43603023476331, 17.425796955433754 68.43607436035363, 17.425818450455285 68.43611333116891, 17.425970124409965 68.43637803204867, 17.426027669342506 68.43648115216514, 17.426456233093475 68.43723915539435, 17.426493735133008 68.43730317589025, 17.426798071085692 68.4378446512798, 17.42691918845152 68.43803504407049, 17.42719654447877 68.43825492386011, 17.42726871873643 68.43829661490857)"/>
    <s v="[488279, 488281, 488285, 488286, 488287, 488294, 488302, 488317, 488318, 488319, 488320, 488321, 488334, 488335, 488347, 488348, 488357, 488358, 488376, 488377]"/>
    <s v="[488449, 488452, 488457, 488458, 488459, 488467, 488479, 488496, 488497, 488498, 488499, 488500, 488517, 488518, 488533, 488534, 488546, 488547, 488569, 430509]"/>
    <s v="0.0321520787043651"/>
    <s v="[427933, 488449, 488452, 488457, 488458, 488459, 488467, 488479, 488496, 488497, 488498, 488499, 488500, 488517, 488518, 488533, 488534, 488546, 488547, 488569]"/>
    <s v="[0.051, 0.043, 0.043, 0.044, 0.04, 0.017, 0.002, 0.006, 0.019, 0.002, 0.033, 0.011, 0.02, 0.028, 0.037, 0.022, 0.025, 0.032, 0.064, 0.043]"/>
    <s v="537.9002829715857"/>
    <s v="[0.051, 0.043, 0.043, 0.044, 0.04, 0.017, 0.002, -0.006, 0.019, -0.002, 0.033, 0.011, 0.02, 0.028, 0.037, 0.022, 0.025, 0.032, 0.064, 0.043]"/>
  </r>
  <r>
    <x v="1101"/>
    <x v="1489"/>
    <x v="109"/>
    <n v="0"/>
    <s v="LINESTRING (17.424448792175422 68.43359656319939, 17.424530880740804 68.4342156256737, 17.424572629619973 68.43430734376821, 17.424775957569455 68.4346672009638, 17.424827360181236 68.43475838425962, 17.42494026875637 68.43496060010138, 17.425024408200525 68.43511601674444, 17.425247044986598 68.43550091142617, 17.425298677221562 68.4355928361904, 17.425482197098425 68.43591330255752, 17.42553204209686 68.43600127736822, 17.425559416419954 68.43604981980671, 17.42558216163318 68.4360902174592, 17.425604072459436 68.43612851814228, 17.42575380036736 68.4363889664489, 17.425784254014506 68.43644438374129, 17.425828263769677 68.43652363885782, 17.426235998204934 68.43725647419387, 17.42625579034564 68.43729160155009, 17.42626597161252 68.43730966367791, 17.42661010193535 68.43785552552298, 17.426660364885294 68.43791908277731, 17.42678095903013 68.43808137440503, 17.426954629033563 68.43829473441996, 17.426995015714986 68.43833646466558)"/>
    <s v="[490687, 490699, 490707, 490715, 490716, 490721, 490722, 490723, 490731, 490753, 490761, 490779, 490787, 490788, 490794, 490795, 490796, 490809, 490812, 490823, 490830, 490837, 490840, 490841]"/>
    <s v="[490389, 491170, 491180, 491188, 490408, 491196, 491197, 491198, 491209, 490370, 491242, 491261, 491269, 491270, 491277, 491278, 490507, 491292, 491295, 491305, 491312, 491320, 491324, 430547]"/>
    <s v="0.02902418382642418"/>
    <s v="[427933, 490389, 491170, 491180, 491188, 490408, 491196, 491197, 491198, 491209, 490370, 491242, 491261, 491269, 491270, 491277, 491278, 490507, 491292, 491295, 491305, 491312, 491320, 491324]"/>
    <s v="[0.027, 0.035, 0.047, 0.042, 0.041, 0.037, 0.042, 0.036, 0.036, 0.035, 0.039, 0.029, 0.03, 0.034, 0.032, 0.037, 0.029, 0.026, 0.021, 0.022, 0.027, 0.021, 0.02, 0.296]"/>
    <s v="539.9961410985054"/>
    <s v="[0.027, 0.035, 0.047, 0.042, 0.041, 0.037, 0.042, 0.036, 0.036, 0.035, 0.039, 0.029, 0.03, 0.034, 0.032, 0.037, 0.029, 0.026, 0.021, 0.022, 0.027, 0.021, 0.02, -0.296]"/>
  </r>
  <r>
    <x v="1102"/>
    <x v="1490"/>
    <x v="0"/>
    <n v="0"/>
    <s v="LINESTRING (13.406224214514145 65.53338283237315, 13.406300905306114 65.5333674836996, 13.406800310481948 65.53327041832925, 13.407330941804801 65.53269713677639, 13.407254030689284 65.53250337939805, 13.40724102513997 65.53246824263054)"/>
    <s v="[430934, 430942, 430950, 430958, 430966]"/>
    <s v="[429100, 429109, 429118, 429125, 429135]"/>
    <s v="0.014808581018378357"/>
    <s v="[429099, 429100, 429109, 429118, 429125]"/>
    <s v="[0.006, 0.008, 0.016, 0.02, 0.017]"/>
    <s v="127.38982621708878"/>
    <s v="[0.006, 0.008, 0.016, 0.02, 0.017]"/>
  </r>
  <r>
    <x v="1102"/>
    <x v="1491"/>
    <x v="110"/>
    <s v="[0, 0, 0, 0, 0, 0, 0, 0, 0, 0, 0, 0, 0, 0, 0, 0, 0, 0, 0, 0, 0, 0, 0, 0, 0, 0, 0, 0, 0, 0, 0, 0, 0, 0, 0, 0, 0, 0, 0, 0, 1, 0, 0, 0, 0, 0, 0, 0, 0, 0, 0, 0, 0, 0, 0, 0, 0, 0, 0, 0, 0, 0]"/>
    <s v="LINESTRING (13.406224214514145 65.53338283237315, 13.407007698125723 65.53504953229083, 13.406760033795209 65.53621541242201, 13.406747870894476 65.5362416067521, 13.406417820001653 65.53684002104531, 13.406219996833554 65.53710179227434, 13.397682482362415 65.54451720613304, 13.397994154729647 65.54668554361524, 13.397520490870065 65.54720966050904, 13.396964507777108 65.54825739142838, 13.397019628259953 65.55051439929551, 13.397021845708464 65.5513407173546, 13.397008713298828 65.55406602587212, 13.3969859589805 65.55455231682498, 13.396405441092162 65.55828123188586, 13.396497730067843 65.5584904399899, 13.397055519005649 65.55942697603327, 13.400884331396 65.56091604661323, 13.402160125292324 65.563307511857, 13.402181360968763 65.56340645374242, 13.402547127156648 65.56396850872162, 13.40368062796269 65.56752710836967, 13.40356111926205 65.56818295844214, 13.403245676144296 65.56988549804659, 13.40318115711859 65.57008943636558, 13.400988786129941 65.57151260612574, 13.399988684388324 65.57225069681661, 13.399445265833844 65.57261681061131, 13.398635107504354 65.57338366418966, 13.399406767036293 65.57563135738698, 13.400069713367648 65.57748392428381, 13.395698601288037 65.58270049430307, 13.394264728093288 65.58340863768389, 13.393963858390412 65.58413777120563, 13.393956554840122 65.58425615628488, 13.393562975537256 65.58543303019742, 13.393432400883091 65.58582688340454, 13.393222640708744 65.58645296506299, 13.393145356773024 65.58665443144255, 13.38918675585571 65.5908961187189, 13.3893636813462 65.59157735651415, 13.389464894370738 65.59211509879111, 13.387205549708424 65.593463339361, 13.386909820813324 65.59364947290526, 13.38455526438127 65.59488457541266, 13.384402429508027 65.59500500387625, 13.383703901203976 65.59548709086681, 13.381117577334399 65.59642033665024, 13.353099701833889 65.59669564121259, 13.34916337284919 65.5970840327228, 13.34229214004443 65.59717770905152, 13.325611473942146 65.60394937016585, 13.322773157982027 65.60596161428482, 13.319992618806321 65.60705254847193, 13.317928929521608 65.6076625150378, 13.30948293690829 65.61341241377816, 13.307566769001546 65.61615917510697, 13.307126946942123 65.61679155316973, 13.306706747799366 65.61839531166439, 13.30668479987745 65.61857653453214, 13.306636853059414 65.61890615083601, 13.306327175286697 65.61989469760084, 13.306102434108052 65.62033078644598)"/>
    <s v="[1195200, 1195208, 1195216, 1195224, 1195232, 1195240, 1195248, 1195256, 1195264, 1195272, 1195280, 1195288, 1195296, 1195304, 1195312, 1195320, 1195328, 1195336, 1195344, 1195352, 1195360, 1195368, 1195376, 1195384, 1195392, 1195400, 1195408, 1195416, 1195424, 1195432, 1195440, 1195448, 1195456, 1195464, 1195472, 1195480, 1195488, 1195496, 1195504, 1195512, 1195520, 1195528, 1195536, 1195544, 1195552, 1195560, 1195568, 1195576, 1195584, 1195592, 1195600, 1195608, 1195616, 1195624, 1195632, 1195640, 1195648, 1195656, 1195664, 1195672, 1195680, 1717693]"/>
    <s v="[1121984, 1121990, 1121993, 996395, 1122002, 443437, 443415, 1122018, 1122025, 443404, 1122038, 451816, 443379, 452211, 772657, 1122065, 1122072, 1122079, 443634, 1122093, 1122100, 1122107, 1122113, 1122120, 1122127, 779511, 1122141, 1122147, 1122153, 1122160, 1122167, 1122173, 375888, 995782, 389273, 1122196, 995499, 375925, 375927, 1122214, 1122222, 375957, 452145, 1122235, 375959, 1122251, 376004, 1122262, 1122270, 376459, 1122280, 376475, 452229, 452108, 1122303, 1122307, 1122315, 1122321, 1122326, 700249, 1122337, 619605]"/>
    <s v="0.0010974462149262016"/>
    <s v="[429099, 1121984, 1121990, 1121993, 996395, 1122002, 443437, 443415, 1122018, 1122025, 443404, 1122038, 451816, 443379, 452211, 772657, 1122065, 1122072, 1122079, 443634, 1122093, 1122100, 1122107, 1122113, 1122120, 1122127, 779511, 1122141, 1122147, 1122153, 1122160, 1122167, 1122173, 375888, 995782, 389273, 1122196, 995499, 375925, 375927, 1122214, 1122222, 375957, 452145, 1122235, 375959, 1122251, 376004, 1122262, 1122270, 376459, 1122280, 376475, 452229, 452108, 1122303, 1122307, 1122315, 1122321, 1122326, 700249, 1122337]"/>
    <s v="[0.034, 0.034, 0.089, 0.11, 0.094, 0.002, 0.073, 0.022, 0.018, 0.041, 0.006, 0.056, 0.104, 0.055, 0.022, 0.024, 0.025, 0.026, 0.033, 0.002, 0.011, 0.02, 0.009, 0.011, 0.007, 0.016, 0.014, 0.009, 0.036, 0.004, 0.003, 0.001, 0.011, 0.018, 0.005, 0.014, 0.03, 0.034, 0.032, 0.016, 0.047, 0.007, 0.028, 0.016, 0.01, 0.002, 0.006, 0.007, 0.04, 0.033, 0.002, 0.002, 0.001, 0.024, 0.021, 0.006, 0.021, 0.037, 0.033, 0.108, 0.092, 0.137]"/>
    <s v="12902.284023335598"/>
    <s v="[0.034, 0.034, 0.089, 0.11, 0.094, -0.002, 0.073, 0.022, 0.018, 0.041, -0.006, -0.056, -0.104, -0.055, -0.022, -0.024, 0.025, -0.026, -0.033, -0.002, 0.011, -0.02, -0.009, 0.011, -0.007, 0.016, 0.014, -0.009, 0.036, -0.004, 0.003, -0.001, 0.011, 0.018, 0.005, 0.014, 0.03, 0.034, -0.032, 0.016, 0.047, -0.007, -0.028, -0.016, -0.01, -0.002, -0.006, 0.007, 0.04, -0.033, -0.002, 0.002, 0.001, -0.024, -0.021, 0.006, 0.021, 0.037, 0.033, 0.108, 0.092, 0.137]"/>
  </r>
  <r>
    <x v="1102"/>
    <x v="1492"/>
    <x v="0"/>
    <s v="[0, 0, 0, 0, 0, 0, 0, 1, 0, 0, 0, 0, 0, 0, 0, 0, 0, 0, 0, 0, 0, 0, 0, 0, 1, 0, 0, 0]"/>
    <s v="LINESTRING (13.407711981060054 65.46719686957779, 13.40457177358583 65.47933201518414, 13.411165723358671 65.48605686934103, 13.411466520615456 65.48648587001047, 13.411852016229156 65.48691885371821, 13.413326855320118 65.49186735576745, 13.400160811199486 65.51488568612314, 13.397219001368368 65.51647236123561, 13.396840083221674 65.51669020631725, 13.395994051446436 65.51891675194976, 13.395885583524912 65.52005595609513, 13.396100054170072 65.52159698725917, 13.396190206016923 65.52193609847275, 13.39610754525696 65.52336967764059, 13.396093868667709 65.52343381721742, 13.395888594880269 65.52364922428141, 13.395135330257835 65.52625064094408, 13.397781748367088 65.52906394866181, 13.397830269549537 65.52908609836709, 13.397968085324825 65.52917124914205, 13.402763025224989 65.53122435009196, 13.402826081861024 65.53125065370445, 13.403395039503433 65.53151333635931, 13.403856846733504 65.53168736217938, 13.404143925278097 65.53183083113406, 13.405627801043135 65.53280040957337, 13.406115046415657 65.53325698621515, 13.406158722181466 65.53330732477862, 13.406224214514145 65.53338283237315)"/>
    <s v="[2095082, 2095090, 2095098, 2095106, 2095114, 2095122, 2095130, 2095138, 2095146, 2095154, 1195056, 1195064, 1195072, 1195080, 1195088, 1195096, 1195104, 1195112, 1195120, 1195128, 1195136, 1195144, 1195152, 1195160, 1195168, 1195176, 1195184, 1195192]"/>
    <s v="[370594, 370563, 672861, 672883, 1812583, 1812590, 1812594, 1812599, 978097, 1121884, 1121885, 400582, 1121896, 400622, 1121905, 1121911, 1121917, 1121923, 996545, 1056528, 1121940, 995909, 400691, 1121955, 1121962, 1121968, 1121972, 429099]"/>
    <s v="#FIELD!"/>
    <s v="[1764767, 370594, 370563, 672861, 672883, 1812583, 1812590, 1812594, 1812599, 978097, 1121884, 1121885, 400582, 1121896, 400622, 1121905, 1121911, 1121917, 1121923, 996545, 1056528, 1121940, 995909, 400691, 1121955, 1121962, 1121968, 1121972]"/>
    <s v="[0.005, 0.054, 0.042, 0.066, 0.041, 0.025, 0.035, 0.115, 0.069, 0.08, 0.105, 0.1, 0.031, 0.0, 0.035, 0.023, 0.005, 0.03, 0.046, 0.034, 0.016, 0.016, 0.022, 0.022, 0.022, 0.022, 0.021, 0.02]"/>
    <s v="7940.900700677696"/>
    <s v="[-0.005, 0.054, 0.042, 0.066, 0.041, -0.025, -0.035, -0.115, -0.069, 0.08, -0.105, -0.1, -0.031, -0.0, -0.035, -0.023, -0.005, -0.03, 0.046, -0.034, -0.016, -0.016, -0.022, -0.022, -0.022, -0.022, -0.021, -0.02]"/>
  </r>
  <r>
    <x v="1103"/>
    <x v="1493"/>
    <x v="0"/>
    <n v="0"/>
    <s v="LINESTRING (15.391901307686027 67.26248166413653, 15.392403391728772 67.26265984376681, 15.394135104406496 67.26324549791221, 15.395424650733549 67.26346231493426, 15.395599058466985 67.26348499282133, 15.398210264898097 67.26369437268319, 15.39852258677347 67.26369314035371, 15.399512575100175 67.26360689767655, 15.40024169600404 67.26343611737484)"/>
    <s v="[431014, 431022, 431030, 431038, 431046, 431054, 431062, 431070]"/>
    <s v="[429184, 407218, 405962, 406054, 429215, 429225, 405975, 405920]"/>
    <s v="0.029404594036751802"/>
    <s v="[429183, 429184, 407218, 405962, 406054, 429215, 429225, 405975]"/>
    <s v="[0.037, 0.044, 0.034, 0.025, 0.029, 0.032, 0.019, 0.01]"/>
    <s v="407.08649237153503"/>
    <s v="[0.037, 0.044, 0.034, 0.025, 0.029, 0.032, 0.019, -0.01]"/>
  </r>
  <r>
    <x v="1103"/>
    <x v="1494"/>
    <x v="0"/>
    <n v="0"/>
    <s v="LINESTRING (15.391182928697233 67.26222022751104, 15.391259834887173 67.2622402950486, 15.391745770238554 67.262415502052, 15.391901307686027 67.26248166413653)"/>
    <s v="[488662, 488663, 488671]"/>
    <s v="[488886, 488887, 429183]"/>
    <s v="0.03259791710332371"/>
    <s v="[477756, 488886, 488887]"/>
    <s v="[0.72, 0.184, 0.381]"/>
    <s v="42.706895574893394"/>
    <s v="[0.72, -0.184, 0.381]"/>
  </r>
  <r>
    <x v="1103"/>
    <x v="1495"/>
    <x v="0"/>
    <n v="0"/>
    <s v="LINESTRING (15.39103877011394 67.2622988982905, 15.391124257707807 67.26231771606355, 15.391713903338763 67.26244045442148, 15.391901307686027 67.26248166413653)"/>
    <s v="[491012, 491019, 491029]"/>
    <s v="[491523, 491532, 429183]"/>
    <s v="0.0315938886637885"/>
    <s v="[477778, 491523, 491532]"/>
    <s v="[0.808, 0.036, 0.401]"/>
    <s v="42.41964245430585"/>
    <s v="[-0.808, 0.036, 0.401]"/>
  </r>
  <r>
    <x v="1104"/>
    <x v="1496"/>
    <x v="0"/>
    <n v="0"/>
    <s v="LINESTRING (15.395441511883105 67.27166248252975, 15.39548436202911 67.27163073882691, 15.395754197411007 67.27141373778858, 15.395800622603794 67.27137097864805, 15.396144541852308 67.27103640917464, 15.396216460308574 67.27096443359491, 15.396352014591741 67.27082742783612, 15.39749780280927 67.26967651581303, 15.399728025056195 67.26680651476877, 15.399802057945834 67.26669438119443, 15.400227679721805 67.2660460244709, 15.400355808895085 67.26584494985397)"/>
    <s v="[431078, 431086, 431094, 431095, 431103, 431113, 431121, 431127, 431135, 431143, 431151]"/>
    <s v="[429249, 429259, 429270, 429271, 429278, 429289, 429294, 429300, 429309, 429318, 429330]"/>
    <s v="0.0295281640556561"/>
    <s v="[429248, 429249, 429259, 429270, 429271, 429278, 429289, 429294, 429300, 429309, 429318]"/>
    <s v="[0.015, 0.017, 0.017, 0.019, 0.023, 0.02, 0.026, 0.035, 0.035, 0.026, 0.027]"/>
    <s v="683.5153410286421"/>
    <s v="[0.015, 0.017, 0.017, 0.019, 0.023, 0.02, 0.026, 0.035, 0.035, 0.026, 0.027]"/>
  </r>
  <r>
    <x v="1104"/>
    <x v="1497"/>
    <x v="111"/>
    <s v="[0, 0, 0, 0, 0, 0, 0, 0, 0, 0, 0, 0, 0, 0, 0, 0, 0, 0, 0, 0, 0, 0, 0, 0, 0, 0, 0, 0, 0, 0, 0, 0, 0, 0, 0, 0, 0, 1, 1, 1, 0, 0, 0, 0, 0, 0, 0, 0, 0, 0, 0, 0, 0]"/>
    <s v="LINESTRING (15.395441511883105 67.27166248252975, 15.39726395159494 67.27247586018305, 15.397727659547039 67.27280500754944, 15.398569968743386 67.27336583205624, 15.3987128009328 67.27345908251529, 15.39973489498008 67.27413228286534, 15.399838783285313 67.27420147225976, 15.402319049999633 67.2758378914082, 15.40603964913635 67.27761831797515, 15.410434727528877 67.28027125352902, 15.413048457616846 67.28179770318897, 15.414695133392767 67.28264392569983, 15.41497510201858 67.28278788466609, 15.41534292507021 67.2829773017565, 15.41785945833492 67.28426031001737, 15.41787357513673 67.28426740468645, 15.420207676649214 67.28550054545964, 15.42144166778288 67.28631011187801, 15.423040319387693 67.28742057758429, 15.424804601401945 67.28868276182922, 15.425360562818167 67.28908232606449, 15.426350060691842 67.28980083471585, 15.429698963767894 67.29180721742952, 15.431632389518063 67.29281641537115, 15.4353948400415 67.29476196197423, 15.437182473186459 67.29569202084505, 15.43868688018681 67.29654276436094, 15.44192585459075 67.29859401055779, 15.44969166620354 67.30281546216347, 15.449756969498194 67.30284873871116, 15.455051671462337 67.30553323716201, 15.456045542198718 67.3060508782178, 15.458018880652347 67.30724595309374, 15.460102048154996 67.30865227227027, 15.463127661010834 67.31067501055732, 15.47730754648631 67.31867633899941, 15.477770840215053 67.31878302900407, 15.484392774558971 67.31956750470356, 15.48459064555669 67.31958481355004, 15.484882737227721 67.31961032411883, 15.484996235623838 67.31962024403586, 15.499321117812347 67.32347319159143, 15.499532049407787 67.32358641505671, 15.523373527822457 67.33431052862866, 15.524260067827376 67.3346055571856, 15.524279109501695 67.33461067104561, 15.551771118891565 67.3390264982628, 15.556565578173633 67.34009768600214, 15.559129479917726 67.34062859337831, 15.559911073087514 67.34079252840728, 15.56213465455999 67.34123582769237, 15.572705826239128 67.3460147450275, 15.573063368551049 67.3461938670964, 15.576680920512333 67.34821769294518)"/>
    <s v="[479125, 479133, 479141, 479149, 479157, 479165, 479173, 479181, 479189, 479197, 479205, 479213, 479221, 479229, 479237, 479245, 479253, 479261, 479269, 479277, 479285, 479293, 479301, 479309, 479317, 479325, 479333, 479341, 479349, 479357, 479365, 479373, 479381, 479389, 479397, 479405, 479413, 479421, 479429, 479437, 479445, 479453, 479461, 1198608, 1198616, 1198624, 1198632, 1198640, 1198648, 1198656, 1198664, 1198672, 1160360]"/>
    <s v="[477974, 477986, 477995, 478007, 478017, 478028, 478038, 418300, 451421, 418339, 418349, 478088, 437947, 478108, 418381, 478127, 418392, 478146, 418431, 478163, 478172, 418495, 478189, 478198, 419477, 419466, 419454, 419442, 419430, 419418, 419395, 478267, 419386, 438035, 478296, 478304, 478315, 478327, 478338, 478346, 478356, 478366, 478377, 1124203, 1124209, 418770, 1124220, 1124227, 1124233, 1124238, 1124243, 1095055, 1095056]"/>
    <s v="0.004397299886514806"/>
    <s v="[429248, 477974, 477986, 477995, 478007, 478017, 478028, 478038, 418300, 451421, 418339, 418349, 478088, 437947, 478108, 418381, 478127, 418392, 478146, 418431, 478163, 478172, 418495, 478189, 478198, 419477, 419466, 419454, 419442, 419430, 419418, 419395, 478267, 419386, 438035, 478296, 478304, 478315, 478327, 478338, 478346, 478356, 478366, 478377, 1124203, 1124209, 418770, 1124220, 1124227, 1124233, 1124238, 1124243, 1095055]"/>
    <s v="[0.007, 0.002, 0.0, 0.001, 0.002, 0.003, 0.0, 0.0, 0.011, 0.017, 0.018, 0.019, 0.018, 0.017, 0.022, 0.017, 0.011, 0.006, 0.004, 0.0, 0.001, 0.001, 0.0, 0.0, 0.002, 0.002, 0.001, 0.006, 0.0, 0.002, 0.008, 0.008, 0.004, 0.007, 0.003, 0.002, 0.001, 0.008, 0.007, 0.008, 0.003, 0.011, 0.005, 0.018, 0.116, 0.025, 0.016, 0.005, 0.047, 0.069, 0.011, 0.021, 0.047]"/>
    <s v="11971.069478574625"/>
    <s v="[-0.007, -0.002, -0.0, 0.001, 0.002, 0.003, 0.0, 0.0, 0.011, 0.017, 0.018, 0.019, 0.018, 0.017, 0.022, 0.017, 0.011, 0.006, 0.004, -0.0, 0.001, 0.001, -0.0, 0.0, -0.002, -0.002, -0.001, -0.006, 0.0, 0.002, 0.008, 0.008, 0.004, 0.007, -0.003, 0.002, -0.001, -0.008, -0.007, -0.008, 0.003, 0.011, 0.005, 0.018, 0.116, 0.025, -0.016, 0.005, -0.047, -0.069, -0.011, -0.021, 0.047]"/>
  </r>
  <r>
    <x v="1104"/>
    <x v="1498"/>
    <x v="0"/>
    <n v="0"/>
    <s v="LINESTRING (15.385735500533658 67.26578340686439, 15.38561172393026 67.26595696519593, 15.385219675582931 67.2664848655028, 15.386527272992776 67.26934773806913, 15.386658540126126 67.26938389525972, 15.387404303364288 67.269577228636, 15.387719268902618 67.26965889650722, 15.3881756142767 67.26977780760369, 15.388270085619512 67.26980281264949, 15.389534905894473 67.27012691410957, 15.391238021029933 67.27056698286357, 15.392229400831964 67.27081983224924, 15.393660798747938 67.2711898888257, 15.393746352717388 67.27121211379554, 15.393934231306089 67.27126088202593, 15.394105900717113 67.27130555451008, 15.394840902484633 67.27149866466765, 15.395441511883105 67.27166248252975)"/>
    <s v="[478989, 478997, 479005, 479013, 479021, 479029, 479037, 479045, 479053, 479061, 479069, 479077, 479085, 479093, 479101, 479109, 479117]"/>
    <s v="[477808, 406160, 477827, 477837, 420113, 477858, 477864, 477873, 407340, 405769, 477905, 477915, 477926, 477936, 477947, 477956, 429248]"/>
    <s v="#FIELD!"/>
    <s v="[477807, 477808, 406160, 477827, 477837, 420113, 477858, 477864, 477873, 407340, 405769, 477905, 477915, 477926, 477936, 477947, 477956]"/>
    <s v="[0.015, 0.012, 0.0, 0.001, 0.001, 0.0, 0.0, 0.001, 0.003, 0.003, 0.004, 0.004, 0.002, 0.0, 0.001, 0.002, 0.005]"/>
    <s v="899.4518679169116"/>
    <s v="[-0.015, -0.012, -0.0, -0.001, -0.001, -0.0, 0.0, 0.001, 0.003, 0.003, 0.004, 0.004, 0.002, -0.0, -0.001, -0.002, -0.005]"/>
  </r>
  <r>
    <x v="1105"/>
    <x v="1499"/>
    <x v="0"/>
    <n v="0"/>
    <m/>
    <n v="431186"/>
    <n v="429372"/>
    <s v="#FIELD!"/>
    <n v="429341"/>
    <s v="0.03"/>
    <s v="5.7900287564120525"/>
    <s v="#FIELD!"/>
  </r>
  <r>
    <x v="1105"/>
    <x v="1500"/>
    <x v="0"/>
    <n v="0"/>
    <s v="LINESTRING (13.212599756169558 65.83480538111336, 13.212554456622634 65.83485884431086, 13.212419691392595 65.83490236058807)"/>
    <s v="[431256, 431159]"/>
    <s v="[429340, 429341]"/>
    <s v="#FIELD!"/>
    <s v="[429450, 429340]"/>
    <s v="[0.004, 0.011]"/>
    <s v="14.146511751527902"/>
    <s v="[0.004, -0.011]"/>
  </r>
  <r>
    <x v="1105"/>
    <x v="1501"/>
    <x v="0"/>
    <n v="0"/>
    <m/>
    <n v="590621"/>
    <n v="429341"/>
    <s v="#FIELD!"/>
    <n v="595726"/>
    <s v="0.045"/>
    <s v="44.08904499823907"/>
    <s v="#FIELD!"/>
  </r>
  <r>
    <x v="1106"/>
    <x v="1502"/>
    <x v="0"/>
    <n v="0"/>
    <s v="LINESTRING (13.212293848818135 65.8349085384396, 13.212164892498018 65.83488830320607, 13.212076038064154 65.83484498632174)"/>
    <s v="[431195, 431196]"/>
    <s v="[429380, 429381]"/>
    <s v="#FIELD!"/>
    <s v="[429372, 429380]"/>
    <s v="[0.035, 0.03]"/>
    <s v="12.616285030592135"/>
    <s v="[-0.035, -0.03]"/>
  </r>
  <r>
    <x v="1106"/>
    <x v="1503"/>
    <x v="0"/>
    <s v="[0, 1]"/>
    <s v="LINESTRING (13.212293848818135 65.8349085384396, 13.212115115258754 65.83502604029611, 13.211517856590293 65.83519416458036)"/>
    <s v="[590645, 590653]"/>
    <s v="[595745, 595737]"/>
    <s v="#FIELD!"/>
    <s v="[429372, 595745]"/>
    <s v="[0.03, 0.023]"/>
    <s v="49.38463130262231"/>
    <s v="[0.03, -0.023]"/>
  </r>
  <r>
    <x v="1107"/>
    <x v="1500"/>
    <x v="0"/>
    <n v="0"/>
    <s v="LINESTRING (13.212076038064154 65.83484498632174, 13.212053816720404 65.8347752627794, 13.21211258176262 65.83472404799228, 13.212224528720185 65.83469092762012, 13.212395761187082 65.83468702062866, 13.212506983159631 65.83471160787886, 13.2125884478983 65.83476295141102, 13.212599756169558 65.83480538111336)"/>
    <s v="[431199, 431200, 431205, 431223, 431232, 431240, 431248]"/>
    <s v="[429384, 429385, 429393, 429417, 429428, 429440, 429450]"/>
    <s v="0.014101189267786538"/>
    <s v="[429381, 429384, 429385, 429393, 429417, 429428, 429440]"/>
    <s v="[0.017, 0.0, 0.019, 0.033, 0.027, 0.023, 0.018]"/>
    <s v="45.646585691522965"/>
    <s v="[-0.017, 0.0, 0.019, 0.033, 0.027, 0.023, 0.018]"/>
  </r>
  <r>
    <x v="1107"/>
    <x v="1503"/>
    <x v="0"/>
    <s v="[0, 1]"/>
    <s v="LINESTRING (13.212076038064154 65.83484498632174, 13.211956050424288 65.83498307954694, 13.211517856590293 65.83519416458036)"/>
    <s v="[590629, 590637]"/>
    <s v="[595733, 595737]"/>
    <s v="0.0019574032663874892"/>
    <s v="[429381, 595733]"/>
    <s v="[0.038, 0.017]"/>
    <s v="47.40636428560677"/>
    <s v="[0.038, -0.017]"/>
  </r>
  <r>
    <x v="1108"/>
    <x v="1501"/>
    <x v="0"/>
    <n v="0"/>
    <m/>
    <n v="590615"/>
    <n v="429450"/>
    <s v="#FIELD!"/>
    <n v="595726"/>
    <s v="0.049"/>
    <s v="39.47992927877739"/>
    <s v="#FIELD!"/>
  </r>
  <r>
    <x v="1109"/>
    <x v="1504"/>
    <x v="0"/>
    <n v="0"/>
    <m/>
    <n v="431265"/>
    <n v="429470"/>
    <s v="0.007"/>
    <n v="429461"/>
    <s v="0.007"/>
    <s v="9.429100198682882"/>
    <s v="0.007"/>
  </r>
  <r>
    <x v="1109"/>
    <x v="1505"/>
    <x v="0"/>
    <n v="0"/>
    <s v="LINESTRING (13.202480809388936 65.84326543860377, 13.202532531330817 65.84332150915178, 13.20249323046255 65.84337920429796)"/>
    <s v="[431324, 431258]"/>
    <s v="[429460, 429461]"/>
    <s v="0.06100068925722562"/>
    <s v="[429532, 429460]"/>
    <s v="[0.063, 0.059]"/>
    <s v="13.358629375243432"/>
    <s v="[0.063, 0.059]"/>
  </r>
  <r>
    <x v="1109"/>
    <x v="1506"/>
    <x v="0"/>
    <n v="0"/>
    <s v="LINESTRING (13.20367254202906 65.84327402997603, 13.203533035003455 65.84329394266693, 13.202672268608506 65.84337511200457, 13.20249323046255 65.84337920429796)"/>
    <s v="[448700, 448708, 448730]"/>
    <s v="[447440, 447449, 429461]"/>
    <s v="#FIELD!"/>
    <s v="[447422, 447440, 447449]"/>
    <s v="[0.037, 0.046, 0.52]"/>
    <s v="55.273631624204924"/>
    <s v="[-0.037, -0.046, -0.52]"/>
  </r>
  <r>
    <x v="1110"/>
    <x v="1507"/>
    <x v="0"/>
    <n v="0"/>
    <s v="LINESTRING (13.202320489838076 65.84342169233233, 13.202186311767209 65.84341078431551, 13.20208529027907 65.84336741775907)"/>
    <s v="[431273, 431281]"/>
    <s v="[429479, 429490]"/>
    <s v="#FIELD!"/>
    <s v="[429470, 429479]"/>
    <s v="[0.039, 0.059]"/>
    <s v="12.929427975429078"/>
    <s v="[-0.039, -0.059]"/>
  </r>
  <r>
    <x v="1110"/>
    <x v="1508"/>
    <x v="0"/>
    <n v="0"/>
    <s v="LINESTRING (13.202320489838076 65.84342169233233, 13.202281960845525 65.84346676905139, 13.20082088485916 65.84473261958695, 13.200749279770372 65.84479198125644, 13.200473952257308 65.84501017249194, 13.200424142864465 65.84504919299124, 13.200157729970151 65.84526044323775, 13.200075486990954 65.84532589017573, 13.199313912010416 65.84598699576716, 13.199239522588213 65.84605441927438, 13.19918670172006 65.84609947093047, 13.19885706422121 65.84638450222383, 13.198762903525738 65.84646798226113, 13.198193108273752 65.84705294267958, 13.19814376877673 65.84710891231673, 13.197786603338725 65.84751626651496, 13.197725612193473 65.84758996769307, 13.197708302548541 65.84761092653336, 13.196538618520945 65.84906033442664, 13.19648155241586 65.84916668656754, 13.196353168067912 65.8495172544864, 13.19626073655791 65.84988875274503)"/>
    <s v="[448738, 448746, 448754, 448762, 448770, 448778, 448786, 448794, 448802, 448810, 448818, 448826, 448834, 448842, 448850, 448858, 448866, 448874, 448882, 448890, 448898]"/>
    <s v="[447486, 447493, 447500, 447507, 447515, 447522, 447531, 447536, 447542, 447550, 447559, 447566, 447573, 447581, 447591, 447599, 447607, 447614, 447621, 447630, 447638]"/>
    <s v="0.009077710806254542"/>
    <s v="[429470, 447486, 447493, 447500, 447507, 447515, 447522, 447531, 447536, 447542, 447550, 447559, 447566, 447573, 447581, 447591, 447599, 447607, 447614, 447621, 447630]"/>
    <s v="[0.662, 0.005, 0.02, 0.027, 0.03, 0.031, 0.033, 0.001, 0.003, 0.001, 0.004, 0.005, 0.024, 0.03, 0.025, 0.02, 0.016, 0.011, 0.011, 0.016, 0.019]"/>
    <s v="776.4052254034684"/>
    <s v="[0.662, -0.005, -0.02, -0.027, -0.03, -0.031, -0.033, -0.001, -0.003, -0.001, -0.004, -0.005, 0.024, 0.03, 0.025, 0.02, 0.016, 0.011, 0.011, 0.016, 0.019]"/>
  </r>
  <r>
    <x v="1111"/>
    <x v="1505"/>
    <x v="0"/>
    <n v="0"/>
    <s v="LINESTRING (13.20208529027907 65.84336741775907, 13.202073839349078 65.84329620358606, 13.202136927173552 65.84325548063673, 13.202240404386481 65.84323237328198, 13.202480809388936 65.84326543860377)"/>
    <s v="[431289, 431297, 431308, 431316]"/>
    <s v="[347774, 429508, 347934, 429532]"/>
    <s v="#FIELD!"/>
    <s v="[429490, 347774, 429508, 347934]"/>
    <s v="[0.06, 0.034, 0.019, 0.043]"/>
    <s v="30.774695097770422"/>
    <s v="[-0.06, -0.034, -0.019, 0.043]"/>
  </r>
  <r>
    <x v="1111"/>
    <x v="1508"/>
    <x v="0"/>
    <n v="0"/>
    <s v="LINESTRING (13.20208529027907 65.84336741775907, 13.202049226845837 65.84343049074948, 13.20067779935231 65.84470177157431, 13.200601610413159 65.84476120499635, 13.200276358036813 65.84501817275513, 13.200226496638038 65.84505887085626, 13.200016256904826 65.84523062771333, 13.199934531559977 65.8452958742402, 13.19914632329271 65.84595558919098, 13.199071289379837 65.84602282555122, 13.19902036321915 65.84606834815683, 13.198698641924318 65.84635700820691, 13.198634822223799 65.8464145578399, 13.19860535184835 65.84644118944004, 13.197972082063393 65.84708243730613, 13.197625104532767 65.84749319570726, 13.19756218997646 65.84756776270045, 13.197545817994769 65.84758815816947, 13.196366180561968 65.84903847087793, 13.196302116047429 65.84915149856802, 13.196239117426751 65.84928180617254, 13.196181253369918 65.84950912826227, 13.196178930117094 65.84959314931685, 13.19626073655791 65.84988875274503)"/>
    <s v="[448906, 448914, 448922, 448930, 448938, 448946, 448954, 448962, 448970, 448978, 448986, 448994, 449002, 449010, 449018, 449026, 449034, 449042, 449050, 449058, 449066, 449074, 449082]"/>
    <s v="[447643, 447650, 447659, 447668, 447674, 447681, 447688, 447698, 447705, 447714, 447722, 447731, 447738, 447748, 447756, 447766, 447772, 447778, 447786, 447793, 447804, 447814, 447638]"/>
    <s v="0.009912229483347612"/>
    <s v="[429490, 447643, 447650, 447659, 447668, 447674, 447681, 447688, 447698, 447705, 447714, 447722, 447731, 447738, 447748, 447756, 447766, 447772, 447778, 447786, 447793, 447804, 447814]"/>
    <s v="[0.461, 0.004, 0.027, 0.027, 0.031, 0.024, 0.0, 0.001, 0.028, 0.008, 0.01, 0.013, 0.003, 0.001, 0.001, 0.004, 0.005, 0.002, 0.001, 0.002, 0.026, 0.033, 0.212]"/>
    <s v="781.9867751230431"/>
    <s v="[0.461, -0.004, -0.027, -0.027, -0.031, -0.024, -0.0, -0.001, -0.028, -0.008, -0.01, -0.013, -0.003, -0.001, -0.001, -0.004, 0.005, -0.002, -0.001, 0.002, 0.026, 0.033, 0.212]"/>
  </r>
  <r>
    <x v="1112"/>
    <x v="1506"/>
    <x v="0"/>
    <n v="0"/>
    <s v="LINESTRING (13.20367254202906 65.84327402997603, 13.203529224531163 65.8432672700011, 13.20266683435408 65.84325884357027, 13.202480809388936 65.84326543860377)"/>
    <s v="[448684, 448685, 448692]"/>
    <s v="[447423, 447424, 429532]"/>
    <s v="#FIELD!"/>
    <s v="[447422, 447423, 447424]"/>
    <s v="[0.056, 0.059, 0.526]"/>
    <s v="54.511075381545304"/>
    <s v="[-0.056, -0.059, -0.526]"/>
  </r>
  <r>
    <x v="1113"/>
    <x v="1509"/>
    <x v="0"/>
    <n v="0"/>
    <s v="LINESTRING (14.132300458034829 66.30517346320538, 14.132363054354382 66.30516322555236, 14.132497078301965 66.30516280685829, 14.132614633096132 66.30518858397687, 14.132642636078534 66.30520110348874, 14.132694881484111 66.30524725941301)"/>
    <s v="[431340, 431348, 431356, 431364, 431372]"/>
    <s v="[429562, 429572, 420048, 429590, 429600]"/>
    <s v="0.017569307142211037"/>
    <s v="[429551, 429562, 429572, 420048, 429590]"/>
    <s v="[0.052, 0.048, 0.015, 0.007, 0.027]"/>
    <s v="22.57517296719466"/>
    <s v="[0.052, 0.048, 0.015, 0.007, -0.027]"/>
  </r>
  <r>
    <x v="1113"/>
    <x v="1510"/>
    <x v="0"/>
    <n v="0"/>
    <s v="LINESTRING (14.132165099555916 66.30527597495771, 14.13218816054948 66.30522290003914, 14.132300458034829 66.30517346320538)"/>
    <s v="[431404, 431332]"/>
    <s v="[429550, 429551]"/>
    <s v="0.06737519009712466"/>
    <s v="[429629, 429550]"/>
    <s v="[0.084, 0.054]"/>
    <s v="13.471055048659565"/>
    <s v="[0.084, 0.054]"/>
  </r>
  <r>
    <x v="1113"/>
    <x v="1511"/>
    <x v="0"/>
    <n v="0"/>
    <s v="LINESTRING (14.13119968799895 66.3050362376379, 14.13213745172446 66.3051529050987, 14.132300458034829 66.30517346320538)"/>
    <s v="[451918, 451926]"/>
    <s v="[450522, 429551]"/>
    <s v="0.04328954645133519"/>
    <s v="[450508, 450522]"/>
    <s v="[0.008, 0.338]"/>
    <s v="51.67921456707793"/>
    <s v="[-0.008, 0.338]"/>
  </r>
  <r>
    <x v="1114"/>
    <x v="1512"/>
    <x v="0"/>
    <n v="0"/>
    <s v="LINESTRING (14.132694881484111 66.30524725941301, 14.132685891794642 66.30530104091204, 14.132558473269516 66.3053621469229)"/>
    <s v="[431380, 431388]"/>
    <s v="[429610, 429621]"/>
    <s v="#FIELD!"/>
    <s v="[429600, 429610]"/>
    <s v="[0.079, 0.085]"/>
    <s v="14.899267456453906"/>
    <s v="[-0.079, -0.085]"/>
  </r>
  <r>
    <x v="1114"/>
    <x v="1513"/>
    <x v="0"/>
    <n v="0"/>
    <s v="LINESTRING (14.132694881484111 66.30524725941301, 14.132823714880542 66.30527193291688, 14.133020710241729 66.3053060838569, 14.1334603637343 66.30534106642456, 14.133938355489104 66.30534492227149, 14.134146395077167 66.30534138834214)"/>
    <s v="[451990, 451998, 452006, 452014, 452023]"/>
    <s v="[450603, 450611, 450619, 450627, 429650]"/>
    <s v="0.014647370566212771"/>
    <s v="[429600, 450603, 450611, 450619, 450627]"/>
    <s v="[0.541, 0.017, 0.004, 0.006, 0.488]"/>
    <s v="66.8929552370051"/>
    <s v="[-0.541, -0.017, -0.004, 0.006, 0.488]"/>
  </r>
  <r>
    <x v="1115"/>
    <x v="1510"/>
    <x v="0"/>
    <n v="0"/>
    <m/>
    <n v="431396"/>
    <n v="429629"/>
    <s v="#FIELD!"/>
    <n v="429621"/>
    <s v="0.003"/>
    <s v="23.543972894998205"/>
    <s v="#FIELD!"/>
  </r>
  <r>
    <x v="1115"/>
    <x v="1514"/>
    <x v="0"/>
    <n v="0"/>
    <s v="LINESTRING (14.132558473269516 66.3053621469229, 14.132742848045018 66.30536906078872, 14.132989267497901 66.3053759345478, 14.133237819944506 66.30538692895118, 14.133865720341756 66.3054492292381, 14.134005673329527 66.30547617077616)"/>
    <s v="[451934, 451942, 451950, 451958, 451966]"/>
    <s v="[450537, 450547, 450556, 450567, 429744]"/>
    <s v="0.013206192344564006"/>
    <s v="[429621, 450537, 450547, 450556, 450567]"/>
    <s v="[0.331, 0.001, 0.001, 0.007, 0.554]"/>
    <s v="66.63542644009046"/>
    <s v="[-0.331, -0.001, -0.001, -0.007, 0.554]"/>
  </r>
  <r>
    <x v="1116"/>
    <x v="1511"/>
    <x v="0"/>
    <n v="0"/>
    <s v="LINESTRING (14.13119968799895 66.3050362376379, 14.13203266530497 66.30524709091289, 14.132165099555916 66.30527597495771)"/>
    <s v="[451902, 451910]"/>
    <s v="[450509, 429629]"/>
    <s v="0.025802224836753783"/>
    <s v="[450508, 450509]"/>
    <s v="[0.02, 0.326]"/>
    <s v="51.03267627660224"/>
    <s v="[-0.02, 0.326]"/>
  </r>
  <r>
    <x v="1117"/>
    <x v="1515"/>
    <x v="0"/>
    <n v="0"/>
    <m/>
    <n v="431420"/>
    <n v="429658"/>
    <s v="0.022"/>
    <n v="429650"/>
    <s v="0.022"/>
    <s v="5.121962612136526"/>
    <s v="0.022"/>
  </r>
  <r>
    <x v="1117"/>
    <x v="1514"/>
    <x v="0"/>
    <n v="0"/>
    <s v="LINESTRING (14.134005673329527 66.30547617077616, 14.13400308790425 66.30542232476027, 14.134146395077167 66.30534138834214)"/>
    <s v="[431508, 431412]"/>
    <s v="[429649, 429650]"/>
    <s v="0.07662092051070896"/>
    <s v="[429744, 429649]"/>
    <s v="[0.091, 0.069]"/>
    <s v="17.33026629692914"/>
    <s v="[0.091, 0.069]"/>
  </r>
  <r>
    <x v="1118"/>
    <x v="1516"/>
    <x v="0"/>
    <n v="0"/>
    <s v="LINESTRING (14.134253952334122 66.3053259273609, 14.13443419605249 66.30533688948289, 14.134577250514765 66.30539232469259)"/>
    <s v="[431428, 431436]"/>
    <s v="[429668, 429678]"/>
    <s v="#FIELD!"/>
    <s v="[429658, 429668]"/>
    <s v="[0.005, 0.039]"/>
    <s v="17.08190478714984"/>
    <s v="[-0.005, -0.039]"/>
  </r>
  <r>
    <x v="1118"/>
    <x v="1517"/>
    <x v="0"/>
    <n v="0"/>
    <s v="LINESTRING (14.134253952334122 66.3053259273609, 14.134353350994424 66.3052766325825, 14.134551244185685 66.30518744039694, 14.136187917032426 66.30457104339297, 14.137470194955998 66.30428152149841, 14.137581745032415 66.30425997947441, 14.137757928741872 66.30422717709025, 14.138287961968826 66.30413620572301, 14.138326093105277 66.30413042375496, 14.138536359881062 66.30409928970946, 14.138613856381607 66.30408814518833, 14.140283439259168 66.30393369115397, 14.142721051338393 66.30406642951672)"/>
    <s v="[452079, 452087, 753298, 753306, 961065, 961073, 961081, 961089, 961097, 961105, 961113, 961121]"/>
    <s v="[450681, 450691, 734578, 734583, 926789, 926791, 926795, 926798, 926799, 926802, 926806, 926783]"/>
    <s v="0.03423661803959565"/>
    <s v="[429658, 450681, 450691, 734578, 734583, 926789, 926791, 926795, 926798, 926799, 926802, 926806]"/>
    <s v="[0.511, 0.06, 0.056, 0.026, 0.032, 0.033, 0.033, 0.039, 0.032, 0.029, 0.044, 0.045]"/>
    <s v="431.6823220155127"/>
    <s v="[-0.511, 0.06, 0.056, 0.026, 0.032, 0.033, 0.033, 0.039, 0.032, 0.029, 0.044, 0.045]"/>
  </r>
  <r>
    <x v="1119"/>
    <x v="1518"/>
    <x v="0"/>
    <n v="0"/>
    <m/>
    <n v="431444"/>
    <n v="429685"/>
    <s v="#FIELD!"/>
    <n v="429678"/>
    <s v="0.066"/>
    <s v="10.24851302207468"/>
    <s v="#FIELD!"/>
  </r>
  <r>
    <x v="1119"/>
    <x v="1517"/>
    <x v="0"/>
    <n v="0"/>
    <s v="LINESTRING (14.134577250514765 66.30539232469259, 14.134614501774058 66.30533632280292, 14.134704856391432 66.30523415969219, 14.134715464861438 66.30522528266835, 14.136313078194643 66.30463514320404, 14.137312274426094 66.30438525827927, 14.13782815917739 66.30429146456132, 14.138355446626056 66.3042097277982, 14.138405467276346 66.3042025492602, 14.138621736151132 66.3041719866664, 14.138684124583518 66.30416376402344, 14.14030728989217 66.30401431914404, 14.140532437345286 66.30400249151687, 14.142721051338393 66.30406642951672)"/>
    <s v="[452055, 452063, 452071, 753314, 753322, 961001, 961009, 961017, 961025, 961033, 961041, 961049, 961057]"/>
    <s v="[450656, 450664, 450673, 734589, 734596, 926740, 926746, 926752, 926760, 926764, 926771, 926777, 926783]"/>
    <s v="0.03601352668758093"/>
    <s v="[429678, 450656, 450664, 450673, 734589, 734596, 926740, 926746, 926752, 926760, 926764, 926771, 926777]"/>
    <s v="[0.47, 0.057, 0.033, 0.054, 0.027, 0.034, 0.032, 0.035, 0.031, 0.032, 0.044, 0.053, 0.048]"/>
    <s v="420.36147845884136"/>
    <s v="[-0.47, 0.057, 0.033, 0.054, 0.027, 0.034, 0.032, 0.035, 0.031, 0.032, 0.044, 0.053, 0.048]"/>
  </r>
  <r>
    <x v="1120"/>
    <x v="1519"/>
    <x v="0"/>
    <n v="0"/>
    <m/>
    <n v="452031"/>
    <n v="450640"/>
    <s v="#FIELD!"/>
    <n v="429685"/>
    <s v="0.489"/>
    <s v="6.245320888732"/>
    <s v="#FIELD!"/>
  </r>
  <r>
    <x v="1120"/>
    <x v="1520"/>
    <x v="0"/>
    <n v="0"/>
    <s v="LINESTRING (14.134596463751304 66.3054821509633, 14.134523345158383 66.30553378130074, 14.134307993185006 66.30557026484618)"/>
    <s v="[431452, 431460]"/>
    <s v="[429693, 429704]"/>
    <s v="#FIELD!"/>
    <s v="[429685, 429693]"/>
    <s v="[0.067, 0.047]"/>
    <s v="17.309004500094012"/>
    <s v="[-0.067, -0.047]"/>
  </r>
  <r>
    <x v="1121"/>
    <x v="1521"/>
    <x v="0"/>
    <n v="0"/>
    <m/>
    <n v="452273"/>
    <n v="450862"/>
    <s v="#FIELD!"/>
    <n v="429704"/>
    <s v="0.297"/>
    <s v="9.805281484754252"/>
    <s v="#FIELD!"/>
  </r>
  <r>
    <x v="1121"/>
    <x v="1514"/>
    <x v="0"/>
    <n v="0"/>
    <s v="LINESTRING (14.134307993185006 66.30557026484618, 14.13426647691255 66.30556933393382, 14.134152085943619 66.30555456631686, 14.134057728223738 66.30551952592221, 14.134033691671089 66.30550512670567, 14.134005673329527 66.30547617077616)"/>
    <s v="[431468, 431476, 431484, 431492, 431500]"/>
    <s v="[429712, 429721, 429731, 429735, 429744]"/>
    <s v="0.030598077593117765"/>
    <s v="[429704, 429712, 429721, 429731, 429735]"/>
    <s v="[0.019, 0.013, 0.034, 0.036, 0.076]"/>
    <s v="18.40756882048492"/>
    <s v="[-0.019, 0.013, 0.034, 0.036, 0.076]"/>
  </r>
  <r>
    <x v="1122"/>
    <x v="1522"/>
    <x v="0"/>
    <n v="0"/>
    <s v="LINESTRING (14.15110666369761 66.30818666292915, 14.151184777119258 66.30818520514443, 14.15136435309748 66.30821677925731, 14.151462495223827 66.3082828096245, 14.151470345722414 66.3083152410327)"/>
    <s v="[431620, 431628, 431636, 431644]"/>
    <s v="[429881, 429889, 429898, 429906]"/>
    <s v="#FIELD!"/>
    <s v="[429873, 429881, 429889, 429898]"/>
    <s v="[0.002, 0.001, 0.0, 0.001]"/>
    <s v="24.50164357004118"/>
    <s v="[-0.002, -0.001, -0.0, 0.001]"/>
  </r>
  <r>
    <x v="1122"/>
    <x v="1523"/>
    <x v="0"/>
    <n v="0"/>
    <s v="LINESTRING (14.150846067573138 66.3083081555243, 14.150922408811608 66.30822701766458, 14.15110666369761 66.30818666292915)"/>
    <s v="[431700, 431612]"/>
    <s v="[429872, 429873]"/>
    <s v="#FIELD!"/>
    <s v="[429961, 429872]"/>
    <s v="[0.005, 0.004]"/>
    <s v="19.077499657814762"/>
    <s v="[-0.005, -0.004]"/>
  </r>
  <r>
    <x v="1122"/>
    <x v="1524"/>
    <x v="0"/>
    <n v="0"/>
    <m/>
    <n v="961234"/>
    <n v="429873"/>
    <s v="0.001"/>
    <n v="926858"/>
    <s v="0.001"/>
    <s v="54.790873884285"/>
    <s v="0.001"/>
  </r>
  <r>
    <x v="1123"/>
    <x v="1525"/>
    <x v="0"/>
    <n v="0"/>
    <m/>
    <n v="961258"/>
    <n v="926875"/>
    <s v="0.007"/>
    <n v="429906"/>
    <s v="0.007"/>
    <s v="48.684996720093885"/>
    <s v="0.007"/>
  </r>
  <r>
    <x v="1123"/>
    <x v="1526"/>
    <x v="0"/>
    <n v="0"/>
    <s v="LINESTRING (14.151470345722414 66.3083152410327, 14.15138737642785 66.30839454860983, 14.151200868146692 66.30843489138414)"/>
    <s v="[431652, 431660]"/>
    <s v="[429914, 429922]"/>
    <s v="0.004492450848065873"/>
    <s v="[429906, 429914]"/>
    <s v="[0.003, 0.006]"/>
    <s v="19.086444795233323"/>
    <s v="[0.003, 0.006]"/>
  </r>
  <r>
    <x v="1124"/>
    <x v="1525"/>
    <x v="0"/>
    <n v="0"/>
    <m/>
    <n v="961266"/>
    <n v="926875"/>
    <s v="0.006"/>
    <n v="429922"/>
    <s v="0.006"/>
    <s v="47.33861372122644"/>
    <s v="0.006"/>
  </r>
  <r>
    <x v="1124"/>
    <x v="1523"/>
    <x v="0"/>
    <n v="0"/>
    <s v="LINESTRING (14.151200868146692 66.30843489138414, 14.15113621497236 66.30843534601367, 14.150954299555872 66.3084056429736, 14.150864563805207 66.3083549104183, 14.150846067573138 66.3083081555243)"/>
    <s v="[431668, 431676, 431684, 431692]"/>
    <s v="[429933, 429944, 429954, 429961]"/>
    <s v="0.00124733879803984"/>
    <s v="[429922, 429933, 429944, 429954]"/>
    <s v="[0.006, 0.004, 0.001, 0.003]"/>
    <s v="23.920372198267"/>
    <s v="[0.006, 0.004, -0.001, -0.003]"/>
  </r>
  <r>
    <x v="1125"/>
    <x v="1524"/>
    <x v="0"/>
    <n v="0"/>
    <m/>
    <n v="961226"/>
    <n v="429961"/>
    <s v="0.003"/>
    <n v="926858"/>
    <s v="0.003"/>
    <s v="53.922869702822304"/>
    <s v="0.003"/>
  </r>
  <r>
    <x v="1126"/>
    <x v="1527"/>
    <x v="0"/>
    <n v="0"/>
    <s v="LINESTRING (14.15962541345697 66.31437418237759, 14.159917560274867 66.31437674720067, 14.16001617107934 66.31443012408855)"/>
    <s v="[431716, 431724]"/>
    <s v="[429993, 430004]"/>
    <s v="0.006835438127272555"/>
    <s v="[429982, 429993]"/>
    <s v="[0.01, 0.001]"/>
    <s v="21.08053097347547"/>
    <s v="[0.01, 0.001]"/>
  </r>
  <r>
    <x v="1126"/>
    <x v="1528"/>
    <x v="0"/>
    <n v="0"/>
    <s v="LINESTRING (14.15950547392076 66.31449115583898, 14.15951658970574 66.31442554168923, 14.15962541345697 66.31437418237759)"/>
    <s v="[431780, 431708]"/>
    <s v="[429981, 429982]"/>
    <s v="0.012038504362127514"/>
    <s v="[430053, 429981]"/>
    <s v="[0.009, 0.015]"/>
    <s v="14.852469924659616"/>
    <s v="[0.009, 0.015]"/>
  </r>
  <r>
    <x v="1126"/>
    <x v="1529"/>
    <x v="0"/>
    <n v="0"/>
    <m/>
    <n v="451565"/>
    <n v="429982"/>
    <s v="0.056"/>
    <n v="450262"/>
    <s v="0.056"/>
    <s v="49.52130854479087"/>
    <s v="0.056"/>
  </r>
  <r>
    <x v="1127"/>
    <x v="1530"/>
    <x v="0"/>
    <n v="0"/>
    <s v="LINESTRING (14.16001617107934 66.31443012408855, 14.160023567268246 66.31449459113207, 14.159927333552798 66.31455175174247)"/>
    <s v="[431732, 431740]"/>
    <s v="[430015, 430023]"/>
    <s v="#FIELD!"/>
    <s v="[430004, 430015]"/>
    <s v="[0.006, 0.011]"/>
    <s v="14.888418569312535"/>
    <s v="[-0.006, -0.011]"/>
  </r>
  <r>
    <x v="1127"/>
    <x v="1531"/>
    <x v="0"/>
    <n v="0"/>
    <s v="LINESTRING (14.16001617107934 66.31443012408855, 14.160082412364993 66.31444069175106, 14.160371248491074 66.31448098256266, 14.160381993057891 66.314481910826, 14.160951089888743 66.31449258944971)"/>
    <s v="[451574, 451582, 451590, 451598]"/>
    <s v="[450272, 450277, 450282, 450288]"/>
    <s v="#FIELD!"/>
    <s v="[430004, 450272, 450277, 450282]"/>
    <s v="[0.846, 0.006, 0.016, 0.016]"/>
    <s v="42.93098530830132"/>
    <s v="[-0.846, 0.006, 0.016, 0.016]"/>
  </r>
  <r>
    <x v="1128"/>
    <x v="1528"/>
    <x v="0"/>
    <n v="0"/>
    <s v="LINESTRING (14.159927333552798 66.31455175174247, 14.159837511815994 66.31456921044347, 14.159648096361657 66.31456271451187, 14.159529151727053 66.31451631532532, 14.15950547392076 66.31449115583898)"/>
    <s v="[431748, 431756, 431764, 431772]"/>
    <s v="[430033, 430037, 430045, 430053]"/>
    <s v="#FIELD!"/>
    <s v="[430023, 430033, 430037, 430045]"/>
    <s v="[0.015, 0.012, 0.004, 0.006]"/>
    <s v="23.421024029993564"/>
    <s v="[-0.015, -0.012, -0.004, 0.006]"/>
  </r>
  <r>
    <x v="1128"/>
    <x v="1531"/>
    <x v="0"/>
    <n v="0"/>
    <s v="LINESTRING (14.159927333552798 66.31455175174247, 14.16001031719533 66.31455200245657, 14.160366244856663 66.31454534677285, 14.160951089888743 66.31449258944971)"/>
    <s v="[451606, 451614, 451622]"/>
    <s v="[450293, 450297, 450288]"/>
    <s v="#FIELD!"/>
    <s v="[430023, 450293, 450297]"/>
    <s v="[0.803, 0.018, 0.023]"/>
    <s v="46.65290598938206"/>
    <s v="[-0.803, 0.018, 0.023]"/>
  </r>
  <r>
    <x v="1129"/>
    <x v="1529"/>
    <x v="0"/>
    <n v="0"/>
    <m/>
    <n v="451557"/>
    <n v="430053"/>
    <s v="0.051"/>
    <n v="450262"/>
    <s v="0.051"/>
    <s v="50.7644946105155"/>
    <s v="0.051"/>
  </r>
  <r>
    <x v="1130"/>
    <x v="1532"/>
    <x v="0"/>
    <n v="0"/>
    <m/>
    <n v="431788"/>
    <n v="430066"/>
    <s v="0.007"/>
    <n v="430065"/>
    <s v="0.007"/>
    <s v="8.763617974305937"/>
    <s v="0.007"/>
  </r>
  <r>
    <x v="1130"/>
    <x v="1533"/>
    <x v="0"/>
    <n v="0"/>
    <s v="LINESTRING (14.170904081155326 66.32010456121472, 14.171026598556857 66.3200433081598, 14.171256792349636 66.32001223570802)"/>
    <s v="[431868, 431876]"/>
    <s v="[430144, 430065]"/>
    <s v="0.0017557252491338018"/>
    <s v="[430135, 430144]"/>
    <s v="[0.006, 0.008]"/>
    <s v="19.64453720669607"/>
    <s v="[-0.006, 0.008]"/>
  </r>
  <r>
    <x v="1130"/>
    <x v="1534"/>
    <x v="0"/>
    <n v="0"/>
    <s v="LINESTRING (14.169826137324046 66.319487111915, 14.170745932630421 66.3198732402597, 14.171256792349636 66.32001223570802)"/>
    <s v="[1029124, 1029132]"/>
    <s v="[983378, 430065]"/>
    <s v="#FIELD!"/>
    <s v="[490716, 983378]"/>
    <s v="[0.048, 0.007]"/>
    <s v="88.04578709381663"/>
    <s v="[-0.048, 0.007]"/>
  </r>
  <r>
    <x v="1131"/>
    <x v="1535"/>
    <x v="0"/>
    <n v="0"/>
    <s v="LINESTRING (14.171446507548563 66.32003127951315, 14.1715601868538 66.3200689386086, 14.171643534676484 66.32013999090323)"/>
    <s v="[431796, 431804]"/>
    <s v="[430072, 430080]"/>
    <s v="#FIELD!"/>
    <s v="[430066, 430072]"/>
    <s v="[0.002, 0.003]"/>
    <s v="15.358323991209476"/>
    <s v="[0.002, -0.003]"/>
  </r>
  <r>
    <x v="1131"/>
    <x v="663"/>
    <x v="0"/>
    <s v="[0, 0, 1]"/>
    <s v="LINESTRING (14.171446507548563 66.32003127951315, 14.17154106157839 66.32000530702959, 14.171645701664008 66.31997594299119, 14.172097454202287 66.3198946937514)"/>
    <s v="[1378830, 1378838, 1378846]"/>
    <s v="[1269519, 1269521, 984851]"/>
    <s v="#FIELD!"/>
    <s v="[430066, 1269519, 1269521]"/>
    <s v="[0.09, 0.003, 0.001]"/>
    <s v="33.36830761420102"/>
    <s v="[-0.09, 0.003, -0.001]"/>
  </r>
  <r>
    <x v="1132"/>
    <x v="1536"/>
    <x v="0"/>
    <n v="0"/>
    <m/>
    <n v="431812"/>
    <n v="430088"/>
    <s v="#FIELD!"/>
    <n v="430080"/>
    <s v="0.007"/>
    <s v="8.762083085660583"/>
    <s v="#FIELD!"/>
  </r>
  <r>
    <x v="1132"/>
    <x v="663"/>
    <x v="0"/>
    <s v="[0, 0, 1]"/>
    <s v="LINESTRING (14.171643534676484 66.32013999090323, 14.17173323077763 66.32008942748502, 14.171817064533052 66.32004408135143, 14.172097454202287 66.3198946937514)"/>
    <s v="[1378806, 1378814, 1378822]"/>
    <s v="[1269513, 1269516, 984851]"/>
    <s v="#FIELD!"/>
    <s v="[430080, 1269513, 1269516]"/>
    <s v="[0.117, 0.015, 0.013]"/>
    <s v="34.08285414377833"/>
    <s v="[-0.117, 0.015, 0.013]"/>
  </r>
  <r>
    <x v="1133"/>
    <x v="1537"/>
    <x v="0"/>
    <n v="0"/>
    <m/>
    <n v="1029140"/>
    <n v="490718"/>
    <s v="#FIELD!"/>
    <n v="430088"/>
    <s v="0.031"/>
    <s v="54.10539337272338"/>
    <s v="#FIELD!"/>
  </r>
  <r>
    <x v="1133"/>
    <x v="1538"/>
    <x v="0"/>
    <n v="0"/>
    <s v="LINESTRING (14.171630686795693 66.32021842628524, 14.171558914467253 66.32027017067433, 14.171352589742247 66.32032173682494)"/>
    <s v="[431820, 431828]"/>
    <s v="[430094, 430101]"/>
    <s v="#FIELD!"/>
    <s v="[430088, 430094]"/>
    <s v="[0.006, 0.003]"/>
    <s v="17.492092338400226"/>
    <s v="[-0.006, -0.003]"/>
  </r>
  <r>
    <x v="1134"/>
    <x v="1539"/>
    <x v="0"/>
    <n v="0"/>
    <m/>
    <n v="431836"/>
    <n v="430110"/>
    <s v="#FIELD!"/>
    <n v="430101"/>
    <s v="0.001"/>
    <s v="5.870485499509102"/>
    <s v="#FIELD!"/>
  </r>
  <r>
    <x v="1134"/>
    <x v="1537"/>
    <x v="0"/>
    <n v="0"/>
    <m/>
    <n v="490262"/>
    <n v="490718"/>
    <s v="#FIELD!"/>
    <n v="430101"/>
    <s v="0.028"/>
    <s v="58.96579039174275"/>
    <s v="#FIELD!"/>
  </r>
  <r>
    <x v="1135"/>
    <x v="1540"/>
    <x v="0"/>
    <n v="0"/>
    <s v="LINESTRING (14.17122192649877 66.3203254371181, 14.1710805557519 66.3203087141336, 14.170891098715341 66.32022085708608)"/>
    <s v="[431844, 431852]"/>
    <s v="[430118, 430127]"/>
    <s v="0.0033325365914666076"/>
    <s v="[430110, 430118]"/>
    <s v="[0.0, 0.005]"/>
    <s v="19.803710366284776"/>
    <s v="[0.0, 0.005]"/>
  </r>
  <r>
    <x v="1135"/>
    <x v="1541"/>
    <x v="0"/>
    <n v="0"/>
    <s v="LINESTRING (14.17122192649877 66.3203254371181, 14.171170301269948 66.32035760437991, 14.17093844687214 66.3205066568195, 14.17086802994698 66.32056866295731, 14.170790236666017 66.32063238823932, 14.170197003472472 66.32113525662696, 14.170179371220952 66.32115158110193, 14.170112256283254 66.32121349685568, 14.168663188369651 66.32217106232959)"/>
    <s v="[488777, 488782, 488785, 488793, 488801, 488839, 488840, 488846]"/>
    <s v="[489022, 489028, 489031, 489043, 489049, 489097, 489098, 489103]"/>
    <s v="#FIELD!"/>
    <s v="[430110, 489022, 489028, 489031, 489043, 489049, 489097, 489098]"/>
    <s v="[0.284, 0.02, 0.023, 0.022, 0.027, 0.017, 0.028, 0.031]"/>
    <s v="240.2139419729781"/>
    <s v="[-0.284, -0.02, -0.023, -0.022, -0.027, -0.017, -0.028, -0.031]"/>
  </r>
  <r>
    <x v="1136"/>
    <x v="1533"/>
    <x v="0"/>
    <n v="0"/>
    <m/>
    <n v="431860"/>
    <n v="430135"/>
    <s v="#FIELD!"/>
    <n v="430127"/>
    <s v="0.001"/>
    <s v="13.21339952025981"/>
    <s v="#FIELD!"/>
  </r>
  <r>
    <x v="1136"/>
    <x v="1541"/>
    <x v="0"/>
    <n v="0"/>
    <s v="LINESTRING (14.170891098715341 66.32022085708608, 14.170869120205593 66.3202790301562, 14.170771005169557 66.3204765880621, 14.170623108899958 66.32059210204848, 14.170031327979554 66.32107658524068, 14.170015046193585 66.32109255802631, 14.169984817542126 66.32112272167535, 14.169947737588032 66.32115965841393, 14.16986368205354 66.32124328531773, 14.168663188369651 66.32217106232959)"/>
    <s v="[491098, 491103, 491107, 491110, 491113, 491128, 491129, 491140, 491158]"/>
    <s v="[491609, 491616, 491620, 491623, 491626, 491645, 491646, 491660, 489103]"/>
    <s v="#FIELD!"/>
    <s v="[430127, 491609, 491616, 491620, 491623, 491626, 491645, 491646, 491660]"/>
    <s v="[0.132, 0.028, 0.022, 0.027, 0.019, 0.029, 0.033, 0.029, 0.033]"/>
    <s v="241.5782388481009"/>
    <s v="[-0.132, -0.028, -0.022, -0.027, -0.019, -0.029, -0.033, -0.029, -0.033]"/>
  </r>
  <r>
    <x v="1137"/>
    <x v="1534"/>
    <x v="0"/>
    <n v="0"/>
    <s v="LINESTRING (14.169826137324046 66.319487111915, 14.170600362510317 66.3199365862629, 14.170904081155326 66.32010456121472)"/>
    <s v="[490260, 490261]"/>
    <s v="[490717, 430135]"/>
    <s v="#FIELD!"/>
    <s v="[490716, 490717]"/>
    <s v="[0.036, 0.02]"/>
    <s v="85.35781531882604"/>
    <s v="[-0.036, -0.02]"/>
  </r>
  <r>
    <x v="1138"/>
    <x v="1542"/>
    <x v="0"/>
    <n v="0"/>
    <s v="LINESTRING (14.174130720874576 66.32187903849905, 14.174202011309577 66.32189700169272, 14.17426913976143 66.3219458956662, 14.174261665194335 66.32199071527509, 14.174237540474898 66.32201113279925)"/>
    <s v="[431892, 431900, 431908, 431916]"/>
    <s v="[430167, 430178, 430184, 430192]"/>
    <s v="#FIELD!"/>
    <s v="[430159, 430167, 430178, 430184]"/>
    <s v="[0.045, 0.058, 0.049, 0.045]"/>
    <s v="17.522674582485234"/>
    <s v="[-0.045, -0.058, -0.049, -0.045]"/>
  </r>
  <r>
    <x v="1138"/>
    <x v="1543"/>
    <x v="0"/>
    <n v="0"/>
    <s v="LINESTRING (14.173846442526202 66.32192570829412, 14.173965607809706 66.32187959756978, 14.174130720874576 66.32187903849905)"/>
    <s v="[431972, 431884]"/>
    <s v="[430158, 430159]"/>
    <s v="0.009519503708080933"/>
    <s v="[430248, 430158]"/>
    <s v="[0.033, 0.014]"/>
    <s v="14.811752930780024"/>
    <s v="[0.033, -0.014]"/>
  </r>
  <r>
    <x v="1138"/>
    <x v="1544"/>
    <x v="0"/>
    <n v="0"/>
    <m/>
    <n v="451718"/>
    <n v="430159"/>
    <s v="#FIELD!"/>
    <n v="450370"/>
    <s v="0.143"/>
    <s v="38.73245229726331"/>
    <s v="#FIELD!"/>
  </r>
  <r>
    <x v="1139"/>
    <x v="1545"/>
    <x v="0"/>
    <n v="0"/>
    <m/>
    <n v="451734"/>
    <n v="450383"/>
    <s v="0.176"/>
    <n v="430192"/>
    <s v="0.176"/>
    <s v="30.158165028146588"/>
    <s v="0.176"/>
  </r>
  <r>
    <x v="1139"/>
    <x v="1546"/>
    <x v="0"/>
    <n v="0"/>
    <s v="LINESTRING (14.174237540474898 66.32201113279925, 14.174129712126128 66.32204635823969, 14.174000356746372 66.32205006784335)"/>
    <s v="[431924, 431932]"/>
    <s v="[430202, 430210]"/>
    <s v="#FIELD!"/>
    <s v="[430192, 430202]"/>
    <s v="[0.031, 0.012]"/>
    <s v="12.038129048438268"/>
    <s v="[-0.031, 0.012]"/>
  </r>
  <r>
    <x v="1140"/>
    <x v="1545"/>
    <x v="0"/>
    <n v="0"/>
    <m/>
    <n v="451742"/>
    <n v="450383"/>
    <s v="0.185"/>
    <n v="430210"/>
    <s v="0.185"/>
    <s v="29.48391086721123"/>
    <s v="0.185"/>
  </r>
  <r>
    <x v="1140"/>
    <x v="1543"/>
    <x v="0"/>
    <n v="0"/>
    <s v="LINESTRING (14.174000356746372 66.32205006784335, 14.173901101870916 66.32202944397999, 14.173838860685784 66.32199211360047, 14.173829910031218 66.32194733240699, 14.173846442526202 66.32192570829412)"/>
    <s v="[431940, 431948, 431956, 431964]"/>
    <s v="[430220, 430228, 430240, 430248]"/>
    <s v="0.04928493065166677"/>
    <s v="[430210, 430220, 430228, 430240]"/>
    <s v="[0.037, 0.059, 0.053, 0.047]"/>
    <s v="17.546109765207287"/>
    <s v="[0.037, 0.059, 0.053, 0.047]"/>
  </r>
  <r>
    <x v="1141"/>
    <x v="1544"/>
    <x v="0"/>
    <n v="0"/>
    <m/>
    <n v="451726"/>
    <n v="430248"/>
    <s v="#FIELD!"/>
    <n v="450370"/>
    <s v="0.14"/>
    <s v="40.73623945199629"/>
    <s v="#FIELD!"/>
  </r>
  <r>
    <x v="1142"/>
    <x v="1547"/>
    <x v="0"/>
    <n v="0"/>
    <m/>
    <n v="431980"/>
    <n v="430263"/>
    <s v="0.041"/>
    <n v="430262"/>
    <s v="0.041"/>
    <s v="6.937903141774887"/>
    <s v="0.041"/>
  </r>
  <r>
    <x v="1142"/>
    <x v="1548"/>
    <x v="0"/>
    <n v="0"/>
    <s v="LINESTRING (14.175739080205677 66.3239758546865, 14.17583555318785 66.3239127552386, 14.176013608270605 66.32389360120843)"/>
    <s v="[432036, 432044]"/>
    <s v="[430312, 430262]"/>
    <s v="#FIELD!"/>
    <s v="[430307, 430312]"/>
    <s v="[0.032, 0.005]"/>
    <s v="16.515513530995626"/>
    <s v="[-0.032, 0.005]"/>
  </r>
  <r>
    <x v="1142"/>
    <x v="1549"/>
    <x v="0"/>
    <n v="0"/>
    <m/>
    <n v="1029148"/>
    <n v="430262"/>
    <s v="#FIELD!"/>
    <n v="490719"/>
    <s v="0.135"/>
    <s v="33.99383620580127"/>
    <s v="#FIELD!"/>
  </r>
  <r>
    <x v="1143"/>
    <x v="1368"/>
    <x v="0"/>
    <n v="0"/>
    <m/>
    <n v="1029156"/>
    <n v="475631"/>
    <s v="0.088"/>
    <n v="430263"/>
    <s v="0.088"/>
    <s v="36.34578157264092"/>
    <s v="0.088"/>
  </r>
  <r>
    <x v="1143"/>
    <x v="1550"/>
    <x v="0"/>
    <n v="0"/>
    <s v="LINESTRING (14.176154021544392 66.32391982469463, 14.176232618174287 66.32398681190031, 14.176174740417272 66.32405720367959)"/>
    <s v="[431988, 431996]"/>
    <s v="[430270, 430277]"/>
    <s v="0.04799608076692005"/>
    <s v="[430263, 430270]"/>
    <s v="[0.056, 0.04]"/>
    <s v="16.520004070638826"/>
    <s v="[0.056, 0.04]"/>
  </r>
  <r>
    <x v="1144"/>
    <x v="1368"/>
    <x v="0"/>
    <n v="0"/>
    <m/>
    <n v="490264"/>
    <n v="475631"/>
    <s v="0.064"/>
    <n v="430277"/>
    <s v="0.064"/>
    <s v="38.069799053755546"/>
    <s v="0.064"/>
  </r>
  <r>
    <x v="1144"/>
    <x v="1548"/>
    <x v="0"/>
    <n v="0"/>
    <s v="LINESTRING (14.176174740417272 66.32405720367959, 14.176135958515014 66.32407198135215, 14.176012453427857 66.3240923215654, 14.17579926892391 66.32405970140695, 14.175739080205677 66.3239758546865)"/>
    <s v="[432004, 432012, 432020, 432028]"/>
    <s v="[430287, 430294, 420059, 430307]"/>
    <s v="#FIELD!"/>
    <s v="[430277, 430287, 430294, 420059]"/>
    <s v="[0.01, 0.005, 0.036, 0.047]"/>
    <s v="28.874638553070213"/>
    <s v="[0.01, -0.005, -0.036, -0.047]"/>
  </r>
  <r>
    <x v="1145"/>
    <x v="1549"/>
    <x v="0"/>
    <n v="0"/>
    <m/>
    <n v="490263"/>
    <n v="430307"/>
    <s v="#FIELD!"/>
    <n v="490719"/>
    <s v="0.127"/>
    <s v="34.406274322587144"/>
    <s v="#FIELD!"/>
  </r>
  <r>
    <x v="1146"/>
    <x v="1551"/>
    <x v="0"/>
    <n v="0"/>
    <m/>
    <n v="432156"/>
    <n v="430426"/>
    <s v="0.067"/>
    <n v="430415"/>
    <s v="0.067"/>
    <s v="8.340349752977621"/>
    <s v="0.067"/>
  </r>
  <r>
    <x v="1146"/>
    <x v="1552"/>
    <x v="0"/>
    <n v="0"/>
    <s v="LINESTRING (15.392161958154377 67.25881141423754, 15.392163431225717 67.2588576614955, 15.392124640064937 67.25889552119968)"/>
    <s v="[432236, 432148]"/>
    <s v="[430414, 430415]"/>
    <s v="0.08027771445652516"/>
    <s v="[430493, 430414]"/>
    <s v="[0.077, 0.084]"/>
    <s v="9.696368513997825"/>
    <s v="[0.077, 0.084]"/>
  </r>
  <r>
    <x v="1146"/>
    <x v="1553"/>
    <x v="0"/>
    <n v="0"/>
    <s v="LINESTRING (15.393094467972466 67.25891826635404, 15.392181741005341 67.25889295974311, 15.392124640064937 67.25889552119968)"/>
    <s v="[1390885, 1390893]"/>
    <s v="[1275801, 430415]"/>
    <s v="0.04774461668424073"/>
    <s v="[598298, 1275801]"/>
    <s v="[0.015, 0.569]"/>
    <s v="41.95430340917806"/>
    <s v="[0.015, 0.569]"/>
  </r>
  <r>
    <x v="1147"/>
    <x v="1554"/>
    <x v="0"/>
    <n v="0"/>
    <s v="LINESTRING (15.391967647375543 67.2589391862555, 15.391812415372197 67.25894014824318, 15.391677411630207 67.25890639053223)"/>
    <s v="[432164, 432172]"/>
    <s v="[430433, 430440]"/>
    <s v="0.013618048194736991"/>
    <s v="[430426, 430433]"/>
    <s v="[0.036, 0.008]"/>
    <s v="13.6312897615332"/>
    <s v="[0.036, -0.008]"/>
  </r>
  <r>
    <x v="1147"/>
    <x v="1555"/>
    <x v="0"/>
    <n v="0"/>
    <s v="LINESTRING (15.391967647375543 67.2589391862555, 15.39191858735701 67.25896715880043, 15.391624060468931 67.2594735331645, 15.391633563856747 67.25997290433247, 15.391652210221187 67.2603788813579)"/>
    <s v="[1390807, 1390825, 1390832, 1390835]"/>
    <s v="[1275751, 1275763, 1275769, 1275772]"/>
    <s v="0.036838086213933495"/>
    <s v="[430426, 1275751, 1275763, 1275769]"/>
    <s v="[0.355, 0.049, 0.044, 0.045]"/>
    <s v="163.0847023081849"/>
    <s v="[-0.355, 0.049, 0.044, 0.045]"/>
  </r>
  <r>
    <x v="1148"/>
    <x v="1552"/>
    <x v="0"/>
    <n v="0"/>
    <s v="LINESTRING (15.391677411630207 67.25890639053223, 15.391639943986755 67.25888324886566, 15.391617998564143 67.25881683249378, 15.391656791857946 67.2587790626108, 15.391802427869889 67.25873414282036, 15.391927216628654 67.25873005276513, 15.39202709632493 67.2587422776189, 15.392161958154377 67.25881141423754)"/>
    <s v="[432180, 432188, 432196, 432204, 432212, 432220, 432228]"/>
    <s v="[430447, 430453, 430462, 430471, 430476, 430484, 430493]"/>
    <s v="#FIELD!"/>
    <s v="[430440, 430447, 430453, 430462, 430471, 430476, 430484]"/>
    <s v="[0.056, 0.056, 0.079, 0.072, 0.04, 0.022, 0.034]"/>
    <s v="42.65220785004799"/>
    <s v="[-0.056, -0.056, -0.079, -0.072, -0.04, -0.022, 0.034]"/>
  </r>
  <r>
    <x v="1148"/>
    <x v="1555"/>
    <x v="0"/>
    <n v="0"/>
    <s v="LINESTRING (15.391677411630207 67.25890639053223, 15.39170048561959 67.25895242362641, 15.391508456979777 67.25947960095345, 15.391520770510775 67.25997800544862, 15.391652210221187 67.2603788813579)"/>
    <s v="[1390854, 1390862, 1390870, 1390878]"/>
    <s v="[1275784, 1275791, 1275796, 1275772]"/>
    <s v="0.035130203730457"/>
    <s v="[430440, 1275784, 1275791, 1275796]"/>
    <s v="[0.265, 0.048, 0.044, 0.042]"/>
    <s v="165.51710011633895"/>
    <s v="[-0.265, 0.048, 0.044, 0.042]"/>
  </r>
  <r>
    <x v="1149"/>
    <x v="1553"/>
    <x v="0"/>
    <n v="0"/>
    <s v="LINESTRING (15.393094467972466 67.25891826635404, 15.392209843163469 67.25882228587744, 15.392161958154377 67.25881141423754)"/>
    <s v="[1390907, 1390915]"/>
    <s v="[1275810, 430493]"/>
    <s v="0.029104876257393723"/>
    <s v="[598298, 1275810]"/>
    <s v="[0.005, 0.428]"/>
    <s v="42.02808635820868"/>
    <s v="[0.005, 0.428]"/>
  </r>
  <r>
    <x v="1150"/>
    <x v="1556"/>
    <x v="0"/>
    <n v="0"/>
    <m/>
    <n v="432244"/>
    <n v="430510"/>
    <s v="0.039"/>
    <n v="430509"/>
    <s v="0.039"/>
    <s v="12.83812429200657"/>
    <s v="0.039"/>
  </r>
  <r>
    <x v="1150"/>
    <x v="1489"/>
    <x v="0"/>
    <n v="0"/>
    <s v="LINESTRING (17.426995015714986 68.43833646466558, 17.42712589897471 68.43829647812608, 17.42726871873643 68.43829661490857)"/>
    <s v="[432300, 432308]"/>
    <s v="[430554, 430509]"/>
    <s v="0.12096024155809766"/>
    <s v="[430547, 430554]"/>
    <s v="[0.131, 0.109]"/>
    <s v="12.836930590341376"/>
    <s v="[0.131, 0.109]"/>
  </r>
  <r>
    <x v="1151"/>
    <x v="1557"/>
    <x v="0"/>
    <n v="0"/>
    <s v="LINESTRING (17.427424089866637 68.43838858742991, 17.427349296932697 68.43843970617199, 17.42715760353721 68.43846004049269)"/>
    <s v="[432252, 432260]"/>
    <s v="[430517, 430522]"/>
    <s v="#FIELD!"/>
    <s v="[430510, 430517]"/>
    <s v="[0.063, 0.104]"/>
    <s v="14.65659138384094"/>
    <s v="[-0.063, -0.104]"/>
  </r>
  <r>
    <x v="1151"/>
    <x v="1558"/>
    <x v="0"/>
    <n v="0"/>
    <s v="LINESTRING (17.427424089866637 68.43838858742991, 17.42750116727297 68.43842775718127, 17.427974993908627 68.43863124351702, 17.42819990485371 68.43874458067825)"/>
    <s v="[488384, 488392, 488410]"/>
    <s v="[488578, 488587, 488607]"/>
    <s v="0.04511080926787474"/>
    <s v="[430510, 488578, 488587]"/>
    <s v="[0.05, 0.049, 0.036]"/>
    <s v="50.91542660417778"/>
    <s v="[0.05, 0.049, 0.036]"/>
  </r>
  <r>
    <x v="1152"/>
    <x v="1489"/>
    <x v="0"/>
    <n v="0"/>
    <s v="LINESTRING (17.42715760353721 68.43846004049269, 17.427102207152107 68.43845378962251, 17.4269798057224 68.43840399564382, 17.42697398971161 68.43835632545881, 17.426995015714986 68.43833646466558)"/>
    <s v="[432268, 432276, 432284, 432292]"/>
    <s v="[430530, 430536, 430541, 430547]"/>
    <s v="#FIELD!"/>
    <s v="[430522, 430530, 430536, 430541]"/>
    <s v="[0.102, 0.106, 0.008, 0.12]"/>
    <s v="17.56030401766963"/>
    <s v="[-0.102, -0.106, -0.008, 0.12]"/>
  </r>
  <r>
    <x v="1152"/>
    <x v="1558"/>
    <x v="0"/>
    <n v="0"/>
    <s v="LINESTRING (17.42715760353721 68.43846004049269, 17.427294141152007 68.43848828745729, 17.42789766886879 68.43865578018905, 17.42819990485371 68.43874458067825)"/>
    <s v="[490849, 490858, 490868]"/>
    <s v="[491333, 491344, 488607]"/>
    <s v="0.06672445782999632"/>
    <s v="[430522, 491333, 491344]"/>
    <s v="[0.248, 0.05, 0.026]"/>
    <s v="53.302082829902794"/>
    <s v="[0.248, 0.05, 0.026]"/>
  </r>
  <r>
    <x v="1153"/>
    <x v="1559"/>
    <x v="0"/>
    <n v="0"/>
    <s v="LINESTRING (17.426915064134302 68.41120880623706, 17.426785111348163 68.41121686691854, 17.4265009960332 68.41123357263461, 17.425392918003034 68.41127484068353, 17.42454046841592 68.41130876925884, 17.418373711178003 68.41132403779068, 17.418156221457288 68.41132274062895)"/>
    <s v="[1046831, 1046839, 1046846, 1046854, 1046862, 1046870]"/>
    <s v="[997193, 997196, 997201, 448989, 997212, 997219]"/>
    <s v="#FIELD!"/>
    <s v="[430596, 997193, 997196, 997201, 448989, 997212]"/>
    <s v="[0.1, 0.031, 0.031, 0.033, 0.002, 0.0]"/>
    <s v="361.1591892377365"/>
    <s v="[0.1, -0.031, -0.031, -0.033, -0.002, 0.0]"/>
  </r>
  <r>
    <x v="1154"/>
    <x v="1560"/>
    <x v="112"/>
    <s v="[0, 0, 0, 0, 0, 0, 0, 0, 0, 0, 0, 0, 0, 0, 0, 0, 0, 0, 0, 0, 0, 0, 0, 0, 0, 0, 0, 0, 0, 0, 0, 0, 0, 0, 0, 0, 0, 0, 0, 0, 0, 0, 1, 0, 0, 0, 0, 0, 0, 0, 0, 0, 0, 0, 0, 0, 0, 0, 0, 0, 0, 0, 0, 0, 0, 0, 0, 0, 1, 0, 0, 0, 0, 0, 0, 0, 0, 0, 0, 0, 0, 0, 0, 0, 0, 0, 0, 0, 0, 0, 0, 0, 0, 0, 0, 0, 0, 0, 0, 0, 0, 0, 0, 0, 0, 0, 0, 0, 0, 0, 0, 0, 0, 0, 0, 0, 1, 0, 0]"/>
    <s v="LINESTRING (18.10455598337935 68.43568530360983, 18.10455598337935 68.43568530360983, 18.10276267818658 68.43632946579362, 18.10011534392541 68.43742733920692, 18.095815874106183 68.43848906905251, 18.095749780826164 68.43850803325643, 18.09539685620732 68.43861124215785, 18.094599551217193 68.43884973197444, 18.0943594532724 68.43891984936612, 18.09432633970722 68.43892938627235, 18.084350806180144 68.44065326965305, 18.067076230032896 68.44304537141723, 18.066898808824817 68.44307520746081, 18.065922465865302 68.44328747555784, 18.06567886615956 68.44336190541367, 18.057213867029073 68.4441342471437, 18.047258753803437 68.44595538431015, 18.038739233977104 68.4490263492538, 18.034316629433878 68.44993838968784, 18.03287520841891 68.45050938698189, 18.032528298437857 68.45268809174404, 18.034856418645283 68.45614968904479, 18.031588612376115 68.46180382786588, 18.019263159960982 68.46477934253913, 18.008159067779186 68.47068275132173, 17.9964311358858 68.47371294272284, 17.99547930013055 68.4740103381443, 17.980601137774357 68.4775114167448, 17.97920283421413 68.47853880077632, 17.979271549758305 68.48916525844066, 17.978786228677148 68.49028531713651, 17.975302943530693 68.49746161661915, 17.97525445149371 68.49751236566149, 17.97445685256197 68.4983008348335, 17.974387144332507 68.49837742939138, 17.96751757847306 68.50309444462268, 17.959882818248 68.5044712907718, 17.95713993905073 68.50496342434006, 17.946206000601503 68.5086532562719, 17.94583683666116 68.50875659620706, 17.94576729860659 68.5087779086777, 17.945445426384147 68.5088857140609, 17.945145740328766 68.50900070630199, 17.944857193120956 68.50912903146964, 17.943929192657748 68.50974378923007, 17.943572788435006 68.51006502474235, 17.943447927615534 68.51017822123328, 17.92438975922826 68.51246075848584, 17.92089265590057 68.51228673135982, 17.911651931235436 68.5127277306432, 17.903441241158397 68.51375478757635, 17.8991181884458 68.51434037338267, 17.883781439441304 68.51555412427867, 17.880385395287863 68.51579422970588, 17.869827247014918 68.51602896371831, 17.865893363896372 68.51466118682745, 17.865690899353638 68.51461992980406, 17.81126445280174 68.50674031753903, 17.810660814730774 68.50668522428967, 17.801906420969203 68.50222914409318, 17.801883898591583 68.50185315705605, 17.801879319957354 68.50177546897373, 17.801689803920492 68.50108781975473, 17.801629968939515 68.50101072242997, 17.8015361131668 68.50091011796266, 17.7977043393669 68.49913314675725, 17.788089280836356 68.49717782990781, 17.78210235393258 68.49623777305806, 17.777816452341586 68.4955632163561, 17.777644701402327 68.4955373361817, 17.77740496695017 68.49549936829156, 17.77691911343773 68.49542242414614, 17.776664205151615 68.4953820045502, 17.776265513381478 68.4953190819802, 17.76206844874565 68.49045229729248, 17.76118850471821 68.48964102224198, 17.761175772159255 68.48963330573928, 17.76077343361509 68.48938667018611, 17.759902987720025 68.48852669770017, 17.759729572759 68.4868490517305, 17.763641982682962 68.48239746437264, 17.75598054776713 68.47943063921713, 17.74322681612448 68.47663849655393, 17.741413540039826 68.476248460913, 17.740132059171476 68.47596636859303, 17.73640643231828 68.47514530257858, 17.735851313080705 68.47502394031595, 17.729814293368726 68.47367892292472, 17.72912871376905 68.4735043617964, 17.727181115431634 68.47297458665868, 17.71386452494579 68.47102778804296, 17.713770514254477 68.47101783009369, 17.71071568006837 68.47077674544954, 17.71066796704776 68.47077319080705, 17.70684781923748 68.47025058168968, 17.704121393267073 68.47001059025868, 17.70397497507338 68.470009623011, 17.697439134355896 68.47054793782277, 17.69734755897148 68.47056035383564, 17.69523561759897 68.47086755128934, 17.6951519616901 68.47088020670377, 17.680035013332063 68.4691148377379, 17.67192871696569 68.46789386983437, 17.663225547139955 68.46908629536847, 17.66213317831904 68.46972632126189, 17.66050995592314 68.4706731809249, 17.658139656346524 68.47168631389269, 17.656298762489865 68.47173275670396, 17.65579626467473 68.47164907780567, 17.65572867479019 68.4716368467754, 17.653197695355587 68.47314466917936, 17.652737467283153 68.47329431180773, 17.651236966979962 68.47376595108943, 17.650518429520904 68.47399145323577, 17.6463975647533 68.47529402625584, 17.64179613479951 68.47648498516224, 17.626461167039032 68.47676790920046, 17.626314793567985 68.47674300648544, 17.62622019835697 68.47672343172454, 17.626176818648627 68.4767146510449)"/>
    <s v="[432365, 432373, 432381, 432389, 432397, 432405, 432413, 432422, 432430, 432438, 432446, 432454, 432462, 432470, 432478, 432486, 432494, 432502, 432510, 432518, 432526, 432534, 432542, 432550, 432558, 432566, 432574, 432582, 432590, 432598, 432606, 432614, 432622, 432630, 432638, 432646, 432654, 432662, 432670, 432678, 432686, 432694, 432702, 432710, 432718, 432726, 432734, 432742, 432750, 432758, 432766, 432774, 432782, 432790, 432805, 432813, 432821, 432830, 432843, 432851, 432859, 432867, 432875, 432876, 432877, 432883, 432890, 432891, 432898, 432906, 432922, 432923, 432930, 432938, 432946, 432954, 432962, 432970, 432978, 432986, 432994, 433005, 433013, 433019, 433029, 433037, 433047, 433055, 433063, 433071, 433079, 433087, 433095, 433103, 433113, 433121, 433122, 433125, 433130, 433138, 433146, 433154, 433162, 433170, 433178, 433186, 433194, 433202, 433210, 430341, 430349, 430357, 430365, 430373, 430381, 430389, 430397, 430405, 2074125]"/>
    <s v="[430615, 430625, 430637, 430646, 430654, 430663, 430674, 430685, 430697, 430707, 430715, 430727, 430736, 430746, 430754, 430763, 430772, 430780, 402019, 430373, 430811, 430550, 430486, 402009, 430848, 430858, 430867, 430878, 401981, 401990, 430903, 401970, 401969, 430930, 401944, 430953, 430964, 430975, 430984, 430993, 431003, 431011, 431020, 431031, 431038, 431045, 401937, 431065, 431072, 431084, 431095, 401927, 401928, 431119, 431133, 431140, 431147, 431157, 431170, 431176, 401917, 401916, 431197, 401862, 401883, 431204, 401832, 431213, 431222, 431232, 401820, 431253, 431262, 401810, 401809, 431292, 431301, 431308, 401787, 431324, 430360, 401776, 431356, 431362, 430339, 401694, 401646, 431396, 431407, 431417, 401636, 401635, 431444, 431454, 401622, 431475, 431476, 401614, 401613, 431494, 401593, 431509, 431518, 401586, 401585, 401539, 431550, 431558, 428512, 428521, 428532, 401519, 428551, 428559, 402116, 428574, 428584, 428593, 1225626]"/>
    <s v="#FIELD!"/>
    <s v="[430614, 430615, 430625, 430637, 430646, 430654, 430663, 430674, 430685, 430697, 430707, 430715, 430727, 430736, 430746, 430754, 430763, 430772, 430780, 402019, 430373, 430811, 430550, 430486, 402009, 430848, 430858, 430867, 430878, 401981, 401990, 430903, 401970, 401969, 430930, 401944, 430953, 430964, 430975, 430984, 430993, 431003, 431011, 431020, 431031, 431038, 431045, 401937, 431065, 431072, 431084, 431095, 401927, 401928, 431119, 431133, 431140, 431147, 431157, 431170, 431176, 401917, 401916, 431197, 401862, 401883, 431204, 401832, 431213, 431222, 431232, 401820, 431253, 431262, 401810, 401809, 431292, 431301, 431308, 401787, 431324, 430360, 401776, 431356, 431362, 430339, 401694, 401646, 431396, 431407, 431417, 401636, 401635, 431444, 431454, 401622, 431475, 431476, 401614, 401613, 431494, 401593, 431509, 431518, 401586, 401585, 401539, 431550, 431558, 428512, 428521, 428532, 401519, 428551, 428559, 402116, 428574, 428584, 428593]"/>
    <s v="[0.0, 0.011, 0.008, 0.006, 0.024, 0.02, 0.014, 0.015, 0.022, 0.04, 0.001, 0.008, 0.014, 0.016, 0.075, 0.033, 0.003, 0.008, 0.0, 0.03, 0.037, 0.008, 0.002, 0.005, 0.013, 0.07, 0.027, 0.058, 0.042, 0.076, 0.003, 0.029, 0.013, 0.008, 0.023, 0.034, 0.04, 0.015, 0.015, 0.013, 0.014, 0.016, 0.018, 0.03, 0.029, 0.031, 0.005, 0.029, 0.063, 0.056, 0.083, 0.005, 0.022, 0.043, 0.014, 0.008, 0.042, 0.071, 0.021, 0.062, 0.057, 0.051, 0.04, 0.035, 0.026, 0.011, 0.01, 0.001, 0.012, 0.009, 0.016, 0.024, 0.028, 0.029, 0.048, 0.103, 0.098, 0.103, 0.095, 0.015, 0.035, 0.03, 0.0, 0.026, 0.08, 0.146, 0.009, 0.011, 0.012, 0.077, 0.115, 0.072, 0.098, 0.089, 0.106, 0.06, 0.024, 0.049, 0.029, 0.072, 0.048, 0.054, 0.031, 0.054, 0.045, 0.026, 0.089, 0.158, 0.46, 0.053, 0.05, 0.076, 0.084, 0.045, 0.043, 0.053, 0.122, 0.12, 9.525]"/>
    <s v="28765.00916621476"/>
    <s v="[0.0, -0.011, -0.008, 0.006, 0.024, 0.02, 0.014, 0.015, 0.022, 0.04, 0.001, -0.008, -0.014, -0.016, -0.075, -0.033, 0.003, 0.008, -0.0, -0.03, -0.037, -0.008, -0.002, 0.005, -0.013, 0.07, -0.027, -0.058, -0.042, -0.076, 0.003, -0.029, -0.013, -0.008, -0.023, -0.034, -0.04, -0.015, -0.015, -0.013, -0.014, -0.016, -0.018, -0.03, -0.029, -0.031, 0.005, 0.029, 0.063, 0.056, 0.083, -0.005, 0.022, 0.043, -0.014, -0.008, -0.042, -0.071, -0.021, 0.062, 0.057, 0.051, 0.04, 0.035, -0.026, -0.011, -0.01, 0.001, -0.012, -0.009, -0.016, -0.024, -0.028, -0.029, 0.048, 0.103, 0.098, 0.103, 0.095, -0.015, -0.035, 0.03, -0.0, 0.026, -0.08, -0.146, -0.009, 0.011, 0.012, -0.077, -0.115, -0.072, -0.098, -0.089, -0.106, -0.06, -0.024, 0.049, 0.029, -0.072, -0.048, -0.054, -0.031, -0.054, -0.045, -0.026, -0.089, -0.158, -0.46, 0.053, -0.05, -0.076, -0.084, -0.045, 0.043, -0.053, -0.122, -0.12, 9.525]"/>
  </r>
  <r>
    <x v="1155"/>
    <x v="1561"/>
    <x v="0"/>
    <n v="0"/>
    <s v="LINESTRING (17.499412679516844 68.54490085988363, 17.497325492439508 68.5442715560286, 17.49715696052357 68.54422272364494, 17.49595636250495 68.54387837541712, 17.49582937398055 68.54384225254917, 17.495674448474126 68.54379801827778, 17.49558556869922 68.54377263772017, 17.493215694364125 68.54306029173976)"/>
    <s v="[439774, 439782, 439795, 439803, 439811, 439824, 439832]"/>
    <s v="[438910, 438921, 438936, 438884, 438956, 438850, 431864]"/>
    <s v="0.03874365245221384"/>
    <s v="[431853, 438910, 438921, 438936, 438884, 438956, 438850]"/>
    <s v="[0.131, 0.054, 0.066, 0.097, 0.045, 0.057, 0.032]"/>
    <s v="325.86389713986034"/>
    <s v="[0.131, -0.054, -0.066, -0.097, -0.045, -0.057, 0.032]"/>
  </r>
  <r>
    <x v="1155"/>
    <x v="1561"/>
    <x v="0"/>
    <n v="0"/>
    <s v="LINESTRING (17.499412679516844 68.54490085988363, 17.497274844720426 68.54416519233591, 17.496073248696174 68.54381470295715, 17.495943927128344 68.54377898280643, 17.49579353258554 68.54373736486431, 17.495707245547425 68.5437134805841, 17.493215694364125 68.54306029173976)"/>
    <s v="[439841, 439849, 439857, 439867, 439876, 439893]"/>
    <s v="[438986, 438996, 438885, 439018, 438851, 431864]"/>
    <s v="0.038984212807710875"/>
    <s v="[431853, 438986, 438996, 438885, 439018, 438851]"/>
    <s v="[0.104, 0.074, 0.058, 0.079, 0.112, 0.051]"/>
    <s v="326.61466517888886"/>
    <s v="[0.104, -0.074, -0.058, -0.079, -0.112, 0.051]"/>
  </r>
  <r>
    <x v="1156"/>
    <x v="1562"/>
    <x v="0"/>
    <s v="[0, 0, 0, 1, 0, 0, 0, 0, 0, 0, 0, 1, 0]"/>
    <s v="LINESTRING (17.493215694364125 68.54306029173976, 17.48796478383332 68.5415583869915, 17.486209398758213 68.54100367390201, 17.4697967016039 68.53609378531932, 17.469696044493883 68.53606771232796, 17.466649586809474 68.53530635117957, 17.450746561688444 68.53114338599096, 17.447890278952638 68.53033442867311, 17.439331675669173 68.52871457656659, 17.43930784190931 68.52871368421918, 17.43166313861784 68.52876098245423, 17.384859054201897 68.52223925252646, 17.38473368328026 68.52223959718953, 17.38420549497096 68.52224132716105)"/>
    <s v="[433468, 433476, 433484, 433492, 433500, 433508, 433516, 433524, 433544, 433552, 433563, 433571, 433579]"/>
    <s v="[431865, 431875, 431885, 431894, 431905, 431918, 431926, 431938, 431962, 431970, 431983, 431991, 432000]"/>
    <s v="0.01206615098031955"/>
    <s v="[431864, 431865, 431875, 431885, 431894, 431905, 431918, 431926, 431938, 431962, 431970, 431983, 431991]"/>
    <s v="[0.017, 0.039, 0.01, 0.114, 0.074, 0.018, 0.028, 0.015, 0.232, 0.113, 0.005, 0.0, 0.006]"/>
    <s v="5567.655133534588"/>
    <s v="[-0.017, 0.039, 0.01, 0.114, 0.074, 0.018, 0.028, 0.015, 0.232, 0.113, -0.005, 0.0, 0.006]"/>
  </r>
  <r>
    <x v="1157"/>
    <x v="1563"/>
    <x v="0"/>
    <n v="0"/>
    <s v="LINESTRING (17.38420549497096 68.52224132716105, 17.3816786046204 68.52229292839442, 17.37994108966631 68.52244114183407, 17.379802953299187 68.52245628306713, 17.37954772210987 68.5224859259786, 17.376837965732186 68.52293508075861)"/>
    <s v="[439932, 439933, 439940, 439948, 439956]"/>
    <s v="[439105, 439106, 439064, 439093, 432008]"/>
    <s v="0.01500953482821895"/>
    <s v="[432000, 439105, 439106, 439064, 439093]"/>
    <s v="[0.001, 0.011, 0.018, 0.017, 0.029]"/>
    <s v="315.3166521066237"/>
    <s v="[0.001, 0.011, 0.018, 0.017, 0.029]"/>
  </r>
  <r>
    <x v="1157"/>
    <x v="1563"/>
    <x v="0"/>
    <n v="0"/>
    <s v="LINESTRING (17.38420549497096 68.52224132716105, 17.38189554657449 68.52236127870331, 17.3817178352937 68.52237315081915, 17.3800042305936 68.52251895260464, 17.379883399287575 68.52253169475877, 17.379600621064423 68.52256253586097, 17.376837965732186 68.52293508075861)"/>
    <s v="[439964, 439972, 439980, 439988, 439996, 440005]"/>
    <s v="[439139, 439149, 439161, 439063, 439092, 432008]"/>
    <s v="0.015113457387508009"/>
    <s v="[432000, 439139, 439149, 439161, 439063, 439092]"/>
    <s v="[0.001, 0.009, 0.011, 0.016, 0.016, 0.029]"/>
    <s v="312.1512450811876"/>
    <s v="[0.001, 0.009, 0.011, 0.016, 0.016, 0.029]"/>
  </r>
  <r>
    <x v="1158"/>
    <x v="1564"/>
    <x v="0"/>
    <s v="[0, 0, 0, 0, 1, 0, 0, 0, 0, 0, 0, 1, 0, 0, 0]"/>
    <s v="LINESTRING (17.376837965732186 68.52293508075861, 17.363686799262606 68.52545591096383, 17.3620594678266 68.52577287863677, 17.359011697849287 68.52646871644353, 17.321784136013626 68.53074372421284, 17.320270415817305 68.53094973210628, 17.31678519561274 68.53160218211754, 17.290991808903083 68.53415250836919, 17.28162181540259 68.5356565497336, 17.269541851839183 68.53594075755971, 17.266646105618385 68.5360932882367, 17.262135090462465 68.5372033907436, 17.26208803288368 68.5372245206047, 17.25622350283658 68.5390977283423, 17.228669620004307 68.53706898525488, 17.21924193783989 68.53682928807564)"/>
    <s v="[433587, 433595, 433603, 1022586, 1022594, 1022602, 1022610, 1022618, 1022626, 1022634, 1022642, 1022650, 1022658, 1022666, 1022674]"/>
    <s v="[432009, 432018, 432027, 977658, 977665, 650511, 977673, 424379, 424253, 396080, 977693, 977700, 396292, 396267, 439222]"/>
    <s v="#FIELD!"/>
    <s v="[432008, 432009, 432018, 432027, 977658, 977665, 650511, 977673, 424379, 424253, 396080, 977693, 977700, 396292, 396267]"/>
    <s v="[0.0, 0.0, 0.0, 0.002, 0.06, 0.084, 0.004, 0.049, 0.001, 0.007, 0.001, 0.028, 0.001, 0.013, 0.005]"/>
    <s v="6960.424281349747"/>
    <s v="[0.0, 0.0, 0.0, 0.002, -0.06, -0.084, -0.004, -0.049, -0.001, -0.007, -0.001, -0.028, -0.001, 0.013, -0.005]"/>
  </r>
  <r>
    <x v="1159"/>
    <x v="1565"/>
    <x v="0"/>
    <n v="0"/>
    <s v="LINESTRING (16.704780552629213 68.4913108751758, 16.702940317242916 68.49178694145489, 16.702073080101876 68.49208472001304, 16.701906324279 68.49215200367499, 16.70095951460621 68.49260872720421, 16.700904527858924 68.49264054200142)"/>
    <s v="[681192, 440197, 440205, 440213, 440221]"/>
    <s v="[439395, 439396, 439404, 439410, 439419]"/>
    <s v="#FIELD!"/>
    <s v="[432412, 439395, 439396, 439404, 439410]"/>
    <s v="[0.009, 0.004, 0.001, 0.0, 0.0]"/>
    <s v="219.30297050198845"/>
    <s v="[-0.009, -0.004, -0.001, 0.0, -0.0]"/>
  </r>
  <r>
    <x v="1159"/>
    <x v="1566"/>
    <x v="0"/>
    <n v="0"/>
    <s v="LINESTRING (16.704780552629213 68.4913108751758, 16.702842350207366 68.49173921957151, 16.70175757108516 68.49210581014029, 16.700793594827463 68.49257354463678, 16.700739157820024 68.49260649320902)"/>
    <s v="[681200, 440269, 440277, 440290]"/>
    <s v="[439473, 439474, 439483, 439499]"/>
    <s v="#FIELD!"/>
    <s v="[432412, 439473, 439474, 439483]"/>
    <s v="[0.01, 0.003, 0.0, 0.0]"/>
    <s v="223.2848476102413"/>
    <s v="[-0.01, -0.003, 0.0, 0.0]"/>
  </r>
  <r>
    <x v="1159"/>
    <x v="1567"/>
    <x v="0"/>
    <n v="0"/>
    <s v="LINESTRING (16.95756728786729 68.51818048276184, 16.704780552629213 68.4913108751758)"/>
    <m/>
    <m/>
    <s v="0.0"/>
    <m/>
    <n v="0"/>
    <s v="12292.74897281028"/>
    <n v="0"/>
  </r>
  <r>
    <x v="1160"/>
    <x v="1568"/>
    <x v="0"/>
    <s v="[1, 0, 0, 0, 0, 0, 0, 0, 0, 0, 0, 0, 0, 0, 0, 0, 0, 0, 0, 0, 0, 0, 0, 0, 0, 0, 0, 0, 0, 0, 0]"/>
    <s v="LINESTRING (16.700018290403758 68.49326559140661, 16.699959119972196 68.49334029698288, 16.699494956917636 68.49480662848822, 16.699497511698844 68.49661963402467, 16.69939504317679 68.4972760523447, 16.699193258815928 68.49777288330452, 16.69915473688992 68.49784301912104, 16.69774512512207 68.50034392623887, 16.69757957679695 68.5008274598152, 16.696143466899123 68.50745633978056, 16.69604850959072 68.50790202382713, 16.695998464492643 68.50810537840378, 16.695940454999537 68.50841440970676, 16.69565815186626 68.50966234644869, 16.695644624442995 68.50970375264713, 16.695628031029642 68.50974994478247, 16.677932625420322 68.53196454179536, 16.676146946641822 68.53303193797369, 16.67574477605029 68.53320756609722, 16.675656626680425 68.53324415195151, 16.675572980658934 68.53327871910919, 16.67359411635629 68.53406622506344, 16.673512640323082 68.53410041066603, 16.67340336584926 68.53414617720658, 16.672834044010905 68.5344051573463, 16.670981002677074 68.5357000823128, 16.664070411305644 68.56520083285919, 16.664041906031986 68.56525352622252, 16.663206620675826 68.56695470445432, 16.663125831909348 68.56711286282366, 16.65360683415826 68.57552325228951, 16.64880557036766 68.57697138850216)"/>
    <s v="[433955, 433963, 433971, 433979, 433986, 433994, 434002, 434010, 434018, 434026, 1064546, 1064554, 1064562, 1064570, 1064578, 1064586, 1064594, 1064602, 1064610, 1064618, 1064626, 1064634, 1064642, 1064650, 1064658, 1064666, 1064674, 1064682, 1064690, 1064698, 1064706]"/>
    <s v="[432421, 432428, 432434, 432441, 432448, 432455, 432463, 432472, 432480, 432488, 1012482, 1012490, 1012496, 1012503, 1012511, 1012519, 1012526, 1012534, 1012538, 1012545, 1012549, 1012557, 1012563, 1012568, 1012574, 1012581, 902389, 902404, 1012597, 1012604, 1012611]"/>
    <s v="#FIELD!"/>
    <s v="[432420, 432421, 432428, 432434, 432441, 432448, 432455, 432463, 432472, 432480, 432488, 1012482, 1012490, 1012496, 1012503, 1012511, 1012519, 1012526, 1012534, 1012538, 1012545, 1012549, 1012557, 1012563, 1012568, 1012574, 1012581, 902389, 902404, 1012597, 1012604]"/>
    <s v="[0.001, 0.013, 0.038, 0.038, 0.034, 0.025, 0.019, 0.027, 0.006, 0.002, 0.033, 0.03, 0.026, 0.027, 0.017, 0.006, 0.076, 0.06, 0.034, 0.035, 0.006, 0.018, 0.053, 0.026, 0.002, 0.0, 0.028, 0.008, 0.044, 0.04, 0.038]"/>
    <s v="10185.659651701333"/>
    <s v="[-0.001, 0.013, 0.038, 0.038, 0.034, 0.025, 0.019, 0.027, 0.006, 0.002, -0.033, -0.03, -0.026, -0.027, -0.017, 0.006, 0.076, 0.06, 0.034, 0.035, 0.006, 0.018, 0.053, 0.026, 0.002, 0.0, -0.028, -0.008, -0.044, -0.04, -0.038]"/>
  </r>
  <r>
    <x v="1160"/>
    <x v="1569"/>
    <x v="0"/>
    <n v="0"/>
    <s v="LINESTRING (16.70077136746185 68.49272354318066, 16.70071463831109 68.49276469714829, 16.700254107104342 68.49310768678535, 16.700018290403758 68.49326559140661)"/>
    <s v="[440245, 440253, 440261]"/>
    <s v="[439447, 439454, 432420]"/>
    <s v="#FIELD!"/>
    <s v="[439440, 439447, 439454]"/>
    <s v="[0.0, 0.001, 0.002]"/>
    <s v="68.57255293852121"/>
    <s v="[-0.0, -0.001, -0.002]"/>
  </r>
  <r>
    <x v="1160"/>
    <x v="1570"/>
    <x v="0"/>
    <n v="0"/>
    <s v="LINESTRING (16.70061579554341 68.49269136870748, 16.70055621604437 68.4927323361914, 16.700148643601473 68.49308640706302, 16.700018290403758 68.49326559140661)"/>
    <s v="[440319, 440325, 440337]"/>
    <s v="[439533, 439540, 432420]"/>
    <s v="#FIELD!"/>
    <s v="[439521, 439533, 439540]"/>
    <s v="[0.0, 0.001, 0.0]"/>
    <s v="68.93982925579088"/>
    <s v="[-0.0, -0.001, -0.0]"/>
  </r>
  <r>
    <x v="1161"/>
    <x v="1571"/>
    <x v="0"/>
    <n v="0"/>
    <s v="LINESTRING (9.076471949063615 58.820677823534034, 9.076702169709538 58.8207475743978, 9.076740928381481 58.82082336595414, 9.076685482109518 58.82090796534541, 9.076423116163422 58.820963140983665)"/>
    <s v="[436614, 436620, 436626, 436636]"/>
    <s v="[303485, 435401, 435410, 435415]"/>
    <s v="#FIELD!"/>
    <s v="[435391, 303485, 435401, 435410]"/>
    <s v="[0.018, 0.007, 0.001, 0.02]"/>
    <s v="51.60318790300059"/>
    <s v="[0.018, 0.007, -0.001, -0.02]"/>
  </r>
  <r>
    <x v="1161"/>
    <x v="1572"/>
    <x v="0"/>
    <n v="0"/>
    <s v="LINESTRING (9.074887469366212 58.81818513163141, 9.075051262674581 58.81839236857678, 9.07637394705793 58.82064999291814, 9.076471949063615 58.820677823534034)"/>
    <s v="[1323345, 1229594, 1229602]"/>
    <s v="[1151794, 1151795, 435391]"/>
    <s v="0.006567957812241668"/>
    <s v="[1229532, 1151794, 1151795]"/>
    <s v="[0.012, 0.008, 0.019]"/>
    <s v="299.16532926517635"/>
    <s v="[-0.012, 0.008, 0.019]"/>
  </r>
  <r>
    <x v="1162"/>
    <x v="660"/>
    <x v="0"/>
    <n v="0"/>
    <m/>
    <n v="436644"/>
    <n v="435423"/>
    <s v="#FIELD!"/>
    <n v="435415"/>
    <s v="0.019"/>
    <s v="13.953002196711187"/>
    <s v="#FIELD!"/>
  </r>
  <r>
    <x v="1162"/>
    <x v="1573"/>
    <x v="0"/>
    <n v="0"/>
    <s v="LINESTRING (9.076423116163422 58.820963140983665, 9.076340083186896 58.8209898393366, 9.075937384119044 58.82127461979744, 9.075671656462735 58.82186254549406, 9.075778765807737 58.82358449953781, 9.07581460462261 58.82380817140041)"/>
    <s v="[1102252, 1102260, 1102268, 1102276, 1323361]"/>
    <s v="[1044013, 1044019, 1044024, 1044032, 1229525]"/>
    <s v="#FIELD!"/>
    <s v="[435415, 1044013, 1044019, 1044024, 1044032]"/>
    <s v="[0.168, 0.004, 0.006, 0.005, 0.013]"/>
    <s v="330.4732098296471"/>
    <s v="[-0.168, -0.004, -0.006, 0.005, -0.013]"/>
  </r>
  <r>
    <x v="1163"/>
    <x v="463"/>
    <x v="0"/>
    <n v="0"/>
    <s v="LINESTRING (8.625929236934898 58.373956652079215, 8.626166193535092 58.373972635886034, 8.626422578081929 58.373989644042126, 8.627566560436989 58.374090969133135, 8.630332969861112 58.373730063195836, 8.630408190944927 58.373707934177084)"/>
    <s v="[1232372, 1232382, 436671, 436677, 436682]"/>
    <s v="[1153917, 435449, 435450, 435457, 435463]"/>
    <s v="#FIELD!"/>
    <s v="[1153906, 1153917, 435449, 435450, 435457]"/>
    <s v="[0.03, 0.214, 0.023, 0.02, 0.124]"/>
    <s v="271.49133939486296"/>
    <s v="[0.03, -0.214, -0.023, 0.02, 0.124]"/>
  </r>
  <r>
    <x v="1164"/>
    <x v="1574"/>
    <x v="0"/>
    <n v="0"/>
    <s v="LINESTRING (17.21924193783989 68.53682928807564, 17.21855481091642 68.53684197879186, 17.218284686872707 68.53683941631496, 17.21637658132842 68.53681858933169, 17.216293493975567 68.53681735217961, 17.2160603778305 68.53681387620799, 17.216052255957564 68.5368137589881, 17.21467094805715 68.53679055830476, 17.211822422586085 68.53670380467686)"/>
    <s v="[440037, 440045, 440053, 440061, 440069, 440077, 440085, 440093]"/>
    <s v="[439223, 439229, 439235, 439242, 439195, 439260, 439268, 439279]"/>
    <s v="#FIELD!"/>
    <s v="[439222, 439223, 439229, 439235, 439242, 439195, 439260, 439268]"/>
    <s v="[0.041, 0.041, 0.041, 0.044, 0.041, 0.051, 0.032, 0.027]"/>
    <s v="303.70308407242555"/>
    <s v="[-0.041, -0.041, -0.041, -0.044, -0.041, -0.051, -0.032, -0.027]"/>
  </r>
  <r>
    <x v="1164"/>
    <x v="1574"/>
    <x v="0"/>
    <n v="0"/>
    <s v="LINESTRING (17.21924193783989 68.53682928807564, 17.21829215183843 68.5367930315843, 17.21638448830037 68.53674825717789, 17.216258502336984 68.53674557579303, 17.21610705076271 68.53674281740903, 17.21607354773476 68.53674223630048, 17.21468518479744 68.53671850965232, 17.21453357127545 68.53671609298767, 17.211822422586085 68.53670380467686)"/>
    <s v="[440101, 440109, 440117, 440125, 440133, 440141, 440149, 440157]"/>
    <s v="[439288, 439298, 439309, 439194, 439330, 439339, 439348, 439279]"/>
    <s v="#FIELD!"/>
    <s v="[439222, 439288, 439298, 439309, 439194, 439330, 439339, 439348]"/>
    <s v="[0.042, 0.041, 0.039, 0.042, 0.048, 0.032, 0.028, 0.026]"/>
    <s v="303.6232186332212"/>
    <s v="[-0.042, -0.041, -0.039, -0.042, -0.048, -0.032, -0.028, -0.026]"/>
  </r>
  <r>
    <x v="1165"/>
    <x v="1567"/>
    <x v="0"/>
    <n v="0"/>
    <s v="LINESTRING (17.211822422586085 68.53670380467686, 16.95756728786729 68.51818048276184)"/>
    <m/>
    <m/>
    <s v="0.0"/>
    <m/>
    <n v="0"/>
    <s v="12292.74897281028"/>
    <n v="0"/>
  </r>
  <r>
    <x v="1166"/>
    <x v="1566"/>
    <x v="0"/>
    <n v="0"/>
    <m/>
    <n v="440372"/>
    <n v="439499"/>
    <s v="#FIELD!"/>
    <n v="439419"/>
    <s v="0.004"/>
    <s v="7.75877599921357"/>
    <s v="#FIELD!"/>
  </r>
  <r>
    <x v="1166"/>
    <x v="1569"/>
    <x v="0"/>
    <n v="0"/>
    <s v="LINESTRING (16.700904527858924 68.49264054200142, 16.700840025514054 68.49268008814401, 16.70077136746185 68.49272354318066)"/>
    <s v="[440229, 440237]"/>
    <s v="[439430, 439440]"/>
    <s v="0.0"/>
    <s v="[439419, 439430]"/>
    <s v="0.0"/>
    <s v="10.739952534935718"/>
    <s v="0.0"/>
  </r>
  <r>
    <x v="1167"/>
    <x v="1570"/>
    <x v="0"/>
    <n v="0"/>
    <m/>
    <n v="440343"/>
    <n v="439521"/>
    <s v="#FIELD!"/>
    <n v="439440"/>
    <s v="0.004"/>
    <s v="7.30686937069254"/>
    <s v="#FIELD!"/>
  </r>
  <r>
    <x v="1168"/>
    <x v="1570"/>
    <x v="0"/>
    <n v="0"/>
    <s v="LINESTRING (16.700739157820024 68.49260649320902, 16.700680114348973 68.49264710541193, 16.70061579554341 68.49269136870748)"/>
    <s v="[440300, 440308]"/>
    <s v="[439511, 439521]"/>
    <s v="#FIELD!"/>
    <s v="[439499, 439511]"/>
    <s v="0.0"/>
    <s v="10.725916805270451"/>
    <s v="#FIELD!"/>
  </r>
  <r>
    <x v="1168"/>
    <x v="1575"/>
    <x v="0"/>
    <n v="0"/>
    <s v="LINESTRING (16.700739157820024 68.49260649320902, 16.70069496758766 68.49259790667845, 16.699954552857918 68.49251279581325)"/>
    <s v="[440373, 1204643]"/>
    <s v="[439584, 490103]"/>
    <s v="0.001577704195490441"/>
    <s v="[439499, 439584]"/>
    <s v="[0.005, 0.002]"/>
    <s v="33.91418648844293"/>
    <s v="[-0.005, 0.002]"/>
  </r>
  <r>
    <x v="1169"/>
    <x v="1576"/>
    <x v="0"/>
    <n v="0"/>
    <s v="LINESTRING (9.07463771750032 58.82096826082596, 9.07456872022822 58.82096265230725, 9.074456262238623 58.82093023799441, 9.074379627067438 58.82086562093731, 9.074397643680701 58.82076039153779, 9.074487925653951 58.82070656812855, 9.074617117559358 58.82068199678331, 9.074651946369483 58.82068134996879)"/>
    <s v="[440306, 440307, 440310, 440311, 440330, 440333, 440342]"/>
    <s v="[439519, 439520, 439524, 439525, 439547, 439549, 439557]"/>
    <s v="0.00215709199062401"/>
    <s v="[439518, 439519, 439520, 439524, 439525, 439547, 439549]"/>
    <s v="[0.043, 0.038, 0.028, 0.0, 0.027, 0.038, 0.034]"/>
    <s v="49.86251943165509"/>
    <s v="[0.043, 0.038, 0.028, -0.0, -0.027, -0.038, -0.034]"/>
  </r>
  <r>
    <x v="1169"/>
    <x v="1577"/>
    <x v="0"/>
    <n v="0"/>
    <m/>
    <n v="440379"/>
    <n v="439518"/>
    <s v="#FIELD!"/>
    <n v="439583"/>
    <s v="0.007"/>
    <s v="14.66342486329895"/>
    <s v="#FIELD!"/>
  </r>
  <r>
    <x v="1169"/>
    <x v="1578"/>
    <x v="0"/>
    <n v="0"/>
    <s v="LINESTRING (9.07566856354662 58.82369988982836, 9.075545697802982 58.82348463536371, 9.075397581409446 58.822540749949766, 9.075272541500762 58.8216263772643, 9.074730258772412 58.821004664553676, 9.07463771750032 58.82096826082596)"/>
    <s v="[1323353, 1240226, 1240247, 1240255, 1240263]"/>
    <s v="[1160889, 1160890, 1160903, 1160913, 439518]"/>
    <s v="#FIELD!"/>
    <s v="[1229706, 1160889, 1160890, 1160903, 1160913]"/>
    <s v="[0.024, 0.005, 0.002, 0.0, 0.067]"/>
    <s v="316.98954795017744"/>
    <s v="[-0.024, -0.005, 0.002, 0.0, 0.067]"/>
  </r>
  <r>
    <x v="1170"/>
    <x v="1575"/>
    <x v="0"/>
    <n v="0"/>
    <s v="LINESTRING (16.70061579554341 68.49269136870748, 16.70056995336201 68.49268292449109, 16.699954552857918 68.49251279581325)"/>
    <s v="[440351, 489725]"/>
    <s v="[439567, 490103]"/>
    <s v="0.0015679826941594178"/>
    <s v="[439521, 439567]"/>
    <s v="[0.005, 0.002]"/>
    <s v="34.00654084974164"/>
    <s v="[-0.005, 0.002]"/>
  </r>
  <r>
    <x v="1171"/>
    <x v="1579"/>
    <x v="0"/>
    <n v="0"/>
    <m/>
    <n v="440349"/>
    <n v="439565"/>
    <s v="0.006"/>
    <n v="439557"/>
    <s v="0.006"/>
    <s v="15.334762996267159"/>
    <s v="0.006"/>
  </r>
  <r>
    <x v="1171"/>
    <x v="1580"/>
    <x v="0"/>
    <n v="0"/>
    <s v="LINESTRING (9.074651946369483 58.82068134996879, 9.074725976404997 58.820646405182735, 9.074419349937845 58.817758152068535, 9.07431586354738 58.81754036691427)"/>
    <s v="[1105192, 1105193, 1323337]"/>
    <s v="[1046409, 1046410, 1229711]"/>
    <s v="#FIELD!"/>
    <s v="[439557, 1046409, 1046410]"/>
    <s v="[0.018, 0.0, 0.043]"/>
    <s v="366.2188283535351"/>
    <s v="[-0.018, -0.0, -0.043]"/>
  </r>
  <r>
    <x v="1172"/>
    <x v="1577"/>
    <x v="0"/>
    <n v="0"/>
    <s v="LINESTRING (9.074876321800737 58.820746693489305, 9.074921020867983 58.820825280210975, 9.07486153310419 58.82091419448768)"/>
    <s v="[440361, 440371]"/>
    <s v="[439573, 439583]"/>
    <s v="#FIELD!"/>
    <s v="[439565, 439573]"/>
    <s v="[0.004, 0.013]"/>
    <s v="19.630846201260123"/>
    <s v="[0.004, -0.013]"/>
  </r>
  <r>
    <x v="1172"/>
    <x v="661"/>
    <x v="0"/>
    <s v="[1, 0, 0]"/>
    <s v="LINESTRING (9.075324429838165 58.82082639089618, 9.075168452590509 58.82080462286165, 9.074967478603153 58.820769888449114, 9.074876321800737 58.820746693489305)"/>
    <s v="[1758008, 1758016, 1758024]"/>
    <s v="[1555230, 1555236, 439565]"/>
    <s v="#FIELD!"/>
    <s v="[1152182, 1555230, 1555236]"/>
    <s v="[0.018, 0.02, 0.02]"/>
    <s v="27.465060505534062"/>
    <s v="[-0.018, -0.02, -0.02]"/>
  </r>
  <r>
    <x v="1173"/>
    <x v="661"/>
    <x v="0"/>
    <s v="[1, 0, 0]"/>
    <s v="LINESTRING (9.075324429838165 58.82082639089618, 9.075165744863172 58.820854916760496, 9.074975496552744 58.82089036199119, 9.07486153310419 58.82091419448768)"/>
    <s v="[1242601, 1242620, 1242627]"/>
    <s v="[1162861, 1162880, 439583]"/>
    <s v="#FIELD!"/>
    <s v="[1152182, 1162861, 1162880]"/>
    <s v="[0.057, 0.016, 0.015]"/>
    <s v="28.510370647668154"/>
    <s v="[-0.057, -0.016, 0.015]"/>
  </r>
  <r>
    <x v="1174"/>
    <x v="462"/>
    <x v="0"/>
    <n v="0"/>
    <s v="LINESTRING (8.630738714321838 58.374591189238316, 8.630738714321838 58.374591189238316, 8.629565301723423 58.37436265400656, 8.626803448953146 58.37412606813632, 8.626253397025394 58.374049677668715)"/>
    <s v="[441741, 441749, 441757, 1232293]"/>
    <s v="[441115, 441125, 441136, 1153865]"/>
    <s v="0.0035114927145436198"/>
    <s v="[441114, 441115, 441125, 441136]"/>
    <s v="[0.0, 0.093, 0.025, 0.111]"/>
    <s v="276.12058213573096"/>
    <s v="[0.0, -0.093, 0.025, 0.111]"/>
  </r>
  <r>
    <x v="1175"/>
    <x v="1581"/>
    <x v="0"/>
    <n v="0"/>
    <s v="LINESTRING (7.307786349019326 58.079295887753574, 7.307689326625804 58.079374494677694, 7.307522950083987 58.07942273707234, 7.307384034346638 58.079421965546, 7.307150056378513 58.07934129165376)"/>
    <s v="[443735, 443736, 443737, 443745]"/>
    <s v="[442792, 442793, 442794, 442800]"/>
    <s v="#FIELD!"/>
    <s v="[442791, 442792, 442793, 442794]"/>
    <s v="[0.004, 0.003, 0.011, 0.014]"/>
    <s v="46.78690756701032"/>
    <s v="[0.004, -0.003, -0.011, -0.014]"/>
  </r>
  <r>
    <x v="1175"/>
    <x v="1582"/>
    <x v="0"/>
    <n v="0"/>
    <s v="LINESTRING (7.307749926107357 58.079134597106965, 7.307799432518928 58.07920082032575, 7.307786349019326 58.079295887753574)"/>
    <s v="[443865, 443871]"/>
    <s v="[442909, 442791]"/>
    <s v="#FIELD!"/>
    <s v="[442899, 442909]"/>
    <s v="[0.099, 0.017]"/>
    <s v="18.589108695566267"/>
    <s v="[-0.099, -0.017]"/>
  </r>
  <r>
    <x v="1175"/>
    <x v="1583"/>
    <x v="0"/>
    <n v="0"/>
    <s v="LINESTRING (7.312454014479844 58.07864653972366, 7.3086477735027575 58.079123280885476, 7.307887275474347 58.07923699688085, 7.307786349019326 58.079295887753574)"/>
    <s v="[613621, 613629, 613637]"/>
    <s v="[613260, 613265, 442791]"/>
    <s v="#FIELD!"/>
    <s v="[613259, 613260, 613265]"/>
    <s v="[0.045, 0.014, 0.038]"/>
    <s v="287.08447297081887"/>
    <s v="[-0.045, -0.014, -0.038]"/>
  </r>
  <r>
    <x v="1176"/>
    <x v="1584"/>
    <x v="0"/>
    <n v="0"/>
    <s v="LINESTRING (7.307150056378513 58.07934129165376, 7.307098876115319 58.07927415485033, 7.307105163334011 58.079179035363644)"/>
    <s v="[443746, 443770]"/>
    <s v="[442801, 442818]"/>
    <s v="0.015533202997219187"/>
    <s v="[442800, 442801]"/>
    <s v="[0.014, 0.038]"/>
    <s v="18.704697726397853"/>
    <s v="[-0.014, 0.038]"/>
  </r>
  <r>
    <x v="1176"/>
    <x v="1585"/>
    <x v="0"/>
    <s v="[0, 0, 0, 0, 1]"/>
    <s v="LINESTRING (7.307150056378513 58.07934129165376, 7.307049413893347 58.07933829921062, 7.306858817668934 58.079345065554215, 7.306224224749357 58.079408793636205, 7.304300961371857 58.07962840884737, 7.302618723017339 58.07993978437383)"/>
    <s v="[613669, 613677, 613685, 613693, 613701]"/>
    <s v="[613288, 613295, 613303, 613309, 613314]"/>
    <s v="0.01200201562621778"/>
    <s v="[442800, 613288, 613295, 613303, 613309]"/>
    <s v="[0.032, 0.012, 0.012, 0.003, 0.032]"/>
    <s v="277.56968439444483"/>
    <s v="[0.032, -0.012, -0.012, 0.003, 0.032]"/>
  </r>
  <r>
    <x v="1177"/>
    <x v="1582"/>
    <x v="0"/>
    <n v="0"/>
    <s v="LINESTRING (7.307105163334011 58.079179035363644, 7.307170849000121 58.079117012625986, 7.30726973174342 58.07907071357664, 7.307395480129676 58.07904579570405, 7.307749926107357 58.079134597106965)"/>
    <s v="[443789, 443795, 443817, 443854]"/>
    <s v="[442836, 442843, 442864, 442899]"/>
    <s v="0.02070929326046074"/>
    <s v="[442818, 442836, 442843, 442864]"/>
    <s v="[0.085, 0.079, 0.042, 0.026]"/>
    <s v="47.96086305373334"/>
    <s v="[0.085, 0.079, 0.042, -0.026]"/>
  </r>
  <r>
    <x v="1177"/>
    <x v="1585"/>
    <x v="0"/>
    <s v="[0, 0, 0, 0, 1]"/>
    <s v="LINESTRING (7.307105163334011 58.079179035363644, 7.307004270135234 58.079229901590175, 7.306832661381691 58.079271169954154, 7.306200620819967 58.07935606501794, 7.304261350453234 58.07959434861042, 7.302618723017339 58.07993978437383)"/>
    <s v="[1185427, 1185435, 1185443, 1185451, 1185459]"/>
    <s v="[1114645, 1114653, 1114661, 1114666, 613314]"/>
    <s v="0.010983601767169752"/>
    <s v="[442818, 1114645, 1114653, 1114661, 1114666]"/>
    <s v="[0.037, 0.006, 0.01, 0.004, 0.032]"/>
    <s v="281.0527063270071"/>
    <s v="[-0.037, -0.006, -0.01, 0.004, 0.032]"/>
  </r>
  <r>
    <x v="1178"/>
    <x v="1583"/>
    <x v="0"/>
    <n v="0"/>
    <s v="LINESTRING (7.312454014479844 58.07864653972366, 7.308630802570803 58.079067339397916, 7.307837866875784 58.07913885570479, 7.307749926107357 58.079134597106965)"/>
    <s v="[1185403, 1185411, 1185419]"/>
    <s v="[1114628, 1114635, 442899]"/>
    <s v="#FIELD!"/>
    <s v="[613259, 1114628, 1114635]"/>
    <s v="[0.045, 0.014, 0.12]"/>
    <s v="283.9483274475372"/>
    <s v="[-0.045, -0.014, 0.12]"/>
  </r>
  <r>
    <x v="1179"/>
    <x v="1414"/>
    <x v="0"/>
    <n v="0"/>
    <m/>
    <n v="443990"/>
    <n v="443013"/>
    <s v="#FIELD!"/>
    <n v="443012"/>
    <s v="0.094"/>
    <s v="2.812561110132898"/>
    <s v="#FIELD!"/>
  </r>
  <r>
    <x v="1179"/>
    <x v="1586"/>
    <x v="0"/>
    <n v="0"/>
    <s v="LINESTRING (6.677965883478223 58.29828855998896, 6.67802796670477 58.29833991695386, 6.678020981875607 58.298400646467584)"/>
    <s v="[444043, 444044]"/>
    <s v="[443069, 443012]"/>
    <s v="#FIELD!"/>
    <s v="[443068, 443069]"/>
    <s v="[0.093, 0.116]"/>
    <s v="13.591158327748897"/>
    <s v="[-0.093, -0.116]"/>
  </r>
  <r>
    <x v="1179"/>
    <x v="1587"/>
    <x v="0"/>
    <n v="0"/>
    <s v="LINESTRING (6.678416239816395 58.298269514559536, 6.678213215900627 58.29835116107332, 6.678124149969782 58.29837464659533, 6.678086728088877 58.2983840801745, 6.678020981875607 58.298400646467584)"/>
    <s v="[1626120, 1626128, 1626136, 1626144]"/>
    <s v="[1454779, 1454784, 1454789, 443012]"/>
    <s v="#FIELD!"/>
    <s v="[1115020, 1454779, 1454784, 1454789]"/>
    <s v="[0.012, 0.05, 0.057, 0.066]"/>
    <s v="27.761278097870544"/>
    <s v="[-0.012, -0.05, -0.057, -0.066]"/>
  </r>
  <r>
    <x v="1180"/>
    <x v="1588"/>
    <x v="0"/>
    <n v="0"/>
    <m/>
    <n v="443999"/>
    <n v="443024"/>
    <s v="#FIELD!"/>
    <n v="443013"/>
    <s v="0.045"/>
    <s v="12.247877392046934"/>
    <s v="#FIELD!"/>
  </r>
  <r>
    <x v="1181"/>
    <x v="1586"/>
    <x v="0"/>
    <n v="0"/>
    <s v="LINESTRING (6.677812227803451 58.29846142196444, 6.677767574683364 58.29845380334957, 6.677678363066583 58.29840698596201, 6.677661259838127 58.29835243931024, 6.677965883478223 58.29828855998896)"/>
    <s v="[444007, 444008, 444018, 444042]"/>
    <s v="[443034, 443035, 443046, 443068]"/>
    <s v="0.056703036757836986"/>
    <s v="[443024, 443034, 443035, 443046]"/>
    <s v="[0.043, 0.066, 0.122, 0.038]"/>
    <s v="39.5491682380854"/>
    <s v="[0.043, 0.066, 0.122, 0.038]"/>
  </r>
  <r>
    <x v="1181"/>
    <x v="1589"/>
    <x v="0"/>
    <n v="0"/>
    <s v="LINESTRING (6.679525800939522 58.30029505691269, 6.679421022920652 58.30011048894104, 6.679374951090258 58.29996091064862, 6.679350781969077 58.29984000352233, 6.679285145577878 58.29927792658422, 6.677868210952923 58.29851030364266, 6.677812227803451 58.29846142196444)"/>
    <s v="[2137130, 2137138, 2137146, 2137154, 2137162, 2137170]"/>
    <s v="[1836898, 1836904, 1836908, 1836913, 1836915, 443024]"/>
    <s v="#FIELD!"/>
    <s v="[1253118, 1836898, 1836904, 1836908, 1836913, 1836915]"/>
    <s v="[0.231, 0.125, 0.119, 0.117, 0.015, 0.099]"/>
    <s v="247.1865144161216"/>
    <s v="[-0.231, -0.125, -0.119, -0.117, 0.015, 0.099]"/>
  </r>
  <r>
    <x v="1182"/>
    <x v="1587"/>
    <x v="0"/>
    <n v="0"/>
    <s v="LINESTRING (6.678416239816395 58.298269514559536, 6.678173320331305 58.29827352518216, 6.678075231436211 58.29828137537907, 6.678037865786447 58.298283827541056, 6.677965883478223 58.29828855998896)"/>
    <s v="[1185907, 1185915, 1185923, 1185931]"/>
    <s v="[1115021, 1115026, 1115031, 443068]"/>
    <s v="0.019503796829246717"/>
    <s v="[1115020, 1115021, 1115026, 1115031]"/>
    <s v="[0.017, 0.064, 0.019, 0.276]"/>
    <s v="26.598440476216336"/>
    <s v="[-0.017, -0.064, -0.019, 0.276]"/>
  </r>
  <r>
    <x v="1183"/>
    <x v="1590"/>
    <x v="0"/>
    <n v="0"/>
    <s v="LINESTRING (9.68743963633807 62.591535984728225, 9.687650590961429 62.591573535302125, 9.687744542755937 62.59164087127864, 9.687760072401408 62.591686479928704, 9.687701733734396 62.591769517406625)"/>
    <s v="[444881, 444896, 444897, 444915]"/>
    <s v="[443902, 443916, 443917, 443926]"/>
    <s v="#FIELD!"/>
    <s v="[443901, 443902, 443916, 443917]"/>
    <s v="[0.009, 0.004, 0.011, 0.016]"/>
    <s v="35.64818199959261"/>
    <s v="[0.009, -0.004, -0.011, -0.016]"/>
  </r>
  <r>
    <x v="1183"/>
    <x v="1591"/>
    <x v="0"/>
    <n v="0"/>
    <s v="LINESTRING (9.687202870171694 62.591580333465814, 9.687316198825217 62.591545891282365, 9.68743963633807 62.591535984728225)"/>
    <s v="[444988, 444989]"/>
    <s v="[443985, 443901]"/>
    <s v="0.017560029029384503"/>
    <s v="[443984, 443985]"/>
    <s v="[0.019, 0.016]"/>
    <s v="13.418686869525638"/>
    <s v="[0.019, 0.016]"/>
  </r>
  <r>
    <x v="1183"/>
    <x v="1592"/>
    <x v="0"/>
    <n v="0"/>
    <s v="LINESTRING (9.687029077713676 62.59120709884341, 9.687395777074034 62.59150033866807, 9.68743963633807 62.591535984728225)"/>
    <s v="[445225, 445229]"/>
    <s v="[444205, 443901]"/>
    <s v="#FIELD!"/>
    <s v="[444183, 444205]"/>
    <s v="0.006"/>
    <s v="42.411904923795255"/>
    <s v="#FIELD!"/>
  </r>
  <r>
    <x v="1184"/>
    <x v="1593"/>
    <x v="0"/>
    <n v="0"/>
    <s v="LINESTRING (9.687701733734396 62.591769517406625, 9.687622487085372 62.59180689450938, 9.687487768048593 62.59183248762514)"/>
    <s v="[444923, 444924]"/>
    <s v="[443933, 443934]"/>
    <s v="#FIELD!"/>
    <s v="[443926, 443933]"/>
    <s v="[0.02, 0.016]"/>
    <s v="13.318418864566686"/>
    <s v="[-0.02, -0.016]"/>
  </r>
  <r>
    <x v="1184"/>
    <x v="1594"/>
    <x v="0"/>
    <n v="0"/>
    <s v="LINESTRING (9.687701733734396 62.591769517406625, 9.687744378411983 62.5917982155554, 9.687948248413118 62.59198392037352)"/>
    <s v="[445321, 445329]"/>
    <s v="[444281, 444219]"/>
    <s v="0.013153948394530263"/>
    <s v="[443926, 444281]"/>
    <s v="[0.004, 0.016]"/>
    <s v="27.258947479448004"/>
    <s v="[-0.004, 0.016]"/>
  </r>
  <r>
    <x v="1185"/>
    <x v="1591"/>
    <x v="0"/>
    <n v="0"/>
    <s v="LINESTRING (9.687487768048593 62.59183248762514, 9.68733072043311 62.59182711410298, 9.687214311862215 62.59179438492151, 9.687142666515635 62.59174756743197, 9.687202870171694 62.591580333465814)"/>
    <s v="[444938, 444954, 444977, 444985]"/>
    <s v="[443945, 443957, 443974, 443984]"/>
    <s v="0.003915763871702749"/>
    <s v="[443934, 443945, 443957, 443974]"/>
    <s v="[0.014, 0.004, 0.004, 0.014]"/>
    <s v="41.32426882753941"/>
    <s v="[-0.014, -0.004, 0.004, 0.014]"/>
  </r>
  <r>
    <x v="1185"/>
    <x v="1594"/>
    <x v="0"/>
    <n v="0"/>
    <s v="LINESTRING (9.687487768048593 62.59183248762514, 9.687565159095888 62.59185648831025, 9.687948248413118 62.59198392037352)"/>
    <s v="[2133045, 2133053]"/>
    <s v="[1834672, 444219]"/>
    <s v="0.02050542738973649"/>
    <s v="[443934, 1834672]"/>
    <s v="[1.269, 0.226]"/>
    <s v="29.079205706947302"/>
    <s v="[1.269, -0.226]"/>
  </r>
  <r>
    <x v="1186"/>
    <x v="1592"/>
    <x v="0"/>
    <n v="0"/>
    <s v="LINESTRING (9.687029077713676 62.59120709884341, 9.68718407593904 62.59153148712995, 9.687202870171694 62.591580333465814)"/>
    <s v="[445201, 445202]"/>
    <s v="[444184, 443984]"/>
    <s v="#FIELD!"/>
    <s v="[444183, 444184]"/>
    <s v="[0.011, 0.012]"/>
    <s v="42.648160956548814"/>
    <s v="[-0.011, -0.012]"/>
  </r>
  <r>
    <x v="1187"/>
    <x v="1595"/>
    <x v="0"/>
    <n v="0"/>
    <s v="LINESTRING (9.692201734781737 62.593618035823724, 9.692615919582186 62.59360920806414, 9.69269198717723 62.59364654452212, 9.692734929555668 62.59369053102654, 9.692743531584842 62.5937124984607)"/>
    <s v="[444996, 445004, 445020, 445036]"/>
    <s v="[443993, 443999, 444011, 444024]"/>
    <s v="0.007938267088345219"/>
    <s v="[443992, 443993, 443999, 444011]"/>
    <s v="[0.001, 0.023, 0.022, 0.025]"/>
    <s v="36.41768608018636"/>
    <s v="[-0.001, 0.023, 0.022, 0.025]"/>
  </r>
  <r>
    <x v="1187"/>
    <x v="1596"/>
    <x v="0"/>
    <n v="0"/>
    <s v="LINESTRING (9.692096647702433 62.59371463036037, 9.692131722183221 62.59366086845615, 9.692201734781737 62.593618035823724)"/>
    <s v="[445084, 445090]"/>
    <s v="[444062, 443992]"/>
    <s v="#FIELD!"/>
    <s v="[444061, 444062]"/>
    <s v="[0.026, 0.022]"/>
    <s v="12.240680628144794"/>
    <s v="[-0.026, -0.022]"/>
  </r>
  <r>
    <x v="1187"/>
    <x v="1597"/>
    <x v="0"/>
    <n v="0"/>
    <s v="LINESTRING (9.691675156232932 62.59352832474403, 9.69212781318049 62.59360689317094, 9.692201734781737 62.593618035823724)"/>
    <s v="[445268, 445276]"/>
    <s v="[444232, 443992]"/>
    <s v="0.010584437993504848"/>
    <s v="[444209, 444232]"/>
    <s v="[0.011, 0.008]"/>
    <s v="28.860126154259056"/>
    <s v="[0.011, 0.008]"/>
  </r>
  <r>
    <x v="1188"/>
    <x v="1598"/>
    <x v="0"/>
    <n v="0"/>
    <s v="LINESTRING (9.692743531584842 62.5937124984607, 9.692734990167892 62.59376907775144, 9.69268254804216 62.593818121409846)"/>
    <s v="[445056, 445064]"/>
    <s v="[444042, 444048]"/>
    <s v="0.03001830073933395"/>
    <s v="[444024, 444042]"/>
    <s v="[0.031, 0.029]"/>
    <s v="12.421710939787989"/>
    <s v="[0.031, 0.029]"/>
  </r>
  <r>
    <x v="1188"/>
    <x v="1599"/>
    <x v="0"/>
    <n v="0"/>
    <s v="LINESTRING (9.692743531584842 62.5937124984607, 9.692837841040062 62.593738326857014, 9.693249451150427 62.59385192637879)"/>
    <s v="[2133077, 2133085]"/>
    <s v="[1834698, 444252]"/>
    <s v="0.009303304561312519"/>
    <s v="[444024, 1834698]"/>
    <s v="[0.343, 0.067]"/>
    <s v="30.29861041775849"/>
    <s v="[0.343, -0.067]"/>
  </r>
  <r>
    <x v="1189"/>
    <x v="1596"/>
    <x v="0"/>
    <n v="0"/>
    <s v="LINESTRING (9.69268254804216 62.593818121409846, 9.692308868533988 62.59387057349778, 9.692194626917056 62.593837553311744, 9.692116725904507 62.59378449916825, 9.692096647702433 62.59371463036037)"/>
    <s v="[445072, 445073, 445080, 445082]"/>
    <s v="[444056, 444057, 444060, 444061]"/>
    <s v="#FIELD!"/>
    <s v="[444048, 444056, 444057, 444060]"/>
    <s v="[0.008, 0.014, 0.028, 0.029]"/>
    <s v="43.09780183379282"/>
    <s v="[0.008, -0.014, -0.028, -0.029]"/>
  </r>
  <r>
    <x v="1189"/>
    <x v="1599"/>
    <x v="0"/>
    <n v="0"/>
    <s v="LINESTRING (9.69268254804216 62.593818121409846, 9.692787261498285 62.593822677912776, 9.693249451150427 62.59385192637879)"/>
    <s v="[2133061, 2133069]"/>
    <s v="[1834686, 444252]"/>
    <s v="#FIELD!"/>
    <s v="[444048, 1834686]"/>
    <s v="[0.289, 0.069]"/>
    <s v="29.38653372444125"/>
    <s v="[0.289, -0.069]"/>
  </r>
  <r>
    <x v="1190"/>
    <x v="1597"/>
    <x v="0"/>
    <n v="0"/>
    <s v="LINESTRING (9.691675156232932 62.59352832474403, 9.69203899538652 62.593690456082115, 9.692096647702433 62.59371463036037)"/>
    <s v="[445231, 445236]"/>
    <s v="[444210, 444061]"/>
    <s v="0.019466179950683372"/>
    <s v="[444209, 444210]"/>
    <s v="[0.02, 0.016]"/>
    <s v="30.018389881354057"/>
    <s v="[0.02, 0.016]"/>
  </r>
  <r>
    <x v="1191"/>
    <x v="1600"/>
    <x v="0"/>
    <n v="0"/>
    <s v="LINESTRING (9.699293846253074 62.595202639344016, 9.699584755329294 62.5951900728001, 9.699690226073441 62.595220792017976, 9.69976554467527 62.595269928244996, 9.699776243261107 62.595376772215275)"/>
    <s v="[445098, 445113, 445114, 445115]"/>
    <s v="[444071, 444082, 444083, 444084]"/>
    <s v="0.0035057877082473534"/>
    <s v="[444070, 444071, 444082, 444083]"/>
    <s v="[0.02, 0.001, 0.014, 0.03]"/>
    <s v="40.688063713445636"/>
    <s v="[-0.02, -0.001, 0.014, 0.03]"/>
  </r>
  <r>
    <x v="1191"/>
    <x v="1601"/>
    <x v="0"/>
    <n v="0"/>
    <s v="LINESTRING (9.69915935219075 62.595280369102746, 9.699212684148401 62.595235694079065, 9.699293846253074 62.595202639344016)"/>
    <s v="[445186, 445194]"/>
    <s v="[444168, 444070]"/>
    <s v="#FIELD!"/>
    <s v="[444161, 444168]"/>
    <s v="[0.03, 0.036]"/>
    <s v="11.252962867481553"/>
    <s v="[-0.03, -0.036]"/>
  </r>
  <r>
    <x v="1191"/>
    <x v="1602"/>
    <x v="0"/>
    <n v="0"/>
    <s v="LINESTRING (9.698809672367137 62.59509637245034, 9.699219696462851 62.595182907834456, 9.699293846253074 62.595202639344016)"/>
    <s v="[445306, 445313]"/>
    <s v="[444266, 444070]"/>
    <s v="#FIELD!"/>
    <s v="[444243, 444266]"/>
    <s v="[0.006, 0.0]"/>
    <s v="27.579871023030716"/>
    <s v="[-0.006, -0.0]"/>
  </r>
  <r>
    <x v="1192"/>
    <x v="1603"/>
    <x v="0"/>
    <n v="0"/>
    <s v="LINESTRING (9.699776243261107 62.595376772215275, 9.69972030147185 62.59542403877606, 9.699629945286146 62.59545993003276)"/>
    <s v="[445127, 445135]"/>
    <s v="[444096, 444107]"/>
    <s v="0.03251566965996939"/>
    <s v="[444084, 444096]"/>
    <s v="[0.031, 0.034]"/>
    <s v="12.134865073386827"/>
    <s v="[0.031, 0.034]"/>
  </r>
  <r>
    <x v="1192"/>
    <x v="1604"/>
    <x v="0"/>
    <n v="0"/>
    <s v="LINESTRING (9.699776243261107 62.595376772215275, 9.699821264526525 62.5954004545322, 9.70011955983491 62.59557217709809)"/>
    <s v="[2133125, 2133133]"/>
    <s v="[1834734, 1834710]"/>
    <s v="0.021003426811466188"/>
    <s v="[444084, 1834734]"/>
    <s v="[0.035, 0.019]"/>
    <s v="28.041971449714236"/>
    <s v="[0.035, 0.019]"/>
  </r>
  <r>
    <x v="1193"/>
    <x v="1601"/>
    <x v="0"/>
    <n v="0"/>
    <s v="LINESTRING (9.699629945286146 62.59545993003276, 9.69934156717975 62.59546869667963, 9.699231389082582 62.595433947329425, 9.699150666383556 62.59536687947418, 9.69915935219075 62.595280369102746)"/>
    <s v="[445156, 445170, 445171, 445179]"/>
    <s v="[444137, 444152, 444153, 444161]"/>
    <s v="#FIELD!"/>
    <s v="[444107, 444137, 444152, 444153]"/>
    <s v="[0.019, 0.005, 0.014, 0.03]"/>
    <s v="40.32696592055147"/>
    <s v="[0.019, -0.005, -0.014, -0.03]"/>
  </r>
  <r>
    <x v="1193"/>
    <x v="1604"/>
    <x v="0"/>
    <n v="0"/>
    <s v="LINESTRING (9.699629945286146 62.59545993003276, 9.699702938163583 62.595476854979026, 9.70011955983491 62.59557217709809)"/>
    <s v="[2133109, 2133117]"/>
    <s v="[1834721, 1834710]"/>
    <s v="0.007034369155532555"/>
    <s v="[444107, 1834721]"/>
    <s v="[0.03, 0.003]"/>
    <s v="28.1065436927706"/>
    <s v="[0.03, 0.003]"/>
  </r>
  <r>
    <x v="1194"/>
    <x v="1602"/>
    <x v="0"/>
    <n v="0"/>
    <s v="LINESTRING (9.698809672367137 62.59509637245034, 9.699106911075207 62.5952545152519, 9.69915935219075 62.595280369102746)"/>
    <s v="[445282, 445290]"/>
    <s v="[444244, 444161]"/>
    <s v="0.008578725139276237"/>
    <s v="[444243, 444244]"/>
    <s v="[0.008, 0.012]"/>
    <s v="27.27909844978072"/>
    <s v="[0.008, 0.012]"/>
  </r>
  <r>
    <x v="1195"/>
    <x v="1605"/>
    <x v="113"/>
    <n v="0"/>
    <s v="LINESTRING (9.658544630487143 62.57865708439307, 9.659264341822244 62.578904010211076, 9.660472698402902 62.57918203752118, 9.660515098692255 62.57919059752767, 9.660647905285396 62.57921700484496, 9.660813893498378 62.579247794939036, 9.661836075442142 62.57938044498183)"/>
    <s v="[2066647, 2066655, 2066663, 2066671, 2066679, 2066687]"/>
    <s v="[1795314, 1795319, 1795324, 1795329, 1795334, 444179]"/>
    <s v="0.022923730308745893"/>
    <s v="[444178, 1795314, 1795319, 1795324, 1795329, 1795334]"/>
    <s v="[0.015, 0.022, 0.03, 0.024, 0.025, 0.03]"/>
    <s v="189.76509479766122"/>
    <s v="[0.015, 0.022, 0.03, 0.024, 0.025, 0.03]"/>
  </r>
  <r>
    <x v="1195"/>
    <x v="1605"/>
    <x v="0"/>
    <n v="0"/>
    <s v="LINESTRING (9.658544630487143 62.57865708439307, 9.659219238661782 62.57881158037653, 9.659343721574293 62.57884248460454, 9.660536266609956 62.57911327451965, 9.660629588125452 62.579130099605145, 9.660877769310488 62.579174823331556, 9.661836075442142 62.57938044498183)"/>
    <s v="[2066727, 2066735, 2066743, 2066751, 2066759, 2066767]"/>
    <s v="[1795353, 1795357, 1795362, 1795341, 1795370, 444179]"/>
    <s v="0.023413204910131595"/>
    <s v="[444178, 1795353, 1795357, 1795362, 1795341, 1795370]"/>
    <s v="[0.02, 0.019, 0.023, 0.024, 0.027, 0.026]"/>
    <s v="188.11953127378595"/>
    <s v="[0.02, 0.019, 0.023, 0.024, 0.027, 0.026]"/>
  </r>
  <r>
    <x v="1195"/>
    <x v="1606"/>
    <x v="0"/>
    <n v="0"/>
    <s v="LINESTRING (9.535044916992877 62.37598297377158, 9.658544630487143 62.57865708439307)"/>
    <m/>
    <m/>
    <s v="0.0"/>
    <m/>
    <n v="0"/>
    <s v="18870.27767173504"/>
    <n v="0"/>
  </r>
  <r>
    <x v="1196"/>
    <x v="1592"/>
    <x v="0"/>
    <s v="[0, 0, 0, 1, 0, 0, 0, 1, 0, 0]"/>
    <s v="LINESTRING (9.661836075442142 62.57938044498183, 9.662526176664574 62.579494205174434, 9.673749071524455 62.583187095596486, 9.673837978264947 62.58323732431628, 9.673898872236814 62.58327173585309, 9.674024221045952 62.58334257535107, 9.684800946321888 62.58961585426352, 9.68610867416933 62.59049463178339, 9.686642444701466 62.590882973340925, 9.686687690162845 62.59091686382015, 9.687029077713676 62.59120709884341)"/>
    <s v="[445198, 2133141, 2133149, 2133157, 2133165, 2133173, 445203, 445207, 445209, 445217]"/>
    <s v="[444180, 1834740, 1834746, 1834753, 1834757, 444185, 444186, 444190, 444192, 444183]"/>
    <s v="0.0033931145524948936"/>
    <s v="[444179, 444180, 1834740, 1834746, 1834753, 1834757, 444185, 444186, 444190, 444192]"/>
    <s v="[0.03, 0.023, 0.012, 0.009, 0.013, 0.01, 0.011, 0.01, 0.011, 0.009]"/>
    <s v="1888.4382372257776"/>
    <s v="[0.03, 0.023, -0.012, -0.009, -0.013, -0.01, -0.011, -0.01, -0.011, -0.009]"/>
  </r>
  <r>
    <x v="1197"/>
    <x v="1594"/>
    <x v="0"/>
    <n v="0"/>
    <s v="LINESTRING (9.687948248413118 62.59198392037352, 9.690257018527392 62.59295158765605, 9.691675156232932 62.59352832474403)"/>
    <s v="[445243, 445253]"/>
    <s v="[444220, 444209]"/>
    <s v="0.025603820383895644"/>
    <s v="[444219, 444220]"/>
    <s v="[0.029, 0.02]"/>
    <s v="257.61324302177184"/>
    <s v="[0.029, 0.02]"/>
  </r>
  <r>
    <x v="1198"/>
    <x v="1599"/>
    <x v="0"/>
    <n v="0"/>
    <m/>
    <n v="445291"/>
    <n v="444243"/>
    <s v="0.002"/>
    <n v="444252"/>
    <s v="0.002"/>
    <s v="317.7914080458395"/>
    <s v="0.002"/>
  </r>
  <r>
    <x v="1199"/>
    <x v="1607"/>
    <x v="0"/>
    <n v="0"/>
    <s v="LINESTRING (10.806724819654056 59.915508137872706, 10.804267856691485 59.914335955434545, 10.803348545413037 59.91388998823976, 10.803279927353746 59.91386055661597, 10.803158430663608 59.9138075000053)"/>
    <s v="[770192, 770200, 770201, 770208]"/>
    <s v="[749563, 749572, 749573, 749584]"/>
    <s v="#FIELD!"/>
    <s v="[447314, 749563, 749572, 749573]"/>
    <s v="[0.02, 0.024, 0.021, 0.016]"/>
    <s v="275.2402432759484"/>
    <s v="[-0.02, -0.024, 0.021, 0.016]"/>
  </r>
  <r>
    <x v="1199"/>
    <x v="1608"/>
    <x v="0"/>
    <n v="0"/>
    <s v="LINESTRING (10.808118805253537 59.91965889220113, 10.808126897742753 59.919623184429895, 10.808156636703448 59.9195228706441, 10.808551100774803 59.918758747734564, 10.809395846407961 59.91794664858466, 10.809958350690092 59.917568241847334, 10.80971642411519 59.91703392659734, 10.80725709090555 59.91581731194487, 10.806883448181406 59.91563007876693, 10.806724819654056 59.915508137872706)"/>
    <s v="[751714, 514488, 514496, 345453, 345454, 514504, 514512, 2079729, 448582]"/>
    <s v="[520824, 520825, 334036, 334037, 334038, 520846, 520853, 447313, 447314]"/>
    <s v="#FIELD!"/>
    <s v="[733315, 520824, 520825, 334036, 334037, 334038, 520846, 520853, 447313]"/>
    <s v="[0.144, 0.011, 0.001, 0.007, 0.01, 0.007, 0.015, 0.175, 0.019]"/>
    <s v="562.806349104765"/>
    <s v="[0.144, 0.011, -0.001, -0.007, -0.01, 0.007, -0.015, -0.175, -0.019]"/>
  </r>
  <r>
    <x v="1199"/>
    <x v="1609"/>
    <x v="0"/>
    <s v="[0, 0, 0, 0, 0, 0, 0, 0, 0, 0, 0, 0, 0, 0, 0, 0, 0, 0, 1, 1, 0, 0, 0, 0, 0, 0, 0, 0]"/>
    <s v="LINESTRING (10.835792571335011 59.923791373565, 10.835991619655557 59.92372810406175, 10.833666240818022 59.923726603539016, 10.8322732684351 59.9236478818979, 10.831923719468156 59.92361739532458, 10.831878343452306 59.92361346823635, 10.831528593065265 59.92358330689646, 10.827685153023214 59.922809014535694, 10.827671479202754 59.922803240399354, 10.820441134147302 59.920068301571206, 10.817665116166244 59.91921450297528, 10.81764968223391 59.9192099305929, 10.81746444535089 59.91915501595591, 10.817417563028126 59.919141927659055, 10.814345221807594 59.91832380398379, 10.81358106081882 59.91812525298587, 10.812280963738774 59.91778449015929, 10.811671552783935 59.91761854362006, 10.811442193723881 59.91755140869396, 10.811288963127387 59.91750596416807, 10.81060988214339 59.91727973847788, 10.810211070755251 59.91712861504871, 10.810154968770942 59.917106329160596, 10.80853983293929 59.9163720725531, 10.807493438109404 59.91586979646177, 10.80721980327912 59.91574095643492, 10.807166205223343 59.915717310311464, 10.806788712021268 59.915537605842005, 10.806724819654056 59.915508137872706)"/>
    <s v="[769953, 769962, 769981, 769982, 769989, 769993, 769994, 770004, 770005, 770006, 770018, 770020, 770034, 770060, 770068, 770082, 770105, 770115, 770123, 770131, 770139, 770140, 770152, 770160, 770168, 770176, 770184, 770185]"/>
    <s v="[749254, 749267, 749289, 749290, 749299, 749303, 749304, 749317, 749318, 749319, 749333, 743047, 749351, 749387, 749400, 749414, 749441, 749457, 749470, 749481, 749494, 749495, 749513, 749523, 749531, 749542, 749554, 447314]"/>
    <s v="0.0017653201654859695"/>
    <s v="[735292, 749254, 749267, 749289, 749290, 749299, 749303, 749304, 749317, 749318, 749319, 749333, 743047, 749351, 749387, 749400, 749414, 749441, 749457, 749470, 749481, 749494, 749495, 749513, 749523, 749531, 749542, 749554]"/>
    <s v="[0.059, 0.007, 0.014, 0.016, 0.014, 0.012, 0.007, 0.232, 0.016, 0.028, 0.013, 0.019, 0.021, 0.002, 0.035, 0.01, 0.051, 0.183, 0.155, 0.032, 0.076, 0.01, 0.022, 0.026, 0.005, 0.011, 0.027, 0.582]"/>
    <s v="1924.7488253063993"/>
    <s v="[-0.059, 0.007, 0.014, 0.016, -0.014, 0.012, 0.007, 0.232, 0.016, 0.028, 0.013, 0.019, 0.021, -0.002, -0.035, -0.01, -0.051, -0.183, -0.155, 0.032, 0.076, -0.01, -0.022, -0.026, -0.005, -0.011, -0.027, -0.582]"/>
  </r>
  <r>
    <x v="1200"/>
    <x v="1610"/>
    <x v="0"/>
    <n v="0"/>
    <m/>
    <n v="1196056"/>
    <n v="447422"/>
    <s v="0.031"/>
    <n v="932372"/>
    <s v="0.031"/>
    <s v="226.33595882281858"/>
    <s v="0.031"/>
  </r>
  <r>
    <x v="1201"/>
    <x v="1611"/>
    <x v="114"/>
    <n v="0"/>
    <m/>
    <n v="474764"/>
    <n v="448103"/>
    <s v="0.014"/>
    <n v="447638"/>
    <s v="0.014"/>
    <s v="289.6246957487646"/>
    <s v="0.014"/>
  </r>
  <r>
    <x v="1202"/>
    <x v="1612"/>
    <x v="0"/>
    <n v="0"/>
    <s v="LINESTRING (13.196620323025064 65.8524750151079, 13.19630871170344 65.85298720685695, 13.196004934639847 65.85343786078242, 13.195964097292189 65.85348547570815, 13.195890931425534 65.85357561829095, 13.19550594919538 65.85420227926092)"/>
    <s v="[449330, 449338, 449347, 449355, 449363]"/>
    <s v="[448104, 448113, 448120, 448129, 448138]"/>
    <s v="#FIELD!"/>
    <s v="[448103, 448104, 448113, 448120, 448129]"/>
    <s v="[0.034, 0.038, 0.043, 0.041, 0.034]"/>
    <s v="199.42922947312314"/>
    <s v="[-0.034, -0.038, -0.043, -0.041, -0.034]"/>
  </r>
  <r>
    <x v="1202"/>
    <x v="1612"/>
    <x v="0"/>
    <n v="0"/>
    <s v="LINESTRING (13.196620323025064 65.8524750151079, 13.1965372471904 65.8529001578184, 13.19649066809129 65.85300496409229, 13.196187597175644 65.85346183717421, 13.19615064637746 65.85350965943212, 13.196094229592722 65.85358285748889, 13.19550594919538 65.85420227926092)"/>
    <s v="[449371, 449379, 449387, 449395, 449403, 449411]"/>
    <s v="[448148, 448156, 448166, 448177, 448190, 448138]"/>
    <s v="#FIELD!"/>
    <s v="[448103, 448148, 448156, 448166, 448177, 448190]"/>
    <s v="[0.018, 0.029, 0.036, 0.044, 0.042, 0.046]"/>
    <s v="200.80967206616458"/>
    <s v="[-0.018, -0.029, -0.036, -0.044, -0.042, -0.046]"/>
  </r>
  <r>
    <x v="1203"/>
    <x v="1613"/>
    <x v="0"/>
    <n v="0"/>
    <m/>
    <n v="474772"/>
    <n v="448263"/>
    <s v="#FIELD!"/>
    <n v="448138"/>
    <s v="0.021"/>
    <s v="107.72619941811976"/>
    <s v="#FIELD!"/>
  </r>
  <r>
    <x v="1204"/>
    <x v="1614"/>
    <x v="0"/>
    <n v="0"/>
    <s v="LINESTRING (13.195167494818438 65.85515544958041, 13.195246192246175 65.85588557322706, 13.19523767860413 65.85596624557435, 13.195227064386739 65.85601190968309, 13.195156317208314 65.85632839627493, 13.19491292702259 65.85674878762538)"/>
    <s v="[449475, 449483, 449491, 449499, 449507]"/>
    <s v="[448264, 448271, 448281, 448289, 448296]"/>
    <s v="#FIELD!"/>
    <s v="[448263, 448264, 448271, 448281, 448289]"/>
    <s v="[0.005, 0.005, 0.008, 0.008, 0.019]"/>
    <s v="179.27856874020551"/>
    <s v="[0.005, -0.005, -0.008, -0.008, -0.019]"/>
  </r>
  <r>
    <x v="1204"/>
    <x v="1614"/>
    <x v="0"/>
    <n v="0"/>
    <s v="LINESTRING (13.195167494818438 65.85515544958041, 13.195076259791382 65.85588357232425, 13.195064083003498 65.85596958637207, 13.19505884172277 65.85600708391009, 13.194996310684646 65.85631983498337, 13.194975077536315 65.85640372306518, 13.19491292702259 65.85674878762538)"/>
    <s v="[449515, 449523, 449531, 449539, 449547, 449555]"/>
    <s v="[448303, 448311, 448319, 448327, 448336, 448296]"/>
    <s v="#FIELD!"/>
    <s v="[448263, 448303, 448311, 448319, 448327, 448336]"/>
    <s v="[0.004, 0.008, 0.001, 0.006, 0.007, 0.005]"/>
    <s v="178.06740244445206"/>
    <s v="[-0.004, -0.008, 0.001, -0.006, -0.007, -0.005]"/>
  </r>
  <r>
    <x v="1205"/>
    <x v="1615"/>
    <x v="0"/>
    <n v="0"/>
    <m/>
    <n v="474780"/>
    <n v="473270"/>
    <s v="#FIELD!"/>
    <n v="448296"/>
    <s v="0.017"/>
    <s v="349.72256659994457"/>
    <s v="#FIELD!"/>
  </r>
  <r>
    <x v="1206"/>
    <x v="1616"/>
    <x v="0"/>
    <n v="0"/>
    <s v="LINESTRING (13.193877363842049 65.86167305148106, 13.194618192575653 65.86202608380945, 13.194977498207294 65.86218015659533, 13.195180628737711 65.86226565399265, 13.195253036811371 65.86229624861896, 13.195866176984017 65.86254913021202, 13.19598236676146 65.86259719292924, 13.196272083026889 65.86272349256956, 13.197329245416116 65.86316319472316, 13.197433323282182 65.86320335971936, 13.197512512473644 65.86323486760033, 13.197624844966198 65.863279563017, 13.197970109596865 65.86340896239565, 13.198662588735028 65.8636163295983, 13.19875874819559 65.86363878326216, 13.199038905670758 65.86369288023916)"/>
    <s v="[449683, 449699, 449707, 449715, 449723, 449731, 449739, 449747, 449755, 449763, 449771, 449779, 449787, 449795, 449803]"/>
    <s v="[448450, 448467, 448476, 448484, 448493, 448502, 448510, 448517, 448521, 448531, 448542, 448551, 448556, 448565, 448573]"/>
    <s v="0.0281428174458697"/>
    <s v="[448449, 448450, 448467, 448476, 448484, 448493, 448502, 448510, 448517, 448521, 448531, 448542, 448551, 448556, 448565]"/>
    <s v="[0.012, 0.007, 0.01, 0.008, 0.006, 0.01, 0.007, 0.012, 0.089, 0.091, 0.096, 0.097, 0.102, 0.106, 0.104]"/>
    <s v="327.5787590048684"/>
    <s v="[-0.012, -0.007, -0.01, -0.008, -0.006, -0.01, -0.007, 0.012, 0.089, 0.091, 0.096, 0.097, 0.102, 0.106, 0.104]"/>
  </r>
  <r>
    <x v="1206"/>
    <x v="1616"/>
    <x v="0"/>
    <n v="0"/>
    <s v="LINESTRING (13.193877363842049 65.86167305148106, 13.194735166833228 65.86198147474934, 13.19510200421407 65.86213037674166, 13.195310066995262 65.86221431658336, 13.195380970636327 65.86224479471811, 13.195988050643352 65.86250124822908, 13.196105308834108 65.86254908110764, 13.196302701599832 65.86262959129355, 13.196404964064266 65.86267089340701, 13.197466238833819 65.86310947628216, 13.197566980329398 65.86315126228482, 13.19764242958441 65.8631823312434, 13.197746655662836 65.8632244542519, 13.198079475023274 65.86335937911048, 13.19872436151687 65.86358202705175, 13.198808882408207 65.86361038392886, 13.199038905670758 65.86369288023916)"/>
    <s v="[449811, 449819, 449827, 449835, 449843, 449851, 449860, 449869, 449877, 449885, 449893, 449901, 449909, 449917, 449925, 449933]"/>
    <s v="[448580, 448587, 448592, 448597, 448604, 448609, 448620, 448630, 448638, 448644, 448651, 448659, 448669, 448675, 448683, 448573]"/>
    <s v="0.028203397117121713"/>
    <s v="[448449, 448580, 448587, 448592, 448597, 448604, 448609, 448620, 448630, 448638, 448644, 448651, 448659, 448669, 448675, 448683]"/>
    <s v="[0.003, 0.007, 0.004, 0.008, 0.008, 0.007, 0.007, 0.005, 0.008, 0.089, 0.086, 0.094, 0.096, 0.1, 0.111, 0.105]"/>
    <s v="326.0699307165525"/>
    <s v="[-0.003, -0.007, -0.004, -0.008, -0.008, -0.007, -0.007, -0.005, 0.008, 0.089, 0.086, 0.094, 0.096, 0.1, 0.111, 0.105]"/>
  </r>
  <r>
    <x v="1206"/>
    <x v="1617"/>
    <x v="0"/>
    <n v="0"/>
    <s v="LINESTRING (13.192969559328414 65.86128852941391, 13.193559212403747 65.86153683598786, 13.193877363842049 65.86167305148106)"/>
    <s v="[474788, 474796]"/>
    <s v="[473281, 448449]"/>
    <s v="0.08235180358688499"/>
    <s v="[473280, 473281]"/>
    <s v="[0.002, 0.23]"/>
    <s v="59.61228268467575"/>
    <s v="[0.002, 0.23]"/>
  </r>
  <r>
    <x v="1207"/>
    <x v="1618"/>
    <x v="0"/>
    <n v="0"/>
    <s v="LINESTRING (13.199038905670758 65.86369288023916, 13.199154117438425 65.86371845627757, 13.202447718004631 65.86417810087823, 13.206753924073595 65.86609463282743, 13.20754876955867 65.86744824405412)"/>
    <s v="[474804, 474812, 474820, 474828]"/>
    <s v="[473296, 473305, 473314, 473323]"/>
    <s v="0.09185899330237625"/>
    <s v="[448573, 473296, 473305, 473314]"/>
    <s v="[1.297, 0.069, 0.086, 0.08]"/>
    <s v="614.8863933815185"/>
    <s v="[1.297, 0.069, 0.086, 0.08]"/>
  </r>
  <r>
    <x v="1208"/>
    <x v="1448"/>
    <x v="0"/>
    <n v="0"/>
    <m/>
    <n v="450618"/>
    <n v="449378"/>
    <s v="#FIELD!"/>
    <n v="449377"/>
    <s v="0.012"/>
    <s v="8.059655699688186"/>
    <s v="#FIELD!"/>
  </r>
  <r>
    <x v="1208"/>
    <x v="1619"/>
    <x v="0"/>
    <s v="[0, 1, 1, 1, 0, 0, 0, 0, 0, 0, 0, 0, 0, 0, 0, 0, 0, 0, 0]"/>
    <s v="LINESTRING (17.436404241827276 68.44203375554962, 17.436451482165914 68.44208497807381, 17.436542888227574 68.44224524739846, 17.436582359899514 68.44231429915617, 17.436602438700895 68.44234940340058, 17.436632618777757 68.44239242893651, 17.43667489043159 68.4424466764294, 17.43670932605631 68.44248865278932, 17.436996158159577 68.44268089043227, 17.437559229161753 68.4428686749613, 17.437580738197873 68.44287261582451, 17.437651765345784 68.44288587843846, 17.437738098156355 68.44290144903914, 17.442396562594787 68.44261172052646, 17.4455791646769 68.44275019305256, 17.44569615974049 68.44276649635948, 17.44578405249767 68.44277883607656, 17.445950969367335 68.44280228975455, 17.44698812741683 68.44296622563274, 17.45102928990159 68.44389090340539)"/>
    <s v="[490911, 490912, 490913, 490920, 490921, 490922, 490929, 490930, 490931, 490938, 490944, 490945, 490957, 490972, 490980, 490988, 490989, 491001, 491011]"/>
    <s v="[491397, 491398, 491399, 491410, 491411, 491412, 490311, 491423, 491424, 449269, 491440, 449292, 491453, 491472, 449208, 491489, 449248, 491504, 488885]"/>
    <s v="#FIELD!"/>
    <s v="[449377, 491397, 491398, 491399, 491410, 491411, 491412, 490311, 491423, 491424, 449269, 491440, 449292, 491453, 491472, 449208, 491489, 449248, 491504]"/>
    <s v="[2.225, 0.001, 0.001, 0.0, 0.003, 0.004, 0.007, 0.016, 0.032, 0.036, 0.044, 0.044, 0.058, 0.03, 0.032, 0.022, 0.023, 0.009, 0.006]"/>
    <s v="704.6511918181411"/>
    <s v="[-2.225, 0.001, -0.001, -0.0, -0.003, -0.004, -0.007, -0.016, -0.032, -0.036, -0.044, -0.044, -0.058, -0.03, -0.032, -0.022, -0.023, -0.009, 0.006]"/>
  </r>
  <r>
    <x v="1209"/>
    <x v="1447"/>
    <x v="0"/>
    <n v="0"/>
    <s v="LINESTRING (17.436593429953344 68.44201419228747, 17.436640784629365 68.4420095541361, 17.437127999213473 68.44194189115578)"/>
    <s v="[450626, 450634]"/>
    <s v="[449383, 449389]"/>
    <s v="#FIELD!"/>
    <s v="[449378, 449383]"/>
    <s v="[0.023, 0.006]"/>
    <s v="23.368096674127187"/>
    <s v="[-0.023, -0.006]"/>
  </r>
  <r>
    <x v="1209"/>
    <x v="1619"/>
    <x v="0"/>
    <s v="[0, 1, 1, 1, 0, 0, 0, 0, 0, 0, 0, 0, 0, 0, 0, 0, 0, 0, 0, 0, 0, 0, 0, 0, 0]"/>
    <s v="LINESTRING (17.436593429953344 68.44201419228747, 17.43665734963512 68.44207119406072, 17.43670888410983 68.44215936596635, 17.436749841101918 68.44222951791602, 17.436808402700954 68.44232991884681, 17.4368357463339 68.4423744754499, 17.436874493108533 68.44243065890852, 17.43688976136625 68.44244826952438, 17.436926547216835 68.44248759100061, 17.436934681958903 68.44249628580958, 17.43705794094912 68.44257471698818, 17.43716832343688 68.442628960065, 17.437658860965236 68.44278926040765, 17.43767614869205 68.44279343324473, 17.437727424987973 68.4428052602592, 17.43780684642132 68.44282191868523, 17.442220440767517 68.44256464136775, 17.442411209265405 68.44254909610378, 17.44562632014064 68.44268090071859, 17.445744293988934 68.44269768330403, 17.44586534129969 68.44271919550582, 17.44600848493408 68.44274464781411, 17.4470492275734 68.44291806217144, 17.447520201024194 68.44300320509831, 17.450070665673607 68.44357022776182, 17.45102928990159 68.44389090340539)"/>
    <s v="[488476, 488484, 488485, 488493, 488509, 488510, 488522, 488531, 488532, 488540, 488547, 488554, 488585, 488586, 488592, 488593, 488594, 488595, 488610, 488626, 488634, 488635, 488642, 488654, 488661]"/>
    <s v="[488686, 488695, 488696, 488705, 488722, 488723, 488736, 488743, 488744, 488755, 488761, 488769, 449268, 488797, 449291, 488804, 488805, 488806, 449207, 488846, 449247, 488855, 335013, 335026, 488885]"/>
    <s v="#FIELD!"/>
    <s v="[449378, 488686, 488695, 488696, 488705, 488722, 488723, 488736, 488743, 488744, 488755, 488761, 488769, 449268, 488797, 449291, 488804, 488805, 488806, 449207, 488846, 449247, 488855, 335013, 335026]"/>
    <s v="[1.809, 0.01, 0.01, 0.012, 0.014, 0.013, 0.026, 0.024, 0.005, 0.036, 0.045, 0.06, 0.07, 0.078, 0.071, 0.06, 0.043, 0.033, 0.034, 0.03, 0.024, 0.013, 0.006, 0.015, 0.018]"/>
    <s v="698.2617714705143"/>
    <s v="[-1.809, -0.01, -0.01, -0.012, -0.014, -0.013, -0.026, -0.024, -0.005, -0.036, -0.045, -0.06, -0.07, -0.078, -0.071, -0.06, -0.043, -0.033, -0.034, -0.03, -0.024, -0.013, -0.006, 0.015, 0.018]"/>
  </r>
  <r>
    <x v="1210"/>
    <x v="1620"/>
    <x v="0"/>
    <n v="0"/>
    <s v="LINESTRING (17.437127999213473 68.44194189115578, 17.438451550260556 68.44184556890151, 17.441115800732458 68.44140913848597)"/>
    <s v="[1022570, 1022578]"/>
    <s v="[381279, 386136]"/>
    <s v="#FIELD!"/>
    <s v="[449389, 381279]"/>
    <s v="[0.235, 0.027]"/>
    <s v="176.29097415328644"/>
    <s v="[-0.235, 0.027]"/>
  </r>
  <r>
    <x v="1211"/>
    <x v="1525"/>
    <x v="0"/>
    <n v="0"/>
    <s v="LINESTRING (14.15205639351087 66.30868248112984, 14.152801774785576 66.30909564376837, 14.158106583391186 66.3141794266695, 14.158581735150072 66.31422857943164)"/>
    <s v="[1196752, 1196760, 1196768]"/>
    <s v="[1123016, 1123022, 450262]"/>
    <s v="0.0012187665070530287"/>
    <s v="[926875, 1123016, 1123022]"/>
    <s v="[0.006, 0.004, 0.092]"/>
    <s v="718.2017777298199"/>
    <s v="[0.006, 0.004, -0.092]"/>
  </r>
  <r>
    <x v="1212"/>
    <x v="1621"/>
    <x v="115"/>
    <n v="0"/>
    <s v="LINESTRING (14.160951089888743 66.31449258944971, 14.161361592510055 66.31446029709171, 14.161568274870872 66.3144440415864, 14.167332673627476 66.31560054166829)"/>
    <s v="[1196776, 1196784, 1196792]"/>
    <s v="[1123032, 1123037, 450461]"/>
    <s v="#FIELD!"/>
    <s v="[450288, 1123032, 1123037]"/>
    <s v="[0.116, 0.008, 0.023]"/>
    <s v="359.03775455409215"/>
    <s v="[0.116, -0.008, -0.023]"/>
  </r>
  <r>
    <x v="1213"/>
    <x v="1537"/>
    <x v="0"/>
    <n v="0"/>
    <s v="LINESTRING (14.172575365756922 66.32051387183462, 14.17331025758869 66.32089899228998, 14.173778081218618 66.32156180573278)"/>
    <s v="[1196808, 1196816]"/>
    <s v="[404595, 450370]"/>
    <s v="#FIELD!"/>
    <s v="[490718, 404595]"/>
    <s v="[0.014, 0.008]"/>
    <s v="131.35295335665032"/>
    <s v="[-0.014, 0.008]"/>
  </r>
  <r>
    <x v="1214"/>
    <x v="1549"/>
    <x v="0"/>
    <s v="[1, 0]"/>
    <s v="LINESTRING (14.174348487011555 66.32227450714564, 14.175237844449605 66.32351231493158, 14.175436484606946 66.32369567563332)"/>
    <s v="[1196824, 1196832]"/>
    <s v="[1123058, 490719]"/>
    <s v="#FIELD!"/>
    <s v="[450383, 1123058]"/>
    <s v="[0.037, 0.094]"/>
    <s v="165.9116356149641"/>
    <s v="[-0.037, 0.094]"/>
  </r>
  <r>
    <x v="1215"/>
    <x v="1622"/>
    <x v="0"/>
    <n v="0"/>
    <s v="LINESTRING (14.167332673627476 66.31560054166829, 14.16762066489346 66.31582422636411, 14.167785460533155 66.31600203330541, 14.167890843913971 66.31611778685206, 14.16807760457139 66.31632776743457, 14.168111331579162 66.31636982847343, 14.1681416699876 66.31640776226902, 14.168165110253517 66.31643704617981, 14.16820903649936 66.31649184795295, 14.1682279158432 66.31651534752761, 14.168659589336748 66.31705434305974, 14.168888511444122 66.31733926558773, 14.169040597931385 66.3176322019734)"/>
    <s v="[451846, 1029044, 1029052, 1029060, 1029068, 1029076, 1029084, 1029092, 1029100, 1029108, 1029116, 451870]"/>
    <s v="[450462, 983322, 983327, 983332, 983336, 983341, 420032, 983357, 983363, 983370, 450481, 450473]"/>
    <s v="#FIELD!"/>
    <s v="[450461, 450462, 983322, 983327, 983332, 983336, 983341, 420032, 983357, 983363, 983370, 450481]"/>
    <s v="[0.025, 0.24, 0.069, 0.057, 0.034, 0.038, 0.045, 0.034, 0.04, 0.034, 0.166, 0.027]"/>
    <s v="239.73162501453194"/>
    <s v="[-0.025, -0.24, -0.069, -0.057, -0.034, -0.038, -0.045, -0.034, -0.04, -0.034, 0.166, -0.027]"/>
  </r>
  <r>
    <x v="1215"/>
    <x v="1622"/>
    <x v="0"/>
    <n v="0"/>
    <s v="LINESTRING (14.167332673627476 66.31560054166829, 14.167486593248537 66.31584396483885, 14.167718821722525 66.31613679320459, 14.167883833358191 66.31634794962255, 14.167915869161616 66.31638986708134, 14.167945931952666 66.31642870560098, 14.167973684020247 66.31646320731483, 14.168015931025655 66.31651615195798, 14.168034842362427 66.31654002854637, 14.168490427412538 66.31708451760548, 14.168558658479979 66.31715941157294, 14.168746928721038 66.31736327154796, 14.169040597931385 66.3176322019734)"/>
    <s v="[451854, 490177, 490190, 490198, 490207, 490210, 490211, 490234, 490237, 490256, 490259, 451862]"/>
    <s v="[450468, 490627, 490642, 490652, 490662, 420031, 490666, 490688, 490692, 490713, 450472, 450473]"/>
    <s v="#FIELD!"/>
    <s v="[450461, 450468, 490627, 490642, 490652, 490662, 420031, 490666, 490688, 490692, 490713, 450472]"/>
    <s v="[0.024, 0.026, 0.026, 0.026, 0.027, 0.022, 0.03, 0.021, 0.027, 0.03, 0.028, 0.03]"/>
    <s v="239.29540119843244"/>
    <s v="[-0.024, -0.026, -0.026, -0.026, -0.027, -0.022, -0.03, -0.021, -0.027, -0.03, -0.028, -0.03]"/>
  </r>
  <r>
    <x v="1216"/>
    <x v="1534"/>
    <x v="0"/>
    <n v="0"/>
    <m/>
    <n v="1196800"/>
    <n v="490716"/>
    <s v="#FIELD!"/>
    <n v="450473"/>
    <s v="0.03"/>
    <s v="213.963889280024"/>
    <s v="#FIELD!"/>
  </r>
  <r>
    <x v="1217"/>
    <x v="1623"/>
    <x v="0"/>
    <n v="0"/>
    <m/>
    <n v="451882"/>
    <n v="450494"/>
    <s v="#FIELD!"/>
    <n v="450493"/>
    <s v="0.023"/>
    <s v="15.911777241945575"/>
    <s v="#FIELD!"/>
  </r>
  <r>
    <x v="1217"/>
    <x v="1427"/>
    <x v="0"/>
    <n v="0"/>
    <s v="LINESTRING (11.100986733507582 59.26024644681213, 11.100970101857865 59.26018156887648, 11.100320931658016 59.25956343521777)"/>
    <s v="[451986, 1779218]"/>
    <s v="[450600, 450606]"/>
    <s v="0.04081961060484124"/>
    <s v="[450493, 450600]"/>
    <s v="[0.05, 0.04]"/>
    <s v="88.95532098646989"/>
    <s v="[0.05, 0.04]"/>
  </r>
  <r>
    <x v="1217"/>
    <x v="1428"/>
    <x v="0"/>
    <n v="0"/>
    <s v="LINESTRING (11.10088099996148 59.26030584729641, 11.100909753270956 59.26028595132755, 11.100940113112118 59.26026582484459, 11.100986733507582 59.26024644681213)"/>
    <s v="[451962, 451970, 451978]"/>
    <s v="[450573, 450582, 450493]"/>
    <s v="#FIELD!"/>
    <s v="[450560, 450573, 450582]"/>
    <s v="[0.004, 0.004, 0.009]"/>
    <s v="9.017266873271195"/>
    <s v="[-0.004, -0.004, -0.009]"/>
  </r>
  <r>
    <x v="1218"/>
    <x v="1624"/>
    <x v="0"/>
    <n v="0"/>
    <s v="LINESTRING (11.101256579882211 59.26024289828538, 11.101346726660362 59.26027293234509, 11.101410802515009 59.260366644383964, 11.101380182019641 59.260424045645884, 11.101320181612227 59.260463538228734, 11.101180875953911 59.26049639978139, 11.101027562441185 59.26048748595514, 11.100940661040624 59.260458241274634)"/>
    <s v="[451890, 451898, 451906, 451914, 451922, 451930, 451938]"/>
    <s v="[450501, 450506, 450512, 450518, 450526, 450533, 450541]"/>
    <s v="0.0011407903311083244"/>
    <s v="[450494, 450501, 450506, 450512, 450518, 450526, 450533]"/>
    <s v="[0.04, 0.025, 0.006, 0.004, 0.017, 0.029, 0.033]"/>
    <s v="52.89077918240754"/>
    <s v="[-0.04, -0.025, -0.006, 0.004, 0.017, 0.029, 0.033]"/>
  </r>
  <r>
    <x v="1218"/>
    <x v="1625"/>
    <x v="0"/>
    <n v="0"/>
    <s v="LINESTRING (11.100434025011003 59.25663414944108, 11.100449346270029 59.25669265907612, 11.099818882721369 59.25922510132937, 11.101207365887653 59.26017014762893, 11.101256579882211 59.26024289828538)"/>
    <s v="[1630675, 1630651, 1779210, 1630659]"/>
    <s v="[1458172, 1458173, 1458179, 450494]"/>
    <s v="#FIELD!"/>
    <s v="[1058976, 1458172, 1458173, 1458179]"/>
    <s v="[0.018, 0.044, 0.007, 0.016]"/>
    <s v="452.64522997545464"/>
    <s v="[0.018, -0.044, -0.007, -0.016]"/>
  </r>
  <r>
    <x v="1219"/>
    <x v="1626"/>
    <x v="0"/>
    <n v="0"/>
    <s v="LINESTRING (14.130253455242848 66.30479767812875, 14.13029148750421 66.30480710500923, 14.130462633188284 66.30484952137135, 14.13119968799895 66.3050362376379)"/>
    <s v="[476915, 476923, 476931]"/>
    <s v="[475606, 475613, 450508]"/>
    <s v="#FIELD!"/>
    <s v="[475605, 475606, 475613]"/>
    <s v="[0.011, 0.012, 0.008]"/>
    <s v="50.07789935408273"/>
    <s v="[0.011, 0.012, -0.008]"/>
  </r>
  <r>
    <x v="1220"/>
    <x v="1428"/>
    <x v="0"/>
    <n v="0"/>
    <s v="LINESTRING (11.100940661040624 59.260458241274634, 11.10086209808862 59.26037913508861, 11.10088099996148 59.26030584729641)"/>
    <s v="[451946, 451954]"/>
    <s v="[450551, 450560]"/>
    <s v="0.019728969881345867"/>
    <s v="[450541, 450551]"/>
    <s v="[0.027, 0.011]"/>
    <s v="18.125209941912136"/>
    <s v="[0.027, 0.011]"/>
  </r>
  <r>
    <x v="1220"/>
    <x v="1627"/>
    <x v="0"/>
    <n v="0"/>
    <s v="LINESTRING (11.100940661040624 59.260458241274634, 11.100791501653777 59.260446628836405, 11.098682094465135 59.26033000639124)"/>
    <s v="[1778906, 1778914]"/>
    <s v="[1569131, 1058933]"/>
    <s v="0.02180537140228631"/>
    <s v="[450541, 1569131]"/>
    <s v="[0.178, 0.036]"/>
    <s v="129.77074463295145"/>
    <s v="[-0.178, 0.036]"/>
  </r>
  <r>
    <x v="1221"/>
    <x v="1628"/>
    <x v="0"/>
    <n v="0"/>
    <s v="LINESTRING (11.100320931658016 59.25956343521777, 11.099860387336454 59.25942057181023, 11.097126930836987 59.26220108670588, 11.097051449717885 59.2622378471317)"/>
    <s v="[451994, 1630718, 1630703]"/>
    <s v="[450607, 1458217, 1058987]"/>
    <s v="#FIELD!"/>
    <s v="[450606, 450607, 1458217]"/>
    <s v="[0.02, 0.016, 0.003]"/>
    <s v="426.2118082445114"/>
    <s v="[0.02, -0.016, -0.003]"/>
  </r>
  <r>
    <x v="1222"/>
    <x v="1629"/>
    <x v="0"/>
    <n v="0"/>
    <m/>
    <n v="453341"/>
    <n v="451921"/>
    <s v="#FIELD!"/>
    <n v="451912"/>
    <s v="0.037"/>
    <s v="19.19101453081093"/>
    <s v="#FIELD!"/>
  </r>
  <r>
    <x v="1222"/>
    <x v="1630"/>
    <x v="0"/>
    <n v="0"/>
    <s v="LINESTRING (10.349459055064257 59.29372208347574, 10.349438027279193 59.293770809584494, 10.353551789985094 59.29741512392292, 10.353716137806982 59.297617094355104)"/>
    <s v="[453758, 453766, 453750]"/>
    <s v="[452346, 452338, 452268]"/>
    <s v="0.01989431620732087"/>
    <s v="[451912, 452346, 452338]"/>
    <s v="[0.022, 0.021, 0.002]"/>
    <s v="502.1475516508971"/>
    <s v="[0.022, 0.021, -0.002]"/>
  </r>
  <r>
    <x v="1222"/>
    <x v="1631"/>
    <x v="0"/>
    <n v="0"/>
    <s v="LINESTRING (10.349128558057773 59.29348446221928, 10.34939692903742 59.293489737937506, 10.34949181102734 59.293533823443944, 10.349541725498712 59.29359866926698, 10.349459055064257 59.29372208347574)"/>
    <s v="[453373, 453381, 453389, 453333]"/>
    <s v="[451957, 451966, 451911, 451912]"/>
    <s v="0.03926325149811941"/>
    <s v="[451945, 451957, 451966, 451911]"/>
    <s v="[0.052, 0.055, 0.049, 0.013]"/>
    <s v="45.71693441940913"/>
    <s v="[0.052, 0.055, 0.049, 0.013]"/>
  </r>
  <r>
    <x v="1223"/>
    <x v="1632"/>
    <x v="0"/>
    <n v="0"/>
    <s v="LINESTRING (10.349143306657188 59.293755174039205, 10.349025160679664 59.29370826811077, 10.34896924101588 59.29364863984278)"/>
    <s v="[453349, 453357]"/>
    <s v="[451929, 451937]"/>
    <s v="#FIELD!"/>
    <s v="[451921, 451929]"/>
    <s v="[0.036, 0.037]"/>
    <s v="15.897096096627621"/>
    <s v="[-0.036, -0.037]"/>
  </r>
  <r>
    <x v="1223"/>
    <x v="1633"/>
    <x v="0"/>
    <n v="0"/>
    <s v="LINESTRING (10.349143306657188 59.293755174039205, 10.34904480164165 59.29376574381287, 10.347975698150501 59.29418731866447, 10.347920723609677 59.29424767375345)"/>
    <s v="[453830, 453838, 453846]"/>
    <s v="[452418, 452426, 451996]"/>
    <s v="0.00967169280420659"/>
    <s v="[451921, 452418, 452426]"/>
    <s v="[0.012, 0.01, 0.023]"/>
    <s v="90.66468749557137"/>
    <s v="[-0.012, 0.01, 0.023]"/>
  </r>
  <r>
    <x v="1224"/>
    <x v="1631"/>
    <x v="0"/>
    <n v="0"/>
    <m/>
    <n v="453365"/>
    <n v="451945"/>
    <s v="#FIELD!"/>
    <n v="451937"/>
    <s v="0.024"/>
    <s v="21.58357029315494"/>
    <s v="#FIELD!"/>
  </r>
  <r>
    <x v="1224"/>
    <x v="1634"/>
    <x v="0"/>
    <n v="0"/>
    <s v="LINESTRING (10.34896924101588 59.29364863984278, 10.348913855366597 59.29368463261828, 10.347844885538493 59.29410626512234, 10.347735626310259 59.29411805905383)"/>
    <s v="[453806, 453814, 453822]"/>
    <s v="[452393, 452402, 452040]"/>
    <s v="0.009012737051212865"/>
    <s v="[451937, 452393, 452402]"/>
    <s v="[0.014, 0.01, 0.007]"/>
    <s v="88.9362596737942"/>
    <s v="[0.014, 0.01, -0.007]"/>
  </r>
  <r>
    <x v="1225"/>
    <x v="1635"/>
    <x v="0"/>
    <n v="0"/>
    <s v="LINESTRING (10.344751799103124 59.291921042971914, 10.345067259311634 59.29201626817338, 10.349025530059942 59.2934798943766, 10.349128558057773 59.29348446221928)"/>
    <s v="[454031, 454039, 454040]"/>
    <s v="[452557, 452562, 451945]"/>
    <s v="0.0063864312935207005"/>
    <s v="[452556, 452557, 452562]"/>
    <s v="[0.004, 0.007, 0.014]"/>
    <s v="307.1346134073743"/>
    <s v="[-0.004, 0.007, 0.014]"/>
  </r>
  <r>
    <x v="1226"/>
    <x v="1636"/>
    <x v="0"/>
    <n v="0"/>
    <m/>
    <n v="453413"/>
    <n v="451997"/>
    <s v="0.017"/>
    <n v="451996"/>
    <s v="0.017"/>
    <s v="21.681390750756353"/>
    <s v="0.017"/>
  </r>
  <r>
    <x v="1226"/>
    <x v="1634"/>
    <x v="0"/>
    <n v="0"/>
    <s v="LINESTRING (10.347735626310259 59.29411805905383, 10.347861752721426 59.294166780834736, 10.347920723609677 59.29424767375345)"/>
    <s v="[453461, 453469]"/>
    <s v="[452050, 451996]"/>
    <s v="0.0325820512222907"/>
    <s v="[452040, 452050]"/>
    <s v="[0.03, 0.035]"/>
    <s v="18.632622651222256"/>
    <s v="[0.03, 0.035]"/>
  </r>
  <r>
    <x v="1227"/>
    <x v="1637"/>
    <x v="0"/>
    <n v="0"/>
    <s v="LINESTRING (10.347719976800764 59.29440023058137, 10.347512018865391 59.29439467637268, 10.347401691384576 59.2943500006034, 10.347348793017046 59.294293492881096, 10.347430432093537 59.29415043498371)"/>
    <s v="[453421, 453429, 453437, 453445]"/>
    <s v="[452004, 452013, 452022, 452030]"/>
    <s v="#FIELD!"/>
    <s v="[451997, 452004, 452013, 452022]"/>
    <s v="[0.017, 0.029, 0.036, 0.025]"/>
    <s v="44.29320505363338"/>
    <s v="[-0.017, -0.029, -0.036, -0.025]"/>
  </r>
  <r>
    <x v="1227"/>
    <x v="1638"/>
    <x v="0"/>
    <n v="0"/>
    <s v="LINESTRING (10.352498042711055 59.296854420706374, 10.352231989770615 59.296696239754276, 10.34783425087819 59.29440294428282, 10.347719976800764 59.29440023058137)"/>
    <s v="[453742, 453725, 453733]"/>
    <s v="[452314, 452315, 451997]"/>
    <s v="#FIELD!"/>
    <s v="[452232, 452314, 452315]"/>
    <s v="[0.021, 0.021, 0.014]"/>
    <s v="392.4322818833018"/>
    <s v="[-0.021, -0.021, -0.014]"/>
  </r>
  <r>
    <x v="1228"/>
    <x v="1634"/>
    <x v="0"/>
    <n v="0"/>
    <m/>
    <n v="453453"/>
    <n v="452040"/>
    <s v="0.007"/>
    <n v="452030"/>
    <s v="0.007"/>
    <s v="18.47427266183321"/>
    <s v="0.007"/>
  </r>
  <r>
    <x v="1228"/>
    <x v="1639"/>
    <x v="0"/>
    <s v="[0, 0, 1, 0, 0]"/>
    <s v="LINESTRING (10.347430432093537 59.29415043498371, 10.347463557814791 59.29409864330184, 10.34462849885704 59.29210484526299, 10.343955253686406 59.29182028664243, 10.342520412713542 59.291233178404184, 10.342140961998071 59.29105209475102)"/>
    <s v="[453861, 453869, 453925, 453937, 454041]"/>
    <s v="[452443, 452447, 452489, 452499, 452563]"/>
    <s v="#FIELD!"/>
    <s v="[452030, 452443, 452447, 452489, 452499]"/>
    <s v="[0.025, 0.011, 0.004, 0.006, 0.009]"/>
    <s v="472.96276267220867"/>
    <s v="[-0.025, -0.011, 0.004, 0.006, 0.009]"/>
  </r>
  <r>
    <x v="1229"/>
    <x v="1640"/>
    <x v="0"/>
    <n v="0"/>
    <m/>
    <n v="453485"/>
    <n v="452079"/>
    <s v="0.008"/>
    <n v="452069"/>
    <s v="0.008"/>
    <s v="23.125039113866038"/>
    <s v="0.008"/>
  </r>
  <r>
    <x v="1229"/>
    <x v="1641"/>
    <x v="0"/>
    <n v="0"/>
    <s v="LINESTRING (10.3343605929368 59.28775093454529, 10.33436115517467 59.28780939224229, 10.338838370986693 59.28973568713782, 10.339322562763401 59.28992366717006)"/>
    <s v="[968248, 968253, 968306]"/>
    <s v="[931876, 931877, 931902]"/>
    <s v="#FIELD!"/>
    <s v="[452069, 931876, 931877]"/>
    <s v="[0.014, 0.013, 0.0]"/>
    <s v="384.14079710824586"/>
    <s v="[-0.014, -0.013, 0.0]"/>
  </r>
  <r>
    <x v="1229"/>
    <x v="1642"/>
    <x v="0"/>
    <n v="0"/>
    <s v="LINESTRING (10.333771492162871 59.28759328444094, 10.33406567482289 59.28750949334843, 10.334237528253665 59.287535594762595, 10.33434312527237 59.2875902586753, 10.3343605929368 59.28775093454529)"/>
    <s v="[453517, 453525, 453533, 453477]"/>
    <s v="[452112, 452119, 452068, 452069]"/>
    <s v="#FIELD!"/>
    <s v="[452103, 452112, 452119, 452068]"/>
    <s v="[0.011, 0.02, 0.018, 0.012]"/>
    <s v="57.1519650452491"/>
    <s v="[-0.011, -0.02, -0.018, -0.012]"/>
  </r>
  <r>
    <x v="1230"/>
    <x v="1643"/>
    <x v="0"/>
    <n v="0"/>
    <s v="LINESTRING (10.334023533035971 59.28784752432048, 10.333875874897323 59.2878200966448, 10.333766514532398 59.28776031426156)"/>
    <s v="[453493, 453501]"/>
    <s v="[452086, 452095]"/>
    <s v="0.022009310937221593"/>
    <s v="[452079, 452086]"/>
    <s v="[0.021, 0.023]"/>
    <s v="18.083211191259874"/>
    <s v="[0.021, 0.023]"/>
  </r>
  <r>
    <x v="1230"/>
    <x v="1644"/>
    <x v="0"/>
    <n v="0"/>
    <s v="LINESTRING (10.334023533035971 59.28784752432048, 10.33394812472553 59.28787474192899, 10.333602721554879 59.28802188627752)"/>
    <s v="[968223, 968244]"/>
    <s v="[931864, 880807]"/>
    <s v="0.07254265847286978"/>
    <s v="[452079, 931864]"/>
    <s v="[0.007, 0.086]"/>
    <s v="30.89128848625839"/>
    <s v="[0.007, 0.086]"/>
  </r>
  <r>
    <x v="1231"/>
    <x v="1642"/>
    <x v="0"/>
    <n v="0"/>
    <m/>
    <n v="453509"/>
    <n v="452103"/>
    <s v="0.011"/>
    <n v="452095"/>
    <s v="0.011"/>
    <s v="19.227994900208664"/>
    <s v="0.011"/>
  </r>
  <r>
    <x v="1231"/>
    <x v="1644"/>
    <x v="0"/>
    <n v="0"/>
    <s v="LINESTRING (10.333766514532398 59.28776031426156, 10.33374331149033 59.287809382926355, 10.333602721554879 59.28802188627752)"/>
    <s v="[968215, 968216]"/>
    <s v="[931860, 880807]"/>
    <s v="0.06020248629597859"/>
    <s v="[452095, 931860]"/>
    <s v="[0.01, 0.076]"/>
    <s v="30.63044599114598"/>
    <s v="[-0.01, 0.076]"/>
  </r>
  <r>
    <x v="1232"/>
    <x v="1645"/>
    <x v="0"/>
    <n v="0"/>
    <s v="LINESTRING (10.331944683954964 59.28781011302441, 10.33218382930373 59.28779820353702, 10.333694591679441 59.28759767414008, 10.333771492162871 59.28759328444094)"/>
    <s v="[976361, 976362, 976377]"/>
    <s v="[938353, 938354, 452103]"/>
    <s v="#FIELD!"/>
    <s v="[938346, 938353, 938354]"/>
    <s v="[0.011, 0.006, 0.016]"/>
    <s v="107.63608415213405"/>
    <s v="[0.011, -0.006, -0.016]"/>
  </r>
  <r>
    <x v="1233"/>
    <x v="1646"/>
    <x v="0"/>
    <n v="0"/>
    <m/>
    <n v="453541"/>
    <n v="452138"/>
    <s v="#FIELD!"/>
    <n v="452137"/>
    <s v="0.016"/>
    <s v="6.290068442206306"/>
    <s v="#FIELD!"/>
  </r>
  <r>
    <x v="1233"/>
    <x v="1647"/>
    <x v="0"/>
    <n v="0"/>
    <s v="LINESTRING (10.332006069247965 59.28884720397113, 10.332134771292715 59.288889801305125, 10.332201953078929 59.28895203684607)"/>
    <s v="[453605, 453613]"/>
    <s v="[452191, 452137]"/>
    <s v="#FIELD!"/>
    <s v="[452183, 452191]"/>
    <s v="[0.009, 0.014]"/>
    <s v="16.664113450518013"/>
    <s v="[-0.009, -0.014]"/>
  </r>
  <r>
    <x v="1233"/>
    <x v="1648"/>
    <x v="0"/>
    <n v="0"/>
    <s v="LINESTRING (10.332459377339829 59.28872636207376, 10.332245737549018 59.288905596401186, 10.332201953078929 59.28895203684607)"/>
    <s v="[454138, 454144]"/>
    <s v="[452615, 452137]"/>
    <s v="#FIELD!"/>
    <s v="[452606, 452615]"/>
    <s v="[0.013, 0.011]"/>
    <s v="29.453966753815763"/>
    <s v="[-0.013, -0.011]"/>
  </r>
  <r>
    <x v="1234"/>
    <x v="1649"/>
    <x v="0"/>
    <n v="0"/>
    <m/>
    <n v="453549"/>
    <n v="452142"/>
    <s v="#FIELD!"/>
    <n v="452138"/>
    <s v="0.008"/>
    <s v="20.902917673894144"/>
    <s v="#FIELD!"/>
  </r>
  <r>
    <x v="1234"/>
    <x v="1650"/>
    <x v="0"/>
    <n v="0"/>
    <s v="LINESTRING (10.332209346276843 59.289008347410395, 10.332241283611225 59.28905670679482, 10.328270833898628 59.287440102583936, 10.327657826643579 59.287286628564146)"/>
    <s v="[968631, 968642, 968623]"/>
    <s v="[932121, 932115, 932076]"/>
    <s v="0.0013638398032558266"/>
    <s v="[452138, 932121, 932115]"/>
    <s v="[0.016, 0.002, 0.003]"/>
    <s v="466.836040123197"/>
    <s v="[-0.016, 0.002, -0.003]"/>
  </r>
  <r>
    <x v="1235"/>
    <x v="1647"/>
    <x v="0"/>
    <n v="0"/>
    <s v="LINESTRING (10.331972333031983 59.28913713697209, 10.331838139614595 59.289133783377665, 10.331696816378525 59.289087836192344, 10.331626810741156 59.288993784148644, 10.331634303595768 59.28895622218425, 10.331824185389811 59.288848550615285, 10.332006069247965 59.28884720397113)"/>
    <s v="[453557, 453565, 453573, 453581, 453589, 453597]"/>
    <s v="[452151, 452158, 452164, 452171, 452177, 452183]"/>
    <s v="0.007420041042918133"/>
    <s v="[452142, 452151, 452158, 452164, 452171, 452177]"/>
    <s v="[0.006, 0.009, 0.013, 0.01, 0.008, 0.001]"/>
    <s v="59.699353942072385"/>
    <s v="[0.006, 0.009, 0.013, 0.01, 0.008, -0.001]"/>
  </r>
  <r>
    <x v="1235"/>
    <x v="1651"/>
    <x v="0"/>
    <n v="0"/>
    <s v="LINESTRING (10.338632998116031 59.28986634263498, 10.338070040865434 59.28973202932275, 10.332090124561804 59.28914650336028, 10.331972333031983 59.28913713697209)"/>
    <s v="[968278, 968289, 968297]"/>
    <s v="[931890, 931896, 452142]"/>
    <s v="0.010079570758390248"/>
    <s v="[931889, 931890, 931896]"/>
    <s v="[0.001, 0.011, 0.007]"/>
    <s v="414.33372324487993"/>
    <s v="[0.001, 0.011, 0.007]"/>
  </r>
  <r>
    <x v="1236"/>
    <x v="1652"/>
    <x v="0"/>
    <n v="0"/>
    <s v="LINESTRING (10.284254590127947 60.18894368287182, 10.28428866906638 60.18946647611701, 10.28421510441508 60.189615734237485)"/>
    <s v="[1100180, 1100188]"/>
    <s v="[1042300, 452152]"/>
    <s v="0.015543135919174125"/>
    <s v="[452144, 1042300]"/>
    <s v="[0.013, 0.024]"/>
    <s v="76.49569129719552"/>
    <s v="[0.013, 0.024]"/>
  </r>
  <r>
    <x v="1236"/>
    <x v="1652"/>
    <x v="0"/>
    <n v="0"/>
    <s v="LINESTRING (10.284254590127947 60.18894368287182, 10.284185690832185 60.189462230096304, 10.28421510441508 60.189615734237485)"/>
    <s v="[1100196, 1100204]"/>
    <s v="[1042311, 452152]"/>
    <s v="0.01537026212161909"/>
    <s v="[452144, 1042311]"/>
    <s v="[0.017, 0.01]"/>
    <s v="75.85194611503928"/>
    <s v="[0.017, 0.01]"/>
  </r>
  <r>
    <x v="1237"/>
    <x v="1653"/>
    <x v="116"/>
    <n v="0"/>
    <s v="LINESTRING (10.28421510441508 60.189615734237485, 10.284204524708949 60.189667974628925, 10.284192083591762 60.189720598397095, 10.2823918164233 60.19419969749555, 10.282122015187007 60.19465134053688, 10.28208871303801 60.19475212326519, 10.282566022496654 60.19634936640729, 10.283617022438062 60.197604533649816, 10.284290807266157 60.19841956197404, 10.284340896107397 60.19848699728052, 10.28448689072722 60.20049114974743, 10.286664314816866 60.201366127499405, 10.291944522478259 60.20307665478452, 10.294549487265044 60.20442231151671, 10.294899713662135 60.20457242138876, 10.307953658513837 60.204922866382425, 10.30994024693161 60.20517387357927, 10.310268624179551 60.2052305167219, 10.311380244794666 60.205419879412695, 10.315094926764683 60.206279986462015, 10.316135789600848 60.20666576433284, 10.316221547575225 60.20670074654905, 10.316306466074197 60.20673224521802, 10.318280722908462 60.20746179009991, 10.321439801135238 60.2086624082479, 10.323294476656407 60.20936621289984, 10.325672744049184 60.21026848920404, 10.32985649370161 60.21184434863717, 10.336416435352763 60.21544683530416, 10.337900305741934 60.21642571442244, 10.341849836006407 60.21903907421019, 10.342015307313526 60.219150342185046, 10.342178915535127 60.21925895409503, 10.342302411141063 60.21934300395311, 10.3425301310873 60.21949623275165, 10.344592662913332 60.22043985316448)"/>
    <s v="[453561, 453569, 453577, 453585, 453593, 453601, 453609, 453617, 453625, 453633, 453641, 453649, 453657, 453665, 453673, 453681, 453689, 453697, 453705, 453713, 453721, 453729, 453737, 453746, 453754, 453762, 453770, 453778, 453786, 453794, 453802, 453810, 453818, 1851949, 1851950]"/>
    <s v="[452153, 452162, 452167, 452174, 452179, 452187, 452194, 452201, 452209, 452219, 452227, 452237, 452242, 452249, 452258, 452264, 452274, 452283, 452292, 452301, 452310, 452319, 452327, 452334, 452342, 452351, 452357, 452366, 452373, 452382, 452390, 452399, 452408, 1621562, 1620935]"/>
    <s v="0.019601095917039835"/>
    <s v="[452152, 452153, 452162, 452167, 452174, 452179, 452187, 452194, 452201, 452209, 452219, 452227, 452237, 452242, 452249, 452258, 452264, 452274, 452283, 452292, 452301, 452310, 452319, 452327, 452334, 452342, 452351, 452357, 452366, 452373, 452382, 452390, 452399, 452408, 1621562]"/>
    <s v="[0.022, 0.017, 0.009, 0.005, 0.001, 0.032, 0.013, 0.031, 0.021, 0.059, 0.087, 0.006, 0.06, 0.089, 0.077, 0.033, 0.011, 0.001, 0.075, 0.033, 0.071, 0.098, 0.115, 0.009, 0.013, 0.033, 0.028, 0.001, 0.003, 0.004, 0.037, 0.037, 0.035, 0.037, 0.034]"/>
    <s v="5485.24442953543"/>
    <s v="[0.022, 0.017, 0.009, 0.005, 0.001, -0.032, -0.013, 0.031, 0.021, 0.059, 0.087, -0.006, 0.06, 0.089, 0.077, 0.033, 0.011, 0.001, -0.075, -0.033, 0.071, 0.098, 0.115, 0.009, 0.013, 0.033, 0.028, -0.001, -0.003, -0.004, -0.037, -0.037, -0.035, -0.037, -0.034]"/>
  </r>
  <r>
    <x v="1238"/>
    <x v="1648"/>
    <x v="0"/>
    <n v="0"/>
    <s v="LINESTRING (10.332459377339829 59.28872636207376, 10.332101716429671 59.28882857552072, 10.332006069247965 59.28884720397113)"/>
    <s v="[454119, 454135]"/>
    <s v="[452607, 452183]"/>
    <s v="#FIELD!"/>
    <s v="[452606, 452607]"/>
    <s v="[0.007, 0.004]"/>
    <s v="29.645401200212838"/>
    <s v="[-0.007, -0.004]"/>
  </r>
  <r>
    <x v="1239"/>
    <x v="1639"/>
    <x v="0"/>
    <s v="[0, 1, 0, 1, 0]"/>
    <s v="LINESTRING (10.352498042711055 59.296854420706374, 10.348714245261798 59.29413071128708, 10.348103333458068 59.29376643097066, 10.344688973448028 59.29206971111471, 10.344015745934156 59.29178515343531, 10.342140961998071 59.29105209475102)"/>
    <s v="[453653, 453661, 968549, 968550, 968551]"/>
    <s v="[452240, 452245, 932067, 932068, 452563]"/>
    <s v="#FIELD!"/>
    <s v="[452232, 452240, 452245, 932067, 932068]"/>
    <s v="[0.022, 0.033, 0.009, 0.004, 0.007]"/>
    <s v="882.1133791392685"/>
    <s v="[-0.022, -0.033, -0.009, 0.004, 0.007]"/>
  </r>
  <r>
    <x v="1239"/>
    <x v="1654"/>
    <x v="0"/>
    <s v="[0, 0, 1, 0, 0]"/>
    <s v="LINESTRING (10.363594661394938 59.3088223131066, 10.36248461536659 59.307591478115306, 10.358406449552309 59.302572225036286, 10.358177294593553 59.30231086057428, 10.353480459390466 59.29767798154555, 10.352498042711055 59.296854420706374)"/>
    <s v="[841032, 453621, 453629, 453637, 453645]"/>
    <s v="[452203, 452204, 452214, 452223, 452232]"/>
    <s v="#FIELD!"/>
    <s v="[816210, 452203, 452204, 452214, 452223]"/>
    <s v="[0.003, 0.022, 0.007, 0.006, 0.008]"/>
    <s v="1478.2322159951962"/>
    <s v="[-0.003, -0.022, -0.007, -0.006, -0.008]"/>
  </r>
  <r>
    <x v="1240"/>
    <x v="1635"/>
    <x v="0"/>
    <s v="[0, 0, 1, 0]"/>
    <s v="LINESTRING (10.353716137806982 59.297617094355104, 10.352728321885756 59.29678862029459, 10.348902238638999 59.29403408290439, 10.348335436747607 59.29369761881251, 10.344751799103124 59.291921042971914)"/>
    <s v="[453693, 453701, 453709, 968576]"/>
    <s v="[452278, 452287, 452296, 452556]"/>
    <s v="#FIELD!"/>
    <s v="[452268, 452278, 452287, 452296]"/>
    <s v="[0.007, 0.025, 0.033, 0.008]"/>
    <s v="819.2980473058199"/>
    <s v="[-0.007, -0.025, -0.033, -0.008]"/>
  </r>
  <r>
    <x v="1240"/>
    <x v="1655"/>
    <x v="117"/>
    <s v="[0, 0, 0, 0, 1, 0]"/>
    <s v="LINESTRING (10.3642902112048 59.30922343635936, 10.364287808628777 59.3092209312238, 10.363852613180867 59.30876337866269, 10.362744091998554 59.307537430396266, 10.358640483333454 59.30250759092262, 10.358425887646048 59.3022606700087, 10.353716137806982 59.297617094355104)"/>
    <s v="[841136, 841144, 841152, 453669, 453677, 453685]"/>
    <s v="[817327, 817338, 452253, 452254, 452261, 452268]"/>
    <s v="#FIELD!"/>
    <s v="[816167, 817327, 817338, 452253, 452254, 452261]"/>
    <s v="[0.0, 0.007, 0.008, 0.022, 0.008, 0.007]"/>
    <s v="1428.4435554326578"/>
    <s v="[0.0, 0.007, 0.008, -0.022, -0.008, -0.007]"/>
  </r>
  <r>
    <x v="1241"/>
    <x v="1641"/>
    <x v="0"/>
    <s v="[1, 0, 0]"/>
    <s v="LINESTRING (10.344751799103124 59.291921042971914, 10.344198707789356 59.29168752411783, 10.34230683253467 59.29094729859956, 10.339322562763401 59.28992366717006)"/>
    <s v="[968584, 968591, 968599]"/>
    <s v="[932089, 932095, 931902]"/>
    <s v="0.004530688685924135"/>
    <s v="[452556, 932089, 932095]"/>
    <s v="[0.004, 0.007, 0.003]"/>
    <s v="381.5804112584792"/>
    <s v="[0.004, 0.007, 0.003]"/>
  </r>
  <r>
    <x v="1242"/>
    <x v="1651"/>
    <x v="0"/>
    <n v="0"/>
    <s v="LINESTRING (10.342140961998071 59.29105209475102, 10.339181268078365 59.29003743594293, 10.338632998116031 59.28986634263498)"/>
    <s v="[968553, 968560]"/>
    <s v="[932069, 931889]"/>
    <s v="0.0005418772308883388"/>
    <s v="[452563, 932069]"/>
    <s v="[0.001, 0.002]"/>
    <s v="239.79101845070687"/>
    <s v="[0.001, -0.002]"/>
  </r>
  <r>
    <x v="1243"/>
    <x v="1644"/>
    <x v="0"/>
    <s v="[0, 1, 0]"/>
    <s v="LINESTRING (10.333602721554879 59.28802188627752, 10.333507457437435 59.288092985692245, 10.332675047184061 59.28861176321181, 10.332459377339829 59.28872636207376)"/>
    <s v="[906537, 906538, 906547]"/>
    <s v="[880808, 880809, 452606]"/>
    <s v="#FIELD!"/>
    <s v="[880807, 880808, 880809]"/>
    <s v="[0.025, 0.007, 0.106]"/>
    <s v="102.16664284003632"/>
    <s v="[-0.025, -0.007, -0.106]"/>
  </r>
  <r>
    <x v="1244"/>
    <x v="1656"/>
    <x v="0"/>
    <n v="0"/>
    <m/>
    <n v="454439"/>
    <n v="452846"/>
    <s v="#FIELD!"/>
    <n v="452758"/>
    <s v="0.078"/>
    <s v="99.4366481569379"/>
    <s v="#FIELD!"/>
  </r>
  <r>
    <x v="1244"/>
    <x v="1657"/>
    <x v="0"/>
    <n v="0"/>
    <s v="LINESTRING (10.731050946611482 63.42346742672113, 10.730949946367115 63.42350018513871, 10.729699181947952 63.423998380042384)"/>
    <s v="[454331, 454367]"/>
    <s v="[452759, 452787]"/>
    <s v="#FIELD!"/>
    <s v="[452758, 452759]"/>
    <s v="[0.04, 0.025]"/>
    <s v="90.14499073328508"/>
    <s v="[0.04, -0.025]"/>
  </r>
  <r>
    <x v="1244"/>
    <x v="1658"/>
    <x v="0"/>
    <n v="0"/>
    <s v="LINESTRING (10.73348281752647 63.42159717294242, 10.733399765362538 63.421719665301126, 10.731050946611482 63.42346742672113)"/>
    <s v="[454430, 454438]"/>
    <s v="[452840, 452758]"/>
    <s v="#FIELD!"/>
    <s v="[452839, 452840]"/>
    <s v="[0.05, 0.016]"/>
    <s v="242.83898263430189"/>
    <s v="[-0.05, -0.016]"/>
  </r>
  <r>
    <x v="1245"/>
    <x v="1659"/>
    <x v="0"/>
    <n v="0"/>
    <s v="LINESTRING (10.729699181947952 63.423998380042384, 10.726493331324253 63.42480518730856, 10.72639253882147 63.42482572286798)"/>
    <s v="[454375, 454380]"/>
    <s v="[452794, 452798]"/>
    <s v="#FIELD!"/>
    <s v="[452787, 452794]"/>
    <s v="[0.06, 0.042]"/>
    <s v="189.91734473518045"/>
    <s v="[-0.06, -0.042]"/>
  </r>
  <r>
    <x v="1245"/>
    <x v="1660"/>
    <x v="0"/>
    <n v="0"/>
    <s v="LINESTRING (10.729620762043394 63.42420675338766, 10.729673441928899 63.424189900440254, 10.729731474923124 63.42401732560448, 10.729699181947952 63.423998380042384)"/>
    <s v="[454478, 454486, 454494]"/>
    <s v="[452884, 452890, 452787]"/>
    <s v="0.10810464061767734"/>
    <s v="[452816, 452884, 452890]"/>
    <s v="[0.126, 0.113, 0.043]"/>
    <s v="29.415231091617883"/>
    <s v="[0.126, 0.113, 0.043]"/>
  </r>
  <r>
    <x v="1246"/>
    <x v="1661"/>
    <x v="0"/>
    <n v="0"/>
    <s v="LINESTRING (10.72639253882147 63.42482572286798, 10.721996514146042 63.42524376706767, 10.7219338225226 63.42523516383947, 10.721922771050984 63.425233645972085)"/>
    <s v="[454551, 990837, 990838]"/>
    <s v="[452945, 949650, 624215]"/>
    <s v="#FIELD!"/>
    <s v="[452798, 452945, 949650]"/>
    <s v="[0.077, 0.01, 0.362]"/>
    <s v="228.36029123726004"/>
    <s v="[-0.077, -0.01, 0.362]"/>
  </r>
  <r>
    <x v="1246"/>
    <x v="1662"/>
    <x v="0"/>
    <n v="0"/>
    <s v="LINESTRING (10.730776049353787 63.4245512771656, 10.72775369222035 63.42506675972302, 10.72741448753519 63.42484516817292, 10.72639253882147 63.42482572286798)"/>
    <s v="[454526, 454534, 454542]"/>
    <s v="[452920, 452928, 452798]"/>
    <s v="#FIELD!"/>
    <s v="[452874, 452920, 452928]"/>
    <s v="[0.05, 0.179, 0.057]"/>
    <s v="280.90084246483394"/>
    <s v="[-0.05, 0.179, 0.057]"/>
  </r>
  <r>
    <x v="1247"/>
    <x v="1663"/>
    <x v="0"/>
    <n v="0"/>
    <s v="LINESTRING (10.729620762043394 63.42420675338766, 10.730410750320615 63.42432288954806, 10.730640233164403 63.424384051454766)"/>
    <s v="[454401, 454406]"/>
    <s v="[452817, 452822]"/>
    <s v="#FIELD!"/>
    <s v="[452816, 452817]"/>
    <s v="[0.048, 0.086]"/>
    <s v="54.97017985516732"/>
    <s v="[-0.048, -0.086]"/>
  </r>
  <r>
    <x v="1247"/>
    <x v="1664"/>
    <x v="0"/>
    <s v="[0, 0, 0, 1, 0, 0, 0]"/>
    <s v="LINESTRING (10.729143284011853 63.42297907774232, 10.72911180027957 63.42302672525357, 10.727969129532962 63.42400028107387, 10.727946522474436 63.42401731427578, 10.72847119737718 63.4244242499037, 10.728487152797006 63.42442612077675, 10.72921012005377 63.42434990023045, 10.729620762043394 63.42420675338766)"/>
    <s v="[642602, 642610, 642618, 454388, 454390, 454391, 454400]"/>
    <s v="[636386, 636393, 452805, 452806, 452807, 452808, 452816]"/>
    <s v="#FIELD!"/>
    <s v="[71007, 636386, 636393, 452805, 452806, 452807, 452808]"/>
    <s v="[0.054, 0.046, 0.03, 0.145, 0.233, 0.038, 0.11]"/>
    <s v="264.13915760321134"/>
    <s v="[-0.054, -0.046, -0.03, -0.145, -0.233, 0.038, 0.11]"/>
  </r>
  <r>
    <x v="1248"/>
    <x v="1662"/>
    <x v="0"/>
    <n v="0"/>
    <s v="LINESTRING (10.730640233164403 63.424384051454766, 10.730760451548651 63.42449570362385, 10.730776049353787 63.4245512771656)"/>
    <s v="[454462, 454470]"/>
    <s v="[452867, 452874]"/>
    <s v="#FIELD!"/>
    <s v="[452822, 452867]"/>
    <s v="[0.171, 0.159]"/>
    <s v="20.064451996797334"/>
    <s v="[-0.171, -0.159]"/>
  </r>
  <r>
    <x v="1248"/>
    <x v="1656"/>
    <x v="0"/>
    <n v="0"/>
    <s v="LINESTRING (10.730640233164403 63.424384051454766, 10.730783273897282 63.424363032583855, 10.730939195701659 63.424345257549476)"/>
    <s v="[454502, 454510]"/>
    <s v="[452904, 452846]"/>
    <s v="0.03116899235524412"/>
    <s v="[452822, 452904]"/>
    <s v="[0.057, 0.007]"/>
    <s v="15.553956798630836"/>
    <s v="[0.057, 0.007]"/>
  </r>
  <r>
    <x v="1249"/>
    <x v="1665"/>
    <x v="0"/>
    <n v="0"/>
    <m/>
    <n v="571286"/>
    <n v="452992"/>
    <s v="0.031"/>
    <n v="452839"/>
    <s v="0.031"/>
    <s v="9.484273298289594"/>
    <s v="0.031"/>
  </r>
  <r>
    <x v="1249"/>
    <x v="1666"/>
    <x v="0"/>
    <n v="0"/>
    <m/>
    <n v="571278"/>
    <n v="452839"/>
    <s v="0.017"/>
    <n v="579112"/>
    <s v="0.017"/>
    <s v="13.828561891974863"/>
    <s v="0.017"/>
  </r>
  <r>
    <x v="1250"/>
    <x v="1662"/>
    <x v="0"/>
    <n v="0"/>
    <s v="LINESTRING (10.730939195701659 63.424345257549476, 10.730836278977867 63.42448766927563, 10.730829816184883 63.42449616006203, 10.730776049353787 63.4245512771656)"/>
    <s v="[454446, 454454, 454518]"/>
    <s v="[452853, 452860, 452874]"/>
    <s v="#FIELD!"/>
    <s v="[452846, 452853, 452860]"/>
    <s v="[0.158, 0.202, 0.15]"/>
    <s v="24.394177799975598"/>
    <s v="[-0.158, -0.202, -0.15]"/>
  </r>
  <r>
    <x v="1251"/>
    <x v="1665"/>
    <x v="0"/>
    <n v="0"/>
    <s v="LINESTRING (10.729143284011853 63.42297907774232, 10.733269157201926 63.42163197694357, 10.733590276827105 63.42153768183082, 10.73360769532136 63.42153308734326)"/>
    <s v="[454589, 454597, 454605]"/>
    <s v="[452974, 452980, 452992]"/>
    <s v="#FIELD!"/>
    <s v="[71007, 452974, 452980]"/>
    <s v="[0.001, 0.006, 0.041]"/>
    <s v="308.1871413863077"/>
    <s v="[-0.001, 0.006, 0.041]"/>
  </r>
  <r>
    <x v="1251"/>
    <x v="1667"/>
    <x v="0"/>
    <n v="0"/>
    <s v="LINESTRING (10.727799047651363 63.42430246026578, 10.72795183696229 63.424229271797614, 10.728599362876514 63.42401689431254, 10.72915925237484 63.42298449090244, 10.729143284011853 63.42297907774232)"/>
    <s v="[454613, 454559, 454573, 454581]"/>
    <s v="[452951, 452952, 452961, 71007]"/>
    <s v="0.04839666988666136"/>
    <s v="[453001, 452951, 452952, 452961]"/>
    <s v="[0.073, 0.069, 0.042, 0.025]"/>
    <s v="220.66281780047126"/>
    <s v="[0.073, 0.069, 0.042, 0.025]"/>
  </r>
  <r>
    <x v="1252"/>
    <x v="1668"/>
    <x v="0"/>
    <s v="[0, 0, 1, 0]"/>
    <s v="LINESTRING (10.73360769532136 63.42153308734326, 10.737039834993494 63.42031829630255, 10.743300724256347 63.4200301893861, 10.743730863844112 63.42005200686412, 10.743991744497166 63.420065180122585)"/>
    <s v="[571294, 571295, 571296, 571303]"/>
    <s v="[579123, 579124, 579125, 579130]"/>
    <s v="0.006665446057181765"/>
    <s v="[452992, 579123, 579124, 579125]"/>
    <s v="[0.008, 0.002, 0.078, 0.077]"/>
    <s v="573.6857093221803"/>
    <s v="[0.008, -0.002, 0.078, 0.077]"/>
  </r>
  <r>
    <x v="1253"/>
    <x v="1666"/>
    <x v="0"/>
    <n v="0"/>
    <s v="LINESTRING (10.727799047651363 63.42430246026578, 10.727898380634997 63.424276486245205, 10.728162031540261 63.42420497037607, 10.728180690018172 63.42419974836389, 10.72832539576404 63.42415855483857, 10.728425796988027 63.42412904351209, 10.733149376176929 63.42175856728461, 10.733319423010851 63.42169730649908)"/>
    <s v="[625125, 625133, 625141, 625149, 625157, 625165, 625173]"/>
    <s v="[621983, 621992, 621998, 622004, 622013, 622018, 579112]"/>
    <s v="0.024246919683781155"/>
    <s v="[453001, 621983, 621992, 621998, 622004, 622013, 622018]"/>
    <s v="[0.002, 0.037, 0.005, 0.096, 0.102, 0.021, 0.027]"/>
    <s v="404.99445866252444"/>
    <s v="[0.002, 0.037, 0.005, 0.096, 0.102, 0.021, 0.027]"/>
  </r>
  <r>
    <x v="1253"/>
    <x v="1669"/>
    <x v="0"/>
    <s v="[0, 0, 1, 0, 0, 0, 0, 0, 0, 0, 0, 0, 0]"/>
    <s v="LINESTRING (10.68580865774381 63.4257440467393, 10.686105756235554 63.42574218388482, 10.692061162295843 63.42569950291615, 10.692385372806443 63.425696161781296, 10.698388970773786 63.42589579105655, 10.716875049810147 63.42602491168812, 10.721219467387312 63.42524764421059, 10.721566569681533 63.425207957121906, 10.72188527085036 63.42517031272754, 10.726313572485076 63.42462584465879, 10.72727627102419 63.42442870702372, 10.727295554284327 63.42442400724837, 10.727784687575909 63.424305905054545, 10.727799047651363 63.42430246026578)"/>
    <s v="[990585, 990593, 990601, 990609, 990617, 990624, 990625, 990632, 625085, 625093, 625101, 625109, 625117]"/>
    <s v="[949436, 949442, 949450, 949458, 949465, 949468, 949469, 621944, 621945, 621952, 621960, 621967, 453001]"/>
    <s v="0.023197741863701063"/>
    <s v="[949431, 949436, 949442, 949450, 949458, 949465, 949468, 949469, 621944, 621945, 621952, 621960, 621967]"/>
    <s v="[0.015, 0.01, 0.061, 0.032, 0.016, 0.018, 0.057, 0.061, 0.091, 0.027, 0.134, 0.019, 0.156]"/>
    <s v="2208.974473863154"/>
    <s v="[0.015, -0.01, -0.061, 0.032, 0.016, 0.018, 0.057, 0.061, 0.091, 0.027, 0.134, 0.019, 0.156]"/>
  </r>
  <r>
    <x v="1254"/>
    <x v="1670"/>
    <x v="0"/>
    <n v="0"/>
    <s v="LINESTRING (6.119906781992918 59.72738976620997, 6.120085881384439 59.72629437349691, 6.120079684716696 59.72625014786306, 6.120066337904561 59.72619746747921, 6.119709319438262 59.72528487627621)"/>
    <s v="[457950, 457958, 457966, 457974]"/>
    <s v="[456434, 456442, 456452, 456045]"/>
    <s v="#FIELD!"/>
    <s v="[456037, 456434, 456442, 456452]"/>
    <s v="[0.103, 0.11, 0.117, 0.112]"/>
    <s v="239.5782720978225"/>
    <s v="[-0.103, -0.11, -0.117, -0.112]"/>
  </r>
  <r>
    <x v="1254"/>
    <x v="1670"/>
    <x v="0"/>
    <n v="0"/>
    <s v="LINESTRING (6.119906781992918 59.72738976620997, 6.119926320482799 59.72625486478285, 6.119709319438262 59.72528487627621)"/>
    <s v="[457982, 457990]"/>
    <s v="[456468, 456045]"/>
    <s v="#FIELD!"/>
    <s v="[456037, 456468]"/>
    <s v="[0.099, 0.12]"/>
    <s v="237.4887114272707"/>
    <s v="[-0.099, -0.12]"/>
  </r>
  <r>
    <x v="1254"/>
    <x v="1671"/>
    <x v="0"/>
    <s v="[0, 1, 0, 1, 0, 1, 0, 0, 0, 0, 0, 0, 0, 0, 1, 0, 0, 0, 0, 0, 0, 0, 0, 0, 0, 1, 0, 0, 0, 0, 0, 0, 0, 0, 0, 0, 0, 0, 0, 0, 1, 0, 0, 0, 0, 0, 0, 0, 0, 1, 0, 0, 1, 0, 0, 0, 0, 0, 0, 0, 0, 0, 1, 0, 0, 0, 0, 1, 0, 0, 0, 0, 0, 0, 0, 1, 0]"/>
    <s v="LINESTRING (6.340764719795873 59.84639931822561, 6.340633964063621 59.84635173945782, 6.340474756951101 59.84630307901255, 6.339892177582313 59.84617136393678, 6.339663738656542 59.846130757948615, 6.339467243422383 59.84610319605261, 6.339246615245221 59.84607800812692, 6.335091494017467 59.84556932893849, 6.334877477458823 59.845487459115404, 6.334331566722578 59.845223188357686, 6.334304221631875 59.84520931851593, 6.324917684463309 59.84147651933677, 6.3246018118896465 59.84144246163766, 6.3241622485037565 59.841368120689985, 6.320983951304653 59.840103285903155, 6.320911275385962 59.84007317101588, 6.31962999242606 59.83957229355301, 6.314864427682596 59.838612720615664, 6.314565826354602 59.83858149189729, 6.3143961875648165 59.83856443495016, 6.313600802604809 59.83848634247223, 6.305697663956054 59.83668283505173, 6.29991613029946 59.83698959315624, 6.2868055645332594 59.83459602196083, 6.286155059700357 59.83434752505194, 6.2856658037693975 59.834148346019894, 6.285506905717061 59.834085362840895, 6.276156484585282 59.83157957194432, 6.27599034800068 59.831562542826425, 6.275777549930892 59.83153875734781, 6.275559874085618 59.831501757380664, 6.261964003645041 59.830565253173745, 6.26122349771321 59.83060926791338, 6.260398032147351 59.83065037600816, 6.259212988957126 59.83068329612894, 6.2581384059484995 59.83065500915548, 6.257992220714919 59.830644945700755, 6.251218254617581 59.82962818179375, 6.247542925595965 59.82838797164746, 6.246568455021215 59.827870990031805, 6.2462258867202 59.82765027273339, 6.246046441502989 59.827527972660235, 6.220711482327317 59.81080770577815, 6.2206984236001 59.8107519015792, 6.219650969595104 59.80893766424329, 6.218810796880399 59.808139865686925, 6.217997508052308 59.80658125965705, 6.217953610716157 59.80651688613808, 6.216099732750383 59.80462993048857, 6.215662111181406 59.804265379393385, 6.215478395719013 59.804126562491575, 6.215032781908682 59.803805729990394, 6.213733522318316 59.80305739077666, 6.213534924777494 59.80296041894093, 6.208212386668311 59.80122914347198, 6.207752985032268 59.80108249385259, 6.207633642052823 59.80104312138397, 6.153417893744327 59.76633377824934, 6.124331001671004 59.751582225451195, 6.124271629845485 59.75153290801178, 6.123345676671425 59.7501185694612, 6.120684841428292 59.73844675245564, 6.1207979003575215 59.73833241118498, 6.1209327374823435 59.73820889378954, 6.122506624698464 59.737435328076835, 6.122576768193799 59.73741390814581, 6.125358513300713 59.734077847340885, 6.124535452619885 59.733384674794266, 6.12429365547521 59.73325167773749, 6.123857348317548 59.73304310308522, 6.122599477913104 59.73251329463209, 6.122520420239056 59.73247483830775, 6.12241205498385 59.732429155312275, 6.121108560298579 59.73181341272587, 6.120577061948162 59.731445674392994, 6.1190489686514 59.72904198731734, 6.119096485735161 59.728938693164984, 6.119906781992918 59.72738976620997)"/>
    <s v="[2067819, 2067827, 2067835, 2067843, 2067851, 2067859, 2067867, 2067875, 2067883, 2067891, 2067899, 2067907, 2067915, 2067924, 2067932, 2067940, 2067948, 2067956, 2067964, 2067972, 2067980, 2067988, 2067996, 2068004, 2068012, 2068020, 2068028, 2068036, 2068044, 2068052, 2068060, 2068068, 2068076, 2068084, 2068092, 2068100, 2068108, 2068116, 2068124, 2068132, 2068140, 2068148, 2068156, 2068164, 2068172, 2068180, 2068188, 2068196, 2068204, 2068212, 2068220, 2068228, 2068236, 2068244, 2068252, 2068260, 2008632, 2008640, 2008648, 2008656, 2008664, 2008672, 2008680, 2008688, 2008696, 2008704, 2008712, 2008720, 2008728, 2008736, 2008744, 2008752, 2008760, 2068268, 457551, 457559, 457567]"/>
    <s v="[1796023, 1796029, 1796033, 1796038, 1796045, 1796051, 1796056, 1634287, 1796067, 1796075, 1796083, 1796090, 1631529, 1796101, 1796107, 1796114, 1796118, 1282214, 1796131, 1282189, 332759, 1282178, 332794, 332778, 1796161, 1796167, 1796174, 1796178, 1627182, 1796188, 1796194, 1796200, 1796205, 1796213, 1698576, 332807, 1796225, 1659592, 1796233, 1796238, 1796241, 1796245, 1796249, 1796254, 1796258, 1282158, 1659715, 1796268, 1796275, 1796279, 1796284, 1796290, 1796294, 1796298, 1796304, 1758138, 1758139, 1758144, 1758150, 1628791, 1758159, 1758165, 1758170, 1758177, 1758181, 1758185, 1758190, 1758193, 1758196, 1758202, 1758209, 1758214, 1758220, 456017, 456018, 456029, 456037]"/>
    <s v="#FIELD!"/>
    <s v="[1178154, 1796023, 1796029, 1796033, 1796038, 1796045, 1796051, 1796056, 1634287, 1796067, 1796075, 1796083, 1796090, 1631529, 1796101, 1796107, 1796114, 1796118, 1282214, 1796131, 1282189, 332759, 1282178, 332794, 332778, 1796161, 1796167, 1796174, 1796178, 1627182, 1796188, 1796194, 1796200, 1796205, 1796213, 1698576, 332807, 1796225, 1659592, 1796233, 1796238, 1796241, 1796245, 1796249, 1796254, 1796258, 1282158, 1659715, 1796268, 1796275, 1796279, 1796284, 1796290, 1796294, 1796298, 1796304, 1758138, 1758139, 1758144, 1758150, 1628791, 1758159, 1758165, 1758170, 1758177, 1758181, 1758185, 1758190, 1758193, 1758196, 1758202, 1758209, 1758214, 1758220, 456017, 456018, 456029]"/>
    <s v="[18.453, 0.151, 0.065, 0.009, 0.011, 0.076, 0.241, 0.189, 0.095, 0.078, 0.033, 0.225, 0.204, 0.084, 0.106, 0.044, 0.033, 0.001, 0.006, 0.033, 0.012, 0.062, 0.002, 0.07, 0.099, 0.169, 0.141, 0.128, 0.0, 0.305, 0.002, 0.228, 0.224, 0.177, 0.038, 0.092, 0.004, 0.067, 0.046, 0.104, 0.117, 0.0, 0.017, 0.064, 0.118, 0.008, 0.12, 0.016, 0.133, 0.141, 0.149, 0.178, 0.183, 0.024, 0.089, 0.108, 0.129, 0.231, 0.26, 0.136, 0.008, 0.148, 0.136, 0.099, 0.059, 0.039, 0.047, 0.002, 0.002, 0.007, 0.067, 0.027, 0.116, 0.082, 0.047, 0.057, 0.053]"/>
    <s v="20190.91500541866"/>
    <s v="[-18.453, 0.151, 0.065, 0.009, -0.011, -0.076, -0.241, -0.189, -0.095, 0.078, 0.033, -0.225, -0.204, -0.084, -0.106, -0.044, 0.033, 0.001, 0.006, 0.033, 0.012, -0.062, -0.002, -0.07, 0.099, 0.169, 0.141, -0.128, 0.0, 0.305, -0.002, -0.228, -0.224, -0.177, -0.038, 0.092, -0.004, -0.067, 0.046, 0.104, 0.117, 0.0, -0.017, -0.064, -0.118, 0.008, 0.12, 0.016, -0.133, -0.141, 0.149, 0.178, 0.183, -0.024, 0.089, 0.108, 0.129, -0.231, -0.26, -0.136, -0.008, 0.148, 0.136, 0.099, 0.059, 0.039, -0.047, 0.002, -0.002, 0.007, 0.067, 0.027, 0.116, 0.082, 0.047, 0.057, 0.053]"/>
  </r>
  <r>
    <x v="1255"/>
    <x v="1672"/>
    <x v="0"/>
    <n v="0"/>
    <s v="LINESTRING (6.119709319438262 59.72528487627621, 6.119412640168613 59.72477640756649, 6.119201658257837 59.724491494395785, 6.114855839323726 59.72188038233572, 6.099142172043596 59.71569946201712, 6.0986321575775 59.715533105005996, 6.094052646605343 59.71320492119876, 6.094023421380236 59.71316682433256)"/>
    <s v="[457575, 457583, 457591, 457862, 457870, 457878, 457886]"/>
    <s v="[456046, 456054, 456063, 456337, 456344, 456354, 456366]"/>
    <s v="#FIELD!"/>
    <s v="[456045, 456046, 456054, 456063, 456337, 456344, 456354]"/>
    <s v="[0.097, 0.005, 0.123, 0.034, 0.134, 0.083, 0.014]"/>
    <s v="2027.0163194432707"/>
    <s v="[-0.097, -0.005, 0.123, -0.034, -0.134, -0.083, 0.014]"/>
  </r>
  <r>
    <x v="1256"/>
    <x v="1673"/>
    <x v="0"/>
    <n v="0"/>
    <s v="LINESTRING (6.119916674083049 59.724471990123895, 6.119916674083049 59.724471990123895, 6.115399793682067 59.7206100204161, 6.115043179728317 59.71941498482503, 6.114803060405857 59.719056059342705, 6.112512069175283 59.71736538141419, 6.112429156685554 59.717341848421746, 6.11167402995293 59.7171294317229, 6.10569363484479 59.716331989282075, 6.105190858541931 59.716152206114565, 6.104280452030412 59.71539084405387, 6.1038637983921555 59.71472913500933, 6.09731060763548 59.71449993715532, 6.096178971608062 59.71427101709727, 6.095452619682304 59.713879626778024, 6.0952881228202145 59.713764043458895)"/>
    <s v="[457639, 457647, 2068276, 2068284, 2068292, 2068300, 2068308, 2068316, 2068324, 2068332, 2068340, 2068348, 2068356, 458102, 458110]"/>
    <s v="[456113, 456118, 785801, 1768813, 1796333, 1796339, 1796345, 1764662, 1796354, 1622717, 1630929, 1768756, 456588, 456589, 456125]"/>
    <s v="#FIELD!"/>
    <s v="[456094, 456113, 456118, 785801, 1768813, 1796333, 1796339, 1796345, 1764662, 1796354, 1622717, 1630929, 1768756, 456588, 456589]"/>
    <s v="[0.0, 0.02, 0.082, 0.004, 0.04, 0.016, 0.066, 0.013, 0.088, 0.091, 0.179, 0.017, 0.029, 0.198, 1.103]"/>
    <s v="2127.0710171977234"/>
    <s v="[0.0, 0.02, -0.082, -0.004, -0.04, 0.016, 0.066, 0.013, -0.088, -0.091, -0.179, 0.017, 0.029, 0.198, -1.103]"/>
  </r>
  <r>
    <x v="1257"/>
    <x v="1674"/>
    <x v="0"/>
    <n v="0"/>
    <s v="LINESTRING (6.0952881228202145 59.713764043458895, 6.0953781242772935 59.71291451632071, 6.094212239112454 59.71108588185983, 6.0941720126500885 59.710934977884456, 6.093252871430361 59.7098229642017, 6.092652559482301 59.70965430724071, 6.091550930145955 59.70941505869799, 6.09138886716572 59.70938328846306, 6.085113141180371 59.70856911466353, 6.084861059753977 59.70853362340943, 6.0830490698366475 59.70798517824873, 6.078163065197126 59.706224156298035, 6.076169947197381 59.707682124287345, 6.076017685999875 59.70780512532274, 6.07458855164485 59.7080214305373, 6.074593129380797 59.70809264316658, 6.074572230504314 59.70829375386315, 6.073861564425986 59.708424256589836, 6.0734247141629965 59.708363153474146, 6.073396560781978 59.70832642508313)"/>
    <s v="[457655, 2068364, 2068372, 2068380, 2068388, 2068396, 2068404, 2068412, 2068420, 2068428, 2068436, 2068444, 457703, 457711, 457727, 457735, 457743, 457751, 457759]"/>
    <s v="[456126, 1768767, 1622729, 1796393, 1796397, 1768761, 1621634, 1796409, 1796412, 1796419, 1621640, 456169, 456170, 456177, 456196, 456202, 456211, 456221, 456231]"/>
    <s v="#FIELD!"/>
    <s v="[456125, 456126, 1768767, 1622729, 1796393, 1796397, 1768761, 1621634, 1796409, 1796412, 1796419, 1621640, 456169, 456170, 456177, 456196, 456202, 456211, 456221]"/>
    <s v="[0.175, 0.04, 0.094, 0.05, 0.1, 0.083, 0.005, 0.019, 0.018, 0.065, 0.018, 0.041, 0.045, 0.064, 0.465, 0.463, 0.033, 0.225, 0.377]"/>
    <s v="1869.119618280118"/>
    <s v="[-0.175, -0.04, -0.094, -0.05, 0.1, 0.083, -0.005, -0.019, -0.018, -0.065, 0.018, 0.041, 0.045, -0.064, 0.465, 0.463, 0.033, -0.225, -0.377]"/>
  </r>
  <r>
    <x v="1257"/>
    <x v="1675"/>
    <x v="0"/>
    <n v="0"/>
    <s v="LINESTRING (6.0952881228202145 59.713764043458895, 6.094773672304682 59.712877653898026, 6.094760184712044 59.712772581535006, 6.093840467495246 59.712192218913216)"/>
    <s v="[458118, 458126, 458134]"/>
    <s v="[456609, 456617, 456626]"/>
    <s v="0.003914682056561709"/>
    <s v="[456125, 456609, 456617]"/>
    <s v="[0.03, 0.166, 0.004]"/>
    <s v="208.88036078725867"/>
    <s v="[0.03, -0.166, -0.004]"/>
  </r>
  <r>
    <x v="1258"/>
    <x v="1676"/>
    <x v="0"/>
    <s v="[0, 0, 1, 0, 0, 0, 1, 0, 1, 0, 1, 0, 1, 0, 0, 1, 0]"/>
    <s v="LINESTRING (6.073396560781978 59.70832642508313, 6.062806510487639 59.708246170964586, 6.060965765444429 59.70817235082066, 6.060810047222065 59.70816563952995, 6.060608756043339 59.70815818548996, 6.056394275004863 59.707731923646435, 6.044913050461557 59.70592978589847, 6.044792133798948 59.7058900146413, 6.0422756544463745 59.70514853339311, 6.042176365723713 59.70511145751214, 6.039725478438603 59.70362442958637, 6.03968841049267 59.70358696128623, 6.039625050127953 59.703509920133435, 6.039596723268525 59.703466683887875, 6.038604529264309 59.70028199346279, 6.025395312953428 59.69408771169866, 6.025266812570718 59.69398749720355, 6.01884207952988 59.69076436856743)"/>
    <s v="[457830, 457838, 457846, 457854, 2068452, 2068460, 2068468, 2068476, 2068484, 2068492, 2068500, 2068508, 2068516, 2068524, 2068532, 2068540, 2068548]"/>
    <s v="[456301, 456310, 456320, 456326, 1796433, 1796438, 1796444, 1796450, 1796456, 1796462, 1796467, 1796473, 1796479, 1621661, 1796492, 1796497, 1581707]"/>
    <s v="0.0021758247254073854"/>
    <s v="[456231, 456301, 456310, 456320, 456326, 1796433, 1796438, 1796444, 1796450, 1796456, 1796462, 1796467, 1796473, 1796479, 1621661, 1796492, 1796497]"/>
    <s v="[0.009, 0.037, 0.01, 0.089, 0.04, 0.018, 0.137, 0.083, 0.237, 0.072, 0.068, 0.048, 0.044, 0.047, 0.011, 0.13, 0.081]"/>
    <s v="4180.8249076680395"/>
    <s v="[-0.009, -0.037, -0.01, -0.089, -0.04, 0.018, -0.137, -0.083, 0.237, 0.072, 0.068, -0.048, -0.044, -0.047, -0.011, 0.13, 0.081]"/>
  </r>
  <r>
    <x v="1258"/>
    <x v="1677"/>
    <x v="0"/>
    <n v="0"/>
    <s v="LINESTRING (6.09271308586823 59.711465160181184, 6.081120915798821 59.70838035922025, 6.080345943482942 59.70826656991096, 6.07754429938965 59.7080714104085, 6.07719044647844 59.70807087749087, 6.0748301906768845 59.70818812354723, 6.073396560781978 59.70832642508313)"/>
    <s v="[457894, 457902, 457910, 457806, 457814, 457822]"/>
    <s v="[456374, 456383, 456276, 456277, 456286, 456231]"/>
    <s v="#FIELD!"/>
    <s v="[456373, 456374, 456383, 456276, 456277, 456286]"/>
    <s v="[0.008, 0.049, 0.003, 0.187, 0.123, 0.037]"/>
    <s v="1223.0814180534667"/>
    <s v="[-0.008, 0.049, -0.003, -0.187, -0.123, -0.037]"/>
  </r>
  <r>
    <x v="1259"/>
    <x v="1678"/>
    <x v="0"/>
    <n v="0"/>
    <m/>
    <n v="458046"/>
    <n v="456533"/>
    <s v="#FIELD!"/>
    <n v="456366"/>
    <s v="0.025"/>
    <s v="105.6894260837926"/>
    <s v="#FIELD!"/>
  </r>
  <r>
    <x v="1259"/>
    <x v="1679"/>
    <x v="0"/>
    <n v="0"/>
    <s v="LINESTRING (6.094023421380236 59.71316682433256, 6.093276613199795 59.71227854471989, 6.09326972296312 59.71226955478131)"/>
    <s v="[458078, 458086]"/>
    <s v="[456566, 456573]"/>
    <s v="#FIELD!"/>
    <s v="[456366, 456566]"/>
    <s v="[0.002, 0.026]"/>
    <s v="109.44392395225564"/>
    <s v="[-0.002, 0.026]"/>
  </r>
  <r>
    <x v="1260"/>
    <x v="1680"/>
    <x v="0"/>
    <n v="0"/>
    <m/>
    <n v="458070"/>
    <n v="456373"/>
    <s v="0.007"/>
    <n v="456549"/>
    <s v="0.007"/>
    <s v="92.50211914695402"/>
    <s v="0.007"/>
  </r>
  <r>
    <x v="1260"/>
    <x v="1679"/>
    <x v="0"/>
    <n v="0"/>
    <m/>
    <n v="458094"/>
    <n v="456373"/>
    <s v="#FIELD!"/>
    <n v="456573"/>
    <s v="0.017"/>
    <s v="95.82329180198396"/>
    <s v="#FIELD!"/>
  </r>
  <r>
    <x v="1261"/>
    <x v="1679"/>
    <x v="0"/>
    <n v="0"/>
    <m/>
    <n v="458158"/>
    <n v="456573"/>
    <s v="0.284"/>
    <n v="456533"/>
    <s v="0.284"/>
    <s v="8.408144860793183"/>
    <s v="0.284"/>
  </r>
  <r>
    <x v="1261"/>
    <x v="1680"/>
    <x v="0"/>
    <n v="0"/>
    <s v="LINESTRING (6.093416345989015 59.7122829215056, 6.093386344129836 59.71224799640145, 6.09336046199429 59.7122178517709)"/>
    <s v="[458054, 458062]"/>
    <s v="[456541, 456549]"/>
    <s v="0.021389739783948702"/>
    <s v="[456533, 456541]"/>
    <s v="[0.02, 0.023]"/>
    <s v="7.923282181955546"/>
    <s v="[0.02, 0.023]"/>
  </r>
  <r>
    <x v="1261"/>
    <x v="1675"/>
    <x v="0"/>
    <n v="0"/>
    <s v="LINESTRING (6.093840467495246 59.712192218913216, 6.09348517869148 59.71227414893609, 6.093416345989015 59.7122829215056)"/>
    <s v="[458142, 458150]"/>
    <s v="[456636, 456533]"/>
    <s v="0.10820176124236347"/>
    <s v="[456626, 456636]"/>
    <s v="[0.23, 0.571]"/>
    <s v="26.34653169147193"/>
    <s v="[0.23, -0.571]"/>
  </r>
  <r>
    <x v="1262"/>
    <x v="1681"/>
    <x v="0"/>
    <n v="0"/>
    <s v="LINESTRING (10.4835822857156 59.90725367382905, 10.48346916697337 59.90724016807428, 10.483372858309263 59.90720524163458, 10.48330788553788 59.90713649677982, 10.483777005115146 59.90698462281606, 10.48384899616232 59.90702666437741, 10.483890051812399 59.90708419177126, 10.483849036470431 59.90718296939138)"/>
    <s v="[458066, 458074, 458082, 458090, 458098, 458042, 458050]"/>
    <s v="[456552, 456561, 456569, 456578, 456527, 456528, 456536]"/>
    <s v="0.0018850739921218473"/>
    <s v="[456544, 456552, 456561, 456569, 456578, 456527, 456528]"/>
    <s v="[0.002, 0.003, 0.005, 0.001, 0.018, 0.011, 0.001]"/>
    <s v="86.05320815742306"/>
    <s v="[-0.002, -0.003, -0.005, 0.001, 0.018, 0.011, 0.001]"/>
  </r>
  <r>
    <x v="1262"/>
    <x v="1682"/>
    <x v="0"/>
    <n v="0"/>
    <s v="LINESTRING (10.483849036470431 59.90718296939138, 10.483895367390595 59.90721607216472, 10.485401648905446 59.90731760476175, 10.485613571738817 59.907320595206706)"/>
    <s v="[458138, 458146, 458154]"/>
    <s v="[456630, 456641, 456649]"/>
    <s v="0.021133433178117257"/>
    <s v="[456536, 456630, 456641]"/>
    <s v="[0.019, 0.021, 0.023]"/>
    <s v="110.28426039735143"/>
    <s v="[0.019, 0.021, 0.023]"/>
  </r>
  <r>
    <x v="1263"/>
    <x v="1683"/>
    <x v="0"/>
    <s v="[0, 1, 0, 0]"/>
    <s v="LINESTRING (10.482654595902078 59.90799947868159, 10.482840824416808 59.907920525661524, 10.483440995653208 59.907710360388926, 10.483631858956993 59.90729334518688, 10.4835822857156 59.90725367382905)"/>
    <s v="[458106, 458114, 458122, 458130]"/>
    <s v="[456596, 456604, 456613, 456544]"/>
    <s v="#FIELD!"/>
    <s v="[456595, 456596, 456604, 456613]"/>
    <s v="[0.003, 0.002, 0.004, 0.005]"/>
    <s v="111.92722815401272"/>
    <s v="[-0.003, -0.002, -0.004, -0.005]"/>
  </r>
  <r>
    <x v="1264"/>
    <x v="1679"/>
    <x v="0"/>
    <n v="0"/>
    <m/>
    <n v="458182"/>
    <n v="456573"/>
    <s v="0.287"/>
    <n v="456549"/>
    <s v="0.287"/>
    <s v="7.71868512130857"/>
    <s v="0.287"/>
  </r>
  <r>
    <x v="1264"/>
    <x v="1675"/>
    <x v="0"/>
    <n v="0"/>
    <s v="LINESTRING (6.093840467495246 59.712192218913216, 6.093432865216851 59.712183866115325, 6.09336046199429 59.7122178517709)"/>
    <s v="[458166, 458174]"/>
    <s v="[456663, 456549]"/>
    <s v="0.10089909230795376"/>
    <s v="[456626, 456663]"/>
    <s v="[0.184, 0.264]"/>
    <s v="30.06811464453928"/>
    <s v="[0.184, -0.264]"/>
  </r>
  <r>
    <x v="1265"/>
    <x v="1682"/>
    <x v="0"/>
    <n v="0"/>
    <m/>
    <n v="458380"/>
    <n v="456649"/>
    <s v="0.012"/>
    <n v="456595"/>
    <s v="0.012"/>
    <s v="182.0977114080354"/>
    <s v="0.012"/>
  </r>
  <r>
    <x v="1265"/>
    <x v="1684"/>
    <x v="0"/>
    <n v="0"/>
    <m/>
    <n v="458366"/>
    <n v="456595"/>
    <s v="0.0"/>
    <n v="456852"/>
    <s v="0.0"/>
    <s v="281.84279588133006"/>
    <s v="0.0"/>
  </r>
  <r>
    <x v="1266"/>
    <x v="996"/>
    <x v="0"/>
    <s v="[0, 1]"/>
    <s v="LINESTRING (10.485613571738817 59.907320595206706, 10.490870685318097 59.905220260055856, 10.491022853290696 59.90512025381743)"/>
    <s v="[458397, 458422]"/>
    <s v="[456873, 456658]"/>
    <s v="0.0013904978753438032"/>
    <s v="[456649, 456873]"/>
    <s v="[0.001, 0.012]"/>
    <s v="395.1699470618359"/>
    <s v="[0.001, 0.012]"/>
  </r>
  <r>
    <x v="1267"/>
    <x v="1685"/>
    <x v="0"/>
    <s v="[1, 1, 0, 0, 0]"/>
    <s v="LINESTRING (10.491022853290696 59.90512025381743, 10.491061596941133 59.905061614503786, 10.491371484353786 59.90478919813572, 10.491546062998786 59.90459139322441, 10.493147694090283 59.903079947790296, 10.493215180479933 59.90305035150427)"/>
    <s v="[458162, 458170, 458178, 458186, 458194]"/>
    <s v="[456659, 456666, 456673, 456682, 456691]"/>
    <s v="0.0034323111760207357"/>
    <s v="[456658, 456659, 456666, 456673, 456682]"/>
    <s v="[0.006, 0.006, 0.0, 0.003, 0.017]"/>
    <s v="285.52224038984735"/>
    <s v="[0.006, 0.006, 0.0, 0.003, 0.017]"/>
  </r>
  <r>
    <x v="1268"/>
    <x v="994"/>
    <x v="0"/>
    <s v="[0, 1, 0, 0, 1, 1]"/>
    <s v="LINESTRING (10.495319655851462 59.90358763437012, 10.495319655851462 59.90358763437012, 10.495444900691563 59.90342397385321, 10.495404825064341 59.903307389416746, 10.494858510218839 59.90311557265595, 10.49374762096772 59.90356245321333, 10.493553618757737 59.90363970638072)"/>
    <s v="[458202, 458210, 458218, 458226, 458234, 458242]"/>
    <s v="[456698, 456708, 456717, 456726, 456734, 456742]"/>
    <s v="#FIELD!"/>
    <s v="[456697, 456698, 456708, 456717, 456726, 456734]"/>
    <s v="[0.0, 0.001, 0.012, 0.023, 0.016, 0.018]"/>
    <s v="172.22831918361908"/>
    <s v="[0.0, -0.001, -0.012, -0.023, -0.016, -0.018]"/>
  </r>
  <r>
    <x v="1269"/>
    <x v="1686"/>
    <x v="0"/>
    <s v="[0, 0, 1, 0, 1, 0, 0, 0, 0, 0, 0, 0, 0, 0]"/>
    <s v="LINESTRING (10.482654595902078 59.90799947868159, 10.478658996159725 59.90965008817036, 10.478286174643152 59.90993614351818, 10.478054245923385 59.91014438213418, 10.477813448165588 59.91039889210698, 10.477315344318994 59.911185327791785, 10.47717194330024 59.911674987844016, 10.477137155380055 59.91229813700672, 10.477090981884047 59.91356545671996, 10.477087974069757 59.91359330464868, 10.4675041036051 59.92130336925217, 10.467428038080174 59.921327648898334, 10.467104437222332 59.92143846347428, 10.466635709973074 59.92159111614722, 10.466332404591828 59.92168957858413)"/>
    <s v="[1250578, 1250579, 850437, 850445, 850453, 850461, 850469, 850477, 850485, 850493, 850501, 850509, 850517, 850525]"/>
    <s v="[1169813, 825246, 825247, 825252, 825260, 825267, 825272, 825279, 825283, 825289, 825296, 825302, 825309, 824295]"/>
    <s v="0.020525458701605083"/>
    <s v="[456852, 1169813, 825246, 825247, 825252, 825260, 825267, 825272, 825279, 825283, 825289, 825296, 825302, 825309]"/>
    <s v="[0.435, 0.101, 0.002, 0.003, 0.0, 0.042, 0.044, 0.043, 0.031, 0.022, 0.029, 0.038, 0.038, 0.041]"/>
    <s v="1612.1454633895864"/>
    <s v="[0.435, -0.101, 0.002, 0.003, 0.0, 0.042, 0.044, 0.043, 0.031, 0.022, -0.029, -0.038, -0.038, -0.041]"/>
  </r>
  <r>
    <x v="1270"/>
    <x v="1687"/>
    <x v="0"/>
    <s v="[0, 0, 1, 0, 0, 0, 0, 0]"/>
    <s v="LINESTRING (5.717119395645378 58.84679052701967, 5.717098368348919 58.84681772100808, 5.71695850200543 58.84699146743246, 5.716512303126205 58.84756044304835, 5.713156167726045 58.853548110369395, 5.71290657448542 58.85426776482132, 5.712903637198815 58.85427599207388, 5.712595240868553 58.85515692533397, 5.71258819748253 58.855175897646426)"/>
    <s v="[460185, 460195, 460196, 460197, 460198, 460199, 460200, 460212]"/>
    <s v="[458607, 458619, 458620, 458621, 458622, 458623, 458624, 458634]"/>
    <s v="0.0035043169891392483"/>
    <s v="[458593, 458607, 458619, 458620, 458621, 458622, 458623, 458624]"/>
    <s v="[0.035, 0.031, 0.031, 0.006, 0.012, 0.02, 0.011, 0.011]"/>
    <s v="976.6603186471486"/>
    <s v="[-0.035, -0.031, -0.031, 0.006, 0.012, 0.02, 0.011, 0.011]"/>
  </r>
  <r>
    <x v="1270"/>
    <x v="1688"/>
    <x v="0"/>
    <s v="[0, 0, 1, 0, 0, 0, 0]"/>
    <s v="LINESTRING (5.725446333225693 58.84099223699602, 5.725571132063341 58.840988119704164, 5.725246059915182 58.84055549953255, 5.724478333965474 58.840824385584526, 5.7205567259083505 58.842801174277206, 5.720481088482179 58.842863439730756, 5.717320143027926 58.84664903574864, 5.717119395645378 58.84679052701967)"/>
    <s v="[1420040, 1420048, 371934, 371942, 371950, 371958, 1824231]"/>
    <s v="[1296456, 360960, 360961, 360967, 360978, 360986, 458593]"/>
    <s v="0.014943989529247595"/>
    <s v="[1296455, 1296456, 360960, 360961, 360967, 360978, 360986]"/>
    <s v="[0.037, 0.001, 0.089, 0.066, 0.018, 0.031, 0.184]"/>
    <s v="995.6435872288162"/>
    <s v="[-0.037, 0.001, 0.089, 0.066, -0.018, -0.031, 0.184]"/>
  </r>
  <r>
    <x v="1270"/>
    <x v="1689"/>
    <x v="0"/>
    <s v="[1, 0, 0, 0, 1, 0, 0, 0, 0, 0, 0]"/>
    <s v="LINESTRING (5.729555308941337 58.83920794504336, 5.728653177131554 58.83946978719305, 5.727244967998671 58.83986898819099, 5.726765124294691 58.840006913572175, 5.725224840928011 58.84048981237692, 5.724267374970064 58.8408276185555, 5.721893797045869 58.84183817165723, 5.720473646595202 58.8427836136156, 5.72046427500573 58.842791727001746, 5.720319549415885 58.84291724751665, 5.7185851002396655 58.84494243917431, 5.717119395645378 58.84679052701967)"/>
    <s v="[1423786, 1423794, 1423802, 1423810, 1423818, 1423826, 460143, 460148, 460164, 460170, 460175]"/>
    <s v="[1298758, 1298762, 1298767, 1298772, 1298777, 458557, 458558, 458564, 458580, 458589, 458593]"/>
    <s v="0.025823638758691377"/>
    <s v="[1296777, 1298758, 1298762, 1298767, 1298772, 1298777, 458557, 458558, 458564, 458580, 458589]"/>
    <s v="[0.068, 0.075, 0.089, 0.03, 0.043, 0.075, 0.052, 0.001, 0.001, 0.013, 0.032]"/>
    <s v="1156.5623653723635"/>
    <s v="[0.068, 0.075, 0.089, 0.03, 0.043, 0.075, 0.052, 0.001, 0.001, -0.013, -0.032]"/>
  </r>
  <r>
    <x v="1271"/>
    <x v="1690"/>
    <x v="0"/>
    <n v="0"/>
    <m/>
    <n v="2103371"/>
    <n v="1815419"/>
    <s v="#FIELD!"/>
    <n v="458600"/>
    <s v="0.002"/>
    <s v="1.9767926037079158"/>
    <s v="#FIELD!"/>
  </r>
  <r>
    <x v="1271"/>
    <x v="1691"/>
    <x v="0"/>
    <n v="0"/>
    <s v="LINESTRING (5.719585111285198 58.88639912919465, 5.719502021873491 58.886396337781804, 5.718691252132036 58.8864638958504)"/>
    <s v="[460180, 460188]"/>
    <s v="[458601, 458610]"/>
    <s v="0.006091575893359978"/>
    <s v="[458600, 458601]"/>
    <s v="[0.007, 0.006]"/>
    <s v="52.59298265041472"/>
    <s v="[0.007, 0.006]"/>
  </r>
  <r>
    <x v="1271"/>
    <x v="1692"/>
    <x v="0"/>
    <n v="0"/>
    <s v="LINESTRING (5.719597580355807 58.88652791013428, 5.719542798203145 58.88644259461589, 5.719585111285198 58.88639912919465)"/>
    <s v="[2103356, 2103364]"/>
    <s v="[1817782, 458600]"/>
    <s v="#FIELD!"/>
    <s v="[1301608, 1817782]"/>
    <s v="[0.024, 0.001]"/>
    <s v="15.8448697857908"/>
    <s v="[-0.024, -0.001]"/>
  </r>
  <r>
    <x v="1272"/>
    <x v="1693"/>
    <x v="0"/>
    <s v="[0, 1, 0]"/>
    <s v="LINESTRING (5.718691252132036 58.8864638958504, 5.718263677355222 58.88646735619776, 5.717169909139394 58.88647099398728, 5.7169719878133085 58.88647021130593)"/>
    <s v="[1369095, 1369103, 1369111]"/>
    <s v="[1262736, 1262741, 458611]"/>
    <s v="0.009008007514809556"/>
    <s v="[458610, 1262736, 1262741]"/>
    <s v="[0.016, 0.026, 0.1]"/>
    <s v="99.4519531375098"/>
    <s v="[0.016, 0.026, -0.1]"/>
  </r>
  <r>
    <x v="1272"/>
    <x v="1692"/>
    <x v="0"/>
    <n v="0"/>
    <s v="LINESTRING (5.719597580355807 58.88652791013428, 5.719497689785178 58.886519139642346, 5.718691252132036 58.8864638958504)"/>
    <s v="[1428669, 1428677]"/>
    <s v="[1301609, 458610]"/>
    <s v="0.0013305928790578693"/>
    <s v="[1301608, 1301609]"/>
    <s v="[0.004, 0.001]"/>
    <s v="53.18141948271271"/>
    <s v="[0.004, 0.001]"/>
  </r>
  <r>
    <x v="1273"/>
    <x v="1694"/>
    <x v="0"/>
    <n v="0"/>
    <s v="LINESTRING (5.7169719878133085 58.88647021130593, 5.716179634261758 58.886418863418776, 5.716097682166386 58.886432074860615)"/>
    <s v="[460189, 460194]"/>
    <s v="[458612, 458618]"/>
    <s v="0.010613981371834169"/>
    <s v="[458611, 458612]"/>
    <s v="[0.011, 0.007]"/>
    <s v="51.447288365959665"/>
    <s v="[0.011, 0.007]"/>
  </r>
  <r>
    <x v="1273"/>
    <x v="1695"/>
    <x v="0"/>
    <n v="0"/>
    <s v="LINESTRING (5.7169719878133085 58.88647021130593, 5.71656486796524 58.88650345073516, 5.716153919684743 58.886546650130676, 5.716028531561244 58.88656226319194)"/>
    <s v="[1428741, 1428749, 1428757]"/>
    <s v="[1301654, 1301658, 1301663]"/>
    <s v="0.04450166146627799"/>
    <s v="[458611, 1301654, 1301658]"/>
    <s v="[0.082, 0.016, 0.016]"/>
    <s v="55.821354997744784"/>
    <s v="[0.082, 0.016, 0.016]"/>
  </r>
  <r>
    <x v="1274"/>
    <x v="1695"/>
    <x v="0"/>
    <n v="0"/>
    <s v="LINESTRING (5.716097682166386 58.886432074860615, 5.716125050597321 58.8864889737816, 5.7161000817566805 58.88652876983401, 5.716028531561244 58.88656226319194)"/>
    <s v="[2103597, 2103598, 2103609]"/>
    <s v="[1817940, 1817941, 1301663]"/>
    <s v="0.11443240984431793"/>
    <s v="[458618, 1817940, 1817941]"/>
    <s v="[0.015, 0.008, 0.369]"/>
    <s v="16.807172046689253"/>
    <s v="[-0.015, -0.008, 0.369]"/>
  </r>
  <r>
    <x v="1274"/>
    <x v="1696"/>
    <x v="0"/>
    <n v="0"/>
    <m/>
    <n v="2103596"/>
    <n v="458618"/>
    <s v="#FIELD!"/>
    <n v="1815492"/>
    <s v="0.014"/>
    <s v="2.147432420413444"/>
    <s v="#FIELD!"/>
  </r>
  <r>
    <x v="1275"/>
    <x v="1697"/>
    <x v="0"/>
    <n v="0"/>
    <s v="LINESTRING (5.71258819748253 58.855175897646426, 5.712017467116403 58.85704628333176, 5.7120150928457845 58.85705526532008, 5.711965427558463 58.8572451030607, 5.711950465073196 58.857301518466514, 5.711781457430055 58.85800060362851, 5.711779574649786 58.858009250759494, 5.7114634695032445 58.86026150674215, 5.711459055276831 58.86049093594027, 5.711466701862234 58.86083137021017)"/>
    <s v="[460219, 460229, 460237, 1116647, 1116655, 1116663, 1116671, 1116679, 1116687]"/>
    <s v="[458640, 458649, 458656, 1055839, 1055847, 1055855, 1055861, 1055867, 1055873]"/>
    <s v="#FIELD!"/>
    <s v="[458634, 458640, 458649, 458656, 1055839, 1055847, 1055855, 1055861, 1055867]"/>
    <s v="[0.007, 0.007, 0.005, 0.487, 0.015, 0.015, 0.03, 0.045, 0.044]"/>
    <s v="636.1719070555029"/>
    <s v="[0.007, 0.007, 0.005, 0.487, -0.015, -0.015, -0.03, -0.045, -0.044]"/>
  </r>
  <r>
    <x v="1275"/>
    <x v="1697"/>
    <x v="0"/>
    <s v="[0, 0, 0, 0, 1, 0, 0, 0, 0, 0, 0, 0, 1, 0, 0]"/>
    <s v="LINESTRING (5.71258819748253 58.855175897646426, 5.712604293591498 58.85535533160012, 5.712247883975166 58.856902203324225, 5.712252396818665 58.85691087146054, 5.713482799924642 58.856586213659185, 5.713440100100385 58.85657072819971, 5.713292635701553 58.856533847108686, 5.713251848281086 58.85651961176252, 5.713180124643774 58.85648656890514, 5.713177758403288 58.85643379480613, 5.713369435336721 58.856432647601366, 5.713418045608085 58.85645285408647, 5.713533021097998 58.85650934744105, 5.713572011766924 58.856526877310976, 5.711530340436931 58.86051542607141, 5.711466701862234 58.86083137021017)"/>
    <s v="[1824244, 371998, 372006, 372014, 372022, 372030, 809486, 809494, 809502, 809539, 809555, 372246, 372254, 372262, 1824267]"/>
    <s v="[361025, 361026, 361032, 361041, 361050, 361058, 787801, 787807, 787815, 787851, 361268, 361269, 361276, 361283, 1055873]"/>
    <s v="#FIELD!"/>
    <s v="[458634, 361025, 361026, 361032, 361041, 361050, 361058, 787801, 787807, 787815, 787851, 361268, 361269, 361276, 361283]"/>
    <s v="[0.158, 0.013, 0.011, 0.008, 0.009, 0.014, 0.013, 0.021, 0.032, 0.017, 0.032, 0.033, 0.01, 0.025, 0.047]"/>
    <s v="935.2430162024884"/>
    <s v="[0.158, 0.013, -0.011, 0.008, -0.009, -0.014, -0.013, -0.021, -0.032, 0.017, 0.032, 0.033, 0.01, -0.025, -0.047]"/>
  </r>
  <r>
    <x v="1276"/>
    <x v="1698"/>
    <x v="118"/>
    <s v="[0, 0, 0, 1, 0, 0, 0]"/>
    <s v="LINESTRING (5.719766063837674 58.84322807718511, 5.718255318680089 58.845103287625754, 5.716894461120651 58.84681851783106, 5.716787531286157 58.84695544199822, 5.716335959395686 58.84752390106686, 5.7157445501478 58.84826789633897, 5.712948627719603 58.85352481862454, 5.712937071092797 58.8535566933257)"/>
    <s v="[460291, 460292, 460299, 460304, 460310, 460318, 460319]"/>
    <s v="[458718, 458719, 458727, 458732, 458738, 458743, 458744]"/>
    <s v="#FIELD!"/>
    <s v="[458700, 458718, 458719, 458727, 458732, 458738, 458743]"/>
    <s v="[0.019, 0.033, 0.032, 0.03, 0.029, 0.011, 0.012]"/>
    <s v="1223.8016474447033"/>
    <s v="[-0.019, -0.033, -0.032, -0.03, -0.029, 0.011, 0.012]"/>
  </r>
  <r>
    <x v="1276"/>
    <x v="1699"/>
    <x v="0"/>
    <n v="0"/>
    <s v="LINESTRING (5.719766063837674 58.84322807718511, 5.71988690080928 58.84302858743151, 5.720121825640729 58.84280085856454, 5.72019938405029 58.84273199124871, 5.722311385901005 58.84118056962466, 5.722457427367493 58.8394019368246, 5.7225116784516485 58.83937187252119, 5.722593096176685 58.8393324087656, 5.723383904875289 58.839089696456746, 5.7234669653152315 58.839035793419434)"/>
    <s v="[1824229, 371966, 371974, 371982, 1423490, 1423498, 1423506, 1423514, 1423522]"/>
    <s v="[360994, 360995, 361002, 361011, 1296555, 1298646, 1296572, 1298648, 1296655]"/>
    <s v="#FIELD!"/>
    <s v="[458700, 360994, 360995, 361002, 361011, 1296555, 1298646, 1296572, 1298648]"/>
    <s v="[0.001, 0.028, 0.024, 0.064, 0.032, 0.045, 0.049, 0.053, 0.05]"/>
    <s v="550.9334728117828"/>
    <s v="[0.001, 0.028, -0.024, -0.064, -0.032, -0.045, -0.049, -0.053, -0.05]"/>
  </r>
  <r>
    <x v="1277"/>
    <x v="1700"/>
    <x v="0"/>
    <n v="0"/>
    <s v="LINESTRING (5.71128678941112 58.859557990604166, 5.711247018230805 58.8592881618148, 5.7114460382345404 58.85744957368617, 5.711398101663352 58.857380779773, 5.711390361999019 58.85737256436053, 5.711297984408776 58.85728427216855, 5.7102500962421505 58.85759466913337, 5.710276885407503 58.857624626094385, 5.7102971398112805 58.8576658567898, 5.710302511317712 58.85771052632645, 5.7101090093895595 58.85767398930309, 5.710080362511603 58.85764832554424, 5.712580874575691 58.85428042765094, 5.712618561038493 58.85417331980723, 5.712751674719172 58.85386039079174, 5.712937071092797 58.8535566933257)"/>
    <s v="[1824253, 372286, 372294, 372302, 372310, 372318, 809679, 809687, 809695, 809510, 809518, 372182, 372190, 372198, 1824243]"/>
    <s v="[361307, 361308, 361317, 361325, 361334, 361342, 787956, 787960, 787824, 787825, 361211, 361212, 361220, 361227, 458744]"/>
    <s v="#FIELD!"/>
    <s v="[974613, 361307, 361308, 361317, 361325, 361334, 361342, 787956, 787960, 787824, 787825, 361211, 361212, 361220, 361227]"/>
    <s v="[0.041, 0.018, 0.008, 0.007, 0.006, 0.015, 0.011, 0.022, 0.021, 0.01, 0.01, 0.003, 0.03, 0.032, 0.025]"/>
    <s v="918.3743281121585"/>
    <s v="[0.041, 0.018, 0.008, 0.007, 0.006, -0.015, -0.011, -0.022, -0.021, -0.01, 0.01, -0.003, -0.03, -0.032, -0.025]"/>
  </r>
  <r>
    <x v="1278"/>
    <x v="1701"/>
    <x v="0"/>
    <n v="0"/>
    <s v="LINESTRING (5.5077026195990815 61.10482225348526, 5.507837358080774 61.10478093282357, 5.508065809535449 61.10474254295491, 5.508589308464092 61.104469293146636, 5.508634468517587 61.10441185776827, 5.510697243654142 61.10325366316115, 5.5118560649064055 61.103153877189605, 5.512832413468558 61.10299289908581, 5.514006858616955 61.10270984841018)"/>
    <s v="[2031474, 2031485, 2031491, 2031501, 2031502, 2031515, 2031516, 2031520]"/>
    <s v="[1772939, 1772946, 1772953, 1772962, 1772963, 1772973, 1772974, 460432]"/>
    <s v="0.02109967754364223"/>
    <s v="[460424, 1772939, 1772946, 1772953, 1772962, 1772963, 1772973, 1772974]"/>
    <s v="[0.065, 0.057, 0.065, 0.064, 0.004, 0.114, 0.081, 0.042]"/>
    <s v="453.9252443039355"/>
    <s v="[-0.065, -0.057, -0.065, -0.064, -0.004, 0.114, 0.081, 0.042]"/>
  </r>
  <r>
    <x v="1278"/>
    <x v="1701"/>
    <x v="0"/>
    <n v="0"/>
    <s v="LINESTRING (5.5077026195990815 61.10482225348526, 5.507557418524534 61.10528195753347, 5.5079130968197125 61.10528153311082, 5.509013869574961 61.10458791518548, 5.5088740275015216 61.1044257079469, 5.510714909169057 61.10331353182397, 5.510772013391003 61.10330959006679, 5.511941699397652 61.103205643532434, 5.51278410409415 61.103078837630385, 5.512898404282451 61.10305463360852, 5.512996493986374 61.10303385812702, 5.513583739227348 61.10288682674747, 5.514006858616955 61.10270984841018)"/>
    <s v="[2031528, 2031529, 2031530, 2031537, 2031545, 2031547, 2031556, 2031567, 2031568, 2031574, 2031575, 2031585]"/>
    <s v="[1772984, 965157, 1772985, 1772991, 1772994, 1772996, 1773006, 1773014, 1773015, 1773019, 1773020, 460432]"/>
    <s v="0.016409833069608908"/>
    <s v="[460424, 1772984, 965157, 1772985, 1772991, 1772994, 1772996, 1773006, 1773014, 1773015, 1773019, 1773020]"/>
    <s v="[0.056, 0.044, 0.061, 0.033, 0.001, 0.141, 0.116, 0.088, 0.059, 0.067, 0.046, 0.01]"/>
    <s v="585.3198207144403"/>
    <s v="[0.056, -0.044, -0.061, -0.033, 0.001, 0.141, 0.116, 0.088, 0.059, 0.067, 0.046, -0.01]"/>
  </r>
  <r>
    <x v="1278"/>
    <x v="1702"/>
    <x v="0"/>
    <n v="0"/>
    <s v="LINESTRING (5.5053582259371945 61.054355502388496, 5.504330221488063 61.05469896577041, 5.499903115160213 61.06565733171619, 5.500229940142303 61.07894916841528, 5.502777040701043 61.09129056597814, 5.506243136644395 61.104113019944435, 5.5069909043836365 61.104515423485445, 5.507429218247654 61.104711017643496, 5.5077026195990815 61.10482225348526)"/>
    <s v="[1482797, 1482798, 1482642, 1482799, 1482650, 1026481, 462075, 462083]"/>
    <s v="[1342960, 1342839, 1342840, 1342847, 981286, 460413, 460414, 460424]"/>
    <s v="#FIELD!"/>
    <s v="[1342897, 1342960, 1342839, 1342840, 1342847, 981286, 460413, 460414]"/>
    <s v="[0.065, inf, inf, inf, inf, inf, inf, 0.007]"/>
    <s v="86.94446214790328"/>
    <s v="[-0.065, 0, 0, 0, 0, 0, 0, 0.007]"/>
  </r>
  <r>
    <x v="1279"/>
    <x v="1703"/>
    <x v="0"/>
    <n v="0"/>
    <s v="LINESTRING (5.514006858616955 61.10270984841018, 5.649463606117813 61.14943995314912)"/>
    <m/>
    <m/>
    <s v="0.0"/>
    <m/>
    <n v="0"/>
    <s v="19348.654036240307"/>
    <n v="0"/>
  </r>
  <r>
    <x v="1280"/>
    <x v="1704"/>
    <x v="0"/>
    <n v="0"/>
    <s v="LINESTRING (11.043146247797448 59.94889586390941, 11.043428776181157 59.948911136273274, 11.045070741118863 59.94869119357631, 11.045180579468816 59.94866419435101)"/>
    <s v="[462595, 462579, 462587]"/>
    <s v="[460867, 460868, 460875]"/>
    <s v="#FIELD!"/>
    <s v="[460884, 460867, 460868]"/>
    <s v="[0.051, 0.019, 0.011]"/>
    <s v="136.57065368645326"/>
    <s v="[-0.051, -0.019, -0.011]"/>
  </r>
  <r>
    <x v="1281"/>
    <x v="1705"/>
    <x v="0"/>
    <n v="0"/>
    <s v="LINESTRING (11.043146247797448 59.94889586390941, 11.04411558887724 59.94913668771529, 11.044232938026786 59.94916331549876)"/>
    <s v="[1512248, 1512255]"/>
    <s v="[1367519, 1357131]"/>
    <s v="#FIELD!"/>
    <s v="[460884, 1367519]"/>
    <s v="[0.105, 0.08]"/>
    <s v="67.6640308526282"/>
    <s v="[-0.105, -0.08]"/>
  </r>
  <r>
    <x v="1281"/>
    <x v="1706"/>
    <x v="0"/>
    <n v="0"/>
    <s v="LINESTRING (11.014186140822154 59.939846502247256, 11.01451758809738 59.939921260519775, 11.014527252356963 59.939923440867055, 11.015113983868702 59.940055807907264, 11.02104998455744 59.94131263821226, 11.022306449797586 59.94162298643651, 11.03638213675611 59.946390563299644, 11.036399065459683 59.946397662337915, 11.037136609495764 59.9467068398339, 11.041904483538845 59.948541755099335, 11.042444204687854 59.94869875263673, 11.042495038286175 59.94871701004802, 11.042524769020922 59.948727684257925, 11.042949492422125 59.948842622075034, 11.043146247797448 59.94889586390941)"/>
    <s v="[1512154, 1512162, 1512170, 1512180, 1512188, 1512196, 1512204, 1512205, 1512220, 1512221, 1512229, 1512230, 1512239, 1512240]"/>
    <s v="[1367432, 1367439, 1367447, 1367457, 1367465, 1367472, 1367477, 1367478, 1367495, 1367496, 1367503, 1367504, 1367512, 460884]"/>
    <s v="#FIELD!"/>
    <s v="[1365668, 1367432, 1367439, 1367447, 1367457, 1367465, 1367472, 1367477, 1367478, 1367495, 1367496, 1367503, 1367504, 1367512]"/>
    <s v="[0.066, 0.157, 0.143, 0.014, 0.011, 0.008, 0.071, 0.139, 0.096, 0.28, 0.444, 0.323, 0.296, 0.118]"/>
    <s v="1919.704329768958"/>
    <s v="[-0.066, 0.157, 0.143, 0.014, -0.011, -0.008, -0.071, -0.139, -0.096, -0.28, -0.444, -0.323, -0.296, 0.118]"/>
  </r>
  <r>
    <x v="1282"/>
    <x v="1707"/>
    <x v="0"/>
    <n v="0"/>
    <s v="LINESTRING (5.59413054607849 59.13762843804071, 5.594048809740893 59.13767026238868, 5.593588347357949 59.13778459664955, 5.593108405191509 59.13775264057888)"/>
    <s v="[462603, 462611, 462619]"/>
    <s v="[460893, 460904, 460914]"/>
    <s v="#FIELD!"/>
    <s v="[460892, 460893, 460904]"/>
    <s v="[0.022, 0.011, 0.009]"/>
    <s v="64.65275424456814"/>
    <s v="[-0.022, -0.011, 0.009]"/>
  </r>
  <r>
    <x v="1282"/>
    <x v="1708"/>
    <x v="0"/>
    <n v="0"/>
    <s v="LINESTRING (5.59413054607849 59.13762843804071, 5.593189054059865 59.137515815127536, 5.592675276739672 59.137421122624964, 5.590084382209899 59.13660089657558, 5.588658454934043 59.13643329725159)"/>
    <s v="[1375871, 1375879, 1375887, 1375895]"/>
    <s v="[1267555, 1267560, 1267566, 677139]"/>
    <s v="0.002396997681852643"/>
    <s v="[460892, 1267555, 1267560, 1267566]"/>
    <s v="[0.013, 0.017, 0.005, 0.015]"/>
    <s v="348.07041750992266"/>
    <s v="[0.013, 0.017, 0.005, -0.015]"/>
  </r>
  <r>
    <x v="1282"/>
    <x v="1709"/>
    <x v="0"/>
    <n v="0"/>
    <s v="LINESTRING (5.59413054607849 59.13762843804071, 5.5934836616190715 59.13762828488692, 5.5927205345663245 59.13752763566508)"/>
    <s v="[2100758, 2100772]"/>
    <s v="[1816219, 461039]"/>
    <s v="0.009390492227833483"/>
    <s v="[460892, 1816219]"/>
    <s v="[0.005, 0.013]"/>
    <s v="82.54751791356875"/>
    <s v="[0.005, 0.013]"/>
  </r>
  <r>
    <x v="1282"/>
    <x v="1158"/>
    <x v="0"/>
    <n v="0"/>
    <s v="LINESTRING (5.597956085192671 59.13801413463803, 5.596354043939275 59.13785384554541, 5.594695373165238 59.13765530343186, 5.59413054607849 59.13762843804071)"/>
    <s v="[805257, 805265, 805273]"/>
    <s v="[783652, 783658, 460892]"/>
    <s v="0.007398582914768231"/>
    <s v="[670285, 783652, 783658]"/>
    <s v="[0.001, 0.013, 0.009]"/>
    <s v="224.24198823680376"/>
    <s v="[0.001, 0.013, 0.009]"/>
  </r>
  <r>
    <x v="1283"/>
    <x v="1709"/>
    <x v="0"/>
    <n v="0"/>
    <s v="LINESTRING (5.593108405191509 59.13775264057888, 5.592783840065363 59.137683463863226, 5.592715245433993 59.13765822169897, 5.5927205345663245 59.13752763566508)"/>
    <s v="[462627, 462739, 462747]"/>
    <s v="[460923, 461033, 461039]"/>
    <s v="0.02538524090260896"/>
    <s v="[460914, 460923, 461033]"/>
    <s v="[0.019, 0.02, 0.036]"/>
    <s v="39.61840114769659"/>
    <s v="[0.019, 0.02, 0.036]"/>
  </r>
  <r>
    <x v="1283"/>
    <x v="1710"/>
    <x v="0"/>
    <n v="0"/>
    <s v="LINESTRING (5.593108405191509 59.13775264057888, 5.593047317789305 59.13778893219372, 5.592861559708676 59.13803323399186, 5.59287820173038 59.13808095501475)"/>
    <s v="[1251053, 1251061, 1251069]"/>
    <s v="[1170280, 1170286, 1170291]"/>
    <s v="#FIELD!"/>
    <s v="[460914, 1170280, 1170286]"/>
    <s v="[0.027, 0.03, 0.039]"/>
    <s v="41.539200286657746"/>
    <s v="[-0.027, -0.03, -0.039]"/>
  </r>
  <r>
    <x v="1284"/>
    <x v="1711"/>
    <x v="0"/>
    <n v="0"/>
    <s v="LINESTRING (5.672123340944945 59.056323249768, 5.671968487089234 59.05637226609561, 5.671188019740905 59.056489753702046)"/>
    <s v="[462635, 462643]"/>
    <s v="[460933, 460937]"/>
    <s v="#FIELD!"/>
    <s v="[460932, 460933]"/>
    <s v="[0.006, 0.002]"/>
    <s v="57.31265217294997"/>
    <s v="[-0.006, -0.002]"/>
  </r>
  <r>
    <x v="1284"/>
    <x v="1712"/>
    <x v="0"/>
    <s v="[0, 0, 0, 0, 0, 1, 0, 0, 0]"/>
    <s v="LINESTRING (5.672123340944945 59.056323249768, 5.672160085342914 59.056322653668, 5.672277764785495 59.05631737487359, 5.673707653394831 59.0563347394949, 5.6773226818120675 59.058657086940016, 5.677317044912571 59.05878528292373, 5.677247089483311 59.06031461063398, 5.677200544254984 59.061442099473595, 5.6771874592181435 59.06173225131469, 5.676931826498176 59.06334022643686)"/>
    <s v="[805009, 805017, 805025, 805033, 805041, 805049, 805057, 805065, 805073]"/>
    <s v="[783419, 783430, 783437, 783444, 783453, 783461, 783469, 783474, 783484]"/>
    <s v="0.01000495542353325"/>
    <s v="[460932, 783419, 783430, 783437, 783444, 783453, 783461, 783469, 783474]"/>
    <s v="[0.651, 0.004, 0.004, 0.006, 0.0, 0.005, 0.014, 0.013, 0.044]"/>
    <s v="981.3169236519071"/>
    <s v="[0.651, -0.004, -0.004, -0.006, 0.0, 0.005, 0.014, 0.013, 0.044]"/>
  </r>
  <r>
    <x v="1284"/>
    <x v="1713"/>
    <x v="0"/>
    <n v="0"/>
    <s v="LINESTRING (5.670813235431321 59.056336848044644, 5.670949076231897 59.056336630183544, 5.67200772413158 59.0562876923957, 5.672123340944945 59.056323249768)"/>
    <s v="[804985, 804993, 805001]"/>
    <s v="[783394, 783404, 460932]"/>
    <s v="#FIELD!"/>
    <s v="[461013, 783394, 783404]"/>
    <s v="[0.178, 0.001, 0.197]"/>
    <s v="76.7492651669873"/>
    <s v="[0.178, -0.001, -0.197]"/>
  </r>
  <r>
    <x v="1285"/>
    <x v="1714"/>
    <x v="0"/>
    <n v="0"/>
    <m/>
    <n v="462651"/>
    <n v="460945"/>
    <s v="#FIELD!"/>
    <n v="460937"/>
    <s v="0.001"/>
    <s v="189.80681507880416"/>
    <s v="#FIELD!"/>
  </r>
  <r>
    <x v="1285"/>
    <x v="1715"/>
    <x v="0"/>
    <n v="0"/>
    <m/>
    <n v="462675"/>
    <n v="460971"/>
    <s v="0.003"/>
    <n v="460937"/>
    <s v="0.003"/>
    <s v="41.24021251373652"/>
    <s v="0.003"/>
  </r>
  <r>
    <x v="1286"/>
    <x v="1716"/>
    <x v="0"/>
    <n v="0"/>
    <s v="LINESTRING (5.6679718448775605 59.05669246358839, 5.666224294343894 59.05653661138899, 5.665861695343071 59.05650522859778)"/>
    <s v="[462659, 462667]"/>
    <s v="[460953, 460963]"/>
    <s v="0.005"/>
    <s v="[460945, 460953]"/>
    <s v="0.005"/>
    <s v="123.33072177769135"/>
    <s v="0.005"/>
  </r>
  <r>
    <x v="1286"/>
    <x v="1717"/>
    <x v="0"/>
    <n v="0"/>
    <m/>
    <n v="462683"/>
    <n v="460945"/>
    <s v="#FIELD!"/>
    <n v="460976"/>
    <s v="0.018"/>
    <s v="24.690931053956575"/>
    <s v="#FIELD!"/>
  </r>
  <r>
    <x v="1287"/>
    <x v="1718"/>
    <x v="0"/>
    <n v="0"/>
    <s v="LINESTRING (5.665861695343071 59.05650522859778, 5.6662336205002015 59.05649881505409, 5.667413021986382 59.056503329457)"/>
    <s v="[804945, 804953]"/>
    <s v="[783354, 460983]"/>
    <s v="#FIELD!"/>
    <s v="[460963, 783354]"/>
    <s v="[0.053, 0.017]"/>
    <s v="89.3423790095474"/>
    <s v="[0.053, -0.017]"/>
  </r>
  <r>
    <x v="1287"/>
    <x v="1044"/>
    <x v="119"/>
    <n v="0"/>
    <s v="LINESTRING (5.65810823528502 59.05557351079339, 5.6634546401653205 59.05641241823798, 5.664234624545125 59.056450905859016, 5.664787503496522 59.05647304859161, 5.665861695343071 59.05650522859778)"/>
    <s v="[804913, 804921, 804929, 804937]"/>
    <s v="[783318, 783325, 783334, 460963]"/>
    <s v="#FIELD!"/>
    <s v="[783308, 783318, 783325, 783334]"/>
    <s v="[0.009, 0.005, 0.003, 0.021]"/>
    <s v="464.40688118336743"/>
    <s v="[-0.009, -0.005, -0.003, -0.021]"/>
  </r>
  <r>
    <x v="1288"/>
    <x v="1713"/>
    <x v="0"/>
    <n v="0"/>
    <m/>
    <n v="462715"/>
    <n v="461013"/>
    <s v="0.011"/>
    <n v="460971"/>
    <s v="0.011"/>
    <s v="24.503386096139003"/>
    <s v="0.011"/>
  </r>
  <r>
    <x v="1288"/>
    <x v="1717"/>
    <x v="0"/>
    <n v="0"/>
    <s v="LINESTRING (5.6682538849723025 59.056529076912774, 5.66864083586424 59.056555080886255, 5.670012393360767 59.05651039268013, 5.670503559032031 59.05648009524071)"/>
    <s v="[462699, 1422364, 462707]"/>
    <s v="[460994, 461003, 460971]"/>
    <s v="#FIELD!"/>
    <s v="[460976, 460994, 461003]"/>
    <s v="[0.005, 0.0, 0.0]"/>
    <s v="131.10311453608452"/>
    <s v="[-0.005, -0.0, -0.0]"/>
  </r>
  <r>
    <x v="1289"/>
    <x v="1718"/>
    <x v="0"/>
    <n v="0"/>
    <m/>
    <n v="462691"/>
    <n v="460976"/>
    <s v="#FIELD!"/>
    <n v="460983"/>
    <s v="0.002"/>
    <s v="51.36581674640273"/>
    <s v="#FIELD!"/>
  </r>
  <r>
    <x v="1290"/>
    <x v="1719"/>
    <x v="0"/>
    <n v="0"/>
    <m/>
    <n v="804961"/>
    <n v="783369"/>
    <s v="0.097"/>
    <n v="460983"/>
    <s v="0.097"/>
    <s v="12.418201158115062"/>
    <s v="0.097"/>
  </r>
  <r>
    <x v="1291"/>
    <x v="1719"/>
    <x v="0"/>
    <n v="0"/>
    <s v="LINESTRING (5.667628074296846 59.05649441499878, 5.668725928083964 59.05639053635432, 5.670813235431321 59.056336848044644)"/>
    <s v="[804969, 804977]"/>
    <s v="[783379, 461013]"/>
    <s v="#FIELD!"/>
    <s v="[783369, 783379]"/>
    <s v="[0.008, 0.014]"/>
    <s v="184.8087118645854"/>
    <s v="[0.008, -0.014]"/>
  </r>
  <r>
    <x v="1292"/>
    <x v="1720"/>
    <x v="0"/>
    <n v="0"/>
    <s v="LINESTRING (5.5927205345663245 59.13752763566508, 5.592450439070721 59.13747233644434, 5.590121465066607 59.13673995878386, 5.589977098354624 59.136698590933364, 5.5887924367881565 59.136568960185656, 5.588557581074579 59.136563221892985)"/>
    <s v="[2100773, 2100774, 2100775, 2100785, 685556]"/>
    <s v="[1816228, 1816229, 1816230, 677128, 677129]"/>
    <s v="#FIELD!"/>
    <s v="[461039, 1816228, 1816229, 1816230, 677128]"/>
    <s v="[0.019, 0.004, 0.004, 0.016, 0.02]"/>
    <s v="266.59275262445493"/>
    <s v="[0.019, 0.004, -0.004, -0.016, -0.02]"/>
  </r>
  <r>
    <x v="1293"/>
    <x v="1721"/>
    <x v="0"/>
    <n v="0"/>
    <s v="LINESTRING (18.937953047750714 69.5898354808706, 18.938019853450147 69.59422511665133, 18.93554741150683 69.60201747515185, 18.935667152935682 69.60617756232993, 18.935793866086197 69.60768766106185)"/>
    <s v="[1190624, 1190632, 1190640, 1190648]"/>
    <s v="[1118608, 1118614, 1118620, 1017229]"/>
    <s v="#FIELD!"/>
    <s v="[461367, 1118608, 1118614, 1118620]"/>
    <s v="[0.011, 0.003, 0.001, 0.0]"/>
    <s v="2011.0095671448532"/>
    <s v="[-0.011, -0.003, -0.001, -0.0]"/>
  </r>
  <r>
    <x v="1293"/>
    <x v="509"/>
    <x v="0"/>
    <n v="0"/>
    <s v="LINESTRING (18.939789683716448 69.58677136447679, 18.93940482901521 69.58726132855243, 18.939138529446698 69.58763840869952, 18.93904047202214 69.58778694418588, 18.938879477898162 69.58804611214163, 18.93887030360794 69.58806094426161, 18.93881789819471 69.58814500832666, 18.93880021164846 69.58817338195817, 18.93861766046438 69.58846675093821, 18.938471180443088 69.58873542856058, 18.938438413573753 69.58880600581514, 18.937953047750714 69.5898354808706)"/>
    <s v="[463077, 287656, 287664, 287672, 287680, 287688, 287696, 287704, 287712, 463093, 463101]"/>
    <s v="[281331, 281332, 281338, 281344, 281351, 281358, 281365, 281372, 281379, 461393, 461367]"/>
    <s v="#FIELD!"/>
    <s v="[461376, 281331, 281332, 281338, 281344, 281351, 281358, 281365, 281372, 281379, 461393]"/>
    <s v="[0.036, 0.013, 0.019, 0.018, 0.022, 0.018, 0.024, 0.02, 0.019, 0.637, 0.002]"/>
    <s v="349.75743714314893"/>
    <s v="[-0.036, -0.013, -0.019, -0.018, -0.022, -0.018, -0.024, -0.02, -0.019, 0.637, -0.002]"/>
  </r>
  <r>
    <x v="1293"/>
    <x v="509"/>
    <x v="0"/>
    <n v="0"/>
    <s v="LINESTRING (18.939789683716448 69.58677136447679, 18.939288811889746 69.58725020613674, 18.93888737627975 69.58778381669788, 18.938715341657108 69.58803937914533, 18.93870561660325 69.58805401703476, 18.938658510954685 69.58813208632745, 18.938642057798557 69.58816072862086, 18.938470291991965 69.58845662146528, 18.938387107617725 69.58861910552412, 18.93833510785532 69.58872543083223, 18.938301784964658 69.58879829345081, 18.938278358601654 69.5888495070604, 18.937953047750714 69.5898354808706)"/>
    <s v="[463085, 287720, 287728, 287736, 287744, 287752, 287760, 287768, 287776, 463053, 463061, 463069]"/>
    <s v="[281386, 281387, 281394, 281399, 281406, 281413, 281420, 281429, 281437, 461348, 461358, 461367]"/>
    <s v="#FIELD!"/>
    <s v="[461376, 281386, 281387, 281394, 281399, 281406, 281413, 281420, 281429, 281437, 461348, 461358]"/>
    <s v="[0.044, 0.018, 0.02, 0.023, 0.02, 0.023, 0.019, 0.017, 0.016, 0.646, 0.001, 0.002]"/>
    <s v="350.99381293934465"/>
    <s v="[-0.044, -0.018, -0.02, -0.023, -0.02, -0.023, -0.019, -0.017, -0.016, 0.646, 0.001, 0.002]"/>
  </r>
  <r>
    <x v="1294"/>
    <x v="1722"/>
    <x v="0"/>
    <n v="0"/>
    <m/>
    <n v="1823539"/>
    <n v="1602641"/>
    <s v="0.036"/>
    <n v="461843"/>
    <s v="0.036"/>
    <s v="12.1940623669428"/>
    <s v="0.036"/>
  </r>
  <r>
    <x v="1294"/>
    <x v="1723"/>
    <x v="0"/>
    <s v="[0, 0, 0, 1, 1, 1, 0, 0]"/>
    <s v="LINESTRING (11.271344333797611 59.128428658643145, 11.271243552129038 59.12848261937011, 11.271070328952188 59.12857663074, 11.269806920891739 59.12896929226589, 11.269550152879308 59.12897265770233, 11.268721087861937 59.12898370318073, 11.268498874801136 59.128985966217606, 11.269908187820503 59.12747326985699, 11.270020967777764 59.12739679500845)"/>
    <s v="[463630, 463638, 1674466, 1674474, 1674482, 1674490, 1674498, 1739733]"/>
    <s v="[461844, 461853, 1501818, 1501823, 1501830, 1501834, 1501839, 1498856]"/>
    <s v="#FIELD!"/>
    <s v="[461843, 461844, 461853, 1501818, 1501823, 1501830, 1501834, 1501839]"/>
    <s v="[0.033, 0.029, 0.031, 0.003, 0.036, 0.054, 0.006, 0.049]"/>
    <s v="663.8146276010506"/>
    <s v="[0.033, 0.029, -0.031, -0.003, 0.036, 0.054, -0.006, -0.049]"/>
  </r>
  <r>
    <x v="1294"/>
    <x v="1724"/>
    <x v="0"/>
    <n v="0"/>
    <m/>
    <n v="1823532"/>
    <n v="461843"/>
    <s v="0.047"/>
    <n v="1602649"/>
    <s v="0.047"/>
    <s v="8.860134649160695"/>
    <s v="0.047"/>
  </r>
  <r>
    <x v="1295"/>
    <x v="1725"/>
    <x v="0"/>
    <n v="0"/>
    <s v="LINESTRING (30.00359911559699 69.68729739977599, 30.00403414291834 69.68742567007945, 30.004109597792368 69.6874596557808)"/>
    <s v="[464386, 464394]"/>
    <s v="[462607, 462617]"/>
    <s v="0.016644034142998813"/>
    <s v="[462606, 462607]"/>
    <s v="[0.017, 0.015]"/>
    <s v="27.00128094999617"/>
    <s v="[0.017, 0.015]"/>
  </r>
  <r>
    <x v="1295"/>
    <x v="1726"/>
    <x v="120"/>
    <n v="0"/>
    <s v="LINESTRING (30.00359911559699 69.68729739977599, 30.004190445106943 69.68732256382289, 30.004296157057023 69.68732769816043)"/>
    <s v="[464395, 464402]"/>
    <s v="[462618, 462625]"/>
    <s v="0.02445583595952587"/>
    <s v="[462606, 462618]"/>
    <s v="[0.024, 0.027]"/>
    <s v="27.326887579821324"/>
    <s v="[0.024, 0.027]"/>
  </r>
  <r>
    <x v="1295"/>
    <x v="1727"/>
    <x v="121"/>
    <s v="[0, 0, 0, 0, 0, 1, 0]"/>
    <s v="LINESTRING (29.998873358002765 69.68693499007887, 29.999631579343404 69.68699311690511, 29.999914212890943 69.68701448650455, 30.000142838833824 69.68703154612967, 30.0018755134208 69.68716307167851, 30.002457568164814 69.68720774527156, 30.003211386081425 69.68726721858032, 30.00359911559699 69.68729739977599)"/>
    <s v="[1163609, 1163617, 1163625, 1163633, 1163634, 1163644, 1303315]"/>
    <s v="[1097815, 1097824, 1097831, 1097837, 1097838, 1097847, 462606]"/>
    <s v="0.0014153526451083844"/>
    <s v="[1084173, 1097815, 1097824, 1097831, 1097837, 1097838, 1097847]"/>
    <s v="[0.006, 0.0, 0.0, 0.001, 0.001, 0.0, 0.023]"/>
    <s v="188.26003099746828"/>
    <s v="[-0.006, -0.0, 0.0, 0.001, 0.001, 0.0, 0.023]"/>
  </r>
  <r>
    <x v="1296"/>
    <x v="1726"/>
    <x v="0"/>
    <n v="0"/>
    <s v="LINESTRING (30.004109597792368 69.6874596557808, 30.004176992932457 69.68737401996042, 30.004296157057023 69.68732769816043)"/>
    <s v="[464542, 464550]"/>
    <s v="[462752, 462625]"/>
    <s v="0.011528605359478307"/>
    <s v="[462617, 462752]"/>
    <s v="[0.007, 0.018]"/>
    <s v="16.896441534610304"/>
    <s v="[0.007, 0.018]"/>
  </r>
  <r>
    <x v="1296"/>
    <x v="1728"/>
    <x v="0"/>
    <n v="0"/>
    <m/>
    <n v="464533"/>
    <n v="462617"/>
    <s v="#FIELD!"/>
    <n v="462627"/>
    <s v="0.014"/>
    <s v="33.155033437922604"/>
    <s v="#FIELD!"/>
  </r>
  <r>
    <x v="1297"/>
    <x v="1729"/>
    <x v="0"/>
    <n v="0"/>
    <m/>
    <n v="464484"/>
    <n v="462676"/>
    <s v="0.026"/>
    <n v="462625"/>
    <s v="0.026"/>
    <s v="14.466669236388944"/>
    <s v="0.026"/>
  </r>
  <r>
    <x v="1298"/>
    <x v="1730"/>
    <x v="0"/>
    <n v="0"/>
    <s v="LINESTRING (30.00470989478177 69.68761158083126, 30.00479465145526 69.68762812246341, 30.00529388108558 69.68775120742572)"/>
    <s v="[464405, 464412]"/>
    <s v="[462628, 462634]"/>
    <s v="0.010411125474902872"/>
    <s v="[462627, 462628]"/>
    <s v="[0.013, 0.01]"/>
    <s v="27.594512165977523"/>
    <s v="[0.013, 0.01]"/>
  </r>
  <r>
    <x v="1298"/>
    <x v="1731"/>
    <x v="0"/>
    <n v="0"/>
    <s v="LINESTRING (30.005017312590876 69.68750415394982, 30.004880168993278 69.68757764769742, 30.00470989478177 69.68761158083126)"/>
    <s v="[464516, 464524]"/>
    <s v="[462730, 462627]"/>
    <s v="#FIELD!"/>
    <s v="[462644, 462730]"/>
    <s v="[0.019, 0.02]"/>
    <s v="17.44280337399969"/>
    <s v="[-0.019, -0.02]"/>
  </r>
  <r>
    <x v="1299"/>
    <x v="1732"/>
    <x v="0"/>
    <n v="0"/>
    <s v="LINESTRING (30.00529388108558 69.68775120742572, 30.005727732701203 69.68876788745361, 30.005973212829726 69.6900373454625, 30.007382896993246 69.69241323175805, 30.01234154119633 69.69612501237395, 30.012978145539954 69.69650440157032, 30.014879096565057 69.69759231071141, 30.014921022133425 69.69761606475143, 30.0167189120915 69.69870283292249, 30.01697820831852 69.69888806619093, 30.018087442180313 69.69984247240086, 30.02078770836512 69.70269863250537, 30.024551774805367 69.70540221766237, 30.0259528648633 69.7064032113252, 30.026026268835093 69.70647668280691, 30.026861411685065 69.70750698690699)"/>
    <s v="[464678, 464685, 1163652, 1163660, 1163668, 1163676, 1163684, 1163692, 1163700, 1163708, 1163724, 1163732, 1163740, 2095196, 2095204]"/>
    <s v="[462899, 462905, 1097855, 1097863, 1097872, 1084853, 1097883, 1097888, 1097895, 1097903, 1097915, 1097923, 1008730, 1812624, 1812615]"/>
    <s v="#FIELD!"/>
    <s v="[462634, 462899, 462905, 1097855, 1097863, 1097872, 1084853, 1097883, 1097888, 1097895, 1097903, 1097915, 1097923, 1008730, 1812624]"/>
    <s v="[0.011, 0.016, 0.024, 0.012, 0.004, 0.005, 0.045, 0.018, 0.003, 0.001, 0.003, 0.006, 0.021, 0.609, 0.018]"/>
    <s v="2390.539331210367"/>
    <s v="[-0.011, -0.016, -0.024, -0.012, 0.004, 0.005, 0.045, 0.018, 0.003, -0.001, 0.003, -0.006, 0.021, 0.609, 0.018]"/>
  </r>
  <r>
    <x v="1299"/>
    <x v="1731"/>
    <x v="0"/>
    <n v="0"/>
    <s v="LINESTRING (30.005017312590876 69.68750415394982, 30.00505506544647 69.6875427765515, 30.00529388108558 69.68775120742572)"/>
    <s v="[464428, 464436]"/>
    <s v="[462645, 462634]"/>
    <s v="#FIELD!"/>
    <s v="[462644, 462645]"/>
    <s v="[0.0, 0.002]"/>
    <s v="29.68538841377795"/>
    <s v="[-0.0, -0.002]"/>
  </r>
  <r>
    <x v="1300"/>
    <x v="1733"/>
    <x v="0"/>
    <n v="0"/>
    <m/>
    <n v="464508"/>
    <n v="462644"/>
    <s v="#FIELD!"/>
    <n v="462658"/>
    <s v="0.005"/>
    <s v="13.51979777953665"/>
    <s v="#FIELD!"/>
  </r>
  <r>
    <x v="1301"/>
    <x v="1734"/>
    <x v="0"/>
    <n v="0"/>
    <s v="LINESTRING (30.004992680540166 69.68738585051734, 30.005030152996557 69.68735264841894, 30.005211303235438 69.6871264003167)"/>
    <s v="[464444, 464452]"/>
    <s v="[462659, 462668]"/>
    <s v="0.01639378505751377"/>
    <s v="[462658, 462659]"/>
    <s v="[0.019, 0.016]"/>
    <s v="30.420960499424528"/>
    <s v="[0.019, 0.016]"/>
  </r>
  <r>
    <x v="1301"/>
    <x v="1729"/>
    <x v="0"/>
    <n v="0"/>
    <s v="LINESTRING (30.004647998828638 69.6872966952167, 30.00484619065775 69.6873266290886, 30.004992680540166 69.68738585051734)"/>
    <s v="[464492, 464500]"/>
    <s v="[462705, 462658]"/>
    <s v="0.016392136651882726"/>
    <s v="[462676, 462705]"/>
    <s v="[0.022, 0.011]"/>
    <s v="17.149719553744006"/>
    <s v="[0.022, 0.011]"/>
  </r>
  <r>
    <x v="1302"/>
    <x v="1735"/>
    <x v="122"/>
    <s v="[0, 0, 0, 0, 0, 0, 1, 0, 0, 0, 0, 0, 0, 0, 0, 0, 0, 0, 0, 0, 0, 0, 0, 0, 1, 1, 0, 0, 0, 0, 0]"/>
    <s v="LINESTRING (30.005211303235438 69.6871264003167, 30.00627549712834 69.68600995396646, 30.00635923889329 69.68597059169676, 30.016223465200984 69.68331457920324, 30.01629370431076 69.6832966510485, 30.023062232569917 69.68285260490168, 30.028119180925366 69.68317597293075, 30.028266717577527 69.68317365619615, 30.02995369031093 69.6831210063904, 30.03249684244702 69.68303485625172, 30.034970065429327 69.68310122790929, 30.04758166092825 69.68474934927644, 30.052395146188214 69.6847624337447, 30.05373647283131 69.68477853152052, 30.059270751737486 69.68490574552649, 30.05938254422043 69.68490856312499, 30.059510673425507 69.68491197472326, 30.0650825544787 69.68506113386287, 30.087163398920044 69.68529495976095, 30.090708931102537 69.68480759747729, 30.090940513137653 69.68476862265891, 30.10634238251661 69.68185074002307, 30.106693878096085 69.68179707244128, 30.106988000179705 69.68175311301154, 30.107997207336993 69.68160067468021, 30.11270260065768 69.68088235379439, 30.11517692031644 69.68050657046462, 30.116787438507174 69.68025899725254, 30.116902325150406 69.68024223083259, 30.11700068012571 69.68022787794301, 30.117437397581348 69.68016040730521, 30.117783996219632 69.68010713484979)"/>
    <s v="[464558, 464566, 464574, 464582, 464590, 464598, 464606, 464614, 464622, 464630, 464638, 464646, 464661, 464669, 464677, 1319051, 1319061, 1319062, 1319069, 1319082, 1318971, 1319000, 1319008, 1319024, 1319025, 1319040, 1319043, 1319050, 1303044, 1303052, 1303060]"/>
    <s v="[462769, 462779, 462788, 462799, 462808, 462818, 462825, 462834, 462842, 462850, 462859, 462866, 462883, 462892, 462898, 959648, 959667, 1226283, 1226289, 1226187, 1226188, 1226224, 1226231, 1226248, 1226249, 1226259, 959618, 1213858, 959597, 1213860, 1213863]"/>
    <s v="#FIELD!"/>
    <s v="[462668, 462769, 462779, 462788, 462799, 462808, 462818, 462825, 462834, 462842, 462850, 462859, 462866, 462883, 462892, 462898, 959648, 959667, 1226283, 1226289, 1226187, 1226188, 1226224, 1226231, 1226248, 1226249, 1226259, 959618, 1213858, 959597, 1213860]"/>
    <s v="[0.02, 0.019, 0.013, 0.026, 0.026, 0.054, 0.037, 0.045, 0.008, 0.015, 0.035, 0.021, 0.019, 0.062, 0.071, 0.073, 0.078, 0.046, 0.073, 0.069, 0.058, 0.153, 0.154, 0.143, 0.012, 0.005, 0.001, 0.004, 0.008, 0.007, 0.01]"/>
    <s v="4786.004942796524"/>
    <s v="[0.02, 0.019, 0.013, 0.026, 0.026, 0.054, 0.037, 0.045, 0.008, -0.015, 0.035, 0.021, -0.019, -0.062, -0.071, -0.073, -0.078, -0.046, 0.073, 0.069, -0.058, -0.153, -0.154, -0.143, -0.012, 0.005, 0.001, -0.004, -0.008, -0.007, -0.01]"/>
  </r>
  <r>
    <x v="1302"/>
    <x v="1729"/>
    <x v="0"/>
    <n v="0"/>
    <s v="LINESTRING (30.004647998828638 69.6872966952167, 30.004731093256233 69.68727562479607, 30.005211303235438 69.6871264003167)"/>
    <s v="[464460, 464476]"/>
    <s v="[462677, 462668]"/>
    <s v="0.02658693700119088"/>
    <s v="[462676, 462677]"/>
    <s v="[0.024, 0.027]"/>
    <s v="29.064056500143394"/>
    <s v="[0.024, 0.027]"/>
  </r>
  <r>
    <x v="1303"/>
    <x v="1736"/>
    <x v="0"/>
    <n v="0"/>
    <s v="LINESTRING (10.183084373913946 59.15431208076952, 10.183030993424593 59.154257122315876, 10.182122245621715 59.152770207579714, 10.181696016265867 59.15251008971637, 10.179338773314363 59.150935842769975, 10.179131277962066 59.150739290293174, 10.178804743165205 59.150402719310975)"/>
    <s v="[466582, 466590, 959206, 959214, 959222, 959263]"/>
    <s v="[464857, 464864, 925602, 925609, 925615, 925645]"/>
    <s v="0.016995138563549752"/>
    <s v="[464856, 464857, 464864, 925602, 925609, 925615]"/>
    <s v="[0.058, 0.042, 0.01, 0.001, 0.012, 0.015]"/>
    <s v="512.8798249670516"/>
    <s v="[0.058, 0.042, -0.01, 0.001, 0.012, 0.015]"/>
  </r>
  <r>
    <x v="1303"/>
    <x v="1737"/>
    <x v="0"/>
    <n v="0"/>
    <s v="LINESTRING (10.183084373913946 59.15431208076952, 10.18312808738815 59.15424543807309, 10.18330926975417 59.1541801166551)"/>
    <s v="[958836, 958844]"/>
    <s v="[925354, 464882]"/>
    <s v="0.033928607155893"/>
    <s v="[464856, 925354]"/>
    <s v="[0.047, 0.026]"/>
    <s v="20.760061364192953"/>
    <s v="[0.047, 0.026]"/>
  </r>
  <r>
    <x v="1303"/>
    <x v="1738"/>
    <x v="0"/>
    <n v="0"/>
    <s v="LINESTRING (10.183643978206115 59.15427454828721, 10.183526893729354 59.154450423281304, 10.183299876188203 59.154469747777476, 10.183171801276082 59.15443193886012, 10.183093912185026 59.154364969180506, 10.183084373913946 59.15431208076952)"/>
    <s v="[958796, 958804, 958812, 958820, 958828]"/>
    <s v="[925326, 925330, 925336, 925343, 464856]"/>
    <s v="0.004755537838152112"/>
    <s v="[925325, 925326, 925330, 925336, 925343]"/>
    <s v="[0.056, 0.01, 0.053, 0.067, 0.06]"/>
    <s v="58.67160388071119"/>
    <s v="[-0.056, 0.01, 0.053, 0.067, 0.06]"/>
  </r>
  <r>
    <x v="1304"/>
    <x v="1739"/>
    <x v="0"/>
    <n v="0"/>
    <m/>
    <n v="958852"/>
    <n v="925366"/>
    <s v="#FIELD!"/>
    <n v="464882"/>
    <s v="0.015"/>
    <s v="6.422897321308769"/>
    <s v="#FIELD!"/>
  </r>
  <r>
    <x v="1304"/>
    <x v="1740"/>
    <x v="0"/>
    <n v="0"/>
    <s v="LINESTRING (10.18896067723567 59.156325794700855, 10.188443580327723 59.156022595691056, 10.186345351970083 59.15492723853673, 10.183209589858233 59.15416527603812, 10.18330926975417 59.1541801166551)"/>
    <s v="[959068, 959052, 466598, 466606]"/>
    <s v="[925509, 464873, 464874, 464882]"/>
    <s v="0.003793853921325868"/>
    <s v="[925520, 925509, 464873, 464874]"/>
    <s v="[0.058, 0.009, 0.01, 0.026]"/>
    <s v="554.3569380725294"/>
    <s v="[-0.058, 0.009, 0.01, -0.026]"/>
  </r>
  <r>
    <x v="1305"/>
    <x v="1741"/>
    <x v="0"/>
    <s v="[0, 0, 0, 0, 0, 1, 1, 0, 0]"/>
    <s v="LINESTRING (11.01445523846404 59.615128125268086, 11.014442892478232 59.61513317951029, 11.012785534127357 59.61581432056311, 11.012537438125216 59.61591565409762, 11.006084940892935 59.61855214179196, 11.005870549203543 59.61863964869132, 11.005284498533795 59.61887927703555, 11.005239061978276 59.61889784010676, 11.00005607965236 59.621015219452765, 11.00003175404895 59.62102515677231)"/>
    <s v="[1725744, 1725752, 1820877, 1820885, 1820893, 1820901, 1820909, 1820910, 1820918]"/>
    <s v="[1535723, 1535730, 1600797, 1600804, 1600809, 1600816, 1600821, 1600822, 1600506]"/>
    <s v="#FIELD!"/>
    <s v="[465850, 1535723, 1535730, 1600797, 1600804, 1600809, 1600816, 1600821, 1600822]"/>
    <s v="[0.021, 0.044, 0.057, 0.044, 0.036, 0.021, 0.011, 0.01, 0.011]"/>
    <s v="1046.3398724080025"/>
    <s v="[0.021, -0.044, -0.057, -0.044, -0.036, -0.021, -0.011, 0.01, 0.011]"/>
  </r>
  <r>
    <x v="1305"/>
    <x v="1742"/>
    <x v="0"/>
    <n v="0"/>
    <s v="LINESTRING (11.005678342481843 59.61813550414368, 11.005744509479596 59.61811689931565, 11.012580637753901 59.61583363792513, 11.014260917477076 59.61515032948645, 11.01445523846404 59.615128125268086)"/>
    <s v="[1820848, 1820862, 467750, 467702]"/>
    <s v="[1600777, 465898, 465849, 465850]"/>
    <s v="0.041454771646001955"/>
    <s v="[645664, 1600777, 465898, 465849]"/>
    <s v="[0.032, 0.041, 0.048, 0.007]"/>
    <s v="600.763638622481"/>
    <s v="[0.032, 0.041, 0.048, -0.007]"/>
  </r>
  <r>
    <x v="1305"/>
    <x v="1743"/>
    <x v="123"/>
    <s v="[0, 0, 0, 0, 0, 1, 1, 0, 0, 0, 0, 1, 0, 1, 0, 0, 0, 1, 1, 0]"/>
    <s v="LINESTRING (11.113455671105157 59.58774907364533, 11.113006724159623 59.58799203728598, 11.112689269160773 59.5881602451163, 11.097072684980413 59.592052702660474, 11.097044419635155 59.59205684885832, 11.094420791714763 59.592441131465826, 11.09148162526745 59.59287133256672, 11.089539847725913 59.593155763635416, 11.087631755829479 59.59346218362678, 11.084646328826462 59.594165344814584, 11.07351319379932 59.598251479714705, 11.073467324909819 59.598263696230134, 11.071094512501453 59.598812874016254, 11.064262107474196 59.6003107149493, 11.062026186909053 59.60100724490449, 11.050857716302117 59.60487051049001, 11.021465359661706 59.61226214565679, 11.0188899830006 59.6133145668322, 11.018789251135656 59.61335609490684, 11.018539973439001 59.613457834715966, 11.01445523846404 59.615128125268086)"/>
    <s v="[1725567, 1725575, 1725583, 1725591, 1725599, 1725607, 1725615, 1725471, 1725479, 1725487, 1725495, 1725503, 1725623, 1725631, 1725639, 1725711, 1725718, 1725720, 1725728, 1725736]"/>
    <s v="[1535625, 1535631, 1535635, 1535641, 1535646, 1535651, 1535565, 1535566, 1535571, 1535575, 1535580, 1535586, 1535658, 1535660, 1535665, 1535701, 1535704, 1535706, 1535712, 465850]"/>
    <s v="0.0030327514199584393"/>
    <s v="[1535514, 1535625, 1535631, 1535635, 1535641, 1535646, 1535651, 1535565, 1535566, 1535571, 1535575, 1535580, 1535586, 1535658, 1535660, 1535665, 1535701, 1535704, 1535706, 1535712]"/>
    <s v="[0.007, 0.0, 0.002, 0.079, 0.1, 0.056, 0.077, 0.118, 0.002, 0.005, 0.041, 0.009, 0.003, 0.019, 0.024, 0.006, 0.021, 0.016, 0.019, 0.003]"/>
    <s v="6465.167659770905"/>
    <s v="[0.007, 0.0, -0.002, -0.079, -0.1, -0.056, 0.077, 0.118, 0.002, -0.005, -0.041, -0.009, 0.003, 0.019, 0.024, 0.006, -0.021, 0.016, 0.019, -0.003]"/>
  </r>
  <r>
    <x v="1306"/>
    <x v="1744"/>
    <x v="124"/>
    <s v="[0, 1, 1, 0, 0, 0, 0]"/>
    <s v="LINESTRING (10.999155935622465 59.62149135592824, 10.999103067020329 59.62151295338257, 10.99901757098558 59.62154787534932, 10.996909775201841 59.62240879464085, 10.996455909568494 59.62259416098151, 10.960034607482003 59.62692571395624, 10.959517246544497 59.62705494552996, 10.959346472186052 59.627099302851995)"/>
    <s v="[1821200, 1821216, 1821231, 1821256, 1821278, 1821292, 1821293]"/>
    <s v="[1601067, 1601080, 1601095, 1601118, 1601132, 1601143, 465868]"/>
    <s v="#FIELD!"/>
    <s v="[465862, 1601067, 1601080, 1601095, 1601118, 1601132, 1601143]"/>
    <s v="[0.004, 0.0, 0.021, 0.054, 0.02, 0.011, 0.012]"/>
    <s v="2398.7315409186635"/>
    <s v="[-0.004, -0.0, -0.021, -0.054, -0.02, -0.011, -0.012]"/>
  </r>
  <r>
    <x v="1306"/>
    <x v="1745"/>
    <x v="0"/>
    <n v="0"/>
    <s v="LINESTRING (11.00545385368598 59.619452454839944, 11.005398854092496 59.61946159180032, 11.005243306761942 59.61948742099772, 10.999302040697332 59.62148472750738, 10.999155935622465 59.62149135592824)"/>
    <s v="[653511, 653519, 653527, 467710]"/>
    <s v="[645577, 645584, 465861, 465862]"/>
    <s v="0.017378329907146817"/>
    <s v="[645576, 645577, 645584, 465861]"/>
    <s v="[0.013, 0.017, 0.018, 0.011]"/>
    <s v="427.415911111771"/>
    <s v="[0.013, 0.017, 0.018, -0.011]"/>
  </r>
  <r>
    <x v="1306"/>
    <x v="1746"/>
    <x v="0"/>
    <s v="[0, 0, 1, 1, 0, 0]"/>
    <s v="LINESTRING (11.012670092999574 59.61597263136142, 11.006157477436822 59.618630873118285, 11.005900503425998 59.61873592470474, 11.005323076600522 59.61897181565827, 11.00515660471677 59.61903983621927, 11.00013958327813 59.62108956042969, 10.999155935622465 59.62149135592824)"/>
    <s v="[1821155, 1821161, 1821162, 1821174, 1821188, 1821189]"/>
    <s v="[1601026, 1601032, 1601033, 1601044, 1601058, 465862]"/>
    <s v="#FIELD!"/>
    <s v="[1535744, 1601026, 1601032, 1601033, 1601044, 1601058]"/>
    <s v="[0.045, 0.036, 0.022, 0.007, 0.012, 0.005]"/>
    <s v="979.9056497643282"/>
    <s v="[-0.045, -0.036, -0.022, -0.007, 0.012, 0.005]"/>
  </r>
  <r>
    <x v="1307"/>
    <x v="1747"/>
    <x v="0"/>
    <s v="[0, 0, 0, 1, 1, 0, 0, 0, 0]"/>
    <s v="LINESTRING (10.959346472186052 59.627099302851995, 10.959272688331142 59.62716843849182, 10.95899245113734 59.627249020433126, 10.958937043102674 59.627265309334064, 10.954765981741197 59.62868381801221, 10.954573163175144 59.62876809933839, 10.95483983279298 59.629908444905006, 10.955701030500494 59.629766531832615, 10.955797946092014 59.62973228636367, 10.955862172158595 59.62970959997946)"/>
    <s v="[467718, 654160, 654168, 654176, 654184, 654192, 654200, 654208, 654216]"/>
    <s v="[465869, 646109, 646114, 646117, 646121, 646128, 646133, 646141, 646026]"/>
    <s v="0.019122845220118298"/>
    <s v="[465868, 465869, 646109, 646114, 646117, 646121, 646128, 646133, 646141]"/>
    <s v="[0.016, 0.011, 0.012, 0.023, 0.086, 0.047, 0.067, 0.088, 0.073]"/>
    <s v="556.2400345012927"/>
    <s v="[-0.016, -0.011, -0.012, 0.023, 0.086, 0.047, -0.067, -0.088, -0.073]"/>
  </r>
  <r>
    <x v="1307"/>
    <x v="1187"/>
    <x v="0"/>
    <s v="[0, 0, 0, 1, 1, 0, 0, 0, 0]"/>
    <s v="LINESTRING (10.959346472186052 59.627099302851995, 10.959316498642094 59.627107206495396, 10.958943567396194 59.62720696320048, 10.958893975527667 59.62722050066163, 10.954695560768526 59.62864816029465, 10.954503247889626 59.628728833876515, 10.951582070681011 59.63017284983376, 10.949696266784576 59.63139645491302, 10.949583352829062 59.63147963230718, 10.948427851380401 59.632388949169915)"/>
    <s v="[1821294, 1821299, 1821307, 1821315, 1821324, 1821332, 1821340, 1821348, 1821356]"/>
    <s v="[1601144, 1601148, 1601153, 1601161, 1601164, 1601170, 1601174, 1601180, 465883]"/>
    <s v="0.060949428143330195"/>
    <s v="[465868, 1601144, 1601148, 1601153, 1601161, 1601164, 1601170, 1601174, 1601180]"/>
    <s v="[0.013, 0.01, 0.008, 0.023, 0.082, 0.087, 0.08, 0.107, 0.084]"/>
    <s v="864.164268825243"/>
    <s v="[-0.013, -0.01, -0.008, 0.023, 0.082, 0.087, 0.08, 0.107, 0.084]"/>
  </r>
  <r>
    <x v="1308"/>
    <x v="1188"/>
    <x v="0"/>
    <s v="[0, 0, 0, 0, 1, 1, 0]"/>
    <s v="LINESTRING (10.95989806105778 59.62686528969131, 10.959442347804682 59.626979629001156, 10.95923933831708 59.62703239543749, 10.958863528725733 59.6271329171686, 10.958814262814311 59.627146401725994, 10.9545896193287 59.628583030044766, 10.954394875763926 59.62866472521792, 10.949603711852472 59.63131587508353)"/>
    <s v="[1821000, 1821016, 1821040, 1821048, 1821056, 1821059, 1821060]"/>
    <s v="[1600901, 1600916, 1600938, 1600946, 1600954, 1600958, 465890]"/>
    <s v="0.0534058251863446"/>
    <s v="[465877, 1600901, 1600916, 1600938, 1600946, 1600954, 1600958]"/>
    <s v="[0.011, 0.011, 0.011, 0.019, 0.022, 0.081, 0.086]"/>
    <s v="772.2201249630316"/>
    <s v="[-0.011, -0.011, -0.011, -0.019, 0.022, 0.081, 0.086]"/>
  </r>
  <r>
    <x v="1308"/>
    <x v="1748"/>
    <x v="0"/>
    <s v="[0, 0, 0, 0, 0, 1, 1, 0, 0, 0, 0]"/>
    <s v="LINESTRING (10.954422182598426 59.62756522834583, 10.954383827593512 59.62756474422381, 10.954347793671353 59.62756429586393, 10.954250097960122 59.62756306555972, 10.952090531982273 59.628371092890404, 10.954327371362583 59.628627700931034, 10.95452894732833 59.62854440088144, 10.958773290981684 59.6271008485431, 10.958819584332542 59.62708934908772, 10.959415710171717 59.62694284389749, 10.959621845914699 59.62689418355808, 10.95989806105778 59.62686528969131)"/>
    <s v="[1820739, 1820747, 1820755, 1820763, 1820771, 1820779, 1820787, 1820796, 1820804, 1820812, 467726]"/>
    <s v="[1600678, 1600687, 1600695, 1600704, 1600712, 1600718, 1600726, 1600736, 1600744, 465876, 465877]"/>
    <s v="#FIELD!"/>
    <s v="[645922, 1600678, 1600687, 1600695, 1600704, 1600712, 1600718, 1600726, 1600736, 1600744, 465876]"/>
    <s v="[0.066, 0.051, 0.062, 0.065, 0.058, 0.084, 0.021, 0.015, 0.011, 0.011, 0.007]"/>
    <s v="714.7997954674256"/>
    <s v="[0.066, 0.051, 0.062, 0.065, -0.058, -0.084, -0.021, 0.015, 0.011, 0.011, 0.007]"/>
  </r>
  <r>
    <x v="1308"/>
    <x v="1741"/>
    <x v="0"/>
    <s v="[0, 0, 1, 1, 0, 0, 0]"/>
    <s v="LINESTRING (11.00003175404895 59.62102515677231, 10.999058312070387 59.621422777150066, 10.998998652663921 59.621447151831326, 10.998953563311291 59.621465570628985, 10.996515802068439 59.62246125200273, 10.996349537936831 59.62252916050719, 10.959962634429564 59.62684967887455, 10.95989806105778 59.62686528969131)"/>
    <s v="[1820929, 1820939, 1820947, 1820964, 1820972, 1820973, 1820985]"/>
    <s v="[1600834, 1600841, 1600848, 1600867, 1600877, 1600878, 465877]"/>
    <s v="#FIELD!"/>
    <s v="[1600506, 1600834, 1600841, 1600848, 1600867, 1600877, 1600878]"/>
    <s v="[0.005, 0.001, 0.002, 0.025, 0.057, 0.02, 0.014]"/>
    <s v="2428.3034217416816"/>
    <s v="[0.005, 0.001, -0.002, -0.025, -0.057, -0.02, -0.014]"/>
  </r>
  <r>
    <x v="1309"/>
    <x v="1749"/>
    <x v="0"/>
    <n v="0"/>
    <s v="LINESTRING (10.955942404626953 59.62978778057559, 10.95587068935967 59.629804994037855, 10.955774603931742 59.62982807174883, 10.954825772534262 59.62995736957267, 10.951803954321152 59.63012091209821, 10.948543998053548 59.632364510505695, 10.948427851380401 59.632388949169915)"/>
    <s v="[1820222, 1820233, 1820234, 1820241, 1820249, 467734]"/>
    <s v="[1600291, 1600301, 1600302, 1600306, 465882, 465883]"/>
    <s v="0.07103671030790798"/>
    <s v="[646017, 1600291, 1600301, 1600302, 1600306, 465882]"/>
    <s v="[0.062, 0.085, 0.065, 0.055, 0.082, 0.08]"/>
    <s v="582.6300603859827"/>
    <s v="[0.062, 0.085, 0.065, 0.055, 0.082, 0.08]"/>
  </r>
  <r>
    <x v="1310"/>
    <x v="1750"/>
    <x v="0"/>
    <n v="0"/>
    <s v="LINESTRING (10.949603711852472 59.63131587508353, 10.949729213213887 59.631157339944835, 10.951546822578273 59.62999050612339, 10.951994521052201 59.62837972195867, 10.954230513830218 59.62750770664813, 10.954299656826253 59.62749633956287, 10.954333747811843 59.62749037143368, 10.954389961840477 59.62748052872989)"/>
    <s v="[467742, 654112, 654120, 654128, 654136, 654144, 654152]"/>
    <s v="[465891, 646066, 646072, 646078, 646087, 646094, 645929]"/>
    <s v="#FIELD!"/>
    <s v="[465890, 465891, 646066, 646072, 646078, 646087, 646094]"/>
    <s v="[0.094, 0.077, 0.048, 0.066, 0.058, 0.049, 0.061]"/>
    <s v="577.8924687265809"/>
    <s v="[-0.094, -0.077, -0.048, -0.066, -0.058, -0.049, -0.061]"/>
  </r>
  <r>
    <x v="1311"/>
    <x v="1007"/>
    <x v="0"/>
    <n v="0"/>
    <s v="LINESTRING (15.084574754039709 66.46457975626092, 15.084866075950625 66.46452110704642, 15.085229344807287 66.46446894901659, 15.088371043212854 66.4641119684241)"/>
    <s v="[1004929, 1004930, 1004931]"/>
    <s v="[961911, 961912, 961913]"/>
    <s v="0.012276547987561857"/>
    <s v="[467585, 961911, 961912]"/>
    <s v="[0.013, 0.014, 0.012]"/>
    <s v="177.4534299110826"/>
    <s v="[0.013, 0.014, 0.012]"/>
  </r>
  <r>
    <x v="1311"/>
    <x v="1751"/>
    <x v="0"/>
    <n v="0"/>
    <s v="LINESTRING (15.084574754039709 66.46457975626092, 15.085252753766937 66.46450244318095, 15.088371360249853 66.46418256156288, 15.088545222327108 66.46416551684291)"/>
    <s v="[1004960, 1004964, 1004967]"/>
    <s v="[961945, 961948, 961950]"/>
    <s v="0.013172114142488459"/>
    <s v="[467585, 961945, 961948]"/>
    <s v="[0.014, 0.013, 0.013]"/>
    <s v="182.9905653244644"/>
    <s v="[0.014, 0.013, 0.013]"/>
  </r>
  <r>
    <x v="1312"/>
    <x v="1752"/>
    <x v="0"/>
    <s v="[0, 1, 0, 0, 0, 0, 0, 0, 0, 0, 0, 0, 1, 0, 0]"/>
    <s v="LINESTRING (15.093577055779388 66.46344082765928, 15.093853843044833 66.46338723005358, 15.095849816036642 66.46293997749248, 15.100265160691771 66.4615300865942, 15.102730030472976 66.46064283502547, 15.10500731593603 66.45982255885092, 15.105248380034904 66.45973576306031, 15.105938071078885 66.45948780315143, 15.106059989486376 66.4594439954569, 15.10881450511125 66.45845301416622, 15.122640614983021 66.45347210704676, 15.123067463381249 66.45331965777193, 15.123605718493012 66.45312506279947, 15.123859648441265 66.45303515089257, 15.125422117665963 66.45247081653562, 15.129881359576999 66.45086553862149)"/>
    <s v="[469505, 469511, 469512, 469519, 469527, 469536, 469537, 469539, 469541, 469542, 469550, 469558, 469559, 469561, 469570]"/>
    <s v="[467607, 467614, 467615, 467620, 467627, 467635, 467636, 348283, 467641, 348281, 467652, 467662, 467663, 467666, 467676]"/>
    <s v="0.007334257432973688"/>
    <s v="[467606, 467607, 467614, 467615, 467620, 467627, 467635, 467636, 348283, 467641, 348281, 467652, 467662, 467663, 467666]"/>
    <s v="[0.037, 0.037, 0.028, 0.05, 0.028, 0.016, 0.007, 0.004, 0.016, 0.004, 0.039, 0.035, 0.029, 0.018, 0.021]"/>
    <s v="2144.4041109720793"/>
    <s v="[0.037, 0.037, 0.028, 0.05, 0.028, 0.016, 0.007, -0.004, -0.016, -0.004, 0.039, 0.035, 0.029, 0.018, -0.021]"/>
  </r>
  <r>
    <x v="1312"/>
    <x v="1008"/>
    <x v="0"/>
    <n v="0"/>
    <s v="LINESTRING (15.088599013051091 66.4640890797981, 15.088780029165267 66.46407090937858, 15.089638109625552 66.46398524842488, 15.093577055779388 66.46344082765928)"/>
    <s v="[1004947, 1004954, 1004959]"/>
    <s v="[961932, 961940, 467606]"/>
    <s v="0.046811565766589895"/>
    <s v="[961931, 961932, 961940]"/>
    <s v="[0.011, 0.011, 0.056]"/>
    <s v="233.74204606540764"/>
    <s v="[0.011, 0.011, 0.056]"/>
  </r>
  <r>
    <x v="1312"/>
    <x v="1751"/>
    <x v="0"/>
    <n v="0"/>
    <s v="LINESTRING (15.088545222327108 66.46416551684291, 15.08881494361652 66.46413906964929, 15.089669250757009 66.46405191250201, 15.089998521005668 66.46401693349763, 15.093577055779388 66.46344082765928)"/>
    <s v="[1004970, 1004983, 1004995, 1005003]"/>
    <s v="[961955, 961968, 961980, 467606]"/>
    <s v="0.04600465090355302"/>
    <s v="[961950, 961955, 961968, 961980]"/>
    <s v="[0.011, 0.011, 0.063, 0.055]"/>
    <s v="239.2056658982017"/>
    <s v="[0.011, 0.011, 0.063, 0.055]"/>
  </r>
  <r>
    <x v="1313"/>
    <x v="1753"/>
    <x v="0"/>
    <n v="0"/>
    <s v="LINESTRING (15.129881359576999 66.45086553862149, 15.136266136292223 66.4493328626958, 15.13649966913729 66.4493017085955, 15.137506342182203 66.44917977900457, 15.137723004951733 66.44915655939369, 15.14152386803665 66.44883334360307)"/>
    <s v="[1004788, 1004789, 1004790, 1004798, 1004803]"/>
    <s v="[961785, 961786, 961787, 961794, 467677]"/>
    <s v="0.01961513244651141"/>
    <s v="[467676, 961785, 961786, 961787, 961794]"/>
    <s v="[0.007, 0.022, 0.022, 0.022, 0.043]"/>
    <s v="575.1331852226256"/>
    <s v="[0.007, 0.022, 0.022, 0.022, 0.043]"/>
  </r>
  <r>
    <x v="1313"/>
    <x v="1753"/>
    <x v="0"/>
    <n v="0"/>
    <s v="LINESTRING (15.129881359576999 66.45086553862149, 15.136053979875228 66.44929447186433, 15.136354513060835 66.44925231489529, 15.136489540747453 66.4492335550764, 15.137499598169853 66.44911170330951, 15.14152386803665 66.44883334360307)"/>
    <s v="[1004869, 1004884, 1004898, 1004901, 1004909]"/>
    <s v="[961857, 961870, 961882, 961886, 467677]"/>
    <s v="0.019530937146175265"/>
    <s v="[467676, 961857, 961870, 961882, 961886]"/>
    <s v="[0.006, 0.022, 0.023, 0.022, 0.043]"/>
    <s v="578.8138083521303"/>
    <s v="[0.006, 0.022, 0.023, 0.022, 0.043]"/>
  </r>
  <r>
    <x v="1314"/>
    <x v="1002"/>
    <x v="0"/>
    <s v="[0, 0, 0, 0, 0, 0, 0, 0, 0, 0, 0, 0, 0, 0, 1, 0, 0, 1, 0, 0]"/>
    <s v="LINESTRING (15.14152386803665 66.44883334360307, 15.14418432695898 66.44866200352743, 15.145321171508803 66.44858593405819, 15.147340796603624 66.44845924576295, 15.148859229400879 66.44836119681479, 15.171293181925332 66.44780443321137, 15.182306040397668 66.44900504517146, 15.191476298244247 66.45014273790119, 15.214982895811572 66.45935916707263, 15.228889368173293 66.46618695272763, 15.231352234350911 66.46806788768295, 15.232566707175149 66.47039972104913, 15.234284292682968 66.47671040634995, 15.234156041775634 66.47814211594505, 15.234156598435545 66.4843061510286, 15.234118279815142 66.48443521260141, 15.233552330349946 66.48892533223464, 15.233844078370712 66.4892809945379, 15.23391892770545 66.48935749567889, 15.238807326535223 66.4917911420639, 15.241112247858169 66.49293823810096)"/>
    <s v="[469571, 469585, 469593, 469594, 469597, 469621, 469631, 469651, 469658, 469666, 469672, 469673, 469682, 469695, 469704, 469705, 469706, 469715, 469723, 469729]"/>
    <s v="[467678, 467693, 467700, 467701, 467504, 467724, 348405, 467755, 348275, 348266, 467780, 467781, 467792, 467804, 467816, 467817, 467818, 467829, 467840, 467849]"/>
    <s v="0.027439723487023192"/>
    <s v="[467677, 467678, 467693, 467700, 467701, 467504, 467724, 348405, 467755, 348275, 348266, 467780, 467781, 467792, 467804, 467816, 467817, 467818, 467829, 467840]"/>
    <s v="[0.059, 0.055, 0.048, 0.044, 0.066, 0.057, 0.023, 0.018, 0.018, 0.034, 0.035, 0.049, 0.047, 0.021, 0.03, 0.031, 0.012, 0.084, 0.025, 0.011]"/>
    <s v="7943.031638908702"/>
    <s v="[0.059, 0.055, 0.048, 0.044, 0.066, 0.057, 0.023, 0.018, -0.018, -0.034, 0.035, 0.049, 0.047, 0.021, 0.03, 0.031, 0.012, 0.084, 0.025, 0.011]"/>
  </r>
  <r>
    <x v="1315"/>
    <x v="1754"/>
    <x v="0"/>
    <n v="0"/>
    <s v="LINESTRING (7.494832607535437 58.03733824894393, 7.495626992317998 58.03792811622873, 7.500913783520104 58.04231155612966, 7.502241226562801 58.04356110271385, 7.502889271843802 58.04420193691684)"/>
    <s v="[471282, 471290, 471298, 471306]"/>
    <s v="[469708, 469719, 469731, 469742]"/>
    <s v="0.011834809348314414"/>
    <s v="[469707, 469708, 469719, 469731]"/>
    <s v="[0.069, 0.033, 0.061, 0.053]"/>
    <s v="902.9890432259397"/>
    <s v="[0.069, 0.033, -0.061, -0.053]"/>
  </r>
  <r>
    <x v="1315"/>
    <x v="1755"/>
    <x v="0"/>
    <n v="0"/>
    <s v="LINESTRING (7.491532373217568 58.034477441088505, 7.491547785550346 58.03454624785455, 7.491824741356892 58.0349653410168, 7.494832607535437 58.03733824894393)"/>
    <s v="[471426, 471434, 471442]"/>
    <s v="[469878, 469887, 469707]"/>
    <s v="0.015539892188431584"/>
    <s v="[469783, 469878, 469887]"/>
    <s v="[0.053, 0.041, 0.026]"/>
    <s v="377.55256420777033"/>
    <s v="[-0.053, -0.041, 0.026]"/>
  </r>
  <r>
    <x v="1315"/>
    <x v="1756"/>
    <x v="0"/>
    <n v="0"/>
    <s v="LINESTRING (7.491228893176181 58.03452526045838, 7.491321119194099 58.034587713481734, 7.491719748250516 58.03499166300312, 7.494832607535437 58.03733824894393)"/>
    <s v="[471498, 471506, 471514]"/>
    <s v="[469942, 469950, 469707]"/>
    <s v="0.018167012384237086"/>
    <s v="[469799, 469942, 469950]"/>
    <s v="[0.019, 0.031, 0.027]"/>
    <s v="381.00683232435284"/>
    <s v="[-0.019, -0.031, 0.027]"/>
  </r>
  <r>
    <x v="1316"/>
    <x v="1757"/>
    <x v="0"/>
    <n v="0"/>
    <s v="LINESTRING (7.502889271843802 58.04420193691684, 7.506937155968173 58.0477948854527, 7.510992836044596 58.04984528800993, 7.51672147474636 58.05293063084198, 7.5265000848149155 58.06177928305737, 7.533126042635197 58.06770899399472, 7.533146817294275 58.067749437858765)"/>
    <s v="[471522, 471530, 1249625, 1249889, 1249895, 1249905]"/>
    <s v="[469963, 469970, 1169001, 1169200, 1169207, 1169218]"/>
    <s v="0.001781917065053698"/>
    <s v="[469742, 469963, 469970, 1169001, 1169200, 1169207]"/>
    <s v="[0.019, 0.013, 0.019, 0.007, 0.014, 0.036]"/>
    <s v="3287.438245921788"/>
    <s v="[-0.019, 0.013, -0.019, 0.007, 0.014, -0.036]"/>
  </r>
  <r>
    <x v="1316"/>
    <x v="1758"/>
    <x v="0"/>
    <n v="0"/>
    <s v="LINESTRING (7.502889271843802 58.04420193691684, 7.506857429170243 58.04782836925749, 7.510922051451691 58.04988395556681, 7.516652996086075 58.05297038456835, 7.526424175171301 58.06181510569633, 7.532889449625106 58.06770135935102, 7.532862009171444 58.06773968248956)"/>
    <s v="[471570, 471578, 1250137, 1249955, 1249963, 1249971]"/>
    <s v="[469996, 470003, 1169252, 1169253, 1169259, 1169265]"/>
    <s v="0.001976793616227633"/>
    <s v="[469742, 469996, 470003, 1169252, 1169253, 1169259]"/>
    <s v="[0.019, 0.013, 0.02, 0.008, 0.014, 0.03]"/>
    <s v="3284.259225883006"/>
    <s v="[-0.019, 0.013, -0.02, 0.008, 0.014, -0.03]"/>
  </r>
  <r>
    <x v="1317"/>
    <x v="1755"/>
    <x v="0"/>
    <n v="0"/>
    <s v="LINESTRING (7.491365499989886 58.03422157937221, 7.4914825657200845 58.03424844860048, 7.491591165789978 58.03432918385458, 7.491599069950947 58.03440457801585, 7.491532373217568 58.034477441088505)"/>
    <s v="[471314, 471322, 471330, 471338]"/>
    <s v="[469755, 469764, 469774, 469783]"/>
    <s v="#FIELD!"/>
    <s v="[469754, 469755, 469764, 469774]"/>
    <s v="[0.009, 0.023, 0.051, 0.077]"/>
    <s v="36.0855799394945"/>
    <s v="[0.009, -0.023, -0.051, -0.077]"/>
  </r>
  <r>
    <x v="1317"/>
    <x v="1759"/>
    <x v="0"/>
    <n v="0"/>
    <s v="LINESTRING (7.491071144635788 58.03428337376273, 7.4911895075841795 58.034232329262046, 7.491365499989886 58.03422157937221)"/>
    <s v="[471370, 471386]"/>
    <s v="[469816, 469754]"/>
    <s v="0.057716344922188856"/>
    <s v="[469808, 469816]"/>
    <s v="[0.069, 0.048]"/>
    <s v="19.51678969476984"/>
    <s v="[0.069, 0.048]"/>
  </r>
  <r>
    <x v="1317"/>
    <x v="1760"/>
    <x v="0"/>
    <n v="0"/>
    <s v="LINESTRING (7.490994216562477 58.03401129738989, 7.491269725021647 58.03416306335245, 7.491365499989886 58.03422157937221)"/>
    <s v="[471410, 471418]"/>
    <s v="[469858, 469754]"/>
    <s v="#FIELD!"/>
    <s v="[469848, 469858]"/>
    <s v="[0.014, 0.018]"/>
    <s v="32.30210405414681"/>
    <s v="[-0.014, -0.018]"/>
  </r>
  <r>
    <x v="1318"/>
    <x v="1756"/>
    <x v="0"/>
    <n v="0"/>
    <s v="LINESTRING (7.491532373217568 58.034477441088505, 7.491417266806215 58.034520293918376, 7.491228893176181 58.03452526045838)"/>
    <s v="[471346, 471354]"/>
    <s v="[469790, 469799]"/>
    <s v="#FIELD!"/>
    <s v="[469783, 469790]"/>
    <s v="[0.064, 0.049]"/>
    <s v="19.488954134560075"/>
    <s v="[-0.064, -0.049]"/>
  </r>
  <r>
    <x v="1319"/>
    <x v="1759"/>
    <x v="0"/>
    <n v="0"/>
    <m/>
    <n v="471362"/>
    <n v="469808"/>
    <s v="0.038"/>
    <n v="469799"/>
    <s v="0.038"/>
    <s v="33.15201579108913"/>
    <s v="0.038"/>
  </r>
  <r>
    <x v="1320"/>
    <x v="1760"/>
    <x v="0"/>
    <n v="0"/>
    <s v="LINESTRING (7.490994216562477 58.03401129738989, 7.491052883536658 58.03421115206624, 7.491071144635788 58.03428337376273)"/>
    <s v="[471450, 471458]"/>
    <s v="[469903, 469808]"/>
    <s v="#FIELD!"/>
    <s v="[469848, 469903]"/>
    <s v="[0.053, 0.052]"/>
    <s v="30.70506417367087"/>
    <s v="[-0.053, -0.052]"/>
  </r>
  <r>
    <x v="1321"/>
    <x v="1760"/>
    <x v="0"/>
    <n v="0"/>
    <s v="LINESTRING (7.490820338770824 58.03387818189065, 7.490820338770824 58.03387818189065, 7.490994216562477 58.03401129738989)"/>
    <s v="[471394, 471402]"/>
    <s v="[469838, 469848]"/>
    <s v="#FIELD!"/>
    <s v="[469837, 469838]"/>
    <s v="[0.0, 0.026]"/>
    <s v="154.96522776104774"/>
    <s v="[0.0, -0.026]"/>
  </r>
  <r>
    <x v="1321"/>
    <x v="1761"/>
    <x v="0"/>
    <n v="0"/>
    <s v="LINESTRING (7.490820338770824 58.03387818189065, 7.488554155197805 58.03342436504669, 7.488040172278809 58.033357251920016, 7.48794488589344 58.033341346182304)"/>
    <s v="[1349389, 1349397, 1349405]"/>
    <s v="[1250112, 1250120, 1250125]"/>
    <s v="#FIELD!"/>
    <s v="[469837, 1250112, 1250120]"/>
    <s v="[0.955, 0.069, 0.068]"/>
    <s v="46.82615048513161"/>
    <s v="[-0.955, -0.069, -0.068]"/>
  </r>
  <r>
    <x v="1322"/>
    <x v="1762"/>
    <x v="0"/>
    <n v="0"/>
    <s v="LINESTRING (5.327065613917614 60.28974108139079, 5.3270317602548705 60.289846049746615, 5.32555635312475 60.29083916568831, 5.325502053626591 60.29089836406754)"/>
    <s v="[2091343, 2091351, 473955]"/>
    <s v="[1810365, 472343, 472344]"/>
    <s v="0.08790603332746999"/>
    <s v="[1810201, 1810365, 472343]"/>
    <s v="[0.02, 0.102, 0.018]"/>
    <s v="164.73877548929826"/>
    <s v="[-0.02, 0.102, -0.018]"/>
  </r>
  <r>
    <x v="1323"/>
    <x v="1763"/>
    <x v="0"/>
    <n v="0"/>
    <s v="LINESTRING (5.323376999929696 60.29039553500716, 5.3247840415804975 60.30334186296712, 5.327522089001189 60.30593550336157, 5.328172393023705 60.30693566997007, 5.329793772977193 60.309109000284494, 5.329868366441217 60.309196590550805)"/>
    <s v="[1341014, 1341022, 2091486, 2091494, 474219]"/>
    <s v="[1244076, 1244081, 1810424, 472604, 472605]"/>
    <s v="#FIELD!"/>
    <s v="[1244075, 1244076, 1244081, 1810424, 472604]"/>
    <s v="[0.009, 0.117, 0.05, 0.024, 0.037]"/>
    <s v="2364.4053260222513"/>
    <s v="[0.009, -0.117, -0.05, -0.024, 0.037]"/>
  </r>
  <r>
    <x v="1323"/>
    <x v="1764"/>
    <x v="125"/>
    <s v="[0, 0, 0, 0, 0, 0, 0, 1, 0]"/>
    <s v="LINESTRING (5.335598301189986 60.32366606029607, 5.335598301189986 60.32366606029607, 5.335247758787043 60.323165171366476, 5.333612754130883 60.31904924395249, 5.333600742880022 60.31895368696813, 5.333277709598986 60.31486491420043, 5.332635410829817 60.31280847796379, 5.331084537669473 60.31053112043389, 5.330354026494799 60.309734272436586, 5.329868366441217 60.309196590550805)"/>
    <s v="[1613894, 1613851, 1613763, 1613800, 1613664, 1613672, 1613679, 1613687, 1613695]"/>
    <s v="[1447404, 1447343, 1447344, 1447273, 1447274, 1447278, 1447283, 1447286, 472605]"/>
    <s v="#FIELD!"/>
    <s v="[1447426, 1447404, 1447343, 1447344, 1447273, 1447274, 1447278, 1447283, 1447286]"/>
    <s v="[0.0, 0.011, 0.003, 0.159, 0.001, 0.022, 0.003, 0.062, 0.077]"/>
    <s v="1674.48636511533"/>
    <s v="[0.0, 0.011, -0.003, -0.159, -0.001, 0.022, 0.003, -0.062, -0.077]"/>
  </r>
  <r>
    <x v="1324"/>
    <x v="1765"/>
    <x v="126"/>
    <n v="0"/>
    <s v="LINESTRING (10.737546575495548 59.70465208461727, 10.737214091079078 59.70349030793916, 10.733664510069966 59.69539088318354, 10.733225606100035 59.693840636408325, 10.733194508910492 59.693076343326325, 10.733194611534415 59.69301969746263)"/>
    <s v="[474271, 474279, 474287, 474295, 1505977]"/>
    <s v="[472658, 472669, 472680, 472691, 1361908]"/>
    <s v="#FIELD!"/>
    <s v="[472648, 472658, 472669, 472680, 472691]"/>
    <s v="[0.037, 0.004, 0.083, 0.022, 0.153]"/>
    <s v="1321.6890918029637"/>
    <s v="[0.037, -0.004, -0.083, 0.022, -0.153]"/>
  </r>
  <r>
    <x v="1324"/>
    <x v="1766"/>
    <x v="0"/>
    <n v="0"/>
    <s v="LINESTRING (10.737542073073161 59.70594497409069, 10.737502983989051 59.70472889662589, 10.737546575495548 59.70465208461727)"/>
    <s v="[1498768, 1498781]"/>
    <s v="[1356532, 472648]"/>
    <s v="0.12052488506655902"/>
    <s v="[1356527, 1356532]"/>
    <s v="[0.038, 1.378]"/>
    <s v="144.59606150117654"/>
    <s v="[0.038, 1.378]"/>
  </r>
  <r>
    <x v="1325"/>
    <x v="1767"/>
    <x v="0"/>
    <n v="0"/>
    <m/>
    <n v="1536482"/>
    <n v="1356762"/>
    <s v="#FIELD!"/>
    <n v="472756"/>
    <s v="0.565"/>
    <s v="12.321087082511252"/>
    <s v="#FIELD!"/>
  </r>
  <r>
    <x v="1325"/>
    <x v="1768"/>
    <x v="0"/>
    <n v="0"/>
    <s v="LINESTRING (10.782497583930217 59.7566542554745, 10.782467411856963 59.75661417216267, 10.78240368126056 59.75630338762493, 10.782402578650244 59.756294477460024, 10.783692609763692 59.753647589232145, 10.783854933907461 59.752080748432114, 10.783901724601169 59.75204645641756)"/>
    <s v="[474351, 474359, 474367, 474375, 1130895, 2088219]"/>
    <s v="[472757, 472766, 472777, 472787, 1068709, 1068469]"/>
    <s v="0.012586655911984162"/>
    <s v="[472756, 472757, 472766, 472777, 472787, 1068709]"/>
    <s v="[0.036, 0.023, 0.018, 0.017, 0.002, 0.166]"/>
    <s v="529.3729251802183"/>
    <s v="[0.036, 0.023, 0.018, 0.017, -0.002, 0.166]"/>
  </r>
  <r>
    <x v="1325"/>
    <x v="1769"/>
    <x v="0"/>
    <n v="0"/>
    <s v="LINESTRING (10.782741225836528 59.75678536135593, 10.78255244233942 59.756874694760626, 10.782443900340889 59.75686769930749, 10.78235532239238 59.75683526978226, 10.782305450337583 59.75675741784793, 10.782325871457475 59.75671707248238, 10.782395756260867 59.75667454053713, 10.782497583930217 59.7566542554745)"/>
    <s v="[1536498, 1536506, 1536514, 1536522, 1536458, 1536466, 1536474]"/>
    <s v="[1069090, 1388541, 1069077, 522887, 1388508, 1371960, 472756]"/>
    <s v="0.125447123472334"/>
    <s v="[1356754, 1069090, 1388541, 1069077, 522887, 1388508, 1371960]"/>
    <s v="[0.013, 0.039, 0.004, 0.015, 0.012, 0.019, 1.119]"/>
    <s v="53.67886001680739"/>
    <s v="[-0.013, -0.039, -0.004, 0.015, 0.012, 0.019, 1.119]"/>
  </r>
  <r>
    <x v="1326"/>
    <x v="1770"/>
    <x v="0"/>
    <n v="0"/>
    <s v="LINESTRING (10.727705302440013 59.51605676135846, 10.727838320242528 59.51606830668521, 10.727915235938305 59.51608970627479, 10.728005175399948 59.51613401205735, 10.728030534352254 59.516157321815754, 10.728066421472136 59.516223238731925, 10.728013700535909 59.516332116630416, 10.727449754261146 59.51635592988026)"/>
    <s v="[474847, 474855, 474863, 474871, 474879, 474887, 474895]"/>
    <s v="[473344, 473353, 473363, 473372, 473384, 473394, 473403]"/>
    <s v="#FIELD!"/>
    <s v="[472811, 473344, 473353, 473363, 473372, 473384, 473394]"/>
    <s v="[0.015, 0.008, 0.0, 0.015, 0.013, 0.019, 0.002]"/>
    <s v="79.59299194979569"/>
    <s v="[0.015, 0.008, 0.0, -0.015, -0.013, -0.019, -0.002]"/>
  </r>
  <r>
    <x v="1326"/>
    <x v="1771"/>
    <x v="0"/>
    <n v="0"/>
    <s v="LINESTRING (10.72741098809835 59.516145146084746, 10.727652038833604 59.51605971267181, 10.727669731152295 59.51605847508941, 10.727705302440013 59.51605676135846)"/>
    <s v="[474823, 474831, 474839]"/>
    <s v="[473317, 473327, 472811]"/>
    <s v="0.01475540059784391"/>
    <s v="[473309, 473317, 473327]"/>
    <s v="[0.014, 0.019, 0.019]"/>
    <s v="20.087627342369352"/>
    <s v="[0.014, 0.019, 0.019]"/>
  </r>
  <r>
    <x v="1326"/>
    <x v="1772"/>
    <x v="0"/>
    <s v="[0, 0, 1, 1]"/>
    <s v="LINESTRING (10.721804402521707 59.51199516946574, 10.72190161134618 59.51208370746641, 10.725035621557764 59.51541098512915, 10.72765361712291 59.51600381559126, 10.727705302440013 59.51605676135846)"/>
    <s v="[1507968, 474383, 474391, 474399]"/>
    <s v="[472794, 472795, 472803, 472811]"/>
    <s v="0.0014995983924942734"/>
    <s v="[1361096, 472794, 472795, 472803]"/>
    <s v="[0.31, 0.015, 0.021, 0.001]"/>
    <s v="602.6047471489809"/>
    <s v="[0.31, -0.015, 0.021, 0.001]"/>
  </r>
  <r>
    <x v="1327"/>
    <x v="1773"/>
    <x v="0"/>
    <n v="0"/>
    <m/>
    <n v="474759"/>
    <n v="473249"/>
    <s v="#FIELD!"/>
    <n v="472818"/>
    <s v="0.056"/>
    <s v="14.065978739575614"/>
    <s v="#FIELD!"/>
  </r>
  <r>
    <x v="1327"/>
    <x v="1774"/>
    <x v="0"/>
    <n v="0"/>
    <s v="LINESTRING (10.722102238061682 59.51688674466003, 10.722100171003257 59.516835664706136, 10.722063578898123 59.51304854423954, 10.722110348891427 59.51297274428082)"/>
    <s v="[474407, 474415, 1507969]"/>
    <s v="[472819, 472830, 1363657]"/>
    <s v="#FIELD!"/>
    <s v="[472818, 472819, 472830]"/>
    <s v="[0.048, 0.024, 0.313]"/>
    <s v="463.280059585757"/>
    <s v="[-0.048, -0.024, -0.313]"/>
  </r>
  <r>
    <x v="1327"/>
    <x v="1775"/>
    <x v="0"/>
    <n v="0"/>
    <s v="LINESTRING (10.72249378671444 59.517023418702976, 10.722115219975985 59.517091290818485, 10.722022271298039 59.5170288980688, 10.722016181025905 59.516951366409295, 10.722102238061682 59.51688674466003)"/>
    <s v="[474791, 474799, 474807, 474751]"/>
    <s v="[473284, 473291, 473238, 472818]"/>
    <s v="0.005680969134285033"/>
    <s v="[473274, 473284, 473291, 473238]"/>
    <s v="[0.052, 0.009, 0.05, 0.063]"/>
    <s v="52.11512545631816"/>
    <s v="[0.052, -0.009, -0.05, -0.063]"/>
  </r>
  <r>
    <x v="1328"/>
    <x v="1776"/>
    <x v="0"/>
    <n v="1"/>
    <m/>
    <n v="474495"/>
    <n v="472922"/>
    <s v="#FIELD!"/>
    <n v="472921"/>
    <s v="0.048"/>
    <s v="228.99941047964072"/>
    <s v="#FIELD!"/>
  </r>
  <r>
    <x v="1328"/>
    <x v="1777"/>
    <x v="0"/>
    <n v="0"/>
    <s v="LINESTRING (10.722396354551059 59.51688379002829, 10.72253294352969 59.51687668218817, 10.722940645859875 59.51687554041962)"/>
    <s v="[1510516, 1510524]"/>
    <s v="[1365998, 472921]"/>
    <s v="#FIELD!"/>
    <s v="[473257, 1365998]"/>
    <s v="[0.956, 0.253]"/>
    <s v="30.863763446717495"/>
    <s v="[-0.956, 0.253]"/>
  </r>
  <r>
    <x v="1328"/>
    <x v="1775"/>
    <x v="0"/>
    <n v="0"/>
    <s v="LINESTRING (10.72249378671444 59.517023418702976, 10.722608711470295 59.516983850031025, 10.722940645859875 59.51687554041962)"/>
    <s v="[1516589, 1516597]"/>
    <s v="[1371543, 472921]"/>
    <s v="#FIELD!"/>
    <s v="[473274, 1371543]"/>
    <s v="[1.022, 0.261]"/>
    <s v="30.200026297919283"/>
    <s v="[-1.022, 0.261]"/>
  </r>
  <r>
    <x v="1329"/>
    <x v="1778"/>
    <x v="0"/>
    <n v="0"/>
    <s v="LINESTRING (10.726837647181178 59.51632690993046, 10.727115589730909 59.51624626346677, 10.727227391558092 59.516218008658434, 10.72737393651022 59.51618619661811)"/>
    <s v="[1510525, 1510532, 1510540]"/>
    <s v="[1366005, 1366012, 473308]"/>
    <s v="0.0015315830347098051"/>
    <s v="[472922, 1366005, 1366012]"/>
    <s v="[0.073, 0.11, 0.227]"/>
    <s v="34.22058357299126"/>
    <s v="[0.073, 0.11, -0.227]"/>
  </r>
  <r>
    <x v="1329"/>
    <x v="1770"/>
    <x v="0"/>
    <n v="0"/>
    <s v="LINESTRING (10.726837647181178 59.51632690993046, 10.727161663553805 59.51634209792256, 10.7272937861902 59.516348426064205, 10.727449754261146 59.51635592988026)"/>
    <s v="[1516605, 1516613, 1516621]"/>
    <s v="[1371561, 1371568, 473403]"/>
    <s v="0.0014565202021909439"/>
    <s v="[472922, 1371561, 1371568]"/>
    <s v="[0.06, 0.104, 0.207]"/>
    <s v="34.81438669131295"/>
    <s v="[0.06, 0.104, -0.207]"/>
  </r>
  <r>
    <x v="1330"/>
    <x v="1779"/>
    <x v="0"/>
    <n v="0"/>
    <s v="LINESTRING (13.248939733918638 65.81822935309062, 13.248879539758443 65.81915950998071, 13.248858101480332 65.81929388375579, 13.24874405306681 65.8199204332101, 13.248739353175882 65.81994641476138, 13.248729935653671 65.8200008905479, 13.248718422581495 65.82006751191946, 13.248354565611182 65.82121443168909)"/>
    <s v="[1760965, 1760973, 1760978, 1760986, 1760993, 1761008, 1761016]"/>
    <s v="[1556920, 1556921, 1556922, 1556925, 1556926, 1556934, 473226]"/>
    <s v="0.0006951273137260705"/>
    <s v="[473215, 1556920, 1556921, 1556922, 1556925, 1556926, 1556934]"/>
    <s v="[0.025, 0.013, 0.013, 0.008, 0.011, 0.011, 0.012]"/>
    <s v="334.16976758581393"/>
    <s v="[-0.025, 0.013, 0.013, 0.008, 0.011, 0.011, 0.012]"/>
  </r>
  <r>
    <x v="1330"/>
    <x v="1779"/>
    <x v="0"/>
    <n v="0"/>
    <s v="LINESTRING (13.248939733918638 65.81822935309062, 13.248673358484695 65.81928761546429, 13.248559809620023 65.81991479875845, 13.248554801554196 65.81994080370437, 13.248544500358475 65.81999539501918, 13.248531883614689 65.82006214734982, 13.248354565611182 65.82121443168909)"/>
    <s v="[1761021, 1761029, 1761037, 1761042, 1761044, 1761078]"/>
    <s v="[1556939, 1556943, 1556947, 1556950, 1556951, 473226]"/>
    <s v="0.0009654170631335506"/>
    <s v="[473215, 1556939, 1556943, 1556947, 1556950, 1556951]"/>
    <s v="[0.014, 0.011, 0.017, 0.011, 0.009, 0.008]"/>
    <s v="334.0931124011539"/>
    <s v="[-0.014, 0.011, 0.017, 0.011, 0.009, 0.008]"/>
  </r>
  <r>
    <x v="1330"/>
    <x v="1780"/>
    <x v="127"/>
    <n v="0"/>
    <s v="LINESTRING (13.281151580098765 65.72688171853531, 13.248939733918638 65.81822935309062)"/>
    <m/>
    <m/>
    <s v="0.0"/>
    <m/>
    <n v="0"/>
    <s v="12401.972361755172"/>
    <n v="0"/>
  </r>
  <r>
    <x v="1331"/>
    <x v="1781"/>
    <x v="0"/>
    <s v="[0, 0, 0, 0, 1, 0, 0]"/>
    <s v="LINESTRING (13.248354565611182 65.82121443168909, 13.248199697356172 65.82182104791532, 13.246115225124028 65.82387301172628, 13.242368945968106 65.82474151960842, 13.236153426109299 65.8274365735278, 13.235844020186022 65.82808277292867, 13.234359802297893 65.8288822708635, 13.229648498036507 65.83183690383451)"/>
    <s v="[474740, 474748, 474749, 474756, 1196008, 1196016, 1196024]"/>
    <s v="[473227, 473234, 473235, 473245, 1122549, 1122555, 1122561]"/>
    <s v="#FIELD!"/>
    <s v="[473226, 473227, 473234, 473235, 473245, 1122549, 1122555]"/>
    <s v="[0.007, 0.002, 0.017, 0.002, 0.003, 0.01, 0.005]"/>
    <s v="1586.8646780711783"/>
    <s v="[0.007, -0.002, -0.017, -0.002, 0.003, -0.01, -0.005]"/>
  </r>
  <r>
    <x v="1332"/>
    <x v="1777"/>
    <x v="0"/>
    <n v="0"/>
    <m/>
    <n v="474767"/>
    <n v="473257"/>
    <s v="#FIELD!"/>
    <n v="473249"/>
    <s v="0.03"/>
    <s v="3.6249137920677734"/>
    <s v="#FIELD!"/>
  </r>
  <r>
    <x v="1332"/>
    <x v="840"/>
    <x v="0"/>
    <n v="0"/>
    <s v="LINESTRING (10.726190225573665 59.518768655914855, 10.726057191715574 59.51872923313255, 10.724560954914775 59.51686068956754, 10.724551439975436 59.516853112443194, 10.722314387711412 59.51680513079285, 10.722339905621446 59.51686845282899)"/>
    <s v="[1507977, 1498123, 1498124, 1498161, 1498173]"/>
    <s v="[1356047, 1356048, 1356049, 1356075, 473249]"/>
    <s v="0.020356511709943917"/>
    <s v="[1363664, 1356047, 1356048, 1356049, 1356075]"/>
    <s v="[0.086, 0.043, 0.001, 0.059, 0.913]"/>
    <s v="431.1031744979561"/>
    <s v="[0.086, -0.043, 0.001, 0.059, 0.913]"/>
  </r>
  <r>
    <x v="1333"/>
    <x v="1775"/>
    <x v="0"/>
    <n v="0"/>
    <s v="LINESTRING (10.722396354551059 59.51688379002829, 10.722487541334829 59.51694612479506, 10.72249378671444 59.517023418702976)"/>
    <s v="[474775, 474783]"/>
    <s v="[473265, 473274]"/>
    <s v="0.03496979553653058"/>
    <s v="[473257, 473265]"/>
    <s v="[0.02, 0.05]"/>
    <s v="17.276479553109198"/>
    <s v="[0.02, 0.05]"/>
  </r>
  <r>
    <x v="1334"/>
    <x v="1617"/>
    <x v="0"/>
    <n v="0"/>
    <s v="LINESTRING (13.192307390461911 65.8596749002517, 13.192034930302848 65.86006119082329, 13.19203116095076 65.8600748866933, 13.192018989956251 65.86011920400607, 13.192012591192219 65.860142543633, 13.192138521471254 65.86068877737654, 13.192198665351572 65.86075929212487, 13.19225049480982 65.86081276450064, 13.192969559328414 65.86128852941391)"/>
    <s v="[1028973, 1028981, 1028989, 1028997, 1029005, 1029021, 1029028, 1029036]"/>
    <s v="[983274, 983280, 983285, 983292, 983299, 983308, 983313, 473280]"/>
    <s v="#FIELD!"/>
    <s v="[473270, 983274, 983280, 983285, 983292, 983299, 983308, 983313]"/>
    <s v="[0.012, 0.004, 0.009, 0.008, 0.005, 0.001, 0.0, 0.001]"/>
    <s v="192.6950946004954"/>
    <s v="[-0.012, -0.004, -0.009, -0.008, -0.005, -0.001, -0.0, 0.001]"/>
  </r>
  <r>
    <x v="1334"/>
    <x v="1617"/>
    <x v="0"/>
    <n v="0"/>
    <s v="LINESTRING (13.192307390461911 65.8596749002517, 13.191862451712936 65.8600625849385, 13.191837060590643 65.86010848741122, 13.19182733812983 65.86013295454555, 13.191924727079288 65.86071185197507, 13.191929583949877 65.86072039935914, 13.192002964092866 65.86078660087709, 13.192079277218625 65.86085037786651, 13.192969559328414 65.86128852941391)"/>
    <s v="[1201320, 1201328, 1201336, 1201344, 1201352, 1201360, 1201368, 1201376]"/>
    <s v="[1126220, 1126226, 1126232, 1126238, 1126245, 1126250, 1126256, 473280]"/>
    <s v="#FIELD!"/>
    <s v="[473270, 1126220, 1126226, 1126232, 1126238, 1126245, 1126250, 1126256]"/>
    <s v="[0.014, 0.009, 0.008, 0.005, 0.001, 0.0, 0.002, 0.003]"/>
    <s v="202.28164262112833"/>
    <s v="[-0.014, -0.009, -0.008, -0.005, 0.001, 0.0, 0.002, 0.003]"/>
  </r>
  <r>
    <x v="1335"/>
    <x v="1771"/>
    <x v="0"/>
    <n v="0"/>
    <m/>
    <n v="474815"/>
    <n v="473309"/>
    <s v="0.005"/>
    <n v="473308"/>
    <s v="0.005"/>
    <s v="5.0328918130344285"/>
    <s v="0.005"/>
  </r>
  <r>
    <x v="1335"/>
    <x v="1770"/>
    <x v="0"/>
    <n v="0"/>
    <s v="LINESTRING (10.727449754261146 59.51635592988026, 10.727367877559681 59.51627591918705, 10.72737393651022 59.51618619661811)"/>
    <s v="[474903, 474911]"/>
    <s v="[473415, 473308]"/>
    <s v="#FIELD!"/>
    <s v="[473403, 473415]"/>
    <s v="0.001"/>
    <s v="20.054374608763148"/>
    <s v="#FIELD!"/>
  </r>
  <r>
    <x v="1336"/>
    <x v="1782"/>
    <x v="0"/>
    <s v="[1, 1, 0, 0, 0, 0]"/>
    <s v="LINESTRING (10.72741098809835 59.516145146084746, 10.727367199100561 59.516071776760825, 10.725338443274534 59.51607911921588, 10.725350319088532 59.51664628850125, 10.725352982336425 59.51665515195922, 10.72704832042782 59.51941924725997, 10.727016535950828 59.51953754122171)"/>
    <s v="[1498050, 1498057, 1498073, 1498091, 1498092, 1507976]"/>
    <s v="[1355989, 1355994, 1356009, 1356021, 1356022, 1361153]"/>
    <s v="0.0024165013842451914"/>
    <s v="[473309, 1355989, 1355994, 1356009, 1356021, 1356022]"/>
    <s v="[0.396, 0.044, 0.004, 0.03, 0.013, 0.093]"/>
    <s v="572.230428730318"/>
    <s v="[0.396, -0.044, -0.004, -0.03, 0.013, 0.093]"/>
  </r>
  <r>
    <x v="1337"/>
    <x v="1783"/>
    <x v="0"/>
    <n v="0"/>
    <s v="LINESTRING (13.20754876955867 65.86744824405412, 13.208220948337322 65.8683642476265, 13.208260533009806 65.86841225799789, 13.208719426776884 65.86889586175155, 13.208748535033045 65.86892370017618, 13.208839519923309 65.86900944798569, 13.208842359649891 65.86901211970942, 13.208983824321477 65.86914187651843, 13.209771558396941 65.8697938049001)"/>
    <s v="[969071, 969075, 969083, 969091, 969105, 969107, 969114, 969134]"/>
    <s v="[932468, 932471, 932475, 932463, 932491, 932439, 932496, 473332]"/>
    <s v="0.04960297944529996"/>
    <s v="[473323, 932468, 932471, 932475, 932463, 932491, 932439, 932496]"/>
    <s v="[0.054, 0.119, 0.062, 0.021, 0.045, 0.0, 0.04, 0.034]"/>
    <s v="281.12234139519967"/>
    <s v="[0.054, 0.119, 0.062, 0.021, 0.045, 0.0, 0.04, 0.034]"/>
  </r>
  <r>
    <x v="1337"/>
    <x v="1783"/>
    <x v="0"/>
    <n v="0"/>
    <s v="LINESTRING (13.20754876955867 65.86744824405412, 13.208126370559174 65.86842971661754, 13.20857509268884 65.86892016631127, 13.208607751114963 65.86895212074025, 13.208697675112127 65.86903672543467, 13.208850311481235 65.8691675821383, 13.2088930369712 65.86920360294337, 13.209771558396941 65.8697938049001)"/>
    <s v="[969154, 969162, 969163, 969164, 969193, 969200, 969201]"/>
    <s v="[932533, 932536, 932464, 932440, 932567, 932575, 473332]"/>
    <s v="0.048853903304011265"/>
    <s v="[473323, 932533, 932536, 932464, 932440, 932567, 932575]"/>
    <s v="[0.062, 0.061, 0.041, 0.046, 0.037, 0.027, 0.025]"/>
    <s v="283.2022365926423"/>
    <s v="[0.062, 0.061, 0.041, 0.046, 0.037, 0.027, 0.025]"/>
  </r>
  <r>
    <x v="1338"/>
    <x v="1784"/>
    <x v="0"/>
    <s v="[0, 0, 0, 0, 0, 0, 1, 0]"/>
    <s v="LINESTRING (13.209771558396941 65.8697938049001, 13.211540086094804 65.87057163327623, 13.213827905259075 65.87148346793984, 13.216422977137896 65.87192982551198, 13.216547019447288 65.87193385277995, 13.217090136073534 65.87196109672816, 13.22361430555916 65.87310640125219, 13.223735501787688 65.8731583321012, 13.224667739200482 65.87359694637054)"/>
    <s v="[474836, 474844, 474852, 474860, 474868, 1330222, 1330580, 1330588]"/>
    <s v="[441197, 473340, 389450, 473359, 473369, 1235349, 1235685, 659061]"/>
    <s v="#FIELD!"/>
    <s v="[473332, 441197, 473340, 389450, 473359, 473369, 1235349, 1235685]"/>
    <s v="[0.001, 0.018, 0.026, 0.048, 0.012, 0.003, 0.011, 0.012]"/>
    <s v="831.2590265106168"/>
    <s v="[0.001, 0.018, -0.026, -0.048, -0.012, -0.003, 0.011, 0.012]"/>
  </r>
  <r>
    <x v="1339"/>
    <x v="1785"/>
    <x v="0"/>
    <s v="[0, 1, 0, 0, 0, 0, 0, 0, 0]"/>
    <s v="LINESTRING (13.56962913337724 66.05731950700097, 13.571081929326795 66.05715983712997, 13.571647397105448 66.05706775706582, 13.572032496267385 66.05699424953445, 13.574187963272106 66.05636603740777, 13.574250221672306 66.05634084121554, 13.574468515427824 66.05625258616209, 13.574508104148734 66.05623662039919, 13.576431305181694 66.05545901389821, 13.576818543257335 66.0553307318734)"/>
    <s v="[969262, 969270, 969276, 969294, 969312, 969314, 969341, 969342, 969343]"/>
    <s v="[932630, 932636, 932643, 932662, 932676, 932679, 932707, 932708, 474038]"/>
    <s v="#FIELD!"/>
    <s v="[474029, 932630, 932636, 932643, 932662, 932676, 932679, 932707, 932708]"/>
    <s v="[0.004, 0.012, 0.011, 0.005, 0.002, 0.001, 0.002, 0.0, 0.0]"/>
    <s v="401.6560922635617"/>
    <s v="[-0.004, -0.012, -0.011, -0.005, 0.002, 0.001, 0.002, -0.0, 0.0]"/>
  </r>
  <r>
    <x v="1339"/>
    <x v="1785"/>
    <x v="0"/>
    <s v="[0, 1, 0, 0, 0, 0, 0, 0, 0, 0]"/>
    <s v="LINESTRING (13.56962913337724 66.05731950700097, 13.57112582925681 66.05721116780497, 13.571708675013609 66.05712548497833, 13.572102647982557 66.05705365668834, 13.574308177612554 66.05641695077786, 13.574377661693656 66.05638814221842, 13.574587265918229 66.0563012424394, 13.574629145955956 66.05628379925977, 13.576502330735012 66.05548867131465, 13.57665547093393 66.05542308901873, 13.576818543257335 66.0553307318734)"/>
    <s v="[969344, 969351, 969359, 969368, 969372, 969377, 969385, 969400, 969415, 969431]"/>
    <s v="[932709, 932715, 932723, 932732, 932736, 932738, 932742, 932758, 932766, 474038]"/>
    <s v="#FIELD!"/>
    <s v="[474029, 932709, 932715, 932723, 932732, 932736, 932738, 932742, 932758, 932766]"/>
    <s v="[0.004, 0.012, 0.011, 0.005, 0.002, 0.001, 0.001, 0.0, 0.002, 0.001]"/>
    <s v="406.07525984508175"/>
    <s v="[-0.004, -0.012, -0.011, -0.005, 0.002, 0.001, 0.001, -0.0, -0.002, -0.001]"/>
  </r>
  <r>
    <x v="1339"/>
    <x v="1786"/>
    <x v="0"/>
    <s v="[0, 1, 0, 1, 0, 0, 0, 0, 0, 0, 0]"/>
    <s v="LINESTRING (13.51516685391917 66.04487269660662, 13.518475663639709 66.04608840179245, 13.518577427865958 66.04611522322912, 13.534817306956317 66.0492983911624, 13.534939573727062 66.04930709037335, 13.548205394791301 66.05178857055472, 13.54939721152441 66.05224255241504, 13.54995481235259 66.05244138882854, 13.550789224653688 66.05270366418637, 13.551060837143611 66.05277839832873, 13.557558518675165 66.05593089910398, 13.56962913337724 66.05731950700097)"/>
    <s v="[668641, 668649, 668657, 668673, 668681, 668689, 668697, 668712, 668720, 475422, 475430]"/>
    <s v="[658979, 658985, 658994, 659007, 659015, 441225, 659027, 441132, 474017, 474018, 474029]"/>
    <s v="#FIELD!"/>
    <s v="[658978, 658979, 658985, 658994, 659007, 659015, 441225, 659027, 441132, 474017, 474018]"/>
    <s v="[0.044, 0.094, 0.004, 0.03, 0.024, 0.021, 0.014, 0.006, 1.024, 0.016, 0.04]"/>
    <s v="2942.495185314334"/>
    <s v="[-0.044, -0.094, -0.004, -0.03, 0.024, -0.021, -0.014, -0.006, 1.024, -0.016, -0.04]"/>
  </r>
  <r>
    <x v="1340"/>
    <x v="1787"/>
    <x v="128"/>
    <n v="0"/>
    <s v="LINESTRING (13.576818543257335 66.0553307318734, 13.601037574661296 66.04849043185733, 13.601996782318027 66.04839234671742, 13.60573137615795 66.04835382806299)"/>
    <s v="[475438, 475446, 475454]"/>
    <s v="[474039, 474049, 474058]"/>
    <s v="0.03617774152986399"/>
    <s v="[474038, 474039, 474049]"/>
    <s v="[0.035, 0.05, 0.042]"/>
    <s v="1579.7237221697962"/>
    <s v="[0.035, 0.05, 0.042]"/>
  </r>
  <r>
    <x v="1341"/>
    <x v="1788"/>
    <x v="0"/>
    <s v="[0, 0, 0, 0, 0, 0, 0, 0, 0, 1, 0, 0]"/>
    <s v="LINESTRING (13.60573137615795 66.04835382806299, 13.608772632250789 66.0483592887925, 13.608985008761195 66.04836095311195, 13.609248836729845 66.04836329646011, 13.611313393144965 66.04836118895346, 13.6113790940433 66.04836009352206, 13.611396187042503 66.04835961928596, 13.6116442205981 66.04835278918237, 13.611738239009611 66.04834944495006, 13.613091710215024 66.0482784572167, 13.613510830611718 66.04824610799332, 13.614195518414226 66.04818123791038, 13.615049059973806 66.04810056269855)"/>
    <s v="[969595, 969603, 969611, 969619, 969620, 969634, 969635, 969636, 969637, 969662, 969679, 969687]"/>
    <s v="[932897, 932904, 932911, 932917, 932891, 932928, 932880, 932929, 932930, 932951, 932957, 474067]"/>
    <s v="0.06154879033307839"/>
    <s v="[474058, 932897, 932904, 932911, 932917, 932891, 932928, 932880, 932929, 932930, 932951, 932957]"/>
    <s v="[0.026, 0.059, 0.056, 0.069, 0.074, 0.082, 0.055, 0.074, 0.049, 0.04, 0.029, 0.225]"/>
    <s v="424.9284684398025"/>
    <s v="[0.026, 0.059, 0.056, 0.069, 0.074, 0.082, 0.055, 0.074, 0.049, 0.04, 0.029, 0.225]"/>
  </r>
  <r>
    <x v="1341"/>
    <x v="1788"/>
    <x v="0"/>
    <s v="[0, 0, 0, 0, 0, 0, 0, 0, 1, 0, 0, 0]"/>
    <s v="LINESTRING (13.60573137615795 66.04835382806299, 13.608765585551078 66.04843172065127, 13.60924322718257 66.04844016513441, 13.611321786078195 66.04843242286958, 13.611386094204727 66.04843014836334, 13.6114050640372 66.04842967307717, 13.611671041782829 66.04842296858817, 13.61175120928389 66.04841895229372, 13.613114179831971 66.0483313056535, 13.613534670306585 66.04829327063129, 13.614219887207863 66.04821869607473, 13.614414857364054 66.04819572632941, 13.615049059973806 66.04810056269855)"/>
    <s v="[969695, 969696, 969711, 969737, 969753, 969761, 969762, 969769, 969777, 969785, 969786, 969793]"/>
    <s v="[932974, 932975, 932986, 932883, 933020, 932876, 933028, 933035, 933040, 933047, 933048, 474067]"/>
    <s v="0.06154035753358037"/>
    <s v="[474058, 932974, 932975, 932986, 932883, 933020, 932876, 933028, 933035, 933040, 933047, 933048]"/>
    <s v="[0.031, 0.064, 0.071, 0.078, 0.077, 0.059, 0.071, 0.046, 0.033, 0.029, 0.025, 0.261]"/>
    <s v="427.1554758652227"/>
    <s v="[0.031, 0.064, 0.071, 0.078, 0.077, 0.059, 0.071, 0.046, 0.033, 0.029, 0.025, 0.261]"/>
  </r>
  <r>
    <x v="1342"/>
    <x v="1789"/>
    <x v="129"/>
    <s v="[0, 1, 0, 1, 0, 0, 0, 0, 0, 0, 0, 0, 0, 0, 0, 0, 0, 1, 0, 0, 0, 0, 0, 0, 0, 0, 0, 1, 0, 0, 0, 0, 0, 0, 0, 0, 0, 0, 0, 0, 0, 0, 0, 0, 0, 0, 0, 0, 0, 0, 0]"/>
    <s v="LINESTRING (13.615049059973806 66.04810056269855, 13.619655377233713 66.04721617289603, 13.620373426188776 66.04708440921074, 13.625450201392258 66.04702385524519, 13.626113180292414 66.04713474998225, 13.627553377083302 66.04744156414249, 13.628177666035876 66.04757717686843, 13.694582932589396 66.0597579246137, 13.805257279047078 66.07342203448178, 13.806133150272963 66.07354936098514, 13.81577556787576 66.07578197965717, 13.817719946049564 66.07638076058208, 13.817885500125461 66.07642339294426, 13.818005035546971 66.07645275196869, 13.818724294564369 66.07667397217018, 13.818787687168674 66.07669533690782, 13.819140912559432 66.07682808180357, 13.819931670688243 66.07721850459527, 13.8208285568419 66.07834936036501, 13.821001544295484 66.07882150135886, 13.8252974098571 66.0813216786196, 13.825946355131993 66.08148910237763, 13.826191443174185 66.08155107437533, 13.82683974447989 66.08172120815466, 13.82437353275428 66.08504203431437, 13.822115433113352 66.08537932272239, 13.820671673997076 66.08595427042845, 13.819547058458229 66.08724198371323, 13.819249931840098 66.087774660165, 13.815759886921912 66.09044639331897, 13.814975922383866 66.09608666295415, 13.807938489521735 66.10211524043278, 13.807224160686607 66.10284327954133, 13.806951160871538 66.1033281068939, 13.809916011432838 66.10896151387045, 13.807591758521095 66.11237279479849, 13.807357343361396 66.11492193644042, 13.807407345392303 66.11519539957484, 13.811534137713874 66.11895462266357, 13.811655069457002 66.11984902361452, 13.81325764976571 66.12182209615116, 13.815425863166032 66.12321346591426, 13.81553273830892 66.12330857931174, 13.818562687985134 66.13035646194832, 13.819411618459652 66.13287236569353, 13.819492087693204 66.13311201334356, 13.819524914653801 66.13320252055017, 13.819533420490508 66.13322538516734, 13.81956227704651 66.13328410758598, 13.819657259133043 66.13348993104951, 13.83151875438161 66.14050219432865, 13.830891937561418 66.14429989578328)"/>
    <s v="[475462, 475470, 475478, 475486, 475494, 475502, 475510, 475518, 475526, 475534, 475542, 475550, 475558, 475566, 475574, 475582, 475590, 475598, 475606, 475614, 475622, 475630, 475638, 475646, 475654, 475662, 475670, 475678, 475686, 475694, 475702, 475710, 475718, 475726, 475734, 475742, 475750, 475758, 475766, 475774, 475782, 475790, 475800, 475808, 475816, 475817, 475824, 475832, 475849, 475857, 475865]"/>
    <s v="[474068, 474077, 474085, 474093, 474103, 474112, 474120, 474129, 474136, 474145, 457175, 474167, 457190, 474184, 474194, 474202, 474210, 474218, 439916, 474235, 474244, 474254, 474264, 474274, 474283, 437907, 474304, 474312, 474323, 474331, 474339, 474350, 474360, 474368, 474376, 474387, 474396, 474406, 474416, 474425, 474433, 474443, 400961, 474462, 474470, 474471, 474479, 474488, 474507, 474516, 474526]"/>
    <s v="#FIELD!"/>
    <s v="[474067, 474068, 474077, 474085, 474093, 474103, 474112, 474120, 474129, 474136, 474145, 457175, 474167, 457190, 474184, 474194, 474202, 474210, 474218, 439916, 474235, 474244, 474254, 474264, 474274, 474283, 437907, 474304, 474312, 474323, 474331, 474339, 474350, 474360, 474368, 474376, 474387, 474396, 474406, 474416, 474425, 474433, 474443, 400961, 474462, 474470, 474471, 474479, 474488, 474507, 474516]"/>
    <s v="[0.023, 0.04, 0.046, 0.112, 0.101, 0.093, 0.104, 0.094, 0.106, 0.071, 0.215, 0.191, 0.192, 0.049, 0.047, 0.044, 0.046, 0.027, 0.004, 0.003, 0.001, 0.002, 0.012, 0.01, 0.031, 0.031, 0.009, 0.01, 0.054, 0.039, 0.007, 0.006, 0.02, 0.085, 0.037, 0.056, 0.003, 0.051, 0.09, 0.019, 0.001, 0.03, 0.029, 0.017, 0.027, 0.028, 0.036, 0.029, 0.033, 0.012, 0.002]"/>
    <s v="18470.579445053532"/>
    <s v="[-0.023, -0.04, 0.046, 0.112, 0.101, 0.093, 0.104, -0.094, -0.106, -0.071, -0.215, -0.191, -0.192, -0.049, -0.047, -0.044, -0.046, -0.027, -0.004, -0.003, -0.001, -0.002, 0.012, 0.01, -0.031, -0.031, 0.009, 0.01, 0.054, 0.039, 0.007, -0.006, -0.02, -0.085, 0.037, -0.056, 0.003, 0.051, 0.09, 0.019, -0.001, -0.03, -0.029, -0.017, -0.027, -0.028, -0.036, -0.029, -0.033, -0.012, 0.002]"/>
  </r>
  <r>
    <x v="1343"/>
    <x v="1790"/>
    <x v="0"/>
    <n v="0"/>
    <s v="LINESTRING (13.830891937561418 66.14429989578328, 13.830818234004617 66.14448534262048, 13.830335438194396 66.145275955643, 13.830283042130242 66.14538656960633, 13.830245597693205 66.14546707658586, 13.830050814042576 66.14601806112952, 13.829994875148307 66.14692211189235)"/>
    <s v="[973713, 973721, 973722, 973729, 973737, 973738]"/>
    <s v="[936121, 936129, 936130, 936135, 936142, 474537]"/>
    <s v="0.010484213909138815"/>
    <s v="[474526, 936121, 936129, 936130, 936135, 936142]"/>
    <s v="[0.074, 0.012, 0.01, 0.011, 0.007, 0.002]"/>
    <s v="296.4383336982377"/>
    <s v="[0.074, 0.012, 0.01, 0.011, 0.007, -0.002]"/>
  </r>
  <r>
    <x v="1343"/>
    <x v="1790"/>
    <x v="0"/>
    <n v="0"/>
    <s v="LINESTRING (13.830891937561418 66.14429989578328, 13.83070899624498 66.14448109845912, 13.830170018989579 66.14526011537725, 13.83010623171872 66.14537119048802, 13.830063727350408 66.14545567893019, 13.829881835772625 66.14603746530827, 13.829871037444306 66.146118747974, 13.829994875148307 66.14692211189235)"/>
    <s v="[973744, 973754, 973755, 973756, 973757, 973773, 973774]"/>
    <s v="[936148, 936156, 936157, 936158, 936159, 936165, 474537]"/>
    <s v="0.010469383072238693"/>
    <s v="[474526, 936148, 936156, 936157, 936158, 936159, 936165]"/>
    <s v="[0.067, 0.011, 0.009, 0.009, 0.006, 0.012, 0.002]"/>
    <s v="299.0199222162051"/>
    <s v="[0.067, 0.011, 0.009, 0.009, 0.006, -0.012, 0.002]"/>
  </r>
  <r>
    <x v="1344"/>
    <x v="1791"/>
    <x v="0"/>
    <n v="0"/>
    <s v="LINESTRING (13.829994875148307 66.14692211189235, 13.830047739264337 66.14706902663191, 13.830104292032706 66.14719220956503, 13.834561582602245 66.15187216716939)"/>
    <s v="[475873, 475885, 475886]"/>
    <s v="[474538, 474551, 474552]"/>
    <s v="#FIELD!"/>
    <s v="[474537, 474538, 474551]"/>
    <s v="[0.005, 0.006, 0.007]"/>
    <s v="590.0902976182925"/>
    <s v="[0.005, 0.006, -0.007]"/>
  </r>
  <r>
    <x v="1345"/>
    <x v="1792"/>
    <x v="0"/>
    <n v="0"/>
    <s v="LINESTRING (13.834561582602245 66.15187216716939, 13.83471176637201 66.1519759455141, 13.83480068551142 66.15206172981992, 13.835755461538591 66.15296980770755, 13.835776905199646 66.15299042671289, 13.83587413787837 66.15308360355961, 13.835919393855857 66.15312830485266, 13.836497964635651 66.15370688848242, 13.837239884466381 66.15453108553628)"/>
    <s v="[974029, 974037, 974043, 974044, 974048, 974054, 974056, 974057]"/>
    <s v="[936385, 936394, 936401, 936402, 936407, 936414, 936417, 474559]"/>
    <s v="#FIELD!"/>
    <s v="[474552, 936385, 936394, 936401, 936402, 936407, 936414, 936417]"/>
    <s v="[0.024, 0.0, 0.0, 0.0, 0.0, 0.0, 0.0, 0.0]"/>
    <s v="320.40031037378594"/>
    <s v="[-0.024, 0.0, 0.0, 0.0, 0.0, 0.0, 0.0, 0.0]"/>
  </r>
  <r>
    <x v="1345"/>
    <x v="1792"/>
    <x v="0"/>
    <n v="0"/>
    <s v="LINESTRING (13.834561582602245 66.15187216716939, 13.834720909052939 66.15208329161018, 13.835600924882796 66.15299581425488, 13.835621004414229 66.1530157231503, 13.835709575893395 66.15310970528417, 13.835750494256919 66.15315375487991, 13.836329221083009 66.15372065792225, 13.836402536704831 66.15379163563765, 13.837239884466381 66.15453108553628)"/>
    <s v="[974058, 974066, 974084, 974092, 974100, 974140, 974141, 974142]"/>
    <s v="[936418, 936428, 936444, 936451, 936456, 936499, 936500, 474559]"/>
    <s v="#FIELD!"/>
    <s v="[474552, 936418, 936428, 936444, 936451, 936456, 936499, 936500]"/>
    <s v="[0.013, 0.0, 0.0, 0.0, 0.0, 0.0, 0.0, 0.0]"/>
    <s v="320.3811565317559"/>
    <s v="[-0.013, 0.0, 0.0, 0.0, 0.0, 0.0, 0.0, 0.0]"/>
  </r>
  <r>
    <x v="1346"/>
    <x v="1793"/>
    <x v="0"/>
    <s v="[0, 1, 1, 0, 0, 0, 0, 0, 0, 0, 0, 0, 0, 0, 0, 0, 0, 0]"/>
    <s v="LINESTRING (13.837239884466381 66.15453108553628, 13.838483321454573 66.15576205032637, 13.838793267935335 66.15607100773879, 13.839061322603571 66.15633821451891, 13.839971038648729 66.1572440058765, 13.840846141292419 66.15811292375902, 13.844410181603969 66.16187434620232, 13.844451810566271 66.16195208186353, 13.844489071042664 66.16202154802005, 13.844534678374632 66.16212877052328, 13.8446096889685 66.16232119232642, 13.836945618017879 66.16658803470457, 13.833056728753611 66.16714028940483, 13.826517178210352 66.16995146471096, 13.82521093825213 66.17047504751187, 13.82417241001997 66.17117122324379, 13.824037168388601 66.1713007755002, 13.822769980154563 66.17242304946754, 13.805291339741673 66.17683107789502)"/>
    <s v="[475893, 475906, 475914, 475922, 475932, 475954, 475962, 475971, 475979, 475987, 475995, 476003, 476011, 476019, 476027, 476035, 476043, 476051]"/>
    <s v="[474560, 474572, 474581, 474590, 474601, 474626, 474633, 474642, 474652, 436856, 474672, 474681, 474691, 436837, 436821, 474716, 474726, 437364]"/>
    <s v="0.0025239731045715082"/>
    <s v="[474559, 474560, 474572, 474581, 474590, 474601, 474626, 474633, 474642, 474652, 436856, 474672, 474681, 474691, 436837, 436821, 474716, 474726]"/>
    <s v="[0.0, 0.002, 0.008, 0.019, 0.042, 0.008, 0.0, 0.004, 0.003, 0.0, 0.017, 0.043, 0.002, 0.009, 0.092, 0.107, 0.094, 0.02]"/>
    <s v="3466.7309988445045"/>
    <s v="[0.0, 0.002, 0.008, 0.019, 0.042, -0.008, 0.0, 0.004, -0.003, 0.0, 0.017, -0.043, -0.002, -0.009, 0.092, 0.107, 0.094, -0.02]"/>
  </r>
  <r>
    <x v="1347"/>
    <x v="1794"/>
    <x v="0"/>
    <n v="0"/>
    <s v="LINESTRING (13.805291339741673 66.17683107789502, 13.80347617006341 66.17729199012692, 13.803261190081818 66.17734222722866, 13.802004261209936 66.1776390891924, 13.801923932853068 66.17765827955914, 13.80174296088601 66.17770766504846, 13.801672546154515 66.17772743446021, 13.79977215796473 66.17838930647508, 13.799598281750175 66.17845077691523)"/>
    <s v="[973832, 973848, 973849, 973867, 973883, 973893, 973908, 973909]"/>
    <s v="[936201, 936213, 936214, 936230, 936241, 936246, 936259, 474745]"/>
    <s v="#FIELD!"/>
    <s v="[437364, 936201, 936213, 936214, 936230, 936241, 936246, 936259]"/>
    <s v="[0.073, 0.037, 0.062, 0.086, 0.084, 0.088, 0.038, 0.148]"/>
    <s v="315.4535452790593"/>
    <s v="[0.073, -0.037, -0.062, -0.086, -0.084, -0.088, -0.038, -0.148]"/>
  </r>
  <r>
    <x v="1347"/>
    <x v="1794"/>
    <x v="0"/>
    <n v="0"/>
    <s v="LINESTRING (13.805291339741673 66.17683107789502, 13.803168010294398 66.1772803043162, 13.801910361662936 66.17757553588451, 13.801805251214073 66.17760119222852, 13.801632371265622 66.1776483970137, 13.801567714309062 66.1776665420044, 13.799701467215495 66.17836567183751, 13.799598281750175 66.17845077691523)"/>
    <s v="[973910, 973919, 973927, 973935, 973941, 973949, 973957]"/>
    <s v="[936260, 936266, 936273, 936281, 936288, 936297, 474745]"/>
    <s v="#FIELD!"/>
    <s v="[437364, 936260, 936266, 936273, 936281, 936288, 936297]"/>
    <s v="[0.05, 0.059, 0.085, 0.086, 0.07, 0.032, 0.113]"/>
    <s v="318.0230833781981"/>
    <s v="[0.05, -0.059, -0.085, -0.086, -0.07, -0.032, -0.113]"/>
  </r>
  <r>
    <x v="1348"/>
    <x v="1795"/>
    <x v="0"/>
    <n v="0"/>
    <s v="LINESTRING (13.799598281750175 66.17845077691523, 13.799104336793699 66.17875088960662, 13.798410926141466 66.17935293771313, 13.798115842142355 66.18131306248135, 13.799820554553513 66.18889709424515, 13.799688833351 66.18914201565416)"/>
    <s v="[476059, 476067, 476075, 476083, 476091]"/>
    <s v="[474746, 474755, 474765, 474773, 474781]"/>
    <s v="0.025883556625448903"/>
    <s v="[474745, 474746, 474755, 474765, 474773]"/>
    <s v="[0.025, 0.006, 0.027, 0.035, 0.135]"/>
    <s v="1215.40301713989"/>
    <s v="[-0.025, 0.006, 0.027, 0.035, -0.135]"/>
  </r>
  <r>
    <x v="1349"/>
    <x v="1796"/>
    <x v="0"/>
    <n v="0"/>
    <s v="LINESTRING (13.799688833351 66.18914201565416, 13.799426404131824 66.18978817053923, 13.799399665884284 66.18983513285553, 13.798972622400559 66.19060513571068, 13.79889694190523 66.19073691439279, 13.798856878743402 66.19080449130217, 13.798793995858063 66.19090378028307, 13.7987869266523 66.19091519259464, 13.798234201350246 66.19185859469151, 13.798047118822634 66.19210490687013)"/>
    <s v="[974168, 974176, 974195, 974212, 974228, 974236, 974244, 974245, 974259]"/>
    <s v="[936516, 936522, 936542, 936558, 936573, 936580, 936590, 936591, 474788]"/>
    <s v="#FIELD!"/>
    <s v="[474781, 936516, 936522, 936542, 936558, 936573, 936580, 936590, 936591]"/>
    <s v="[0.085, 0.114, 0.073, 0.067, 0.079, 0.049, 0.033, 0.007, 0.082]"/>
    <s v="338.80287026142037"/>
    <s v="[-0.085, -0.114, -0.073, -0.067, -0.079, -0.049, 0.033, -0.007, -0.082]"/>
  </r>
  <r>
    <x v="1349"/>
    <x v="1796"/>
    <x v="0"/>
    <n v="0"/>
    <s v="LINESTRING (13.799688833351 66.18914201565416, 13.799218637472764 66.18982948585322, 13.798787719492966 66.19059493596167, 13.798711652573049 66.19072594888335, 13.79867226151642 66.19079292081516, 13.798630359132199 66.19088519424103, 13.798625134048672 66.19089610940041, 13.798134347041923 66.19184377789274, 13.798092433546019 66.19195396959142, 13.798047118822634 66.19210490687013)"/>
    <s v="[974266, 974270, 974271, 974272, 974274, 974281, 974289, 974297, 974321]"/>
    <s v="[936612, 936617, 936618, 936619, 936622, 936628, 936634, 936642, 474788]"/>
    <s v="#FIELD!"/>
    <s v="[474781, 936612, 936617, 936618, 936619, 936622, 936628, 936634, 936642]"/>
    <s v="[0.127, 0.068, 0.005, 0.008, 0.002, 0.018, 0.004, 0.002, 0.109]"/>
    <s v="338.77375435812763"/>
    <s v="[-0.127, -0.068, -0.005, -0.008, 0.002, 0.018, -0.004, 0.002, -0.109]"/>
  </r>
  <r>
    <x v="1350"/>
    <x v="1797"/>
    <x v="0"/>
    <s v="[0, 0, 0, 0, 0, 0, 0, 0, 0, 0, 0, 0, 0, 0, 0, 0, 0, 0, 1, 0, 0, 0, 0, 0, 0, 0, 0, 1, 0, 0, 0, 0, 0, 0, 0, 0, 0, 0, 0, 0, 0, 0, 0, 0, 1, 0, 0, 0, 0, 0, 0, 0, 0, 0, 0, 0, 0, 0, 0, 0, 0, 0, 0, 0, 1, 1, 0]"/>
    <s v="LINESTRING (13.798047118822634 66.19210490687013, 13.79788777638532 66.1923930404912, 13.796994606389369 66.19400254163418, 13.796242879024229 66.19535786333057, 13.793287800562124 66.20040194846065, 13.79320803642757 66.20055010385856, 13.793046694871144 66.20085456558323, 13.792886002086357 66.2011639671945, 13.79205919991881 66.20273003752017, 13.80048598887235 66.20727850365014, 13.801042281689618 66.20748165072256, 13.802990307855445 66.20834263978601, 13.804509162380596 66.20903682144315, 13.811057925370603 66.21128207432729, 13.81204093289552 66.212019983428, 13.820871937925144 66.2142964842899, 13.820958993893175 66.21431343160877, 13.823627453139098 66.21485260429412, 13.825012455148181 66.21523394399786, 13.82526558960144 66.21530548947061, 13.826329015153968 66.21560165301392, 13.838689891320415 66.21888038341699, 13.842468808036086 66.22017346416523, 13.8438081844738 66.22067490106028, 13.846064988969871 66.22112865536239, 13.84782470485415 66.2214141005252, 13.848052721490198 66.22145521075794, 13.851417625783862 66.22219493879263, 13.852813825162697 66.22273922883035, 13.85488021748161 66.2240075960963, 13.855953808762045 66.224759593685, 13.858374173329953 66.22754198213042, 13.858429574861717 66.22757065333356, 13.872201799468371 66.22978836585615, 13.87521810120334 66.23030321340676, 13.882577139255712 66.23100492438792, 13.883171570305596 66.2310620077482, 13.88388188548957 66.2311567545728, 13.887337660749495 66.23184782830465, 13.89207317070878 66.23279654981958, 13.901934619599071 66.23339082653072, 13.902956582079009 66.23338396913509, 13.903045409616544 66.23338181572505, 13.903156289936398 66.23337883119747, 13.909221041546871 66.23277279964486, 13.91033129852328 66.23270324999532, 13.915877301800784 66.23312908210706, 13.921997654073076 66.23487935372333, 13.92329116266246 66.23499905444625, 13.93562768592159 66.23846211377561, 13.9368026322271 66.23857556656873, 13.93866317547413 66.23865792814073, 13.94508653889868 66.23953947468264, 13.945435191534761 66.23961361413336, 13.95012967211332 66.24098609970294, 13.9510404969397 66.24145505162184, 13.955065307743897 66.24489359674578, 13.955908856369069 66.24529968113632, 13.958265918970655 66.24626111971938, 13.960479944065515 66.24653556779725, 13.962380239224688 66.24678941317161, 13.96297105024153 66.24690174688166, 13.972852596397512 66.24879807374205, 13.972991894562128 66.24883146607934, 13.97655585683903 66.25043861048141, 13.976936363568136 66.25071387564252, 13.977054514544744 66.25080215182514, 13.977641648812755 66.25131123016584)"/>
    <s v="[476099, 476107, 476115, 476123, 476139, 476147, 476155, 476163, 476175, 476183, 476191, 476199, 476207, 476215, 476223, 476231, 476239, 1435341, 1435349, 1435357, 476247, 476255, 476263, 476271, 228682, 228690, 228698, 228706, 228714, 1254141, 1254142, 1254155, 1254156, 1254160, 1254168, 1254186, 1254207, 1254236, 1254244, 1254252, 1254253, 1254257, 1254265, 1254266, 1254267, 1254268, 1254283, 1254291, 1254292, 1254300, 476327, 476335, 476343, 476351, 476359, 476367, 476377, 476385, 476393, 476401, 476409, 476417, 476425, 476435, 476443, 476451, 476459]"/>
    <s v="[474789, 474800, 474808, 474818, 474837, 474845, 474853, 436615, 474872, 474882, 436535, 436569, 436219, 379317, 474924, 379370, 474943, 1305304, 1305311, 474953, 379381, 474961, 474970, 233268, 233269, 233277, 233284, 233294, 233301, 1172861, 1172862, 1172867, 1172868, 1172873, 1172880, 1172902, 1172929, 1172968, 1172977, 1172987, 1172988, 1172992, 1172998, 1172999, 1173000, 1173001, 1173015, 1173022, 404028, 475038, 404017, 403999, 445045, 445058, 445061, 475080, 403984, 445005, 403956, 403929, 403912, 475133, 475140, 475151, 475159, 475166, 475173]"/>
    <s v="#FIELD!"/>
    <s v="[474788, 474789, 474800, 474808, 474818, 474837, 474845, 474853, 436615, 474872, 474882, 436535, 436569, 436219, 379317, 474924, 379370, 474943, 1305304, 1305311, 474953, 379381, 474961, 474970, 233268, 233269, 233277, 233284, 233294, 233301, 1172861, 1172862, 1172867, 1172868, 1172873, 1172880, 1172902, 1172929, 1172968, 1172977, 1172987, 1172988, 1172992, 1172998, 1172999, 1173000, 1173001, 1173015, 1173022, 404028, 475038, 404017, 403999, 445045, 445058, 445061, 475080, 403984, 445005, 403956, 403929, 403912, 475133, 475140, 475151, 475159, 475166]"/>
    <s v="[0.0, 0.031, 0.097, 0.026, 0.087, 0.084, 0.093, 0.122, 0.029, 0.015, 0.037, 0.147, 0.036, 0.042, 0.003, 0.014, 0.004, 0.065, 0.023, 0.107, 0.003, 0.011, 0.014, 0.101, 0.061, 0.049, 0.15, 0.033, 0.038, 0.063, 0.039, 0.029, 0.008, 0.068, 0.04, 0.03, 0.012, 0.03, 0.059, 0.042, 0.02, 0.017, 0.016, 0.001, 0.055, 0.017, 0.064, 0.025, 0.032, 0.441, 0.068, 0.023, 0.164, 0.059, 0.06, 0.076, 0.012, 0.013, 0.091, 0.03, 0.033, 0.058, 0.079, 0.02, 0.001, 0.001, 0.001]"/>
    <s v="11870.182382022602"/>
    <s v="[0.0, 0.031, 0.097, 0.026, -0.087, -0.084, -0.093, -0.122, 0.029, -0.015, -0.037, -0.147, -0.036, -0.042, 0.003, 0.014, -0.004, 0.065, 0.023, -0.107, 0.003, -0.011, 0.014, 0.101, 0.061, 0.049, 0.15, 0.033, -0.038, -0.063, -0.039, 0.029, 0.008, -0.068, -0.04, -0.03, 0.012, 0.03, 0.059, 0.042, 0.02, 0.017, 0.016, -0.001, 0.055, 0.017, -0.064, -0.025, 0.032, -0.441, 0.068, 0.023, 0.164, 0.059, -0.06, -0.076, 0.012, -0.013, 0.091, 0.03, -0.033, -0.058, -0.079, -0.02, 0.001, -0.001, -0.001]"/>
  </r>
  <r>
    <x v="1351"/>
    <x v="1798"/>
    <x v="0"/>
    <n v="0"/>
    <s v="LINESTRING (13.977641648812755 66.25131123016584, 13.978168024313698 66.2518319470151, 13.978222508482189 66.2519153888275, 13.978263121853294 66.25198139593543, 13.9783933068628 66.25228775840468, 13.978401538154545 66.25272649366843)"/>
    <s v="[960172, 960180, 960188, 960196, 960204]"/>
    <s v="[926247, 926252, 926256, 926262, 475180]"/>
    <s v="0.0036735912151702045"/>
    <s v="[475173, 926247, 926252, 926256, 926262]"/>
    <s v="[0.016, 0.013, 0.012, 0.012, 0.021]"/>
    <s v="164.16593287044637"/>
    <s v="[0.016, 0.013, 0.012, 0.012, -0.021]"/>
  </r>
  <r>
    <x v="1351"/>
    <x v="1798"/>
    <x v="0"/>
    <n v="0"/>
    <s v="LINESTRING (13.977641648812755 66.25131123016584, 13.978006579582294 66.25185080275257, 13.978056289217102 66.2519367254306, 13.978090876743572 66.25199874512121, 13.978247555859914 66.25230041017124, 13.978282098003392 66.25237291809437, 13.978401538154545 66.25272649366843)"/>
    <s v="[960212, 960220, 960228, 960236, 960244, 960252]"/>
    <s v="[926274, 926279, 926283, 926290, 926296, 475180]"/>
    <s v="0.0036001507171008456"/>
    <s v="[475173, 926274, 926279, 926283, 926290, 926296]"/>
    <s v="[0.013, 0.011, 0.01, 0.012, 0.012, 0.023]"/>
    <s v="161.87513562887102"/>
    <s v="[0.013, 0.011, 0.01, 0.012, 0.012, -0.023]"/>
  </r>
  <r>
    <x v="1352"/>
    <x v="1799"/>
    <x v="130"/>
    <n v="0"/>
    <s v="LINESTRING (13.978401538154545 66.25272649366843, 13.976344418219483 66.25515880253096, 13.976149188735752 66.25546497698323, 13.975251366660398 66.25700300218004, 13.975169710563636 66.25715059541965, 13.974908149623037 66.25767616911979, 13.974882482692232 66.25773261468859, 13.974410601290119 66.26074862198547, 13.974343378395748 66.26096241778805, 13.974345312786498 66.26179574768052, 13.974724135308097 66.26284555457305, 13.975248283716743 66.26422166234224, 13.975862990477948 66.26578837046115, 13.976760930375095 66.26731419772736, 13.977679287800816 66.26854619544888, 13.983630950393316 66.27095904663966, 13.985248684739942 66.27135531200335, 13.986396916414874 66.27163754694986, 13.987904630481024 66.27200859003975, 13.991739409683975 66.27281628960405, 13.997032075279613 66.27282229592477, 13.998041346290458 66.27281121403595, 13.99945241306298 66.27280220244805, 14.000858016167095 66.27282423159369, 14.008769150957297 66.27282135479761, 14.012679478825476 66.27259236050848, 14.01467213264088 66.27262519912303, 14.023017391681245 66.27384827844952, 14.024127461755343 66.27407178031523, 14.029020683583164 66.27514031059296, 14.033455328052767 66.27593774490468, 14.03618022452341 66.27768231069057, 14.038597915264848 66.27991439142124, 14.047653333674923 66.28598751257661, 14.04815262605552 66.28638091150859)"/>
    <s v="[476467, 476476, 476486, 476494, 476502, 476510, 476518, 476526, 476534, 476542, 476548, 476556, 476564, 476572, 476580, 476587, 476595, 476603, 476611, 476619, 476627, 476635, 476643, 476651, 476659, 476667, 476675, 476683, 476691, 476699, 476707, 476715, 476723, 476731]"/>
    <s v="[475181, 475190, 475198, 475205, 475209, 475219, 475228, 434640, 475242, 475251, 377914, 360790, 475267, 475274, 403532, 403514, 403503, 403493, 403465, 403453, 403441, 403430, 475339, 403396, 475357, 475364, 475372, 475380, 475387, 475393, 402958, 403178, 475415, 475424]"/>
    <s v="0.0013125353224864276"/>
    <s v="[475180, 475181, 475190, 475198, 475205, 475209, 475219, 475228, 434640, 475242, 475251, 377914, 360790, 475267, 475274, 403532, 403514, 403503, 403493, 403465, 403453, 403441, 403430, 475339, 403396, 475357, 475364, 475372, 475380, 475387, 475393, 402958, 403178, 475415]"/>
    <s v="[0.041, 0.032, 0.016, 0.003, 0.03, 0.007, 0.067, 0.07, 0.049, 0.065, 0.061, 0.044, 0.095, 0.101, 0.032, 0.001, 0.01, 0.021, 0.022, 0.005, 0.008, 0.0, 0.011, 0.003, 0.035, 0.028, 0.004, 0.016, 0.0, 0.081, 0.021, 0.062, 0.002, 0.011]"/>
    <s v="5985.151032004992"/>
    <s v="[0.041, 0.032, 0.016, -0.003, 0.03, 0.007, 0.067, 0.07, 0.049, 0.065, 0.061, -0.044, -0.095, -0.101, -0.032, -0.001, -0.01, -0.021, -0.022, -0.005, -0.008, -0.0, -0.011, 0.003, 0.035, 0.028, -0.004, -0.016, -0.0, 0.081, -0.021, -0.062, 0.002, 0.011]"/>
  </r>
  <r>
    <x v="1353"/>
    <x v="1800"/>
    <x v="0"/>
    <n v="0"/>
    <s v="LINESTRING (14.04815262605552 66.28638091150859, 14.049154521290316 66.28703222786999, 14.049292802062078 66.28710610665652, 14.049391660259866 66.28715576178548, 14.050104974458469 66.28748528066795, 14.050215411655934 66.28753173120384, 14.050912959924826 66.28776801058656)"/>
    <s v="[960316, 960324, 960332, 960340, 960348, 960360]"/>
    <s v="[926339, 926346, 926352, 926357, 926365, 475432]"/>
    <s v="#FIELD!"/>
    <s v="[475424, 926339, 926346, 926352, 926357, 926365]"/>
    <s v="[0.006, 0.005, 0.003, 0.006, 0.002, 0.024]"/>
    <s v="200.05608518855354"/>
    <s v="[0.006, -0.005, -0.003, -0.006, -0.002, -0.024]"/>
  </r>
  <r>
    <x v="1353"/>
    <x v="1800"/>
    <x v="0"/>
    <n v="0"/>
    <s v="LINESTRING (14.04815262605552 66.28638091150859, 14.049288077924896 66.28698917130006, 14.049429088099256 66.2870610030773, 14.049528352068213 66.28711171930853, 14.050226602342615 66.28744357695102, 14.050912959924826 66.28776801058656)"/>
    <s v="[960536, 960544, 960552, 960560, 960568]"/>
    <s v="[926473, 926474, 926478, 926484, 475432]"/>
    <s v="#FIELD!"/>
    <s v="[475424, 926473, 926474, 926478, 926484]"/>
    <s v="[0.012, 0.002, 0.003, 0.007, 0.03]"/>
    <s v="198.32951867527174"/>
    <s v="[0.012, -0.002, -0.003, -0.007, -0.03]"/>
  </r>
  <r>
    <x v="1354"/>
    <x v="1801"/>
    <x v="0"/>
    <n v="0"/>
    <s v="LINESTRING (14.050912959924826 66.28776801058656, 14.051346772249055 66.28792759882035, 14.051837338548252 66.28808109007045, 14.054731932041033 66.2886179803452, 14.069674908908999 66.29000880787017, 14.073226770758064 66.29002945112691, 14.075346991839774 66.29011927335029, 14.077019304902388 66.29024109359679, 14.07929411631129 66.29051961838115, 14.080865342434404 66.29073935612304, 14.082693251604399 66.2910007874996, 14.083562111175159 66.29113475073036)"/>
    <s v="[476739, 476747, 476755, 476763, 476771, 476779, 476787, 476795, 476803, 476811, 476819]"/>
    <s v="[399872, 475441, 475449, 475455, 475464, 403007, 402907, 475485, 475494, 402862, 475506]"/>
    <s v="0.0014606570016775255"/>
    <s v="[475432, 399872, 475441, 475449, 475455, 475464, 403007, 402907, 475485, 475494, 402862]"/>
    <s v="[0.005, 0.014, 0.014, 0.001, 0.004, 0.007, 0.012, 0.012, 0.006, 0.001, 0.001]"/>
    <s v="1535.6035513596055"/>
    <s v="[-0.005, -0.014, -0.014, 0.001, 0.004, 0.007, 0.012, 0.012, 0.006, 0.001, 0.001]"/>
  </r>
  <r>
    <x v="1355"/>
    <x v="1802"/>
    <x v="0"/>
    <n v="0"/>
    <m/>
    <n v="476768"/>
    <n v="475460"/>
    <s v="#FIELD!"/>
    <n v="475459"/>
    <s v="0.005"/>
    <s v="14.925131165710162"/>
    <s v="#FIELD!"/>
  </r>
  <r>
    <x v="1355"/>
    <x v="1803"/>
    <x v="0"/>
    <n v="0"/>
    <s v="LINESTRING (10.74439863428972 59.66233954458512, 10.744442777024922 59.66229111890481, 10.744087776681237 59.66005629232532, 10.7433456254611 59.65859526640185, 10.743356897051054 59.658511792297766)"/>
    <s v="[1498574, 1498575, 1498582, 1509103]"/>
    <s v="[1356387, 1356388, 1356392, 1364713]"/>
    <s v="5.507788167071082e-05"/>
    <s v="[475459, 1356387, 1356388, 1356392]"/>
    <s v="[0.758, 0.012, 0.006, 0.048]"/>
    <s v="435.4202583140161"/>
    <s v="[0.758, -0.012, -0.006, -0.048]"/>
  </r>
  <r>
    <x v="1355"/>
    <x v="1804"/>
    <x v="0"/>
    <n v="0"/>
    <s v="LINESTRING (10.744244360861266 59.662518865360596, 10.744195405127671 59.66247051669533, 10.744207356524074 59.66240436505066, 10.744319395472642 59.66234776005846, 10.74439863428972 59.66233954458512)"/>
    <s v="[476807, 476815, 476823, 476831]"/>
    <s v="[475497, 475502, 475508, 475459]"/>
    <s v="#FIELD!"/>
    <s v="[475488, 475497, 475502, 475508]"/>
    <s v="[0.003, 0.01, 0.016, 0.018]"/>
    <s v="26.944813904841666"/>
    <s v="[-0.003, -0.01, -0.016, -0.018]"/>
  </r>
  <r>
    <x v="1356"/>
    <x v="1805"/>
    <x v="0"/>
    <n v="0"/>
    <s v="LINESTRING (10.744604492957404 59.66241187436387, 10.744596147105824 59.66249163101651, 10.744506369811628 59.662540866890495)"/>
    <s v="[476783, 476791]"/>
    <s v="[475473, 475480]"/>
    <s v="0.014280745876191292"/>
    <s v="[475460, 475473]"/>
    <s v="[0.012, 0.017]"/>
    <s v="16.365814622593454"/>
    <s v="[0.012, 0.017]"/>
  </r>
  <r>
    <x v="1356"/>
    <x v="1806"/>
    <x v="0"/>
    <s v="[0, 0, 1, 1, 1, 0, 0]"/>
    <s v="LINESTRING (10.744604492957404 59.66241187436387, 10.744712564809824 59.66243622901442, 10.744846851561858 59.66246883563055, 10.745192215747581 59.6625372895291, 10.745697849297166 59.66260097672798, 10.745783163676135 59.66260482705418, 10.745934564847198 59.66260327078369, 10.74610403519915 59.662615339466406)"/>
    <s v="[1510888, 1510896, 1510904, 1510912, 1510920, 1510928, 1510936]"/>
    <s v="[1366311, 1366318, 1366323, 1366333, 1366342, 1366349, 475527]"/>
    <s v="#FIELD!"/>
    <s v="[475460, 1366311, 1366318, 1366323, 1366333, 1366342, 1366349]"/>
    <s v="[0.63, 0.109, 0.104, 0.03, 0.069, 0.073, 0.336]"/>
    <s v="88.49655964306993"/>
    <s v="[0.63, -0.109, -0.104, 0.03, 0.069, 0.073, -0.336]"/>
  </r>
  <r>
    <x v="1357"/>
    <x v="1804"/>
    <x v="0"/>
    <n v="0"/>
    <m/>
    <n v="476799"/>
    <n v="475488"/>
    <s v="0.01"/>
    <n v="475480"/>
    <s v="0.01"/>
    <s v="15.863837684532427"/>
    <s v="0.01"/>
  </r>
  <r>
    <x v="1357"/>
    <x v="1807"/>
    <x v="0"/>
    <s v="[0, 0, 1, 1, 1, 0, 0]"/>
    <s v="LINESTRING (10.744506369811628 59.662540866890495, 10.744650775264967 59.66254822055989, 10.744803143683084 59.66255500553645, 10.745166431656758 59.66258739989682, 10.745657995063047 59.66267079892349, 10.745735200893346 59.662688691966764, 10.745848761161454 59.66272050734932, 10.746022162715084 59.6627759727593)"/>
    <s v="[1516862, 1516870, 1516894, 1516895, 1516910, 1516911, 1516926]"/>
    <s v="[1371766, 1371772, 1371796, 1371797, 1371811, 1371812, 475570]"/>
    <s v="#FIELD!"/>
    <s v="[475480, 1371766, 1371772, 1371796, 1371797, 1371811, 1371812]"/>
    <s v="[0.552, 0.115, 0.116, 0.012, 0.046, 0.037, 0.213]"/>
    <s v="90.51472118109649"/>
    <s v="[0.552, -0.115, -0.116, 0.012, 0.046, 0.037, -0.213]"/>
  </r>
  <r>
    <x v="1358"/>
    <x v="1808"/>
    <x v="0"/>
    <n v="0"/>
    <s v="LINESTRING (10.745215809507904 59.66602315822322, 10.745184625155254 59.66596273580339, 10.744329932259003 59.66260077461906, 10.744244360861266 59.662518865360596)"/>
    <s v="[1509120, 1536362, 1536370]"/>
    <s v="[1364731, 1388434, 475488]"/>
    <s v="0.020186995435144663"/>
    <s v="[1364730, 1364731, 1388434]"/>
    <s v="[0.083, 0.029, 0.347]"/>
    <s v="397.8550674504848"/>
    <s v="[0.083, 0.029, -0.347]"/>
  </r>
  <r>
    <x v="1359"/>
    <x v="1809"/>
    <x v="0"/>
    <s v="[0, 0, 0, 0, 0, 1, 0, 0]"/>
    <s v="LINESTRING (14.083562111175159 66.29113475073036, 14.085353397706864 66.2915548741896, 14.085421729069163 66.29158089137997, 14.08550993579093 66.29161447225138, 14.085633537518769 66.29165852527528, 14.086092995064785 66.29182991030369, 14.086472140142794 66.29197201280938, 14.086640646776566 66.29203670437494, 14.087479371429184 66.29234874256177)"/>
    <s v="[960721, 960729, 960737, 960745, 960753, 960761, 960775, 960783]"/>
    <s v="[926579, 926583, 926588, 926594, 926599, 926605, 926613, 475514]"/>
    <s v="0.006537908135585716"/>
    <s v="[475506, 926579, 926583, 926588, 926594, 926599, 926605, 926613]"/>
    <s v="[0.005, 0.022, 0.027, 0.02, 0.019, 0.014, 0.007, 0.012]"/>
    <s v="224.14560645338528"/>
    <s v="[-0.005, 0.022, 0.027, 0.02, 0.019, 0.014, 0.007, 0.012]"/>
  </r>
  <r>
    <x v="1359"/>
    <x v="1809"/>
    <x v="0"/>
    <s v="[0, 0, 0, 0, 0, 1, 0, 0, 0]"/>
    <s v="LINESTRING (14.083562111175159 66.29113475073036, 14.085249661184696 66.29161258199429, 14.085307094074453 66.29163304421802, 14.085406578065284 66.29166850385499, 14.085519560133132 66.29170975801792, 14.085984731713065 66.2918840031683, 14.086374605283565 66.29203083444582, 14.086528850753385 66.29208557308218, 14.086670646986873 66.29213449632064, 14.087479371429184 66.29234874256177)"/>
    <s v="[960793, 960801, 960809, 960817, 960825, 960833, 960841, 960849, 960857]"/>
    <s v="[926623, 926627, 926635, 926639, 926644, 926647, 926653, 926658, 475514]"/>
    <s v="0.0066193869886699355"/>
    <s v="[475506, 926623, 926627, 926635, 926639, 926644, 926647, 926653, 926658]"/>
    <s v="[0.01, 0.029, 0.023, 0.023, 0.019, 0.012, 0.01, 0.015, 0.022]"/>
    <s v="222.6576798761344"/>
    <s v="[-0.01, 0.029, 0.023, 0.023, 0.019, 0.012, 0.01, 0.015, 0.022]"/>
  </r>
  <r>
    <x v="1360"/>
    <x v="1810"/>
    <x v="131"/>
    <n v="0"/>
    <s v="LINESTRING (14.087479371429184 66.29234874256177, 14.103853152869693 66.29951713997508, 14.104892808400752 66.29961906591319, 14.108355848507152 66.29978115987873, 14.112308608426238 66.30095780573987, 14.112523001260959 66.3010818020254, 14.112819908010536 66.3012745096461, 14.117594826698516 66.30404799785536, 14.118020123685367 66.30414273198194, 14.123687067858294 66.3043726267098, 14.125613438666722 66.30443666440222, 14.127272411779508 66.30449932137844, 14.128204494506445 66.30450592198204)"/>
    <s v="[476827, 476835, 476843, 476851, 476859, 476867, 476875, 476883, 476891, 476899, 476907, 1666629]"/>
    <s v="[402630, 475523, 475534, 475541, 475551, 475559, 475567, 475575, 475579, 475587, 475597, 1494993]"/>
    <s v="0.00036177609997503033"/>
    <s v="[475514, 402630, 475523, 475534, 475541, 475551, 475559, 475567, 475575, 475579, 475587, 475597]"/>
    <s v="[0.015, 0.096, 0.031, 0.03, 0.095, 0.101, 0.036, 0.017, 0.018, 0.018, 0.014, 0.018]"/>
    <s v="2462.53270339158"/>
    <s v="[0.015, -0.096, 0.031, -0.03, -0.095, -0.101, -0.036, 0.017, 0.018, 0.018, 0.014, 0.018]"/>
  </r>
  <r>
    <x v="1361"/>
    <x v="1811"/>
    <x v="0"/>
    <n v="0"/>
    <m/>
    <n v="476839"/>
    <n v="475528"/>
    <s v="#FIELD!"/>
    <n v="475527"/>
    <s v="0.007"/>
    <s v="8.416703630233837"/>
    <s v="#FIELD!"/>
  </r>
  <r>
    <x v="1361"/>
    <x v="1807"/>
    <x v="0"/>
    <n v="0"/>
    <s v="LINESTRING (10.746022162715084 59.6627759727593, 10.745985779580087 59.66267893752018, 10.74610403519915 59.662615339466406)"/>
    <s v="[476887, 476895]"/>
    <s v="[475576, 475527]"/>
    <s v="#FIELD!"/>
    <s v="[475570, 475576]"/>
    <s v="[0.002, 0.004]"/>
    <s v="21.331986611459634"/>
    <s v="[0.002, -0.004]"/>
  </r>
  <r>
    <x v="1362"/>
    <x v="1812"/>
    <x v="0"/>
    <n v="0"/>
    <s v="LINESTRING (10.7462533090541 59.6626154221873, 10.746317339880752 59.66263602513207, 10.746377386905134 59.66273005223799, 10.746228608620893 59.6628101034273, 10.746178094941925 59.662813228454915)"/>
    <s v="[476847, 476855, 476863, 476871]"/>
    <s v="[475537, 475544, 475555, 475562]"/>
    <s v="#FIELD!"/>
    <s v="[475528, 475537, 475544, 475555]"/>
    <s v="[0.008, 0.006, 0.003, 0.01]"/>
    <s v="31.2633630079186"/>
    <s v="[-0.008, -0.006, 0.003, 0.01]"/>
  </r>
  <r>
    <x v="1362"/>
    <x v="1813"/>
    <x v="0"/>
    <n v="0"/>
    <s v="LINESTRING (10.743905165476006 59.65897492692193, 10.744022160375712 59.659019192710694, 10.7462119584084 59.66255179237168, 10.7462533090541 59.6626154221873)"/>
    <s v="[1509095, 1498551, 1498558]"/>
    <s v="[1356370, 1356371, 475528]"/>
    <s v="#FIELD!"/>
    <s v="[1361685, 1356370, 1356371]"/>
    <s v="[0.02, 0.007, 0.442]"/>
    <s v="428.7987777000886"/>
    <s v="[0.02, 0.007, -0.442]"/>
  </r>
  <r>
    <x v="1363"/>
    <x v="1807"/>
    <x v="0"/>
    <n v="0"/>
    <m/>
    <n v="476879"/>
    <n v="475570"/>
    <s v="0.01"/>
    <n v="475562"/>
    <s v="0.01"/>
    <s v="9.961528549510547"/>
    <s v="0.01"/>
  </r>
  <r>
    <x v="1363"/>
    <x v="1814"/>
    <x v="0"/>
    <n v="0"/>
    <s v="LINESTRING (10.746178094941925 59.662813228454915, 10.746163785064944 59.66285457592002, 10.745723644118618 59.66468451471332, 10.745588819011335 59.665956982659736, 10.745530392104785 59.66602522148949)"/>
    <s v="[1536338, 1536346, 1536354, 1509112]"/>
    <s v="[1388413, 1388421, 1364722, 1361738]"/>
    <s v="#FIELD!"/>
    <s v="[475562, 1388413, 1388421, 1364722]"/>
    <s v="[0.534, 0.031, 0.023, 0.041]"/>
    <s v="360.76808693241725"/>
    <s v="[0.534, -0.031, -0.023, -0.041]"/>
  </r>
  <r>
    <x v="1364"/>
    <x v="1810"/>
    <x v="0"/>
    <n v="0"/>
    <s v="LINESTRING (14.128204494506445 66.30450592198204, 14.128388525302013 66.30448198459172, 14.129813504085774 66.30467558513088, 14.130253455242848 66.30479767812875)"/>
    <s v="[1666632, 1666637, 1666645]"/>
    <s v="[1494997, 1495001, 475605]"/>
    <s v="0.020712489990318633"/>
    <s v="[1494993, 1494997, 1495001]"/>
    <s v="[0.04, 0.023, 0.007]"/>
    <s v="101.0902502113403"/>
    <s v="[0.04, 0.023, 0.007]"/>
  </r>
  <r>
    <x v="1364"/>
    <x v="1810"/>
    <x v="0"/>
    <n v="0"/>
    <s v="LINESTRING (14.128204494506445 66.30450592198204, 14.128360480894624 66.30455188934162, 14.129764090885852 66.30472314704018, 14.129983869429775 66.3047579497277, 14.130253455242848 66.30479767812875)"/>
    <s v="[1666678, 1666693, 1666694, 1666699]"/>
    <s v="[1495035, 1495044, 1495045, 475605]"/>
    <s v="0.021445797615879312"/>
    <s v="[1494993, 1495035, 1495044, 1495045]"/>
    <s v="[0.014, 0.026, 0.019, 0.024]"/>
    <s v="98.09421569163804"/>
    <s v="[-0.014, 0.026, 0.019, 0.024]"/>
  </r>
  <r>
    <x v="1365"/>
    <x v="1815"/>
    <x v="0"/>
    <n v="0"/>
    <s v="LINESTRING (15.40223442418095 66.81241197435995, 15.402066424508828 66.81250727688294, 15.40196074807936 66.81255578157857, 15.400631189622377 66.81315728420303, 15.400468460244305 66.81323171451557, 15.39974726982721 66.81355595897453, 15.398653159507385 66.81405085927558)"/>
    <s v="[1260069, 1260077, 1260078, 1260079, 1260082, 1260090]"/>
    <s v="[1177611, 1177621, 1177622, 1177623, 1177626, 476550]"/>
    <s v="#FIELD!"/>
    <s v="[476541, 1177611, 1177621, 1177622, 1177623, 1177626]"/>
    <s v="[1.24, 0.001, 0.004, 0.006, 0.09, 0.168]"/>
    <s v="241.28417540568938"/>
    <s v="[-1.24, 0.001, 0.004, 0.006, 0.09, -0.168]"/>
  </r>
  <r>
    <x v="1365"/>
    <x v="1815"/>
    <x v="0"/>
    <n v="0"/>
    <s v="LINESTRING (15.40223442418095 66.81241197435995, 15.401863178099834 66.81254889776409, 15.400485693405187 66.81311744557468, 15.400424345505968 66.81314482732803, 15.400268749504534 66.8132142785148, 15.399585516268559 66.81352838782223, 15.399420596009291 66.81360700297314, 15.398653159507385 66.81405085927558)"/>
    <s v="[1260098, 1260099, 1260106, 1260108, 1260114, 1260115, 1260130]"/>
    <s v="[1177638, 1177639, 1177647, 1177648, 1177652, 1177653, 476550]"/>
    <s v="#FIELD!"/>
    <s v="[476541, 1177638, 1177639, 1177647, 1177648, 1177652, 1177653]"/>
    <s v="[0.718, 0.004, 0.005, 0.007, 0.079, 0.124, 0.217]"/>
    <s v="241.99467071335852"/>
    <s v="[-0.718, 0.004, 0.005, 0.007, 0.079, 0.124, -0.217]"/>
  </r>
  <r>
    <x v="1365"/>
    <x v="1816"/>
    <x v="0"/>
    <n v="0"/>
    <s v="LINESTRING (15.413977066179655 66.80710512170971, 15.409637991491 66.80906429349983, 15.407422904408614 66.81006287083345, 15.406115085184554 66.81065812958616, 15.404260200742636 66.81149546378337, 15.4034675685206 66.8118550916366, 15.40223442418095 66.81241197435995)"/>
    <s v="[1197608, 1197616, 1197624, 1197632, 477822, 477830]"/>
    <s v="[1123499, 404841, 404871, 404915, 476533, 476541]"/>
    <s v="#FIELD!"/>
    <s v="[957794, 1123499, 404841, 404871, 404915, 476533]"/>
    <s v="[0.115, 0.073, 0.037, 0.2, 0.041, 0.134]"/>
    <s v="785.0054856690612"/>
    <s v="[-0.115, -0.073, -0.037, 0.2, -0.041, -0.134]"/>
  </r>
  <r>
    <x v="1366"/>
    <x v="1817"/>
    <x v="0"/>
    <s v="[0, 0, 0, 0, 0, 0, 0, 0, 0, 0, 0, 1, 0, 0, 0, 0, 0, 0, 0, 0, 0, 0, 0, 0, 0, 0, 0, 0, 0, 0, 0, 0, 0, 0, 0, 0, 0, 0, 0, 0]"/>
    <s v="LINESTRING (15.398653159507385 66.81405085927558, 15.398246911758731 66.8142919415797, 15.39764909518735 66.81480585823556, 15.397274502699055 66.81559820394158, 15.3971532913542 66.81621058622659, 15.397088237572367 66.81653746617768, 15.394781459618947 66.81860966451767, 15.3911611640409 66.82022999320347, 15.38751314443262 66.82185647755306, 15.374790758120662 66.8276328517104, 15.366171812741925 66.83134530199659, 15.364036332858475 66.83235055877877, 15.3636267104934 66.8325147684149, 15.350911078791501 66.83650280652834, 15.337917076306116 66.83947151207106, 15.321080780635913 66.84425503302876, 15.320347654115395 66.84462126768412, 15.316440648437922 66.8484728071373, 15.316245413294517 66.84963837586628, 15.316037227510572 66.85018962000109, 15.314894655572035 66.85612424144585, 15.31477351264891 66.85666004209861, 15.312723195158377 66.85814899682366, 15.307627226285577 66.86085933507495, 15.307587301548923 66.86088342715256, 15.305303047032629 66.8623097905312, 15.304323392354641 66.86301623351616, 15.300531121142557 66.86544971181434, 15.299875791322728 66.86643467860769, 15.299796282521772 66.86672597253151, 15.29729347861799 66.87225236432022, 15.291538220335385 66.87527345261147, 15.290939474121801 66.88231886390133, 15.29896891486255 66.89311245978827, 15.302033776008475 66.89624027890184, 15.303518818957775 66.89768128730381, 15.304362015628046 66.8984037640117, 15.30642803738853 66.90003484750419, 15.30998895505235 66.90487537748767, 15.310851866009292 66.90804000241164, 15.32184552377754 66.92285669061258)"/>
    <s v="[477838, 477846, 477854, 477862, 477870, 477878, 477885, 477893, 477901, 477909, 477917, 477925, 477933, 477941, 477949, 477957, 477965, 477973, 477981, 477989, 477997, 478005, 478013, 478021, 478029, 478037, 478045, 478053, 478061, 478069, 478077, 478085, 478093, 478101, 478109, 478117, 478125, 478133, 478141, 478149]"/>
    <s v="[476551, 423954, 476569, 476577, 476587, 423632, 404957, 476611, 457673, 457715, 476629, 476636, 405009, 423774, 476663, 405030, 423141, 476683, 476693, 476701, 476710, 405041, 415063, 422787, 476740, 476748, 470966, 457783, 476772, 476782, 423939, 423539, 400882, 459050, 476819, 400872, 423163, 476843, 476851, 476859]"/>
    <s v="#FIELD!"/>
    <s v="[476550, 476551, 423954, 476569, 476577, 476587, 423632, 404957, 476611, 457673, 457715, 476629, 476636, 405009, 423774, 476663, 405030, 423141, 476683, 476693, 476701, 476710, 405041, 415063, 422787, 476740, 476748, 470966, 457783, 476772, 476782, 423939, 423539, 400882, 459050, 476819, 400872, 423163, 476843, 476851]"/>
    <s v="[0.092, 0.088, 0.02, 0.004, 0.107, 0.121, 0.121, 0.097, 0.095, 0.009, 0.021, 0.058, 0.027, 0.024, 0.017, 0.031, 0.056, 0.011, 0.019, 0.033, 0.089, 0.002, 0.035, 0.005, 0.002, 0.007, 0.009, 0.007, 0.004, 0.003, 0.01, 0.002, 0.0, 0.02, 0.006, 0.002, 0.009, 0.007, 0.005, 0.001]"/>
    <s v="14428.860251270606"/>
    <s v="[-0.092, -0.088, -0.02, 0.004, 0.107, 0.121, 0.121, 0.097, -0.095, 0.009, 0.021, 0.058, 0.027, -0.024, 0.017, 0.031, -0.056, -0.011, -0.019, -0.033, 0.089, -0.002, -0.035, -0.005, 0.002, 0.007, -0.009, -0.007, -0.004, -0.003, -0.01, -0.002, -0.0, -0.02, -0.006, -0.002, 0.009, -0.007, -0.005, -0.001]"/>
  </r>
  <r>
    <x v="1367"/>
    <x v="1818"/>
    <x v="0"/>
    <n v="0"/>
    <s v="LINESTRING (15.32184552377754 66.92285669061258, 15.322486360837495 66.92371641781095, 15.322551165529216 66.92378303658441, 15.323315093853145 66.92439821311278, 15.323471002602274 66.92450534566072, 15.32354719947718 66.92455651133146, 15.3249494975483 66.92563851877593)"/>
    <s v="[1771006, 1771014, 1771022, 1771030, 1771038, 1771046]"/>
    <s v="[1562941, 1562951, 1562959, 1562965, 352535, 476864]"/>
    <s v="0.002207325306944482"/>
    <s v="[476859, 1562941, 1562951, 1562959, 1562965, 352535]"/>
    <s v="[0.095, 0.028, 0.037, 0.038, 0.044, 0.093]"/>
    <s v="340.0831968037618"/>
    <s v="[0.095, 0.028, 0.037, 0.038, 0.044, -0.093]"/>
  </r>
  <r>
    <x v="1367"/>
    <x v="1818"/>
    <x v="0"/>
    <n v="0"/>
    <s v="LINESTRING (15.32184552377754 66.92285669061258, 15.322345496886289 66.92381142481297, 15.323136494598769 66.92443892668508, 15.32329273829769 66.92454549357521, 15.32336174731063 66.92459257439656, 15.3249494975483 66.92563851877593)"/>
    <s v="[1771054, 1771062, 1771070, 1771078, 1771086]"/>
    <s v="[1562985, 1562992, 1562998, 352536, 476864]"/>
    <s v="0.00207833408992794"/>
    <s v="[476859, 1562985, 1562992, 1562998, 352536]"/>
    <s v="[0.079, 0.038, 0.039, 0.044, 0.086]"/>
    <s v="342.62762060107855"/>
    <s v="[0.079, 0.038, 0.039, 0.044, -0.086]"/>
  </r>
  <r>
    <x v="1368"/>
    <x v="1819"/>
    <x v="0"/>
    <n v="0"/>
    <m/>
    <n v="478157"/>
    <n v="476865"/>
    <s v="#FIELD!"/>
    <n v="476864"/>
    <s v="0.003"/>
    <s v="1242.0351480857694"/>
    <s v="#FIELD!"/>
  </r>
  <r>
    <x v="1369"/>
    <x v="1820"/>
    <x v="0"/>
    <n v="0"/>
    <s v="LINESTRING (15.315364911701845 66.93539410908505, 15.315304917886273 66.93549901393632, 15.314867675469497 66.93665908177088, 15.314854611041016 66.93668371405748, 15.314803247586996 66.93678065362124, 15.314778838409737 66.9368267032944, 15.31424877850615 66.93749577642794, 15.314170879473313 66.93757708765582, 15.313369916859168 66.93828820941694)"/>
    <s v="[1770854, 1770862, 1770870, 1770878, 1770886, 1770894, 1770902, 1770910]"/>
    <s v="[1562829, 1562835, 1562800, 1562780, 1562849, 1562855, 1562862, 476875]"/>
    <s v="#FIELD!"/>
    <s v="[476865, 1562829, 1562835, 1562800, 1562780, 1562849, 1562855, 1562862]"/>
    <s v="[0.136, 0.003, 0.015, 0.011, 0.01, 0.009, 0.006, 0.051]"/>
    <s v="336.3001821870258"/>
    <s v="[0.136, -0.003, 0.015, 0.011, 0.01, 0.009, 0.006, -0.051]"/>
  </r>
  <r>
    <x v="1369"/>
    <x v="1820"/>
    <x v="0"/>
    <n v="0"/>
    <s v="LINESTRING (15.315364911701845 66.93539410908505, 15.315378316508978 66.93550220524115, 15.315032484804973 66.93667451625596, 15.315021870828975 66.93669580662826, 15.314971708459963 66.93679181989191, 15.31494187155732 66.93684445581307, 15.314395547453179 66.93751859420814, 15.313369916859168 66.93828820941694)"/>
    <s v="[1770918, 1770926, 1770934, 1770942, 1770950, 1770958, 1770966]"/>
    <s v="[1562876, 1562882, 1562801, 1562781, 1562897, 1562904, 476875]"/>
    <s v="#FIELD!"/>
    <s v="[476865, 1562876, 1562882, 1562801, 1562781, 1562897, 1562904]"/>
    <s v="[0.156, 0.003, 0.011, 0.016, 0.017, 0.011, 0.044]"/>
    <s v="339.11845116178995"/>
    <s v="[0.156, -0.003, -0.011, -0.016, -0.017, 0.011, -0.044]"/>
  </r>
  <r>
    <x v="1370"/>
    <x v="1821"/>
    <x v="0"/>
    <n v="0"/>
    <m/>
    <n v="478165"/>
    <n v="476876"/>
    <s v="#FIELD!"/>
    <n v="476875"/>
    <s v="0.007"/>
    <s v="537.4389208808002"/>
    <s v="#FIELD!"/>
  </r>
  <r>
    <x v="1371"/>
    <x v="1822"/>
    <x v="0"/>
    <n v="0"/>
    <s v="LINESTRING (15.305806618122844 66.94208657380638, 15.30429116477209 66.94297882944521, 15.304229174227196 66.94302061661617, 15.30320241286119 66.94380431354368, 15.303170609097924 66.94383212030094, 15.303072623821247 66.943927575012, 15.302143633516424 66.94501997170431)"/>
    <s v="[1770686, 1770694, 1770702, 1770710, 1770718, 1770726]"/>
    <s v="[1562697, 1562705, 1562710, 1562686, 1562672, 476884]"/>
    <s v="#FIELD!"/>
    <s v="[476876, 1562697, 1562705, 1562710, 1562686, 1562672]"/>
    <s v="[0.171, 0.044, 0.021, 0.054, 0.057, 0.135]"/>
    <s v="366.58220016342716"/>
    <s v="[0.171, -0.044, -0.021, -0.054, -0.057, -0.135]"/>
  </r>
  <r>
    <x v="1371"/>
    <x v="1822"/>
    <x v="0"/>
    <n v="0"/>
    <s v="LINESTRING (15.305806618122844 66.94208657380638, 15.304078690858617 66.94298069857392, 15.303032349940608 66.94377629998064, 15.303001997233258 66.94380488437733, 15.302904097366724 66.94389989029123, 15.302143633516424 66.94501997170431)"/>
    <s v="[1770734, 1770742, 1770750, 1770758, 1770766]"/>
    <s v="[1562736, 1562742, 1562678, 1562668, 476884]"/>
    <s v="#FIELD!"/>
    <s v="[476876, 1562736, 1562742, 1562678, 1562668]"/>
    <s v="[0.167, 0.014, 0.021, 0.062, 0.145]"/>
    <s v="369.54836453168684"/>
    <s v="[0.167, -0.014, -0.021, -0.062, -0.145]"/>
  </r>
  <r>
    <x v="1372"/>
    <x v="1823"/>
    <x v="0"/>
    <n v="0"/>
    <s v="LINESTRING (15.302143633516424 66.94501997170431, 15.311139032026565 66.96965439903329, 15.313563104349477 66.97345889875274, 15.314610099303941 66.97511118238133, 15.31523618166722 66.97611269909532, 15.315272882668758 66.9776250724441, 15.315322575477147 66.97925919511701, 15.315471744799822 66.97988516106591)"/>
    <s v="[478173, 478181, 478189, 478197, 478205, 478213, 478221]"/>
    <s v="[476885, 476895, 457898, 476914, 476923, 476932, 476941]"/>
    <s v="#FIELD!"/>
    <s v="[476884, 476885, 476895, 457898, 476914, 476923, 476932]"/>
    <s v="[0.005, 0.026, 0.003, 0.008, 0.004, 0.003, 0.001]"/>
    <s v="4005.9231438948523"/>
    <s v="[-0.005, -0.026, 0.003, -0.008, -0.004, 0.003, -0.001]"/>
  </r>
  <r>
    <x v="1373"/>
    <x v="1824"/>
    <x v="0"/>
    <s v="[0, 1, 0]"/>
    <s v="LINESTRING (10.784385866691016 59.724289467289864, 10.785188422478917 59.72429278635414, 10.786108577269685 59.72429538376902, 10.786840785794514 59.72429885982338)"/>
    <s v="[478212, 478220, 478228]"/>
    <s v="[476931, 476940, 476947]"/>
    <s v="0.0007173835853325763"/>
    <s v="[476930, 476931, 476940]"/>
    <s v="[0.047, 0.012, 0.069]"/>
    <s v="138.166584552221"/>
    <s v="[-0.047, -0.012, 0.069]"/>
  </r>
  <r>
    <x v="1373"/>
    <x v="1825"/>
    <x v="0"/>
    <n v="0"/>
    <s v="LINESTRING (10.783871504506024 59.72436923087052, 10.783999208576713 59.724353887850505, 10.784385866691016 59.724289467289864)"/>
    <s v="[478531, 478539]"/>
    <s v="[477289, 476930]"/>
    <s v="#FIELD!"/>
    <s v="[477288, 477289]"/>
    <s v="[0.041, 0.039]"/>
    <s v="30.565593569797898"/>
    <s v="[-0.041, -0.039]"/>
  </r>
  <r>
    <x v="1373"/>
    <x v="1826"/>
    <x v="0"/>
    <n v="0"/>
    <s v="LINESTRING (10.783868544037439 59.72422393889315, 10.783987787680488 59.724237996242586, 10.784385866691016 59.724289467289864)"/>
    <s v="[515973, 515981]"/>
    <s v="[522540, 476930]"/>
    <s v="#FIELD!"/>
    <s v="[477789, 522540]"/>
    <s v="[0.052, 0.051]"/>
    <s v="30.01790621995767"/>
    <s v="[-0.052, -0.051]"/>
  </r>
  <r>
    <x v="1374"/>
    <x v="1827"/>
    <x v="0"/>
    <n v="0"/>
    <s v="LINESTRING (15.315471744799822 66.97988516106591, 15.315863971210028 66.9806329668311, 15.315890409201367 66.98068541003788, 15.316371548687744 66.98157904271575, 15.316387787869722 66.98160833516972, 15.316432186278165 66.98168655085198, 15.316473633936686 66.98175988343843, 15.317052732595924 66.98267005811014, 15.317234789414798 66.9829687555612)"/>
    <s v="[1770470, 1770478, 1770486, 1770494, 1770502, 1770510, 1770518, 1770526]"/>
    <s v="[1562520, 1562526, 1562532, 1562535, 1562545, 1562550, 1562558, 476948]"/>
    <s v="#FIELD!"/>
    <s v="[476941, 1562520, 1562526, 1562532, 1562535, 1562545, 1562550, 1562558]"/>
    <s v="[0.111, 0.022, 0.007, 0.001, 0.012, 0.01, 0.025, 0.233]"/>
    <s v="352.3557821964914"/>
    <s v="[0.111, 0.022, 0.007, -0.001, -0.012, -0.01, -0.025, -0.233]"/>
  </r>
  <r>
    <x v="1374"/>
    <x v="1827"/>
    <x v="0"/>
    <n v="0"/>
    <s v="LINESTRING (15.315471744799822 66.97988516106591, 15.315699606935068 66.980697872265, 15.316169046787508 66.98159818492248, 15.316191720310531 66.98163413870051, 15.316244117876801 66.98171070588843, 15.316291843528937 66.98178043781364, 15.316941656153226 66.98268309843166, 15.317025690299063 66.9827952333698, 15.317234789414798 66.9829687555612)"/>
    <s v="[1770534, 1770542, 1770550, 1770558, 1770566, 1770574, 1770582, 1770590]"/>
    <s v="[1562570, 1562578, 1562583, 1562591, 1562600, 1562605, 1562614, 476948]"/>
    <s v="#FIELD!"/>
    <s v="[476941, 1562570, 1562578, 1562583, 1562591, 1562600, 1562605, 1562614]"/>
    <s v="[0.085, 0.012, 0.004, 0.001, 0.002, 0.018, 0.042, 0.33]"/>
    <s v="353.6896791741447"/>
    <s v="[0.085, 0.012, 0.004, 0.001, 0.002, -0.018, -0.042, -0.33]"/>
  </r>
  <r>
    <x v="1375"/>
    <x v="1828"/>
    <x v="0"/>
    <n v="0"/>
    <s v="LINESTRING (10.786840785794514 59.72429885982338, 10.787101481845179 59.724344892382824, 10.787215516376804 59.72435720587064)"/>
    <s v="[478547, 478555]"/>
    <s v="[477304, 477311]"/>
    <s v="0.053450991148532426"/>
    <s v="[476947, 477304]"/>
    <s v="[0.052, 0.057]"/>
    <s v="22.615192036004274"/>
    <s v="[0.052, 0.057]"/>
  </r>
  <r>
    <x v="1375"/>
    <x v="1829"/>
    <x v="0"/>
    <n v="0"/>
    <s v="LINESTRING (10.786840785794514 59.72429885982338, 10.787087548687031 59.72424207528437, 10.787233316582926 59.72421589015353)"/>
    <s v="[515989, 515997]"/>
    <s v="[522557, 522565]"/>
    <s v="0.07658564240628228"/>
    <s v="[476947, 522557]"/>
    <s v="[0.078, 0.074]"/>
    <s v="24.625523671791754"/>
    <s v="[0.078, 0.074]"/>
  </r>
  <r>
    <x v="1376"/>
    <x v="1830"/>
    <x v="132"/>
    <s v="[0, 0, 0, 0, 0, 0, 0, 0, 0, 0, 0, 0, 0, 0, 0, 1, 0]"/>
    <s v="LINESTRING (15.317234789414798 66.9829687555612, 15.317555411014668 66.98332135837042, 15.317607657595502 66.98337518504181, 15.317705971470474 66.98347643672767, 15.317729944210651 66.98350098610959, 15.324734061504923 66.9881889201065, 15.334560624124943 66.99305075706958, 15.348226581098576 66.99987461962849, 15.350124909787601 67.00131004068855, 15.350958294931349 67.00220921687776, 15.35245756503928 67.01023275580401, 15.35204720929376 67.01559497387545, 15.351900847762057 67.01570674745882, 15.350822434935635 67.01657329548651, 15.35063655776544 67.01674672873017, 15.349746480489951 67.01797690576319, 15.349519436879458 67.018803949742, 15.35898409338701 67.02638946359173)"/>
    <s v="[478229, 478237, 478245, 478253, 478261, 478269, 478277, 478285, 478293, 478301, 478309, 478317, 478325, 478333, 478341, 478349, 478357]"/>
    <s v="[476949, 476960, 476972, 476983, 476992, 414971, 477006, 477016, 477022, 446076, 477039, 410610, 410647, 477065, 477074, 477084, 477095]"/>
    <s v="#FIELD!"/>
    <s v="[476948, 476949, 476960, 476972, 476983, 476992, 414971, 477006, 477016, 477022, 446076, 477039, 410610, 410647, 477065, 477074, 477084]"/>
    <s v="[0.005, 0.008, 0.007, 0.0, 0.0, 0.022, 0.016, 0.004, 0.002, 0.012, 0.026, 0.005, 0.008, 0.008, 0.0, 0.006, 0.003]"/>
    <s v="5468.293251154273"/>
    <s v="[-0.005, -0.008, -0.007, 0.0, 0.0, 0.022, -0.016, -0.004, 0.002, 0.012, -0.026, -0.005, 0.008, 0.008, -0.0, -0.006, -0.003]"/>
  </r>
  <r>
    <x v="1377"/>
    <x v="1831"/>
    <x v="0"/>
    <s v="[0, 1, 0, 0, 0, 0, 0, 0, 0]"/>
    <s v="LINESTRING (15.35898409338701 67.02638946359173, 15.359063761473537 67.02646705856193, 15.359373316816585 67.02664182411145, 15.360843815514695 67.02745598451038, 15.360906836771004 67.02748961579692, 15.360971038484637 67.02752387232107, 15.361040841332679 67.02756112125343, 15.36233600695892 67.028255424233, 15.362449425596953 67.0283162914305, 15.363797438106847 67.02903355251622)"/>
    <s v="[490265, 490272, 490293, 490301, 490302, 490309, 490317, 490318, 490326]"/>
    <s v="[490720, 490728, 490751, 490762, 490763, 490773, 490781, 490782, 477106]"/>
    <s v="#FIELD!"/>
    <s v="[477095, 490720, 490728, 490751, 490762, 490763, 490773, 490781, 490782]"/>
    <s v="[0.207, 0.009, 0.011, 0.014, 0.012, 0.014, 0.008, 0.004, 0.032]"/>
    <s v="361.9849851773318"/>
    <s v="[0.207, -0.009, -0.011, -0.014, -0.012, -0.014, 0.008, 0.004, -0.032]"/>
  </r>
  <r>
    <x v="1377"/>
    <x v="1831"/>
    <x v="0"/>
    <s v="[0, 1, 0, 0, 0, 0, 0, 0]"/>
    <s v="LINESTRING (15.35898409338701 67.02638946359173, 15.359139679322535 67.02644616546172, 15.359478513912883 67.02661350894682, 15.361009334230742 67.0274077067899, 15.361051439783115 67.02743215474106, 15.36112726701992 67.02747618067599, 15.361193923079316 67.02751488990293, 15.36248068271635 67.02822278319636, 15.363797438106847 67.02903355251622)"/>
    <s v="[1029164, 1029172, 1029180, 1029188, 1029196, 1029204, 1029212, 1029220]"/>
    <s v="[983406, 983415, 983423, 983430, 983438, 983444, 983449, 477106]"/>
    <s v="#FIELD!"/>
    <s v="[477095, 983406, 983415, 983423, 983430, 983438, 983444, 983449]"/>
    <s v="[0.041, 0.005, 0.008, 0.01, 0.01, 0.009, 0.003, 0.01]"/>
    <s v="362.440117202678"/>
    <s v="[0.041, -0.005, -0.008, -0.01, -0.01, -0.009, -0.003, -0.01]"/>
  </r>
  <r>
    <x v="1378"/>
    <x v="1832"/>
    <x v="0"/>
    <n v="0"/>
    <s v="LINESTRING (15.363797438106847 67.02903355251622, 15.385237416135723 67.05057987044123, 15.383735779818386 67.06475622941682, 15.38365395445724 67.06497844639999, 15.383599620259199 67.06511994335968)"/>
    <s v="[478365, 478373, 478381, 478389]"/>
    <s v="[477107, 477116, 477125, 477134]"/>
    <s v="#FIELD!"/>
    <s v="[477106, 477107, 477116, 477125]"/>
    <s v="[0.001, 0.001, 0.003, 0.002]"/>
    <s v="4220.705801259915"/>
    <s v="[-0.001, 0.001, -0.003, -0.002]"/>
  </r>
  <r>
    <x v="1379"/>
    <x v="1833"/>
    <x v="0"/>
    <n v="0"/>
    <s v="LINESTRING (15.383599620259199 67.06511994335968, 15.383276485702982 67.06642817189304, 15.383268077480961 67.06646222620581, 15.383253041820614 67.06651640832216, 15.383243338012125 67.06654269728652, 15.382931199412026 67.06742064599113, 15.382769092998126 67.06786745234521, 15.382509492508614 67.06838761091893)"/>
    <s v="[487848, 487872, 487873, 487881, 487897, 487901, 487928]"/>
    <s v="[487967, 487991, 487992, 488000, 488013, 488017, 477144]"/>
    <s v="#FIELD!"/>
    <s v="[477134, 487967, 487991, 487992, 488000, 488013, 488017]"/>
    <s v="[0.001, 0.002, 0.002, 0.0, 0.002, 0.011, 0.013]"/>
    <s v="367.7943587886492"/>
    <s v="[-0.001, 0.002, 0.002, 0.0, 0.002, -0.011, -0.013]"/>
  </r>
  <r>
    <x v="1379"/>
    <x v="1833"/>
    <x v="0"/>
    <n v="0"/>
    <s v="LINESTRING (15.383599620259199 67.06511994335968, 15.38308603915399 67.06642359698412, 15.383079156780829 67.06644797741406, 15.383061861915587 67.0665091260519, 15.383054414709564 67.06653560693579, 15.382758562893171 67.06741714025928, 15.382735279661645 67.0674851208067, 15.382616292993509 67.06784736620625, 15.382509492508614 67.06838761091893)"/>
    <s v="[490333, 490340, 490344, 490345, 490355, 490356, 490359, 490366]"/>
    <s v="[490015, 490803, 490808, 490809, 490817, 490818, 490822, 477144]"/>
    <s v="#FIELD!"/>
    <s v="[477134, 490015, 490803, 490808, 490809, 490817, 490818, 490822]"/>
    <s v="[0.006, 0.003, 0.002, 0.002, 0.002, 0.002, 0.002, 0.0]"/>
    <s v="367.55578589149565"/>
    <s v="[-0.006, -0.003, -0.002, -0.002, -0.002, -0.002, -0.002, -0.0]"/>
  </r>
  <r>
    <x v="1380"/>
    <x v="1834"/>
    <x v="0"/>
    <n v="0"/>
    <s v="LINESTRING (15.382509492508614 67.06838761091893, 15.382080204026215 67.08137301348346, 15.38285074082591 67.08197413613115)"/>
    <s v="[478397, 478405]"/>
    <s v="[477145, 477157]"/>
    <s v="#FIELD!"/>
    <s v="[477144, 477145]"/>
    <s v="0.0"/>
    <s v="1544.2459935814265"/>
    <s v="#FIELD!"/>
  </r>
  <r>
    <x v="1381"/>
    <x v="1835"/>
    <x v="0"/>
    <n v="0"/>
    <s v="LINESTRING (15.38285074082591 67.08197413613115, 15.383562984626549 67.08238945489107, 15.384131529356935 67.0827128549709, 15.384325312060819 67.0828138356708, 15.38563308056905 67.0834794039654, 15.385696515458285 67.0835103423848, 15.385759394630211 67.08354105786026, 15.38582336385143 67.08357229096423, 15.385850194454068 67.08358508080796, 15.388487369502693 67.08469755432154, 15.388727185057109 67.08479514342778)"/>
    <s v="[1770230, 1770238, 1770246, 1770254, 1770262, 1770270, 1770278, 1770286, 1770294, 1770302]"/>
    <s v="[1562374, 1562381, 1562387, 1562396, 1562401, 1562409, 1562414, 1562417, 1562424, 477163]"/>
    <s v="0.0001504417968729208"/>
    <s v="[477157, 1562374, 1562381, 1562387, 1562396, 1562401, 1562409, 1562414, 1562417, 1562424]"/>
    <s v="[0.001, 0.001, 0.002, 0.001, 0.005, 0.004, 0.004, 0.005, 0.001, 0.005]"/>
    <s v="406.05349980847393"/>
    <s v="[0.001, 0.001, 0.002, -0.001, -0.005, -0.004, -0.004, -0.005, 0.001, -0.005]"/>
  </r>
  <r>
    <x v="1381"/>
    <x v="1835"/>
    <x v="0"/>
    <n v="0"/>
    <s v="LINESTRING (15.38285074082591 67.08197413613115, 15.383448648024855 67.08241797774063, 15.384174599371494 67.08285453885858, 15.385472178836999 67.0835264033652, 15.385541876837001 67.08355900419909, 15.385604619047896 67.08358834758104, 15.385675013788315 67.08362132343433, 15.385700446888274 67.08363306713306, 15.388448844034704 67.0847134541029, 15.388727185057109 67.08479514342778)"/>
    <s v="[1770310, 1770318, 1770326, 1770334, 1770342, 1770350, 1770358, 1770366, 1770374]"/>
    <s v="[1562435, 1562440, 1562441, 1562444, 1562451, 1562457, 1562465, 1562470, 477163]"/>
    <s v="#FIELD!"/>
    <s v="[477157, 1562435, 1562440, 1562441, 1562444, 1562451, 1562457, 1562465, 1562470]"/>
    <s v="[0.0, 0.002, 0.001, 0.004, 0.004, 0.005, 0.004, 0.0, 0.004]"/>
    <s v="408.17987875716517"/>
    <s v="[0.0, 0.002, -0.001, -0.004, -0.004, -0.005, -0.004, 0.0, -0.004]"/>
  </r>
  <r>
    <x v="1382"/>
    <x v="1836"/>
    <x v="133"/>
    <n v="0"/>
    <s v="LINESTRING (15.388727185057109 67.08479514342778, 15.452635997195879 67.14579224357686)"/>
    <m/>
    <m/>
    <s v="0.0"/>
    <m/>
    <n v="0"/>
    <s v="12753.9143078371"/>
    <n v="0"/>
  </r>
  <r>
    <x v="1383"/>
    <x v="1837"/>
    <x v="0"/>
    <n v="0"/>
    <m/>
    <n v="478996"/>
    <n v="477818"/>
    <s v="0.024"/>
    <n v="477288"/>
    <s v="0.024"/>
    <s v="5.166822233766168"/>
    <s v="0.024"/>
  </r>
  <r>
    <x v="1383"/>
    <x v="1826"/>
    <x v="0"/>
    <n v="0"/>
    <s v="LINESTRING (10.783868544037439 59.72422393889315, 10.783917102398304 59.72429634516087, 10.783871504506024 59.72436923087052)"/>
    <s v="[478980, 478988]"/>
    <s v="[477797, 477288]"/>
    <s v="#FIELD!"/>
    <s v="[477789, 477797]"/>
    <s v="[0.036, 0.002]"/>
    <s v="17.037290069252144"/>
    <s v="[-0.036, -0.002]"/>
  </r>
  <r>
    <x v="1384"/>
    <x v="1829"/>
    <x v="0"/>
    <n v="0"/>
    <s v="LINESTRING (10.787215516376804 59.72435720587064, 10.787179021261629 59.72428508962371, 10.787233316582926 59.72421589015353)"/>
    <s v="[1532818, 1532826]"/>
    <s v="[1385536, 522565]"/>
    <s v="0.040499999995007314"/>
    <s v="[477311, 1385536]"/>
    <s v="[0.053, 0.134]"/>
    <s v="16.589840264697614"/>
    <s v="[-0.053, 0.134]"/>
  </r>
  <r>
    <x v="1384"/>
    <x v="1838"/>
    <x v="0"/>
    <n v="0"/>
    <m/>
    <n v="1532810"/>
    <n v="477311"/>
    <s v="#FIELD!"/>
    <n v="1359887"/>
    <s v="0.027"/>
    <s v="6.6694902353587135"/>
    <s v="#FIELD!"/>
  </r>
  <r>
    <x v="1385"/>
    <x v="1495"/>
    <x v="0"/>
    <n v="0"/>
    <s v="LINESTRING (15.391182928697233 67.26222022751104, 15.391110741813208 67.26226220493075, 15.39103877011394 67.2622988982905)"/>
    <s v="[478957, 478965]"/>
    <s v="[477767, 477778]"/>
    <s v="0.003"/>
    <s v="[477756, 477767]"/>
    <s v="0.003"/>
    <s v="10.756025472036601"/>
    <s v="0.003"/>
  </r>
  <r>
    <x v="1385"/>
    <x v="1555"/>
    <x v="0"/>
    <n v="0"/>
    <s v="LINESTRING (15.391652210221187 67.2603788813579, 15.39165665017933 67.26040665153323, 15.391733063010225 67.2607581096736, 15.391182928697233 67.26222022751104)"/>
    <s v="[1390846, 478941, 478949]"/>
    <s v="[405412, 477746, 477756]"/>
    <s v="0.0600576059270177"/>
    <s v="[1275772, 405412, 477746]"/>
    <s v="[1.766, 0.067, 0.027]"/>
    <s v="210.74600147001166"/>
    <s v="[1.766, 0.067, 0.027]"/>
  </r>
  <r>
    <x v="1386"/>
    <x v="1839"/>
    <x v="0"/>
    <n v="0"/>
    <s v="LINESTRING (15.39103877011394 67.2622988982905, 15.387864381282576 67.26397103509785, 15.387176472532484 67.26437622367506)"/>
    <s v="[478973, 478981]"/>
    <s v="[405488, 477798]"/>
    <s v="#FIELD!"/>
    <s v="[477778, 405488]"/>
    <s v="[0.011, 0.032]"/>
    <s v="285.33268487048156"/>
    <s v="[-0.011, -0.032]"/>
  </r>
  <r>
    <x v="1387"/>
    <x v="1840"/>
    <x v="0"/>
    <n v="0"/>
    <s v="LINESTRING (10.783551367530949 59.72440380568888, 10.783464775706637 59.724360523059076, 10.783430593857624 59.72430147288427, 10.783492091379504 59.72421588086644, 10.783538386752934 59.72419551083201, 10.783684104492385 59.72417483085919, 10.783825825905259 59.72420166886978, 10.783868544037439 59.72422393889315)"/>
    <s v="[479012, 479020, 479028, 479036, 479044, 479052, 478972]"/>
    <s v="[477836, 477847, 477857, 477267, 477872, 477788, 477789]"/>
    <s v="#FIELD!"/>
    <s v="[477826, 477836, 477847, 477857, 477267, 477872, 477788]"/>
    <s v="[0.047, 0.029, 0.0, 0.026, 0.035, 0.053, 0.043]"/>
    <s v="47.807631308128755"/>
    <s v="[0.047, 0.029, -0.0, -0.026, -0.035, -0.053, -0.043]"/>
  </r>
  <r>
    <x v="1388"/>
    <x v="1498"/>
    <x v="0"/>
    <n v="0"/>
    <s v="LINESTRING (15.387176472532484 67.26437622367506, 15.38652636635847 67.26484097065779, 15.386431699910457 67.26492363543626, 15.385735500533658 67.26578340686439)"/>
    <s v="[1336679, 1336687, 1336695]"/>
    <s v="[580481, 580495, 477807]"/>
    <s v="#FIELD!"/>
    <s v="[477798, 580481, 580495]"/>
    <s v="[0.015, 0.021, 0.029]"/>
    <s v="169.79401715154103"/>
    <s v="[-0.015, -0.021, -0.029]"/>
  </r>
  <r>
    <x v="1388"/>
    <x v="1498"/>
    <x v="0"/>
    <n v="0"/>
    <s v="LINESTRING (15.387176472532484 67.26437622367506, 15.386625433618383 67.26485894184695, 15.38653031092304 67.26494205629676, 15.38631030888417 67.26514980830359, 15.385735500533658 67.26578340686439)"/>
    <s v="[1336703, 1336711, 1336719, 1336727]"/>
    <s v="[1240797, 1240805, 1240812, 477807]"/>
    <s v="#FIELD!"/>
    <s v="[477798, 1240797, 1240805, 1240812]"/>
    <s v="[0.014, 0.021, 0.018, 0.035]"/>
    <s v="168.8481035039074"/>
    <s v="[-0.014, -0.021, -0.018, -0.035]"/>
  </r>
  <r>
    <x v="1389"/>
    <x v="1840"/>
    <x v="0"/>
    <n v="0"/>
    <m/>
    <n v="479004"/>
    <n v="477826"/>
    <s v="0.046"/>
    <n v="477818"/>
    <s v="0.046"/>
    <s v="14.820722914776209"/>
    <s v="0.046"/>
  </r>
  <r>
    <x v="1389"/>
    <x v="1841"/>
    <x v="0"/>
    <n v="0"/>
    <s v="LINESTRING (10.783804882926418 59.724401131143274, 10.783785962946013 59.724454751323826, 10.785260244595667 59.72204185785933, 10.785260894536222 59.72194613597496)"/>
    <s v="[1503765, 1503780, 1120472]"/>
    <s v="[1359909, 1059418, 1059419]"/>
    <s v="0.006714692481457508"/>
    <s v="[477818, 1359909, 1059418]"/>
    <s v="[0.115, 0.005, 0.015]"/>
    <s v="451.58148648450356"/>
    <s v="[0.115, 0.005, 0.015]"/>
  </r>
  <r>
    <x v="1390"/>
    <x v="1842"/>
    <x v="0"/>
    <n v="0"/>
    <s v="LINESTRING (10.785378056156471 59.72764106555283, 10.785354205042516 59.72755170461999, 10.783569753231559 59.72445229527328, 10.783551367530949 59.72440380568888)"/>
    <s v="[1120456, 1503739, 1503764]"/>
    <s v="[1059399, 1359890, 477826]"/>
    <s v="0.030751124253122892"/>
    <s v="[1059398, 1059399, 1359890]"/>
    <s v="[0.037, 0.032, 0.069]"/>
    <s v="404.71952018552844"/>
    <s v="[0.037, 0.032, -0.069]"/>
  </r>
  <r>
    <x v="1391"/>
    <x v="1843"/>
    <x v="0"/>
    <n v="0"/>
    <s v="LINESTRING (16.234827618543882 68.23234306976481, 16.234523450553578 68.23184600013217, 16.2345517872824 68.23178035819879, 16.235162213622456 68.23151066972564, 16.23697759891446 68.23145575829803, 16.23722085879511 68.23145891707873, 16.238062457193394 68.23144337353973, 16.238189920158483 68.23144087195301, 16.239654203719976 68.23141046205424, 16.240957643251654 68.23144935418351, 16.243208998752827 68.23185114879232, 16.243739943761295 68.23195793595423, 16.244583558475842 68.23208902276973)"/>
    <s v="[488009, 488017, 488023, 488048, 488056, 488057, 488060, 488062, 488073, 488081, 488087, 488095]"/>
    <s v="[488129, 488140, 488146, 488174, 488179, 488180, 488185, 488188, 488203, 488211, 488218, 480059]"/>
    <s v="0.02567603671449643"/>
    <s v="[480048, 488129, 488140, 488146, 488174, 488179, 488180, 488185, 488188, 488203, 488211, 488218]"/>
    <s v="[0.025, 0.09, 0.026, 0.047, 0.026, 0.011, 0.011, 0.021, 0.06, 0.071, 0.048, 0.103]"/>
    <s v="513.1383144860148"/>
    <s v="[-0.025, 0.09, 0.026, -0.047, -0.026, -0.011, 0.011, 0.021, 0.06, 0.071, 0.048, 0.103]"/>
  </r>
  <r>
    <x v="1391"/>
    <x v="1843"/>
    <x v="0"/>
    <n v="0"/>
    <s v="LINESTRING (16.234827618543882 68.23234306976481, 16.23499473257344 68.23225789020297, 16.235554683235648 68.23202584823356, 16.235654908862234 68.23198698701812, 16.236153891759578 68.23182152741956, 16.23709575786145 68.23164604195473, 16.237271121493027 68.23162657095499, 16.237453569399314 68.23160627554473, 16.238070896059625 68.23155251863925, 16.23818259636955 68.23154497640684, 16.239638355683272 68.23146144354803, 16.24091763037322 68.23150521686235, 16.243114058927723 68.23189899056366, 16.24367938841458 68.23201546013647, 16.244583558475842 68.23208902276973)"/>
    <s v="[490415, 490419, 490430, 490431, 490438, 490439, 490446, 490456, 490457, 490464, 490472, 490473, 490474, 490475]"/>
    <s v="[490881, 490884, 490896, 490897, 490901, 490902, 490909, 490919, 490920, 490925, 490933, 490934, 490935, 480059]"/>
    <s v="0.02928272600901817"/>
    <s v="[480048, 490881, 490884, 490896, 490897, 490901, 490902, 490909, 490919, 490920, 490925, 490933, 490934, 490935]"/>
    <s v="[0.358, 0.015, 0.019, 0.025, 0.042, 0.048, 0.05, 0.012, 0.092, 0.094, 0.088, 0.059, 0.089, 0.172]"/>
    <s v="451.4204202125947"/>
    <s v="[0.358, -0.015, -0.019, -0.025, -0.042, -0.048, -0.05, 0.012, 0.092, 0.094, 0.088, 0.059, 0.089, -0.172]"/>
  </r>
  <r>
    <x v="1392"/>
    <x v="1844"/>
    <x v="134"/>
    <s v="[0, 0, 0, 0, 0, 0, 0, 0, 0, 0, 0, 0, 0, 0, 0, 0, 0, 0, 0, 0, 0, 0, 0, 0, 0, 1, 0, 0, 0, 0, 0, 0, 0, 0]"/>
    <s v="LINESTRING (16.244583558475842 68.23208902276973, 16.24499860382873 68.23213525219778, 16.2456870382429 68.23218696683858, 16.32606806103862 68.24686846317111, 16.328659226647325 68.2462884475491, 16.331885673462864 68.24558219673425, 16.3415197604176 68.24304977982406, 16.34275319851168 68.2425973798037, 16.34809325229221 68.2406544920452, 16.34891935211168 68.24035549276299, 16.353073913673104 68.23957474901928, 16.354595674087065 68.23961797421232, 16.358093191998808 68.24035798935425, 16.360675579296906 68.24108897300664, 16.376658583943392 68.24633060919427, 16.37718949312287 68.24962171201531, 16.377339226282587 68.24968709894925, 16.378247669605667 68.24996000320763, 16.3784092345413 68.24999607280809, 16.37861775802027 68.2500415581779, 16.395305745812248 68.2562250848508, 16.395096407973966 68.25676339487701, 16.394009377700343 68.25818050285677, 16.39364514031831 68.2590444091692, 16.393641640725054 68.25919739349361, 16.43078962265631 68.26753675667723, 16.43105641902435 68.26761870058134, 16.43780368471802 68.27017111834277, 16.43969676024828 68.270612276201, 16.44220289901444 68.27197786503507, 16.44504610710633 68.27812827581434, 16.44523241313536 68.2783514739417, 16.455765378687385 68.28367214649063, 16.45723965880282 68.28390460916647, 16.472277930672465 68.28541268137887)"/>
    <s v="[481053, 481061, 481069, 481077, 481085, 481093, 481101, 481109, 481117, 481125, 481133, 481141, 481149, 481157, 481165, 481173, 481181, 481189, 481197, 481205, 481213, 481221, 481229, 481237, 481245, 481253, 481261, 481269, 481277, 481285, 481293, 481301, 481309, 481317]"/>
    <s v="[431763, 431798, 384067, 384078, 480094, 384085, 384111, 384138, 480134, 480147, 480154, 480162, 431854, 480177, 480184, 435489, 480198, 384186, 480217, 480226, 480234, 480240, 480246, 480254, 480263, 480272, 436724, 480292, 480299, 480307, 480317, 480328, 480338, 480347]"/>
    <s v="#FIELD!"/>
    <s v="[480059, 431763, 431798, 384067, 384078, 480094, 384085, 384111, 384138, 480134, 480147, 480154, 480162, 431854, 480177, 480184, 435489, 480198, 384186, 480217, 480226, 480234, 480240, 480246, 480254, 480263, 480272, 436724, 480292, 480299, 480307, 480317, 480328, 480338]"/>
    <s v="[0.041, 0.053, 0.002, 0.047, 0.009, 0.002, 0.026, 0.005, 0.003, 0.005, 0.039, 0.058, 0.028, 0.102, 0.015, 0.085, 0.148, 0.191, 0.185, 0.059, 0.059, 0.064, 0.049, 0.077, 0.073, 0.033, 0.066, 0.041, 0.006, 0.005, 0.01, 0.037, 0.068, 0.036]"/>
    <s v="13724.773975011552"/>
    <s v="[0.041, 0.053, 0.002, 0.047, 0.009, 0.002, 0.026, 0.005, -0.003, 0.005, 0.039, 0.058, 0.028, 0.102, 0.015, 0.085, 0.148, 0.191, 0.185, 0.059, -0.059, -0.064, -0.049, -0.077, -0.073, -0.033, -0.066, -0.041, -0.006, 0.005, 0.01, -0.037, -0.068, -0.036]"/>
  </r>
  <r>
    <x v="1393"/>
    <x v="1845"/>
    <x v="0"/>
    <n v="0"/>
    <s v="LINESTRING (16.472277930672465 68.28541268137887, 16.47523858606914 68.28625525255754, 16.475273184995615 68.28627406357303, 16.47532691674107 68.28630328206697, 16.475336413339207 68.28630928037619, 16.475363287532023 68.28632626690265, 16.475410664334113 68.28635723723269, 16.47596604789963 68.2870464147479, 16.47593493096783 68.28753122365423, 16.475723484113185 68.28784548295313)"/>
    <s v="[488114, 488115, 488116, 488117, 488118, 488126, 488137, 488150, 488157]"/>
    <s v="[488248, 488249, 488250, 488251, 488252, 488262, 488277, 488290, 480357]"/>
    <s v="#FIELD!"/>
    <s v="[480347, 488248, 488249, 488250, 488251, 488252, 488262, 488277, 488290]"/>
    <s v="[0.0, 0.011, 0.013, 0.077, 0.056, 0.024, 0.043, 0.054, 0.059]"/>
    <s v="340.54876808898905"/>
    <s v="[-0.0, 0.011, -0.013, -0.077, -0.056, -0.024, -0.043, -0.054, -0.059]"/>
  </r>
  <r>
    <x v="1393"/>
    <x v="1845"/>
    <x v="0"/>
    <n v="0"/>
    <s v="LINESTRING (16.472277930672465 68.28541268137887, 16.475100215869148 68.28631126542122, 16.475158263082005 68.28634616037334, 16.47518410219383 68.28636250120277, 16.4752296584932 68.28639229454616, 16.475798161851536 68.28705176044444, 16.475824656008665 68.28715280119587, 16.47580302078567 68.28754933938107, 16.475723484113185 68.28784548295313)"/>
    <s v="[490482, 490488, 490492, 490495, 490498, 490504, 490512, 490513]"/>
    <s v="[490079, 490946, 490948, 490950, 490951, 490956, 490962, 480357]"/>
    <s v="#FIELD!"/>
    <s v="[480347, 490079, 490946, 490948, 490950, 490951, 490956, 490962]"/>
    <s v="[0.009, 0.023, 0.018, 0.024, 0.006, 0.009, 0.014, 0.309]"/>
    <s v="332.0140848973674"/>
    <s v="[0.009, 0.023, 0.018, 0.024, 0.006, -0.009, -0.014, -0.309]"/>
  </r>
  <r>
    <x v="1394"/>
    <x v="1846"/>
    <x v="0"/>
    <s v="[0, 0, 1, 0, 0, 0, 0, 0, 1, 0, 0, 0, 0, 0, 0, 1, 0, 0, 0, 0, 0, 0, 0, 0, 0, 0, 0, 0, 0, 0, 0, 0, 0, 0, 0, 0, 0, 0, 0, 0, 0, 0, 0, 0, 0, 0, 0, 0, 0, 0, 0, 0, 0, 0, 0, 0, 0, 0, 0, 0, 0, 0, 0, 0, 0, 0, 0, 0, 0, 0, 0, 0, 1, 0, 0, 0, 0, 0, 0, 0, 1, 0, 0, 0, 0, 0, 0, 0, 0, 0, 0, 0, 0, 0, 0, 0, 0, 0, 0, 0, 0, 0, 0, 0, 0, 0, 0, 0, 0, 0, 0, 0, 0, 0, 0, 0, 0, 0, 0, 0, 0, 0, 0, 0, 0, 0, 0, 0, 0, 0, 0, 0]"/>
    <s v="LINESTRING (16.475723484113185 68.28784548295313, 16.475571823394848 68.2880704782879, 16.475218529103053 68.28857213656924, 16.474191312771293 68.2900478400069, 16.473339974221616 68.29129213881717, 16.473824901426834 68.29257579290376, 16.474230345943678 68.29279087651463, 16.47506606292703 68.2930817679787, 16.477480445924954 68.293441820932, 16.480832969083462 68.29379341115181, 16.492738674859424 68.29317020731817, 16.493841862404246 68.29319359906869, 16.498633109502062 68.29368116726731, 16.498758249559554 68.2937157825838, 16.499018442394522 68.29378906843472, 16.500746471253944 68.29460478147125, 16.50532322371414 68.29929608323427, 16.50604305308776 68.29959199778577, 16.508551257818233 68.29987863184896, 16.509275466268104 68.29983378272586, 16.5106198795725 68.29956975551289, 16.518152528610088 68.29724223526281, 16.52048922791269 68.29701712066839, 16.534716175898037 68.29524798364393, 16.536622594991307 68.29500334139247, 16.540459879939664 68.29439327898729, 16.541890694277484 68.29416320106625, 16.546809987474838 68.29337577860785, 16.552824841732612 68.29227217953623, 16.553997665587474 68.29154523201129, 16.554714807174673 68.29070896144589, 16.554790340096428 68.2906528039762, 16.554896255825504 68.2905781059654, 16.555875423703252 68.29015157442589, 16.556162813414204 68.2900664417384, 16.556259890875854 68.29003956227882, 16.5696630406642 68.2879313838998, 16.570959720305126 68.28769495839605, 16.571327896111185 68.28763020925408, 16.5756906660601 68.28684703954497, 16.57677010656912 68.28664859912976, 16.59079852016895 68.28522011828633, 16.5975138731104 68.28536099783456, 16.602425355496205 68.28512449894751, 16.60404691359031 68.28505720772591, 16.604158852215175 68.28505397603742, 16.620658499704117 68.28557081991968, 16.620909770816063 68.28558506103151, 16.62198728257759 68.28570662955728, 16.623509946946136 68.286086073794, 16.6247025466175 68.28682924171325, 16.625034550896373 68.28793869941954, 16.625822465921818 68.28874005182558, 16.62632074674771 68.28895149196292, 16.627840902431327 68.28924987353605, 16.633442129008312 68.28897390618542, 16.634326493082057 68.28896995650894, 16.63790120722071 68.29142539490778, 16.63815651593241 68.29172138901284, 16.64028738350989 68.29261960702769, 16.64110665385731 68.29273197138434, 16.645363756590832 68.29542639435114, 16.64737913333529 68.29596263663073, 16.65256850467623 68.29616218470201, 16.648741756671086 68.29920627502352, 16.64705057667099 68.30065947210477, 16.645191327992546 68.3014542541204, 16.643357994096476 68.30221274629392, 16.63961152375563 68.3044925950506, 16.639553753819204 68.30454198735097, 16.637124074982644 68.3058919618089, 16.635129926801486 68.3070751842405, 16.63389827106566 68.30786929734627, 16.633742595356935 68.30795138012891, 16.633355663649475 68.30816074954564, 16.62837267945692 68.31321871581311, 16.628479600349728 68.31781964329059, 16.628499030239563 68.31782503381261, 16.628576748609618 68.31784657794704, 16.628634662710816 68.31786292360363, 16.63621157364526 68.32142425302155, 16.63634072510055 68.32148528443524, 16.640003269350032 68.3224423486008, 16.652375896002898 68.32161706854322, 16.654665390637437 68.32125119305317, 16.65711504405955 68.32066656935051, 16.65800389863377 68.32036118066863, 16.658743561297108 68.32017053047707, 16.665838456885997 68.31895023480612, 16.671805407411796 68.31969905956511, 16.67410699119789 68.31974721511288, 16.67516991500784 68.31977257671502, 16.675987402957027 68.31984822782576, 16.681428852389757 68.32214425384106, 16.681665941820697 68.32236670432714, 16.68292628822455 68.32284986604668, 16.685737075056394 68.3235088701129, 16.687300372334345 68.32374764001554, 16.68781326657551 68.32378231924756, 16.692124894969737 68.32413819283856, 16.698126904653957 68.32520568282415, 16.706385089168354 68.32610483907624, 16.709097538001963 68.32646318923648, 16.711436922349346 68.32651933063158, 16.716550265167538 68.32734594212307, 16.71748333708379 68.32750036722031, 16.719755267669942 68.3277756075427, 16.72312559492985 68.32941833758453, 16.724424100648243 68.329943445415, 16.725002511121495 68.3300456286988, 16.72971916771788 68.33041510642828, 16.73351630059438 68.33086875839793, 16.736316616956174 68.33078358677037, 16.739878808566306 68.33104807063465, 16.741588518015366 68.33136083276648, 16.743017636387076 68.33186773950409, 16.747849166542334 68.33182238495033, 16.753250971009937 68.3293912919456, 16.755179895261183 68.32961010467534, 16.760380102718184 68.32998146111835, 16.761750821833687 68.33009986152888, 16.76544643077589 68.33052119691328, 16.76574296015041 68.33055504920033, 16.768605055675454 68.33110521255806, 16.768713776792037 68.33129951610887, 16.768696047376856 68.33140978251241, 16.768584717666922 68.33160929985986, 16.76830684768878 68.3320024149369, 16.770832722030736 68.3334031697578, 16.772750737765115 68.3335602792375, 16.78017456927507 68.33481110354984, 16.791148771933 68.33748847022304, 16.79947796120094 68.33880359545337)"/>
    <s v="[481325, 481333, 481341, 481349, 481357, 481365, 481373, 481381, 481389, 481397, 481405, 481413, 481421, 481429, 481437, 481445, 481453, 481461, 481469, 481477, 481485, 481493, 481501, 481509, 481517, 481525, 481533, 481541, 481549, 481557, 481565, 481573, 481581, 481589, 481597, 481605, 481613, 481621, 481629, 481637, 481645, 481653, 481661, 481669, 481677, 481685, 481693, 481701, 481709, 481717, 481725, 481733, 481741, 481749, 481757, 481765, 481773, 481781, 481789, 481797, 481805, 481813, 481821, 481829, 481837, 481845, 481853, 481861, 481869, 481877, 481885, 481893, 481901, 481909, 481917, 481925, 481933, 481941, 481949, 481957, 481965, 481973, 481981, 481989, 481997, 482005, 482013, 482021, 482029, 482037, 482045, 482053, 482061, 482069, 482077, 482085, 482093, 482101, 482109, 482117, 482125, 482133, 482141, 482149, 482157, 482165, 482173, 482181, 482189, 482197, 482205, 482213, 482221, 482229, 482237, 482245, 482253, 482261, 482269, 482277, 482285, 482293, 482301, 482309, 482317, 482325, 482333, 482341, 482349, 482357, 482365, 1782437]"/>
    <s v="[385960, 480365, 480375, 385968, 480391, 385983, 480410, 480420, 480430, 480440, 480452, 480461, 371685, 480481, 480492, 480499, 480509, 386029, 480526, 386021, 480541, 480549, 480559, 480564, 480572, 480581, 455401, 480598, 480607, 480614, 480622, 480629, 480636, 480643, 480653, 480662, 480669, 386412, 480684, 480689, 386425, 386434, 480712, 480723, 480727, 480733, 480740, 480747, 383005, 480766, 386448, 386460, 436678, 386471, 480803, 480811, 386483, 386494, 386504, 480847, 386518, 480862, 436472, 386527, 386537, 436466, 386562, 386582, 386572, 386591, 386601, 480930, 480940, 386613, 386624, 386634, 480968, 480976, 480982, 480989, 481000, 436455, 481012, 481024, 481033, 481041, 481052, 481059, 398516, 398527, 398538, 398548, 481098, 428862, 398594, 398604, 398618, 481138, 398641, 398652, 382934, 398663, 398684, 398692, 398701, 398712, 398722, 398748, 398777, 398786, 481233, 481242, 398919, 398929, 398940, 481272, 481281, 481289, 481298, 481306, 481312, 481321, 381486, 481337, 269306, 481352, 269300, 436820, 481377, 382897, 481394, 1000179]"/>
    <s v="0.002033816176226607"/>
    <s v="[480357, 385960, 480365, 480375, 385968, 480391, 385983, 480410, 480420, 480430, 480440, 480452, 480461, 371685, 480481, 480492, 480499, 480509, 386029, 480526, 386021, 480541, 480549, 480559, 480564, 480572, 480581, 455401, 480598, 480607, 480614, 480622, 480629, 480636, 480643, 480653, 480662, 480669, 386412, 480684, 480689, 386425, 386434, 480712, 480723, 480727, 480733, 480740, 480747, 383005, 480766, 386448, 386460, 436678, 386471, 480803, 480811, 386483, 386494, 386504, 480847, 386518, 480862, 436472, 386527, 386537, 436466, 386562, 386582, 386572, 386591, 386601, 480930, 480940, 386613, 386624, 386634, 480968, 480976, 480982, 480989, 481000, 436455, 481012, 481024, 481033, 481041, 481052, 481059, 398516, 398527, 398538, 398548, 481098, 428862, 398594, 398604, 398618, 481138, 398641, 398652, 382934, 398663, 398684, 398692, 398701, 398712, 398722, 398748, 398777, 398786, 481233, 481242, 398919, 398929, 398940, 481272, 481281, 481289, 481298, 481306, 481312, 481321, 381486, 481337, 269306, 481352, 269300, 436820, 481377, 382897, 481394]"/>
    <s v="[0.046, 0.015, 0.013, 0.043, 0.064, 0.048, 0.04, 0.04, 0.003, 0.007, 0.017, 0.027, 0.029, 0.015, 0.038, 0.004, 0.041, 0.003, 0.016, 0.012, 0.033, 0.03, 0.02, 0.027, 0.018, 0.006, 0.057, 0.003, 0.04, 0.039, 0.104, 0.089, 0.03, 0.006, 0.017, 0.003, 0.065, 0.044, 0.057, 0.121, 0.027, 0.095, 0.006, 0.222, 0.204, 0.016, 0.24, 0.366, 0.229, 0.033, 0.055, 0.014, 0.07, 0.01, 0.01, 0.027, 0.005, 0.031, 0.049, 0.043, 0.058, 0.064, 0.008, 0.069, 0.057, 0.057, 0.021, 0.024, 0.038, 0.052, 0.054, 0.025, 0.004, 0.001, 0.015, 0.015, 0.002, 0.025, 0.026, 0.022, 0.016, 0.009, 0.008, 0.018, 0.01, 0.005, 0.002, 0.017, 0.073, 0.037, 0.073, 0.105, 0.019, 0.032, 0.009, 0.005, 0.009, 0.013, 0.014, 0.01, 0.002, 0.029, 0.019, 0.023, 0.004, 0.002, 0.026, 0.021, 0.016, 0.017, 0.035, 0.003, 0.032, 0.014, 0.101, 0.101, 0.024, 0.113, 0.047, 0.018, 0.004, 0.031, 0.04, 0.103, 0.117, 0.126, 0.129, 0.033, 0.001, 0.024, 0.007, 0.006]"/>
    <s v="21118.318510565256"/>
    <s v="[-0.046, -0.015, 0.013, 0.043, 0.064, -0.048, -0.04, -0.04, 0.003, 0.007, -0.017, -0.027, -0.029, -0.015, -0.038, 0.004, 0.041, -0.003, -0.016, -0.012, 0.033, 0.03, -0.02, -0.027, 0.018, -0.006, 0.057, 0.003, -0.04, -0.039, -0.104, -0.089, -0.03, -0.006, -0.017, 0.003, 0.065, 0.044, -0.057, 0.121, 0.027, 0.095, -0.006, 0.222, 0.204, 0.016, -0.24, -0.366, -0.229, -0.033, 0.055, -0.014, -0.07, -0.01, 0.01, -0.027, -0.005, -0.031, -0.049, 0.043, 0.058, 0.064, 0.008, 0.069, 0.057, 0.057, 0.021, -0.024, -0.038, -0.052, -0.054, -0.025, 0.004, -0.001, 0.015, 0.015, 0.002, -0.025, -0.026, -0.022, 0.016, 0.009, -0.008, -0.018, 0.01, 0.005, 0.002, 0.017, 0.073, 0.037, 0.073, 0.105, 0.019, 0.032, -0.009, 0.005, 0.009, 0.013, 0.014, -0.01, 0.002, 0.029, 0.019, 0.023, -0.004, -0.002, -0.026, -0.021, -0.016, 0.017, -0.035, -0.003, -0.032, -0.014, -0.101, -0.101, -0.024, -0.113, -0.047, -0.018, -0.004, 0.031, 0.04, -0.103, -0.117, -0.126, -0.129, -0.033, 0.001, -0.024, -0.007, -0.006]"/>
  </r>
  <r>
    <x v="1395"/>
    <x v="1847"/>
    <x v="0"/>
    <n v="0"/>
    <s v="LINESTRING (17.38698847111125 68.42034424968145, 17.38817033242276 68.41946954763374, 17.3882205889577 68.41943589347329, 17.388270868741184 68.41940222998937, 17.388343236484392 68.41935377514747, 17.389340688111467 68.41879207282538, 17.390530619187356 68.41831754723465)"/>
    <s v="[488227, 488236, 488237, 488252, 488253, 488257]"/>
    <s v="[290441, 488399, 290434, 488416, 488417, 488424]"/>
    <s v="0.014805288712169466"/>
    <s v="[488387, 290441, 488399, 290434, 488416, 488417]"/>
    <s v="[0.027, 0.0, 0.008, 0.001, 0.017, 0.032]"/>
    <s v="270.8038255790449"/>
    <s v="[0.027, 0.0, 0.008, -0.001, -0.017, 0.032]"/>
  </r>
  <r>
    <x v="1395"/>
    <x v="1847"/>
    <x v="0"/>
    <n v="0"/>
    <s v="LINESTRING (17.38698847111125 68.42034424968145, 17.388359681941548 68.41949992432413, 17.388410371231934 68.41946783447256, 17.38846108377644 68.41943573529718, 17.388535257684836 68.41938892384589, 17.389482256644854 68.41883102834537, 17.389775082106038 68.41867800176043, 17.390530619187356 68.41831754723465)"/>
    <s v="[490573, 490581, 490596, 490605, 490606, 490614, 490617]"/>
    <s v="[491027, 491035, 490286, 491064, 491065, 491077, 488424]"/>
    <s v="0.0146316898121258"/>
    <s v="[488387, 491027, 491035, 490286, 491064, 491065, 491077]"/>
    <s v="[0.054, 0.054, 0.053, 0.059, 0.033, 0.001, 0.103]"/>
    <s v="269.0422986506559"/>
    <s v="[0.054, 0.054, 0.053, 0.059, 0.033, 0.001, -0.103]"/>
  </r>
  <r>
    <x v="1396"/>
    <x v="1848"/>
    <x v="0"/>
    <n v="0"/>
    <m/>
    <n v="1021538"/>
    <n v="488425"/>
    <s v="0.026"/>
    <n v="488424"/>
    <s v="0.026"/>
    <s v="259.96805046868565"/>
    <s v="0.026"/>
  </r>
  <r>
    <x v="1397"/>
    <x v="1849"/>
    <x v="0"/>
    <n v="0"/>
    <s v="LINESTRING (17.394963059784995 68.41665755078945, 17.396391900959657 68.41611382038138, 17.396488698442912 68.41608344544751, 17.396557449456253 68.41606168410429, 17.396639228242833 68.41603588594171, 17.39790980991757 68.41568048886785, 17.399706833946315 68.4152899766659)"/>
    <s v="[488258, 488259, 488260, 488261, 488262, 488263]"/>
    <s v="[290421, 488426, 290427, 488427, 488428, 488429]"/>
    <s v="#FIELD!"/>
    <s v="[488425, 290421, 488426, 290427, 488427, 488428]"/>
    <s v="[0.005, 0.085, 0.09, 0.094, 0.008, 0.004]"/>
    <s v="249.2433600396152"/>
    <s v="[-0.005, -0.085, -0.09, -0.094, -0.008, -0.004]"/>
  </r>
  <r>
    <x v="1397"/>
    <x v="1849"/>
    <x v="0"/>
    <n v="0"/>
    <s v="LINESTRING (17.394963059784995 68.41665755078945, 17.396530589137548 68.41616568971084, 17.39662009250188 68.41613963728189, 17.39670957227004 68.41611359411523, 17.39679199724605 68.41608952769053, 17.39802407779436 68.41573790339696, 17.39841010436109 68.41563205876518, 17.399706833946315 68.4152899766659)"/>
    <s v="[490618, 490619, 490627, 490628, 490636, 490637, 490653]"/>
    <s v="[490273, 491079, 491087, 491088, 491099, 491100, 488429]"/>
    <s v="#FIELD!"/>
    <s v="[488425, 490273, 491079, 491087, 491088, 491099, 491100]"/>
    <s v="[0.067, 0.034, 0.032, 0.009, 0.006, 0.029, 0.115]"/>
    <s v="247.50746071412334"/>
    <s v="[0.067, 0.034, 0.032, 0.009, -0.006, -0.029, -0.115]"/>
  </r>
  <r>
    <x v="1398"/>
    <x v="1850"/>
    <x v="0"/>
    <n v="0"/>
    <s v="LINESTRING (17.399706833946315 68.4152899766659, 17.40387725758189 68.41386861434329, 17.404003415293634 68.41380615923428, 17.405133101681876 68.41326612890207, 17.40603529992862 68.412820213852, 17.40716348461539 68.41226280627329, 17.409026049597696 68.41117776394881, 17.40957142032794 68.41079208162155, 17.410063666108144 68.41039944477511, 17.4102816916504 68.41022771299086)"/>
    <s v="[1021546, 1021554, 1021562, 1021570, 1021578, 1021586, 1021594, 1021602, 1021610]"/>
    <s v="[650499, 976894, 383497, 976904, 448730, 976914, 452045, 449111, 488432]"/>
    <s v="#FIELD!"/>
    <s v="[488429, 650499, 976894, 383497, 976904, 448730, 976914, 452045, 449111]"/>
    <s v="[0.002, 0.003, 0.054, 0.0, 0.03, 0.002, 0.012, 0.001, 0.0]"/>
    <s v="721.7662754525037"/>
    <s v="[-0.002, 0.003, -0.054, -0.0, -0.03, -0.002, -0.012, 0.001, 0.0]"/>
  </r>
  <r>
    <x v="1399"/>
    <x v="394"/>
    <x v="0"/>
    <n v="0"/>
    <s v="LINESTRING (17.4102816916504 68.41022771299086, 17.410615742375775 68.40987176338511, 17.411050387249684 68.40937292159913, 17.41109897662764 68.40929751575307, 17.41139860717123 68.40861919658532, 17.41179132511567 68.40804976086838)"/>
    <s v="[488267, 488268, 488269, 488270, 488278]"/>
    <s v="[488433, 488434, 488435, 488436, 488448]"/>
    <s v="0.011125508747478358"/>
    <s v="[488432, 488433, 488434, 488435, 488436]"/>
    <s v="[0.015, 0.0, 0.0, 0.037, 0.009]"/>
    <s v="251.3693962258296"/>
    <s v="[-0.015, 0.0, 0.0, 0.037, 0.009]"/>
  </r>
  <r>
    <x v="1399"/>
    <x v="394"/>
    <x v="0"/>
    <n v="0"/>
    <s v="LINESTRING (17.4102816916504 68.41022771299086, 17.410732160473895 68.40988885099641, 17.411249074942084 68.40939374959274, 17.4113053004438 68.40931820663477, 17.41159930143955 68.40863214230572, 17.411655880774248 68.40848570310195, 17.41179132511567 68.40804976086838)"/>
    <s v="[490655, 490656, 490657, 490665, 490672, 490680]"/>
    <s v="[491123, 490312, 491124, 491130, 491138, 488448]"/>
    <s v="0.011112906166607237"/>
    <s v="[488432, 491123, 490312, 491124, 491130, 491138]"/>
    <s v="[0.015, 0.0, 0.0, 0.084, 0.099, 0.096]"/>
    <s v="252.8972272738546"/>
    <s v="[-0.015, 0.0, 0.0, 0.084, 0.099, -0.096]"/>
  </r>
  <r>
    <x v="1400"/>
    <x v="1446"/>
    <x v="0"/>
    <n v="0"/>
    <s v="LINESTRING (17.42819990485371 68.43874458067825, 17.428437843236384 68.4388367187154, 17.429204409896354 68.43913872419259, 17.429454628440013 68.43923767398773, 17.430883397841058 68.43979616095442, 17.431403797054564 68.43999992224833, 17.432013220852394 68.44023209507586)"/>
    <s v="[1021698, 1021706, 1021714, 1021722, 1021730, 1021738]"/>
    <s v="[450049, 450050, 384227, 380472, 383483, 488618]"/>
    <s v="0.007122520604491479"/>
    <s v="[488607, 450049, 450050, 384227, 380472, 383483]"/>
    <s v="[0.04, 0.022, 0.001, 0.009, 0.003, 0.018]"/>
    <s v="227.9876864985995"/>
    <s v="[0.04, 0.022, 0.001, 0.009, -0.003, -0.018]"/>
  </r>
  <r>
    <x v="1401"/>
    <x v="1851"/>
    <x v="0"/>
    <n v="0"/>
    <s v="LINESTRING (17.45102928990159 68.44389090340539, 17.452409251499937 68.44448781393, 17.45260974304164 68.44458107832874, 17.453001853029335 68.44479198650548)"/>
    <s v="[1021746, 1021754, 1781525]"/>
    <s v="[396030, 977038, 1571298]"/>
    <s v="0.12006911012521325"/>
    <s v="[488885, 396030, 977038]"/>
    <s v="[0.038, 0.064, 0.398]"/>
    <s v="129.17085738061795"/>
    <s v="[0.038, 0.064, 0.398]"/>
  </r>
  <r>
    <x v="1402"/>
    <x v="1852"/>
    <x v="0"/>
    <n v="0"/>
    <s v="LINESTRING (14.5354966680988 68.23393784950545, 14.534512335635988 68.2333589896584, 14.534399188768187 68.2332880306539, 14.533775865099935 68.23290079245028, 14.533685987379371 68.23284434773564, 14.533596897611723 68.23278838952353, 14.533526800159265 68.23274435093273, 14.533147641508691 68.2325107665684, 14.532656591857942 68.23220360558717, 14.532596371544985 68.23216594462122, 14.532533100603867 68.23212503713954, 14.532492787471256 68.23209940612453, 14.531943822464308 68.23169597412706, 14.53140376860121 68.23067376504726)"/>
    <s v="[488679, 488683, 488695, 488718, 488723, 488724, 488725, 488734, 488744, 488745, 488749, 488767, 488769]"/>
    <s v="[488905, 488907, 488923, 420177, 488963, 488964, 488965, 293726, 488985, 293809, 488990, 489010, 489013]"/>
    <s v="0.005173482351892909"/>
    <s v="[488904, 488905, 488907, 488923, 420177, 488963, 488964, 488965, 293726, 488985, 293809, 488990, 489010]"/>
    <s v="[0.04, 0.071, 0.063, 0.049, 0.056, 0.039, 0.043, 0.027, 0.033, 0.026, 0.002, 0.005, 0.07]"/>
    <s v="407.21965436038056"/>
    <s v="[0.04, 0.071, 0.063, 0.049, 0.056, 0.039, 0.043, 0.027, 0.033, 0.026, 0.002, -0.005, -0.07]"/>
  </r>
  <r>
    <x v="1402"/>
    <x v="1852"/>
    <x v="0"/>
    <n v="0"/>
    <s v="LINESTRING (14.5354966680988 68.23393784950545, 14.534567250180359 68.23326566555096, 14.533966574520909 68.23286971055485, 14.533863954676198 68.23280531032901, 14.533770353545842 68.2327466039256, 14.533703332341007 68.23270456522027, 14.533317921178742 68.23246944789474, 14.533315248972984 68.23246777210417, 14.532844726997082 68.23217176432777, 14.532779745937813 68.23213056511719, 14.532713595077126 68.23208868092566, 14.532671620293197 68.23206158328846, 14.532111637307414 68.23166748480583, 14.531982797627315 68.23156000182546, 14.53140376860121 68.23067376504726)"/>
    <s v="[491037, 491045, 491046, 491053, 491061, 491075, 491080, 491081, 491085, 491086, 491089, 491090, 491091, 491092]"/>
    <s v="[491550, 491558, 420178, 491564, 491572, 491587, 491591, 293725, 491594, 293808, 491599, 491600, 491601, 489013]"/>
    <s v="0.005130161203569127"/>
    <s v="[488904, 491550, 491558, 420178, 491564, 491572, 491587, 491591, 293725, 491594, 293808, 491599, 491600, 491601]"/>
    <s v="[0.024, 0.06, 0.065, 0.046, 0.043, 0.044, 0.0, 0.03, 0.016, 0.026, 0.004, 0.0, 0.024, 0.064]"/>
    <s v="404.6701011089051"/>
    <s v="[0.024, 0.06, 0.065, 0.046, 0.043, 0.044, 0.0, 0.03, 0.016, 0.026, 0.004, 0.0, -0.024, -0.064]"/>
  </r>
  <r>
    <x v="1402"/>
    <x v="1853"/>
    <x v="0"/>
    <s v="[0, 1, 0, 0, 0, 0]"/>
    <s v="LINESTRING (14.55075638391705 68.23627959465564, 14.549727051488727 68.23627088994228, 14.54583363803495 68.23624122946354, 14.543981892786313 68.23613828717932, 14.53955971332325 68.23523995022744, 14.539190245779753 68.23515495600185, 14.5354966680988 68.23393784950545)"/>
    <s v="[1028468, 1028476, 1028484, 1028492, 1028500, 1028508]"/>
    <s v="[982920, 982925, 394729, 445551, 982938, 488904]"/>
    <s v="0.035716508378075856"/>
    <s v="[822430, 982920, 982925, 394729, 445551, 982938]"/>
    <s v="[0.028, 0.002, 0.137, 0.008, 0.043, 0.072]"/>
    <s v="715.277534217942"/>
    <s v="[-0.028, 0.002, 0.137, 0.008, -0.043, 0.072]"/>
  </r>
  <r>
    <x v="1403"/>
    <x v="1854"/>
    <x v="135"/>
    <n v="0"/>
    <s v="LINESTRING (14.53140376860121 68.23067376504726, 14.287211744316973 68.24488248602316)"/>
    <m/>
    <m/>
    <s v="0.0"/>
    <m/>
    <n v="0"/>
    <s v="16432.770963112045"/>
    <n v="0"/>
  </r>
  <r>
    <x v="1404"/>
    <x v="1855"/>
    <x v="0"/>
    <n v="0"/>
    <m/>
    <n v="1031336"/>
    <n v="489116"/>
    <s v="0.012"/>
    <n v="489103"/>
    <s v="0.012"/>
    <s v="477.75266146053866"/>
    <s v="0.012"/>
  </r>
  <r>
    <x v="1405"/>
    <x v="1443"/>
    <x v="0"/>
    <n v="0"/>
    <m/>
    <n v="488856"/>
    <n v="489117"/>
    <s v="#FIELD!"/>
    <n v="489116"/>
    <s v="0.029"/>
    <s v="53.00734383091937"/>
    <s v="#FIELD!"/>
  </r>
  <r>
    <x v="1405"/>
    <x v="1856"/>
    <x v="0"/>
    <n v="0"/>
    <m/>
    <n v="491166"/>
    <n v="491693"/>
    <s v="#FIELD!"/>
    <n v="489116"/>
    <s v="0.031"/>
    <s v="49.554384266264805"/>
    <s v="#FIELD!"/>
  </r>
  <r>
    <x v="1406"/>
    <x v="1856"/>
    <x v="0"/>
    <n v="0"/>
    <s v="LINESTRING (14.15837036602503 66.32433426146582, 14.158466442817035 66.32440440281628, 14.158420905424883 66.32449800238156)"/>
    <s v="[1021254, 1021262]"/>
    <s v="[976688, 489117]"/>
    <s v="#FIELD!"/>
    <s v="[491693, 976688]"/>
    <s v="0.009"/>
    <s v="19.74920473336718"/>
    <s v="[0.009, -0.009]"/>
  </r>
  <r>
    <x v="1407"/>
    <x v="1857"/>
    <x v="136"/>
    <n v="0"/>
    <s v="LINESTRING (16.699954552857918 68.49251279581325, 16.69801110378562 68.49211269179712, 16.696120170287656 68.4918953350072, 16.69199930502695 68.4914773184995, 16.691177025869198 68.4913975975477)"/>
    <s v="[1065236, 1065244, 1065252, 1065260]"/>
    <s v="[397058, 1013028, 1013033, 439585]"/>
    <s v="#FIELD!"/>
    <s v="[490103, 397058, 1013028, 1013033]"/>
    <s v="[0.008, 0.002, 0.002, 0.0]"/>
    <s v="382.13185425955896"/>
    <s v="[-0.008, 0.002, 0.002, 0.0]"/>
  </r>
  <r>
    <x v="1408"/>
    <x v="1431"/>
    <x v="0"/>
    <n v="0"/>
    <m/>
    <n v="1021246"/>
    <n v="491693"/>
    <s v="0.023"/>
    <n v="976673"/>
    <s v="0.023"/>
    <s v="3.6259205727847905"/>
    <s v="0.023"/>
  </r>
  <r>
    <x v="1409"/>
    <x v="1858"/>
    <x v="0"/>
    <n v="0"/>
    <s v="LINESTRING (10.35239145636367 63.329372382070204, 10.35246962553826 63.32940245162507, 10.353226013830204 63.32985483215554, 10.35325263320499 63.329875448789494, 10.353810035739661 63.3303624614889, 10.356033743769174 63.332111324559285, 10.356762639471139 63.3319628053036, 10.356985979643786 63.33191793359346)"/>
    <s v="[682504, 682512, 682680, 682688, 682696, 480654, 493169]"/>
    <s v="[673648, 673658, 673852, 673304, 479631, 479632, 475258]"/>
    <s v="0.04340406607934943"/>
    <s v="[673225, 673648, 673658, 673852, 673304, 479631, 479632]"/>
    <s v="[0.051, 0.052, 0.065, 0.053, 0.047, 0.032, 0.088]"/>
    <s v="418.7930932150683"/>
    <s v="[0.051, 0.052, 0.065, 0.053, 0.047, 0.032, -0.088]"/>
  </r>
  <r>
    <x v="1410"/>
    <x v="1859"/>
    <x v="0"/>
    <n v="0"/>
    <s v="LINESTRING (7.603313144406882 59.73696976846757, 7.603378003707383 59.73720825603651, 7.603474424521231 59.737595756775065, 7.603584762585395 59.73797440614079, 7.603592607437202 59.73800398353846)"/>
    <s v="[504836, 504844, 504852, 504860]"/>
    <s v="[509427, 509437, 509446, 509456]"/>
    <s v="0.021876243964962638"/>
    <s v="[509426, 509427, 509437, 509446]"/>
    <s v="[0.021, 0.021, 0.023, 0.026]"/>
    <s v="116.49085576447219"/>
    <s v="[0.021, 0.021, 0.023, 0.026]"/>
  </r>
  <r>
    <x v="1410"/>
    <x v="1860"/>
    <x v="0"/>
    <n v="0"/>
    <s v="LINESTRING (7.603307510900826 59.736676123209875, 7.6033244974782255 59.73674109520038, 7.603313144406882 59.73696976846757)"/>
    <s v="[1231422, 1231423]"/>
    <s v="[1153182, 509426]"/>
    <s v="0.01622132447014489"/>
    <s v="[885208, 1153182]"/>
    <s v="[0.017, 0.016]"/>
    <s v="33.045047973732565"/>
    <s v="[0.017, 0.016]"/>
  </r>
  <r>
    <x v="1410"/>
    <x v="1861"/>
    <x v="0"/>
    <n v="0"/>
    <s v="LINESTRING (7.603128885620013 59.73668777841113, 7.603148685227798 59.73675343265203, 7.603313144406882 59.73696976846757)"/>
    <s v="[1231419, 1231421]"/>
    <s v="[1153180, 509426]"/>
    <s v="0.02167742798616727"/>
    <s v="[885221, 1153180]"/>
    <s v="[0.017, 0.023]"/>
    <s v="33.622491927984335"/>
    <s v="[0.017, 0.023]"/>
  </r>
  <r>
    <x v="1411"/>
    <x v="1859"/>
    <x v="0"/>
    <n v="0"/>
    <s v="LINESTRING (7.603592607437202 59.73800398353846, 7.603746291514049 59.738110605042685, 7.603495948444203 59.73815288041066, 7.603592607437202 59.73800398353846)"/>
    <s v="[810708, 810692, 810700]"/>
    <s v="[788800, 788790, 509456]"/>
    <s v="0.00022874885784483995"/>
    <s v="[509456, 788800, 788790]"/>
    <s v="[0.32, 0.093, 0.165]"/>
    <s v="56.48717378130941"/>
    <s v="[0.32, -0.093, -0.165]"/>
  </r>
  <r>
    <x v="1412"/>
    <x v="1862"/>
    <x v="0"/>
    <n v="0"/>
    <s v="LINESTRING (9.255754475150283 59.55751669479198, 9.255732911521088 59.557543246601945, 9.255645194459959 59.557592307998085, 9.255525354746899 59.55761387664551, 9.255461473614067 59.55761239691868)"/>
    <s v="[505060, 505068, 505076, 505084]"/>
    <s v="[509671, 509680, 509688, 509699]"/>
    <s v="0.02402210239241858"/>
    <s v="[509670, 509671, 509680, 509688]"/>
    <s v="[0.039, 0.042, 0.014, 0.006]"/>
    <s v="21.404439871867854"/>
    <s v="[0.039, 0.042, 0.014, -0.006]"/>
  </r>
  <r>
    <x v="1412"/>
    <x v="1863"/>
    <x v="0"/>
    <n v="0"/>
    <s v="LINESTRING (9.255587713109719 59.557357203055645, 9.255723451300188 59.557413435995265, 9.255754475150283 59.55751669479198)"/>
    <s v="[505140, 505148]"/>
    <s v="[509764, 509670]"/>
    <s v="0.05299879814039623"/>
    <s v="[509753, 509764]"/>
    <s v="[0.041, 0.063]"/>
    <s v="21.812673601735508"/>
    <s v="[0.041, 0.063]"/>
  </r>
  <r>
    <x v="1412"/>
    <x v="1864"/>
    <x v="0"/>
    <n v="0"/>
    <s v="LINESTRING (9.259411614363295 59.55716650070255, 9.258618473072291 59.55717102771784, 9.258548856520443 59.557171565638846, 9.257733903298819 59.55716838517041, 9.256224286734168 59.557271816175614, 9.256136154195273 59.55729985800647, 9.25584743669548 59.55744700663707, 9.255754475150283 59.55751669479198)"/>
    <s v="[512722, 512730, 512738, 512746, 512754, 512762, 512770]"/>
    <s v="[518782, 518791, 518800, 518811, 518820, 518831, 509670]"/>
    <s v="#FIELD!"/>
    <s v="[518781, 518782, 518791, 518800, 518811, 518820, 518831]"/>
    <s v="[0.018, 0.021, 0.021, 0.023, 0.002, 0.008, 0.177]"/>
    <s v="220.6628139543768"/>
    <s v="[-0.018, -0.021, -0.021, -0.023, -0.002, 0.008, 0.177]"/>
  </r>
  <r>
    <x v="1413"/>
    <x v="1865"/>
    <x v="0"/>
    <n v="0"/>
    <s v="LINESTRING (9.255461473614067 59.55761239691868, 9.25528504823304 59.55755419258536, 9.255247269178222 59.55746494038367)"/>
    <s v="[505092, 505100]"/>
    <s v="[509710, 509720]"/>
    <s v="#FIELD!"/>
    <s v="[509699, 509710]"/>
    <s v="[0.039, 0.065]"/>
    <s v="22.32686841323057"/>
    <s v="[-0.039, -0.065]"/>
  </r>
  <r>
    <x v="1413"/>
    <x v="1866"/>
    <x v="0"/>
    <n v="0"/>
    <s v="LINESTRING (9.255461473614067 59.55761239691868, 9.255322430248649 59.55762947424779, 9.254786522860824 59.55775509867212)"/>
    <s v="[512778, 512786]"/>
    <s v="[518849, 518859]"/>
    <s v="#FIELD!"/>
    <s v="[509699, 518849]"/>
    <s v="[0.273, 0.012]"/>
    <s v="41.584105969408846"/>
    <s v="[-0.273, -0.012]"/>
  </r>
  <r>
    <x v="1414"/>
    <x v="1863"/>
    <x v="0"/>
    <n v="0"/>
    <s v="LINESTRING (9.255247269178222 59.55746494038367, 9.255261574664477 59.557433640163914, 9.255353500300751 59.557373547839724, 9.255525594288935 59.557350498765494, 9.255587713109719 59.557357203055645)"/>
    <s v="[505108, 505116, 505124, 505132]"/>
    <s v="[509728, 509738, 509746, 509753]"/>
    <s v="#FIELD!"/>
    <s v="[509720, 509728, 509738, 509746]"/>
    <s v="[0.059, 0.045, 0.004, 0.029]"/>
    <s v="25.732877356710155"/>
    <s v="[-0.059, -0.045, -0.004, 0.029]"/>
  </r>
  <r>
    <x v="1414"/>
    <x v="1866"/>
    <x v="0"/>
    <n v="0"/>
    <s v="LINESTRING (9.255247269178222 59.55746494038367, 9.25516189589379 59.557522701522565, 9.254786522860824 59.55775509867212)"/>
    <s v="[899530, 899555]"/>
    <s v="[874006, 518859]"/>
    <s v="#FIELD!"/>
    <s v="[509720, 874006]"/>
    <s v="[0.401, 0.052]"/>
    <s v="41.55947473227922"/>
    <s v="[-0.401, 0.052]"/>
  </r>
  <r>
    <x v="1415"/>
    <x v="1864"/>
    <x v="0"/>
    <n v="0"/>
    <s v="LINESTRING (9.259411614363295 59.55716650070255, 9.258612910343423 59.55713090439245, 9.257733436387069 59.55712335489737, 9.256180411163223 59.557227575820214, 9.256131722243925 59.5572392237892, 9.255701362493015 59.5573358389956, 9.255587713109719 59.557357203055645)"/>
    <s v="[899494, 899500, 899504, 899505, 899521, 899529]"/>
    <s v="[873966, 873975, 873980, 873981, 873999, 509753]"/>
    <s v="#FIELD!"/>
    <s v="[518781, 873966, 873975, 873980, 873981, 873999]"/>
    <s v="[0.046, 0.025, 0.022, 0.021, 0.012, 0.366]"/>
    <s v="221.4004097054305"/>
    <s v="[-0.046, -0.025, -0.022, -0.021, -0.012, 0.366]"/>
  </r>
  <r>
    <x v="1416"/>
    <x v="1867"/>
    <x v="0"/>
    <n v="0"/>
    <m/>
    <n v="512344"/>
    <n v="518297"/>
    <s v="0.035"/>
    <n v="518287"/>
    <s v="0.035"/>
    <s v="199.2771977313734"/>
    <s v="0.035"/>
  </r>
  <r>
    <x v="1416"/>
    <x v="1868"/>
    <x v="0"/>
    <n v="0"/>
    <s v="LINESTRING (10.808447208180164 59.91968193667742, 10.80842306258216 59.91976122697293, 10.808230860565192 59.92142296882922, 10.808282695140383 59.921919144065484, 10.810389096164025 59.92296212320988, 10.811575585713207 59.923090372748305)"/>
    <s v="[754296, 512312, 512320, 512328, 512336]"/>
    <s v="[518260, 518261, 518269, 518278, 518287]"/>
    <s v="0.005481272314769836"/>
    <s v="[733299, 518260, 518261, 518269, 518278]"/>
    <s v="[0.077, 0.011, 0.011, 0.021, 0.013]"/>
    <s v="499.7285777128774"/>
    <s v="[0.077, -0.011, -0.011, 0.021, 0.013]"/>
  </r>
  <r>
    <x v="1416"/>
    <x v="1869"/>
    <x v="137"/>
    <s v="[0, 0, 0, 0, 0, 1, 0, 0, 0, 0]"/>
    <s v="LINESTRING (10.804810208621792 59.925289099644715, 10.804810208621792 59.925289099644715, 10.805185038871294 59.92508704777359, 10.805715439845114 59.92480201538983, 10.806214977838563 59.92448192067475, 10.806998481203715 59.92251573734676, 10.808444593334054 59.92270834521212, 10.809644433207941 59.92289399777792, 10.810128669682454 59.92295976082622, 10.811458862768324 59.92310015534835, 10.811575585713207 59.923090372748305)"/>
    <s v="[2079769, 727660, 2149542, 2149550, 1790574, 727668, 727676, 727684, 1811278, 1811279]"/>
    <s v="[716840, 716841, 1843803, 1579421, 716847, 716848, 716852, 716858, 1594903, 518287]"/>
    <s v="0.013914083079662024"/>
    <s v="[763014, 716840, 716841, 1843803, 1579421, 716847, 716848, 716852, 716858, 1594903]"/>
    <s v="[0.007, 0.013, 0.02, 0.018, 0.011, 0.02, 0.019, 0.002, 0.017, 0.013]"/>
    <s v="703.1470986432073"/>
    <s v="[-0.007, 0.013, 0.02, 0.018, 0.011, 0.02, 0.019, 0.002, 0.017, 0.013]"/>
  </r>
  <r>
    <x v="1417"/>
    <x v="1870"/>
    <x v="0"/>
    <n v="0"/>
    <m/>
    <n v="512338"/>
    <n v="518291"/>
    <s v="#FIELD!"/>
    <n v="518290"/>
    <s v="0.005"/>
    <s v="83.30427848464643"/>
    <s v="#FIELD!"/>
  </r>
  <r>
    <x v="1417"/>
    <x v="1871"/>
    <x v="0"/>
    <n v="0"/>
    <s v="LINESTRING (9.287267764275404 58.89934358716619, 9.28647034033198 58.89872213498804, 9.285665593736091 58.898177434286794, 9.283732934759666 58.896979523473895)"/>
    <s v="[899124, 899131, 899139]"/>
    <s v="[873515, 873523, 861726]"/>
    <s v="#FIELD!"/>
    <s v="[518290, 873515, 873523]"/>
    <s v="[0.003, 0.037, 0.051]"/>
    <s v="334.0194741553054"/>
    <s v="[-0.003, -0.037, -0.051]"/>
  </r>
  <r>
    <x v="1417"/>
    <x v="1872"/>
    <x v="138"/>
    <s v="[0, 0, 0, 0, 0, 1, 0, 0, 0, 1, 1, 0, 0, 0, 0]"/>
    <s v="LINESTRING (9.315648557582914 58.92720134042935, 9.315629027985638 58.92718189139209, 9.309351593898679 58.92137426477751, 9.309301970997353 58.92129092550625, 9.304984064189052 58.916084694303166, 9.304888795420744 58.91602314567736, 9.303997770554394 58.91537266269495, 9.301427314789553 58.91126629827839, 9.30139989640316 58.911169245917975, 9.299262536751906 58.90787509245245, 9.299058511286614 58.907710385772155, 9.298735228121116 58.90747136140947, 9.297092294449602 58.90645306004538, 9.296904454288164 58.90634338152348, 9.292916831436962 58.90336846874404, 9.287267764275404 58.89934358716619)"/>
    <s v="[937110, 937118, 937126, 937134, 937142, 937150, 937158, 937166, 937174, 937182, 937190, 937198, 937206, 937214, 937222]"/>
    <s v="[905952, 905959, 905966, 905972, 905980, 905988, 905995, 906003, 906009, 906015, 906021, 906028, 906035, 906041, 518290]"/>
    <s v="#FIELD!"/>
    <s v="[884140, 905952, 905959, 905966, 905972, 905980, 905988, 905995, 906003, 906009, 906015, 906021, 906028, 906035, 906041]"/>
    <s v="[0.08, 0.024, 0.017, 0.025, 0.027, 0.014, 0.017, 0.084, 0.039, 0.056, 0.038, 0.023, 0.031, 0.008, 0.021]"/>
    <s v="3574.0734783912053"/>
    <s v="[0.08, 0.024, -0.017, -0.025, 0.027, 0.014, -0.017, -0.084, -0.039, 0.056, 0.038, -0.023, -0.031, 0.008, 0.021]"/>
  </r>
  <r>
    <x v="1418"/>
    <x v="1873"/>
    <x v="0"/>
    <n v="0"/>
    <s v="LINESTRING (9.286400544284286 58.89874844038838, 9.285543945657956 58.89819416669707, 9.283676646430244 58.8970654330132)"/>
    <s v="[512346, 512354]"/>
    <s v="[518300, 518311]"/>
    <s v="#FIELD!"/>
    <s v="[518291, 518300]"/>
    <s v="[0.04, 0.054]"/>
    <s v="244.80225489006634"/>
    <s v="[-0.04, -0.054]"/>
  </r>
  <r>
    <x v="1418"/>
    <x v="1874"/>
    <x v="0"/>
    <n v="0"/>
    <s v="LINESTRING (9.286400544284286 58.89874844038838, 9.286192733620851 58.89863689552688, 9.282842539675082 58.89747006817319, 9.282591538676867 58.89748285067368)"/>
    <s v="[512570, 910586, 910594]"/>
    <s v="[518588, 884160, 861711]"/>
    <s v="#FIELD!"/>
    <s v="[518291, 518588, 884160]"/>
    <s v="[0.031, 0.054, 0.167]"/>
    <s v="281.0454087866759"/>
    <s v="[-0.031, -0.054, 0.167]"/>
  </r>
  <r>
    <x v="1419"/>
    <x v="1875"/>
    <x v="0"/>
    <n v="0"/>
    <s v="LINESTRING (10.815117784848695 59.92326410116026, 10.81567354125651 59.923271164639424, 10.815691482786187 59.92327120436866, 10.819122015454804 59.923182739318904, 10.8227091363826 59.922917979359, 10.822726742684626 59.92291683863019, 10.823836733351644 59.92283693701153)"/>
    <s v="[512352, 512360, 512368, 512376, 512384, 512392]"/>
    <s v="[518308, 518318, 518328, 518338, 518348, 518358]"/>
    <s v="#FIELD!"/>
    <s v="[518297, 518308, 518318, 518328, 518338, 518348]"/>
    <s v="[0.057, 0.065, 0.021, 0.032, 0.112, 0.099]"/>
    <s v="490.9745863230505"/>
    <s v="[0.057, 0.065, 0.021, -0.032, -0.112, -0.099]"/>
  </r>
  <r>
    <x v="1419"/>
    <x v="1876"/>
    <x v="0"/>
    <n v="0"/>
    <s v="LINESTRING (10.815117784848695 59.92326410116026, 10.815308936777159 59.92323960654146, 10.818119699014092 59.9226085057396, 10.817261262882997 59.922557165992124, 10.817065774116456 59.922535552979745, 10.81686862728102 59.922517717287384, 10.81682816247837 59.92251193592121)"/>
    <s v="[727748, 727756, 727764, 727772, 727780, 751730]"/>
    <s v="[716899, 716910, 716915, 716920, 716926, 733331]"/>
    <s v="0.0114303491957665"/>
    <s v="[518297, 716899, 716910, 716915, 716920, 716926]"/>
    <s v="[0.578, 0.025, 0.048, 0.049, 0.003, 0.377]"/>
    <s v="350.73014130441476"/>
    <s v="[-0.578, 0.025, 0.048, 0.049, -0.003, 0.377]"/>
  </r>
  <r>
    <x v="1420"/>
    <x v="1877"/>
    <x v="0"/>
    <n v="0"/>
    <m/>
    <n v="512362"/>
    <n v="518321"/>
    <s v="#FIELD!"/>
    <n v="518311"/>
    <s v="0.041"/>
    <s v="10.55367234625564"/>
    <s v="#FIELD!"/>
  </r>
  <r>
    <x v="1420"/>
    <x v="1871"/>
    <x v="0"/>
    <n v="0"/>
    <m/>
    <n v="887920"/>
    <n v="861726"/>
    <s v="0.053"/>
    <n v="518311"/>
    <s v="0.053"/>
    <s v="10.114285194258914"/>
    <s v="0.053"/>
  </r>
  <r>
    <x v="1420"/>
    <x v="1874"/>
    <x v="0"/>
    <n v="0"/>
    <s v="LINESTRING (9.282591538676867 58.89748285067368, 9.28362413523051 58.89709818366568, 9.283676646430244 58.8970654330132)"/>
    <s v="[887904, 887905]"/>
    <s v="[861712, 518311]"/>
    <s v="#FIELD!"/>
    <s v="[861711, 861712]"/>
    <s v="[0.013, 0.084]"/>
    <s v="78.9975108174941"/>
    <s v="[-0.013, 0.084]"/>
  </r>
  <r>
    <x v="1421"/>
    <x v="1871"/>
    <x v="0"/>
    <n v="0"/>
    <m/>
    <n v="926521"/>
    <n v="861726"/>
    <s v="0.089"/>
    <n v="518321"/>
    <s v="0.089"/>
    <s v="10.849855529049494"/>
    <s v="0.089"/>
  </r>
  <r>
    <x v="1421"/>
    <x v="1878"/>
    <x v="0"/>
    <n v="0"/>
    <s v="LINESTRING (9.283548313219372 58.89699798854798, 9.283452559959288 58.89694745414121, 9.282845069512579 58.89661241141189, 9.282833175348541 58.89660587957666, 9.282342382114877 58.89634283125692, 9.280805151658047 58.89559786604945, 9.279529112172236 58.89509544302802)"/>
    <s v="[512370, 512378, 512386, 512394, 512402, 512410]"/>
    <s v="[518330, 518341, 518351, 518361, 518373, 518382]"/>
    <s v="0.03347778825732118"/>
    <s v="[518321, 518330, 518341, 518351, 518361, 518373]"/>
    <s v="[0.043, 0.053, 0.055, 0.047, 0.035, 0.021]"/>
    <s v="314.96826036381447"/>
    <s v="[-0.043, 0.053, 0.055, 0.047, 0.035, 0.021]"/>
  </r>
  <r>
    <x v="1421"/>
    <x v="1874"/>
    <x v="0"/>
    <n v="0"/>
    <s v="LINESTRING (9.282591538676867 58.89748285067368, 9.283478389338399 58.89701761635385, 9.283548313219372 58.89699798854798)"/>
    <s v="[926505, 926513]"/>
    <s v="[896519, 518321]"/>
    <s v="#FIELD!"/>
    <s v="[861711, 896519]"/>
    <s v="[0.037, 0.363]"/>
    <s v="77.45428770268484"/>
    <s v="[-0.037, 0.363]"/>
  </r>
  <r>
    <x v="1422"/>
    <x v="1879"/>
    <x v="139"/>
    <s v="[0, 0, 1, 0, 0, 0, 0, 0, 0, 0]"/>
    <s v="LINESTRING (10.823836733351644 59.92283693701153, 10.824223676286172 59.92280785046524, 10.826578581835372 59.92265692957506, 10.828402812062448 59.92272759216124, 10.832662363255677 59.92346904488189, 10.833823117916104 59.92355289436803, 10.83384116068174 59.92355341135583, 10.834130010117187 59.92355737226782, 10.834148075682752 59.923557422391816, 10.835791911195809 59.92357315419766, 10.836111281677805 59.923615353597015)"/>
    <s v="[512400, 512408, 512416, 512424, 512432, 512440, 512448, 512456, 512464, 754304]"/>
    <s v="[518370, 518379, 518390, 518404, 518416, 518427, 518438, 518449, 518459, 735276]"/>
    <s v="#FIELD!"/>
    <s v="[518358, 518370, 518379, 518390, 518404, 518416, 518427, 518438, 518449, 518459]"/>
    <s v="[0.102, 0.038, 0.004, 0.013, 0.032, 0.042, 0.036, 0.042, 0.038, 0.198]"/>
    <s v="704.1745166351336"/>
    <s v="[-0.102, -0.038, -0.004, 0.013, -0.032, -0.042, -0.036, -0.042, -0.038, -0.198]"/>
  </r>
  <r>
    <x v="1422"/>
    <x v="1880"/>
    <x v="0"/>
    <n v="0"/>
    <s v="LINESTRING (10.817271739567666 59.9224882657641, 10.822832534706306 59.92286082581002, 10.823717455995334 59.922816969181156, 10.823836733351644 59.92283693701153)"/>
    <s v="[727836, 727844, 727852]"/>
    <s v="[716973, 716978, 518358]"/>
    <s v="#FIELD!"/>
    <s v="[716967, 716973, 716978]"/>
    <s v="[0.003, 0.066, 0.779]"/>
    <s v="378.99579452484573"/>
    <s v="[-0.003, -0.066, -0.779]"/>
  </r>
  <r>
    <x v="1423"/>
    <x v="1881"/>
    <x v="0"/>
    <n v="0"/>
    <s v="LINESTRING (9.279529112172236 58.89509544302802, 9.274078077644665 58.893143448956664, 9.273284533895465 58.892665934947615)"/>
    <s v="[915025, 915033]"/>
    <s v="[887362, 887369]"/>
    <s v="0.017916465348416986"/>
    <s v="[518382, 887362]"/>
    <s v="[0.021, 0.001]"/>
    <s v="455.49025832775556"/>
    <s v="[0.021, 0.001]"/>
  </r>
  <r>
    <x v="1423"/>
    <x v="1871"/>
    <x v="0"/>
    <n v="0"/>
    <s v="LINESTRING (9.283732934759666 58.896979523473895, 9.283634480599332 58.89692439553531, 9.283012412671697 58.89658231577428, 9.283000479509852 58.89657580923044, 9.282495045823483 58.896308628355214, 9.280892307341125 58.895564826665925, 9.279529112172236 58.89509544302802)"/>
    <s v="[899140, 899154, 899162, 899163, 899172, 899182]"/>
    <s v="[873531, 873552, 873563, 873564, 873575, 518382]"/>
    <s v="0.02975592901295878"/>
    <s v="[861726, 873531, 873552, 873563, 873564, 873575]"/>
    <s v="[0.037, 0.027, 0.027, 0.048, 0.036, 0.021]"/>
    <s v="322.53837773177327"/>
    <s v="[-0.037, 0.027, 0.027, 0.048, 0.036, 0.021]"/>
  </r>
  <r>
    <x v="1424"/>
    <x v="1882"/>
    <x v="0"/>
    <n v="0"/>
    <s v="LINESTRING (9.71103088002505 59.12096700800858, 9.710812946495405 59.121291893267625, 9.710576507480651 59.121505005622375, 9.710202487900066 59.1217787361298)"/>
    <s v="[512426, 512434, 512442]"/>
    <s v="[518408, 518418, 518394]"/>
    <s v="0.0386638832072188"/>
    <s v="[518407, 518408, 518418]"/>
    <s v="[0.054, 0.041, 0.021]"/>
    <s v="103.42812933714609"/>
    <s v="[0.054, 0.041, 0.021]"/>
  </r>
  <r>
    <x v="1424"/>
    <x v="1883"/>
    <x v="0"/>
    <s v="[0, 0, 0, 1, 1, 0, 0, 0]"/>
    <s v="LINESTRING (9.715118144443482 59.120667674736524, 9.71484122634892 59.120696676276665, 9.713723691423105 59.120719443846156, 9.713617386622019 59.1207170382724, 9.712990203794812 59.120701102991994, 9.712532527233286 59.120687569655225, 9.711702623907223 59.12077387096423, 9.710389383800422 59.12168145601703, 9.710202487900066 59.1217787361298)"/>
    <s v="[994144, 915041, 915049, 915057, 915065, 915073, 915081, 512418]"/>
    <s v="[887376, 887377, 887383, 887393, 887400, 887405, 518393, 518394]"/>
    <s v="0.07710451863456544"/>
    <s v="[951989, 887376, 887377, 887383, 887393, 887400, 887405, 518393]"/>
    <s v="[0.484, 0.025, 0.054, 0.071, 0.063, 0.035, 0.205, 0.01]"/>
    <s v="340.5794346689098"/>
    <s v="[0.484, -0.025, -0.054, -0.071, -0.063, -0.035, 0.205, 0.01]"/>
  </r>
  <r>
    <x v="1425"/>
    <x v="1884"/>
    <x v="0"/>
    <n v="0"/>
    <s v="LINESTRING (10.890185611458676 59.93683763579487, 10.890032347956728 59.936845440269074, 10.889919211938324 59.93680414789112)"/>
    <s v="[512430, 512438]"/>
    <s v="[518414, 518424]"/>
    <s v="#FIELD!"/>
    <s v="[518401, 518414]"/>
    <s v="[0.059, 0.024]"/>
    <s v="16.437565508145894"/>
    <s v="[-0.059, -0.024]"/>
  </r>
  <r>
    <x v="1425"/>
    <x v="1885"/>
    <x v="0"/>
    <n v="1"/>
    <s v="LINESTRING (10.890185611458676 59.93683763579487, 10.890107115517873 59.93725416150845, 10.890147017866651 59.93774181354987)"/>
    <s v="[753358, 753366]"/>
    <s v="[734625, 733378]"/>
    <s v="#FIELD!"/>
    <s v="[518401, 734625]"/>
    <s v="[0.104, 0.003]"/>
    <s v="101.63084856116616"/>
    <s v="[-0.104, -0.003]"/>
  </r>
  <r>
    <x v="1425"/>
    <x v="1886"/>
    <x v="0"/>
    <n v="0"/>
    <s v="LINESTRING (10.889923359322786 59.9366550286068, 10.889972428277446 59.93663498179951, 10.890064110533254 59.936618062977246, 10.890245272905002 59.93663090902879, 10.890328741919427 59.93668026627156, 10.89033683209057 59.93677402391612, 10.89026259334283 59.93681746192561, 10.890185611458676 59.93683763579487)"/>
    <s v="[512454, 512462, 512470, 512398, 512406, 512414, 512422]"/>
    <s v="[518447, 518456, 518366, 518367, 518377, 518387, 518401]"/>
    <s v="0.005953867791646185"/>
    <s v="[518435, 518447, 518456, 518366, 518367, 518377, 518387]"/>
    <s v="[0.065, 0.053, 0.054, 0.023, 0.021, 0.069, 0.063]"/>
    <s v="48.82349124594999"/>
    <s v="[0.065, 0.053, 0.054, 0.023, -0.021, -0.069, -0.063]"/>
  </r>
  <r>
    <x v="1426"/>
    <x v="1887"/>
    <x v="0"/>
    <n v="0"/>
    <m/>
    <n v="899195"/>
    <n v="873603"/>
    <s v="#FIELD!"/>
    <n v="518407"/>
    <s v="0.121"/>
    <s v="101.33662152126024"/>
    <s v="#FIELD!"/>
  </r>
  <r>
    <x v="1426"/>
    <x v="1888"/>
    <x v="0"/>
    <n v="0"/>
    <s v="LINESTRING (9.710941913348094 59.11940993283322, 9.71139577320176 59.12016867620989, 9.71103088002505 59.12096700800858)"/>
    <s v="[915121, 915129]"/>
    <s v="[887447, 518407]"/>
    <s v="0.057212480662883966"/>
    <s v="[887440, 887447]"/>
    <s v="[0.138, 0.26]"/>
    <s v="186.65001710061057"/>
    <s v="[-0.138, 0.26]"/>
  </r>
  <r>
    <x v="1427"/>
    <x v="1886"/>
    <x v="0"/>
    <n v="0"/>
    <m/>
    <n v="512446"/>
    <n v="518435"/>
    <s v="0.023"/>
    <n v="518424"/>
    <s v="0.023"/>
    <s v="17.123320775929457"/>
    <s v="0.023"/>
  </r>
  <r>
    <x v="1427"/>
    <x v="1889"/>
    <x v="0"/>
    <n v="1"/>
    <s v="LINESTRING (10.889919211938324 59.93680414789112, 10.889932365535417 59.93722569149079, 10.88997771891056 59.93771126602715, 10.889980803261986 59.93773842484436)"/>
    <s v="[755499, 755507, 755515]"/>
    <s v="[736229, 736235, 733379]"/>
    <s v="#FIELD!"/>
    <s v="[518424, 736229, 736235]"/>
    <s v="[0.088, 0.007, 0.001]"/>
    <s v="104.18460963756974"/>
    <s v="[-0.088, -0.007, -0.001]"/>
  </r>
  <r>
    <x v="1428"/>
    <x v="1890"/>
    <x v="0"/>
    <n v="0"/>
    <s v="LINESTRING (10.881129075382635 59.93492824764433, 10.881379150129504 59.934919885004824, 10.882984969330636 59.93533422788512, 10.886722890132539 59.93615321679343, 10.88874985474965 59.9365329425406, 10.889783580533518 59.93664077638304, 10.889923359322786 59.9366550286068)"/>
    <s v="[751794, 728228, 728236, 728244, 728252, 728260]"/>
    <s v="[717226, 717227, 717232, 717234, 717238, 518435]"/>
    <s v="0.03720690414311883"/>
    <s v="[733373, 717226, 717227, 717232, 717234, 717238]"/>
    <s v="[0.055, 0.04, 0.024, 0.063, 0.045, 0.101]"/>
    <s v="531.5066273310017"/>
    <s v="[0.055, 0.04, 0.024, 0.063, 0.045, -0.101]"/>
  </r>
  <r>
    <x v="1429"/>
    <x v="1891"/>
    <x v="0"/>
    <n v="0"/>
    <s v="LINESTRING (9.68820204351777 59.10021865739729, 9.688141061298845 59.100171313331835, 9.687969739862945 59.09999560750031)"/>
    <s v="[512450, 512458]"/>
    <s v="[518442, 518451]"/>
    <s v="0.0388826190426045"/>
    <s v="[518441, 518442]"/>
    <s v="[0.049, 0.036]"/>
    <s v="28.553447788674532"/>
    <s v="[0.049, 0.036]"/>
  </r>
  <r>
    <x v="1429"/>
    <x v="1892"/>
    <x v="0"/>
    <n v="0"/>
    <s v="LINESTRING (9.68820204351777 59.10021865739729, 9.688270635670346 59.10016774952052, 9.68842306044521 59.100139557692266)"/>
    <s v="[910738, 910746]"/>
    <s v="[884252, 873604]"/>
    <s v="#FIELD!"/>
    <s v="[518441, 884252]"/>
    <s v="[2.561, 1.169]"/>
    <s v="16.19459704369515"/>
    <s v="[-2.561, 1.169]"/>
  </r>
  <r>
    <x v="1429"/>
    <x v="1893"/>
    <x v="0"/>
    <n v="0"/>
    <m/>
    <n v="910730"/>
    <n v="518441"/>
    <s v="1.403"/>
    <n v="884247"/>
    <s v="1.403"/>
    <s v="11.070853039794983"/>
    <s v="1.403"/>
  </r>
  <r>
    <x v="1430"/>
    <x v="1894"/>
    <x v="0"/>
    <n v="0"/>
    <s v="LINESTRING (9.687969739862945 59.09999560750031, 9.687500744717742 59.09979000007197, 9.68627310633902 59.09941555338612, 9.686167765208173 59.09938413271478, 9.686122779578543 59.09937069513212, 9.685573733992321 59.09918364255939)"/>
    <s v="[915265, 915273, 915281, 915289, 915297]"/>
    <s v="[887551, 887555, 887560, 887565, 518461]"/>
    <s v="0.0733582470268389"/>
    <s v="[518451, 887551, 887555, 887560, 887565]"/>
    <s v="[0.468, 0.093, 0.12, 0.171, 0.521]"/>
    <s v="164.92362923484535"/>
    <s v="[-0.468, 0.093, 0.12, 0.171, 0.521]"/>
  </r>
  <r>
    <x v="1430"/>
    <x v="1892"/>
    <x v="0"/>
    <n v="0"/>
    <s v="LINESTRING (9.68842306044521 59.100139557692266, 9.688335441967574 59.10010707548112, 9.687969739862945 59.09999560750031)"/>
    <s v="[899196, 899218]"/>
    <s v="[873605, 518451]"/>
    <s v="0.25674813035288396"/>
    <s v="[873604, 873605]"/>
    <s v="[0.04, 0.311]"/>
    <s v="30.939048328668612"/>
    <s v="[0.04, 0.311]"/>
  </r>
  <r>
    <x v="1431"/>
    <x v="1895"/>
    <x v="0"/>
    <n v="0"/>
    <s v="LINESTRING (9.685573733992321 59.09918364255939, 9.685182782290909 59.099018800997214, 9.685122136553709 59.09897338591349, 9.685002874781329 59.098855273478485, 9.684990569178769 59.09883594249799, 9.684969956842195 59.098807469487774)"/>
    <s v="[512466, 512474, 512482, 2109040, 2109048]"/>
    <s v="[518462, 518471, 518481, 1820952, 1277018]"/>
    <s v="0.03000619568084065"/>
    <s v="[518461, 518462, 518471, 518481, 1820952]"/>
    <s v="[0.051, 0.017, 0.01, 0.017, 0.01]"/>
    <s v="56.11178331068706"/>
    <s v="[0.051, 0.017, 0.01, -0.017, -0.01]"/>
  </r>
  <r>
    <x v="1431"/>
    <x v="1896"/>
    <x v="0"/>
    <n v="0"/>
    <s v="LINESTRING (9.685573733992321 59.09918364255939, 9.685273224150533 59.098942974233886, 9.685145026957374 59.098824728967145, 9.685113073397428 59.09878186899866)"/>
    <s v="[899226, 899227, 1392755]"/>
    <s v="[873643, 873644, 1277008]"/>
    <s v="0.014798393938866691"/>
    <s v="[518461, 873643, 873644]"/>
    <s v="[0.141, 0.042, 0.914]"/>
    <s v="52.38162850120773"/>
    <s v="[-0.141, 0.042, 0.914]"/>
  </r>
  <r>
    <x v="1432"/>
    <x v="1897"/>
    <x v="0"/>
    <n v="0"/>
    <m/>
    <n v="512478"/>
    <n v="518476"/>
    <s v="0.011"/>
    <n v="518475"/>
    <s v="0.011"/>
    <s v="3.252691193318178"/>
    <s v="0.011"/>
  </r>
  <r>
    <x v="1432"/>
    <x v="1898"/>
    <x v="0"/>
    <n v="0"/>
    <s v="LINESTRING (10.889980202817929 59.938032408056046, 10.890104451949957 59.937998523649114, 10.890287970672997 59.938021332986324)"/>
    <s v="[512550, 512558]"/>
    <s v="[518564, 518475]"/>
    <s v="0.05251018655928414"/>
    <s v="[518553, 518564]"/>
    <s v="[0.063, 0.045]"/>
    <s v="18.952477689782462"/>
    <s v="[0.063, 0.045]"/>
  </r>
  <r>
    <x v="1432"/>
    <x v="1885"/>
    <x v="0"/>
    <n v="0"/>
    <m/>
    <n v="753374"/>
    <n v="518475"/>
    <s v="0.065"/>
    <n v="733378"/>
    <s v="0.065"/>
    <s v="32.49949465570705"/>
    <s v="0.065"/>
  </r>
  <r>
    <x v="1433"/>
    <x v="1899"/>
    <x v="0"/>
    <n v="0"/>
    <m/>
    <n v="512486"/>
    <n v="518486"/>
    <s v="#FIELD!"/>
    <n v="518476"/>
    <s v="0.024"/>
    <s v="13.225438783606624"/>
    <s v="#FIELD!"/>
  </r>
  <r>
    <x v="1433"/>
    <x v="1900"/>
    <x v="0"/>
    <s v="[0, 0, 1, 1, 1, 0, 0, 0]"/>
    <s v="LINESTRING (10.890326470103146 59.93804321335042, 10.890430206324975 59.93803026667923, 10.891166205734446 59.9379020933047, 10.893072206258323 59.937769290032726, 10.893089357910682 59.93777156909991, 10.893242253270564 59.937794543231924, 10.89901985043595 59.93909640228484, 10.900209537125331 59.939263797976395, 10.900318929742792 59.93933553334838)"/>
    <s v="[728332, 728340, 728348, 728356, 728364, 728372, 728380, 751826]"/>
    <s v="[717286, 717291, 717295, 717301, 717309, 717315, 717322, 733396]"/>
    <s v="0.02050463071552907"/>
    <s v="[518476, 717286, 717291, 717295, 717301, 717309, 717315, 717322]"/>
    <s v="[0.077, 0.041, 0.023, 0.016, 0.012, 0.008, 0.002, 0.851]"/>
    <s v="603.4519936077457"/>
    <s v="[0.077, -0.041, 0.023, 0.016, -0.012, 0.008, -0.002, 0.851]"/>
  </r>
  <r>
    <x v="1434"/>
    <x v="1898"/>
    <x v="0"/>
    <n v="0"/>
    <s v="LINESTRING (10.890339258120722 59.938156897511384, 10.890265771500552 59.93820045795118, 10.890133818297919 59.93822421214358, 10.89002604987601 59.93821185829001, 10.889964901900875 59.93818477561787, 10.889912208062226 59.93811839684595, 10.889920954243436 59.93806069655677, 10.889980202817929 59.938032408056046)"/>
    <s v="[512494, 512502, 512510, 512518, 512526, 512534, 512542]"/>
    <s v="[518496, 518505, 518514, 518525, 518532, 518544, 518553]"/>
    <s v="#FIELD!"/>
    <s v="[518486, 518496, 518505, 518514, 518525, 518532, 518544]"/>
    <s v="[0.042, 0.058, 0.053, 0.036, 0.001, 0.032, 0.064]"/>
    <s v="43.925395156362384"/>
    <s v="[-0.042, -0.058, -0.053, -0.036, -0.001, 0.032, 0.064]"/>
  </r>
  <r>
    <x v="1434"/>
    <x v="1901"/>
    <x v="0"/>
    <n v="0"/>
    <s v="LINESTRING (10.896972909270863 59.93897869691728, 10.89676789712007 59.93901366800471, 10.896380167118167 59.938944855812316, 10.893601316817794 59.93848161821277, 10.893211965108621 59.93841514641611, 10.893195011266195 59.93841228014293, 10.890485388078089 59.93814886997204, 10.890339258120722 59.938156897511384)"/>
    <s v="[751834, 728476, 728484, 728492, 728500, 728508, 728516]"/>
    <s v="[717373, 717374, 717377, 717380, 717385, 717388, 518486]"/>
    <s v="#FIELD!"/>
    <s v="[733403, 717373, 717374, 717377, 717380, 717385, 717388]"/>
    <s v="[0.151, 0.042, 0.0, 0.014, 0.099, 0.007, 0.063]"/>
    <s v="387.0093290284908"/>
    <s v="[-0.151, 0.042, 0.0, -0.014, -0.099, 0.007, -0.063]"/>
  </r>
  <r>
    <x v="1435"/>
    <x v="1902"/>
    <x v="0"/>
    <n v="0"/>
    <s v="LINESTRING (10.82450998232932 59.92290954101277, 10.824092167633502 59.92292775883561, 10.814833525444817 59.92335936464116)"/>
    <s v="[512496, 512504]"/>
    <s v="[518499, 518507]"/>
    <s v="0.015024753741777749"/>
    <s v="[518488, 518499]"/>
    <s v="[0.06, 0.013]"/>
    <s v="544.6285011071094"/>
    <s v="[0.06, 0.013]"/>
  </r>
  <r>
    <x v="1435"/>
    <x v="1903"/>
    <x v="0"/>
    <n v="0"/>
    <s v="LINESTRING (10.82450998232932 59.92290954101277, 10.824367323242221 59.92294727547399, 10.82414072606188 59.92296886058994, 10.820241571112739 59.92365164915395, 10.820211836212044 59.92370285464537)"/>
    <s v="[727860, 727868, 727876, 727884]"/>
    <s v="[716989, 716993, 716999, 714694]"/>
    <s v="0.02436606704048017"/>
    <s v="[518488, 716989, 716993, 716999]"/>
    <s v="[1.073, 0.078, 0.016, 0.023]"/>
    <s v="272.3883700457035"/>
    <s v="[1.073, 0.078, -0.016, -0.023]"/>
  </r>
  <r>
    <x v="1435"/>
    <x v="1609"/>
    <x v="140"/>
    <n v="0"/>
    <s v="LINESTRING (10.835792571335011 59.923791373565, 10.835792571335011 59.923791373565, 10.832306778101303 59.92377607852681, 10.826199556554116 59.9229481623257, 10.82450998232932 59.92290954101277)"/>
    <s v="[754320, 512472, 512480, 512488]"/>
    <s v="[518467, 518468, 518479, 518488]"/>
    <s v="0.01699311987716363"/>
    <s v="[735292, 518467, 518468, 518479]"/>
    <s v="[0.186, 0.041, 0.007, 0.024]"/>
    <s v="664.0228443035841"/>
    <s v="[0.186, 0.041, -0.007, 0.024]"/>
  </r>
  <r>
    <x v="1436"/>
    <x v="1904"/>
    <x v="0"/>
    <n v="0"/>
    <s v="LINESTRING (9.675194223771442 59.100326225981036, 9.675194223771442 59.100326225981036, 9.67517338042049 59.10031391278158, 9.674836325387854 59.1000330465118)"/>
    <s v="[512490, 512498, 915337]"/>
    <s v="[518492, 518502, 887596]"/>
    <s v="0.09775861148722667"/>
    <s v="[518491, 518492, 518502]"/>
    <s v="[0.0, 0.012, 0.127]"/>
    <s v="48.0604718050828"/>
    <s v="[0.0, -0.012, 0.127]"/>
  </r>
  <r>
    <x v="1437"/>
    <x v="1905"/>
    <x v="0"/>
    <n v="0"/>
    <s v="LINESTRING (10.814833525444817 59.92335936464116, 10.813052521689203 59.92329187577578, 10.812989079727439 59.92328805991303, 10.811584796027836 59.92318681915737)"/>
    <s v="[512512, 512520, 512528]"/>
    <s v="[518516, 518526, 518534]"/>
    <s v="#FIELD!"/>
    <s v="[518507, 518516, 518526]"/>
    <s v="[0.049, 0.011, 0.011]"/>
    <s v="182.86269874500988"/>
    <s v="[-0.049, -0.011, -0.011]"/>
  </r>
  <r>
    <x v="1437"/>
    <x v="1906"/>
    <x v="0"/>
    <n v="0"/>
    <s v="LINESTRING (10.819984392612703 59.923688440725876, 10.81999104930838 59.92363560344425, 10.814998908389185 59.92341137666091, 10.814833525444817 59.92335936464116)"/>
    <s v="[727788, 727796, 727804]"/>
    <s v="[716930, 716937, 518507]"/>
    <s v="0.006831540764081517"/>
    <s v="[714686, 716930, 716937]"/>
    <s v="[0.022, 0.001, 0.211]"/>
    <s v="312.87451946978064"/>
    <s v="[0.022, -0.001, 0.211]"/>
  </r>
  <r>
    <x v="1438"/>
    <x v="1907"/>
    <x v="0"/>
    <s v="[0, 1, 0]"/>
    <s v="LINESTRING (9.662701318052354 59.07607425845181, 9.662889412228559 59.07605073836152, 9.66359959370448 59.075815798972734, 9.663694060260607 59.07578825337543)"/>
    <s v="[512506, 512514, 512522]"/>
    <s v="[518510, 518519, 518528]"/>
    <s v="0.12132867448031398"/>
    <s v="[518509, 518510, 518519]"/>
    <s v="[0.134, 0.119, 0.117]"/>
    <s v="66.20540081929755"/>
    <s v="[0.134, 0.119, 0.117]"/>
  </r>
  <r>
    <x v="1438"/>
    <x v="1908"/>
    <x v="0"/>
    <n v="0"/>
    <s v="LINESTRING (9.662701318052354 59.07607425845181, 9.662819623860198 59.07611153606635, 9.662824107582628 59.076228708268914)"/>
    <s v="[910642, 910650]"/>
    <s v="[884193, 873651]"/>
    <s v="#FIELD!"/>
    <s v="[518509, 884193]"/>
    <s v="[0.481, 0.021]"/>
    <s v="21.329736298469598"/>
    <s v="[-0.481, -0.021]"/>
  </r>
  <r>
    <x v="1438"/>
    <x v="1909"/>
    <x v="0"/>
    <n v="0"/>
    <m/>
    <n v="910634"/>
    <n v="518509"/>
    <s v="0.267"/>
    <n v="884183"/>
    <s v="0.267"/>
    <s v="14.102623149692793"/>
    <s v="0.267"/>
  </r>
  <r>
    <x v="1439"/>
    <x v="1910"/>
    <x v="0"/>
    <n v="0"/>
    <m/>
    <n v="910666"/>
    <n v="884204"/>
    <s v="#FIELD!"/>
    <n v="518528"/>
    <s v="0.349"/>
    <s v="23.22008261399688"/>
    <s v="#FIELD!"/>
  </r>
  <r>
    <x v="1439"/>
    <x v="1911"/>
    <x v="0"/>
    <n v="0"/>
    <s v="LINESTRING (9.663788825316121 59.07585436372082, 9.663724403606773 59.075823305370335, 9.663694060260607 59.07578825337543)"/>
    <s v="[910714, 910722]"/>
    <s v="[884236, 518528]"/>
    <s v="1.3785100737037346"/>
    <s v="[873669, 884236]"/>
    <s v="[0.607, 2.292]"/>
    <s v="9.34341590911002"/>
    <s v="[0.607, 2.292]"/>
  </r>
  <r>
    <x v="1440"/>
    <x v="1608"/>
    <x v="0"/>
    <s v="[0, 0, 0, 0, 1, 0, 0, 0, 0]"/>
    <s v="LINESTRING (10.811584796027836 59.92318681915737, 10.81082472665954 59.92310689033387, 10.809634392958062 59.922959315084455, 10.809186239538787 59.92289247792172, 10.80842061917012 59.92277052144694, 10.8069878700482 59.922585532062236, 10.80781617894045 59.92098548925524, 10.807907195608113 59.92057197048968, 10.808092196409905 59.91974349883571, 10.808118805253537 59.91965889220113)"/>
    <s v="[512536, 512544, 512552, 512560, 512568, 1790566, 512576, 512584, 754328]"/>
    <s v="[518546, 518555, 518565, 518576, 518586, 518595, 518596, 518607, 733315]"/>
    <s v="#FIELD!"/>
    <s v="[518534, 518546, 518555, 518565, 518576, 518586, 518595, 518596, 518607]"/>
    <s v="[0.01, 0.026, 0.032, 0.034, 0.006, 0.003, 0.017, 0.014, 0.045]"/>
    <s v="863.0585760946282"/>
    <s v="[-0.01, -0.026, -0.032, -0.034, -0.006, 0.003, 0.017, 0.014, -0.045]"/>
  </r>
  <r>
    <x v="1440"/>
    <x v="1912"/>
    <x v="0"/>
    <n v="0"/>
    <s v="LINESTRING (10.811584796027836 59.92318681915737, 10.811476517993992 59.92319326491201, 10.811375513585737 59.923184656706546, 10.808136425239939 59.92324790568646, 10.808100719800526 59.923266549831915, 10.807554400066643 59.923785938414625, 10.807001772026137 59.92427545265916, 10.80476924084405 59.92554225026965, 10.804628247498616 59.92556653003857)"/>
    <s v="[727692, 727700, 727708, 727716, 727724, 727732, 727740, 751722]"/>
    <s v="[716862, 716866, 716873, 716879, 716883, 716886, 716893, 733326]"/>
    <s v="#FIELD!"/>
    <s v="[518534, 716862, 716866, 716873, 716879, 716883, 716886, 716893]"/>
    <s v="[0.118, 0.015, 0.012, 0.096, 0.038, 0.027, 0.015, 0.006]"/>
    <s v="530.0059956035872"/>
    <s v="[-0.118, 0.015, -0.012, -0.096, -0.038, -0.027, -0.015, 0.006]"/>
  </r>
  <r>
    <x v="1441"/>
    <x v="1889"/>
    <x v="0"/>
    <n v="0"/>
    <m/>
    <n v="755523"/>
    <n v="518553"/>
    <s v="0.037"/>
    <n v="733379"/>
    <s v="0.037"/>
    <s v="32.761104987655436"/>
    <s v="0.037"/>
  </r>
  <r>
    <x v="1442"/>
    <x v="1913"/>
    <x v="0"/>
    <n v="0"/>
    <s v="LINESTRING (9.269699589691044 59.565648677155586, 9.268367913853416 59.565193844628084, 9.268176502390341 59.56508887589786, 9.268132042537335 59.5650609170358, 9.268088650084346 59.565032212868196, 9.268022873749912 59.56498778060734, 9.267687644071087 59.56466951503969, 9.26751040250407 59.563832721375306)"/>
    <s v="[512578, 512586, 512594, 512602, 512610, 512618, 512626]"/>
    <s v="[518599, 518610, 518620, 518632, 518643, 518653, 518661]"/>
    <s v="#FIELD!"/>
    <s v="[518598, 518599, 518610, 518620, 518632, 518643, 518653]"/>
    <s v="[0.111, 0.094, 0.1, 0.08, 0.091, 0.138, 0.008]"/>
    <s v="256.71828726554725"/>
    <s v="[-0.111, -0.094, -0.1, -0.08, -0.091, -0.138, -0.008]"/>
  </r>
  <r>
    <x v="1442"/>
    <x v="1913"/>
    <x v="0"/>
    <n v="0"/>
    <s v="LINESTRING (9.269699589691044 59.565648677155586, 9.26847190388546 59.56513789165239, 9.268239880710643 59.56500663655083, 9.268145673136212 59.56494063858925, 9.26781924712714 59.56463971051757, 9.26779464628649 59.56460733959351, 9.26751040250407 59.563832721375306)"/>
    <s v="[899328, 899336, 899337, 899344, 899356, 899366]"/>
    <s v="[873776, 844853, 873786, 873796, 873810, 518661]"/>
    <s v="#FIELD!"/>
    <s v="[518598, 873776, 844853, 873786, 873796, 873810]"/>
    <s v="[0.138, 0.054, 0.046, 0.044, 0.043, 0.039]"/>
    <s v="249.2361229272746"/>
    <s v="[-0.138, -0.054, -0.046, -0.044, -0.043, -0.039]"/>
  </r>
  <r>
    <x v="1442"/>
    <x v="1914"/>
    <x v="0"/>
    <n v="0"/>
    <s v="LINESTRING (9.291389122097312 59.572886119745604, 9.290462308862429 59.5718291701612, 9.290313034069811 59.57135827977683, 9.290298408184915 59.57120273890355, 9.290467282114141 59.57045012133579, 9.290579324395258 59.57019315366269, 9.290624162416176 59.570083493811936, 9.2905942542306 59.5688167458802, 9.28984200244159 59.5682676204708, 9.288904124985654 59.567926589382495, 9.28816129836428 59.56773467508303, 9.28658449606118 59.56723357468618, 9.285486181960538 59.56664359099802, 9.285070299660061 59.56641518332541, 9.284436644760051 59.56609226190111, 9.284302799055688 59.56602808758977, 9.283855049244718 59.565803456098266, 9.283115218176254 59.56543635997347, 9.2823769595036 59.56506543030229, 9.28157551518408 59.56466653175817, 9.281515700374245 59.56463690583577, 9.281053274430336 59.56442784182048, 9.280331471209207 59.56425379588236, 9.280177546946673 59.5642333677922, 9.280078326184949 59.56422255628635, 9.279650986025628 59.56419535706161, 9.278948464333974 59.564186664731196, 9.278717963787162 59.56418466260964, 9.277675695350204 59.564170261063886, 9.277252059634211 59.56415944654441, 9.276352172369531 59.564138971690255, 9.276039202875769 59.564134671540934, 9.27505484080773 59.564144401799915, 9.27410200809473 59.564238009516615, 9.273888207467703 59.56427156852722, 9.273815374567096 59.56428465748232, 9.271649456200585 59.56583420589104, 9.271506177785612 59.565869326090386, 9.269699589691044 59.565648677155586)"/>
    <s v="[986622, 986626, 986627, 986628, 986635, 986650, 986657, 986666, 986682, 986688, 986691, 986698, 986701, 986720, 986735, 986744, 986757, 986764, 986769, 986780, 986788, 986789, 986796, 986820, 986879, 986885, 986886, 986890, 986898, 986905, 986913, 986923, 986926, 986933, 986936, 986943, 986951, 986967]"/>
    <s v="[806858, 946424, 946425, 813902, 946430, 803295, 799564, 795490, 809484, 809818, 805032, 787145, 806986, 793369, 813685, 790581, 795405, 795325, 813678, 795050, 809462, 809453, 809469, 787210, 813672, 787245, 794712, 946587, 946593, 790246, 791398, 946608, 946612, 946617, 946620, 946624, 795432, 518598]"/>
    <s v="#FIELD!"/>
    <s v="[946421, 806858, 946424, 946425, 813902, 946430, 803295, 799564, 795490, 809484, 809818, 805032, 787145, 806986, 793369, 813685, 790581, 795405, 795325, 813678, 795050, 809462, 809453, 809469, 787210, 813672, 787245, 794712, 946587, 946593, 790246, 791398, 946608, 946612, 946617, 946620, 946624, 795432]"/>
    <s v="[0.002, 0.046, 0.034, 0.014, 0.028, 0.029, 0.02, 0.047, 0.118, 0.085, 0.071, 0.064, 0.09, 0.088, 0.069, 0.058, 0.064, 0.073, 0.079, 0.068, 0.065, 0.073, 0.079, 0.084, 0.087, 0.091, 0.09, 0.077, 0.032, 0.025, 0.006, 0.007, 0.004, 0.013, 0.023, 0.067, 0.034, 0.049]"/>
    <s v="1971.4575337983954"/>
    <s v="[0.002, -0.046, -0.034, -0.014, 0.028, 0.029, 0.02, -0.047, -0.118, -0.085, -0.071, -0.064, -0.09, -0.088, -0.069, -0.058, -0.064, -0.073, -0.079, -0.068, -0.065, -0.073, -0.079, -0.084, -0.087, -0.091, -0.09, -0.077, -0.032, -0.025, -0.006, -0.007, -0.004, -0.013, -0.023, -0.067, -0.034, -0.049]"/>
  </r>
  <r>
    <x v="1443"/>
    <x v="1915"/>
    <x v="0"/>
    <n v="0"/>
    <m/>
    <n v="753248"/>
    <n v="734538"/>
    <s v="0.059"/>
    <n v="518640"/>
    <s v="0.059"/>
    <s v="198.52722735178332"/>
    <s v="0.059"/>
  </r>
  <r>
    <x v="1443"/>
    <x v="1916"/>
    <x v="0"/>
    <n v="0"/>
    <s v="LINESTRING (10.779505924863535 59.901377526182685, 10.772959538703281 59.89997602354662, 10.772754739166388 59.89993977246386)"/>
    <s v="[753232, 753240]"/>
    <s v="[734527, 518640]"/>
    <s v="0.09287205280517202"/>
    <s v="[519787, 734527]"/>
    <s v="[0.088, 0.253]"/>
    <s v="411.69897773076514"/>
    <s v="[0.088, 0.253]"/>
  </r>
  <r>
    <x v="1444"/>
    <x v="1917"/>
    <x v="0"/>
    <n v="0"/>
    <m/>
    <n v="753296"/>
    <n v="519795"/>
    <s v="#FIELD!"/>
    <n v="518649"/>
    <s v="0.184"/>
    <s v="326.93745801648214"/>
    <s v="#FIELD!"/>
  </r>
  <r>
    <x v="1444"/>
    <x v="1918"/>
    <x v="0"/>
    <n v="0"/>
    <s v="LINESTRING (10.778754324344193 59.90080337009718, 10.77901366971503 59.90078627900966, 10.780595854501087 59.90122365550734, 10.783223221574016 59.90128189556499, 10.783358348227205 59.90126423218359)"/>
    <s v="[512616, 512624, 512632, 1834347]"/>
    <s v="[518650, 518658, 518667, 1609668]"/>
    <s v="#FIELD!"/>
    <s v="[518649, 518650, 518658, 518667]"/>
    <s v="[0.356, 0.153, 0.02, 2.124]"/>
    <s v="276.12032868117615"/>
    <s v="[0.356, -0.153, -0.02, -2.124]"/>
  </r>
  <r>
    <x v="1444"/>
    <x v="1919"/>
    <x v="0"/>
    <n v="0"/>
    <m/>
    <n v="753288"/>
    <n v="518649"/>
    <s v="#FIELD!"/>
    <n v="734567"/>
    <s v="0.042"/>
    <s v="782.7255907206743"/>
    <s v="#FIELD!"/>
  </r>
  <r>
    <x v="1445"/>
    <x v="1920"/>
    <x v="141"/>
    <n v="0"/>
    <m/>
    <n v="986968"/>
    <n v="518669"/>
    <s v="#FIELD!"/>
    <n v="518661"/>
    <s v="0.025"/>
    <s v="83.01832015322941"/>
    <s v="#FIELD!"/>
  </r>
  <r>
    <x v="1446"/>
    <x v="1921"/>
    <x v="0"/>
    <n v="0"/>
    <s v="LINESTRING (9.26751711818272 59.563088192628484, 9.267370866330477 59.56245415841941, 9.267352650047616 59.56240828592225, 9.267028638620856 59.561925110059256, 9.266945599268613 59.561838519107106, 9.265938138833345 59.56086392439569)"/>
    <s v="[512634, 512642, 512650, 512658, 512666]"/>
    <s v="[518670, 518680, 518689, 518699, 518709]"/>
    <s v="#FIELD!"/>
    <s v="[518669, 518670, 518680, 518689, 518699]"/>
    <s v="[0.027, 0.025, 0.05, 0.072, 0.047]"/>
    <s v="267.3539268856277"/>
    <s v="[-0.027, -0.025, -0.05, -0.072, -0.047]"/>
  </r>
  <r>
    <x v="1446"/>
    <x v="1921"/>
    <x v="0"/>
    <n v="0"/>
    <s v="LINESTRING (9.26751711818272 59.563088192628484, 9.26748382006118 59.56239553051056, 9.267173912124838 59.561896735153574, 9.267118053217345 59.561839334065326, 9.267084336052514 59.56180707558889, 9.267030780938818 59.56175977673375, 9.265938138833345 59.56086392439569)"/>
    <s v="[899369, 899385, 899416, 899424, 899432, 899435]"/>
    <s v="[873822, 873839, 861472, 873887, 873898, 518709]"/>
    <s v="#FIELD!"/>
    <s v="[518669, 873822, 873839, 861472, 873887, 873898]"/>
    <s v="[0.016, 0.098, 0.11, 0.12, 0.116, 0.042]"/>
    <s v="270.89462271177433"/>
    <s v="[0.016, -0.098, -0.11, -0.12, -0.116, -0.042]"/>
  </r>
  <r>
    <x v="1447"/>
    <x v="1922"/>
    <x v="0"/>
    <n v="0"/>
    <m/>
    <n v="986979"/>
    <n v="518721"/>
    <s v="#FIELD!"/>
    <n v="518709"/>
    <s v="0.054"/>
    <s v="112.1766465982981"/>
    <s v="#FIELD!"/>
  </r>
  <r>
    <x v="1448"/>
    <x v="1923"/>
    <x v="0"/>
    <n v="0"/>
    <s v="LINESTRING (10.782780911627752 59.90248147794038, 10.782833787985995 59.90250205460493, 10.782873465975666 59.90254198964221, 10.782867893257785 59.902585869506, 10.78264031395468 59.90264421453004)"/>
    <s v="[513816, 513824, 513832, 513840]"/>
    <s v="[520069, 520079, 520088, 520036]"/>
    <s v="#FIELD!"/>
    <s v="[518718, 520069, 520079, 520088]"/>
    <s v="[0.209, 0.283, 0.331, 0.058]"/>
    <s v="29.14952988703738"/>
    <s v="[-0.209, -0.283, -0.331, -0.058]"/>
  </r>
  <r>
    <x v="1448"/>
    <x v="1924"/>
    <x v="0"/>
    <n v="0"/>
    <m/>
    <n v="513808"/>
    <n v="518718"/>
    <s v="0.038"/>
    <n v="518727"/>
    <s v="0.038"/>
    <s v="15.796232064770068"/>
    <s v="0.038"/>
  </r>
  <r>
    <x v="1449"/>
    <x v="1925"/>
    <x v="0"/>
    <n v="0"/>
    <s v="LINESTRING (9.265587030170746 59.559888077464855, 9.2655824653114 59.55925522442282, 9.265584574982977 59.55921623994054, 9.265556324181011 59.55880822140914, 9.265529676719904 59.558707615669654, 9.264732623792613 59.557969740098706, 9.263670853792977 59.55762127543192)"/>
    <s v="[512674, 512682, 512690, 512698, 512706, 512714]"/>
    <s v="[518722, 518731, 518743, 501526, 518760, 518771]"/>
    <s v="#FIELD!"/>
    <s v="[518721, 518722, 518731, 518743, 501526, 518760]"/>
    <s v="[0.054, 0.054, 0.051, 0.04, 0.026, 0.021]"/>
    <s v="299.0870580739172"/>
    <s v="[-0.054, -0.054, -0.051, -0.04, -0.026, -0.021]"/>
  </r>
  <r>
    <x v="1449"/>
    <x v="1925"/>
    <x v="0"/>
    <n v="0"/>
    <s v="LINESTRING (9.265587030170746 59.559888077464855, 9.26570672057114 59.55920474646855, 9.265683311426352 59.55878091739466, 9.265670467718403 59.5587331021528, 9.265642469666568 59.55866422275297, 9.264816521419162 59.55793581730037, 9.263670853792977 59.55762127543192)"/>
    <s v="[899474, 899475, 899482, 899483, 899491, 899493]"/>
    <s v="[873945, 873946, 502037, 501527, 873964, 518771]"/>
    <s v="#FIELD!"/>
    <s v="[518721, 873945, 873946, 502037, 501527, 873964]"/>
    <s v="[0.058, 0.067, 0.067, 0.06, 0.045, 0.025]"/>
    <s v="306.48322510483575"/>
    <s v="[-0.058, -0.067, -0.067, -0.06, -0.045, 0.025]"/>
  </r>
  <r>
    <x v="1450"/>
    <x v="1918"/>
    <x v="0"/>
    <n v="0"/>
    <s v="LINESTRING (10.782537439103095 59.902524027871706, 10.782509661475453 59.90247185900559, 10.782493943058876 59.90243819452612, 10.78242637442162 59.90227187082859, 10.783161504499212 59.90134659901506, 10.783221113735365 59.90132668670536, 10.783358348227205 59.90126423218359)"/>
    <s v="[512680, 512688, 512696, 512704, 512712, 1834340]"/>
    <s v="[518728, 518740, 518751, 518757, 518768, 1609668]"/>
    <s v="0.12105991750380805"/>
    <s v="[518727, 518728, 518740, 518751, 518757, 518768]"/>
    <s v="[0.275, 0.258, 0.288, 0.223, 0.086, 1.484]"/>
    <s v="162.5197282762458"/>
    <s v="[0.275, 0.258, 0.288, 0.223, 0.086, -1.484]"/>
  </r>
  <r>
    <x v="1450"/>
    <x v="1926"/>
    <x v="0"/>
    <n v="0"/>
    <m/>
    <n v="513800"/>
    <n v="518727"/>
    <s v="0.312"/>
    <n v="520043"/>
    <s v="0.312"/>
    <s v="3.8470768121466525"/>
    <s v="0.312"/>
  </r>
  <r>
    <x v="1451"/>
    <x v="1864"/>
    <x v="0"/>
    <n v="0"/>
    <s v="LINESTRING (9.263670853792977 59.55762127543192, 9.26316364533786 59.557517197064854, 9.259411614363295 59.55716650070255)"/>
    <s v="[986987, 986995]"/>
    <s v="[946651, 518781]"/>
    <s v="#FIELD!"/>
    <s v="[518771, 946651]"/>
    <s v="[0.009, 0.03]"/>
    <s v="248.72527702454383"/>
    <s v="[-0.009, -0.03]"/>
  </r>
  <r>
    <x v="1452"/>
    <x v="1927"/>
    <x v="0"/>
    <n v="0"/>
    <s v="LINESTRING (10.84791728252922 59.81848789873017, 10.848307004887355 59.818425515487064, 10.848751774292143 59.818423996524935)"/>
    <s v="[512768, 512776]"/>
    <s v="[518838, 518846]"/>
    <s v="#FIELD!"/>
    <s v="[518828, 518838]"/>
    <s v="[0.084, 0.092]"/>
    <s v="48.11476246715151"/>
    <s v="[-0.084, -0.092]"/>
  </r>
  <r>
    <x v="1452"/>
    <x v="1928"/>
    <x v="0"/>
    <n v="0"/>
    <s v="LINESTRING (10.84791728252922 59.81848789873017, 10.847821754051049 59.818579530140234, 10.846971276991692 59.820502015104346, 10.846860078552593 59.82057762285806)"/>
    <s v="[512848, 512856, 754984]"/>
    <s v="[518930, 518940, 734655]"/>
    <s v="#FIELD!"/>
    <s v="[518828, 518930, 518940]"/>
    <s v="[0.03, 0.033, 0.038]"/>
    <s v="246.604098422739"/>
    <s v="[0.03, -0.033, -0.038]"/>
  </r>
  <r>
    <x v="1452"/>
    <x v="1929"/>
    <x v="0"/>
    <n v="0"/>
    <s v="LINESTRING (10.84583861414047 59.81899387027715, 10.846366796741664 59.81848155348712, 10.84697325987189 59.81824004297559, 10.847412014428675 59.81815482816073, 10.847844983128377 59.818207578903966, 10.84791728252922 59.81848789873017)"/>
    <s v="[512800, 512808, 512816, 512824, 998982]"/>
    <s v="[518879, 518889, 518898, 518907, 518828]"/>
    <s v="#FIELD!"/>
    <s v="[518866, 518879, 518889, 518898, 518907]"/>
    <s v="[0.037, 0.026, 0.008, 0.059, 0.026]"/>
    <s v="192.01418860797"/>
    <s v="[-0.037, 0.026, 0.008, -0.059, -0.026]"/>
  </r>
  <r>
    <x v="1452"/>
    <x v="1930"/>
    <x v="0"/>
    <n v="0"/>
    <s v="LINESTRING (10.845397306775608 59.81680092180593, 10.845543724377947 59.81684756782572, 10.84791728252922 59.81848789873017)"/>
    <s v="[754968, 512760]"/>
    <s v="[518827, 518828]"/>
    <s v="#FIELD!"/>
    <s v="[734641, 518827]"/>
    <s v="[0.002, 0.046]"/>
    <s v="259.235038172199"/>
    <s v="[0.002, -0.046]"/>
  </r>
  <r>
    <x v="1453"/>
    <x v="1931"/>
    <x v="0"/>
    <s v="[0, 0, 1, 1, 0]"/>
    <s v="LINESTRING (9.254786522860824 59.55775509867212, 9.25394669422938 59.55807572605175, 9.253665371311056 59.558182317928434, 9.253591388659743 59.55820890177445, 9.252112129419132 59.55873885054254, 9.251195529278393 59.559020207301714)"/>
    <s v="[987003, 987011, 987021, 987022, 987023]"/>
    <s v="[501073, 946667, 946673, 946674, 518869]"/>
    <s v="#FIELD!"/>
    <s v="[518859, 501073, 946667, 946673, 946674]"/>
    <s v="[0.026, 0.041, 0.05, 0.012, 0.016]"/>
    <s v="247.56183021576226"/>
    <s v="[-0.026, -0.041, -0.05, -0.012, 0.016]"/>
  </r>
  <r>
    <x v="1454"/>
    <x v="1932"/>
    <x v="0"/>
    <n v="0"/>
    <s v="LINESTRING (10.84583861414047 59.81899387027715, 10.845877198310212 59.819037825467525, 10.844773614748814 59.81670567112048, 10.840908517835338 59.81454505482164, 10.840923698293526 59.81445202647177)"/>
    <s v="[512832, 512840, 1498189, 1507984]"/>
    <s v="[518915, 518922, 1356094, 1363672]"/>
    <s v="0.00729734456515291"/>
    <s v="[518866, 518915, 518922, 1356094]"/>
    <s v="[0.132, 0.021, 0.006, 0.05]"/>
    <s v="753.0889357153316"/>
    <s v="[-0.132, 0.021, -0.006, -0.05]"/>
  </r>
  <r>
    <x v="1454"/>
    <x v="1933"/>
    <x v="0"/>
    <n v="0"/>
    <s v="LINESTRING (10.845441590825656 59.82287498896654, 10.845381168108366 59.82278676281353, 10.845786644009351 59.81944622042223, 10.84583861414047 59.81899387027715)"/>
    <s v="[754976, 512784, 512792]"/>
    <s v="[518856, 518857, 518866]"/>
    <s v="0.03220166927418848"/>
    <s v="[735844, 518856, 518857]"/>
    <s v="[0.118, 0.031, 0.024]"/>
    <s v="451.6131999360703"/>
    <s v="[0.118, 0.031, 0.024]"/>
  </r>
  <r>
    <x v="1455"/>
    <x v="1934"/>
    <x v="0"/>
    <n v="0"/>
    <s v="LINESTRING (9.251195529278393 59.559020207301714, 9.250058517353027 59.559367787812214, 9.249966539434455 59.55939781683092, 9.249442273770345 59.55960460061382, 9.249326449478982 59.559659963328436, 9.24882105614397 59.55991355874533, 9.248220105821561 59.56021730412643, 9.248118638177013 59.56026866259105, 9.248009268076693 59.5603240116597, 9.247488175892395 59.560582050715134, 9.24714078676487 59.56074679633274, 9.247091022410807 59.56076892612706, 9.246528151323181 59.56092701591711)"/>
    <s v="[512794, 512802, 512810, 512818, 512826, 512834, 512842, 512850, 512858, 512866, 512874, 512882]"/>
    <s v="[518870, 518882, 518892, 518900, 518910, 518918, 518925, 518933, 518943, 518955, 501523, 518975]"/>
    <s v="0.030757232775863612"/>
    <s v="[518869, 518870, 518882, 518892, 518900, 518910, 518918, 518925, 518933, 518943, 518955, 501523]"/>
    <s v="[0.013, 0.004, 0.004, 0.059, 0.079, 0.046, 0.024, 0.012, 0.028, 0.046, 0.033, 0.017]"/>
    <s v="341.64018165686497"/>
    <s v="[0.013, 0.004, 0.004, 0.059, 0.079, 0.046, 0.024, 0.012, 0.028, 0.046, 0.033, 0.017]"/>
  </r>
  <r>
    <x v="1455"/>
    <x v="1934"/>
    <x v="0"/>
    <n v="0"/>
    <s v="LINESTRING (9.251195529278393 59.559020207301714, 9.249897181921593 59.55934050578506, 9.249356007049732 59.55954898371342, 9.249272927785304 59.55958940562974, 9.249234788429055 59.55960819555614, 9.249171741111248 59.559639246852335, 9.248754364670033 59.559852592710776, 9.248070044187275 59.56019709726253, 9.247957865941206 59.560252583574496, 9.247413613609814 59.56052323958978, 9.247342295662586 59.560559065691784, 9.24706173955245 59.56069740146339, 9.24701018219976 59.56072161267429, 9.246528151323181 59.56092701591711)"/>
    <s v="[899556, 899569, 899570, 899571, 899572, 899580, 899588, 899596, 899597, 899598, 899605, 899613, 899617]"/>
    <s v="[874032, 874045, 863672, 874046, 840928, 874056, 844834, 874072, 874073, 874074, 874083, 874092, 518975]"/>
    <s v="0.030751584261720165"/>
    <s v="[518869, 874032, 874045, 863672, 874046, 840928, 874056, 844834, 874072, 874073, 874074, 874083, 874092]"/>
    <s v="[0.006, 0.007, 0.007, 0.005, 0.025, 0.096, 0.083, 0.059, 0.081, 0.105, 0.092, 0.072, 0.124]"/>
    <s v="342.37862945141023"/>
    <s v="[0.006, -0.007, -0.007, -0.005, 0.025, 0.096, 0.083, 0.059, 0.081, 0.105, 0.092, 0.072, -0.124]"/>
  </r>
  <r>
    <x v="1456"/>
    <x v="1935"/>
    <x v="0"/>
    <n v="0"/>
    <s v="LINESTRING (10.840662063966521 59.838804153483544, 10.84083637892402 59.83878221936644, 10.840947277710686 59.83879828932655, 10.841059624667118 59.83884924602072, 10.840861357665325 59.83907678019979)"/>
    <s v="[728620, 728628, 728636, 728644]"/>
    <s v="[717470, 717477, 717484, 519028]"/>
    <s v="0.005793442601840337"/>
    <s v="[518963, 717470, 717477, 717484]"/>
    <s v="[0.564, 0.035, 0.026, 0.178]"/>
    <s v="57.60061780829285"/>
    <s v="[0.564, 0.035, 0.026, -0.178]"/>
  </r>
  <r>
    <x v="1456"/>
    <x v="1936"/>
    <x v="0"/>
    <n v="0"/>
    <m/>
    <n v="728612"/>
    <n v="518963"/>
    <s v="#FIELD!"/>
    <n v="717464"/>
    <s v="0.341"/>
    <s v="17.127287697163958"/>
    <s v="#FIELD!"/>
  </r>
  <r>
    <x v="1456"/>
    <x v="1937"/>
    <x v="0"/>
    <n v="0"/>
    <s v="LINESTRING (10.839655833009875 59.83587398220009, 10.839718825330854 59.83595599819637, 10.840606797870475 59.838779351054484, 10.840662063966521 59.838804153483544)"/>
    <s v="[754992, 512864, 512872]"/>
    <s v="[518951, 518952, 518963]"/>
    <s v="0.03772584131159037"/>
    <s v="[734676, 518951, 518952]"/>
    <s v="[0.078, 0.037, 0.001]"/>
    <s v="336.08485348666744"/>
    <s v="[0.078, 0.037, -0.001]"/>
  </r>
  <r>
    <x v="1457"/>
    <x v="1938"/>
    <x v="142"/>
    <n v="0"/>
    <s v="LINESTRING (9.246528151323181 59.56092701591711, 9.245004115827138 59.56121232058043, 9.243237471465687 59.561299339857186, 9.241711261218393 59.561071582434174, 9.236659282438973 59.56109011127966, 9.236094412884478 59.56111158826915, 9.235346645538446 59.56111536074694)"/>
    <s v="[987034, 987044, 987052, 987060, 987079, 987087]"/>
    <s v="[812776, 812802, 793394, 946698, 946710, 518981]"/>
    <s v="#FIELD!"/>
    <s v="[518975, 812776, 812802, 793394, 946698, 946710]"/>
    <s v="[0.014, 0.001, 0.014, 0.007, 0.047, 0.054]"/>
    <s v="649.2335144337998"/>
    <s v="[0.014, -0.001, -0.014, 0.007, -0.047, -0.054]"/>
  </r>
  <r>
    <x v="1458"/>
    <x v="1939"/>
    <x v="0"/>
    <n v="0"/>
    <s v="LINESTRING (10.838818862033069 59.83965007010138, 10.838642505137082 59.83965370277835, 10.838566084356136 59.83963091811131, 10.838515351331967 59.839598579799194, 10.838732745895179 59.83942685156435)"/>
    <s v="[728676, 728684, 728692, 728700]"/>
    <s v="[717511, 717516, 717521, 519007]"/>
    <s v="#FIELD!"/>
    <s v="[518979, 717511, 717516, 717521]"/>
    <s v="[0.203, 0.01, 0.011, 0.094]"/>
    <s v="46.885257813781"/>
    <s v="[0.203, -0.01, -0.011, -0.094]"/>
  </r>
  <r>
    <x v="1458"/>
    <x v="1940"/>
    <x v="0"/>
    <n v="0"/>
    <m/>
    <n v="728732"/>
    <n v="518979"/>
    <s v="#FIELD!"/>
    <n v="717544"/>
    <s v="0.111"/>
    <s v="15.517745824023299"/>
    <s v="#FIELD!"/>
  </r>
  <r>
    <x v="1458"/>
    <x v="1941"/>
    <x v="0"/>
    <n v="0"/>
    <s v="LINESTRING (10.838663619354561 59.841683280512, 10.83863058959596 59.84158504852503, 10.838874497798159 59.83967720472178, 10.838818862033069 59.83965007010138)"/>
    <s v="[755000, 512880, 512888]"/>
    <s v="[518971, 518972, 518979]"/>
    <s v="#FIELD!"/>
    <s v="[735861, 518971, 518972]"/>
    <s v="[0.013, 0.027, 0.003]"/>
    <s v="236.04476721517494"/>
    <s v="[-0.013, -0.027, -0.003]"/>
  </r>
  <r>
    <x v="1459"/>
    <x v="1942"/>
    <x v="0"/>
    <n v="0"/>
    <s v="LINESTRING (9.235346645538446 59.56111536074694, 9.232602697998157 59.56145041759079, 9.232467823606134 59.561487163201306, 9.231481398327348 59.56185707925371, 9.231370768819783 59.56191150442628, 9.229500772931761 59.563069124710076)"/>
    <s v="[512890, 512898, 512906, 512914, 512922]"/>
    <s v="[518982, 518991, 519000, 519011, 519021]"/>
    <s v="0.0034366904102216805"/>
    <s v="[518981, 518982, 518991, 519000, 519011]"/>
    <s v="[0.007, 0.018, 0.007, 0.033, 0.019]"/>
    <s v="415.25722083577796"/>
    <s v="[-0.007, 0.018, -0.007, -0.033, 0.019]"/>
  </r>
  <r>
    <x v="1459"/>
    <x v="1942"/>
    <x v="0"/>
    <n v="0"/>
    <s v="LINESTRING (9.235346645538446 59.56111536074694, 9.232395808691368 59.561423774240275, 9.23137899588857 59.56180259097866, 9.231308840079246 59.56183700189769, 9.231260158956678 59.56186328785811, 9.2311987750591 59.56189485469536, 9.229500772931761 59.563069124710076)"/>
    <s v="[899618, 899641, 899660, 899661, 899669, 899677]"/>
    <s v="[874097, 874122, 863673, 874139, 840957, 519021]"/>
    <s v="0.0032922050770814635"/>
    <s v="[518981, 874097, 874122, 863673, 874139, 840957]"/>
    <s v="[0.022, 0.059, 0.058, 0.067, 0.01, 0.015]"/>
    <s v="421.8428010338064"/>
    <s v="[0.022, -0.059, -0.058, -0.067, -0.01, 0.015]"/>
  </r>
  <r>
    <x v="1460"/>
    <x v="1943"/>
    <x v="143"/>
    <s v="[1, 0]"/>
    <s v="LINESTRING (10.83924359861153 59.83938729620402, 10.84011388416226 59.83913295858106, 10.84026160479353 59.83908953962539)"/>
    <s v="[512896, 512904]"/>
    <s v="[518988, 518997]"/>
    <s v="#FIELD!"/>
    <s v="[518987, 518988]"/>
    <s v="[0.042, 0.033]"/>
    <s v="66.03713605621917"/>
    <s v="[-0.042, -0.033]"/>
  </r>
  <r>
    <x v="1460"/>
    <x v="1944"/>
    <x v="0"/>
    <n v="0"/>
    <s v="LINESTRING (10.838841930124426 59.839443642242564, 10.838938298726301 59.839435040458945, 10.83924359861153 59.83938729620402)"/>
    <s v="[755008, 755016]"/>
    <s v="[735866, 518987]"/>
    <s v="#FIELD!"/>
    <s v="[717531, 735866]"/>
    <s v="[0.528, 0.045]"/>
    <s v="23.419559102559106"/>
    <s v="[-0.528, -0.045]"/>
  </r>
  <r>
    <x v="1460"/>
    <x v="1940"/>
    <x v="0"/>
    <n v="0"/>
    <s v="LINESTRING (10.83895424063533 59.839536049215674, 10.839025473053814 59.83949585661414, 10.83924359861153 59.83938729620402)"/>
    <s v="[780346, 780354]"/>
    <s v="[760470, 518987]"/>
    <s v="#FIELD!"/>
    <s v="[717544, 760470]"/>
    <s v="[0.002, 0.205]"/>
    <s v="23.20707231543041"/>
    <s v="[-0.002, -0.205]"/>
  </r>
  <r>
    <x v="1461"/>
    <x v="1936"/>
    <x v="0"/>
    <n v="0"/>
    <s v="LINESTRING (10.84026160479353 59.83908953962539, 10.84044199761551 59.83898308296967, 10.840521266863043 59.83893430557715)"/>
    <s v="[755024, 755032]"/>
    <s v="[735876, 717464]"/>
    <s v="0.2105906223329771"/>
    <s v="[518997, 735876]"/>
    <s v="[0.031, 0.747]"/>
    <s v="22.614109808748417"/>
    <s v="[-0.031, 0.747]"/>
  </r>
  <r>
    <x v="1461"/>
    <x v="1945"/>
    <x v="0"/>
    <n v="0"/>
    <s v="LINESTRING (10.84026160479353 59.83908953962539, 10.840549952214324 59.83905646908687, 10.84064937251302 59.839052026689416)"/>
    <s v="[780362, 780370]"/>
    <s v="[760484, 717493]"/>
    <s v="0.2475989329441306"/>
    <s v="[518997, 760484]"/>
    <s v="[0.331, 0.001]"/>
    <s v="22.28427937961939"/>
    <s v="[0.331, -0.001]"/>
  </r>
  <r>
    <x v="1462"/>
    <x v="1944"/>
    <x v="0"/>
    <n v="0"/>
    <m/>
    <n v="728708"/>
    <n v="717531"/>
    <s v="0.391"/>
    <n v="519007"/>
    <s v="0.391"/>
    <s v="6.403103153934308"/>
    <s v="0.391"/>
  </r>
  <r>
    <x v="1462"/>
    <x v="1946"/>
    <x v="0"/>
    <n v="0"/>
    <s v="LINESTRING (10.838732745895179 59.83942685156435, 10.838771127938637 59.83939391798389, 10.839363982617142 59.83606524807579, 10.839424770188717 59.83597905826152)"/>
    <s v="[512912, 512920, 755064]"/>
    <s v="[519008, 519018, 735910]"/>
    <s v="#FIELD!"/>
    <s v="[519007, 519008, 519018]"/>
    <s v="[0.053, 0.043, 0.071]"/>
    <s v="391.8828828661266"/>
    <s v="[-0.053, -0.043, -0.071]"/>
  </r>
  <r>
    <x v="1463"/>
    <x v="1947"/>
    <x v="0"/>
    <n v="0"/>
    <s v="LINESTRING (9.229500772931761 59.563069124710076, 9.226339622050888 59.5645836289273, 9.225602460166966 59.56478474893657)"/>
    <s v="[987089, 1391263]"/>
    <s v="[946717, 1275989]"/>
    <s v="0.03815375604158468"/>
    <s v="[519021, 946717]"/>
    <s v="[0.019, 0.337]"/>
    <s v="294.97784024457985"/>
    <s v="[-0.019, 0.337]"/>
  </r>
  <r>
    <x v="1464"/>
    <x v="1945"/>
    <x v="0"/>
    <n v="0"/>
    <m/>
    <n v="728652"/>
    <n v="717493"/>
    <s v="0.502"/>
    <n v="519028"/>
    <s v="0.502"/>
    <s v="12.448010129188383"/>
    <s v="0.502"/>
  </r>
  <r>
    <x v="1464"/>
    <x v="1948"/>
    <x v="144"/>
    <n v="0"/>
    <s v="LINESTRING (10.840861357665325 59.83907678019979, 10.840776157504054 59.83913713963441, 10.838683093909536 59.842100479134075, 10.838588142971291 59.842172711818904)"/>
    <s v="[512928, 512936, 755096]"/>
    <s v="[519029, 519040, 734712]"/>
    <s v="0.03564321944266432"/>
    <s v="[519028, 519029, 519040]"/>
    <s v="[0.016, 0.035, 0.076]"/>
    <s v="371.4746240008281"/>
    <s v="[0.016, 0.035, 0.076]"/>
  </r>
  <r>
    <x v="1465"/>
    <x v="1949"/>
    <x v="0"/>
    <n v="0"/>
    <s v="LINESTRING (9.174190244358895 59.578766094791106, 9.173091561455962 59.57937472510124, 9.173052471905061 59.57939563084079, 9.172745696763071 59.579556857776396, 9.17260713464315 59.57962710461438, 9.172551572393338 59.57965527820296, 9.172511735416126 59.57967547523863, 9.17243867744349 59.579712518564534, 9.171908877927965 59.57996395059917, 9.170669806279154 59.58050914653779)"/>
    <s v="[512930, 512938, 512946, 512954, 512962, 512970, 512978, 512986, 512994]"/>
    <s v="[519033, 519043, 519055, 519062, 519072, 519083, 519093, 519104, 519114]"/>
    <s v="#FIELD!"/>
    <s v="[519032, 519033, 519043, 519055, 519062, 519072, 519083, 519093, 519104]"/>
    <s v="[0.008, 0.02, 0.019, 0.021, 0.023, 0.021, 0.02, 0.01, 0.003]"/>
    <s v="278.6433917799443"/>
    <s v="[-0.008, -0.02, -0.019, -0.021, -0.023, -0.021, -0.02, -0.01, 0.003]"/>
  </r>
  <r>
    <x v="1465"/>
    <x v="1949"/>
    <x v="0"/>
    <n v="0"/>
    <s v="LINESTRING (9.174190244358895 59.578766094791106, 9.17296480152584 59.57935455474022, 9.172649331293659 59.579511576219055, 9.172461817757661 59.579608824191105, 9.172347994589598 59.57966496973188, 9.171827228170534 59.57991978454992, 9.17177414549761 59.57994532274438, 9.170669806279154 59.58050914653779)"/>
    <s v="[899685, 899693, 899701, 899709, 899717, 899722, 899738]"/>
    <s v="[874166, 874177, 874183, 874191, 874198, 874206, 519114]"/>
    <s v="#FIELD!"/>
    <s v="[519032, 874166, 874177, 874183, 874191, 874198, 874206]"/>
    <s v="[0.01, 0.008, 0.006, 0.003, 0.002, 0.001, 0.037]"/>
    <s v="278.51565020380673"/>
    <s v="[0.01, 0.008, 0.006, 0.003, 0.002, -0.001, -0.037]"/>
  </r>
  <r>
    <x v="1465"/>
    <x v="1950"/>
    <x v="0"/>
    <n v="0"/>
    <s v="LINESTRING (9.189052320248978 59.576530592130915, 9.188012533653842 59.576747083794174, 9.186840047409046 59.57699703511875, 9.184644983314776 59.577429819367, 9.183651990724004 59.57761566532126, 9.182085408509074 59.57793521423547, 9.181147805268356 59.57808165772047, 9.175694821198793 59.57823188708569, 9.174190244358895 59.578766094791106)"/>
    <s v="[987143, 987154, 987162, 987165, 987167, 987175, 987177, 987178]"/>
    <s v="[809654, 803891, 803622, 946774, 923223, 802974, 946776, 519032]"/>
    <s v="0.003408410569174445"/>
    <s v="[946758, 809654, 803891, 803622, 946774, 923223, 802974, 946776]"/>
    <s v="[0.001, 0.004, 0.006, 0.029, 0.04, 0.019, 0.006, 0.015]"/>
    <s v="895.4057851691143"/>
    <s v="[-0.001, -0.004, -0.006, 0.029, 0.04, -0.019, -0.006, 0.015]"/>
  </r>
  <r>
    <x v="1466"/>
    <x v="1951"/>
    <x v="0"/>
    <s v="[0, 0, 0, 0, 0, 0, 0, 0, 0, 0, 0, 0, 0, 0, 0, 0, 0, 0, 0, 0, 0, 0, 0, 0, 0, 0, 0, 0, 0, 0, 0, 0, 0, 1, 0, 0, 0, 0, 0, 0, 0, 0, 0, 0, 0, 0, 0, 0, 0, 0, 0, 0, 0, 0, 0, 0, 0, 0, 0, 0, 0, 0, 0, 0, 0, 0, 0, 0, 0, 0, 0, 0, 0, 0, 0, 0, 0, 0, 0, 0, 0, 0, 0, 0, 0, 0, 0, 0, 0, 0, 0, 0, 0, 0, 0, 0, 0, 0, 0, 0, 0, 0, 0, 0, 0, 0, 0, 1, 0, 0]"/>
    <s v="LINESTRING (9.170669806279154 59.58050914653779, 9.169654051405582 59.58105754472026, 9.167879474427885 59.58203429707326, 9.166545975401544 59.582653499616114, 9.163277504056532 59.58417430201025, 9.162956585106985 59.584343536811566, 9.158999816538188 59.586845336147434, 9.158240228345361 59.58732041012352, 9.156874242195647 59.58818504354577, 9.155817568714431 59.58885060438886, 9.155522536440209 59.589037799151164, 9.155117052314722 59.58929544688588, 9.153687287365198 59.590205010196364, 9.153656764302193 59.590226024338975, 9.152838169068628 59.59073967085865, 9.152546114938904 59.59091853963153, 9.148546160111806 59.592209057192086, 9.14500744379009 59.5931159620706, 9.144122566273893 59.593540736649516, 9.143140894409504 59.594019412652, 9.140658027835583 59.59517971152391, 9.140544759188968 59.59523184201689, 9.140434189181697 59.59528305819178, 9.13942016642788 59.595744511494054, 9.13854354435437 59.5959997745149, 9.138104110980386 59.596066800184, 9.137568451793507 59.59613153899682, 9.136482771286214 59.59627985655778, 9.135991113255804 59.5963585027385, 9.1343763459777 59.59665936419719, 9.134023022601571 59.596738284219136, 9.131898221807628 59.597400565414404, 9.131622244991066 59.59749602738144, 9.128359284367084 59.598166060462006, 9.128199876970958 59.5981922306076, 9.127347465512326 59.598332697199, 9.125268327110634 59.59879695640958, 9.12503960137101 59.59886945774189, 9.124341627014685 59.59908999388011, 9.123831503802029 59.59924931456001, 9.122055424967073 59.59980715425634, 9.121158517224321 59.60010214196961, 9.11883847007637 59.60075084277792, 9.116157009389234 59.60099083229353, 9.116038586420986 59.60099169062761, 9.115898098288161 59.60099258098342, 9.112692246724322 59.601008192399235, 9.111287646110663 59.60091486263462, 9.109520841590786 59.6005698384778, 9.109194093647751 59.6004996039321, 9.108142795231556 59.60027433631755, 9.107949021222092 59.600233884306846, 9.107190117005274 59.60007395632468, 9.106529284775604 59.599931378396384, 9.106300907728022 59.599882177618724, 9.105701800978984 59.59975355404595, 9.10559713646705 59.59972989603237, 9.099869328448253 59.59861068773168, 9.09641187551054 59.59845744439874, 9.09527285370434 59.5984738094144, 9.095142710865924 59.598475802147924, 9.095017808380959 59.59847778864254, 9.094695415990993 59.598483079238484, 9.09281991027934 59.59845875821918, 9.087504071951551 59.596638774762916, 9.079985130605301 59.595166547765196, 9.076737827472972 59.59574368363377, 9.074717190733042 59.59643478301749, 9.072943085166628 59.59659012390157, 9.070424928576891 59.596558847622426, 9.068101049569393 59.59658209541061, 9.067467648194478 59.59673057766737, 9.063471094323138 59.59782806261978, 9.061139731115071 59.59845735140245, 9.06061248086399 59.59860235612493, 9.058398766006844 59.59920784207207, 9.057768553183793 59.599381688942735, 9.049828032467863 59.60155551439172, 9.048105225934398 59.60202513824437, 9.047857226235465 59.602093786100184, 9.045276517032086 59.60279570786974, 9.045189259134418 59.60281524622168, 9.044494302721118 59.60294672566348, 9.029841532863065 59.60419953200293, 9.027913467123511 59.60414420449541, 9.026239993652739 59.60433113622505, 9.024933479043169 59.60460753504224, 9.023110493718947 59.605434023727554, 9.021596177003369 59.606610688663295, 9.021243479886996 59.608058832778426, 9.020466931792171 59.609249941766606, 9.019221464067257 59.61048450986198, 9.019163074363025 59.61051840944724, 9.019114533424434 59.610545403912, 9.018361830786874 59.610864979844884, 9.018329015845744 59.61087552399906, 9.016633647378343 59.611265152638786, 9.016472854190157 59.61129835721599, 9.015870938440637 59.61142459142703, 9.01432843421521 59.6117461846809, 9.013855597919093 59.611844705498804, 9.013019609737519 59.612017723899896, 9.01200858837143 59.61218676385559, 9.010803253941551 59.612234912882016, 9.008774665709836 59.61193165345831, 9.008042387181339 59.61174772862453, 9.006532107133259 59.611367404011666, 9.004987565037897 59.611077931656595, 9.004331717751635 59.6110033798895, 9.004077464896467 59.610983135129786, 9.001501071120364 59.61099611820285)"/>
    <s v="[987185, 987194, 987201, 987203, 987211, 987212, 987216, 987236, 987237, 987238, 987239, 987251, 987271, 987289, 987290, 987297, 987304, 987325, 987336, 987353, 987360, 987374, 987385, 987396, 987404, 987411, 987419, 987421, 987435, 987443, 987449, 987462, 987481, 987482, 987496, 987502, 987511, 987528, 987529, 987535, 987544, 987545, 987546, 987547, 987552, 987563, 987570, 987577, 987584, 987592, 987593, 987597, 987605, 987611, 987615, 987623, 987635, 987643, 987664, 987666, 987674, 987675, 987681, 987683, 987684, 987685, 987690, 987691, 987692, 987698, 987701, 987702, 987703, 987704, 987707, 987708, 987709, 987717, 987725, 987733, 987749, 987758, 987769, 987783, 987805, 987817, 987818, 987839, 987853, 987854, 987859, 987872, 987888, 987889, 987905, 987913, 987921, 987937, 987945, 987953, 987968, 987982, 987992, 987993, 988000, 1106820, 1106821, 1106828, 1106843, 1106844]"/>
    <s v="[806772, 946786, 806545, 748848, 748637, 748878, 806509, 804961, 946819, 806610, 946820, 812782, 806519, 807553, 798427, 749149, 804753, 806031, 806334, 502028, 946921, 501495, 749455, 946951, 805983, 804086, 807859, 808242, 946986, 798482, 804694, 807914, 947019, 947020, 809723, 809228, 809273, 807999, 809843, 805892, 812623, 749585, 947075, 798452, 947081, 803849, 750170, 806604, 947103, 947107, 809868, 809867, 806056, 808190, 799275, 799260, 806722, 947146, 841031, 947165, 863724, 947172, 947177, 750273, 750293, 806080, 947183, 806100, 809875, 809253, 799396, 809264, 750313, 805899, 805871, 805817, 805351, 750479, 812718, 808156, 809714, 799475, 809803, 809802, 750499, 806123, 805765, 750542, 806284, 947301, 896442, 947314, 861629, 804366, 947341, 804393, 947354, 746693, 947371, 809080, 947389, 947401, 800915, 752856, 947412, 1047614, 1047615, 1047622, 1047610, 519124]"/>
    <s v="0.003965714076530056"/>
    <s v="[519114, 806772, 946786, 806545, 748848, 748637, 748878, 806509, 804961, 946819, 806610, 946820, 812782, 806519, 807553, 798427, 749149, 804753, 806031, 806334, 502028, 946921, 501495, 749455, 946951, 805983, 804086, 807859, 808242, 946986, 798482, 804694, 807914, 947019, 947020, 809723, 809228, 809273, 807999, 809843, 805892, 812623, 749585, 947075, 798452, 947081, 803849, 750170, 806604, 947103, 947107, 809868, 809867, 806056, 808190, 799275, 799260, 806722, 947146, 841031, 947165, 863724, 947172, 947177, 750273, 750293, 806080, 947183, 806100, 809875, 809253, 799396, 809264, 750313, 805899, 805871, 805817, 805351, 750479, 812718, 808156, 809714, 799475, 809803, 809802, 750499, 806123, 805765, 750542, 806284, 947301, 896442, 947314, 861629, 804366, 947341, 804393, 947354, 746693, 947371, 809080, 947389, 947401, 800915, 752856, 947412, 1047614, 1047615, 1047622, 1047610]"/>
    <s v="[0.021, 0.031, 0.042, 0.0, 0.024, 0.015, 0.003, 0.019, 0.009, 0.029, 0.015, 0.004, 0.012, 0.004, 0.012, 0.009, 0.009, 0.002, 0.013, 0.007, 0.003, 0.005, 0.006, 0.003, 0.009, 0.009, 0.007, 0.006, 0.006, 0.026, 0.001, 0.014, 0.012, 0.007, 0.022, 0.011, 0.01, 0.01, 0.003, 0.008, 0.011, 0.005, 0.004, 0.027, 0.025, 0.014, 0.003, 0.028, 0.043, 0.03, 0.033, 0.054, 0.066, 0.035, 0.006, 0.031, 0.013, 0.031, 0.022, 0.022, 0.021, 0.022, 0.023, 0.022, 0.004, 0.024, 0.006, 0.003, 0.004, 0.015, 0.01, 0.03, 0.048, 0.003, 0.022, 0.029, 0.012, 0.012, 0.017, 0.047, 0.045, 0.044, 0.02, 0.002, 0.061, 0.003, 0.047, 0.034, 0.01, 0.027, 0.017, 0.022, 0.02, 0.013, 0.005, 0.011, 0.014, 0.011, 0.052, 0.045, 0.021, 0.003, 0.006, 0.007, 0.037, 0.035, 0.008, 0.012, 0.014, 0.055]"/>
    <s v="11404.229918418305"/>
    <s v="[0.021, 0.031, -0.042, -0.0, 0.024, 0.015, -0.003, 0.019, 0.009, -0.029, -0.015, 0.004, -0.012, -0.004, -0.012, -0.009, -0.009, -0.002, 0.013, 0.007, 0.003, -0.005, -0.006, 0.003, 0.009, 0.009, 0.007, -0.006, 0.006, 0.026, 0.001, 0.014, -0.012, -0.007, -0.022, -0.011, 0.01, 0.01, 0.003, 0.008, 0.011, 0.005, 0.004, 0.027, 0.025, -0.014, 0.003, 0.028, 0.043, -0.03, -0.033, 0.054, 0.066, 0.035, -0.006, -0.031, -0.013, 0.031, -0.022, -0.022, -0.021, -0.022, 0.023, 0.022, -0.004, -0.024, -0.006, -0.003, -0.004, 0.015, 0.01, 0.03, -0.048, -0.003, 0.022, 0.029, 0.012, 0.012, 0.017, 0.047, 0.045, 0.044, 0.02, -0.002, 0.061, 0.003, -0.047, -0.034, 0.01, 0.027, 0.017, 0.022, 0.02, 0.013, 0.005, -0.011, 0.014, 0.011, -0.052, -0.045, -0.021, -0.003, -0.006, -0.007, -0.037, 0.035, 0.008, 0.012, 0.014, -0.055]"/>
  </r>
  <r>
    <x v="1467"/>
    <x v="1952"/>
    <x v="0"/>
    <n v="0"/>
    <s v="LINESTRING (9.001501071120364 59.61099611820285, 9.000063492747886 59.61116994598945, 8.999958903134987 59.61117950218396, 8.999068045241138 59.611234192436385, 8.998970033310398 59.61123618060127, 8.998916358090145 59.61123745081501, 8.998858751279185 59.61123874743458, 8.998766808901912 59.61123879036639, 8.998750132383286 59.61123864531093, 8.997981413840039 59.61121648210935, 8.996353110130045 59.611128284053976)"/>
    <s v="[513002, 513010, 513018, 513026, 513034, 513042, 513050, 513058, 513066, 513074]"/>
    <s v="[519125, 519133, 519142, 519154, 519165, 519173, 519184, 519194, 519205, 519215]"/>
    <s v="#FIELD!"/>
    <s v="[519124, 519125, 519133, 519142, 519154, 519165, 519173, 519184, 519194, 519205]"/>
    <s v="[0.012, 0.006, 0.004, 0.001, 0.014, 0.015, 0.014, 0.017, 0.018, 0.024]"/>
    <s v="295.13604646889195"/>
    <s v="[0.012, 0.006, -0.004, -0.001, -0.014, -0.015, -0.014, -0.017, -0.018, -0.024]"/>
  </r>
  <r>
    <x v="1467"/>
    <x v="1952"/>
    <x v="0"/>
    <n v="0"/>
    <s v="LINESTRING (9.001501071120364 59.61099611820285, 8.99982301476357 59.61111512012666, 8.9989851110955 59.61115450483547, 8.998936341235902 59.611154775915665, 8.998893180263078 59.61115478248396, 8.998818153331943 59.61115502648259, 8.998770543349154 59.61115517071982, 8.998687515689477 59.611155938384165, 8.997950230645042 59.611148374271295, 8.997813846992322 59.61114326765274, 8.996353110130045 59.611128284053976)"/>
    <s v="[899748, 899749, 899756, 899764, 899778, 899786, 899796, 899803, 899811, 899818]"/>
    <s v="[874236, 502107, 874242, 874245, 874260, 873120, 874281, 874292, 874300, 519215]"/>
    <s v="#FIELD!"/>
    <s v="[519124, 874236, 502107, 874242, 874245, 874260, 873120, 874281, 874292, 874300]"/>
    <s v="[0.024, 0.017, 0.022, 0.026, 0.002, 0.023, 0.021, 0.024, 0.032, 0.028]"/>
    <s v="292.34578962953844"/>
    <s v="[0.024, -0.017, -0.022, -0.026, -0.002, -0.023, -0.021, -0.024, -0.032, -0.028]"/>
  </r>
  <r>
    <x v="1468"/>
    <x v="1953"/>
    <x v="0"/>
    <n v="0"/>
    <m/>
    <n v="696608"/>
    <n v="519212"/>
    <s v="#FIELD!"/>
    <n v="519309"/>
    <s v="0.096"/>
    <s v="19.04205871178455"/>
    <s v="#FIELD!"/>
  </r>
  <r>
    <x v="1468"/>
    <x v="1954"/>
    <x v="0"/>
    <n v="0"/>
    <s v="LINESTRING (10.836719645917666 59.84759820542869, 10.836755629546017 59.84766767848446, 10.836497505707655 59.84895963796502, 10.836834344977945 59.849252630485616, 10.836635509493926 59.84991348408776, 10.836548285116333 59.85003929657918, 10.836298501973765 59.85017884230483, 10.836273331425089 59.85020861536045)"/>
    <s v="[755104, 513032, 513040, 513048, 513056, 513064, 513072]"/>
    <s v="[519161, 519162, 519170, 519182, 519191, 519203, 519212]"/>
    <s v="#FIELD!"/>
    <s v="[734738, 519161, 519162, 519170, 519182, 519191, 519203]"/>
    <s v="[0.036, 0.003, 0.057, 0.033, 0.041, 0.02, 0.0]"/>
    <s v="308.26395748414205"/>
    <s v="[-0.036, 0.003, -0.057, -0.033, -0.041, 0.02, -0.0]"/>
  </r>
  <r>
    <x v="1469"/>
    <x v="1955"/>
    <x v="0"/>
    <s v="[0, 0, 1, 1, 0, 0, 0, 0, 0, 0, 0, 0, 0, 0, 0, 0, 0, 0, 0, 0, 0, 1, 0, 0, 0, 0, 0, 0, 1, 0, 0, 0, 0, 0]"/>
    <s v="LINESTRING (8.996353110130045 59.611128284053976, 8.996273200046794 59.61112404319788, 8.995760288589146 59.61109578051103, 8.995197504324306 59.61106700541785, 8.995120356693553 59.61106301692112, 8.992479389717312 59.61088123751591, 8.99234274364165 59.610868378559, 8.991320508337695 59.61079397670947, 8.990731629590243 59.610796531148125, 8.989488707170652 59.610868693612545, 8.971217782289 59.60955268501286, 8.971123695134018 59.609596693989474, 8.968280678544078 59.61056344041575, 8.96768835341308 59.61060445879461, 8.966808575380766 59.61058101435878, 8.96418960973963 59.6103797638942, 8.962751859416697 59.61028646998691, 8.960643156232454 59.61025788354157, 8.9601693646459 59.61026029158347, 8.959347356756702 59.61026202411545, 8.959191860887918 59.61026203460913, 8.959041412926696 59.61026223341199, 8.958382439560168 59.610269250658995, 8.957262482428245 59.61046317737446, 8.9572042840795 59.610478096810425, 8.955942556857357 59.61082026411119, 8.955618082060948 59.61091930407084, 8.955536272033902 59.610946123206226, 8.955434882226474 59.61097943758406, 8.955099866735523 59.61109809518261, 8.955045133341565 59.61111664979192, 8.952152046180803 59.612125154339026, 8.950998593445822 59.61252643494333, 8.950524741425847 59.612690308992065, 8.950141475216602 59.61282139692566)"/>
    <s v="[988010, 988018, 988041, 988048, 988049, 988056, 988064, 988072, 988090, 988097, 988098, 988105, 988106, 988118, 988133, 988148, 988149, 988150, 988157, 988165, 988169, 988171, 988179, 988187, 988189, 988190, 988192, 988199, 988206, 988214, 988222, 988230, 988238, 988246]"/>
    <s v="[746899, 947420, 947434, 947440, 800830, 800794, 498869, 947460, 754906, 755247, 947484, 947486, 752130, 754916, 800779, 752833, 947517, 752128, 800698, 765206, 947530, 947532, 746839, 746841, 751987, 754953, 947547, 947553, 947561, 947570, 752823, 947583, 746829, 519223]"/>
    <s v="0.0075615886585154194"/>
    <s v="[519215, 746899, 947420, 947434, 947440, 800830, 800794, 498869, 947460, 754906, 755247, 947484, 947486, 752130, 754916, 800779, 752833, 947517, 752128, 800698, 765206, 947530, 947532, 746839, 746841, 751987, 754953, 947547, 947553, 947561, 947570, 752823, 947583, 746829]"/>
    <s v="[0.06, 0.028, 0.023, 0.029, 0.052, 0.047, 0.049, 0.065, 0.078, 0.01, 0.064, 0.003, 0.045, 0.027, 0.028, 0.01, 0.006, 0.022, 0.022, 0.01, 0.01, 0.011, 0.012, 0.011, 0.011, 0.011, 0.013, 0.01, 0.02, 0.031, 0.001, 0.017, 0.018, 0.023]"/>
    <s v="2808.653450443829"/>
    <s v="[-0.06, -0.028, -0.023, -0.029, 0.052, 0.047, 0.049, 0.065, 0.078, 0.01, 0.064, -0.003, 0.045, -0.027, -0.028, 0.01, -0.006, -0.022, -0.022, -0.01, -0.01, -0.011, -0.012, -0.011, -0.011, -0.011, -0.013, -0.01, -0.02, -0.031, -0.001, 0.017, 0.018, 0.023]"/>
  </r>
  <r>
    <x v="1470"/>
    <x v="1956"/>
    <x v="0"/>
    <n v="0"/>
    <s v="LINESTRING (8.950141475216602 59.61282139692566, 8.949058830776247 59.61320323296025, 8.94866420932035 59.61332706447128, 8.948615051423117 59.613343533806415, 8.94824658892296 59.61347029613642, 8.948068443835087 59.613532491265964, 8.947923607235689 59.61358470412755, 8.947857264902309 59.613607274209606, 8.94779615056526 59.613628249643774, 8.9477857500608 59.613631819634385, 8.94770308270407 59.61366035938169, 8.947435144341071 59.61375265409414, 8.947036873844182 59.61388786461871, 8.946576761066643 59.61404608621068, 8.945590745161532 59.61438450723102, 8.945350482788987 59.61446636629182, 8.944993753130625 59.61458902684813, 8.94484339821486 59.61464172808867, 8.944586620320127 59.61470657608135)"/>
    <s v="[513082, 513098, 513106, 513114, 513122, 513130, 513138, 513146, 513154, 513162, 513170, 513178, 513186, 513194, 513202, 513210, 513218, 513226]"/>
    <s v="[519224, 519240, 519248, 519259, 519269, 519280, 519292, 519303, 519313, 519323, 519331, 519339, 519350, 519359, 519371, 519378, 519390, 519399]"/>
    <s v="#FIELD!"/>
    <s v="[519223, 519224, 519240, 519248, 519259, 519269, 519280, 519292, 519303, 519313, 519323, 519331, 519339, 519350, 519359, 519371, 519378, 519390]"/>
    <s v="[0.01, 0.007, 0.007, 0.013, 0.026, 0.025, 0.02, 0.023, 0.028, 0.025, 0.021, 0.02, 0.008, 0.007, 0.007, 0.006, 0.003, 0.002]"/>
    <s v="378.02172340281055"/>
    <s v="[0.01, -0.007, -0.007, -0.013, -0.026, -0.025, -0.02, -0.023, -0.028, -0.025, -0.021, -0.02, 0.008, 0.007, -0.007, -0.006, -0.003, -0.002]"/>
  </r>
  <r>
    <x v="1470"/>
    <x v="1956"/>
    <x v="0"/>
    <n v="0"/>
    <s v="LINESTRING (8.950141475216602 59.61282139692566, 8.948995663521929 59.6131540594823, 8.948564947890823 59.613293659809926, 8.948022627008012 59.61347787227253, 8.947900593676339 59.61352347008682, 8.94783568474487 59.61354814158152, 8.94776278111649 59.61357398229653, 8.94773637508904 59.6135831316247, 8.947649517993748 59.613613224023204, 8.947378081997527 59.61370284428015, 8.947263521756865 59.613739225205315, 8.946974330258172 59.61383849390536, 8.946882714996024 59.61386993206412, 8.94651636484603 59.61400244257102, 8.945550656363968 59.61435752632424, 8.945316369888719 59.61444122913603, 8.944964400962661 59.61456360607575, 8.944812000972428 59.61461552812103, 8.944586620320127 59.61470657608135)"/>
    <s v="[899845, 899855, 899863, 899871, 899879, 899887, 899895, 899903, 899911, 899919, 899934, 899947, 899955, 899965, 899973, 899981, 899985, 899993]"/>
    <s v="[874332, 874339, 874344, 501811, 874364, 520427, 874378, 874389, 874395, 874405, 874425, 874439, 874450, 501615, 874471, 873043, 874485, 519399]"/>
    <s v="#FIELD!"/>
    <s v="[519223, 874332, 874339, 874344, 501811, 874364, 520427, 874378, 874389, 874395, 874405, 874425, 874439, 874450, 501615, 874471, 873043, 874485]"/>
    <s v="[0.004, 0.003, 0.002, 0.0, 0.002, 0.002, 0.002, 0.001, 0.001, 0.002, 0.003, 0.004, 0.004, 0.006, 0.0, 0.001, 0.029, 0.048]"/>
    <s v="378.2074076956526"/>
    <s v="[-0.004, 0.003, 0.002, 0.0, 0.002, -0.002, 0.002, -0.001, -0.001, -0.002, -0.003, -0.004, -0.004, -0.006, 0.0, 0.001, 0.029, -0.048]"/>
  </r>
  <r>
    <x v="1471"/>
    <x v="1957"/>
    <x v="0"/>
    <s v="[0, 0, 0, 1, 0, 0, 0]"/>
    <s v="LINESTRING (10.83327754501937 59.85041310930526, 10.83337464937229 59.85043686681617, 10.834140865893868 59.85068323267863, 10.835494899555078 59.84993130482373, 10.835628909158707 59.84974583444987, 10.835812319999617 59.849437193163006, 10.836442967209415 59.84798146122069, 10.836510008763794 59.84790266328597)"/>
    <s v="[513104, 513112, 513120, 513128, 513136, 513144, 755112]"/>
    <s v="[519246, 519256, 519266, 519277, 519289, 519300, 735949]"/>
    <s v="#FIELD!"/>
    <s v="[519245, 519246, 519256, 519266, 519277, 519289, 519300]"/>
    <s v="[0.087, 0.076, 0.031, 0.011, 0.011, 0.003, 0.009]"/>
    <s v="433.1990631654153"/>
    <s v="[-0.087, -0.076, -0.031, -0.011, 0.011, 0.003, -0.009]"/>
  </r>
  <r>
    <x v="1471"/>
    <x v="1953"/>
    <x v="0"/>
    <n v="0"/>
    <s v="LINESTRING (10.83327754501937 59.85041310930526, 10.833725810627355 59.85018228607466, 10.83454774899647 59.84985269125596, 10.835508174264254 59.84984893388648, 10.836091222351659 59.850064382356074)"/>
    <s v="[696576, 696584, 696592, 696600]"/>
    <s v="[691183, 691194, 691200, 519309]"/>
    <s v="#FIELD!"/>
    <s v="[519245, 691183, 691194, 691200]"/>
    <s v="[0.101, 0.066, 0.031, 0.07]"/>
    <s v="191.20247878118437"/>
    <s v="[-0.101, -0.066, -0.031, -0.07]"/>
  </r>
  <r>
    <x v="1471"/>
    <x v="1958"/>
    <x v="0"/>
    <n v="0"/>
    <s v="LINESTRING (10.83389088866194 59.852737007186384, 10.83387204896803 59.85265908536303, 10.833926392129825 59.85249626734809, 10.83425034993548 59.85079369787205, 10.833356610380218 59.850452479372485, 10.83327754501937 59.85041310930526)"/>
    <s v="[755128, 513224, 513232, 513240, 513248]"/>
    <s v="[519395, 519396, 519403, 519415, 519245]"/>
    <s v="0.027256228611447133"/>
    <s v="[735957, 519395, 519396, 519403, 519415]"/>
    <s v="[0.088, 0.044, 0.009, 0.068, 0.073]"/>
    <s v="298.27908064572904"/>
    <s v="[0.088, 0.044, 0.009, 0.068, 0.073]"/>
  </r>
  <r>
    <x v="1472"/>
    <x v="1959"/>
    <x v="0"/>
    <s v="[0, 0, 0, 0, 0, 0, 1, 0, 0, 0]"/>
    <s v="LINESTRING (10.836091222351659 59.850064382356074, 10.83618978453632 59.85007649531712, 10.836489892393137 59.850020363934306, 10.836583340735457 59.849901941582864, 10.836782712175081 59.849265381373044, 10.836370237034544 59.84920556391946, 10.835937337123651 59.8498374244151, 10.83580588032239 59.85003106805935, 10.835498012033 59.8504205275109, 10.835455798074134 59.850472238669184, 10.835360056511506 59.85053753929847)"/>
    <s v="[513152, 513160, 513168, 513176, 513184, 513192, 513200, 513208, 513216, 755120]"/>
    <s v="[519310, 519321, 519328, 519337, 519347, 519357, 519368, 519375, 519387, 734760]"/>
    <s v="0.012131310532260227"/>
    <s v="[519309, 519310, 519321, 519328, 519337, 519347, 519357, 519368, 519375, 519387]"/>
    <s v="[0.111, 0.063, 0.035, 0.036, 0.063, 0.019, 0.004, 0.023, 0.039, 0.082]"/>
    <s v="299.4799393182389"/>
    <s v="[-0.111, -0.063, 0.035, 0.036, 0.063, -0.019, -0.004, 0.023, 0.039, 0.082]"/>
  </r>
  <r>
    <x v="1473"/>
    <x v="1960"/>
    <x v="145"/>
    <n v="0"/>
    <s v="LINESTRING (8.944586620320127 59.61470657608135, 8.78347443921047 59.61110597330354)"/>
    <m/>
    <m/>
    <s v="0.0"/>
    <m/>
    <n v="0"/>
    <s v="14157.361994951349"/>
    <n v="0"/>
  </r>
  <r>
    <x v="1474"/>
    <x v="1961"/>
    <x v="0"/>
    <n v="0"/>
    <s v="LINESTRING (8.642039110010062 59.49067329676153, 8.642090999560464 59.49063249759462, 8.642133615186811 59.490597199251596, 8.642341430932202 59.490486111146076, 8.642849141559532 59.49021519789774, 8.642909602276951 59.49018293212072, 8.642957943267389 59.49015764053797, 8.643114946138997 59.490072244681684, 8.644006321348071 59.48945423798032, 8.644045522318937 59.48941880849244, 8.644099898772877 59.48936555635882, 8.64413410199456 59.48932901826304, 8.644211167794316 59.48924224180159, 8.644627690907432 59.48813574855219, 8.644620419967048 59.488063995758154, 8.644628136597387 59.48789431248126)"/>
    <s v="[513234, 513242, 513250, 513258, 513266, 513274, 513282, 513283, 513291, 513299, 513307, 513315, 513323, 513331, 513339]"/>
    <s v="[519406, 501814, 519426, 519437, 519446, 519454, 519465, 519466, 519476, 519484, 519494, 519503, 519515, 519526, 519536]"/>
    <s v="#FIELD!"/>
    <s v="[519405, 519406, 501814, 519426, 519437, 519446, 519454, 519465, 519466, 519476, 519484, 519494, 519503, 519515, 519526]"/>
    <s v="[0.012, 0.004, 0.036, 0.002, 0.055, 0.015, 0.058, 0.073, 0.009, 0.003, 0.004, 0.006, 0.029, 0.008, 0.011]"/>
    <s v="356.34869385773135"/>
    <s v="[-0.012, -0.004, 0.036, -0.002, -0.055, -0.015, -0.058, -0.073, 0.009, 0.003, -0.004, -0.006, -0.029, -0.008, -0.011]"/>
  </r>
  <r>
    <x v="1474"/>
    <x v="1961"/>
    <x v="0"/>
    <n v="0"/>
    <s v="LINESTRING (8.642039110010062 59.49067329676153, 8.642117775091855 59.49064452306546, 8.64218589710125 59.49062046765446, 8.642400043180768 59.49051806496769, 8.6429240607899 59.49026866348656, 8.643036333126902 59.490215238533104, 8.643196234343378 59.4901350369512, 8.644114284595648 59.48951870087559, 8.64415677499128 59.48948198178242, 8.644212464787124 59.489425992545655, 8.644260749735846 59.489376207953164, 8.64427439866287 59.489360562529406, 8.644346031519818 59.48928314925499, 8.644705742836367 59.488135054259914, 8.644696252912814 59.488062202420316, 8.644628136597387 59.48789431248126)"/>
    <s v="[900001, 900018, 900026, 900040, 900048, 900056, 900064, 900072, 900080, 900088, 900096, 900104, 900112, 900120, 900128]"/>
    <s v="[874501, 501813, 874527, 874542, 873079, 874556, 874565, 874572, 874584, 874590, 874596, 874603, 874609, 874619, 519536]"/>
    <s v="#FIELD!"/>
    <s v="[519405, 874501, 501813, 874527, 874542, 873079, 874556, 874565, 874572, 874584, 874590, 874596, 874603, 874609, 874619]"/>
    <s v="[0.704, 0.093, 0.061, 0.051, 0.051, 0.035, 0.026, 0.064, 0.06, 0.069, 0.102, 0.075, 0.09, 0.02, 0.151]"/>
    <s v="363.15940690915255"/>
    <s v="[0.704, 0.093, 0.061, 0.051, 0.051, 0.035, -0.026, -0.064, -0.06, -0.069, -0.102, -0.075, -0.09, -0.02, -0.151]"/>
  </r>
  <r>
    <x v="1474"/>
    <x v="1960"/>
    <x v="146"/>
    <n v="0"/>
    <s v="LINESTRING (8.78347443921047 59.61110597330354, 8.642039110010062 59.49067329676153)"/>
    <m/>
    <m/>
    <s v="0.0"/>
    <m/>
    <n v="0"/>
    <s v="14157.361994951349"/>
    <n v="0"/>
  </r>
  <r>
    <x v="1475"/>
    <x v="1962"/>
    <x v="0"/>
    <n v="0"/>
    <m/>
    <n v="728820"/>
    <n v="717584"/>
    <s v="#FIELD!"/>
    <n v="519480"/>
    <s v="0.272"/>
    <s v="5.3235725786824535"/>
    <s v="#FIELD!"/>
  </r>
  <r>
    <x v="1475"/>
    <x v="1963"/>
    <x v="0"/>
    <n v="0"/>
    <m/>
    <n v="728860"/>
    <n v="519480"/>
    <s v="#FIELD!"/>
    <n v="519561"/>
    <s v="0.028"/>
    <s v="19.673351294365183"/>
    <s v="#FIELD!"/>
  </r>
  <r>
    <x v="1475"/>
    <x v="1964"/>
    <x v="0"/>
    <s v="[0, 0, 1, 0, 0, 0, 0]"/>
    <s v="LINESTRING (10.830881487447604 59.86092167447787, 10.830912997482319 59.86101258623112, 10.830931164614727 59.86150948035334, 10.830928027422592 59.86267554859079, 10.831015290555692 59.86326232506134, 10.831072300273638 59.86337874413974, 10.831278733513935 59.86358191849756, 10.831332822635956 59.8636123872392)"/>
    <s v="[755136, 513256, 513264, 513272, 513280, 513288, 513296]"/>
    <s v="[519434, 519435, 519444, 519452, 519462, 519472, 519480]"/>
    <s v="0.0198065344056929"/>
    <s v="[734783, 519434, 519435, 519444, 519452, 519462, 519472]"/>
    <s v="[0.038, 0.043, 0.027, 0.044, 0.03, 0.058, 0.116]"/>
    <s v="304.9945492069794"/>
    <s v="[-0.038, -0.043, 0.027, 0.044, 0.03, 0.058, 0.116]"/>
  </r>
  <r>
    <x v="1476"/>
    <x v="1965"/>
    <x v="147"/>
    <n v="0"/>
    <s v="LINESTRING (10.831610095272758 59.863449218716596, 10.831613385579297 59.862584884779736, 10.830289982124137 59.8624458215829)"/>
    <s v="[513304, 513312]"/>
    <s v="[519490, 519500]"/>
    <s v="#FIELD!"/>
    <s v="[519489, 519490]"/>
    <s v="[0.059, 0.026]"/>
    <s v="176.76153284215155"/>
    <s v="[-0.059, -0.026]"/>
  </r>
  <r>
    <x v="1476"/>
    <x v="1962"/>
    <x v="0"/>
    <n v="0"/>
    <s v="LINESTRING (10.831422233562504 59.86359625901062, 10.83146710347264 59.86356149153194, 10.831610095272758 59.863449218716596)"/>
    <s v="[2027333, 2027344]"/>
    <s v="[1769915, 519489]"/>
    <s v="0.12924379274997563"/>
    <s v="[717584, 1769915]"/>
    <s v="[6.393, 1.818]"/>
    <s v="19.47717316087796"/>
    <s v="[6.393, -1.818]"/>
  </r>
  <r>
    <x v="1476"/>
    <x v="1966"/>
    <x v="0"/>
    <n v="0"/>
    <s v="LINESTRING (10.831593748766712 59.863622870351094, 10.831601455834752 59.863579920617006, 10.831610095272758 59.863449218716596)"/>
    <s v="[2027345, 2027352]"/>
    <s v="[1769925, 519489]"/>
    <s v="0.10376851213414531"/>
    <s v="[717590, 1769925]"/>
    <s v="[5.883, 1.802]"/>
    <s v="19.379192610300553"/>
    <s v="[5.883, -1.802]"/>
  </r>
  <r>
    <x v="1477"/>
    <x v="1967"/>
    <x v="0"/>
    <n v="0"/>
    <s v="LINESTRING (10.830289982124137 59.8624458215829, 10.829889953220453 59.86246846304641, 10.829408537947765 59.8625176718008, 10.8292870974484 59.862530903566906)"/>
    <s v="[755144, 755152, 755160]"/>
    <s v="[735965, 735973, 717549]"/>
    <s v="#FIELD!"/>
    <s v="[519500, 735965, 735973]"/>
    <s v="[0.003, 0.088, 0.699]"/>
    <s v="57.05917136524512"/>
    <s v="[-0.003, 0.088, -0.699]"/>
  </r>
  <r>
    <x v="1477"/>
    <x v="1968"/>
    <x v="0"/>
    <n v="0"/>
    <s v="LINESTRING (10.830289982124137 59.8624458215829, 10.829875070579963 59.86243502007416, 10.829386608030772 59.8624216687186, 10.829254499801038 59.8624201760602)"/>
    <s v="[780402, 780410, 780418]"/>
    <s v="[760523, 760531, 717569]"/>
    <s v="#FIELD!"/>
    <s v="[519500, 760523, 760531]"/>
    <s v="[0.159, 0.005, 0.008]"/>
    <s v="58.108585624259184"/>
    <s v="[-0.159, 0.005, 0.008]"/>
  </r>
  <r>
    <x v="1478"/>
    <x v="1969"/>
    <x v="0"/>
    <n v="0"/>
    <m/>
    <n v="728748"/>
    <n v="519636"/>
    <s v="0.107"/>
    <n v="519510"/>
    <s v="0.107"/>
    <s v="10.04553484004958"/>
    <s v="0.107"/>
  </r>
  <r>
    <x v="1478"/>
    <x v="1970"/>
    <x v="0"/>
    <s v="[0, 0, 0, 1, 0, 0]"/>
    <s v="LINESTRING (10.829205698435759 59.86256698431665, 10.829221772612675 59.862624139208, 10.829867083375994 59.86302403699296, 10.83055618023839 59.862675447557166, 10.830559442720128 59.86150848389961, 10.830662700163415 59.86101274233992, 10.830699864532589 59.86091591585598)"/>
    <s v="[513320, 513328, 513336, 513344, 513352, 755168]"/>
    <s v="[519511, 519522, 519533, 519541, 519551, 735985]"/>
    <s v="#FIELD!"/>
    <s v="[519510, 519511, 519522, 519533, 519541, 519551]"/>
    <s v="[0.062, 0.03, 0.019, 0.027, 0.041, 0.041]"/>
    <s v="333.43605666157464"/>
    <s v="[0.062, -0.03, -0.019, -0.027, 0.041, 0.041]"/>
  </r>
  <r>
    <x v="1478"/>
    <x v="1967"/>
    <x v="0"/>
    <n v="0"/>
    <m/>
    <n v="728740"/>
    <n v="519510"/>
    <s v="1.081"/>
    <n v="717549"/>
    <s v="1.081"/>
    <s v="6.081118318064369"/>
    <s v="1.081"/>
  </r>
  <r>
    <x v="1479"/>
    <x v="1971"/>
    <x v="0"/>
    <s v="[0, 1, 0]"/>
    <s v="LINESTRING (8.644628136597387 59.48789431248126, 8.64269961585745 59.48510004947918, 8.641151318143761 59.48378493958149, 8.638421066037395 59.48194639626357)"/>
    <s v="[989739, 989747, 989755]"/>
    <s v="[948705, 948712, 519545]"/>
    <s v="#FIELD!"/>
    <s v="[519536, 948705, 948712]"/>
    <s v="[0.009, 0.005, 0.008]"/>
    <s v="759.711280090603"/>
    <s v="[-0.009, 0.005, 0.008]"/>
  </r>
  <r>
    <x v="1480"/>
    <x v="1972"/>
    <x v="0"/>
    <s v="[0, 0, 0, 0, 0, 0, 0, 0, 0, 0, 0, 1, 0]"/>
    <s v="LINESTRING (8.638421066037395 59.48194639626357, 8.637177841399186 59.48115020161782, 8.636203375837518 59.480637933860514, 8.636047980260383 59.480558877136964, 8.635996564454068 59.480533936638835, 8.635295998784185 59.480190662406635, 8.635223993044791 59.48015381658223, 8.635163607135857 59.48012294294635, 8.635119766602706 59.480101209579175, 8.63422587844128 59.479656813873476, 8.633678812085762 59.47938439001092, 8.63354519422359 59.4793178517092, 8.633056885130141 59.479072400774164, 8.632771898426105 59.47890520954082)"/>
    <s v="[513347, 513355, 513363, 513371, 513379, 513387, 513395, 513403, 513411, 513419, 513427, 513435, 513443]"/>
    <s v="[519546, 519555, 519565, 519573, 501877, 519592, 519601, 519612, 519620, 519632, 519639, 519648, 519657]"/>
    <s v="0.0012879134017814062"/>
    <s v="[519545, 519546, 519555, 519565, 519573, 501877, 519592, 519601, 519612, 519620, 519632, 519639, 519648]"/>
    <s v="[0.009, 0.0, 0.001, 0.002, 0.0, 0.004, 0.009, 0.008, 0.006, 0.003, 0.001, 0.003, 0.005]"/>
    <s v="467.55276223060406"/>
    <s v="[0.009, -0.0, -0.001, -0.002, 0.0, -0.004, -0.009, -0.008, -0.006, -0.003, 0.001, 0.003, 0.005]"/>
  </r>
  <r>
    <x v="1480"/>
    <x v="1972"/>
    <x v="0"/>
    <s v="[0, 0, 0, 0, 0, 0, 0, 1, 1, 0]"/>
    <s v="LINESTRING (8.638421066037395 59.48194639626357, 8.637293282341725 59.48111841884408, 8.63633330468702 59.480606121499406, 8.636120338652566 59.48050386826324, 8.635321627830754 59.480101845144475, 8.635217467873494 59.48004944863083, 8.634311125196609 59.47961128100421, 8.633602633473172 59.479277156412394, 8.633552071657496 59.47925333742777, 8.633120577089645 59.479053898529216, 8.632771898426105 59.47890520954082)"/>
    <s v="[900136, 900144, 900152, 900165, 900173, 900181, 900189, 900197, 900205, 900216]"/>
    <s v="[874637, 874645, 873062, 501890, 874674, 874682, 874688, 874695, 874705, 519657]"/>
    <s v="0.0011515344007881655"/>
    <s v="[519545, 874637, 874645, 873062, 501890, 874674, 874682, 874688, 874695, 874705]"/>
    <s v="[0.002, 0.007, 0.006, 0.005, 0.002, 0.015, 0.023, 0.031, 0.027, 0.138]"/>
    <s v="468.7022335561599"/>
    <s v="[-0.002, 0.007, 0.006, 0.005, 0.002, 0.015, 0.023, 0.031, 0.027, -0.138]"/>
  </r>
  <r>
    <x v="1481"/>
    <x v="1973"/>
    <x v="0"/>
    <n v="0"/>
    <s v="LINESTRING (10.831306635533439 59.8637681130244, 10.83120919968515 59.863798480706194, 10.83100013528749 59.863939489520135, 10.830670664255672 59.865356147212886, 10.830337448646649 59.866587807299716, 10.830239066783383 59.86667370151609)"/>
    <s v="[513360, 513368, 513376, 513384, 755176]"/>
    <s v="[519562, 519570, 519579, 519588, 734819]"/>
    <s v="0.04534987921961005"/>
    <s v="[519561, 519562, 519570, 519579, 519588]"/>
    <s v="[0.132, 0.034, 0.069, 0.032, 0.004]"/>
    <s v="335.12722956928815"/>
    <s v="[-0.132, 0.034, 0.069, 0.032, -0.004]"/>
  </r>
  <r>
    <x v="1481"/>
    <x v="1966"/>
    <x v="0"/>
    <n v="0"/>
    <s v="LINESTRING (10.831593748766712 59.863622870351094, 10.831645643243817 59.86367470456435, 10.831306635533439 59.8637681130244)"/>
    <s v="[728844, 728852]"/>
    <s v="[702722, 519561]"/>
    <s v="0.042767264900462516"/>
    <s v="[717590, 702722]"/>
    <s v="[0.055, 0.04]"/>
    <s v="35.05588950118888"/>
    <s v="[0.055, 0.04]"/>
  </r>
  <r>
    <x v="1482"/>
    <x v="1968"/>
    <x v="0"/>
    <n v="0"/>
    <s v="LINESTRING (10.829033195054137 59.86255971456706, 10.828971576816041 59.86252359322663, 10.82895672227041 59.86247097262069, 10.829026458777353 59.862413842156926, 10.829254499801038 59.8624201760602)"/>
    <s v="[728756, 728764, 728772, 728780]"/>
    <s v="[523194, 717561, 717565, 717569]"/>
    <s v="#FIELD!"/>
    <s v="[519636, 523194, 717561, 717565]"/>
    <s v="[1.308, 0.18, 0.081, 0.004]"/>
    <s v="32.4044145222518"/>
    <s v="[-1.308, -0.18, -0.081, -0.004]"/>
  </r>
  <r>
    <x v="1482"/>
    <x v="1974"/>
    <x v="0"/>
    <n v="0"/>
    <s v="LINESTRING (10.830557102244944 59.86474741627193, 10.830497833802085 59.86465257635684, 10.830506057942625 59.864458625667595, 10.830424429347785 59.86336989189058, 10.829832415995874 59.86307238962519, 10.829063835297523 59.86262902016569, 10.829033195054137 59.86255971456706)"/>
    <s v="[755184, 513392, 513400, 513408, 513416, 513424]"/>
    <s v="[519596, 519597, 519608, 519616, 519627, 519636]"/>
    <s v="#FIELD!"/>
    <s v="[735996, 519596, 519597, 519608, 519616, 519627]"/>
    <s v="[0.008, 0.055, 0.073, 0.059, 0.042, 0.07]"/>
    <s v="282.2929104711497"/>
    <s v="[0.008, -0.055, -0.073, -0.059, 0.042, -0.07]"/>
  </r>
  <r>
    <x v="1483"/>
    <x v="1975"/>
    <x v="0"/>
    <n v="0"/>
    <s v="LINESTRING (8.632771898426105 59.47890520954082, 8.630492094099179 59.477828394374875, 8.630424825674307 59.477802504721716, 8.630355358204193 59.47777682269175, 8.627678578326547 59.47708010247196, 8.626050238483154 59.47686322393731, 8.623995811442253 59.476548176846144, 8.606990510164051 59.473023908747486, 8.596891698005061 59.4714050004035, 8.585254627026151 59.46724826862069, 8.582706818315135 59.465508137817785)"/>
    <s v="[989763, 989771, 989779, 989787, 989795, 989803, 989811, 989819, 989827, 989835]"/>
    <s v="[844716, 948727, 866285, 742884, 742870, 942648, 753793, 382785, 928340, 519667]"/>
    <s v="0.021935859477312154"/>
    <s v="[519657, 844716, 948727, 866285, 742884, 742870, 942648, 753793, 382785, 928340]"/>
    <s v="[0.043, 0.006, 0.001, 0.024, 0.053, 0.049, 0.022, 0.007, 0.029, 0.007]"/>
    <s v="3281.453363606146"/>
    <s v="[0.043, 0.006, 0.001, 0.024, 0.053, 0.049, 0.022, 0.007, 0.029, -0.007]"/>
  </r>
  <r>
    <x v="1484"/>
    <x v="1976"/>
    <x v="0"/>
    <s v="[0, 0, 0, 1, 1, 0, 0, 0, 0, 0, 0, 0, 0, 0, 0, 0, 0]"/>
    <s v="LINESTRING (8.582706818315135 59.465508137817785, 8.581172553936115 59.46487298352266, 8.580958018319471 59.46478457853786, 8.580917689475358 59.4647677272352, 8.580599183230916 59.464633570118, 8.58056103828611 59.46461547528542, 8.580450496265307 59.464562868950935, 8.58041742256753 59.464547140956455, 8.58032892927733 59.46450440430636, 8.580266597142796 59.46447484784496, 8.580221700306597 59.464453177176, 8.579464336619138 59.46403441425458, 8.579265428747531 59.46390888260017, 8.579179821416126 59.46385286628417, 8.578990621006202 59.463723858756715, 8.578883459831514 59.46365269114118, 8.578642565905739 59.46347723016038, 8.57817084814924 59.46311603053293)"/>
    <s v="[513451, 513459, 513467, 513475, 513483, 513491, 513499, 513507, 513515, 513523, 513531, 513539, 513547, 513555, 513563, 513571, 513579]"/>
    <s v="[519668, 519680, 519688, 519696, 519707, 519719, 501818, 519737, 519746, 519753, 519763, 519772, 519780, 519790, 519799, 519808, 519818]"/>
    <s v="0.00039560011223334574"/>
    <s v="[519667, 519668, 519680, 519688, 519696, 519707, 519719, 501818, 519737, 519746, 519753, 519763, 519772, 519780, 519790, 519799, 519808]"/>
    <s v="[0.061, 0.029, 0.006, 0.002, 0.032, 0.011, 0.032, 0.025, 0.032, 0.04, 0.034, 0.024, 0.024, 0.02, 0.039, 0.05, 0.04]"/>
    <s v="373.45945126713343"/>
    <s v="[-0.061, 0.029, -0.006, 0.002, -0.032, -0.011, -0.032, -0.025, 0.032, 0.04, 0.034, 0.024, 0.024, 0.02, 0.039, 0.05, 0.04]"/>
  </r>
  <r>
    <x v="1484"/>
    <x v="1976"/>
    <x v="0"/>
    <s v="[0, 0, 1, 1, 0, 0, 0, 0, 0, 0, 0, 0, 0, 0]"/>
    <s v="LINESTRING (8.582706818315135 59.465508137817785, 8.581254649226311 59.464832301099534, 8.581018325502342 59.46472810349082, 8.580979133648286 59.46471085790698, 8.580631498856931 59.464556798949765, 8.580527071645502 59.4645060976002, 8.580421067199659 59.464453642971826, 8.580319428948746 59.464403169070316, 8.579572745108301 59.46398826633122, 8.579376563017057 59.46386338274187, 8.579292782259271 59.46380799706021, 8.579095741713209 59.46368400740876, 8.578992627717739 59.46361844404395, 8.578728129690697 59.46344983538195, 8.57817084814924 59.46311603053293)"/>
    <s v="[900224, 900232, 900240, 900249, 900257, 900265, 900273, 900281, 900289, 900297, 900305, 900312, 900314, 900322]"/>
    <s v="[874727, 874735, 874745, 874755, 874763, 501840, 874776, 874784, 874792, 874803, 874815, 873121, 874825, 519818]"/>
    <s v="0.00042938075124736834"/>
    <s v="[519667, 874727, 874735, 874745, 874755, 874763, 501840, 874776, 874784, 874792, 874803, 874815, 873121, 874825]"/>
    <s v="[0.009, 0.041, 0.044, 0.059, 0.06, 0.068, 0.069, 0.046, 0.036, 0.032, 0.029, 0.026, 0.033, 0.003]"/>
    <s v="372.0294964751827"/>
    <s v="[-0.009, -0.041, -0.044, -0.059, -0.06, -0.068, -0.069, 0.046, 0.036, 0.032, 0.029, 0.026, 0.033, -0.003]"/>
  </r>
  <r>
    <x v="1485"/>
    <x v="1977"/>
    <x v="0"/>
    <n v="0"/>
    <s v="LINESTRING (10.782138344612346 59.90272073957953, 10.781657759270175 59.90283604531281, 10.781554338243241 59.90285685442834, 10.780876996580316 59.90299211443866)"/>
    <s v="[513456, 513464, 513472]"/>
    <s v="[519676, 519684, 356552]"/>
    <s v="#FIELD!"/>
    <s v="[519675, 519676, 519684]"/>
    <s v="[0.068, 0.095, 0.083]"/>
    <s v="76.9300675239673"/>
    <s v="[-0.068, -0.095, -0.083]"/>
  </r>
  <r>
    <x v="1485"/>
    <x v="1923"/>
    <x v="0"/>
    <n v="0"/>
    <s v="LINESTRING (10.78264031395468 59.90264421453004, 10.782552922643214 59.90265580029354, 10.782138344612346 59.90272073957953)"/>
    <s v="[770495, 770500]"/>
    <s v="[749925, 519675]"/>
    <s v="#FIELD!"/>
    <s v="[520036, 749925]"/>
    <s v="[0.502, 0.069]"/>
    <s v="29.369724469989496"/>
    <s v="[-0.502, 0.069]"/>
  </r>
  <r>
    <x v="1485"/>
    <x v="1926"/>
    <x v="0"/>
    <n v="0"/>
    <s v="LINESTRING (10.78252242065444 59.902557714340226, 10.782478233046556 59.902581474464505, 10.782138344612346 59.90272073957953)"/>
    <s v="[763607, 763615]"/>
    <s v="[742807, 519675]"/>
    <s v="#FIELD!"/>
    <s v="[520043, 742807]"/>
    <s v="[0.648, 0.057]"/>
    <s v="28.293359706290204"/>
    <s v="[-0.648, -0.057]"/>
  </r>
  <r>
    <x v="1486"/>
    <x v="1978"/>
    <x v="0"/>
    <s v="[0, 0, 0, 1, 1, 1, 1]"/>
    <s v="LINESTRING (10.780876996580316 59.90299211443866, 10.780579345350677 59.90303936181267, 10.780400281571238 59.903101686346375, 10.780355033408545 59.90313292872032, 10.780314328456962 59.90317588886011, 10.781207088004885 59.90358374741246, 10.781430163975045 59.903408613245745, 10.781485880589127 59.90336330166175)"/>
    <s v="[763623, 763631, 763639, 763647, 763655, 763663, 763671]"/>
    <s v="[742822, 736337, 742834, 736503, 742853, 742860, 734627]"/>
    <s v="#FIELD!"/>
    <s v="[356552, 742822, 736337, 742834, 736503, 742853, 742860]"/>
    <s v="[0.073, 0.008, 0.003, 0.053, 0.167, 0.211, 1.064]"/>
    <s v="156.71823564335784"/>
    <s v="[-0.073, 0.008, -0.003, -0.053, -0.167, 0.211, 1.064]"/>
  </r>
  <r>
    <x v="1486"/>
    <x v="1979"/>
    <x v="0"/>
    <s v="[0, 0, 1, 1, 1, 1]"/>
    <s v="LINESTRING (10.780876996580316 59.90299211443866, 10.780611072005511 59.9030757877003, 10.780502812953987 59.90312507893085, 10.780473499739912 59.903148685938504, 10.781100765133212 59.90354707027206, 10.781254531282018 59.90337109011969, 10.78128032710673 59.90330880552587)"/>
    <s v="[770503, 770525, 770533, 770545, 770554, 770555]"/>
    <s v="[749932, 736343, 749969, 749985, 749997, 734595]"/>
    <s v="#FIELD!"/>
    <s v="[356552, 749932, 736343, 749969, 749985, 749997]"/>
    <s v="[0.123, 0.012, 0.013, 0.171, 0.242, 0.795]"/>
    <s v="133.36068935339273"/>
    <s v="[-0.123, -0.012, -0.013, -0.171, 0.242, 0.795]"/>
  </r>
  <r>
    <x v="1487"/>
    <x v="1980"/>
    <x v="0"/>
    <s v="[0, 0, 1, 1]"/>
    <s v="LINESTRING (10.78431139364171 59.903411683099904, 10.784430354094821 59.90347573692657, 10.78444966486559 59.903506926638194, 10.784958297536757 59.90473167698972, 10.784983382451392 59.9048089082071)"/>
    <s v="[513480, 513488, 513496, 1364344]"/>
    <s v="[519703, 519714, 519721, 1259662]"/>
    <s v="0.05940673337639842"/>
    <s v="[519702, 519703, 519714, 519721]"/>
    <s v="[0.056, 0.028, 0.016, 0.777]"/>
    <s v="162.89022679013362"/>
    <s v="[0.056, 0.028, 0.016, 0.777]"/>
  </r>
  <r>
    <x v="1487"/>
    <x v="1917"/>
    <x v="148"/>
    <s v="[0, 0, 1, 1, 1, 0]"/>
    <s v="LINESTRING (10.782796637813641 59.9028227604939, 10.782940170668663 59.90286242696623, 10.783060457526114 59.90297238137821, 10.78323775686157 59.90309854891195, 10.783835638383996 59.90360594419461, 10.784297063425598 59.90348225697849, 10.78431139364171 59.903411683099904)"/>
    <s v="[513560, 513568, 513576, 513584, 513592, 513600]"/>
    <s v="[519796, 519805, 519815, 519822, 519832, 519702]"/>
    <s v="#FIELD!"/>
    <s v="[519795, 519796, 519805, 519815, 519822, 519832]"/>
    <s v="[0.198, 0.265, 0.055, 0.011, 0.062, 0.014]"/>
    <s v="160.5692574400727"/>
    <s v="[-0.198, -0.265, -0.055, -0.011, 0.062, 0.014]"/>
  </r>
  <r>
    <x v="1487"/>
    <x v="1981"/>
    <x v="0"/>
    <s v="[1, 1, 0]"/>
    <s v="LINESTRING (10.783398564871437 59.903312304633225, 10.783525957532438 59.90328978045637, 10.783596108239243 59.903279071291045, 10.78431139364171 59.903411683099904)"/>
    <s v="[770614, 770622, 770630]"/>
    <s v="[750069, 750076, 519702]"/>
    <s v="0.05365716596024587"/>
    <s v="[520106, 750069, 750076]"/>
    <s v="[0.468, 0.058, 0.129]"/>
    <s v="63.77249118063003"/>
    <s v="[-0.468, 0.058, 0.129]"/>
  </r>
  <r>
    <x v="1487"/>
    <x v="1982"/>
    <x v="0"/>
    <s v="[1, 1, 0]"/>
    <s v="LINESTRING (10.783489647995953 59.903426717775496, 10.783592409072707 59.90335331259693, 10.78365471633776 59.90332500746761, 10.78431139364171 59.903411683099904)"/>
    <s v="[763719, 763727, 763735]"/>
    <s v="[742911, 742919, 519702]"/>
    <s v="0.06774830998710868"/>
    <s v="[520120, 742911, 742919]"/>
    <s v="[0.377, 0.023, 0.177]"/>
    <s v="57.339817573184945"/>
    <s v="[-0.377, 0.023, 0.177]"/>
  </r>
  <r>
    <x v="1488"/>
    <x v="1983"/>
    <x v="0"/>
    <n v="0"/>
    <m/>
    <n v="753328"/>
    <n v="723694"/>
    <s v="0.007"/>
    <n v="519732"/>
    <s v="0.007"/>
    <s v="16.952799134506904"/>
    <s v="0.007"/>
  </r>
  <r>
    <x v="1488"/>
    <x v="1916"/>
    <x v="0"/>
    <n v="0"/>
    <s v="LINESTRING (10.781407292111092 59.903164686231335, 10.781537041700606 59.90311417696455, 10.78217986261548 59.90295235215776, 10.782206742472754 59.90290096392756, 10.782016735848922 59.90264940542128, 10.78188633388686 59.90254231772608, 10.779639167299505 59.901469916524206, 10.779505924863535 59.901377526182685)"/>
    <s v="[513504, 513512, 513520, 513528, 513536, 513544, 513552]"/>
    <s v="[519733, 519742, 519750, 519758, 519768, 519777, 519787]"/>
    <s v="0.18264323067102956"/>
    <s v="[519732, 519733, 519742, 519750, 519758, 519768, 519777]"/>
    <s v="[0.076, 0.009, 0.238, 0.272, 0.263, 0.205, 0.183]"/>
    <s v="286.8130748610288"/>
    <s v="[0.076, 0.009, 0.238, 0.272, 0.263, 0.205, 0.183]"/>
  </r>
  <r>
    <x v="1488"/>
    <x v="1979"/>
    <x v="0"/>
    <n v="0"/>
    <m/>
    <n v="753320"/>
    <n v="519732"/>
    <s v="0.103"/>
    <n v="734595"/>
    <s v="0.103"/>
    <s v="19.85663593194962"/>
    <s v="0.103"/>
  </r>
  <r>
    <x v="1489"/>
    <x v="1984"/>
    <x v="149"/>
    <s v="[1, 0, 0, 0, 0]"/>
    <s v="LINESTRING (10.783695370460451 59.903952308154075, 10.782840506246187 59.90317797357025, 10.78258096093148 59.902961996949, 10.782516827800459 59.90291180103123, 10.781803431978158 59.9024313395431, 10.779505924863535 59.901377526182685)"/>
    <s v="[1849888, 1849902, 1849914, 753216, 753224]"/>
    <s v="[1619627, 1619638, 734515, 734516, 519787]"/>
    <s v="0.1360614687079439"/>
    <s v="[1259654, 1619627, 1619638, 734515, 734516]"/>
    <s v="[0.033, 0.022, 0.537, 0.253, 0.197]"/>
    <s v="374.93501158296255"/>
    <s v="[-0.033, -0.022, 0.537, 0.253, 0.197]"/>
  </r>
  <r>
    <x v="1490"/>
    <x v="1980"/>
    <x v="150"/>
    <s v="[0, 0, 1]"/>
    <s v="LINESTRING (10.782796637813641 59.9028227604939, 10.782856471545445 59.902881018759935, 10.783159501758638 59.90316377451505, 10.784983382451392 59.9048089082071)"/>
    <s v="[1849938, 1849945, 1849957]"/>
    <s v="[1619675, 1619684, 1259662]"/>
    <s v="0.021665884026517392"/>
    <s v="[519795, 1619675, 1619684]"/>
    <s v="[0.53, 0.026, 0.049]"/>
    <s v="252.93982643004694"/>
    <s v="[-0.53, -0.026, 0.049]"/>
  </r>
  <r>
    <x v="1491"/>
    <x v="1985"/>
    <x v="151"/>
    <n v="0"/>
    <s v="LINESTRING (8.57817084814924 59.46311603053293, 8.577977018005466 59.46298349608935, 8.577639766619814 59.46274971968044, 8.576836383041124 59.46219702353917, 8.575989443405392 59.461613554787455, 8.5753584708795 59.461179285770875, 8.571781408461788 59.45883544485041, 8.57006524507557 59.45811762901078, 8.569495887719174 59.45794016860354, 8.5654862471015 59.45679069820942, 8.565145439811252 59.456707982491814, 8.563661152256927 59.456329435288644, 8.56135691989358 59.45559126098646, 8.560580318621986 59.45520702937622, 8.56033421285853 59.453449673018845, 8.56290373173591 59.44901506287099, 8.56215087296727 59.4472203626077, 8.561325654225486 59.44656952100824, 8.561273387308626 59.44654197423801, 8.56023729430163 59.446119787332215, 8.558138199938293 59.44580064178375, 8.553185722967385 59.44544455355662, 8.553006691985207 59.44543996065835, 8.550765342143844 59.44545059484418, 8.548285738613375 59.44561506398231, 8.548083621811438 59.44562028189637, 8.545133083458499 59.44449293350545, 8.540726920335658 59.44409543721831, 8.539491592424879 59.44395366591183, 8.539047579159229 59.44384205958742, 8.538872072904924 59.443790006524885, 8.538749922308469 59.443751853962304, 8.53445885574841 59.443325742927875, 8.528322922581108 59.44269175379764, 8.522292937348046 59.441989850327204, 8.518744235964986 59.44218584362355, 8.518580572505497 59.44223189954119, 8.517889520483136 59.44245889726337, 8.511919701382814 59.4439642697924, 8.511339223558037 59.44401366098451, 8.506337843671428 59.443397932383284, 8.505897446178306 59.44324942002529, 8.505798969458164 59.443211597261154, 8.50396038146683 59.44241620889001, 8.503766175862241 59.44232312239692, 8.50186636388732 59.44136293843676, 8.50123058943233 59.44103285411669, 8.497503135651456 59.43949409775779, 8.495171418580187 59.43907535183763, 8.494731879255248 59.43903877710895, 8.492607023345869 59.43896284919427, 8.490171560443024 59.43871654369574, 8.488984051347781 59.43839483074912)"/>
    <s v="[989843, 989851, 989859, 989867, 989875, 989883, 989891, 989899, 989907, 989915, 989923, 989931, 989939, 989947, 989955, 989963, 989971, 989979, 989987, 989995, 990003, 990011, 990019, 990027, 990035, 990043, 990051, 990060, 990068, 990076, 990084, 990092, 990100, 990108, 990116, 990124, 990133, 990141, 990149, 990157, 990165, 990174, 990182, 990191, 990199, 990207, 990215, 990223, 990231, 990239, 990247, 990255]"/>
    <s v="[948777, 948788, 948796, 948803, 765199, 499822, 763017, 499801, 948838, 765140, 948853, 766492, 766508, 948873, 757019, 806841, 948897, 948905, 948914, 935931, 948926, 948934, 948942, 948950, 935926, 948969, 766281, 936224, 948992, 935876, 949006, 742356, 949020, 756981, 742387, 949042, 756959, 949055, 949061, 766271, 807046, 949084, 752953, 743136, 742488, 742497, 949113, 742514, 807364, 501311, 501310, 519826]"/>
    <s v="0.02919515482165004"/>
    <s v="[519818, 948777, 948788, 948796, 948803, 765199, 499822, 763017, 499801, 948838, 765140, 948853, 766492, 766508, 948873, 757019, 806841, 948897, 948905, 948914, 935931, 948926, 948934, 948942, 948950, 935926, 948969, 766281, 936224, 948992, 935876, 949006, 742356, 949020, 756981, 742387, 949042, 756959, 949055, 949061, 766271, 807046, 949084, 752953, 743136, 742488, 742497, 949113, 742514, 807364, 501311, 501310]"/>
    <s v="[0.147, 0.012, 0.028, 0.019, 0.007, 0.066, 0.019, 0.021, 0.081, 0.017, 0.001, 0.035, 0.059, 0.072, 0.036, 0.06, 0.147, 0.173, 0.146, 0.06, 0.092, 0.093, 0.113, 0.033, 0.065, 0.079, 0.002, 0.045, 0.087, 0.117, 0.121, 0.091, 0.024, 0.047, 0.044, 0.117, 0.126, 0.039, 0.023, 0.011, 0.057, 0.064, 0.003, 0.075, 0.017, 0.123, 0.026, 0.013, 0.09, 0.09, 0.05, 0.031]"/>
    <s v="6898.143128362894"/>
    <s v="[0.147, 0.012, 0.028, 0.019, 0.007, 0.066, -0.019, -0.021, 0.081, 0.017, 0.001, -0.035, 0.059, 0.072, 0.036, 0.06, 0.147, 0.173, 0.146, 0.06, 0.092, 0.093, -0.113, 0.033, 0.065, -0.079, 0.002, 0.045, 0.087, 0.117, 0.121, 0.091, -0.024, -0.047, 0.044, 0.117, 0.126, 0.039, -0.023, 0.011, 0.057, 0.064, -0.003, -0.075, -0.017, 0.123, 0.026, 0.013, 0.09, 0.09, 0.05, 0.031]"/>
  </r>
  <r>
    <x v="1492"/>
    <x v="1162"/>
    <x v="0"/>
    <n v="0"/>
    <s v="LINESTRING (8.488984051347781 59.43839483074912, 8.48789248751998 59.43797415255615, 8.487146066728247 59.43762364340813, 8.487084002566043 59.437595267493926, 8.486581377116163 59.437425786081484, 8.486084273855033 59.43730468335989, 8.48562768045577 59.43720360609427)"/>
    <s v="[513587, 513595, 513603, 513611, 513619, 513627]"/>
    <s v="[519827, 519835, 519843, 519854, 519863, 519871]"/>
    <s v="#FIELD!"/>
    <s v="[519826, 519827, 519835, 519843, 519854, 519863]"/>
    <s v="[0.025, 0.058, 0.081, 0.027, 0.12, 0.098]"/>
    <s v="234.30647903900135"/>
    <s v="[-0.025, -0.058, -0.081, -0.027, 0.12, 0.098]"/>
  </r>
  <r>
    <x v="1492"/>
    <x v="1162"/>
    <x v="0"/>
    <n v="0"/>
    <s v="LINESTRING (8.488984051347781 59.43839483074912, 8.487967951847908 59.437921638049346, 8.487214738013234 59.43756848306685, 8.487147197583216 59.437539067272226, 8.487107052442395 59.43752165295873, 8.486629406074199 59.437374862176725, 8.486115138665607 59.437263890142255, 8.48562768045577 59.43720360609427)"/>
    <s v="[900330, 900338, 900346, 900354, 900362, 900370, 900378]"/>
    <s v="[874841, 874848, 874856, 850652, 874871, 520500, 519871]"/>
    <s v="0.00010095682048356831"/>
    <s v="[519826, 874841, 874848, 874856, 850652, 874871, 520500]"/>
    <s v="[0.181, 0.035, 0.007, 0.004, 0.048, 0.064, 0.691]"/>
    <s v="236.50300739803689"/>
    <s v="[0.181, 0.035, 0.007, 0.004, 0.048, 0.064, -0.691]"/>
  </r>
  <r>
    <x v="1493"/>
    <x v="1986"/>
    <x v="0"/>
    <n v="0"/>
    <s v="LINESTRING (7.9939879653858235 59.57138662501625, 7.993670467073017 59.57114067442901, 7.993338874701241 59.570685389604876, 7.9932844672269505 59.57060567478165, 7.993271866589587 59.57058656599657, 7.993216058163592 59.570509137178064, 7.992953884002964 59.57014807249724, 7.992927528629789 59.570113767452675, 7.992577783003205 59.569800411853535, 7.992507409232675 59.56975683584566, 7.9915647095282365 59.56941466390986, 7.9914584490931615 59.56939322160197, 7.991134983201581 59.56935148981214, 7.991042618388842 59.56934414258714, 7.9899453548307555 59.56939151849923, 7.989769947129989 59.569423172322864, 7.98971875495755 59.56943267596162, 7.989602786261488 59.56945888373968, 7.988821796966214 59.56969302229372, 7.988707530483988 59.56972977587649, 7.988684699512044 59.5697370196284, 7.98864991281136 59.569750469923676, 7.988529686424637 59.56978981386855, 7.987990386821155 59.57000013388954, 7.987945590086211 59.57002093168821, 7.987492424408674 59.570237020225356, 7.987417719194903 59.57026857414952, 7.987358553100711 59.570293862063785, 7.987322322632447 59.570313363131625, 7.987125158196625 59.57041276461352, 7.987121825780854 59.570414514045325, 7.986711977646073 59.57062499095603, 7.986144015451067 59.57088399069574)"/>
    <s v="[513635, 513643, 513651, 513659, 513667, 513675, 513683, 513691, 513699, 513707, 513715, 513723, 513731, 513739, 513747, 513755, 513763, 513771, 513779, 513787, 513795, 513803, 513811, 513819, 513827, 513835, 513843, 513851, 513859, 513867, 513875, 513883]"/>
    <s v="[519879, 519888, 519896, 310526, 519913, 519921, 519930, 519939, 519947, 519954, 519961, 519968, 519979, 519988, 501900, 520004, 520015, 520023, 520030, 520038, 520047, 520054, 520062, 520073, 520083, 520092, 501977, 520109, 520116, 520125, 520131, 520142]"/>
    <s v="0.01654369712724702"/>
    <s v="[519878, 519879, 519888, 519896, 310526, 519913, 519921, 519930, 519939, 519947, 519954, 519961, 519968, 519979, 519988, 501900, 520004, 520015, 520023, 520030, 520038, 520047, 520054, 520062, 520073, 520083, 520092, 501977, 520109, 520116, 520125, 520131]"/>
    <s v="[0.043, 0.071, 0.067, 0.016, 0.012, 0.011, 0.026, 0.008, 0.008, 0.026, 0.04, 0.051, 0.04, 0.058, 0.075, 0.084, 0.093, 0.092, 0.097, 0.129, 0.079, 0.097, 0.044, 0.034, 0.033, 0.024, 0.017, 0.031, 0.028, 0.048, 0.045, 0.001]"/>
    <s v="636.3486517543994"/>
    <s v="[-0.043, -0.071, -0.067, -0.016, -0.012, -0.011, -0.026, -0.008, 0.008, 0.026, 0.04, 0.051, 0.04, 0.058, 0.075, 0.084, 0.093, 0.092, 0.097, 0.129, 0.079, 0.097, 0.044, 0.034, 0.033, 0.024, 0.017, 0.031, 0.028, -0.048, -0.045, 0.001]"/>
  </r>
  <r>
    <x v="1493"/>
    <x v="1986"/>
    <x v="0"/>
    <n v="0"/>
    <s v="LINESTRING (7.9939879653858235 59.57138662501625, 7.993765946313008 59.57111365879198, 7.9934341566084575 59.57064851258814, 7.993374774291717 59.57056880072018, 7.993322584834398 59.57048731246376, 7.993044329051028 59.57009777695712, 7.993020578204083 59.57006954243714, 7.992986256848858 59.57002872540072, 7.992602475829642 59.56971987582132, 7.991615781079095 59.569353527346166, 7.991542947583151 59.569337379818286, 7.991485978056234 59.569326925353444, 7.991408908297984 59.56931575034058, 7.991059985773021 59.56928346466582, 7.989921426257735 59.569331250952644, 7.989801215824328 59.56935004743732, 7.98973794815465 59.56936267788063, 7.98962696486596 59.56938483668748, 7.988831820504285 59.56961956568261, 7.988678602383405 59.56967269999352, 7.988496092048134 59.56973449674732, 7.987915453871271 59.569960122336845, 7.987865753382391 59.569981178991334, 7.9874341710269805 59.57018707242837, 7.987366804792272 59.5702204002235, 7.98735984112113 59.5702240542611, 7.987268352947613 59.570270711899006, 7.987222947756082 59.57029161192826, 7.987048371547431 59.57037507727431, 7.987045519565489 59.57037648302919, 7.986144015451067 59.57088399069574)"/>
    <s v="[900386, 900394, 900402, 900410, 900418, 900426, 900434, 900442, 900450, 900458, 900466, 900474, 900482, 900490, 900498, 900499, 900506, 900507, 900511, 900531, 900539, 900543, 900550, 900558, 900566, 900574, 900575, 900576, 900583, 900591]"/>
    <s v="[874895, 874903, 310525, 874919, 874929, 874940, 874946, 874956, 874964, 874972, 874982, 850612, 875003, 875012, 501901, 875019, 520526, 875029, 850368, 875058, 875066, 875070, 875080, 520554, 875098, 875109, 501966, 875110, 875119, 520142]"/>
    <s v="0.01622989581620638"/>
    <s v="[519878, 874895, 874903, 310525, 874919, 874929, 874940, 874946, 874956, 874964, 874972, 874982, 850612, 875003, 875012, 501901, 875019, 520526, 875029, 850368, 875058, 875066, 875070, 875080, 520554, 875098, 875109, 501966, 875110, 875119]"/>
    <s v="[0.068, 0.071, 0.032, 0.01, 0.011, 0.018, 0.014, 0.005, 0.024, 0.053, 0.037, 0.052, 0.048, 0.057, 0.072, 0.077, 0.082, 0.093, 0.092, 0.095, 0.041, 0.03, 0.033, 0.027, 0.018, 0.033, 0.023, 0.025, 0.0, 0.014]"/>
    <s v="648.5842962306486"/>
    <s v="[-0.068, -0.071, -0.032, -0.01, -0.011, -0.018, -0.014, -0.005, 0.024, 0.053, 0.037, 0.052, 0.048, 0.057, 0.072, 0.077, 0.082, 0.093, 0.092, 0.095, 0.041, 0.03, 0.033, 0.027, -0.018, 0.033, 0.023, 0.025, 0.0, -0.014]"/>
  </r>
  <r>
    <x v="1493"/>
    <x v="1987"/>
    <x v="69"/>
    <s v="[0, 0, 0, 0, 0, 0, 0, 0, 0, 0, 0, 1, 0, 0, 0, 0, 0, 0, 0, 0, 0, 0, 0, 0, 0, 0, 0, 0, 0, 0, 0, 0, 0, 0, 0, 0, 0, 0, 0, 0, 1, 0, 0, 0, 0, 0, 0, 0, 0, 0, 0, 0, 0, 0, 0, 0, 0, 0, 0, 0, 0, 0, 0, 0, 0, 0, 0, 0, 0, 0, 0, 0, 0, 0, 0, 0, 0, 0, 0, 0, 0, 0, 0, 0, 0, 0, 0, 0, 0, 0, 0, 0, 1, 0]"/>
    <s v="LINESTRING (8.203504957263956 59.494947336226, 8.20314500711696 59.49542797631166, 8.202924940167822 59.49573451384786, 8.201754757907336 59.49688415685737, 8.201576397576462 59.49698043992814, 8.201014832747518 59.49723727664059, 8.199366418212643 59.49809590357747, 8.198555139429475 59.49862597880909, 8.19826114680949 59.49882620319363, 8.198153640468188 59.498900206060135, 8.198149503595852 59.498902873385966, 8.198036152738549 59.498975363322465, 8.197833841865576 59.49910488424384, 8.197642350684934 59.49922839233981, 8.197450662122751 59.499349538041976, 8.19638452466944 59.50005442233775, 8.196304641104756 59.50010773684451, 8.196203341650275 59.500175016259156, 8.195879231126536 59.50039160280859, 8.195359266518778 59.500738350310115, 8.19519253198376 59.500849335765, 8.194125371327239 59.50153249806689, 8.193854107920037 59.501680548816864, 8.192174063628718 59.50238015854178, 8.192032419600238 59.502433358851476, 8.189396031891015 59.5034344915464, 8.187945654284942 59.50402235570558, 8.183344758751293 59.506167413560576, 8.180021945787106 59.507646928789846, 8.176959648423376 59.50928261371858, 8.174681370475753 59.51052045257696, 8.172306916807893 59.511846281031, 8.171655866888566 59.512215504641674, 8.170425879277841 59.51305866911953, 8.16890665103845 59.51397470697059, 8.162274616183177 59.5184859126433, 8.160129705508199 59.51959671383763, 8.15647095392799 59.52208489115569, 8.154099270882082 59.524075206969115, 8.14846328217064 59.52595973192589, 8.14835163207544 59.52598604658843, 8.148232359290812 59.5260140777912, 8.14130093146869 59.527008825590435, 8.140473105313873 59.52729676602499, 8.139770609153585 59.527542028963886, 8.13306569803086 59.529904053167385, 8.12432237137481 59.53190028611537, 8.122395286851871 59.532153542475584, 8.118766402477469 59.532329594678444, 8.116335498607027 59.53223335479286, 8.11034770936877 59.53164274294947, 8.108085459603007 59.531558602136215, 8.105571847700563 59.53159415627156, 8.105096020850882 59.5316210998142, 8.101901682328066 59.53201899148208, 8.099287192340714 59.53277258838674, 8.094123724319385 59.53306282044788, 8.086485208552885 59.53452677363196, 8.083034214938733 59.53568996047838, 8.08257802883383 59.53580439139039, 8.078082277615124 59.53646091287059, 8.066243922748635 59.53828637936469, 8.065563053531827 59.538570270382856, 8.06305562864267 59.53982631179961, 8.057645221075305 59.542122073226956, 8.051603315918468 59.542372950238445, 8.049161502787928 59.54219335563715, 8.044104919533952 59.540973725911904, 8.036001344845392 59.54086218331881, 8.021539578603203 59.54514051240567, 8.016060850619153 59.54610609372962, 8.01313603888064 59.546277548580576, 8.00994744437839 59.55017117192111, 8.011300915054825 59.55294685322764, 8.011708902856219 59.55412568673344, 8.010988184967612 59.55736791916516, 8.010552854661624 59.55791669112284, 8.008987141871694 59.55989199917163, 8.008264285702841 59.56206410093395, 8.008101414163644 59.562965617985824, 8.007936497348929 59.563270473986016, 8.007354867484544 59.563949527346054, 8.005395734279672 59.566569837632464, 8.003298469731867 59.56815930551442, 7.999980918682679 59.56997486719785, 7.99961652214141 59.570163515660866, 7.998966732735674 59.570499782956965, 7.998827916430651 59.57057164700354, 7.998641361214247 59.570667452824715, 7.998583607148258 59.570697931697154, 7.9980416743324225 59.57099022993032, 7.9971758191302795 59.571523887564894, 7.99699542306502 59.571606223717566, 7.995839952693635 59.57183772041743, 7.9939879653858235 59.57138662501625)"/>
    <s v="[1309778, 990715, 990716, 990735, 990751, 990759, 990771, 990779, 990803, 990826, 990844, 990858, 990871, 990873, 990875, 990882, 990890, 990891, 990904, 990910, 990918, 990928, 990929, 990935, 990943, 990957, 990973, 990980, 990988, 990989, 991003, 991019, 991024, 991025, 991032, 991048, 991049, 991052, 991053, 991061, 991066, 991067, 991068, 991091, 991130, 991131, 991143, 991157, 991158, 991165, 991181, 991189, 991197, 991204, 991207, 991215, 991223, 991231, 991239, 991247, 991255, 991263, 991271, 991279, 991287, 991295, 991303, 991311, 991319, 991323, 991326, 991335, 991343, 991351, 991359, 991367, 991375, 991405, 1821300, 1821242, 1821252, 1821253, 1821260, 991411, 991412, 991427, 991429, 991430, 991438, 991439, 991446, 991454, 991462, 991476]"/>
    <s v="[749011, 949542, 949543, 949559, 748965, 786828, 748981, 949596, 516423, 949639, 949656, 949666, 949672, 887008, 949677, 748784, 949687, 748773, 748813, 949707, 750529, 949726, 949727, 949733, 748666, 748661, 949769, 748649, 750579, 501252, 949789, 949799, 748640, 750623, 750689, 949825, 949826, 750709, 949829, 949839, 949843, 749955, 749947, 750731, 949902, 749964, 949914, 750767, 949929, 750778, 942272, 750810, 750827, 750853, 949982, 750876, 950002, 950008, 950016, 950028, 950035, 755501, 950050, 750019, 950064, 750947, 750955, 950085, 950093, 902527, 950100, 950106, 950116, 751070, 950129, 950138, 767599, 755456, 1601105, 1601090, 654711, 1601098, 950173, 950174, 313985, 950187, 950189, 950190, 950197, 788952, 795072, 950211, 950219, 519878]"/>
    <s v="#FIELD!"/>
    <s v="[1218464, 749011, 949542, 949543, 949559, 748965, 786828, 748981, 949596, 516423, 949639, 949656, 949666, 949672, 887008, 949677, 748784, 949687, 748773, 748813, 949707, 750529, 949726, 949727, 949733, 748666, 748661, 949769, 748649, 750579, 501252, 949789, 949799, 748640, 750623, 750689, 949825, 949826, 750709, 949829, 949839, 949843, 749955, 749947, 750731, 949902, 749964, 949914, 750767, 949929, 750778, 942272, 750810, 750827, 750853, 949982, 750876, 950002, 950008, 950016, 950028, 950035, 755501, 950050, 750019, 950064, 750947, 750955, 950085, 950093, 902527, 950100, 950106, 950116, 751070, 950129, 950138, 767599, 755456, 1601105, 1601090, 654711, 1601098, 950173, 950174, 313985, 950187, 950189, 950190, 950197, 788952, 795072, 950211, 950219]"/>
    <s v="[0.108, 0.022, 0.027, 0.089, 0.061, 0.016, 0.036, 0.047, 0.053, 0.0, 0.058, 0.059, 0.062, 0.051, 0.049, 0.048, 0.046, 0.045, 0.024, 0.024, 0.032, 0.042, 0.08, 0.084, 0.057, 0.03, 0.044, 0.051, 0.031, 0.01, 0.065, 0.009, 0.004, 0.055, 0.051, 0.034, 0.028, 0.023, 0.096, 0.005, 0.0, 0.008, 0.135, 0.141, 0.017, 0.029, 0.013, 0.005, 0.016, 0.013, 0.008, 0.09, 0.091, 0.022, 0.024, 0.047, 0.002, 0.012, 0.026, 0.043, 0.056, 0.029, 0.062, 0.025, 0.025, 0.062, 0.058, 0.069, 0.034, 0.033, 0.007, 0.033, 0.005, 0.073, 0.008, 0.033, 0.02, 0.022, 0.034, 0.011, 0.033, 0.04, 0.063, 0.043, 0.045, 0.07, 0.092, 0.061, 0.035, 0.027, 0.074, 0.038, 0.038, 0.002]"/>
    <s v="16585.579388345"/>
    <s v="[-0.108, 0.022, -0.027, -0.089, -0.061, -0.016, -0.036, 0.047, 0.053, 0.0, 0.058, 0.059, 0.062, 0.051, 0.049, 0.048, 0.046, 0.045, 0.024, 0.024, 0.032, 0.042, 0.08, 0.084, 0.057, 0.03, 0.044, -0.051, 0.031, -0.01, 0.065, -0.009, 0.004, 0.055, 0.051, 0.034, -0.028, 0.023, 0.096, 0.005, -0.0, -0.008, 0.135, 0.141, 0.017, -0.029, -0.013, 0.005, -0.016, 0.013, -0.008, -0.09, -0.091, -0.022, 0.024, 0.047, -0.002, 0.012, -0.026, -0.043, -0.056, -0.029, -0.062, -0.025, 0.025, -0.062, -0.058, -0.069, -0.034, -0.033, -0.007, -0.033, -0.005, -0.073, 0.008, 0.033, 0.02, -0.022, -0.034, -0.011, -0.033, -0.04, -0.063, -0.043, -0.045, -0.07, -0.092, -0.061, -0.035, -0.027, 0.074, 0.038, -0.038, -0.002]"/>
  </r>
  <r>
    <x v="1494"/>
    <x v="1988"/>
    <x v="0"/>
    <n v="0"/>
    <s v="LINESTRING (10.792140334540843 59.91012620293757, 10.792299457100262 59.91014207972059, 10.792369345358216 59.910185935401365)"/>
    <s v="[513656, 513664]"/>
    <s v="[519903, 519910]"/>
    <s v="0.08179784622063704"/>
    <s v="[519892, 519903]"/>
    <s v="[0.092, 0.067]"/>
    <s v="15.339474804135843"/>
    <s v="[0.092, 0.067]"/>
  </r>
  <r>
    <x v="1494"/>
    <x v="1989"/>
    <x v="0"/>
    <n v="0"/>
    <s v="LINESTRING (10.792140334540843 59.91012620293757, 10.792219411731896 59.9101075920778, 10.79226562823784 59.91009242638525, 10.792511788525914 59.909992416113745)"/>
    <s v="[770423, 770437, 770445]"/>
    <s v="[749843, 749860, 723626]"/>
    <s v="#FIELD!"/>
    <s v="[519892, 749843, 749860]"/>
    <s v="[0.427, 0.201, 0.132]"/>
    <s v="25.697981425870005"/>
    <s v="[-0.427, -0.201, 0.132]"/>
  </r>
  <r>
    <x v="1494"/>
    <x v="1990"/>
    <x v="0"/>
    <n v="0"/>
    <s v="LINESTRING (10.79225326436751 59.910346471465495, 10.792198137694545 59.91035579558721, 10.79207082931409 59.910349666522926, 10.79198593024817 59.910317873863306, 10.791955447564517 59.910290976915604, 10.791942318165484 59.91020529111878, 10.792062182842084 59.9101353933142, 10.792140334540843 59.91012620293757)"/>
    <s v="[513688, 513608, 513616, 513624, 513632, 513640, 513648]"/>
    <s v="[519851, 519852, 519860, 519868, 519875, 519885, 519892]"/>
    <s v="#FIELD!"/>
    <s v="[519927, 519851, 519852, 519860, 519868, 519875, 519885]"/>
    <s v="[0.073, 0.093, 0.075, 0.056, 0.023, 0.05, 0.089]"/>
    <s v="44.13866797431479"/>
    <s v="[-0.073, -0.093, -0.075, -0.056, -0.023, 0.05, 0.089]"/>
  </r>
  <r>
    <x v="1495"/>
    <x v="1991"/>
    <x v="0"/>
    <n v="0"/>
    <m/>
    <n v="513672"/>
    <n v="519918"/>
    <s v="0.037"/>
    <n v="519910"/>
    <s v="0.037"/>
    <s v="3.351811003094125"/>
    <s v="0.037"/>
  </r>
  <r>
    <x v="1495"/>
    <x v="1989"/>
    <x v="0"/>
    <n v="0"/>
    <s v="LINESTRING (10.792369345358216 59.910185935401365, 10.79240209932142 59.91013954353914, 10.792511788525914 59.909992416113745)"/>
    <s v="[763575, 763583]"/>
    <s v="[742778, 723626]"/>
    <s v="#FIELD!"/>
    <s v="[519910, 742778]"/>
    <s v="[0.419, 0.038]"/>
    <s v="22.99307951243276"/>
    <s v="[-0.419, 0.038]"/>
  </r>
  <r>
    <x v="1496"/>
    <x v="1990"/>
    <x v="0"/>
    <n v="0"/>
    <m/>
    <n v="513680"/>
    <n v="519927"/>
    <s v="#FIELD!"/>
    <n v="519918"/>
    <s v="0.031"/>
    <s v="17.604078334918796"/>
    <s v="#FIELD!"/>
  </r>
  <r>
    <x v="1496"/>
    <x v="1992"/>
    <x v="0"/>
    <n v="0"/>
    <s v="LINESTRING (10.792385111220883 59.91021495132279, 10.792452399387995 59.910277345145666, 10.7930814273082 59.90994768439866, 10.793105825532665 59.90985405394958, 10.79310729166167 59.909850396331315, 10.7932896713786 59.909533540226626, 10.79339670936191 59.909447271521756)"/>
    <s v="[738481, 738489, 738497, 738505, 738513, 1364352]"/>
    <s v="[723647, 723650, 723654, 723658, 723666, 1259667]"/>
    <s v="#FIELD!"/>
    <s v="[519918, 723647, 723650, 723654, 723658, 723666]"/>
    <s v="[0.191, 0.012, 0.008, 0.0, 0.002, 0.011]"/>
    <s v="160.4420790484611"/>
    <s v="[-0.191, 0.012, -0.008, 0.0, -0.002, 0.011]"/>
  </r>
  <r>
    <x v="1497"/>
    <x v="1993"/>
    <x v="0"/>
    <n v="0"/>
    <s v="LINESTRING (10.421740892968447 59.8329628091327, 10.421762586428105 59.83298694883054, 10.421764022614884 59.83305445184524, 10.42170770963751 59.833100156133746, 10.421638716939418 59.83312113544333, 10.421514669637377 59.833126705424, 10.42141792423789 59.83310264812718, 10.4213508746632 59.833044550176844, 10.421363541420282 59.83297843803247, 10.421430277328264 59.8329348958901, 10.421740892968447 59.8329628091327)"/>
    <s v="[513685, 513693, 513701, 513629, 513637, 513645, 513653, 513661, 513669, 513677]"/>
    <s v="[519933, 519940, 519872, 519873, 519882, 519889, 519899, 519907, 519915, 519924]"/>
    <s v="#FIELD!"/>
    <s v="[519924, 519933, 519940, 519872, 519873, 519882, 519889, 519899, 519907, 519915]"/>
    <s v="[0.016, 0.024, 0.047, 0.056, 0.056, 0.02, 0.011, 0.039, 0.059, 0.028]"/>
    <s v="74.58670937529462"/>
    <s v="[0.016, 0.024, 0.047, 0.056, 0.056, 0.02, -0.011, -0.039, -0.059, -0.028]"/>
  </r>
  <r>
    <x v="1497"/>
    <x v="1994"/>
    <x v="0"/>
    <n v="0"/>
    <s v="LINESTRING (10.428385272225484 59.831741712275445, 10.428272425936068 59.831795344838646, 10.42544088522951 59.832184234415244, 10.421833240948448 59.832905166817376, 10.421740892968447 59.8329628091327)"/>
    <s v="[1540452, 1494825, 1494833, 1494840]"/>
    <s v="[1353191, 1353192, 1353200, 519924]"/>
    <s v="0.01855687998707468"/>
    <s v="[1391875, 1353191, 1353192, 1353200]"/>
    <s v="[0.098, 0.073, 0.029, 1.434]"/>
    <s v="404.3680831199318"/>
    <s v="[0.098, 0.073, 0.029, -1.434]"/>
  </r>
  <r>
    <x v="1498"/>
    <x v="1995"/>
    <x v="0"/>
    <n v="0"/>
    <s v="LINESTRING (10.79514604851065 59.911401038889885, 10.793633962871228 59.91081503604796, 10.793345717460838 59.91067364960444, 10.792921806120905 59.910543211642334, 10.792414154637862 59.91038132262765, 10.79236123629014 59.91037054057779, 10.79225326436751 59.910346471465495)"/>
    <s v="[738401, 738409, 738417, 738425, 738433, 738441]"/>
    <s v="[723596, 723603, 723607, 723611, 723616, 519927]"/>
    <s v="#FIELD!"/>
    <s v="[723525, 723596, 723603, 723607, 723611, 723616]"/>
    <s v="[0.044, 0.046, 0.05, 0.048, 0.046, 0.165]"/>
    <s v="200.9853841147476"/>
    <s v="[-0.044, -0.046, -0.05, -0.048, -0.046, 0.165]"/>
  </r>
  <r>
    <x v="1499"/>
    <x v="1996"/>
    <x v="0"/>
    <n v="0"/>
    <s v="LINESTRING (10.794122196587573 59.90964806471874, 10.794181824672624 59.90964007953019, 10.794250025880098 59.90963903991717, 10.794348774534793 59.90966595071104, 10.794382082334115 59.90969359372297, 10.79439962092358 59.90973703434959, 10.79435376647337 59.909791891591844, 10.79432558123581 59.90980761616835)"/>
    <s v="[513696, 513704, 513712, 513720, 513728, 513736, 513744]"/>
    <s v="[519944, 519950, 519958, 519966, 519975, 519985, 519992]"/>
    <s v="0.015143691576908855"/>
    <s v="[519943, 519944, 519950, 519958, 519966, 519975, 519985]"/>
    <s v="[0.022, 0.026, 0.028, 0.018, 0.017, 0.003, 0.004]"/>
    <s v="31.08894709192225"/>
    <s v="[0.022, 0.026, 0.028, 0.018, 0.017, -0.003, -0.004]"/>
  </r>
  <r>
    <x v="1499"/>
    <x v="1997"/>
    <x v="0"/>
    <n v="0"/>
    <s v="LINESTRING (10.794051597025305 59.909778396610044, 10.794021958381348 59.90971699097645, 10.794122196587573 59.90964806471874)"/>
    <s v="[513768, 513776]"/>
    <s v="[520020, 519943]"/>
    <s v="#FIELD!"/>
    <s v="[520011, 520020]"/>
    <s v="[0.008, 0.001]"/>
    <s v="16.889106049404226"/>
    <s v="[-0.008, -0.001]"/>
  </r>
  <r>
    <x v="1499"/>
    <x v="1998"/>
    <x v="0"/>
    <n v="0"/>
    <s v="LINESTRING (10.793397598570131 59.90971322219396, 10.793933578740178 59.90966561287094, 10.794122196587573 59.90964806471874)"/>
    <s v="[770448, 770450]"/>
    <s v="[749872, 519943]"/>
    <s v="0.012112150664879305"/>
    <s v="[723627, 749872]"/>
    <s v="[0.016, 0.001]"/>
    <s v="41.42173716719268"/>
    <s v="[0.016, 0.001]"/>
  </r>
  <r>
    <x v="1500"/>
    <x v="1999"/>
    <x v="0"/>
    <n v="0"/>
    <m/>
    <n v="513752"/>
    <n v="520001"/>
    <s v="#FIELD!"/>
    <n v="519992"/>
    <s v="0.026"/>
    <s v="15.471608579702234"/>
    <s v="#FIELD!"/>
  </r>
  <r>
    <x v="1500"/>
    <x v="2000"/>
    <x v="0"/>
    <n v="0"/>
    <s v="LINESTRING (10.79432558123581 59.90980761616835, 10.794327041159736 59.909852620060434, 10.795462502048611 59.91129156180902, 10.796233007450752 59.911555344614506)"/>
    <s v="[738457, 738465, 738473]"/>
    <s v="[723632, 723637, 723576]"/>
    <s v="0.03328821227400237"/>
    <s v="[519992, 723632, 723637]"/>
    <s v="[0.294, 0.024, 0.046]"/>
    <s v="269.42164762096326"/>
    <s v="[0.294, 0.024, 0.046]"/>
  </r>
  <r>
    <x v="1501"/>
    <x v="1997"/>
    <x v="0"/>
    <n v="0"/>
    <m/>
    <n v="513760"/>
    <n v="520011"/>
    <s v="#FIELD!"/>
    <n v="520001"/>
    <s v="0.004"/>
    <s v="1.8323416705947437"/>
    <s v="#FIELD!"/>
  </r>
  <r>
    <x v="1501"/>
    <x v="2001"/>
    <x v="0"/>
    <n v="0"/>
    <s v="LINESTRING (10.793358723819766 59.90986232583386, 10.793395587249368 59.90991276818709, 10.793779219580273 59.910148106594, 10.794131429468267 59.90985626005521, 10.794071611908441 59.90979140842975)"/>
    <s v="[1364360, 738521, 738529, 738537]"/>
    <s v="[723671, 723672, 723677, 520001]"/>
    <s v="0.004385173630057787"/>
    <s v="[1259673, 723671, 723672, 723677]"/>
    <s v="[0.031, 0.037, 0.007, 0.186]"/>
    <s v="99.43016956020348"/>
    <s v="[0.031, 0.037, 0.007, -0.186]"/>
  </r>
  <r>
    <x v="1502"/>
    <x v="1998"/>
    <x v="0"/>
    <n v="0"/>
    <s v="LINESTRING (10.793397598570131 59.90971322219396, 10.79390538978024 59.90976092057332, 10.794051597025305 59.909778396610044)"/>
    <s v="[763591, 763599]"/>
    <s v="[742793, 520011]"/>
    <s v="0.01490075850114075"/>
    <s v="[723627, 742793]"/>
    <s v="[0.03, 0.037]"/>
    <s v="37.324040435951275"/>
    <s v="[0.03, -0.037]"/>
  </r>
  <r>
    <x v="1503"/>
    <x v="2002"/>
    <x v="0"/>
    <n v="0"/>
    <s v="LINESTRING (10.411137423970567 59.82944682308141, 10.411099760942184 59.829396041510634, 10.411163534698353 59.82930923073416, 10.411390093938309 59.82928566661577, 10.411493366607141 59.829327047945135, 10.411525500535316 59.82939202633056, 10.411439231120967 59.82947355458122, 10.411340138174136 59.82949257765271)"/>
    <s v="[513797, 513805, 513813, 513821, 513829, 513837, 513781]"/>
    <s v="[520050, 520057, 520065, 520075, 520086, 520033, 520034]"/>
    <s v="#FIELD!"/>
    <s v="[520039, 520050, 520057, 520065, 520075, 520086, 520033]"/>
    <s v="[0.076, 0.062, 0.009, 0.062, 0.074, 0.053, 0.006]"/>
    <s v="61.56582761971256"/>
    <s v="[0.076, 0.062, -0.009, -0.062, -0.074, -0.053, -0.006]"/>
  </r>
  <r>
    <x v="1503"/>
    <x v="2003"/>
    <x v="0"/>
    <n v="0"/>
    <s v="LINESTRING (10.411340138174136 59.82949257765271, 10.411290645606702 59.82955354455052, 10.414002531259477 59.83120083415136, 10.41407386017122 59.831253689366996)"/>
    <s v="[1494848, 1494856, 1540460]"/>
    <s v="[1353216, 1353225, 1391882]"/>
    <s v="#FIELD!"/>
    <s v="[520034, 1353216, 1353225]"/>
    <s v="[1.113, 0.044, 0.258]"/>
    <s v="283.8048904091059"/>
    <s v="[1.113, -0.044, -0.258]"/>
  </r>
  <r>
    <x v="1504"/>
    <x v="1926"/>
    <x v="0"/>
    <n v="0"/>
    <s v="LINESTRING (10.78264031395468 59.90264421453004, 10.782542033268928 59.90260060303446, 10.78252242065444 59.902557714340226)"/>
    <s v="[513784, 513792]"/>
    <s v="[520037, 520043]"/>
    <s v="0.23602719944774828"/>
    <s v="[520036, 520037]"/>
    <s v="[0.214, 0.269]"/>
    <s v="12.245060795148218"/>
    <s v="[0.214, 0.269]"/>
  </r>
  <r>
    <x v="1505"/>
    <x v="294"/>
    <x v="0"/>
    <n v="0"/>
    <s v="LINESTRING (10.40774078314589 59.82912666257951, 10.407912307340563 59.82912909725604, 10.411057072108004 59.829498761372456, 10.411137423970567 59.82944682308141)"/>
    <s v="[1540468, 1494864, 1494872]"/>
    <s v="[1353234, 1353235, 520039]"/>
    <s v="#FIELD!"/>
    <s v="[1391887, 1353234, 1353235]"/>
    <s v="[0.121, 0.005, 1.062]"/>
    <s v="229.9235960832638"/>
    <s v="[-0.121, -0.005, -1.062]"/>
  </r>
  <r>
    <x v="1506"/>
    <x v="1981"/>
    <x v="0"/>
    <n v="1"/>
    <m/>
    <n v="513848"/>
    <n v="520106"/>
    <s v="0.067"/>
    <n v="520105"/>
    <s v="0.067"/>
    <s v="6.906518659947973"/>
    <s v="0.067"/>
  </r>
  <r>
    <x v="1506"/>
    <x v="2004"/>
    <x v="0"/>
    <n v="1"/>
    <s v="LINESTRING (10.7832245852629 59.903455989226764, 10.783173219108466 59.90336712562073, 10.783275212082069 59.90331104969332)"/>
    <s v="[513904, 513912]"/>
    <s v="[520165, 520105]"/>
    <s v="0.07929144529044205"/>
    <s v="[520155, 520165]"/>
    <s v="[0.052, 0.114]"/>
    <s v="19.22973287548217"/>
    <s v="[0.052, 0.114]"/>
  </r>
  <r>
    <x v="1506"/>
    <x v="2005"/>
    <x v="0"/>
    <n v="1"/>
    <s v="LINESTRING (10.781664111734447 59.903258068388745, 10.78173814369159 59.90330234190916, 10.782185290895606 59.903336185420855, 10.782416599162639 59.9033204005573, 10.782470939458955 59.903318185796394, 10.783116946817337 59.903298290736856, 10.783275212082069 59.90331104969332)"/>
    <s v="[770556, 770564, 770580, 770589, 770599, 770607]"/>
    <s v="[749998, 750008, 750031, 750039, 750051, 520105]"/>
    <s v="#FIELD!"/>
    <s v="[734607, 749998, 750008, 750031, 750039, 750051]"/>
    <s v="[0.819, 0.134, 0.106, 0.034, 0.003, 0.398]"/>
    <s v="93.83857271303778"/>
    <s v="[-0.819, -0.134, 0.106, -0.034, -0.003, 0.398]"/>
  </r>
  <r>
    <x v="1507"/>
    <x v="1982"/>
    <x v="0"/>
    <n v="1"/>
    <s v="LINESTRING (10.783398564871437 59.903312304633225, 10.78347860278947 59.90334454109719, 10.783489647995953 59.903426717775496)"/>
    <s v="[513856, 513864]"/>
    <s v="[520113, 520120]"/>
    <s v="#FIELD!"/>
    <s v="[520106, 520113]"/>
    <s v="[0.018, 0.059]"/>
    <s v="15.234910432371297"/>
    <s v="[0.018, -0.059]"/>
  </r>
  <r>
    <x v="1508"/>
    <x v="2004"/>
    <x v="0"/>
    <n v="1"/>
    <s v="LINESTRING (10.783489647995953 59.903426717775496, 10.783454032656639 59.90345345034708, 10.783378095489452 59.90347349605667, 10.783279814825438 59.903472145315135, 10.7832245852629 59.903455989226764)"/>
    <s v="[513872, 513880, 513888, 513896]"/>
    <s v="[520129, 520137, 520147, 520155]"/>
    <s v="#FIELD!"/>
    <s v="[520120, 520129, 520137, 520147]"/>
    <s v="[0.092, 0.102, 0.091, 0.06]"/>
    <s v="17.46811647344984"/>
    <s v="[-0.092, -0.102, -0.091, -0.06]"/>
  </r>
  <r>
    <x v="1509"/>
    <x v="2006"/>
    <x v="0"/>
    <n v="0"/>
    <s v="LINESTRING (7.986144015451067 59.57088399069574, 7.985987385896919 59.57096570784782, 7.984036375118192 59.57202527411299, 7.983078200751139 59.5722742406236, 7.982102954351096 59.57242887988034, 7.977689535422758 59.57333175885831, 7.977215924021643 59.57345656569951, 7.974243452153706 59.57372144159619, 7.9726149904946135 59.57345475747562, 7.972191356134875 59.57331932170442, 7.969557572936259 59.57228353384494, 7.967724830225413 59.571420317760925, 7.963793978118 59.57049438352532, 7.960451924349014 59.57206701884985, 7.95792131810795 59.57233132504113, 7.9566096440681155 59.572621181710794, 7.949404217191083 59.57483934720824, 7.9429936884202705 59.57552123623655, 7.942724849275516 59.57560249886921, 7.941681114986032 59.575767449281265, 7.9364369716298695 59.5790958323188, 7.93163877180596 59.58206147761029, 7.922978297725384 59.58647424154935, 7.922126231516688 59.586549677040914, 7.918849311552079 59.587743426419195, 7.918344473187641 59.58807553387471, 7.9163754988856265 59.5888360791709, 7.909695812932673 59.59093973433722, 7.906507459013547 59.591574124229076, 7.900761637476668 59.59994443554857, 7.898835418701367 59.60238251153727, 7.898936121553103 59.60299003592197, 7.898935640526432 59.603089026147, 7.898934891088491 59.603110429123774, 7.898040408870744 59.60468713100513, 7.8973479181512225 59.6056499962703, 7.89632381553512 59.606952605959485, 7.894398823359186 59.60801795790463, 7.893710949604019 59.60983444716515, 7.893424712997446 59.61005439769237, 7.892853980180631 59.610501044350535, 7.891881122486641 59.61124121005004, 7.890793674815957 59.61213053116474, 7.886620385428245 59.61492801806134, 7.8855423148835095 59.61511549651483, 7.884766001144523 59.615194272230795, 7.883229974682746 59.61533266909093, 7.883082172152593 59.61534773293992, 7.881036840320393 59.615777782144946, 7.879397368028981 59.6162227236645, 7.879241043665423 59.61626059216526, 7.878704112727009 59.61637910311893, 7.875762160997023 59.61658160563686)"/>
    <s v="[991481, 991504, 991505, 991513, 991514, 991535, 991543, 991544, 991551, 991575, 991587, 991593, 991596, 991598, 991613, 991621, 991622, 991623, 991630, 991631, 991635, 991650, 991658, 991666, 991667, 991668, 991674, 991682, 991692, 991693, 991694, 991710, 991714, 991715, 991718, 991747, 991756, 991768, 991776, 991777, 991784, 991792, 991813, 991825, 991826, 991833, 991841, 991849, 991857, 991858, 991875, 991876]"/>
    <s v="[950236, 793497, 793588, 950255, 793525, 314021, 758513, 950281, 950286, 764556, 764535, 764570, 758932, 950325, 758915, 764560, 950346, 758502, 758488, 950355, 950360, 756483, 762784, 950387, 764593, 751391, 950391, 950398, 950403, 949065, 950404, 949064, 490209, 490188, 490176, 490174, 950472, 765690, 950493, 950494, 949263, 788595, 756436, 950539, 490164, 756431, 950552, 490162, 950566, 950567, 765723, 950581]"/>
    <s v="0.010631760834326693"/>
    <s v="[520142, 950236, 793497, 793588, 950255, 793525, 314021, 758513, 950281, 950286, 764556, 764535, 764570, 758932, 950325, 758915, 764560, 950346, 758502, 758488, 950355, 950360, 756483, 762784, 950387, 764593, 751391, 950391, 950398, 950403, 949065, 950404, 949064, 490209, 490188, 490176, 490174, 950472, 765690, 950493, 950494, 949263, 788595, 756436, 950539, 490164, 756431, 950552, 490162, 950566, 950567, 765723]"/>
    <s v="[0.01, 0.068, 0.124, 0.118, 0.08, 0.084, 0.001, 0.04, 0.021, 0.015, 0.019, 0.048, 0.052, 0.05, 0.017, 0.025, 0.036, 0.026, 0.064, 0.014, 0.047, 0.007, 0.039, 0.011, 0.104, 0.075, 0.03, 0.032, 0.044, 0.026, 0.1, 0.095, 0.058, 0.005, 0.052, 0.023, 0.017, 0.032, 0.022, 0.021, 0.005, 0.025, 0.044, 0.017, 0.011, 0.017, 0.016, 0.011, 0.032, 0.046, 0.043, 0.011]"/>
    <s v="9490.937154490577"/>
    <s v="[0.01, 0.068, 0.124, 0.118, 0.08, 0.084, 0.001, -0.04, 0.021, 0.015, -0.019, -0.048, 0.052, -0.05, 0.017, 0.025, 0.036, 0.026, -0.064, 0.014, -0.047, -0.007, -0.039, 0.011, 0.104, 0.075, 0.03, -0.032, 0.044, -0.026, 0.1, 0.095, 0.058, -0.005, -0.052, -0.023, -0.017, 0.032, 0.022, 0.021, -0.005, -0.025, -0.044, 0.017, -0.011, -0.017, -0.016, 0.011, 0.032, 0.046, 0.043, 0.011]"/>
  </r>
  <r>
    <x v="1510"/>
    <x v="2007"/>
    <x v="0"/>
    <n v="0"/>
    <s v="LINESTRING (7.5540442362868525 59.734585457484904, 7.552624540260217 59.73465055017768, 7.552538218409339 59.734662852862705, 7.551831579438558 59.734806336072644, 7.551602660052552 59.7348570295898, 7.551335556608597 59.73490259717229, 7.550463018632119 59.73495646895729, 7.550413958434831 59.73495549318383, 7.54995544192123 59.734923667950135, 7.549813295844497 59.73490677962715, 7.549548377917281 59.734863845532175, 7.548871664478083 59.73467751386994, 7.5478407865350094 59.734300143613474, 7.547485800883165 59.73419919873253)"/>
    <s v="[513891, 513899, 513907, 513915, 513923, 513931, 513939, 513947, 513955, 513963, 513971, 513979, 513987]"/>
    <s v="[520151, 520159, 520169, 520179, 520188, 520197, 520205, 520217, 520228, 520237, 520246, 520256, 520266]"/>
    <s v="0.023132502349003308"/>
    <s v="[520150, 520151, 520159, 520169, 520179, 520188, 520197, 520205, 520217, 520228, 520237, 520246, 520256]"/>
    <s v="[0.053, 0.059, 0.089, 0.081, 0.056, 0.025, 0.001, 0.143, 0.156, 0.163, 0.14, 0.079, 0.069]"/>
    <s v="399.6949784923075"/>
    <s v="[-0.053, -0.059, -0.089, -0.081, -0.056, -0.025, -0.001, 0.143, 0.156, 0.163, 0.14, 0.079, 0.069]"/>
  </r>
  <r>
    <x v="1510"/>
    <x v="2007"/>
    <x v="0"/>
    <n v="0"/>
    <s v="LINESTRING (7.5540442362868525 59.734585457484904, 7.552552474551563 59.73458193229243, 7.551846629839697 59.73472634448952, 7.551622958533024 59.73477960956818, 7.551553527304547 59.7347940107193, 7.551485166469759 59.73480666037018, 7.551292813304218 59.73483473042048, 7.550468672412419 59.73488033309178, 7.550416020519698 59.73487968455097, 7.549991429884388 59.73485277852304, 7.549855762706014 59.73483671053688, 7.549593293069595 59.73479273484519, 7.548962401104332 59.73461483274933, 7.548871484401999 59.73457989046273, 7.54788080898104 59.73425849369159, 7.547485800883165 59.73419919873253)"/>
    <s v="[900592, 900599, 900605, 900606, 900607, 900615, 900622, 900630, 900651, 900659, 900694, 900723, 900735, 900741, 900742]"/>
    <s v="[875131, 875138, 875144, 875145, 875146, 875154, 875162, 875171, 873113, 875201, 875244, 875277, 875293, 875301, 520266]"/>
    <s v="0.023401818653086288"/>
    <s v="[520150, 875131, 875138, 875144, 875145, 875146, 875154, 875162, 875171, 873113, 875201, 875244, 875277, 875293, 875301]"/>
    <s v="[0.032, 0.092, 0.086, 0.058, 0.108, 0.043, 0.026, 0.004, 0.129, 0.136, 0.161, 0.136, 0.106, 0.074, 0.074]"/>
    <s v="396.41962995781006"/>
    <s v="[-0.032, -0.092, -0.086, -0.058, -0.108, -0.043, -0.026, -0.004, 0.129, 0.136, 0.161, 0.136, 0.106, 0.074, 0.074]"/>
  </r>
  <r>
    <x v="1510"/>
    <x v="1861"/>
    <x v="0"/>
    <s v="[0, 0, 0, 0, 0, 1, 0, 1, 0, 0, 0, 0, 0, 0, 0, 0, 0, 0, 0]"/>
    <s v="LINESTRING (7.603128885620013 59.73668777841113, 7.603037793370643 59.73669349616432, 7.602533506698498 59.736715460685716, 7.601429229537419 59.73673222555944, 7.60129215618442 59.736732345026006, 7.592320644963416 59.737282123140496, 7.591790629883521 59.73731092879821, 7.588699521578506 59.73717235046598, 7.588535571308229 59.737155017191554, 7.584993039774201 59.736796454633364, 7.5669969520762 59.73654551817158, 7.565136788688519 59.736464761766484, 7.565036919784475 59.73645966512167, 7.564935998430006 59.73645392239201, 7.5648500150392755 59.736448714012226, 7.563443099988254 59.73632489546588, 7.555590592210827 59.73485402914389, 7.555538670790178 59.73483972699951, 7.555387899927742 59.73480164967804, 7.5540442362868525 59.734585457484904)"/>
    <s v="[912162, 912170, 912178, 912186, 912194, 912202, 912210, 912218, 992197, 992198, 992205, 992208, 992209, 992214, 992222, 992230, 992248, 992254, 992255]"/>
    <s v="[885227, 885234, 681731, 885243, 885248, 885254, 885259, 885266, 950859, 950860, 950865, 950868, 950869, 950874, 950878, 950886, 950902, 950907, 520150]"/>
    <s v="0.02085038681667797"/>
    <s v="[885221, 885227, 885234, 681731, 885243, 885248, 885254, 885259, 885266, 950859, 950860, 950865, 950868, 950869, 950874, 950878, 950886, 950902, 950907]"/>
    <s v="[0.021, 0.02, 0.004, 0.004, 0.035, 0.01, 0.064, 0.114, 0.116, 0.025, 0.001, 0.003, 0.001, 0.003, 0.009, 0.054, 0.081, 0.118, 0.046]"/>
    <s v="2840.3654882180704"/>
    <s v="[-0.021, -0.02, 0.004, 0.004, 0.035, 0.01, 0.064, 0.114, 0.116, -0.025, 0.001, -0.003, 0.001, -0.003, 0.009, 0.054, 0.081, 0.118, 0.046]"/>
  </r>
  <r>
    <x v="1511"/>
    <x v="2008"/>
    <x v="0"/>
    <n v="1"/>
    <s v="LINESTRING (10.781538033427886 59.90335858046001, 10.781657787455893 59.90337548381657, 10.782113750574545 59.9033793896294, 10.782401998032997 59.90336489022048, 10.783093222252669 59.90342336681242, 10.7832245852629 59.903455989226764)"/>
    <s v="[763679, 763687, 763695, 763703, 763711]"/>
    <s v="[742873, 742879, 742887, 742896, 520155]"/>
    <s v="#FIELD!"/>
    <s v="[734619, 742873, 742879, 742887, 742896]"/>
    <s v="[0.822, 0.109, 0.101, 0.044, 0.539]"/>
    <s v="96.52322938765563"/>
    <s v="[-0.822, -0.109, 0.101, -0.044, 0.539]"/>
  </r>
  <r>
    <x v="1512"/>
    <x v="2009"/>
    <x v="0"/>
    <n v="0"/>
    <s v="LINESTRING (7.547485800883165 59.73419919873253, 7.330717113007725 59.79160262757651)"/>
    <m/>
    <m/>
    <s v="0.0"/>
    <m/>
    <n v="0"/>
    <s v="17366.90531857906"/>
    <n v="0"/>
  </r>
  <r>
    <x v="1513"/>
    <x v="2010"/>
    <x v="0"/>
    <n v="0"/>
    <s v="LINESTRING (10.866491270606927 59.92893474716795, 10.866339043662217 59.92893446401914, 10.866207342567247 59.928870089685084)"/>
    <s v="[514088, 514096]"/>
    <s v="[520372, 520382]"/>
    <s v="#FIELD!"/>
    <s v="[520362, 520372]"/>
    <s v="[0.065, 0.007]"/>
    <s v="19.008466846471258"/>
    <s v="[-0.065, 0.007]"/>
  </r>
  <r>
    <x v="1513"/>
    <x v="2011"/>
    <x v="0"/>
    <s v="[0, 1, 0, 0]"/>
    <s v="LINESTRING (10.866491270606927 59.92893474716795, 10.865586208981526 59.929513227601596, 10.86473680635725 59.92994185254652, 10.864412150383892 59.93012566525236, 10.864320605530192 59.93021651269778)"/>
    <s v="[757878, 757886, 757894, 757902]"/>
    <s v="[737987, 737991, 738001, 520437]"/>
    <s v="#FIELD!"/>
    <s v="[520362, 737987, 737991, 738001]"/>
    <s v="[0.124, 0.04, 0.001, 0.129]"/>
    <s v="188.5227639781093"/>
    <s v="[-0.124, -0.04, 0.001, -0.129]"/>
  </r>
  <r>
    <x v="1513"/>
    <x v="2012"/>
    <x v="0"/>
    <n v="0"/>
    <s v="LINESTRING (10.866316817557848 59.928717792877194, 10.866359917747841 59.92870944458027, 10.866471327292476 59.92870664821249, 10.866606939567175 59.92873977537847, 10.866642088584022 59.92877022541358, 10.866659787661648 59.92883304382255, 10.866633202048657 59.928876337242336, 10.866491270606927 59.92893474716795)"/>
    <s v="[514120, 514128, 514136, 514056, 514064, 514072, 514080]"/>
    <s v="[520412, 520422, 520335, 520336, 520343, 520351, 520362]"/>
    <s v="#FIELD!"/>
    <s v="[520401, 520412, 520422, 520335, 520336, 520343, 520351]"/>
    <s v="[0.106, 0.077, 0.035, 0.049, 0.079, 0.129, 0.099]"/>
    <s v="43.865240805304765"/>
    <s v="[0.106, 0.077, 0.035, -0.049, -0.079, -0.129, -0.099]"/>
  </r>
  <r>
    <x v="1514"/>
    <x v="2013"/>
    <x v="0"/>
    <n v="0"/>
    <m/>
    <n v="514104"/>
    <n v="520391"/>
    <s v="0.076"/>
    <n v="520382"/>
    <s v="0.076"/>
    <s v="6.306346010720395"/>
    <s v="0.076"/>
  </r>
  <r>
    <x v="1514"/>
    <x v="2014"/>
    <x v="0"/>
    <s v="[0, 1, 0, 0]"/>
    <s v="LINESTRING (10.866207342567247 59.928870089685084, 10.865477815513533 59.92944868525795, 10.864624840575827 59.929880820699005, 10.864246044591304 59.93003564494421, 10.864076368933011 59.930071674511794)"/>
    <s v="[763767, 763775, 763783, 763791]"/>
    <s v="[742955, 742964, 742973, 520481]"/>
    <s v="#FIELD!"/>
    <s v="[520382, 742955, 742964, 742973]"/>
    <s v="[0.157, 0.02, 0.069, 0.177]"/>
    <s v="184.14818057405606"/>
    <s v="[-0.157, -0.02, 0.069, -0.177]"/>
  </r>
  <r>
    <x v="1515"/>
    <x v="2012"/>
    <x v="0"/>
    <n v="0"/>
    <m/>
    <n v="514112"/>
    <n v="520401"/>
    <s v="0.104"/>
    <n v="520391"/>
    <s v="0.104"/>
    <s v="13.418654314572159"/>
    <s v="0.104"/>
  </r>
  <r>
    <x v="1515"/>
    <x v="2015"/>
    <x v="0"/>
    <s v="[0, 0, 1, 0]"/>
    <s v="LINESTRING (10.866185601018344 59.92881456188686, 10.866115679904054 59.9287862928227, 10.865792501663192 59.928691630881026, 10.865550616305182 59.928663356914704, 10.865039557119005 59.929228130130234)"/>
    <s v="[728108, 728116, 728124, 728132]"/>
    <s v="[717146, 717151, 717156, 717094]"/>
    <s v="#FIELD!"/>
    <s v="[520391, 717146, 717151, 717156]"/>
    <s v="[0.991, 0.044, 0.093, 0.063]"/>
    <s v="121.91173294792792"/>
    <s v="[-0.991, -0.044, -0.093, -0.063]"/>
  </r>
  <r>
    <x v="1516"/>
    <x v="2016"/>
    <x v="0"/>
    <n v="0"/>
    <s v="LINESTRING (10.865839350901272 59.92858880585577, 10.86620925559249 59.92868223730476, 10.866316817557848 59.928717792877194)"/>
    <s v="[727980, 727988]"/>
    <s v="[717063, 520401]"/>
    <s v="0.21567004888385943"/>
    <s v="[717057, 717063]"/>
    <s v="[0.033, 0.803]"/>
    <s v="30.366409190800844"/>
    <s v="[0.033, 0.803]"/>
  </r>
  <r>
    <x v="1517"/>
    <x v="2017"/>
    <x v="0"/>
    <n v="0"/>
    <m/>
    <n v="514144"/>
    <n v="520438"/>
    <s v="#FIELD!"/>
    <n v="520437"/>
    <s v="0.042"/>
    <s v="14.79384313426689"/>
    <s v="#FIELD!"/>
  </r>
  <r>
    <x v="1517"/>
    <x v="2014"/>
    <x v="0"/>
    <n v="0"/>
    <s v="LINESTRING (10.864076368933011 59.930071674511794, 10.864262449723654 59.930110677892806, 10.864320605530192 59.93021651269778)"/>
    <s v="[514192, 514200]"/>
    <s v="[520488, 520437]"/>
    <s v="#FIELD!"/>
    <s v="[520481, 520488]"/>
    <s v="[0.01, 0.033]"/>
    <s v="24.11308467415469"/>
    <s v="[0.01, -0.033]"/>
  </r>
  <r>
    <x v="1518"/>
    <x v="2018"/>
    <x v="0"/>
    <n v="0"/>
    <s v="LINESTRING (10.864144782941123 59.93030916367386, 10.864054165357777 59.93031153231577, 10.86393770251718 59.93028742868524, 10.863853697159914 59.93022312054415, 10.863865628677294 59.93014524631344)"/>
    <s v="[514152, 514160, 514168, 514176]"/>
    <s v="[520446, 520452, 520459, 520469]"/>
    <s v="0.009423694538750388"/>
    <s v="[520438, 520446, 520452, 520459]"/>
    <s v="[0.021, 0.007, 0.017, 0.033]"/>
    <s v="29.39457240433447"/>
    <s v="[-0.021, -0.007, 0.017, 0.033]"/>
  </r>
  <r>
    <x v="1518"/>
    <x v="2019"/>
    <x v="0"/>
    <n v="0"/>
    <s v="LINESTRING (10.867046515061693 59.93090502530914, 10.86687610191684 59.930878098224674, 10.865383797067205 59.9304329482325, 10.864883508605397 59.93036830972144, 10.86430379136008 59.93031631558162, 10.864144782941123 59.93030916367386)"/>
    <s v="[751786, 728196, 728204, 728212, 728220]"/>
    <s v="[717208, 717209, 717214, 717219, 520438]"/>
    <s v="0.014749718975150148"/>
    <s v="[733369, 717208, 717209, 717214, 717219]"/>
    <s v="[0.25, 0.009, 0.032, 0.041, 0.338]"/>
    <s v="178.84935941429433"/>
    <s v="[0.25, 0.009, 0.032, 0.041, -0.338]"/>
  </r>
  <r>
    <x v="1519"/>
    <x v="2014"/>
    <x v="0"/>
    <n v="0"/>
    <m/>
    <n v="514184"/>
    <n v="520481"/>
    <s v="0.043"/>
    <n v="520469"/>
    <s v="0.043"/>
    <s v="14.94659791253894"/>
    <s v="0.043"/>
  </r>
  <r>
    <x v="1519"/>
    <x v="2020"/>
    <x v="0"/>
    <n v="0"/>
    <s v="LINESTRING (10.863865628677294 59.93014524631344, 10.863833861989763 59.93006239409449, 10.863797178551465 59.93001179112706, 10.863525635075499 59.92961276254675, 10.861979593456976 59.92825447896959, 10.860920397657864 59.927756350874446, 10.860349710399406 59.927535212522194, 10.860248027430936 59.92746008720981)"/>
    <s v="[728060, 728068, 728076, 728084, 728092, 728100, 751770]"/>
    <s v="[717114, 717118, 717124, 717129, 717135, 717142, 733360]"/>
    <s v="#FIELD!"/>
    <s v="[520469, 717114, 717118, 717124, 717129, 717135, 717142]"/>
    <s v="[0.269, 0.026, 0.047, 0.043, 0.038, 0.031, 0.386]"/>
    <s v="369.29910282859606"/>
    <s v="[0.269, -0.026, -0.047, -0.043, -0.038, -0.031, 0.386]"/>
  </r>
  <r>
    <x v="1520"/>
    <x v="2021"/>
    <x v="0"/>
    <n v="0"/>
    <m/>
    <n v="751490"/>
    <n v="733128"/>
    <s v="#FIELD!"/>
    <n v="520728"/>
    <s v="0.732"/>
    <s v="7.411214542695987"/>
    <s v="#FIELD!"/>
  </r>
  <r>
    <x v="1520"/>
    <x v="2022"/>
    <x v="0"/>
    <n v="0"/>
    <s v="LINESTRING (10.804841063628725 59.89093734761278, 10.80424400778995 59.89283434095129, 10.804241588520965 59.89325330810764, 10.804373522623777 59.893644514112005, 10.804529037762112 59.89392696554647, 10.804707895569937 59.89422638148413, 10.80475264532747 59.89441998144892, 10.804715459326255 59.894786391161496, 10.80473130560835 59.894830954252306)"/>
    <s v="[727068, 727076, 727084, 727092, 727100, 727108, 727116, 727124]"/>
    <s v="[716383, 716389, 716394, 716401, 716407, 716413, 716419, 716426]"/>
    <s v="#FIELD!"/>
    <s v="[520728, 716383, 716389, 716394, 716401, 716407, 716413, 716419]"/>
    <s v="[0.029, 0.006, 0.002, 0.007, 0.014, 0.006, 0.029, 0.004]"/>
    <s v="440.49162423049756"/>
    <s v="[-0.029, -0.006, -0.002, 0.007, 0.014, -0.006, 0.029, -0.004]"/>
  </r>
  <r>
    <x v="1520"/>
    <x v="2023"/>
    <x v="0"/>
    <n v="0"/>
    <s v="LINESTRING (10.808252157804153 59.88859884672025, 10.80821459616721 59.888612935321135, 10.80756116871608 59.888700910558306, 10.806840328227366 59.88874600308891, 10.806044238008337 59.8892283181996, 10.804841063628725 59.89093734761278)"/>
    <s v="[751482, 514400, 449223, 449231, 514408]"/>
    <s v="[520718, 447963, 447964, 447973, 520728]"/>
    <s v="#FIELD!"/>
    <s v="[733112, 520718, 447963, 447964, 447973]"/>
    <s v="[0.718, 0.002, 0.051, 0.002, 0.024]"/>
    <s v="356.00151241504886"/>
    <s v="[0.718, 0.002, 0.051, 0.002, -0.024]"/>
  </r>
  <r>
    <x v="1520"/>
    <x v="2024"/>
    <x v="0"/>
    <n v="0"/>
    <m/>
    <n v="751506"/>
    <n v="520728"/>
    <s v="0.654"/>
    <n v="733145"/>
    <s v="0.654"/>
    <s v="8.632641600363023"/>
    <s v="0.654"/>
  </r>
  <r>
    <x v="1521"/>
    <x v="2025"/>
    <x v="0"/>
    <n v="0"/>
    <m/>
    <n v="751514"/>
    <n v="733151"/>
    <s v="#FIELD!"/>
    <n v="520736"/>
    <s v="0.77"/>
    <s v="8.091971329807759"/>
    <s v="#FIELD!"/>
  </r>
  <r>
    <x v="1521"/>
    <x v="2026"/>
    <x v="152"/>
    <n v="0"/>
    <s v="LINESTRING (10.8044931524277 59.89089321947767, 10.805846344655597 59.88903288474125, 10.806234941428983 59.888596349892396, 10.806326621489402 59.887651831155615, 10.806354727707316 59.887609883078234)"/>
    <s v="[514416, 514424, 514432, 1813711]"/>
    <s v="[520737, 520748, 520757, 748560]"/>
    <s v="0.0058495405461589664"/>
    <s v="[520736, 520737, 520748, 520757]"/>
    <s v="[0.022, 0.018, 0.037, 1.54]"/>
    <s v="388.7946087497409"/>
    <s v="[0.022, 0.018, 0.037, -1.54]"/>
  </r>
  <r>
    <x v="1521"/>
    <x v="2027"/>
    <x v="0"/>
    <n v="0"/>
    <s v="LINESTRING (10.804340657668485 59.894863455383344, 10.804322803295838 59.89482062648331, 10.803857520838982 59.89415481167416, 10.803765767936493 59.89332287807033, 10.803921786274234 59.89265439754208, 10.8044931524277 59.89089321947767)"/>
    <s v="[727132, 727140, 727148, 727156, 727164]"/>
    <s v="[716436, 716442, 716449, 716456, 520736]"/>
    <s v="0.013931143624986698"/>
    <s v="[716435, 716436, 716442, 716449, 716456]"/>
    <s v="[0.002, 0.016, 0.004, 0.003, 0.035]"/>
    <s v="451.11502752010176"/>
    <s v="[-0.002, -0.016, 0.004, 0.003, 0.035]"/>
  </r>
  <r>
    <x v="1521"/>
    <x v="2028"/>
    <x v="0"/>
    <n v="0"/>
    <m/>
    <n v="751498"/>
    <n v="520736"/>
    <s v="0.777"/>
    <n v="733136"/>
    <s v="0.777"/>
    <s v="7.892401408777974"/>
    <s v="0.777"/>
  </r>
  <r>
    <x v="1522"/>
    <x v="2029"/>
    <x v="0"/>
    <n v="0"/>
    <m/>
    <n v="751522"/>
    <n v="733162"/>
    <s v="0.267"/>
    <n v="520929"/>
    <s v="0.267"/>
    <s v="6.815423685257531"/>
    <s v="0.267"/>
  </r>
  <r>
    <x v="1522"/>
    <x v="2030"/>
    <x v="0"/>
    <n v="0"/>
    <s v="LINESTRING (10.810114375094612 59.89644738809543, 10.81296344436638 59.89767768452412, 10.81395516320053 59.898169314376865, 10.814160310994065 59.89824847227109)"/>
    <s v="[514576, 514584, 514592]"/>
    <s v="[520930, 520940, 520950]"/>
    <s v="0.005445966443723329"/>
    <s v="[520929, 520930, 520940]"/>
    <s v="[0.021, 0.029, 0.035]"/>
    <s v="302.8908521732106"/>
    <s v="[0.021, -0.029, -0.035]"/>
  </r>
  <r>
    <x v="1522"/>
    <x v="2031"/>
    <x v="0"/>
    <n v="0"/>
    <s v="LINESTRING (10.806093588320975 59.89529324564204, 10.80680868354827 59.89545655328335, 10.809178886690363 59.896117285504225, 10.810114375094612 59.89644738809543)"/>
    <s v="[727220, 727228, 727236]"/>
    <s v="[716507, 716514, 520929]"/>
    <s v="0.002030378860254764"/>
    <s v="[716502, 716507, 716514]"/>
    <s v="[0.077, 0.002, 0.066]"/>
    <s v="259.86068207996334"/>
    <s v="[-0.077, -0.002, 0.066]"/>
  </r>
  <r>
    <x v="1522"/>
    <x v="2032"/>
    <x v="0"/>
    <n v="0"/>
    <m/>
    <n v="751914"/>
    <n v="520929"/>
    <s v="#FIELD!"/>
    <n v="733464"/>
    <s v="0.092"/>
    <s v="7.406078584471769"/>
    <s v="#FIELD!"/>
  </r>
  <r>
    <x v="1523"/>
    <x v="2033"/>
    <x v="0"/>
    <n v="0"/>
    <s v="LINESTRING (10.815406372527464 59.89906053059026, 10.815406372527464 59.89906053059026, 10.815456262294939 59.89914753472664)"/>
    <s v="[514648, 751922]"/>
    <s v="[521011, 733470]"/>
    <s v="0.009733986414466402"/>
    <s v="[521003, 521011]"/>
    <s v="[0.0, 0.095]"/>
    <s v="98.47547588848792"/>
    <s v="[0.0, 0.095]"/>
  </r>
  <r>
    <x v="1524"/>
    <x v="2034"/>
    <x v="0"/>
    <n v="0"/>
    <s v="LINESTRING (10.787233316582926 59.72421589015353, 10.787276864901976 59.72419525975309, 10.787387172481262 59.7241732672794, 10.787504974271453 59.724180828098554, 10.787557268035227 59.72419536598118, 10.787642025871744 59.72425041984262, 10.787643747323349 59.72433005084935, 10.787580050126158 59.724380605578325)"/>
    <s v="[1532746, 1532754, 1532762, 1532770, 1532778, 1532786, 1532794]"/>
    <s v="[1385471, 1385475, 1385482, 522575, 1385498, 477319, 1359923]"/>
    <s v="#FIELD!"/>
    <s v="[522565, 1385471, 1385475, 1385482, 522575, 1385498, 477319]"/>
    <s v="[0.417, 0.005, 0.022, 0.046, 0.043, 0.047, 0.027]"/>
    <s v="43.401182787432205"/>
    <s v="[-0.417, -0.005, 0.022, 0.046, 0.043, 0.047, 0.027]"/>
  </r>
  <r>
    <x v="1525"/>
    <x v="2035"/>
    <x v="0"/>
    <n v="0"/>
    <s v="LINESTRING (10.905731473777092 63.44956329273632, 10.907639724380582 63.45060853774866, 10.90819881921127 63.45103926311311, 10.908804203327977 63.45163279859649, 10.90928026121046 63.45227740383053, 10.909316186937714 63.45233489811053, 10.909503998487631 63.45265885414338, 10.909778000179012 63.453139735350554, 10.909943171382888 63.453451851751886, 10.910009666162324 63.45359241150598)"/>
    <s v="[533751, 533759, 533767, 533775, 533783, 533791, 533799, 533815, 533823]"/>
    <s v="[541260, 541269, 541277, 541286, 541293, 541301, 541309, 541322, 541329]"/>
    <s v="0.012117563170228563"/>
    <s v="[541253, 541260, 541269, 541277, 541286, 541293, 541301, 541309, 541322]"/>
    <s v="[0.027, 0.029, 0.023, 0.006, 0.004, 0.007, 0.005, 0.004, 0.004]"/>
    <s v="505.8152508248413"/>
    <s v="[0.027, 0.029, 0.023, -0.006, -0.004, -0.007, -0.005, -0.004, -0.004]"/>
  </r>
  <r>
    <x v="1525"/>
    <x v="2036"/>
    <x v="0"/>
    <n v="0"/>
    <s v="LINESTRING (10.905731473777092 63.44956329273632, 10.905870728399327 63.449599615323876, 10.905989684195523 63.449639841311416, 10.912318021419576 63.45144574824293, 10.912614209794919 63.45148118787348)"/>
    <s v="[625466, 597395, 597403, 597411]"/>
    <s v="[600772, 600773, 600779, 600786]"/>
    <s v="0.022024981291252972"/>
    <s v="[541253, 600772, 600773, 600779]"/>
    <s v="[0.02, 0.021, 0.023, 0.002]"/>
    <s v="432.22918173134036"/>
    <s v="[0.02, 0.021, 0.023, -0.002]"/>
  </r>
  <r>
    <x v="1526"/>
    <x v="2037"/>
    <x v="153"/>
    <n v="0"/>
    <s v="LINESTRING (10.910009666162324 63.45359241150598, 10.910052013246538 63.45367849292845, 10.910338026077591 63.4549152604077, 10.910340929611353 63.454960151046286, 10.91034518511579 63.45504336228135, 10.910322726336222 63.455415776949174, 10.910307419205262 63.45552286789223, 10.910260637165363 63.45576612312115, 10.910207845300924 63.455994645001894, 10.910167582348812 63.45615897928505, 10.910103227049353 63.456403322450676, 10.910040080530637 63.45692753831269, 10.910039939922157 63.45693077013788, 10.910039524834803 63.45694069950664, 10.910037279351556 63.45714568025706, 10.91033606979463 63.458369428610595, 10.911099510429988 63.459593978210584, 10.9125744758185 63.46209361887484, 10.91263728251975 63.46224755380149, 10.912840404801644 63.46299428120464, 10.912871061656354 63.46315866685736, 10.912600512799518 63.46529214870561, 10.912561368394547 63.46537329147605)"/>
    <s v="[1750139, 632141, 632149, 632157, 632165, 632173, 632181, 632189, 632197, 632205, 632213, 632221, 632229, 632237, 632245, 632253, 632261, 1750284, 1750299, 1750307, 628955, 628963]"/>
    <s v="[627490, 627491, 627499, 627507, 627516, 627526, 627534, 627541, 627548, 627556, 627566, 627574, 627582, 627594, 627602, 627611, 627618, 1550950, 1550954, 624878, 624879, 624887]"/>
    <s v="#FIELD!"/>
    <s v="[541329, 627490, 627491, 627499, 627507, 627516, 627526, 627534, 627541, 627548, 627556, 627566, 627574, 627582, 627594, 627602, 627611, 627618, 1550950, 1550954, 624878, 624879]"/>
    <s v="[0.116, 0.007, 0.0, 0.002, 0.001, 0.001, 0.001, 0.004, 0.004, 0.003, 0.005, 0.0, 0.006, 0.004, 0.009, 0.013, 0.005, 0.116, 0.002, 0.175, 0.004, 0.0]"/>
    <s v="1333.5310558576857"/>
    <s v="[-0.116, 0.007, 0.0, 0.002, -0.001, -0.001, 0.001, 0.004, 0.004, 0.003, 0.005, 0.0, 0.006, -0.004, -0.009, -0.013, -0.005, 0.116, 0.002, -0.175, -0.004, -0.0]"/>
  </r>
  <r>
    <x v="1526"/>
    <x v="2038"/>
    <x v="0"/>
    <n v="0"/>
    <s v="LINESTRING (10.911051050219426 63.45148589389355, 10.910755224264252 63.451532256437666, 10.909825241070493 63.45308084701932, 10.91001386951871 63.45345227567885, 10.910009666162324 63.45359241150598)"/>
    <s v="[597540, 1750138, 1438283, 1438305]"/>
    <s v="[600868, 1307318, 1307319, 541329]"/>
    <s v="#FIELD!"/>
    <s v="[600817, 600868, 1307318, 1307319]"/>
    <s v="[0.005, 0.013, 0.005, 0.011]"/>
    <s v="268.57954973465246"/>
    <s v="[-0.005, -0.013, -0.005, -0.011]"/>
  </r>
  <r>
    <x v="1527"/>
    <x v="2039"/>
    <x v="0"/>
    <n v="0"/>
    <s v="LINESTRING (11.065607728077566 63.619023777024346, 11.066575211809086 63.61933330706834, 11.067525470940566 63.61963812516558, 11.06834826757477 63.61990922055369, 11.069683260385203 63.620483998882804, 11.069776209435037 63.62063026017932)"/>
    <s v="[533831, 533839, 533847, 533855, 2117484]"/>
    <s v="[541336, 541345, 541356, 541363, 1328512]"/>
    <s v="0.037058813065377325"/>
    <s v="[541335, 541336, 541345, 541356, 541363]"/>
    <s v="[0.04, 0.103, 0.086, 0.014, 0.068]"/>
    <s v="277.27961954921125"/>
    <s v="[0.04, 0.103, 0.086, -0.014, -0.068]"/>
  </r>
  <r>
    <x v="1527"/>
    <x v="2039"/>
    <x v="0"/>
    <n v="0"/>
    <s v="LINESTRING (11.065607728077566 63.619023777024346, 11.066517544722323 63.6193710731006, 11.068271493989009 63.619953689661294, 11.069596236821729 63.62052123182352, 11.069776209435037 63.62063026017932)"/>
    <s v="[680861, 680869, 680877, 2117476]"/>
    <s v="[671725, 671733, 671741, 1328512]"/>
    <s v="0.03755321075793612"/>
    <s v="[541335, 671725, 671733, 671741]"/>
    <s v="[0.03, 0.094, 0.009, 0.057]"/>
    <s v="274.6371295118097"/>
    <s v="[0.03, 0.094, -0.009, -0.057]"/>
  </r>
  <r>
    <x v="1527"/>
    <x v="2040"/>
    <x v="154"/>
    <s v="[0, 0, 0, 0, 1, 0, 0, 0, 0, 0, 0, 0, 0, 0, 0, 0, 0, 0, 0, 0, 0, 0, 0, 0, 0, 0, 0, 0, 0, 0, 0, 0, 0, 0, 0, 0, 0, 0, 0, 0, 0, 0, 0, 0, 0, 0, 0, 0, 0, 0, 0, 0, 0, 0, 1, 0, 0, 0, 0, 0, 0, 0, 0, 0, 0, 0, 0, 0, 0, 0, 0, 0, 0, 0, 0, 0, 0, 0, 0, 0, 0, 0, 0, 0, 0, 0, 0, 0, 0, 0, 0, 0, 0]"/>
    <s v="LINESTRING (10.899603996009947 63.54681223304813, 10.900244176181895 63.54721274972895, 10.900283346716158 63.547246247469246, 10.900676072791505 63.54762179142389, 10.901039338875385 63.548126140758335, 10.901090392027285 63.5482098553384, 10.903635431852505 63.54984001508226, 10.90365230128765 63.54984491085736, 10.904142709116085 63.549984485692725, 10.904159646656893 63.549989329421024, 10.905547848548249 63.55047900661548, 10.921573015472067 63.556243890319664, 10.92264903116836 63.55686683107072, 10.9294504190719 63.55904240418894, 10.931870264296366 63.5596398051237, 10.945337463981085 63.56517915754039, 10.94630247879264 63.56551036705266, 10.950590596435953 63.566976570716015, 10.984592419626297 63.57474382490821, 10.988944443271556 63.57652542559415, 10.991390659515766 63.57742591215208, 10.996425893444057 63.57879772315326, 10.99672345359474 63.57888574580244, 11.001111691013802 63.58047447833495, 11.00781537999313 63.58352376785455, 11.008705038268701 63.58407552338645, 11.008716682155246 63.58408283997625, 11.009814840586245 63.584774946911885, 11.01063911628729 63.585286455724265, 11.010784012923796 63.585375600780885, 11.011981698664545 63.58610097117029, 11.016561344162858 63.588261993757044, 11.017290992285329 63.58854911399285, 11.01744587688795 63.588610559286664, 11.018209407554783 63.588902399278986, 11.018991655155995 63.58920767873921, 11.019101673695749 63.58925019780335, 11.02234243172256 63.59051156677913, 11.022550989829117 63.59058907278397, 11.022566232366211 63.59059494205294, 11.026612559685905 63.592162727009345, 11.030181841520678 63.59284869633805, 11.039903121633545 63.59500009013996, 11.040773633281416 63.59530101054697, 11.040807746019428 63.59531374383358, 11.040822250480812 63.59531915925349, 11.041522175035352 63.59558946368307, 11.041571944421097 63.59560992674089, 11.04407711227371 63.59799614529815, 11.043702362164778 63.59878886850567, 11.041442887095442 63.6006500628694, 11.040655624794388 63.601290085488436, 11.039514798627797 63.60246416003841, 11.039236429911366 63.602729173694684, 11.039066862326667 63.60286456227679, 11.038817016587522 63.603023330459195, 11.038752677691356 63.60306823504237, 11.039836595806989 63.60496574841075, 11.041829864712524 63.6067843648713, 11.0418999287743 63.606848886776845, 11.042083394100198 63.607018347446925, 11.04309683551295 63.607839905904115, 11.04317230597963 63.60788912668328, 11.043245386502997 63.60793593577264, 11.044123195216418 63.608339817640534, 11.044687591259994 63.608513917048704, 11.045957227483438 63.60884207465058, 11.046956346233817 63.60909228784007, 11.04822003871185 63.60943450567306, 11.050666998364022 63.610238265406565, 11.050747027590061 63.61026658565222, 11.051218857318565 63.61042828661281, 11.05177524363565 63.610620074817504, 11.052386570225073 63.61083944476556, 11.052670472099432 63.610940230144344, 11.052756987441542 63.610971603593626, 11.052861941038673 63.61100965856038, 11.0538124212136 63.611371140373755, 11.05485979840369 63.61172199613493, 11.056773156425477 63.612060856225604, 11.057294577270445 63.61211577132232, 11.05766237335661 63.61216402823933, 11.057739144196711 63.612175160787295, 11.058338839945783 63.61228659616946, 11.058544302652022 63.61234046628893, 11.060645225398757 63.61357550448837, 11.060736611590544 63.6136645166563, 11.060954662971088 63.614765433239015, 11.061527302400027 63.61568020148378, 11.062299602721332 63.61605884014696, 11.062907275778171 63.61637054066998, 11.063689865942683 63.6170520483321, 11.063972565605004 63.61784795628774, 11.065607728077566 63.619023777024346)"/>
    <s v="[632782, 632790, 632798, 843919, 843927, 843928, 843945, 843957, 843973, 843974, 632806, 632814, 632822, 632830, 632838, 632847, 632855, 632863, 632871, 632879, 632887, 632895, 632903, 632911, 632919, 632927, 632935, 632943, 632951, 632959, 632967, 632975, 632983, 632991, 632999, 633007, 633015, 633023, 633031, 633039, 633047, 633055, 633063, 633071, 633079, 633087, 633095, 633103, 633111, 633119, 633127, 633135, 633143, 633151, 633159, 633167, 633175, 633183, 633191, 633199, 633207, 633215, 633223, 633231, 633239, 633247, 633255, 633263, 633271, 633279, 633287, 633295, 633303, 633311, 633319, 633327, 633335, 633343, 633351, 633359, 633367, 633375, 633383, 633391, 633399, 633407, 633415, 633423, 633431, 633439, 633447, 633455, 633463]"/>
    <s v="[628155, 628166, 628174, 819690, 819699, 819700, 819715, 819726, 819742, 628180, 579400, 628188, 558840, 628204, 565028, 628217, 628224, 628231, 621975, 548946, 548937, 628259, 548963, 621850, 628283, 628291, 548980, 628306, 548996, 549004, 628324, 628331, 628341, 628348, 628356, 628362, 553320, 628376, 628382, 553332, 628397, 628404, 628413, 628423, 628430, 628437, 628443, 628449, 550565, 628464, 553314, 518908, 507337, 628494, 628500, 548830, 553340, 628518, 628526, 628533, 628540, 628548, 623042, 548736, 628571, 628581, 552928, 628591, 628600, 553017, 628615, 572749, 628630, 628636, 628643, 628649, 628660, 500546, 628672, 628678, 628685, 628693, 628702, 628712, 519976, 628729, 563753, 550917, 628753, 628762, 552064, 628776, 541335]"/>
    <s v="0.0014630668680830114"/>
    <s v="[628154, 628155, 628166, 628174, 819690, 819699, 819700, 819715, 819726, 819742, 628180, 579400, 628188, 558840, 628204, 565028, 628217, 628224, 628231, 621975, 548946, 548937, 628259, 548963, 621850, 628283, 628291, 548980, 628306, 548996, 549004, 628324, 628331, 628341, 628348, 628356, 628362, 553320, 628376, 628382, 553332, 628397, 628404, 628413, 628423, 628430, 628437, 628443, 628449, 550565, 628464, 553314, 518908, 507337, 628494, 628500, 548830, 553340, 628518, 628526, 628533, 628540, 628548, 623042, 548736, 628571, 628581, 552928, 628591, 628600, 553017, 628615, 572749, 628630, 628636, 628643, 628649, 628660, 500546, 628672, 628678, 628685, 628693, 628702, 628712, 519976, 628729, 563753, 550917, 628753, 628762, 552064, 628776]"/>
    <s v="[0.035, 0.082, 0.09, 0.594, 0.123, 0.112, 0.015, 0.032, 0.135, 0.045, 0.006, 0.037, 0.019, 0.013, 0.006, 0.044, 0.108, 0.009, 0.015, 0.089, 0.019, 0.037, 0.011, 0.0, 0.019, 0.03, 0.013, 0.032, 0.009, 0.006, 0.035, 0.056, 0.053, 0.063, 0.061, 0.032, 0.06, 0.078, 0.089, 0.051, 0.003, 0.022, 0.027, 0.055, 0.017, 0.018, 0.021, 0.012, 0.094, 0.041, 0.011, 0.038, 0.012, 0.051, 0.05, 0.055, 0.031, 0.021, 0.015, 0.011, 0.001, 0.002, 0.003, 0.044, 0.072, 0.058, 0.045, 0.02, 0.018, 0.011, 0.007, 0.001, 0.002, 0.011, 0.007, 0.003, 0.011, 0.021, 0.017, 0.026, 0.029, 0.045, 0.0, 0.008, 0.036, 0.009, 0.031, 0.099, 0.024, 0.049, 0.016, 0.089, 0.022]"/>
    <s v="12409.948344750725"/>
    <s v="[-0.035, -0.082, -0.09, 0.594, -0.123, -0.112, 0.015, 0.032, 0.135, 0.045, -0.006, -0.037, 0.019, 0.013, 0.006, -0.044, 0.108, 0.009, -0.015, 0.089, -0.019, -0.037, -0.011, -0.0, 0.019, -0.03, -0.013, 0.032, 0.009, 0.006, 0.035, 0.056, 0.053, 0.063, 0.061, 0.032, 0.06, 0.078, -0.089, 0.051, 0.003, -0.022, -0.027, -0.055, 0.017, -0.018, 0.021, -0.012, -0.094, -0.041, -0.011, 0.038, -0.012, -0.051, -0.05, -0.055, -0.031, -0.021, 0.015, 0.011, -0.001, 0.002, 0.003, -0.044, -0.072, -0.058, -0.045, 0.02, 0.018, 0.011, 0.007, 0.001, -0.002, 0.011, 0.007, 0.003, -0.011, -0.021, -0.017, -0.026, -0.029, -0.045, 0.0, -0.008, -0.036, 0.009, -0.031, -0.099, -0.024, 0.049, -0.016, -0.089, -0.022]"/>
  </r>
  <r>
    <x v="1528"/>
    <x v="2041"/>
    <x v="155"/>
    <n v="0"/>
    <s v="LINESTRING (11.290627572723654 63.73151823707136, 11.292842621076481 63.731738047940595, 11.29396167922591 63.73186717480158, 11.296125493664924 63.732069971077365, 11.298100287789504 63.73215185008481)"/>
    <s v="[534031, 534039, 851297, 851305]"/>
    <s v="[541521, 541529, 826013, 825880]"/>
    <s v="#FIELD!"/>
    <s v="[541516, 541521, 541529, 826013]"/>
    <s v="[0.028, 0.045, 0.057, 0.039]"/>
    <s v="376.594981801395"/>
    <s v="[0.028, 0.045, -0.057, -0.039]"/>
  </r>
  <r>
    <x v="1528"/>
    <x v="2041"/>
    <x v="0"/>
    <s v="[0, 0, 0, 0, 0, 0, 1, 0, 0, 0, 0, 1, 0, 0, 0, 0, 0, 0, 0]"/>
    <s v="LINESTRING (11.290627572723654 63.73151823707136, 11.290794264189348 63.73150743540468, 11.291201035942228 63.730798464890626, 11.290741734739372 63.73112961218374, 11.290689165949408 63.731177778685804, 11.290622491175897 63.731245215763785, 11.290546231381253 63.73132775364612, 11.290245910634237 63.73172251767961, 11.290162755399862 63.73185882861449, 11.290099290506118 63.731898842604586, 11.290089639148315 63.7318510858662, 11.290178791911599 63.73171496544758, 11.290485407642432 63.73132106462126, 11.290581707320955 63.73121853743982, 11.290629965626357 63.73115918039974, 11.290676459415149 63.73111342734796, 11.291209031499848 63.73074430666279, 11.292784192825623 63.73140624320635, 11.297934447156806 63.73212827557636, 11.298100287789504 63.73215185008481)"/>
    <s v="[625546, 597564, 597572, 597580, 597588, 597596, 597604, 597612, 597620, 597676, 597684, 597692, 597700, 597708, 597716, 597724, 597732, 851097, 851169]"/>
    <s v="[600885, 566357, 600892, 600899, 600907, 600911, 600917, 600922, 530698, 600965, 600970, 600977, 600983, 600987, 600994, 562955, 601006, 825807, 825880]"/>
    <s v="#FIELD!"/>
    <s v="[541516, 600885, 566357, 600892, 600899, 600907, 600911, 600917, 600922, 530698, 600965, 600970, 600977, 600983, 600987, 600994, 562955, 601006, 825807]"/>
    <s v="[0.036, 0.037, 0.106, 0.113, 0.115, 0.107, 0.104, 0.036, 0.037, 0.029, 0.036, 0.106, 0.108, 0.113, 0.12, 0.148, 0.041, 0.036, 0.035]"/>
    <s v="979.2608843701288"/>
    <s v="[0.036, 0.037, -0.106, -0.113, -0.115, -0.107, -0.104, -0.036, -0.037, 0.029, 0.036, 0.106, 0.108, 0.113, 0.12, 0.148, -0.041, -0.036, -0.035]"/>
  </r>
  <r>
    <x v="1528"/>
    <x v="2042"/>
    <x v="0"/>
    <n v="0"/>
    <s v="LINESTRING (11.276969663965719 63.729241643769335, 11.277290192088753 63.72946574691169, 11.278560773828165 63.73026203791847, 11.284449444206935 63.731335685263616, 11.286363767689796 63.731405194662734, 11.286775597714831 63.73140509653093, 11.290627572723654 63.73151823707136)"/>
    <s v="[1135638, 1135646, 1135654, 534007, 534015, 534023]"/>
    <s v="[1072485, 1072494, 541505, 541506, 541512, 541516]"/>
    <s v="0.019079837626451376"/>
    <s v="[628919, 1072485, 1072494, 541505, 541506, 541512]"/>
    <s v="[0.269, 0.046, 0.002, 0.069, 0.045, 0.025]"/>
    <s v="765.0943802198025"/>
    <s v="[0.269, -0.046, -0.002, 0.069, 0.045, 0.025]"/>
  </r>
  <r>
    <x v="1529"/>
    <x v="2043"/>
    <x v="0"/>
    <n v="0"/>
    <s v="LINESTRING (11.383126171153846 63.75470000121711, 11.383392396302266 63.7547444222692, 11.383488100800488 63.754805228647044, 11.383516634679774 63.75488033364136, 11.383502085728516 63.754917895120734)"/>
    <s v="[597988, 597996, 598004, 598012]"/>
    <s v="[601192, 601198, 505760, 541562]"/>
    <s v="#FIELD!"/>
    <s v="[541553, 601192, 601198, 505760]"/>
    <s v="[0.004, 0.012, 0.012, 0.014]"/>
    <s v="35.303777003071495"/>
    <s v="[-0.004, -0.012, -0.012, -0.014]"/>
  </r>
  <r>
    <x v="1529"/>
    <x v="2044"/>
    <x v="0"/>
    <n v="0"/>
    <s v="LINESTRING (11.382786296464632 63.754802885571685, 11.382904352857402 63.75473666314408, 11.383126171153846 63.75470000121711)"/>
    <s v="[598068, 598076]"/>
    <s v="[601232, 541553]"/>
    <s v="0.006783613749913118"/>
    <s v="[601229, 601232]"/>
    <s v="[0.009, 0.005]"/>
    <s v="21.091530643855485"/>
    <s v="[0.009, 0.005]"/>
  </r>
  <r>
    <x v="1529"/>
    <x v="2045"/>
    <x v="0"/>
    <n v="0"/>
    <s v="LINESTRING (11.344132286086188 63.73965101220638, 11.351456560617475 63.741725064417615, 11.3812340282758 63.75224929359679, 11.381809718419492 63.75320593705106, 11.38207899263341 63.75365311114279, 11.382484692692131 63.75430329029258, 11.382578377928803 63.75440883806613, 11.382970923705958 63.754651932374294, 11.383126171153846 63.75470000121711)"/>
    <s v="[851546, 851105, 851113, 851121, 851129, 534047, 534055, 534063]"/>
    <s v="[825816, 825817, 825827, 825835, 541536, 541537, 541544, 541553]"/>
    <s v="0.0010624635443595906"/>
    <s v="[825976, 825816, 825817, 825827, 825835, 541536, 541537, 541544]"/>
    <s v="[0.022, 0.003, 0.007, 0.003, 0.012, 0.013, 0.01, 0.008]"/>
    <s v="2751.485167868186"/>
    <s v="[0.022, -0.003, 0.007, 0.003, -0.012, -0.013, -0.01, -0.008]"/>
  </r>
  <r>
    <x v="1530"/>
    <x v="2046"/>
    <x v="0"/>
    <s v="[0, 0, 0, 1, 0]"/>
    <s v="LINESTRING (11.383502085728516 63.754917895120734, 11.383577254059764 63.75499614742246, 11.383738706794611 63.75513747628935, 11.383778574233299 63.755160355975235, 11.383866918225738 63.755216538609815, 11.38415001264718 63.75538841472382)"/>
    <s v="[534071, 534079, 534087, 534095, 534103]"/>
    <s v="[541563, 541573, 541581, 541590, 541600]"/>
    <s v="#FIELD!"/>
    <s v="[541562, 541563, 541573, 541581, 541590]"/>
    <s v="[0.012, 0.012, 0.009, 0.012, 0.01]"/>
    <s v="61.86155485049101"/>
    <s v="[-0.012, -0.012, -0.009, -0.012, -0.01]"/>
  </r>
  <r>
    <x v="1530"/>
    <x v="2047"/>
    <x v="0"/>
    <n v="0"/>
    <s v="LINESTRING (11.383502085728516 63.754917895120734, 11.38337150834035 63.75500267271679, 11.383109462942697 63.755036528162194)"/>
    <s v="[598020, 598028]"/>
    <s v="[601211, 601215]"/>
    <s v="#FIELD!"/>
    <s v="[541562, 601211]"/>
    <s v="[0.01, 0.004]"/>
    <s v="25.112358348293377"/>
    <s v="[-0.01, -0.004]"/>
  </r>
  <r>
    <x v="1531"/>
    <x v="2048"/>
    <x v="0"/>
    <n v="0"/>
    <s v="LINESTRING (11.38415001264718 63.75538841472382, 11.385030676290961 63.755725274909125, 11.38749377221654 63.756485697877245, 11.387519875924072 63.75649373819887, 11.391276075491227 63.75760883386405, 11.39277981961714 63.75794027601767, 11.397601613815574 63.75924208509556, 11.40402418935505 63.76049843831349)"/>
    <s v="[633623, 633631, 633639, 633647, 633655, 633663, 633671]"/>
    <s v="[628924, 628933, 628942, 628952, 628957, 628963, 628971]"/>
    <s v="#FIELD!"/>
    <s v="[541600, 628924, 628933, 628942, 628952, 628957, 628963]"/>
    <s v="[0.011, 0.014, 0.013, 0.101, 0.139, 0.034, 0.003]"/>
    <s v="1141.4469097663427"/>
    <s v="[-0.011, -0.014, -0.013, -0.101, -0.139, -0.034, -0.003]"/>
  </r>
  <r>
    <x v="1531"/>
    <x v="2047"/>
    <x v="0"/>
    <s v="[0, 0, 0, 1, 0]"/>
    <s v="LINESTRING (11.383109462942697 63.755036528162194, 11.383339804085772 63.75508118954473, 11.383609014556537 63.75517285753593, 11.383652881534744 63.75519001521579, 11.383790034831849 63.75525106202204, 11.38415001264718 63.75538841472382)"/>
    <s v="[681102, 681118, 681119, 681134, 681150]"/>
    <s v="[671997, 672017, 672018, 672040, 541600]"/>
    <s v="#FIELD!"/>
    <s v="[601215, 671997, 672017, 672018, 672040]"/>
    <s v="[0.005, 0.008, 0.01, 0.009, 0.009]"/>
    <s v="65.23873065257973"/>
    <s v="[-0.005, -0.008, -0.01, -0.009, -0.009]"/>
  </r>
  <r>
    <x v="1532"/>
    <x v="2049"/>
    <x v="0"/>
    <n v="0"/>
    <s v="LINESTRING (11.466072166513056 63.77034186893909, 11.466178908356177 63.77039041576448, 11.467632509183016 63.77129004201626, 11.467662751519732 63.77131120536752, 11.467710757050325 63.77134292976738, 11.467743286051762 63.7713652901921, 11.467807478515066 63.77141579393544, 11.467900650860974 63.771486845999114, 11.468556524755293 63.77203987778401, 11.468775613604265 63.77225041974851, 11.469202601543675 63.772746106975916)"/>
    <s v="[534111, 534119, 534127, 534143, 534151, 534159, 534167, 534175, 534183, 534191]"/>
    <s v="[541608, 541615, 541622, 541638, 541645, 541653, 541661, 541670, 541676, 541684]"/>
    <s v="0.013410712115472612"/>
    <s v="[541607, 541608, 541615, 541622, 541638, 541645, 541653, 541661, 541670, 541676]"/>
    <s v="[0.018, 0.016, 0.013, 0.014, 0.016, 0.014, 0.013, 0.012, 0.011, 0.01]"/>
    <s v="311.47719687756177"/>
    <s v="[0.018, 0.016, 0.013, 0.014, 0.016, 0.014, 0.013, 0.012, 0.011, 0.01]"/>
  </r>
  <r>
    <x v="1532"/>
    <x v="2049"/>
    <x v="0"/>
    <n v="0"/>
    <s v="LINESTRING (11.466072166513056 63.77034186893909, 11.46614931556672 63.770400085604734, 11.467490223530216 63.771329987373726, 11.467519941515416 63.771353231346104, 11.467559571570854 63.77138422943688, 11.467651201667739 63.771461110903594, 11.468419625018884 63.77207943493326, 11.468485607165832 63.772137726987225, 11.468650827935832 63.77228337362109, 11.469202601543675 63.772746106975916)"/>
    <s v="[681151, 681158, 681174, 681190, 681199, 681207, 681215, 681223, 681224]"/>
    <s v="[672064, 672074, 672097, 622900, 672128, 672137, 672149, 672160, 541684]"/>
    <s v="0.013777455367740507"/>
    <s v="[541607, 672064, 672074, 672097, 622900, 672128, 672137, 672149, 672160]"/>
    <s v="[0.016, 0.016, 0.013, 0.013, 0.014, 0.013, 0.012, 0.011, 0.011]"/>
    <s v="309.63141624332906"/>
    <s v="[0.016, 0.016, 0.013, 0.013, 0.014, 0.013, 0.012, 0.011, 0.011]"/>
  </r>
  <r>
    <x v="1532"/>
    <x v="2050"/>
    <x v="156"/>
    <s v="[0, 0, 0, 0, 0, 0, 0, 0, 0, 0, 0, 0, 0, 0, 0, 0, 0, 0, 0, 0, 0, 0, 1, 1, 0, 0, 0, 0, 0, 0, 0, 0, 0, 0]"/>
    <s v="LINESTRING (11.407363384144805 63.761146799961836, 11.410950896671057 63.761782666917384, 11.417149418061552 63.762315467975505, 11.41726420582366 63.76232612079878, 11.417781071955877 63.76239681541328, 11.425628257551534 63.764120897184974, 11.431086491206667 63.765024856689855, 11.431883852977473 63.765100135712146, 11.432622204253324 63.76515232286188, 11.435284946545456 63.76526818198771, 11.436997382942375 63.76533955736182, 11.439453396259653 63.76544070392125, 11.439576518317045 63.765445299968555, 11.439708703466346 63.76545078467832, 11.44039246953185 63.76547898615017, 11.44049601493235 63.76548284631745, 11.44139773831647 63.765517117673014, 11.444358730099102 63.765630378118324, 11.447952713489205 63.765843124445404, 11.448275321737984 63.765879314262754, 11.452735965741029 63.766513343368096, 11.453768396008712 63.7667396408302, 11.45384943092875 63.766758723723, 11.453914797080632 63.76677326110007, 11.453984093674991 63.76678979992489, 11.456495446334488 63.767386671522864, 11.456756681032374 63.76744641845634, 11.46049568938388 63.7683330516865, 11.462676081365657 63.768914944312215, 11.463573022502716 63.76922516601524, 11.464688670880843 63.76967286664791, 11.464763788726124 63.769704466458755, 11.465570439182782 63.77007593747352, 11.465838834021168 63.770211323398705, 11.466072166513056 63.77034186893909)"/>
    <s v="[633679, 633687, 633695, 633703, 633711, 633719, 633727, 633735, 633743, 633751, 633759, 633767, 633775, 633783, 633791, 633799, 633807, 633815, 633823, 633831, 633839, 633847, 633855, 633863, 633871, 633879, 633887, 633895, 633903, 633911, 633919, 633927, 633935, 633943]"/>
    <s v="[628982, 628990, 628995, 629003, 564049, 629014, 629022, 629030, 629039, 629046, 629053, 629062, 629067, 629074, 629080, 629089, 553619, 543278, 565146, 565154, 629127, 629132, 629138, 629145, 567858, 620545, 569154, 602860, 629172, 602834, 629184, 568755, 629195, 541607]"/>
    <s v="#FIELD!"/>
    <s v="[628981, 628982, 628990, 628995, 629003, 564049, 629014, 629022, 629030, 629039, 629046, 629053, 629062, 629067, 629074, 629080, 629089, 553619, 543278, 565146, 565154, 629127, 629132, 629138, 629145, 567858, 620545, 569154, 602860, 629172, 602834, 629184, 568755, 629195]"/>
    <s v="[0.013, 0.017, 0.023, 0.033, 0.009, 0.0, 0.005, 0.007, 0.006, 0.02, 0.012, 0.01, 0.0, 0.001, 0.0, 0.002, 0.005, 0.004, 0.024, 0.015, 0.001, 0.003, 0.002, 0.004, 0.008, 0.03, 0.017, 0.019, 0.013, 0.007, 0.008, 0.012, 0.017, 0.015]"/>
    <s v="3134.138833049097"/>
    <s v="[-0.013, -0.017, -0.023, -0.033, -0.009, -0.0, 0.005, 0.007, -0.006, -0.02, -0.012, -0.01, 0.0, -0.001, 0.0, 0.002, -0.005, -0.004, -0.024, -0.015, 0.001, 0.003, 0.002, 0.004, 0.008, 0.03, 0.017, 0.019, 0.013, 0.007, 0.008, 0.012, 0.017, 0.015]"/>
  </r>
  <r>
    <x v="1533"/>
    <x v="2051"/>
    <x v="0"/>
    <n v="0"/>
    <s v="LINESTRING (11.469202601543675 63.772746106975916, 11.469359293278544 63.77291600911231, 11.469618282798217 63.7732287394878, 11.47029304715609 63.77419001316931, 11.470998760656538 63.775491203662554, 11.471649862914067 63.777757796576395, 11.47166013151931 63.77783175827678, 11.47169723956545 63.778257606298496, 11.471699099054561 63.77829519882244, 11.470854008640442 63.780837156494464, 11.46839537636316 63.78288486819215, 11.466597229950539 63.784079773028914)"/>
    <s v="[633951, 633959, 633967, 633975, 633983, 633991, 633999, 634007, 634015, 634023, 634031]"/>
    <s v="[629206, 629213, 573859, 573484, 629234, 629242, 629249, 569445, 629260, 629267, 541694]"/>
    <s v="#FIELD!"/>
    <s v="[541684, 629206, 629213, 573859, 573484, 629234, 629242, 629249, 569445, 629260, 629267]"/>
    <s v="[0.003, 0.011, 0.007, 0.018, 0.019, 0.013, 0.014, 0.014, 0.008, 0.003, 0.004]"/>
    <s v="1340.743062196573"/>
    <s v="[0.003, 0.011, 0.007, -0.018, -0.019, -0.013, -0.014, -0.014, -0.008, -0.003, -0.004]"/>
  </r>
  <r>
    <x v="1534"/>
    <x v="2052"/>
    <x v="0"/>
    <n v="0"/>
    <s v="LINESTRING (11.466597229950539 63.784079773028914, 11.466300339160284 63.78431355774093, 11.466227804625646 63.784363181783725)"/>
    <s v="[534199, 534207]"/>
    <s v="[541695, 541703]"/>
    <s v="#FIELD!"/>
    <s v="[541694, 541695]"/>
    <s v="0.0"/>
    <s v="36.65948682013161"/>
    <s v="#FIELD!"/>
  </r>
  <r>
    <x v="1534"/>
    <x v="2053"/>
    <x v="0"/>
    <n v="0"/>
    <s v="LINESTRING (11.466597229950539 63.784079773028914, 11.466161487081779 63.78433900494067, 11.46521750273695 63.784962354743385, 11.465214511935507 63.78496433893209)"/>
    <s v="[681247, 681248, 681254]"/>
    <s v="[672189, 672190, 672198]"/>
    <s v="#FIELD!"/>
    <s v="[541694, 672189, 672190]"/>
    <s v="[0.001, 0.001, 0.011]"/>
    <s v="120.02656325586766"/>
    <s v="[0.001, -0.001, 0.011]"/>
  </r>
  <r>
    <x v="1535"/>
    <x v="2054"/>
    <x v="157"/>
    <n v="0"/>
    <s v="LINESTRING (11.466227804625646 63.784363181783725, 11.465288822310765 63.78501405802135, 11.46473063229276 63.78540195574428, 11.464629690990519 63.78546830404698, 11.463930532742658 63.785936067291566, 11.463793651642566 63.786022036946044, 11.462833305118624 63.78666547500445, 11.462280094512451 63.78702640655146, 11.46227350003805 63.787030557451395)"/>
    <s v="[534215, 534223, 534231, 534239, 534247, 534255, 534263, 534271]"/>
    <s v="[541710, 541718, 541725, 541732, 541739, 541748, 541757, 541763]"/>
    <s v="0.0007691495106891368"/>
    <s v="[541703, 541710, 541718, 541725, 541732, 541739, 541748, 541757]"/>
    <s v="[0.001, 0.003, 0.003, 0.001, 0.004, 0.003, 0.006, 0.011]"/>
    <s v="355.58063002552456"/>
    <s v="[-0.001, -0.003, -0.003, -0.001, 0.004, 0.003, 0.006, 0.011]"/>
  </r>
  <r>
    <x v="1535"/>
    <x v="2055"/>
    <x v="158"/>
    <n v="0"/>
    <s v="LINESTRING (11.466227804625646 63.784363181783725, 11.466088975539577 63.78451314868981, 11.465766208408525 63.785729316446776)"/>
    <s v="[625594, 597852]"/>
    <s v="[601092, 601093]"/>
    <s v="#FIELD!"/>
    <s v="[541703, 601092]"/>
    <s v="[0.017, 0.005]"/>
    <s v="170.96077392403546"/>
    <s v="[0.017, -0.005]"/>
  </r>
  <r>
    <x v="1536"/>
    <x v="2056"/>
    <x v="0"/>
    <n v="0"/>
    <s v="LINESTRING (11.46227350003805 63.787030557451395, 11.461184552795135 63.78771738988053, 11.46041524224592 63.78823575278431, 11.460264362132776 63.78830957891004)"/>
    <s v="[534279, 534287, 534295]"/>
    <s v="[541772, 541778, 541786]"/>
    <s v="0.004140405809272977"/>
    <s v="[541763, 541772, 541778]"/>
    <s v="[0.005, 0.003, 0.004]"/>
    <s v="173.72057807906867"/>
    <s v="[0.005, 0.003, 0.004]"/>
  </r>
  <r>
    <x v="1536"/>
    <x v="2055"/>
    <x v="159"/>
    <n v="0"/>
    <s v="LINESTRING (11.465766208408525 63.785729316446776, 11.465694899684735 63.78567069549004, 11.4625013106676 63.78693410622759, 11.46227350003805 63.787030557451395)"/>
    <s v="[597884, 1623816, 1623840]"/>
    <s v="[601119, 1453386, 541763]"/>
    <s v="0.0026224468362562666"/>
    <s v="[601093, 601119, 1453386]"/>
    <s v="[0.006, 0.002, 0.011]"/>
    <s v="272.4964652292336"/>
    <s v="[0.006, 0.002, 0.011]"/>
  </r>
  <r>
    <x v="1537"/>
    <x v="2057"/>
    <x v="0"/>
    <s v="[0, 0, 0, 1, 0, 1, 0, 1, 0, 1, 0, 1, 0, 0, 0, 0, 0, 0, 0, 1, 0, 1, 0, 0, 0, 0, 0, 0, 0, 0, 0, 0, 0, 0, 0, 0, 0, 0, 0, 0, 0, 0, 0, 0, 0, 0, 0, 0, 0, 0]"/>
    <s v="LINESTRING (11.460264362132776 63.78830957891004, 11.46017005656256 63.788378728852365, 11.45947413391513 63.78892553747304, 11.45938856053552 63.801466389240765, 11.459390957537318 63.8015244985023, 11.45934212334901 63.8023362037189, 11.458652909688846 63.80487794562499, 11.456821590711845 63.80766222956281, 11.456733497346304 63.80775753293249, 11.453714311917267 63.81025773997363, 11.453529387840122 63.81039274665092, 11.449934998744707 63.81567697966223, 11.449937053709997 63.81572522462231, 11.44996340663692 63.819376365229274, 11.449579048659107 63.8213709320811, 11.449557890852388 63.82144003477126, 11.449169381978937 63.82256611934433, 11.449142649819477 63.822641023822044, 11.44912212558793 63.82269782391852, 11.448999720037948 63.82298224514013, 11.448463427163718 63.82411785570438, 11.44750703616368 63.825727030499905, 11.44748704216485 63.82575990800345, 11.440073127837497 63.8315459861737, 11.439160389496251 63.832034167683396, 11.429212568270422 63.83356181622287, 11.42803210305191 63.833796648190436, 11.422579356413717 63.83498131390107, 11.421057916017393 63.83503513171644, 11.417269163426065 63.83557958180294, 11.415343890092002 63.836642072689926, 11.414613783411701 63.837061685498455, 11.413035106564024 63.83822629723508, 11.409914120376024 63.8445224346516, 11.40621821961951 63.846726937660144, 11.405155773238576 63.84723139723119, 11.403670001983068 63.84794502140664, 11.40248941450225 63.84856843964269, 11.401496557081705 63.849103324173, 11.401455772739444 63.849122452614914, 11.401417236028902 63.8491413585052, 11.401345968527849 63.849174049662, 11.400951550869802 63.84932624130946, 11.400745373022136 63.84940224804834, 11.40060729421939 63.84945187314713, 11.399014929929143 63.85298701086138, 11.39826976546234 63.85506816403236, 11.398236861365739 63.8553012430195, 11.398201043948264 63.855741040737854, 11.398199656175438 63.855856823678565, 11.398356705518623 63.857225346101416)"/>
    <s v="[634039, 634047, 634055, 634063, 634071, 634079, 634087, 634095, 634103, 634111, 634119, 634127, 634135, 634143, 634151, 634159, 634167, 634175, 634183, 634191, 634199, 634207, 634215, 634223, 634231, 634239, 634247, 634255, 634263, 634271, 634279, 634287, 634295, 634303, 634311, 634319, 634327, 634335, 634343, 634351, 634359, 634367, 634375, 634383, 634391, 634399, 634407, 634415, 634423, 634431]"/>
    <s v="[629280, 629288, 629294, 629300, 629306, 629314, 629320, 629327, 629337, 629345, 629352, 629362, 629370, 505828, 629383, 629389, 629398, 629407, 629416, 629425, 629434, 629441, 629449, 629458, 568090, 570975, 629479, 629486, 629494, 629501, 629508, 510630, 565779, 629527, 564474, 566840, 564184, 505924, 629563, 629572, 624247, 629590, 629597, 629606, 542131, 629620, 629627, 542414, 542153, 541794]"/>
    <s v="0.003590801214186967"/>
    <s v="[541786, 629280, 629288, 629294, 629300, 629306, 629314, 629320, 629327, 629337, 629345, 629352, 629362, 629370, 505828, 629383, 629389, 629398, 629407, 629416, 629425, 629434, 629441, 629449, 629458, 568090, 570975, 629479, 629486, 629494, 629501, 629508, 510630, 565779, 629527, 564474, 566840, 564184, 505924, 629563, 629572, 624247, 629590, 629597, 629606, 542131, 629620, 629627, 542414, 542153]"/>
    <s v="[0.002, 0.002, 0.004, 0.003, 0.003, 0.011, 0.045, 0.052, 0.022, 0.078, 0.009, 0.009, 0.007, 0.008, 0.005, 0.006, 0.01, 0.012, 0.013, 0.013, 0.002, 0.004, 0.018, 0.004, 0.018, 0.089, 0.043, 0.104, 0.06, 0.036, 0.008, 0.04, 0.015, 0.034, 0.007, 0.025, 0.026, 0.046, 0.045, 0.046, 0.038, 0.038, 0.034, 0.04, 0.043, 0.012, 0.016, 0.018, 0.021, 0.022]"/>
    <s v="9032.526791761253"/>
    <s v="[-0.002, 0.002, -0.004, -0.003, -0.003, 0.011, 0.045, 0.052, 0.022, -0.078, -0.009, 0.009, 0.007, -0.008, -0.005, -0.006, -0.01, -0.012, -0.013, -0.013, -0.002, 0.004, -0.018, 0.004, 0.018, 0.089, 0.043, -0.104, -0.06, 0.036, 0.008, 0.04, -0.015, -0.034, -0.007, 0.025, 0.026, 0.046, 0.045, 0.046, 0.038, 0.038, 0.034, 0.04, 0.043, 0.012, 0.016, 0.018, 0.021, 0.022]"/>
  </r>
  <r>
    <x v="1537"/>
    <x v="2058"/>
    <x v="0"/>
    <n v="0"/>
    <s v="LINESTRING (11.461120482962382 63.7876916217402, 11.460351487855942 63.78821637122631, 11.460264362132776 63.78830957891004)"/>
    <s v="[681304, 681305]"/>
    <s v="[672272, 541786]"/>
    <s v="0.0025833356851875195"/>
    <s v="[622399, 672272]"/>
    <s v="[0.003, 0.0]"/>
    <s v="80.94873255435824"/>
    <s v="[0.003, -0.0]"/>
  </r>
  <r>
    <x v="1538"/>
    <x v="2059"/>
    <x v="0"/>
    <n v="0"/>
    <s v="LINESTRING (11.398356705518623 63.857225346101416, 11.398734454451454 63.858210342787544, 11.398750133743263 63.858239467837, 11.399182987743673 63.85882154443476, 11.399306128213793 63.85893652222358, 11.39993364641808 63.85940348768875, 11.40007455552977 63.85949267108037, 11.400850278995922 63.85997184237109, 11.400934471148023 63.860023141682426, 11.40186129444312 63.860753464783826, 11.401890710404395 63.86078844828694, 11.401907578299436 63.86081054923828, 11.401957090207429 63.860885225904966, 11.402284552935738 63.861490750229684, 11.402539484316206 63.862073272043595, 11.402700066533724 63.86252578497672)"/>
    <s v="[534303, 534311, 534319, 534327, 534335, 534343, 534351, 534359, 534367, 534375, 534383, 534391, 534399, 534407, 534415]"/>
    <s v="[541795, 541803, 541813, 541822, 541830, 541835, 541843, 541852, 541860, 541867, 541872, 541880, 541889, 541895, 541900]"/>
    <s v="0.021070773219409103"/>
    <s v="[541794, 541795, 541803, 541813, 541822, 541830, 541835, 541843, 541852, 541860, 541867, 541872, 541880, 541889, 541895]"/>
    <s v="[0.024, 0.019, 0.019, 0.024, 0.025, 0.027, 0.027, 0.025, 0.027, 0.019, 0.023, 0.018, 0.015, 0.013, 0.011]"/>
    <s v="638.2409686134575"/>
    <s v="[0.024, 0.019, 0.019, 0.024, 0.025, 0.027, 0.027, 0.025, 0.027, 0.019, 0.023, 0.018, 0.015, 0.013, 0.011]"/>
  </r>
  <r>
    <x v="1538"/>
    <x v="2059"/>
    <x v="0"/>
    <n v="0"/>
    <s v="LINESTRING (11.398356705518623 63.857225346101416, 11.398578337780954 63.858244754727586, 11.398992819710625 63.858820929064414, 11.39910706671241 63.85893584711352, 11.399195253828513 63.8590136362492, 11.400732881167405 63.85998344679807, 11.400799064349258 63.8600217274925, 11.400877345864554 63.86007464965629, 11.401714383711436 63.860807696943986, 11.401788360263792 63.86091116001905, 11.402142389524563 63.86153651138237, 11.402161206261441 63.86157315368662, 11.402434720297151 63.8620986251755, 11.402700066533724 63.86252578497672)"/>
    <s v="[681312, 681319, 681335, 681345, 681346, 681353, 681365, 681366, 681367, 681373, 681375, 681383, 681391]"/>
    <s v="[672282, 672292, 672315, 623053, 672329, 672338, 672355, 647029, 672356, 672362, 672365, 672374, 541900]"/>
    <s v="0.02129957497176239"/>
    <s v="[541794, 672282, 672292, 672315, 623053, 672329, 672338, 672355, 647029, 672356, 672362, 672365, 672374]"/>
    <s v="[0.021, 0.019, 0.023, 0.024, 0.027, 0.028, 0.025, 0.025, 0.02, 0.016, 0.015, 0.015, 0.017]"/>
    <s v="639.2811217283178"/>
    <s v="[0.021, 0.019, 0.023, 0.024, 0.027, 0.028, 0.025, 0.025, 0.02, 0.016, 0.015, 0.015, 0.017]"/>
  </r>
  <r>
    <x v="1539"/>
    <x v="2060"/>
    <x v="0"/>
    <n v="0"/>
    <s v="LINESTRING (11.402700066533724 63.86252578497672, 11.403062561210673 63.86336788329294, 11.403106977007317 63.863482290161876, 11.40341955620277 63.86487890467799, 11.403720462903031 63.86678180313535, 11.404040320358437 63.86978984410889, 11.404142828574592 63.87055567220696, 11.404224241655092 63.870901788094336, 11.406246999957943 63.87330423831729, 11.406732256752777 63.87377601133462, 11.409165916862129 63.8759013757185, 11.411840260260284 63.87732810965713, 11.413572594131196 63.87810066861902, 11.416464028077275 63.87922371091858, 11.419872686124092 63.879613383696004, 11.427883820292134 63.88136267411377, 11.428163807644808 63.881597295252746, 11.4275932588067 63.88405207915692, 11.427362614497474 63.88428615946662)"/>
    <s v="[634439, 634447, 634455, 634463, 634471, 634479, 634487, 634495, 634503, 634511, 634519, 634527, 634535, 634543, 634552, 634560, 634568, 634576]"/>
    <s v="[629661, 629669, 566601, 542227, 629693, 542255, 629703, 590093, 629715, 564771, 566119, 629736, 566065, 588496, 596443, 629767, 567099, 629779]"/>
    <s v="0.014742102789910854"/>
    <s v="[541900, 629661, 629669, 566601, 542227, 629693, 542255, 629703, 590093, 629715, 564771, 566119, 629736, 566065, 588496, 596443, 629767, 567099]"/>
    <s v="[0.004, 0.019, 0.028, 0.005, 0.01, 0.005, 0.007, 0.0, 0.013, 0.003, 0.016, 0.009, 0.027, 0.024, 0.022, 0.053, 0.051, 0.088]"/>
    <s v="3035.455795946008"/>
    <s v="[0.004, 0.019, 0.028, -0.005, 0.01, 0.005, -0.007, -0.0, 0.013, -0.003, 0.016, 0.009, 0.027, 0.024, 0.022, 0.053, 0.051, -0.088]"/>
  </r>
  <r>
    <x v="1540"/>
    <x v="2061"/>
    <x v="0"/>
    <n v="0"/>
    <s v="LINESTRING (10.39194610043247 63.39735415569369, 10.392269193473982 63.39725902747881, 10.39287816389282 63.39707457155068, 10.39331732761942 63.39695118790045, 10.393333253126197 63.39697688058079, 10.393632196363823 63.39740510722518, 10.394148426635685 63.3981361050327, 10.395408708817406 63.399721358734375, 10.397059687850538 63.400523777968125, 10.397209956671189 63.40061090649609)"/>
    <s v="[544935, 544949, 544950, 572732, 572740, 572748, 572756, 1773614, 1773622]"/>
    <s v="[552256, 552274, 552275, 580300, 580307, 580318, 580322, 1564874, 601834]"/>
    <s v="0.01045515717236738"/>
    <s v="[552255, 552256, 552274, 552275, 580300, 580307, 580318, 580322, 1564874]"/>
    <s v="[0.043, 0.035, 0.018, 0.813, 0.036, 0.016, 0.012, 0.05, 0.199]"/>
    <s v="543.4448607216209"/>
    <s v="[0.043, 0.035, 0.018, -0.813, -0.036, 0.016, 0.012, 0.05, -0.199]"/>
  </r>
  <r>
    <x v="1540"/>
    <x v="2062"/>
    <x v="0"/>
    <n v="0"/>
    <s v="LINESTRING (10.391724434602509 63.39747987043901, 10.39180490407662 63.397440234447, 10.39194610043247 63.39735415569369)"/>
    <s v="[821137, 821145]"/>
    <s v="[799010, 552255]"/>
    <s v="0.11625452167236001"/>
    <s v="[799009, 799010]"/>
    <s v="[0.043, 0.153]"/>
    <s v="17.890113587398197"/>
    <s v="[0.043, 0.153]"/>
  </r>
  <r>
    <x v="1540"/>
    <x v="2063"/>
    <x v="0"/>
    <n v="0"/>
    <s v="LINESTRING (10.391544402653434 63.39739109002241, 10.39171688660758 63.39738035235883, 10.39194610043247 63.39735415569369)"/>
    <s v="[2020551, 2020559]"/>
    <s v="[1765180, 552255]"/>
    <s v="0.13820541998514263"/>
    <s v="[799090, 1765180]"/>
    <s v="[0.076, 0.184]"/>
    <s v="20.532049650632583"/>
    <s v="[0.076, 0.184]"/>
  </r>
  <r>
    <x v="1541"/>
    <x v="2064"/>
    <x v="0"/>
    <n v="0"/>
    <s v="LINESTRING (11.068647452506575 63.6261250321432, 11.068647452506575 63.6261250321432, 11.06845458218783 63.62559225764017, 11.067758381908344 63.62512560139274)"/>
    <s v="[546194, 546196, 546203]"/>
    <s v="[548512, 288994, 553487]"/>
    <s v="0.002800231521399514"/>
    <s v="[553481, 548512, 288994]"/>
    <s v="[0.0, 0.071, 0.053]"/>
    <s v="384.59163196866064"/>
    <s v="[0.0, 0.071, -0.053]"/>
  </r>
  <r>
    <x v="1541"/>
    <x v="2065"/>
    <x v="0"/>
    <n v="0"/>
    <s v="LINESTRING (11.068647452506575 63.6261250321432, 11.067126419667083 63.62862651706013, 11.067135454611025 63.62868281847453)"/>
    <s v="[1465906, 1465914]"/>
    <s v="[1328518, 1328490]"/>
    <s v="#FIELD!"/>
    <s v="[553481, 1328518]"/>
    <s v="[0.529, 0.013]"/>
    <s v="35.518353040869556"/>
    <s v="[-0.529, 0.013]"/>
  </r>
  <r>
    <x v="1542"/>
    <x v="2039"/>
    <x v="0"/>
    <n v="0"/>
    <s v="LINESTRING (11.069776209435037 63.62063026017932, 11.069257861676167 63.621425084508175, 11.069013390891651 63.62169966489003, 11.068427946158671 63.62234724364675, 11.068380321638568 63.62239314048787, 11.067989861589346 63.62276107106536, 11.0678942202786 63.62284035239735, 11.067533040947577 63.62313093938817, 11.067758381908344 63.62512560139274)"/>
    <s v="[1465899, 597548, 597556, 622698, 622706, 622714, 622722, 622730]"/>
    <s v="[600874, 600875, 600881, 620094, 620098, 289033, 289026, 553487]"/>
    <s v="0.01374240954450894"/>
    <s v="[1328512, 600874, 600875, 600881, 620094, 620098, 289033, 289026]"/>
    <s v="[0.056, 0.048, 0.055, 0.026, 0.025, 0.002, 0.016, 0.039]"/>
    <s v="560.5874855457855"/>
    <s v="[-0.056, -0.048, 0.055, 0.026, 0.025, -0.002, -0.016, 0.039]"/>
  </r>
  <r>
    <x v="1543"/>
    <x v="2066"/>
    <x v="0"/>
    <s v="[0, 0, 1, 0]"/>
    <s v="LINESTRING (10.275718167596867 63.28167271872526, 10.275641112946207 63.28164317836494, 10.275470443906519 63.28157545327936, 10.274792014526003 63.28138832835464, 10.274546015245223 63.28134148025372)"/>
    <s v="[549388, 549396, 549397, 549405]"/>
    <s v="[556361, 556370, 556371, 556379]"/>
    <s v="#FIELD!"/>
    <s v="[556360, 556361, 556370, 556371]"/>
    <s v="[0.014, 0.012, 0.009, 0.001]"/>
    <s v="69.98264098644698"/>
    <s v="[-0.014, -0.012, -0.009, 0.001]"/>
  </r>
  <r>
    <x v="1543"/>
    <x v="2067"/>
    <x v="0"/>
    <n v="0"/>
    <s v="LINESTRING (10.275718167596867 63.28167271872526, 10.275753753844715 63.28162623762527, 10.275833273937938 63.2815920083928)"/>
    <s v="[590389, 590390]"/>
    <s v="[595490, 595491]"/>
    <s v="#FIELD!"/>
    <s v="[556360, 595490]"/>
    <s v="[0.006, 0.003]"/>
    <s v="11.004468538293565"/>
    <s v="[-0.006, -0.003]"/>
  </r>
  <r>
    <x v="1543"/>
    <x v="2068"/>
    <x v="0"/>
    <n v="0"/>
    <m/>
    <n v="590388"/>
    <n v="556360"/>
    <s v="#FIELD!"/>
    <n v="595476"/>
    <s v="0.013"/>
    <s v="12.486085315663512"/>
    <s v="#FIELD!"/>
  </r>
  <r>
    <x v="1544"/>
    <x v="2069"/>
    <x v="0"/>
    <n v="0"/>
    <m/>
    <n v="590442"/>
    <n v="595550"/>
    <s v="0.005"/>
    <n v="556379"/>
    <s v="0.005"/>
    <s v="14.931126636538249"/>
    <s v="0.005"/>
  </r>
  <r>
    <x v="1544"/>
    <x v="2070"/>
    <x v="0"/>
    <n v="0"/>
    <s v="LINESTRING (10.27464479013787 63.28126292588308, 10.274615602631128 63.28130692149577, 10.274563076035625 63.28133598599975, 10.274546015245223 63.28134148025372)"/>
    <s v="[590503, 590504, 590523]"/>
    <s v="[595614, 595615, 556379]"/>
    <s v="0.00879324341143539"/>
    <s v="[595598, 595614, 595615]"/>
    <s v="[0.009, 0.01, 0.003]"/>
    <s v="10.35038679211709"/>
    <s v="[0.009, 0.01, 0.003]"/>
  </r>
  <r>
    <x v="1545"/>
    <x v="2071"/>
    <x v="0"/>
    <n v="0"/>
    <s v="LINESTRING (9.851308123212187 63.296581105817005, 9.851226091936583 63.29657797258602, 9.850394519349091 63.2965471113955)"/>
    <s v="[549478, 549487]"/>
    <s v="[556450, 556460]"/>
    <s v="#FIELD!"/>
    <s v="[556449, 556450]"/>
    <s v="[0.024, 0.025]"/>
    <s v="46.00011951349717"/>
    <s v="[-0.024, -0.025]"/>
  </r>
  <r>
    <x v="1545"/>
    <x v="404"/>
    <x v="0"/>
    <n v="0"/>
    <s v="LINESTRING (9.851308123212187 63.296581105817005, 9.851292988031531 63.29654277187485, 9.851307671746186 63.29650114566203)"/>
    <s v="[593157, 593165]"/>
    <s v="[597342, 597346]"/>
    <s v="#FIELD!"/>
    <s v="[556449, 597342]"/>
    <s v="[0.007, 0.005]"/>
    <s v="9.041620371126143"/>
    <s v="[-0.007, 0.005]"/>
  </r>
  <r>
    <x v="1546"/>
    <x v="2072"/>
    <x v="0"/>
    <n v="0"/>
    <m/>
    <n v="591243"/>
    <n v="556473"/>
    <s v="#FIELD!"/>
    <n v="556460"/>
    <s v="0.026"/>
    <s v="110.08151525127568"/>
    <s v="#FIELD!"/>
  </r>
  <r>
    <x v="1546"/>
    <x v="404"/>
    <x v="0"/>
    <n v="0"/>
    <s v="LINESTRING (9.851307671746186 63.29650114566203, 9.85122539420316 63.29650542570132, 9.850394519349091 63.2965471113955)"/>
    <s v="[629498, 629506]"/>
    <s v="[625362, 556460]"/>
    <s v="#FIELD!"/>
    <s v="[597346, 625362]"/>
    <s v="[0.024, 0.025]"/>
    <s v="46.10688991987031"/>
    <s v="[-0.024, -0.025]"/>
  </r>
  <r>
    <x v="1547"/>
    <x v="2073"/>
    <x v="0"/>
    <n v="0"/>
    <s v="LINESTRING (9.848201294584529 63.29656930080328, 9.846943117813044 63.296699192318954, 9.84686607288396 63.29670952536744, 9.84681729972833 63.296717059737475)"/>
    <s v="[549499, 549500, 549501]"/>
    <s v="[556474, 556475, 556476]"/>
    <s v="#FIELD!"/>
    <s v="[556473, 556474, 556475]"/>
    <s v="[0.025, 0.021, 0.022]"/>
    <s v="71.39576431258189"/>
    <s v="[-0.025, -0.021, -0.022]"/>
  </r>
  <r>
    <x v="1547"/>
    <x v="2074"/>
    <x v="0"/>
    <n v="0"/>
    <s v="LINESTRING (9.848201294584529 63.29656930080328, 9.846936075091758 63.296577833253494, 9.84684583091535 63.296571214934666, 9.846788010982952 63.29656696859517)"/>
    <s v="[629514, 629522, 629530]"/>
    <s v="[625378, 625386, 611980]"/>
    <s v="#FIELD!"/>
    <s v="[556473, 625378, 625386]"/>
    <s v="[0.028, 0.03, 0.029]"/>
    <s v="71.02234509669746"/>
    <s v="[-0.028, -0.03, -0.029]"/>
  </r>
  <r>
    <x v="1548"/>
    <x v="2075"/>
    <x v="0"/>
    <n v="0"/>
    <s v="LINESTRING (9.84681729972833 63.296717059737475, 9.846706708870983 63.296765230981286, 9.84655673706926 63.29678768348301, 9.846362574091733 63.296755453450956, 9.846306116111565 63.296724617239555)"/>
    <s v="[611724, 611732, 611740, 611748]"/>
    <s v="[610248, 611931, 583018, 556483]"/>
    <s v="#FIELD!"/>
    <s v="[556476, 610248, 611931, 583018]"/>
    <s v="[0.013, 0.023, 0.062, 0.053]"/>
    <s v="30.494231139808836"/>
    <s v="[-0.013, -0.023, -0.062, -0.053]"/>
  </r>
  <r>
    <x v="1548"/>
    <x v="2074"/>
    <x v="0"/>
    <n v="0"/>
    <s v="LINESTRING (9.846788010982952 63.29656696859517, 9.846859899249957 63.29664663096852, 9.846855909623905 63.29665674250314, 9.846824386260113 63.29670863488669, 9.84681729972833 63.296717059737475)"/>
    <s v="[611804, 611812, 611820, 611828]"/>
    <s v="[611987, 611995, 612002, 556476]"/>
    <s v="0.011080074505372491"/>
    <s v="[611980, 611987, 611995, 612002]"/>
    <s v="[0.019, 0.009, 0.001, 0.01]"/>
    <s v="17.736527447308845"/>
    <s v="[0.019, 0.009, -0.001, 0.01]"/>
  </r>
  <r>
    <x v="1549"/>
    <x v="2076"/>
    <x v="0"/>
    <n v="0"/>
    <s v="LINESTRING (9.846306116111565 63.296724617239555, 9.84617237222131 63.29670858527313, 9.844983100688362 63.29670248162678)"/>
    <s v="[549508, 549510]"/>
    <s v="[556484, 556486]"/>
    <s v="#FIELD!"/>
    <s v="[556483, 556484]"/>
    <s v="[0.079, 0.077]"/>
    <s v="66.74951692725902"/>
    <s v="[-0.079, -0.077]"/>
  </r>
  <r>
    <x v="1549"/>
    <x v="2077"/>
    <x v="0"/>
    <n v="0"/>
    <s v="LINESTRING (9.846306116111565 63.296724617239555, 9.846255863109741 63.296625631477525, 9.846351711496354 63.29654813681337)"/>
    <s v="[611756, 611764]"/>
    <s v="[611955, 611960]"/>
    <s v="#FIELD!"/>
    <s v="[556483, 611955]"/>
    <s v="[0.025, 0.026]"/>
    <s v="21.475358964942274"/>
    <s v="[-0.025, 0.026]"/>
  </r>
  <r>
    <x v="1550"/>
    <x v="2078"/>
    <x v="0"/>
    <s v="[0, 0, 0, 1, 0]"/>
    <s v="LINESTRING (9.844983100688362 63.29670248162678, 9.843150876606412 63.29680475520948, 9.842944487493451 63.29681689827915, 9.842827848930886 63.29682402037423, 9.840115770889449 63.296977684993756, 9.83690339712527 63.29716230358965)"/>
    <s v="[610292, 610300, 610308, 610316, 610324]"/>
    <s v="[610907, 610912, 610917, 610921, 610925]"/>
    <s v="#FIELD!"/>
    <s v="[556486, 610907, 610912, 610917, 610921]"/>
    <s v="[0.055, 0.014, 0.014, 0.009, 0.003]"/>
    <s v="408.65724899638246"/>
    <s v="[-0.055, -0.014, -0.014, -0.009, 0.003]"/>
  </r>
  <r>
    <x v="1550"/>
    <x v="2077"/>
    <x v="0"/>
    <n v="0"/>
    <s v="LINESTRING (9.846351711496354 63.29654813681337, 9.846175912342353 63.29657269335119, 9.844983100688362 63.29670248162678)"/>
    <s v="[629538, 629546]"/>
    <s v="[625397, 556486]"/>
    <s v="#FIELD!"/>
    <s v="[611960, 625397]"/>
    <s v="[0.069, 0.073]"/>
    <s v="70.81559032800274"/>
    <s v="[-0.069, -0.073]"/>
  </r>
  <r>
    <x v="1551"/>
    <x v="2079"/>
    <x v="0"/>
    <n v="0"/>
    <s v="LINESTRING (10.284799727025348 63.068110196424826, 10.2787502939332 63.06923300149162, 10.270716371844522 63.07016688066697, 10.268161730675507 63.070905188359966, 10.267807123165062 63.07107689109715, 10.264339670893321 63.073837586561)"/>
    <s v="[598239, 598247, 598255, 1291253, 1291261]"/>
    <s v="[601375, 601380, 601386, 1204476, 1204437]"/>
    <s v="#FIELD!"/>
    <s v="[556935, 601375, 601380, 601386, 1204476]"/>
    <s v="[0.168, 0.004, 0.049, 0.867, 0.013]"/>
    <s v="1289.11645425849"/>
    <s v="[-0.168, 0.004, 0.049, 0.867, 0.013]"/>
  </r>
  <r>
    <x v="1551"/>
    <x v="2080"/>
    <x v="0"/>
    <n v="0"/>
    <m/>
    <n v="598231"/>
    <n v="556935"/>
    <s v="0.25"/>
    <n v="556936"/>
    <s v="0.25"/>
    <s v="54.804548370025095"/>
    <s v="0.25"/>
  </r>
  <r>
    <x v="1551"/>
    <x v="2080"/>
    <x v="0"/>
    <n v="0"/>
    <s v="LINESTRING (10.28556649823151 63.06776283039395, 10.2856260511332 63.06764852556168, 10.2862137807089 63.06724584023953, 10.28656907266786 63.066968349269246, 10.287179307725971 63.06645707203299, 10.287207516502885 63.06643532268355, 10.287270416103805 63.066464758803285, 10.287367540464105 63.067035510283155, 10.287059764697682 63.06718867384559, 10.284991083430198 63.068103988164005, 10.284799727025348 63.068110196424826)"/>
    <s v="[549928, 549935, 549943, 549951, 549954, 549884, 549892, 549907, 549915, 549927]"/>
    <s v="[556937, 556943, 556954, 556963, 556875, 556885, 543587, 556910, 556919, 556935]"/>
    <s v="0.031977666745164925"/>
    <s v="[556936, 556937, 556943, 556954, 556963, 556875, 556885, 543587, 556910, 556919]"/>
    <s v="[0.482, 0.358, 0.169, 0.143, 0.131, 0.32, 0.153, 0.041, 0.162, 0.13]"/>
    <s v="425.3638586208585"/>
    <s v="[-0.482, -0.358, -0.169, 0.143, 0.131, 0.32, 0.153, 0.041, 0.162, -0.13]"/>
  </r>
  <r>
    <x v="1552"/>
    <x v="2081"/>
    <x v="0"/>
    <s v="[1, 0, 0, 0, 0, 0, 0, 0]"/>
    <s v="LINESTRING (10.294956150226376 63.03613901859296, 10.297917164969176 63.03850657148239, 10.300499003773686 63.05171588830261, 10.297825913222079 63.05368613399942, 10.295423443281335 63.05511404207493, 10.289563126836835 63.06443449089271, 10.287332190603056 63.06672371692652, 10.28680788680786 63.06707531728415, 10.28556649823151 63.06776283039395)"/>
    <s v="[598167, 598175, 598183, 598191, 598199, 598207, 598215, 598223]"/>
    <s v="[601311, 601315, 601323, 601330, 601338, 601345, 601353, 556936]"/>
    <s v="0.011309967556444957"/>
    <s v="[601310, 601311, 601315, 601323, 601330, 601338, 601345, 601353]"/>
    <s v="[0.029, 0.017, 0.063, 0.061, 0.025, 0.041, 0.027, 0.225]"/>
    <s v="3806.0349959590453"/>
    <s v="[0.029, 0.017, 0.063, -0.061, -0.025, 0.041, -0.027, 0.225]"/>
  </r>
  <r>
    <x v="1553"/>
    <x v="2082"/>
    <x v="0"/>
    <s v="[0, 0, 1, 0, 0]"/>
    <s v="LINESTRING (10.439944026376146 63.40942527941274, 10.44010410617031 63.409407440401274, 10.44095366117728 63.40927052045507, 10.441903675213046 63.409061696860206, 10.44273377170826 63.40883734682003, 10.442935919246183 63.408802442440205)"/>
    <s v="[550737, 550745, 550753, 550754, 550761]"/>
    <s v="[557765, 557772, 557782, 557783, 557791]"/>
    <s v="0.00978608886807042"/>
    <s v="[557764, 557765, 557772, 557782, 557783]"/>
    <s v="[0.001, 0.001, 0.003, 0.017, 0.054]"/>
    <s v="165.57115704384057"/>
    <s v="[0.001, 0.001, 0.003, 0.017, 0.054]"/>
  </r>
  <r>
    <x v="1553"/>
    <x v="2083"/>
    <x v="0"/>
    <n v="0"/>
    <s v="LINESTRING (10.439944026376146 63.40942527941274, 10.439890431383795 63.40947212214171, 10.43979719809338 63.40950331073489, 10.439693124631903 63.40951437064333, 10.439551263882615 63.40949814604867, 10.439453594236554 63.40945635855295, 10.43942606634161 63.40940242650956, 10.439506170711374 63.40931506890914)"/>
    <s v="[1570274, 1570282, 1570290, 1570298, 1570306, 1570314, 1570234]"/>
    <s v="[626779, 1415072, 606902, 557757, 1415085, 579663, 580665]"/>
    <s v="0.07492628477818818"/>
    <s v="[557764, 626779, 1415072, 606902, 557757, 1415085, 579663]"/>
    <s v="[0.016, 0.01, 0.002, 0.005, 0.018, 0.028, 0.356]"/>
    <s v="47.791192531118845"/>
    <s v="[0.016, 0.01, 0.002, -0.005, -0.018, -0.028, 0.356]"/>
  </r>
  <r>
    <x v="1553"/>
    <x v="2084"/>
    <x v="0"/>
    <n v="0"/>
    <s v="LINESTRING (10.439861594588093 63.40931294366256, 10.439937456928712 63.40937831176631, 10.439944026376146 63.40942527941274)"/>
    <s v="[1570258, 1570266]"/>
    <s v="[1415056, 557764]"/>
    <s v="#FIELD!"/>
    <s v="[579669, 1415056]"/>
    <s v="[0.401, 0.027]"/>
    <s v="13.46213360853437"/>
    <s v="[-0.401, 0.027]"/>
  </r>
  <r>
    <x v="1554"/>
    <x v="2085"/>
    <x v="0"/>
    <n v="0"/>
    <s v="LINESTRING (10.442935919246183 63.408802442440205, 10.442768104129652 63.40876021471839, 10.442738162793129 63.40869404938339)"/>
    <s v="[1570578, 1570586]"/>
    <s v="[1415281, 579692]"/>
    <s v="0.2255445416535464"/>
    <s v="[557791, 1415281]"/>
    <s v="[0.055, 0.584]"/>
    <s v="17.144961987632257"/>
    <s v="[-0.055, 0.584]"/>
  </r>
  <r>
    <x v="1554"/>
    <x v="2086"/>
    <x v="0"/>
    <n v="0"/>
    <s v="LINESTRING (10.443073849689464 63.408591044833265, 10.44311217201633 63.40860122492537, 10.443216290499775 63.40864145346638, 10.443246963284638 63.40870088018607, 10.44314177813471 63.40878204327317, 10.442935919246183 63.408802442440205)"/>
    <s v="[1570538, 1570546, 1570554, 1570562, 1570570]"/>
    <s v="[579693, 1415256, 557799, 486516, 557791]"/>
    <s v="#FIELD!"/>
    <s v="[580657, 579693, 1415256, 557799, 486516]"/>
    <s v="[2.526, 0.052, 0.015, 0.03, 0.055]"/>
    <s v="36.897909131461226"/>
    <s v="[-2.526, 0.052, 0.015, -0.03, -0.055]"/>
  </r>
  <r>
    <x v="1555"/>
    <x v="2087"/>
    <x v="0"/>
    <n v="0"/>
    <m/>
    <n v="551030"/>
    <n v="558087"/>
    <s v="0.0"/>
    <n v="558078"/>
    <s v="0.0"/>
    <s v="4.64357071658148"/>
    <s v="0.0"/>
  </r>
  <r>
    <x v="1556"/>
    <x v="2088"/>
    <x v="0"/>
    <n v="0"/>
    <s v="LINESTRING (10.3768854078738 63.37026261918291, 10.377676060268872 63.37028620987038, 10.378613085861966 63.37032475869058, 10.37864097208101 63.37032651736689, 10.380355213493331 63.370458609671616, 10.38102208625117 63.37056492652265, 10.381116342868125 63.37058490534704)"/>
    <s v="[551038, 551046, 551054, 551062, 551070, 551078]"/>
    <s v="[558094, 558099, 558107, 558115, 558124, 558131]"/>
    <s v="0.0112310202799136"/>
    <s v="[558087, 558094, 558099, 558107, 558115, 558124]"/>
    <s v="[0.034, 0.034, 0.03, 0.003, 0.02, 0.023]"/>
    <s v="215.87518137777187"/>
    <s v="[0.034, 0.034, 0.03, 0.003, -0.02, -0.023]"/>
  </r>
  <r>
    <x v="1556"/>
    <x v="2089"/>
    <x v="0"/>
    <s v="[0, 0, 0, 1, 0, 0, 0, 0]"/>
    <s v="LINESTRING (10.3768854078738 63.37026261918291, 10.37689023542173 63.370290490229316, 10.379505419540237 63.37079705387788, 10.379515173901575 63.370599538927834, 10.379493941638838 63.37005931069981, 10.379014942647192 63.36845483251073, 10.37900640454242 63.36841378437095, 10.37900157640774 63.368389141664764, 10.378994067711005 63.36834804597687)"/>
    <s v="[626446, 599529, 599537, 599545, 599553, 626454, 626462, 626470]"/>
    <s v="[602353, 602354, 602359, 602364, 602369, 623017, 623023, 623029]"/>
    <s v="0.01162260896709465"/>
    <s v="[558087, 602353, 602354, 602359, 602364, 602369, 623017, 623023]"/>
    <s v="[0.009, 0.013, 0.011, 0.011, 0.01, 0.017, 0.009, 0.013]"/>
    <s v="557.3843165740717"/>
    <s v="[-0.009, 0.013, 0.011, 0.011, 0.01, 0.017, 0.009, 0.013]"/>
  </r>
  <r>
    <x v="1556"/>
    <x v="2090"/>
    <x v="0"/>
    <n v="0"/>
    <m/>
    <n v="626438"/>
    <n v="558087"/>
    <s v="0.239"/>
    <n v="579836"/>
    <s v="0.239"/>
    <s v="9.644104365177583"/>
    <s v="0.239"/>
  </r>
  <r>
    <x v="1557"/>
    <x v="2091"/>
    <x v="0"/>
    <n v="0"/>
    <s v="LINESTRING (10.379720314731333 63.37076895169098, 10.379765399483441 63.37087472449963, 10.381180532757218 63.37059687754331, 10.381116342868125 63.37058490534704)"/>
    <s v="[626398, 572452, 626406]"/>
    <s v="[580049, 580050, 558131]"/>
    <s v="#FIELD!"/>
    <s v="[621204, 580049, 580050]"/>
    <s v="[0.244, 0.01, 1.441]"/>
    <s v="302.13428021630654"/>
    <s v="[-0.244, -0.01, 1.441]"/>
  </r>
  <r>
    <x v="1558"/>
    <x v="2092"/>
    <x v="0"/>
    <n v="0"/>
    <s v="LINESTRING (10.28562794671234 63.298860149258616, 10.285309235014536 63.29895120568342, 10.28520598914126 63.29892260226083, 10.28514528449368 63.29887832225763, 10.285161187074015 63.29879341516565, 10.28523779390046 63.2987527880582, 10.285347106824913 63.29873213064541, 10.28562794671234 63.298860149258616)"/>
    <s v="[559688, 559689, 559697, 559717, 559723, 559730, 559662]"/>
    <s v="[567537, 567538, 567546, 567569, 567577, 567511, 567512]"/>
    <s v="#FIELD!"/>
    <s v="[567512, 567537, 567538, 567546, 567569, 567577, 567511]"/>
    <s v="[0.034, 0.052, 0.04, 0.014, 0.026, 0.047, 0.042]"/>
    <s v="77.69669161265537"/>
    <s v="[-0.034, -0.052, -0.04, -0.014, 0.026, 0.047, 0.042]"/>
  </r>
  <r>
    <x v="1558"/>
    <x v="2093"/>
    <x v="0"/>
    <n v="0"/>
    <s v="LINESTRING (10.28562794671234 63.298860149258616, 10.285709011368533 63.298865534393045, 10.287705643141809 63.30195624435118, 10.287738194241932 63.302135214613436, 10.287706707835385 63.302242088179064)"/>
    <s v="[572153, 572154, 572158, 626198]"/>
    <s v="[579782, 579783, 579786, 621106]"/>
    <s v="#FIELD!"/>
    <s v="[567512, 579782, 579783, 579786]"/>
    <s v="[0.269, 0.006, 0.008, 0.072]"/>
    <s v="406.19820977312503"/>
    <s v="[-0.269, -0.006, 0.008, 0.072]"/>
  </r>
  <r>
    <x v="1559"/>
    <x v="2094"/>
    <x v="0"/>
    <n v="0"/>
    <s v="LINESTRING (9.966600330187344 62.722633989884145, 9.967663504110496 62.72468634261099, 9.974676244954036 62.73053629696531, 9.974929854635063 62.730844958909216)"/>
    <s v="[845880, 845888, 845892]"/>
    <s v="[821271, 821274, 578148]"/>
    <s v="#FIELD!"/>
    <s v="[578126, 821271, 821274]"/>
    <s v="[0.012, 0.05, 0.078]"/>
    <s v="1031.1983060300345"/>
    <s v="[-0.012, -0.05, -0.078]"/>
  </r>
  <r>
    <x v="1559"/>
    <x v="2094"/>
    <x v="0"/>
    <n v="0"/>
    <s v="LINESTRING (9.966600330187344 62.722633989884145, 9.974552884060001 62.73056610170544, 9.974929854635063 62.730844958909216)"/>
    <s v="[845900, 845912]"/>
    <s v="[821283, 578148]"/>
    <s v="#FIELD!"/>
    <s v="[578126, 821283]"/>
    <s v="[0.041, 0.092]"/>
    <s v="1033.6756795573172"/>
    <s v="[-0.041, -0.092]"/>
  </r>
  <r>
    <x v="1559"/>
    <x v="2095"/>
    <x v="0"/>
    <s v="[0, 0, 0, 0, 0, 0, 0, 0, 0, 0, 0, 0, 0, 0, 0, 0, 0, 0, 0, 0, 0, 0, 0, 0, 0, 0, 0, 0, 0, 0, 0, 0, 0, 0, 0, 0, 0, 0, 0, 0, 0, 0, 0, 0, 0, 0, 0, 0, 0, 0, 0, 0, 0, 0, 0, 0, 0, 0, 0, 0, 0, 0, 0, 0, 0, 0, 0, 0, 0, 0, 0, 0, 0, 0, 0, 0, 0, 0, 0, 0, 0, 0, 0, 0, 0, 0, 0, 0, 0, 0, 0, 1, 1, 1, 0, 0, 0, 0, 0, 0, 0, 0, 0, 0, 0, 0, 0, 0, 0, 0, 0]"/>
    <s v="LINESTRING (9.71147156953128 62.59770727066027, 9.713991443235553 62.598305043921556, 9.714142423693058 62.59834630130721, 9.71671747992357 62.59898689874141, 9.717939014283438 62.599280797205346, 9.7185159092851 62.59946188117854, 9.718661635791896 62.599509683023655, 9.718833081081735 62.59956655550987, 9.718888603884508 62.59959157302925, 9.71928689382705 62.59976251524216, 9.720964631333489 62.60047594063388, 9.721696344632178 62.60078796924826, 9.721984194046374 62.60091053080937, 9.722070332543868 62.60094687167271, 9.731158123728441 62.604873306378344, 9.731261854049645 62.6049180247167, 9.731415146099367 62.604984056902694, 9.73165306271963 62.60508804865983, 9.733513427843308 62.60588417268596, 9.736490579317282 62.60717904202658, 9.7369090431072 62.60735866955454, 9.737474445559592 62.60759298687705, 9.740951435485298 62.60862012399236, 9.741821456626834 62.60884871507762, 9.74510835782226 62.60991160201141, 9.750454660627005 62.612865466810106, 9.750599780175355 62.61294986550402, 9.751176617519775 62.61328104140661, 9.753901781267126 62.61484284856356, 9.754592145170397 62.61532057730957, 9.755365849760693 62.615899054535, 9.75546767063216 62.615975172607556, 9.756768500045133 62.61695417879818, 9.765523944956625 62.62165610480761, 9.773239561343397 62.62629429350778, 9.776946033078787 62.62697029659806, 9.777367332241374 62.627042591507184, 9.780327557079582 62.62807735940086, 9.782975000407259 62.62936095436614, 9.784754863925698 62.630217658900975, 9.78668385689822 62.63115613519582, 9.78987488364276 62.63260441915217, 9.792766369736114 62.63358800036192, 9.799039546523591 62.636118538332965, 9.799787940778936 62.636448842644626, 9.805146740302746 62.63920280431429, 9.806776371757223 62.63979840750811, 9.819030957817834 62.64304098035815, 9.820973046347754 62.643492676991876, 9.822524329511861 62.64372340930603, 9.8327452325026 62.645393779392215, 9.843655373555555 62.64749028299848, 9.84658008902068 62.64786670178637, 9.85200942238481 62.64858898476623, 9.855023388756402 62.64929338809744, 9.855519008325356 62.64944597178374, 9.85654062776294 62.64976488237265, 9.864302558318508 62.65244409897632, 9.872581968525644 62.65394473343517, 9.874538903216639 62.65453431273879, 9.875554619567442 62.65487832695904, 9.878248898808648 62.655880296687855, 9.878858360049177 62.656123804033484, 9.879202483811543 62.6562570931047, 9.87921638261515 62.656262334185904, 9.87994285727959 62.656549030716555, 9.880524821350036 62.65678804174143, 9.881636007673833 62.65722421705281, 9.88262733401129 62.65758355724719, 9.885068301377645 62.658270557208574, 9.88632972344666 62.65877590805944, 9.89083203873674 62.66127351988046, 9.894894922511542 62.66439411536778, 9.900657392408494 62.668249431269174, 9.90226858929784 62.66900097633024, 9.904418998473366 62.669427014396675, 9.908862170180166 62.67089080444286, 9.910268730395469 62.671831981879755, 9.912436773812072 62.67363775543965, 9.913341977573085 62.674251149290605, 9.915301063580158 62.67543873378165, 9.923917179527923 62.67992113894261, 9.92463907665104 62.68031781972888, 9.92891232842169 62.68396667259339, 9.930227638555321 62.68610430080724, 9.932459337258756 62.688692239684144, 9.933052336250727 62.68955807974322, 9.93756873244573 62.694302280249815, 9.938437158743117 62.69482045683831, 9.938595737806306 62.694914441277746, 9.939442047713696 62.69541936957332, 9.939892743248654 62.69568540787102, 9.940013836251797 62.69575762358844, 9.94005822079953 62.695783759919266, 9.94022791260053 62.69588381136525, 9.946221287490294 62.69975151217994, 9.94766245155796 62.700678920004975, 9.94803077876889 62.700915399763105, 9.948834234931448 62.701451740323456, 9.951215542318241 62.703538607649676, 9.952173113991275 62.70456601942873, 9.952625943277814 62.705277178314866, 9.953723398616708 62.7070893754794, 9.954419561315353 62.70817570681724, 9.954779351950673 62.70862591495111, 9.95523686681592 62.709138115409765, 9.958019348452178 62.71094526595264, 9.958864036441815 62.711790293129, 9.959397919783859 62.71253814648568, 9.96230890057736 62.71585097538963, 9.966206204843767 62.7214656666424, 9.966600330187344 62.722633989884145)"/>
    <s v="[596964, 596972, 596980, 596988, 596996, 597004, 597012, 597020, 597028, 597036, 597044, 597052, 597060, 597068, 597076, 597084, 597092, 597100, 597108, 597116, 597124, 597132, 597140, 597148, 597156, 597164, 597172, 597180, 597188, 597196, 597204, 569420, 569428, 569444, 569445, 569453, 569454, 569456, 569469, 569470, 569483, 569484, 569485, 569492, 569500, 569508, 569509, 569514, 569522, 569523, 569536, 569552, 569569, 569581, 569589, 569593, 569594, 569608, 569616, 569630, 569654, 569659, 569675, 569676, 569683, 569693, 569699, 569707, 569708, 569723, 569726, 569727, 569740, 569752, 569753, 569764, 569787, 569795, 569807, 569815, 569823, 569824, 569828, 569829, 569830, 569831, 569842, 569846, 569847, 569848, 569857, 569858, 569860, 569868, 569876, 569877, 569879, 569886, 569890, 569900, 569916, 569924, 569931, 569939, 569947, 569958, 569959, 569964, 569965, 569972, 569987]"/>
    <s v="[600420, 570102, 600431, 600439, 600448, 600454, 582897, 600462, 600470, 600476, 600481, 600485, 600490, 600497, 600504, 600508, 508103, 600517, 572154, 600526, 376586, 566921, 536029, 600554, 600560, 600571, 600578, 600585, 517037, 600598, 577664, 577665, 577675, 577688, 516508, 534190, 517538, 516229, 577708, 516239, 508051, 577721, 577722, 577729, 517773, 568433, 577745, 337420, 376642, 577756, 577765, 577776, 577790, 577801, 516909, 516897, 577810, 577825, 577831, 577840, 577863, 577867, 577881, 495988, 577889, 516814, 577898, 577905, 577906, 577921, 500713, 577924, 577935, 577948, 577949, 577958, 548784, 577986, 517806, 516249, 578010, 578011, 568520, 516644, 578015, 536009, 516957, 578026, 578027, 578028, 578037, 578038, 578040, 578046, 578051, 578052, 543379, 578057, 578061, 546188, 520405, 520404, 578083, 578087, 578094, 578099, 578100, 512500, 512897, 578112, 578126]"/>
    <s v="#FIELD!"/>
    <s v="[600419, 600420, 570102, 600431, 600439, 600448, 600454, 582897, 600462, 600470, 600476, 600481, 600485, 600490, 600497, 600504, 600508, 508103, 600517, 572154, 600526, 376586, 566921, 536029, 600554, 600560, 600571, 600578, 600585, 517037, 600598, 577664, 577665, 577675, 577688, 516508, 534190, 517538, 516229, 577708, 516239, 508051, 577721, 577722, 577729, 517773, 568433, 577745, 337420, 376642, 577756, 577765, 577776, 577790, 577801, 516909, 516897, 577810, 577825, 577831, 577840, 577863, 577867, 577881, 495988, 577889, 516814, 577898, 577905, 577906, 577921, 500713, 577924, 577935, 577948, 577949, 577958, 548784, 577986, 517806, 516249, 578010, 578011, 568520, 516644, 578015, 536009, 516957, 578026, 578027, 578028, 578037, 578038, 578040, 578046, 578051, 578052, 543379, 578057, 578061, 546188, 520405, 520404, 578083, 578087, 578094, 578099, 578100, 512500, 512897, 578112]"/>
    <s v="[0.001, 0.0, 0.003, 0.004, 0.0, 0.0, 0.0, 0.0, 0.001, 0.002, 0.002, 0.001, 0.001, 0.005, 0.005, 0.004, 0.005, 0.003, 0.0, 0.0, 0.0, 0.003, 0.009, 0.001, 0.016, 0.023, 0.023, 0.017, 0.002, 0.012, 0.02, 0.012, 0.008, 0.005, 0.031, 0.041, 0.02, 0.011, 0.036, 0.011, 0.005, 0.007, 0.004, 0.007, 0.015, 0.012, 0.007, 0.014, 0.003, 0.005, 0.001, 0.017, 0.006, 0.006, 0.019, 0.002, 0.011, 0.01, 0.011, 0.001, 0.003, 0.003, 0.002, 0.038, 0.002, 0.015, 0.009, 0.006, 0.015, 0.021, 0.006, 0.006, 0.002, 0.0, 0.026, 0.0, 0.007, 0.007, 0.01, 0.008, 0.029, 0.007, 0.001, 0.006, 0.019, 0.02, 0.025, 0.039, 0.06, 0.058, 0.08, 0.072, 0.091, 0.078, 0.009, 0.013, 0.012, 0.007, 0.006, 0.04, 0.028, 0.042, 0.02, 0.001, 0.005, 0.0, 0.006, 0.009, 0.046, 0.019, 0.044]"/>
    <s v="19974.920017531567"/>
    <s v="[0.001, 0.0, -0.003, -0.004, -0.0, 0.0, 0.0, 0.0, 0.001, 0.002, 0.002, 0.001, 0.001, 0.005, 0.005, 0.004, 0.005, 0.003, -0.0, 0.0, 0.0, 0.003, 0.009, -0.001, 0.016, 0.023, 0.023, 0.017, 0.002, -0.012, -0.02, -0.012, -0.008, 0.005, -0.031, -0.041, -0.02, -0.011, -0.036, -0.011, -0.005, -0.007, 0.004, -0.007, -0.015, -0.012, 0.007, 0.014, 0.003, -0.005, -0.001, 0.017, -0.006, 0.006, 0.019, -0.002, 0.011, 0.01, -0.011, 0.001, -0.003, 0.003, 0.002, -0.038, 0.002, 0.015, 0.009, 0.006, -0.015, -0.021, -0.006, -0.006, -0.002, -0.0, -0.026, 0.0, 0.007, 0.007, -0.01, -0.008, -0.029, -0.007, -0.001, 0.006, -0.019, -0.02, -0.025, -0.039, -0.06, -0.058, -0.08, -0.072, -0.091, -0.078, -0.009, -0.013, -0.012, -0.007, -0.006, -0.04, -0.028, -0.042, -0.02, -0.001, -0.005, 0.0, -0.006, -0.009, -0.046, -0.019, -0.044]"/>
  </r>
  <r>
    <x v="1560"/>
    <x v="2096"/>
    <x v="0"/>
    <s v="[0, 0, 0, 1, 0, 0, 0, 0, 0, 0, 0, 0, 0]"/>
    <s v="LINESTRING (9.974929854635063 62.730844958909216, 9.975515430769006 62.73160759197218, 9.976649341579172 62.733780806826815, 9.977043164605377 62.73402449378961, 9.977473294231064 62.73440932810694, 9.977489986733875 62.73443002278012, 9.979153401215221 62.740454228980795, 9.980295002979647 62.74511444248883, 9.980906483869989 62.74596728730019, 9.98225706843797 62.7481180163278, 9.982568294231772 62.74888277696793, 9.982689505575653 62.74922929236228, 9.982810166141784 62.749527768970026, 9.983459875847695 62.75072302790106)"/>
    <s v="[570012, 570013, 570014, 570034, 570035, 570041, 597212, 850988, 850996, 851004, 851012, 1184892, 1184900]"/>
    <s v="[578149, 545829, 578150, 578169, 521913, 544523, 600612, 593979, 825710, 825719, 825727, 654498, 1114288]"/>
    <s v="0.009864486279100053"/>
    <s v="[578148, 578149, 545829, 578150, 578169, 521913, 544523, 600612, 593979, 825710, 825719, 825727, 654498]"/>
    <s v="[0.027, 0.034, 0.047, 0.036, 0.035, 0.033, 0.006, 0.184, 0.063, 0.049, 0.11, 0.102, 0.079]"/>
    <s v="2309.6335678814125"/>
    <s v="[-0.027, -0.034, -0.047, -0.036, -0.035, 0.033, 0.006, 0.184, 0.063, -0.049, -0.11, -0.102, -0.079]"/>
  </r>
  <r>
    <x v="1561"/>
    <x v="2097"/>
    <x v="0"/>
    <s v="[0, 1, 0, 1, 0, 0, 0]"/>
    <s v="LINESTRING (10.153697447988488 62.92451091189464, 10.153697447988488 62.92451091189464, 10.154222173757432 62.92458581057481, 10.155018537278773 62.92478517839079, 10.15590404064677 62.92510651118035, 10.156247094599118 62.925285962343224, 10.156915377170119 62.92633797388415, 10.159042685280605 62.92718254054864)"/>
    <s v="[570237, 570239, 570241, 570243, 570244, 570245, 1981787]"/>
    <s v="[578340, 578343, 578344, 578346, 543089, 578347, 621736]"/>
    <s v="#FIELD!"/>
    <s v="[578339, 578340, 578343, 578344, 578346, 543089, 578347]"/>
    <s v="[0.0, 0.028, 0.05, 0.089, 0.114, 0.084, 0.001]"/>
    <s v="565.0047041812493"/>
    <s v="[0.0, -0.028, -0.05, -0.089, -0.114, -0.084, -0.001]"/>
  </r>
  <r>
    <x v="1562"/>
    <x v="2098"/>
    <x v="0"/>
    <s v="[0, 1, 1]"/>
    <s v="LINESTRING (10.39775603710479 63.40086853158761, 10.39754884655992 63.40083486859119, 10.39692186667532 63.40073010628718, 10.3937875205127 63.39942934289089)"/>
    <s v="[571060, 571061, 571062]"/>
    <s v="[578964, 578965, 578966]"/>
    <s v="#FIELD!"/>
    <s v="[578952, 578964, 578965]"/>
    <s v="[0.056, 0.039, 0.024]"/>
    <s v="263.192909609261"/>
    <s v="[-0.056, -0.039, -0.024]"/>
  </r>
  <r>
    <x v="1562"/>
    <x v="2099"/>
    <x v="0"/>
    <n v="0"/>
    <s v="LINESTRING (10.400810224150181 63.401883361640664, 10.399308086289292 63.401157801314376, 10.397970475965693 63.40091951330529, 10.39775603710479 63.40086853158761)"/>
    <s v="[572268, 572276, 572284]"/>
    <s v="[579875, 579883, 578952]"/>
    <s v="#FIELD!"/>
    <s v="[579866, 579875, 579883]"/>
    <s v="[0.005, 0.026, 0.051]"/>
    <s v="204.38069522817"/>
    <s v="[-0.005, -0.026, -0.051]"/>
  </r>
  <r>
    <x v="1562"/>
    <x v="2100"/>
    <x v="0"/>
    <n v="0"/>
    <s v="LINESTRING (10.39818809001672 63.4009382253154, 10.39818809001672 63.4009382253154, 10.39775603710479 63.40086853158761)"/>
    <s v="[624909, 571045]"/>
    <s v="[578951, 578952]"/>
    <s v="#FIELD!"/>
    <s v="[621778, 578951]"/>
    <s v="[0.0, 0.053]"/>
    <s v="25.961535073974698"/>
    <s v="[0.0, -0.053]"/>
  </r>
  <r>
    <x v="1563"/>
    <x v="2101"/>
    <x v="0"/>
    <s v="[1, 0, 0, 0, 0]"/>
    <s v="LINESTRING (10.3937875205127 63.39942934289089, 10.393702963765662 63.3993564724193, 10.392459243633706 63.39735910115752, 10.392245125079109 63.39714674622426, 10.392010502094044 63.39688468470959, 10.391959206353187 63.39677961651198)"/>
    <s v="[571069, 571102, 571103, 571113, 624917]"/>
    <s v="[578970, 578991, 578992, 578998, 621785]"/>
    <s v="#FIELD!"/>
    <s v="[578966, 578970, 578991, 578992, 578998]"/>
    <s v="[0.02, 0.004, 0.013, 0.016, 0.022]"/>
    <s v="310.37123126079337"/>
    <s v="[-0.02, -0.004, 0.013, 0.016, 0.022]"/>
  </r>
  <r>
    <x v="1563"/>
    <x v="2102"/>
    <x v="0"/>
    <s v="[1, 1, 0, 0, 0, 0]"/>
    <s v="LINESTRING (10.3937875205127 63.39942934289089, 10.393710047827728 63.399387274749756, 10.393661910703925 63.39936234011971, 10.393383385707807 63.39908737148808, 10.39302294191113 63.3987118125123, 10.392205190318625 63.39819259984722, 10.392137070068365 63.39818221576324)"/>
    <s v="[572604, 572612, 572620, 572628, 821335, 821343]"/>
    <s v="[580186, 580193, 580197, 580205, 799182, 799189]"/>
    <s v="#FIELD!"/>
    <s v="[578966, 580186, 580193, 580197, 580205, 799182]"/>
    <s v="[0.021, 0.024, 0.013, 0.012, 0.014, 0.062]"/>
    <s v="164.90858334456527"/>
    <s v="[-0.021, -0.024, -0.013, -0.012, 0.014, -0.062]"/>
  </r>
  <r>
    <x v="1564"/>
    <x v="2103"/>
    <x v="160"/>
    <n v="0"/>
    <s v="LINESTRING (10.580117819088045 63.42332947305999, 10.581332167183119 63.423195971244034, 10.581351831995654 63.42319429641576, 10.581804702964108 63.423159424877724, 10.581824457202483 63.42315795055143, 10.581996255145457 63.42314513440732, 10.583470691329243 63.42305694164706, 10.59487036994423 63.42248895748182, 10.595638157620883 63.422455113503425, 10.615871658322147 63.421797833354056, 10.618126916443375 63.42191938329231, 10.618146654496947 63.42192087936907, 10.61937306489766 63.42202191143231, 10.61939273988346 63.42202355823664, 10.619497173386215 63.42203232880412)"/>
    <s v="[571127, 571136, 571144, 571145, 571161, 571177, 571185, 571201, 571209, 571230, 571246, 571254, 571270, 571271]"/>
    <s v="[579010, 579013, 579019, 579020, 579029, 579043, 579047, 579061, 579066, 579082, 579095, 579098, 579106, 579107]"/>
    <s v="#FIELD!"/>
    <s v="[579009, 579010, 579013, 579019, 579020, 579029, 579043, 579047, 579061, 579066, 579082, 579095, 579098, 579106]"/>
    <s v="[0.024, 0.331, 0.266, 0.261, 0.281, 0.268, 0.217, 0.208, 0.157, 0.193, 0.082, 0.015, 0.005, 0.014]"/>
    <s v="1979.450442357077"/>
    <s v="[0.024, 0.331, 0.266, 0.261, 0.281, 0.268, 0.217, 0.208, -0.157, -0.193, -0.082, -0.015, -0.005, -0.014]"/>
  </r>
  <r>
    <x v="1564"/>
    <x v="2104"/>
    <x v="0"/>
    <n v="0"/>
    <s v="LINESTRING (10.548300812681886 63.423031336332336, 10.54978593985437 63.422891755865884, 10.553118950209493 63.42262124598106, 10.56271202519147 63.42431230000497, 10.574621260924863 63.42482273745324, 10.574764618619724 63.424806773189744, 10.57518657430872 63.42466071760797, 10.5752749736129 63.424605557170246, 10.576253374444988 63.42425913432815, 10.580007751213966 63.4233640055267, 10.580117819088045 63.42332947305999)"/>
    <s v="[1713852, 1713860, 1086398, 1086406, 1086414, 1086422, 1086430, 1086438, 1086446, 1086454]"/>
    <s v="[1528766, 1030688, 1030689, 1030697, 1030704, 1030708, 1030716, 1030723, 1030729, 579009]"/>
    <s v="0.02768603179669033"/>
    <s v="[824189, 1528766, 1030688, 1030689, 1030697, 1030704, 1030708, 1030716, 1030723, 1030729]"/>
    <s v="[0.028, 0.019, 0.002, 0.032, 0.01, 0.061, 0.073, 0.056, 0.078, 0.173]"/>
    <s v="1757.5783679387625"/>
    <s v="[0.028, 0.019, 0.002, 0.032, 0.01, 0.061, 0.073, 0.056, 0.078, -0.173]"/>
  </r>
  <r>
    <x v="1565"/>
    <x v="2105"/>
    <x v="0"/>
    <n v="0"/>
    <s v="LINESTRING (10.619497173386215 63.42203232880412, 10.620489070900089 63.42209735632, 10.621101234236889 63.4221551857158, 10.624694686620007 63.42243899993919)"/>
    <s v="[624973, 624981, 624989]"/>
    <s v="[621835, 621842, 621849]"/>
    <s v="#FIELD!"/>
    <s v="[579107, 621835, 621842]"/>
    <s v="[0.048, 0.022, 0.028]"/>
    <s v="264.08544451420204"/>
    <s v="[0.048, -0.022, -0.028]"/>
  </r>
  <r>
    <x v="1565"/>
    <x v="2106"/>
    <x v="0"/>
    <n v="0"/>
    <s v="LINESTRING (10.619497173386215 63.42203232880412, 10.62047465184004 63.42215189985093, 10.621089973725606 63.422219661812065)"/>
    <s v="[627968, 627976]"/>
    <s v="[624142, 623147]"/>
    <s v="0.020440357900489117"/>
    <s v="[579107, 624142]"/>
    <s v="[0.048, 0.024]"/>
    <s v="82.68482491464275"/>
    <s v="[0.048, -0.024]"/>
  </r>
  <r>
    <x v="1566"/>
    <x v="1661"/>
    <x v="0"/>
    <n v="0"/>
    <s v="LINESTRING (10.721922771050984 63.425233645972085, 10.726377716471967 63.424683627468525, 10.727346908403527 63.42448574879846, 10.727366487313002 63.42448121967804, 10.72785738208458 63.424363017120136, 10.727972011765262 63.42433310487581, 10.728236508765278 63.42426156923536, 10.728255247179051 63.42425634960513, 10.72840116230157 63.42421565965827, 10.728502212365745 63.424185835071754, 10.733228718052404 63.42179438084213, 10.733319423010851 63.42169730649908)"/>
    <s v="[628080, 628088, 628096, 628104, 628112, 628120, 628128, 628136, 628144, 628152, 628160]"/>
    <s v="[624216, 624223, 624230, 624234, 624239, 624243, 624250, 624256, 624261, 624267, 579112]"/>
    <s v="0.04742025510836892"/>
    <s v="[624215, 624216, 624223, 624230, 624234, 624239, 624243, 624250, 624256, 624261, 624267]"/>
    <s v="[0.09, 0.025, 0.134, 0.027, 0.028, 0.045, 0.004, 0.095, 0.101, 0.023, 0.054]"/>
    <s v="722.1328973480557"/>
    <s v="[0.09, 0.025, 0.134, 0.027, 0.028, 0.045, 0.004, 0.095, 0.101, 0.023, 0.054]"/>
  </r>
  <r>
    <x v="1567"/>
    <x v="2107"/>
    <x v="0"/>
    <n v="0"/>
    <s v="LINESTRING (10.743991744497166 63.420065180122585, 10.747339022752382 63.420160638514794, 10.749504534155042 63.420128506319585, 10.751009585373042 63.42004719530435, 10.752926068961658 63.419876439841225)"/>
    <s v="[625181, 625189, 625197, 625205]"/>
    <s v="[622032, 622036, 622039, 622044]"/>
    <s v="0.06134942646871501"/>
    <s v="[579130, 622032, 622036, 622039]"/>
    <s v="[0.188, 0.022, 0.004, 0.013]"/>
    <s v="449.2501060695472"/>
    <s v="[0.188, -0.022, -0.004, -0.013]"/>
  </r>
  <r>
    <x v="1567"/>
    <x v="2108"/>
    <x v="0"/>
    <n v="0"/>
    <s v="LINESTRING (10.743991744497166 63.420065180122585, 10.747337210101845 63.42022868083256, 10.749515246563647 63.420201011816665)"/>
    <s v="[628168, 628176]"/>
    <s v="[624276, 623183]"/>
    <s v="0.09970135476277554"/>
    <s v="[579130, 624276]"/>
    <s v="[0.177, 0.02]"/>
    <s v="277.4344670449176"/>
    <s v="[0.177, -0.02]"/>
  </r>
  <r>
    <x v="1568"/>
    <x v="2109"/>
    <x v="161"/>
    <s v="[0, 0, 0, 0, 0, 0, 0, 0, 0, 0, 0, 0, 1, 0]"/>
    <s v="LINESTRING (10.770945914966505 63.41215258655952, 10.771956025356463 63.41157949725184, 10.771968871914238 63.41157263238884, 10.77215069023626 63.41147719374485, 10.77216395624356 63.41147047613534, 10.772328436362972 63.41138610200405, 10.773384268019809 63.41085880212561, 10.802821222588925 63.40332622677408, 10.804492160905745 63.40332153673878, 10.80451215639457 63.40332191798502, 10.805112524390932 63.403334438579726, 10.805132495021331 63.40333498980293, 10.805282006682082 63.40334109363437, 10.80942883365053 63.40366880653555, 10.810739758000278 63.40385023246349)"/>
    <s v="[571304, 571317, 571331, 571339, 571347, 571354, 571359, 571392, 571408, 571416, 571417, 571431, 571432, 571434]"/>
    <s v="[579132, 579144, 579153, 579160, 579169, 579173, 579177, 579197, 579211, 579215, 579216, 579228, 579229, 579231]"/>
    <s v="#FIELD!"/>
    <s v="[579131, 579132, 579144, 579153, 579160, 579169, 579173, 579177, 579197, 579211, 579215, 579216, 579228, 579229]"/>
    <s v="[0.018, 0.118, 0.035, 0.13, 0.043, 0.117, 0.03, 0.292, 0.31, 0.311, 0.31, 0.315, 0.044, 0.361]"/>
    <s v="2311.033249516949"/>
    <s v="[-0.018, 0.118, 0.035, 0.13, 0.043, 0.117, -0.03, -0.292, -0.31, -0.311, -0.31, -0.315, -0.044, 0.361]"/>
  </r>
  <r>
    <x v="1568"/>
    <x v="2110"/>
    <x v="0"/>
    <n v="0"/>
    <s v="LINESTRING (10.760944131098638 63.41877356586422, 10.764066985483504 63.41809369871198, 10.76471960311772 63.4178900012764, 10.770535339845393 63.41247439455166, 10.770945914966505 63.41215258655952)"/>
    <s v="[628216, 1292437, 1292452, 1292460]"/>
    <s v="[624311, 1205552, 1205560, 579131]"/>
    <s v="#FIELD!"/>
    <s v="[623192, 624311, 1205552, 1205560]"/>
    <s v="[0.04, 0.374, 0.006, 0.324]"/>
    <s v="941.0053691140789"/>
    <s v="[-0.04, -0.374, -0.006, -0.324]"/>
  </r>
  <r>
    <x v="1568"/>
    <x v="2111"/>
    <x v="0"/>
    <n v="0"/>
    <s v="LINESTRING (10.764647359464545 63.417831906810235, 10.770432041509304 63.41244230596171, 10.770945914966505 63.41215258655952)"/>
    <s v="[1292476, 1292484]"/>
    <s v="[1205577, 579131]"/>
    <s v="#FIELD!"/>
    <s v="[1205572, 1205577]"/>
    <s v="[0.005, 0.362]"/>
    <s v="723.7911903535972"/>
    <s v="[-0.005, -0.362]"/>
  </r>
  <r>
    <x v="1569"/>
    <x v="2112"/>
    <x v="0"/>
    <s v="[0, 0, 0, 0, 1, 1, 0, 0, 0]"/>
    <s v="LINESTRING (10.810739758000278 63.40385023246349, 10.81285294563184 63.40421413893157, 10.814971875232555 63.40488635645045, 10.816726618599688 63.406228772598574, 10.81674527350467 63.40625484868478, 10.81679648949662 63.40634363477795, 10.81681068632286 63.406370029608496, 10.816144844883404 63.40909282498988, 10.81609679875984 63.40998268970756, 10.816103090622992 63.41000966182686)"/>
    <s v="[625238, 625246, 625254, 625262, 625270, 625278, 625286, 625294, 625302]"/>
    <s v="[622074, 622082, 622089, 622098, 622106, 622114, 622122, 622127, 622137]"/>
    <s v="0.0009224381485936173"/>
    <s v="[579231, 622074, 622082, 622089, 622098, 622106, 622114, 622122, 622127]"/>
    <s v="[0.042, 0.097, 0.028, 0.001, 0.015, 0.026, 0.01, 0.104, 0.122]"/>
    <s v="846.6879877816901"/>
    <s v="[0.042, -0.097, -0.028, 0.001, -0.015, -0.026, 0.01, 0.104, 0.122]"/>
  </r>
  <r>
    <x v="1569"/>
    <x v="2113"/>
    <x v="0"/>
    <s v="[0, 0, 0, 1, 1, 0]"/>
    <s v="LINESTRING (10.810739758000278 63.40385023246349, 10.812775899535913 63.4042869643515, 10.814875952963531 63.404967222882874, 10.816562429629709 63.4062710618553, 10.816587157181086 63.40630774341448, 10.81664307017554 63.406405566532214, 10.815943938996558 63.40912136266194)"/>
    <s v="[628224, 628232, 628240, 628248, 628256, 628264]"/>
    <s v="[624317, 624326, 624333, 624341, 624344, 623212]"/>
    <s v="#FIELD!"/>
    <s v="[579231, 624317, 624326, 624333, 624341, 624344]"/>
    <s v="[0.017, 0.086, 0.028, 0.019, 0.026, 0.008]"/>
    <s v="736.4551310784777"/>
    <s v="[0.017, -0.086, -0.028, -0.019, -0.026, 0.008]"/>
  </r>
  <r>
    <x v="1570"/>
    <x v="2114"/>
    <x v="0"/>
    <n v="0"/>
    <s v="LINESTRING (10.82406398659016 63.41468315286255, 10.824300966759782 63.41482741297452, 10.824812743318352 63.4151419738658, 10.825055025493372 63.41529588012765, 10.825236733393405 63.415373476633874)"/>
    <s v="[1393976, 1393984, 1393990, 1393991]"/>
    <s v="[1277727, 1277732, 1277741, 579254]"/>
    <s v="#FIELD!"/>
    <s v="[623219, 1277727, 1277732, 1277741]"/>
    <s v="[1.85, 0.065, 0.046, 4.612]"/>
    <s v="96.90676132749455"/>
    <s v="[1.85, 0.065, 0.046, -4.612]"/>
  </r>
  <r>
    <x v="1570"/>
    <x v="2115"/>
    <x v="0"/>
    <n v="0"/>
    <s v="LINESTRING (10.824908403204363 63.41511706798824, 10.825145717714278 63.41526789832738, 10.825236733393405 63.415373476633874)"/>
    <s v="[1393934, 1393938]"/>
    <s v="[1277698, 579254]"/>
    <s v="#FIELD!"/>
    <s v="[1277697, 1277698]"/>
    <s v="[0.046, 4.703]"/>
    <s v="33.19231446074567"/>
    <s v="[0.046, -4.703]"/>
  </r>
  <r>
    <x v="1571"/>
    <x v="2085"/>
    <x v="0"/>
    <s v="[0, 0, 1, 0, 0]"/>
    <s v="LINESTRING (10.439861594588093 63.40931294366256, 10.440060762545484 63.40930941943061, 10.44084543418893 63.409206816095235, 10.441784613266586 63.40900304213186, 10.442582627281935 63.408765978417804, 10.442738162793129 63.40869404938339)"/>
    <s v="[572017, 572030, 572038, 572039, 572046]"/>
    <s v="[579670, 579681, 579687, 579688, 579692]"/>
    <s v="0.014919593402651917"/>
    <s v="[579669, 579670, 579681, 579687, 579688]"/>
    <s v="[0.019, 0.019, 0.033, 0.034, 0.003]"/>
    <s v="162.012517525993"/>
    <s v="[-0.019, -0.019, 0.033, 0.034, 0.003]"/>
  </r>
  <r>
    <x v="1571"/>
    <x v="2116"/>
    <x v="0"/>
    <n v="0"/>
    <m/>
    <n v="1570250"/>
    <n v="579669"/>
    <s v="#FIELD!"/>
    <n v="580720"/>
    <s v="0.074"/>
    <s v="5.818934610512101"/>
    <s v="#FIELD!"/>
  </r>
  <r>
    <x v="1572"/>
    <x v="2070"/>
    <x v="0"/>
    <n v="0"/>
    <m/>
    <n v="590490"/>
    <n v="595598"/>
    <s v="0.001"/>
    <n v="579679"/>
    <s v="0.001"/>
    <s v="12.220493449232382"/>
    <s v="0.001"/>
  </r>
  <r>
    <x v="1572"/>
    <x v="2117"/>
    <x v="0"/>
    <s v="[0, 0, 0, 0, 1, 1, 0, 0, 0]"/>
    <s v="LINESTRING (10.274544672657836 63.281166968042946, 10.274598198690846 63.2811375320837, 10.275646673419747 63.280741852264306, 10.27696574924268 63.28026476657461, 10.279114613082937 63.279313161842985, 10.279671092144476 63.27905138053701, 10.279801654972417 63.27899018329358, 10.28029596523843 63.278757424597465, 10.280513835024959 63.27871910843873, 10.28052835484817 63.27871655085873)"/>
    <s v="[572028, 572036, 1027478, 1027486, 1027494, 1029667, 1029675, 1029643, 1029651]"/>
    <s v="[579680, 579685, 982153, 982160, 982166, 983895, 983871, 983872, 981960]"/>
    <s v="0.002717279538062277"/>
    <s v="[579679, 579680, 579685, 982153, 982160, 982166, 983895, 983871, 983872]"/>
    <s v="[0.01, 0.012, 0.005, 0.0, 0.001, 0.002, 0.002, 0.004, 0.008]"/>
    <s v="407.62026998052033"/>
    <s v="[0.01, 0.012, 0.005, -0.0, -0.001, -0.002, -0.002, -0.004, -0.008]"/>
  </r>
  <r>
    <x v="1572"/>
    <x v="2069"/>
    <x v="0"/>
    <n v="0"/>
    <s v="LINESTRING (10.274264428633549 63.281341112455564, 10.274168138785122 63.28124618089208, 10.274197326905384 63.28120218537614, 10.274266914359067 63.28116762678898, 10.274544672657836 63.281166968042946)"/>
    <s v="[590450, 590466, 590474, 590482]"/>
    <s v="[556392, 595574, 595583, 579679]"/>
    <s v="#FIELD!"/>
    <s v="[595550, 556392, 595574, 595583]"/>
    <s v="[0.001, 0.144, 0.003, 0.063]"/>
    <s v="36.916082626300096"/>
    <s v="[-0.001, 0.144, 0.003, -0.063]"/>
  </r>
  <r>
    <x v="1573"/>
    <x v="2118"/>
    <x v="0"/>
    <n v="0"/>
    <m/>
    <n v="1570594"/>
    <n v="580742"/>
    <s v="0.788"/>
    <n v="579692"/>
    <s v="0.788"/>
    <s v="2.255436321099109"/>
    <s v="0.788"/>
  </r>
  <r>
    <x v="1574"/>
    <x v="2119"/>
    <x v="0"/>
    <n v="0"/>
    <s v="LINESTRING (10.288285407872714 63.03317645046678, 10.28850446636926 63.03321793171345, 10.293390542966792 63.03397610227095, 10.293429532386574 63.03399942561727)"/>
    <s v="[626158, 572083, 572089]"/>
    <s v="[579721, 579722, 579725]"/>
    <s v="#FIELD!"/>
    <s v="[621008, 579721, 579722]"/>
    <s v="[0.272, 0.011, 0.024]"/>
    <s v="296.32984583787413"/>
    <s v="[-0.272, -0.011, -0.024]"/>
  </r>
  <r>
    <x v="1575"/>
    <x v="2120"/>
    <x v="0"/>
    <n v="0"/>
    <s v="LINESTRING (10.290864764258957 63.03525355295753, 10.290864764258957 63.03525355295753, 10.289997947109173 63.03488201302133, 10.286440389188476 63.032902652842104, 10.286239745801552 63.03286378830809, 10.286221480873847 63.0328602739537)"/>
    <s v="[572105, 572111, 572119, 626166, 626174]"/>
    <s v="[579740, 579746, 579753, 622847, 622852]"/>
    <s v="0.006739123818029173"/>
    <s v="[556603, 579740, 579746, 579753, 622847]"/>
    <s v="[0.0, 0.018, 0.004, 0.272, 0.02]"/>
    <s v="416.94472252231117"/>
    <s v="[0.0, 0.018, -0.004, 0.272, 0.02]"/>
  </r>
  <r>
    <x v="1576"/>
    <x v="2121"/>
    <x v="0"/>
    <n v="0"/>
    <s v="LINESTRING (10.293529152599836 63.03543408283581, 10.293346070782633 63.03536593002268, 10.290194704684614 63.03487778186673, 10.290918626338009 63.03516541708613, 10.290996608750847 63.035175535089216)"/>
    <s v="[626182, 572126, 572141, 572142]"/>
    <s v="[579760, 579761, 579771, 579772]"/>
    <s v="0.016367338358339353"/>
    <s v="[622858, 579760, 579761, 579771]"/>
    <s v="[0.022, 0.025, 0.02, 0.053]"/>
    <s v="307.47064763951624"/>
    <s v="[0.022, 0.025, -0.02, -0.053]"/>
  </r>
  <r>
    <x v="1577"/>
    <x v="2122"/>
    <x v="0"/>
    <n v="0"/>
    <s v="LINESTRING (10.293231607945833 63.034030160978396, 10.293231607945833 63.034030160978396, 10.29415378703493 63.0356500443961, 10.294284009625251 63.03573891798061)"/>
    <s v="[572148, 572151, 626190]"/>
    <s v="[579777, 579780, 621023]"/>
    <s v="#FIELD!"/>
    <s v="[579776, 579777, 579780]"/>
    <s v="[0.0, 0.008, 0.073]"/>
    <s v="323.0984455570692"/>
    <s v="[0.0, -0.008, 0.073]"/>
  </r>
  <r>
    <x v="1578"/>
    <x v="2090"/>
    <x v="0"/>
    <n v="0"/>
    <m/>
    <n v="572222"/>
    <n v="579836"/>
    <s v="0.0"/>
    <n v="579828"/>
    <s v="0.0"/>
    <s v="4.708938309171599"/>
    <s v="0.0"/>
  </r>
  <r>
    <x v="1579"/>
    <x v="2123"/>
    <x v="0"/>
    <n v="0"/>
    <s v="LINESTRING (10.376842184464348 63.370178325345584, 10.377610397993884 63.37019207019633, 10.377670515638066 63.37019385849129, 10.378643632592238 63.37023159063171, 10.378670162490868 63.37023380888722, 10.37946351289044 63.370292538229926, 10.379839028887709 63.37032403875319, 10.380398459280043 63.37037712944274, 10.381035000853224 63.37046536856079, 10.38109747858057 63.37047926361216, 10.381177656388235 63.37049148428402, 10.381216009668366 63.37050091046322, 10.381274363980813 63.37051179423745, 10.381544211804032 63.370565502160986, 10.382153457920477 63.37082694251534, 10.381481292208774 63.37170368824565, 10.38066424232831 63.37182557803261, 10.378956526162355 63.37314873441353, 10.377941509517457 63.37448714837722, 10.377859544698156 63.3745480478264, 10.377818594939308 63.374578480610715)"/>
    <s v="[572238, 572246, 572247, 572254, 572262, 572270, 572286, 572294, 572302, 572310, 572318, 626478, 572460, 572468, 572476, 626486, 572484, 572492, 626494, 626502]"/>
    <s v="[579848, 579854, 579855, 579860, 579868, 579877, 579889, 579898, 579906, 579913, 579921, 580054, 580055, 580063, 580070, 580080, 580081, 580089, 623044, 621211]"/>
    <s v="#FIELD!"/>
    <s v="[579836, 579848, 579854, 579855, 579860, 579868, 579877, 579889, 579898, 579906, 579913, 579921, 580054, 580055, 580063, 580070, 580080, 580081, 580089, 623044]"/>
    <s v="[0.035, 0.036, 0.032, 0.039, 0.017, 0.047, 0.052, 0.043, 0.03, 0.028, 0.041, 0.031, 0.009, 0.001, 0.017, 0.033, 0.023, 0.044, 0.493, 0.028]"/>
    <s v="792.3111892176304"/>
    <s v="[0.035, 0.036, 0.032, 0.039, 0.017, -0.047, -0.052, -0.043, -0.03, -0.028, -0.041, -0.031, -0.009, -0.001, 0.017, 0.033, -0.023, -0.044, 0.493, -0.028]"/>
  </r>
  <r>
    <x v="1580"/>
    <x v="2124"/>
    <x v="0"/>
    <n v="0"/>
    <s v="LINESTRING (10.400864235303967 63.40214677507199, 10.400864235303967 63.40214677507199, 10.400810224150181 63.401883361640664)"/>
    <s v="[626294, 572260]"/>
    <s v="[579865, 579866]"/>
    <s v="#FIELD!"/>
    <s v="[606600, 579865]"/>
    <s v="0.009"/>
    <s v="41.59829436753833"/>
    <s v="#FIELD!"/>
  </r>
  <r>
    <x v="1580"/>
    <x v="2125"/>
    <x v="0"/>
    <n v="0"/>
    <s v="LINESTRING (10.401170411575775 63.40200108421849, 10.401170411575775 63.40200108421849, 10.401128145500536 63.401993246938986, 10.400810224150181 63.401883361640664)"/>
    <s v="[1319143, 1319167, 1319105]"/>
    <s v="[606608, 1226323, 579866]"/>
    <s v="#FIELD!"/>
    <s v="[626535, 606608, 1226323]"/>
    <s v="[0.0, 0.024, 0.147]"/>
    <s v="29.445133541824276"/>
    <s v="[0.0, -0.024, -0.147]"/>
  </r>
  <r>
    <x v="1581"/>
    <x v="2126"/>
    <x v="0"/>
    <n v="0"/>
    <s v="LINESTRING (10.400886919133708 63.401742859727726, 10.401393279182813 63.401787063844765, 10.401545739212287 63.40169936070442)"/>
    <s v="[572316, 626310]"/>
    <s v="[579920, 606624]"/>
    <s v="0.025909905889293136"/>
    <s v="[579911, 579920]"/>
    <s v="[0.017, 0.046]"/>
    <s v="40.35169802317566"/>
    <s v="[0.017, 0.046]"/>
  </r>
  <r>
    <x v="1581"/>
    <x v="2127"/>
    <x v="0"/>
    <n v="0"/>
    <s v="LINESTRING (10.400886919133708 63.401742859727726, 10.401202550178958 63.401938276301074, 10.401242443548162 63.40195215171191, 10.401348730381665 63.401989749146004)"/>
    <s v="[1319108, 1319121, 1319125]"/>
    <s v="[1226325, 606617, 626540]"/>
    <s v="0.0914547146303583"/>
    <s v="[579911, 1226325, 606617]"/>
    <s v="[0.115, 0.022, 0.023]"/>
    <s v="36.4122918622985"/>
    <s v="[0.115, 0.022, 0.023]"/>
  </r>
  <r>
    <x v="1581"/>
    <x v="2128"/>
    <x v="0"/>
    <s v="[0, 0, 1, 0]"/>
    <s v="LINESTRING (10.403684546958678 63.40183215220853, 10.403448964012435 63.401812869696904, 10.402197176786864 63.40162684582117, 10.401423382149751 63.4014993865432, 10.400886919133708 63.401742859727726)"/>
    <s v="[626302, 572292, 572300, 572308]"/>
    <s v="[579895, 579896, 579905, 579911]"/>
    <s v="#FIELD!"/>
    <s v="[622922, 579895, 579896, 579905]"/>
    <s v="[0.084, 0.042, 0.037, 0.002]"/>
    <s v="169.48388733840414"/>
    <s v="[-0.084, -0.042, -0.037, -0.002]"/>
  </r>
  <r>
    <x v="1582"/>
    <x v="2129"/>
    <x v="0"/>
    <n v="0"/>
    <s v="LINESTRING (10.375839122194186 63.385694456654726, 10.375839122194186 63.385694456654726, 10.375548770978064 63.38484695051568, 10.375540868951562 63.384808926281046, 10.374984074696549 63.38307781788065, 10.374662053813426 63.38149460506976, 10.374453546085487 63.380239330084436, 10.374483860399227 63.38015895096907, 10.374494861763505 63.380132231988746)"/>
    <s v="[572500, 572508, 572516, 572524, 572532, 572540, 592420, 592428]"/>
    <s v="[580096, 580103, 580110, 580117, 580124, 580131, 596807, 596812]"/>
    <s v="0.07227029623110734"/>
    <s v="[550044, 580096, 580103, 580110, 580117, 580124, 580131, 596807]"/>
    <s v="[0.0, 0.029, 0.051, 0.082, 0.051, 0.101, 0.41, 0.04]"/>
    <s v="637.653801581247"/>
    <s v="[0.0, 0.029, 0.051, 0.082, 0.051, 0.101, 0.41, 0.04]"/>
  </r>
  <r>
    <x v="1583"/>
    <x v="2130"/>
    <x v="0"/>
    <n v="0"/>
    <s v="LINESTRING (10.421940683032865 63.40720308613348, 10.422201854466284 63.4071880891933, 10.422451027842943 63.40723565064626, 10.422540443557567 63.407304683184634, 10.422558196822658 63.40733080813382)"/>
    <s v="[1586533, 1586541, 1586549, 1586557]"/>
    <s v="[581586, 1427608, 609216, 580411]"/>
    <s v="#FIELD!"/>
    <s v="[580351, 581586, 1427608, 609216]"/>
    <s v="[0.183, 0.01, 0.006, 0.725]"/>
    <s v="39.360760956146635"/>
    <s v="[-0.183, 0.01, 0.006, 0.725]"/>
  </r>
  <r>
    <x v="1583"/>
    <x v="2131"/>
    <x v="0"/>
    <n v="1"/>
    <m/>
    <n v="1586525"/>
    <n v="580351"/>
    <s v="0.019"/>
    <n v="580361"/>
    <s v="0.019"/>
    <s v="37.42501636082734"/>
    <s v="0.019"/>
  </r>
  <r>
    <x v="1583"/>
    <x v="2132"/>
    <x v="0"/>
    <n v="0"/>
    <s v="LINESTRING (10.418447578692438 63.4061027068006, 10.418653253519278 63.406158769258546, 10.421697744080532 63.40714300020104, 10.421789042427845 63.40716419334903, 10.42190220457671 63.407193812296676, 10.421940683032865 63.40720308613348)"/>
    <s v="[626526, 572764, 572772, 572780, 572788]"/>
    <s v="[580331, 580332, 580340, 580344, 580351]"/>
    <s v="0.02026923792734811"/>
    <s v="[621440, 580331, 580332, 580340, 580344]"/>
    <s v="[0.104, 0.027, 0.039, 0.04, 0.023]"/>
    <s v="213.64115666235165"/>
    <s v="[-0.104, 0.027, 0.039, 0.04, 0.023]"/>
  </r>
  <r>
    <x v="1584"/>
    <x v="2133"/>
    <x v="0"/>
    <n v="0"/>
    <s v="LINESTRING (10.421438216167488 63.40743513727637, 10.421353414806093 63.407389972995105, 10.421304494383486 63.40736896196455, 10.41787513298805 63.40601957544913, 10.417768022589932 63.405954664988926, 10.417736189835253 63.40593508278777)"/>
    <s v="[572796, 572807, 572815, 626534, 626542]"/>
    <s v="[580362, 580375, 580381, 623071, 623076]"/>
    <s v="#FIELD!"/>
    <s v="[580361, 580362, 580375, 580381, 623071]"/>
    <s v="[0.039, 0.038, 0.02, 0.075, 0.001]"/>
    <s v="250.09033123333643"/>
    <s v="[-0.039, -0.038, -0.02, 0.075, 0.001]"/>
  </r>
  <r>
    <x v="1584"/>
    <x v="2134"/>
    <x v="0"/>
    <n v="0"/>
    <s v="LINESTRING (10.421929563064495 63.40757409844242, 10.42168764144803 63.40756903125428, 10.421533407643631 63.407529911130716, 10.421467562063539 63.40746315414168, 10.421438216167488 63.40743513727637)"/>
    <s v="[1586573, 1586584, 1586592, 1586600]"/>
    <s v="[609152, 1427634, 581503, 580361]"/>
    <s v="#FIELD!"/>
    <s v="[580405, 609152, 1427634, 581503]"/>
    <s v="[0.277, 0.011, 0.003, 0.624]"/>
    <s v="32.54933347697288"/>
    <s v="[-0.277, -0.011, -0.003, 0.624]"/>
  </r>
  <r>
    <x v="1585"/>
    <x v="2130"/>
    <x v="0"/>
    <n v="1"/>
    <m/>
    <n v="1586565"/>
    <n v="580405"/>
    <s v="0.013"/>
    <n v="580411"/>
    <s v="0.013"/>
    <s v="44.45850959153372"/>
    <s v="0.013"/>
  </r>
  <r>
    <x v="1585"/>
    <x v="2135"/>
    <x v="0"/>
    <n v="0"/>
    <s v="LINESTRING (10.425398354494822 63.40799920783561, 10.425160845119375 63.408004179307795, 10.422219544846792 63.40761235044654, 10.42215669131376 63.407601952718025, 10.42204365000017 63.40758701282337, 10.421929563064495 63.40757409844242)"/>
    <s v="[626550, 572823, 572831, 572839, 572847]"/>
    <s v="[580388, 580389, 580392, 580400, 580405]"/>
    <s v="#FIELD!"/>
    <s v="[623083, 580388, 580389, 580392, 580400]"/>
    <s v="[0.266, 0.013, 0.05, 0.05, 0.036]"/>
    <s v="181.26654364625503"/>
    <s v="[-0.266, -0.013, 0.05, 0.05, 0.036]"/>
  </r>
  <r>
    <x v="1586"/>
    <x v="2136"/>
    <x v="0"/>
    <n v="0"/>
    <s v="LINESTRING (10.422558196822658 63.40733080813382, 10.4226580893047 63.40738122169127, 10.422713464952214 63.40740465140986, 10.425106427599687 63.407854965752655, 10.42766681979701 63.40788850509566, 10.427870497613839 63.40789439536754, 10.427904468426261 63.4078952234749)"/>
    <s v="[572856, 572864, 572872, 572880, 626558, 626566]"/>
    <s v="[580412, 580420, 580428, 580435, 623090, 621454]"/>
    <s v="0.035301188729341106"/>
    <s v="[580411, 580412, 580420, 580428, 580435, 623090]"/>
    <s v="[0.031, 0.03, 0.014, 0.048, 0.206, 0.121]"/>
    <s v="281.4864509306147"/>
    <s v="[-0.031, -0.03, 0.014, 0.048, 0.206, 0.121]"/>
  </r>
  <r>
    <x v="1587"/>
    <x v="2137"/>
    <x v="0"/>
    <n v="0"/>
    <m/>
    <n v="2154560"/>
    <n v="1592206"/>
    <s v="0.111"/>
    <n v="580470"/>
    <s v="0.111"/>
    <s v="35.26491467193151"/>
    <s v="0.111"/>
  </r>
  <r>
    <x v="1587"/>
    <x v="2138"/>
    <x v="0"/>
    <s v="[0, 0, 1, 0, 0, 0, 0, 0]"/>
    <s v="LINESTRING (10.47398253309918 63.424768437238626, 10.474250612011987 63.42485453643255, 10.475565377963433 63.42544994454803, 10.476372055712888 63.425812979048246, 10.476539855099814 63.42588849488266, 10.476041298776286 63.42564872074242, 10.476040623846194 63.42605146797718, 10.476340103223498 63.42666917785934, 10.476378997400253 63.42672017901668)"/>
    <s v="[998164, 998146, 998147, 998148, 572888, 572902, 572912, 572913]"/>
    <s v="[955600, 955601, 955602, 580441, 580442, 580458, 580469, 580470]"/>
    <s v="#FIELD!"/>
    <s v="[955573, 955600, 955601, 955602, 580441, 580442, 580458, 580469]"/>
    <s v="[0.016, 0.02, 0.015, 0.432, 0.007, 0.007, 0.007, 0.019]"/>
    <s v="608.0067645703281"/>
    <s v="[-0.016, -0.02, -0.015, -0.432, -0.007, 0.007, -0.007, -0.019]"/>
  </r>
  <r>
    <x v="1587"/>
    <x v="2139"/>
    <x v="0"/>
    <n v="0"/>
    <m/>
    <n v="2154552"/>
    <n v="580470"/>
    <s v="#FIELD!"/>
    <n v="1797154"/>
    <s v="0.292"/>
    <s v="15.372655207017548"/>
    <s v="#FIELD!"/>
  </r>
  <r>
    <x v="1588"/>
    <x v="2140"/>
    <x v="0"/>
    <n v="0"/>
    <s v="LINESTRING (10.518775413939794 63.42493098967722, 10.518719250061476 63.42494885407367, 10.51867658375659 63.424962421863505, 10.51851289474141 63.425001608840915)"/>
    <s v="[682651, 682659, 682667]"/>
    <s v="[673816, 673826, 673839]"/>
    <s v="#FIELD!"/>
    <s v="[580543, 673816, 673826]"/>
    <s v="[0.255, 0.048, 0.058]"/>
    <s v="15.323323919145166"/>
    <s v="[-0.255, 0.048, 0.058]"/>
  </r>
  <r>
    <x v="1588"/>
    <x v="472"/>
    <x v="0"/>
    <s v="[0, 1, 0]"/>
    <s v="LINESTRING (10.518775413939794 63.42493098967722, 10.518608118315017 63.42484571439249, 10.517965190057364 63.424503637327796, 10.51783272958815 63.42442664803934)"/>
    <s v="[1589939, 1589947, 1589955]"/>
    <s v="[1430059, 1430065, 580544]"/>
    <s v="0.03479402195136868"/>
    <s v="[580543, 1430059, 1430065]"/>
    <s v="[0.002, 0.078, 0.121]"/>
    <s v="73.35193980222873"/>
    <s v="[-0.002, 0.078, -0.121]"/>
  </r>
  <r>
    <x v="1589"/>
    <x v="479"/>
    <x v="0"/>
    <n v="0"/>
    <s v="LINESTRING (10.51416095725496 63.42609129836113, 10.514426828136079 63.42597160970611, 10.517731268148314 63.42449888020412, 10.517777005322198 63.424466329682254, 10.51783272958815 63.42442664803934)"/>
    <s v="[682643, 682691, 682699, 682707]"/>
    <s v="[673804, 673863, 673872, 580544]"/>
    <s v="#FIELD!"/>
    <s v="[621637, 673804, 673863, 673872]"/>
    <s v="[0.273, 0.028, 0.024, 0.339]"/>
    <s v="262.03187903335777"/>
    <s v="[0.273, -0.028, -0.024, -0.339]"/>
  </r>
  <r>
    <x v="1590"/>
    <x v="477"/>
    <x v="0"/>
    <n v="0"/>
    <s v="LINESTRING (10.540954197726284 63.42351375243023, 10.540954197726284 63.42351375243023, 10.53836693503298 63.42247699174334, 10.536453599634259 63.42231022967289, 10.53622477855615 63.42226268445889)"/>
    <s v="[573071, 573079, 573087, 626582]"/>
    <s v="[580627, 580634, 580641, 623104]"/>
    <s v="#FIELD!"/>
    <s v="[580626, 580627, 580634, 580641]"/>
    <s v="[0.0, 0.051, 0.062, 0.193]"/>
    <s v="303.06459805465494"/>
    <s v="[0.0, -0.051, -0.062, 0.193]"/>
  </r>
  <r>
    <x v="1591"/>
    <x v="2118"/>
    <x v="0"/>
    <n v="0"/>
    <m/>
    <n v="1570530"/>
    <n v="580657"/>
    <s v="0.02"/>
    <n v="580742"/>
    <s v="0.02"/>
    <s v="20.616636688132893"/>
    <s v="0.02"/>
  </r>
  <r>
    <x v="1591"/>
    <x v="2141"/>
    <x v="0"/>
    <n v="0"/>
    <s v="LINESTRING (10.438915514867137 63.40795909439988, 10.439118678651683 63.4080186425003, 10.441486512083317 63.40854392403093, 10.442987019797696 63.408569388117655, 10.443073849689464 63.408591044833265)"/>
    <s v="[626590, 573095, 573102, 573108]"/>
    <s v="[580646, 580647, 580652, 580657]"/>
    <s v="0.04768077984858906"/>
    <s v="[621474, 580646, 580647, 580652]"/>
    <s v="[0.295, 0.05, 0.011, 0.018]"/>
    <s v="245.31066008134204"/>
    <s v="[0.295, 0.05, 0.011, -0.018]"/>
  </r>
  <r>
    <x v="1592"/>
    <x v="2116"/>
    <x v="0"/>
    <n v="0"/>
    <m/>
    <n v="1570242"/>
    <n v="580720"/>
    <s v="0.0"/>
    <n v="580665"/>
    <s v="0.0"/>
    <s v="13.03317046079845"/>
    <s v="0.0"/>
  </r>
  <r>
    <x v="1592"/>
    <x v="2142"/>
    <x v="0"/>
    <n v="0"/>
    <s v="LINESTRING (10.439506170711374 63.40931506890914, 10.439457398956609 63.40925596176814, 10.439579070415398 63.40889478224276, 10.43786251007323 63.40771860708848, 10.437703620859013 63.40766172305199, 10.437674603815742 63.40765145240436)"/>
    <s v="[573116, 573128, 573148, 626598, 626606]"/>
    <s v="[580666, 580677, 580689, 623114, 623121]"/>
    <s v="#FIELD!"/>
    <s v="[580665, 580666, 580677, 580689, 623114]"/>
    <s v="[0.006, 0.001, 0.03, 0.194, 0.001]"/>
    <s v="241.56412424791537"/>
    <s v="[0.006, -0.001, -0.03, -0.194, 0.001]"/>
  </r>
  <r>
    <x v="1593"/>
    <x v="2143"/>
    <x v="0"/>
    <n v="0"/>
    <s v="LINESTRING (10.441980239902797 63.409538912432176, 10.441802861206634 63.409468503359896, 10.439707744271308 63.40923339293187, 10.43975452053025 63.40929243618281)"/>
    <s v="[626614, 573160, 573182]"/>
    <s v="[580702, 580703, 580720]"/>
    <s v="0.013834107747849838"/>
    <s v="[623126, 580702, 580703]"/>
    <s v="[0.206, 0.001, 0.001]"/>
    <s v="189.1307683149724"/>
    <s v="[0.206, 0.001, 0.001]"/>
  </r>
  <r>
    <x v="1594"/>
    <x v="2144"/>
    <x v="0"/>
    <n v="0"/>
    <s v="LINESTRING (10.442737708295855 63.408673821222074, 10.442706329521409 63.40863145629522, 10.441530287733967 63.40857139930237, 10.443026228053037 63.409935663525225, 10.443633761049359 63.41029309952368, 10.44377237536227 63.41038025163193)"/>
    <s v="[573215, 573216, 573223, 573226, 626622]"/>
    <s v="[580743, 580744, 580747, 580751, 621503]"/>
    <s v="#FIELD!"/>
    <s v="[580742, 580743, 580744, 580747, 580751]"/>
    <s v="[0.034, 0.009, 0.014, 0.014, 0.032]"/>
    <s v="325.8617424751662"/>
    <s v="[0.034, -0.009, -0.014, -0.014, -0.032]"/>
  </r>
  <r>
    <x v="1595"/>
    <x v="2145"/>
    <x v="0"/>
    <n v="0"/>
    <m/>
    <n v="573340"/>
    <n v="580841"/>
    <s v="#FIELD!"/>
    <n v="580840"/>
    <s v="0.055"/>
    <s v="78.59262115705978"/>
    <s v="#FIELD!"/>
  </r>
  <r>
    <x v="1595"/>
    <x v="1669"/>
    <x v="0"/>
    <n v="0"/>
    <s v="LINESTRING (10.68580865774381 63.4257440467393, 10.685878254112605 63.4257296714371, 10.692061014543325 63.425657784851346, 10.6925156043318 63.425784202217585, 10.693186995629663 63.42603959421467, 10.693200608655278 63.426046226017164, 10.694439734521854 63.426895555374166)"/>
    <s v="[990805, 573327, 573328, 573336, 573338, 573339]"/>
    <s v="[580828, 580829, 580830, 580838, 580839, 580840]"/>
    <s v="#FIELD!"/>
    <s v="[949431, 580828, 580829, 580830, 580838, 580839]"/>
    <s v="[0.944, 0.036, 0.08, 0.069, 0.008, 0.024]"/>
    <s v="503.73764938553575"/>
    <s v="[0.944, -0.036, -0.08, -0.069, -0.008, -0.024]"/>
  </r>
  <r>
    <x v="1595"/>
    <x v="2146"/>
    <x v="0"/>
    <n v="0"/>
    <s v="LINESTRING (10.698210939831693 63.42592599920331, 10.698126516675991 63.425933307957486, 10.694398377063088 63.426850257014564, 10.694439734521854 63.426895555374166)"/>
    <s v="[990816, 573404, 573419]"/>
    <s v="[580887, 580888, 580840]"/>
    <s v="#FIELD!"/>
    <s v="[949588, 580887, 580888]"/>
    <s v="[1.259, 0.051, 0.024]"/>
    <s v="311.09091065410644"/>
    <s v="[-1.259, -0.051, -0.024]"/>
  </r>
  <r>
    <x v="1596"/>
    <x v="2147"/>
    <x v="0"/>
    <n v="0"/>
    <s v="LINESTRING (10.69528845542975 63.42748844667461, 10.697579587092527 63.42861920637937, 10.705199472686164 63.43099033867707, 10.707614392053786 63.431347658643084, 10.707810298431717 63.431368552758876, 10.707849499484428 63.431372706971906)"/>
    <s v="[573343, 573353, 573362, 573363, 573371]"/>
    <s v="[580843, 580849, 580857, 580858, 575553]"/>
    <s v="#FIELD!"/>
    <s v="[580841, 580843, 580849, 580857, 580858]"/>
    <s v="[0.021, 0.078, 0.037, 0.081, 0.056]"/>
    <s v="775.3318167812075"/>
    <s v="[-0.021, -0.078, -0.037, -0.081, -0.056]"/>
  </r>
  <r>
    <x v="1596"/>
    <x v="2148"/>
    <x v="0"/>
    <n v="0"/>
    <s v="LINESTRING (10.69528845542975 63.42748844667461, 10.695133430794142 63.427455228521325, 10.68726000132045 63.42580731393172, 10.68655051451418 63.42580206709818)"/>
    <s v="[573385, 573388, 573403]"/>
    <s v="[580872, 580875, 580886]"/>
    <s v="0.044991812320622625"/>
    <s v="[580841, 580872, 580875]"/>
    <s v="[0.041, 0.048, 0.026]"/>
    <s v="513.0738289359291"/>
    <s v="[-0.041, 0.048, 0.026]"/>
  </r>
  <r>
    <x v="1597"/>
    <x v="2149"/>
    <x v="0"/>
    <n v="0"/>
    <s v="LINESTRING (10.820571616191454 63.41266385095698, 10.820320655484071 63.412760415138116, 10.82026558610895 63.41278786405114, 10.820078110473247 63.41288315899782, 10.820031342865907 63.41290731826449, 10.819809642226582 63.41301997520216)"/>
    <s v="[573546, 573547, 573556, 573557, 573565]"/>
    <s v="[581006, 581007, 581017, 581018, 581026]"/>
    <s v="#FIELD!"/>
    <s v="[581002, 581006, 581007, 581017, 581018]"/>
    <s v="[0.365, 0.351, 0.312, 0.355, 0.287]"/>
    <s v="55.1162290354947"/>
    <s v="[-0.365, -0.351, -0.312, -0.355, -0.287]"/>
  </r>
  <r>
    <x v="1597"/>
    <x v="2115"/>
    <x v="0"/>
    <n v="0"/>
    <s v="LINESTRING (10.820571616191454 63.41266385095698, 10.820626233446603 63.41267443959538, 10.82478406864203 63.41502472642265, 10.824908403204363 63.41511706798824)"/>
    <s v="[573669, 573670, 1393967]"/>
    <s v="[581106, 581107, 1277697]"/>
    <s v="0.08467382308635515"/>
    <s v="[581002, 581106, 581107]"/>
    <s v="[0.123, 0.11, 5.499]"/>
    <s v="349.9784606310131"/>
    <s v="[0.123, -0.11, 5.499]"/>
  </r>
  <r>
    <x v="1597"/>
    <x v="2112"/>
    <x v="0"/>
    <n v="0"/>
    <s v="LINESTRING (10.816103090622992 63.41000966182686, 10.816176459518216 63.410111592438795, 10.8189058001662 63.41206800455834, 10.820571616191454 63.41266385095698)"/>
    <s v="[626702, 573520, 573538]"/>
    <s v="[580981, 580982, 581002]"/>
    <s v="0.01865147167676247"/>
    <s v="[622137, 580981, 580982]"/>
    <s v="[0.459, 0.009, 0.006]"/>
    <s v="384.40925624715817"/>
    <s v="[0.459, 0.009, -0.006]"/>
  </r>
  <r>
    <x v="1598"/>
    <x v="2150"/>
    <x v="0"/>
    <n v="0"/>
    <m/>
    <n v="573573"/>
    <n v="581033"/>
    <s v="#FIELD!"/>
    <n v="581026"/>
    <s v="0.268"/>
    <s v="11.202937561523184"/>
    <s v="#FIELD!"/>
  </r>
  <r>
    <x v="1598"/>
    <x v="2114"/>
    <x v="0"/>
    <n v="0"/>
    <s v="LINESTRING (10.82406398659016 63.41468315286255, 10.82389412913644 63.414611969088284, 10.820028061023693 63.41309019553519, 10.81985322930733 63.413037432329006, 10.819809642226582 63.41301997520216)"/>
    <s v="[626726, 573677, 573678, 573699]"/>
    <s v="[581112, 581113, 581114, 581026]"/>
    <s v="#FIELD!"/>
    <s v="[623219, 581112, 581113, 581114]"/>
    <s v="[1.482, 0.041, 0.005, 0.087]"/>
    <s v="284.28923987851044"/>
    <s v="[-1.482, 0.041, 0.005, 0.087]"/>
  </r>
  <r>
    <x v="1599"/>
    <x v="2151"/>
    <x v="0"/>
    <n v="0"/>
    <s v="LINESTRING (10.819659230521125 63.4130945027719, 10.819633343015012 63.413107380950045, 10.818973813504963 63.41344224939112)"/>
    <s v="[573587, 573591]"/>
    <s v="[581043, 581046]"/>
    <s v="#FIELD!"/>
    <s v="[581033, 581043]"/>
    <s v="[0.327, 0.231]"/>
    <s v="51.72672368105677"/>
    <s v="[-0.327, -0.231]"/>
  </r>
  <r>
    <x v="1599"/>
    <x v="2152"/>
    <x v="0"/>
    <n v="0"/>
    <s v="LINESTRING (10.819659230521125 63.4130945027719, 10.819607022781476 63.413076604290644, 10.819251205823774 63.412955524917656, 10.819192336849543 63.41294795738763)"/>
    <s v="[795887, 795895, 795903]"/>
    <s v="[775061, 775068, 581070]"/>
    <s v="#FIELD!"/>
    <s v="[581033, 775061, 775068]"/>
    <s v="[2.067, 0.055, 1.93]"/>
    <s v="28.665240699553703"/>
    <s v="[2.067, -0.055, -1.93]"/>
  </r>
  <r>
    <x v="1600"/>
    <x v="2153"/>
    <x v="0"/>
    <n v="0"/>
    <s v="LINESTRING (10.818973813504963 63.41344224939112, 10.818389342386551 63.413666195272675, 10.81273592719433 63.414314338025136)"/>
    <s v="[573592, 573603]"/>
    <s v="[581047, 581052]"/>
    <s v="#FIELD!"/>
    <s v="[581046, 581047]"/>
    <s v="[0.198, 0.036]"/>
    <s v="332.67980701177544"/>
    <s v="[-0.198, -0.036]"/>
  </r>
  <r>
    <x v="1600"/>
    <x v="2152"/>
    <x v="0"/>
    <n v="0"/>
    <s v="LINESTRING (10.818973813504963 63.41344224939112, 10.819074319628672 63.41334451574487, 10.819192336849543 63.41294795738763)"/>
    <s v="[573624, 573625]"/>
    <s v="[581069, 581070]"/>
    <s v="0.20411427509311092"/>
    <s v="[581046, 581069]"/>
    <s v="[0.216, 0.201]"/>
    <s v="57.78431233734229"/>
    <s v="[0.216, 0.201]"/>
  </r>
  <r>
    <x v="1601"/>
    <x v="2154"/>
    <x v="0"/>
    <s v="[0, 1, 0, 0, 0, 0]"/>
    <s v="LINESTRING (10.81273592719433 63.414314338025136, 10.811981356639365 63.414617146203746, 10.811826946154488 63.41469783222349, 10.811762289417477 63.414738093977036, 10.811698607734545 63.41477909446455, 10.811252949902912 63.41532303804504, 10.811245538679286 63.415353158982896)"/>
    <s v="[795655, 795663, 795671, 795679, 795687, 795695]"/>
    <s v="[774879, 774886, 774893, 774897, 774904, 774913]"/>
    <s v="#FIELD!"/>
    <s v="[581052, 774879, 774886, 774893, 774897, 774904]"/>
    <s v="[0.018, 0.06, 0.061, 0.054, 0.043, 0.019]"/>
    <s v="142.45794245577292"/>
    <s v="[0.018, -0.06, -0.061, -0.054, -0.043, -0.019]"/>
  </r>
  <r>
    <x v="1601"/>
    <x v="2155"/>
    <x v="0"/>
    <s v="[0, 1, 0, 0, 0]"/>
    <s v="LINESTRING (10.81273592719433 63.414314338025136, 10.811827865302629 63.41457623574588, 10.811672289433886 63.41465940437092, 10.811545578609417 63.41473639045493, 10.811072356811291 63.415319310658845, 10.811067069213898 63.41535356601788)"/>
    <s v="[795807, 795815, 795823, 795831, 795839]"/>
    <s v="[775000, 775004, 775010, 774988, 775023]"/>
    <s v="#FIELD!"/>
    <s v="[581052, 775000, 775004, 775010, 774988]"/>
    <s v="[0.008, 0.062, 0.057, 0.042, 0.017]"/>
    <s v="151.56853153415508"/>
    <s v="[0.008, -0.062, -0.057, -0.042, -0.017]"/>
  </r>
  <r>
    <x v="1602"/>
    <x v="2113"/>
    <x v="0"/>
    <n v="0"/>
    <s v="LINESTRING (10.819192336849543 63.41294795738763, 10.815912553491609 63.410282468948125, 10.815884590262606 63.40922569434668, 10.815935465965595 63.409136269914775, 10.815943938996558 63.40912136266194)"/>
    <s v="[573632, 573668, 626710, 626718]"/>
    <s v="[581076, 581105, 623205, 623212]"/>
    <s v="0.0031493547094912787"/>
    <s v="[581070, 581076, 581105, 623205]"/>
    <s v="[0.045, 0.081, 0.403, 0.141]"/>
    <s v="474.9235845426936"/>
    <s v="[0.045, -0.081, -0.403, -0.141]"/>
  </r>
  <r>
    <x v="1603"/>
    <x v="2156"/>
    <x v="0"/>
    <n v="0"/>
    <m/>
    <n v="573982"/>
    <n v="581380"/>
    <s v="0.024"/>
    <n v="581371"/>
    <s v="0.024"/>
    <s v="14.17391971171751"/>
    <s v="0.024"/>
  </r>
  <r>
    <x v="1603"/>
    <x v="2157"/>
    <x v="0"/>
    <n v="0"/>
    <s v="LINESTRING (10.259017849212576 63.322315853503184, 10.259255553621887 63.32228150447269, 10.260579864078439 63.32214755129365, 10.26555615957764 63.32198128195803, 10.265643181782286 63.32198694716126, 10.265700581099455 63.32199065549227, 10.265761812094325 63.32199539060051, 10.26856210892062 63.32251930185779, 10.27072317290161 63.32291669257084, 10.2709259733484 63.322972894755935)"/>
    <s v="[575985, 575993, 576001, 576009, 576017, 575905, 575913, 575921, 575929]"/>
    <s v="[583246, 583253, 583259, 583266, 565702, 583169, 583176, 583181, 581371]"/>
    <s v="#FIELD!"/>
    <s v="[581434, 583246, 583253, 583259, 583266, 565702, 583169, 583176, 583181]"/>
    <s v="[0.174, 0.009, 0.029, 0.061, 0.046, 0.069, 0.022, 0.009, 0.202]"/>
    <s v="624.041414498017"/>
    <s v="[0.174, 0.009, -0.029, -0.061, -0.046, -0.069, -0.022, -0.009, 0.202]"/>
  </r>
  <r>
    <x v="1603"/>
    <x v="2158"/>
    <x v="0"/>
    <s v="[0, 0, 0, 0, 0, 0, 0, 0, 0, 0, 1, 0]"/>
    <s v="LINESTRING (10.299391785261495 63.32365494009186, 10.299340324898324 63.32366222428156, 10.296337017752085 63.323884678035135, 10.295603545303166 63.32390278134639, 10.295583782136983 63.3239033870484, 10.295206873248048 63.32391641307721, 10.290228191013679 63.32453301775601, 10.28072657965745 63.32440710072622, 10.276774835490459 63.32409523628036, 10.275647297231165 63.3238993945022, 10.274823034360105 63.323738165023045, 10.271125600144158 63.32301190412057, 10.2709259733484 63.322972894755935)"/>
    <s v="[666256, 666264, 573888, 573908, 573909, 573910, 573941, 573949, 573950, 573957, 573965, 573973]"/>
    <s v="[656746, 581293, 581294, 581312, 581313, 581314, 478461, 497509, 581350, 581356, 581362, 581371]"/>
    <s v="#FIELD!"/>
    <s v="[656745, 656746, 581293, 581294, 581312, 581313, 581314, 478461, 497509, 581350, 581356, 581362]"/>
    <s v="[0.004, 0.022, 0.013, 0.014, 0.005, 0.035, 0.015, 0.002, 0.037, 0.047, 0.0, 0.001]"/>
    <s v="1470.8663924271737"/>
    <s v="[-0.004, -0.022, 0.013, 0.014, 0.005, -0.035, -0.015, 0.002, -0.037, -0.047, 0.0, -0.001]"/>
  </r>
  <r>
    <x v="1604"/>
    <x v="2157"/>
    <x v="0"/>
    <s v="[0, 0, 1, 0]"/>
    <s v="LINESTRING (10.270668573464523 63.32292027393016, 10.268540448432686 63.32252937350417, 10.26592417135964 63.32221213289655, 10.265353047017612 63.32216974906253, 10.259017849212576 63.322315853503184)"/>
    <s v="[573988, 573996, 574010, 574034]"/>
    <s v="[581388, 581395, 581410, 581434]"/>
    <s v="0.011821520405528732"/>
    <s v="[581380, 581388, 581395, 581410]"/>
    <s v="[0.001, 0.025, 0.068, 0.027]"/>
    <s v="600.0558811711097"/>
    <s v="[-0.001, -0.025, 0.068, 0.027]"/>
  </r>
  <r>
    <x v="1604"/>
    <x v="2159"/>
    <x v="0"/>
    <n v="0"/>
    <s v="LINESTRING (10.270668573464523 63.32292027393016, 10.270439329770271 63.32289107138246, 10.268510388571865 63.32254186383274, 10.265630498769198 63.32239211970942, 10.26557295143611 63.32238930576803, 10.26551540411522 63.322386491803485, 10.265427562145181 63.32238106008039, 10.264225816119634 63.3222699434734, 10.260185289223374 63.32224772422366, 10.257504081256837 63.32247045837323, 10.257250165963741 63.322481781043436)"/>
    <s v="[575873, 575881, 575889, 575897, 575937, 575945, 575953, 575961, 575969, 575977]"/>
    <s v="[583140, 583146, 583155, 565634, 583201, 583210, 583218, 583225, 583233, 581441]"/>
    <s v="0.010720418032543862"/>
    <s v="[581380, 583140, 583146, 583155, 565634, 583201, 583210, 583218, 583225, 583233]"/>
    <s v="[0.214, 0.008, 0.003, 0.013, 0.011, 0.034, 0.038, 0.036, 0.008, 0.012]"/>
    <s v="686.9226115004801"/>
    <s v="[-0.214, 0.008, 0.003, 0.013, 0.011, 0.034, 0.038, 0.036, -0.008, -0.012]"/>
  </r>
  <r>
    <x v="1605"/>
    <x v="2159"/>
    <x v="0"/>
    <n v="0"/>
    <m/>
    <n v="574042"/>
    <n v="581441"/>
    <s v="0.005"/>
    <n v="581434"/>
    <s v="0.005"/>
    <s v="90.52071586106685"/>
    <s v="0.005"/>
  </r>
  <r>
    <x v="1606"/>
    <x v="2160"/>
    <x v="162"/>
    <s v="[0, 0, 0, 0, 0, 0, 1, 0, 0, 0]"/>
    <s v="LINESTRING (10.257250165963741 63.322481781043436, 10.255356018469163 63.32266235649571, 10.252536496656642 63.32292833955068, 10.25223710386454 63.32295493573061, 10.249935931151029 63.32314074598221, 10.24164913217478 63.32376862435593, 10.240347577224494 63.323867192748565, 10.240268506639262 63.32387354145032, 10.238837498306745 63.323981346353584, 10.234664824978472 63.32429755466451, 10.224334797698356 63.32461767599662)"/>
    <s v="[574050, 574058, 574073, 574087, 574094, 574113, 574130, 574133, 574135, 574136]"/>
    <s v="[581447, 581455, 12574, 581484, 581493, 581511, 581530, 581532, 581534, 581535]"/>
    <s v="#FIELD!"/>
    <s v="[581441, 581447, 581455, 12574, 581484, 581493, 581511, 581530, 581532, 581534]"/>
    <s v="[0.012, 0.013, 0.005, 0.012, 0.003, 0.01, 0.003, 0.002, 0.018, 0.004]"/>
    <s v="1672.1444364610295"/>
    <s v="[0.012, -0.013, 0.005, -0.012, -0.003, -0.01, -0.003, -0.002, 0.018, -0.004]"/>
  </r>
  <r>
    <x v="1607"/>
    <x v="2161"/>
    <x v="0"/>
    <n v="0"/>
    <m/>
    <n v="574137"/>
    <n v="581536"/>
    <s v="0.012"/>
    <n v="581535"/>
    <s v="0.012"/>
    <s v="48.20840175735955"/>
    <s v="0.012"/>
  </r>
  <r>
    <x v="1607"/>
    <x v="2162"/>
    <x v="0"/>
    <n v="0"/>
    <s v="LINESTRING (10.20989565644863 63.322256285382174, 10.210127116743653 63.32228386306468, 10.213887550771933 63.32311830366027, 10.216359044186266 63.32349539335609, 10.216415546751623 63.323504487681184, 10.216469464916386 63.323517092549494, 10.223890193609392 63.32453620222187, 10.224334797698356 63.32461767599662)"/>
    <s v="[576066, 576074, 576082, 576090, 576042, 576050, 576058]"/>
    <s v="[583304, 583308, 583314, 583289, 583290, 583295, 581535]"/>
    <s v="#FIELD!"/>
    <s v="[581563, 583304, 583308, 583314, 583289, 583290, 583295]"/>
    <s v="[0.308, 0.075, 0.091, 0.149, 0.036, 0.044, 0.717]"/>
    <s v="777.2426068557735"/>
    <s v="[0.308, 0.075, 0.091, 0.149, -0.036, -0.044, -0.717]"/>
  </r>
  <r>
    <x v="1608"/>
    <x v="2162"/>
    <x v="0"/>
    <n v="0"/>
    <s v="LINESTRING (10.223377195872565 63.32457744169491, 10.2145900394895 63.323474586197015, 10.20989565644863 63.322256285382174)"/>
    <s v="[574154, 574161]"/>
    <s v="[581557, 581563]"/>
    <s v="0.0028588242072471364"/>
    <s v="[581536, 581557]"/>
    <s v="[0.014, 0.016]"/>
    <s v="731.7550928295934"/>
    <s v="[0.014, -0.016]"/>
  </r>
  <r>
    <x v="1608"/>
    <x v="2163"/>
    <x v="0"/>
    <n v="0"/>
    <s v="LINESTRING (10.223377195872565 63.32457744169491, 10.223143649978384 63.32459838156423, 10.21822834271115 63.3242742823809, 10.215922968856548 63.324108487451404, 10.215865572591063 63.32410475907975, 10.215816227622456 63.324088710310086, 10.209195240137761 63.32208970568484, 10.209144275643805 63.32206540665825, 10.209017177719167 63.32199377372025)"/>
    <s v="[576025, 576033, 576035, 576036, 576098, 576106, 576113, 576121]"/>
    <s v="[583279, 583285, 583287, 583288, 583328, 583335, 583339, 581565]"/>
    <s v="0.004252626697812602"/>
    <s v="[581536, 583279, 583285, 583287, 583288, 583328, 583335, 583339]"/>
    <s v="[1.227, 0.027, 0.04, 0.011, 0.012, 0.03, 0.036, 0.133]"/>
    <s v="798.26646809543"/>
    <s v="[1.227, 0.027, -0.04, -0.011, -0.012, -0.03, 0.036, -0.133]"/>
  </r>
  <r>
    <x v="1609"/>
    <x v="2163"/>
    <x v="0"/>
    <n v="0"/>
    <s v="LINESTRING (10.20989565644863 63.322256285382174, 10.209239643993481 63.32206332033219, 10.209017177719167 63.32199377372025)"/>
    <s v="[574162, 574163]"/>
    <s v="[581564, 581565]"/>
    <s v="0.023623464753556776"/>
    <s v="[581563, 581564]"/>
    <s v="[0.019, 0.037]"/>
    <s v="52.881423728102185"/>
    <s v="[0.019, 0.037]"/>
  </r>
  <r>
    <x v="1610"/>
    <x v="2164"/>
    <x v="163"/>
    <n v="0"/>
    <s v="LINESTRING (10.209017177719167 63.32199377372025, 10.208553126137064 63.32184085983376, 10.208421616654316 63.321796922164445, 10.197973538900673 63.31237951341109, 10.196711535900565 63.31180414282902, 10.188739969071406 63.30918949013643, 10.186258563902937 63.30846346441299, 10.183907674358185 63.30794992974865)"/>
    <s v="[574164, 574186, 574187, 574194, 574202, 574209, 574218]"/>
    <s v="[581566, 581589, 581590, 581596, 581606, 581613, 581625]"/>
    <s v="0.0010705838096554785"/>
    <s v="[581565, 581566, 581589, 581590, 581596, 581606, 581613]"/>
    <s v="[0.079, 0.075, 0.063, 0.443, 0.059, 0.025, 0.083]"/>
    <s v="2102.9704812262594"/>
    <s v="[0.079, 0.075, 0.063, -0.443, -0.059, 0.025, -0.083]"/>
  </r>
  <r>
    <x v="1611"/>
    <x v="2165"/>
    <x v="0"/>
    <s v="[0, 1]"/>
    <s v="LINESTRING (10.183907674358185 63.30794992974865, 10.182863836776285 63.307770139956624, 10.180492569487022 63.30747206906063)"/>
    <s v="[574225, 574226]"/>
    <s v="[581632, 581633]"/>
    <s v="#FIELD!"/>
    <s v="[581625, 581632]"/>
    <s v="[0.061, 0.072]"/>
    <s v="179.62829942079222"/>
    <s v="[-0.061, -0.072]"/>
  </r>
  <r>
    <x v="1611"/>
    <x v="2166"/>
    <x v="0"/>
    <s v="[1, 1, 0, 0, 0, 0, 0, 1, 0, 0]"/>
    <s v="LINESTRING (10.167816551198584 63.30793697300206, 10.168007350707219 63.30787240240729, 10.168188343961017 63.30783645912461, 10.17143711359128 63.30735196023506, 10.173513250150076 63.30709493866628, 10.173576704634192 63.3070921272547, 10.17362386063542 63.30708635237543, 10.178729502577298 63.307283075023804, 10.182889630596973 63.307726179022595, 10.183705055700756 63.307875075268676, 10.183907674358185 63.30794992974865)"/>
    <s v="[576209, 576217, 576225, 576233, 576241, 576169, 576177, 576185, 576193, 576201]"/>
    <s v="[583425, 583434, 583443, 583450, 571365, 583389, 583396, 583403, 583410, 581625]"/>
    <s v="0.0016325219447490978"/>
    <s v="[581659, 583425, 583434, 583443, 583450, 571365, 583389, 583396, 583403, 583410]"/>
    <s v="[0.156, 0.082, 0.053, 0.001, 0.025, 0.019, 0.043, 0.027, 0.101, 0.133]"/>
    <s v="837.1325531034494"/>
    <s v="[0.156, 0.082, 0.053, 0.001, 0.025, 0.019, -0.043, -0.027, 0.101, 0.133]"/>
  </r>
  <r>
    <x v="1612"/>
    <x v="2166"/>
    <x v="0"/>
    <s v="[1, 0, 1]"/>
    <s v="LINESTRING (10.180492569487022 63.30747206906063, 10.178717240956471 63.307332395741, 10.168235955595494 63.30786847624403, 10.167816551198584 63.30793697300206)"/>
    <s v="[574227, 574241, 574249]"/>
    <s v="[581634, 581648, 581659]"/>
    <s v="0.016705012702850207"/>
    <s v="[581633, 581634, 581648]"/>
    <s v="[0.124, 0.004, 0.114]"/>
    <s v="646.2585805404677"/>
    <s v="[0.124, 0.004, -0.114]"/>
  </r>
  <r>
    <x v="1612"/>
    <x v="2167"/>
    <x v="0"/>
    <s v="[1, 1, 0, 0, 0, 0, 0, 1, 0, 0]"/>
    <s v="LINESTRING (10.180492569487022 63.30747206906063, 10.180327833323789 63.30748758667384, 10.178707111796474 63.307378416024164, 10.175892332115835 63.30739584000361, 10.173774160974636 63.30756146752789, 10.173727015262488 63.307564553632645, 10.173654035185429 63.30756621446546, 10.168251000381582 63.307917015272416, 10.165060586931599 63.30864396416264, 10.15703490077478 63.31103407254786, 10.156808870258526 63.31101540393076)"/>
    <s v="[576129, 576137, 576145, 576153, 576161, 576249, 576257, 576265, 576273, 576281]"/>
    <s v="[583352, 583361, 583368, 583374, 571358, 583461, 583465, 583471, 583480, 581698]"/>
    <s v="0.026699191458281996"/>
    <s v="[581633, 583352, 583361, 583368, 583374, 571358, 583461, 583465, 583471, 583480]"/>
    <s v="[0.586, 0.084, 0.09, 0.027, 0.02, 0.034, 0.031, 0.026, 0.031, 0.167]"/>
    <s v="1300.380846928648"/>
    <s v="[0.586, 0.084, 0.09, -0.027, -0.02, -0.034, -0.031, 0.026, 0.031, 0.167]"/>
  </r>
  <r>
    <x v="1613"/>
    <x v="2167"/>
    <x v="0"/>
    <s v="[1, 0, 0, 0]"/>
    <s v="LINESTRING (10.167816551198584 63.30793697300206, 10.165007082181972 63.308604190620805, 10.15954767177806 63.31052213552804, 10.158099045360409 63.31082199991057, 10.156808870258526 63.31101540393076)"/>
    <s v="[574257, 574265, 574280, 574288]"/>
    <s v="[581670, 581677, 581689, 581698]"/>
    <s v="0.0365954637503076"/>
    <s v="[581659, 581670, 581677, 581689]"/>
    <s v="[0.047, 0.058, 0.024, 0.026]"/>
    <s v="656.2258688617932"/>
    <s v="[0.047, 0.058, -0.024, -0.026]"/>
  </r>
  <r>
    <x v="1614"/>
    <x v="2168"/>
    <x v="164"/>
    <s v="[0, 1, 0, 0, 0, 0, 0, 0, 0, 0, 0, 0, 0, 0, 0, 0, 0, 0, 0, 0]"/>
    <s v="LINESTRING (10.156808870258526 63.31101540393076, 10.152984439807884 63.311400498666124, 10.152902795426336 63.31141030835716, 10.150751279855598 63.31171865246332, 10.15039871980911 63.311780061140816, 10.131066274602464 63.318807178280316, 10.131051457230573 63.318813174049765, 10.124074331788188 63.321658947162334, 10.123455631667403 63.32191064034759, 10.12217431704271 63.322422560657074, 10.113933931214754 63.324505042655396, 10.112859067356382 63.32468484031158, 10.098924965436938 63.32603774899187, 10.098724813371751 63.326030477042444, 10.087623893477183 63.3249884562235, 10.087501113175797 63.32497550140601, 10.082132318252514 63.32435829340441, 10.081904338772377 63.324322529793, 10.081133037361052 63.32418793078973, 10.077044132748796 63.323338043266624, 10.076018263847072 63.32315201664093)"/>
    <s v="[574292, 574293, 574302, 574310, 574318, 574323, 574324, 574325, 574326, 574327, 574335, 574343, 574358, 574359, 574363, 574364, 574372, 574379, 574390, 574400]"/>
    <s v="[581701, 581702, 581711, 581717, 581726, 581733, 581734, 581735, 581736, 581737, 581741, 581747, 581766, 581767, 581773, 581774, 581784, 581790, 581799, 581806]"/>
    <s v="#FIELD!"/>
    <s v="[581698, 581701, 581702, 581711, 581717, 581726, 581733, 581734, 581735, 581736, 581737, 581741, 581747, 581766, 581767, 581773, 581774, 581784, 581790, 581799]"/>
    <s v="[0.03, 0.004, 0.199, 0.44, 0.028, 0.066, 0.123, 0.24, 0.17, 0.026, 0.412, 0.004, 0.454, 0.038, 0.259, 0.016, 0.499, 0.389, 0.013, 0.011]"/>
    <s v="4640.972842292838"/>
    <s v="[0.03, -0.004, 0.199, 0.44, 0.028, 0.066, -0.123, -0.24, -0.17, 0.026, 0.412, -0.004, -0.454, -0.038, 0.259, 0.016, -0.499, -0.389, -0.013, -0.011]"/>
  </r>
  <r>
    <x v="1615"/>
    <x v="2169"/>
    <x v="0"/>
    <s v="[0, 1]"/>
    <s v="LINESTRING (10.076018263847072 63.32315201664093, 10.071788066453992 63.322455073190355, 10.069861194858321 63.322199424909016)"/>
    <s v="[574401, 574408]"/>
    <s v="[581807, 581811]"/>
    <s v="#FIELD!"/>
    <s v="[581806, 581807]"/>
    <s v="[0.034, 0.03]"/>
    <s v="326.5752703776803"/>
    <s v="[-0.034, -0.03]"/>
  </r>
  <r>
    <x v="1615"/>
    <x v="2170"/>
    <x v="0"/>
    <s v="[0, 0, 0, 0, 0, 0, 0, 0, 0, 1, 0, 0]"/>
    <s v="LINESTRING (10.056036923884527 63.322440189348264, 10.056265978268712 63.32241126977785, 10.060527077365323 63.32213881679813, 10.061739189216683 63.32186826959846, 10.061881185756079 63.32183362095484, 10.061935352015633 63.32182110926911, 10.061992881729655 63.32181231224357, 10.062183582394233 63.32178717028075, 10.063905870803904 63.32174005920903, 10.069619185286513 63.3221289743979, 10.071815310957147 63.322412842027795, 10.075842785186998 63.3230784829984, 10.076018263847072 63.32315201664093)"/>
    <s v="[576401, 576409, 576417, 576425, 576433, 576345, 576353, 576361, 576369, 576377, 576385, 576393]"/>
    <s v="[583586, 583593, 583600, 583607, 583541, 583542, 583548, 583555, 583561, 583568, 583574, 581806]"/>
    <s v="#FIELD!"/>
    <s v="[581825, 583586, 583593, 583600, 583607, 583541, 583542, 583548, 583555, 583561, 583568, 583574]"/>
    <s v="[0.029, 0.044, 0.026, 0.029, 0.031, 0.027, 0.029, 0.034, 0.04, 0.014, 0.043, 0.153]"/>
    <s v="1040.1830347496498"/>
    <s v="[-0.029, -0.044, -0.026, -0.029, -0.031, -0.027, -0.029, -0.034, -0.04, 0.014, 0.043, -0.153]"/>
  </r>
  <r>
    <x v="1616"/>
    <x v="2170"/>
    <x v="0"/>
    <s v="[1, 0]"/>
    <s v="LINESTRING (10.069861194858321 63.322199424909016, 10.069597904497021 63.32217141188711, 10.056036923884527 63.322440189348264)"/>
    <s v="[574416, 574424]"/>
    <s v="[581819, 581825]"/>
    <s v="0.04045681547394687"/>
    <s v="[581811, 581819]"/>
    <s v="[0.013, 0.041]"/>
    <s v="699.172190600892"/>
    <s v="[0.013, 0.041]"/>
  </r>
  <r>
    <x v="1616"/>
    <x v="2171"/>
    <x v="0"/>
    <s v="[1, 1, 0, 0, 0, 0, 0, 0, 0, 0]"/>
    <s v="LINESTRING (10.069861194858321 63.322199424909016, 10.069621912056396 63.322206424038214, 10.06957632113763 63.322203944626025, 10.064578249901643 63.322172821392336, 10.062879767496868 63.32233331079616, 10.062734412857129 63.32235255270493, 10.06267489340062 63.32236128100179, 10.06261552743276 63.32236911511721, 10.062511178077793 63.32238258396423, 10.053782317295644 63.32238071269696, 10.053568476875958 63.322332801012905)"/>
    <s v="[576297, 576305, 576313, 576321, 576329, 576337, 576441, 576449, 576457, 576465]"/>
    <s v="[583497, 583503, 583508, 583516, 583526, 583536, 583622, 583630, 583633, 581827]"/>
    <s v="0.044330844550326744"/>
    <s v="[581811, 583497, 583503, 583508, 583516, 583526, 583536, 583622, 583630, 583633]"/>
    <s v="[0.12, 0.004, 0.047, 0.044, 0.017, 0.017, 0.016, 0.012, 0.043, 0.019]"/>
    <s v="825.4368628114753"/>
    <s v="[0.12, -0.004, 0.047, 0.044, 0.017, 0.017, 0.016, 0.012, 0.043, 0.019]"/>
  </r>
  <r>
    <x v="1617"/>
    <x v="2171"/>
    <x v="0"/>
    <n v="0"/>
    <m/>
    <n v="574426"/>
    <n v="581827"/>
    <s v="0.066"/>
    <n v="581825"/>
    <s v="0.066"/>
    <s v="124.40418006687207"/>
    <s v="0.066"/>
  </r>
  <r>
    <x v="1618"/>
    <x v="2172"/>
    <x v="165"/>
    <s v="[0, 0, 0, 0, 0, 0, 0, 0, 0, 0, 0, 0, 0, 0, 1, 0, 0, 0, 0, 0, 0, 0, 0, 0, 0, 0]"/>
    <s v="LINESTRING (10.053568476875958 63.322332801012905, 10.05122943578496 63.322085636937594, 10.051056304921222 63.322061040029965, 10.016499738271213 63.32422399599501, 10.01076295802985 63.32533658260366, 10.001513758436369 63.328469742643165, 10.001366505657407 63.328522571555816, 10.000969222202471 63.32866650037248, 10.000805761341853 63.328725748693145, 9.999525201456212 63.32919056268585, 9.999245336515646 63.329292269487816, 9.997403290624149 63.329952545596974, 9.994931953515065 63.33075774696396, 9.994151042640748 63.33099226786482, 9.993720025460352 63.331117441502016, 9.991348426597613 63.33175991343862, 9.990797551855369 63.3318975015212, 9.990664268378715 63.33193013159147, 9.962611717923672 63.332951227125925, 9.962591844847278 63.33295052360786, 9.918571235339543 63.33131871908695, 9.91840840011703 63.33129429085631, 9.910651399619935 63.329552198637195, 9.90996233768758 63.32937704396809, 9.907491363622292 63.328748224399725, 9.901201274484364 63.32703047262805, 9.897756996684656 63.32584633584975)"/>
    <s v="[574442, 574443, 574450, 574451, 574461, 574469, 574472, 574511, 574512, 574517, 574525, 574536, 574544, 574552, 574553, 574561, 574569, 574572, 574573, 574585, 574586, 574619, 574627, 574640, 574648, 574658]"/>
    <s v="[581843, 581844, 581849, 581850, 581859, 581865, 581868, 581901, 581902, 581906, 581913, 581920, 581928, 581935, 581936, 581943, 581951, 581954, 581955, 581965, 581966, 581998, 582010, 582022, 582028, 582037]"/>
    <s v="#FIELD!"/>
    <s v="[581827, 581843, 581844, 581849, 581850, 581859, 581865, 581868, 581901, 581902, 581906, 581913, 581920, 581928, 581935, 581936, 581943, 581951, 581954, 581955, 581965, 581966, 581998, 582010, 582022, 582028]"/>
    <s v="[0.188, 0.271, 0.064, 0.121, 0.103, 0.157, 0.17, 0.167, 0.099, 0.084, 0.054, 0.077, 0.012, 0.023, 0.046, 0.396, 0.406, 0.083, 0.014, 0.066, 0.08, 0.041, 0.115, 0.08, 0.008, 0.008]"/>
    <s v="8376.071250261048"/>
    <s v="[0.188, 0.271, 0.064, -0.121, -0.103, -0.157, -0.17, -0.167, -0.099, -0.084, 0.054, -0.077, 0.012, -0.023, -0.046, 0.396, 0.406, 0.083, -0.014, -0.066, -0.08, -0.041, -0.115, 0.08, 0.008, 0.008]"/>
  </r>
  <r>
    <x v="1619"/>
    <x v="2173"/>
    <x v="0"/>
    <n v="0"/>
    <m/>
    <n v="599561"/>
    <n v="583692"/>
    <s v="0.006"/>
    <n v="582037"/>
    <s v="0.006"/>
    <s v="948.1766758692759"/>
    <s v="0.006"/>
  </r>
  <r>
    <x v="1619"/>
    <x v="2174"/>
    <x v="0"/>
    <n v="0"/>
    <s v="LINESTRING (9.897756996684656 63.32584633584975, 9.897315812514961 63.32576124116675, 9.891801299261742 63.32388527386345, 9.891743084893548 63.323905215242426)"/>
    <s v="[576473, 576481, 576489]"/>
    <s v="[583648, 583656, 571077]"/>
    <s v="#FIELD!"/>
    <s v="[582037, 583648, 583656]"/>
    <s v="[0.009, 0.007, 0.298]"/>
    <s v="382.15204073498796"/>
    <s v="[-0.009, -0.007, -0.298]"/>
  </r>
  <r>
    <x v="1620"/>
    <x v="2175"/>
    <x v="0"/>
    <n v="0"/>
    <m/>
    <n v="576553"/>
    <n v="583729"/>
    <s v="#FIELD!"/>
    <n v="583670"/>
    <s v="0.173"/>
    <s v="43.00488948929476"/>
    <s v="#FIELD!"/>
  </r>
  <r>
    <x v="1620"/>
    <x v="2173"/>
    <x v="0"/>
    <n v="0"/>
    <s v="LINESTRING (9.876479309771657 63.31718135238666, 9.87652616971545 63.31719525754092, 9.88357587168071 63.32006696584578, 9.883685045411823 63.32015262447162, 9.883695320246815 63.32016032606039)"/>
    <s v="[576497, 576505, 576513, 576521]"/>
    <s v="[583671, 583678, 583685, 583692]"/>
    <s v="0.018610551482045237"/>
    <s v="[583670, 583671, 583678, 583685]"/>
    <s v="[0.003, 0.02, 0.028, 0.088]"/>
    <s v="492.6092924915938"/>
    <s v="[0.003, 0.02, -0.028, -0.088]"/>
  </r>
  <r>
    <x v="1620"/>
    <x v="2176"/>
    <x v="0"/>
    <n v="0"/>
    <s v="LINESTRING (9.8716556361561 63.31593205208142, 9.871871261162028 63.31597941141599, 9.875477914871027 63.316981072618326, 9.876479309771657 63.31718135238666)"/>
    <s v="[576529, 576537, 576545]"/>
    <s v="[583705, 583712, 583670]"/>
    <s v="0.03533205510206025"/>
    <s v="[583704, 583705, 583712]"/>
    <s v="[0.092, 0.024, 0.067]"/>
    <s v="280.7389984914134"/>
    <s v="[0.092, 0.024, 0.067]"/>
  </r>
  <r>
    <x v="1621"/>
    <x v="2176"/>
    <x v="0"/>
    <s v="[0, 1, 0, 0]"/>
    <s v="LINESTRING (9.883695320246815 63.32016032606039, 9.876270392462706 63.31737316814062, 9.876196206879168 63.31735160316708, 9.875620836548043 63.31719051221131, 9.8716556361561 63.31593205208142)"/>
    <s v="[599569, 599577, 599585, 599593]"/>
    <s v="[602380, 602385, 602389, 583704]"/>
    <s v="#FIELD!"/>
    <s v="[583692, 602380, 602385, 602389]"/>
    <s v="[0.027, 0.026, 0.038, 0.018]"/>
    <s v="768.2492035648083"/>
    <s v="[-0.027, -0.026, -0.038, -0.018]"/>
  </r>
  <r>
    <x v="1622"/>
    <x v="2177"/>
    <x v="0"/>
    <n v="0"/>
    <m/>
    <n v="599601"/>
    <n v="583768"/>
    <s v="0.011"/>
    <n v="583704"/>
    <s v="0.011"/>
    <s v="104.71406856727026"/>
    <s v="0.011"/>
  </r>
  <r>
    <x v="1623"/>
    <x v="2178"/>
    <x v="0"/>
    <n v="0"/>
    <s v="LINESTRING (9.876024245289164 63.31750824264533, 9.87595436165762 63.317572010336306, 9.875933835843908 63.31759647872759)"/>
    <s v="[576561, 576569]"/>
    <s v="[583739, 571102]"/>
    <s v="#FIELD!"/>
    <s v="[583729, 583739]"/>
    <s v="[0.151, 0.176]"/>
    <s v="10.84353430413219"/>
    <s v="[-0.151, -0.176]"/>
  </r>
  <r>
    <x v="1623"/>
    <x v="2177"/>
    <x v="0"/>
    <n v="0"/>
    <s v="LINESTRING (9.876024245289164 63.31750824264533, 9.875974947397006 63.31749297201372, 9.870336917023298 63.31533931009428, 9.870248783400282 63.31523896966258)"/>
    <s v="[576577, 576585, 576593]"/>
    <s v="[583750, 583760, 583768]"/>
    <s v="#FIELD!"/>
    <s v="[583729, 583750, 583760]"/>
    <s v="[0.002, 0.006, 0.072]"/>
    <s v="387.49781840154657"/>
    <s v="[0.002, -0.006, 0.072]"/>
  </r>
  <r>
    <x v="1624"/>
    <x v="2179"/>
    <x v="0"/>
    <s v="[0, 0, 0, 0, 1]"/>
    <s v="LINESTRING (9.870248783400282 63.31523896966258, 9.86866657902202 63.31427324970359, 9.86458152121219 63.31181196131669, 9.859810748625467 63.30945312301456, 9.858745820931565 63.308947055066206, 9.858505944091107 63.30883154777064)"/>
    <s v="[599609, 599617, 599625, 599633, 599641]"/>
    <s v="[602399, 602405, 602412, 602416, 602423]"/>
    <s v="#FIELD!"/>
    <s v="[583768, 602399, 602405, 602412, 602416]"/>
    <s v="[0.051, 0.009, 0.003, 0.017, 0.027]"/>
    <s v="927.3476435855795"/>
    <s v="[-0.051, 0.009, 0.003, -0.017, -0.027]"/>
  </r>
  <r>
    <x v="1625"/>
    <x v="2180"/>
    <x v="0"/>
    <s v="[0, 0, 0, 0, 0, 0, 0, 0, 0, 1, 1, 1, 0, 0, 0, 0, 0, 0, 0, 0, 0, 0, 0, 0, 0, 0, 0, 1, 0, 0, 0, 0]"/>
    <s v="LINESTRING (8.597559120399401 63.16783556917241, 8.606884400220517 63.16847463365565, 8.607965474329665 63.16850446796048, 8.609257901977646 63.168555624804775, 8.61849142137123 63.17007160064577, 8.619350851724581 63.170184502224814, 8.633267098002717 63.172515720920295, 8.643635370131914 63.1732038868793, 8.643986243282562 63.17325195179631, 8.64456479821962 63.17333542921866, 8.644690447462457 63.1733532337848, 8.645311432177397 63.17344174857608, 8.645419690680823 63.173457059893856, 8.64658429001403 63.17362430023793, 8.650167694887353 63.17442701950083, 8.652212880927673 63.17496759542337, 8.653468407627667 63.17529875429395, 8.666304818445026 63.17882292667935, 8.666441135943119 63.17888816373441, 8.666694271019649 63.17900837860304, 8.673439195966429 63.18014502248525, 8.690621283503477 63.18188593182641, 8.697265398937567 63.1823208038051, 8.732806617912699 63.18475514182891, 8.733056290928229 63.1847085595816, 8.740560488881007 63.181990414616635, 8.740773727675238 63.18195124273605, 8.741722339666847 63.1818202003804, 8.742308728228696 63.181773214828596, 8.743713572577198 63.18175891131783, 8.758466442314967 63.18424088243015, 8.759889650697197 63.18418479314622, 8.764279209935578 63.18416303116039)"/>
    <s v="[1327128, 581244, 581252, 581260, 581924, 581932, 581700, 581708, 581276, 581284, 581716, 581724, 581732, 581740, 581748, 581300, 581308, 581756, 581764, 581772, 581780, 581884, 581892, 581900, 581788, 581348, 581340, 581804, 581812, 581364, 581372, 581380]"/>
    <s v="[587591, 587592, 587597, 587605, 588126, 587961, 587962, 587617, 587618, 587623, 587974, 587980, 587986, 587992, 587641, 587642, 587650, 588003, 588008, 588015, 587662, 588098, 588102, 588026, 587685, 587669, 587677, 588041, 587692, 587699, 587707, 587711]"/>
    <s v="#FIELD!"/>
    <s v="[960488, 587591, 587592, 587597, 587605, 588126, 587961, 587962, 587617, 587618, 587623, 587974, 587980, 587986, 587992, 587641, 587642, 587650, 588003, 588008, 588015, 587662, 588098, 588102, 588026, 587685, 587669, 587677, 588041, 587692, 587699, 587707]"/>
    <s v="[0.161, 0.059, 0.013, 0.004, 0.02, 0.0, 0.018, 0.04, 0.039, 0.025, 0.033, 0.037, 0.018, 0.03, 0.056, 0.035, 0.021, 0.124, 0.108, 0.032, 0.028, 0.026, 0.014, 0.02, 0.001, 0.012, 0.008, 0.004, 0.083, 0.036, 0.051, 0.008]"/>
    <s v="8714.016320456436"/>
    <s v="[-0.161, -0.059, -0.013, 0.004, -0.02, -0.0, -0.018, -0.04, -0.039, -0.025, -0.033, -0.037, -0.018, 0.03, 0.056, 0.035, 0.021, -0.124, -0.108, 0.032, -0.028, 0.026, -0.014, 0.02, 0.001, 0.012, 0.008, 0.004, 0.083, 0.036, 0.051, 0.008]"/>
  </r>
  <r>
    <x v="1625"/>
    <x v="2181"/>
    <x v="0"/>
    <n v="0"/>
    <s v="LINESTRING (8.981183345112381 63.199839282154436, 8.764279209935578 63.18416303116039)"/>
    <m/>
    <m/>
    <s v="0.0"/>
    <m/>
    <n v="0"/>
    <s v="12507.47468830385"/>
    <n v="0"/>
  </r>
  <r>
    <x v="1626"/>
    <x v="2182"/>
    <x v="0"/>
    <n v="0"/>
    <s v="LINESTRING (10.358177914904985 63.33335141833835, 10.358297076623368 63.33331892017543, 10.35875672165746 63.3332408075615, 10.358870423580742 63.33321063984473)"/>
    <s v="[660435, 660443, 660451]"/>
    <s v="[651591, 651599, 651465]"/>
    <s v="0.05723576021270246"/>
    <s v="[590963, 651591, 651599]"/>
    <s v="[0.055, 0.059, 0.053]"/>
    <s v="38.335991399278385"/>
    <s v="[0.055, 0.059, 0.053]"/>
  </r>
  <r>
    <x v="1626"/>
    <x v="2183"/>
    <x v="0"/>
    <n v="0"/>
    <s v="LINESTRING (10.358177914904985 63.33335141833835, 10.358327355038734 63.333373430855794, 10.358596923927465 63.333348030787526, 10.35881986529583 63.33333542609383, 10.358916338038952 63.33333650309009)"/>
    <s v="[661470, 629330, 660403, 660411]"/>
    <s v="[625223, 625224, 651567, 651532]"/>
    <s v="0.06209482130489624"/>
    <s v="[590963, 625223, 625224, 651567]"/>
    <s v="[0.06, 0.062, 0.062, 0.066]"/>
    <s v="37.77551715917312"/>
    <s v="[0.06, 0.062, 0.062, 0.066]"/>
  </r>
  <r>
    <x v="1626"/>
    <x v="2184"/>
    <x v="0"/>
    <s v="[1, 1, 0]"/>
    <s v="LINESTRING (10.355902146654225 63.33356031343141, 10.356223812011793 63.333533263110006, 10.35715345804534 63.33345476777151, 10.358177914904985 63.33335141833835)"/>
    <s v="[661334, 585203, 585211]"/>
    <s v="[590955, 590956, 590963]"/>
    <s v="0.022738854436906666"/>
    <s v="[652520, 590955, 590956]"/>
    <s v="[0.001, 0.0, 0.05]"/>
    <s v="116.40424354504384"/>
    <s v="[0.001, -0.0, 0.05]"/>
  </r>
  <r>
    <x v="1627"/>
    <x v="2185"/>
    <x v="0"/>
    <n v="0"/>
    <s v="LINESTRING (10.233940996572324 59.713925407112576, 10.234006564910366 59.71389136225493, 10.23409353553029 59.71387455658558)"/>
    <s v="[585692, 585700]"/>
    <s v="[591386, 591394]"/>
    <s v="0.13342466389044244"/>
    <s v="[591378, 591386]"/>
    <s v="[0.118, 0.149]"/>
    <s v="10.5375697786532"/>
    <s v="[0.118, 0.149]"/>
  </r>
  <r>
    <x v="1627"/>
    <x v="2186"/>
    <x v="0"/>
    <n v="0"/>
    <s v="LINESTRING (10.233940996572324 59.713925407112576, 10.233915256941419 59.71388537874738, 10.233752026341424 59.713663436242406)"/>
    <s v="[1630106, 1630108]"/>
    <s v="[1457720, 591556]"/>
    <s v="#FIELD!"/>
    <s v="[591378, 1457720]"/>
    <s v="[0.293, 0.14]"/>
    <s v="31.081318433084984"/>
    <s v="[0.293, -0.14]"/>
  </r>
  <r>
    <x v="1627"/>
    <x v="2187"/>
    <x v="0"/>
    <n v="0"/>
    <s v="LINESTRING (10.234264279655108 59.71389861252781, 10.234269030346296 59.71405993928944, 10.234175267310144 59.71408567292336, 10.234077242670699 59.714086335412006, 10.233940996572324 59.713925407112576)"/>
    <s v="[585716, 585724, 585732, 585684]"/>
    <s v="[591411, 591419, 591377, 591378]"/>
    <s v="#FIELD!"/>
    <s v="[591402, 591411, 591419, 591377]"/>
    <s v="[0.05, 0.154, 0.22, 0.099]"/>
    <s v="53.96492001526724"/>
    <s v="[0.05, -0.154, -0.22, -0.099]"/>
  </r>
  <r>
    <x v="1628"/>
    <x v="2187"/>
    <x v="0"/>
    <n v="0"/>
    <m/>
    <n v="585708"/>
    <n v="591402"/>
    <s v="0.199"/>
    <n v="591394"/>
    <s v="0.199"/>
    <s v="9.981171273809103"/>
    <s v="0.199"/>
  </r>
  <r>
    <x v="1628"/>
    <x v="2186"/>
    <x v="0"/>
    <n v="0"/>
    <s v="LINESTRING (10.23409353553029 59.71387455658558, 10.234045018938726 59.713845924014656, 10.233752026341424 59.713663436242406)"/>
    <s v="[585876, 585884]"/>
    <s v="[591546, 591556]"/>
    <s v="#FIELD!"/>
    <s v="[591394, 591546]"/>
    <s v="[0.121, 0.122]"/>
    <s v="30.39082515837543"/>
    <s v="[-0.121, -0.122]"/>
  </r>
  <r>
    <x v="1629"/>
    <x v="2188"/>
    <x v="0"/>
    <n v="0"/>
    <s v="LINESTRING (10.236367956706701 59.710845774613325, 10.236000795508629 59.71113747219187, 10.234313609375661 59.71384794789534, 10.234298812763797 59.713865192827896, 10.234264279655108 59.71389861252781)"/>
    <s v="[1630296, 1630115, 1630117, 1630118]"/>
    <s v="[1457725, 1457726, 1457728, 591402]"/>
    <s v="#FIELD!"/>
    <s v="[1457801, 1457725, 1457726, 1457728]"/>
    <s v="[0.058, 0.02, 0.001, 0.129]"/>
    <s v="375.01202727805435"/>
    <s v="[0.058, -0.02, 0.001, -0.129]"/>
  </r>
  <r>
    <x v="1630"/>
    <x v="2189"/>
    <x v="0"/>
    <n v="0"/>
    <s v="LINESTRING (10.233384543620765 59.71176822906585, 10.233468866827817 59.71162629738206, 10.233625361988816 59.711615079509464, 10.233709209549156 59.71163638929436, 10.233767343151335 59.71167322450783, 10.233779974574869 59.71174825235052)"/>
    <s v="[585748, 585756, 585764, 585772, 585780]"/>
    <s v="[370396, 591445, 591451, 591459, 591465]"/>
    <s v="#FIELD!"/>
    <s v="[591438, 370396, 591445, 591451, 591459]"/>
    <s v="[0.045, 0.307, 0.283, 0.209, 0.047]"/>
    <s v="45.61663607734698"/>
    <s v="[-0.045, -0.307, -0.283, -0.209, -0.047]"/>
  </r>
  <r>
    <x v="1630"/>
    <x v="2190"/>
    <x v="0"/>
    <n v="0"/>
    <s v="LINESTRING (10.233573375194498 59.71182744890065, 10.233466575411418 59.711812275226514, 10.233384543620765 59.71176822906585)"/>
    <s v="[585796, 585804]"/>
    <s v="[591477, 591438]"/>
    <s v="0.27791091543340785"/>
    <s v="[591471, 591477]"/>
    <s v="[0.294, 0.263]"/>
    <s v="12.98833445159455"/>
    <s v="[0.294, 0.263]"/>
  </r>
  <r>
    <x v="1630"/>
    <x v="2191"/>
    <x v="0"/>
    <n v="0"/>
    <s v="LINESTRING (10.233214936847768 59.71218248464017, 10.233371030813267 59.71181307221705, 10.233384543620765 59.71176822906585)"/>
    <s v="[1630132, 1630133]"/>
    <s v="[1457737, 591438]"/>
    <s v="0.10402450457255527"/>
    <s v="[1457715, 1457737]"/>
    <s v="[0.022, 0.795]"/>
    <s v="47.646378370819384"/>
    <s v="[0.022, 0.795]"/>
  </r>
  <r>
    <x v="1631"/>
    <x v="2190"/>
    <x v="0"/>
    <n v="0"/>
    <m/>
    <n v="585788"/>
    <n v="591471"/>
    <s v="0.189"/>
    <n v="591465"/>
    <s v="0.189"/>
    <s v="15.428734302794911"/>
    <s v="0.189"/>
  </r>
  <r>
    <x v="1631"/>
    <x v="290"/>
    <x v="0"/>
    <n v="0"/>
    <s v="LINESTRING (10.233779974574869 59.71174825235052, 10.233840558238285 59.71175540326212, 10.236741311277182 59.71029939309243, 10.237344227152679 59.709997553760054)"/>
    <s v="[1630146, 1630154, 1630289]"/>
    <s v="[1457748, 1457757, 1457814]"/>
    <s v="0.02680114610526268"/>
    <s v="[591465, 1457748, 1457757]"/>
    <s v="[0.254, 0.013, 0.117]"/>
    <s v="292.4095532168683"/>
    <s v="[-0.254, 0.013, 0.117]"/>
  </r>
  <r>
    <x v="1632"/>
    <x v="2191"/>
    <x v="0"/>
    <n v="0"/>
    <s v="LINESTRING (10.233214936847768 59.71218248464017, 10.233522567507391 59.71185539209857, 10.233573375194498 59.71182744890065)"/>
    <s v="[1630125, 1630131]"/>
    <s v="[1457732, 591471]"/>
    <s v="0.029109663499029177"/>
    <s v="[1457715, 1457732]"/>
    <s v="[0.023, 0.531]"/>
    <s v="44.96256426116764"/>
    <s v="[-0.023, 0.531]"/>
  </r>
  <r>
    <x v="1633"/>
    <x v="2192"/>
    <x v="0"/>
    <n v="0"/>
    <m/>
    <n v="585812"/>
    <n v="591488"/>
    <s v="0.029"/>
    <n v="591487"/>
    <s v="0.029"/>
    <s v="121.23955074809575"/>
    <s v="0.029"/>
  </r>
  <r>
    <x v="1633"/>
    <x v="2193"/>
    <x v="0"/>
    <s v="[1, 0, 0]"/>
    <s v="LINESTRING (10.215262642842465 59.73204823227402, 10.21514172715782 59.73051375343805, 10.215396824497073 59.72974245318109, 10.216662960497873 59.728263808289576)"/>
    <s v="[1179211, 1179307, 1630169]"/>
    <s v="[1110013, 1110100, 591487]"/>
    <s v="0.02662311390581972"/>
    <s v="[1110008, 1110013, 1110100]"/>
    <s v="[0.04, 0.037, 0.009]"/>
    <s v="440.5392149521905"/>
    <s v="[0.04, 0.037, 0.009]"/>
  </r>
  <r>
    <x v="1633"/>
    <x v="2194"/>
    <x v="0"/>
    <n v="0"/>
    <s v="LINESTRING (10.215340504773627 59.73052019982918, 10.215348817122667 59.7304835424177, 10.215593175799388 59.729762456283694, 10.216662960497873 59.728263808289576)"/>
    <s v="[1179267, 1179275, 1630304]"/>
    <s v="[1110065, 1110074, 591487]"/>
    <s v="0.018521958111423046"/>
    <s v="[1110064, 1110065, 1110074]"/>
    <s v="[0.041, 0.036, 0.01]"/>
    <s v="263.8835027989389"/>
    <s v="[0.041, 0.036, 0.01]"/>
  </r>
  <r>
    <x v="1633"/>
    <x v="2195"/>
    <x v="0"/>
    <n v="0"/>
    <m/>
    <n v="1630330"/>
    <n v="591487"/>
    <s v="0.017"/>
    <n v="1457875"/>
    <s v="0.017"/>
    <s v="140.05836204387776"/>
    <s v="0.017"/>
  </r>
  <r>
    <x v="1634"/>
    <x v="2196"/>
    <x v="0"/>
    <s v="[0, 0, 1, 0]"/>
    <s v="LINESTRING (10.217686089098768 59.72731949114027, 10.219024847320398 59.72647452674227, 10.232909964509112 59.71319075557695, 10.23388649903157 59.71237754794352, 10.234975822377809 59.71168371533638)"/>
    <s v="[585820, 585828, 1630177, 1630199]"/>
    <s v="[591495, 591501, 1457772, 1457792]"/>
    <s v="0.010242307904775401"/>
    <s v="[591488, 591495, 591501, 1457772]"/>
    <s v="[0.054, 0.011, 0.095, 0.056]"/>
    <s v="2030.115480957764"/>
    <s v="[0.054, 0.011, -0.095, 0.056]"/>
  </r>
  <r>
    <x v="1634"/>
    <x v="2197"/>
    <x v="0"/>
    <n v="0"/>
    <s v="LINESTRING (10.216045988708649 59.730567654693765, 10.215933392663654 59.7305882457769, 10.213736353948768 59.73019025286711, 10.215086388581986 59.72968589388334, 10.217290685050173 59.72756307852892, 10.217686089098768 59.72731949114027)"/>
    <s v="[2094386, 2094387, 1179251, 1630155, 1630158]"/>
    <s v="[1812175, 1110049, 1110050, 1457758, 591488]"/>
    <s v="0.026154637445077372"/>
    <s v="[1300646, 1812175, 1110049, 1110050, 1457758]"/>
    <s v="[1.021, 0.015, 0.014, 0.015, 0.017]"/>
    <s v="605.6574816984142"/>
    <s v="[1.021, 0.015, 0.014, 0.015, 0.017]"/>
  </r>
  <r>
    <x v="1635"/>
    <x v="2198"/>
    <x v="0"/>
    <n v="0"/>
    <s v="LINESTRING (10.282687327468986 59.80732351909274, 10.283060643912233 59.80734577391696, 10.28651753320474 59.807380224618775)"/>
    <s v="[585840, 1387155]"/>
    <s v="[591513, 1273578]"/>
    <s v="#FIELD!"/>
    <s v="[591512, 591513]"/>
    <s v="[0.048, 0.066]"/>
    <s v="216.062790859853"/>
    <s v="[0.048, -0.066]"/>
  </r>
  <r>
    <x v="1635"/>
    <x v="2199"/>
    <x v="0"/>
    <n v="0"/>
    <s v="LINESTRING (10.282687327468986 59.80732351909274, 10.280299754876543 59.80692899528694, 10.276254589214162 59.80586353617053, 10.267824649955541 59.79815641567474)"/>
    <s v="[1593695, 1593703, 1593711]"/>
    <s v="[1432711, 1432717, 1164013]"/>
    <s v="#FIELD!"/>
    <s v="[591512, 1432711, 1432717]"/>
    <s v="[0.073, 0.004, 0.061]"/>
    <s v="1415.9424456610195"/>
    <s v="[-0.073, 0.004, -0.061]"/>
  </r>
  <r>
    <x v="1636"/>
    <x v="2191"/>
    <x v="0"/>
    <n v="0"/>
    <m/>
    <n v="1630101"/>
    <n v="1457715"/>
    <s v="0.057"/>
    <n v="591556"/>
    <s v="0.057"/>
    <s v="169.94035205226766"/>
    <s v="0.057"/>
  </r>
  <r>
    <x v="1637"/>
    <x v="2198"/>
    <x v="0"/>
    <n v="0"/>
    <s v="LINESTRING (10.28651753320474 59.807380224618775, 10.286829555468225 59.8073959236702, 10.287543865150363 59.80754996271232, 10.287582081575781 59.80755761266069, 10.287686036695018 59.807591035065954)"/>
    <s v="[1387275, 1387283, 585929, 585937]"/>
    <s v="[1273643, 591595, 591596, 591603]"/>
    <s v="0.04328877147635876"/>
    <s v="[1273578, 1273643, 591595, 591596]"/>
    <s v="[0.034, 0.045, 0.055, 0.052]"/>
    <s v="71.36195257392923"/>
    <s v="[0.034, 0.045, 0.055, 0.052]"/>
  </r>
  <r>
    <x v="1638"/>
    <x v="297"/>
    <x v="0"/>
    <n v="0"/>
    <s v="LINESTRING (10.287775680141934 59.80750699605831, 10.287775680141934 59.80750699605831, 10.287814641921976 59.8075089971052, 10.288419417495325 59.807617589805, 10.288552662123344 59.80764755631957)"/>
    <s v="[585985, 585993, 1387363, 1387371]"/>
    <s v="[591644, 591649, 1273693, 1273494]"/>
    <s v="0.04026978210015556"/>
    <s v="[591643, 591644, 591649, 1273693]"/>
    <s v="[0.0, 0.023, 0.047, 0.05]"/>
    <s v="53.66790729367767"/>
    <s v="[0.0, 0.023, 0.047, 0.05]"/>
  </r>
  <r>
    <x v="1639"/>
    <x v="2200"/>
    <x v="0"/>
    <n v="0"/>
    <s v="LINESTRING (10.248180994639682 59.69424327181463, 10.24829697089098 59.694262518429, 10.248740993287829 59.69433140683396)"/>
    <s v="[586306, 586314]"/>
    <s v="[591869, 591875]"/>
    <s v="0.005793216280254545"/>
    <s v="[591868, 591869]"/>
    <s v="[0.005, 0.006]"/>
    <s v="33.25862126864977"/>
    <s v="[0.005, 0.006]"/>
  </r>
  <r>
    <x v="1639"/>
    <x v="2201"/>
    <x v="0"/>
    <n v="0"/>
    <s v="LINESTRING (10.248180994639682 59.69424327181463, 10.248199283285821 59.69431499492609, 10.24813158648652 59.694378201856026)"/>
    <s v="[2094477, 2094479]"/>
    <s v="[1812210, 1531845]"/>
    <s v="0.01586236805395289"/>
    <s v="[591868, 1812210]"/>
    <s v="[0.029, 0.061]"/>
    <s v="16.071639113630145"/>
    <s v="[-0.029, 0.061]"/>
  </r>
  <r>
    <x v="1639"/>
    <x v="292"/>
    <x v="0"/>
    <n v="0"/>
    <m/>
    <n v="2094476"/>
    <n v="591868"/>
    <s v="#FIELD!"/>
    <n v="1461773"/>
    <s v="0.148"/>
    <s v="11.806409861861951"/>
    <s v="#FIELD!"/>
  </r>
  <r>
    <x v="1640"/>
    <x v="2202"/>
    <x v="0"/>
    <n v="0"/>
    <m/>
    <n v="1638905"/>
    <n v="591920"/>
    <s v="0.004"/>
    <n v="591875"/>
    <s v="0.004"/>
    <s v="31.313176395879026"/>
    <s v="0.004"/>
  </r>
  <r>
    <x v="1640"/>
    <x v="2201"/>
    <x v="0"/>
    <n v="0"/>
    <s v="LINESTRING (10.24813158648652 59.694378201856026, 10.248277337242243 59.69436746922556, 10.248740993287829 59.69433140683396)"/>
    <s v="[1718730, 1718743]"/>
    <s v="[1531846, 591875]"/>
    <s v="#FIELD!"/>
    <s v="[1531845, 1531846]"/>
    <s v="[0.0, 0.002]"/>
    <s v="34.7285156045576"/>
    <s v="[-0.0, -0.002]"/>
  </r>
  <r>
    <x v="1641"/>
    <x v="2203"/>
    <x v="0"/>
    <n v="0"/>
    <s v="LINESTRING (10.249294727715663 59.69435550246546, 10.249703217188282 59.694312803545564, 10.249812906874702 59.694303756770694)"/>
    <s v="[586386, 586394]"/>
    <s v="[591921, 591925]"/>
    <s v="#FIELD!"/>
    <s v="[591920, 591921]"/>
    <s v="[0.007, 0.006]"/>
    <s v="29.905270876927915"/>
    <s v="[-0.007, -0.006]"/>
  </r>
  <r>
    <x v="1641"/>
    <x v="2204"/>
    <x v="0"/>
    <n v="0"/>
    <s v="LINESTRING (10.249294727715663 59.69435550246546, 10.249685349399442 59.69441988731011, 10.249779774589589 59.69443564356889)"/>
    <s v="[1718850, 1718854]"/>
    <s v="[1531923, 1531927]"/>
    <s v="0.012974297256142044"/>
    <s v="[591920, 1531923]"/>
    <s v="[0.012, 0.017]"/>
    <s v="28.750694734035687"/>
    <s v="[0.012, 0.017]"/>
  </r>
  <r>
    <x v="1642"/>
    <x v="2205"/>
    <x v="0"/>
    <n v="0"/>
    <m/>
    <n v="2094481"/>
    <n v="1461895"/>
    <s v="0.041"/>
    <n v="591925"/>
    <s v="0.041"/>
    <s v="12.51353842146707"/>
    <s v="0.041"/>
  </r>
  <r>
    <x v="1642"/>
    <x v="2204"/>
    <x v="0"/>
    <n v="0"/>
    <s v="LINESTRING (10.249779774589589 59.69443564356889, 10.249759120492332 59.69436764881115, 10.249812906874702 59.694303756770694)"/>
    <s v="[2094565, 2094569]"/>
    <s v="[1812246, 591925]"/>
    <s v="#FIELD!"/>
    <s v="[1531927, 1812246]"/>
    <s v="[0.02, 0.053]"/>
    <s v="15.406866892365207"/>
    <s v="[-0.02, -0.053]"/>
  </r>
  <r>
    <x v="1643"/>
    <x v="2206"/>
    <x v="0"/>
    <n v="1"/>
    <m/>
    <n v="586566"/>
    <n v="592047"/>
    <s v="#FIELD!"/>
    <n v="591986"/>
    <s v="8.392"/>
    <s v="3.304617980820236"/>
    <s v="#FIELD!"/>
  </r>
  <r>
    <x v="1643"/>
    <x v="2207"/>
    <x v="166"/>
    <s v="[0, 0, 0, 0, 0, 1, 0, 1, 1, 0, 0, 0, 0, 0, 0, 0, 0, 0, 0, 0, 0, 0, 0, 0, 0, 1, 1, 0, 0, 0, 0, 0, 0, 0, 0, 0, 0, 0, 0, 0, 0, 0, 0, 1, 0, 0, 0, 0, 0, 0, 0, 0, 0, 0, 0, 0, 0, 0, 0, 0, 0, 0, 0, 0, 0, 0, 0, 0, 0, 0, 0, 0, 0, 0, 0, 0, 0, 0, 0, 0, 0, 0, 0, 0, 0, 0, 0, 0, 0, 0, 0, 0, 1, 0, 0, 0, 0, 0, 0, 0, 0, 0, 0, 0, 0, 0, 0, 0]"/>
    <s v="LINESTRING (7.891699564455548 61.074176003527555, 7.891699564455548 61.074176003527555, 7.891693599734676 61.07417612987237, 7.856647806751969 61.07837500548883, 7.856635952355758 61.078377053159514, 7.852683296554516 61.079146579650875, 7.852224517898751 61.07923352832414, 7.850515650422164 61.079475871006935, 7.8485505395523605 61.079555935401196, 7.84772882375435 61.07952796401579, 7.846629955522594 61.07943525986592, 7.846037510562766 61.079357018081126, 7.845879902646397 61.079333846053274, 7.845743462766569 61.07931089874133, 7.83087752612644 61.072547325688255, 7.822610170777621 61.06709012958622, 7.82063303726105 61.065516952560486, 7.82049227934757 61.06537509995696, 7.820099092479418 61.064878969639416, 7.818632494980293 61.06203280591143, 7.818474288431484 61.061880993187636, 7.8183435377369195 61.06177195733675, 7.817983754099112 61.06149512450967, 7.815589233115982 61.06002723321636, 7.815578002131143 61.060020592240015, 7.7651961237007034 61.04830760088591, 7.76518215828975 61.04830167343291, 7.763812917341582 61.047786126914175, 7.754192366203471 61.04806423123956, 7.754152305225607 61.048082564520406, 7.754112774462373 61.04810231490966, 7.750649291501123 61.04984831856379, 7.7214293224945285 61.05232061813534, 7.721411699862951 61.05231767062271, 7.717777850274198 61.051722111571436, 7.7161307175170455 61.05162091779559, 7.715776318115111 61.05161344087764, 7.715507943128469 61.05161256647837, 7.715327477020231 61.05161254542514, 7.704191808568806 61.052337451879936, 7.7039203625629105 61.052368334584166, 7.70225259360147 61.052444284812324, 7.701489450705034 61.05242236412762, 7.701369183541641 61.05241567651229, 7.700189167661421 61.05230070280254, 7.699241325704956 61.05213972671742, 7.686363483348901 61.052629100061274, 7.685473117512635 61.053356181887814, 7.685264453958154 61.05352056315753, 7.6747241727168936 61.056594477059754, 7.668886009501326 61.05753572026522, 7.660385419657099 61.058327810901076, 7.660213029321724 61.058324127542555, 7.659034664816513 61.058207342426485, 7.658886159449865 61.05818424052765, 7.64293882539571 61.05358123038215, 7.639674763381488 61.05251631912671, 7.637511149215638 61.05138177278643, 7.636984496013591 61.0510912482883, 7.6357105262712635 61.050386824846534, 7.635618360280436 61.05033507811988, 7.634974750104595 61.04998281737337, 7.632248248362721 61.048472144783396, 7.630045985129668 61.04739112078863, 7.626799133025791 61.04656935885616, 7.625246772581883 61.046208406568724, 7.619648543271203 61.046229573025165, 7.617226549499636 61.0463176400908, 7.611038105961661 61.047240634222966, 7.610125903690894 61.04735069151968, 7.60864251602951 61.04753220282137, 7.608479827821124 61.04755102423629, 7.606792815681458 61.047573414289715, 7.600765381008096 61.04814481925427, 7.599469951956207 61.04837877425201, 7.597487127395145 61.04856456828916, 7.594013619713629 61.04949410609121, 7.593408166128433 61.049663886463, 7.591194682218152 61.049954386463185, 7.584235002415127 61.0509850237015, 7.583596174456793 61.051076526840305, 7.581508616287035 61.05145733660658, 7.580713691492377 61.051702226245965, 7.579789266420284 61.051971539008434, 7.574343971869693 61.05246766865173, 7.570388993264772 61.05329230586123, 7.569615028094451 61.0534479482372, 7.565456325230653 61.05345008983867, 7.562095115509073 61.053322465891135, 7.56038754405721 61.05325966235556, 7.555616008085406 61.053615833125576, 7.537748690365037 61.053456942367575, 7.536795725206059 61.05357904312883, 7.535101076859731 61.0534679057977, 7.529368776664234 61.05451917627373, 7.526128740171209 61.05550733889954, 7.524766743725016 61.05617054567718, 7.524214741050252 61.05643233068725, 7.5207953697286225 61.05736045883996, 7.517461425895265 61.05837924444217, 7.5164591132356655 61.059289693722775, 7.516087638437518 61.059622530554456, 7.515485981722375 61.060171009183634, 7.5141211217102395 61.06133001841501, 7.513530188012022 61.06162644844999, 7.512959950143143 61.061859462851714, 7.511763992551014 61.06231057750068, 7.509485488478614 61.06316345560835, 7.509321694566586 61.06324974324108)"/>
    <s v="[586470, 586478, 586486, 586494, 586502, 586510, 586518, 586526, 586534, 586542, 586550, 586558, 1984814, 1984816, 1984982, 1984994, 1888346, 1888347, 1888362, 1888370, 1888378, 1888379, 1888386, 1888387, 1888388, 1888395, 1888403, 1888405, 1888406, 1888410, 1888412, 1888420, 1888428, 1888450, 1888465, 1888478, 1888489, 1888490, 1888491, 2122525, 2122533, 2122541, 2122549, 2122557, 2122565, 2122573, 2122581, 2122589, 2122597, 2122429, 2122461, 2122469, 2122477, 2122485, 2122493, 2122501, 2122509, 1025545, 1025553, 1025561, 1025569, 1025577, 1025585, 1025593, 1025601, 1025609, 1025617, 1025625, 1025633, 1025641, 1025649, 1025657, 1025665, 1025673, 1025681, 1025689, 1025697, 1025705, 1025713, 1025721, 1025729, 1025737, 1025745, 1025753, 1025761, 1025769, 1025777, 1025785, 1025793, 1025801, 1025809, 1025817, 1025825, 1025833, 1025841, 1025849, 1025857, 1025865, 1888504, 1888505, 1888510, 1888511, 1888512, 1888519, 1888533, 1888541, 1888542, 1888554]"/>
    <s v="[591987, 591994, 591998, 592003, 592008, 592012, 592018, 592021, 592028, 592032, 592037, 592042, 1744443, 1744446, 612874, 1660622, 1651935, 1660623, 434107, 1660639, 434004, 1660646, 1660652, 1660653, 1660654, 1660659, 1660664, 434074, 1660666, 434056, 1660671, 1660676, 1660683, 1660700, 1660710, 434100, 1660723, 433994, 1660724, 1802794, 776437, 1828610, 1828618, 1828625, 1828631, 1828634, 1801617, 1828527, 1828539, 1828540, 1828561, 1801498, 1801531, 1828576, 1828582, 1701630, 980356, 980357, 980363, 980370, 980377, 980384, 980395, 980404, 980412, 980421, 980428, 980437, 980446, 980455, 980463, 980471, 980481, 980488, 980496, 980503, 980511, 980521, 980530, 980538, 980547, 980557, 980562, 980572, 980581, 980586, 980595, 980600, 980609, 980618, 980627, 980635, 980641, 980650, 980660, 980666, 980673, 980681, 1571166, 1651378, 1660736, 1660737, 1651220, 1660743, 1571390, 1660759, 1571770, 1655795]"/>
    <s v="#FIELD!"/>
    <s v="[591986, 591987, 591994, 591998, 592003, 592008, 592012, 592018, 592021, 592028, 592032, 592037, 592042, 1744443, 1744446, 612874, 1660622, 1651935, 1660623, 434107, 1660639, 434004, 1660646, 1660652, 1660653, 1660654, 1660659, 1660664, 434074, 1660666, 434056, 1660671, 1660676, 1660683, 1660700, 1660710, 434100, 1660723, 433994, 1660724, 1802794, 776437, 1828610, 1828618, 1828625, 1828631, 1828634, 1801617, 1828527, 1828539, 1828540, 1828561, 1801498, 1801531, 1828576, 1828582, 1701630, 980356, 980357, 980363, 980370, 980377, 980384, 980395, 980404, 980412, 980421, 980428, 980437, 980446, 980455, 980463, 980471, 980481, 980488, 980496, 980503, 980511, 980521, 980530, 980538, 980547, 980557, 980562, 980572, 980581, 980586, 980595, 980600, 980609, 980618, 980627, 980635, 980641, 980650, 980660, 980666, 980673, 980681, 1571166, 1651378, 1660736, 1660737, 1651220, 1660743, 1571390, 1660759, 1571770]"/>
    <s v="[0.0, 0.372, 0.05, 0.143, 0.072, 0.067, 0.114, 0.14, 0.111, 0.123, 0.191, 0.135, 0.175, 0.028, 0.015, 0.018, 0.158, 0.223, 0.019, 0.054, 0.064, 0.064, 0.131, 0.129, 0.058, 1.296, 0.013, 0.015, 0.091, 0.09, 0.091, 0.044, 0.073, 0.118, 0.291, 0.263, 0.239, 0.237, 0.05, 1.394, 0.106, 0.021, 0.021, 0.163, 0.241, 0.057, 0.529, 0.492, 0.187, 0.174, 0.021, 0.081, 0.093, 0.134, 0.139, 0.238, 0.76, 0.114, 0.02, 0.025, 0.041, 0.094, 0.079, 0.018, 0.024, 0.012, 0.013, 0.006, 0.002, 0.0, 0.001, 0.028, 0.039, 0.044, 0.004, 0.046, 0.017, 0.037, 0.032, 0.04, 0.068, 0.077, 0.046, 0.044, 0.012, 0.016, 0.001, 0.005, 0.007, 0.057, 0.027, 0.078, 0.007, 0.011, 0.01, 0.027, 0.027, 0.007, 0.011, 0.012, 0.013, 0.011, 0.004, 0.008, 0.011, 0.017, 0.018, 0.006]"/>
    <s v="24126.22267038722"/>
    <s v="[0.0, 0.372, -0.05, -0.143, -0.072, 0.067, 0.114, 0.14, 0.111, 0.123, 0.191, 0.135, 0.175, -0.028, 0.015, -0.018, -0.158, -0.223, -0.019, 0.054, 0.064, 0.064, 0.131, 0.129, -0.058, -1.296, -0.013, 0.015, -0.091, -0.09, 0.091, -0.044, 0.073, 0.118, -0.291, -0.263, -0.239, -0.237, 0.05, 1.394, 0.106, 0.021, 0.021, -0.163, -0.241, 0.057, 0.529, 0.492, 0.187, -0.174, 0.021, 0.081, 0.093, 0.134, -0.139, -0.238, -0.76, -0.114, -0.02, -0.025, 0.041, -0.094, -0.079, -0.018, -0.024, 0.012, -0.013, -0.006, -0.002, -0.0, -0.001, -0.028, -0.039, -0.044, 0.004, 0.046, 0.017, -0.037, -0.032, 0.04, 0.068, 0.077, 0.046, -0.044, -0.012, -0.016, 0.001, 0.005, 0.007, 0.057, -0.027, -0.078, 0.007, 0.011, -0.01, -0.027, -0.027, -0.007, 0.011, -0.012, -0.013, -0.011, -0.004, 0.008, 0.011, 0.017, 0.018, 0.006]"/>
  </r>
  <r>
    <x v="1644"/>
    <x v="2208"/>
    <x v="0"/>
    <s v="[0, 0, 0, 0, 1, 0, 0, 0]"/>
    <s v="LINESTRING (10.247055956703988 59.69778386439087, 10.247083825048671 59.69775242192195, 10.247988474446473 59.696738946432205, 10.248168733508315 59.69652135064613, 10.249145675096804 59.69452388680569, 10.249199282700005 59.694147982819935, 10.248703656097218 59.69188670713282, 10.248469803893824 59.69149920630168, 10.24846746443111 59.69149563141605)"/>
    <s v="[1593967, 1593975, 1593983, 1593991, 1593999, 1594007, 1594015, 1594023]"/>
    <s v="[1432895, 1432899, 1432904, 1432911, 1432915, 1432921, 1432929, 1432935]"/>
    <s v="0.0118204405799272"/>
    <s v="[591991, 1432895, 1432899, 1432904, 1432911, 1432915, 1432921, 1432929]"/>
    <s v="[0.001, 0.005, 0.007, 0.015, 0.015, 0.042, 0.026, 0.0]"/>
    <s v="726.2830652655072"/>
    <s v="[-0.001, 0.005, 0.007, -0.015, -0.015, 0.042, 0.026, 0.0]"/>
  </r>
  <r>
    <x v="1644"/>
    <x v="2188"/>
    <x v="0"/>
    <n v="0"/>
    <s v="LINESTRING (10.236367956706701 59.710845774613325, 10.237038870474041 59.71041759163165, 10.237576432273196 59.71008072388776, 10.241669373255736 59.70589594434277, 10.247055956703988 59.69778386439087)"/>
    <s v="[1630215, 1630216, 1630222, 1630227]"/>
    <s v="[1457802, 1457803, 1457808, 591991]"/>
    <s v="0.009154614065552626"/>
    <s v="[1457801, 1457802, 1457803, 1457808]"/>
    <s v="[0.075, 0.091, 0.007, 0.002]"/>
    <s v="1587.4346815342822"/>
    <s v="[0.075, 0.091, 0.007, 0.002]"/>
  </r>
  <r>
    <x v="1644"/>
    <x v="2209"/>
    <x v="0"/>
    <n v="0"/>
    <s v="LINESTRING (10.249986470691095 59.6945090535385, 10.249945323698059 59.69455247289515, 10.247262444360905 59.69765409395982, 10.247055956703988 59.69778386439087)"/>
    <s v="[1639017, 1639024, 586474]"/>
    <s v="[1465771, 591990, 591991]"/>
    <s v="0.005168605662036822"/>
    <s v="[1465770, 1465771, 591990]"/>
    <s v="[0.037, 0.006, 0.021]"/>
    <s v="402.70992525606295"/>
    <s v="[0.037, 0.006, -0.021]"/>
  </r>
  <r>
    <x v="1645"/>
    <x v="2210"/>
    <x v="167"/>
    <s v="[0, 0, 0, 0, 0, 0, 0, 0, 0, 0, 0, 1, 0, 1, 0, 0, 1, 0, 0, 0]"/>
    <s v="LINESTRING (7.954655146132964 61.07365564761146, 7.953464021350762 61.073614227313485, 7.953310557827216 61.07362493360766, 7.953167415990417 61.073636829757426, 7.952905506625476 61.073657959978014, 7.9523549447932655 61.0737046492898, 7.951254622922558 61.073800325937334, 7.9487407092840865 61.07401626543296, 7.948314839122973 61.07404880840506, 7.9351664973756 61.072821714028024, 7.934181063840023 61.07248558253034, 7.93366277055299 61.07228033241558, 7.932291496140698 61.07164790814476, 7.931017343311818 61.07106141054824, 7.930971060136423 61.0710429310161, 7.930020682223288 61.0707036417025, 7.912387836679554 61.069122052897946, 7.9123350806104975 61.06913162141781, 7.897824910195809 61.073450240839875, 7.896212950850162 61.07379251088742, 7.894911563723137 61.07398393332352)"/>
    <s v="[980510, 1025177, 1025185, 1025193, 1025201, 1984824, 1984831, 1984839, 1984847, 1984908, 1984916, 1984923, 1984929, 1984934, 1984936, 1984938, 1984942, 1984943, 586574, 586582]"/>
    <s v="[941569, 980025, 941716, 980039, 980046, 1176270, 1176284, 1176290, 1744428, 1744520, 1744528, 1744536, 1744544, 1744549, 1744507, 1744554, 1744560, 592052, 592053, 592047]"/>
    <s v="#FIELD!"/>
    <s v="[941568, 941569, 980025, 941716, 980039, 980046, 1176270, 1176284, 1176290, 1744428, 1744520, 1744528, 1744536, 1744544, 1744549, 1744507, 1744554, 1744560, 592052, 592053]"/>
    <s v="[0.027, 0.023, 0.058, 0.03, 0.03, 0.045, 0.07, 0.088, 0.005, 0.023, 0.066, 0.09, 0.117, 0.126, 0.115, 0.024, 0.007, 0.002, 0.035, 0.06]"/>
    <s v="3544.511900822812"/>
    <s v="[-0.027, 0.023, 0.058, 0.03, 0.03, 0.045, 0.07, 0.088, -0.005, -0.023, -0.066, -0.09, -0.117, -0.126, -0.115, -0.024, -0.007, -0.002, 0.035, 0.06]"/>
  </r>
  <r>
    <x v="1646"/>
    <x v="2197"/>
    <x v="0"/>
    <n v="0"/>
    <m/>
    <n v="1427037"/>
    <n v="1300646"/>
    <s v="0.034"/>
    <n v="592221"/>
    <s v="0.034"/>
    <s v="4.1716857504538645"/>
    <s v="0.034"/>
  </r>
  <r>
    <x v="1646"/>
    <x v="1451"/>
    <x v="0"/>
    <n v="0"/>
    <s v="LINESTRING (10.216397672890524 59.730502385193745, 10.216282119097391 59.73056293273495, 10.21611696776615 59.73057843969518)"/>
    <s v="[1427101, 1427109]"/>
    <s v="[1300696, 592221]"/>
    <s v="0.026519559286116875"/>
    <s v="[1300689, 1300696]"/>
    <s v="[0.022, 0.031]"/>
    <s v="18.82642844479786"/>
    <s v="[0.022, 0.031]"/>
  </r>
  <r>
    <x v="1647"/>
    <x v="200"/>
    <x v="0"/>
    <s v="[1, 1, 0, 0]"/>
    <s v="LINESTRING (11.467190142500817 63.99690410007824, 11.467129305694927 63.99688896166385, 11.465953152364321 63.99660800284559, 11.462178855106272 63.995435400381446, 11.462148362721381 63.99537702048201)"/>
    <s v="[587626, 587634, 587642, 587682]"/>
    <s v="[593026, 593035, 593042, 593078]"/>
    <s v="#FIELD!"/>
    <s v="[592876, 593026, 593035, 593042]"/>
    <s v="[0.005, 0.002, 0.008, 0.003]"/>
    <s v="303.39800660404507"/>
    <s v="[-0.005, 0.002, -0.008, -0.003]"/>
  </r>
  <r>
    <x v="1647"/>
    <x v="2211"/>
    <x v="0"/>
    <s v="[1, 0]"/>
    <s v="LINESTRING (11.467190142500817 63.99690410007824, 11.467545788011442 63.99665424135514, 11.467584306359932 63.996627677821316)"/>
    <s v="[587800, 587808]"/>
    <s v="[593201, 593207]"/>
    <s v="0.02551721271178906"/>
    <s v="[592876, 593201]"/>
    <s v="[0.026, 0.021]"/>
    <s v="36.3531019469632"/>
    <s v="[0.026, 0.021]"/>
  </r>
  <r>
    <x v="1647"/>
    <x v="2212"/>
    <x v="0"/>
    <s v="[0, 0, 1]"/>
    <s v="LINESTRING (11.471041352185386 63.998115353151604, 11.470853632230774 63.99808093902234, 11.4686152071754 63.99734224709017, 11.467190142500817 63.99690410007824)"/>
    <s v="[587474, 587458, 587466]"/>
    <s v="[592869, 592870, 592876]"/>
    <s v="#FIELD!"/>
    <s v="[592884, 592869, 592870]"/>
    <s v="[0.038, 0.004, 0.005]"/>
    <s v="232.28067446796047"/>
    <s v="[-0.038, -0.004, 0.005]"/>
  </r>
  <r>
    <x v="1648"/>
    <x v="2213"/>
    <x v="168"/>
    <n v="0"/>
    <s v="LINESTRING (11.471041352185386 63.998115353151604, 11.471770205882695 63.99838374413244, 11.475534723118868 63.9997649941872, 11.490869983072075 64.00350895151243, 11.491613686057464 64.00369896429628, 11.493948912358485 64.00427861067004, 11.494886523310289 64.00450940941623, 11.494933096505399 64.0045206690849, 11.49514816923114 64.004571775589, 11.497344661712708 64.00513600062325, 11.497603606306672 64.00525495229697, 11.497684844222563 64.00529803498556)"/>
    <s v="[587706, 857128, 857144, 857152, 857160, 857168, 857176, 857184, 857192, 681409, 681426]"/>
    <s v="[593101, 830920, 830932, 830939, 830944, 830948, 830955, 830961, 672409, 672410, 601285]"/>
    <s v="0.0030941365804288373"/>
    <s v="[592884, 593101, 830920, 830932, 830939, 830944, 830948, 830955, 830961, 672409, 672410]"/>
    <s v="[0.029, 0.05, 0.01, 0.037, 0.002, 0.075, 0.122, 0.137, 0.105, 0.063, 0.179]"/>
    <s v="1536.5927289946503"/>
    <s v="[0.029, 0.05, 0.01, 0.037, 0.002, -0.075, -0.122, -0.137, -0.105, -0.063, 0.179]"/>
  </r>
  <r>
    <x v="1648"/>
    <x v="200"/>
    <x v="0"/>
    <n v="0"/>
    <s v="LINESTRING (11.462148362721381 63.99537702048201, 11.463526002571294 63.995926110146385, 11.463542322745395 63.99593153946218, 11.468918709344425 63.997343868468576, 11.471041352185386 63.998115353151604)"/>
    <s v="[587738, 587746, 587760, 587768]"/>
    <s v="[593128, 593136, 593153, 592884]"/>
    <s v="0.004095159642509692"/>
    <s v="[593078, 593128, 593136, 593153]"/>
    <s v="[0.015, 0.011, 0.0, 0.006]"/>
    <s v="534.2614559451793"/>
    <s v="[0.015, 0.011, 0.0, 0.006]"/>
  </r>
  <r>
    <x v="1649"/>
    <x v="2214"/>
    <x v="0"/>
    <n v="0"/>
    <s v="LINESTRING (11.467537310508908 63.996539302248145, 11.467738614149022 63.996524259436406, 11.46775570670601 63.996616542672946)"/>
    <s v="[1398312, 1398320]"/>
    <s v="[592889, 1280487]"/>
    <s v="0.09769025662210337"/>
    <s v="[593063, 592889]"/>
    <s v="[0.211, 0.011]"/>
    <s v="22.194907768146958"/>
    <s v="[0.211, -0.011]"/>
  </r>
  <r>
    <x v="1649"/>
    <x v="198"/>
    <x v="0"/>
    <n v="0"/>
    <s v="LINESTRING (11.46364248685445 63.99587408174853, 11.4637655931638 63.99587582564108, 11.467474117021053 63.99653374698279, 11.467537310508908 63.996539302248145)"/>
    <s v="[587674, 587658, 587666]"/>
    <s v="[593055, 593056, 593063]"/>
    <s v="0.006603070508791982"/>
    <s v="[593071, 593055, 593056]"/>
    <s v="[0.024, 0.006, 0.011]"/>
    <s v="206.056267871198"/>
    <s v="[0.024, 0.006, 0.011]"/>
  </r>
  <r>
    <x v="1649"/>
    <x v="2211"/>
    <x v="0"/>
    <n v="0"/>
    <m/>
    <n v="1398336"/>
    <n v="593063"/>
    <s v="0.017"/>
    <n v="593207"/>
    <s v="0.017"/>
    <s v="11.030837636266632"/>
    <s v="0.017"/>
  </r>
  <r>
    <x v="1650"/>
    <x v="2215"/>
    <x v="0"/>
    <n v="0"/>
    <s v="LINESTRING (11.46364248685445 63.99587408174853, 11.469027919902615 63.997290248167545, 11.47115428725289 63.99806351098361, 11.471874335175048 63.99832901880005)"/>
    <s v="[587776, 587784, 587792]"/>
    <s v="[593172, 593181, 593191]"/>
    <s v="0.0047515965186953465"/>
    <s v="[593071, 593172, 593181]"/>
    <s v="[0.0, 0.008, 0.027]"/>
    <s v="488.96545324352087"/>
    <s v="[0.0, 0.008, 0.027]"/>
  </r>
  <r>
    <x v="1651"/>
    <x v="2216"/>
    <x v="0"/>
    <n v="0"/>
    <s v="LINESTRING (11.471874335175048 63.99832901880005, 11.47564489007948 63.99970197646465, 11.490944741011027 64.00345012420686, 11.491678862772938 64.00364730805022, 11.493999390448378 64.00423818804278, 11.494986179731859 64.00447970712459, 11.495200850963819 64.00453189096334, 11.497428539940964 64.00508224191498, 11.497761813968008 64.0051530528375, 11.497894349989648 64.00517821018954)"/>
    <s v="[857064, 857080, 857088, 857096, 857104, 857112, 857120, 624624, 624632]"/>
    <s v="[830869, 830883, 830890, 830897, 830903, 830908, 621524, 621525, 601241]"/>
    <s v="0.0014915943565647594"/>
    <s v="[593191, 830869, 830883, 830890, 830897, 830903, 830908, 621524, 621525]"/>
    <s v="[0.055, 0.009, 0.03, 0.0, 0.086, 0.134, 0.106, 0.065, 0.119]"/>
    <s v="1489.5060947959337"/>
    <s v="[0.055, 0.009, 0.03, 0.0, -0.086, -0.134, -0.106, -0.065, 0.119]"/>
  </r>
  <r>
    <x v="1651"/>
    <x v="2214"/>
    <x v="0"/>
    <n v="0"/>
    <s v="LINESTRING (11.46775570670601 63.996616542672946, 11.467800227292264 63.99663786912787, 11.468924004323995 63.99716571724848, 11.471844376516183 63.99827903692616, 11.471874335175048 63.99832901880005)"/>
    <s v="[1398450, 1398458, 1398466, 1398442]"/>
    <s v="[1280544, 1280548, 1280542, 593191]"/>
    <s v="#FIELD!"/>
    <s v="[1280487, 1280544, 1280548, 1280542]"/>
    <s v="[0.002, 0.001, 0.007, 0.428]"/>
    <s v="278.96836223650007"/>
    <s v="[0.002, 0.001, 0.007, -0.428]"/>
  </r>
  <r>
    <x v="1652"/>
    <x v="2214"/>
    <x v="0"/>
    <n v="0"/>
    <m/>
    <n v="1398328"/>
    <n v="593207"/>
    <s v="#FIELD!"/>
    <n v="1280487"/>
    <s v="0.262"/>
    <s v="8.975162792391448"/>
    <s v="#FIELD!"/>
  </r>
  <r>
    <x v="1653"/>
    <x v="139"/>
    <x v="0"/>
    <n v="0"/>
    <s v="LINESTRING (10.286597329003383 60.081863248219115, 10.286491665641718 60.081853944085296, 10.28640612561768 60.08182138808361)"/>
    <s v="[1427743, 1427751]"/>
    <s v="[1301111, 1301117]"/>
    <s v="0.06347355835153647"/>
    <s v="[594543, 1301111]"/>
    <s v="[0.087, 0.04]"/>
    <s v="11.962933035877136"/>
    <s v="[0.087, 0.04]"/>
  </r>
  <r>
    <x v="1654"/>
    <x v="142"/>
    <x v="0"/>
    <n v="0"/>
    <s v="LINESTRING (10.286379427616703 60.08627531672462, 10.289651189710211 60.09019731938458, 10.289963667364818 60.0905326710766, 10.29007186531949 60.09064888019309)"/>
    <s v="[1431812, 1431820, 1431828]"/>
    <s v="[1303489, 1303493, 594712]"/>
    <s v="#FIELD!"/>
    <s v="[1303484, 1303489, 1303493]"/>
    <s v="[0.006, 0.016, 0.017]"/>
    <s v="530.6921369844011"/>
    <s v="[-0.006, -0.016, -0.017]"/>
  </r>
  <r>
    <x v="1655"/>
    <x v="2217"/>
    <x v="0"/>
    <n v="0"/>
    <s v="LINESTRING (10.27581109467359 63.281772726373696, 10.275747110342845 63.281809297532035, 10.273218315716175 63.283497205419664, 10.272816888594543 63.28402061565696, 10.272608561896902 63.28417016957422)"/>
    <s v="[674401, 674409, 674417, 1029635]"/>
    <s v="[664484, 664489, 664497, 621046]"/>
    <s v="#FIELD!"/>
    <s v="[595476, 664484, 664489, 664497]"/>
    <s v="[0.004, 0.007, 0.017, 0.002]"/>
    <s v="315.83731559483215"/>
    <s v="[0.004, -0.007, -0.017, 0.002]"/>
  </r>
  <r>
    <x v="1655"/>
    <x v="2218"/>
    <x v="0"/>
    <n v="0"/>
    <s v="LINESTRING (10.276104198659972 63.28160149750338, 10.27619137402107 63.28169833700208, 10.276158214998311 63.281742200906734, 10.276100264872664 63.281770114469026, 10.276082814903 63.28177566791888, 10.27581109467359 63.281772726373696)"/>
    <s v="[590399, 590418, 590426, 590434, 590377]"/>
    <s v="[595501, 595521, 595531, 595475, 595476]"/>
    <s v="0.0022093546241712734"/>
    <s v="[595493, 595501, 595521, 595531, 595475]"/>
    <s v="[0.013, 0.007, 0.003, 0.004, 0.009]"/>
    <s v="36.798331645867854"/>
    <s v="[0.013, 0.007, 0.003, 0.004, -0.009]"/>
  </r>
  <r>
    <x v="1656"/>
    <x v="2218"/>
    <x v="0"/>
    <n v="0"/>
    <s v="LINESTRING (10.275833273937938 63.2815920083928, 10.276067182670674 63.281590788610785, 10.276104198659972 63.28160149750338)"/>
    <s v="[590391, 590392]"/>
    <s v="[595492, 595493]"/>
    <s v="0.008462460090693371"/>
    <s v="[595491, 595492]"/>
    <s v="[0.008, 0.011]"/>
    <s v="14.327999732085658"/>
    <s v="[0.008, 0.011]"/>
  </r>
  <r>
    <x v="1656"/>
    <x v="2070"/>
    <x v="0"/>
    <s v="[0, 0, 1, 0]"/>
    <s v="LINESTRING (10.275833273937938 63.2815920083928, 10.275742246149928 63.28157459414003, 10.275528990641561 63.28153513124088, 10.274853281864342 63.281343600429565, 10.27464479013787 63.28126292588308)"/>
    <s v="[629402, 629410, 629418, 629426]"/>
    <s v="[625289, 625296, 625301, 595598]"/>
    <s v="#FIELD!"/>
    <s v="[595491, 625289, 625296, 625301]"/>
    <s v="[0.012, 0.01, 0.01, 0.0]"/>
    <s v="70.5289352154392"/>
    <s v="[-0.012, -0.01, -0.01, -0.0]"/>
  </r>
  <r>
    <x v="1657"/>
    <x v="2219"/>
    <x v="0"/>
    <s v="[0, 0, 1, 0, 0, 0]"/>
    <s v="LINESTRING (10.281296369565053 63.27849070010829, 10.281183178832297 63.27859647867006, 10.2801779294978 63.27908677272498, 10.27946899000157 63.2794201683334, 10.277521078084478 63.28037319359971, 10.27613453812438 63.28155399660983, 10.276104198659972 63.28160149750338)"/>
    <s v="[1029659, 1029683, 674425, 674433, 674441, 674449]"/>
    <s v="[983887, 664503, 664504, 664509, 664514, 595493]"/>
    <s v="#FIELD!"/>
    <s v="[982084, 983887, 664503, 664504, 664509, 664514]"/>
    <s v="[0.0, 0.021, 0.005, 0.005, 0.005, 0.009]"/>
    <s v="438.3911701627657"/>
    <s v="[0.0, 0.021, -0.005, -0.005, -0.005, 0.009]"/>
  </r>
  <r>
    <x v="1658"/>
    <x v="2220"/>
    <x v="0"/>
    <n v="0"/>
    <s v="LINESTRING (10.272329241151706 63.28427816997222, 10.272302230698058 63.2841806668643, 10.273275562933371 63.28289815740563, 10.27423468971195 63.28139151080273, 10.274264428633549 63.281341112455564)"/>
    <s v="[674924, 674377, 674385, 674393]"/>
    <s v="[664464, 664465, 664472, 595550]"/>
    <s v="0.006470033196513819"/>
    <s v="[623449, 664464, 664465, 664472]"/>
    <s v="[0.036, 0.014, 0.003, 0.005]"/>
    <s v="342.710593247018"/>
    <s v="[-0.036, 0.014, 0.003, -0.005]"/>
  </r>
  <r>
    <x v="1659"/>
    <x v="2221"/>
    <x v="0"/>
    <n v="0"/>
    <m/>
    <n v="1196040"/>
    <n v="595726"/>
    <s v="#FIELD!"/>
    <n v="1122573"/>
    <s v="0.027"/>
    <s v="177.08925751822454"/>
    <s v="#FIELD!"/>
  </r>
  <r>
    <x v="1660"/>
    <x v="2222"/>
    <x v="0"/>
    <n v="0"/>
    <m/>
    <n v="1196048"/>
    <n v="932344"/>
    <s v="0.012"/>
    <n v="595737"/>
    <s v="0.012"/>
    <s v="665.8486147153114"/>
    <s v="0.012"/>
  </r>
  <r>
    <x v="1661"/>
    <x v="2101"/>
    <x v="0"/>
    <s v="[0, 0, 0, 0, 0, 0, 1, 1, 1, 1, 0, 0, 0, 0, 0]"/>
    <s v="LINESTRING (10.374494861763505 63.380132231988746, 10.374495111932289 63.38014957738327, 10.374629700710521 63.38108957335617, 10.37560023047646 63.383234492588905, 10.37605618793195 63.38397760153904, 10.381417801125458 63.38983588245385, 10.384528736240497 63.39191277308578, 10.385173802594373 63.392316005325796, 10.388727363587833 63.39450436711906, 10.389253441221587 63.394832232526674, 10.389358047746597 63.39489798527492, 10.39006576919745 63.395345364602406, 10.390370997146473 63.39554949159462, 10.391018865242652 63.39601687152573, 10.391023952760603 63.396020650845266, 10.391959206353187 63.39677961651198)"/>
    <s v="[627247, 627255, 627263, 627271, 627279, 627287, 627295, 627303, 627311, 627319, 627327, 627335, 627343, 627351, 627359]"/>
    <s v="[623604, 623610, 623617, 623627, 623634, 623640, 623648, 623654, 623659, 623666, 623672, 623680, 623685, 623693, 621785]"/>
    <s v="#FIELD!"/>
    <s v="[596812, 623604, 623610, 623617, 623627, 623634, 623640, 623648, 623654, 623659, 623666, 623672, 623680, 623685, 623693]"/>
    <s v="[0.081, 0.057, 0.085, 0.076, 0.048, 0.0, 0.109, 0.043, 0.06, 0.079, 0.093, 0.104, 0.071, 0.0, 0.028]"/>
    <s v="2081.883920810185"/>
    <s v="[-0.081, -0.057, -0.085, -0.076, -0.048, 0.0, -0.109, -0.043, 0.06, 0.079, 0.093, 0.104, 0.071, 0.0, 0.028]"/>
  </r>
  <r>
    <x v="1661"/>
    <x v="2223"/>
    <x v="0"/>
    <n v="0"/>
    <s v="LINESTRING (10.37741946128543 63.374655457962874, 10.377387601112645 63.37468904503985, 10.374494861763505 63.380132231988746)"/>
    <s v="[627231, 627239]"/>
    <s v="[623592, 596812]"/>
    <s v="#FIELD!"/>
    <s v="[622986, 623592]"/>
    <s v="[0.058, 0.041]"/>
    <s v="633.0654653499985"/>
    <s v="[-0.058, -0.041]"/>
  </r>
  <r>
    <x v="1662"/>
    <x v="150"/>
    <x v="0"/>
    <n v="0"/>
    <m/>
    <n v="592963"/>
    <n v="597181"/>
    <s v="0.029"/>
    <n v="597087"/>
    <s v="0.029"/>
    <s v="21.011250415008348"/>
    <s v="0.029"/>
  </r>
  <r>
    <x v="1662"/>
    <x v="2224"/>
    <x v="0"/>
    <n v="0"/>
    <s v="LINESTRING (10.274261519685538 60.12975077905162, 10.274314578438487 60.12972407390356, 10.274711139278411 60.1296644997288, 10.275113622662223 60.12960899481215, 10.2751541696688 60.12961227046945)"/>
    <s v="[592867, 592875, 592883, 1411906]"/>
    <s v="[597088, 597096, 597105, 1291070]"/>
    <s v="#FIELD!"/>
    <s v="[597087, 597088, 597096, 597105]"/>
    <s v="[0.039, 0.025, 0.015, 0.272]"/>
    <s v="53.03135950658215"/>
    <s v="[-0.039, -0.025, 0.015, -0.272]"/>
  </r>
  <r>
    <x v="1662"/>
    <x v="2225"/>
    <x v="0"/>
    <n v="0"/>
    <s v="LINESTRING (10.274628856598161 60.130499793639075, 10.274671164592295 60.13037123660701, 10.274261519685538 60.12975077905162)"/>
    <s v="[1411951, 592955]"/>
    <s v="[597174, 597087]"/>
    <s v="#FIELD!"/>
    <s v="[1291096, 597174]"/>
    <s v="[0.004, 0.016]"/>
    <s v="117.46435899560792"/>
    <s v="[-0.004, -0.016]"/>
  </r>
  <r>
    <x v="1663"/>
    <x v="345"/>
    <x v="0"/>
    <n v="0"/>
    <s v="LINESTRING (10.255339852925545 60.14701371977753, 10.255278009359403 60.14703661307891, 10.255183783084819 60.14707151217817, 10.254445602627813 60.147349977588135, 10.253761373562446 60.14760478646973, 10.253687278880943 60.14763292383359, 10.253637334767264 60.147651476501174, 10.252589649032204 60.14805944156845, 10.2525276597972 60.148084064413645, 10.252470453191286 60.14810580080793, 10.251825727118426 60.148352556699315)"/>
    <s v="[592987, 592995, 593003, 593011, 593019, 593027, 676076, 593035, 593043, 593051]"/>
    <s v="[597202, 597207, 597213, 597220, 597227, 597231, 597237, 597238, 597246, 597252]"/>
    <s v="#FIELD!"/>
    <s v="[597195, 597202, 597207, 597213, 597220, 597227, 597231, 597237, 597238, 597246]"/>
    <s v="[0.038, 0.041, 0.044, 0.04, 0.035, 0.038, 0.043, 0.062, 0.075, 0.083]"/>
    <s v="248.54086238304177"/>
    <s v="[-0.038, -0.041, -0.044, -0.04, -0.035, -0.038, -0.043, -0.062, -0.075, -0.083]"/>
  </r>
  <r>
    <x v="1663"/>
    <x v="2226"/>
    <x v="0"/>
    <n v="0"/>
    <s v="LINESTRING (10.255339852925545 60.14701371977753, 10.255361141885887 60.14697022122899, 10.252519040284238 60.14705869551026, 10.25215351160174 60.14706663279989)"/>
    <s v="[593171, 593179, 593187]"/>
    <s v="[597351, 597358, 597364]"/>
    <s v="#FIELD!"/>
    <s v="[597195, 597351, 597358]"/>
    <s v="[0.24, 0.048, 0.075]"/>
    <s v="262.3130838426866"/>
    <s v="[0.24, -0.048, -0.075]"/>
  </r>
  <r>
    <x v="1663"/>
    <x v="2227"/>
    <x v="0"/>
    <n v="0"/>
    <s v="LINESTRING (10.258334075067502 60.145452446230564, 10.258202250977227 60.14557133067852, 10.255939043024433 60.14659991122823, 10.255339852925545 60.14701371977753)"/>
    <s v="[675926, 592971, 592979]"/>
    <s v="[597187, 597188, 597195]"/>
    <s v="0.006689549832135489"/>
    <s v="[665872, 597187, 597188]"/>
    <s v="[0.214, 0.002, 0.02]"/>
    <s v="249.54615499802222"/>
    <s v="[0.214, -0.002, -0.02]"/>
  </r>
  <r>
    <x v="1664"/>
    <x v="162"/>
    <x v="0"/>
    <n v="0"/>
    <s v="LINESTRING (10.254709153825432 60.14611457857781, 10.251677131813283 60.14655903319011, 10.250548224534604 60.146513007972)"/>
    <s v="[593067, 593075]"/>
    <s v="[597267, 597274]"/>
    <s v="#FIELD!"/>
    <s v="[597259, 597267]"/>
    <s v="[0.033, 0.026]"/>
    <s v="242.5795656764395"/>
    <s v="[-0.033, -0.026]"/>
  </r>
  <r>
    <x v="1664"/>
    <x v="2228"/>
    <x v="0"/>
    <n v="0"/>
    <s v="LINESTRING (10.254709153825432 60.14611457857781, 10.25476279633479 60.14608538274416, 10.258202891921647 60.145449863184915, 10.258520486241961 60.14536229673448)"/>
    <s v="[593115, 593123, 593131]"/>
    <s v="[597309, 597316, 597321]"/>
    <s v="0.0055344739237908145"/>
    <s v="[597259, 597309, 597316]"/>
    <s v="[0.021, 0.007, 0.014]"/>
    <s v="246.87053006129236"/>
    <s v="[0.021, 0.007, -0.014]"/>
  </r>
  <r>
    <x v="1665"/>
    <x v="343"/>
    <x v="0"/>
    <s v="[0, 1, 0, 0]"/>
    <s v="LINESTRING (10.249851551868604 60.146951030299746, 10.249873994557985 60.147025404303186, 10.250027569134886 60.147496910456226, 10.250199223675024 60.14803606734571, 10.250489627723123 60.14841394332043)"/>
    <s v="[593083, 593091, 593099, 593107]"/>
    <s v="[597283, 597291, 597297, 597304]"/>
    <s v="#FIELD!"/>
    <s v="[597282, 597283, 597291, 597297]"/>
    <s v="[0.021, 0.026, 0.077, 0.05]"/>
    <s v="168.01131280806516"/>
    <s v="[-0.021, -0.026, -0.077, -0.05]"/>
  </r>
  <r>
    <x v="1666"/>
    <x v="2227"/>
    <x v="0"/>
    <n v="0"/>
    <m/>
    <n v="1407514"/>
    <n v="665872"/>
    <s v="#FIELD!"/>
    <n v="597321"/>
    <s v="0.183"/>
    <s v="14.433174460129793"/>
    <s v="#FIELD!"/>
  </r>
  <r>
    <x v="1666"/>
    <x v="2229"/>
    <x v="0"/>
    <s v="[0, 0, 0, 0, 0, 0, 0, 0, 0, 0, 0, 0, 0, 1, 0, 0, 0]"/>
    <s v="LINESTRING (10.269847114844088 60.136694672599816, 10.269847114844088 60.136694672599816, 10.268377179976786 60.13734432391894, 10.268128447469042 60.13744598906775, 10.267023428428772 60.13789405366039, 10.26590533054385 60.1383496914005, 10.265466762493393 60.13853215932668, 10.26398103946574 60.13933387441023, 10.261868372759379 60.14204795842296, 10.261808519650359 60.14213985149505, 10.261590890208522 60.142470903834074, 10.26023035724845 60.144204335141225, 10.259477956380508 60.14480089679315, 10.259381368177648 60.14486700622007, 10.259190773431738 60.14499032285594, 10.258854534015413 60.14519079719416, 10.258752081637898 60.145243896528385, 10.258520486241961 60.14536229673448)"/>
    <s v="[1407378, 1407386, 1407394, 1407402, 1407410, 1407418, 1407426, 1407434, 1407442, 1407450, 1407458, 1407466, 1407474, 1407482, 1407490, 1407498, 1407506]"/>
    <s v="[1287675, 1287685, 1287691, 1287700, 1287708, 1287713, 992068, 991913, 1024414, 1287728, 1287732, 1287741, 1287745, 1287750, 1287756, 1287762, 597321]"/>
    <s v="0.00241885119786474"/>
    <s v="[1287674, 1287675, 1287685, 1287691, 1287700, 1287708, 1287713, 992068, 991913, 1024414, 1287728, 1287732, 1287741, 1287745, 1287750, 1287756, 1287762]"/>
    <s v="[0.0, 0.009, 0.005, 0.007, 0.011, 0.013, 0.011, 0.006, 0.002, 0.0, 0.009, 0.039, 0.065, 0.057, 0.051, 0.043, 0.04]"/>
    <s v="1197.2044139843906"/>
    <s v="[0.0, -0.009, -0.005, -0.007, -0.011, -0.013, -0.011, -0.006, 0.002, 0.0, 0.009, 0.039, 0.065, 0.057, 0.051, 0.043, 0.04]"/>
  </r>
  <r>
    <x v="1667"/>
    <x v="2230"/>
    <x v="0"/>
    <s v="[0, 0, 0, 0, 0, 0, 0, 1, 1, 1, 0, 0, 0, 0, 0]"/>
    <s v="LINESTRING (10.25215351160174 60.14706663279989, 10.251569601595929 60.14713732386912, 10.250602664198274 60.147226901953154, 10.250330743316372 60.14724568100958, 10.248208008306744 60.147292826423765, 10.24157979480425 60.14657146738031, 10.239674953668914 60.146081263321165, 10.233350697730362 60.14556804254484, 10.232682830812173 60.14565390026048, 10.231025794624967 60.14599986484796, 10.230284745443663 60.14622852563691, 10.228384501407426 60.14712471987427, 10.224816676785226 60.149188088202564, 10.223706254000161 60.149575640892884, 10.22320741936685 60.149738898760816, 10.223152401537572 60.14975683429197)"/>
    <s v="[1407562, 1407578, 1407586, 1407594, 1407602, 1407610, 1407618, 1407626, 1407627, 1407634, 1407642, 1407650, 1407658, 1716805, 1716813]"/>
    <s v="[1287814, 1287831, 1287837, 1287843, 1287851, 1287855, 1287860, 1287867, 1287868, 1287875, 1287880, 1287888, 1287893, 1530695, 1530672]"/>
    <s v="#FIELD!"/>
    <s v="[597364, 1287814, 1287831, 1287837, 1287843, 1287851, 1287855, 1287860, 1287867, 1287868, 1287875, 1287880, 1287888, 1287893, 1530695]"/>
    <s v="[0.101, 0.031, 0.03, 0.1, 0.063, 0.003, 0.025, 0.018, 0.032, 0.055, 0.07, 0.044, 0.012, 0.036, 0.046]"/>
    <s v="1834.277379641681"/>
    <s v="[0.101, -0.031, -0.03, -0.1, -0.063, 0.003, -0.025, 0.018, 0.032, 0.055, 0.07, 0.044, -0.012, -0.036, -0.046]"/>
  </r>
  <r>
    <x v="1667"/>
    <x v="1364"/>
    <x v="0"/>
    <n v="0"/>
    <s v="LINESTRING (10.253506560345755 60.14685912740735, 10.253118932375125 60.146926538040574, 10.252513564113242 60.147017806957976, 10.252501219395446 60.14701959428193, 10.25215351160174 60.14706663279989)"/>
    <s v="[1407530, 1407538, 1407546, 1407554]"/>
    <s v="[1287789, 1287796, 1287801, 597364]"/>
    <s v="#FIELD!"/>
    <s v="[1287788, 1287789, 1287796, 1287801]"/>
    <s v="[0.048, 0.038, 0.022, 0.257]"/>
    <s v="78.70306182332017"/>
    <s v="[-0.048, -0.038, -0.022, -0.257]"/>
  </r>
  <r>
    <x v="1668"/>
    <x v="2231"/>
    <x v="0"/>
    <n v="0"/>
    <m/>
    <n v="593267"/>
    <n v="597421"/>
    <s v="0.025"/>
    <n v="597416"/>
    <s v="0.025"/>
    <s v="70.68021670880736"/>
    <s v="0.025"/>
  </r>
  <r>
    <x v="1668"/>
    <x v="2232"/>
    <x v="0"/>
    <n v="0"/>
    <s v="LINESTRING (10.219180330294929 60.17348584076155, 10.219091078603151 60.17348800238376, 10.218876431331 60.17358826248433, 10.218876755795211 60.173611570952964)"/>
    <s v="[593443, 593451, 1412558]"/>
    <s v="[597528, 597533, 634091]"/>
    <s v="#FIELD!"/>
    <s v="[597416, 597528, 597533]"/>
    <s v="[0.035, 0.023, 0.03]"/>
    <s v="26.838084544512913"/>
    <s v="[-0.035, -0.023, -0.03]"/>
  </r>
  <r>
    <x v="1668"/>
    <x v="2233"/>
    <x v="0"/>
    <n v="0"/>
    <s v="LINESTRING (10.216521477818574 60.17186746808338, 10.217060512688148 60.17222258103867, 10.219180330294929 60.17348584076155)"/>
    <s v="[1412246, 593259]"/>
    <s v="[597415, 597416]"/>
    <s v="0.027735194273937724"/>
    <s v="[634066, 597415]"/>
    <s v="[0.023, 0.029]"/>
    <s v="236.9666474482394"/>
    <s v="[0.023, 0.029]"/>
  </r>
  <r>
    <x v="1669"/>
    <x v="2234"/>
    <x v="0"/>
    <n v="0"/>
    <s v="LINESTRING (10.220343411587333 60.173743350907785, 10.22104430129134 60.17402631847487, 10.221061755919509 60.174055121089225)"/>
    <s v="[1412286, 1412294]"/>
    <s v="[1291294, 452988]"/>
    <s v="0.06534602146083368"/>
    <s v="[597421, 1291294]"/>
    <s v="[0.071, 0.022]"/>
    <s v="55.16296776125373"/>
    <s v="[0.071, -0.022]"/>
  </r>
  <r>
    <x v="1669"/>
    <x v="2235"/>
    <x v="0"/>
    <n v="0"/>
    <s v="LINESTRING (10.220343411587333 60.173743350907785, 10.220774972978775 60.174062433249055, 10.220786581413876 60.17409096168544)"/>
    <s v="[1593031, 1593039]"/>
    <s v="[1432262, 453008]"/>
    <s v="#FIELD!"/>
    <s v="[597421, 1432262]"/>
    <s v="[0.007, 0.015]"/>
    <s v="47.34478608284146"/>
    <s v="[-0.007, 0.015]"/>
  </r>
  <r>
    <x v="1670"/>
    <x v="2236"/>
    <x v="0"/>
    <n v="0"/>
    <m/>
    <n v="593347"/>
    <n v="597468"/>
    <s v="#FIELD!"/>
    <n v="597465"/>
    <s v="0.005"/>
    <s v="76.57230791070536"/>
    <s v="#FIELD!"/>
  </r>
  <r>
    <x v="1670"/>
    <x v="2237"/>
    <x v="0"/>
    <n v="0"/>
    <s v="LINESTRING (10.219667690506112 60.17503490633419, 10.219797277707615 60.17500029137228, 10.218532228478926 60.173478998069726, 10.218063708114954 60.17310087816643)"/>
    <s v="[593395, 593403, 1412494]"/>
    <s v="[597501, 597504, 1291443]"/>
    <s v="#FIELD!"/>
    <s v="[597465, 597501, 597504]"/>
    <s v="[0.011, 0.001, 0.002]"/>
    <s v="269.6777253510427"/>
    <s v="[0.011, -0.001, 0.002]"/>
  </r>
  <r>
    <x v="1670"/>
    <x v="2238"/>
    <x v="0"/>
    <n v="0"/>
    <s v="LINESTRING (10.222638876575633 60.17587746441773, 10.221943172454083 60.17557451849373, 10.219667690506112 60.17503490633419)"/>
    <s v="[1412358, 593339]"/>
    <s v="[597464, 597465]"/>
    <s v="0.008505458112336403"/>
    <s v="[1291336, 597464]"/>
    <s v="[0.013, 0.007]"/>
    <s v="204.91883620219159"/>
    <s v="[0.013, 0.007]"/>
  </r>
  <r>
    <x v="1671"/>
    <x v="2239"/>
    <x v="0"/>
    <n v="0"/>
    <s v="LINESTRING (10.218529956611425 60.17472941142482, 10.218234014096096 60.17445535993142, 10.218205501674543 60.17442402530935)"/>
    <s v="[1412478, 1412486]"/>
    <s v="[1291432, 453052]"/>
    <s v="0.08544462806763312"/>
    <s v="[597468, 1291432]"/>
    <s v="[0.096, 0.011]"/>
    <s v="38.87435554837765"/>
    <s v="[0.096, -0.011]"/>
  </r>
  <r>
    <x v="1671"/>
    <x v="2240"/>
    <x v="0"/>
    <n v="0"/>
    <s v="LINESTRING (10.218529956611425 60.17472941142482, 10.218452352233923 60.17442513336067, 10.218442017614265 60.17439134374479)"/>
    <s v="[1593047, 1593055]"/>
    <s v="[1432274, 453036]"/>
    <s v="0.06732369291159941"/>
    <s v="[597468, 1432274]"/>
    <s v="[0.077, 0.02]"/>
    <s v="38.19217148043626"/>
    <s v="[0.077, -0.02]"/>
  </r>
  <r>
    <x v="1672"/>
    <x v="2241"/>
    <x v="0"/>
    <n v="0"/>
    <m/>
    <n v="594137"/>
    <n v="598072"/>
    <s v="0.005"/>
    <n v="598071"/>
    <s v="0.005"/>
    <s v="27.452336028019108"/>
    <s v="0.005"/>
  </r>
  <r>
    <x v="1672"/>
    <x v="2242"/>
    <x v="0"/>
    <n v="0"/>
    <s v="LINESTRING (15.401194510610619 67.2591764880202, 15.401257927170745 67.2592259353185, 15.40124899990719 67.25928830124566)"/>
    <s v="[594191, 594205]"/>
    <s v="[598112, 598071]"/>
    <s v="0.07006170175978296"/>
    <s v="[598097, 598112]"/>
    <s v="[0.069, 0.071]"/>
    <s v="13.117223153438776"/>
    <s v="[0.069, 0.071]"/>
  </r>
  <r>
    <x v="1672"/>
    <x v="2243"/>
    <x v="0"/>
    <n v="0"/>
    <s v="LINESTRING (15.401967296469245 67.25916222086268, 15.40133411090189 67.25926111480426, 15.40124899990719 67.25928830124566)"/>
    <s v="[594305, 594306]"/>
    <s v="[598222, 598071]"/>
    <s v="0.027478495589386455"/>
    <s v="[598221, 598222]"/>
    <s v="[0.024, 0.049]"/>
    <s v="34.21617756953352"/>
    <s v="[0.024, 0.049]"/>
  </r>
  <r>
    <x v="1673"/>
    <x v="2244"/>
    <x v="0"/>
    <n v="0"/>
    <s v="LINESTRING (15.400730241979668 67.25931946802392, 15.400672210300012 67.25925924271603, 15.400696339753482 67.25920482245324)"/>
    <s v="[594138, 594140]"/>
    <s v="[598073, 598075]"/>
    <s v="#FIELD!"/>
    <s v="[598072, 598073]"/>
    <s v="[0.07, 0.078]"/>
    <s v="13.320993016820594"/>
    <s v="[-0.07, -0.078]"/>
  </r>
  <r>
    <x v="1673"/>
    <x v="2245"/>
    <x v="0"/>
    <n v="0"/>
    <s v="LINESTRING (15.400730241979668 67.25931946802392, 15.40061215896599 67.25930176828777, 15.399909558065817 67.25927531730214)"/>
    <s v="[594363, 594364]"/>
    <s v="[598269, 598270]"/>
    <s v="#FIELD!"/>
    <s v="[598072, 598269]"/>
    <s v="[0.034, 0.01]"/>
    <s v="35.91439127620938"/>
    <s v="[-0.034, -0.01]"/>
  </r>
  <r>
    <x v="1674"/>
    <x v="2242"/>
    <x v="0"/>
    <n v="0"/>
    <s v="LINESTRING (15.400696339753482 67.25920482245324, 15.400791081204677 67.25915874771444, 15.400932357698634 67.25913686623856, 15.401078526189243 67.25914421560897, 15.401194510610619 67.2591764880202)"/>
    <s v="[594141, 594151, 594166, 594174]"/>
    <s v="[598076, 598082, 598090, 598097]"/>
    <s v="#FIELD!"/>
    <s v="[598075, 598076, 598082, 598090]"/>
    <s v="[0.047, 0.021, 0.004, 0.056]"/>
    <s v="25.649488094806685"/>
    <s v="[-0.047, -0.021, 0.004, 0.056]"/>
  </r>
  <r>
    <x v="1674"/>
    <x v="2245"/>
    <x v="0"/>
    <n v="0"/>
    <s v="LINESTRING (15.400696339753482 67.25920482245324, 15.400607605659678 67.25922050869632, 15.399909558065817 67.25927531730214)"/>
    <s v="[594404, 594412]"/>
    <s v="[598305, 598270]"/>
    <s v="0.013891147619403799"/>
    <s v="[598075, 598305]"/>
    <s v="[0.035, 0.011]"/>
    <s v="34.93425167908169"/>
    <s v="[0.035, 0.011]"/>
  </r>
  <r>
    <x v="1675"/>
    <x v="2243"/>
    <x v="0"/>
    <n v="0"/>
    <s v="LINESTRING (15.401967296469245 67.25916222086268, 15.401295314968799 67.25918121460576, 15.401194510610619 67.2591764880202)"/>
    <s v="[594333, 594355]"/>
    <s v="[598243, 598097]"/>
    <s v="0.0012160343836909982"/>
    <s v="[598221, 598243]"/>
    <s v="[0.002, 0.004]"/>
    <s v="33.52419348377618"/>
    <s v="[0.002, -0.004]"/>
  </r>
  <r>
    <x v="1676"/>
    <x v="2246"/>
    <x v="0"/>
    <s v="[0, 0, 1, 0, 0, 0, 0, 0, 0, 0, 0, 0, 0, 0, 0, 0, 0, 0, 0, 0, 0, 0, 0, 0, 0, 0, 0, 0, 0, 0, 0, 0, 0, 0, 0, 0, 0, 0, 0, 0, 0, 0, 0, 0, 0, 0, 0]"/>
    <s v="LINESTRING (15.426554780517543 67.24766129146148, 15.426645895748958 67.24788377376423, 15.426662078351322 67.24792347830663, 15.426897921312005 67.24849569685345, 15.429059743497971 67.2512375281381, 15.430197904384983 67.25220524232931, 15.43043263741684 67.25239376151427, 15.431690432561036 67.25305828790698, 15.431954563412166 67.2531598212127, 15.43275679731322 67.25437107764574, 15.432250946015904 67.25476142121452, 15.43212795561801 67.25483312033029, 15.432016881690197 67.25489857980818, 15.431253453297808 67.25531620122496, 15.429457338530739 67.2563188311869, 15.429317834474423 67.25640126490978, 15.429272468352183 67.25642958894537, 15.43278404540619 67.25913498624222, 15.432818349661428 67.25920423441347, 15.43290185893704 67.25942221252691, 15.43292061333897 67.25948786064947, 15.433124384728005 67.26017486884203, 15.433134584803257 67.26020958340831, 15.432387336439023 67.26146666300305, 15.42892938954642 67.26128079759597, 15.42667400069293 67.26135772635281, 15.42658314943292 67.2613685796488, 15.425713329286229 67.26150474341813, 15.423452008664178 67.26206131244243, 15.421510907618607 67.26218930433994, 15.421071229306955 67.26216810394966, 15.420088467500861 67.26205918613576, 15.42002947730604 67.26205075587127, 15.416154678781824 67.26148943655676, 15.416102706643535 67.26148179399294, 15.413949593630887 67.26116281361895, 15.411666229844384 67.2607954745599, 15.410739169853487 67.26062464114867, 15.410686133465388 67.26061420082416, 15.409162127253833 67.26030753079277, 15.409114339628294 67.26029756097194, 15.405955046421939 67.25960269387848, 15.405473411478447 67.2594955765846, 15.404339228866366 67.25927831465062, 15.403146440518292 67.25916613552558, 15.402905046725074 67.25915780707788, 15.402375576666062 67.25914977892047, 15.401967296469245 67.25916222086268)"/>
    <s v="[1431771, 1431779, 1431787, 1431795, 478613, 478621, 478629, 478637, 478645, 478653, 478661, 478669, 478677, 478685, 478693, 478701, 478709, 478717, 478725, 478733, 478741, 478749, 478757, 478765, 478773, 478781, 478789, 478797, 478805, 478813, 478821, 478829, 478837, 478845, 478853, 478861, 478869, 478877, 478885, 478893, 478901, 478909, 478917, 478925, 478933, 594314, 594325]"/>
    <s v="[1303460, 1303465, 1303469, 411030, 477376, 405720, 477391, 411092, 477407, 477416, 477426, 477432, 477441, 477450, 477458, 435889, 405429, 477485, 435942, 477504, 477512, 477524, 435591, 411250, 477550, 435528, 477565, 435461, 411329, 477592, 477599, 477608, 477619, 477629, 434325, 477648, 477656, 477667, 411358, 477685, 477695, 477706, 477717, 436093, 477737, 598226, 598221]"/>
    <s v="0.0008799276917589108"/>
    <s v="[1303459, 1303460, 1303465, 1303469, 411030, 477376, 405720, 477391, 411092, 477407, 477416, 477426, 477432, 477441, 477450, 477458, 435889, 405429, 477485, 435942, 477504, 477512, 477524, 435591, 411250, 477550, 435528, 477565, 435461, 411329, 477592, 477599, 477608, 477619, 477629, 434325, 477648, 477656, 477667, 411358, 477685, 477695, 477706, 477717, 436093, 477737, 598226]"/>
    <s v="[0.007, 0.006, 0.006, 0.007, 0.02, 0.021, 0.02, 0.033, 0.043, 0.005, 0.025, 0.026, 0.044, 0.049, 0.024, 0.025, 0.026, 0.004, 0.012, 0.017, 0.015, 0.019, 0.014, 0.032, 0.004, 0.025, 0.033, 0.046, 0.01, 0.01, 0.024, 0.035, 0.013, 0.012, 0.006, 0.014, 0.013, 0.002, 0.0, 0.003, 0.006, 0.013, 0.02, 0.008, 0.0, 0.015, 0.001]"/>
    <s v="3149.364443566438"/>
    <s v="[-0.007, -0.006, -0.006, -0.007, 0.02, 0.021, 0.02, 0.033, 0.043, -0.005, -0.025, -0.026, -0.044, -0.049, -0.024, -0.025, 0.026, -0.004, -0.012, -0.017, -0.015, -0.019, -0.014, -0.032, 0.004, 0.025, 0.033, 0.046, 0.01, -0.01, -0.024, -0.035, -0.013, -0.012, -0.006, 0.014, 0.013, 0.002, -0.0, -0.003, -0.006, -0.013, -0.02, -0.008, 0.0, 0.015, 0.001]"/>
  </r>
  <r>
    <x v="1677"/>
    <x v="1553"/>
    <x v="0"/>
    <n v="0"/>
    <s v="LINESTRING (15.399909558065817 67.25927531730214, 15.398321461062594 67.25925633715391, 15.396602542022627 67.2591454857139, 15.394948031775918 67.25903848513138, 15.393094467972466 67.25891826635404)"/>
    <s v="[594372, 594380, 594388, 594396]"/>
    <s v="[598190, 598282, 598290, 598298]"/>
    <s v="0.0010247990194697442"/>
    <s v="[598270, 598190, 598282, 598290]"/>
    <s v="[0.007, 0.006, 0.007, 0.009]"/>
    <s v="297.25938983451084"/>
    <s v="[-0.007, -0.006, 0.007, 0.009]"/>
  </r>
  <r>
    <x v="1678"/>
    <x v="2247"/>
    <x v="0"/>
    <n v="0"/>
    <m/>
    <n v="1027702"/>
    <n v="599339"/>
    <s v="0.055"/>
    <n v="599379"/>
    <s v="0.055"/>
    <s v="50.46912934591554"/>
    <s v="0.055"/>
  </r>
  <r>
    <x v="1679"/>
    <x v="197"/>
    <x v="0"/>
    <n v="0"/>
    <s v="LINESTRING (11.417151883585284 63.96890379627875, 11.417222637685622 63.96889590477223, 11.417509289438275 63.968901580697604, 11.417649350762265 63.96951233007194, 11.417820275238835 63.96979019812751, 11.418773098899297 63.97113895943962, 11.42387002897401 63.97553667889792, 11.424338549711237 63.97603015639429, 11.425267252429505 63.97682090549282, 11.425796895127704 63.978070995008665, 11.429102032085257 63.98124061425248, 11.4315954137124 63.98191980330764, 11.433276582662009 63.982496028632, 11.434379694755624 63.98292298536204, 11.435623378458805 63.98340901374159)"/>
    <s v="[857440, 857448, 857456, 857464, 635146, 596386, 857408, 587506, 587514, 587562, 596394, 596402, 596410, 596418]"/>
    <s v="[831156, 831164, 560007, 630269, 599974, 599975, 592908, 592909, 592916, 592965, 559771, 559752, 592979, 497797]"/>
    <s v="0.006264428707969695"/>
    <s v="[831001, 831156, 831164, 560007, 630269, 599974, 599975, 592908, 592909, 592916, 592965, 559771, 559752, 592979]"/>
    <s v="[0.032, 0.033, 0.007, 0.024, 0.013, 0.001, 0.006, 0.002, 0.023, 0.014, 0.05, 0.026, 0.001, 0.022]"/>
    <s v="1932.6785676797774"/>
    <s v="[0.032, 0.033, -0.007, -0.024, 0.013, 0.001, -0.006, 0.002, -0.023, 0.014, 0.05, 0.026, -0.001, -0.022]"/>
  </r>
  <r>
    <x v="1680"/>
    <x v="2248"/>
    <x v="0"/>
    <n v="0"/>
    <s v="LINESTRING (11.495371312753292 64.01105121361178, 11.492628703538964 64.01292137268969, 11.492050410266508 64.01316069877163)"/>
    <s v="[596546, 596554]"/>
    <s v="[600106, 600113]"/>
    <s v="#FIELD!"/>
    <s v="[600105, 600106]"/>
    <s v="[0.008, 0.017]"/>
    <s v="286.9156153737796"/>
    <s v="[-0.008, -0.017]"/>
  </r>
  <r>
    <x v="1680"/>
    <x v="2249"/>
    <x v="0"/>
    <n v="0"/>
    <s v="LINESTRING (11.495897268886269 64.01081798776325, 11.495799335058072 64.01085565687605, 11.495371312753292 64.01105121361178)"/>
    <s v="[624688, 624696]"/>
    <s v="[621570, 600105]"/>
    <s v="#FIELD!"/>
    <s v="[601308, 621570]"/>
    <s v="[0.119, 0.001]"/>
    <s v="36.738487929966084"/>
    <s v="[-0.119, -0.001]"/>
  </r>
  <r>
    <x v="1680"/>
    <x v="2250"/>
    <x v="0"/>
    <n v="0"/>
    <s v="LINESTRING (11.4956374808431 64.01075061974312, 11.49558667259047 64.01079833042148, 11.495371312753292 64.01105121361178)"/>
    <s v="[681475, 681483]"/>
    <s v="[672476, 600105]"/>
    <s v="#FIELD!"/>
    <s v="[601321, 672476]"/>
    <s v="[0.112, 0.007]"/>
    <s v="36.175499911508304"/>
    <s v="[-0.112, 0.007]"/>
  </r>
  <r>
    <x v="1681"/>
    <x v="2251"/>
    <x v="0"/>
    <n v="0"/>
    <s v="LINESTRING (11.492050410266508 64.01316069877163, 11.491562727553385 64.01339607729697, 11.491480660396675 64.01345778329505)"/>
    <s v="[624704, 624713]"/>
    <s v="[621581, 601371]"/>
    <s v="0.011738000149130184"/>
    <s v="[600113, 621581]"/>
    <s v="[0.015, 0.131]"/>
    <s v="43.48597872288176"/>
    <s v="[-0.015, 0.131]"/>
  </r>
  <r>
    <x v="1681"/>
    <x v="2252"/>
    <x v="0"/>
    <n v="0"/>
    <s v="LINESTRING (11.492050410266508 64.01316069877163, 11.491394568609879 64.01332705413833, 11.491259617487692 64.01335900074227)"/>
    <s v="[681491, 681499]"/>
    <s v="[672492, 601432]"/>
    <s v="0.00741942239586333"/>
    <s v="[600113, 672492]"/>
    <s v="[0.018, 0.133]"/>
    <s v="44.54929787695686"/>
    <s v="[-0.018, 0.133]"/>
  </r>
  <r>
    <x v="1682"/>
    <x v="2253"/>
    <x v="0"/>
    <n v="1"/>
    <m/>
    <n v="596562"/>
    <n v="600119"/>
    <s v="#FIELD!"/>
    <n v="600118"/>
    <s v="0.005"/>
    <s v="130.3208948596228"/>
    <s v="#FIELD!"/>
  </r>
  <r>
    <x v="1682"/>
    <x v="2254"/>
    <x v="0"/>
    <s v="[0, 1]"/>
    <s v="LINESTRING (11.489728776120948 64.01600741157138, 11.489715399600994 64.01605859553975, 11.489640590483043 64.01631793535515)"/>
    <s v="[624777, 624785]"/>
    <s v="[621648, 600118]"/>
    <s v="0.02212596904749958"/>
    <s v="[601474, 621648]"/>
    <s v="[0.181, 0.009]"/>
    <s v="35.056664792527464"/>
    <s v="[0.181, -0.009]"/>
  </r>
  <r>
    <x v="1682"/>
    <x v="2255"/>
    <x v="0"/>
    <s v="[0, 1]"/>
    <s v="LINESTRING (11.48949645994488 64.01599819789264, 11.489506330731286 64.01605294502608, 11.489640590483043 64.01631793535515)"/>
    <s v="[681539, 681540]"/>
    <s v="[672545, 600118]"/>
    <s v="0.02106475695076845"/>
    <s v="[601485, 672545]"/>
    <s v="[0.166, 0.008]"/>
    <s v="36.64953879999306"/>
    <s v="[0.166, -0.008]"/>
  </r>
  <r>
    <x v="1683"/>
    <x v="2256"/>
    <x v="0"/>
    <n v="0"/>
    <s v="LINESTRING (11.489791887792153 64.01748512837527, 11.490260541935317 64.01817343765778, 11.490776367589808 64.01868916348135, 11.490860784957825 64.01874987280685)"/>
    <s v="[624793, 624801, 624809]"/>
    <s v="[621660, 621670, 621677]"/>
    <s v="0.02041661269861442"/>
    <s v="[600119, 621660, 621670]"/>
    <s v="[0.02, 0.021, 0.02]"/>
    <s v="150.92398203344177"/>
    <s v="[0.02, 0.021, 0.02]"/>
  </r>
  <r>
    <x v="1683"/>
    <x v="2257"/>
    <x v="169"/>
    <n v="0"/>
    <s v="LINESTRING (11.489791887792153 64.01748512837527, 11.490127524419758 64.01818442490486, 11.490519630453285 64.0187067098185, 11.490537164716626 64.01878247693786)"/>
    <s v="[681547, 681555, 681556]"/>
    <s v="[672552, 672562, 634258]"/>
    <s v="0.03427212865664217"/>
    <s v="[600119, 672552, 672562]"/>
    <s v="[0.02, 0.022, 0.258]"/>
    <s v="150.1731479160958"/>
    <s v="[0.02, 0.022, 0.258]"/>
  </r>
  <r>
    <x v="1684"/>
    <x v="2258"/>
    <x v="0"/>
    <n v="0"/>
    <m/>
    <n v="596570"/>
    <n v="600128"/>
    <s v="0.03"/>
    <n v="600127"/>
    <s v="0.03"/>
    <s v="126.84782261029034"/>
    <s v="0.03"/>
  </r>
  <r>
    <x v="1684"/>
    <x v="2259"/>
    <x v="0"/>
    <n v="0"/>
    <s v="LINESTRING (11.490969909390714 64.01897352736125, 11.490973852241792 64.01904010716162, 11.491043064950311 64.01931635250388)"/>
    <s v="[624817, 624825]"/>
    <s v="[621684, 600127]"/>
    <s v="0.025192127125403786"/>
    <s v="[621683, 621684]"/>
    <s v="[0.026, 0.025]"/>
    <s v="38.6429836226827"/>
    <s v="[0.026, 0.025]"/>
  </r>
  <r>
    <x v="1684"/>
    <x v="2260"/>
    <x v="0"/>
    <n v="0"/>
    <s v="LINESTRING (11.490695070328874 64.01900910826147, 11.490752740447123 64.01906377123007, 11.491043064950311 64.01931635250388)"/>
    <s v="[681566, 681574]"/>
    <s v="[672570, 600127]"/>
    <s v="0.022476013598446015"/>
    <s v="[634220, 672570]"/>
    <s v="[0.02, 0.023]"/>
    <s v="38.44165393094793"/>
    <s v="[0.02, 0.023]"/>
  </r>
  <r>
    <x v="1685"/>
    <x v="2261"/>
    <x v="0"/>
    <s v="[0, 1, 1, 0, 0, 0]"/>
    <s v="LINESTRING (11.491355709177665 64.0204347317793, 11.491209862702513 64.02082921397256, 11.491193176249167 64.02085441604535, 11.491171012776855 64.02089386071499, 11.491157129008165 64.02091957976403, 11.491126985031844 64.02097493150202, 11.491085850882335 64.02104992691996)"/>
    <s v="[624833, 624841, 624849, 624857, 624865, 624873]"/>
    <s v="[621701, 621708, 621716, 621725, 621733, 621744]"/>
    <s v="0.04039890450842998"/>
    <s v="[600128, 621701, 621708, 621716, 621725, 621733]"/>
    <s v="[0.041, 0.03, 0.04, 0.047, 0.036, 0.042]"/>
    <s v="70.12415238640575"/>
    <s v="[0.041, 0.03, 0.04, 0.047, 0.036, 0.042]"/>
  </r>
  <r>
    <x v="1685"/>
    <x v="2262"/>
    <x v="0"/>
    <s v="[0, 1, 0, 0]"/>
    <s v="LINESTRING (11.491355709177665 64.0204347317793, 11.49105690938797 64.02080754723136, 11.490979708196479 64.02086767292703, 11.490889457236802 64.02092406000992, 11.490761080909541 64.02097738690829)"/>
    <s v="[681580, 681588, 681596, 681604]"/>
    <s v="[672586, 672594, 672601, 634328]"/>
    <s v="0.08452862154530791"/>
    <s v="[600128, 672586, 672594, 672601]"/>
    <s v="[0.038, 0.033, 0.027, 0.419]"/>
    <s v="68.14671583795082"/>
    <s v="[0.038, 0.033, 0.027, 0.419]"/>
  </r>
  <r>
    <x v="1686"/>
    <x v="2095"/>
    <x v="0"/>
    <n v="0"/>
    <s v="LINESTRING (9.709028173789296 62.59736968886913, 9.709555339277285 62.59749405845304, 9.710167385393774 62.59758782737025, 9.71024004819746 62.597597904539704, 9.710394879665849 62.59761861683318, 9.71147156953128 62.59770727066027)"/>
    <s v="[1853624, 1853634, 1853649, 1853657, 1853665]"/>
    <s v="[1623251, 1623263, 1623277, 1623221, 600419]"/>
    <s v="0.003969059261886184"/>
    <s v="[600412, 1623251, 1623263, 1623277, 1623221]"/>
    <s v="[0.001, 0.004, 0.003, 0.002, 0.007]"/>
    <s v="132.51132364435836"/>
    <s v="[-0.001, 0.004, 0.003, 0.002, 0.007]"/>
  </r>
  <r>
    <x v="1686"/>
    <x v="2095"/>
    <x v="0"/>
    <n v="0"/>
    <s v="LINESTRING (9.709028173789296 62.59736968886913, 9.709513515933924 62.5974156132057, 9.709611671678301 62.59742866319524, 9.710222097196933 62.597511698929964, 9.71037767225516 62.597533384211175, 9.71147156953128 62.59770727066027)"/>
    <s v="[1853673, 1853681, 1853691, 1853692, 1853699]"/>
    <s v="[1623310, 1623319, 1623328, 1623220, 600419]"/>
    <s v="0.004129635642201813"/>
    <s v="[600412, 1623310, 1623319, 1623328, 1623220]"/>
    <s v="[0.007, 0.002, 0.003, 0.002, 0.01]"/>
    <s v="131.56205784114206"/>
    <s v="[-0.007, 0.002, 0.003, 0.002, 0.01]"/>
  </r>
  <r>
    <x v="1686"/>
    <x v="1604"/>
    <x v="170"/>
    <n v="0"/>
    <s v="LINESTRING (9.70011955983491 62.59557217709809, 9.701291070453252 62.59598856670831, 9.70188048047622 62.59613652842675, 9.703892423015425 62.59653054334416, 9.705148937518459 62.59676892066227, 9.70768013995448 62.597191512845, 9.709028173789296 62.59736968886913)"/>
    <s v="[2133093, 2133101, 596932, 596940, 596948, 596956]"/>
    <s v="[1834711, 600394, 492880, 495518, 600405, 600412]"/>
    <s v="0.011136197850678478"/>
    <s v="[1834710, 1834711, 600394, 492880, 495518, 600405]"/>
    <s v="[0.015, 0.0, 0.013, 0.015, 0.011, 0.006]"/>
    <s v="503.3727231367561"/>
    <s v="[0.015, 0.0, 0.013, 0.015, 0.011, 0.006]"/>
  </r>
  <r>
    <x v="1687"/>
    <x v="2263"/>
    <x v="0"/>
    <n v="0"/>
    <s v="LINESTRING (11.208094055537327 60.346633166011664, 11.207800114910365 60.34602852718963, 11.20691113605209 60.34461651744988, 11.196768550721812 60.33731976936083)"/>
    <s v="[1747619, 597021, 597029]"/>
    <s v="[600463, 600464, 600471]"/>
    <s v="#FIELD!"/>
    <s v="[1547278, 600463, 600464]"/>
    <s v="[0.763, 0.051, 0.038]"/>
    <s v="1178.9671764028997"/>
    <s v="[0.763, 0.051, -0.038]"/>
  </r>
  <r>
    <x v="1688"/>
    <x v="2264"/>
    <x v="0"/>
    <n v="0"/>
    <s v="LINESTRING (10.264154929189669 59.754318089491086, 10.26413200624888 59.75433843539851, 10.26404453973601 59.754376706751344, 10.2639114139689 59.75439364862921, 10.263738599532624 59.75435936202765)"/>
    <s v="[1392983, 1392991, 1392999, 1393007]"/>
    <s v="[1277099, 1277103, 1064298, 600588]"/>
    <s v="#FIELD!"/>
    <s v="[1277098, 1277099, 1277103, 1064298]"/>
    <s v="[0.022, 0.026, 0.008, 0.149]"/>
    <s v="27.284317937059903"/>
    <s v="[0.022, 0.026, 0.008, -0.149]"/>
  </r>
  <r>
    <x v="1689"/>
    <x v="2265"/>
    <x v="0"/>
    <n v="0"/>
    <m/>
    <n v="1393319"/>
    <n v="1277249"/>
    <s v="#FIELD!"/>
    <n v="600684"/>
    <s v="0.269"/>
    <s v="3.7889312480288453"/>
    <s v="#FIELD!"/>
  </r>
  <r>
    <x v="1689"/>
    <x v="430"/>
    <x v="0"/>
    <n v="0"/>
    <s v="LINESTRING (10.256892291434829 59.76822391669085, 10.256984391559907 59.768201674449934, 10.257096423197014 59.76821022240482)"/>
    <s v="[1393344, 1393345]"/>
    <s v="[1277271, 600684]"/>
    <s v="0.02742913567455258"/>
    <s v="[1277270, 1277271]"/>
    <s v="[0.042, 0.09]"/>
    <s v="12.11010913350831"/>
    <s v="[-0.042, 0.09]"/>
  </r>
  <r>
    <x v="1690"/>
    <x v="2266"/>
    <x v="171"/>
    <s v="[0, 1, 0, 0]"/>
    <s v="LINESTRING (10.912614209794919 63.45148118787348, 10.913337209555442 63.45148119759219, 10.9142412470097 63.45147919042222, 10.914505288651277 63.451478867505415, 10.915020507327963 63.45147900289022)"/>
    <s v="[597476, 597484, 597492, 597500]"/>
    <s v="[600830, 600836, 600841, 600846]"/>
    <s v="#FIELD!"/>
    <s v="[600786, 600830, 600836, 600841]"/>
    <s v="[0.008, 0.008, 0.008, 0.006]"/>
    <s v="120.06055478164278"/>
    <s v="[-0.008, -0.008, -0.008, -0.006]"/>
  </r>
  <r>
    <x v="1690"/>
    <x v="2038"/>
    <x v="0"/>
    <n v="0"/>
    <s v="LINESTRING (10.911051050219426 63.45148589389355, 10.911712044802915 63.451484137177474, 10.912614209794919 63.45148118787348)"/>
    <s v="[597460, 597468]"/>
    <s v="[600822, 600786]"/>
    <s v="0.00722855852853759"/>
    <s v="[600817, 600822]"/>
    <s v="[0.013, 0.003]"/>
    <s v="77.99418389464086"/>
    <s v="[0.013, 0.003]"/>
  </r>
  <r>
    <x v="1691"/>
    <x v="2038"/>
    <x v="0"/>
    <s v="[0, 0, 1, 0]"/>
    <s v="LINESTRING (10.906384970136884 63.45096288773221, 10.90761636544641 63.45149163514521, 10.908045764567476 63.45149153054694, 10.909088324130613 63.4514899280744, 10.911051050219426 63.45148589389355)"/>
    <s v="[597427, 597436, 597444, 597452]"/>
    <s v="[600796, 600803, 600810, 600817]"/>
    <s v="0.020841190522815366"/>
    <s v="[600792, 600796, 600803, 600810]"/>
    <s v="[0.027, 0.02, 0.02, 0.015]"/>
    <s v="274.28193461747264"/>
    <s v="[0.027, 0.02, 0.02, 0.015]"/>
  </r>
  <r>
    <x v="1691"/>
    <x v="412"/>
    <x v="0"/>
    <n v="0"/>
    <s v="LINESTRING (10.909202114488618 63.45234764935875, 10.909101408874095 63.45229612012952, 10.908031596298152 63.45107922721897, 10.906384970136884 63.45096288773221)"/>
    <s v="[1438313, 1438291, 597419]"/>
    <s v="[1307323, 600791, 600792]"/>
    <s v="#FIELD!"/>
    <s v="[1307339, 1307323, 600791]"/>
    <s v="[0.006, 0.007, 0.021]"/>
    <s v="257.5483763116799"/>
    <s v="[-0.006, -0.007, -0.021]"/>
  </r>
  <r>
    <x v="1692"/>
    <x v="2267"/>
    <x v="0"/>
    <n v="0"/>
    <s v="LINESTRING (10.915020507327963 63.45147900289022, 10.915139118435576 63.45147394516202, 10.915432278883001 63.45145041801514, 10.915565910408812 63.45143622567425, 10.915721937241704 63.45141906010243)"/>
    <s v="[625482, 625490, 625498, 625506]"/>
    <s v="[622302, 622310, 622318, 601125]"/>
    <s v="#FIELD!"/>
    <s v="[600846, 622302, 622310, 622318]"/>
    <s v="[0.002, 0.001, 0.001, 0.048]"/>
    <s v="35.674201207722284"/>
    <s v="[-0.002, -0.001, -0.001, -0.048]"/>
  </r>
  <r>
    <x v="1692"/>
    <x v="2268"/>
    <x v="0"/>
    <n v="0"/>
    <s v="LINESTRING (10.915020507327963 63.45147900289022, 10.915134529262108 63.45148639776482, 10.915418198756011 63.45150826054718, 10.915555610521697 63.45151711478266, 10.915702094272666 63.451529949449615)"/>
    <s v="[682287, 682295, 682296, 682310]"/>
    <s v="[673386, 673396, 673397, 601174]"/>
    <s v="0.0029249739471716094"/>
    <s v="[600846, 673386, 673396, 673397]"/>
    <s v="[0.002, 0.0, 0.0, 0.012]"/>
    <s v="34.48426967195141"/>
    <s v="[0.002, -0.0, -0.0, 0.012]"/>
  </r>
  <r>
    <x v="1693"/>
    <x v="2269"/>
    <x v="0"/>
    <n v="0"/>
    <s v="LINESTRING (10.916523172753237 63.45175745766935, 10.916659818606677 63.451841360290814, 10.917266033545316 63.45218136990961)"/>
    <s v="[597508, 597516]"/>
    <s v="[538560, 545211]"/>
    <s v="0.00219269214144756"/>
    <s v="[600853, 538560]"/>
    <s v="[0.003, 0.002]"/>
    <s v="60.0675302114942"/>
    <s v="[0.003, 0.002]"/>
  </r>
  <r>
    <x v="1693"/>
    <x v="2270"/>
    <x v="0"/>
    <n v="0"/>
    <s v="LINESTRING (10.91617792673642 63.45151420463094, 10.916264143735955 63.45154601634602, 10.916434441765897 63.4516882273377, 10.916523172753237 63.45175745766935)"/>
    <s v="[625514, 625522, 625530]"/>
    <s v="[622328, 622333, 600853]"/>
    <s v="0.012485349659849501"/>
    <s v="[601157, 622328, 622333]"/>
    <s v="[0.055, 0.004, 0.003]"/>
    <s v="32.45970562803264"/>
    <s v="[0.055, 0.004, 0.003]"/>
  </r>
  <r>
    <x v="1693"/>
    <x v="2271"/>
    <x v="0"/>
    <n v="0"/>
    <s v="LINESTRING (10.915978709379486 63.45158999004672, 10.916104069413926 63.45162883519461, 10.91638575853992 63.45171272250334, 10.916523172753237 63.45175745766935)"/>
    <s v="[682311, 682319, 682327]"/>
    <s v="[673412, 673424, 600853]"/>
    <s v="0.00838194306176495"/>
    <s v="[601170, 673412, 673424]"/>
    <s v="[0.025, 0.003, 0.061]"/>
    <s v="32.96707917080217"/>
    <s v="[-0.025, -0.003, 0.061]"/>
  </r>
  <r>
    <x v="1694"/>
    <x v="2272"/>
    <x v="0"/>
    <n v="0"/>
    <s v="LINESTRING (10.008430790552469 62.8270763732946, 10.008896513589162 62.82760469000967, 10.009250934495281 62.82798596912941, 10.009335991454597 62.82809549689552, 10.009499333465047 62.828324899270655, 10.009750978849944 62.8286039896018)"/>
    <s v="[1333564, 1333572, 1333580, 1333596, 1333604]"/>
    <s v="[1238387, 1238351, 1238370, 1238417, 600928]"/>
    <s v="0.03181997689325122"/>
    <s v="[600925, 1238387, 1238351, 1238370, 1238417]"/>
    <s v="[0.066, 0.035, 0.03, 0.025, 0.031]"/>
    <s v="184.11847665947136"/>
    <s v="[0.066, 0.035, 0.03, 0.025, -0.031]"/>
  </r>
  <r>
    <x v="1694"/>
    <x v="2272"/>
    <x v="0"/>
    <n v="0"/>
    <s v="LINESTRING (10.008430790552469 62.8270763732946, 10.008975637813753 62.827507256157546, 10.009044990065874 62.82757235543853, 10.009386472596114 62.827958130971744, 10.009471773019975 62.828066228024866, 10.009476324963908 62.82807231772632, 10.009632246590705 62.82830348927524, 10.009750978849944 62.8286039896018)"/>
    <s v="[1333612, 1333620, 1333628, 1333636, 1333644, 1333652, 1333660]"/>
    <s v="[1238433, 1238441, 1238357, 1238379, 1238468, 1238475, 600928]"/>
    <s v="0.03184937874960208"/>
    <s v="[600925, 1238433, 1238441, 1238357, 1238379, 1238468, 1238475]"/>
    <s v="[0.076, 0.035, 0.034, 0.028, 0.026, 0.024, 0.036]"/>
    <s v="184.9581052847424"/>
    <s v="[0.076, 0.035, 0.034, 0.028, 0.026, 0.024, -0.036]"/>
  </r>
  <r>
    <x v="1694"/>
    <x v="2273"/>
    <x v="172"/>
    <s v="[0, 0, 0, 0, 1, 0, 0, 0, 0, 0, 0, 0, 0, 0, 0, 0, 0, 0, 0, 0, 0, 0, 0, 0, 0, 0, 0, 0, 0, 0, 1, 0, 0, 0, 0, 0, 0, 0, 0, 0, 0, 0, 0, 0, 0, 0, 0, 0, 0, 0, 0, 0, 0, 0, 0, 0, 0, 0, 0, 0, 0, 0]"/>
    <s v="LINESTRING (9.985968920363396 62.75266202576834, 9.986344498137324 62.75284148906144, 9.987021153150028 62.75311374737645, 9.98858269303757 62.7537419607943, 9.993739151572866 62.75638311161606, 9.993793037827484 62.75644963274608, 9.990478440135334 62.765274425711446, 9.989916781712058 62.7660642379583, 9.988253643461384 62.77470448348142, 9.995984436046035 62.78482856411667, 10.000980448002693 62.78727174358574, 10.001512993514167 62.787547499268115, 10.002354086781342 62.78816290089612, 10.003437743084806 62.790012523935125, 10.003758436302906 62.79062674699355, 10.004219392017427 62.79121495441279, 10.00938886584058 62.793261460384585, 10.009596599495376 62.79328773714773, 10.011325962740374 62.79356241626223, 10.011976417128604 62.7936941448148, 10.02197796341871 62.79680614547944, 10.02321763175969 62.79820751739534, 10.023541072218254 62.79868910719041, 10.025247120489267 62.80005261278737, 10.025512201813306 62.80017588712244, 10.027656412628973 62.80085345799612, 10.030488716382976 62.80211254720841, 10.031043176542607 62.802521569345195, 10.031302211800504 62.80270497575341, 10.032976462708193 62.80347024046119, 10.033500754209093 62.803982717727095, 10.034368725315401 62.80513593587401, 10.034613347435538 62.80552985354339, 10.033792917269473 62.80661238720622, 10.03318451091356 62.80707705023497, 10.032237662108418 62.808388343268255, 10.031870196380838 62.80895418661812, 10.03139636987425 62.810361730519624, 10.032019662359687 62.812780444503254, 10.035249408732648 62.81396738660072, 10.035388603778346 62.814257618314095, 10.035418798318794 62.81457941066462, 10.034790411170032 62.81557902597621, 10.033276625722493 62.81604578166506, 10.0320599088063 62.81606454307537, 10.027376252092218 62.81588978502031, 10.027184152618052 62.815879096950624, 10.020671278278678 62.81713017221259, 10.019720265875725 62.81768687840068, 10.017079261568762 62.819650440746294, 10.016866164568754 62.81982596301209, 10.015589733564482 62.82083791468572, 10.014354815167872 62.82180831459248, 10.014159026338602 62.821953611726066, 10.012640204938291 62.822926154751165, 10.011647124154162 62.823439429616855, 10.010583572372353 62.82397415894466, 10.010403368753924 62.82406361297676, 10.00956197989634 62.82450965233591, 10.008629440795298 62.82511071412231, 10.008250212549884 62.82542107385968, 10.008337503380199 62.82698197953295, 10.008430790552469 62.8270763732946)"/>
    <s v="[1184916, 1184924, 597220, 597228, 597236, 597244, 597252, 597260, 597269, 597277, 597285, 597293, 597301, 597309, 1613967, 1613984, 1613993, 1614000, 597317, 597325, 597333, 597341, 597349, 597357, 597365, 597373, 597381, 597389, 381651, 381660, 381661, 381673, 381678, 381693, 597397, 597405, 597413, 597421, 597430, 597438, 597446, 597454, 597462, 597470, 597478, 597486, 597494, 597502, 597510, 597518, 597526, 597534, 597542, 597550, 597558, 597566, 597574, 597582, 597590, 597598, 597606, 597614]"/>
    <s v="[1114301, 600618, 600619, 600625, 600634, 600642, 600650, 544775, 600667, 600676, 600683, 600693, 600699, 600706, 1447487, 655761, 593995, 600711, 593996, 600719, 600724, 600729, 512038, 600743, 509514, 600755, 600763, 370872, 370851, 370886, 370887, 370859, 370908, 370929, 600774, 600781, 600787, 593987, 600799, 600804, 600811, 544547, 509858, 543684, 600832, 600838, 600843, 542646, 600855, 600857, 600861, 600866, 600871, 600877, 518039, 600888, 600894, 600902, 600909, 600914, 600919, 600925]"/>
    <s v="0.0018893129503337691"/>
    <s v="[1114300, 1114301, 600618, 600619, 600625, 600634, 600642, 600650, 544775, 600667, 600676, 600683, 600693, 600699, 600706, 1447487, 655761, 593995, 600711, 593996, 600719, 600724, 600729, 512038, 600743, 509514, 600755, 600763, 370872, 370851, 370886, 370887, 370859, 370908, 370929, 600774, 600781, 600787, 593987, 600799, 600804, 600811, 544547, 509858, 543684, 600832, 600838, 600843, 542646, 600855, 600857, 600861, 600866, 600871, 600877, 518039, 600888, 600894, 600902, 600909, 600914, 600919]"/>
    <s v="[0.111, 0.221, 0.019, 0.002, 0.03, 0.021, 0.049, 0.028, 0.024, 0.009, 0.009, 0.015, 0.051, 0.083, 0.125, 0.006, 0.018, 0.182, 0.024, 0.023, 0.031, 0.004, 0.01, 0.011, 0.017, 0.041, 0.048, 0.055, 0.027, 0.102, 0.091, 0.082, 0.007, 0.018, 0.034, 0.025, 0.022, 0.012, 0.074, 0.009, 0.041, 0.025, 0.031, 0.053, 0.047, 0.026, 0.01, 0.04, 0.007, 0.031, 0.003, 0.006, 0.014, 0.04, 0.056, 0.052, 0.044, 0.029, 0.001, 0.009, 0.024, 0.044]"/>
    <s v="10510.635732236886"/>
    <s v="[0.111, 0.221, 0.019, -0.002, -0.03, -0.021, 0.049, 0.028, 0.024, -0.009, -0.009, -0.015, -0.051, -0.083, -0.125, 0.006, 0.018, 0.182, 0.024, -0.023, -0.031, -0.004, -0.01, -0.011, -0.017, -0.041, -0.048, -0.055, 0.027, 0.102, 0.091, 0.082, 0.007, -0.018, 0.034, -0.025, -0.022, -0.012, 0.074, -0.009, 0.041, 0.025, -0.031, -0.053, -0.047, -0.026, 0.01, -0.04, -0.007, 0.031, 0.003, -0.006, -0.014, -0.04, -0.056, -0.052, -0.044, -0.029, 0.001, -0.009, 0.024, 0.044]"/>
  </r>
  <r>
    <x v="1695"/>
    <x v="2274"/>
    <x v="0"/>
    <s v="[0, 0, 0, 0, 0, 0, 0, 0, 0, 0, 0, 0, 0, 0, 0, 0, 0, 0, 0, 0, 0, 0, 0, 0, 0, 0, 0, 0, 0, 0, 0, 0, 1, 0, 0, 0, 0, 0, 0, 0, 1, 0, 0, 0, 0, 0, 0, 0, 0, 0, 0, 0, 0, 0, 0, 0, 0, 0, 0, 0, 0, 0, 0, 0, 0, 0, 0, 0, 0, 0, 0, 0, 0, 0, 0, 0]"/>
    <s v="LINESTRING (10.009750978849944 62.8286039896018, 10.009842478471576 62.828778557893614, 10.009866375986615 62.82882929544092, 10.010013397052806 62.82912992773922, 10.010047472249353 62.82919915254663, 10.010079443688937 62.829250653587295, 10.010739526851363 62.83047075939201, 10.0112686732474 62.83143966475089, 10.011712484453723 62.83226994043324, 10.01173376511701 62.83231156218439, 10.011736854528197 62.832317581862775, 10.011767442795021 62.83237147099297, 10.011955382627896 62.832685184139464, 10.01205795897567 62.83284112725467, 10.012403460682629 62.83329081286462, 10.014774295849673 62.83738726040791, 10.01538546548448 62.839510615054614, 10.01559423986538 62.84200416369143, 10.01756661868623 62.846686391189785, 10.017841794672208 62.847111246111304, 10.017847684218406 62.84711980258269, 10.019207379393732 62.84931913413431, 10.019251775560884 62.84943033369866, 10.020129613300432 62.85216777655207, 10.020304484706816 62.85244590086066, 10.020402085058404 62.85260048013316, 10.021065498422153 62.85880269303015, 10.021064927053068 62.859998385925884, 10.02156515698617 62.86165904247784, 10.026474919325736 62.86743942424537, 10.02852072596982 62.86827247932556, 10.029961347641832 62.86874664800421, 10.040852583272091 62.870218631401215, 10.040992821902668 62.87021638055754, 10.044941131965366 62.87014533714066, 10.049480545700073 62.86977465933813, 10.052396661038395 62.86914623596324, 10.052663237860727 62.869088367336246, 10.054641053514926 62.86866361041997, 10.066652631664782 62.867088214134895, 10.0686777770858 62.86656557965346, 10.068877317007146 62.86649162252275, 10.070587949679247 62.866020303982516, 10.071169920962578 62.8659930846866, 10.073334534639597 62.86617867758725, 10.073809617222471 62.86622887245679, 10.078155174343264 62.867291948461805, 10.079211578156578 62.86781067436241, 10.079376745956923 62.86788923122523, 10.085988930216406 62.87518073360329, 10.086448793236809 62.87552843745579, 10.092959389026321 62.881710400181845, 10.094163820856355 62.8823861136725, 10.101621159605667 62.8868279546556, 10.101870363825673 62.89098389589745, 10.101949522336593 62.89119556167485, 10.104242742020832 62.89426175500491, 10.105023785214433 62.894780536717164, 10.112909662553108 62.9011297375722, 10.114032169586105 62.90221718834255, 10.114524731975646 62.90257291338885, 10.114527879878368 62.90257496547712, 10.114590540978568 62.902614359906806, 10.115589451623487 62.90318852100336, 10.116872289280844 62.90388918341806, 10.11696847454003 62.903942799710116, 10.118837460110255 62.90478518286478, 10.120704409920682 62.90543601044508, 10.127381847625662 62.9085644254908, 10.129212899979498 62.909330256809284, 10.131707079461254 62.91007042427764, 10.131808283560183 62.91009804693474, 10.135969766038686 62.911566274714865, 10.1402693192996 62.915572082551655, 10.141762579282227 62.91742716944657, 10.144646714599968 62.91986166495293, 10.147195408866365 62.92198987689863)"/>
    <s v="[597622, 597630, 597638, 597646, 597654, 597662, 597670, 597678, 597686, 597694, 597702, 597710, 597718, 597726, 597734, 597742, 597750, 597758, 597766, 597774, 597782, 597790, 597798, 597806, 597814, 597822, 597830, 597838, 597846, 597854, 597862, 597870, 597878, 597886, 597894, 597902, 597910, 597918, 597926, 597934, 597942, 597950, 597958, 597966, 570049, 570050, 570051, 570052, 570064, 570074, 570089, 570095, 570115, 570136, 570137, 570147, 570148, 570163, 570164, 570178, 570186, 570191, 570195, 570203, 570204, 570212, 570218, 570220, 570221, 570222, 1981749, 1981757, 1981758, 625179, 625195, 625203]"/>
    <s v="[600929, 600934, 600940, 600946, 600952, 600955, 600961, 600966, 600972, 600978, 600984, 600989, 600995, 601001, 601008, 601015, 601019, 542292, 601031, 601037, 601044, 601052, 601057, 601064, 541951, 601074, 601082, 542470, 542611, 601095, 601101, 601108, 601115, 601121, 601128, 601133, 542491, 601142, 521249, 601152, 601159, 601165, 542509, 542516, 578179, 451950, 578180, 452081, 542576, 544358, 451887, 536660, 578235, 529313, 578254, 578266, 546801, 578282, 578283, 578295, 578298, 578301, 578304, 578313, 578314, 578321, 530009, 529640, 530018, 578328, 1742062, 619659, 622028, 622029, 619687, 621775]"/>
    <s v="#FIELD!"/>
    <s v="[600928, 600929, 600934, 600940, 600946, 600952, 600955, 600961, 600966, 600972, 600978, 600984, 600989, 600995, 601001, 601008, 601015, 601019, 542292, 601031, 601037, 601044, 601052, 601057, 601064, 541951, 601074, 601082, 542470, 542611, 601095, 601101, 601108, 601115, 601121, 601128, 601133, 542491, 601142, 521249, 601152, 601159, 601165, 542509, 542516, 578179, 451950, 578180, 452081, 542576, 544358, 451887, 536660, 578235, 529313, 578254, 578266, 546801, 578282, 578283, 578295, 578298, 578301, 578304, 578313, 578314, 578321, 530009, 529640, 530018, 578328, 1742062, 619659, 622028, 622029, 619687]"/>
    <s v="[0.024, 0.023, 0.02, 0.019, 0.017, 0.009, 0.014, 0.018, 0.013, 0.004, 0.01, 0.008, 0.003, 0.016, 0.003, 0.008, 0.01, 0.027, 0.017, 0.06, 0.005, 0.008, 0.008, 0.023, 0.028, 0.006, 0.026, 0.027, 0.014, 0.058, 0.01, 0.034, 0.01, 0.0, 0.016, 0.02, 0.011, 0.002, 0.004, 0.023, 0.017, 0.003, 0.018, 0.031, 0.012, 0.005, 0.017, 0.007, 0.002, 0.015, 0.003, 0.012, 0.022, 0.006, 0.033, 0.006, 0.001, 0.009, 0.044, 0.044, 0.365, 0.049, 0.019, 0.011, 0.017, 0.032, 0.035, 0.024, 0.026, 0.022, 0.608, 0.009, 0.029, 0.015, 0.0, 0.005]"/>
    <s v="14629.303083897374"/>
    <s v="[0.024, 0.023, 0.02, 0.019, 0.017, 0.009, 0.014, 0.018, 0.013, 0.004, 0.01, 0.008, 0.003, -0.016, -0.003, 0.008, 0.01, -0.027, -0.017, -0.06, -0.005, 0.008, 0.008, -0.023, -0.028, 0.006, 0.026, 0.027, 0.014, -0.058, 0.01, -0.034, -0.01, 0.0, 0.016, -0.02, 0.011, -0.002, -0.004, -0.023, -0.017, -0.003, -0.018, -0.031, -0.012, -0.005, 0.017, 0.007, -0.002, 0.015, -0.003, -0.012, -0.022, 0.006, 0.033, 0.006, 0.001, -0.009, 0.044, -0.044, -0.365, -0.049, -0.019, -0.011, -0.017, -0.032, -0.035, 0.024, 0.026, -0.022, 0.608, -0.009, -0.029, 0.015, 0.0, -0.005]"/>
  </r>
  <r>
    <x v="1696"/>
    <x v="2275"/>
    <x v="0"/>
    <n v="0"/>
    <s v="LINESTRING (11.33838504996953 63.73914359312279, 11.33838504996953 63.73914359312279, 11.338621401816075 63.73921286046336, 11.338754350241516 63.73925182317501, 11.339664025062172 63.73933005541168, 11.339848953911837 63.73929150835224, 11.340041599884607 63.73904109913755, 11.335486903993537 63.738651032665, 11.335201770617882 63.738602236579055)"/>
    <s v="[597812, 597820, 597828, 597836, 597844, 1380672, 851185, 851177]"/>
    <s v="[601068, 601073, 601079, 566349, 601089, 825898, 825887, 825888]"/>
    <s v="#FIELD!"/>
    <s v="[532028, 601068, 601073, 601079, 566349, 601089, 825898, 825887]"/>
    <s v="[0.0, 0.036, 0.035, 0.032, 0.025, 0.005, 0.041, 0.047]"/>
    <s v="361.43741678778736"/>
    <s v="[0.0, 0.036, 0.035, 0.032, 0.025, 0.005, -0.041, -0.047]"/>
  </r>
  <r>
    <x v="1697"/>
    <x v="2276"/>
    <x v="0"/>
    <n v="0"/>
    <m/>
    <n v="597860"/>
    <n v="601098"/>
    <s v="#FIELD!"/>
    <n v="601093"/>
    <s v="0.006"/>
    <s v="34.13529139109575"/>
    <s v="#FIELD!"/>
  </r>
  <r>
    <x v="1698"/>
    <x v="2277"/>
    <x v="0"/>
    <n v="0"/>
    <s v="LINESTRING (11.465585597430836 63.78602138559674, 11.465455937267672 63.786186275813705, 11.465349353170133 63.786258092795634, 11.46530343201211 63.786271163075014, 11.465153012401853 63.78631410672433)"/>
    <s v="[1267770, 1267771, 1267772, 1267780]"/>
    <s v="[1184173, 1184174, 1184116, 1183932]"/>
    <s v="#FIELD!"/>
    <s v="[601098, 1184173, 1184174, 1184116]"/>
    <s v="[0.015, 0.004, 0.0, 0.001]"/>
    <s v="40.95427338213402"/>
    <s v="[-0.015, -0.004, 0.0, -0.001]"/>
  </r>
  <r>
    <x v="1698"/>
    <x v="2278"/>
    <x v="0"/>
    <n v="0"/>
    <s v="LINESTRING (11.465585597430836 63.78602138559674, 11.465284545862602 63.786138175508924, 11.465180793899648 63.78621559637979, 11.4651736338167 63.7862370740505)"/>
    <s v="[1267785, 1267786, 1267793]"/>
    <s v="[1184182, 1184183, 1184086]"/>
    <s v="#FIELD!"/>
    <s v="[601098, 1184182, 1184183]"/>
    <s v="[0.011, 0.005, 0.006]"/>
    <s v="32.19572761213789"/>
    <s v="[-0.011, -0.005, -0.006]"/>
  </r>
  <r>
    <x v="1699"/>
    <x v="2270"/>
    <x v="0"/>
    <n v="0"/>
    <s v="LINESTRING (10.915721937241704 63.45141906010243, 10.91577402960193 63.451391786321146, 10.91595013201883 63.45136805760636, 10.916096156485056 63.451389876175625, 10.916132442583859 63.451399335593486, 10.916187082177872 63.451438648896726, 10.916192568050555 63.45148464672346, 10.91617792673642 63.45151420463094)"/>
    <s v="[597892, 597900, 597908, 597916, 597924, 597932, 597940]"/>
    <s v="[601126, 601131, 601136, 601141, 601146, 601150, 601157]"/>
    <s v="0.011346753795198858"/>
    <s v="[601125, 601126, 601131, 601136, 601141, 601146, 601150]"/>
    <s v="[0.035, 0.01, 0.012, 0.022, 0.036, 0.036, 0.041]"/>
    <s v="36.6240324140927"/>
    <s v="[-0.035, -0.01, 0.012, 0.022, 0.036, 0.036, 0.041]"/>
  </r>
  <r>
    <x v="1699"/>
    <x v="2268"/>
    <x v="0"/>
    <n v="0"/>
    <s v="LINESTRING (10.915702094272666 63.451529949449615, 10.915689630607243 63.45147656135395, 10.915721937241704 63.45141906010243)"/>
    <s v="[597972, 597980]"/>
    <s v="[601180, 601125]"/>
    <s v="#FIELD!"/>
    <s v="[601174, 601180]"/>
    <s v="[0.039, 0.042]"/>
    <s v="12.593986867466345"/>
    <s v="[-0.039, -0.042]"/>
  </r>
  <r>
    <x v="1700"/>
    <x v="2271"/>
    <x v="0"/>
    <n v="0"/>
    <s v="LINESTRING (10.91617792673642 63.45151420463094, 10.916119320653822 63.45156165116335, 10.915978709379486 63.45158999004672)"/>
    <s v="[597948, 597956]"/>
    <s v="[601164, 601170]"/>
    <s v="0.009678579238491811"/>
    <s v="[601157, 601164]"/>
    <s v="[0.022, 0.0]"/>
    <s v="13.737975759827393"/>
    <s v="[0.022, -0.0]"/>
  </r>
  <r>
    <x v="1701"/>
    <x v="2268"/>
    <x v="0"/>
    <n v="0"/>
    <m/>
    <n v="597964"/>
    <n v="601174"/>
    <s v="#FIELD!"/>
    <n v="601170"/>
    <s v="0.002"/>
    <s v="16.04654054179101"/>
    <s v="#FIELD!"/>
  </r>
  <r>
    <x v="1702"/>
    <x v="2044"/>
    <x v="0"/>
    <n v="0"/>
    <s v="LINESTRING (11.383109462942697 63.755036528162194, 11.382893344654514 63.75499695868903, 11.382787986004752 63.754932315430956, 11.382757926690616 63.75486596850774, 11.382786296464632 63.754802885571685)"/>
    <s v="[598036, 598044, 598052, 598060]"/>
    <s v="[601219, 601222, 505160, 601229]"/>
    <s v="0.009855910891451403"/>
    <s v="[601215, 601219, 601222, 505160]"/>
    <s v="[0.005, 0.011, 0.012, 0.014]"/>
    <s v="35.143188579845564"/>
    <s v="[0.005, 0.011, 0.012, 0.014]"/>
  </r>
  <r>
    <x v="1703"/>
    <x v="2279"/>
    <x v="0"/>
    <n v="0"/>
    <s v="LINESTRING (11.343591800639494 63.73957150786372, 11.344068438194563 63.739704337618825, 11.351431707545826 63.74176109539937, 11.381155449962257 63.75226493087378, 11.38173005550006 63.75321988517525, 11.381998819288995 63.75366628287297, 11.382383510922494 63.754317767761115, 11.38246087392275 63.75443335561145, 11.38274051560788 63.75473254084948, 11.382786296464632 63.754802885571685)"/>
    <s v="[851249, 851257, 851137, 851145, 851153, 851161, 681078, 681086, 681094]"/>
    <s v="[825961, 825850, 825851, 825858, 825866, 671967, 671968, 671976, 601229]"/>
    <s v="0.0011702783153693555"/>
    <s v="[825953, 825961, 825850, 825851, 825858, 825866, 671967, 671968, 671976]"/>
    <s v="[0.031, 0.021, 0.003, 0.007, 0.004, 0.013, 0.012, 0.012, 0.012]"/>
    <s v="2778.224413483706"/>
    <s v="[0.031, 0.021, -0.003, 0.007, 0.004, -0.013, -0.012, -0.012, -0.012]"/>
  </r>
  <r>
    <x v="1704"/>
    <x v="2280"/>
    <x v="0"/>
    <n v="0"/>
    <s v="LINESTRING (11.497894349989648 64.00517821018954, 11.49807633936911 64.005179908131, 11.498181146572815 64.00520939115275, 11.498250827495186 64.0052577917919, 11.498267441358083 64.0053049114645)"/>
    <s v="[598084, 598092, 598100, 598108]"/>
    <s v="[601242, 601248, 601255, 601262]"/>
    <s v="#FIELD!"/>
    <s v="[601241, 601242, 601248, 601255]"/>
    <s v="[0.092, 0.089, 0.073, 0.04]"/>
    <s v="26.692289595833817"/>
    <s v="[-0.092, -0.089, -0.073, -0.04]"/>
  </r>
  <r>
    <x v="1704"/>
    <x v="2213"/>
    <x v="0"/>
    <n v="0"/>
    <s v="LINESTRING (11.497684844222563 64.00529803498556, 11.497747679770198 64.00522138804403, 11.497894349989648 64.00517821018954)"/>
    <s v="[598141, 598149]"/>
    <s v="[601291, 601241]"/>
    <s v="#FIELD!"/>
    <s v="[601285, 601291]"/>
    <s v="[0.016, 0.046]"/>
    <s v="17.720221384111326"/>
    <s v="[0.016, -0.046]"/>
  </r>
  <r>
    <x v="1705"/>
    <x v="2281"/>
    <x v="0"/>
    <n v="0"/>
    <s v="LINESTRING (10.25279548959787 63.024642806610814, 10.253652994370812 63.02502013625729, 10.25483215772963 63.02554314358671, 10.25503607596512 63.02562154734177, 10.255227455066894 63.02569586014633, 10.255639802444254 63.02585150459531, 10.255743241554317 63.025892086623486, 10.256850051701035 63.0263184924405)"/>
    <s v="[1462988, 1463001, 1463002, 1463009, 1463019, 1463039, 1463048]"/>
    <s v="[1326433, 1326444, 1326445, 1326451, 1326461, 1326474, 601249]"/>
    <s v="#FIELD!"/>
    <s v="[601243, 1326433, 1326444, 1326445, 1326451, 1326461, 1326474]"/>
    <s v="[0.699, 0.023, 0.071, 0.085, 0.099, 0.111, 0.515]"/>
    <s v="278.30246255832486"/>
    <s v="[0.699, -0.023, -0.071, -0.085, -0.099, -0.111, -0.515]"/>
  </r>
  <r>
    <x v="1705"/>
    <x v="2281"/>
    <x v="0"/>
    <n v="0"/>
    <s v="LINESTRING (10.25279548959787 63.024642806610814, 10.253543728864022 63.025070775046785, 10.254728546013775 63.02560113204395, 10.25487582138012 63.0256595738258, 10.254934237312535 63.02568275221762, 10.254989069526212 63.02570301320844, 10.255133188100812 63.025755556854826, 10.255542656770816 63.02591283159174, 10.255646981988718 63.02595295781401, 10.256850051701035 63.0263184924405)"/>
    <s v="[1463049, 1463050, 1463051, 1463052, 1463053, 1463080, 1463085, 1463097, 1463098]"/>
    <s v="[1326481, 1326482, 1326483, 1326484, 1326485, 1326503, 1326508, 1326517, 601249]"/>
    <s v="#FIELD!"/>
    <s v="[601243, 1326481, 1326482, 1326483, 1326484, 1326485, 1326503, 1326508, 1326517]"/>
    <s v="[0.693, 0.024, 0.071, 0.065, 0.084, 0.089, 0.101, 0.122, 0.513]"/>
    <s v="280.17981505084265"/>
    <s v="[0.693, -0.024, -0.071, -0.065, -0.084, -0.089, -0.101, -0.122, -0.513]"/>
  </r>
  <r>
    <x v="1705"/>
    <x v="2282"/>
    <x v="173"/>
    <s v="[0, 1, 0, 0, 0, 0, 0, 0, 0, 0, 0, 0, 0, 0, 1, 0, 0, 0, 0, 0, 0, 0, 0, 0, 0, 0, 0, 0, 0, 0]"/>
    <s v="LINESTRING (10.192329805634014 62.94842007705606, 10.192602068903497 62.948881580289424, 10.193246563788033 62.94997384230932, 10.193415818983516 62.95026085526155, 10.229832981960913 62.97730025692913, 10.23205893779397 62.97860045724327, 10.233223525185748 62.979431547314356, 10.233526030696346 62.97967378771496, 10.233577900835073 62.979716911208, 10.234617577535964 62.98077272565379, 10.234659188341192 62.98082179757153, 10.235512315297546 62.98178394613944, 10.235915158595779 62.98213483944807, 10.23633508310648 62.98245102634964, 10.237873922867529 62.983216357063085, 10.239634782106561 62.98382709740082, 10.244484012081822 62.987013283630006, 10.244505003220729 62.987056170865834, 10.2450047405036 62.98780181477776, 10.245520671214907 62.993599193213605, 10.239445050752762 62.99725708017841, 10.238117187166507 63.0007872932822, 10.238061862315075 63.00101648929018, 10.239548173691233 63.00603548511307, 10.246411045191934 63.014787349603196, 10.246014567412116 63.01759640324441, 10.24601935012857 63.01777155987028, 10.247116450663732 63.019941861760955, 10.247343455167496 63.02018144521219, 10.248098352803261 63.02093721433295, 10.25279548959787 63.024642806610814)"/>
    <s v="[670171, 670179, 670187, 670195, 670203, 670211, 670219, 670227, 670232, 670233, 670235, 570359, 570360, 570376, 570388, 597974, 597982, 597990, 597998, 598006, 598014, 598022, 598030, 598038, 598046, 598054, 598062, 598070, 598078, 598086]"/>
    <s v="[660272, 660280, 660285, 660292, 660300, 660310, 660316, 660323, 660330, 660331, 578453, 546176, 578454, 578472, 578481, 561251, 601188, 601194, 556968, 593330, 601206, 525937, 386322, 547023, 386251, 601226, 528865, 601234, 601237, 601243]"/>
    <s v="#FIELD!"/>
    <s v="[660264, 660272, 660280, 660285, 660292, 660300, 660310, 660316, 660323, 660330, 660331, 578453, 546176, 578454, 578472, 578481, 561251, 601188, 601194, 556968, 593330, 601206, 525937, 386322, 547023, 386251, 601226, 528865, 601234, 601237]"/>
    <s v="[0.031, 0.04, 0.076, 0.007, 0.062, 0.042, 0.013, 0.02, 0.02, 0.012, 0.08, 0.018, 0.022, 0.012, 0.004, 0.006, 0.018, 0.004, 0.037, 0.023, 0.017, 0.067, 0.013, 0.007, 0.026, 0.008, 0.023, 0.03, 0.008, 0.01]"/>
    <s v="9743.037720814644"/>
    <s v="[-0.031, 0.04, 0.076, -0.007, -0.062, -0.042, -0.013, -0.02, 0.02, -0.012, -0.08, -0.018, -0.022, -0.012, -0.004, -0.006, -0.018, 0.004, -0.037, -0.023, -0.017, -0.067, -0.013, -0.007, -0.026, -0.008, -0.023, -0.03, -0.008, -0.01]"/>
  </r>
  <r>
    <x v="1706"/>
    <x v="2283"/>
    <x v="0"/>
    <n v="0"/>
    <s v="LINESTRING (10.256850051701035 63.0263184924405, 10.2586057866951 63.026851017819794, 10.26265074569283 63.02773340584746, 10.262797557402187 63.02776076004091, 10.264891741012288 63.028137979763734, 10.264980592232106 63.02815477259705, 10.266733293135532 63.028540155478595, 10.269194836398505 63.02929879603095, 10.280255057337312 63.03225783561337, 10.28496126021264 63.03269320546083)"/>
    <s v="[598094, 598102, 598110, 598118, 598126, 598135, 598143, 598151, 598159]"/>
    <s v="[601250, 601256, 20703, 601270, 601279, 20729, 601294, 601298, 601303]"/>
    <s v="#FIELD!"/>
    <s v="[601249, 601250, 601256, 20703, 601270, 601279, 20729, 601294, 601298]"/>
    <s v="[0.047, 0.017, 0.015, 0.011, 0.024, 0.051, 0.004, 0.003, 0.011]"/>
    <s v="1615.392587780835"/>
    <s v="[0.047, -0.017, 0.015, -0.011, -0.024, -0.051, -0.004, -0.003, -0.011]"/>
  </r>
  <r>
    <x v="1707"/>
    <x v="2284"/>
    <x v="0"/>
    <n v="0"/>
    <s v="LINESTRING (11.498267441358083 64.0053049114645, 11.498213781638562 64.00537369417881, 11.49808536811793 64.0054182115058)"/>
    <s v="[598116, 598124]"/>
    <s v="[601268, 601277]"/>
    <s v="0.014405039973718487"/>
    <s v="[601262, 601268]"/>
    <s v="[0.001, 0.03]"/>
    <s v="16.109942860189022"/>
    <s v="[-0.001, 0.03]"/>
  </r>
  <r>
    <x v="1707"/>
    <x v="2285"/>
    <x v="0"/>
    <n v="0"/>
    <s v="LINESTRING (11.498267441358083 64.0053049114645, 11.49836969971757 64.00535375698635, 11.498558507358668 64.00545134715496, 11.498729951508224 64.00557625268385)"/>
    <s v="[624640, 624648, 624656]"/>
    <s v="[621535, 621540, 621544]"/>
    <s v="#FIELD!"/>
    <s v="[601262, 621535, 621540]"/>
    <s v="[0.13, 0.047, 0.039]"/>
    <s v="38.16162594508388"/>
    <s v="[-0.13, -0.047, -0.039]"/>
  </r>
  <r>
    <x v="1708"/>
    <x v="2213"/>
    <x v="0"/>
    <n v="0"/>
    <m/>
    <n v="598133"/>
    <n v="601285"/>
    <s v="0.074"/>
    <n v="601277"/>
    <s v="0.074"/>
    <s v="27.840642646605193"/>
    <s v="0.074"/>
  </r>
  <r>
    <x v="1708"/>
    <x v="2285"/>
    <x v="0"/>
    <n v="0"/>
    <s v="LINESTRING (11.49808536811793 64.0054182115058, 11.498254507271412 64.0054494360404, 11.498482593572382 64.00550429248163, 11.498729951508224 64.00557625268385)"/>
    <s v="[681428, 681429, 681435]"/>
    <s v="[672430, 672431, 621544]"/>
    <s v="#FIELD!"/>
    <s v="[601277, 672430, 672431]"/>
    <s v="[0.138, 0.047, 0.045]"/>
    <s v="36.39642391077699"/>
    <s v="[-0.138, -0.047, -0.045]"/>
  </r>
  <r>
    <x v="1709"/>
    <x v="2120"/>
    <x v="0"/>
    <n v="0"/>
    <m/>
    <n v="626958"/>
    <n v="622852"/>
    <s v="0.036"/>
    <n v="601303"/>
    <s v="0.036"/>
    <s v="66.46961711948066"/>
    <s v="0.036"/>
  </r>
  <r>
    <x v="1709"/>
    <x v="2119"/>
    <x v="0"/>
    <n v="0"/>
    <s v="LINESTRING (10.28496126021264 63.03269320546083, 10.286263502088174 63.032809875560154, 10.288285407872714 63.03317645046678)"/>
    <s v="[623976, 623984]"/>
    <s v="[621003, 621008]"/>
    <s v="0.009795449349384767"/>
    <s v="[601303, 621003]"/>
    <s v="[0.062, 0.022]"/>
    <s v="177.54749228851398"/>
    <s v="[0.062, -0.022]"/>
  </r>
  <r>
    <x v="1710"/>
    <x v="2249"/>
    <x v="0"/>
    <n v="0"/>
    <m/>
    <n v="598165"/>
    <n v="601308"/>
    <s v="#FIELD!"/>
    <n v="601307"/>
    <s v="0.002"/>
    <s v="28.492416143199236"/>
    <s v="#FIELD!"/>
  </r>
  <r>
    <x v="1710"/>
    <x v="2286"/>
    <x v="0"/>
    <n v="0"/>
    <s v="LINESTRING (11.495921014784463 64.01056340529962, 11.496047602317038 64.01058263429395, 11.49615596752192 64.0106328683915)"/>
    <s v="[598221, 598229]"/>
    <s v="[601360, 601307]"/>
    <s v="0.015918788065794682"/>
    <s v="[601351, 601360]"/>
    <s v="[0.017, 0.015]"/>
    <s v="14.262481510625651"/>
    <s v="[0.017, 0.015]"/>
  </r>
  <r>
    <x v="1710"/>
    <x v="2287"/>
    <x v="0"/>
    <n v="0"/>
    <s v="LINESTRING (11.496416324175426 64.01032528688552, 11.496325975829267 64.01044305538217, 11.496203534054905 64.01056561013873, 11.49615596752192 64.0106328683915)"/>
    <s v="[624664, 624672, 624680]"/>
    <s v="[621549, 621555, 601307]"/>
    <s v="0.030712329202324556"/>
    <s v="[621548, 621549, 621555]"/>
    <s v="[0.007, 0.006, 0.12]"/>
    <s v="36.78048000923557"/>
    <s v="[0.007, 0.006, 0.12]"/>
  </r>
  <r>
    <x v="1711"/>
    <x v="2250"/>
    <x v="0"/>
    <n v="0"/>
    <s v="LINESTRING (11.495897268886269 64.01081798776325, 11.495735975830126 64.01079792045348, 11.4956374808431 64.01075061974312)"/>
    <s v="[598173, 598181]"/>
    <s v="[601313, 601321]"/>
    <s v="#FIELD!"/>
    <s v="[601308, 601313]"/>
    <s v="[0.021, 0.024]"/>
    <s v="15.342128534210126"/>
    <s v="[-0.021, -0.024]"/>
  </r>
  <r>
    <x v="1712"/>
    <x v="2122"/>
    <x v="0"/>
    <n v="0"/>
    <m/>
    <n v="624016"/>
    <n v="601310"/>
    <s v="#FIELD!"/>
    <n v="621023"/>
    <s v="0.025"/>
    <s v="56.10561469228102"/>
    <s v="#FIELD!"/>
  </r>
  <r>
    <x v="1712"/>
    <x v="2121"/>
    <x v="0"/>
    <n v="0"/>
    <s v="LINESTRING (10.293529152599836 63.03543408283581, 10.294195684229994 63.03577563523399, 10.294956150226376 63.03613901859296)"/>
    <s v="[626990, 626998]"/>
    <s v="[623421, 601310]"/>
    <s v="#FIELD!"/>
    <s v="[622858, 623421]"/>
    <s v="[0.024, 0.004]"/>
    <s v="106.77027499255048"/>
    <s v="[-0.024, -0.004]"/>
  </r>
  <r>
    <x v="1713"/>
    <x v="2286"/>
    <x v="0"/>
    <n v="0"/>
    <s v="LINESTRING (11.4956374808431 64.01075061974312, 11.49560642863133 64.01067170576064, 11.49566068588702 64.01061461784485, 11.495778583078566 64.0105725434952, 11.495921014784463 64.01056340529962)"/>
    <s v="[598189, 598197, 598205, 598213]"/>
    <s v="[601327, 601336, 601343, 601351]"/>
    <s v="0.005513905659190293"/>
    <s v="[601321, 601327, 601336, 601343]"/>
    <s v="[0.012, 0.003, 0.018, 0.017]"/>
    <s v="30.295482172345377"/>
    <s v="[-0.012, 0.003, 0.018, 0.017]"/>
  </r>
  <r>
    <x v="1714"/>
    <x v="2287"/>
    <x v="0"/>
    <n v="0"/>
    <s v="LINESTRING (11.496416324175426 64.01032528688552, 11.49620588978863 64.01041362465656, 11.496005687252794 64.01051962993031, 11.495921014784463 64.01056340529962)"/>
    <s v="[681443, 681457, 681465]"/>
    <s v="[672443, 672460, 601351]"/>
    <s v="0.0252892806267273"/>
    <s v="[621548, 672443, 672460]"/>
    <s v="[0.002, 0.001, 0.145]"/>
    <s v="36.16374326525914"/>
    <s v="[-0.002, 0.001, 0.145]"/>
  </r>
  <r>
    <x v="1715"/>
    <x v="2288"/>
    <x v="0"/>
    <n v="0"/>
    <s v="LINESTRING (11.491480660396675 64.01345778329505, 11.491424395998504 64.01356333705878, 11.491357616958208 64.01358957393731, 11.491273475774058 64.01360730500502, 11.491105836209503 64.01360504810413)"/>
    <s v="[598237, 598245, 598253, 598261]"/>
    <s v="[601372, 601378, 601384, 601392]"/>
    <s v="#FIELD!"/>
    <s v="[601371, 601372, 601378, 601384]"/>
    <s v="[0.017, 0.026, 0.03, 0.024]"/>
    <s v="29.576995285221216"/>
    <s v="[-0.017, -0.026, -0.03, -0.024]"/>
  </r>
  <r>
    <x v="1715"/>
    <x v="2252"/>
    <x v="0"/>
    <n v="0"/>
    <s v="LINESTRING (11.491259617487692 64.01335900074227, 11.491389059791883 64.01338818548224, 11.491480660396675 64.01345778329505)"/>
    <s v="[598317, 598325]"/>
    <s v="[601440, 601371]"/>
    <s v="0.010526503945153755"/>
    <s v="[601432, 601440]"/>
    <s v="[0.02, 0.003]"/>
    <s v="16.076378421232935"/>
    <s v="[0.02, 0.003]"/>
  </r>
  <r>
    <x v="1716"/>
    <x v="2289"/>
    <x v="0"/>
    <n v="0"/>
    <s v="LINESTRING (11.491105836209503 64.01360504810413, 11.49097366038438 64.01356501575067, 11.490914630206225 64.01351327561612)"/>
    <s v="[598269, 598277]"/>
    <s v="[601399, 601404]"/>
    <s v="#FIELD!"/>
    <s v="[601392, 601399]"/>
    <s v="[0.017, 0.002]"/>
    <s v="14.304740953284963"/>
    <s v="[-0.017, -0.002]"/>
  </r>
  <r>
    <x v="1716"/>
    <x v="2290"/>
    <x v="0"/>
    <n v="0"/>
    <s v="LINESTRING (11.491105836209503 64.01360504810413, 11.491010302567615 64.01363293440718, 11.49057316120158 64.01386963993457, 11.490343340025353 64.014158491019, 11.49032828761382 64.01419271686511, 11.489971613729056 64.01515078362631, 11.489791128774675 64.01574679111636, 11.489800972543133 64.01582407941925)"/>
    <s v="[624721, 624729, 624737, 624745, 624753, 624761, 624769]"/>
    <s v="[621592, 621600, 621609, 621617, 621625, 621632, 601453]"/>
    <s v="#FIELD!"/>
    <s v="[601392, 621592, 621600, 621609, 621617, 621625, 621632]"/>
    <s v="[0.166, 0.012, 0.007, 0.003, 0.009, 0.011, 0.128]"/>
    <s v="262.18293666036493"/>
    <s v="[-0.166, -0.012, -0.007, -0.003, -0.009, -0.011, -0.128]"/>
  </r>
  <r>
    <x v="1717"/>
    <x v="2252"/>
    <x v="0"/>
    <n v="0"/>
    <s v="LINESTRING (11.490914630206225 64.01351327561612, 11.490964884078544 64.01340667822319, 11.491048783766084 64.01337456647599, 11.491151186451052 64.01335817558737, 11.491259617487692 64.01335900074227)"/>
    <s v="[598285, 598293, 598301, 598309]"/>
    <s v="[601411, 601418, 601425, 601432]"/>
    <s v="0.02245804014229574"/>
    <s v="[601404, 601411, 601418, 601425]"/>
    <s v="[0.014, 0.03, 0.028, 0.029]"/>
    <s v="28.530730253370066"/>
    <s v="[0.014, 0.03, 0.028, 0.029]"/>
  </r>
  <r>
    <x v="1717"/>
    <x v="2291"/>
    <x v="0"/>
    <n v="0"/>
    <s v="LINESTRING (11.490914630206225 64.01351327561612, 11.490848253839818 64.01356759823025, 11.490511798722622 64.01383613545336, 11.490284578951206 64.01413068258505, 11.489863189783092 64.01513355229967, 11.489592251685238 64.0157338852478, 11.489532918851772 64.01580591533028)"/>
    <s v="[681507, 681508, 681515, 681516, 681523, 681531]"/>
    <s v="[672505, 672506, 672517, 672518, 672525, 601510]"/>
    <s v="#FIELD!"/>
    <s v="[601404, 672505, 672506, 672517, 672518, 672525]"/>
    <s v="[0.132, 0.01, 0.007, 0.009, 0.011, 0.126]"/>
    <s v="266.25419078389893"/>
    <s v="[-0.132, -0.01, -0.007, -0.009, -0.011, -0.126]"/>
  </r>
  <r>
    <x v="1718"/>
    <x v="2254"/>
    <x v="0"/>
    <n v="0"/>
    <s v="LINESTRING (11.489800972543133 64.01582407941925, 11.489871115089036 64.01586890122648, 11.489878089750771 64.01592746851132, 11.489829132174343 64.01597480000603, 11.489728776120948 64.01600741157138)"/>
    <s v="[598334, 598342, 598350, 598358]"/>
    <s v="[601454, 601459, 601466, 601474]"/>
    <s v="#FIELD!"/>
    <s v="[601453, 601454, 601459, 601466]"/>
    <s v="[0.015, 0.018, 0.01, 0.0]"/>
    <s v="24.49944664969057"/>
    <s v="[-0.015, -0.018, -0.01, 0.0]"/>
  </r>
  <r>
    <x v="1718"/>
    <x v="2291"/>
    <x v="0"/>
    <n v="0"/>
    <s v="LINESTRING (11.489532918851772 64.01580591533028, 11.489669141163667 64.01579753097226, 11.489800972543133 64.01582407941925)"/>
    <s v="[598414, 598422]"/>
    <s v="[601515, 601453]"/>
    <s v="#FIELD!"/>
    <s v="[601510, 601515]"/>
    <s v="0.004"/>
    <s v="13.820471164285538"/>
    <s v="[0.004, -0.004]"/>
  </r>
  <r>
    <x v="1719"/>
    <x v="2255"/>
    <x v="0"/>
    <n v="0"/>
    <s v="LINESTRING (11.489728776120948 64.01600741157138, 11.489615012740725 64.01601633930503, 11.48949645994488 64.01599819789264)"/>
    <s v="[598366, 598374]"/>
    <s v="[601481, 601485]"/>
    <s v="0.0"/>
    <s v="[601474, 601481]"/>
    <s v="0.0"/>
    <s v="11.79158103335466"/>
    <s v="0.0"/>
  </r>
  <r>
    <x v="1720"/>
    <x v="2291"/>
    <x v="0"/>
    <n v="0"/>
    <s v="LINESTRING (11.48949645994488 64.01599819789264, 11.489398745775604 64.01594462292147, 11.489387125511792 64.01589043540616, 11.489434492272665 64.01583947180445, 11.489532918851772 64.01580591533028)"/>
    <s v="[598382, 598390, 598398, 598406]"/>
    <s v="[601491, 601496, 601503, 601510]"/>
    <s v="0.010407236022652122"/>
    <s v="[601485, 601491, 601496, 601503]"/>
    <s v="[0.005, 0.014, 0.014, 0.01]"/>
    <s v="25.946698716891717"/>
    <s v="[0.005, 0.014, 0.014, 0.01]"/>
  </r>
  <r>
    <x v="1721"/>
    <x v="2292"/>
    <x v="0"/>
    <n v="0"/>
    <m/>
    <n v="598430"/>
    <n v="601529"/>
    <s v="#FIELD!"/>
    <n v="601528"/>
    <s v="0.099"/>
    <s v="34.40849690134665"/>
    <s v="#FIELD!"/>
  </r>
  <r>
    <x v="1721"/>
    <x v="2293"/>
    <x v="0"/>
    <n v="0"/>
    <s v="LINESTRING (11.477099133570416 64.02830835242811, 11.477350746324001 64.02836027937104, 11.477467913074019 64.02847093616641)"/>
    <s v="[598486, 598494]"/>
    <s v="[601569, 601528]"/>
    <s v="#FIELD!"/>
    <s v="[601562, 601569]"/>
    <s v="[0.002, 0.072]"/>
    <s v="27.612167086180463"/>
    <s v="[0.002, -0.072]"/>
  </r>
  <r>
    <x v="1721"/>
    <x v="2294"/>
    <x v="174"/>
    <s v="[0, 0, 0, 0, 0, 1, 0, 0, 0, 0, 0, 0, 0, 0]"/>
    <s v="LINESTRING (11.490813528831652 64.02124459290485, 11.490722443367664 64.02127973861164, 11.490555442420092 64.02134031620561, 11.489597223157144 64.02179186889855, 11.489542401293065 64.02181830468214, 11.487954797971964 64.02260576012038, 11.486701394317608 64.0235313660943, 11.486691626856304 64.0235415875154, 11.486111816693404 64.02420156206422, 11.485229857623143 64.02509927742105, 11.4816009279918 64.02696389092297, 11.479397387636064 64.02765145520844, 11.479386122334013 64.0276550003742, 11.477554336469975 64.02838360201817, 11.477467913074019 64.02847093616641)"/>
    <s v="[624881, 624889, 624897, 624905, 624913, 624921, 624929, 624937, 624945, 624953, 624961, 624969, 624977, 624985]"/>
    <s v="[621752, 621759, 621766, 621774, 621781, 621787, 621795, 621803, 621811, 621818, 621825, 621831, 621839, 601528]"/>
    <s v="0.027303684414262546"/>
    <s v="[621751, 621752, 621759, 621766, 621774, 621781, 621787, 621795, 621803, 621811, 621818, 621825, 621831, 621839]"/>
    <s v="[0.026, 0.021, 0.026, 0.03, 0.067, 0.164, 0.175, 0.171, 0.153, 0.016, 0.105, 0.158, 0.097, 0.112]"/>
    <s v="1056.847907460672"/>
    <s v="[0.026, 0.021, 0.026, 0.03, 0.067, 0.164, 0.175, 0.171, 0.153, -0.016, -0.105, -0.158, -0.097, -0.112]"/>
  </r>
  <r>
    <x v="1722"/>
    <x v="2295"/>
    <x v="0"/>
    <n v="0"/>
    <s v="LINESTRING (11.477029511255168 64.02866514279853, 11.47677948682141 64.02861684767572, 11.476661538153989 64.02852863247001)"/>
    <s v="[598438, 598446]"/>
    <s v="[601536, 601542]"/>
    <s v="0.03134228825183089"/>
    <s v="[601529, 601536]"/>
    <s v="[0.002, 0.071]"/>
    <s v="24.957374135900253"/>
    <s v="[-0.002, 0.071]"/>
  </r>
  <r>
    <x v="1722"/>
    <x v="2296"/>
    <x v="0"/>
    <n v="0"/>
    <s v="LINESTRING (11.477029511255168 64.02866514279853, 11.476854531742953 64.02868784944728, 11.475569127716394 64.02926130119155)"/>
    <s v="[624993, 625001]"/>
    <s v="[621853, 621861]"/>
    <s v="#FIELD!"/>
    <s v="[601529, 621853]"/>
    <s v="[0.022, 0.08]"/>
    <s v="99.25379258943487"/>
    <s v="[0.022, -0.08]"/>
  </r>
  <r>
    <x v="1723"/>
    <x v="2293"/>
    <x v="0"/>
    <n v="0"/>
    <s v="LINESTRING (11.476661538153989 64.02852863247001, 11.476655832645571 64.02846021205345, 11.476757809360107 64.0283665534336, 11.4769446886705 64.02831448701822, 11.477099133570416 64.02830835242811)"/>
    <s v="[598454, 598462, 598470, 598478]"/>
    <s v="[601548, 601552, 601556, 601562]"/>
    <s v="0.09550472376536454"/>
    <s v="[601542, 601548, 601552, 601556]"/>
    <s v="[0.113, 0.115, 0.097, 0.046]"/>
    <s v="37.60442371041714"/>
    <s v="[0.113, 0.115, 0.097, 0.046]"/>
  </r>
  <r>
    <x v="1723"/>
    <x v="2296"/>
    <x v="0"/>
    <n v="0"/>
    <s v="LINESTRING (11.476661538153989 64.02852863247001, 11.476600976914543 64.02859967613482, 11.475569127716394 64.02926130119155)"/>
    <s v="[681750, 681758]"/>
    <s v="[672792, 621861]"/>
    <s v="#FIELD!"/>
    <s v="[601542, 672792]"/>
    <s v="[0.046, 0.082]"/>
    <s v="98.29245942255908"/>
    <s v="[-0.046, -0.082]"/>
  </r>
  <r>
    <x v="1724"/>
    <x v="2297"/>
    <x v="0"/>
    <s v="[0, 0, 0, 0, 0, 1, 0, 0, 0, 0, 0, 0, 0, 0]"/>
    <s v="LINESTRING (11.490523346422314 64.02115761522363, 11.490470584250643 64.02122015547619, 11.490390468512965 64.02130654366607, 11.489527936168372 64.02177711175418, 11.489473981695275 64.02180300247589, 11.487905768964554 64.0225884017887, 11.486641363643944 64.02352003013264, 11.486631540530531 64.02353020528085, 11.486052197269869 64.02418808856336, 11.485174695464137 64.02508358455725, 11.481556565058431 64.02694313070681, 11.479340237589275 64.02761674577661, 11.479329109629862 64.02762033919123, 11.477295152353514 64.0282789954932, 11.477099133570416 64.02830835242811)"/>
    <s v="[681625, 681632, 681640, 681648, 681656, 681664, 681672, 681680, 681688, 681696, 681704, 681712, 681720, 681735]"/>
    <s v="[672638, 672645, 672655, 672662, 672672, 672684, 672692, 672703, 672712, 672722, 672732, 672739, 672751, 601562]"/>
    <s v="0.02522604038525968"/>
    <s v="[634304, 672638, 672645, 672655, 672662, 672672, 672684, 672692, 672703, 672712, 672722, 672732, 672739, 672751]"/>
    <s v="[0.467, 0.038, 0.028, 0.019, 0.069, 0.163, 0.175, 0.17, 0.152, 0.015, 0.106, 0.07, 0.094, 0.033]"/>
    <s v="1056.8334556456293"/>
    <s v="[-0.467, 0.038, 0.028, 0.019, 0.069, 0.163, 0.175, 0.17, 0.152, -0.015, -0.106, -0.07, -0.094, -0.033]"/>
  </r>
  <r>
    <x v="1725"/>
    <x v="2298"/>
    <x v="0"/>
    <n v="0"/>
    <s v="LINESTRING (10.397209956671189 63.40061090649609, 10.398271997700409 63.40085280954825, 10.398344056688327 63.400866195078635, 10.39839653630736 63.40087661084432)"/>
    <s v="[598816, 624395, 624403]"/>
    <s v="[601840, 621330, 621336]"/>
    <s v="0.039843032938427864"/>
    <s v="[601834, 601840, 621330]"/>
    <s v="[0.055, 0.187, 0.033]"/>
    <s v="66.41808268132786"/>
    <s v="[0.055, -0.187, 0.033]"/>
  </r>
  <r>
    <x v="1725"/>
    <x v="2299"/>
    <x v="0"/>
    <n v="0"/>
    <s v="LINESTRING (10.393144563566306 63.39754542309764, 10.393280901519214 63.39762348285697, 10.393907053189379 63.39829251539305, 10.394676110313611 63.39910008943589, 10.395120739732231 63.39955463386523, 10.395392996514436 63.39978459707306, 10.395904450979483 63.40010653020551, 10.396921255939027 63.40052506479944, 10.397209956671189 63.40061090649609)"/>
    <s v="[1131182, 598760, 598768, 598776, 598784, 598792, 598800, 598808]"/>
    <s v="[601802, 601803, 601809, 601813, 601818, 601823, 601828, 601834]"/>
    <s v="0.009355894318615455"/>
    <s v="[621325, 601802, 601803, 601809, 601813, 601818, 601823, 601828]"/>
    <s v="[0.185, 0.001, 0.014, 0.017, 0.026, 0.026, 0.017, 0.021]"/>
    <s v="404.75342784365347"/>
    <s v="[-0.185, 0.001, 0.014, 0.017, 0.026, 0.026, 0.017, 0.021]"/>
  </r>
  <r>
    <x v="1726"/>
    <x v="2300"/>
    <x v="0"/>
    <n v="0"/>
    <s v="LINESTRING (10.39743764733045 63.41658251395655, 10.39669408353773 63.41808457784684, 10.396139612656288 63.41916221357396, 10.395720313635174 63.41999747353631, 10.395653157682673 63.42012846269326, 10.395430661438251 63.42056369812903, 10.395190772668009 63.42104228092436, 10.395138216322367 63.42114684547815, 10.395068290600587 63.42128216925086, 10.394900281575433 63.42162107590317, 10.394758139810424 63.421901190094204, 10.394658148759595 63.422098021141785, 10.394613777320888 63.42219909102313)"/>
    <s v="[598824, 598832, 598840, 598848, 598856, 598864, 598872, 598880, 598888, 598896, 598905, 598913]"/>
    <s v="[601846, 601849, 601854, 601858, 601864, 601868, 601872, 601876, 601879, 601883, 601891, 601899]"/>
    <s v="#FIELD!"/>
    <s v="[601845, 601846, 601849, 601854, 601858, 601864, 601868, 601872, 601876, 601879, 601883, 601891]"/>
    <s v="[0.007, 0.015, 0.021, 0.009, 0.006, 0.003, 0.001, 0.001, 0.02, 0.023, 0.024, 0.024]"/>
    <s v="641.9253634837816"/>
    <s v="[-0.007, -0.015, -0.021, 0.009, 0.006, 0.003, 0.001, -0.001, -0.02, -0.023, -0.024, -0.024]"/>
  </r>
  <r>
    <x v="1726"/>
    <x v="2299"/>
    <x v="0"/>
    <n v="0"/>
    <s v="LINESTRING (10.393144563566306 63.39754542309764, 10.39321810021724 63.397637289297464, 10.393800077120671 63.398311900169915, 10.394461729538483 63.39924174411558, 10.394870045081465 63.39995693344124, 10.394968268475534 63.40015887781779, 10.395559866324502 63.40145156251673, 10.395565011199407 63.401462860960486, 10.39573501246141 63.401835599658085, 10.395965029096084 63.40233533888817, 10.396505937179455 63.40353053328902, 10.396623907877217 63.40378900872386, 10.39676306264497 63.40409019719868, 10.39687088378894 63.404312852587566, 10.396886797339278 63.40435140311905, 10.396921533656895 63.404435495069094, 10.396933198220344 63.40446827935398, 10.396933972672544 63.40447020169891, 10.396958850188756 63.40453212444955, 10.397003671137213 63.404638482757676, 10.39707857211641 63.40480197696946, 10.397337274107725 63.405376814981665, 10.397352900559317 63.40540641794019, 10.397551966752639 63.40583577973507, 10.398562920889667 63.40806348520023, 10.398753575686493 63.40850559368487, 10.398803288910715 63.40863940912125, 10.398849676657903 63.408782693913984, 10.39900077487345 63.409335406361905, 10.39905543159655 63.40959813987527, 10.39914980574649 63.41008671564626, 10.399252771537943 63.41076234453968, 10.399262485886418 63.41083054866349, 10.399329137738658 63.41226958251672, 10.399306567737172 63.41244276298634, 10.399293152269363 63.412471581824285, 10.399256797418523 63.41254667185972, 10.399232849499871 63.41262821375007, 10.39919435217736 63.412781871122824, 10.399185458535714 63.41282688679662, 10.399172537619608 63.412886861431254, 10.399170331135712 63.41289585436725, 10.398817718736437 63.413903024051166, 10.398764376074702 63.4140201530091, 10.398572016900257 63.41439267168839, 10.398371684506964 63.41477444675571, 10.398327387806608 63.41486546640747, 10.398309926072026 63.41490134841935, 10.398288671577747 63.414943978107154, 10.398272434271547 63.41497198650501, 10.398254244710532 63.41500590272862, 10.398197846784498 63.41511304164017, 10.397963057183654 63.41559845468138, 10.397730113734278 63.416145397544206, 10.39743764733045 63.41658251395655)"/>
    <s v="[625534, 625542, 625550, 625558, 625566, 625574, 625582, 625590, 625598, 625606, 625614, 625622, 625630, 625638, 625646, 625654, 625662, 625670, 625678, 625686, 625694, 625702, 625710, 625718, 625726, 625734, 625742, 625750, 625758, 625766, 625774, 625782, 625790, 625798, 625806, 625814, 625822, 625830, 625838, 625846, 625854, 625862, 625870, 625878, 625886, 625894, 625902, 625910, 625918, 625926, 625934, 625942, 625950, 625958]"/>
    <s v="[622343, 622349, 622357, 622364, 622369, 622377, 622384, 622389, 622395, 622404, 622412, 622419, 622424, 622431, 606448, 622443, 622449, 622458, 622464, 622472, 622481, 622490, 622497, 622502, 622508, 622514, 622521, 622528, 622534, 622542, 622548, 622556, 622561, 622569, 622576, 622584, 622589, 622598, 622607, 622616, 622624, 622630, 622636, 622644, 622650, 622655, 607724, 622665, 557081, 622677, 622689, 622698, 622702, 601845]"/>
    <s v="#FIELD!"/>
    <s v="[621325, 622343, 622349, 622357, 622364, 622369, 622377, 622384, 622389, 622395, 622404, 622412, 622419, 622424, 622431, 606448, 622443, 622449, 622458, 622464, 622472, 622481, 622490, 622497, 622502, 622508, 622514, 622521, 622528, 622534, 622542, 622548, 622556, 622561, 622569, 622576, 622584, 622589, 622598, 622607, 622616, 622624, 622630, 622636, 622644, 622650, 622655, 607724, 622665, 557081, 622677, 622689, 622698, 622702]"/>
    <s v="[0.2, 0.0, 0.01, 0.019, 0.019, 0.017, 0.021, 0.016, 0.011, 0.005, 0.016, 0.018, 0.02, 0.022, 0.024, 0.021, 0.0, 0.022, 0.024, 0.024, 0.018, 0.017, 0.016, 0.017, 0.015, 0.017, 0.018, 0.001, 0.005, 0.002, 0.003, 0.004, 0.003, 0.006, 0.011, 0.01, 0.01, 0.01, 0.009, 0.013, 0.009, 0.002, 0.002, 0.001, 0.007, 0.006, 0.006, 0.005, 0.007, 0.005, 0.004, 0.001, 0.011, 0.021]"/>
    <s v="2167.6077734365076"/>
    <s v="[-0.2, 0.0, 0.01, 0.019, 0.019, 0.017, 0.021, 0.016, 0.011, 0.005, -0.016, -0.018, -0.02, -0.022, -0.024, -0.021, 0.0, -0.022, -0.024, -0.024, -0.018, -0.017, -0.016, -0.017, -0.015, -0.017, -0.018, -0.001, 0.005, 0.002, -0.003, -0.004, -0.003, -0.006, -0.011, -0.01, -0.01, -0.01, -0.009, -0.013, -0.009, 0.002, 0.002, 0.001, -0.007, -0.006, -0.006, -0.005, -0.007, -0.005, -0.004, -0.001, -0.011, -0.021]"/>
  </r>
  <r>
    <x v="1726"/>
    <x v="2101"/>
    <x v="0"/>
    <n v="0"/>
    <s v="LINESTRING (10.391959206353187 63.39677961651198, 10.392202940036187 63.39702840328405, 10.39286411609855 63.397596178732385, 10.392937540701933 63.3976798765443, 10.394191603650652 63.399274977529046, 10.394603671510536 63.399987744164406, 10.39470771381103 63.400188536841355, 10.395303441572233 63.40147741765488, 10.39547930691279 63.40186045330064, 10.395706079270681 63.40235926102442, 10.396257589612906 63.40355057256594, 10.39637309412675 63.40380865392688, 10.396508970852576 63.40411312695486, 10.39661029045337 63.404332164697166, 10.396627138357625 63.40436989116598, 10.39665951321022 63.404437208493995, 10.396687194723238 63.404503025502294, 10.396712090515463 63.40455796197185, 10.396758303900016 63.40465926675218, 10.397087974903775 63.405382824542905, 10.397104894979138 63.40541736102846, 10.397299275214655 63.40584290323169, 10.398296995376883 63.40804983473197, 10.398488177376441 63.40848750955842, 10.398553644754863 63.408655140321216, 10.398591369980837 63.40876203324161, 10.398659565343793 63.408966907554884, 10.398761698763616 63.4093083974823, 10.398831135383254 63.40956703087689, 10.399050317030195 63.410761210048356, 10.39908238518621 63.41221088162003, 10.399055902822521 63.4124199135412, 10.399047946277829 63.41249332970299, 10.399025348372444 63.41261531689534, 10.398990169158218 63.41276792126733, 10.39897961744509 63.41281251478032, 10.398965557486864 63.41287195810062, 10.398963442276342 63.41288088204149, 10.39860414134928 63.41387955386899, 10.398547177664016 63.413995361022444, 10.398360136194826 63.414365362341975, 10.398163835714685 63.414744380746455, 10.398120209436325 63.41483472058532, 10.39810307148344 63.414870334264755, 10.398082939893447 63.41491334185272, 10.398068277300915 63.414939665539094, 10.398049994119877 63.414974163213074, 10.397992767678204 63.415083082760894, 10.397731203441097 63.41557425905104, 10.39746715638759 63.41614590684512, 10.39743764733045 63.41658251395655)"/>
    <s v="[627367, 627375, 628480, 628488, 628497, 628505, 628513, 628521, 628529, 628537, 628545, 628553, 628561, 628569, 628577, 628585, 628601, 628609, 628617, 628625, 628633, 628641, 628649, 628657, 628665, 628673, 628681, 628689, 628697, 628705, 628713, 628721, 628729, 628737, 628745, 628753, 628761, 628769, 628777, 628785, 628793, 628801, 628809, 628817, 628825, 628833, 628841, 628849, 628857, 628865]"/>
    <s v="[623703, 623709, 624511, 624517, 624527, 624534, 624540, 624548, 624553, 624559, 624564, 624569, 624574, 624579, 624585, 606447, 624599, 624605, 624610, 624617, 624622, 624628, 624636, 624643, 624648, 624652, 624658, 624663, 624670, 624676, 624682, 624688, 624695, 624701, 624706, 624711, 624718, 624724, 624729, 624737, 624744, 624750, 607723, 624762, 557080, 624773, 624779, 624784, 624791, 601845]"/>
    <s v="#FIELD!"/>
    <s v="[621785, 623703, 623709, 624511, 624517, 624527, 624534, 624540, 624548, 624553, 624559, 624564, 624569, 624574, 624579, 624585, 606447, 624599, 624605, 624610, 624617, 624622, 624628, 624636, 624643, 624648, 624652, 624658, 624663, 624670, 624676, 624682, 624688, 624695, 624701, 624706, 624711, 624718, 624724, 624729, 624737, 624744, 624750, 607723, 624762, 557080, 624773, 624779, 624784, 624791]"/>
    <s v="[0.034, 0.002, 0.007, 0.001, 0.014, 0.016, 0.015, 0.016, 0.007, 0.001, 0.005, 0.006, 0.007, 0.008, 0.009, 0.008, 0.01, 0.009, 0.017, 0.023, 0.019, 0.015, 0.002, 0.003, 0.001, 0.0, 0.001, 0.003, 0.007, 0.012, 0.012, 0.012, 0.014, 0.014, 0.013, 0.014, 0.022, 0.002, 0.002, 0.01, 0.005, 0.0, 0.0, 0.0, 0.005, 0.002, 0.002, 0.006, 0.014, 0.035]"/>
    <s v="2262.622293664895"/>
    <s v="[0.034, -0.002, 0.007, -0.001, 0.014, 0.016, 0.015, 0.016, 0.007, -0.001, -0.005, -0.006, -0.007, -0.008, -0.009, -0.008, -0.01, -0.009, -0.017, -0.023, -0.019, -0.015, 0.002, 0.003, 0.001, -0.0, -0.001, -0.003, -0.007, -0.012, -0.012, -0.012, -0.014, -0.014, -0.013, -0.014, -0.022, -0.002, -0.002, -0.01, -0.005, 0.0, 0.0, 0.0, 0.005, -0.002, 0.002, 0.006, 0.014, -0.035]"/>
  </r>
  <r>
    <x v="1727"/>
    <x v="2301"/>
    <x v="0"/>
    <n v="0"/>
    <s v="LINESTRING (10.394613777320888 63.42219909102313, 10.394514340979235 63.42265083257674, 10.394344344240508 63.42282614273657)"/>
    <s v="[625966, 625974]"/>
    <s v="[622714, 601906]"/>
    <s v="#FIELD!"/>
    <s v="[601899, 622714]"/>
    <s v="[0.021, 0.081]"/>
    <s v="73.42732127759344"/>
    <s v="[-0.021, -0.081]"/>
  </r>
  <r>
    <x v="1727"/>
    <x v="2301"/>
    <x v="0"/>
    <n v="0"/>
    <s v="LINESTRING (10.394613777320888 63.42219909102313, 10.394315058879585 63.422641675834406, 10.394344344240508 63.42282614273657)"/>
    <s v="[628873, 628881]"/>
    <s v="[624802, 601906]"/>
    <s v="#FIELD!"/>
    <s v="[601899, 624802]"/>
    <s v="[0.138, 0.214]"/>
    <s v="73.60781860240014"/>
    <s v="[-0.138, 0.214]"/>
  </r>
  <r>
    <x v="1728"/>
    <x v="2302"/>
    <x v="0"/>
    <s v="[0, 1, 1, 0]"/>
    <s v="LINESTRING (10.394344344240508 63.42282614273657, 10.394333856803957 63.42289347947752, 10.394193184504573 63.423482765438706, 10.393787520631546 63.42496539708294, 10.393729904138558 63.42516136559378)"/>
    <s v="[598921, 598929, 598937, 598945]"/>
    <s v="[601907, 601913, 601918, 601924]"/>
    <s v="#FIELD!"/>
    <s v="[601906, 601907, 601913, 601918]"/>
    <s v="[0.089, 0.1, 0.024, 0.102]"/>
    <s v="262.18643407181133"/>
    <s v="[-0.089, -0.1, 0.024, 0.102]"/>
  </r>
  <r>
    <x v="1729"/>
    <x v="2303"/>
    <x v="0"/>
    <n v="0"/>
    <s v="LINESTRING (10.393729904138558 63.42516136559378, 10.393636251408806 63.42577865124534, 10.393458318576716 63.42628091282438, 10.393448339126545 63.42630900603191, 10.393388245162338 63.42646743304299, 10.393364745976697 63.42655959985575, 10.39312920905639 63.427385528387305, 10.393028986433526 63.42749513614592, 10.3929990415092 63.4275089436452)"/>
    <s v="[625982, 625990, 625998, 626006, 626014, 626022, 626030, 626038]"/>
    <s v="[622725, 622731, 622736, 622742, 622747, 622752, 622757, 601930]"/>
    <s v="0.007721944949020309"/>
    <s v="[601924, 622725, 622731, 622736, 622742, 622747, 622752, 622757]"/>
    <s v="[0.046, 0.008, 0.012, 0.012, 0.013, 0.004, 0.004, 0.012]"/>
    <s v="265.89287210439477"/>
    <s v="[0.046, -0.008, -0.012, -0.012, -0.013, -0.004, 0.004, 0.012]"/>
  </r>
  <r>
    <x v="1729"/>
    <x v="2303"/>
    <x v="0"/>
    <n v="0"/>
    <s v="LINESTRING (10.393729904138558 63.42516136559378, 10.39343450884859 63.425767310198445, 10.393265911293385 63.42627004381814, 10.393257283884061 63.42629821663131, 10.393210800989944 63.42645750560875, 10.393186739192254 63.426549672228305, 10.392985220119758 63.427491412277696, 10.3929990415092 63.4275089436452)"/>
    <s v="[628889, 628897, 628905, 628913, 628921, 628929, 628937]"/>
    <s v="[624816, 624822, 624832, 624840, 624846, 624853, 601930]"/>
    <s v="0.007566462310587174"/>
    <s v="[601924, 624816, 624822, 624832, 624840, 624846, 624853]"/>
    <s v="[0.054, 0.045, 0.049, 0.046, 0.045, 0.011, 0.284]"/>
    <s v="265.3272058437086"/>
    <s v="[-0.054, 0.045, 0.049, 0.046, 0.045, 0.011, 0.284]"/>
  </r>
  <r>
    <x v="1730"/>
    <x v="2304"/>
    <x v="175"/>
    <n v="0"/>
    <s v="LINESTRING (10.3929990415092 63.4275089436452, 10.392669937721365 63.42881754715206, 10.392652002013604 63.428895946640566, 10.392601238569581 63.42906980863557, 10.392478437624849 63.429560073616116, 10.39237518320441 63.42996103859651, 10.39236856954204 63.429986290999906, 10.392261889774849 63.4303936737202, 10.392223730808503 63.43049367599984, 10.392145587488004 63.43060247661561, 10.39210145507513 63.43067147872413)"/>
    <s v="[598953, 598961, 598969, 598977, 598985, 598993, 599001, 599009, 1805653, 1805661]"/>
    <s v="[601931, 601939, 601945, 601949, 601954, 601958, 601963, 601967, 1392973, 1591175]"/>
    <s v="#FIELD!"/>
    <s v="[601930, 601931, 601939, 601945, 601949, 601954, 601958, 601963, 601967, 1392973]"/>
    <s v="[0.003, 0.014, 0.014, 0.016, 0.012, 0.015, 0.012, 0.013, 0.07, 0.021]"/>
    <s v="355.79677785475195"/>
    <s v="[-0.003, -0.014, -0.014, -0.016, -0.012, -0.015, -0.012, -0.013, -0.07, -0.021]"/>
  </r>
  <r>
    <x v="1731"/>
    <x v="2305"/>
    <x v="0"/>
    <n v="0"/>
    <s v="LINESTRING (11.741201314179165 63.41455015099733, 11.741807557865535 63.41430183650266, 11.74183291084525 63.41429588392421, 11.742639195738029 63.414104988395515, 11.74286095854158 63.414053495372606, 11.742978107145055 63.414025955731084, 11.743081148287882 63.414000313187515, 11.743257977513833 63.41395808090391, 11.743521036419274 63.413892957438414, 11.743809257509325 63.413817186877296, 11.744031454470045 63.4137551194953, 11.744834602106058 63.41352376890491)"/>
    <s v="[625762, 625770, 625778, 625786, 625794, 625802, 625810, 625818, 625826, 625834, 625842]"/>
    <s v="[622538, 622545, 622551, 622559, 622564, 505382, 622579, 622587, 622592, 622603, 602188]"/>
    <s v="0.12591390540567368"/>
    <s v="[602181, 622538, 622545, 622551, 622559, 622564, 505382, 622579, 622587, 622592, 622603]"/>
    <s v="[0.122, 0.121, 0.131, 0.135, 0.145, 0.125, 0.14, 0.133, 0.137, 0.132, 0.109]"/>
    <s v="216.35420808157596"/>
    <s v="[0.122, 0.121, 0.131, 0.135, 0.145, 0.125, 0.14, 0.133, 0.137, 0.132, 0.109]"/>
  </r>
  <r>
    <x v="1731"/>
    <x v="2305"/>
    <x v="0"/>
    <n v="0"/>
    <s v="LINESTRING (11.741201314179165 63.41455015099733, 11.741970669504468 63.414333280636264, 11.742719545984976 63.41416177288104, 11.74293894957156 63.41410881552, 11.743041036770732 63.41408292665743, 11.743143999981578 63.41405885439463, 11.743323447428514 63.41401581033812, 11.74358907562892 63.41394836471368, 11.743883008313784 63.413872257092684, 11.743944797083403 63.41385612115779, 11.744094331570059 63.413809034360405, 11.744103272117538 63.41380603109579, 11.744834602106058 63.41352376890491)"/>
    <s v="[682447, 682455, 682463, 682471, 682479, 682487, 682495, 682503, 682511, 682519, 682527, 682535]"/>
    <s v="[673583, 673594, 505352, 673612, 505372, 673631, 673639, 673647, 673657, 673667, 673677, 602188]"/>
    <s v="0.12659440367488126"/>
    <s v="[602181, 673583, 673594, 505352, 673612, 505372, 673631, 673639, 673647, 673657, 673667, 673677]"/>
    <s v="[0.147, 0.134, 0.135, 0.125, 0.135, 0.138, 0.136, 0.132, 0.138, 0.124, 0.161, 0.09]"/>
    <s v="215.48270051800654"/>
    <s v="[0.147, 0.134, 0.135, 0.125, 0.135, 0.138, 0.136, 0.132, 0.138, 0.124, 0.161, 0.09]"/>
  </r>
  <r>
    <x v="1731"/>
    <x v="2306"/>
    <x v="0"/>
    <n v="0"/>
    <s v="LINESTRING (11.541280521751471 63.4373230505893, 11.741201314179165 63.41455015099733)"/>
    <m/>
    <m/>
    <s v="0.0"/>
    <m/>
    <n v="0"/>
    <s v="11551.631569352941"/>
    <n v="0"/>
  </r>
  <r>
    <x v="1732"/>
    <x v="2307"/>
    <x v="176"/>
    <s v="[0, 0, 0, 0, 0, 0, 0, 0, 0, 0, 0, 0, 0, 0, 0, 0, 0, 0, 0, 0, 0, 0, 0, 1, 0, 0, 0, 0, 0, 0, 0, 0, 0, 0, 0, 0, 0, 0, 0, 0, 0, 0, 0]"/>
    <s v="LINESTRING (11.744834602106058 63.41352376890491, 11.746531974561728 63.41263470926548, 11.747943171836118 63.41052833564101, 11.747955921779482 63.410494722499735, 11.747983755879646 63.410419634962516, 11.748490237282228 63.40912144599685, 11.75812940490095 63.4054435317638, 11.763296487672777 63.40530367883748, 11.770019489921355 63.40375420981756, 11.771185889390203 63.40349452690051, 11.772521688692857 63.40318958836406, 11.77550891679782 63.40192733090491, 11.775999197981266 63.40174207307161, 11.776769097782523 63.401498554778044, 11.77985096327228 63.40066647405571, 11.78461989994796 63.39877491507992, 11.787248758828301 63.39805969992367, 11.787930601801403 63.39798220128718, 11.795745134467973 63.39756369254889, 11.797561203801898 63.397378139043305, 11.797726650233685 63.397364414015385, 11.800259772587069 63.39724317614866, 11.80111409828553 63.39719610748091, 11.804189400597147 63.39651354487486, 11.805184458592286 63.39612006849368, 11.808716363073435 63.39521218219382, 11.865647718569559 63.38115088071425, 11.891333868516496 63.37912634413783, 11.909375682664045 63.37627632154475, 11.936671616940925 63.37034409021936, 11.960089440966255 63.365215624119216, 11.960270492968203 63.36515954279545, 11.962307343685762 63.36452327088804, 11.962317314798367 63.364520177708044, 11.971307543253472 63.361712030991065, 11.990586809766429 63.355730838967006, 12.011806701718115 63.34754841492289, 12.016495553313332 63.34585269918738, 12.028693828300447 63.34204660901004, 12.028953130267999 63.34200536898791, 12.036260292416962 63.34124409991856, 12.037915964046894 63.34084177571346, 12.038487610539217 63.34069521764951, 12.059370049156364 63.33625768744996)"/>
    <s v="[599295, 599303, 599311, 599319, 599327, 599335, 599343, 640915, 640923, 640931, 640939, 640947, 640955, 640963, 640971, 640979, 640987, 640995, 641003, 641011, 641019, 641027, 641035, 641043, 641051, 641059, 641067, 641075, 641083, 599351, 599359, 599367, 599375, 599383, 599391, 599399, 599407, 599415, 599423, 599431, 599439, 599447, 599455]"/>
    <s v="[602189, 602194, 531293, 538380, 538401, 578827, 530913, 635146, 635153, 531353, 635163, 635168, 635175, 531345, 635185, 531336, 531818, 635202, 635207, 607969, 635217, 635223, 635227, 635232, 571916, 633475, 579069, 633626, 532130, 602229, 499768, 499767, 602246, 532050, 602258, 532026, 602270, 531943, 579136, 602288, 602293, 537993, 602303]"/>
    <s v="0.02062707977164079"/>
    <s v="[602188, 602189, 602194, 531293, 538380, 538401, 578827, 530913, 635146, 635153, 531353, 635163, 635168, 635175, 531345, 635185, 531336, 531818, 635202, 635207, 607969, 635217, 635223, 635227, 635232, 571916, 633475, 579069, 633626, 532130, 602229, 499768, 499767, 602246, 532050, 602258, 532026, 602270, 531943, 579136, 602288, 602293, 537993]"/>
    <s v="[0.058, 0.002, 0.004, 0.012, 0.002, 0.01, 0.087, 0.041, 0.071, 0.034, 0.039, 0.163, 0.148, 0.097, 0.028, 0.049, 0.013, 0.024, 0.026, 0.018, 0.03, 0.014, 0.074, 0.038, 0.048, 0.046, 0.033, 0.003, 0.01, 0.013, 1.011, 0.03, 0.028, 0.006, 0.018, 0.012, 0.036, 0.01, 0.016, 0.061, 0.073, 0.064, 0.043]"/>
    <s v="18855.648155876395"/>
    <s v="[0.058, -0.002, -0.004, -0.012, -0.002, -0.01, 0.087, 0.041, -0.071, -0.034, -0.039, 0.163, 0.148, 0.097, -0.028, -0.049, -0.013, 0.024, 0.026, 0.018, 0.03, -0.014, -0.074, 0.038, 0.048, 0.046, 0.033, -0.003, -0.01, 0.013, 1.011, -0.03, -0.028, 0.006, 0.018, 0.012, 0.036, -0.01, -0.016, 0.061, 0.073, 0.064, 0.043]"/>
  </r>
  <r>
    <x v="1733"/>
    <x v="2308"/>
    <x v="0"/>
    <n v="0"/>
    <s v="LINESTRING (10.923171486620173 63.467264895160056, 10.923263673889062 63.46723194868318, 10.923369749645387 63.46722124902965, 10.923477213058074 63.46723083968661, 10.92359332967484 63.467278967534014)"/>
    <s v="[599463, 599471, 599479, 599487]"/>
    <s v="[602309, 602315, 602318, 602323]"/>
    <s v="#FIELD!"/>
    <s v="[602308, 602309, 602315, 602318]"/>
    <s v="[0.003, 0.004, 0.009, 0.012]"/>
    <s v="24.664987579257033"/>
    <s v="[0.003, -0.004, -0.009, -0.012]"/>
  </r>
  <r>
    <x v="1733"/>
    <x v="2309"/>
    <x v="0"/>
    <n v="0"/>
    <s v="LINESTRING (10.923159072827264 63.467389749162216, 10.923127636299528 63.467311300744754, 10.923171486620173 63.467264895160056)"/>
    <s v="[599543, 599551]"/>
    <s v="[602363, 602308]"/>
    <s v="0.013612692906947974"/>
    <s v="[602358, 602363]"/>
    <s v="[0.014, 0.013]"/>
    <s v="14.501353116228143"/>
    <s v="[0.014, 0.013]"/>
  </r>
  <r>
    <x v="1733"/>
    <x v="2310"/>
    <x v="0"/>
    <n v="0"/>
    <s v="LINESTRING (10.915408515858893 63.466885307530575, 10.91553523697886 63.466898339891024, 10.915957920516338 63.46692266088787, 10.918629983966358 63.46702288080619, 10.923042156621069 63.46726970910144, 10.923171486620173 63.467264895160056)"/>
    <s v="[2135140, 2135148, 2135156, 625634, 625642]"/>
    <s v="[1835809, 1835813, 622426, 622427, 602308]"/>
    <s v="0.009570001728846447"/>
    <s v="[1835749, 1835809, 1835813, 622426, 622427]"/>
    <s v="[0.009, 0.009, 0.011, 0.009, 0.002]"/>
    <s v="390.2736511686734"/>
    <s v="[0.009, 0.009, 0.011, 0.009, 0.002]"/>
  </r>
  <r>
    <x v="1734"/>
    <x v="2311"/>
    <x v="0"/>
    <n v="0"/>
    <s v="LINESTRING (10.92359332967484 63.467278967534014, 10.923623756584224 63.46734632233916, 10.923576600040825 63.467398305416665)"/>
    <s v="[599495, 599503]"/>
    <s v="[602330, 602337]"/>
    <s v="#FIELD!"/>
    <s v="[602323, 602330]"/>
    <s v="[0.012, 0.008]"/>
    <s v="13.91456347670244"/>
    <s v="[-0.012, -0.008]"/>
  </r>
  <r>
    <x v="1734"/>
    <x v="2312"/>
    <x v="0"/>
    <n v="0"/>
    <s v="LINESTRING (10.92359332967484 63.467278967534014, 10.923720733791164 63.46729626349722, 10.92429158647704 63.467347489902)"/>
    <s v="[625650, 625658]"/>
    <s v="[622438, 622445]"/>
    <s v="#FIELD!"/>
    <s v="[602323, 622438]"/>
    <s v="[0.009, 0.007]"/>
    <s v="35.672841969565056"/>
    <s v="[-0.009, -0.007]"/>
  </r>
  <r>
    <x v="1735"/>
    <x v="2309"/>
    <x v="0"/>
    <n v="0"/>
    <s v="LINESTRING (10.923576600040825 63.467398305416665, 10.923538836714718 63.46741681403084, 10.92339847832961 63.46744373077234, 10.923200168497587 63.46741256537908, 10.923159072827264 63.467389749162216)"/>
    <s v="[599511, 599519, 599527, 599535]"/>
    <s v="[602344, 602348, 602352, 602358]"/>
    <s v="0.004439213923868502"/>
    <s v="[602337, 602344, 602348, 602352]"/>
    <s v="[0.006, 0.0, 0.008, 0.012]"/>
    <s v="24.42303202797139"/>
    <s v="[-0.006, 0.0, 0.008, 0.012]"/>
  </r>
  <r>
    <x v="1735"/>
    <x v="2312"/>
    <x v="0"/>
    <n v="0"/>
    <s v="LINESTRING (10.923576600040825 63.467398305416665, 10.923718833386362 63.46738825922892, 10.92429158647704 63.467347489902)"/>
    <s v="[682343, 682351]"/>
    <s v="[673448, 622445]"/>
    <s v="#FIELD!"/>
    <s v="[602337, 673448]"/>
    <s v="[0.1, 0.021]"/>
    <s v="36.100931019269574"/>
    <s v="[-0.1, 0.021]"/>
  </r>
  <r>
    <x v="1736"/>
    <x v="2313"/>
    <x v="0"/>
    <n v="0"/>
    <s v="LINESTRING (10.91540204047752 63.4670375662388, 10.915529821019366 63.46702250407288, 10.915949624661213 63.467001153457524, 10.918612860908487 63.467078515457594, 10.923048053761569 63.46736337442323, 10.923159072827264 63.467389749162216)"/>
    <s v="[2135116, 2135124, 2135132, 682328, 682335]"/>
    <s v="[1835795, 1835799, 673432, 673433, 602358]"/>
    <s v="0.008926561402602983"/>
    <s v="[1835761, 1835795, 1835799, 673432, 673433]"/>
    <s v="[0.01, 0.009, 0.009, 0.005, 0.146]"/>
    <s v="390.68212841516015"/>
    <s v="[0.01, 0.009, 0.009, 0.005, 0.146]"/>
  </r>
  <r>
    <x v="1737"/>
    <x v="402"/>
    <x v="0"/>
    <n v="0"/>
    <s v="LINESTRING (9.858505944091107 63.30883154777064, 9.858206438714593 63.30872055024194, 9.85680757587846 63.307993580308256, 9.856780017501546 63.30797790110359, 9.856630453243787 63.30789263761548, 9.855539894137632 63.307176742161545, 9.85461857821334 63.30635096881147)"/>
    <s v="[1851089, 1851097, 1851105, 1851114, 1851134, 1851135]"/>
    <s v="[1620766, 1620773, 1620780, 1620787, 1620810, 602428]"/>
    <s v="#FIELD!"/>
    <s v="[602423, 1620766, 1620773, 1620780, 1620787, 1620810]"/>
    <s v="[0.086, 0.01, 0.036, 0.018, 0.025, 0.024]"/>
    <s v="341.58011552869664"/>
    <s v="[0.086, -0.01, -0.036, -0.018, -0.025, -0.024]"/>
  </r>
  <r>
    <x v="1737"/>
    <x v="402"/>
    <x v="0"/>
    <n v="0"/>
    <s v="LINESTRING (9.858505944091107 63.30883154777064, 9.858292901638407 63.308690578527965, 9.856963712928122 63.3079682438151, 9.856852889826472 63.307903454546995, 9.856718291728049 63.30782420239643, 9.855651946075897 63.30712691588576, 9.85461857821334 63.30635096881147)"/>
    <s v="[1851150, 1851158, 1851175, 1851183, 1851191, 1851199]"/>
    <s v="[1620829, 1620839, 1620856, 1620863, 1620870, 602428]"/>
    <s v="#FIELD!"/>
    <s v="[602423, 1620829, 1620839, 1620856, 1620863, 1620870]"/>
    <s v="[0.113, 0.008, 0.013, 0.016, 0.025, 0.032]"/>
    <s v="339.37753893224635"/>
    <s v="[0.113, -0.008, -0.013, -0.016, -0.025, -0.032]"/>
  </r>
  <r>
    <x v="1738"/>
    <x v="2314"/>
    <x v="0"/>
    <n v="0"/>
    <s v="LINESTRING (11.154832178096836 60.08037153589818, 11.154794452254032 60.080401900548445, 11.154709373246874 60.080437179472185, 11.154608347387432 60.08045491444875, 11.154298882889739 60.08036230575758)"/>
    <s v="[1496886, 1496887, 1496893, 1496923]"/>
    <s v="[1354973, 1354974, 1354982, 1355006]"/>
    <s v="0.07057722470835306"/>
    <s v="[604721, 1354973, 1354974, 1354982]"/>
    <s v="[0.179, 0.05, 0.061, 0.059]"/>
    <s v="37.52359616430519"/>
    <s v="[0.179, 0.05, 0.061, 0.059]"/>
  </r>
  <r>
    <x v="1738"/>
    <x v="1466"/>
    <x v="0"/>
    <n v="0"/>
    <s v="LINESTRING (11.154841022323195 60.08026482023759, 11.154856377015813 60.08031830420506, 11.154832178096836 60.08037153589818)"/>
    <s v="[1496844, 1496855]"/>
    <s v="[1354936, 604721]"/>
    <s v="#FIELD!"/>
    <s v="[604762, 1354936]"/>
    <s v="[0.029, 0.063]"/>
    <s v="12.10355982005014"/>
    <s v="[0.029, -0.063]"/>
  </r>
  <r>
    <x v="1739"/>
    <x v="2315"/>
    <x v="0"/>
    <n v="0"/>
    <s v="LINESTRING (11.154320472628726 60.08023888136954, 11.154393521922975 60.08019875786323, 11.154490003433995 60.08017369931928, 11.154596738524745 60.08016871569633, 11.154841022323195 60.08026482023759)"/>
    <s v="[1496820, 1496828, 1496836, 1496837]"/>
    <s v="[1354918, 1354925, 1354930, 604762]"/>
    <s v="#FIELD!"/>
    <s v="[1354917, 1354918, 1354925, 1354930]"/>
    <s v="[0.044, 0.073, 0.088, 0.073]"/>
    <s v="36.10284719409079"/>
    <s v="[-0.044, -0.073, -0.088, -0.073]"/>
  </r>
  <r>
    <x v="1740"/>
    <x v="2277"/>
    <x v="0"/>
    <n v="0"/>
    <m/>
    <n v="1267434"/>
    <n v="1183932"/>
    <s v="#FIELD!"/>
    <n v="610779"/>
    <s v="0.008"/>
    <s v="36.533038871877935"/>
    <s v="#FIELD!"/>
  </r>
  <r>
    <x v="1740"/>
    <x v="2278"/>
    <x v="0"/>
    <n v="0"/>
    <m/>
    <n v="1267654"/>
    <n v="1184086"/>
    <s v="#FIELD!"/>
    <n v="610779"/>
    <s v="0.007"/>
    <s v="32.81082293475273"/>
    <s v="#FIELD!"/>
  </r>
  <r>
    <x v="1740"/>
    <x v="2316"/>
    <x v="0"/>
    <s v="[0, 1, 0]"/>
    <s v="LINESTRING (11.462272436435894 63.785464832735926, 11.463070951245408 63.785688346929575, 11.464293487509002 63.786034481708626, 11.464578360324055 63.78611457478554)"/>
    <s v="[846689, 610054, 610062]"/>
    <s v="[610774, 610775, 610779]"/>
    <s v="#FIELD!"/>
    <s v="[822035, 610774, 610775]"/>
    <s v="[0.014, 0.015, 0.008]"/>
    <s v="134.80441296823588"/>
    <s v="[-0.014, -0.015, -0.008]"/>
  </r>
  <r>
    <x v="1741"/>
    <x v="2317"/>
    <x v="0"/>
    <n v="0"/>
    <s v="LINESTRING (9.83690339712527 63.29716230358965, 9.836138491978334 63.297243990454064, 9.836123916841526 63.297245548211556, 9.836005992428573 63.297258142079336, 9.8358962635224 63.29726985501922)"/>
    <s v="[1355028, 1355035, 1355043, 1355044]"/>
    <s v="[1253900, 1253906, 1253912, 1253793]"/>
    <s v="0.0017884340573579573"/>
    <s v="[610925, 1253900, 1253906, 1253912]"/>
    <s v="[0.002, 0.003, 0.001, 0.001]"/>
    <s v="51.9396196930404"/>
    <s v="[0.002, 0.003, 0.001, 0.001]"/>
  </r>
  <r>
    <x v="1741"/>
    <x v="2318"/>
    <x v="0"/>
    <n v="0"/>
    <s v="LINESTRING (9.83690339712527 63.29716230358965, 9.836119125834816 63.29716571711407, 9.836098496509903 63.297165804385436, 9.835979018666134 63.29716633115243, 9.83586196365759 63.29716683787956)"/>
    <s v="[1355051, 1355052, 1355062, 1355075]"/>
    <s v="[1253916, 1253917, 1253924, 1253875]"/>
    <s v="0.001980191464483398"/>
    <s v="[610925, 1253916, 1253917, 1253924]"/>
    <s v="[0.002, 0.001, 0.002, 0.002]"/>
    <s v="52.25959146235435"/>
    <s v="[0.002, 0.001, 0.002, 0.002]"/>
  </r>
  <r>
    <x v="1742"/>
    <x v="2319"/>
    <x v="0"/>
    <n v="0"/>
    <s v="LINESTRING (9.83436787815645 63.297301202772914, 9.833005385362641 63.29738017445137, 9.829561585405795 63.29757336487955, 9.828375901074889 63.29771692426294, 9.828262566242149 63.29773621050159, 9.828064375131072 63.29778397899561, 9.822130976097785 63.30204034894173, 9.820416334078656 63.3028053106266, 9.818604779178372 63.30371333516789, 9.815777205829082 63.306122242695864, 9.81349422617058 63.308781627108104, 9.813277388564067 63.30903407027017, 9.813232449384671 63.30908739315402, 9.812326562106941 63.31013669338123, 9.812287549576016 63.31018209006574)"/>
    <s v="[610332, 610340, 610348, 610356, 610364, 610372, 610380, 610388, 610396, 610404, 610412, 610420, 610428, 610436]"/>
    <s v="[610931, 610935, 610942, 604080, 610953, 610959, 610964, 610970, 603665, 610980, 505695, 610985, 610989, 610996]"/>
    <s v="0.010395324263606556"/>
    <s v="[610930, 610931, 610935, 610942, 604080, 610953, 610959, 610964, 610970, 603665, 610980, 505695, 610985, 610989]"/>
    <s v="[0.002, 0.035, 0.045, 0.044, 0.035, 0.025, 0.011, 0.013, 0.022, 0.004, 0.023, 0.021, 0.003, 0.01]"/>
    <s v="1946.1773690033567"/>
    <s v="[0.002, 0.035, 0.045, 0.044, 0.035, 0.025, -0.011, 0.013, -0.022, 0.004, 0.023, 0.021, 0.003, -0.01]"/>
  </r>
  <r>
    <x v="1742"/>
    <x v="2320"/>
    <x v="0"/>
    <n v="0"/>
    <s v="LINESTRING (9.835401465819457 63.29729831054062, 9.835293064894476 63.297298609431635, 9.83520000586589 63.297298871895045, 9.834713508462173 63.297300231558815, 9.83436787815645 63.297301202772914)"/>
    <s v="[1355076, 1355085, 1355102, 1355110]"/>
    <s v="[1253932, 1253938, 1253951, 610930]"/>
    <s v="0.003"/>
    <s v="[1253821, 1253932, 1253938, 1253951]"/>
    <s v="0.003"/>
    <s v="51.86424183544278"/>
    <s v="0.003"/>
  </r>
  <r>
    <x v="1742"/>
    <x v="2321"/>
    <x v="0"/>
    <n v="0"/>
    <s v="LINESTRING (9.835377203899998 63.29719474027889, 9.835272942399973 63.2972057337191, 9.835175568220821 63.29721600568592, 9.83471215380151 63.29726488811362, 9.834694708722777 63.29726672829907, 9.83436787815645 63.297301202772914)"/>
    <s v="[1355118, 1355126, 1355134, 1355142, 1355150]"/>
    <s v="[1253961, 1253966, 1253971, 1253978, 610930]"/>
    <s v="0.003068728522022595"/>
    <s v="[1253835, 1253961, 1253966, 1253971, 1253978]"/>
    <s v="[0.004, 0.003, 0.003, 0.001, 0.003]"/>
    <s v="52.01877332642678"/>
    <s v="[0.004, 0.003, 0.003, 0.001, 0.003]"/>
  </r>
  <r>
    <x v="1743"/>
    <x v="2322"/>
    <x v="0"/>
    <n v="0"/>
    <s v="LINESTRING (9.812287549576016 63.31018209006574, 9.812166438273358 63.310218085572, 9.811643107748985 63.310130929024716)"/>
    <s v="[1819602, 2138863]"/>
    <s v="[1599896, 612442]"/>
    <s v="0.05032793840296952"/>
    <s v="[610996, 1599896]"/>
    <s v="[0.313, 0.018]"/>
    <s v="35.27057398805041"/>
    <s v="[0.313, -0.018]"/>
  </r>
  <r>
    <x v="1743"/>
    <x v="2322"/>
    <x v="0"/>
    <n v="0"/>
    <s v="LINESTRING (9.812287549576016 63.31018209006574, 9.812235400328731 63.31012530615325, 9.811643107748985 63.310130929024716)"/>
    <s v="[1819620, 2139015]"/>
    <s v="[1599911, 612442]"/>
    <s v="0.04799288904139595"/>
    <s v="[610996, 1599911]"/>
    <s v="[0.347, 0.02]"/>
    <s v="36.97988911090936"/>
    <s v="[0.347, -0.02]"/>
  </r>
  <r>
    <x v="1744"/>
    <x v="2074"/>
    <x v="0"/>
    <n v="0"/>
    <s v="LINESTRING (9.846351711496354 63.29654813681337, 9.846391593956632 63.296538444951835, 9.846549930725368 63.29651303914274, 9.84675950361889 63.29654852661185, 9.846788010982952 63.29656696859517)"/>
    <s v="[611772, 611780, 611788, 611796]"/>
    <s v="[582971, 611970, 610211, 611980]"/>
    <s v="0.04075082769725847"/>
    <s v="[611960, 582971, 611970, 610211]"/>
    <s v="[0.063, 0.054, 0.03, 0.025]"/>
    <s v="24.646999841491724"/>
    <s v="[0.063, 0.054, 0.03, 0.025]"/>
  </r>
  <r>
    <x v="1745"/>
    <x v="2323"/>
    <x v="0"/>
    <n v="0"/>
    <s v="LINESTRING (7.9566098756676995 58.137586628345744, 7.956362504828732 58.13762121387598, 7.955941261464857 58.13767378896334, 7.955908551166979 58.13767727260141, 7.953848180162155 58.137863427963396, 7.953700279623238 58.137894960365905)"/>
    <s v="[612277, 612285, 612293, 612301, 612309]"/>
    <s v="[612325, 612332, 612339, 612344, 612349]"/>
    <s v="0.03474699124668935"/>
    <s v="[612324, 612325, 612332, 612339, 612344]"/>
    <s v="[0.053, 0.049, 0.053, 0.032, 0.001]"/>
    <s v="175.48220513982713"/>
    <s v="[0.053, 0.049, 0.053, 0.032, -0.001]"/>
  </r>
  <r>
    <x v="1745"/>
    <x v="2324"/>
    <x v="0"/>
    <n v="0"/>
    <s v="LINESTRING (7.965194395956504 58.14003640641602, 7.964848032962879 58.139903114268535, 7.963934385206857 58.139547496159736, 7.963404893454272 58.13933870921998, 7.9629649086172964 58.13922644613347, 7.958446952658321 58.137575096986346, 7.956880471052001 58.137586315876796, 7.9566098756676995 58.137586628345744)"/>
    <s v="[1138706, 1138714, 1135252, 1135253, 1135255, 1135257, 1135258]"/>
    <s v="[1075094, 1072165, 1072166, 1072167, 1072168, 1072170, 612324]"/>
    <s v="0.02623039993645212"/>
    <s v="[1072160, 1075094, 1072165, 1072166, 1072167, 1072168, 1072170]"/>
    <s v="[0.059, 0.099, 0.073, 0.092, 0.016, 0.07, 0.047]"/>
    <s v="595.6575502788072"/>
    <s v="[0.059, 0.099, 0.073, 0.092, -0.016, 0.07, 0.047]"/>
  </r>
  <r>
    <x v="1745"/>
    <x v="2325"/>
    <x v="0"/>
    <n v="0"/>
    <s v="LINESTRING (7.962878825179337 58.13604764859662, 7.962799814111719 58.13604566465043, 7.962229820454042 58.13616515467465, 7.962177705246112 58.13617284488747, 7.96072182944112 58.13664191456633, 7.960032178372054 58.13689141882314, 7.956853163684683 58.13754324516386, 7.9566098756676995 58.137586628345744)"/>
    <s v="[1138776, 1138784, 1138807, 1138808, 1138821, 1138822, 1138799]"/>
    <s v="[1075169, 1075177, 1075201, 1075202, 1075217, 1075192, 612324]"/>
    <s v="0.04477969709931162"/>
    <s v="[1072243, 1075169, 1075177, 1075201, 1075202, 1075217, 1075192]"/>
    <s v="[0.055, 0.006, 0.044, 0.023, 0.034, 0.104, 0.062]"/>
    <s v="412.33762227590705"/>
    <s v="[0.055, 0.006, 0.044, -0.023, -0.034, 0.104, 0.062]"/>
  </r>
  <r>
    <x v="1746"/>
    <x v="2326"/>
    <x v="0"/>
    <n v="0"/>
    <s v="LINESTRING (7.953700279623238 58.137894960365905, 7.953477214632602 58.13796571316863, 7.953334125261726 58.13795686713441, 7.953226937840371 58.13792442866354, 7.9531946829246705 58.13790346869014)"/>
    <s v="[2137690, 2137698, 2137706, 2137714]"/>
    <s v="[215585, 1837166, 1122475, 731635]"/>
    <s v="#FIELD!"/>
    <s v="[612349, 215585, 1837166, 1122475]"/>
    <s v="[0.25, 0.003, 0.021, 2.068]"/>
    <s v="34.47968060784897"/>
    <s v="[0.25, -0.003, 0.021, -2.068]"/>
  </r>
  <r>
    <x v="1746"/>
    <x v="2327"/>
    <x v="0"/>
    <n v="0"/>
    <s v="LINESTRING (7.953711134699156 58.13771854486634, 7.953754669233633 58.13779222163396, 7.953700279623238 58.137894960365905)"/>
    <s v="[2137770, 2137778]"/>
    <s v="[1837198, 612349]"/>
    <s v="#FIELD!"/>
    <s v="[1114141, 1837198]"/>
    <s v="[0.515, 0.415]"/>
    <s v="20.5155266182138"/>
    <s v="[0.515, -0.415]"/>
  </r>
  <r>
    <x v="1747"/>
    <x v="2328"/>
    <x v="177"/>
    <n v="0"/>
    <s v="LINESTRING (7.934460920627686 58.143217644712244, 7.93192327710721 58.143838765360364, 7.931560813578516 58.143897429410494, 7.931544462938736 58.14389985341429, 7.929986228391877 58.14406633054019, 7.927896115118603 58.144154044706724, 7.9275151294643305 58.14416704474617, 7.927021517188462 58.144187394154386, 7.926928184192564 58.144190556481476, 7.926804215366352 58.14419503962454, 7.92271694228767 58.14455736724954, 7.922090285527244 58.144638404446944, 7.921041478690489 58.14477177052634, 7.921033430210488 58.14477289881727, 7.920941291790871 58.14478390122986, 7.920856155545155 58.14479432077792, 7.919274621325792 58.14498272997346, 7.919053515402971 58.14500640874569, 7.918320973329565 58.14507746480328, 7.916798529408535 58.14515763757121, 7.916374205227618 58.145157361845555, 7.916107445691901 58.14515698360717, 7.915719113873853 58.145149053063435, 7.915712416257652 58.1451488775025, 7.914972600477889 58.145118603751484, 7.91495606213749 58.14511768955266, 7.914774252978582 58.14510638675826, 7.914075073645076 58.14504794070308)"/>
    <s v="[612381, 612389, 612397, 612405, 612413, 612421, 612429, 612437, 612445, 612453, 612461, 612469, 612477, 612485, 612493, 612501, 612509, 612517, 612525, 612533, 612541, 612549, 612557, 612565, 612573, 612581, 612589]"/>
    <s v="[612384, 612390, 612395, 612398, 612403, 612408, 612412, 612417, 612425, 612431, 612435, 612444, 284169, 612451, 284161, 612462, 612465, 612471, 612476, 612481, 612487, 612491, 612494, 612499, 612504, 612508, 612516]"/>
    <s v="#FIELD!"/>
    <s v="[612380, 612384, 612390, 612395, 612398, 612403, 612408, 612412, 612417, 612425, 612431, 612435, 612444, 284169, 612451, 284161, 612462, 612465, 612471, 612476, 612481, 612487, 612491, 612494, 612499, 612504, 612508]"/>
    <s v="[0.055, 0.068, 0.077, 0.064, 0.017, 0.053, 0.054, 0.048, 0.06, 0.048, 0.019, 0.028, 0.01, 0.035, 0.036, 0.033, 0.032, 0.024, 0.031, 0.025, 0.024, 0.028, 0.035, 0.001, 0.001, 0.003, 0.004]"/>
    <s v="1233.4325020479369"/>
    <s v="[0.055, 0.068, 0.077, 0.064, -0.017, -0.053, -0.054, -0.048, -0.06, -0.048, -0.019, -0.028, -0.01, -0.035, -0.036, -0.033, -0.032, -0.024, -0.031, -0.025, -0.024, -0.028, -0.035, -0.001, -0.001, 0.003, 0.004]"/>
  </r>
  <r>
    <x v="1747"/>
    <x v="40"/>
    <x v="0"/>
    <n v="0"/>
    <s v="LINESTRING (7.9395285167290295 58.14114409128873, 7.938470822603783 58.14149327217838, 7.938462044493513 58.14149619044732, 7.93528894806986 58.14288774051811, 7.934460920627686 58.143217644712244)"/>
    <s v="[749755, 612357, 612365, 612373]"/>
    <s v="[612369, 612370, 612374, 612380]"/>
    <s v="0.11124257902402064"/>
    <s v="[731682, 612369, 612370, 612374]"/>
    <s v="[0.126, 0.054, 0.108, 0.107]"/>
    <s v="379.3164090335731"/>
    <s v="[0.126, 0.054, 0.108, 0.107]"/>
  </r>
  <r>
    <x v="1748"/>
    <x v="2329"/>
    <x v="178"/>
    <s v="[0, 0, 0, 0, 0, 0, 0, 0, 0, 0, 0, 1, 0, 0, 0, 0, 0, 0, 0, 0, 0, 0, 0, 0, 0, 0, 0, 0, 0, 0, 0, 0, 0, 0, 0, 0, 0, 0, 0, 0, 1, 0, 0]"/>
    <s v="LINESTRING (9.811643107748985 63.310130929024716, 9.811338563490125 63.3101277875082, 9.808919427573656 63.31012063354696, 9.807846539355198 63.31011789802979, 9.807546113444763 63.31011676112823, 9.803525941955321 63.30977638809976, 9.800859495489249 63.309314956506135, 9.798957544551286 63.309140419594655, 9.78569850085109 63.307253819999254, 9.783895060260173 63.30691480081384, 9.7765338416073 63.306099279067325, 9.776163816026736 63.306115599292454, 9.775544394948126 63.306170574366284, 9.774728548699922 63.30629861008418, 9.76929018719173 63.306461711703605, 9.767528978009775 63.30583483120089, 9.762750240537702 63.304168150851076, 9.75536778144524 63.30399429953282, 9.743476861425716 63.300547326216495, 9.74244272819002 63.300184493998366, 9.738692786343519 63.29887783979202, 9.733525661562311 63.29726603675009, 9.717918297845287 63.293592993306994, 9.714238153744892 63.29192667512609, 9.709167254251284 63.28984082358359, 9.708951535696123 63.289777922768025, 9.700016191643185 63.287627562822, 9.697490936422716 63.287275143133506, 9.695630218441707 63.287016716988994, 9.692650373872574 63.286605791991505, 9.692486281269987 63.28658508577984, 9.679449802984129 63.28441531815003, 9.67183920012208 63.283182598067896, 9.671639365346342 63.283150637348946, 9.670429933725552 63.28295562344097, 9.668751567325446 63.28268446903179, 9.666055450411152 63.28231409559461, 9.650650739503746 63.28293146814803, 9.64693236060347 63.28369313281563, 9.646822575290985 63.28371565825308, 9.646011689770823 63.28388240870177, 9.64568536804446 63.2839496561938, 9.640567971759273 63.28497026016392, 9.637259046874645 63.28550724186002)"/>
    <s v="[612468, 612476, 612484, 612492, 612500, 612508, 612516, 612524, 612532, 612540, 612548, 612556, 612564, 612572, 612580, 612588, 612596, 612604, 612612, 612620, 612628, 612636, 612644, 612652, 612660, 612668, 612676, 612684, 612692, 612700, 612708, 612716, 612724, 612732, 612740, 1296260, 1296268, 1296164, 1296172, 1296180, 1296188, 1296196, 1296204]"/>
    <s v="[612443, 520420, 518612, 612455, 612461, 506091, 612470, 612475, 612480, 612486, 612490, 612493, 612498, 526405, 612507, 612515, 518397, 612528, 612534, 527241, 612545, 612550, 612555, 612559, 612565, 612570, 612577, 603908, 612591, 612599, 612607, 612614, 612621, 612627, 612634, 1208557, 1208486, 944372, 1208495, 1208501, 1208506, 1208512, 1208516]"/>
    <s v="0.015598795770576601"/>
    <s v="[612442, 612443, 520420, 518612, 612455, 612461, 506091, 612470, 612475, 612480, 612486, 612490, 612493, 612498, 526405, 612507, 612515, 518397, 612528, 612534, 527241, 612545, 612550, 612555, 612559, 612565, 612570, 612577, 603908, 612591, 612599, 612607, 612614, 612621, 612627, 612634, 1208557, 1208486, 944372, 1208495, 1208501, 1208506, 1208512]"/>
    <s v="[0.048, 0.045, 0.041, 0.035, 0.063, 0.042, 0.035, 0.013, 0.047, 0.037, 0.125, 0.113, 0.014, 0.025, 0.053, 0.09, 0.031, 0.01, 0.092, 0.079, 0.02, 0.056, 0.055, 0.013, 0.007, 0.043, 0.046, 0.04, 0.035, 0.033, 0.014, 0.03, 0.094, 0.098, 0.116, 0.104, 0.008, 0.162, 0.122, 0.109, 0.027, 0.007, 0.013]"/>
    <s v="9708.296685012665"/>
    <s v="[0.048, 0.045, 0.041, 0.035, 0.063, 0.042, -0.035, 0.013, 0.047, -0.037, -0.125, -0.113, -0.014, 0.025, -0.053, 0.09, 0.031, 0.01, 0.092, 0.079, 0.02, 0.056, -0.055, -0.013, -0.007, 0.043, -0.046, -0.04, -0.035, 0.033, 0.014, 0.03, 0.094, 0.098, 0.116, 0.104, 0.008, -0.162, -0.122, -0.109, -0.027, -0.007, -0.013]"/>
  </r>
  <r>
    <x v="1749"/>
    <x v="2330"/>
    <x v="0"/>
    <n v="0"/>
    <m/>
    <n v="1019884"/>
    <n v="612516"/>
    <s v="#FIELD!"/>
    <n v="975600"/>
    <s v="0.44"/>
    <s v="12.967287226076609"/>
    <s v="#FIELD!"/>
  </r>
  <r>
    <x v="1750"/>
    <x v="2331"/>
    <x v="0"/>
    <n v="0"/>
    <s v="LINESTRING (7.485604788494946 58.03272059516849, 7.485507710417683 58.03272358759165, 7.485422982930118 58.032696882904325, 7.485316684429263 58.03266438049365, 7.484564498240275 58.03242362209798, 7.484519253088175 58.03240902541155, 7.484421342829726 58.0323768939457, 7.484089453364004 58.03223151978797)"/>
    <s v="[613309, 613317, 613325, 613333, 613341, 613349, 613357]"/>
    <s v="[613062, 613071, 613078, 613085, 613094, 613101, 613106]"/>
    <s v="0.01824508807928846"/>
    <s v="[613061, 613062, 613071, 613078, 613085, 613094, 613101]"/>
    <s v="[0.049, 0.045, 0.038, 0.004, 0.024, 0.047, 0.1]"/>
    <s v="106.58910863606715"/>
    <s v="[-0.049, -0.045, -0.038, -0.004, 0.024, 0.047, 0.1]"/>
  </r>
  <r>
    <x v="1750"/>
    <x v="2331"/>
    <x v="0"/>
    <n v="0"/>
    <s v="LINESTRING (7.485604788494946 58.03272059516849, 7.485474823515638 58.03264211127811, 7.485397530678409 58.032617551973466, 7.484720934236371 58.03240209126347, 7.484639915448644 58.03237618321842, 7.484569967030733 58.032353556092794, 7.484089453364004 58.03223151978797)"/>
    <s v="[1185131, 1185139, 1185147, 1185155, 1185163, 1185171]"/>
    <s v="[1114451, 1114459, 1114466, 1114473, 1114481, 613106]"/>
    <s v="0.018418098530695252"/>
    <s v="[613061, 1114451, 1114459, 1114466, 1114473, 1114481]"/>
    <s v="[0.027, 0.038, 0.008, 0.026, 0.077, 0.05]"/>
    <s v="106.1249884928102"/>
    <s v="[-0.027, -0.038, 0.008, 0.026, 0.077, 0.05]"/>
  </r>
  <r>
    <x v="1750"/>
    <x v="2332"/>
    <x v="0"/>
    <n v="0"/>
    <m/>
    <n v="1349413"/>
    <n v="613061"/>
    <s v="#FIELD!"/>
    <n v="1250131"/>
    <s v="0.04"/>
    <s v="53.950469108027605"/>
    <s v="#FIELD!"/>
  </r>
  <r>
    <x v="1751"/>
    <x v="2333"/>
    <x v="179"/>
    <n v="0"/>
    <s v="LINESTRING (7.484089453364004 58.03223151978797, 7.482898688645072 58.03178265251956, 7.480744845407172 58.03091442773297, 7.479983473861829 58.030609834950226, 7.4794801325452775 58.0304177727155)"/>
    <s v="[1349421, 1349429, 1349437, 1349445]"/>
    <s v="[1250138, 334716, 334731, 613109]"/>
    <s v="0.020131398681742144"/>
    <s v="[613106, 1250138, 334716, 334731]"/>
    <s v="[0.078, 0.034, 0.046, 0.075]"/>
    <s v="339.79024332092473"/>
    <s v="[0.078, 0.034, -0.046, -0.075]"/>
  </r>
  <r>
    <x v="1752"/>
    <x v="2334"/>
    <x v="0"/>
    <s v="[0, 0, 0, 0, 0, 0, 0, 0, 1, 0, 0, 0, 0]"/>
    <s v="LINESTRING (7.4794801325452775 58.0304177727155, 7.478771312191692 58.03022075797756, 7.478723218610385 58.030207116835165, 7.478671813600658 58.03019265678768, 7.477633544851639 58.02995647649263, 7.477524345501208 58.02994099790305, 7.4768219931298905 58.02987174887716, 7.476497396560863 58.029853521097344, 7.476000479245246 58.02984168546574, 7.473107245459438 58.03013222741409, 7.472894572751262 58.030156548978724, 7.472641699821454 58.03019222079559, 7.471561095479709 58.03032950349558, 7.471412140744803 58.03034772106425)"/>
    <s v="[613365, 613373, 613381, 613389, 613397, 613405, 613413, 613421, 613429, 613437, 613445, 613453, 613461]"/>
    <s v="[613110, 613115, 613120, 613125, 221623, 613135, 613140, 613144, 613149, 613155, 613159, 613164, 613168]"/>
    <s v="#FIELD!"/>
    <s v="[613109, 613110, 613115, 613120, 613125, 221623, 613135, 613140, 613144, 613149, 613155, 613159, 613164]"/>
    <s v="[0.093, 0.04, 0.024, 0.046, 0.058, 0.065, 0.069, 0.046, 0.004, 0.011, 0.011, 0.011, 0.01]"/>
    <s v="497.0793860356377"/>
    <s v="[-0.093, -0.04, -0.024, -0.046, -0.058, -0.065, -0.069, -0.046, -0.004, 0.011, 0.011, 0.011, 0.01]"/>
  </r>
  <r>
    <x v="1752"/>
    <x v="2335"/>
    <x v="0"/>
    <s v="[0, 0, 0, 0, 0, 0, 0, 0, 0, 1, 0, 0, 0]"/>
    <s v="LINESTRING (7.4794801325452775 58.0304177727155, 7.478776688305337 58.030130976469025, 7.478746586907797 58.03012123549998, 7.477680325116259 58.02987837916201, 7.477646254462514 58.02987327090382, 7.477567176283713 58.02986228721508, 7.477475237187227 58.02984998919619, 7.4768661201738125 58.029795035911114, 7.476500456556807 58.02978390681526, 7.475907485636469 58.029792698860696, 7.473001644392516 58.0300737429283, 7.4725453739136904 58.03012757018586, 7.471536954611641 58.03025047200048, 7.471476256871959 58.03025843923248)"/>
    <s v="[1185179, 1185187, 1185195, 1185203, 1185211, 1185219, 1185227, 1185235, 1185243, 1185251, 1185259, 1185267, 1185275]"/>
    <s v="[1114492, 1114497, 1114501, 1114506, 1114510, 221624, 1114519, 1114528, 1114533, 1114538, 1114543, 1114548, 1114554]"/>
    <s v="#FIELD!"/>
    <s v="[613109, 1114492, 1114497, 1114501, 1114506, 1114510, 221624, 1114519, 1114528, 1114533, 1114538, 1114543, 1114548]"/>
    <s v="[0.074, 0.03, 0.047, 0.045, 0.063, 0.063, 0.068, 0.071, 0.042, 0.003, 0.011, 0.011, 0.01]"/>
    <s v="497.42264380699663"/>
    <s v="[-0.074, -0.03, -0.047, -0.045, -0.063, -0.063, -0.068, -0.071, -0.042, -0.003, 0.011, 0.011, 0.01]"/>
  </r>
  <r>
    <x v="1753"/>
    <x v="2336"/>
    <x v="0"/>
    <n v="0"/>
    <m/>
    <n v="1162138"/>
    <n v="1096606"/>
    <s v="0.009"/>
    <n v="613168"/>
    <s v="0.009"/>
    <s v="9.840298164743178"/>
    <s v="0.009"/>
  </r>
  <r>
    <x v="1753"/>
    <x v="2337"/>
    <x v="0"/>
    <s v="[0, 0, 0, 1]"/>
    <s v="LINESTRING (7.471412140744803 58.03034772106425, 7.471313650912661 58.03035781354951, 7.4707513459974475 58.0304241004004, 7.469704052329046 58.030534469195864, 7.467903609453001 58.030808208962235)"/>
    <s v="[613469, 613477, 613485, 613493]"/>
    <s v="[613173, 613177, 613181, 613187]"/>
    <s v="0.05297292962478642"/>
    <s v="[613168, 613173, 613177, 613181]"/>
    <s v="[0.01, 0.01, 0.045, 0.073]"/>
    <s v="214.33559272824854"/>
    <s v="[0.01, 0.01, 0.045, 0.073]"/>
  </r>
  <r>
    <x v="1753"/>
    <x v="2335"/>
    <x v="0"/>
    <n v="0"/>
    <s v="LINESTRING (7.471412140744803 58.03034772106425, 7.471463107752922 58.030312531455195, 7.471476256871959 58.03025843923248)"/>
    <s v="[1185859, 1185867]"/>
    <s v="[1114980, 1114554]"/>
    <s v="#FIELD!"/>
    <s v="[613168, 1114980]"/>
    <s v="[0.005, 0.0]"/>
    <s v="11.039397148981177"/>
    <s v="[-0.005, 0.0]"/>
  </r>
  <r>
    <x v="1754"/>
    <x v="2338"/>
    <x v="0"/>
    <n v="0"/>
    <s v="LINESTRING (7.467903609453001 58.030808208962235, 7.455294479400787 58.0340892203715, 7.455052541328328 58.034119577368834, 7.453790186525234 58.03427405902726, 7.452170644624693 58.03447482090971, 7.449379639134745 58.03482464709298)"/>
    <s v="[1349453, 1349461, 1349469, 1349477, 1349485]"/>
    <s v="[1250160, 1250169, 1250176, 1250186, 613192]"/>
    <s v="0.008129477561427522"/>
    <s v="[613187, 1250160, 1250169, 1250176, 1250186]"/>
    <s v="[0.045, 0.052, 0.029, 0.009, 0.143]"/>
    <s v="1202.4545329239918"/>
    <s v="[0.045, -0.052, -0.029, -0.009, -0.143]"/>
  </r>
  <r>
    <x v="1754"/>
    <x v="2336"/>
    <x v="0"/>
    <s v="[0, 0, 0, 1]"/>
    <s v="LINESTRING (7.471313571761226 58.03027961797793, 7.470730588878941 58.03035584628134, 7.470724760070792 58.03035664467789, 7.469683671646602 58.03050142858418, 7.467903609453001 58.030808208962235)"/>
    <s v="[1185307, 1185315, 1185323, 1185331]"/>
    <s v="[1114572, 1114576, 1114581, 613187]"/>
    <s v="0.05322475890748698"/>
    <s v="[1096606, 1114572, 1114576, 1114581]"/>
    <s v="[0.01, 0.02, 0.043, 0.073]"/>
    <s v="210.86278367585965"/>
    <s v="[0.01, 0.02, 0.043, 0.073]"/>
  </r>
  <r>
    <x v="1755"/>
    <x v="2339"/>
    <x v="0"/>
    <n v="0"/>
    <s v="LINESTRING (7.449379639134745 58.03482464709298, 7.446881917124985 58.035497669271194, 7.446760178926505 58.035557147357416, 7.446682997858242 58.03559562407821, 7.446262361023556 58.03580787231426, 7.446237979751942 58.03582151146463, 7.4461716650970065 58.03585908543802, 7.446133858960717 58.035880633648546, 7.44608036937399 58.03591056026748, 7.4452754728537744 58.036307810398355, 7.4445011321773515 58.03663523280011, 7.442383360406553 58.03723363124717)"/>
    <s v="[613501, 613509, 613517, 613525, 613533, 613541, 613549, 613557, 613565, 613573, 613581]"/>
    <s v="[613193, 613199, 613205, 613208, 613213, 613220, 214553, 613229, 613233, 613236, 613240]"/>
    <s v="#FIELD!"/>
    <s v="[613192, 613193, 613199, 613205, 613208, 613213, 613220, 214553, 613229, 613233, 613236]"/>
    <s v="[0.102, 0.043, 0.043, 0.036, 0.025, 0.042, 0.03, 0.04, 0.062, 0.056, 0.04]"/>
    <s v="500.60609923037765"/>
    <s v="[-0.102, 0.043, 0.043, 0.036, 0.025, 0.042, 0.03, 0.04, 0.062, 0.056, 0.04]"/>
  </r>
  <r>
    <x v="1755"/>
    <x v="2339"/>
    <x v="0"/>
    <n v="0"/>
    <s v="LINESTRING (7.449379639134745 58.03482464709298, 7.446661967087415 58.03551027040121, 7.446171068702367 58.03575594373352, 7.446078026082926 58.03580635854113, 7.4459901154359525 58.03585533929856, 7.445202717912516 58.03625288475613, 7.445061067998171 58.036319567688274, 7.4444496842589 58.03659406653937, 7.442383360406553 58.03723363124717)"/>
    <s v="[1185339, 1185347, 1185355, 1185363, 1185371, 1185379, 1185387, 1185395]"/>
    <s v="[1114593, 1114598, 214565, 1114608, 1114612, 1114616, 1114621, 613240]"/>
    <s v="#FIELD!"/>
    <s v="[613192, 1114593, 1114598, 214565, 1114608, 1114612, 1114616, 1114621]"/>
    <s v="[0.098, 0.039, 0.038, 0.037, 0.066, 0.066, 0.057, 0.045]"/>
    <s v="501.0064011214534"/>
    <s v="[-0.098, 0.039, 0.038, 0.037, 0.066, 0.066, 0.057, 0.045]"/>
  </r>
  <r>
    <x v="1756"/>
    <x v="1583"/>
    <x v="180"/>
    <s v="[0, 0, 0, 0, 0, 0, 0, 0, 0, 0, 0, 0, 0, 0, 0, 0, 0, 0, 0, 0, 0, 0, 0, 0, 0, 1, 0, 0, 0, 0, 0, 0, 0, 0, 0, 0, 0, 0, 0, 0, 0, 0, 0, 0, 0, 0, 0, 0, 0, 0, 0, 0, 0, 0, 0, 0, 0, 0, 0, 0, 0, 0, 0, 1, 0]"/>
    <s v="LINESTRING (7.442383360406553 58.03723363124717, 7.43983680121538 58.0376282643731, 7.439380071194198 58.03768556534894, 7.434963362840603 58.03941524636138, 7.434889134508813 58.03944108019759, 7.434409767531195 58.03958411416368, 7.4343471522227045 58.03959745910775, 7.4342976264731835 58.03960785330758, 7.4342414637892595 58.03961963618545, 7.433025705818097 58.03982154601287, 7.425373487779936 58.04174577976477, 7.421505661034516 58.042695561682926, 7.418209566983093 58.044323943513874, 7.418114405286396 58.04446423869014, 7.417997853472383 58.04495238150867, 7.418006067333592 58.04508515258619, 7.417578457829966 58.046240508262414, 7.415654303050838 58.04688105577967, 7.415237801462472 58.04692258783862, 7.413696750954871 58.04707280874277, 7.413243073192637 58.04711814825141, 7.409966614677079 58.0474074411236, 7.406866021224648 58.04740513443054, 7.406136597201374 58.04747687779371, 7.402591997221831 58.04815976424257, 7.400599833439568 58.04838140641262, 7.400400942228267 58.04840328278566, 7.400124969526538 58.048434661908495, 7.39914865137907 58.0485375244999, 7.398290943230517 58.04854041317383, 7.398041037412765 58.04853174764628, 7.3971662933595885 58.04849495814405, 7.396979394509071 58.04848870337311, 7.384812029043848 58.051934850507465, 7.382510712311768 58.052461887894104, 7.376646759879961 58.053617822336804, 7.376115507609327 58.0537223679675, 7.374295595303363 58.05407029938428, 7.373087130442558 58.05429198518172, 7.369397942076047 58.05551516280046, 7.369223730433106 58.05558996916043, 7.367194486526948 58.056210285212465, 7.3649223010202425 58.05685718666992, 7.364616486817686 58.05699231430157, 7.3634975940236025 58.05770250069036, 7.363212545605287 58.05792604104455, 7.362715662266397 58.05831430522468, 7.360228429985543 58.05970348735905, 7.355197605325595 58.06235084269671, 7.352432700654467 58.06355469901276, 7.352394209971902 58.06359317024162, 7.35199975716754 58.06459967509677, 7.351656452534207 58.06689923205026, 7.348273701840356 58.07004885702383, 7.3431808084399055 58.072633982074095, 7.343051676419117 58.072727967307394, 7.33856520133227 58.075191368550904, 7.338155343186733 58.07528452813523, 7.335627278779713 58.075563353669644, 7.333024058340883 58.075728419918754, 7.319338730658296 58.077837718824924, 7.317519891534351 58.07805237268874, 7.316280543357653 58.0781933640897, 7.314077658310185 58.0784553272212, 7.313688871056856 58.07850090236934, 7.312454014479844 58.07864653972366)"/>
    <s v="[1349493, 1349501, 1349509, 1349517, 1349525, 1349533, 1349541, 1349549, 1349557, 1349565, 1349573, 1349581, 1349589, 1349597, 1349605, 1349613, 1349621, 1349629, 1349637, 1349645, 1349653, 1349661, 1349669, 1349677, 1349685, 1349693, 1349701, 1349709, 1349717, 1349725, 1349733, 1349741, 1349749, 1349757, 1349765, 1349773, 1349781, 1349789, 1349797, 1349805, 1349813, 1349821, 1349829, 1349837, 1349845, 1349853, 1349861, 1147313, 1147321, 1147329, 1147337, 1147345, 1147353, 1147361, 1147369, 1147377, 1147385, 1147393, 1147401, 1147409, 1147417, 1147425, 1147433, 1147441, 1147449]"/>
    <s v="[1250198, 841367, 1250212, 1250218, 1250228, 1110751, 1250241, 1109094, 1102456, 1250259, 1148153, 1250271, 332912, 332930, 1250284, 1102744, 1250292, 1250295, 1250299, 1102751, 1103432, 1148005, 1102794, 1090016, 1250330, 1250338, 1250342, 1242910, 1250358, 1090124, 1250370, 1250380, 1250386, 1250393, 1250402, 1147943, 1250417, 1250423, 1250432, 1250439, 443220, 1250453, 1250459, 604511, 1250473, 1250478, 1082958, 1082959, 1082967, 1082972, 872012, 872085, 1082987, 860214, 1082999, 870397, 1083010, 1083017, 1083021, 1083026, 1083032, 1083039, 1083043, 1083047, 613259]"/>
    <s v="#FIELD!"/>
    <s v="[613240, 1250198, 841367, 1250212, 1250218, 1250228, 1110751, 1250241, 1109094, 1102456, 1250259, 1148153, 1250271, 332912, 332930, 1250284, 1102744, 1250292, 1250295, 1250299, 1102751, 1103432, 1148005, 1102794, 1090016, 1250330, 1250338, 1250342, 1242910, 1250358, 1090124, 1250370, 1250380, 1250386, 1250393, 1250402, 1147943, 1250417, 1250423, 1250432, 1250439, 443220, 1250453, 1250459, 604511, 1250473, 1250478, 1082958, 1082959, 1082967, 1082972, 872012, 872085, 1082987, 860214, 1082999, 870397, 1083010, 1083017, 1083021, 1083026, 1083032, 1083039, 1083043, 1083047]"/>
    <s v="[0.016, 0.046, 0.026, 0.035, 0.033, 0.04, 0.005, 0.018, 0.029, 0.002, 0.073, 0.019, 0.023, 0.051, 0.133, 0.069, 0.052, 0.069, 0.05, 0.005, 0.034, 0.068, 0.004, 0.05, 0.003, 0.01, 0.017, 0.029, 0.005, 0.015, 0.044, 0.037, 0.045, 0.053, 0.016, 0.029, 0.051, 0.087, 0.023, 0.033, 0.013, 0.068, 0.044, 0.007, 0.066, 0.05, 0.056, 0.006, 0.033, 0.022, 0.004, 0.012, 0.0, 0.004, 0.073, 0.0, 0.057, 0.048, 0.019, 0.0, 0.075, 0.083, 0.1, 0.078, 0.078]"/>
    <s v="9574.436598013692"/>
    <s v="[0.016, -0.046, 0.026, 0.035, 0.033, 0.04, -0.005, -0.018, -0.029, 0.002, -0.073, -0.019, 0.023, 0.051, 0.133, 0.069, 0.052, -0.069, -0.05, -0.005, -0.034, -0.068, -0.004, 0.05, 0.003, -0.01, -0.017, -0.029, 0.005, 0.015, 0.044, 0.037, 0.045, -0.053, 0.016, 0.029, -0.051, -0.087, -0.023, -0.033, -0.013, -0.068, 0.044, -0.007, 0.066, 0.05, 0.056, -0.006, 0.033, 0.022, -0.004, -0.012, -0.0, -0.004, -0.073, -0.0, 0.057, 0.048, 0.019, -0.0, -0.075, -0.083, -0.1, -0.078, -0.078]"/>
  </r>
  <r>
    <x v="1757"/>
    <x v="2340"/>
    <x v="0"/>
    <s v="[1, 0, 0, 0, 0, 0, 0, 0, 0, 0, 0, 0, 1, 0, 0, 0, 0, 0, 0, 0, 0, 0, 0, 0, 0, 0, 0, 0, 0]"/>
    <s v="LINESTRING (7.302618723017339 58.07993978437383, 7.302187154875527 58.080073150018514, 7.2980627475312465 58.08373716613628, 7.298025355792588 58.08378140822403, 7.29627704724265 58.08588951350341, 7.2961651007360855 58.08599794861019, 7.296149378290768 58.08601156579608, 7.294978440730766 58.08680942130911, 7.294922950225239 58.086839566671316, 7.2946646498230185 58.086972087073434, 7.294591714024025 58.0870092604684, 7.294535481999865 58.08703661904736, 7.294031362632713 58.08724917384586, 7.293853119453728 58.08731472388653, 7.293565569816419 58.087414449356935, 7.292514464786687 58.08777155101799, 7.2914464099162695 58.08814105947055, 7.289760078800927 58.088814197888254, 7.284992945840183 58.09160857888932, 7.284124172663527 58.09194587104502, 7.283273283996048 58.09230541324021, 7.282714163196629 58.093251870499984, 7.281727432716462 58.093590827943686, 7.270734837691728 58.09415809620165, 7.270682498051393 58.09417548292425, 7.2705896398869925 58.09420641422266, 7.270224781083277 58.09432668902993, 7.270013943215109 58.09439660470936, 7.269688325045929 58.09450606044057, 7.269175010988923 58.094645357124485)"/>
    <s v="[1349973, 1349981, 1349989, 1349997, 1350005, 1350013, 1350021, 1350029, 1350037, 1350045, 1350053, 1350061, 1350069, 1350077, 1350085, 1350093, 1350101, 1350109, 1350128, 1350136, 1350144, 1350152, 1350160, 1350168, 1350176, 1350184, 1350192, 1350200, 1141134]"/>
    <s v="[1250559, 1250567, 1250573, 1250576, 1250581, 1250587, 1250592, 1250600, 1250604, 1215274, 1250613, 1250619, 1250626, 1250632, 1185979, 867776, 1250644, 922497, 1250658, 922664, 1250666, 1250672, 1250676, 1250682, 1250687, 1250690, 1250694, 1077442, 1077405]"/>
    <s v="0.0199628552968665"/>
    <s v="[613314, 1250559, 1250567, 1250573, 1250576, 1250581, 1250587, 1250592, 1250600, 1250604, 1215274, 1250613, 1250619, 1250626, 1250632, 1185979, 867776, 1250644, 922497, 1250658, 922664, 1250666, 1250672, 1250676, 1250682, 1250687, 1250690, 1250694, 1077442]"/>
    <s v="[0.04, 0.057, 0.021, 0.023, 0.019, 0.045, 0.009, 0.029, 0.012, 0.002, 0.006, 0.007, 0.008, 0.001, 0.097, 0.067, 0.013, 0.009, 0.046, 0.068, 0.021, 0.104, 0.016, 0.087, 0.1, 0.129, 0.066, 0.831, 0.028]"/>
    <s v="2849.159903987381"/>
    <s v="[-0.04, 0.057, 0.021, 0.023, 0.019, 0.045, 0.009, -0.029, 0.012, -0.002, -0.006, 0.007, 0.008, -0.001, 0.097, 0.067, -0.013, 0.009, -0.046, -0.068, 0.021, 0.104, -0.016, -0.087, -0.1, -0.129, 0.066, 0.831, 0.028]"/>
  </r>
  <r>
    <x v="1758"/>
    <x v="2341"/>
    <x v="0"/>
    <n v="0"/>
    <s v="LINESTRING (9.13658727529653 58.85996372906692, 9.136181889515555 58.85972280796102, 9.13547647185996 58.85953367147938, 9.135386115015686 58.85951110022937)"/>
    <s v="[621372, 621380, 621388]"/>
    <s v="[619162, 619168, 619175]"/>
    <s v="#FIELD!"/>
    <s v="[619158, 619162, 619168]"/>
    <s v="[0.054, 0.032, 0.026]"/>
    <s v="87.31606884129884"/>
    <s v="[-0.054, -0.032, -0.026]"/>
  </r>
  <r>
    <x v="1758"/>
    <x v="2341"/>
    <x v="0"/>
    <n v="0"/>
    <s v="LINESTRING (9.13658727529653 58.85996372906692, 9.136489183057698 58.85994269700355, 9.135414028069773 58.859541180726616, 9.135386115015686 58.85951110022937)"/>
    <s v="[1754085, 1754110, 1754133]"/>
    <s v="[1552948, 1552960, 619175]"/>
    <s v="#FIELD!"/>
    <s v="[619158, 1552948, 1552960]"/>
    <s v="[0.023, 0.039, 0.067]"/>
    <s v="90.69805912163635"/>
    <s v="[-0.023, -0.039, -0.067]"/>
  </r>
  <r>
    <x v="1758"/>
    <x v="2342"/>
    <x v="0"/>
    <n v="0"/>
    <s v="LINESTRING (9.141871235937675 58.86195727833223, 9.14153432435484 58.86180734048263, 9.139267173178922 58.86076472766293, 9.13836253938627 58.8603916334363, 9.13658727529653 58.85996372906692)"/>
    <s v="[1290969, 621348, 621356, 621364]"/>
    <s v="[619145, 619146, 619152, 619158]"/>
    <s v="#FIELD!"/>
    <s v="[1204259, 619145, 619146, 619152]"/>
    <s v="[0.021, 0.038, 0.039, 0.026]"/>
    <s v="385.32878764100735"/>
    <s v="[-0.021, -0.038, -0.039, -0.026]"/>
  </r>
  <r>
    <x v="1759"/>
    <x v="2343"/>
    <x v="0"/>
    <n v="0"/>
    <s v="LINESTRING (9.135386115015686 58.85951110022937, 9.135303933262316 58.85948991858619, 9.134298700632215 58.858922926098636)"/>
    <s v="[621396, 621404]"/>
    <s v="[619179, 619187]"/>
    <s v="#FIELD!"/>
    <s v="[619175, 619179]"/>
    <s v="[0.029, 0.0]"/>
    <s v="94.99315807712901"/>
    <s v="[-0.029, -0.0]"/>
  </r>
  <r>
    <x v="1760"/>
    <x v="2344"/>
    <x v="0"/>
    <n v="0"/>
    <s v="LINESTRING (9.134298700632215 58.858922926098636, 9.134336490059107 58.85836854014783, 9.131625462412075 58.856641143988256, 9.131402889021674 58.856502888145585)"/>
    <s v="[621412, 621420, 799999]"/>
    <s v="[619193, 619199, 778667]"/>
    <s v="#FIELD!"/>
    <s v="[619187, 619193, 619199]"/>
    <s v="[0.005, 0.005, 0.563]"/>
    <s v="335.40424082243374"/>
    <s v="[-0.005, 0.005, -0.563]"/>
  </r>
  <r>
    <x v="1760"/>
    <x v="2345"/>
    <x v="0"/>
    <n v="0"/>
    <s v="LINESTRING (9.134298700632215 58.858922926098636, 9.134247608807446 58.85892293933747, 9.133814158715484 58.85891170924406, 9.133118189637269 58.858031694134155, 9.133137066591843 58.85800545559034)"/>
    <s v="[1234305, 1234313, 1234317, 1234325]"/>
    <s v="[1155660, 1065182, 1155669, 441708]"/>
    <s v="0.03456022043904957"/>
    <s v="[619187, 1155660, 1065182, 1155669]"/>
    <s v="[1.269, 0.05, 0.002, 0.004]"/>
    <s v="152.00030678287067"/>
    <s v="[1.269, 0.05, 0.002, 0.004]"/>
  </r>
  <r>
    <x v="1761"/>
    <x v="2346"/>
    <x v="0"/>
    <n v="0"/>
    <s v="LINESTRING (13.306102434108052 65.62033078644598, 13.3056834390191 65.62099482195273, 13.305629465945252 65.62105952045748, 13.305161010591851 65.62154415744371, 13.305076520171317 65.62161619818072, 13.304985359951415 65.62169326217816, 13.303910867805746 65.6223532934816, 13.303725098954631 65.62242330726728)"/>
    <s v="[621915, 621923, 621931, 621939, 621947, 621955, 621963]"/>
    <s v="[619606, 619611, 619620, 619627, 619633, 619641, 619647]"/>
    <s v="0.046534443373565985"/>
    <s v="[619605, 619606, 619611, 619620, 619627, 619633, 619641]"/>
    <s v="[0.011, 0.001, 0.031, 0.109, 0.071, 0.079, 0.072]"/>
    <s v="261.388066780345"/>
    <s v="[0.011, 0.001, 0.031, 0.109, 0.071, 0.079, 0.072]"/>
  </r>
  <r>
    <x v="1761"/>
    <x v="2346"/>
    <x v="0"/>
    <n v="0"/>
    <s v="LINESTRING (13.306102434108052 65.62033078644598, 13.305467948340858 65.6210336071593, 13.304995170841485 65.62151321460841, 13.304950108438021 65.62155313444947, 13.304879346826352 65.62161579693564, 13.304827138548102 65.62166138091288, 13.30386611296338 65.62233920707718, 13.303725098954631 65.62242330726728)"/>
    <s v="[1717756, 1717764, 1717769, 1717777, 1717785, 1717793, 1717801]"/>
    <s v="[1531304, 1531309, 619664, 619691, 1531318, 1531324, 619647]"/>
    <s v="0.04712004055514582"/>
    <s v="[619605, 1531304, 1531309, 619664, 619691, 1531318, 1531324]"/>
    <s v="[0.008, 0.023, 0.081, 0.111, 0.071, 0.099, 0.105]"/>
    <s v="258.64934296062484"/>
    <s v="[-0.008, 0.023, 0.081, 0.111, 0.071, 0.099, 0.105]"/>
  </r>
  <r>
    <x v="1762"/>
    <x v="1780"/>
    <x v="0"/>
    <n v="0"/>
    <s v="LINESTRING (13.303725098954631 65.62242330726728, 13.281151580098765 65.72688171853531)"/>
    <m/>
    <m/>
    <s v="0.0"/>
    <m/>
    <n v="0"/>
    <s v="12401.972361755172"/>
    <n v="0"/>
  </r>
  <r>
    <x v="1763"/>
    <x v="2347"/>
    <x v="0"/>
    <n v="0"/>
    <s v="LINESTRING (10.78187078217927 59.75489881498592, 10.782013675113644 59.7548788614768, 10.782239299669165 59.75490061783787, 10.782289955793225 59.75494951509348)"/>
    <s v="[622475, 622483, 622491]"/>
    <s v="[619978, 619982, 619985]"/>
    <s v="#FIELD!"/>
    <s v="[619977, 619978, 619982]"/>
    <s v="[0.158, 0.17, 0.082]"/>
    <s v="27.564177430191016"/>
    <s v="[-0.158, -0.17, -0.082]"/>
  </r>
  <r>
    <x v="1763"/>
    <x v="2348"/>
    <x v="0"/>
    <n v="0"/>
    <s v="LINESTRING (10.78187078217927 59.75489881498592, 10.782006488617853 59.75484361709368, 10.782242117707398 59.75474986505984, 10.78229819136665 59.75472960210892)"/>
    <s v="[2088251, 2088259, 2088267]"/>
    <s v="[1808486, 1808492, 1385707]"/>
    <s v="#FIELD!"/>
    <s v="[619977, 1808486, 1808492]"/>
    <s v="[0.13, 0.13, 0.152]"/>
    <s v="30.552231055984173"/>
    <s v="[-0.13, -0.13, -0.152]"/>
  </r>
  <r>
    <x v="1763"/>
    <x v="2349"/>
    <x v="0"/>
    <n v="0"/>
    <s v="LINESTRING (10.77765173467058 59.7577579061423, 10.777725970053552 59.75770217291567, 10.78187078217927 59.75489881498592)"/>
    <s v="[1840981, 1499175]"/>
    <s v="[1356758, 619977]"/>
    <s v="#FIELD!"/>
    <s v="[1613340, 1356758]"/>
    <s v="[1.403, 0.007]"/>
    <s v="417.77321847493454"/>
    <s v="[-1.403, 0.007]"/>
  </r>
  <r>
    <x v="1764"/>
    <x v="2350"/>
    <x v="0"/>
    <n v="0"/>
    <m/>
    <n v="968746"/>
    <n v="932197"/>
    <s v="#FIELD!"/>
    <n v="620810"/>
    <s v="0.284"/>
    <s v="21.295963795424754"/>
    <s v="#FIELD!"/>
  </r>
  <r>
    <x v="1764"/>
    <x v="2351"/>
    <x v="0"/>
    <s v="[0, 1, 0, 0, 0]"/>
    <s v="LINESTRING (8.70347957460211 58.44767683794983, 8.703289124891489 58.44807498689197, 8.703322518775643 58.448096554612945, 8.70348529733465 58.44819040709087, 8.705306198577764 58.44951417106834, 8.705470872783485 58.449700606980564)"/>
    <s v="[1750493, 1750515, 1750530, 1750538, 1092961]"/>
    <s v="[1551034, 1551044, 1551050, 1036509, 1036510]"/>
    <s v="0.027599455795118567"/>
    <s v="[620810, 1551034, 1551044, 1551050, 1036509]"/>
    <s v="[0.015, 0.034, 0.027, 0.025, 0.076]"/>
    <s v="273.9140435676293"/>
    <s v="[0.015, 0.034, 0.027, 0.025, 0.076]"/>
  </r>
  <r>
    <x v="1764"/>
    <x v="2352"/>
    <x v="0"/>
    <n v="0"/>
    <s v="LINESTRING (8.700757731553761 58.44705948602213, 8.701034198007363 58.447145349190194, 8.70347957460211 58.44767683794983)"/>
    <s v="[1092953, 623721]"/>
    <s v="[620809, 620810]"/>
    <s v="0.023905696282137186"/>
    <s v="[1036502, 620809]"/>
    <s v="[0.013, 0.028]"/>
    <s v="188.1391414999889"/>
    <s v="[-0.013, 0.028]"/>
  </r>
  <r>
    <x v="1765"/>
    <x v="2122"/>
    <x v="0"/>
    <n v="0"/>
    <s v="LINESTRING (10.288285407872714 63.03317645046678, 10.289448571981652 63.03350302777812, 10.293614811923382 63.03539547854866, 10.294284009625251 63.03573891798061)"/>
    <s v="[623992, 624000, 624008]"/>
    <s v="[621013, 621017, 621023]"/>
    <s v="#FIELD!"/>
    <s v="[621008, 621013, 621017]"/>
    <s v="[0.019, 0.02, 0.007]"/>
    <s v="419.3167463671084"/>
    <s v="[-0.019, -0.02, -0.007]"/>
  </r>
  <r>
    <x v="1766"/>
    <x v="2353"/>
    <x v="181"/>
    <s v="[0, 0, 1, 0]"/>
    <s v="LINESTRING (10.272608561896902 63.28417016957422, 10.272055346916906 63.28521652988968, 10.271848495970293 63.286216024810265, 10.27184523299841 63.286503698468785, 10.278725422672958 63.294948684645455)"/>
    <s v="[624049, 624057, 624065, 624073]"/>
    <s v="[621054, 621060, 621065, 621071]"/>
    <s v="0.003980983711067485"/>
    <s v="[621046, 621054, 621060, 621065]"/>
    <s v="[0.021, 0.026, 0.026, 0.001]"/>
    <s v="1310.9444813508348"/>
    <s v="[0.021, 0.026, 0.026, -0.001]"/>
  </r>
  <r>
    <x v="1766"/>
    <x v="2219"/>
    <x v="0"/>
    <s v="[0, 0, 0, 1, 0, 0, 0, 0, 0, 0]"/>
    <s v="LINESTRING (10.281296369565053 63.27849070010829, 10.281112101626661 63.27857802132819, 10.280330437426237 63.27894572525336, 10.280086356007194 63.27906052973257, 10.279377614783341 63.27939393147942, 10.275576990185627 63.28128478297535, 10.275372968435772 63.28141560653437, 10.275310332121524 63.28145711457788, 10.273271651936112 63.283298979448524, 10.273211378308616 63.283364640051985, 10.272608561896902 63.28417016957422)"/>
    <s v="[1027406, 1027414, 1027422, 1027254, 1027230, 1027238, 1253737, 624025, 624033, 624041]"/>
    <s v="[982092, 982100, 981953, 981928, 981929, 981937, 621035, 621036, 621042, 621046]"/>
    <s v="#FIELD!"/>
    <s v="[982084, 982092, 982100, 981953, 981928, 981929, 981937, 621035, 621036, 621042]"/>
    <s v="[0.002, 0.002, 0.002, 0.002, 0.001, 0.015, 0.173, 0.003, 0.016, 0.011]"/>
    <s v="780.0110401028414"/>
    <s v="[0.002, 0.002, 0.002, 0.002, -0.001, 0.015, -0.173, -0.003, -0.016, -0.011]"/>
  </r>
  <r>
    <x v="1767"/>
    <x v="2093"/>
    <x v="0"/>
    <n v="0"/>
    <s v="LINESTRING (10.278725422672958 63.294948684645455, 10.278731650201129 63.29495177820461, 10.284652940448819 63.29816233658495, 10.2857424766756 63.299076182485436, 10.287293084214305 63.30117650046883, 10.287706707835385 63.302242088179064)"/>
    <s v="[624081, 624089, 624097, 624105, 624121]"/>
    <s v="[621077, 621083, 621089, 621096, 621106]"/>
    <s v="0.010239436059518886"/>
    <s v="[621071, 621077, 621083, 621089, 621096]"/>
    <s v="[0.0, 0.017, 0.042, 0.006, 0.013]"/>
    <s v="949.9626370429608"/>
    <s v="[0.0, 0.017, 0.042, -0.006, -0.013]"/>
  </r>
  <r>
    <x v="1767"/>
    <x v="2354"/>
    <x v="0"/>
    <n v="0"/>
    <s v="LINESTRING (10.278725422672958 63.294948684645455, 10.278992605562351 63.29503844847782, 10.282563331087875 63.296597483020506, 10.283757423674748 63.29675131974332, 10.283996452892737 63.29670053985514, 10.284057540715178 63.29668386903341)"/>
    <s v="[2136372, 2136388, 2136396, 2136404, 2136412]"/>
    <s v="[1836487, 1836493, 1836496, 1836499, 567437]"/>
    <s v="0.012504518735728566"/>
    <s v="[621071, 1836487, 1836493, 1836496, 1836499]"/>
    <s v="[0.28, 0.005, 0.008, 0.024, 0.025]"/>
    <s v="348.6206779867969"/>
    <s v="[0.28, -0.005, 0.008, 0.024, 0.025]"/>
  </r>
  <r>
    <x v="1768"/>
    <x v="2355"/>
    <x v="0"/>
    <s v="[0, 1, 0, 0, 0, 0, 0, 0, 0, 0, 0, 0]"/>
    <s v="LINESTRING (10.287706707835385 63.302242088179064, 10.287783783697943 63.30245507948016, 10.287911875953972 63.30280825403364, 10.28796302459054 63.30294799205472, 10.288600683240883 63.30471810325967, 10.288699076228708 63.3049902456603, 10.28871757620336 63.305041372407665, 10.28874192078908 63.3051087003722, 10.288990081744814 63.30579217202962, 10.29279142050057 63.31208953422011, 10.292859132995066 63.31218667795981, 10.294871409720658 63.31507227995016, 10.296070317218675 63.31656845488024)"/>
    <s v="[624129, 624137, 624145, 624153, 624161, 624169, 1109864, 1109872, 1109880, 682608, 682616, 682624]"/>
    <s v="[621111, 621117, 621126, 621136, 621142, 621149, 1050145, 1050149, 673755, 673756, 673766, 673778]"/>
    <s v="0.0029983683351995243"/>
    <s v="[621106, 621111, 621117, 621126, 621136, 621142, 621149, 1050145, 1050149, 673755, 673756, 673766]"/>
    <s v="[0.008, 0.005, 0.003, 0.006, 0.005, 0.002, 0.009, 0.003, 0.002, 0.004, 0.004, 0.005]"/>
    <s v="1655.6381064856403"/>
    <s v="[-0.008, -0.005, -0.003, 0.006, 0.005, 0.002, 0.009, 0.003, 0.002, 0.004, 0.004, 0.005]"/>
  </r>
  <r>
    <x v="1769"/>
    <x v="2123"/>
    <x v="0"/>
    <n v="0"/>
    <m/>
    <n v="624233"/>
    <n v="621211"/>
    <s v="#FIELD!"/>
    <n v="621204"/>
    <s v="0.023"/>
    <s v="437.32341518195284"/>
    <s v="#FIELD!"/>
  </r>
  <r>
    <x v="1769"/>
    <x v="2356"/>
    <x v="0"/>
    <s v="[0, 1, 0, 0, 0, 0, 1, 0]"/>
    <s v="LINESTRING (10.378327603393137 63.36693814795122, 10.378500818659562 63.367222555883274, 10.378529682913884 63.36726289653142, 10.379155409765174 63.3683314270064, 10.379321951208594 63.368677933943026, 10.379615390950503 63.369503925927745, 10.379713878573435 63.37007453531279, 10.379727286452956 63.37061361047688, 10.379720314731333 63.37076895169098)"/>
    <s v="[657680, 624177, 624185, 624193, 624201, 624209, 624217, 624225]"/>
    <s v="[621159, 621160, 621167, 621174, 621181, 621188, 621197, 621204]"/>
    <s v="#FIELD!"/>
    <s v="[648992, 621159, 621160, 621167, 621174, 621181, 621188, 621197]"/>
    <s v="[0.014, 0.012, 0.011, 0.01, 0.014, 0.012, 0.012, 0.012]"/>
    <s v="434.86789471666066"/>
    <s v="[-0.014, -0.012, -0.011, -0.01, -0.014, -0.012, -0.012, -0.012]"/>
  </r>
  <r>
    <x v="1770"/>
    <x v="2357"/>
    <x v="0"/>
    <n v="0"/>
    <s v="LINESTRING (10.377818594939308 63.374578480610715, 10.377696996662161 63.37470393642332, 10.374807198662621 63.380131100406174, 10.374929068862063 63.38106613300158, 10.375731799986736 63.382965393440195, 10.376354259230512 63.3839342783031, 10.381713538291667 63.38977226541522)"/>
    <s v="[624241, 624249, 624257, 624266, 624274, 624282]"/>
    <s v="[621217, 621226, 621232, 621239, 621246, 621252]"/>
    <s v="#FIELD!"/>
    <s v="[621211, 621217, 621226, 621232, 621239, 621246]"/>
    <s v="[0.048, 0.044, 0.06, 0.083, 0.068, 0.052]"/>
    <s v="1780.5114298046599"/>
    <s v="[-0.048, -0.044, -0.06, -0.083, -0.068, -0.052]"/>
  </r>
  <r>
    <x v="1771"/>
    <x v="2358"/>
    <x v="0"/>
    <n v="0"/>
    <m/>
    <n v="626510"/>
    <n v="623054"/>
    <s v="#FIELD!"/>
    <n v="621252"/>
    <s v="0.06"/>
    <s v="11.52089705729676"/>
    <s v="#FIELD!"/>
  </r>
  <r>
    <x v="1771"/>
    <x v="2299"/>
    <x v="182"/>
    <s v="[0, 0, 0, 1, 1, 1, 0, 0, 0, 0, 0, 0, 0]"/>
    <s v="LINESTRING (10.381713538291667 63.38977226541522, 10.381816054848423 63.389847794461055, 10.381930669558914 63.38993036960765, 10.38480853978933 63.3918435977967, 10.385452634309031 63.39225275913796, 10.389039419076553 63.394461539371775, 10.389633323233614 63.3948196614414, 10.389702880990335 63.39486345463102, 10.39037502663826 63.39528381138639, 10.3906947578137 63.39549115812883, 10.39136359970376 63.39596992412134, 10.392331638747375 63.396751905784676, 10.392563011409166 63.39695895522377, 10.393144563566306 63.39754542309764)"/>
    <s v="[624290, 624298, 624306, 624314, 624322, 624330, 624338, 624346, 624354, 624362, 624370, 624378, 624387]"/>
    <s v="[621259, 621267, 621272, 621279, 621285, 621291, 621297, 621302, 621307, 621313, 621316, 621320, 621325]"/>
    <s v="0.003903874253842009"/>
    <s v="[621252, 621259, 621267, 621272, 621279, 621285, 621291, 621297, 621302, 621307, 621313, 621316, 621320]"/>
    <s v="[0.04, 0.032, 0.012, 0.122, 0.038, 0.067, 0.078, 0.095, 0.074, 0.07, 0.048, 0.012, 0.002]"/>
    <s v="1040.2736030779927"/>
    <s v="[-0.04, -0.032, 0.012, -0.122, -0.038, 0.067, 0.078, 0.095, 0.074, 0.07, 0.048, -0.012, -0.002]"/>
  </r>
  <r>
    <x v="1772"/>
    <x v="897"/>
    <x v="0"/>
    <s v="[0, 1, 0, 0]"/>
    <s v="LINESTRING (10.39839653630736 63.40087661084432, 10.401532100586092 63.401396784778484, 10.402303897646487 63.40152417912293, 10.403755954257864 63.4017620669058, 10.406327876881118 63.40218348520378)"/>
    <s v="[624411, 624419, 624427, 624435]"/>
    <s v="[621341, 621345, 621352, 621357]"/>
    <s v="0.028417319991680606"/>
    <s v="[621336, 621341, 621345, 621352]"/>
    <s v="[0.019, 0.033, 0.04, 0.032]"/>
    <s v="422.3991545956523"/>
    <s v="[0.019, 0.033, 0.04, 0.032]"/>
  </r>
  <r>
    <x v="1772"/>
    <x v="2359"/>
    <x v="0"/>
    <n v="0"/>
    <s v="LINESTRING (10.39839653630736 63.40087661084432, 10.398631389918398 63.400900374527716, 10.399344751779298 63.40100431891383, 10.402134307032597 63.40110597226131, 10.402319663547383 63.40103821252091)"/>
    <s v="[626278, 572221, 572252, 626286]"/>
    <s v="[579834, 579835, 579858, 606671]"/>
    <s v="0.019858534696939475"/>
    <s v="[621336, 579834, 579835, 579858]"/>
    <s v="[0.122, 0.007, 0.003, 0.158]"/>
    <s v="203.79347693387365"/>
    <s v="[0.122, 0.007, 0.003, 0.158]"/>
  </r>
  <r>
    <x v="1773"/>
    <x v="2132"/>
    <x v="183"/>
    <s v="[0, 0, 0, 0, 0, 1, 1, 0, 0, 0, 0]"/>
    <s v="LINESTRING (10.406327876881118 63.40218348520378, 10.406747163635712 63.40225597796623, 10.406765675547815 63.40225936172821, 10.407658752044673 63.402428623519725, 10.407677065851134 63.402432243565734, 10.407773205226484 63.40245123726543, 10.407862701309721 63.402468506318776, 10.407952340810823 63.40248488072124, 10.408634084211789 63.40264890502312, 10.408930358576505 63.40271509290671, 10.417832700317211 63.40587469960609, 10.418447578692438 63.4061027068006)"/>
    <s v="[624443, 624452, 624460, 624468, 624476, 624484, 624492, 624500, 624508, 624516, 624524]"/>
    <s v="[621367, 621375, 621383, 621391, 621398, 621406, 621412, 621419, 621427, 621435, 621440]"/>
    <s v="0.02257633652827723"/>
    <s v="[621357, 621367, 621375, 621383, 621391, 621398, 621406, 621412, 621419, 621427, 621435]"/>
    <s v="[0.043, 0.024, 0.034, 0.011, 0.036, 0.039, 0.025, 0.042, 0.043, 0.019, 0.017]"/>
    <s v="750.9599697594913"/>
    <s v="[0.043, 0.024, 0.034, 0.011, 0.036, 0.039, 0.025, 0.042, 0.043, 0.019, 0.017]"/>
  </r>
  <r>
    <x v="1774"/>
    <x v="2136"/>
    <x v="0"/>
    <n v="0"/>
    <s v="LINESTRING (10.418447578692438 63.4061027068006, 10.425408614128402 63.4079097970669, 10.427904468426261 63.4078952234749)"/>
    <s v="[624532, 624540]"/>
    <s v="[621448, 621454]"/>
    <s v="0.026865702588676318"/>
    <s v="[621440, 621448]"/>
    <s v="[0.021, 0.046]"/>
    <s v="533.1529236207645"/>
    <s v="[0.021, 0.046]"/>
  </r>
  <r>
    <x v="1775"/>
    <x v="2141"/>
    <x v="184"/>
    <n v="0"/>
    <s v="LINESTRING (10.427904468426261 63.4078952234749, 10.430229243654983 63.4076325233289, 10.437771819314229 63.40758640337896, 10.438915514867137 63.40795909439988)"/>
    <s v="[624548, 624556, 624564]"/>
    <s v="[621460, 621466, 621474]"/>
    <s v="0.05744882665264606"/>
    <s v="[621454, 621460, 621466]"/>
    <s v="[0.066, 0.065, 0.001]"/>
    <s v="583.6661171684202"/>
    <s v="[0.066, 0.065, 0.001]"/>
  </r>
  <r>
    <x v="1776"/>
    <x v="2144"/>
    <x v="0"/>
    <n v="0"/>
    <s v="LINESTRING (10.438915514867137 63.40795909439988, 10.442087548513578 63.40948101684976, 10.443059280460265 63.41000511123833, 10.443719413419148 63.41035374261756, 10.44377237536227 63.41038025163193)"/>
    <s v="[624572, 624580, 624588, 624596]"/>
    <s v="[621479, 621488, 621494, 621503]"/>
    <s v="0.019351993891008328"/>
    <s v="[621474, 621479, 621488, 621494]"/>
    <s v="[0.021, 0.02, 0.013, 0.008]"/>
    <s v="363.3997360883458"/>
    <s v="[0.021, 0.02, 0.013, -0.008]"/>
  </r>
  <r>
    <x v="1777"/>
    <x v="957"/>
    <x v="0"/>
    <s v="[0, 0, 1, 0, 0, 0, 0, 0]"/>
    <s v="LINESTRING (10.44377237536227 63.41038025163193, 10.444880189966113 63.41095015762123, 10.444998348632167 63.41101016531084, 10.44533419188394 63.411181841879376, 10.446051813224837 63.41155183576205, 10.454858292973238 63.415970062788325, 10.45917437429302 63.41793172089901, 10.459448060846249 63.41805597397956, 10.459504416296266 63.41808150543758)"/>
    <s v="[624604, 624612, 624620, 624628, 624636, 624644, 624652, 624660]"/>
    <s v="[621509, 621517, 621521, 621530, 621533, 621538, 621542, 621546]"/>
    <s v="#FIELD!"/>
    <s v="[621503, 621509, 621517, 621521, 621530, 621533, 621538, 621542]"/>
    <s v="[0.006, 0.011, 0.01, 0.001, 0.013, 0.047, 0.027, 0.022]"/>
    <s v="1164.678189648268"/>
    <s v="[-0.006, -0.011, -0.01, 0.001, -0.013, -0.047, -0.027, -0.022]"/>
  </r>
  <r>
    <x v="1778"/>
    <x v="2287"/>
    <x v="0"/>
    <s v="[1, 1, 1, 0, 0, 0, 0, 0, 0]"/>
    <s v="LINESTRING (11.498729951508224 64.00557625268385, 11.499004541085311 64.00573119321663, 11.499522507676158 64.00611477270542, 11.49968585209851 64.00628788915928, 11.49985535937348 64.00653635303816, 11.499998158162699 64.00715230577045, 11.499998091552282 64.00715855726612, 11.499893977545584 64.00753544532274, 11.499374050300608 64.00815824693915, 11.496416324175426 64.01032528688552)"/>
    <s v="[635154, 635162, 635170, 635178, 635186, 635194, 635202, 635210, 635218]"/>
    <s v="[630275, 630283, 630292, 630298, 630305, 630312, 630319, 630324, 621548]"/>
    <s v="0.008880622669895593"/>
    <s v="[621544, 630275, 630283, 630292, 630298, 630305, 630312, 630319, 630324]"/>
    <s v="[0.026, 0.028, 0.009, 0.009, 0.019, 0.063, 0.035, 0.016, 0.011]"/>
    <s v="589.4753331739655"/>
    <s v="[-0.026, -0.028, -0.009, 0.009, 0.019, 0.063, 0.035, 0.016, 0.011]"/>
  </r>
  <r>
    <x v="1779"/>
    <x v="955"/>
    <x v="0"/>
    <n v="0"/>
    <s v="LINESTRING (10.459504416296266 63.41808150543758, 10.464260628960306 63.42024304524286, 10.469219319932348 63.422499225643826, 10.469289693670778 63.422531402116974)"/>
    <s v="[624668, 624676, 624684]"/>
    <s v="[621552, 621559, 621565]"/>
    <s v="#FIELD!"/>
    <s v="[621546, 621552, 621559]"/>
    <s v="[0.019, 0.03, 0.023]"/>
    <s v="696.4850820572838"/>
    <s v="[-0.019, -0.03, -0.023]"/>
  </r>
  <r>
    <x v="1780"/>
    <x v="2138"/>
    <x v="0"/>
    <s v="[0, 1, 0, 0, 0, 0]"/>
    <s v="LINESTRING (10.469289693670778 63.422531402116974, 10.469764805079844 63.42275059575397, 10.469899249667122 63.42281420848137, 10.47033983751029 63.42302103752897, 10.471787519314217 63.42369866954568, 10.472219591988846 63.42390163428487, 10.47398253309918 63.424768437238626)"/>
    <s v="[624692, 624700, 624708, 624717, 624725, 998110]"/>
    <s v="[621573, 621577, 621584, 621590, 621596, 955573]"/>
    <s v="#FIELD!"/>
    <s v="[621565, 621573, 621577, 621584, 621590, 621596]"/>
    <s v="[0.014, 0.006, 0.003, 0.018, 0.043, 0.028]"/>
    <s v="342.2994461939501"/>
    <s v="[-0.014, 0.006, 0.003, -0.018, -0.043, -0.028]"/>
  </r>
  <r>
    <x v="1781"/>
    <x v="479"/>
    <x v="0"/>
    <n v="0"/>
    <s v="LINESTRING (10.496958880214768 63.43033762453159, 10.49718374379233 63.43026688874053, 10.497262889799577 63.430240909714506, 10.497364460853365 63.43021083664658, 10.51021013352254 63.42708337386564, 10.51416095725496 63.42609129836113)"/>
    <s v="[624733, 624741, 624749, 624757, 624765]"/>
    <s v="[621606, 621613, 621621, 621629, 621637]"/>
    <s v="#FIELD!"/>
    <s v="[621605, 621606, 621613, 621621, 621629]"/>
    <s v="[0.048, 0.051, 0.039, 0.013, 0.007]"/>
    <s v="987.4830541310985"/>
    <s v="[0.048, 0.051, 0.039, -0.013, -0.007]"/>
  </r>
  <r>
    <x v="1781"/>
    <x v="2360"/>
    <x v="0"/>
    <n v="0"/>
    <s v="LINESTRING (10.482346525237116 63.428547070738546, 10.495180444021589 63.430816379807595, 10.496958880214768 63.43033762453159)"/>
    <s v="[998143, 998144]"/>
    <s v="[955599, 621605]"/>
    <s v="#FIELD!"/>
    <s v="[955598, 955599]"/>
    <s v="[0.025, 0.035]"/>
    <s v="881.8896948149879"/>
    <s v="[-0.025, -0.035]"/>
  </r>
  <r>
    <x v="1781"/>
    <x v="2361"/>
    <x v="0"/>
    <n v="0"/>
    <s v="LINESTRING (10.488023958416418 63.43076170544539, 10.488092033365035 63.43081636759995, 10.490661638042884 63.43127952780621, 10.496771247078042 63.43035837343365, 10.496946376298872 63.43033901035339, 10.496958880214768 63.43033762453159)"/>
    <s v="[1113100, 1113108, 1113116, 1112672, 1112680]"/>
    <s v="[1052731, 1052742, 1052328, 1052329, 621605]"/>
    <s v="#FIELD!"/>
    <s v="[1052730, 1052731, 1052742, 1052328, 1052329]"/>
    <s v="[0.004, 0.06, 0.035, 0.234, 0.16]"/>
    <s v="485.73642405957196"/>
    <s v="[-0.004, -0.06, -0.035, -0.234, 0.16]"/>
  </r>
  <r>
    <x v="1782"/>
    <x v="2259"/>
    <x v="0"/>
    <n v="0"/>
    <s v="LINESTRING (11.490860784957825 64.01874987280685, 11.490976407343519 64.01878393422152, 11.491055731130134 64.01884622729283, 11.491036573335737 64.01893201418899, 11.490969909390714 64.01897352736125)"/>
    <s v="[639680, 639690, 639699, 639700]"/>
    <s v="[623503, 634194, 634201, 621683]"/>
    <s v="0.019828141749915828"/>
    <s v="[621677, 623503, 634194, 634201]"/>
    <s v="[0.012, 0.024, 0.023, 0.018]"/>
    <s v="30.033193605582166"/>
    <s v="[0.012, 0.024, 0.023, 0.018]"/>
  </r>
  <r>
    <x v="1782"/>
    <x v="2257"/>
    <x v="0"/>
    <n v="0"/>
    <s v="LINESTRING (11.490537164716626 64.01878247693786, 11.490670539862538 64.01874796779937, 11.490860784957825 64.01874987280685)"/>
    <s v="[639776, 639784]"/>
    <s v="[634264, 621677]"/>
    <s v="#FIELD!"/>
    <s v="[634258, 634264]"/>
    <s v="[0.027, 0.202]"/>
    <s v="16.876495130112865"/>
    <s v="[-0.027, -0.202]"/>
  </r>
  <r>
    <x v="1783"/>
    <x v="2260"/>
    <x v="0"/>
    <n v="0"/>
    <s v="LINESTRING (11.490969909390714 64.01897352736125, 11.490836646090132 64.01900714105297, 11.490695070328874 64.01900910826147)"/>
    <s v="[639710, 639726]"/>
    <s v="[634207, 634220]"/>
    <s v="0.005806700408977864"/>
    <s v="[621683, 634207]"/>
    <s v="[0.013, 0.002]"/>
    <s v="14.442686017841535"/>
    <s v="[0.013, -0.002]"/>
  </r>
  <r>
    <x v="1784"/>
    <x v="2362"/>
    <x v="0"/>
    <n v="0"/>
    <s v="LINESTRING (10.159042685280605 62.92718254054864, 10.168295937872061 62.92826207081135, 10.172700324040527 62.92822289533712, 10.181058617984249 62.93015389106747, 10.1822325628804 62.930758872258636)"/>
    <s v="[625171, 625027, 625652, 670155]"/>
    <s v="[621887, 621888, 622441, 660252]"/>
    <s v="#FIELD!"/>
    <s v="[621736, 621887, 621888, 622441]"/>
    <s v="[0.046, 0.055, 0.1, 0.064]"/>
    <s v="1306.527369180463"/>
    <s v="[0.046, -0.055, -0.1, 0.064]"/>
  </r>
  <r>
    <x v="1784"/>
    <x v="2363"/>
    <x v="0"/>
    <s v="[0, 0, 1, 0]"/>
    <s v="LINESTRING (10.151311078970776 62.92479709127407, 10.155353326217522 62.926223667563676, 10.155751863395741 62.926331958915085, 10.156641474719855 62.9265668124796, 10.159042685280605 62.92718254054864)"/>
    <s v="[624875, 624883, 1981824, 624867]"/>
    <s v="[619682, 621754, 621735, 621736]"/>
    <s v="#FIELD!"/>
    <s v="[621747, 619682, 621754, 621735]"/>
    <s v="[0.08, 0.216, 0.245, 0.014]"/>
    <s v="476.3798205961093"/>
    <s v="[-0.08, -0.216, -0.245, -0.014]"/>
  </r>
  <r>
    <x v="1785"/>
    <x v="2294"/>
    <x v="0"/>
    <n v="0"/>
    <s v="LINESTRING (11.491085850882335 64.02104992691996, 11.491110501494886 64.02108196824945, 11.491104100881666 64.02114919638579, 11.491025194351092 64.02120658557376, 11.490813528831652 64.02124459290485)"/>
    <s v="[639792, 639800, 639808, 639816]"/>
    <s v="[634275, 634280, 634286, 621751]"/>
    <s v="0.026306460873697708"/>
    <s v="[621744, 634275, 634280, 634286]"/>
    <s v="[0.751, 0.04, 0.047, 0.236]"/>
    <s v="30.13641638792093"/>
    <s v="[0.751, 0.04, 0.047, -0.236]"/>
  </r>
  <r>
    <x v="1785"/>
    <x v="2262"/>
    <x v="0"/>
    <n v="0"/>
    <s v="LINESTRING (11.490761080909541 64.02097738690829, 11.490953962075213 64.02099103495338, 11.491085850882335 64.02104992691996)"/>
    <s v="[639872, 639880]"/>
    <s v="[634337, 621744]"/>
    <s v="#FIELD!"/>
    <s v="[634328, 634337]"/>
    <s v="[0.024, 0.293]"/>
    <s v="18.754660243650164"/>
    <s v="[-0.024, -0.293]"/>
  </r>
  <r>
    <x v="1786"/>
    <x v="2274"/>
    <x v="0"/>
    <n v="0"/>
    <s v="LINESTRING (10.147195408866365 62.92198987689863, 10.147639279615486 62.9223292722714, 10.148769014950755 62.92324187212936, 10.149107370077436 62.923493683511516, 10.149311499502225 62.92363902859636, 10.149430487139874 62.923717464570665, 10.149814518090079 62.92396377757832, 10.149831610715848 62.92397399010875, 10.149934451002048 62.92403545492556, 10.150067184861426 62.924114669467706, 10.150352006249362 62.92427706545612, 10.150570092989614 62.92439624796432, 10.151311078970776 62.92479709127407)"/>
    <s v="[624907, 624915, 624923, 624931, 624939, 624947, 624955, 624963, 624971, 624987, 624995, 625003]"/>
    <s v="[621776, 621783, 621788, 621797, 621805, 621813, 621819, 621826, 621833, 621846, 621855, 621747]"/>
    <s v="#FIELD!"/>
    <s v="[621775, 621776, 621783, 621788, 621797, 621805, 621813, 621819, 621826, 621833, 621846, 621855]"/>
    <s v="[0.002, 0.005, 0.014, 0.004, 0.022, 0.042, 0.077, 0.056, 0.081, 0.046, 0.021, 0.016]"/>
    <s v="377.4769457695176"/>
    <s v="[-0.002, 0.005, 0.014, -0.004, -0.022, -0.042, -0.077, -0.056, -0.081, -0.046, -0.021, -0.016]"/>
  </r>
  <r>
    <x v="1786"/>
    <x v="2274"/>
    <x v="0"/>
    <n v="0"/>
    <s v="LINESTRING (10.147195408866365 62.92198987689863, 10.147584138297187 62.92234445252555, 10.148692076780119 62.92326628568514, 10.149030611206305 62.92351915576984, 10.149143844508338 62.92360051483289, 10.149236407015213 62.923664684286216, 10.149356102716292 62.923743252645004, 10.149358490199877 62.923744800944, 10.149758491549267 62.92400059548513, 10.149861730812338 62.92406227197115, 10.149994797359977 62.92414174088621, 10.15028064473152 62.92430461307398, 10.150499459888895 62.92442416255921, 10.151311078970776 62.92479709127407)"/>
    <s v="[625067, 625075, 625083, 625091, 625099, 625107, 625115, 625123, 625131, 625139, 625147, 625155, 625163]"/>
    <s v="[621926, 621934, 621941, 621917, 621958, 621965, 621909, 621981, 621989, 621997, 622003, 622011, 621747]"/>
    <s v="#FIELD!"/>
    <s v="[621775, 621926, 621934, 621941, 621917, 621958, 621965, 621909, 621981, 621989, 621997, 622003, 622011]"/>
    <s v="[0.012, 0.005, 0.015, 0.001, 0.021, 0.021, 0.0, 0.04, 0.061, 0.068, 0.043, 0.021, 0.032]"/>
    <s v="378.6572788553543"/>
    <s v="[0.012, 0.005, 0.015, -0.001, -0.021, -0.021, 0.0, -0.04, -0.061, -0.068, -0.043, -0.021, -0.032]"/>
  </r>
  <r>
    <x v="1787"/>
    <x v="2297"/>
    <x v="0"/>
    <n v="0"/>
    <s v="LINESTRING (11.490813528831652 64.02124459290485, 11.490644236009333 64.02122253069071, 11.490523346422314 64.02115761522363)"/>
    <s v="[639824, 639832]"/>
    <s v="[634299, 634304]"/>
    <s v="0.18123502016093646"/>
    <s v="[621751, 634299]"/>
    <s v="[0.386, 0.008]"/>
    <s v="17.978260159009764"/>
    <s v="[0.386, -0.008]"/>
  </r>
  <r>
    <x v="1788"/>
    <x v="2128"/>
    <x v="0"/>
    <s v="[0, 0, 1, 0]"/>
    <s v="LINESTRING (10.39818809001672 63.4009382253154, 10.398327596569253 63.40095999184366, 10.401450783956223 63.401466099946674, 10.402222725971383 63.401592600153556, 10.403684546958678 63.40183215220853)"/>
    <s v="[627391, 627399, 627407, 627415]"/>
    <s v="[623727, 623732, 623736, 622922]"/>
    <s v="0.02518687053097241"/>
    <s v="[621778, 623727, 623732, 623736]"/>
    <s v="[0.104, 0.019, 0.034, 0.041]"/>
    <s v="289.26934778143266"/>
    <s v="[-0.104, 0.019, 0.034, 0.041]"/>
  </r>
  <r>
    <x v="1789"/>
    <x v="2364"/>
    <x v="0"/>
    <n v="0"/>
    <s v="LINESTRING (10.624694686620007 63.42243899993919, 10.634176585730488 63.42255114532055, 10.636406921760488 63.422800626065204, 10.639100408165707 63.4234319027319)"/>
    <s v="[624997, 625005, 625013]"/>
    <s v="[621857, 621864, 621873]"/>
    <s v="0.0542207876533228"/>
    <s v="[621849, 621857, 621864]"/>
    <s v="[0.015, 0.171, 0.088]"/>
    <s v="741.3084167108724"/>
    <s v="[0.015, 0.171, 0.088]"/>
  </r>
  <r>
    <x v="1789"/>
    <x v="2364"/>
    <x v="0"/>
    <n v="0"/>
    <s v="LINESTRING (10.624694686620007 63.42243899993919, 10.624932156182236 63.42243459204382, 10.629935598377937 63.42230984367272, 10.630862083616547 63.42229854334697, 10.630880622747235 63.42229895804684, 10.630917702375312 63.422299778490675, 10.630983207679133 63.42230039923645, 10.63892499446115 63.4233582160996, 10.639086988352899 63.42342619736571, 10.639100408165707 63.4234319027319)"/>
    <s v="[626630, 573233, 573241, 573251, 573252, 573309, 573310, 626662, 626670]"/>
    <s v="[580756, 580757, 580763, 580769, 574811, 580813, 580814, 623162, 621873]"/>
    <s v="0.05378435948667598"/>
    <s v="[621849, 580756, 580757, 580763, 580769, 574811, 580813, 580814, 623162]"/>
    <s v="[0.025, 0.006, 0.048, 0.014, 0.015, 0.012, 0.049, 1.388, 0.097]"/>
    <s v="747.5408481987076"/>
    <s v="[0.025, 0.006, 0.048, 0.014, 0.015, 0.012, 0.049, 1.388, 0.097]"/>
  </r>
  <r>
    <x v="1790"/>
    <x v="2365"/>
    <x v="0"/>
    <s v="[0, 0, 1, 0, 1, 0]"/>
    <s v="LINESTRING (11.475569127716394 64.02926130119155, 11.475328834344715 64.02940688221183, 11.473799477654289 64.0306342791452, 11.473759316905854 64.03067642912782, 11.47414191214191 64.03540077522037, 11.474438033493561 64.03563617176398, 11.475175594510482 64.03612486588668)"/>
    <s v="[635226, 635234, 635242, 635250, 635258, 635266]"/>
    <s v="[630338, 630344, 630349, 630357, 630364, 621868]"/>
    <s v="0.001496034776440701"/>
    <s v="[621861, 630338, 630344, 630349, 630357, 630364]"/>
    <s v="[0.254, 0.052, 0.014, 0.018, 0.044, 0.052]"/>
    <s v="820.6440401125153"/>
    <s v="[-0.254, -0.052, -0.014, 0.018, 0.044, 0.052]"/>
  </r>
  <r>
    <x v="1791"/>
    <x v="1276"/>
    <x v="0"/>
    <s v="[0, 1, 0, 0]"/>
    <s v="LINESTRING (11.475175594510482 64.03612486588668, 11.487058690050421 64.04081252335993, 11.487275175886438 64.04106303432229, 11.48867123472169 64.04266056649317, 11.489286297328302 64.04329604209688)"/>
    <s v="[625009, 625017, 625025, 625033]"/>
    <s v="[621869, 621878, 621885, 621894]"/>
    <s v="0.03652804895540404"/>
    <s v="[621868, 621869, 621878, 621885]"/>
    <s v="[0.042, 0.032, 0.021, 0.02]"/>
    <s v="1095.79272539829"/>
    <s v="[0.042, 0.032, 0.021, 0.02]"/>
  </r>
  <r>
    <x v="1791"/>
    <x v="1277"/>
    <x v="0"/>
    <s v="[0, 1, 0, 0, 0]"/>
    <s v="LINESTRING (11.475175594510482 64.03612486588668, 11.4869170166491 64.04083065847273, 11.48713736302695 64.04108305993687, 11.488533811536017 64.04267841977475, 11.489153262850285 64.04331223218848, 11.489809375651802 64.04394181544295)"/>
    <s v="[681770, 681771, 681780, 681784, 681792]"/>
    <s v="[672816, 672817, 672830, 672834, 622414]"/>
    <s v="0.03555120205680241"/>
    <s v="[621868, 672816, 672817, 672830, 672834]"/>
    <s v="[0.042, 0.033, 0.022, 0.017, 0.022]"/>
    <s v="1170.0383422074885"/>
    <s v="[0.042, 0.033, 0.022, 0.017, 0.022]"/>
  </r>
  <r>
    <x v="1792"/>
    <x v="1669"/>
    <x v="0"/>
    <s v="[0, 0, 0, 0, 0, 0, 0, 0, 0, 0, 1, 0, 1, 0, 0]"/>
    <s v="LINESTRING (10.639100408165707 63.4234319027319, 10.649865262572892 63.42659222433074, 10.656687585034806 63.42673762917652, 10.66069177420054 63.42642292693956, 10.66158317424565 63.42635598493075, 10.668237752534914 63.42649582894249, 10.669018434709482 63.42650409984969, 10.671378796022674 63.42643202502781, 10.673827745371163 63.42618124742933, 10.673891192442252 63.426173487980805, 10.674699534378652 63.42607267996379, 10.674866452257445 63.42605047071244, 10.684549190840391 63.42575128512509, 10.684949449566648 63.42574898338484, 10.68557256390393 63.42574540648114, 10.68580865774381 63.4257440467393)"/>
    <s v="[625021, 625029, 625037, 625045, 625053, 625061, 625069, 625077, 990529, 990537, 990545, 990553, 990561, 990569, 990577]"/>
    <s v="[621881, 621890, 621898, 621904, 621912, 621919, 621929, 621936, 949390, 949400, 949407, 949410, 949418, 949423, 949431]"/>
    <s v="#FIELD!"/>
    <s v="[621873, 621881, 621890, 621898, 621904, 621912, 621919, 621929, 621936, 949390, 949400, 949407, 949410, 949418, 949423]"/>
    <s v="[0.04, 0.02, 0.013, 0.076, 0.048, 0.03, 0.064, 0.09, 0.021, 0.03, 0.033, 0.03, 0.015, 0.015, 0.016]"/>
    <s v="2461.552495549776"/>
    <s v="[0.04, -0.02, -0.013, -0.076, -0.048, -0.03, -0.064, -0.09, -0.021, -0.03, -0.033, -0.03, 0.015, 0.015, 0.016]"/>
  </r>
  <r>
    <x v="1793"/>
    <x v="1277"/>
    <x v="0"/>
    <n v="0"/>
    <s v="LINESTRING (11.489809375651802 64.04394181544295, 11.489441376378213 64.04367087276978, 11.486825319322836 64.04169319694854, 11.487307988094804 64.04067207263991, 11.487309384006924 64.04054117686394, 11.488102054184106 64.04157653780143, 11.489127637301243 64.0430353609768, 11.489286297328302 64.04329604209688)"/>
    <s v="[625618, 639647, 639648, 639655, 639663, 639677, 625626]"/>
    <s v="[622415, 556234, 634166, 528673, 634177, 622421, 621894]"/>
    <s v="#FIELD!"/>
    <s v="[622414, 622415, 556234, 634166, 528673, 634177, 622421]"/>
    <s v="[0.024, 0.024, 0.004, 0.012, 0.024, 0.016, 0.018]"/>
    <s v="749.9293075487318"/>
    <s v="[-0.024, -0.024, -0.004, -0.012, 0.024, 0.016, 0.018]"/>
  </r>
  <r>
    <x v="1794"/>
    <x v="2366"/>
    <x v="0"/>
    <n v="0"/>
    <s v="LINESTRING (11.508623681231017 64.06700585086543, 11.508838156473699 64.06719460565218, 11.508851996611321 64.0672082707672, 11.509423373722353 64.06815832493378, 11.509449285992755 64.06820485679394, 11.509864284822132 64.0688589400336, 11.509937188815703 64.06895459411115, 11.510819202676375 64.07024541577934)"/>
    <s v="[625065, 625073, 625081, 625089, 625097, 625105, 625113]"/>
    <s v="[621924, 621932, 621940, 621949, 621956, 621964, 621971]"/>
    <s v="#FIELD!"/>
    <s v="[621923, 621924, 621932, 621940, 621949, 621956, 621964]"/>
    <s v="[0.023, 0.041, 0.024, 0.015, 0.015, 0.006, 0.009]"/>
    <s v="377.77018421537497"/>
    <s v="[-0.023, -0.041, -0.024, -0.015, -0.015, -0.006, -0.009]"/>
  </r>
  <r>
    <x v="1794"/>
    <x v="2366"/>
    <x v="0"/>
    <n v="0"/>
    <s v="LINESTRING (11.508623681231017 64.06700585086543, 11.508756003673344 64.0672054165502, 11.509300664455399 64.06821998312866, 11.50972193149254 64.06888002121264, 11.509772948282018 64.0689420428033, 11.509801056671309 64.06897744194256, 11.509833662664498 64.06901739628707, 11.510819202676375 64.07024541577934)"/>
    <s v="[681824, 681832, 681840, 681848, 681858, 681859, 681865]"/>
    <s v="[672881, 672893, 672905, 672916, 672928, 622620, 621971]"/>
    <s v="#FIELD!"/>
    <s v="[621923, 672881, 672893, 672905, 672916, 672928, 622620]"/>
    <s v="[0.03, 0.025, 0.016, 0.008, 0.01, 0.009, 0.006]"/>
    <s v="377.39601945009474"/>
    <s v="[-0.03, -0.025, -0.016, -0.008, -0.01, -0.009, -0.006]"/>
  </r>
  <r>
    <x v="1794"/>
    <x v="1275"/>
    <x v="0"/>
    <n v="0"/>
    <s v="LINESTRING (11.49137606795587 64.05805033253465, 11.49144972896132 64.0583277963745, 11.491817568423478 64.05952292801345, 11.492121527115541 64.05977351853896, 11.492978523528985 64.06022988547603, 11.503124991434527 64.0635700535383, 11.503558441579319 64.06372122302294, 11.504020036512948 64.06393589531442, 11.50447547613756 64.06421114262213, 11.505096780984257 64.06461015604279, 11.50520684159377 64.06468185622622, 11.505426228364449 64.06482147424016, 11.505766700127106 64.0650409538643, 11.506039874217947 64.06521355173416, 11.5066677958645 64.06561921229559, 11.50670148015571 64.06564264442997, 11.50677044226435 64.06568661811193, 11.506831352525214 64.06572608575539, 11.507457763439445 64.06613350299519, 11.508097045767704 64.06657964312674, 11.508623681231017 64.06700585086543)"/>
    <s v="[635394, 635402, 635410, 635418, 635426, 635434, 635442, 635450, 635458, 635466, 635474, 635482, 635490, 635498, 635506, 635514, 635522, 635530, 635538, 635546]"/>
    <s v="[561222, 630499, 568252, 630512, 630519, 630526, 630534, 526907, 630548, 630556, 630563, 434610, 630578, 630587, 434794, 630603, 434859, 630619, 630625, 621923]"/>
    <s v="#FIELD!"/>
    <s v="[630485, 561222, 630499, 568252, 630512, 630519, 630526, 630534, 526907, 630548, 630556, 630563, 434610, 630578, 630587, 434794, 630603, 434859, 630619, 630625]"/>
    <s v="[0.006, 0.007, 0.014, 0.013, 0.001, 0.005, 0.022, 0.03, 0.048, 0.059, 0.065, 0.057, 0.066, 0.047, 0.038, 0.049, 0.047, 0.059, 0.034, 0.03]"/>
    <s v="1355.0824511832116"/>
    <s v="[-0.006, -0.007, 0.014, 0.013, -0.001, 0.005, -0.022, -0.03, -0.048, -0.059, -0.065, -0.057, -0.066, -0.047, -0.038, -0.049, -0.047, -0.059, -0.034, -0.03]"/>
  </r>
  <r>
    <x v="1795"/>
    <x v="2367"/>
    <x v="185"/>
    <n v="0"/>
    <s v="LINESTRING (11.510819202676375 64.07024541577934, 11.72075273058356 64.13099957582696)"/>
    <m/>
    <m/>
    <s v="0.0"/>
    <m/>
    <n v="0"/>
    <s v="15612.84297523766"/>
    <n v="0"/>
  </r>
  <r>
    <x v="1796"/>
    <x v="2368"/>
    <x v="0"/>
    <n v="0"/>
    <s v="LINESTRING (12.341081516846314 64.38805800463746, 12.341081674537973 64.3882628680397, 12.341071866328065 64.38833014500275, 12.340894498443436 64.38941357817005, 12.340892899190534 64.38942260061657, 12.340883151378117 64.38947402069651, 12.340877442070507 64.38950150253385, 12.340872945635118 64.38952995819274, 12.340870513078752 64.38954523329375, 12.340839067949368 64.3897130217932, 12.340744917899178 64.3902343857375, 12.340645267663511 64.39071413726309, 12.34048978838169 64.39114532973812)"/>
    <s v="[625121, 625129, 625137, 625145, 625153, 625161, 625169, 625177, 625185, 625193, 625201, 625209]"/>
    <s v="[621979, 621986, 621996, 622001, 622009, 622017, 622022, 622027, 622034, 622038, 622042, 622046]"/>
    <s v="#FIELD!"/>
    <s v="[621978, 621979, 621986, 621996, 622001, 622009, 622017, 622022, 622027, 622034, 622038, 622042]"/>
    <s v="[0.021, 0.02, 0.019, 0.027, 0.018, 0.027, 0.015, 0.032, 0.018, 0.019, 0.02, 0.01]"/>
    <s v="345.7532197956108"/>
    <s v="[-0.021, -0.02, -0.019, -0.027, -0.018, -0.027, -0.015, -0.032, -0.018, -0.019, -0.02, -0.01]"/>
  </r>
  <r>
    <x v="1796"/>
    <x v="2368"/>
    <x v="0"/>
    <n v="0"/>
    <s v="LINESTRING (12.341081516846314 64.38805800463746, 12.340971736770701 64.38832525908646, 12.340728581654274 64.38940946621577, 12.340726772629662 64.38941851179752, 12.340710555760221 64.38949882768809, 12.340702596667573 64.3895414083418, 12.34057809417186 64.39023230459111, 12.340558148807624 64.39034191616805, 12.340509222612773 64.39071215603556, 12.34048978838169 64.39114532973812)"/>
    <s v="[681884, 681892, 681902, 681908, 681926, 681938, 681948, 681957, 681965]"/>
    <s v="[672960, 672967, 672975, 622929, 672992, 672999, 673014, 673021, 622046]"/>
    <s v="#FIELD!"/>
    <s v="[621978, 672960, 672967, 672975, 622929, 672992, 672999, 673014, 673021]"/>
    <s v="[0.008, 0.017, 0.029, 0.017, 0.016, 0.02, 0.02, 0.022, 0.019]"/>
    <s v="345.9220990413507"/>
    <s v="[-0.008, -0.017, -0.029, -0.017, -0.016, -0.02, -0.02, -0.022, -0.019]"/>
  </r>
  <r>
    <x v="1796"/>
    <x v="2369"/>
    <x v="0"/>
    <n v="0"/>
    <s v="LINESTRING (12.135883887668536 64.28990587025604, 12.341081516846314 64.38805800463746)"/>
    <m/>
    <m/>
    <s v="0.0"/>
    <m/>
    <n v="0"/>
    <s v="15612.84297523766"/>
    <n v="0"/>
  </r>
  <r>
    <x v="1797"/>
    <x v="2111"/>
    <x v="0"/>
    <n v="0"/>
    <s v="LINESTRING (10.752926068961658 63.419876439841225, 10.754126843823533 63.419736401546174, 10.760889907983314 63.41871154580236, 10.763991234747776 63.418037891014336, 10.764647359464545 63.417831906810235)"/>
    <s v="[625213, 625221, 625229, 1292468]"/>
    <s v="[622050, 622058, 622065, 1205572]"/>
    <s v="#FIELD!"/>
    <s v="[622044, 622050, 622058, 622065]"/>
    <s v="[0.086, 0.063, 0.034, 0.376]"/>
    <s v="631.1978623106204"/>
    <s v="[-0.086, -0.063, -0.034, -0.376]"/>
  </r>
  <r>
    <x v="1797"/>
    <x v="2111"/>
    <x v="0"/>
    <n v="0"/>
    <s v="LINESTRING (10.752926068961658 63.419876439841225, 10.753053860378925 63.419851763431744, 10.75626337921177 63.41925014235281, 10.756386268666427 63.41923143022629, 10.756445522233092 63.419224202427046, 10.756708064506446 63.41919225636076, 10.763660432005798 63.41809866693029, 10.764448468893715 63.417879788622294, 10.764647359464545 63.417831906810235)"/>
    <s v="[626678, 573420, 573436, 573506, 573509, 573511, 573519, 1292492]"/>
    <s v="[580898, 580899, 526501, 580964, 580968, 580970, 580980, 1205572]"/>
    <s v="#FIELD!"/>
    <s v="[622044, 580898, 580899, 526501, 580964, 580968, 580970, 580980]"/>
    <s v="[3.004, 0.003, 0.042, 0.052, 0.053, 0.023, 0.106, 1.235]"/>
    <s v="631.2303736406035"/>
    <s v="[-3.004, 0.003, -0.042, -0.052, -0.053, -0.023, -0.106, -1.235]"/>
  </r>
  <r>
    <x v="1798"/>
    <x v="2370"/>
    <x v="0"/>
    <s v="[0, 0, 1, 0, 1, 0, 0, 0, 0]"/>
    <s v="LINESTRING (12.34048978838169 64.39114532973812, 12.340448796455727 64.39130580634233, 12.3256650509879 64.40266990600442, 12.325529200464455 64.40308651083197, 12.314847597685091 64.4350527558023, 12.314804599689147 64.43543881409629, 12.307992603210211 64.4421192541228, 12.299585479000251 64.45399226717454, 12.295723951784522 64.45651223341325, 12.295228615296915 64.45685546589716)"/>
    <s v="[637339, 637347, 637355, 637363, 637371, 637379, 637387, 637395, 637403]"/>
    <s v="[632165, 632174, 632183, 632189, 632195, 521769, 570268, 632215, 622054]"/>
    <s v="#FIELD!"/>
    <s v="[622046, 632165, 632174, 632183, 632189, 632195, 521769, 570268, 632215]"/>
    <s v="[0.0, 0.0, 0.082, 0.015, 0.022, 0.051, 0.041, 0.02, 0.028]"/>
    <s v="7996.680139478025"/>
    <s v="[-0.0, -0.0, -0.082, -0.015, 0.022, 0.051, -0.041, -0.02, -0.028]"/>
  </r>
  <r>
    <x v="1799"/>
    <x v="2371"/>
    <x v="0"/>
    <s v="[0, 0, 0, 0, 0, 0, 0, 0, 0, 1]"/>
    <s v="LINESTRING (12.295228615296915 64.45685546589716, 12.295172812038413 64.45693255375302, 12.29514919815784 64.4569547391621, 12.294247245195695 64.45789402284912, 12.294201916456627 64.45795767196252, 12.294162872546224 64.4580141272491, 12.294102741721819 64.45809959402015, 12.294034286143138 64.45819689547568, 12.293764243262366 64.45861727647008, 12.293460490437694 64.45919138028032, 12.293310815107436 64.45968577902377)"/>
    <s v="[625217, 625225, 625233, 625242, 625250, 625258, 625266, 625274, 625282, 625290]"/>
    <s v="[622055, 622063, 622069, 622078, 622085, 622093, 622101, 622109, 622118, 622125]"/>
    <s v="#FIELD!"/>
    <s v="[622054, 622055, 622063, 622069, 622078, 622085, 622093, 622101, 622109, 622118]"/>
    <s v="[0.062, 0.059, 0.071, 0.083, 0.068, 0.08, 0.079, 0.078, 0.074, 0.056]"/>
    <s v="330.32028368632785"/>
    <s v="[-0.062, -0.059, -0.071, -0.083, -0.068, -0.08, -0.079, -0.078, -0.074, -0.056]"/>
  </r>
  <r>
    <x v="1799"/>
    <x v="2371"/>
    <x v="0"/>
    <s v="[0, 0, 0, 0, 0, 0, 0, 0, 1]"/>
    <s v="LINESTRING (12.295228615296915 64.45685546589716, 12.295128362020105 64.45691108233149, 12.294105473237472 64.45787989193892, 12.29403440995787 64.45796106265486, 12.293963490358095 64.45805425088912, 12.293612762245614 64.45859906018562, 12.293584194084016 64.4586494673043, 12.293509335572262 64.4588014361083, 12.293367714306484 64.4591855143118, 12.293310815107436 64.45968577902377)"/>
    <s v="[681973, 681985, 682002, 682009, 682010, 682017, 682018, 682025, 682041]"/>
    <s v="[673035, 673046, 624357, 673069, 673070, 673078, 673079, 673086, 622125]"/>
    <s v="#FIELD!"/>
    <s v="[622054, 673035, 673046, 624357, 673069, 673070, 673078, 673079, 673086]"/>
    <s v="[0.054, 0.07, 0.076, 0.074, 0.077, 0.072, 0.072, 0.075, 0.056]"/>
    <s v="332.8621063224069"/>
    <s v="[-0.054, -0.07, -0.076, -0.074, -0.077, -0.072, -0.072, -0.075, -0.056]"/>
  </r>
  <r>
    <x v="1800"/>
    <x v="2372"/>
    <x v="0"/>
    <s v="[1, 0, 1, 0, 1, 1, 0]"/>
    <s v="LINESTRING (12.293310815107436 64.45968577902377, 12.293382412159445 64.46065376729446, 12.29364533113308 64.46134434652373, 12.293665924713542 64.46138394021882, 12.294593661595677 64.46257312523913, 12.295569463702169 64.46334862891528, 12.296658740873731 64.46399058216558, 12.297103860222686 64.4642066474806)"/>
    <s v="[637411, 637419, 637427, 637435, 637443, 637451, 637459]"/>
    <s v="[632228, 632236, 632243, 632251, 632259, 632265, 622130]"/>
    <s v="#FIELD!"/>
    <s v="[622125, 632228, 632236, 632243, 632251, 632259, 632265]"/>
    <s v="[0.013, 0.012, 0.012, 0.001, 0.016, 0.006, 0.006]"/>
    <s v="550.05800374484"/>
    <s v="[-0.013, -0.012, -0.012, -0.001, 0.016, 0.006, 0.006]"/>
  </r>
  <r>
    <x v="1801"/>
    <x v="2373"/>
    <x v="0"/>
    <n v="0"/>
    <s v="LINESTRING (12.297103860222686 64.4642066474806, 12.29760771158968 64.46439306236896, 12.29802606826627 64.46455451193641, 12.298497905427372 64.46472370474281, 12.298653339535262 64.46477646123451, 12.299962591474351 64.46520197792833, 12.300137825377734 64.4652578172607, 12.300169568863728 64.4652675864607, 12.300264800341653 64.46529688505657, 12.302155909643378 64.46584459319038, 12.302287840910756 64.46590225727245)"/>
    <s v="[625298, 625306, 625314, 625322, 625330, 625338, 625346, 625354, 625362, 625370]"/>
    <s v="[622131, 622141, 622150, 622157, 622164, 622171, 622179, 622188, 622195, 622201]"/>
    <s v="0.013418623183252836"/>
    <s v="[622130, 622131, 622141, 622150, 622157, 622164, 622171, 622179, 622188, 622195]"/>
    <s v="[0.005, 0.004, 0.004, 0.003, 0.011, 0.024, 0.022, 0.022, 0.02, 0.035]"/>
    <s v="313.47323425975316"/>
    <s v="[0.005, 0.004, 0.004, 0.003, 0.011, 0.024, 0.022, 0.022, 0.02, 0.035]"/>
  </r>
  <r>
    <x v="1801"/>
    <x v="2373"/>
    <x v="0"/>
    <n v="0"/>
    <s v="LINESTRING (12.297103860222686 64.4642066474806, 12.297524106662832 64.46442816276799, 12.298552676079801 64.46482757389359, 12.29980719963781 64.46524074490976, 12.299861153354515 64.46525736954415, 12.299977582112783 64.4652932446722, 12.30004681876492 64.46531397527421, 12.300091406309708 64.46532747348228, 12.300187986955468 64.46535638383656, 12.302111569774752 64.4658748133708, 12.302287840910756 64.46590225727245)"/>
    <s v="[682049, 682059, 682074, 682082, 682090, 682098, 682106, 682130, 682146, 682154]"/>
    <s v="[673110, 673124, 673144, 673153, 623210, 673166, 673176, 673205, 673228, 622201]"/>
    <s v="0.013382380885614413"/>
    <s v="[622130, 673110, 673124, 673144, 673153, 623210, 673166, 673176, 673205, 673228]"/>
    <s v="[0.005, 0.004, 0.013, 0.026, 0.018, 0.02, 0.032, 0.022, 0.019, 0.026]"/>
    <s v="315.19054937552676"/>
    <s v="[0.005, 0.004, 0.013, 0.026, 0.018, 0.02, 0.032, 0.022, 0.019, 0.026]"/>
  </r>
  <r>
    <x v="1802"/>
    <x v="2115"/>
    <x v="0"/>
    <n v="0"/>
    <s v="LINESTRING (10.816103090622992 63.41000966182686, 10.816239435204208 63.41035344888184, 10.81954977301648 63.41251429405782, 10.819813224828783 63.412617053187695, 10.820971412528166 63.413087098245484, 10.824154928256856 63.41465303960924, 10.824389470401146 63.41479806421909, 10.824902718876645 63.41511353978374, 10.824908403204363 63.41511706798824)"/>
    <s v="[625310, 625318, 625326, 625334, 625342, 1393918, 1393925, 1393933]"/>
    <s v="[622147, 622155, 622161, 622168, 622176, 1277685, 1277690, 1277697]"/>
    <s v="0.05004871587771644"/>
    <s v="[622137, 622147, 622155, 622161, 622168, 622176, 1277685, 1277690]"/>
    <s v="[0.159, 0.013, 0.016, 0.055, 0.003, 1.846, 0.064, 0.01]"/>
    <s v="732.7680946350173"/>
    <s v="[0.159, -0.013, -0.016, -0.055, -0.003, 1.846, 0.064, -0.01]"/>
  </r>
  <r>
    <x v="1803"/>
    <x v="2374"/>
    <x v="0"/>
    <n v="0"/>
    <s v="LINESTRING (12.302287840910756 64.46590225727245, 12.30251043702456 64.4659530450915, 12.307304769156273 64.46696235641322, 12.307412483563958 64.46698079788474)"/>
    <s v="[637467, 637475, 637483]"/>
    <s v="[632277, 632282, 622207]"/>
    <s v="0.007537577179312303"/>
    <s v="[622201, 632277, 632282]"/>
    <s v="[0.027, 0.007, 0.01]"/>
    <s v="274.3527936267981"/>
    <s v="[0.027, 0.007, -0.01]"/>
  </r>
  <r>
    <x v="1804"/>
    <x v="2375"/>
    <x v="0"/>
    <n v="0"/>
    <s v="LINESTRING (12.307412483563958 64.46698079788474, 12.307597738390147 64.46699889029264, 12.309395328266811 64.46738139482542, 12.3096111394313 64.46743583677936, 12.30963097862756 64.46744103087563, 12.30968503948128 64.46745518430733, 12.309797683412416 64.46748342120071, 12.30995654641879 64.46752303681004, 12.310015053060106 64.46753790003477, 12.310522702226772 64.46768670420389, 12.311387633196727 64.46801404580877, 12.312684518287403 64.46888072937409)"/>
    <s v="[625378, 625386, 625394, 625402, 625410, 625418, 625426, 625434, 625442, 625450, 625458]"/>
    <s v="[622208, 622216, 622224, 622230, 622237, 622245, 622250, 622259, 622269, 622275, 622281]"/>
    <s v="0.0027750740355043805"/>
    <s v="[622207, 622208, 622216, 622224, 622230, 622237, 622245, 622250, 622259, 622269, 622275]"/>
    <s v="[0.015, 0.013, 0.013, 0.018, 0.014, 0.015, 0.015, 0.014, 0.006, 0.029, 0.009]"/>
    <s v="341.19580173155674"/>
    <s v="[-0.015, -0.013, -0.013, -0.018, -0.014, -0.015, -0.015, -0.014, 0.006, 0.029, 0.009]"/>
  </r>
  <r>
    <x v="1804"/>
    <x v="2375"/>
    <x v="0"/>
    <n v="0"/>
    <s v="LINESTRING (12.307412483563958 64.46698079788474, 12.30756436150361 64.46702960016896, 12.30932764979238 64.46743468079933, 12.309541718101011 64.46748971055194, 12.309561606788924 64.46749482474586, 12.309615773689428 64.46750874667123, 12.309686501776861 64.46752776676198, 12.309826622160692 64.46756775792183, 12.310430767885316 64.46774905641968, 12.311324690845595 64.46807697362853, 12.311472801488135 64.46814011514113, 12.311633276808452 64.46821232754188, 12.312684518287403 64.46888072937409)"/>
    <s v="[682172, 682195, 682203, 682204, 682211, 682212, 682219, 682220, 682227, 682228, 682256, 682279]"/>
    <s v="[673259, 673280, 673291, 673292, 673300, 624352, 673306, 673307, 673317, 673318, 673354, 622281]"/>
    <s v="0.0027642987527246453"/>
    <s v="[622207, 673259, 673280, 673291, 673292, 673300, 624352, 673306, 673307, 673317, 673318, 673354]"/>
    <s v="[0.006, 0.013, 0.013, 0.018, 0.015, 0.013, 0.014, 0.001, 0.033, 0.022, 0.019, 0.004]"/>
    <s v="336.75636251255344"/>
    <s v="[-0.006, -0.013, -0.013, -0.018, -0.015, -0.013, -0.014, -0.001, 0.033, 0.022, 0.019, 0.004]"/>
  </r>
  <r>
    <x v="1805"/>
    <x v="2376"/>
    <x v="186"/>
    <n v="0"/>
    <s v="LINESTRING (12.312684518287403 64.46888072937409, 12.526239665618132 64.5780260730179)"/>
    <m/>
    <m/>
    <s v="0.0"/>
    <m/>
    <n v="0"/>
    <s v="17988.19476979319"/>
    <n v="0"/>
  </r>
  <r>
    <x v="1806"/>
    <x v="2377"/>
    <x v="187"/>
    <n v="0"/>
    <s v="LINESTRING (11.278531765904042 63.73032499810362, 11.278537805868266 63.73032763433726, 11.285525755917464 63.73143946888363, 11.28636741207218 63.73145541171893)"/>
    <s v="[1135677, 1135691, 681029]"/>
    <s v="[1072512, 671905, 622372]"/>
    <s v="0.014594863524732311"/>
    <s v="[1072471, 1072512, 671905]"/>
    <s v="[0.193, 0.011, 0.049]"/>
    <s v="416.1513033497323"/>
    <s v="[-0.193, 0.011, 0.049]"/>
  </r>
  <r>
    <x v="1806"/>
    <x v="2275"/>
    <x v="0"/>
    <n v="0"/>
    <s v="LINESTRING (11.28636741207218 63.73145541171893, 11.286775969287316 63.73146294799483, 11.290603419455254 63.73157097259215, 11.292830434070678 63.73179187363163, 11.293929115041312 63.731918687854126, 11.296107980054765 63.7321148178844, 11.296172177740734 63.73211790709571, 11.29637406488456 63.7321275843616, 11.29809461836274 63.73219035212948, 11.30522275159072 63.732438909616135, 11.3068892290021 63.73249923134583, 11.324632831471343 63.73673379533537, 11.328897780814188 63.73746857728081, 11.335201770617882 63.738602236579055)"/>
    <s v="[681045, 681053, 681061, 681069, 851386, 851394, 851402, 851410, 851418, 851426, 851434, 851442, 851450]"/>
    <s v="[671921, 671933, 671943, 671955, 826101, 826106, 826113, 826122, 826129, 826135, 826142, 826148, 825888]"/>
    <s v="0.009673232890419927"/>
    <s v="[622372, 671921, 671933, 671943, 671955, 826101, 826106, 826113, 826122, 826129, 826135, 826142, 826148]"/>
    <s v="[0.044, 0.025, 0.032, 0.046, 0.055, 0.051, 0.049, 0.037, 0.018, 0.035, 0.017, 0.017, 0.033]"/>
    <s v="2632.1725848724213"/>
    <s v="[0.044, 0.025, 0.032, 0.046, -0.055, -0.051, -0.049, -0.037, -0.018, -0.035, 0.017, 0.017, 0.033]"/>
  </r>
  <r>
    <x v="1807"/>
    <x v="2378"/>
    <x v="0"/>
    <n v="0"/>
    <s v="LINESTRING (10.985369550731386 59.934686807161505, 10.985052115514993 59.9345923786822, 10.98116073157111 59.93358904155564)"/>
    <s v="[625580, 625596]"/>
    <s v="[622382, 622386]"/>
    <s v="#FIELD!"/>
    <s v="[622381, 622382]"/>
    <s v="[0.003, 0.015]"/>
    <s v="284.3765144191367"/>
    <s v="[0.003, -0.015]"/>
  </r>
  <r>
    <x v="1807"/>
    <x v="2379"/>
    <x v="0"/>
    <n v="0"/>
    <s v="LINESTRING (10.985369550731386 59.934686807161505, 10.985891797269417 59.934902580677765, 10.986397228783474 59.93510931671313, 10.988016782833494 59.93575727336387, 10.988184791840586 59.93581580258089, 10.991250221939417 59.93649017416649, 10.991267987617196 59.9364926028469, 10.993287094822637 59.93676321786531, 10.993586769334836 59.93680287375912, 10.99360389220871 59.93680513871957, 10.997207403968668 59.93709157481247, 10.997761221614818 59.937064163026854, 11.000139567772097 59.9367649854995, 11.000156775823715 59.93676298180533, 11.003694120662182 59.936883670188536, 11.003699756343389 59.936884776166174, 11.003933206292896 59.93693053508419, 11.005611455299134 59.93745740219048, 11.006882471838683 59.93794592003315)"/>
    <s v="[1512585, 1512593, 1512601, 1512609, 1512617, 1512625, 1512633, 1512641, 1512649, 1512657, 1512665, 1512673, 1512681, 1512689, 1512697, 1512705, 1512713, 1512714]"/>
    <s v="[1367824, 1367830, 1367836, 1367841, 1367849, 1367855, 1367864, 1367870, 1367877, 1367883, 1367891, 1367900, 1367907, 1367914, 1367923, 1367930, 1367937, 1365666]"/>
    <s v="0.0071685811583062364"/>
    <s v="[622381, 1367824, 1367830, 1367836, 1367841, 1367849, 1367855, 1367864, 1367870, 1367877, 1367883, 1367891, 1367900, 1367907, 1367914, 1367923, 1367930, 1367937]"/>
    <s v="[0.085, 0.004, 0.001, 0.002, 0.007, 0.015, 0.01, 0.056, 0.047, 0.012, 0.009, 0.019, 0.014, 0.019, 0.021, 0.015, 0.03, 0.019]"/>
    <s v="1316.2719891234817"/>
    <s v="[-0.085, -0.004, 0.001, -0.002, 0.007, -0.015, 0.01, 0.056, 0.047, 0.012, 0.009, -0.019, 0.014, 0.019, 0.021, 0.015, 0.03, 0.019]"/>
  </r>
  <r>
    <x v="1807"/>
    <x v="2380"/>
    <x v="0"/>
    <n v="0"/>
    <s v="LINESTRING (10.977077714195323 59.93202115716786, 10.980165185638802 59.93287538983141, 10.980243736107044 59.932896846985045, 10.981724623402522 59.93331576812921, 10.981740009266986 59.93332037313047, 10.982505565448422 59.93356983609315, 10.982520087115864 59.93357477425174, 10.98253490136296 59.9335798112372, 10.983490041949727 59.933910929847315, 10.983558805027082 59.93393927873841, 10.983712717951075 59.93400267947058, 10.985369550731386 59.934686807161505)"/>
    <s v="[1512511, 1512513, 1512520, 1512528, 1512529, 1512536, 1512537, 1512538, 1512554, 1512562, 1512570]"/>
    <s v="[1367756, 1367757, 1367763, 1367771, 1367772, 1367777, 1367778, 1367779, 1367798, 1367804, 622381]"/>
    <s v="0.007894910214983307"/>
    <s v="[622401, 1367756, 1367757, 1367763, 1367771, 1367772, 1367777, 1367778, 1367779, 1367798, 1367804]"/>
    <s v="[0.002, 0.004, 0.002, 0.07, 0.022, 0.017, 0.036, 0.021, 0.001, 0.026, 0.037]"/>
    <s v="552.2907078083348"/>
    <s v="[-0.002, 0.004, 0.002, 0.07, 0.022, 0.017, -0.036, -0.021, 0.001, 0.026, 0.037]"/>
  </r>
  <r>
    <x v="1808"/>
    <x v="2381"/>
    <x v="0"/>
    <n v="0"/>
    <m/>
    <n v="1571842"/>
    <n v="1363792"/>
    <s v="#FIELD!"/>
    <n v="622386"/>
    <s v="0.016"/>
    <s v="110.51368851941795"/>
    <s v="#FIELD!"/>
  </r>
  <r>
    <x v="1808"/>
    <x v="2380"/>
    <x v="0"/>
    <n v="0"/>
    <s v="LINESTRING (10.98116073157111 59.93358904155564, 10.977334224935639 59.9321131426091, 10.977077714195323 59.93202115716786)"/>
    <s v="[625588, 625604]"/>
    <s v="[622387, 622401]"/>
    <s v="#FIELD!"/>
    <s v="[622386, 622387]"/>
    <s v="[0.001, 0.01]"/>
    <s v="303.1349921082024"/>
    <s v="[-0.001, -0.01]"/>
  </r>
  <r>
    <x v="1809"/>
    <x v="2382"/>
    <x v="188"/>
    <n v="0"/>
    <s v="LINESTRING (11.461120482962382 63.7876916217402, 11.46138617812161 63.78746554446658, 11.461054744827763 63.78564884494755, 11.461312699887603 63.78535136507089, 11.46133091614743 63.78531722980496)"/>
    <s v="[625602, 597868, 846877, 846881]"/>
    <s v="[601104, 601105, 822223, 821962]"/>
    <s v="0.0039047719831499473"/>
    <s v="[622399, 601104, 601105, 822223]"/>
    <s v="[0.007, 0.004, 0.001, 0.002]"/>
    <s v="308.97866506229724"/>
    <s v="[0.007, 0.004, 0.001, 0.002]"/>
  </r>
  <r>
    <x v="1809"/>
    <x v="2053"/>
    <x v="189"/>
    <n v="0"/>
    <s v="LINESTRING (11.465214511935507 63.78496433893209, 11.464607384948005 63.7853626358843, 11.463895120574968 63.785841470241124, 11.463763266552231 63.78593174103113, 11.462775748982143 63.786587764866475, 11.462174673816957 63.78699117879417, 11.461120482962382 63.7876916217402)"/>
    <s v="[681255, 681265, 681273, 681281, 681289, 681297]"/>
    <s v="[672199, 672212, 672224, 672237, 672249, 622399]"/>
    <s v="0.0023760414548637566"/>
    <s v="[672198, 672199, 672212, 672224, 672237, 672249]"/>
    <s v="[0.003, 0.001, 0.003, 0.003, 0.006, 0.005]"/>
    <s v="364.92433055896345"/>
    <s v="[-0.003, -0.001, 0.003, 0.003, 0.006, 0.005]"/>
  </r>
  <r>
    <x v="1810"/>
    <x v="2383"/>
    <x v="0"/>
    <n v="0"/>
    <s v="LINESTRING (10.971111150876336 59.930369995371386, 10.97118951094166 59.930391452348886, 10.972165316118174 59.93065918780543, 10.977077714195323 59.93202115716786)"/>
    <s v="[1512464, 1512487, 1512495]"/>
    <s v="[1367711, 1367734, 622401]"/>
    <s v="0.004200515518776249"/>
    <s v="[1365600, 1367711, 1367734]"/>
    <s v="[0.008, 0.015, 0.002]"/>
    <s v="381.06514548113216"/>
    <s v="[0.008, 0.015, 0.002]"/>
  </r>
  <r>
    <x v="1811"/>
    <x v="2384"/>
    <x v="0"/>
    <n v="0"/>
    <m/>
    <n v="639888"/>
    <n v="622453"/>
    <s v="0.001"/>
    <n v="622445"/>
    <s v="0.001"/>
    <s v="189.86013510363208"/>
    <s v="0.001"/>
  </r>
  <r>
    <x v="1812"/>
    <x v="2385"/>
    <x v="0"/>
    <n v="0"/>
    <s v="LINESTRING (10.928098287790636 63.46734555117356, 10.929148633946891 63.46728218099368, 10.929251570628614 63.467279117578514, 10.930177025220035 63.467255991936106, 10.930415557352248 63.467251656339634, 10.930559067332254 63.46724800349514, 10.931049959912793 63.46723549080918, 10.9325313838444 63.467202128470774, 10.93277818173795 63.46720465755121, 10.932840477035121 63.467204632586, 10.932900771021169 63.46720455064492, 10.933064496706924 63.46721190597529, 10.933241085952353 63.46722771660618)"/>
    <s v="[625666, 625674, 625682, 625690, 625698, 625706, 625714, 625722, 625730, 625738, 625746, 625754]"/>
    <s v="[622454, 622461, 622468, 622477, 622484, 622493, 622500, 622504, 622510, 622518, 622525, 622531]"/>
    <s v="0.008096169122924617"/>
    <s v="[622453, 622454, 622461, 622468, 622477, 622484, 622493, 622500, 622504, 622510, 622518, 622525]"/>
    <s v="[0.007, 0.009, 0.009, 0.009, 0.009, 0.009, 0.008, 0.008, 0.008, 0.008, 0.007, 0.007]"/>
    <s v="257.5363171861424"/>
    <s v="[0.007, 0.009, 0.009, 0.009, 0.009, 0.009, 0.008, 0.008, 0.008, 0.008, 0.007, 0.007]"/>
  </r>
  <r>
    <x v="1812"/>
    <x v="2385"/>
    <x v="0"/>
    <n v="0"/>
    <s v="LINESTRING (10.928098287790636 63.46734555117356, 10.929270541132821 63.4673446075975, 10.930057760148085 63.46732945505326, 10.930197849532384 63.46732668488672, 10.930355865571896 63.46732446097229, 10.930435077741897 63.467322761532856, 10.930494847987287 63.46732212638947, 10.930579755376206 63.4673195194163, 10.931081540199118 63.467304323606676, 10.931133261851917 63.4673027759539, 10.932850376397967 63.467248058180935, 10.933241085952353 63.46722771660618)"/>
    <s v="[682359, 682367, 682375, 682383, 682391, 682399, 682407, 682415, 682423, 682431, 682439]"/>
    <s v="[673468, 673478, 673487, 670987, 673509, 646763, 673529, 673541, 673554, 673564, 622531]"/>
    <s v="0.007750856389043904"/>
    <s v="[622453, 673468, 673478, 673487, 670987, 673509, 646763, 673529, 673541, 673554, 673564]"/>
    <s v="[0.013, 0.007, 0.007, 0.007, 0.007, 0.006, 0.008, 0.007, 0.007, 0.004, 0.047]"/>
    <s v="257.040473246787"/>
    <s v="[0.013, 0.007, 0.007, 0.007, 0.007, 0.006, 0.008, 0.007, 0.007, -0.004, 0.047]"/>
  </r>
  <r>
    <x v="1813"/>
    <x v="2386"/>
    <x v="0"/>
    <n v="0"/>
    <s v="LINESTRING (10.933241085952353 63.46722771660618, 10.937303439105083 63.467659894079965, 10.937747522509914 63.467732477028086)"/>
    <s v="[639896, 1027762]"/>
    <s v="[634356, 982297]"/>
    <s v="#FIELD!"/>
    <s v="[622531, 634356]"/>
    <s v="[0.011, 0.034]"/>
    <s v="232.99095565018834"/>
    <s v="[-0.011, -0.034]"/>
  </r>
  <r>
    <x v="1814"/>
    <x v="2121"/>
    <x v="0"/>
    <n v="0"/>
    <s v="LINESTRING (10.286221480873847 63.0328602739537, 10.288241644764971 63.03322049606032, 10.28939939367339 63.033549950779886, 10.293529152599836 63.03543408283581)"/>
    <s v="[626966, 626974, 626982]"/>
    <s v="[623403, 623410, 622858]"/>
    <s v="#FIELD!"/>
    <s v="[622852, 623403, 623410]"/>
    <s v="[0.014, 0.014, 0.019]"/>
    <s v="476.187635860223"/>
    <s v="[-0.014, -0.014, -0.019]"/>
  </r>
  <r>
    <x v="1815"/>
    <x v="2387"/>
    <x v="0"/>
    <n v="0"/>
    <s v="LINESTRING (10.460614393291753 63.42020739177545, 10.460614393291753 63.42020739177545, 10.45923119372622 63.41810877747126, 10.459092495401237 63.418021639769606)"/>
    <s v="[626214, 572182, 626222]"/>
    <s v="[579802, 579803, 622880]"/>
    <s v="0.040145361927957944"/>
    <s v="[622875, 579802, 579803]"/>
    <s v="[0.0, 0.041, 0.032]"/>
    <s v="300.2915328893512"/>
    <s v="[0.0, 0.041, 0.032]"/>
  </r>
  <r>
    <x v="1816"/>
    <x v="2388"/>
    <x v="0"/>
    <n v="0"/>
    <s v="LINESTRING (10.459092495401237 63.418021639769606, 10.459190297179475 63.41806674354801, 10.459462859121713 63.41819177003021, 10.464180274164312 63.42033607241256)"/>
    <s v="[627663, 627671, 627679]"/>
    <s v="[623938, 623943, 622890]"/>
    <s v="#FIELD!"/>
    <s v="[622880, 623938, 623943]"/>
    <s v="[0.06, 0.022, 0.021]"/>
    <s v="362.1987870692691"/>
    <s v="[0.06, -0.022, -0.021]"/>
  </r>
  <r>
    <x v="1816"/>
    <x v="2143"/>
    <x v="190"/>
    <s v="[0, 0, 0, 0, 1, 1, 0, 0, 0]"/>
    <s v="LINESTRING (10.441980239902797 63.409538912432176, 10.442094757496697 63.40960092854923, 10.44307016977878 63.4101270106518, 10.44373719472528 63.41047534050867, 10.44484780237477 63.41104851898531, 10.444901910523239 63.41107603523915, 10.445196338222377 63.41122869380813, 10.445946335177053 63.411622201446995, 10.446065416433296 63.41168085284396, 10.459092495401237 63.418021639769606)"/>
    <s v="[627591, 627599, 627607, 627615, 627623, 627631, 627639, 627647, 627655]"/>
    <s v="[623883, 623891, 623898, 623904, 623910, 623918, 623925, 623929, 622880]"/>
    <s v="#FIELD!"/>
    <s v="[623126, 623883, 623891, 623898, 623904, 623910, 623918, 623925, 623929]"/>
    <s v="[0.013, 0.019, 0.011, 0.004, 0.011, 0.01, 0.003, 0.003, 0.024]"/>
    <s v="1275.6863362854604"/>
    <s v="[0.013, 0.019, 0.011, -0.004, -0.011, -0.01, -0.003, -0.003, -0.024]"/>
  </r>
  <r>
    <x v="1817"/>
    <x v="2389"/>
    <x v="0"/>
    <n v="0"/>
    <s v="LINESTRING (10.464180274164312 63.42033607241256, 10.463981389296203 63.42027400190976, 10.460752196132663 63.42023695230529, 10.460727496137226 63.42026060597888, 10.460721417427527 63.420266544939096)"/>
    <s v="[626238, 572190, 626246, 626254]"/>
    <s v="[579812, 579813, 622895, 595532]"/>
    <s v="#FIELD!"/>
    <s v="[622890, 579812, 579813, 622895]"/>
    <s v="[0.017, 0.02, 0.026, 3.337]"/>
    <s v="240.18713533927692"/>
    <s v="[-0.017, -0.02, -0.026, 3.337]"/>
  </r>
  <r>
    <x v="1817"/>
    <x v="2390"/>
    <x v="0"/>
    <s v="[0, 0, 0, 1, 0]"/>
    <s v="LINESTRING (10.464180274164312 63.42033607241256, 10.464279161077055 63.42038075722637, 10.469242487283775 63.42263951127071, 10.469620251298256 63.42281434302189, 10.469754978871302 63.42287616654477, 10.470263147627264 63.423114444914155)"/>
    <s v="[627687, 627695, 627703, 627711, 627719]"/>
    <s v="[623954, 623961, 623966, 623971, 623977]"/>
    <s v="#FIELD!"/>
    <s v="[622890, 623954, 623961, 623966, 623971]"/>
    <s v="[0.012, 0.024, 0.02, 0.025, 0.025]"/>
    <s v="433.92011530935815"/>
    <s v="[0.012, -0.024, -0.02, -0.025, -0.025]"/>
  </r>
  <r>
    <x v="1818"/>
    <x v="2133"/>
    <x v="0"/>
    <s v="[0, 0, 0, 0, 0, 0, 1, 1, 0, 0, 0]"/>
    <s v="LINESTRING (10.403684546958678 63.40183215220853, 10.406284918222415 63.40226006311145, 10.406693918809921 63.40233003960572, 10.40671252778054 63.402333318594266, 10.407582628081519 63.40249802817066, 10.407600849206515 63.40250172617009, 10.407693895861412 63.402520620331366, 10.407779257955479 63.40253865552881, 10.407864620158454 63.40255669067603, 10.4089287091733 63.4028130536034, 10.414958358540918 63.40490955333349, 10.417736189835253 63.40593508278777)"/>
    <s v="[627423, 627431, 627439, 627447, 627455, 627463, 627471, 627479, 627487, 627495, 627503]"/>
    <s v="[623749, 623756, 623760, 623764, 623770, 623776, 623783, 623788, 623797, 623806, 623076]"/>
    <s v="0.024439105484155288"/>
    <s v="[622922, 623749, 623756, 623760, 623764, 623770, 623776, 623783, 623788, 623797, 623806]"/>
    <s v="[0.034, 0.043, 0.026, 0.036, 0.012, 0.037, 0.041, 0.04, 0.041, 0.016, 0.023]"/>
    <s v="846.1032703369474"/>
    <s v="[0.034, 0.043, 0.026, 0.036, 0.012, 0.037, 0.041, 0.04, 0.041, 0.016, 0.023]"/>
  </r>
  <r>
    <x v="1819"/>
    <x v="2391"/>
    <x v="0"/>
    <n v="0"/>
    <s v="LINESTRING (10.377234915141884 63.36609563701523, 10.377083187625185 63.36601280436439, 10.374067376887455 63.36324057891491, 10.37404614111307 63.3631112984367, 10.374052745439185 63.36308273728449, 10.374091145700236 63.363001533073714, 10.374107491082825 63.36296671478868)"/>
    <s v="[657557, 657559, 626342, 626350, 626358, 626366]"/>
    <s v="[648862, 622941, 622942, 608043, 622948, 557387]"/>
    <s v="0.012948228457682546"/>
    <s v="[648861, 648862, 622941, 622942, 608043, 622948]"/>
    <s v="[0.011, 0.013, 0.012, 0.013, 0.015, 0.013]"/>
    <s v="387.625614127203"/>
    <s v="[0.011, 0.013, 0.012, 0.013, 0.015, 0.013]"/>
  </r>
  <r>
    <x v="1820"/>
    <x v="2392"/>
    <x v="0"/>
    <n v="0"/>
    <s v="LINESTRING (10.376216993340948 63.362852649826884, 10.376216993340948 63.362852649826884, 10.37629508796491 63.36287766528051, 10.376447700585523 63.36293747156636, 10.376876923257393 63.36494724429104, 10.376874565361964 63.36500169740073)"/>
    <s v="[626374, 626382, 626390, 2121714, 2121722]"/>
    <s v="[608020, 622959, 622967, 1828142, 1828019]"/>
    <s v="#FIELD!"/>
    <s v="[557380, 608020, 622959, 622967, 1828142]"/>
    <s v="[0.0, 0.002, 0.001, 0.018, 0.023]"/>
    <s v="266.52957428278927"/>
    <s v="[0.0, 0.002, 0.001, -0.018, -0.023]"/>
  </r>
  <r>
    <x v="1821"/>
    <x v="2393"/>
    <x v="0"/>
    <n v="0"/>
    <s v="LINESTRING (10.37741946128543 63.374655457962874, 10.377470494943747 63.374550104441965, 10.378551356780596 63.37311401370674, 10.377270143470941 63.37155732873736, 10.376867114944124 63.37114311403756, 10.376705862044481 63.37029080290409, 10.376698658091732 63.37026089441077, 10.376652120705561 63.370176654840435)"/>
    <s v="[626414, 599497, 599505, 599513, 599521, 626422, 626430]"/>
    <s v="[602332, 602333, 602338, 602345, 602349, 558071, 579822]"/>
    <s v="0.01327042146724268"/>
    <s v="[622986, 602332, 602333, 602338, 602345, 602349, 558071]"/>
    <s v="[0.036, 0.029, 0.008, 0.005, 0.005, 0.003, 0.001]"/>
    <s v="538.4512737347173"/>
    <s v="[0.036, 0.029, 0.008, -0.005, 0.005, 0.003, -0.001]"/>
  </r>
  <r>
    <x v="1821"/>
    <x v="2089"/>
    <x v="0"/>
    <s v="[0, 0, 0, 1, 0, 0, 0]"/>
    <s v="LINESTRING (10.378994067711005 63.36834804597687, 10.37916927647857 63.3686965787367, 10.379461016649904 63.36952949407381, 10.379555295393805 63.37006399784596, 10.37957453568486 63.37060416144688, 10.379565539603016 63.37079198926332, 10.377506866224229 63.37456315408708, 10.37741946128543 63.374655457962874)"/>
    <s v="[627175, 627183, 627191, 627199, 627207, 627215, 627223]"/>
    <s v="[623558, 623564, 623569, 623573, 623577, 623581, 622986]"/>
    <s v="#FIELD!"/>
    <s v="[623029, 623558, 623564, 623569, 623573, 623577, 623581]"/>
    <s v="[0.009, 0.011, 0.012, 0.011, 0.011, 0.024, 0.04]"/>
    <s v="721.2081083571885"/>
    <s v="[-0.009, -0.011, -0.012, -0.011, -0.011, -0.024, -0.04]"/>
  </r>
  <r>
    <x v="1822"/>
    <x v="2394"/>
    <x v="0"/>
    <s v="[0, 0, 1, 0]"/>
    <s v="LINESTRING (10.37786366210564 63.36665882237897, 10.378109058150073 63.36697266640875, 10.37832628997186 63.36725703665963, 10.3783559436909 63.36729682744588, 10.378994067711005 63.36834804597687)"/>
    <s v="[657785, 657786, 627159, 627167]"/>
    <s v="[649105, 623547, 623548, 623029]"/>
    <s v="#FIELD!"/>
    <s v="[649004, 649105, 623547, 623548]"/>
    <s v="[0.015, 0.014, 0.013, 0.011]"/>
    <s v="196.79529073587202"/>
    <s v="[-0.015, -0.014, -0.013, -0.011]"/>
  </r>
  <r>
    <x v="1823"/>
    <x v="2135"/>
    <x v="0"/>
    <n v="0"/>
    <s v="LINESTRING (10.417736189835253 63.40593508278777, 10.417813637053422 63.40596382756743, 10.41842703244972 63.406196103334004, 10.425398354494822 63.40799920783561)"/>
    <s v="[627511, 627519, 627527]"/>
    <s v="[623822, 623828, 623083]"/>
    <s v="0.022169528510170098"/>
    <s v="[623076, 623822, 623828]"/>
    <s v="[0.004, 0.016, 0.023]"/>
    <s v="453.2417198384186"/>
    <s v="[0.004, 0.016, 0.023]"/>
  </r>
  <r>
    <x v="1824"/>
    <x v="2142"/>
    <x v="0"/>
    <n v="0"/>
    <s v="LINESTRING (10.425398354494822 63.40799920783561, 10.425478401986688 63.40800294394358, 10.427997262415506 63.407972471241195, 10.430281270903249 63.40770882311154, 10.437674603815742 63.40765145240436)"/>
    <s v="[627535, 627543, 627551, 627559]"/>
    <s v="[623841, 623847, 623854, 623121]"/>
    <s v="0.06119986038404988"/>
    <s v="[623083, 623841, 623847, 623854]"/>
    <s v="[0.04, 0.047, 0.068, 0.064]"/>
    <s v="633.4969692775937"/>
    <s v="[0.04, 0.047, 0.068, 0.064]"/>
  </r>
  <r>
    <x v="1825"/>
    <x v="2104"/>
    <x v="0"/>
    <n v="0"/>
    <s v="LINESTRING (10.53622477855615 63.42226268445889, 10.539638788061403 63.42256871725644, 10.540324592728672 63.422649743106184, 10.542098851254584 63.422885861804296, 10.548300812681886 63.423031336332336)"/>
    <s v="[627944, 627952, 627960, 1713844]"/>
    <s v="[624130, 624135, 624138, 824189]"/>
    <s v="0.037944567788699965"/>
    <s v="[623104, 624130, 624135, 624138]"/>
    <s v="[0.072, 0.129, 0.091, 0.007]"/>
    <s v="614.7397937790502"/>
    <s v="[0.072, 0.129, 0.091, -0.007]"/>
  </r>
  <r>
    <x v="1826"/>
    <x v="2143"/>
    <x v="0"/>
    <n v="0"/>
    <s v="LINESTRING (10.437674603815742 63.40765145240436, 10.437776781750463 63.4076799876367, 10.438905556400828 63.40806074369135, 10.441980239902797 63.409538912432176)"/>
    <s v="[627567, 627575, 627583]"/>
    <s v="[623867, 623872, 623126]"/>
    <s v="0.016077249970672187"/>
    <s v="[623121, 623867, 623872]"/>
    <s v="[0.003, 0.002, 0.021]"/>
    <s v="302.3028762880208"/>
    <s v="[-0.003, 0.002, 0.021]"/>
  </r>
  <r>
    <x v="1827"/>
    <x v="2395"/>
    <x v="0"/>
    <n v="0"/>
    <s v="LINESTRING (10.636356505360808 63.422856263597076, 10.636237475889944 63.422847230109035, 10.63359424076685 63.42269825976501, 10.630967138427962 63.422789436791106, 10.630924729209916 63.42278947813469, 10.630903535270642 63.42278949463316, 10.630840122933572 63.42278909078547, 10.630123503276263 63.42275096845805, 10.621305170903081 63.42225593297068, 10.621106593547859 63.422222392393664, 10.621089973725606 63.422219661812065)"/>
    <s v="[626654, 573269, 573274, 573280, 573298, 573257, 573258, 573268, 626638, 626646]"/>
    <s v="[580782, 580783, 580788, 580791, 574801, 580772, 580773, 580781, 623139, 623147]"/>
    <s v="#FIELD!"/>
    <s v="[623153, 580782, 580783, 580788, 580791, 574801, 580772, 580773, 580781, 623139]"/>
    <s v="[2.138, 0.049, 0.012, 0.001, 0.001, 0.001, 0.028, 0.004, 0.019, 0.033]"/>
    <s v="769.7375697940354"/>
    <s v="[-2.138, -0.049, -0.012, 0.001, 0.001, 0.001, -0.028, 0.004, -0.019, 0.033]"/>
  </r>
  <r>
    <x v="1828"/>
    <x v="2146"/>
    <x v="0"/>
    <s v="[0, 0, 0, 0, 0, 0, 0, 0, 0, 0, 0, 1, 0, 1, 0, 0, 0, 0, 1, 0]"/>
    <s v="LINESTRING (10.636356505360808 63.422856263597076, 10.639028603686368 63.42350019338099, 10.649858304008017 63.426657200942714, 10.65669914813767 63.42680550680618, 10.660710246994803 63.426478508683076, 10.661603371229255 63.426420069729744, 10.668247874424052 63.426557889589816, 10.669027551542207 63.42656326204586, 10.671392958704267 63.42649023418821, 10.673850601433166 63.426230298055266, 10.673915916904312 63.42622212773322, 10.67474339734686 63.426115264758934, 10.674911936642614 63.42609295174855, 10.684553320095214 63.42579993827798, 10.68495036636949 63.42579791698116, 10.68556237443111 63.42579453476974, 10.686089263607911 63.42579132846919, 10.686499742598402 63.42578992458732, 10.692265101747076 63.42574593283648, 10.692565895980971 63.42574350281186, 10.698210939831693 63.42592599920331)"/>
    <s v="[628008, 628016, 628024, 628032, 628040, 628048, 628056, 628064, 628072, 990649, 990661, 990662, 990671, 990675, 990692, 990693, 990714, 990734, 990758, 990772]"/>
    <s v="[624165, 624169, 624175, 624180, 624186, 624191, 624198, 624202, 624209, 949489, 949500, 949501, 949507, 949511, 949521, 949522, 949541, 949558, 949575, 949588]"/>
    <s v="#FIELD!"/>
    <s v="[623153, 624165, 624169, 624175, 624180, 624186, 624191, 624198, 624202, 624209, 949489, 949500, 949501, 949507, 949511, 949521, 949522, 949541, 949558, 949575]"/>
    <s v="[0.079, 0.04, 0.018, 0.013, 0.077, 0.044, 0.031, 0.065, 0.089, 0.027, 0.03, 0.025, 0.03, 0.018, 0.018, 0.017, 0.017, 0.014, 0.066, 0.034]"/>
    <s v="3237.4680631403776"/>
    <s v="[0.079, 0.04, -0.018, -0.013, -0.077, -0.044, -0.031, -0.065, -0.089, -0.027, -0.03, -0.025, -0.03, 0.018, 0.018, 0.017, 0.017, -0.014, -0.066, 0.034]"/>
  </r>
  <r>
    <x v="1829"/>
    <x v="2110"/>
    <x v="0"/>
    <n v="0"/>
    <s v="LINESTRING (10.760944131098638 63.41877356586422, 10.760759888081987 63.418839110770925, 10.756745716360596 63.41966282796798, 10.756707361742698 63.419668879328256, 10.75668819441556 63.41967190530141, 10.756629072523777 63.41967823818035, 10.75656955460681 63.41968385807629, 10.756337855459178 63.41970733594826, 10.751266786057155 63.420146626572304, 10.749755618745537 63.42020367514204, 10.749515246563647 63.420201011816665)"/>
    <s v="[626694, 573469, 573490, 573498, 573449, 573450, 573451, 573453, 573461, 626686]"/>
    <s v="[580935, 580936, 580953, 526519, 580919, 580920, 580921, 580923, 580927, 623183]"/>
    <s v="0.046794275477466084"/>
    <s v="[623192, 580935, 580936, 580953, 526519, 580919, 580920, 580921, 580923, 580927]"/>
    <s v="[0.121, 0.027, 0.043, 0.03, 0.044, 0.033, 0.053, 0.014, 0.105, 1.075]"/>
    <s v="599.3663476846672"/>
    <s v="[-0.121, 0.027, -0.043, -0.03, -0.044, -0.033, -0.053, 0.014, 0.105, 1.075]"/>
  </r>
  <r>
    <x v="1830"/>
    <x v="2114"/>
    <x v="0"/>
    <n v="0"/>
    <s v="LINESTRING (10.815943938996558 63.40912136266194, 10.815934693430405 63.4091572279238, 10.815930071426262 63.41004908508929, 10.816095181337117 63.410421132622425, 10.819424330911106 63.41257055878086, 10.819685041090143 63.41267410078617, 10.820865828109465 63.413130156431876, 10.82406398659016 63.41468315286255)"/>
    <s v="[628272, 628280, 628288, 628296, 628304, 628312, 628320]"/>
    <s v="[624350, 624353, 624358, 624364, 624371, 624375, 623219]"/>
    <s v="0.010780229589156618"/>
    <s v="[623212, 624350, 624353, 624358, 624364, 624371, 624375]"/>
    <s v="[0.096, 0.107, 0.115, 0.013, 0.007, 0.037, 0.004]"/>
    <s v="774.4261158610577"/>
    <s v="[0.096, 0.107, 0.115, -0.013, 0.007, -0.037, -0.004]"/>
  </r>
  <r>
    <x v="1831"/>
    <x v="2396"/>
    <x v="0"/>
    <s v="[0, 0, 1, 1, 0, 0, 0, 0, 0, 0, 0, 1, 0, 0, 0, 0, 0]"/>
    <s v="LINESTRING (10.272329241151706 63.28427816997222, 10.271649185987942 63.28620948604395, 10.271647379504454 63.28623631561412, 10.271645471738054 63.28649624541909, 10.27164624833915 63.28652316089943, 10.278561964465956 63.29500162297134, 10.284481440401011 63.29820881001904, 10.285560509903682 63.29911331727554, 10.287101099512558 63.301201623561404, 10.28735479601402 63.3018275389454, 10.28751095849791 63.30225670926539, 10.287587777880853 63.302467839638375, 10.287714975870566 63.30282389855088, 10.287765538213474 63.30296367119978, 10.28840240762158 63.30473328080609, 10.288518718999953 63.305055937364685, 10.28854399411003 63.30512344008537, 10.288791157871145 63.30580625865236)"/>
    <s v="[627030, 627038, 627046, 627054, 627062, 627070, 627078, 627086, 627102, 627110, 627118, 627126, 627134, 627143, 627151, 1109856, 1109888]"/>
    <s v="[623455, 623461, 623467, 623472, 623476, 623481, 623488, 623495, 623506, 623512, 623517, 623523, 623528, 623535, 623541, 1050141, 1050156]"/>
    <s v="0.0061911817143748575"/>
    <s v="[623449, 623455, 623461, 623467, 623472, 623476, 623481, 623488, 623495, 623506, 623512, 623517, 623523, 623528, 623535, 623541, 1050141]"/>
    <s v="[0.025, 0.029, 0.026, 0.019, 0.001, 0.017, 0.043, 0.004, 0.017, 0.013, 0.01, 0.008, 0.005, 0.006, 0.005, 0.004, 0.004]"/>
    <s v="2650.872385964012"/>
    <s v="[0.025, 0.029, 0.026, 0.019, -0.001, 0.017, 0.043, -0.004, -0.017, -0.013, -0.01, -0.008, -0.005, 0.006, 0.005, 0.004, 0.004]"/>
  </r>
  <r>
    <x v="1831"/>
    <x v="2117"/>
    <x v="0"/>
    <s v="[0, 0, 1, 0, 0, 0, 0, 0, 0]"/>
    <s v="LINESTRING (10.28052835484817 63.27871655085873, 10.280014341199282 63.27895828767395, 10.279883066445395 63.27902005500408, 10.279196418287096 63.27934294809364, 10.275411840413309 63.28123445411992, 10.275208286156735 63.281365104133855, 10.275144572916641 63.28140733173899, 10.273032479248505 63.2833300032196, 10.27241584417739 63.284146673761654, 10.272329241151706 63.28427816997222)"/>
    <s v="[1027270, 1027278, 1027246, 1027214, 1027222, 1253720, 627006, 627014, 627022]"/>
    <s v="[981967, 981946, 981914, 981915, 981922, 623433, 623434, 623442, 623449]"/>
    <s v="#FIELD!"/>
    <s v="[981960, 981967, 981946, 981914, 981915, 981922, 623433, 623434, 623442]"/>
    <s v="[0.002, 0.002, 0.001, 0.001, 0.012, 0.173, 0.004, 0.013, 0.015]"/>
    <s v="755.4289732070378"/>
    <s v="[0.002, 0.002, 0.001, -0.001, 0.012, -0.173, -0.004, -0.013, 0.015]"/>
  </r>
  <r>
    <x v="1832"/>
    <x v="2397"/>
    <x v="0"/>
    <s v="[0, 0, 0, 0, 0, 0, 1, 0, 0]"/>
    <s v="LINESTRING (10.470263147627264 63.423114444914155, 10.471709476122996 63.42379240335005, 10.471807646113952 63.423837958784006, 10.472081385261555 63.42396217761008, 10.473845430056926 63.424824026950155, 10.474696017716711 63.42524530029942, 10.475466095849127 63.425603583154924, 10.476254799008753 63.42596250570888, 10.481512244359578 63.428283230634975, 10.481579583282059 63.42831382068724)"/>
    <s v="[627727, 627735, 627743, 1112560, 1112568, 1112576, 1112584, 1112592, 1112600]"/>
    <s v="[623982, 623988, 623994, 1052221, 1052228, 1052236, 1052244, 1052253, 1052261]"/>
    <s v="#FIELD!"/>
    <s v="[623977, 623982, 623988, 623994, 1052221, 1052228, 1052236, 1052244, 1052253]"/>
    <s v="[0.031, 0.036, 0.032, 0.025, 0.022, 0.019, 0.016, 0.019, 0.02]"/>
    <s v="809.8278249858994"/>
    <s v="[-0.031, -0.036, -0.032, -0.025, -0.022, -0.019, -0.016, -0.019, -0.02]"/>
  </r>
  <r>
    <x v="1832"/>
    <x v="2398"/>
    <x v="0"/>
    <n v="0"/>
    <s v="LINESTRING (10.475968359778436 63.42677574152592, 10.475980249983673 63.42671648630493, 10.47051786294587 63.42327803095385, 10.470263147627264 63.423114444914155)"/>
    <s v="[2069614, 2069622, 2069606]"/>
    <s v="[1797144, 1797138, 623977]"/>
    <s v="0.026207386278176908"/>
    <s v="[1797143, 1797144, 1797138]"/>
    <s v="[0.03, 0.027, 0.008]"/>
    <s v="507.96487279998456"/>
    <s v="[0.03, 0.027, 0.008]"/>
  </r>
  <r>
    <x v="1833"/>
    <x v="2399"/>
    <x v="0"/>
    <n v="0"/>
    <s v="LINESTRING (10.51455044039391 63.42619991724615, 10.51455044039391 63.42619991724615, 10.514221982986767 63.42626168626555)"/>
    <s v="[682683, 682635]"/>
    <s v="[673794, 624026]"/>
    <s v="#FIELD!"/>
    <s v="[673855, 673794]"/>
    <s v="[0.0, 0.162]"/>
    <s v="256.3750515579371"/>
    <s v="[0.0, -0.162]"/>
  </r>
  <r>
    <x v="1833"/>
    <x v="2400"/>
    <x v="0"/>
    <n v="0"/>
    <s v="LINESTRING (10.495364460210896 63.430962714373074, 10.497175944667521 63.430478606336806, 10.497324808319235 63.43043312133626, 10.497402772403785 63.4304080220646, 10.497500213681 63.430376128229284, 10.51038709046219 63.427234860559786, 10.514221982986767 63.42626168626555)"/>
    <s v="[1112640, 627751, 627759, 627767, 627775, 627783]"/>
    <s v="[624000, 624001, 624007, 624013, 624019, 624026]"/>
    <s v="#FIELD!"/>
    <s v="[1052295, 624000, 624001, 624007, 624013, 624019]"/>
    <s v="[0.034, 0.025, 0.013, 0.057, 0.016, 0.018]"/>
    <s v="1083.892125006655"/>
    <s v="[-0.034, 0.025, 0.013, 0.057, -0.016, 0.018]"/>
  </r>
  <r>
    <x v="1834"/>
    <x v="2146"/>
    <x v="0"/>
    <n v="0"/>
    <s v="LINESTRING (10.698210939831693 63.42592599920331, 10.716929061989884 63.42607237143717, 10.72126050930768 63.425310634333506, 10.721605446833687 63.425270531643946, 10.721922771050984 63.425233645972085)"/>
    <s v="[990780, 990793, 990794, 990795]"/>
    <s v="[949597, 949607, 949608, 624215]"/>
    <s v="0.016553639145080068"/>
    <s v="[949588, 949597, 949607, 949608]"/>
    <s v="[0.015, 0.017, 0.058, 0.061]"/>
    <s v="1277.1933693048916"/>
    <s v="[0.015, 0.017, 0.058, 0.061]"/>
  </r>
  <r>
    <x v="1835"/>
    <x v="2401"/>
    <x v="0"/>
    <n v="0"/>
    <s v="LINESTRING (10.912561368394547 63.46537329147605, 10.912560047882774 63.465375923279176, 10.912123990214715 63.46614611192293, 10.911883211027742 63.46666238882455, 10.911904676696413 63.466748941423006)"/>
    <s v="[628971, 628979, 628987, 628995]"/>
    <s v="[624895, 624901, 624907, 624911]"/>
    <s v="0.006839714686182076"/>
    <s v="[624887, 624895, 624901, 624907]"/>
    <s v="[0.057, 0.002, 0.012, 0.018]"/>
    <s v="157.73226729138722"/>
    <s v="[0.057, 0.002, 0.012, 0.018]"/>
  </r>
  <r>
    <x v="1835"/>
    <x v="2402"/>
    <x v="0"/>
    <n v="0"/>
    <s v="LINESTRING (10.912561368394547 63.46537329147605, 10.912537029004664 63.465562431432474, 10.913044536701614 63.46689403118332, 10.913515274945075 63.46691307314902)"/>
    <s v="[2134900, 2134892, 2134908]"/>
    <s v="[1835650, 1835651, 1835660]"/>
    <s v="0.02183059081112497"/>
    <s v="[624887, 1835650, 1835651]"/>
    <s v="[0.164, 0.004, 0.032]"/>
    <s v="226.53389091422252"/>
    <s v="[0.164, 0.004, 0.032]"/>
  </r>
  <r>
    <x v="1836"/>
    <x v="2403"/>
    <x v="0"/>
    <n v="0"/>
    <m/>
    <n v="2051415"/>
    <n v="1785504"/>
    <s v="0.131"/>
    <n v="624911"/>
    <s v="0.131"/>
    <s v="11.279252456855295"/>
    <s v="0.131"/>
  </r>
  <r>
    <x v="1836"/>
    <x v="2404"/>
    <x v="0"/>
    <n v="0"/>
    <s v="LINESTRING (10.911373490104175 63.46669383790692, 10.911675629234217 63.466684809646324, 10.911904676696413 63.466748941423006)"/>
    <s v="[2051503, 2051511]"/>
    <s v="[1785559, 624911]"/>
    <s v="0.02212485952465858"/>
    <s v="[624945, 1785559]"/>
    <s v="[0.105, 0.071]"/>
    <s v="28.930358407051504"/>
    <s v="[0.105, -0.071]"/>
  </r>
  <r>
    <x v="1837"/>
    <x v="2195"/>
    <x v="0"/>
    <n v="0"/>
    <m/>
    <n v="1630324"/>
    <n v="1457875"/>
    <s v="#FIELD!"/>
    <n v="624930"/>
    <s v="0.18"/>
    <s v="145.71992929402455"/>
    <s v="#FIELD!"/>
  </r>
  <r>
    <x v="1837"/>
    <x v="2405"/>
    <x v="0"/>
    <n v="0"/>
    <s v="LINESTRING (10.227465991740045 59.72315303869721, 10.227465991740045 59.72315303869721, 10.229727065680411 59.71966912446644, 10.2331966957502 59.71427666262693)"/>
    <s v="[629021, 629029, 629037]"/>
    <s v="[624931, 624940, 624946]"/>
    <s v="#FIELD!"/>
    <s v="[624930, 624931, 624940]"/>
    <s v="[0.0, 0.026, 0.017]"/>
    <s v="1605.3437028580001"/>
    <s v="[0.0, 0.026, -0.017]"/>
  </r>
  <r>
    <x v="1838"/>
    <x v="2406"/>
    <x v="0"/>
    <n v="0"/>
    <s v="LINESTRING (10.911188481928264 63.46701470939619, 10.91110031437436 63.46693245042932, 10.911091413852432 63.466863577899964, 10.911185460744157 63.466758550780945, 10.911373490104175 63.46669383790692)"/>
    <s v="[2051466, 2051479, 2051487, 2051495]"/>
    <s v="[1784057, 1785541, 1784045, 624945]"/>
    <s v="#FIELD!"/>
    <s v="[625026, 1784057, 1785541, 1784045]"/>
    <s v="[0.046, 0.002, 0.013, 0.07]"/>
    <s v="42.304207104595996"/>
    <s v="[0.046, -0.002, 0.013, -0.07]"/>
  </r>
  <r>
    <x v="1838"/>
    <x v="2407"/>
    <x v="0"/>
    <n v="0"/>
    <s v="LINESTRING (10.912131549194722 63.46213497908237, 10.912568120918216 63.46300485710766, 10.912619536227169 63.46317145449009, 10.912389357000313 63.4652835568423, 10.912344394711598 63.46536617805456, 10.911887184641241 63.46612658390814, 10.911503312317562 63.466620367828405, 10.911373490104175 63.46669383790692)"/>
    <s v="[1750291, 1750292, 629003, 629011, 629019, 629027, 629035]"/>
    <s v="[1550952, 624917, 624918, 624923, 624929, 624938, 624945]"/>
    <s v="#FIELD!"/>
    <s v="[1550914, 1550952, 624917, 624918, 624923, 624929, 624938]"/>
    <s v="[0.005, 0.191, 0.003, 0.001, 0.008, 0.008, 0.003]"/>
    <s v="505.41737635906895"/>
    <s v="[0.005, -0.191, -0.003, -0.001, 0.008, 0.008, -0.003]"/>
  </r>
  <r>
    <x v="1839"/>
    <x v="2196"/>
    <x v="0"/>
    <s v="[0, 1, 0]"/>
    <s v="LINESTRING (10.234975822377809 59.71168371533638, 10.23400509676155 59.7127036299979, 10.233294871020465 59.71387520785977, 10.2331966957502 59.71427666262693)"/>
    <s v="[1630272, 1630280, 1630285]"/>
    <s v="[1457843, 1457850, 624946]"/>
    <s v="#FIELD!"/>
    <s v="[1457792, 1457843, 1457850]"/>
    <s v="[0.047, 0.034, 0.024]"/>
    <s v="309.16627030548085"/>
    <s v="[-0.047, 0.034, 0.024]"/>
  </r>
  <r>
    <x v="1840"/>
    <x v="2408"/>
    <x v="0"/>
    <n v="0"/>
    <s v="LINESTRING (10.91174474329202 63.46707563616996, 10.911602931247995 63.46713583812615, 10.910815494193953 63.46827508753211, 10.910753454590964 63.4683722305725)"/>
    <s v="[629043, 629051, 629059]"/>
    <s v="[624955, 624965, 624973]"/>
    <s v="0.0014506123435231528"/>
    <s v="[624954, 624955, 624965]"/>
    <s v="[0.009, 0.002, 0.004]"/>
    <s v="154.20508797296037"/>
    <s v="[-0.009, 0.002, 0.004]"/>
  </r>
  <r>
    <x v="1840"/>
    <x v="2406"/>
    <x v="0"/>
    <n v="0"/>
    <s v="LINESTRING (10.91174474329202 63.46707563616996, 10.911432712832788 63.46708663781111, 10.911188481928264 63.46701470939619)"/>
    <s v="[2051450, 2051458]"/>
    <s v="[1785525, 625026]"/>
    <s v="#FIELD!"/>
    <s v="[624954, 1785525]"/>
    <s v="[0.013, 0.066]"/>
    <s v="30.612521766492023"/>
    <s v="[0.013, -0.066]"/>
  </r>
  <r>
    <x v="1840"/>
    <x v="2409"/>
    <x v="0"/>
    <n v="0"/>
    <m/>
    <n v="2051442"/>
    <n v="624954"/>
    <s v="#FIELD!"/>
    <n v="1785515"/>
    <s v="0.094"/>
    <s v="10.16949182608012"/>
    <s v="#FIELD!"/>
  </r>
  <r>
    <x v="1841"/>
    <x v="2410"/>
    <x v="191"/>
    <n v="0"/>
    <s v="LINESTRING (10.910753454590964 63.4683722305725, 10.910590176943934 63.46861043626259, 10.909996284107013 63.46936022195723, 10.909349257305784 63.47004304913867, 10.907125649824076 63.47226379945643, 10.906036554361592 63.47337614495234, 10.904832911132255 63.474577541273426, 10.904797270905721 63.47472419228501, 10.904811207259288 63.4748246065222)"/>
    <s v="[629067, 629075, 629083, 629091, 629099, 629107, 1342271, 1342279]"/>
    <s v="[624980, 624989, 624995, 625004, 625013, 625020, 1244912, 1244751]"/>
    <s v="0.00501923313061074"/>
    <s v="[624973, 624980, 624989, 624995, 625004, 625013, 625020, 1244912]"/>
    <s v="[0.007, 0.011, 0.016, 0.002, 0.006, 0.001, 0.013, 0.0]"/>
    <s v="780.3704461141953"/>
    <s v="[0.007, 0.011, 0.016, 0.002, 0.006, -0.001, 0.013, 0.0]"/>
  </r>
  <r>
    <x v="1841"/>
    <x v="2411"/>
    <x v="0"/>
    <n v="0"/>
    <s v="LINESTRING (10.91350951659401 63.46698922937055, 10.913033689294734 63.46701520882869, 10.910935973232455 63.4682019527103, 10.910753454590964 63.4683722305725)"/>
    <s v="[2134860, 2134852, 2134844]"/>
    <s v="[1835627, 1835623, 624973]"/>
    <s v="#FIELD!"/>
    <s v="[1835632, 1835627, 1835623]"/>
    <s v="[0.031, 0.017, 0.03]"/>
    <s v="230.0088768784915"/>
    <s v="[-0.031, -0.017, 0.03]"/>
  </r>
  <r>
    <x v="1842"/>
    <x v="2412"/>
    <x v="0"/>
    <n v="0"/>
    <s v="LINESTRING (10.911188481928264 63.46701470939619, 10.911228697478556 63.467090976429944, 10.910627434041004 63.46824058440121, 10.910565655591997 63.46833688094051, 10.910402722316071 63.468578008561046, 10.909807285638545 63.46932731794413, 10.909166605240593 63.47000677554235, 10.906944380887666 63.47222662807022, 10.905812709249343 63.47333631472149, 10.904615190085428 63.47453068498706, 10.904393432219695 63.47463870139017, 10.90418506004768 63.47471402332472)"/>
    <s v="[629115, 629123, 629131, 629139, 629147, 629155, 629163, 629172, 629180, 1342262, 1342263]"/>
    <s v="[625027, 625036, 625044, 625053, 625061, 625069, 625076, 625085, 625095, 1244908, 1244855]"/>
    <s v="0.0049772306325576565"/>
    <s v="[625026, 625027, 625036, 625044, 625053, 625061, 625069, 625076, 625085, 625095, 1244908]"/>
    <s v="[0.017, 0.003, 0.008, 0.008, 0.012, 0.016, 0.002, 0.007, 0.001, 0.007, 0.004]"/>
    <s v="933.6597853835841"/>
    <s v="[0.017, 0.003, 0.008, 0.008, 0.012, 0.016, 0.002, 0.007, -0.001, 0.007, -0.004]"/>
  </r>
  <r>
    <x v="1843"/>
    <x v="2413"/>
    <x v="0"/>
    <s v="[0, 1, 0]"/>
    <s v="LINESTRING (9.735953905918718 59.674994896244655, 9.735693437348246 59.674675063898896, 9.734677083459625 59.673807063113024, 9.733020055354947 59.67293706987333)"/>
    <s v="[629198, 629206, 1827710]"/>
    <s v="[625112, 625120, 1605433]"/>
    <s v="0.028056874381574348"/>
    <s v="[625111, 625112, 625120]"/>
    <s v="[0.017, 0.004, 0.061]"/>
    <s v="286.15176655984374"/>
    <s v="[-0.017, 0.004, 0.061]"/>
  </r>
  <r>
    <x v="1843"/>
    <x v="2414"/>
    <x v="0"/>
    <s v="[0, 0, 0, 0, 1, 0, 0, 1, 0, 0, 1, 0, 1, 0, 1, 0]"/>
    <s v="LINESTRING (9.773290097809646 59.70086316601429, 9.772687798789468 59.70065393323984, 9.77240352890693 59.700553485389, 9.771886178711867 59.70037994325214, 9.769277848335825 59.6996207639657, 9.76838674466157 59.699393314037025, 9.762206167821573 59.69792371233102, 9.75892666398423 59.6957965874916, 9.758245324452226 59.694206898021754, 9.756602822107467 59.69125829419958, 9.755293790917293 59.690475292103656, 9.753268455765566 59.68965000845747, 9.747544325709633 59.68712964666655, 9.747310932772077 59.68698698098551, 9.741904835406782 59.68177770303006, 9.74129470628061 59.681152282577095, 9.735953905918718 59.674994896244655)"/>
    <s v="[1437579, 1437587, 1437595, 1437603, 1437611, 1437619, 1437627, 1437635, 1437643, 1437651, 1437659, 1437667, 1437675, 1437683, 1437691, 1437699]"/>
    <s v="[1306758, 1306762, 1306768, 1306775, 1306782, 1306788, 1306795, 1306802, 1306809, 1306815, 1306822, 1306831, 1306838, 1306844, 1306852, 625111]"/>
    <s v="0.004664875843578333"/>
    <s v="[1306751, 1306758, 1306762, 1306768, 1306775, 1306782, 1306788, 1306795, 1306802, 1306809, 1306815, 1306822, 1306831, 1306838, 1306844, 1306852]"/>
    <s v="[0.021, 0.019, 0.023, 0.019, 0.037, 0.033, 0.031, 0.04, 0.014, 0.004, 0.0, 0.045, 0.0, 0.005, 0.001, 0.003]"/>
    <s v="3739.827283839089"/>
    <s v="[-0.021, -0.019, -0.023, -0.019, 0.037, 0.033, -0.031, -0.04, 0.014, -0.004, -0.0, 0.045, 0.0, 0.005, -0.001, -0.003]"/>
  </r>
  <r>
    <x v="1843"/>
    <x v="2415"/>
    <x v="0"/>
    <s v="[0, 0, 1, 0, 0, 1, 0, 0, 1, 0, 1, 0, 1, 0]"/>
    <s v="LINESTRING (9.772351406068632 59.70059386656229, 9.771832319982762 59.70042163163046, 9.769238879772043 59.69965693642477, 9.768350638461369 59.69942973558695, 9.762145565720932 59.697967367725916, 9.758827457113005 59.695815192681835, 9.75813996835837 59.69421285684458, 9.756523166002953 59.691284770962206, 9.755236913515919 59.690506684841274, 9.753217212651561 59.68968417264842, 9.747472358983865 59.687160781551, 9.747236968731988 59.68701780163744, 9.741832936671624 59.68180991717881, 9.741214472973192 59.68117265263354, 9.735953905918718 59.674994896244655)"/>
    <s v="[1438035, 1438043, 1438051, 1438059, 1438067, 1438075, 1438083, 1438091, 1438099, 1438107, 1438115, 1438123, 1438131, 1438139]"/>
    <s v="[1307143, 1307149, 1307156, 1307162, 1307169, 1307172, 1307177, 1307183, 1307190, 1307196, 1307200, 1307205, 1307213, 625111]"/>
    <s v="0.005193867467913812"/>
    <s v="[1307137, 1307143, 1307149, 1307156, 1307162, 1307169, 1307172, 1307177, 1307183, 1307190, 1307196, 1307200, 1307205, 1307213]"/>
    <s v="[0.023, 0.016, 0.038, 0.033, 0.03, 0.039, 0.014, 0.007, 0.001, 0.045, 0.0, 0.005, 0.001, 0.003]"/>
    <s v="3683.3487849811445"/>
    <s v="[-0.023, -0.016, 0.038, 0.033, -0.03, -0.039, 0.014, -0.007, -0.001, 0.045, 0.0, 0.005, -0.001, -0.003]"/>
  </r>
  <r>
    <x v="1844"/>
    <x v="2416"/>
    <x v="0"/>
    <n v="0"/>
    <s v="LINESTRING (11.236911790311689 63.717793752107376, 11.236725697070842 63.71779007227034, 11.235144580435735 63.71804995370386)"/>
    <s v="[629604, 629596]"/>
    <s v="[625442, 625303]"/>
    <s v="0.024059724262495776"/>
    <s v="[625449, 625442]"/>
    <s v="[0.034, 0.023]"/>
    <s v="95.56864250647271"/>
    <s v="[0.034, 0.023]"/>
  </r>
  <r>
    <x v="1845"/>
    <x v="2417"/>
    <x v="0"/>
    <n v="0"/>
    <m/>
    <n v="760720"/>
    <n v="628790"/>
    <s v="#FIELD!"/>
    <n v="625449"/>
    <s v="0.037"/>
    <s v="73.76732644798471"/>
    <s v="#FIELD!"/>
  </r>
  <r>
    <x v="1845"/>
    <x v="2418"/>
    <x v="0"/>
    <n v="0"/>
    <s v="LINESTRING (11.224983438941457 63.717127083809466, 11.225162340680537 63.71710518621787, 11.226716097526808 63.717143524443, 11.22922730147763 63.717304714607565, 11.23091770453479 63.71741278875462, 11.230982958054703 63.717416950938706, 11.2310876624035 63.71742361999107, 11.231705768942795 63.71746262185891, 11.233541459865624 63.717576365032784, 11.233822825304559 63.717593316695556, 11.234121281457075 63.71761327608019, 11.234854023913021 63.7176634233544, 11.236207155254556 63.71775029039325, 11.236911790311689 63.717793752107376)"/>
    <s v="[629612, 629620, 680981, 680989, 680997, 681005, 681013, 681021, 760672, 760680, 760688, 760696, 760704]"/>
    <s v="[625457, 625463, 671849, 671857, 671865, 671875, 671888, 671897, 740082, 740089, 740098, 740104, 625449]"/>
    <s v="#FIELD!"/>
    <s v="[625456, 625457, 625463, 671849, 671857, 671865, 671875, 671888, 671897, 740082, 740089, 740098, 740104]"/>
    <s v="[0.026, 0.001, 0.015, 0.03, 0.031, 0.028, 0.03, 0.03, 0.031, 0.033, 0.033, 0.033, 0.037]"/>
    <s v="595.4071537422527"/>
    <s v="[0.026, 0.001, -0.015, -0.03, -0.031, -0.028, -0.03, -0.03, -0.031, -0.033, -0.033, -0.033, -0.037]"/>
  </r>
  <r>
    <x v="1846"/>
    <x v="357"/>
    <x v="0"/>
    <n v="0"/>
    <s v="LINESTRING (11.224983438941457 63.717127083809466, 11.22488497961932 63.71715276280129, 11.224717831463924 63.7171629717563, 11.224560874341966 63.717137817415725, 11.224452040937631 63.717087991125545)"/>
    <s v="[760776, 760784, 760792, 760800]"/>
    <s v="[625350, 740177, 625364, 625495]"/>
    <s v="#FIELD!"/>
    <s v="[625456, 625350, 740177, 625364]"/>
    <s v="[0.029, 0.024, 0.012, 0.007]"/>
    <s v="29.967150610763518"/>
    <s v="[-0.029, -0.024, -0.012, 0.007]"/>
  </r>
  <r>
    <x v="1846"/>
    <x v="2419"/>
    <x v="0"/>
    <n v="0"/>
    <s v="LINESTRING (11.2250624753521 63.716928898631764, 11.22510310869838 63.71703478896551, 11.224983438941457 63.717127083809466)"/>
    <s v="[760760, 760768]"/>
    <s v="[740156, 625456]"/>
    <s v="#FIELD!"/>
    <s v="[625470, 740156]"/>
    <s v="[0.022, 0.035]"/>
    <s v="24.217369659828634"/>
    <s v="[-0.022, -0.035]"/>
  </r>
  <r>
    <x v="1847"/>
    <x v="2417"/>
    <x v="0"/>
    <n v="0"/>
    <s v="LINESTRING (11.2250624753521 63.716928898631764, 11.225198913471388 63.71696930305524, 11.226728777354232 63.717089328451465, 11.22905325037407 63.71724081812399, 11.22924938428579 63.71725337984896, 11.230937607201117 63.717360453147876, 11.231015628325999 63.717365381034156, 11.231108520063087 63.71737111168016, 11.233558654259298 63.7175333758029, 11.233834574738443 63.71755209900762, 11.234134478560833 63.71757244671889, 11.23485182013824 63.717619674898465, 11.237115606300748 63.71776856424543, 11.237129350951642 63.717769453798695, 11.238385161161577 63.71787206930967)"/>
    <s v="[629628, 629636, 533959, 533967, 533975, 533983, 533991, 533999, 760624, 760632, 760640, 760648, 760656, 760664]"/>
    <s v="[625471, 541466, 541467, 541472, 541482, 541487, 541492, 541498, 740045, 740051, 740058, 740065, 740070, 628790]"/>
    <s v="#FIELD!"/>
    <s v="[625470, 625471, 541466, 541467, 541472, 541482, 541487, 541492, 541498, 740045, 740051, 740058, 740065, 740070]"/>
    <s v="[0.001, 0.003, 0.014, 0.03, 0.03, 0.033, 0.025, 0.03, 0.033, 0.033, 0.033, 0.035, 0.025, 0.038]"/>
    <s v="668.2864806680745"/>
    <s v="[0.001, -0.003, -0.014, -0.03, -0.03, -0.033, -0.025, -0.03, -0.033, -0.033, -0.033, -0.035, -0.025, -0.038]"/>
  </r>
  <r>
    <x v="1847"/>
    <x v="358"/>
    <x v="0"/>
    <n v="0"/>
    <s v="LINESTRING (11.224521587823107 63.716889107901956, 11.224654012949747 63.71685690657067, 11.224798471187775 63.71685147628266, 11.224938584678764 63.71687268392209, 11.2250624753521 63.716928898631764)"/>
    <s v="[760728, 760736, 760744, 760752]"/>
    <s v="[625428, 740136, 625411, 625470]"/>
    <s v="0.011754589512652264"/>
    <s v="[625484, 625428, 740136, 625411]"/>
    <s v="[0.029, 0.023, 0.008, 0.009]"/>
    <s v="30.710623599962336"/>
    <s v="[0.029, 0.023, 0.008, -0.009]"/>
  </r>
  <r>
    <x v="1848"/>
    <x v="357"/>
    <x v="0"/>
    <n v="0"/>
    <s v="LINESTRING (11.224452040937631 63.717087991125545, 11.22440752256245 63.71697918594205, 11.224521587823107 63.716889107901956)"/>
    <s v="[760808, 760816]"/>
    <s v="[740196, 625484]"/>
    <s v="0.030309388590621746"/>
    <s v="[625495, 740196]"/>
    <s v="[0.026, 0.035]"/>
    <s v="24.0507814871982"/>
    <s v="[0.026, 0.035]"/>
  </r>
  <r>
    <x v="1849"/>
    <x v="2420"/>
    <x v="0"/>
    <n v="0"/>
    <s v="LINESTRING (8.584942883249157 58.3486871802283, 8.583616145838882 58.347811292493546, 8.582103596784302 58.34712613623792, 8.581971900103456 58.34707187696202, 8.581734986528094 58.34697581481687, 8.580198291774987 58.34622722404893)"/>
    <s v="[630806, 630814, 630822, 2133692, 2133700]"/>
    <s v="[626362, 626371, 626377, 1835020, 1835024]"/>
    <s v="0.014133906819900873"/>
    <s v="[626207, 626362, 626371, 626377, 1835020]"/>
    <s v="[0.001, 0.016, 0.06, 0.204, 0.003]"/>
    <s v="392.55345494691244"/>
    <s v="[-0.001, 0.016, 0.06, 0.204, -0.003]"/>
  </r>
  <r>
    <x v="1849"/>
    <x v="2421"/>
    <x v="0"/>
    <n v="0"/>
    <s v="LINESTRING (8.598112258502647 58.354353518233935, 8.597961070543526 58.35416636464552, 8.597577098355812 58.353766243849755, 8.597535131662383 58.3537256228248, 8.5969242272964 58.35314613363369, 8.595417155771651 58.35198528135831, 8.584942883249157 58.3486871802283)"/>
    <s v="[630758, 630766, 630774, 630782, 630790, 630798]"/>
    <s v="[626322, 626328, 626336, 626341, 626349, 626207]"/>
    <s v="#FIELD!"/>
    <s v="[626235, 626322, 626328, 626336, 626341, 626349]"/>
    <s v="[0.033, 0.03, 0.021, 0.018, 0.006, 0.015]"/>
    <s v="1044.9984542791428"/>
    <s v="[-0.033, -0.03, -0.021, -0.018, 0.006, -0.015]"/>
  </r>
  <r>
    <x v="1849"/>
    <x v="525"/>
    <x v="0"/>
    <n v="0"/>
    <s v="LINESTRING (8.582320219065203 58.34681633512436, 8.582763338614274 58.34735659260788, 8.58347284029 58.34768781681169, 8.584756955281584 58.34852016515134, 8.584942883249157 58.3486871802283)"/>
    <s v="[1234851, 1234874, 302297, 630614]"/>
    <s v="[1156160, 294184, 294185, 626207]"/>
    <s v="#FIELD!"/>
    <s v="[1156136, 1156160, 294184, 294185]"/>
    <s v="[0.026, 0.102, 0.018, 0.104]"/>
    <s v="265.8741545222009"/>
    <s v="[-0.026, 0.102, -0.018, -0.104]"/>
  </r>
  <r>
    <x v="1850"/>
    <x v="2422"/>
    <x v="0"/>
    <n v="0"/>
    <s v="LINESTRING (8.597491670388248 58.35379100166715, 8.597449090001039 58.35375045787927, 8.596838438778294 58.35317127818587, 8.595344518494242 58.35202009242733, 8.58487918828468 58.34872893847368, 8.583561768408172 58.3478487362631, 8.582048162744522 58.34716392249688, 8.581915337801258 58.347110119768985)"/>
    <s v="[630686, 630694, 630702, 630710, 630718, 630726, 630734]"/>
    <s v="[626266, 626273, 626282, 626287, 626293, 626297, 626304]"/>
    <s v="#FIELD!"/>
    <s v="[626221, 626266, 626273, 626282, 626287, 626293, 626297]"/>
    <s v="[0.02, 0.017, 0.008, 0.015, 0.004, 0.021, 0.06]"/>
    <s v="1222.080335752445"/>
    <s v="[-0.02, -0.017, 0.008, -0.015, -0.004, 0.021, 0.06]"/>
  </r>
  <r>
    <x v="1850"/>
    <x v="2423"/>
    <x v="0"/>
    <n v="0"/>
    <s v="LINESTRING (8.597597897748178 58.35590374734009, 8.597807195494594 58.355963443173486, 8.598075163810018 58.355965548595705, 8.597912566565169 58.35430211395814, 8.597600060730045 58.353930485811446, 8.597491670388248 58.35379100166715)"/>
    <s v="[1234226, 1234233, 1234234, 630638, 630630]"/>
    <s v="[1155581, 1155588, 626230, 626220, 626221]"/>
    <s v="#FIELD!"/>
    <s v="[1153147, 1155581, 1155588, 626230, 626220]"/>
    <s v="[0.055, 0.053, 0.024, 0.032, 0.024]"/>
    <s v="287.7012560620536"/>
    <s v="[0.055, 0.053, -0.024, -0.032, -0.024]"/>
  </r>
  <r>
    <x v="1850"/>
    <x v="2424"/>
    <x v="0"/>
    <n v="0"/>
    <s v="LINESTRING (8.597727726950115 58.35772052919387, 8.597775827279722 58.35739016421399, 8.598312779468715 58.3560862102688, 8.598130272088301 58.35451228751203, 8.598028311953295 58.354368515231926, 8.597876240554115 58.35418443358006, 8.597491670388248 58.35379100166715)"/>
    <s v="[1232189, 1232221, 630654, 630662, 630670, 630678]"/>
    <s v="[1153792, 626242, 626243, 626248, 626253, 626221]"/>
    <s v="#FIELD!"/>
    <s v="[1153759, 1153792, 626242, 626243, 626248, 626253]"/>
    <s v="[0.026, 0.017, 0.027, 0.033, 0.035, 0.031]"/>
    <s v="452.53274621727314"/>
    <s v="[0.026, 0.017, -0.027, -0.033, -0.035, -0.031]"/>
  </r>
  <r>
    <x v="1851"/>
    <x v="2425"/>
    <x v="0"/>
    <n v="0"/>
    <s v="LINESTRING (8.598112258502647 58.354353518233935, 8.598280345395509 58.35455961499883, 8.598693714861321 58.355807456791496, 8.599138402023302 58.35586984321486)"/>
    <s v="[630646, 1230499, 1230507]"/>
    <s v="[626236, 1152427, 1152434]"/>
    <s v="#FIELD!"/>
    <s v="[626235, 626236, 1152427]"/>
    <s v="[0.037, 0.044, 0.026]"/>
    <s v="195.67447841832384"/>
    <s v="[0.037, -0.044, -0.026]"/>
  </r>
  <r>
    <x v="1851"/>
    <x v="2426"/>
    <x v="0"/>
    <n v="0"/>
    <s v="LINESTRING (8.597879307551496 58.35734683925815, 8.598399109258118 58.35609404813602, 8.59821137619208 58.35449973272092, 8.598112258502647 58.354353518233935)"/>
    <s v="[1232414, 630742, 630750]"/>
    <s v="[626311, 626312, 626235]"/>
    <s v="#FIELD!"/>
    <s v="[1153752, 626311, 626312]"/>
    <s v="[0.017, 0.027, 0.035]"/>
    <s v="340.34926444810253"/>
    <s v="[0.017, -0.027, -0.035]"/>
  </r>
  <r>
    <x v="1852"/>
    <x v="2427"/>
    <x v="0"/>
    <n v="0"/>
    <s v="LINESTRING (8.581915337801258 58.347110119768985, 8.581682798838207 58.34701214308164, 8.581614538247678 58.34698292823856, 8.580144556171511 58.34626377098188, 8.579851943795658 58.34607497329001, 8.577346779395885 58.34447587271952, 8.577221647960387 58.34442074080637)"/>
    <s v="[2133572, 2133580, 2133588, 2133596, 2133604, 2133612]"/>
    <s v="[1834953, 1834958, 1834964, 1834969, 1834974, 1834979]"/>
    <s v="0.01430688698600112"/>
    <s v="[626304, 1834953, 1834958, 1834964, 1834969, 1834974]"/>
    <s v="[0.195, 0.003, 0.002, 0.005, 0.01, 0.022]"/>
    <s v="408.78033423402564"/>
    <s v="[0.195, 0.003, -0.002, 0.005, 0.01, 0.022]"/>
  </r>
  <r>
    <x v="1852"/>
    <x v="2428"/>
    <x v="0"/>
    <n v="0"/>
    <s v="LINESTRING (8.581915337801258 58.347110119768985, 8.581508879459097 58.346962927233946, 8.580460454328351 58.346491498182395, 8.579530234182343 58.346463109246756)"/>
    <s v="[2133804, 1234706, 1234718]"/>
    <s v="[1156028, 1156029, 1156038]"/>
    <s v="0.049368805259912954"/>
    <s v="[626304, 1156028, 1156029]"/>
    <s v="[0.065, 0.061, 0.026]"/>
    <s v="169.6466126010679"/>
    <s v="[0.065, 0.061, 0.026]"/>
  </r>
  <r>
    <x v="1853"/>
    <x v="2429"/>
    <x v="0"/>
    <n v="0"/>
    <s v="LINESTRING (10.883255788137694 63.49433291429824, 10.882235487276306 63.49532266533092, 10.881246082438077 63.49596781275467, 10.87960993684439 63.49678472241137, 10.879325969991797 63.49690164589794, 10.879013158133215 63.497030115190014, 10.878728507606525 63.49713487421717, 10.877526906945207 63.497515119021436, 10.866929629918907 63.499001137446335, 10.860876464697515 63.50236767456387, 10.859838855727098 63.50281142893533, 10.85977204780965 63.50284340109911, 10.858737434153483 63.503580314479194, 10.858419287218844 63.50400458881605, 10.85797678791441 63.50476083204612, 10.856512528450132 63.50615834662127)"/>
    <s v="[632325, 632333, 632341, 632349, 632357, 632365, 632373, 632381, 632389, 632397, 632405, 632413, 632421, 632429, 632437]"/>
    <s v="[546780, 627699, 546846, 627717, 546772, 627733, 546761, 627751, 627762, 627772, 627782, 627793, 627800, 627805, 627813]"/>
    <s v="0.0063510073610707355"/>
    <s v="[627691, 546780, 627699, 546846, 627717, 546772, 627733, 546761, 627751, 627762, 627772, 627782, 627793, 627800, 627805]"/>
    <s v="[0.05, 0.039, 0.033, 0.012, 0.005, 0.003, 0.0, 0.028, 0.018, 0.052, 0.033, 0.031, 0.021, 0.006, 0.012]"/>
    <s v="1991.2913791097747"/>
    <s v="[0.05, 0.039, 0.033, -0.012, -0.005, -0.003, 0.0, -0.028, 0.018, 0.052, 0.033, 0.031, 0.021, 0.006, -0.012]"/>
  </r>
  <r>
    <x v="1853"/>
    <x v="2430"/>
    <x v="0"/>
    <n v="0"/>
    <s v="LINESTRING (10.884063239140694 63.49242860556772, 10.883883650916802 63.49296599953292, 10.88383461161862 63.49310797474237, 10.883673188021106 63.49354996474368, 10.883255788137694 63.49433291429824)"/>
    <s v="[2161556, 2161564, 2161572, 2161580]"/>
    <s v="[1850857, 1850863, 1850868, 627691]"/>
    <s v="0.03226924634873104"/>
    <s v="[1850595, 1850857, 1850863, 1850868]"/>
    <s v="[0.033, 0.025, 0.027, 0.036]"/>
    <s v="216.3701820956323"/>
    <s v="[0.033, 0.025, 0.027, 0.036]"/>
  </r>
  <r>
    <x v="1853"/>
    <x v="2431"/>
    <x v="0"/>
    <n v="0"/>
    <s v="LINESTRING (10.884061094300078 63.4929771196854, 10.884010598204133 63.49312153387216, 10.883818571938855 63.49356417133053, 10.883255788137694 63.49433291429824)"/>
    <s v="[2161484, 2161492, 2161500]"/>
    <s v="[1850811, 1850816, 627691]"/>
    <s v="0.032602294748979854"/>
    <s v="[1850801, 1850811, 1850816]"/>
    <s v="[0.023, 0.026, 0.038]"/>
    <s v="157.03064700365928"/>
    <s v="[0.023, 0.026, 0.038]"/>
  </r>
  <r>
    <x v="1854"/>
    <x v="2432"/>
    <x v="0"/>
    <n v="0"/>
    <s v="LINESTRING (10.856512528450132 63.50615834662127, 10.856152503543038 63.50631520075659, 10.856023707130182 63.50634715572657)"/>
    <s v="[1251325, 1251333]"/>
    <s v="[1170501, 1170429]"/>
    <s v="#FIELD!"/>
    <s v="[627813, 1170501]"/>
    <s v="[0.044, 0.025]"/>
    <s v="32.61641980130138"/>
    <s v="[-0.044, 0.025]"/>
  </r>
  <r>
    <x v="1854"/>
    <x v="2433"/>
    <x v="0"/>
    <n v="0"/>
    <s v="LINESTRING (10.856512528450132 63.50615834662127, 10.85630666694071 63.50635247510992, 10.856264636066568 63.50641606704273)"/>
    <s v="[1251341, 1251349]"/>
    <s v="[1170509, 1170383]"/>
    <s v="#FIELD!"/>
    <s v="[627813, 1170509]"/>
    <s v="[0.052, 0.016]"/>
    <s v="31.570753312171078"/>
    <s v="[-0.052, 0.016]"/>
  </r>
  <r>
    <x v="1855"/>
    <x v="2434"/>
    <x v="0"/>
    <n v="0"/>
    <s v="LINESTRING (10.855902465248771 63.50662787000939, 10.855821088636212 63.506660299513285, 10.855482895963714 63.50681778458239)"/>
    <s v="[1251278, 1251286]"/>
    <s v="[1170471, 627828]"/>
    <s v="0.030971967738868157"/>
    <s v="[1170401, 1170471]"/>
    <s v="[0.067, 0.023]"/>
    <s v="29.97413226653789"/>
    <s v="[0.067, 0.023]"/>
  </r>
  <r>
    <x v="1855"/>
    <x v="2435"/>
    <x v="0"/>
    <n v="0"/>
    <s v="LINESTRING (10.855713246261177 63.506563152667454, 10.855677769095479 63.506625945537614, 10.855482895963714 63.50681778458239)"/>
    <s v="[1251262, 1251270]"/>
    <s v="[1170461, 627828]"/>
    <s v="0.04294155879468094"/>
    <s v="[1170414, 1170461]"/>
    <s v="[0.092, 0.028]"/>
    <s v="30.92514056316243"/>
    <s v="[0.092, 0.028]"/>
  </r>
  <r>
    <x v="1856"/>
    <x v="2436"/>
    <x v="192"/>
    <s v="[0, 0, 0, 0, 0, 0, 0, 0, 0, 1, 0, 0, 0, 0, 0, 0, 0, 0]"/>
    <s v="LINESTRING (10.860339150761908 63.542312197486, 10.860585778900905 63.54235440985453, 10.862492175809603 63.542665889304075, 10.862820513687495 63.54271933033679, 10.86402795282413 63.542914648084235, 10.869668266993523 63.54386838779333, 10.87619470466845 63.54460091978605, 10.879053115492953 63.54454935808677, 10.879825517712652 63.544587177065154, 10.880834573075507 63.54476276286968, 10.882452999626217 63.54503867451475, 10.88994585054386 63.544353311977396, 10.890820741024429 63.54443622290297, 10.891542638771018 63.54455117004888, 10.892420320857147 63.54470928623067, 10.89740566545593 63.545855966306085, 10.898155295827765 63.546124297833984, 10.898270115936272 63.546169211948495, 10.898593332790567 63.546306383461925)"/>
    <s v="[632638, 632646, 632654, 632662, 632670, 632678, 632686, 632694, 632702, 632710, 632718, 632726, 632734, 632742, 632750, 632758, 632766, 632774]"/>
    <s v="[628009, 628017, 628024, 628033, 579403, 561411, 499976, 627268, 628075, 628083, 628090, 628098, 627245, 627238, 628120, 628129, 628137, 628147]"/>
    <s v="#FIELD!"/>
    <s v="[628008, 628009, 628017, 628024, 628033, 579403, 561411, 499976, 627268, 628075, 628083, 628090, 628098, 627245, 627238, 628120, 628129, 628137]"/>
    <s v="[0.165, 0.06, 0.043, 0.021, 0.048, 0.037, 0.035, 0.098, 0.148, 0.17, 0.045, 0.0, 0.063, 0.092, 0.04, 0.021, 0.016, 0.1]"/>
    <s v="2026.14623799596"/>
    <s v="[0.165, 0.06, -0.043, -0.021, -0.048, -0.037, -0.035, -0.098, -0.148, -0.17, 0.045, 0.0, -0.063, -0.092, 0.04, 0.021, -0.016, -0.1]"/>
  </r>
  <r>
    <x v="1857"/>
    <x v="2437"/>
    <x v="0"/>
    <n v="0"/>
    <s v="LINESTRING (10.898593332790567 63.546306383461925, 10.898985846799862 63.54647312411606, 10.899078617052501 63.54650058868478)"/>
    <s v="[2028276, 2028277]"/>
    <s v="[1770622, 1770623]"/>
    <s v="0.9874074667787804"/>
    <s v="[628147, 1770622]"/>
    <s v="[1.175, 0.062]"/>
    <s v="32.85100747210511"/>
    <s v="[1.175, 0.062]"/>
  </r>
  <r>
    <x v="1857"/>
    <x v="2438"/>
    <x v="0"/>
    <n v="0"/>
    <s v="LINESTRING (10.898593332790567 63.546306383461925, 10.898860482788518 63.546516723995204, 10.898895035668016 63.5465678691843)"/>
    <s v="[2028283, 2028295]"/>
    <s v="[1770629, 1770637]"/>
    <s v="0.9110919493251634"/>
    <s v="[628147, 1770629]"/>
    <s v="[1.125, 0.057]"/>
    <s v="32.906133695391304"/>
    <s v="[1.125, -0.057]"/>
  </r>
  <r>
    <x v="1858"/>
    <x v="2439"/>
    <x v="0"/>
    <n v="0"/>
    <s v="LINESTRING (10.899315633947868 63.54661649527808, 10.899363088199358 63.54666621201902, 10.899603996009947 63.54681223304813)"/>
    <s v="[2028245, 2028252]"/>
    <s v="[1770593, 628154]"/>
    <s v="#FIELD!"/>
    <s v="[1770592, 1770593]"/>
    <s v="[0.066, 2.01]"/>
    <s v="26.609496028442727"/>
    <s v="[-0.066, -2.01]"/>
  </r>
  <r>
    <x v="1858"/>
    <x v="2440"/>
    <x v="0"/>
    <n v="0"/>
    <s v="LINESTRING (10.899135943234025 63.54669314562972, 10.899259088183783 63.54671258116045, 10.899603996009947 63.54681223304813)"/>
    <s v="[2028262, 2028268]"/>
    <s v="[1770609, 628154]"/>
    <s v="#FIELD!"/>
    <s v="[1770608, 1770609]"/>
    <s v="[0.104, 1.957]"/>
    <s v="26.93100669116861"/>
    <s v="[0.104, -1.957]"/>
  </r>
  <r>
    <x v="1859"/>
    <x v="2042"/>
    <x v="0"/>
    <n v="0"/>
    <s v="LINESTRING (11.238385161161577 63.71787206930967, 11.238929079869115 63.717917511707356, 11.243874400353867 63.71873895534679, 11.244561075160991 63.71892177905205, 11.247915815184564 63.72026407701434, 11.251334165241003 63.72240436464324, 11.251363062294617 63.72242798678383, 11.258986599048852 63.72489393347389, 11.259909053279305 63.72503233192966, 11.260074426631487 63.725059686728606, 11.26022961030385 63.72508560842154, 11.261032731168097 63.725227692533075, 11.261456412027547 63.72531567985044, 11.268323135558846 63.72661047576904, 11.268988616931873 63.72674196370627, 11.270130555781993 63.726972580469315, 11.27152287410791 63.72725685800067, 11.27441294888144 63.72789671620952, 11.276536895208212 63.72889437846492, 11.276969663965719 63.729241643769335)"/>
    <s v="[633471, 633479, 633487, 633495, 633503, 633511, 633519, 633527, 633535, 633543, 633551, 633559, 633567, 633575, 633583, 633591, 633599, 633607, 633615]"/>
    <s v="[628791, 628798, 628807, 547052, 628825, 563923, 573305, 624074, 628848, 505615, 628861, 628870, 563685, 628886, 544107, 613708, 552984, 628912, 628919]"/>
    <s v="#FIELD!"/>
    <s v="[628790, 628791, 628798, 628807, 547052, 628825, 563923, 573305, 624074, 628848, 505615, 628861, 628870, 563685, 628886, 544107, 613708, 552984, 628912]"/>
    <s v="[0.049, 0.028, 0.041, 0.018, 0.0, 0.002, 0.001, 0.031, 0.029, 0.031, 0.025, 0.009, 0.003, 0.015, 0.018, 0.004, 0.039, 0.007, 0.024]"/>
    <s v="2370.654920567435"/>
    <s v="[-0.049, -0.028, -0.041, -0.018, 0.0, 0.002, 0.001, -0.031, -0.029, -0.031, -0.025, -0.009, 0.003, 0.015, 0.018, -0.004, -0.039, -0.007, -0.024]"/>
  </r>
  <r>
    <x v="1860"/>
    <x v="2377"/>
    <x v="0"/>
    <n v="0"/>
    <s v="LINESTRING (11.276969663965719 63.729241643769335, 11.277205172819171 63.72949812621075, 11.278531765904042 63.73032499810362)"/>
    <s v="[1135661, 1135669]"/>
    <s v="[1072503, 1072471]"/>
    <s v="0.016468552871345975"/>
    <s v="[628919, 1072503]"/>
    <s v="[0.248, 0.047]"/>
    <s v="144.7277869940271"/>
    <s v="[0.248, -0.047]"/>
  </r>
  <r>
    <x v="1861"/>
    <x v="2050"/>
    <x v="0"/>
    <n v="0"/>
    <s v="LINESTRING (11.40402418935505 63.76049843831349, 11.405086073978579 63.760736280871996, 11.405964960236167 63.76090861433374, 11.406059532146292 63.760926858655225, 11.406249216624206 63.76096420518711, 11.407363384144805 63.761146799961836)"/>
    <s v="[1331508, 1331516, 1331524, 1331532, 1331540]"/>
    <s v="[1236535, 1236544, 1236552, 1236558, 628981]"/>
    <s v="0.03673570886088927"/>
    <s v="[628971, 1236535, 1236544, 1236552, 1236558]"/>
    <s v="[0.496, 0.012, 0.006, 0.004, 0.394]"/>
    <s v="181.07206579639595"/>
    <s v="[0.496, 0.012, 0.006, 0.004, -0.394]"/>
  </r>
  <r>
    <x v="1861"/>
    <x v="2050"/>
    <x v="0"/>
    <n v="0"/>
    <s v="LINESTRING (11.40402418935505 63.76049843831349, 11.40505481065734 63.760641948074806, 11.405170451829024 63.760665426821724, 11.406020860241892 63.76083377897745, 11.40623398483862 63.760874962752744, 11.407363384144805 63.761146799961836)"/>
    <s v="[1331548, 1331556, 1331564, 1331572, 1331580]"/>
    <s v="[1236573, 1236581, 1236588, 1236598, 628981]"/>
    <s v="0.03680000525342344"/>
    <s v="[628971, 1236573, 1236581, 1236588, 1236598]"/>
    <s v="[0.544, 0.024, 0.015, 0.007, 0.366]"/>
    <s v="181.5948835993941"/>
    <s v="[0.544, 0.024, 0.015, 0.007, -0.366]"/>
  </r>
  <r>
    <x v="1862"/>
    <x v="202"/>
    <x v="0"/>
    <n v="0"/>
    <s v="LINESTRING (11.427362614497474 63.88428615946662, 11.426006013730964 63.885663806241155, 11.42532024230797 63.886429347128, 11.425113524430959 63.887330263065536, 11.427553806879597 63.890019303041335, 11.42797424895009 63.890615106903645, 11.432562304176717 63.8931182214593, 11.43281215602879 63.893288052165225, 11.433121844174499 63.893502790827114, 11.433823453909461 63.89405557080769, 11.433941763923212 63.894162208877766, 11.434190042717374 63.89439192683716, 11.434641125905154 63.894797975513775, 11.435506879341196 63.89549031934335, 11.438499456524937 63.8994406931356, 11.438563023754002 63.89961049852166, 11.440994920505181 63.905596892745066, 11.441145848395209 63.90619893751366, 11.441154613491504 63.90656334186318, 11.441151260175248 63.90663482308019, 11.441058162030435 63.90718453036144, 11.440400368812481 63.909765828017456, 11.440243867780353 63.910387434776915, 11.44019757027351 63.91058331385414, 11.440185381628394 63.91063225952489, 11.439960186513812 63.91142465677031, 11.439952218913698 63.91144258302641, 11.438091009201504 63.913444679851295, 11.437810991041237 63.91368723138406, 11.435502934235503 63.91573459861438, 11.43492072174496 63.916254681370255, 11.434719109067753 63.91644318411809, 11.434073787283431 63.91715201634294, 11.433626563364173 63.91773631105671, 11.433279749861518 63.91838934239516, 11.433259278640522 63.918430590278746, 11.432968160073994 63.91904741029578, 11.432719909384307 63.91956026310762, 11.432671762458634 63.91965556423987, 11.432592150666093 63.91981850912137, 11.432501866635649 63.92000645619892, 11.432362923900971 63.92031519957463, 11.432416361030917 63.92179546193107, 11.432439747131946 63.92188921088106, 11.432452147229883 63.921939031829915, 11.4324682674356 63.92200389519974, 11.432667997984842 63.923111703621004, 11.432656313764674 63.92317289869611, 11.432640905222215 63.923233202330344, 11.432556789556727 63.92341766276857, 11.432512856944584 63.92348218702892, 11.431027201018095 63.92442337948592, 11.429943125728927 63.92488293085344, 11.42741424591393 63.926956905544316, 11.426260120734316 63.9279640726544, 11.42373549581909 63.9300665349681, 11.422690961877043 63.9322560350882, 11.422409895092779 63.933415630577414, 11.422161100241432 63.93437870674103, 11.421634090276962 63.93642063817239, 11.42158738309247 63.936601687935024, 11.421464124665835 63.9370800867188, 11.42144718473713 63.93714684789577, 11.42132448192607 63.93762629362003, 11.42122102846353 63.93803062537887, 11.421040841027798 63.9387338019937, 11.420929097185388 63.9391706696097, 11.42065861925539 63.94022716347756, 11.42037727833619 63.94132198760059)"/>
    <s v="[634584, 634592, 634600, 634625, 634633, 634641, 634649, 634657, 634665, 634673, 634681, 634689, 634697, 634705, 634713, 634721, 634729, 634737, 634745, 634753, 634761, 634769, 634777, 634785, 634793, 634801, 634809, 634817, 634825, 634833, 634841, 634849, 634857, 634865, 634873, 634881, 634889, 634897, 634905, 634913, 634921, 634929, 634937, 634945, 634953, 634962, 634970, 634978, 634986, 634994, 635002, 635010, 635018, 635026, 635034, 635042, 635050, 635058, 635066, 635074, 635082, 635090, 635098, 635106, 635114, 635122, 635130, 635138]"/>
    <s v="[541527, 629793, 566100, 564227, 629831, 629841, 562656, 629857, 629863, 629871, 538704, 629883, 556636, 629898, 578977, 563282, 557431, 563291, 629930, 499316, 563305, 556685, 629954, 563315, 563333, 629975, 538827, 562896, 556045, 629999, 561275, 540670, 563935, 630029, 630036, 527383, 564036, 557448, 630063, 630070, 630079, 630088, 624270, 630102, 630110, 624273, 630119, 630126, 630133, 630140, 530000, 630152, 630158, 556580, 563624, 630180, 630187, 630192, 630201, 630207, 630213, 630220, 630227, 630234, 630239, 630248, 630254, 630261]"/>
    <s v="#FIELD!"/>
    <s v="[629779, 541527, 629793, 566100, 564227, 629831, 629841, 562656, 629857, 629863, 629871, 538704, 629883, 556636, 629898, 578977, 563282, 557431, 563291, 629930, 499316, 563305, 556685, 629954, 563315, 563333, 629975, 538827, 562896, 556045, 629999, 561275, 540670, 563935, 630029, 630036, 527383, 564036, 557448, 630063, 630070, 630079, 630088, 624270, 630102, 630110, 624273, 630119, 630126, 630133, 630140, 530000, 630152, 630158, 556580, 563624, 630180, 630187, 630192, 630201, 630207, 630213, 630220, 630227, 630234, 630239, 630248, 630254]"/>
    <s v="[0.139, 0.083, 0.027, 0.035, 0.019, 0.036, 0.06, 0.069, 0.04, 0.009, 0.008, 0.01, 0.0, 0.002, 0.006, 0.012, 0.023, 0.026, 0.025, 0.025, 0.067, 0.045, 0.014, 0.015, 0.013, 0.01, 0.002, 0.003, 0.004, 0.008, 0.007, 0.003, 0.002, 0.003, 0.003, 0.006, 0.011, 0.015, 0.009, 0.04, 0.038, 0.025, 0.006, 0.005, 0.008, 0.014, 0.045, 0.049, 0.045, 0.044, 0.017, 0.009, 0.001, 0.001, 0.011, 0.014, 0.016, 0.005, 0.015, 0.015, 0.013, 0.016, 0.012, 0.008, 0.013, 0.022, 0.036, 0.018]"/>
    <s v="6797.330124122309"/>
    <s v="[-0.139, -0.083, -0.027, 0.035, -0.019, -0.036, -0.06, -0.069, -0.04, -0.009, -0.008, -0.01, 0.0, 0.002, -0.006, -0.012, -0.023, -0.026, -0.025, -0.025, -0.067, -0.045, -0.014, -0.015, -0.013, -0.01, 0.002, 0.003, 0.004, 0.008, 0.007, 0.003, 0.002, 0.003, 0.003, -0.006, -0.011, -0.015, -0.009, 0.04, 0.038, 0.025, 0.006, 0.005, 0.008, -0.014, -0.045, -0.049, -0.045, -0.044, -0.017, 0.009, -0.001, -0.001, 0.011, -0.014, -0.016, -0.005, 0.015, 0.015, 0.013, 0.016, 0.012, -0.008, -0.013, -0.022, -0.036, -0.018]"/>
  </r>
  <r>
    <x v="1862"/>
    <x v="2441"/>
    <x v="0"/>
    <n v="0"/>
    <s v="LINESTRING (11.428017417698227 63.884114652933654, 11.428017417698227 63.884114652933654, 11.427421614774403 63.88429428409581, 11.427362614497474 63.88428615946662)"/>
    <s v="[1258992, 1258993, 1259005]"/>
    <s v="[1176750, 1176751, 629779]"/>
    <s v="0.21641287170460843"/>
    <s v="[567100, 1176750, 1176751]"/>
    <s v="[0.0, 0.068, 4.611]"/>
    <s v="50.6906845310474"/>
    <s v="[0.0, -0.068, 4.611]"/>
  </r>
  <r>
    <x v="1863"/>
    <x v="2442"/>
    <x v="0"/>
    <n v="0"/>
    <m/>
    <n v="1258348"/>
    <n v="1176203"/>
    <s v="1.396"/>
    <n v="630485"/>
    <s v="1.396"/>
    <s v="3.7988421919933573"/>
    <s v="1.396"/>
  </r>
  <r>
    <x v="1864"/>
    <x v="2443"/>
    <x v="0"/>
    <n v="0"/>
    <s v="LINESTRING (9.037926042159 58.72972009478815, 9.039525697217972 58.72764140230314, 9.039932105273525 58.726870288239155, 9.040259547180465 58.725847730691285, 9.040276358224812 58.725696260306634)"/>
    <s v="[637186, 637194, 637202, 637210]"/>
    <s v="[632043, 632048, 632054, 632058]"/>
    <s v="0.04038929547538995"/>
    <s v="[632042, 632043, 632048, 632054]"/>
    <s v="[0.003, 0.139, 0.079, 0.19]"/>
    <s v="472.1575800532233"/>
    <s v="[0.003, 0.139, 0.079, -0.19]"/>
  </r>
  <r>
    <x v="1864"/>
    <x v="2444"/>
    <x v="0"/>
    <n v="0"/>
    <s v="LINESTRING (9.037963584770269 58.73004605691842, 9.03793677576907 58.72996621110114, 9.037926042159 58.72972009478815)"/>
    <s v="[958328, 958336]"/>
    <s v="[924947, 632042]"/>
    <s v="#FIELD!"/>
    <s v="[924946, 924947]"/>
    <s v="[0.047, 0.286]"/>
    <s v="36.48925282947354"/>
    <s v="[-0.047, -0.286]"/>
  </r>
  <r>
    <x v="1864"/>
    <x v="2445"/>
    <x v="0"/>
    <n v="0"/>
    <s v="LINESTRING (9.037572555321681 58.72999405183688, 9.037645259106437 58.72993665255261, 9.037926042159 58.72972009478815)"/>
    <s v="[1240467, 1240503]"/>
    <s v="[1161123, 632042]"/>
    <s v="#FIELD!"/>
    <s v="[931449, 1161123]"/>
    <s v="[0.03, 0.259]"/>
    <s v="36.788292530950486"/>
    <s v="[-0.03, -0.259]"/>
  </r>
  <r>
    <x v="1865"/>
    <x v="2446"/>
    <x v="0"/>
    <s v="[0, 1, 0]"/>
    <s v="LINESTRING (9.040276358224812 58.725696260306634, 9.040159366180152 58.72465569005515, 9.040076973832015 58.72440840980086, 9.040020483859 58.72425939009585)"/>
    <s v="[637218, 637226, 637234]"/>
    <s v="[632065, 632073, 632079]"/>
    <s v="#FIELD!"/>
    <s v="[632058, 632065, 632073]"/>
    <s v="[0.182, 0.096, 0.084]"/>
    <s v="161.2912511152123"/>
    <s v="[-0.182, 0.096, 0.084]"/>
  </r>
  <r>
    <x v="1865"/>
    <x v="2447"/>
    <x v="0"/>
    <n v="0"/>
    <s v="LINESTRING (9.040762067853475 58.724691490535506, 9.04037275918092 58.72542920380903, 9.040359084823509 58.725527176436486, 9.040276358224812 58.725696260306634)"/>
    <s v="[1241323, 1241331, 1241332]"/>
    <s v="[1161780, 1161787, 632058]"/>
    <s v="#FIELD!"/>
    <s v="[1147726, 1161780, 1161787]"/>
    <s v="[0.185, 0.032, 0.704]"/>
    <s v="117.0516201241539"/>
    <s v="[-0.185, 0.032, 0.704]"/>
  </r>
  <r>
    <x v="1866"/>
    <x v="2448"/>
    <x v="0"/>
    <n v="0"/>
    <m/>
    <n v="637242"/>
    <n v="632085"/>
    <s v="0.055"/>
    <n v="632079"/>
    <s v="0.055"/>
    <s v="77.58809766986197"/>
    <s v="0.055"/>
  </r>
  <r>
    <x v="1866"/>
    <x v="2449"/>
    <x v="0"/>
    <n v="0"/>
    <s v="LINESTRING (9.040020483859 58.72425939009585, 9.039905029795626 58.72417143331309, 9.039205946584435 58.72424652706359)"/>
    <s v="[2110745, 2110753]"/>
    <s v="[1821794, 1161884]"/>
    <s v="#FIELD!"/>
    <s v="[632079, 1821794]"/>
    <s v="[1.293, 0.292]"/>
    <s v="64.58903228463886"/>
    <s v="[1.293, -0.292]"/>
  </r>
  <r>
    <x v="1867"/>
    <x v="2450"/>
    <x v="0"/>
    <n v="0"/>
    <m/>
    <n v="637250"/>
    <n v="632092"/>
    <s v="0.024"/>
    <n v="632085"/>
    <s v="0.024"/>
    <s v="17.294811361024543"/>
    <s v="0.024"/>
  </r>
  <r>
    <x v="1867"/>
    <x v="2449"/>
    <x v="0"/>
    <n v="0"/>
    <s v="LINESTRING (9.039205946584435 58.72424652706359, 9.039280179802919 58.72407620329482, 9.039664760459507 58.72376182014855, 9.039730555376877 58.723580120222096)"/>
    <s v="[1241448, 1241450, 1241451]"/>
    <s v="[1161885, 1161886, 632085]"/>
    <s v="0.052640247600904445"/>
    <s v="[1161884, 1161885, 1161886]"/>
    <s v="[0.037, 0.049, 0.075]"/>
    <s v="82.24677002414462"/>
    <s v="[0.037, 0.049, 0.075]"/>
  </r>
  <r>
    <x v="1868"/>
    <x v="2451"/>
    <x v="193"/>
    <s v="[0, 0, 0, 0, 0, 0, 0, 0, 1, 0, 0, 0, 0, 0, 0, 0, 0]"/>
    <s v="LINESTRING (9.039663524196337 58.72342899041406, 9.039563332180093 58.723212846260125, 9.038833760775361 58.72116740209681, 9.038853105319086 58.71958366874104, 9.03906598035308 58.71784739496335, 9.039277913552793 58.71610313661229, 9.039224137598962 58.71497789344611, 9.037508529922206 58.71162430843028, 9.037483312735317 58.71159537931567, 9.037031126673206 58.71111528644175, 9.03613513593514 58.71032652563857, 9.031634658466894 58.7080141777856, 9.022362396856906 58.70120628399473, 9.016591752999346 58.695867301335426, 9.014696417890855 58.69443506963236, 9.010490148660475 58.69071267155036, 9.006476174186549 58.688673036740454, 9.00620813607581 58.68853762563085)"/>
    <s v="[637258, 637266, 637274, 637282, 637290, 637298, 637306, 637314, 637322, 637330, 637338, 637346, 637354, 637362, 637370, 637378, 637386]"/>
    <s v="[632099, 632106, 632110, 632115, 632123, 632128, 632135, 632143, 632152, 632161, 632164, 632173, 632182, 632188, 632194, 632201, 632207]"/>
    <s v="#FIELD!"/>
    <s v="[632092, 632099, 632106, 632110, 632115, 632123, 632128, 632135, 632143, 632152, 632161, 632164, 632173, 632182, 632188, 632194, 632201]"/>
    <s v="[0.021, 0.105, 0.017, 0.082, 0.025, 0.052, 0.008, 0.061, 0.145, 0.049, 0.015, 0.02, 0.0, 0.13, 0.017, 0.078, 0.109]"/>
    <s v="4556.200689528233"/>
    <s v="[0.021, 0.105, -0.017, -0.082, -0.025, -0.052, -0.008, -0.061, -0.145, -0.049, 0.015, 0.02, 0.0, -0.13, 0.017, -0.078, -0.109]"/>
  </r>
  <r>
    <x v="1868"/>
    <x v="2452"/>
    <x v="0"/>
    <n v="0"/>
    <s v="LINESTRING (9.039663524196337 58.72342899041406, 9.039880653596564 58.72366379668758, 9.040702688468105 58.72418993729985)"/>
    <s v="[1756384, 1756388]"/>
    <s v="[1554323, 1143527]"/>
    <s v="0.13108550096193555"/>
    <s v="[632092, 1554323]"/>
    <s v="[0.364, 0.043]"/>
    <s v="105.87716721247193"/>
    <s v="[0.364, 0.043]"/>
  </r>
  <r>
    <x v="1869"/>
    <x v="2453"/>
    <x v="0"/>
    <n v="0"/>
    <m/>
    <n v="637394"/>
    <n v="632214"/>
    <s v="#FIELD!"/>
    <n v="632207"/>
    <s v="0.016"/>
    <s v="45.3963632903814"/>
    <s v="#FIELD!"/>
  </r>
  <r>
    <x v="1869"/>
    <x v="2454"/>
    <x v="0"/>
    <n v="0"/>
    <s v="LINESTRING (9.00620813607581 58.68853762563085, 9.006028973396873 58.68849144201726, 9.0052158472696 58.68850028300491)"/>
    <s v="[1225364, 1225369]"/>
    <s v="[1148217, 1148220]"/>
    <s v="0.14213212902074518"/>
    <s v="[632207, 1148217]"/>
    <s v="[1.017, 0.062]"/>
    <s v="61.349901008615916"/>
    <s v="[1.017, -0.062]"/>
  </r>
  <r>
    <x v="1870"/>
    <x v="2455"/>
    <x v="0"/>
    <n v="0"/>
    <m/>
    <n v="637402"/>
    <n v="632222"/>
    <s v="0.015"/>
    <n v="632214"/>
    <s v="0.015"/>
    <s v="44.669385489455294"/>
    <s v="0.015"/>
  </r>
  <r>
    <x v="1870"/>
    <x v="2456"/>
    <x v="0"/>
    <n v="0"/>
    <s v="LINESTRING (9.005522437374777 58.68779591727829, 9.005530612829352 58.68788596836413, 9.005602983788947 58.6881865743621, 9.005647799282794 58.68825367528874)"/>
    <s v="[1223042, 1223064, 1223065]"/>
    <s v="[1145785, 1145810, 632214]"/>
    <s v="#FIELD!"/>
    <s v="[1145784, 1145785, 1145810]"/>
    <s v="[0.039, 0.043, 1.221]"/>
    <s v="52.20806035479575"/>
    <s v="[0.039, 0.043, -1.221]"/>
  </r>
  <r>
    <x v="1871"/>
    <x v="594"/>
    <x v="0"/>
    <n v="0"/>
    <m/>
    <n v="637410"/>
    <n v="632227"/>
    <s v="0.013"/>
    <n v="632222"/>
    <s v="0.013"/>
    <s v="14.354236308509893"/>
    <s v="0.013"/>
  </r>
  <r>
    <x v="1871"/>
    <x v="2454"/>
    <x v="0"/>
    <n v="0"/>
    <s v="LINESTRING (9.0052158472696 58.68850028300491, 9.005279329749087 58.68842071909377, 9.005183575694371 58.6880643402719, 9.005095031305823 58.68797502789223)"/>
    <s v="[1756926, 1756931, 1756932]"/>
    <s v="[1554666, 1554668, 632222]"/>
    <s v="#FIELD!"/>
    <s v="[1148220, 1554666, 1554668]"/>
    <s v="[0.008, 0.041, 0.624]"/>
    <s v="62.69415965311759"/>
    <s v="[-0.008, -0.041, -0.624]"/>
  </r>
  <r>
    <x v="1872"/>
    <x v="2456"/>
    <x v="0"/>
    <n v="0"/>
    <s v="LINESTRING (9.004917661595275 58.68788534774994, 9.005022426899771 58.68789357307157, 9.005522437374777 58.68779591727829)"/>
    <s v="[1757340, 1757356]"/>
    <s v="[1554856, 1145784]"/>
    <s v="0.17650582570270637"/>
    <s v="[632227, 1554856]"/>
    <s v="[0.915, 0.04]"/>
    <s v="39.428689692372856"/>
    <s v="[0.915, 0.04]"/>
  </r>
  <r>
    <x v="1873"/>
    <x v="2457"/>
    <x v="0"/>
    <n v="0"/>
    <m/>
    <n v="638956"/>
    <n v="633556"/>
    <s v="#FIELD!"/>
    <n v="633548"/>
    <s v="0.048"/>
    <s v="14.392530063162416"/>
    <s v="#FIELD!"/>
  </r>
  <r>
    <x v="1873"/>
    <x v="2458"/>
    <x v="0"/>
    <n v="0"/>
    <s v="LINESTRING (8.699339394318818 58.41769606230991, 8.699235257947592 58.41771721189047, 8.698614733626961 58.417890224064465)"/>
    <s v="[1751263, 1751280]"/>
    <s v="[1551480, 1551469]"/>
    <s v="0.20897196479982677"/>
    <s v="[633548, 1551480]"/>
    <s v="[1.496, 0.005]"/>
    <s v="47.76416256488429"/>
    <s v="[1.496, 0.005]"/>
  </r>
  <r>
    <x v="1873"/>
    <x v="2459"/>
    <x v="0"/>
    <n v="0"/>
    <s v="LINESTRING (8.699213724223082 58.41754396021934, 8.699453507566858 58.417489418702196, 8.699554362509522 58.41752429648716, 8.699601412825091 58.417589301353246, 8.699599300747803 58.41760702032028, 8.699557320495405 58.41765908462556, 8.699465936849599 58.417693931688135, 8.699339394318818 58.41769606230991)"/>
    <s v="[638972, 638980, 638988, 638996, 639004, 639012, 638948]"/>
    <s v="[633570, 633577, 304779, 537436, 633598, 633547, 633548]"/>
    <s v="0.01455037532811149"/>
    <s v="[633563, 633570, 633577, 304779, 537436, 633598, 633547]"/>
    <s v="[0.031, 0.05, 0.044, 0.03, 0.005, 0.026, 0.046]"/>
    <s v="53.37832179921432"/>
    <s v="[0.031, 0.05, 0.044, 0.03, 0.005, -0.026, -0.046]"/>
  </r>
  <r>
    <x v="1874"/>
    <x v="2459"/>
    <x v="0"/>
    <n v="0"/>
    <m/>
    <n v="638964"/>
    <n v="633563"/>
    <s v="#FIELD!"/>
    <n v="633556"/>
    <s v="0.015"/>
    <s v="6.4051385622358685"/>
    <s v="#FIELD!"/>
  </r>
  <r>
    <x v="1874"/>
    <x v="2460"/>
    <x v="0"/>
    <s v="[0, 0, 1, 0, 0]"/>
    <s v="LINESTRING (8.69962790033813 58.42131087494018, 8.699558895953778 58.421125094914636, 8.69728014377316 58.41848476776977, 8.698025213681726 58.418045751820365, 8.69912296633509 58.417645402507546, 8.69919213035399 58.41760026377057)"/>
    <s v="[1398236, 1751790, 1751793, 1751806, 1751807]"/>
    <s v="[1280443, 1551822, 1551824, 1551833, 633556]"/>
    <s v="#FIELD!"/>
    <s v="[1280442, 1280443, 1551822, 1551824, 1551833]"/>
    <s v="[0.009, 0.022, 0.015, 0.008, 1.587]"/>
    <s v="537.2946229127044"/>
    <s v="[-0.009, 0.022, -0.015, -0.008, -1.587]"/>
  </r>
  <r>
    <x v="1875"/>
    <x v="461"/>
    <x v="0"/>
    <s v="[0, 0, 1, 0, 0]"/>
    <s v="LINESTRING (8.693812290338379 58.41650246045209, 8.694263091303744 58.416614970079976, 8.695352023927589 58.41696118271059, 8.69543835340431 58.416994716160296, 8.699095647682531 58.41761137083181, 8.699213724223082 58.41754396021934)"/>
    <s v="[1398228, 1751327, 1751328, 1751339, 1751347]"/>
    <s v="[1280438, 1551520, 1551521, 1551529, 633563]"/>
    <s v="#FIELD!"/>
    <s v="[1280437, 1280438, 1551520, 1551521, 1551529]"/>
    <s v="[0.151, 0.177, 0.039, 0.009, 1.004]"/>
    <s v="379.67072976763825"/>
    <s v="[-0.151, -0.177, -0.039, 0.009, -1.004]"/>
  </r>
  <r>
    <x v="1876"/>
    <x v="2461"/>
    <x v="0"/>
    <n v="0"/>
    <m/>
    <n v="1407810"/>
    <n v="634065"/>
    <s v="0.005"/>
    <n v="634037"/>
    <s v="0.005"/>
    <s v="210.31114950533538"/>
    <s v="0.005"/>
  </r>
  <r>
    <x v="1877"/>
    <x v="2462"/>
    <x v="0"/>
    <n v="0"/>
    <s v="LINESTRING (13.158532503118561 64.927484599085, 13.15856823360997 64.92761345805924, 13.158732470637746 64.92775517832217)"/>
    <s v="[2126612, 2126620]"/>
    <s v="[1831017, 634052]"/>
    <s v="#FIELD!"/>
    <s v="[634046, 1831017]"/>
    <s v="[0.438, 0.386]"/>
    <s v="32.54855352955941"/>
    <s v="[0.438, -0.386]"/>
  </r>
  <r>
    <x v="1877"/>
    <x v="2462"/>
    <x v="0"/>
    <n v="0"/>
    <s v="LINESTRING (13.158532503118561 64.927484599085, 13.158674680077388 64.92759725232857, 13.158732470637746 64.92775517832217)"/>
    <s v="[2126628, 2126636]"/>
    <s v="[1831025, 634052]"/>
    <s v="#FIELD!"/>
    <s v="[634046, 1831025]"/>
    <s v="[0.442, 0.378]"/>
    <s v="32.69057029616563"/>
    <s v="[0.442, -0.378]"/>
  </r>
  <r>
    <x v="1877"/>
    <x v="2463"/>
    <x v="194"/>
    <n v="0"/>
    <s v="LINESTRING (12.949163658033704 64.80732800787334, 13.158532503118561 64.927484599085)"/>
    <m/>
    <m/>
    <s v="0.0"/>
    <m/>
    <n v="0"/>
    <s v="17988.19476979319"/>
    <n v="0"/>
  </r>
  <r>
    <x v="1878"/>
    <x v="2464"/>
    <x v="0"/>
    <n v="0"/>
    <s v="LINESTRING (13.158732470637746 64.92775517832217, 13.270200587193695 65.02982159516019)"/>
    <m/>
    <m/>
    <s v="0.0"/>
    <m/>
    <n v="0"/>
    <s v="14367.622670773006"/>
    <n v="0"/>
  </r>
  <r>
    <x v="1879"/>
    <x v="2233"/>
    <x v="0"/>
    <n v="0"/>
    <m/>
    <n v="639512"/>
    <n v="634066"/>
    <s v="0.024"/>
    <n v="634065"/>
    <s v="0.024"/>
    <s v="11.400279382579852"/>
    <s v="0.024"/>
  </r>
  <r>
    <x v="1879"/>
    <x v="2237"/>
    <x v="0"/>
    <n v="0"/>
    <s v="LINESTRING (10.216372750441861 60.17179697454088, 10.216452476342955 60.171889771246505, 10.21722080307573 60.17245884497735, 10.217563855334006 60.17271929364967, 10.218063708114954 60.17310087816643)"/>
    <s v="[2123333, 2123341, 2123349, 2123357]"/>
    <s v="[1829079, 1829083, 1829086, 1291443]"/>
    <s v="0.03350155782199677"/>
    <s v="[634065, 1829079, 1829083, 1829086]"/>
    <s v="[0.019, 0.03, 0.033, 0.051]"/>
    <s v="173.4613799230885"/>
    <s v="[-0.019, 0.03, 0.033, 0.051]"/>
  </r>
  <r>
    <x v="1880"/>
    <x v="2232"/>
    <x v="0"/>
    <n v="0"/>
    <s v="LINESTRING (10.216521477818574 60.17186746808338, 10.21728527687479 60.172437511017776, 10.218142006239152 60.173074008048005, 10.21878494814616 60.173546861984924, 10.218876755795211 60.173611570952964)"/>
    <s v="[639520, 639528, 639536, 639544]"/>
    <s v="[634072, 634079, 634085, 634091]"/>
    <s v="0.025288305949608667"/>
    <s v="[634066, 634072, 634079, 634085]"/>
    <s v="[0.034, 0.026, 0.016, 0.01]"/>
    <s v="234.31805618712517"/>
    <s v="[0.034, 0.026, 0.016, 0.01]"/>
  </r>
  <r>
    <x v="1881"/>
    <x v="2465"/>
    <x v="0"/>
    <n v="0"/>
    <s v="LINESTRING (10.218876755795211 60.173611570952964, 10.219676395138704 60.17416664890826, 10.21981665567029 60.17425845595124, 10.221460171371309 60.17522744320222, 10.222069637610776 60.17554534734674, 10.222191806268539 60.175603621791545, 10.222899517053333 60.17597569367918)"/>
    <s v="[639552, 639560, 639568, 639576, 639584, 639603]"/>
    <s v="[634096, 634100, 634105, 634111, 634117, 634132]"/>
    <s v="#FIELD!"/>
    <s v="[634091, 634096, 634100, 634105, 634111, 634117]"/>
    <s v="[0.005, 0.002, 0.014, 0.015, 0.022, 0.04]"/>
    <s v="346.25665168985296"/>
    <s v="[0.005, -0.002, 0.014, -0.015, -0.022, -0.04]"/>
  </r>
  <r>
    <x v="1882"/>
    <x v="270"/>
    <x v="0"/>
    <s v="[0, 1, 0, 0, 0, 0, 0, 0, 0, 0, 1, 1, 0, 1, 0, 1, 1, 0, 0, 0, 0]"/>
    <s v="LINESTRING (10.222899517053333 60.17597569367918, 10.226474905909852 60.177501695662144, 10.22662957276118 60.17756655336193, 10.228108717355317 60.178200756419315, 10.232815815272433 60.18197992505116, 10.232818562707907 60.18640690530112, 10.232284050404916 60.18757402825583, 10.23206280925648 60.18847720878974, 10.232055045773963 60.18853883111685, 10.232052202003612 60.188579403051584, 10.232029524357152 60.18906281107292, 10.232031946541696 60.189152657333466, 10.23203283095921 60.18921120028829, 10.23319618470547 60.191766459745686, 10.233593953193923 60.1921765510557, 10.236335332529006 60.19387679621885, 10.23770945731561 60.194378220228366, 10.239043022230328 60.19474538922277, 10.246726908698214 60.19640245219525, 10.250583447125067 60.19722391233685, 10.254195391003716 60.19801787343958, 10.259163883322028 60.200513743492074)"/>
    <s v="[1407818, 1407826, 1407834, 1407842, 1407850, 1407858, 1407866, 1407874, 1407882, 1407890, 1407898, 1407906, 1407914, 1407922, 1407930, 1407938, 1407946, 1407954, 1407962, 1407970, 1407978]"/>
    <s v="[1288024, 1288030, 1288036, 1288042, 1288049, 1288053, 1288060, 1288066, 1288073, 1288078, 1288083, 1288089, 1288095, 1288101, 1288107, 1288112, 1288119, 1288124, 1288132, 1288138, 634185]"/>
    <s v="0.005540469452079705"/>
    <s v="[634132, 1288024, 1288030, 1288036, 1288042, 1288049, 1288053, 1288060, 1288066, 1288073, 1288078, 1288083, 1288089, 1288095, 1288101, 1288107, 1288112, 1288119, 1288124, 1288132, 1288138]"/>
    <s v="[0.032, 0.042, 0.01, 0.003, 0.036, 0.024, 0.049, 0.06, 0.052, 0.029, 0.03, 0.031, 0.031, 0.001, 0.015, 0.017, 0.017, 0.016, 0.02, 0.021, 0.048]"/>
    <s v="3784.19908831824"/>
    <s v="[-0.032, -0.042, 0.01, 0.003, 0.036, -0.024, -0.049, -0.06, -0.052, -0.029, -0.03, -0.031, -0.031, 0.001, -0.015, -0.017, -0.017, 0.016, 0.02, 0.021, 0.048]"/>
  </r>
  <r>
    <x v="1882"/>
    <x v="2238"/>
    <x v="0"/>
    <n v="0"/>
    <m/>
    <n v="2123413"/>
    <n v="634132"/>
    <s v="0.06"/>
    <n v="1291336"/>
    <s v="0.06"/>
    <s v="18.14820666061217"/>
    <s v="0.06"/>
  </r>
  <r>
    <x v="1883"/>
    <x v="2466"/>
    <x v="0"/>
    <s v="[0, 0, 1, 0, 0, 0, 0, 0, 0, 0, 0, 0, 0, 0, 0, 0, 0, 1, 0, 0, 0, 0, 0, 0, 0, 0, 0, 0, 0, 0, 0, 0, 0, 0, 0, 0, 0, 0, 0, 0, 0, 0, 0, 0, 0, 0, 0, 0, 0, 0, 0, 0, 0, 0, 1, 0, 0, 0, 0, 0, 0, 0, 0, 1, 1, 0, 0, 0, 0, 0, 0, 0, 0, 0, 0, 0, 1, 0, 0, 0, 0, 0, 0, 0, 0, 0, 0, 0, 0, 0, 1, 0, 0, 0, 0, 0, 0, 0, 0, 0, 0, 0, 0, 0, 0, 0, 0, 0, 0, 0, 0, 0, 0, 0, 0, 0, 0, 0, 0, 0, 0, 0, 1, 0, 0, 0, 0, 0, 0, 0, 0, 0, 0, 0, 0, 0, 0, 0, 0, 0, 0, 0, 0, 0, 0, 0, 0, 0, 0, 0]"/>
    <s v="LINESTRING (10.258527960122613 60.205312238997, 10.257245140525418 60.20680489291278, 10.256945557620236 60.20729241376583, 10.256884093594493 60.207409074917344, 10.2564629559322 60.20853935639436, 10.257796126655776 60.214559726890414, 10.258692371009293 60.21741085503735, 10.258932656832656 60.21887552377423, 10.258927126654104 60.21893973601392, 10.258919644703708 60.21901106503647, 10.258887485329213 60.21923120732864, 10.258721469460273 60.219927496786205, 10.258325123532478 60.220831182355475, 10.258291021551173 60.22089241944605, 10.258265163233313 60.220938669966074, 10.258048788180952 60.22129102782346, 10.251961965852677 60.22517480433454, 10.239760129129989 60.22905174940865, 10.23947039538827 60.229165316184435, 10.236977499114783 60.230140076058234, 10.236180855521138 60.23045211140726, 10.235843663399043 60.23058428255231, 10.235554863456999 60.230697452244954, 10.232157246176163 60.231955773300804, 10.220735693143595 60.233673595298455, 10.207757057162203 60.23721429419995, 10.207246759262178 60.23762198870587, 10.207172511405801 60.23768270685609, 10.2071231899695 60.23772353981824, 10.207090624004316 60.23775087512719, 10.206859561070068 60.23794658933542, 10.206781518097971 60.23801443784833, 10.205238649735318 60.239269823883305, 10.202818363954478 60.24121602556282, 10.199725198961973 60.243700529671685, 10.197292386745142 60.245651633860426, 10.19645379015324 60.24632602650797, 10.19634228244525 60.24641508074262, 10.19486042048133 60.2476084877288, 10.194674793604516 60.24775736722373, 10.192831667175204 60.24959338515059, 10.191963641219445 60.25120377894386, 10.191541873903235 60.25200257373654, 10.190690892836935 60.2539065041453, 10.189883950710492 60.256410011612324, 10.189028471310678 60.25931846529547, 10.188948470211736 60.25999288706534, 10.188796486737246 60.26153082781917, 10.188465381054447 60.26280919741943, 10.186839900508662 60.264301491376834, 10.186435777754353 60.26462339684029, 10.186056038484626 60.264992880510164, 10.185333630172973 60.26647997159386, 10.185240173732966 60.26686975913842, 10.184811828536107 60.268771682024244, 10.184789519862868 60.26886648895865, 10.184688407361229 60.26931320683686, 10.184485425800302 60.27077657868192, 10.184608505834902 60.27131320848762, 10.184632868175578 60.27138178164299, 10.18464892895538 60.27142372457137, 10.184657634233453 60.27144638464551, 10.184734365718674 60.2716187568288, 10.186316469513342 60.27345990978174, 10.186384409068273 60.27352959757536, 10.186444187882692 60.273590875374396, 10.1891504957619 60.27636714774529, 10.190363365915923 60.277615170779654, 10.191775032260498 60.27892287824135, 10.192542093441737 60.279476182558845, 10.192610672356208 60.27952309633647, 10.19262128819318 60.279530353567125, 10.193255038280757 60.27996333987215, 10.193265653085593 60.27997060600157, 10.195445686693665 60.28326162401462, 10.195381558372375 60.283363767420674, 10.195198625291017 60.28362918114253, 10.195137270251358 60.2837057982551, 10.194999388971569 60.28387645447058, 10.193988124611476 60.284798453271044, 10.190457109935812 60.28719467640624, 10.18429729066608 60.29189480115415, 10.182749489172831 60.293192093953145, 10.18113668241758 60.294780896279505, 10.181066047463059 60.2948724984904, 10.180690251095587 60.29536624287898, 10.180538543155638 60.29556488085603, 10.17958956003133 60.296816770175525, 10.179202337296532 60.29732953438157, 10.173524962992124 60.30099623977895, 10.172534650441023 60.30147415388771, 10.17230960247955 60.30158275346354, 10.171148673126503 60.302144829485066, 10.171015999200046 60.302208981739376, 10.169632282061317 60.302874723983486, 10.16908797541378 60.30313921441143, 10.159253950662354 60.30886463994839, 10.159227416431657 60.308882066651904, 10.159092845458494 60.3089705160172, 10.157252948269866 60.31017978504148, 10.155789031581495 60.311140445797705, 10.154641394309474 60.311922047215226, 10.154565396383955 60.3119747354506, 10.154498898328384 60.31202083538158, 10.153831144113976 60.31244280026646, 10.153060823350826 60.31292612167986, 10.151235448757335 60.314114349949406, 10.149729888368052 60.31508773244548, 10.148144408530404 60.315937540641016, 10.147183890889254 60.31637506871448, 10.139143305285975 60.31970984729288, 10.136424435762622 60.32087936112318, 10.134713424520786 60.32194118321288, 10.133883302976237 60.32269788500535, 10.13185584642758 60.324882126190495, 10.128913456728226 60.32789882286676, 10.128787751505314 60.32798838046293, 10.127533564312783 60.328664855262105, 10.127444387293686 60.3287059725525, 10.125569846111956 60.32957702917322, 10.119846774258457 60.331446284204155, 10.118971110397927 60.33161897149853, 10.11859837984306 60.331689213535434, 10.11831910652004 60.331742113649874, 10.111859895065393 60.334701607762526, 10.111693961410404 60.334868856645954, 10.111641462014898 60.334926625880264, 10.110521789473914 60.337026643583634, 10.107461856400898 60.34306699256679, 10.107113086585649 60.34361717555405, 10.106652070389318 60.34434744844647, 10.105777699007541 60.345710887156486, 10.103511132420856 60.349025186163296, 10.103457544180229 60.34914298544902, 10.102214801347484 60.35112742007701, 10.101823313159729 60.35146018549465, 10.101637298377238 60.35160995219822, 10.101090870698446 60.35204168853547, 10.100594767490128 60.352432164606434, 10.099847032187816 60.35302197603269, 10.099591805217788 60.35322499397316, 10.09958214782414 60.35323258955571, 10.099013411293706 60.35367948925701, 10.099003807795054 60.35368708679404, 10.098868906281744 60.35379416418672, 10.098421624899853 60.3541356378195, 10.097893995445292 60.35453030256767, 10.097277618220568 60.35500220753548, 10.097234021219645 60.35503613000954, 10.097178704981921 60.355079154981475, 10.09712954595728 60.35511745976049)"/>
    <s v="[1407986, 1407994, 1408002, 1408010, 1408019, 1408027, 1408035, 1408043, 1408051, 1408059, 1408067, 1408075, 1408083, 1408091, 1408099, 1408107, 1408115, 1408123, 1408131, 1408139, 1408147, 1408155, 1408163, 1408171, 1408179, 1408187, 1408195, 1408203, 1408211, 1408219, 1408227, 1408236, 1408244, 1408252, 1408260, 1408268, 1408276, 1408284, 1408292, 1408300, 1408308, 1408316, 1408324, 1408332, 1408340, 1408348, 1408356, 1408364, 1408372, 1408380, 1408388, 1408396, 1408404, 1408412, 1408420, 1408428, 1408436, 1408444, 1408452, 1408460, 1408468, 1408476, 1408484, 1408492, 1408500, 1408508, 1408516, 1408524, 1408532, 1408540, 1408548, 1408556, 1408564, 1408572, 1408580, 1408588, 1408596, 1408604, 1408612, 1408620, 1408628, 1408636, 1408644, 1408652, 1408660, 1408668, 1408676, 1408684, 1408692, 1408700, 1408708, 1408716, 1408724, 1090990, 1090998, 1091006, 1091014, 1091022, 1091030, 1091038, 1091046, 1091054, 1091062, 1091070, 1091078, 1091086, 1091094, 1091102, 1091110, 1091118, 1091126, 1091135, 1091143, 1091151, 1091159, 1091167, 1091175, 1091183, 1091191, 1091199, 1091209, 1091217, 1091225, 1091233, 1091241, 1091249, 1091257, 1091265, 1091280, 1091288, 1091296, 1091304, 1091312, 1091320, 1091328, 1091336, 1091344, 1091359, 1091367, 1091375, 1091383, 1091391, 1091399, 1091407, 1091415, 1091423, 1091431, 1091439, 1091447, 1091455]"/>
    <s v="[1288146, 1288153, 1288160, 1288169, 1287841, 1288185, 1288194, 1288203, 1288211, 1288220, 1288231, 353053, 1288242, 353045, 1288256, 1288262, 1288268, 1288274, 1288282, 1288289, 1288297, 1288306, 1288314, 1288321, 1288327, 1288334, 1288339, 926064, 1288351, 1288360, 1288367, 1288373, 1288378, 1288387, 1288394, 1288400, 1288405, 1288413, 1060733, 1288423, 1288427, 1288434, 1288440, 1288446, 1288454, 1288461, 1288465, 1288473, 1288481, 1079709, 1288491, 1288498, 1079676, 1288507, 1288513, 1288517, 1288523, 1288531, 1288535, 1288540, 1288543, 1288549, 1288554, 1288562, 1288569, 1288574, 1288581, 1288588, 1288594, 1288603, 1288610, 1288618, 1288624, 1288629, 1090939, 1288644, 1288653, 1091107, 356007, 1288671, 1288677, 1288685, 1288690, 1288694, 1288696, 1288701, 1288706, 1288713, 1091278, 1288721, 1288726, 1288731, 1034778, 1034779, 1034783, 1034789, 1034796, 1034801, 1034807, 1034814, 1034821, 1034829, 1034838, 1034845, 1034849, 1034856, 1034861, 1034869, 1034873, 1034879, 1034885, 1034892, 1034897, 1034903, 1034911, 1034918, 1034925, 1034931, 1034936, 1034943, 213162, 1034962, 1034969, 1034976, 1034983, 1034991, 213264, 213363, 1035017, 1035024, 1035033, 1035041, 1035048, 1035055, 1035062, 213577, 1035077, 213696, 1035099, 1035105, 1035112, 1035119, 1035126, 1035134, 1035142, 1035149, 1035156, 1035163, 1035171, 1035179]"/>
    <s v="0.0001295298512100753"/>
    <s v="[634214, 1288146, 1288153, 1288160, 1288169, 1287841, 1288185, 1288194, 1288203, 1288211, 1288220, 1288231, 353053, 1288242, 353045, 1288256, 1288262, 1288268, 1288274, 1288282, 1288289, 1288297, 1288306, 1288314, 1288321, 1288327, 1288334, 1288339, 926064, 1288351, 1288360, 1288367, 1288373, 1288378, 1288387, 1288394, 1288400, 1288405, 1288413, 1060733, 1288423, 1288427, 1288434, 1288440, 1288446, 1288454, 1288461, 1288465, 1288473, 1288481, 1079709, 1288491, 1288498, 1079676, 1288507, 1288513, 1288517, 1288523, 1288531, 1288535, 1288540, 1288543, 1288549, 1288554, 1288562, 1288569, 1288574, 1288581, 1288588, 1288594, 1288603, 1288610, 1288618, 1288624, 1288629, 1090939, 1288644, 1288653, 1091107, 356007, 1288671, 1288677, 1288685, 1288690, 1288694, 1288696, 1288701, 1288706, 1288713, 1091278, 1288721, 1288726, 1288731, 1034778, 1034779, 1034783, 1034789, 1034796, 1034801, 1034807, 1034814, 1034821, 1034829, 1034838, 1034845, 1034849, 1034856, 1034861, 1034869, 1034873, 1034879, 1034885, 1034892, 1034897, 1034903, 1034911, 1034918, 1034925, 1034931, 1034936, 1034943, 213162, 1034962, 1034969, 1034976, 1034983, 1034991, 213264, 213363, 1035017, 1035024, 1035033, 1035041, 1035048, 1035055, 1035062, 213577, 1035077, 213696, 1035099, 1035105, 1035112, 1035119, 1035126, 1035134, 1035142, 1035149, 1035156, 1035163, 1035171]"/>
    <s v="[0.001, 0.033, 0.042, 0.021, 0.018, 0.035, 0.036, 0.013, 0.015, 0.015, 0.016, 0.016, 0.016, 0.016, 0.016, 0.019, 0.012, 0.015, 0.012, 0.015, 0.022, 0.025, 0.016, 0.034, 0.017, 0.046, 0.062, 0.06, 0.052, 0.064, 0.072, 0.042, 0.017, 0.026, 0.027, 0.028, 0.004, 0.036, 0.037, 0.005, 0.033, 0.028, 0.017, 0.023, 0.002, 0.017, 0.015, 0.018, 0.003, 0.022, 0.021, 0.053, 0.087, 0.056, 0.017, 0.016, 0.019, 0.008, 0.002, 0.001, 0.003, 0.002, 0.006, 0.013, 0.014, 0.0, 0.01, 0.018, 0.004, 0.005, 0.04, 0.037, 0.051, 0.006, 0.044, 0.037, 0.053, 0.048, 0.024, 0.006, 0.006, 0.018, 0.011, 0.01, 0.006, 0.001, 0.02, 0.02, 0.014, 0.031, 0.034, 0.007, 0.055, 0.005, 0.029, 0.024, 0.113, 0.115, 0.063, 0.005, 0.005, 0.01, 0.012, 0.022, 0.016, 0.002, 0.021, 0.015, 0.007, 0.047, 0.025, 0.001, 0.0, 0.009, 0.022, 0.015, 0.068, 0.058, 0.11, 0.064, 0.026, 0.067, 0.046, 0.035, 0.036, 0.035, 0.032, 0.008, 0.028, 0.012, 0.006, 0.041, 0.014, 0.002, 0.004, 0.015, 0.014, 0.012, 0.009, 0.007, 0.009, 0.007, 0.022, 0.017, 0.022, 0.027, 0.034, 0.044, 0.036, 0.041]"/>
    <s v="20755.956773575515"/>
    <s v="[0.001, 0.033, 0.042, 0.021, 0.018, 0.035, 0.036, 0.013, 0.015, 0.015, 0.016, 0.016, 0.016, 0.016, 0.016, 0.019, -0.012, 0.015, -0.012, 0.015, 0.022, 0.025, 0.016, -0.034, 0.017, -0.046, -0.062, -0.06, -0.052, -0.064, -0.072, 0.042, -0.017, -0.026, -0.027, -0.028, 0.004, 0.036, 0.037, -0.005, 0.033, 0.028, -0.017, -0.023, 0.002, 0.017, -0.015, -0.018, 0.003, 0.022, 0.021, -0.053, -0.087, -0.056, 0.017, 0.016, 0.019, 0.008, 0.002, 0.001, 0.003, 0.002, 0.006, 0.013, 0.014, 0.0, -0.01, -0.018, -0.004, -0.005, 0.04, 0.037, 0.051, 0.006, -0.044, 0.037, 0.053, 0.048, 0.024, -0.006, -0.006, -0.018, 0.011, 0.01, 0.006, 0.001, -0.02, -0.02, 0.014, -0.031, -0.034, -0.007, -0.055, 0.005, 0.029, 0.024, 0.113, 0.115, 0.063, -0.005, 0.005, 0.01, 0.012, 0.022, 0.016, 0.002, 0.021, 0.015, -0.007, -0.047, -0.025, -0.001, -0.0, -0.009, 0.022, -0.015, -0.068, 0.058, 0.11, -0.064, -0.026, -0.067, -0.046, 0.035, 0.036, 0.035, 0.032, 0.008, -0.028, -0.012, 0.006, -0.041, -0.014, -0.002, 0.004, 0.015, 0.014, 0.012, 0.009, 0.007, 0.009, -0.007, -0.022, -0.017, -0.022, -0.027, -0.034, -0.044, -0.036, -0.041]"/>
  </r>
  <r>
    <x v="1884"/>
    <x v="2257"/>
    <x v="0"/>
    <n v="0"/>
    <s v="LINESTRING (11.490695070328874 64.01900910826147, 11.49058886893349 64.01899036822802, 11.49047934050487 64.01893291477984, 11.49047447185973 64.01882498436024, 11.490537164716626 64.01878247693786)"/>
    <s v="[639733, 639735, 639761, 639768]"/>
    <s v="[634226, 634228, 634251, 634258]"/>
    <s v="0.04363728161467064"/>
    <s v="[634220, 634226, 634228, 634251]"/>
    <s v="[0.011, 0.02, 0.149, 0.038]"/>
    <s v="31.907331206174963"/>
    <s v="[-0.011, -0.02, 0.149, -0.038]"/>
  </r>
  <r>
    <x v="1885"/>
    <x v="142"/>
    <x v="0"/>
    <s v="[0, 0, 0, 0, 0, 1, 0, 0, 0, 0, 0, 0]"/>
    <s v="LINESTRING (10.285037027935308 60.08007884579868, 10.285055486450878 60.08011315342845, 10.285101670643556 60.08019891034926, 10.285213560233958 60.08040649661764, 10.285499149437422 60.08090935968398, 10.285556504341729 60.08101369315962, 10.285641856829617 60.08116897276456, 10.28639198757173 60.08358364733675, 10.286398819380556 60.083773755600596, 10.286330152485515 60.08493018796127, 10.286317355900474 60.08508431910709, 10.286310699525398 60.085194776443835, 10.286379427616703 60.08627531672462)"/>
    <s v="[1431716, 1431724, 1431732, 1431740, 1431748, 1431756, 1431764, 1431772, 1431780, 1431788, 1431796, 1431804]"/>
    <s v="[1303412, 1303420, 1303425, 1303433, 1303441, 1303449, 1303456, 1303461, 1303466, 1303470, 1303478, 1303484]"/>
    <s v="0.03798907298683878"/>
    <s v="[634285, 1303412, 1303420, 1303425, 1303433, 1303441, 1303449, 1303456, 1303461, 1303466, 1303470, 1303478]"/>
    <s v="[0.027, 0.037, 0.031, 0.024, 0.018, 0.022, 0.038, 0.051, 0.048, 0.041, 0.043, 0.037]"/>
    <s v="699.4850564850564"/>
    <s v="[0.027, 0.037, 0.031, 0.024, 0.018, 0.022, 0.038, 0.051, 0.048, 0.041, 0.043, 0.037]"/>
  </r>
  <r>
    <x v="1886"/>
    <x v="2262"/>
    <x v="0"/>
    <n v="0"/>
    <s v="LINESTRING (11.490523346422314 64.02115761522363, 11.490506977763758 64.02112487561286, 11.490515437563195 64.02107386916869, 11.490592415156298 64.02101553516296, 11.490761080909541 64.02097738690829)"/>
    <s v="[639840, 639848, 639856, 639864]"/>
    <s v="[634309, 634316, 634321, 634328]"/>
    <s v="#FIELD!"/>
    <s v="[634304, 634309, 634316, 634321]"/>
    <s v="[0.042, 0.04, 0.042, 0.045]"/>
    <s v="26.2289766680046"/>
    <s v="[-0.042, -0.04, -0.042, -0.045]"/>
  </r>
  <r>
    <x v="1887"/>
    <x v="2467"/>
    <x v="195"/>
    <n v="0"/>
    <s v="LINESTRING (5.405345250556236 59.74148960502257, 5.403355851323598 59.7417847132733, 5.403197524233747 59.74180079390833)"/>
    <s v="[643323, 643331]"/>
    <s v="[636875, 636884]"/>
    <s v="#FIELD!"/>
    <s v="[636874, 636875]"/>
    <s v="[0.004, 0.002]"/>
    <s v="138.25402568622175"/>
    <s v="[-0.004, -0.002]"/>
  </r>
  <r>
    <x v="1887"/>
    <x v="2468"/>
    <x v="0"/>
    <s v="[0, 0, 1, 1, 0]"/>
    <s v="LINESTRING (5.405345250556236 59.74148960502257, 5.406933310830126 59.74099372467086, 5.4069405023125965 59.74070127130641, 5.406922522824951 59.740677339644215, 5.406352521156084 59.74034958494757, 5.405048415849705 59.74025469160639)"/>
    <s v="[643427, 2001118, 2001135, 2001143, 2001154]"/>
    <s v="[636961, 1753933, 636866, 1753944, 1753950]"/>
    <s v="0.043125567874763196"/>
    <s v="[636874, 636961, 1753933, 636866, 1753944]"/>
    <s v="[0.063, 0.117, 0.026, 0.01, 0.019]"/>
    <s v="270.4623663540935"/>
    <s v="[0.063, 0.117, -0.026, -0.01, 0.019]"/>
  </r>
  <r>
    <x v="1887"/>
    <x v="2469"/>
    <x v="0"/>
    <n v="0"/>
    <s v="LINESTRING (5.406645429486435 59.74052464344791, 5.406601930937167 59.7406353397129, 5.406454577597795 59.740691052985376, 5.405110834254129 59.741242823554664, 5.405345250556236 59.74148960502257)"/>
    <s v="[643395, 643403, 643411, 643419]"/>
    <s v="[636938, 636945, 636952, 636874]"/>
    <s v="#FIELD!"/>
    <s v="[636937, 636938, 636945, 636952]"/>
    <s v="[0.037, 0.071, 0.056, 0.001]"/>
    <s v="155.19760266590401"/>
    <s v="[-0.037, -0.071, -0.056, 0.001]"/>
  </r>
  <r>
    <x v="1888"/>
    <x v="2470"/>
    <x v="0"/>
    <s v="[1, 1, 1, 1, 0, 0, 0, 0, 0, 0, 0, 0, 1, 0, 1, 0]"/>
    <s v="LINESTRING (5.403197524233747 59.74180079390833, 5.402427238047427 59.74223955028561, 5.401618157403876 59.74305433494757, 5.40310085933003 59.74805584889429, 5.404477083402773 59.7510319007723, 5.404676509678065 59.751467899102, 5.404686990798464 59.751490817182855, 5.404688579195642 59.75149430718238, 5.404696865636347 59.75151242459855, 5.405229487802734 59.75265875903835, 5.405231685587319 59.75266348757314, 5.405245731034506 59.752693721564675, 5.405310699044057 59.7528376766805, 5.405507506140615 59.75326235730207, 5.405892656674791 59.75409140740638, 5.406030862209235 59.75440496512812, 5.406278980702067 59.75491596643787)"/>
    <s v="[2060607, 2060615, 2060623, 2060631, 2060639, 2060647, 2060655, 2060663, 2060671, 2060679, 2060687, 2060695, 2060703, 2060711, 2060719, 2060727]"/>
    <s v="[1791467, 1791472, 1791478, 1791483, 1791490, 1791496, 1791501, 1791507, 1791513, 1791519, 1791525, 1791532, 1791538, 1791543, 1791549, 1633182]"/>
    <s v="0.019451170048101304"/>
    <s v="[636884, 1791467, 1791472, 1791478, 1791483, 1791490, 1791496, 1791501, 1791507, 1791513, 1791519, 1791525, 1791532, 1791538, 1791543, 1791549]"/>
    <s v="[0.032, 0.037, 0.0, 0.063, 0.036, 0.022, 0.0, 0.028, 0.012, 0.0, 0.02, 0.037, 0.037, 0.063, 0.066, 0.066]"/>
    <s v="1526.700380356131"/>
    <s v="[0.032, -0.037, 0.0, 0.063, 0.036, -0.022, 0.0, -0.028, -0.012, 0.0, -0.02, -0.037, -0.037, 0.063, 0.066, 0.066]"/>
  </r>
  <r>
    <x v="1888"/>
    <x v="2471"/>
    <x v="0"/>
    <n v="0"/>
    <s v="LINESTRING (5.403905894300244 59.74081309725109, 5.40403185326235 59.7409046710651, 5.403237872942998 59.74173006996689, 5.403197524233747 59.74180079390833)"/>
    <s v="[643371, 643379, 643387]"/>
    <s v="[636919, 636926, 636884]"/>
    <s v="#FIELD!"/>
    <s v="[636918, 636919, 636926]"/>
    <s v="[0.007, 0.006, 0.008]"/>
    <s v="138.9219341996858"/>
    <s v="[-0.007, -0.006, -0.008]"/>
  </r>
  <r>
    <x v="1888"/>
    <x v="2469"/>
    <x v="196"/>
    <n v="0"/>
    <s v="LINESTRING (5.406645429486435 59.74052464344791, 5.406523832164246 59.74056928758425, 5.406075155942204 59.74073142677245, 5.406060764562533 59.74073665084195, 5.4059256220168255 59.74078563144191, 5.4050513621184395 59.74110099082466, 5.40484978997255 59.74117294391343, 5.404339751465881 59.741356896590254, 5.404223215113447 59.74139820440503, 5.403975592057971 59.7414859686181, 5.403197524233747 59.74180079390833)"/>
    <s v="[2060529, 2060537, 2060545, 2060551, 2060559, 2060567, 2060575, 2060583, 2060591, 2060599]"/>
    <s v="[1791416, 1791426, 1791434, 1791438, 1791442, 1791447, 1791452, 1791456, 1791461, 636884]"/>
    <s v="#FIELD!"/>
    <s v="[636937, 1791416, 1791426, 1791434, 1791438, 1791442, 1791447, 1791452, 1791456, 1791461]"/>
    <s v="[0.392, 0.01, 0.005, 0.003, 0.013, 0.029, 0.022, 0.018, 0.014, 0.234]"/>
    <s v="241.25993233195254"/>
    <s v="[0.392, 0.01, -0.005, -0.003, 0.013, 0.029, 0.022, 0.018, 0.014, -0.234]"/>
  </r>
  <r>
    <x v="1889"/>
    <x v="2472"/>
    <x v="197"/>
    <n v="0"/>
    <s v="LINESTRING (5.404158753689312 59.74086790732507, 5.407198365562724 59.740253462412134, 5.408111730114036 59.739885784608376, 5.408299030245358 59.73985098995917)"/>
    <s v="[643347, 643355, 643363]"/>
    <s v="[636896, 636903, 636911]"/>
    <s v="0.05533527501069589"/>
    <s v="[636895, 636896, 636903]"/>
    <s v="[0.045, 0.082, 0.095]"/>
    <s v="290.40878116174383"/>
    <s v="[0.045, 0.082, 0.095]"/>
  </r>
  <r>
    <x v="1889"/>
    <x v="2468"/>
    <x v="0"/>
    <n v="0"/>
    <s v="LINESTRING (5.404158753689312 59.74086790732507, 5.404275664729496 59.740922642993, 5.4046670872172795 59.740850216173335, 5.405082583333213 59.7403427992908, 5.405048415849705 59.74025469160639)"/>
    <s v="[2001194, 2001208, 2001209, 2001216]"/>
    <s v="[1753972, 1753982, 1753983, 1753950]"/>
    <s v="0.09994435909637886"/>
    <s v="[636895, 1753972, 1753982, 1753983]"/>
    <s v="[1.211, 0.017, 0.011, 0.025]"/>
    <s v="114.6823552598136"/>
    <s v="[1.211, -0.017, 0.011, 0.025]"/>
  </r>
  <r>
    <x v="1889"/>
    <x v="2473"/>
    <x v="0"/>
    <n v="0"/>
    <s v="LINESTRING (5.404101020744429 59.74075785170424, 5.404134943268548 59.74082636417684, 5.404158753689312 59.74086790732507)"/>
    <s v="[2001163, 2001186]"/>
    <s v="[1753954, 636895]"/>
    <s v="#FIELD!"/>
    <s v="[1753953, 1753954]"/>
    <s v="[0.014, 2.32]"/>
    <s v="12.725619798554941"/>
    <s v="[-0.014, -2.32]"/>
  </r>
  <r>
    <x v="1890"/>
    <x v="2469"/>
    <x v="0"/>
    <n v="0"/>
    <s v="LINESTRING (5.408299030245358 59.73985098995917, 5.4081535823413205 59.739913518730845, 5.408150571263397 59.73991482507918, 5.407403920168566 59.74023082007812, 5.406920748191164 59.740420595292655, 5.406906596748619 59.7404259818069, 5.406885394606409 59.740434067941045, 5.406645429486435 59.74052464344791)"/>
    <s v="[2060473, 2060481, 2060489, 2060497, 2060505, 2060513, 2060521]"/>
    <s v="[1791380, 1791386, 1791390, 1791395, 1791399, 1791405, 636937]"/>
    <s v="#FIELD!"/>
    <s v="[636911, 1791380, 1791386, 1791390, 1791395, 1791399, 1791405]"/>
    <s v="[0.065, 0.0, 0.071, 0.054, 0.056, 0.051, 0.259]"/>
    <s v="119.908406242799"/>
    <s v="[0.065, 0.0, -0.071, -0.054, -0.056, -0.051, -0.259]"/>
  </r>
  <r>
    <x v="1890"/>
    <x v="2474"/>
    <x v="0"/>
    <n v="0"/>
    <s v="LINESTRING (5.481316023012715 59.67966071112275, 5.481994052398395 59.680243636724235, 5.482001971164707 59.68025163941736, 5.4823811291486155 59.680725101700354, 5.4824169120150295 59.680783931821715, 5.482421893439978 59.68079251515978, 5.482699412751453 59.68139911527322, 5.482489142175804 59.683213862146964, 5.482472280602522 59.68326096428443, 5.461690448348911 59.70780652072789, 5.458484194178413 59.70985375620267, 5.454048537635098 59.71268405671427, 5.4539585998082964 59.71274165676537, 5.45335296878601 59.71312943198031, 5.449965382659927 59.71529230861999, 5.424888529176279 59.730969450795335, 5.424294148937885 59.73121836447642, 5.420445462415402 59.73253387456003, 5.408299030245358 59.73985098995917)"/>
    <s v="[2060329, 2060337, 2060345, 2060353, 2060361, 2060369, 2060377, 2060385, 2060393, 2060401, 2060409, 2060417, 2060425, 2060433, 2060441, 2060449, 2060457, 2060465]"/>
    <s v="[1791250, 1791255, 1791263, 1791269, 1791278, 1791285, 1791293, 1791301, 1791309, 1791315, 1791323, 1791331, 1791336, 1791346, 1791356, 1791362, 1791370, 636911]"/>
    <s v="#FIELD!"/>
    <s v="[1753932, 1791250, 1791255, 1791263, 1791269, 1791278, 1791285, 1791293, 1791301, 1791309, 1791315, 1791323, 1791331, 1791336, 1791346, 1791356, 1791362, 1791370]"/>
    <s v="[0.01, 0.005, 0.03, 0.058, 0.005, 0.055, 0.003, 0.049, 0.016, 0.002, 0.009, 0.009, 0.026, 0.005, 0.003, 0.0, 0.0, 0.017]"/>
    <s v="8295.886297949004"/>
    <s v="[-0.01, 0.005, 0.03, 0.058, 0.005, 0.055, -0.003, 0.049, -0.016, -0.002, -0.009, -0.009, -0.026, -0.005, 0.003, 0.0, 0.0, 0.017]"/>
  </r>
  <r>
    <x v="1891"/>
    <x v="2475"/>
    <x v="0"/>
    <n v="0"/>
    <s v="LINESTRING (5.403905894300244 59.74081309725109, 5.40372319693992 59.74076345872615, 5.403687343247443 59.74068304818393, 5.403774446582365 59.74061170156171, 5.403962483446627 59.740592104595024)"/>
    <s v="[2007832, 2007840, 2007848, 2007856]"/>
    <s v="[1755677, 1757632, 1757637, 1757641]"/>
    <s v="0.18933718885043016"/>
    <s v="[636918, 1755677, 1757632, 1757637]"/>
    <s v="[0.692, 0.031, 0.021, 0.003]"/>
    <s v="41.75497923350957"/>
    <s v="[0.692, -0.031, -0.021, 0.003]"/>
  </r>
  <r>
    <x v="1891"/>
    <x v="2473"/>
    <x v="0"/>
    <n v="0"/>
    <m/>
    <n v="2007824"/>
    <n v="636918"/>
    <s v="#FIELD!"/>
    <n v="1753953"/>
    <s v="0.862"/>
    <s v="13.080443546351908"/>
    <s v="#FIELD!"/>
  </r>
  <r>
    <x v="1892"/>
    <x v="2476"/>
    <x v="0"/>
    <n v="0"/>
    <s v="LINESTRING (10.743316208557028 59.90520010919875, 10.743349315110127 59.90524083364157, 10.743551392744877 59.905373613814014, 10.744401406110896 59.90616666020025, 10.746948633690465 59.90650149140524, 10.74726189539195 59.90651557101563)"/>
    <s v="[645911, 645919, 1151053, 1151069, 1151077]"/>
    <s v="[638910, 638915, 1086204, 1086225, 1086235]"/>
    <s v="#FIELD!"/>
    <s v="[638909, 638910, 638915, 1086204, 1086225]"/>
    <s v="[0.002, 0.001, 0.011, 0.001, 0.001]"/>
    <s v="294.8805428754179"/>
    <s v="[0.002, -0.001, -0.011, -0.001, -0.001]"/>
  </r>
  <r>
    <x v="1892"/>
    <x v="2477"/>
    <x v="0"/>
    <n v="0"/>
    <s v="LINESTRING (10.743316208557028 59.90520010919875, 10.743055556151393 59.90514916504973, 10.743035607216045 59.905120033892494)"/>
    <s v="[755617, 755625]"/>
    <s v="[736310, 736316]"/>
    <s v="#FIELD!"/>
    <s v="[638909, 736310]"/>
    <s v="[0.001, 0.0]"/>
    <s v="19.941573755747694"/>
    <s v="[-0.001, 0.0]"/>
  </r>
  <r>
    <x v="1892"/>
    <x v="2478"/>
    <x v="0"/>
    <n v="0"/>
    <m/>
    <n v="755609"/>
    <n v="638909"/>
    <s v="0.016"/>
    <n v="736303"/>
    <s v="0.016"/>
    <s v="11.321620002820719"/>
    <s v="0.016"/>
  </r>
  <r>
    <x v="1893"/>
    <x v="2479"/>
    <x v="0"/>
    <n v="0"/>
    <m/>
    <n v="1380577"/>
    <n v="1270193"/>
    <s v="0.025"/>
    <n v="640084"/>
    <s v="0.025"/>
    <s v="9.033184222585728"/>
    <s v="0.025"/>
  </r>
  <r>
    <x v="1893"/>
    <x v="2480"/>
    <x v="0"/>
    <n v="0"/>
    <s v="LINESTRING (10.799849018151843 59.91244129221011, 10.799940708204014 59.91239659044869, 10.800735521679519 59.91226234316761, 10.800787208843397 59.91222713634235)"/>
    <s v="[647231, 647239, 647247]"/>
    <s v="[640085, 640089, 640093]"/>
    <s v="0.012759086620983113"/>
    <s v="[640084, 640085, 640089]"/>
    <s v="[0.004, 0.015, 0.004]"/>
    <s v="59.03300991009695"/>
    <s v="[0.004, 0.015, 0.004]"/>
  </r>
  <r>
    <x v="1893"/>
    <x v="2481"/>
    <x v="0"/>
    <n v="0"/>
    <m/>
    <n v="1380569"/>
    <n v="640084"/>
    <s v="0.012"/>
    <n v="1270177"/>
    <s v="0.012"/>
    <s v="9.658242093800208"/>
    <s v="0.012"/>
  </r>
  <r>
    <x v="1894"/>
    <x v="2482"/>
    <x v="0"/>
    <n v="0"/>
    <s v="LINESTRING (10.800787208843397 59.91222713634235, 10.801608124686732 59.91221091065135, 10.801848850702056 59.91222029707603, 10.803583428847839 59.91245705540363, 10.803905245927956 59.912446634697034)"/>
    <s v="[1380377, 1380385, 1380393, 770375]"/>
    <s v="[1270112, 1270117, 749786, 749787]"/>
    <s v="0.014061116658652796"/>
    <s v="[640093, 1270112, 1270117, 749786]"/>
    <s v="[0.022, 0.023, 0.005, 0.038]"/>
    <s v="179.15908644449974"/>
    <s v="[0.022, 0.023, 0.005, 0.038]"/>
  </r>
  <r>
    <x v="1894"/>
    <x v="2483"/>
    <x v="0"/>
    <n v="0"/>
    <s v="LINESTRING (10.798476868041371 59.91225369142196, 10.798705287072451 59.91230259470117, 10.800787208843397 59.91222713634235)"/>
    <s v="[1380361, 1380369]"/>
    <s v="[1270106, 640093]"/>
    <s v="0.023139955188598738"/>
    <s v="[1270102, 1270106]"/>
    <s v="[0.033, 0.022]"/>
    <s v="134.09232040990392"/>
    <s v="[0.033, 0.022]"/>
  </r>
  <r>
    <x v="1895"/>
    <x v="2484"/>
    <x v="0"/>
    <n v="0"/>
    <s v="LINESTRING (8.029349518243711 58.16442174935619, 8.029197807077331 58.16434340119283, 8.027453949074555 58.1632962143804, 8.026570011150246 58.16290083527568, 8.026340411952535 58.16282305407864, 8.025182068313704 58.16251198310406, 8.024341994855227 58.16233750141275, 8.023433586047766 58.16215332066381, 8.023060727035768 58.16207245609417, 8.02096451007319 58.16164786225343)"/>
    <s v="[1338328, 1338336, 1338344, 1338352, 1338360, 1338368, 1338376, 1338384, 1338392]"/>
    <s v="[1242035, 1242040, 1242044, 1242048, 1242051, 1242055, 1242060, 1242066, 1242074]"/>
    <s v="#FIELD!"/>
    <s v="[642730, 1242035, 1242040, 1242044, 1242048, 1242051, 1242055, 1242060, 1242066]"/>
    <s v="[0.193, 0.006, 0.016, 0.035, 0.058, 0.073, 0.06, 0.049, 0.023]"/>
    <s v="596.1766063676052"/>
    <s v="[-0.193, -0.006, -0.016, -0.035, -0.058, -0.073, -0.06, -0.049, -0.023]"/>
  </r>
  <r>
    <x v="1895"/>
    <x v="2485"/>
    <x v="0"/>
    <n v="0"/>
    <s v="LINESTRING (8.037739636199616 58.16537207952233, 8.034857483149862 58.165570174041896, 8.034407559882839 58.16554069227516, 8.033810575383285 58.16546659073079, 8.033551118036705 58.16542493516117, 8.030696717655916 58.164882535050594, 8.030681088443375 58.16487893775681, 8.029349518243711 58.16442174935619)"/>
    <s v="[1338264, 1338272, 1338280, 1338288, 1338296, 1338304, 1338320]"/>
    <s v="[1241981, 1241986, 1241994, 1242000, 1242008, 1242014, 642730]"/>
    <s v="#FIELD!"/>
    <s v="[1098477, 1241981, 1241986, 1241994, 1242000, 1242008, 1242014]"/>
    <s v="[0.025, 0.049, 0.048, 0.036, 0.029, 0.023, 0.006]"/>
    <s v="524.5896251626351"/>
    <s v="[0.025, -0.049, -0.048, -0.036, -0.029, -0.023, -0.006]"/>
  </r>
  <r>
    <x v="1895"/>
    <x v="2486"/>
    <x v="0"/>
    <n v="0"/>
    <s v="LINESTRING (8.033503515809173 58.16579963753948, 8.033503515809173 58.16579963753948, 8.033435473314077 58.16580233899728, 8.031249262316084 58.16513177712386, 8.029571101811909 58.164562778441756, 8.029505557682267 58.16452007028515, 8.029349518243711 58.16442174935619)"/>
    <s v="[1622429, 1622437, 1173724, 1173732, 650372, 650380]"/>
    <s v="[1120238, 1106029, 642710, 642724, 642725, 642730]"/>
    <s v="#FIELD!"/>
    <s v="[1105372, 1120238, 1106029, 642710, 642724, 642725]"/>
    <s v="[0.0, 1.055, 0.007, 0.019, 0.009, 0.011]"/>
    <s v="308.35939263485295"/>
    <s v="[0.0, -1.055, 0.007, -0.019, -0.009, -0.011]"/>
  </r>
  <r>
    <x v="1896"/>
    <x v="2487"/>
    <x v="0"/>
    <n v="0"/>
    <m/>
    <n v="650646"/>
    <n v="642953"/>
    <s v="#FIELD!"/>
    <n v="642952"/>
    <s v="0.009"/>
    <s v="529.4411772448277"/>
    <s v="#FIELD!"/>
  </r>
  <r>
    <x v="1896"/>
    <x v="2488"/>
    <x v="0"/>
    <n v="0"/>
    <s v="LINESTRING (10.074501076956293 59.74342534909276, 10.069527220557976 59.74479468256269, 10.048102815855207 59.74692440764153, 10.039560885321027 59.74640614625423)"/>
    <s v="[2094605, 2094628, 2094629]"/>
    <s v="[1812269, 1812284, 642952]"/>
    <s v="#FIELD!"/>
    <s v="[642988, 1812269, 1812284]"/>
    <s v="[0.012, 0.012, 0.152]"/>
    <s v="2051.4066131519403"/>
    <s v="[0.012, 0.012, -0.152]"/>
  </r>
  <r>
    <x v="1897"/>
    <x v="2489"/>
    <x v="0"/>
    <n v="0"/>
    <m/>
    <n v="1719597"/>
    <n v="1532406"/>
    <s v="0.007"/>
    <n v="642953"/>
    <s v="0.007"/>
    <s v="59.435007692153874"/>
    <s v="0.007"/>
  </r>
  <r>
    <x v="1897"/>
    <x v="2490"/>
    <x v="0"/>
    <n v="0"/>
    <s v="LINESTRING (10.032180548456846 59.749184900369016, 10.031556666440586 59.74961026394284, 10.031275022955322 59.74978103669809, 10.030621389606914 59.75017711939552)"/>
    <s v="[1416725, 1416733, 1416741]"/>
    <s v="[1294158, 1294161, 1265436]"/>
    <s v="0.0008574404172992708"/>
    <s v="[642953, 1294158, 1294161]"/>
    <s v="[0.001, 0.005, 0.001]"/>
    <s v="141.86754235472017"/>
    <s v="[-0.001, 0.005, 0.001]"/>
  </r>
  <r>
    <x v="1898"/>
    <x v="2488"/>
    <x v="0"/>
    <n v="0"/>
    <s v="LINESTRING (10.150491947130517 59.739186477234455, 10.150254256607642 59.73925760031458, 10.107212555281896 59.74370075900224, 10.074501076956293 59.74342534909276)"/>
    <s v="[650654, 650662, 650670]"/>
    <s v="[642971, 642978, 642988]"/>
    <s v="#FIELD!"/>
    <s v="[642970, 642971, 642978]"/>
    <s v="[0.036, 0.004, 0.001]"/>
    <s v="4375.9141553658565"/>
    <s v="[-0.036, -0.004, 0.001]"/>
  </r>
  <r>
    <x v="1898"/>
    <x v="2488"/>
    <x v="0"/>
    <n v="0"/>
    <s v="LINESTRING (10.150491947130517 59.739186477234455, 10.150220068945428 59.73921629652173, 10.107191854969498 59.743653244281894, 10.074501076956293 59.74342534909276)"/>
    <s v="[650678, 650686, 650694]"/>
    <s v="[642996, 643004, 642988]"/>
    <s v="#FIELD!"/>
    <s v="[642970, 642996, 643004]"/>
    <s v="[0.047, 0.004, 0.001]"/>
    <s v="4375.712887758338"/>
    <s v="[0.047, -0.004, 0.001]"/>
  </r>
  <r>
    <x v="1898"/>
    <x v="2491"/>
    <x v="198"/>
    <n v="0"/>
    <s v="LINESTRING (10.216110406294298 59.728969348058854, 10.216079630413176 59.72889911556494, 10.188387852888859 59.73011764083256, 10.157886942713878 59.73795993409137, 10.15363061664447 59.738621040170955, 10.150491947130517 59.739186477234455)"/>
    <s v="[2094570, 2094581, 2094589, 2094591, 2094593]"/>
    <s v="[1812249, 1812257, 1812262, 1558430, 642970]"/>
    <s v="0.014546928006342713"/>
    <s v="[1294102, 1812249, 1812257, 1812262, 1558430]"/>
    <s v="[1.067, 0.068, 0.038, 0.028, 0.013]"/>
    <s v="4151.346193070198"/>
    <s v="[1.067, 0.068, -0.038, 0.028, -0.013]"/>
  </r>
  <r>
    <x v="1899"/>
    <x v="2492"/>
    <x v="0"/>
    <n v="0"/>
    <m/>
    <n v="652673"/>
    <n v="644771"/>
    <s v="#FIELD!"/>
    <n v="644770"/>
    <s v="0.025"/>
    <s v="11.134114244067046"/>
    <s v="#FIELD!"/>
  </r>
  <r>
    <x v="1899"/>
    <x v="2493"/>
    <x v="0"/>
    <n v="0"/>
    <m/>
    <n v="652681"/>
    <n v="644779"/>
    <s v="#FIELD!"/>
    <n v="644770"/>
    <s v="0.011"/>
    <s v="10.43014860840116"/>
    <s v="#FIELD!"/>
  </r>
  <r>
    <x v="1899"/>
    <x v="2494"/>
    <x v="0"/>
    <n v="0"/>
    <s v="LINESTRING (19.554628204577913 69.21909484283775, 19.55453812831489 69.21914876961495, 19.55449626368042 69.21917330285243, 19.553231706344707 69.2196745066337, 19.55310089698609 69.21970793519172, 19.55123717847544 69.22001725625746)"/>
    <s v="[652713, 1070070, 1070078, 1070086, 1070094]"/>
    <s v="[644814, 1017090, 1017096, 1017104, 1011342]"/>
    <s v="0.14315745404283356"/>
    <s v="[644770, 644814, 1017090, 1017096, 1017104]"/>
    <s v="[0.023, 0.311, 0.168, 0.232, 0.117]"/>
    <s v="173.85997991735806"/>
    <s v="[0.023, 0.311, 0.168, 0.232, 0.117]"/>
  </r>
  <r>
    <x v="1899"/>
    <x v="2495"/>
    <x v="0"/>
    <s v="[0, 1, 0, 0, 0, 0]"/>
    <s v="LINESTRING (19.555050412262343 69.21764880614998, 19.555245840639277 69.21825949292771, 19.555110937737197 69.21867836635417, 19.55494976459928 69.2188665411682, 19.554748599685837 69.21902929103862, 19.554737905759158 69.21903611806879, 19.554628204577913 69.21909484283775)"/>
    <s v="[1069798, 1069806, 1069814, 1069822, 1069830, 652705]"/>
    <s v="[1016915, 1016922, 1016928, 1016933, 644805, 644770]"/>
    <s v="0.02154714148105992"/>
    <s v="[1016914, 1016915, 1016922, 1016928, 1016933, 644805]"/>
    <s v="[0.018, 0.024, 0.033, 0.039, 0.512, 0.021]"/>
    <s v="166.28935150638975"/>
    <s v="[0.018, 0.024, 0.033, 0.039, -0.512, 0.021]"/>
  </r>
  <r>
    <x v="1900"/>
    <x v="2493"/>
    <x v="0"/>
    <n v="0"/>
    <m/>
    <n v="652689"/>
    <n v="644779"/>
    <s v="0.021"/>
    <n v="644771"/>
    <s v="0.021"/>
    <s v="7.824378569370895"/>
    <s v="0.021"/>
  </r>
  <r>
    <x v="1900"/>
    <x v="2496"/>
    <x v="0"/>
    <n v="0"/>
    <s v="LINESTRING (19.55490861886213 69.21910171941751, 19.555439009957368 69.21915850803562, 19.556080065107963 69.2192738542358, 19.55615411203439 69.21929593265783)"/>
    <s v="[1079964, 1079972, 1079980]"/>
    <s v="[1025051, 1025057, 1016951]"/>
    <s v="0.0007677241819553302"/>
    <s v="[644771, 1025051, 1025057]"/>
    <s v="[0.021, 0.012, 0.042]"/>
    <s v="54.24088290175233"/>
    <s v="[-0.021, 0.012, 0.042]"/>
  </r>
  <r>
    <x v="1900"/>
    <x v="2495"/>
    <x v="0"/>
    <s v="[0, 1, 0, 0, 0, 0, 0]"/>
    <s v="LINESTRING (19.555050412262343 69.21764880614998, 19.555462073426675 69.21826456023545, 19.555304062562936 69.21869393338478, 19.555215448855993 69.21882662200744, 19.555152660238843 69.21889102803556, 19.554962952158377 69.21905818553489, 19.554954174044877 69.21906545631884, 19.55490861886213 69.21910171941751)"/>
    <s v="[1079916, 1079924, 1079932, 1079940, 1079948, 1079956, 652721]"/>
    <s v="[1025002, 1025013, 1025022, 1025031, 1025038, 644822, 644771]"/>
    <s v="0.01971810618396771"/>
    <s v="[1016914, 1025002, 1025013, 1025022, 1025031, 1025038, 644822]"/>
    <s v="[0.014, 0.023, 0.029, 0.034, 0.037, 0.356, 0.016]"/>
    <s v="168.02904043998578"/>
    <s v="[0.014, 0.023, 0.029, 0.034, 0.037, -0.356, 0.016]"/>
  </r>
  <r>
    <x v="1901"/>
    <x v="2494"/>
    <x v="0"/>
    <n v="0"/>
    <s v="LINESTRING (19.554809979045945 69.21916248895988, 19.554729140667348 69.21921302526697, 19.554674308725744 69.21924271975875, 19.553328684651216 69.21973955095834, 19.55123717847544 69.22001725625746)"/>
    <s v="[652697, 1080244, 1080252, 1080260]"/>
    <s v="[644796, 1025305, 1025312, 1011342]"/>
    <s v="0.14103237508893582"/>
    <s v="[644779, 644796, 1025305, 1025312]"/>
    <s v="[0.021, 0.248, 0.191, 0.102]"/>
    <s v="177.47439082298843"/>
    <s v="[0.021, 0.248, 0.191, 0.102]"/>
  </r>
  <r>
    <x v="1901"/>
    <x v="2496"/>
    <x v="0"/>
    <n v="0"/>
    <s v="LINESTRING (19.554809979045945 69.21916248895988, 19.556055327351995 69.21929591219532, 19.55615411203439 69.21929593265783)"/>
    <s v="[1069838, 1069846]"/>
    <s v="[1016944, 1016951]"/>
    <s v="#FIELD!"/>
    <s v="[644779, 1016944]"/>
    <s v="[0.005, 0.032]"/>
    <s v="55.51818228322973"/>
    <s v="[-0.005, 0.032]"/>
  </r>
  <r>
    <x v="1902"/>
    <x v="2497"/>
    <x v="0"/>
    <n v="0"/>
    <s v="LINESTRING (6.327761277080666 62.4139721926489, 6.3279967806635105 62.41436706431817, 6.3281737157515785 62.414518921144)"/>
    <s v="[653090, 653098]"/>
    <s v="[645166, 645174]"/>
    <s v="0.01621924021593394"/>
    <s v="[645165, 645166]"/>
    <s v="[0.015, 0.019]"/>
    <s v="66.66415447433303"/>
    <s v="[0.015, 0.019]"/>
  </r>
  <r>
    <x v="1902"/>
    <x v="2497"/>
    <x v="0"/>
    <n v="0"/>
    <s v="LINESTRING (6.327761277080666 62.4139721926489, 6.328157581553557 62.41432495559199, 6.328165109166048 62.414335158777554, 6.3281737157515785 62.414518921144)"/>
    <s v="[653106, 653114, 653122]"/>
    <s v="[645180, 645190, 645174]"/>
    <s v="0.015633177668796277"/>
    <s v="[645165, 645180, 645190]"/>
    <s v="[0.015, 0.051, 0.015]"/>
    <s v="68.4744089518586"/>
    <s v="[0.015, 0.051, 0.015]"/>
  </r>
  <r>
    <x v="1902"/>
    <x v="2498"/>
    <x v="0"/>
    <n v="0"/>
    <s v="LINESTRING (6.331389752574942 62.37486484495555, 6.3313992750898365 62.37514601969292, 6.330708230192474 62.39083071494797, 6.327614748464862 62.41377158806049, 6.327761277080666 62.4139721926489)"/>
    <s v="[982979, 982987, 982995, 1312364]"/>
    <s v="[943509, 943514, 943521, 645165]"/>
    <s v="#FIELD!"/>
    <s v="[943505, 943509, 943514, 943521]"/>
    <s v="[0.085, inf, inf, 0.011]"/>
    <s v="62.37229526037694"/>
    <s v="[-0.085, 0, 0, 0.011]"/>
  </r>
  <r>
    <x v="1903"/>
    <x v="2499"/>
    <x v="0"/>
    <n v="0"/>
    <s v="LINESTRING (6.3281737157515785 62.414518921144, 6.328246103783208 62.41482677331994, 6.32822690679499 62.41493086112937, 6.328173382083655 62.41511521024094, 6.328201373722206 62.41602345640152, 6.328284338684482 62.41692633895355, 6.328145872646975 62.41714958375428, 6.327239924351283 62.41851405856742, 6.326802168081616 62.41917072541143, 6.325821152246626 62.42098456562451, 6.3257873910340034 62.42104920386336, 6.325276748582983 62.421689571487875, 6.325241239778429 62.42172150871026, 6.324508196825445 62.42225272202699, 6.323512956594328 62.422851386202474, 6.3146184771822975 62.42639353188605, 6.314492167835736 62.42649075246236)"/>
    <s v="[1312372, 1312380, 1312388, 1312396, 1312404, 1312412, 1312420, 1312428, 1312436, 1312444, 1312452, 1312460, 1312468, 1312476, 1312484, 1312492]"/>
    <s v="[1220408, 1220416, 1220422, 1220429, 1220435, 1220442, 1220448, 279249, 1220456, 1220465, 1220472, 1220479, 1046601, 1220493, 1220501, 1220506]"/>
    <s v="0.007004960622424421"/>
    <s v="[645174, 1220408, 1220416, 1220422, 1220429, 1220435, 1220442, 1220448, 279249, 1220456, 1220465, 1220472, 1220479, 1046601, 1220493, 1220501]"/>
    <s v="[0.046, 0.023, 0.02, 0.023, 0.004, 0.08, 0.017, 0.01, 0.015, 0.017, 0.013, 0.051, 0.043, 0.021, 0.01, 0.021]"/>
    <s v="1625.2742498586838"/>
    <s v="[0.046, 0.023, 0.02, 0.023, -0.004, -0.08, 0.017, -0.01, -0.015, -0.017, -0.013, 0.051, 0.043, 0.021, 0.01, 0.021]"/>
  </r>
  <r>
    <x v="1904"/>
    <x v="2500"/>
    <x v="0"/>
    <n v="0"/>
    <m/>
    <n v="653575"/>
    <n v="645639"/>
    <s v="0.044"/>
    <n v="645567"/>
    <s v="0.044"/>
    <s v="24.79501127790772"/>
    <s v="0.044"/>
  </r>
  <r>
    <x v="1904"/>
    <x v="2501"/>
    <x v="0"/>
    <n v="0"/>
    <m/>
    <n v="653567"/>
    <n v="645567"/>
    <s v="0.039"/>
    <n v="645627"/>
    <s v="0.039"/>
    <s v="6.214764677676691"/>
    <s v="0.039"/>
  </r>
  <r>
    <x v="1904"/>
    <x v="1741"/>
    <x v="0"/>
    <n v="0"/>
    <s v="LINESTRING (11.00003175404895 59.62102515677231, 11.000086317501221 59.62095473841171, 11.00103296216797 59.62055212056404, 11.005145839860624 59.61841436408399, 11.005240526609626 59.61835396120289, 11.00528734354993 59.61832617109916)"/>
    <s v="[1820486, 653479, 653487, 653495, 653503]"/>
    <s v="[645543, 645544, 645552, 645559, 645567]"/>
    <s v="#FIELD!"/>
    <s v="[1600506, 645543, 645544, 645552, 645559]"/>
    <s v="[0.026, 0.02, 0.002, 0.021, 0.008]"/>
    <s v="425.9932103135705"/>
    <s v="[-0.026, -0.02, 0.002, 0.021, 0.008]"/>
  </r>
  <r>
    <x v="1905"/>
    <x v="2502"/>
    <x v="0"/>
    <n v="0"/>
    <m/>
    <n v="1820387"/>
    <n v="1600423"/>
    <s v="0.033"/>
    <n v="645576"/>
    <s v="0.033"/>
    <s v="19.767764826015657"/>
    <s v="0.033"/>
  </r>
  <r>
    <x v="1905"/>
    <x v="2503"/>
    <x v="0"/>
    <n v="0"/>
    <s v="LINESTRING (11.005920175314959 59.61931555617212, 11.005791686292081 59.61954098199699, 11.005684854993621 59.61954708985745, 11.005542613406842 59.619516388824856, 11.00545385368598 59.619452454839944)"/>
    <s v="[1820424, 1820432, 1820385, 1820386]"/>
    <s v="[1600455, 1600421, 1600422, 645576]"/>
    <s v="#FIELD!"/>
    <s v="[1600416, 1600455, 1600421, 1600422]"/>
    <s v="[0.039, 0.008, 0.022, 0.062]"/>
    <s v="54.27578253006696"/>
    <s v="[-0.039, -0.008, 0.022, 0.062]"/>
  </r>
  <r>
    <x v="1906"/>
    <x v="2504"/>
    <x v="0"/>
    <n v="0"/>
    <m/>
    <n v="653535"/>
    <n v="645595"/>
    <s v="#FIELD!"/>
    <n v="645594"/>
    <s v="0.047"/>
    <s v="47.46633233148635"/>
    <s v="#FIELD!"/>
  </r>
  <r>
    <x v="1906"/>
    <x v="2505"/>
    <x v="0"/>
    <n v="0"/>
    <s v="LINESTRING (11.005617580336708 59.618329237448954, 11.005628982296635 59.61837721694006, 11.005536754855184 59.61858812371291)"/>
    <s v="[1820532, 1820549]"/>
    <s v="[1600536, 645594]"/>
    <s v="#FIELD!"/>
    <s v="[645607, 1600536]"/>
    <s v="[0.049, 0.047]"/>
    <s v="29.45627086916165"/>
    <s v="[-0.049, -0.047]"/>
  </r>
  <r>
    <x v="1906"/>
    <x v="2501"/>
    <x v="0"/>
    <n v="0"/>
    <s v="LINESTRING (11.005385893205805 59.61835102579698, 11.005393499095176 59.61839048336457, 11.005536754855184 59.61858812371291)"/>
    <s v="[1820550, 1820552]"/>
    <s v="[1600546, 645594]"/>
    <s v="#FIELD!"/>
    <s v="[645627, 1600546]"/>
    <s v="[0.047, 0.054]"/>
    <s v="27.87882368126273"/>
    <s v="[-0.047, -0.054]"/>
  </r>
  <r>
    <x v="1907"/>
    <x v="2506"/>
    <x v="0"/>
    <n v="0"/>
    <s v="LINESTRING (11.005626301162327 59.61901167354762, 11.005795856743429 59.61922516619369, 11.005832246479203 59.61928194568338)"/>
    <s v="[1820518, 1820519]"/>
    <s v="[1600525, 1600436]"/>
    <s v="#FIELD!"/>
    <s v="[645595, 1600525]"/>
    <s v="[0.045, 0.04]"/>
    <s v="32.29515365388674"/>
    <s v="[-0.045, -0.04]"/>
  </r>
  <r>
    <x v="1907"/>
    <x v="2502"/>
    <x v="0"/>
    <n v="0"/>
    <s v="LINESTRING (11.005626301162327 59.61901167354762, 11.005566391221006 59.61923478674802, 11.00555801809151 59.6192928164308)"/>
    <s v="[1820525, 1820531]"/>
    <s v="[1600530, 1600423]"/>
    <s v="#FIELD!"/>
    <s v="[645595, 1600530]"/>
    <s v="[0.047, 0.049]"/>
    <s v="31.574138318715555"/>
    <s v="[-0.047, -0.049]"/>
  </r>
  <r>
    <x v="1908"/>
    <x v="2501"/>
    <x v="0"/>
    <n v="0"/>
    <s v="LINESTRING (11.005617580336708 59.618329237448954, 11.005496932763347 59.6183556104954, 11.005385893205805 59.61835102579698)"/>
    <s v="[653551, 653559]"/>
    <s v="[645618, 645627]"/>
    <s v="0.007023990695754101"/>
    <s v="[645607, 645618]"/>
    <s v="[0.015, 0.033]"/>
    <s v="13.707393536821588"/>
    <s v="[-0.015, 0.033]"/>
  </r>
  <r>
    <x v="1908"/>
    <x v="1742"/>
    <x v="0"/>
    <n v="0"/>
    <s v="LINESTRING (11.005678342481843 59.61813550414368, 11.005729492174053 59.61820007037124, 11.005617580336708 59.618329237448954)"/>
    <s v="[653607, 653543]"/>
    <s v="[645606, 645607]"/>
    <s v="#FIELD!"/>
    <s v="[645664, 645606]"/>
    <s v="[0.038, 0.046]"/>
    <s v="24.036884679519424"/>
    <s v="[-0.038, -0.046]"/>
  </r>
  <r>
    <x v="1909"/>
    <x v="2507"/>
    <x v="0"/>
    <n v="0"/>
    <s v="LINESTRING (11.005246658495189 59.61812659948579, 11.00533273499833 59.61809218593457, 11.005482611124814 59.61807788027667)"/>
    <s v="[653583, 653591]"/>
    <s v="[645646, 645655]"/>
    <s v="#FIELD!"/>
    <s v="[645639, 645646]"/>
    <s v="0.016"/>
    <s v="14.800241318814578"/>
    <s v="[0.016, -0.016]"/>
  </r>
  <r>
    <x v="1909"/>
    <x v="2508"/>
    <x v="0"/>
    <n v="0"/>
    <s v="LINESTRING (11.005127989259384 59.61788742699654, 11.00519626417783 59.61806195720881, 11.005246658495189 59.61812659948579)"/>
    <s v="[1820830, 1820831]"/>
    <s v="[1600764, 645639]"/>
    <s v="#FIELD!"/>
    <s v="[645797, 1600764]"/>
    <s v="[0.047, 0.055]"/>
    <s v="28.064877771264314"/>
    <s v="[-0.047, -0.055]"/>
  </r>
  <r>
    <x v="1910"/>
    <x v="1742"/>
    <x v="0"/>
    <n v="0"/>
    <m/>
    <n v="653599"/>
    <n v="645664"/>
    <s v="#FIELD!"/>
    <n v="645655"/>
    <s v="0.027"/>
    <s v="13.08881873732937"/>
    <s v="#FIELD!"/>
  </r>
  <r>
    <x v="1910"/>
    <x v="2508"/>
    <x v="0"/>
    <n v="0"/>
    <s v="LINESTRING (11.005127989259384 59.61788742699654, 11.005397066798395 59.61802006791847, 11.005482611124814 59.61807788027667)"/>
    <s v="[1820821, 1820822]"/>
    <s v="[1600759, 645655]"/>
    <s v="#FIELD!"/>
    <s v="[645797, 1600759]"/>
    <s v="[0.047, 0.052]"/>
    <s v="29.618609063086787"/>
    <s v="[-0.047, -0.052]"/>
  </r>
  <r>
    <x v="1911"/>
    <x v="2508"/>
    <x v="0"/>
    <n v="0"/>
    <s v="LINESTRING (11.004320932298322 59.61769566667004, 11.004320932298322 59.61769566667004, 11.004212463634135 59.617598917100516, 11.004018202680054 59.61712199284393, 11.004551555776137 59.617344985143355, 11.004650966018174 59.617432107808796, 11.004893483000945 59.61766300511798, 11.004929448821498 59.61769810494538, 11.005127989259384 59.61788742699654)"/>
    <s v="[653711, 653719, 653727, 653735, 653743, 653751, 653759, 653767]"/>
    <s v="[645756, 645763, 645768, 645774, 645778, 645785, 645791, 645797]"/>
    <s v="#FIELD!"/>
    <s v="[645755, 645756, 645763, 645768, 645774, 645778, 645785, 645791]"/>
    <s v="[0.0, 0.047, 0.009, 0.022, 0.047, 0.047, 0.055, 0.05]"/>
    <s v="349.9803434511338"/>
    <s v="[0.0, 0.047, 0.009, -0.022, -0.047, -0.047, -0.055, -0.05]"/>
  </r>
  <r>
    <x v="1912"/>
    <x v="2509"/>
    <x v="0"/>
    <n v="0"/>
    <m/>
    <n v="653920"/>
    <n v="645904"/>
    <s v="0.029"/>
    <n v="645903"/>
    <s v="0.029"/>
    <s v="175.19158990043147"/>
    <s v="0.029"/>
  </r>
  <r>
    <x v="1912"/>
    <x v="2510"/>
    <x v="0"/>
    <n v="0"/>
    <m/>
    <n v="1820517"/>
    <n v="645903"/>
    <s v="#FIELD!"/>
    <n v="645915"/>
    <s v="0.029"/>
    <s v="30.148819297468783"/>
    <s v="#FIELD!"/>
  </r>
  <r>
    <x v="1912"/>
    <x v="2511"/>
    <x v="0"/>
    <n v="0"/>
    <m/>
    <n v="1820516"/>
    <n v="645903"/>
    <s v="0.005"/>
    <n v="645978"/>
    <s v="0.005"/>
    <s v="29.590041165207687"/>
    <s v="0.005"/>
  </r>
  <r>
    <x v="1913"/>
    <x v="2512"/>
    <x v="0"/>
    <n v="0"/>
    <m/>
    <n v="1820487"/>
    <n v="646047"/>
    <s v="0.008"/>
    <n v="645904"/>
    <s v="0.008"/>
    <s v="33.159102001727035"/>
    <s v="0.008"/>
  </r>
  <r>
    <x v="1913"/>
    <x v="2513"/>
    <x v="0"/>
    <n v="0"/>
    <m/>
    <n v="1820495"/>
    <n v="646035"/>
    <s v="0.054"/>
    <n v="645904"/>
    <s v="0.054"/>
    <s v="30.134208136238023"/>
    <s v="0.054"/>
  </r>
  <r>
    <x v="1914"/>
    <x v="1748"/>
    <x v="0"/>
    <n v="0"/>
    <m/>
    <n v="653936"/>
    <n v="645922"/>
    <s v="0.048"/>
    <n v="645915"/>
    <s v="0.048"/>
    <s v="9.559267754135226"/>
    <s v="0.048"/>
  </r>
  <r>
    <x v="1914"/>
    <x v="2511"/>
    <x v="0"/>
    <n v="0"/>
    <s v="LINESTRING (10.954848759633798 59.62760043868462, 10.954724591012948 59.62763580112071, 10.95454576329188 59.62762389117079)"/>
    <s v="[654016, 653928]"/>
    <s v="[645914, 645915]"/>
    <s v="0.05567617606525113"/>
    <s v="[645978, 645914]"/>
    <s v="[0.054, 0.057]"/>
    <s v="18.219667202688797"/>
    <s v="[0.054, 0.057]"/>
  </r>
  <r>
    <x v="1915"/>
    <x v="1750"/>
    <x v="0"/>
    <n v="0"/>
    <m/>
    <n v="653944"/>
    <n v="645929"/>
    <s v="0.015"/>
    <n v="645922"/>
    <s v="0.015"/>
    <s v="9.611878068815576"/>
    <s v="0.015"/>
  </r>
  <r>
    <x v="1916"/>
    <x v="2511"/>
    <x v="0"/>
    <n v="0"/>
    <s v="LINESTRING (10.954389961840477 59.62748052872989, 10.954479167421425 59.62739427736558, 10.954628579192734 59.62735948851449, 10.954747132554633 59.62736542693782, 10.954873298010108 59.62740852545015, 10.954917303453234 59.627445506626664, 10.95493108767861 59.62746812173038, 10.95492788880626 59.62753446443574, 10.954848759633798 59.62760043868462)"/>
    <s v="[653952, 653960, 653968, 653976, 653984, 653992, 654000, 654008]"/>
    <s v="[645936, 645943, 645947, 645954, 645963, 645966, 645973, 645978]"/>
    <s v="#FIELD!"/>
    <s v="[645929, 645936, 645943, 645947, 645954, 645963, 645966, 645973]"/>
    <s v="[0.026, 0.057, 0.065, 0.051, 0.037, 0.013, 0.0, 0.032]"/>
    <s v="58.88956107567707"/>
    <s v="[-0.026, -0.057, -0.065, -0.051, -0.037, -0.013, 0.0, 0.032]"/>
  </r>
  <r>
    <x v="1917"/>
    <x v="1747"/>
    <x v="0"/>
    <n v="0"/>
    <m/>
    <n v="654064"/>
    <n v="646026"/>
    <s v="#FIELD!"/>
    <n v="646017"/>
    <s v="0.037"/>
    <s v="9.81829414914911"/>
    <s v="#FIELD!"/>
  </r>
  <r>
    <x v="1917"/>
    <x v="2512"/>
    <x v="0"/>
    <n v="0"/>
    <s v="LINESTRING (10.956205656564594 59.62955352283286, 10.956363498291838 59.62976410650445, 10.956284581091033 59.62980441967522, 10.956165733496512 59.62982605729781, 10.955942404626953 59.62978778057559)"/>
    <s v="[654096, 654104, 654048, 654056]"/>
    <s v="[646053, 646011, 646012, 646017]"/>
    <s v="0.04584202686934117"/>
    <s v="[646047, 646053, 646011, 646012]"/>
    <s v="[0.034, 0.089, 0.086, 0.03]"/>
    <s v="56.070884887317774"/>
    <s v="[0.034, 0.089, 0.086, 0.03]"/>
  </r>
  <r>
    <x v="1918"/>
    <x v="2513"/>
    <x v="0"/>
    <n v="0"/>
    <m/>
    <n v="654072"/>
    <n v="646035"/>
    <s v="#FIELD!"/>
    <n v="646026"/>
    <s v="0.078"/>
    <s v="10.984229604413827"/>
    <s v="#FIELD!"/>
  </r>
  <r>
    <x v="1919"/>
    <x v="2512"/>
    <x v="0"/>
    <n v="0"/>
    <s v="LINESTRING (10.95590184369425 59.62961309631384, 10.95601993649593 59.62955880826224, 10.956205656564594 59.62955352283286)"/>
    <s v="[654080, 654088]"/>
    <s v="[646041, 646047]"/>
    <s v="#FIELD!"/>
    <s v="[646035, 646041]"/>
    <s v="[0.079, 0.061]"/>
    <s v="19.498601776148906"/>
    <s v="[-0.079, -0.061]"/>
  </r>
  <r>
    <x v="1920"/>
    <x v="942"/>
    <x v="0"/>
    <n v="0"/>
    <m/>
    <n v="654825"/>
    <n v="646677"/>
    <s v="0.0"/>
    <n v="646653"/>
    <s v="0.0"/>
    <s v="6.317287787706306"/>
    <s v="0.0"/>
  </r>
  <r>
    <x v="1920"/>
    <x v="848"/>
    <x v="0"/>
    <n v="0"/>
    <s v="LINESTRING (7.17468690473213 62.73666275967553, 7.174959320775077 62.73667879303289, 7.17503131570487 62.736744430301535, 7.175089417353066 62.73685536919174, 7.1750960982995 62.73687571528548)"/>
    <s v="[1826300, 1826308, 1298141, 654793]"/>
    <s v="[1604452, 1210110, 646668, 646653]"/>
    <s v="0.05366194776522607"/>
    <s v="[944789, 1604452, 1210110, 646668]"/>
    <s v="[0.123, 0.01, 0.009, 0.009]"/>
    <s v="38.08406619677379"/>
    <s v="[0.123, 0.01, 0.009, 0.009]"/>
  </r>
  <r>
    <x v="1921"/>
    <x v="848"/>
    <x v="0"/>
    <n v="0"/>
    <s v="LINESTRING (7.17468690473213 62.73666275967553, 7.174770749404237 62.736720614035484, 7.174837207486522 62.73676367713671, 7.174892863418311 62.736852178989146, 7.174900640431299 62.73687195479021, 7.175050518235475 62.73692830211114)"/>
    <s v="[1826316, 1826324, 356038, 654785, 654817]"/>
    <s v="[1604461, 344403, 344404, 646663, 646677]"/>
    <s v="0.0568796703236242"/>
    <s v="[944789, 1604461, 344403, 344404, 646663]"/>
    <s v="[0.223, 0.097, 0.012, 0.282, 0.014]"/>
    <s v="36.09387318057264"/>
    <s v="[0.223, -0.097, 0.012, 0.282, 0.014]"/>
  </r>
  <r>
    <x v="1922"/>
    <x v="2514"/>
    <x v="0"/>
    <n v="0"/>
    <m/>
    <n v="656422"/>
    <n v="647964"/>
    <s v="0.001"/>
    <n v="647963"/>
    <s v="0.001"/>
    <s v="5.757118463662078"/>
    <s v="0.001"/>
  </r>
  <r>
    <x v="1922"/>
    <x v="2515"/>
    <x v="0"/>
    <n v="0"/>
    <s v="LINESTRING (10.749935448308376 59.90890283487519, 10.749935448308376 59.90890283487519, 10.749968709426545 59.908944119863975, 10.749976359258001 59.90898603445817)"/>
    <s v="[756157, 756165, 756173]"/>
    <s v="[736708, 736714, 647963]"/>
    <s v="0.0006106299074072525"/>
    <s v="[736707, 736708, 736714]"/>
    <s v="[0.0, 0.001, 0.005]"/>
    <s v="46.53667863594128"/>
    <s v="[0.0, 0.001, 0.005]"/>
  </r>
  <r>
    <x v="1923"/>
    <x v="2516"/>
    <x v="199"/>
    <n v="0"/>
    <s v="LINESTRING (10.761901084703927 59.90696414278306, 10.761901084703927 59.90696414278306, 10.761760406096917 59.90699724251106, 10.761213902385418 59.9071253425673, 10.760930079761236 59.90719862739553, 10.760738921343957 59.90724512515841, 10.760682200222021 59.90725750489001, 10.760617821302048 59.90727377408122, 10.760465285760022 59.90731166073773, 10.759908175304284 59.90744604974181, 10.759693146563041 59.907499437889584, 10.759498912148782 59.907545601034556, 10.759439896843771 59.907560936517875, 10.75938198295551 59.90757479686744, 10.759192501257594 59.90761948522765, 10.757961603947198 59.90791973727282, 10.756660322537353 59.908228400077476, 10.75660234063806 59.90824291345087, 10.756128400877397 59.90835638351424, 10.755844300399986 59.90843068290723, 10.755765671119018 59.90845264957396, 10.75568256575564 59.908473356879554, 10.755477698113527 59.90852473725861, 10.75468924048861 59.908716455782695, 10.753912829609822 59.90890587890488, 10.753698766426615 59.90895758038487, 10.753627301152713 59.90897460674826, 10.75354115435363 59.908995835052785, 10.753296151398327 59.90905328139392, 10.751402632940316 59.90951560362801, 10.75108779299131 59.909594196988024, 10.750570630967275 59.90961911388428, 10.750335901021925 59.909460015711026, 10.750119455884041 59.909241460897576, 10.749960945801186 59.90907691942981, 10.749956301318322 59.909036702408144)"/>
    <s v="[2020567, 756357, 756365, 756373, 756381, 756389, 756397, 756405, 756413, 756421, 756429, 756437, 756445, 756453, 756461, 756469, 756477, 756485, 756493, 756501, 756066, 756067, 756068, 756078, 756089, 756098, 756099, 756100, 756104, 756119, 756127, 756133, 756141, 756149, 656430]"/>
    <s v="[736854, 736855, 736861, 736865, 639221, 736879, 639197, 736891, 736900, 736904, 736196, 736917, 736209, 736927, 736933, 736937, 736944, 736951, 736957, 736627, 736628, 736629, 736630, 736643, 639003, 736658, 638971, 736659, 736662, 736674, 638904, 736686, 736694, 647969, 647964]"/>
    <s v="#FIELD!"/>
    <s v="[366498, 736854, 736855, 736861, 736865, 639221, 736879, 639197, 736891, 736900, 736904, 736196, 736917, 736209, 736927, 736933, 736937, 736944, 736951, 736957, 736627, 736628, 736629, 736630, 736643, 639003, 736658, 638971, 736659, 736662, 736674, 638904, 736686, 736694, 647969]"/>
    <s v="[0.117, 0.009, 0.006, 0.005, 0.007, 0.004, 0.003, 0.001, 0.006, 0.013, 0.016, 0.012, 0.013, 0.015, 0.002, 0.026, 0.006, 0.004, 0.006, 0.006, 0.014, 0.005, 0.001, 0.001, 0.002, 0.002, 0.007, 0.005, 0.01, 0.002, 0.002, 0.001, 0.001, 0.001, 0.001]"/>
    <s v="789.9030937784264"/>
    <s v="[-0.117, -0.009, -0.006, 0.005, 0.007, 0.004, 0.003, 0.001, -0.006, -0.013, -0.016, -0.012, -0.013, -0.015, -0.002, 0.026, -0.006, -0.004, -0.006, -0.006, -0.014, -0.005, 0.001, 0.001, 0.002, 0.002, 0.007, 0.005, -0.01, 0.002, 0.002, 0.001, 0.001, 0.001, -0.001]"/>
  </r>
  <r>
    <x v="1924"/>
    <x v="756"/>
    <x v="0"/>
    <n v="0"/>
    <s v="LINESTRING (11.884894901677846 60.21108687775226, 11.88564805696249 60.21062082355009, 11.896266850140512 60.20726870391912)"/>
    <s v="[656713, 656716]"/>
    <s v="[648169, 648172]"/>
    <s v="0.014322405883773356"/>
    <s v="[648163, 648169]"/>
    <s v="[0.007, 0.015]"/>
    <s v="786.6819386712697"/>
    <s v="[0.007, 0.015]"/>
  </r>
  <r>
    <x v="1924"/>
    <x v="2517"/>
    <x v="0"/>
    <n v="0"/>
    <s v="LINESTRING (11.890422801622647 60.20893738146837, 11.890331853534443 60.208940638926286, 11.885292245075036 60.21089754240813, 11.884894901677846 60.21108687775226)"/>
    <s v="[2070042, 2070050, 2070058]"/>
    <s v="[1797438, 1797441, 648163]"/>
    <s v="#FIELD!"/>
    <s v="[1797437, 1797438, 1797441]"/>
    <s v="[0.058, 0.017, 0.012]"/>
    <s v="402.05774366338784"/>
    <s v="[-0.058, -0.017, -0.012]"/>
  </r>
  <r>
    <x v="1925"/>
    <x v="2518"/>
    <x v="0"/>
    <n v="0"/>
    <s v="LINESTRING (11.896266850140512 60.20726870391912, 11.895743057088206 60.207333892197475, 11.890937149671842 60.2087081023235, 11.890883456424852 60.20875571581044, 11.890843282832007 60.20880051044704)"/>
    <s v="[2070098, 2070106, 2070114, 2070122]"/>
    <s v="[1797474, 1797479, 1797485, 1797491]"/>
    <s v="#FIELD!"/>
    <s v="[648172, 1797474, 1797479, 1797485]"/>
    <s v="[0.006, 0.011, 0.005, 0.009]"/>
    <s v="360.18950743529274"/>
    <s v="[-0.006, -0.011, 0.005, 0.009]"/>
  </r>
  <r>
    <x v="1926"/>
    <x v="2519"/>
    <x v="0"/>
    <n v="0"/>
    <s v="LINESTRING (10.884146691756984 63.490303615157245, 10.883999563702755 63.49026547556213, 10.883975482211278 63.490211515847726, 10.884057291610706 63.49015513874843, 10.884202836873673 63.490146051441016)"/>
    <s v="[2128275, 2128283, 2128291, 2128299]"/>
    <s v="[1831916, 1831924, 1831930, 648530]"/>
    <s v="#FIELD!"/>
    <s v="[648476, 1831916, 1831924, 1831930]"/>
    <s v="[0.287, 0.03, 0.03, 0.388]"/>
    <s v="29.69703752645999"/>
    <s v="[0.287, -0.03, -0.03, -0.388]"/>
  </r>
  <r>
    <x v="1926"/>
    <x v="2520"/>
    <x v="0"/>
    <n v="0"/>
    <m/>
    <n v="2128267"/>
    <n v="648476"/>
    <s v="#FIELD!"/>
    <n v="1831911"/>
    <s v="0.338"/>
    <s v="6.950793120247454"/>
    <s v="#FIELD!"/>
  </r>
  <r>
    <x v="1926"/>
    <x v="2430"/>
    <x v="0"/>
    <n v="0"/>
    <s v="LINESTRING (10.884063239140694 63.49242860556772, 10.884041947599501 63.49228017484713, 10.884252103374175 63.490549233955385, 10.884155823477796 63.49034003921791, 10.884146691756984 63.490303615157245)"/>
    <s v="[2161140, 657173, 657180, 657188]"/>
    <s v="[648458, 648459, 648468, 648476]"/>
    <s v="#FIELD!"/>
    <s v="[1850595, 648458, 648459, 648468]"/>
    <s v="[0.037, 0.04, 0.032, 0.038]"/>
    <s v="238.42816410043073"/>
    <s v="[-0.037, -0.04, -0.032, -0.038]"/>
  </r>
  <r>
    <x v="1927"/>
    <x v="2521"/>
    <x v="0"/>
    <n v="0"/>
    <s v="LINESTRING (10.885644898548893 63.4902356719926, 10.885779606282023 63.49027195143135, 10.885806615454888 63.49030881774835, 10.885773102979595 63.49036361001401, 10.885551682822623 63.49038886175806)"/>
    <s v="[2128243, 2128251, 2128259, 2128203]"/>
    <s v="[1831897, 1831904, 1831876, 648521]"/>
    <s v="0.020074195006750433"/>
    <s v="[648519, 1831897, 1831904, 1831876]"/>
    <s v="[0.253, 0.024, 0.029, 0.137]"/>
    <s v="30.582191076451966"/>
    <s v="[0.253, 0.024, 0.029, -0.137]"/>
  </r>
  <r>
    <x v="1927"/>
    <x v="2522"/>
    <x v="0"/>
    <n v="0"/>
    <m/>
    <n v="2128235"/>
    <n v="648519"/>
    <s v="#FIELD!"/>
    <n v="1831888"/>
    <s v="0.241"/>
    <s v="9.100643601873896"/>
    <s v="#FIELD!"/>
  </r>
  <r>
    <x v="1927"/>
    <x v="2523"/>
    <x v="0"/>
    <n v="0"/>
    <s v="LINESTRING (10.885806558239839 63.48788912552291, 10.885817777070208 63.48804415138239, 10.885584559911926 63.490076662201346, 10.885599909360433 63.4901436555339, 10.885626948252474 63.490199443786416, 10.885644898548893 63.4902356719926)"/>
    <s v="[2161188, 657189, 657216, 657230, 657232]"/>
    <s v="[648477, 648478, 648506, 648517, 648519]"/>
    <s v="0.018674334467681932"/>
    <s v="[1850554, 648477, 648478, 648506, 648517]"/>
    <s v="[0.017, 0.017, 0.037, 0.045, 0.044]"/>
    <s v="262.8051154465425"/>
    <s v="[0.017, 0.017, 0.037, 0.045, 0.044]"/>
  </r>
  <r>
    <x v="1928"/>
    <x v="2524"/>
    <x v="0"/>
    <n v="0"/>
    <m/>
    <n v="2128211"/>
    <n v="1831880"/>
    <s v="0.311"/>
    <n v="648521"/>
    <s v="0.311"/>
    <s v="5.9047663797814005"/>
    <s v="0.311"/>
  </r>
  <r>
    <x v="1928"/>
    <x v="2431"/>
    <x v="0"/>
    <n v="0"/>
    <s v="LINESTRING (10.885551682822623 63.49038886175806, 10.88551409678407 63.49042096635819, 10.88533586401469 63.49059974548794, 10.884171811790063 63.4928487304908, 10.884061094300078 63.4929771196854)"/>
    <s v="[657234, 657236, 657242, 2161596]"/>
    <s v="[648522, 648524, 648529, 1850801]"/>
    <s v="0.03768364402701107"/>
    <s v="[648521, 648522, 648524, 648529]"/>
    <s v="[0.027, 0.033, 0.039, 0.025]"/>
    <s v="299.4184893853931"/>
    <s v="[0.027, 0.033, 0.039, 0.025]"/>
  </r>
  <r>
    <x v="1929"/>
    <x v="2525"/>
    <x v="0"/>
    <n v="0"/>
    <m/>
    <n v="2128307"/>
    <n v="1831943"/>
    <s v="0.393"/>
    <n v="648530"/>
    <s v="0.393"/>
    <s v="7.034513558269731"/>
    <s v="0.393"/>
  </r>
  <r>
    <x v="1929"/>
    <x v="2526"/>
    <x v="0"/>
    <n v="0"/>
    <s v="LINESTRING (10.884202836873673 63.490146051441016, 10.884233769185256 63.49011239838429, 10.88429182043422 63.4900608114782, 10.884334199202236 63.490024341809445, 10.885476750163468 63.488022159893596, 10.885609093261538 63.48787314323226)"/>
    <s v="[657243, 657251, 657253, 657255, 2161412]"/>
    <s v="[648531, 648538, 648540, 648541, 1850591]"/>
    <s v="#FIELD!"/>
    <s v="[648530, 648531, 648538, 648540, 648541]"/>
    <s v="[0.056, 0.051, 0.055, 0.017, 0.015]"/>
    <s v="264.2335701346469"/>
    <s v="[-0.056, -0.051, -0.055, -0.017, -0.015]"/>
  </r>
  <r>
    <x v="1930"/>
    <x v="2527"/>
    <x v="0"/>
    <n v="0"/>
    <m/>
    <n v="2121306"/>
    <n v="1827940"/>
    <s v="#FIELD!"/>
    <n v="648692"/>
    <s v="0.086"/>
    <s v="17.057372800775106"/>
    <s v="#FIELD!"/>
  </r>
  <r>
    <x v="1930"/>
    <x v="2392"/>
    <x v="0"/>
    <s v="[0, 0, 0, 0, 0, 0, 1, 0]"/>
    <s v="LINESTRING (10.37358099964915 63.36041966693527, 10.373616774416487 63.36046862324135, 10.373662157855648 63.360555902362314, 10.374532764774077 63.36172739997914, 10.374749524285464 63.361938150717165, 10.375094556995546 63.36231292263607, 10.375302044923247 63.36261064223108, 10.375632925582087 63.363081216297616, 10.376874565361964 63.36500169740073)"/>
    <s v="[657383, 657391, 657395, 657396, 657397, 572436, 572444, 2121474]"/>
    <s v="[648693, 648701, 648707, 648708, 580034, 580035, 580042, 1828019]"/>
    <s v="#FIELD!"/>
    <s v="[648692, 648693, 648701, 648707, 648708, 580034, 580035, 580042]"/>
    <s v="[0.02, 0.015, 0.012, 0.009, 0.053, 0.035, 0.031, 0.019]"/>
    <s v="537.7849231299399"/>
    <s v="[-0.02, -0.015, -0.012, -0.009, 0.053, -0.035, -0.031, -0.019]"/>
  </r>
  <r>
    <x v="1930"/>
    <x v="2528"/>
    <x v="0"/>
    <n v="0"/>
    <s v="LINESTRING (10.37351132463853 63.36015994334263, 10.373661573393134 63.360179723207686, 10.37373966874409 63.36021176336762, 10.373791585176088 63.360262466791966, 10.373794054490235 63.360318128865735, 10.373719889994234 63.3603829024453, 10.37358099964915 63.36041966693527)"/>
    <s v="[2121338, 2121346, 2121354, 2121282, 2121290, 2121298]"/>
    <s v="[664798, 1827960, 1827925, 1827926, 664843, 648692]"/>
    <s v="#FIELD!"/>
    <s v="[648835, 664798, 1827960, 1827925, 1827926, 664843]"/>
    <s v="[0.171, 0.012, 0.017, 0.021, 0.017, 0.176]"/>
    <s v="41.7549004388587"/>
    <s v="[-0.171, -0.012, -0.017, -0.021, -0.017, 0.176]"/>
  </r>
  <r>
    <x v="1931"/>
    <x v="2529"/>
    <x v="0"/>
    <n v="0"/>
    <m/>
    <n v="2121402"/>
    <n v="1827985"/>
    <s v="#FIELD!"/>
    <n v="648709"/>
    <s v="0.227"/>
    <s v="21.490581118480677"/>
    <s v="#FIELD!"/>
  </r>
  <r>
    <x v="1931"/>
    <x v="2530"/>
    <x v="0"/>
    <n v="0"/>
    <s v="LINESTRING (10.371770278843394 63.36033754221913, 10.371771695248801 63.36027742912946, 10.371769668711607 63.360207735192944, 10.370818533332763 63.35635513225477, 10.370885745773574 63.35625792355537, 10.370904960625863 63.35623015000452)"/>
    <s v="[657398, 657413, 657443, 2121498, 2121506]"/>
    <s v="[648710, 648725, 648757, 1828033, 649016]"/>
    <s v="0.0034717226755046522"/>
    <s v="[648709, 648710, 648725, 648757, 1828033]"/>
    <s v="[0.008, 0.008, 0.004, 0.068, 0.313]"/>
    <s v="461.30666473080623"/>
    <s v="[0.008, 0.008, 0.004, 0.068, -0.313]"/>
  </r>
  <r>
    <x v="1931"/>
    <x v="2531"/>
    <x v="0"/>
    <n v="0"/>
    <s v="LINESTRING (10.371981578578936 63.36057577215537, 10.37165394455978 63.36047268610206, 10.371770278843394 63.36033754221913)"/>
    <s v="[2121386, 2121394]"/>
    <s v="[1603328, 648709]"/>
    <s v="0.014771196724088971"/>
    <s v="[649190, 1603328]"/>
    <s v="[0.218, 0.315]"/>
    <s v="38.641311657250114"/>
    <s v="[-0.218, 0.315]"/>
  </r>
  <r>
    <x v="1932"/>
    <x v="2532"/>
    <x v="0"/>
    <n v="0"/>
    <s v="LINESTRING (10.37137733325397 63.357228540422085, 10.371512986725977 63.35734276344375, 10.37255864338746 63.359247278724105, 10.373391837252353 63.36004184152781, 10.373457660131793 63.36010691694725, 10.373502374619832 63.36015110092292, 10.37351132463853 63.36015994334263)"/>
    <s v="[2121490, 657471, 657489, 657503, 657518, 657526]"/>
    <s v="[648784, 648785, 648800, 648817, 648828, 648835]"/>
    <s v="#FIELD!"/>
    <s v="[648936, 648784, 648785, 648800, 648817, 648828]"/>
    <s v="[0.006, 0.009, 0.022, 0.023, 0.02, 0.025]"/>
    <s v="346.74256944644185"/>
    <s v="[-0.006, -0.009, -0.022, -0.023, -0.02, -0.025]"/>
  </r>
  <r>
    <x v="1932"/>
    <x v="2533"/>
    <x v="0"/>
    <n v="0"/>
    <m/>
    <n v="2121330"/>
    <n v="648835"/>
    <s v="0.081"/>
    <n v="1827948"/>
    <s v="0.081"/>
    <s v="19.192568966304115"/>
    <s v="0.081"/>
  </r>
  <r>
    <x v="1933"/>
    <x v="2531"/>
    <x v="0"/>
    <s v="[0, 1, 0, 0, 0, 0]"/>
    <s v="LINESTRING (10.377234915141884 63.36609563701523, 10.374666023121803 63.363275006029966, 10.374139463372966 63.362696884652685, 10.373231959849148 63.36169501497092, 10.372164572184616 63.36069238630039, 10.372059252164046 63.36062148597186, 10.371981578578936 63.36057577215537)"/>
    <s v="[657790, 657808, 657835, 657847, 657851, 657860]"/>
    <s v="[649110, 649131, 649167, 649177, 649182, 649190]"/>
    <s v="0.01718604666893515"/>
    <s v="[648861, 649110, 649131, 649167, 649177, 649182]"/>
    <s v="[0.014, 0.008, 0.013, 0.034, 0.025, 0.028]"/>
    <s v="669.806525612349"/>
    <s v="[0.014, 0.008, 0.013, 0.034, 0.025, 0.028]"/>
  </r>
  <r>
    <x v="1933"/>
    <x v="2394"/>
    <x v="0"/>
    <n v="0"/>
    <s v="LINESTRING (10.37786366210564 63.36665882237897, 10.377656894796482 63.36657490633119, 10.377234915141884 63.36609563701523)"/>
    <s v="[657690, 657787]"/>
    <s v="[649005, 648861]"/>
    <s v="0.01343707281999188"/>
    <s v="[649004, 649005]"/>
    <s v="[0.007, 0.015]"/>
    <s v="71.40978242586087"/>
    <s v="[0.007, 0.015]"/>
  </r>
  <r>
    <x v="1934"/>
    <x v="2356"/>
    <x v="0"/>
    <s v="[0, 0, 1, 0, 0, 1, 0, 0]"/>
    <s v="LINESTRING (10.37137733325397 63.357228540422085, 10.372193652587352 63.35923864112068, 10.372680401026932 63.36008124907733, 10.372993890392237 63.360600283662585, 10.373758900580192 63.361767412734785, 10.374504321892902 63.362629274569265, 10.375030502791782 63.36320704943457, 10.378097986344676 63.36662371014317, 10.378327603393137 63.36693814795122)"/>
    <s v="[657639, 657642, 657654, 657662, 657673, 657674, 657675, 657679]"/>
    <s v="[648945, 648948, 648959, 648969, 648985, 648986, 648987, 648992]"/>
    <s v="#FIELD!"/>
    <s v="[648936, 648945, 648948, 648959, 648969, 648985, 648986, 648987]"/>
    <s v="[0.007, 0.016, 0.017, 0.023, 0.01, 0.007, 0.014, 0.015]"/>
    <s v="1140.9436227589172"/>
    <s v="[-0.007, -0.016, -0.017, -0.023, -0.01, -0.007, -0.014, -0.015]"/>
  </r>
  <r>
    <x v="1934"/>
    <x v="2534"/>
    <x v="0"/>
    <n v="0"/>
    <s v="LINESTRING (10.370473000670211 63.349664343363266, 10.371037750976035 63.35510225026754, 10.371049168442747 63.355214558717314, 10.371050235360972 63.35522496162792, 10.371163899051513 63.35622138935602, 10.37118939499678 63.35638315484654, 10.37137733325397 63.357228540422085)"/>
    <s v="[1109952, 1109960, 1109968, 657618, 657631, 657632]"/>
    <s v="[1050187, 1050191, 648926, 648927, 648935, 648936]"/>
    <s v="#FIELD!"/>
    <s v="[1050182, 1050187, 1050191, 648926, 648927, 648935]"/>
    <s v="[0.004, 0.002, 1.674, 0.004, 0.007, 0.006]"/>
    <s v="844.7090334646232"/>
    <s v="[-0.004, 0.002, -1.674, 0.004, 0.007, 0.006]"/>
  </r>
  <r>
    <x v="1935"/>
    <x v="2392"/>
    <x v="0"/>
    <n v="0"/>
    <s v="LINESTRING (10.376874565361964 63.36500169740073, 10.378341296706392 63.36680082048341, 10.378327603393137 63.36693814795122)"/>
    <s v="[2121482, 2121514]"/>
    <s v="[1828026, 648992]"/>
    <s v="#FIELD!"/>
    <s v="[1828019, 1828026]"/>
    <s v="[0.019, 0.057]"/>
    <s v="229.05029788875183"/>
    <s v="[-0.019, 0.057]"/>
  </r>
  <r>
    <x v="1936"/>
    <x v="2530"/>
    <x v="0"/>
    <s v="[0, 0, 0, 0, 1, 0, 0, 1, 0, 0]"/>
    <s v="LINESTRING (10.370904960625863 63.35623015000452, 10.370930644102225 63.35639273098711, 10.371119510846107 63.357242373687264, 10.371940299647983 63.35926427563834, 10.372429810503501 63.36011182126246, 10.372743529631018 63.360631268621056, 10.373517134658057 63.361810260567104, 10.374264582778986 63.36267330467781, 10.374791061570024 63.363251692685125, 10.377783499666855 63.36655400587678, 10.37786366210564 63.36665882237897)"/>
    <s v="[657702, 657708, 657716, 657717, 657724, 657725, 657732, 657748, 657768, 657777]"/>
    <s v="[649017, 649024, 649035, 649036, 649042, 649043, 649048, 649064, 649084, 649004]"/>
    <s v="#FIELD!"/>
    <s v="[649016, 649017, 649024, 649035, 649036, 649042, 649043, 649048, 649064, 649084]"/>
    <s v="[0.004, 0.006, 0.006, 0.016, 0.017, 0.026, 0.011, 0.007, 0.014, 0.018]"/>
    <s v="1220.0693096265918"/>
    <s v="[0.004, 0.006, -0.006, -0.016, -0.017, -0.026, -0.011, -0.007, -0.014, -0.018]"/>
  </r>
  <r>
    <x v="1937"/>
    <x v="2535"/>
    <x v="0"/>
    <n v="0"/>
    <s v="LINESTRING (10.370200125144347 63.34955247368594, 10.370200942364 63.3495589568029, 10.370214475385438 63.349679229593576, 10.370781692436594 63.35514041927158, 10.370790440619468 63.35522492642973, 10.370791280873316 63.355232759143284, 10.370904960625863 63.35623015000452)"/>
    <s v="[1109720, 1109728, 1109736, 1109744, 1109752, 2121418]"/>
    <s v="[1050047, 1050053, 1050059, 1050065, 1050070, 649016]"/>
    <s v="#FIELD!"/>
    <s v="[1050042, 1050047, 1050053, 1050059, 1050065, 1050070]"/>
    <s v="[0.008, 0.006, 0.004, 0.0, 0.001, 0.008]"/>
    <s v="745.3701284229215"/>
    <s v="[-0.008, -0.006, -0.004, 0.0, 0.001, -0.008]"/>
  </r>
  <r>
    <x v="1938"/>
    <x v="2536"/>
    <x v="0"/>
    <n v="0"/>
    <m/>
    <n v="2121378"/>
    <n v="649190"/>
    <s v="0.271"/>
    <n v="1827971"/>
    <s v="0.271"/>
    <s v="17.177935190711473"/>
    <s v="0.271"/>
  </r>
  <r>
    <x v="1939"/>
    <x v="2537"/>
    <x v="0"/>
    <n v="0"/>
    <m/>
    <n v="660299"/>
    <n v="651466"/>
    <s v="0.031"/>
    <n v="651465"/>
    <s v="0.031"/>
    <s v="4.156368607769471"/>
    <s v="0.031"/>
  </r>
  <r>
    <x v="1939"/>
    <x v="2183"/>
    <x v="0"/>
    <n v="0"/>
    <s v="LINESTRING (10.358916338038952 63.33333650309009, 10.358858317658711 63.3332819154081, 10.358870423580742 63.33321063984473)"/>
    <s v="[660371, 660379]"/>
    <s v="[651539, 651465]"/>
    <s v="#FIELD!"/>
    <s v="[651532, 651539]"/>
    <s v="[0.027, 0.005]"/>
    <s v="14.715069434105562"/>
    <s v="[-0.027, 0.005]"/>
  </r>
  <r>
    <x v="1940"/>
    <x v="2538"/>
    <x v="0"/>
    <n v="0"/>
    <m/>
    <n v="660307"/>
    <n v="651476"/>
    <s v="0.058"/>
    <n v="651466"/>
    <s v="0.058"/>
    <s v="17.907930293684984"/>
    <s v="0.058"/>
  </r>
  <r>
    <x v="1940"/>
    <x v="2539"/>
    <x v="0"/>
    <n v="0"/>
    <s v="LINESTRING (10.35891070085139 63.33317805125468, 10.35890608948622 63.333122327244446, 10.358842397094604 63.33299726921464, 10.357975372216622 63.33285385869296, 10.357903196759112 63.332861801500194, 10.356854083861714 63.33348133323005, 10.356857805342498 63.33349013239301, 10.357190806239688 63.33399136428405, 10.358630350548768 63.335484840451684, 10.358705341502693 63.335630176206685)"/>
    <s v="[2093616, 2093617, 572396, 572404, 572412, 572420, 572428, 1256983, 682496]"/>
    <s v="[1811728, 579996, 579997, 580008, 580016, 580026, 580031, 673640, 673499]"/>
    <s v="#FIELD!"/>
    <s v="[651466, 1811728, 579996, 579997, 580008, 580016, 580026, 580031, 673640]"/>
    <s v="[0.152, 0.036, 0.064, 0.079, 0.028, 0.024, 0.01, 0.023, 0.01]"/>
    <s v="429.254176720354"/>
    <s v="[-0.152, 0.036, -0.064, -0.079, -0.028, 0.024, 0.01, 0.023, 0.01]"/>
  </r>
  <r>
    <x v="1941"/>
    <x v="2183"/>
    <x v="0"/>
    <n v="0"/>
    <s v="LINESTRING (10.359236842515099 63.33313598787063, 10.359340564939062 63.333166526560234, 10.359415244221337 63.333229480566864, 10.35940412353257 63.33329961923645, 10.359350560902607 63.33334013788816, 10.35921936888892 63.33337812581225, 10.359049596336948 63.33337744704422, 10.358916338038952 63.33333650309009)"/>
    <s v="[660315, 660323, 660331, 660339, 660347, 660355, 660363]"/>
    <s v="[651486, 651497, 651503, 651400, 651516, 651524, 651532]"/>
    <s v="#FIELD!"/>
    <s v="[651476, 651486, 651497, 651503, 651400, 651516, 651524]"/>
    <s v="[0.05, 0.032, 0.008, 0.03, 0.053, 0.063, 0.051]"/>
    <s v="51.678092439456826"/>
    <s v="[0.05, 0.032, -0.008, -0.03, -0.053, -0.063, -0.051]"/>
  </r>
  <r>
    <x v="1941"/>
    <x v="2540"/>
    <x v="0"/>
    <n v="0"/>
    <s v="LINESTRING (10.355201219580357 63.331952511386945, 10.357452161074733 63.33287608441121, 10.357892822499101 63.33281427049953, 10.357960684128376 63.332808507096104, 10.35813887661025 63.332795433491896, 10.35897876310633 63.33297209381009, 10.35916679750028 63.33310259031368, 10.359236842515099 63.33313598787063)"/>
    <s v="[682160, 572356, 572364, 572372, 572380, 2093620, 2093628]"/>
    <s v="[579953, 579954, 579963, 579972, 579980, 1811730, 651476]"/>
    <s v="0.04779189618239039"/>
    <s v="[673244, 579953, 579954, 579963, 579972, 579980, 1811730]"/>
    <s v="[0.039, 0.068, 0.078, 0.076, 0.062, 0.011, 0.243]"/>
    <s v="277.3867670733819"/>
    <s v="[0.039, 0.068, 0.078, 0.076, 0.062, -0.011, 0.243]"/>
  </r>
  <r>
    <x v="1942"/>
    <x v="2541"/>
    <x v="0"/>
    <n v="0"/>
    <s v="LINESTRING (5.267794890926534 60.54231345912044, 5.267745301116806 60.542346178586655, 5.265553198668779 60.54228550167613, 5.265157542655626 60.542434065201896, 5.2649860790070315 60.54222549769764, 5.263511099497967 60.541850167510084, 5.263387662076978 60.541769704619576)"/>
    <s v="[660751, 660703, 660711, 660719, 660727, 660743]"/>
    <s v="[651875, 651876, 651882, 651889, 651892, 651903]"/>
    <s v="0.036021445520151"/>
    <s v="[651911, 651875, 651876, 651882, 651889, 651892]"/>
    <s v="[0.07, 0.038, 0.006, 0.061, 0.044, 0.04]"/>
    <s v="281.8692329558795"/>
    <s v="[-0.07, 0.038, -0.006, 0.061, 0.044, 0.04]"/>
  </r>
  <r>
    <x v="1942"/>
    <x v="2542"/>
    <x v="0"/>
    <s v="[0, 0, 1, 0, 0]"/>
    <s v="LINESTRING (5.257958594339333 60.533502185874, 5.258571166466854 60.5342186865103, 5.2589223944072705 60.53466309035469, 5.258954618017844 60.53473602785534, 5.261424163289194 60.540532429742115, 5.263387662076978 60.541769704619576)"/>
    <s v="[1412263, 1412271, 1822815, 1822829, 1822834]"/>
    <s v="[1291278, 1291283, 1602248, 1602256, 651903]"/>
    <s v="0.030891760402390125"/>
    <s v="[1291241, 1291278, 1291283, 1602248, 1602256]"/>
    <s v="[0.034, 0.043, 0.318, 0.032, 0.008]"/>
    <s v="1013.1074454816676"/>
    <s v="[0.034, 0.043, 0.318, 0.032, 0.008]"/>
  </r>
  <r>
    <x v="1943"/>
    <x v="2543"/>
    <x v="0"/>
    <n v="0"/>
    <s v="LINESTRING (5.267794890926534 60.54231345912044, 5.267982190288263 60.54232537355782, 5.2683372030530515 60.54233353963284)"/>
    <s v="[1822913, 1822933]"/>
    <s v="[1602297, 1602247]"/>
    <s v="#FIELD!"/>
    <s v="[651911, 1602297]"/>
    <s v="[0.067, 0.11]"/>
    <s v="30.323850606101722"/>
    <s v="[-0.067, -0.11]"/>
  </r>
  <r>
    <x v="1944"/>
    <x v="2544"/>
    <x v="0"/>
    <n v="0"/>
    <m/>
    <n v="661149"/>
    <n v="652356"/>
    <s v="0.015"/>
    <n v="652355"/>
    <s v="0.015"/>
    <s v="31.684974528608993"/>
    <s v="0.015"/>
  </r>
  <r>
    <x v="1944"/>
    <x v="2545"/>
    <x v="0"/>
    <n v="0"/>
    <s v="LINESTRING (10.355218608618427 63.333707836361974, 10.355075962478207 63.333779393720306, 10.354888718640122 63.333792707874004)"/>
    <s v="[661189, 661197]"/>
    <s v="[652395, 652355]"/>
    <s v="#FIELD!"/>
    <s v="[652390, 652395]"/>
    <s v="[0.012, 0.001]"/>
    <s v="20.2105803979508"/>
    <s v="[-0.012, -0.001]"/>
  </r>
  <r>
    <x v="1944"/>
    <x v="2546"/>
    <x v="0"/>
    <n v="0"/>
    <s v="LINESTRING (10.355783301591543 63.33457474992995, 10.355852433676107 63.33452089187775, 10.355880001288073 63.33442815204523, 10.355878556246163 63.33442111771156, 10.35584227132489 63.334348812102434, 10.355037937316597 63.33383516564299, 10.354888718640122 63.333792707874004)"/>
    <s v="[661549, 661557, 661567, 661575, 661580, 661588]"/>
    <s v="[652709, 652718, 652727, 652735, 652742, 652355]"/>
    <s v="0.014248257942681957"/>
    <s v="[652431, 652709, 652718, 652727, 652735, 652742]"/>
    <s v="[0.015, 0.016, 0.024, 0.015, 0.014, 0.012]"/>
    <s v="105.68886472515754"/>
    <s v="[0.015, 0.016, 0.024, 0.015, 0.014, 0.012]"/>
  </r>
  <r>
    <x v="1945"/>
    <x v="2547"/>
    <x v="0"/>
    <n v="0"/>
    <m/>
    <n v="661157"/>
    <n v="652365"/>
    <s v="#FIELD!"/>
    <n v="652356"/>
    <s v="0.002"/>
    <s v="24.808183889080176"/>
    <s v="#FIELD!"/>
  </r>
  <r>
    <x v="1945"/>
    <x v="2548"/>
    <x v="0"/>
    <n v="0"/>
    <s v="LINESTRING (10.354716027807038 63.33356981316176, 10.354745807508833 63.333508106958384, 10.353263023960656 63.33077723690466, 10.353252682308888 63.33069389809681)"/>
    <s v="[661342, 661350, 682464]"/>
    <s v="[652527, 652534, 673409]"/>
    <s v="#FIELD!"/>
    <s v="[652356, 652527, 652534]"/>
    <s v="[0.018, 0.04, 0.014]"/>
    <s v="334.8713567496417"/>
    <s v="[0.018, -0.04, 0.014]"/>
  </r>
  <r>
    <x v="1946"/>
    <x v="2549"/>
    <x v="0"/>
    <n v="0"/>
    <s v="LINESTRING (10.355158753113752 63.33356915193742, 10.355230603933018 63.33362850896119, 10.355230172238915 63.33369063326329)"/>
    <s v="[661165, 661173]"/>
    <s v="[652373, 652383]"/>
    <s v="#FIELD!"/>
    <s v="[652365, 652373]"/>
    <s v="0.017"/>
    <s v="14.460607891567715"/>
    <s v="#FIELD!"/>
  </r>
  <r>
    <x v="1946"/>
    <x v="2184"/>
    <x v="0"/>
    <s v="[0, 0, 1]"/>
    <s v="LINESTRING (10.355158753113752 63.33356915193742, 10.355277618086006 63.3335764204778, 10.355537450228631 63.33356846864805, 10.355902146654225 63.33356031343141)"/>
    <s v="[661382, 661390, 661398]"/>
    <s v="[652564, 652571, 652520]"/>
    <s v="#FIELD!"/>
    <s v="[652365, 652564, 652571]"/>
    <s v="[0.006, 0.001, 0.001]"/>
    <s v="37.5838265034077"/>
    <s v="[-0.006, -0.001, -0.001]"/>
  </r>
  <r>
    <x v="1947"/>
    <x v="2545"/>
    <x v="0"/>
    <n v="0"/>
    <m/>
    <n v="661181"/>
    <n v="652390"/>
    <s v="#FIELD!"/>
    <n v="652383"/>
    <s v="0.02"/>
    <s v="2.0036831087531692"/>
    <s v="#FIELD!"/>
  </r>
  <r>
    <x v="1947"/>
    <x v="2184"/>
    <x v="0"/>
    <s v="[0, 0, 1]"/>
    <s v="LINESTRING (10.355230172238915 63.33369063326329, 10.355313495211231 63.333669072074954, 10.355585206010362 63.33361471958473, 10.355902146654225 63.33356031343141)"/>
    <s v="[661358, 661366, 661374]"/>
    <s v="[652542, 652551, 652520]"/>
    <s v="0.004742313487282338"/>
    <s v="[652383, 652542, 652551]"/>
    <s v="[0.007, 0.006, 0.003]"/>
    <s v="36.72005175092219"/>
    <s v="[0.007, 0.006, 0.003]"/>
  </r>
  <r>
    <x v="1948"/>
    <x v="2550"/>
    <x v="0"/>
    <n v="0"/>
    <s v="LINESTRING (10.356130616665997 63.33460118754487, 10.356061664805896 63.33452707899437, 10.356019310977326 63.33444130250206, 10.356008844454934 63.334409100550054, 10.355986044580316 63.334362324037876, 10.355958278378795 63.334320897924506, 10.35531332615828 63.33381627427649, 10.355256972126051 63.333760201629836, 10.355218608618427 63.333707836361974)"/>
    <s v="[661478, 661486, 661494, 661502, 661510, 661518, 661526, 661541]"/>
    <s v="[652651, 652658, 652667, 652674, 652679, 652686, 652693, 652390]"/>
    <s v="0.014524813752700982"/>
    <s v="[652440, 652651, 652658, 652667, 652674, 652679, 652686, 652693]"/>
    <s v="[0.012, 0.016, 0.014, 0.016, 0.014, 0.014, 0.018, 0.017]"/>
    <s v="110.97119131154409"/>
    <s v="[0.012, 0.016, 0.014, 0.016, 0.014, 0.014, 0.018, 0.017]"/>
  </r>
  <r>
    <x v="1949"/>
    <x v="2550"/>
    <x v="0"/>
    <n v="0"/>
    <s v="LINESTRING (10.355783301591543 63.33457474992995, 10.355952262621527 63.33456191716348, 10.356130616665997 63.33460118754487)"/>
    <s v="[661230, 661238]"/>
    <s v="[652432, 652440]"/>
    <s v="0.0001685018215101116"/>
    <s v="[652431, 652432]"/>
    <s v="[0.005, 0.004]"/>
    <s v="18.537319247312343"/>
    <s v="[0.005, -0.004]"/>
  </r>
  <r>
    <x v="1949"/>
    <x v="2551"/>
    <x v="0"/>
    <n v="0"/>
    <s v="LINESTRING (10.356182187246718 63.334757631137464, 10.356082294322773 63.334807428440875, 10.355841651417474 63.33482547667203, 10.35567803829235 63.33477670515658, 10.355640531355002 63.33474751476656, 10.35562435932305 63.334666773821596, 10.35569392402268 63.33460528630007, 10.355783301591543 63.33457474992995)"/>
    <s v="[661254, 661262, 661270, 661278, 661286, 661294, 661302]"/>
    <s v="[652452, 652458, 652465, 652468, 652473, 652476, 652431]"/>
    <s v="0.004355580697630109"/>
    <s v="[652447, 652452, 652458, 652465, 652468, 652473, 652476]"/>
    <s v="[0.015, 0.008, 0.005, 0.013, 0.016, 0.016, 0.016]"/>
    <s v="55.92641889561742"/>
    <s v="[-0.015, -0.008, 0.005, 0.013, 0.016, 0.016, 0.016]"/>
  </r>
  <r>
    <x v="1950"/>
    <x v="2551"/>
    <x v="0"/>
    <n v="0"/>
    <m/>
    <n v="661246"/>
    <n v="652447"/>
    <s v="#FIELD!"/>
    <n v="652440"/>
    <s v="0.014"/>
    <s v="18.541905840808976"/>
    <s v="#FIELD!"/>
  </r>
  <r>
    <x v="1951"/>
    <x v="2552"/>
    <x v="0"/>
    <n v="0"/>
    <s v="LINESTRING (10.361250621150235 63.33833588188892, 10.36112070226509 63.33828524764271, 10.356444976696206 63.33472003559813, 10.356303614629345 63.334733085805176, 10.356182187246718 63.334757631137464)"/>
    <s v="[1340984, 661310, 661318, 661326]"/>
    <s v="[652493, 652494, 652502, 652447]"/>
    <s v="#FIELD!"/>
    <s v="[673434, 652493, 652494, 652502]"/>
    <s v="[0.205, 0.017, 0.007, 0.012]"/>
    <s v="495.2330623462454"/>
    <s v="[-0.205, -0.017, -0.007, -0.012]"/>
  </r>
  <r>
    <x v="1952"/>
    <x v="2553"/>
    <x v="0"/>
    <n v="0"/>
    <s v="LINESTRING (28.191784155311876 70.19806922404503, 28.19230922940745 70.19819685942906, 28.192435019840435 70.19821546809578)"/>
    <s v="[663097, 663105]"/>
    <s v="[654103, 654112]"/>
    <s v="#FIELD!"/>
    <s v="[654095, 654103]"/>
    <s v="[0.076, 0.08]"/>
    <s v="29.705804895346528"/>
    <s v="[-0.076, -0.08]"/>
  </r>
  <r>
    <x v="1952"/>
    <x v="2554"/>
    <x v="0"/>
    <n v="0"/>
    <s v="LINESTRING (28.191784155311876 70.19806922404503, 28.192040154396455 70.19827264080321, 28.192071064942642 70.19831683697387)"/>
    <s v="[663113, 663121]"/>
    <s v="[654119, 654127]"/>
    <s v="#FIELD!"/>
    <s v="[654095, 654119]"/>
    <s v="[0.052, 0.042]"/>
    <s v="29.81830358101606"/>
    <s v="[-0.052, -0.042]"/>
  </r>
  <r>
    <x v="1952"/>
    <x v="2555"/>
    <x v="0"/>
    <n v="0"/>
    <s v="LINESTRING (27.986601220972663 70.08572536798974, 28.191784155311876 70.19806922404503)"/>
    <m/>
    <m/>
    <s v="0.0"/>
    <m/>
    <n v="0"/>
    <s v="13078.160710764614"/>
    <n v="0"/>
  </r>
  <r>
    <x v="1953"/>
    <x v="2556"/>
    <x v="0"/>
    <n v="0"/>
    <m/>
    <n v="663227"/>
    <n v="654132"/>
    <s v="#FIELD!"/>
    <n v="654112"/>
    <s v="0.071"/>
    <s v="20.063306848856826"/>
    <s v="#FIELD!"/>
  </r>
  <r>
    <x v="1953"/>
    <x v="2554"/>
    <x v="0"/>
    <n v="0"/>
    <s v="LINESTRING (28.192071064942642 70.19831683697387, 28.19221528202065 70.19824920125606, 28.192435019840435 70.19821546809578)"/>
    <s v="[663306, 663318]"/>
    <s v="[654291, 654112]"/>
    <s v="#FIELD!"/>
    <s v="[654127, 654291]"/>
    <s v="[0.026, 0.059]"/>
    <s v="18.482530772277716"/>
    <s v="[-0.026, -0.059]"/>
  </r>
  <r>
    <x v="1954"/>
    <x v="2557"/>
    <x v="0"/>
    <n v="0"/>
    <s v="LINESTRING (28.192924776067564 70.19844736366339, 28.19240809459663 70.1985277443786, 28.19217176487293 70.19848242855313, 28.192057052446152 70.19841318815217, 28.192071064942642 70.19831683697387)"/>
    <s v="[663276, 663287, 663295, 663305]"/>
    <s v="[654264, 654274, 654282, 654127]"/>
    <s v="0.049710796243548835"/>
    <s v="[654178, 654264, 654274, 654282]"/>
    <s v="[0.052, 0.074, 0.053, 0.019]"/>
    <s v="52.720167517964015"/>
    <s v="[0.052, 0.074, 0.053, 0.019]"/>
  </r>
  <r>
    <x v="1955"/>
    <x v="2558"/>
    <x v="0"/>
    <s v="[0, 0, 0, 1, 0, 0]"/>
    <s v="LINESTRING (28.19290059939313 70.19828401497205, 28.193024221046947 70.19830177841061, 28.193376620228733 70.19832834318143, 28.195301299011255 70.19830278395222, 28.202140536385848 70.19818893744984, 28.202942486016916 70.19813945445674, 28.203062284634438 70.19811565773118)"/>
    <s v="[663129, 663137, 663152, 663158, 663166, 663176]"/>
    <s v="[654133, 654140, 654154, 654158, 654166, 654177]"/>
    <s v="0.04411026447613985"/>
    <s v="[654132, 654133, 654140, 654154, 654158, 654166]"/>
    <s v="[0.073, 0.077, 0.072, 0.064, 0.201, 0.172]"/>
    <s v="387.97595086549046"/>
    <s v="[-0.073, -0.077, -0.072, 0.064, 0.201, 0.172]"/>
  </r>
  <r>
    <x v="1955"/>
    <x v="2557"/>
    <x v="0"/>
    <n v="0"/>
    <s v="LINESTRING (28.19290059939313 70.19828401497205, 28.192978992713222 70.19836466800813, 28.192924776067564 70.19844736366339)"/>
    <s v="[663241, 663256]"/>
    <s v="[654239, 654178]"/>
    <s v="#FIELD!"/>
    <s v="[654132, 654239]"/>
    <s v="[0.041, 0.002]"/>
    <s v="18.97429503282739"/>
    <s v="[-0.041, -0.002]"/>
  </r>
  <r>
    <x v="1956"/>
    <x v="2559"/>
    <x v="0"/>
    <n v="0"/>
    <m/>
    <n v="663326"/>
    <n v="654306"/>
    <s v="0.141"/>
    <n v="654177"/>
    <s v="0.141"/>
    <s v="13.247384805455017"/>
    <s v="0.141"/>
  </r>
  <r>
    <x v="1956"/>
    <x v="2560"/>
    <x v="0"/>
    <n v="0"/>
    <s v="LINESTRING (28.203067087305264 70.19826654409398, 28.203009942079746 70.19819785270636, 28.203062284634438 70.19811565773118)"/>
    <s v="[663378, 663379]"/>
    <s v="[654360, 654177]"/>
    <s v="#FIELD!"/>
    <s v="[654219, 654360]"/>
    <s v="[0.081, 0.022]"/>
    <s v="17.389054512665428"/>
    <s v="[-0.081, 0.022]"/>
  </r>
  <r>
    <x v="1957"/>
    <x v="2560"/>
    <x v="0"/>
    <s v="[0, 0, 0, 1, 0, 0]"/>
    <s v="LINESTRING (28.192924776067564 70.19844736366339, 28.193044126527123 70.1984245235895, 28.19338996540244 70.19838621210519, 28.19530795020973 70.19834952676122, 28.20214737358813 70.1982359417597, 28.202953021313835 70.19825310742443, 28.203067087305264 70.19826654409398)"/>
    <s v="[663177, 663184, 663185, 663193, 663211, 663219]"/>
    <s v="[654179, 654185, 654186, 654193, 654212, 654219]"/>
    <s v="0.046505050799415956"/>
    <s v="[654178, 654179, 654185, 654186, 654193, 654212]"/>
    <s v="[0.05, 0.065, 0.071, 0.065, 0.209, 0.221]"/>
    <s v="386.85929333375316"/>
    <s v="[-0.05, -0.065, -0.071, 0.065, 0.209, 0.221]"/>
  </r>
  <r>
    <x v="1958"/>
    <x v="2561"/>
    <x v="0"/>
    <n v="0"/>
    <s v="LINESTRING (28.203788270918555 70.1980710313548, 28.20365362134319 70.19833745768712, 28.203386327677983 70.19834583395776, 28.203184356217125 70.19831434810615, 28.203067087305264 70.19826654409398)"/>
    <s v="[663350, 663361, 663369, 663370]"/>
    <s v="[654339, 654345, 654353, 654219]"/>
    <s v="#FIELD!"/>
    <s v="[654338, 654339, 654345, 654353]"/>
    <s v="[0.011, 0.203, 0.212, 0.141]"/>
    <s v="61.29139908714613"/>
    <s v="[-0.011, -0.203, -0.212, -0.141]"/>
  </r>
  <r>
    <x v="1959"/>
    <x v="2561"/>
    <x v="0"/>
    <n v="0"/>
    <s v="LINESTRING (28.20332293533936 70.19803984642496, 28.203567588691882 70.19803444610676, 28.203788270918555 70.1980710313548)"/>
    <s v="[663342, 663349]"/>
    <s v="[654326, 654338]"/>
    <s v="0.20449460408087528"/>
    <s v="[654306, 654326]"/>
    <s v="[0.21, 0.199]"/>
    <s v="18.61333571737614"/>
    <s v="[0.21, 0.199]"/>
  </r>
  <r>
    <x v="1959"/>
    <x v="2562"/>
    <x v="0"/>
    <n v="0"/>
    <s v="LINESTRING (28.20332293533936 70.19803984642496, 28.203413868272868 70.19800365265776, 28.203676192994106 70.19784788090375)"/>
    <s v="[684032, 684040]"/>
    <s v="[675252, 675246]"/>
    <s v="0.09207612460744419"/>
    <s v="[654306, 675252]"/>
    <s v="[0.115, 0.086]"/>
    <s v="25.38189725691595"/>
    <s v="[0.115, 0.086]"/>
  </r>
  <r>
    <x v="1960"/>
    <x v="2562"/>
    <x v="0"/>
    <n v="0"/>
    <s v="LINESTRING (28.203788270918555 70.1980710313548, 28.203743183721745 70.19802542463457, 28.203676192994106 70.19784788090375)"/>
    <s v="[684016, 684024]"/>
    <s v="[675240, 675246]"/>
    <s v="#FIELD!"/>
    <s v="[654338, 675240]"/>
    <s v="[0.094, 0.048]"/>
    <s v="25.40135769524141"/>
    <s v="[-0.094, -0.048]"/>
  </r>
  <r>
    <x v="1961"/>
    <x v="2563"/>
    <x v="0"/>
    <s v="[0, 0, 1, 0, 0, 0, 0, 0, 0, 0, 0]"/>
    <s v="LINESTRING (10.728653509535208 59.91262534639425, 10.728653509535208 59.91262534639425, 10.728589994914781 59.91259656146515, 10.728385588432728 59.91248742087114, 10.72747051219623 59.912046567666465, 10.72727695024381 59.9119528295594, 10.727071996579399 59.91185398261405, 10.727061341766715 59.91184884405633, 10.726945789038492 59.911793272619086, 10.726837947094937 59.91174248330328, 10.730977911730207 59.91126566448094, 10.731150319622822 59.911313985609844)"/>
    <s v="[664245, 664246, 732837, 732845, 732853, 732861, 732869, 732877, 732885, 732893, 816427]"/>
    <s v="[655076, 655077, 720133, 720137, 720140, 720146, 720150, 720153, 720158, 720161, 794428]"/>
    <s v="#FIELD!"/>
    <s v="[655059, 655076, 655077, 720133, 720137, 720140, 720146, 720150, 720153, 720158, 720161]"/>
    <s v="[0.0, 0.001, 0.22, 0.025, 0.028, 0.023, 0.007, 0.024, 0.019, 0.005, 0.007]"/>
    <s v="936.7364038104312"/>
    <s v="[0.0, -0.001, -0.22, -0.025, -0.028, -0.023, 0.007, -0.024, -0.019, -0.005, 0.007]"/>
  </r>
  <r>
    <x v="1961"/>
    <x v="2564"/>
    <x v="0"/>
    <s v="[0, 1, 1, 0, 0, 0, 0]"/>
    <s v="LINESTRING (10.728653509535208 59.91262534639425, 10.728946950889872 59.91264456212174, 10.730121275250523 59.91236579210422, 10.730168191222427 59.91235463564817, 10.731067203098311 59.912152788707864, 10.731147173806656 59.91216654131593, 10.731513203910056 59.912535495308504, 10.731543544064861 59.912589737751674)"/>
    <s v="[664283, 781650, 781658, 781666, 377233, 781674, 781682]"/>
    <s v="[655104, 761761, 761766, 366258, 366259, 761780, 720901]"/>
    <s v="#FIELD!"/>
    <s v="[655059, 655104, 761761, 761766, 366258, 366259, 761780]"/>
    <s v="[0.051, 0.096, 0.05, 0.051, 0.012, 0.078, 0.014]"/>
    <s v="196.5695837456384"/>
    <s v="[-0.051, -0.096, -0.05, 0.051, -0.012, -0.078, 0.014]"/>
  </r>
  <r>
    <x v="1962"/>
    <x v="2565"/>
    <x v="0"/>
    <n v="0"/>
    <s v="LINESTRING (30.038197988101967 69.71986167591585, 30.04063206841168 69.71989900637928, 30.040690904583727 69.719901525127, 30.040905044769964 69.71990065143494, 30.041051225480878 69.71989387503774)"/>
    <s v="[664626, 664634, 664635, 664642]"/>
    <s v="[655345, 655353, 655354, 655359]"/>
    <s v="#FIELD!"/>
    <s v="[655251, 655345, 655353, 655354]"/>
    <s v="[0.013, 0.013, 0.013, 0.004]"/>
    <s v="111.4101059241564"/>
    <s v="[-0.013, -0.013, -0.013, -0.004]"/>
  </r>
  <r>
    <x v="1962"/>
    <x v="2566"/>
    <x v="0"/>
    <n v="0"/>
    <s v="LINESTRING (30.038197988101967 69.71986167591585, 30.04059018053449 69.71995050793876, 30.04065051045368 69.71995884606044, 30.040851267183154 69.71999896870334, 30.040961852468204 69.72002520193003)"/>
    <s v="[664659, 664675, 664697, 664705]"/>
    <s v="[655374, 655391, 655416, 655421]"/>
    <s v="#FIELD!"/>
    <s v="[655251, 655374, 655391, 655416]"/>
    <s v="[0.015, 0.028, 0.03, 0.036]"/>
    <s v="110.46229713314486"/>
    <s v="[-0.015, -0.028, -0.03, -0.036]"/>
  </r>
  <r>
    <x v="1962"/>
    <x v="2567"/>
    <x v="0"/>
    <n v="0"/>
    <s v="LINESTRING (30.027404048759625 69.70846602435265, 30.027650647335086 69.70906780230528, 30.028144116949942 69.70991445061117, 30.028531906392807 69.71058190034948, 30.034303025776804 69.7183994888472, 30.036822806795282 69.71980744505234, 30.037734887323147 69.71985736967854, 30.038197988101967 69.71986167591585)"/>
    <s v="[2095132, 1163748, 1163756, 1163764, 1163772, 664508, 664509]"/>
    <s v="[1097933, 1097934, 1049459, 1097942, 655249, 655250, 655251]"/>
    <s v="#FIELD!"/>
    <s v="[1812596, 1097933, 1097934, 1049459, 1097942, 655249, 655250]"/>
    <s v="[0.036, 0.011, 0.011, 0.003, 0.043, 0.013, 0.012]"/>
    <s v="1404.851968404546"/>
    <s v="[-0.036, -0.011, -0.011, -0.003, -0.043, -0.013, -0.012]"/>
  </r>
  <r>
    <x v="1963"/>
    <x v="2568"/>
    <x v="200"/>
    <n v="0"/>
    <s v="LINESTRING (30.042200025579227 69.72011882975399, 30.042950687294304 69.7202646611226, 30.04313790956356 69.72029977575556, 30.044002889044744 69.72055976511126, 30.044287300798434 69.72094596043851, 30.044320396225167 69.72101739554469, 30.0441072704614 69.72216469867112, 30.042729472846606 69.72325035111882, 30.041092094625363 69.72503104223273, 30.040798357527375 69.72597555925431, 30.040765035636326 69.72608172172922, 30.040487128867735 69.72650399958351, 30.04009282962968 69.726767621685, 30.03962102726489 69.72705837135926, 30.038710854340195 69.72766033675344, 30.038102786637292 69.72805638190027, 30.037580115064326 69.72840516271503, 30.037615595856078 69.72865056816246, 30.039383337452033 69.72897088295431, 30.044853281114964 69.72914282920058, 30.05635195835962 69.7291338294128, 30.06018792868513 69.72752156908723, 30.06083545729002 69.72723719133657, 30.063848888965467 69.72622847556164, 30.064014293094544 69.72617521425076, 30.064495330484796 69.72602035010084, 30.066880676719485 69.72544904420573, 30.06738549525652 69.72537743924971, 30.06757995075005 69.72535303992866, 30.070460085609604 69.72515042220812, 30.071610962590942 69.72533820065605, 30.072219830062302 69.7255085625137, 30.072539183182535 69.72560388122041, 30.07287976808068 69.72570865124575, 30.075398933815016 69.72714903598022, 30.07519408050104 69.72718761936467, 30.07510518257012 69.72720593744286, 30.073202362566867 69.72789832659316, 30.072544379396785 69.72821960286801)"/>
    <s v="[664555, 664563, 1163780, 1163788, 1163796, 1163804, 1163812, 1163820, 1163828, 1163836, 1163844, 1163852, 1163860, 1163868, 1163876, 1163884, 1163891, 1163901, 1163909, 1163917, 1163925, 1163933, 1163935, 1163936, 1163938, 1163946, 1163954, 1163962, 1163970, 1163978, 1163986, 1163994, 1164002, 1164010, 1164018, 1164026, 1164034, 1164037]"/>
    <s v="[655286, 655291, 970897, 1097959, 1097963, 985170, 985153, 1097979, 1097984, 1008705, 992591, 992590, 982564, 992840, 1098015, 1098022, 984594, 1098034, 984650, 998295, 998285, 1098054, 1098056, 982555, 1098058, 1098066, 1098073, 971015, 1098085, 1098094, 1098100, 960512, 1098111, 970826, 1098122, 1098125, 969403, 1098131]"/>
    <s v="#FIELD!"/>
    <s v="[655285, 655286, 655291, 970897, 1097959, 1097963, 985170, 985153, 1097979, 1097984, 1008705, 992591, 992590, 982564, 992840, 1098015, 1098022, 984594, 1098034, 984650, 998295, 998285, 1098054, 1098056, 982555, 1098058, 1098066, 1098073, 971015, 1098085, 1098094, 1098100, 960512, 1098111, 970826, 1098122, 1098125, 969403]"/>
    <s v="[0.117, 0.111, 0.141, 0.093, 0.099, 0.082, 0.004, 0.01, 0.03, 0.033, 0.031, 0.027, 0.038, 0.051, 0.033, 0.033, 0.031, 0.007, 0.002, 0.008, 0.03, 0.016, 0.025, 0.036, 0.003, 0.076, 0.06, 0.06, 0.067, 0.037, 0.029, 0.007, 0.003, 0.004, 0.002, 0.002, 0.006, 0.005]"/>
    <s v="3017.6802223983614"/>
    <s v="[0.117, 0.111, -0.141, -0.093, -0.099, -0.082, -0.004, -0.01, -0.03, -0.033, -0.031, -0.027, -0.038, -0.051, -0.033, -0.033, -0.031, -0.007, -0.002, 0.008, 0.03, 0.016, 0.025, 0.036, -0.003, -0.076, -0.06, -0.06, -0.067, -0.037, -0.029, -0.007, 0.003, 0.004, 0.002, 0.002, -0.006, -0.005]"/>
  </r>
  <r>
    <x v="1963"/>
    <x v="2569"/>
    <x v="0"/>
    <n v="0"/>
    <s v="LINESTRING (30.041632927136877 69.71994497147581, 30.04173902472643 69.71998033742386, 30.042200025579227 69.72011882975399)"/>
    <s v="[664878, 664884]"/>
    <s v="[655578, 655285]"/>
    <s v="#FIELD!"/>
    <s v="[655460, 655578]"/>
    <s v="[0.044, 0.016]"/>
    <s v="29.401869041833447"/>
    <s v="[-0.044, -0.016]"/>
  </r>
  <r>
    <x v="1963"/>
    <x v="2570"/>
    <x v="201"/>
    <n v="0"/>
    <s v="LINESTRING (30.041527074168 69.72007663468037, 30.041650837951906 69.72007646007397, 30.042200025579227 69.72011882975399)"/>
    <s v="[664876, 664877]"/>
    <s v="[655577, 655285]"/>
    <s v="#FIELD!"/>
    <s v="[655471, 655577]"/>
    <s v="[0.015, 0.003]"/>
    <s v="26.658867081348745"/>
    <s v="[-0.015, 0.003]"/>
  </r>
  <r>
    <x v="1964"/>
    <x v="2569"/>
    <x v="0"/>
    <n v="0"/>
    <s v="LINESTRING (30.041051225480878 69.71989387503774, 30.041200677109476 69.71986459684236, 30.041408625461443 69.7198664928396, 30.041553613150924 69.71989867013542, 30.041632927136877 69.71994497147581)"/>
    <s v="[664713, 664721, 664733, 664751]"/>
    <s v="[655313, 655438, 655332, 655460]"/>
    <s v="#FIELD!"/>
    <s v="[655359, 655313, 655438, 655332]"/>
    <s v="[0.009, 0.017, 0.031, 0.038]"/>
    <s v="27.46196827046086"/>
    <s v="[0.009, -0.017, -0.031, -0.038]"/>
  </r>
  <r>
    <x v="1964"/>
    <x v="2566"/>
    <x v="0"/>
    <n v="0"/>
    <s v="LINESTRING (30.040961852468204 69.72002520193003, 30.040952636189985 69.71995149509578, 30.041051225480878 69.71989387503774)"/>
    <s v="[664816, 664823]"/>
    <s v="[655518, 655359]"/>
    <s v="0.035336671426203566"/>
    <s v="[655421, 655518]"/>
    <s v="[0.042, 0.028]"/>
    <s v="15.763001926463861"/>
    <s v="[0.042, 0.028]"/>
  </r>
  <r>
    <x v="1965"/>
    <x v="2570"/>
    <x v="0"/>
    <n v="0"/>
    <s v="LINESTRING (30.041527074168 69.72007663468037, 30.041406688855652 69.72010023999007, 30.041182636428395 69.72009993612656, 30.041062985690793 69.72007631931803, 30.040961852468204 69.72002520193003)"/>
    <s v="[664783, 664790, 664805, 664815]"/>
    <s v="[655490, 655494, 655509, 655421]"/>
    <s v="0.021354990965273307"/>
    <s v="[655471, 655490, 655494, 655509]"/>
    <s v="[0.003, 0.017, 0.03, 0.039]"/>
    <s v="26.36213162561703"/>
    <s v="[-0.003, 0.017, 0.03, 0.039]"/>
  </r>
  <r>
    <x v="1966"/>
    <x v="2570"/>
    <x v="0"/>
    <n v="0"/>
    <s v="LINESTRING (30.041632927136877 69.71994497147581, 30.04162422446666 69.72002982420915, 30.041527074168 69.72007663468037)"/>
    <s v="[664759, 664763]"/>
    <s v="[655466, 655471]"/>
    <s v="#FIELD!"/>
    <s v="[655460, 655466]"/>
    <s v="[0.044, 0.028]"/>
    <s v="15.96507410797911"/>
    <s v="[-0.044, -0.028]"/>
  </r>
  <r>
    <x v="1967"/>
    <x v="2571"/>
    <x v="0"/>
    <n v="0"/>
    <s v="LINESTRING (10.814598010888771 59.89878995243002, 10.814598010888771 59.89878995243002, 10.814541247308176 59.89872570214865)"/>
    <s v="[665807, 665889]"/>
    <s v="[656405, 656453]"/>
    <s v="0.0014430434713970576"/>
    <s v="[656404, 656405]"/>
    <s v="[0.0, 0.028]"/>
    <s v="152.00012455005916"/>
    <s v="[0.0, 0.028]"/>
  </r>
  <r>
    <x v="1968"/>
    <x v="2572"/>
    <x v="0"/>
    <n v="0"/>
    <s v="LINESTRING (10.817386230356503 59.90074582345999, 10.817277548024155 59.90070306805296, 10.816223651855429 59.899978744749525)"/>
    <s v="[665897, 665815]"/>
    <s v="[656409, 656410]"/>
    <s v="0.02428441618855537"/>
    <s v="[656459, 656409]"/>
    <s v="[0.028, 0.024]"/>
    <s v="108.68469186583755"/>
    <s v="[0.028, 0.024]"/>
  </r>
  <r>
    <x v="1969"/>
    <x v="2573"/>
    <x v="0"/>
    <n v="0"/>
    <s v="LINESTRING (10.819943609799719 59.90622555935826, 10.819943609799719 59.90622555935826, 10.820024942789294 59.90597922725443, 10.820515856587877 59.90480010756874, 10.820298402193584 59.9038339375697, 10.820318230382282 59.90376173773909)"/>
    <s v="[665820, 665827, 727348, 727356, 751602]"/>
    <s v="[656414, 656420, 716607, 716612, 733236]"/>
    <s v="0.012525519969946322"/>
    <s v="[656413, 656414, 656420, 716607, 716612]"/>
    <s v="[0.0, 0.024, 0.028, 0.042, 0.262]"/>
    <s v="290.0261298325329"/>
    <s v="[0.0, 0.024, -0.028, 0.042, 0.262]"/>
  </r>
  <r>
    <x v="1969"/>
    <x v="2574"/>
    <x v="0"/>
    <n v="0"/>
    <s v="LINESTRING (10.819943609799719 59.90622555935826, 10.820325790064047 59.90609542761943, 10.821384183141749 59.90529083971547, 10.821477357273023 59.90520478413185)"/>
    <s v="[730872, 730880, 730888]"/>
    <s v="[718811, 707362, 718824]"/>
    <s v="0.00680943749418141"/>
    <s v="[656413, 718811, 707362]"/>
    <s v="[0.022, 0.004, 0.0]"/>
    <s v="143.25227624073818"/>
    <s v="[0.022, 0.004, -0.0]"/>
  </r>
  <r>
    <x v="1970"/>
    <x v="2572"/>
    <x v="0"/>
    <n v="0"/>
    <s v="LINESTRING (10.814541247308176 59.89872570214865, 10.814545378116033 59.8987281443088, 10.815343900997844 59.89924241680427, 10.815966665753663 59.89967930904123, 10.816289841690987 59.899904135070706, 10.817386230356503 59.90074582345999)"/>
    <s v="[779445, 779453, 779461, 779469, 779477]"/>
    <s v="[759572, 759582, 759589, 759594, 656459]"/>
    <s v="#FIELD!"/>
    <s v="[656453, 759572, 759582, 759589, 759594]"/>
    <s v="[2.957, 0.027, 0.015, 0.034, 0.033]"/>
    <s v="275.9617382710628"/>
    <s v="[-2.957, -0.027, -0.015, -0.034, -0.033]"/>
  </r>
  <r>
    <x v="1970"/>
    <x v="2575"/>
    <x v="0"/>
    <n v="0"/>
    <s v="LINESTRING (10.81044250521518 59.896754550889824, 10.8121417226039 59.89748182372112, 10.812154779135906 59.897487849855395, 10.814541247308176 59.89872570214865)"/>
    <s v="[779421, 779429, 779437]"/>
    <s v="[759547, 759555, 656453]"/>
    <s v="#FIELD!"/>
    <s v="[733170, 759547, 759555]"/>
    <s v="[0.012, 0.084, 0.011]"/>
    <s v="318.13584508325937"/>
    <s v="[-0.012, 0.084, -0.011]"/>
  </r>
  <r>
    <x v="1971"/>
    <x v="2573"/>
    <x v="0"/>
    <n v="0"/>
    <s v="LINESTRING (10.817386230356503 59.90074582345999, 10.817392935625975 59.90075113465546, 10.819798390400887 59.90303815072199, 10.819850266054987 59.903099275956414, 10.820318230382282 59.90376173773909)"/>
    <s v="[779485, 779493, 779501, 779509]"/>
    <s v="[759609, 759616, 759624, 733236]"/>
    <s v="#FIELD!"/>
    <s v="[656459, 759609, 759616, 759624]"/>
    <s v="[2.664, 0.05, 0.035, 0.019]"/>
    <s v="375.02477623887165"/>
    <s v="[-2.664, -0.05, -0.035, -0.019]"/>
  </r>
  <r>
    <x v="1972"/>
    <x v="2576"/>
    <x v="0"/>
    <n v="0"/>
    <m/>
    <n v="666108"/>
    <n v="656542"/>
    <s v="#FIELD!"/>
    <n v="656524"/>
    <s v="0.024"/>
    <s v="14.831394928915248"/>
    <s v="#FIELD!"/>
  </r>
  <r>
    <x v="1972"/>
    <x v="2577"/>
    <x v="0"/>
    <s v="[0, 0, 0, 1]"/>
    <s v="LINESTRING (10.30125393496165 63.32151954814474, 10.301275233996483 63.32147242691406, 10.29699703986888 63.31761553968686, 10.296965266850515 63.31757047782492, 10.296897938141711 63.31748159597494)"/>
    <s v="[665993, 665994, 1225192, 1225193]"/>
    <s v="[656525, 656526, 1148039, 673584]"/>
    <s v="#FIELD!"/>
    <s v="[656524, 656525, 656526, 1148039]"/>
    <s v="[0.019, 0.012, 0.46, 0.006]"/>
    <s v="519.4390611211452"/>
    <s v="[-0.019, -0.012, 0.46, -0.006]"/>
  </r>
  <r>
    <x v="1972"/>
    <x v="2578"/>
    <x v="0"/>
    <n v="0"/>
    <s v="LINESTRING (10.301254291897656 63.32174879024029, 10.301143435622139 63.32170178378493, 10.301102332426186 63.321645569544735, 10.301118817155972 63.321588738844305, 10.30125393496165 63.32151954814474)"/>
    <s v="[666072, 666081, 666082, 666089]"/>
    <s v="[656587, 656592, 656593, 656524]"/>
    <s v="#FIELD!"/>
    <s v="[656586, 656587, 656592, 656593]"/>
    <s v="[0.009, 0.003, 0.017, 0.025]"/>
    <s v="30.89266978477665"/>
    <s v="[0.009, -0.003, -0.017, -0.025]"/>
  </r>
  <r>
    <x v="1973"/>
    <x v="2579"/>
    <x v="0"/>
    <n v="0"/>
    <s v="LINESTRING (10.301540224271234 63.321522885752294, 10.3016469597582 63.321574791896154, 10.301678639202722 63.32162943580553, 10.30165635888211 63.3216825679449, 10.301550134163364 63.321742640888544)"/>
    <s v="[666127, 666152, 666153, 666170]"/>
    <s v="[656629, 656657, 656658, 656662]"/>
    <s v="0.009428256460818909"/>
    <s v="[656542, 656629, 656657, 656658]"/>
    <s v="[0.009, 0.006, 0.015, 0.025]"/>
    <s v="28.763165023782108"/>
    <s v="[-0.009, 0.006, 0.015, 0.025]"/>
  </r>
  <r>
    <x v="1973"/>
    <x v="2355"/>
    <x v="0"/>
    <s v="[0, 0, 1, 0, 0, 0, 0]"/>
    <s v="LINESTRING (10.296070317218675 63.31656845488024, 10.29626655031789 63.31668525928457, 10.296762707965028 63.317092765792665, 10.297217270022932 63.31745384058228, 10.297633426219805 63.31775384107508, 10.3015241445342 63.3210219062423, 10.30149385131788 63.32146966316163, 10.301540224271234 63.321522885752294)"/>
    <s v="[1225191, 666280, 666288, 666296, 665995, 665996, 666016]"/>
    <s v="[656776, 656777, 656786, 656527, 656528, 656529, 656542]"/>
    <s v="0.00597912189663303"/>
    <s v="[673778, 656776, 656777, 656786, 656527, 656528, 656529]"/>
    <s v="[0.138, 0.001, 0.016, 0.021, 0.009, 0.012, 0.001]"/>
    <s v="668.8773449564806"/>
    <s v="[-0.138, -0.001, 0.016, 0.021, 0.009, 0.012, 0.001]"/>
  </r>
  <r>
    <x v="1974"/>
    <x v="2579"/>
    <x v="0"/>
    <n v="0"/>
    <s v="LINESTRING (10.301550134163364 63.321742640888544, 10.301408435318852 63.321763951952754, 10.301254291897656 63.32174879024029)"/>
    <s v="[666181, 666189]"/>
    <s v="[656673, 656586]"/>
    <s v="0.025459120325407616"/>
    <s v="[656662, 656673]"/>
    <s v="[0.027, 0.024]"/>
    <s v="15.399703256219315"/>
    <s v="[0.027, 0.024]"/>
  </r>
  <r>
    <x v="1974"/>
    <x v="2580"/>
    <x v="0"/>
    <n v="0"/>
    <s v="LINESTRING (10.302236291326386 63.32282610167591, 10.302222431796295 63.322775013886684, 10.301385125492475 63.32187738376983, 10.301302817585881 63.32179128345591, 10.301254291897656 63.32174879024029)"/>
    <s v="[666610, 666618, 666625, 666628]"/>
    <s v="[657096, 657104, 657110, 656586]"/>
    <s v="#FIELD!"/>
    <s v="[656694, 657096, 657104, 657110]"/>
    <s v="[0.008, 0.001, 0.001, 0.002]"/>
    <s v="130.1206177172142"/>
    <s v="[-0.008, -0.001, -0.001, 0.002]"/>
  </r>
  <r>
    <x v="1975"/>
    <x v="2581"/>
    <x v="0"/>
    <n v="0"/>
    <s v="LINESTRING (10.30250993564514 63.32273792109281, 10.302430355164597 63.32271200244192, 10.301539796538309 63.32186164498619, 10.301541926444816 63.32178284715329, 10.301550134163364 63.321742640888544)"/>
    <s v="[1225105, 1225111, 1225133, 1225147]"/>
    <s v="[1147949, 1147954, 1147981, 656662]"/>
    <s v="#FIELD!"/>
    <s v="[656705, 1147949, 1147954, 1147981]"/>
    <s v="[0.652, 0.008, 0.01, 0.592]"/>
    <s v="124.13365402767005"/>
    <s v="[0.652, -0.008, -0.01, -0.592]"/>
  </r>
  <r>
    <x v="1976"/>
    <x v="2582"/>
    <x v="0"/>
    <n v="0"/>
    <s v="LINESTRING (10.30240312200286 63.32302082036426, 10.302270468986691 63.32297201629139, 10.302211471702892 63.322907028193136)"/>
    <s v="[666190, 666203]"/>
    <s v="[656682, 656693]"/>
    <s v="0.005803197604100039"/>
    <s v="[656681, 656682]"/>
    <s v="[0.012, 0.001]"/>
    <s v="16.41838834650688"/>
    <s v="[0.012, -0.001]"/>
  </r>
  <r>
    <x v="1976"/>
    <x v="2158"/>
    <x v="0"/>
    <n v="0"/>
    <s v="LINESTRING (10.30240312200286 63.32302082036426, 10.302304410580701 63.32302997212521, 10.300784038669782 63.32342610468305, 10.300770544260883 63.323429238277924, 10.299391785261495 63.32365494009186)"/>
    <s v="[1225065, 1225083, 1225084, 1225088]"/>
    <s v="[1147911, 1147930, 1147931, 656745]"/>
    <s v="0.027517368780351544"/>
    <s v="[656681, 1147911, 1147930, 1147931]"/>
    <s v="[0.639, 0.01, 0.004, 0.007]"/>
    <s v="168.40686178450858"/>
    <s v="[0.639, 0.01, 0.004, 0.007]"/>
  </r>
  <r>
    <x v="1976"/>
    <x v="2583"/>
    <x v="0"/>
    <n v="0"/>
    <s v="LINESTRING (10.3028632110558 63.32286397225906, 10.302832668593965 63.32295055535854, 10.302729705519921 63.32300534112834, 10.302564747821195 63.32303308010401, 10.30240312200286 63.32302082036426)"/>
    <s v="[666241, 666243, 666244, 666245]"/>
    <s v="[656731, 656733, 656734, 656681]"/>
    <s v="#FIELD!"/>
    <s v="[656727, 656731, 656733, 656734]"/>
    <s v="[0.004, 0.016, 0.035, 0.028]"/>
    <s v="34.81571322617766"/>
    <s v="[0.004, -0.016, -0.035, -0.028]"/>
  </r>
  <r>
    <x v="1977"/>
    <x v="2580"/>
    <x v="0"/>
    <n v="0"/>
    <m/>
    <n v="666204"/>
    <n v="656694"/>
    <s v="#FIELD!"/>
    <n v="656693"/>
    <s v="0.018"/>
    <s v="9.10848505500461"/>
    <s v="#FIELD!"/>
  </r>
  <r>
    <x v="1977"/>
    <x v="2158"/>
    <x v="0"/>
    <n v="0"/>
    <s v="LINESTRING (10.302211471702892 63.322907028193136, 10.30216106757424 63.32294619223186, 10.300727458977493 63.32337853415742, 10.299391785261495 63.32365494009186)"/>
    <s v="[1225038, 1225053, 1225054]"/>
    <s v="[1147890, 1147902, 656745]"/>
    <s v="0.027388327861597606"/>
    <s v="[656693, 1147890, 1147902]"/>
    <s v="[0.612, 0.01, 0.008]"/>
    <s v="166.13459130829352"/>
    <s v="[0.612, 0.01, 0.008]"/>
  </r>
  <r>
    <x v="1978"/>
    <x v="2581"/>
    <x v="0"/>
    <n v="0"/>
    <s v="LINESTRING (10.302236291326386 63.32282610167591, 10.302344993896913 63.32276557037845, 10.30250993564514 63.32273792109281)"/>
    <s v="[666206, 666218]"/>
    <s v="[656696, 656705]"/>
    <s v="#FIELD!"/>
    <s v="[656694, 656696]"/>
    <s v="[0.026, 0.002]"/>
    <s v="17.498118225652107"/>
    <s v="[-0.026, 0.002]"/>
  </r>
  <r>
    <x v="1979"/>
    <x v="2584"/>
    <x v="0"/>
    <n v="0"/>
    <m/>
    <n v="666227"/>
    <n v="656715"/>
    <s v="0.045"/>
    <n v="656705"/>
    <s v="0.045"/>
    <s v="9.482325664152711"/>
    <s v="0.045"/>
  </r>
  <r>
    <x v="1980"/>
    <x v="2583"/>
    <x v="0"/>
    <n v="0"/>
    <m/>
    <n v="666236"/>
    <n v="656727"/>
    <s v="0.032"/>
    <n v="656715"/>
    <s v="0.032"/>
    <s v="15.12352738749862"/>
    <s v="0.032"/>
  </r>
  <r>
    <x v="1980"/>
    <x v="2585"/>
    <x v="0"/>
    <s v="[0, 0, 0, 0, 0, 1, 0, 0, 0, 0, 0]"/>
    <s v="LINESTRING (10.302694830643867 63.32275589494104, 10.30278219678138 63.32274394036224, 10.303931242231151 63.32237565225091, 10.304688194128394 63.32208290946229, 10.30519145717998 63.321872280464994, 10.306462179992087 63.32145194397388, 10.308627582171683 63.32124861526366, 10.309642152055313 63.3213400996253, 10.310123660163285 63.32142697727702, 10.311055450269473 63.32165957313397, 10.317168285046854 63.32320681572148, 10.317393899675984 63.32331630809959)"/>
    <s v="[1257014, 1257044, 1257052, 666024, 666046, 666048, 666055, 666063, 1257006, 1257013, 682289]"/>
    <s v="[1175063, 1175088, 656548, 656549, 656564, 656567, 656572, 656577, 1175060, 673387, 673388]"/>
    <s v="0.01225602207467045"/>
    <s v="[656715, 1175063, 1175088, 656548, 656549, 656564, 656567, 656572, 656577, 1175060, 673387]"/>
    <s v="[0.603, 0.005, 0.034, 0.028, 0.048, 0.041, 0.024, 0.029, 0.024, 0.007, 0.009]"/>
    <s v="852.0171510189189"/>
    <s v="[0.603, -0.005, 0.034, 0.028, 0.048, 0.041, -0.024, -0.029, 0.024, -0.007, 0.009]"/>
  </r>
  <r>
    <x v="1981"/>
    <x v="2586"/>
    <x v="0"/>
    <n v="0"/>
    <s v="LINESTRING (10.315713369413524 63.32294688218473, 10.315425223301377 63.32290574244043, 10.305105348073981 63.32221331987953, 10.302917240713988 63.32283077307397, 10.3028632110558 63.32286397225906)"/>
    <s v="[1110000, 682257, 682263, 682273]"/>
    <s v="[673355, 673356, 673363, 656727]"/>
    <s v="#FIELD!"/>
    <s v="[1050101, 673355, 673356, 673363]"/>
    <s v="[0.005, 0.014, 0.003, 0.506]"/>
    <s v="693.7403924754744"/>
    <s v="[0.005, -0.014, 0.003, -0.506]"/>
  </r>
  <r>
    <x v="1982"/>
    <x v="2587"/>
    <x v="0"/>
    <n v="0"/>
    <s v="LINESTRING (10.286795733061766 63.30290544871571, 10.286634385348618 63.30285912053241, 10.286621465522284 63.30273914748398, 10.286715486842947 63.302697207930336, 10.286848190844566 63.302682720002416, 10.287036424961556 63.30272708806657, 10.287083294724047 63.30277657418727, 10.287074757513409 63.30282872088863, 10.286795733061766 63.30290544871571)"/>
    <s v="[666331, 666337, 666345, 666401, 666304, 666310, 666311, 666318]"/>
    <s v="[656823, 656828, 656836, 656799, 656800, 656804, 656805, 656811]"/>
    <s v="#FIELD!"/>
    <s v="[656811, 656823, 656828, 656836, 656799, 656800, 656804, 656805]"/>
    <s v="[0.012, 0.021, 0.033, 0.029, 0.011, 0.009, 0.019, 0.032]"/>
    <s v="77.30298534490177"/>
    <s v="[-0.012, 0.021, 0.033, 0.029, 0.011, -0.009, -0.019, -0.032]"/>
  </r>
  <r>
    <x v="1982"/>
    <x v="2396"/>
    <x v="0"/>
    <n v="0"/>
    <s v="LINESTRING (10.288791157871145 63.30580625865236, 10.288662988897253 63.30564859200627, 10.286888187481114 63.302936570773106, 10.286795733061766 63.30290544871571)"/>
    <s v="[1109976, 682520, 682528]"/>
    <s v="[673668, 673669, 656811]"/>
    <s v="#FIELD!"/>
    <s v="[1050156, 673668, 673669]"/>
    <s v="[0.007, 0.009, 0.028]"/>
    <s v="343.01252093156256"/>
    <s v="[-0.007, -0.009, -0.028]"/>
  </r>
  <r>
    <x v="1983"/>
    <x v="2588"/>
    <x v="0"/>
    <n v="0"/>
    <s v="LINESTRING (13.30267438162446 65.90683628237139, 13.3028519623244 65.90683070702485, 13.303048294145286 65.90684341303532, 13.306242239942126 65.90703212480446, 13.306345384743668 65.90703809084083, 13.30637400450915 65.90703998603067, 13.306588074938077 65.90705413956435, 13.306655884269011 65.90705881821626, 13.308360758144927 65.90717090018384, 13.3107413139001 65.90734677538387)"/>
    <s v="[1436375, 1436383, 1436391, 1436399, 1436407, 1436415, 1436423, 1436431, 1436439]"/>
    <s v="[1305939, 1305943, 1305948, 469433, 1305957, 469405, 1305970, 1305974, 658647]"/>
    <s v="0.039379956251794225"/>
    <s v="[658638, 1305939, 1305943, 1305948, 469433, 1305957, 469405, 1305970, 1305974]"/>
    <s v="[0.362, 0.011, 0.022, 0.029, 0.019, 0.028, 0.028, 0.027, 0.052]"/>
    <s v="372.2708002087743"/>
    <s v="[0.362, 0.011, 0.022, 0.029, 0.019, 0.028, 0.028, 0.027, 0.052]"/>
  </r>
  <r>
    <x v="1983"/>
    <x v="2588"/>
    <x v="0"/>
    <n v="0"/>
    <s v="LINESTRING (13.30267438162446 65.90683628237139, 13.303039758586042 65.90687483655319, 13.306197321667007 65.90709978027733, 13.306330196858106 65.90710845250553, 13.306433991467856 65.9071152243624, 13.306626843604391 65.90712780660932, 13.308325693179716 65.90723507506821, 13.308509320718098 65.90724737380856, 13.3107413139001 65.90734677538387)"/>
    <s v="[1436447, 1436455, 1436463, 1436471, 1436479, 1436487, 1436495, 1436503]"/>
    <s v="[1305989, 1305996, 1306003, 1305934, 1306014, 1306020, 1306025, 658647]"/>
    <s v="0.03952494971252021"/>
    <s v="[658638, 1305989, 1305996, 1306003, 1305934, 1306014, 1306020, 1306025]"/>
    <s v="[0.183, 0.021, 0.026, 0.026, 0.028, 0.027, 0.026, 0.055]"/>
    <s v="372.16748955019216"/>
    <s v="[0.183, 0.021, 0.026, 0.026, 0.028, 0.027, 0.026, 0.055]"/>
  </r>
  <r>
    <x v="1983"/>
    <x v="2589"/>
    <x v="0"/>
    <s v="[0, 0, 1, 0, 1, 0, 1, 0, 1, 0, 1, 0, 0, 1, 0, 0, 0, 1, 0]"/>
    <s v="LINESTRING (13.257332076961042 65.88835671868702, 13.257928464859912 65.88860696893548, 13.260570110624494 65.89018342099138, 13.261363890566386 65.890837502616, 13.262947578616 65.89322263514029, 13.262949851415515 65.89327659745345, 13.267793856175727 65.89934504255719, 13.268054943240458 65.89940587396688, 13.272018713759234 65.90017972097594, 13.272294012459058 65.90023191003898, 13.282953794553816 65.90231314611678, 13.283109183997443 65.90235006377306, 13.290516379500213 65.90466392972147, 13.290714066392459 65.90472680662813, 13.290868271878749 65.90477527994972, 13.29171936013746 65.90502894530151, 13.296308041479861 65.906077705009, 13.299190025483222 65.90650955615115, 13.301863760779598 65.90677813925262, 13.30267438162446 65.90683628237139)"/>
    <s v="[1330393, 668144, 668152, 668160, 668161, 668168, 668174, 668175, 668176, 668184, 668192, 668200, 668216, 668224, 668232, 668233, 668240, 668248, 668259]"/>
    <s v="[658558, 658559, 658564, 658570, 658571, 658578, 658583, 658584, 658585, 658589, 658592, 658597, 658605, 658611, 658617, 658618, 658623, 658632, 658638]"/>
    <s v="0.0054789833797494695"/>
    <s v="[1235508, 658558, 658559, 658564, 658570, 658571, 658578, 658583, 658584, 658585, 658589, 658592, 658597, 658605, 658611, 658617, 658618, 658623, 658632]"/>
    <s v="[0.001, 0.002, 0.004, 0.01, 0.042, 0.053, 0.031, 0.014, 0.032, 0.013, 0.047, 0.001, 0.05, 0.1, 0.096, 0.085, 0.03, 0.014, 0.046]"/>
    <s v="3186.8469149873654"/>
    <s v="[0.001, 0.002, 0.004, 0.01, 0.042, 0.053, -0.031, -0.014, -0.032, 0.013, 0.047, 0.001, -0.05, -0.1, -0.096, -0.085, -0.03, -0.014, 0.046]"/>
  </r>
  <r>
    <x v="1984"/>
    <x v="2590"/>
    <x v="0"/>
    <n v="0"/>
    <s v="LINESTRING (13.3107413139001 65.90734677538387, 13.310899424043 65.90735677127186, 13.32840325891931 65.90755374252983, 13.32846426181526 65.90755241439106, 13.34363068311273 65.9079880704247, 13.353301069307213 65.90877304975967, 13.359880957283714 65.90912744494966)"/>
    <s v="[668268, 668270, 668271, 668286, 668302, 668303]"/>
    <s v="[658648, 658651, 658652, 658668, 658682, 658683]"/>
    <s v="#FIELD!"/>
    <s v="[658647, 658648, 658651, 658652, 658668, 658682]"/>
    <s v="[0.042, 0.066, 0.153, 0.064, 0.016, 0.045]"/>
    <s v="2261.0971757580473"/>
    <s v="[0.042, 0.066, 0.153, -0.064, -0.016, -0.045]"/>
  </r>
  <r>
    <x v="1985"/>
    <x v="2591"/>
    <x v="0"/>
    <s v="[0, 0, 0, 0, 0, 0, 0, 1, 0]"/>
    <s v="LINESTRING (13.359880957283714 65.90912744494966, 13.362442031879546 65.90964734428735, 13.363168891795386 65.9098316158669, 13.363259904198864 65.90985563164278, 13.36335074463562 65.90987959168534, 13.36342643407946 65.90990145177383, 13.364306280717717 65.91014994298858, 13.366557221764037 65.9107759614805, 13.366674128058326 65.91080834529185, 13.36677760525173 65.91086054465642)"/>
    <s v="[2013048, 2013056, 2013064, 2013072, 2013080, 2013088, 2013096, 2013104, 2013112]"/>
    <s v="[1760661, 469355, 1760668, 469340, 1760673, 1760676, 1760679, 1760682, 658696]"/>
    <s v="#FIELD!"/>
    <s v="[658683, 1760661, 469355, 1760668, 469340, 1760673, 1760676, 1760679, 1760682]"/>
    <s v="[0.038, 0.005, 0.016, 0.001, 0.003, 0.004, 0.018, 0.031, 0.986]"/>
    <s v="370.4576647104462"/>
    <s v="[0.038, 0.005, 0.016, -0.001, 0.003, 0.004, -0.018, -0.031, -0.986]"/>
  </r>
  <r>
    <x v="1985"/>
    <x v="2591"/>
    <x v="0"/>
    <s v="[0, 0, 0, 0, 0, 0, 1, 0]"/>
    <s v="LINESTRING (13.359880957283714 65.90912744494966, 13.362363872474964 65.90970475294864, 13.363170040631601 65.90992370286868, 13.363343054209622 65.9099704806437, 13.364221664284425 65.91020670944089, 13.364329925621913 65.91023544025634, 13.366510604882782 65.91080374308619, 13.366629348344437 65.91083762720702, 13.36677760525173 65.91086054465642)"/>
    <s v="[2013120, 2013128, 2013136, 2013144, 2013152, 2013160, 2013168, 2013176]"/>
    <s v="[1760690, 1760656, 1760697, 1760702, 1760708, 1760713, 1760721, 658696]"/>
    <s v="#FIELD!"/>
    <s v="[658683, 1760690, 1760656, 1760697, 1760702, 1760708, 1760713, 1760721]"/>
    <s v="[0.043, 0.008, 0.008, 0.002, 0.001, 0.022, 0.027, 1.063]"/>
    <s v="369.2114458279944"/>
    <s v="[0.043, 0.008, 0.008, 0.002, -0.001, -0.022, -0.027, -1.063]"/>
  </r>
  <r>
    <x v="1986"/>
    <x v="2592"/>
    <x v="0"/>
    <n v="0"/>
    <s v="LINESTRING (13.36677760525173 65.91086054465642, 13.374825400771158 65.9194241919445, 13.395751898940677 65.92440598947178, 13.39728799228757 65.92489567242878)"/>
    <s v="[668318, 668323, 668331]"/>
    <s v="[658697, 658700, 658705]"/>
    <s v="#FIELD!"/>
    <s v="[658696, 658697, 658700]"/>
    <s v="[0.008, 0.001, 0.012]"/>
    <s v="2309.6827983611342"/>
    <s v="[-0.008, 0.001, -0.012]"/>
  </r>
  <r>
    <x v="1987"/>
    <x v="2593"/>
    <x v="0"/>
    <n v="0"/>
    <s v="LINESTRING (13.39728799228757 65.92489567242878, 13.400261084481162 65.92588113807783, 13.4004006634012 65.9259252270301, 13.40128863947366 65.9262057098796, 13.40139910720504 65.92624060170135, 13.403099304895326 65.92679346690304)"/>
    <s v="[1262990, 1262993, 1263001, 1263009, 1263017]"/>
    <s v="[1180086, 1180097, 1180105, 1180112, 658712]"/>
    <s v="#FIELD!"/>
    <s v="[658705, 1180086, 1180097, 1180105, 1180112]"/>
    <s v="[0.02, 0.016, 0.013, 0.01, 0.044]"/>
    <s v="338.92550875213635"/>
    <s v="[0.02, 0.016, 0.013, 0.01, -0.044]"/>
  </r>
  <r>
    <x v="1987"/>
    <x v="2593"/>
    <x v="0"/>
    <n v="0"/>
    <s v="LINESTRING (13.39728799228757 65.92489567242878, 13.400264553347647 65.9258009464528, 13.400455879140118 65.92586198767648, 13.400493463938112 65.92587347986046, 13.401386184044545 65.92615575250596, 13.403099304895326 65.92679346690304)"/>
    <s v="[1263025, 1263040, 1263049, 1263057, 1263058]"/>
    <s v="[1180087, 469335, 1180147, 1180156, 658712]"/>
    <s v="#FIELD!"/>
    <s v="[658705, 1180087, 469335, 1180147, 1180156]"/>
    <s v="[0.019, 0.013, 0.012, 0.013, 0.039]"/>
    <s v="339.44455621384043"/>
    <s v="[0.019, 0.013, 0.012, 0.013, -0.039]"/>
  </r>
  <r>
    <x v="1988"/>
    <x v="2594"/>
    <x v="0"/>
    <n v="0"/>
    <s v="LINESTRING (13.403099304895326 65.92679346690304, 13.404021414347078 65.92719122852144, 13.406857360053854 65.92997227899984, 13.407297549957232 65.93832893634205)"/>
    <s v="[668339, 668348, 668356]"/>
    <s v="[469531, 658718, 658725]"/>
    <s v="0.0023408951234250752"/>
    <s v="[658712, 469531, 658718]"/>
    <s v="[0.048, 0.045, 0.015]"/>
    <s v="1394.2899464019183"/>
    <s v="[0.048, 0.045, -0.015]"/>
  </r>
  <r>
    <x v="1989"/>
    <x v="2595"/>
    <x v="0"/>
    <s v="[0, 1, 0, 0, 0, 0]"/>
    <s v="LINESTRING (13.407297549957232 65.93832893634205, 13.407044809194412 65.93927879796635, 13.407038939819923 65.93931871624277, 13.407026957588997 65.9394003450685, 13.406924855348239 65.9400222339974, 13.406913557454834 65.9401225357971, 13.406685304562785 65.9422273153969)"/>
    <s v="[1262787, 1262788, 1262761, 1262766, 1262771, 1262772]"/>
    <s v="[1179907, 1179880, 1179881, 1179873, 1179872, 658731]"/>
    <s v="0.02587947531315769"/>
    <s v="[658725, 1179907, 1179880, 1179881, 1179873, 1179872]"/>
    <s v="[0.052, 0.025, 0.023, 0.019, 0.008, 0.031]"/>
    <s v="435.94785551577195"/>
    <s v="[0.052, -0.025, -0.023, -0.019, 0.008, 0.031]"/>
  </r>
  <r>
    <x v="1989"/>
    <x v="2595"/>
    <x v="0"/>
    <s v="[0, 1, 0, 0, 0, 0]"/>
    <s v="LINESTRING (13.407297549957232 65.93832893634205, 13.407202298111187 65.93928232369556, 13.407196609436747 65.93932252204219, 13.407185032821678 65.93940329357699, 13.407093182194656 65.94001879166119, 13.407085044838258 65.94007325120978, 13.406685304562785 65.9422273153969)"/>
    <s v="[1262799, 1262802, 1262822, 1262827, 1262834, 1262885]"/>
    <s v="[1179919, 1179922, 1179941, 1179945, 1179871, 658731]"/>
    <s v="0.026108066463054122"/>
    <s v="[658725, 1179919, 1179922, 1179941, 1179945, 1179871]"/>
    <s v="[0.05, 0.025, 0.023, 0.02, 0.006, 0.032]"/>
    <s v="435.7956426813464"/>
    <s v="[0.05, -0.025, -0.023, -0.02, 0.006, 0.032]"/>
  </r>
  <r>
    <x v="1990"/>
    <x v="2596"/>
    <x v="0"/>
    <n v="0"/>
    <m/>
    <n v="668364"/>
    <n v="658732"/>
    <s v="#FIELD!"/>
    <n v="658731"/>
    <s v="0.01"/>
    <s v="519.0508841627146"/>
    <s v="#FIELD!"/>
  </r>
  <r>
    <x v="1991"/>
    <x v="2597"/>
    <x v="0"/>
    <s v="[0, 1, 0, 0, 0, 0, 0]"/>
    <s v="LINESTRING (13.40751374496614 65.94684552881442, 13.408364140592406 65.94798120658994, 13.408404214042452 65.9480254054843, 13.40903135149219 65.94862505838485, 13.40910396396935 65.9486875417443, 13.409785416039181 65.94924119633733, 13.409902550400082 65.94933305391055, 13.411280134443741 65.9502766840722)"/>
    <s v="[1262893, 1262894, 1262906, 1262907, 1262911, 1262926, 1262927]"/>
    <s v="[1180015, 1180016, 1179895, 1180025, 1180029, 1180041, 658738]"/>
    <s v="#FIELD!"/>
    <s v="[658732, 1180015, 1180016, 1179895, 1180025, 1180029, 1180041]"/>
    <s v="[0.01, 0.002, 0.005, 0.008, 0.011, 0.011, 0.019]"/>
    <s v="421.29500092334587"/>
    <s v="[0.01, -0.002, -0.005, -0.008, -0.011, -0.011, -0.019]"/>
  </r>
  <r>
    <x v="1991"/>
    <x v="2597"/>
    <x v="0"/>
    <s v="[0, 1, 0, 0, 0, 0, 0]"/>
    <s v="LINESTRING (13.40751374496614 65.94684552881442, 13.408500889015171 65.94796013352527, 13.408542984244797 65.94800436228574, 13.409138096551528 65.94856020432408, 13.409216095669263 65.94863298267042, 13.409236950098173 65.94865238480499, 13.40991899178364 65.94920578464793, 13.411280134443741 65.9502766840722)"/>
    <s v="[1262942, 1262946, 1262947, 1262960, 1262967, 1262975, 1262976]"/>
    <s v="[1180057, 1180060, 1179894, 1179900, 1180077, 1180085, 658738]"/>
    <s v="#FIELD!"/>
    <s v="[658732, 1180057, 1180060, 1179894, 1179900, 1180077, 1180085]"/>
    <s v="[0.008, 0.005, 0.006, 0.008, 0.006, 0.011, 0.016]"/>
    <s v="419.9291113115661"/>
    <s v="[0.008, -0.005, -0.006, -0.008, -0.006, -0.011, -0.016]"/>
  </r>
  <r>
    <x v="1992"/>
    <x v="2598"/>
    <x v="0"/>
    <s v="[0, 0, 0, 0, 0, 0, 1, 0, 0, 0, 1, 0, 0, 1, 0, 1, 0, 0, 0, 0, 0, 1, 0, 1, 0]"/>
    <s v="LINESTRING (13.411280134443741 65.9502766840722, 13.41549794347315 65.95334093117987, 13.41613466092181 65.95377101651907, 13.416464433125363 65.95397345510247, 13.420736082475525 65.95677332567676, 13.420759302890122 65.95682628596848, 13.42092205792077 65.95747058021345, 13.420929354793035 65.9575163324257, 13.421787475631518 65.96294727425771, 13.422077288904099 65.96478092664907, 13.422221691030074 65.96567585083443, 13.422267318453482 65.96589591050403, 13.422659648543378 65.96685727098958, 13.426769358758362 65.96996950688285, 13.427899921727082 65.9705459706938, 13.430660923374026 65.97195344570758, 13.430739688665719 65.9719936444627, 13.433738859221581 65.97358646767321, 13.433841777340678 65.97364584548946, 13.433934035540435 65.97369955093086, 13.436749329045098 65.97552259406986, 13.443175455685358 65.9828438133321, 13.4431990194404 65.98288721583525, 13.446417412048966 65.98884084479255, 13.446565732276728 65.98911505599452, 13.448779949583594 65.99571799530581)"/>
    <s v="[668372, 668390, 668398, 668406, 668414, 668422, 668430, 668438, 668446, 668454, 668462, 668470, 668478, 668486, 668502, 668509, 668517, 668525, 668533, 668541, 668549, 668557, 668558, 668560, 668561]"/>
    <s v="[460688, 658755, 658762, 658771, 658777, 658785, 658794, 658802, 658808, 658815, 658824, 658833, 658840, 658847, 658859, 658864, 658876, 658884, 658892, 658900, 658907, 658910, 658911, 658912, 658913]"/>
    <s v="0.002268748017042653"/>
    <s v="[658738, 460688, 658755, 658762, 658771, 658777, 658785, 658794, 658802, 658808, 658815, 658824, 658833, 658840, 658847, 658859, 658864, 658876, 658884, 658892, 658900, 658907, 658910, 658911, 658912]"/>
    <s v="[0.009, 0.027, 0.027, 0.008, 0.008, 0.007, 0.007, 0.003, 0.002, 0.006, 0.005, 0.004, 0.002, 0.012, 0.068, 0.104, 0.067, 0.058, 0.059, 0.056, 0.002, 0.085, 0.02, 0.043, 0.011]"/>
    <s v="5471.2502213819735"/>
    <s v="[-0.009, -0.027, -0.027, -0.008, -0.008, -0.007, -0.007, -0.003, 0.002, 0.006, 0.005, 0.004, -0.002, 0.012, 0.068, 0.104, 0.067, 0.058, 0.059, 0.056, 0.002, -0.085, -0.02, -0.043, -0.011]"/>
  </r>
  <r>
    <x v="1993"/>
    <x v="2599"/>
    <x v="0"/>
    <n v="0"/>
    <s v="LINESTRING (13.448779949583594 65.99571799530581, 13.449047625515773 65.99702049351654, 13.449307759242684 65.9977197139145, 13.449335719281073 65.99778691313112, 13.44938383586436 65.99787890354072, 13.449420631748136 65.99795664619523, 13.450072466052546 65.99909345874885, 13.45018190911553 65.99924550855353, 13.45039675070013 65.99950919407839)"/>
    <s v="[1262467, 1262481, 1262482, 1262489, 1262490, 1262491, 1262498, 1262506]"/>
    <s v="[1179619, 1179630, 1179612, 1179637, 1179638, 1179639, 1179642, 658914]"/>
    <s v="#FIELD!"/>
    <s v="[658913, 1179619, 1179630, 1179612, 1179637, 1179638, 1179639, 1179642]"/>
    <s v="[0.018, 0.004, 0.007, 0.007, 0.011, 0.012, 0.015, 0.369]"/>
    <s v="430.29878668947674"/>
    <s v="[0.018, 0.004, 0.007, 0.007, 0.011, 0.012, 0.015, -0.369]"/>
  </r>
  <r>
    <x v="1993"/>
    <x v="2599"/>
    <x v="0"/>
    <n v="0"/>
    <s v="LINESTRING (13.448779949583594 65.99571799530581, 13.449172752032961 65.99691551298997, 13.44920372136797 65.9970129663237, 13.449466164209387 65.99771088155465, 13.449514577727712 65.99782484277603, 13.44954877853074 65.99790504500942, 13.450157044147428 65.99908005965435, 13.45039675070013 65.99950919407839)"/>
    <s v="[1262529, 1262530, 1262539, 1262547, 1262555, 1262576, 1262589]"/>
    <s v="[1179665, 1179666, 1179674, 1179611, 1179688, 1179704, 658914]"/>
    <s v="#FIELD!"/>
    <s v="[658913, 1179665, 1179666, 1179674, 1179611, 1179688, 1179704]"/>
    <s v="[0.03, 0.002, 0.004, 0.001, 0.007, 0.008, 0.241]"/>
    <s v="429.5119663462515"/>
    <s v="[0.03, 0.002, 0.004, 0.001, 0.007, 0.008, -0.241]"/>
  </r>
  <r>
    <x v="1994"/>
    <x v="2600"/>
    <x v="0"/>
    <s v="[0, 1, 0, 0, 1, 0]"/>
    <s v="LINESTRING (13.45039675070013 65.99950919407839, 13.454383550210467 66.00787537845599, 13.454380563085362 66.00792470424915, 13.454991797239611 66.01566802110594, 13.454381961225781 66.017085682129, 13.454045318166546 66.01776807987068, 13.453944793974035 66.0179715564168)"/>
    <s v="[668562, 668570, 668574, 668575, 668582, 668590]"/>
    <s v="[658915, 658921, 658925, 658926, 658933, 658941]"/>
    <s v="0.005150679296012228"/>
    <s v="[658914, 658915, 658921, 658925, 658926, 658933]"/>
    <s v="[0.073, 0.06, 0.067, 0.034, 0.039, 0.043]"/>
    <s v="2089.223427041874"/>
    <s v="[0.073, 0.06, -0.067, -0.034, 0.039, 0.043]"/>
  </r>
  <r>
    <x v="1995"/>
    <x v="2601"/>
    <x v="0"/>
    <n v="0"/>
    <s v="LINESTRING (13.453944793974035 66.0179715564168, 13.45334461941613 66.01909229706399, 13.453195205695458 66.01973958258634, 13.453190249363217 66.01977767133879, 13.453178322270512 66.01989325037636, 13.45414545634745 66.0220768500651)"/>
    <s v="[1433812, 1433820, 1433828, 1433836, 1433844]"/>
    <s v="[1304531, 1304533, 659084, 659082, 658947]"/>
    <s v="0.04583622272813383"/>
    <s v="[658941, 1304531, 1304533, 659084, 659082]"/>
    <s v="[0.078, 0.055, 0.06, 0.053, 0.026]"/>
    <s v="466.7235757715936"/>
    <s v="[0.078, 0.055, 0.06, 0.053, 0.026]"/>
  </r>
  <r>
    <x v="1995"/>
    <x v="2601"/>
    <x v="0"/>
    <n v="0"/>
    <s v="LINESTRING (13.453944793974035 66.0179715564168, 13.453529382767641 66.01903574134262, 13.453507998999061 66.019098522558, 13.45336297087247 66.01973101859073, 13.453353243543814 66.01983470255512, 13.45414545634745 66.0220768500651)"/>
    <s v="[1433852, 1433860, 1433868, 1433876, 1433884]"/>
    <s v="[1304550, 1304554, 1304560, 1304523, 658947]"/>
    <s v="0.04624798504992753"/>
    <s v="[658941, 1304550, 1304554, 1304560, 1304523]"/>
    <s v="[0.08, 0.049, 0.053, 0.052, 0.028]"/>
    <s v="463.39338315091425"/>
    <s v="[0.08, 0.049, 0.053, 0.052, 0.028]"/>
  </r>
  <r>
    <x v="1996"/>
    <x v="2602"/>
    <x v="0"/>
    <s v="[0, 1, 0, 0, 0]"/>
    <s v="LINESTRING (13.45414545634745 66.0220768500651, 13.456932786288519 66.02411589422074, 13.457005401301883 66.02415897740212, 13.494429907369236 66.03879794498803, 13.495097745914391 66.03898564256828, 13.508854330975218 66.04229124074865)"/>
    <s v="[668601, 668609, 668617, 668625, 668633]"/>
    <s v="[658948, 658956, 658961, 469529, 658969]"/>
    <s v="0.019071146927020458"/>
    <s v="[658947, 658948, 658956, 658961, 469529]"/>
    <s v="[0.0, 0.029, 0.031, 0.04, 0.014]"/>
    <s v="3415.507211320782"/>
    <s v="[-0.0, -0.029, 0.031, 0.04, -0.014]"/>
  </r>
  <r>
    <x v="1997"/>
    <x v="1786"/>
    <x v="0"/>
    <n v="0"/>
    <s v="LINESTRING (13.508854330975218 66.04229124074865, 13.512201423510891 66.04369459999108, 13.512328609579122 66.04374739819966, 13.513067006183826 66.04405331311197, 13.513225422590626 66.04411764659925, 13.51516685391917 66.04487269660662)"/>
    <s v="[2032330, 2032331, 2032341, 2032349, 2032350]"/>
    <s v="[1773565, 1773578, 1773581, 1773586, 658978]"/>
    <s v="0.00195548110577522"/>
    <s v="[658969, 1773565, 1773578, 1773581, 1773586]"/>
    <s v="[0.033, 0.074, 0.092, 0.077, 0.005]"/>
    <s v="406.0777642569058"/>
    <s v="[0.033, -0.074, -0.092, -0.077, -0.005]"/>
  </r>
  <r>
    <x v="1997"/>
    <x v="1786"/>
    <x v="0"/>
    <n v="0"/>
    <s v="LINESTRING (13.508854330975218 66.04229124074865, 13.512231356755489 66.04361296003978, 13.512377137897168 66.04367583547064, 13.51242383252458 66.04369466381407, 13.513173908034695 66.04400207281206, 13.51516685391917 66.04487269660662)"/>
    <s v="[2032356, 2032367, 2032368, 2032369, 2032378]"/>
    <s v="[469458, 469449, 1773596, 1773597, 658978]"/>
    <s v="0.001722871068753393"/>
    <s v="[658969, 469458, 469449, 1773596, 1773597]"/>
    <s v="[0.029, 0.071, 0.088, 0.091, 0.001]"/>
    <s v="406.43614262173537"/>
    <s v="[0.029, -0.071, -0.088, -0.091, -0.001]"/>
  </r>
  <r>
    <x v="1998"/>
    <x v="2603"/>
    <x v="0"/>
    <n v="0"/>
    <s v="LINESTRING (13.224667739200482 65.87359694637054, 13.225080003322288 65.87373219101417, 13.225162331503496 65.87376143175842)"/>
    <s v="[668740, 668741]"/>
    <s v="[659062, 659063]"/>
    <s v="0.019335525543081964"/>
    <s v="[659061, 659062]"/>
    <s v="[0.019, 0.021]"/>
    <s v="29.64070583920761"/>
    <s v="[0.019, 0.021]"/>
  </r>
  <r>
    <x v="1998"/>
    <x v="2604"/>
    <x v="0"/>
    <n v="0"/>
    <s v="LINESTRING (13.224667739200482 65.87359694637054, 13.224914017306652 65.87378465615465, 13.224971942174106 65.87382205069477)"/>
    <s v="[668759, 668760]"/>
    <s v="[659079, 659080]"/>
    <s v="0.014848919329804582"/>
    <s v="[659061, 659079]"/>
    <s v="[0.014, 0.019]"/>
    <s v="29.067750473945466"/>
    <s v="[0.014, 0.019]"/>
  </r>
  <r>
    <x v="1999"/>
    <x v="2605"/>
    <x v="0"/>
    <n v="0"/>
    <s v="LINESTRING (13.225162331503496 65.87376143175842, 13.225483814427514 65.87377780595064, 13.225566157761987 65.87380810565216, 13.225624979452155 65.87384872322404, 13.225597747101677 65.87398257863997)"/>
    <s v="[1330258, 1330266, 1330280, 1330288]"/>
    <s v="[659071, 1235391, 659064, 659073]"/>
    <s v="0.016329981527435717"/>
    <s v="[659063, 659071, 1235391, 659064]"/>
    <s v="[0.023, 0.024, 0.017, 0.007]"/>
    <s v="40.86602567860504"/>
    <s v="[0.023, 0.024, 0.017, 0.007]"/>
  </r>
  <r>
    <x v="1999"/>
    <x v="2604"/>
    <x v="0"/>
    <n v="0"/>
    <s v="LINESTRING (13.224971942174106 65.87382205069477, 13.225050287624956 65.87378643072738, 13.225162331503496 65.87376143175842)"/>
    <s v="[1330330, 1330331]"/>
    <s v="[1235446, 659063]"/>
    <s v="0.013085853246743443"/>
    <s v="[659080, 1235446]"/>
    <s v="[0.011, 0.015]"/>
    <s v="11.16310765942809"/>
    <s v="[0.011, 0.015]"/>
  </r>
  <r>
    <x v="2000"/>
    <x v="2606"/>
    <x v="0"/>
    <n v="0"/>
    <s v="LINESTRING (13.225416224296914 65.87404500588909, 13.225476140880396 65.87406851261885, 13.225937533991281 65.87422613157185)"/>
    <s v="[668746, 668747]"/>
    <s v="[659069, 659070]"/>
    <s v="0.02275913952854337"/>
    <s v="[659068, 659069]"/>
    <s v="[0.021, 0.023]"/>
    <s v="31.439046884511924"/>
    <s v="[0.021, 0.023]"/>
  </r>
  <r>
    <x v="2000"/>
    <x v="2604"/>
    <x v="0"/>
    <n v="0"/>
    <s v="LINESTRING (13.225416224296914 65.87404500588909, 13.225082290480318 65.87403166450889, 13.2249990042936 65.87400167672392, 13.224938266748048 65.8739602290177, 13.224971942174106 65.87382205069477)"/>
    <s v="[1330312, 1330320, 1330328, 1330329]"/>
    <s v="[469382, 1235438, 469371, 659080]"/>
    <s v="#FIELD!"/>
    <s v="[659068, 469382, 1235438, 469371]"/>
    <s v="[0.024, 0.022, 0.018, 0.005]"/>
    <s v="42.13524621445942"/>
    <s v="[-0.024, -0.022, -0.018, -0.005]"/>
  </r>
  <r>
    <x v="2000"/>
    <x v="2605"/>
    <x v="0"/>
    <n v="0"/>
    <s v="LINESTRING (13.225597747101677 65.87398257863997, 13.225520629918416 65.8740194695417, 13.225416224296914 65.87404500588909)"/>
    <s v="[1330296, 1330304]"/>
    <s v="[1235418, 659068]"/>
    <s v="#FIELD!"/>
    <s v="[659073, 1235418]"/>
    <s v="[0.009, 0.016]"/>
    <s v="10.959703482113419"/>
    <s v="[-0.009, -0.016]"/>
  </r>
  <r>
    <x v="2001"/>
    <x v="2607"/>
    <x v="202"/>
    <s v="[0, 0, 0, 0, 0, 0, 0, 1, 0]"/>
    <s v="LINESTRING (13.225937533991281 65.87422613157185, 13.22639139019698 65.87445104330209, 13.22640534373283 65.87445796254362, 13.227790120423993 65.8751447857632, 13.2307225840521 65.87693313001485, 13.237523180184182 65.88432632507596, 13.237597397543393 65.88436574136479, 13.245366862564746 65.88622092197002, 13.245560123487023 65.88624090158308, 13.249903612102527 65.88669042978779)"/>
    <s v="[1330339, 1330347, 1330348, 1330349, 1330355, 1330362, 1330369, 1330377, 1330385]"/>
    <s v="[1235452, 1235463, 1235464, 1235465, 1235473, 1235479, 1235482, 1235491, 1235499]"/>
    <s v="#FIELD!"/>
    <s v="[659070, 1235452, 1235463, 1235464, 1235465, 1235473, 1235479, 1235482, 1235491]"/>
    <s v="[0.023, 0.036, 0.03, 0.059, 0.012, 0.273, 0.133, 0.029, 0.002]"/>
    <s v="1902.0510042127733"/>
    <s v="[0.023, 0.036, 0.03, 0.059, 0.012, -0.273, -0.133, -0.029, -0.002]"/>
  </r>
  <r>
    <x v="2001"/>
    <x v="2605"/>
    <x v="0"/>
    <n v="0"/>
    <s v="LINESTRING (13.225597747101677 65.87398257863997, 13.225640711199745 65.87400988287659, 13.225937533991281 65.87422613157185)"/>
    <s v="[668750, 668751]"/>
    <s v="[659074, 659070]"/>
    <s v="0.018229708772270415"/>
    <s v="[659073, 659074]"/>
    <s v="[0.02, 0.018]"/>
    <s v="31.517921678302233"/>
    <s v="[0.02, 0.018]"/>
  </r>
  <r>
    <x v="2002"/>
    <x v="2608"/>
    <x v="0"/>
    <s v="[0, 1, 0, 0]"/>
    <s v="LINESTRING (10.1822325628804 62.930758872258636, 10.183926550562887 62.931749118557796, 10.184794812275955 62.93230414052697, 10.185598570556646 62.93290935993353, 10.191378155482823 62.94164789929904)"/>
    <s v="[670579, 670580, 670581, 670583]"/>
    <s v="[660664, 660665, 660666, 660669]"/>
    <s v="#FIELD!"/>
    <s v="[660252, 660664, 660665, 660666]"/>
    <s v="[0.03, 0.121, 0.026, 0.057]"/>
    <s v="1339.7061889058864"/>
    <s v="[-0.03, -0.121, -0.026, -0.057]"/>
  </r>
  <r>
    <x v="2002"/>
    <x v="2609"/>
    <x v="0"/>
    <s v="[0, 1, 0, 0, 0]"/>
    <s v="LINESTRING (10.1822325628804 62.930758872258636, 10.18404254247791 62.93170874358719, 10.184919043707795 62.932266474833554, 10.185315257997262 62.932547660879365, 10.185738123920387 62.93287227107769, 10.191553294205994 62.94166224047581)"/>
    <s v="[670590, 670598, 670606, 670614, 670615]"/>
    <s v="[660678, 660687, 660695, 660702, 660703]"/>
    <s v="#FIELD!"/>
    <s v="[660252, 660678, 660687, 660695, 660702]"/>
    <s v="[0.032, 0.119, 0.079, 0.003, 0.057]"/>
    <s v="1346.787596113361"/>
    <s v="[-0.032, -0.119, -0.079, -0.003, -0.057]"/>
  </r>
  <r>
    <x v="2003"/>
    <x v="2282"/>
    <x v="0"/>
    <n v="0"/>
    <m/>
    <n v="670163"/>
    <n v="660264"/>
    <s v="#FIELD!"/>
    <n v="660263"/>
    <s v="0.038"/>
    <s v="90.66373972041102"/>
    <s v="#FIELD!"/>
  </r>
  <r>
    <x v="2003"/>
    <x v="2608"/>
    <x v="0"/>
    <n v="0"/>
    <s v="LINESTRING (10.191378155482823 62.94164789929904, 10.19053968353924 62.94408579562513, 10.190537929525885 62.94409813843256, 10.190940538969482 62.946167259375976, 10.191866727584339 62.947634756476575)"/>
    <s v="[670656, 670663, 670679, 670693]"/>
    <s v="[660743, 660754, 660770, 660263]"/>
    <s v="#FIELD!"/>
    <s v="[660669, 660743, 660754, 660770]"/>
    <s v="[0.005, 0.008, 0.003, 0.045]"/>
    <s v="679.8693485684616"/>
    <s v="[0.005, 0.008, -0.003, -0.045]"/>
  </r>
  <r>
    <x v="2003"/>
    <x v="2609"/>
    <x v="0"/>
    <n v="0"/>
    <s v="LINESTRING (10.191553294205994 62.94166224047581, 10.190717359627376 62.944085518958445, 10.190715637094051 62.944097790888925, 10.191089647500581 62.94615705803658, 10.191309272416305 62.94658550558911, 10.191866727584339 62.947634756476575)"/>
    <s v="[670620, 670632, 670640, 670641, 670648]"/>
    <s v="[660707, 660720, 660729, 660730, 660263]"/>
    <s v="#FIELD!"/>
    <s v="[660703, 660707, 660720, 660729, 660730]"/>
    <s v="[0.006, 0.007, 0.003, 0.04, 0.038]"/>
    <s v="676.0191033058675"/>
    <s v="[0.006, 0.007, -0.003, -0.04, -0.038]"/>
  </r>
  <r>
    <x v="2004"/>
    <x v="2610"/>
    <x v="0"/>
    <n v="0"/>
    <s v="LINESTRING (10.192329805634014 62.94842007705606, 10.192196799996976 62.948337831927326, 10.190315522437903 62.945413199571966, 10.190290066011153 62.94535548886963)"/>
    <s v="[670457, 670473, 670485]"/>
    <s v="[660539, 660554, 660365]"/>
    <s v="0.041762563896779493"/>
    <s v="[660264, 660539, 660554]"/>
    <s v="[0.076, 0.041, 0.022]"/>
    <s v="359.1955036219259"/>
    <s v="[0.076, 0.041, 0.022]"/>
  </r>
  <r>
    <x v="2004"/>
    <x v="2611"/>
    <x v="0"/>
    <s v="[1, 1, 0, 0]"/>
    <s v="LINESTRING (10.19104039038713 62.94528369181669, 10.191064430779743 62.94534881900879, 10.191442154612416 62.946448627923985, 10.19235420461046 62.948318558299434, 10.192329805634014 62.94842007705606)"/>
    <s v="[670429, 670439, 670441, 670449]"/>
    <s v="[660511, 660522, 660523, 660264]"/>
    <s v="#FIELD!"/>
    <s v="[660338, 660511, 660522, 660523]"/>
    <s v="[0.011, 0.019, 0.034, 0.007]"/>
    <s v="356.5790776510326"/>
    <s v="[-0.011, -0.019, -0.034, 0.007]"/>
  </r>
  <r>
    <x v="2005"/>
    <x v="2611"/>
    <x v="0"/>
    <n v="1"/>
    <m/>
    <n v="670241"/>
    <n v="660338"/>
    <s v="#FIELD!"/>
    <n v="660337"/>
    <s v="0.018"/>
    <s v="18.765632959114104"/>
    <s v="#FIELD!"/>
  </r>
  <r>
    <x v="2005"/>
    <x v="2612"/>
    <x v="0"/>
    <s v="[0, 1, 1]"/>
    <s v="LINESTRING (10.190231682274158 62.94517145832629, 10.19034266351984 62.94509699880106, 10.190953475804662 62.945116064363894, 10.190966336442447 62.94512287097708)"/>
    <s v="[670306, 670314, 670319]"/>
    <s v="[660408, 660415, 660337]"/>
    <s v="#FIELD!"/>
    <s v="[660402, 660408, 660415]"/>
    <s v="[0.082, 0.118, 0.135]"/>
    <s v="45.599117218675005"/>
    <s v="[-0.082, -0.118, -0.135]"/>
  </r>
  <r>
    <x v="2005"/>
    <x v="2609"/>
    <x v="0"/>
    <s v="[0, 0, 1, 1]"/>
    <s v="LINESTRING (10.191553294205994 62.94166224047581, 10.191559914428924 62.94181167609907, 10.190979413842683 62.94417067724433, 10.190977002415202 62.945085640227184, 10.190966336442447 62.94512287097708)"/>
    <s v="[670702, 670412, 670415, 670416]"/>
    <s v="[660498, 660499, 660502, 660337]"/>
    <s v="0.0026349591054449827"/>
    <s v="[660703, 660498, 660499, 660502]"/>
    <s v="[0.025, 0.002, 0.008, 0.022]"/>
    <s v="388.31971914366545"/>
    <s v="[-0.025, 0.002, 0.008, 0.022]"/>
  </r>
  <r>
    <x v="2006"/>
    <x v="2610"/>
    <x v="0"/>
    <s v="[1, 0]"/>
    <s v="LINESTRING (10.19104039038713 62.94528369181669, 10.19040806091718 62.94540403624705, 10.190290066011153 62.94535548886963)"/>
    <s v="[670255, 670265]"/>
    <s v="[660353, 660365]"/>
    <s v="0.10765620614281395"/>
    <s v="[660338, 660353]"/>
    <s v="[0.11, 0.096]"/>
    <s v="48.23423566232086"/>
    <s v="[0.11, 0.096]"/>
  </r>
  <r>
    <x v="2007"/>
    <x v="2612"/>
    <x v="0"/>
    <n v="0"/>
    <s v="LINESTRING (10.190290066011153 62.94535548886963, 10.190249169692772 62.94532441294178, 10.190204967964235 62.9452450165346, 10.190220765486707 62.9451876436028, 10.190231682274158 62.94517145832629)"/>
    <s v="[670277, 670282, 670283, 670299]"/>
    <s v="[660376, 660380, 660381, 660402]"/>
    <s v="0.008214836260344666"/>
    <s v="[660365, 660376, 660380, 660381]"/>
    <s v="[0.056, 0.028, 0.033, 0.049]"/>
    <s v="21.507235944070537"/>
    <s v="[0.056, 0.028, -0.033, -0.049]"/>
  </r>
  <r>
    <x v="2008"/>
    <x v="2608"/>
    <x v="0"/>
    <n v="0"/>
    <s v="LINESTRING (10.190231682274158 62.94517145832629, 10.190221233732226 62.94511974616588, 10.191258632113573 62.94178880289281, 10.191378155482823 62.94164789929904)"/>
    <s v="[670488, 670495, 670710]"/>
    <s v="[660565, 660572, 660669]"/>
    <s v="#FIELD!"/>
    <s v="[660402, 660565, 660572]"/>
    <s v="[0.001, 0.01, 0.038]"/>
    <s v="398.59984638185557"/>
    <s v="[0.001, -0.01, -0.038]"/>
  </r>
  <r>
    <x v="2009"/>
    <x v="2613"/>
    <x v="0"/>
    <n v="0"/>
    <s v="LINESTRING (5.2752593414939115 59.34220937068665, 5.275165866201903 59.34220113771352, 5.275014272868452 59.342192579425834, 5.2750102530503735 59.34219196922628, 5.2748133544280655 59.342173596097844)"/>
    <s v="[671927, 671935, 671936, 671948]"/>
    <s v="[662035, 662039, 662040, 662052]"/>
    <s v="0.028522343861615305"/>
    <s v="[662034, 662035, 662039, 662040]"/>
    <s v="[0.028, 0.029, 0.0, 0.029]"/>
    <s v="25.874208384608817"/>
    <s v="[0.028, 0.029, 0.0, 0.029]"/>
  </r>
  <r>
    <x v="2009"/>
    <x v="2614"/>
    <x v="0"/>
    <n v="0"/>
    <s v="LINESTRING (5.2752593414939115 59.34220937068665, 5.2753254477087195 59.3421885207565, 5.275411540224111 59.34218473057397, 5.275486839192136 59.342201162584715, 5.2755553919431275 59.34225624463324)"/>
    <s v="[1350739, 1350747, 1350755, 1350665]"/>
    <s v="[1249569, 1251028, 1250969, 1250970]"/>
    <s v="#FIELD!"/>
    <s v="[662034, 1249569, 1251028, 1250969]"/>
    <s v="[0.078, 0.018, 0.051, 0.058]"/>
    <s v="21.33975006531292"/>
    <s v="[0.078, -0.018, -0.051, -0.058]"/>
  </r>
  <r>
    <x v="2009"/>
    <x v="2615"/>
    <x v="0"/>
    <n v="0"/>
    <s v="LINESTRING (5.275218710899676 59.34229898819579, 5.275212864238294 59.342256676758474, 5.2752593414939115 59.34220937068665)"/>
    <s v="[1350723, 1350731]"/>
    <s v="[1251014, 662034]"/>
    <s v="0.0010346699972531444"/>
    <s v="[1251008, 1251014]"/>
    <s v="[0.046, 0.035]"/>
    <s v="10.65703864704926"/>
    <s v="[0.046, -0.035]"/>
  </r>
  <r>
    <x v="2010"/>
    <x v="2616"/>
    <x v="0"/>
    <n v="0"/>
    <s v="LINESTRING (5.2748133544280655 59.342173596097844, 5.273145984313951 59.34171720669498, 5.271327154218814 59.34123079850683, 5.269829174701722 59.340823071066154, 5.268899105592614 59.340566825595076, 5.265538528660115 59.33966789537415, 5.263472645017342 59.339110757954074, 5.263411081308241 59.3390942506535, 5.260544548516147 59.33834544641322, 5.260506264931874 59.33833745817386, 5.260150644855024 59.33826343537627, 5.256473712252403 59.33787154443464, 5.256458320169646 59.33787096174134, 5.256424728452423 59.337869955280944, 5.2543997753177765 59.33790021578471, 5.249845978947343 59.33856390458455, 5.247269875985095 59.33909457570565, 5.237082386883783 59.34118737813029, 5.234058132468237 59.341807786507545, 5.222555361141731 59.34316046376007, 5.219983661488502 59.34381596926875)"/>
    <s v="[1437629, 1437637, 1437645, 1437653, 1437661, 1437669, 1437677, 1437685, 1437693, 1437701, 1437709, 1437717, 1437725, 1437733, 1437741, 1437749, 1437757, 1437765, 1437773, 1437781]"/>
    <s v="[1139478, 1139423, 1306812, 1306817, 1306824, 1306832, 1306839, 1306846, 1306853, 1306861, 1306871, 1306880, 1306887, 1306894, 1197561, 1306911, 1139431, 1306925, 1306933, 1306941]"/>
    <s v="0.0022259599598173745"/>
    <s v="[662052, 1139478, 1139423, 1306812, 1306817, 1306824, 1306832, 1306839, 1306846, 1306853, 1306861, 1306871, 1306880, 1306887, 1306894, 1197561, 1306911, 1139431, 1306925, 1306933]"/>
    <s v="[0.055, 0.055, 0.03, 0.005, 0.006, 0.005, 0.002, 0.018, 0.016, 0.027, 0.021, 0.003, 0.006, 0.003, 0.006, 0.003, 0.01, 0.016, 0.005, 0.025]"/>
    <s v="3361.578407182877"/>
    <s v="[0.055, 0.055, 0.03, 0.005, -0.006, 0.005, 0.002, 0.018, 0.016, 0.027, 0.021, -0.003, -0.006, -0.003, 0.006, -0.003, -0.01, -0.016, -0.005, -0.025]"/>
  </r>
  <r>
    <x v="2010"/>
    <x v="2615"/>
    <x v="0"/>
    <n v="0"/>
    <s v="LINESTRING (5.275218710899676 59.34229898819579, 5.275134044538161 59.34228274590876, 5.274980059729185 59.342243766214594, 5.274974506390719 59.3422423351394, 5.2748133544280655 59.342173596097844)"/>
    <s v="[1443752, 1443760, 1443768, 1443776]"/>
    <s v="[1310858, 1310865, 1310873, 662052]"/>
    <s v="0.026779905003173007"/>
    <s v="[1251008, 1310858, 1310865, 1310873]"/>
    <s v="[0.05, 0.047, 0.051, 0.0]"/>
    <s v="27.537438485281374"/>
    <s v="[0.05, 0.047, 0.051, -0.0]"/>
  </r>
  <r>
    <x v="2011"/>
    <x v="2219"/>
    <x v="0"/>
    <n v="0"/>
    <s v="LINESTRING (10.283195810526509 63.25761858691034, 10.283252830649076 63.25782339177004, 10.286890264250166 63.273786682111414, 10.286464698329393 63.27491035597378, 10.281296369565053 63.27849070010829)"/>
    <s v="[674265, 674273, 674281, 1027398]"/>
    <s v="[664366, 664375, 664384, 982084]"/>
    <s v="#FIELD!"/>
    <s v="[664358, 664366, 664375, 664384]"/>
    <s v="[0.008, 0.006, 0.004, 0.005]"/>
    <s v="2434.5065462041425"/>
    <s v="[-0.008, -0.006, -0.004, 0.005]"/>
  </r>
  <r>
    <x v="2011"/>
    <x v="2617"/>
    <x v="0"/>
    <n v="0"/>
    <s v="LINESTRING (10.276360230846416 63.247671106204976, 10.282004148990257 63.253929128733205, 10.282512632982108 63.255197490488605, 10.282783451362619 63.25606686469877, 10.283134544131064 63.25737445800492, 10.283195810526509 63.25761858691034)"/>
    <s v="[674361, 674369, 1027294, 674646, 674257]"/>
    <s v="[664452, 664459, 664716, 664357, 664358]"/>
    <s v="#FIELD!"/>
    <s v="[664445, 664452, 664459, 664716, 664357]"/>
    <s v="[0.033, 0.032, 0.026, 0.003, 0.018]"/>
    <s v="1171.220718667012"/>
    <s v="[-0.033, 0.032, 0.026, -0.003, -0.018]"/>
  </r>
  <r>
    <x v="2011"/>
    <x v="2618"/>
    <x v="203"/>
    <n v="0"/>
    <s v="LINESTRING (10.280573041092605 63.25122198513345, 10.280556424358789 63.25126733401129, 10.28052265382845 63.2513433820808, 10.281276795195014 63.25268130009327, 10.281996699487232 63.25373600569366, 10.282588894684102 63.255108239224775, 10.282890145686803 63.25606721501872, 10.283230171127684 63.257476080691475, 10.283195810526509 63.25761858691034)"/>
    <s v="[674599, 674608, 674616, 674624, 1029715, 1029723, 1029731, 1029691]"/>
    <s v="[664670, 664677, 664686, 664694, 983931, 983938, 983913, 664358]"/>
    <s v="#FIELD!"/>
    <s v="[664669, 664670, 664677, 664686, 664694, 983931, 983938, 983913]"/>
    <s v="[0.044, 0.041, 0.028, 0.019, 0.015, 0.003, 0.002, 0.219]"/>
    <s v="729.1759599546168"/>
    <s v="[-0.044, -0.041, -0.028, -0.019, 0.015, 0.003, 0.002, 0.219]"/>
  </r>
  <r>
    <x v="2012"/>
    <x v="2117"/>
    <x v="0"/>
    <n v="0"/>
    <s v="LINESTRING (10.282049378158868 63.254819466684744, 10.282167255866346 63.25520338619389, 10.28244593097114 63.256088967038544, 10.282832957868328 63.25739091996784, 10.28297462595328 63.25784562162814, 10.286691180650758 63.27378245414396, 10.286272846709526 63.27488615998788, 10.281423345467516 63.27829706663903, 10.28052835484817 63.27871655085873)"/>
    <s v="[674345, 1027286, 674551, 674289, 674297, 674305, 1027430, 1027262]"/>
    <s v="[664437, 664626, 664390, 664391, 664397, 664404, 981959, 981960]"/>
    <s v="#FIELD!"/>
    <s v="[664433, 664437, 664626, 664390, 664391, 664397, 664404, 981959]"/>
    <s v="[0.03, 0.028, 0.003, 0.018, 0.006, 0.005, 0.005, 0.002]"/>
    <s v="2787.9751578453647"/>
    <s v="[0.03, 0.028, -0.003, -0.018, -0.006, -0.005, 0.005, 0.002]"/>
  </r>
  <r>
    <x v="2012"/>
    <x v="2619"/>
    <x v="0"/>
    <n v="0"/>
    <s v="LINESTRING (10.282049378158868 63.254819466684744, 10.281910031459368 63.254663349317205, 10.281515616894989 63.25382110908256, 10.280880466023183 63.25302448660529, 10.278870243720805 63.2516879447677, 10.278726525766853 63.25166469590273, 10.278620184076505 63.25165021653044)"/>
    <s v="[1029699, 1029707, 674559, 674570, 674583, 674591]"/>
    <s v="[983918, 664635, 664636, 664642, 664653, 664660]"/>
    <s v="0.006463088198112453"/>
    <s v="[664433, 983918, 664635, 664636, 664642, 664653]"/>
    <s v="[0.082, 0.029, 0.015, 0.029, 0.023, 0.014]"/>
    <s v="403.965081909294"/>
    <s v="[-0.082, -0.029, 0.015, 0.029, 0.023, 0.014]"/>
  </r>
  <r>
    <x v="2012"/>
    <x v="2620"/>
    <x v="0"/>
    <n v="0"/>
    <s v="LINESTRING (10.275949041988572 63.24710200228392, 10.275994684246221 63.24724840951984, 10.281723983746513 63.25398199266617, 10.2820271773851 63.25474667640373, 10.282049378158868 63.254819466684744)"/>
    <s v="[674506, 674313, 674329, 674337]"/>
    <s v="[664411, 664412, 664428, 664433]"/>
    <s v="#FIELD!"/>
    <s v="[664567, 664411, 664412, 664428]"/>
    <s v="[0.014, 0.03, 0.035, 0.03]"/>
    <s v="918.603636106329"/>
    <s v="[0.014, -0.03, 0.035, 0.03]"/>
  </r>
  <r>
    <x v="2013"/>
    <x v="2621"/>
    <x v="0"/>
    <n v="0"/>
    <s v="LINESTRING (10.276360230846416 63.247671106204976, 10.276492207017466 63.24778143510473, 10.278281011700862 63.24988779449025, 10.280197501558348 63.250892678509324, 10.280299293604186 63.250914586792554)"/>
    <s v="[674932, 674632, 674640, 674643]"/>
    <s v="[664703, 664704, 664712, 664714]"/>
    <s v="#FIELD!"/>
    <s v="[664445, 664703, 664704, 664712]"/>
    <s v="[0.025, 0.026, 0.058, 0.052]"/>
    <s v="420.5565278711352"/>
    <s v="[0.025, -0.026, -0.058, -0.052]"/>
  </r>
  <r>
    <x v="2013"/>
    <x v="2622"/>
    <x v="0"/>
    <s v="[0, 1, 0, 0, 0, 0, 0, 0]"/>
    <s v="LINESTRING (10.28575463469275 63.226882086886036, 10.284374040553287 63.22772350039466, 10.283675761007213 63.22812251151535, 10.276239293610594 63.23098725589551, 10.27455355501248 63.239980321079486, 10.276066565123362 63.244954842301404, 10.276002628849215 63.246387711951606, 10.27618985453481 63.247230331755034, 10.276360230846416 63.247671106204976)"/>
    <s v="[1027334, 1027342, 1027350, 1027358, 674514, 674522, 674530, 674353]"/>
    <s v="[982026, 982032, 982041, 664581, 664582, 664590, 664444, 664445]"/>
    <s v="#FIELD!"/>
    <s v="[981995, 982026, 982032, 982041, 664581, 664582, 664590, 664444]"/>
    <s v="[0.005, 0.02, 0.012, 0.025, 0.026, 0.018, 0.013, 0.014]"/>
    <s v="2612.847846122428"/>
    <s v="[0.005, -0.02, 0.012, -0.025, 0.026, 0.018, 0.013, 0.014]"/>
  </r>
  <r>
    <x v="2014"/>
    <x v="2623"/>
    <x v="0"/>
    <n v="0"/>
    <m/>
    <n v="674803"/>
    <n v="664846"/>
    <s v="#FIELD!"/>
    <n v="664526"/>
    <s v="0.015"/>
    <s v="20.133071336694286"/>
    <s v="#FIELD!"/>
  </r>
  <r>
    <x v="2014"/>
    <x v="2620"/>
    <x v="0"/>
    <n v="0"/>
    <s v="LINESTRING (10.278369016965847 63.25132845611904, 10.278393587221057 63.251300980398774, 10.277605627668532 63.249863236401666, 10.275948048651312 63.24736692623755, 10.275910962882563 63.2472260196395, 10.275949041988572 63.24710200228392)"/>
    <s v="[674457, 674465, 674475, 1028559, 1028415]"/>
    <s v="[664527, 664535, 664544, 982883, 664567]"/>
    <s v="0.033367513846591826"/>
    <s v="[664526, 664527, 664535, 664544, 982883]"/>
    <s v="[0.04, 0.057, 0.024, 0.047, 0.035]"/>
    <s v="491.7651740770579"/>
    <s v="[0.04, 0.057, 0.024, -0.047, 0.035]"/>
  </r>
  <r>
    <x v="2014"/>
    <x v="2624"/>
    <x v="0"/>
    <n v="0"/>
    <s v="LINESTRING (10.278179590564331 63.25159731384052, 10.278135788422162 63.251565263008246, 10.278100183343023 63.251477763044086, 10.278125043109734 63.25143047606316, 10.278182295677222 63.2513857048169, 10.278369016965847 63.25132845611904)"/>
    <s v="[674757, 674765, 674773, 674787, 674795]"/>
    <s v="[664811, 664816, 664820, 664832, 664526]"/>
    <s v="0.03284450013929969"/>
    <s v="[664746, 664811, 664816, 664820, 664832]"/>
    <s v="[0.036, 0.044, 0.042, 0.03, 0.019]"/>
    <s v="36.644076274777255"/>
    <s v="[0.036, 0.044, 0.042, 0.03, 0.019]"/>
  </r>
  <r>
    <x v="2015"/>
    <x v="2622"/>
    <x v="0"/>
    <s v="[0, 1, 0, 0, 0, 0, 0]"/>
    <s v="LINESTRING (10.28575463469275 63.226882086886036, 10.284270965915193 63.22768574953695, 10.28355401114153 63.22806835674556, 10.276060713787553 63.23094225629702, 10.274366040671307 63.240010287386895, 10.275868248877018 63.24494823651077, 10.275803708531445 63.246389854571895, 10.275949041988572 63.24710200228392)"/>
    <s v="[1027302, 1027310, 1027318, 1027326, 674482, 674490, 674498]"/>
    <s v="[981996, 982004, 982013, 664549, 664550, 664558, 664567]"/>
    <s v="#FIELD!"/>
    <s v="[981995, 981996, 982004, 982013, 664549, 664550, 664558]"/>
    <s v="[0.003, 0.027, 0.013, 0.024, 0.025, 0.018, 0.014]"/>
    <s v="2555.113133269178"/>
    <s v="[-0.003, -0.027, 0.013, -0.024, 0.025, 0.018, 0.014]"/>
  </r>
  <r>
    <x v="2016"/>
    <x v="2625"/>
    <x v="0"/>
    <n v="0"/>
    <m/>
    <n v="674734"/>
    <n v="664794"/>
    <s v="0.001"/>
    <n v="664660"/>
    <s v="0.001"/>
    <s v="9.85215062814617"/>
    <s v="0.001"/>
  </r>
  <r>
    <x v="2016"/>
    <x v="2626"/>
    <x v="0"/>
    <n v="0"/>
    <m/>
    <n v="674726"/>
    <n v="664660"/>
    <s v="#FIELD!"/>
    <n v="664787"/>
    <s v="0.031"/>
    <s v="23.16615177640842"/>
    <s v="#FIELD!"/>
  </r>
  <r>
    <x v="2017"/>
    <x v="2627"/>
    <x v="0"/>
    <n v="0"/>
    <m/>
    <n v="674859"/>
    <n v="664894"/>
    <s v="0.003"/>
    <n v="664669"/>
    <s v="0.003"/>
    <s v="26.324779302865473"/>
    <s v="0.003"/>
  </r>
  <r>
    <x v="2017"/>
    <x v="2621"/>
    <x v="0"/>
    <n v="0"/>
    <m/>
    <n v="674851"/>
    <n v="664669"/>
    <s v="#FIELD!"/>
    <n v="664714"/>
    <s v="0.053"/>
    <s v="50.82471884318888"/>
    <s v="#FIELD!"/>
  </r>
  <r>
    <x v="2018"/>
    <x v="2628"/>
    <x v="0"/>
    <n v="0"/>
    <m/>
    <n v="674884"/>
    <n v="664714"/>
    <s v="0.074"/>
    <n v="664908"/>
    <s v="0.074"/>
    <s v="28.933285591573306"/>
    <s v="0.074"/>
  </r>
  <r>
    <x v="2019"/>
    <x v="2629"/>
    <x v="0"/>
    <n v="0"/>
    <s v="LINESTRING (10.278179590564331 63.25159731384052, 10.278186617489672 63.251639725346486, 10.278191839411381 63.2517375466487, 10.278273686041121 63.25188804297216)"/>
    <s v="[674684, 674709, 674718]"/>
    <s v="[664747, 664776, 664780]"/>
    <s v="#FIELD!"/>
    <s v="[664746, 664747, 664776]"/>
    <s v="[0.04, 0.043, 0.041]"/>
    <s v="33.316302438179854"/>
    <s v="[-0.04, -0.043, -0.041]"/>
  </r>
  <r>
    <x v="2019"/>
    <x v="2625"/>
    <x v="0"/>
    <n v="0"/>
    <s v="LINESTRING (10.278425709519524 63.25166143270603, 10.27830018251165 63.25164323069897, 10.278179590564331 63.25159731384052)"/>
    <s v="[674742, 674749]"/>
    <s v="[664800, 664746]"/>
    <s v="0.024359007791230552"/>
    <s v="[664794, 664800]"/>
    <s v="[0.02, 0.028]"/>
    <s v="14.559220004879837"/>
    <s v="[0.02, 0.028]"/>
  </r>
  <r>
    <x v="2020"/>
    <x v="2630"/>
    <x v="0"/>
    <n v="0"/>
    <s v="LINESTRING (10.278273686041121 63.25188804297216, 10.278339723718599 63.25197578107326, 10.278532512070367 63.2521282742739)"/>
    <s v="[1027198, 1027206]"/>
    <s v="[664717, 981906]"/>
    <s v="0.1359472723769273"/>
    <s v="[664780, 664717]"/>
    <s v="[0.42, 0.014]"/>
    <s v="29.898935324968456"/>
    <s v="[0.42, -0.014]"/>
  </r>
  <r>
    <x v="2020"/>
    <x v="2625"/>
    <x v="0"/>
    <n v="0"/>
    <s v="LINESTRING (10.278425709519524 63.25166143270603, 10.27840401435014 63.2516867017609, 10.278355457551093 63.251744910156596, 10.278273686041121 63.25188804297216)"/>
    <s v="[674827, 674835, 674843]"/>
    <s v="[664864, 664872, 664780]"/>
    <s v="#FIELD!"/>
    <s v="[664794, 664864, 664872]"/>
    <s v="[0.043, 0.032, 0.041]"/>
    <s v="26.434107606791805"/>
    <s v="[-0.043, -0.032, -0.041]"/>
  </r>
  <r>
    <x v="2021"/>
    <x v="2623"/>
    <x v="0"/>
    <n v="0"/>
    <s v="LINESTRING (10.278742846502094 63.25137205256703, 10.278818381091972 63.25141773036772, 10.278855208592466 63.251482895765434)"/>
    <s v="[674811, 674819]"/>
    <s v="[664852, 664787]"/>
    <s v="#FIELD!"/>
    <s v="[664846, 664852]"/>
    <s v="[0.04, 0.038]"/>
    <s v="13.849584971458446"/>
    <s v="[-0.04, -0.038]"/>
  </r>
  <r>
    <x v="2021"/>
    <x v="2631"/>
    <x v="0"/>
    <s v="[1, 0, 0]"/>
    <s v="LINESTRING (10.279110786279048 63.251354334793334, 10.279037651970063 63.25138788566259, 10.27890462772201 63.251454528197584, 10.278855208592466 63.251482895765434)"/>
    <s v="[1482789, 1482790, 1482811]"/>
    <s v="[1342953, 1342954, 664787]"/>
    <s v="#FIELD!"/>
    <s v="[664920, 1342953, 1342954]"/>
    <s v="[1.858, 0.119, 2.255]"/>
    <s v="19.260183965606572"/>
    <s v="[1.858, -0.119, -2.255]"/>
  </r>
  <r>
    <x v="2022"/>
    <x v="2631"/>
    <x v="0"/>
    <s v="[1, 0, 0]"/>
    <s v="LINESTRING (10.279110786279048 63.251354334793334, 10.279007382914571 63.251358488232725, 10.278840408270568 63.25136628423606, 10.278742846502094 63.25137205256703)"/>
    <s v="[1482813, 1482817, 1482818]"/>
    <s v="[1342968, 1342971, 664846]"/>
    <s v="0.0016496213415895578"/>
    <s v="[664920, 1342968, 1342971]"/>
    <s v="[1.884, 0.114, 1.787]"/>
    <s v="18.59687668339877"/>
    <s v="[1.884, -0.114, -1.787]"/>
  </r>
  <r>
    <x v="2023"/>
    <x v="2628"/>
    <x v="0"/>
    <n v="0"/>
    <s v="LINESTRING (10.280089726003471 63.25120142908041, 10.280020312941161 63.25115613527308, 10.279984756297658 63.25110270355053)"/>
    <s v="[674868, 674876]"/>
    <s v="[664901, 664908]"/>
    <s v="0.03903982605041727"/>
    <s v="[664894, 664901]"/>
    <s v="[0.033, 0.045]"/>
    <s v="12.357348908728714"/>
    <s v="[0.033, 0.045]"/>
  </r>
  <r>
    <x v="2023"/>
    <x v="2632"/>
    <x v="0"/>
    <s v="[0, 0, 1]"/>
    <s v="LINESTRING (10.280089726003471 63.25120142908041, 10.28001774790088 63.25120584507687, 10.279830706026718 63.25121263364143, 10.279751339087216 63.25121464560847)"/>
    <s v="[1482854, 1482867, 1482868]"/>
    <s v="[1342993, 1343005, 664919]"/>
    <s v="0.004070828970206761"/>
    <s v="[664894, 1342993, 1343005]"/>
    <s v="[4.432, 0.11, 3.773]"/>
    <s v="17.07448259018085"/>
    <s v="[4.432, -0.11, -3.773]"/>
  </r>
  <r>
    <x v="2024"/>
    <x v="2632"/>
    <x v="0"/>
    <s v="[0, 0, 1]"/>
    <s v="LINESTRING (10.279984756297658 63.25110270355053, 10.279926015296997 63.25112549169847, 10.279800912627296 63.251187155228074, 10.279751339087216 63.25121464560847)"/>
    <s v="[1482819, 1482827, 1482839]"/>
    <s v="[1342972, 1342978, 664919]"/>
    <s v="#FIELD!"/>
    <s v="[664908, 1342972, 1342978]"/>
    <s v="[4.098, 0.137, 3.821]"/>
    <s v="17.160709469763617"/>
    <s v="[4.098, -0.137, -3.821]"/>
  </r>
  <r>
    <x v="2025"/>
    <x v="2631"/>
    <x v="0"/>
    <n v="1"/>
    <m/>
    <n v="674892"/>
    <n v="664920"/>
    <s v="#FIELD!"/>
    <n v="664919"/>
    <s v="0.012"/>
    <s v="35.75869035605668"/>
    <s v="#FIELD!"/>
  </r>
  <r>
    <x v="2026"/>
    <x v="2633"/>
    <x v="0"/>
    <n v="0"/>
    <s v="LINESTRING (6.079228103747598 61.86422883938815, 6.07921897373259 61.86426854321913, 6.079126059157268 61.864601938517055, 6.078996436684765 61.8650069558836, 6.0788793697558745 61.86522182896409)"/>
    <s v="[674980, 674988, 674996, 675004]"/>
    <s v="[664980, 664983, 664990, 664993]"/>
    <s v="0.07257399472831817"/>
    <s v="[664979, 664980, 664983, 664990]"/>
    <s v="[0.08, 0.077, 0.074, 0.062]"/>
    <s v="112.80049299087099"/>
    <s v="[0.08, 0.077, 0.074, 0.062]"/>
  </r>
  <r>
    <x v="2026"/>
    <x v="2633"/>
    <x v="0"/>
    <n v="0"/>
    <s v="LINESTRING (6.079228103747598 61.86422883938815, 6.079141514256351 61.864199300338996, 6.078802490273385 61.864470205234234, 6.0787087869770025 61.86498431918773, 6.078709871069142 61.86498675803123, 6.0788793697558745 61.86522182896409)"/>
    <s v="[675012, 675020, 675028, 675036, 675044]"/>
    <s v="[664999, 665005, 665011, 665018, 664993]"/>
    <s v="0.05862442984220047"/>
    <s v="[664979, 664999, 665005, 665011, 665018]"/>
    <s v="[0.061, 0.042, 0.071, 0.298, 0.083]"/>
    <s v="138.84411194127182"/>
    <s v="[-0.061, 0.042, 0.071, 0.298, 0.083]"/>
  </r>
  <r>
    <x v="2027"/>
    <x v="2634"/>
    <x v="0"/>
    <s v="[0, 0, 0, 0, 0, 0, 0, 0, 0, 0, 0, 0, 0, 0, 0, 0, 0, 0, 0, 0, 0, 0, 0, 0, 0, 0, 0, 0, 0, 0, 0, 0, 1, 0, 0, 0, 0, 0, 0, 0]"/>
    <s v="LINESTRING (6.0788793697558745 61.86522182896409, 6.0788939565832285 61.86534795965187, 6.0787853431037755 61.86568846310155, 6.078431550957699 61.866419353091445, 6.07806072531626 61.8668682804035, 6.076534550866522 61.86767248646126, 6.076186574746412 61.867795246560114, 6.075491296135914 61.868039091304055, 6.0752316343364825 61.86812957404124, 6.0739740178663375 61.86870222898505, 6.0733537702252685 61.86919518254808, 6.072793002878035 61.87022518556657, 6.072666393355137 61.87068869563693, 6.07253549764831 61.87116810375564, 6.072393959811666 61.871690289431946, 6.072099859782421 61.87231420761253, 6.069675233503493 61.87348904532276, 6.0430955039058185 61.877600319980004, 6.039960538812848 61.87801768005781, 6.0397757015205435 61.878080169617554, 6.026739782271803 61.90279140762317, 6.026696421816622 61.90282084550802, 6.025847007525934 61.90316950486737, 6.022967522805794 61.903082730255754, 6.013814321826042 61.90272531007987, 6.01312208278028 61.902773403932876, 6.011947221721335 61.90284830551591, 6.010607169578553 61.90293483130153, 6.009277153025763 61.90302024231183, 6.00850823705921 61.90306141248877, 6.0050815952688685 61.90303905450219, 6.004587761351427 61.90312828539185, 6.004324662990807 61.90318579988639, 6.003616238799447 61.90335444797801, 6.003109661179584 61.903474381263614, 5.99972275359632 61.904286751087156, 5.996409671782862 61.905080789923986, 5.995884696781129 61.90520832668004, 5.995793998741963 61.9052304592388, 5.995723562641794 61.905247600107096, 5.9938444907542205 61.905743616378345)"/>
    <s v="[1894108, 1894116, 1894124, 1894132, 1894140, 1894148, 1894156, 1894164, 1894172, 1894180, 1894188, 1894196, 1894204, 1894212, 1894220, 1894228, 1894236, 1894244, 1894252, 1894260, 1894268, 1894276, 1894284, 1894292, 1894300, 1894308, 1894316, 1894324, 1894332, 1894340, 1894348, 1894356, 1894364, 1894372, 1894380, 1894388, 1894396, 1894404, 1894412, 1894420]"/>
    <s v="[1664398, 1652267, 1664409, 1649698, 1590721, 1652243, 1649780, 1590678, 1649769, 1649700, 1649711, 1652300, 1664452, 1652960, 1664462, 1664467, 1664471, 1664479, 1664484, 1664490, 1664497, 1664499, 1664505, 1664511, 1664516, 1664522, 991255, 1664534, 991277, 1652581, 1664553, 1664560, 1664564, 1664569, 1664576, 1664581, 1664586, 1664591, 1615377, 1656119]"/>
    <s v="#FIELD!"/>
    <s v="[664993, 1664398, 1652267, 1664409, 1649698, 1590721, 1652243, 1649780, 1590678, 1649769, 1649700, 1649711, 1652300, 1664452, 1652960, 1664462, 1664467, 1664471, 1664479, 1664484, 1664490, 1664497, 1664499, 1664505, 1664511, 1664516, 1664522, 991255, 1664534, 991277, 1652581, 1664553, 1664560, 1664564, 1664569, 1664576, 1664581, 1664586, 1664591, 1615377]"/>
    <s v="[0.571, 0.016, 0.005, 0.007, 0.03, 0.046, 0.039, 0.029, 0.015, 0.036, 0.023, 0.006, 0.042, 0.059, 0.054, 0.118, 0.057, 0.116, 0.346, 0.017, 0.311, 0.287, 0.073, 0.069, 0.025, 0.052, 0.092, 0.091, 0.063, 0.033, 0.142, 0.136, 0.059, 0.008, 0.006, 0.003, 0.024, 0.031, 0.008, 0.003]"/>
    <s v="7457.475728944166"/>
    <s v="[-0.571, 0.016, 0.005, 0.007, 0.03, 0.046, 0.039, 0.029, 0.015, -0.036, -0.023, 0.006, 0.042, 0.059, 0.054, 0.118, 0.057, 0.116, 0.346, -0.017, -0.311, -0.287, -0.073, -0.069, -0.025, -0.052, -0.092, -0.091, 0.063, -0.033, -0.142, -0.136, -0.059, -0.008, -0.006, 0.003, 0.024, 0.031, 0.008, 0.003]"/>
  </r>
  <r>
    <x v="2028"/>
    <x v="2635"/>
    <x v="0"/>
    <n v="0"/>
    <m/>
    <n v="675466"/>
    <n v="665373"/>
    <s v="0.07"/>
    <n v="665364"/>
    <s v="0.07"/>
    <s v="11.25268407646487"/>
    <s v="0.07"/>
  </r>
  <r>
    <x v="2028"/>
    <x v="2636"/>
    <x v="0"/>
    <n v="0"/>
    <s v="LINESTRING (10.432637314189677 59.93664773904071, 10.43277345130245 59.93668340010422, 10.43281008647097 59.936736204444585)"/>
    <s v="[675450, 675458]"/>
    <s v="[665442, 665364]"/>
    <s v="0.07722865230996886"/>
    <s v="[665422, 665442]"/>
    <s v="[0.052, 0.112]"/>
    <s v="14.820781008938422"/>
    <s v="[0.052, 0.112]"/>
  </r>
  <r>
    <x v="2028"/>
    <x v="2637"/>
    <x v="0"/>
    <s v="[1, 0, 0, 0, 0, 0, 0, 0]"/>
    <s v="LINESTRING (10.436422724276541 59.93481076876071, 10.43571181863669 59.93519838851483, 10.434820683564674 59.93568054615201, 10.43463598876379 59.93578237912091, 10.43444361748301 59.93588801973057, 10.434259761046523 59.93598817251465, 10.43321902600405 59.93655640788738, 10.432884002872115 59.936700923672625, 10.43281008647097 59.936736204444585)"/>
    <s v="[849700, 849708, 849724, 849732, 849740, 849748, 675378, 675386]"/>
    <s v="[824716, 824722, 824732, 824741, 824751, 665357, 665358, 665364]"/>
    <s v="0.046125315074829934"/>
    <s v="[824502, 824716, 824722, 824732, 824741, 824751, 665357, 665358]"/>
    <s v="[0.089, 0.02, 0.027, 0.045, 0.023, 0.071, 0.049, 0.066]"/>
    <s v="294.9167174079323"/>
    <s v="[0.089, 0.02, -0.027, -0.045, 0.023, 0.071, 0.049, 0.066]"/>
  </r>
  <r>
    <x v="2029"/>
    <x v="2638"/>
    <x v="0"/>
    <s v="[0, 0, 0, 1, 0]"/>
    <s v="LINESTRING (10.432710118850531 59.936819164848025, 10.43260221631006 59.936878151735314, 10.431957516733917 59.937184472487196, 10.428848952674468 59.93818582889934, 10.426511283710681 59.93856844243736, 10.422348164885493 59.93822571174464)"/>
    <s v="[675394, 675402, 849756, 849764, 849772]"/>
    <s v="[665374, 665383, 824768, 824779, 336016]"/>
    <s v="0.034298995491913065"/>
    <s v="[665373, 665374, 665383, 824768, 824779]"/>
    <s v="[0.063, 0.056, 0.056, 0.111, 0.093]"/>
    <s v="645.3762187868297"/>
    <s v="[0.063, 0.056, 0.056, -0.111, 0.093]"/>
  </r>
  <r>
    <x v="2029"/>
    <x v="2639"/>
    <x v="0"/>
    <n v="0"/>
    <s v="LINESTRING (10.432710118850531 59.936819164848025, 10.43257797742163 59.93682474314824, 10.432486303357773 59.93679287294374)"/>
    <s v="[675475, 675483]"/>
    <s v="[665473, 665392]"/>
    <s v="#FIELD!"/>
    <s v="[665373, 665473]"/>
    <s v="[0.016, 0.066]"/>
    <s v="13.654032899558725"/>
    <s v="[-0.016, -0.066]"/>
  </r>
  <r>
    <x v="2030"/>
    <x v="2636"/>
    <x v="0"/>
    <n v="0"/>
    <m/>
    <n v="675442"/>
    <n v="665422"/>
    <s v="#FIELD!"/>
    <n v="665392"/>
    <s v="0.063"/>
    <s v="22.493769177233915"/>
    <s v="#FIELD!"/>
  </r>
  <r>
    <x v="2030"/>
    <x v="2638"/>
    <x v="0"/>
    <s v="[0, 0, 0, 1, 0]"/>
    <s v="LINESTRING (10.432486303357773 59.93679287294374, 10.432441635861132 59.936845194919584, 10.431797594841477 59.937126571486104, 10.42880886226498 59.938139918410414, 10.426489729945628 59.938522005953104, 10.422348164885493 59.93822571174464)"/>
    <s v="[675410, 675418, 849820, 849828, 849836]"/>
    <s v="[665393, 665400, 824823, 824828, 336016]"/>
    <s v="0.03555230374728473"/>
    <s v="[665392, 665393, 665400, 824823, 824828]"/>
    <s v="[0.098, 0.053, 0.061, 0.106, 0.09]"/>
    <s v="631.6185115714145"/>
    <s v="[0.098, 0.053, 0.061, -0.106, 0.09]"/>
  </r>
  <r>
    <x v="2031"/>
    <x v="2640"/>
    <x v="0"/>
    <n v="0"/>
    <s v="LINESTRING (10.434466032834473 59.93570222493584, 10.434313863760302 59.93579717218973, 10.434154973805283 59.93589536671093, 10.433991934230967 59.935983344304034, 10.433078204604417 59.93648657996106, 10.432749542566231 59.93661185390539, 10.432637314189677 59.93664773904071)"/>
    <s v="[849788, 849796, 849804, 849812, 675426, 675434]"/>
    <s v="[824797, 824804, 824811, 665409, 665410, 665422]"/>
    <s v="0.039477289006970784"/>
    <s v="[824666, 824797, 824804, 824811, 665409, 665410]"/>
    <s v="[0.048, 0.056, 0.033, 0.072, 0.044, 0.046]"/>
    <s v="147.47331881907866"/>
    <s v="[-0.048, -0.056, 0.033, 0.072, 0.044, 0.046]"/>
  </r>
  <r>
    <x v="2032"/>
    <x v="1363"/>
    <x v="0"/>
    <n v="0"/>
    <s v="LINESTRING (20.548661821078916 69.54208158377317, 20.550529210150255 69.54239044507042, 20.550746516967294 69.54244346131276, 20.55088075519666 69.54247673211681, 20.552059554768483 69.54280538595012, 20.552959398680212 69.54314207533571)"/>
    <s v="[675596, 675604, 675612, 675620, 675628]"/>
    <s v="[665621, 665627, 665634, 665642, 665648]"/>
    <s v="0.04309341914385883"/>
    <s v="[665620, 665621, 665627, 665634, 665642]"/>
    <s v="[0.027, 0.071, 0.063, 0.06, 0.041]"/>
    <s v="208.15332756892997"/>
    <s v="[0.027, 0.071, 0.063, 0.06, 0.041]"/>
  </r>
  <r>
    <x v="2032"/>
    <x v="1363"/>
    <x v="0"/>
    <n v="0"/>
    <s v="LINESTRING (20.548661821078916 69.54208158377317, 20.550391584498815 69.54245278590058, 20.550648190434572 69.54251346027402, 20.550759920677876 69.54254061734203, 20.55194632609085 69.54285440532229, 20.55205967229982 69.5428871619466, 20.552959398680212 69.54314207533571)"/>
    <s v="[675644, 675652, 675660, 675668, 675676, 675684]"/>
    <s v="[665662, 665669, 665676, 665682, 665690, 665648]"/>
    <s v="0.043482650382925155"/>
    <s v="[665620, 665662, 665669, 665676, 665682, 665690]"/>
    <s v="[0.019, 0.071, 0.066, 0.062, 0.048, 0.052]"/>
    <s v="205.71515302782035"/>
    <s v="[0.019, 0.071, 0.066, 0.062, 0.048, 0.052]"/>
  </r>
  <r>
    <x v="2032"/>
    <x v="2641"/>
    <x v="0"/>
    <n v="0"/>
    <s v="LINESTRING (20.542444267243905 69.54163404995938, 20.546225119887843 69.54178178797521, 20.548661821078916 69.54208158377317)"/>
    <s v="[1104552, 1104553]"/>
    <s v="[1045877, 665620]"/>
    <s v="0.006595957630040779"/>
    <s v="[665731, 1045877]"/>
    <s v="[0.007, 0.006]"/>
    <s v="249.82411199271556"/>
    <s v="[0.007, 0.006]"/>
  </r>
  <r>
    <x v="2033"/>
    <x v="2641"/>
    <x v="0"/>
    <n v="0"/>
    <s v="LINESTRING (20.537444340566367 69.54198802184611, 20.538381852820713 69.54184725763815, 20.53861202976953 69.54181972058417, 20.54009628246031 69.5416862371658, 20.540171997451633 69.54168119329654, 20.540401083590858 69.54166779067394, 20.542444267243905 69.54163404995938)"/>
    <s v="[675694, 675702, 675711, 675719, 675727, 675732]"/>
    <s v="[665698, 665702, 665710, 665718, 665727, 665731]"/>
    <s v="0.0012316671175695345"/>
    <s v="[665697, 665698, 665702, 665710, 665718, 665727]"/>
    <s v="[0.003, 0.003, 0.002, 0.003, 0.003, 0.003]"/>
    <s v="201.3667413622871"/>
    <s v="[-0.003, -0.003, 0.002, 0.003, 0.003, 0.003]"/>
  </r>
  <r>
    <x v="2033"/>
    <x v="2641"/>
    <x v="0"/>
    <n v="0"/>
    <s v="LINESTRING (20.537444340566367 69.54198802184611, 20.538672562085132 69.54188429397325, 20.540154946161888 69.54175954507828, 20.540231651888707 69.54175435270034, 20.540437774541587 69.54174069013405, 20.542444267243905 69.54163404995938)"/>
    <s v="[675738, 675746, 675749, 675750, 675758]"/>
    <s v="[665737, 665744, 665746, 665747, 665731]"/>
    <s v="0.0012165396418903941"/>
    <s v="[665697, 665737, 665744, 665746, 665747]"/>
    <s v="[0.003, 0.002, 0.003, 0.003, 0.003]"/>
    <s v="199.27405463523962"/>
    <s v="[-0.003, 0.002, 0.003, 0.003, 0.003]"/>
  </r>
  <r>
    <x v="2033"/>
    <x v="720"/>
    <x v="204"/>
    <n v="0"/>
    <s v="LINESTRING (20.353522012103674 69.50685467578417, 20.537444340566367 69.54198802184611)"/>
    <m/>
    <m/>
    <s v="0.0"/>
    <m/>
    <n v="0"/>
    <s v="13653.259496142731"/>
    <n v="0"/>
  </r>
  <r>
    <x v="2034"/>
    <x v="1366"/>
    <x v="0"/>
    <n v="0"/>
    <m/>
    <n v="1407522"/>
    <n v="1287780"/>
    <s v="0.084"/>
    <n v="665872"/>
    <s v="0.084"/>
    <s v="40.329181493923976"/>
    <s v="0.084"/>
  </r>
  <r>
    <x v="2035"/>
    <x v="2642"/>
    <x v="0"/>
    <n v="0"/>
    <s v="LINESTRING (10.222952442264095 60.149792612946236, 10.220097661600375 60.15126847907666, 10.22005151099507 60.151305425399194, 10.219370032545113 60.15200306311903)"/>
    <s v="[1716815, 1716816, 1716950]"/>
    <s v="[1530701, 1530702, 1530717]"/>
    <s v="0.05089743396567669"/>
    <s v="[665874, 1530701, 1530702]"/>
    <s v="[0.067, 0.035, 0.009]"/>
    <s v="321.56994287679197"/>
    <s v="[0.067, 0.035, 0.009]"/>
  </r>
  <r>
    <x v="2035"/>
    <x v="2643"/>
    <x v="0"/>
    <n v="0"/>
    <s v="LINESTRING (10.220175762426056 60.15069874284466, 10.220266125090895 60.15071307379978, 10.222723505088238 60.14985124344158, 10.222952442264095 60.149792612946236)"/>
    <s v="[1716865, 1716866, 675927]"/>
    <s v="[1530726, 665873, 665874]"/>
    <s v="#FIELD!"/>
    <s v="[1530645, 1530726, 665873]"/>
    <s v="[0.033, 0.073, 0.002]"/>
    <s v="197.9959561077136"/>
    <s v="[-0.033, -0.073, -0.002]"/>
  </r>
  <r>
    <x v="2035"/>
    <x v="2230"/>
    <x v="0"/>
    <n v="0"/>
    <m/>
    <n v="1716814"/>
    <n v="665874"/>
    <s v="#FIELD!"/>
    <n v="1530672"/>
    <s v="0.053"/>
    <s v="12.151770467749127"/>
    <s v="#FIELD!"/>
  </r>
  <r>
    <x v="2036"/>
    <x v="2644"/>
    <x v="0"/>
    <n v="0"/>
    <s v="LINESTRING (5.597956085192671 59.13801413463803, 5.5978042093763865 59.13803655669014, 5.594739710524735 59.13772994968798, 5.594638881012542 59.1377482884242)"/>
    <s v="[679720, 679757, 679765]"/>
    <s v="[670286, 670325, 670332]"/>
    <s v="0.004581351011665053"/>
    <s v="[670285, 670286, 670325]"/>
    <s v="[0.054, 0.008, 0.009]"/>
    <s v="195.11073739448094"/>
    <s v="[-0.054, 0.008, -0.009]"/>
  </r>
  <r>
    <x v="2037"/>
    <x v="1710"/>
    <x v="0"/>
    <n v="0"/>
    <s v="LINESTRING (5.594638881012542 59.1377482884242, 5.593022783049068 59.13812488379495, 5.592912202688871 59.13809150256449, 5.59287820173038 59.13808095501475)"/>
    <s v="[2103154, 2103162, 2103163]"/>
    <s v="[1817661, 1817665, 1170291]"/>
    <s v="#FIELD!"/>
    <s v="[670332, 1817661, 1817665]"/>
    <s v="[0.039, 0.041, 2.449]"/>
    <s v="121.83067428949323"/>
    <s v="[0.039, 0.041, -2.449]"/>
  </r>
  <r>
    <x v="2037"/>
    <x v="2645"/>
    <x v="0"/>
    <n v="0"/>
    <m/>
    <n v="2103118"/>
    <n v="670332"/>
    <s v="#FIELD!"/>
    <n v="1817647"/>
    <s v="1.211"/>
    <s v="4.455227266843485"/>
    <s v="#FIELD!"/>
  </r>
  <r>
    <x v="2038"/>
    <x v="2646"/>
    <x v="0"/>
    <n v="0"/>
    <s v="LINESTRING (11.46159434400885 63.785387117270304, 11.461540707342763 63.78541408511635, 11.461217901527263 63.78560057567159, 11.461722077167309 63.78653070284603, 11.464979354431572 63.78507245575431, 11.465214511935507 63.78496433893209)"/>
    <s v="[846884, 846885, 597876, 1623824, 1623832]"/>
    <s v="[822229, 601112, 601113, 1453391, 672198]"/>
    <s v="#FIELD!"/>
    <s v="[821961, 822229, 601112, 601113, 1453391]"/>
    <s v="[0.005, 0.004, 0.008, 0.003, 0.015]"/>
    <s v="418.4366179187964"/>
    <s v="[0.005, 0.004, -0.008, -0.003, -0.015]"/>
  </r>
  <r>
    <x v="2039"/>
    <x v="2647"/>
    <x v="0"/>
    <n v="0"/>
    <m/>
    <n v="1352263"/>
    <n v="672413"/>
    <s v="0.127"/>
    <n v="672414"/>
    <s v="0.127"/>
    <s v="114.39236982481908"/>
    <s v="0.127"/>
  </r>
  <r>
    <x v="2039"/>
    <x v="2648"/>
    <x v="205"/>
    <n v="0"/>
    <s v="LINESTRING (5.522475967361958 59.47280365051089, 5.5194124199391785 59.471338174191295, 5.518850814076548 59.47108599522154, 5.516135631582075 59.4704086103446, 5.515791259264249 59.47033646386989, 5.514269376117311 59.469589908809006, 5.511854683706446 59.4674763831001, 5.511420140079102 59.467223249939096, 5.510004041714122 59.46524323631353, 5.510969446593813 59.46369796074572, 5.504359304694306 59.45681188803792, 5.5033768679297435 59.45639790704657, 5.502926990318526 59.45621106421445, 5.49890854922024 59.45590351735887, 5.4956028712468346 59.45628617626756, 5.492842723311928 59.45761168692512, 5.492741601401414 59.4576659568895, 5.485448502278606 59.46091507238324)"/>
    <s v="[1982257, 1982258, 681313, 681314, 681315, 681323, 681331, 681339, 681347, 681355, 681381, 681389, 681390, 681405, 681406, 681407, 681413]"/>
    <s v="[1742444, 672283, 672284, 672285, 672286, 356090, 672308, 672321, 356013, 672340, 672372, 672384, 672385, 672406, 672407, 672408, 672413]"/>
    <s v="0.011629249717857884"/>
    <s v="[1742443, 1742444, 672283, 672284, 672285, 672286, 356090, 672308, 672321, 356013, 672340, 672372, 672384, 672385, 672406, 672407, 672408]"/>
    <s v="[0.038, 0.271, 0.019, 0.021, 0.023, 0.041, 0.054, 0.001, 0.076, 0.018, 0.009, 0.007, 0.012, 0.014, 0.089, 0.041, 0.065]"/>
    <s v="3573.461579095756"/>
    <s v="[0.038, -0.271, -0.019, -0.021, 0.023, 0.041, 0.054, -0.001, -0.076, -0.018, 0.009, -0.007, 0.012, 0.014, 0.089, 0.041, 0.065]"/>
  </r>
  <r>
    <x v="2040"/>
    <x v="1171"/>
    <x v="0"/>
    <n v="0"/>
    <m/>
    <n v="681425"/>
    <n v="672427"/>
    <s v="#FIELD!"/>
    <n v="672414"/>
    <s v="0.136"/>
    <s v="202.67505261393345"/>
    <s v="#FIELD!"/>
  </r>
  <r>
    <x v="2041"/>
    <x v="2649"/>
    <x v="0"/>
    <n v="0"/>
    <m/>
    <n v="681430"/>
    <n v="672432"/>
    <s v="#FIELD!"/>
    <n v="672427"/>
    <s v="0.133"/>
    <s v="144.7170486778609"/>
    <s v="#FIELD!"/>
  </r>
  <r>
    <x v="2042"/>
    <x v="1170"/>
    <x v="0"/>
    <n v="0"/>
    <s v="LINESTRING (5.47787258417999 59.462321833245504, 5.474671072376853 59.4629408593972, 5.474268476971822 59.463023715202056, 5.474250086250323 59.46302748863092, 5.474136301156774 59.4630507982298, 5.472509305899611 59.46335907020718)"/>
    <s v="[681432, 681433, 681453, 681461, 681469]"/>
    <s v="[672435, 672436, 672457, 672464, 672473]"/>
    <s v="#FIELD!"/>
    <s v="[672432, 672435, 672436, 672457, 672464]"/>
    <s v="[0.074, 0.041, 0.003, 0.044, 0.05]"/>
    <s v="326.3593063749448"/>
    <s v="[-0.074, -0.041, 0.003, -0.044, -0.05]"/>
  </r>
  <r>
    <x v="2042"/>
    <x v="1172"/>
    <x v="0"/>
    <n v="0"/>
    <s v="LINESTRING (5.47787258417999 59.462321833245504, 5.477580804977716 59.46241979114182, 5.473772939641191 59.46421998300026, 5.473719786549111 59.46424438957434, 5.473179237421736 59.46446202359786, 5.472942823443602 59.46453323359907)"/>
    <s v="[1351711, 1351719, 1351727, 1351735, 1351743]"/>
    <s v="[1251662, 1251668, 1251672, 1251676, 1251681]"/>
    <s v="0.0005525677331314206"/>
    <s v="[672432, 1251662, 1251668, 1251672, 1251676]"/>
    <s v="[0.255, 0.018, 0.031, 0.025, 0.024]"/>
    <s v="389.1273511089262"/>
    <s v="[0.255, -0.018, 0.031, 0.025, -0.024]"/>
  </r>
  <r>
    <x v="2043"/>
    <x v="1378"/>
    <x v="0"/>
    <n v="0"/>
    <m/>
    <n v="681675"/>
    <n v="672697"/>
    <s v="#FIELD!"/>
    <n v="672660"/>
    <s v="0.003"/>
    <s v="122.89024886191848"/>
    <s v="#FIELD!"/>
  </r>
  <r>
    <x v="2043"/>
    <x v="2650"/>
    <x v="0"/>
    <n v="0"/>
    <s v="LINESTRING (5.439479462497654 59.4228270631875, 5.439739713598436 59.42272617807717, 5.442549756667389 59.42174212690361, 5.442601479911854 59.421746725365345)"/>
    <s v="[681996, 682011, 682012]"/>
    <s v="[673059, 673071, 673072]"/>
    <s v="#FIELD!"/>
    <s v="[672660, 673059, 673071]"/>
    <s v="[0.016, 0.018, 0.037]"/>
    <s v="216.12609319159617"/>
    <s v="[-0.016, -0.018, 0.037]"/>
  </r>
  <r>
    <x v="2044"/>
    <x v="2651"/>
    <x v="0"/>
    <n v="0"/>
    <s v="LINESTRING (5.442535264399538 59.422203290911256, 5.442535264399538 59.422203290911256, 5.4380276383050346 59.42319711858483, 5.437500976273188 59.42326461270859)"/>
    <s v="[682019, 682020, 682027]"/>
    <s v="[673081, 673082, 672697]"/>
    <s v="0.0007135723159225079"/>
    <s v="[673080, 673081, 673082]"/>
    <s v="[0.0, 0.003, 0.02]"/>
    <s v="315.25516509198474"/>
    <s v="[0.0, 0.003, -0.02]"/>
  </r>
  <r>
    <x v="2045"/>
    <x v="1401"/>
    <x v="0"/>
    <n v="0"/>
    <s v="LINESTRING (5.391373061427738 59.42368211996719, 5.386658590869954 59.424732825947956, 5.3856705021605835 59.42465917301924, 5.3853736627852005 59.424618124146576)"/>
    <s v="[681716, 681724, 1315572]"/>
    <s v="[672746, 672755, 1223192]"/>
    <s v="#FIELD!"/>
    <s v="[672745, 672746, 672755]"/>
    <s v="[0.047, 0.118, 0.118]"/>
    <s v="378.0245122080302"/>
    <s v="[-0.047, -0.118, -0.118]"/>
  </r>
  <r>
    <x v="2045"/>
    <x v="2652"/>
    <x v="0"/>
    <n v="0"/>
    <s v="LINESTRING (5.391373061427738 59.42368211996719, 5.391527924201158 59.423519868650416, 5.3921765088975215 59.422866967792295, 5.391972048201399 59.42255494863491, 5.390600196379975 59.42275152602768, 5.390531382220348 59.422774797731215)"/>
    <s v="[2094440, 2094441, 2094449, 2094451, 2094462]"/>
    <s v="[1812197, 1812198, 1812201, 1812202, 1812048]"/>
    <s v="#FIELD!"/>
    <s v="[672745, 1812197, 1812198, 1812201, 1812202]"/>
    <s v="[0.005, 0.002, 0.025, 0.026, 1.492]"/>
    <s v="229.51400645828755"/>
    <s v="[-0.005, -0.002, -0.025, -0.026, -1.492]"/>
  </r>
  <r>
    <x v="2045"/>
    <x v="2653"/>
    <x v="0"/>
    <n v="0"/>
    <s v="LINESTRING (5.3936588186752825 59.422323484374274, 5.393648239552589 59.422296567187246, 5.393152251314291 59.42205041148646, 5.392292351169406 59.42306863799718, 5.391653975330263 59.4235594674121, 5.391373061427738 59.42368211996719)"/>
    <s v="[2094418, 2094423, 2094424, 2094432, 2094433]"/>
    <s v="[1812187, 1812189, 1812190, 1812194, 672745]"/>
    <s v="#FIELD!"/>
    <s v="[1812094, 1812187, 1812189, 1812190, 1812194]"/>
    <s v="[0.025, 0.057, 0.024, 0.064, 0.007]"/>
    <s v="271.73134544038464"/>
    <s v="[-0.025, -0.057, -0.024, 0.064, -0.007]"/>
  </r>
  <r>
    <x v="2045"/>
    <x v="1104"/>
    <x v="0"/>
    <n v="0"/>
    <s v="LINESTRING (5.393975133709445 59.420682326123774, 5.392611344119411 59.422637835951775, 5.391373061427738 59.42368211996719)"/>
    <s v="[2094485, 2094486]"/>
    <s v="[1812212, 672745]"/>
    <s v="#FIELD!"/>
    <s v="[1812154, 1812212]"/>
    <s v="[0.007, 0.001]"/>
    <s v="369.3379279653211"/>
    <s v="[-0.007, -0.001]"/>
  </r>
  <r>
    <x v="2045"/>
    <x v="1105"/>
    <x v="0"/>
    <n v="0"/>
    <s v="LINESTRING (5.393977329097284 59.420553639588405, 5.393883043136239 59.4206607492048, 5.392524511434789 59.42260946027344, 5.391373061427738 59.42368211996719)"/>
    <s v="[2094518, 2094519, 2094521]"/>
    <s v="[1812223, 1812224, 672745]"/>
    <s v="#FIELD!"/>
    <s v="[1812162, 1812223, 1812224]"/>
    <s v="[0.066, 0.004, 0.001]"/>
    <s v="381.13035036746123"/>
    <s v="[-0.066, -0.004, 0.001]"/>
  </r>
  <r>
    <x v="2046"/>
    <x v="2654"/>
    <x v="0"/>
    <n v="0"/>
    <s v="LINESTRING (5.335452790061319 59.403662555812616, 5.335389749042634 59.40367912171092, 5.335428321344019 59.40457273911285, 5.335534426296238 59.404718599345046, 5.336880695028388 59.40649640527981, 5.336917786443922 59.406682528638385)"/>
    <s v="[1156885, 1156893, 1156901, 1156909, 1156917]"/>
    <s v="[1091907, 1091917, 1091924, 1091931, 672870]"/>
    <s v="0.02022075476446702"/>
    <s v="[1091844, 1091907, 1091917, 1091924, 1091931]"/>
    <s v="[0.015, 0.006, 0.018, 0.028, 0.023]"/>
    <s v="363.9825255519612"/>
    <s v="[-0.015, 0.006, 0.018, 0.028, 0.023]"/>
  </r>
  <r>
    <x v="2047"/>
    <x v="1384"/>
    <x v="0"/>
    <n v="0"/>
    <s v="LINESTRING (5.330618326832677 59.39789887559542, 5.32932438066919 59.39774990139319, 5.329307112958387 59.39774834754574, 5.329030617345671 59.39772403948595, 5.326601469531707 59.39752707569785)"/>
    <s v="[681823, 681831, 681839, 681847]"/>
    <s v="[672880, 672892, 672904, 672915]"/>
    <s v="#FIELD!"/>
    <s v="[672879, 672880, 672892, 672904]"/>
    <s v="[0.001, 0.006, 0.007, 0.017]"/>
    <s v="232.83056364338887"/>
    <s v="[-0.001, 0.006, -0.007, -0.017]"/>
  </r>
  <r>
    <x v="2047"/>
    <x v="2655"/>
    <x v="0"/>
    <n v="0"/>
    <s v="LINESTRING (5.334510368637264 59.40015851301002, 5.334509478900235 59.400155254387236, 5.334440191586097 59.39994492064775, 5.3340437849687925 59.399329502205795, 5.334038394637887 59.39932376396968, 5.331028345735116 59.39794280540844, 5.330618326832677 59.39789887559542)"/>
    <s v="[1339148, 1339156, 1339164, 1339171, 1339179, 1339187]"/>
    <s v="[1242663, 1242670, 1242676, 1242680, 1242686, 672879]"/>
    <s v="0.019306890739576716"/>
    <s v="[1092017, 1242663, 1242670, 1242676, 1242680, 1242686]"/>
    <s v="[25.193, 0.002, 0.02, 0.056, 0.005, 0.209]"/>
    <s v="358.27062769967546"/>
    <s v="[25.193, 0.002, 0.02, -0.056, 0.005, -0.209]"/>
  </r>
  <r>
    <x v="2047"/>
    <x v="2656"/>
    <x v="0"/>
    <n v="0"/>
    <s v="LINESTRING (5.333958445939419 59.399336559914, 5.33100678599052 59.39798885791401, 5.330618326832677 59.39789887559542)"/>
    <s v="[1157349, 1157357]"/>
    <s v="[1092324, 672879]"/>
    <s v="0.019604269572298962"/>
    <s v="[1092185, 1092324]"/>
    <s v="[0.022, 0.003]"/>
    <s v="256.10560318766903"/>
    <s v="[0.022, -0.003]"/>
  </r>
  <r>
    <x v="2048"/>
    <x v="1080"/>
    <x v="0"/>
    <n v="0"/>
    <m/>
    <n v="681853"/>
    <n v="672922"/>
    <s v="#FIELD!"/>
    <n v="672915"/>
    <s v="0.014"/>
    <s v="80.92962642320214"/>
    <s v="#FIELD!"/>
  </r>
  <r>
    <x v="2049"/>
    <x v="2657"/>
    <x v="0"/>
    <n v="0"/>
    <s v="LINESTRING (5.32519835166239 59.39741618982338, 5.3254863082823585 59.39739596854255, 5.328535410225169 59.397451664561714, 5.328921425454058 59.39741509670282, 5.329100889189065 59.397383975704194, 5.329189462583591 59.39736566081611)"/>
    <s v="[682303, 682318, 1429831, 1429839, 1429847]"/>
    <s v="[673405, 673423, 1302298, 1302303, 1302244]"/>
    <s v="0.009498138946546919"/>
    <s v="[672922, 673405, 673423, 1302298, 1302303]"/>
    <s v="[0.012, 0.012, 0.003, 0.003, 0.002]"/>
    <s v="229.4332895458636"/>
    <s v="[0.012, 0.012, -0.003, -0.003, -0.002]"/>
  </r>
  <r>
    <x v="2050"/>
    <x v="2658"/>
    <x v="0"/>
    <n v="0"/>
    <s v="LINESTRING (5.846749343635418 58.77200370317166, 5.846656840022952 58.7720131925238, 5.846010252240165 58.77216610193375, 5.845936710669313 58.772165094101425)"/>
    <s v="[1717878, 1717879, 681913]"/>
    <s v="[1531371, 672985, 672986]"/>
    <s v="#FIELD!"/>
    <s v="[1531269, 1531371, 672985]"/>
    <s v="[0.021, 0.241, 0.051]"/>
    <s v="51.08248675501434"/>
    <s v="[-0.021, -0.241, -0.051]"/>
  </r>
  <r>
    <x v="2050"/>
    <x v="2659"/>
    <x v="0"/>
    <n v="0"/>
    <s v="LINESTRING (5.846609057681477 58.771860399439284, 5.846549404260575 58.77189641691122, 5.845970100653782 58.772131624322185, 5.845936710669313 58.772165094101425)"/>
    <s v="[1717891, 1717892, 681914]"/>
    <s v="[1531382, 672987, 672986]"/>
    <s v="#FIELD!"/>
    <s v="[1531281, 1531382, 672987]"/>
    <s v="[0.155, 0.165, 0.049]"/>
    <s v="52.348034756279006"/>
    <s v="[0.155, -0.165, 0.049]"/>
  </r>
  <r>
    <x v="2051"/>
    <x v="2660"/>
    <x v="0"/>
    <s v="[0, 1, 0]"/>
    <s v="LINESTRING (5.442852058031136 59.42196364102719, 5.442852058031136 59.42196364102719, 5.442691920314616 59.421823974745244, 5.442601479911854 59.421746725365345)"/>
    <s v="[1308419, 1308427, 1308435]"/>
    <s v="[1217475, 1217484, 673072]"/>
    <s v="0.1347823663289147"/>
    <s v="[1206482, 1217475, 1217484]"/>
    <s v="[0.0, 0.055, 0.562]"/>
    <s v="34.54089075623786"/>
    <s v="[0.0, -0.055, 0.562]"/>
  </r>
  <r>
    <x v="2052"/>
    <x v="2540"/>
    <x v="0"/>
    <n v="0"/>
    <s v="LINESTRING (10.35239145636367 63.329372382070204, 10.35375632138597 63.330572302739434, 10.355201219580357 63.331952511386945)"/>
    <s v="[682151, 682159]"/>
    <s v="[673234, 673244]"/>
    <s v="0.03979588690524174"/>
    <s v="[673225, 673234]"/>
    <s v="[0.052, 0.029]"/>
    <s v="320.5167222376821"/>
    <s v="[0.052, 0.029]"/>
  </r>
  <r>
    <x v="2052"/>
    <x v="2661"/>
    <x v="0"/>
    <n v="0"/>
    <s v="LINESTRING (10.349648731718311 63.32771683347383, 10.349957904594184 63.32781901855143, 10.35239145636367 63.329372382070204)"/>
    <s v="[682456, 682143]"/>
    <s v="[673224, 673225]"/>
    <s v="0.047419634523599395"/>
    <s v="[673595, 673224]"/>
    <s v="[0.041, 0.048]"/>
    <s v="231.9723848415799"/>
    <s v="[0.041, 0.048]"/>
  </r>
  <r>
    <x v="2053"/>
    <x v="2662"/>
    <x v="0"/>
    <n v="0"/>
    <s v="LINESTRING (10.355201219580357 63.331952511386945, 10.355208456430477 63.33200184674624, 10.35674096534887 63.33367921993365, 10.35683774347941 63.33384568068766)"/>
    <s v="[1256975, 1256979, 682488]"/>
    <s v="[1175042, 673632, 673488]"/>
    <s v="0.02490089359394197"/>
    <s v="[673244, 1175042, 673632]"/>
    <s v="[0.012, 0.026, 0.017]"/>
    <s v="227.29531275469157"/>
    <s v="[0.012, 0.026, 0.017]"/>
  </r>
  <r>
    <x v="2054"/>
    <x v="2661"/>
    <x v="206"/>
    <n v="0"/>
    <s v="LINESTRING (10.317393899675984 63.32331630809959, 10.336144935110205 63.326109353052566, 10.344628084453927 63.326295359501145, 10.346259658687678 63.326598442095445, 10.349648731718311 63.32771683347383)"/>
    <s v="[1109640, 1109648, 1109656, 1109664]"/>
    <s v="[1049990, 1049996, 1050000, 673595]"/>
    <s v="0.045209940199386595"/>
    <s v="[673388, 1049990, 1049996, 1050000]"/>
    <s v="[0.041, 0.077, 0.005, 0.018]"/>
    <s v="1753.2955406256901"/>
    <s v="[0.041, 0.077, 0.005, 0.018]"/>
  </r>
  <r>
    <x v="2054"/>
    <x v="2355"/>
    <x v="0"/>
    <s v="[0, 0, 1, 1, 0, 1, 0, 0, 0]"/>
    <s v="LINESTRING (10.296070317218675 63.31656845488024, 10.296270877226393 63.31676215750623, 10.296686526402615 63.31712936709332, 10.297070611376189 63.31743586347462, 10.297139168885563 63.3174875009346, 10.301479299910811 63.3197639216828, 10.302307290197103 63.32005700040424, 10.304988164731167 63.32081131521968, 10.315866106902538 63.32286290751587, 10.317393899675984 63.32331630809959)"/>
    <s v="[682632, 682640, 682648, 682656, 1109600, 1109608, 1109616, 1109624, 1109632]"/>
    <s v="[673789, 673799, 673811, 673822, 1049954, 1049964, 1049974, 1049981, 673388]"/>
    <s v="0.011505245430172811"/>
    <s v="[673778, 673789, 673799, 673811, 673822, 1049954, 1049964, 1049974, 1049981]"/>
    <s v="[0.006, 0.007, 0.008, 0.008, 0.011, 0.015, 0.011, 0.013, 0.008]"/>
    <s v="1347.5063031419954"/>
    <s v="[0.006, 0.007, 0.008, 0.008, 0.011, 0.015, 0.011, 0.013, 0.008]"/>
  </r>
  <r>
    <x v="2055"/>
    <x v="2552"/>
    <x v="0"/>
    <n v="0"/>
    <s v="LINESTRING (10.353252682308888 63.33069389809681, 10.354376567888966 63.3317680605251, 10.356602470065368 63.33389533399062, 10.358470728017927 63.335680259049646, 10.361250621150235 63.33833588188892)"/>
    <s v="[682313, 682321, 682322, 682329]"/>
    <s v="[673415, 673426, 673427, 673434]"/>
    <s v="0.021585085643896086"/>
    <s v="[673409, 673415, 673426, 673427]"/>
    <s v="[0.022, 0.028, 0.022, 0.016]"/>
    <s v="941.5848905763157"/>
    <s v="[0.022, 0.028, 0.022, 0.016]"/>
  </r>
  <r>
    <x v="2055"/>
    <x v="2586"/>
    <x v="0"/>
    <n v="0"/>
    <s v="LINESTRING (10.315713369413524 63.32294688218473, 10.31724158586462 63.32339965980696, 10.33601558479293 63.3262293661608, 10.344516927821713 63.326427152410396, 10.346132382113451 63.32672728102832, 10.347267595907374 63.3270182658428, 10.350735135197564 63.32854169242851, 10.350849653357178 63.328617913108125, 10.35154683271449 63.32913554419313, 10.353167125777972 63.330612078604275, 10.353252682308888 63.33069389809681)"/>
    <s v="[1109800, 1109808, 1109816, 1109824, 1109832, 1109840, 1109848, 682298, 682305, 682306]"/>
    <s v="[1050108, 1050112, 1050119, 1050124, 1050128, 1050131, 673399, 673400, 673408, 673409]"/>
    <s v="0.04412884101821257"/>
    <s v="[1050101, 1050108, 1050112, 1050119, 1050124, 1050128, 1050131, 673399, 673400, 673408]"/>
    <s v="[0.006, 0.04, 0.079, 0.005, 0.01, 0.031, 0.048, 0.048, 0.051, 0.051]"/>
    <s v="2216.5416864752133"/>
    <s v="[0.006, 0.04, 0.079, 0.005, 0.01, 0.031, 0.048, 0.048, 0.051, 0.051]"/>
  </r>
  <r>
    <x v="2056"/>
    <x v="2663"/>
    <x v="0"/>
    <n v="0"/>
    <s v="LINESTRING (10.361250621150235 63.33833588188892, 10.361513779532409 63.3385859938057, 10.36156664408504 63.33863591579404, 10.36176058911433 63.33881751562003, 10.36756383399279 63.34339611765623, 10.367921720674152 63.34375743088241, 10.36792662519398 63.34376264417155)"/>
    <s v="[682330, 682337, 2101117, 1109688, 1109696, 1109704]"/>
    <s v="[673435, 673442, 1050021, 1050022, 1050028, 1050036]"/>
    <s v="0.008096030135626119"/>
    <s v="[673434, 673435, 673442, 1050021, 1050022, 1050028]"/>
    <s v="[0.013, 0.015, 0.014, 0.009, 0.011, 0.017]"/>
    <s v="692.075805028276"/>
    <s v="[0.013, 0.015, 0.014, 0.009, -0.011, -0.017]"/>
  </r>
  <r>
    <x v="2057"/>
    <x v="2539"/>
    <x v="0"/>
    <n v="0"/>
    <m/>
    <n v="682384"/>
    <n v="673499"/>
    <s v="0.022"/>
    <n v="673488"/>
    <s v="0.022"/>
    <s v="219.87073884520646"/>
    <s v="0.022"/>
  </r>
  <r>
    <x v="2057"/>
    <x v="2661"/>
    <x v="0"/>
    <n v="0"/>
    <s v="LINESTRING (10.349648731718311 63.32771683347383, 10.350998228388267 63.328465656870826, 10.35108746977221 63.32852584532271, 10.353394005472092 63.33055481057307, 10.353480379392346 63.330637393988596, 10.354603993431342 63.33171129381491, 10.35683774347941 63.33384568068766)"/>
    <s v="[1109672, 1109680, 682352, 682360, 682368, 682376]"/>
    <s v="[1050011, 673459, 673460, 673469, 673479, 673488]"/>
    <s v="0.037788217571229625"/>
    <s v="[673595, 1050011, 673459, 673460, 673469, 673479]"/>
    <s v="[0.046, 0.047, 0.05, 0.058, 0.023, 0.029]"/>
    <s v="775.3271539040717"/>
    <s v="[0.046, 0.047, 0.05, 0.058, 0.023, 0.029]"/>
  </r>
  <r>
    <x v="2058"/>
    <x v="2664"/>
    <x v="0"/>
    <n v="0"/>
    <s v="LINESTRING (10.358705341502693 63.335630176206685, 10.36148619984751 63.33828661684375, 10.361749830694938 63.33853728322722, 10.361801716375894 63.33858632793797, 10.3619735138409 63.33874754838004, 10.367787753065233 63.343335922995564, 10.367804757750672 63.343352248901816)"/>
    <s v="[682392, 682400, 682408, 2101118, 1109904, 1109912]"/>
    <s v="[673510, 673520, 673530, 1050161, 1050162, 1050165]"/>
    <s v="0.01063864156401455"/>
    <s v="[673499, 673510, 673520, 673530, 1050161, 1050162]"/>
    <s v="[0.015, 0.013, 0.014, 0.014, 0.008, 0.006]"/>
    <s v="975.3254846141419"/>
    <s v="[0.015, 0.013, 0.014, 0.014, 0.008, -0.006]"/>
  </r>
  <r>
    <x v="2059"/>
    <x v="2586"/>
    <x v="0"/>
    <s v="[1, 0, 1, 0, 0]"/>
    <s v="LINESTRING (10.296897938141711 63.31748159597494, 10.297004823185937 63.31756022029925, 10.301527350207854 63.31989833412294, 10.302269849747764 63.320156683179604, 10.304893715906312 63.32089489075181, 10.315713369413524 63.32294688218473)"/>
    <s v="[1109760, 1109768, 1109776, 1109784, 1109792]"/>
    <s v="[1050074, 1050079, 1050084, 1050092, 1050101]"/>
    <s v="0.01233015516291245"/>
    <s v="[673584, 1050074, 1050079, 1050084, 1050092]"/>
    <s v="[0.008, 0.012, 0.015, 0.01, 0.013]"/>
    <s v="1149.832884931881"/>
    <s v="[0.008, 0.012, 0.015, 0.01, 0.013]"/>
  </r>
  <r>
    <x v="2059"/>
    <x v="2396"/>
    <x v="0"/>
    <s v="[0, 0, 0, 0, 0, 1]"/>
    <s v="LINESTRING (10.288791157871145 63.30580625865236, 10.292664051371409 63.312208191511345, 10.294680670959114 63.31510014550336, 10.295885330315352 63.316603410048046, 10.29609053760604 63.31680170913656, 10.29654441577877 63.31720101996957, 10.296897938141711 63.31748159597494)"/>
    <s v="[1109896, 682416, 682424, 682432, 682440, 682448]"/>
    <s v="[673542, 673543, 673555, 673565, 673573, 673584]"/>
    <s v="0.0032973257699840126"/>
    <s v="[1050156, 673542, 673543, 673555, 673565, 673573]"/>
    <s v="[0.002, 0.004, 0.005, 0.006, 0.007, 0.008]"/>
    <s v="1367.3854578766202"/>
    <s v="[0.002, 0.004, 0.005, 0.006, 0.007, 0.008]"/>
  </r>
  <r>
    <x v="2060"/>
    <x v="2665"/>
    <x v="0"/>
    <n v="0"/>
    <s v="LINESTRING (14.31433761248754 66.36377399005683, 14.31529022019935 66.36424862328657, 14.316335602292556 66.36462339092294, 14.316461794013433 66.36466176882908, 14.316559586010825 66.36469151698904, 14.318390399274541 66.36509974153643)"/>
    <s v="[682763, 682771, 682779, 682787, 682795]"/>
    <s v="[673955, 673892, 673977, 673923, 673996]"/>
    <s v="0.03485244760135029"/>
    <s v="[673954, 673955, 673892, 673977, 673923]"/>
    <s v="[0.031, 0.031, 0.036, 0.037, 0.04]"/>
    <s v="237.8470612857952"/>
    <s v="[0.031, 0.031, 0.036, 0.037, 0.04]"/>
  </r>
  <r>
    <x v="2060"/>
    <x v="2665"/>
    <x v="0"/>
    <n v="0"/>
    <s v="LINESTRING (14.31433761248754 66.36377399005683, 14.315297012299425 66.36415860509128, 14.31540556405282 66.36420187662607, 14.316412268160164 66.36456045052638, 14.316533472858412 66.36459807979729, 14.318390399274541 66.36509974153643)"/>
    <s v="[682803, 682811, 682819, 682827, 682835]"/>
    <s v="[674003, 674011, 674020, 673891, 673996]"/>
    <s v="0.03526946187563596"/>
    <s v="[673954, 674003, 674011, 674020, 673891]"/>
    <s v="[0.031, 0.026, 0.031, 0.036, 0.041]"/>
    <s v="235.0895455725592"/>
    <s v="[0.031, 0.026, 0.031, 0.036, 0.041]"/>
  </r>
  <r>
    <x v="2060"/>
    <x v="2666"/>
    <x v="0"/>
    <s v="[0, 1, 0]"/>
    <s v="LINESTRING (14.314228521111053 66.35904520039546, 14.312714049881857 66.36048663545053, 14.312690111227763 66.36052833758205, 14.31433761248754 66.36377399005683)"/>
    <s v="[695687, 695695, 695698]"/>
    <s v="[690258, 690266, 673954]"/>
    <s v="0.014762445979138608"/>
    <s v="[690257, 690258, 690266]"/>
    <s v="[0.01, 0.011, 0.017]"/>
    <s v="559.9604591120573"/>
    <s v="[0.01, 0.011, 0.017]"/>
  </r>
  <r>
    <x v="2061"/>
    <x v="2667"/>
    <x v="0"/>
    <s v="[0, 1, 0, 1, 0, 0, 0, 0, 0, 0, 0, 0, 0, 0, 0, 0, 0, 0, 0, 0, 0, 0, 0]"/>
    <s v="LINESTRING (14.318390399274541 66.36509974153643, 14.329027162186101 66.3664945152437, 14.329709570494357 66.36658187467201, 14.339297896347563 66.36780823671842, 14.339410864621616 66.36782262156459, 14.355558489229903 66.36926647880492, 14.355676713613073 66.369269201547, 14.355828737145625 66.36927301489197, 14.365256505110802 66.37037964351721, 14.372066899434518 66.37147285221836, 14.376202244416364 66.372212563194, 14.37937049439041 66.3729434711666, 14.381855268389494 66.37352285728461, 14.390820092387251 66.37651768163244, 14.3908622040971 66.37656187833899, 14.394692397092378 66.38150303840013, 14.394705313583772 66.38159994479933, 14.394244585891332 66.38598796038687, 14.393846601238698 66.38766219827376, 14.39376940977481 66.38792135364214, 14.399037940506323 66.3989040823236, 14.400706368815957 66.3999085765574, 14.406524387665584 66.40121678737827, 14.418764048970461 66.40287808708734)"/>
    <s v="[695699, 695700, 695705, 695713, 695721, 695729, 695737, 695745, 695753, 695761, 695769, 695777, 695785, 695793, 695801, 695809, 695817, 1196984, 1196992, 1197000, 2088431, 2088439, 2088447]"/>
    <s v="[690269, 690270, 690277, 690286, 690295, 690305, 690316, 411182, 411193, 690344, 690352, 690357, 690369, 690379, 690389, 411302, 690406, 435583, 1123145, 1123150, 1808607, 1808613, 1570377]"/>
    <s v="0.002612077069301134"/>
    <s v="[673996, 690269, 690270, 690277, 690286, 690295, 690305, 690316, 411182, 411193, 690344, 690352, 690357, 690369, 690379, 690389, 411302, 690406, 435583, 1123145, 1123150, 1808607, 1808613]"/>
    <s v="[0.044, 0.019, 0.065, 0.034, 0.016, 0.027, 0.026, 0.018, 0.036, 0.009, 0.02, 0.038, 0.0, 1.016, 0.011, 0.004, 0.033, 0.009, 0.074, 0.001, 0.099, 0.064, 0.081]"/>
    <s v="7151.507664516401"/>
    <s v="[0.044, -0.019, -0.065, -0.034, -0.016, -0.027, -0.026, 0.018, 0.036, -0.009, -0.02, -0.038, -0.0, 1.016, -0.011, 0.004, -0.033, 0.009, 0.074, 0.001, 0.099, -0.064, 0.081]"/>
  </r>
  <r>
    <x v="2062"/>
    <x v="1411"/>
    <x v="0"/>
    <n v="0"/>
    <s v="LINESTRING (13.340034649132912 65.26395045389356, 13.341162992329203 65.26532180184786, 13.341448334439244 65.26582259581706, 13.341488311474539 65.26589087761431, 13.341545379228673 65.26598861487014, 13.342791598131493 65.26801268211932)"/>
    <s v="[1434197, 1434205, 1434213, 1434221, 1434229]"/>
    <s v="[1304726, 1304732, 1304718, 1304721, 674334]"/>
    <s v="#FIELD!"/>
    <s v="[674327, 1304726, 1304732, 1304718, 1304721]"/>
    <s v="[0.015, 0.004, 0.005, 0.004, 0.007]"/>
    <s v="471.55598462617695"/>
    <s v="[-0.015, -0.004, -0.005, -0.004, -0.007]"/>
  </r>
  <r>
    <x v="2062"/>
    <x v="1411"/>
    <x v="0"/>
    <n v="0"/>
    <s v="LINESTRING (13.340034649132912 65.26395045389356, 13.341272192743425 65.26519383805133, 13.341335000358116 65.26530317142527, 13.341622505678895 65.26580368372478, 13.341686671307688 65.26591532048121, 13.342791598131493 65.26801268211932)"/>
    <s v="[1434237, 1434245, 1434253, 1434261, 1434269]"/>
    <s v="[1304751, 1304758, 1304763, 1304717, 674334]"/>
    <s v="#FIELD!"/>
    <s v="[674327, 1304751, 1304758, 1304763, 1304717]"/>
    <s v="[0.013, 0.002, 0.004, 0.005, 0.008]"/>
    <s v="473.6721119069454"/>
    <s v="[-0.013, -0.002, -0.004, -0.005, -0.008]"/>
  </r>
  <r>
    <x v="2062"/>
    <x v="2668"/>
    <x v="0"/>
    <s v="[0, 1, 0, 0, 0, 0, 0, 0, 0, 0, 0, 0, 0, 0, 0, 0, 0, 0, 0, 0, 0, 0, 1, 0, 0, 0, 0, 0, 0, 0, 0, 0, 0, 0, 0, 0, 0, 0, 0, 0, 0, 0]"/>
    <s v="LINESTRING (13.369317687774846 65.16994175465923, 13.37391975863224 65.1747108958048, 13.374077623396898 65.17488863955184, 13.374484515188067 65.17548375658002, 13.374699539959206 65.17602998236397, 13.3747532130741 65.17623779420703, 13.374885847340447 65.17696599168515, 13.375331561160328 65.17958604217597, 13.374836620143942 65.17999622495718, 13.373982003824779 65.1807448153492, 13.373949416566408 65.18077822612503, 13.37402951091972 65.18271137440951, 13.37624026200745 65.19414777695322, 13.376425471401976 65.1952402281533, 13.376648952451694 65.1966849080745, 13.376824664095357 65.19723517226184, 13.384871051793896 65.2084749448645, 13.383604714436641 65.20960831747522, 13.37763298615161 65.21280750779951, 13.373970455419792 65.21310799061813, 13.370313046753598 65.21437314227752, 13.369015411514512 65.21502770679339, 13.368394335558499 65.21636195047158, 13.368392638580985 65.21641517111189, 13.363500065919528 65.2194768465502, 13.363426333591564 65.2194953579331, 13.358729986130916 65.22244391922709, 13.35720941937941 65.22361200212826, 13.354775347085582 65.22584617137682, 13.353886220888116 65.22672765053221, 13.350699312796822 65.22946329132363, 13.349731349737365 65.2302667166731, 13.349224308198153 65.23068342246431, 13.349202819525116 65.23069896452235, 13.347885788894592 65.23180107384462, 13.331324046644925 65.24140301973769, 13.325774999489841 65.24385418406158, 13.323566453414058 65.24494073078247, 13.32349163187315 65.24497990758172, 13.315408386824902 65.25354510215526, 13.3190212229972 65.2563449520828, 13.32494018116876 65.25796576833493, 13.340034649132912 65.26395045389356)"/>
    <s v="[851638, 851646, 851654, 851662, 851670, 1194398, 1194406, 1194414, 1194422, 1194430, 1194438, 1194447, 1194455, 1194463, 1194471, 1194479, 1194487, 1194495, 1194503, 1194511, 1194519, 1194527, 1194535, 1194543, 1194551, 1194559, 1194567, 1194575, 1194583, 1194591, 1194599, 1194607, 1194615, 683041, 683049, 683057, 683065, 683073, 683081, 683089, 683097, 683105]"/>
    <s v="[826287, 826292, 427387, 826301, 826305, 1121452, 1121459, 1121462, 427151, 1121470, 1121476, 1121482, 386046, 386054, 386064, 386096, 386085, 1121512, 1121518, 386149, 386150, 1121539, 1121547, 1121552, 427105, 386401, 386514, 386524, 386481, 386543, 1121590, 1121594, 674257, 673963, 673973, 674272, 673984, 674291, 674302, 674008, 674319, 674327]"/>
    <s v="#FIELD!"/>
    <s v="[826286, 826287, 826292, 427387, 826301, 826305, 1121452, 1121459, 1121462, 427151, 1121470, 1121476, 1121482, 386046, 386054, 386064, 386096, 386085, 1121512, 1121518, 386149, 386150, 1121539, 1121547, 1121552, 427105, 386401, 386514, 386524, 386481, 386543, 1121590, 1121594, 674257, 673963, 673973, 674272, 673984, 674291, 674302, 674008, 674319]"/>
    <s v="[0.002, 0.013, 0.016, 0.02, 0.022, 0.006, 0.003, 0.009, 0.009, 0.011, 0.011, 0.024, 0.042, 0.03, 0.025, 0.001, 0.034, 0.035, 0.007, 0.022, 0.024, 0.009, 0.008, 0.009, 0.057, 0.057, 0.023, 0.015, 0.0, 0.006, 0.003, 0.003, 0.142, 0.003, 0.022, 0.066, 0.001, 0.016, 0.024, 0.048, 0.063, 0.016]"/>
    <s v="12351.534805103256"/>
    <s v="[0.002, -0.013, -0.016, -0.02, -0.022, -0.006, 0.003, 0.009, 0.009, 0.011, 0.011, 0.024, 0.042, 0.03, 0.025, 0.001, -0.034, -0.035, -0.007, -0.022, -0.024, -0.009, -0.008, -0.009, -0.057, -0.057, -0.023, -0.015, 0.0, 0.006, -0.003, -0.003, -0.142, 0.003, 0.022, -0.066, -0.001, -0.016, -0.024, -0.048, -0.063, -0.016]"/>
  </r>
  <r>
    <x v="2063"/>
    <x v="2669"/>
    <x v="0"/>
    <n v="0"/>
    <s v="LINESTRING (28.203676192994106 70.19784788090375, 28.203958627425806 70.19735927184213, 28.20408479097554 70.1971383043894, 28.204336620364774 70.19642313731684, 28.204298741695972 70.19520079585635, 28.20210504435231 70.19334330785163, 28.19927676853234 70.19228816296199, 28.200091253538496 70.18930506615239, 28.20271772210192 70.1864682809864, 28.202971882602874 70.18619024948093, 28.203610343674985 70.18550157576597, 28.20447024647307 70.1845751225455, 28.206421390409936 70.18246427744769, 28.206442228534414 70.18244035922604, 28.210130250379773 70.17844677445684, 28.210178117834353 70.17839429728014, 28.21142438295202 70.17705449077307, 28.21433984081769 70.17532920128069, 28.215391722157385 70.1747947531276, 28.216313024206098 70.17432209108131, 28.218468672409372 70.17322495788717, 28.21878147320583 70.17306630353528, 28.219098239602776 70.17290612400859, 28.220009300357436 70.17243868650462, 28.222038983323795 70.17125153994057, 28.222509097385455 70.170822842511, 28.222631748914683 70.1707117354953, 28.223895077865983 70.16947713757169, 28.224061092854566 70.1681031192031, 28.224061914288743 70.16795527382445, 28.22404047696876 70.16711592304043, 28.224051658439222 70.16687630072238)"/>
    <s v="[1854180, 1854203, 1854204, 1020072, 1161209, 1161217, 1161225, 1161233, 1161241, 1161249, 1161257, 1161265, 1161273, 1161281, 1161289, 1161297, 1161305, 1161313, 1161321, 1161329, 1161337, 1161345, 1161353, 1161361, 1161369, 1161377, 1161385, 1161393, 1161401, 1161409, 1161417]"/>
    <s v="[675266, 1623869, 975758, 975759, 1018746, 1018747, 1095782, 968330, 968302, 968290, 1095803, 968238, 968279, 968230, 968220, 1095831, 968196, 968179, 968151, 1095858, 1095866, 968141, 1095876, 968125, 1018726, 968095, 968051, 1018255, 968025, 1052279, 979285]"/>
    <s v="0.0014273237643260153"/>
    <s v="[675246, 675266, 1623869, 975758, 975759, 1018746, 1018747, 1095782, 968330, 968302, 968290, 1095803, 968238, 968279, 968230, 968220, 1095831, 968196, 968179, 968151, 1095858, 1095866, 968141, 1095876, 968125, 1018726, 968095, 968051, 1018255, 968025, 1052279]"/>
    <s v="[0.014, 0.012, 0.104, 0.007, 0.022, 0.095, 0.001, 0.007, 0.007, 0.016, 0.007, 0.011, 0.017, 0.019, 0.004, 0.004, 0.048, 0.05, 0.034, 0.021, 0.012, 0.013, 0.013, 0.014, 0.028, 0.027, 0.018, 0.0, 0.003, 0.004, 0.003]"/>
    <s v="3744.252051859563"/>
    <s v="[0.014, 0.012, 0.104, 0.007, 0.022, -0.095, 0.001, 0.007, 0.007, 0.016, 0.007, -0.011, -0.017, -0.019, -0.004, 0.004, 0.048, 0.05, 0.034, 0.021, -0.012, -0.013, -0.013, -0.014, -0.028, -0.027, -0.018, 0.0, -0.003, -0.004, -0.003]"/>
  </r>
  <r>
    <x v="2064"/>
    <x v="2670"/>
    <x v="0"/>
    <n v="0"/>
    <s v="LINESTRING (5.588557581074579 59.136563221892985, 5.588247851888926 59.13689797140932, 5.588355839421398 59.13721181566449, 5.588445453878766 59.13735062520707, 5.589785726426449 59.1394947647648)"/>
    <s v="[805281, 805289, 805297, 805417]"/>
    <s v="[783674, 783682, 783690, 783800]"/>
    <s v="#FIELD!"/>
    <s v="[677129, 783674, 783682, 783690]"/>
    <s v="[0.031, 0.021, 0.186, inf]"/>
    <s v="96.03070624668396"/>
    <s v="[-0.031, -0.021, -0.186, 0]"/>
  </r>
  <r>
    <x v="2064"/>
    <x v="1708"/>
    <x v="0"/>
    <n v="0"/>
    <m/>
    <n v="685564"/>
    <n v="677129"/>
    <s v="#FIELD!"/>
    <n v="677139"/>
    <s v="0.033"/>
    <s v="15.631768934207875"/>
    <s v="#FIELD!"/>
  </r>
  <r>
    <x v="2065"/>
    <x v="2671"/>
    <x v="0"/>
    <n v="0"/>
    <m/>
    <n v="1422548"/>
    <n v="677139"/>
    <s v="0.195"/>
    <n v="785699"/>
    <s v="0.195"/>
    <s v="23.80828637271115"/>
    <s v="0.195"/>
  </r>
  <r>
    <x v="2066"/>
    <x v="2672"/>
    <x v="0"/>
    <n v="0"/>
    <s v="LINESTRING (5.609629684311147 60.832024478156356, 5.609683513162319 60.8320403263219, 5.609877036368825 60.83209128639817, 5.610398311226943 60.83222100512562, 5.6104195060102855 60.832373481378646, 5.6096287465111505 60.83244418261982, 5.607551229383177 60.833698223540345)"/>
    <s v="[693317, 693325, 693333, 1255083, 1255084, 1255091]"/>
    <s v="[687473, 687480, 687492, 1173558, 1173559, 1173565]"/>
    <s v="#FIELD!"/>
    <s v="[687472, 687473, 687480, 687492, 1173558, 1173559]"/>
    <s v="[0.206, 0.176, 0.156, 0.13, 0.033, 0.085]"/>
    <s v="294.11281428417146"/>
    <s v="[-0.206, -0.176, -0.156, -0.13, 0.033, -0.085]"/>
  </r>
  <r>
    <x v="2066"/>
    <x v="2673"/>
    <x v="0"/>
    <n v="0"/>
    <s v="LINESTRING (5.609629684311147 60.832024478156356, 5.606852841484959 60.83351298144105, 5.59934813447979 60.835822658122055, 5.593432490686222 60.83820626685045)"/>
    <s v="[1822444, 1822452, 2065480]"/>
    <s v="[1602014, 1602021, 1757076]"/>
    <s v="#FIELD!"/>
    <s v="[687472, 1602014, 1602021]"/>
    <s v="[0.03, 0.106, 0.091]"/>
    <s v="1130.1512114525367"/>
    <s v="[-0.03, -0.106, -0.091]"/>
  </r>
  <r>
    <x v="2066"/>
    <x v="2674"/>
    <x v="207"/>
    <n v="0"/>
    <s v="LINESTRING (5.546970415649263 60.70107500343034, 5.609629684311147 60.832024478156356)"/>
    <m/>
    <m/>
    <s v="0.0"/>
    <m/>
    <n v="0"/>
    <s v="14860.883117838539"/>
    <n v="0"/>
  </r>
  <r>
    <x v="2067"/>
    <x v="2675"/>
    <x v="0"/>
    <n v="0"/>
    <s v="LINESTRING (10.70691363147695 59.42234456544036, 10.707022975859564 59.42239986312933, 10.707490989781103 59.42379132421233, 10.707954312556822 59.4245661286848, 10.708633376306121 59.425176713138185, 10.708591476094403 59.42533361525264, 10.708544119198546 59.42546674207534, 10.708510008552134 59.42562455704636, 10.7083746184963 59.425626205577636, 10.70804743647698 59.42562059531984, 10.707171954630198 59.42662515732199, 10.706602573121918 59.42838204356326, 10.7063853128425 59.428938055122934, 10.706312673227568 59.42899657625481)"/>
    <s v="[694125, 694101, 342520, 342528, 342536, 342544, 342552, 342560, 342568, 342576, 694217, 694225, 694141]"/>
    <s v="[688415, 331185, 331186, 331195, 331202, 331211, 331218, 331224, 331231, 331236, 688551, 688457, 688458]"/>
    <s v="#FIELD!"/>
    <s v="[688441, 688415, 331185, 331186, 331195, 331202, 331211, 331218, 331224, 331231, 331236, 688551, 688457]"/>
    <s v="[0.015, 0.043, 0.024, 0.001, 0.006, 0.01, 0.004, 0.072, 0.068, 0.028, 0.018, 0.014, 0.031]"/>
    <s v="810.9787582201851"/>
    <s v="[0.015, 0.043, -0.024, 0.001, -0.006, -0.01, -0.004, -0.072, -0.068, -0.028, -0.018, -0.014, -0.031]"/>
  </r>
  <r>
    <x v="2067"/>
    <x v="2675"/>
    <x v="0"/>
    <s v="[0, 0, 0, 0, 0, 0, 0, 1, 0]"/>
    <s v="LINESTRING (10.70691363147695 59.42234456544036, 10.707361387163646 59.42361256172639, 10.707367340765552 59.42364381702106, 10.707456831291998 59.424324222194436, 10.707087848030403 59.426538301090496, 10.707022827884455 59.426739519671145, 10.706718904789513 59.42769905545258, 10.706690754227726 59.427789210895476, 10.70653116914337 59.428357247287664, 10.706312673227568 59.42899657625481)"/>
    <s v="[1697727, 1697735, 1697743, 1697751, 1697759, 1697767, 1697775, 1697783, 1697791]"/>
    <s v="[1518091, 1518096, 1518101, 1518109, 1518114, 1518121, 1518125, 1518129, 688458]"/>
    <s v="#FIELD!"/>
    <s v="[688441, 1518091, 1518096, 1518101, 1518109, 1518114, 1518121, 1518125, 1518129]"/>
    <s v="[0.009, 0.07, 0.035, 0.006, 0.008, 0.003, 0.004, 0.036, 0.013]"/>
    <s v="748.6785957397148"/>
    <s v="[0.009, -0.07, -0.035, -0.006, 0.008, 0.003, -0.004, -0.036, -0.013]"/>
  </r>
  <r>
    <x v="2068"/>
    <x v="2676"/>
    <x v="0"/>
    <s v="[0, 0, 1, 0]"/>
    <s v="LINESTRING (10.706312673227568 59.42899657625481, 10.706299805651375 59.42903122224785, 10.705544397469236 59.43329847074164, 10.705564786683219 59.433496918014285, 10.705714639126612 59.4409089434255)"/>
    <s v="[1697799, 1697807, 1697815, 1697823]"/>
    <s v="[1518139, 1518143, 1518150, 829208]"/>
    <s v="0.016472414402764004"/>
    <s v="[688458, 1518139, 1518143, 1518150]"/>
    <s v="[0.002, 0.007, 0.016, 0.022]"/>
    <s v="1336.8618324784456"/>
    <s v="[0.002, 0.007, 0.016, 0.022]"/>
  </r>
  <r>
    <x v="2069"/>
    <x v="820"/>
    <x v="0"/>
    <n v="0"/>
    <s v="LINESTRING (10.706630929067849 59.4222556368695, 10.706678317399144 59.42234683251788, 10.707125423238976 59.42357271566283, 10.707221903689966 59.42422677020504, 10.706788910381091 59.426719128155526, 10.706473287943858 59.42768402426357)"/>
    <s v="[1671550, 1671558, 1671566, 1671574, 1671582]"/>
    <s v="[1499205, 1499213, 1499220, 1499229, 688465]"/>
    <s v="#FIELD!"/>
    <s v="[688471, 1499205, 1499213, 1499220, 1499229]"/>
    <s v="[0.867, 0.043, 0.046, 0.012, 0.007]"/>
    <s v="611.1298693129728"/>
    <s v="[0.867, -0.043, -0.046, -0.012, -0.007]"/>
  </r>
  <r>
    <x v="2069"/>
    <x v="2677"/>
    <x v="0"/>
    <s v="[0, 0, 1, 0, 0, 1, 0, 0]"/>
    <s v="LINESTRING (10.706473287943858 59.42768402426357, 10.706467966820965 59.42770857771187, 10.706446447501033 59.42780224268148, 10.706300475977502 59.42826823351615, 10.706082980188084 59.42893748538154, 10.705255601615217 59.43330567448957, 10.705283249657274 59.43350991816849, 10.705573291148779 59.440613128297784, 10.703179184989473 59.443608516697246)"/>
    <s v="[1671590, 1671598, 1671606, 1671614, 1671622, 1671630, 1671638, 1671646]"/>
    <s v="[1499243, 1499250, 1499256, 1499264, 1499273, 1499280, 1499289, 829200]"/>
    <s v="0.00763421476750794"/>
    <s v="[688465, 1499243, 1499250, 1499256, 1499264, 1499273, 1499280, 1499289]"/>
    <s v="[0.205, 0.004, 0.023, 0.003, 0.007, 0.01, 0.023, 0.02]"/>
    <s v="1812.8461867472897"/>
    <s v="[0.205, -0.004, -0.023, -0.003, 0.007, 0.01, 0.023, -0.02]"/>
  </r>
  <r>
    <x v="2070"/>
    <x v="2666"/>
    <x v="0"/>
    <n v="0"/>
    <s v="LINESTRING (14.315351866677448 66.3565008562493, 14.315423240884506 66.356587746029, 14.315448894496551 66.35667791585848, 14.31536289012897 66.35777258657176, 14.315338201330865 66.35782484539564, 14.315312256219945 66.3578772781265, 14.315278246608994 66.35794598580671, 14.315258737501637 66.35798284517527, 14.315005518192784 66.35835545364483, 14.314228521111053 66.35904520039546)"/>
    <s v="[2027490, 2027491, 2027500, 2027520, 2027523, 2027524, 2027525, 2027533, 2027534]"/>
    <s v="[1770022, 1770023, 1770029, 1770045, 1769994, 1770015, 1770047, 1770055, 690257]"/>
    <s v="#FIELD!"/>
    <s v="[690247, 1770022, 1770023, 1770029, 1770045, 1769994, 1770015, 1770047, 1770055]"/>
    <s v="[0.039, 0.032, 0.012, 0.019, 0.025, 0.021, 0.019, 0.016, 0.011]"/>
    <s v="295.00496046216756"/>
    <s v="[-0.039, -0.032, -0.012, 0.019, 0.025, 0.021, 0.019, 0.016, 0.011]"/>
  </r>
  <r>
    <x v="2070"/>
    <x v="2666"/>
    <x v="0"/>
    <n v="0"/>
    <s v="LINESTRING (14.315351866677448 66.3565008562493, 14.31536769944024 66.35667664393839, 14.315189002976407 66.35776688790747, 14.31516690411727 66.35781922089164, 14.315125455536954 66.35790338084914, 14.315085447353464 66.35797487023409, 14.314840048445433 66.35833351710347, 14.314783213774056 66.35840652935707, 14.314228521111053 66.35904520039546)"/>
    <s v="[2027535, 2027536, 2027544, 2027559, 2027572, 2027573, 2027581, 2027602]"/>
    <s v="[1770056, 1770057, 1770065, 1769993, 1770084, 1770085, 1770094, 690257]"/>
    <s v="#FIELD!"/>
    <s v="[690247, 1770056, 1770057, 1770065, 1769993, 1770084, 1770085, 1770094]"/>
    <s v="[0.029, 0.011, 0.015, 0.013, 0.013, 0.013, 0.013, 0.012]"/>
    <s v="291.520324349868"/>
    <s v="[-0.029, -0.011, 0.015, 0.013, 0.013, 0.013, 0.013, 0.012]"/>
  </r>
  <r>
    <x v="2071"/>
    <x v="2678"/>
    <x v="0"/>
    <n v="0"/>
    <s v="LINESTRING (10.74513021026963 59.907135661148665, 10.745035053379288 59.90716544046587, 10.744582900855159 59.90729210832367, 10.744607095625486 59.90731481250132, 10.745079801395683 59.907833903112085, 10.74546108977279 59.90826106327806, 10.745871589754262 59.90869366220797)"/>
    <s v="[761444, 1239112, 720536, 699083, 699084, 699091]"/>
    <s v="[740757, 711928, 693615, 693616, 693617, 523187]"/>
    <s v="0.004428545296585053"/>
    <s v="[462133, 740757, 711928, 693615, 693616, 693617]"/>
    <s v="[0.002, 0.011, 0.01, 0.002, 0.017, 0.005]"/>
    <s v="209.1339766153798"/>
    <s v="[0.002, -0.011, -0.01, 0.002, 0.017, 0.005]"/>
  </r>
  <r>
    <x v="2072"/>
    <x v="2679"/>
    <x v="0"/>
    <n v="0"/>
    <m/>
    <n v="705014"/>
    <n v="698484"/>
    <s v="#FIELD!"/>
    <n v="698483"/>
    <s v="0.179"/>
    <s v="9.442986815994475"/>
    <s v="#FIELD!"/>
  </r>
  <r>
    <x v="2072"/>
    <x v="2680"/>
    <x v="0"/>
    <n v="0"/>
    <s v="LINESTRING (10.819202059412069 59.87726573390029, 10.819200107466857 59.87772181085368, 10.819033846078325 59.878091185879605)"/>
    <s v="[753292, 753300]"/>
    <s v="[734575, 698483]"/>
    <s v="#FIELD!"/>
    <s v="[732993, 734575]"/>
    <s v="[0.115, 0.046]"/>
    <s v="93.1692128397014"/>
    <s v="[-0.115, -0.046]"/>
  </r>
  <r>
    <x v="2072"/>
    <x v="2681"/>
    <x v="0"/>
    <n v="0"/>
    <s v="LINESTRING (10.81906537758811 59.877769399466786, 10.81906537758811 59.877769399466786, 10.819033846078325 59.878091185879605)"/>
    <s v="[754391, 754399]"/>
    <s v="[735363, 698483]"/>
    <s v="#FIELD!"/>
    <s v="[735357, 735363]"/>
    <s v="[0.0, 0.063]"/>
    <s v="87.59508096998982"/>
    <s v="[0.0, -0.063]"/>
  </r>
  <r>
    <x v="2073"/>
    <x v="2682"/>
    <x v="0"/>
    <s v="[0, 1]"/>
    <s v="LINESTRING (10.819039291067291 59.8781758774256, 10.819045094814085 59.878243496851944, 10.819063870052043 59.87835019128106)"/>
    <s v="[705022, 705030]"/>
    <s v="[698489, 698496]"/>
    <s v="#FIELD!"/>
    <s v="[698484, 698489]"/>
    <s v="[0.151, 0.182]"/>
    <s v="19.479044638167526"/>
    <s v="[-0.151, -0.182]"/>
  </r>
  <r>
    <x v="2073"/>
    <x v="2683"/>
    <x v="0"/>
    <n v="0"/>
    <s v="LINESTRING (10.818645932708698 59.878530220110775, 10.818836275721422 59.87825512074248, 10.818930126500131 59.87820477634664, 10.819039291067291 59.8781758774256)"/>
    <s v="[726972, 726980, 726988]"/>
    <s v="[716309, 716315, 698484]"/>
    <s v="#FIELD!"/>
    <s v="[716304, 716309, 716315]"/>
    <s v="[0.039, 0.057, 0.066]"/>
    <s v="47.243773476022476"/>
    <s v="[-0.039, 0.057, -0.066]"/>
  </r>
  <r>
    <x v="2074"/>
    <x v="2684"/>
    <x v="0"/>
    <n v="1"/>
    <m/>
    <n v="705038"/>
    <n v="698505"/>
    <s v="#FIELD!"/>
    <n v="698496"/>
    <s v="0.09"/>
    <s v="119.2588397170612"/>
    <s v="#FIELD!"/>
  </r>
  <r>
    <x v="2074"/>
    <x v="2683"/>
    <x v="0"/>
    <n v="0"/>
    <s v="LINESTRING (10.818645932708698 59.878530220110775, 10.818690625564283 59.87850196941127, 10.818902314804296 59.87834056050585, 10.818981490280986 59.87833678323244, 10.819063870052043 59.87835019128106)"/>
    <s v="[726996, 727004, 727012, 727020]"/>
    <s v="[716327, 716332, 716340, 698496]"/>
    <s v="#FIELD!"/>
    <s v="[716304, 716327, 716332, 716340]"/>
    <s v="[0.242, 0.089, 0.16, 0.187]"/>
    <s v="35.759506280789495"/>
    <s v="[-0.242, -0.089, -0.16, -0.187]"/>
  </r>
  <r>
    <x v="2075"/>
    <x v="2685"/>
    <x v="0"/>
    <n v="0"/>
    <m/>
    <n v="753308"/>
    <n v="733008"/>
    <s v="0.008"/>
    <n v="698505"/>
    <s v="0.008"/>
    <s v="62.19983922810809"/>
    <s v="0.008"/>
  </r>
  <r>
    <x v="2075"/>
    <x v="2686"/>
    <x v="0"/>
    <n v="0"/>
    <m/>
    <n v="754407"/>
    <n v="732988"/>
    <s v="0.01"/>
    <n v="698505"/>
    <s v="0.01"/>
    <s v="68.06987212746728"/>
    <s v="0.01"/>
  </r>
  <r>
    <x v="2076"/>
    <x v="2687"/>
    <x v="0"/>
    <n v="0"/>
    <s v="LINESTRING (10.935244212055485 59.94003049152737, 10.93524599325246 59.939972107399015, 10.935330026565351 59.939929747518576, 10.935428425834479 59.93993098592912, 10.935499556969594 59.939964648144, 10.935500549374812 59.940015026289544)"/>
    <s v="[708077, 708085, 708093, 708101, 708109]"/>
    <s v="[701122, 701130, 701137, 701146, 701153]"/>
    <s v="#FIELD!"/>
    <s v="[701121, 701122, 701130, 701137, 701146]"/>
    <s v="[0.028, 0.038, 0.035, 0.023, 0.003]"/>
    <s v="29.752327190302886"/>
    <s v="[-0.028, -0.038, -0.035, -0.023, 0.003]"/>
  </r>
  <r>
    <x v="2076"/>
    <x v="2688"/>
    <x v="0"/>
    <n v="0"/>
    <s v="LINESTRING (10.935415527968107 59.94006544735333, 10.935322044418617 59.94006795689096, 10.935244212055485 59.94003049152737)"/>
    <s v="[708125, 708133]"/>
    <s v="[701166, 701121]"/>
    <s v="0.02265703728360594"/>
    <s v="[701160, 701166]"/>
    <s v="[0.043, 0.005]"/>
    <s v="11.26525544428094"/>
    <s v="[0.043, 0.005]"/>
  </r>
  <r>
    <x v="2076"/>
    <x v="2689"/>
    <x v="208"/>
    <n v="0"/>
    <s v="LINESTRING (10.934768441257535 59.94101736469787, 10.934648394713161 59.940958816747695, 10.935244212055485 59.94003049152737)"/>
    <s v="[751874, 763023]"/>
    <s v="[733433, 701121]"/>
    <s v="0.0030308789675142543"/>
    <s v="[733427, 733433]"/>
    <s v="[0.015, 0.002]"/>
    <s v="118.04220072307577"/>
    <s v="[0.015, 0.002]"/>
  </r>
  <r>
    <x v="2077"/>
    <x v="2688"/>
    <x v="0"/>
    <n v="0"/>
    <m/>
    <n v="708117"/>
    <n v="701160"/>
    <s v="0.066"/>
    <n v="701153"/>
    <s v="0.066"/>
    <s v="7.36002717414063"/>
    <s v="0.066"/>
  </r>
  <r>
    <x v="2077"/>
    <x v="2690"/>
    <x v="0"/>
    <n v="0"/>
    <s v="LINESTRING (10.935500549374812 59.940015026289544, 10.935535511237752 59.940036783596554, 10.938515909484876 59.94349929903973, 10.938643311389987 59.94376125766302, 10.938608552338849 59.943840202383385)"/>
    <s v="[728524, 728532, 728540, 751850]"/>
    <s v="[717396, 717400, 717404, 733414]"/>
    <s v="0.019372941862532057"/>
    <s v="[701153, 717396, 717400, 717404]"/>
    <s v="[0.031, 0.019, 0.005, 0.081]"/>
    <s v="470.0006393323407"/>
    <s v="[0.031, 0.019, 0.005, 0.081]"/>
  </r>
  <r>
    <x v="2078"/>
    <x v="2689"/>
    <x v="0"/>
    <n v="0"/>
    <m/>
    <n v="764640"/>
    <n v="701160"/>
    <s v="0.001"/>
    <n v="733427"/>
    <s v="0.001"/>
    <s v="112.20476269349349"/>
    <s v="0.001"/>
  </r>
  <r>
    <x v="2079"/>
    <x v="2691"/>
    <x v="0"/>
    <n v="0"/>
    <m/>
    <n v="710681"/>
    <n v="703262"/>
    <s v="#FIELD!"/>
    <n v="703261"/>
    <s v="0.032"/>
    <s v="73.86000270792842"/>
    <s v="#FIELD!"/>
  </r>
  <r>
    <x v="2079"/>
    <x v="2692"/>
    <x v="0"/>
    <n v="0"/>
    <m/>
    <n v="753822"/>
    <n v="703261"/>
    <s v="0.043"/>
    <n v="734879"/>
    <s v="0.043"/>
    <s v="31.32852115980408"/>
    <s v="0.043"/>
  </r>
  <r>
    <x v="2079"/>
    <x v="2693"/>
    <x v="0"/>
    <n v="0"/>
    <m/>
    <n v="761358"/>
    <n v="703261"/>
    <s v="0.048"/>
    <n v="734886"/>
    <s v="0.048"/>
    <s v="27.03545941199832"/>
    <s v="0.048"/>
  </r>
  <r>
    <x v="2080"/>
    <x v="2694"/>
    <x v="0"/>
    <s v="[0, 1, 1]"/>
    <s v="LINESTRING (10.687849777572167 59.91826120768297, 10.68765499537774 59.91820345483401, 10.687432096218723 59.9180865838288, 10.687360301098328 59.918031160394065)"/>
    <s v="[753854, 753862, 753870]"/>
    <s v="[734945, 734950, 721706]"/>
    <s v="0.02192730903126761"/>
    <s v="[703262, 734945, 734950]"/>
    <s v="[0.032, 0.033, 0.249]"/>
    <s v="38.059264165345354"/>
    <s v="[-0.032, -0.033, 0.249]"/>
  </r>
  <r>
    <x v="2080"/>
    <x v="2695"/>
    <x v="0"/>
    <n v="0"/>
    <s v="LINESTRING (10.687849777572167 59.91826120768297, 10.687383168083223 59.91824284551055, 10.687277939908265 59.91825146518897)"/>
    <s v="[761366, 761374]"/>
    <s v="[740688, 721719]"/>
    <s v="0.025144735327078508"/>
    <s v="[703262, 740688]"/>
    <s v="[0.032, 0.276]"/>
    <s v="32.15513065196171"/>
    <s v="[-0.032, 0.276]"/>
  </r>
  <r>
    <x v="2081"/>
    <x v="2696"/>
    <x v="0"/>
    <n v="0"/>
    <s v="LINESTRING (10.740997394758862 59.903913356023914, 10.741609143943926 59.90420593613532, 10.742204031283105 59.90481518768789)"/>
    <s v="[720488, 720496]"/>
    <s v="[711898, 711903]"/>
    <s v="0.004"/>
    <s v="[711897, 711898]"/>
    <s v="0.004"/>
    <s v="124.19087539648116"/>
    <s v="0.004"/>
  </r>
  <r>
    <x v="2081"/>
    <x v="2697"/>
    <x v="0"/>
    <n v="0"/>
    <s v="LINESTRING (10.740448885777404 59.90383535815727, 10.740448885777404 59.90383535815727, 10.740997394758862 59.903913356023914)"/>
    <s v="[758190, 758198]"/>
    <s v="[738191, 711897]"/>
    <s v="#FIELD!"/>
    <s v="[738188, 738191]"/>
    <s v="[0.0, 0.109]"/>
    <s v="40.379236471493904"/>
    <s v="[0.0, -0.109]"/>
  </r>
  <r>
    <x v="2081"/>
    <x v="2698"/>
    <x v="0"/>
    <n v="0"/>
    <m/>
    <n v="764039"/>
    <n v="711897"/>
    <s v="0.0"/>
    <n v="738060"/>
    <s v="0.0"/>
    <s v="36.51558520712406"/>
    <s v="0.0"/>
  </r>
  <r>
    <x v="2082"/>
    <x v="2699"/>
    <x v="0"/>
    <n v="0"/>
    <m/>
    <n v="755697"/>
    <n v="711903"/>
    <s v="0.012"/>
    <n v="736353"/>
    <s v="0.012"/>
    <s v="24.193378324501037"/>
    <s v="0.012"/>
  </r>
  <r>
    <x v="2083"/>
    <x v="2700"/>
    <x v="0"/>
    <n v="0"/>
    <s v="LINESTRING (10.817058278162712 59.92360213368223, 10.818968768485261 59.923802749992106, 10.819491199775685 59.92384990997788)"/>
    <s v="[724538, 724546]"/>
    <s v="[705820, 714557]"/>
    <s v="#FIELD!"/>
    <s v="[714553, 705820]"/>
    <s v="[0.008, 0.001]"/>
    <s v="138.9113543407556"/>
    <s v="[-0.008, -0.001]"/>
  </r>
  <r>
    <x v="2083"/>
    <x v="2701"/>
    <x v="0"/>
    <s v="[1, 1, 0, 0]"/>
    <s v="LINESTRING (10.816356635569303 59.923566919214096, 10.816356635569303 59.923566919214096, 10.816510483274042 59.923582597460175, 10.816934587059738 59.92361405548062, 10.817058278162712 59.92360213368223)"/>
    <s v="[754235, 754243, 754251, 754259]"/>
    <s v="[735216, 735221, 735229, 714553]"/>
    <s v="0.002449998792456505"/>
    <s v="[735215, 735216, 735221, 735229]"/>
    <s v="[0.0, 0.0, 0.0, 0.033]"/>
    <s v="94.90701314261365"/>
    <s v="[0.0, -0.0, 0.0, 0.033]"/>
  </r>
  <r>
    <x v="2083"/>
    <x v="2702"/>
    <x v="0"/>
    <s v="[1, 1, 1, 0, 0]"/>
    <s v="LINESTRING (10.81565189576946 59.92338897327108, 10.815886989464547 59.923427914440985, 10.816405864763468 59.923500077634536, 10.816568676551901 59.92351880998777, 10.816949603750642 59.92356597952055, 10.817058278162712 59.92360213368223)"/>
    <s v="[768839, 768846, 768854, 768870, 768885]"/>
    <s v="[747986, 747994, 748000, 748015, 714553]"/>
    <s v="0.0020163316607768916"/>
    <s v="[745557, 747986, 747994, 748000, 748015]"/>
    <s v="[0.024, 0.045, 0.008, 0.021, 0.044]"/>
    <s v="82.55812245228893"/>
    <s v="[-0.024, 0.045, -0.008, -0.021, -0.044]"/>
  </r>
  <r>
    <x v="2084"/>
    <x v="2703"/>
    <x v="0"/>
    <n v="0"/>
    <m/>
    <n v="754267"/>
    <n v="714685"/>
    <s v="0.01"/>
    <n v="714557"/>
    <s v="0.01"/>
    <s v="25.724509850050314"/>
    <s v="0.01"/>
  </r>
  <r>
    <x v="2084"/>
    <x v="2704"/>
    <x v="0"/>
    <n v="0"/>
    <m/>
    <n v="1845881"/>
    <n v="714714"/>
    <s v="0.005"/>
    <n v="714557"/>
    <s v="0.005"/>
    <s v="29.186455730607026"/>
    <s v="0.005"/>
  </r>
  <r>
    <x v="2085"/>
    <x v="1906"/>
    <x v="0"/>
    <n v="0"/>
    <m/>
    <n v="724693"/>
    <n v="714686"/>
    <s v="0.032"/>
    <n v="714685"/>
    <s v="0.032"/>
    <s v="8.044874144161854"/>
    <s v="0.032"/>
  </r>
  <r>
    <x v="2085"/>
    <x v="2704"/>
    <x v="0"/>
    <n v="0"/>
    <s v="LINESTRING (10.820002024241338 59.92386523882603, 10.819900467982833 59.92381435166981, 10.819894884094067 59.9237449414303)"/>
    <s v="[724741, 724749]"/>
    <s v="[714722, 714685]"/>
    <s v="0.006371112521629375"/>
    <s v="[714714, 714722]"/>
    <s v="[0.003, 0.01]"/>
    <s v="16.074850040125575"/>
    <s v="[0.003, 0.01]"/>
  </r>
  <r>
    <x v="2086"/>
    <x v="1903"/>
    <x v="0"/>
    <n v="0"/>
    <m/>
    <n v="724701"/>
    <n v="714694"/>
    <s v="0.022"/>
    <n v="714686"/>
    <s v="0.022"/>
    <s v="13.747238285526441"/>
    <s v="0.022"/>
  </r>
  <r>
    <x v="2087"/>
    <x v="2704"/>
    <x v="0"/>
    <n v="0"/>
    <s v="LINESTRING (10.820211836212044 59.92370285464537, 10.820267597249728 59.92377205956753, 10.8202029304566 59.923844634309724, 10.820073730327664 59.9238700059659, 10.820002024241338 59.92386523882603)"/>
    <s v="[724709, 724717, 724725, 724733]"/>
    <s v="[714699, 714703, 714708, 714714]"/>
    <s v="#FIELD!"/>
    <s v="[714694, 714699, 714703, 714708]"/>
    <s v="[0.033, 0.022, 0.019, 0.01]"/>
    <s v="28.986987676202443"/>
    <s v="[-0.033, -0.022, -0.019, -0.01]"/>
  </r>
  <r>
    <x v="2088"/>
    <x v="2705"/>
    <x v="0"/>
    <n v="0"/>
    <s v="LINESTRING (10.815345768141052 59.88256578822481, 10.815345744975899 59.882438110382004, 10.818645932708698 59.878530220110775)"/>
    <s v="[751402, 726964]"/>
    <s v="[716303, 716304]"/>
    <s v="0.01702237020300072"/>
    <s v="[733032, 716303]"/>
    <s v="[0.282, 0.026]"/>
    <s v="488.14395357072755"/>
    <s v="[-0.282, 0.026]"/>
  </r>
  <r>
    <x v="2089"/>
    <x v="2706"/>
    <x v="0"/>
    <n v="0"/>
    <s v="LINESTRING (10.80473130560835 59.894830954252306, 10.80478641874548 59.89484799682614, 10.804883236506559 59.89490323375876, 10.804927488019565 59.89494960158409, 10.804941778475342 59.894992316758994)"/>
    <s v="[728924, 728932, 728940, 728948]"/>
    <s v="[717629, 717636, 717639, 716483]"/>
    <s v="#FIELD!"/>
    <s v="[716426, 717629, 717636, 717639]"/>
    <s v="[0.009, 0.006, 0.006, 0.003]"/>
    <s v="22.383599714850597"/>
    <s v="[-0.009, -0.006, -0.006, -0.003]"/>
  </r>
  <r>
    <x v="2089"/>
    <x v="2027"/>
    <x v="0"/>
    <n v="0"/>
    <m/>
    <n v="728916"/>
    <n v="716426"/>
    <s v="0.008"/>
    <n v="716435"/>
    <s v="0.008"/>
    <s v="23.076745902379443"/>
    <s v="0.008"/>
  </r>
  <r>
    <x v="2090"/>
    <x v="2707"/>
    <x v="0"/>
    <n v="0"/>
    <s v="LINESTRING (10.804389476712615 59.89514284631426, 10.804320244824094 59.895110068001166, 10.804249285740664 59.89504846209027, 10.804234824980306 59.894978767188114, 10.804340657668485 59.894863455383344)"/>
    <s v="[728884, 728892, 728900, 728908]"/>
    <s v="[717612, 717616, 717620, 716435]"/>
    <s v="0.008527841838198612"/>
    <s v="[717607, 717612, 717616, 717620]"/>
    <s v="[0.005, 0.013, 0.0, 0.012]"/>
    <s v="35.44189493801845"/>
    <s v="[0.005, 0.013, -0.0, 0.012]"/>
  </r>
  <r>
    <x v="2091"/>
    <x v="2708"/>
    <x v="0"/>
    <n v="0"/>
    <m/>
    <n v="728956"/>
    <n v="716569"/>
    <s v="#FIELD!"/>
    <n v="716483"/>
    <s v="0.017"/>
    <s v="16.126861347181467"/>
    <s v="#FIELD!"/>
  </r>
  <r>
    <x v="2091"/>
    <x v="2709"/>
    <x v="0"/>
    <n v="0"/>
    <s v="LINESTRING (10.804941778475342 59.894992316758994, 10.805056900317712 59.89503015432404, 10.805534371212874 59.895194983525045)"/>
    <s v="[727188, 727196]"/>
    <s v="[716484, 716490]"/>
    <s v="#FIELD!"/>
    <s v="[716483, 716484]"/>
    <s v="[0.009, 0.037]"/>
    <s v="40.241587217757385"/>
    <s v="[-0.009, -0.037]"/>
  </r>
  <r>
    <x v="2092"/>
    <x v="2031"/>
    <x v="0"/>
    <n v="0"/>
    <s v="LINESTRING (10.805534371212874 59.895194983525045, 10.805999041274546 59.89527867817467, 10.806093588320975 59.89529324564204)"/>
    <s v="[727204, 727212]"/>
    <s v="[716496, 716502]"/>
    <s v="#FIELD!"/>
    <s v="[716490, 716496]"/>
    <s v="[0.019, 0.055]"/>
    <s v="33.17612627950464"/>
    <s v="[-0.019, -0.055]"/>
  </r>
  <r>
    <x v="2092"/>
    <x v="2710"/>
    <x v="0"/>
    <n v="0"/>
    <s v="LINESTRING (10.805534371212874 59.895194983525045, 10.805540127282915 59.89522366073875, 10.805556288258291 59.89524901912491)"/>
    <s v="[2114530, 2114538]"/>
    <s v="[1823978, 1823981]"/>
    <s v="#FIELD!"/>
    <s v="[716490, 1823978]"/>
    <s v="[0.582, 0.001]"/>
    <s v="6.179334038676066"/>
    <s v="[-0.582, 0.001]"/>
  </r>
  <r>
    <x v="2093"/>
    <x v="2711"/>
    <x v="0"/>
    <n v="0"/>
    <m/>
    <n v="796881"/>
    <n v="716502"/>
    <s v="0.079"/>
    <n v="775947"/>
    <s v="0.079"/>
    <s v="18.975291246728457"/>
    <s v="0.079"/>
  </r>
  <r>
    <x v="2094"/>
    <x v="2708"/>
    <x v="0"/>
    <n v="0"/>
    <s v="LINESTRING (10.80582290472954 59.895550565252734, 10.805639890706397 59.89544436065824, 10.80552667915351 59.89538004195076, 10.804922438207567 59.89514545304201, 10.804825225824274 59.895121673465596)"/>
    <s v="[727276, 727284, 727292, 727300]"/>
    <s v="[716549, 716556, 716561, 716569]"/>
    <s v="0.03465276061287499"/>
    <s v="[716545, 716549, 716556, 716561]"/>
    <s v="[0.069, 0.027, 0.023, 0.041]"/>
    <s v="74.43592262462468"/>
    <s v="[0.069, 0.027, 0.023, 0.041]"/>
  </r>
  <r>
    <x v="2094"/>
    <x v="2575"/>
    <x v="0"/>
    <n v="0"/>
    <s v="LINESTRING (10.81044250521518 59.896754550889824, 10.810280574668774 59.89671882446111, 10.808526972408274 59.89614957022992, 10.807972020822456 59.89603748221684, 10.80593058052817 59.8956082783887, 10.80582290472954 59.895550565252734)"/>
    <s v="[751530, 727244, 727252, 727260, 727268]"/>
    <s v="[716525, 716526, 716533, 716539, 716545]"/>
    <s v="#FIELD!"/>
    <s v="[733170, 716525, 716526, 716533, 716539]"/>
    <s v="[0.455, 0.048, 0.027, 0.037, 0.104]"/>
    <s v="294.21309973635607"/>
    <s v="[-0.455, -0.048, -0.027, 0.037, 0.104]"/>
  </r>
  <r>
    <x v="2094"/>
    <x v="2711"/>
    <x v="0"/>
    <n v="0"/>
    <s v="LINESTRING (10.80603661168718 59.89545493805064, 10.805900292531662 59.89551664379661, 10.80582290472954 59.895550565252734)"/>
    <s v="[2114562, 2114570]"/>
    <s v="[1823992, 716545]"/>
    <s v="0.04459764857761176"/>
    <s v="[775947, 1823992]"/>
    <s v="[0.069, 0.001]"/>
    <s v="16.023756962170665"/>
    <s v="[0.069, 0.001]"/>
  </r>
  <r>
    <x v="2095"/>
    <x v="1115"/>
    <x v="0"/>
    <n v="0"/>
    <m/>
    <n v="728964"/>
    <n v="717602"/>
    <s v="#FIELD!"/>
    <n v="716569"/>
    <s v="0.005"/>
    <s v="7.3817342134757284"/>
    <s v="#FIELD!"/>
  </r>
  <r>
    <x v="2096"/>
    <x v="2712"/>
    <x v="0"/>
    <n v="0"/>
    <s v="LINESTRING (10.82169064275873 59.90457677022282, 10.821728780637017 59.90455820017407, 10.821803458503842 59.90454798320025, 10.821887050981532 59.9045380491941, 10.821946543781735 59.90454892916971, 10.822025178133565 59.90457839936417, 10.822064508073058 59.90466416606041, 10.822008059452495 59.90471900123927, 10.821932515304313 59.9047460585013)"/>
    <s v="[731360, 731368, 731376, 731384, 731392, 731400, 731408, 731416]"/>
    <s v="[719140, 719146, 719151, 719159, 719169, 719174, 719181, 719186]"/>
    <s v="0.20800647045616072"/>
    <s v="[716601, 719140, 719146, 719151, 719159, 719169, 719174, 719181]"/>
    <s v="[2.928, 0.051, 0.057, 0.043, 0.033, 0.003, 0.036, 0.059]"/>
    <s v="43.030952815598255"/>
    <s v="[2.928, 0.051, 0.057, 0.043, 0.033, -0.003, -0.036, -0.059]"/>
  </r>
  <r>
    <x v="2096"/>
    <x v="2713"/>
    <x v="0"/>
    <n v="0"/>
    <m/>
    <n v="731352"/>
    <n v="716601"/>
    <s v="#FIELD!"/>
    <n v="716616"/>
    <s v="0.001"/>
    <s v="10.066010097476537"/>
    <s v="#FIELD!"/>
  </r>
  <r>
    <x v="2096"/>
    <x v="2714"/>
    <x v="0"/>
    <n v="0"/>
    <s v="LINESTRING (10.819948363685533 59.90300281308981, 10.820060712295307 59.90306302672472, 10.820276125813509 59.90328565969598, 10.820706066795523 59.90393884705804, 10.820991282444895 59.90440171291028, 10.821564863640656 59.904552096934516, 10.82169064275873 59.90457677022282)"/>
    <s v="[751538, 727308, 727316, 727324, 727332, 727340]"/>
    <s v="[716577, 716578, 716583, 716590, 716595, 716601]"/>
    <s v="#FIELD!"/>
    <s v="[733177, 716577, 716578, 716583, 716590, 716595]"/>
    <s v="[0.131, 0.068, 0.043, 0.066, 0.048, 0.008]"/>
    <s v="212.71422998128696"/>
    <s v="[-0.131, -0.068, -0.043, -0.066, -0.048, -0.008]"/>
  </r>
  <r>
    <x v="2097"/>
    <x v="2715"/>
    <x v="0"/>
    <n v="0"/>
    <s v="LINESTRING (10.821638929337468 59.90466054571387, 10.821532854708156 59.90464998493026, 10.821015128131693 59.90495183844344, 10.821000815022874 59.90529952703574, 10.820947502284309 59.90531562797101)"/>
    <s v="[727364, 727372, 727380, 801868]"/>
    <s v="[716617, 716626, 716630, 780372]"/>
    <s v="0.0764652948574347"/>
    <s v="[716616, 716617, 716626, 716630]"/>
    <s v="[0.002, 0.019, 0.015, 2.634]"/>
    <s v="99.46859416490118"/>
    <s v="[-0.002, -0.019, -0.015, 2.634]"/>
  </r>
  <r>
    <x v="2097"/>
    <x v="2716"/>
    <x v="0"/>
    <n v="0"/>
    <m/>
    <n v="731344"/>
    <n v="716616"/>
    <s v="#FIELD!"/>
    <n v="719129"/>
    <s v="2.314"/>
    <s v="3.546829570016071"/>
    <s v="#FIELD!"/>
  </r>
  <r>
    <x v="2098"/>
    <x v="2717"/>
    <x v="0"/>
    <n v="0"/>
    <m/>
    <n v="751650"/>
    <n v="716783"/>
    <s v="#FIELD!"/>
    <n v="716661"/>
    <s v="0.047"/>
    <s v="5.323532661024674"/>
    <s v="#FIELD!"/>
  </r>
  <r>
    <x v="2098"/>
    <x v="2718"/>
    <x v="0"/>
    <n v="0"/>
    <s v="LINESTRING (10.81796302933303 59.91075049418198, 10.81817588657357 59.91025464273852, 10.8181802192132 59.90982229831178, 10.817969735371756 59.90934685764284, 10.818350961591527 59.90900264429447, 10.818396858014946 59.90895522568372)"/>
    <s v="[727428, 727436, 727444, 727452, 727460]"/>
    <s v="[716662, 716667, 716670, 716674, 716681]"/>
    <s v="#FIELD!"/>
    <s v="[716661, 716662, 716667, 716670, 716674]"/>
    <s v="[0.011, 0.008, 0.011, 0.081, 0.056]"/>
    <s v="209.3712114630921"/>
    <s v="[-0.011, 0.008, -0.011, -0.081, -0.056]"/>
  </r>
  <r>
    <x v="2098"/>
    <x v="2719"/>
    <x v="0"/>
    <n v="0"/>
    <s v="LINESTRING (10.8167702654434 59.91127904464862, 10.817717859893124 59.911161699495494, 10.81796302933303 59.91075049418198)"/>
    <s v="[727508, 727516]"/>
    <s v="[716719, 716661]"/>
    <s v="#FIELD!"/>
    <s v="[716714, 716719]"/>
    <s v="[0.028, 0.012]"/>
    <s v="104.47651980252071"/>
    <s v="[-0.028, 0.012]"/>
  </r>
  <r>
    <x v="2098"/>
    <x v="2720"/>
    <x v="0"/>
    <n v="0"/>
    <m/>
    <n v="751626"/>
    <n v="716661"/>
    <s v="0.042"/>
    <n v="716775"/>
    <s v="0.042"/>
    <s v="4.972926704378649"/>
    <s v="0.042"/>
  </r>
  <r>
    <x v="2099"/>
    <x v="467"/>
    <x v="0"/>
    <n v="0"/>
    <s v="LINESTRING (10.819809870083512 59.90970093711441, 10.819809870083512 59.90970093711441, 10.819450405710365 59.90928055084448, 10.819087572305236 59.90913618839566, 10.818684403117423 59.90903179561513, 10.818396858014946 59.90895522568372)"/>
    <s v="[731939, 731947, 731955, 731963, 731971]"/>
    <s v="[701957, 719533, 719540, 719547, 716681]"/>
    <s v="#FIELD!"/>
    <s v="[719528, 701957, 719533, 719540, 719547]"/>
    <s v="[0.0, 0.022, 0.063, 0.053, 0.135]"/>
    <s v="147.20525605300938"/>
    <s v="[0.0, -0.022, -0.063, -0.053, 0.135]"/>
  </r>
  <r>
    <x v="2100"/>
    <x v="2719"/>
    <x v="0"/>
    <n v="0"/>
    <s v="LINESTRING (10.815844434706268 59.912146951343765, 10.815984063427443 59.91193594868108, 10.816157920089076 59.91169116552221, 10.816227537220442 59.91157918855169, 10.816311058963842 59.911484737018526, 10.8167702654434 59.91127904464862)"/>
    <s v="[727468, 727476, 727484, 727492, 727500]"/>
    <s v="[716687, 716692, 716699, 716707, 716714]"/>
    <s v="#FIELD!"/>
    <s v="[716686, 716687, 716692, 716699, 716707]"/>
    <s v="[0.009, 0.041, 0.029, 0.017, 0.066]"/>
    <s v="114.1938338040616"/>
    <s v="[-0.009, -0.041, -0.029, -0.017, -0.066]"/>
  </r>
  <r>
    <x v="2100"/>
    <x v="2721"/>
    <x v="0"/>
    <n v="0"/>
    <s v="LINESTRING (10.815606365162692 59.91241631621217, 10.815647699428581 59.9123582874594, 10.815844434706268 59.912146951343765)"/>
    <s v="[751634, 751642]"/>
    <s v="[733263, 716686]"/>
    <s v="#FIELD!"/>
    <s v="[718213, 733263]"/>
    <s v="[0.135, 0.004]"/>
    <s v="33.03717882736539"/>
    <s v="[-0.135, 0.004]"/>
  </r>
  <r>
    <x v="2100"/>
    <x v="2722"/>
    <x v="0"/>
    <n v="0"/>
    <s v="LINESTRING (10.815773599306324 59.91243191846648, 10.815767498760554 59.91237378445091, 10.815844434706268 59.912146951343765)"/>
    <s v="[780426, 780434]"/>
    <s v="[760547, 716686]"/>
    <s v="#FIELD!"/>
    <s v="[718222, 760547]"/>
    <s v="[0.125, 0.0]"/>
    <s v="32.13004121414525"/>
    <s v="[-0.125, -0.0]"/>
  </r>
  <r>
    <x v="2101"/>
    <x v="2723"/>
    <x v="0"/>
    <n v="0"/>
    <s v="LINESTRING (10.81752147079955 59.91173989467376, 10.817319699559295 59.911394510584, 10.816891957604799 59.911293701713085, 10.8167702654434 59.91127904464862)"/>
    <s v="[727636, 727644, 727652]"/>
    <s v="[716821, 716829, 716714]"/>
    <s v="0.011486331096877158"/>
    <s v="[716762, 716821, 716829]"/>
    <s v="[0.012, 0.041, 0.036]"/>
    <s v="75.66775314396332"/>
    <s v="[-0.012, 0.041, 0.036]"/>
  </r>
  <r>
    <x v="2102"/>
    <x v="2720"/>
    <x v="0"/>
    <n v="0"/>
    <s v="LINESTRING (10.81752147079955 59.91173989467376, 10.817590610066771 59.91164588452037, 10.817898932785635 59.910975038729006, 10.817980796248035 59.91079421697959)"/>
    <s v="[727572, 727580, 727588]"/>
    <s v="[716763, 716768, 716775]"/>
    <s v="#FIELD!"/>
    <s v="[716762, 716763, 716768]"/>
    <s v="[0.017, 0.002, 0.001]"/>
    <s v="108.55854039062572"/>
    <s v="[-0.017, -0.002, -0.001]"/>
  </r>
  <r>
    <x v="2102"/>
    <x v="2724"/>
    <x v="0"/>
    <n v="0"/>
    <s v="LINESTRING (10.816047809795398 59.91330340611223, 10.816060181532942 59.913233667046526, 10.816224547795015 59.91305187193813, 10.816587926134956 59.91269747451088, 10.81752147079955 59.91173989467376)"/>
    <s v="[751674, 727612, 727620, 727628]"/>
    <s v="[716796, 716797, 716807, 716762]"/>
    <s v="#FIELD!"/>
    <s v="[733288, 716796, 716797, 716807]"/>
    <s v="[0.464, 0.016, 0.02, 0.037]"/>
    <s v="193.35383598225508"/>
    <s v="[-0.464, -0.016, 0.02, -0.037]"/>
  </r>
  <r>
    <x v="2103"/>
    <x v="2717"/>
    <x v="0"/>
    <n v="0"/>
    <m/>
    <n v="727596"/>
    <n v="716783"/>
    <s v="#FIELD!"/>
    <n v="716775"/>
    <s v="0.004"/>
    <s v="9.575489543622714"/>
    <s v="#FIELD!"/>
  </r>
  <r>
    <x v="2104"/>
    <x v="2725"/>
    <x v="0"/>
    <n v="0"/>
    <s v="LINESTRING (10.818012913254059 59.910709819947165, 10.818544626939973 59.90985725299492, 10.818657823390769 59.90981139685322)"/>
    <s v="[727604, 751666]"/>
    <s v="[716792, 733283]"/>
    <s v="#FIELD!"/>
    <s v="[716783, 716792]"/>
    <s v="[0.012, 0.033]"/>
    <s v="108.04315743739082"/>
    <s v="[-0.012, -0.033]"/>
  </r>
  <r>
    <x v="2105"/>
    <x v="2726"/>
    <x v="0"/>
    <n v="0"/>
    <s v="LINESTRING (10.816905478478095 59.921983905175665, 10.816905478478095 59.921983905175665, 10.81707298283015 59.922388441421376, 10.817114072733217 59.92241725133611, 10.81719607109018 59.922463383455934, 10.817271739567666 59.9224882657641)"/>
    <s v="[727892, 727900, 727908, 727916, 727924]"/>
    <s v="[717009, 717013, 717018, 717023, 716967]"/>
    <s v="0.00751405975961243"/>
    <s v="[717008, 717009, 717013, 717018, 717023]"/>
    <s v="[0.0, 0.016, 0.005, 0.012, 0.031]"/>
    <s v="69.19425298189026"/>
    <s v="[0.0, 0.016, 0.005, -0.012, -0.031]"/>
  </r>
  <r>
    <x v="2105"/>
    <x v="2727"/>
    <x v="0"/>
    <n v="0"/>
    <s v="LINESTRING (10.816856320762415 59.92247326884317, 10.816899359727762 59.92247283807348, 10.817045638044055 59.92247748572109, 10.817063129796773 59.92247753795591, 10.817271739567666 59.9224882657641)"/>
    <s v="[751754, 727812, 727820, 727828]"/>
    <s v="[716949, 716950, 716958, 716967]"/>
    <s v="#FIELD!"/>
    <s v="[733343, 716949, 716950, 716958]"/>
    <s v="[0.453, 0.007, 0.003, 0.025]"/>
    <s v="23.318787880183798"/>
    <s v="[-0.453, 0.007, 0.003, -0.025]"/>
  </r>
  <r>
    <x v="2106"/>
    <x v="2016"/>
    <x v="0"/>
    <s v="[0, 0, 1, 0, 1]"/>
    <s v="LINESTRING (10.863461463389763 59.92823630421068, 10.863923347825624 59.92841085382203, 10.864926776845863 59.928609601910566, 10.865077999328632 59.92860356146015, 10.86557337715053 59.92856696845069, 10.865839350901272 59.92858880585577)"/>
    <s v="[727940, 727948, 727956, 727964, 727972]"/>
    <s v="[717038, 717044, 717049, 717052, 717057]"/>
    <s v="0.05441460401222935"/>
    <s v="[717034, 717038, 717044, 717049, 717052]"/>
    <s v="[0.047, 0.058, 0.039, 0.045, 0.082]"/>
    <s v="145.1871840789363"/>
    <s v="[0.047, 0.058, 0.039, 0.045, 0.082]"/>
  </r>
  <r>
    <x v="2106"/>
    <x v="2015"/>
    <x v="0"/>
    <n v="0"/>
    <s v="LINESTRING (10.863461463389763 59.92823630421068, 10.863509964517204 59.92829267319912, 10.863813718764272 59.92844247527046, 10.864155635722438 59.928629160671875, 10.86495302252461 59.92917506296136, 10.865039557119005 59.929228130130234)"/>
    <s v="[727996, 728004, 728012, 728020, 728028]"/>
    <s v="[717072, 717075, 717082, 717087, 717094]"/>
    <s v="0.005122091597352241"/>
    <s v="[717034, 717072, 717075, 717082, 717087]"/>
    <s v="[0.061, 0.022, 0.029, 0.0, 0.026]"/>
    <s v="142.02269170078355"/>
    <s v="[-0.061, 0.022, 0.029, -0.0, -0.026]"/>
  </r>
  <r>
    <x v="2106"/>
    <x v="2728"/>
    <x v="0"/>
    <n v="0"/>
    <s v="LINESTRING (10.860065326947005 59.927187308522875, 10.860253006668955 59.927190511943365, 10.863461463389763 59.92823630421068)"/>
    <s v="[751762, 727932]"/>
    <s v="[717033, 717034]"/>
    <s v="0.022946088177678292"/>
    <s v="[733353, 717033]"/>
    <s v="[0.652, 0.056]"/>
    <s v="224.99708072975622"/>
    <s v="[-0.652, 0.056]"/>
  </r>
  <r>
    <x v="2107"/>
    <x v="2729"/>
    <x v="0"/>
    <n v="0"/>
    <s v="LINESTRING (10.865839350901272 59.92858880585577, 10.865909832297776 59.92858382586958, 10.866050476748137 59.92840392538528, 10.86599706880822 59.928300650035695)"/>
    <s v="[728036, 728044, 728052]"/>
    <s v="[717099, 717104, 717109]"/>
    <s v="0.07268907375305565"/>
    <s v="[717057, 717099, 717104]"/>
    <s v="[0.066, 0.052, 0.116]"/>
    <s v="39.475819597864756"/>
    <s v="[0.066, 0.052, 0.116]"/>
  </r>
  <r>
    <x v="2108"/>
    <x v="2730"/>
    <x v="0"/>
    <n v="0"/>
    <s v="LINESTRING (10.865039557119005 59.929228130130234, 10.865834326783625 59.92975759857934, 10.865846017174102 59.929764412172, 10.866069069008303 59.92989342302588, 10.866266156575225 59.93000554244099, 10.868005598150454 59.93100750088767, 10.869220198511714 59.93159001276676, 10.869955524929777 59.93187111865893, 10.870073305094387 59.932004282952434)"/>
    <s v="[728140, 728148, 728156, 728164, 728172, 728180, 728188, 751778]"/>
    <s v="[717168, 717173, 717182, 717187, 703316, 717197, 717203, 733364]"/>
    <s v="#FIELD!"/>
    <s v="[717094, 717168, 717173, 717182, 717187, 703316, 717197, 717203]"/>
    <s v="[0.032, 0.093, 0.052, 0.002, 0.011, 0.012, 0.019, 0.021]"/>
    <s v="420.86301387800074"/>
    <s v="[-0.032, -0.093, -0.052, -0.002, -0.011, -0.012, -0.019, -0.021]"/>
  </r>
  <r>
    <x v="2109"/>
    <x v="1945"/>
    <x v="0"/>
    <n v="0"/>
    <s v="LINESTRING (10.84064937251302 59.839052026689416, 10.840558756884239 59.839002296827125, 10.840521266863043 59.83893430557715)"/>
    <s v="[728660, 728668]"/>
    <s v="[717499, 717464]"/>
    <s v="#FIELD!"/>
    <s v="[717493, 717499]"/>
    <s v="[0.042, 0.056]"/>
    <s v="15.382627210184586"/>
    <s v="[-0.042, -0.056]"/>
  </r>
  <r>
    <x v="2110"/>
    <x v="1940"/>
    <x v="0"/>
    <n v="0"/>
    <s v="LINESTRING (10.838841930124426 59.839443642242564, 10.838921296900635 59.83948316280272, 10.83895424063533 59.839536049215674)"/>
    <s v="[728716, 728724]"/>
    <s v="[717536, 717544]"/>
    <s v="#FIELD!"/>
    <s v="[717531, 717536]"/>
    <s v="[0.011, 0.016]"/>
    <s v="12.43827358676604"/>
    <s v="[-0.011, -0.016]"/>
  </r>
  <r>
    <x v="2111"/>
    <x v="1968"/>
    <x v="0"/>
    <n v="0"/>
    <s v="LINESTRING (10.829254499801038 59.8624201760602, 10.829311642324473 59.862477734379745, 10.8292870974484 59.862530903566906)"/>
    <s v="[728788, 728796]"/>
    <s v="[717572, 717549]"/>
    <s v="0.07606507768907111"/>
    <s v="[717569, 717572]"/>
    <s v="[0.06, 0.095]"/>
    <s v="13.252141862050804"/>
    <s v="[0.06, 0.095]"/>
  </r>
  <r>
    <x v="2112"/>
    <x v="1966"/>
    <x v="0"/>
    <n v="0"/>
    <s v="LINESTRING (10.831422233562504 59.86359625901062, 10.831525664783971 59.8636036377515, 10.831593748766712 59.863622870351094)"/>
    <s v="[728828, 728836]"/>
    <s v="[717586, 717590]"/>
    <s v="0.04842203766373686"/>
    <s v="[717584, 717586]"/>
    <s v="[0.045, 0.053]"/>
    <s v="10.231250264341877"/>
    <s v="[0.045, 0.053]"/>
  </r>
  <r>
    <x v="2113"/>
    <x v="2707"/>
    <x v="0"/>
    <n v="0"/>
    <s v="LINESTRING (10.80471341897392 59.89515677171888, 10.804538491235236 59.895167378795605, 10.804389476712615 59.89514284631426)"/>
    <s v="[728868, 728876]"/>
    <s v="[717603, 717607]"/>
    <s v="#FIELD!"/>
    <s v="[717602, 717603]"/>
    <s v="[0.008, 0.006]"/>
    <s v="18.645687904565985"/>
    <s v="[-0.008, 0.006]"/>
  </r>
  <r>
    <x v="2114"/>
    <x v="1918"/>
    <x v="0"/>
    <s v="[0, 0, 0, 0, 1, 0, 1]"/>
    <s v="LINESTRING (10.783358348227205 59.90126423218359, 10.80369349605758 59.89827494447051, 10.804435699921301 59.896656844387685, 10.804489030482625 59.89615161874082, 10.804484990600415 59.895807721772385, 10.804459108077774 59.895522273761145, 10.804411380898209 59.8951932851754, 10.804389476712615 59.89514284631426)"/>
    <s v="[1834362, 1834419, 1834427, 1834428, 1834429, 1834435, 1834444]"/>
    <s v="[1609677, 1609697, 1609699, 1609700, 1609701, 1609705, 717607]"/>
    <s v="0.04696879171613192"/>
    <s v="[1609668, 1609677, 1609697, 1609699, 1609700, 1609701, 1609705]"/>
    <s v="[0.055, 0.015, 0.016, 0.018, 0.02, 0.023, 0.156]"/>
    <s v="1590.9806323217554"/>
    <s v="[0.055, 0.015, 0.016, 0.018, 0.02, 0.023, 0.156]"/>
  </r>
  <r>
    <x v="2115"/>
    <x v="2731"/>
    <x v="0"/>
    <n v="0"/>
    <s v="LINESTRING (10.776603040840758 59.84609141648882, 10.77672083848655 59.846412757222865, 10.776723898468088 59.8464215953611, 10.776842719497367 59.84671672235864, 10.777830943381204 59.847765532608406)"/>
    <s v="[728972, 728980, 728988, 728996]"/>
    <s v="[717655, 717659, 717661, 717664]"/>
    <s v="0.014176395434846138"/>
    <s v="[717654, 717655, 717659, 717661]"/>
    <s v="[0.016, 0.056, 0.038, 0.017]"/>
    <s v="201.85707057550928"/>
    <s v="[-0.016, -0.056, 0.038, 0.017]"/>
  </r>
  <r>
    <x v="2115"/>
    <x v="2732"/>
    <x v="0"/>
    <n v="0"/>
    <s v="LINESTRING (10.779444229483145 59.83819188405772, 10.779505838226775 59.838320616777935, 10.77960435699434 59.838586334515234, 10.779682086141102 59.83941066071427, 10.77762654083911 59.841389264592166, 10.777613933538904 59.84139554932632, 10.777439775576616 59.84148223508617, 10.77712813925855 59.84164306326486, 10.77685625843673 59.841789073182305, 10.776187224487257 59.84220891863251, 10.775827177380384 59.84426367097028, 10.776094344172403 59.84469808051366, 10.776145089841886 59.844799895531374, 10.77652884511358 59.84581514870724, 10.776603040840758 59.84609141648882)"/>
    <s v="[752050, 752058, 752066, 752074, 752082, 752090, 752098, 752106, 752114, 752122, 752130, 752138, 752146, 752154]"/>
    <s v="[733585, 733594, 733602, 733607, 733615, 733622, 733628, 733637, 733644, 733652, 733660, 733664, 733671, 717654]"/>
    <s v="#FIELD!"/>
    <s v="[733578, 733585, 733594, 733602, 733607, 733615, 733622, 733628, 733637, 733644, 733652, 733660, 733664, 733671]"/>
    <s v="[0.028, 0.012, 0.003, 0.029, 0.026, 0.075, 0.065, 0.034, 0.021, 0.01, 0.009, 0.002, 0.017, 0.022]"/>
    <s v="961.1860451594728"/>
    <s v="[-0.028, -0.012, -0.003, -0.029, 0.026, 0.075, 0.065, 0.034, -0.021, -0.01, 0.009, -0.002, -0.017, -0.022]"/>
  </r>
  <r>
    <x v="2115"/>
    <x v="2733"/>
    <x v="0"/>
    <n v="0"/>
    <s v="LINESTRING (10.776694438033555 59.841737926682384, 10.775401470804647 59.84381659438724, 10.775706597849918 59.844235248826834, 10.776039229549408 59.8447023607721, 10.776089353035307 59.844802600275145, 10.776464081756146 59.84582447815339, 10.776603040840758 59.84609141648882)"/>
    <s v="[780602, 780610, 780618, 780626, 780634, 780642]"/>
    <s v="[760737, 760747, 760755, 760767, 760775, 717654]"/>
    <s v="#FIELD!"/>
    <s v="[734755, 760737, 760747, 760755, 760767, 760775]"/>
    <s v="[0.034, 0.054, 0.05, 0.035, 0.005, 0.093]"/>
    <s v="521.1778833503864"/>
    <s v="[-0.034, 0.054, 0.05, 0.035, 0.005, -0.093]"/>
  </r>
  <r>
    <x v="2116"/>
    <x v="2734"/>
    <x v="0"/>
    <n v="0"/>
    <s v="LINESTRING (10.777830943381204 59.847765532608406, 10.778062597886256 59.84786751942695, 10.778497361214681 59.84808524030183, 10.779024650709601 59.848349144144166, 10.77982307438575 59.84878350865232)"/>
    <s v="[752162, 752170, 752178, 752186]"/>
    <s v="[733682, 733687, 733692, 717665]"/>
    <s v="0.005113739467310958"/>
    <s v="[717664, 733682, 733687, 733692]"/>
    <s v="[0.019, 0.098, 0.059, 0.071]"/>
    <s v="159.38618072261798"/>
    <s v="[-0.019, 0.098, 0.059, -0.071]"/>
  </r>
  <r>
    <x v="2116"/>
    <x v="2734"/>
    <x v="0"/>
    <n v="0"/>
    <s v="LINESTRING (10.777830943381204 59.847765532608406, 10.77802334630877 59.84789674022869, 10.778460453868988 59.84812458010726, 10.778993345266116 59.848390956818285, 10.77982307438575 59.84878350865232)"/>
    <s v="[780650, 780658, 780666, 780674]"/>
    <s v="[760795, 737120, 760814, 717665]"/>
    <s v="0.005454841588988645"/>
    <s v="[717664, 760795, 737120, 760814]"/>
    <s v="[0.127, 0.123, 0.106, 0.088]"/>
    <s v="159.52849385012217"/>
    <s v="[-0.127, 0.123, 0.106, -0.088]"/>
  </r>
  <r>
    <x v="2117"/>
    <x v="2735"/>
    <x v="0"/>
    <n v="0"/>
    <m/>
    <n v="729004"/>
    <n v="717666"/>
    <s v="#FIELD!"/>
    <n v="717665"/>
    <s v="0.018"/>
    <s v="98.11004899873834"/>
    <s v="#FIELD!"/>
  </r>
  <r>
    <x v="2118"/>
    <x v="2736"/>
    <x v="0"/>
    <n v="0"/>
    <s v="LINESTRING (10.780889410589731 59.84947861717662, 10.781791258582825 59.85042499431383, 10.781790799123698 59.85060668098491, 10.781636528820586 59.85135710269665, 10.781773730419973 59.85186368362657)"/>
    <s v="[752194, 752202, 752210, 752218]"/>
    <s v="[733702, 733708, 733712, 717670]"/>
    <s v="#FIELD!"/>
    <s v="[717666, 733702, 733708, 733712]"/>
    <s v="[0.029, 0.091, 0.05, 0.039]"/>
    <s v="279.9692623951621"/>
    <s v="[0.029, -0.091, -0.05, 0.039]"/>
  </r>
  <r>
    <x v="2118"/>
    <x v="2736"/>
    <x v="0"/>
    <n v="0"/>
    <s v="LINESTRING (10.780889410589731 59.84947861717662, 10.781661864386702 59.850434032970654, 10.781667621936577 59.85061587419003, 10.781773730419973 59.85186368362657)"/>
    <s v="[780682, 780690, 780698]"/>
    <s v="[738570, 760839, 717670]"/>
    <s v="#FIELD!"/>
    <s v="[717666, 738570, 760839]"/>
    <s v="[0.043, 0.127, 0.02]"/>
    <s v="277.67415766445913"/>
    <s v="[0.043, -0.127, -0.02]"/>
  </r>
  <r>
    <x v="2119"/>
    <x v="2737"/>
    <x v="0"/>
    <n v="0"/>
    <s v="LINESTRING (10.781773730419973 59.85186368362657, 10.782115471653649 59.85224564001193, 10.782450494516922 59.852629897435506, 10.784511568039894 59.85559127799833, 10.78462913564756 59.8560621220016, 10.784637471117792 59.856096215420536, 10.784752447089959 59.856545216607906, 10.784609464775912 59.85876335853145, 10.784855145031996 59.85894444783014)"/>
    <s v="[729012, 729020, 729028, 729036, 729044, 729052, 729060, 729068]"/>
    <s v="[717671, 717674, 717678, 717682, 717687, 717688, 717696, 717699]"/>
    <s v="0.007440924898658745"/>
    <s v="[717670, 717671, 717674, 717678, 717682, 717687, 717688, 717696]"/>
    <s v="[0.008, 0.013, 0.013, 0.008, 0.014, 0.003, 0.002, 0.004]"/>
    <s v="829.7137243814013"/>
    <s v="[0.008, 0.013, 0.013, 0.008, -0.014, -0.003, 0.002, -0.004]"/>
  </r>
  <r>
    <x v="2120"/>
    <x v="2738"/>
    <x v="0"/>
    <n v="0"/>
    <s v="LINESTRING (10.784855145031996 59.85894444783014, 10.785683734996447 59.85960041555191, 10.785708430930317 59.859641129487365, 10.78572807181617 59.859673768850094, 10.7857559367331 59.859720231024376, 10.785759203843584 59.85973550444911, 10.785771126876325 59.85995478538205, 10.78570297578977 59.86010156375091, 10.785400628896829 59.86064964451469)"/>
    <s v="[752226, 752234, 752242, 752250, 752258, 752266, 752274, 752282]"/>
    <s v="[733723, 733728, 733732, 733738, 733741, 733747, 733750, 717702]"/>
    <s v="0.00781544155708857"/>
    <s v="[717699, 733723, 733728, 733732, 733738, 733741, 733747, 733750]"/>
    <s v="[0.081, 0.06, 0.048, 0.049, 0.034, 0.019, 0.088, 0.066]"/>
    <s v="208.06139494463662"/>
    <s v="[0.081, 0.06, 0.048, 0.049, -0.034, -0.019, -0.088, -0.066]"/>
  </r>
  <r>
    <x v="2120"/>
    <x v="2738"/>
    <x v="0"/>
    <n v="0"/>
    <s v="LINESTRING (10.784855145031996 59.85894444783014, 10.785555935736603 59.85966375580283, 10.785580806437093 59.85974062132, 10.785583118313475 59.85974777175562, 10.78560422249097 59.85995285265575, 10.785589737806806 59.86008834033465, 10.785586197107026 59.86009822543008, 10.785400628896829 59.86064964451469)"/>
    <s v="[780706, 780714, 780722, 780730, 780738, 780746, 780754]"/>
    <s v="[734765, 760865, 760874, 760879, 760884, 760891, 717702]"/>
    <s v="0.008345415261927348"/>
    <s v="[717699, 734765, 760865, 760874, 760879, 760884, 760891]"/>
    <s v="[0.095, 0.029, 0.007, 0.014, 0.001, 0.005, 0.119]"/>
    <s v="200.8518323076627"/>
    <s v="[0.095, 0.029, 0.007, 0.014, -0.001, 0.005, -0.119]"/>
  </r>
  <r>
    <x v="2121"/>
    <x v="2739"/>
    <x v="0"/>
    <n v="0"/>
    <s v="LINESTRING (10.785400628896829 59.86064964451469, 10.785280464276768 59.860913704497506, 10.785104399187869 59.86129891375375, 10.785100235556675 59.861307645939924, 10.785050092264173 59.8614125792623, 10.78486815656066 59.86180682543198, 10.78446118303109 59.86270196875183, 10.784150171097949 59.86338235888718, 10.783924565933653 59.864114418824144, 10.783893914604581 59.86465829627532, 10.783915467391923 59.86508880974802)"/>
    <s v="[729076, 729084, 729092, 729100, 729108, 729116, 729124, 729132, 729140, 729148]"/>
    <s v="[717703, 717708, 717712, 712678, 717720, 717724, 717728, 708510, 717736, 717740]"/>
    <s v="0.012046917789653016"/>
    <s v="[717702, 717703, 717708, 717712, 712678, 717720, 717724, 717728, 708510, 717736]"/>
    <s v="[0.038, 0.007, 0.042, 0.007, 0.025, 0.02, 0.007, 0.04, 0.036, 0.035]"/>
    <s v="503.7591581329129"/>
    <s v="[0.038, -0.007, 0.042, -0.007, -0.025, 0.02, 0.007, 0.04, 0.036, -0.035]"/>
  </r>
  <r>
    <x v="2122"/>
    <x v="2740"/>
    <x v="0"/>
    <n v="0"/>
    <s v="LINESTRING (10.783915467391923 59.86508880974802, 10.783988825332179 59.86528726710846, 10.783916010279848 59.86570027862996, 10.783840621051214 59.86583318417347, 10.783611079829415 59.86618303133709, 10.783435204378756 59.86641334805842, 10.783428762041801 59.86642171042537, 10.783296362837072 59.86661245558347, 10.783252349358875 59.86673831052463, 10.78329658803992 59.86727638907991, 10.783300542851249 59.86730174614917, 10.783308228441943 59.867339703100924, 10.783330277090158 59.86772577844474, 10.783320913824591 59.867873505918865, 10.783300744664366 59.86798235816562, 10.783219477015525 59.86815238989323)"/>
    <s v="[752290, 752298, 752306, 752314, 752322, 752330, 752338, 752346, 752354, 752362, 752370, 752378, 752386, 752394, 752402]"/>
    <s v="[733756, 733762, 733767, 733772, 733775, 733782, 733787, 733792, 733797, 733801, 733810, 733814, 733817, 733824, 703449]"/>
    <s v="#FIELD!"/>
    <s v="[717740, 733756, 733762, 733767, 733772, 733775, 733782, 733787, 733792, 733797, 733801, 733810, 733814, 733817, 733824]"/>
    <s v="[0.199, 0.026, 0.077, 0.056, 0.069, 0.126, 0.068, 0.034, 0.035, 0.016, 0.062, 0.029, 0.009, 0.008, 0.184]"/>
    <s v="349.3453678130934"/>
    <s v="[0.199, -0.026, -0.077, -0.056, -0.069, -0.126, -0.068, -0.034, 0.035, 0.016, 0.062, 0.029, 0.009, -0.008, -0.184]"/>
  </r>
  <r>
    <x v="2122"/>
    <x v="2740"/>
    <x v="0"/>
    <n v="0"/>
    <s v="LINESTRING (10.783915467391923 59.86508880974802, 10.783900804811479 59.86525199460725, 10.783773703781854 59.86569928568099, 10.783708697744265 59.865832227347305, 10.78350437552211 59.86613123553605, 10.783470285416657 59.86617700636611, 10.783309042267721 59.86640754933815, 10.78330362368169 59.86641601645883, 10.783200662686127 59.86660909916452, 10.78315772238582 59.86672677022626, 10.783170030361207 59.86728454147329, 10.783174168996672 59.8673111272923, 10.783214071270985 59.86764509374566, 10.783213605721285 59.86770996176582, 10.783212454563234 59.8678710442466, 10.783219477015525 59.86815238989323)"/>
    <s v="[780762, 780770, 780778, 780786, 780794, 780802, 780810, 780818, 780826, 780834, 780842, 780850, 780858, 780866, 780874]"/>
    <s v="[741112, 735028, 760920, 760928, 760936, 760942, 760950, 760958, 760967, 760973, 736718, 760990, 760997, 761005, 703449]"/>
    <s v="#FIELD!"/>
    <s v="[717740, 741112, 735028, 760920, 760928, 760936, 760942, 760950, 760958, 760967, 760973, 736718, 760990, 760997, 761005]"/>
    <s v="[0.055, 0.003, 0.027, 0.061, 0.057, 0.069, 0.134, 0.053, 0.031, 0.023, 0.102, 0.111, 0.084, 0.09, 0.213]"/>
    <s v="347.90713842240666"/>
    <s v="[0.055, -0.003, -0.027, -0.061, -0.057, -0.069, -0.134, -0.053, -0.031, 0.023, 0.102, 0.111, 0.084, 0.09, -0.213]"/>
  </r>
  <r>
    <x v="2123"/>
    <x v="2741"/>
    <x v="0"/>
    <n v="0"/>
    <s v="LINESTRING (10.783219477015525 59.86815238989323, 10.780332126278124 59.87147137801232, 10.780285872259748 59.87153780715893, 10.780077640136083 59.87190089454427, 10.779990067153484 59.87205543682331)"/>
    <s v="[729156, 729164, 729172, 729180]"/>
    <s v="[717745, 717748, 717750, 717754]"/>
    <s v="#FIELD!"/>
    <s v="[703449, 717745, 717748, 717750]"/>
    <s v="[0.016, 0.052, 0.008, 0.078]"/>
    <s v="473.56361591282587"/>
    <s v="[-0.016, 0.052, -0.008, -0.078]"/>
  </r>
  <r>
    <x v="2124"/>
    <x v="2742"/>
    <x v="0"/>
    <n v="0"/>
    <m/>
    <n v="780882"/>
    <n v="734475"/>
    <s v="0.203"/>
    <n v="717754"/>
    <s v="0.203"/>
    <s v="49.9828843203918"/>
    <s v="0.203"/>
  </r>
  <r>
    <x v="2124"/>
    <x v="2743"/>
    <x v="0"/>
    <n v="0"/>
    <s v="LINESTRING (10.779990067153484 59.87205543682331, 10.779823219468689 59.872459738360014, 10.779713777916614 59.87264001396173)"/>
    <s v="[752410, 752418]"/>
    <s v="[733832, 733838]"/>
    <s v="0.19308396628945126"/>
    <s v="[717754, 733832]"/>
    <s v="[0.282, 0.002]"/>
    <s v="67.09118453169273"/>
    <s v="[0.282, -0.002]"/>
  </r>
  <r>
    <x v="2125"/>
    <x v="2744"/>
    <x v="0"/>
    <n v="0"/>
    <m/>
    <n v="780906"/>
    <n v="717798"/>
    <s v="#FIELD!"/>
    <n v="717759"/>
    <s v="0.012"/>
    <s v="28.330195904171006"/>
    <s v="#FIELD!"/>
  </r>
  <r>
    <x v="2125"/>
    <x v="2745"/>
    <x v="0"/>
    <n v="0"/>
    <s v="LINESTRING (10.77949454894755 59.87281730592039, 10.779282471792163 59.872863586285256, 10.779247501615766 59.87286152889841)"/>
    <s v="[729196, 729204]"/>
    <s v="[717763, 717766]"/>
    <s v="#FIELD!"/>
    <s v="[717759, 717763]"/>
    <s v="[0.231, 0.23]"/>
    <s v="15.167487273369211"/>
    <s v="[-0.231, -0.23]"/>
  </r>
  <r>
    <x v="2125"/>
    <x v="2743"/>
    <x v="0"/>
    <n v="0"/>
    <s v="LINESTRING (10.779713777916614 59.87264001396173, 10.779648672446909 59.872673891018, 10.77949454894755 59.87281730592039)"/>
    <s v="[753155, 729188]"/>
    <s v="[717758, 717759]"/>
    <s v="#FIELD!"/>
    <s v="[733838, 717758]"/>
    <s v="[2.235, 0.015]"/>
    <s v="23.713835379423806"/>
    <s v="[-2.235, -0.015]"/>
  </r>
  <r>
    <x v="2125"/>
    <x v="2742"/>
    <x v="0"/>
    <n v="0"/>
    <s v="LINESTRING (10.779692726389879 59.87247829966444, 10.779602521848945 59.87262889093597, 10.77949454894755 59.87281730592039)"/>
    <s v="[780890, 780898]"/>
    <s v="[761029, 717759]"/>
    <s v="#FIELD!"/>
    <s v="[734475, 761029]"/>
    <s v="[0.514, 0.832]"/>
    <s v="39.3781527922186"/>
    <s v="[0.514, -0.832]"/>
  </r>
  <r>
    <x v="2126"/>
    <x v="2742"/>
    <x v="0"/>
    <n v="0"/>
    <s v="LINESTRING (10.779247501615766 59.87286152889841, 10.779635897304507 59.87250671466748, 10.779692726389879 59.87247829966444)"/>
    <s v="[729236, 753163]"/>
    <s v="[717783, 734475]"/>
    <s v="0.2513913347805789"/>
    <s v="[717766, 717783]"/>
    <s v="[0.057, 2.243]"/>
    <s v="50.49947371681919"/>
    <s v="[0.057, 2.243]"/>
  </r>
  <r>
    <x v="2126"/>
    <x v="2746"/>
    <x v="0"/>
    <n v="0"/>
    <s v="LINESTRING (10.77917060911221 59.87297415318677, 10.778966915465036 59.87287410371938, 10.779050856337761 59.87287499940564, 10.779133016079093 59.87287583787623, 10.779247501615766 59.87286152889841)"/>
    <s v="[729292, 729212, 729220, 729228]"/>
    <s v="[717769, 717770, 698559, 717766]"/>
    <s v="0.024286965139868503"/>
    <s v="[717788, 717769, 717770, 698559]"/>
    <s v="[0.217, 0.261, 0.273, 0.265]"/>
    <s v="31.873690235564595"/>
    <s v="[-0.217, 0.261, 0.273, 0.265]"/>
  </r>
  <r>
    <x v="2127"/>
    <x v="2744"/>
    <x v="0"/>
    <n v="0"/>
    <s v="LINESTRING (10.77917060911221 59.87297415318677, 10.779209911729513 59.87298406438784, 10.779316397666577 59.87303727698382, 10.779335156581991 59.873058559569216)"/>
    <s v="[729244, 729252, 729260]"/>
    <s v="[717789, 717792, 717798]"/>
    <s v="0.292667715497381"/>
    <s v="[717788, 717789, 717792]"/>
    <s v="[0.302, 0.296, 0.273]"/>
    <s v="13.469927153324761"/>
    <s v="[0.302, 0.296, 0.273]"/>
  </r>
  <r>
    <x v="2127"/>
    <x v="704"/>
    <x v="0"/>
    <n v="0"/>
    <s v="LINESTRING (10.77907741801737 59.8734405218157, 10.779067602901932 59.87340513973523, 10.779235260665768 59.87307063938222, 10.77917060911221 59.87297415318677)"/>
    <s v="[753180, 729276, 729284]"/>
    <s v="[717805, 717806, 717788]"/>
    <s v="#FIELD!"/>
    <s v="[734488, 717805, 717806]"/>
    <s v="[1.545, 0.006, 0.155]"/>
    <s v="53.87064691645059"/>
    <s v="[-1.545, -0.006, -0.155]"/>
  </r>
  <r>
    <x v="2128"/>
    <x v="704"/>
    <x v="0"/>
    <n v="0"/>
    <m/>
    <n v="780914"/>
    <n v="734488"/>
    <s v="0.093"/>
    <n v="717798"/>
    <s v="0.093"/>
    <s v="44.949416014366726"/>
    <s v="0.093"/>
  </r>
  <r>
    <x v="2128"/>
    <x v="2747"/>
    <x v="0"/>
    <n v="0"/>
    <s v="LINESTRING (10.779335156581991 59.873058559569216, 10.77919520267707 59.8734002432004, 10.779184477562884 59.87345654582834)"/>
    <s v="[729268, 753171]"/>
    <s v="[717802, 733844]"/>
    <s v="0.16353501253587416"/>
    <s v="[717798, 717802]"/>
    <s v="[0.01, 1.122]"/>
    <s v="45.65166702872385"/>
    <s v="[0.01, 1.122]"/>
  </r>
  <r>
    <x v="2129"/>
    <x v="2748"/>
    <x v="0"/>
    <n v="0"/>
    <s v="LINESTRING (10.780900464489397 59.8387628215969, 10.780926967756388 59.838793344572366, 10.780889005743656 59.83889552900599, 10.780802982360594 59.83892978579941, 10.7807578100813 59.83893647303818, 10.78062544193518 59.83893112665618, 10.780515094964375 59.83886818575583, 10.780507941486585 59.838846394305115)"/>
    <s v="[747428, 747436, 747444, 747452, 747372, 747380, 747388]"/>
    <s v="[729902, 729913, 729919, 729855, 729856, 729863, 729870]"/>
    <s v="0.08045725392035706"/>
    <s v="[717866, 729902, 729913, 729919, 729855, 729856, 729863]"/>
    <s v="[1.787, 0.069, 0.121, 0.118, 0.109, 0.049, 0.008]"/>
    <s v="43.61846867871122"/>
    <s v="[1.787, -0.069, -0.121, -0.118, -0.109, -0.049, 0.008]"/>
  </r>
  <r>
    <x v="2129"/>
    <x v="2749"/>
    <x v="0"/>
    <n v="0"/>
    <m/>
    <n v="747420"/>
    <n v="717866"/>
    <s v="#FIELD!"/>
    <n v="729893"/>
    <s v="0.396"/>
    <s v="13.259768000117202"/>
    <s v="#FIELD!"/>
  </r>
  <r>
    <x v="2129"/>
    <x v="2750"/>
    <x v="0"/>
    <n v="0"/>
    <s v="LINESTRING (10.778744138330422 59.83603049103783, 10.778814983583088 59.836143668753664, 10.779170577379178 59.837039276873966, 10.77999469160519 59.837569512456156, 10.780042502765417 59.83758695372314, 10.780451406503653 59.837751509590234, 10.780913653968186 59.838711894135955, 10.780900464489397 59.8387628215969)"/>
    <s v="[753204, 729364, 729372, 729380, 729388, 729396, 729404]"/>
    <s v="[717847, 717848, 717852, 717858, 717861, 717863, 717866]"/>
    <s v="#FIELD!"/>
    <s v="[733546, 717847, 717848, 717852, 717858, 717861, 717863]"/>
    <s v="[0.152, 0.046, 0.019, 0.104, 0.076, 0.025, 0.01]"/>
    <s v="344.64403967916877"/>
    <s v="[-0.152, -0.046, -0.019, 0.104, 0.076, 0.025, -0.01]"/>
  </r>
  <r>
    <x v="2130"/>
    <x v="2751"/>
    <x v="0"/>
    <n v="0"/>
    <s v="LINESTRING (10.776601248770366 59.835980311037865, 10.776601248770366 59.835980311037865, 10.777394672791898 59.83671074705433, 10.777502938744657 59.83677267089547, 10.777600884618185 59.83681863569059, 10.778500127668721 59.83678402482862)"/>
    <s v="[729412, 729420, 729428, 729436, 729444]"/>
    <s v="[717872, 717875, 717881, 717885, 717890]"/>
    <s v="0.01287359087062893"/>
    <s v="[717871, 717872, 717875, 717881, 717885]"/>
    <s v="[0.0, 0.009, 0.021, 0.003, 0.021]"/>
    <s v="179.5451427694976"/>
    <s v="[0.0, 0.009, 0.021, 0.003, 0.021]"/>
  </r>
  <r>
    <x v="2131"/>
    <x v="2752"/>
    <x v="0"/>
    <n v="0"/>
    <s v="LINESTRING (10.778500127668721 59.83678402482862, 10.77847801761245 59.8350281568792, 10.778532789918792 59.83496247938129)"/>
    <s v="[729452, 753543]"/>
    <s v="[717896, 734737]"/>
    <s v="0.040839261121789"/>
    <s v="[717890, 717896]"/>
    <s v="[0.038, 0.111]"/>
    <s v="204.09025310441962"/>
    <s v="[0.038, 0.111]"/>
  </r>
  <r>
    <x v="2131"/>
    <x v="2753"/>
    <x v="0"/>
    <n v="0"/>
    <s v="LINESTRING (10.778514343637525 59.83768633751324, 10.778518108864807 59.83763536826507, 10.778473477635343 59.83684697309419, 10.778500127668721 59.83678402482862)"/>
    <s v="[729516, 729524, 729532]"/>
    <s v="[717938, 717943, 717890]"/>
    <s v="#FIELD!"/>
    <s v="[717937, 717938, 717943]"/>
    <s v="[0.031, 0.026, 0.533]"/>
    <s v="103.86494053515062"/>
    <s v="[0.031, 0.026, -0.533]"/>
  </r>
  <r>
    <x v="2132"/>
    <x v="2754"/>
    <x v="0"/>
    <n v="0"/>
    <m/>
    <n v="747508"/>
    <n v="729957"/>
    <s v="0.036"/>
    <n v="717937"/>
    <s v="0.036"/>
    <s v="9.665940344683278"/>
    <s v="0.036"/>
  </r>
  <r>
    <x v="2132"/>
    <x v="2755"/>
    <x v="0"/>
    <n v="0"/>
    <s v="LINESTRING (10.778348307793559 59.8378545418883, 10.77827868870515 59.83781184345603, 10.778267823060597 59.8377566457484, 10.778337478259399 59.83770043789815, 10.778468423606045 59.837682165059924, 10.778514343637525 59.83768633751324)"/>
    <s v="[747468, 747476, 747484, 747492, 747500]"/>
    <s v="[729933, 729938, 729941, 729946, 717937]"/>
    <s v="0.03600158862836983"/>
    <s v="[729930, 729933, 729938, 729941, 729946]"/>
    <s v="[0.031, 0.013, 0.06, 0.079, 0.055]"/>
    <s v="29.958250743173526"/>
    <s v="[-0.031, 0.013, 0.06, 0.079, 0.055]"/>
  </r>
  <r>
    <x v="2133"/>
    <x v="2722"/>
    <x v="0"/>
    <n v="0"/>
    <s v="LINESTRING (10.815773599306324 59.91243191846648, 10.81579557425395 59.91244891827818, 10.815807722563946 59.91252341992743, 10.8156994352278 59.912565734505826, 10.815601022668693 59.91256309159521, 10.815525931111774 59.912528848191386, 10.81553665610882 59.91244377155143, 10.815606365162692 59.91241631621217)"/>
    <s v="[729930, 729938, 729946, 729954, 729962, 729970, 729906]"/>
    <s v="[718228, 718233, 718238, 718241, 718246, 718212, 718213]"/>
    <s v="#FIELD!"/>
    <s v="[718222, 718228, 718233, 718238, 718241, 718246, 718212]"/>
    <s v="[0.015, 0.015, 0.01, 0.005, 0.009, 0.013, 0.007]"/>
    <s v="44.24352044351144"/>
    <s v="[0.015, 0.015, 0.01, -0.005, -0.009, -0.013, -0.007]"/>
  </r>
  <r>
    <x v="2134"/>
    <x v="2712"/>
    <x v="0"/>
    <n v="0"/>
    <m/>
    <n v="767053"/>
    <n v="719186"/>
    <s v="0.039"/>
    <n v="718824"/>
    <s v="0.039"/>
    <s v="58.43343338530967"/>
    <s v="0.039"/>
  </r>
  <r>
    <x v="2134"/>
    <x v="2716"/>
    <x v="0"/>
    <n v="0"/>
    <m/>
    <n v="771197"/>
    <n v="719129"/>
    <s v="0.026"/>
    <n v="718824"/>
    <s v="0.026"/>
    <s v="58.618499020109205"/>
    <s v="0.026"/>
  </r>
  <r>
    <x v="2135"/>
    <x v="2712"/>
    <x v="0"/>
    <n v="0"/>
    <s v="LINESTRING (10.821932515304313 59.9047460585013, 10.821829583056239 59.9047529149556, 10.821658388608775 59.90469083478749)"/>
    <s v="[731424, 731432]"/>
    <s v="[719192, 719129]"/>
    <s v="#FIELD!"/>
    <s v="[719186, 719192]"/>
    <s v="[0.055, 0.034]"/>
    <s v="18.04025755773631"/>
    <s v="[-0.055, -0.034]"/>
  </r>
  <r>
    <x v="2136"/>
    <x v="2756"/>
    <x v="0"/>
    <n v="0"/>
    <m/>
    <n v="753703"/>
    <n v="734847"/>
    <s v="0.021"/>
    <n v="720042"/>
    <s v="0.021"/>
    <s v="10.070253223924661"/>
    <s v="0.021"/>
  </r>
  <r>
    <x v="2136"/>
    <x v="2757"/>
    <x v="0"/>
    <n v="0"/>
    <s v="LINESTRING (10.713946385839327 59.90967111664211, 10.715876400914627 59.90962176417407, 10.71984078442208 59.91057910186622, 10.720023136469061 59.91062958675845, 10.720173158247293 59.91065433735659)"/>
    <s v="[732709, 732717, 732725, 732733]"/>
    <s v="[720043, 720053, 720059, 720065]"/>
    <s v="0.0032672172889909763"/>
    <s v="[720042, 720043, 720053, 720059]"/>
    <s v="[0.002, 0.005, 0.012, 0.006]"/>
    <s v="385.2405662376623"/>
    <s v="[-0.002, 0.005, 0.012, 0.006]"/>
  </r>
  <r>
    <x v="2136"/>
    <x v="2758"/>
    <x v="0"/>
    <n v="0"/>
    <s v="LINESTRING (10.71055794647607 59.91006184381772, 10.711588865718921 59.90993782898716, 10.713946385839327 59.90967111664211)"/>
    <s v="[732997, 733005]"/>
    <s v="[720231, 720042]"/>
    <s v="#FIELD!"/>
    <s v="[720186, 720231]"/>
    <s v="[0.012, 0.017]"/>
    <s v="194.64890127407534"/>
    <s v="[0.012, -0.017]"/>
  </r>
  <r>
    <x v="2136"/>
    <x v="2759"/>
    <x v="0"/>
    <n v="0"/>
    <m/>
    <n v="753607"/>
    <n v="720042"/>
    <s v="#FIELD!"/>
    <n v="734782"/>
    <s v="0.022"/>
    <s v="9.436630754181412"/>
    <s v="#FIELD!"/>
  </r>
  <r>
    <x v="2137"/>
    <x v="2760"/>
    <x v="0"/>
    <n v="0"/>
    <s v="LINESTRING (10.720173158247293 59.91065433735659, 10.720253451496433 59.91064789351315, 10.720418355652598 59.91067525884087, 10.720509770077351 59.910745319673616, 10.720520156097631 59.91076544850245, 10.720490331398544 59.91084054101632, 10.720373200640719 59.910897166772635, 10.72031850879321 59.91090723966047, 10.720113546733495 59.91088850763489, 10.720014698782519 59.91082041678631, 10.719998328030119 59.910785049875884)"/>
    <n v="734045"/>
    <n v="720065"/>
    <s v="#FIELD!"/>
    <n v="720071"/>
    <s v="0.013"/>
    <s v="18.527336185179095"/>
    <s v="#FIELD!"/>
  </r>
  <r>
    <x v="2138"/>
    <x v="2761"/>
    <x v="0"/>
    <n v="0"/>
    <s v="LINESTRING (10.719998328030119 59.910785049875884, 10.719894026258782 59.910714407711616, 10.719740366324089 59.910656358435965, 10.718022707737006 59.91034151961965, 10.715804758848202 59.90990786541084, 10.714027216099833 59.90990484119624)"/>
    <s v="[732741, 732749, 732757, 732765, 732773]"/>
    <s v="[720072, 720077, 720085, 720090, 720094]"/>
    <s v="#FIELD!"/>
    <s v="[720071, 720072, 720077, 720085, 720090]"/>
    <s v="[0.017, 0.016, 0.01, 0.004, 0.002]"/>
    <s v="357.41205601193104"/>
    <s v="[-0.017, -0.016, -0.01, -0.004, 0.002]"/>
  </r>
  <r>
    <x v="2139"/>
    <x v="2762"/>
    <x v="0"/>
    <n v="0"/>
    <m/>
    <n v="732941"/>
    <n v="720174"/>
    <s v="0.02"/>
    <n v="720094"/>
    <s v="0.02"/>
    <s v="87.2001677397771"/>
    <s v="0.02"/>
  </r>
  <r>
    <x v="2139"/>
    <x v="2763"/>
    <x v="0"/>
    <n v="0"/>
    <m/>
    <n v="753615"/>
    <n v="734047"/>
    <s v="0.024"/>
    <n v="720094"/>
    <s v="0.024"/>
    <s v="9.40319094805629"/>
    <s v="0.024"/>
  </r>
  <r>
    <x v="2139"/>
    <x v="2764"/>
    <x v="0"/>
    <n v="0"/>
    <m/>
    <n v="753695"/>
    <n v="720094"/>
    <s v="#FIELD!"/>
    <n v="734040"/>
    <s v="0.027"/>
    <s v="9.130169768407857"/>
    <s v="#FIELD!"/>
  </r>
  <r>
    <x v="2140"/>
    <x v="2758"/>
    <x v="0"/>
    <n v="0"/>
    <s v="LINESTRING (10.712511075877659 59.91008205473197, 10.712422042735211 59.91007825506382, 10.710369804670972 59.91013636942608, 10.71055794647607 59.91006184381772)"/>
    <s v="[732917, 732925, 732933]"/>
    <s v="[720175, 720182, 720186]"/>
    <s v="#FIELD!"/>
    <s v="[720174, 720175, 720182]"/>
    <s v="[0.02, 0.003, 0.006]"/>
    <s v="153.15324236279233"/>
    <s v="[0.02, -0.003, 0.006]"/>
  </r>
  <r>
    <x v="2140"/>
    <x v="2765"/>
    <x v="0"/>
    <n v="0"/>
    <s v="LINESTRING (10.712511075877659 59.91008205473197, 10.711804454974454 59.910202004790015, 10.71150429525726 59.910252470435495, 10.709832271463366 59.910327497233936, 10.709637315749612 59.9103714609372)"/>
    <s v="[732949, 732957, 732965, 732973]"/>
    <s v="[720200, 720207, 720212, 720217]"/>
    <s v="#FIELD!"/>
    <s v="[720174, 720200, 720207, 720212]"/>
    <s v="[0.025, 0.004, 0.018, 0.015]"/>
    <s v="167.66821365728043"/>
    <s v="[0.025, 0.004, -0.018, -0.015]"/>
  </r>
  <r>
    <x v="2141"/>
    <x v="2766"/>
    <x v="0"/>
    <n v="0"/>
    <s v="LINESTRING (10.709617876758823 59.91021820703399, 10.709802598356648 59.91023457838761, 10.71055794647607 59.91006184381772)"/>
    <s v="[732981, 732989]"/>
    <s v="[720221, 720186]"/>
    <s v="0.013276027199612135"/>
    <s v="[720220, 720221]"/>
    <s v="[0.019, 0.012]"/>
    <s v="57.591254881046424"/>
    <s v="[0.019, 0.012]"/>
  </r>
  <r>
    <x v="2142"/>
    <x v="2767"/>
    <x v="0"/>
    <n v="0"/>
    <m/>
    <n v="735318"/>
    <n v="720241"/>
    <s v="#FIELD!"/>
    <n v="720217"/>
    <s v="0.018"/>
    <s v="16.952094751731273"/>
    <s v="#FIELD!"/>
  </r>
  <r>
    <x v="2142"/>
    <x v="2766"/>
    <x v="0"/>
    <n v="0"/>
    <m/>
    <n v="735390"/>
    <n v="720217"/>
    <s v="0.007"/>
    <n v="720220"/>
    <s v="0.007"/>
    <s v="18.25641790263527"/>
    <s v="0.007"/>
  </r>
  <r>
    <x v="2143"/>
    <x v="2768"/>
    <x v="0"/>
    <n v="0"/>
    <s v="LINESTRING (10.709223839126459 59.910281819653854, 10.709240513703959 59.910256016885434, 10.709270419763651 59.910229800243016, 10.70931590888598 59.91020783227407, 10.70936392915408 59.91019398560525, 10.709445378226208 59.910185122229294, 10.709567203792075 59.910199245643234, 10.709617876758823 59.91021820703399)"/>
    <s v="[735334, 735342, 735350, 735358, 735366, 735374, 735382]"/>
    <s v="[721660, 721665, 721671, 721678, 721685, 721690, 720220]"/>
    <s v="0.013898086605863643"/>
    <s v="[720297, 721660, 721665, 721671, 721678, 721685, 721690]"/>
    <s v="[0.004, 0.005, 0.012, 0.01, 0.02, 0.019, 0.018]"/>
    <s v="28.220407322715058"/>
    <s v="[0.004, 0.005, 0.012, 0.01, 0.02, 0.019, 0.018]"/>
  </r>
  <r>
    <x v="2144"/>
    <x v="2768"/>
    <x v="0"/>
    <n v="0"/>
    <m/>
    <n v="735326"/>
    <n v="720297"/>
    <s v="#FIELD!"/>
    <n v="720241"/>
    <s v="0.013"/>
    <s v="16.924010517189835"/>
    <s v="#FIELD!"/>
  </r>
  <r>
    <x v="2144"/>
    <x v="2769"/>
    <x v="0"/>
    <n v="0"/>
    <s v="LINESTRING (10.70936067306115 59.910407420100974, 10.70920854515649 59.91042132559414, 10.709191428820548 59.910423950712314, 10.709174329154363 59.91042658536375, 10.705820256603966 59.911007693474986, 10.702618690321847 59.912211528242935, 10.702438356715096 59.91227667666861)"/>
    <s v="[733013, 733021, 733029, 733037, 733045, 753711]"/>
    <s v="[720242, 720250, 720255, 720263, 720264, 734142]"/>
    <s v="#FIELD!"/>
    <s v="[720241, 720242, 720250, 720255, 720263, 720264]"/>
    <s v="[0.02, 0.023, 0.02, 0.004, 0.013, 0.294]"/>
    <s v="448.9494730906887"/>
    <s v="[-0.02, -0.023, -0.02, -0.004, 0.013, -0.294]"/>
  </r>
  <r>
    <x v="2145"/>
    <x v="2770"/>
    <x v="209"/>
    <n v="0"/>
    <s v="LINESTRING (10.704085090586883 59.91132693218756, 10.704175872453153 59.91124806838192, 10.704562249464265 59.91109882367536, 10.709026432898298 59.91032839116266, 10.709042609050703 59.91032472831575, 10.70908843561997 59.91031123284076, 10.709223839126459 59.910281819653854)"/>
    <s v="[753735, 733053, 733061, 733069, 733077, 733085]"/>
    <s v="[720271, 720272, 720277, 720283, 720289, 720297]"/>
    <s v="0.003437293347173038"/>
    <s v="[734870, 720271, 720272, 720277, 720283, 720289]"/>
    <s v="[0.001, 0.006, 0.004, 0.008, 0.018, 0.016]"/>
    <s v="317.90729894988465"/>
    <s v="[-0.001, -0.006, 0.004, 0.008, 0.018, 0.016]"/>
  </r>
  <r>
    <x v="2146"/>
    <x v="2692"/>
    <x v="0"/>
    <n v="0"/>
    <s v="LINESTRING (10.690027765925025 59.91830106791823, 10.68973847276 59.918446258525435, 10.689671867534186 59.91847644889156)"/>
    <s v="[733117, 753751]"/>
    <s v="[720322, 734879]"/>
    <s v="#FIELD!"/>
    <s v="[720318, 720322]"/>
    <s v="[0.034, 0.118]"/>
    <s v="27.90872574392865"/>
    <s v="[-0.034, 0.118]"/>
  </r>
  <r>
    <x v="2146"/>
    <x v="2771"/>
    <x v="0"/>
    <n v="0"/>
    <s v="LINESTRING (10.690027765925025 59.91830106791823, 10.689989540149874 59.918360962229244, 10.690069676188347 59.918488575645895, 10.690203817528262 59.91854512162661)"/>
    <s v="[733125, 733133, 753767]"/>
    <s v="[720327, 720330, 734891]"/>
    <s v="#FIELD!"/>
    <s v="[720318, 720327, 720330]"/>
    <s v="[0.009, 0.027, 0.038]"/>
    <s v="32.002980646480275"/>
    <s v="[-0.009, 0.027, -0.038]"/>
  </r>
  <r>
    <x v="2146"/>
    <x v="2772"/>
    <x v="0"/>
    <n v="0"/>
    <s v="LINESTRING (10.691276036590745 59.91725299777358, 10.691275961521285 59.917308745993125, 10.690591610843502 59.917931072311205, 10.69031633506054 59.91812751008184, 10.690027765925025 59.91830106791823)"/>
    <s v="[753743, 733093, 733101, 733109]"/>
    <s v="[720302, 720303, 720310, 720318]"/>
    <s v="0.0058709364949394265"/>
    <s v="[734173, 720302, 720303, 720310]"/>
    <s v="[0.627, 0.021, 0.025, 0.03]"/>
    <s v="137.40182362510973"/>
    <s v="[0.627, -0.021, -0.025, -0.03]"/>
  </r>
  <r>
    <x v="2147"/>
    <x v="2694"/>
    <x v="0"/>
    <n v="1"/>
    <m/>
    <n v="735398"/>
    <n v="721706"/>
    <s v="#FIELD!"/>
    <n v="720333"/>
    <s v="0.004"/>
    <s v="15.061540425507888"/>
    <s v="#FIELD!"/>
  </r>
  <r>
    <x v="2147"/>
    <x v="2773"/>
    <x v="0"/>
    <n v="0"/>
    <s v="LINESTRING (10.687311307908118 59.917898270997554, 10.687427611689534 59.9179128720251, 10.687546354596575 59.91793158130484, 10.690424514353639 59.91765943694577, 10.691219891920053 59.917037149227916, 10.691306069724261 59.91699411079779)"/>
    <s v="[733141, 733149, 733157, 733165, 753775]"/>
    <s v="[720334, 720340, 720346, 720352, 734896]"/>
    <s v="#FIELD!"/>
    <s v="[720333, 720334, 720340, 720346, 720352]"/>
    <s v="[0.01, 0.01, 0.005, 0.024, 0.515]"/>
    <s v="282.61019894923606"/>
    <s v="[-0.01, -0.01, 0.005, 0.024, -0.515]"/>
  </r>
  <r>
    <x v="2147"/>
    <x v="2774"/>
    <x v="0"/>
    <n v="0"/>
    <s v="LINESTRING (10.686930567560601 59.91786511403428, 10.686959528829282 59.91784897807559, 10.687093901779681 59.9178210095434, 10.687206987648548 59.91783280771586, 10.687311307908118 59.917898270997554)"/>
    <s v="[735462, 735470, 735478, 735486]"/>
    <s v="[721749, 721755, 721761, 720333]"/>
    <s v="#FIELD!"/>
    <s v="[720427, 721749, 721755, 721761]"/>
    <s v="[0.016, 0.008, 0.011, 0.009]"/>
    <s v="26.36657233983056"/>
    <s v="[-0.016, -0.008, -0.011, -0.009]"/>
  </r>
  <r>
    <x v="2148"/>
    <x v="2774"/>
    <x v="0"/>
    <n v="1"/>
    <m/>
    <n v="735454"/>
    <n v="720427"/>
    <s v="0.004"/>
    <n v="720356"/>
    <s v="0.004"/>
    <s v="41.105455933769065"/>
    <s v="0.004"/>
  </r>
  <r>
    <x v="2148"/>
    <x v="2775"/>
    <x v="0"/>
    <n v="0"/>
    <s v="LINESTRING (10.686909716605706 59.91823220646944, 10.68681954276876 59.918209469154654, 10.685668123308474 59.918139363202506, 10.683399011091923 59.91861640078522, 10.683386092046943 59.91862250538094, 10.682834983569123 59.91893668922496, 10.68275286739652 59.91894838333306)"/>
    <s v="[733173, 733181, 733189, 733197, 733205, 753783]"/>
    <s v="[720357, 720362, 720367, 720374, 720380, 734214]"/>
    <s v="#FIELD!"/>
    <s v="[720356, 720357, 720362, 720367, 720374, 720380]"/>
    <s v="[0.027, 0.03, 0.0, 0.004, 0.018, 0.328]"/>
    <s v="264.3597935589102"/>
    <s v="[0.027, 0.03, 0.0, -0.004, -0.018, -0.328]"/>
  </r>
  <r>
    <x v="2148"/>
    <x v="2695"/>
    <x v="0"/>
    <n v="0"/>
    <s v="LINESTRING (10.687277939908265 59.91825146518897, 10.687127785560172 59.91829060655032, 10.687038501336193 59.91828858029984, 10.68696771139646 59.918268276637775, 10.686909716605706 59.91823220646944)"/>
    <s v="[735422, 735430, 735438, 735446]"/>
    <s v="[721726, 721733, 721739, 720356]"/>
    <s v="0.007363460711624772"/>
    <s v="[721719, 721726, 721733, 721739]"/>
    <s v="[0.003, 0.006, 0.007, 0.017]"/>
    <s v="24.19581836932828"/>
    <s v="[0.003, 0.006, 0.007, 0.017]"/>
  </r>
  <r>
    <x v="2149"/>
    <x v="2776"/>
    <x v="0"/>
    <n v="0"/>
    <m/>
    <n v="765230"/>
    <n v="744348"/>
    <s v="1.094"/>
    <n v="720386"/>
    <s v="1.094"/>
    <s v="4.709564735726399"/>
    <s v="1.094"/>
  </r>
  <r>
    <x v="2149"/>
    <x v="2774"/>
    <x v="0"/>
    <n v="0"/>
    <s v="LINESTRING (10.6810425847151 59.91970426484244, 10.68315973058778 59.91847314179814, 10.683172827949816 59.91846704307294, 10.6844021529879 59.91804121278887, 10.684886810499806 59.91795009623126, 10.685175119917954 59.91792829997886, 10.685906501842807 59.91789000284167, 10.686834305099374 59.917875447861725, 10.686930567560601 59.91786511403428)"/>
    <s v="[733213, 733221, 733229, 733237, 733245, 733253, 733261, 733269]"/>
    <s v="[720387, 720391, 720396, 720404, 720410, 720416, 720423, 720427]"/>
    <s v="#FIELD!"/>
    <s v="[720386, 720387, 720391, 720396, 720404, 720410, 720416, 720423]"/>
    <s v="[0.006, 0.007, 0.026, 0.02, 0.031, 0.033, 0.036, 0.036]"/>
    <s v="410.7212828043171"/>
    <s v="[0.006, 0.007, 0.026, -0.02, -0.031, -0.033, -0.036, -0.036]"/>
  </r>
  <r>
    <x v="2149"/>
    <x v="2777"/>
    <x v="0"/>
    <n v="0"/>
    <m/>
    <n v="753791"/>
    <n v="720386"/>
    <s v="#FIELD!"/>
    <n v="734905"/>
    <s v="0.856"/>
    <s v="4.6097722286464435"/>
    <s v="#FIELD!"/>
  </r>
  <r>
    <x v="2149"/>
    <x v="2778"/>
    <x v="0"/>
    <n v="0"/>
    <s v="LINESTRING (10.675599049411227 59.92061121029095, 10.675676547978645 59.92060270489481, 10.675784402352063 59.92058996323283, 10.67608942520462 59.92055491440516, 10.677434491735433 59.92042103718755, 10.678314301111632 59.92031051144875, 10.67831929004076 59.920309749052876, 10.678346500968274 59.92030558884555, 10.680984136881317 59.919723163830014, 10.6810425847151 59.91970426484244)"/>
    <s v="[1238917, 1238932, 1238939, 733437, 733445, 733453, 733461, 733469, 733477]"/>
    <s v="[1159930, 1159940, 720549, 720550, 720554, 720560, 720563, 720567, 720386]"/>
    <s v="#FIELD!"/>
    <s v="[1159929, 1159930, 1159940, 720549, 720550, 720554, 720560, 720563, 720567]"/>
    <s v="[0.055, 0.047, 0.032, 0.004, 0.002, 0.003, 0.001, 0.009, 0.011]"/>
    <s v="323.1217380424104"/>
    <s v="[-0.055, -0.047, -0.032, -0.004, -0.002, -0.003, -0.001, 0.009, 0.011]"/>
  </r>
  <r>
    <x v="2150"/>
    <x v="2779"/>
    <x v="0"/>
    <n v="0"/>
    <s v="LINESTRING (10.676337691270499 59.921132423965574, 10.676449200304914 59.921225108601256, 10.676485271012961 59.92125866499942, 10.676495090258708 59.92129629585353)"/>
    <s v="[733373, 733381, 733389]"/>
    <s v="[720498, 720506, 720511]"/>
    <s v="0.003203920797255231"/>
    <s v="[720468, 720498, 720506]"/>
    <s v="[0.003, 0.001, 0.006]"/>
    <s v="20.54649173481524"/>
    <s v="[0.003, 0.001, 0.006]"/>
  </r>
  <r>
    <x v="2150"/>
    <x v="2780"/>
    <x v="0"/>
    <n v="0"/>
    <s v="LINESTRING (10.675608692583362 59.920679453675405, 10.675664522046661 59.920709541038306, 10.67573736921918 59.92075129270393, 10.675749500931563 59.92075825549507, 10.676337691270499 59.921132423965574)"/>
    <s v="[733341, 733349, 733357, 733365]"/>
    <s v="[720477, 720480, 720486, 720468]"/>
    <s v="#FIELD!"/>
    <s v="[720476, 720477, 720480, 720486]"/>
    <s v="[0.021, 0.03, 0.016, 0.009]"/>
    <s v="65.21570262370334"/>
    <s v="[-0.021, -0.03, -0.016, -0.009]"/>
  </r>
  <r>
    <x v="2150"/>
    <x v="2781"/>
    <x v="0"/>
    <n v="0"/>
    <s v="LINESTRING (10.67902907790078 59.920326081401406, 10.678902309047391 59.92040554673645, 10.678482429483319 59.92049821151695, 10.678460287265448 59.92050264606653, 10.678171186667509 59.920560550525316, 10.676425538465976 59.92102004821679, 10.676369310964128 59.92108220738984, 10.676337691270499 59.921132423965574)"/>
    <s v="[753799, 733293, 733301, 733309, 733317, 733325, 733333]"/>
    <s v="[720440, 720441, 720446, 720450, 720458, 720463, 720468]"/>
    <s v="0.0006543724264808803"/>
    <s v="[734246, 720440, 720441, 720446, 720450, 720458, 720463]"/>
    <s v="[0.057, 0.003, 0.002, 0.003, 0.006, 0.009, 0.009]"/>
    <s v="180.13450838818736"/>
    <s v="[-0.057, -0.003, 0.002, 0.003, 0.006, 0.009, 0.009]"/>
  </r>
  <r>
    <x v="2151"/>
    <x v="2782"/>
    <x v="0"/>
    <n v="0"/>
    <m/>
    <n v="1239009"/>
    <n v="720544"/>
    <s v="0.052"/>
    <n v="720476"/>
    <s v="0.052"/>
    <s v="15.980454930229687"/>
    <s v="0.052"/>
  </r>
  <r>
    <x v="2151"/>
    <x v="2778"/>
    <x v="0"/>
    <n v="0"/>
    <m/>
    <n v="1238997"/>
    <n v="720476"/>
    <s v="0.015"/>
    <n v="1159929"/>
    <s v="0.015"/>
    <s v="7.624574808282671"/>
    <s v="0.015"/>
  </r>
  <r>
    <x v="2152"/>
    <x v="2783"/>
    <x v="0"/>
    <n v="0"/>
    <s v="LINESTRING (10.676495090258708 59.92129629585353, 10.67654681954779 59.921308929291435, 10.676625192303245 59.92134568242641, 10.676663310847355 59.92138414379176, 10.676675912251623 59.92142076896173, 10.676625622742549 59.92150251029786, 10.67647962034509 59.92155410466142, 10.676298922115869 59.921547980781625, 10.676202807868062 59.92151294669586, 10.676154885977052 59.92147302117902, 10.676140029313325 59.92144394719619)"/>
    <s v="[749068, 749076, 749084, 749092, 749100, 749108, 749020, 749028, 749036, 749044]"/>
    <s v="[522044, 731105, 522748, 731120, 731126, 731053, 731054, 731063, 731069, 720577]"/>
    <s v="0.004457013224770152"/>
    <s v="[720511, 522044, 731105, 522748, 731120, 731126, 731053, 731054, 731063, 731069]"/>
    <s v="[0.148, 0.011, 0.004, 0.002, 0.007, 0.014, 0.015, 0.012, 0.008, 0.174]"/>
    <s v="62.99130888961148"/>
    <s v="[0.148, -0.011, -0.004, -0.002, 0.007, 0.014, 0.015, 0.012, 0.008, -0.174]"/>
  </r>
  <r>
    <x v="2152"/>
    <x v="2784"/>
    <x v="0"/>
    <n v="0"/>
    <m/>
    <n v="749060"/>
    <n v="720511"/>
    <s v="#FIELD!"/>
    <n v="720519"/>
    <s v="0.009"/>
    <s v="15.652245942642459"/>
    <s v="#FIELD!"/>
  </r>
  <r>
    <x v="2153"/>
    <x v="2782"/>
    <x v="0"/>
    <n v="0"/>
    <s v="LINESTRING (10.676229729988972 59.92132175906925, 10.676237398496662 59.92124834741339, 10.675781413808243 59.92094230276636, 10.675767980064917 59.92093625936623, 10.675352611831336 59.92076333605572, 10.675367764302921 59.920717029795064)"/>
    <s v="[733397, 733405, 733413, 733421, 733429]"/>
    <s v="[720520, 720527, 720533, 720539, 720544]"/>
    <s v="0.016001379099359093"/>
    <s v="[720519, 720520, 720527, 720533, 720539]"/>
    <s v="[0.008, 0.012, 0.038, 0.036, 0.033]"/>
    <s v="87.8775057056244"/>
    <s v="[-0.008, 0.012, 0.038, 0.036, -0.033]"/>
  </r>
  <r>
    <x v="2153"/>
    <x v="2783"/>
    <x v="0"/>
    <n v="0"/>
    <m/>
    <n v="749052"/>
    <n v="720519"/>
    <s v="#FIELD!"/>
    <n v="720577"/>
    <s v="0.01"/>
    <s v="14.990838400922435"/>
    <s v="#FIELD!"/>
  </r>
  <r>
    <x v="2154"/>
    <x v="2785"/>
    <x v="0"/>
    <n v="0"/>
    <m/>
    <n v="1239010"/>
    <n v="1159969"/>
    <s v="#FIELD!"/>
    <n v="720544"/>
    <s v="0.012"/>
    <s v="13.400404040275488"/>
    <s v="#FIELD!"/>
  </r>
  <r>
    <x v="2155"/>
    <x v="2786"/>
    <x v="0"/>
    <n v="0"/>
    <s v="LINESTRING (10.676140029313325 59.92144394719619, 10.675959653339119 59.92143563034829, 10.673583647311007 59.920893565938044, 10.672116162196046 59.92056836762097, 10.672051333544172 59.920502391838156)"/>
    <s v="[733485, 733493, 733501, 765238]"/>
    <s v="[720578, 720582, 720588, 734310]"/>
    <s v="0.014202418563217157"/>
    <s v="[720577, 720578, 720582, 720588]"/>
    <s v="[0.011, 0.056, 0.035, 0.188]"/>
    <s v="254.17352839471926"/>
    <s v="[0.011, 0.056, -0.035, -0.188]"/>
  </r>
  <r>
    <x v="2156"/>
    <x v="2787"/>
    <x v="0"/>
    <n v="0"/>
    <s v="LINESTRING (10.652223400743358 59.91610458541056, 10.650924180792984 59.91591432327433, 10.65090918775624 59.91590943063116, 10.650580427179907 59.91571399126022, 10.650833782822893 59.91546103853541, 10.650971675992079 59.915428528806366)"/>
    <s v="[733549, 733557, 733565, 733573, 733581]"/>
    <s v="[720625, 720635, 720644, 720651, 720658]"/>
    <s v="0.004654392137466304"/>
    <s v="[720619, 720625, 720635, 720644, 720651]"/>
    <s v="[0.033, 0.052, 0.03, 0.063, 0.081]"/>
    <s v="147.96882959876834"/>
    <s v="[0.033, 0.052, 0.03, -0.063, -0.081]"/>
  </r>
  <r>
    <x v="2156"/>
    <x v="2788"/>
    <x v="0"/>
    <n v="0"/>
    <s v="LINESTRING (10.653538182110092 59.91628019628926, 10.653446723319782 59.91625379612864, 10.652301062075061 59.916126933780255, 10.652223400743358 59.91610458541056)"/>
    <s v="[733869, 733877, 733885]"/>
    <s v="[720849, 720856, 720619]"/>
    <s v="0.014927504616641912"/>
    <s v="[720769, 720849, 720856]"/>
    <s v="[0.002, 0.017, 0.003]"/>
    <s v="76.5631233418471"/>
    <s v="[0.002, 0.017, 0.003]"/>
  </r>
  <r>
    <x v="2156"/>
    <x v="2789"/>
    <x v="0"/>
    <n v="0"/>
    <s v="LINESTRING (10.653694390898654 59.916154067537285, 10.653458920107632 59.916160679306195, 10.652223400743358 59.91610458541056)"/>
    <s v="[765254, 733541]"/>
    <s v="[720618, 720619]"/>
    <s v="0.029292935616623182"/>
    <s v="[734391, 720618]"/>
    <s v="[0.073, 0.021]"/>
    <s v="82.75261488629675"/>
    <s v="[0.073, 0.021]"/>
  </r>
  <r>
    <x v="2157"/>
    <x v="2790"/>
    <x v="0"/>
    <n v="0"/>
    <s v="LINESTRING (10.650971675992079 59.915428528806366, 10.652725943527788 59.91545547787971, 10.652831372615696 59.91546913037614)"/>
    <s v="[733589, 733597]"/>
    <s v="[720660, 720666]"/>
    <s v="#FIELD!"/>
    <s v="[720658, 720660]"/>
    <s v="[0.034, 0.021]"/>
    <s v="106.35093580099459"/>
    <s v="[-0.034, -0.021]"/>
  </r>
  <r>
    <x v="2157"/>
    <x v="2791"/>
    <x v="0"/>
    <n v="0"/>
    <s v="LINESTRING (10.650971675992079 59.915428528806366, 10.651153243840488 59.91542897998172, 10.65205538549252 59.91559636691439, 10.65223297147507 59.91566248153094)"/>
    <s v="[733829, 733837, 733845]"/>
    <s v="[720826, 720829, 720740]"/>
    <s v="#FIELD!"/>
    <s v="[720658, 720826, 720829]"/>
    <s v="[0.073, 0.021, 0.006]"/>
    <s v="77.5709175392354"/>
    <s v="[-0.073, -0.021, -0.006]"/>
  </r>
  <r>
    <x v="2158"/>
    <x v="2792"/>
    <x v="0"/>
    <n v="0"/>
    <s v="LINESTRING (10.652831372615696 59.91546913037614, 10.653274035447428 59.91553500617443, 10.653706235825645 59.91559873649923, 10.654121514380272 59.91575080417006)"/>
    <s v="[733605, 733613, 733621]"/>
    <s v="[720672, 720679, 720685]"/>
    <s v="#FIELD!"/>
    <s v="[720666, 720672, 720679]"/>
    <s v="[0.018, 0.019, 0.008]"/>
    <s v="82.35392874065474"/>
    <s v="[-0.018, -0.019, -0.008]"/>
  </r>
  <r>
    <x v="2158"/>
    <x v="2793"/>
    <x v="0"/>
    <n v="0"/>
    <s v="LINESTRING (10.641677741330389 59.913371036856624, 10.641868736657456 59.91336207459173, 10.64355850135463 59.91369693325904, 10.6444099162624 59.9138796280017, 10.644585771116356 59.91391781999762, 10.652085135445164 59.915341968989416, 10.652786864276319 59.91543978426418, 10.652831372615696 59.91546913037614)"/>
    <s v="[765278, 733781, 733789, 733797, 733805, 733813, 733821]"/>
    <s v="[720796, 720797, 513968, 513978, 720811, 720814, 720666]"/>
    <s v="0.012948160696881135"/>
    <s v="[744392, 720796, 720797, 513968, 513978, 720811, 720814]"/>
    <s v="[0.152, 0.021, 0.019, 0.021, 0.01, 0.02, 0.009]"/>
    <s v="678.4856200596195"/>
    <s v="[0.152, 0.021, 0.019, 0.021, 0.01, -0.02, 0.009]"/>
  </r>
  <r>
    <x v="2159"/>
    <x v="2794"/>
    <x v="0"/>
    <n v="0"/>
    <m/>
    <n v="735494"/>
    <n v="720690"/>
    <s v="#FIELD!"/>
    <n v="720685"/>
    <s v="0.02"/>
    <s v="13.834047736234128"/>
    <s v="#FIELD!"/>
  </r>
  <r>
    <x v="2159"/>
    <x v="2795"/>
    <x v="0"/>
    <n v="0"/>
    <m/>
    <n v="735558"/>
    <n v="720685"/>
    <s v="#FIELD!"/>
    <n v="720719"/>
    <s v="0.056"/>
    <s v="8.996977103821662"/>
    <s v="#FIELD!"/>
  </r>
  <r>
    <x v="2160"/>
    <x v="2796"/>
    <x v="0"/>
    <s v="[0, 0, 0, 1, 1, 1, 1]"/>
    <s v="LINESTRING (10.654311084186535 59.91582103435773, 10.654871432437483 59.915861601317104, 10.655085310138869 59.91596709115109, 10.655268217340055 59.916143082707706, 10.655333016806166 59.916314977557164, 10.655336374133464 59.916361146726366, 10.655201543989842 59.91647449463395, 10.655070575576348 59.91648995427099)"/>
    <s v="[733629, 733637, 733645, 733653, 733661, 733725, 733733]"/>
    <s v="[720691, 720696, 720702, 720707, 720711, 720750, 720757]"/>
    <s v="0.0027024157802765787"/>
    <s v="[720690, 720691, 720696, 720702, 720707, 720711, 720750]"/>
    <s v="[0.044, 0.013, 0.005, 0.023, 0.03, 0.054, 0.059]"/>
    <s v="118.61275369683"/>
    <s v="[-0.044, -0.013, 0.005, 0.023, 0.03, 0.054, 0.059]"/>
  </r>
  <r>
    <x v="2160"/>
    <x v="2795"/>
    <x v="0"/>
    <n v="0"/>
    <s v="LINESTRING (10.654311084186535 59.91582103435773, 10.654290677708182 59.91590848478536, 10.65425933319108 59.91592903130501, 10.654192208302705 59.91594929565105, 10.653933461174365 59.91590118609306, 10.653915112202908 59.915877200313375, 10.653913163377394 59.91585105838838, 10.653972472408665 59.91578107864052)"/>
    <s v="[735502, 735510, 735518, 735526, 735534, 735542, 735550]"/>
    <s v="[721772, 721778, 721781, 721785, 721790, 721795, 720719]"/>
    <s v="0.01637595062442309"/>
    <s v="[720690, 721772, 721778, 721781, 721785, 721790, 721795]"/>
    <s v="[0.039, 0.055, 0.063, 0.028, 0.021, 0.033, 0.041]"/>
    <s v="48.22557596400034"/>
    <s v="[0.039, 0.055, 0.063, 0.028, -0.021, -0.033, -0.041]"/>
  </r>
  <r>
    <x v="2161"/>
    <x v="2791"/>
    <x v="0"/>
    <n v="0"/>
    <s v="LINESTRING (10.653972472408665 59.91578107864052, 10.653925827709298 59.91575436008382, 10.653661074412302 59.91567008254744, 10.653241706975551 59.91560407822706, 10.6521645545831 59.915601295089786, 10.65223297147507 59.91566248153094)"/>
    <s v="[733677, 733685, 733693, 733701, 733709]"/>
    <s v="[720720, 720723, 720726, 720734, 720740]"/>
    <s v="0.017267874638813234"/>
    <s v="[720719, 720720, 720723, 720726, 720734]"/>
    <s v="[0.013, 0.006, 0.016, 0.023, 0.01]"/>
    <s v="124.6633779904839"/>
    <s v="[-0.013, 0.006, 0.016, 0.023, 0.01]"/>
  </r>
  <r>
    <x v="2162"/>
    <x v="2797"/>
    <x v="0"/>
    <n v="0"/>
    <s v="LINESTRING (10.65223297147507 59.91566248153094, 10.654874260630613 59.9161975196707, 10.655008473237777 59.9162666945952)"/>
    <s v="[733717, 765262]"/>
    <s v="[720746, 744378]"/>
    <s v="#FIELD!"/>
    <s v="[720740, 720746]"/>
    <s v="[0.02, 0.236]"/>
    <s v="170.72795330772854"/>
    <s v="[-0.02, 0.236]"/>
  </r>
  <r>
    <x v="2163"/>
    <x v="2788"/>
    <x v="0"/>
    <s v="[1, 0]"/>
    <s v="LINESTRING (10.655070575576348 59.91648995427099, 10.65394906341637 59.91631534554547, 10.653538182110092 59.91628019628926)"/>
    <s v="[733741, 733749]"/>
    <s v="[720763, 720769]"/>
    <s v="0.03223650533522374"/>
    <s v="[720757, 720763]"/>
    <s v="[0.038, 0.016]"/>
    <s v="89.02997167375146"/>
    <s v="[0.038, 0.016]"/>
  </r>
  <r>
    <x v="2163"/>
    <x v="2798"/>
    <x v="0"/>
    <n v="1"/>
    <s v="LINESTRING (10.655152182557178 59.916523221855066, 10.655152182557178 59.916523221855066, 10.655070575576348 59.91648995427099)"/>
    <s v="[733853, 733861]"/>
    <s v="[720838, 720757]"/>
    <s v="0.004438655808235845"/>
    <s v="[720837, 720838]"/>
    <s v="[0.0, 0.02]"/>
    <s v="26.50431446708746"/>
    <s v="[0.0, 0.02]"/>
  </r>
  <r>
    <x v="2164"/>
    <x v="2799"/>
    <x v="0"/>
    <n v="0"/>
    <s v="LINESTRING (10.653538182110092 59.91628019628926, 10.653216742495427 59.91627317795779, 10.649193499901857 59.915435467201526, 10.647801689786302 59.915012458041375, 10.647705999077283 59.91493645609461)"/>
    <s v="[733757, 733765, 733773, 765270]"/>
    <s v="[720774, 720780, 720786, 734416]"/>
    <s v="#FIELD!"/>
    <s v="[720769, 720774, 720780, 720786]"/>
    <s v="[0.021, 0.036, 0.03, 0.681]"/>
    <s v="367.57019442317534"/>
    <s v="[0.021, 0.036, -0.03, -0.681]"/>
  </r>
  <r>
    <x v="2165"/>
    <x v="554"/>
    <x v="0"/>
    <n v="0"/>
    <s v="LINESTRING (10.642908615268524 59.913748105018875, 10.642571293654958 59.913753123559, 10.641220350352219 59.913526743989905)"/>
    <s v="[765302, 733893]"/>
    <s v="[720867, 701485]"/>
    <s v="#FIELD!"/>
    <s v="[734438, 720867]"/>
    <s v="[0.009, 0.021]"/>
    <s v="99.24648769648108"/>
    <s v="[-0.009, -0.021]"/>
  </r>
  <r>
    <x v="2166"/>
    <x v="2800"/>
    <x v="0"/>
    <n v="0"/>
    <s v="LINESTRING (10.73171861371765 59.91255281201009, 10.73179625983808 59.912582979790905, 10.731811808278936 59.91263723703819, 10.731774713098208 59.91267200133841, 10.731746249969962 59.91268419736805)"/>
    <s v="[733901, 733909, 733917, 733925]"/>
    <s v="[720874, 720875, 720881, 362919]"/>
    <s v="0.012320016531974948"/>
    <s v="[720873, 720874, 720875, 720881]"/>
    <s v="[0.011, 0.017, 0.01, 0.007]"/>
    <s v="18.092439242908966"/>
    <s v="[0.011, 0.017, 0.01, 0.007]"/>
  </r>
  <r>
    <x v="2166"/>
    <x v="2564"/>
    <x v="0"/>
    <n v="0"/>
    <s v="LINESTRING (10.731543544064861 59.912589737751674, 10.731609946333647 59.91255626563044, 10.73171861371765 59.91255281201009)"/>
    <s v="[733957, 733965]"/>
    <s v="[720908, 720873]"/>
    <s v="#FIELD!"/>
    <s v="[720901, 720908]"/>
    <s v="[0.008, 0.0]"/>
    <s v="11.359015321446066"/>
    <s v="[-0.008, 0.0]"/>
  </r>
  <r>
    <x v="2166"/>
    <x v="2801"/>
    <x v="0"/>
    <s v="[0, 0, 0, 0, 0, 0, 0, 1, 0, 0, 1, 1, 0, 0, 0, 0, 0]"/>
    <s v="LINESTRING (10.725836625954543 59.91129772965437, 10.725757982607552 59.911333768711344, 10.724758122346847 59.9113716553671, 10.724130851239819 59.911510874714985, 10.726953278216957 59.911688643951344, 10.727178751434108 59.911798192154365, 10.727590439154731 59.91199082680694, 10.728549188727593 59.912440577729775, 10.728758198855534 59.912541774815736, 10.72881330443982 59.912598197410716, 10.72888893541813 59.91258612091107, 10.729287098134588 59.912502855381504, 10.730122748720337 59.9123061791835, 10.730169833516918 59.912296215125714, 10.731016974200275 59.91210172256508, 10.731260815837466 59.91213497918638, 10.731641305446947 59.91250832219082, 10.73171861371765 59.91255281201009)"/>
    <s v="[816435, 732781, 732789, 732797, 732805, 732813, 732821, 732829, 664225, 664315, 753623, 753631, 753639, 753647, 377250, 753655, 753663]"/>
    <s v="[720099, 720100, 720107, 720114, 720117, 720121, 720124, 655057, 655058, 655128, 734794, 734802, 734808, 366276, 366277, 734818, 720873]"/>
    <s v="#FIELD!"/>
    <s v="[794436, 720099, 720100, 720107, 720114, 720117, 720121, 720124, 655057, 655058, 655128, 734794, 734802, 734808, 366276, 366277, 734818]"/>
    <s v="[0.034, 0.006, 0.01, 0.0, 0.021, 0.023, 0.021, 0.234, 0.016, 0.034, 0.244, 0.018, 0.04, 0.051, 0.017, 0.071, 0.004]"/>
    <s v="1019.1409753499541"/>
    <s v="[0.034, 0.006, 0.01, -0.0, 0.021, 0.023, 0.021, 0.234, 0.016, -0.034, -0.244, -0.018, -0.04, 0.051, -0.017, -0.071, -0.004]"/>
  </r>
  <r>
    <x v="2167"/>
    <x v="2802"/>
    <x v="0"/>
    <n v="0"/>
    <s v="LINESTRING (10.731746249969962 59.91268419736805, 10.731624280722274 59.91268888313088, 10.731526793878954 59.91261639476462)"/>
    <s v="[733933, 733941]"/>
    <s v="[720891, 362911]"/>
    <s v="#FIELD!"/>
    <s v="[362919, 720891]"/>
    <s v="[0.001, 0.013]"/>
    <s v="17.02728381634088"/>
    <s v="[-0.001, -0.013]"/>
  </r>
  <r>
    <x v="2167"/>
    <x v="2803"/>
    <x v="0"/>
    <n v="0"/>
    <s v="LINESTRING (10.731746249969962 59.91268419736805, 10.731752452729793 59.912744014213885, 10.73130208160868 59.91335353917618, 10.730846832868872 59.91394335651893, 10.730777893903984 59.91399791278125)"/>
    <s v="[753671, 753679, 753687, 761884]"/>
    <s v="[734826, 734832, 734837, 741134]"/>
    <s v="0.017769259433471636"/>
    <s v="[362919, 734826, 734832, 734837]"/>
    <s v="[0.019, 0.012, 0.016, 0.092]"/>
    <s v="156.82510860746225"/>
    <s v="[0.019, 0.012, 0.016, 0.092]"/>
  </r>
  <r>
    <x v="2168"/>
    <x v="2564"/>
    <x v="0"/>
    <n v="0"/>
    <m/>
    <n v="733949"/>
    <n v="720901"/>
    <s v="#FIELD!"/>
    <n v="362911"/>
    <s v="0.016"/>
    <s v="3.1151502375106737"/>
    <s v="#FIELD!"/>
  </r>
  <r>
    <x v="2168"/>
    <x v="2804"/>
    <x v="0"/>
    <n v="0"/>
    <s v="LINESTRING (10.731526793878954 59.91261639476462, 10.731470690679709 59.9126760163468, 10.731040116503008 59.91324073790362, 10.730595211182367 59.91381819347483, 10.730563541234908 59.91389678872975)"/>
    <s v="[781690, 781698, 781706, 761892]"/>
    <s v="[761794, 761800, 741161, 741143]"/>
    <s v="0.02134326270508809"/>
    <s v="[362911, 761794, 761800, 741161]"/>
    <s v="[0.013, 0.013, 0.029, 0.032]"/>
    <s v="152.67795069954528"/>
    <s v="[0.013, 0.013, 0.029, 0.032]"/>
  </r>
  <r>
    <x v="2169"/>
    <x v="2695"/>
    <x v="0"/>
    <n v="1"/>
    <s v="LINESTRING (10.687360301098328 59.918031160394065, 10.687331251840245 59.91818577139594, 10.687277939908265 59.91825146518897)"/>
    <s v="[735406, 735414]"/>
    <s v="[721714, 721719]"/>
    <s v="#FIELD!"/>
    <s v="[721706, 721714]"/>
    <s v="[0.002, 0.0]"/>
    <s v="25.21291807552099"/>
    <s v="[-0.002, 0.0]"/>
  </r>
  <r>
    <x v="2170"/>
    <x v="2805"/>
    <x v="0"/>
    <n v="0"/>
    <s v="LINESTRING (10.798662543704316 59.91260309040873, 10.798493394367208 59.9125248607733, 10.79634250154408 59.91179351803566)"/>
    <s v="[738289, 738297]"/>
    <s v="[723515, 723521]"/>
    <s v="#FIELD!"/>
    <s v="[723477, 723515]"/>
    <s v="[0.033, 0.038]"/>
    <s v="158.38179704179583"/>
    <s v="[-0.033, -0.038]"/>
  </r>
  <r>
    <x v="2170"/>
    <x v="2806"/>
    <x v="0"/>
    <n v="0"/>
    <s v="LINESTRING (10.798662543704316 59.91260309040873, 10.797962652716175 59.912646341482066, 10.797895105207228 59.912710766598146)"/>
    <s v="[1428895, 738233]"/>
    <s v="[723482, 723483]"/>
    <s v="#FIELD!"/>
    <s v="[723477, 723482]"/>
    <s v="[0.017, 0.012]"/>
    <s v="52.62379363305001"/>
    <s v="[-0.017, 0.012]"/>
  </r>
  <r>
    <x v="2170"/>
    <x v="1607"/>
    <x v="0"/>
    <n v="0"/>
    <s v="LINESTRING (10.803158430663608 59.9138075000053, 10.802969024217207 59.91376189878447, 10.802051046586916 59.91344580015959, 10.801079381525817 59.91322868590647, 10.800874640976554 59.91319691569566, 10.800739212025917 59.91317590720966, 10.799182823912588 59.91277377291508, 10.798662543704316 59.91260309040873)"/>
    <s v="[770296, 738185, 738193, 738201, 738209, 738217, 738225]"/>
    <s v="[723452, 723453, 723457, 723460, 723467, 723472, 723477]"/>
    <s v="#FIELD!"/>
    <s v="[749584, 723452, 723453, 723457, 723460, 723467, 723472]"/>
    <s v="[0.066, 0.015, 0.014, 0.015, 0.015, 0.022, 0.03]"/>
    <s v="286.48363007078177"/>
    <s v="[-0.066, -0.015, -0.014, -0.015, -0.015, -0.022, -0.03]"/>
  </r>
  <r>
    <x v="2171"/>
    <x v="2807"/>
    <x v="0"/>
    <n v="0"/>
    <s v="LINESTRING (10.797895105207228 59.912710766598146, 10.797867651057132 59.91279156825595, 10.797833157472267 59.91320574507623, 10.797867036001554 59.91328974555654, 10.797921826461979 59.91335410198159, 10.798982804664776 59.91370846718677, 10.799607198929953 59.913839887041526)"/>
    <s v="[738241, 738249, 738257, 738265, 738273, 738281]"/>
    <s v="[723488, 723491, 723496, 723501, 711456, 723509]"/>
    <s v="0.024097910952958983"/>
    <s v="[723483, 723488, 723491, 723496, 723501, 711456]"/>
    <s v="[0.021, 0.026, 0.028, 0.028, 0.025, 0.019]"/>
    <s v="183.58389011632877"/>
    <s v="[0.021, 0.026, 0.028, 0.028, 0.025, 0.019]"/>
  </r>
  <r>
    <x v="2171"/>
    <x v="2805"/>
    <x v="210"/>
    <n v="0"/>
    <s v="LINESTRING (10.797895105207228 59.912710766598146, 10.797862282355393 59.9126305941946, 10.797708407209754 59.91229030145587, 10.797209116545437 59.91210442210177, 10.796429983254512 59.911852058786494, 10.79634250154408 59.91179351803566)"/>
    <s v="[738329, 1428903, 738337, 738345, 770354]"/>
    <s v="[723541, 723547, 723548, 723552, 723521]"/>
    <s v="#FIELD!"/>
    <s v="[723483, 723541, 723547, 723548, 723552]"/>
    <s v="[0.031, 0.03, 0.038, 0.041, 0.045]"/>
    <s v="143.67428677936212"/>
    <s v="[-0.031, -0.03, -0.038, -0.041, -0.045]"/>
  </r>
  <r>
    <x v="2172"/>
    <x v="2808"/>
    <x v="0"/>
    <n v="0"/>
    <s v="LINESTRING (10.799607198929953 59.913839887041526, 10.800104999145354 59.91396553834022, 10.800406508203007 59.91401824498577, 10.800549972591702 59.914016528057395, 10.800750874786399 59.9139995596734)"/>
    <s v="[763543, 763551, 763559, 763567]"/>
    <s v="[742751, 742757, 737484, 735467]"/>
    <s v="0.032364800346568814"/>
    <s v="[723509, 742751, 742757, 737484]"/>
    <s v="[0.052, 0.028, 0.02, 0.006]"/>
    <s v="68.60023927990653"/>
    <s v="[0.052, 0.028, 0.02, -0.006]"/>
  </r>
  <r>
    <x v="2172"/>
    <x v="2808"/>
    <x v="0"/>
    <n v="0"/>
    <s v="LINESTRING (10.799607198929953 59.913839887041526, 10.800137230356297 59.9139034110461, 10.800434426538287 59.91393911214369, 10.800560904185701 59.913958432645515, 10.800750874786399 59.9139995596734)"/>
    <s v="[770303, 770311, 770319, 770328]"/>
    <s v="[749698, 749708, 737490, 735467]"/>
    <s v="0.03342514966240246"/>
    <s v="[723509, 749698, 749708, 737490]"/>
    <s v="[0.046, 0.046, 0.025, 0.013]"/>
    <s v="66.67139152350158"/>
    <s v="[0.046, 0.046, 0.025, -0.013]"/>
  </r>
  <r>
    <x v="2173"/>
    <x v="1995"/>
    <x v="0"/>
    <n v="0"/>
    <m/>
    <n v="738305"/>
    <n v="723525"/>
    <s v="#FIELD!"/>
    <n v="723521"/>
    <s v="0.045"/>
    <s v="79.97824704271852"/>
    <s v="#FIELD!"/>
  </r>
  <r>
    <x v="2174"/>
    <x v="2809"/>
    <x v="0"/>
    <n v="0"/>
    <m/>
    <n v="770336"/>
    <n v="749672"/>
    <s v="#FIELD!"/>
    <n v="723525"/>
    <s v="0.074"/>
    <s v="8.127115109484869"/>
    <s v="#FIELD!"/>
  </r>
  <r>
    <x v="2174"/>
    <x v="2810"/>
    <x v="0"/>
    <n v="0"/>
    <m/>
    <n v="770415"/>
    <n v="723525"/>
    <s v="#FIELD!"/>
    <n v="749662"/>
    <s v="0.016"/>
    <s v="8.94538987412225"/>
    <s v="#FIELD!"/>
  </r>
  <r>
    <x v="2175"/>
    <x v="2479"/>
    <x v="0"/>
    <n v="0"/>
    <s v="LINESTRING (10.80216717063569 59.912343561179284, 10.801521753575667 59.91229455411635, 10.800071163911715 59.91244810187164, 10.799973781231596 59.912489115427746)"/>
    <s v="[1380473, 1380481, 1380489]"/>
    <s v="[1270183, 1270189, 1270193]"/>
    <s v="#FIELD!"/>
    <s v="[723528, 1270183, 1270189]"/>
    <s v="[0.022, 0.017, 0.005]"/>
    <s v="127.86275829148758"/>
    <s v="[-0.022, -0.017, -0.005]"/>
  </r>
  <r>
    <x v="2175"/>
    <x v="2811"/>
    <x v="0"/>
    <n v="0"/>
    <s v="LINESTRING (10.802089031506453 59.91273489255603, 10.802089031506453 59.91273489255603, 10.802301058895871 59.912389191519146, 10.80216717063569 59.912343561179284)"/>
    <s v="[770399, 738385, 738393]"/>
    <s v="[723585, 723586, 723528]"/>
    <s v="#FIELD!"/>
    <s v="[749817, 723585, 723586]"/>
    <s v="[0.182, 0.0, 0.02]"/>
    <s v="67.70732921235403"/>
    <s v="[-0.182, 0.0, -0.02]"/>
  </r>
  <r>
    <x v="2175"/>
    <x v="2812"/>
    <x v="0"/>
    <n v="0"/>
    <s v="LINESTRING (10.80306618273991 59.912540368495144, 10.80306618273991 59.912540368495144, 10.80308183617057 59.912572337491476, 10.803121323650094 59.91267070361706, 10.802955956336648 59.912590802260965, 10.80290919397197 59.91256413528347, 10.80216717063569 59.912343561179284)"/>
    <s v="[1380441, 770383, 770391, 770344, 770347, 738313]"/>
    <s v="[749799, 749800, 746043, 749751, 723527, 723528]"/>
    <s v="#FIELD!"/>
    <s v="[1270157, 749799, 749800, 746043, 749751, 723527]"/>
    <s v="[0.02, 0.114, 0.006, 0.016, 0.021, 0.016]"/>
    <s v="117.58123961207974"/>
    <s v="[-0.02, 0.114, -0.006, 0.016, 0.021, -0.016]"/>
  </r>
  <r>
    <x v="2176"/>
    <x v="2813"/>
    <x v="0"/>
    <n v="0"/>
    <m/>
    <n v="770466"/>
    <n v="742716"/>
    <s v="0.063"/>
    <n v="723576"/>
    <s v="0.063"/>
    <s v="8.246211251531788"/>
    <s v="0.063"/>
  </r>
  <r>
    <x v="2176"/>
    <x v="2483"/>
    <x v="211"/>
    <n v="0"/>
    <s v="LINESTRING (10.796233007450752 59.911555344614506, 10.797600581235974 59.91199643582634, 10.798476868041371 59.91225369142196)"/>
    <s v="[738377, 1380353]"/>
    <s v="[723577, 1270102]"/>
    <s v="0.039691583743134196"/>
    <s v="[723576, 723577]"/>
    <s v="[0.042, 0.036]"/>
    <s v="147.8404912463483"/>
    <s v="[0.042, 0.036]"/>
  </r>
  <r>
    <x v="2176"/>
    <x v="2814"/>
    <x v="0"/>
    <n v="0"/>
    <m/>
    <n v="770362"/>
    <n v="723576"/>
    <s v="0.055"/>
    <n v="742721"/>
    <s v="0.055"/>
    <s v="8.360023923399188"/>
    <s v="0.055"/>
  </r>
  <r>
    <x v="2177"/>
    <x v="1998"/>
    <x v="0"/>
    <n v="0"/>
    <m/>
    <n v="738449"/>
    <n v="723627"/>
    <s v="0.03"/>
    <n v="723626"/>
    <s v="0.03"/>
    <s v="59.43178189617022"/>
    <s v="0.03"/>
  </r>
  <r>
    <x v="2178"/>
    <x v="2005"/>
    <x v="0"/>
    <n v="0"/>
    <m/>
    <n v="753336"/>
    <n v="734607"/>
    <s v="#FIELD!"/>
    <n v="723694"/>
    <s v="0.472"/>
    <s v="3.0223831655694595"/>
    <s v="#FIELD!"/>
  </r>
  <r>
    <x v="2178"/>
    <x v="1984"/>
    <x v="0"/>
    <s v="[1, 1, 0, 0]"/>
    <s v="LINESTRING (10.783695370460451 59.903952308154075, 10.783588465652349 59.90391722394684, 10.782641369241672 59.90314327772461, 10.781712626568403 59.903169258652326, 10.781653528058342 59.90323147388203)"/>
    <s v="[1364336, 738545, 738553, 738561]"/>
    <s v="[723685, 723686, 723690, 723694]"/>
    <s v="#FIELD!"/>
    <s v="[1259654, 723685, 723686, 723690]"/>
    <s v="[0.036, 0.024, 0.025, 0.013]"/>
    <s v="173.13860502346802"/>
    <s v="[-0.036, -0.024, 0.025, 0.013]"/>
  </r>
  <r>
    <x v="2179"/>
    <x v="2815"/>
    <x v="0"/>
    <n v="0"/>
    <m/>
    <n v="741409"/>
    <n v="725718"/>
    <s v="#FIELD!"/>
    <n v="725657"/>
    <s v="0.239"/>
    <s v="5.992262093720647"/>
    <s v="#FIELD!"/>
  </r>
  <r>
    <x v="2179"/>
    <x v="2816"/>
    <x v="0"/>
    <n v="0"/>
    <s v="LINESTRING (10.756141076600725 59.89807183736025, 10.759026925563507 59.900476977735714, 10.759094402141416 59.90049998606741, 10.760513565219735 59.90078992849615, 10.760630381411442 59.90077964696536)"/>
    <s v="[745071, 745079, 745087, 745095]"/>
    <s v="[728323, 728327, 728332, 728196]"/>
    <s v="0.05055317252579598"/>
    <s v="[725657, 728323, 728327, 728332]"/>
    <s v="[0.008, 0.161, 0.185, 0.248]"/>
    <s v="414.6670693250772"/>
    <s v="[0.008, 0.161, 0.185, 0.248]"/>
  </r>
  <r>
    <x v="2179"/>
    <x v="2817"/>
    <x v="0"/>
    <n v="0"/>
    <m/>
    <n v="741417"/>
    <n v="725657"/>
    <s v="0.167"/>
    <n v="725725"/>
    <s v="0.167"/>
    <s v="8.94558226188869"/>
    <s v="0.167"/>
  </r>
  <r>
    <x v="2180"/>
    <x v="2817"/>
    <x v="0"/>
    <n v="0"/>
    <s v="LINESTRING (10.759372487492094 59.89305390070099, 10.75926667321407 59.893168568681126, 10.758601191542828 59.89424238324036, 10.758334539858351 59.89452579157189, 10.757983872412561 59.8948583007833, 10.756751253954198 59.89599798407986, 10.756126163148384 59.89691719367821, 10.75595724244775 59.89757986302478, 10.755968560364026 59.89778233401705, 10.756028837635235 59.898014707886894)"/>
    <s v="[752666, 741369, 741377, 741385, 741393, 1928817, 1928825, 1928833, 1928841]"/>
    <s v="[725690, 725691, 725697, 725702, 725706, 1692503, 1692507, 1692513, 725725]"/>
    <s v="#FIELD!"/>
    <s v="[725713, 725690, 725691, 725697, 725702, 725706, 1692503, 1692507, 1692513]"/>
    <s v="[0.07, 0.061, 0.119, 0.046, 0.039, 0.018, 0.014, 0.029, 0.0]"/>
    <s v="592.69413236862"/>
    <s v="[-0.07, -0.061, -0.119, 0.046, 0.039, -0.018, -0.014, -0.029, 0.0]"/>
  </r>
  <r>
    <x v="2180"/>
    <x v="2747"/>
    <x v="0"/>
    <n v="0"/>
    <s v="LINESTRING (10.779184477562884 59.87345654582834, 10.778936364158627 59.87380787682246, 10.778583261717765 59.874294703402796, 10.778486749234116 59.8744203828266, 10.777309678735701 59.875754872340565, 10.775824741216114 59.87795494898612, 10.77582126308416 59.87796373894548, 10.774993754578913 59.87941561934143, 10.774873722100862 59.87955047689628, 10.77442448322853 59.880005280726415, 10.774415954579831 59.88001327001261, 10.774272185110663 59.88014949557576, 10.77369147532835 59.8806226784849, 10.773177813842816 59.88104676160261, 10.77302484913436 59.881170677759066, 10.772873997910134 59.881293438822134, 10.77186386371824 59.88210870153135, 10.771764027892429 59.88219374503035, 10.771754939716438 59.88220148240174, 10.77105885444922 59.88275539567681, 10.77052458537322 59.883158126600705, 10.770217089523756 59.88336438877848, 10.77007375316092 59.88347826219784, 10.769215370057058 59.88429392691683, 10.76874342971288 59.884881185833734, 10.768338117419388 59.88547222312353, 10.768075769936098 59.88590064148143, 10.761256243784109 59.891266548118345, 10.761165461131167 59.89133699516808, 10.759372487492094 59.89305390070099)"/>
    <s v="[752434, 752442, 752450, 752458, 752466, 752474, 752482, 752490, 752498, 752506, 752514, 752522, 752530, 752538, 752546, 752554, 752562, 752570, 752578, 752586, 752594, 752602, 752610, 752618, 752626, 752634, 752642, 752650, 752658]"/>
    <s v="[733852, 733858, 733864, 733869, 733875, 733880, 733885, 733890, 733894, 733898, 733905, 733912, 733922, 733929, 733936, 733942, 733948, 733954, 733961, 733966, 733974, 733983, 733989, 733992, 733995, 734001, 734008, 734015, 725713]"/>
    <s v="0.0009010071893368615"/>
    <s v="[733844, 733852, 733858, 733864, 733869, 733875, 733880, 733885, 733890, 733894, 733898, 733905, 733912, 733922, 733929, 733936, 733942, 733948, 733954, 733961, 733966, 733974, 733983, 733989, 733992, 733995, 734001, 734008, 734015]"/>
    <s v="[0.069, 0.033, 0.079, 0.029, 0.008, 0.098, 0.016, 0.132, 0.154, 0.0, 0.067, 0.09, 0.097, 0.137, 0.098, 0.037, 0.048, 0.047, 0.003, 0.004, 0.001, 0.011, 0.015, 0.009, 0.022, 0.063, 0.001, 0.011, 0.009]"/>
    <s v="2469.775455781629"/>
    <s v="[-0.069, 0.033, 0.079, -0.029, 0.008, 0.098, 0.016, -0.132, 0.154, 0.0, 0.067, -0.09, -0.097, 0.137, 0.098, -0.037, -0.048, -0.047, 0.003, 0.004, 0.001, -0.011, 0.015, 0.009, 0.022, 0.063, 0.001, -0.011, -0.009]"/>
  </r>
  <r>
    <x v="2181"/>
    <x v="2818"/>
    <x v="0"/>
    <n v="0"/>
    <s v="LINESTRING (10.756055893300092 59.89810439130874, 10.756421255147806 59.89864804131155, 10.756610921813264 59.89885157005729, 10.757659851867778 59.89975916610161, 10.757697445853102 59.899785734608024, 10.759003151576643 59.90084687466829)"/>
    <s v="[1928857, 1928865, 1928873, 1928881, 1928889]"/>
    <s v="[1692526, 1692531, 1692537, 1692544, 1692549]"/>
    <s v="0.00427029240979008"/>
    <s v="[725718, 1692526, 1692531, 1692537, 1692544]"/>
    <s v="[0.028, 0.026, 0.019, 0.072, 0.011]"/>
    <s v="349.29289445528536"/>
    <s v="[0.028, 0.026, -0.019, -0.072, 0.011]"/>
  </r>
  <r>
    <x v="2181"/>
    <x v="2817"/>
    <x v="0"/>
    <n v="0"/>
    <m/>
    <n v="1928849"/>
    <n v="725718"/>
    <s v="0.006"/>
    <n v="725725"/>
    <s v="0.006"/>
    <s v="10.10872064143054"/>
    <s v="0.006"/>
  </r>
  <r>
    <x v="2182"/>
    <x v="2819"/>
    <x v="0"/>
    <n v="0"/>
    <s v="LINESTRING (10.755844593368487 59.897728755448135, 10.755923751693079 59.898026676284516, 10.755957135406632 59.89812132043366, 10.75633318466823 59.8986677431665, 10.756524312939995 59.89887285675943, 10.75756316027487 59.89979309444522)"/>
    <s v="[1151017, 1151027, 1151029, 1151030, 1151045]"/>
    <s v="[1086166, 1086177, 1086180, 1086181, 1086193]"/>
    <s v="0.03866631759979519"/>
    <s v="[725731, 1086166, 1086177, 1086180, 1086181]"/>
    <s v="[0.007, 0.034, 0.047, 0.055, 0.044]"/>
    <s v="252.0163274048711"/>
    <s v="[-0.007, 0.034, 0.047, 0.055, 0.044]"/>
  </r>
  <r>
    <x v="2182"/>
    <x v="691"/>
    <x v="0"/>
    <n v="0"/>
    <m/>
    <n v="1151016"/>
    <n v="725731"/>
    <s v="#FIELD!"/>
    <n v="725739"/>
    <s v="0.019"/>
    <s v="15.418750208785495"/>
    <s v="#FIELD!"/>
  </r>
  <r>
    <x v="2183"/>
    <x v="844"/>
    <x v="0"/>
    <n v="0"/>
    <m/>
    <n v="743346"/>
    <n v="726939"/>
    <s v="#FIELD!"/>
    <n v="726944"/>
    <s v="0.006"/>
    <s v="7.958317661365957"/>
    <s v="#FIELD!"/>
  </r>
  <r>
    <x v="2183"/>
    <x v="2820"/>
    <x v="0"/>
    <n v="0"/>
    <s v="LINESTRING (7.683586388192966 62.55846982542077, 7.683292505044058 62.55854588877032, 7.683076351244681 62.55859902045169, 7.683024423793173 62.558609095590995, 7.682830351617759 62.558579526555555)"/>
    <s v="[1296803, 1296811, 743362, 743338]"/>
    <s v="[1208947, 726975, 726961, 726939]"/>
    <s v="#FIELD!"/>
    <s v="[1208946, 1208947, 726975, 726961]"/>
    <s v="[0.003, 0.199, 0.01, 0.013]"/>
    <s v="43.395460687890385"/>
    <s v="[0.003, -0.199, -0.01, -0.013]"/>
  </r>
  <r>
    <x v="2184"/>
    <x v="2820"/>
    <x v="0"/>
    <n v="0"/>
    <s v="LINESTRING (7.683586388192966 62.55846982542077, 7.683365401186228 62.558461811466195, 7.683252773378141 62.55847206735984, 7.683005462412448 62.558524759804115, 7.682956346649905 62.558538247427975)"/>
    <s v="[1333245, 1333253, 1333261, 743370]"/>
    <s v="[1238140, 1238147, 726979, 726944]"/>
    <s v="#FIELD!"/>
    <s v="[1208946, 1238140, 1238147, 726979]"/>
    <s v="[0.011, 0.005, 0.17, 0.005]"/>
    <s v="34.45499910725107"/>
    <s v="[-0.011, -0.005, -0.17, -0.005]"/>
  </r>
  <r>
    <x v="2185"/>
    <x v="694"/>
    <x v="0"/>
    <n v="0"/>
    <s v="LINESTRING (10.761090054603217 59.90078200165066, 10.76112248831155 59.90084481903238, 10.761103706907415 59.90090221015462, 10.761024244132528 59.900952611233414, 10.760927989851172 59.90097526262814, 10.76077222210399 59.90097083811253, 10.760668227383398 59.90093718602594, 10.760610672629385 59.9008902836788)"/>
    <s v="[744872, 744873, 744890, 744898, 744906, 744914, 744922]"/>
    <s v="[728147, 728148, 728165, 728175, 728181, 638963, 728191]"/>
    <s v="#FIELD!"/>
    <s v="[728146, 728147, 728148, 728165, 728175, 728181, 638963]"/>
    <s v="[0.095, 0.192, 0.249, 0.257, 0.192, 0.102, 0.003]"/>
    <s v="48.62927333412022"/>
    <s v="[-0.095, -0.192, -0.249, -0.257, -0.192, -0.102, 0.003]"/>
  </r>
  <r>
    <x v="2185"/>
    <x v="2821"/>
    <x v="0"/>
    <n v="0"/>
    <m/>
    <n v="744943"/>
    <n v="728146"/>
    <s v="0.148"/>
    <n v="728206"/>
    <s v="0.148"/>
    <s v="20.06961344310541"/>
    <s v="0.148"/>
  </r>
  <r>
    <x v="2185"/>
    <x v="1915"/>
    <x v="0"/>
    <n v="0"/>
    <s v="LINESTRING (10.769413994537501 59.89934236867063, 10.768840620877507 59.89928927074574, 10.762274635643893 59.899941734573844, 10.761532563824977 59.90035395635365, 10.761219126962057 59.90063321146354, 10.761124016790294 59.90074590621142, 10.761090054603217 59.90078200165066)"/>
    <s v="[1150887, 1150896, 1150906, 1150915, 1150923, 1150934]"/>
    <s v="[1086051, 1086056, 1086066, 1086075, 1086083, 728146]"/>
    <s v="#FIELD!"/>
    <s v="[734538, 1086051, 1086056, 1086066, 1086075, 1086083]"/>
    <s v="[1.014, 0.114, 0.16, 0.147, 0.147, 1.895]"/>
    <s v="534.7972174975928"/>
    <s v="[-1.014, -0.114, -0.16, -0.147, -0.147, 1.895]"/>
  </r>
  <r>
    <x v="2186"/>
    <x v="2816"/>
    <x v="0"/>
    <n v="0"/>
    <m/>
    <n v="744930"/>
    <n v="728196"/>
    <s v="0.145"/>
    <n v="728191"/>
    <s v="0.145"/>
    <s v="12.660975041792073"/>
    <s v="0.145"/>
  </r>
  <r>
    <x v="2187"/>
    <x v="2821"/>
    <x v="0"/>
    <n v="0"/>
    <s v="LINESTRING (10.760630381411442 59.90077964696536, 10.760722778881574 59.90073322351153, 10.760776118086305 59.90072018655651)"/>
    <s v="[744938, 744942]"/>
    <s v="[728203, 728206]"/>
    <s v="0.2635562225388772"/>
    <s v="[728196, 728203]"/>
    <s v="[0.257, 0.278]"/>
    <s v="10.636704523601137"/>
    <s v="[0.257, 0.278]"/>
  </r>
  <r>
    <x v="2188"/>
    <x v="1919"/>
    <x v="0"/>
    <n v="0"/>
    <s v="LINESTRING (10.760776118086305 59.90072018655651, 10.760810860810272 59.9006788202565, 10.760870576035865 59.90060139267158, 10.761492966327705 59.89962027552017, 10.765078697459366 59.89885681980128, 10.765437080839092 59.898850289178)"/>
    <s v="[1928705, 1928713, 1928721, 1928729, 1928737]"/>
    <s v="[1692421, 1692427, 1692433, 1692439, 734567]"/>
    <s v="0.22025355905827587"/>
    <s v="[728206, 1692421, 1692427, 1692433, 1692439]"/>
    <s v="[0.201, 0.222, 0.173, 0.22, 0.502]"/>
    <s v="373.29481376786924"/>
    <s v="[0.201, 0.222, 0.173, 0.22, 0.502]"/>
  </r>
  <r>
    <x v="2189"/>
    <x v="2822"/>
    <x v="0"/>
    <n v="0"/>
    <s v="LINESTRING (10.780507941486585 59.838846394305115, 10.78054187659742 59.838772889677436, 10.780630177959754 59.83873235813854)"/>
    <s v="[747396, 747404]"/>
    <s v="[729878, 729886]"/>
    <s v="0.08950738739113719"/>
    <s v="[729870, 729878]"/>
    <s v="[0.066, 0.119]"/>
    <s v="15.112677873144142"/>
    <s v="[0.066, 0.119]"/>
  </r>
  <r>
    <x v="2189"/>
    <x v="2823"/>
    <x v="0"/>
    <s v="[0, 0, 0, 1, 1, 0, 0, 0]"/>
    <s v="LINESTRING (10.780507941486585 59.838846394305115, 10.78037763379256 59.83877912590287, 10.780114094979387 59.83865934889482, 10.780072545045156 59.838641829984844, 10.779020161487445 59.83814946524898, 10.778862710983631 59.83805269428796, 10.778794862358538 59.83800447823389, 10.778591654497463 59.83792001237835, 10.778433902085066 59.83786987950209)"/>
    <s v="[764939, 764947, 764955, 764963, 764971, 764979, 764987, 764995]"/>
    <s v="[744075, 744083, 744091, 744099, 744108, 744113, 744119, 729929]"/>
    <s v="#FIELD!"/>
    <s v="[729870, 744075, 744083, 744091, 744099, 744108, 744113, 744119]"/>
    <s v="[0.577, 0.099, 0.09, 0.012, 0.103, 0.058, 0.074, 0.131]"/>
    <s v="160.00042849511215"/>
    <s v="[-0.577, -0.099, -0.09, -0.012, 0.103, 0.058, 0.074, 0.131]"/>
  </r>
  <r>
    <x v="2190"/>
    <x v="2749"/>
    <x v="0"/>
    <n v="0"/>
    <m/>
    <n v="747412"/>
    <n v="729893"/>
    <s v="0.129"/>
    <n v="729886"/>
    <s v="0.129"/>
    <s v="3.031670331651724"/>
    <s v="0.129"/>
  </r>
  <r>
    <x v="2190"/>
    <x v="2754"/>
    <x v="0"/>
    <s v="[0, 0, 1, 1, 1, 0, 0]"/>
    <s v="LINESTRING (10.780630177959754 59.83873235813854, 10.780482960539217 59.83868841959939, 10.780197244225157 59.83858828767047, 10.77913963613308 59.83809485698956, 10.779116429243361 59.83808062431729, 10.778902645691232 59.83792090145544, 10.778754041272915 59.83781904646906, 10.778629845395384 59.837747593566895)"/>
    <s v="[758488, 758496, 758504, 758512, 758520, 758528, 758536]"/>
    <s v="[738372, 738378, 738383, 738390, 738395, 738401, 729957]"/>
    <s v="#FIELD!"/>
    <s v="[729886, 738372, 738378, 738383, 738390, 738395, 738401]"/>
    <s v="[0.638, 0.115, 0.028, 0.029, 0.007, 0.046, 0.473]"/>
    <s v="158.46501739863655"/>
    <s v="[-0.638, -0.115, -0.028, -0.029, -0.007, 0.046, 0.473]"/>
  </r>
  <r>
    <x v="2191"/>
    <x v="2732"/>
    <x v="0"/>
    <n v="0"/>
    <s v="LINESTRING (10.780682149541498 59.83872488217221, 10.78067973686959 59.838671745449076, 10.78018916742583 59.83776826640672, 10.779912957071867 59.83774274527499, 10.779576542172189 59.83782672290532, 10.7794350161255 59.838089533757255, 10.779444229483145 59.83819188405772)"/>
    <s v="[1123789, 1123807, 1123810, 1123829, 1123833, 1123879]"/>
    <s v="[1062501, 1062517, 773733, 1062540, 1062542, 733578]"/>
    <s v="#FIELD!"/>
    <s v="[729893, 1062501, 1062517, 773733, 1062540, 1062542]"/>
    <s v="[0.039, 0.006, 0.067, 0.08, 0.047, 0.597]"/>
    <s v="201.26881941594718"/>
    <s v="[0.039, 0.006, -0.067, -0.08, -0.047, -0.597]"/>
  </r>
  <r>
    <x v="2192"/>
    <x v="2755"/>
    <x v="0"/>
    <n v="0"/>
    <m/>
    <n v="747460"/>
    <n v="729930"/>
    <s v="#FIELD!"/>
    <n v="729929"/>
    <s v="0.055"/>
    <s v="5.096076922621092"/>
    <s v="#FIELD!"/>
  </r>
  <r>
    <x v="2192"/>
    <x v="2754"/>
    <x v="0"/>
    <n v="0"/>
    <s v="LINESTRING (10.778629845395384 59.837747593566895, 10.778591915205155 59.837835391954926, 10.778433902085066 59.83786987950209)"/>
    <s v="[747516, 747524]"/>
    <s v="[729963, 729929]"/>
    <s v="#FIELD!"/>
    <s v="[729957, 729963]"/>
    <s v="[0.04, 0.073]"/>
    <s v="20.48322651624131"/>
    <s v="[-0.04, -0.073]"/>
  </r>
  <r>
    <x v="2193"/>
    <x v="2733"/>
    <x v="0"/>
    <n v="0"/>
    <s v="LINESTRING (10.776694438033555 59.841737926682384, 10.776777091933738 59.84164976737689, 10.777431184268455 59.841282345795996, 10.777586096621254 59.841202999355865, 10.778502620342884 59.840216192905025, 10.778527638103176 59.83983575328614, 10.778272759903988 59.83888704675049, 10.778252389279773 59.838551213050586, 10.778381222479934 59.83801664745354, 10.778362869883566 59.83790693605496, 10.778348307793559 59.8378545418883)"/>
    <s v="[753567, 729468, 729476, 729484, 729492, 729500, 729508, 1375036, 1375044, 1375052]"/>
    <s v="[717905, 717906, 717913, 717917, 717920, 717925, 717931, 1266930, 1266938, 729930]"/>
    <s v="0.01845234147971985"/>
    <s v="[734755, 717905, 717906, 717913, 717917, 717920, 717925, 717931, 1266930, 1266938]"/>
    <s v="[0.495, 0.003, 0.048, 0.02, 0.054, 0.058, 0.049, 0.022, 0.016, 0.019]"/>
    <s v="466.73273426871765"/>
    <s v="[-0.495, 0.003, -0.048, 0.02, 0.054, 0.058, 0.049, 0.022, 0.016, 0.019]"/>
  </r>
  <r>
    <x v="2194"/>
    <x v="2824"/>
    <x v="0"/>
    <n v="0"/>
    <s v="LINESTRING (10.93099656481891 59.93812548278392, 10.931048222669444 59.93806953849184, 10.932880271947981 59.937361020183936, 10.933046353674325 59.93729242539451, 10.9347874114373 59.93645391792736, 10.934856044297211 59.93639096211666)"/>
    <s v="[747532, 747540, 747548, 1536138, 1536146]"/>
    <s v="[729972, 729978, 729982, 1388236, 1357276]"/>
    <s v="#FIELD!"/>
    <s v="[729971, 729972, 729978, 729982, 1388236]"/>
    <s v="[0.015, 0.004, 0.002, 0.001, 0.046]"/>
    <s v="293.370550033157"/>
    <s v="[-0.015, -0.004, -0.002, -0.001, 0.046]"/>
  </r>
  <r>
    <x v="2194"/>
    <x v="2825"/>
    <x v="0"/>
    <n v="0"/>
    <s v="LINESTRING (10.93099656481891 59.93812548278392, 10.932956112019433 59.9374755833297, 10.932985856652046 59.93746577598154, 10.933030481943822 59.9374510697003, 10.933200161291218 59.93739697083409, 10.935444759243389 59.93663365483138, 10.935459233587009 59.93662841045206, 10.936985996750728 59.93603961188884, 10.936999755765376 59.93603391373267, 10.940697160667773 59.93399514233539, 10.940766092745612 59.93394512147598)"/>
    <s v="[753031, 753039, 753047, 765091, 1511518, 1511526, 1511534, 1511542, 1511550, 1511558]"/>
    <s v="[734362, 734368, 734375, 744209, 1366850, 1366859, 1366866, 1366872, 1366879, 1366887]"/>
    <s v="0.008075320450927124"/>
    <s v="[729971, 734362, 734368, 734375, 744209, 1366850, 1366859, 1366866, 1366872, 1366879]"/>
    <s v="[0.026, 0.026, 0.034, 0.075, 0.025, 0.003, 0.019, 0.036, 0.015, 0.025]"/>
    <s v="723.7128126505803"/>
    <s v="[-0.026, -0.026, -0.034, -0.075, 0.025, 0.003, 0.019, -0.036, 0.015, -0.025]"/>
  </r>
  <r>
    <x v="2194"/>
    <x v="2826"/>
    <x v="0"/>
    <s v="[0, 0, 0, 1, 0]"/>
    <s v="LINESTRING (10.921762756632157 59.93991044896155, 10.921995847172985 59.93986551987045, 10.92265948306756 59.93977278241275, 10.924706145727239 59.939492679261406, 10.925603998395463 59.93937480748153, 10.93099656481891 59.93812548278392)"/>
    <s v="[765083, 752999, 753007, 753015, 753023]"/>
    <s v="[734341, 734342, 734346, 734353, 729971]"/>
    <s v="#FIELD!"/>
    <s v="[735605, 734341, 734342, 734346, 734353]"/>
    <s v="[0.007, 0.023, 0.063, 0.045, 0.005]"/>
    <s v="557.0776647280397"/>
    <s v="[-0.007, -0.023, -0.063, -0.045, -0.005]"/>
  </r>
  <r>
    <x v="2195"/>
    <x v="2827"/>
    <x v="0"/>
    <s v="[0, 0, 0, 0, 1, 0, 0, 0, 0]"/>
    <s v="LINESTRING (10.930216067890465 59.93870374208227, 10.929816452871359 59.9388692468571, 10.929285028246893 59.939082490011806, 10.929270995343574 59.93908806206974, 10.925444705631115 59.94003919135268, 10.924602426457275 59.94011791926571, 10.918983301893078 59.94033503193269, 10.918323327683659 59.940319517543394, 10.916404552858667 59.94017688720902, 10.916238792847997 59.94011150999172)"/>
    <s v="[753079, 753087, 753095, 753103, 753111, 753119, 753127, 753135, 765107]"/>
    <s v="[734393, 734403, 734412, 734420, 734425, 734434, 734440, 734449, 744227]"/>
    <s v="0.010105686063412455"/>
    <s v="[730001, 734393, 734403, 734412, 734420, 734425, 734434, 734440, 734449]"/>
    <s v="[0.004, 0.037, 0.044, 0.0, 0.022, 0.036, 0.002, 0.046, 0.044]"/>
    <s v="829.3760922297126"/>
    <s v="[0.004, 0.037, 0.044, 0.0, 0.022, 0.036, -0.002, -0.046, -0.044]"/>
  </r>
  <r>
    <x v="2195"/>
    <x v="2828"/>
    <x v="0"/>
    <n v="0"/>
    <s v="LINESTRING (10.933185525995377 59.937560148642824, 10.933185525995377 59.937560148642824, 10.9327610404106 59.93770852187822, 10.932746402057221 59.93771363504501, 10.930216067890465 59.93870374208227)"/>
    <s v="[765099, 753055, 753063, 753071]"/>
    <s v="[734380, 734381, 734384, 730001]"/>
    <s v="0.02101170131862149"/>
    <s v="[744218, 734380, 734381, 734384]"/>
    <s v="[0.069, 0.027, 0.017, 0.017]"/>
    <s v="220.92349707152604"/>
    <s v="[0.069, 0.027, 0.017, 0.017]"/>
  </r>
  <r>
    <x v="2195"/>
    <x v="2829"/>
    <x v="0"/>
    <n v="0"/>
    <s v="LINESTRING (10.936190479346863 59.93703578306051, 10.93606442002464 59.93705154695675, 10.933531231219785 59.93761937217225, 10.932924675665598 59.93777326383221, 10.930339866651146 59.93868778788684, 10.930216067890465 59.93870374208227)"/>
    <s v="[1536154, 1536162, 747556, 747564, 747572]"/>
    <s v="[1388253, 729988, 729989, 729995, 730001]"/>
    <s v="#FIELD!"/>
    <s v="[1357361, 1388253, 729988, 729989, 729995]"/>
    <s v="[0.244, 0.016, 0.001, 0.004, 0.002]"/>
    <s v="385.438135197654"/>
    <s v="[0.244, -0.016, -0.001, 0.004, -0.002]"/>
  </r>
  <r>
    <x v="2196"/>
    <x v="513"/>
    <x v="0"/>
    <n v="0"/>
    <m/>
    <n v="1756387"/>
    <n v="1153102"/>
    <s v="0.027"/>
    <n v="730776"/>
    <s v="0.027"/>
    <s v="10.42636082211933"/>
    <s v="0.027"/>
  </r>
  <r>
    <x v="2196"/>
    <x v="515"/>
    <x v="0"/>
    <n v="0"/>
    <s v="LINESTRING (8.745698557358839 58.473918998396954, 8.745602198377446 58.47389248873469, 8.745519855032704 58.47382884047337)"/>
    <s v="[1756432, 1756442]"/>
    <s v="[1554351, 730776]"/>
    <s v="0.02511885501249976"/>
    <s v="[1152773, 1554351]"/>
    <s v="[0.738, 0.591]"/>
    <s v="14.93330463693953"/>
    <s v="[-0.738, 0.591]"/>
  </r>
  <r>
    <x v="2196"/>
    <x v="2830"/>
    <x v="0"/>
    <s v="[0, 0, 0, 1, 0, 0]"/>
    <s v="LINESTRING (8.743568784461784 58.47489950753963, 8.743652148289561 58.47487994813477, 8.743926168654765 58.47475516739614, 8.744028138781713 58.474691246248554, 8.744991114098385 58.47420822536033, 8.74547718437879 58.47389063948217, 8.745519855032704 58.47382884047337)"/>
    <s v="[1247383, 1247408, 748609, 748617, 748625, 748633]"/>
    <s v="[1166896, 730754, 730755, 730762, 730769, 730776]"/>
    <s v="#FIELD!"/>
    <s v="[1166895, 1166896, 730754, 730755, 730762, 730769]"/>
    <s v="[0.11, 0.105, 0.091, 0.073, 0.005, 0.022]"/>
    <s v="167.73211397488006"/>
    <s v="[-0.11, -0.105, -0.091, -0.073, 0.005, 0.022]"/>
  </r>
  <r>
    <x v="2197"/>
    <x v="2831"/>
    <x v="0"/>
    <s v="[0, 0, 0, 0, 0, 0, 0, 0, 0, 1, 0, 0, 0, 0, 0, 0, 0, 0, 0, 0, 0, 0, 0, 0, 0, 0, 0, 0, 1, 0, 0, 0, 0, 0, 0, 0, 0, 0, 0, 0, 1, 0, 0, 0]"/>
    <s v="LINESTRING (6.1024511110189685 62.11988073148785, 6.128731954866379 62.108708892676496, 6.1287453160889696 62.108702498834305, 6.1318327485394954 62.107584094638824, 6.132747954423523 62.10727335973895, 6.140231471219425 62.10510865433452, 6.145441019847614 62.10437043785071, 6.183484058307375 62.1026208001557, 6.208321571864492 62.096073082675225, 6.208939020699528 62.095791037491914, 6.209072068658866 62.09572507960391, 6.211816024909297 62.09429892627133, 6.215802747525064 62.093112311838446, 6.216231824976092 62.09291912085617, 6.217342382115171 62.09219159319765, 6.217696437318962 62.09187550798159, 6.218460288529457 62.09125990637418, 6.21995158179998 62.09053178590821, 6.225415933697082 62.089894105142264, 6.228428305669931 62.09034745006172, 6.229192160725378 62.09047432865655, 6.232943855448053 62.09112728824425, 6.241404957337527 62.09114765126663, 6.254221540232442 62.088932092560995, 6.257364069905395 62.08779348563952, 6.261464064592524 62.086308073488624, 6.264357716881179 62.08605528133012, 6.2677269888598515 62.086377575752586, 6.276221811781645 62.086590517254876, 6.2765251415228605 62.086624130407785, 6.283942285504644 62.08638731688955, 6.292723466648841 62.08303057224187, 6.296861282512379 62.08220697418637, 6.30005845501318 62.08152393138361, 6.308655527510528 62.08067424053487, 6.309522892232335 62.080464298837214, 6.313621469753891 62.07947569145744, 6.314938730046216 62.07909382544328, 6.3175668825652895 62.076766606239666, 6.31767650402116 62.076232374863714, 6.317719714056646 62.07604488357248, 6.317751901832785 62.07585853798275, 6.318132349459399 62.07493464701482, 6.318425019538168 62.07458142544885, 6.319693641341305 62.07308346045743)"/>
    <s v="[1321522, 1321547, 1321548, 1321549, 2129441, 2131837, 2129433, 2131853, 2129425, 2131861, 2131885, 2131893, 2131901, 2131909, 2131917, 2131925, 2131933, 2131941, 2131949, 2131957, 2131965, 2131797, 2129553, 2129521, 2129529, 2129537, 2129545, 1321677, 1321678, 1321691, 1321692, 1321693, 1321694, 1321709, 1321713, 1321714, 1321718, 1321720, 1321726, 1321727, 1321735, 1321743, 1321761, 1321762]"/>
    <s v="[1228267, 1228289, 1228290, 1228291, 1832533, 1832529, 1832530, 1832526, 1832527, 1833960, 1833970, 1057102, 1833974, 1057101, 1833982, 1833989, 1833996, 1834000, 1834005, 1832554, 1832558, 1832561, 1832566, 1832567, 1832569, 1597422, 1228408, 1228409, 1228410, 1228422, 1228423, 1228424, 1228425, 1228437, 1228442, 1228443, 1228445, 1228447, 1228451, 1228452, 1228458, 733532, 1228483, 730907]"/>
    <s v="#FIELD!"/>
    <s v="[1211358, 1228267, 1228289, 1228290, 1228291, 1832533, 1832529, 1832530, 1832526, 1832527, 1833960, 1833970, 1057102, 1833974, 1057101, 1833982, 1833989, 1833996, 1834000, 1834005, 1832554, 1832558, 1832561, 1832566, 1832567, 1832569, 1597422, 1228408, 1228409, 1228410, 1228422, 1228423, 1228424, 1228425, 1228437, 1228442, 1228443, 1228445, 1228447, 1228451, 1228452, 1228458, 733532, 1228483]"/>
    <s v="[0.078, 0.567, 0.012, 0.036, 0.028, 0.193, 0.072, 0.075, 0.001, 0.014, 0.029, 0.075, 0.031, 0.03, 0.059, 0.071, 0.123, 0.041, 0.0, 0.007, 0.022, 0.041, 0.008, 0.165, 0.08, 0.099, 0.28, 0.032, 0.038, 0.041, 0.027, 0.026, 0.035, 0.006, 0.108, 0.056, 0.053, 0.046, 0.014, 0.016, 0.023, 0.028, 0.011, 0.063]"/>
    <s v="13473.888990237443"/>
    <s v="[-0.078, -0.567, -0.012, 0.036, 0.028, 0.193, 0.072, -0.075, 0.001, 0.014, 0.029, 0.075, 0.031, -0.03, -0.059, -0.071, -0.123, -0.041, 0.0, 0.007, -0.022, -0.041, 0.008, 0.165, -0.08, -0.099, -0.28, -0.032, 0.038, -0.041, -0.027, 0.026, -0.035, -0.006, 0.108, 0.056, -0.053, -0.046, -0.014, -0.016, -0.023, -0.028, -0.011, -0.063]"/>
  </r>
  <r>
    <x v="2197"/>
    <x v="2832"/>
    <x v="212"/>
    <s v="[1, 0, 0, 0, 1, 0, 0, 0, 0, 0, 1, 0, 0, 0, 0, 0, 0, 0, 0, 0, 0, 0, 0, 0, 0, 0, 0, 0, 0, 0]"/>
    <s v="LINESTRING (6.51468106770761 61.986477945447156, 6.5130064657059865 61.98738040851067, 6.511168788379779 61.98795558605722, 6.510472539575966 61.98814419428575, 6.509122045722053 61.98863409208565, 6.508734532821093 61.988831724154146, 6.507005075916796 61.99026607029842, 6.503894363244485 61.99320802813395, 6.463579666138006 62.01230408777057, 6.418980184101471 62.03615738644628, 6.418910145170207 62.03701160046641, 6.418883743562452 62.037316632701526, 6.418805067869646 62.037742732934376, 6.418021532339404 62.03931225882401, 6.40478091104321 62.05252337678875, 6.403108013434877 62.054178632679665, 6.394173208514707 62.057517585574914, 6.386484369643749 62.05938410931509, 6.370306040706585 62.061551724535455, 6.369969786687927 62.06163338109581, 6.362376512082668 62.060809246855825, 6.356346062361444 62.05978891990653, 6.353212590293988 62.060578269492154, 6.34928640068001 62.061231416669926, 6.341491504290589 62.063635128093736, 6.341438061204289 62.063682629507646, 6.339520917296262 62.06503968692768, 6.320739629209383 62.070203440370065, 6.320478564024167 62.07173852724538, 6.320459969955205 62.07181578444121, 6.319693641341305 62.07308346045743)"/>
    <s v="[2106843, 2106865, 2106873, 2106889, 2106897, 2106898, 2106899, 2106777, 2106785, 2106736, 2106745, 2106753, 2106761, 2106769, 2106721, 748651, 748659, 748755, 748763, 748771, 748883, 748891, 748899, 748907, 748779, 748787, 748795, 748803, 748811, 748819]"/>
    <s v="[1819834, 1819840, 1819843, 1819853, 1819856, 1819857, 1819798, 1819799, 1819761, 1819762, 1819770, 1819776, 1819783, 1819752, 730793, 730794, 730800, 730863, 730836, 730876, 730849, 730954, 730960, 730880, 730881, 730884, 730887, 730894, 730855, 730907]"/>
    <s v="#FIELD!"/>
    <s v="[1819833, 1819834, 1819840, 1819843, 1819853, 1819856, 1819857, 1819798, 1819799, 1819761, 1819762, 1819770, 1819776, 1819783, 1819752, 730793, 730794, 730800, 730863, 730836, 730876, 730849, 730954, 730960, 730880, 730881, 730884, 730887, 730894, 730855]"/>
    <s v="[0.011, 0.01, 0.01, 0.02, 0.037, 0.036, 0.097, 0.287, 0.243, 0.061, 0.06, 0.056, 0.031, 0.015, 0.223, 0.1, 0.024, 0.007, 0.011, 0.045, 0.007, 0.076, 0.027, 0.019, 0.038, 0.022, 0.016, 0.005, 0.026, 0.051]"/>
    <s v="15233.771162657828"/>
    <s v="[0.011, 0.01, 0.01, 0.02, 0.037, 0.036, 0.097, 0.287, -0.243, -0.061, -0.06, -0.056, -0.031, 0.015, -0.223, -0.1, -0.024, -0.007, -0.011, 0.045, 0.007, 0.076, -0.027, -0.019, -0.038, 0.022, -0.016, -0.005, -0.026, -0.051]"/>
  </r>
  <r>
    <x v="2198"/>
    <x v="38"/>
    <x v="0"/>
    <n v="0"/>
    <s v="LINESTRING (7.940406386737366 58.14081413589495, 7.939413894477735 58.14110226010191, 7.938396502077033 58.14143133173929, 7.938388128519677 58.14143427251188, 7.935317959089268 58.142788236309606)"/>
    <s v="[749803, 749808, 1184691, 1184699]"/>
    <s v="[731737, 731742, 1114148, 1114154]"/>
    <s v="0.09966834106107517"/>
    <s v="[731627, 731737, 731742, 1114148]"/>
    <s v="[0.041, 0.091, 4.414, 0.108]"/>
    <s v="374.25334405327806"/>
    <s v="[0.041, 0.091, 4.414, 0.108]"/>
  </r>
  <r>
    <x v="2198"/>
    <x v="2833"/>
    <x v="0"/>
    <n v="0"/>
    <s v="LINESTRING (7.95315340326958 58.13773414389737, 7.953023455102454 58.13777945167416, 7.949138529136233 58.137895163571834, 7.948757650842248 58.13791696386235, 7.945222720878366 58.138875663342105, 7.940406386737366 58.14081413589495)"/>
    <s v="[749763, 749771, 749779, 749787, 749795]"/>
    <s v="[731700, 731706, 731714, 731720, 731627]"/>
    <s v="0.01372471744530359"/>
    <s v="[731699, 731700, 731706, 731714, 731720]"/>
    <s v="[0.043, 0.014, 0.018, 0.051, 0.008]"/>
    <s v="862.8619674249715"/>
    <s v="[-0.043, -0.014, 0.018, 0.051, 0.008]"/>
  </r>
  <r>
    <x v="2199"/>
    <x v="40"/>
    <x v="0"/>
    <n v="0"/>
    <s v="LINESTRING (7.9531946829246705 58.13790346869014, 7.953073823728819 58.13790127303524, 7.951203516236378 58.13798526845751, 7.949154906942835 58.1379703075311, 7.9487759756432 58.137991567190355, 7.945283898932606 58.13894580017225, 7.940526348387978 58.14086956538929, 7.9395285167290295 58.14114409128873)"/>
    <s v="[749696, 749703, 749711, 749719, 749728, 749736, 749744]"/>
    <s v="[731636, 731643, 731653, 731659, 731665, 731675, 731682]"/>
    <s v="0.01733514386472029"/>
    <s v="[731635, 731636, 731643, 731653, 731659, 731665, 731675]"/>
    <s v="[0.01, 0.036, 0.002, 0.01, 0.052, 0.01, 0.056]"/>
    <s v="921.6263891165995"/>
    <s v="[-0.01, -0.036, 0.002, 0.01, 0.052, 0.01, 0.056]"/>
  </r>
  <r>
    <x v="2199"/>
    <x v="2833"/>
    <x v="0"/>
    <n v="0"/>
    <s v="LINESTRING (7.9531946829246705 58.13790346869014, 7.9531328762457125 58.13783754602422, 7.95315340326958 58.13773414389737)"/>
    <s v="[2137722, 2137730]"/>
    <s v="[1837176, 731699]"/>
    <s v="0.064587726641078"/>
    <s v="[731635, 1837176]"/>
    <s v="[0.803, 0.458]"/>
    <s v="19.809529889030117"/>
    <s v="[0.803, -0.458]"/>
  </r>
  <r>
    <x v="2200"/>
    <x v="2327"/>
    <x v="0"/>
    <n v="0"/>
    <s v="LINESTRING (7.95315340326958 58.13773414389737, 7.953395788470148 58.137637653040855, 7.953551392861275 58.137646112447854, 7.953687303835829 58.13770038690298, 7.953711134699156 58.13771854486634)"/>
    <s v="[2137738, 2137746, 2137754, 2137762]"/>
    <s v="[1454100, 1837185, 1122516, 1114141]"/>
    <s v="0.035209195454188935"/>
    <s v="[731699, 1454100, 1837185, 1122516]"/>
    <s v="[0.348, 0.002, 0.018, 1.968]"/>
    <s v="40.227975999314346"/>
    <s v="[0.348, 0.002, -0.018, -1.968]"/>
  </r>
  <r>
    <x v="2201"/>
    <x v="2685"/>
    <x v="0"/>
    <n v="0"/>
    <m/>
    <n v="751378"/>
    <n v="733008"/>
    <s v="#FIELD!"/>
    <n v="732988"/>
    <s v="0.02"/>
    <s v="9.940321926390249"/>
    <s v="#FIELD!"/>
  </r>
  <r>
    <x v="2201"/>
    <x v="2834"/>
    <x v="0"/>
    <n v="0"/>
    <s v="LINESTRING (10.822273786744049 59.87643452885278, 10.822222008985483 59.87651920087549, 10.822083219896562 59.8766415700746, 10.82140264960302 59.8772322599232, 10.82184632188332 59.87898167669249, 10.82183915641549 59.879010221288, 10.821754198930503 59.87908844453295)"/>
    <s v="[755200, 726892, 726900, 726908, 751338, 751346]"/>
    <s v="[716240, 716241, 716249, 716255, 732981, 732988]"/>
    <s v="#FIELD!"/>
    <s v="[734848, 716240, 716241, 716249, 716255, 732981]"/>
    <s v="[0.681, 0.085, 0.025, 0.018, 0.539, 0.016]"/>
    <s v="324.5939970956614"/>
    <s v="[-0.681, 0.085, -0.025, -0.018, 0.539, -0.016]"/>
  </r>
  <r>
    <x v="2202"/>
    <x v="2680"/>
    <x v="0"/>
    <n v="0"/>
    <m/>
    <n v="751354"/>
    <n v="732993"/>
    <s v="0.0"/>
    <n v="732992"/>
    <s v="0.0"/>
    <s v="8.263776376462475"/>
    <s v="0.0"/>
  </r>
  <r>
    <x v="2203"/>
    <x v="2835"/>
    <x v="0"/>
    <n v="0"/>
    <s v="LINESTRING (10.819202059412069 59.87726573390029, 10.819254080486223 59.87725030383334, 10.823116345642084 59.875408405293186, 10.823769807878058 59.87471974114529, 10.8239041764671 59.87464668225535)"/>
    <s v="[751362, 726916, 726924, 751370]"/>
    <s v="[716262, 716263, 716270, 733003]"/>
    <s v="#FIELD!"/>
    <s v="[732993, 716262, 716263, 716270]"/>
    <s v="[0.089, 0.047, 0.025, 0.081]"/>
    <s v="401.537210402996"/>
    <s v="[0.089, -0.047, -0.025, 0.081]"/>
  </r>
  <r>
    <x v="2204"/>
    <x v="2705"/>
    <x v="0"/>
    <n v="0"/>
    <s v="LINESTRING (10.8239041764671 59.87464668225535, 10.822127249497616 59.87640793571607, 10.820553746496952 59.87753146752182, 10.819125440389655 59.87858592276028, 10.81899966404707 59.878685729865346, 10.818990212678148 59.87869332383715, 10.818022180817445 59.879515801631065, 10.817264014321005 59.88024301180729, 10.817091287602846 59.880419863747385, 10.815345768141052 59.88256578822481)"/>
    <s v="[779176, 779184, 779192, 779200, 779208, 779216, 779218, 779219, 779228]"/>
    <s v="[759321, 759325, 759334, 759340, 759348, 759356, 759359, 759360, 733032]"/>
    <s v="#FIELD!"/>
    <s v="[733003, 759321, 759325, 759334, 759340, 759348, 759356, 759359, 759360]"/>
    <s v="[0.005, 0.011, 0.002, 0.023, 0.092, 0.018, 0.031, 0.045, 0.028]"/>
    <s v="1008.5602615006633"/>
    <s v="[-0.005, -0.011, -0.002, 0.023, 0.092, -0.018, -0.031, -0.045, 0.028]"/>
  </r>
  <r>
    <x v="2204"/>
    <x v="1974"/>
    <x v="0"/>
    <n v="0"/>
    <s v="LINESTRING (10.830557102244944 59.86474741627193, 10.830541669207046 59.86484456315811, 10.8304057140584 59.865447388074145, 10.830074848142779 59.86667433885488, 10.829761592772527 59.867629618870055, 10.82781796195956 59.87058487989576, 10.827808637388426 59.87059249642015, 10.827105998883788 59.87116496025392, 10.8239041764671 59.87464668225535)"/>
    <s v="[779098, 779112, 779120, 779128, 779144, 779152, 779160, 779168]"/>
    <s v="[759253, 759266, 759274, 707767, 759296, 759303, 759310, 733003]"/>
    <s v="0.010586581433812336"/>
    <s v="[735996, 759253, 759266, 759274, 707767, 759296, 759303, 759310]"/>
    <s v="[0.655, 0.049, 0.048, 0.014, 0.01, 0.121, 0.005, 0.012]"/>
    <s v="1179.1673211724433"/>
    <s v="[-0.655, 0.049, 0.048, 0.014, 0.01, -0.121, -0.005, 0.012]"/>
  </r>
  <r>
    <x v="2205"/>
    <x v="2836"/>
    <x v="0"/>
    <n v="0"/>
    <m/>
    <n v="753316"/>
    <n v="734592"/>
    <s v="0.035"/>
    <n v="733008"/>
    <s v="0.035"/>
    <s v="6.058795259798859"/>
    <s v="0.035"/>
  </r>
  <r>
    <x v="2205"/>
    <x v="2837"/>
    <x v="0"/>
    <n v="0"/>
    <s v="LINESTRING (10.821658092719856 59.87901346129944, 10.82163765397971 59.87897684682121, 10.81926466323909 59.87875249734436, 10.819253496824297 59.87875950633653, 10.818841373980021 59.879052534861486, 10.818319264368089 59.879491798444555, 10.818172322363875 59.87953657942466)"/>
    <s v="[751386, 726932, 726940, 726948, 726956, 751394]"/>
    <s v="[716277, 716278, 716286, 716292, 716297, 733025]"/>
    <s v="0.02118073815244002"/>
    <s v="[733008, 716277, 716278, 716286, 716292, 716297]"/>
    <s v="[0.348, 0.022, 0.031, 0.038, 0.0, 0.544]"/>
    <s v="305.55932176457685"/>
    <s v="[-0.348, 0.022, -0.031, -0.038, -0.0, 0.544]"/>
  </r>
  <r>
    <x v="2206"/>
    <x v="2838"/>
    <x v="0"/>
    <n v="0"/>
    <s v="LINESTRING (10.818172322363875 59.87953657942466, 10.817414072942627 59.88023177861681, 10.817390618195905 59.88025611866709, 10.817219223137974 59.880433480653714, 10.816153276233655 59.88169323802327, 10.815503643994491 59.88259059120357, 10.815153641887084 59.8830445437892, 10.81514598163686 59.883052671046784, 10.812442299580079 59.885059418480395, 10.808938234930038 59.88693994545526, 10.80848183510359 59.887217894950865)"/>
    <s v="[753752, 753760, 753768, 753776, 753784, 753792, 753800, 753808, 753816, 753824]"/>
    <s v="[734880, 734887, 734892, 734897, 734903, 734906, 734912, 734918, 734922, 733040]"/>
    <s v="0.017933987806563172"/>
    <s v="[733025, 734880, 734887, 734892, 734897, 734903, 734906, 734912, 734918, 734922]"/>
    <s v="[0.002, 0.03, 0.008, 0.029, 0.028, 0.031, 0.04, 0.049, 0.013, 0.032]"/>
    <s v="1026.5829978030717"/>
    <s v="[0.002, -0.03, -0.008, -0.029, 0.028, 0.031, -0.04, 0.049, 0.013, 0.032]"/>
  </r>
  <r>
    <x v="2206"/>
    <x v="2834"/>
    <x v="0"/>
    <n v="0"/>
    <s v="LINESTRING (10.822273786744049 59.87643452885278, 10.820708332986637 59.87755509918853, 10.819154842896765 59.87870454476221, 10.819145336984585 59.87871214600223, 10.81829050566325 59.87943603709066, 10.818172322363875 59.87953657942466)"/>
    <s v="[753712, 753720, 753728, 753736, 753744]"/>
    <s v="[734855, 734861, 734866, 734871, 733025]"/>
    <s v="#FIELD!"/>
    <s v="[734848, 734855, 734861, 734866, 734871]"/>
    <s v="[0.007, 0.01, 0.083, 0.004, 0.01]"/>
    <s v="415.3099854416164"/>
    <s v="[-0.007, -0.01, -0.083, -0.004, -0.01]"/>
  </r>
  <r>
    <x v="2207"/>
    <x v="2839"/>
    <x v="0"/>
    <n v="0"/>
    <s v="LINESTRING (10.815345768141052 59.88256578822481, 10.814989293035577 59.883012458315505, 10.814982324257548 59.88302063453607, 10.812317071821534 59.8850053054449, 10.808810980148174 59.88689210346458)"/>
    <s v="[779235, 779238, 779246, 779253]"/>
    <s v="[759374, 759377, 759387, 733100]"/>
    <s v="0.028636106558519937"/>
    <s v="[733032, 759374, 759377, 759387]"/>
    <s v="[0.088, 0.026, 0.043, 0.037]"/>
    <s v="610.4985381612227"/>
    <s v="[-0.088, 0.026, 0.043, 0.037]"/>
  </r>
  <r>
    <x v="2208"/>
    <x v="2840"/>
    <x v="0"/>
    <n v="0"/>
    <s v="LINESTRING (10.80848183510359 59.887217894950865, 10.808410289772045 59.88730283190855, 10.80814540667617 59.88750209331307, 10.807048488592173 59.88838246181269, 10.808108028004236 59.88853581056081, 10.808150822737199 59.888522787864474)"/>
    <s v="[751410, 727028, 727036, 727044, 751418]"/>
    <s v="[716350, 716351, 716358, 716365, 733047]"/>
    <s v="#FIELD!"/>
    <s v="[733040, 716350, 716351, 716358, 716365]"/>
    <s v="[0.514, 0.009, 0.01, 0.04, 0.208]"/>
    <s v="232.9310141820452"/>
    <s v="[-0.514, 0.009, 0.01, 0.04, -0.208]"/>
  </r>
  <r>
    <x v="2208"/>
    <x v="2024"/>
    <x v="0"/>
    <n v="0"/>
    <s v="LINESTRING (10.80848183510359 59.887217894950865, 10.807360368608661 59.88797974136305, 10.807350341031494 59.887987037509255, 10.804809956270278 59.89083723454279, 10.804795749085326 59.89086330616862)"/>
    <s v="[753832, 753840, 753848, 753856]"/>
    <s v="[734930, 734935, 734940, 733145]"/>
    <s v="#FIELD!"/>
    <s v="[733040, 734930, 734935, 734940]"/>
    <s v="[0.017, 0.014, 0.016, 0.014]"/>
    <s v="459.5755266091537"/>
    <s v="[-0.017, 0.014, -0.016, 0.014]"/>
  </r>
  <r>
    <x v="2209"/>
    <x v="2841"/>
    <x v="0"/>
    <s v="[0, 0, 1, 0, 0, 0]"/>
    <s v="LINESTRING (10.25219695014066 59.76119107534528, 10.252339291751667 59.76129649315121, 10.254011166724823 59.76384791771932, 10.254195658227117 59.76410309285203, 10.254795660211013 59.764883260944934, 10.25634509894427 59.765631858139656, 10.256421113027343 59.7656265116559)"/>
    <s v="[751414, 751390, 751398, 751406, 1369380, 1369388]"/>
    <s v="[733018, 733019, 733030, 733035, 1262957, 1262962]"/>
    <s v="#FIELD!"/>
    <s v="[733044, 733018, 733019, 733030, 733035, 1262957]"/>
    <s v="[0.009, 0.009, 0.019, 0.016, 0.009, 0.003]"/>
    <s v="576.8447821691904"/>
    <s v="[-0.009, -0.009, -0.019, -0.016, -0.009, -0.003]"/>
  </r>
  <r>
    <x v="2209"/>
    <x v="2842"/>
    <x v="213"/>
    <s v="[0, 1, 0, 0, 1, 0, 0, 0]"/>
    <s v="LINESTRING (10.25219695014066 59.76119107534528, 10.251912718473347 59.76073616254153, 10.251794952581976 59.760546245812314, 10.250295790465845 59.758130736128855, 10.247787858272277 59.75434045176182, 10.247473036562827 59.75394156228136, 10.245905163489525 59.75221420496526, 10.244207553763545 59.75081228645527, 10.241215051909059 59.749012420341394)"/>
    <s v="[1593919, 1593927, 1593935, 1593943, 1593951, 1593959, 1179323, 1179331]"/>
    <s v="[1432874, 1432878, 1432884, 1432885, 1432889, 1110117, 1110118, 1110126]"/>
    <s v="#FIELD!"/>
    <s v="[733044, 1432874, 1432878, 1432884, 1432885, 1432889, 1110117, 1110118]"/>
    <s v="[0.002, 0.003, 0.001, 0.011, 0.013, 0.02, 0.008, 0.005]"/>
    <s v="1508.105315018852"/>
    <s v="[0.002, 0.003, -0.001, -0.011, -0.013, -0.02, -0.008, 0.005]"/>
  </r>
  <r>
    <x v="2209"/>
    <x v="2843"/>
    <x v="0"/>
    <s v="[0, 0, 0, 0, 0, 0, 0, 0, 1, 0]"/>
    <s v="LINESTRING (10.260136409892608 59.76914708712924, 10.260131822894468 59.76914460074166, 10.258648710982868 59.76827468328366, 10.258440404299032 59.7681392842553, 10.256491333673374 59.766692983999505, 10.25513569732811 59.76539431504445, 10.254598652959052 59.76477248671962, 10.254580447382208 59.76474890030027, 10.254115758782609 59.764141929048215, 10.253924767166527 59.76387992539626, 10.25219695014066 59.76119107534528)"/>
    <s v="[1593839, 1593847, 1593855, 1593863, 1593871, 1593879, 1593887, 1593895, 1593903, 1593911]"/>
    <s v="[1432828, 1432833, 1432838, 1432842, 1432845, 1432850, 1432853, 1432858, 1432866, 733044]"/>
    <s v="0.007609459032918069"/>
    <s v="[1175795, 1432828, 1432833, 1432838, 1432842, 1432845, 1432850, 1432853, 1432858, 1432866]"/>
    <s v="[0.808, 0.013, 0.008, 0.02, 0.001, 0.013, 0.014, 0.017, 0.02, 0.009]"/>
    <s v="1003.1706100848841"/>
    <s v="[-0.808, -0.013, 0.008, 0.02, -0.001, 0.013, 0.014, 0.017, 0.02, 0.009]"/>
  </r>
  <r>
    <x v="2210"/>
    <x v="2844"/>
    <x v="0"/>
    <n v="0"/>
    <m/>
    <n v="751426"/>
    <n v="733058"/>
    <s v="0.03"/>
    <n v="733047"/>
    <s v="0.03"/>
    <s v="8.184130986360548"/>
    <s v="0.03"/>
  </r>
  <r>
    <x v="2210"/>
    <x v="2023"/>
    <x v="0"/>
    <n v="0"/>
    <m/>
    <n v="769410"/>
    <n v="733112"/>
    <s v="0.033"/>
    <n v="733047"/>
    <s v="0.033"/>
    <s v="10.200490184011226"/>
    <s v="0.033"/>
  </r>
  <r>
    <x v="2210"/>
    <x v="2845"/>
    <x v="0"/>
    <s v="[0, 1, 0]"/>
    <s v="LINESTRING (10.806503377712179 59.88765476791601, 10.807008158393494 59.887837197407514, 10.807551793141013 59.888094592359415, 10.808150822737199 59.888522787864474)"/>
    <s v="[769368, 769405, 769409]"/>
    <s v="[748574, 748621, 733047]"/>
    <s v="#FIELD!"/>
    <s v="[733067, 748574, 748621]"/>
    <s v="[0.084, 0.019, 0.007]"/>
    <s v="135.24081013606843"/>
    <s v="[-0.084, -0.019, -0.007]"/>
  </r>
  <r>
    <x v="2211"/>
    <x v="2846"/>
    <x v="0"/>
    <n v="0"/>
    <m/>
    <n v="768068"/>
    <n v="747176"/>
    <s v="0.178"/>
    <n v="733058"/>
    <s v="0.178"/>
    <s v="6.639352378388223"/>
    <s v="0.178"/>
  </r>
  <r>
    <x v="2211"/>
    <x v="2847"/>
    <x v="214"/>
    <s v="[0, 1, 0, 0]"/>
    <s v="LINESTRING (10.806576232188393 59.88758785639196, 10.807104604156255 59.88778182714307, 10.807664814886657 59.88803787969751, 10.807896325996797 59.88819450473301, 10.808275529675972 59.88848450167432)"/>
    <s v="[768027, 768038, 768051, 768052]"/>
    <s v="[747127, 747140, 747155, 733058]"/>
    <s v="#FIELD!"/>
    <s v="[733066, 747127, 747140, 747155]"/>
    <s v="[0.12, 0.005, 0.093, 0.056]"/>
    <s v="139.55773355093555"/>
    <s v="[-0.12, 0.005, 0.093, -0.056]"/>
  </r>
  <r>
    <x v="2212"/>
    <x v="2845"/>
    <x v="0"/>
    <n v="0"/>
    <m/>
    <n v="751434"/>
    <n v="733067"/>
    <s v="#FIELD!"/>
    <n v="733066"/>
    <s v="0.05"/>
    <s v="8.500000000158872"/>
    <s v="#FIELD!"/>
  </r>
  <r>
    <x v="2212"/>
    <x v="2026"/>
    <x v="0"/>
    <n v="0"/>
    <s v="LINESTRING (10.806354727707316 59.887609883078234, 10.806446172004746 59.887548923058965, 10.806576232188393 59.88758785639196)"/>
    <s v="[1816968, 768019]"/>
    <s v="[747102, 733066]"/>
    <s v="0.06984654113380254"/>
    <s v="[748560, 747102]"/>
    <s v="[0.019, 0.159]"/>
    <s v="16.98583204389459"/>
    <s v="[-0.019, 0.159]"/>
  </r>
  <r>
    <x v="2213"/>
    <x v="2839"/>
    <x v="0"/>
    <n v="0"/>
    <s v="LINESTRING (10.806503377712179 59.88765476791601, 10.806462877757761 59.887692139974035, 10.806781779705426 59.88813700238361, 10.808671685303718 59.886932622691354, 10.808810980148174 59.88689210346458)"/>
    <s v="[751442, 727052, 727060, 751466]"/>
    <s v="[716370, 716371, 716377, 733100]"/>
    <s v="#FIELD!"/>
    <s v="[733067, 716370, 716371, 716377]"/>
    <s v="[0.31, 0.046, 0.012, 0.452]"/>
    <s v="270.8682675522621"/>
    <s v="[-0.31, -0.046, -0.012, 0.452]"/>
  </r>
  <r>
    <x v="2213"/>
    <x v="2026"/>
    <x v="0"/>
    <n v="0"/>
    <m/>
    <n v="769367"/>
    <n v="733067"/>
    <s v="0.079"/>
    <n v="748560"/>
    <s v="0.079"/>
    <s v="9.71220108928297"/>
    <s v="0.079"/>
  </r>
  <r>
    <x v="2214"/>
    <x v="2025"/>
    <x v="0"/>
    <n v="0"/>
    <s v="LINESTRING (10.808810980148174 59.88689210346458, 10.808356924225048 59.88716707013678, 10.80727425056096 59.887897827752035, 10.8072319242135 59.887929827918974, 10.807221936262454 59.88793737707741, 10.804592836427968 59.890840651473056)"/>
    <s v="[779254, 779261, 779269, 779277, 779285]"/>
    <s v="[759395, 759404, 759412, 759420, 733151]"/>
    <s v="#FIELD!"/>
    <s v="[733100, 759395, 759404, 759412, 759420]"/>
    <s v="[0.118, 0.035, 0.014, 0.01, 0.013]"/>
    <s v="504.14515708233995"/>
    <s v="[-0.118, 0.035, 0.014, -0.01, -0.013]"/>
  </r>
  <r>
    <x v="2215"/>
    <x v="2023"/>
    <x v="0"/>
    <n v="0"/>
    <m/>
    <n v="751474"/>
    <n v="733112"/>
    <s v="0.0"/>
    <n v="733111"/>
    <s v="0.0"/>
    <s v="8.246211251325674"/>
    <s v="0.0"/>
  </r>
  <r>
    <x v="2216"/>
    <x v="2032"/>
    <x v="0"/>
    <n v="0"/>
    <s v="LINESTRING (10.804741500998219 59.8909811620488, 10.804294812778643 59.89227780176416, 10.804282347608302 59.892321525078565, 10.80452268524687 59.8943999084398, 10.804539060140206 59.89442172219546, 10.80454056139708 59.89442372119736, 10.804852161796937 59.89471711013927, 10.80624675830927 59.89545227591408, 10.806252601409462 59.895454188490284, 10.806261073227555 59.89545696709849, 10.808077760342025 59.895894471201935, 10.80955948869418 59.89629215050579, 10.809982811195953 59.896440501417416)"/>
    <s v="[753872, 753880, 753888, 753896, 753904, 753912, 753920, 753928, 753936, 753944, 753952, 753960]"/>
    <s v="[734958, 734962, 734968, 734973, 734978, 734982, 734986, 734993, 735000, 735006, 735011, 733464]"/>
    <s v="#FIELD!"/>
    <s v="[733128, 734958, 734962, 734968, 734973, 734978, 734982, 734986, 734993, 735000, 735006, 735011]"/>
    <s v="[0.0, 0.0, 0.002, 0.011, 0.0, 0.016, 0.048, 0.0, 0.141, 0.018, 0.048, 0.091]"/>
    <s v="778.4453216131584"/>
    <s v="[-0.0, 0.0, -0.002, 0.011, 0.0, 0.016, -0.048, 0.0, -0.141, -0.018, 0.048, 0.091]"/>
  </r>
  <r>
    <x v="2216"/>
    <x v="2024"/>
    <x v="0"/>
    <n v="0"/>
    <m/>
    <n v="753864"/>
    <n v="733128"/>
    <s v="0.016"/>
    <n v="733145"/>
    <s v="0.016"/>
    <s v="13.480726983182198"/>
    <s v="0.016"/>
  </r>
  <r>
    <x v="2217"/>
    <x v="2575"/>
    <x v="0"/>
    <n v="0"/>
    <s v="LINESTRING (10.804538361479446 59.89096029833046, 10.804087905555212 59.89229152418484, 10.80407824026431 59.89233659557089, 10.804332316567402 59.894447786699736, 10.80435601394577 59.894469006762854, 10.804358184843922 59.894470946197096, 10.804704495244932 59.89476976715297, 10.806157289159785 59.89553525615505, 10.806163214338431 59.895537369161616, 10.806171792580441 59.89554043889172, 10.807982454730253 59.89596615333164, 10.809436347064414 59.89637454604673, 10.809847029523242 59.89652663086923, 10.81001801046552 59.89659132850767, 10.81029947004143 59.896699555173875, 10.81044250521518 59.896754550889824)"/>
    <s v="[779301, 779309, 779317, 779325, 779333, 779341, 779349, 779357, 779365, 779373, 779381, 779389, 779397, 779405, 779413]"/>
    <s v="[759440, 759448, 759453, 759459, 759466, 759474, 759481, 759487, 759495, 759501, 759508, 759515, 759523, 759532, 733170]"/>
    <s v="0.002939714369100908"/>
    <s v="[733136, 759440, 759448, 759453, 759459, 759466, 759474, 759481, 759487, 759495, 759501, 759508, 759515, 759523, 759532]"/>
    <s v="[0.008, 0.009, 0.01, 0.003, 0.0, 0.091, 0.036, 0.0, 0.075, 0.037, 0.036, 0.044, 0.091, 0.045, 0.43]"/>
    <s v="831.7556679250929"/>
    <s v="[-0.008, 0.009, -0.01, 0.003, 0.0, 0.091, -0.036, 0.0, -0.075, -0.037, 0.036, 0.044, 0.091, 0.045, 0.43]"/>
  </r>
  <r>
    <x v="2217"/>
    <x v="2025"/>
    <x v="0"/>
    <n v="0"/>
    <m/>
    <n v="779293"/>
    <n v="733136"/>
    <s v="0.007"/>
    <n v="733151"/>
    <s v="0.007"/>
    <s v="13.678084661240083"/>
    <s v="0.007"/>
  </r>
  <r>
    <x v="2218"/>
    <x v="2033"/>
    <x v="0"/>
    <n v="0"/>
    <s v="LINESTRING (10.810153602429867 59.89650528275659, 10.810445096308433 59.896618800845744, 10.810592019155095 59.89667730992484, 10.812299972690345 59.89740881505947, 10.812312963327328 59.89741493798591, 10.814699625876342 59.89866900496629, 10.815456262294939 59.89914753472664)"/>
    <s v="[753976, 753984, 753992, 754000, 754008, 754016]"/>
    <s v="[735024, 735033, 735040, 735048, 735055, 733470]"/>
    <s v="#FIELD!"/>
    <s v="[733162, 735024, 735033, 735040, 735048, 735055]"/>
    <s v="[0.099, 0.075, 0.016, 0.019, 0.015, 0.03]"/>
    <s v="419.45816446927205"/>
    <s v="[0.099, 0.075, -0.016, 0.019, -0.015, -0.03]"/>
  </r>
  <r>
    <x v="2218"/>
    <x v="2032"/>
    <x v="0"/>
    <n v="0"/>
    <m/>
    <n v="753968"/>
    <n v="733162"/>
    <s v="0.095"/>
    <n v="733464"/>
    <s v="0.095"/>
    <s v="11.981652640907933"/>
    <s v="0.095"/>
  </r>
  <r>
    <x v="2219"/>
    <x v="2715"/>
    <x v="0"/>
    <n v="0"/>
    <s v="LINESTRING (10.819948363685533 59.90300281308981, 10.820000842644886 59.90306455084888, 10.820500093393175 59.9037304692501, 10.82054040195879 59.90380259182039, 10.820661007891205 59.90404298302609, 10.820716929012073 59.90416372276206, 10.820947502284309 59.90531562797101)"/>
    <s v="[754064, 754072, 754080, 754088, 795975, 1820776]"/>
    <s v="[735090, 735097, 735104, 735109, 775143, 780372]"/>
    <s v="#FIELD!"/>
    <s v="[733177, 735090, 735097, 735104, 735109, 775143]"/>
    <s v="[0.034, 0.034, 0.044, 0.051, 0.259, 0.024]"/>
    <s v="265.8131851957036"/>
    <s v="[-0.034, -0.034, -0.044, -0.051, 0.259, -0.024]"/>
  </r>
  <r>
    <x v="2219"/>
    <x v="2033"/>
    <x v="215"/>
    <n v="0"/>
    <s v="LINESTRING (10.815456262294939 59.89914753472664, 10.815507903943846 59.89918370359649, 10.816124854785981 59.89962484291609, 10.81643692919787 59.89985468343886, 10.81753135313386 59.90070900386223, 10.819948363685533 59.90300281308981)"/>
    <s v="[754024, 754032, 754040, 754048, 754056]"/>
    <s v="[735065, 735068, 735074, 735081, 733177]"/>
    <s v="#FIELD!"/>
    <s v="[733470, 735065, 735068, 735074, 735081]"/>
    <s v="[0.037, 0.05, 0.001, 0.005, 0.065]"/>
    <s v="498.75336911808944"/>
    <s v="[-0.037, -0.05, -0.001, 0.005, -0.065]"/>
  </r>
  <r>
    <x v="2220"/>
    <x v="2848"/>
    <x v="0"/>
    <n v="0"/>
    <s v="LINESTRING (10.820318230382282 59.90376173773909, 10.820354066341917 59.90383099396332, 10.820472637720533 59.9040602344774)"/>
    <s v="[779517, 779525]"/>
    <s v="[759639, 759648]"/>
    <s v="#FIELD!"/>
    <s v="[733236, 759639]"/>
    <s v="[0.297, 0.045]"/>
    <s v="34.369230949123875"/>
    <s v="[-0.297, -0.045]"/>
  </r>
  <r>
    <x v="2221"/>
    <x v="2849"/>
    <x v="216"/>
    <n v="0"/>
    <s v="LINESTRING (10.818654749510216 59.91007744194246, 10.818320550919614 59.910746388022886, 10.818286330351922 59.91082190680006, 10.817527553714028 59.91206107786878, 10.817077752965353 59.91251688663, 10.817069527139537 59.912524618507874, 10.816925724898663 59.91265965682271, 10.816907643250357 59.91267526657055, 10.816200070275741 59.91333414071017, 10.814627807741962 59.914823653271455, 10.814301873799142 59.91515239769207)"/>
    <s v="[754120, 754128, 754136, 754144, 754152, 754160, 754168, 754176, 754184, 754192]"/>
    <s v="[735131, 735139, 735143, 735147, 735155, 735161, 735168, 735175, 735178, 735183]"/>
    <s v="0.017862219012804253"/>
    <s v="[733245, 735131, 735139, 735143, 735147, 735155, 735161, 735168, 735175, 735178]"/>
    <s v="[0.004, 0.0, 0.031, 0.04, 0.003, 0.026, 0.028, 0.022, 0.006, 0.013]"/>
    <s v="619.2369317347133"/>
    <s v="[0.004, 0.0, 0.031, 0.04, 0.003, 0.026, 0.028, 0.022, 0.006, 0.013]"/>
  </r>
  <r>
    <x v="2221"/>
    <x v="2715"/>
    <x v="0"/>
    <s v="[0, 0, 0, 0, 0, 0, 1, 0, 0]"/>
    <s v="LINESTRING (10.820947502284309 59.90531562797101, 10.820960732528201 59.90550577346445, 10.820962242844224 59.905527481459565, 10.820521322849974 59.908098191231424, 10.820504859984032 59.90811405959469, 10.820366094130996 59.90824775939776, 10.820294473612663 59.90831254212634, 10.819053525491748 59.909541010451385, 10.818816001865972 59.909833415324655, 10.818654749510216 59.91007744194246)"/>
    <s v="[1820784, 1820792, 1820800, 1820808, 1820816, 795983, 754096, 754104, 754112]"/>
    <s v="[1600724, 1600733, 1600740, 1600750, 775150, 735116, 735117, 735122, 733245]"/>
    <s v="#FIELD!"/>
    <s v="[780372, 1600724, 1600733, 1600740, 1600750, 775150, 735116, 735117, 735122]"/>
    <s v="[0.021, 0.019, 0.032, 0.074, 0.08, 0.551, 0.011, 0.056, 0.013]"/>
    <s v="559.4123558330879"/>
    <s v="[-0.021, -0.019, -0.032, -0.074, -0.08, -0.551, -0.011, 0.056, 0.013]"/>
  </r>
  <r>
    <x v="2222"/>
    <x v="2849"/>
    <x v="217"/>
    <n v="0"/>
    <s v="LINESTRING (10.817533827326798 59.912693366560795, 10.817533827326798 59.912693366560795, 10.81604414810308 59.91364495993817, 10.814798911331994 59.914758961111026, 10.814441897643814 59.91511295437945, 10.814301873799142 59.91515239769207)"/>
    <s v="[751658, 727556, 727564, 804165, 804166]"/>
    <s v="[716751, 716752, 716758, 782611, 735183]"/>
    <s v="0.010495241193412861"/>
    <s v="[733278, 716751, 716752, 716758, 782611]"/>
    <s v="[0.025, 0.012, 0.01, 0.137, 0.243]"/>
    <s v="336.5565216104522"/>
    <s v="[-0.025, -0.012, 0.01, 0.137, -0.243]"/>
  </r>
  <r>
    <x v="2223"/>
    <x v="2724"/>
    <x v="0"/>
    <n v="0"/>
    <s v="LINESTRING (10.818657823390769 59.90981139685322, 10.818490452812155 59.91005423988596, 10.818157413568388 59.910721064534066, 10.818124118134211 59.9107963429296, 10.817365889039086 59.91203112483495, 10.816903604788665 59.9124947634183, 10.81689535635685 59.912502674394, 10.816740933173273 59.91264838935563, 10.816669712326041 59.91271625817232, 10.816047809795398 59.91330340611223)"/>
    <s v="[779549, 779557, 779565, 779573, 779581, 779589, 779597, 779605, 779613]"/>
    <s v="[759672, 759681, 759689, 759698, 759705, 759711, 759720, 759730, 733288]"/>
    <s v="0.02235835872277831"/>
    <s v="[733283, 759672, 759681, 759689, 759698, 759705, 759711, 759720, 759730]"/>
    <s v="[0.007, 0.008, 0.003, 0.011, 0.053, 0.069, 0.035, 0.025, 0.046]"/>
    <s v="417.97805602660986"/>
    <s v="[0.007, 0.008, -0.003, 0.011, 0.053, 0.069, 0.035, -0.025, 0.046]"/>
  </r>
  <r>
    <x v="2223"/>
    <x v="2850"/>
    <x v="0"/>
    <s v="[1, 0]"/>
    <s v="LINESTRING (10.81888898459029 59.90951123742991, 10.81888898459029 59.90951123742991, 10.818657823390769 59.90981139685322)"/>
    <s v="[779533, 779541]"/>
    <s v="[759659, 733283]"/>
    <s v="0.009414294564520934"/>
    <s v="[759658, 759659]"/>
    <s v="[0.0, 0.05]"/>
    <s v="190.48026209336834"/>
    <s v="[0.0, 0.05]"/>
  </r>
  <r>
    <x v="2224"/>
    <x v="1608"/>
    <x v="0"/>
    <n v="0"/>
    <s v="LINESTRING (10.816047809795398 59.91330340611223, 10.814484560981954 59.91479239435577, 10.814153017919628 59.91512102302164, 10.813420188807278 59.915851623331015, 10.812311262679348 59.916749651594905, 10.811759318742775 59.91704598888591, 10.811193254950094 59.91730046062706, 10.811179767936519 59.91730629843831, 10.810717987404898 59.91749694815828, 10.80909640730795 59.918337186596, 10.808734237072505 59.918685256744034, 10.808261726926705 59.9194791920321, 10.808258389307026 59.919488176026235, 10.80821285514088 59.91962322403907, 10.808118805253537 59.91965889220113)"/>
    <s v="[779621, 779629, 779637, 779645, 779653, 779661, 779669, 779677, 345466, 345481, 779685, 779693, 779701, 779709]"/>
    <s v="[759746, 759756, 759764, 759771, 759781, 759791, 759800, 334044, 334045, 334061, 759819, 759829, 759837, 733315]"/>
    <s v="0.0005200746285778034"/>
    <s v="[733288, 759746, 759756, 759764, 759771, 759781, 759791, 759800, 334044, 334045, 334061, 759819, 759829, 759837]"/>
    <s v="[0.009, 0.019, 0.007, 0.03, 0.012, 0.006, 0.096, 0.115, 0.007, 0.007, 0.032, 0.003, 0.01, 0.36]"/>
    <s v="850.4667428739206"/>
    <s v="[-0.009, 0.019, 0.007, -0.03, -0.012, 0.006, -0.096, 0.115, 0.007, 0.007, -0.032, 0.003, 0.01, 0.36]"/>
  </r>
  <r>
    <x v="2225"/>
    <x v="1868"/>
    <x v="0"/>
    <n v="0"/>
    <s v="LINESTRING (10.811459287074342 59.91742746739478, 10.811603193460453 59.91743654178586, 10.812371113339559 59.91703004432309, 10.812353926934625 59.91703241978745, 10.81228512552372 59.917041937830824, 10.810120197609601 59.9179207381567, 10.809410876010203 59.91833334175106, 10.808461103926367 59.91964281712098, 10.808447208180164 59.91968193667742)"/>
    <s v="[751682, 514440, 514448, 514456, 514464, 514472, 514480, 751690]"/>
    <s v="[520765, 520766, 520776, 520785, 520794, 520806, 520815, 733299]"/>
    <s v="#FIELD!"/>
    <s v="[733297, 520765, 520766, 520776, 520785, 520794, 520806, 520815]"/>
    <s v="[0.045, 0.02, 0.071, 0.06, 0.038, 0.011, 0.003, 0.179]"/>
    <s v="559.4463005619717"/>
    <s v="[0.045, 0.02, -0.071, -0.06, -0.038, 0.011, 0.003, -0.179]"/>
  </r>
  <r>
    <x v="2225"/>
    <x v="2851"/>
    <x v="0"/>
    <s v="[1, 1, 0, 0, 0, 0, 0]"/>
    <s v="LINESTRING (10.811459287074342 59.91742746739478, 10.81141303512161 59.91741367760364, 10.810774037156056 59.91720315922491, 10.810268216253776 59.91700788170939, 10.807544036667188 59.91574283139965, 10.807271498043942 59.91561240792749, 10.8068406876783 59.91540797846501, 10.804318945976615 59.91420235340184)"/>
    <s v="[763391, 763399, 763407, 763415, 763423, 763431, 763439]"/>
    <s v="[742618, 742626, 742631, 742637, 742647, 742654, 742659]"/>
    <s v="#FIELD!"/>
    <s v="[733297, 742618, 742626, 742631, 742637, 742647, 742654]"/>
    <s v="[1.943, 0.051, 0.052, 0.022, 0.01, 0.03, 0.032]"/>
    <s v="538.2216978316236"/>
    <s v="[-1.943, 0.051, 0.052, -0.022, -0.01, -0.03, -0.032]"/>
  </r>
  <r>
    <x v="2225"/>
    <x v="1879"/>
    <x v="0"/>
    <s v="[0, 0, 0, 0, 0, 0, 0, 0, 0, 0, 0, 0, 0, 0, 0, 1]"/>
    <s v="LINESTRING (10.836111281677805 59.923615353597015, 10.835988587958656 59.92361825259042, 10.833661711830079 59.92361019483163, 10.832266788781558 59.92353834352195, 10.831913558916439 59.92351007809487, 10.831873121111995 59.923506478169195, 10.827734775895674 59.92267717496725, 10.827720148045545 59.92267200897993, 10.82063380299042 59.919997452778155, 10.820465605436832 59.919946527168364, 10.817679378642232 59.91909735876285, 10.817663883349878 59.91909284737074, 10.817508425803782 59.91904761840795, 10.817408470352397 59.91901656964983, 10.814365854745146 59.91820991049476, 10.811623272087681 59.917480069333685, 10.811459287074342 59.91742746739478)"/>
    <s v="[763263, 763271, 763279, 763287, 763295, 763303, 763311, 763319, 763327, 763335, 763343, 763351, 763359, 763367, 763375, 763383]"/>
    <s v="[742493, 742502, 742511, 742519, 742526, 742535, 742542, 742550, 742559, 742566, 742574, 742583, 742590, 742596, 742604, 733297]"/>
    <s v="0.008784986394905056"/>
    <s v="[735276, 742493, 742502, 742511, 742519, 742526, 742535, 742542, 742550, 742559, 742566, 742574, 742583, 742590, 742596, 742604]"/>
    <s v="[0.014, 0.0, 0.013, 0.029, 0.024, 0.036, 0.145, 0.011, 0.058, 0.007, 0.036, 0.028, 0.031, 0.0, 0.046, 0.317]"/>
    <s v="1574.9526180813443"/>
    <s v="[-0.014, 0.0, 0.013, 0.029, 0.024, 0.036, -0.145, 0.011, 0.058, 0.007, 0.036, 0.028, 0.031, 0.0, -0.046, 0.317]"/>
  </r>
  <r>
    <x v="2226"/>
    <x v="2852"/>
    <x v="0"/>
    <n v="0"/>
    <m/>
    <n v="751698"/>
    <n v="733307"/>
    <s v="0.013"/>
    <n v="733299"/>
    <s v="0.013"/>
    <s v="10.151358973199956"/>
    <s v="0.013"/>
  </r>
  <r>
    <x v="2226"/>
    <x v="2849"/>
    <x v="0"/>
    <n v="0"/>
    <s v="LINESTRING (10.814301873799142 59.91515239769207, 10.814287641996705 59.915165998602475, 10.812444342239962 59.91679923735051, 10.811861276961777 59.917108476693244, 10.811292921012859 59.91736025047043, 10.811279339409408 59.91736598637745, 10.811190101764506 59.91740361691888, 10.810817652419079 59.917558446689505, 10.80993272185673 59.917954620763346, 10.809920526590702 59.9179610030866, 10.809242809524125 59.91838424152569, 10.808865048765103 59.918717654311294, 10.808482683809608 59.919301832492806, 10.80841493804969 59.91949321454542, 10.808411966521675 59.91950199440621, 10.808367359120552 59.91963353836241, 10.808447208180164 59.91968193667742)"/>
    <s v="[754200, 754208, 754216, 754224, 754232, 754240, 754248, 345501, 345506, 345507, 345512, 754256, 754264, 754272, 754280, 754288]"/>
    <s v="[735187, 735193, 735200, 735205, 735210, 735218, 334081, 334082, 334087, 334088, 334090, 735233, 735241, 735246, 735254, 733299]"/>
    <s v="#FIELD!"/>
    <s v="[735183, 735187, 735193, 735200, 735205, 735210, 735218, 334081, 334082, 334087, 334088, 334090, 735233, 735241, 735246, 735254]"/>
    <s v="[0.027, 0.017, 0.054, 0.026, 0.016, 0.031, 0.05, 0.003, 0.008, 0.011, 0.007, 0.014, 0.012, 0.002, 0.003, 0.02]"/>
    <s v="619.7127745353632"/>
    <s v="[0.027, 0.017, -0.054, -0.026, -0.016, -0.031, -0.05, -0.003, 0.008, 0.011, 0.007, -0.014, 0.012, -0.002, 0.003, -0.02]"/>
  </r>
  <r>
    <x v="2227"/>
    <x v="1608"/>
    <x v="0"/>
    <n v="0"/>
    <m/>
    <n v="751706"/>
    <n v="733315"/>
    <s v="0.0"/>
    <n v="733314"/>
    <s v="0.0"/>
    <s v="10.452315772317174"/>
    <s v="0.0"/>
  </r>
  <r>
    <x v="2228"/>
    <x v="2853"/>
    <x v="0"/>
    <n v="0"/>
    <m/>
    <n v="751738"/>
    <n v="733336"/>
    <s v="0.066"/>
    <n v="733331"/>
    <s v="0.066"/>
    <s v="7.68960337086208"/>
    <s v="0.066"/>
  </r>
  <r>
    <x v="2228"/>
    <x v="2727"/>
    <x v="0"/>
    <n v="0"/>
    <m/>
    <n v="766476"/>
    <n v="733343"/>
    <s v="0.043"/>
    <n v="733331"/>
    <s v="0.043"/>
    <s v="4.588027899135748"/>
    <s v="0.043"/>
  </r>
  <r>
    <x v="2228"/>
    <x v="2702"/>
    <x v="0"/>
    <s v="[1, 1, 0, 0, 0]"/>
    <s v="LINESTRING (10.81565189576946 59.92338897327108, 10.815799129879187 59.92328665593404, 10.81613968412324 59.923057410565605, 10.816257132333636 59.92299101060437, 10.816693986399695 59.92268120489841, 10.81682816247837 59.92251193592121)"/>
    <s v="[766436, 766444, 766452, 766460, 766468]"/>
    <s v="[745563, 745568, 745576, 745584, 733331]"/>
    <s v="0.05942378856580574"/>
    <s v="[745557, 745563, 745568, 745576, 745584]"/>
    <s v="[0.14, 0.08, 0.188, 0.089, 0.041]"/>
    <s v="118.43354556598844"/>
    <s v="[-0.14, 0.08, 0.188, 0.089, 0.041]"/>
  </r>
  <r>
    <x v="2229"/>
    <x v="2727"/>
    <x v="0"/>
    <n v="0"/>
    <m/>
    <n v="751746"/>
    <n v="733343"/>
    <s v="#FIELD!"/>
    <n v="733336"/>
    <s v="0.036"/>
    <s v="8.668333173144264"/>
    <s v="#FIELD!"/>
  </r>
  <r>
    <x v="2229"/>
    <x v="2854"/>
    <x v="0"/>
    <s v="[1, 1, 0, 0, 0, 0, 0]"/>
    <s v="LINESTRING (10.815557732763827 59.92335451092507, 10.815557732763827 59.92335451092507, 10.816031679009827 59.923033298243254, 10.816173535736933 59.9229451957553, 10.816290417095601 59.92285629947511, 10.816554398648796 59.922631156546544, 10.816679512956718 59.92252609444473, 10.816702771413537 59.922483675179556)"/>
    <s v="[765963, 765971, 765987, 765995, 766011, 766019, 766027]"/>
    <s v="[745047, 745056, 738785, 745085, 745110, 745119, 733336]"/>
    <s v="0.06641614315905246"/>
    <s v="[745032, 745047, 745056, 738785, 745085, 745110, 745119]"/>
    <s v="[0.0, 0.045, 0.168, 0.184, 0.02, 0.001, 0.296]"/>
    <s v="125.82569226506021"/>
    <s v="[0.0, 0.045, 0.168, 0.184, 0.02, 0.001, 0.296]"/>
  </r>
  <r>
    <x v="2230"/>
    <x v="2730"/>
    <x v="0"/>
    <n v="0"/>
    <s v="LINESTRING (10.860065326947005 59.927187308522875, 10.860431660031093 59.927309263139996, 10.862576761097998 59.92815777213944, 10.865259208967952 59.92962164176707, 10.865662749348893 59.92985505107034, 10.865674575806432 59.929861779039996, 10.867071591562064 59.930667820063704, 10.86729416478309 59.9307932801138, 10.870073305094387 59.932004282952434)"/>
    <s v="[754456, 754464, 754472, 754480, 754488, 754496, 754504, 754512]"/>
    <s v="[735425, 735433, 735439, 735446, 735455, 735461, 735466, 733364]"/>
    <s v="#FIELD!"/>
    <s v="[733353, 735425, 735433, 735439, 735446, 735455, 735461, 735466]"/>
    <s v="[0.036, 0.017, 0.022, 0.008, 0.006, 0.043, 0.017, 0.014]"/>
    <s v="778.8170835591579"/>
    <s v="[-0.036, 0.017, 0.022, -0.008, 0.006, -0.043, -0.017, -0.014]"/>
  </r>
  <r>
    <x v="2230"/>
    <x v="1879"/>
    <x v="0"/>
    <s v="[0, 0, 0, 0, 0, 0, 0, 0, 0, 0, 0, 1, 0, 0, 0, 0]"/>
    <s v="LINESTRING (10.836111281677805 59.923615353597015, 10.83677621902496 59.92359919364391, 10.840833100819168 59.92361106749518, 10.84304320465865 59.92378155809903, 10.843060557587027 59.92378343667508, 10.846068752865461 59.924215403703606, 10.850530519778955 59.92524000300087, 10.850725836218114 59.92528402885013, 10.850742088823743 59.9252876969084, 10.852200450154626 59.925592024225914, 10.853060975282073 59.92574635387609, 10.85322921983132 59.92577458001946, 10.855234378794115 59.92609755799352, 10.855483858389887 59.92613795878731, 10.85779653023997 59.92657918803953, 10.860016398243214 59.92717174408075, 10.860065326947005 59.927187308522875)"/>
    <s v="[754312, 754336, 754344, 754352, 754360, 754368, 754376, 754384, 754392, 754400, 754408, 754416, 754424, 754432, 754440, 754448]"/>
    <s v="[735284, 735304, 735315, 735322, 735332, 735342, 735351, 735358, 735364, 735371, 735379, 735387, 735396, 735402, 735410, 733353]"/>
    <s v="0.027774945504052833"/>
    <s v="[735276, 735284, 735304, 735315, 735322, 735332, 735342, 735351, 735358, 735364, 735371, 735379, 735387, 735396, 735402, 735410]"/>
    <s v="[0.012, 0.012, 0.014, 0.004, 0.007, 0.037, 0.067, 0.012, 0.031, 0.0, 0.036, 0.013, 0.035, 0.069, 0.055, 0.05]"/>
    <s v="1417.6431882625193"/>
    <s v="[0.012, 0.012, 0.014, -0.004, 0.007, 0.037, 0.067, -0.012, 0.031, 0.0, 0.036, 0.013, 0.035, 0.069, 0.055, -0.05]"/>
  </r>
  <r>
    <x v="2231"/>
    <x v="2019"/>
    <x v="0"/>
    <n v="0"/>
    <s v="LINESTRING (10.860248027430936 59.92746008720981, 10.861622126947706 59.927975311413725, 10.862353502384105 59.92828826592674, 10.865413017900801 59.9299685619776, 10.865424582251835 59.92997538064142, 10.867046515061693 59.93090502530914)"/>
    <s v="[779854, 779862, 779870, 779878, 779886]"/>
    <s v="[759989, 759997, 760006, 760015, 733369]"/>
    <s v="0.008832875695954971"/>
    <s v="[733360, 759989, 759997, 760006, 760015]"/>
    <s v="[0.006, 0.04, 0.019, 0.045, 0.012]"/>
    <s v="542.2581679158421"/>
    <s v="[-0.006, 0.04, 0.019, 0.045, -0.012]"/>
  </r>
  <r>
    <x v="2231"/>
    <x v="2855"/>
    <x v="0"/>
    <s v="[0, 1, 1, 1, 0, 0]"/>
    <s v="LINESTRING (10.85206550596547 59.92575590684471, 10.85277643224222 59.925886194514895, 10.852946383023097 59.925915104129174, 10.85536267548033 59.92630650345856, 10.85563962019127 59.9263521740847, 10.859886144526214 59.92734423310247, 10.860248027430936 59.92746008720981)"/>
    <s v="[779806, 779814, 779822, 779830, 779838, 779846]"/>
    <s v="[759937, 759944, 759952, 759962, 759974, 733360]"/>
    <s v="0.03657351276464007"/>
    <s v="[733477, 759937, 759944, 759952, 759962, 759974]"/>
    <s v="[0.081, 0.062, 0.033, 0.032, 0.04, 0.22]"/>
    <s v="497.5458138347797"/>
    <s v="[-0.081, 0.062, 0.033, 0.032, 0.04, 0.22]"/>
  </r>
  <r>
    <x v="2232"/>
    <x v="1890"/>
    <x v="0"/>
    <n v="0"/>
    <s v="LINESTRING (10.870073305094387 59.932004282952434, 10.879886072875014 59.934613613601776, 10.881129075382635 59.93492824764433)"/>
    <s v="[754520, 754528]"/>
    <s v="[735475, 733373]"/>
    <s v="0.028449813826115996"/>
    <s v="[733364, 735475]"/>
    <s v="[0.026, 0.048]"/>
    <s v="699.1639499968846"/>
    <s v="[0.026, 0.048]"/>
  </r>
  <r>
    <x v="2233"/>
    <x v="2856"/>
    <x v="0"/>
    <n v="0"/>
    <s v="LINESTRING (10.867046515061693 59.93090502530914, 10.86887835451758 59.93177439402801, 10.869892101181453 59.93214495547373, 10.879755600638129 59.93474952066926)"/>
    <s v="[779894, 779902, 779910]"/>
    <s v="[760030, 760039, 733387]"/>
    <s v="0.014583376130287465"/>
    <s v="[733369, 760030, 760039]"/>
    <s v="[0.001, 0.02, 0.022]"/>
    <s v="834.8075723733901"/>
    <s v="[-0.001, -0.02, 0.022]"/>
  </r>
  <r>
    <x v="2234"/>
    <x v="1900"/>
    <x v="0"/>
    <n v="0"/>
    <s v="LINESTRING (10.881129075382635 59.93492824764433, 10.890134304288699 59.93723530193644, 10.890150132496254 59.93723943717439, 10.892137951150513 59.9377466542246, 10.892153941509267 59.9377506414238, 10.893625415647737 59.938115542304814, 10.893641594735547 59.93811931042841, 10.896927488623092 59.93881663351404, 10.897070040457585 59.938842454578065, 10.898138233903376 59.93903106115923, 10.898143582736001 59.9390320009532, 10.898160540546804 59.93903469587091, 10.900318929742792 59.93933553334838)"/>
    <s v="[754536, 754544, 754552, 754560, 754568, 754576, 754584, 754592, 754600, 754608, 754616, 754624]"/>
    <s v="[735487, 735490, 735495, 735499, 735505, 735511, 735517, 735523, 735530, 735536, 735541, 733396]"/>
    <s v="0.024905562308127595"/>
    <s v="[733373, 735487, 735490, 735495, 735499, 735505, 735511, 735517, 735523, 735530, 735536, 735541]"/>
    <s v="[0.027, 0.001, 0.037, 0.022, 0.014, 0.006, 0.018, 0.03, 0.038, 0.0, 0.052, 0.073]"/>
    <s v="1182.8411103941294"/>
    <s v="[0.027, 0.001, 0.037, 0.022, 0.014, 0.006, -0.018, 0.03, 0.038, 0.0, 0.052, 0.073]"/>
  </r>
  <r>
    <x v="2235"/>
    <x v="1889"/>
    <x v="0"/>
    <n v="0"/>
    <m/>
    <n v="751802"/>
    <n v="733379"/>
    <s v="#FIELD!"/>
    <n v="733378"/>
    <s v="0.011"/>
    <s v="9.302150289038442"/>
    <s v="#FIELD!"/>
  </r>
  <r>
    <x v="2236"/>
    <x v="2856"/>
    <x v="218"/>
    <n v="0"/>
    <s v="LINESTRING (10.889980803261986 59.93773842484436, 10.889928931134571 59.93773770517139, 10.888604039679072 59.93736818501793, 10.883695936489309 59.93582757610131, 10.879810053603974 59.93481595909534, 10.879755600638129 59.93474952066926)"/>
    <s v="[751810, 728308, 728316, 728324, 751818]"/>
    <s v="[717268, 717269, 717274, 717281, 733387]"/>
    <s v="#FIELD!"/>
    <s v="[733379, 717268, 717269, 717274, 717281]"/>
    <s v="[0.962, 0.031, 0.04, 0.034, 0.052]"/>
    <s v="667.1310506749358"/>
    <s v="[0.962, -0.031, -0.04, -0.034, 0.052]"/>
  </r>
  <r>
    <x v="2237"/>
    <x v="1901"/>
    <x v="219"/>
    <n v="0"/>
    <s v="LINESTRING (10.879755600638129 59.93474952066926, 10.880974725748239 59.9350645778746, 10.889996748175243 59.93736400250675, 10.890021163799226 59.937370266857044, 10.890037105806574 59.937374351713494, 10.892026956481063 59.93788821503403, 10.892042838788445 59.93789235172017, 10.893514545388141 59.93826337477081, 10.89353069226702 59.938267258783746, 10.896836914126922 59.9389554895701, 10.896972909270863 59.93897869691728)"/>
    <s v="[779918, 779926, 779934, 779942, 779950, 779958, 779973, 779977, 779985, 779987]"/>
    <s v="[760048, 760058, 760067, 760077, 760083, 760089, 760099, 760103, 760112, 733403]"/>
    <s v="0.021503370393595102"/>
    <s v="[733387, 760048, 760058, 760067, 760077, 760083, 760089, 760099, 760103, 760112]"/>
    <s v="[0.024, 0.034, 0.034, 0.02, 0.003, 0.017, 0.007, 0.051, 0.003, 0.206]"/>
    <s v="1072.5893708452406"/>
    <s v="[0.024, 0.034, 0.034, -0.02, 0.003, 0.017, -0.007, -0.051, 0.003, 0.206]"/>
  </r>
  <r>
    <x v="2238"/>
    <x v="2826"/>
    <x v="0"/>
    <s v="[0, 0, 0, 0, 0, 0, 0, 0, 1, 0]"/>
    <s v="LINESTRING (10.900318929742792 59.93933553334838, 10.90104657262173 59.939409374264805, 10.901129939880509 59.93941755202881, 10.901147501870094 59.93941927636445, 10.903427778370169 59.93954960400494, 10.908250013017419 59.93934957987987, 10.90826782447778 59.93934870368189, 10.913338582559346 59.9395501176317, 10.913915227077561 59.93962767080415, 10.916324032409793 59.93995771401495, 10.921762756632157 59.93991044896155)"/>
    <s v="[754632, 754640, 754648, 754656, 754664, 754672, 754680, 754688, 754696, 754704]"/>
    <s v="[735553, 735561, 735568, 735572, 735577, 735582, 735586, 735593, 735599, 735605]"/>
    <s v="0.005181066448049978"/>
    <s v="[733396, 735553, 735561, 735568, 735572, 735577, 735582, 735586, 735593, 735599]"/>
    <s v="[0.059, 0.045, 0.091, 0.016, 0.006, 0.022, 0.01, 0.016, 0.008, 0.007]"/>
    <s v="1214.1018571961968"/>
    <s v="[0.059, 0.045, 0.091, 0.016, 0.006, -0.022, -0.01, -0.016, 0.008, 0.007]"/>
  </r>
  <r>
    <x v="2239"/>
    <x v="2827"/>
    <x v="0"/>
    <s v="[0, 0, 0, 0, 0, 0, 0, 0, 0, 0, 0, 0, 0, 1]"/>
    <s v="LINESTRING (10.896972909270863 59.93897869691728, 10.89805020043427 59.939165780388144, 10.898055667462575 59.93916663395799, 10.8980673590823 59.939168445608146, 10.89807277477848 59.939169279596896, 10.90024529856093 59.939472671161944, 10.900970791289266 59.93954899890296, 10.901054140890945 59.939557032305366, 10.901071707378167 59.93955872082631, 10.903349321764539 59.939690657057355, 10.908169882209348 59.939511343078266, 10.908187692653216 59.93951047584851, 10.913252855535502 59.93970253022431, 10.9138329764025 59.939771668338665, 10.916238792847997 59.94011150999172)"/>
    <s v="[779988, 779989, 779997, 780005, 780013, 780021, 780029, 780037, 780045, 780053, 780061, 780069, 780077, 780085]"/>
    <s v="[760115, 760116, 760123, 760132, 760140, 760148, 760156, 760162, 760171, 760179, 760189, 760197, 760204, 744227]"/>
    <s v="0.01402165744626845"/>
    <s v="[733403, 760115, 760116, 760123, 760132, 760140, 760148, 760156, 760162, 760171, 760179, 760189, 760197, 760204]"/>
    <s v="[0.018, 0.053, 0.025, 0.0, 0.003, 0.108, 0.111, 0.14, 0.052, 0.008, 0.027, 0.003, 0.011, 0.027]"/>
    <s v="1096.8380701786762"/>
    <s v="[0.018, -0.053, -0.025, 0.0, 0.003, 0.108, 0.111, 0.14, 0.052, -0.008, -0.027, 0.003, -0.011, 0.027]"/>
  </r>
  <r>
    <x v="2240"/>
    <x v="2857"/>
    <x v="0"/>
    <s v="[0, 0, 0, 0, 0, 0, 0, 0, 1, 0, 0, 1, 0, 0]"/>
    <s v="LINESTRING (10.938608552338849 59.943840202383385, 10.938955115189342 59.944435816132305, 10.93899882904726 59.94451156105953, 10.939219312717142 59.94486473019119, 10.939355975831745 59.945060523815876, 10.93936180063686 59.94506871399838, 10.939453351763804 59.945193736383686, 10.939587978492904 59.94534413631774, 10.939914102590205 59.945696280679854, 10.940620230398029 59.946269246952404, 10.945039175473823 59.947891926191105, 10.946829434273821 59.948208761753264, 10.947522858767693 59.94833855656506, 10.949927571078085 59.94890263575036, 10.951232502763963 59.949336343336114)"/>
    <s v="[754848, 754856, 754864, 754872, 754880, 754888, 754896, 754904, 754912, 754920, 754928, 754936, 754944, 754952]"/>
    <s v="[735739, 735745, 735752, 735759, 735767, 735777, 735783, 735788, 735795, 735802, 735809, 735813, 735821, 733448]"/>
    <s v="0.0026789288030031775"/>
    <s v="[733414, 735739, 735745, 735752, 735759, 735767, 735777, 735783, 735788, 735795, 735802, 735809, 735813, 735821]"/>
    <s v="[0.002, 0.025, 0.04, 0.061, 0.066, 0.07, 0.088, 0.107, 0.059, 0.038, 0.056, 0.043, 0.054, 0.025]"/>
    <s v="989.0087285437626"/>
    <s v="[-0.002, -0.025, -0.04, -0.061, -0.066, -0.07, -0.088, -0.107, -0.059, 0.038, -0.056, 0.043, 0.054, 0.025]"/>
  </r>
  <r>
    <x v="2240"/>
    <x v="2826"/>
    <x v="0"/>
    <s v="[0, 0, 0, 0, 1, 1, 1, 0, 0, 1, 0, 1, 0, 0, 0, 0, 0]"/>
    <s v="LINESTRING (10.921762756632157 59.93991044896155, 10.921871578258797 59.93989979286936, 10.922011274438692 59.939885777067474, 10.922220336571263 59.9398654664113, 10.92472114345351 59.9395893436793, 10.92479193255989 59.93958137444938, 10.92480961253133 59.93957937710529, 10.925571291321836 59.93949516995407, 10.92681968943747 59.939363166267704, 10.928250415653757 59.939258850677625, 10.929460016500299 59.93924319385642, 10.93479305990361 59.9402424397219, 10.935379200553667 59.940518227232744, 10.937655629808773 59.942271876608636, 10.937664532677516 59.94228316468125, 10.938520966386898 59.94367789158783, 10.938591199261468 59.943806312187434, 10.938608552338849 59.943840202383385)"/>
    <s v="[754712, 754720, 754728, 754736, 754744, 754752, 754760, 754768, 754776, 754784, 754792, 754800, 754808, 754816, 754824, 754832, 754840]"/>
    <s v="[735612, 735618, 735628, 735632, 735638, 735648, 735655, 735665, 735673, 735682, 735689, 735695, 735703, 735711, 735716, 735724, 733414]"/>
    <s v="0.0022537739327900086"/>
    <s v="[735605, 735612, 735618, 735628, 735632, 735638, 735648, 735655, 735665, 735673, 735682, 735689, 735695, 735703, 735711, 735716, 735724]"/>
    <s v="[0.018, 0.026, 0.025, 0.055, 0.039, 0.047, 0.043, 0.016, 0.012, 0.031, 0.013, 0.034, 0.032, 0.013, 0.007, 0.003, 0.007]"/>
    <s v="1224.419243554824"/>
    <s v="[-0.018, -0.026, -0.025, -0.055, -0.039, -0.047, -0.043, -0.016, 0.012, 0.031, 0.013, -0.034, 0.032, -0.013, 0.007, 0.003, 0.007]"/>
  </r>
  <r>
    <x v="2241"/>
    <x v="2689"/>
    <x v="0"/>
    <n v="0"/>
    <s v="LINESTRING (10.938752970094885 59.94450456565255, 10.938671114018499 59.944470574810694, 10.938375562331123 59.94404519695486, 10.93703389629159 59.9421899370241, 10.934821694329685 59.941036090454055, 10.934768441257535 59.94101736469787)"/>
    <s v="[751858, 728548, 728556, 728564, 751866]"/>
    <s v="[717413, 717414, 717420, 717425, 733427]"/>
    <s v="#FIELD!"/>
    <s v="[733420, 717413, 717414, 717420, 717425]"/>
    <s v="[0.136, 0.002, 0.004, 0.043, 0.392]"/>
    <s v="462.42989498789"/>
    <s v="[-0.136, 0.002, -0.004, -0.043, 0.392]"/>
  </r>
  <r>
    <x v="2241"/>
    <x v="2858"/>
    <x v="0"/>
    <s v="[0, 0, 0, 0, 0, 0, 0, 1, 0, 0, 1, 0, 0, 0]"/>
    <s v="LINESTRING (10.938752970094885 59.94450456565255, 10.938782485885008 59.94455474417329, 10.939017632660187 59.944925277080046, 10.939158500788103 59.94513150379519, 10.93916523889131 59.94513999185978, 10.93926844664745 59.94527006682012, 10.939401429311355 59.94543008117312, 10.939748965763508 59.94579922192305, 10.94039400215923 59.9463179991479, 10.944879206173251 59.94798592536304, 10.946700911431728 59.94831502271553, 10.947397499739825 59.94843654528658, 10.948920930284723 59.94876001317344, 10.94978873819106 59.94899667014298, 10.951071823533756 59.94943389723119)"/>
    <s v="[780234, 780242, 780250, 780258, 780266, 780274, 780282, 780290, 780298, 780306, 780314, 780322, 780330, 780338]"/>
    <s v="[760362, 760370, 760377, 760385, 760390, 760399, 760408, 760415, 760422, 760431, 760439, 760447, 760456, 733455]"/>
    <s v="0.005721726322497506"/>
    <s v="[733420, 760362, 760370, 760377, 760385, 760390, 760399, 760408, 760415, 760422, 760431, 760439, 760447, 760456]"/>
    <s v="[0.256, 0.046, 0.016, 0.007, 0.029, 0.07, 0.17, 0.062, 0.037, 0.032, 0.028, 0.036, 0.081, 0.057]"/>
    <s v="923.6484935555984"/>
    <s v="[-0.256, -0.046, 0.016, -0.007, -0.029, -0.07, -0.17, -0.062, 0.037, -0.032, 0.028, 0.036, 0.081, 0.057]"/>
  </r>
  <r>
    <x v="2241"/>
    <x v="2827"/>
    <x v="0"/>
    <s v="[0, 0, 0, 0, 0, 1, 1, 1, 0, 0, 1, 0, 1, 0, 0, 0, 0]"/>
    <s v="LINESTRING (10.916238792847997 59.94011150999172, 10.921224003703928 59.940107520497875, 10.921241490222112 59.940105643502285, 10.921767067973754 59.940048769597325, 10.922283153335538 59.9399896577634, 10.92471432809411 59.939717699663085, 10.924785062586016 59.93970959388109, 10.924802745928645 59.93970756966874, 10.92556447928429 59.93962352601736, 10.926642361169272 59.93950547106435, 10.92787471127172 59.9394000770104, 10.929103791277898 59.939357154524934, 10.934713596418257 59.94037393860892, 10.935305440917979 59.94064194574744, 10.937454259858999 59.942347255938806, 10.938290014462261 59.94370066420652, 10.93838695731822 59.94387011453328, 10.938752970094885 59.94450456565255)"/>
    <s v="[780098, 780106, 780114, 780122, 780130, 780138, 780146, 780154, 780162, 780170, 780178, 780186, 780194, 780202, 780210, 780218, 780226]"/>
    <s v="[760224, 760231, 760239, 760250, 760259, 760269, 760277, 760286, 760294, 760303, 760311, 760319, 760327, 760335, 760343, 760351, 733420]"/>
    <s v="0.0033364095918537707"/>
    <s v="[744227, 760224, 760231, 760239, 760250, 760259, 760269, 760277, 760286, 760294, 760303, 760311, 760319, 760327, 760335, 760343, 760351]"/>
    <s v="[0.009, 0.028, 0.023, 0.002, 0.05, 0.069, 0.037, 0.024, 0.012, 0.009, 0.032, 0.003, 0.056, 0.018, 0.001, 0.011, 0.009]"/>
    <s v="1592.6718680008548"/>
    <s v="[0.009, -0.028, -0.023, -0.002, -0.05, -0.069, -0.037, -0.024, 0.012, 0.009, 0.032, 0.003, 0.056, 0.018, -0.001, 0.011, 0.009]"/>
  </r>
  <r>
    <x v="2242"/>
    <x v="2857"/>
    <x v="220"/>
    <s v="[0, 0, 0, 0, 1, 0, 0]"/>
    <s v="LINESTRING (10.946340912880771 59.94865008248658, 10.946340912880771 59.94865008248658, 10.947362053913263 59.94792089831935, 10.946491470245313 59.94807842009644, 10.946882873812774 59.94815457453886, 10.947581976889218 59.94829230261849, 10.951183970388005 59.94924944170964, 10.951232502763963 59.949336343336114)"/>
    <s v="[751882, 514520, 514528, 514536, 514544, 514552, 751890]"/>
    <s v="[520863, 520864, 520873, 520880, 520892, 520901, 733448]"/>
    <s v="0.009929449048029228"/>
    <s v="[733439, 520863, 520864, 520873, 520880, 520892, 520901]"/>
    <s v="[0.707, 0.072, 0.011, 0.006, 0.007, 0.026, 0.213]"/>
    <s v="717.1054634310854"/>
    <s v="[0.707, -0.072, 0.011, -0.006, 0.007, 0.026, -0.213]"/>
  </r>
  <r>
    <x v="2243"/>
    <x v="2859"/>
    <x v="221"/>
    <s v="[0, 0, 0, 0, 0, 1, 1, 0, 0, 1, 0, 1, 1, 0, 0, 0]"/>
    <s v="LINESTRING (10.951232502763963 59.949336343336114, 10.95287392341661 59.950023019924394, 10.954791413259322 59.95120691185628, 10.964033788297868 59.956800898322406, 10.964909295764691 59.95715779725846, 10.975301594591402 59.96210389122723, 10.975400206888347 59.96214376357222, 10.975557907810973 59.96220791637085, 10.975664789653857 59.962243186241615, 10.987762698620056 59.96758319092472, 10.987851686838201 59.96767760125185, 10.989124939171958 59.96943979896196, 10.989159132365133 59.96949361264461, 10.989299885145856 59.969713034014234, 10.989372617164491 59.969867722904816, 10.991142903381311 59.97382661520708, 10.991632186071147 59.97491514310205)"/>
    <s v="[1506353, 1506354, 1506370, 1506373, 1506381, 1506384, 1506391, 1506413, 1506421, 1506422, 1506428, 1506429, 1506444, 1506448, 1506449, 1506450]"/>
    <s v="[1362243, 1362244, 1362259, 1362261, 1362268, 1362271, 1362279, 1362296, 1362304, 1362305, 1362310, 1362311, 1362320, 1362325, 1362326, 1362327]"/>
    <s v="#FIELD!"/>
    <s v="[733448, 1362243, 1362244, 1362259, 1362261, 1362268, 1362271, 1362279, 1362296, 1362304, 1362305, 1362310, 1362311, 1362320, 1362325, 1362326]"/>
    <s v="[0.022, 0.017, 0.04, 0.085, 0.031, 0.038, 0.014, 0.017, 0.043, 0.04, 0.039, 0.032, 0.035, 0.023, 0.029, 0.02]"/>
    <s v="3768.9211157629584"/>
    <s v="[-0.022, 0.017, 0.04, -0.085, -0.031, -0.038, -0.014, 0.017, -0.043, -0.04, -0.039, -0.032, -0.035, -0.023, -0.029, -0.02]"/>
  </r>
  <r>
    <x v="2244"/>
    <x v="2860"/>
    <x v="0"/>
    <n v="0"/>
    <s v="LINESTRING (10.951071823533756 59.94943389723119, 10.950897343737573 59.949409654541746, 10.949566621665705 59.94904958338209, 10.944021284084126 59.94925387817999, 10.943875882847397 59.94925569493008)"/>
    <s v="[751898, 514560, 514568, 751906]"/>
    <s v="[520911, 520912, 520921, 733459]"/>
    <s v="#FIELD!"/>
    <s v="[733455, 520911, 520912, 520921]"/>
    <s v="[0.243, 0.028, 0.012, 0.076]"/>
    <s v="422.06498638616205"/>
    <s v="[0.243, -0.028, -0.012, -0.076]"/>
  </r>
  <r>
    <x v="2244"/>
    <x v="2861"/>
    <x v="0"/>
    <s v="[0, 0, 0, 0, 0, 0, 0, 1, 0, 0, 1, 0, 0, 1, 0, 0, 0, 0]"/>
    <s v="LINESTRING (10.951071823533756 59.94943389723119, 10.954692873347131 59.95142685095713, 10.960007041219475 59.9552845902957, 10.960298843228964 59.95543330328216, 10.963823193005874 59.956928989716445, 10.971717340735864 59.96032880951935, 10.97191781780749 59.960467186910066, 10.974757977113093 59.96212145067216, 10.975013853451072 59.96222905971954, 10.987310368055613 59.96755116934144, 10.987373026976135 59.967617178087245, 10.987480908273097 59.96771845713183, 10.987660686908455 59.96790868152574, 10.988804440551469 59.96949477546893, 10.988992422228328 59.969823248606716, 10.990547980983138 59.973189438940345, 10.990848001647395 59.97386362219277, 10.991373285419686 59.975002288270076, 10.991678567805778 59.97556065409588)"/>
    <s v="[1558831, 1558839, 1558847, 1558855, 1558863, 1558871, 1558879, 1558887, 1558895, 1558903, 1558911, 1558919, 1558927, 1558935, 1558943, 1558951, 1558959, 1558967]"/>
    <s v="[1406297, 1406302, 1406309, 1406316, 1406322, 1406327, 1406337, 1406342, 1406347, 1406353, 1406360, 1406366, 1406370, 1406376, 1406381, 1406388, 1406393, 1406400]"/>
    <s v="#FIELD!"/>
    <s v="[733455, 1406297, 1406302, 1406309, 1406316, 1406322, 1406327, 1406337, 1406342, 1406347, 1406353, 1406360, 1406366, 1406370, 1406376, 1406381, 1406388, 1406393]"/>
    <s v="[0.007, 0.037, 0.133, 0.047, 0.033, 0.004, 0.056, 0.126, 0.04, 0.043, 0.032, 0.027, 0.048, 0.01, 0.033, 0.027, 0.004, 0.002]"/>
    <s v="3827.1117943468844"/>
    <s v="[-0.007, 0.037, 0.133, 0.047, -0.033, 0.004, -0.056, -0.126, -0.04, -0.043, -0.032, -0.027, -0.048, 0.01, -0.033, -0.027, -0.004, -0.002]"/>
  </r>
  <r>
    <x v="2245"/>
    <x v="2862"/>
    <x v="0"/>
    <n v="0"/>
    <s v="LINESTRING (10.840803220862483 59.923765131411365, 10.842101819654557 59.92386459049751, 10.843004809251461 59.923914179259135, 10.843022194786169 59.92391579812464, 10.846017885612266 59.92434201254782, 10.847763974104726 59.924747285729005, 10.850604367749353 59.92543764432889, 10.850620362718336 59.92544151107729, 10.85206550596547 59.92575590684471)"/>
    <s v="[779742, 779750, 779758, 779766, 779774, 779782, 779790, 779798]"/>
    <s v="[759877, 759884, 759892, 759900, 759907, 759914, 759921, 733477]"/>
    <s v="0.01964050976468138"/>
    <s v="[733487, 759877, 759884, 759892, 759900, 759907, 759914, 759921]"/>
    <s v="[0.01, 0.02, 0.094, 0.003, 0.004, 0.034, 0.008, 0.067]"/>
    <s v="673.6914242311132"/>
    <s v="[-0.01, 0.02, 0.094, 0.003, 0.004, 0.034, -0.008, 0.067]"/>
  </r>
  <r>
    <x v="2246"/>
    <x v="1609"/>
    <x v="0"/>
    <n v="0"/>
    <s v="LINESTRING (10.835792571335011 59.923791373565, 10.83627667332346 59.92372635663959, 10.83677231447298 59.923715955730636, 10.840803220862483 59.923765131411365)"/>
    <s v="[779717, 779733, 779741]"/>
    <s v="[759854, 759868, 733487]"/>
    <s v="0.013738472903820355"/>
    <s v="[735292, 759854, 759868]"/>
    <s v="[0.004, 0.015, 0.014]"/>
    <s v="263.2242667883016"/>
    <s v="[0.004, 0.015, 0.014]"/>
  </r>
  <r>
    <x v="2247"/>
    <x v="2750"/>
    <x v="222"/>
    <n v="0"/>
    <s v="LINESTRING (10.777719884716344 59.827975971782635, 10.778092741211623 59.8289853446719, 10.778769968174318 59.834965691929376, 10.778744138330422 59.83603049103783)"/>
    <s v="[751986, 751994, 752002]"/>
    <s v="[733531, 733539, 733546]"/>
    <s v="#FIELD!"/>
    <s v="[733524, 733531, 733539]"/>
    <s v="[0.028, 0.041, 0.036]"/>
    <s v="903.406133123439"/>
    <s v="[0.028, -0.041, -0.036]"/>
  </r>
  <r>
    <x v="2247"/>
    <x v="2863"/>
    <x v="0"/>
    <n v="0"/>
    <s v="LINESTRING (10.779678822562994 59.82400347915586, 10.780169162784956 59.82396707691046, 10.780135524462738 59.823992971313544, 10.777268391940511 59.826240471201565, 10.777400769759979 59.82671768350244, 10.77774997109165 59.82790770324578, 10.777719884716344 59.827975971782635)"/>
    <s v="[1503942, 1503979, 1503987, 729348, 729356, 753196]"/>
    <s v="[1185838, 1360089, 717836, 717837, 717842, 733524]"/>
    <s v="0.0013828429233758801"/>
    <s v="[1359996, 1185838, 1360089, 717836, 717837, 717842]"/>
    <s v="[0.003, 0.009, 0.005, 0.018, 0.002, 0.032]"/>
    <s v="561.0743914783397"/>
    <s v="[0.003, -0.009, 0.005, -0.018, 0.002, -0.032]"/>
  </r>
  <r>
    <x v="2247"/>
    <x v="2864"/>
    <x v="0"/>
    <s v="[0, 0, 0, 1, 1, 0, 0, 0, 0, 0, 0, 0]"/>
    <s v="LINESTRING (10.775819887361338 59.82187614124549, 10.775868197585444 59.8220302820981, 10.776065762558234 59.82268854344961, 10.776435892386475 59.8239046700122, 10.776443762704535 59.82392991966932, 10.776484173946594 59.82405907931935, 10.776937646895941 59.82556716047323, 10.777120882490344 59.8261108372336, 10.77716545766792 59.82623536481553, 10.777362585279487 59.82684701442063, 10.777596206607342 59.827555165156056, 10.777598738500613 59.82756393239855, 10.777719884716344 59.827975971782635)"/>
    <s v="[1552335, 1552343, 1552351, 1552359, 1552367, 1552375, 1552383, 1552391, 751954, 751962, 751970, 751978]"/>
    <s v="[1401201, 1401207, 1401214, 1401221, 1401227, 1401234, 1401240, 733500, 733501, 733510, 733517, 733524]"/>
    <s v="#FIELD!"/>
    <s v="[1401200, 1401201, 1401207, 1401214, 1401221, 1401227, 1401234, 1401240, 733500, 733501, 733510, 733517]"/>
    <s v="[0.02, 0.026, 0.038, 0.042, 0.014, 0.024, 0.029, 0.015, 0.015, 0.011, 0.0, 0.02]"/>
    <s v="688.1007180620468"/>
    <s v="[-0.02, -0.026, -0.038, -0.042, 0.014, 0.024, -0.029, -0.015, -0.015, -0.011, 0.0, 0.02]"/>
  </r>
  <r>
    <x v="2248"/>
    <x v="2732"/>
    <x v="0"/>
    <n v="0"/>
    <s v="LINESTRING (10.778744138330422 59.83603049103783, 10.778839612098034 59.83662885443382, 10.779064964453173 59.83726682479683, 10.7793805469056 59.83809290077929, 10.779386083140531 59.83810151266939, 10.779444229483145 59.83819188405772)"/>
    <s v="[752010, 752018, 752026, 752034, 752042]"/>
    <s v="[733555, 733562, 733568, 733574, 733578]"/>
    <s v="#FIELD!"/>
    <s v="[733546, 733555, 733562, 733568, 733574]"/>
    <s v="[0.057, 0.035, 0.011, 0.001, 0.021]"/>
    <s v="244.49564287027331"/>
    <s v="[-0.057, -0.035, -0.011, -0.001, -0.021]"/>
  </r>
  <r>
    <x v="2249"/>
    <x v="2747"/>
    <x v="0"/>
    <n v="0"/>
    <m/>
    <n v="752426"/>
    <n v="733844"/>
    <s v="#FIELD!"/>
    <n v="733838"/>
    <s v="0.051"/>
    <s v="95.73357109290059"/>
    <s v="#FIELD!"/>
  </r>
  <r>
    <x v="2250"/>
    <x v="2763"/>
    <x v="0"/>
    <n v="0"/>
    <m/>
    <n v="752691"/>
    <n v="734047"/>
    <s v="#FIELD!"/>
    <n v="734040"/>
    <s v="0.002"/>
    <s v="12.637246535399736"/>
    <s v="#FIELD!"/>
  </r>
  <r>
    <x v="2250"/>
    <x v="2801"/>
    <x v="0"/>
    <n v="0"/>
    <s v="LINESTRING (10.725836625954543 59.91129772965437, 10.717744910574778 59.91012517311287, 10.716629356180057 59.90991037313479, 10.716394966050375 59.90988207211833, 10.716237969800277 59.90986548849735, 10.715980122884947 59.90984109003098, 10.71411491590309 59.90983576185405)"/>
    <s v="[2025404, 2025365, 2025372, 2025364, 752674, 752682]"/>
    <s v="[1768549, 1768550, 1768548, 734031, 734032, 734040]"/>
    <s v="#FIELD!"/>
    <s v="[794436, 1768549, 1768550, 1768548, 734031, 734032]"/>
    <s v="[0.006, 0.014, 0.015, 0.582, 0.028, 0.007]"/>
    <s v="693.0873479797664"/>
    <s v="[0.006, -0.014, -0.015, -0.582, 0.028, 0.007]"/>
  </r>
  <r>
    <x v="2251"/>
    <x v="2769"/>
    <x v="0"/>
    <n v="0"/>
    <s v="LINESTRING (10.713892258079802 59.90985458735297, 10.713506166854376 59.909891432626495, 10.710862868744456 59.910217702604015, 10.710562868877284 59.91025486327956, 10.710547087597554 59.91025685768688, 10.709394526712616 59.910404270569416, 10.708455733127293 59.91052446582417, 10.708029095751483 59.910574971760056, 10.706877961305272 59.91072695051785, 10.704958564844695 59.911162778084105, 10.704220202660043 59.911404986505694, 10.703334060936164 59.911765952399065, 10.702822003518502 59.9120374816623, 10.702438356715096 59.91227667666861)"/>
    <s v="[752699, 752707, 752715, 752723, 752731, 752739, 752747, 752755, 752763, 752771, 752779, 752787, 752795]"/>
    <s v="[734052, 734062, 734072, 734079, 734088, 734093, 734099, 734106, 734113, 734121, 734127, 734135, 734142]"/>
    <s v="#FIELD!"/>
    <s v="[734047, 734052, 734062, 734072, 734079, 734088, 734093, 734099, 734106, 734113, 734121, 734127, 734135]"/>
    <s v="[0.002, 0.01, 0.014, 0.057, 0.016, 0.019, 0.003, 0.006, 0.004, 0.008, 0.013, 0.001, 0.007]"/>
    <s v="711.992002565063"/>
    <s v="[-0.002, 0.01, 0.014, 0.057, -0.016, -0.019, -0.003, -0.006, 0.004, -0.008, -0.013, -0.001, 0.007]"/>
  </r>
  <r>
    <x v="2252"/>
    <x v="2772"/>
    <x v="223"/>
    <n v="0"/>
    <s v="LINESTRING (10.702438356715096 59.91227667666861, 10.697927509385485 59.91515525375684, 10.697913948043325 59.91516109591595, 10.69151506689248 59.91704789047729, 10.691276036590745 59.91725299777358)"/>
    <s v="[752803, 752811, 752819, 752827]"/>
    <s v="[734150, 734158, 734166, 734173]"/>
    <s v="0.0006222197475322884"/>
    <s v="[734142, 734150, 734158, 734166]"/>
    <s v="[0.001, 0.004, 0.003, 0.044]"/>
    <s v="866.9345700089273"/>
    <s v="[0.001, 0.004, 0.003, -0.044]"/>
  </r>
  <r>
    <x v="2253"/>
    <x v="2775"/>
    <x v="0"/>
    <n v="0"/>
    <s v="LINESTRING (10.691276036590745 59.91725299777358, 10.687705737443135 59.91811742658352, 10.68768849218628 59.918115072188925, 10.683500550239701 59.91849173716805, 10.683487050545528 59.91849762490514, 10.68275286739652 59.91894838333306)"/>
    <s v="[752835, 752843, 752851, 752859, 752867]"/>
    <s v="[734182, 734187, 734194, 734204, 734214]"/>
    <s v="0.0008653730575392391"/>
    <s v="[734173, 734182, 734187, 734194, 734204]"/>
    <s v="[0.003, 0.037, 0.005, 0.006, 0.001]"/>
    <s v="568.8596059586566"/>
    <s v="[-0.003, -0.037, 0.005, -0.006, 0.001]"/>
  </r>
  <r>
    <x v="2254"/>
    <x v="2781"/>
    <x v="0"/>
    <n v="0"/>
    <s v="LINESTRING (10.68275286739652 59.91894838333306, 10.681264520769096 59.919796252157745, 10.68120796665632 59.9198187652571, 10.681160295020957 59.919837433399216, 10.67902907790078 59.920326081401406)"/>
    <s v="[752875, 752883, 752891, 752899]"/>
    <s v="[734223, 734231, 734238, 734246]"/>
    <s v="0.002962666939561068"/>
    <s v="[734214, 734223, 734231, 734238]"/>
    <s v="[0.03, 0.085, 0.098, 0.028]"/>
    <s v="265.41994352717995"/>
    <s v="[0.03, 0.085, 0.098, -0.028]"/>
  </r>
  <r>
    <x v="2255"/>
    <x v="2786"/>
    <x v="0"/>
    <s v="[0, 0, 0, 0, 1, 0, 0]"/>
    <s v="LINESTRING (10.67902907790078 59.920326081401406, 10.678450436519142 59.92043925194683, 10.678428010976145 59.920443524322614, 10.678411095559907 59.92044674567409, 10.676369902052537 59.920826148908986, 10.67538242129711 59.92090276732354, 10.672132634713028 59.920520351566054, 10.672051333544172 59.920502391838156)"/>
    <s v="[752907, 752915, 752923, 752931, 752939, 752947, 752955]"/>
    <s v="[734256, 734265, 734275, 734285, 734294, 734302, 734310]"/>
    <s v="0.010272627438857084"/>
    <s v="[734246, 734256, 734265, 734275, 734285, 734294, 734302]"/>
    <s v="[0.063, 0.016, 0.011, 0.024, 0.029, 0.009, 0.022]"/>
    <s v="408.8142365268348"/>
    <s v="[-0.063, 0.016, 0.011, 0.024, 0.029, 0.009, 0.022]"/>
  </r>
  <r>
    <x v="2256"/>
    <x v="2865"/>
    <x v="0"/>
    <n v="0"/>
    <s v="LINESTRING (10.672051333544172 59.920502391838156, 10.666964491530987 59.91868887069092, 10.665706219312794 59.91853069811365, 10.665671060188059 59.91852769697044, 10.665653488960025 59.91852620116581, 10.663620873842643 59.91826418554615, 10.663570509417427 59.91825488292303)"/>
    <s v="[752963, 752971, 752979, 752987, 752995, 753003]"/>
    <s v="[734314, 734323, 734327, 734334, 734338, 734343]"/>
    <s v="#FIELD!"/>
    <s v="[734310, 734314, 734323, 734327, 734334, 734338]"/>
    <s v="[0.005, 0.012, 0.001, 0.0, 0.01, 0.001]"/>
    <s v="548.0965194992301"/>
    <s v="[-0.005, -0.012, -0.001, 0.0, -0.01, -0.001]"/>
  </r>
  <r>
    <x v="2257"/>
    <x v="2866"/>
    <x v="0"/>
    <n v="0"/>
    <s v="LINESTRING (10.663570509417427 59.91825488292303, 10.659302361382123 59.91725867797769, 10.65925337685532 59.91724843000123)"/>
    <s v="[753011, 753019]"/>
    <s v="[734348, 734354]"/>
    <s v="0.0131003407860104"/>
    <s v="[734343, 734348]"/>
    <s v="[0.013, 0.022]"/>
    <s v="266.3438481780094"/>
    <s v="[0.013, 0.022]"/>
  </r>
  <r>
    <x v="2257"/>
    <x v="2866"/>
    <x v="0"/>
    <n v="0"/>
    <s v="LINESTRING (10.663570509417427 59.91825488292303, 10.663269861984729 59.918253070735716, 10.66247768451093 59.91809298423009, 10.662202479839227 59.91803355858663, 10.661542652308643 59.91787849326116, 10.661250646326922 59.917807055672895, 10.659754071388766 59.917487049359664, 10.659692647636065 59.91750480683009, 10.659598539713393 59.91752598260738, 10.65940300218423 59.91735048047059, 10.65925337685532 59.91724843000123)"/>
    <s v="[765286, 752574, 752582, 752590, 752598, 752606, 752614, 752622, 752630, 765294]"/>
    <s v="[733959, 728502, 733964, 733971, 704261, 733988, 733991, 523709, 733999, 734354]"/>
    <s v="0.01258658483623316"/>
    <s v="[734343, 733959, 728502, 733964, 733971, 704261, 733988, 733991, 523709, 733999]"/>
    <s v="[0.02, 0.006, 0.004, 0.026, 0.018, 0.024, 0.057, 0.075, 0.022, 0.017]"/>
    <s v="279.0791763990655"/>
    <s v="[0.02, -0.006, -0.004, 0.026, 0.018, 0.024, 0.057, 0.075, -0.022, -0.017]"/>
  </r>
  <r>
    <x v="2258"/>
    <x v="2789"/>
    <x v="0"/>
    <n v="0"/>
    <s v="LINESTRING (10.65925337685532 59.91724843000123, 10.658271706638335 59.91702442756951, 10.65822216179856 59.91701299172026, 10.656014560065385 59.91656392485682, 10.655830837056058 59.9165291399161, 10.655813956064122 59.916525939031864, 10.654932255982196 59.91636597090871, 10.653694390898654 59.916154067537285)"/>
    <s v="[753027, 753035, 753043, 753051, 753059, 753067, 753075]"/>
    <s v="[734358, 734363, 734371, 734378, 734383, 734387, 734391]"/>
    <s v="0.024119861714264723"/>
    <s v="[734354, 734358, 734363, 734371, 734378, 734383, 734387]"/>
    <s v="[0.001, 0.012, 0.05, 0.085, 0.116, 0.028, 0.014]"/>
    <s v="334.35676724885906"/>
    <s v="[-0.001, -0.012, 0.05, 0.085, 0.116, 0.028, -0.014]"/>
  </r>
  <r>
    <x v="2259"/>
    <x v="2799"/>
    <x v="0"/>
    <n v="0"/>
    <s v="LINESTRING (10.653694390898654 59.916154067537285, 10.652189589824392 59.915904334552486, 10.6477516303531 59.91495037441081, 10.647705999077283 59.91493645609461)"/>
    <s v="[753083, 753091, 753099]"/>
    <s v="[734398, 734408, 734416]"/>
    <s v="0.0026262900553602054"/>
    <s v="[734391, 734398, 734408]"/>
    <s v="[0.005, 0.002, 0.011]"/>
    <s v="362.8079031825863"/>
    <s v="[0.005, 0.002, -0.011]"/>
  </r>
  <r>
    <x v="2260"/>
    <x v="554"/>
    <x v="0"/>
    <n v="0"/>
    <s v="LINESTRING (10.647705999077283 59.91493645609461, 10.645038715456879 59.9142059860734, 10.643340411785505 59.91384134285807, 10.642908615268524 59.913748105018875)"/>
    <s v="[753107, 753115, 753123]"/>
    <s v="[734423, 734429, 734438]"/>
    <s v="#FIELD!"/>
    <s v="[734416, 734423, 734429]"/>
    <s v="[0.026, 0.02, 0.006]"/>
    <s v="300.0177696273798"/>
    <s v="[-0.026, -0.02, -0.006]"/>
  </r>
  <r>
    <x v="2261"/>
    <x v="2867"/>
    <x v="0"/>
    <n v="0"/>
    <s v="LINESTRING (10.777057901817116 59.82684423616031, 10.776992167218364 59.82677108988464, 10.776720305471594 59.82619678040558, 10.776513611313018 59.82591139705136, 10.775205372173472 59.824736396298604)"/>
    <s v="[753188, 729300, 1503884, 1503899]"/>
    <s v="[717817, 717818, 1360008, 1360022]"/>
    <s v="#FIELD!"/>
    <s v="[734494, 717817, 717818, 1360008]"/>
    <s v="[0.006, 0.027, 0.029, 0.029]"/>
    <s v="263.6897789659357"/>
    <s v="[0.006, 0.027, 0.029, -0.029]"/>
  </r>
  <r>
    <x v="2261"/>
    <x v="2752"/>
    <x v="0"/>
    <n v="0"/>
    <s v="LINESTRING (10.777057901817116 59.82684423616031, 10.777292641356036 59.827566054775616, 10.777295818805477 59.82757494167894, 10.777438730784304 59.82799319271174, 10.777813893941184 59.82899952060835, 10.778532789918792 59.83496247938129)"/>
    <s v="[780458, 780466, 780474, 780482, 780490]"/>
    <s v="[760582, 760592, 760601, 760608, 734737]"/>
    <s v="#FIELD!"/>
    <s v="[734494, 760582, 760592, 760601, 760608]"/>
    <s v="[0.01, 0.03, 0.024, 0.001, 0.036]"/>
    <s v="912.2679212045613"/>
    <s v="[-0.01, -0.03, -0.024, 0.001, -0.036]"/>
  </r>
  <r>
    <x v="2261"/>
    <x v="2868"/>
    <x v="0"/>
    <s v="[0, 0, 1, 0, 0, 0, 0, 0]"/>
    <s v="LINESTRING (10.77562255159313 59.822052326255104, 10.775827052986864 59.82270344695686, 10.776194580528221 59.82393467754303, 10.776237109486638 59.82407811210688, 10.776677478774069 59.82553452102388, 10.776687423354257 59.82556172555953, 10.776851646186024 59.826100385793005, 10.776882880523964 59.82622448471145, 10.777057901817116 59.82684423616031)"/>
    <s v="[1542340, 1542348, 1542356, 1542364, 1542372, 1542380, 1542388, 780450]"/>
    <s v="[1393359, 1393367, 1393377, 1393384, 1393392, 1393397, 760572, 734494]"/>
    <s v="#FIELD!"/>
    <s v="[1393358, 1393359, 1393367, 1393377, 1393384, 1393392, 1393397, 760572]"/>
    <s v="[0.028, 0.006, 0.022, 0.006, 0.003, 0.007, 0.03, 0.016]"/>
    <s v="540.0660309969815"/>
    <s v="[-0.028, 0.006, 0.022, 0.006, -0.003, -0.007, -0.03, -0.016]"/>
  </r>
  <r>
    <x v="2262"/>
    <x v="482"/>
    <x v="0"/>
    <n v="0"/>
    <s v="LINESTRING (10.769413994537501 59.89934236867063, 10.759891969405128 59.901481383543626, 10.759864756877159 59.90156076620985, 10.75801874280059 59.90387570020286)"/>
    <s v="[753256, 753264, 1928745]"/>
    <s v="[734546, 734552, 1692454]"/>
    <s v="#FIELD!"/>
    <s v="[734538, 734546, 734552]"/>
    <s v="[0.186, 0.275, 0.004]"/>
    <s v="953.8674549154102"/>
    <s v="[-0.186, -0.275, 0.004]"/>
  </r>
  <r>
    <x v="2263"/>
    <x v="2869"/>
    <x v="0"/>
    <n v="0"/>
    <m/>
    <n v="1380455"/>
    <n v="1086237"/>
    <s v="#FIELD!"/>
    <n v="734559"/>
    <s v="0.926"/>
    <s v="110.57674534849585"/>
    <s v="#FIELD!"/>
  </r>
  <r>
    <x v="2263"/>
    <x v="1919"/>
    <x v="0"/>
    <n v="0"/>
    <s v="LINESTRING (10.764545430126848 59.8989510715521, 10.764545430126848 59.8989510715521, 10.765437080839092 59.898850289178)"/>
    <s v="[753272, 753280]"/>
    <s v="[734560, 734567]"/>
    <s v="0.018364517642774334"/>
    <s v="[734559, 734560]"/>
    <s v="[0.0, 0.165]"/>
    <s v="460.1033559489883"/>
    <s v="[0.0, 0.165]"/>
  </r>
  <r>
    <x v="2264"/>
    <x v="1978"/>
    <x v="0"/>
    <n v="0"/>
    <s v="LINESTRING (10.781485880589127 59.90336330166175, 10.78136941097253 59.90335393942525, 10.78128032710673 59.90330880552587)"/>
    <s v="[753368, 753376]"/>
    <s v="[734632, 734595]"/>
    <s v="0.046499851103018526"/>
    <s v="[734627, 734632]"/>
    <s v="[0.017, 0.074]"/>
    <s v="13.685609802089003"/>
    <s v="[0.017, 0.074]"/>
  </r>
  <r>
    <x v="2265"/>
    <x v="2008"/>
    <x v="0"/>
    <n v="0"/>
    <s v="LINESTRING (10.781664111734447 59.903258068388745, 10.781620526711635 59.903327092930304, 10.781538033427886 59.90335858046001)"/>
    <s v="[753344, 753352]"/>
    <s v="[734613, 734619]"/>
    <s v="#FIELD!"/>
    <s v="[734607, 734613]"/>
    <s v="[0.118, 0.072]"/>
    <s v="13.86971158274434"/>
    <s v="[-0.118, -0.072]"/>
  </r>
  <r>
    <x v="2266"/>
    <x v="1978"/>
    <x v="0"/>
    <n v="0"/>
    <m/>
    <n v="753360"/>
    <n v="734627"/>
    <s v="#FIELD!"/>
    <n v="734619"/>
    <s v="0.003"/>
    <s v="2.966466079395976"/>
    <s v="#FIELD!"/>
  </r>
  <r>
    <x v="2267"/>
    <x v="1928"/>
    <x v="0"/>
    <s v="[0, 1, 0]"/>
    <s v="LINESTRING (10.845397306775608 59.81680092180593, 10.846950510370153 59.818703611842295, 10.846969107853143 59.81877571576714, 10.846860078552593 59.82057762285806)"/>
    <s v="[753384, 753392, 753400]"/>
    <s v="[734642, 734650, 734655]"/>
    <s v="#FIELD!"/>
    <s v="[734641, 734642, 734650]"/>
    <s v="[0.048, 0.035, 0.038]"/>
    <s v="440.7416994148464"/>
    <s v="[-0.048, -0.035, -0.038]"/>
  </r>
  <r>
    <x v="2267"/>
    <x v="2870"/>
    <x v="224"/>
    <n v="0"/>
    <s v="LINESTRING (10.843111761633104 59.79789648108205, 10.843141959307959 59.79811027759885, 10.843156250878904 59.79821148581624, 10.843157521670037 59.79822047232515, 10.84161694435482 59.807921217143495, 10.841612958244193 59.80792999228598, 10.840576096313283 59.80996140196207, 10.840573105314734 59.80996706165453, 10.840364968648728 59.81037851023192, 10.840323474826938 59.81046370112783, 10.84012752592357 59.81321005061077, 10.841215342552978 59.814414702521724, 10.841294669652617 59.814476268181785, 10.842444560256254 59.81516971621169, 10.842472805080002 59.815185292744424, 10.844190348221092 59.8161070726604, 10.845008830719552 59.816560754030505, 10.845021106954828 59.81656782275444, 10.845397306775608 59.81680092180593)"/>
    <s v="[1506222, 1506223, 1506232, 1506240, 1506241, 1506248, 1506256, 1506264, 1506265, 1506268, 1506269, 1506274, 1506302, 1506303, 1506310, 1506318, 1506327, 1506328]"/>
    <s v="[1362135, 1362136, 1362143, 1362151, 1362152, 1362157, 1160129, 1362172, 1362173, 1362175, 1362176, 1362180, 1362204, 1362205, 1362213, 1362220, 1362227, 734641]"/>
    <s v="0.0083297793826454"/>
    <s v="[1362133, 1362135, 1362136, 1362143, 1362151, 1362152, 1362157, 1160129, 1362172, 1362173, 1362175, 1362176, 1362180, 1362204, 1362205, 1362213, 1362220, 1362227]"/>
    <s v="[0.006, 0.006, 0.003, 0.007, 0.113, 0.02, 0.029, 0.017, 0.011, 0.024, 0.035, 0.036, 0.023, 0.09, 0.001, 0.043, 0.018, 0.059]"/>
    <s v="2229.2666227311365"/>
    <s v="[0.006, 0.006, -0.003, 0.007, -0.113, -0.02, -0.029, 0.017, 0.011, 0.024, 0.035, 0.036, 0.023, 0.09, 0.001, -0.043, 0.018, 0.059]"/>
  </r>
  <r>
    <x v="2268"/>
    <x v="1937"/>
    <x v="225"/>
    <s v="[0, 0, 0, 0, 1]"/>
    <s v="LINESTRING (10.846860078552593 59.82057762285806, 10.846664392853166 59.82099910401331, 10.846370508127553 59.82156328212807, 10.845660663053525 59.82289809974538, 10.84026500647085 59.833843262462054, 10.839655833009875 59.83587398220009)"/>
    <s v="[753408, 753416, 753424, 753432, 753440]"/>
    <s v="[734660, 734664, 734668, 734671, 734676]"/>
    <s v="#FIELD!"/>
    <s v="[734655, 734660, 734664, 734668, 734671]"/>
    <s v="[0.056, 0.052, 0.002, 0.018, 0.016]"/>
    <s v="1754.8994510977182"/>
    <s v="[-0.056, -0.052, -0.002, -0.018, -0.016]"/>
  </r>
  <r>
    <x v="2269"/>
    <x v="1948"/>
    <x v="226"/>
    <n v="0"/>
    <s v="LINESTRING (10.839655833009875 59.83587398220009, 10.839648765672473 59.83598201298477, 10.839651731379032 59.83692787711205, 10.839983840578276 59.83883502722146, 10.839852591903707 59.839570563948485, 10.838817110721985 59.84170171650957, 10.838802924308055 59.84173116327189, 10.838588142971291 59.842172711818904)"/>
    <s v="[753448, 753456, 753464, 753472, 753480, 753488, 753496]"/>
    <s v="[734681, 734688, 734694, 734696, 734702, 734707, 734712]"/>
    <s v="0.036688605151337296"/>
    <s v="[734676, 734681, 734688, 734694, 734696, 734702, 734707]"/>
    <s v="[0.069, 0.069, 0.025, 0.03, 0.032, 0.044, 0.044]"/>
    <s v="711.9328864115405"/>
    <s v="[0.069, 0.069, 0.025, 0.03, 0.032, 0.044, 0.044]"/>
  </r>
  <r>
    <x v="2270"/>
    <x v="1954"/>
    <x v="0"/>
    <s v="[0, 0, 0, 0, 1, 0]"/>
    <s v="LINESTRING (10.838588142971291 59.842172711818904, 10.837742744963442 59.844089851621995, 10.837691302955081 59.84421502625054, 10.837458820829951 59.8448028580349, 10.837363811988732 59.84507677980104, 10.837303487795813 59.845244804065445, 10.836719645917666 59.84759820542869)"/>
    <s v="[753504, 753512, 753520, 753528, 753536, 753544]"/>
    <s v="[734716, 734721, 734725, 734727, 734733, 734738]"/>
    <s v="0.003837074598930659"/>
    <s v="[734712, 734716, 734721, 734725, 734727, 734733]"/>
    <s v="[0.015, 0.039, 0.032, 0.03, 0.025, 0.012]"/>
    <s v="614.2709773184313"/>
    <s v="[0.015, -0.039, -0.032, -0.03, -0.025, 0.012]"/>
  </r>
  <r>
    <x v="2271"/>
    <x v="2733"/>
    <x v="0"/>
    <n v="0"/>
    <s v="LINESTRING (10.778532789918792 59.83496247938129, 10.778523841967562 59.836053141183264, 10.778657582314139 59.83663357287987, 10.778663889639196 59.83665638930785, 10.778882619052085 59.83725385603832, 10.779189211731383 59.83805808204051, 10.779192238755034 59.838066757221945, 10.77922462016091 59.83815771295722, 10.779370813735463 59.838568620448925, 10.779457904445422 59.839370354970924, 10.777474242398313 59.841332922074095, 10.777462192020232 59.84133932359301, 10.777295854456332 59.84142760014954, 10.776694438033555 59.841737926682384)"/>
    <s v="[780498, 780506, 780514, 780522, 780530, 780538, 780546, 780554, 780562, 780570, 780578, 780586, 780594]"/>
    <s v="[760626, 760635, 760641, 760649, 760657, 760666, 760675, 760685, 760691, 760698, 760707, 760717, 734755]"/>
    <s v="#FIELD!"/>
    <s v="[734737, 760626, 760635, 760641, 760649, 760657, 760666, 760675, 760685, 760691, 760698, 760707, 760717]"/>
    <s v="[0.002, 0.038, 0.069, 0.027, 0.013, 0.033, 0.017, 0.017, 0.027, 0.004, 0.006, 0.029, 0.137]"/>
    <s v="809.5476992808485"/>
    <s v="[0.002, -0.038, -0.069, -0.027, -0.013, -0.033, -0.017, -0.017, -0.027, -0.004, -0.006, -0.029, -0.137]"/>
  </r>
  <r>
    <x v="2272"/>
    <x v="1959"/>
    <x v="0"/>
    <s v="[0, 0, 1, 0]"/>
    <s v="LINESTRING (10.836719645917666 59.84759820542869, 10.836675978378635 59.84790585162998, 10.83585836913829 59.84981154589224, 10.835722903622116 59.850008658986525, 10.835360056511506 59.85053753929847)"/>
    <s v="[753552, 753560, 753568, 753576]"/>
    <s v="[734743, 734749, 734756, 734760]"/>
    <s v="0.0016617907316622536"/>
    <s v="[734738, 734743, 734749, 734756]"/>
    <s v="[0.009, 0.006, 0.0, 0.025]"/>
    <s v="337.7648213517914"/>
    <s v="[0.009, -0.006, -0.0, 0.025]"/>
  </r>
  <r>
    <x v="2273"/>
    <x v="1964"/>
    <x v="0"/>
    <n v="0"/>
    <s v="LINESTRING (10.835360056511506 59.85053753929847, 10.834052657281237 59.85274824726633, 10.831002094635789 59.86011628402406, 10.83098846229587 59.860168001175644, 10.830881487447604 59.86092167447787)"/>
    <s v="[753584, 753592, 753600, 753608]"/>
    <s v="[734766, 734773, 734777, 734783]"/>
    <s v="#FIELD!"/>
    <s v="[734760, 734766, 734773, 734777]"/>
    <s v="[0.002, 0.053, 0.06, 0.051]"/>
    <s v="1186.6149268067838"/>
    <s v="[-0.002, -0.053, -0.06, -0.051]"/>
  </r>
  <r>
    <x v="2274"/>
    <x v="2770"/>
    <x v="0"/>
    <n v="0"/>
    <s v="LINESTRING (10.713860006621257 59.90974383564498, 10.713474042997593 59.90978441659914, 10.710822107922368 59.910114405687494, 10.710520200382623 59.910150263188555, 10.710504250109972 59.910152180146376, 10.70934185111999 59.91029940672549, 10.708399527239125 59.91041798477273, 10.707966172293261 59.91047295623477, 10.706797497461263 59.910635152548316, 10.704085090586883 59.91132693218756)"/>
    <s v="[781154, 781162, 781170, 781178, 781186, 781194, 781202, 781210, 781218]"/>
    <s v="[761289, 761297, 761305, 761313, 761323, 761332, 761342, 761350, 734870]"/>
    <s v="#FIELD!"/>
    <s v="[734782, 761289, 761297, 761305, 761313, 761323, 761332, 761342, 761350]"/>
    <s v="[0.012, 0.01, 0.014, 0.022, 0.016, 0.011, 0.005, 0.004, 0.002]"/>
    <s v="578.4811104101994"/>
    <s v="[0.012, 0.01, -0.014, -0.022, -0.016, -0.011, -0.005, -0.004, -0.002]"/>
  </r>
  <r>
    <x v="2274"/>
    <x v="2756"/>
    <x v="0"/>
    <n v="0"/>
    <m/>
    <n v="781146"/>
    <n v="734782"/>
    <s v="#FIELD!"/>
    <n v="734847"/>
    <s v="0.0"/>
    <s v="13.14686274365284"/>
    <s v="#FIELD!"/>
  </r>
  <r>
    <x v="2275"/>
    <x v="1973"/>
    <x v="0"/>
    <s v="[0, 1, 0, 0, 0, 0]"/>
    <s v="LINESTRING (10.830881487447604 59.86092167447787, 10.830841907684102 59.861508448683814, 10.830833537491387 59.86267345194572, 10.830715253282095 59.86473520321294, 10.83069765178867 59.864849508629845, 10.830565386028113 59.865449168807785, 10.830239066783383 59.86667370151609)"/>
    <s v="[753616, 753624, 753632, 753640, 753648, 753656]"/>
    <s v="[734789, 734795, 734803, 734809, 734813, 734819]"/>
    <s v="0.03412212567731584"/>
    <s v="[734783, 734789, 734795, 734803, 734809, 734813]"/>
    <s v="[0.043, 0.027, 0.055, 0.067, 0.066, 0.024]"/>
    <s v="642.8969703260716"/>
    <s v="[-0.043, 0.027, 0.055, 0.067, 0.066, 0.024]"/>
  </r>
  <r>
    <x v="2276"/>
    <x v="2834"/>
    <x v="227"/>
    <n v="0"/>
    <s v="LINESTRING (10.830239066783383 59.86667370151609, 10.827979612619723 59.87060429498773, 10.827970341513346 59.87061191321893, 10.824053319561116 59.87467668306256, 10.822273786744049 59.87643452885278)"/>
    <s v="[753664, 753680, 753696, 753704]"/>
    <s v="[734824, 734833, 734842, 734848]"/>
    <s v="0.005919578271502164"/>
    <s v="[734819, 734824, 734833, 734842]"/>
    <s v="[0.005, 0.032, 0.001, 0.019]"/>
    <s v="1186.7827162482215"/>
    <s v="[0.005, 0.032, 0.001, 0.019]"/>
  </r>
  <r>
    <x v="2277"/>
    <x v="2871"/>
    <x v="0"/>
    <n v="0"/>
    <s v="LINESTRING (10.716018874192919 59.90973366627399, 10.716018874192919 59.90973366627399, 10.714091694132732 59.909724405079736)"/>
    <s v="[781130, 781138]"/>
    <s v="[761268, 734847]"/>
    <s v="0.0026314525190297947"/>
    <s v="[761267, 761268]"/>
    <s v="[0.0, 0.003]"/>
    <s v="123.47991395101695"/>
    <s v="[0.0, 0.003]"/>
  </r>
  <r>
    <x v="2278"/>
    <x v="2773"/>
    <x v="0"/>
    <n v="0"/>
    <s v="LINESTRING (10.704085090586883 59.91132693218756, 10.703178634482878 59.91168714403178, 10.702655805914473 59.91196040714273, 10.702273707691395 59.91220547904408, 10.697708337447851 59.915095576604166, 10.697694300009962 59.915101223338795, 10.691306069724261 59.91699411079779)"/>
    <s v="[781226, 781234, 781242, 781250, 781258, 781266]"/>
    <s v="[761368, 761376, 761385, 761390, 761397, 734896]"/>
    <s v="#FIELD!"/>
    <s v="[734870, 761368, 761376, 761385, 761390, 761397]"/>
    <s v="[0.027, 0.011, 0.007, 0.003, 0.014, 0.003]"/>
    <s v="985.2823094559931"/>
    <s v="[0.027, 0.011, 0.007, -0.003, -0.014, -0.003]"/>
  </r>
  <r>
    <x v="2279"/>
    <x v="2693"/>
    <x v="0"/>
    <n v="0"/>
    <m/>
    <n v="753759"/>
    <n v="734886"/>
    <s v="0.006"/>
    <n v="734879"/>
    <s v="0.006"/>
    <s v="9.013878188937648"/>
    <s v="0.006"/>
  </r>
  <r>
    <x v="2280"/>
    <x v="2872"/>
    <x v="0"/>
    <n v="0"/>
    <m/>
    <n v="761350"/>
    <n v="734886"/>
    <s v="0.0"/>
    <n v="740669"/>
    <s v="0.0"/>
    <s v="3.8105773841483663"/>
    <s v="0.0"/>
  </r>
  <r>
    <x v="2281"/>
    <x v="2776"/>
    <x v="0"/>
    <n v="0"/>
    <s v="LINESTRING (10.691306069724261 59.91699411079779, 10.691281938191793 59.917018588512136, 10.691071765656641 59.91723453135202, 10.687632969373546 59.91803448268943, 10.687616017590331 59.91803290222454, 10.687333009952933 59.9180068868561, 10.683369839645014 59.91843822802465, 10.68335679305869 59.91844462517258, 10.682573187842003 59.918889526593276, 10.681126755039179 59.91970432888008)"/>
    <s v="[781274, 781282, 781290, 781298, 781306, 781314, 781322, 781330, 781338]"/>
    <s v="[761411, 761416, 761424, 761434, 761443, 761453, 761462, 761473, 744348]"/>
    <s v="0.010047677423071938"/>
    <s v="[734896, 761411, 761416, 761424, 761434, 761443, 761453, 761462, 761473]"/>
    <s v="[1.211, 0.018, 0.011, 0.005, 0.009, 0.012, 0.007, 0.019, 0.041]"/>
    <s v="716.8960158412917"/>
    <s v="[1.211, -0.018, -0.011, 0.005, 0.009, 0.012, -0.007, -0.019, 0.041]"/>
  </r>
  <r>
    <x v="2282"/>
    <x v="2873"/>
    <x v="0"/>
    <s v="[0, 0, 0, 0, 0, 1, 0, 0, 0, 0]"/>
    <s v="LINESTRING (10.681019505742753 59.919743972068005, 10.678974377386398 59.920227620562294, 10.67838543207076 59.920343455917724, 10.67836236707318 59.920348237822445, 10.678344989025462 59.9203518486213, 10.676216009233539 59.92073806075889, 10.675219490226151 59.92080818543934, 10.673777219022579 59.920727719306655, 10.672186619737715 59.920407881147554, 10.66867484744075 59.91904841461599, 10.666898521699014 59.91856645548421)"/>
    <s v="[781362, 781370, 781378, 781386, 781394, 781402, 781410, 781418, 781426, 781434]"/>
    <s v="[761500, 761507, 761512, 761520, 761530, 761538, 761548, 761555, 761564, 761571]"/>
    <s v="#FIELD!"/>
    <s v="[734905, 761500, 761507, 761512, 761520, 761530, 761538, 761548, 761555, 761564]"/>
    <s v="[0.041, 0.003, 0.002, 0.002, 0.004, 0.047, 0.053, 0.024, 0.001, 0.003]"/>
    <s v="887.9245491861615"/>
    <s v="[-0.041, -0.003, 0.002, 0.002, 0.004, 0.047, 0.053, -0.024, -0.001, 0.003]"/>
  </r>
  <r>
    <x v="2282"/>
    <x v="2776"/>
    <x v="0"/>
    <n v="0"/>
    <s v="LINESTRING (10.681126755039179 59.91970432888008, 10.681068683329203 59.919726117717985, 10.681019505742753 59.919743972068005)"/>
    <s v="[781346, 781354]"/>
    <s v="[761484, 734905]"/>
    <s v="#FIELD!"/>
    <s v="[744348, 761484]"/>
    <s v="[1.268, 1.159]"/>
    <s v="7.452073323648896"/>
    <s v="[-1.268, 1.159]"/>
  </r>
  <r>
    <x v="2283"/>
    <x v="1946"/>
    <x v="0"/>
    <s v="[0, 1, 0]"/>
    <s v="LINESTRING (10.845441590825656 59.82287498896654, 10.840048504405912 59.83383191409073, 10.839439754452368 59.83587343599195, 10.839424770188717 59.83597905826152)"/>
    <s v="[778856, 778864, 778872]"/>
    <s v="[759013, 759022, 735910]"/>
    <s v="#FIELD!"/>
    <s v="[735844, 759013, 759022]"/>
    <s v="[0.02, 0.013, 0.043]"/>
    <s v="1501.9069909930608"/>
    <s v="[-0.02, -0.013, -0.043]"/>
  </r>
  <r>
    <x v="2283"/>
    <x v="1932"/>
    <x v="0"/>
    <s v="[0, 0, 0, 0, 0, 0, 0, 1, 0, 0, 0, 0]"/>
    <s v="LINESTRING (10.840923698293526 59.81445202647177, 10.84101766971885 59.814524413837866, 10.842228219569105 59.81525963330121, 10.843857829404337 59.81611361017969, 10.844625486333737 59.8165248660183, 10.844636969292033 59.81653128030412, 10.844997885729228 59.81673973776382, 10.846739685577356 59.81873601434057, 10.846759217112849 59.818794175492854, 10.846631555589596 59.82056455491626, 10.846437439428708 59.820981014365124, 10.846151978516447 59.82154462217888, 10.845441590825656 59.82287498896654)"/>
    <s v="[1558783, 1558791, 1558799, 1558807, 1558815, 1558823, 778808, 778816, 778824, 778832, 778840, 778848]"/>
    <s v="[1406264, 1406269, 1406273, 1406280, 1406287, 758957, 758958, 758968, 758976, 758987, 758996, 735844]"/>
    <s v="#FIELD!"/>
    <s v="[1363672, 1406264, 1406269, 1406273, 1406280, 1406287, 758957, 758958, 758968, 758976, 758987, 758996]"/>
    <s v="[0.04, 0.014, 0.013, 0.043, 0.054, 0.056, 0.041, 0.007, 0.034, 0.048, 0.046, 0.017]"/>
    <s v="1059.040394199123"/>
    <s v="[0.04, 0.014, 0.013, -0.043, 0.054, -0.056, -0.041, -0.007, -0.034, -0.048, -0.046, 0.017]"/>
  </r>
  <r>
    <x v="2284"/>
    <x v="1957"/>
    <x v="0"/>
    <s v="[0, 0, 0, 0, 0, 0, 1, 0, 0]"/>
    <s v="LINESTRING (10.838663619354561 59.841683280512, 10.838648991386979 59.84171254244791, 10.838429991300176 59.842151520592225, 10.837548917177227 59.844153845802964, 10.837526602696236 59.84420955026685, 10.837346245635597 59.84467431490121, 10.837203083608372 59.84506179965151, 10.837143866372868 59.84523525366115, 10.836556612794753 59.84759726800841, 10.836510008763794 59.84790266328597)"/>
    <s v="[778912, 778920, 778928, 778936, 778944, 778952, 778960, 778968, 778976]"/>
    <s v="[759072, 759079, 759089, 759097, 759105, 759113, 759122, 759131, 735949]"/>
    <s v="0.00708631818420394"/>
    <s v="[735861, 759072, 759079, 759089, 759097, 759105, 759113, 759122, 759131]"/>
    <s v="[0.691, 0.038, 0.004, 0.012, 0.028, 0.028, 0.003, 0.011, 0.007]"/>
    <s v="704.4952576582527"/>
    <s v="[0.691, 0.038, 0.004, -0.012, -0.028, -0.028, -0.003, 0.011, -0.007]"/>
  </r>
  <r>
    <x v="2284"/>
    <x v="1946"/>
    <x v="0"/>
    <n v="0"/>
    <s v="LINESTRING (10.839424770188717 59.83597905826152, 10.839426054465441 59.83693232303712, 10.839675088081133 59.83882510189742, 10.839589980474434 59.8395564794408, 10.838663619354561 59.841683280512)"/>
    <s v="[778880, 778888, 778896, 778904]"/>
    <s v="[759037, 759045, 759055, 735861]"/>
    <s v="0.037304828827761524"/>
    <s v="[735910, 759037, 759045, 759055]"/>
    <s v="[0.078, 0.025, 0.032, 0.032]"/>
    <s v="642.2244126587018"/>
    <s v="[0.078, 0.025, 0.032, 0.032]"/>
  </r>
  <r>
    <x v="2285"/>
    <x v="1958"/>
    <x v="0"/>
    <s v="[0, 1, 0, 0, 0]"/>
    <s v="LINESTRING (10.836510008763794 59.84790266328597, 10.835709656838707 59.84977176949148, 10.83558287981243 59.849956569920444, 10.835565010924626 59.84998225834334, 10.835189176224848 59.850524933007144, 10.83389088866194 59.852737007186384)"/>
    <s v="[778984, 778992, 779000, 779008, 779016]"/>
    <s v="[759143, 759152, 759158, 759164, 735957]"/>
    <s v="0.0004458594498044632"/>
    <s v="[735949, 759143, 759152, 759158, 759164]"/>
    <s v="[0.003, 0.038, 0.043, 0.015, 0.004]"/>
    <s v="559.6127103848776"/>
    <s v="[-0.003, 0.038, 0.043, 0.015, -0.004]"/>
  </r>
  <r>
    <x v="2286"/>
    <x v="1970"/>
    <x v="0"/>
    <n v="0"/>
    <s v="LINESTRING (10.83389088866194 59.852737007186384, 10.830836210600511 59.860070563781704, 10.830830389167845 59.86010274778164, 10.830699864532589 59.86091591585598)"/>
    <s v="[779029, 779037, 779045]"/>
    <s v="[759185, 759192, 735985]"/>
    <s v="#FIELD!"/>
    <s v="[735957, 759185, 759192]"/>
    <s v="[0.055, 0.047, 0.047]"/>
    <s v="930.1932480273572"/>
    <s v="[-0.055, -0.047, -0.047]"/>
  </r>
  <r>
    <x v="2287"/>
    <x v="1974"/>
    <x v="228"/>
    <s v="[0, 1, 1, 0]"/>
    <s v="LINESTRING (10.830699864532589 59.86091591585598, 10.830650817054382 59.861506885516576, 10.830642239030828 59.86244530228369, 10.830644108621879 59.862672840723015, 10.830557102244944 59.86474741627193)"/>
    <s v="[779058, 779066, 779082, 779090]"/>
    <s v="[759211, 759219, 759236, 735996]"/>
    <s v="0.03552387680322015"/>
    <s v="[735985, 759211, 759219, 759236]"/>
    <s v="[0.024, 0.01, 0.1, 0.066]"/>
    <s v="427.15836184739067"/>
    <s v="[-0.024, -0.01, 0.1, 0.066]"/>
  </r>
  <r>
    <x v="2288"/>
    <x v="2874"/>
    <x v="0"/>
    <n v="0"/>
    <s v="LINESTRING (10.744944571620987 59.90636982157105, 10.744796334724837 59.90636636842989, 10.744642841766394 59.90624302017136)"/>
    <s v="[755529, 755537]"/>
    <s v="[736252, 736258]"/>
    <s v="0.003020875268446188"/>
    <s v="[736251, 736252]"/>
    <s v="[0.001, 0.004]"/>
    <s v="25.45029115062883"/>
    <s v="[0.001, 0.004]"/>
  </r>
  <r>
    <x v="2288"/>
    <x v="2875"/>
    <x v="0"/>
    <n v="0"/>
    <s v="LINESTRING (10.745110335291452 59.906272837035424, 10.7450565227931 59.90633372465366, 10.744944571620987 59.90636982157105)"/>
    <s v="[755593, 755601]"/>
    <s v="[736293, 736251]"/>
    <s v="#FIELD!"/>
    <s v="[736289, 736293]"/>
    <s v="[0.003, 0.001]"/>
    <s v="14.870493406241462"/>
    <s v="[-0.003, -0.001]"/>
  </r>
  <r>
    <x v="2288"/>
    <x v="2876"/>
    <x v="0"/>
    <n v="0"/>
    <s v="LINESTRING (10.745318745474641 59.90647378745294, 10.745041820841656 59.90640024674406, 10.744944571620987 59.90636982157105)"/>
    <s v="[755785, 755793]"/>
    <s v="[736423, 736251]"/>
    <s v="0.002"/>
    <s v="[736392, 736423]"/>
    <s v="0.002"/>
    <s v="24.313684798172197"/>
    <s v="0.002"/>
  </r>
  <r>
    <x v="2289"/>
    <x v="2877"/>
    <x v="0"/>
    <n v="0"/>
    <s v="LINESTRING (10.744642841766394 59.90624302017136, 10.744711537806662 59.90616895550557, 10.744842500835981 59.906138724684254)"/>
    <s v="[755545, 755553]"/>
    <s v="[736262, 736268]"/>
    <s v="0.0015906673042159843"/>
    <s v="[736258, 736262]"/>
    <s v="[0.003, 0.0]"/>
    <s v="17.173434440395276"/>
    <s v="[0.003, 0.0]"/>
  </r>
  <r>
    <x v="2289"/>
    <x v="2878"/>
    <x v="0"/>
    <n v="0"/>
    <s v="LINESTRING (10.744642841766394 59.90624302017136, 10.7445712887113 59.90618377981393, 10.74440070029996 59.90599437362194)"/>
    <s v="[755834, 755842]"/>
    <s v="[736454, 736399]"/>
    <s v="0.006248531206051567"/>
    <s v="[736258, 736454]"/>
    <s v="[0.007, 0.006]"/>
    <s v="31.06989826660963"/>
    <s v="[0.007, 0.006]"/>
  </r>
  <r>
    <x v="2290"/>
    <x v="2875"/>
    <x v="0"/>
    <n v="0"/>
    <s v="LINESTRING (10.744842500835981 59.906138724684254, 10.744895175412568 59.906139375774664, 10.745038819318415 59.906167623403526, 10.745111518546782 59.90623594623252, 10.745110335291452 59.906272837035424)"/>
    <s v="[755561, 755569, 755577, 755585]"/>
    <s v="[639120, 736279, 639105, 736289]"/>
    <s v="#FIELD!"/>
    <s v="[736268, 639120, 736279, 639105]"/>
    <s v="[0.002, 0.003, 0.003, 0.002]"/>
    <s v="24.329083396383748"/>
    <s v="[-0.002, -0.003, -0.003, -0.002]"/>
  </r>
  <r>
    <x v="2290"/>
    <x v="2878"/>
    <x v="0"/>
    <n v="0"/>
    <s v="LINESTRING (10.744842500835981 59.906138724684254, 10.744733241194462 59.90610507860111, 10.74440070029996 59.90599437362194)"/>
    <s v="[755818, 755826]"/>
    <s v="[736444, 736399]"/>
    <s v="0.006027457035510588"/>
    <s v="[736268, 736444]"/>
    <s v="[0.003, 0.007]"/>
    <s v="29.504964957369314"/>
    <s v="[0.003, 0.007]"/>
  </r>
  <r>
    <x v="2291"/>
    <x v="2876"/>
    <x v="0"/>
    <n v="0"/>
    <s v="LINESTRING (10.745318745474641 59.90647378745294, 10.745176330395733 59.906323768854584, 10.745110335291452 59.906272837035424)"/>
    <s v="[755801, 755809]"/>
    <s v="[736433, 736289]"/>
    <s v="0.003"/>
    <s v="[736392, 736433]"/>
    <s v="0.003"/>
    <s v="25.784010537544802"/>
    <s v="0.003"/>
  </r>
  <r>
    <x v="2292"/>
    <x v="2879"/>
    <x v="0"/>
    <n v="0"/>
    <s v="LINESTRING (10.74345188226919 59.90502852907536, 10.743487849570247 59.90509176243578, 10.743466320953843 59.90513597088897)"/>
    <s v="[755657, 755665]"/>
    <s v="[736338, 736303]"/>
    <s v="0.0028180033664860957"/>
    <s v="[736331, 736338]"/>
    <s v="[0.002, 0.004]"/>
    <s v="12.400890322705907"/>
    <s v="[0.002, 0.004]"/>
  </r>
  <r>
    <x v="2292"/>
    <x v="2880"/>
    <x v="0"/>
    <n v="0"/>
    <s v="LINESTRING (10.743763831990135 59.905219604378836, 10.743552632608733 59.90515853539752, 10.743466320953843 59.90513597088897)"/>
    <s v="[755769, 755777]"/>
    <s v="[736412, 736303]"/>
    <s v="0.0007146527830882372"/>
    <s v="[736400, 736412]"/>
    <s v="[0.001, 0.0]"/>
    <s v="19.08776369987878"/>
    <s v="[0.001, 0.0]"/>
  </r>
  <r>
    <x v="2293"/>
    <x v="2881"/>
    <x v="0"/>
    <n v="0"/>
    <s v="LINESTRING (10.743035607216045 59.905120033892494, 10.743027101126263 59.90507719180288, 10.743098443000166 59.905003024708215)"/>
    <s v="[755633, 755641]"/>
    <s v="[736320, 736326]"/>
    <s v="#FIELD!"/>
    <s v="[736316, 736320]"/>
    <s v="[0.002, 0.009]"/>
    <s v="13.977758432804826"/>
    <s v="[-0.002, -0.009]"/>
  </r>
  <r>
    <x v="2293"/>
    <x v="2699"/>
    <x v="0"/>
    <n v="0"/>
    <s v="LINESTRING (10.743035607216045 59.905120033892494, 10.742933285962403 59.90512194821389, 10.74245119332306 59.90499098824182)"/>
    <s v="[755673, 755681]"/>
    <s v="[736351, 736353]"/>
    <s v="0.00961053672664329"/>
    <s v="[736316, 736351]"/>
    <s v="[0.013, 0.009]"/>
    <s v="37.550722462369095"/>
    <s v="[0.013, 0.009]"/>
  </r>
  <r>
    <x v="2294"/>
    <x v="2879"/>
    <x v="0"/>
    <n v="0"/>
    <m/>
    <n v="755649"/>
    <n v="736331"/>
    <s v="#FIELD!"/>
    <n v="736326"/>
    <s v="0.005"/>
    <s v="22.73251728514517"/>
    <s v="#FIELD!"/>
  </r>
  <r>
    <x v="2294"/>
    <x v="2699"/>
    <x v="0"/>
    <n v="0"/>
    <s v="LINESTRING (10.743098443000166 59.905003024708215, 10.742940379171277 59.90501259522064, 10.74245119332306 59.90499098824182)"/>
    <s v="[755705, 755713]"/>
    <s v="[736373, 736353]"/>
    <s v="0.012243424794213864"/>
    <s v="[736326, 736373]"/>
    <s v="[0.013, 0.012]"/>
    <s v="36.61045097165162"/>
    <s v="[0.013, 0.012]"/>
  </r>
  <r>
    <x v="2295"/>
    <x v="2880"/>
    <x v="0"/>
    <n v="0"/>
    <s v="LINESTRING (10.743763831990135 59.905219604378836, 10.743578955661185 59.905053329140536, 10.74345188226919 59.90502852907536)"/>
    <s v="[755753, 755761]"/>
    <s v="[736403, 736331]"/>
    <s v="#FIELD!"/>
    <s v="[736400, 736403]"/>
    <s v="[0.001, 0.0]"/>
    <s v="30.734012822867243"/>
    <s v="[-0.001, 0.0]"/>
  </r>
  <r>
    <x v="2296"/>
    <x v="2876"/>
    <x v="0"/>
    <n v="0"/>
    <s v="LINESTRING (10.746151721595394 59.90688182877435, 10.746102695464009 59.906859401280606, 10.74589061001465 59.90675958934495, 10.745318745474641 59.90647378745294)"/>
    <s v="[755721, 755729, 755737]"/>
    <s v="[736381, 736386, 736392]"/>
    <s v="0.0047740314043942435"/>
    <s v="[736380, 736381, 736386]"/>
    <s v="[0.02, 0.009, 0.002]"/>
    <s v="65.13595350092663"/>
    <s v="[0.02, 0.009, 0.002]"/>
  </r>
  <r>
    <x v="2296"/>
    <x v="2678"/>
    <x v="0"/>
    <n v="0"/>
    <s v="LINESTRING (10.746151721595394 59.90688182877435, 10.746014211788555 59.906915356094395, 10.745717674714284 59.90698336922961, 10.74513021026963 59.907135661148665)"/>
    <s v="[761420, 761428, 761436]"/>
    <s v="[740738, 740745, 462133]"/>
    <s v="0.0020840805375820256"/>
    <s v="[736380, 740738, 740745]"/>
    <s v="[0.022, 0.001, 0.001]"/>
    <s v="63.806397002115446"/>
    <s v="[0.022, -0.001, -0.001]"/>
  </r>
  <r>
    <x v="2296"/>
    <x v="484"/>
    <x v="0"/>
    <n v="0"/>
    <s v="LINESTRING (10.74857807429188 59.90803736795421, 10.748373577805259 59.90794221144385, 10.748185290840764 59.907842255167715, 10.746151721595394 59.90688182877435)"/>
    <s v="[761380, 761388, 761396]"/>
    <s v="[740700, 740710, 736380]"/>
    <s v="0.0029350206071645304"/>
    <s v="[740687, 740700, 740710]"/>
    <s v="[0.007, 0.008, 0.005]"/>
    <s v="187.21304315702713"/>
    <s v="[-0.007, -0.008, 0.005]"/>
  </r>
  <r>
    <x v="2297"/>
    <x v="2880"/>
    <x v="0"/>
    <n v="0"/>
    <m/>
    <n v="755745"/>
    <n v="736400"/>
    <s v="0.002"/>
    <n v="736399"/>
    <s v="0.002"/>
    <s v="93.82624328604987"/>
    <s v="0.002"/>
  </r>
  <r>
    <x v="2298"/>
    <x v="484"/>
    <x v="0"/>
    <n v="0"/>
    <s v="LINESTRING (10.749935448308376 59.90890283487519, 10.749226076190068 59.90833188080787, 10.74874716056037 59.90811210206885, 10.74857807429188 59.90803736795421)"/>
    <s v="[761348, 761356, 761364]"/>
    <s v="[740675, 740680, 740687]"/>
    <s v="#FIELD!"/>
    <s v="[736707, 740675, 740680]"/>
    <s v="[0.009, 0.011, 0.006]"/>
    <s v="87.67226274055533"/>
    <s v="[-0.009, -0.011, -0.006]"/>
  </r>
  <r>
    <x v="2299"/>
    <x v="2882"/>
    <x v="0"/>
    <n v="0"/>
    <s v="LINESTRING (18.418357973321 68.91397144911386, 18.420929254885426 68.9143422298283, 18.421195579014178 68.91437744454181, 18.42152734683758 68.91441926485726, 18.421546704016414 68.91442170479874, 18.422452906354486 68.91453445807412, 18.422732351663097 68.91456756588876, 18.422903832306734 68.91458731601702, 18.424472553619378 68.91476790769994, 18.426519386190314 68.91501970863658)"/>
    <s v="[759994, 760002, 760010, 760018, 760026, 760034, 760042, 760050, 760058]"/>
    <s v="[739491, 739500, 739505, 739514, 739520, 739478, 739536, 739543, 739549]"/>
    <s v="#FIELD!"/>
    <s v="[739490, 739491, 739500, 739505, 739514, 739520, 739478, 739536, 739543]"/>
    <s v="[0.007, 0.005, 0.005, 0.008, 0.004, 0.002, 0.003, 0.006, 0.007]"/>
    <s v="348.14810343271233"/>
    <s v="[-0.007, -0.005, -0.005, -0.008, -0.004, -0.002, -0.003, -0.006, -0.007]"/>
  </r>
  <r>
    <x v="2299"/>
    <x v="2882"/>
    <x v="0"/>
    <n v="0"/>
    <s v="LINESTRING (18.418357973321 68.91397144911386, 18.42114260820176 68.9144408849616, 18.421473397275022 68.91448443129389, 18.421492780754704 68.91448687969428, 18.42239918038212 68.91460185642646, 18.422679765651544 68.91463442956417, 18.422852170400084 68.91465354154893, 18.424438034904032 68.91481775943143, 18.42471944493739 68.91484676553597, 18.426519386190314 68.91501970863658)"/>
    <s v="[760066, 760074, 760082, 760090, 760098, 760106, 760114, 760122, 760130]"/>
    <s v="[739556, 739561, 739568, 739576, 739479, 739589, 739597, 739603, 739549]"/>
    <s v="#FIELD!"/>
    <s v="[739490, 739556, 739561, 739568, 739576, 739479, 739589, 739597, 739603]"/>
    <s v="[0.006, 0.005, 0.005, 0.002, 0.004, 0.003, 0.006, 0.009, 0.008]"/>
    <s v="349.2170164589721"/>
    <s v="[-0.006, -0.005, 0.005, -0.002, -0.004, -0.003, -0.006, -0.009, -0.008]"/>
  </r>
  <r>
    <x v="2299"/>
    <x v="2883"/>
    <x v="229"/>
    <n v="0"/>
    <s v="LINESTRING (18.36074760164729 68.88808376469532, 18.361734450379362 68.8883145398259, 18.365618137322123 68.88946186986551, 18.371634095235688 68.89097087501293, 18.371923798394413 68.89101986781542, 18.377014651690498 68.89201631826266, 18.397020712483442 68.89968971729435, 18.399329002988136 68.90143785918852, 18.40005545561762 68.9022229385459, 18.405663605295732 68.90661823675484, 18.40800128513069 68.90812251473209, 18.41221948230038 68.91219280265676, 18.418357973321 68.91397144911386)"/>
    <s v="[2084922, 1056859, 1056867, 1056875, 1056883, 1056891, 1056899, 1056907, 1056915, 1056923, 1056931, 1056939]"/>
    <s v="[1004938, 1004939, 1004947, 914192, 904445, 904523, 1004972, 914274, 904530, 914284, 914294, 739490]"/>
    <s v="#FIELD!"/>
    <s v="[1806469, 1004938, 1004939, 1004947, 914192, 904445, 904523, 1004972, 914274, 904530, 914284, 914294]"/>
    <s v="[0.272, 0.066, 0.05, 0.036, 0.043, 0.005, 0.054, 0.043, 0.026, 0.011, 0.008, 0.002]"/>
    <s v="3828.871466309348"/>
    <s v="[-0.272, 0.066, 0.05, -0.036, -0.043, -0.005, -0.054, -0.043, -0.026, -0.011, 0.008, -0.002]"/>
  </r>
  <r>
    <x v="2300"/>
    <x v="2884"/>
    <x v="230"/>
    <s v="[0, 0, 0, 0, 0, 0, 0, 0, 0, 0, 0, 0, 0, 0, 0, 0, 0, 0, 0, 0, 0, 0, 0, 0, 0, 0, 0, 0, 0, 0, 0, 0, 0, 0, 0, 0, 0, 0, 0, 0, 0, 0, 0, 0, 0, 0, 0, 0, 0, 0, 0, 0, 0, 0, 0, 0, 1, 1, 0, 0, 0, 0, 0, 0, 0, 0, 0, 0, 0, 0, 0, 0, 0, 0, 0, 0, 0, 0, 0, 0, 0, 0, 0, 0, 0, 0, 0, 0, 0, 0, 0, 0, 0, 0, 0, 0, 0, 0, 0, 0, 0]"/>
    <s v="LINESTRING (18.426519386190314 68.91501970863658, 18.44856937040223 68.92301207428359, 18.4486135633174 68.92304773004666, 18.449992763542664 68.92401331207853, 18.45008416104861 68.92407254624393, 18.459302673691138 68.92800309051172, 18.463506090880873 68.92982821679657, 18.464554717666207 68.9389533602051, 18.464505484829616 68.93942835108435, 18.46869980549365 68.94834927446261, 18.46993584610034 68.95021920209372, 18.470035319740475 68.9505083270378, 18.470366595041888 68.95246015030013, 18.47060539234428 68.95392556588443, 18.470606876770475 68.95393451621092, 18.470679530659783 68.95436016990324, 18.470697945658017 68.95448344812915, 18.470699479977096 68.95449239744073, 18.470733215599836 68.95469153680267, 18.470779444072125 68.95496602905845, 18.472274526675054 68.95719178570714, 18.474171366766985 68.95822302392723, 18.477165903169595 68.9603287644849, 18.477232238630567 68.96039593442866, 18.480262833584213 68.96348552748827, 18.48194704294038 68.96457473471807, 18.482207953558262 68.96469765421399, 18.485751172068863 68.9663484334881, 18.48674851330957 68.96689069778914, 18.488975788171853 68.96843556477478, 18.489502951664882 68.96881814071283, 18.49334408517267 68.97160763895496, 18.494228706738863 68.97225311623804, 18.494819212670453 68.97268224935463, 18.503618743809945 68.9783193002427, 18.505428888990362 68.9791223337878, 18.510486115037338 68.98135807830555, 18.51106924798847 68.98161572924506, 18.512767969444727 68.98250294395949, 18.513096970763673 68.98271438297638, 18.517014437741782 68.98714601888231, 18.51611101687768 68.98881161244411, 18.511692522886463 68.99602166964863, 18.512178554989916 69.00101885757495, 18.512300928957334 69.00119269839084, 18.51317061976977 69.00297457411166, 18.51154823691598 69.00506783764978, 18.511184145283742 69.0054795421982, 18.511135630210763 69.0055311005714, 18.510858361600587 69.00583199403111, 18.510782324755837 69.0059125866235, 18.510710843361732 69.00598877483631, 18.51019530779443 69.00657619749532, 18.507631963206812 69.00826861268781, 18.500535331212102 69.00907164589279, 18.494377813137064 69.00953592040345, 18.487399483734023 69.01118895281951, 18.487175122542226 69.01131976951886, 18.48647565334052 69.0117275915731, 18.485809876243287 69.0121150289551, 18.484404646240606 69.01294707575795, 18.4839170209713 69.01329719671202, 18.483282348314543 69.0147805171061, 18.483287125455135 69.01480116492043, 18.48401022346118 69.01680607582742, 18.484025531886576 69.0168299216983, 18.485418271288566 69.01819155641702, 18.485444467229588 69.01821293515991, 18.48865624607433 69.02065671856364, 18.488687222926682 69.02067817900462, 18.492165762356787 69.02301220242738, 18.493598174706772 69.02372259746572, 18.493635294043415 69.02374007003345, 18.496224609620057 69.02498100889115, 18.497164284214143 69.02550144893983, 18.49894361218504 69.026697212771, 18.500885713943845 69.02826789724628, 18.501675573612786 69.02951199344984, 18.50173883496458 69.0297076992347, 18.502150265161593 69.03093469883281, 18.502199358010575 69.03102709323493, 18.5028801493312 69.03176421313967, 18.503185335295683 69.03200475482524, 18.503794759913117 69.03244679021326, 18.50437136654387 69.03286216765181, 18.504382551318045 69.03287018288148, 18.50467943560345 69.03308444425024, 18.50525231499516 69.03351191182776, 18.505876631491315 69.03406908335927, 18.50609623239011 69.03434487247257, 18.5063454598121 69.03474326990741, 18.50637767388518 69.03479891898851, 18.50651771487584 69.03504912634868, 18.507007036102383 69.03591248403332, 18.507012100588724 69.03592126218854, 18.508075097152386 69.03785889201475, 18.50881360383919 69.03958637569669, 18.50891941491271 69.03985587388524, 18.50927206685197 69.04075835714688, 18.509762010173137 69.04202847186596, 18.509950694696446 69.04247318224535, 18.510481546642367 69.0434263798098)"/>
    <s v="[1056947, 1056955, 1056963, 1056971, 1056979, 1056987, 1098292, 1098313, 1098321, 1098329, 1098337, 1098344, 1098345, 1098346, 1098354, 1098360, 1098370, 1098378, 1098386, 1098394, 1098399, 1098409, 1098417, 1098425, 1098426, 1098427, 1098428, 1098431, 1098433, 1098441, 1098444, 1098445, 1098446, 1098454, 1098468, 1098469, 1098476, 1098482, 1098493, 1098504, 1098512, 1098520, 1098528, 1098536, 1098545, 1098553, 1098561, 1098569, 1098570, 1098571, 1098575, 1098583, 1098591, 1098599, 1098607, 1056995, 1057003, 1057011, 1057019, 1057027, 1057035, 1057043, 1057051, 1057059, 1057067, 1057075, 1057083, 1057084, 1057092, 1057100, 1057108, 1057116, 1057124, 1057132, 1057140, 1057148, 1057156, 1057164, 1057172, 1057180, 1057188, 1057196, 1057204, 1057212, 1057220, 1057228, 1057236, 1057244, 1057252, 1057260, 1057268, 1057276, 1057284, 1057292, 1057300, 1057308, 1057316, 1057324, 1057332, 1057340, 1845922]"/>
    <s v="[1005009, 914372, 914390, 1005025, 1005031, 904695, 904689, 1040866, 914486, 914496, 914497, 914507, 1040885, 1040886, 914519, 1040901, 1040909, 914520, 914529, 914539, 914550, 914569, 914580, 914589, 914611, 1036038, 914620, 914628, 914675, 914676, 1036053, 914702, 914714, 1040986, 914723, 1041000, 914757, 914771, 1041010, 914802, 914811, 913815, 1041035, 910619, 913751, 910281, 1041061, 1041067, 1018814, 1041068, 1026939, 1041080, 910300, 910313, 904946, 1005043, 1005050, 1005057, 910495, 910486, 904973, 1005085, 1005091, 1005096, 1005102, 1005107, 1005114, 1005115, 1005122, 1005128, 1005134, 1005141, 910443, 1005155, 1005164, 903981, 1005178, 1005184, 1005190, 1005197, 906419, 1005207, 1005214, 1005222, 1005231, 1005238, 1005245, 1005252, 1005257, 1005265, 901541, 1005278, 1005288, 1005297, 1005304, 1005311, 904084, 1005325, 1005333, 1005340, 1616680]"/>
    <s v="0.0009705567558857729"/>
    <s v="[739549, 1005009, 914372, 914390, 1005025, 1005031, 904695, 904689, 1040866, 914486, 914496, 914497, 914507, 1040885, 1040886, 914519, 1040901, 1040909, 914520, 914529, 914539, 914550, 914569, 914580, 914589, 914611, 1036038, 914620, 914628, 914675, 914676, 1036053, 914702, 914714, 1040986, 914723, 1041000, 914757, 914771, 1041010, 914802, 914811, 913815, 1041035, 910619, 913751, 910281, 1041061, 1041067, 1018814, 1041068, 1026939, 1041080, 910300, 910313, 904946, 1005043, 1005050, 1005057, 910495, 910486, 904973, 1005085, 1005091, 1005096, 1005102, 1005107, 1005114, 1005115, 1005122, 1005128, 1005134, 1005141, 910443, 1005155, 1005164, 903981, 1005178, 1005184, 1005190, 1005197, 906419, 1005207, 1005214, 1005222, 1005231, 1005238, 1005245, 1005252, 1005257, 1005265, 901541, 1005278, 1005288, 1005297, 1005304, 1005311, 904084, 1005325, 1005333, 1005340]"/>
    <s v="[0.003, 0.013, 0.013, 0.008, 0.005, 0.025, 0.001, 0.016, 0.003, 0.001, 0.015, 0.016, 0.019, 0.0, 0.025, 0.025, 0.04, 0.027, 0.028, 0.006, 0.034, 0.008, 0.012, 0.003, 0.044, 0.011, 0.018, 0.024, 0.007, 0.006, 0.0, 0.001, 0.006, 0.009, 0.037, 0.009, 0.011, 0.019, 0.027, 0.021, 0.042, 0.006, 0.014, 0.047, 0.03, 0.031, 0.046, 0.055, 0.057, 0.058, 0.062, 0.063, 0.048, 0.036, 0.016, 0.082, 0.003, 0.028, 0.036, 0.053, 0.117, 0.09, 0.027, 0.03, 0.032, 0.059, 0.063, 0.01, 0.023, 0.028, 0.005, 0.005, 0.011, 0.012, 0.012, 0.001, 0.015, 0.027, 0.043, 0.038, 0.011, 0.011, 0.013, 0.001, 0.008, 0.007, 0.009, 0.009, 0.003, 0.002, 0.006, 0.005, 0.007, 0.026, 0.002, 0.036, 0.036, 0.033, 0.029, 0.027, 0.027]"/>
    <s v="16426.22903336382"/>
    <s v="[0.003, 0.013, 0.013, 0.008, 0.005, -0.025, 0.001, 0.016, -0.003, -0.001, 0.015, 0.016, 0.019, 0.0, 0.025, 0.025, 0.04, 0.027, 0.028, 0.006, -0.034, 0.008, 0.012, 0.003, -0.044, 0.011, -0.018, -0.024, -0.007, -0.006, -0.0, -0.001, 0.006, 0.009, 0.037, 0.009, 0.011, -0.019, -0.027, 0.021, 0.042, -0.006, -0.014, 0.047, 0.03, 0.031, -0.046, -0.055, -0.057, -0.058, -0.062, -0.063, -0.048, 0.036, 0.016, -0.082, 0.003, 0.028, 0.036, 0.053, 0.117, 0.09, 0.027, 0.03, -0.032, -0.059, -0.063, -0.01, 0.023, 0.028, -0.005, -0.005, -0.011, 0.012, 0.012, -0.001, 0.015, 0.027, 0.043, 0.038, 0.011, -0.011, -0.013, 0.001, 0.008, -0.007, -0.009, -0.009, -0.003, 0.002, 0.006, 0.005, 0.007, 0.026, -0.002, -0.036, -0.036, -0.033, -0.029, -0.027, -0.027]"/>
  </r>
  <r>
    <x v="2301"/>
    <x v="2885"/>
    <x v="0"/>
    <n v="0"/>
    <s v="LINESTRING (10.739386636108962 59.9066887046206, 10.739519904703387 59.90659759839886, 10.7434152779036 59.905479369197565, 10.743441032807024 59.90549114517802, 10.74416962171334 59.90617366858159, 10.745044642851283 59.90705444180767, 10.745083778239799 59.90709509088906, 10.74513021026963 59.907135661148665)"/>
    <s v="[816411, 732693, 732701, 1088389, 2119757, 2119765, 2119773]"/>
    <s v="[720028, 720029, 720036, 1032569, 1826980, 1826983, 462133]"/>
    <s v="#FIELD!"/>
    <s v="[794410, 720028, 720029, 720036, 1032569, 1826980, 1826983]"/>
    <s v="[0.017, 0.015, 0.002, 0.002, 0.007, 0.005, 0.005]"/>
    <s v="497.7573259672991"/>
    <s v="[-0.017, -0.015, -0.002, -0.002, -0.007, 0.005, -0.005]"/>
  </r>
  <r>
    <x v="2302"/>
    <x v="2886"/>
    <x v="0"/>
    <n v="0"/>
    <s v="LINESTRING (7.991554137930222 58.15001237192827, 7.991643857442646 58.14998609889631, 7.9924419253954495 58.14959096079635, 7.992505139595311 58.149555699138745)"/>
    <s v="[1174060, 1174068, 761856]"/>
    <s v="[1106297, 741130, 741131]"/>
    <s v="#FIELD!"/>
    <s v="[1106296, 1106297, 741130]"/>
    <s v="[0.074, 0.033, 0.059]"/>
    <s v="76.30489933919866"/>
    <s v="[-0.074, -0.033, -0.059]"/>
  </r>
  <r>
    <x v="2303"/>
    <x v="2887"/>
    <x v="0"/>
    <n v="0"/>
    <s v="LINESTRING (7.992552692646155 58.14966015856705, 7.992552692646155 58.14966015856705, 7.991851449188388 58.15007918018289, 7.99179545253854 58.15014555259772)"/>
    <s v="[761880, 1174132, 1174140]"/>
    <s v="[741153, 1106345, 1106352]"/>
    <s v="0.03775659365151935"/>
    <s v="[182158, 741153, 1106345]"/>
    <s v="[0.0, 0.036, 0.077]"/>
    <s v="76.17977230146379"/>
    <s v="[0.0, 0.036, 0.077]"/>
  </r>
  <r>
    <x v="2304"/>
    <x v="2813"/>
    <x v="0"/>
    <n v="0"/>
    <s v="LINESTRING (10.804318945976615 59.91420235340184, 10.80332691802723 59.91373815337749, 10.801603407472518 59.913171599690415, 10.801599274112586 59.913170586696026, 10.801587516881877 59.91316770308739, 10.801583348988718 59.913166679999605, 10.796709292992452 59.91174081702161, 10.796500356667309 59.911673848121154, 10.796318478287063 59.9116156195224)"/>
    <s v="[763447, 763455, 763463, 763471, 763479, 763487, 763495, 763503]"/>
    <s v="[742663, 742669, 742677, 742686, 742694, 742700, 742706, 742716]"/>
    <s v="#FIELD!"/>
    <s v="[742659, 742663, 742669, 742677, 742686, 742694, 742700, 742706]"/>
    <s v="[0.021, 0.028, 0.0, 0.01, 0.027, 0.025, 0.036, 0.063]"/>
    <s v="535.0473705296154"/>
    <s v="[-0.021, -0.028, 0.0, -0.01, -0.027, -0.025, -0.036, -0.063]"/>
  </r>
  <r>
    <x v="2304"/>
    <x v="2888"/>
    <x v="0"/>
    <n v="0"/>
    <s v="LINESTRING (10.799908979310581 59.912605599473586, 10.799941361407695 59.91264146549078, 10.803378522825906 59.91372370404966, 10.804249419276648 59.91412910529132, 10.804318945976615 59.91420235340184)"/>
    <s v="[1380521, 1380529, 738321, 770351]"/>
    <s v="[1270220, 723536, 723537, 742659]"/>
    <s v="0.018757429417660367"/>
    <s v="[1270219, 1270220, 723536, 723537]"/>
    <s v="[0.02, 0.017, 0.019, 0.061]"/>
    <s v="309.51643221077296"/>
    <s v="[0.02, 0.017, 0.019, 0.061]"/>
  </r>
  <r>
    <x v="2305"/>
    <x v="2814"/>
    <x v="0"/>
    <n v="0"/>
    <m/>
    <n v="763511"/>
    <n v="742721"/>
    <s v="#FIELD!"/>
    <n v="742716"/>
    <s v="0.064"/>
    <s v="15.39512909999502"/>
    <s v="#FIELD!"/>
  </r>
  <r>
    <x v="2306"/>
    <x v="2889"/>
    <x v="0"/>
    <n v="0"/>
    <s v="LINESTRING (10.79608613197118 59.91154166222283, 10.79552930725693 59.911359243405755, 10.795123905846237 59.911222480773574, 10.795062746272475 59.91120055693423)"/>
    <s v="[763519, 763527, 763535]"/>
    <s v="[742729, 742734, 742743]"/>
    <s v="#FIELD!"/>
    <s v="[742721, 742729, 742734]"/>
    <s v="[0.04, 0.05, 0.046]"/>
    <s v="68.744562442921"/>
    <s v="[-0.04, -0.05, -0.046]"/>
  </r>
  <r>
    <x v="2307"/>
    <x v="2001"/>
    <x v="0"/>
    <n v="0"/>
    <s v="LINESTRING (10.793358723819766 59.90986232583386, 10.794930946962763 59.911157062669176, 10.795062746272475 59.91120055693423)"/>
    <s v="[1849994, 1850002]"/>
    <s v="[1619739, 742743]"/>
    <s v="0.03206835458923675"/>
    <s v="[1259673, 1619739]"/>
    <s v="[0.047, 0.274]"/>
    <s v="189.74524150222632"/>
    <s v="[0.047, -0.274]"/>
  </r>
  <r>
    <x v="2308"/>
    <x v="2890"/>
    <x v="0"/>
    <n v="0"/>
    <s v="LINESTRING (10.933185525995377 59.937560148642824, 10.935606371401159 59.93673215377486, 10.935620919355465 59.93672689366775, 10.937158109811612 59.93613708424989, 10.937171759257764 59.93613125682688, 10.9410522283511 59.9339638930376)"/>
    <s v="[1512245, 1512252, 1512260, 1512261, 1512268]"/>
    <s v="[1367516, 1367522, 1367527, 1367528, 1367534]"/>
    <s v="0.017777605238489754"/>
    <s v="[744218, 1367516, 1367522, 1367527, 1367528]"/>
    <s v="[0.022, 0.007, 0.027, 0.043, 0.013]"/>
    <s v="588.2082709933666"/>
    <s v="[0.022, -0.007, 0.027, -0.043, 0.013]"/>
  </r>
  <r>
    <x v="2309"/>
    <x v="2793"/>
    <x v="0"/>
    <n v="0"/>
    <s v="LINESTRING (10.655008473237777 59.9162666945952, 10.65377994478289 59.91605599940239, 10.652267651664898 59.91580497672418, 10.647810713539391 59.914843970888555, 10.64511083618724 59.91410850374742, 10.643424570611753 59.91374577056186, 10.642995340463596 59.91365358910795, 10.641677741330389 59.913371036856624)"/>
    <s v="[781538, 781546, 781554, 781562, 781570, 781578, 781586]"/>
    <s v="[761668, 761674, 761683, 761691, 761699, 761706, 744392]"/>
    <s v="#FIELD!"/>
    <s v="[744378, 761668, 761674, 761683, 761691, 761699, 761706]"/>
    <s v="[0.004, 0.014, 0.018, 0.056, 0.021, 0.02, 0.042]"/>
    <s v="815.4523355330884"/>
    <s v="[-0.004, 0.014, 0.018, -0.056, -0.021, -0.02, -0.042]"/>
  </r>
  <r>
    <x v="2309"/>
    <x v="2873"/>
    <x v="231"/>
    <n v="0"/>
    <s v="LINESTRING (10.666898521699014 59.91856645548421, 10.665718161106751 59.91841734006865, 10.665682872312457 59.918413687218084, 10.6656652195866 59.91841185601884, 10.663617443660248 59.91813557388899, 10.659235672816108 59.91711269286015, 10.658198124411603 59.916888735338794, 10.65815193834495 59.91687873211287, 10.656085694687643 59.91646501077793, 10.65590239072941 59.91643031169468, 10.655885543099433 59.916427129904264, 10.655384704816589 59.91633396684225, 10.655008473237777 59.9162666945952)"/>
    <s v="[781442, 781450, 781458, 781466, 781474, 781482, 781490, 781498, 781506, 781514, 781522, 781530]"/>
    <s v="[761581, 761587, 761596, 761602, 761610, 761617, 761624, 761634, 761642, 761650, 761656, 744378]"/>
    <s v="0.011452685283401117"/>
    <s v="[761571, 761581, 761587, 761596, 761602, 761610, 761617, 761624, 761634, 761642, 761650, 761656]"/>
    <s v="[0.022, 0.033, 0.008, 0.0, 0.001, 0.022, 0.02, 0.024, 0.036, 0.028, 0.037, 0.158]"/>
    <s v="715.1728121700601"/>
    <s v="[-0.022, -0.033, -0.008, -0.0, 0.001, 0.022, 0.02, 0.024, 0.036, 0.028, 0.037, 0.158]"/>
  </r>
  <r>
    <x v="2310"/>
    <x v="2891"/>
    <x v="232"/>
    <s v="[0, 1, 1, 1, 1, 0, 0, 0, 0, 0, 0, 0, 0, 0]"/>
    <s v="LINESTRING (10.641677741330389 59.913371036856624, 10.641216675923586 59.91328203053652, 10.640838236819663 59.91320475164454, 10.640821799884113 59.9132014645579, 10.64031086993881 59.91310248541483, 10.640092080445282 59.91306403419009, 10.63974056988006 59.913011491820505, 10.639178191694388 59.91293300576101, 10.637992644171955 59.91276965911297, 10.637587598906679 59.91271288157533, 10.63745878370266 59.91269483538586, 10.637189536300253 59.9126566669516, 10.636807849341656 59.912611020487375, 10.635287327384832 59.9123985952461, 10.63377557626797 59.91207499129806)"/>
    <s v="[781594, 781602, 1542396, 1542404, 1542412, 1542420, 1542428, 1542436, 1542444, 1542452, 1542460, 1542468, 1542476, 1542484]"/>
    <s v="[761717, 761722, 1393409, 1393415, 1393420, 1393428, 1393434, 1393440, 1393447, 1393453, 1393458, 1393466, 1393473, 1393480]"/>
    <s v="0.031530209928036367"/>
    <s v="[744392, 761717, 761722, 1393409, 1393415, 1393420, 1393428, 1393434, 1393440, 1393447, 1393453, 1393458, 1393466, 1393473]"/>
    <s v="[0.037, 0.017, 0.914, 0.004, 0.006, 0.012, 0.016, 0.055, 0.071, 0.058, 0.03, 0.032, 0.049, 0.031]"/>
    <s v="466.54950376224247"/>
    <s v="[0.037, -0.017, -0.914, -0.004, 0.006, 0.012, 0.016, 0.055, 0.071, 0.058, 0.03, 0.032, 0.049, 0.031]"/>
  </r>
  <r>
    <x v="2311"/>
    <x v="2892"/>
    <x v="0"/>
    <n v="0"/>
    <s v="LINESTRING (11.152740971884898 63.701689172985425, 11.152220328239927 63.70262793764134, 11.152311338446198 63.70319391983093, 11.152312941893646 63.70321893679548)"/>
    <s v="[765549, 765557, 765565]"/>
    <s v="[744653, 744660, 644897]"/>
    <s v="#FIELD!"/>
    <s v="[744645, 744653, 744660]"/>
    <s v="[0.032, 0.041, 0.051]"/>
    <s v="182.63468945090844"/>
    <s v="[-0.032, -0.041, -0.051]"/>
  </r>
  <r>
    <x v="2312"/>
    <x v="2702"/>
    <x v="0"/>
    <n v="1"/>
    <s v="LINESTRING (10.815557732763827 59.92335451092507, 10.81557114408476 59.92340438942209, 10.81565189576946 59.92338897327108)"/>
    <s v="[768824, 768838]"/>
    <s v="[747968, 745557]"/>
    <s v="0.07230875775308135"/>
    <s v="[745032, 747968]"/>
    <s v="[0.142, 0.023]"/>
    <s v="11.443059537312225"/>
    <s v="[0.142, -0.023]"/>
  </r>
  <r>
    <x v="2313"/>
    <x v="2702"/>
    <x v="0"/>
    <n v="1"/>
    <s v="LINESTRING (10.81559485356524 59.92342941952928, 10.81559485356524 59.92342941952928, 10.81565189576946 59.92338897327108)"/>
    <s v="[766420, 766428]"/>
    <s v="[745549, 745557]"/>
    <s v="#FIELD!"/>
    <s v="[745543, 745549]"/>
    <s v="[0.0, 0.124]"/>
    <s v="10.413498436050013"/>
    <s v="[0.0, -0.124]"/>
  </r>
  <r>
    <x v="2314"/>
    <x v="2810"/>
    <x v="233"/>
    <n v="0"/>
    <s v="LINESTRING (10.803158430663608 59.9138075000053, 10.801563408779487 59.91326883372538, 10.801547406905996 59.9132648256721, 10.801543224566785 59.91326377514834, 10.796606693342712 59.91182442479257, 10.796391729651809 59.91175966395726, 10.79620579174653 59.91170238453446, 10.79598421142632 59.91163389602539, 10.795425341631445 59.91145347950236, 10.795303735807959 59.911414168592074)"/>
    <s v="[770214, 770221, 770229, 770239, 770247, 770255, 770263, 770264, 770271]"/>
    <s v="[749593, 749600, 749608, 749621, 749630, 749639, 749652, 749653, 749662]"/>
    <s v="#FIELD!"/>
    <s v="[749584, 749593, 749600, 749608, 749621, 749630, 749639, 749652, 749653]"/>
    <s v="[0.032, 0.069, 0.027, 0.025, 0.05, 0.066, 0.046, 0.035, 0.052]"/>
    <s v="515.2227672289753"/>
    <s v="[-0.032, -0.069, -0.027, -0.025, -0.05, -0.066, -0.046, -0.035, -0.052]"/>
  </r>
  <r>
    <x v="2315"/>
    <x v="2809"/>
    <x v="0"/>
    <n v="0"/>
    <m/>
    <n v="770279"/>
    <n v="749672"/>
    <s v="#FIELD!"/>
    <n v="749662"/>
    <s v="0.048"/>
    <s v="15.492256130354082"/>
    <s v="#FIELD!"/>
  </r>
  <r>
    <x v="2316"/>
    <x v="1992"/>
    <x v="0"/>
    <n v="0"/>
    <s v="LINESTRING (10.795071620099215 59.911338418499035, 10.795026031981687 59.911323744677304, 10.794942915196536 59.91129706417234, 10.79482275934341 59.91125380691435, 10.793151306918228 59.90985358347744, 10.79339670936191 59.909447271521756)"/>
    <s v="[770287, 770295, 1850024, 1849804, 1849929]"/>
    <s v="[749681, 749688, 1619541, 1619542, 1259667]"/>
    <s v="#FIELD!"/>
    <s v="[749672, 749681, 749688, 1619541, 1619542]"/>
    <s v="[0.038, 0.038, 0.291, 0.041, 0.025]"/>
    <s v="257.9149170293194"/>
    <s v="[-0.038, -0.038, 0.291, -0.041, -0.025]"/>
  </r>
  <r>
    <x v="2317"/>
    <x v="2850"/>
    <x v="0"/>
    <n v="0"/>
    <s v="LINESTRING (10.81888898459029 59.90951123742991, 10.820185047523083 59.90819840217204, 10.820344192901723 59.90798658593396, 10.820696428104828 59.90570114155883, 10.820512060803466 59.90417494769763, 10.820472637720533 59.9040602344774)"/>
    <s v="[803428, 1820752, 1820760, 1820768, 803420]"/>
    <s v="[781901, 1600692, 1600702, 781893, 759648]"/>
    <s v="0.03229891063620962"/>
    <s v="[759658, 781901, 1600692, 1600702, 781893]"/>
    <s v="[0.567, 0.072, 0.039, 0.022, 0.401]"/>
    <s v="474.5178081426239"/>
    <s v="[0.567, 0.072, 0.039, 0.022, -0.401]"/>
  </r>
  <r>
    <x v="2318"/>
    <x v="2563"/>
    <x v="0"/>
    <n v="0"/>
    <s v="LINESTRING (10.716018874192919 59.90973366627399, 10.716472759089978 59.9097728976908, 10.716699668377444 59.90980449792585, 10.71783907377017 59.91002328351316, 10.71788760899742 59.91003442105458, 10.731150319622822 59.911313985609844)"/>
    <s v="[2025356, 2025453, 2025461, 2025412, 2025436]"/>
    <s v="[1768542, 1768617, 1768586, 1768587, 794428]"/>
    <s v="#FIELD!"/>
    <s v="[761267, 1768542, 1768617, 1768586, 1768587]"/>
    <s v="[0.396, 0.015, 0.014, 0.011, 0.007]"/>
    <s v="865.4661580215435"/>
    <s v="[0.396, 0.015, 0.014, 0.011, -0.007]"/>
  </r>
  <r>
    <x v="2319"/>
    <x v="2785"/>
    <x v="0"/>
    <n v="0"/>
    <s v="LINESTRING (10.666898521699014 59.91856645548421, 10.667208517056158 59.918576659982904, 10.670100726996042 59.91957544505846, 10.672831369511957 59.92037687811504, 10.674493805716397 59.92055746970098, 10.674958523585458 59.92061035370448, 10.675222081435512 59.92061228693412, 10.675321792621304 59.92060801846288)"/>
    <s v="[1789305, 1789313, 1789321, 1789329, 1789337, 1239017, 1239018]"/>
    <s v="[1578371, 1578330, 1578362, 1578393, 1159983, 1159984, 1159969]"/>
    <s v="#FIELD!"/>
    <s v="[761571, 1578371, 1578330, 1578362, 1578393, 1159983, 1159984]"/>
    <s v="[0.303, 0.029, 0.029, 0.003, 0.15, 0.05, 0.05]"/>
    <s v="535.8467439066643"/>
    <s v="[0.303, -0.029, -0.029, -0.003, 0.15, -0.05, -0.05]"/>
  </r>
  <r>
    <x v="2320"/>
    <x v="2893"/>
    <x v="0"/>
    <n v="0"/>
    <s v="LINESTRING (10.269177160452012 59.75400185124486, 10.269111291296317 59.754019722296974, 10.267813855690125 59.75426811165386)"/>
    <s v="[790596, 790604]"/>
    <s v="[770232, 770242]"/>
    <s v="0.0029493673770960606"/>
    <s v="[770231, 770232]"/>
    <s v="[0.002, 0.003]"/>
    <s v="83.06985139086086"/>
    <s v="[0.002, 0.003]"/>
  </r>
  <r>
    <x v="2320"/>
    <x v="2894"/>
    <x v="0"/>
    <n v="0"/>
    <s v="LINESTRING (10.269177160452012 59.75400185124486, 10.269329284880156 59.75387808438907, 10.269439186291775 59.753849757575765, 10.269561031668273 59.753840300690385, 10.26985833802004 59.753912278248535)"/>
    <s v="[790652, 790660, 790668, 790676]"/>
    <s v="[770196, 770304, 770210, 770319]"/>
    <s v="0.0005340950866675249"/>
    <s v="[770231, 770196, 770304, 770210]"/>
    <s v="[0.003, 0.001, 0.001, 0.004]"/>
    <s v="49.41021667179341"/>
    <s v="[-0.003, -0.001, 0.001, 0.004]"/>
  </r>
  <r>
    <x v="2320"/>
    <x v="2895"/>
    <x v="0"/>
    <n v="0"/>
    <s v="LINESTRING (10.269260157494932 59.75415964449083, 10.269183712256552 59.754086458181966, 10.269177160452012 59.75400185124486)"/>
    <s v="[790636, 790644]"/>
    <s v="[770277, 770231]"/>
    <s v="#FIELD!"/>
    <s v="[770250, 770277]"/>
    <s v="[0.004, 0.005]"/>
    <s v="18.65842202934667"/>
    <s v="[-0.004, -0.005]"/>
  </r>
  <r>
    <x v="2321"/>
    <x v="2896"/>
    <x v="0"/>
    <s v="[0, 0, 0, 1, 0]"/>
    <s v="LINESTRING (10.267813855690125 59.75426811165386, 10.26714738461834 59.75432778481838, 10.26712977129863 59.754329173005814, 10.266480020208517 59.754359034973376, 10.26577838604962 59.75435763499477, 10.264706286092084 59.75429761184475)"/>
    <s v="[790701, 790709, 1422868, 1422876, 1422884]"/>
    <s v="[770348, 770357, 1298197, 1298203, 1298209]"/>
    <s v="0.013766972839757953"/>
    <s v="[770242, 770348, 770357, 1298197, 1298203]"/>
    <s v="[0.003, 0.002, 0.03, 0.009, 0.014]"/>
    <s v="175.88700325308508"/>
    <s v="[0.003, 0.002, 0.03, 0.009, 0.014]"/>
  </r>
  <r>
    <x v="2321"/>
    <x v="2895"/>
    <x v="0"/>
    <n v="0"/>
    <s v="LINESTRING (10.269260157494932 59.75415964449083, 10.26918291533388 59.75415889100428, 10.267813855690125 59.75426811165386)"/>
    <s v="[790612, 790620]"/>
    <s v="[770251, 770242]"/>
    <s v="0.0018953974755279912"/>
    <s v="[770250, 770251]"/>
    <s v="[0.0, 0.002]"/>
    <s v="83.07412700549229"/>
    <s v="[0.0, 0.002]"/>
  </r>
  <r>
    <x v="2322"/>
    <x v="2897"/>
    <x v="0"/>
    <n v="0"/>
    <m/>
    <n v="790628"/>
    <n v="770250"/>
    <s v="#FIELD!"/>
    <n v="770267"/>
    <s v="0.001"/>
    <s v="46.765529283417536"/>
    <s v="#FIELD!"/>
  </r>
  <r>
    <x v="2323"/>
    <x v="2894"/>
    <x v="0"/>
    <n v="0"/>
    <s v="LINESTRING (10.26985833802004 59.753912278248535, 10.269937101681057 59.75399553190517, 10.269930656699191 59.7540888446288)"/>
    <s v="[790684, 790692]"/>
    <s v="[770328, 770267]"/>
    <s v="0.005496992897946601"/>
    <s v="[770319, 770328]"/>
    <s v="[0.006, 0.005]"/>
    <s v="20.68944941339517"/>
    <s v="[0.006, 0.005]"/>
  </r>
  <r>
    <x v="2323"/>
    <x v="2898"/>
    <x v="0"/>
    <n v="0"/>
    <s v="LINESTRING (10.270920584047257 59.75389230069199, 10.270002588994672 59.75406793575561, 10.269930656699191 59.7540888446288)"/>
    <s v="[790733, 790741]"/>
    <s v="[770389, 770267]"/>
    <s v="#FIELD!"/>
    <s v="[770378, 770389]"/>
    <s v="0.0"/>
    <s v="60.665229134675364"/>
    <s v="#FIELD!"/>
  </r>
  <r>
    <x v="2324"/>
    <x v="2898"/>
    <x v="0"/>
    <n v="0"/>
    <s v="LINESTRING (10.270920584047257 59.75389230069199, 10.269942523983197 59.753917743176665, 10.26985833802004 59.753912278248535)"/>
    <s v="[790749, 790757]"/>
    <s v="[770407, 770319]"/>
    <s v="#FIELD!"/>
    <s v="[770378, 770407]"/>
    <s v="[0.002, 0.004]"/>
    <s v="60.56114488148802"/>
    <s v="[-0.002, -0.004]"/>
  </r>
  <r>
    <x v="2325"/>
    <x v="2899"/>
    <x v="0"/>
    <s v="[0, 0, 1, 0, 0, 0, 0, 0]"/>
    <s v="LINESTRING (10.28625301767086 59.75205618498431, 10.284799757102293 59.752241858995625, 10.281328005920173 59.75265775612454, 10.280524599204155 59.752753692513515, 10.27694180437173 59.753182290864906, 10.273039673214743 59.75365424150521, 10.271730903784553 59.753806133582046, 10.271696242976715 59.753809956963046, 10.270920584047257 59.75389230069199)"/>
    <s v="[1422819, 1422827, 1422835, 1422844, 1422852, 1422860, 790717, 790725]"/>
    <s v="[1298165, 1298171, 1298174, 1298181, 1298187, 770367, 770368, 770378]"/>
    <s v="0.002760353542961658"/>
    <s v="[1298164, 1298165, 1298171, 1298174, 1298181, 1298187, 770367, 770368]"/>
    <s v="[0.016, 0.004, 0.02, 0.004, 0.005, 0.024, 0.002, 0.001]"/>
    <s v="886.2967387850199"/>
    <s v="[-0.016, 0.004, 0.02, -0.004, 0.005, 0.024, -0.002, -0.001]"/>
  </r>
  <r>
    <x v="2326"/>
    <x v="2900"/>
    <x v="0"/>
    <n v="0"/>
    <s v="LINESTRING (5.347213227987505 60.50862026494849, 5.3471374314348115 60.50869846496723, 5.346640276543905 60.50889161635873, 5.346455700914923 60.508947257090085, 5.3453114940249264 60.509279371990615, 5.34490994869576 60.50935750294377)"/>
    <s v="[796201, 796209, 796217, 796225, 796233]"/>
    <s v="[775323, 762230, 762197, 775340, 775347]"/>
    <s v="0.029691192257182916"/>
    <s v="[775322, 775323, 762230, 762197, 775340]"/>
    <s v="[0.023, 0.019, 0.027, 0.037, 0.049]"/>
    <s v="156.4771170548689"/>
    <s v="[-0.023, 0.019, 0.027, 0.037, 0.049]"/>
  </r>
  <r>
    <x v="2326"/>
    <x v="2901"/>
    <x v="0"/>
    <n v="0"/>
    <s v="LINESTRING (5.347213227987505 60.50862026494849, 5.347022556817856 60.50865033319699, 5.346990973884596 60.50865972323775)"/>
    <s v="[796241, 796249]"/>
    <s v="[775354, 775363]"/>
    <s v="0.04079668149303667"/>
    <s v="[775322, 775354]"/>
    <s v="[0.044, 0.023]"/>
    <s v="13.323522683069609"/>
    <s v="[0.044, 0.023]"/>
  </r>
  <r>
    <x v="2327"/>
    <x v="2902"/>
    <x v="0"/>
    <n v="0"/>
    <s v="LINESTRING (5.34490994869576 60.50935750294377, 5.344823750238716 60.50938314825696, 5.344742505992961 60.509408178370265, 5.34387150821481 60.50967365780842, 5.3402039880980485 60.51102925855672, 5.339161303579909 60.51148315143917, 5.335239341770068 60.51300114731776)"/>
    <s v="[2063537, 2063545, 2063553, 2063561, 2063574, 2063582]"/>
    <s v="[1793424, 796742, 1793431, 1620709, 1793441, 1752913]"/>
    <s v="#FIELD!"/>
    <s v="[775347, 1793424, 796742, 1793431, 1620709, 1793441]"/>
    <s v="[0.33, 0.029, 0.002, 0.018, 0.049, 0.0]"/>
    <s v="672.0000741193312"/>
    <s v="[-0.33, 0.029, -0.002, 0.018, -0.049, 0.0]"/>
  </r>
  <r>
    <x v="2327"/>
    <x v="2903"/>
    <x v="0"/>
    <n v="0"/>
    <s v="LINESTRING (5.3452579867091785 60.50921864163904, 5.345238517008027 60.50922470965107, 5.34490994869576 60.50935750294377)"/>
    <s v="[796273, 796281]"/>
    <s v="[775388, 775347]"/>
    <s v="0.02788638208500925"/>
    <s v="[775380, 775388]"/>
    <s v="[0.064, 0.026]"/>
    <s v="25.568513371040936"/>
    <s v="[0.064, 0.026]"/>
  </r>
  <r>
    <x v="2328"/>
    <x v="2903"/>
    <x v="0"/>
    <n v="0"/>
    <s v="LINESTRING (5.346990973884596 60.50865972323775, 5.3464424990939765 60.50883433807255, 5.3452579867091785 60.50921864163904)"/>
    <s v="[796257, 796265]"/>
    <s v="[762196, 775380]"/>
    <s v="0.030054177843416716"/>
    <s v="[775363, 762196]"/>
    <s v="[0.028, 0.031]"/>
    <s v="114.11480807592835"/>
    <s v="[0.028, 0.031]"/>
  </r>
  <r>
    <x v="2328"/>
    <x v="2903"/>
    <x v="0"/>
    <n v="0"/>
    <s v="LINESTRING (5.346990973884596 60.50865972323775, 5.346899829128058 60.50866715297992, 5.345309088118309 60.50917804118398, 5.3452579867091785 60.50921864163904)"/>
    <s v="[796305, 796289, 796297]"/>
    <s v="[775403, 775404, 775380]"/>
    <s v="0.029494065743492674"/>
    <s v="[775363, 775403, 775404]"/>
    <s v="[0.052, 0.03, 0.002]"/>
    <s v="116.39429527343"/>
    <s v="[0.052, 0.03, -0.002]"/>
  </r>
  <r>
    <x v="2329"/>
    <x v="2904"/>
    <x v="0"/>
    <n v="0"/>
    <m/>
    <n v="2114554"/>
    <n v="775947"/>
    <s v="#FIELD!"/>
    <n v="1823989"/>
    <s v="0.027"/>
    <s v="34.75977739565505"/>
    <s v="#FIELD!"/>
  </r>
  <r>
    <x v="2330"/>
    <x v="2905"/>
    <x v="0"/>
    <n v="0"/>
    <s v="LINESTRING (9.089953679115599 58.834183376979155, 9.08869865297019 58.83314996753994, 9.087786636293478 58.83241017805608, 9.087041104984912 58.831770601928525)"/>
    <s v="[800207, 1322873, 1322881]"/>
    <s v="[778850, 1229498, 1229505]"/>
    <s v="0.09414061902830664"/>
    <s v="[778658, 778850, 1229498]"/>
    <s v="[0.095, 0.082, 0.107]"/>
    <s v="317.4036834794663"/>
    <s v="[0.095, 0.082, 0.107]"/>
  </r>
  <r>
    <x v="2330"/>
    <x v="2906"/>
    <x v="0"/>
    <s v="[0, 1, 0, 0, 0, 1, 0, 1, 0]"/>
    <s v="LINESTRING (9.132549187026298 58.857019860088165, 9.121700339429502 58.851636308632145, 9.120755645732105 58.85131902994533, 9.119351574283122 58.85081822091257, 9.110454328464817 58.84572461171879, 9.108921770661466 58.84510454945111, 9.108810509290569 58.84506234685317, 9.091537455122694 58.835712275739745, 9.090131879560678 58.834343804572896, 9.089953679115599 58.834183376979155)"/>
    <s v="[800071, 800079, 800119, 800127, 800135, 800143, 800183, 800191, 800199]"/>
    <s v="[778743, 778752, 778787, 778794, 778799, 778806, 778833, 778838, 778658]"/>
    <s v="#FIELD!"/>
    <s v="[778683, 778743, 778752, 778787, 778794, 778799, 778806, 778833, 778838]"/>
    <s v="[0.074, 0.033, 0.017, 0.042, 0.07, 0.034, 0.009, 0.014, 0.124]"/>
    <s v="3573.416006499485"/>
    <s v="[-0.074, -0.033, 0.017, -0.042, -0.07, -0.034, -0.009, 0.014, 0.124]"/>
  </r>
  <r>
    <x v="2330"/>
    <x v="2907"/>
    <x v="0"/>
    <n v="0"/>
    <s v="LINESTRING (9.089319733540396 58.833047416757246, 9.089159300777013 58.83304048931414, 9.088869123191694 58.83320821575876, 9.08987310754198 58.83408577340167, 9.089953679115599 58.834183376979155)"/>
    <s v="[1239098, 1239111, 1239121, 799991]"/>
    <s v="[1160032, 1160043, 778657, 778658]"/>
    <s v="#FIELD!"/>
    <s v="[1160031, 1160032, 1160043, 778657]"/>
    <s v="[0.062, 0.001, 0.095, 0.105]"/>
    <s v="165.6909772041859"/>
    <s v="[0.062, 0.001, -0.095, -0.105]"/>
  </r>
  <r>
    <x v="2331"/>
    <x v="2908"/>
    <x v="0"/>
    <s v="[0, 1, 0, 0, 0, 1, 0, 1, 0]"/>
    <s v="LINESTRING (9.131402889021674 58.856502888145585, 9.121639265387502 58.85168384657906, 9.120695372227951 58.85136696414248, 9.119272248029214 58.85085927016841, 9.110247518412757 58.845700177327984, 9.108856630041094 58.845130243014516, 9.10873903862516 58.84508563493418, 9.09146806566288 58.835731147931895, 9.09006506590685 58.83436387461842, 9.089930493616231 58.83424488452685)"/>
    <s v="[800039, 800047, 800087, 800095, 800103, 800111, 800151, 800159, 800167]"/>
    <s v="[778709, 778717, 778758, 778767, 778774, 778780, 778814, 778822, 778673]"/>
    <s v="#FIELD!"/>
    <s v="[778667, 778709, 778717, 778758, 778767, 778774, 778780, 778814, 778822]"/>
    <s v="[0.072, 0.027, 0.018, 0.043, 0.069, 0.034, 0.009, 0.018, 0.128]"/>
    <s v="3481.625309555442"/>
    <s v="[-0.072, -0.027, 0.018, -0.043, -0.069, -0.034, -0.009, 0.018, 0.128]"/>
  </r>
  <r>
    <x v="2331"/>
    <x v="2342"/>
    <x v="0"/>
    <n v="0"/>
    <s v="LINESTRING (9.141871235937675 58.86195727833223, 9.137788519582713 58.85983158768517, 9.137671478218552 58.85977023435246, 9.131402889021674 58.856502888145585)"/>
    <s v="[1291041, 800023, 800031]"/>
    <s v="[778691, 778692, 778667]"/>
    <s v="#FIELD!"/>
    <s v="[1204259, 778691, 778692]"/>
    <s v="[0.054, 0.023, 0.017]"/>
    <s v="857.6651387002512"/>
    <s v="[-0.054, -0.023, -0.017]"/>
  </r>
  <r>
    <x v="2332"/>
    <x v="2909"/>
    <x v="0"/>
    <n v="0"/>
    <s v="LINESTRING (9.089930493616231 58.83424488452685, 9.089793125519602 58.83415547646238, 9.089020053126223 58.833563752712585, 9.088497364458386 58.83363382776719)"/>
    <s v="[800007, 1766893, 1766901]"/>
    <s v="[778674, 1560361, 1160201]"/>
    <s v="0.09435472545292553"/>
    <s v="[778673, 778674, 1560361]"/>
    <s v="[0.122, 0.244, 0.256]"/>
    <s v="127.48266115255755"/>
    <s v="[0.122, 0.244, -0.256]"/>
  </r>
  <r>
    <x v="2332"/>
    <x v="2910"/>
    <x v="0"/>
    <n v="0"/>
    <s v="LINESTRING (9.089930493616231 58.83424488452685, 9.088624874873878 58.83317421849933, 9.08770686900529 58.83243615202432, 9.086961422455099 58.83179496772297, 9.086845485093734 58.831691721387216, 9.086562544821785 58.83146582067016)"/>
    <s v="[800175, 1323065, 1323073, 1323081, 1323089]"/>
    <s v="[778829, 1229672, 1229678, 1229685, 1229693]"/>
    <s v="0.10253885607444127"/>
    <s v="[778673, 778829, 1229672, 1229678, 1229685]"/>
    <s v="[0.096, 0.083, 0.107, 0.158, 0.16]"/>
    <s v="366.02968598138494"/>
    <s v="[0.096, 0.083, 0.107, 0.158, 0.16]"/>
  </r>
  <r>
    <x v="2333"/>
    <x v="2911"/>
    <x v="0"/>
    <n v="0"/>
    <s v="LINESTRING (9.132549187026298 58.857019860088165, 9.132832288655285 58.85712711107433, 9.13945674997628 58.85923387143937)"/>
    <s v="[800015, 1234558]"/>
    <s v="[778684, 1155893]"/>
    <s v="#FIELD!"/>
    <s v="[778683, 778684]"/>
    <s v="[0.134, 0.012]"/>
    <s v="479.01387827748863"/>
    <s v="[0.134, -0.012]"/>
  </r>
  <r>
    <x v="2333"/>
    <x v="2912"/>
    <x v="0"/>
    <n v="0"/>
    <s v="LINESTRING (9.14341961329548 58.86270791677614, 9.137865973603136 58.859791729206, 9.137748628095569 58.85973063218248, 9.132549187026298 58.857019860088165)"/>
    <s v="[1291073, 800055, 800063]"/>
    <s v="[778726, 778727, 778683]"/>
    <s v="#FIELD!"/>
    <s v="[1204286, 778726, 778727]"/>
    <s v="[0.042, 0.023, 0.002]"/>
    <s v="892.5130802897129"/>
    <s v="[-0.042, -0.023, 0.002]"/>
  </r>
  <r>
    <x v="2334"/>
    <x v="2913"/>
    <x v="0"/>
    <n v="0"/>
    <s v="LINESTRING (5.714590026412889 58.89413366135699, 5.714607613139214 58.894074967672914, 5.7146223785948 58.89405872303485)"/>
    <s v="[1440107, 1440115]"/>
    <s v="[1308561, 1308567]"/>
    <s v="#FIELD!"/>
    <s v="[779519, 1308561]"/>
    <s v="[0.029, 0.016]"/>
    <s v="8.642687696731649"/>
    <s v="[-0.029, -0.016]"/>
  </r>
  <r>
    <x v="2335"/>
    <x v="2914"/>
    <x v="0"/>
    <n v="0"/>
    <m/>
    <n v="801476"/>
    <n v="779980"/>
    <s v="#FIELD!"/>
    <n v="779973"/>
    <s v="0.038"/>
    <s v="246.14337264011897"/>
    <s v="#FIELD!"/>
  </r>
  <r>
    <x v="2335"/>
    <x v="2915"/>
    <x v="0"/>
    <n v="0"/>
    <s v="LINESTRING (5.458956285304494 59.407239761973784, 5.4588816046977335 59.40735081226597, 5.4550340480429735 59.410149942631726, 5.455026686394651 59.4101817399563)"/>
    <s v="[801588, 801596, 801604]"/>
    <s v="[780072, 780079, 780008]"/>
    <s v="#FIELD!"/>
    <s v="[779973, 780072, 780079]"/>
    <s v="[0.074, 0.04, 0.054]"/>
    <s v="403.1353900401459"/>
    <s v="[-0.074, -0.04, -0.054]"/>
  </r>
  <r>
    <x v="2335"/>
    <x v="2916"/>
    <x v="234"/>
    <s v="[0, 0, 0, 0, 0, 0, 0, 0, 0, 0, 0, 0, 0, 0, 0, 0, 0, 0, 1, 0, 0, 0, 0, 0, 0, 0, 0, 0, 0, 0, 0, 0, 0, 0, 0, 0, 0, 0, 0, 0, 0, 0, 0, 0, 0, 0, 0, 0, 0, 0, 0, 0, 0, 0, 0, 0, 0, 0, 0, 0, 0, 0, 0, 0, 0, 0, 0, 0, 0, 0, 0, 0, 0]"/>
    <s v="LINESTRING (5.448050209016169 59.316025958378965, 5.447494154962263 59.31636867936755, 5.447435946958805 59.31641235415462, 5.447083640228262 59.31678682857755, 5.446886437754765 59.3171185766591, 5.446851025088942 59.31904813631578, 5.4470891132507075 59.32009858244836, 5.447091190671715 59.32010742466505, 5.447391124920146 59.32142631052281, 5.4470995859350335 59.32274957585968, 5.447020655945553 59.32289629698974, 5.446643743518955 59.32355255674933, 5.445027936158294 59.32605197400493, 5.445005832705661 59.32608528272695, 5.441671376500638 59.3300876730636, 5.441279296599647 59.3304639641445, 5.440773524920038 59.3309476668982, 5.439294619074083 59.33255854027372, 5.439240500186229 59.332665280561855, 5.439225402548495 59.332698555925994, 5.439192515963334 59.332777655612624, 5.436806863959364 59.33827012980224, 5.436735023319285 59.338328100136714, 5.437377272322031 59.34064829816138, 5.440923528817579 59.34245653872225, 5.442102624009798 59.342472348847515, 5.443679331193685 59.342227158212545, 5.445244077476306 59.34209805792732, 5.445339308916202 59.34209316722976, 5.447813711677745 59.342162709877435, 5.44905750192843 59.34277191931756, 5.449069690437843 59.34278087612845, 5.449106939669764 59.342808457105306, 5.450699748600168 59.34401276326517, 5.451922921512508 59.3450325462658, 5.452851099494088 59.34628987750376, 5.452992358616454 59.34649984469859, 5.453042576339146 59.3465745284073, 5.453446528071689 59.34712885339616, 5.453988574248792 59.34771879463517, 5.4545590772380805 59.34970131190574, 5.454185531482366 59.351474911472735, 5.453530277603828 59.352375998209055, 5.459640689473504 59.364689485464375, 5.459693249959912 59.36484912506633, 5.46007077029033 59.36567173878828, 5.460085927041144 59.36570432954412, 5.460217308058538 59.36620191059835, 5.460218467776647 59.36649767546142, 5.46013891201963 59.367118612015865, 5.457946064895534 59.37419618110298, 5.458456405916597 59.37719493677334, 5.458524737407714 59.37745760710055, 5.458582957212032 59.37760894002252, 5.458629273530394 59.37771194651788, 5.459404390079414 59.37860237401692, 5.459607012678944 59.37874868588235, 5.459655181682025 59.37878309801171, 5.461031846707937 59.381399060533546, 5.460944685110919 59.38160135221906, 5.463024102912478 59.3870999681911, 5.465413716760053 59.39090384830123, 5.465639310463781 59.39164808918316, 5.465623472754169 59.392099236861235, 5.465616862887751 59.39216990268564, 5.465608767991135 59.39227889258968, 5.465582028890598 59.392655922575685, 5.465544112492033 59.3931538122482, 5.4654820882295105 59.394543887670146, 5.465480143038567 59.39465725492914, 5.4654701417986535 59.39525026298361, 5.465453889658993 59.39680364181193, 5.459532390966084 59.40683419343325, 5.458956285304494 59.407239761973784)"/>
    <s v="[2101961, 2101969, 2101977, 2101985, 2101993, 2102001, 2102009, 2102017, 2102018, 2102025, 2102033, 2102041, 2102049, 2102057, 2102065, 2102073, 2102081, 2102089, 2102098, 2102106, 2102114, 2102122, 2102130, 2102138, 2102146, 2102154, 2102162, 2102170, 2102178, 2102186, 2102202, 2102210, 2102218, 2102226, 2102234, 2102242, 2102250, 2102266, 2102274, 2102282, 2102290, 2102298, 2102306, 2102314, 2102316, 2102317, 2102318, 2102326, 2102334, 2102342, 2102350, 2102361, 2102366, 2102374, 2102399, 2102400, 2102401, 2102409, 2102416, 2102417, 2102435, 2102443, 2102444, 2102458, 2102481, 2102482, 2102486, 2102487, 2102494, 2102508, 2102516, 2102526, 801468]"/>
    <s v="[1816975, 1816980, 1816986, 1816991, 1816995, 1817002, 1817009, 1299373, 1299397, 977213, 1263149, 1263142, 1817033, 1817040, 1218599, 1218622, 1817053, 1817059, 1817064, 1218561, 1299482, 1299521, 1817086, 1690775, 1206590, 958024, 1206637, 1244780, 1299547, 1817115, 1817124, 1817127, 345110, 1812139, 1817137, 1817140, 345118, 1237320, 1817156, 1817160, 1815604, 1224802, 347398, 1299256, 1817181, 1817182, 1817183, 1297496, 1238181, 1218554, 1817200, 345393, 1817205, 1218455, 345629, 1817228, 1817229, 1817233, 1302130, 1051649, 1299249, 1817244, 1817245, 1817250, 1817262, 1817263, 1817264, 1259382, 1817268, 1817274, 1817283, 779972, 779973]"/>
    <s v="0.001477550099685879"/>
    <s v="[1202377, 1816975, 1816980, 1816986, 1816991, 1816995, 1817002, 1817009, 1299373, 1299397, 977213, 1263149, 1263142, 1817033, 1817040, 1218599, 1218622, 1817053, 1817059, 1817064, 1218561, 1299482, 1299521, 1817086, 1690775, 1206590, 958024, 1206637, 1244780, 1299547, 1817115, 1817124, 1817127, 345110, 1812139, 1817137, 1817140, 345118, 1237320, 1817156, 1817160, 1815604, 1224802, 347398, 1299256, 1817181, 1817182, 1817183, 1297496, 1238181, 1218554, 1817200, 345393, 1817205, 1218455, 345629, 1817228, 1817229, 1817233, 1302130, 1051649, 1299249, 1817244, 1817245, 1817250, 1817262, 1817263, 1817264, 1259382, 1817268, 1817274, 1817283, 779972]"/>
    <s v="[0.045, 0.385, 0.002, 0.002, 0.028, 0.049, 0.053, 0.024, 0.002, 0.016, 0.026, 0.031, 0.03, 0.015, 0.007, 0.016, 0.006, 0.023, 0.021, 0.023, 0.021, 0.05, 0.015, 0.028, 0.024, 0.007, 0.048, 0.049, 0.037, 0.062, 0.116, 0.114, 0.001, 0.036, 0.01, 0.018, 0.022, 0.027, 0.046, 0.007, 0.032, 0.024, 0.001, 0.031, 0.035, 0.037, 0.021, 0.01, 0.006, 0.011, 0.031, 0.011, 0.018, 0.022, 0.024, 0.002, 0.001, 0.036, 0.055, 0.015, 0.019, 0.012, 0.047, 0.055, 0.065, 0.064, 0.063, 0.06, 0.059, 0.026, 0.013, 0.006, 0.062]"/>
    <s v="11586.65720479162"/>
    <s v="[-0.045, 0.385, 0.002, 0.002, -0.028, -0.049, -0.053, -0.024, 0.002, 0.016, 0.026, 0.031, 0.03, -0.015, 0.007, 0.016, -0.006, -0.023, -0.021, -0.023, 0.021, 0.05, 0.015, -0.028, 0.024, 0.007, 0.048, 0.049, 0.037, 0.062, 0.116, 0.114, 0.001, -0.036, -0.01, -0.018, -0.022, -0.027, -0.046, 0.007, 0.032, 0.024, 0.001, -0.031, -0.035, -0.037, -0.021, -0.01, -0.006, -0.011, -0.031, -0.011, -0.018, -0.022, -0.024, 0.002, -0.001, 0.036, 0.055, 0.015, -0.019, 0.012, 0.047, 0.055, 0.065, 0.064, 0.063, 0.06, 0.059, 0.026, 0.013, -0.006, -0.062]"/>
  </r>
  <r>
    <x v="2336"/>
    <x v="2917"/>
    <x v="0"/>
    <s v="[0, 1, 0]"/>
    <s v="LINESTRING (5.455953337341393 59.40881508978175, 5.454075833188743 59.40992457212351, 5.453595553666082 59.41034274582973, 5.451710832177492 59.412378311789794)"/>
    <s v="[801484, 801492, 801500]"/>
    <s v="[779985, 779990, 779994]"/>
    <s v="#FIELD!"/>
    <s v="[779980, 779985, 779990]"/>
    <s v="[0.032, 0.041, 0.026]"/>
    <s v="469.9272094451004"/>
    <s v="[-0.032, -0.041, -0.026]"/>
  </r>
  <r>
    <x v="2336"/>
    <x v="2918"/>
    <x v="0"/>
    <s v="[0, 0, 1, 0, 0]"/>
    <s v="LINESTRING (5.452182928187254 59.41043279032462, 5.452182928187254 59.41043279032462, 5.453428733162115 59.410275851982156, 5.453994633626245 59.409893553500844, 5.455723792396102 59.40887337566446, 5.455953337341393 59.40881508978175)"/>
    <s v="[801724, 801732, 801740, 801748, 801756]"/>
    <s v="[780219, 780229, 780237, 780247, 779980]"/>
    <s v="0.02323948417951134"/>
    <s v="[780218, 780219, 780229, 780237, 780247]"/>
    <s v="[0.0, 0.0, 0.038, 0.033, 0.003]"/>
    <s v="300.5997593897657"/>
    <s v="[0.0, 0.0, 0.038, 0.033, -0.003]"/>
  </r>
  <r>
    <x v="2337"/>
    <x v="2919"/>
    <x v="0"/>
    <n v="0"/>
    <m/>
    <n v="801508"/>
    <n v="779997"/>
    <s v="#FIELD!"/>
    <n v="779994"/>
    <s v="0.01"/>
    <s v="41.58432176916831"/>
    <s v="#FIELD!"/>
  </r>
  <r>
    <x v="2337"/>
    <x v="2920"/>
    <x v="0"/>
    <n v="0"/>
    <s v="LINESTRING (5.451710832177492 59.412378311789794, 5.451760600410897 59.41223989233716, 5.452432197006224 59.41146345134336, 5.452198748747728 59.41059064355879, 5.452050686209944 59.410541198779114, 5.4519850673266035 59.41052526155239)"/>
    <s v="[801684, 801692, 801700, 801708, 801716]"/>
    <s v="[780169, 780179, 780190, 780200, 780210]"/>
    <s v="0.029612206479774694"/>
    <s v="[779994, 780169, 780179, 780190, 780200]"/>
    <s v="[0.026, 0.02, 0.039, 0.032, 0.021]"/>
    <s v="229.32302323108507"/>
    <s v="[0.026, 0.02, 0.039, 0.032, 0.021]"/>
  </r>
  <r>
    <x v="2338"/>
    <x v="2921"/>
    <x v="0"/>
    <s v="[0, 0, 1, 0, 0, 0]"/>
    <s v="LINESTRING (5.451402677400704 59.41271562623383, 5.450279428379509 59.41499032249128, 5.44974740360013 59.416643828003686, 5.449556965494481 59.41679441190711, 5.448789072247734 59.41751958907416, 5.448679523823136 59.41768644222992, 5.448544288715431 59.417909335874384)"/>
    <s v="[801516, 2102531, 2102532, 2102536, 2102550, 2102551]"/>
    <s v="[780001, 1817291, 1817292, 1817294, 1817305, 347578]"/>
    <s v="0.014439361047776161"/>
    <s v="[779997, 780001, 1817291, 1817292, 1817294, 1817305]"/>
    <s v="[0.008, 0.03, 0.039, 0.055, 0.039, 0.226]"/>
    <s v="614.5317534759425"/>
    <s v="[0.008, -0.03, 0.039, 0.055, 0.039, 0.226]"/>
  </r>
  <r>
    <x v="2338"/>
    <x v="2922"/>
    <x v="0"/>
    <n v="0"/>
    <s v="LINESTRING (5.454631683683923 59.41038920152178, 5.454631683683923 59.41038920152178, 5.454405756191554 59.410432201693794, 5.451567649385563 59.412620664192346, 5.451402677400704 59.41271562623383)"/>
    <s v="[801652, 801660, 801668, 801676]"/>
    <s v="[780134, 780141, 780150, 779997]"/>
    <s v="#FIELD!"/>
    <s v="[780033, 780134, 780141, 780150]"/>
    <s v="[0.0, 0.009, 0.021, 0.007]"/>
    <s v="330.89046660919666"/>
    <s v="[0.0, -0.009, -0.021, 0.007]"/>
  </r>
  <r>
    <x v="2339"/>
    <x v="2923"/>
    <x v="0"/>
    <n v="0"/>
    <s v="LINESTRING (8.74297436575472 58.474824837868894, 8.743197360266011 58.474972391574845, 8.743239776788567 58.475011013795125)"/>
    <s v="[1244822, 1244830]"/>
    <s v="[1164736, 1164743]"/>
    <s v="#FIELD!"/>
    <s v="[781274, 1164736]"/>
    <s v="[0.087, 0.06]"/>
    <s v="25.95721823656677"/>
    <s v="[-0.087, -0.06]"/>
  </r>
  <r>
    <x v="2339"/>
    <x v="2924"/>
    <x v="0"/>
    <n v="0"/>
    <s v="LINESTRING (8.74297436575472 58.474824837868894, 8.743319290435819 58.47490260366532, 8.743405824003487 58.474909991947776)"/>
    <s v="[1244833, 1244836]"/>
    <s v="[1164745, 1164747]"/>
    <s v="#FIELD!"/>
    <s v="[781274, 1164745]"/>
    <s v="[0.12, 0.126]"/>
    <s v="27.059485809055175"/>
    <s v="[-0.12, -0.126]"/>
  </r>
  <r>
    <x v="2339"/>
    <x v="2925"/>
    <x v="0"/>
    <n v="0"/>
    <s v="LINESTRING (8.743066368142108 58.47426098375809, 8.742848211715554 58.474735987960635, 8.74297436575472 58.474824837868894)"/>
    <s v="[1767101, 802810]"/>
    <s v="[781273, 781274]"/>
    <s v="0.037191994751351494"/>
    <s v="[917701, 781273]"/>
    <s v="[0.063, 0.085]"/>
    <s v="70.81776215076214"/>
    <s v="[0.063, -0.085]"/>
  </r>
  <r>
    <x v="2340"/>
    <x v="2926"/>
    <x v="0"/>
    <s v="[0, 1]"/>
    <s v="LINESTRING (5.698414002314633 58.90923087843139, 5.697716046754148 58.9090452388358, 5.6966588310364665 58.90876480540944)"/>
    <s v="[803744, 803745]"/>
    <s v="[782196, 782197]"/>
    <s v="0.01761325626939712"/>
    <s v="[782195, 782196]"/>
    <s v="[0.014, 0.02]"/>
    <s v="114.04472098284567"/>
    <s v="[0.014, 0.02]"/>
  </r>
  <r>
    <x v="2340"/>
    <x v="1345"/>
    <x v="0"/>
    <n v="0"/>
    <s v="LINESTRING (5.698652979838435 58.90766861798844, 5.69846023010893 58.907905308749775, 5.697425821565646 58.908907375181464, 5.697337974496897 58.909002648417044, 5.697351521649713 58.909660377006254, 5.698414002314633 58.90923087843139)"/>
    <s v="[1438830, 803740, 803741, 803742, 803743]"/>
    <s v="[782191, 782192, 782193, 782194, 782195]"/>
    <s v="0.0105748058730071"/>
    <s v="[1056139, 782191, 782192, 782193, 782194]"/>
    <s v="[0.035, 0.032, 0.0, 0.009, 0.003]"/>
    <s v="377.3130203077186"/>
    <s v="[0.035, 0.032, 0.0, -0.009, -0.003]"/>
  </r>
  <r>
    <x v="2341"/>
    <x v="1315"/>
    <x v="0"/>
    <n v="0"/>
    <m/>
    <n v="1261976"/>
    <n v="782457"/>
    <s v="#FIELD!"/>
    <n v="782228"/>
    <s v="0.002"/>
    <s v="13.97743498282561"/>
    <s v="#FIELD!"/>
  </r>
  <r>
    <x v="2341"/>
    <x v="1314"/>
    <x v="0"/>
    <n v="0"/>
    <s v="LINESTRING (5.7033405174007505 58.92125692450602, 5.703249993521785 58.92112654590327, 5.703346944572842 58.92106259909836, 5.703506342382626 58.92105114793194, 5.703545049888724 58.921057460665885, 5.703580098779093 58.921069147182806)"/>
    <s v="[1262034, 1262035, 1262038, 1261947, 1261975]"/>
    <s v="[796252, 1179216, 365403, 1179129, 782228]"/>
    <s v="0.010754228407354391"/>
    <s v="[796400, 796252, 1179216, 365403, 1179129]"/>
    <s v="[0.211, 0.009, 0.007, 0.018, 1.284]"/>
    <s v="39.70072560483076"/>
    <s v="[0.211, -0.009, 0.007, 0.018, -1.284]"/>
  </r>
  <r>
    <x v="2342"/>
    <x v="917"/>
    <x v="0"/>
    <s v="[0, 0, 1, 0, 0]"/>
    <s v="LINESTRING (5.6827304770914235 58.98080665155543, 5.681988245082448 58.98133938707193, 5.67947026286554 58.9824145788564, 5.679408084102191 58.982437176138404, 5.678891824539814 58.982634489214654, 5.677869359299563 58.98302131784364)"/>
    <s v="[1418533, 804809, 804817, 804825, 804833]"/>
    <s v="[783206, 783207, 783214, 783222, 783234]"/>
    <s v="0.02983877071345829"/>
    <s v="[1295062, 783206, 783207, 783214, 783222]"/>
    <s v="[0.029, 0.03, 0.018, 0.014, 0.039]"/>
    <s v="376.8525318767822"/>
    <s v="[0.029, 0.03, 0.018, 0.014, 0.039]"/>
  </r>
  <r>
    <x v="2343"/>
    <x v="2927"/>
    <x v="0"/>
    <n v="0"/>
    <s v="LINESTRING (5.65810823528502 59.05557351079339, 5.658044127666987 59.055605852205055, 5.657507758270196 59.05570078049598)"/>
    <s v="[1957315, 1957327]"/>
    <s v="[1716614, 1716625]"/>
    <s v="#FIELD!"/>
    <s v="[783308, 1716614]"/>
    <s v="[0.229, 0.011]"/>
    <s v="39.203107311860855"/>
    <s v="[-0.229, -0.011]"/>
  </r>
  <r>
    <x v="2344"/>
    <x v="2928"/>
    <x v="0"/>
    <n v="0"/>
    <s v="LINESTRING (5.667628074296846 59.05649441499878, 5.667665156770653 59.05646712928963, 5.66973960585931 59.05623433791737)"/>
    <s v="[1957295, 1957297]"/>
    <s v="[1716596, 1716598]"/>
    <s v="#FIELD!"/>
    <s v="[783369, 1716596]"/>
    <s v="[0.304, 0.003]"/>
    <s v="130.8008588967086"/>
    <s v="[-0.304, 0.003]"/>
  </r>
  <r>
    <x v="2345"/>
    <x v="2929"/>
    <x v="0"/>
    <n v="0"/>
    <s v="LINESTRING (5.676931826498176 59.06334022643686, 5.6761669764043186 59.06430033043725, 5.676132390098994 59.06433446050179, 5.675481996733934 59.06491419178307, 5.675221961436403 59.06513790083551, 5.67465014678027 59.06564786463491)"/>
    <s v="[1375831, 1375839, 1375847, 1375855, 1375863]"/>
    <s v="[1254684, 1267526, 1267534, 1267543, 783491]"/>
    <s v="#FIELD!"/>
    <s v="[783484, 1254684, 1267526, 1267534, 1267543]"/>
    <s v="[0.019, 0.014, 0.016, 0.029, 0.039]"/>
    <s v="290.56192959844975"/>
    <s v="[0.019, -0.014, -0.016, -0.029, -0.039]"/>
  </r>
  <r>
    <x v="2345"/>
    <x v="2929"/>
    <x v="0"/>
    <n v="0"/>
    <s v="LINESTRING (5.676931826498176 59.06334022643686, 5.676784386288609 59.063687232989764, 5.676329439038608 59.06428135809306, 5.67629470204135 59.064319056156634, 5.676252822754646 59.06436361994587, 5.67624443752834 59.06437252840819, 5.675616343280458 59.06493695009297, 5.675332460081498 59.065159435776785, 5.67465014678027 59.06564786463491)"/>
    <s v="[2100632, 2100634, 2100648, 2100651, 2100665, 2100678, 2100679, 2100680]"/>
    <s v="[1816125, 1305899, 1816138, 1816141, 1254691, 1816163, 1816164, 783491]"/>
    <s v="#FIELD!"/>
    <s v="[783484, 1816125, 1305899, 1816138, 1816141, 1254691, 1816163, 1816164]"/>
    <s v="[0.041, 0.019, 0.001, 0.0, 0.001, 0.013, 0.035, 0.05]"/>
    <s v="292.6911238021596"/>
    <s v="[0.041, 0.019, 0.001, 0.0, -0.001, -0.013, -0.035, -0.05]"/>
  </r>
  <r>
    <x v="2346"/>
    <x v="1047"/>
    <x v="0"/>
    <n v="0"/>
    <s v="LINESTRING (5.67465014678027 59.06564786463491, 5.673765236551533 59.066491703727195, 5.673194330243663 59.067510295998275, 5.673332855357618 59.069313298309844, 5.673608682580033 59.06980720530107, 5.674137400777704 59.07040905400899)"/>
    <s v="[805081, 805089, 805097, 805105, 805113]"/>
    <s v="[783492, 783499, 783507, 783516, 783522]"/>
    <s v="#FIELD!"/>
    <s v="[783491, 783492, 783499, 783507, 783516]"/>
    <s v="[0.008, 0.007, 0.005, 0.007, 0.005]"/>
    <s v="560.1089421085853"/>
    <s v="[-0.008, 0.007, -0.005, -0.007, -0.005]"/>
  </r>
  <r>
    <x v="2347"/>
    <x v="2930"/>
    <x v="0"/>
    <n v="0"/>
    <s v="LINESTRING (5.674137400777704 59.07040905400899, 5.674047449817953 59.07041673669548, 5.673582610925907 59.070484168508784)"/>
    <s v="[1957335, 1957343]"/>
    <s v="[1716635, 1716642]"/>
    <s v="#FIELD!"/>
    <s v="[783522, 1716635]"/>
    <s v="0.026"/>
    <s v="33.03180858104044"/>
    <s v="#FIELD!"/>
  </r>
  <r>
    <x v="2348"/>
    <x v="2931"/>
    <x v="0"/>
    <n v="0"/>
    <s v="LINESTRING (5.589785726426449 59.1394947647648, 5.528534383855597 59.15694299638733, 5.466321549540672 59.17213989307736, 5.459708094042568 59.172162783529004)"/>
    <s v="[805425, 805433, 805441]"/>
    <s v="[783808, 783817, 783827]"/>
    <s v="0.0"/>
    <s v="[783800, 783808, 783817]"/>
    <s v="inf"/>
    <s v="0.0"/>
    <n v="0"/>
  </r>
  <r>
    <x v="2348"/>
    <x v="2671"/>
    <x v="0"/>
    <n v="0"/>
    <s v="LINESTRING (5.587660289207602 59.137057115732475, 5.587660289207602 59.137057115732475, 5.587700395766699 59.13734802758349, 5.5877395512815315 59.13746261152535, 5.589785726426449 59.1394947647648)"/>
    <s v="[807383, 807400, 807414, 807502]"/>
    <s v="[785700, 785723, 785737, 783800]"/>
    <s v="#FIELD!"/>
    <s v="[785699, 785700, 785723, 785737]"/>
    <s v="[0.0, 0.019, 0.019, inf]"/>
    <s v="119.6460927009401"/>
    <s v="[0.0, -0.019, -0.019, 0]"/>
  </r>
  <r>
    <x v="2349"/>
    <x v="2932"/>
    <x v="0"/>
    <n v="0"/>
    <s v="LINESTRING (5.459708094042568 59.172162783529004, 5.4535658756954675 59.170599601731375, 5.45273039186442 59.170429673491626)"/>
    <s v="[805449, 2101146]"/>
    <s v="[783837, 1267578]"/>
    <s v="#FIELD!"/>
    <s v="[783827, 783837]"/>
    <s v="[inf, 0.06]"/>
    <s v="51.932010980696106"/>
    <s v="[0, -0.06]"/>
  </r>
  <r>
    <x v="2349"/>
    <x v="2933"/>
    <x v="0"/>
    <n v="0"/>
    <s v="LINESTRING (5.459708094042568 59.172162783529004, 5.452944898253975 59.17075254599545, 5.452671384717568 59.17065976858915)"/>
    <s v="[807571, 807627]"/>
    <s v="[785896, 784760]"/>
    <s v="0.073"/>
    <s v="[783827, 785896]"/>
    <s v="[inf, 0.073]"/>
    <s v="18.80905518640517"/>
    <s v="[0, 0.073]"/>
  </r>
  <r>
    <x v="2350"/>
    <x v="2934"/>
    <x v="0"/>
    <n v="0"/>
    <s v="LINESTRING (5.452671384717568 59.17065976858915, 5.452058193309221 59.170482694831804, 5.451872891884179 59.17045870190418, 5.451706047326758 59.17044772180706)"/>
    <s v="[806395, 806403, 806411]"/>
    <s v="[784761, 784771, 784781]"/>
    <s v="0.061667830183399934"/>
    <s v="[784760, 784761, 784771]"/>
    <s v="[0.077, 0.047, 0.014]"/>
    <s v="61.11146412081871"/>
    <s v="[0.077, 0.047, 0.014]"/>
  </r>
  <r>
    <x v="2350"/>
    <x v="2932"/>
    <x v="0"/>
    <n v="0"/>
    <s v="LINESTRING (5.452671384717568 59.17065976858915, 5.452724415783897 59.17049842783051, 5.452730148840015 59.17045238376955, 5.45273039186442 59.170429673491626)"/>
    <s v="[2018747, 2018755, 2018775]"/>
    <s v="[1763955, 1763959, 1267578]"/>
    <s v="#FIELD!"/>
    <s v="[784760, 1763955, 1763959]"/>
    <s v="[0.024, 0.031, 2.739]"/>
    <s v="25.980586114724918"/>
    <s v="[0.024, 0.031, -2.739]"/>
  </r>
  <r>
    <x v="2351"/>
    <x v="2935"/>
    <x v="0"/>
    <n v="0"/>
    <s v="LINESTRING (5.451706047326758 59.17044772180706, 5.45082585901071 59.17060324911341, 5.450758047456812 59.17063290021387, 5.450246669452997 59.17132931574557, 5.4502981282371845 59.171652224619486, 5.450292906485051 59.171838808596654)"/>
    <s v="[2100807, 2100813, 2100821, 2100853, 2100855]"/>
    <s v="[1816246, 1816250, 1816254, 1816277, 785601]"/>
    <s v="#FIELD!"/>
    <s v="[784781, 1816246, 1816250, 1816254, 1816277]"/>
    <s v="[0.126, 0.019, 0.003, 0.012, 0.109]"/>
    <s v="202.19234534910282"/>
    <s v="[-0.126, 0.019, 0.003, -0.012, 0.109]"/>
  </r>
  <r>
    <x v="2351"/>
    <x v="2932"/>
    <x v="0"/>
    <n v="0"/>
    <m/>
    <n v="2100793"/>
    <n v="784781"/>
    <s v="0.172"/>
    <n v="1267578"/>
    <s v="0.172"/>
    <s v="58.80755533943807"/>
    <s v="0.172"/>
  </r>
  <r>
    <x v="2352"/>
    <x v="2936"/>
    <x v="0"/>
    <n v="0"/>
    <m/>
    <n v="807211"/>
    <n v="785533"/>
    <s v="#FIELD!"/>
    <n v="785532"/>
    <s v="0.025"/>
    <s v="128.64619100223123"/>
    <s v="#FIELD!"/>
  </r>
  <r>
    <x v="2352"/>
    <x v="2936"/>
    <x v="0"/>
    <n v="0"/>
    <s v="LINESTRING (15.092638816448904 66.46282197011101, 15.090870459539614 66.46320195490264, 15.09083085959101 66.4632103120379)"/>
    <s v="[1004780, 1004781]"/>
    <s v="[961777, 785533]"/>
    <s v="#FIELD!"/>
    <s v="[785532, 961777]"/>
    <s v="[0.034, 0.041]"/>
    <s v="91.45958535212678"/>
    <s v="[-0.034, -0.041]"/>
  </r>
  <r>
    <x v="2352"/>
    <x v="1006"/>
    <x v="0"/>
    <n v="0"/>
    <s v="LINESTRING (15.090391235491518 66.46306488568773, 15.092341264781108 66.46262982439465, 15.092635014784108 66.46281947840684, 15.092638816448904 66.46282197011101)"/>
    <s v="[1197192, 1004777, 1004779]"/>
    <s v="[961774, 961775, 785532]"/>
    <s v="0.03730011369168213"/>
    <s v="[466280, 961774, 961775]"/>
    <s v="[0.032, 0.059, 0.0]"/>
    <s v="124.70529484176208"/>
    <s v="[0.032, 0.059, 0.0]"/>
  </r>
  <r>
    <x v="2353"/>
    <x v="1006"/>
    <x v="0"/>
    <n v="0"/>
    <s v="LINESTRING (15.09083085959101 66.4632103120379, 15.090408468113877 66.46307059926369, 15.090391235491518 66.46306488568773)"/>
    <s v="[807219, 807227]"/>
    <s v="[785542, 466280]"/>
    <s v="#FIELD!"/>
    <s v="[785533, 785542]"/>
    <s v="[0.058, 0.072]"/>
    <s v="25.427792731038988"/>
    <s v="[-0.058, -0.072]"/>
  </r>
  <r>
    <x v="2354"/>
    <x v="2937"/>
    <x v="0"/>
    <n v="0"/>
    <s v="LINESTRING (5.450292906485051 59.171838808596654, 5.450205155317696 59.1718509424851, 5.450088739486219 59.1718631201362)"/>
    <s v="[807286, 807298]"/>
    <s v="[785602, 785616]"/>
    <s v="0.00926639158081915"/>
    <s v="[785601, 785602]"/>
    <s v="[0.007, 0.011]"/>
    <s v="12.030524325172388"/>
    <s v="[0.007, 0.011]"/>
  </r>
  <r>
    <x v="2354"/>
    <x v="2938"/>
    <x v="0"/>
    <n v="0"/>
    <s v="LINESTRING (5.450292906485051 59.171838808596654, 5.450421049639379 59.17213215485297, 5.450977469083645 59.172789372841926)"/>
    <s v="[2101154, 2101162]"/>
    <s v="[1816477, 1813548]"/>
    <s v="#FIELD!"/>
    <s v="[785601, 1816477]"/>
    <s v="[0.091, 0.006]"/>
    <s v="113.80937818087833"/>
    <s v="[-0.091, -0.006]"/>
  </r>
  <r>
    <x v="2354"/>
    <x v="2932"/>
    <x v="0"/>
    <n v="0"/>
    <s v="LINESTRING (5.45273039186442 59.170429673491626, 5.452716343621768 59.17042433751853, 5.451912013484477 59.17035908137943, 5.450840663874121 59.17049543357472, 5.450045385186795 59.1712236182233, 5.450198538406109 59.17161631499128, 5.450209790741335 59.17169329053091, 5.450292906485051 59.171838808596654)"/>
    <s v="[1375903, 1375911, 1375919, 1375927, 1375935, 1375943, 1375951]"/>
    <s v="[1267579, 1267582, 1267593, 1267601, 1267608, 1267616, 785601]"/>
    <s v="0.019908922351979653"/>
    <s v="[1267578, 1267579, 1267582, 1267593, 1267601, 1267608, 1267616]"/>
    <s v="[0.031, 0.032, 0.028, 0.008, 0.015, 0.01, 0.127]"/>
    <s v="279.60403521130894"/>
    <s v="[0.031, 0.032, 0.028, 0.008, -0.015, -0.01, 0.127]"/>
  </r>
  <r>
    <x v="2355"/>
    <x v="2939"/>
    <x v="0"/>
    <n v="0"/>
    <s v="LINESTRING (5.450088739486219 59.1718631201362, 5.449886962962849 59.171776371505054, 5.451839635867972 59.16993427992935, 5.45215533961322 59.16991286688219, 5.45247295190549 59.16990914258131, 5.452617616572054 59.16990105576161)"/>
    <s v="[807320, 807325, 807326, 807334, 807342]"/>
    <s v="[785641, 785646, 785647, 785653, 785659]"/>
    <s v="0.012261287295522045"/>
    <s v="[785616, 785641, 785646, 785647, 785653]"/>
    <s v="[0.032, 0.023, 0.043, 0.072, 0.071]"/>
    <s v="333.60630583567865"/>
    <s v="[0.032, 0.023, -0.043, -0.072, -0.071]"/>
  </r>
  <r>
    <x v="2355"/>
    <x v="2938"/>
    <x v="0"/>
    <n v="0"/>
    <s v="LINESTRING (5.450977469083645 59.172789372841926, 5.450823373805961 59.17271583556426, 5.45015105288672 59.17191027831369, 5.450088739486219 59.1718631201362)"/>
    <s v="[2096708, 2096724, 2096741]"/>
    <s v="[1813549, 1813561, 785616]"/>
    <s v="0.031315804808732334"/>
    <s v="[1813548, 1813549, 1813561]"/>
    <s v="[0.014, 0.011, 0.378]"/>
    <s v="116.82854928986747"/>
    <s v="[0.014, 0.011, 0.378]"/>
  </r>
  <r>
    <x v="2356"/>
    <x v="2940"/>
    <x v="0"/>
    <n v="0"/>
    <m/>
    <n v="807343"/>
    <n v="785660"/>
    <s v="#FIELD!"/>
    <n v="785659"/>
    <s v="0.071"/>
    <s v="61.2516312243374"/>
    <s v="#FIELD!"/>
  </r>
  <r>
    <x v="2356"/>
    <x v="2941"/>
    <x v="0"/>
    <n v="0"/>
    <m/>
    <n v="2096751"/>
    <n v="1813576"/>
    <s v="#FIELD!"/>
    <n v="785659"/>
    <s v="1.199"/>
    <s v="7.438118377954191"/>
    <s v="#FIELD!"/>
  </r>
  <r>
    <x v="2357"/>
    <x v="2942"/>
    <x v="0"/>
    <n v="0"/>
    <m/>
    <n v="849228"/>
    <n v="824350"/>
    <s v="#FIELD!"/>
    <n v="785819"/>
    <s v="0.004"/>
    <s v="33.44092297289717"/>
    <s v="#FIELD!"/>
  </r>
  <r>
    <x v="2357"/>
    <x v="2943"/>
    <x v="0"/>
    <n v="0"/>
    <s v="LINESTRING (10.461811239250416 59.924223334756135, 10.461713478802839 59.92416765813647, 10.463304719077486 59.92362519044419, 10.463442594971275 59.923674954893784)"/>
    <n v="849220"/>
    <n v="785819"/>
    <s v="#FIELD!"/>
    <n v="785845"/>
    <s v="0.023"/>
    <s v="109.84754355429789"/>
    <s v="#FIELD!"/>
  </r>
  <r>
    <x v="2358"/>
    <x v="2944"/>
    <x v="0"/>
    <n v="0"/>
    <s v="LINESTRING (10.463442594971275 59.923674954893784, 10.463726580848844 59.923552512720896, 10.459938623187488 59.924608929406475, 10.459780392860841 59.924654859857554)"/>
    <s v="[849276, 849284, 849292]"/>
    <s v="[824421, 824429, 824434]"/>
    <s v="#FIELD!"/>
    <s v="[785845, 824421, 824429]"/>
    <s v="[0.002, 0.014, 0.013]"/>
    <s v="367.4933541822442"/>
    <s v="[-0.002, -0.014, -0.013]"/>
  </r>
  <r>
    <x v="2358"/>
    <x v="1000"/>
    <x v="0"/>
    <n v="0"/>
    <s v="LINESTRING (10.46677004955822 59.921760322673165, 10.466625519036018 59.921861907244256, 10.463769017986737 59.9236029714992, 10.463442594971275 59.923674954893784)"/>
    <s v="[850429, 849204, 849212]"/>
    <s v="[824371, 824372, 785845]"/>
    <s v="0.0004254811169763376"/>
    <s v="[825224, 824371, 824372]"/>
    <s v="[0.003, 0.002, 0.018]"/>
    <s v="299.6311465094271"/>
    <s v="[-0.003, 0.002, -0.018]"/>
  </r>
  <r>
    <x v="2359"/>
    <x v="2945"/>
    <x v="0"/>
    <n v="0"/>
    <m/>
    <n v="1842775"/>
    <n v="1247964"/>
    <s v="#FIELD!"/>
    <n v="785961"/>
    <s v="0.02"/>
    <s v="81.88077216295117"/>
    <s v="#FIELD!"/>
  </r>
  <r>
    <x v="2359"/>
    <x v="2946"/>
    <x v="0"/>
    <s v="[0, 0, 1, 0, 0]"/>
    <s v="LINESTRING (6.546341365062826 58.4603129480752, 6.545936775319424 58.46037635307839, 6.544433477968528 58.46056719516679, 6.544431529160169 58.46064649753973, 6.544476991866969 58.46087878507956, 6.544488359707254 58.46090300833874)"/>
    <s v="[807644, 807649, 807657, 807658, 807677]"/>
    <s v="[785962, 785965, 785972, 785973, 785991]"/>
    <s v="#FIELD!"/>
    <s v="[785961, 785962, 785965, 785972, 785973]"/>
    <s v="[0.018, 0.008, 0.011, 0.01, 0.007]"/>
    <s v="156.0948890279657"/>
    <s v="[-0.018, -0.008, 0.011, 0.01, 0.007]"/>
  </r>
  <r>
    <x v="2359"/>
    <x v="2947"/>
    <x v="0"/>
    <n v="0"/>
    <m/>
    <n v="1842767"/>
    <n v="785961"/>
    <s v="#FIELD!"/>
    <n v="786008"/>
    <s v="0.021"/>
    <s v="45.86159345241466"/>
    <s v="#FIELD!"/>
  </r>
  <r>
    <x v="2360"/>
    <x v="2948"/>
    <x v="0"/>
    <n v="0"/>
    <s v="LINESTRING (6.548016923749032 58.459848936090076, 6.548016923749032 58.459848936090076, 6.547345541309124 58.45986917489016, 6.547065673167584 58.45994292851481)"/>
    <s v="[807678, 807685, 807686]"/>
    <s v="[785992, 785999, 786000]"/>
    <s v="#FIELD!"/>
    <s v="[662497, 785992, 785999]"/>
    <s v="[0.0, 0.035, 0.008]"/>
    <s v="62.72163442825982"/>
    <s v="[0.0, -0.035, -0.008]"/>
  </r>
  <r>
    <x v="2361"/>
    <x v="2947"/>
    <x v="0"/>
    <n v="0"/>
    <s v="LINESTRING (6.547065673167584 58.45994292851481, 6.547056464115804 58.45995045897648, 6.54706519387698 58.46020958799691, 6.5471171590922514 58.46025491029769)"/>
    <s v="[807693, 807694, 807698]"/>
    <s v="[786004, 786005, 786008]"/>
    <s v="0.02203959161767723"/>
    <s v="[786000, 786004, 786005]"/>
    <s v="[0.013, 0.021, 0.029]"/>
    <s v="37.751858898564564"/>
    <s v="[0.013, 0.021, 0.029]"/>
  </r>
  <r>
    <x v="2361"/>
    <x v="2945"/>
    <x v="0"/>
    <n v="0"/>
    <s v="LINESTRING (6.544952008592155 58.460399496357034, 6.545253348600286 58.46034632645806, 6.546923739985785 58.459968619701705, 6.547065673167584 58.45994292851481)"/>
    <s v="[1346578, 1346586, 1346594]"/>
    <s v="[1247965, 1247967, 786000]"/>
    <s v="0.011759951459384254"/>
    <s v="[1247964, 1247965, 1247967]"/>
    <s v="[0.004, 0.013, 0.012]"/>
    <s v="142.66883787583427"/>
    <s v="[0.004, 0.013, 0.012]"/>
  </r>
  <r>
    <x v="2362"/>
    <x v="2949"/>
    <x v="235"/>
    <s v="[0, 0, 0, 0, 0, 0, 0, 0, 0, 0, 0, 0, 0, 0, 0, 0, 0, 0, 0, 0, 0, 0, 0, 0, 0, 0, 0, 0, 0, 0, 0, 0, 0, 0, 0, 0, 0, 0, 0, 0, 0, 0, 0, 0, 0, 0, 0, 0, 0, 0, 0, 0, 0, 0, 1, 0, 0, 0, 0, 1, 1, 0, 0, 0, 0, 0, 0, 0, 0, 0, 0, 0, 0, 0, 0, 0, 0, 0, 0, 0, 0, 0, 0, 0, 0, 0, 0, 1, 0, 0, 0, 0, 0, 0, 0, 0, 0, 0, 0, 0, 0, 0, 0, 0, 0, 0, 0, 1, 0, 0, 1, 0, 0, 1, 0, 0, 0, 0, 0, 1, 0, 0, 0, 0, 0, 1, 0, 0, 0, 0, 0, 0, 0, 0, 0, 1, 0, 0, 0, 0, 0, 0, 0, 1, 0]"/>
    <s v="LINESTRING (6.657341608557276 58.3338727130347, 6.657439996812555 58.334932471112495, 6.657122696174248 58.338074818755345, 6.657384733159209 58.3384646225632, 6.664113901360695 58.34540450538026, 6.668561334073564 58.34692804832509, 6.669732293338283 58.347608060976825, 6.670164975113932 58.348830613714654, 6.669044495626671 58.35074999764832, 6.662771337337441 58.35581511932105, 6.662574480737665 58.35584977130501, 6.661227253048916 58.355925290283366, 6.661007642804484 58.35592342180812, 6.6591806433915215 58.35590294871033, 6.652831558978697 58.35582250059454, 6.652814472929575 58.35582229032508, 6.647937674887286 58.35576960701601, 6.647805617741103 58.355773142404956, 6.6462354080894555 58.35604360571754, 6.646049160935094 58.35611087864095, 6.641415888807196 58.35749049584877, 6.641399267109422 58.35749020629582, 6.6402664414022174 58.35747307847628, 6.640249768986608 58.35747292983907, 6.63811266004899 58.35765605754022, 6.635138239212831 58.35918207528376, 6.6350557140532915 58.35929819714493, 6.634800379515031 58.36016386434121, 6.6348737216566995 58.36064227859511, 6.635043486385879 58.36135574436034, 6.632925448899748 58.36780912323593, 6.631990593960819 58.36870872288222, 6.631625676334481 58.36973109650688, 6.631687886447653 58.370025912027955, 6.631838103225644 58.370355589255475, 6.632193360230037 58.37081418258437, 6.633300680153416 58.38021945652913, 6.6329099542600884 58.38077773228778, 6.630882466554099 58.383666308756034, 6.628649680762646 58.390431512992855, 6.628683000957308 58.39051947336046, 6.6306202436870345 58.395620446672574, 6.630637343087158 58.395664116886046, 6.630449817416847 58.39782725051638, 6.628441455922009 58.39920546778424, 6.6268068698969005 58.40095581667188, 6.626441127739444 58.40128211097973, 6.626369500341536 58.4013346628648, 6.626020181437043 58.401553362728215, 6.6259348026279 58.401600496669374, 6.625848423947153 58.40164591311128, 6.625099047336046 58.40199492383647, 6.624972882780757 58.40204911096746, 6.624706731499837 58.402164598610455, 6.622986235360631 58.40325793030952, 6.622830409907606 58.40348218701922, 6.622772196826068 58.40359260689662, 6.622667126087483 58.403897453645016, 6.62263829937071 58.404139322911064, 6.622634813462169 58.404228165145895, 6.622659591927705 58.40452338404384, 6.622746630084259 58.40524321383098, 6.622760384645028 58.40557888081841, 6.622526561358555 58.40627874110118, 6.622335777721892 58.40652845858246, 6.620739466752698 58.407988050763855, 6.6203417653372005 58.41107463633249, 6.620268127822325 58.41112359695205, 6.6157543885062235 58.417267751208186, 6.614608434363184 58.41985645682174, 6.613635643747751 58.42164575252414, 6.613343609194367 58.42214195790522, 6.611867684850052 58.42304006975628, 6.609644629008909 58.42387936952496, 6.608488124474127 58.4248256177642, 6.605483960336332 58.426657762852926, 6.605473295722373 58.426664641041995, 6.602869499937681 58.43299772065465, 6.603175354960206 58.4335148756805, 6.603550373214607 58.43406157450158, 6.604022397380689 58.43490683910991, 6.604091261911922 58.43561438915088, 6.607885759674957 58.43857879335383, 6.608250152218814 58.43869196765999, 6.6109222334298305 58.440406370783386, 6.611138193644635 58.440938497727316, 6.611147507644391 58.440979934152125, 6.6111619557000765 58.441429250295435, 6.611143218321033 58.44154047457303, 6.611099037106544 58.44170076427856, 6.611072773836108 58.4417683323239, 6.610805420693167 58.44218213999655, 6.609097402109619 58.44320711221211, 6.6090169900130045 58.443234846594784, 6.6063991154785455 58.443608859348736, 6.605159618522294 58.44350226668772, 6.605067040525804 58.44348661353131, 6.602658806151916 58.442554737685754, 6.602234227160939 58.442287806149736, 6.600628621454376 58.44128935043316, 6.597628842101378 58.4405114822528, 6.597137340884951 58.440489450423414, 6.590865850363689 58.441341878871874, 6.5906739999453 58.44141447386155, 6.588685933724165 58.443219861524746, 6.586779319036836 58.44488503126161, 6.5806220575605066 58.44541209283802, 6.580409546382108 58.44545165400891, 6.5803333057198214 58.44546800376848, 6.5792339522098615 58.44570028637764, 6.577354424583097 58.44580610911759, 6.577286054430541 58.44580247983407, 6.576968022696879 58.44578372432835, 6.57154385098743 58.44672034539619, 6.571455389435591 58.446760810992174, 6.570978904637458 58.44696570453309, 6.570381555813709 58.44719787741414, 6.570308934274165 58.44722475079219, 6.569423872956518 58.44753104667031, 6.567601027012915 58.44810700450402, 6.5675273796549485 58.44812990023591, 6.5670130484332345 58.44829375088952, 6.566025542576265 58.448604432688136, 6.5659583450991175 58.44862556149256, 6.564538110493896 58.44907288111561, 6.563981482907974 58.44924778260477, 6.563902335661449 58.449272758116045, 6.563225166712024 58.44948724667374, 6.562137920276328 58.449832514523436, 6.5621213663412385 58.449837898275405, 6.5620718291831155 58.449854175119555, 6.559069938900976 58.45214641814769, 6.559062168618859 58.45216720480335, 6.5590523077428555 58.45219230277229, 6.558498686227504 58.45357620397567, 6.558416522609973 58.45370118528368, 6.558377026518746 58.45375496247793, 6.556449079435843 58.45549294149623, 6.55572225474699 58.45611465264071, 6.553706859586548 58.457830754237776, 6.550655319633509 58.45948720649313, 6.5506455668115455 58.45949050388427, 6.55057727790942 58.459513593359276, 6.54819952456566 58.460100414362905, 6.547925485404929 58.46014513101177, 6.5471171590922514 58.46025491029769)"/>
    <s v="[1353982, 1353990, 1353997, 1354005, 1354025, 1354041, 1354042, 1354051, 1354059, 1354067, 1354075, 1354083, 1354091, 1354099, 1354107, 1354115, 1354122, 1354131, 1354147, 1354155, 1354163, 1354171, 1354179, 1354187, 1354195, 1354203, 1354211, 1354219, 1354227, 1354235, 1354243, 1354251, 1354259, 1354274, 1354282, 1354290, 1354298, 1354306, 1354314, 1354322, 1354330, 1354338, 1354346, 1354354, 1354362, 1354370, 1354378, 1354386, 1354394, 1354402, 1354410, 1354418, 1354426, 1354434, 1354442, 1354456, 1354464, 1354479, 1354487, 1354495, 1354510, 1354518, 1354526, 1354534, 1354548, 1354556, 1354564, 1354572, 1354586, 1354594, 1354602, 1354603, 1354610, 1354618, 1354626, 1842214, 1842222, 1842230, 1842238, 1842246, 1842254, 1842262, 1842270, 1842278, 1842286, 1842294, 1842302, 1842310, 1842318, 1842326, 1842334, 1842342, 1842350, 1842358, 1842366, 1842374, 1842382, 1842390, 1842398, 1842406, 1842414, 1842422, 1842430, 1842438, 1842446, 1842454, 1842462, 1842470, 1842478, 1842486, 1842495, 1842503, 1842511, 1842519, 1842527, 1842535, 1842543, 1842551, 1842559, 1842567, 1842575, 1842583, 1842591, 1842599, 1842607, 1842615, 1842623, 1842631, 1842639, 1842647, 1842655, 1842663, 1842671, 1842679, 1842687, 1842695, 1842703, 1842711, 1842719, 1842727, 1842728, 1842735, 1842743, 1842751, 1842759]"/>
    <s v="[1253269, 1253273, 1253277, 1103220, 1080988, 1253300, 1121454, 1253307, 1253314, 978229, 978214, 1253324, 1253327, 1253332, 1253335, 1253339, 978207, 978195, 1253356, 1253362, 1253366, 1253372, 1253377, 1082246, 1253386, 1253391, 1253393, 1117673, 1103214, 1074129, 1253407, 1253411, 651912, 243211, 243750, 1074363, 999165, 1253441, 1253446, 1253451, 1253455, 1253459, 1253464, 1023196, 1253472, 1253475, 1253481, 1253486, 1253491, 1253496, 1253503, 1253507, 1253511, 1253515, 1253519, 1253528, 1009773, 1253543, 1253550, 1253553, 1253560, 1099480, 1184198, 1099495, 1253582, 1253585, 1253588, 1253591, 1253596, 1253599, 1253602, 1253603, 1253606, 1253610, 1253615, 1614257, 1594102, 1594140, 1594151, 1614285, 1614289, 773467, 1614304, 1614310, 1614313, 1544952, 1614323, 1614327, 1614331, 1614335, 1544871, 1614348, 1614354, 1147923, 1614367, 1614373, 1147928, 1614380, 1614384, 1614389, 1614393, 1614398, 1614402, 1614408, 1614413, 1136553, 1614423, 1614428, 1308736, 1614443, 1614450, 339354, 1614462, 1614468, 1148080, 1614481, 1614489, 1140078, 1614503, 1614510, 1614517, 1614524, 1614531, 1238983, 1614546, 1614552, 1238976, 1614563, 1614572, 1614580, 1244192, 1614591, 1614596, 1239985, 1614605, 1614610, 1614615, 1614618, 1614621, 1614626, 1614627, 1614630, 1614634, 1614638, 786008]"/>
    <s v="0.0017317645818250584"/>
    <s v="[1253262, 1253269, 1253273, 1253277, 1103220, 1080988, 1253300, 1121454, 1253307, 1253314, 978229, 978214, 1253324, 1253327, 1253332, 1253335, 1253339, 978207, 978195, 1253356, 1253362, 1253366, 1253372, 1253377, 1082246, 1253386, 1253391, 1253393, 1117673, 1103214, 1074129, 1253407, 1253411, 651912, 243211, 243750, 1074363, 999165, 1253441, 1253446, 1253451, 1253455, 1253459, 1253464, 1023196, 1253472, 1253475, 1253481, 1253486, 1253491, 1253496, 1253503, 1253507, 1253511, 1253515, 1253519, 1253528, 1009773, 1253543, 1253550, 1253553, 1253560, 1099480, 1184198, 1099495, 1253582, 1253585, 1253588, 1253591, 1253596, 1253599, 1253602, 1253603, 1253606, 1253610, 1253615, 1614257, 1594102, 1594140, 1594151, 1614285, 1614289, 773467, 1614304, 1614310, 1614313, 1544952, 1614323, 1614327, 1614331, 1614335, 1544871, 1614348, 1614354, 1147923, 1614367, 1614373, 1147928, 1614380, 1614384, 1614389, 1614393, 1614398, 1614402, 1614408, 1614413, 1136553, 1614423, 1614428, 1308736, 1614443, 1614450, 339354, 1614462, 1614468, 1148080, 1614481, 1614489, 1140078, 1614503, 1614510, 1614517, 1614524, 1614531, 1238983, 1614546, 1614552, 1238976, 1614563, 1614572, 1614580, 1244192, 1614591, 1614596, 1239985, 1614605, 1614610, 1614615, 1614618, 1614621, 1614626, 1614627, 1614630, 1614634, 1614638]"/>
    <s v="[0.014, 0.029, 0.022, 0.033, 0.055, 0.171, 0.16, 0.069, 0.087, 0.054, 0.019, 0.074, 0.266, 0.045, 0.588, 0.029, 0.025, 0.104, 0.095, 0.088, 0.123, 0.072, 0.103, 0.053, 0.056, 0.069, 0.056, 0.074, 0.062, 0.01, 0.053, 0.101, 0.127, 0.097, 0.058, 0.015, 0.151, 0.018, 0.024, 0.257, 0.044, 0.214, 0.198, 0.016, 0.104, 0.082, 0.058, 0.038, 0.014, 0.008, 0.04, 0.105, 0.126, 0.196, 0.069, 0.023, 0.018, 0.013, 0.012, 0.006, 0.006, 0.009, 0.085, 0.275, 0.084, 0.065, 0.339, 0.047, 0.109, 0.108, 0.017, 0.007, 0.027, 0.102, 0.036, 0.133, 0.025, 0.225, 0.193, 0.108, 0.072, 0.062, 0.163, 0.058, 0.072, 0.1, 0.155, 0.182, 0.184, 0.2, 0.089, 0.052, 0.004, 0.028, 0.037, 0.047, 0.014, 0.119, 0.109, 0.067, 0.051, 0.082, 0.089, 0.094, 0.002, 0.11, 0.104, 0.159, 0.142, 0.028, 0.308, 0.256, 0.1, 0.004, 0.024, 0.046, 0.071, 0.019, 0.046, 0.057, 0.061, 0.033, 0.001, 0.051, 0.028, 0.041, 0.029, 0.065, 0.052, 0.108, 0.022, 0.039, 0.032, 0.122, 0.1, 0.072, 0.073, 0.058, 0.034, 0.042, 0.293, 0.194, 0.054, 0.084, 0.024]"/>
    <s v="19797.419112007086"/>
    <s v="[-0.014, 0.029, 0.022, 0.033, -0.055, 0.171, 0.16, -0.069, 0.087, 0.054, -0.019, -0.074, 0.266, -0.045, -0.588, 0.029, 0.025, 0.104, 0.095, 0.088, 0.123, -0.072, -0.103, -0.053, -0.056, -0.069, 0.056, 0.074, 0.062, -0.01, 0.053, -0.101, -0.127, -0.097, -0.058, 0.015, -0.151, 0.018, 0.024, 0.257, -0.044, -0.214, -0.198, 0.016, -0.104, 0.082, 0.058, 0.038, 0.014, -0.008, -0.04, -0.105, -0.126, -0.196, -0.069, -0.023, -0.018, -0.013, -0.012, -0.006, -0.006, -0.009, 0.085, 0.275, 0.084, 0.065, -0.339, -0.047, 0.109, -0.108, 0.017, 0.007, 0.027, -0.102, 0.036, -0.133, -0.025, 0.225, 0.193, 0.108, -0.072, -0.062, -0.163, 0.058, -0.072, -0.1, -0.155, -0.182, -0.184, -0.2, 0.089, 0.052, -0.004, -0.028, -0.037, 0.047, -0.014, 0.119, 0.109, 0.067, 0.051, -0.082, -0.089, 0.094, 0.002, 0.11, 0.104, 0.159, 0.142, -0.028, -0.308, -0.256, -0.1, -0.004, -0.024, -0.046, -0.071, -0.019, 0.046, 0.057, 0.061, -0.033, 0.001, -0.051, -0.028, -0.041, -0.029, -0.065, -0.052, -0.108, -0.022, 0.039, 0.032, 0.122, 0.1, 0.072, -0.073, 0.058, -0.034, -0.042, -0.293, -0.194, -0.054, -0.084, -0.024]"/>
  </r>
  <r>
    <x v="2363"/>
    <x v="2950"/>
    <x v="0"/>
    <s v="[0, 0, 1, 0, 0]"/>
    <s v="LINESTRING (6.544320340983399 58.46088553397752, 6.544320340983399 58.46088553397752, 6.5443296780954885 58.46068306131863, 6.544319139409035 58.460598416624435, 6.544270910317035 58.46048201498632, 6.544241089269073 58.4604377284596)"/>
    <s v="[807704, 807705, 807706, 807710, 807711]"/>
    <s v="[786014, 786015, 786016, 786020, 786021]"/>
    <s v="#FIELD!"/>
    <s v="[786013, 786014, 786015, 786016, 786020]"/>
    <s v="[0.0, 0.012, 0.01, 0.009, 0.007]"/>
    <s v="53.75057330486526"/>
    <s v="[0.0, -0.012, -0.01, -0.009, -0.007]"/>
  </r>
  <r>
    <x v="2364"/>
    <x v="2951"/>
    <x v="0"/>
    <s v="[0, 0, 0, 1, 0, 0, 0]"/>
    <s v="LINESTRING (6.544241089269073 58.4604377284596, 6.543190436047393 58.460502752443915, 6.53883616735549 58.46070722083962, 6.533672533447029 58.4612540423233, 6.5329177253556185 58.46151166126682, 6.532441066209648 58.461686855035985, 6.531854152831748 58.4619987332413, 6.531826006156375 58.46201523951265)"/>
    <s v="[1842791, 1842799, 1842807, 1842815, 1842823, 1842832, 1842840]"/>
    <s v="[1614658, 1614663, 1614669, 1614673, 1614675, 1614681, 1248864]"/>
    <s v="0.018488530751474726"/>
    <s v="[786021, 1614658, 1614663, 1614669, 1614673, 1614675, 1614681]"/>
    <s v="[0.009, 0.024, 0.019, 0.042, 0.013, 0.02, 0.044]"/>
    <s v="770.9740113345113"/>
    <s v="[0.009, 0.024, 0.019, 0.042, 0.013, -0.02, -0.044]"/>
  </r>
  <r>
    <x v="2364"/>
    <x v="2945"/>
    <x v="0"/>
    <n v="0"/>
    <m/>
    <n v="1842783"/>
    <n v="786021"/>
    <s v="0.009"/>
    <n v="1247964"/>
    <s v="0.009"/>
    <s v="41.82309014186819"/>
    <s v="0.009"/>
  </r>
  <r>
    <x v="2365"/>
    <x v="2952"/>
    <x v="0"/>
    <n v="0"/>
    <s v="LINESTRING (5.334374917637528 59.9679297504035, 5.334396058799599 59.96798827383377, 5.334436306733867 59.96807046753547)"/>
    <s v="[807854, 807862]"/>
    <s v="[786155, 786161]"/>
    <s v="#FIELD!"/>
    <s v="[786154, 786155]"/>
    <s v="[0.075, 0.07]"/>
    <s v="16.106126234131533"/>
    <s v="[-0.075, -0.07]"/>
  </r>
  <r>
    <x v="2365"/>
    <x v="2953"/>
    <x v="0"/>
    <n v="0"/>
    <s v="LINESTRING (5.334374917637528 59.9679297504035, 5.333979841956587 59.96796896475446, 5.3339608941819865 59.96797174248188, 5.33360619597444 59.96830110473803, 5.333610340102932 59.96833424174333, 5.333647757325503 59.96842059488127, 5.329636688034772 59.99653127471145, 5.329523542662067 59.9980369590969, 5.397569172026043 60.108641252484475, 5.39816227730218 60.10897946716562, 5.426512318723156 60.14253738459422, 5.426454864840908 60.14548041571574, 5.426459821641673 60.145584505287054)"/>
    <s v="[1997119, 1997127, 1997135, 1997143, 1997151, 1997159, 1997167, 1997175, 1997183, 1997191, 1356821, 1356822]"/>
    <s v="[1752137, 1701107, 1752147, 1752151, 1752157, 1752160, 1752165, 1752169, 1752175, 1255187, 1255188, 1255189]"/>
    <s v="#FIELD!"/>
    <s v="[786154, 1752137, 1701107, 1752147, 1752151, 1752157, 1752160, 1752165, 1752169, 1752175, 1255187, 1255188]"/>
    <s v="[0.242, 0.053, 0.003, 0.073, inf, inf, inf, inf, inf, inf, inf, 0.012]"/>
    <s v="83.89167195702552"/>
    <s v="[-0.242, -0.053, 0.003, -0.073, 0, 0, 0, 0, 0, 0, 0, 0.012]"/>
  </r>
  <r>
    <x v="2365"/>
    <x v="2954"/>
    <x v="0"/>
    <n v="0"/>
    <s v="LINESTRING (5.344161374159318 59.964298458320826, 5.343291465365871 59.96449472724657, 5.342416693538667 59.964779517333454, 5.342263188720006 59.96484181604277, 5.3419347519020155 59.9649855503438, 5.341155774594494 59.9654142833131, 5.34016459265593 59.966126588291864, 5.339493953640707 59.96656903373157, 5.338949356725429 59.96685377086672, 5.336884403236905 59.96757843977227, 5.335096474822098 59.967873959553614, 5.334661687337761 59.967909209494685, 5.334374917637528 59.9679297504035)"/>
    <s v="[808014, 808022, 808030, 808038, 808046, 808054, 808062, 808070, 808085, 808093, 808101, 808117]"/>
    <s v="[786317, 786328, 786336, 786344, 786354, 786361, 786369, 786377, 786393, 786399, 786405, 786154]"/>
    <s v="#FIELD!"/>
    <s v="[786316, 786317, 786328, 786336, 786344, 786354, 786361, 786369, 786377, 786393, 786399, 786405]"/>
    <s v="[0.048, 0.016, 0.046, 0.189, 0.259, 0.213, 0.084, 0.014, 0.007, 0.118, 0.139, 0.136]"/>
    <s v="705.8759191694005"/>
    <s v="[0.048, -0.016, -0.046, -0.189, -0.259, -0.213, -0.084, -0.014, -0.007, -0.118, -0.139, -0.136]"/>
  </r>
  <r>
    <x v="2366"/>
    <x v="2955"/>
    <x v="0"/>
    <n v="0"/>
    <s v="LINESTRING (5.334436306733867 59.96807046753547, 5.334441251675407 59.96808843316598, 5.334462738446307 59.96816725027024, 5.334470709618994 59.968193389488654)"/>
    <s v="[807870, 807878, 807886]"/>
    <s v="[786170, 786174, 786184]"/>
    <s v="#FIELD!"/>
    <s v="[786161, 786170, 786174]"/>
    <s v="[0.115, 0.089, 0.055]"/>
    <s v="13.872993487336196"/>
    <s v="[-0.115, -0.089, -0.055]"/>
  </r>
  <r>
    <x v="2366"/>
    <x v="2956"/>
    <x v="0"/>
    <n v="0"/>
    <s v="LINESTRING (5.342047493253978 59.96503073303525, 5.341236216599905 59.96543286043405, 5.340270429803617 59.96615224252214, 5.339640657716239 59.966634128698814, 5.339163803025953 59.96689872886794, 5.337037439857798 59.96767181664824, 5.335183291723466 59.96799748142264, 5.334733727819485 59.96804444611469, 5.334436306733867 59.96807046753547)"/>
    <s v="[808274, 808287, 808288, 808291, 808293, 808301, 808309, 808317]"/>
    <s v="[786568, 786578, 786579, 786582, 786585, 786591, 786600, 786161]"/>
    <s v="#FIELD!"/>
    <s v="[786495, 786568, 786578, 786579, 786582, 786585, 786591, 786600]"/>
    <s v="[0.259, 0.212, 0.086, 0.034, 0.008, 0.112, 0.139, 0.14]"/>
    <s v="568.0387317400942"/>
    <s v="[-0.259, -0.212, -0.086, -0.034, -0.008, -0.112, -0.139, -0.14]"/>
  </r>
  <r>
    <x v="2367"/>
    <x v="2957"/>
    <x v="0"/>
    <n v="0"/>
    <s v="LINESTRING (5.334470709618994 59.968193389488654, 5.3344942116697585 59.96827547581724, 5.334500324812035 59.96829462215061)"/>
    <s v="[807894, 807902]"/>
    <s v="[786192, 786195]"/>
    <s v="#FIELD!"/>
    <s v="[786184, 786192]"/>
    <s v="[0.098, 0.02]"/>
    <s v="11.43533599155323"/>
    <s v="[-0.098, -0.02]"/>
  </r>
  <r>
    <x v="2367"/>
    <x v="2956"/>
    <x v="0"/>
    <n v="0"/>
    <s v="LINESTRING (5.342047493253978 59.96503073303525, 5.341949942730111 59.96508118362196, 5.337483295747684 59.96769989049493, 5.335590219619284 59.96805849936365, 5.3354460059905655 59.968181423370154, 5.335401242537276 59.96823916329576, 5.335312469858313 59.96829343325853, 5.334821120798824 59.96833646881626, 5.3347805830135515 59.968305616091264, 5.33473927023952 59.968262677227386, 5.334608323775217 59.968172350292804, 5.334470709618994 59.968193389488654)"/>
    <s v="[808198, 808206, 808214, 807910, 807918, 807926, 807934, 807942, 807950, 807958, 808241]"/>
    <s v="[786496, 688934, 786204, 786205, 786214, 786221, 786230, 786240, 786250, 786258, 786184]"/>
    <s v="#FIELD!"/>
    <s v="[786495, 786496, 688934, 786204, 786205, 786214, 786221, 786230, 786240, 786250, 786258]"/>
    <s v="[0.285, 0.112, 0.082, 0.14, 0.143, 0.136, 0.148, 0.011, 0.051, 0.007, 0.153]"/>
    <s v="601.3857131103339"/>
    <s v="[-0.285, -0.112, -0.082, -0.14, -0.143, -0.136, -0.148, 0.011, 0.051, 0.007, -0.153]"/>
  </r>
  <r>
    <x v="2368"/>
    <x v="2956"/>
    <x v="0"/>
    <n v="0"/>
    <s v="LINESTRING (5.344161374159318 59.964298458320826, 5.343347694684799 59.9645494186867, 5.342505284794734 59.96483942133048, 5.342353297121208 59.964897907063275, 5.342047493253978 59.96503073303525)"/>
    <s v="[808249, 808257, 808264, 808266]"/>
    <s v="[786541, 786550, 786560, 786495]"/>
    <s v="#FIELD!"/>
    <s v="[786316, 786541, 786550, 786560]"/>
    <s v="[0.014, 0.022, 0.048, 0.105]"/>
    <s v="144.8074163932972"/>
    <s v="[0.014, -0.022, -0.048, -0.105]"/>
  </r>
  <r>
    <x v="2368"/>
    <x v="2958"/>
    <x v="236"/>
    <n v="0"/>
    <s v="LINESTRING (5.522943843909026 59.83203721859575, 5.523098479275125 59.834097461640816, 5.523138331700175 59.836050851693294, 5.523217424281161 59.84036626004808, 5.524154484049176 59.843926009764566, 5.524291687457851 59.844322619421504, 5.524362705210603 59.84452556604882, 5.524412562627959 59.84466402985789, 5.5244316742266495 59.84471429544296, 5.524449490688498 59.844774276862466, 5.5245553146313915 59.84641075680929, 5.524383294761729 59.84671480379796, 5.523164088577742 59.85287649403384, 5.5231715849164456 59.85340769702244, 5.523161963348023 59.85348181602131, 5.523147059960654 59.85357803746488, 5.5229271124067445 59.85432806309235, 5.522521766392369 59.85539734078938, 5.523695529721869 59.85866415804422, 5.523582469809759 59.860542532401325, 5.523355320527291 59.86102742350631, 5.522997474781447 59.861753923838485, 5.522831243725133 59.86226038062816, 5.522731142930292 59.86297445674514, 5.522721230831072 59.863386370414034, 5.522747486884511 59.864099024679135, 5.522791410579184 59.86513465641853, 5.522815636777578 59.86580077181232, 5.522950425126353 59.868032683610394, 5.523830597293726 59.87234461213544, 5.523684246959478 59.87349720822845, 5.523266538111527 59.87429197571999, 5.5229592787755655 59.87949695410899, 5.523017385423682 59.87960049221297, 5.523219578198937 59.880670578966836, 5.523170586618317 59.881174883098694, 5.523126545424815 59.88142086987338, 5.523037736280393 59.881894074905574, 5.522846582664541 59.88283371641929, 5.522839159742694 59.882869822828766, 5.522199839602923 59.883916420221645, 5.522174799118989 59.883939521119096, 5.520178584950039 59.88536023899197, 5.520005903127204 59.88547677090197, 5.519894442154204 59.88555348879566, 5.51944890296079 59.885922497183984, 5.519074249335191 59.88656734589329, 5.519002155152226 59.88694983136745, 5.518989473285482 59.88703350337059, 5.518981882232468 59.887085320898336, 5.518978146044441 59.88711077285181, 5.518812356656562 59.88781216885942, 5.518256371063324 59.88895431164099, 5.5180573873001 59.88930979096391, 5.516158630176307 59.890507133282426, 5.515224088310191 59.89095875006772, 5.514314240035046 59.89139736288755, 5.512756831504419 59.89331886797407, 5.513220629461743 59.89445659676041, 5.509504960673045 59.898959908078076, 5.507935452589826 59.90047430248408, 5.507874955596979 59.90052919286804, 5.504968558766858 59.903377690533404, 5.502517569467427 59.905686822588976, 5.50135388504673 59.90673298510087, 5.499851818202231 59.90772235414342, 5.4995208068113755 59.907900105601456, 5.494420121201723 59.91043276287763, 5.4916782676172256 59.91148033372476, 5.486429297026119 59.91377982694106, 5.48550747676311 59.914468182036586, 5.484760433176729 59.91542491690781, 5.484511368663453 59.9157831364076, 5.48354327473323 59.91717841435058, 5.481894455211006 59.918986481858575, 5.4788784223828575 59.92015693228731, 5.478825678449986 59.92017553168316, 5.478457452264449 59.92031478636709, 5.476010987933667 59.922386770353825, 5.473951251044501 59.92383671646804, 5.472730109180517 59.924809206148296, 5.472606184520871 59.92491938424132, 5.4700927712382 59.92646445562653, 5.468180124000331 59.927315122291304, 5.461972671524339 59.93001027487333, 5.4618883522567945 59.93004560754075, 5.45811264421951 59.931626882845855, 5.455646931120534 59.93265956985729, 5.455563692607413 59.93269298869085, 5.453073903355797 59.933481627062626, 5.451372665868783 59.933848834725204, 5.449708330826322 59.934206393564104, 5.445759911718812 59.93603419567163, 5.435239119346389 59.9400974731089, 5.4328876217622994 59.94116154915578, 5.425655096600057 59.94291618477065, 5.425018042242025 59.9431090681332, 5.4201327671800845 59.94458509396657, 5.4128153972810615 59.94457242828789, 5.4120490622343045 59.9446151598029, 5.409129815260514 59.94497477591682, 5.405558725384622 59.94524450705207, 5.401806837701739 59.94718264408587, 5.400109050704609 59.947305619630185, 5.398866884482048 59.947397117731576, 5.398600540977802 59.94743827140394, 5.393923371465135 59.95061965860813, 5.391398137980765 59.95199184512476, 5.39024062150174 59.95261245688458, 5.390083065780085 59.95269700679023, 5.389653953415077 59.95292697130223, 5.388313679592041 59.9536628680401, 5.385612431537709 59.95575183705295, 5.385371487615389 59.95593325586337, 5.385121099738746 59.95610367020964, 5.379326561048103 59.95910246740312, 5.378654669646336 59.95928543656363, 5.377867716288142 59.95945279017368, 5.364485013332818 59.96272473941151, 5.364318754782122 59.96273881343686, 5.364248232378582 59.9627444687633, 5.364155151048977 59.96275225992264, 5.360341957965758 59.96261280657623, 5.357160379556849 59.960522367514045, 5.357058275665511 59.96043531363067, 5.346204535338383 59.963553036969316, 5.345616470612075 59.96385277453902, 5.344161374159318 59.964298458320826)"/>
    <s v="[2061248, 2061256, 2061264, 2061272, 2061280, 2061288, 2061296, 2061304, 2061312, 2061320, 2061328, 2061336, 2061344, 2061352, 2061360, 2061368, 2061376, 2061384, 2061392, 2061400, 2061408, 2061416, 2061424, 2061432, 2061440, 2061448, 2061456, 2061464, 2061472, 2061480, 2061488, 2061496, 2061504, 2061512, 2061520, 2061528, 2061536, 2061544, 2061552, 2061568, 2061576, 2061584, 2061592, 2061600, 2061608, 2061616, 2061624, 2061632, 2061640, 2061648, 2061656, 2061664, 2061672, 2018676, 2018684, 2018692, 2018700, 2018708, 2018716, 2018724, 2018735, 2018740, 2018748, 2018756, 1082596, 2061680, 2061688, 2061696, 2061704, 2061712, 1082444, 1082452, 1082460, 1082468, 1082476, 1082484, 1082492, 1082500, 1082508, 1082516, 1082524, 1082532, 1082540, 1082548, 1082556, 1082612, 1082620, 1082628, 1082636, 1082644, 1082652, 1082660, 1082668, 1996983, 1996991, 1996999, 1997007, 2083933, 2083939, 2083941, 2083945, 2083953, 2083954, 2083965, 2083973, 2083984, 2083999, 2084001, 2084007, 2084014, 2084022, 2084030, 2084031, 2084038, 1997015, 1997023, 1997031, 1997039, 1997047, 1997055, 1997063, 1997071, 1997079, 1997087, 1997095, 1997103, 1997111]"/>
    <s v="[1791894, 1665448, 1645425, 1791910, 1791913, 1791918, 318267, 318093, 318218, 1266447, 1665497, 1791951, 1791959, 1791964, 1665528, 1791975, 1791982, 1791988, 1791994, 1792002, 1750152, 1792016, 1792023, 1792031, 1792037, 1792043, 1792052, 1792058, 1792064, 1792070, 1792077, 1792086, 1792094, 1792100, 1792108, 1792114, 1792121, 1792126, 1792134, 1792149, 1792158, 1792165, 1792170, 1626271, 1792182, 1792190, 1792196, 1792203, 1792210, 1792216, 1792219, 1792225, 1645787, 1763915, 1763920, 1763925, 1266393, 1763933, 1749275, 1763941, 1027380, 1763949, 1266358, 1027399, 1027405, 1792237, 1645815, 1645823, 1633560, 1027287, 1027288, 1027294, 1027301, 1027305, 1027311, 1027318, 1027324, 1027329, 1027337, 1027343, 1027350, 1027356, 1027361, 1027367, 1027372, 1027417, 1027421, 1027429, 1027434, 1027440, 1027445, 1027451, 1027458, 1637903, 1752064, 1752070, 1637924, 1606458, 1805982, 1805984, 1805986, 1805991, 1257779, 1805999, 1806004, 1806013, 1806022, 1806023, 1606533, 1635133, 1806037, 1806041, 1806042, 1752079, 1606566, 1634659, 1689537, 1701114, 1752099, 1606680, 1752108, 1752115, 1752119, 1752124, 1752128, 1752131, 786316]"/>
    <s v="0.000626212200638187"/>
    <s v="[1311171, 1791894, 1665448, 1645425, 1791910, 1791913, 1791918, 318267, 318093, 318218, 1266447, 1665497, 1791951, 1791959, 1791964, 1665528, 1791975, 1791982, 1791988, 1791994, 1792002, 1750152, 1792016, 1792023, 1792031, 1792037, 1792043, 1792052, 1792058, 1792064, 1792070, 1792077, 1792086, 1792094, 1792100, 1792108, 1792114, 1792121, 1792126, 1792134, 1792149, 1792158, 1792165, 1792170, 1626271, 1792182, 1792190, 1792196, 1792203, 1792210, 1792216, 1792219, 1792225, 1645787, 1763915, 1763920, 1763925, 1266393, 1763933, 1749275, 1763941, 1027380, 1763949, 1266358, 1027399, 1027405, 1792237, 1645815, 1645823, 1633560, 1027287, 1027288, 1027294, 1027301, 1027305, 1027311, 1027318, 1027324, 1027329, 1027337, 1027343, 1027350, 1027356, 1027361, 1027367, 1027372, 1027417, 1027421, 1027429, 1027434, 1027440, 1027445, 1027451, 1027458, 1637903, 1752064, 1752070, 1637924, 1606458, 1805982, 1805984, 1805986, 1805991, 1257779, 1805999, 1806004, 1806013, 1806022, 1806023, 1606533, 1635133, 1806037, 1806041, 1806042, 1752079, 1606566, 1634659, 1689537, 1701114, 1752099, 1606680, 1752108, 1752115, 1752119, 1752124, 1752128, 1752131]"/>
    <s v="[0.025, 0.024, 0.014, 0.021, 0.087, 0.085, 0.096, 0.113, 0.105, 0.076, 0.035, 0.006, 0.008, 0.012, 0.003, 0.017, 0.057, 0.005, 0.006, 0.003, 0.019, 0.009, 0.013, 0.017, 0.011, 0.01, 0.015, 0.004, 0.015, 0.004, 0.173, 0.008, 0.274, 0.126, 0.027, 0.017, 0.074, 0.07, 0.001, 0.036, 0.081, 0.116, 0.403, 0.023, 0.067, 0.139, 0.0, 0.008, 0.004, 0.019, 0.002, 0.019, 0.019, 0.059, 0.025, 0.062, 0.029, 0.052, 0.004, 0.011, 0.069, 0.015, 0.023, 0.146, 0.03, 0.233, 0.027, 0.052, 0.009, 0.179, 0.023, 0.046, 0.062, 0.062, 0.107, 0.083, 0.092, 0.042, 0.001, 0.048, 0.08, 0.075, 0.081, 0.004, 0.073, 0.103, 0.06, 0.045, 0.002, 0.023, 0.004, 0.185, 0.018, 0.133, 0.032, 0.045, 0.066, 0.018, 0.026, 0.011, 0.022, 0.007, 0.042, 0.208, 0.224, 0.02, 0.006, 0.08, 0.111, 0.081, 0.028, 0.023, 0.001, 0.287, 0.009, 0.061, 0.127, 0.011, 0.128, 0.108, 0.126, 0.011, 0.066, 0.028, 0.038, 0.052, 0.147]"/>
    <s v="20603.359504061485"/>
    <s v="[0.025, 0.024, 0.014, -0.021, -0.087, -0.085, -0.096, -0.113, -0.105, -0.076, -0.035, 0.006, 0.008, 0.012, 0.003, 0.017, 0.057, 0.005, -0.006, -0.003, 0.019, 0.009, -0.013, -0.017, -0.011, 0.01, -0.015, -0.004, 0.015, 0.004, 0.173, -0.008, -0.274, -0.126, -0.027, -0.017, -0.074, -0.07, -0.001, -0.036, -0.081, -0.116, 0.403, 0.023, -0.067, -0.139, 0.0, -0.008, -0.004, -0.019, 0.002, 0.019, 0.019, 0.059, 0.025, 0.062, 0.029, -0.052, -0.004, 0.011, 0.069, 0.015, -0.023, 0.146, -0.03, -0.233, 0.027, 0.052, -0.009, 0.179, -0.023, -0.046, -0.062, -0.062, 0.107, 0.083, 0.092, -0.042, -0.001, -0.048, -0.08, 0.075, 0.081, -0.004, -0.073, 0.103, 0.06, 0.045, 0.002, 0.023, -0.004, -0.185, 0.018, -0.133, 0.032, 0.045, -0.066, -0.018, 0.026, -0.011, 0.022, -0.007, 0.042, 0.208, 0.224, -0.02, 0.006, 0.08, 0.111, 0.081, 0.028, -0.023, -0.001, -0.287, -0.009, 0.061, 0.127, -0.011, -0.128, -0.108, -0.126, 0.011, -0.066, 0.028, 0.038, -0.052, 0.147]"/>
  </r>
  <r>
    <x v="2369"/>
    <x v="2959"/>
    <x v="0"/>
    <n v="0"/>
    <s v="LINESTRING (10.925426116905205 60.87975781664819, 10.925447480967401 60.87979345394178, 10.925497010963047 60.87998192232005)"/>
    <s v="[810503, 810511]"/>
    <s v="[788633, 788639]"/>
    <s v="0.013"/>
    <s v="[788632, 788633]"/>
    <s v="0.013"/>
    <s v="25.314127470874727"/>
    <s v="0.013"/>
  </r>
  <r>
    <x v="2369"/>
    <x v="2960"/>
    <x v="0"/>
    <n v="0"/>
    <s v="LINESTRING (10.925426116905205 60.87975781664819, 10.925334020081012 60.879786461276936, 10.925222692282029 60.879797576249565)"/>
    <s v="[1256602, 1256603]"/>
    <s v="[1174731, 788643]"/>
    <s v="#FIELD!"/>
    <s v="[788632, 1174731]"/>
    <s v="[0.009, 0.014]"/>
    <s v="12.107917133444417"/>
    <s v="[-0.009, -0.014]"/>
  </r>
  <r>
    <x v="2369"/>
    <x v="1149"/>
    <x v="0"/>
    <n v="0"/>
    <m/>
    <n v="1256587"/>
    <n v="788632"/>
    <s v="0.005"/>
    <n v="1174636"/>
    <s v="0.005"/>
    <s v="16.552938022754844"/>
    <s v="0.005"/>
  </r>
  <r>
    <x v="2370"/>
    <x v="2961"/>
    <x v="0"/>
    <n v="0"/>
    <m/>
    <n v="1256655"/>
    <n v="788660"/>
    <s v="0.017"/>
    <n v="788639"/>
    <s v="0.017"/>
    <s v="52.35924301355848"/>
    <s v="0.017"/>
  </r>
  <r>
    <x v="2370"/>
    <x v="2960"/>
    <x v="0"/>
    <n v="0"/>
    <s v="LINESTRING (10.925222692282029 60.879797576249565, 10.925267905450113 60.87983392802502, 10.925497010963047 60.87998192232005)"/>
    <s v="[810519, 810527]"/>
    <s v="[788644, 788639]"/>
    <s v="0.018626954001334288"/>
    <s v="[788643, 788644]"/>
    <s v="[0.017, 0.019]"/>
    <s v="25.40024815235299"/>
    <s v="[0.017, 0.019]"/>
  </r>
  <r>
    <x v="2371"/>
    <x v="1145"/>
    <x v="0"/>
    <n v="0"/>
    <m/>
    <n v="1256610"/>
    <n v="1174631"/>
    <s v="#FIELD!"/>
    <n v="788643"/>
    <s v="0.019"/>
    <s v="12.608114406366676"/>
    <s v="#FIELD!"/>
  </r>
  <r>
    <x v="2372"/>
    <x v="2962"/>
    <x v="0"/>
    <n v="0"/>
    <s v="LINESTRING (10.925860517054945 60.88041703508505, 10.926099281878766 60.88057249521085, 10.926137925494778 60.88061929162334)"/>
    <s v="[810535, 810543]"/>
    <s v="[788661, 788666]"/>
    <s v="0.011"/>
    <s v="[788660, 788661]"/>
    <s v="0.011"/>
    <s v="27.264799555178918"/>
    <s v="0.011"/>
  </r>
  <r>
    <x v="2372"/>
    <x v="2963"/>
    <x v="0"/>
    <n v="0"/>
    <s v="LINESTRING (10.925860517054945 60.88041703508505, 10.925916946969396 60.880609272552284, 10.925955923697906 60.88065461374722)"/>
    <s v="[810551, 810559]"/>
    <s v="[788670, 788677]"/>
    <s v="0.01219195936698722"/>
    <s v="[788660, 788670]"/>
    <s v="[0.013, 0.009]"/>
    <s v="27.121780439624864"/>
    <s v="[0.013, 0.009]"/>
  </r>
  <r>
    <x v="2373"/>
    <x v="1147"/>
    <x v="0"/>
    <n v="0"/>
    <m/>
    <n v="1256763"/>
    <n v="1174604"/>
    <s v="0.001"/>
    <n v="788666"/>
    <s v="0.001"/>
    <s v="10.597570901011654"/>
    <s v="0.001"/>
  </r>
  <r>
    <x v="2373"/>
    <x v="2963"/>
    <x v="0"/>
    <n v="0"/>
    <s v="LINESTRING (10.925955923697906 60.88065461374722, 10.926039712967686 60.880631533264335, 10.926137925494778 60.88061929162334)"/>
    <s v="[1256716, 1256748]"/>
    <s v="[1174823, 788666]"/>
    <s v="#FIELD!"/>
    <s v="[788677, 1174823]"/>
    <s v="[0.005, 0.002]"/>
    <s v="10.734824696850703"/>
    <s v="[-0.005, -0.002]"/>
  </r>
  <r>
    <x v="2374"/>
    <x v="1144"/>
    <x v="0"/>
    <n v="0"/>
    <m/>
    <n v="1256714"/>
    <n v="788677"/>
    <s v="#FIELD!"/>
    <n v="1174617"/>
    <s v="0.003"/>
    <s v="11.15849940642512"/>
    <s v="#FIELD!"/>
  </r>
  <r>
    <x v="2375"/>
    <x v="2964"/>
    <x v="0"/>
    <n v="0"/>
    <s v="LINESTRING (10.739386636108962 59.9066887046206, 10.743346951214779 59.90649681421728, 10.743620846832052 59.90650333504138)"/>
    <s v="[2025445, 1928793]"/>
    <s v="[1692487, 1270199]"/>
    <s v="#FIELD!"/>
    <s v="[794410, 1692487]"/>
    <s v="[0.019, 0.008]"/>
    <s v="240.58668314993827"/>
    <s v="[-0.019, -0.008]"/>
  </r>
  <r>
    <x v="2375"/>
    <x v="2563"/>
    <x v="0"/>
    <n v="0"/>
    <m/>
    <n v="2025444"/>
    <n v="794410"/>
    <s v="0.006"/>
    <n v="794428"/>
    <s v="0.006"/>
    <s v="745.2459256330619"/>
    <s v="0.006"/>
  </r>
  <r>
    <x v="2376"/>
    <x v="2801"/>
    <x v="0"/>
    <n v="0"/>
    <m/>
    <n v="2025396"/>
    <n v="794436"/>
    <s v="0.0"/>
    <n v="794419"/>
    <s v="0.0"/>
    <s v="1139.3480425799692"/>
    <s v="0.0"/>
  </r>
  <r>
    <x v="2377"/>
    <x v="1316"/>
    <x v="0"/>
    <n v="0"/>
    <s v="LINESTRING (5.7033405174007505 58.92125692450602, 5.703443765176044 58.921328382875664, 5.704315179487579 58.9219483979392, 5.704352901524805 58.92197543292518, 5.704992380115933 58.922330735734434, 5.705066525021106 58.92235994984749)"/>
    <s v="[818460, 818468, 818476, 818484, 818492]"/>
    <s v="[796401, 796409, 796416, 796423, 796432]"/>
    <s v="0.0014881562784155387"/>
    <s v="[796400, 796401, 796409, 796416, 796423]"/>
    <s v="[0.002, 0.002, 0.001, 0.001, 0.001]"/>
    <s v="159.57784594418658"/>
    <s v="[0.002, 0.002, -0.001, 0.001, -0.001]"/>
  </r>
  <r>
    <x v="2378"/>
    <x v="1068"/>
    <x v="0"/>
    <n v="0"/>
    <s v="LINESTRING (5.7052171618445975 58.922409140615, 5.705185682184731 58.922414838337325, 5.70512337549862 58.92240970734164, 5.705071548748003 58.92237855053364, 5.705066525021106 58.92235994984749)"/>
    <s v="[1262072, 1262073, 1262087, 1262091]"/>
    <s v="[366480, 1179244, 1179261, 796432]"/>
    <s v="0.00042445691890926295"/>
    <s v="[796518, 366480, 1179244, 1179261]"/>
    <s v="[3.798, 0.016, 0.024, 3.405]"/>
    <s v="12.263653445743536"/>
    <s v="[3.798, -0.016, -0.024, -3.405]"/>
  </r>
  <r>
    <x v="2379"/>
    <x v="2965"/>
    <x v="0"/>
    <n v="0"/>
    <m/>
    <n v="821185"/>
    <n v="799053"/>
    <s v="#FIELD!"/>
    <n v="799009"/>
    <s v="0.015"/>
    <s v="12.372798784051184"/>
    <s v="#FIELD!"/>
  </r>
  <r>
    <x v="2379"/>
    <x v="2063"/>
    <x v="0"/>
    <n v="0"/>
    <s v="LINESTRING (10.391544402653434 63.39739109002241, 10.39168632936766 63.39743384873083, 10.391724434602509 63.39747987043901)"/>
    <s v="[821238, 821246]"/>
    <s v="[799099, 799009]"/>
    <s v="0.054386013382336416"/>
    <s v="[799090, 799099]"/>
    <s v="[0.07, 0.03]"/>
    <s v="14.02193113931854"/>
    <s v="[0.07, 0.03]"/>
  </r>
  <r>
    <x v="2380"/>
    <x v="2966"/>
    <x v="0"/>
    <n v="0"/>
    <s v="LINESTRING (10.391641352534434 63.39758055110212, 10.391548762750123 63.39760176590392, 10.391406341918616 63.39760100278647)"/>
    <s v="[821188, 821198]"/>
    <s v="[799057, 799063]"/>
    <s v="#FIELD!"/>
    <s v="[799053, 799057]"/>
    <s v="[0.057, 0.07]"/>
    <s v="12.319147743856611"/>
    <s v="[-0.057, -0.07]"/>
  </r>
  <r>
    <x v="2380"/>
    <x v="2967"/>
    <x v="0"/>
    <n v="0"/>
    <s v="LINESTRING (10.391641352534434 63.39758055110212, 10.391663559807752 63.39763340569347, 10.391652371517308 63.397734206646895)"/>
    <s v="[2020518, 2020526]"/>
    <s v="[1765160, 1765105]"/>
    <s v="0.011214696460091156"/>
    <s v="[799053, 1765160]"/>
    <s v="[0.021, 0.006]"/>
    <s v="17.24950696066766"/>
    <s v="[0.021, 0.006]"/>
  </r>
  <r>
    <x v="2381"/>
    <x v="2063"/>
    <x v="0"/>
    <n v="0"/>
    <s v="LINESTRING (10.391406341918616 63.39760100278647, 10.391266892376496 63.39754782094963, 10.39124539949574 63.39747642940822, 10.391313008753619 63.39741861838584, 10.391544402653434 63.39739109002241)"/>
    <s v="[821206, 821214, 821222, 821230]"/>
    <s v="[799046, 799074, 799033, 799090]"/>
    <s v="0.005939096541140445"/>
    <s v="[799063, 799046, 799074, 799033]"/>
    <s v="[0.062, 0.021, 0.019, 0.066]"/>
    <s v="36.835277273162696"/>
    <s v="[-0.062, -0.021, 0.019, 0.066]"/>
  </r>
  <r>
    <x v="2381"/>
    <x v="2967"/>
    <x v="0"/>
    <n v="0"/>
    <s v="LINESTRING (10.391406341918616 63.39760100278647, 10.391503417771675 63.39765655581074, 10.391652371517308 63.397734206646895)"/>
    <s v="[2020534, 2020543]"/>
    <s v="[1765169, 1765105]"/>
    <s v="0.051776143435750134"/>
    <s v="[799063, 1765169]"/>
    <s v="[0.05, 0.053]"/>
    <s v="19.288694284870306"/>
    <s v="[0.05, 0.053]"/>
  </r>
  <r>
    <x v="2382"/>
    <x v="2968"/>
    <x v="0"/>
    <n v="0"/>
    <s v="LINESTRING (10.392137070068365 63.39818221576324, 10.392002164389114 63.3982454779771, 10.391917630704802 63.398252368003824, 10.391807444845817 63.398239185665844, 10.391741653977553 63.39821430926492, 10.39170098674764 63.39818035328781, 10.391691094009378 63.39814208640638, 10.391764213933406 63.398073950323344)"/>
    <s v="[2020366, 2020374, 2020382, 2020390, 2020398, 2020406, 2020414]"/>
    <s v="[1765056, 1765062, 1765069, 1765073, 1765080, 1765084, 1765050]"/>
    <s v="#FIELD!"/>
    <s v="[799189, 1765056, 1765062, 1765069, 1765073, 1765080, 1765084]"/>
    <s v="[0.038, 0.057, 0.06, 0.056, 0.036, 0.017, 0.018]"/>
    <s v="41.31754737016034"/>
    <s v="[-0.038, -0.057, -0.06, -0.056, -0.036, -0.017, 0.018]"/>
  </r>
  <r>
    <x v="2382"/>
    <x v="2969"/>
    <x v="0"/>
    <n v="0"/>
    <m/>
    <n v="2020438"/>
    <n v="799189"/>
    <s v="0.028"/>
    <n v="1765038"/>
    <s v="0.028"/>
    <s v="15.534347630127382"/>
    <s v="0.028"/>
  </r>
  <r>
    <x v="2383"/>
    <x v="2970"/>
    <x v="0"/>
    <n v="0"/>
    <s v="LINESTRING (10.364532870187006 59.41953540609286, 10.364609299031827 59.41998244284004, 10.36576059459633 59.42211853935501, 10.365844369364156 59.422117830994026)"/>
    <s v="[839108, 921309, 921317]"/>
    <s v="[815422, 892299, 876208]"/>
    <s v="#FIELD!"/>
    <s v="[815421, 815422, 892299]"/>
    <s v="[0.003, 0.005, 0.003]"/>
    <s v="324.14666080139466"/>
    <s v="[-0.003, -0.005, -0.003]"/>
  </r>
  <r>
    <x v="2383"/>
    <x v="2971"/>
    <x v="0"/>
    <s v="[0, 0, 0, 0, 0, 1, 0, 1, 0, 0, 0, 0, 0, 0, 0, 0, 0, 0, 0, 0, 0, 0]"/>
    <s v="LINESTRING (10.364532870187006 59.41953540609286, 10.364500132875913 59.41858371599143, 10.364453898600255 59.417244035612136, 10.364453574139807 59.41723506575563, 10.364298306756234 59.41295769357289, 10.364152198584398 59.408776911190856, 10.364151058339692 59.40874439221102, 10.365656301842407 59.40176706711431, 10.365886231780317 59.401400032652425, 10.365985906671172 59.40124896689769, 10.368498509096664 59.39771153385431, 10.373592810528026 59.3902306904221, 10.373948071069169 59.389523788911454, 10.37400883167506 59.38939438845402, 10.374426495923124 59.38842511909984, 10.374471539713415 59.38829780455391, 10.374621729826181 59.38788483493484, 10.374687417217963 59.38769087771084, 10.374734770820796 59.387549596149164, 10.375428720621002 59.38296271602454, 10.375428563632394 59.382884406598635, 10.37542448034431 59.38274611005513, 10.375450017698064 59.37912980334002)"/>
    <s v="[1618803, 1618811, 1618819, 1618827, 1618835, 1618843, 839197, 839206, 839228, 839246, 839319, 839327, 839341, 839348, 839349, 839358, 839362, 839384, 839385, 839386, 840062, 840064]"/>
    <s v="[1450569, 1450572, 1450579, 1450583, 1450585, 815514, 815515, 815525, 815545, 815558, 815628, 815634, 815650, 815656, 815657, 815665, 815668, 815691, 815692, 815693, 816354, 815991]"/>
    <s v="#FIELD!"/>
    <s v="[815421, 1450569, 1450572, 1450579, 1450583, 1450585, 815514, 815515, 815525, 815545, 815558, 815628, 815634, 815650, 815656, 815657, 815665, 815668, 815691, 815692, 815693, 816354]"/>
    <s v="[0.006, 0.006, 0.0, 0.005, 0.015, 0.014, 0.004, 0.004, 0.003, 0.03, 0.01, 0.098, 0.01, 0.153, 0.131, 0.132, 0.122, 0.108, 0.02, 0.096, 0.095, 0.062]"/>
    <s v="4598.77201715824"/>
    <s v="[-0.006, -0.006, 0.0, -0.005, -0.015, -0.014, -0.004, -0.004, 0.003, 0.03, -0.01, -0.098, -0.01, 0.153, 0.131, 0.132, 0.122, 0.108, -0.02, -0.096, -0.095, -0.062]"/>
  </r>
  <r>
    <x v="2383"/>
    <x v="2972"/>
    <x v="0"/>
    <n v="0"/>
    <s v="LINESTRING (10.36466589137166 59.4274290264881, 10.36470875235895 59.426637012273495, 10.364721839489052 59.425010654533544, 10.364723558999613 59.424959448271444, 10.364658216429484 59.423065625744655, 10.364653323328744 59.42294672711092, 10.364643705353254 59.422643277530376, 10.364532870187006 59.41953540609286)"/>
    <s v="[970085, 970093, 970094, 970101, 970116, 970124, 1618795]"/>
    <s v="[933306, 933311, 933312, 933322, 933338, 933347, 815421]"/>
    <s v="0.004002979684415079"/>
    <s v="[933302, 933306, 933311, 933312, 933322, 933338, 933347]"/>
    <s v="[0.019, 0.019, 0.01, 0.01, 0.01, 0.01, 0.003]"/>
    <s v="879.894808609959"/>
    <s v="[0.019, 0.019, -0.01, -0.01, -0.01, -0.01, 0.003]"/>
  </r>
  <r>
    <x v="2384"/>
    <x v="2973"/>
    <x v="237"/>
    <s v="[0, 0, 0, 0, 1, 0, 1, 0, 0, 0, 0, 0, 0, 0, 0, 0, 0, 0, 0, 0, 0]"/>
    <s v="LINESTRING (10.364220093319974 59.41858540071819, 10.364173922384976 59.41724598307047, 10.364173596772781 59.41723702216486, 10.364016516457285 59.412960519724756, 10.363870264675448 59.40877408269008, 10.36386913613071 59.408741609089354, 10.365388260373006 59.40172489010494, 10.365619892763288 59.40135471465886, 10.365688889211617 59.401248419485235, 10.368173462317504 59.397652431322435, 10.373221524688391 59.390177772375985, 10.373631453301615 59.389349349780005, 10.373800796078296 59.388973919618, 10.374031151584802 59.38839977918665, 10.374239819931438 59.38784960232139, 10.374307659657688 59.387651647301816, 10.374352416995857 59.387514671806265, 10.375050335047714 59.382962777173134, 10.375050787053228 59.38286967584071, 10.375051389855521 59.38274653010136, 10.375171058012441 59.379118491783515, 10.375356937274749 59.37820215898673)"/>
    <s v="[1618755, 1618763, 1618771, 1618779, 1618787, 839174, 839178, 839193, 839194, 839254, 839260, 839268, 839276, 839284, 839294, 839295, 839303, 839311, 839986, 839987, 840003]"/>
    <s v="[1450547, 1450550, 1450554, 1450560, 815491, 815492, 815495, 815510, 815511, 815562, 815570, 815580, 815586, 815592, 815603, 815604, 815614, 815622, 816285, 816286, 815860]"/>
    <s v="#FIELD!"/>
    <s v="[815426, 1450547, 1450550, 1450554, 1450560, 815491, 815492, 815495, 815510, 815511, 815562, 815570, 815580, 815586, 815592, 815603, 815604, 815614, 815622, 816285, 816286]"/>
    <s v="[0.005, 0.005, 0.008, 0.016, 0.011, 0.003, 0.03, 0.0, 0.029, 0.006, 0.133, 0.062, 0.149, 0.148, 0.135, 0.124, 0.017, 0.102, 0.103, 0.064, 0.008]"/>
    <s v="4594.723782949082"/>
    <s v="[-0.005, -0.005, -0.008, -0.016, -0.011, -0.003, -0.03, -0.0, 0.029, -0.006, -0.133, 0.062, 0.149, 0.148, 0.135, 0.124, -0.017, -0.102, -0.103, -0.064, -0.008]"/>
  </r>
  <r>
    <x v="2384"/>
    <x v="2974"/>
    <x v="0"/>
    <n v="0"/>
    <s v="LINESTRING (10.363305195332021 59.42272517536024, 10.36335702175657 59.42268610439053, 10.363417825384369 59.42263394232992, 10.363756212557165 59.42212496073978, 10.364176179266167 59.41903432642206, 10.364220093319974 59.41858540071819)"/>
    <s v="[921333, 921341, 921349, 921357, 839113]"/>
    <s v="[892318, 892325, 892331, 815425, 815426]"/>
    <s v="0.0018820244859330836"/>
    <s v="[876111, 892318, 892325, 892331, 815425]"/>
    <s v="[0.025, 0.024, 0.011, 0.006, 0.005]"/>
    <s v="470.0169290459337"/>
    <s v="[-0.025, -0.024, -0.011, 0.006, -0.005]"/>
  </r>
  <r>
    <x v="2384"/>
    <x v="2975"/>
    <x v="0"/>
    <n v="0"/>
    <s v="LINESTRING (10.364428885980814 59.42663359640011, 10.364441072778076 59.42501146064715, 10.364440668266207 59.42496287710988, 10.364374608973161 59.42303574971216, 10.364371595950399 59.42291601849673, 10.364361324449648 59.42264312616792, 10.36425353633724 59.41953664847634, 10.364220093319974 59.41858540071819)"/>
    <s v="[1243382, 1243414, 1243422, 1243423, 1243425, 1618739, 1618747]"/>
    <s v="[1163571, 1163602, 1163609, 1163610, 1163612, 1450542, 815426]"/>
    <s v="0.0025867776987478623"/>
    <s v="[1149433, 1163571, 1163602, 1163609, 1163610, 1163612, 1450542]"/>
    <s v="[0.028, 0.011, 0.011, 0.011, 0.011, 0.002, 0.005]"/>
    <s v="897.1015025798689"/>
    <s v="[0.028, -0.011, -0.011, -0.011, -0.011, 0.002, -0.005]"/>
  </r>
  <r>
    <x v="2385"/>
    <x v="2976"/>
    <x v="0"/>
    <n v="0"/>
    <s v="LINESTRING (10.375356937274749 59.37820215898673, 10.375389749344292 59.37775361233804, 10.375421992464547 59.37764646692116, 10.37543270766292 59.3776157274407, 10.376526621473225 59.37501021857721, 10.376539550482251 59.37498778738866, 10.376564231935882 59.37494496089465)"/>
    <s v="[839544, 839551, 839552, 839553, 839558, 839559]"/>
    <s v="[815861, 815865, 815866, 815867, 815868, 815869]"/>
    <s v="#FIELD!"/>
    <s v="[815860, 815861, 815865, 815866, 815867, 815868]"/>
    <s v="[0.033, 0.008, 0.006, 0.034, 0.023, 0.032]"/>
    <s v="373.8448322690962"/>
    <s v="[-0.033, -0.008, -0.006, -0.034, -0.023, -0.032]"/>
  </r>
  <r>
    <x v="2385"/>
    <x v="2977"/>
    <x v="0"/>
    <n v="0"/>
    <s v="LINESTRING (10.375356937274749 59.37820215898673, 10.37552376265941 59.377626606732555, 10.375533249854579 59.37759582362894, 10.376561893131104 59.375330460757255, 10.37715471123565 59.374382383094144, 10.379342650168748 59.37144810601564, 10.379751705579904 59.37092788186498)"/>
    <s v="[840011, 840023, 840031, 840039, 840047, 840055]"/>
    <s v="[816305, 816313, 816322, 816329, 816338, 815881]"/>
    <s v="#FIELD!"/>
    <s v="[815860, 816305, 816313, 816322, 816329, 816338]"/>
    <s v="[0.009, 0.011, 0.038, 0.001, 0.027, 0.005]"/>
    <s v="850.9633335291633"/>
    <s v="[-0.009, -0.011, -0.038, -0.001, 0.027, 0.005]"/>
  </r>
  <r>
    <x v="2386"/>
    <x v="2978"/>
    <x v="0"/>
    <n v="0"/>
    <s v="LINESTRING (10.376564231935882 59.37494496089465, 10.376542893872582 59.37488430150836, 10.376557531612631 59.37481961311726, 10.376636145778399 59.37473426137413, 10.37677665181508 59.374675841600194)"/>
    <s v="[840140, 840159, 840161, 840169]"/>
    <s v="[816414, 816431, 816433, 815870]"/>
    <s v="0.004720367724028054"/>
    <s v="[815869, 816414, 816431, 816433]"/>
    <s v="[0.039, 0.027, 0.0, 0.061]"/>
    <s v="34.94498218359851"/>
    <s v="[-0.039, -0.027, 0.0, 0.061]"/>
  </r>
  <r>
    <x v="2386"/>
    <x v="2979"/>
    <x v="0"/>
    <n v="0"/>
    <s v="LINESTRING (10.377470135676298 59.37511707885464, 10.377084656797509 59.37512236953488, 10.377025309985859 59.375113471566976, 10.376642149786099 59.37501464504495, 10.376564231935882 59.37494496089465)"/>
    <s v="[840269, 840288, 840296, 840297]"/>
    <s v="[816531, 816546, 816555, 815869]"/>
    <s v="#FIELD!"/>
    <s v="[815956, 816531, 816546, 816555]"/>
    <s v="[0.093, 0.085, 0.099, 0.068]"/>
    <s v="59.757104449193584"/>
    <s v="[-0.093, -0.085, -0.099, -0.068]"/>
  </r>
  <r>
    <x v="2387"/>
    <x v="2977"/>
    <x v="0"/>
    <n v="0"/>
    <s v="LINESTRING (10.37677665181508 59.374675841600194, 10.376794202220463 59.374631925378786, 10.376798862857754 59.37462023648014, 10.37934021862179 59.37132485284472, 10.379751705579904 59.37092788186498)"/>
    <s v="[839560, 839570, 839582, 839583]"/>
    <s v="[815871, 815874, 815880, 815881]"/>
    <s v="0.02387335470383139"/>
    <s v="[815870, 815871, 815874, 815880]"/>
    <s v="[0.025, 0.017, 0.026, 0.012]"/>
    <s v="454.92246808220693"/>
    <s v="[-0.025, 0.017, 0.026, 0.012]"/>
  </r>
  <r>
    <x v="2387"/>
    <x v="2980"/>
    <x v="0"/>
    <n v="0"/>
    <s v="LINESTRING (10.37677665181508 59.374675841600194, 10.37686341920317 59.37465994493555, 10.377350447045297 59.374695766679636, 10.37769191992618 59.37484141011002)"/>
    <s v="[840177, 840194, 840202]"/>
    <s v="[816447, 816462, 815954]"/>
    <s v="0.09536878030425182"/>
    <s v="[815870, 816447, 816462]"/>
    <s v="[0.075, 0.105, 0.089]"/>
    <s v="59.844609767445995"/>
    <s v="[0.075, 0.105, 0.089]"/>
  </r>
  <r>
    <x v="2388"/>
    <x v="2981"/>
    <x v="0"/>
    <s v="[0, 1, 0, 0, 0, 1, 0, 0, 0, 0, 0, 0, 0, 1, 0, 1, 0, 0, 0, 1, 1, 0]"/>
    <s v="LINESTRING (10.379751705579904 59.37092788186498, 10.381860164579155 59.36803280814925, 10.382064203103566 59.367702943676875, 10.383277662081797 59.36507605727415, 10.383425398617588 59.3645447030806, 10.383709373616263 59.36263424322411, 10.383717797542717 59.36249854969781, 10.383293948382107 59.35880614724828, 10.383281508756305 59.35875515857112, 10.381857086362224 59.353409730525264, 10.379717800682293 59.345111362275325, 10.37960696536925 59.344316509769094, 10.379638896965812 59.34174307130317, 10.379294229859877 59.33649072548044, 10.379213234217387 59.33621784161178, 10.37841082217971 59.33143552012088, 10.378433724374162 59.33115985064533, 10.378645408277123 59.326217297597914, 10.37862553419982 59.32608653465057, 10.375929115237708 59.32020586085866, 10.375567722661456 59.31975767947695, 10.375027792913963 59.319135602458175, 10.373208630884669 59.31734246402615)"/>
    <s v="[840056, 840603, 840607, 840615, 840623, 840630, 840638, 840645, 840653, 840729, 840737, 840745, 840760, 840768, 840831, 840835, 840838, 840844, 840860, 840861, 840873, 840930]"/>
    <s v="[816346, 816829, 816833, 816837, 816843, 816848, 816855, 816861, 816866, 816937, 816944, 816949, 816962, 816970, 817037, 817042, 817046, 817054, 817071, 817072, 817081, 815995]"/>
    <s v="#FIELD!"/>
    <s v="[815881, 816346, 816829, 816833, 816837, 816843, 816848, 816855, 816861, 816866, 816937, 816944, 816949, 816962, 816970, 817037, 817042, 817046, 817054, 817071, 817072, 817081]"/>
    <s v="[0.013, 0.019, 0.033, 0.023, 0.016, 0.022, 0.017, 0.036, 0.016, 0.015, 0.066, 0.036, 0.012, 0.01, 0.005, 0.001, 0.009, 0.03, 0.001, 0.028, 0.034, 0.051]"/>
    <s v="6081.749918756634"/>
    <s v="[-0.013, 0.019, 0.033, 0.023, 0.016, 0.022, -0.017, 0.036, -0.016, -0.015, -0.066, -0.036, -0.012, -0.01, -0.005, 0.001, 0.009, 0.03, 0.001, 0.028, 0.034, 0.051]"/>
  </r>
  <r>
    <x v="2389"/>
    <x v="2980"/>
    <x v="0"/>
    <n v="0"/>
    <s v="LINESTRING (10.37960237576795 59.37150001087861, 10.379367739078726 59.3719324898499, 10.377694910206937 59.37474656419319, 10.377693337857506 59.374796363384164, 10.37769191992618 59.37484141011002)"/>
    <s v="[839606, 839643, 839651, 839652]"/>
    <s v="[815902, 815946, 815953, 815954]"/>
    <s v="#FIELD!"/>
    <s v="[815901, 815902, 815946, 815953]"/>
    <s v="[0.005, 0.019, 0.023, 0.021]"/>
    <s v="390.40888163288884"/>
    <s v="[-0.005, -0.019, 0.023, 0.021]"/>
  </r>
  <r>
    <x v="2389"/>
    <x v="2982"/>
    <x v="238"/>
    <s v="[0, 0, 1, 0, 0, 0, 1, 0, 0, 0, 0, 0, 0, 0, 1, 0, 1, 0, 0, 0, 1, 1, 0]"/>
    <s v="LINESTRING (10.37960237576795 59.37150001087861, 10.380010486179826 59.37097984239538, 10.382127315579845 59.36807673322641, 10.382332253015136 59.36774672039238, 10.383555733372571 59.36509914092368, 10.383703911639083 59.36456321513781, 10.383959958256055 59.363043012169825, 10.38397315724101 59.36290200153151, 10.383574814895587 59.358787598106055, 10.383562374852058 59.35873660945048, 10.382201976021845 59.353386351861396, 10.380071787412106 59.345092991188615, 10.37993570977888 59.34432543980088, 10.379918921884594 59.341742105083064, 10.379572173492003 59.33646902732176, 10.379491012629456 59.336196047866004, 10.378692257867462 59.331442190775206, 10.378714004629837 59.331165940600464, 10.378913293836737 59.326113667593326, 10.378892419355102 59.32599672030586, 10.376189166367485 59.320153046218515, 10.375825348747016 59.319702234022714, 10.375282373606414 59.31907638919708, 10.373450414557288 59.3172711966706)"/>
    <s v="[840118, 840125, 840661, 840668, 840683, 840695, 840703, 840711, 840717, 840721, 840776, 840784, 840792, 840800, 840808, 840876, 840877, 840884, 840892, 840906, 840914, 840922, 841040]"/>
    <s v="[816396, 816402, 816875, 816883, 816893, 816904, 816912, 816920, 816925, 816928, 816979, 816987, 816995, 817002, 817011, 817084, 817085, 817094, 817100, 817111, 817117, 817123, 816243]"/>
    <s v="#FIELD!"/>
    <s v="[815901, 816396, 816402, 816875, 816883, 816893, 816904, 816912, 816920, 816925, 816928, 816979, 816987, 816995, 817002, 817011, 817084, 817085, 817094, 817100, 817111, 817117, 817123]"/>
    <s v="[0.001, 0.013, 0.004, 0.028, 0.022, 0.023, 0.029, 0.008, 0.031, 0.017, 0.014, 0.063, 0.034, 0.017, 0.031, 0.007, 0.001, 0.011, 0.043, 0.0, 0.026, 0.032, 0.052]"/>
    <s v="6158.16374399462"/>
    <s v="[-0.001, -0.013, -0.004, 0.028, 0.022, 0.023, 0.029, -0.008, 0.031, -0.017, -0.014, -0.063, -0.034, -0.017, -0.031, -0.007, 0.001, 0.011, 0.043, -0.0, 0.026, 0.032, 0.052]"/>
  </r>
  <r>
    <x v="2389"/>
    <x v="2971"/>
    <x v="0"/>
    <n v="0"/>
    <s v="LINESTRING (10.375450017698064 59.37912980334002, 10.375644692044983 59.37819235841523, 10.37582917022375 59.37756630961042, 10.375839534196592 59.37753555763115, 10.37683100196655 59.3753720366126, 10.37741726859221 59.374429301687115, 10.37960237576795 59.37150001087861)"/>
    <s v="[840071, 840079, 840080, 840088, 840096, 840117]"/>
    <s v="[816361, 816371, 816372, 816379, 816386, 815901]"/>
    <s v="#FIELD!"/>
    <s v="[815991, 816361, 816371, 816372, 816379, 816386]"/>
    <s v="[0.011, 0.02, 0.026, 0.048, 0.002, 0.026]"/>
    <s v="886.467761193768"/>
    <s v="[-0.011, -0.02, -0.026, -0.048, 0.002, 0.026]"/>
  </r>
  <r>
    <x v="2390"/>
    <x v="2979"/>
    <x v="0"/>
    <n v="0"/>
    <s v="LINESTRING (10.37769191992618 59.37484141011002, 10.37771227628954 59.37488950544528, 10.377712522720106 59.37493372083279, 10.377691117752345 59.37498290583411, 10.377569447855215 59.37508156997418, 10.377470135676298 59.37511707885464)"/>
    <s v="[840203, 840218, 840226, 840240, 840241]"/>
    <s v="[816469, 816482, 816490, 816505, 815956]"/>
    <s v="#FIELD!"/>
    <s v="[815954, 816469, 816482, 816490, 816505]"/>
    <s v="[0.044, 0.021, 0.003, 0.03, 0.061]"/>
    <s v="35.91618172908566"/>
    <s v="[0.044, 0.021, 0.003, -0.03, -0.061]"/>
  </r>
  <r>
    <x v="2391"/>
    <x v="2971"/>
    <x v="0"/>
    <n v="0"/>
    <s v="LINESTRING (10.377470135676298 59.37511707885464, 10.377420600460187 59.37515411219747, 10.37738201689836 59.37518295387713, 10.376946790767343 59.37587090305699, 10.37594043896282 59.37751557645043, 10.375929675421943 59.37754667401419, 10.375623677216469 59.378688957552946, 10.375450017698064 59.37912980334002)"/>
    <s v="[839658, 839659, 839665, 839672, 839679, 839687, 839695]"/>
    <s v="[815957, 815958, 815963, 815969, 815977, 815984, 815991]"/>
    <s v="0.025821302069762277"/>
    <s v="[815956, 815957, 815958, 815963, 815969, 815977, 815984]"/>
    <s v="[0.036, 0.031, 0.022, 0.046, 0.03, 0.019, 0.018]"/>
    <s v="465.6551263827553"/>
    <s v="[-0.036, -0.031, 0.022, 0.046, 0.03, 0.019, -0.018]"/>
  </r>
  <r>
    <x v="2392"/>
    <x v="2983"/>
    <x v="0"/>
    <n v="0"/>
    <s v="LINESTRING (10.373208630884669 59.31734246402615, 10.372691104067144 59.31697974919138, 10.372341566821623 59.31667542876375, 10.369728204588295 59.31449662620514, 10.36654736140095 59.3131332964763, 10.36640167670421 59.31309610352762)"/>
    <s v="[839698, 839699, 839707, 839733, 839757]"/>
    <s v="[815996, 815997, 816005, 816032, 816055]"/>
    <s v="0.01466333372977961"/>
    <s v="[815995, 815996, 815997, 816005, 816032]"/>
    <s v="[0.049, 0.045, 0.019, 0.003, 0.024]"/>
    <s v="623.1407679698458"/>
    <s v="[0.049, 0.045, 0.019, -0.003, 0.024]"/>
  </r>
  <r>
    <x v="2392"/>
    <x v="1654"/>
    <x v="0"/>
    <n v="0"/>
    <s v="LINESTRING (10.373208630884669 59.31734246402615, 10.37242269826192 59.31665216039338, 10.369807094808584 59.31447067139335, 10.367578380767583 59.31260115680249, 10.36747863384889 59.312515934884225, 10.364035288085603 59.309283747921306, 10.363596318840065 59.308824090127956, 10.363594661394938 59.3088223131066)"/>
    <s v="[840965, 840981, 840996, 841004, 841005, 841010, 841017]"/>
    <s v="[817161, 817171, 817189, 817198, 817199, 817204, 816210]"/>
    <s v="0.004169845513513744"/>
    <s v="[815995, 817161, 817171, 817189, 817198, 817199, 817204]"/>
    <s v="[0.05, 0.018, 0.002, 0.03, 0.013, 0.008, 0.105]"/>
    <s v="1096.7707708147248"/>
    <s v="[0.05, 0.018, -0.002, 0.03, -0.013, 0.008, 0.105]"/>
  </r>
  <r>
    <x v="2393"/>
    <x v="2984"/>
    <x v="0"/>
    <n v="0"/>
    <s v="LINESTRING (10.36640167670421 59.31309610352762, 10.366166467083076 59.313027639914786, 10.366145442863855 59.313007642845974, 10.366133050135467 59.3129849852304, 10.366265255726294 59.31283211569124)"/>
    <s v="[841408, 841416, 841424, 841450]"/>
    <s v="[817590, 817599, 817605, 816056]"/>
    <s v="0.03702432095640186"/>
    <s v="[816055, 817590, 817599, 817605]"/>
    <s v="[0.034, 0.051, 0.072, 0.033]"/>
    <s v="40.688368598011024"/>
    <s v="[0.034, 0.051, 0.072, 0.033]"/>
  </r>
  <r>
    <x v="2393"/>
    <x v="2985"/>
    <x v="0"/>
    <n v="0"/>
    <m/>
    <n v="841489"/>
    <n v="816055"/>
    <s v="#FIELD!"/>
    <n v="816117"/>
    <s v="0.015"/>
    <s v="24.130255066546134"/>
    <s v="#FIELD!"/>
  </r>
  <r>
    <x v="2394"/>
    <x v="2986"/>
    <x v="0"/>
    <n v="0"/>
    <m/>
    <n v="841458"/>
    <n v="816104"/>
    <s v="#FIELD!"/>
    <n v="816056"/>
    <s v="0.025"/>
    <s v="15.779023696212178"/>
    <s v="#FIELD!"/>
  </r>
  <r>
    <x v="2394"/>
    <x v="1654"/>
    <x v="0"/>
    <n v="0"/>
    <s v="LINESTRING (10.366265255726294 59.31283211569124, 10.36628932500236 59.31278900010455, 10.363886570388686 59.309246101774015, 10.363594661394938 59.3088223131066)"/>
    <s v="[839758, 839771, 839917]"/>
    <s v="[816057, 816071, 816210]"/>
    <s v="#FIELD!"/>
    <s v="[816056, 816057, 816071]"/>
    <s v="[0.035, 0.016, 0.004]"/>
    <s v="480.838200020025"/>
    <s v="[0.035, -0.016, 0.004]"/>
  </r>
  <r>
    <x v="2395"/>
    <x v="2987"/>
    <x v="0"/>
    <n v="0"/>
    <s v="LINESTRING (10.368048099918417 59.31237531263696, 10.368529174544326 59.31212960717192, 10.368595749049975 59.3120789658671)"/>
    <s v="[839779, 839789]"/>
    <s v="[816079, 816086]"/>
    <s v="#FIELD!"/>
    <s v="[816078, 816079]"/>
    <s v="[0.043, 0.028]"/>
    <s v="45.546703247945054"/>
    <s v="[-0.043, -0.028]"/>
  </r>
  <r>
    <x v="2395"/>
    <x v="2988"/>
    <x v="0"/>
    <n v="0"/>
    <s v="LINESTRING (10.368048099918417 59.31237531263696, 10.368657070767144 59.31222761338333, 10.368746933079372 59.31221096346729)"/>
    <s v="[839799, 839801]"/>
    <s v="[816094, 816096]"/>
    <s v="#FIELD!"/>
    <s v="[816078, 816094]"/>
    <s v="[0.037, 0.019]"/>
    <s v="44.086999932985705"/>
    <s v="[-0.037, -0.019]"/>
  </r>
  <r>
    <x v="2395"/>
    <x v="2989"/>
    <x v="0"/>
    <n v="1"/>
    <m/>
    <n v="839797"/>
    <n v="816078"/>
    <s v="#FIELD!"/>
    <n v="816093"/>
    <s v="0.034"/>
    <s v="58.71268913939689"/>
    <s v="#FIELD!"/>
  </r>
  <r>
    <x v="2396"/>
    <x v="2990"/>
    <x v="0"/>
    <n v="0"/>
    <m/>
    <n v="841176"/>
    <n v="816200"/>
    <s v="#FIELD!"/>
    <n v="816086"/>
    <s v="0.028"/>
    <s v="15.704738333160307"/>
    <s v="#FIELD!"/>
  </r>
  <r>
    <x v="2396"/>
    <x v="2988"/>
    <x v="0"/>
    <n v="0"/>
    <s v="LINESTRING (10.368746933079372 59.31221096346729, 10.3686430023969 59.31216417909008, 10.368595749049975 59.3120789658671)"/>
    <s v="[841210, 841218]"/>
    <s v="[817402, 816086]"/>
    <s v="#FIELD!"/>
    <s v="[816096, 817402]"/>
    <s v="[0.014, 0.024]"/>
    <s v="17.761687570930214"/>
    <s v="[-0.014, -0.024]"/>
  </r>
  <r>
    <x v="2397"/>
    <x v="2986"/>
    <x v="0"/>
    <n v="0"/>
    <s v="LINESTRING (10.366533312311606 59.31282997482875, 10.366632043894635 59.31281629567524, 10.367203266903402 59.31267691779639)"/>
    <s v="[839809, 839810]"/>
    <s v="[816105, 816093]"/>
    <s v="#FIELD!"/>
    <s v="[816104, 816105]"/>
    <s v="[0.019, 0.015]"/>
    <s v="42.07167482403439"/>
    <s v="[-0.019, -0.015]"/>
  </r>
  <r>
    <x v="2397"/>
    <x v="2985"/>
    <x v="0"/>
    <n v="0"/>
    <s v="LINESTRING (10.366680206149852 59.31295972638973, 10.366754801598946 59.312914678377886, 10.367203266903402 59.31267691779639)"/>
    <s v="[839820, 839843]"/>
    <s v="[816118, 816093]"/>
    <s v="0.0017288801560514091"/>
    <s v="[816117, 816118]"/>
    <s v="[0.017, 0.001]"/>
    <s v="43.39033633469315"/>
    <s v="[0.017, -0.001]"/>
  </r>
  <r>
    <x v="2398"/>
    <x v="2991"/>
    <x v="0"/>
    <n v="0"/>
    <m/>
    <n v="841202"/>
    <n v="816096"/>
    <s v="0.009"/>
    <n v="816213"/>
    <s v="0.009"/>
    <s v="17.049982538537677"/>
    <s v="0.009"/>
  </r>
  <r>
    <x v="2399"/>
    <x v="2985"/>
    <x v="0"/>
    <n v="0"/>
    <s v="LINESTRING (10.366533312311606 59.31282997482875, 10.36663515750081 59.31287785586587, 10.366680206149852 59.31295972638973)"/>
    <s v="[841473, 841481]"/>
    <s v="[817650, 816117]"/>
    <s v="#FIELD!"/>
    <s v="[816104, 817650]"/>
    <s v="[0.047, 0.039]"/>
    <s v="17.362356471247416"/>
    <s v="[-0.047, -0.039]"/>
  </r>
  <r>
    <x v="2400"/>
    <x v="2990"/>
    <x v="0"/>
    <n v="0"/>
    <s v="LINESTRING (10.3642902112048 59.30922343635936, 10.364763785031933 59.309601262317585, 10.36864839836301 59.3119527350219, 10.36873402481085 59.311962260625286)"/>
    <s v="[839875, 839883, 839909]"/>
    <s v="[816168, 816176, 816200]"/>
    <s v="0.005191322666699187"/>
    <s v="[816167, 816168, 816176]"/>
    <s v="[0.007, 0.007, 0.0]"/>
    <s v="406.4593267357102"/>
    <s v="[-0.007, 0.007, -0.0]"/>
  </r>
  <r>
    <x v="2400"/>
    <x v="2982"/>
    <x v="0"/>
    <n v="0"/>
    <s v="LINESTRING (10.373450414557288 59.3172711966706, 10.37266434772207 59.316579270825905, 10.370046852353772 59.31439610057725, 10.36780972883216 59.312519814805746, 10.367710694062346 59.312434528498756, 10.3642902112048 59.30922343635936)"/>
    <s v="[841056, 841080, 841088, 841104, 841128]"/>
    <s v="[817250, 817271, 817277, 817292, 816167]"/>
    <s v="0.0025944902930819863"/>
    <s v="[816243, 817250, 817271, 817277, 817292]"/>
    <s v="[0.051, 0.016, 0.004, 0.024, 0.014]"/>
    <s v="1038.1121258271255"/>
    <s v="[0.051, 0.016, -0.004, 0.024, -0.014]"/>
  </r>
  <r>
    <x v="2401"/>
    <x v="2991"/>
    <x v="0"/>
    <n v="0"/>
    <s v="LINESTRING (10.36873402481085 59.311962260625286, 10.369002074623944 59.31196011458834, 10.369104095910256 59.31200799994299, 10.369147927499306 59.31209302813608, 10.369034220755882 59.312199338912556)"/>
    <s v="[841177, 841184, 841193, 841201]"/>
    <s v="[817373, 817378, 817387, 816213]"/>
    <s v="0.013413957854936548"/>
    <s v="[816200, 817373, 817378, 817387]"/>
    <s v="[0.007, 0.015, 0.023, 0.029]"/>
    <s v="47.3067955806346"/>
    <s v="[-0.007, 0.015, 0.023, 0.029]"/>
  </r>
  <r>
    <x v="2402"/>
    <x v="2982"/>
    <x v="0"/>
    <n v="0"/>
    <s v="LINESTRING (10.369034220755882 59.312199338912556, 10.369025712979282 59.3122439625169, 10.370122754728781 59.3143705069087, 10.372743622865167 59.316555288624976, 10.37310430004715 59.31686943027673, 10.373450414557288 59.3172711966706)"/>
    <s v="[839919, 839920, 839921, 839940, 839948]"/>
    <s v="[816214, 816215, 816216, 816236, 816243]"/>
    <s v="#FIELD!"/>
    <s v="[816213, 816214, 816215, 816216, 816236]"/>
    <s v="[0.025, 0.013, 0.015, 0.047, 0.058]"/>
    <s v="628.94440181041"/>
    <s v="[0.025, 0.013, -0.015, -0.047, -0.058]"/>
  </r>
  <r>
    <x v="2403"/>
    <x v="2992"/>
    <x v="0"/>
    <n v="0"/>
    <s v="LINESTRING (10.118396622749541 59.11364847324596, 10.117046661429729 59.11308129540513, 10.112552158692854 59.110975290193366, 10.112392107457733 59.11089314367201, 10.10852276700493 59.10873419244145)"/>
    <s v="[843390, 843393, 843401, 843409]"/>
    <s v="[819233, 819237, 819245, 819251]"/>
    <s v="0.0170586863629911"/>
    <s v="[819028, 819233, 819237, 819245]"/>
    <s v="[0.031, 0.036, 0.033, 0.008]"/>
    <s v="788.8620651395686"/>
    <s v="[0.031, 0.036, 0.033, -0.008]"/>
  </r>
  <r>
    <x v="2403"/>
    <x v="2993"/>
    <x v="0"/>
    <n v="0"/>
    <s v="LINESTRING (10.11363835702707 59.11053184339837, 10.113601381454641 59.11059264659608, 10.117782066014266 59.1133282609615, 10.118396622749541 59.11364847324596)"/>
    <s v="[843143, 843151, 843135]"/>
    <s v="[819035, 819027, 819028]"/>
    <s v="#FIELD!"/>
    <s v="[819034, 819035, 819027]"/>
    <s v="[0.026, 0.035, 0.04]"/>
    <s v="457.741096485614"/>
    <s v="[-0.026, -0.035, -0.04]"/>
  </r>
  <r>
    <x v="2403"/>
    <x v="2994"/>
    <x v="0"/>
    <s v="[0, 0, 0, 0, 0, 0, 1, 0]"/>
    <s v="LINESTRING (10.141398935055497 59.12567863870676, 10.14020956356859 59.12504314415063, 10.138231880218042 59.123895436632075, 10.137674378372987 59.12354553403926, 10.130479030652346 59.11873044020766, 10.130381604350598 59.118683507240746, 10.121210085155582 59.1148200575161, 10.119040006453906 59.11391624274915, 10.118396622749541 59.11364847324596)"/>
    <s v="[1365376, 1365384, 1365392, 1365400, 1365408, 1365416, 843374, 843382]"/>
    <s v="[1260412, 1260418, 1260424, 1260431, 1260435, 819218, 819219, 819028]"/>
    <s v="#FIELD!"/>
    <s v="[1260406, 1260412, 1260418, 1260424, 1260431, 1260435, 819218, 819219]"/>
    <s v="[0.003, 0.012, 0.029, 0.005, 0.006, 0.006, 0.002, 0.019]"/>
    <s v="1892.2199343237357"/>
    <s v="[-0.003, 0.012, -0.029, -0.005, 0.006, -0.006, -0.002, 0.019]"/>
  </r>
  <r>
    <x v="2404"/>
    <x v="2995"/>
    <x v="0"/>
    <n v="0"/>
    <m/>
    <n v="843470"/>
    <n v="819307"/>
    <s v="0.02"/>
    <n v="819034"/>
    <s v="0.02"/>
    <s v="16.779141468857837"/>
    <s v="0.02"/>
  </r>
  <r>
    <x v="2404"/>
    <x v="2996"/>
    <x v="0"/>
    <n v="0"/>
    <s v="LINESTRING (10.113199421790272 59.1103704455132, 10.113495069977851 59.11030765423859, 10.11363791894755 59.11035343622478, 10.1136961249742 59.11041626542341, 10.11363835702707 59.11053184339837)"/>
    <s v="[843466, 843467, 843468, 843469]"/>
    <s v="[819304, 819305, 819306, 819034]"/>
    <s v="#FIELD!"/>
    <s v="[819302, 819304, 819305, 819306]"/>
    <s v="[0.02, 0.05, 0.056, 0.026]"/>
    <s v="50.325608588466096"/>
    <s v="[-0.02, -0.05, -0.056, -0.026]"/>
  </r>
  <r>
    <x v="2405"/>
    <x v="2997"/>
    <x v="0"/>
    <n v="0"/>
    <s v="LINESTRING (10.116866108908413 59.1131909048636, 10.112355837832117 59.11107745239922, 10.112195141750192 59.110994921457326, 10.108316479066733 59.1088302145668, 10.107417882939076 59.10827476782753)"/>
    <s v="[843199, 843205, 843213, 843221]"/>
    <s v="[819076, 819080, 819087, 819095]"/>
    <s v="0.010999948747881322"/>
    <s v="[819075, 819076, 819080, 819087]"/>
    <s v="[0.037, 0.033, 0.009, 0.024]"/>
    <s v="771.6015063134114"/>
    <s v="[0.037, 0.033, -0.009, -0.024]"/>
  </r>
  <r>
    <x v="2405"/>
    <x v="2998"/>
    <x v="0"/>
    <n v="0"/>
    <s v="LINESTRING (10.116866108908413 59.1131909048636, 10.11614497920289 59.11293737434214, 10.111677733227072 59.11162548008099, 10.11157575366951 59.11164201572595)"/>
    <s v="[1365928, 1365936, 1365944]"/>
    <s v="[1260767, 1260772, 819124]"/>
    <s v="0.032533743882916376"/>
    <s v="[819075, 1260767, 1260772]"/>
    <s v="[0.014, 0.036, 0.013]"/>
    <s v="358.4624712496146"/>
    <s v="[0.014, 0.036, 0.013]"/>
  </r>
  <r>
    <x v="2405"/>
    <x v="2999"/>
    <x v="0"/>
    <s v="[0, 0, 0, 0, 0, 1, 0, 0]"/>
    <s v="LINESTRING (10.139987218519572 59.12513130096387, 10.138018688677304 59.12398827853694, 10.137453778369261 59.12363386887348, 10.130297933853914 59.11884003861151, 10.130200358924782 59.1187929200043, 10.121034455198004 59.11493173826718, 10.118864361602315 59.114028010015275, 10.118219371540684 59.113759477422875, 10.116866108908413 59.1131909048636)"/>
    <s v="[1365632, 1365640, 1365648, 1365656, 1365664, 843183, 843191, 843198]"/>
    <s v="[1260588, 1260594, 1260597, 1260604, 819065, 819066, 819071, 819075]"/>
    <s v="#FIELD!"/>
    <s v="[1260580, 1260588, 1260594, 1260597, 1260604, 819065, 819066, 819071]"/>
    <s v="[0.011, 0.047, 0.006, 0.007, 0.007, 0.004, 0.024, 0.031]"/>
    <s v="1890.458636481229"/>
    <s v="[0.011, -0.047, -0.006, 0.007, -0.007, -0.004, 0.024, 0.031]"/>
  </r>
  <r>
    <x v="2406"/>
    <x v="3000"/>
    <x v="0"/>
    <s v="[0, 0, 0, 1, 0, 1, 0, 0, 1, 0, 1, 0, 0]"/>
    <s v="LINESTRING (10.107417882939076 59.10827476782753, 10.105625178948399 59.10717589787443, 10.103857958425639 59.10606348009565, 10.098966149414524 59.10295631533943, 10.097290872423024 59.101900893976804, 10.08963776905077 59.09765986618818, 10.085876080704619 59.096113649037484, 10.075051541554249 59.09183956177986, 10.072848554413932 59.09038033834927, 10.072394134235559 59.09012535991723, 10.069128814021855 59.088808113180974, 10.066954110327101 59.08811215754379, 10.066775365037254 59.0880550741696, 10.066458904628263 59.087954021703254)"/>
    <s v="[843229, 843237, 843245, 1364964, 1364972, 1364980, 1365028, 1365036, 1365044, 1365052, 843621, 843622, 843623]"/>
    <s v="[819102, 819108, 819119, 1260088, 1260093, 1260101, 1260132, 1260138, 1260144, 819429, 819430, 819431, 819432]"/>
    <s v="#FIELD!"/>
    <s v="[819095, 819102, 819108, 819119, 1260088, 1260093, 1260101, 1260132, 1260138, 1260144, 819429, 819430, 819431]"/>
    <s v="[0.026, 0.021, 0.056, 0.074, 0.024, 0.005, 0.006, 0.018, 0.102, 0.074, 0.061, 0.057, 0.059]"/>
    <s v="3289.266633828382"/>
    <s v="[0.026, -0.021, -0.056, -0.074, -0.024, -0.005, 0.006, -0.018, -0.102, -0.074, 0.061, 0.057, 0.059]"/>
  </r>
  <r>
    <x v="2406"/>
    <x v="3001"/>
    <x v="0"/>
    <n v="0"/>
    <s v="LINESTRING (10.111091977799829 59.11143933576015, 10.111166877982704 59.11137145457094, 10.111202452126978 59.11131413447603, 10.107897548904843 59.10865030168408, 10.107417882939076 59.10827476782753)"/>
    <s v="[843345, 843353, 843361, 843337]"/>
    <s v="[819200, 819208, 819191, 819095]"/>
    <s v="#FIELD!"/>
    <s v="[819161, 819200, 819208, 819191]"/>
    <s v="[0.013, 0.021, 0.01, 0.015]"/>
    <s v="426.2782255976194"/>
    <s v="[0.013, 0.021, -0.01, -0.015]"/>
  </r>
  <r>
    <x v="2407"/>
    <x v="3001"/>
    <x v="0"/>
    <n v="0"/>
    <s v="LINESTRING (10.11157575366951 59.11164201572595, 10.111525095976335 59.11167338881506, 10.111399548809603 59.11171042724119, 10.111242386153782 59.11171282493123, 10.111120545016721 59.1116838193224, 10.111029419686657 59.11162688002596, 10.110998438458486 59.11154159772613, 10.111091977799829 59.11143933576015)"/>
    <s v="[843251, 843260, 843263, 843279, 843287, 843295, 843301]"/>
    <s v="[819125, 819135, 819137, 773730, 819153, 773757, 819161]"/>
    <s v="0.017549811431212835"/>
    <s v="[819124, 819125, 819135, 819137, 773730, 819153, 773757]"/>
    <s v="[0.008, 0.004, 0.021, 0.029, 0.028, 0.026, 0.013]"/>
    <s v="60.24904300696226"/>
    <s v="[-0.008, 0.004, 0.021, 0.029, 0.028, 0.026, 0.013]"/>
  </r>
  <r>
    <x v="2407"/>
    <x v="3002"/>
    <x v="0"/>
    <n v="0"/>
    <m/>
    <n v="843329"/>
    <n v="819124"/>
    <s v="#FIELD!"/>
    <n v="819178"/>
    <s v="0.025"/>
    <s v="13.583142861495022"/>
    <s v="#FIELD!"/>
  </r>
  <r>
    <x v="2408"/>
    <x v="3003"/>
    <x v="0"/>
    <n v="0"/>
    <m/>
    <n v="843305"/>
    <n v="819163"/>
    <s v="#FIELD!"/>
    <n v="819161"/>
    <s v="0.008"/>
    <s v="18.041601746678328"/>
    <s v="#FIELD!"/>
  </r>
  <r>
    <x v="2409"/>
    <x v="3002"/>
    <x v="0"/>
    <n v="0"/>
    <s v="LINESTRING (10.111385940361709 59.11139825570883, 10.111551694806323 59.11145147167602, 10.11161929398899 59.11152446206516)"/>
    <s v="[843313, 843321]"/>
    <s v="[819170, 819178]"/>
    <s v="#FIELD!"/>
    <s v="[819163, 819170]"/>
    <s v="[0.026, 0.032]"/>
    <s v="20.211868587672324"/>
    <s v="[-0.026, -0.032]"/>
  </r>
  <r>
    <x v="2409"/>
    <x v="3004"/>
    <x v="0"/>
    <n v="0"/>
    <s v="LINESTRING (10.111385940361709 59.11139825570883, 10.111504998983992 59.11137995398356, 10.11201742896221 59.11118486684114)"/>
    <s v="[1365896, 1365904]"/>
    <s v="[1260749, 1260726]"/>
    <s v="0.006879531844712776"/>
    <s v="[819163, 1260749]"/>
    <s v="[0.004, 0.009]"/>
    <s v="43.6689907871101"/>
    <s v="[-0.004, 0.009]"/>
  </r>
  <r>
    <x v="2410"/>
    <x v="3004"/>
    <x v="0"/>
    <n v="0"/>
    <s v="LINESTRING (10.11161929398899 59.11152446206516, 10.111662995941261 59.11145516909725, 10.11201742896221 59.11118486684114)"/>
    <s v="[1365912, 1365920]"/>
    <s v="[1260760, 1260726]"/>
    <s v="0.019"/>
    <s v="[819178, 1260760]"/>
    <s v="0.019"/>
    <s v="44.854719246172294"/>
    <s v="0.019"/>
  </r>
  <r>
    <x v="2411"/>
    <x v="3005"/>
    <x v="239"/>
    <s v="[0, 0, 0, 0, 1, 0, 1, 0, 0, 1, 0, 1, 0]"/>
    <s v="LINESTRING (10.10852276700493 59.10873419244145, 10.10762932043495 59.10818089384097, 10.105895536707273 59.107062330314534, 10.1041281389337 59.105949909594706, 10.09910222293998 59.10281437956444, 10.097425943186138 59.10175865204062, 10.08982294332164 59.097552457979255, 10.086039309202167 59.09599713667542, 10.075190746566976 59.091700305842586, 10.072976439223195 59.09023739719371, 10.072520204560904 59.089985318887294, 10.069158147128332 59.088647927033584, 10.066981862350374 59.08795209132292, 10.066885100735405 59.08792114495522)"/>
    <s v="[843417, 843425, 843433, 843438, 1364940, 1364948, 1364956, 1364996, 1365004, 1365012, 1365020, 843784, 843813]"/>
    <s v="[819261, 819266, 819274, 819277, 1260071, 1260080, 1260085, 1260112, 1260117, 1260122, 819581, 819582, 819544]"/>
    <s v="#FIELD!"/>
    <s v="[819251, 819261, 819266, 819274, 819277, 1260071, 1260080, 1260085, 1260112, 1260117, 1260122, 819581, 819582]"/>
    <s v="[0.024, 0.02, 0.018, 0.056, 0.07, 0.022, 0.007, 0.007, 0.015, 0.104, 0.08, 0.057, 0.054]"/>
    <s v="3355.4601001706496"/>
    <s v="[-0.024, 0.02, -0.018, -0.056, -0.07, -0.022, -0.007, 0.007, -0.015, -0.104, -0.08, 0.057, 0.054]"/>
  </r>
  <r>
    <x v="2411"/>
    <x v="2996"/>
    <x v="0"/>
    <n v="0"/>
    <s v="LINESTRING (10.10852276700493 59.10873419244145, 10.109156192265937 59.10904239114441, 10.11302813774804 59.1103978160208, 10.113122767289168 59.1103859317912, 10.113199421790272 59.1103704455132)"/>
    <s v="[843503, 843494, 843495, 843496]"/>
    <s v="[819320, 819321, 819322, 819302]"/>
    <s v="0.012939544052788427"/>
    <s v="[819251, 819320, 819321, 819322]"/>
    <s v="[0.042, 0.009, 0.026, 0.017]"/>
    <s v="337.9449819651536"/>
    <s v="[0.042, 0.009, -0.026, -0.017]"/>
  </r>
  <r>
    <x v="2412"/>
    <x v="2996"/>
    <x v="0"/>
    <n v="0"/>
    <m/>
    <n v="843461"/>
    <n v="819302"/>
    <s v="0.029"/>
    <n v="819301"/>
    <s v="0.029"/>
    <s v="9.648885946310616"/>
    <s v="0.029"/>
  </r>
  <r>
    <x v="2412"/>
    <x v="2995"/>
    <x v="0"/>
    <n v="0"/>
    <s v="LINESTRING (10.11337157782918 59.11057863196192, 10.113226932691425 59.110534401199125, 10.113160985219022 59.11045472700913)"/>
    <s v="[843475, 843485]"/>
    <s v="[819308, 819301]"/>
    <s v="0.053499866008486635"/>
    <s v="[819307, 819308]"/>
    <s v="[0.054, 0.053]"/>
    <s v="19.297968111559236"/>
    <s v="[0.054, 0.053]"/>
  </r>
  <r>
    <x v="2412"/>
    <x v="3006"/>
    <x v="0"/>
    <n v="0"/>
    <s v="LINESTRING (10.112756970843794 59.11079644236829, 10.113123336999694 59.110521343111635, 10.113160985219022 59.11045472700913)"/>
    <s v="[1365848, 1365856]"/>
    <s v="[1260716, 819301]"/>
    <s v="0.025202150280253386"/>
    <s v="[1260715, 1260716]"/>
    <s v="[0.024, 0.031]"/>
    <s v="45.02417316611465"/>
    <s v="[0.024, 0.031]"/>
  </r>
  <r>
    <x v="2413"/>
    <x v="3006"/>
    <x v="0"/>
    <n v="0"/>
    <s v="LINESTRING (10.112756970843794 59.11079644236829, 10.11328620143478 59.11059345638927, 10.11337157782918 59.11057863196192)"/>
    <s v="[1365880, 1365888]"/>
    <s v="[1260737, 819307]"/>
    <s v="0.0025171444982712123"/>
    <s v="[1260715, 1260737]"/>
    <s v="[0.006, 0.023]"/>
    <s v="43.00993327667546"/>
    <s v="[0.006, -0.023]"/>
  </r>
  <r>
    <x v="2414"/>
    <x v="3007"/>
    <x v="0"/>
    <s v="[0, 0, 1, 0, 0, 0]"/>
    <s v="LINESTRING (10.060734142650027 59.0861043063573, 10.060755551670237 59.0865514590333, 10.060979486348739 59.08588642056743, 10.06081943763634 59.08580465414763, 10.060365191579585 59.08556403050133, 10.05802348248814 59.08413139662163, 10.057482031335184 59.083753926014445)"/>
    <s v="[843511, 843519, 843527, 843541, 988734, 2166752]"/>
    <s v="[819336, 819343, 819348, 819357, 947979, 1853899]"/>
    <s v="0.01591050579994321"/>
    <s v="[819335, 819336, 819343, 819348, 819357, 947979]"/>
    <s v="[0.009, 0.004, 0.086, 0.069, 0.036, 0.002]"/>
    <s v="618.2134569038155"/>
    <s v="[-0.009, -0.004, 0.086, 0.069, 0.036, 0.002]"/>
  </r>
  <r>
    <x v="2414"/>
    <x v="3008"/>
    <x v="0"/>
    <n v="0"/>
    <s v="LINESTRING (10.060734142650027 59.0861043063573, 10.060869237565234 59.085878795096825, 10.061248043220836 59.085572889335005, 10.062030094963866 59.08528641533656)"/>
    <s v="[843721, 843722, 843725]"/>
    <s v="[819529, 819530, 819534]"/>
    <s v="#FIELD!"/>
    <s v="[819335, 819529, 819530]"/>
    <s v="[0.031, 0.059, 0.092]"/>
    <s v="122.41266804219055"/>
    <s v="[-0.031, -0.059, -0.092]"/>
  </r>
  <r>
    <x v="2414"/>
    <x v="3000"/>
    <x v="0"/>
    <s v="[0, 0, 1, 0, 0]"/>
    <s v="LINESTRING (10.066458904628263 59.087954021703254, 10.065674640754766 59.087758956002595, 10.065253823315512 59.08762209336491, 10.064318332589762 59.08730583091765, 10.06208754754788 59.087036460601716, 10.060734142650027 59.0861043063573)"/>
    <s v="[843697, 843705, 843713, 843719, 843720]"/>
    <s v="[819508, 819516, 819523, 819528, 819335]"/>
    <s v="0.057798862145735"/>
    <s v="[819432, 819508, 819516, 819523, 819528]"/>
    <s v="[0.057, 0.041, 0.024, 0.077, 0.058]"/>
    <s v="445.9924763493298"/>
    <s v="[0.057, 0.041, 0.024, 0.077, 0.058]"/>
  </r>
  <r>
    <x v="2415"/>
    <x v="3007"/>
    <x v="0"/>
    <s v="[0, 1, 0, 1, 0, 0]"/>
    <s v="LINESTRING (10.066458904628263 59.087954021703254, 10.06521828674626 59.08755443574204, 10.064295366935813 59.08724072147652, 10.061021414350241 59.0858416892507, 10.060862582641303 59.085759969318964, 10.060430413036732 59.08553233337027, 10.057482031335184 59.083753926014445)"/>
    <s v="[843624, 843645, 843651, 843661, 843669, 2166776]"/>
    <s v="[819433, 819451, 819455, 819469, 819478, 1853899]"/>
    <s v="0.050369906806908844"/>
    <s v="[819432, 819433, 819451, 819455, 819469, 819478]"/>
    <s v="[0.047, 0.021, 0.076, 0.086, 0.071, 0.03]"/>
    <s v="700.7718039194353"/>
    <s v="[0.047, 0.021, 0.076, 0.086, 0.071, 0.03]"/>
  </r>
  <r>
    <x v="2416"/>
    <x v="3009"/>
    <x v="0"/>
    <n v="0"/>
    <s v="LINESTRING (10.062030094963866 59.08528641533656, 10.062652050892298 59.085161539820476, 10.062827403276671 59.08512574782756)"/>
    <s v="[843726, 843727]"/>
    <s v="[819535, 819536]"/>
    <s v="#FIELD!"/>
    <s v="[819534, 819535]"/>
    <s v="[0.107, 0.111]"/>
    <s v="49.53382946549827"/>
    <s v="[-0.107, -0.111]"/>
  </r>
  <r>
    <x v="2416"/>
    <x v="3010"/>
    <x v="0"/>
    <n v="0"/>
    <s v="LINESTRING (10.062030094963866 59.08528641533656, 10.0626455022326 59.08526867926673, 10.062790587156611 59.0853061594227)"/>
    <s v="[843728, 843729]"/>
    <s v="[819537, 819538]"/>
    <s v="#FIELD!"/>
    <s v="[819534, 819537]"/>
    <s v="[0.116, 0.103]"/>
    <s v="45.255574724451265"/>
    <s v="[-0.116, -0.103]"/>
  </r>
  <r>
    <x v="2417"/>
    <x v="3011"/>
    <x v="0"/>
    <n v="0"/>
    <s v="LINESTRING (10.062827403276671 59.08512574782756, 10.062997365773299 59.08506826678132, 10.063161284809341 59.08506732187127, 10.063333586163486 59.08512251868174, 10.0633938330304 59.085282926960154, 10.063273819119397 59.08536741334872, 10.063161605443812 59.08539408084873, 10.063121022645184 59.085397930778484)"/>
    <s v="[843852, 843872, 843880, 843889, 843899, 843922, 843955]"/>
    <s v="[819628, 819648, 819657, 819666, 819674, 819694, 819545]"/>
    <s v="#FIELD!"/>
    <s v="[819536, 819628, 819648, 819657, 819666, 819674, 819694]"/>
    <s v="[0.096, 0.115, 0.1, 0.024, 0.067, 0.103, 0.112]"/>
    <s v="72.64477497709102"/>
    <s v="[-0.096, -0.115, -0.1, -0.024, 0.067, 0.103, 0.112]"/>
  </r>
  <r>
    <x v="2417"/>
    <x v="3010"/>
    <x v="0"/>
    <n v="0"/>
    <s v="LINESTRING (10.062790587156611 59.0853061594227, 10.0627561275509 59.08522378803052, 10.062827403276671 59.08512574782756)"/>
    <s v="[843979, 843999]"/>
    <s v="[819745, 819536]"/>
    <s v="#FIELD!"/>
    <s v="[819538, 819745]"/>
    <s v="[0.025, 0.038]"/>
    <s v="21.059224366516567"/>
    <s v="[0.025, -0.038]"/>
  </r>
  <r>
    <x v="2418"/>
    <x v="3012"/>
    <x v="0"/>
    <n v="0"/>
    <m/>
    <n v="843972"/>
    <n v="819538"/>
    <s v="0.074"/>
    <n v="819730"/>
    <s v="0.074"/>
    <s v="4.7291436862357745"/>
    <s v="0.074"/>
  </r>
  <r>
    <x v="2419"/>
    <x v="3013"/>
    <x v="0"/>
    <s v="[0, 0, 1, 0, 0, 1, 0, 0, 0]"/>
    <s v="LINESTRING (10.066885100735405 59.08792114495522, 10.066578605129198 59.08782325237865, 10.065161908221063 59.08736561280438, 10.064223695417274 59.08704159882436, 10.063247658984302 59.08666207608866, 10.061167639542287 59.0857148425234, 10.061016006330647 59.085634117148395, 10.060634788598115 59.08543379575438, 10.05768162777252 59.083666824926546, 10.057570998107426 59.08359871731713)"/>
    <s v="[843825, 843826, 843827, 843836, 843837, 843843, 843844, 2166758, 2166764]"/>
    <s v="[819609, 819610, 819611, 819612, 819613, 819619, 819620, 1853903, 1853895]"/>
    <s v="0.05014710882003155"/>
    <s v="[819544, 819609, 819610, 819611, 819612, 819613, 819619, 819620, 1853903]"/>
    <s v="[0.057, 0.042, 0.022, 0.05, 0.09, 0.084, 0.081, 0.03, 0.047]"/>
    <s v="724.5105649370468"/>
    <s v="[0.057, 0.042, 0.022, 0.05, 0.09, 0.084, 0.081, 0.03, 0.047]"/>
  </r>
  <r>
    <x v="2419"/>
    <x v="3011"/>
    <x v="0"/>
    <s v="[0, 0, 1, 0, 0]"/>
    <s v="LINESTRING (10.063121022645184 59.085397930778484, 10.063007622190561 59.08545201868687, 10.06420003477983 59.08697403384867, 10.065139552610797 59.08730232607451, 10.066197753933144 59.08764539057638, 10.066885100735405 59.08792114495522)"/>
    <s v="[843735, 843748, 843767, 843768, 843734]"/>
    <s v="[819546, 819559, 819569, 819543, 819544]"/>
    <s v="#FIELD!"/>
    <s v="[819545, 819546, 819559, 819569, 819543]"/>
    <s v="[0.081, 0.026, 0.023, 0.036, 0.051]"/>
    <s v="411.6391900849136"/>
    <s v="[0.081, -0.026, -0.023, -0.036, -0.051]"/>
  </r>
  <r>
    <x v="2420"/>
    <x v="3012"/>
    <x v="0"/>
    <n v="0"/>
    <m/>
    <n v="843963"/>
    <n v="819730"/>
    <s v="0.106"/>
    <n v="819545"/>
    <s v="0.106"/>
    <s v="18.01833664035642"/>
    <s v="0.106"/>
  </r>
  <r>
    <x v="2421"/>
    <x v="3013"/>
    <x v="0"/>
    <s v="[0, 0, 0, 1, 0, 0]"/>
    <s v="LINESTRING (10.057570998107426 59.08359871731713, 10.058201201763593 59.08393765317124, 10.060711175059486 59.08539496762353, 10.061112697031856 59.08556961428295, 10.061284066379136 59.08563588876498, 10.062833693278732 59.085415642693185, 10.062836556138624 59.085341379205694)"/>
    <s v="[2166746, 988733, 844005, 844016, 844030, 844042]"/>
    <s v="[947978, 819775, 819776, 819788, 819797, 819730]"/>
    <s v="#FIELD!"/>
    <s v="[1853895, 947978, 819775, 819776, 819788, 819797]"/>
    <s v="[0.019, 0.044, 0.091, 0.096, 0.089, 0.004]"/>
    <s v="435.8294227548999"/>
    <s v="[0.019, -0.044, -0.091, -0.096, -0.089, -0.004]"/>
  </r>
  <r>
    <x v="2422"/>
    <x v="3014"/>
    <x v="0"/>
    <n v="0"/>
    <s v="LINESTRING (5.849895071995847 61.450139343479805, 5.849983157152991 61.45014063499145, 5.851760176582486 61.45006069553159, 5.85230552817382 61.45000953018967, 5.852847274882282 61.44991603554713, 5.852941190833487 61.44989171063989, 5.853061373033578 61.44986356789647, 5.853954284314985 61.44963490332913)"/>
    <s v="[843988, 843995, 1881302, 1881313, 1881326, 1881348, 1881356]"/>
    <s v="[819757, 819763, 1655884, 1655471, 1655906, 1655925, 1655933]"/>
    <s v="0.05663129059829265"/>
    <s v="[819756, 819757, 819763, 1655884, 1655471, 1655906, 1655925]"/>
    <s v="[0.014, 0.024, 0.046, 0.073, 0.123, 0.101, 0.104]"/>
    <s v="227.84866463905396"/>
    <s v="[-0.014, 0.024, 0.046, 0.073, 0.123, 0.101, 0.104]"/>
  </r>
  <r>
    <x v="2422"/>
    <x v="3015"/>
    <x v="0"/>
    <n v="0"/>
    <s v="LINESTRING (5.849895071995847 61.450139343479805, 5.849844822440347 61.45016749157271, 5.849721285073141 61.45018696966996, 5.849630492718951 61.45017566766759, 5.849578838386263 61.450155534887806)"/>
    <s v="[1028466, 1028474, 1028482, 1028490]"/>
    <s v="[982918, 982923, 982928, 982932]"/>
    <s v="#FIELD!"/>
    <s v="[819756, 982918, 982923, 982928]"/>
    <s v="[7.918, 0.108, 0.13, 0.12]"/>
    <s v="19.66991548815072"/>
    <s v="[-7.918, 0.108, 0.13, 0.12]"/>
  </r>
  <r>
    <x v="2422"/>
    <x v="3016"/>
    <x v="0"/>
    <n v="0"/>
    <s v="LINESTRING (5.849797010081652 61.450008486456895, 5.849915843981004 61.45007737664827, 5.849895071995847 61.450139343479805)"/>
    <s v="[1028450, 1028458]"/>
    <s v="[982909, 819756]"/>
    <s v="#FIELD!"/>
    <s v="[819821, 982909]"/>
    <s v="[3.47, 4.709]"/>
    <s v="17.31070460801638"/>
    <s v="[-3.47, 4.709]"/>
  </r>
  <r>
    <x v="2423"/>
    <x v="3014"/>
    <x v="0"/>
    <n v="0"/>
    <s v="LINESTRING (5.849797010081652 61.450008486456895, 5.849953105046462 61.45001055077745, 5.8517483245618385 61.450013244420916, 5.852243580098793 61.44995302805235, 5.852863631912935 61.44983121382443, 5.853954284314985 61.44963490332913)"/>
    <s v="[844055, 844059, 1898659, 1898667, 1898675]"/>
    <s v="[819822, 819827, 1667562, 1655482, 1655933]"/>
    <s v="0.04412110858454575"/>
    <s v="[819821, 819822, 819827, 1667562, 1655482]"/>
    <s v="[0.013, 0.007, 1.505, 0.023, 0.818]"/>
    <s v="231.0950897430481"/>
    <s v="[-0.013, 0.007, -1.505, -0.023, 0.818]"/>
  </r>
  <r>
    <x v="2423"/>
    <x v="3017"/>
    <x v="0"/>
    <n v="0"/>
    <m/>
    <n v="1028442"/>
    <n v="819821"/>
    <s v="2.963"/>
    <n v="982902"/>
    <s v="2.963"/>
    <s v="11.201668035813325"/>
    <s v="2.963"/>
  </r>
  <r>
    <x v="2424"/>
    <x v="3018"/>
    <x v="0"/>
    <n v="0"/>
    <s v="LINESTRING (11.461841027304214 63.78525622464597, 11.461794121051803 63.785337239217405, 11.461666762107233 63.78538013409833)"/>
    <s v="[846593, 846601]"/>
    <s v="[821948, 821955]"/>
    <s v="0.0021263289245427005"/>
    <s v="[821947, 821948]"/>
    <s v="[0.002, 0.007]"/>
    <s v="17.214917394990056"/>
    <s v="[-0.002, 0.007]"/>
  </r>
  <r>
    <x v="2424"/>
    <x v="2316"/>
    <x v="0"/>
    <n v="0"/>
    <s v="LINESTRING (11.461841027304214 63.78525622464597, 11.461918719851836 63.78529399798262, 11.462272436435894 63.785464832735926)"/>
    <s v="[846774, 846775]"/>
    <s v="[822120, 822035]"/>
    <s v="#FIELD!"/>
    <s v="[821947, 822120]"/>
    <s v="[0.014, 0.015]"/>
    <s v="31.627752009614582"/>
    <s v="[-0.014, -0.015]"/>
  </r>
  <r>
    <x v="2424"/>
    <x v="2382"/>
    <x v="0"/>
    <n v="0"/>
    <s v="LINESTRING (11.46133091614743 63.78531722980496, 11.461310021938582 63.78528315904407, 11.461346466640599 63.78520798852682, 11.461461809429673 63.78516161847316, 11.461517196180171 63.78515340883052, 11.46170085356338 63.78516467189066, 11.46182212624268 63.78522310134799, 11.461841027304214 63.78525622464597)"/>
    <s v="[846627, 846638, 846646, 846573, 846581, 846586, 846592]"/>
    <s v="[821971, 821980, 821926, 821927, 821937, 821941, 821947]"/>
    <s v="#FIELD!"/>
    <s v="[821962, 821971, 821980, 821926, 821927, 821937, 821941]"/>
    <s v="[0.011, 0.003, 0.006, 0.012, 0.015, 0.015, 0.012]"/>
    <s v="44.86191094536361"/>
    <s v="[0.011, 0.003, -0.006, -0.012, -0.015, -0.015, -0.012]"/>
  </r>
  <r>
    <x v="2425"/>
    <x v="2646"/>
    <x v="0"/>
    <n v="0"/>
    <m/>
    <n v="846609"/>
    <n v="821961"/>
    <s v="0.014"/>
    <n v="821955"/>
    <s v="0.014"/>
    <s v="3.654464256367815"/>
    <s v="0.014"/>
  </r>
  <r>
    <x v="2425"/>
    <x v="2316"/>
    <x v="0"/>
    <n v="0"/>
    <s v="LINESTRING (11.461666762107233 63.78538013409833, 11.461792714730867 63.78539704309809, 11.462272436435894 63.785464832735926)"/>
    <s v="[846729, 846763]"/>
    <s v="[822080, 822035]"/>
    <s v="#FIELD!"/>
    <s v="[821955, 822080]"/>
    <s v="0.016"/>
    <s v="31.320429110212103"/>
    <s v="#FIELD!"/>
  </r>
  <r>
    <x v="2426"/>
    <x v="2382"/>
    <x v="0"/>
    <n v="0"/>
    <m/>
    <n v="846610"/>
    <n v="821962"/>
    <s v="0.015"/>
    <n v="821961"/>
    <s v="0.015"/>
    <s v="15.882043687189132"/>
    <s v="0.015"/>
  </r>
  <r>
    <x v="2427"/>
    <x v="1853"/>
    <x v="0"/>
    <n v="0"/>
    <s v="LINESTRING (14.556745424189266 68.23630464162405, 14.554468419275523 68.2363221345784, 14.554344001901084 68.23632094001889, 14.553650929482702 68.2363127212728, 14.553374859130038 68.23631025766254, 14.55329927496591 68.23630958816544, 14.553035172609565 68.23630811586268, 14.552837022090722 68.23630800450796, 14.55075638391705 68.23627959465564)"/>
    <s v="[847004, 847016, 847029, 847041, 847047, 847063, 847073, 847082]"/>
    <s v="[822355, 822368, 822381, 822391, 822394, 822410, 822422, 822430]"/>
    <s v="#FIELD!"/>
    <s v="[822354, 822355, 822368, 822381, 822391, 822394, 822410, 822422]"/>
    <s v="[0.018, 0.019, 0.019, 0.019, 0.017, 0.018, 0.019, 0.017]"/>
    <s v="248.0223319483871"/>
    <s v="[-0.018, -0.019, -0.019, -0.019, -0.017, -0.018, -0.019, -0.017]"/>
  </r>
  <r>
    <x v="2427"/>
    <x v="1853"/>
    <x v="0"/>
    <n v="0"/>
    <s v="LINESTRING (14.556745424189266 68.23630464162405, 14.554354482508119 68.23625183302887, 14.55365966332803 68.23624034481917, 14.553378559480054 68.23623702458676, 14.553276867756656 68.23623421303172, 14.553013102154853 68.23623410492524, 14.5528380730205 68.2362343965734, 14.55075638391705 68.23627959465564)"/>
    <s v="[847090, 847091, 847102, 847103, 847130, 847136, 847143]"/>
    <s v="[822436, 822437, 822449, 822450, 822470, 822475, 822430]"/>
    <s v="#FIELD!"/>
    <s v="[822354, 822436, 822437, 822449, 822450, 822470, 822475]"/>
    <s v="[0.02, 0.022, 0.021, 0.03, 0.022, 0.021, 0.013]"/>
    <s v="248.18509952585862"/>
    <s v="[-0.02, -0.022, -0.021, -0.03, -0.022, -0.021, -0.013]"/>
  </r>
  <r>
    <x v="2427"/>
    <x v="3019"/>
    <x v="240"/>
    <n v="0"/>
    <s v="LINESTRING (14.56041720225589 68.23592961067274, 14.559740267509744 68.23604289477485, 14.557778108539281 68.23625510128156, 14.557612227258076 68.23626850844472, 14.557540579784797 68.2362729817702, 14.556745424189266 68.23630464162405)"/>
    <s v="[1028428, 1028436, 1028444, 1028452, 1028460]"/>
    <s v="[982893, 982899, 982904, 982912, 822354]"/>
    <s v="#FIELD!"/>
    <s v="[941238, 982893, 982899, 982904, 982912]"/>
    <s v="[0.044, 0.002, 0.002, 0.008, 0.044]"/>
    <s v="158.41729878634118"/>
    <s v="[-0.044, 0.002, -0.002, -0.008, -0.044]"/>
  </r>
  <r>
    <x v="2428"/>
    <x v="3020"/>
    <x v="0"/>
    <n v="0"/>
    <s v="LINESTRING (23.196127985834607 69.94978510229521, 23.197792107481526 69.95042763811432, 23.197926400079904 69.9504774572278, 23.19887784486604 69.95081396423065, 23.19898995478855 69.95085274687774, 23.200250185690457 69.95125129002106)"/>
    <s v="[847526, 847534, 847535, 847550, 847558]"/>
    <s v="[822742, 822801, 822802, 822819, 822825]"/>
    <s v="0.02951350224051987"/>
    <s v="[822790, 822742, 822801, 822802, 822819]"/>
    <s v="[0.062, 0.001, 0.003, 0.002, 0.009]"/>
    <s v="227.78495288409604"/>
    <s v="[0.062, 0.001, 0.003, 0.002, 0.009]"/>
  </r>
  <r>
    <x v="2428"/>
    <x v="3020"/>
    <x v="0"/>
    <n v="0"/>
    <s v="LINESTRING (23.196127985834607 69.94978510229521, 23.197838777963188 69.95034053024291, 23.19802647464274 69.95040499686972, 23.198083626089836 69.95042687268786, 23.199009561822116 69.95077070041998, 23.200250185690457 69.95125129002106)"/>
    <s v="[847566, 847574, 847589, 847610, 847618]"/>
    <s v="[822743, 822763, 822853, 822869, 822825]"/>
    <s v="0.029586042966240955"/>
    <s v="[822790, 822743, 822763, 822853, 822869]"/>
    <s v="[0.075, 0.007, 0.027, 0.001, 0.001]"/>
    <s v="227.79710447627753"/>
    <s v="[0.075, 0.007, -0.027, 0.001, -0.001]"/>
  </r>
  <r>
    <x v="2428"/>
    <x v="3021"/>
    <x v="241"/>
    <s v="[0, 1, 0, 0, 0, 0, 0, 0, 0, 0, 1, 0, 0, 0, 0, 0, 0, 0, 0, 0, 0, 0, 0, 0, 0, 0, 0, 0, 0, 0, 0]"/>
    <s v="LINESTRING (23.105917934733007 69.9280854331125, 23.107286986881974 69.92783935047515, 23.108499782446216 69.92763053010344, 23.109164562543413 69.92752236640526, 23.110615380176736 69.92733302375274, 23.116048942886042 69.92722571985267, 23.123911211588023 69.92912926415067, 23.126019653062404 69.93169605823955, 23.126610918853796 69.93234090118132, 23.128802858261608 69.9358186555016, 23.1289308014993 69.93621160821701, 23.12898864272491 69.93638952945776, 23.12903031327006 69.93652869503799, 23.151646581267503 69.94871542053474, 23.160771799275857 69.95064030330362, 23.176486484180863 69.94796177760429, 23.181481344719128 69.94661728559399, 23.182361804892384 69.94638984405069, 23.18318736293823 69.94617203725899, 23.183583369580266 69.94606958102644, 23.184069782015857 69.94597789007581, 23.187817772626634 69.94591461598817, 23.188674868417316 69.94621378335711, 23.189132447541898 69.9464748135915, 23.189426268286102 69.94666309223388, 23.18956679118531 69.94675605458887, 23.18957231425107 69.94675971182453, 23.189677630240453 69.94682848583108, 23.190347905178626 69.9472743257371, 23.193824011269058 69.94895850232064, 23.194457626645768 69.94918827011435, 23.196127985834607 69.94978510229521)"/>
    <s v="[2115812, 2115820, 2115828, 2115836, 2115844, 2115852, 2115860, 2115868, 2115876, 2116100, 2116108, 2116116, 2116124, 2116220, 2116228, 2116236, 2116244, 2116252, 1015128, 1015136, 1015144, 1015152, 1015160, 1015168, 1015176, 1015184, 1015192, 1015200, 1015208, 1015216, 1015224]"/>
    <s v="[1824700, 1824706, 1824710, 1824714, 1824719, 1824723, 1824728, 1824732, 1250419, 1824853, 1824857, 1824862, 1824870, 1824910, 1824923, 1824928, 1591977, 971846, 971847, 971852, 971860, 971866, 971874, 971882, 971890, 971900, 971908, 971916, 971924, 971933, 822790]"/>
    <s v="#FIELD!"/>
    <s v="[1824695, 1824700, 1824706, 1824710, 1824714, 1824719, 1824723, 1824728, 1824732, 1250419, 1824853, 1824857, 1824862, 1824870, 1824910, 1824923, 1824928, 1591977, 971846, 971847, 971852, 971860, 971866, 971874, 971882, 971890, 971900, 971908, 971916, 971924, 971933]"/>
    <s v="[0.02, 0.016, 0.016, 0.015, 0.031, 0.077, 0.059, 0.068, 0.052, 0.047, 0.046, 0.048, 0.006, 0.031, 0.02, 0.078, 0.037, 0.435, 0.039, 0.033, 0.001, 0.052, 0.051, 0.044, 0.035, 0.0, 0.027, 0.031, 0.02, 0.026, 0.011]"/>
    <s v="5613.171684901677"/>
    <s v="[0.02, 0.016, 0.016, 0.015, 0.031, 0.077, -0.059, -0.068, -0.052, -0.047, -0.046, -0.048, -0.006, -0.031, 0.02, -0.078, 0.037, 0.435, 0.039, 0.033, 0.001, -0.052, -0.051, -0.044, -0.035, 0.0, -0.027, -0.031, -0.02, 0.026, 0.011]"/>
  </r>
  <r>
    <x v="2429"/>
    <x v="3022"/>
    <x v="0"/>
    <n v="0"/>
    <s v="LINESTRING (23.200250185690457 69.95125129002106, 23.200768359026767 69.95140816770903, 23.201116380577716 69.95148699419995, 23.20193848081757 69.95160290769564, 23.208088232609665 69.95214909351269, 23.208969748611068 69.95249459142782, 23.20903909653604 69.95252408612122, 23.209077337236742 69.95254059280374, 23.2098947922538 69.9528707631056, 23.211136248155192 69.95337496977153, 23.211427043523425 69.95349413035345, 23.212544825067194 69.95395380975603, 23.213447053762952 69.9543279742792, 23.213746536623674 69.95445504341575, 23.21387460313887 69.95450973419086, 23.21402616663766 69.95457453955908, 23.21567469643386 69.95524135137958)"/>
    <s v="[1015232, 1015240, 1015248, 1015256, 1015264, 1015272, 1015280, 1015288, 1015296, 1015304, 1027258, 1027266, 1027274, 1027282, 1027290, 1027298]"/>
    <s v="[971946, 971954, 971965, 971977, 971985, 971992, 971998, 972005, 972013, 972020, 981957, 981962, 981970, 981976, 981985, 978654]"/>
    <s v="#FIELD!"/>
    <s v="[822825, 971946, 971954, 971965, 971977, 971985, 971992, 971998, 972005, 972013, 972020, 981957, 981962, 981970, 981976, 981985]"/>
    <s v="[0.376, 0.144, 0.166, 0.021, 0.089, 0.064, 0.068, 0.082, 0.082, 0.077, 0.165, 0.026, 0.026, 0.022, 0.021, 0.006]"/>
    <s v="787.8490423981907"/>
    <s v="[0.376, 0.144, 0.166, 0.021, -0.089, -0.064, -0.068, -0.082, -0.082, -0.077, -0.165, -0.026, -0.026, -0.022, -0.021, -0.006]"/>
  </r>
  <r>
    <x v="2430"/>
    <x v="2104"/>
    <x v="0"/>
    <n v="0"/>
    <s v="LINESTRING (10.548300812681886 63.423031336332336, 10.547967798189752 63.423074121187014, 10.54483380179644 63.4232204992965, 10.543304732325186 63.423311085148804, 10.543117958726075 63.42332080700464)"/>
    <s v="[848939, 848915, 848923, 848931]"/>
    <s v="[824163, 824164, 824172, 491218]"/>
    <s v="#FIELD!"/>
    <s v="[824189, 824163, 824164, 824172]"/>
    <s v="[0.036, 0.004, 0.002, 0.004]"/>
    <s v="261.24886447729455"/>
    <s v="[-0.036, -0.004, 0.002, 0.004]"/>
  </r>
  <r>
    <x v="2431"/>
    <x v="3023"/>
    <x v="242"/>
    <n v="0"/>
    <m/>
    <n v="850534"/>
    <n v="825322"/>
    <s v="#FIELD!"/>
    <n v="824295"/>
    <s v="0.006"/>
    <s v="491.83008692746006"/>
    <s v="#FIELD!"/>
  </r>
  <r>
    <x v="2431"/>
    <x v="3024"/>
    <x v="0"/>
    <n v="0"/>
    <s v="LINESTRING (10.460016491417562 59.922826632646334, 10.460186769626807 59.92280399700589, 10.465947164790876 59.92174710367592, 10.466332404591828 59.92168957858413)"/>
    <s v="[850149, 850157, 849092]"/>
    <s v="[825034, 824294, 824295]"/>
    <s v="0.019036194210415074"/>
    <s v="[825033, 825034, 824294]"/>
    <s v="[0.031, 0.016, 0.063]"/>
    <s v="396.8151568054132"/>
    <s v="[0.031, 0.016, 0.063]"/>
  </r>
  <r>
    <x v="2432"/>
    <x v="3025"/>
    <x v="0"/>
    <n v="0"/>
    <s v="LINESTRING (10.461484920880919 59.92465464979397, 10.461551125473491 59.92468013571352, 10.461606074093512 59.92474336563531, 10.46156033999771 59.92482227989156, 10.461244667426369 59.924839274305015, 10.461180075537404 59.924794148221864, 10.461181476552106 59.92471190659682, 10.461270715243323 59.924659404482156)"/>
    <s v="[849148, 849156, 849164, 849100, 849108, 849116, 849124]"/>
    <s v="[824270, 824341, 824258, 824274, 824306, 824285, 824320]"/>
    <s v="#FIELD!"/>
    <s v="[824332, 824270, 824341, 824258, 824274, 824306, 824285]"/>
    <s v="[0.041, 0.033, 0.014, 0.023, 0.037, 0.024, 0.001]"/>
    <s v="64.08312131058102"/>
    <s v="[0.041, 0.033, 0.014, -0.023, -0.037, -0.024, 0.001]"/>
  </r>
  <r>
    <x v="2432"/>
    <x v="2942"/>
    <x v="0"/>
    <n v="0"/>
    <s v="LINESTRING (10.46145626657246 59.92445949348264, 10.461320222862366 59.92460607186079, 10.461270715243323 59.924659404482156)"/>
    <s v="[849188, 849196]"/>
    <s v="[824361, 824320]"/>
    <s v="0.008733212603019947"/>
    <s v="[824350, 824361]"/>
    <s v="[0.009, 0.008]"/>
    <s v="24.580734334808284"/>
    <s v="[0.009, 0.008]"/>
  </r>
  <r>
    <x v="2433"/>
    <x v="2942"/>
    <x v="0"/>
    <n v="0"/>
    <s v="LINESTRING (10.46145626657246 59.92445949348264, 10.461478467918491 59.92461068321833, 10.461484920880919 59.92465464979397)"/>
    <s v="[849172, 849180]"/>
    <s v="[824351, 824332]"/>
    <s v="0.02409884581138089"/>
    <s v="[824350, 824351]"/>
    <s v="[0.025, 0.021]"/>
    <s v="21.810002295066255"/>
    <s v="[0.025, 0.021]"/>
  </r>
  <r>
    <x v="2434"/>
    <x v="2637"/>
    <x v="243"/>
    <s v="[0, 0, 0, 0, 0, 0, 0, 1]"/>
    <s v="LINESTRING (10.459780392860841 59.924654859857554, 10.45950352294166 59.92481897233815, 10.459354642195942 59.924898671476676, 10.440180178734307 59.933016763144494, 10.43998538495232 59.93308919489732, 10.438108765385525 59.93390997895206, 10.437431285201496 59.93426284507969, 10.436680474208574 59.934669870636036, 10.436422724276541 59.93481076876071)"/>
    <s v="[849636, 849644, 849652, 849660, 849668, 849676, 849684, 849692]"/>
    <s v="[824673, 824679, 824685, 824690, 824695, 824700, 824705, 824502]"/>
    <s v="0.02032459481200414"/>
    <s v="[824434, 824673, 824679, 824685, 824690, 824695, 824700, 824705]"/>
    <s v="[0.005, 0.004, 0.016, 0.131, 0.024, 0.044, 0.094, 0.132]"/>
    <s v="1742.4329217775942"/>
    <s v="[0.005, 0.004, 0.016, -0.131, 0.024, 0.044, 0.094, 0.132]"/>
  </r>
  <r>
    <x v="2434"/>
    <x v="1000"/>
    <x v="244"/>
    <n v="0"/>
    <s v="LINESTRING (10.46677004955822 59.921760322673165, 10.46645740594937 59.921872313622536, 10.459926554836162 59.92456987728587, 10.459780392860841 59.924654859857554)"/>
    <s v="[850405, 850413, 850421]"/>
    <s v="[825227, 825231, 824434]"/>
    <s v="#FIELD!"/>
    <s v="[825224, 825227, 825231]"/>
    <s v="[0.037, 0.008, 0.001]"/>
    <s v="509.4269212399696"/>
    <s v="[-0.037, -0.008, 0.001]"/>
  </r>
  <r>
    <x v="2435"/>
    <x v="3026"/>
    <x v="0"/>
    <n v="0"/>
    <s v="LINESTRING (10.4348309892247 59.93668343750755, 10.43488265152041 59.93665681823379, 10.43497511620242 59.9366387097594, 10.435081191761151 59.93664670492322, 10.43518872468096 59.93670268637935, 10.435199664886138 59.9367572970836, 10.435174609558693 59.93679087376411, 10.435008306592517 59.936841497026734, 10.434802899308155 59.936768199363264)"/>
    <n v="849428"/>
    <n v="824494"/>
    <s v="#FIELD!"/>
    <n v="824532"/>
    <s v="0.08"/>
    <s v="9.79664918521669"/>
    <s v="#FIELD!"/>
  </r>
  <r>
    <x v="2435"/>
    <x v="2637"/>
    <x v="0"/>
    <s v="[1, 1, 0, 0]"/>
    <s v="LINESTRING (10.436422724276541 59.93481076876071, 10.436239283517587 59.93495772308885, 10.435804907998426 59.93519783871703, 10.434739678071557 59.9366779417261, 10.4348309892247 59.93668343750755)"/>
    <s v="[849380, 849356, 849364, 849372]"/>
    <s v="[824483, 824484, 824490, 824494]"/>
    <s v="0.04725072133695653"/>
    <s v="[824502, 824483, 824484, 824490]"/>
    <s v="[0.103, 0.082, 0.037, 0.01]"/>
    <s v="269.5661721092102"/>
    <s v="[0.103, 0.082, 0.037, 0.01]"/>
  </r>
  <r>
    <x v="2436"/>
    <x v="3027"/>
    <x v="0"/>
    <n v="0"/>
    <s v="LINESTRING (5.461151393091545 59.7488458643505, 5.46495904643079 59.749292725935106, 5.465028988363722 59.74931549723418, 5.465437863192224 59.74944424618531, 5.465581000049726 59.74956747049551, 5.465778778969541 59.74982645436807)"/>
    <s v="[849379, 849387, 849395, 849403, 849411]"/>
    <s v="[824501, 824507, 824512, 824520, 824526]"/>
    <s v="#FIELD!"/>
    <s v="[824500, 824501, 824507, 824512, 824520]"/>
    <s v="[0.033, 0.012, 0.002, 0.042, 0.055]"/>
    <s v="312.33437292363635"/>
    <s v="[-0.033, 0.012, -0.002, 0.042, 0.055]"/>
  </r>
  <r>
    <x v="2436"/>
    <x v="3027"/>
    <x v="0"/>
    <n v="0"/>
    <s v="LINESTRING (5.461151393091545 59.7488458643505, 5.464702430532062 59.74957919116491, 5.4650753169675985 59.749686046559646, 5.465320698368828 59.74973502769444, 5.465778778969541 59.74982645436807)"/>
    <s v="[1999344, 1999375, 1999383, 1999389]"/>
    <s v="[1752957, 1752972, 1752975, 824526]"/>
    <s v="#FIELD!"/>
    <s v="[824500, 1752957, 1752972, 1752975]"/>
    <s v="[0.029, 0.058, 0.071, 0.128]"/>
    <s v="286.64179423515554"/>
    <s v="[-0.029, -0.058, -0.071, 0.128]"/>
  </r>
  <r>
    <x v="2437"/>
    <x v="2640"/>
    <x v="0"/>
    <s v="[0, 0, 1, 0, 0]"/>
    <s v="LINESTRING (10.434802899308155 59.936768199363264, 10.434705875677516 59.93676683138955, 10.433751232985523 59.93649265829586, 10.433122326272343 59.936201304491604, 10.434250870622588 59.93582278667872, 10.434466032834473 59.93570222493584)"/>
    <s v="[849492, 849500, 849508, 849516, 1754624]"/>
    <s v="[824576, 824578, 824580, 824584, 824666]"/>
    <s v="#FIELD!"/>
    <s v="[824532, 824576, 824578, 824580, 824584]"/>
    <s v="[0.008, 0.045, 0.065, 0.007, 0.045]"/>
    <s v="385.8784483562647"/>
    <s v="[-0.008, -0.045, -0.065, -0.007, 0.045]"/>
  </r>
  <r>
    <x v="2438"/>
    <x v="3023"/>
    <x v="0"/>
    <s v="[0, 0, 0, 0, 0, 0, 0, 0, 1, 1, 0]"/>
    <s v="LINESTRING (10.459590280679281 59.924488847972135, 10.459299210860484 59.924655527936615, 10.459222466785727 59.924703765261924, 10.459077944775835 59.92478486455412, 10.43997994576451 59.93288743373255, 10.439789436282346 59.932962073124635, 10.438119687480194 59.9337202872282, 10.437510976976425 59.93404136119629, 10.436834771584467 59.93441080783815, 10.436424163881581 59.93462923817803, 10.435534874433893 59.935116797257685, 10.434466032834473 59.93570222493584)"/>
    <s v="[850542, 849556, 849564, 849572, 849580, 849588, 849596, 849604, 849612, 849620, 849628]"/>
    <s v="[824616, 824617, 824625, 824630, 824636, 824641, 824645, 824651, 824657, 824662, 824666]"/>
    <s v="0.022729740519309805"/>
    <s v="[825322, 824616, 824617, 824625, 824630, 824636, 824641, 824645, 824651, 824657, 824662]"/>
    <s v="[0.004, 0.002, 0.005, 0.015, 0.127, 0.028, 0.047, 0.081, 0.153, 0.096, 0.01]"/>
    <s v="1895.274838567252"/>
    <s v="[0.004, 0.002, 0.005, 0.015, -0.127, 0.028, 0.047, 0.081, 0.153, 0.096, 0.01]"/>
  </r>
  <r>
    <x v="2439"/>
    <x v="1387"/>
    <x v="0"/>
    <n v="0"/>
    <m/>
    <n v="849780"/>
    <n v="824789"/>
    <s v="0.105"/>
    <n v="336016"/>
    <s v="0.105"/>
    <s v="25.15884933771033"/>
    <s v="0.105"/>
  </r>
  <r>
    <x v="2440"/>
    <x v="3028"/>
    <x v="0"/>
    <n v="0"/>
    <s v="LINESTRING (10.460073691001964 59.92296512618849, 10.460032198052883 59.92299328335035, 10.459935596230348 59.923021068410655, 10.459827634902448 59.92302242552369, 10.4597449864792 59.92300258584339, 10.459671076863337 59.92295398075504, 10.459669004009898 59.922874632018875, 10.459710640183197 59.92284111082129, 10.459808779717868 59.922807848010045, 10.459925562754977 59.9228018488421, 10.460016491417562 59.922826632646334)"/>
    <s v="[850181, 850189, 850197, 850205, 850213, 850221, 850229, 850237, 850245, 850253]"/>
    <s v="[824925, 825059, 824941, 824958, 825076, 824990, 824994, 825092, 825020, 825033]"/>
    <s v="#FIELD!"/>
    <s v="[825050, 824925, 825059, 824941, 824958, 825076, 824990, 824994, 825092, 825020]"/>
    <s v="[0.007, 0.017, 0.041, 0.053, 0.048, 0.03, 0.002, 0.02, 0.038, 0.053]"/>
    <s v="60.34664972425797"/>
    <s v="[-0.007, -0.017, -0.041, -0.053, -0.048, -0.03, -0.002, 0.02, 0.038, 0.053]"/>
  </r>
  <r>
    <x v="2441"/>
    <x v="3023"/>
    <x v="0"/>
    <n v="0"/>
    <s v="LINESTRING (10.459590280679281 59.924488847972135, 10.459658312778624 59.92438999159735, 10.460162172616892 59.922932923955464, 10.460073691001964 59.92296512618849)"/>
    <s v="[850550, 850165, 850173]"/>
    <s v="[825045, 825046, 825050]"/>
    <s v="#FIELD!"/>
    <s v="[825322, 825045, 825046]"/>
    <s v="[0.019, 0.014, 0.013]"/>
    <s v="291.36020821571003"/>
    <s v="[-0.019, -0.014, -0.013]"/>
  </r>
  <r>
    <x v="2442"/>
    <x v="3029"/>
    <x v="0"/>
    <n v="0"/>
    <s v="LINESTRING (11.298100287789504 63.73215185008481, 11.30522982135302 63.73240047935683, 11.30689631673029 63.73246080150937, 11.31652307262012 63.733288253818614, 11.316612469119454 63.73330932077984, 11.324661736402383 63.73668492354936, 11.32893591214611 63.73741466544243, 11.335249833830023 63.73854296905017, 11.335796458684676 63.738596549787616, 11.338727614584553 63.73874342570377, 11.338894692067397 63.73875484380681, 11.338988352554823 63.738761403144636, 11.339105810274912 63.738769627668496)"/>
    <s v="[851314, 851322, 851330, 851338, 851346, 851354, 851458, 851466, 851474, 851482, 851490, 851498]"/>
    <s v="[826027, 826033, 826044, 826053, 826062, 826070, 826162, 826168, 826175, 826178, 826185, 826188]"/>
    <s v="0.013957048439768544"/>
    <s v="[825880, 826027, 826033, 826044, 826053, 826062, 826070, 826162, 826168, 826175, 826178, 826185]"/>
    <s v="[0.018, 0.036, 0.02, 0.019, 0.013, 0.017, 0.034, 0.046, 0.043, 0.043, 0.048, 0.046]"/>
    <s v="2238.2064368852693"/>
    <s v="[-0.018, -0.036, 0.02, -0.019, 0.013, 0.017, 0.034, 0.046, 0.043, 0.043, 0.048, 0.046]"/>
  </r>
  <r>
    <x v="2443"/>
    <x v="2279"/>
    <x v="0"/>
    <n v="0"/>
    <s v="LINESTRING (11.335201770617882 63.738602236579055, 11.335741719283355 63.738658513991176, 11.338813188518847 63.73881523906779, 11.33902247687919 63.73882990463899, 11.3399724553894 63.73891677048709, 11.340863810013504 63.73902836010805, 11.342751353023342 63.7393716161528, 11.343591800639494 63.73957150786372)"/>
    <s v="[851193, 851201, 851209, 851217, 851225, 851233, 851241]"/>
    <s v="[825908, 825912, 825922, 825929, 825936, 825944, 825953]"/>
    <s v="0.03679882283522449"/>
    <s v="[825888, 825908, 825912, 825922, 825929, 825936, 825944]"/>
    <s v="[0.045, 0.042, 0.043, 0.042, 0.037, 0.029, 0.025]"/>
    <s v="432.19186874121465"/>
    <s v="[0.045, 0.042, 0.043, 0.042, 0.037, 0.029, 0.025]"/>
  </r>
  <r>
    <x v="2444"/>
    <x v="3030"/>
    <x v="0"/>
    <n v="0"/>
    <s v="LINESTRING (11.343591800639494 63.73957150786372, 11.343415455201308 63.739554235105494, 11.34110050570118 63.73910613230496, 11.340719706054589 63.739088720260895, 11.340313215301556 63.73916385202519, 11.339978957847496 63.73930686200366, 11.339721059120839 63.73936433809522, 11.338434440162178 63.73927397982405, 11.338258438701523 63.739233418926645, 11.3381981561949 63.73921953102959)"/>
    <s v="[851289, 851273, 851281, 597780, 597788, 597796, 597804, 1380680, 1380688]"/>
    <s v="[825987, 825988, 601042, 601043, 601050, 543939, 601062, 1270329, 532023]"/>
    <s v="#FIELD!"/>
    <s v="[825953, 825987, 825988, 601042, 601043, 601050, 543939, 601062, 1270329]"/>
    <s v="[0.041, 0.027, 0.036, 0.032, 0.022, 0.024, 0.033, 0.504, 0.038]"/>
    <s v="291.20745940191"/>
    <s v="[-0.041, -0.027, -0.036, -0.032, -0.022, -0.024, -0.033, -0.504, -0.038]"/>
  </r>
  <r>
    <x v="2445"/>
    <x v="3029"/>
    <x v="0"/>
    <n v="0"/>
    <s v="LINESTRING (11.339105810274912 63.738769627668496, 11.34005514063812 63.738855533050206, 11.340944908884916 63.73896824101378, 11.34282934740976 63.739312738084706, 11.343662978432675 63.739517182665, 11.344132286086188 63.73965101220638)"/>
    <s v="[851506, 851514, 851522, 851530, 851538]"/>
    <s v="[826192, 826197, 826206, 826211, 825976]"/>
    <s v="0.032530790438534574"/>
    <s v="[826188, 826192, 826197, 826206, 826211]"/>
    <s v="[0.043, 0.037, 0.029, 0.026, 0.031]"/>
    <s v="268.93103148483925"/>
    <s v="[0.043, 0.037, 0.029, 0.026, 0.031]"/>
  </r>
  <r>
    <x v="2445"/>
    <x v="3031"/>
    <x v="0"/>
    <n v="0"/>
    <s v="LINESTRING (11.34046833846999 63.73774833524481, 11.34046833846999 63.73774833524481, 11.341310863343391 63.738985949251685, 11.344074743028354 63.739598666622676, 11.344132286086188 63.73965101220638)"/>
    <s v="[1380624, 1380632, 1380640, 851265]"/>
    <s v="[1270298, 1270303, 825975, 825976]"/>
    <s v="0.021185866679103185"/>
    <s v="[532078, 1270298, 1270303, 825975]"/>
    <s v="[0.0, 0.001, 0.045, 0.005]"/>
    <s v="334.45260565698817"/>
    <s v="[0.0, 0.001, 0.045, 0.005]"/>
  </r>
  <r>
    <x v="2446"/>
    <x v="3032"/>
    <x v="0"/>
    <n v="0"/>
    <s v="LINESTRING (11.339105810274912 63.738769627668496, 11.339351810644745 63.738760461943635, 11.340363057113647 63.737824516584546, 11.34032808171108 63.73781552281636, 11.340283135642728 63.7378039663721)"/>
    <s v="[851554, 1380648, 1380656, 1380664]"/>
    <s v="[826229, 1270313, 1270319, 532072]"/>
    <s v="0.0063942467426495"/>
    <s v="[826188, 826229, 1270313, 1270319]"/>
    <s v="[0.042, 0.005, 0.043, 0.044]"/>
    <s v="164.59430705091063"/>
    <s v="[0.042, 0.005, -0.043, -0.044]"/>
  </r>
  <r>
    <x v="2447"/>
    <x v="3033"/>
    <x v="0"/>
    <s v="[0, 0, 1, 0, 0, 0, 0, 0, 0, 0]"/>
    <s v="LINESTRING (13.360603613000848 65.15512635265708, 13.360736344322765 65.15518849156467, 13.361136006868119 65.15537744555714, 13.361434674678572 65.15552071691224, 13.362483395279119 65.15610661727867, 13.362537504294446 65.15614189601519, 13.362626656313298 65.15620194211587, 13.362657258172623 65.15622295436867, 13.363326227841338 65.15676890316736, 13.363392862812569 65.15683293039923, 13.36397886729844 65.1574643103528)"/>
    <s v="[851950, 851958, 851966, 851974, 851982, 851990, 851998, 852006, 852014, 852022]"/>
    <s v="[826468, 826476, 826482, 826488, 428857, 428873, 826501, 826506, 826511, 826239]"/>
    <s v="0.004075545988278075"/>
    <s v="[826237, 826468, 826476, 826482, 826488, 428857, 428873, 826501, 826506, 826511]"/>
    <s v="[0.05, 0.004, 0.002, 0.001, 0.003, 0.001, 0.001, 0.005, 0.007, 0.027]"/>
    <s v="307.6864744262614"/>
    <s v="[-0.05, 0.004, 0.002, -0.001, 0.003, -0.001, -0.001, -0.005, -0.007, 0.027]"/>
  </r>
  <r>
    <x v="2447"/>
    <x v="3033"/>
    <x v="0"/>
    <s v="[0, 0, 1, 0, 0, 0, 0, 0, 0]"/>
    <s v="LINESTRING (13.360603613000848 65.15512635265708, 13.360758323957198 65.15517909254834, 13.361212868019718 65.15534961890782, 13.361531538291976 65.1554854528618, 13.36263632137111 65.15606458685441, 13.362695652123783 65.15609995840988, 13.362791285643665 65.15615696978998, 13.362828802058186 65.15617934086933, 13.36349838809096 65.15673748361934, 13.36397886729844 65.1574643103528)"/>
    <s v="[852030, 852038, 852046, 852054, 852062, 852070, 852078, 852086, 852094]"/>
    <s v="[826521, 826525, 826534, 826542, 428858, 428874, 826565, 826573, 826239]"/>
    <s v="0.004154679321663798"/>
    <s v="[826237, 826521, 826525, 826534, 826542, 428858, 428874, 826565, 826573]"/>
    <s v="[0.047, 0.006, 0.003, 0.001, 0.001, 0.001, 0.002, 0.005, 0.021]"/>
    <s v="311.7494880606324"/>
    <s v="[-0.047, 0.006, 0.003, 0.001, -0.001, -0.001, 0.002, -0.005, 0.021]"/>
  </r>
  <r>
    <x v="2447"/>
    <x v="2464"/>
    <x v="245"/>
    <n v="0"/>
    <s v="LINESTRING (13.270200587193695 65.02982159516019, 13.360603613000848 65.15512635265708)"/>
    <m/>
    <m/>
    <s v="0.0"/>
    <m/>
    <n v="0"/>
    <s v="14367.622670773006"/>
    <n v="0"/>
  </r>
  <r>
    <x v="2448"/>
    <x v="3034"/>
    <x v="0"/>
    <n v="0"/>
    <s v="LINESTRING (13.36397886729844 65.1574643103528, 13.368327193830089 65.16404137179455, 13.368908673443311 65.16708361124903)"/>
    <s v="[851574, 851630]"/>
    <s v="[428946, 826281]"/>
    <s v="0.0037730828623255466"/>
    <s v="[826239, 428946]"/>
    <s v="[0.005, 0.001]"/>
    <s v="1109.2881068147656"/>
    <s v="[0.005, 0.001]"/>
  </r>
  <r>
    <x v="2449"/>
    <x v="2668"/>
    <x v="0"/>
    <n v="0"/>
    <s v="LINESTRING (13.368908673443311 65.16708361124903, 13.368986370690013 65.16716693523965, 13.36900986718012 65.1672329948348, 13.3692608235777 65.16839244794764, 13.369261157166825 65.1684300924805, 13.36926188958665 65.16850154097912, 13.369260165443755 65.16852751368245, 13.369225596301504 65.16913728163628, 13.369317687774846 65.16994175465923)"/>
    <s v="[851678, 851686, 851694, 851702, 851710, 851718, 851726, 851734]"/>
    <s v="[826310, 826315, 826324, 826329, 826337, 826341, 826345, 826286]"/>
    <s v="0.0025025122202821395"/>
    <s v="[826281, 826310, 826315, 826324, 826329, 826337, 826341, 826345]"/>
    <s v="[0.013, 0.039, 0.004, 0.001, 0.001, 0.001, 0.001, 0.004]"/>
    <s v="320.1777791940495"/>
    <s v="[0.013, -0.039, 0.004, 0.001, 0.001, 0.001, 0.001, 0.004]"/>
  </r>
  <r>
    <x v="2449"/>
    <x v="2668"/>
    <x v="0"/>
    <n v="0"/>
    <s v="LINESTRING (13.368908673443311 65.16708361124903, 13.36892925069424 65.16723640890568, 13.369076352058794 65.1683914041723, 13.369075324731176 65.16842861209973, 13.369071942977195 65.16850100314852, 13.369070737172862 65.1685258326901, 13.369044435755804 65.16913785342413, 13.369043642088135 65.16920460042222, 13.369317687774846 65.16994175465923)"/>
    <s v="[851742, 851750, 851758, 851766, 851774, 851782, 851790, 851798]"/>
    <s v="[826352, 826357, 826360, 826368, 826373, 826376, 826382, 826286]"/>
    <s v="0.002185126957556886"/>
    <s v="[826281, 826352, 826357, 826360, 826368, 826373, 826376, 826382]"/>
    <s v="[0.018, 0.002, 0.002, 0.001, 0.002, 0.001, 0.001, 0.008]"/>
    <s v="320.07029241240565"/>
    <s v="[-0.018, 0.002, 0.002, -0.001, 0.002, 0.001, 0.001, 0.008]"/>
  </r>
  <r>
    <x v="2450"/>
    <x v="1774"/>
    <x v="0"/>
    <s v="[0, 1, 1, 0, 0, 0, 0, 0, 1, 0, 0, 0, 1, 0, 0, 0, 1, 0, 0, 0, 0, 0, 0, 0, 0, 0, 1, 1, 0, 0, 0, 0]"/>
    <s v="LINESTRING (10.703179184989473 59.443608516697246, 10.701552017223149 59.445093756439704, 10.70138048153851 59.445255376454746, 10.70108757900043 59.44553174742589, 10.700586222059004 59.44602835445511, 10.700182037555857 59.4464807025609, 10.699290087171748 59.447921798686096, 10.699074096446624 59.448633357018046, 10.699769342421416 59.4518091562722, 10.699912893116505 59.4520946730928, 10.700717778033587 59.4553459530513, 10.698382002028419 59.460717634363085, 10.70077621150046 59.47034546722146, 10.700837359708407 59.47056746880288, 10.700888237868858 59.47075381033464, 10.700946171485493 59.470962478291156, 10.702569462530887 59.47684783326968, 10.702626766668718 59.47705312510539, 10.70663728620985 59.48517074662205, 10.707733365655342 59.486497937535596, 10.709449618916405 59.48858686814652, 10.71004780426824 59.48937176700166, 10.711105665710184 59.49095408850848, 10.711595549010232 59.49192623389692, 10.711741680222158 59.49222489950414, 10.71213486298777 59.493141440660814, 10.71965571413603 59.50722450480195, 10.720108990610148 59.50936336705553, 10.720402799393856 59.51013527757137, 10.720818207242084 59.51095762545121, 10.721478420848486 59.51205871872484, 10.722021121505849 59.51284483075422, 10.722110348891427 59.51297274428082)"/>
    <s v="[1671654, 1671662, 1671670, 1671678, 1671686, 1671694, 1671702, 1671710, 1671718, 1671726, 1671734, 1671742, 1671750, 1671758, 1671766, 1671774, 1671782, 1671790, 1671798, 1671806, 1671814, 1557519, 1557527, 1557535, 1557543, 1557551, 1557559, 1557567, 1557575, 1557583, 1557591, 1557599]"/>
    <s v="[1499303, 1499311, 1499319, 1499328, 1499333, 1499342, 1499351, 1499356, 1499367, 1499374, 1499382, 1499392, 1499399, 1499405, 1499413, 1499421, 1499433, 1499440, 1499448, 1499457, 1405258, 1405259, 1405264, 1405272, 1405276, 1405281, 1405287, 1405293, 1405299, 1405303, 1405309, 1363657]"/>
    <s v="#FIELD!"/>
    <s v="[829200, 1499303, 1499311, 1499319, 1499328, 1499333, 1499342, 1499351, 1499356, 1499367, 1499374, 1499382, 1499392, 1499399, 1499405, 1499413, 1499421, 1499433, 1499440, 1499448, 1499457, 1405258, 1405259, 1405264, 1405272, 1405276, 1405281, 1405287, 1405293, 1405299, 1405303, 1405309]"/>
    <s v="[0.037, 0.052, 0.027, 0.013, 0.047, 0.019, 0.023, 0.006, 0.053, 0.02, 0.001, 0.018, 0.007, 0.009, 0.012, 0.003, 0.024, 0.004, 0.007, 0.03, 0.009, 0.0, 0.01, 0.007, 0.008, 0.01, 0.019, 0.054, 0.036, 0.02, 0.018, 0.009]"/>
    <s v="7999.416445264871"/>
    <s v="[-0.037, -0.052, -0.027, 0.013, 0.047, 0.019, -0.023, 0.006, 0.053, 0.02, -0.001, -0.018, -0.007, -0.009, -0.012, 0.003, -0.024, 0.004, 0.007, 0.03, -0.009, 0.0, 0.01, 0.007, -0.008, -0.01, 0.019, 0.054, -0.036, -0.02, -0.018, 0.009]"/>
  </r>
  <r>
    <x v="2450"/>
    <x v="3035"/>
    <x v="0"/>
    <s v="[0, 0, 1, 1, 0, 0]"/>
    <s v="LINESTRING (10.69993108041743 59.44556393777614, 10.699932307269426 59.44560983886278, 10.700966328221337 59.44554446696075, 10.70126264790106 59.44526108700076, 10.70142305852778 59.44510850633255, 10.702964549509304 59.443717300563726, 10.703179184989473 59.443608516697246)"/>
    <s v="[1675396, 1675404, 1675412, 1675420, 1675428, 855295]"/>
    <s v="[1502607, 1502611, 1502618, 1502622, 829199, 829200]"/>
    <s v="0.017401605922083084"/>
    <s v="[1502606, 1502607, 1502611, 1502618, 1502622, 829199]"/>
    <s v="[0.03, 0.022, 0.023, 0.041, 0.037, 0.011]"/>
    <s v="351.6126196660453"/>
    <s v="[-0.03, -0.022, 0.023, 0.041, 0.037, 0.011]"/>
  </r>
  <r>
    <x v="2451"/>
    <x v="3036"/>
    <x v="0"/>
    <n v="0"/>
    <s v="LINESTRING (10.705714639126612 59.4409089434255, 10.705700055905128 59.441087642750844, 10.704370819360271 59.44518450749935, 10.704389306656859 59.44524776551585)"/>
    <s v="[855303, 1675380, 1675388]"/>
    <s v="[829209, 1502592, 1502600]"/>
    <s v="#FIELD!"/>
    <s v="[829208, 829209, 1502592]"/>
    <s v="[0.01, 0.041, 0.043]"/>
    <s v="504.11399997862725"/>
    <s v="[0.01, -0.041, -0.043]"/>
  </r>
  <r>
    <x v="2451"/>
    <x v="3037"/>
    <x v="0"/>
    <s v="[0, 0, 0, 0, 1, 1, 0]"/>
    <s v="LINESTRING (10.705714639126612 59.4409089434255, 10.705045055085641 59.4419593788167, 10.703544295031314 59.44357866069866, 10.701958936213249 59.44501225519118, 10.701834799300618 59.445127590075685, 10.701670110138519 59.44528119918404, 10.70135444698039 59.44557564132896, 10.700864381782333 59.446062766029556)"/>
    <s v="[1697831, 1697839, 1697847, 1697855, 1697863, 1697871, 1697879]"/>
    <s v="[1518161, 1518164, 1518169, 1518174, 1518177, 1518182, 1160005]"/>
    <s v="#FIELD!"/>
    <s v="[829208, 1518161, 1518164, 1518169, 1518174, 1518177, 1518182]"/>
    <s v="[0.026, 0.015, 0.047, 0.073, 0.057, 0.038, 0.049]"/>
    <s v="638.7354140995308"/>
    <s v="[-0.026, -0.015, -0.047, -0.073, -0.057, -0.038, 0.049]"/>
  </r>
  <r>
    <x v="2452"/>
    <x v="195"/>
    <x v="0"/>
    <s v="[1, 1, 0]"/>
    <s v="LINESTRING (11.415983778383593 63.9690674670068, 11.416062732200391 63.969056544287064, 11.416788134281065 63.96895491152405, 11.416881031886856 63.96894319206204)"/>
    <s v="[857416, 857424, 857432]"/>
    <s v="[831137, 831142, 830992]"/>
    <s v="0.03958907411564812"/>
    <s v="[830975, 831137, 831142]"/>
    <s v="[0.04, 0.04, 0.036]"/>
    <s v="46.08515161721369"/>
    <s v="[0.04, 0.04, 0.036]"/>
  </r>
  <r>
    <x v="2453"/>
    <x v="3038"/>
    <x v="0"/>
    <n v="0"/>
    <s v="LINESTRING (5.342836073977552 60.36079395738974, 5.342858259992511 60.36083321948151, 5.3432509585092625 60.361528477244846, 5.343377424629812 60.36179086902928, 5.343439695448873 60.3620389248834, 5.343469123811318 60.36240089477574, 5.343171342066473 60.36382140390488, 5.343177828768509 60.36386291674831)"/>
    <s v="[858348, 858356, 858364, 858372, 858380, 858388, 858396]"/>
    <s v="[831899, 831903, 831907, 831912, 831916, 831924, 831928]"/>
    <s v="0.005564549425975635"/>
    <s v="[831898, 831899, 831903, 831907, 831912, 831916, 831924]"/>
    <s v="[0.016, 0.007, 0.014, 0.012, 0.003, 0.014, 0.012]"/>
    <s v="348.5900576838979"/>
    <s v="[0.016, 0.007, -0.014, -0.012, -0.003, 0.014, -0.012]"/>
  </r>
  <r>
    <x v="2453"/>
    <x v="3039"/>
    <x v="0"/>
    <n v="0"/>
    <s v="LINESTRING (5.342836073977552 60.36079395738974, 5.342934747944422 60.36083390263083, 5.343540257636482 60.362059777899525, 5.3435507231732675 60.3620927360631)"/>
    <s v="[858412, 858516, 858524]"/>
    <s v="[831944, 832036, 832043]"/>
    <s v="#FIELD!"/>
    <s v="[831898, 831944, 832036]"/>
    <s v="[0.037, 0.003, 0.016]"/>
    <s v="152.16275011891946"/>
    <s v="[-0.037, -0.003, -0.016]"/>
  </r>
  <r>
    <x v="2453"/>
    <x v="3040"/>
    <x v="0"/>
    <n v="0"/>
    <s v="LINESTRING (5.3404414589390035 60.356105709865844, 5.340432199552489 60.356183922860986, 5.340861571459595 60.35723566194036, 5.3411548094969525 60.357776160166594, 5.342836073977552 60.36079395738974)"/>
    <s v="[2014661, 2014669, 2014677, 2014685]"/>
    <s v="[1761500, 1761504, 1761507, 831898]"/>
    <s v="0.012151856888434188"/>
    <s v="[1757396, 1761500, 1761504, 1761507]"/>
    <s v="[0.089, 0.014, 0.018, 0.013]"/>
    <s v="541.9695864557352"/>
    <s v="[-0.089, 0.014, 0.018, 0.013]"/>
  </r>
  <r>
    <x v="2454"/>
    <x v="122"/>
    <x v="246"/>
    <n v="0"/>
    <s v="LINESTRING (5.343177828768509 60.36386291674831, 5.342931950360582 60.365014048743035, 5.3428905353556 60.365134815345044, 5.341989739928337 60.36677573014478, 5.340529302968229 60.370325686689135, 5.340438405370732 60.37071563925457, 5.340433942571909 60.37073375537081, 5.3402771399259015 60.37140486044219, 5.340074678630314 60.37219267708392, 5.339931683099202 60.372723192098924, 5.339861101116487 60.37330233920449, 5.339872359783956 60.373478007384904, 5.3398885320618055 60.373546759750276, 5.340023922768391 60.37413577861797, 5.340028727025751 60.37415301794519, 5.34012714514515 60.37459991448672, 5.3401287169061575 60.37467962720216, 5.340105837370333 60.37481181962524, 5.339983791481926 60.37492881421891, 5.33886462995912 60.37641068531062, 5.338839237646918 60.37652534509161, 5.338797546553711 60.376573757584254, 5.338767708403636 60.37660512903838, 5.33788254824118 60.37743393738899, 5.337564667383068 60.37770280467612, 5.337453848217863 60.377794823709046)"/>
    <s v="[2014693, 2014701, 2014709, 2014717, 2014725, 2014733, 2014741, 2014749, 2014757, 2014765, 2014773, 2014781, 2014789, 2014797, 2014805, 2014813, 2014821, 2014829, 2014837, 2014845, 2014853, 2014861, 2014869, 2014877, 2014885]"/>
    <s v="[1761516, 1761521, 1761526, 1761532, 1761537, 1761541, 1603472, 1761551, 1758005, 1758276, 1761564, 1761570, 1761575, 1761581, 1761587, 1761594, 1761599, 1761604, 1761610, 1761615, 1761619, 1761624, 1761629, 1761633, 1761636]"/>
    <s v="#FIELD!"/>
    <s v="[831928, 1761516, 1761521, 1761526, 1761532, 1761537, 1761541, 1603472, 1761551, 1758005, 1758276, 1761564, 1761570, 1761575, 1761581, 1761587, 1761594, 1761599, 1761604, 1761610, 1761615, 1761619, 1761624, 1761629, 1761633]"/>
    <s v="[0.031, 0.014, 0.001, 0.004, 0.007, 0.023, 0.004, 0.031, 0.03, 0.008, 0.01, 0.012, 0.018, 0.025, 0.043, 0.043, 0.041, 0.033, 0.016, 0.019, 0.022, 0.032, 0.031, 0.005, 0.021]"/>
    <s v="1609.039824489847"/>
    <s v="[-0.031, 0.014, -0.001, -0.004, 0.007, 0.023, -0.004, -0.031, -0.03, -0.008, -0.01, -0.012, -0.018, -0.025, -0.043, -0.043, -0.041, -0.033, -0.016, -0.019, -0.022, -0.032, 0.031, -0.005, -0.021]"/>
  </r>
  <r>
    <x v="2454"/>
    <x v="3041"/>
    <x v="0"/>
    <n v="0"/>
    <s v="LINESTRING (5.3435885727169605 60.362340269103186, 5.343579945510735 60.36239185447573, 5.343215620550503 60.36382338123127, 5.343177828768509 60.36386291674831)"/>
    <s v="[858420, 858428, 858404]"/>
    <s v="[831951, 831936, 831928]"/>
    <s v="0.016917469083712035"/>
    <s v="[831950, 831951, 831936]"/>
    <s v="[0.012, 0.016, 0.053]"/>
    <s v="171.93143264020293"/>
    <s v="[0.012, 0.016, 0.053]"/>
  </r>
  <r>
    <x v="2455"/>
    <x v="3042"/>
    <x v="0"/>
    <n v="0"/>
    <s v="LINESTRING (5.3435885727169605 60.362340269103186, 5.343453966273546 60.36235808648723, 5.34333146257963 60.36234423702429, 5.34329652580698 60.36233434208954)"/>
    <s v="[2007520, 2007528, 2007536]"/>
    <s v="[1757443, 1757450, 831967]"/>
    <s v="0.10844258123977492"/>
    <s v="[831950, 1757443, 1757450]"/>
    <s v="[0.115, 0.109, 0.084]"/>
    <s v="16.89674735851759"/>
    <s v="[0.115, 0.109, 0.084]"/>
  </r>
  <r>
    <x v="2455"/>
    <x v="3039"/>
    <x v="0"/>
    <n v="0"/>
    <s v="LINESTRING (5.3435507231732675 60.3620927360631, 5.343655500680308 60.362127727727476, 5.343710454137498 60.36217118992439, 5.343728598194388 60.3622296840574, 5.3435885727169605 60.362340269103186)"/>
    <s v="[2007488, 2007496, 2007504, 2007512]"/>
    <s v="[1757426, 1757429, 1757436, 831950]"/>
    <s v="#FIELD!"/>
    <s v="[832043, 1757426, 1757429, 1757436]"/>
    <s v="[0.099, 0.054, 0.018, 0.06]"/>
    <s v="34.39621469242532"/>
    <s v="[-0.099, -0.054, -0.018, 0.06]"/>
  </r>
  <r>
    <x v="2456"/>
    <x v="3043"/>
    <x v="0"/>
    <n v="0"/>
    <s v="LINESTRING (5.34329652580698 60.36233434208954, 5.343226964430368 60.362300663688146, 5.343192215572341 60.36226781696854, 5.3431773130620615 60.36220458537548, 5.343288386094356 60.36211024131214)"/>
    <s v="[2007544, 2007552, 2007560, 2007568]"/>
    <s v="[1753256, 1757460, 1756307, 832056]"/>
    <s v="0.0008316638296821671"/>
    <s v="[831967, 1753256, 1757460, 1756307]"/>
    <s v="[0.081, 0.06, 0.007, 0.057]"/>
    <s v="29.10740259249374"/>
    <s v="[0.081, 0.06, 0.007, -0.057]"/>
  </r>
  <r>
    <x v="2456"/>
    <x v="3044"/>
    <x v="0"/>
    <n v="0"/>
    <s v="LINESTRING (5.34305289155404 60.363857870824276, 5.343029364874883 60.36381092178829, 5.343285788477593 60.36239305419283, 5.34329652580698 60.36233434208954)"/>
    <s v="[858532, 858436, 858444]"/>
    <s v="[831961, 831962, 831967]"/>
    <s v="#FIELD!"/>
    <s v="[832028, 831961, 831962]"/>
    <s v="[0.022, 0.012, 0.011]"/>
    <s v="171.08960159710176"/>
    <s v="[0.022, -0.012, -0.011]"/>
  </r>
  <r>
    <x v="2457"/>
    <x v="3044"/>
    <x v="0"/>
    <n v="0"/>
    <s v="LINESTRING (5.342706098113458 60.3608045421925, 5.34272562412151 60.360843600387035, 5.342922793135715 60.36113416546727, 5.3431610219454875 60.36154182399842, 5.343279151572628 60.36180241123722, 5.343345647125207 60.36205790420672, 5.343362156588397 60.362408706818144, 5.343063142082844 60.36381375799717, 5.34305289155404 60.363857870824276)"/>
    <s v="[858452, 858460, 858468, 858476, 858484, 858492, 858500, 858508]"/>
    <s v="[831977, 831984, 831992, 831998, 832004, 832014, 832019, 832028]"/>
    <s v="0.006028273106896773"/>
    <s v="[831976, 831977, 831984, 831992, 831998, 832004, 832014, 832019]"/>
    <s v="[0.019, 0.008, 0.005, 0.013, 0.014, 0.0, 0.014, 0.015]"/>
    <s v="347.1958022311477"/>
    <s v="[0.019, 0.008, 0.005, -0.013, -0.014, -0.0, 0.014, 0.015]"/>
  </r>
  <r>
    <x v="2457"/>
    <x v="3043"/>
    <x v="0"/>
    <n v="0"/>
    <s v="LINESTRING (5.343288386094356 60.36211024131214, 5.343278276067586 60.36207034442929, 5.342890104684684 60.361229946229024, 5.342690399859952 60.36084861761476, 5.342706098113458 60.3608045421925)"/>
    <s v="[858548, 858556, 858564, 858572]"/>
    <s v="[832057, 832063, 832069, 831976]"/>
    <s v="#FIELD!"/>
    <s v="[832056, 832057, 832063, 832069]"/>
    <s v="[0.012, 0.007, 0.014, 0.065]"/>
    <s v="149.92775861117116"/>
    <s v="[0.012, 0.007, -0.014, -0.065]"/>
  </r>
  <r>
    <x v="2457"/>
    <x v="3045"/>
    <x v="0"/>
    <n v="0"/>
    <s v="LINESTRING (5.340219186419973 60.35608580159072, 5.340200442832889 60.356154075372956, 5.340709803248921 60.357214409192366, 5.340730373835292 60.35725484692415, 5.341025054400592 60.35779393167722, 5.342706098113458 60.3608045421925)"/>
    <s v="[2020163, 2020171, 2020179, 2020187, 2020195]"/>
    <s v="[1764919, 1764925, 1762191, 1764936, 831976]"/>
    <s v="0.012294879560056466"/>
    <s v="[1757406, 1764919, 1764925, 1762191, 1764936]"/>
    <s v="[0.031, 0.038, 0.022, 0.011, 0.003]"/>
    <s v="545.892753263344"/>
    <s v="[0.031, 0.038, 0.022, 0.011, 0.003]"/>
  </r>
  <r>
    <x v="2458"/>
    <x v="121"/>
    <x v="0"/>
    <n v="0"/>
    <s v="LINESTRING (5.34305289155404 60.363857870824276, 5.342823150189019 60.36502595058618, 5.340405356567544 60.370319319103665, 5.3403096139914465 60.37070659207087, 5.340305090841453 60.37072460426769, 5.340154661953509 60.37139185271306, 5.339956904120701 60.37217418882853, 5.33980490712709 60.372697531757716, 5.339693881080368 60.37347008652139, 5.339833171093087 60.37412808055779, 5.3398400831343045 60.37414865822877, 5.3397887047957795 60.37488456372513, 5.338673267410953 60.37638383799278, 5.338609532767639 60.37646871557565, 5.338564735727023 60.37651590545718, 5.338531560032806 60.3765462182494, 5.337629502639528 60.37736736492077, 5.337316785113271 60.377646089426385, 5.336928155772498 60.37796188972192, 5.33674387487545 60.37811933997587)"/>
    <s v="[2020203, 2020211, 2020219, 2020227, 2020235, 2020243, 2020251, 2020259, 2020267, 2020275, 2020283, 2020291, 2020299, 2020307, 2020315, 2020323, 2020331, 2020339, 2020347]"/>
    <s v="[1757993, 1764951, 1764956, 1764963, 1603471, 1757997, 1764978, 1762151, 1764985, 1764990, 1764994, 1765000, 1765007, 1765014, 1765019, 1765024, 1765030, 1765035, 1757075]"/>
    <s v="#FIELD!"/>
    <s v="[832028, 1757993, 1764951, 1764956, 1764963, 1603471, 1757997, 1764978, 1762151, 1764985, 1764990, 1764994, 1765000, 1765007, 1765014, 1765019, 1765024, 1765030, 1765035]"/>
    <s v="[0.007, 0.005, 0.019, 0.015, 0.022, 0.026, 0.028, 0.026, 0.029, 0.03, 0.026, 0.026, 0.025, 0.014, 0.01, 0.02, 0.057, 0.083, 0.1]"/>
    <s v="1653.373472103833"/>
    <s v="[-0.007, -0.005, -0.019, -0.015, -0.022, -0.026, -0.028, -0.026, -0.029, -0.03, -0.026, 0.026, 0.025, 0.014, 0.01, -0.02, -0.057, -0.083, -0.1]"/>
  </r>
  <r>
    <x v="2459"/>
    <x v="3043"/>
    <x v="0"/>
    <n v="0"/>
    <s v="LINESTRING (5.343288386094356 60.36211024131214, 5.3434150194502115 60.36208487533924, 5.343452252901139 60.36208371353007, 5.3435507231732675 60.3620927360631)"/>
    <s v="[2007576, 2007584, 2007592]"/>
    <s v="[1757472, 1757478, 832043]"/>
    <s v="#FIELD!"/>
    <s v="[832056, 1757472, 1757478]"/>
    <s v="[0.11, 0.092, 0.114]"/>
    <s v="15.170568751559522"/>
    <s v="[-0.11, -0.092, -0.114]"/>
  </r>
  <r>
    <x v="2460"/>
    <x v="3046"/>
    <x v="247"/>
    <s v="[0, 0, 0, 0, 0, 0, 1, 1, 0]"/>
    <s v="LINESTRING (9.958795281235497 59.065284843170865, 9.955452275751538 59.06629922017993, 9.948912046463688 59.06818471715293, 9.939160396835204 59.0708460646979, 9.938923556285268 59.070912151674754, 9.935152834006503 59.07189461718142, 9.925006294578877 59.07278362680077, 9.924848815422251 59.07278878641302, 9.919627032522145 59.072964813054256, 9.918931018241336 59.07298826300685)"/>
    <s v="[860237, 860245, 860253, 860261, 860269, 860445, 860453, 860461, 860469]"/>
    <s v="[833502, 833506, 833514, 833519, 833527, 833703, 833707, 833712, 833567]"/>
    <s v="0.003816447859791997"/>
    <s v="[833343, 833502, 833506, 833514, 833519, 833527, 833703, 833707, 833712]"/>
    <s v="[0.084, 0.068, 0.006, 0.202, 0.013, 0.022, 0.44, 0.087, 0.213]"/>
    <s v="2488.1530169259086"/>
    <s v="[0.084, 0.068, -0.006, 0.202, -0.013, -0.022, -0.44, -0.087, 0.213]"/>
  </r>
  <r>
    <x v="2460"/>
    <x v="3047"/>
    <x v="0"/>
    <n v="0"/>
    <s v="LINESTRING (9.973111180698842 59.06456493546581, 9.972559687425234 59.06449514735354, 9.966237370657304 59.0642490835484, 9.965547352755928 59.06428266648254, 9.964217029937641 59.06438150947827, 9.959713084285156 59.06507020721575, 9.958795281235497 59.065284843170865)"/>
    <s v="[860149, 860157, 860165, 860173, 860181, 860189]"/>
    <s v="[833424, 833432, 833440, 833445, 833453, 833343]"/>
    <s v="#FIELD!"/>
    <s v="[833417, 833424, 833432, 833440, 833445, 833453]"/>
    <s v="[0.086, 0.048, 0.007, 0.006, 0.085, 0.141]"/>
    <s v="842.9347676718719"/>
    <s v="[0.086, 0.048, 0.007, -0.006, -0.085, -0.141]"/>
  </r>
  <r>
    <x v="2460"/>
    <x v="3048"/>
    <x v="0"/>
    <n v="0"/>
    <s v="LINESTRING (9.965779785950073 59.06461623198934, 9.96563628436235 59.064579086563256, 9.959246749649187 59.06521023290716, 9.958795281235497 59.065284843170865)"/>
    <s v="[864757, 864758, 860061]"/>
    <s v="[837826, 833342, 833343]"/>
    <s v="#FIELD!"/>
    <s v="[837730, 837826, 833342]"/>
    <s v="[0.03, 0.072, 0.065]"/>
    <s v="414.5747515205164"/>
    <s v="[0.03, -0.072, -0.065]"/>
  </r>
  <r>
    <x v="2461"/>
    <x v="3049"/>
    <x v="0"/>
    <n v="0"/>
    <s v="LINESTRING (9.974312530929577 59.06460944942357, 9.973177548260914 59.06443938001055, 9.972621386269553 59.064368798920434, 9.96621780687544 59.06411950374941, 9.965519593044869 59.06415347833434, 9.964170868794264 59.06425370094352, 9.959604590353033 59.06495200621005)"/>
    <s v="[860077, 860085, 860093, 860101, 860109, 860117]"/>
    <s v="[833357, 833362, 833368, 833379, 833385, 833394]"/>
    <s v="#FIELD!"/>
    <s v="[833349, 833357, 833362, 833368, 833379, 833385]"/>
    <s v="[0.016, 0.06, 0.047, 0.013, 0.006, 0.09]"/>
    <s v="863.2167733964015"/>
    <s v="[0.016, 0.06, 0.047, 0.013, -0.006, -0.09]"/>
  </r>
  <r>
    <x v="2461"/>
    <x v="3050"/>
    <x v="0"/>
    <n v="0"/>
    <s v="LINESTRING (9.965983923469823 59.06378414620233, 9.966114792515683 59.06380115939927, 9.972065646974103 59.0642581504834, 9.973903150404487 59.06451452606554, 9.974283282714598 59.06460267217964, 9.974312530929577 59.06460944942357)"/>
    <s v="[864778, 864794, 1266651, 1266870, 1266883]"/>
    <s v="[837852, 837867, 1183285, 1183456, 833349]"/>
    <s v="#FIELD!"/>
    <s v="[837851, 837852, 837867, 1183285, 1183456]"/>
    <s v="[0.051, 0.04, 0.345, 0.06, 26.013]"/>
    <s v="488.4600983997718"/>
    <s v="[-0.051, -0.04, 0.345, 0.06, -26.013]"/>
  </r>
  <r>
    <x v="2461"/>
    <x v="3051"/>
    <x v="0"/>
    <n v="0"/>
    <s v="LINESTRING (9.988133424332723 59.06518640904243, 9.979525476500266 59.06540696197789, 9.975212857231922 59.06476405219566, 9.974312530929577 59.06460944942357)"/>
    <s v="[2166806, 859957, 860069]"/>
    <s v="[833242, 833243, 833349]"/>
    <s v="#FIELD!"/>
    <s v="[1853930, 833242, 833243]"/>
    <s v="[0.028, 0.016, 0.048]"/>
    <s v="787.3098688674594"/>
    <s v="[-0.028, 0.016, 0.048]"/>
  </r>
  <r>
    <x v="2462"/>
    <x v="3052"/>
    <x v="0"/>
    <s v="[0, 0, 0, 0, 0, 0, 0, 1, 1]"/>
    <s v="LINESTRING (9.959604590353033 59.06495200621005, 9.95867116758073 59.06517035124759, 9.955295488287565 59.066168398783624, 9.94877629268315 59.06804654826063, 9.939145138688993 59.07067826495566, 9.938907501079548 59.07074194545186, 9.935117498635659 59.07172966542089, 9.924993709687566 59.072694006552915, 9.9248373989779 59.072699184979435, 9.919615648400818 59.07287520308897)"/>
    <s v="[860125, 860197, 860205, 860213, 860221, 860229, 860397, 860405, 860413]"/>
    <s v="[833401, 833466, 833471, 833480, 833488, 833496, 833656, 833664, 833674]"/>
    <s v="#FIELD!"/>
    <s v="[833394, 833401, 833466, 833471, 833480, 833488, 833496, 833656, 833664]"/>
    <s v="[0.134, 0.074, 0.067, 0.002, 0.223, 0.016, 0.022, 0.417, 0.083]"/>
    <s v="2500.305953961683"/>
    <s v="[-0.134, 0.074, 0.067, -0.002, 0.223, -0.016, -0.022, -0.417, -0.083]"/>
  </r>
  <r>
    <x v="2462"/>
    <x v="3053"/>
    <x v="0"/>
    <n v="0"/>
    <s v="LINESTRING (9.959604590353033 59.06495200621005, 9.96012063863007 59.06481009227901, 9.965510003672907 59.063834252446426, 9.965607153922493 59.063815081726155)"/>
    <s v="[864821, 1734349, 1734357]"/>
    <s v="[837896, 1541094, 1541064]"/>
    <s v="0.0749596419016729"/>
    <s v="[833394, 837896, 1541094]"/>
    <s v="[0.189, 0.065, 0.019]"/>
    <s v="367.7297426205713"/>
    <s v="[0.189, 0.065, -0.019]"/>
  </r>
  <r>
    <x v="2463"/>
    <x v="3054"/>
    <x v="0"/>
    <n v="0"/>
    <s v="LINESTRING (9.973111180698842 59.06456493546581, 9.972581444702268 59.06452920048737, 9.96625752100658 59.06454221505098, 9.966154961330492 59.064579907513476)"/>
    <s v="[1734318, 864696, 864712]"/>
    <s v="[837757, 837758, 837711]"/>
    <s v="0.044749485748375166"/>
    <s v="[833417, 837757, 837758]"/>
    <s v="[0.073, 0.044, 0.037]"/>
    <s v="404.9884035010123"/>
    <s v="[0.073, 0.044, -0.037]"/>
  </r>
  <r>
    <x v="2463"/>
    <x v="3055"/>
    <x v="248"/>
    <s v="[0, 1, 0, 0, 0, 0, 0, 0, 0, 0, 0]"/>
    <s v="LINESTRING (10.020897204735789 59.060002211370836, 10.016562839454878 59.057707254165905, 10.007131746604943 59.056611354497626, 10.005886394986804 59.056752122880106, 9.99092750907283 59.0646474760119, 9.99077510531575 59.06469339694058, 9.988215355541216 59.065300063878624, 9.987759613641238 59.06537858487619, 9.979487603813329 59.06549744045076, 9.975137022092134 59.06486757625241, 9.974240224021 59.06472894464218, 9.973111180698842 59.06456493546581)"/>
    <s v="[988758, 988759, 988760, 988460, 988476, 988477, 2166794, 2166812, 1734484, 860133, 860141]"/>
    <s v="[947996, 947997, 947750, 947751, 947764, 947765, 1853926, 1541178, 833409, 833410, 833417]"/>
    <s v="0.015761657106274776"/>
    <s v="[947864, 947996, 947997, 947750, 947751, 947764, 947765, 1853926, 1541178, 833409, 833410]"/>
    <s v="[0.022, 0.008, 0.113, 0.034, 0.009, 0.014, 0.424, 0.02, 0.001, 0.053, 0.025]"/>
    <s v="3325.8412758809377"/>
    <s v="[-0.022, 0.008, 0.113, 0.034, -0.009, -0.014, 0.424, -0.02, 0.001, 0.053, 0.025]"/>
  </r>
  <r>
    <x v="2464"/>
    <x v="3056"/>
    <x v="0"/>
    <n v="0"/>
    <s v="LINESTRING (9.918931018241336 59.07298826300685, 9.918412845965852 59.07303720134602, 9.914968874070603 59.073306109124026, 9.91427414473106 59.07353871816318, 9.91212309809948 59.073598927285275, 9.911042434654023 59.073315731759244, 9.907606301909942 59.07343144786984, 9.907080878895206 59.07341828911572)"/>
    <s v="[860309, 860493, 860501, 860509, 860517, 860525, 860533]"/>
    <s v="[833568, 833734, 652535, 833743, 833747, 833753, 833730]"/>
    <s v="0.03681406095866558"/>
    <s v="[833567, 833568, 833734, 652535, 833743, 833747, 833753]"/>
    <s v="[0.211, 0.045, 0.018, 0.005, 0.041, 0.048, 0.1]"/>
    <s v="711.8264708771177"/>
    <s v="[0.211, 0.045, 0.018, 0.005, -0.041, 0.048, 0.1]"/>
  </r>
  <r>
    <x v="2464"/>
    <x v="3056"/>
    <x v="0"/>
    <n v="0"/>
    <s v="LINESTRING (9.918931018241336 59.07298826300685, 9.909113461993597 59.073343264012415, 9.907080878895206 59.07341828911572)"/>
    <s v="[860477, 860485]"/>
    <s v="[833724, 833730]"/>
    <s v="0.03803677129952523"/>
    <s v="[833567, 833724]"/>
    <s v="[0.025, 0.101]"/>
    <s v="681.7737263928029"/>
    <s v="[0.025, 0.101]"/>
  </r>
  <r>
    <x v="2465"/>
    <x v="3057"/>
    <x v="0"/>
    <n v="0"/>
    <s v="LINESTRING (9.909082677529305 59.073204879280254, 9.909600604381582 59.073158667509965, 9.913221091216487 59.07287532029436, 9.914990727085772 59.07264727669562, 9.915728569905465 59.072957123165686, 9.919263743075891 59.07285556385878, 9.919615648400818 59.07287520308897)"/>
    <s v="[864812, 860277, 860285, 860293, 860301, 864820]"/>
    <s v="[833535, 833536, 652503, 833550, 833559, 833674]"/>
    <s v="#FIELD!"/>
    <s v="[833689, 833535, 833536, 652503, 833550, 833559]"/>
    <s v="[0.105, 0.019, 0.018, 0.011, 0.088, 0.214]"/>
    <s v="639.1536809322088"/>
    <s v="[-0.105, 0.019, -0.018, 0.011, -0.088, -0.214]"/>
  </r>
  <r>
    <x v="2466"/>
    <x v="3058"/>
    <x v="0"/>
    <s v="[0, 0, 0, 1, 0, 0, 0, 1, 0, 0, 0, 0, 1, 0, 1, 0, 1, 0]"/>
    <s v="LINESTRING (9.909082677529305 59.073204879280254, 9.907062809897317 59.07326599943523, 9.904294632024307 59.073358981331026, 9.90297966219782 59.07340851495566, 9.90021909505983 59.073594428126285, 9.894582456862693 59.07441331957366, 9.888623449076665 59.07602168647499, 9.8782207311021 59.07869379976591, 9.87521099058251 59.079142576777784, 9.861367157681492 59.07968177230142, 9.860512927656137 59.079660181751926, 9.851926761996555 59.07955699381655, 9.850439216205114 59.07965985111281, 9.849495257221935 59.07976083679056, 9.832458467558006 59.08625664810675, 9.831361377265974 59.08649868729873, 9.826174822173686 59.087087166971024, 9.824349492756085 59.087103777972004, 9.823990515841455 59.08710136961338)"/>
    <s v="[860437, 860589, 860597, 860605, 860613, 860621, 860629, 860685, 860693, 860701, 860709, 860861, 860869, 860877, 860885, 860897, 860905, 860986]"/>
    <s v="[833694, 833794, 833799, 833807, 833814, 833821, 833832, 833881, 833891, 833898, 833904, 834041, 834051, 834058, 834066, 834079, 834089, 834162]"/>
    <s v="#FIELD!"/>
    <s v="[833689, 833694, 833794, 833799, 833807, 833814, 833821, 833832, 833881, 833891, 833898, 833904, 834041, 834051, 834058, 834066, 834079, 834089]"/>
    <s v="[0.103, 0.077, 0.162, 0.039, 0.053, 0.013, 0.033, 0.01, 0.009, 0.1, 0.025, 0.003, 0.004, 0.029, 0.011, 0.009, 0.013, 0.032]"/>
    <s v="5305.5959282311715"/>
    <s v="[0.103, -0.077, -0.162, -0.039, 0.053, -0.013, -0.033, 0.01, 0.009, 0.1, 0.025, -0.003, 0.004, -0.029, 0.011, -0.009, 0.013, 0.032]"/>
  </r>
  <r>
    <x v="2467"/>
    <x v="3059"/>
    <x v="0"/>
    <s v="[0, 0, 1, 0, 0, 0, 1, 0, 0, 0, 0, 1, 0, 1, 0, 1, 0, 0]"/>
    <s v="LINESTRING (9.907080878895206 59.07341828911572, 9.904312973469324 59.07351135441696, 9.903004658310165 59.07356063767468, 9.900268359334941 59.07374497993617, 9.894690765131767 59.074555433921546, 9.888778572944693 59.07614717481135, 9.87827411756251 59.07877929316265, 9.875252558340872 59.0792297989192, 9.861353402264573 59.07982078872394, 9.860500144530567 59.07979921879498, 9.851951641719461 59.07964600838641, 9.85047002454182 59.07974823822466, 9.849535976480759 59.079848161050144, 9.832533739048618 59.086337665195515, 9.831424525553807 59.08658240612235, 9.826185876224415 59.08717678703414, 9.82434738528694 59.08719357376435, 9.823983133407594 59.08719112540056, 9.823668181707127 59.08718928032608)"/>
    <s v="[860637, 860645, 860653, 860661, 860669, 860677, 860717, 860725, 860733, 860741, 860913, 860921, 860931, 860951, 860959, 860960, 861059, 861070]"/>
    <s v="[833839, 833845, 833852, 833860, 833866, 833874, 833909, 833912, 833919, 833925, 834095, 834100, 834105, 834124, 834136, 834137, 834243, 834256]"/>
    <s v="#FIELD!"/>
    <s v="[833730, 833839, 833845, 833852, 833860, 833866, 833874, 833909, 833912, 833919, 833925, 834095, 834100, 834105, 834124, 834136, 834137, 834243]"/>
    <s v="[0.076, 0.153, 0.033, 0.046, 0.007, 0.035, 0.013, 0.012, 0.097, 0.021, 0.002, 0.004, 0.029, 0.008, 0.01, 0.007, 0.031, 0.03]"/>
    <s v="5205.531844665591"/>
    <s v="[-0.076, -0.153, -0.033, 0.046, -0.007, -0.035, 0.013, 0.012, 0.097, 0.021, -0.002, 0.004, -0.029, 0.008, -0.01, 0.007, 0.031, 0.03]"/>
  </r>
  <r>
    <x v="2468"/>
    <x v="3060"/>
    <x v="0"/>
    <n v="0"/>
    <s v="LINESTRING (9.818029623442577 59.08809335330243, 9.817863344333096 59.08825180728266, 9.817476474891642 59.088188985686514)"/>
    <s v="[860749, 860757]"/>
    <s v="[833935, 833943]"/>
    <s v="0.047172477892555936"/>
    <s v="[833934, 833935]"/>
    <s v="[0.039, 0.054]"/>
    <s v="46.854037864202645"/>
    <s v="[0.039, 0.054]"/>
  </r>
  <r>
    <x v="2468"/>
    <x v="3061"/>
    <x v="0"/>
    <n v="0"/>
    <m/>
    <n v="860789"/>
    <n v="833934"/>
    <s v="#FIELD!"/>
    <n v="833968"/>
    <s v="0.031"/>
    <s v="19.89141918615134"/>
    <s v="#FIELD!"/>
  </r>
  <r>
    <x v="2468"/>
    <x v="3059"/>
    <x v="0"/>
    <n v="0"/>
    <s v="LINESTRING (9.823668181707127 59.08718928032608, 9.823162009539917 59.0872195109069, 9.818171120527166 59.08800571045068, 9.818078789010258 59.08805438135724, 9.818029623442577 59.08809335330243)"/>
    <s v="[861169, 861139, 861153, 861161]"/>
    <s v="[834323, 834324, 834337, 833934]"/>
    <s v="0.019448277133151556"/>
    <s v="[834256, 834323, 834324, 834337]"/>
    <s v="[0.024, 0.018, 0.045, 0.042]"/>
    <s v="348.29903876281026"/>
    <s v="[0.024, 0.018, 0.045, 0.042]"/>
  </r>
  <r>
    <x v="2469"/>
    <x v="3062"/>
    <x v="0"/>
    <n v="0"/>
    <m/>
    <n v="860765"/>
    <n v="833952"/>
    <s v="#FIELD!"/>
    <n v="833943"/>
    <s v="0.023"/>
    <s v="20.15904109241996"/>
    <s v="#FIELD!"/>
  </r>
  <r>
    <x v="2469"/>
    <x v="3063"/>
    <x v="0"/>
    <n v="0"/>
    <s v="LINESTRING (9.817476474891642 59.088188985686514, 9.817383030543317 59.08817678540975, 9.811282185001225 59.08943760744695, 9.810960567776657 59.08954084018787)"/>
    <s v="[861189, 861190, 861184]"/>
    <s v="[834372, 834367, 834283]"/>
    <s v="#FIELD!"/>
    <s v="[833943, 834372, 834367]"/>
    <s v="[0.065, 0.027, 0.016]"/>
    <s v="413.77126223047117"/>
    <s v="[0.065, -0.027, -0.016]"/>
  </r>
  <r>
    <x v="2470"/>
    <x v="3061"/>
    <x v="0"/>
    <n v="0"/>
    <s v="LINESTRING (9.81750733357558 59.08801728085089, 9.817641186602012 59.08796875245366, 9.817809741282087 59.08796500166005)"/>
    <s v="[860773, 860781]"/>
    <s v="[833960, 833968]"/>
    <s v="#FIELD!"/>
    <s v="[833952, 833960]"/>
    <s v="[0.057, 0.059]"/>
    <s v="19.071579533296692"/>
    <s v="[-0.057, -0.059]"/>
  </r>
  <r>
    <x v="2470"/>
    <x v="3064"/>
    <x v="0"/>
    <n v="0"/>
    <s v="LINESTRING (9.81750733357558 59.08801728085089, 9.817524820917665 59.08796441635818, 9.817525645742906 59.08779233657243)"/>
    <s v="[864078, 864094]"/>
    <s v="[837135, 834411]"/>
    <s v="#FIELD!"/>
    <s v="[833952, 837135]"/>
    <s v="[0.026, 0.019]"/>
    <s v="25.406473061755243"/>
    <s v="[-0.026, -0.019]"/>
  </r>
  <r>
    <x v="2471"/>
    <x v="3064"/>
    <x v="0"/>
    <n v="0"/>
    <s v="LINESTRING (9.817809741282087 59.08796500166005, 9.817723635620387 59.087926470556866, 9.817525645742906 59.08779233657243)"/>
    <s v="[861225, 861226]"/>
    <s v="[834410, 834411]"/>
    <s v="0.022584830163261977"/>
    <s v="[833968, 834410]"/>
    <s v="[0.036, 0.018]"/>
    <s v="25.699129154563572"/>
    <s v="[0.036, 0.018]"/>
  </r>
  <r>
    <x v="2472"/>
    <x v="3065"/>
    <x v="0"/>
    <n v="0"/>
    <m/>
    <n v="860797"/>
    <n v="833983"/>
    <s v="0.049"/>
    <n v="833982"/>
    <s v="0.049"/>
    <s v="20.904909933235047"/>
    <s v="0.049"/>
  </r>
  <r>
    <x v="2472"/>
    <x v="3066"/>
    <x v="0"/>
    <n v="0"/>
    <s v="LINESTRING (9.81728377826774 59.087198665128795, 9.817162715842343 59.08723685382595, 9.817036126945485 59.087243949091594)"/>
    <s v="[860845, 860853]"/>
    <s v="[834029, 833982]"/>
    <s v="0.026309534261020562"/>
    <s v="[834022, 834029]"/>
    <s v="[0.023, 0.03]"/>
    <s v="15.45123724049703"/>
    <s v="[0.023, 0.03]"/>
  </r>
  <r>
    <x v="2472"/>
    <x v="3067"/>
    <x v="0"/>
    <n v="0"/>
    <s v="LINESTRING (9.817274129882025 59.087406428373946, 9.817100882385715 59.08728329025166, 9.817036126945485 59.087243949091594)"/>
    <s v="[864117, 864125]"/>
    <s v="[837182, 833982]"/>
    <s v="#FIELD!"/>
    <s v="[837171, 837182]"/>
    <s v="[0.001, 0.002]"/>
    <s v="23.007582361609586"/>
    <s v="[-0.001, -0.002]"/>
  </r>
  <r>
    <x v="2473"/>
    <x v="3068"/>
    <x v="0"/>
    <n v="0"/>
    <s v="LINESTRING (9.816779075037859 59.08712386054059, 9.816907478560369 59.086961164580636, 9.817041940636186 59.08693795453273, 9.81719359575326 59.08695285542591, 9.817339707802022 59.087028351308085)"/>
    <s v="[860805, 860813, 860821, 860829]"/>
    <s v="[833988, 833997, 834006, 834015]"/>
    <s v="#FIELD!"/>
    <s v="[833983, 833988, 833997, 834006]"/>
    <s v="[0.032, 0.031, 0.053, 0.062]"/>
    <s v="49.52320968440514"/>
    <s v="[0.032, -0.031, -0.053, -0.062]"/>
  </r>
  <r>
    <x v="2473"/>
    <x v="3069"/>
    <x v="0"/>
    <n v="0"/>
    <s v="LINESTRING (9.8116899328142 59.08911930185285, 9.812113095045326 59.08891442087679, 9.816748215395222 59.087172887096145, 9.816779075037859 59.08712386054059)"/>
    <s v="[861217, 861191, 861206]"/>
    <s v="[834373, 834374, 833983]"/>
    <s v="0.025251166800735546"/>
    <s v="[834211, 834373, 834374]"/>
    <s v="[0.074, 0.02, 0.044]"/>
    <s v="369.0016485902708"/>
    <s v="[0.074, 0.02, 0.044]"/>
  </r>
  <r>
    <x v="2474"/>
    <x v="3066"/>
    <x v="0"/>
    <n v="0"/>
    <m/>
    <n v="860837"/>
    <n v="834022"/>
    <s v="#FIELD!"/>
    <n v="834015"/>
    <s v="0.029"/>
    <s v="20.124419521744265"/>
    <s v="#FIELD!"/>
  </r>
  <r>
    <x v="2474"/>
    <x v="3058"/>
    <x v="0"/>
    <n v="0"/>
    <s v="LINESTRING (9.817339707802022 59.087028351308085, 9.817418068638743 59.08705229281984, 9.817552072224693 59.08707952439156, 9.823465399441906 59.08706638258539, 9.823990515841455 59.08710136961338)"/>
    <s v="[861128, 861133, 861138, 864804]"/>
    <s v="[834315, 834320, 834322, 834162]"/>
    <s v="#FIELD!"/>
    <s v="[834015, 834315, 834320, 834322]"/>
    <s v="[0.053, 0.05, 0.018, 0.039]"/>
    <s v="383.5860501041856"/>
    <s v="[-0.053, -0.05, -0.018, -0.039]"/>
  </r>
  <r>
    <x v="2475"/>
    <x v="3067"/>
    <x v="0"/>
    <n v="0"/>
    <s v="LINESTRING (9.817274129882025 59.087406428373946, 9.817274078082933 59.08725252530443, 9.81728377826774 59.087198665128795)"/>
    <s v="[864109, 864110]"/>
    <s v="[837172, 834022]"/>
    <s v="#FIELD!"/>
    <s v="[837171, 837172]"/>
    <s v="[0.024, 0.002]"/>
    <s v="23.4833518960213"/>
    <s v="[-0.024, -0.002]"/>
  </r>
  <r>
    <x v="2476"/>
    <x v="3069"/>
    <x v="0"/>
    <n v="0"/>
    <s v="LINESTRING (9.823990515841455 59.08710136961338, 9.823678349958104 59.08709937502804, 9.819384513767618 59.08728869246602, 9.816929957277601 59.08763837825156, 9.8116899328142 59.08911930185285)"/>
    <s v="[860988, 860997, 861023, 861031]"/>
    <s v="[834163, 834175, 834201, 834211]"/>
    <s v="#FIELD!"/>
    <s v="[834162, 834163, 834175, 834201]"/>
    <s v="[0.032, 0.013, 0.037, 0.028]"/>
    <s v="756.2156971059165"/>
    <s v="[0.032, 0.013, 0.037, -0.028]"/>
  </r>
  <r>
    <x v="2477"/>
    <x v="3070"/>
    <x v="0"/>
    <n v="0"/>
    <s v="LINESTRING (9.8116899328142 59.08911930185285, 9.810854049609748 59.08947766824092, 9.810723654814051 59.0895366223831, 9.809748748202901 59.09000810013893, 9.808606349604577 59.09066995396117)"/>
    <s v="[861038, 861039, 861042, 861043]"/>
    <s v="[834220, 834221, 834224, 834225]"/>
    <s v="0.06405629936874072"/>
    <s v="[834211, 834220, 834221, 834224]"/>
    <s v="[0.028, 0.102, 0.178, 0.03]"/>
    <s v="248.27681591006564"/>
    <s v="[-0.028, 0.102, 0.178, 0.03]"/>
  </r>
  <r>
    <x v="2478"/>
    <x v="3071"/>
    <x v="0"/>
    <s v="[0, 0, 0, 1, 0, 1, 0]"/>
    <s v="LINESTRING (9.808606349604577 59.09066995396117, 9.80843717705718 59.09076078708708, 9.807464194161652 59.09122015215004, 9.80746135721925 59.09122133403943, 9.801317594352412 59.09219403759489, 9.799644170625614 59.09209239737927, 9.794359174030507 59.09195584045691, 9.791551409917993 59.09242311499677)"/>
    <s v="[861044, 914881, 914889, 914897, 914905, 914913, 914921]"/>
    <s v="[834226, 887239, 887245, 887253, 887259, 887268, 887273]"/>
    <s v="0.0036770145375513183"/>
    <s v="[834225, 834226, 887239, 887245, 887253, 887259, 887268]"/>
    <s v="[0.017, 0.295, 0.0, 0.008, 0.046, 0.03, 0.11]"/>
    <s v="1038.997586798827"/>
    <s v="[-0.017, -0.295, 0.0, 0.008, -0.046, 0.03, 0.11]"/>
  </r>
  <r>
    <x v="2478"/>
    <x v="3063"/>
    <x v="0"/>
    <n v="0"/>
    <s v="LINESTRING (9.810960567776657 59.08954084018787, 9.81082818147545 59.089598049955, 9.80985537183188 59.09006699418633, 9.808606349604577 59.09066995396117)"/>
    <s v="[861109, 861117, 861127]"/>
    <s v="[834296, 834305, 834225]"/>
    <s v="0.09133607349285482"/>
    <s v="[834283, 834296, 834305]"/>
    <s v="[0.016, 0.161, 0.045]"/>
    <s v="185.2182038673023"/>
    <s v="[0.016, 0.161, 0.045]"/>
  </r>
  <r>
    <x v="2479"/>
    <x v="3063"/>
    <x v="0"/>
    <n v="0"/>
    <s v="LINESTRING (9.823668181707127 59.08718928032608, 9.819421337329796 59.08737774355273, 9.816995129205544 59.08772607314443, 9.811826490108446 59.08920465169168, 9.810960567776657 59.08954084018787)"/>
    <s v="[861071, 861072, 861077, 861093]"/>
    <s v="[834257, 834258, 834263, 834283]"/>
    <s v="#FIELD!"/>
    <s v="[834256, 834257, 834258, 834263]"/>
    <s v="[0.015, 0.039, 0.026, 0.03]"/>
    <s v="792.5349025675678"/>
    <s v="[0.015, 0.039, -0.026, -0.03]"/>
  </r>
  <r>
    <x v="2480"/>
    <x v="3067"/>
    <x v="0"/>
    <n v="1"/>
    <m/>
    <n v="864925"/>
    <n v="837171"/>
    <s v="#FIELD!"/>
    <n v="834411"/>
    <s v="0.004"/>
    <s v="45.37349545658673"/>
    <s v="#FIELD!"/>
  </r>
  <r>
    <x v="2481"/>
    <x v="3054"/>
    <x v="0"/>
    <n v="0"/>
    <m/>
    <n v="864652"/>
    <n v="837711"/>
    <s v="#FIELD!"/>
    <n v="837704"/>
    <s v="0.052"/>
    <s v="20.581631925176197"/>
    <s v="#FIELD!"/>
  </r>
  <r>
    <x v="2481"/>
    <x v="3072"/>
    <x v="0"/>
    <n v="0"/>
    <s v="LINESTRING (9.965777389549716 59.064426095721295, 9.96591610500098 59.06439643220449, 9.966070395254325 59.06441540938199)"/>
    <s v="[864688, 864644]"/>
    <s v="[837703, 837704]"/>
    <s v="#FIELD!"/>
    <s v="[837739, 837703]"/>
    <s v="[0.021, 0.02]"/>
    <s v="17.727855612509096"/>
    <s v="[0.021, -0.02]"/>
  </r>
  <r>
    <x v="2481"/>
    <x v="3073"/>
    <x v="0"/>
    <n v="0"/>
    <s v="LINESTRING (9.96599646880026 59.06396572536424, 9.965953595051696 59.06403599686762, 9.966012693767457 59.064355853500864, 9.966070395254325 59.06441540938199)"/>
    <s v="[1734326, 1734334, 1734337]"/>
    <s v="[1541082, 1541085, 837704]"/>
    <s v="#FIELD!"/>
    <s v="[1541073, 1541082, 1541085]"/>
    <s v="[0.051, 0.062, 0.058]"/>
    <s v="52.169398314783905"/>
    <s v="[-0.051, -0.062, -0.058]"/>
  </r>
  <r>
    <x v="2482"/>
    <x v="3074"/>
    <x v="0"/>
    <n v="0"/>
    <m/>
    <n v="864660"/>
    <n v="837718"/>
    <s v="#FIELD!"/>
    <n v="837711"/>
    <s v="0.047"/>
    <s v="2.860437029539005"/>
    <s v="#FIELD!"/>
  </r>
  <r>
    <x v="2483"/>
    <x v="3075"/>
    <x v="0"/>
    <n v="0"/>
    <s v="LINESTRING (9.966127534319673 59.064601332765065, 9.96600499573134 59.064643142096244, 9.965852854339863 59.06463939937961)"/>
    <s v="[864668, 864670]"/>
    <s v="[837725, 837727]"/>
    <s v="#FIELD!"/>
    <s v="[837718, 837725]"/>
    <s v="[0.036, 0.005]"/>
    <s v="17.181175131656474"/>
    <s v="[-0.036, -0.005]"/>
  </r>
  <r>
    <x v="2483"/>
    <x v="3076"/>
    <x v="0"/>
    <n v="0"/>
    <s v="LINESTRING (9.966127534319673 59.064601332765065, 9.966132174914955 59.06465150948324, 9.966190727117286 59.064795058100714)"/>
    <s v="[864744, 864755]"/>
    <s v="[837813, 837790]"/>
    <s v="#FIELD!"/>
    <s v="[837718, 837813]"/>
    <s v="[0.059, 0.057]"/>
    <s v="21.949199721906886"/>
    <s v="[-0.059, -0.057]"/>
  </r>
  <r>
    <x v="2484"/>
    <x v="3048"/>
    <x v="0"/>
    <n v="0"/>
    <m/>
    <n v="864672"/>
    <n v="837730"/>
    <s v="0.026"/>
    <n v="837727"/>
    <s v="0.026"/>
    <s v="4.9255669726712465"/>
    <s v="0.026"/>
  </r>
  <r>
    <x v="2484"/>
    <x v="3076"/>
    <x v="0"/>
    <n v="0"/>
    <s v="LINESTRING (9.965852854339863 59.06463939937961, 9.965939403769736 59.064685232830016, 9.966190727117286 59.064795058100714)"/>
    <s v="[864720, 864728]"/>
    <s v="[837781, 837790]"/>
    <s v="#FIELD!"/>
    <s v="[837727, 837781]"/>
    <s v="[0.046, 0.03]"/>
    <s v="26.586148499285414"/>
    <s v="[-0.046, -0.03]"/>
  </r>
  <r>
    <x v="2485"/>
    <x v="3072"/>
    <x v="0"/>
    <n v="0"/>
    <m/>
    <n v="864680"/>
    <n v="837739"/>
    <s v="0.061"/>
    <n v="837730"/>
    <s v="0.061"/>
    <s v="23.58283311983552"/>
    <s v="0.061"/>
  </r>
  <r>
    <x v="2486"/>
    <x v="3077"/>
    <x v="0"/>
    <n v="0"/>
    <s v="LINESTRING (9.965677343134633 59.06397966858566, 9.965745066711062 59.06403973159766, 9.96581089006279 59.06436137053327, 9.965777389549716 59.064426095721295)"/>
    <s v="[1734338, 1734339, 1734347]"/>
    <s v="[1541087, 1541088, 837739]"/>
    <s v="#FIELD!"/>
    <s v="[1541059, 1541087, 1541088]"/>
    <s v="[0.072, 0.067, 0.069]"/>
    <s v="51.91916697441023"/>
    <s v="[-0.072, -0.067, -0.069]"/>
  </r>
  <r>
    <x v="2487"/>
    <x v="3078"/>
    <x v="0"/>
    <n v="0"/>
    <m/>
    <n v="864736"/>
    <n v="837803"/>
    <s v="#FIELD!"/>
    <n v="837790"/>
    <s v="0.021"/>
    <s v="320.94421518084187"/>
    <s v="#FIELD!"/>
  </r>
  <r>
    <x v="2488"/>
    <x v="3079"/>
    <x v="0"/>
    <n v="0"/>
    <s v="LINESTRING (10.008810183736964 59.05528784606567, 10.008185947615027 59.05529650656873, 10.008048688829787 59.05530936508002, 10.008043784340403 59.05530982357507, 10.005810401081169 59.056249529600095, 10.00411959599541 59.05799139481912, 10.001411886876985 59.06017497363471, 9.99864767028137 59.0621614228351, 9.993060232672818 59.06446857480742, 9.990719077206078 59.06503062320905, 9.986978540550432 59.06585907315725, 9.98471030547517 59.06609703240161, 9.984611391154134 59.06610201495046, 9.984530723450197 59.06610527561545, 9.984483933802538 59.06610625080686, 9.98349695170046 59.06612574562637, 9.979067458422378 59.06589866335373, 9.97754804566273 59.065633318132996, 9.977417500563652 59.065609716694496, 9.977325899202212 59.065593385005336, 9.977243773906261 59.06557796094741, 9.976284302206883 59.06540125631613, 9.974473903750114 59.06508798400892, 9.97413755646887 59.06502612810098, 9.973462108738534 59.06490036326484, 9.971590692785236 59.064629222352714)"/>
    <s v="[2166866, 2166872, 2166878, 2166884, 2166890, 917842, 917850, 917858, 917866, 917874, 917882, 917890, 917898, 917910, 917918, 917926, 917934, 917935, 917946, 917962, 917970, 917978, 917983, 917993, 917994]"/>
    <s v="[1853983, 1853988, 1853992, 1853999, 889508, 889509, 889516, 889522, 889527, 889535, 886538, 889546, 887715, 889560, 889568, 889575, 889581, 889582, 889593, 889603, 889611, 889620, 889624, 889633, 837803]"/>
    <s v="0.0255380802202429"/>
    <s v="[1853959, 1853983, 1853988, 1853992, 1853999, 889508, 889509, 889516, 889522, 889527, 889535, 886538, 889546, 887715, 889560, 889568, 889575, 889581, 889582, 889593, 889603, 889611, 889620, 889624, 889633]"/>
    <s v="[0.135, 0.207, 0.43, 0.132, 0.011, 0.01, 0.015, 0.049, 0.003, 0.011, 0.019, 0.019, 0.018, 0.019, 0.001, 0.012, 0.002, 0.028, 0.003, 0.032, 0.044, 0.037, 0.11, 0.046, 0.109]"/>
    <s v="2710.054069269184"/>
    <s v="[0.135, 0.207, 0.43, 0.132, -0.011, 0.01, 0.015, 0.049, -0.003, -0.011, 0.019, 0.019, -0.018, 0.019, 0.001, -0.012, 0.002, 0.028, 0.003, 0.032, -0.044, 0.037, 0.11, 0.046, 0.109]"/>
  </r>
  <r>
    <x v="2489"/>
    <x v="3073"/>
    <x v="0"/>
    <n v="0"/>
    <m/>
    <n v="1734307"/>
    <n v="1541073"/>
    <s v="#FIELD!"/>
    <n v="837851"/>
    <s v="0.061"/>
    <s v="22.331707942482346"/>
    <s v="#FIELD!"/>
  </r>
  <r>
    <x v="2489"/>
    <x v="3053"/>
    <x v="0"/>
    <n v="0"/>
    <s v="LINESTRING (9.965607153922493 59.063815081726155, 9.96565139552521 59.06378621363859, 9.965794601015425 59.063752244546585, 9.965945618383609 59.063768980302704, 9.965983923469823 59.06378414620233)"/>
    <s v="[1734294, 1734295, 1734303, 1734306]"/>
    <s v="[1541065, 1541066, 1541070, 837851]"/>
    <s v="#FIELD!"/>
    <s v="[1541064, 1541065, 1541066, 1541070]"/>
    <s v="[0.039, 0.002, 0.054, 0.047]"/>
    <s v="24.791132413843464"/>
    <s v="[0.039, 0.002, -0.054, -0.047]"/>
  </r>
  <r>
    <x v="2490"/>
    <x v="3080"/>
    <x v="0"/>
    <n v="0"/>
    <s v="LINESTRING (9.281033780211398 58.896743766408974, 9.281033780211398 58.896743766408974, 9.281043237444164 58.89694115395763, 9.281297560622976 58.8972594632284)"/>
    <s v="[887863, 887864, 887878]"/>
    <s v="[861679, 861680, 861689]"/>
    <s v="#FIELD!"/>
    <s v="[861678, 861679, 861680]"/>
    <s v="[0.0, 0.009, 0.03]"/>
    <s v="65.65185738435112"/>
    <s v="[0.0, -0.009, -0.03]"/>
  </r>
  <r>
    <x v="2490"/>
    <x v="3080"/>
    <x v="0"/>
    <n v="0"/>
    <s v="LINESTRING (9.281033780211398 58.896743766408974, 9.281109189193215 58.89674289996982, 9.281224287129987 58.89692682779487, 9.281240167627947 58.897030341764776, 9.281297560622976 58.8972594632284)"/>
    <s v="[926473, 926481, 926489, 926497]"/>
    <s v="[896495, 896502, 896506, 861689]"/>
    <s v="#FIELD!"/>
    <s v="[861678, 896495, 896502, 896506]"/>
    <s v="[1.275, 0.012, 0.008, 0.166]"/>
    <s v="63.38838236143295"/>
    <s v="[-1.275, -0.012, -0.008, 0.166]"/>
  </r>
  <r>
    <x v="2491"/>
    <x v="1874"/>
    <x v="0"/>
    <n v="0"/>
    <s v="LINESTRING (9.281297560622976 58.8972594632284, 9.281333603707008 58.89729220875131, 9.282591538676867 58.89748285067368)"/>
    <s v="[946003, 946011]"/>
    <s v="[914713, 861711]"/>
    <s v="#FIELD!"/>
    <s v="[861689, 914713]"/>
    <s v="[1.097, 0.003]"/>
    <s v="87.47827153618623"/>
    <s v="[-1.097, -0.003]"/>
  </r>
  <r>
    <x v="2492"/>
    <x v="3081"/>
    <x v="0"/>
    <n v="0"/>
    <s v="LINESTRING (9.68842306044521 59.100139557692266, 9.688531900843731 59.10015780174524, 9.688617013930967 59.100232952444735, 9.68859248138398 59.10030588005412, 9.688521241877933 59.1003423893031)"/>
    <s v="[910754, 910762, 910770, 910778]"/>
    <s v="[862060, 884269, 884276, 884281]"/>
    <s v="#FIELD!"/>
    <s v="[873604, 862060, 884269, 884276]"/>
    <s v="[2.191, 0.015, 0.062, 0.157]"/>
    <s v="30.278603752167655"/>
    <s v="[-2.191, 0.015, 0.062, 0.157]"/>
  </r>
  <r>
    <x v="2493"/>
    <x v="3082"/>
    <x v="0"/>
    <n v="0"/>
    <m/>
    <n v="910658"/>
    <n v="884168"/>
    <s v="0.044"/>
    <n v="873651"/>
    <s v="0.044"/>
    <s v="14.188393284010143"/>
    <s v="0.044"/>
  </r>
  <r>
    <x v="2493"/>
    <x v="1911"/>
    <x v="0"/>
    <s v="[0, 1, 0]"/>
    <s v="LINESTRING (9.662824107582628 59.076228708268914, 9.662944527332973 59.076120468898594, 9.663656475382842 59.07588508011082, 9.663788825316121 59.07585436372082)"/>
    <s v="[899234, 899235, 899249]"/>
    <s v="[873652, 873653, 873669]"/>
    <s v="#FIELD!"/>
    <s v="[873651, 873652, 873653]"/>
    <s v="[0.002, 0.015, 0.006]"/>
    <s v="71.20746166163478"/>
    <s v="[0.002, -0.015, -0.006]"/>
  </r>
  <r>
    <x v="2494"/>
    <x v="3083"/>
    <x v="0"/>
    <n v="0"/>
    <m/>
    <n v="910706"/>
    <n v="873669"/>
    <s v="#FIELD!"/>
    <n v="884227"/>
    <s v="0.154"/>
    <s v="17.086179015796404"/>
    <s v="#FIELD!"/>
  </r>
  <r>
    <x v="2495"/>
    <x v="3084"/>
    <x v="0"/>
    <n v="0"/>
    <s v="LINESTRING (10.227980802142275 59.65549230226445, 10.227822565642136 59.655467643399795, 10.227842215294386 59.65530465006142)"/>
    <s v="[900855, 900862]"/>
    <s v="[858143, 875437]"/>
    <s v="#FIELD!"/>
    <s v="[875429, 858143]"/>
    <s v="[0.034, 0.049]"/>
    <s v="30.2220122305729"/>
    <s v="[-0.034, -0.049]"/>
  </r>
  <r>
    <x v="2495"/>
    <x v="3085"/>
    <x v="0"/>
    <n v="0"/>
    <m/>
    <n v="900926"/>
    <n v="875429"/>
    <s v="0.024"/>
    <n v="875467"/>
    <s v="0.024"/>
    <s v="17.21795808672675"/>
    <s v="0.024"/>
  </r>
  <r>
    <x v="2495"/>
    <x v="291"/>
    <x v="0"/>
    <n v="0"/>
    <s v="LINESTRING (10.231926284961702 59.65820686694825, 10.231468630377694 59.657822910593204, 10.228195609396503 59.65555158542045, 10.228080635940406 59.65551668465238, 10.227980802142275 59.65549230226445)"/>
    <s v="[1226127, 920587, 920595, 920603]"/>
    <s v="[891691, 891692, 891695, 875429]"/>
    <s v="#FIELD!"/>
    <s v="[1148895, 891691, 891692, 891695]"/>
    <s v="[0.254, 0.004, 0.041, 0.047]"/>
    <s v="379.7912597341863"/>
    <s v="[-0.254, -0.004, -0.041, -0.047]"/>
  </r>
  <r>
    <x v="2496"/>
    <x v="3086"/>
    <x v="0"/>
    <n v="0"/>
    <m/>
    <n v="900870"/>
    <n v="875447"/>
    <s v="0.018"/>
    <n v="875437"/>
    <s v="0.018"/>
    <s v="9.515775830237873"/>
    <s v="0.018"/>
  </r>
  <r>
    <x v="2496"/>
    <x v="3087"/>
    <x v="0"/>
    <n v="0"/>
    <s v="LINESTRING (10.227842215294386 59.65530465006142, 10.227839249534297 59.65525057167363, 10.226467252765486 59.65275298714808, 10.226437736041909 59.6527231264187, 10.225377814077158 59.65155468400442, 10.225068050047938 59.65113410749226)"/>
    <s v="[920643, 920651, 920659, 920667, 1226159]"/>
    <s v="[891727, 891736, 891742, 891748, 1148925]"/>
    <s v="0.005515724585028586"/>
    <s v="[875437, 891727, 891736, 891742, 891748]"/>
    <s v="[0.051, 0.0, 0.045, 0.024, 0.126]"/>
    <s v="493.65713459973153"/>
    <s v="[-0.051, -0.0, 0.045, -0.024, 0.126]"/>
  </r>
  <r>
    <x v="2497"/>
    <x v="3085"/>
    <x v="0"/>
    <n v="0"/>
    <s v="LINESTRING (10.22800416063282 59.65529076546375, 10.22811325233116 59.65532352694235, 10.228161204409764 59.65538435461103)"/>
    <s v="[900871, 900884]"/>
    <s v="[875448, 875467]"/>
    <s v="0.05154485784965017"/>
    <s v="[875447, 875448]"/>
    <s v="[0.047, 0.056]"/>
    <s v="14.454927717096524"/>
    <s v="[0.047, 0.056]"/>
  </r>
  <r>
    <x v="2497"/>
    <x v="3088"/>
    <x v="0"/>
    <n v="0"/>
    <s v="LINESTRING (10.22800416063282 59.65529076546375, 10.228101757004996 59.65527005509097, 10.228383803650143 59.6552209525204)"/>
    <s v="[941961, 941969]"/>
    <s v="[910347, 891704]"/>
    <s v="#FIELD!"/>
    <s v="[875447, 910347]"/>
    <s v="[0.46, 0.168]"/>
    <s v="23.10948390443341"/>
    <s v="[0.46, -0.168]"/>
  </r>
  <r>
    <x v="2498"/>
    <x v="3088"/>
    <x v="0"/>
    <n v="0"/>
    <s v="LINESTRING (10.228161204409764 59.65538435461103, 10.228236113397633 59.65533410482962, 10.228383803650143 59.6552209525204)"/>
    <s v="[928101, 928109]"/>
    <s v="[897906, 891704]"/>
    <s v="#FIELD!"/>
    <s v="[875467, 897906]"/>
    <s v="[0.024, 0.047]"/>
    <s v="22.130970845199673"/>
    <s v="[-0.024, -0.047]"/>
  </r>
  <r>
    <x v="2499"/>
    <x v="3089"/>
    <x v="0"/>
    <n v="0"/>
    <m/>
    <n v="900941"/>
    <n v="875533"/>
    <s v="0.058"/>
    <n v="875532"/>
    <s v="0.058"/>
    <s v="15.616362311576268"/>
    <s v="0.058"/>
  </r>
  <r>
    <x v="2499"/>
    <x v="3090"/>
    <x v="0"/>
    <n v="0"/>
    <s v="LINESTRING (10.229699442716878 59.6547813785534, 10.229590351142775 59.654748618397015, 10.22953959077374 59.65467691288703)"/>
    <s v="[900981, 900982]"/>
    <s v="[875574, 875532]"/>
    <s v="#FIELD!"/>
    <s v="[875569, 875574]"/>
    <s v="[0.062, 0.004]"/>
    <s v="15.64515580423956"/>
    <s v="[-0.062, 0.004]"/>
  </r>
  <r>
    <x v="2499"/>
    <x v="3091"/>
    <x v="0"/>
    <s v="[1, 1, 0]"/>
    <s v="LINESTRING (10.229298200530678 59.65485814358372, 10.229475793690689 59.65472629105063, 10.229504274104475 59.654704013987015, 10.22953959077374 59.65467691288703)"/>
    <s v="[941985, 941993, 942001]"/>
    <s v="[910375, 910384, 875532]"/>
    <s v="0.01656576691707439"/>
    <s v="[891705, 910375, 910384]"/>
    <s v="[0.414, 0.046, 1.961]"/>
    <s v="24.3616703374904"/>
    <s v="[0.414, 0.046, -1.961]"/>
  </r>
  <r>
    <x v="2500"/>
    <x v="3092"/>
    <x v="0"/>
    <n v="0"/>
    <s v="LINESTRING (10.229712971231384 59.654578646892304, 10.229792005413998 59.65458056492549, 10.229904742914593 59.65461680394935, 10.229947787464116 59.65468777834926, 10.229864199394223 59.65476494965512)"/>
    <s v="[900955, 900956, 900960, 900968]"/>
    <s v="[875548, 875549, 875553, 875561]"/>
    <s v="0.02660825062782745"/>
    <s v="[875533, 875548, 875549, 875553]"/>
    <s v="[0.15, 0.109, 0.027, 0.09]"/>
    <s v="30.34576941133687"/>
    <s v="[0.15, 0.109, 0.027, -0.09]"/>
  </r>
  <r>
    <x v="2500"/>
    <x v="3093"/>
    <x v="0"/>
    <s v="[0, 0, 0, 0, 1, 0, 0]"/>
    <s v="LINESTRING (10.225182626243175 59.65091610970305, 10.22561366797852 59.651308728063405, 10.22691732114475 59.65260029469191, 10.226952142525038 59.65263034876199, 10.228476447802345 59.65379591780496, 10.22955418487124 59.65454163782057, 10.229586600972377 59.65454965553681, 10.229712971231384 59.654578646892304)"/>
    <s v="[1226151, 920675, 920683, 920691, 920699, 920707, 920715]"/>
    <s v="[891752, 891753, 891760, 891764, 891771, 891777, 875533]"/>
    <s v="#FIELD!"/>
    <s v="[1148919, 891752, 891753, 891760, 891764, 891771, 891777]"/>
    <s v="[0.135, 0.01, 0.014, 0.005, 0.009, 0.039, 0.079]"/>
    <s v="485.11998459591086"/>
    <s v="[-0.135, 0.01, -0.014, 0.005, 0.009, 0.039, 0.079]"/>
  </r>
  <r>
    <x v="2501"/>
    <x v="3090"/>
    <x v="0"/>
    <n v="0"/>
    <m/>
    <n v="900976"/>
    <n v="875569"/>
    <s v="#FIELD!"/>
    <n v="875561"/>
    <s v="0.135"/>
    <s v="9.701437752789756"/>
    <s v="#FIELD!"/>
  </r>
  <r>
    <x v="2501"/>
    <x v="3094"/>
    <x v="0"/>
    <n v="0"/>
    <s v="LINESTRING (10.229864199394223 59.65476494965512, 10.229852263718852 59.654820472735416, 10.22984243625948 59.65486817501403, 10.23293504435134 59.658950616739396, 10.233215788796008 59.6593764100711)"/>
    <s v="[920619, 920627, 920635, 1226120]"/>
    <s v="[891710, 891716, 891721, 1148885]"/>
    <s v="0.0268398500726358"/>
    <s v="[875561, 891710, 891716, 891721]"/>
    <s v="[0.037, 0.037, 0.014, 0.167]"/>
    <s v="550.2086271678446"/>
    <s v="[-0.037, -0.037, 0.014, 0.167]"/>
  </r>
  <r>
    <x v="2502"/>
    <x v="3091"/>
    <x v="0"/>
    <s v="[1, 1, 0]"/>
    <s v="LINESTRING (10.229298200530678 59.65485814358372, 10.229562334476876 59.654806604666724, 10.229597034364984 59.65480057441827, 10.229699442716878 59.6547813785534)"/>
    <s v="[928117, 928125, 928133]"/>
    <s v="[897924, 897932, 875569]"/>
    <s v="0.03335293477415685"/>
    <s v="[891705, 897924, 897932]"/>
    <s v="[0.015, 0.026, 0.084]"/>
    <s v="24.400075197826332"/>
    <s v="[0.015, 0.026, 0.084]"/>
  </r>
  <r>
    <x v="2503"/>
    <x v="3095"/>
    <x v="0"/>
    <n v="0"/>
    <m/>
    <n v="900983"/>
    <n v="875576"/>
    <s v="0.022"/>
    <n v="875575"/>
    <s v="0.022"/>
    <s v="26.319079833609656"/>
    <s v="0.022"/>
  </r>
  <r>
    <x v="2503"/>
    <x v="3096"/>
    <x v="0"/>
    <n v="0"/>
    <m/>
    <n v="901020"/>
    <n v="875575"/>
    <s v="0.204"/>
    <n v="875596"/>
    <s v="0.204"/>
    <s v="25.35749877196155"/>
    <s v="0.204"/>
  </r>
  <r>
    <x v="2503"/>
    <x v="3097"/>
    <x v="0"/>
    <n v="0"/>
    <s v="LINESTRING (10.178064328964542 59.57822212699987, 10.178249697353426 59.5777827950329, 10.17933489632325 59.574538983510664, 10.179307966060248 59.57448712108606)"/>
    <s v="[1226175, 920723, 920731]"/>
    <s v="[891792, 891793, 875575]"/>
    <s v="0.03915700455494112"/>
    <s v="[1148942, 891792, 891793]"/>
    <s v="[0.033, 0.038, 0.162]"/>
    <s v="424.25680122802714"/>
    <s v="[0.033, 0.038, 0.162]"/>
  </r>
  <r>
    <x v="2504"/>
    <x v="3098"/>
    <x v="0"/>
    <n v="0"/>
    <m/>
    <n v="900984"/>
    <n v="875577"/>
    <s v="#FIELD!"/>
    <n v="875576"/>
    <s v="0.379"/>
    <s v="5.587082959844808"/>
    <s v="#FIELD!"/>
  </r>
  <r>
    <x v="2504"/>
    <x v="3099"/>
    <x v="0"/>
    <n v="0"/>
    <s v="LINESTRING (10.179402172470816 59.57430420299766, 10.179463993399706 59.57426036425091, 10.180844534517794 59.57149449009498, 10.180866173551395 59.570341180729294, 10.180887822296318 59.56989310963897)"/>
    <s v="[920779, 920787, 920795, 1226191]"/>
    <s v="[891839, 891847, 891853, 1148963]"/>
    <s v="0.1406688279809979"/>
    <s v="[875576, 891839, 891847, 891853]"/>
    <s v="[0.13, 0.044, 0.318, 0.338]"/>
    <s v="505.5028004986205"/>
    <s v="[-0.13, 0.044, 0.318, 0.338]"/>
  </r>
  <r>
    <x v="2505"/>
    <x v="3096"/>
    <x v="0"/>
    <n v="0"/>
    <s v="LINESTRING (10.179500561502874 59.574308822111284, 10.17960055469884 59.5743457937707, 10.179637982514082 59.57440718268597)"/>
    <s v="[900999, 901000]"/>
    <s v="[875595, 875596]"/>
    <s v="#FIELD!"/>
    <s v="[875577, 875595]"/>
    <s v="[0.337, 0.178]"/>
    <s v="14.15872689244413"/>
    <s v="[-0.337, -0.178]"/>
  </r>
  <r>
    <x v="2505"/>
    <x v="3100"/>
    <x v="0"/>
    <n v="0"/>
    <s v="LINESTRING (10.179500561502874 59.574308822111284, 10.17959940039323 59.574290015763005, 10.179936074278322 59.57422076590403)"/>
    <s v="[942009, 942017]"/>
    <s v="[910397, 891807]"/>
    <s v="#FIELD!"/>
    <s v="[875577, 910397]"/>
    <s v="[0.692, 0.61]"/>
    <s v="26.511142217226244"/>
    <s v="[0.692, -0.61]"/>
  </r>
  <r>
    <x v="2506"/>
    <x v="3100"/>
    <x v="0"/>
    <n v="0"/>
    <s v="LINESTRING (10.179637982514082 59.57440718268597, 10.17970938362838 59.574357247536504, 10.179936074278322 59.57422076590403)"/>
    <s v="[928141, 928149]"/>
    <s v="[897950, 891807]"/>
    <s v="#FIELD!"/>
    <s v="[875596, 897950]"/>
    <s v="[0.137, 0.193]"/>
    <s v="26.76865013500192"/>
    <s v="[-0.137, -0.193]"/>
  </r>
  <r>
    <x v="2507"/>
    <x v="3101"/>
    <x v="0"/>
    <n v="0"/>
    <m/>
    <n v="901027"/>
    <n v="875626"/>
    <s v="0.03"/>
    <n v="875625"/>
    <s v="0.03"/>
    <s v="19.389100091700413"/>
    <s v="0.03"/>
  </r>
  <r>
    <x v="2507"/>
    <x v="3102"/>
    <x v="0"/>
    <n v="0"/>
    <s v="LINESTRING (10.181627705842905 59.573693560921306, 10.18154702288162 59.573657698681075, 10.181511375133342 59.573592777865166)"/>
    <s v="[901063, 901071]"/>
    <s v="[875661, 875625]"/>
    <s v="0.09151178920422973"/>
    <s v="[875657, 875661]"/>
    <s v="[0.081, 0.1]"/>
    <s v="13.57731097648302"/>
    <s v="[0.081, 0.1]"/>
  </r>
  <r>
    <x v="2507"/>
    <x v="3103"/>
    <x v="0"/>
    <n v="0"/>
    <s v="LINESTRING (10.181149557242838 59.57378336948844, 10.181437549302665 59.57363343121008, 10.181511375133342 59.573592777865166)"/>
    <s v="[942025, 942033]"/>
    <s v="[910415, 875625]"/>
    <s v="0.045001286947614016"/>
    <s v="[891819, 910415]"/>
    <s v="[0.092, 0.133]"/>
    <s v="29.495340422471976"/>
    <s v="[0.092, -0.133]"/>
  </r>
  <r>
    <x v="2508"/>
    <x v="3104"/>
    <x v="0"/>
    <n v="0"/>
    <s v="LINESTRING (10.181758424064576 59.5734991334381, 10.181824972832274 59.57351322731103, 10.18189856377723 59.57355552044066, 10.181919750381505 59.57361358417536, 10.181713702457667 59.57370384729158)"/>
    <s v="[901028, 901035, 901036, 901047]"/>
    <s v="[875627, 875634, 875635, 875647]"/>
    <s v="#FIELD!"/>
    <s v="[875626, 875627, 875634, 875635]"/>
    <s v="[0.058, 0.124, 0.101, 0.03]"/>
    <s v="33.38576929650297"/>
    <s v="[-0.058, -0.124, -0.101, -0.03]"/>
  </r>
  <r>
    <x v="2508"/>
    <x v="3105"/>
    <x v="0"/>
    <n v="0"/>
    <s v="LINESTRING (10.181267100403478 59.5698693172693, 10.181326970262276 59.570317696033406, 10.181315226171279 59.57150105475073, 10.181706351665877 59.57345070725515, 10.181758424064576 59.5734991334381)"/>
    <s v="[1226199, 920803, 920811, 920819]"/>
    <s v="[891861, 891862, 891869, 875626]"/>
    <s v="#FIELD!"/>
    <s v="[932621, 891861, 891862, 891869]"/>
    <s v="[0.156, 0.334, 0.103, 0.108]"/>
    <s v="409.53707218875115"/>
    <s v="[-0.156, -0.334, -0.103, -0.108]"/>
  </r>
  <r>
    <x v="2509"/>
    <x v="3102"/>
    <x v="0"/>
    <n v="0"/>
    <m/>
    <n v="901055"/>
    <n v="875657"/>
    <s v="0.069"/>
    <n v="875647"/>
    <s v="0.069"/>
    <s v="4.996015412180602"/>
    <s v="0.069"/>
  </r>
  <r>
    <x v="2509"/>
    <x v="3106"/>
    <x v="0"/>
    <n v="0"/>
    <s v="LINESTRING (10.181713702457667 59.57370384729158, 10.181646499185119 59.57374604928071, 10.178921035830767 59.57736768918646, 10.178607319732123 59.577786994421764)"/>
    <s v="[920763, 920771, 1226183]"/>
    <s v="[891826, 891833, 1148954]"/>
    <s v="#FIELD!"/>
    <s v="[875647, 891826, 891833]"/>
    <s v="[0.062, 0.009, 0.024]"/>
    <s v="489.93949723454386"/>
    <s v="[-0.062, -0.009, 0.024]"/>
  </r>
  <r>
    <x v="2510"/>
    <x v="3103"/>
    <x v="0"/>
    <n v="0"/>
    <s v="LINESTRING (10.181149557242838 59.57378336948844, 10.181522349441694 59.573709735633145, 10.181627705842905 59.573693560921306)"/>
    <s v="[928157, 928165]"/>
    <s v="[897967, 875657]"/>
    <s v="0.0029211003337211742"/>
    <s v="[891819, 897967]"/>
    <s v="[0.004, 0.001]"/>
    <s v="28.84511233238664"/>
    <s v="[0.004, -0.001]"/>
  </r>
  <r>
    <x v="2511"/>
    <x v="3107"/>
    <x v="0"/>
    <n v="0"/>
    <s v="LINESTRING (10.208050068098187 59.50932348327691, 10.207965161739235 59.509270271278275, 10.207933066842712 59.50920969729598, 10.207977827336007 59.50914255426634, 10.208069296268013 59.50909293085894, 10.208204614957253 59.509075213334874, 10.208345218967837 59.509096765005296, 10.208421285191983 59.5091359704482)"/>
    <s v="[901088, 901096, 901103, 901112, 901114, 901131, 901132]"/>
    <s v="[875687, 875693, 875699, 875706, 875708, 875724, 875725]"/>
    <s v="0.050765896298417656"/>
    <s v="[875686, 875687, 875693, 875699, 875706, 875708, 875724]"/>
    <s v="[0.015, 0.047, 0.09, 0.092, 0.066, 0.043, 0.011]"/>
    <s v="52.483126149544944"/>
    <s v="[0.015, 0.047, 0.09, 0.092, 0.066, 0.043, -0.011]"/>
  </r>
  <r>
    <x v="2511"/>
    <x v="3108"/>
    <x v="0"/>
    <n v="0"/>
    <m/>
    <n v="901158"/>
    <n v="875686"/>
    <s v="#FIELD!"/>
    <n v="875749"/>
    <s v="0.061"/>
    <s v="19.402384912927893"/>
    <s v="#FIELD!"/>
  </r>
  <r>
    <x v="2511"/>
    <x v="3109"/>
    <x v="0"/>
    <s v="[0, 0, 1, 0, 0]"/>
    <s v="LINESTRING (10.20468750424191 59.51317309806874, 10.205185305116744 59.512809088379946, 10.207677312194095 59.511290465790964, 10.207902555643008 59.511137721566406, 10.208092262066975 59.50938796315439, 10.208050068098187 59.50932348327691)"/>
    <s v="[967641, 920827, 920835, 920837, 920838]"/>
    <s v="[876600, 891881, 891888, 891890, 875686]"/>
    <s v="#FIELD!"/>
    <s v="[931480, 876600, 891881, 891888, 891890]"/>
    <s v="[0.22, 0.022, 0.002, 0.017, 0.053]"/>
    <s v="512.7035276551801"/>
    <s v="[-0.22, -0.022, 0.002, 0.017, 0.053]"/>
  </r>
  <r>
    <x v="2512"/>
    <x v="3110"/>
    <x v="0"/>
    <n v="0"/>
    <s v="LINESTRING (10.208421285191983 59.5091359704482, 10.208465897020933 59.50921469745532, 10.208406026228356 59.50929602005236)"/>
    <s v="[901141, 901156]"/>
    <s v="[875735, 875748]"/>
    <s v="#FIELD!"/>
    <s v="[875725, 875735]"/>
    <s v="[0.04, 0.093]"/>
    <s v="18.80963321154916"/>
    <s v="[-0.04, -0.093]"/>
  </r>
  <r>
    <x v="2512"/>
    <x v="3111"/>
    <x v="0"/>
    <n v="0"/>
    <s v="LINESTRING (10.208421285191983 59.5091359704482, 10.208552616729873 59.50915465379233, 10.209105269875279 59.50922688982008)"/>
    <s v="[942041, 942049]"/>
    <s v="[910435, 891891]"/>
    <s v="0.03273534010616921"/>
    <s v="[875725, 910435]"/>
    <s v="[0.019, 0.036]"/>
    <s v="40.232678279367164"/>
    <s v="[0.019, 0.036]"/>
  </r>
  <r>
    <x v="2513"/>
    <x v="3108"/>
    <x v="0"/>
    <n v="0"/>
    <m/>
    <n v="901157"/>
    <n v="875749"/>
    <s v="#FIELD!"/>
    <n v="875748"/>
    <s v="0.085"/>
    <s v="2.5366152642908806"/>
    <s v="#FIELD!"/>
  </r>
  <r>
    <x v="2513"/>
    <x v="3111"/>
    <x v="0"/>
    <n v="0"/>
    <s v="LINESTRING (10.208406026228356 59.50929602005236, 10.208544610124534 59.50927924060621, 10.209105269875279 59.50922688982008)"/>
    <s v="[928173, 928181]"/>
    <s v="[897983, 891891]"/>
    <s v="0.06378773752694235"/>
    <s v="[875748, 897983]"/>
    <s v="[0.075, 0.061]"/>
    <s v="40.53161925223026"/>
    <s v="[0.075, 0.061]"/>
  </r>
  <r>
    <x v="2514"/>
    <x v="3112"/>
    <x v="0"/>
    <n v="0"/>
    <s v="LINESTRING (10.208374708673924 59.509312285007574, 10.208334769371197 59.50938647752505, 10.210210060998152 59.50929654952301, 10.210351605385641 59.50917221307189, 10.211506251565645 59.508045205583606, 10.211801044019499 59.50777627062538, 10.21193540698538 59.50765256877773)"/>
    <s v="[920934, 920942, 920950, 920958, 920966, 1221292]"/>
    <s v="[891969, 891976, 891983, 891990, 891995, 1143943]"/>
    <s v="0.013423336942038754"/>
    <s v="[875749, 891969, 891976, 891983, 891990, 891995]"/>
    <s v="[0.088, 0.006, 0.042, 0.045, 0.004, 0.02]"/>
    <s v="430.67780549131857"/>
    <s v="[-0.088, 0.006, -0.042, 0.045, -0.004, -0.02]"/>
  </r>
  <r>
    <x v="2515"/>
    <x v="3113"/>
    <x v="0"/>
    <n v="0"/>
    <s v="LINESTRING (10.212027518690924 59.50919219460501, 10.212310543838534 59.509148381425696, 10.21244868183986 59.50919878470132, 10.21249705644992 59.50928061654903, 10.21229665808031 59.50940819326286)"/>
    <s v="[901182, 901183, 901184, 901185]"/>
    <s v="[875773, 875774, 875775, 875776]"/>
    <s v="0.0036755661152215054"/>
    <s v="[875772, 875773, 875774, 875775]"/>
    <s v="[0.025, 0.004, 0.025, 0.023]"/>
    <s v="55.896297877546274"/>
    <s v="[-0.025, -0.004, 0.025, 0.023]"/>
  </r>
  <r>
    <x v="2515"/>
    <x v="3114"/>
    <x v="0"/>
    <n v="0"/>
    <s v="LINESTRING (10.211999619394506 59.509344170543365, 10.211968250951893 59.509270329466055, 10.212027518690924 59.50919219460501)"/>
    <s v="[901225, 901233]"/>
    <s v="[875818, 875772]"/>
    <s v="#FIELD!"/>
    <s v="[875811, 875818]"/>
    <s v="[0.002, 0.011]"/>
    <s v="17.753690982808845"/>
    <s v="[-0.002, -0.011]"/>
  </r>
  <r>
    <x v="2515"/>
    <x v="3115"/>
    <x v="0"/>
    <n v="0"/>
    <s v="LINESTRING (10.211300246062509 59.50926148128875, 10.211891670926713 59.509212280380225, 10.212027518690924 59.50919219460501)"/>
    <s v="[942057, 942065]"/>
    <s v="[910453, 875772]"/>
    <s v="0.03713090827718106"/>
    <s v="[891905, 910453]"/>
    <s v="[0.058, 0.052]"/>
    <s v="42.24746663322218"/>
    <s v="[0.058, -0.052]"/>
  </r>
  <r>
    <x v="2516"/>
    <x v="3116"/>
    <x v="0"/>
    <n v="0"/>
    <m/>
    <n v="901195"/>
    <n v="875783"/>
    <s v="#FIELD!"/>
    <n v="875776"/>
    <s v="0.005"/>
    <s v="16.856852388610925"/>
    <s v="#FIELD!"/>
  </r>
  <r>
    <x v="2516"/>
    <x v="3117"/>
    <x v="0"/>
    <s v="[0, 0, 1, 0, 0]"/>
    <s v="LINESTRING (10.21229665808031 59.50940819326286, 10.212239686570468 59.509458194517656, 10.208247786018593 59.511298818223686, 10.207984892957594 59.511479864953344, 10.206810215528936 59.51224810058743, 10.206165513263413 59.51255005033581)"/>
    <s v="[920862, 920870, 920878, 920886, 967654]"/>
    <s v="[891911, 891916, 891923, 876609, 931489]"/>
    <s v="#FIELD!"/>
    <s v="[875776, 891911, 891916, 891923, 876609]"/>
    <s v="[0.014, 0.027, 0.003, 0.022, 0.074]"/>
    <s v="525.0573526044957"/>
    <s v="[0.014, -0.027, -0.003, 0.022, 0.074]"/>
  </r>
  <r>
    <x v="2517"/>
    <x v="3114"/>
    <x v="0"/>
    <n v="0"/>
    <m/>
    <n v="901217"/>
    <n v="875811"/>
    <s v="#FIELD!"/>
    <n v="875783"/>
    <s v="0.003"/>
    <s v="2.508981068476489"/>
    <s v="#FIELD!"/>
  </r>
  <r>
    <x v="2517"/>
    <x v="3118"/>
    <x v="0"/>
    <n v="0"/>
    <s v="LINESTRING (10.212159895883858 59.50764191479704, 10.212023553995731 59.50782941022497, 10.211855828731073 59.50806342873438, 10.210849607594428 59.50917969431255, 10.210743403357732 59.50930442860194, 10.212020500297578 59.50942855603465, 10.212024494141371 59.509362794676136)"/>
    <s v="[1221305, 920894, 920902, 920910, 920918, 920926]"/>
    <s v="[891935, 891936, 891942, 891951, 891955, 875783]"/>
    <s v="#FIELD!"/>
    <s v="[932927, 891935, 891936, 891942, 891951, 891955]"/>
    <s v="[0.038, 0.009, 0.032, 0.006, 0.021, 0.006]"/>
    <s v="383.8729821695184"/>
    <s v="[-0.038, -0.009, -0.032, -0.006, 0.021, -0.006]"/>
  </r>
  <r>
    <x v="2518"/>
    <x v="3115"/>
    <x v="0"/>
    <n v="0"/>
    <s v="LINESTRING (10.211300246062509 59.50926148128875, 10.21188331062803 59.509327481120316, 10.211999619394506 59.509344170543365)"/>
    <s v="[928189, 928197]"/>
    <s v="[898001, 875811]"/>
    <s v="0.04079604021381596"/>
    <s v="[891905, 898001]"/>
    <s v="[0.05, 0.005]"/>
    <s v="40.91387816578729"/>
    <s v="[0.05, -0.005]"/>
  </r>
  <r>
    <x v="2519"/>
    <x v="3119"/>
    <x v="0"/>
    <n v="0"/>
    <m/>
    <n v="901234"/>
    <n v="875826"/>
    <s v="0.024"/>
    <n v="875825"/>
    <s v="0.024"/>
    <s v="15.58123903934922"/>
    <s v="0.024"/>
  </r>
  <r>
    <x v="2519"/>
    <x v="3120"/>
    <x v="0"/>
    <n v="0"/>
    <m/>
    <n v="901338"/>
    <n v="875825"/>
    <s v="#FIELD!"/>
    <n v="875907"/>
    <s v="0.028"/>
    <s v="14.61192967769294"/>
    <s v="#FIELD!"/>
  </r>
  <r>
    <x v="2519"/>
    <x v="3121"/>
    <x v="0"/>
    <n v="0"/>
    <s v="LINESTRING (10.312650950964027 59.46874435398372, 10.313497148148441 59.468620057048966, 10.314555749624494 59.46849349171378, 10.314860936955437 59.468459482608914, 10.315893268160604 59.46757495311822, 10.315790920188617 59.46759073237693)"/>
    <s v="[1221316, 920982, 920990, 920998, 921006]"/>
    <s v="[892008, 892009, 892016, 892022, 875825]"/>
    <s v="0.009067151372501903"/>
    <s v="[1143960, 892008, 892009, 892016, 892022]"/>
    <s v="[0.126, 0.043, 0.046, 0.001, 0.048]"/>
    <s v="369.74062081401814"/>
    <s v="[0.126, -0.043, -0.046, 0.001, 0.048]"/>
  </r>
  <r>
    <x v="2520"/>
    <x v="3122"/>
    <x v="0"/>
    <n v="0"/>
    <s v="LINESTRING (10.31559006523232 59.467679085416876, 10.315418443920388 59.46766637287821, 10.315299617159802 59.467604206531625)"/>
    <s v="[901268, 901276]"/>
    <s v="[875856, 875864]"/>
    <s v="0.06548685781827118"/>
    <s v="[875826, 875856]"/>
    <s v="[0.064, 0.067]"/>
    <s v="19.503075388946687"/>
    <s v="[0.064, 0.067]"/>
  </r>
  <r>
    <x v="2520"/>
    <x v="3123"/>
    <x v="0"/>
    <n v="0"/>
    <s v="LINESTRING (10.31559006523232 59.467679085416876, 10.315514476353565 59.46773079650073, 10.315081891800403 59.468077055454366)"/>
    <s v="[942073, 942081]"/>
    <s v="[910471, 892035]"/>
    <s v="0.0002932709452545716"/>
    <s v="[875826, 910471]"/>
    <s v="[0.157, 0.025]"/>
    <s v="52.9148776531711"/>
    <s v="[-0.157, 0.025]"/>
  </r>
  <r>
    <x v="2521"/>
    <x v="3120"/>
    <x v="0"/>
    <n v="0"/>
    <s v="LINESTRING (10.315299617159802 59.467604206531625, 10.315399661591448 59.467432747826734, 10.315543532955157 59.467411309685424, 10.315679353255483 59.46743110114324, 10.31575177173741 59.46746520122763)"/>
    <s v="[901292, 901300, 901308, 901317]"/>
    <s v="[875880, 875890, 875898, 875907]"/>
    <s v="#FIELD!"/>
    <s v="[875864, 875880, 875890, 875898]"/>
    <s v="[0.006, 0.045, 0.056, 0.053]"/>
    <s v="43.43259678966497"/>
    <s v="[-0.006, -0.045, -0.056, -0.053]"/>
  </r>
  <r>
    <x v="2521"/>
    <x v="3123"/>
    <x v="0"/>
    <n v="0"/>
    <s v="LINESTRING (10.315299617159802 59.467604206531625, 10.315289493706551 59.46768152900361, 10.315081891800403 59.468077055454366)"/>
    <s v="[928205, 928213]"/>
    <s v="[898014, 892035]"/>
    <s v="#FIELD!"/>
    <s v="[875864, 898014]"/>
    <s v="[0.028, 0.023]"/>
    <s v="54.521870871021505"/>
    <s v="[-0.028, -0.023]"/>
  </r>
  <r>
    <x v="2522"/>
    <x v="3124"/>
    <x v="0"/>
    <n v="0"/>
    <s v="LINESTRING (10.31575177173741 59.46746520122763, 10.31588702929613 59.46747273963633, 10.323299753315073 59.46754630049324, 10.32417288064238 59.46748226532183)"/>
    <s v="[921062, 921070, 1221331]"/>
    <s v="[892079, 892088, 1143974]"/>
    <s v="#FIELD!"/>
    <s v="[875907, 892079, 892088]"/>
    <s v="[0.056, 0.043, 0.151]"/>
    <s v="501.30527729665846"/>
    <s v="[-0.056, -0.043, 0.151]"/>
  </r>
  <r>
    <x v="2523"/>
    <x v="3125"/>
    <x v="0"/>
    <n v="0"/>
    <m/>
    <n v="901346"/>
    <n v="875935"/>
    <s v="#FIELD!"/>
    <n v="875934"/>
    <s v="0.044"/>
    <s v="2.8769304816762564"/>
    <s v="#FIELD!"/>
  </r>
  <r>
    <x v="2523"/>
    <x v="3126"/>
    <x v="0"/>
    <n v="0"/>
    <s v="LINESTRING (10.313839111844558 59.469347251910975, 10.313981684904059 59.46935562164052, 10.314088745127032 59.469399305225394)"/>
    <s v="[901417, 901423]"/>
    <s v="[876008, 875934]"/>
    <s v="#FIELD!"/>
    <s v="[876004, 876008]"/>
    <s v="[0.049, 0.05]"/>
    <s v="15.923070065580369"/>
    <s v="[-0.049, -0.05]"/>
  </r>
  <r>
    <x v="2523"/>
    <x v="3127"/>
    <x v="0"/>
    <n v="0"/>
    <s v="LINESTRING (10.314394706696419 59.468877171174405, 10.314114056405721 59.469337387499905, 10.314088745127032 59.469399305225394)"/>
    <s v="[942089, 942097]"/>
    <s v="[910487, 875934]"/>
    <s v="#FIELD!"/>
    <s v="[892044, 910487]"/>
    <s v="[0.008, 0.043]"/>
    <s v="60.755240668347575"/>
    <s v="[-0.008, -0.043]"/>
  </r>
  <r>
    <x v="2524"/>
    <x v="3128"/>
    <x v="0"/>
    <n v="0"/>
    <m/>
    <n v="901366"/>
    <n v="875956"/>
    <s v="#FIELD!"/>
    <n v="875935"/>
    <s v="0.019"/>
    <s v="13.81287880845067"/>
    <s v="#FIELD!"/>
  </r>
  <r>
    <x v="2524"/>
    <x v="3129"/>
    <x v="0"/>
    <n v="0"/>
    <s v="LINESTRING (10.314116650727321 59.469420860449375, 10.31424032950465 59.46943203194163, 10.314628991522719 59.468729981929265, 10.314320408257068 59.468762969088, 10.310804621653432 59.46913400921033, 10.30992967174744 59.46919789082443)"/>
    <s v="[921030, 921038, 921046, 921054, 1221310]"/>
    <s v="[892053, 892059, 892066, 892073, 933039]"/>
    <s v="#FIELD!"/>
    <s v="[875935, 892053, 892059, 892066, 892073]"/>
    <s v="[0.049, 0.005, 0.043, 0.01, 0.004]"/>
    <s v="512.2863142776765"/>
    <s v="[-0.049, 0.005, 0.043, -0.01, 0.004]"/>
  </r>
  <r>
    <x v="2525"/>
    <x v="3126"/>
    <x v="0"/>
    <n v="0"/>
    <s v="LINESTRING (10.314109877435374 59.46954153120738, 10.31400324075018 59.46959810744876, 10.313853739940535 59.4696146916617, 10.313703080475918 59.46958166494054, 10.313839111844558 59.469347251910975)"/>
    <s v="[901374, 901382, 901398, 901414]"/>
    <s v="[875966, 875974, 875986, 876004]"/>
    <s v="0.019403054025524218"/>
    <s v="[875956, 875966, 875974, 875986]"/>
    <s v="[0.018, 0.043, 0.051, 0.005]"/>
    <s v="60.49769894310006"/>
    <s v="[0.018, 0.043, 0.051, 0.005]"/>
  </r>
  <r>
    <x v="2525"/>
    <x v="3130"/>
    <x v="0"/>
    <n v="0"/>
    <s v="LINESTRING (10.32079413228977 59.46800149563039, 10.319947727251666 59.46812763042736, 10.314220659850582 59.469533548627616, 10.314109877435374 59.46954153120738)"/>
    <s v="[1221323, 921078, 921086]"/>
    <s v="[892097, 892098, 875956]"/>
    <s v="0.007575587274155073"/>
    <s v="[933110, 892097, 892098]"/>
    <s v="[0.023, 0.005, 0.043]"/>
    <s v="443.22789684523843"/>
    <s v="[0.023, 0.005, 0.043]"/>
  </r>
  <r>
    <x v="2526"/>
    <x v="3127"/>
    <x v="0"/>
    <n v="0"/>
    <s v="LINESTRING (10.314394706696419 59.468877171174405, 10.313904419251335 59.46929809548043, 10.313839111844558 59.469347251910975)"/>
    <s v="[928221, 928229]"/>
    <s v="[898029, 876004]"/>
    <s v="0.0016468755166255669"/>
    <s v="[892044, 898029]"/>
    <s v="[0.001, 0.007]"/>
    <s v="61.34127975133208"/>
    <s v="[0.001, 0.007]"/>
  </r>
  <r>
    <x v="2527"/>
    <x v="3131"/>
    <x v="0"/>
    <n v="0"/>
    <s v="LINESTRING (10.35762589668796 59.448384348931725, 10.357740090745725 59.44837664154963, 10.357850354101323 59.448398457365045, 10.357924134642763 59.448456858148504, 10.357791595236138 59.44859262114757, 10.357663805930795 59.448597065253765, 10.357528838074854 59.44855088543651, 10.35762589668796 59.448384348931725)"/>
    <s v="[901448, 901459, 901460, 901467, 901481, 901482, 901510]"/>
    <s v="[876035, 876045, 876046, 876050, 876063, 876064, 876034]"/>
    <s v="#FIELD!"/>
    <s v="[876034, 876035, 876045, 876046, 876050, 876063, 876064]"/>
    <s v="[0.159, 0.156, 0.089, 0.076, 0.199, 0.142, 0.062]"/>
    <s v="77.47886618445244"/>
    <s v="[0.159, 0.156, 0.089, -0.076, -0.199, -0.142, 0.062]"/>
  </r>
  <r>
    <x v="2527"/>
    <x v="3132"/>
    <x v="0"/>
    <n v="0"/>
    <s v="LINESTRING (10.35797793483213 59.44519041018497, 10.357882402963773 59.445616037428614, 10.357566727150763 59.44835975621124, 10.35762589668796 59.448384348931725)"/>
    <s v="[1226527, 921150, 921158]"/>
    <s v="[892160, 892161, 876034]"/>
    <s v="0.005616233154804494"/>
    <s v="[933231, 892160, 892161]"/>
    <s v="[0.076, 0.007, 0.135]"/>
    <s v="362.90125836041454"/>
    <s v="[0.076, -0.007, 0.135]"/>
  </r>
  <r>
    <x v="2528"/>
    <x v="2974"/>
    <x v="0"/>
    <n v="0"/>
    <s v="LINESTRING (10.36330158905829 59.42300216126296, 10.363098769589529 59.42290491151828, 10.363093686030071 59.422826084503214, 10.363163807487268 59.422765565618036, 10.363305195332021 59.42272517536024)"/>
    <s v="[901511, 901512, 901513, 901524]"/>
    <s v="[876097, 876098, 876099, 876111]"/>
    <s v="#FIELD!"/>
    <s v="[876096, 876097, 876098, 876099]"/>
    <s v="[0.023, 0.005, 0.026, 0.039]"/>
    <s v="42.16278083677291"/>
    <s v="[0.023, -0.005, -0.026, -0.039]"/>
  </r>
  <r>
    <x v="2528"/>
    <x v="3133"/>
    <x v="0"/>
    <n v="0"/>
    <m/>
    <n v="901546"/>
    <n v="876096"/>
    <s v="0.039"/>
    <n v="876128"/>
    <s v="0.039"/>
    <s v="16.163643072763055"/>
    <s v="0.039"/>
  </r>
  <r>
    <x v="2528"/>
    <x v="2975"/>
    <x v="0"/>
    <n v="0"/>
    <s v="LINESTRING (10.364428885980814 59.42663359640011, 10.364377164199881 59.42618653943782, 10.364349240451187 59.425011791702744, 10.36434720212818 59.42496225061484, 10.363386162090325 59.42304974621838, 10.36330158905829 59.42300216126296)"/>
    <s v="[1226655, 921166, 921174, 921182, 921190]"/>
    <s v="[892173, 892174, 892181, 892189, 876096]"/>
    <s v="0.004541692489304133"/>
    <s v="[1149433, 892173, 892174, 892181, 892189]"/>
    <s v="[0.016, 0.004, 0.01, 0.002, 0.025]"/>
    <s v="416.6592207833415"/>
    <s v="[0.016, 0.004, -0.01, 0.002, 0.025]"/>
  </r>
  <r>
    <x v="2529"/>
    <x v="3134"/>
    <x v="0"/>
    <n v="0"/>
    <m/>
    <n v="901525"/>
    <n v="876112"/>
    <s v="#FIELD!"/>
    <n v="876111"/>
    <s v="0.027"/>
    <s v="24.321186901681095"/>
    <s v="#FIELD!"/>
  </r>
  <r>
    <x v="2530"/>
    <x v="3133"/>
    <x v="0"/>
    <n v="0"/>
    <s v="LINESTRING (10.363636361518342 59.422831866258164, 10.363628038364235 59.42290665448125, 10.363564911734088 59.422960568826994)"/>
    <s v="[901533, 901540]"/>
    <s v="[876121, 876128]"/>
    <s v="0.016119286263673246"/>
    <s v="[876112, 876121]"/>
    <s v="[0.007, 0.027]"/>
    <s v="15.34588958002104"/>
    <s v="[0.007, 0.027]"/>
  </r>
  <r>
    <x v="2530"/>
    <x v="3135"/>
    <x v="0"/>
    <n v="0"/>
    <s v="LINESTRING (10.363636361518342 59.422831866258164, 10.363727513717002 59.42286209223784, 10.363971118559006 59.42294044689609)"/>
    <s v="[942105, 942113]"/>
    <s v="[910504, 892203]"/>
    <s v="#FIELD!"/>
    <s v="[876112, 910504]"/>
    <s v="[0.3, 0.157]"/>
    <s v="22.53742091322797"/>
    <s v="[0.3, -0.157]"/>
  </r>
  <r>
    <x v="2531"/>
    <x v="3135"/>
    <x v="0"/>
    <n v="0"/>
    <s v="LINESTRING (10.363564911734088 59.422960568826994, 10.363695632629137 59.42295475042881, 10.363971118559006 59.42294044689609)"/>
    <s v="[928237, 928245]"/>
    <s v="[898043, 892203]"/>
    <s v="#FIELD!"/>
    <s v="[876128, 898043]"/>
    <s v="[0.044, 0.04]"/>
    <s v="23.179491798212034"/>
    <s v="[-0.044, -0.04]"/>
  </r>
  <r>
    <x v="2532"/>
    <x v="3136"/>
    <x v="0"/>
    <n v="0"/>
    <m/>
    <n v="901554"/>
    <n v="876138"/>
    <s v="0.001"/>
    <n v="876137"/>
    <s v="0.001"/>
    <s v="6.529931087045607"/>
    <s v="0.001"/>
  </r>
  <r>
    <x v="2532"/>
    <x v="3137"/>
    <x v="0"/>
    <n v="0"/>
    <s v="LINESTRING (10.366297454259067 59.42330111242736, 10.366298885506405 59.42323910281553, 10.366367798503763 59.42317409617538)"/>
    <s v="[901616, 901637]"/>
    <s v="[876190, 876137]"/>
    <s v="#FIELD!"/>
    <s v="[876189, 876190]"/>
    <s v="[0.004, 0.002]"/>
    <s v="15.146267229036226"/>
    <s v="[-0.004, -0.002]"/>
  </r>
  <r>
    <x v="2532"/>
    <x v="3138"/>
    <x v="0"/>
    <n v="0"/>
    <s v="LINESTRING (10.365802682008104 59.42317168324981, 10.366077331857612 59.42317637739704, 10.366245594434943 59.42317894292908, 10.366367798503763 59.42317409617538)"/>
    <s v="[942121, 942129, 942137]"/>
    <s v="[910521, 910528, 876137]"/>
    <s v="0.0038854248287363093"/>
    <s v="[892217, 910521, 910528]"/>
    <s v="[0.073, 0.021, 0.177]"/>
    <s v="32.37386398089394"/>
    <s v="[0.073, 0.021, -0.177]"/>
  </r>
  <r>
    <x v="2533"/>
    <x v="3139"/>
    <x v="0"/>
    <n v="0"/>
    <s v="LINESTRING (10.366460770332248 59.423139626083895, 10.366598102952354 59.423129218930505, 10.36673940141478 59.42315816767268)"/>
    <s v="[901556, 901557]"/>
    <s v="[876140, 876141]"/>
    <s v="0.00456928744937739"/>
    <s v="[876138, 876140]"/>
    <s v="[0.003, 0.006]"/>
    <s v="16.53462031469367"/>
    <s v="[0.003, 0.006]"/>
  </r>
  <r>
    <x v="2533"/>
    <x v="3140"/>
    <x v="0"/>
    <n v="0"/>
    <s v="LINESTRING (10.366606035123823 59.42276978396164, 10.3665583105473 59.4229550060501, 10.366492195999532 59.42308890948741, 10.366460770332248 59.423139626083895)"/>
    <s v="[928293, 928301, 928309]"/>
    <s v="[898098, 898108, 876138]"/>
    <s v="0.004353442165983635"/>
    <s v="[879203, 898098, 898108]"/>
    <s v="[0.005, 0.004, 0.003]"/>
    <s v="42.137102489506155"/>
    <s v="[0.005, 0.004, 0.003]"/>
  </r>
  <r>
    <x v="2534"/>
    <x v="3141"/>
    <x v="0"/>
    <n v="0"/>
    <s v="LINESTRING (10.36673940141478 59.42315816767268, 10.36683780060215 59.423234879618704, 10.36683240787687 59.423312938056654, 10.366758838762877 59.42337328224388, 10.366603653854492 59.423410937081954)"/>
    <s v="[901561, 901568, 901576, 901584]"/>
    <s v="[876145, 876151, 876157, 876164]"/>
    <s v="0.0030132349704231768"/>
    <s v="[876141, 876145, 876151, 876157]"/>
    <s v="[0.007, 0.006, 0.002, 0.003]"/>
    <s v="36.59866462585162"/>
    <s v="[0.007, 0.006, 0.002, -0.003]"/>
  </r>
  <r>
    <x v="2534"/>
    <x v="3140"/>
    <x v="0"/>
    <n v="0"/>
    <s v="LINESTRING (10.366606035123823 59.42276978396164, 10.366682840379323 59.42295856142015, 10.366724205289032 59.42309822019395, 10.36673940141478 59.42315816767268)"/>
    <s v="[904841, 904849, 904857]"/>
    <s v="[879204, 879213, 876141]"/>
    <s v="0.006152405178993709"/>
    <s v="[879203, 879204, 879213]"/>
    <s v="[0.006, 0.006, 0.007]"/>
    <s v="44.20313788716163"/>
    <s v="[0.006, 0.006, 0.007]"/>
  </r>
  <r>
    <x v="2535"/>
    <x v="3137"/>
    <x v="0"/>
    <n v="0"/>
    <s v="LINESTRING (10.366603653854492 59.423410937081954, 10.36647579735675 59.42340369266105, 10.366364577235558 59.42336776330234, 10.366307420893847 59.423318555950026, 10.366297454259067 59.42330111242736)"/>
    <s v="[901585, 901588, 901589, 901615]"/>
    <s v="[876165, 876168, 876169, 876189]"/>
    <s v="#FIELD!"/>
    <s v="[876164, 876165, 876168, 876169]"/>
    <s v="[0.007, 0.008, 0.006, 0.005]"/>
    <s v="23.182884298958644"/>
    <s v="[-0.007, -0.008, -0.006, -0.005]"/>
  </r>
  <r>
    <x v="2535"/>
    <x v="2972"/>
    <x v="0"/>
    <n v="0"/>
    <s v="LINESTRING (10.366603653854492 59.423410937081954, 10.366558532806884 59.423452361355395, 10.366437369916518 59.42356766804756, 10.366088416203807 59.42379645927348, 10.365743399064154 59.423905612848614, 10.364815391193373 59.42495911695039, 10.364817184970573 59.42501044817375, 10.364753678936012 59.42698153529598, 10.36466589137166 59.4274290264881)"/>
    <s v="[921221, 921229, 921237, 921245, 921253, 921261, 921269, 1226663]"/>
    <s v="[892222, 892230, 892236, 892243, 892250, 892256, 892264, 933302]"/>
    <s v="#FIELD!"/>
    <s v="[876164, 892222, 892230, 892236, 892243, 892250, 892256, 892264]"/>
    <s v="[0.002, 0.001, 0.002, 0.002, 0.0, 0.011, 0.009, 0.008]"/>
    <s v="485.1828903778968"/>
    <s v="[0.002, 0.001, 0.002, -0.002, 0.0, 0.011, -0.009, -0.008]"/>
  </r>
  <r>
    <x v="2536"/>
    <x v="3138"/>
    <x v="0"/>
    <n v="0"/>
    <s v="LINESTRING (10.365802682008104 59.42317168324981, 10.36604511925354 59.423236572877045, 10.36620503162809 59.42327717512408, 10.366297454259067 59.42330111242736)"/>
    <s v="[928253, 928261, 928269]"/>
    <s v="[898059, 898067, 876189]"/>
    <s v="0.005503772085724931"/>
    <s v="[892217, 898059, 898067]"/>
    <s v="[0.005, 0.006, 0.006]"/>
    <s v="31.829961181069272"/>
    <s v="[0.005, 0.006, 0.006]"/>
  </r>
  <r>
    <x v="2537"/>
    <x v="3142"/>
    <x v="0"/>
    <n v="0"/>
    <s v="LINESTRING (10.365844369364156 59.422117830994026, 10.366000043445368 59.422063806996945, 10.366135847822402 59.42206710732662, 10.366228401685612 59.42210088916408, 10.366275069301956 59.42223170646402)"/>
    <s v="[901638, 901655, 901663, 901664]"/>
    <s v="[876209, 876228, 876234, 876235]"/>
    <s v="#FIELD!"/>
    <s v="[876208, 876209, 876228, 876234]"/>
    <s v="[0.002, 0.004, 0.007, 0.009]"/>
    <s v="40.55561529694047"/>
    <s v="[0.002, -0.004, -0.007, -0.009]"/>
  </r>
  <r>
    <x v="2537"/>
    <x v="3143"/>
    <x v="0"/>
    <n v="0"/>
    <s v="LINESTRING (10.366078862985825 59.4223066672045, 10.365951313968406 59.42229656392797, 10.36586735649147 59.422265866841684, 10.365820038138212 59.42222075069655, 10.365844369364156 59.422117830994026)"/>
    <s v="[901703, 901706, 901707, 901714]"/>
    <s v="[343990, 876264, 343968, 876208]"/>
    <s v="0.006699810432218204"/>
    <s v="[876260, 343990, 876264, 343968]"/>
    <s v="[0.005, 0.008, 0.009, 0.006]"/>
    <s v="30.737817523502223"/>
    <s v="[0.005, 0.008, 0.009, 0.006]"/>
  </r>
  <r>
    <x v="2538"/>
    <x v="3143"/>
    <x v="0"/>
    <n v="0"/>
    <s v="LINESTRING (10.366275069301956 59.42223170646402, 10.366191439114118 59.42228368762997, 10.366078862985825 59.4223066672045)"/>
    <s v="[901679, 901695]"/>
    <s v="[876247, 876260]"/>
    <s v="#FIELD!"/>
    <s v="[876235, 876247]"/>
    <s v="[0.003, 0.002]"/>
    <s v="14.379287125008943"/>
    <s v="[-0.003, 0.002]"/>
  </r>
  <r>
    <x v="2538"/>
    <x v="3144"/>
    <x v="0"/>
    <n v="0"/>
    <s v="LINESTRING (10.366275069301956 59.42223170646402, 10.366307804039042 59.42228072903334, 10.36642521139905 59.4224610567739)"/>
    <s v="[942145, 942153]"/>
    <s v="[910545, 892311]"/>
    <s v="#FIELD!"/>
    <s v="[876235, 910545]"/>
    <s v="[0.021, 0.008]"/>
    <s v="27.228678807527075"/>
    <s v="[0.021, -0.008]"/>
  </r>
  <r>
    <x v="2539"/>
    <x v="3144"/>
    <x v="0"/>
    <n v="0"/>
    <s v="LINESTRING (10.366078862985825 59.4223066672045, 10.36616646846284 59.42233650450057, 10.36642521139905 59.4224610567739)"/>
    <s v="[928277, 928285]"/>
    <s v="[898082, 892311]"/>
    <s v="#FIELD!"/>
    <s v="[876260, 898082]"/>
    <s v="[0.003, 0.001]"/>
    <s v="26.41768102792426"/>
    <s v="[-0.003, -0.001]"/>
  </r>
  <r>
    <x v="2540"/>
    <x v="3145"/>
    <x v="0"/>
    <n v="0"/>
    <m/>
    <n v="901722"/>
    <n v="876279"/>
    <s v="#FIELD!"/>
    <n v="876278"/>
    <s v="0.007"/>
    <s v="33.728466723760505"/>
    <s v="#FIELD!"/>
  </r>
  <r>
    <x v="2540"/>
    <x v="3146"/>
    <x v="0"/>
    <n v="0"/>
    <m/>
    <n v="901746"/>
    <n v="876278"/>
    <s v="#FIELD!"/>
    <n v="876296"/>
    <s v="0.072"/>
    <s v="21.843282661720373"/>
    <s v="#FIELD!"/>
  </r>
  <r>
    <x v="2540"/>
    <x v="3147"/>
    <x v="0"/>
    <n v="0"/>
    <s v="LINESTRING (10.244505685124677 59.211754059922406, 10.244141274543221 59.21140132799721, 10.23984110397244 59.20932841106324, 10.239680871991146 59.209323972329)"/>
    <s v="[977578, 977562, 977570]"/>
    <s v="[939308, 939309, 876278]"/>
    <s v="#FIELD!"/>
    <s v="[939318, 939308, 939309]"/>
    <s v="[0.012, 0.02, 0.114]"/>
    <s v="401.4305148129541"/>
    <s v="[-0.012, -0.02, 0.114]"/>
  </r>
  <r>
    <x v="2541"/>
    <x v="3148"/>
    <x v="0"/>
    <n v="0"/>
    <m/>
    <n v="901723"/>
    <n v="876280"/>
    <s v="0.084"/>
    <n v="876279"/>
    <s v="0.084"/>
    <s v="19.086065317276084"/>
    <s v="0.084"/>
  </r>
  <r>
    <x v="2541"/>
    <x v="3149"/>
    <x v="0"/>
    <n v="0"/>
    <s v="LINESTRING (10.239303720538905 59.20917574834956, 10.23924608177654 59.20911111731232, 10.23345566949218 59.20692958778771, 10.232831858994976 59.20672056008245, 10.232649620416735 59.20664397184071, 10.232226332842236 59.20643845831386)"/>
    <s v="[977599, 977601, 977608, 977615, 977654]"/>
    <s v="[939328, 939329, 939332, 939337, 939358]"/>
    <s v="0.030184987654364927"/>
    <s v="[876279, 939328, 939329, 939332, 939337]"/>
    <s v="[0.045, 0.045, 0.045, 0.039, 0.033]"/>
    <s v="510.5224021936429"/>
    <s v="[0.045, 0.045, -0.045, -0.039, -0.033]"/>
  </r>
  <r>
    <x v="2542"/>
    <x v="3146"/>
    <x v="0"/>
    <n v="0"/>
    <s v="LINESTRING (10.23954771781003 59.20907513874327, 10.239693260864541 59.20909558990823, 10.239788997036813 59.209151183910265)"/>
    <s v="[901730, 901738]"/>
    <s v="[876289, 876296]"/>
    <s v="0.011871672029473182"/>
    <s v="[876280, 876289]"/>
    <s v="[0.029, 0.006]"/>
    <s v="16.89163986752929"/>
    <s v="[0.029, -0.006]"/>
  </r>
  <r>
    <x v="2542"/>
    <x v="3150"/>
    <x v="0"/>
    <n v="0"/>
    <s v="LINESTRING (10.23954771781003 59.20907513874327, 10.239660365249824 59.20903213661903, 10.239902067303214 59.20892910345223)"/>
    <s v="[904858, 904865]"/>
    <s v="[879220, 879226]"/>
    <s v="0.07463229909039537"/>
    <s v="[876280, 879220]"/>
    <s v="[0.085, 0.07]"/>
    <s v="25.99073191431154"/>
    <s v="[0.085, 0.07]"/>
  </r>
  <r>
    <x v="2543"/>
    <x v="3150"/>
    <x v="0"/>
    <n v="0"/>
    <s v="LINESTRING (10.239788997036813 59.209151183910265, 10.239825098453105 59.20908477469012, 10.239902067303214 59.20892910345223)"/>
    <s v="[928317, 928325]"/>
    <s v="[898124, 879226]"/>
    <s v="0.06760417457791403"/>
    <s v="[876296, 898124]"/>
    <s v="[0.076, 0.064]"/>
    <s v="25.583220951690578"/>
    <s v="[0.076, 0.064]"/>
  </r>
  <r>
    <x v="2544"/>
    <x v="3151"/>
    <x v="0"/>
    <n v="0"/>
    <s v="LINESTRING (10.241320593175635 59.208042307821934, 10.241203913509228 59.2080023180347, 10.241139384510877 59.207909100451225)"/>
    <s v="[901829, 901837]"/>
    <s v="[876382, 876322]"/>
    <s v="0.020916405939898144"/>
    <s v="[876375, 876382]"/>
    <s v="[0.025, 0.018]"/>
    <s v="19.25292278636209"/>
    <s v="[0.025, 0.018]"/>
  </r>
  <r>
    <x v="2544"/>
    <x v="3152"/>
    <x v="0"/>
    <n v="0"/>
    <s v="LINESTRING (10.240746148726602 59.20825736282914, 10.240815494455557 59.20821215094013, 10.241074363927899 59.20799927597147, 10.241139384510877 59.207909100451225)"/>
    <s v="[904874, 904875, 904879]"/>
    <s v="[879236, 879237, 876322]"/>
    <s v="0.006229866190829854"/>
    <s v="[879230, 879236, 879237]"/>
    <s v="[0.012, 0.005, 0.006]"/>
    <s v="45.20277732156778"/>
    <s v="[0.012, 0.005, 0.006]"/>
  </r>
  <r>
    <x v="2545"/>
    <x v="3153"/>
    <x v="0"/>
    <n v="0"/>
    <s v="LINESTRING (10.240736061492854 59.20834352624978, 10.240820613447125 59.208285874076644, 10.241223397073053 59.208075173690396, 10.241320593175635 59.208042307821934)"/>
    <s v="[928341, 928349, 928357]"/>
    <s v="[898147, 898154, 876375]"/>
    <s v="0.0022901746991022365"/>
    <s v="[879252, 898147, 898154]"/>
    <s v="[0.012, 0.002, 0.008]"/>
    <s v="47.755106322683176"/>
    <s v="[0.012, 0.002, -0.008]"/>
  </r>
  <r>
    <x v="2546"/>
    <x v="3144"/>
    <x v="0"/>
    <n v="0"/>
    <m/>
    <n v="921325"/>
    <n v="879203"/>
    <s v="0.004"/>
    <n v="892311"/>
    <s v="0.004"/>
    <s v="36.06249908364919"/>
    <s v="0.004"/>
  </r>
  <r>
    <x v="2547"/>
    <x v="3154"/>
    <x v="0"/>
    <n v="0"/>
    <s v="LINESTRING (10.239902067303214 59.20892910345223, 10.240042493170023 59.20881672390214, 10.240174135999052 59.208711973768324, 10.240228513387539 59.20866870475398)"/>
    <s v="[921381, 921389, 921397]"/>
    <s v="[892354, 892361, 879228]"/>
    <s v="0.05692410010849959"/>
    <s v="[879226, 892354, 892361]"/>
    <s v="[0.062, 0.056, 0.046]"/>
    <s v="34.50292711864979"/>
    <s v="[0.062, 0.056, 0.046]"/>
  </r>
  <r>
    <x v="2548"/>
    <x v="3153"/>
    <x v="0"/>
    <n v="0"/>
    <m/>
    <n v="928333"/>
    <n v="879252"/>
    <s v="0.029"/>
    <n v="879228"/>
    <s v="0.029"/>
    <s v="46.554348844710496"/>
    <s v="0.029"/>
  </r>
  <r>
    <x v="2548"/>
    <x v="3152"/>
    <x v="0"/>
    <n v="0"/>
    <s v="LINESTRING (10.240228513387539 59.20866870475398, 10.240658654886053 59.20831523087874, 10.240746148726602 59.20825736282914)"/>
    <s v="[904867, 904868]"/>
    <s v="[879229, 879230]"/>
    <s v="0.02861742952179545"/>
    <s v="[879228, 879229]"/>
    <s v="[0.031, 0.015]"/>
    <s v="54.80671660907628"/>
    <s v="[0.031, 0.015]"/>
  </r>
  <r>
    <x v="2549"/>
    <x v="3155"/>
    <x v="0"/>
    <n v="0"/>
    <s v="LINESTRING (10.235397791793455 59.20731511807873, 10.236007077412056 59.20746189255423, 10.23773492895846 59.20796860021577, 10.238361670766121 59.208114114766, 10.24060782467608 59.208312197157326, 10.240746148726602 59.20825736282914)"/>
    <s v="[977623, 977631, 900802, 900813, 904915]"/>
    <s v="[939343, 875361, 875362, 875375, 879230]"/>
    <s v="#FIELD!"/>
    <s v="[939342, 939343, 875361, 875362, 875375]"/>
    <s v="[0.091, 0.022, 0.016, 0.002, 0.006]"/>
    <s v="335.40146877849656"/>
    <s v="[-0.091, -0.022, 0.016, -0.002, 0.006]"/>
  </r>
  <r>
    <x v="2550"/>
    <x v="3156"/>
    <x v="0"/>
    <n v="0"/>
    <s v="LINESTRING (10.240736061492854 59.20834352624978, 10.240691201192712 59.20840106901425, 10.242491073490564 59.209702104503535, 10.244704047870734 59.21152135685131, 10.245418857398404 59.21269549729129, 10.24554399027016 59.21308348996371)"/>
    <s v="[904891, 921405, 921413, 977580, 977579]"/>
    <s v="[879253, 892372, 892379, 939319, 939320]"/>
    <s v="#FIELD!"/>
    <s v="[879252, 879253, 892372, 892379, 939319]"/>
    <s v="[0.022, 0.001, 0.011, 0.034, 0.017]"/>
    <s v="609.3745059273615"/>
    <s v="[-0.022, 0.001, 0.011, -0.034, -0.017]"/>
  </r>
  <r>
    <x v="2551"/>
    <x v="1872"/>
    <x v="0"/>
    <s v="[0, 0, 1, 0, 0]"/>
    <s v="LINESTRING (9.31580246317391 58.92968031095735, 9.315989784399932 58.92971968588257, 9.31619183824099 58.9279191158313, 9.31593023260376 58.9275925857005, 9.315717304111452 58.92734822415615, 9.315648557582914 58.92720134042935)"/>
    <s v="[910522, 910530, 910538, 910546, 910554]"/>
    <s v="[884121, 884126, 884131, 884135, 884140]"/>
    <s v="0.04807491405864075"/>
    <s v="[884120, 884121, 884126, 884131, 884135]"/>
    <s v="[0.042, 0.038, 0.093, 0.084, 0.084]"/>
    <s v="335.9365601212347"/>
    <s v="[-0.042, 0.038, 0.093, 0.084, 0.084]"/>
  </r>
  <r>
    <x v="2551"/>
    <x v="3157"/>
    <x v="0"/>
    <n v="0"/>
    <s v="LINESTRING (9.31580246317391 58.92968031095735, 9.315607771973625 58.92847272660015, 9.315497693500976 58.92822807366653)"/>
    <s v="[915625, 915633]"/>
    <s v="[758211, 887813]"/>
    <s v="0.049835733866403144"/>
    <s v="[884120, 758211]"/>
    <s v="[0.049, 0.054]"/>
    <s v="167.5536771535214"/>
    <s v="[0.049, 0.054]"/>
  </r>
  <r>
    <x v="2551"/>
    <x v="3158"/>
    <x v="0"/>
    <n v="0"/>
    <s v="LINESTRING (9.317678153385945 58.93100208575563, 9.317543869733003 58.93087054376936, 9.31580246317391 58.92968031095735)"/>
    <s v="[915609, 915617]"/>
    <s v="[887800, 884120]"/>
    <s v="#FIELD!"/>
    <s v="[887799, 887800]"/>
    <s v="[0.004, 0.011]"/>
    <s v="193.85077379007006"/>
    <s v="[-0.004, -0.011]"/>
  </r>
  <r>
    <x v="2552"/>
    <x v="3159"/>
    <x v="0"/>
    <s v="[1, 0]"/>
    <s v="LINESTRING (9.3162919055284 58.92790783679428, 9.316013659816491 58.92758191464972, 9.315648557582914 58.92720134042935)"/>
    <s v="[937094, 937102]"/>
    <s v="[905936, 884140]"/>
    <s v="0.08801723792328807"/>
    <s v="[884145, 905936]"/>
    <s v="[0.094, 0.083]"/>
    <s v="87.087148957316"/>
    <s v="[0.094, 0.083]"/>
  </r>
  <r>
    <x v="2553"/>
    <x v="3160"/>
    <x v="0"/>
    <n v="0"/>
    <s v="LINESTRING (9.3162919055284 58.92790783679428, 9.316483649425486 58.9280609872954, 9.31838521504039 58.92905354790233, 9.31850066794277 58.929057419356106)"/>
    <s v="[910562, 910570, 910578]"/>
    <s v="[884146, 884150, 884154]"/>
    <s v="0.024533883274531716"/>
    <s v="[884145, 884146, 884150]"/>
    <s v="[0.04, 0.03, 0.084]"/>
    <s v="194.60347550722526"/>
    <s v="[-0.04, 0.03, 0.084]"/>
  </r>
  <r>
    <x v="2553"/>
    <x v="3158"/>
    <x v="0"/>
    <n v="0"/>
    <s v="LINESTRING (9.317678153385945 58.93100208575563, 9.316419632637157 58.92807408945798, 9.3162919055284 58.92790783679428)"/>
    <s v="[937078, 937086]"/>
    <s v="[905920, 884145]"/>
    <s v="0.01807977777185621"/>
    <s v="[887799, 905920]"/>
    <s v="[0.016, 0.053]"/>
    <s v="354.83378471913704"/>
    <s v="[0.016, 0.053]"/>
  </r>
  <r>
    <x v="2554"/>
    <x v="3161"/>
    <x v="0"/>
    <n v="0"/>
    <s v="LINESTRING (9.31850066794277 58.929057419356106, 9.318134971692583 58.931672158006734, 9.318188222115111 58.93182242580518)"/>
    <s v="[915665, 915673]"/>
    <s v="[887830, 887837]"/>
    <s v="#FIELD!"/>
    <s v="[884154, 887830]"/>
    <s v="[0.04, 0.052]"/>
    <s v="347.97501179613477"/>
    <s v="[-0.04, -0.052]"/>
  </r>
  <r>
    <x v="2554"/>
    <x v="3162"/>
    <x v="0"/>
    <n v="0"/>
    <s v="LINESTRING (9.319213402184236 58.92825166193914, 9.31906910414887 58.92886739843299, 9.318984071413752 58.928913259653996, 9.31850066794277 58.929057419356106)"/>
    <s v="[915641, 915649, 915657]"/>
    <s v="[245819, 887825, 884154]"/>
    <s v="#FIELD!"/>
    <s v="[887818, 245819, 887825]"/>
    <s v="[0.008, 0.061, 0.077]"/>
    <s v="112.17571475411624"/>
    <s v="[-0.008, -0.061, -0.077]"/>
  </r>
  <r>
    <x v="2555"/>
    <x v="1909"/>
    <x v="0"/>
    <n v="0"/>
    <s v="LINESTRING (9.662631363167066 59.07629904729185, 9.662563002085873 59.076289027506085, 9.662452617870917 59.07624577720581, 9.662416859079768 59.07617230960208, 9.66246690246447 59.07609788279263)"/>
    <s v="[910602, 910610, 910618, 910626]"/>
    <s v="[849802, 884171, 843865, 884183]"/>
    <s v="#FIELD!"/>
    <s v="[884168, 849802, 884171, 843865]"/>
    <s v="[0.033, 0.054, 0.005, 0.09]"/>
    <s v="29.263802992560002"/>
    <s v="[0.033, 0.054, -0.005, -0.09]"/>
  </r>
  <r>
    <x v="2555"/>
    <x v="3163"/>
    <x v="0"/>
    <n v="0"/>
    <s v="LINESTRING (9.664710350093054 59.07870680337201, 9.664610958231895 59.078562868740576, 9.66418585000972 59.07770509828513, 9.664115598523656 59.07758219888256, 9.662726891724239 59.076342620399956, 9.662631363167066 59.07629904729185)"/>
    <s v="[1788769, 915441, 915449, 915457, 915465]"/>
    <s v="[887670, 887671, 887677, 887684, 884168]"/>
    <s v="#FIELD!"/>
    <s v="[1577853, 887670, 887671, 887677, 887684]"/>
    <s v="[0.959, 0.029, 0.01, 0.026, 0.036]"/>
    <s v="297.1859042805456"/>
    <s v="[-0.959, -0.029, -0.01, 0.026, 0.036]"/>
  </r>
  <r>
    <x v="2556"/>
    <x v="3164"/>
    <x v="0"/>
    <n v="0"/>
    <s v="LINESTRING (9.66246690246447 59.07609788279263, 9.66249665020944 59.07603951871175, 9.661984401717676 59.07365819026049, 9.661999969286695 59.073507109161916)"/>
    <s v="[915561, 915569, 915577]"/>
    <s v="[887765, 887771, 887775]"/>
    <s v="0.026802862635167356"/>
    <s v="[884183, 887765, 887771]"/>
    <s v="[0.056, 0.03, 0.009]"/>
    <s v="291.72409586171113"/>
    <s v="[-0.056, 0.03, 0.009]"/>
  </r>
  <r>
    <x v="2557"/>
    <x v="3083"/>
    <x v="0"/>
    <n v="0"/>
    <s v="LINESTRING (9.663924283787987 59.0756549720231, 9.663984169991103 59.07566328267606, 9.66408111057812 59.0757086768355, 9.664103658585352 59.07578168896192, 9.66406234133032 59.07582871430384)"/>
    <s v="[910674, 910682, 910690, 910698]"/>
    <s v="[518537, 884213, 873704, 884227]"/>
    <s v="#FIELD!"/>
    <s v="[884204, 518537, 884213, 873704]"/>
    <s v="[0.076, 0.104, 0.091, 0.062]"/>
    <s v="25.075767299860928"/>
    <s v="[-0.076, -0.104, -0.091, -0.062]"/>
  </r>
  <r>
    <x v="2557"/>
    <x v="3165"/>
    <x v="0"/>
    <n v="0"/>
    <s v="LINESTRING (9.661965073086856 59.073420376367864, 9.66210678250825 59.07356010266581, 9.66386437190152 59.07562099510804, 9.663924283787987 59.0756549720231)"/>
    <s v="[915585, 915593, 915601]"/>
    <s v="[887782, 887788, 884204]"/>
    <s v="#FIELD!"/>
    <s v="[887781, 887782, 887788]"/>
    <s v="[0.055, 0.013, 0.087]"/>
    <s v="277.5568451898436"/>
    <s v="[-0.055, -0.013, -0.087]"/>
  </r>
  <r>
    <x v="2558"/>
    <x v="3166"/>
    <x v="0"/>
    <n v="0"/>
    <s v="LINESTRING (9.66406234133032 59.07582871430384, 9.664048281667908 59.07589029950395, 9.664345801531686 59.07751808201724, 9.66439757668906 59.07761986347468, 9.664472666171 59.07776784448167, 9.664921611689506 59.07893663942109, 9.664953944522372 59.07908766219698)"/>
    <s v="[915521, 915529, 915537, 915545, 915553, 1788761]"/>
    <s v="[887735, 887740, 887744, 887752, 887757, 1577710]"/>
    <s v="0.04142128861917026"/>
    <s v="[884227, 887735, 887740, 887744, 887752, 887757]"/>
    <s v="[0.079, 0.026, 0.01, 0.022, 0.04, 0.874]"/>
    <s v="369.23199621867843"/>
    <s v="[-0.079, -0.026, 0.01, 0.022, 0.04, 0.874]"/>
  </r>
  <r>
    <x v="2559"/>
    <x v="3081"/>
    <x v="0"/>
    <n v="0"/>
    <m/>
    <n v="910786"/>
    <n v="884247"/>
    <s v="0.226"/>
    <n v="884281"/>
    <s v="0.226"/>
    <s v="18.194751087470685"/>
    <s v="0.226"/>
  </r>
  <r>
    <x v="2559"/>
    <x v="3167"/>
    <x v="0"/>
    <n v="0"/>
    <s v="LINESTRING (9.694443990686418 59.103006724541785, 9.694226780573286 59.10290911944713, 9.691902133278571 59.10194268232896, 9.689462781958788 59.101456251180025, 9.688515197102205 59.10110218263774, 9.688355817183517 59.10093888202348, 9.688211114326158 59.1003731257334, 9.688231527988615 59.100313905329536)"/>
    <s v="[994168, 915217, 915225, 915233, 915241, 915249, 915257]"/>
    <s v="[887513, 887514, 887520, 887526, 887533, 887541, 884247]"/>
    <s v="#FIELD!"/>
    <s v="[952146, 887513, 887514, 887520, 887526, 887533, 887541]"/>
    <s v="[0.197, 0.044, 0.009, 0.111, 0.049, 0.052, 0.151]"/>
    <s v="498.70342307228634"/>
    <s v="[0.197, -0.044, 0.009, -0.111, 0.049, -0.052, -0.151]"/>
  </r>
  <r>
    <x v="2560"/>
    <x v="3168"/>
    <x v="0"/>
    <n v="0"/>
    <s v="LINESTRING (9.688521241877933 59.1003423893031, 9.688475572422112 59.100413099617946, 9.691522322255048 59.10169090404537, 9.69369890549878 59.10251874425419, 9.693800396608987 59.10257116567409, 9.693990772638818 59.102687828800796)"/>
    <s v="[915305, 915313, 915321, 915329, 994184]"/>
    <s v="[887577, 887580, 887587, 887592, 952235]"/>
    <s v="0.043410518382686024"/>
    <s v="[884281, 887577, 887580, 887587, 887592]"/>
    <s v="[0.145, 0.049, 0.032, 0.089, 0.004]"/>
    <s v="432.2319423849354"/>
    <s v="[0.145, 0.049, 0.032, 0.089, -0.004]"/>
  </r>
  <r>
    <x v="2561"/>
    <x v="1861"/>
    <x v="0"/>
    <n v="0"/>
    <s v="LINESTRING (7.603307510900826 59.736676123209875, 7.603218029471265 59.736682067521464, 7.603128885620013 59.73668777841113)"/>
    <s v="[912146, 912154]"/>
    <s v="[885213, 885221]"/>
    <s v="#FIELD!"/>
    <s v="[885208, 885213]"/>
    <s v="[0.021, 0.018]"/>
    <s v="10.14734837706779"/>
    <s v="[-0.021, -0.018]"/>
  </r>
  <r>
    <x v="2561"/>
    <x v="3169"/>
    <x v="0"/>
    <n v="0"/>
    <s v="LINESTRING (7.736958844420954 59.71614424486109, 7.603307510900826 59.736676123209875)"/>
    <m/>
    <m/>
    <s v="0.0"/>
    <m/>
    <n v="0"/>
    <s v="12299.93795927304"/>
    <n v="0"/>
  </r>
  <r>
    <x v="2562"/>
    <x v="3170"/>
    <x v="0"/>
    <n v="0"/>
    <s v="LINESTRING (10.212654954633598 59.17612908673638, 10.212530978599773 59.17610588946783, 10.21233829751781 59.17608276417923, 10.212079734947684 59.17606332299716)"/>
    <s v="[913332, 913340, 913348]"/>
    <s v="[886097, 886104, 886113]"/>
    <s v="0.10952766100941597"/>
    <s v="[886096, 886097, 886104]"/>
    <s v="[0.102, 0.106, 0.116]"/>
    <s v="33.82067214084459"/>
    <s v="[0.102, 0.106, 0.116]"/>
  </r>
  <r>
    <x v="2562"/>
    <x v="3171"/>
    <x v="0"/>
    <n v="0"/>
    <s v="LINESTRING (10.212654954633598 59.17612908673638, 10.212596625583993 59.17603509090465, 10.21265528320087 59.17595413940678)"/>
    <s v="[936035, 936043]"/>
    <s v="[905035, 894186]"/>
    <s v="#FIELD!"/>
    <s v="[886096, 905035]"/>
    <s v="[0.033, 0.063]"/>
    <s v="20.833913492306806"/>
    <s v="[-0.033, -0.063]"/>
  </r>
  <r>
    <x v="2562"/>
    <x v="3172"/>
    <x v="0"/>
    <n v="0"/>
    <s v="LINESTRING (10.213125462291494 59.17609932908646, 10.213078773764511 59.176136006755456, 10.212939354728803 59.17617925512938, 10.212763145764841 59.17617239045461, 10.212654954633598 59.17612908673638)"/>
    <s v="[936099, 936107, 936115, 936027]"/>
    <s v="[887600, 905101, 886088, 886096]"/>
    <s v="0.11236090750774183"/>
    <s v="[894219, 887600, 905101, 886088]"/>
    <s v="[0.472, 0.05, 0.043, 0.052]"/>
    <s v="32.16203122353648"/>
    <s v="[0.472, 0.05, 0.043, 0.052]"/>
  </r>
  <r>
    <x v="2563"/>
    <x v="3173"/>
    <x v="0"/>
    <n v="0"/>
    <s v="LINESTRING (10.212079734947684 59.17606332299716, 10.209960578514721 59.17664632979459, 10.209779037367465 59.17673110679777, 10.209619322550797 59.176781446003496)"/>
    <s v="[935675, 1708817, 1708825]"/>
    <s v="[904722, 1525323, 1525158]"/>
    <s v="#FIELD!"/>
    <s v="[886113, 904722, 1525323]"/>
    <s v="[0.063, 0.701, 0.007]"/>
    <s v="164.07314769820792"/>
    <s v="[0.063, -0.701, -0.007]"/>
  </r>
  <r>
    <x v="2563"/>
    <x v="3171"/>
    <x v="0"/>
    <n v="0"/>
    <s v="LINESTRING (10.21265528320087 59.17595413940678, 10.21254178876017 59.175974956511595, 10.212342504214723 59.17600771838869, 10.212079734947684 59.17606332299716)"/>
    <s v="[923698, 923706, 923714]"/>
    <s v="[894187, 894194, 886113]"/>
    <s v="0.13267241751654169"/>
    <s v="[894186, 894187, 894194]"/>
    <s v="[0.135, 0.135, 0.13]"/>
    <s v="35.29957340477119"/>
    <s v="[0.135, 0.135, 0.13]"/>
  </r>
  <r>
    <x v="2564"/>
    <x v="3174"/>
    <x v="0"/>
    <n v="0"/>
    <s v="LINESTRING (10.213091271109613 59.17595674114275, 10.213192653774009 59.17597108904022, 10.213330146797608 59.175990116034804, 10.213410194126345 59.175999646312796, 10.213605622955647 59.17604544072512)"/>
    <s v="[913372, 913380, 913388, 913396]"/>
    <s v="[886138, 886147, 886154, 886162]"/>
    <s v="#FIELD!"/>
    <s v="[886137, 886138, 886147, 886154]"/>
    <s v="[0.085, 0.013, 0.015, 0.008]"/>
    <s v="31.41661909806412"/>
    <s v="[-0.085, -0.013, -0.015, -0.008]"/>
  </r>
  <r>
    <x v="2564"/>
    <x v="3172"/>
    <x v="0"/>
    <n v="0"/>
    <s v="LINESTRING (10.213091271109613 59.17595674114275, 10.213146309020239 59.176029206322006, 10.213125462291494 59.17609932908646)"/>
    <s v="[936083, 936091]"/>
    <s v="[905085, 894219]"/>
    <s v="0.016859582940824527"/>
    <s v="[886137, 905085]"/>
    <s v="[0.242, 0.23]"/>
    <s v="16.57481532848313"/>
    <s v="[0.242, -0.23]"/>
  </r>
  <r>
    <x v="2564"/>
    <x v="3171"/>
    <x v="0"/>
    <n v="0"/>
    <s v="LINESTRING (10.21265528320087 59.17595413940678, 10.212738993260807 59.17591726341183, 10.212879854179016 59.17590099156391, 10.213012138926855 59.17592116694658, 10.213091271109613 59.17595674114275)"/>
    <s v="[936051, 936059, 936067, 936075]"/>
    <s v="[886188, 905057, 905067, 886137]"/>
    <s v="#FIELD!"/>
    <s v="[894186, 886188, 905057, 905067]"/>
    <s v="[0.013, 0.05, 0.035, 0.357]"/>
    <s v="28.484632375318018"/>
    <s v="[-0.013, -0.05, -0.035, -0.357]"/>
  </r>
  <r>
    <x v="2565"/>
    <x v="3175"/>
    <x v="0"/>
    <n v="0"/>
    <s v="LINESTRING (10.213605622955647 59.17604544072512, 10.21690350131989 59.1768641698653, 10.217168474981362 59.176897960304586)"/>
    <s v="[936307, 936315]"/>
    <s v="[905271, 886169]"/>
    <s v="#FIELD!"/>
    <s v="[886162, 905271]"/>
    <s v="[0.004, 0.081]"/>
    <s v="225.92308429254524"/>
    <s v="[-0.004, -0.081]"/>
  </r>
  <r>
    <x v="2565"/>
    <x v="3172"/>
    <x v="0"/>
    <n v="0"/>
    <s v="LINESTRING (10.213125462291494 59.17609932908646, 10.213214253548937 59.17608334762916, 10.213333750864928 59.17606746507277, 10.213406998025807 59.17606449268745, 10.213605622955647 59.17604544072512)"/>
    <s v="[923738, 923746, 923754, 923762]"/>
    <s v="[894220, 894226, 894231, 886162]"/>
    <s v="#FIELD!"/>
    <s v="[894219, 894220, 894226, 894231]"/>
    <s v="[0.074, 0.029, 0.035, 0.027]"/>
    <s v="28.20901327130614"/>
    <s v="[-0.074, -0.029, -0.035, -0.027]"/>
  </r>
  <r>
    <x v="2566"/>
    <x v="3176"/>
    <x v="0"/>
    <n v="0"/>
    <s v="LINESTRING (10.217168474981362 59.176897960304586, 10.21740322826134 59.176891497055905, 10.217638564981346 59.17688111495271, 10.217771927940738 59.176869841483736)"/>
    <s v="[913404, 913412, 913420]"/>
    <s v="[886170, 886178, 886184]"/>
    <s v="#FIELD!"/>
    <s v="[886169, 886170, 886178]"/>
    <s v="[0.035, 0.036, 0.037]"/>
    <s v="34.896046619953836"/>
    <s v="[-0.035, -0.036, -0.037]"/>
  </r>
  <r>
    <x v="2566"/>
    <x v="3177"/>
    <x v="0"/>
    <n v="0"/>
    <s v="LINESTRING (10.217168474981362 59.176897960304586, 10.217396011954111 59.176948809929804, 10.21762018866126 59.17698235417027, 10.217729526404993 59.17700500658914)"/>
    <s v="[923770, 923778, 923786]"/>
    <s v="[894242, 894251, 894261]"/>
    <s v="#FIELD!"/>
    <s v="[886169, 894242, 894251]"/>
    <s v="[0.018, 0.02, 0.01]"/>
    <s v="34.56112093712372"/>
    <s v="[-0.018, -0.02, -0.01]"/>
  </r>
  <r>
    <x v="2567"/>
    <x v="3178"/>
    <x v="0"/>
    <n v="0"/>
    <s v="LINESTRING (10.217771927940738 59.176869841483736, 10.217823326130123 59.17685194719768, 10.217960101699703 59.17684007975966, 10.218063561561635 59.176862155339464, 10.21813093493123 59.17691042582697)"/>
    <s v="[936483, 936491, 936499, 936507]"/>
    <s v="[905421, 905427, 886236, 886207]"/>
    <s v="#FIELD!"/>
    <s v="[886184, 905421, 905427, 886236]"/>
    <s v="[0.398, 0.025, 0.012, 0.246]"/>
    <s v="24.517110385669817"/>
    <s v="[0.398, -0.025, -0.012, -0.246]"/>
  </r>
  <r>
    <x v="2567"/>
    <x v="3177"/>
    <x v="0"/>
    <n v="0"/>
    <s v="LINESTRING (10.217729526404993 59.17700500658914, 10.217704949249622 59.17693519615249, 10.217771927940738 59.176869841483736)"/>
    <s v="[936563, 936571]"/>
    <s v="[905484, 886184]"/>
    <s v="#FIELD!"/>
    <s v="[894261, 905484]"/>
    <s v="[0.141, 0.216]"/>
    <s v="16.137310436386493"/>
    <s v="[0.141, -0.216]"/>
  </r>
  <r>
    <x v="2568"/>
    <x v="3179"/>
    <x v="0"/>
    <n v="0"/>
    <s v="LINESTRING (10.21813093493123 59.17691042582697, 10.218222306569492 59.176927467920464, 10.218686145158447 59.17699035653445)"/>
    <s v="[913444, 913452]"/>
    <s v="[886208, 886217]"/>
    <s v="#FIELD!"/>
    <s v="[886207, 886208]"/>
    <s v="[0.012, 0.018]"/>
    <s v="33.22345172530603"/>
    <s v="[-0.012, -0.018]"/>
  </r>
  <r>
    <x v="2568"/>
    <x v="3180"/>
    <x v="0"/>
    <n v="0"/>
    <s v="LINESTRING (10.21813093493123 59.17691042582697, 10.21814086981244 59.176977177556374, 10.218078419109325 59.177033973920025)"/>
    <s v="[936515, 936523]"/>
    <s v="[905447, 894269]"/>
    <s v="0.04513490224011461"/>
    <s v="[886207, 905447]"/>
    <s v="[0.244, 0.159]"/>
    <s v="14.730434376466487"/>
    <s v="[0.244, -0.159]"/>
  </r>
  <r>
    <x v="2569"/>
    <x v="3181"/>
    <x v="249"/>
    <s v="[0, 0, 0, 1, 0, 0, 0, 1, 0, 0, 0, 0, 0, 0, 0, 0]"/>
    <s v="LINESTRING (10.218686145158447 59.17699035653445, 10.218987966903665 59.17699878570653, 10.220176127720404 59.17703969723601, 10.22088728044871 59.177087792667535, 10.220956579684085 59.17709613948207, 10.224169999887962 59.17864254727355, 10.236960096759617 59.18373439019639, 10.23879979173823 59.18391041906409, 10.238946424855458 59.18392479694207, 10.23924264360116 59.183953750517105, 10.239662532845268 59.183992819481226, 10.242263671719243 59.18414883477068, 10.243413794861025 59.184199285225255, 10.244213866795706 59.1842342549452, 10.244492355824645 59.184245311555536, 10.246002428630415 59.18420718291033, 10.247944818438153 59.18350082481129)"/>
    <s v="[936323, 936331, 936339, 936347, 936355, 936363, 936371, 936379, 936387, 936395, 936403, 936411, 936419, 936427, 936435, 936443]"/>
    <s v="[905284, 905289, 905295, 905300, 905309, 905317, 905326, 905334, 905341, 905348, 905354, 905362, 905368, 905373, 858218, 886223]"/>
    <s v="#FIELD!"/>
    <s v="[886217, 905284, 905289, 905295, 905300, 905309, 905317, 905326, 905334, 905341, 905348, 905354, 905362, 905368, 905373, 858218]"/>
    <s v="[0.08, 0.017, 0.001, 0.006, 0.058, 0.011, 0.003, 0.0, 0.002, 0.008, 0.007, 0.023, 0.022, 0.022, 0.01, 0.004]"/>
    <s v="2071.9329535809884"/>
    <s v="[0.08, -0.017, -0.001, -0.006, -0.058, -0.011, 0.003, 0.0, 0.002, 0.008, 0.007, 0.023, 0.022, 0.022, 0.01, -0.004]"/>
  </r>
  <r>
    <x v="2569"/>
    <x v="3180"/>
    <x v="0"/>
    <n v="0"/>
    <s v="LINESTRING (10.218078419109325 59.177033973920025, 10.218185451153689 59.17702802578901, 10.218686145158447 59.17699035653445)"/>
    <s v="[923794, 923802]"/>
    <s v="[894270, 886217]"/>
    <s v="#FIELD!"/>
    <s v="[894269, 894270]"/>
    <s v="[0.03, 0.036]"/>
    <s v="35.341220082015795"/>
    <s v="[-0.03, -0.036]"/>
  </r>
  <r>
    <x v="2570"/>
    <x v="3182"/>
    <x v="0"/>
    <n v="0"/>
    <s v="LINESTRING (10.247944818438153 59.18350082481129, 10.248320029734192 59.18309548891341, 10.248374841826198 59.1830088950807, 10.248532416266176 59.18228632414448, 10.248533348517421 59.18217931639349, 10.248592283664541 59.18103226820291)"/>
    <s v="[913460, 913468, 913476, 913484, 913492]"/>
    <s v="[886224, 886231, 886239, 886244, 886251]"/>
    <s v="#FIELD!"/>
    <s v="[886223, 886224, 886231, 886239, 886244]"/>
    <s v="[0.014, 0.008, 0.011, 0.009, 0.002]"/>
    <s v="281.8961783566328"/>
    <s v="[-0.014, -0.008, -0.011, -0.009, -0.002]"/>
  </r>
  <r>
    <x v="2570"/>
    <x v="3182"/>
    <x v="0"/>
    <n v="0"/>
    <s v="LINESTRING (10.247944818438153 59.18350082481129, 10.248500159896135 59.18301206490147, 10.24867136695725 59.182288365175395, 10.248672054524521 59.18218008915353, 10.248592283664541 59.18103226820291)"/>
    <s v="[923810, 923818, 923826, 923834]"/>
    <s v="[894282, 894291, 894300, 886251]"/>
    <s v="#FIELD!"/>
    <s v="[886223, 894282, 894291, 894300]"/>
    <s v="[0.016, 0.016, 0.013, 0.003]"/>
    <s v="285.9007633494888"/>
    <s v="[-0.016, -0.016, -0.013, 0.003]"/>
  </r>
  <r>
    <x v="2571"/>
    <x v="3183"/>
    <x v="0"/>
    <n v="0"/>
    <s v="LINESTRING (10.248592283664541 59.18103226820291, 10.248597826697043 59.18067031882018, 10.248609361016952 59.1802221908168, 10.248609981151201 59.18018068307424, 10.248626028807118 59.17973613856227)"/>
    <s v="[936451, 936459, 936467, 936475]"/>
    <s v="[905390, 905399, 905405, 886259]"/>
    <s v="#FIELD!"/>
    <s v="[886251, 905390, 905399, 905405]"/>
    <s v="[0.018, 0.005, 0.004, 0.03]"/>
    <s v="144.47342923607565"/>
    <s v="[0.018, -0.005, -0.004, -0.03]"/>
  </r>
  <r>
    <x v="2572"/>
    <x v="3184"/>
    <x v="0"/>
    <n v="0"/>
    <s v="LINESTRING (10.248626028807118 59.17973613856227, 10.248598377137139 59.179449800346426, 10.249774743285247 59.17862582699282, 10.250409112951337 59.178630018389136, 10.250936435268748 59.178617216880546, 10.251044195983575 59.17860827292678)"/>
    <s v="[913500, 913508, 913516, 913524, 913532]"/>
    <s v="[886260, 886263, 886268, 886274, 886280]"/>
    <s v="#FIELD!"/>
    <s v="[886259, 886260, 886263, 886268, 886274]"/>
    <s v="[0.009, 0.004, 0.016, 0.005, 0.0]"/>
    <s v="240.9165383347752"/>
    <s v="[-0.009, -0.004, -0.016, -0.005, -0.0]"/>
  </r>
  <r>
    <x v="2572"/>
    <x v="3185"/>
    <x v="0"/>
    <n v="0"/>
    <s v="LINESTRING (10.248626028807118 59.17973613856227, 10.248686957823752 59.17947571329147, 10.249812182490064 59.17870116510804, 10.250448644670023 59.17870531598467, 10.250934035199359 59.17871580529033, 10.251022413068359 59.17872048076969)"/>
    <s v="[923842, 923850, 923858, 923866, 923874]"/>
    <s v="[894312, 894319, 894329, 894338, 894349]"/>
    <s v="#FIELD!"/>
    <s v="[886259, 894312, 894319, 894329, 894338]"/>
    <s v="[0.012, 0.005, 0.017, 0.009, 0.008]"/>
    <s v="229.5501265841584"/>
    <s v="[-0.012, -0.005, -0.017, -0.009, -0.008]"/>
  </r>
  <r>
    <x v="2573"/>
    <x v="3185"/>
    <x v="0"/>
    <n v="0"/>
    <s v="LINESTRING (10.251022413068359 59.17872048076969, 10.25099618753984 59.17866707897964, 10.251044195983575 59.17860827292678)"/>
    <s v="[936659, 936667]"/>
    <s v="[905566, 886280]"/>
    <s v="0.029137471804752724"/>
    <s v="[894349, 905566]"/>
    <s v="[0.306, 0.21]"/>
    <s v="13.244343250038767"/>
    <s v="[0.306, -0.21]"/>
  </r>
  <r>
    <x v="2574"/>
    <x v="1883"/>
    <x v="0"/>
    <s v="[0, 0, 1, 0, 1, 0, 0, 1, 0, 0, 0, 0, 0, 0, 0, 0, 0, 1, 0, 1, 0, 0, 0, 0, 0, 0, 1, 0]"/>
    <s v="LINESTRING (9.791551409917993 59.09242311499677, 9.788045227731116 59.09358704259146, 9.787532193925802 59.09377342838146, 9.78741079830322 59.09381766898295, 9.782254655840141 59.095696493732255, 9.781877909884656 59.09583112455476, 9.780545572288718 59.0962969927708, 9.774788127765493 59.09836399843848, 9.77470252253022 59.098403275083285, 9.773509108232552 59.09900605870808, 9.77123442724307 59.10025995717593, 9.770946088136684 59.10042804911669, 9.764952278830691 59.10409099214283, 9.764940248818355 59.10409839712563, 9.764843853473607 59.104154760214016, 9.764803373636736 59.104179371106625, 9.764767252298329 59.10420087388313, 9.750905923352349 59.10506305854648, 9.750633725146132 59.10510754037828, 9.745069204211484 59.106885216677675, 9.744826425534638 59.106924573237045, 9.738854903201585 59.10842268248864, 9.725581081644274 59.114283901865655, 9.724705293254683 59.11535983077537, 9.722846038377215 59.11758070564976, 9.719012849062386 59.11995797805315, 9.716821149356319 59.120487364748875, 9.715572886582299 59.12063752571089, 9.715118144443482 59.120667674736524)"/>
    <s v="[993513, 993521, 993522, 993529, 993537, 993545, 993553, 993561, 993571, 993579, 993590, 993606, 993620, 993621, 993636, 993649, 993650, 993651, 993652, 993657, 993665, 993666, 993673, 993675, 993677, 993690, 993714, 993715]"/>
    <s v="[951837, 951844, 951845, 951851, 951856, 951863, 951870, 951876, 951883, 951890, 951898, 951906, 951919, 951920, 951929, 951942, 951943, 951944, 951945, 951949, 951955, 951956, 951961, 951962, 951964, 951974, 951988, 951989]"/>
    <s v="#FIELD!"/>
    <s v="[887273, 951837, 951844, 951845, 951851, 951856, 951863, 951870, 951876, 951883, 951890, 951898, 951906, 951919, 951920, 951929, 951942, 951943, 951944, 951945, 951949, 951955, 951956, 951961, 951962, 951964, 951974, 951988]"/>
    <s v="[0.063, 0.147, 0.137, 0.066, 0.151, 0.086, 0.051, 0.306, 0.241, 0.053, 0.12, 0.022, 0.112, 0.077, 0.093, 0.069, 0.011, 0.01, 0.005, 0.059, 0.036, 0.061, 0.062, 0.016, 0.105, 0.122, 0.073, 0.061]"/>
    <s v="5735.093945870071"/>
    <s v="[0.063, 0.147, 0.137, 0.066, 0.151, 0.086, -0.051, 0.306, 0.241, 0.053, -0.12, -0.022, 0.112, 0.077, 0.093, 0.069, -0.011, -0.01, 0.005, 0.059, 0.036, -0.061, -0.062, 0.016, -0.105, -0.122, -0.073, -0.061]"/>
  </r>
  <r>
    <x v="2574"/>
    <x v="3186"/>
    <x v="250"/>
    <s v="[0, 0, 1, 0, 1, 0, 0, 0, 1, 0, 0, 0, 0, 0, 0, 0, 0, 0, 0, 1, 0, 1, 0, 0, 0, 0, 0]"/>
    <s v="LINESTRING (9.791551409917993 59.09242311499677, 9.787990590818813 59.09354592526239, 9.787507286989795 59.093722188548455, 9.787384288663459 59.09376730937754, 9.782278492427814 59.09562609906425, 9.781919905574277 59.09575633309682, 9.78050962654246 59.09625030919663, 9.780483626282887 59.096258996705345, 9.774724183856396 59.098326962683785, 9.774638933752925 59.09836689249826, 9.773445025920225 59.09896844083958, 9.771170228965262 59.1002205788306, 9.77116162915315 59.10022546840723, 9.770877037231939 59.10038757475607, 9.764876851625672 59.10405389202611, 9.764871245436579 59.104056922677856, 9.764767817796463 59.104118436274625, 9.764732064719576 59.10413981895977, 9.764691419938277 59.104164135201984, 9.75097971549271 59.10499820296096, 9.75069201288593 59.10504340594205, 9.745045598633235 59.10683417307568, 9.744720386615843 59.106886173204956, 9.738794250392692 59.1083681071752, 9.725483739932207 59.114258546409594, 9.724618683854859 59.11534157998949, 9.722753703527584 59.1175588099018, 9.71896031933472 59.11991661949601)"/>
    <s v="[994200, 994210, 994218, 994227, 994235, 994243, 994251, 994259, 994267, 994276, 994284, 994292, 994301, 994309, 994317, 994325, 994333, 994341, 994349, 994357, 994365, 994373, 994381, 994389, 994397, 994405, 994413]"/>
    <s v="[952291, 952294, 952298, 952302, 952307, 952284, 952315, 952324, 952333, 952338, 952344, 952352, 952362, 952368, 952376, 952386, 952395, 952401, 952409, 952414, 952420, 952426, 952432, 952440, 952446, 952450, 952455]"/>
    <s v="#FIELD!"/>
    <s v="[887273, 952291, 952294, 952298, 952302, 952307, 952284, 952315, 952324, 952333, 952338, 952344, 952352, 952362, 952368, 952376, 952386, 952395, 952401, 952409, 952414, 952420, 952426, 952432, 952440, 952446, 952450]"/>
    <s v="[0.062, 0.148, 0.144, 0.066, 0.163, 0.091, 0.052, 0.049, 0.275, 0.241, 0.051, 0.207, 0.118, 0.023, 0.257, 0.082, 0.076, 0.063, 0.01, 0.001, 0.002, 0.084, 0.038, 0.063, 0.063, 0.016, 0.104]"/>
    <s v="5497.700211962438"/>
    <s v="[0.062, 0.148, 0.144, 0.066, 0.163, 0.091, -0.052, -0.049, 0.275, 0.241, 0.051, -0.207, -0.118, -0.023, 0.257, 0.082, 0.076, 0.063, -0.01, -0.001, 0.002, 0.084, 0.038, -0.063, -0.063, 0.016, -0.104]"/>
  </r>
  <r>
    <x v="2575"/>
    <x v="2342"/>
    <x v="0"/>
    <s v="[0, 0, 0, 0, 0, 0, 0, 0, 1, 0, 0, 1, 0, 0, 1, 0, 1, 0, 1, 0, 0, 0, 1, 0, 0, 0, 0, 0, 1, 0, 0, 0]"/>
    <s v="LINESTRING (9.273284533895465 58.892665934947615, 9.272341871705372 58.892258870174835, 9.271157213916979 58.89183528725711, 9.258146091022812 58.89179915303602, 9.2532786064169 58.89141201976539, 9.235088384088225 58.88929025807301, 9.233355806536991 58.888863426714074, 9.232939782942081 58.88875709875884, 9.231435429610121 58.888358954430885, 9.230820001797865 58.888190155735856, 9.22945621593518 58.88781081191077, 9.21266619221738 58.88193097109015, 9.212094036042346 58.88171990954521, 9.21128544125901 58.88142674301726, 9.199573972467295 58.87977764653393, 9.19940002471769 58.879752232345005, 9.194630575549223 58.87774167694056, 9.194587080851912 58.87771154815437, 9.193801953563739 58.87723609596881, 9.193643554164616 58.87715831403276, 9.18076700629596 58.878451484822776, 9.180732715188437 58.878461521948005, 9.173424878602686 58.87827720590657, 9.172820437660352 58.87809015793915, 9.170433422216664 58.877298809483115, 9.169638166771696 58.877033177421254, 9.16950719758062 58.87698920418318, 9.168977779588149 58.87681144748664, 9.150694531080152 58.86771436207747, 9.150652284663751 58.867681563823055, 9.143894750174994 58.86304690117322, 9.143583859703242 58.86287242260289, 9.141871235937675 58.86195727833223)"/>
    <s v="[2086933, 2086941, 2086942, 2086944, 2086954, 2086956, 2086989, 2086993, 2086994, 2087008, 2087017, 2087025, 2087033, 1306164, 1306172, 1306180, 1306188, 1306196, 1306204, 1306212, 1306220, 1306228, 1306236, 1306244, 1306252, 1306260, 1306268, 1291081, 1291089, 1291017, 1291025, 1291033]"/>
    <s v="[1807715, 1807718, 1807719, 1807720, 1807725, 1807727, 1807752, 1807754, 1807755, 1807768, 1807774, 1807778, 1215887, 1215888, 1215894, 1215901, 1215908, 1215915, 1215921, 1215927, 1215932, 1215940, 1215947, 941945, 941960, 1215966, 1204344, 1204345, 1204297, 1204298, 1204305, 1204259]"/>
    <s v="0.01008584308299058"/>
    <s v="[887369, 1807715, 1807718, 1807719, 1807720, 1807725, 1807727, 1807752, 1807754, 1807755, 1807768, 1807774, 1807778, 1215887, 1215888, 1215894, 1215901, 1215908, 1215915, 1215921, 1215927, 1215932, 1215940, 1215947, 941945, 941960, 1215966, 1204344, 1204345, 1204297, 1204298, 1204305]"/>
    <s v="[0.03, 0.009, 0.012, 0.03, 0.027, 0.036, 0.033, 0.035, 0.04, 0.043, 0.008, 0.017, 0.045, 0.028, 0.054, 0.009, 0.148, 0.102, 0.046, 0.028, 0.057, 0.014, 0.059, 0.065, 0.049, 0.047, 0.077, 0.015, 0.026, 0.006, 0.009, 0.007]"/>
    <s v="8979.725931113906"/>
    <s v="[-0.03, 0.009, 0.012, 0.03, 0.027, 0.036, 0.033, 0.035, 0.04, 0.043, -0.008, -0.017, -0.045, 0.028, -0.054, -0.009, 0.148, 0.102, 0.046, -0.028, -0.057, 0.014, 0.059, 0.065, 0.049, 0.047, 0.077, 0.015, -0.026, -0.006, 0.009, -0.007]"/>
  </r>
  <r>
    <x v="2575"/>
    <x v="3187"/>
    <x v="251"/>
    <s v="[0, 0, 0, 0, 0, 0, 0, 1, 0, 0, 1, 0, 0, 1, 0, 1, 0, 1, 0, 0, 1, 0, 0, 0, 0, 0]"/>
    <s v="LINESTRING (9.273284533895465 58.892665934947615, 9.272429247900885 58.89221349581266, 9.271244350450452 58.8917837097593, 9.258173461506647 58.89173654885972, 9.253303005369418 58.89135122828649, 9.233409058784684 58.88880605391524, 9.232991827805833 58.88870175156884, 9.23148172128589 58.88831088501702, 9.23087368013674 58.88814367757066, 9.229515975181469 58.88775740489658, 9.212737858722667 58.88187477549053, 9.212172449228932 58.88166599786462, 9.21136339037367 58.88137000224442, 9.19965527586313 58.87973074100981, 9.199482275120104 58.87970610776322, 9.194678565417151 58.87768124590641, 9.194634557565706 58.877651274057136, 9.19379110223541 58.87715255046931, 9.193631921913603 58.87707662381689, 9.180747161795212 58.878393224255205, 9.173474845376287 58.87822734111776, 9.172874710349502 58.878041568467005, 9.170490094900236 58.8772542457054, 9.169689751414738 58.8769876544645, 9.169561388594847 58.87694533869755, 9.1690199105879 58.8767668292117, 9.158120652436075 58.87232009108254)"/>
    <s v="[2087047, 2087048, 2087069, 2087070, 2087077, 2087092, 2087101, 2087112, 2087120, 2087151, 2087159, 2087162, 1306276, 1306284, 1306292, 1306300, 1306308, 1306316, 1306324, 1306332, 1306340, 1306348, 1306356, 1306364, 1306372, 1291097]"/>
    <s v="[1807784, 1807785, 1807802, 1807803, 1807809, 1807820, 1807824, 1807833, 1807841, 1807862, 1807869, 1215979, 1215980, 1215987, 1215994, 1216000, 1216005, 1216007, 1216013, 1216021, 1216026, 1174249, 1216032, 1216037, 1204355, 1204356]"/>
    <s v="0.015073047747225789"/>
    <s v="[887369, 1807784, 1807785, 1807802, 1807803, 1807809, 1807820, 1807824, 1807833, 1807841, 1807862, 1807869, 1215979, 1215980, 1215987, 1215994, 1216000, 1216005, 1216007, 1216013, 1216021, 1216026, 1174249, 1216032, 1216037, 1204355]"/>
    <s v="[0.034, 0.012, 0.012, 0.03, 0.027, 0.033, 0.036, 0.04, 0.043, 0.008, 0.017, 0.043, 0.028, 0.049, 0.007, 0.154, 0.096, 0.03, 0.028, 0.013, 0.06, 0.066, 0.049, 0.048, 0.074, 0.05]"/>
    <s v="7488.563493834713"/>
    <s v="[-0.034, 0.012, 0.012, 0.03, 0.027, 0.033, 0.036, 0.04, 0.043, -0.008, -0.017, -0.043, 0.028, -0.049, -0.007, 0.154, 0.096, 0.03, -0.028, 0.013, 0.06, 0.066, 0.049, 0.048, 0.074, 0.05]"/>
  </r>
  <r>
    <x v="2576"/>
    <x v="3186"/>
    <x v="0"/>
    <s v="[0, 0, 0, 1, 0, 1, 0, 1, 0, 0]"/>
    <s v="LINESTRING (9.710941913348094 59.11940993283322, 9.710710190876052 59.119405973746076, 9.71031923339544 59.12008514932931, 9.711006782328814 59.12029490263697, 9.711712260817437 59.12042480131184, 9.7126305694464 59.12054247460036, 9.713660059469401 59.12060789914137, 9.715542993399495 59.12056383959033, 9.716784095600925 59.12041628435866, 9.718728518672137 59.119969974916465, 9.71896031933472 59.11991661949601)"/>
    <s v="[915137, 915145, 915153, 1436689, 1436697, 1436705, 1436713, 1436721, 1436729, 1436737]"/>
    <s v="[887455, 887459, 887464, 1306136, 1306142, 1306145, 1306150, 1306154, 1306159, 952455]"/>
    <s v="0.01837146454242937"/>
    <s v="[887440, 887455, 887459, 887464, 1306136, 1306142, 1306145, 1306150, 1306154, 1306159]"/>
    <s v="[0.271, 0.118, 0.074, 0.405, 0.025, 0.038, 0.05, 0.048, 0.145, 0.09]"/>
    <s v="638.7797688519818"/>
    <s v="[0.271, -0.118, -0.074, 0.405, -0.025, -0.038, -0.05, -0.048, 0.145, 0.09]"/>
  </r>
  <r>
    <x v="2576"/>
    <x v="3188"/>
    <x v="0"/>
    <s v="[0, 0, 1, 0, 0]"/>
    <s v="LINESTRING (9.706435137231127 59.11803968258622, 9.706622047797286 59.11815364433366, 9.708007061021068 59.1191325937967, 9.708232964673071 59.1192526280549, 9.708446134796285 59.11933956619375, 9.710941913348094 59.11940993283322)"/>
    <s v="[994152, 915089, 915097, 915105, 915113]"/>
    <s v="[887418, 887419, 887424, 887433, 887440]"/>
    <s v="#FIELD!"/>
    <s v="[952202, 887418, 887419, 887424, 887433]"/>
    <s v="[0.175, 0.176, 0.036, 0.047, 0.037]"/>
    <s v="334.10029963458936"/>
    <s v="[-0.175, -0.176, -0.036, -0.047, -0.037]"/>
  </r>
  <r>
    <x v="2577"/>
    <x v="3189"/>
    <x v="0"/>
    <n v="0"/>
    <s v="LINESTRING (9.674836325387854 59.1000330465118, 9.67443232944634 59.09979900874044, 9.674249665924705 59.099752166729424, 9.671427989566036 59.099081846993215, 9.67130720730064 59.099022826186086)"/>
    <s v="[915345, 915353, 2112149, 2112151]"/>
    <s v="[887601, 887606, 1822535, 904862]"/>
    <s v="0.13519543874212517"/>
    <s v="[887596, 887601, 887606, 1822535]"/>
    <s v="[0.113, 0.204, 0.099, 4.506]"/>
    <s v="235.1088627855541"/>
    <s v="[0.113, 0.204, -0.099, 4.506]"/>
  </r>
  <r>
    <x v="2577"/>
    <x v="3190"/>
    <x v="252"/>
    <n v="0"/>
    <s v="LINESTRING (9.673381520283925 59.10098168928332, 9.673381520283925 59.10098168928332, 9.674336171811504 59.10059082735046, 9.674485371133532 59.10053127459869, 9.674921630742801 59.10014131300234, 9.674836325387854 59.1000330465118)"/>
    <s v="[915401, 915409, 915417, 915425, 915433]"/>
    <s v="[887646, 887653, 887658, 887663, 887596]"/>
    <s v="0.16270390735130405"/>
    <s v="[887645, 887646, 887653, 887658, 887663]"/>
    <s v="[0.0, 0.289, 0.201, 0.075, 0.0]"/>
    <s v="163.3173234913982"/>
    <s v="[0.0, 0.289, 0.201, 0.075, 0.0]"/>
  </r>
  <r>
    <x v="2578"/>
    <x v="3191"/>
    <x v="0"/>
    <n v="0"/>
    <s v="LINESTRING (9.674711233017282 59.09978735798577, 9.675002120109335 59.09980652608342, 9.677087717756578 59.10009569698289, 9.679171686894747 59.099978916042204, 9.679269561765759 59.09988935137704, 9.679171793488418 59.09973860485843)"/>
    <s v="[915361, 915369, 915377, 915385, 915393]"/>
    <s v="[887611, 887618, 887625, 887631, 887638]"/>
    <s v="#FIELD!"/>
    <s v="[887610, 887611, 887618, 887625, 887631]"/>
    <s v="[0.051, 0.018, 0.049, 0.338, 0.316]"/>
    <s v="293.12734948305297"/>
    <s v="[-0.051, -0.018, -0.049, -0.338, -0.316]"/>
  </r>
  <r>
    <x v="2578"/>
    <x v="3189"/>
    <x v="0"/>
    <n v="0"/>
    <s v="LINESTRING (9.674711233017282 59.09978735798577, 9.674569752018963 59.09976353845386, 9.674015926966458 59.099657957912875, 9.67130720730064 59.099022826186086)"/>
    <s v="[935814, 935822, 935830]"/>
    <s v="[904846, 904855, 904862]"/>
    <s v="0.140882644433735"/>
    <s v="[887610, 904846, 904855]"/>
    <s v="[0.177, 0.222, 0.123]"/>
    <s v="213.30651131102266"/>
    <s v="[0.177, 0.222, 0.123]"/>
  </r>
  <r>
    <x v="2578"/>
    <x v="3192"/>
    <x v="0"/>
    <s v="[0, 0, 1, 0, 0, 0, 0, 0]"/>
    <s v="LINESTRING (9.690341781366943 59.10143104195742, 9.688958576645078 59.101122969494, 9.688585817380751 59.101054561377296, 9.688366180483717 59.10101576143028, 9.688048665542167 59.10096178537225, 9.678761686202021 59.10032111527669, 9.676554393308349 59.10007580361872, 9.676537559230647 59.10007348237793, 9.674711233017282 59.09978735798577)"/>
    <s v="[935750, 935758, 935766, 935774, 935782, 935790, 935798, 935806]"/>
    <s v="[904787, 904795, 904804, 904812, 904820, 904827, 904835, 887610]"/>
    <s v="0.03046591127239848"/>
    <s v="[904786, 904787, 904795, 904804, 904812, 904820, 904827, 904835]"/>
    <s v="[0.077, 0.103, 0.287, 0.336, 0.057, 0.031, 0.017, 0.001]"/>
    <s v="920.0402476560441"/>
    <s v="[-0.077, -0.103, 0.287, 0.336, 0.057, -0.031, -0.017, 0.001]"/>
  </r>
  <r>
    <x v="2579"/>
    <x v="3193"/>
    <x v="0"/>
    <n v="0"/>
    <m/>
    <n v="2112167"/>
    <n v="888321"/>
    <s v="8.271"/>
    <n v="887638"/>
    <s v="8.271"/>
    <s v="5.437324342006429"/>
    <s v="8.271"/>
  </r>
  <r>
    <x v="2579"/>
    <x v="3194"/>
    <x v="0"/>
    <n v="0"/>
    <s v="LINESTRING (9.679171793488418 59.09973860485843, 9.679205616083557 59.099718155074655, 9.67932969754512 59.099628335970415)"/>
    <s v="[2112152, 2112153]"/>
    <s v="[888312, 859076]"/>
    <s v="2.8494906771633968"/>
    <s v="[887638, 888312]"/>
    <s v="[14.802, 0.063]"/>
    <s v="15.277430869387508"/>
    <s v="[14.802, -0.063]"/>
  </r>
  <r>
    <x v="2580"/>
    <x v="3165"/>
    <x v="0"/>
    <n v="0"/>
    <m/>
    <n v="935862"/>
    <n v="887781"/>
    <s v="0.064"/>
    <n v="887775"/>
    <s v="0.064"/>
    <s v="9.874200980447027"/>
    <s v="0.064"/>
  </r>
  <r>
    <x v="2580"/>
    <x v="3195"/>
    <x v="0"/>
    <n v="0"/>
    <m/>
    <n v="935854"/>
    <n v="887775"/>
    <s v="0.034"/>
    <n v="904884"/>
    <s v="0.034"/>
    <s v="31.4873434895781"/>
    <s v="0.034"/>
  </r>
  <r>
    <x v="2581"/>
    <x v="3196"/>
    <x v="0"/>
    <n v="0"/>
    <s v="LINESTRING (9.661965073086856 59.073420376367864, 9.661955277536782 59.073393254035146, 9.66192946394826 59.0733254250274)"/>
    <s v="[935870, 935878]"/>
    <s v="[904900, 904906]"/>
    <s v="0.09600623270615484"/>
    <s v="[887781, 904900]"/>
    <s v="[0.086, 0.1]"/>
    <s v="10.780743731906998"/>
    <s v="[0.086, 0.1]"/>
  </r>
  <r>
    <x v="2582"/>
    <x v="3161"/>
    <x v="0"/>
    <n v="0"/>
    <m/>
    <n v="937070"/>
    <n v="887799"/>
    <s v="0.033"/>
    <n v="887837"/>
    <s v="0.033"/>
    <s v="96.14038064732031"/>
    <s v="0.033"/>
  </r>
  <r>
    <x v="2583"/>
    <x v="3197"/>
    <x v="0"/>
    <n v="0"/>
    <s v="LINESTRING (9.315497693500976 58.92822807366653, 9.315450316323657 58.92788708688782, 9.315436636828188 58.927841872317195)"/>
    <s v="[1730520, 1730536]"/>
    <s v="[1538839, 961806]"/>
    <s v="0.05801411364693112"/>
    <s v="[887813, 1538839]"/>
    <s v="[0.054, 0.088]"/>
    <s v="43.21894380599891"/>
    <s v="[0.054, 0.088]"/>
  </r>
  <r>
    <x v="2583"/>
    <x v="3198"/>
    <x v="0"/>
    <n v="0"/>
    <s v="LINESTRING (9.315497693500976 58.92822807366653, 9.3151937648404 58.92791730120318, 9.31515710594776 58.927882532493776)"/>
    <s v="[1730528, 1730544]"/>
    <s v="[1538846, 961808]"/>
    <s v="0.06355255074116646"/>
    <s v="[887813, 1538846]"/>
    <s v="[0.061, 0.086]"/>
    <s v="43.242711647271435"/>
    <s v="[0.061, 0.086]"/>
  </r>
  <r>
    <x v="2584"/>
    <x v="3199"/>
    <x v="0"/>
    <n v="0"/>
    <s v="LINESTRING (9.319028995512143 58.92792798173023, 9.319028995512143 58.92792798173023, 9.319234740981901 58.92814224365875, 9.319213402184236 58.92825166193914)"/>
    <s v="[1730552, 1730593, 1730568]"/>
    <s v="[1538859, 1538868, 887818]"/>
    <s v="0.019525632093083126"/>
    <s v="[961757, 1538859, 1538868]"/>
    <s v="[0.0, 0.036, 0.008]"/>
    <s v="44.15132384661594"/>
    <s v="[0.0, 0.036, -0.008]"/>
  </r>
  <r>
    <x v="2584"/>
    <x v="3200"/>
    <x v="0"/>
    <n v="0"/>
    <s v="LINESTRING (9.318852672361231 58.92796526624883, 9.318852672361231 58.92796526624883, 9.319090656232138 58.928176168922555, 9.319213402184236 58.92825166193914)"/>
    <s v="[1730560, 1730577, 1730585]"/>
    <s v="[1538863, 1538876, 887818]"/>
    <s v="0.032025189313697015"/>
    <s v="[961768, 1538863, 1538876]"/>
    <s v="[0.0, 0.028, 0.057]"/>
    <s v="43.374010043883416"/>
    <s v="[0.0, 0.028, 0.057]"/>
  </r>
  <r>
    <x v="2585"/>
    <x v="3201"/>
    <x v="0"/>
    <s v="[0, 0, 1, 0, 0, 0, 0, 0, 0, 0, 0, 0, 0, 0, 0, 1, 0, 0, 0, 0, 0, 1, 0, 0, 0, 0, 0, 1, 1, 0, 0, 0, 0, 0, 1, 0, 1, 0, 0, 1, 0, 0, 0, 0, 0]"/>
    <s v="LINESTRING (9.464796786618283 58.96223264395769, 9.462125149508518 58.961749731707336, 9.457791151535883 58.96094264883811, 9.457521448616042 58.96091141799932, 9.45343694231016 58.960771377359535, 9.45319396822069 58.960779655308635, 9.450853439752601 58.96090671229452, 9.450836206204375 58.960907798367884, 9.450449601147211 58.96093228836036, 9.44706031024449 58.96105483770016, 9.441429001043819 58.96042431618956, 9.438206585405103 58.95944636490912, 9.43814618455845 58.95942355525647, 9.436883298409443 58.958905136168646, 9.43420896944702 58.95762527707068, 9.430635024850373 58.95578450147515, 9.429904268888931 58.955410401933094, 9.42573715160113 58.9536589168547, 9.42094614413607 58.95259385323497, 9.413544619029127 58.94969956912298, 9.413030251399025 58.949482149725235, 9.39939541862948 58.945043599660764, 9.39909642837901 58.94504322034548, 9.392082009786774 58.945570871965835, 9.391745642292832 58.94553021877154, 9.39010597200139 58.94522122932283, 9.389900630153207 58.945170904190434, 9.376911858333276 58.94354499505454, 9.376752493845087 58.94354063153211, 9.37648964971107 58.94353343101214, 9.37605430213903 58.94351934852768, 9.37603699810865 58.94351876514462, 9.375231254940054 58.943484597690215, 9.374979697717578 58.94347547392315, 9.360208307063061 58.939168507083636, 9.359932880083884 58.939095705927286, 9.352897244624867 58.939092021780596, 9.352658018555683 58.9391342052549, 9.345005755454503 58.93974720587998, 9.331171595784296 58.939485967144705, 9.327373228456583 58.93830909992852, 9.324789763655003 58.9363586139135, 9.324782774615446 58.93635040310062, 9.324337637368943 58.93583688712543, 9.324330067350138 58.935828821742625, 9.318188222115111 58.93182242580518)"/>
    <s v="[1435401, 936814, 936822, 936830, 936838, 936846, 936854, 936862, 936870, 936878, 936886, 914929, 914937, 914945, 914953, 914961, 914969, 914977, 914985, 914993, 915001, 915009, 915017, 936894, 936902, 936910, 936918, 936926, 936934, 936942, 936950, 936958, 936966, 936974, 936982, 936990, 936998, 937006, 937014, 937022, 937030, 937038, 937046, 937054, 937062]"/>
    <s v="[905690, 905691, 905698, 905704, 905711, 905717, 905725, 905734, 905741, 905747, 887282, 887283, 887288, 887295, 887303, 887309, 887313, 887319, 887326, 887334, 887340, 887346, 887354, 905759, 905765, 905770, 905778, 905783, 905791, 905797, 905803, 757767, 905815, 905822, 905829, 905837, 905843, 905851, 905859, 905866, 905872, 905878, 905886, 905895, 887837]"/>
    <s v="#FIELD!"/>
    <s v="[960590, 905690, 905691, 905698, 905704, 905711, 905717, 905725, 905734, 905741, 905747, 887282, 887283, 887288, 887295, 887303, 887309, 887313, 887319, 887326, 887334, 887340, 887346, 887354, 905759, 905765, 905770, 905778, 905783, 905791, 905797, 905803, 757767, 905815, 905822, 905829, 905837, 905843, 905851, 905859, 905866, 905872, 905878, 905886, 905895]"/>
    <s v="[0.276, 0.074, 0.037, 0.009, 0.019, 0.01, 0.0, 0.015, 0.006, 0.024, 0.023, 0.024, 0.004, 0.096, 0.004, 0.038, 0.031, 0.079, 0.025, 0.058, 0.03, 0.094, 0.017, 0.006, 0.023, 0.056, 0.007, 0.028, 0.032, 0.035, 0.021, 0.028, 0.035, 0.006, 0.046, 0.002, 0.006, 0.061, 0.052, 0.03, 0.03, 0.01, 0.018, 0.01, 0.016]"/>
    <s v="9713.914995352907"/>
    <s v="[-0.276, -0.074, -0.037, -0.009, -0.019, -0.01, 0.0, 0.015, 0.006, 0.024, 0.023, 0.024, -0.004, -0.096, 0.004, 0.038, 0.031, 0.079, 0.025, -0.058, -0.03, -0.094, 0.017, -0.006, 0.023, 0.056, -0.007, -0.028, 0.032, 0.035, 0.021, 0.028, 0.035, 0.006, 0.046, 0.002, -0.006, 0.061, -0.052, -0.03, 0.03, -0.01, -0.018, -0.01, 0.016]"/>
  </r>
  <r>
    <x v="2586"/>
    <x v="3091"/>
    <x v="0"/>
    <n v="1"/>
    <m/>
    <n v="920611"/>
    <n v="891705"/>
    <s v="#FIELD!"/>
    <n v="891704"/>
    <s v="0.018"/>
    <s v="65.54123282332463"/>
    <s v="#FIELD!"/>
  </r>
  <r>
    <x v="2587"/>
    <x v="3103"/>
    <x v="0"/>
    <s v="[0, 1, 0]"/>
    <s v="LINESTRING (10.179936074278322 59.57422076590403, 10.180065220162158 59.57417335638774, 10.181039591604632 59.57382069289296, 10.181149557242838 59.57378336948844)"/>
    <s v="[920739, 920747, 920755]"/>
    <s v="[891808, 891813, 891819]"/>
    <s v="#FIELD!"/>
    <s v="[891807, 891808, 891813]"/>
    <s v="[0.29, 0.063, 0.011]"/>
    <s v="84.17568764184618"/>
    <s v="[-0.29, -0.063, 0.011]"/>
  </r>
  <r>
    <x v="2588"/>
    <x v="3115"/>
    <x v="0"/>
    <s v="[0, 1, 0]"/>
    <s v="LINESTRING (10.209105269875279 59.50922688982008, 10.209922912335863 59.50923743650266, 10.211133961348166 59.50925849217667, 10.211300246062509 59.50926148128875)"/>
    <s v="[920839, 920846, 920854]"/>
    <s v="[891892, 891899, 891905]"/>
    <s v="0.0040906939592336026"/>
    <s v="[891891, 891892, 891899]"/>
    <s v="[0.038, 0.024, 0.066]"/>
    <s v="124.41216458033402"/>
    <s v="[-0.038, 0.024, 0.066]"/>
  </r>
  <r>
    <x v="2589"/>
    <x v="3127"/>
    <x v="0"/>
    <s v="[0, 1]"/>
    <s v="LINESTRING (10.315081891800403 59.468077055454366, 10.314868386278885 59.46832932889406, 10.314394706696419 59.468877171174405)"/>
    <s v="[921014, 921022]"/>
    <s v="[892036, 892044]"/>
    <s v="#FIELD!"/>
    <s v="[892035, 892036]"/>
    <s v="[0.015, 0.017]"/>
    <s v="97.32304395752116"/>
    <s v="[-0.015, -0.017]"/>
  </r>
  <r>
    <x v="2590"/>
    <x v="3138"/>
    <x v="0"/>
    <s v="[1, 0]"/>
    <s v="LINESTRING (10.363971118559006 59.42294044689609, 10.365031201944777 59.42307439564707, 10.365802682008104 59.42317168324981)"/>
    <s v="[921198, 921213]"/>
    <s v="[892204, 892217]"/>
    <s v="0.01321184977428448"/>
    <s v="[892203, 892204]"/>
    <s v="[0.009, 0.019]"/>
    <s v="107.16693436415007"/>
    <s v="[0.009, 0.019]"/>
  </r>
  <r>
    <x v="2591"/>
    <x v="3180"/>
    <x v="0"/>
    <n v="0"/>
    <s v="LINESTRING (10.218078419109325 59.177033973920025, 10.218034518700607 59.17705088544665, 10.217923843272233 59.17706533460202, 10.217802371001943 59.1770479918747, 10.217729526404993 59.17700500658914)"/>
    <s v="[936531, 936539, 936547, 936555]"/>
    <s v="[905460, 905466, 886157, 894261]"/>
    <s v="0.02149707378283947"/>
    <s v="[894269, 905460, 905466, 886157]"/>
    <s v="[0.465, 0.028, 0.014, 0.196]"/>
    <s v="23.236415172417654"/>
    <s v="[0.465, 0.028, 0.014, -0.196]"/>
  </r>
  <r>
    <x v="2592"/>
    <x v="3167"/>
    <x v="0"/>
    <n v="0"/>
    <s v="LINESTRING (9.694443990686418 59.103006724541785, 9.693919661535576 59.10272193458991, 9.690341781366943 59.10143104195742)"/>
    <s v="[993955, 993983]"/>
    <s v="[952163, 904786]"/>
    <s v="#FIELD!"/>
    <s v="[952146, 952163]"/>
    <s v="[0.035, 0.019]"/>
    <s v="295.09647641934333"/>
    <s v="[0.035, -0.019]"/>
  </r>
  <r>
    <x v="2592"/>
    <x v="3168"/>
    <x v="0"/>
    <n v="0"/>
    <s v="LINESTRING (9.693990772638818 59.102687828800796, 9.69398640556029 59.102685643039145, 9.690341781366943 59.10143104195742)"/>
    <s v="[994096, 994104]"/>
    <s v="[952239, 904786]"/>
    <s v="#FIELD!"/>
    <s v="[952235, 952239]"/>
    <s v="[0.0, 0.017]"/>
    <s v="253.28210272460527"/>
    <s v="[0.0, -0.017]"/>
  </r>
  <r>
    <x v="2593"/>
    <x v="3202"/>
    <x v="0"/>
    <n v="0"/>
    <s v="LINESTRING (9.67130720730064 59.099022826186086, 9.66755478745841 59.0969770414892, 9.667233214213201 59.09657933606448)"/>
    <s v="[935838, 935846]"/>
    <s v="[904869, 904875]"/>
    <s v="#FIELD!"/>
    <s v="[904862, 904869]"/>
    <s v="[0.071, 0.196]"/>
    <s v="366.28427839891475"/>
    <s v="[-0.071, -0.196]"/>
  </r>
  <r>
    <x v="2594"/>
    <x v="3203"/>
    <x v="0"/>
    <s v="[0, 0, 0, 0, 0, 1, 0]"/>
    <s v="LINESTRING (9.667233214213201 59.09657933606448, 9.666973162897857 59.09607679812795, 9.66685084704482 59.09584977941874, 9.666632845032202 59.09541166036196, 9.666628638327591 59.09540295594923, 9.666514650769606 59.09516414940118, 9.66645598519676 59.09503880533035, 9.665696082873962 59.09311220554779)"/>
    <s v="[1788473, 1788481, 1788489, 1788497, 1788505, 1788513, 1788521]"/>
    <s v="[1577593, 1577602, 1577611, 1577618, 1577626, 1577635, 1577642]"/>
    <s v="0.010617022897231328"/>
    <s v="[904875, 1577593, 1577602, 1577611, 1577618, 1577626, 1577635]"/>
    <s v="[0.11, 0.036, 0.032, 0.024, 0.024, 0.024, 0.032]"/>
    <s v="396.71336809378005"/>
    <s v="[-0.11, 0.036, 0.032, 0.024, 0.024, 0.024, 0.032]"/>
  </r>
  <r>
    <x v="2594"/>
    <x v="3163"/>
    <x v="0"/>
    <s v="[0, 0, 0, 0, 0, 1, 0, 0, 0, 1, 0, 0, 0, 0, 0, 0]"/>
    <s v="LINESTRING (9.667233214213201 59.09657933606448, 9.666884797167429 59.09610693868361, 9.666770382684177 59.0958847810003, 9.666555913453896 59.095457678163534, 9.666551742912949 59.095448966239424, 9.6664400937059 59.09521615032635, 9.66638163623395 59.09509396443972, 9.665606158482868 59.09313925714358, 9.665348044290587 59.092288848265525, 9.66504270148196 59.084998004878656, 9.66507783797626 59.08481709798358, 9.665125066385016 59.08456412175915, 9.665126786901395 59.08455520270302, 9.665386520987939 59.08216809351425, 9.665230372296104 59.080518077746234, 9.664853307967007 59.079096839486354, 9.664710350093054 59.07870680337201)"/>
    <s v="[1788617, 1788625, 1788633, 1788641, 1788649, 1788657, 1788665, 1788673, 1788681, 1788689, 1788697, 1788705, 1788713, 1788721, 1788729, 1788737]"/>
    <s v="[1577731, 1577742, 1577750, 1577758, 1577766, 1577775, 1577783, 1577791, 1577801, 1577808, 1577819, 1577826, 1577833, 1577840, 1577846, 1577853]"/>
    <s v="0.0012455056464906792"/>
    <s v="[904875, 1577731, 1577742, 1577750, 1577758, 1577766, 1577775, 1577783, 1577791, 1577801, 1577808, 1577819, 1577826, 1577833, 1577840, 1577846]"/>
    <s v="[0.113, 0.036, 0.031, 0.028, 0.024, 0.027, 0.033, 0.041, 0.004, 0.016, 0.016, 0.0, 0.006, 0.009, 0.026, 0.021]"/>
    <s v="2011.2451738705267"/>
    <s v="[-0.113, 0.036, 0.031, 0.028, 0.024, 0.027, 0.033, 0.041, 0.004, -0.016, -0.016, 0.0, -0.006, -0.009, -0.026, -0.021]"/>
  </r>
  <r>
    <x v="2595"/>
    <x v="3166"/>
    <x v="0"/>
    <n v="0"/>
    <s v="LINESTRING (9.664953944522372 59.07908766219698, 9.664814479251135 59.07869651939984, 9.662103754232575 59.073784458300146)"/>
    <s v="[1788601, 1788609]"/>
    <s v="[1577716, 904884]"/>
    <s v="#FIELD!"/>
    <s v="[1577710, 1577716]"/>
    <s v="[0.02, 0.016]"/>
    <s v="614.0873958049654"/>
    <s v="[-0.02, -0.016]"/>
  </r>
  <r>
    <x v="2595"/>
    <x v="3163"/>
    <x v="0"/>
    <n v="0"/>
    <s v="LINESTRING (9.664710350093054 59.07870680337201, 9.663065016816832 59.07574294579784, 9.662103754232575 59.073784458300146)"/>
    <s v="[1788745, 1788753]"/>
    <s v="[1577862, 904884]"/>
    <s v="#FIELD!"/>
    <s v="[1577853, 1577862]"/>
    <s v="[0.023, 0.002]"/>
    <s v="569.8400536942438"/>
    <s v="[-0.023, -0.002]"/>
  </r>
  <r>
    <x v="2596"/>
    <x v="3204"/>
    <x v="0"/>
    <n v="0"/>
    <m/>
    <n v="2168844"/>
    <n v="904906"/>
    <s v="0.027"/>
    <n v="904913"/>
    <s v="0.027"/>
    <s v="2210.053142175147"/>
    <s v="0.027"/>
  </r>
  <r>
    <x v="2597"/>
    <x v="3205"/>
    <x v="0"/>
    <n v="1"/>
    <s v="LINESTRING (9.675629482052557 59.05301991848392, 9.675629482052557 59.05301991848392, 9.676671027531759 59.04946422139721, 9.676722864009388 59.049061313942026)"/>
    <s v="[935886, 935894, 935902]"/>
    <s v="[904914, 834281, 904926]"/>
    <s v="0.09452719189830548"/>
    <s v="[904913, 904914, 834281]"/>
    <s v="[0.0, 0.137, 0.226]"/>
    <s v="688.6970721950257"/>
    <s v="[0.0, 0.137, 0.226]"/>
  </r>
  <r>
    <x v="2598"/>
    <x v="3206"/>
    <x v="253"/>
    <n v="0"/>
    <s v="LINESTRING (9.676208132591016 59.042132632695335, 9.67621461698478 59.04220421624533, 9.676722864009388 59.049061313942026)"/>
    <s v="[1425657, 2168847]"/>
    <s v="[1299712, 904926]"/>
    <s v="0.014260744954096663"/>
    <s v="[1299701, 1299712]"/>
    <s v="[0.135, 0.013]"/>
    <s v="773.0540908817505"/>
    <s v="[0.135, 0.013]"/>
  </r>
  <r>
    <x v="2599"/>
    <x v="3207"/>
    <x v="0"/>
    <n v="0"/>
    <s v="LINESTRING (8.724063373416497 58.46150723172764, 8.724562425566686 58.46140647043722, 8.72465941161858 58.46146283812413, 8.72470090887508 58.46153350177214, 8.724604070430924 58.46166752776266)"/>
    <s v="[949014, 949022, 949030, 949038]"/>
    <s v="[917642, 917652, 917659, 917667]"/>
    <s v="#FIELD!"/>
    <s v="[917641, 917642, 917652, 917659]"/>
    <s v="[0.02, 0.01, 0.001, 0.015]"/>
    <s v="69.56632408363788"/>
    <s v="[-0.02, -0.01, 0.001, 0.015]"/>
  </r>
  <r>
    <x v="2599"/>
    <x v="3208"/>
    <x v="0"/>
    <n v="0"/>
    <m/>
    <n v="949062"/>
    <n v="917641"/>
    <s v="0.003"/>
    <n v="917682"/>
    <s v="0.003"/>
    <s v="25.96766768991383"/>
    <s v="0.003"/>
  </r>
  <r>
    <x v="2599"/>
    <x v="3209"/>
    <x v="0"/>
    <s v="[0, 0, 1, 0, 0]"/>
    <s v="LINESTRING (8.719183290170351 58.46052020363819, 8.719501559639104 58.46061239995281, 8.721542156085796 58.46127223316286, 8.72198122310139 58.46141070555704, 8.723994696975591 58.461519348693095, 8.724063373416497 58.46150723172764)"/>
    <s v="[1146149, 949166, 949174, 949182, 949190]"/>
    <s v="[917790, 917791, 917799, 917805, 917641]"/>
    <s v="0.005351301498840234"/>
    <s v="[1081944, 917790, 917791, 917799, 917805]"/>
    <s v="[0.001, 0.0, 0.024, 0.009, 0.023]"/>
    <s v="318.0087708379789"/>
    <s v="[-0.001, -0.0, 0.024, 0.009, -0.023]"/>
  </r>
  <r>
    <x v="2600"/>
    <x v="3208"/>
    <x v="0"/>
    <n v="0"/>
    <s v="LINESTRING (8.724604070430924 58.46166752776266, 8.724427279385003 58.46171432148315, 8.72424618922368 58.46170155439456)"/>
    <s v="[949046, 949054]"/>
    <s v="[917676, 917682]"/>
    <s v="0.021"/>
    <s v="[917667, 917676]"/>
    <s v="0.021"/>
    <s v="22.253875865625126"/>
    <s v="0.021"/>
  </r>
  <r>
    <x v="2600"/>
    <x v="3210"/>
    <x v="0"/>
    <n v="0"/>
    <s v="LINESTRING (8.724604070430924 58.46166752776266, 8.724567361445956 58.46172864058514, 8.724544001653058 58.461887115249084)"/>
    <s v="[949270, 949278]"/>
    <s v="[917886, 917877]"/>
    <s v="0.010574568870356035"/>
    <s v="[917667, 917886]"/>
    <s v="[0.012, 0.01]"/>
    <s v="24.871594230448714"/>
    <s v="[0.012, 0.01]"/>
  </r>
  <r>
    <x v="2601"/>
    <x v="632"/>
    <x v="0"/>
    <n v="0"/>
    <s v="LINESTRING (8.72424618922368 58.46170155439456, 8.724308158680586 58.46174653900099, 8.724413943062514 58.46207714781994)"/>
    <s v="[949086, 949094]"/>
    <s v="[917719, 917710]"/>
    <s v="0.0026108892998040092"/>
    <s v="[917682, 917719]"/>
    <s v="[0.006, 0.004]"/>
    <s v="44.542868135790485"/>
    <s v="[-0.006, 0.004]"/>
  </r>
  <r>
    <x v="2602"/>
    <x v="3211"/>
    <x v="0"/>
    <n v="0"/>
    <s v="LINESTRING (8.743066368142108 58.47426098375809, 8.742611996358725 58.472529429544956, 8.74248350818154 58.472332304570706)"/>
    <s v="[949070, 1146109]"/>
    <s v="[917702, 1081908]"/>
    <s v="#FIELD!"/>
    <s v="[917701, 917702]"/>
    <s v="[0.037, 0.062]"/>
    <s v="235.86959752978302"/>
    <s v="[-0.037, -0.062]"/>
  </r>
  <r>
    <x v="2602"/>
    <x v="3212"/>
    <x v="0"/>
    <n v="0"/>
    <s v="LINESTRING (8.745805351227501 58.475440443534914, 8.745517806449898 58.47527282297717, 8.744355517077413 58.47444639015914, 8.743066368142108 58.47426098375809)"/>
    <s v="[2132629, 1767085, 1767093]"/>
    <s v="[1560486, 1560487, 917701]"/>
    <s v="0.06006858633677964"/>
    <s v="[1834417, 1560486, 1560487]"/>
    <s v="[0.003, 0.037, 0.106]"/>
    <s v="228.53874253647783"/>
    <s v="[0.003, 0.037, 0.106]"/>
  </r>
  <r>
    <x v="2603"/>
    <x v="3210"/>
    <x v="0"/>
    <n v="0"/>
    <m/>
    <n v="949286"/>
    <n v="917710"/>
    <s v="0.014"/>
    <n v="917877"/>
    <s v="0.014"/>
    <s v="23.050498542526363"/>
    <s v="0.014"/>
  </r>
  <r>
    <x v="2604"/>
    <x v="3213"/>
    <x v="0"/>
    <n v="0"/>
    <s v="LINESTRING (8.744832920726116 58.473444984432, 8.744471889621453 58.47349035418111, 8.744492423741281 58.47436798627024, 8.745646070711775 58.47525541455566, 8.745898133546815 58.47543680653798)"/>
    <s v="[1767317, 1767325, 1767333, 2132605]"/>
    <s v="[1560591, 1560593, 1560597, 1834398]"/>
    <s v="#FIELD!"/>
    <s v="[917822, 1560591, 1560593, 1560597]"/>
    <s v="[0.237, 0.025, 0.026, 0.002]"/>
    <s v="278.33323283256993"/>
    <s v="[-0.237, 0.025, -0.026, -0.002]"/>
  </r>
  <r>
    <x v="2604"/>
    <x v="3214"/>
    <x v="0"/>
    <n v="0"/>
    <s v="LINESTRING (8.741316255728693 58.470958490565216, 8.741550340417305 58.471148540475575, 8.744832920726116 58.473444984432)"/>
    <s v="[1146117, 949198]"/>
    <s v="[917821, 917822]"/>
    <s v="#FIELD!"/>
    <s v="[1081914, 917821]"/>
    <s v="[0.036, 0.001]"/>
    <s v="370.00019483408687"/>
    <s v="[-0.036, 0.001]"/>
  </r>
  <r>
    <x v="2605"/>
    <x v="3215"/>
    <x v="0"/>
    <s v="[0, 1, 0, 0]"/>
    <s v="LINESTRING (8.722783996536592 58.462342371294824, 8.72187043819292 58.46150639943473, 8.72142891639938 58.461363393112954, 8.719967661314506 58.460860911284236, 8.719615736178588 58.46072437338986)"/>
    <s v="[949206, 949214, 949222, 1146141]"/>
    <s v="[917830, 917835, 917842, 1081938]"/>
    <s v="#FIELD!"/>
    <s v="[917829, 917830, 917835, 917842]"/>
    <s v="[0.017, 0.024, 0.004, 0.019]"/>
    <s v="285.7073987689591"/>
    <s v="[-0.017, -0.024, -0.004, 0.019]"/>
  </r>
  <r>
    <x v="2605"/>
    <x v="3216"/>
    <x v="0"/>
    <n v="0"/>
    <s v="LINESTRING (8.725928731089438 58.462781595958205, 8.725668489409019 58.462712619783524, 8.722783996536592 58.462342371294824)"/>
    <s v="[1146125, 949230]"/>
    <s v="[917848, 917829]"/>
    <s v="0.010729473976729324"/>
    <s v="[1081920, 917848]"/>
    <s v="[0.019, 0.01]"/>
    <s v="210.27552733201023"/>
    <s v="[0.019, 0.01]"/>
  </r>
  <r>
    <x v="2606"/>
    <x v="3217"/>
    <x v="0"/>
    <s v="[0, 0, 1, 0, 0]"/>
    <s v="LINESTRING (8.724544001653058 58.461887115249084, 8.724575308673248 58.461945570667645, 8.727985174425255 58.463415619063106, 8.728073186289985 58.46344821789154, 8.728535737170912 58.46364500656506, 8.728836242286722 58.46377917434593)"/>
    <s v="[949262, 949238, 949246, 949254, 1146133]"/>
    <s v="[917855, 917856, 917864, 917870, 1081930]"/>
    <s v="#FIELD!"/>
    <s v="[917877, 917855, 917856, 917864, 917870]"/>
    <s v="[0.0, 0.032, 0.064, 0.077, 0.037]"/>
    <s v="329.8761493917075"/>
    <s v="[-0.0, -0.032, -0.064, -0.077, -0.037]"/>
  </r>
  <r>
    <x v="2607"/>
    <x v="3218"/>
    <x v="0"/>
    <n v="0"/>
    <m/>
    <n v="950400"/>
    <n v="918794"/>
    <s v="0.086"/>
    <n v="918793"/>
    <s v="0.086"/>
    <s v="30.616575533042813"/>
    <s v="0.086"/>
  </r>
  <r>
    <x v="2607"/>
    <x v="3219"/>
    <x v="0"/>
    <n v="0"/>
    <s v="LINESTRING (10.31413914626848 59.7272255720106, 10.314221292622106 59.727257974335515, 10.314269949976332 59.72729955011307)"/>
    <s v="[950456, 950464]"/>
    <s v="[918841, 918793]"/>
    <s v="0.1497468652142564"/>
    <s v="[918834, 918841]"/>
    <s v="[0.133, 0.168]"/>
    <s v="11.24955037753687"/>
    <s v="[0.133, 0.168]"/>
  </r>
  <r>
    <x v="2607"/>
    <x v="1016"/>
    <x v="0"/>
    <n v="0"/>
    <s v="LINESTRING (10.314537843107308 59.72712807661026, 10.314325241824214 59.72726609741066, 10.314269949976332 59.72729955011307)"/>
    <s v="[950536, 950544]"/>
    <s v="[918910, 918793]"/>
    <s v="0.0919849462246714"/>
    <s v="[918860, 918910]"/>
    <s v="[0.091, 0.096]"/>
    <s v="24.654366994379913"/>
    <s v="[0.091, 0.096]"/>
  </r>
  <r>
    <x v="2608"/>
    <x v="3220"/>
    <x v="0"/>
    <n v="0"/>
    <s v="LINESTRING (10.313962420668947 59.727463418017265, 10.313849989126576 59.72742647899161, 10.313787908106024 59.72736796329483)"/>
    <s v="[950408, 950416]"/>
    <s v="[918799, 918807]"/>
    <s v="#FIELD!"/>
    <s v="[918794, 918799]"/>
    <s v="[0.108, 0.184]"/>
    <s v="14.94857092781563"/>
    <s v="[-0.108, -0.184]"/>
  </r>
  <r>
    <x v="2608"/>
    <x v="969"/>
    <x v="0"/>
    <n v="0"/>
    <s v="LINESTRING (10.313962420668947 59.727463418017265, 10.313854487537741 59.72748078645406, 10.313514797428196 59.72757495687386)"/>
    <s v="[950552, 950560]"/>
    <s v="[918926, 918875]"/>
    <s v="0.05515305304432776"/>
    <s v="[918794, 918926]"/>
    <s v="[0.035, 0.061]"/>
    <s v="28.351930567664418"/>
    <s v="[0.035, 0.061]"/>
  </r>
  <r>
    <x v="2609"/>
    <x v="3219"/>
    <x v="0"/>
    <n v="0"/>
    <s v="LINESTRING (10.313787908106024 59.72736796329483, 10.31379643610771 59.727299001832186, 10.313880767746253 59.727239837948986, 10.314003537324883 59.72721459006886, 10.31413914626848 59.7272255720106)"/>
    <s v="[950424, 950432, 950440, 950448]"/>
    <s v="[918812, 918819, 918827, 918834]"/>
    <s v="#FIELD!"/>
    <s v="[918807, 918812, 918819, 918827]"/>
    <s v="[0.187, 0.132, 0.046, 0.094]"/>
    <s v="31.017314862492064"/>
    <s v="[-0.187, -0.132, -0.046, 0.094]"/>
  </r>
  <r>
    <x v="2609"/>
    <x v="969"/>
    <x v="0"/>
    <n v="0"/>
    <s v="LINESTRING (10.313787908106024 59.72736796329483, 10.313734431146017 59.727416924158135, 10.313514797428196 59.72757495687386)"/>
    <s v="[950488, 950496]"/>
    <s v="[918867, 918875]"/>
    <s v="0.13367736604487598"/>
    <s v="[918807, 918867]"/>
    <s v="[0.15, 0.129]"/>
    <s v="27.980282544598047"/>
    <s v="[0.15, 0.129]"/>
  </r>
  <r>
    <x v="2610"/>
    <x v="1016"/>
    <x v="0"/>
    <n v="0"/>
    <s v="LINESTRING (10.314537843107308 59.72712807661026, 10.3142143361212 59.727212303653594, 10.31413914626848 59.7272255720106)"/>
    <s v="[950520, 950528]"/>
    <s v="[918897, 918834]"/>
    <s v="0.02356831484874619"/>
    <s v="[918860, 918897]"/>
    <s v="[0.017, 0.054]"/>
    <s v="25.252875572691256"/>
    <s v="[0.017, 0.054]"/>
  </r>
  <r>
    <x v="2611"/>
    <x v="3221"/>
    <x v="0"/>
    <n v="0"/>
    <s v="LINESTRING (9.037963584770269 58.73004605691842, 9.038021515293238 58.730122125239795, 9.038014058095904 58.73018372382198, 9.037938370385318 58.730255480591815, 9.037895995849375 58.730275086241164)"/>
    <s v="[967608, 967621, 967622, 967629]"/>
    <s v="[931459, 931469, 931470, 931474]"/>
    <s v="0.027647375851625047"/>
    <s v="[924946, 931459, 931469, 931470]"/>
    <s v="[0.043, 0.036, 0.012, 0.011]"/>
    <s v="28.420505730418803"/>
    <s v="[0.043, 0.036, 0.012, 0.011]"/>
  </r>
  <r>
    <x v="2611"/>
    <x v="2445"/>
    <x v="0"/>
    <n v="0"/>
    <s v="LINESTRING (9.037572555321681 58.72999405183688, 9.037778877918566 58.729982813156106, 9.037963584770269 58.73004605691842)"/>
    <s v="[967599, 967607]"/>
    <s v="[931454, 924946]"/>
    <s v="0.01901032916034705"/>
    <s v="[931449, 931454]"/>
    <s v="[0.003, 0.034]"/>
    <s v="25.239861301010556"/>
    <s v="[0.003, 0.034]"/>
  </r>
  <r>
    <x v="2612"/>
    <x v="3222"/>
    <x v="0"/>
    <n v="0"/>
    <m/>
    <n v="2114999"/>
    <n v="1525198"/>
    <s v="0.024"/>
    <n v="925275"/>
    <s v="0.024"/>
    <s v="7.670902945317623"/>
    <s v="0.024"/>
  </r>
  <r>
    <x v="2612"/>
    <x v="3223"/>
    <x v="0"/>
    <n v="0"/>
    <s v="LINESTRING (10.206443267930455 59.172640096302544, 10.20666805534237 59.173029171591665, 10.207447565292659 59.1765770122935, 10.207495982960227 59.17665511844472)"/>
    <s v="[1708833, 958716, 958724]"/>
    <s v="[925267, 925268, 925275]"/>
    <s v="0.018378335723284126"/>
    <s v="[925392, 925267, 925268]"/>
    <s v="[0.023, 0.018, 0.012]"/>
    <s v="452.89567510167825"/>
    <s v="[0.023, 0.018, 0.012]"/>
  </r>
  <r>
    <x v="2612"/>
    <x v="3224"/>
    <x v="0"/>
    <s v="[0, 1, 0]"/>
    <s v="LINESTRING (10.205965764295591 59.176617546677676, 10.206230527306275 59.17654122151352, 10.207218050948073 59.176562359053136, 10.207495982960227 59.17665511844472)"/>
    <s v="[2114975, 2114983, 2114991]"/>
    <s v="[1824226, 1824233, 925275]"/>
    <s v="0.03172479286479593"/>
    <s v="[1525237, 1824226, 1824233]"/>
    <s v="[0.075, 0.024, 0.153]"/>
    <s v="94.0805681095688"/>
    <s v="[-0.075, 0.024, 0.153]"/>
  </r>
  <r>
    <x v="2613"/>
    <x v="3225"/>
    <x v="0"/>
    <n v="0"/>
    <m/>
    <n v="958740"/>
    <n v="925287"/>
    <s v="#FIELD!"/>
    <n v="925280"/>
    <s v="0.053"/>
    <s v="15.412495458090994"/>
    <s v="#FIELD!"/>
  </r>
  <r>
    <x v="2613"/>
    <x v="3226"/>
    <x v="0"/>
    <n v="0"/>
    <s v="LINESTRING (10.18563844999086 59.15336586298516, 10.185608697399973 59.15341560959742, 10.18958421579469 59.15652518439892, 10.189963881597869 59.156872286365335)"/>
    <s v="[959036, 959044, 959028]"/>
    <s v="[925500, 925493, 925494]"/>
    <s v="#FIELD!"/>
    <s v="[925280, 925500, 925493]"/>
    <s v="[0.09, 0.02, 0.031]"/>
    <s v="470.04836029567326"/>
    <s v="[-0.09, -0.02, 0.031]"/>
  </r>
  <r>
    <x v="2613"/>
    <x v="3227"/>
    <x v="0"/>
    <n v="0"/>
    <s v="LINESTRING (10.18523995195184 59.15309413092292, 10.185573423922266 59.1530653180539, 10.185725071685082 59.15312599425721, 10.185782733980297 59.15320180927375, 10.18563844999086 59.15336586298516)"/>
    <s v="[958772, 958780, 958788, 958732]"/>
    <s v="[925309, 925314, 925279, 925280]"/>
    <s v="#FIELD!"/>
    <s v="[925304, 925309, 925314, 925279]"/>
    <s v="[0.042, 0.024, 0.05, 0.09]"/>
    <s v="60.9811005794719"/>
    <s v="[0.042, 0.024, -0.05, -0.09]"/>
  </r>
  <r>
    <x v="2614"/>
    <x v="3228"/>
    <x v="0"/>
    <n v="0"/>
    <s v="LINESTRING (10.185379201162403 59.153390029772325, 10.185215954448143 59.1533429463531, 10.185136985036031 59.15327505624485)"/>
    <s v="[958748, 958756]"/>
    <s v="[925293, 925298]"/>
    <s v="0.01989176284599611"/>
    <s v="[925287, 925293]"/>
    <s v="[0.005, 0.038]"/>
    <s v="19.532902595538932"/>
    <s v="[0.005, 0.038]"/>
  </r>
  <r>
    <x v="2614"/>
    <x v="3229"/>
    <x v="0"/>
    <n v="0"/>
    <s v="LINESTRING (10.185379201162403 59.153390029772325, 10.18527643182757 59.15340597559125, 10.184927520648491 59.15349603152071)"/>
    <s v="[959158, 959166]"/>
    <s v="[925575, 925557]"/>
    <s v="#FIELD!"/>
    <s v="[925287, 925575]"/>
    <s v="[0.069, 0.073]"/>
    <s v="28.84783418910643"/>
    <s v="[-0.069, -0.073]"/>
  </r>
  <r>
    <x v="2615"/>
    <x v="3227"/>
    <x v="0"/>
    <n v="0"/>
    <m/>
    <n v="958764"/>
    <n v="925304"/>
    <s v="0.075"/>
    <n v="925298"/>
    <s v="0.075"/>
    <s v="21.93425575668934"/>
    <s v="0.075"/>
  </r>
  <r>
    <x v="2615"/>
    <x v="3229"/>
    <x v="0"/>
    <n v="0"/>
    <s v="LINESTRING (10.185136985036031 59.15327505624485, 10.185103748921225 59.15332093121687, 10.184927520648491 59.15349603152071)"/>
    <s v="[959116, 959125]"/>
    <s v="[925550, 925557]"/>
    <s v="#FIELD!"/>
    <s v="[925298, 925550]"/>
    <s v="[0.083, 0.089]"/>
    <s v="27.89519424396513"/>
    <s v="[-0.083, -0.089]"/>
  </r>
  <r>
    <x v="2616"/>
    <x v="3230"/>
    <x v="0"/>
    <n v="0"/>
    <s v="LINESTRING (10.178798381808557 59.150164855738105, 10.179205004555879 59.15045799751468, 10.17968632955605 59.15082314592753, 10.181998232674998 59.15236612365843, 10.185127189723717 59.153098092183676, 10.18523995195184 59.15309413092292)"/>
    <s v="[959271, 959279, 959287, 959295, 959303]"/>
    <s v="[925651, 925655, 925661, 925668, 925304]"/>
    <s v="0.0024928799188576652"/>
    <s v="[925650, 925651, 925655, 925661, 925668]"/>
    <s v="[0.038, 0.011, 0.001, 0.014, 0.046]"/>
    <s v="515.464331710533"/>
    <s v="[-0.038, -0.011, 0.001, 0.014, 0.046]"/>
  </r>
  <r>
    <x v="2617"/>
    <x v="1739"/>
    <x v="0"/>
    <n v="0"/>
    <s v="LINESTRING (10.183421430038715 59.154178716239414, 10.183569933673043 59.154216960177244, 10.183643978206115 59.15427454828721)"/>
    <s v="[958860, 958868]"/>
    <s v="[925373, 925325]"/>
    <s v="#FIELD!"/>
    <s v="[925366, 925373]"/>
    <s v="[0.046, 0.058]"/>
    <s v="17.20232105254531"/>
    <s v="[-0.046, -0.058]"/>
  </r>
  <r>
    <x v="2617"/>
    <x v="3231"/>
    <x v="0"/>
    <n v="0"/>
    <s v="LINESTRING (10.183858604196802 59.15406427335221, 10.183680925513388 59.15423032277001, 10.183643978206115 59.15427454828721)"/>
    <s v="[959190, 959198]"/>
    <s v="[925592, 925325]"/>
    <s v="#FIELD!"/>
    <s v="[925569, 925592]"/>
    <s v="[0.056, 0.051]"/>
    <s v="26.757768294130223"/>
    <s v="[-0.056, -0.051]"/>
  </r>
  <r>
    <x v="2618"/>
    <x v="3231"/>
    <x v="0"/>
    <n v="0"/>
    <s v="LINESTRING (10.183858604196802 59.15406427335221, 10.183519149435938 59.154156620128894, 10.183421430038715 59.154178716239414)"/>
    <s v="[959174, 959182]"/>
    <s v="[925583, 925366]"/>
    <s v="#FIELD!"/>
    <s v="[925569, 925583]"/>
    <s v="[0.023, 0.01]"/>
    <s v="28.459324574918472"/>
    <s v="[-0.023, -0.01]"/>
  </r>
  <r>
    <x v="2619"/>
    <x v="3226"/>
    <x v="254"/>
    <n v="0"/>
    <s v="LINESTRING (10.206443267930455 59.172640096302544, 10.19561652063618 59.16041804870226, 10.189963881597869 59.156872286365335)"/>
    <s v="[958892, 959535]"/>
    <s v="[925393, 925494]"/>
    <s v="#FIELD!"/>
    <s v="[925392, 925393]"/>
    <s v="[0.019, 0.038]"/>
    <s v="2019.431940218415"/>
    <s v="[-0.019, -0.038]"/>
  </r>
  <r>
    <x v="2619"/>
    <x v="3232"/>
    <x v="0"/>
    <n v="0"/>
    <s v="LINESTRING (10.207114556198446 59.18171811209959, 10.206590463795173 59.180436996487096, 10.206576058626368 59.172954860219, 10.206443267930455 59.172640096302544)"/>
    <s v="[1708881, 1708889, 1708897]"/>
    <s v="[1525361, 1525366, 925392]"/>
    <s v="0.0041372797165177"/>
    <s v="[1524966, 1525361, 1525366]"/>
    <s v="[0.04, 0.001, 0.022]"/>
    <s v="1018.5584609476799"/>
    <s v="[0.04, -0.001, -0.022]"/>
  </r>
  <r>
    <x v="2620"/>
    <x v="3233"/>
    <x v="0"/>
    <n v="0"/>
    <s v="LINESTRING (15.315113152220338 66.54914692633928, 15.316229370486488 66.55021720396553, 15.316700522166592 66.5506170705418, 15.317158243557511 66.55097269970508, 15.317187680817247 66.55099417067593, 15.317332125131209 66.55109836421633, 15.317419081828827 66.55116062670594, 15.317913378050335 66.55153239928025, 15.317916947855009 66.55153506541494, 15.318502129752774 66.55196830985672, 15.318563483369113 66.55201453862924, 15.320290048572064 66.55311052205113)"/>
    <s v="[958968, 958976, 958984, 958992, 959000, 959008, 959016, 959024, 959032, 959040, 959048]"/>
    <s v="[925453, 925459, 925465, 925470, 925475, 925480, 925484, 925490, 925498, 925502, 925506]"/>
    <s v="0.02207604201153822"/>
    <s v="[925452, 925453, 925459, 925465, 925470, 925475, 925480, 925484, 925490, 925498, 925502]"/>
    <s v="[0.005, 0.015, 0.017, 0.018, 0.019, 0.019, 0.031, 0.134, 0.041, 0.035, 0.031]"/>
    <s v="499.4151528600855"/>
    <s v="[0.005, 0.015, 0.017, 0.018, 0.019, 0.019, 0.031, 0.134, 0.041, 0.035, 0.031]"/>
  </r>
  <r>
    <x v="2620"/>
    <x v="3233"/>
    <x v="0"/>
    <n v="0"/>
    <s v="LINESTRING (15.315113152220338 66.54914692633928, 15.316238662224684 66.55008895299673, 15.31637769963239 66.5502025510122, 15.316860688049116 66.55059273140029, 15.316864920944756 66.55059620361335, 15.3173048486727 66.55094439542859, 15.317332137197464 66.5509668934214, 15.317468400424149 66.5510740907569, 15.317543933273118 66.55113056306857, 15.318047497892676 66.55151025583193, 15.31865137420463 66.55194704124573, 15.320290048572064 66.55311052205113)"/>
    <s v="[959056, 959064, 959072, 959080, 959088, 959096, 959104, 959112, 959121, 959129, 959138]"/>
    <s v="[925512, 925518, 925522, 925528, 925535, 925540, 925545, 925548, 925554, 925559, 925506]"/>
    <s v="0.022358239687119166"/>
    <s v="[925452, 925512, 925518, 925522, 925528, 925535, 925540, 925545, 925548, 925554, 925559]"/>
    <s v="[0.005, 0.013, 0.015, 0.028, 0.017, 0.022, 0.018, 0.019, 0.039, 0.041, 0.029]"/>
    <s v="498.5942020000863"/>
    <s v="[0.005, 0.013, 0.015, 0.028, 0.017, 0.022, 0.018, 0.019, 0.039, 0.041, 0.029]"/>
  </r>
  <r>
    <x v="2621"/>
    <x v="3230"/>
    <x v="0"/>
    <n v="0"/>
    <s v="LINESTRING (10.189963881597869 59.156872286365335, 10.189146446742734 59.1562587373215, 10.181926577335416 59.15239666267813, 10.179609464152447 59.15084829043862, 10.17900731344899 59.150349318291326, 10.178798381808557 59.150164855738105)"/>
    <s v="[959543, 959551, 959560, 959568, 959576]"/>
    <s v="[925818, 925822, 925829, 925833, 925650]"/>
    <s v="0.007709126820192917"/>
    <s v="[925494, 925818, 925822, 925829, 925833]"/>
    <s v="[0.039, 0.015, 0.001, 0.015, 0.047]"/>
    <s v="987.4094510624112"/>
    <s v="[-0.039, 0.015, -0.001, 0.015, 0.047]"/>
  </r>
  <r>
    <x v="2622"/>
    <x v="3234"/>
    <x v="255"/>
    <s v="[0, 0, 0, 0, 0, 0, 0, 1, 0, 0, 1, 0, 0, 0, 1, 1, 0, 0, 0, 0, 1, 0, 0, 0, 0, 1, 0, 0, 0, 0, 0, 0, 0, 0, 0, 0, 0, 0, 0, 1, 0, 0, 0, 0, 0, 0, 0, 0, 0, 0, 0, 0, 0, 0, 0, 0, 0, 0, 0, 0, 0, 0, 0, 0, 0, 0, 0, 0, 0, 0, 0, 0, 0, 0]"/>
    <s v="LINESTRING (15.320290048572064 66.55311052205113, 15.322208845605935 66.55431454267976, 15.347774324889045 66.56655409575967, 15.347845214470281 66.5666150673272, 15.348615340906901 66.56728793595597, 15.353200845311704 66.57558334614653, 15.352931834569455 66.57581742295959, 15.35203866228218 66.576531192194, 15.350879855725138 66.57770684143388, 15.352273742110198 66.5824938862141, 15.352247186719044 66.59286186610886, 15.352306724143421 66.59301971227771, 15.35727571216935 66.60010431233793, 15.35773392923668 66.60060652545731, 15.367227076782255 66.61091384593723, 15.367250271933681 66.61093899129257, 15.367375746250652 66.61107497658752, 15.368254152984896 66.61202705904151, 15.368275512670813 66.61205008241808, 15.369138855790181 66.61294255594755, 15.369573534993917 66.61335725074913, 15.369758733111997 66.6135284304585, 15.377735005096369 66.62395232426829, 15.39448985090328 66.64449092907867, 15.397140100191496 66.65015453730837, 15.401205686787076 66.65375803131376, 15.401524730408621 66.65393708563938, 15.403145588587618 66.65488888889004, 15.405571853013601 66.65706547396913, 15.406160418021358 66.65793578330407, 15.406759375384487 66.65887714967712, 15.406850515422466 66.65901676276884, 15.41004534459828 66.67162590677975, 15.411838441323717 66.67368935847448, 15.41551694303576 66.68195059739809, 15.4183015371488 66.68399388935198, 15.419170347108635 66.68483862685027, 15.419447569058072 66.68514901979842, 15.425100492226111 66.689246736865, 15.425891157157256 66.68948693348383, 15.426201177556191 66.68957831637617, 15.42765636834817 66.69000587529266, 15.428460559510835 66.69024095376999, 15.42856886547472 66.69027272133678, 15.429272523979353 66.69047936212404, 15.430205642481965 66.69075269134852, 15.432804426295517 66.6915165636089, 15.433151166785999 66.69161963780141, 15.43498951976251 66.69232367298487, 15.43859741395105 66.69675084564453, 15.439815607287757 66.69807159145441, 15.458753565388703 66.71177689133854, 15.463435719267306 66.71520601038597, 15.463152282176182 66.71729529413676, 15.46309376503116 66.71788249031201, 15.463052328550628 66.71828173934053, 15.462844897457522 66.72037337296382, 15.464323930747144 66.72396189475481, 15.465537055618132 66.72697031772324, 15.46816247630398 66.73049297627776, 15.468196466803121 66.73053530799918, 15.46857440865157 66.73101413174008, 15.469985846280366 66.73291877215149, 15.470435786933622 66.73351704945142, 15.470610506880314 66.73375641158185, 15.471941833432025 66.73550132145907, 15.47555394580647 66.74666854783531, 15.47597394317296 66.76407744648147, 15.475935782471156 66.76431018660824, 15.475929841574573 66.76434598954074, 15.475776037630972 66.76538419179076, 15.467364699412538 66.78277108797188, 15.451049734452319 66.79353530094528, 15.423160653400915 66.80427679568811, 15.421321289012283 66.80477246680042)"/>
    <s v="[1197296, 1197304, 1197312, 1197320, 1197328, 1197336, 1197344, 1197352, 1197360, 1197368, 1197376, 1197384, 1197392, 1197400, 1197408, 1197416, 1197424, 1197432, 1197440, 1197448, 1197456, 1197464, 1197472, 1197480, 1197488, 1197496, 1197504, 1197512, 1197520, 1197528, 477539, 477547, 477555, 477563, 477571, 477579, 477587, 477595, 477603, 477611, 477619, 477627, 477635, 477643, 477651, 477659, 477667, 477678, 477686, 477694, 477702, 477710, 477718, 477726, 477734, 477742, 477750, 477758, 477766, 477774, 477782, 477790, 477798, 477806, 477814, 1197536, 1197544, 1197552, 1197560, 1197568, 1197576, 1197584, 1197592, 1197600]"/>
    <s v="[1123302, 1123307, 1123313, 1123317, 1123321, 1123327, 1123333, 1123339, 1123344, 1123349, 1123354, 1123357, 1123361, 1123365, 1123369, 1123373, 1123378, 1123385, 1123389, 1123393, 1123396, 1123398, 1123406, 1123411, 1123419, 1123425, 1123429, 404395, 1123438, 404422, 476222, 404456, 476236, 404474, 476254, 404491, 476272, 476280, 476287, 476299, 476309, 404590, 476327, 404646, 404665, 476351, 476360, 476372, 476383, 476391, 476398, 476408, 476420, 404673, 404690, 476444, 404711, 404720, 476471, 476479, 476488, 476497, 476509, 448469, 404774, 1123448, 1123454, 1123461, 1123468, 1123471, 1123477, 1123484, 1123489, 957739]"/>
    <s v="#FIELD!"/>
    <s v="[925506, 1123302, 1123307, 1123313, 1123317, 1123321, 1123327, 1123333, 1123339, 1123344, 1123349, 1123354, 1123357, 1123361, 1123365, 1123369, 1123373, 1123378, 1123385, 1123389, 1123393, 1123396, 1123398, 1123406, 1123411, 1123419, 1123425, 1123429, 404395, 1123438, 404422, 476222, 404456, 476236, 404474, 476254, 404491, 476272, 476280, 476287, 476299, 476309, 404590, 476327, 404646, 404665, 476351, 476360, 476372, 476383, 476391, 476398, 476408, 476420, 404673, 404690, 476444, 404711, 404720, 476471, 476479, 476488, 476497, 476509, 448469, 404774, 1123448, 1123454, 1123461, 1123468, 1123471, 1123477, 1123484, 1123489]"/>
    <s v="[0.019, 0.005, 0.004, 0.01, 0.006, 0.01, 0.005, 0.004, 0.0, 0.002, 0.001, 0.001, 0.002, 0.002, 0.003, 0.001, 0.001, 0.008, 0.004, 0.009, 0.029, 0.003, 0.004, 0.001, 0.018, 0.006, 0.005, 0.001, 0.004, 0.007, 0.009, 0.011, 0.002, 0.006, 0.022, 0.051, 0.061, 0.043, 0.044, 0.043, 0.038, 0.026, 0.026, 0.025, 0.024, 0.019, 0.02, 0.024, 0.015, 0.011, 0.022, 0.059, 0.026, 0.018, 0.019, 0.025, 0.07, 0.063, 0.113, 0.148, 0.118, 0.052, 0.063, 0.07, 0.075, 0.011, 0.033, 0.024, 0.022, 0.022, 0.046, 0.032, 0.001, 0.032]"/>
    <s v="30855.426883743035"/>
    <s v="[0.019, 0.005, 0.004, 0.01, -0.006, -0.01, -0.005, 0.004, -0.0, -0.002, 0.001, -0.001, -0.002, 0.002, 0.003, -0.001, -0.001, -0.008, -0.004, -0.009, -0.029, -0.003, 0.004, -0.001, -0.018, -0.006, 0.005, -0.001, 0.004, 0.007, -0.009, 0.011, -0.002, -0.006, -0.022, -0.051, -0.061, -0.043, -0.044, -0.043, -0.038, -0.026, -0.026, -0.025, -0.024, -0.019, -0.02, -0.024, -0.015, -0.011, -0.022, -0.059, -0.026, -0.018, -0.019, -0.025, -0.07, -0.063, -0.113, -0.148, -0.118, -0.052, -0.063, -0.07, -0.075, -0.011, -0.033, 0.024, 0.022, 0.022, -0.046, -0.032, -0.001, 0.032]"/>
  </r>
  <r>
    <x v="2623"/>
    <x v="1736"/>
    <x v="0"/>
    <n v="0"/>
    <s v="LINESTRING (10.18896067723567 59.156325794700855, 10.181756486093464 59.15247380065247, 10.179420025091444 59.150913623188416, 10.178804743165205 59.150402719310975)"/>
    <s v="[959503, 959511, 959519]"/>
    <s v="[925794, 925797, 925645]"/>
    <s v="0.011116075494252198"/>
    <s v="[925520, 925794, 925797]"/>
    <s v="[0.015, 0.0, 0.013]"/>
    <s v="882.5707520606556"/>
    <s v="[0.015, 0.0, 0.013]"/>
  </r>
  <r>
    <x v="2623"/>
    <x v="3235"/>
    <x v="0"/>
    <n v="0"/>
    <s v="LINESTRING (10.206292415635017 59.17298635609085, 10.206173364656557 59.17266934719142, 10.195435568518048 59.160487902813415, 10.189777964046968 59.15693814306255, 10.18896067723567 59.156325794700855)"/>
    <s v="[1708865, 958876, 959487, 959495]"/>
    <s v="[925380, 925381, 925784, 925520]"/>
    <s v="#FIELD!"/>
    <s v="[1525037, 925380, 925381, 925784]"/>
    <s v="[0.021, 0.019, 0.038, 0.041]"/>
    <s v="2132.9295522025036"/>
    <s v="[-0.021, -0.019, -0.038, -0.041]"/>
  </r>
  <r>
    <x v="2624"/>
    <x v="3231"/>
    <x v="0"/>
    <s v="[0, 1, 0]"/>
    <s v="LINESTRING (10.184927520648491 59.15349603152071, 10.184735856358698 59.15359716366164, 10.184120619883506 59.15392561815821, 10.183858604196802 59.15406427335221)"/>
    <s v="[959133, 959142, 959150]"/>
    <s v="[925561, 925564, 925569]"/>
    <s v="#FIELD!"/>
    <s v="[925557, 925561, 925564]"/>
    <s v="[0.085, 0.074, 0.042]"/>
    <s v="88.0684704032947"/>
    <s v="[-0.085, -0.074, -0.042]"/>
  </r>
  <r>
    <x v="2625"/>
    <x v="3236"/>
    <x v="0"/>
    <s v="[0, 0, 0, 1, 0, 0, 0]"/>
    <s v="LINESTRING (10.178804743165205 59.150402719310975, 10.178597561773536 59.150219634874055, 10.16798913354538 59.1414207375708, 10.155373523725483 59.13475633670792, 10.15531106762614 59.1347062791313, 10.154734462650675 59.13422471263225, 10.149559079794068 59.13010573573838, 10.148399573240718 59.129435261100056)"/>
    <s v="[959527, 959479, 959584, 959592, 959600, 1365100, 1365108]"/>
    <s v="[925777, 925778, 925842, 925845, 925851, 1260186, 1260193]"/>
    <s v="0.0022351180320313814"/>
    <s v="[925645, 925777, 925778, 925842, 925845, 925851, 1260186]"/>
    <s v="[0.043, 0.004, 0.001, 0.015, 0.025, 0.002, 0.007]"/>
    <s v="2941.0592924284306"/>
    <s v="[0.043, 0.004, 0.001, 0.015, 0.025, -0.002, -0.007]"/>
  </r>
  <r>
    <x v="2626"/>
    <x v="3237"/>
    <x v="256"/>
    <s v="[0, 0, 1, 0, 0]"/>
    <s v="LINESTRING (10.178798381808557 59.150164855738105, 10.168145716861874 59.141336313857764, 10.155591476161376 59.134667215072156, 10.155529176298359 59.134616794621216, 10.154974541453951 59.1341510195655, 10.149765660229106 59.130008705025155)"/>
    <s v="[959311, 959608, 959616, 959624, 1365304]"/>
    <s v="[925679, 925857, 925863, 925867, 1260348]"/>
    <s v="0.00195943062635547"/>
    <s v="[925650, 925679, 925857, 925863, 925867]"/>
    <s v="[0.004, 0.001, 0.013, 0.023, 0.003]"/>
    <s v="2820.8983436358076"/>
    <s v="[0.004, 0.001, 0.013, 0.023, -0.003]"/>
  </r>
  <r>
    <x v="2627"/>
    <x v="3238"/>
    <x v="0"/>
    <n v="0"/>
    <s v="LINESTRING (14.142721051338393 66.30406642951672, 14.145455878187118 66.30567875207737, 14.145710570209351 66.30603409346375)"/>
    <s v="[1189552, 1707477]"/>
    <s v="[1117779, 1524382]"/>
    <s v="0.032428075636052"/>
    <s v="[926783, 1117779]"/>
    <s v="[0.039, 0.004]"/>
    <s v="269.72401746702235"/>
    <s v="[0.039, -0.004]"/>
  </r>
  <r>
    <x v="2628"/>
    <x v="3239"/>
    <x v="0"/>
    <n v="0"/>
    <s v="LINESTRING (14.146684916647041 66.30681730752954, 14.148111274590896 66.30738793486235, 14.15003077909036 66.3079536273946)"/>
    <s v="[1707493, 1189560]"/>
    <s v="[1117783, 926858]"/>
    <s v="#FIELD!"/>
    <s v="[1524386, 1117783]"/>
    <s v="[0.004, 0.008]"/>
    <s v="197.09264988553682"/>
    <s v="[-0.004, -0.008]"/>
  </r>
  <r>
    <x v="2629"/>
    <x v="3240"/>
    <x v="0"/>
    <n v="0"/>
    <s v="LINESTRING (9.035961582878702 58.744003876338525, 9.035720738428846 58.74393075071013, 9.035718509075666 58.74383484876792, 9.035817605422197 58.74377525344919, 9.035898717735074 58.74375984125263)"/>
    <s v="[967465, 967473, 967481, 967489]"/>
    <s v="[931359, 931364, 931373, 931378]"/>
    <s v="#FIELD!"/>
    <s v="[931358, 931359, 931364, 931373]"/>
    <s v="[0.034, 0.02, 0.008, 0.027]"/>
    <s v="41.703678221226596"/>
    <s v="[-0.034, -0.02, 0.008, 0.027]"/>
  </r>
  <r>
    <x v="2629"/>
    <x v="3241"/>
    <x v="0"/>
    <n v="0"/>
    <m/>
    <n v="967521"/>
    <n v="931358"/>
    <s v="#FIELD!"/>
    <n v="931392"/>
    <s v="0.05"/>
    <s v="12.485683699020734"/>
    <s v="#FIELD!"/>
  </r>
  <r>
    <x v="2629"/>
    <x v="3242"/>
    <x v="0"/>
    <n v="0"/>
    <s v="LINESTRING (9.037531297988165 58.74638633971556, 9.037468611807 58.74616437297077, 9.037451164942574 58.746101267374094, 9.036091119987653 58.74402015379173, 9.035961582878702 58.744003876338525)"/>
    <s v="[1323281, 1108451, 1108459, 1108467]"/>
    <s v="[1049027, 1049028, 1049038, 931358]"/>
    <s v="#FIELD!"/>
    <s v="[1229568, 1049027, 1049028, 1049038]"/>
    <s v="[0.034, 0.003, 0.008, 0.103]"/>
    <s v="293.1293872036316"/>
    <s v="[-0.034, -0.003, -0.008, -0.103]"/>
  </r>
  <r>
    <x v="2630"/>
    <x v="3243"/>
    <x v="0"/>
    <n v="0"/>
    <m/>
    <n v="967497"/>
    <n v="931384"/>
    <s v="0.057"/>
    <n v="931378"/>
    <s v="0.057"/>
    <s v="13.643843294459858"/>
    <s v="0.057"/>
  </r>
  <r>
    <x v="2630"/>
    <x v="3244"/>
    <x v="0"/>
    <n v="0"/>
    <s v="LINESTRING (9.035898717735074 58.74375984125263, 9.035925946627366 58.74372536095633, 9.035958251500675 58.74367545001177, 9.035537057719498 58.74051471537282, 9.03552395747913 58.74029054739939)"/>
    <s v="[1241270, 1241271, 1241278, 1323225]"/>
    <s v="[1161735, 1161736, 1161742, 1229574]"/>
    <s v="#FIELD!"/>
    <s v="[931378, 1161735, 1161736, 1161742]"/>
    <s v="[0.012, 0.024, 0.036, 0.027]"/>
    <s v="390.5851002303753"/>
    <s v="[-0.012, -0.024, -0.036, -0.027]"/>
  </r>
  <r>
    <x v="2631"/>
    <x v="3241"/>
    <x v="0"/>
    <n v="0"/>
    <s v="LINESTRING (9.036113903180345 58.74379882223741, 9.0361746430966 58.743873760759286, 9.03613936099762 58.74394604257463)"/>
    <s v="[967505, 967513]"/>
    <s v="[931387, 931392]"/>
    <s v="0.0249063935735269"/>
    <s v="[931384, 931387]"/>
    <s v="[0.056, 0.009]"/>
    <s v="17.38310528838044"/>
    <s v="[0.056, -0.009]"/>
  </r>
  <r>
    <x v="2631"/>
    <x v="3245"/>
    <x v="0"/>
    <s v="[1, 0, 0]"/>
    <s v="LINESTRING (9.036577813185255 58.74383179124036, 9.03639623628259 58.743822012212675, 9.03621404886672 58.74381175440403, 9.036113903180345 58.74379882223741)"/>
    <s v="[1323233, 1323241, 1323249]"/>
    <s v="[1229817, 1229823, 931384]"/>
    <s v="#FIELD!"/>
    <s v="[1161718, 1229817, 1229823]"/>
    <s v="[0.155, 0.139, 0.056]"/>
    <s v="27.184125159418414"/>
    <s v="[-0.155, -0.139, -0.056]"/>
  </r>
  <r>
    <x v="2632"/>
    <x v="3245"/>
    <x v="0"/>
    <s v="[1, 0, 0]"/>
    <s v="LINESTRING (9.036577813185255 58.74383179124036, 9.036420145305412 58.74387138138206, 9.036235497757026 58.74391980298492, 9.03613936099762 58.74394604257463)"/>
    <s v="[1323257, 1323265, 1323273]"/>
    <s v="[1229834, 1229842, 931392]"/>
    <s v="#FIELD!"/>
    <s v="[1161718, 1229834, 1229842]"/>
    <s v="[0.127, 0.115, 0.057]"/>
    <s v="28.43066561602972"/>
    <s v="[-0.127, -0.115, -0.057]"/>
  </r>
  <r>
    <x v="2633"/>
    <x v="3246"/>
    <x v="0"/>
    <n v="0"/>
    <s v="LINESTRING (9.037726022529313 58.74362911082902, 9.037863320381602 58.74370003836375, 9.037875727596486 58.743766970661106, 9.03782119358458 58.743825304183396, 9.037800250640654 58.74383630705001)"/>
    <s v="[967536, 967545, 967553, 967561]"/>
    <s v="[931409, 931414, 931420, 931425]"/>
    <s v="#FIELD!"/>
    <s v="[931408, 931409, 931414, 931420]"/>
    <s v="[0.064, 0.061, 0.152, 0.154]"/>
    <s v="27.939678010838552"/>
    <s v="[0.064, -0.061, -0.152, -0.154]"/>
  </r>
  <r>
    <x v="2633"/>
    <x v="3247"/>
    <x v="0"/>
    <n v="0"/>
    <m/>
    <n v="967583"/>
    <n v="931408"/>
    <s v="0.182"/>
    <n v="931443"/>
    <s v="0.182"/>
    <s v="19.40017682668244"/>
    <s v="0.182"/>
  </r>
  <r>
    <x v="2633"/>
    <x v="3248"/>
    <x v="0"/>
    <n v="0"/>
    <s v="LINESTRING (9.035613631591167 58.74013048491579, 9.035715967568247 58.74036328866944, 9.03761895959035 58.74357769256268, 9.037726022529313 58.74362911082902)"/>
    <s v="[1323217, 1241228, 1241234]"/>
    <s v="[1161699, 1161700, 931408]"/>
    <s v="0.07327887424317957"/>
    <s v="[1229633, 1161699, 1161700]"/>
    <s v="[0.027, 0.076, 0.097]"/>
    <s v="414.307921417986"/>
    <s v="[0.027, 0.076, 0.097]"/>
  </r>
  <r>
    <x v="2634"/>
    <x v="3249"/>
    <x v="0"/>
    <n v="0"/>
    <m/>
    <n v="967562"/>
    <n v="931426"/>
    <s v="#FIELD!"/>
    <n v="931425"/>
    <s v="0.141"/>
    <s v="19.4173279957507"/>
    <s v="#FIELD!"/>
  </r>
  <r>
    <x v="2634"/>
    <x v="3250"/>
    <x v="0"/>
    <n v="0"/>
    <s v="LINESTRING (9.037800250640654 58.74383630705001, 9.03775604824313 58.74388692674591, 9.037755040794075 58.74673057637342, 9.037723039965904 58.74695418130233)"/>
    <s v="[1241261, 1241262, 1323289]"/>
    <s v="[1161729, 1161730, 1229627]"/>
    <s v="#FIELD!"/>
    <s v="[931425, 1161729, 1161730]"/>
    <s v="[0.124, 0.029, 0.011]"/>
    <s v="352.707254154383"/>
    <s v="[-0.124, -0.029, -0.011]"/>
  </r>
  <r>
    <x v="2635"/>
    <x v="3247"/>
    <x v="0"/>
    <n v="0"/>
    <s v="LINESTRING (9.037486954383452 58.74383707333953, 9.037406858136821 58.74375682540931, 9.037432838105305 58.743686245461284)"/>
    <s v="[967578, 967582]"/>
    <s v="[931439, 931443]"/>
    <s v="0.015842670356476088"/>
    <s v="[931426, 931439]"/>
    <s v="[0.028, 0.071]"/>
    <s v="18.09402695711222"/>
    <s v="[-0.028, 0.071]"/>
  </r>
  <r>
    <x v="2635"/>
    <x v="3251"/>
    <x v="0"/>
    <s v="[0, 0, 1]"/>
    <s v="LINESTRING (9.037486954383452 58.74383707333953, 9.037374649751943 58.74382010248148, 9.03718137151238 58.743808665048824, 9.03700653925442 58.74379793942065)"/>
    <s v="[1322825, 1322833, 1322841]"/>
    <s v="[1229464, 1229467, 1161717]"/>
    <s v="#FIELD!"/>
    <s v="[931426, 1229464, 1229467]"/>
    <s v="[0.141, 0.149, 0.149]"/>
    <s v="28.25844397363759"/>
    <s v="[-0.141, -0.149, -0.149]"/>
  </r>
  <r>
    <x v="2636"/>
    <x v="3251"/>
    <x v="0"/>
    <s v="[0, 0, 1]"/>
    <s v="LINESTRING (9.037432838105305 58.743686245461284, 9.037338244195164 58.74371289064267, 9.037164026351288 58.74375879037669, 9.03700653925442 58.74379793942065)"/>
    <s v="[1322849, 1322857, 1322865]"/>
    <s v="[1229479, 1229483, 1161717]"/>
    <s v="#FIELD!"/>
    <s v="[931443, 1229479, 1229483]"/>
    <s v="[0.161, 0.172, 0.148]"/>
    <s v="27.675994734273434"/>
    <s v="[-0.161, -0.172, -0.148]"/>
  </r>
  <r>
    <x v="2637"/>
    <x v="2445"/>
    <x v="0"/>
    <n v="0"/>
    <m/>
    <n v="967590"/>
    <n v="931449"/>
    <s v="#FIELD!"/>
    <n v="931448"/>
    <s v="0.037"/>
    <s v="31.396550259428288"/>
    <s v="#FIELD!"/>
  </r>
  <r>
    <x v="2637"/>
    <x v="3221"/>
    <x v="0"/>
    <n v="0"/>
    <s v="LINESTRING (9.037895995849375 58.730275086241164, 9.037646770103205 58.73030425853604, 9.03744548100235 58.730235031472084)"/>
    <s v="[967638, 967640]"/>
    <s v="[931478, 931448]"/>
    <s v="#FIELD!"/>
    <s v="[931474, 931478]"/>
    <s v="[0.005, 0.013]"/>
    <s v="29.407137567244156"/>
    <s v="[0.005, -0.013]"/>
  </r>
  <r>
    <x v="2637"/>
    <x v="3244"/>
    <x v="0"/>
    <s v="[0, 0, 1, 0, 0, 1, 0, 0, 0]"/>
    <s v="LINESTRING (9.03552395747913 58.74029054739939, 9.035488396745306 58.74009388705965, 9.036179212560151 58.736890323179686, 9.036330219382057 58.73663019677049, 9.03654128967547 58.736261114903996, 9.036601555736093 58.73615542825057, 9.036843687443593 58.735707484911664, 9.03725594650047 58.733730397961565, 9.037479903033484 58.730308144999334, 9.03744548100235 58.730235031472084)"/>
    <s v="[1322953, 1322961, 1322969, 1322977, 1322985, 1322993, 1322803, 1322806, 1322809]"/>
    <s v="[1229580, 1229585, 1229591, 1229597, 1229606, 1229439, 1229440, 1229444, 931448]"/>
    <s v="#FIELD!"/>
    <s v="[1229574, 1229580, 1229585, 1229591, 1229597, 1229606, 1229439, 1229440, 1229444]"/>
    <s v="[0.029, 0.05, 0.089, 0.098, 0.103, 0.122, 0.034, 0.02, 0.03]"/>
    <s v="1135.324016572459"/>
    <s v="[-0.029, -0.05, -0.089, -0.098, -0.103, -0.122, 0.034, -0.02, -0.03]"/>
  </r>
  <r>
    <x v="2638"/>
    <x v="3248"/>
    <x v="0"/>
    <s v="[0, 1, 0, 0, 1, 0, 0, 0]"/>
    <s v="LINESTRING (9.035613631591167 58.74013048491579, 9.03630906440161 58.736885457322806, 9.036461064275052 58.73662357617055, 9.03664837436265 58.736289783676035, 9.036704946952025 58.736194711837065, 9.036952108950729 58.73574772213573, 9.037375321967616 58.733761869777446, 9.037814371250617 58.73034380326446, 9.037895995849375 58.730275086241164)"/>
    <s v="[1323025, 1323033, 1323041, 1323049, 1323057, 1322790, 1322794, 1322795]"/>
    <s v="[1229641, 1229648, 1229654, 1229658, 1229425, 1229426, 1229430, 931474]"/>
    <s v="#FIELD!"/>
    <s v="[1229633, 1229641, 1229648, 1229654, 1229658, 1229425, 1229426, 1229430]"/>
    <s v="[0.05, 0.091, 0.101, 0.118, 0.123, 0.028, 0.017, 0.016]"/>
    <s v="1116.2845385317735"/>
    <s v="[-0.05, -0.091, -0.101, -0.118, -0.123, 0.028, -0.017, -0.016]"/>
  </r>
  <r>
    <x v="2639"/>
    <x v="3112"/>
    <x v="0"/>
    <s v="[0, 0, 0, 0, 0, 1, 0, 0, 0, 0, 0]"/>
    <s v="LINESTRING (10.20468750424191 59.51317309806874, 10.205174302896847 59.51290262157999, 10.205522262009186 59.51270406966456, 10.205850258817533 59.5125141836978, 10.207045846664794 59.51178620397079, 10.207748950212176 59.511321880966534, 10.207970672252797 59.51116900732761, 10.210316203184096 59.50929684686884, 10.210437217970615 59.50919244589871, 10.210457747187316 59.509172510297745, 10.211822913769247 59.507784269178096, 10.21193540698538 59.50765256877773)"/>
    <s v="[1242927, 1242928, 1242940, 1242948, 1242949, 1242950, 1242957, 1242960, 1242972, 1242980, 1242988]"/>
    <s v="[1163174, 1163175, 931481, 1163196, 1163197, 1163198, 1163205, 1163209, 1163220, 1163224, 1143943]"/>
    <s v="#FIELD!"/>
    <s v="[931480, 1163174, 1163175, 931481, 1163196, 1163197, 1163198, 1163205, 1163209, 1163220, 1163224]"/>
    <s v="[0.119, 0.046, 0.049, 0.032, 0.019, 0.017, 0.022, 0.041, 0.037, 0.013, 0.023]"/>
    <s v="743.3875198075364"/>
    <s v="[-0.119, -0.046, -0.049, -0.032, -0.019, -0.017, 0.022, 0.041, 0.037, 0.013, -0.023]"/>
  </r>
  <r>
    <x v="2639"/>
    <x v="3099"/>
    <x v="257"/>
    <s v="[0, 0, 0, 0, 1, 0, 1, 0, 1, 0, 0, 0, 1, 0, 0, 0, 0, 0, 0, 0, 0, 0, 0]"/>
    <s v="LINESTRING (10.180887822296318 59.56989310963897, 10.17861095785044 59.56436689724147, 10.176818528970989 59.55612120852417, 10.177063534032152 59.55567410646426, 10.179772118161425 59.55175862166471, 10.179797818235189 59.55170289910834, 10.177294474619591 59.5408897557863, 10.177359383746563 59.5402138985195, 10.17989819905119 59.53580543671895, 10.181932245242695 59.53400496849935, 10.182354594699277 59.533640047824996, 10.187279117131501 59.52790631013929, 10.190639126777311 59.523442507032705, 10.19095996357271 59.523081469921095, 10.191673355789023 59.522315709544365, 10.198363618963654 59.51686254954364, 10.19894823366298 59.516486462344766, 10.199159528392782 59.51635165874876, 10.199912149733253 59.51588801612439, 10.20314224300577 59.51403203315526, 10.203297854616341 59.513946000374105, 10.203547767545489 59.51380749138241, 10.204029836109928 59.51354016415947, 10.20468750424191 59.51317309806874)"/>
    <s v="[1242759, 1242760, 1242779, 1242780, 1242788, 1242799, 1242804, 1242805, 1242811, 1242826, 1242835, 1242843, 1242844, 1242851, 1242852, 1242858, 1242859, 1242881, 1242889, 1242890, 1242904, 1242912, 1242920]"/>
    <s v="[1163005, 1163006, 1163022, 1163023, 1163034, 1163045, 1163051, 1163052, 1163056, 1163072, 1163078, 1163083, 1163084, 1163093, 1143917, 1163101, 1163102, 1163125, 1163136, 1163137, 1163150, 1163159, 931480]"/>
    <s v="#FIELD!"/>
    <s v="[1148963, 1163005, 1163006, 1163022, 1163023, 1163034, 1163045, 1163051, 1163052, 1163056, 1163072, 1163078, 1163083, 1163084, 1163093, 1143917, 1163101, 1163102, 1163125, 1163136, 1163137, 1163150, 1163159]"/>
    <s v="[0.06, 0.105, 0.104, 0.031, 0.048, 0.0, 0.013, 0.014, 0.061, 0.268, 0.029, 0.041, 0.123, 0.135, 0.02, 0.096, 0.14, 0.176, 0.027, 0.048, 0.074, 0.084, 0.11]"/>
    <s v="6820.206903181103"/>
    <s v="[0.06, -0.105, -0.104, -0.031, -0.048, 0.0, -0.013, -0.014, 0.061, 0.268, 0.029, -0.041, 0.123, 0.135, 0.02, -0.096, -0.14, -0.176, 0.027, -0.048, -0.074, -0.084, -0.11]"/>
  </r>
  <r>
    <x v="2640"/>
    <x v="3118"/>
    <x v="0"/>
    <s v="[0, 0, 1, 0, 0, 0, 0, 0]"/>
    <s v="LINESTRING (10.206165513263413 59.51255005033581, 10.207272531845248 59.511871986338335, 10.207915142246833 59.511447619693506, 10.2081758931982 59.511269193023324, 10.210614500919661 59.50930239684234, 10.210659588824441 59.50925907536778, 10.210745353415438 59.50917856715412, 10.212001302965911 59.507824096281695, 10.212159895883858 59.50764191479704)"/>
    <s v="[969575, 969583, 969591, 969599, 969607, 969615, 969623, 969633]"/>
    <s v="[931490, 932888, 932893, 932900, 932907, 932913, 932919, 932927]"/>
    <s v="0.007330822049644766"/>
    <s v="[931489, 931490, 932888, 932893, 932900, 932907, 932913, 932919]"/>
    <s v="[0.025, 0.019, 0.018, 0.021, 0.035, 0.033, 0.014, 0.021]"/>
    <s v="646.7509118413799"/>
    <s v="[-0.025, -0.019, -0.018, 0.021, 0.035, 0.033, 0.014, 0.021]"/>
  </r>
  <r>
    <x v="2640"/>
    <x v="3105"/>
    <x v="0"/>
    <s v="[0, 0, 0, 0, 1, 0, 1, 0, 1, 0, 0, 0, 1, 0, 0, 0, 0, 0, 0, 0, 0, 0, 0, 0, 0, 0]"/>
    <s v="LINESTRING (10.181267100403478 59.5698693172693, 10.178918386900087 59.5640894900406, 10.177093735980305 59.55615475801245, 10.177334079601739 59.555715921112984, 10.18007363331519 59.55173196786296, 10.180099332870466 59.55167624524057, 10.177575677625883 59.540892944312844, 10.177639555987506 59.54022424530956, 10.180149254030296 59.535870475610736, 10.182178487627713 59.53407882152094, 10.182606248689622 59.533713200217825, 10.187554882150677 59.52795721553558, 10.190806874741357 59.523606564096035, 10.191126002890881 59.52324372753823, 10.191927474794635 59.52238353913769, 10.198702534752517 59.51699363744124, 10.199483468945584 59.51648186104594, 10.19966846913103 59.516363630413785, 10.200220900523469 59.51601325033781, 10.20337892770195 59.51412258833941, 10.203521576995536 59.514040576563204, 10.203771030579613 59.51389845216593, 10.204257750034552 59.51362667145794, 10.204924912602495 59.5132549426941, 10.205444257466477 59.512965565530735, 10.20581539498004 59.5127531211001, 10.206165513263413 59.51255005033581)"/>
    <s v="[969264, 969265, 969340, 969346, 969362, 969369, 969370, 969371, 969375, 969401, 969418, 969419, 969450, 969457, 969464, 969472, 969489, 969499, 969508, 969518, 969519, 969526, 969534, 969558, 969566, 969574]"/>
    <s v="[932632, 932633, 932706, 932711, 932726, 932733, 932734, 932735, 932737, 932759, 932768, 932769, 932783, 932787, 932791, 932797, 932806, 932814, 932822, 932831, 932832, 932839, 932847, 932871, 932877, 931489]"/>
    <s v="#FIELD!"/>
    <s v="[932621, 932632, 932633, 932706, 932711, 932726, 932733, 932734, 932735, 932737, 932759, 932768, 932769, 932783, 932787, 932791, 932797, 932806, 932814, 932822, 932831, 932832, 932839, 932847, 932871, 932877]"/>
    <s v="[0.074, 0.106, 0.104, 0.027, 0.05, 0.0, 0.018, 0.013, 0.054, 0.274, 0.028, 0.045, 0.125, 0.137, 0.023, 0.115, 0.161, 0.192, 0.023, 0.056, 0.068, 0.084, 0.113, 0.133, 0.063, 0.049]"/>
    <s v="6912.363594147257"/>
    <s v="[0.074, -0.106, -0.104, -0.027, -0.05, -0.0, -0.018, -0.013, 0.054, 0.274, 0.028, -0.045, 0.125, 0.137, 0.023, -0.115, -0.161, -0.192, 0.023, -0.056, -0.068, -0.084, -0.113, -0.133, -0.063, -0.049]"/>
  </r>
  <r>
    <x v="2641"/>
    <x v="1650"/>
    <x v="0"/>
    <n v="0"/>
    <m/>
    <n v="968563"/>
    <n v="932076"/>
    <s v="0.007"/>
    <n v="931889"/>
    <s v="0.007"/>
    <s v="689.7225316746828"/>
    <s v="0.007"/>
  </r>
  <r>
    <x v="2642"/>
    <x v="3252"/>
    <x v="0"/>
    <n v="0"/>
    <s v="LINESTRING (10.339322562763401 59.28992366717006, 10.338771766776064 59.289751899198706, 10.327749892010514 59.28716042535725)"/>
    <s v="[968607, 968615]"/>
    <s v="[932105, 932109]"/>
    <s v="0.006596648784261404"/>
    <s v="[931902, 932105]"/>
    <s v="[0.001, 0.007]"/>
    <s v="729.4905533759652"/>
    <s v="[-0.001, 0.007]"/>
  </r>
  <r>
    <x v="2643"/>
    <x v="3253"/>
    <x v="0"/>
    <s v="[0, 1, 0, 0]"/>
    <s v="LINESTRING (10.327657826643579 59.287286628564146, 10.318625395733735 59.285272338900995, 10.317379304485996 59.28490168789719, 10.313658658154665 59.28329160355413, 10.312500437441418 59.28255691777041)"/>
    <s v="[976411, 976421, 976429, 976430]"/>
    <s v="[938401, 938409, 938418, 932272]"/>
    <s v="0.0018073197666466922"/>
    <s v="[932076, 938401, 938409, 938418]"/>
    <s v="[0.004, 0.019, 0.008, 0.003]"/>
    <s v="1028.317021826275"/>
    <s v="[-0.004, 0.019, 0.008, 0.003]"/>
  </r>
  <r>
    <x v="2644"/>
    <x v="1645"/>
    <x v="0"/>
    <n v="0"/>
    <s v="LINESTRING (10.327749892010514 59.28716042535725, 10.328572144092375 59.287287087780015, 10.331944683954964 59.28781011302441)"/>
    <s v="[968652, 976354]"/>
    <s v="[932135, 938346]"/>
    <s v="0.005610140150614607"/>
    <s v="[932109, 932135]"/>
    <s v="[0.004, 0.006]"/>
    <s v="251.19783622957482"/>
    <s v="[0.004, 0.006]"/>
  </r>
  <r>
    <x v="2644"/>
    <x v="3254"/>
    <x v="0"/>
    <s v="[0, 1, 0]"/>
    <s v="LINESTRING (10.327749892010514 59.28716042535725, 10.318793879466877 59.2851651113867, 10.317550103121862 59.28479656015561, 10.313855751314042 59.28320464458761)"/>
    <s v="[976512, 976520, 976527]"/>
    <s v="[938488, 938495, 932283]"/>
    <s v="0.002160794577031784"/>
    <s v="[932109, 938488, 938495]"/>
    <s v="[0.004, 0.021, 0.009]"/>
    <s v="915.5439457392672"/>
    <s v="[-0.004, 0.021, 0.009]"/>
  </r>
  <r>
    <x v="2645"/>
    <x v="3255"/>
    <x v="0"/>
    <n v="0"/>
    <s v="LINESTRING (8.70398879182514 58.44733235308814, 8.70402319143578 58.44725740639901, 8.704117979676877 58.44721452602383, 8.704218595291703 58.447202373544556, 8.70442087713468 58.44737625509095, 8.704351583801301 58.44742066244125, 8.704215329616199 58.44744186586487, 8.704102970838152 58.44742849255923)"/>
    <s v="[968670, 968671, 968679, 968680, 968703, 968716, 968646]"/>
    <s v="[932147, 932148, 932151, 932152, 932173, 932131, 932132]"/>
    <s v="0.008420861211018399"/>
    <s v="[932143, 932147, 932148, 932151, 932152, 932173, 932131]"/>
    <s v="[0.002, 0.036, 0.059, 0.044, 0.033, 0.06, 0.076]"/>
    <s v="70.1075393179066"/>
    <s v="[0.002, 0.036, 0.059, 0.044, -0.033, -0.06, -0.076]"/>
  </r>
  <r>
    <x v="2645"/>
    <x v="2350"/>
    <x v="0"/>
    <n v="0"/>
    <s v="LINESTRING (8.70373512655987 58.44754077036339, 8.704043681401462 58.44744614026421, 8.704102970838152 58.44742849255923)"/>
    <s v="[968751, 968752]"/>
    <s v="[932214, 932132]"/>
    <s v="0.016207895183709388"/>
    <s v="[932197, 932214]"/>
    <s v="[0.009, 0.054]"/>
    <s v="24.88658170452464"/>
    <s v="[0.009, 0.054]"/>
  </r>
  <r>
    <x v="2646"/>
    <x v="3256"/>
    <x v="0"/>
    <n v="0"/>
    <s v="LINESTRING (10.312126933604912 59.281208472595765, 10.312081224308885 59.28111603136466, 10.312161547278906 59.28102470972526)"/>
    <s v="[968667, 968675]"/>
    <s v="[932145, 932150]"/>
    <s v="#FIELD!"/>
    <s v="[932142, 932145]"/>
    <s v="[0.005, 0.007]"/>
    <s v="21.78902682941959"/>
    <s v="[-0.005, -0.007]"/>
  </r>
  <r>
    <x v="2646"/>
    <x v="3257"/>
    <x v="0"/>
    <n v="0"/>
    <s v="LINESTRING (10.312126933604912 59.281208472595765, 10.312027464749235 59.28117440130763, 10.311669351237871 59.28109973329744)"/>
    <s v="[968878, 968885]"/>
    <s v="[932309, 932313]"/>
    <s v="0.0005304057041698618"/>
    <s v="[932142, 932309]"/>
    <s v="0.001"/>
    <s v="29.074561552123118"/>
    <s v="[-0.001, 0.001]"/>
  </r>
  <r>
    <x v="2646"/>
    <x v="3258"/>
    <x v="0"/>
    <n v="0"/>
    <s v="LINESTRING (10.312556253891826 59.28101620034906, 10.312605928615536 59.281044643392164, 10.312653276788593 59.28113833981448, 10.312586692992689 59.281221675338784, 10.312126933604912 59.281208472595765)"/>
    <s v="[968698, 968699, 968706, 968660]"/>
    <s v="[932170, 932171, 932141, 932142]"/>
    <s v="0.003405420710981854"/>
    <s v="[932162, 932170, 932171, 932141]"/>
    <s v="[0.001, 0.004, 0.005, 0.003]"/>
    <s v="55.13214489235374"/>
    <s v="[0.001, 0.004, 0.005, 0.003]"/>
  </r>
  <r>
    <x v="2647"/>
    <x v="2350"/>
    <x v="0"/>
    <n v="0"/>
    <s v="LINESTRING (8.70373512655987 58.44754077036339, 8.703928554668419 58.447378179260824, 8.70398879182514 58.44733235308814)"/>
    <s v="[968731, 968742]"/>
    <s v="[932198, 932143]"/>
    <s v="#FIELD!"/>
    <s v="[932197, 932198]"/>
    <s v="[0.016, 0.028]"/>
    <s v="27.577280411164878"/>
    <s v="[-0.016, 0.028]"/>
  </r>
  <r>
    <x v="2648"/>
    <x v="3259"/>
    <x v="0"/>
    <n v="0"/>
    <m/>
    <n v="968682"/>
    <n v="932154"/>
    <s v="#FIELD!"/>
    <n v="932150"/>
    <s v="0.005"/>
    <s v="5.132425937302815"/>
    <s v="#FIELD!"/>
  </r>
  <r>
    <x v="2648"/>
    <x v="3257"/>
    <x v="0"/>
    <n v="0"/>
    <s v="LINESTRING (10.312161547278906 59.28102470972526, 10.312041877054739 59.28105575073356, 10.311669351237871 59.28109973329744)"/>
    <s v="[968941, 968948]"/>
    <s v="[932366, 932313]"/>
    <s v="0.004519542084430192"/>
    <s v="[932150, 932366]"/>
    <s v="[0.006, 0.004]"/>
    <s v="29.456427789406042"/>
    <s v="[0.006, 0.004]"/>
  </r>
  <r>
    <x v="2649"/>
    <x v="3258"/>
    <x v="0"/>
    <n v="0"/>
    <m/>
    <n v="968690"/>
    <n v="932162"/>
    <s v="#FIELD!"/>
    <n v="932154"/>
    <s v="0.002"/>
    <s v="19.331007606317904"/>
    <s v="#FIELD!"/>
  </r>
  <r>
    <x v="2649"/>
    <x v="3254"/>
    <x v="0"/>
    <n v="0"/>
    <s v="LINESTRING (10.312234097421781 59.28099746457002, 10.312277474110973 59.28094734590585, 10.313373759044746 59.28286935558393, 10.313855751314042 59.28320464458761)"/>
    <s v="[968845, 968853, 968840]"/>
    <s v="[932287, 932282, 932283]"/>
    <s v="0.0019005395228481779"/>
    <s v="[932154, 932287, 932282]"/>
    <s v="[0.006, 0.001, 0.012]"/>
    <s v="519.1602626850912"/>
    <s v="[-0.006, 0.001, 0.012]"/>
  </r>
  <r>
    <x v="2650"/>
    <x v="3260"/>
    <x v="0"/>
    <s v="[0, 0, 1, 1, 0, 0]"/>
    <s v="LINESTRING (10.307867785575997 59.27829079087354, 10.30831849170731 59.27864513971285, 10.309009494446641 59.27924695296166, 10.309316399113756 59.27952604679258, 10.309549073073756 59.27972627534928, 10.312508985889705 59.28095867436492, 10.312556253891826 59.28101620034906)"/>
    <s v="[969093, 969109, 969117, 969121, 969125, 969126]"/>
    <s v="[932480, 932494, 932500, 932503, 932506, 932162]"/>
    <s v="0.001400512218524085"/>
    <s v="[932479, 932480, 932494, 932500, 932503, 932506]"/>
    <s v="[0.011, 0.01, 0.006, 0.015, 0.007, 0.004]"/>
    <s v="437.2533807696846"/>
    <s v="[-0.011, -0.01, -0.006, 0.015, 0.007, 0.004]"/>
  </r>
  <r>
    <x v="2651"/>
    <x v="3261"/>
    <x v="0"/>
    <n v="0"/>
    <s v="LINESTRING (10.307761353402585 59.28104062291399, 10.307533046450304 59.28108533977029, 10.307324216050292 59.28102654688233, 10.307265430694141 59.280926543612864, 10.307345174075431 59.28083760531818, 10.307430653436555 59.280805342890325)"/>
    <s v="[968707, 968717, 968718, 968730, 968739]"/>
    <s v="[932177, 932186, 932187, 932196, 932204]"/>
    <s v="#FIELD!"/>
    <s v="[932176, 932177, 932186, 932187, 932196]"/>
    <s v="[0.014, 0.002, 0.007, 0.015, 0.016]"/>
    <s v="56.968710156244015"/>
    <s v="[0.014, 0.002, -0.007, -0.015, -0.016]"/>
  </r>
  <r>
    <x v="2651"/>
    <x v="3262"/>
    <x v="0"/>
    <n v="0"/>
    <s v="LINESTRING (10.307796031651577 59.28085541484266, 10.307842665640127 59.280949222469715, 10.307761353402585 59.28104062291399)"/>
    <s v="[968769, 968793]"/>
    <s v="[932228, 932176]"/>
    <s v="0.014055227194652029"/>
    <s v="[932219, 932228]"/>
    <s v="[0.011, 0.017]"/>
    <s v="21.980920814530172"/>
    <s v="[0.011, 0.017]"/>
  </r>
  <r>
    <x v="2651"/>
    <x v="3263"/>
    <x v="0"/>
    <n v="0"/>
    <s v="LINESTRING (10.308256645625042 59.28096551888863, 10.307883713652675 59.281011391886125, 10.307761353402585 59.28104062291399)"/>
    <s v="[968949, 968958]"/>
    <s v="[932371, 932176]"/>
    <s v="0.005385090771458107"/>
    <s v="[932365, 932371]"/>
    <s v="[0.002, 0.015]"/>
    <s v="29.57705664522441"/>
    <s v="[0.002, 0.015]"/>
  </r>
  <r>
    <x v="2652"/>
    <x v="3264"/>
    <x v="0"/>
    <n v="0"/>
    <m/>
    <n v="968744"/>
    <n v="932208"/>
    <s v="#FIELD!"/>
    <n v="932204"/>
    <s v="0.012"/>
    <s v="17.76223119718985"/>
    <s v="#FIELD!"/>
  </r>
  <r>
    <x v="2652"/>
    <x v="3265"/>
    <x v="0"/>
    <s v="[0, 0, 1, 1, 0, 0]"/>
    <s v="LINESTRING (10.307430653436555 59.280805342890325, 10.30747674007675 59.28075741929627, 10.308360699886006 59.279893347416134, 10.308463557853239 59.27962535805351, 10.308353061993273 59.279301732933995, 10.305837567161454 59.27669558551664, 10.305580802117118 59.276360943282185)"/>
    <s v="[976583, 976607, 976615, 976623, 976631, 976640]"/>
    <s v="[938545, 938558, 938564, 938571, 938577, 938470]"/>
    <s v="0.01283789528253129"/>
    <s v="[932204, 938545, 938558, 938564, 938571, 938577]"/>
    <s v="[0.018, 0.015, 0.012, 0.001, 0.014, 0.116]"/>
    <s v="550.3889196552614"/>
    <s v="[-0.018, -0.015, -0.012, 0.001, 0.014, 0.116]"/>
  </r>
  <r>
    <x v="2653"/>
    <x v="3262"/>
    <x v="0"/>
    <n v="0"/>
    <m/>
    <n v="968756"/>
    <n v="932219"/>
    <s v="0.002"/>
    <n v="932208"/>
    <s v="0.002"/>
    <s v="5.581704488274885"/>
    <s v="0.002"/>
  </r>
  <r>
    <x v="2653"/>
    <x v="3253"/>
    <x v="0"/>
    <n v="0"/>
    <s v="LINESTRING (10.312500437441418 59.28255691777041, 10.311999837646935 59.282241126999644, 10.307689607755137 59.28076423343333, 10.307729354460117 59.280818755395714)"/>
    <s v="[968827, 968810, 968819]"/>
    <s v="[932258, 932259, 932208]"/>
    <s v="#FIELD!"/>
    <s v="[932272, 932258, 932259]"/>
    <s v="[0.001, 0.003, 0.01]"/>
    <s v="467.8102173159602"/>
    <s v="[0.001, -0.003, 0.01]"/>
  </r>
  <r>
    <x v="2654"/>
    <x v="3263"/>
    <x v="0"/>
    <n v="0"/>
    <s v="LINESTRING (10.308256645625042 59.28096551888863, 10.307887580553205 59.2808837887142, 10.307796031651577 59.28085541484266)"/>
    <s v="[968966, 968983]"/>
    <s v="[932386, 932219]"/>
    <s v="#FIELD!"/>
    <s v="[932365, 932386]"/>
    <s v="[0.008, 0.005]"/>
    <s v="29.039894975875136"/>
    <s v="[-0.008, 0.005]"/>
  </r>
  <r>
    <x v="2655"/>
    <x v="3265"/>
    <x v="0"/>
    <s v="[0, 1, 1, 0, 0]"/>
    <s v="LINESTRING (10.312500437441418 59.28255691777041, 10.309228166347022 59.27979280164633, 10.309010321434641 59.27960052843176, 10.308683368421935 59.279311202645644, 10.307634705553246 59.278353180626894, 10.305580802117118 59.276360943282185)"/>
    <s v="[976437, 976457, 976465, 976487, 976488]"/>
    <s v="[938426, 938446, 938452, 938469, 938470]"/>
    <s v="0.007981921893013258"/>
    <s v="[932272, 938426, 938446, 938452, 938469]"/>
    <s v="[0.007, 0.015, 0.0, 0.014, 0.03]"/>
    <s v="795.7704640376726"/>
    <s v="[-0.007, -0.015, -0.0, 0.014, 0.03]"/>
  </r>
  <r>
    <x v="2656"/>
    <x v="3260"/>
    <x v="0"/>
    <s v="[0, 0, 1, 1, 0]"/>
    <s v="LINESTRING (10.313855751314042 59.28320464458761, 10.312711973203022 59.28248224655508, 10.309461532864544 59.27975312182619, 10.309234299023075 59.279548367266344, 10.308925873581424 59.27926794108251, 10.307867785575997 59.27829079087354)"/>
    <s v="[976535, 976543, 976551, 976559, 976571]"/>
    <s v="[938504, 938513, 938519, 938529, 932479]"/>
    <s v="#FIELD!"/>
    <s v="[932283, 938504, 938513, 938519, 938529]"/>
    <s v="[0.001, 0.007, 0.015, 0.004, 0.011]"/>
    <s v="646.6427038856635"/>
    <s v="[-0.001, -0.007, -0.015, 0.004, 0.011]"/>
  </r>
  <r>
    <x v="2657"/>
    <x v="3263"/>
    <x v="0"/>
    <s v="[0, 1, 0]"/>
    <s v="LINESTRING (10.311669351237871 59.28109973329744, 10.311291519986643 59.28108487805299, 10.310329233377292 59.28104704205739, 10.308256645625042 59.28096551888863)"/>
    <s v="[968901, 968909, 968940]"/>
    <s v="[932328, 932335, 932365]"/>
    <s v="#FIELD!"/>
    <s v="[932313, 932328, 932335]"/>
    <s v="[0.002, 0.001, 0.003]"/>
    <s v="195.21186246826625"/>
    <s v="[0.002, 0.001, -0.003]"/>
  </r>
  <r>
    <x v="2658"/>
    <x v="1610"/>
    <x v="0"/>
    <n v="0"/>
    <s v="LINESTRING (13.209798120784669 65.84047220282731, 13.208345748067194 65.84099047673993, 13.208144950911683 65.84104305367431, 13.208064095934397 65.84106423067614, 13.207252652530114 65.84128064037722, 13.20710640425668 65.84132078708527, 13.206350414672123 65.84163915657192)"/>
    <s v="[968918, 968919, 968928, 968929, 968947, 968950]"/>
    <s v="[932345, 932346, 932355, 932356, 932370, 932372]"/>
    <s v="#FIELD!"/>
    <s v="[932344, 932345, 932346, 932355, 932356, 932370]"/>
    <s v="[0.085, 0.041, 0.023, 0.029, 0.022, 0.029]"/>
    <s v="206.2167737025738"/>
    <s v="[-0.085, -0.041, -0.023, 0.029, 0.022, 0.029]"/>
  </r>
  <r>
    <x v="2658"/>
    <x v="1610"/>
    <x v="0"/>
    <n v="0"/>
    <s v="LINESTRING (13.209798120784669 65.84047220282731, 13.208464007135662 65.8410662599236, 13.20826278439744 65.8411186525447, 13.208181390870697 65.84113969766555, 13.207361052933352 65.84134479451986, 13.206350414672123 65.84163915657192)"/>
    <s v="[968957, 968972, 968977, 968985, 968994]"/>
    <s v="[932379, 932390, 932395, 932401, 932372]"/>
    <s v="#FIELD!"/>
    <s v="[932344, 932379, 932390, 932395, 932401]"/>
    <s v="[0.074, 0.028, 0.033, 0.023, 0.013]"/>
    <s v="206.99658929246382"/>
    <s v="[-0.074, -0.028, 0.033, 0.023, 0.013]"/>
  </r>
  <r>
    <x v="2659"/>
    <x v="3266"/>
    <x v="258"/>
    <n v="0"/>
    <s v="LINESTRING (10.307867785575997 59.27829079087354, 10.305814434809644 59.27630135677706, 10.299027847465343 59.26132575149845, 10.29066289531579 59.25284242498165, 10.289877587442133 59.25209401019551, 10.289537596749938 59.251769981547724, 10.28359573579622 59.24610725930625, 10.27700584569267 59.240429389911256)"/>
    <s v="[976575, 976835, 977215, 977221, 977222, 977235, 977406]"/>
    <s v="[938540, 938754, 939050, 939056, 938809, 938847, 938857]"/>
    <s v="0.008711898421694283"/>
    <s v="[932479, 938540, 938754, 939050, 939056, 938809, 938847]"/>
    <s v="[0.035, 0.006, 0.029, 0.009, 0.005, 0.004, 0.01]"/>
    <s v="4620.022477339355"/>
    <s v="[0.035, 0.006, 0.029, 0.009, -0.005, -0.004, -0.01]"/>
  </r>
  <r>
    <x v="2660"/>
    <x v="3267"/>
    <x v="0"/>
    <n v="0"/>
    <m/>
    <n v="1240692"/>
    <n v="1161274"/>
    <s v="0.012"/>
    <n v="932541"/>
    <s v="0.012"/>
    <s v="63.3781340506519"/>
    <s v="0.012"/>
  </r>
  <r>
    <x v="2660"/>
    <x v="3268"/>
    <x v="0"/>
    <s v="[0, 0, 0, 0, 1, 1, 1, 0, 0]"/>
    <s v="LINESTRING (8.566271854493417 58.34182692577638, 8.566342536173266 58.34175107663723, 8.56641721156912 58.341643399421265, 8.566306652927516 58.341428528087526, 8.56610059562457 58.34132468720623, 8.565677981352454 58.34116384324867, 8.56558307751288 58.34112672593009, 8.565574220327546 58.341123261428464, 8.564344055150588 58.3406540336801, 8.564044060255132 58.34051498400644)"/>
    <s v="[969168, 969179, 969180, 969194, 969202, 1120788, 1120796, 1120803, 2047835]"/>
    <s v="[932542, 932554, 932555, 932568, 932576, 1059711, 1059717, 1059729, 1059644]"/>
    <s v="0.01226235221982214"/>
    <s v="[932541, 932542, 932554, 932555, 932568, 932576, 1059711, 1059717, 1059729]"/>
    <s v="[0.019, 0.021, 0.025, 0.021, 0.015, 0.011, 0.034, 0.007, 0.001]"/>
    <s v="215.03781895456004"/>
    <s v="[0.019, 0.021, 0.025, 0.021, 0.015, 0.011, 0.034, 0.007, 0.001]"/>
  </r>
  <r>
    <x v="2660"/>
    <x v="3269"/>
    <x v="0"/>
    <n v="0"/>
    <s v="LINESTRING (8.56932798602575 58.34241211969472, 8.568952148376917 58.34231030237807, 8.567534448491527 58.34184587829449, 8.566271854493417 58.34182692577638)"/>
    <s v="[2133836, 1240686, 1240687]"/>
    <s v="[1161268, 1161269, 932541]"/>
    <s v="#FIELD!"/>
    <s v="[1834993, 1161268, 1161269]"/>
    <s v="[0.036, 0.003, 0.006]"/>
    <s v="200.89442850672643"/>
    <s v="[-0.036, 0.003, 0.006]"/>
  </r>
  <r>
    <x v="2661"/>
    <x v="3106"/>
    <x v="0"/>
    <n v="0"/>
    <s v="LINESTRING (10.178607319732123 59.577786994421764, 10.180593411573648 59.57402642354883, 10.180633878708788 59.57391727285242, 10.18116990141331 59.57196588382686, 10.18122312737552 59.571500356894305, 10.181267100403478 59.5698693172693)"/>
    <s v="[1243952, 969220, 969236, 969242, 969250]"/>
    <s v="[932592, 932593, 932608, 932613, 932621]"/>
    <s v="0.08989974314255694"/>
    <s v="[1148954, 932592, 932593, 932608, 932613]"/>
    <s v="[0.029, 0.086, 0.098, 0.131, 0.214]"/>
    <s v="899.999222277738"/>
    <s v="[0.029, 0.086, 0.098, 0.131, 0.214]"/>
  </r>
  <r>
    <x v="2662"/>
    <x v="3129"/>
    <x v="259"/>
    <s v="[0, 0, 0, 0, 0, 0, 0, 0, 0, 0, 0, 0, 1, 0, 1, 0, 1, 0, 1, 0]"/>
    <s v="LINESTRING (10.212159895883858 59.50764191479704, 10.214674573149392 59.50449947494502, 10.216990471533453 59.502044139211, 10.217084384959668 59.50195583062611, 10.222479516962682 59.49739509713691, 10.223076796065811 59.49689878178603, 10.234359329056755 59.48866258663166, 10.2400340788359 59.485233719931344, 10.240118839498217 59.485191090877706, 10.245931617480267 59.48306174475471, 10.263925254080508 59.47482390936624, 10.264681890646875 59.474588623062424, 10.27704208207676 59.472743210338656, 10.277129266124476 59.472739171556825, 10.283279672043426 59.4725713657713, 10.28335265940067 59.472567708920664, 10.292719095066023 59.4716342396009, 10.29345815749781 59.47151879527338, 10.297598851856566 59.470827148559295, 10.301270836738468 59.47025071029334, 10.30992967174744 59.46919789082443)"/>
    <s v="[969648, 969656, 969664, 969665, 969680, 969688, 969704, 969705, 969712, 969720, 969721, 969728, 969729, 969736, 969744, 969745, 969752, 969760, 969768, 969776]"/>
    <s v="[932938, 932943, 932952, 932953, 932958, 932965, 932981, 932982, 932987, 932993, 932994, 933001, 933002, 933011, 933013, 933014, 933019, 933027, 933034, 933039]"/>
    <s v="0.0021011712242254487"/>
    <s v="[932927, 932938, 932943, 932952, 932953, 932958, 932965, 932981, 932982, 932987, 932993, 932994, 933001, 933002, 933011, 933013, 933014, 933019, 933027, 933034]"/>
    <s v="[0.006, 0.016, 0.015, 0.042, 0.077, 0.003, 0.041, 0.093, 0.019, 0.01, 0.041, 0.006, 0.024, 0.002, 0.018, 0.02, 0.037, 0.024, 0.002, 0.014]"/>
    <s v="7466.72073901293"/>
    <s v="[0.006, -0.016, -0.015, 0.042, 0.077, 0.003, -0.041, 0.093, 0.019, 0.01, -0.041, -0.006, 0.024, 0.002, 0.018, -0.02, -0.037, -0.024, 0.002, 0.014]"/>
  </r>
  <r>
    <x v="2663"/>
    <x v="3130"/>
    <x v="0"/>
    <n v="0"/>
    <s v="LINESTRING (10.30992967174744 59.46919789082443, 10.312712598426579 59.46889159832513, 10.314364915305562 59.46870970118893, 10.314548029054164 59.46868929609684, 10.314675380913066 59.46867588210246, 10.32079413228977 59.46800149563039)"/>
    <s v="[969784, 969815, 969823, 969824, 969853]"/>
    <s v="[933046, 933075, 933083, 933084, 933110]"/>
    <s v="#FIELD!"/>
    <s v="[933039, 933046, 933075, 933083, 933084]"/>
    <s v="[0.016, 0.012, 0.042, 0.042, 0.011]"/>
    <s v="630.4803506211122"/>
    <s v="[0.016, -0.012, -0.042, -0.042, -0.011]"/>
  </r>
  <r>
    <x v="2664"/>
    <x v="3132"/>
    <x v="0"/>
    <s v="[0, 0, 0, 0, 0, 1, 0, 0, 0, 0, 0, 1, 1, 0, 0]"/>
    <s v="LINESTRING (10.32079413228977 59.46800149563039, 10.324232528143023 59.46762246963801, 10.32551453050014 59.46748089009921, 10.325749624108438 59.46745513703018, 10.329016493467117 59.467015422991324, 10.33261978035825 59.466225192276895, 10.33268041222089 59.46620847380221, 10.343746326625237 59.459443668280315, 10.344041995755418 59.45901881576403, 10.344316995315543 59.45861670913077, 10.348379454845288 59.45423390519316, 10.348686667774386 59.454029899283405, 10.348947340969694 59.45386249465902, 10.355451060371859 59.44989168999391, 10.357229392467712 59.447285055856845, 10.35797793483213 59.44519041018497)"/>
    <s v="[969854, 969862, 969891, 969899, 969907, 969915, 969923, 969946, 969954, 969962, 969970, 969971, 969978, 969986, 969994]"/>
    <s v="[933111, 933120, 933142, 933151, 933159, 933168, 933176, 933193, 933199, 933203, 933209, 933210, 933216, 933223, 933231]"/>
    <s v="#FIELD!"/>
    <s v="[933110, 933111, 933120, 933142, 933151, 933159, 933168, 933176, 933193, 933199, 933203, 933209, 933210, 933216, 933223]"/>
    <s v="[0.048, 0.087, 0.093, 0.045, 0.003, 0.016, 0.003, 0.042, 0.058, 0.033, 0.239, 0.245, 0.031, 0.037, 0.01]"/>
    <s v="3528.2780841141775"/>
    <s v="[-0.048, -0.087, -0.093, -0.045, -0.003, -0.016, -0.003, 0.042, 0.058, -0.033, -0.239, -0.245, -0.031, 0.037, 0.01]"/>
  </r>
  <r>
    <x v="2665"/>
    <x v="2972"/>
    <x v="0"/>
    <s v="[0, 1, 0, 0, 0, 0, 0, 0, 1, 0, 0]"/>
    <s v="LINESTRING (10.35797793483213 59.44519041018497, 10.358096106529583 59.44490859868254, 10.358114799927614 59.44486249385019, 10.358168790709806 59.44473939528396, 10.358950720201195 59.4432247102096, 10.360196255916028 59.441171701148285, 10.361864073617618 59.43801730169854, 10.363346394471906 59.43424536089747, 10.363938658965964 59.43213055554988, 10.3640774377301 59.43153017650103, 10.364322869090662 59.43027580289799, 10.36466589137166 59.4274290264881)"/>
    <s v="[970002, 970013, 970016, 970039, 970040, 970047, 970048, 970050, 970056, 970064, 970079]"/>
    <s v="[933236, 933250, 933254, 933276, 933277, 933281, 933282, 933283, 933287, 933291, 933302]"/>
    <s v="0.014875518398447104"/>
    <s v="[933231, 933236, 933250, 933254, 933276, 933277, 933281, 933282, 933283, 933287, 933291]"/>
    <s v="[0.011, 0.004, 0.013, 0.018, 0.021, 0.015, 0.012, 0.0, 0.004, 0.006, 0.032]"/>
    <s v="2022.329372564349"/>
    <s v="[0.011, 0.004, 0.013, 0.018, 0.021, 0.015, 0.012, -0.0, -0.004, 0.006, 0.032]"/>
  </r>
  <r>
    <x v="2666"/>
    <x v="3270"/>
    <x v="0"/>
    <n v="0"/>
    <s v="LINESTRING (18.94654393216248 69.62504383693592, 18.947465795365968 69.62578276237019, 18.94831330267028 69.62637321486856, 18.9484758833198 69.62647991508199, 18.948586526872074 69.62655782527771, 18.948627474628676 69.62658588370725, 18.950326228786807 69.62770795643004, 18.950497655527208 69.62782204692839, 18.950685371953476 69.62790944738998)"/>
    <s v="[972492, 972500, 972501, 972506, 972518, 972519, 972548, 972556]"/>
    <s v="[935247, 935251, 935252, 935258, 935269, 935270, 935291, 935300]"/>
    <s v="0.011953871408513637"/>
    <s v="[935246, 935247, 935251, 935252, 935258, 935269, 935270, 935291]"/>
    <s v="[0.009, 0.025, 0.031, 0.024, 0.023, 0.016, 0.006, 0.014]"/>
    <s v="358.3225491672967"/>
    <s v="[-0.009, 0.025, 0.031, 0.024, 0.023, 0.016, 0.006, 0.014]"/>
  </r>
  <r>
    <x v="2666"/>
    <x v="3270"/>
    <x v="0"/>
    <n v="0"/>
    <s v="LINESTRING (18.94654393216248 69.62504383693592, 18.94750688989451 69.62567983456546, 18.94762328686581 69.62575739094764, 18.948471834217404 69.62634578897254, 18.948628133015816 69.626454202838, 18.9487361579405 69.6265291175067, 18.948777268513954 69.62655777414531, 18.950424532870617 69.62769482393175, 18.950685371953476 69.62790944738998)"/>
    <s v="[972570, 972578, 972586, 972594, 972595, 972624, 972632, 972640]"/>
    <s v="[935316, 935322, 935329, 935337, 935338, 935364, 935368, 935300]"/>
    <s v="0.01197190554281242"/>
    <s v="[935246, 935316, 935322, 935329, 935337, 935338, 935364, 935368]"/>
    <s v="[0.002, 0.02, 0.023, 0.029, 0.024, 0.022, 0.014, 0.002]"/>
    <s v="358.12744052763395"/>
    <s v="[0.002, -0.02, 0.023, 0.029, 0.024, 0.022, 0.014, -0.002]"/>
  </r>
  <r>
    <x v="2666"/>
    <x v="3271"/>
    <x v="0"/>
    <n v="0"/>
    <m/>
    <n v="1190664"/>
    <n v="935246"/>
    <s v="0.007"/>
    <n v="1017300"/>
    <s v="0.007"/>
    <s v="610.4949923434131"/>
    <s v="0.007"/>
  </r>
  <r>
    <x v="2667"/>
    <x v="3272"/>
    <x v="0"/>
    <n v="0"/>
    <s v="LINESTRING (18.950685371953476 69.62790944738998, 18.95073811499939 69.62794530680515, 18.950749861111774 69.62795328896343, 18.951480316911375 69.62844589504185, 18.951492286377228 69.62845382720306, 18.95416586948113 69.63013417418989)"/>
    <s v="[1190672, 1190680, 1190688, 1190696, 1190704]"/>
    <s v="[1118645, 1118651, 1118655, 1118663, 1017306]"/>
    <s v="#FIELD!"/>
    <s v="[935300, 1118645, 1118651, 1118655, 1118663]"/>
    <s v="[1.45, 0.019, 0.034, 0.038, 0.009]"/>
    <s v="282.64421557147784"/>
    <s v="[-1.45, 0.019, -0.034, 0.038, 0.009]"/>
  </r>
  <r>
    <x v="2668"/>
    <x v="3273"/>
    <x v="260"/>
    <n v="0"/>
    <s v="LINESTRING (7.786902293820514 62.975609629952814, 7.787463578526791 62.975719191049734, 7.787540053487623 62.97573040886285)"/>
    <s v="[973699, 973712]"/>
    <s v="[936108, 936120]"/>
    <s v="0.04834879192642178"/>
    <s v="[936107, 936108]"/>
    <s v="[0.048, 0.051]"/>
    <s v="35.092641830186885"/>
    <s v="[0.048, 0.051]"/>
  </r>
  <r>
    <x v="2668"/>
    <x v="3274"/>
    <x v="0"/>
    <n v="0"/>
    <s v="LINESTRING (7.786902293820514 62.975609629952814, 7.787269633974692 62.97583645175744, 7.787313223763145 62.97586857151737)"/>
    <s v="[973728, 973736]"/>
    <s v="[936134, 936141]"/>
    <s v="0.02805739245083309"/>
    <s v="[936107, 936134]"/>
    <s v="[0.029, 0.021]"/>
    <s v="35.75454861900792"/>
    <s v="[0.029, 0.021]"/>
  </r>
  <r>
    <x v="2668"/>
    <x v="958"/>
    <x v="261"/>
    <n v="0"/>
    <s v="LINESTRING (7.546122095000506 62.79572554987923, 7.786902293820514 62.975609629952814)"/>
    <m/>
    <m/>
    <s v="0.0"/>
    <m/>
    <n v="0"/>
    <s v="20545.3820902328"/>
    <n v="0"/>
  </r>
  <r>
    <x v="2669"/>
    <x v="3275"/>
    <x v="0"/>
    <n v="0"/>
    <m/>
    <n v="973751"/>
    <n v="936154"/>
    <s v="0.053"/>
    <n v="936120"/>
    <s v="0.053"/>
    <s v="8.049940620852793"/>
    <s v="0.053"/>
  </r>
  <r>
    <x v="2669"/>
    <x v="3274"/>
    <x v="0"/>
    <n v="0"/>
    <s v="LINESTRING (7.787313223763145 62.97586857151737, 7.787393637033608 62.97578622804599, 7.787540053487623 62.97573040886285)"/>
    <s v="[973827, 973835]"/>
    <s v="[936197, 936120]"/>
    <s v="0.03581963375540574"/>
    <s v="[936141, 936197]"/>
    <s v="[0.026, 0.046]"/>
    <s v="19.7551438065881"/>
    <s v="[0.026, 0.046]"/>
  </r>
  <r>
    <x v="2670"/>
    <x v="3276"/>
    <x v="0"/>
    <n v="0"/>
    <s v="LINESTRING (7.7880408606216776 62.97576003680928, 7.78817136908551 62.97595217404877, 7.788079533068716 62.976035753556744, 7.7879124925740095 62.976092021418346, 7.787313223763145 62.97586857151737)"/>
    <s v="[973777, 973779, 973803, 973826]"/>
    <s v="[936075, 936168, 936088, 936141]"/>
    <s v="#FIELD!"/>
    <s v="[936166, 936075, 936168, 936088]"/>
    <s v="[0.005, 0.032, 0.045, 0.028]"/>
    <s v="91.8565135747931"/>
    <s v="[0.005, -0.032, -0.045, -0.028]"/>
  </r>
  <r>
    <x v="2671"/>
    <x v="3276"/>
    <x v="0"/>
    <n v="0"/>
    <s v="LINESTRING (7.78769142668162 62.97570897479944, 7.787885585596204 62.97571954676638, 7.7880408606216776 62.97576003680928)"/>
    <s v="[973752, 973776]"/>
    <s v="[936155, 936166]"/>
    <s v="0.047309837674995935"/>
    <s v="[936154, 936155]"/>
    <s v="[0.054, 0.04]"/>
    <s v="19.016736908253634"/>
    <s v="[0.054, 0.04]"/>
  </r>
  <r>
    <x v="2671"/>
    <x v="963"/>
    <x v="262"/>
    <n v="0"/>
    <s v="LINESTRING (7.78769142668162 62.97570897479944, 7.787734932859662 62.975685759126904, 7.7880812904613625 62.975442135813765)"/>
    <s v="[973853, 973854]"/>
    <s v="[936217, 936216]"/>
    <s v="0.03881031743459216"/>
    <s v="[936154, 936217]"/>
    <s v="[0.037, 0.039]"/>
    <s v="35.90004956440742"/>
    <s v="[0.037, 0.039]"/>
  </r>
  <r>
    <x v="2672"/>
    <x v="963"/>
    <x v="0"/>
    <n v="0"/>
    <s v="LINESTRING (7.7880408606216776 62.97576003680928, 7.788035265944493 62.975730542386316, 7.7880812904613625 62.975442135813765)"/>
    <s v="[973844, 973852]"/>
    <s v="[936209, 936216]"/>
    <s v="0.01372216286057509"/>
    <s v="[936166, 936209]"/>
    <s v="[0.011, 0.014]"/>
    <s v="35.67313473182418"/>
    <s v="[0.011, 0.014]"/>
  </r>
  <r>
    <x v="2673"/>
    <x v="3277"/>
    <x v="0"/>
    <n v="0"/>
    <s v="LINESTRING (10.331944683954964 59.28781011302441, 10.332182905483204 59.28779122656439, 10.335545167265417 59.28631717167819, 10.335731632973992 59.286223313928254)"/>
    <s v="[976398, 976400, 976402]"/>
    <s v="[938386, 938388, 938367]"/>
    <s v="#FIELD!"/>
    <s v="[938346, 938386, 938388]"/>
    <s v="[0.012, 0.003, 0.006]"/>
    <s v="292.71396184635205"/>
    <s v="[0.012, -0.003, -0.006]"/>
  </r>
  <r>
    <x v="2674"/>
    <x v="3278"/>
    <x v="0"/>
    <n v="0"/>
    <s v="LINESTRING (10.305580802117118 59.276360943282185, 10.29878002564686 59.26137132701737, 10.29043127315232 59.25290762182387, 10.289646540119763 59.25215875867098, 10.289305492700652 59.25183374659603, 10.28336513048732 59.24617244374579, 10.276815637781581 59.240504261879316, 10.276244683734388 59.24008771534161)"/>
    <s v="[976815, 977243, 977251, 977257, 977271, 977380, 977386]"/>
    <s v="[938736, 938798, 939081, 939088, 938853, 939183, 938863]"/>
    <s v="0.007162363570403003"/>
    <s v="[938470, 938736, 938798, 939081, 939088, 938853, 939183]"/>
    <s v="[0.006, 0.028, 0.007, 0.004, 0.003, 0.009, 0.0]"/>
    <s v="4423.109932222543"/>
    <s v="[0.006, 0.028, 0.007, -0.004, -0.003, -0.009, 0.0]"/>
  </r>
  <r>
    <x v="2675"/>
    <x v="3279"/>
    <x v="0"/>
    <n v="0"/>
    <s v="LINESTRING (10.27517829538243 59.23783522789951, 10.275012381821407 59.237793678197164, 10.27493001557221 59.23771260476034)"/>
    <s v="[976660, 976672]"/>
    <s v="[938602, 938613]"/>
    <s v="0.019"/>
    <s v="[938601, 938602]"/>
    <s v="0.019"/>
    <s v="20.73276300690743"/>
    <s v="0.019"/>
  </r>
  <r>
    <x v="2675"/>
    <x v="3280"/>
    <x v="0"/>
    <n v="0"/>
    <s v="LINESTRING (10.27517829538243 59.23783522789951, 10.275070603479744 59.23785440790564, 10.274727158448647 59.237945791599486)"/>
    <s v="[977031, 977039]"/>
    <s v="[938906, 938882]"/>
    <s v="#FIELD!"/>
    <s v="[938601, 938906]"/>
    <s v="[0.0, 0.033]"/>
    <s v="28.79177441107848"/>
    <s v="[-0.0, -0.033]"/>
  </r>
  <r>
    <x v="2675"/>
    <x v="3281"/>
    <x v="0"/>
    <n v="0"/>
    <s v="LINESTRING (10.275129047325528 59.23754448268966, 10.275249524610752 59.23753906241886, 10.27541409118589 59.23757917760732, 10.275501989599952 59.23767822599342, 10.275443217646783 59.23777763111719, 10.27517829538243 59.23783522789951)"/>
    <s v="[976699, 976716, 976717, 976655, 976659]"/>
    <s v="[938633, 938648, 938595, 938596, 938601]"/>
    <s v="#FIELD!"/>
    <s v="[938628, 938633, 938648, 938595, 938596]"/>
    <s v="[0.001, 0.012, 0.03, 0.03, 0.009]"/>
    <s v="58.32207083700399"/>
    <s v="[0.001, -0.012, -0.03, -0.03, -0.009]"/>
  </r>
  <r>
    <x v="2676"/>
    <x v="3282"/>
    <x v="0"/>
    <n v="0"/>
    <m/>
    <n v="976680"/>
    <n v="938617"/>
    <s v="0.025"/>
    <n v="938613"/>
    <s v="0.025"/>
    <s v="4.9612071111550735"/>
    <s v="0.025"/>
  </r>
  <r>
    <x v="2676"/>
    <x v="3280"/>
    <x v="0"/>
    <n v="0"/>
    <s v="LINESTRING (10.27493001557221 59.23771260476034, 10.274893120211447 59.2377705656212, 10.274727158448647 59.237945791599486)"/>
    <s v="[976991, 976999]"/>
    <s v="[938880, 938882]"/>
    <s v="#FIELD!"/>
    <s v="[938613, 938880]"/>
    <s v="[0.038, 0.04]"/>
    <s v="28.50266603560829"/>
    <s v="[-0.038, -0.04]"/>
  </r>
  <r>
    <x v="2677"/>
    <x v="3281"/>
    <x v="0"/>
    <n v="0"/>
    <m/>
    <n v="976691"/>
    <n v="938628"/>
    <s v="0.025"/>
    <n v="938617"/>
    <s v="0.025"/>
    <s v="18.763804697153763"/>
    <s v="0.025"/>
  </r>
  <r>
    <x v="2677"/>
    <x v="3266"/>
    <x v="0"/>
    <n v="0"/>
    <s v="LINESTRING (10.274925821256202 59.23766814310016, 10.274888507371127 59.23760868691223, 10.276629739510867 59.24010108458461, 10.27700584569267 59.240429389911256)"/>
    <s v="[977363, 977364, 976961]"/>
    <s v="[939174, 938856, 938857]"/>
    <s v="#FIELD!"/>
    <s v="[938617, 939174, 938856]"/>
    <s v="[0.016, 0.016, 0.001]"/>
    <s v="540.6042834247513"/>
    <s v="[0.016, -0.016, -0.001]"/>
  </r>
  <r>
    <x v="2678"/>
    <x v="3283"/>
    <x v="0"/>
    <n v="0"/>
    <s v="LINESTRING (10.268125263479499 59.23532865957813, 10.268738338641326 59.23558567226539, 10.275028078057185 59.23752821540529, 10.275129047325528 59.23754448268966)"/>
    <s v="[977047, 977373, 977379]"/>
    <s v="[938918, 939180, 938628]"/>
    <s v="0.0033756245727615225"/>
    <s v="[938917, 938918, 939180]"/>
    <s v="[0.008, 0.003, 0.004]"/>
    <s v="489.5267104444829"/>
    <s v="[0.008, 0.003, -0.004]"/>
  </r>
  <r>
    <x v="2679"/>
    <x v="3284"/>
    <x v="0"/>
    <n v="0"/>
    <s v="LINESTRING (10.273023102591146 59.239220762615744, 10.272794494691356 59.239432995710295, 10.272622395442506 59.23941410999104, 10.272495675386795 59.23934386009929, 10.272470741330075 59.239283135877464)"/>
    <s v="[976724, 976732, 976745, 976766]"/>
    <s v="[938656, 938666, 938680, 938693]"/>
    <s v="#FIELD!"/>
    <s v="[938655, 938656, 938666, 938680]"/>
    <s v="[0.02, 0.008, 0.002, 0.01]"/>
    <s v="58.74047970829268"/>
    <s v="[-0.02, -0.008, 0.002, 0.01]"/>
  </r>
  <r>
    <x v="2679"/>
    <x v="3285"/>
    <x v="0"/>
    <n v="0"/>
    <s v="LINESTRING (10.27273102576606 59.23913530005529, 10.272899856995323 59.239152042822425, 10.273023102591146 59.239220762615744)"/>
    <s v="[976792, 976800]"/>
    <s v="[938715, 938655]"/>
    <s v="0.0062267347009900215"/>
    <s v="[938710, 938715]"/>
    <s v="[0.016, 0.003]"/>
    <s v="20.221491884761786"/>
    <s v="[0.016, -0.003]"/>
  </r>
  <r>
    <x v="2679"/>
    <x v="3286"/>
    <x v="0"/>
    <n v="0"/>
    <s v="LINESTRING (10.273097574301536 59.238967711686364, 10.273029973151084 59.239156537013976, 10.273023102591146 59.239220762615744)"/>
    <s v="[977055, 977063]"/>
    <s v="[938922, 938655]"/>
    <s v="#FIELD!"/>
    <s v="[938901, 938922]"/>
    <s v="[0.024, 0.02]"/>
    <s v="28.928970116410742"/>
    <s v="[-0.024, -0.02]"/>
  </r>
  <r>
    <x v="2680"/>
    <x v="3287"/>
    <x v="0"/>
    <n v="0"/>
    <m/>
    <n v="976776"/>
    <n v="938704"/>
    <s v="0.02"/>
    <n v="938693"/>
    <s v="0.02"/>
    <s v="16.277705407137283"/>
    <s v="0.02"/>
  </r>
  <r>
    <x v="2680"/>
    <x v="3288"/>
    <x v="0"/>
    <n v="0"/>
    <s v="LINESTRING (10.272470741330075 59.239283135877464, 10.272411851664843 59.239246604015705, 10.26705840323673 59.23501593774255, 10.266538374671677 59.23468453837725)"/>
    <s v="[977438, 977449, 977430]"/>
    <s v="[939212, 939206, 939195]"/>
    <s v="0.009549360650901268"/>
    <s v="[938693, 939212, 939206]"/>
    <s v="[0.002, 0.01, 0.005]"/>
    <s v="666.4898716231746"/>
    <s v="[-0.002, 0.01, 0.005]"/>
  </r>
  <r>
    <x v="2681"/>
    <x v="3285"/>
    <x v="0"/>
    <n v="0"/>
    <m/>
    <n v="976784"/>
    <n v="938710"/>
    <s v="0.022"/>
    <n v="938704"/>
    <s v="0.022"/>
    <s v="7.793431400820184"/>
    <s v="0.022"/>
  </r>
  <r>
    <x v="2681"/>
    <x v="3278"/>
    <x v="0"/>
    <n v="0"/>
    <s v="LINESTRING (10.276244683734388 59.24008771534161, 10.275766618426717 59.23980262438507, 10.272511065609109 59.239154042480386, 10.272602107074658 59.23915824775517)"/>
    <s v="[976969, 977365, 977366]"/>
    <s v="[938864, 939175, 938704]"/>
    <s v="#FIELD!"/>
    <s v="[938863, 938864, 939175]"/>
    <s v="[0.008, 0.001, 0.015]"/>
    <s v="544.8062790697948"/>
    <s v="[0.008, -0.001, 0.015]"/>
  </r>
  <r>
    <x v="2682"/>
    <x v="3286"/>
    <x v="0"/>
    <n v="0"/>
    <s v="LINESTRING (10.273097574301536 59.238967711686364, 10.272818024098031 59.239102073943776, 10.27273102576606 59.23913530005529)"/>
    <s v="[977071, 977079]"/>
    <s v="[938930, 938710]"/>
    <s v="#FIELD!"/>
    <s v="[938901, 938930]"/>
    <s v="0.028"/>
    <s v="28.380674842478058"/>
    <s v="#FIELD!"/>
  </r>
  <r>
    <x v="2683"/>
    <x v="3283"/>
    <x v="0"/>
    <n v="0"/>
    <s v="LINESTRING (10.27700584569267 59.240429389911256, 10.27643121749289 59.24001312433916, 10.268125263479499 59.23532865957813)"/>
    <s v="[977407, 977414]"/>
    <s v="[939198, 938917]"/>
    <s v="0.00833030390228519"/>
    <s v="[938857, 939198]"/>
    <s v="[0.0, 0.009]"/>
    <s v="763.6703284641987"/>
    <s v="[-0.0, 0.009]"/>
  </r>
  <r>
    <x v="2684"/>
    <x v="3288"/>
    <x v="0"/>
    <n v="0"/>
    <s v="LINESTRING (10.276244683734388 59.24008771534161, 10.267940462475734 59.23542066192782, 10.266538374671677 59.23468453837725)"/>
    <s v="[977390, 977398]"/>
    <s v="[939188, 939195]"/>
    <s v="0.007322397165402336"/>
    <s v="[938863, 939188]"/>
    <s v="[0.009, 0.003]"/>
    <s v="820.1985608444857"/>
    <s v="[0.009, -0.003]"/>
  </r>
  <r>
    <x v="2685"/>
    <x v="3286"/>
    <x v="0"/>
    <s v="[0, 1, 0]"/>
    <s v="LINESTRING (10.274727158448647 59.237945791599486, 10.274236077475933 59.238224022680576, 10.273581455617906 59.238621022763695, 10.273097574301536 59.238967711686364)"/>
    <s v="[977007, 977015, 977023]"/>
    <s v="[938889, 938894, 938901]"/>
    <s v="#FIELD!"/>
    <s v="[938882, 938889, 938894]"/>
    <s v="[0.045, 0.045, 0.034]"/>
    <s v="147.2904973525557"/>
    <s v="[-0.045, -0.045, -0.034]"/>
  </r>
  <r>
    <x v="2686"/>
    <x v="3156"/>
    <x v="0"/>
    <s v="[0, 0, 1, 0, 0, 0, 0]"/>
    <s v="LINESTRING (10.268125263479499 59.23532865957813, 10.266730328381199 59.234594750710166, 10.260019629946967 59.22924321870245, 10.257865235920821 59.22786956560921, 10.256308171986708 59.226977718583164, 10.255720729898409 59.2266438967096, 10.248814998297282 59.22062451534531, 10.24554399027016 59.21308348996371)"/>
    <s v="[977422, 977513, 977519, 977543, 977551, 977552, 977749]"/>
    <s v="[939202, 939266, 939272, 939291, 939297, 939298, 939320]"/>
    <s v="0.008823146882695962"/>
    <s v="[938917, 939202, 939266, 939272, 939291, 939297, 939298]"/>
    <s v="[0.007, 0.008, 0.014, 0.07, 0.047, 0.014, 0.006]"/>
    <s v="2852.1237347707565"/>
    <s v="[-0.007, 0.008, 0.014, 0.07, 0.047, 0.014, -0.006]"/>
  </r>
  <r>
    <x v="2687"/>
    <x v="3147"/>
    <x v="263"/>
    <s v="[0, 1, 0, 0, 0, 0, 0]"/>
    <s v="LINESTRING (10.266538374671677 59.23468453837725, 10.25994300781686 59.22940680194017, 10.25767867295091 59.22796044527439, 10.256115378879905 59.22706860218474, 10.255525900459151 59.226734534097666, 10.248563189905243 59.22066226979034, 10.245290455670181 59.21311927561829, 10.244505685124677 59.211754059922406)"/>
    <s v="[977465, 977473, 977481, 977485, 977486, 977662, 977677]"/>
    <s v="[939232, 939237, 939243, 939246, 939247, 939363, 939318]"/>
    <s v="0.009783062282465825"/>
    <s v="[939195, 939232, 939237, 939243, 939246, 939247, 939363]"/>
    <s v="[0.006, 0.022, 0.073, 0.071, 0.012, 0.007, 0.018]"/>
    <s v="2903.8063066667623"/>
    <s v="[0.006, 0.022, 0.073, 0.071, 0.012, -0.007, 0.018]"/>
  </r>
  <r>
    <x v="2688"/>
    <x v="3289"/>
    <x v="0"/>
    <n v="0"/>
    <s v="LINESTRING (8.205778325503639 62.25803276571722, 8.205714113853778 62.25805168944152, 8.205488134188522 62.25812920784251, 8.205039442409678 62.25830277136362)"/>
    <s v="[977453, 977454, 977458]"/>
    <s v="[939219, 939220, 939223]"/>
    <s v="#FIELD!"/>
    <s v="[939218, 939219, 939220]"/>
    <s v="0.003"/>
    <s v="48.87024870369663"/>
    <s v="#FIELD!"/>
  </r>
  <r>
    <x v="2688"/>
    <x v="3290"/>
    <x v="0"/>
    <n v="0"/>
    <s v="LINESTRING (8.205778325503639 62.25803276571722, 8.205687969404567 62.257999755189246, 8.20563601039363 62.25795340130851)"/>
    <s v="[999755, 999763]"/>
    <s v="[956970, 939234]"/>
    <s v="#FIELD!"/>
    <s v="[939218, 956970]"/>
    <s v="[0.006, 0.005]"/>
    <s v="11.806423441698161"/>
    <s v="[-0.006, -0.005]"/>
  </r>
  <r>
    <x v="2688"/>
    <x v="3291"/>
    <x v="0"/>
    <n v="0"/>
    <s v="LINESTRING (8.206574107021446 62.25769660921573, 8.206540547740397 62.25780310716176, 8.206473260599845 62.25784161694507, 8.206411570669728 62.25787418333592, 8.206082478425095 62.258012027604885, 8.205992009463 62.25803678051432, 8.205906759415894 62.25804529741331, 8.205778325503639 62.25803276571722)"/>
    <s v="[999699, 999707, 999715, 999723, 999731, 999739, 999747]"/>
    <s v="[956911, 956920, 956928, 956934, 956946, 956955, 939218]"/>
    <s v="#FIELD!"/>
    <s v="[956910, 956911, 956920, 956928, 956934, 956946, 956955]"/>
    <s v="[0.003, 0.0, 0.0, 0.001, 0.003, 0.004, 0.007]"/>
    <s v="62.53264279072912"/>
    <s v="[0.003, 0.0, -0.0, -0.001, -0.003, -0.004, -0.007]"/>
  </r>
  <r>
    <x v="2689"/>
    <x v="3292"/>
    <x v="0"/>
    <n v="0"/>
    <m/>
    <n v="999937"/>
    <n v="939248"/>
    <s v="#FIELD!"/>
    <n v="939223"/>
    <s v="0.004"/>
    <s v="79.1772549407953"/>
    <s v="#FIELD!"/>
  </r>
  <r>
    <x v="2689"/>
    <x v="3290"/>
    <x v="0"/>
    <n v="0"/>
    <s v="LINESTRING (8.20563601039363 62.25795340130851, 8.205585164293694 62.25799443123847, 8.205405165610033 62.25809131512666, 8.205039442409678 62.25830277136362)"/>
    <s v="[977467, 977475, 977483]"/>
    <s v="[939235, 939238, 939223]"/>
    <s v="#FIELD!"/>
    <s v="[939234, 939235, 939238]"/>
    <s v="[0.0, 0.001, 0.002]"/>
    <s v="49.89383641845737"/>
    <s v="[0.0, -0.001, -0.002]"/>
  </r>
  <r>
    <x v="2690"/>
    <x v="3293"/>
    <x v="0"/>
    <n v="0"/>
    <s v="LINESTRING (8.20563601039363 62.25795340130851, 8.206112514560807 62.25764589275094, 8.206207038984948 62.25761773423275, 8.20631640008729 62.25760688752187, 8.206444790878976 62.25762302156831)"/>
    <s v="[999771, 999779, 999787, 999795]"/>
    <s v="[939281, 956989, 939335, 957006]"/>
    <s v="0.0011025983637365502"/>
    <s v="[939234, 939281, 956989, 939335]"/>
    <s v="[0.0, 0.002, 0.004, 0.005]"/>
    <s v="63.04539958673088"/>
    <s v="[0.0, 0.002, 0.004, 0.005]"/>
  </r>
  <r>
    <x v="2691"/>
    <x v="3294"/>
    <x v="0"/>
    <n v="0"/>
    <s v="LINESTRING (8.20394374376502 62.25879540798578, 8.203581059329887 62.25899531246424, 8.203276998940085 62.25909418684006)"/>
    <s v="[977489, 977499]"/>
    <s v="[939249, 939197]"/>
    <s v="#FIELD!"/>
    <s v="[939248, 939249]"/>
    <s v="[0.005, 0.007]"/>
    <s v="48.49383848972215"/>
    <s v="[-0.005, -0.007]"/>
  </r>
  <r>
    <x v="2691"/>
    <x v="3294"/>
    <x v="0"/>
    <n v="0"/>
    <s v="LINESTRING (8.20394374376502 62.25879540798578, 8.203500910165806 62.25895649378085, 8.203276998940085 62.25909418684006)"/>
    <s v="[977516, 977522]"/>
    <s v="[939268, 939197]"/>
    <s v="#FIELD!"/>
    <s v="[939248, 939268]"/>
    <s v="[0.006, 0.005]"/>
    <s v="48.640046364082096"/>
    <s v="[-0.006, -0.005]"/>
  </r>
  <r>
    <x v="2692"/>
    <x v="3295"/>
    <x v="264"/>
    <n v="0"/>
    <s v="LINESTRING (8.203276998940085 62.25909418684006, 8.003803990168796 62.401787204896316)"/>
    <m/>
    <m/>
    <s v="0.0"/>
    <m/>
    <n v="0"/>
    <s v="19496.062317049575"/>
    <n v="0"/>
  </r>
  <r>
    <x v="2693"/>
    <x v="3296"/>
    <x v="0"/>
    <n v="0"/>
    <s v="LINESTRING (7.183431898078234 58.1253972713405, 7.183431898078234 58.1253972713405, 7.183485938297938 58.12538397271007)"/>
    <s v="[977565, 977573]"/>
    <s v="[939311, 939314]"/>
    <s v="0.0012305782222331299"/>
    <s v="[939294, 939311]"/>
    <s v="[0.0, 0.049]"/>
    <s v="140.1501003421971"/>
    <s v="[0.0, 0.049]"/>
  </r>
  <r>
    <x v="2694"/>
    <x v="3297"/>
    <x v="0"/>
    <s v="[0, 0, 0, 0, 0, 0, 0, 0, 0, 0, 0, 0, 1, 0, 0, 0, 0, 0, 0, 0, 0, 0, 0, 0, 0, 0, 0, 0, 0, 1, 0, 0, 0, 0, 0, 0, 0, 0, 0, 1, 0, 0, 0, 1, 0, 0, 0, 0, 0, 0, 0, 0]"/>
    <s v="LINESTRING (7.183485938297938 58.12538397271007, 7.183491478005308 58.12539581399709, 7.184709383103685 58.12629280682043, 7.18478230162078 58.12632722935319, 7.184818781673512 58.12634442384548, 7.186772857103976 58.1276748141741, 7.185713071155855 58.12989164694397, 7.185732803307687 58.1299534551138, 7.186227499131432 58.13289750953189, 7.185619828209032 58.13415785285831, 7.185194734155366 58.134445697599396, 7.182694867597708 58.13538703758951, 7.182200081582279 58.13565812908303, 7.182152346496939 58.135689007524824, 7.182091938388174 58.135731731405826, 7.179701821387339 58.13684522979925, 7.177387628640011 58.13724455627996, 7.1767747121727155 58.13750519128851, 7.175952388386806 58.138097556991156, 7.175321723399355 58.13861869834919, 7.175179771062931 58.13873564851725, 7.1751705617464525 58.13874314339713, 7.1701599392021755 58.143538842702874, 7.169663391740583 58.143811804943546, 7.169408100199312 58.14395942394784, 7.158747890147335 58.149671004000176, 7.158173537309456 58.14964427459221, 7.157429083078352 58.14962183973169, 7.156091300242504 58.149660033030415, 7.155537792240419 58.14973050477092, 7.155238640238194 58.14977404997063, 7.1546226072842405 58.14986337852209, 7.1533371956172225 58.150050992107666, 7.153010744463505 58.15009821839257, 7.152379067725542 58.150188949383704, 7.148520703790587 58.15078700220594, 7.142604927046865 58.15207168212488, 7.142486343489063 58.15209994295747, 7.136764509343959 58.153464737513666, 7.13662151455114 58.15350015629409, 7.136270704724868 58.15358167538045, 7.13619436139536 58.15360038282061, 7.13239931304975 58.15450641402508, 7.1296716050165205 58.15515477421034, 7.12916626215369 58.15527502885122, 7.129041268714513 58.15530453964144, 7.128758341295406 58.15537173543319, 7.127170701723023 58.155759823051135, 7.125010757531034 58.15637296017562, 7.1146876740852925 58.158974932804234, 7.113272701248803 58.1590302931952, 7.111731054786496 58.15895517472955, 7.1068269145456675 58.15779086690385)"/>
    <s v="[1350590, 1350598, 1350606, 1350614, 1350705, 1350713, 1350721, 1350729, 1350737, 1350745, 2162838, 2162846, 2162854, 2162862, 2162870, 1350753, 1350761, 1350770, 1350778, 1350786, 1350794, 1350802, 1350810, 1350818, 1350826, 1350834, 1350842, 1350850, 380869, 380872, 380877, 1350858, 1350866, 1350874, 1350882, 1350890, 1350898, 1350906, 1350914, 1350922, 1350930, 1350938, 1350946, 1350954, 1350962, 1350970, 1350978, 1350986, 1350994, 1351002, 1351010, 1351018]"/>
    <s v="[1250924, 939293, 1250931, 1250936, 1251000, 1251006, 1251012, 1073613, 1251022, 886349, 1851661, 1851666, 1851669, 871396, 1251034, 1251035, 1117048, 1251047, 886024, 1251058, 1251067, 1251074, 1251078, 1107190, 1251087, 1251094, 1251098, 369960, 369961, 369962, 369969, 1251110, 1251116, 1251124, 873527, 1251131, 879516, 623048, 1251145, 1251150, 1251158, 1251165, 1251170, 1251177, 1251182, 886416, 1251195, 872478, 1251209, 1107372, 1251221, 1039413]"/>
    <s v="0.00022168980381591637"/>
    <s v="[939314, 1250924, 939293, 1250931, 1250936, 1251000, 1251006, 1251012, 1073613, 1251022, 886349, 1851661, 1851666, 1851669, 871396, 1251034, 1251035, 1117048, 1251047, 886024, 1251058, 1251067, 1251074, 1251078, 1107190, 1251087, 1251094, 1251098, 369960, 369961, 369962, 369969, 1251110, 1251116, 1251124, 873527, 1251131, 879516, 623048, 1251145, 1251150, 1251158, 1251165, 1251170, 1251177, 1251182, 886416, 1251195, 872478, 1251209, 1107372, 1251221]"/>
    <s v="[1.337, 0.098, 0.014, 0.107, 0.043, 0.08, 0.07, 0.009, 0.0, 0.053, 0.044, 0.065, 0.07, 0.071, 0.027, 0.061, 0.093, 0.139, 0.069, 0.136, 0.138, 0.061, 0.049, 0.121, 0.004, 0.056, 0.065, 0.095, 0.076, 0.074, 0.073, 0.222, 0.004, 0.001, 0.013, 0.029, 0.063, 0.032, 0.089, 0.086, 0.072, 0.028, 0.015, 0.08, 0.068, 0.092, 0.017, 0.009, 0.055, 0.011, 0.008, 0.004]"/>
    <s v="6896.938188125871"/>
    <s v="[-1.337, 0.098, 0.014, 0.107, 0.043, -0.08, 0.07, 0.009, 0.0, -0.053, 0.044, 0.065, 0.07, 0.071, -0.027, 0.061, 0.093, 0.139, 0.069, 0.136, 0.138, 0.061, 0.049, 0.121, 0.004, -0.056, -0.065, 0.095, -0.076, -0.074, -0.073, -0.222, -0.004, -0.001, 0.013, -0.029, -0.063, -0.032, 0.089, 0.086, 0.072, -0.028, -0.015, 0.08, 0.068, 0.092, 0.017, -0.009, -0.055, -0.011, -0.008, -0.004]"/>
  </r>
  <r>
    <x v="2694"/>
    <x v="3298"/>
    <x v="0"/>
    <s v="[0, 0, 0, 0, 0, 0, 0, 0, 0, 0, 0, 0, 1, 0, 0, 0, 0, 0, 0, 0, 0, 0, 0, 0, 0, 0, 0, 0]"/>
    <s v="LINESTRING (7.218809991977438 58.10790000252839, 7.215964350462825 58.10842764703973, 7.215551913757551 58.10839852063383, 7.210599554920797 58.109408323484345, 7.210069124353375 58.10963760828075, 7.208248438585961 58.111577060776064, 7.208014453798371 58.11182264655182, 7.2077700621346885 58.112240433313424, 7.207277274863098 58.113009090969655, 7.207098696249889 58.11316423969562, 7.2070354206910805 58.11321290233971, 7.206939025429879 58.113281778104735, 7.206572752742892 58.113489589454176, 7.206496863498751 58.11352328006599, 7.201882139350448 58.113917154756116, 7.201845100369715 58.113916796408816, 7.201016677001387 58.113926672506345, 7.193857376829542 58.115232096388375, 7.192171289782507 58.11760860845248, 7.191713310263868 58.11824129093999, 7.190997785863066 58.118878693012476, 7.19071953948536 58.12029859903021, 7.190671183622218 58.12065204132413, 7.188995096254947 58.121900513417316, 7.188697589394682 58.121977004566276, 7.186593291039103 58.12237022931581, 7.18436617221538 58.12362814792716, 7.183454492672852 58.12531740088867, 7.183485938297938 58.12538397271007)"/>
    <s v="[1141373, 1141374, 1350382, 1350390, 1350398, 1350406, 1350414, 1350422, 1350430, 1350438, 1350446, 1350454, 1350462, 1350470, 1350478, 1350486, 1350494, 1350502, 1350510, 1350518, 1350526, 1350534, 1350542, 1350550, 1350558, 1350566, 1350574, 1350582]"/>
    <s v="[1077660, 1077661, 1077508, 1250800, 867105, 1250808, 856712, 1250817, 1250822, 648737, 1250832, 1250837, 1250843, 1250848, 1250855, 1250857, 1250862, 1250870, 1250876, 1250882, 1250887, 1250893, 1250900, 1073615, 1250908, 1250912, 1250916, 939314]"/>
    <s v="#FIELD!"/>
    <s v="[1077636, 1077660, 1077661, 1077508, 1250800, 867105, 1250808, 856712, 1250817, 1250822, 648737, 1250832, 1250837, 1250843, 1250848, 1250855, 1250857, 1250862, 1250870, 1250876, 1250882, 1250887, 1250893, 1250900, 1073615, 1250908, 1250912, 1250916]"/>
    <s v="[0.018, 0.038, 0.04, 0.046, 0.005, 0.036, 0.052, 0.019, 0.031, 0.041, 0.083, 0.095, 0.091, 0.063, 0.087, 0.087, 0.106, 0.029, 0.006, 0.132, 0.066, 0.028, 0.027, 0.023, 0.062, 0.053, 0.046, 0.282]"/>
    <s v="3258.487357511724"/>
    <s v="[-0.018, -0.038, -0.04, -0.046, -0.005, -0.036, -0.052, -0.019, -0.031, -0.041, -0.083, -0.095, -0.091, -0.063, -0.087, -0.087, -0.106, -0.029, 0.006, -0.132, -0.066, 0.028, -0.027, 0.023, -0.062, -0.053, -0.046, 0.282]"/>
  </r>
  <r>
    <x v="2695"/>
    <x v="3149"/>
    <x v="0"/>
    <s v="[0, 1, 1, 0, 0, 0, 0]"/>
    <s v="LINESTRING (10.244505685124677 59.211754059922406, 10.240229203014596 59.208969851961555, 10.239856819644354 59.20884027151414, 10.239700553943637 59.20878817795993, 10.234830641175908 59.20730778427594, 10.23348043962124 59.20689037910793, 10.232885057383044 59.206688287800276, 10.232226332842236 59.20643845831386)"/>
    <s v="[977685, 977693, 977701, 977709, 977717, 977725, 977733]"/>
    <s v="[939377, 939384, 939392, 939396, 939402, 939408, 939358]"/>
    <s v="0.009185451512925085"/>
    <s v="[939318, 939377, 939384, 939392, 939396, 939402, 939408]"/>
    <s v="[0.011, 0.031, 0.034, 0.037, 0.037, 0.043, 0.036]"/>
    <s v="938.3112676680317"/>
    <s v="[-0.011, 0.031, 0.034, 0.037, 0.037, -0.043, -0.036]"/>
  </r>
  <r>
    <x v="2696"/>
    <x v="3155"/>
    <x v="0"/>
    <s v="[0, 0, 1, 1, 0]"/>
    <s v="LINESTRING (10.24554399027016 59.21308348996371, 10.244748533717331 59.211702745644764, 10.24036268695508 59.20885240504184, 10.240010369362457 59.20873151274534, 10.239853149023595 59.20867960023386, 10.235397791793455 59.20731511807873)"/>
    <s v="[977756, 977764, 977772, 977780, 977788]"/>
    <s v="[939422, 939428, 939433, 939439, 939342]"/>
    <s v="0.009577757696828983"/>
    <s v="[939320, 939422, 939428, 939433, 939439]"/>
    <s v="[0.023, 0.011, 0.032, 0.036, 0.028]"/>
    <s v="902.5152733207651"/>
    <s v="[0.023, -0.011, 0.032, 0.036, 0.028]"/>
  </r>
  <r>
    <x v="2697"/>
    <x v="3232"/>
    <x v="0"/>
    <n v="0"/>
    <s v="LINESTRING (10.235397791793455 59.20731511807873, 10.234972963328259 59.20718566585703, 10.233633662521243 59.20676834768479, 10.233045429751222 59.20656342535797, 10.231764643520414 59.20602539781195, 10.214665985365846 59.19730106220475, 10.207711374937578 59.18891087264252, 10.207715628715212 59.18848166277684, 10.207747555118923 59.185298382019546, 10.207114556198446 59.18171811209959)"/>
    <s v="[977796, 977805, 977813, 977821, 2115124, 1708441, 1708449, 1708457, 1708873]"/>
    <s v="[939450, 939456, 939461, 939466, 1525053, 1525054, 1525057, 1525064, 1524966]"/>
    <s v="0.003551814241349828"/>
    <s v="[939342, 939450, 939456, 939461, 939466, 1525053, 1525054, 1525057, 1525064]"/>
    <s v="[0.077, 0.044, 0.043, 0.031, 0.006, 0.009, 0.025, 0.011, 0.038]"/>
    <s v="3549.2074292577972"/>
    <s v="[0.077, 0.044, -0.043, -0.031, -0.006, 0.009, -0.025, -0.011, 0.038]"/>
  </r>
  <r>
    <x v="2698"/>
    <x v="3299"/>
    <x v="0"/>
    <n v="0"/>
    <s v="LINESTRING (10.232226332842236 59.20643845831386, 10.231558853491181 59.20614264380647, 10.21452256339518 59.19739189578444, 10.207482734101212 59.18891001705201, 10.207488281172107 59.188482105267234, 10.207520663062505 59.18529697884861, 10.206837354426467 59.18174103344707, 10.206315686665125 59.18046144535847)"/>
    <s v="[977742, 2115116, 1708416, 1708424, 1708433, 1708841, 1708849]"/>
    <s v="[939416, 1525041, 1525042, 1525044, 1525048, 1525340, 1524982]"/>
    <s v="0.0047019557832349975"/>
    <s v="[939358, 939416, 1525041, 1525042, 1525044, 1525048, 1525340]"/>
    <s v="[0.027, 0.005, 0.008, 0.023, 0.01, 0.038, 0.04]"/>
    <s v="3502.482461148614"/>
    <s v="[-0.027, -0.005, 0.008, -0.023, -0.01, 0.038, 0.04]"/>
  </r>
  <r>
    <x v="2699"/>
    <x v="3019"/>
    <x v="0"/>
    <n v="0"/>
    <s v="LINESTRING (14.561503302607907 68.2357774904809, 14.561375016479824 68.23580050797032, 14.560995980031665 68.23585447996089, 14.56041720225589 68.23592961067274)"/>
    <s v="[980058, 980066, 980079]"/>
    <s v="[941222, 941231, 941238]"/>
    <s v="#FIELD!"/>
    <s v="[941221, 941222, 941231]"/>
    <s v="[0.009, 0.011, 0.012]"/>
    <s v="48.06709567880945"/>
    <s v="[-0.009, -0.011, -0.012]"/>
  </r>
  <r>
    <x v="2699"/>
    <x v="3300"/>
    <x v="0"/>
    <n v="0"/>
    <s v="LINESTRING (14.561503302607907 68.2357774904809, 14.561406209868622 68.23573651389485, 14.561378734002387 68.23566953072798)"/>
    <s v="[1019593, 1019601]"/>
    <s v="[975451, 941253]"/>
    <s v="#FIELD!"/>
    <s v="[941221, 975451]"/>
    <s v="[0.02, 0.017]"/>
    <s v="13.638238079536002"/>
    <s v="[-0.02, -0.017]"/>
  </r>
  <r>
    <x v="2699"/>
    <x v="3301"/>
    <x v="0"/>
    <n v="0"/>
    <m/>
    <n v="1019585"/>
    <n v="941221"/>
    <s v="#FIELD!"/>
    <n v="942426"/>
    <s v="0.019"/>
    <s v="4.583939353916981"/>
    <s v="#FIELD!"/>
  </r>
  <r>
    <x v="2700"/>
    <x v="3300"/>
    <x v="0"/>
    <n v="0"/>
    <s v="LINESTRING (14.561378734002387 68.23566953072798, 14.561237012680932 68.23571265761332, 14.560921762889148 68.23580402021202, 14.56041720225589 68.23592961067274)"/>
    <s v="[980099, 980100, 980105]"/>
    <s v="[941254, 941255, 941238]"/>
    <s v="#FIELD!"/>
    <s v="[941253, 941254, 941255]"/>
    <s v="[0.005, 0.005, 0.006]"/>
    <s v="49.273611308389206"/>
    <s v="[-0.005, -0.005, -0.006]"/>
  </r>
  <r>
    <x v="2701"/>
    <x v="3302"/>
    <x v="0"/>
    <n v="0"/>
    <s v="LINESTRING (14.561378734002387 68.23566953072798, 14.561400023590059 68.23564312759038, 14.561522547126605 68.2355928642136, 14.561701404502816 68.23557916448526, 14.561838542893573 68.23559863054989, 14.561947218040581 68.23565318098669, 14.561947612415775 68.23572098961722, 14.561894238819539 68.23575699506517)"/>
    <s v="[1019609, 1019617, 1019625, 1019633, 1019641, 1019649, 1019657]"/>
    <s v="[941260, 975467, 941266, 941276, 975485, 941306, 942445]"/>
    <s v="0.011321889145211308"/>
    <s v="[941253, 941260, 975467, 941266, 941276, 975485, 941306]"/>
    <s v="[0.01, 0.001, 0.014, 0.021, 0.02, 0.015, 0.005]"/>
    <s v="43.968741469940994"/>
    <s v="[-0.01, 0.001, 0.014, 0.021, 0.02, 0.015, 0.005]"/>
  </r>
  <r>
    <x v="2702"/>
    <x v="3303"/>
    <x v="0"/>
    <n v="0"/>
    <s v="LINESTRING (7.9561516700406045 61.07397014379786, 7.955713945282494 61.073818135319016, 7.9556444443062215 61.0737967267633)"/>
    <s v="[980759, 980769]"/>
    <s v="[941780, 941547]"/>
    <s v="#FIELD!"/>
    <s v="[941480, 941780]"/>
    <s v="[0.128, 0.114]"/>
    <s v="33.71590375783302"/>
    <s v="[-0.128, -0.114]"/>
  </r>
  <r>
    <x v="2702"/>
    <x v="3304"/>
    <x v="0"/>
    <n v="0"/>
    <s v="LINESTRING (7.9561516700406045 61.07397014379786, 7.95562886053624 61.073900700776846, 7.9555485915604365 61.073888517449156)"/>
    <s v="[980777, 980820]"/>
    <s v="[941792, 941484]"/>
    <s v="#FIELD!"/>
    <s v="[941480, 941792]"/>
    <s v="[0.065, 0.06]"/>
    <s v="33.85066274465487"/>
    <s v="[-0.065, -0.06]"/>
  </r>
  <r>
    <x v="2702"/>
    <x v="320"/>
    <x v="0"/>
    <s v="[0, 0, 0, 0, 0, 0, 0, 0, 0, 0, 0, 0, 1, 0, 0, 0, 0, 0, 0, 0, 0, 0, 0, 0, 0, 0, 0, 0, 0, 0, 0, 0, 0, 1, 0, 0, 0, 0, 0, 0, 0, 0, 0]"/>
    <s v="LINESTRING (8.079245577100332 61.17904497770818, 8.067198968549995 61.17752077291476, 8.064347808870156 61.17686925358736, 8.058534757760057 61.17444384831889, 8.057068895240116 61.172692143641925, 8.056904527265212 61.172474748115185, 8.054120358427923 61.169991516579614, 8.051969316622067 61.16940032175866, 8.050680937481289 61.16924346206224, 8.04370563645942 61.168119148614586, 8.036456924073628 61.16653347426198, 8.035788352197782 61.16642464854806, 8.033823296880849 61.16614973672599, 8.033607538859666 61.16612298807484, 8.022511199007827 61.165227014996255, 8.022204388130554 61.15849819093646, 8.008770340674417 61.1451713896178, 8.00687912137777 61.14167873411228, 8.006513281297828 61.13905869937056, 8.008060690258349 61.136288754625205, 8.016315493975354 61.13094673750827, 8.021306642072837 61.121780339932336, 8.023138247644967 61.120399742263125, 8.024142113289038 61.11938831813683, 8.034079663171871 61.11160609210997, 8.032122609697094 61.107353100371824, 8.031152790642581 61.106488059258325, 8.02451591021388 61.10464530324972, 8.018506787371031 61.10251856072221, 8.018403515382525 61.10250901057606, 8.01828782556937 61.10249952804248, 8.012386524024091 61.10220954597638, 8.011729761828605 61.10213087096977, 8.01089342850401 61.10202991179307, 8.00909473581511 61.10181288381197, 8.008450294379733 61.10173522897794, 7.98875905928815 61.096730838961726, 7.976880541897692 61.08536863878088, 7.964771328508374 61.07438493045084, 7.964257250419082 61.074284582588255, 7.962254892143281 61.07406079729348, 7.961426518438174 61.07403940993102, 7.960362608763978 61.07407233601685, 7.9561516700406045 61.07397014379786)"/>
    <s v="[2086659, 2086678, 2086686, 2086694, 2086702, 2086710, 1259914, 1259928, 1259936, 1259945, 1259946, 1259955, 1259959, 1259961, 1259873, 1259906, 1259842, 980261, 980262, 980269, 980526, 980549, 980557, 980561, 980562, 980270, 980272, 980284, 980292, 980300, 980308, 980316, 980318, 980319, 980335, 980362, 980569, 980579, 980588, 980369, 980378, 980391, 980392]"/>
    <s v="[341373, 341402, 1315012, 341532, 341499, 341541, 1177489, 1177498, 1177505, 1177512, 1177513, 1177521, 1177525, 341549, 1177470, 341551, 941374, 941375, 941376, 941382, 941581, 941596, 941604, 941605, 941383, 941384, 941386, 941393, 941399, 941404, 941409, 941416, 941418, 941419, 941434, 941453, 941608, 941618, 941457, 941458, 941466, 941479, 941480]"/>
    <s v="#FIELD!"/>
    <s v="[341391, 341373, 341402, 1315012, 341532, 341499, 341541, 1177489, 1177498, 1177505, 1177512, 1177513, 1177521, 1177525, 341549, 1177470, 341551, 941374, 941375, 941376, 941382, 941581, 941596, 941604, 941605, 941383, 941384, 941386, 941393, 941399, 941404, 941409, 941416, 941418, 941419, 941434, 941453, 941608, 941618, 941457, 941458, 941466, 941479]"/>
    <s v="[0.031, 0.023, 0.008, 0.007, 0.013, 0.019, 0.0, 0.02, 0.014, 0.003, 0.001, 0.016, 0.019, 0.008, 0.009, 0.014, 0.003, 0.002, 0.042, 0.024, 0.02, 0.062, 0.004, 0.04, 0.064, 0.04, 0.024, 0.002, 0.005, 0.005, 0.011, 0.016, 0.068, 0.042, 0.336, 0.272, 0.154, 0.205, 0.255, 0.189, 0.085, 0.056, 0.071]"/>
    <s v="16833.525597142587"/>
    <s v="[-0.031, -0.023, -0.008, -0.007, -0.013, 0.019, 0.0, -0.02, -0.014, -0.003, -0.001, 0.016, 0.019, -0.008, 0.009, -0.014, 0.003, -0.002, -0.042, -0.024, -0.02, -0.062, -0.004, -0.04, -0.064, -0.04, -0.024, 0.002, -0.005, -0.005, -0.011, -0.016, 0.068, 0.042, 0.336, 0.272, -0.154, -0.205, -0.255, -0.189, -0.085, -0.056, -0.071]"/>
  </r>
  <r>
    <x v="2703"/>
    <x v="3305"/>
    <x v="0"/>
    <n v="0"/>
    <m/>
    <n v="980398"/>
    <n v="941485"/>
    <s v="#FIELD!"/>
    <n v="941484"/>
    <s v="0.084"/>
    <s v="30.73502232249177"/>
    <s v="#FIELD!"/>
  </r>
  <r>
    <x v="2703"/>
    <x v="3303"/>
    <x v="0"/>
    <n v="0"/>
    <s v="LINESTRING (7.9556444443062215 61.0737967267633, 7.955619445999752 61.07384535585625, 7.9555485915604365 61.073888517449156)"/>
    <s v="[980491, 980492]"/>
    <s v="[941556, 941484]"/>
    <s v="0.17704191722247162"/>
    <s v="[941547, 941556]"/>
    <s v="[0.209, 0.148]"/>
    <s v="11.745268164807161"/>
    <s v="[0.209, 0.148]"/>
  </r>
  <r>
    <x v="2704"/>
    <x v="3306"/>
    <x v="0"/>
    <n v="0"/>
    <s v="LINESTRING (7.955135202415087 61.07378987533652, 7.9551596151098325 61.073738871919566, 7.955232527753986 61.07369482680513)"/>
    <s v="[980417, 980431]"/>
    <s v="[941499, 941510]"/>
    <s v="#FIELD!"/>
    <s v="[941485, 941499]"/>
    <s v="[0.201, 0.183]"/>
    <s v="12.141945809222456"/>
    <s v="[-0.201, -0.183]"/>
  </r>
  <r>
    <x v="2704"/>
    <x v="2210"/>
    <x v="0"/>
    <n v="0"/>
    <s v="LINESTRING (7.955135202415087 61.07378987533652, 7.955066029551006 61.07377233273987, 7.954655146132964 61.07365564761146)"/>
    <s v="[980843, 980851]"/>
    <s v="[941845, 941568]"/>
    <s v="#FIELD!"/>
    <s v="[941485, 941845]"/>
    <s v="[0.121, 0.11]"/>
    <s v="29.966111442088103"/>
    <s v="[-0.121, -0.11]"/>
  </r>
  <r>
    <x v="2705"/>
    <x v="3303"/>
    <x v="0"/>
    <n v="0"/>
    <s v="LINESTRING (7.955232527753986 61.07369482680513, 7.955405959168485 61.0736689389496, 7.955523617837233 61.07368700266019, 7.955602477080097 61.07372466752597, 7.9556444443062215 61.0737967267633)"/>
    <s v="[980442, 980455, 980471, 980479]"/>
    <s v="[941519, 941533, 941542, 941547]"/>
    <s v="0.0917644169355477"/>
    <s v="[941510, 941519, 941533, 941542]"/>
    <s v="[0.038, 0.08, 0.126, 0.229]"/>
    <s v="30.82244609229509"/>
    <s v="[-0.038, 0.08, 0.126, 0.229]"/>
  </r>
  <r>
    <x v="2705"/>
    <x v="2210"/>
    <x v="0"/>
    <n v="0"/>
    <s v="LINESTRING (7.955232527753986 61.07369482680513, 7.955135544643391 61.073685084653675, 7.954655146132964 61.07365564761146)"/>
    <s v="[980859, 980883]"/>
    <s v="[941859, 941568]"/>
    <s v="#FIELD!"/>
    <s v="[941510, 941859]"/>
    <s v="[0.009, 0.037]"/>
    <s v="31.830394893820436"/>
    <s v="[-0.009, -0.037]"/>
  </r>
  <r>
    <x v="2706"/>
    <x v="3301"/>
    <x v="0"/>
    <n v="0"/>
    <s v="LINESTRING (14.562361938352904 68.23613178767198, 14.561914183411671 68.23593348190289, 14.56171166930722 68.23584587450712, 14.56160497619429 68.23579381363021)"/>
    <s v="[981556, 981564, 981572]"/>
    <s v="[942413, 942421, 942426]"/>
    <s v="#FIELD!"/>
    <s v="[942412, 942413, 942421]"/>
    <s v="[0.021, 0.021, 0.023]"/>
    <s v="49.00903044947928"/>
    <s v="[-0.021, -0.021, -0.023]"/>
  </r>
  <r>
    <x v="2706"/>
    <x v="3302"/>
    <x v="0"/>
    <n v="0"/>
    <s v="LINESTRING (14.562361938352904 68.23613178767198, 14.562076831388495 68.23589174599255, 14.561966797924097 68.23580453499774, 14.561894238819539 68.23575699506517)"/>
    <s v="[981580, 981588, 981596]"/>
    <s v="[942434, 942439, 942445]"/>
    <s v="#FIELD!"/>
    <s v="[942412, 942434, 942439]"/>
    <s v="[0.019, 0.021, 0.02]"/>
    <s v="46.16368370059618"/>
    <s v="[-0.019, -0.021, -0.02]"/>
  </r>
  <r>
    <x v="2706"/>
    <x v="3307"/>
    <x v="265"/>
    <n v="0"/>
    <s v="LINESTRING (14.697958733149362 68.32904602932473, 14.562361938352904 68.23613178767198)"/>
    <m/>
    <m/>
    <s v="0.0"/>
    <m/>
    <n v="0"/>
    <s v="15723.070541670788"/>
    <n v="0"/>
  </r>
  <r>
    <x v="2707"/>
    <x v="3302"/>
    <x v="0"/>
    <n v="0"/>
    <s v="LINESTRING (14.561894238819539 68.23575699506517, 14.561775207007225 68.23578897063375, 14.56160497619429 68.23579381363021)"/>
    <s v="[1019665, 1019577]"/>
    <s v="[975442, 942426]"/>
    <s v="#FIELD!"/>
    <s v="[942445, 975442]"/>
    <s v="[0.005, 0.018]"/>
    <s v="13.144975797859377"/>
    <s v="[-0.005, -0.018]"/>
  </r>
  <r>
    <x v="2708"/>
    <x v="3308"/>
    <x v="0"/>
    <n v="0"/>
    <s v="LINESTRING (6.079289544247725 62.18208048695495, 6.079471368820382 62.18214055909673, 6.081567170081794 62.18265844309992, 6.081658236795676 62.18268054711157, 6.081805857809913 62.18271618940203, 6.08181324148983 62.182717897565944, 6.083780098079648 62.183177722659124, 6.085878941377337 62.18362879177041, 6.087206335618232 62.183896749093485, 6.087242365263642 62.183903992430096, 6.087361377603879 62.18392749696051, 6.087446820058737 62.18394433331808, 6.08753562844555 62.183961884906076, 6.088853830665292 62.18421378231717, 6.088955886288726 62.184233429694814, 6.089951041685848 62.18440869373144)"/>
    <s v="[1332061, 1332069, 1332078, 1332086, 1332094, 1332102, 1332110, 1332118, 1332126, 1332134, 1332142, 1332150, 1332158, 1332166, 1332174]"/>
    <s v="[1237060, 1234172, 1237075, 1224357, 1237091, 1237101, 1237107, 1237114, 1234081, 1237125, 1224248, 1237137, 1237143, 1237151, 943019]"/>
    <s v="#FIELD!"/>
    <s v="[943010, 1237060, 1234172, 1237075, 1224357, 1237091, 1237101, 1237107, 1237114, 1234081, 1237125, 1224248, 1237137, 1237143, 1237151]"/>
    <s v="[0.0, 0.022, 0.049, 0.052, 0.0, 0.057, 0.019, 0.025, 0.003, 0.033, 0.014, 0.031, 0.034, 0.044, 0.064]"/>
    <s v="615.0808236383809"/>
    <s v="[0.0, -0.022, -0.049, -0.052, 0.0, -0.057, -0.019, -0.025, 0.003, -0.033, -0.014, -0.031, -0.034, -0.044, -0.064]"/>
  </r>
  <r>
    <x v="2708"/>
    <x v="3308"/>
    <x v="0"/>
    <n v="0"/>
    <s v="LINESTRING (6.079289544247725 62.18208048695495, 6.079502418514712 62.18211429168919, 6.081654027158202 62.182599315280775, 6.081726409905429 62.18261621230059, 6.08186269992684 62.182646048935204, 6.081887090665533 62.18265203273632, 6.08384408273436 62.1831109370491, 6.085933920036591 62.18355988494442, 6.08725531512887 62.183826802218334, 6.087419699218751 62.183860415211484, 6.08757794429187 62.18389340411694, 6.088889907466214 62.184167294327324, 6.089951041685848 62.18440869373144)"/>
    <s v="[1800440, 1800448, 1800456, 1800464, 1800472, 1800480, 1800488, 1800496, 1800504, 1800512, 1800520, 1800528]"/>
    <s v="[1587372, 1234173, 1587378, 1224358, 1587392, 1587399, 1587405, 1587411, 1224254, 1587423, 1587428, 943019]"/>
    <s v="#FIELD!"/>
    <s v="[943010, 1587372, 1234173, 1587378, 1224358, 1587392, 1587399, 1587405, 1587411, 1224254, 1587423, 1587428]"/>
    <s v="[0.218, 0.033, 0.04, 0.044, 0.018, 0.048, 0.049, 0.043, 0.035, 0.036, 0.041, 0.01]"/>
    <s v="614.6023885144779"/>
    <s v="[0.218, -0.033, -0.04, -0.044, -0.018, -0.048, -0.049, -0.043, -0.035, -0.036, -0.041, -0.01]"/>
  </r>
  <r>
    <x v="2708"/>
    <x v="3309"/>
    <x v="266"/>
    <n v="0"/>
    <s v="LINESTRING (6.051779814594078 62.17489151495446, 6.0525335652165335 62.17521928713607, 6.0529608422273835 62.175403607856154, 6.052994182462466 62.17541872167376, 6.055731087865062 62.17648772459952, 6.055917050435269 62.17654962853421, 6.056892837852802 62.176848241893644, 6.05810263420313 62.177162493570535, 6.061436699920457 62.17793490937824, 6.079289544247725 62.18208048695495)"/>
    <s v="[2147212, 2147220, 2147228, 2147236, 2147244, 2147477, 2147485, 2147493, 982307]"/>
    <s v="[1842527, 1842529, 1842535, 1842540, 1842504, 1842678, 1837295, 943009, 943010]"/>
    <s v="#FIELD!"/>
    <s v="[1842526, 1842527, 1842529, 1842535, 1842540, 1842504, 1842678, 1837295, 943009]"/>
    <s v="[0.011, 0.003, 0.0, 0.065, 0.114, 0.127, 0.146, 0.029, 0.009]"/>
    <s v="1652.9977405276295"/>
    <s v="[0.011, -0.003, -0.0, -0.065, -0.114, -0.127, -0.146, 0.029, -0.009]"/>
  </r>
  <r>
    <x v="2709"/>
    <x v="3310"/>
    <x v="267"/>
    <s v="[0, 0, 0, 0, 0, 0, 0, 0, 0, 0, 0, 0, 0, 0, 0, 0, 0, 0, 0, 0, 0, 0, 0, 0, 0, 0, 0, 0, 0, 0, 0, 0, 0, 0, 0, 0, 0, 1, 0, 0, 0, 0]"/>
    <s v="LINESTRING (6.089951041685848 62.18440869373144, 6.092593252399203 62.18494505005633, 6.09384452887932 62.18519557907793, 6.09476210879707 62.18538013399586, 6.09587275972356 62.185604905072964, 6.096262535926516 62.185683325537255, 6.098350533696598 62.18609252286153, 6.098713086458344 62.186154829605584, 6.104633268594247 62.18714021025506, 6.107738546251975 62.187619219943386, 6.108790035996907 62.187728936632574, 6.1097755347157205 62.18782048709295, 6.109924382415514 62.18783386939465, 6.11147131083403 62.18797105441934, 6.11172448142547 62.18799167453542, 6.116922308428892 62.18848107620821, 6.117490360299733 62.18860419843682, 6.117867257597997 62.18871675295617, 6.117910033041218 62.188731048235944, 6.118622371671821 62.18900157705177, 6.119136696245485 62.18922189726623, 6.119532362021309 62.18940451968818, 6.120101210080331 62.18968599212294, 6.12072511312554 62.190074890693296, 6.122586998402566 62.19202377904903, 6.122631084672461 62.19208423308941, 6.122666745509304 62.19213235768511, 6.122697761160371 62.19217525671366, 6.122743280995514 62.19223949978616, 6.122789117234583 62.19230365480056, 6.122801255702882 62.19232063442729, 6.123149748059485 62.19283851966795, 6.123293427596837 62.193064633192336, 6.123617837727619 62.19357143622012, 6.123910808501665 62.1939968191264, 6.123920426981885 62.19400662246722, 6.124720063114093 62.19452635567724, 6.124984524370653 62.19463730685807, 6.125981290806393 62.195064810141396, 6.12614529278773 62.195139235143806, 6.126988618647434 62.19596607061407, 6.127232407783823 62.19728972857472, 6.127304200042971 62.1976862012686)"/>
    <s v="[982315, 982322, 982334, 982339, 982352, 982365, 982387, 982395, 982403, 982404, 982409, 982410, 982418, 982437, 982448, 982449, 982454, 982455, 982462, 982495, 982503, 982504, 982511, 982523, 982528, 982532, 982551, 982586, 982602, 982610, 982619, 982627, 982628, 982632, 982647, 982655, 982680, 982691, 982692, 982699, 982715, 982723]"/>
    <s v="[943020, 295272, 943035, 278702, 943044, 943056, 306287, 943084, 943089, 943090, 943093, 943094, 943104, 306190, 943127, 943128, 943135, 943136, 943142, 943170, 943179, 271163, 943184, 943194, 943198, 943202, 943213, 943236, 943244, 943250, 943257, 271328, 943263, 943266, 943279, 276389, 943299, 943306, 943307, 943312, 943326, 943332]"/>
    <s v="#FIELD!"/>
    <s v="[943019, 943020, 295272, 943035, 278702, 943044, 943056, 306287, 943084, 943089, 943090, 943093, 943094, 943104, 306190, 943127, 943128, 943135, 943136, 943142, 943170, 943179, 271163, 943184, 943194, 943198, 943202, 943213, 943236, 943244, 943250, 943257, 271328, 943263, 943266, 943279, 276389, 943299, 943306, 943307, 943312, 943326]"/>
    <s v="[0.06, 0.039, 0.045, 0.037, 0.04, 0.044, 0.044, 0.018, 0.031, 0.031, 0.02, 0.013, 0.023, 0.031, 0.017, 0.014, 0.025, 0.016, 0.03, 0.034, 0.019, 0.004, 0.008, 0.016, 0.017, 0.018, 0.02, 0.016, 0.016, 0.02, 0.017, 0.015, 0.015, 0.01, 0.008, 0.008, 0.004, 0.02, 0.019, 0.006, 0.003, 0.007]"/>
    <s v="2696.67667707356"/>
    <s v="[-0.06, -0.039, -0.045, -0.037, -0.04, -0.044, -0.044, -0.018, -0.031, -0.031, -0.02, -0.013, -0.023, -0.031, -0.017, -0.014, -0.025, -0.016, -0.03, -0.034, -0.019, 0.004, -0.008, -0.016, -0.017, -0.018, -0.02, -0.016, -0.016, -0.02, -0.017, -0.015, -0.015, -0.01, -0.008, -0.008, 0.004, 0.02, 0.019, 0.006, 0.003, 0.007]"/>
  </r>
  <r>
    <x v="2710"/>
    <x v="3311"/>
    <x v="0"/>
    <n v="0"/>
    <s v="LINESTRING (6.127304200042971 62.1976862012686, 6.127350143118468 62.19773061287399, 6.127425748435922 62.197855333182, 6.1274475628893885 62.19790177650535)"/>
    <s v="[1292082, 1292090, 1292098]"/>
    <s v="[1205223, 1205229, 945283]"/>
    <s v="0.014093619854936438"/>
    <s v="[943332, 1205223, 1205229]"/>
    <s v="[0.262, 0.017, 0.251]"/>
    <s v="25.29831827995336"/>
    <s v="[0.262, 0.017, -0.251]"/>
  </r>
  <r>
    <x v="2710"/>
    <x v="3312"/>
    <x v="0"/>
    <n v="0"/>
    <s v="LINESTRING (6.127304200042971 62.1976862012686, 6.127278499454214 62.19773484897063, 6.127251999385381 62.1978623196242, 6.127233406241575 62.197931038207784)"/>
    <s v="[1332222, 1332230, 1332238]"/>
    <s v="[1237200, 1237208, 945330]"/>
    <s v="#FIELD!"/>
    <s v="[943332, 1237200, 1237208]"/>
    <s v="[0.003, 0.0, 0.0]"/>
    <s v="27.637852166013705"/>
    <s v="[-0.003, 0.0, -0.0]"/>
  </r>
  <r>
    <x v="2711"/>
    <x v="3313"/>
    <x v="0"/>
    <n v="0"/>
    <s v="LINESTRING (6.331389752574942 62.37486484495555, 6.331532993527622 62.37485029249039, 6.331936558290703 62.374829732561295)"/>
    <s v="[984747, 984748]"/>
    <s v="[944998, 323551]"/>
    <s v="#FIELD!"/>
    <s v="[943505, 944998]"/>
    <s v="[0.657, 0.272]"/>
    <s v="28.658424793296543"/>
    <s v="[-0.657, -0.272]"/>
  </r>
  <r>
    <x v="2711"/>
    <x v="3314"/>
    <x v="0"/>
    <n v="0"/>
    <s v="LINESTRING (6.160100244641764 62.328420031251454, 6.331389752574942 62.37486484495555)"/>
    <m/>
    <m/>
    <s v="0.0"/>
    <m/>
    <n v="0"/>
    <s v="13490.043791069573"/>
    <n v="0"/>
  </r>
  <r>
    <x v="2712"/>
    <x v="3315"/>
    <x v="0"/>
    <n v="0"/>
    <s v="LINESTRING (6.357626567175869 62.461371924840606, 6.356390763309586 62.46327164013699, 6.3532628367618855 62.46807694760049, 6.352383080029215 62.46913298994081)"/>
    <s v="[983003, 983011, 983019]"/>
    <s v="[943530, 943535, 943544]"/>
    <s v="0.01766625414742682"/>
    <s v="[943529, 943530, 943535]"/>
    <s v="[0.039, 0.018, 0.021]"/>
    <s v="909.1482646922624"/>
    <s v="[0.039, 0.018, -0.021]"/>
  </r>
  <r>
    <x v="2712"/>
    <x v="3316"/>
    <x v="0"/>
    <n v="0"/>
    <s v="LINESTRING (6.357898478871997 62.46109147115342, 6.357832301520416 62.461170266856215, 6.357626567175869 62.461371924840606)"/>
    <s v="[1293082, 1293097]"/>
    <s v="[1206103, 943529]"/>
    <s v="0.12123909962129148"/>
    <s v="[945412, 1206103]"/>
    <s v="[0.384, 0.022]"/>
    <s v="34.44113966556096"/>
    <s v="[0.384, 0.022]"/>
  </r>
  <r>
    <x v="2712"/>
    <x v="3317"/>
    <x v="0"/>
    <n v="0"/>
    <s v="LINESTRING (6.357545284528858 62.461070000660925, 6.357579100766187 62.461154006059495, 6.357626567175869 62.461371924840606)"/>
    <s v="[1332911, 1332919]"/>
    <s v="[1237847, 943529]"/>
    <s v="0.09760467101377372"/>
    <s v="[945420, 1237847]"/>
    <s v="[0.235, 0.044]"/>
    <s v="34.00351910575145"/>
    <s v="[0.235, 0.044]"/>
  </r>
  <r>
    <x v="2713"/>
    <x v="3318"/>
    <x v="0"/>
    <n v="0"/>
    <s v="LINESTRING (6.352383080029215 62.46913298994081, 6.352052089677122 62.469380602773505, 6.351960058249243 62.46945528952276)"/>
    <s v="[1293105, 1293113]"/>
    <s v="[1206119, 945503]"/>
    <s v="0.07724177855627384"/>
    <s v="[943544, 1206119]"/>
    <s v="[0.042, 0.482]"/>
    <s v="42.196992665189164"/>
    <s v="[-0.042, 0.482]"/>
  </r>
  <r>
    <x v="2713"/>
    <x v="3319"/>
    <x v="0"/>
    <n v="0"/>
    <s v="LINESTRING (6.352383080029215 62.46913298994081, 6.35179393683063 62.46926728419923, 6.351674596579687 62.46929360748188)"/>
    <s v="[1332927, 1332935]"/>
    <s v="[1237859, 945580]"/>
    <s v="0.08877597021412542"/>
    <s v="[943544, 1237859]"/>
    <s v="[0.015, 0.456]"/>
    <s v="40.85014992088462"/>
    <s v="[0.015, 0.456]"/>
  </r>
  <r>
    <x v="2714"/>
    <x v="3320"/>
    <x v="268"/>
    <s v="[0, 0, 0, 0, 0, 0, 1, 0]"/>
    <s v="LINESTRING (6.352816438502745 62.4699360572925, 6.354860906123599 62.47017056992193, 6.355840891640954 62.47023533956567, 6.357464725553759 62.47033737224584, 6.359716063878665 62.47047979954863, 6.360112884057041 62.47050387183865, 6.364753187285902 62.470792336396514, 6.36530371647865 62.470827601042544, 6.365497418336937 62.47084006297257)"/>
    <s v="[983030, 983041, 983053, 983061, 983069, 983077, 983084, 983100]"/>
    <s v="[943558, 943566, 943576, 943584, 943592, 943599, 943603, 943611]"/>
    <s v="0.018792200887193408"/>
    <s v="[943557, 943558, 943566, 943576, 943584, 943592, 943599, 943603]"/>
    <s v="[0.001, 0.007, 0.02, 0.017, 0.014, 0.026, 0.05, 0.052]"/>
    <s v="664.3264814256045"/>
    <s v="[-0.001, 0.007, 0.02, 0.017, 0.014, 0.026, 0.05, 0.052]"/>
  </r>
  <r>
    <x v="2714"/>
    <x v="3321"/>
    <x v="0"/>
    <n v="0"/>
    <s v="LINESTRING (6.351981114582676 62.469555125061575, 6.352083240878221 62.46963022332209, 6.352292689141402 62.46973947967546, 6.352816438502745 62.4699360572925)"/>
    <s v="[2071482, 2071490, 2071498]"/>
    <s v="[1798463, 1798467, 943557]"/>
    <s v="#FIELD!"/>
    <s v="[945504, 1798463, 1798467]"/>
    <s v="[0.651, 0.06, 0.01]"/>
    <s v="61.21410148954829"/>
    <s v="[-0.651, -0.06, 0.01]"/>
  </r>
  <r>
    <x v="2714"/>
    <x v="3322"/>
    <x v="0"/>
    <n v="0"/>
    <s v="LINESTRING (6.351674329161071 62.46976592973077, 6.3518735285339245 62.469768806672256, 6.352170115743782 62.469805031685155, 6.352816438502745 62.4699360572925)"/>
    <s v="[1332943, 1332951, 1332959]"/>
    <s v="[1237877, 1237884, 943557]"/>
    <s v="#FIELD!"/>
    <s v="[945511, 1237877, 1237884]"/>
    <s v="[0.317, 0.039, 0.04]"/>
    <s v="62.85767171454597"/>
    <s v="[-0.317, -0.039, -0.04]"/>
  </r>
  <r>
    <x v="2715"/>
    <x v="3323"/>
    <x v="0"/>
    <n v="0"/>
    <m/>
    <n v="983108"/>
    <n v="943621"/>
    <s v="0.052"/>
    <n v="943611"/>
    <s v="0.052"/>
    <s v="41.131015754531575"/>
    <s v="0.052"/>
  </r>
  <r>
    <x v="2715"/>
    <x v="3324"/>
    <x v="0"/>
    <n v="0"/>
    <s v="LINESTRING (6.364931991998535 62.47151148377682, 6.365014343399737 62.47151546040841, 6.366608313059987 62.47139282228894, 6.36564408078754 62.470881766813065, 6.365497418336937 62.47084006297257)"/>
    <s v="[984868, 984876, 984884, 984892]"/>
    <s v="[945100, 945107, 945112, 943611]"/>
    <s v="0.01312924047047212"/>
    <s v="[945099, 945100, 945107, 945112]"/>
    <s v="[0.075, 0.058, 0.029, 0.088]"/>
    <s v="183.03828034297027"/>
    <s v="[0.075, 0.058, -0.029, -0.088]"/>
  </r>
  <r>
    <x v="2716"/>
    <x v="3325"/>
    <x v="0"/>
    <n v="0"/>
    <m/>
    <n v="983117"/>
    <n v="943627"/>
    <s v="0.03"/>
    <n v="943621"/>
    <s v="0.03"/>
    <s v="242.58738052372502"/>
    <s v="0.03"/>
  </r>
  <r>
    <x v="2716"/>
    <x v="729"/>
    <x v="0"/>
    <n v="0"/>
    <s v="LINESTRING (6.366285903492836 62.47088953157186, 6.366325979196485 62.470860270808174, 6.365538254481938 62.47018150854167, 6.365459284173688 62.4701784023664)"/>
    <s v="[985410, 985418, 985426]"/>
    <s v="[945486, 945493, 945498]"/>
    <s v="#FIELD!"/>
    <s v="[943621, 945486, 945493]"/>
    <s v="[0.125, 0.018, 0.074]"/>
    <s v="116.17083531653459"/>
    <s v="[0.125, -0.018, -0.074]"/>
  </r>
  <r>
    <x v="2717"/>
    <x v="3326"/>
    <x v="0"/>
    <n v="0"/>
    <m/>
    <n v="983126"/>
    <n v="943633"/>
    <s v="0.025"/>
    <n v="943627"/>
    <s v="0.025"/>
    <s v="26.61321320321388"/>
    <s v="0.025"/>
  </r>
  <r>
    <x v="2717"/>
    <x v="727"/>
    <x v="0"/>
    <n v="0"/>
    <s v="LINESTRING (6.3709676369423764 62.47102092265759, 6.370745170829421 62.471050722674136, 6.3668252278394615 62.47146601714577, 6.3650148466057415 62.47160544551522, 6.364904170694914 62.47161716827096)"/>
    <s v="[984996, 985004, 985018, 985057]"/>
    <s v="[945180, 945184, 945193, 945218]"/>
    <s v="#FIELD!"/>
    <s v="[943627, 945180, 945184, 945193]"/>
    <s v="[0.038, 0.029, 0.062, 0.088]"/>
    <s v="332.2932693186339"/>
    <s v="[0.038, -0.029, -0.062, -0.088]"/>
  </r>
  <r>
    <x v="2718"/>
    <x v="3327"/>
    <x v="269"/>
    <s v="[0, 0, 0, 0, 0, 1, 0, 0, 0, 0, 0, 0, 0, 0, 0, 0, 0, 0, 0, 0, 0, 0, 0, 0, 0, 0, 0, 0, 0]"/>
    <s v="LINESTRING (6.371482482221337 62.471020292978636, 6.377480113508968 62.47123822162343, 6.389608710477338 62.472138426415555, 6.425669472044256 62.478335846957656, 6.428270635818356 62.4784132068378, 6.429038525999326 62.47844501208589, 6.429652143743116 62.47847033432627, 6.430646959127936 62.47850326416776, 6.444272207718276 62.478103090610595, 6.444686008467826 62.47810355091441, 6.51323982939067 62.48475401943333, 6.513629435264196 62.48460517798382, 6.513790730553524 62.48454830733448, 6.5139374321185 62.48449672172014, 6.5146706454720364 62.48427406591308, 6.522423730955178 62.48338350136536, 6.52365575442309 62.483289361688975, 6.523823580755028 62.483276572357326, 6.523984698486653 62.48326430299614, 6.534652504875856 62.48343556695149, 6.543138842459596 62.48462272175518, 6.552294173988943 62.485819438416414, 6.553447263849911 62.48611844159442, 6.555532994566154 62.48660826373678, 6.557451555273296 62.486798514608495, 6.564330530611924 62.4857604252004, 6.565459323549729 62.48563632047769, 6.574968213887061 62.48640939996091, 6.596995230075667 62.48914642904911, 6.597262634540371 62.489165913797635)"/>
    <s v="[983127, 983135, 983143, 983152, 983161, 983169, 983177, 983178, 983185, 983193, 983201, 983216, 983224, 983225, 983230, 983238, 983242, 1312065, 1312073, 1312081, 1312089, 1312098, 1312106, 1312114, 1312122, 1312130, 1312138, 1312146, 1753605]"/>
    <s v="[943634, 631500, 943650, 943656, 943666, 943670, 943678, 943679, 943685, 943693, 943698, 943709, 943717, 943718, 943722, 943728, 943731, 1220167, 1220174, 1220182, 1220188, 1069879, 1069871, 1220209, 1220216, 1220223, 1220230, 1220235, 1552659]"/>
    <s v="0.0017406789390131607"/>
    <s v="[943633, 943634, 631500, 943650, 943656, 943666, 943670, 943678, 943679, 943685, 943693, 943698, 943709, 943717, 943718, 943722, 943728, 943731, 1220167, 1220174, 1220182, 1220188, 1069879, 1069871, 1220209, 1220216, 1220223, 1220230, 1220235]"/>
    <s v="[0.033, 0.024, 0.004, 0.072, 0.098, 0.11, 0.037, 0.02, 0.042, 0.008, 0.014, 0.014, 0.011, 0.011, 0.002, 0.04, 0.037, 0.054, 0.003, 0.008, 0.008, 0.048, 0.034, 0.07, 0.019, 0.051, 0.126, 0.03, 0.901]"/>
    <s v="12364.45215617197"/>
    <s v="[0.033, 0.024, 0.004, -0.072, -0.098, -0.11, -0.037, 0.02, -0.042, -0.008, -0.014, -0.014, -0.011, -0.011, -0.002, -0.04, -0.037, -0.054, 0.003, -0.008, 0.008, 0.048, -0.034, -0.07, -0.019, 0.051, 0.126, -0.03, 0.901]"/>
  </r>
  <r>
    <x v="2718"/>
    <x v="729"/>
    <x v="0"/>
    <n v="0"/>
    <s v="LINESTRING (6.365459284173688 62.4701784023664, 6.365508678812502 62.47005913659617, 6.365601021165689 62.4700755898711, 6.371263910180563 62.470988292721785, 6.371482482221337 62.471020292978636)"/>
    <s v="[988993, 985104, 985105, 985110]"/>
    <s v="[945256, 945257, 945258, 943633]"/>
    <s v="0.027317678067909003"/>
    <s v="[945498, 945256, 945257, 945258]"/>
    <s v="[0.015, 0.07, 0.027, 0.032]"/>
    <s v="366.5623870343093"/>
    <s v="[0.015, 0.07, 0.027, 0.032]"/>
  </r>
  <r>
    <x v="2719"/>
    <x v="3328"/>
    <x v="0"/>
    <n v="0"/>
    <s v="LINESTRING (23.048654476846938 69.9461504000608, 23.047530464819488 69.94527113336765, 23.04741285093238 69.94518424104744, 23.047380447408667 69.94516030997276, 23.046726080508844 69.94472470398819, 23.04570961493532 69.94388503032019)"/>
    <s v="[983448, 983449, 983459, 983460, 983461]"/>
    <s v="[943835, 943895, 943909, 943910, 943911]"/>
    <s v="#FIELD!"/>
    <s v="[943903, 943835, 943895, 943909, 943910]"/>
    <s v="[0.112, 0.108, 0.076, 0.09, 0.002]"/>
    <s v="277.6257273629736"/>
    <s v="[-0.112, -0.108, -0.076, -0.09, -0.002]"/>
  </r>
  <r>
    <x v="2719"/>
    <x v="3328"/>
    <x v="0"/>
    <n v="0"/>
    <s v="LINESTRING (23.048654476846938 69.9461504000608, 23.04773638830166 69.9452378932459, 23.047616724216404 69.94514910666057, 23.047583266851767 69.94512510618893, 23.046911168025222 69.94469158303241, 23.046814451446703 69.94463459452457, 23.04570961493532 69.94388503032019)"/>
    <s v="[983541, 983544, 983545, 983553, 983569, 983570]"/>
    <s v="[943834, 943894, 943965, 943973, 943997, 943911]"/>
    <s v="#FIELD!"/>
    <s v="[943903, 943834, 943894, 943965, 943973, 943997]"/>
    <s v="[0.138, 0.106, 0.041, 0.087, 0.075, 0.031]"/>
    <s v="277.8916506936406"/>
    <s v="[-0.138, -0.106, -0.041, -0.087, -0.075, 0.031]"/>
  </r>
  <r>
    <x v="2719"/>
    <x v="3329"/>
    <x v="0"/>
    <n v="0"/>
    <s v="LINESTRING (22.80453542616325 69.93877650993828, 23.048654476846938 69.9461504000608)"/>
    <m/>
    <m/>
    <s v="0.0"/>
    <m/>
    <n v="0"/>
    <s v="17691.23052826447"/>
    <n v="0"/>
  </r>
  <r>
    <x v="2720"/>
    <x v="3330"/>
    <x v="0"/>
    <n v="0"/>
    <s v="LINESTRING (6.8998034284550585 62.51233841957161, 6.897174281326869 62.509090874376575, 6.8886937355531455 62.49942716381853, 6.880974806059079 62.49669399314613, 6.877928466241264 62.496286182367044, 6.874302464841283 62.49351315392042, 6.87410911026527 62.492833291692065)"/>
    <s v="[1488760, 1488805, 1488806, 1488807, 1488815, 1488837]"/>
    <s v="[1347894, 1347930, 1347931, 1347932, 1347940, 943904]"/>
    <s v="#FIELD!"/>
    <s v="[943905, 1347894, 1347930, 1347931, 1347932, 1347940]"/>
    <s v="[0.004, 0.038, 0.073, 0.054, 0.032, 0.155]"/>
    <s v="2687.9264324138594"/>
    <s v="[-0.004, -0.038, -0.073, -0.054, -0.032, -0.155]"/>
  </r>
  <r>
    <x v="2720"/>
    <x v="3331"/>
    <x v="270"/>
    <s v="[0, 0, 0, 0, 0, 0, 0, 0, 0, 0, 0, 0, 0, 0, 0, 0, 0, 0, 0, 0, 0, 0, 0, 0, 1, 0, 0, 0, 0, 0, 0, 0, 0, 0, 0, 0, 0, 0, 0, 0, 0, 0, 0, 0, 0, 0, 0, 0, 0, 0, 0, 0, 0, 0, 0, 0, 0, 0, 0, 0, 0, 0, 0, 0, 0, 0, 0, 0, 0, 0, 0, 0, 0, 0, 0, 0, 0, 0, 0, 0, 0, 0, 0, 0, 0, 0, 0, 0, 0, 0, 0, 0, 0, 0, 0, 0, 0, 0, 0, 0, 0, 0, 0, 0, 0, 0, 0, 0, 0, 0, 0, 0]"/>
    <s v="LINESTRING (6.669858305438469 62.4808876391093, 6.671095387918875 62.48147157270633, 6.671325726416794 62.48158506694419, 6.676589863979537 62.48351809262301, 6.682127196342519 62.4839055313853, 6.688252241369188 62.48555937082089, 6.689060792805188 62.4862608487767, 6.689101246453895 62.48629964925013, 6.690195891368843 62.487347553028904, 6.6902709244332605 62.487429560217116, 6.690351861513005 62.48750373028649, 6.690427496974343 62.48758038211464, 6.691174092810087 62.488262254637796, 6.6933244262703875 62.489086201491425, 6.7038442470139525 62.48958989040625, 6.721049183933936 62.49150120274628, 6.7211486892018035 62.4914956200407, 6.723999310533268 62.49133443621893, 6.724138005438539 62.491324832701544, 6.7242740273951584 62.49131718263276, 6.727313986714175 62.49020802971811, 6.727325872585652 62.49015748312953, 6.727294529789468 62.48926603628276, 6.727200630806823 62.48837595976953, 6.727174724607136 62.48815265893068, 6.727094224364847 62.4879016112087, 6.727000517056761 62.48772021130807, 6.726868798050596 62.487534493711564, 6.726788630204475 62.4874458381461, 6.726711352276718 62.487370484891514, 6.722413827054577 62.48588907552909, 6.72156745454256 62.48570024164165, 6.717816091604308 62.48326962116754, 6.717184420335547 62.48303753787267, 6.717106567602685 62.48301465493565, 6.715010932236097 62.4827183174258, 6.711880954837527 62.482372818366535, 6.710470021381261 62.481685481273445, 6.710520790623115 62.4785624214461, 6.713096715759829 62.47817022008877, 6.713724043909989 62.47808844253911, 6.714457446271418 62.47799583493365, 6.7182716623336844 62.47758060035957, 6.722510956450585 62.477645284016404, 6.725176603518914 62.477520011859816, 6.733992601264388 62.477550475777875, 6.740152004700366 62.4777059474605, 6.741621844181766 62.477620689922595, 6.742420861181349 62.477495726717315, 6.7492146898225105 62.47730763235481, 6.750271790421704 62.47733844423895, 6.750821329743616 62.477350680310096, 6.754574954922237 62.477378349291335, 6.754645468903293 62.47737991511897, 6.754779392559545 62.4773809446243, 6.757455052872856 62.47745502245993, 6.759302273450238 62.4775622351238, 6.761586440628295 62.47778025700332, 6.765114762436107 62.47858053037839, 6.7671902804760276 62.479123158706, 6.768202382378555 62.47938635412562, 6.768494456579265 62.479462115756014, 6.771377444290007 62.480253563671695, 6.7730926259330735 62.480699628441165, 6.777899974327882 62.481205972207704, 6.781952715371762 62.48118344155545, 6.782772816463587 62.48109058660851, 6.785421149873525 62.48078300618388, 6.791773319886344 62.48119561380834, 6.796353160939881 62.48130140527259, 6.796505807272861 62.481304774331925, 6.799573895828062 62.48150165640449, 6.801772042271615 62.481716909080625, 6.80247521347619 62.481786487070316, 6.802524949704639 62.48179173866523, 6.809810688326762 62.482600705066005, 6.810021625946461 62.482602038883044, 6.810196576009584 62.48260182494146, 6.811733215107245 62.48260588557299, 6.811867651060937 62.482605958984564, 6.811871562519171 62.482605928090365, 6.812002368148259 62.48260642808699, 6.813703001451019 62.48261021750564, 6.813835535443122 62.48261081779483, 6.813975750283554 62.48261187135013, 6.815024104878274 62.48261388794879, 6.816198338278225 62.48261303200189, 6.816325356758377 62.482612401514146, 6.81644883259223 62.48260975604632, 6.819294799968781 62.482458809955695, 6.822542572606434 62.48210612840901, 6.824571311639431 62.48188254319213, 6.8247522041696875 62.4818653258116, 6.824896387554582 62.48185237279339, 6.825407653947408 62.481813873237684, 6.830500195030242 62.48179540016247, 6.833799605222742 62.48218972354297, 6.835144541799392 62.48234593776288, 6.835500931372913 62.482386141915526, 6.837477233061242 62.482547051357386, 6.839866192301543 62.48267942187421, 6.846808988963157 62.48260891229926, 6.846899531096601 62.4825903002153, 6.849558144433829 62.482007018200946, 6.851723439839304 62.48152582781693, 6.854784825049502 62.48088588143255, 6.863506400741033 62.48092715851755, 6.864415947496092 62.48106840965194, 6.870875991248801 62.486667391752505, 6.870906218137072 62.48748610139913, 6.873773104331942 62.49167542019677, 6.87399867748682 62.49244501608177, 6.87410911026527 62.492833291692065)"/>
    <s v="[1312250, 1312258, 1312266, 1312274, 1312282, 1312290, 1312298, 1312306, 1312314, 1312402, 1312410, 1312418, 1312426, 1312434, 1312442, 1312450, 1312458, 1312466, 1312474, 1312482, 1312490, 1312498, 1312506, 1312514, 1312522, 1312530, 1312538, 1312546, 1312554, 1312562, 1312570, 1312578, 1312586, 1312594, 1312602, 1312610, 1312618, 1312626, 1312634, 1312642, 1312650, 1312658, 1312666, 1312674, 1312682, 1312690, 1312698, 1312706, 1312714, 1312722, 1312730, 1312738, 1312746, 1312754, 1312762, 1312770, 1312778, 1312786, 1312794, 1312802, 1312810, 1312818, 1312826, 1312834, 1312842, 1312850, 1312858, 1312866, 1312874, 1312882, 1312890, 1312898, 1312906, 1312914, 1312922, 1312930, 1312938, 1312946, 1312954, 1312962, 1312970, 1312978, 1312986, 1312994, 1313002, 1313010, 1313018, 1313026, 1313034, 1313042, 983248, 983249, 983256, 983259, 983267, 983273, 983274, 983281, 983289, 983293, 983296, 983312, 983320, 983335, 983382, 983383, 983393, 983414, 983431, 983432, 983440, 983452]"/>
    <s v="[1220320, 1220327, 675485, 1220337, 1220341, 1220348, 1220355, 460011, 1220364, 460003, 1220440, 1220446, 1220449, 320697, 1220463, 1220471, 1159254, 1220485, 324321, 1220499, 1220505, 312818, 320761, 1220523, 1220528, 1220534, 320770, 1220551, 320768, 1220565, 1220572, 1220580, 1220588, 1220597, 1220606, 1220611, 1220620, 1220626, 1220634, 276350, 1220646, 1220653, 1220658, 301089, 1220671, 1158395, 1171000, 1220690, 1220698, 300920, 300984, 301017, 1220722, 1220732, 1171057, 300911, 300830, 1220755, 1170923, 1220768, 1220775, 1220782, 1220788, 1220794, 1220799, 1220804, 280646, 280633, 1220818, 276321, 1220829, 1220837, 1220843, 1220851, 327819, 1220861, 1213639, 1213665, 1220877, 1220883, 327839, 1220893, 1220898, 1220903, 280928, 1220914, 1220920, 1220923, 1220932, 282108, 943735, 943736, 943739, 943742, 943748, 943752, 943753, 299145, 943762, 273590, 273913, 943783, 943791, 943807, 299732, 273990, 943858, 943878, 943896, 943897, 943901, 943904]"/>
    <s v="0.009002034567715193"/>
    <s v="[1220319, 1220320, 1220327, 675485, 1220337, 1220341, 1220348, 1220355, 460011, 1220364, 460003, 1220440, 1220446, 1220449, 320697, 1220463, 1220471, 1159254, 1220485, 324321, 1220499, 1220505, 312818, 320761, 1220523, 1220528, 1220534, 320770, 1220551, 320768, 1220565, 1220572, 1220580, 1220588, 1220597, 1220606, 1220611, 1220620, 1220626, 1220634, 276350, 1220646, 1220653, 1220658, 301089, 1220671, 1158395, 1171000, 1220690, 1220698, 300920, 300984, 301017, 1220722, 1220732, 1171057, 300911, 300830, 1220755, 1170923, 1220768, 1220775, 1220782, 1220788, 1220794, 1220799, 1220804, 280646, 280633, 1220818, 276321, 1220829, 1220837, 1220843, 1220851, 327819, 1220861, 1213639, 1213665, 1220877, 1220883, 327839, 1220893, 1220898, 1220903, 280928, 1220914, 1220920, 1220923, 1220932, 282108, 943735, 943736, 943739, 943742, 943748, 943752, 943753, 299145, 943762, 273590, 273913, 943783, 943791, 943807, 299732, 273990, 943858, 943878, 943896, 943897, 943901]"/>
    <s v="[0.022, 0.013, 0.03, 0.014, 0.026, 0.007, 0.036, 0.035, 0.037, 0.032, 0.038, 0.036, 0.012, 0.004, 0.013, 0.001, 0.007, 0.017, 0.021, 0.01, 0.001, 0.007, 0.012, 0.029, 0.024, 0.02, 0.015, 0.037, 0.082, 0.044, 0.004, 0.038, 0.026, 0.044, 0.05, 0.044, 0.038, 0.012, 0.035, 0.019, 0.013, 0.002, 0.023, 0.025, 0.016, 0.036, 0.002, 0.065, 0.02, 0.009, 0.011, 0.008, 0.015, 0.013, 0.017, 0.007, 0.019, 0.011, 0.025, 0.014, 0.001, 0.008, 0.005, 0.008, 0.021, 0.048, 0.041, 0.025, 0.032, 0.004, 0.019, 0.041, 0.06, 0.085, 0.036, 0.092, 0.08, 0.032, 0.002, 0.0, 0.001, 0.011, 0.023, 0.022, 0.028, 0.031, 0.03, 0.029, 0.026, 0.035, 0.054, 0.054, 0.046, 0.035, 0.015, 0.023, 0.013, 0.017, 0.03, 0.033, 0.035, 0.019, 0.027, 0.038, 0.032, 0.072, 0.064, 0.056, 0.042, 0.015, 0.057, 0.053]"/>
    <s v="15026.954171090865"/>
    <s v="[0.022, 0.013, -0.03, -0.014, -0.026, -0.007, 0.036, 0.035, 0.037, 0.032, 0.038, 0.036, 0.012, 0.004, -0.013, -0.001, -0.007, 0.017, 0.021, -0.01, -0.001, -0.007, 0.012, 0.029, 0.024, 0.02, 0.015, 0.037, 0.082, 0.044, -0.004, 0.038, 0.026, 0.044, -0.05, -0.044, 0.038, 0.012, 0.035, 0.019, 0.013, 0.002, 0.023, -0.025, -0.016, 0.036, -0.002, -0.065, -0.02, -0.009, -0.011, -0.008, -0.015, -0.013, -0.017, -0.007, -0.019, 0.011, -0.025, -0.014, -0.001, 0.008, 0.005, 0.008, -0.021, -0.048, -0.041, 0.025, 0.032, -0.004, 0.019, -0.041, -0.06, -0.085, -0.036, -0.092, -0.08, -0.032, 0.002, 0.0, 0.001, 0.011, 0.023, 0.022, 0.028, 0.031, 0.03, 0.029, 0.026, 0.035, 0.054, 0.054, 0.046, 0.035, 0.015, -0.023, 0.013, 0.017, 0.03, 0.033, 0.035, 0.019, 0.027, 0.038, 0.032, 0.072, 0.064, 0.056, 0.042, 0.015, 0.057, 0.053]"/>
  </r>
  <r>
    <x v="2721"/>
    <x v="3332"/>
    <x v="271"/>
    <s v="[0, 0, 0, 0, 0, 0, 0, 0, 0, 0, 0, 0, 0, 0, 0, 0, 0, 0, 0, 0, 0, 0, 0, 0, 0, 0, 0, 0, 0, 0, 0, 0, 0, 0, 0, 0, 0, 0, 0, 0, 0, 0, 0, 0, 0, 0, 0, 0, 0, 0, 0, 0, 0, 0, 0, 0, 0, 0, 0, 0, 0, 0, 0, 0, 0, 0, 0, 1, 0, 0, 0, 0, 0, 0, 0, 0, 0, 0, 0, 0, 0, 1, 0, 0]"/>
    <s v="LINESTRING (6.8998034284550585 62.51233841957161, 6.8998034284550585 62.51233841957161, 6.900357341310246 62.512752917050214, 6.90520797454942 62.515668321341565, 6.908031575209758 62.51641939278308, 6.908941639735885 62.51666125844959, 6.909901512445725 62.51691307105354, 6.910046896158602 62.51695334894858, 6.912162450025733 62.517505236895666, 6.913746256578803 62.51792975345709, 6.915185634001526 62.51845215016431, 6.915578301009869 62.51866167649096, 6.916451993122869 62.51926958548795, 6.917082134228654 62.520041100694456, 6.917253915430283 62.52030522490351, 6.919620440932815 62.52283715183242, 6.933678446975958 62.526748131268384, 6.938562156884527 62.52840859282026, 6.942561433932048 62.52982104519923, 6.948114497422332 62.53225829421693, 6.948718795719345 62.53252833879469, 6.9492247402378675 62.5327550075794, 6.94943773378795 62.53285145351385, 6.950808508686485 62.53346829663438, 6.95277518315073 62.534529836377295, 6.953740261225509 62.535279951400376, 6.955238987310787 62.53679308237418, 6.955981564138172 62.53755266780064, 6.956846298033142 62.538438860679456, 6.957371418559058 62.53897569743218, 6.959122191495369 62.540943867502804, 6.959460624604281 62.543190707273325, 6.966010020265593 62.54819066497335, 6.966636007899597 62.54884793959465, 6.979191605620517 62.5569447120154, 6.982023369931415 62.55799539255904, 6.985508433084696 62.55880474090887, 6.99267787220405 62.55996850574456, 6.995521972954408 62.56030185846496, 7.0066455597779695 62.561452747822734, 7.006793883725531 62.56146849914502, 7.016964421203865 62.56248418215317, 7.031045027280567 62.563497339883384, 7.038156140644885 62.56479242479429, 7.039579398131797 62.56522354873563, 7.048607519289293 62.566338400202056, 7.048832469457622 62.56637978907896, 7.0631282992012245 62.568989678468824, 7.06383262949296 62.5691074089299, 7.06997210887742 62.56937580607012, 7.0706371426266 62.569432284151716, 7.073030054690901 62.56967421179291, 7.077775259694316 62.57015389104549, 7.078070287310383 62.57018339136537, 7.080822873911957 62.57043346929496, 7.085962730266447 62.57061418402263, 7.0949987364760885 62.57256482661434, 7.096533029486891 62.57326868551747, 7.096813863181827 62.57343322558808, 7.096854406126852 62.5734563698261, 7.096912251777315 62.57348916196035, 7.0970177700965165 62.57355063898632, 7.098285326665825 62.57450502590587, 7.099203373576263 62.57563059267155, 7.099927850085506 62.576913127819175, 7.100722945387677 62.58042017294749, 7.100792917610202 62.58597663020999, 7.100796696706355 62.58623346674548, 7.100797298118759 62.58628368265688, 7.100806102171555 62.58695815254034, 7.100812256614968 62.58727585655624, 7.100813065231459 62.5873143781691, 7.100814118847097 62.58736378039336, 7.1008145470640205 62.58739808354849, 7.100814890700939 62.58742493586555, 7.10082004070435 62.588466202142584, 7.100690570623773 62.58974834137479, 7.09929100464272 62.59414256760505, 7.097800688168708 62.60003607820683, 7.097754685101268 62.60051997891528, 7.097701048547683 62.60451096614345, 7.097885505890241 62.60661897960039, 7.097915136848448 62.606779908998504, 7.097944439296966 62.606998168110444, 7.097950640624595 62.60704778170967)"/>
    <s v="[983453, 983469, 983477, 983481, 983489, 983497, 983505, 983513, 983521, 983526, 983534, 983535, 983542, 983543, 983573, 983581, 983586, 983589, 983590, 983591, 983598, 983599, 983614, 983615, 983622, 983630, 983631, 983654, 983655, 983660, 983668, 983676, 983683, 983689, 983692, 983700, 983703, 983706, 983714, 983722, 983730, 983735, 983740, 983742, 983756, 983778, 983786, 983795, 983803, 983811, 983824, 983828, 983843, 983862, 983863, 983866, 983867, 983905, 983912, 983913, 983917, 983932, 983933, 983941, 983942, 983947, 983948, 983949, 983954, 983959, 983983, 983984, 984026, 984050, 984058, 984066, 984074, 984082, 984090, 984098, 984106, 984114, 2165901, 2165907]"/>
    <s v="[943906, 943916, 589868, 589806, 589805, 589843, 943940, 589856, 943950, 943953, 298882, 298995, 298812, 943964, 944000, 944007, 584733, 584732, 944013, 944014, 944020, 944021, 944036, 944037, 944043, 944051, 944052, 944077, 944078, 944083, 944089, 944097, 944103, 944109, 944113, 944122, 944127, 944132, 944140, 944149, 944160, 944164, 944168, 944170, 944181, 944206, 944213, 944217, 944224, 944232, 944242, 944246, 944254, 944265, 944266, 944268, 944269, 944299, 944304, 944305, 944308, 944323, 944324, 944333, 944334, 944335, 944336, 944337, 944341, 944342, 373052, 944363, 373064, 944415, 944421, 944427, 944434, 944439, 944446, 944449, 944455, 944460, 1853426, 1853430]"/>
    <s v="#FIELD!"/>
    <s v="[943905, 943906, 943916, 589868, 589806, 589805, 589843, 943940, 589856, 943950, 943953, 298882, 298995, 298812, 943964, 944000, 944007, 584733, 584732, 944013, 944014, 944020, 944021, 944036, 944037, 944043, 944051, 944052, 944077, 944078, 944083, 944089, 944097, 944103, 944109, 944113, 944122, 944127, 944132, 944140, 944149, 944160, 944164, 944168, 944170, 944181, 944206, 944213, 944217, 944224, 944232, 944242, 944246, 944254, 944265, 944266, 944268, 944269, 944299, 944304, 944305, 944308, 944323, 944324, 944333, 944334, 944335, 944336, 944337, 944341, 944342, 373052, 944363, 373064, 944415, 944421, 944427, 944434, 944439, 944446, 944449, 944455, 944460, 1853426]"/>
    <s v="[0.0, 0.056, 0.048, 0.017, 0.046, 0.044, 0.047, 0.054, 0.022, 0.012, 0.035, 0.064, 0.074, 0.075, 0.062, 0.008, 0.029, 0.014, 0.01, 0.001, 0.019, 0.01, 0.016, 0.03, 0.029, 0.026, 0.01, 0.013, 0.017, 0.045, 0.019, 0.038, 0.035, 0.041, 0.027, 0.021, 0.016, 0.035, 0.015, 0.008, 0.0, 0.018, 0.024, 0.106, 0.044, 0.041, 0.025, 0.021, 0.021, 0.009, 0.002, 0.015, 0.03, 0.018, 0.029, 0.004, 0.088, 0.11, 0.099, 0.14, 0.137, 0.049, 0.057, 0.113, 0.035, 0.033, 0.008, 0.004, 0.044, 0.048, 0.037, 0.049, 0.056, 0.036, 0.026, 0.007, 0.001, 0.0, 0.007, 0.029, 0.047, 0.06, 0.029, 0.064]"/>
    <s v="16967.24061787172"/>
    <s v="[0.0, 0.056, 0.048, 0.017, 0.046, 0.044, 0.047, 0.054, 0.022, 0.012, 0.035, 0.064, 0.074, 0.075, -0.062, 0.008, -0.029, -0.014, 0.01, 0.001, 0.019, -0.01, -0.016, -0.03, -0.029, -0.026, -0.01, -0.013, -0.017, -0.045, -0.019, -0.038, -0.035, -0.041, -0.027, -0.021, -0.016, -0.035, -0.015, -0.008, -0.0, -0.018, 0.024, 0.106, -0.044, -0.041, -0.025, -0.021, -0.021, -0.009, -0.002, 0.015, 0.03, 0.018, -0.029, -0.004, -0.088, -0.11, -0.099, -0.14, -0.137, -0.049, -0.057, -0.113, -0.035, -0.033, -0.008, -0.004, -0.044, -0.048, -0.037, -0.049, -0.056, -0.036, -0.026, -0.007, 0.001, 0.0, -0.007, -0.029, -0.047, -0.06, -0.029, -0.064]"/>
  </r>
  <r>
    <x v="2722"/>
    <x v="3333"/>
    <x v="0"/>
    <s v="[0, 0, 1, 0, 0, 0, 0, 0, 0, 0, 0, 0, 0, 0, 0, 0]"/>
    <s v="LINESTRING (23.04570961493532 69.94388503032019, 23.045552652268313 69.9436194909452, 23.0478858001522 69.94149116733635, 23.053762176768167 69.93972541164142, 23.055814754648534 69.93914375553446, 23.056005763990246 69.93908910932251, 23.057084893341827 69.93876354101813, 23.057287934394623 69.93869825101973, 23.059618379315392 69.93783449262835, 23.061156266601333 69.93711267034364, 23.087211856786094 69.93126388943645, 23.090591228561863 69.93092703548902, 23.095210404161953 69.9302579119049, 23.09553136809439 69.93020120189078, 23.097694945650524 69.9297839217117, 23.09809285389501 69.92970008981317, 23.099241750150586 69.92944986881297)"/>
    <s v="[983491, 983507, 983508, 983516, 983517, 983523, 983524, 983525, 983533, 983583, 983584, 983596, 983602, 983603, 983623, 983647]"/>
    <s v="[943930, 943941, 943942, 943946, 346945, 346960, 943951, 943952, 943959, 944009, 944010, 944017, 346967, 346985, 944044, 944071]"/>
    <s v="0.004438068794769923"/>
    <s v="[943911, 943930, 943941, 943942, 943946, 346945, 346960, 943951, 943952, 943959, 944009, 944010, 944017, 346967, 346985, 944044]"/>
    <s v="[0.014, 0.099, 0.022, 0.0, 0.0, 0.058, 0.111, 0.199, 0.342, 0.029, 0.259, 0.087, 0.058, 0.034, 0.019, 0.001]"/>
    <s v="2767.821893682136"/>
    <s v="[-0.014, -0.099, -0.022, 0.0, 0.0, 0.058, 0.111, 0.199, 0.342, 0.029, -0.259, -0.087, -0.058, -0.034, -0.019, -0.001]"/>
  </r>
  <r>
    <x v="2723"/>
    <x v="3021"/>
    <x v="0"/>
    <s v="[1, 0, 0, 0, 0, 0, 0]"/>
    <s v="LINESTRING (23.099241750150586 69.92944986881297, 23.10038679086673 69.9292267810927, 23.10188634398574 69.92892496277429, 23.10205146803813 69.92889090268552, 23.10211454721532 69.92887789395257, 23.1031505526359 69.928664257371, 23.103382674740512 69.92861631991157, 23.105917934733007 69.9280854331125)"/>
    <s v="[2115756, 2115764, 2115772, 2115780, 2115788, 2115796, 2115804]"/>
    <s v="[1824663, 1824668, 1824673, 1824679, 1824684, 1824690, 1824695]"/>
    <s v="0.04454278669869471"/>
    <s v="[944071, 1824663, 1824668, 1824673, 1824679, 1824684, 1824690]"/>
    <s v="[0.318, 0.03, 0.027, 0.027, 0.025, 0.025, 0.008]"/>
    <s v="297.92233044864076"/>
    <s v="[0.318, -0.03, -0.027, -0.027, -0.025, -0.025, 0.008]"/>
  </r>
  <r>
    <x v="2723"/>
    <x v="3021"/>
    <x v="0"/>
    <s v="[1, 0, 0, 0, 0, 0]"/>
    <s v="LINESTRING (23.099241750150586 69.92944986881297, 23.100290987106927 69.92918816626776, 23.101757472483758 69.92885750467562, 23.101913601969173 69.92882467104465, 23.101977821368642 69.9288112123869, 23.103020239996244 69.92859695665477, 23.105917934733007 69.9280854331125)"/>
    <s v="[2115884, 2115892, 2115900, 2115908, 2115916, 2115924]"/>
    <s v="[1824737, 1824742, 1824746, 1824752, 1824756, 1824695]"/>
    <s v="0.04425410960632628"/>
    <s v="[944071, 1824737, 1824742, 1824746, 1824752, 1824756]"/>
    <s v="[0.327, 0.028, 0.023, 0.032, 0.025, 0.002]"/>
    <s v="298.45027085506115"/>
    <s v="[0.327, -0.028, -0.023, -0.032, -0.025, 0.002]"/>
  </r>
  <r>
    <x v="2724"/>
    <x v="928"/>
    <x v="0"/>
    <n v="0"/>
    <s v="LINESTRING (7.08888458229511 62.62200181800966, 7.088324046583197 62.62289637977269, 7.088240496030119 62.62294259081581)"/>
    <s v="[1332999, 1333007]"/>
    <s v="[1237930, 945719]"/>
    <s v="#FIELD!"/>
    <s v="[944549, 1237930]"/>
    <s v="[0.002, 0.815]"/>
    <s v="111.82114898810251"/>
    <s v="[0.002, -0.815]"/>
  </r>
  <r>
    <x v="2724"/>
    <x v="3334"/>
    <x v="0"/>
    <n v="0"/>
    <s v="LINESTRING (7.08888458229511 62.62200181800966, 7.088649217579292 62.62294278374248, 7.088676822731995 62.623028327466756)"/>
    <s v="[2071602, 2071603]"/>
    <s v="[1798529, 945654]"/>
    <s v="#FIELD!"/>
    <s v="[944549, 1798529]"/>
    <s v="[0.003, 0.587]"/>
    <s v="116.01885455343465"/>
    <s v="[0.003, -0.587]"/>
  </r>
  <r>
    <x v="2724"/>
    <x v="3335"/>
    <x v="272"/>
    <s v="[0, 0, 0, 0, 0, 1, 0, 0, 0, 0, 0, 0, 0, 0, 0, 0, 1]"/>
    <s v="LINESTRING (7.096321501611917 62.609652743395124, 7.096112587731257 62.60974016072062, 7.096038880342202 62.609771084379936, 7.095954384831066 62.609806449665875, 7.095116839734799 62.61014700971967, 7.094988454661964 62.61019585703311, 7.094711975036043 62.61030423735933, 7.093520687295391 62.61077072177766, 7.092708037410146 62.611128135759, 7.092335735195584 62.61132726330375, 7.087998707413274 62.6158755836154, 7.087983623962771 62.61591864528917, 7.087958442698111 62.61599339985345, 7.087992144931147 62.61820221517052, 7.0883891732194835 62.61953200757088, 7.088896073841647 62.621533667735676, 7.088902723045388 62.62174379355124, 7.08888458229511 62.62200181800966)"/>
    <s v="[2165968, 2165974, 2165980, 2165986, 984122, 984130, 984138, 984146, 984154, 984162, 984170, 984178, 984186, 984194, 984202, 984210, 984218]"/>
    <s v="[1853469, 1853474, 1853477, 944465, 944466, 944471, 944475, 944481, 944488, 944494, 944500, 944507, 944515, 944523, 944532, 944541, 944549]"/>
    <s v="#FIELD!"/>
    <s v="[1853468, 1853469, 1853474, 1853477, 944465, 944466, 944471, 944475, 944481, 944488, 944494, 944500, 944507, 944515, 944523, 944532, 944541]"/>
    <s v="[0.044, 0.039, 0.041, 0.023, 0.036, 0.036, 0.038, 0.044, 0.064, 0.001, 0.014, 0.017, 0.013, 0.004, 0.034, 0.046, 0.046]"/>
    <s v="1523.8005775124257"/>
    <s v="[0.044, 0.039, 0.041, -0.023, 0.036, 0.036, 0.038, 0.044, 0.064, 0.001, -0.014, -0.017, -0.013, -0.004, -0.034, -0.046, -0.046]"/>
  </r>
  <r>
    <x v="2725"/>
    <x v="727"/>
    <x v="0"/>
    <n v="0"/>
    <m/>
    <n v="989122"/>
    <n v="945218"/>
    <s v="#FIELD!"/>
    <n v="945099"/>
    <s v="0.033"/>
    <s v="12.31196615496128"/>
    <s v="#FIELD!"/>
  </r>
  <r>
    <x v="2725"/>
    <x v="726"/>
    <x v="0"/>
    <n v="0"/>
    <m/>
    <n v="989115"/>
    <n v="945099"/>
    <s v="1.667"/>
    <n v="948257"/>
    <s v="1.667"/>
    <s v="5.686554756898501"/>
    <s v="1.667"/>
  </r>
  <r>
    <x v="2726"/>
    <x v="3336"/>
    <x v="0"/>
    <n v="0"/>
    <s v="LINESTRING (6.361018504974748 62.43858635122027, 6.360872174130665 62.43849388742635, 6.3592856017855945 62.43712286024722, 6.359277553244845 62.437094141027075)"/>
    <s v="[985054, 985061, 985071]"/>
    <s v="[945215, 945222, 945232]"/>
    <s v="0.03473750231904607"/>
    <s v="[945214, 945215, 945222]"/>
    <s v="[0.016, 0.036, 0.041]"/>
    <s v="190.04499952810062"/>
    <s v="[0.016, 0.036, 0.041]"/>
  </r>
  <r>
    <x v="2726"/>
    <x v="3337"/>
    <x v="0"/>
    <s v="[0, 0, 1, 0, 0]"/>
    <s v="LINESTRING (6.361018504974748 62.43858635122027, 6.361627459155074 62.439323466107226, 6.362473494381094 62.44036935519407, 6.362629705164061 62.44060331763864, 6.362865259912463 62.44113143523018, 6.362910245913037 62.44177265382842)"/>
    <s v="[1312612, 1312620, 1312628, 1312636, 1312644]"/>
    <s v="[1220613, 1220621, 1220629, 1220636, 945350]"/>
    <s v="0.002756648523518926"/>
    <s v="[945214, 1220613, 1220621, 1220629, 1220636]"/>
    <s v="[0.026, 0.017, 0.03, 0.004, 0.02]"/>
    <s v="372.2077894264333"/>
    <s v="[0.026, -0.017, -0.03, 0.004, 0.02]"/>
  </r>
  <r>
    <x v="2726"/>
    <x v="3338"/>
    <x v="0"/>
    <n v="0"/>
    <m/>
    <n v="1312604"/>
    <n v="945214"/>
    <s v="0.001"/>
    <n v="1220599"/>
    <s v="0.001"/>
    <s v="46.202364008756035"/>
    <s v="0.001"/>
  </r>
  <r>
    <x v="2727"/>
    <x v="3338"/>
    <x v="0"/>
    <s v="[0, 0, 0, 0, 0, 0, 1, 0]"/>
    <s v="LINESTRING (6.360709247742705 62.43819825362376, 6.360783411743527 62.438176617350294, 6.361426065786189 62.43798791164085, 6.36166885981929 62.43788795655861, 6.361649070845992 62.43701354952404, 6.360706692341967 62.43700043301876, 6.360232898815453 62.437033889045786, 6.359503488821339 62.43708061566871, 6.359277553244845 62.437094141027075)"/>
    <s v="[2075884, 2075892, 2075900, 2075908, 2075916, 2075924, 2075932, 2075940]"/>
    <s v="[1800997, 1801004, 1801011, 228482, 1553474, 1801026, 1801033, 945232]"/>
    <s v="0.022826338764082094"/>
    <s v="[1220599, 1800997, 1801004, 1801011, 228482, 1553474, 1801026, 1801033]"/>
    <s v="[0.165, 0.03, 0.032, 0.011, 0.012, 0.004, 0.005, 0.456]"/>
    <s v="288.2410561609143"/>
    <s v="[-0.165, 0.03, 0.032, 0.011, -0.012, -0.004, -0.005, 0.456]"/>
  </r>
  <r>
    <x v="2728"/>
    <x v="3339"/>
    <x v="0"/>
    <n v="0"/>
    <s v="LINESTRING (6.1274475628893885 62.19790177650535, 6.127529138186757 62.19791316586859, 6.127614925033639 62.19794231531856, 6.127660104294869 62.19797615730583, 6.127637871165176 62.19817330585637, 6.127564448664244 62.19820652972677, 6.127475353265665 62.19822600814917, 6.127374191271596 62.19822615323305)"/>
    <s v="[985140, 985148, 985164, 985167, 985168, 985171, 985179]"/>
    <s v="[945284, 945290, 327464, 945304, 945305, 945306, 945313]"/>
    <s v="#FIELD!"/>
    <s v="[945283, 945284, 945290, 327464, 945304, 945305, 945306]"/>
    <s v="[0.032, 0.027, 0.024, 0.002, 0.024, 0.025, 0.036]"/>
    <s v="53.01179858022316"/>
    <s v="[0.032, 0.027, 0.024, 0.002, -0.024, -0.025, -0.036]"/>
  </r>
  <r>
    <x v="2728"/>
    <x v="3312"/>
    <x v="0"/>
    <n v="0"/>
    <s v="LINESTRING (6.127233406241575 62.197931038207784, 6.127359837248452 62.19790176688384, 6.1274475628893885 62.19790177650535)"/>
    <s v="[985202, 985208]"/>
    <s v="[945331, 945283]"/>
    <s v="0.03130014846909387"/>
    <s v="[945330, 945331]"/>
    <s v="[0.029, 0.035]"/>
    <s v="11.9389021625049"/>
    <s v="[0.029, 0.035]"/>
  </r>
  <r>
    <x v="2729"/>
    <x v="3340"/>
    <x v="0"/>
    <n v="0"/>
    <s v="LINESTRING (6.127374191271596 62.19822615323305, 6.127268622810662 62.19820474763366, 6.127193393171945 62.198168226095916)"/>
    <s v="[985187, 985188]"/>
    <s v="[945322, 945323]"/>
    <s v="#FIELD!"/>
    <s v="[945313, 945322]"/>
    <s v="[0.031, 0.027]"/>
    <s v="11.665098965438226"/>
    <s v="[-0.031, -0.027]"/>
  </r>
  <r>
    <x v="2729"/>
    <x v="3341"/>
    <x v="0"/>
    <n v="0"/>
    <s v="LINESTRING (6.127374191271596 62.19822615323305, 6.127344620301755 62.19825621325187, 6.127218350805382 62.198371654203584, 6.127130079145393 62.19844319016636)"/>
    <s v="[1292106, 1292114, 1292122]"/>
    <s v="[1205246, 1205253, 1205259]"/>
    <s v="0.042950358877586484"/>
    <s v="[945313, 1205246, 1205253]"/>
    <s v="[0.399, 0.011, 0.015]"/>
    <s v="27.396788814998544"/>
    <s v="[0.399, -0.011, -0.015]"/>
  </r>
  <r>
    <x v="2730"/>
    <x v="3312"/>
    <x v="0"/>
    <n v="0"/>
    <s v="LINESTRING (6.127193393171945 62.198168226095916, 6.127168472762705 62.19797553750848, 6.127233406241575 62.197931038207784)"/>
    <s v="[985195, 985198]"/>
    <s v="[945328, 945330]"/>
    <s v="#FIELD!"/>
    <s v="[945323, 945328]"/>
    <s v="[0.005, 0.014]"/>
    <s v="28.25258639008068"/>
    <s v="[-0.005, 0.014]"/>
  </r>
  <r>
    <x v="2730"/>
    <x v="3341"/>
    <x v="0"/>
    <n v="0"/>
    <s v="LINESTRING (6.127193393171945 62.198168226095916, 6.127174302021721 62.19822920316339, 6.12713628962578 62.19836301706809, 6.127130079145393 62.19844319016636)"/>
    <s v="[1332422, 1332430, 1332438]"/>
    <s v="[1237408, 1237417, 1205259]"/>
    <s v="0.04923992675203952"/>
    <s v="[945323, 1237408, 1237417]"/>
    <s v="[0.001, 0.001, 0.169]"/>
    <s v="30.921148528120263"/>
    <s v="[-0.001, 0.001, 0.169]"/>
  </r>
  <r>
    <x v="2731"/>
    <x v="3342"/>
    <x v="0"/>
    <n v="0"/>
    <s v="LINESTRING (6.36686132044438 62.44312846451827, 6.367208454958807 62.44309448306882, 6.367278121062111 62.443145276553736, 6.36728241787232 62.44319090045185, 6.367233191047218 62.443238508348564, 6.367133346826665 62.44327017518298, 6.367011202860651 62.44327227100634, 6.366943383796817 62.443258952517034)"/>
    <s v="[985219, 985220, 985230, 985231, 985236, 985252, 985253]"/>
    <s v="[945348, 945349, 945358, 945359, 945361, 945378, 945379]"/>
    <s v="#FIELD!"/>
    <s v="[945347, 945348, 945349, 945358, 945359, 945361, 945378]"/>
    <s v="[0.039, 0.096, 0.094, 0.108, 0.069, 0.015, 0.016]"/>
    <s v="55.2067330218777"/>
    <s v="[0.039, -0.096, -0.094, -0.108, -0.069, -0.015, 0.016]"/>
  </r>
  <r>
    <x v="2731"/>
    <x v="3337"/>
    <x v="0"/>
    <n v="0"/>
    <s v="LINESTRING (6.362910245913037 62.44177265382842, 6.362955507466374 62.441873562943925, 6.36674792248553 62.44316019838468, 6.36686132044438 62.44312846451827)"/>
    <s v="[985222, 985229, 985260]"/>
    <s v="[945351, 945357, 945347]"/>
    <s v="0.004057007898716439"/>
    <s v="[945350, 945351, 945357]"/>
    <s v="[0.033, 0.002, 0.065]"/>
    <s v="383.39525042959747"/>
    <s v="[0.033, 0.002, 0.065]"/>
  </r>
  <r>
    <x v="2731"/>
    <x v="3343"/>
    <x v="0"/>
    <n v="0"/>
    <m/>
    <n v="985268"/>
    <n v="945347"/>
    <s v="0.101"/>
    <n v="945385"/>
    <s v="0.101"/>
    <s v="6.907251985794764"/>
    <s v="0.101"/>
  </r>
  <r>
    <x v="2732"/>
    <x v="3344"/>
    <x v="0"/>
    <n v="0"/>
    <s v="LINESTRING (6.362910245913037 62.44177265382842, 6.362898072045492 62.44184828612172, 6.3628385298637555 62.442099903353395)"/>
    <s v="[1312652, 1312660]"/>
    <s v="[1220648, 945417]"/>
    <s v="0.012152733370000725"/>
    <s v="[945350, 1220648]"/>
    <s v="[0.016, 0.011]"/>
    <s v="36.738542918121816"/>
    <s v="[0.016, 0.011]"/>
  </r>
  <r>
    <x v="2733"/>
    <x v="3343"/>
    <x v="0"/>
    <n v="0"/>
    <m/>
    <n v="985261"/>
    <n v="945385"/>
    <s v="0.077"/>
    <n v="945379"/>
    <s v="0.077"/>
    <s v="9.256976288561082"/>
    <s v="0.077"/>
  </r>
  <r>
    <x v="2733"/>
    <x v="3345"/>
    <x v="0"/>
    <n v="0"/>
    <s v="LINESTRING (6.366943383796817 62.443258952517034, 6.366812142949617 62.4432646370016, 6.3641345479751275 62.44355228625573)"/>
    <s v="[985295, 985296]"/>
    <s v="[945405, 945406]"/>
    <s v="#FIELD!"/>
    <s v="[945379, 945405]"/>
    <s v="[0.015, 0.051]"/>
    <s v="149.96210636046263"/>
    <s v="[-0.015, -0.051]"/>
  </r>
  <r>
    <x v="2734"/>
    <x v="3346"/>
    <x v="0"/>
    <n v="0"/>
    <s v="LINESTRING (6.358652334376796 62.445439076448345, 6.358683455650713 62.445332072849105, 6.366763123683256 62.443202788947936, 6.366844642288222 62.44318982958236)"/>
    <s v="[985269, 985273, 985275]"/>
    <s v="[945390, 945393, 945385]"/>
    <s v="0.0076240856525814395"/>
    <s v="[945389, 945390, 945393]"/>
    <s v="[0.026, 0.007, 0.041]"/>
    <s v="610.0343849341823"/>
    <s v="[0.026, 0.007, 0.041]"/>
  </r>
  <r>
    <x v="2735"/>
    <x v="3347"/>
    <x v="0"/>
    <n v="0"/>
    <m/>
    <n v="1312692"/>
    <n v="945433"/>
    <s v="#FIELD!"/>
    <n v="945389"/>
    <s v="0.031"/>
    <s v="45.11771076929724"/>
    <s v="#FIELD!"/>
  </r>
  <r>
    <x v="2735"/>
    <x v="3344"/>
    <x v="0"/>
    <s v="[0, 1, 0]"/>
    <s v="LINESTRING (6.3628385298637555 62.442099903353395, 6.362199827873279 62.44308924219033, 6.361718939055856 62.443497421592006, 6.358652334376796 62.445439076448345)"/>
    <s v="[1312668, 1312676, 1312684]"/>
    <s v="[1220660, 1220665, 945389]"/>
    <s v="#FIELD!"/>
    <s v="[945417, 1220660, 1220665]"/>
    <s v="[0.058, 0.032, 0.015]"/>
    <s v="437.2647919278397"/>
    <s v="[-0.058, -0.032, 0.015]"/>
  </r>
  <r>
    <x v="2736"/>
    <x v="3316"/>
    <x v="0"/>
    <n v="0"/>
    <s v="LINESTRING (6.357891986986832 62.46086719161767, 6.357977267741113 62.46090136254645, 6.358028290725874 62.46096875957131, 6.35798044621444 62.4610559726063, 6.357898478871997 62.46109147115342)"/>
    <s v="[985274, 985281, 985292, 985303]"/>
    <s v="[945395, 945396, 945404, 945412]"/>
    <s v="0.012342846032647906"/>
    <s v="[945394, 945395, 945396, 945404]"/>
    <s v="[0.021, 0.001, 0.024, 0.044]"/>
    <s v="29.660298395840215"/>
    <s v="[-0.021, -0.001, 0.024, 0.044]"/>
  </r>
  <r>
    <x v="2736"/>
    <x v="3348"/>
    <x v="0"/>
    <n v="0"/>
    <s v="LINESTRING (6.357612407772827 62.460864870486496, 6.357750616819428 62.46084833190084, 6.357891986986832 62.46086719161767)"/>
    <s v="[985330, 985354]"/>
    <s v="[945430, 945394]"/>
    <s v="#FIELD!"/>
    <s v="[945426, 945430]"/>
    <s v="[0.038, 0.028]"/>
    <s v="14.989101032942077"/>
    <s v="[-0.038, -0.028]"/>
  </r>
  <r>
    <x v="2736"/>
    <x v="3349"/>
    <x v="0"/>
    <n v="0"/>
    <s v="LINESTRING (6.357735125360803 62.460579218187675, 6.357858010585217 62.46079781337234, 6.357891986986832 62.46086719161767)"/>
    <s v="[1292957, 1292969]"/>
    <s v="[1206000, 945394]"/>
    <s v="#FIELD!"/>
    <s v="[1205999, 1206000]"/>
    <s v="[0.038, 0.33]"/>
    <s v="33.17063378530452"/>
    <s v="[0.038, -0.33]"/>
  </r>
  <r>
    <x v="2737"/>
    <x v="3344"/>
    <x v="0"/>
    <s v="[0, 1, 0, 0]"/>
    <s v="LINESTRING (6.3641345479751275 62.44355228625573, 6.361594901873405 62.443485091941206, 6.362092103406009 62.44307634961449, 6.362737265066717 62.442195157882416, 6.3628385298637555 62.442099903353395)"/>
    <s v="[985297, 985305, 985306, 985312]"/>
    <s v="[945407, 945414, 945415, 945417]"/>
    <s v="0.015193517000161453"/>
    <s v="[945406, 945407, 945414, 945415]"/>
    <s v="[0.002, 0.028, 0.061, 0.036]"/>
    <s v="498.9945282921209"/>
    <s v="[-0.002, 0.028, 0.061, 0.036]"/>
  </r>
  <r>
    <x v="2737"/>
    <x v="3347"/>
    <x v="0"/>
    <n v="0"/>
    <s v="LINESTRING (6.3641345479751275 62.44355228625573, 6.364056082970818 62.44356915706984, 6.358473045403217 62.44570949384759, 6.358328961285955 62.445814271158476)"/>
    <s v="[985324, 985332, 985333]"/>
    <s v="[945427, 945432, 945433]"/>
    <s v="0.004582454876453106"/>
    <s v="[945406, 945427, 945432]"/>
    <s v="[0.004, 0.006, 0.036]"/>
    <s v="417.384312108702"/>
    <s v="[0.004, 0.006, -0.036]"/>
  </r>
  <r>
    <x v="2738"/>
    <x v="3317"/>
    <x v="0"/>
    <n v="0"/>
    <s v="LINESTRING (6.357898478871997 62.46109147115342, 6.35773367794515 62.461109395446016, 6.357545284528858 62.461070000660925)"/>
    <s v="[985315, 985316]"/>
    <s v="[945419, 945420]"/>
    <s v="0.04435524676142858"/>
    <s v="[945412, 945419]"/>
    <s v="[0.057, 0.034]"/>
    <s v="19.442722195911706"/>
    <s v="[0.057, 0.034]"/>
  </r>
  <r>
    <x v="2739"/>
    <x v="3348"/>
    <x v="0"/>
    <n v="0"/>
    <s v="LINESTRING (6.357545284528858 62.461070000660925, 6.3574863338494465 62.461034870396816, 6.357467433240999 62.46097249542272, 6.357514570319725 62.46090394125422, 6.357612407772827 62.460864870486496)"/>
    <s v="[985317, 985318, 985321, 985322]"/>
    <s v="[945421, 945422, 945425, 945426]"/>
    <s v="#FIELD!"/>
    <s v="[945420, 945421, 945422, 945425]"/>
    <s v="[0.005, 0.021, 0.038, 0.046]"/>
    <s v="26.71804761421165"/>
    <s v="[0.005, -0.021, -0.038, -0.046]"/>
  </r>
  <r>
    <x v="2740"/>
    <x v="3349"/>
    <x v="0"/>
    <n v="0"/>
    <s v="LINESTRING (6.357735125360803 62.460579218187675, 6.357641463684377 62.46079809732993, 6.357612407772827 62.460864870486496)"/>
    <s v="[1332895, 1332903]"/>
    <s v="[1237832, 945426]"/>
    <s v="#FIELD!"/>
    <s v="[1205999, 1237832]"/>
    <s v="[0.008, 0.179]"/>
    <s v="32.52631417898705"/>
    <s v="[0.008, -0.179]"/>
  </r>
  <r>
    <x v="2741"/>
    <x v="3349"/>
    <x v="273"/>
    <n v="0"/>
    <s v="LINESTRING (6.358328961285955 62.445814271158476, 6.357901595467002 62.44686745270028, 6.356160108928355 62.45430844550758, 6.357735125360803 62.460579218187675)"/>
    <s v="[1312700, 1312708, 1312716]"/>
    <s v="[1220684, 1220692, 1205999]"/>
    <s v="0.0010198383689010242"/>
    <s v="[945433, 1220684, 1220692]"/>
    <s v="[0.042, 0.007, 0.013]"/>
    <s v="1670.1274849926804"/>
    <s v="[0.042, 0.007, -0.013]"/>
  </r>
  <r>
    <x v="2742"/>
    <x v="3321"/>
    <x v="0"/>
    <n v="0"/>
    <m/>
    <n v="985432"/>
    <n v="945504"/>
    <s v="#FIELD!"/>
    <n v="945503"/>
    <s v="0.02"/>
    <s v="11.20254332739349"/>
    <s v="#FIELD!"/>
  </r>
  <r>
    <x v="2742"/>
    <x v="3319"/>
    <x v="0"/>
    <n v="0"/>
    <s v="LINESTRING (6.351674596579687 62.46929360748188, 6.351851598340573 62.46936039690888, 6.351960058249243 62.46945528952276)"/>
    <s v="[985520, 985527]"/>
    <s v="[945581, 945503]"/>
    <s v="#FIELD!"/>
    <s v="[945580, 945581]"/>
    <s v="[0.015, 0.017]"/>
    <s v="23.794434603385533"/>
    <s v="[-0.015, -0.017]"/>
  </r>
  <r>
    <x v="2743"/>
    <x v="3322"/>
    <x v="0"/>
    <n v="0"/>
    <s v="LINESTRING (6.351981114582676 62.469555125061575, 6.351882509995186 62.46967809270672, 6.351674329161071 62.46976592973077)"/>
    <s v="[985433, 985438]"/>
    <s v="[945505, 945511]"/>
    <s v="#FIELD!"/>
    <s v="[945504, 945505]"/>
    <s v="[0.048, 0.071]"/>
    <s v="29.21008369864262"/>
    <s v="[-0.048, -0.071]"/>
  </r>
  <r>
    <x v="2744"/>
    <x v="3350"/>
    <x v="0"/>
    <n v="0"/>
    <s v="LINESTRING (6.351674329161071 62.46976592973077, 6.3514660485105 62.469795021689336, 6.351246416144582 62.46978636884147, 6.351057344118002 62.46974069956985, 6.350964876401344 62.469356825091204)"/>
    <s v="[985439, 985441, 985442, 985458]"/>
    <s v="[945512, 945515, 945516, 945527]"/>
    <s v="0.033366365022746244"/>
    <s v="[945511, 945512, 945515, 945516]"/>
    <s v="[0.046, 0.036, 0.061, 0.045]"/>
    <s v="81.62391080919639"/>
    <s v="[-0.046, 0.036, 0.061, 0.045]"/>
  </r>
  <r>
    <x v="2745"/>
    <x v="3351"/>
    <x v="0"/>
    <n v="0"/>
    <s v="LINESTRING (6.350964876401344 62.469356825091204, 6.351177554495425 62.46928456676304, 6.3514211146980735 62.46926193370124)"/>
    <s v="[985480, 985481]"/>
    <s v="[945544, 945545]"/>
    <s v="#FIELD!"/>
    <s v="[945527, 945544]"/>
    <s v="[0.002, 0.02]"/>
    <s v="26.480169992580123"/>
    <s v="[0.002, -0.02]"/>
  </r>
  <r>
    <x v="2745"/>
    <x v="3352"/>
    <x v="0"/>
    <n v="0"/>
    <s v="LINESTRING (6.350964876401344 62.469356825091204, 6.350974158002829 62.469259597273975, 6.351233485615031 62.46884839137397, 6.351330685659754 62.46880500088571)"/>
    <s v="[1296827, 1296835, 1296843]"/>
    <s v="[1208962, 1208967, 947480]"/>
    <s v="0.028772604514603776"/>
    <s v="[945527, 1208962, 1208967]"/>
    <s v="[0.177, 0.033, 0.319]"/>
    <s v="67.64826320589455"/>
    <s v="[-0.177, 0.033, 0.319]"/>
  </r>
  <r>
    <x v="2746"/>
    <x v="3319"/>
    <x v="0"/>
    <n v="0"/>
    <m/>
    <n v="985519"/>
    <n v="945580"/>
    <s v="#FIELD!"/>
    <n v="945545"/>
    <s v="0.013"/>
    <s v="13.572810946856288"/>
    <s v="#FIELD!"/>
  </r>
  <r>
    <x v="2746"/>
    <x v="3352"/>
    <x v="0"/>
    <n v="0"/>
    <s v="LINESTRING (6.3514211146980735 62.46926193370124, 6.351293092122394 62.46919720783253, 6.351278827358321 62.468856634512825, 6.351330685659754 62.46880500088571)"/>
    <s v="[1333357, 1333365, 1333373]"/>
    <s v="[1238236, 1238244, 947480]"/>
    <s v="0.0377140200025593"/>
    <s v="[945545, 1238236, 1238244]"/>
    <s v="[0.204, 0.043, 0.376]"/>
    <s v="57.351651435732066"/>
    <s v="[-0.204, 0.043, 0.376]"/>
  </r>
  <r>
    <x v="2747"/>
    <x v="930"/>
    <x v="0"/>
    <n v="0"/>
    <s v="LINESTRING (7.088676822731995 62.623028327466756, 7.088694890160549 62.623079979263586, 7.08865101226467 62.62320078588116, 7.088486982825537 62.623270259074374, 7.088423281385854 62.62327969931626)"/>
    <s v="[985600, 985608, 985634, 985642]"/>
    <s v="[945655, 945664, 945694, 945705]"/>
    <s v="#FIELD!"/>
    <s v="[945654, 945655, 945664, 945694]"/>
    <s v="[0.042, 0.046, 0.041, 0.03]"/>
    <s v="34.59836767429217"/>
    <s v="[-0.042, -0.046, -0.041, -0.03]"/>
  </r>
  <r>
    <x v="2747"/>
    <x v="928"/>
    <x v="0"/>
    <n v="0"/>
    <s v="LINESTRING (7.088240496030119 62.62294259081581, 7.0884693120020215 62.62295243494145, 7.088676822731995 62.623028327466756)"/>
    <s v="[985657, 985665]"/>
    <s v="[945721, 945654]"/>
    <s v="#FIELD!"/>
    <s v="[945719, 945721]"/>
    <s v="[0.01, 0.018]"/>
    <s v="25.608701492619442"/>
    <s v="[0.01, -0.018]"/>
  </r>
  <r>
    <x v="2748"/>
    <x v="850"/>
    <x v="0"/>
    <n v="0"/>
    <m/>
    <n v="985670"/>
    <n v="945733"/>
    <s v="0.012"/>
    <n v="945732"/>
    <s v="0.012"/>
    <s v="9.324455211781359"/>
    <s v="0.012"/>
  </r>
  <r>
    <x v="2749"/>
    <x v="947"/>
    <x v="0"/>
    <n v="0"/>
    <m/>
    <n v="985737"/>
    <n v="945783"/>
    <s v="0.035"/>
    <n v="945782"/>
    <s v="0.035"/>
    <s v="1.748732397965013"/>
    <s v="0.035"/>
  </r>
  <r>
    <x v="2750"/>
    <x v="1914"/>
    <x v="0"/>
    <n v="0"/>
    <s v="LINESTRING (9.292427197307381 59.57410087305441, 9.292144853080607 59.57375389106998, 9.292122242860474 59.573716211634675, 9.291853959689005 59.57332817484878, 9.291820920199129 59.57329371200299, 9.291748066122722 59.57322268069113, 9.291389122097312 59.572886119745604)"/>
    <s v="[1033423, 1033431, 1033439, 1033447, 1033455, 1033463]"/>
    <s v="[986711, 986715, 986722, 986699, 986686, 946421]"/>
    <s v="#FIELD!"/>
    <s v="[946415, 986711, 986715, 986722, 986699, 986686]"/>
    <s v="[0.16, 0.029, 0.038, 0.027, 0.033, 0.21]"/>
    <s v="148.4116517818616"/>
    <s v="[0.16, -0.029, -0.038, -0.027, -0.033, -0.21]"/>
  </r>
  <r>
    <x v="2750"/>
    <x v="1914"/>
    <x v="0"/>
    <n v="0"/>
    <s v="LINESTRING (9.292427197307381 59.57410087305441, 9.292281078566816 59.57369308173414, 9.291996695541792 59.57329222510297, 9.291959374101522 59.573256332837026, 9.291876792577101 59.57318521833492, 9.291389122097312 59.572886119745604)"/>
    <s v="[1033471, 1033479, 1033487, 1033495, 1033503]"/>
    <s v="[986747, 986752, 986700, 986687, 946421]"/>
    <s v="#FIELD!"/>
    <s v="[946415, 986747, 986752, 986700, 986687]"/>
    <s v="[0.157, 0.035, 0.038, 0.037, 0.222]"/>
    <s v="151.30983610486868"/>
    <s v="[0.157, -0.035, -0.038, -0.037, -0.222]"/>
  </r>
  <r>
    <x v="2750"/>
    <x v="3353"/>
    <x v="274"/>
    <s v="[0, 0, 0, 0, 1, 0, 0, 0, 0, 0, 0, 0, 0, 0, 0, 0, 0, 0, 0, 0, 0, 0, 1, 0, 0, 0, 0, 0, 0, 0, 0, 0, 0, 0, 0, 0, 0, 0, 0, 0, 0, 1, 0, 0, 0, 1, 0, 0, 0, 0, 0, 0, 0, 0, 0, 0, 1, 0, 0, 0, 0, 0, 0, 0, 0, 0, 0, 0, 0, 0, 0, 0, 0, 0, 0, 1, 0, 0, 0, 0, 0, 0, 0, 0, 0, 0, 0, 0, 0, 0, 0, 0, 0, 0, 0, 0, 0, 0, 0, 0, 0, 0, 0, 0, 0, 0]"/>
    <s v="LINESTRING (9.568939142508722 59.628837568053555, 9.567712497009659 59.62895888099036, 9.567374412155019 59.62898809285296, 9.561974946587938 59.628505054863496, 9.558848942622546 59.62935231662345, 9.558560963359584 59.62945834270729, 9.55535055590341 59.63004156117568, 9.551909552586057 59.6299252116591, 9.55146128316034 59.629817504072825, 9.54765726931677 59.62883985373849, 9.546764333817373 59.628801707696745, 9.543256676686 59.629434717964976, 9.531336177714124 59.630396300758775, 9.531235641613423 59.63041519767878, 9.529046442957615 59.63093611142716, 9.528693762546737 59.631023770011126, 9.528613538824363 59.63104351512877, 9.527233389914125 59.63138385463679, 9.527139153723256 59.63140701723868, 9.52706987477621 59.63142404268742, 9.52490582753286 59.63195778741553, 9.515398636816764 59.63185626678998, 9.514858416893512 59.63167810827559, 9.514713337054513 59.631631574884096, 9.51177916190147 59.631049162666564, 9.504712890943148 59.629848098100865, 9.504206098111924 59.629727584681085, 9.503327276408116 59.62958596321838, 9.501764511072945 59.62951889095326, 9.500349648112012 59.6295977939925, 9.499286669323315 59.629764237535376, 9.498100349596186 59.630050565088276, 9.49697398124323 59.630103044954154, 9.491133643878099 59.62906203743942, 9.490655541852645 59.62898376462558, 9.488686232238603 59.62869696673084, 9.48794727472862 59.628623867435344, 9.48709431431148 59.628538395691756, 9.48650097303242 59.62846593916653, 9.480159059931378 59.627865005646385, 9.478252237708988 59.627602303379604, 9.475364481232702 59.626677681052385, 9.475185385804824 59.62657628315579, 9.474216327762313 59.62585759701011, 9.473538211817338 59.625045468935724, 9.47346303176982 59.62318352105974, 9.473475956664718 59.62313538495268, 9.474061975081112 59.62110179517126, 9.468156499740402 59.61709126627102, 9.463160659367347 59.61413565951442, 9.462934485474706 59.61403157208459, 9.462633508357248 59.613896413246664, 9.46164768714871 59.61348741904073, 9.459881969203465 59.61279964256846, 9.452299863334707 59.61077939126205, 9.451293292896915 59.61046060648855, 9.443053339909822 59.60789080896984, 9.442821190311681 59.60783413240442, 9.440661443525512 59.60732403439392, 9.437448911230193 59.606447805023265, 9.436072279139601 59.60589650395608, 9.430021021472296 59.60488045589795, 9.421260430835218 59.6039823959942, 9.41862293887863 59.603269007463346, 9.41847570633819 59.60322694829074, 9.418337232400608 59.60318721631277, 9.417669436937773 59.602993510470434, 9.405990976137895 59.599599301536735, 9.404734143482997 59.59923468403652, 9.39461634201955 59.59849800797759, 9.383417635538429 59.59563581541803, 9.37516034920686 59.59579629493698, 9.375074704861042 59.59570058901439, 9.36452670591352 59.59234482735114, 9.355736921173992 59.592113190606064, 9.355276061533466 59.59201769871342, 9.355047638368092 59.59193532124433, 9.354696394732375 59.591741177251166, 9.354605551613206 59.59166221647617, 9.354233216386339 59.59116183855207, 9.354201326590553 59.5911137347199, 9.354187221340759 59.591092467189505, 9.353625837170858 59.590569080384746, 9.352593457726792 59.59008317502439, 9.351840083929643 59.58986610558307, 9.350913216721722 59.58966147364806, 9.3505596405793 59.589605754205856, 9.343859918256749 59.58887733055189, 9.342988944638856 59.588575254651325, 9.339472352619802 59.587422071342914, 9.338340400269857 59.587169660314366, 9.334986083729993 59.58636855761113, 9.32548585238015 59.58369080740666, 9.325349436605102 59.58367650772743, 9.325196031260996 59.583662441695346, 9.320888244061853 59.583323723088085, 9.320000518816109 59.58302474263094, 9.312580101789141 59.58334321441442, 9.309816576807748 59.58420169515076, 9.307662589906732 59.584436818157585, 9.306663694556574 59.584441021547406, 9.305402635657225 59.58445946567265, 9.305093497765661 59.5844867424508, 9.29587903249052 59.57884464620338, 9.29258511176649 59.57435558420434, 9.292505817903569 59.57424023568375, 9.292427197307381 59.57410087305441)"/>
    <s v="[1331451, 1331459, 630337, 630345, 630353, 630361, 630369, 630377, 630385, 630393, 630401, 630409, 630417, 630425, 630433, 630441, 630449, 630457, 630465, 630473, 630481, 630489, 630497, 630505, 630513, 630521, 630529, 630537, 630545, 630553, 630561, 630569, 630577, 630585, 630593, 630601, 630609, 630617, 630625, 630633, 630641, 630649, 630657, 630665, 630673, 630681, 630689, 630697, 630705, 630713, 630721, 630729, 630737, 630745, 630753, 630761, 630769, 630777, 910794, 910802, 910810, 910818, 910826, 910834, 910842, 910850, 910858, 910866, 910874, 910882, 910890, 910898, 910906, 910914, 910922, 910930, 910938, 910946, 910954, 910962, 910970, 910978, 910986, 910994, 911002, 911010, 911018, 911026, 911034, 911042, 911050, 911058, 911066, 911074, 911082, 691591, 691599, 911090, 911098, 911106, 911114, 911122, 911130, 986599, 986606, 986614]"/>
    <s v="[1236483, 625999, 626000, 626005, 626015, 626020, 626026, 626034, 626041, 626047, 626052, 626058, 626064, 626069, 626077, 626083, 626090, 626098, 626105, 626111, 626117, 626120, 626124, 626129, 626134, 626142, 626148, 626154, 626161, 626165, 626171, 626178, 626183, 626187, 626194, 626199, 626205, 626211, 626219, 626225, 626233, 626238, 626245, 626250, 626254, 626261, 626269, 626277, 626284, 626289, 626294, 626299, 626306, 626314, 626319, 626324, 626331, 626338, 798092, 752757, 884301, 809041, 884311, 884317, 884323, 884329, 753345, 803557, 753482, 803758, 753520, 884359, 753318, 753552, 884373, 884381, 805303, 884391, 884399, 884406, 884413, 797956, 753422, 884433, 813641, 753593, 803797, 803798, 751121, 803809, 884472, 884481, 884486, 884495, 685314, 685296, 685321, 884504, 884513, 884520, 884525, 884530, 753699, 946402, 809778, 946415]"/>
    <s v="#FIELD!"/>
    <s v="[1236482, 1236483, 625999, 626000, 626005, 626015, 626020, 626026, 626034, 626041, 626047, 626052, 626058, 626064, 626069, 626077, 626083, 626090, 626098, 626105, 626111, 626117, 626120, 626124, 626129, 626134, 626142, 626148, 626154, 626161, 626165, 626171, 626178, 626183, 626187, 626194, 626199, 626205, 626211, 626219, 626225, 626233, 626238, 626245, 626250, 626254, 626261, 626269, 626277, 626284, 626289, 626294, 626299, 626306, 626314, 626319, 626324, 626331, 626338, 798092, 752757, 884301, 809041, 884311, 884317, 884323, 884329, 753345, 803557, 753482, 803758, 753520, 884359, 753318, 753552, 884373, 884381, 805303, 884391, 884399, 884406, 884413, 797956, 753422, 884433, 813641, 753593, 803797, 803798, 751121, 803809, 884472, 884481, 884486, 884495, 685314, 685296, 685321, 884504, 884513, 884520, 884525, 884530, 753699, 946402, 809778]"/>
    <s v="[0.013, 0.616, 0.045, 0.092, 0.092, 0.045, 0.023, 0.027, 0.013, 0.013, 0.027, 0.001, 0.072, 0.069, 0.066, 0.074, 0.027, 0.037, 0.025, 0.026, 0.005, 0.017, 0.019, 0.01, 0.064, 0.011, 0.009, 0.071, 0.06, 0.031, 0.056, 0.056, 0.019, 0.069, 0.075, 0.062, 0.047, 0.034, 0.011, 0.01, 0.015, 0.014, 0.009, 0.017, 0.014, 0.006, 0.036, 0.039, 0.021, 0.041, 0.036, 0.037, 0.048, 0.043, 0.048, 0.059, 0.091, 0.024, 0.104, 0.018, 0.04, 0.062, 0.003, 0.051, 0.052, 0.071, 0.056, 0.001, 0.057, 0.07, 0.032, 0.063, 0.069, 0.029, 0.016, 0.015, 0.019, 0.034, 0.017, 0.006, 0.0, 0.027, 0.071, 0.087, 0.105, 0.096, 0.066, 0.019, 0.03, 0.014, 0.018, 0.023, 0.033, 0.03, 0.027, 0.014, 0.076, 0.139, 0.045, 0.034, 0.033, 0.034, 0.04, 0.038, 0.054, 0.051]"/>
    <s v="18921.13763973926"/>
    <s v="[-0.013, 0.616, -0.045, 0.092, 0.092, -0.045, -0.023, 0.027, -0.013, 0.013, 0.027, 0.001, -0.072, -0.069, -0.066, -0.074, 0.027, 0.037, 0.025, 0.026, 0.005, -0.017, -0.019, 0.01, 0.064, 0.011, -0.009, -0.071, -0.06, 0.031, 0.056, 0.056, 0.019, -0.069, -0.075, -0.062, -0.047, -0.034, 0.011, 0.01, -0.015, 0.014, 0.009, 0.017, 0.014, -0.006, 0.036, 0.039, 0.021, 0.041, 0.036, 0.037, 0.048, 0.043, 0.048, 0.059, 0.091, 0.024, -0.104, 0.018, 0.04, 0.062, 0.003, 0.051, 0.052, 0.071, -0.056, 0.001, -0.057, -0.07, -0.032, -0.063, -0.069, -0.029, -0.016, -0.015, 0.019, 0.034, 0.017, 0.006, -0.0, 0.027, 0.071, 0.087, 0.105, 0.096, 0.066, 0.019, 0.03, -0.014, 0.018, -0.023, -0.033, -0.03, -0.027, 0.014, -0.076, -0.139, -0.045, -0.034, -0.033, 0.034, -0.04, -0.038, -0.054, -0.051]"/>
  </r>
  <r>
    <x v="2751"/>
    <x v="3354"/>
    <x v="0"/>
    <n v="0"/>
    <s v="LINESTRING (9.201280809028253 59.57154723160673, 9.200592466266718 59.57196233101383, 9.200537068592615 59.57199480792706, 9.199864763173638 59.57239738305333, 9.199757205704394 59.572461345902134, 9.199588885663099 59.5725576008502, 9.199233479093456 59.572760736245705, 9.198713951909168 59.57300554076397)"/>
    <s v="[1708921, 1708929, 1708937, 1708945, 1708953, 1708961, 1708969]"/>
    <s v="[1525387, 1525391, 1525397, 1525381, 1525408, 1525414, 946730]"/>
    <s v="#FIELD!"/>
    <s v="[946722, 1525387, 1525391, 1525397, 1525381, 1525408, 1525414]"/>
    <s v="[0.13, 0.002, 0.004, 0.007, 0.009, 0.012, 0.194]"/>
    <s v="218.72473467571228"/>
    <s v="[0.13, -0.002, -0.004, -0.007, -0.009, -0.012, -0.194]"/>
  </r>
  <r>
    <x v="2751"/>
    <x v="3354"/>
    <x v="0"/>
    <n v="0"/>
    <s v="LINESTRING (9.201280809028253 59.57154723160673, 9.200438674792636 59.57194649547741, 9.199754490509685 59.572349010369024, 9.199695839500945 59.57238398010175, 9.19959181091988 59.57244600207698, 9.19948277599627 59.572511015361506, 9.199139821023069 59.57271592816287, 9.199074690539485 59.57275367951711, 9.198713951909168 59.57300554076397)"/>
    <s v="[1708977, 1708985, 1708993, 1709001, 1709009, 1709017, 1709025, 1709033]"/>
    <s v="[1525427, 1525436, 1525441, 1525450, 1525456, 1525462, 1525468, 946730]"/>
    <s v="#FIELD!"/>
    <s v="[946722, 1525427, 1525436, 1525441, 1525450, 1525456, 1525462, 1525468]"/>
    <s v="[0.114, 0.006, 0.006, 0.007, 0.011, 0.009, 0.019, 0.21]"/>
    <s v="219.2703573535946"/>
    <s v="[0.114, -0.006, -0.006, -0.007, -0.011, -0.009, -0.019, -0.21]"/>
  </r>
  <r>
    <x v="2751"/>
    <x v="1442"/>
    <x v="275"/>
    <n v="0"/>
    <s v="LINESTRING (9.211993286721972 59.56760152178047, 9.211569062119214 59.567720128395344, 9.210672849319007 59.56799261473496, 9.208535921208547 59.56875592169075, 9.20423596254032 59.57033271039508, 9.201280809028253 59.57154723160673)"/>
    <s v="[1391550, 987090, 987092, 987093, 987094]"/>
    <s v="[946718, 946719, 946720, 946721, 946722]"/>
    <s v="0.007663284300107495"/>
    <s v="[1276220, 946718, 946719, 946720, 946721]"/>
    <s v="[0.016, 0.01, 0.005, 0.009, 0.01]"/>
    <s v="749.8545263617652"/>
    <s v="[-0.016, 0.01, 0.005, 0.009, 0.01]"/>
  </r>
  <r>
    <x v="2752"/>
    <x v="3355"/>
    <x v="0"/>
    <n v="0"/>
    <s v="LINESTRING (9.198713951909168 59.57300554076397, 9.198235506245139 59.57328964644597, 9.19820275256984 59.57330924725258, 9.197166525703542 59.5739200103535, 9.195506273001236 59.574825629950396, 9.195424321114087 59.57486219059555, 9.194027084788713 59.57539499513327, 9.19344674522641 59.575567325162176, 9.19136247334443 59.57604710607507)"/>
    <s v="[987102, 987104, 987106, 987110, 987117, 987126, 987134, 987142]"/>
    <s v="[500772, 946732, 946734, 946737, 787826, 489083, 946752, 946757]"/>
    <s v="#FIELD!"/>
    <s v="[946730, 500772, 946732, 946734, 946737, 787826, 489083, 946752]"/>
    <s v="[0.001, 0.017, 0.002, 0.022, 0.033, 0.008, 0.009, 0.021]"/>
    <s v="545.0503549544007"/>
    <s v="[-0.001, -0.017, -0.002, -0.022, 0.033, 0.008, 0.009, -0.021]"/>
  </r>
  <r>
    <x v="2753"/>
    <x v="3356"/>
    <x v="0"/>
    <n v="0"/>
    <s v="LINESTRING (9.19136247334443 59.57604710607507, 9.190459842578118 59.576170062156564, 9.190334692260622 59.57617887821267)"/>
    <s v="[1245046, 1245047]"/>
    <s v="[1164915, 1164916]"/>
    <s v="#FIELD!"/>
    <s v="[946757, 1164915]"/>
    <s v="[0.001, 0.02]"/>
    <s v="60.26750217074835"/>
    <s v="[-0.001, -0.02]"/>
  </r>
  <r>
    <x v="2753"/>
    <x v="3357"/>
    <x v="0"/>
    <n v="0"/>
    <s v="LINESTRING (9.19136247334443 59.57604710607507, 9.190545164256022 59.576275785338375, 9.190459005417573 59.57631496466501)"/>
    <s v="[1245069, 1245077]"/>
    <s v="[1164929, 1164933]"/>
    <s v="0.015013078186447192"/>
    <s v="[946757, 1164929]"/>
    <s v="[0.016, 0.007]"/>
    <s v="59.68557077191562"/>
    <s v="[0.016, 0.007]"/>
  </r>
  <r>
    <x v="2754"/>
    <x v="3358"/>
    <x v="0"/>
    <n v="0"/>
    <s v="LINESTRING (9.189958693394624 59.57624717179026, 9.189852521983617 59.57630036809269, 9.189052320248978 59.576530592130915)"/>
    <s v="[1244982, 1244990]"/>
    <s v="[1164859, 946758]"/>
    <s v="#FIELD!"/>
    <s v="[1164858, 1164859]"/>
    <s v="[0.033, 0.008]"/>
    <s v="60.794471767318015"/>
    <s v="[0.033, -0.008]"/>
  </r>
  <r>
    <x v="2754"/>
    <x v="3359"/>
    <x v="0"/>
    <n v="0"/>
    <s v="LINESTRING (9.190082322644221 59.57640690470309, 9.189951684681597 59.576413684684404, 9.189052320248978 59.576530592130915)"/>
    <s v="[1245023, 1245033]"/>
    <s v="[1164893, 946758]"/>
    <s v="#FIELD!"/>
    <s v="[1164892, 1164893]"/>
    <s v="[0.008, 0.021]"/>
    <s v="60.196134782974866"/>
    <s v="[-0.008, -0.021]"/>
  </r>
  <r>
    <x v="2755"/>
    <x v="3360"/>
    <x v="276"/>
    <n v="0"/>
    <m/>
    <n v="988094"/>
    <n v="947481"/>
    <s v="#FIELD!"/>
    <n v="947480"/>
    <s v="0.024"/>
    <s v="111.0638634497704"/>
    <s v="#FIELD!"/>
  </r>
  <r>
    <x v="2756"/>
    <x v="3361"/>
    <x v="0"/>
    <n v="0"/>
    <s v="LINESTRING (6.3526687941129305 62.46803693687835, 6.352691536661633 62.4679232289189, 6.352691987608216 62.46792094403509, 6.3527492472422065 62.467751998712615, 6.352757832332132 62.467684273019636)"/>
    <s v="[1296851, 1296859, 1296867, 1296875]"/>
    <s v="[1208982, 1208989, 1208994, 1209004]"/>
    <s v="#FIELD!"/>
    <s v="[947481, 1208982, 1208989, 1208994]"/>
    <s v="[0.031, 0.0, 0.007, 0.002]"/>
    <s v="39.68432887409479"/>
    <s v="[-0.031, 0.0, -0.007, -0.002]"/>
  </r>
  <r>
    <x v="2756"/>
    <x v="3362"/>
    <x v="0"/>
    <n v="0"/>
    <s v="LINESTRING (6.3526687941129305 62.46803693687835, 6.352807483893356 62.46794095714057, 6.352810831422879 62.467938645268944, 6.352955382418801 62.46777926024469, 6.353032258984029 62.46772393849029)"/>
    <s v="[1333477, 1333485, 1333493, 1333501]"/>
    <s v="[1238322, 1238328, 1238334, 1218525]"/>
    <s v="#FIELD!"/>
    <s v="[947481, 1238322, 1238328, 1238334]"/>
    <s v="[0.053, 0.0, 0.001, 0.003]"/>
    <s v="39.85784287962751"/>
    <s v="[-0.053, 0.0, -0.001, 0.003]"/>
  </r>
  <r>
    <x v="2757"/>
    <x v="3363"/>
    <x v="0"/>
    <n v="0"/>
    <s v="LINESTRING (6.346842419852577 62.465471055957636, 6.346722672592842 62.465450202445595, 6.346403017466733 62.46539378288478, 6.346129255504305 62.46532642386009)"/>
    <s v="[1296955, 1296963, 1296979]"/>
    <s v="[1209065, 1209073, 947482]"/>
    <s v="0.045263937975774736"/>
    <s v="[1209064, 1209065, 1209073]"/>
    <s v="[0.037, 0.035, 0.06]"/>
    <s v="40.330807330159175"/>
    <s v="[0.037, 0.035, 0.06]"/>
  </r>
  <r>
    <x v="2757"/>
    <x v="3364"/>
    <x v="0"/>
    <n v="0"/>
    <s v="LINESTRING (6.346925475076945 62.46536744080755, 6.346785069373255 62.46536235550431, 6.346431542573255 62.46533663632979, 6.346129255504305 62.46532642386009)"/>
    <s v="[1329396, 1329404, 1329420]"/>
    <s v="[1234679, 1234685, 947482]"/>
    <s v="0.05078686088458962"/>
    <s v="[1218585, 1234679, 1234685]"/>
    <s v="[0.039, 0.04, 0.069]"/>
    <s v="41.4542406630468"/>
    <s v="[0.039, 0.04, 0.069]"/>
  </r>
  <r>
    <x v="2758"/>
    <x v="3365"/>
    <x v="0"/>
    <n v="0"/>
    <s v="LINESTRING (6.314325329269919 62.46598575138294, 6.313812322101922 62.465970701733795, 6.313807905012139 62.46597038857026, 6.31301318703243 62.46591600000941, 6.312805388553107 62.46590115021698, 6.311844186909814 62.465837342365994, 6.311505536939273 62.46578802393911)"/>
    <s v="[1296987, 1296995, 1297003, 1297011, 1297019, 1297027]"/>
    <s v="[1209088, 1209094, 1209099, 343372, 955462, 947539]"/>
    <s v="#FIELD!"/>
    <s v="[947533, 1209088, 1209094, 1209099, 343372, 955462]"/>
    <s v="[0.366, 0.0, 0.008, 0.014, 0.005, 0.172]"/>
    <s v="148.01613296204064"/>
    <s v="[-0.366, 0.0, -0.008, -0.014, -0.005, 0.172]"/>
  </r>
  <r>
    <x v="2758"/>
    <x v="3365"/>
    <x v="0"/>
    <n v="0"/>
    <s v="LINESTRING (6.314325329269919 62.46598575138294, 6.313830619475093 62.46590937551528, 6.313031478217051 62.46584489665205, 6.312938156577549 62.465840778233535, 6.312828606558228 62.46583722313304, 6.312719130436 62.465829814272574, 6.311855344922764 62.46578014955444, 6.311505536939273 62.46578802393911)"/>
    <s v="[1329520, 1329531, 1329540, 1329562, 1329589, 1329597, 1329605]"/>
    <s v="[1234774, 1234782, 1234789, 1234804, 343373, 1234834, 947539]"/>
    <s v="#FIELD!"/>
    <s v="[947533, 1234774, 1234782, 1234789, 1234804, 343373, 1234834]"/>
    <s v="[0.387, 0.012, 0.008, 0.008, 0.011, 0.003, 0.207]"/>
    <s v="148.53348302739874"/>
    <s v="[-0.387, -0.012, 0.008, 0.008, -0.011, -0.003, 0.207]"/>
  </r>
  <r>
    <x v="2759"/>
    <x v="3366"/>
    <x v="277"/>
    <n v="0"/>
    <s v="LINESTRING (6.311505536939273 62.46578802393911, 6.310784765762004 62.46574328497136, 6.310284763906249 62.46570849028822, 6.305142252423139 62.465077669867604, 6.303559390201491 62.46450589602337, 6.303049447666611 62.46425129997896, 6.302773675897928 62.464111038429756, 6.3026741539240065 62.46405955433637, 6.302575332923772 62.464008276825524, 6.301368370306053 62.46371444330238)"/>
    <s v="[988180, 988188, 988191, 988198, 988207, 988215, 988223, 988231, 988239]"/>
    <s v="[343440, 947545, 947546, 947552, 947562, 947571, 947578, 947584, 947589]"/>
    <s v="#FIELD!"/>
    <s v="[947539, 343440, 947545, 947546, 947552, 947562, 947571, 947578, 947584]"/>
    <s v="[0.067, 0.06, 0.002, 0.006, 0.013, 0.002, 0.014, 0.007, 0.024]"/>
    <s v="591.3714311556075"/>
    <s v="[-0.067, -0.06, -0.002, 0.006, -0.013, -0.002, 0.014, 0.007, 0.024]"/>
  </r>
  <r>
    <x v="2760"/>
    <x v="3367"/>
    <x v="0"/>
    <n v="0"/>
    <s v="LINESTRING (6.301368370306053 62.46371444330238, 6.301221455398866 62.46372586273339, 6.301213796357275 62.463725824423086, 6.300821017966774 62.46373386326535, 6.300641025804657 62.46374559891093)"/>
    <s v="[1297035, 1297043, 1297051, 1297059]"/>
    <s v="[1209125, 1209133, 1209138, 1209143]"/>
    <s v="0.09535413941668139"/>
    <s v="[947589, 1209125, 1209133, 1209138]"/>
    <s v="[0.213, 0.073, 0.056, 0.085]"/>
    <s v="37.826216399013425"/>
    <s v="[0.213, 0.073, 0.056, 0.085]"/>
  </r>
  <r>
    <x v="2760"/>
    <x v="3368"/>
    <x v="0"/>
    <n v="0"/>
    <s v="LINESTRING (6.301368370306053 62.46371444330238, 6.30124184787607 62.46367911724358, 6.301234829706091 62.46367715837472, 6.300821159976155 62.46365099389433, 6.3006711546031005 62.4636455200581)"/>
    <s v="[2135177, 2135185, 2135193, 2135201]"/>
    <s v="[1835827, 1835832, 1835838, 1218653]"/>
    <s v="0.0576585240002099"/>
    <s v="[947589, 1835827, 1835832, 1835838]"/>
    <s v="[1.056, 0.012, 0.006, 1.297]"/>
    <s v="37.43159165905602"/>
    <s v="[-1.056, 0.012, 0.006, 1.297]"/>
  </r>
  <r>
    <x v="2761"/>
    <x v="3369"/>
    <x v="0"/>
    <n v="0"/>
    <s v="LINESTRING (10.009720246492492 59.05543226707506, 10.009557373676342 59.05547258658929, 10.009431683047683 59.05546377899728, 10.009333024343329 59.055430013755874, 10.009278868393821 59.05538806904207)"/>
    <s v="[988485, 988493, 988501, 988509]"/>
    <s v="[947774, 947782, 947790, 947796]"/>
    <s v="0.04838761075380157"/>
    <s v="[947773, 947774, 947782, 947790]"/>
    <s v="[0.011, 0.056, 0.072, 0.079]"/>
    <s v="30.074816261301844"/>
    <s v="[0.011, 0.056, 0.072, 0.079]"/>
  </r>
  <r>
    <x v="2761"/>
    <x v="3370"/>
    <x v="0"/>
    <n v="0"/>
    <s v="LINESTRING (10.009789267619869 59.05528306564515, 10.00979673973113 59.05536261470841, 10.009720246492492 59.05543226707506)"/>
    <s v="[988564, 988565]"/>
    <s v="[947842, 947773]"/>
    <s v="#FIELD!"/>
    <s v="[947841, 947842]"/>
    <s v="[0.068, 0.033]"/>
    <s v="17.797088892162748"/>
    <s v="[-0.068, -0.033]"/>
  </r>
  <r>
    <x v="2761"/>
    <x v="3371"/>
    <x v="0"/>
    <s v="[0, 1, 0]"/>
    <s v="LINESTRING (10.012266327002122 59.05571093646768, 10.012175288294223 59.05568961279869, 10.009859618438355 59.055421449586746, 10.009720246492492 59.05543226707506)"/>
    <s v="[989056, 989064, 989038]"/>
    <s v="[948221, 948210, 947773]"/>
    <s v="0.05000099121215974"/>
    <s v="[947843, 948221, 948210]"/>
    <s v="[0.046, 0.051, 0.036]"/>
    <s v="150.25055732743792"/>
    <s v="[0.046, 0.051, 0.036]"/>
  </r>
  <r>
    <x v="2762"/>
    <x v="3372"/>
    <x v="0"/>
    <n v="0"/>
    <s v="LINESTRING (10.009278868393821 59.05538806904207, 10.009256618891762 59.055314067540095, 10.009307388093507 59.0552483711576)"/>
    <s v="[988519, 988525]"/>
    <s v="[947806, 947811]"/>
    <s v="0.062058948197094295"/>
    <s v="[947796, 947806]"/>
    <s v="[0.081, 0.042]"/>
    <s v="16.22841998996595"/>
    <s v="[0.081, 0.042]"/>
  </r>
  <r>
    <x v="2762"/>
    <x v="3079"/>
    <x v="0"/>
    <n v="0"/>
    <s v="LINESTRING (10.009278868393821 59.05538806904207, 10.009179841792623 59.055356115808856, 10.009078068089524 59.05533657090275, 10.009063580111738 59.055334113616574, 10.008810183736964 59.05528784606567)"/>
    <s v="[2166842, 2166848, 2166854, 2166860]"/>
    <s v="[1853964, 1853970, 1853976, 1853959]"/>
    <s v="#FIELD!"/>
    <s v="[947796, 1853964, 1853970, 1853976]"/>
    <s v="[0.437, 0.05, 0.112, 0.046]"/>
    <s v="29.815165834736653"/>
    <s v="[-0.437, 0.05, 0.112, 0.046]"/>
  </r>
  <r>
    <x v="2763"/>
    <x v="3370"/>
    <x v="0"/>
    <n v="0"/>
    <s v="LINESTRING (10.009307388093507 59.0552483711576, 10.009522580103047 59.05519054760668, 10.009643433626417 59.05520258726885, 10.009753452857105 59.05524830630167, 10.009789267619869 59.05528306564515)"/>
    <s v="[988543, 988560, 988561, 988563]"/>
    <s v="[947824, 947839, 947840, 947841]"/>
    <s v="#FIELD!"/>
    <s v="[947811, 947824, 947839, 947840]"/>
    <s v="[0.01, 0.059, 0.084, 0.075]"/>
    <s v="33.899406763280616"/>
    <s v="[-0.01, -0.059, -0.084, -0.075]"/>
  </r>
  <r>
    <x v="2763"/>
    <x v="3079"/>
    <x v="0"/>
    <n v="0"/>
    <s v="LINESTRING (10.009307388093507 59.0552483711576, 10.009195698245065 59.05526375577545, 10.00908956170588 59.05527109559723, 10.009078265585758 59.05527155043628, 10.008810183736964 59.05528784606567)"/>
    <s v="[2166818, 2166824, 2166830, 2166836]"/>
    <s v="[1853942, 1853946, 1853953, 1853959]"/>
    <s v="#FIELD!"/>
    <s v="[947811, 1853942, 1853946, 1853953]"/>
    <s v="[0.514, 0.027, 0.031, 0.027]"/>
    <s v="29.397028393492413"/>
    <s v="[-0.514, 0.027, 0.031, 0.027]"/>
  </r>
  <r>
    <x v="2764"/>
    <x v="3373"/>
    <x v="0"/>
    <s v="[0, 1, 0]"/>
    <s v="LINESTRING (10.012340122225874 59.05557568291983, 10.01222507250939 59.055582582695685, 10.00990712178086 59.05531694125771, 10.009789267619869 59.05528306564515)"/>
    <s v="[989053, 989055, 989045]"/>
    <s v="[948219, 948213, 947841]"/>
    <s v="0.05359294567342154"/>
    <s v="[947845, 948219, 948213]"/>
    <s v="[0.035, 0.053, 0.08]"/>
    <s v="150.97081481055028"/>
    <s v="[0.035, 0.053, 0.08]"/>
  </r>
  <r>
    <x v="2765"/>
    <x v="3373"/>
    <x v="0"/>
    <n v="0"/>
    <s v="LINESTRING (10.012266327002122 59.05571093646768, 10.012263941926907 59.05564561864239, 10.012340122225874 59.05557568291983)"/>
    <s v="[988566, 988567]"/>
    <s v="[947844, 947845]"/>
    <s v="0.02432537727020738"/>
    <s v="[947843, 947844]"/>
    <s v="[0.037, 0.014]"/>
    <s v="16.220410320062754"/>
    <s v="[0.037, 0.014]"/>
  </r>
  <r>
    <x v="2765"/>
    <x v="3374"/>
    <x v="0"/>
    <n v="0"/>
    <m/>
    <n v="988590"/>
    <n v="947843"/>
    <s v="0.049"/>
    <n v="947863"/>
    <s v="0.049"/>
    <s v="14.403414247200809"/>
    <s v="0.049"/>
  </r>
  <r>
    <x v="2766"/>
    <x v="3375"/>
    <x v="0"/>
    <n v="0"/>
    <s v="LINESTRING (10.012340122225874 59.05557568291983, 10.01247225253487 59.05553777332733, 10.012609557338827 59.05554117788483, 10.012730277904346 59.05557938977814, 10.0127975914322 59.05564019340475, 10.012797625100529 59.055708479407215, 10.01273935711219 59.055768130037904, 10.01270737125295 59.05578632965959)"/>
    <s v="[988568, 988580, 988581, 988582, 988583, 988584, 988588]"/>
    <s v="[947846, 947855, 947856, 947857, 947858, 947859, 947862]"/>
    <s v="#FIELD!"/>
    <s v="[947845, 947846, 947855, 947856, 947857, 947858, 947859]"/>
    <s v="[0.014, 0.039, 0.05, 0.046, 0.032, 0.013, 0.006]"/>
    <s v="50.30507130506682"/>
    <s v="[-0.014, -0.039, -0.05, -0.046, -0.032, -0.013, -0.006]"/>
  </r>
  <r>
    <x v="2767"/>
    <x v="3374"/>
    <x v="0"/>
    <n v="0"/>
    <m/>
    <n v="988589"/>
    <n v="947863"/>
    <s v="0.026"/>
    <n v="947862"/>
    <s v="0.026"/>
    <s v="16.903203673932936"/>
    <s v="0.026"/>
  </r>
  <r>
    <x v="2767"/>
    <x v="3376"/>
    <x v="0"/>
    <n v="0"/>
    <s v="LINESTRING (10.01270737125295 59.05578632965959, 10.012686286983671 59.05584489478225, 10.01718805582982 59.05768693026169, 10.020612730909468 59.0595743592603, 10.020855298849437 59.05977937179014)"/>
    <s v="[988645, 988651, 988673, 988674]"/>
    <s v="[947910, 947914, 947930, 947931]"/>
    <s v="0.024473136444018766"/>
    <s v="[947862, 947910, 947914, 947930]"/>
    <s v="[0.022, 0.029, 0.016, 0.069]"/>
    <s v="667.2345453974473"/>
    <s v="[-0.022, 0.029, 0.016, 0.069]"/>
  </r>
  <r>
    <x v="2768"/>
    <x v="3055"/>
    <x v="0"/>
    <n v="0"/>
    <s v="LINESTRING (10.020897204735789 59.060002211370836, 10.020563777052082 59.05982869863102, 10.018269857931035 59.058615896119335, 10.01735219327243 59.058347514804026, 10.01627983624076 59.05771362536106, 10.013543730309541 59.056348115499915, 10.012484920912579 59.05585926292899, 10.012425360195602 59.05580640522544)"/>
    <s v="[988591, 988592, 988593, 988601, 988609, 988625, 988633]"/>
    <s v="[947865, 947866, 947867, 947875, 947878, 947891, 947863]"/>
    <s v="#FIELD!"/>
    <s v="[947864, 947865, 947866, 947867, 947875, 947878, 947891]"/>
    <s v="[0.104, 0.03, 0.01, 0.0, 0.038, 0.034, 0.042]"/>
    <s v="699.8363553901851"/>
    <s v="[-0.104, -0.03, -0.01, -0.0, -0.038, 0.034, 0.042]"/>
  </r>
  <r>
    <x v="2769"/>
    <x v="3007"/>
    <x v="278"/>
    <n v="0"/>
    <s v="LINESTRING (10.057482031335184 59.083753926014445, 10.057371492588175 59.08368579471435, 10.052532286067066 59.080823975487874, 10.052204218514769 59.0806557063961, 10.05042170248685 59.07980441167669, 10.02134934178568 59.0603182996001, 10.020897204735789 59.060002211370836)"/>
    <s v="[2166782, 2166788, 2166740, 988683, 988685, 988749]"/>
    <s v="[1853917, 1853890, 947938, 947939, 947942, 947864]"/>
    <s v="#FIELD!"/>
    <s v="[1853899, 1853917, 1853890, 947938, 947939, 947942]"/>
    <s v="[0.047, 0.04, 0.147, 0.036, 0.011, 0.047]"/>
    <s v="3437.1003084820213"/>
    <s v="[0.047, 0.04, -0.147, 0.036, -0.011, -0.047]"/>
  </r>
  <r>
    <x v="2770"/>
    <x v="3377"/>
    <x v="0"/>
    <n v="0"/>
    <s v="LINESTRING (10.020855298849437 59.05977937179014, 10.021547879242313 59.06024290118864, 10.050642705457404 59.07967539827411, 10.05242180256261 59.080543112661886, 10.052748336779835 59.080714741222465)"/>
    <s v="[988821, 988692, 988684, 2166734]"/>
    <s v="[947948, 947940, 947941, 1853888]"/>
    <s v="0.009938684270874742"/>
    <s v="[947931, 947948, 947940, 947941]"/>
    <s v="[0.057, 0.01, 0.035, 0.125]"/>
    <s v="3021.259846857244"/>
    <s v="[0.057, 0.01, -0.035, 0.125]"/>
  </r>
  <r>
    <x v="2770"/>
    <x v="3051"/>
    <x v="0"/>
    <s v="[0, 0, 0, 0, 0, 1, 0]"/>
    <s v="LINESTRING (9.988133424332723 59.06518640904243, 9.988133424332723 59.06518640904243, 9.990596679099735 59.0645438531075, 9.99074050088068 59.064494847096405, 10.00581364272363 59.05660392729021, 10.007098683954705 59.0564964500108, 10.016666516024868 59.05762955852137, 10.020855298849437 59.05977937179014)"/>
    <s v="[2166800, 988829, 988833, 988834, 988768, 988771, 988813]"/>
    <s v="[948034, 948035, 948037, 948002, 948003, 948006, 947931]"/>
    <s v="#FIELD!"/>
    <s v="[1853930, 948034, 948035, 948037, 948002, 948003, 948006]"/>
    <s v="[0.44, 0.019, 0.027, 0.035, 0.116, 0.008, 0.024]"/>
    <s v="2474.918369338673"/>
    <s v="[-0.44, 0.019, 0.027, -0.035, -0.116, -0.008, 0.024]"/>
  </r>
  <r>
    <x v="2771"/>
    <x v="3378"/>
    <x v="0"/>
    <s v="[0, 0, 0, 0, 0, 0, 0, 0, 0, 1, 0, 0]"/>
    <s v="LINESTRING (8.231053195750938 59.490691674253064, 8.23293697706738 59.49092337138632, 8.23415912693073 59.4909259134567, 8.24841269363481 59.48931386439886, 8.251166307702636 59.489632554230276, 8.259313146022132 59.489505533967844, 8.27688541514065 59.48761975862069, 8.28344397318133 59.48977425964079, 8.283606478014962 59.48980937782344, 8.287444250829676 59.49007261421029, 8.28781465525236 59.49004548432335, 8.298302892188731 59.490125734166085, 8.300986448442211 59.490469267952165)"/>
    <s v="[1429106, 1429114, 1429122, 1429058, 1429066, 1429074, 1429018, 1429026, 1429034, 1429042, 1429050, 1429010]"/>
    <s v="[1301797, 1301779, 1301786, 1301768, 1301761, 1301756, 1301740, 758152, 1301819, 1301826, 1301804, 283417]"/>
    <s v="#FIELD!"/>
    <s v="[949503, 1301797, 1301779, 1301786, 1301768, 1301761, 1301756, 1301740, 758152, 1301819, 1301826, 1301804]"/>
    <s v="[0.026, 0.087, 0.043, 0.012, 0.017, 0.02, 0.085, 0.193, 0.062, 0.108, 0.013, 0.112]"/>
    <s v="4176.758866373408"/>
    <s v="[-0.026, -0.087, 0.043, -0.012, -0.017, -0.02, -0.085, -0.193, 0.062, 0.108, -0.013, -0.112]"/>
  </r>
  <r>
    <x v="2772"/>
    <x v="3379"/>
    <x v="0"/>
    <n v="0"/>
    <s v="LINESTRING (8.231053195750938 59.490691674253064, 8.231053195750938 59.490691674253064, 8.229358800542983 59.49041850331605, 8.222034260571105 59.49021523987498, 8.220054655915447 59.490308477756436, 8.219200910148635 59.490286015402305, 8.216577511947177 59.490184997589935, 8.2092464084637 59.49134392680207, 8.208246555292991 59.49174828878745, 8.207289293300786 59.4921536051618, 8.206377903303313 59.492683919778614, 8.205137401656458 59.4936941489515, 8.205015906954022 59.493773355282585)"/>
    <s v="[990665, 990672, 1265445, 1265446, 990673, 990674, 990684, 990702, 990703, 990710, 1309762, 1309770]"/>
    <s v="[749492, 949508, 1182380, 501365, 949509, 949510, 949516, 949529, 949530, 949538, 1218453, 1218458]"/>
    <s v="0.013866817456979161"/>
    <s v="[949503, 749492, 949508, 1182380, 501365, 949509, 949510, 949516, 949529, 949530, 949538, 1218453]"/>
    <s v="[0.0, 0.107, 0.041, 0.116, 0.061, 0.026, 0.033, 0.041, 0.008, 0.004, 0.103, 0.007]"/>
    <s v="1687.9928516660068"/>
    <s v="[0.0, 0.107, 0.041, -0.116, 0.061, 0.026, -0.033, 0.041, -0.008, -0.004, 0.103, 0.007]"/>
  </r>
  <r>
    <x v="2773"/>
    <x v="3380"/>
    <x v="0"/>
    <n v="0"/>
    <s v="LINESTRING (7.862268985562494 59.61819363897206, 7.86707042294225 59.6175175632865, 7.8685761166401536 59.61695639203529, 7.874582655773676 59.61658386961433, 7.875762160997023 59.61658160563686)"/>
    <s v="[1775625, 1775633, 1775649, 1775656]"/>
    <s v="[1566427, 1566437, 1566412, 950581]"/>
    <s v="0.010541511492455089"/>
    <s v="[758885, 1566427, 1566437, 1566412]"/>
    <s v="[0.036, 0.019, 0.044, 0.013]"/>
    <s v="827.3830255384222"/>
    <s v="[-0.036, 0.019, 0.044, -0.013]"/>
  </r>
  <r>
    <x v="2774"/>
    <x v="3381"/>
    <x v="0"/>
    <n v="0"/>
    <s v="LINESTRING (7.862268985562494 59.61819363897206, 7.862268985562494 59.61819363897206, 7.85999805502058 59.61825364099403, 7.859322512818029 59.61821919616359)"/>
    <s v="[991884, 991898, 991899]"/>
    <s v="[756889, 765793, 950599]"/>
    <s v="#FIELD!"/>
    <s v="[758885, 756889, 765793]"/>
    <s v="[0.0, 0.028, 0.105]"/>
    <s v="192.7525806570647"/>
    <s v="[0.0, -0.028, -0.105]"/>
  </r>
  <r>
    <x v="2775"/>
    <x v="3382"/>
    <x v="0"/>
    <n v="0"/>
    <s v="LINESTRING (7.844675403484444 59.619132121659916, 7.849357455420917 59.61737315102659, 7.8518644125290065 59.61787167206726, 7.8520162012733286 59.61837850697219, 7.859322512818029 59.61821919616359)"/>
    <s v="[1775695, 1775601, 1775696, 1775703]"/>
    <s v="[1566399, 1566400, 490160, 950599]"/>
    <s v="0.07253862128155693"/>
    <s v="[950607, 1566399, 1566400, 490160]"/>
    <s v="[0.098, 0.045, 0.154, 0.074]"/>
    <s v="806.0961623464361"/>
    <s v="[0.098, 0.045, 0.154, 0.074]"/>
  </r>
  <r>
    <x v="2776"/>
    <x v="3169"/>
    <x v="279"/>
    <n v="0"/>
    <s v="LINESTRING (7.844675403484444 59.619132121659916, 7.736958844420954 59.71614424486109)"/>
    <m/>
    <m/>
    <s v="0.0"/>
    <m/>
    <n v="0"/>
    <s v="12299.93795927304"/>
    <n v="0"/>
  </r>
  <r>
    <x v="2777"/>
    <x v="3383"/>
    <x v="280"/>
    <n v="0"/>
    <s v="LINESTRING (5.724011099500503 58.94583459084872, 5.723973821341029 58.94588701954746, 5.723881533158712 58.94600957195836, 5.723875518962836 58.94601634841307, 5.723869487613308 58.94602312362726, 5.723859398702833 58.94603706980446, 5.723854782638637 58.94604378469291, 5.723848285996558 58.94605189081172, 5.721520121508382 58.949924756242616, 5.721509452518723 58.94997221399076, 5.721464404816644 58.95022761611304, 5.72145178459504 58.95031681827572)"/>
    <s v="[1019134, 1019142, 1019150, 1019158, 1019166, 1019174, 1019182, 1019190, 1019198, 1019206, 992161]"/>
    <s v="[975134, 975139, 975143, 975148, 975153, 975160, 975166, 975171, 975176, 950824, 950825]"/>
    <s v="#FIELD!"/>
    <s v="[975129, 975134, 975139, 975143, 975148, 975153, 975160, 975166, 975171, 975176, 950824]"/>
    <s v="[0.019, 0.018, 0.01, 0.017, 0.017, 2.168, 0.026, 0.017, 0.01, 0.261, 0.0]"/>
    <s v="524.8900551671859"/>
    <s v="[-0.019, -0.018, -0.01, -0.017, -0.017, 2.168, -0.026, -0.017, -0.01, -0.261, -0.0]"/>
  </r>
  <r>
    <x v="2777"/>
    <x v="3384"/>
    <x v="0"/>
    <n v="0"/>
    <s v="LINESTRING (5.721387648697892 58.951253452151896, 5.721410144147156 58.95075287736534, 5.7214253298887625 58.95055613313583, 5.72145178459504 58.95031681827572)"/>
    <s v="[1419111, 1419122, 1417912]"/>
    <s v="[1295790, 1294875, 950825]"/>
    <s v="0.010580299004385061"/>
    <s v="[1295789, 1295790, 1294875]"/>
    <s v="[0.007, 0.007, 0.021]"/>
    <s v="104.73319701349286"/>
    <s v="[0.007, 0.007, 0.021]"/>
  </r>
  <r>
    <x v="2778"/>
    <x v="3385"/>
    <x v="0"/>
    <n v="0"/>
    <s v="LINESTRING (10.928453922307915 59.34305135677632, 10.928316139173305 59.34319782763093, 10.926023305256775 59.34545577316745, 10.925966486621329 59.345492117264705, 10.925790507456108 59.345418277571405)"/>
    <s v="[992855, 1675060, 1675068, 1699122]"/>
    <s v="[951385, 1502318, 1502326, 1502352]"/>
    <s v="0.03787104241944603"/>
    <s v="[951384, 951385, 1502318, 1502326]"/>
    <s v="[0.02, 0.04, 0.003, 0.029]"/>
    <s v="327.1469973877961"/>
    <s v="[0.02, 0.04, 0.003, 0.029]"/>
  </r>
  <r>
    <x v="2778"/>
    <x v="3386"/>
    <x v="0"/>
    <n v="0"/>
    <s v="LINESTRING (10.928453922307915 59.34305135677632, 10.926153982062857 59.34448235121342, 10.925548824821197 59.34479296246418, 10.924355795136952 59.34533514708125, 10.920271455690127 59.34672546180769)"/>
    <s v="[1337746, 1697303, 1697311, 1697319]"/>
    <s v="[1241549, 1517852, 1517858, 951394]"/>
    <s v="0.02739545156033844"/>
    <s v="[951384, 1241549, 1517852, 1517858]"/>
    <s v="[0.035, 0.019, 0.022, 0.025]"/>
    <s v="625.6668965746151"/>
    <s v="[0.035, 0.019, 0.022, 0.025]"/>
  </r>
  <r>
    <x v="2778"/>
    <x v="3387"/>
    <x v="0"/>
    <n v="0"/>
    <s v="LINESTRING (10.950697650362777 59.32480319041186, 10.94853170781455 59.32468682822927, 10.948024144089052 59.32470247545311, 10.93763294778149 59.33004517858573, 10.928953771736188 59.342693356568205, 10.928453922307915 59.34305135677632)"/>
    <s v="[1615897, 1615067, 1337747, 1337761, 1337744]"/>
    <s v="[1448221, 1241550, 1241551, 1241548, 951384]"/>
    <s v="0.014645216572966616"/>
    <s v="[1448654, 1448221, 1241550, 1241551, 1241548]"/>
    <s v="[0.032, 0.037, 0.02, 0.01, 0.0]"/>
    <s v="2620.157111395126"/>
    <s v="[0.032, 0.037, 0.02, 0.01, -0.0]"/>
  </r>
  <r>
    <x v="2779"/>
    <x v="3388"/>
    <x v="0"/>
    <n v="0"/>
    <s v="LINESTRING (10.924143927955974 59.345268336428056, 10.92012019311628 59.34663803906838, 10.918740740796931 59.34701976623414, 10.916579612553644 59.34754829868548)"/>
    <s v="[1671166, 1671174, 1671182]"/>
    <s v="[1498874, 1498880, 951397]"/>
    <s v="0.004882498589824971"/>
    <s v="[951391, 1498874, 1498880]"/>
    <s v="[0.013, 0.002, 0.007]"/>
    <s v="501.01467795491874"/>
    <s v="[0.013, -0.002, -0.007]"/>
  </r>
  <r>
    <x v="2779"/>
    <x v="3389"/>
    <x v="281"/>
    <n v="0"/>
    <s v="LINESTRING (10.951557792071592 59.32479163287602, 10.951100778658816 59.32473087705058, 10.950659309631753 59.32467935150021, 10.948484258885417 59.32457024837797, 10.948022755145535 59.324575704237155, 10.937440972572114 59.32989321651913, 10.928749023058481 59.342615977589226, 10.928251932190715 59.34298105837882, 10.925360266489722 59.34470971031193, 10.924186667544484 59.34525162942411, 10.924143927955974 59.345268336428056)"/>
    <s v="[1616065, 1615905, 1615913, 1615068, 1337777, 1337778, 1337791, 1337799, 1671150, 1671158]"/>
    <s v="[1448664, 1448665, 1448222, 1241575, 1241576, 1241577, 1241584, 1241590, 1498862, 951391]"/>
    <s v="0.016780347483262396"/>
    <s v="[1448639, 1448664, 1448665, 1448222, 1241575, 1241576, 1241577, 1241584, 1241590, 1498862]"/>
    <s v="[0.005, 0.005, 0.03, 0.034, 0.019, 0.01, 0.009, 0.037, 0.02, 0.741]"/>
    <s v="3031.2362841286786"/>
    <s v="[-0.005, -0.005, 0.03, 0.034, 0.019, 0.01, 0.009, 0.037, 0.02, 0.741]"/>
  </r>
  <r>
    <x v="2779"/>
    <x v="3390"/>
    <x v="0"/>
    <n v="0"/>
    <s v="LINESTRING (10.920284913619797 59.34608562581314, 10.920282436374766 59.34614756893559, 10.924008896943375 59.345277091794436, 10.924143927955974 59.345268336428056)"/>
    <s v="[1675076, 1675084, 992863]"/>
    <s v="[1502334, 951390, 951391]"/>
    <s v="#FIELD!"/>
    <s v="[1502333, 1502334, 951390]"/>
    <s v="[0.006, 0.011, 0.019]"/>
    <s v="274.70741688253804"/>
    <s v="[-0.006, -0.011, -0.019]"/>
  </r>
  <r>
    <x v="2780"/>
    <x v="3391"/>
    <x v="0"/>
    <s v="[0, 0, 0, 0, 0, 0, 0, 1, 0, 0, 0]"/>
    <s v="LINESTRING (10.920271455690127 59.34672546180769, 10.920251560622667 59.34673119505359, 10.918872566486218 59.34712608304998, 10.916667514759057 59.347651351973994, 10.91654431063367 59.34767936116171, 10.915868300240707 59.34782853760981, 10.91525319762952 59.347952828108, 10.870436840072575 59.35533152093798, 10.869869778221087 59.35537905441038, 10.850022070636165 59.35686525312943, 10.84961572520885 59.35692045641385, 10.84440899401355 59.35781843627171)"/>
    <s v="[1697327, 1697335, 1697343, 1697351, 1697359, 1697367, 1697375, 1697383, 1697391, 1697399, 1697407]"/>
    <s v="[1517864, 1517869, 1517873, 1517877, 1517881, 1517886, 1517891, 1517897, 1517903, 1517908, 1517915]"/>
    <s v="#FIELD!"/>
    <s v="[951394, 1517864, 1517869, 1517873, 1517877, 1517881, 1517886, 1517891, 1517897, 1517903, 1517908]"/>
    <s v="[1.066, 0.003, 0.005, 0.019, 0.003, 0.019, 0.007, 0.019, 0.001, 0.004, 0.007]"/>
    <s v="4515.949839426204"/>
    <s v="[-1.066, 0.003, 0.005, 0.019, 0.003, 0.019, -0.007, -0.019, 0.001, -0.004, 0.007]"/>
  </r>
  <r>
    <x v="2780"/>
    <x v="3385"/>
    <x v="0"/>
    <n v="0"/>
    <s v="LINESTRING (10.925790507456108 59.345418277571405, 10.925846823886909 59.34539419067301, 10.920436041459432 59.34672675333998, 10.920271455690127 59.34672546180769)"/>
    <s v="[1675092, 1675100, 992871]"/>
    <s v="[1502353, 951393, 951394]"/>
    <s v="0.01107840230633678"/>
    <s v="[1502352, 1502353, 951393]"/>
    <s v="[0.053, 0.011, 0.004]"/>
    <s v="447.23485949750096"/>
    <s v="[0.053, 0.011, -0.004]"/>
  </r>
  <r>
    <x v="2781"/>
    <x v="3392"/>
    <x v="0"/>
    <n v="0"/>
    <s v="LINESTRING (10.916579612553644 59.34754829868548, 10.916644723729753 59.34748263767066, 10.92006692736335 59.34615988521002, 10.920052153559244 59.34610350640496)"/>
    <s v="[992879, 1675108, 1675116]"/>
    <s v="[951398, 1502367, 1502374]"/>
    <s v="0.0031632998919510053"/>
    <s v="[951397, 951398, 1502367]"/>
    <s v="[0.003, 0.003, 0.01]"/>
    <s v="271.6973613733947"/>
    <s v="[0.003, 0.003, 0.01]"/>
  </r>
  <r>
    <x v="2781"/>
    <x v="3393"/>
    <x v="282"/>
    <s v="[0, 0, 0, 0, 0, 1, 0]"/>
    <s v="LINESTRING (10.916579612553644 59.34754829868548, 10.916532110486767 59.34755931539692, 10.915732096588231 59.34773247403417, 10.915605447967328 59.34775808154937, 10.915115723370027 59.34785709263274, 10.870389935278748 59.35521595953481, 10.86983450198221 59.35526374475519, 10.850006489438732 59.35674624857875)"/>
    <s v="[1671190, 1671198, 1671206, 1671214, 1671222, 1671230, 1671238]"/>
    <s v="[1498893, 1498899, 1498903, 1498909, 1498918, 1498925, 1498929]"/>
    <s v="#FIELD!"/>
    <s v="[951397, 1498893, 1498899, 1498903, 1498909, 1498918, 1498925]"/>
    <s v="[0.099, 0.02, 0.023, 0.025, 0.007, 0.02, 0.001]"/>
    <s v="3944.854231816116"/>
    <s v="[0.099, 0.02, 0.023, 0.025, -0.007, -0.02, 0.001]"/>
  </r>
  <r>
    <x v="2782"/>
    <x v="3394"/>
    <x v="283"/>
    <s v="[0, 0, 0, 0, 1, 0, 0, 0, 1, 0, 0, 0, 0, 0, 0, 0, 0, 0, 0, 0, 0, 0, 0, 0, 0, 0, 0, 0, 0, 0, 0, 0, 0, 0, 0, 0, 0]"/>
    <s v="LINESTRING (6.188147183250606 61.79049372817652, 6.153323673688974 61.8100717519427, 6.153207286573464 61.81011543753521, 6.153079981673276 61.81016383659955, 6.152119195593175 61.81047732119596, 6.151721469237862 61.81057820213256, 6.115797060778494 61.8216691250899, 6.11522514229219 61.82175033666937, 6.1121319508188074 61.822690794205926, 6.111218236749361 61.8229885702727, 6.1104156981718925 61.823199138558536, 6.110279454443583 61.82323100545129, 6.110170085745509 61.82325662634019, 6.1060911207085935 61.82412236184135, 6.104794157533768 61.82426929515997, 6.1019524212594884 61.82525297617349, 6.101987749836411 61.82707682313939, 6.102101213598532 61.82749878529423, 6.102077910143243 61.82807106603146, 6.102042761984843 61.828154810979804, 6.1020194002279995 61.82820459331171, 6.101882876479684 61.82850742052016, 6.101555727027112 61.82914030859798, 6.101477309455038 61.82932931142354, 6.101266405923853 61.83035163676758, 6.101809398534349 61.832217833021005, 6.101950818499159 61.83243275842318, 6.102267367534449 61.83286110253527, 6.102573310562293 61.83332056614284, 6.102636861638004 61.83352001653482, 6.102589251507874 61.833939602100045, 6.1022412006420295 61.834401421408465, 6.101809312757318 61.835225567759935, 6.094472190981302 61.83934831611175, 6.093884704041393 61.839605671177544, 6.0908626155166985 61.84069944109342, 6.09057910532501 61.84094898432922, 6.0895516033935255 61.844211773412866)"/>
    <s v="[1894044, 1894052, 1894060, 1894068, 1894076, 1894084, 1894092, 1028153, 1028161, 1028170, 1028178, 1028186, 1028194, 1028202, 1028210, 1028218, 1028226, 993497, 993505, 993528, 993544, 993552, 993560, 993578, 993597, 993605, 993613, 993614, 1028234, 1028242, 1028250, 1028258, 1028266, 1028274, 992931, 992939, 992947]"/>
    <s v="[1655657, 1664359, 1664364, 1664369, 1664376, 1664382, 982667, 982668, 982678, 982686, 982694, 982700, 982708, 982712, 982720, 982726, 951825, 951826, 951831, 951850, 951862, 951869, 951875, 951889, 951903, 951905, 951913, 951914, 982736, 982741, 982745, 982752, 982755, 951431, 951432, 951438, 951446]"/>
    <s v="#FIELD!"/>
    <s v="[1656115, 1655657, 1664359, 1664364, 1664369, 1664376, 1664382, 982667, 982668, 982678, 982686, 982694, 982700, 982708, 982712, 982720, 982726, 951825, 951826, 951831, 951850, 951862, 951869, 951875, 951889, 951903, 951905, 951913, 951914, 982736, 982741, 982745, 982752, 982755, 951431, 951432, 951438]"/>
    <s v="[0.004, 0.016, 0.009, 0.024, 0.088, 0.015, 0.341, 0.001, 0.031, 0.038, 0.059, 0.029, 0.015, 0.047, 0.037, 0.016, 0.011, 0.017, 0.047, 0.041, 0.04, 0.084, 0.096, 0.112, 0.039, 0.029, 0.041, 0.056, 0.059, 0.026, 0.059, 0.083, 0.027, 0.119, 0.037, 0.129, 0.136]"/>
    <s v="8851.139978900848"/>
    <s v="[-0.004, 0.016, 0.009, 0.024, 0.088, -0.015, -0.341, 0.001, 0.031, -0.038, -0.059, -0.029, 0.015, -0.047, -0.037, 0.016, 0.011, -0.017, -0.047, -0.041, 0.04, 0.084, 0.096, 0.112, 0.039, -0.029, -0.041, -0.056, -0.059, -0.026, 0.059, 0.083, -0.027, 0.119, 0.037, -0.129, -0.136]"/>
  </r>
  <r>
    <x v="2783"/>
    <x v="3395"/>
    <x v="0"/>
    <s v="[0, 1, 0, 1, 1, 0, 1, 0, 0, 0]"/>
    <s v="LINESTRING (9.715118144443482 59.120667674736524, 9.713630514454401 59.12068076977254, 9.712578218995874 59.12061283897769, 9.711687474692445 59.12050116848766, 9.711210166022335 59.12041682786063, 9.710973991840902 59.12037061878737, 9.708117148547906 59.1193204868165, 9.707887188891217 59.11918140730792, 9.70669883701016 59.11833237555919, 9.70635005439152 59.11806804120044, 9.705981209963554 59.11778759661312)"/>
    <s v="[993731, 993738, 993744, 993752, 993758, 993783, 993785, 993789, 993801, 993802]"/>
    <s v="[951999, 952004, 952007, 952017, 952022, 952037, 952039, 952042, 952048, 952049]"/>
    <s v="0.07174281700050296"/>
    <s v="[951989, 951999, 952004, 952007, 952017, 952022, 952037, 952039, 952042, 952048]"/>
    <s v="[0.008, 0.024, 0.0, 0.028, 0.025, 0.096, 0.143, 0.142, 0.124, 0.071]"/>
    <s v="655.4295553714206"/>
    <s v="[0.008, 0.024, 0.0, -0.028, -0.025, 0.096, 0.143, 0.142, 0.124, 0.071]"/>
  </r>
  <r>
    <x v="2784"/>
    <x v="3167"/>
    <x v="284"/>
    <s v="[0, 1, 0, 1, 0, 0, 0, 0]"/>
    <s v="LINESTRING (9.705981209963554 59.11778759661312, 9.698563510535255 59.11111546483501, 9.698507582572425 59.11103978948279, 9.69670626884136 59.108166100403636, 9.696679060881083 59.108041054563905, 9.696642035082519 59.10776306823582, 9.696893701327642 59.105938043183045, 9.6944985933621 59.103039324706536, 9.694443990686418 59.103006724541785)"/>
    <s v="[993837, 993844, 993859, 993881, 993886, 993893, 993920, 993927]"/>
    <s v="[952073, 952077, 952089, 952112, 952116, 952122, 952142, 952146]"/>
    <s v="#FIELD!"/>
    <s v="[952049, 952073, 952077, 952089, 952112, 952116, 952122, 952142]"/>
    <s v="[0.045, 0.022, 0.023, 0.048, 0.041, 0.001, 0.01, 0.047]"/>
    <s v="1819.0844526515784"/>
    <s v="[-0.045, -0.022, 0.023, 0.048, 0.041, 0.001, -0.01, 0.047]"/>
  </r>
  <r>
    <x v="2784"/>
    <x v="3396"/>
    <x v="0"/>
    <s v="[0, 0, 0, 0, 0, 0, 1, 0, 0]"/>
    <s v="LINESTRING (9.709633712218068 59.121899341581674, 9.709633712218068 59.121899341581674, 9.70976271325829 59.12184065876077, 9.710577495199416 59.12112330416376, 9.70966340627295 59.12008215522013, 9.708870371381044 59.119742632922176, 9.708078275991362 59.11934030586787, 9.70784454630758 59.11919866953786, 9.706121305352298 59.11791772325601, 9.705981209963554 59.11778759661312)"/>
    <s v="[1436745, 915161, 915169, 915177, 915185, 915193, 915201, 915209, 994160]"/>
    <s v="[887470, 887471, 887476, 887483, 887488, 887495, 887501, 887508, 952049]"/>
    <s v="0.036876396382199826"/>
    <s v="[862141, 887470, 887471, 887476, 887483, 887488, 887495, 887501, 887508]"/>
    <s v="[2.885, 0.055, 0.026, 0.041, 0.125, 0.087, 0.038, 0.141, 0.307]"/>
    <s v="579.1502263243922"/>
    <s v="[-2.885, -0.055, -0.026, 0.041, 0.125, 0.087, 0.038, 0.141, 0.307]"/>
  </r>
  <r>
    <x v="2785"/>
    <x v="3168"/>
    <x v="0"/>
    <s v="[0, 0, 0, 0, 1, 0, 1, 0, 0, 0]"/>
    <s v="LINESTRING (9.706435137231127 59.11803968258622, 9.706432182223889 59.118037402075814, 9.70606142581319 59.11775687055191, 9.699462698452988 59.11217524692745, 9.698630856681206 59.11106304247471, 9.698576487858206 59.110989275751294, 9.696805001450162 59.108155918393315, 9.69677685322134 59.108031292998604, 9.694569703548007 59.103004660634284, 9.694512474706713 59.102970944985685, 9.693990772638818 59.102687828800796)"/>
    <s v="[994032, 994033, 994034, 994036, 994037, 994038, 994046, 994047, 994055, 994088]"/>
    <s v="[952203, 952204, 952205, 952207, 952208, 952209, 952212, 952213, 952217, 952235]"/>
    <s v="#FIELD!"/>
    <s v="[952202, 952203, 952204, 952205, 952207, 952208, 952209, 952212, 952213, 952217]"/>
    <s v="[0.026, 0.073, 0.047, 0.041, 0.019, 0.022, 0.047, 0.004, 0.045, 0.037]"/>
    <s v="1901.5456447357285"/>
    <s v="[0.026, 0.073, -0.047, -0.041, -0.019, 0.022, 0.047, -0.004, 0.045, 0.037]"/>
  </r>
  <r>
    <x v="2785"/>
    <x v="3186"/>
    <x v="0"/>
    <s v="[0, 1, 0, 0, 1, 0, 1, 1, 0, 1, 0, 0]"/>
    <s v="LINESTRING (9.71896031933472 59.11991661949601, 9.716799218051968 59.12044179164296, 9.715553873047325 59.120591315552595, 9.715105965681255 59.12062197743964, 9.71365062464706 59.12063589568383, 9.712612686901329 59.12056974816616, 9.71170061554528 59.120455200099855, 9.711227689833905 59.12037251432212, 9.710990255675302 59.1203246070465, 9.708180587543012 59.11928497027338, 9.707960181261038 59.11915111366405, 9.706777975713518 59.11830205493331, 9.706435137231127 59.11803968258622)"/>
    <s v="[994421, 994429, 994437, 994445, 993987, 994007, 994008, 994016, 994022, 994023, 994030, 994031]"/>
    <s v="[952461, 952465, 952472, 952178, 952179, 952189, 952190, 952194, 952196, 952197, 952201, 952202]"/>
    <s v="0.02555539871531567"/>
    <s v="[952455, 952461, 952465, 952472, 952178, 952179, 952189, 952190, 952194, 952196, 952197, 952201]"/>
    <s v="[0.139, 0.049, 0.051, 0.11, 0.024, 0.002, 0.029, 0.021, 0.103, 0.139, 0.142, 0.136]"/>
    <s v="848.4976439086972"/>
    <s v="[-0.139, 0.049, 0.051, -0.11, 0.024, 0.002, -0.029, -0.021, 0.103, 0.139, 0.142, 0.136]"/>
  </r>
  <r>
    <x v="2786"/>
    <x v="2003"/>
    <x v="0"/>
    <s v="[0, 0, 0, 0, 0, 0, 0, 0, 1, 1, 0, 0, 0, 0, 1, 1, 0, 0, 0, 0, 0]"/>
    <s v="LINESTRING (10.444732424862996 59.83541551309537, 10.444690490572553 59.83539239359781, 10.439399676156176 59.832904649441886, 10.439384444990859 59.83290001960851, 10.43674502496811 59.832178731006366, 10.43672901697809 59.832174820336945, 10.436382274553981 59.83210519836129, 10.434353857605782 59.83175141919427, 10.434215748403142 59.831735826909444, 10.429379635301805 59.83157818101945, 10.429307614266094 59.831582240630375, 10.428403939850707 59.831655213063016, 10.425594313982172 59.831990816091746, 10.420256081063943 59.83235434340399, 10.420131681394269 59.832348207872, 10.419473769027245 59.832311059838595, 10.419332338330491 59.83230145171755, 10.418545830215253 59.83222635825611, 10.416858727540532 59.83197054732994, 10.415686694383055 59.831711104255085, 10.414937027230007 59.83151136146205, 10.41407386017122 59.831253689366996)"/>
    <s v="[1543740, 1543748, 1543756, 1543764, 1543772, 1543780, 1543788, 1543796, 1543804, 1543812, 1543820, 1543828, 1543836, 1543844, 1543852, 1543860, 1543868, 1543876, 1543884, 1543892, 1543900]"/>
    <s v="[1394568, 1394577, 1394584, 1394591, 1394597, 1394604, 1394614, 1394622, 1394625, 1394633, 1394641, 1394648, 1394654, 1394662, 1394669, 1394675, 1394684, 1394692, 1394697, 1394704, 1391882]"/>
    <s v="0.029888178467858965"/>
    <s v="[954119, 1394568, 1394577, 1394584, 1394591, 1394597, 1394604, 1394614, 1394622, 1394625, 1394633, 1394641, 1394648, 1394654, 1394662, 1394669, 1394675, 1394684, 1394692, 1394697, 1394704]"/>
    <s v="[0.354, 0.038, 0.083, 0.0, 0.041, 0.004, 0.031, 0.07, 0.008, 0.127, 0.095, 0.054, 0.022, 0.012, 0.02, 0.034, 0.043, 0.03, 0.08, 0.03, 0.149]"/>
    <s v="1897.6075211818065"/>
    <s v="[0.354, 0.038, -0.083, 0.0, 0.041, -0.004, -0.031, -0.07, 0.008, 0.127, 0.095, 0.054, 0.022, -0.012, 0.02, 0.034, 0.043, 0.03, 0.08, 0.03, 0.149]"/>
  </r>
  <r>
    <x v="2786"/>
    <x v="3397"/>
    <x v="0"/>
    <n v="0"/>
    <s v="LINESTRING (10.442540092300698 59.834014257423114, 10.442709939704423 59.83410558844928, 10.444613234238682 59.8352903987576, 10.444732424862996 59.83541551309537)"/>
    <s v="[1494803, 1494817, 996329]"/>
    <s v="[1353173, 954118, 954119]"/>
    <s v="#FIELD!"/>
    <s v="[1353172, 1353173, 954118]"/>
    <s v="[0.056, 0.051, 0.047]"/>
    <s v="199.53420268062658"/>
    <s v="[-0.056, -0.051, -0.047]"/>
  </r>
  <r>
    <x v="2786"/>
    <x v="3398"/>
    <x v="285"/>
    <n v="0"/>
    <s v="LINESTRING (10.479075340119932 59.853001564958454, 10.479066453708551 59.85292094856176, 10.472157602840277 59.846544119777235, 10.472143602646279 59.846538511160965, 10.471943435139481 59.846459864847965, 10.462904241135806 59.84284109688875, 10.461263155912713 59.84220254518484, 10.458853948175731 59.84137922302978, 10.451399320358972 59.83831236302009, 10.451387568276946 59.838305651701276, 10.449924903234105 59.83756240497417, 10.447122177544818 59.83648987171083, 10.447040609879533 59.83645916505693, 10.445737966175308 59.835880050523215, 10.445441461260414 59.835727421763565, 10.44538974987565 59.8357031451576, 10.444732424862996 59.83541551309537)"/>
    <s v="[1543612, 1543620, 1543628, 1543636, 1543644, 1543652, 1543660, 1543668, 1543676, 1543684, 1543692, 1543700, 1543708, 1543716, 1543724, 1543732]"/>
    <s v="[1394455, 1394462, 1394468, 1394474, 1394482, 1394490, 1394497, 1394504, 1394511, 1394518, 1394525, 1394532, 1394538, 1394545, 1394553, 954119]"/>
    <s v="0.026047839539650095"/>
    <s v="[1391833, 1394455, 1394462, 1394468, 1394474, 1394482, 1394490, 1394497, 1394504, 1394511, 1394518, 1394525, 1394532, 1394538, 1394545, 1394553]"/>
    <s v="[0.344, 0.026, 0.058, 0.091, 0.043, 0.004, 0.019, 0.015, 0.022, 0.042, 0.036, 0.025, 0.021, 0.001, 0.007, 0.022]"/>
    <s v="2850.47919624873"/>
    <s v="[-0.344, 0.026, 0.058, 0.091, 0.043, -0.004, 0.019, 0.015, 0.022, 0.042, 0.036, -0.025, 0.021, 0.001, -0.007, 0.022]"/>
  </r>
  <r>
    <x v="2787"/>
    <x v="3399"/>
    <x v="0"/>
    <n v="0"/>
    <s v="LINESTRING (9.08854820458752 58.83378039465295, 9.088851868969973 58.8339158863258, 9.088951980055242 58.83396009871957)"/>
    <s v="[996436, 996437]"/>
    <s v="[954205, 954206]"/>
    <s v="#FIELD!"/>
    <s v="[954204, 954205]"/>
    <s v="[0.071, 0.068]"/>
    <s v="30.763857343403842"/>
    <s v="[-0.071, -0.068]"/>
  </r>
  <r>
    <x v="2787"/>
    <x v="3400"/>
    <x v="0"/>
    <n v="0"/>
    <s v="LINESTRING (9.08854820458752 58.83378039465295, 9.08867972982951 58.833994410434855, 9.08875122367356 58.83405162361948)"/>
    <s v="[996460, 996487]"/>
    <s v="[954224, 954240]"/>
    <s v="#FIELD!"/>
    <s v="[954204, 954224]"/>
    <s v="[0.052, 0.065]"/>
    <s v="32.77379783104311"/>
    <s v="[-0.052, -0.065]"/>
  </r>
  <r>
    <x v="2787"/>
    <x v="2909"/>
    <x v="0"/>
    <n v="0"/>
    <m/>
    <n v="1766909"/>
    <n v="954204"/>
    <s v="0.574"/>
    <n v="1160201"/>
    <s v="0.574"/>
    <s v="16.937252454038905"/>
    <s v="0.574"/>
  </r>
  <r>
    <x v="2788"/>
    <x v="3400"/>
    <x v="0"/>
    <n v="0"/>
    <s v="LINESTRING (9.088951980055242 58.83396009871957, 9.088853079641959 58.83400534387267, 9.08875122367356 58.83405162361948)"/>
    <s v="[1752850, 1752859]"/>
    <s v="[1552326, 954240]"/>
    <s v="0.022026462369239865"/>
    <s v="[954206, 1552326]"/>
    <s v="[0.02, 0.024]"/>
    <s v="15.454849901430336"/>
    <s v="[0.02, 0.024]"/>
  </r>
  <r>
    <x v="2788"/>
    <x v="2907"/>
    <x v="0"/>
    <s v="[0, 0, 0, 1, 0]"/>
    <s v="LINESTRING (9.089319733540396 58.833047416757246, 9.089499733878645 58.83319685420062, 9.089562893485475 58.83333506419559, 9.08953136689195 58.833563288194455, 9.089131671275606 58.83387904010482, 9.088951980055242 58.83396009871957)"/>
    <s v="[1752826, 1752839, 1752847, 1752848, 1752849]"/>
    <s v="[1552318, 1087067, 1552324, 1552325, 954206]"/>
    <s v="0.06599848277957557"/>
    <s v="[1160031, 1552318, 1087067, 1552324, 1552325]"/>
    <s v="[0.453, 0.05, 0.031, 0.002, 0.022]"/>
    <s v="117.6997264093564"/>
    <s v="[0.453, -0.05, -0.031, 0.002, 0.022]"/>
  </r>
  <r>
    <x v="2789"/>
    <x v="3401"/>
    <x v="0"/>
    <n v="0"/>
    <s v="LINESTRING (9.08875122367356 58.83405162361948, 9.088558043858972 58.83414229883036, 9.088400169907509 58.834222594271075, 9.087914707296992 58.83453537554617, 9.087883501423951 58.834569207614834)"/>
    <s v="[1752864, 2036644, 2036652, 2036660]"/>
    <s v="[1552330, 1776723, 1776731, 1588427]"/>
    <s v="0.0121106235045709"/>
    <s v="[954240, 1552330, 1776723, 1776731]"/>
    <s v="[0.02, 0.019, 0.009, 0.004]"/>
    <s v="76.89936743233513"/>
    <s v="[0.02, 0.019, 0.009, -0.004]"/>
  </r>
  <r>
    <x v="2790"/>
    <x v="3402"/>
    <x v="0"/>
    <n v="0"/>
    <s v="LINESTRING (9.040761078304207 58.76029752142781, 9.04082742630909 58.760360201694134, 9.042562407653342 58.76311920129597, 9.042637089591487 58.76327770444882)"/>
    <s v="[1323297, 331186, 1323305]"/>
    <s v="[320939, 320940, 954266]"/>
    <s v="#FIELD!"/>
    <s v="[954267, 320939, 320940]"/>
    <s v="[0.043, 0.018, 0.021]"/>
    <s v="351.36644998342496"/>
    <s v="[0.043, -0.018, -0.021]"/>
  </r>
  <r>
    <x v="2790"/>
    <x v="1572"/>
    <x v="0"/>
    <s v="[0, 0, 1, 0, 0, 1, 0, 0, 0, 0, 1, 0, 0, 1, 1, 0, 0, 1, 0]"/>
    <s v="LINESTRING (9.074887469366212 58.81818513163141, 9.074421203696605 58.81751807375531, 9.07279103897542 58.81594063823349, 9.072420607068498 58.815637804864444, 9.056703889356557 58.80124993049112, 9.055161825089305 58.7994740244878, 9.05480154733246 58.79852560079966, 9.052652950729977 58.792601872351455, 9.049884303155991 58.78988336476136, 9.039528030751923 58.78223873939561, 9.038550721090552 58.78047506252476, 9.038477886434627 58.78016358203039, 9.044996864527436 58.77034602338114, 9.045260238763474 58.76977800966246, 9.045506317459203 58.76873050315361, 9.045397605925794 58.76794630036655, 9.045223245397345 58.76749298826058, 9.044944362869094 58.766962012409664, 9.04475981074681 58.76665391354182, 9.042637089591487 58.76327770444882)"/>
    <s v="[1322913, 1323497, 1323505, 1323513, 1323521, 1323417, 1323425, 1323433, 1323441, 1323449, 1323121, 1323129, 1323137, 1323145, 996493, 996498, 996499, 996515, 996528]"/>
    <s v="[1229541, 1229988, 1229991, 1229997, 1229936, 1229937, 1229943, 1229948, 1229953, 1229718, 1229719, 1229726, 1229731, 954245, 954246, 954251, 954252, 954261, 954266]"/>
    <s v="0.006187437512146052"/>
    <s v="[1229532, 1229541, 1229988, 1229991, 1229997, 1229936, 1229937, 1229943, 1229948, 1229953, 1229718, 1229719, 1229726, 1229731, 954245, 954246, 954251, 954252, 954261]"/>
    <s v="[0.016, 0.023, 0.063, 0.024, 0.034, 0.017, 0.02, 0.016, 0.011, 0.023, 0.017, 0.005, 0.038, 0.124, 0.003, 0.012, 0.028, 0.04, 0.009]"/>
    <s v="6780.42830165881"/>
    <s v="[-0.016, 0.023, 0.063, 0.024, -0.034, -0.017, 0.02, -0.016, -0.011, 0.023, 0.017, -0.005, -0.038, 0.124, 0.003, -0.012, -0.028, -0.04, -0.009]"/>
  </r>
  <r>
    <x v="2791"/>
    <x v="3250"/>
    <x v="0"/>
    <s v="[0, 0, 0, 1, 0]"/>
    <s v="LINESTRING (9.040761078304207 58.76029752142781, 9.039373502798005 58.757689360403646, 9.038512925267936 58.75309123642909, 9.038098675051112 58.74993577620911, 9.038058828867873 58.7496211423927, 9.037723039965904 58.74695418130233)"/>
    <s v="[996534, 996535, 996536, 1323001, 1323009]"/>
    <s v="[954271, 954272, 954273, 1229618, 1229627]"/>
    <s v="#FIELD!"/>
    <s v="[954267, 954271, 954272, 954273, 1229618]"/>
    <s v="[0.015, 0.024, 0.056, 0.012, 0.008]"/>
    <s v="1503.483570580282"/>
    <s v="[-0.015, -0.024, -0.056, 0.012, -0.008]"/>
  </r>
  <r>
    <x v="2792"/>
    <x v="3403"/>
    <x v="286"/>
    <n v="0"/>
    <s v="LINESTRING (10.496952105601036 63.430858877039945, 10.496877152012603 63.43085678212707, 10.48430702271203 63.43104518243895, 10.484122974144466 63.43103215741005, 10.484102524314512 63.43103071017008)"/>
    <s v="[998037, 998045, 998046, 998068]"/>
    <s v="[955523, 955531, 955532, 955547]"/>
    <s v="0.023724357734024207"/>
    <s v="[955522, 955523, 955531, 955532]"/>
    <s v="[0.054, 0.024, 0.004, 0.011]"/>
    <s v="668.2861352290265"/>
    <s v="[0.054, 0.024, -0.004, -0.011]"/>
  </r>
  <r>
    <x v="2792"/>
    <x v="3404"/>
    <x v="0"/>
    <n v="0"/>
    <s v="LINESTRING (10.496952105601036 63.430858877039945, 10.497209491693805 63.43074642194293, 10.497341101387951 63.43076738762267, 10.497437200377965 63.43083416818721, 10.497328191525323 63.430949056516866, 10.497170638738632 63.43096539603774, 10.497040274822085 63.43094033346896, 10.496952105601036 63.430858877039945)"/>
    <s v="[998091, 998098, 998102, 998076, 998077, 998082, 998090]"/>
    <s v="[955549, 955564, 955551, 955552, 955553, 955509, 955522]"/>
    <s v="3.36560926028747e-05"/>
    <s v="[955522, 955549, 955564, 955551, 955552, 955553, 955509]"/>
    <s v="[0.001, 0.072, 0.076, 0.033, 0.041, 0.081, 0.075]"/>
    <s v="75.74599902853525"/>
    <s v="[-0.001, -0.072, -0.076, -0.033, 0.041, 0.081, 0.075]"/>
  </r>
  <r>
    <x v="2793"/>
    <x v="3405"/>
    <x v="0"/>
    <n v="0"/>
    <s v="LINESTRING (10.484102524314512 63.43103071017008, 10.481887490169164 63.431164720755746, 10.481685110005557 63.43117015637159)"/>
    <s v="[1112720, 1112728]"/>
    <s v="[1052373, 1052378]"/>
    <s v="0.012511596849640037"/>
    <s v="[955547, 1052373]"/>
    <s v="[0.016, 0.026]"/>
    <s v="121.89220598739708"/>
    <s v="[0.016, -0.026]"/>
  </r>
  <r>
    <x v="2793"/>
    <x v="3406"/>
    <x v="0"/>
    <n v="0"/>
    <s v="LINESTRING (10.490971001768798 63.43161865808606, 10.49084181709352 63.43162563665378, 10.489180070358124 63.431521430771255, 10.484102524314512 63.43103071017008)"/>
    <s v="[1112696, 1112704, 1112712]"/>
    <s v="[1052350, 1052358, 955547]"/>
    <s v="0.01365500795869688"/>
    <s v="[1052349, 1052350, 1052358]"/>
    <s v="[0.113, 0.123, 0.024]"/>
    <s v="351.498489107356"/>
    <s v="[0.113, 0.123, -0.024]"/>
  </r>
  <r>
    <x v="2794"/>
    <x v="3407"/>
    <x v="0"/>
    <s v="[0, 0, 1, 0, 0, 0]"/>
    <s v="LINESTRING (10.47398253309918 63.424768437238626, 10.474847832888495 63.425186921305546, 10.475532014718505 63.42550167639328, 10.476333710111458 63.42586245809328, 10.481645762248506 63.4282288687573, 10.481712765654844 63.428259295268674, 10.481919716116279 63.42835326228224)"/>
    <s v="[998113, 998114, 998115, 998123, 998127, 998129]"/>
    <s v="[955575, 955576, 955577, 955583, 955586, 955588]"/>
    <s v="#FIELD!"/>
    <s v="[955573, 955575, 955576, 955577, 955583, 955586]"/>
    <s v="[0.022, 0.018, 0.015, 0.019, 0.021, 0.02]"/>
    <s v="562.9920835047485"/>
    <s v="[-0.022, -0.018, -0.015, -0.019, -0.021, -0.02]"/>
  </r>
  <r>
    <x v="2795"/>
    <x v="3408"/>
    <x v="0"/>
    <n v="0"/>
    <m/>
    <n v="1112856"/>
    <n v="1052490"/>
    <s v="#FIELD!"/>
    <n v="955588"/>
    <s v="0.076"/>
    <s v="15.958013222443443"/>
    <s v="#FIELD!"/>
  </r>
  <r>
    <x v="2795"/>
    <x v="2360"/>
    <x v="0"/>
    <n v="0"/>
    <s v="LINESTRING (10.481919716116279 63.42835326228224, 10.482132341839275 63.42844981833888, 10.482346525237116 63.428547070738546)"/>
    <s v="[998137, 998142]"/>
    <s v="[955592, 955598]"/>
    <s v="#FIELD!"/>
    <s v="[955588, 955592]"/>
    <s v="0.022"/>
    <s v="30.35191805502874"/>
    <s v="#FIELD!"/>
  </r>
  <r>
    <x v="2796"/>
    <x v="3408"/>
    <x v="0"/>
    <n v="0"/>
    <s v="LINESTRING (10.482206464564184 63.42841642329483, 10.482338737632723 63.428539810848726, 10.482346525237116 63.428547070738546)"/>
    <s v="[1112880, 1112888]"/>
    <s v="[1052512, 955598]"/>
    <s v="0.03390783851086901"/>
    <s v="[1052490, 1052512]"/>
    <s v="[0.021, 0.967]"/>
    <s v="16.158631928570557"/>
    <s v="[-0.021, 0.967]"/>
  </r>
  <r>
    <x v="2797"/>
    <x v="3409"/>
    <x v="0"/>
    <s v="[0, 0, 0, 1, 0, 1, 0, 0, 0, 0, 0, 0, 0, 1, 0, 0]"/>
    <s v="LINESTRING (11.27870556851826 59.57592910256066, 11.276096056805674 59.57633472798541, 11.272743687426644 59.57689364241396, 11.269164486633143 59.57737026088494, 11.268403205565395 59.57742547418234, 11.261232043613852 59.577120305355685, 11.260519592832216 59.57701457793974, 11.259946766957377 59.57692595418448, 11.259282203043199 59.57682312625731, 11.238600709108985 59.578007485953876, 11.238255217988872 59.578023035074764, 11.233850954266455 59.57791289268491, 11.232555196599453 59.57777324330763, 11.227337813763594 59.576630646213715, 11.225391173974621 59.57599070593933, 11.22511062936461 59.57589877470372, 11.2243401294752 59.575642784642426)"/>
    <s v="[1612315, 1612329, 1612330, 1612338, 1612339, 1612354, 1612361, 1612371, 1613017, 1613025, 1613033, 1613041, 1613049, 1613169, 1613177, 1613185]"/>
    <s v="[1446400, 1446412, 1446413, 1446422, 1446423, 1446433, 1446440, 1446449, 1446876, 1446881, 1446885, 1446890, 1446896, 1446968, 1446972, 1446976]"/>
    <s v="#FIELD!"/>
    <s v="[956645, 1446400, 1446412, 1446413, 1446422, 1446423, 1446433, 1446440, 1446449, 1446876, 1446881, 1446885, 1446890, 1446896, 1446968, 1446972]"/>
    <s v="[0.035, 0.009, 0.043, 0.001, 0.02, 0.003, 0.034, 0.037, 0.001, 0.02, 0.014, 0.054, 0.046, 0.02, 0.049, 0.047]"/>
    <s v="3189.509504557131"/>
    <s v="[-0.035, -0.009, -0.043, -0.001, -0.02, -0.003, 0.034, 0.037, 0.001, 0.02, -0.014, -0.054, -0.046, 0.02, 0.049, 0.047]"/>
  </r>
  <r>
    <x v="2797"/>
    <x v="3410"/>
    <x v="0"/>
    <n v="0"/>
    <s v="LINESTRING (11.28208688704717 59.57639202939203, 11.282143176297806 59.576414573875816, 11.27898045887107 59.57594391641843, 11.27870556851826 59.57592910256066)"/>
    <s v="[1612550, 1612558, 999446]"/>
    <s v="[1446574, 956644, 956645]"/>
    <s v="#FIELD!"/>
    <s v="[1445426, 1446574, 956644]"/>
    <s v="[0.025, 0.003, 0.019]"/>
    <s v="412.76344432174153"/>
    <s v="[0.025, -0.003, -0.019]"/>
  </r>
  <r>
    <x v="2797"/>
    <x v="3411"/>
    <x v="287"/>
    <n v="0"/>
    <s v="LINESTRING (11.289455769102773 59.5767003678884, 11.287350661322671 59.576454750407244, 11.28658245108415 59.57634779040609, 11.278748280406688 59.57592456469035, 11.27870556851826 59.57592910256066)"/>
    <s v="[1612264, 1612288, 1612293, 1612301]"/>
    <s v="[1446353, 1446377, 1446378, 956645]"/>
    <s v="0.018660618724288217"/>
    <s v="[1446350, 1446353, 1446377, 1446378]"/>
    <s v="[0.015, 0.025, 0.012, 1.303]"/>
    <s v="620.94402716884"/>
    <s v="[0.015, 0.025, 0.012, 1.303]"/>
  </r>
  <r>
    <x v="2798"/>
    <x v="3293"/>
    <x v="0"/>
    <n v="0"/>
    <s v="LINESTRING (8.206444790878976 62.25762302156831, 8.206530014309916 62.25765650031897, 8.206574107021446 62.25769660921573)"/>
    <s v="[999803, 999811]"/>
    <s v="[957016, 956910]"/>
    <s v="0.0065354809955538475"/>
    <s v="[957006, 957016]"/>
    <s v="[0.007, 0.006]"/>
    <s v="10.825344667828471"/>
    <s v="[0.007, 0.006]"/>
  </r>
  <r>
    <x v="2798"/>
    <x v="3412"/>
    <x v="0"/>
    <n v="0"/>
    <s v="LINESTRING (8.207068868882692 62.25739891738218, 8.206781878444382 62.25757605291351, 8.206633482480969 62.25766230680471, 8.206574107021446 62.25769660921573)"/>
    <s v="[999886, 999894, 999902]"/>
    <s v="[957095, 957103, 956910]"/>
    <s v="#FIELD!"/>
    <s v="[957034, 957095, 957103]"/>
    <s v="[0.007, 0.001, 0.001]"/>
    <s v="42.022249598558645"/>
    <s v="[-0.007, 0.001, 0.001]"/>
  </r>
  <r>
    <x v="2799"/>
    <x v="3412"/>
    <x v="0"/>
    <n v="0"/>
    <s v="LINESTRING (8.207068868882692 62.25739891738218, 8.206692540533874 62.25753290018661, 8.206501876752256 62.25760311645447, 8.206444790878976 62.25762302156831)"/>
    <s v="[999910, 999918, 999929]"/>
    <s v="[957119, 957128, 957006]"/>
    <s v="#FIELD!"/>
    <s v="[957034, 957119, 957128]"/>
    <s v="[0.009, 0.0, 0.001]"/>
    <s v="40.976016398461034"/>
    <s v="[-0.009, -0.0, -0.001]"/>
  </r>
  <r>
    <x v="2800"/>
    <x v="3413"/>
    <x v="0"/>
    <n v="0"/>
    <s v="LINESTRING (8.436242643914795 62.20870752031382, 8.207068868882692 62.25739891738218)"/>
    <m/>
    <m/>
    <s v="0.0"/>
    <m/>
    <n v="0"/>
    <s v="13838.274275619538"/>
    <n v="0"/>
  </r>
  <r>
    <x v="2801"/>
    <x v="1816"/>
    <x v="0"/>
    <n v="0"/>
    <s v="LINESTRING (15.421321289012283 66.80477246680042, 15.420793217227242 66.8048916871767, 15.417986381652534 66.80564130778986, 15.41793824471016 66.80565523218445, 15.417832846427014 66.80568575143866, 15.417624338042966 66.80574759106467, 15.416786235844748 66.80601325800797, 15.416638757817008 66.80606226861077, 15.413977066179655 66.80710512170971)"/>
    <s v="[1000603, 1000611, 1000619, 1000627, 1000635, 1000643, 1000651, 1000659]"/>
    <s v="[957740, 957748, 957756, 957765, 957771, 957779, 957789, 957794]"/>
    <s v="#FIELD!"/>
    <s v="[957739, 957740, 957748, 957756, 957765, 957771, 957779, 957789]"/>
    <s v="[0.01, 0.029, 0.032, 0.049, 0.049, 0.055, 0.065, 0.091]"/>
    <s v="416.6921138129751"/>
    <s v="[-0.01, -0.029, -0.032, -0.049, -0.049, -0.055, -0.065, -0.091]"/>
  </r>
  <r>
    <x v="2801"/>
    <x v="1816"/>
    <x v="0"/>
    <n v="0"/>
    <s v="LINESTRING (15.421321289012283 66.80477246680042, 15.421130123438989 66.80484029327393, 15.420831627077014 66.80491845258454, 15.418080723429537 66.80569784369459, 15.418032907100597 66.80571189286155, 15.41799819954813 66.80572209475362, 15.417863049158536 66.80576255162757, 15.417728173183969 66.8058031153097, 15.4169072394462 66.80606283472305, 15.413977066179655 66.80710512170971)"/>
    <s v="[1000667, 1000675, 1000683, 1000691, 1000699, 1000707, 1000715, 1000723, 1000731]"/>
    <s v="[957801, 957810, 957817, 957825, 957833, 957840, 957847, 957857, 957794]"/>
    <s v="#FIELD!"/>
    <s v="[957739, 957801, 957810, 957817, 957825, 957833, 957840, 957847, 957857]"/>
    <s v="[0.028, 0.003, 0.028, 0.057, 0.034, 0.048, 0.045, 0.056, 0.094]"/>
    <s v="415.1499049696919"/>
    <s v="[0.028, -0.003, -0.028, -0.057, -0.034, -0.048, -0.045, -0.056, -0.094]"/>
  </r>
  <r>
    <x v="2802"/>
    <x v="3414"/>
    <x v="0"/>
    <n v="0"/>
    <m/>
    <n v="1002540"/>
    <n v="959684"/>
    <s v="#FIELD!"/>
    <n v="959683"/>
    <s v="0.026"/>
    <s v="18.9006718432018"/>
    <s v="#FIELD!"/>
  </r>
  <r>
    <x v="2802"/>
    <x v="3415"/>
    <x v="0"/>
    <n v="0"/>
    <s v="LINESTRING (9.5139967096852 58.97209986776326, 9.513901948567893 58.97209307751364, 9.513837511472333 58.97207843187169)"/>
    <s v="[1002588, 1002596]"/>
    <s v="[959735, 959683]"/>
    <s v="0.03748891504270268"/>
    <s v="[959728, 959735]"/>
    <s v="[0.043, 0.03]"/>
    <s v="9.560572974466423"/>
    <s v="[0.043, 0.03]"/>
  </r>
  <r>
    <x v="2802"/>
    <x v="3416"/>
    <x v="0"/>
    <s v="[0, 0, 1, 0, 0]"/>
    <s v="LINESTRING (9.513522606421828 58.97267192383551, 9.513556963909434 58.972638220749765, 9.513650017982082 58.97253522764686, 9.513804803451626 58.97223585724343, 9.513830352177925 58.972115585946504, 9.513837511472333 58.97207843187169)"/>
    <s v="[1002947, 1002948, 1002968, 1002976, 1002984]"/>
    <s v="[960063, 960064, 960088, 960100, 959683]"/>
    <s v="#FIELD!"/>
    <s v="[959763, 960063, 960064, 960088, 960100]"/>
    <s v="[0.065, 0.065, 0.065, 0.061, 0.067]"/>
    <s v="69.1127695257619"/>
    <s v="[-0.065, -0.065, -0.065, -0.061, -0.067]"/>
  </r>
  <r>
    <x v="2803"/>
    <x v="3417"/>
    <x v="0"/>
    <n v="0"/>
    <s v="LINESTRING (9.513702715754828 58.97193167173559, 9.513925057067038 58.971807569006046, 9.514040874001429 58.97180636201654, 9.514135542182263 58.971825541345446, 9.5142701955677 58.9719739689562)"/>
    <s v="[1002548, 1002556, 1002564, 1002572]"/>
    <s v="[959692, 959701, 959711, 959720]"/>
    <s v="#FIELD!"/>
    <s v="[959684, 959692, 959701, 959711]"/>
    <s v="[0.075, 0.055, 0.035, 0.047]"/>
    <s v="51.382051812539146"/>
    <s v="[-0.075, -0.055, -0.035, 0.047]"/>
  </r>
  <r>
    <x v="2803"/>
    <x v="3418"/>
    <x v="0"/>
    <n v="0"/>
    <s v="LINESTRING (9.505935429489185 58.97141361316821, 9.50628052605654 58.97142146049821, 9.51364149873722 58.97192941195453, 9.513702715754828 58.97193167173559)"/>
    <s v="[1216168, 1435835, 1435844]"/>
    <s v="[1138533, 1305617, 959684]"/>
    <s v="#FIELD!"/>
    <s v="[960532, 1138533, 1305617]"/>
    <s v="[0.016, 0.031, 0.054]"/>
    <s v="452.19478974638747"/>
    <s v="[0.016, -0.031, -0.054]"/>
  </r>
  <r>
    <x v="2804"/>
    <x v="3415"/>
    <x v="0"/>
    <n v="0"/>
    <m/>
    <n v="1002580"/>
    <n v="959728"/>
    <s v="0.056"/>
    <n v="959720"/>
    <s v="0.056"/>
    <s v="22.63186474890523"/>
    <s v="0.056"/>
  </r>
  <r>
    <x v="2804"/>
    <x v="3419"/>
    <x v="0"/>
    <n v="0"/>
    <s v="LINESTRING (9.5142701955677 58.9719739689562, 9.514326451632158 58.97198985973641, 9.522532545893087 58.97419552027361, 9.522788495053303 58.974315208197595)"/>
    <s v="[1435819, 1435827, 1216184]"/>
    <s v="[1305606, 1138548, 960522]"/>
    <s v="#FIELD!"/>
    <s v="[959720, 1305606, 1138548]"/>
    <s v="[0.044, 0.016, 0.15]"/>
    <s v="556.6332979648704"/>
    <s v="[0.044, -0.016, -0.15]"/>
  </r>
  <r>
    <x v="2805"/>
    <x v="3420"/>
    <x v="0"/>
    <s v="[0, 0, 1, 0, 0]"/>
    <s v="LINESTRING (9.513737172181774 58.97270030321508, 9.513733186571852 58.97265663642688, 9.513741808175398 58.9725498388589, 9.51387271788642 58.972244215619625, 9.51396825000638 58.972131238565204, 9.5139967096852 58.97209986776326)"/>
    <s v="[1002987, 1003002, 1003023, 1003032, 1003044]"/>
    <s v="[960107, 960120, 960142, 960146, 959728]"/>
    <s v="#FIELD!"/>
    <s v="[959774, 960107, 960120, 960142, 960146]"/>
    <s v="[0.045, 0.058, 0.065, 0.072, 0.072]"/>
    <s v="69.29233799341169"/>
    <s v="[-0.045, -0.058, -0.065, -0.072, -0.072]"/>
  </r>
  <r>
    <x v="2806"/>
    <x v="3421"/>
    <x v="0"/>
    <n v="0"/>
    <s v="LINESTRING (9.513844104555687 58.972850649111805, 9.513479478523253 58.97295998354945, 9.51329148855817 58.972772531807905)"/>
    <s v="[1002604, 1002612]"/>
    <s v="[355734, 959755]"/>
    <s v="0.01527229044857465"/>
    <s v="[959749, 355734]"/>
    <s v="[0.054, 0.025]"/>
    <s v="53.07868491970525"/>
    <s v="[0.054, -0.025]"/>
  </r>
  <r>
    <x v="2806"/>
    <x v="3420"/>
    <x v="0"/>
    <n v="0"/>
    <m/>
    <n v="1002644"/>
    <n v="959749"/>
    <s v="0.037"/>
    <n v="959774"/>
    <s v="0.037"/>
    <s v="18.596971087582435"/>
    <s v="0.037"/>
  </r>
  <r>
    <x v="2806"/>
    <x v="3422"/>
    <x v="0"/>
    <n v="0"/>
    <s v="LINESTRING (9.52147088542412 58.97400917802054, 9.521124699986785 58.97394483277154, 9.513904251432816 58.9728543842861, 9.513844104555687 58.972850649111805)"/>
    <s v="[1216176, 1435868, 1435876]"/>
    <s v="[1138540, 1305644, 959749]"/>
    <s v="0.0069944850852731635"/>
    <s v="[960508, 1138540, 1305644]"/>
    <s v="[0.167, 0.001, 0.039]"/>
    <s v="462.5393818377724"/>
    <s v="[0.167, -0.001, 0.039]"/>
  </r>
  <r>
    <x v="2807"/>
    <x v="3416"/>
    <x v="0"/>
    <n v="0"/>
    <m/>
    <n v="1002620"/>
    <n v="959763"/>
    <s v="#FIELD!"/>
    <n v="959755"/>
    <s v="0.062"/>
    <s v="18.090263117828783"/>
    <s v="#FIELD!"/>
  </r>
  <r>
    <x v="2807"/>
    <x v="3423"/>
    <x v="0"/>
    <n v="0"/>
    <s v="LINESTRING (9.51329148855817 58.972772531807905, 9.513234341676982 58.97276178678453, 9.504996202288131 58.97143039851662, 9.504685976199164 58.971363083234266)"/>
    <s v="[1435852, 1435860, 1216160]"/>
    <s v="[1305632, 1138525, 960514]"/>
    <s v="0.011216626732524502"/>
    <s v="[959755, 1305632, 1138525]"/>
    <s v="[0.024, 0.013, 0.037]"/>
    <s v="521.5463744977901"/>
    <s v="[0.024, 0.013, -0.037]"/>
  </r>
  <r>
    <x v="2808"/>
    <x v="3420"/>
    <x v="0"/>
    <n v="0"/>
    <s v="LINESTRING (9.513522606421828 58.97267192383551, 9.513632838443991 58.972674718804925, 9.513737172181774 58.97270030321508)"/>
    <s v="[1002628, 1002636]"/>
    <s v="[959768, 959774]"/>
    <s v="#FIELD!"/>
    <s v="[959763, 959768]"/>
    <s v="[0.042, 0.013]"/>
    <s v="13.002599254247006"/>
    <s v="[-0.042, -0.013]"/>
  </r>
  <r>
    <x v="2809"/>
    <x v="3206"/>
    <x v="0"/>
    <n v="0"/>
    <m/>
    <n v="1425649"/>
    <n v="1299701"/>
    <s v="0.232"/>
    <n v="959784"/>
    <s v="0.232"/>
    <s v="99.14982599254999"/>
    <s v="0.232"/>
  </r>
  <r>
    <x v="2809"/>
    <x v="3424"/>
    <x v="0"/>
    <n v="0"/>
    <s v="LINESTRING (9.675866009283983 59.03974030553283, 9.675866009283983 59.03974030553283, 9.675868288903018 59.039464807099726)"/>
    <s v="[1002652, 1002660]"/>
    <s v="[959785, 959793]"/>
    <s v="0.0012298384836899995"/>
    <s v="[959784, 959785]"/>
    <s v="[0.0, 0.008]"/>
    <s v="199.7819955328426"/>
    <s v="[0.0, 0.008]"/>
  </r>
  <r>
    <x v="2810"/>
    <x v="3425"/>
    <x v="0"/>
    <n v="0"/>
    <s v="LINESTRING (9.675868288903018 59.039464807099726, 9.675934636543097 59.037931439825066, 9.676181792462904 59.036435314812515, 9.67634866319776 59.035524719346206, 9.677000475181059 59.03196634501703, 9.677153923624319 59.03108503723566, 9.677173483092187 59.030959839769075)"/>
    <s v="[1002664, 1002665, 1002670, 1002683, 1002691, 1002692]"/>
    <s v="[959797, 959798, 959802, 959815, 959825, 959826]"/>
    <s v="0.0062254374596288605"/>
    <s v="[959793, 959797, 959798, 959802, 959815, 959825]"/>
    <s v="[0.007, 0.004, 0.003, 0.008, 0.005, 0.005]"/>
    <s v="951.4742658101862"/>
    <s v="[0.007, 0.004, 0.003, 0.008, 0.005, 0.005]"/>
  </r>
  <r>
    <x v="2810"/>
    <x v="3426"/>
    <x v="0"/>
    <n v="0"/>
    <s v="LINESTRING (9.675868288903018 59.039464807099726, 9.675839071056947 59.039309218058364, 9.676071785563035 59.03593413306033, 9.676076720723902 59.03588214251468)"/>
    <s v="[1003608, 1435329, 1435337]"/>
    <s v="[960682, 1305297, 1305301]"/>
    <s v="0.006216718659124718"/>
    <s v="[959793, 960682, 1305297]"/>
    <s v="[0.012, 0.006, 0.003]"/>
    <s v="402.1204608552164"/>
    <s v="[0.012, 0.006, 0.003]"/>
  </r>
  <r>
    <x v="2811"/>
    <x v="3422"/>
    <x v="0"/>
    <s v="[0, 1, 0, 1, 0, 1, 0, 1, 0, 1, 0, 1, 0, 1, 0, 1, 0, 0, 0]"/>
    <s v="LINESTRING (9.677173483092187 59.030959839769075, 9.672060300142812 59.02209844873346, 9.67156417330598 59.02181984002212, 9.65990539885229 59.018405315806696, 9.656753288939502 59.01763491920343, 9.626449883113821 59.0085317334061, 9.625330584352179 59.00740966748399, 9.617586168640928 59.00285586450117, 9.616695018618096 59.00260563405107, 9.60467221693196 59.001490940479215, 9.601875101845442 59.00130328804685, 9.593479747829404 58.99991523142899, 9.588786047779992 58.99849080884344, 9.579681093409835 58.994261456484566, 9.577406814005986 58.99329038592164, 9.559823302011301 58.98656372068922, 9.557450447634631 58.98566841198071, 9.550537949217741 58.98342984901825, 9.522695970726186 58.97439113970395, 9.52147088542412 58.97400917802054)"/>
    <s v="[1003113, 1003124, 1003128, 1003134, 1003232, 1003240, 1003248, 1003260, 1003268, 1003276, 1003364, 1003372, 1003380, 1003388, 1003420, 1003428, 1003436, 1003576, 1003444]"/>
    <s v="[960231, 960237, 960241, 960246, 960322, 960330, 960340, 960349, 960358, 960367, 960437, 960444, 960450, 960457, 960485, 960495, 960503, 960507, 960508]"/>
    <s v="0.007337235481398737"/>
    <s v="[959826, 960231, 960237, 960241, 960246, 960322, 960330, 960340, 960349, 960358, 960367, 960437, 960444, 960450, 960457, 960485, 960495, 960503, 960507]"/>
    <s v="[0.016, 0.013, 0.016, 0.092, 0.019, 0.018, 0.016, 0.097, 0.003, 0.081, 0.023, 0.003, 0.053, 0.047, 0.005, 0.049, 0.073, 0.014, 0.163]"/>
    <s v="11487.856492775367"/>
    <s v="[0.016, -0.013, 0.016, -0.092, 0.019, -0.018, 0.016, 0.097, -0.003, -0.081, -0.023, -0.003, 0.053, -0.047, 0.005, -0.049, 0.073, -0.014, 0.163]"/>
  </r>
  <r>
    <x v="2811"/>
    <x v="3427"/>
    <x v="0"/>
    <n v="0"/>
    <s v="LINESTRING (9.67619068486883 59.03525628109868, 9.676191744595107 59.03521081714785, 9.677084551699826 59.03113751476608, 9.677173483092187 59.030959839769075)"/>
    <s v="[1435361, 1435369, 1003592]"/>
    <s v="[1305317, 960662, 959826]"/>
    <s v="0.006303277644326768"/>
    <s v="[1305316, 1305317, 960662]"/>
    <s v="[0.009, 0.007, 0.01]"/>
    <s v="484.56630519215963"/>
    <s v="[0.009, 0.007, -0.01]"/>
  </r>
  <r>
    <x v="2812"/>
    <x v="3428"/>
    <x v="0"/>
    <n v="0"/>
    <m/>
    <n v="1002705"/>
    <n v="959838"/>
    <s v="0.0"/>
    <n v="959837"/>
    <s v="0.0"/>
    <s v="168.60811798093508"/>
    <s v="0.0"/>
  </r>
  <r>
    <x v="2812"/>
    <x v="3206"/>
    <x v="0"/>
    <n v="0"/>
    <m/>
    <n v="1425641"/>
    <n v="1299701"/>
    <s v="0.241"/>
    <n v="959837"/>
    <s v="0.241"/>
    <s v="98.39536639174439"/>
    <s v="0.241"/>
  </r>
  <r>
    <x v="2813"/>
    <x v="3429"/>
    <x v="0"/>
    <n v="0"/>
    <s v="LINESTRING (9.676110166671894 59.039739553195936, 9.67610693471959 59.03946501568466, 9.676169454385011 59.03793712424883, 9.676355275307492 59.036443629455775, 9.67652199020349 59.03553288348511, 9.677173994608202 59.03197394074465)"/>
    <s v="[1002720, 1002721, 1002741, 1002757, 1002768]"/>
    <s v="[959850, 959851, 959870, 959890, 959897]"/>
    <s v="0.006298636102416739"/>
    <s v="[959838, 959850, 959851, 959870, 959890]"/>
    <s v="[0.008, 0.007, 0.005, 0.004, 0.007]"/>
    <s v="868.3109469304916"/>
    <s v="[0.008, 0.007, 0.005, 0.004, 0.007]"/>
  </r>
  <r>
    <x v="2813"/>
    <x v="3430"/>
    <x v="0"/>
    <n v="0"/>
    <s v="LINESTRING (9.676656153819124 59.03591059535933, 9.676647806179805 59.035959826684, 9.676138067243485 59.03958416581931, 9.67611162756834 59.039731370339176, 9.676110166671894 59.039739553195936)"/>
    <s v="[1435345, 1435353, 1003616, 1003624]"/>
    <s v="[1305306, 960691, 960692, 959838]"/>
    <s v="#FIELD!"/>
    <s v="[1305305, 1305306, 960691, 960692]"/>
    <s v="[0.003, 0.004, 0.003, 0.01]"/>
    <s v="429.5984779179763"/>
    <s v="[-0.003, -0.004, -0.003, -0.01]"/>
  </r>
  <r>
    <x v="2814"/>
    <x v="3419"/>
    <x v="0"/>
    <s v="[0, 0, 0, 1, 0, 1, 0, 1, 0, 1, 0, 1, 0, 1, 0, 1, 0, 1, 0, 0]"/>
    <s v="LINESTRING (9.677173994608202 59.03197394074465, 9.677327529397452 59.03109193451355, 9.677347172867334 59.03096664150834, 9.6721910934229 59.02203921949018, 9.671689926723989 59.0217578837765, 9.659973042329762 59.01832263824688, 9.656834531683707 59.0175556131769, 9.626600844919324 59.00848720243835, 9.625486548071772 59.00736994464559, 9.617673861670063 59.002778389296225, 9.616773564561596 59.0025255373837, 9.604687164698504 59.00140157046748, 9.601904491961323 59.00121485470107, 9.593554996237945 58.99983434362751, 9.588886648007987 58.99841767232535, 9.579796326925562 58.99419433177933, 9.577513217233738 58.99321943660382, 9.559928748061322 58.98649242114414, 9.557550539244044 58.985595043683716, 9.550622533739858 58.98335152048996, 9.522788495053303 58.974315208197595)"/>
    <s v="[1002769, 1002783, 1003160, 1003167, 1003175, 1003186, 1003209, 1003292, 1003300, 1003308, 1003316, 1003324, 1003332, 1003340, 1003348, 1003356, 1003396, 1003404, 1003410, 1003584]"/>
    <s v="[959898, 959908, 960264, 960269, 960279, 960285, 960299, 960383, 960388, 960395, 960400, 960405, 960412, 960419, 960425, 960429, 960464, 960470, 960477, 960522]"/>
    <s v="0.006283264828805578"/>
    <s v="[959897, 959898, 959908, 960264, 960269, 960279, 960285, 960299, 960383, 960388, 960395, 960400, 960405, 960412, 960419, 960425, 960429, 960464, 960470, 960477]"/>
    <s v="[0.004, 0.004, 0.016, 0.013, 0.016, 0.095, 0.02, 0.017, 0.015, 0.099, 0.004, 0.083, 0.022, 0.001, 0.051, 0.046, 0.007, 0.059, 0.073, 0.014]"/>
    <s v="11529.08058567502"/>
    <s v="[0.004, 0.004, 0.016, -0.013, 0.016, -0.095, 0.02, -0.017, 0.015, 0.099, -0.004, -0.083, -0.022, -0.001, 0.051, -0.046, 0.007, -0.059, 0.073, -0.014]"/>
  </r>
  <r>
    <x v="2814"/>
    <x v="3431"/>
    <x v="0"/>
    <n v="0"/>
    <s v="LINESTRING (9.677173994608202 59.03197394074465, 9.677199862644507 59.03217740083332, 9.676785402517138 59.03523246745142, 9.676771904552005 59.03528327746525)"/>
    <s v="[1003600, 1435377, 1435385]"/>
    <s v="[960674, 1305328, 1305334]"/>
    <s v="#FIELD!"/>
    <s v="[959897, 960674, 1305328]"/>
    <s v="[0.018, 0.008, 0.002]"/>
    <s v="371.6497909566568"/>
    <s v="[-0.018, -0.008, 0.002]"/>
  </r>
  <r>
    <x v="2815"/>
    <x v="1360"/>
    <x v="0"/>
    <n v="0"/>
    <s v="LINESTRING (5.9454297450469875 59.66270846111282, 5.944275283875049 59.66314169784527, 5.94415193977369 59.663196000704374, 5.94334964994721 59.66361073164794)"/>
    <s v="[1003319, 1003327, 1003335]"/>
    <s v="[960402, 960407, 960414]"/>
    <s v="#FIELD!"/>
    <s v="[960370, 960402, 960407]"/>
    <s v="[0.012, 0.011, 0.008]"/>
    <s v="155.7105216989749"/>
    <s v="[-0.012, -0.011, -0.008]"/>
  </r>
  <r>
    <x v="2815"/>
    <x v="1360"/>
    <x v="0"/>
    <n v="0"/>
    <s v="LINESTRING (5.9454297450469875 59.66270846111282, 5.944288130630195 59.66322318907141, 5.94334964994721 59.66361073164794)"/>
    <s v="[1003343, 1003351]"/>
    <s v="[960421, 960414]"/>
    <s v="#FIELD!"/>
    <s v="[960370, 960421]"/>
    <s v="[0.012, 0.008]"/>
    <s v="155.24364553391842"/>
    <s v="[-0.012, -0.008]"/>
  </r>
  <r>
    <x v="2815"/>
    <x v="3432"/>
    <x v="0"/>
    <s v="[0, 0, 0, 0, 0, 0, 1, 0, 0, 0, 0, 0, 0, 0, 0, 0, 0, 0, 0, 0, 0, 0, 1, 1, 0, 0, 0, 0, 0, 0, 0, 0, 0, 0, 0, 0, 0, 0, 0, 0, 0, 0, 1, 0, 0, 0, 0, 0, 0, 0, 1, 0, 0, 0, 0, 0, 0, 0, 0, 0, 0]"/>
    <s v="LINESTRING (6.017959832982428 59.69059831004596, 6.016345130346548 59.690211694172596, 6.0162491637003095 59.69016998181055, 6.012917869220551 59.68912818347904, 6.011416086981789 59.68874678323951, 6.01010470935681 59.687845965532006, 6.0097582767415325 59.68684830218536, 6.009752604371046 59.686769877084735, 6.009748815692269 59.686717421533224, 6.008668222287406 59.685214929502, 6.008526279320118 59.685099816595276, 6.008268774551279 59.684148448051005, 6.008895782870523 59.68289587643498, 6.008901243257413 59.682876720362366, 6.009103654072697 59.6822114471347, 6.009140418081886 59.68209981375935, 6.009583499972373 59.680132004567696, 6.005487014549107 59.676299850591604, 6.001676864125112 59.67346805709204, 6.000799108694436 59.67308710201406, 6.000340301983597 59.67296883290385, 5.998649881702646 59.67180754650505, 5.9986476461269405 59.67177610406905, 5.9986274847864465 59.67147047786697, 5.998337189211266 59.67082739009738, 5.998184985482389 59.67071793071845, 5.997897928259957 59.67054637067885, 5.998413283117108 59.66899637537833, 5.9981982600540995 59.668621995407875, 5.996926936470491 59.667902855958054, 5.995546452526223 59.66736082237848, 5.995430586382335 59.667334771636774, 5.989731083324087 59.66550245982118, 5.987749538635887 59.66419303125464, 5.984399464512961 59.6635053691808, 5.983364089563994 59.6633399814311, 5.983122235856455 59.663308540575464, 5.978181804884518 59.66279829040576, 5.97056275420219 59.660366254955576, 5.967766287167556 59.659819196734, 5.966408830924493 59.65955538206562, 5.965792294559852 59.65943910853887, 5.963853087322254 59.65907173144363, 5.963285458270936 59.65896571769458, 5.962586103107113 59.6588971827889, 5.962497761168957 59.65890347000295, 5.95903471163495 59.65991900527467, 5.958142208364599 59.66004111632867, 5.956091335675694 59.66018573012336, 5.955264217961912 59.66021163134854, 5.9545114780415105 59.660217055767525, 5.954367555596974 59.660218624249744, 5.953876256255969 59.66024554599686, 5.953684081844404 59.66027520218301, 5.951766809660182 59.660814174217315, 5.951352354586906 59.66086982364625, 5.94727549643612 59.661924333458416, 5.947220847406276 59.66194813465084, 5.946973817354961 59.66205583573199, 5.946151719988479 59.66241110442107, 5.945565576526257 59.6626528124992, 5.9454297450469875 59.66270846111282)"/>
    <s v="[2068564, 2068572, 2068580, 2068588, 2068596, 2068604, 2068612, 2068620, 2068628, 2068636, 2068644, 2068652, 2068660, 2068668, 2068676, 2068684, 2068692, 2068700, 2068708, 2068716, 2068724, 2068733, 2068741, 2068749, 2068757, 2068765, 2068773, 2068781, 2068789, 2068797, 2068805, 2068813, 2068821, 2068829, 2068837, 2068845, 2068853, 2068861, 2068869, 2068877, 2068885, 2068893, 2068901, 2068909, 2068917, 2068925, 2068933, 2068941, 2068949, 2068957, 2068965, 2068973, 2068981, 2068989, 2068997, 2069005, 2069013, 2069021, 2069029, 2069037, 1003279]"/>
    <s v="[1621854, 1621852, 1621856, 1621864, 1621890, 1796532, 1796538, 1796544, 1621866, 1796554, 1796561, 1671466, 1628169, 1621833, 1796582, 1796588, 1631170, 1796599, 1796606, 1630108, 1754185, 1796622, 1796628, 1754773, 1796641, 1796648, 1630152, 1754287, 1630140, 1796663, 1754890, 1629896, 1629968, 1796682, 1754749, 1754746, 1629999, 1748536, 1796704, 1796708, 1631045, 1796721, 1796725, 1796730, 1748538, 1796739, 1631985, 1631583, 1632062, 1796752, 1796756, 1049112, 1796765, 1796771, 1049122, 1631442, 1796786, 1049163, 1796798, 960369, 960370]"/>
    <s v="#FIELD!"/>
    <s v="[1581732, 1621854, 1621852, 1621856, 1621864, 1621890, 1796532, 1796538, 1796544, 1621866, 1796554, 1796561, 1671466, 1628169, 1621833, 1796582, 1796588, 1631170, 1796599, 1796606, 1630108, 1754185, 1796622, 1796628, 1754773, 1796641, 1796648, 1630152, 1754287, 1630140, 1796663, 1754890, 1629896, 1629968, 1796682, 1754749, 1754746, 1629999, 1748536, 1796704, 1796708, 1631045, 1796721, 1796725, 1796730, 1748538, 1796739, 1631985, 1631583, 1632062, 1796752, 1796756, 1049112, 1796765, 1796771, 1049122, 1631442, 1796786, 1049163, 1796798, 960369]"/>
    <s v="[0.569, 0.031, 0.017, 0.007, 0.02, 0.01, 0.016, 0.018, 0.024, 0.085, 0.039, 0.038, 0.043, 0.002, 0.008, 0.001, 0.016, 0.009, 0.054, 0.065, 0.044, 0.001, 0.001, 0.013, 0.035, 0.04, 0.029, 0.037, 0.03, 0.058, 0.024, 0.043, 0.028, 0.007, 0.003, 0.003, 0.008, 0.007, 0.026, 0.009, 0.011, 0.013, 0.015, 0.006, 0.016, 0.002, 0.023, 0.024, 0.054, 0.056, 0.08, 0.068, 0.047, 0.005, 0.018, 0.032, 0.044, 0.036, 0.029, 0.056, 0.016]"/>
    <s v="6517.170673007684"/>
    <s v="[-0.569, -0.031, -0.017, 0.007, 0.02, -0.01, -0.016, -0.018, 0.024, 0.085, 0.039, -0.038, 0.043, 0.002, -0.008, 0.001, 0.016, -0.009, -0.054, -0.065, -0.044, 0.001, -0.001, -0.013, -0.035, -0.04, 0.029, 0.037, -0.03, -0.058, -0.024, -0.043, -0.028, 0.007, 0.003, 0.003, -0.008, -0.007, -0.026, -0.009, -0.011, -0.013, -0.015, -0.006, 0.016, -0.002, -0.023, 0.024, 0.054, 0.056, 0.08, 0.068, 0.047, -0.005, -0.018, -0.032, -0.044, -0.036, -0.029, 0.056, -0.016]"/>
  </r>
  <r>
    <x v="2816"/>
    <x v="2180"/>
    <x v="0"/>
    <s v="[0, 0, 0, 0, 0, 1, 0, 1, 0, 0]"/>
    <s v="LINESTRING (8.597559120399401 63.16783556917241, 8.597559120399401 63.16783556917241, 8.571938339582442 63.16271950402759, 8.571545695663055 63.16255549153311, 8.574592296440995 63.149718655937654, 8.575060982568685 63.14924563567509, 8.57536059456188 63.148753139477, 8.568091113885773 63.14491081779957, 8.567317937549529 63.14483050545349, 8.564026323569347 63.14448863480624, 8.561587407635585 63.14424476398649)"/>
    <s v="[1003424, 1003432, 1003440, 1003384, 1003392, 1003405, 1003406, 1003407, 1003408, 1003416]"/>
    <s v="[960489, 960499, 960454, 960455, 960460, 960471, 960472, 960473, 960474, 960480]"/>
    <s v="#FIELD!"/>
    <s v="[960488, 960489, 960499, 960454, 960455, 960460, 960471, 960472, 960473, 960474]"/>
    <s v="[0.0, 0.015, 0.034, 0.004, 0.021, 0.023, 0.064, 0.072, 0.069, 0.062]"/>
    <s v="4509.567081535618"/>
    <s v="[0.0, 0.015, 0.034, 0.004, -0.021, 0.023, -0.064, -0.072, -0.069, -0.062]"/>
  </r>
  <r>
    <x v="2817"/>
    <x v="3423"/>
    <x v="0"/>
    <n v="0"/>
    <s v="LINESTRING (9.52147088542412 58.97400917802054, 9.505896375285968 58.971501052322495, 9.504685976199164 58.971363083234266)"/>
    <s v="[1003445, 1003452]"/>
    <s v="[960509, 960514]"/>
    <s v="0.009398997001678329"/>
    <s v="[960508, 960509]"/>
    <s v="[0.012, 0.025]"/>
    <s v="1015.1212699902782"/>
    <s v="[0.012, -0.025]"/>
  </r>
  <r>
    <x v="2818"/>
    <x v="3201"/>
    <x v="0"/>
    <s v="[0, 1, 0, 0, 0, 0]"/>
    <s v="LINESTRING (9.504685976199164 58.971363083234266, 9.483576007066388 58.9674743859865, 9.482419146494182 58.9671217621906, 9.471995484211304 58.96425387386139, 9.465973256659838 58.962409732992164, 9.464890489936266 58.962265428216504, 9.464796786618283 58.96223264395769)"/>
    <s v="[1003500, 1003509, 1003541, 1003549, 1003560, 1003568]"/>
    <s v="[960564, 960574, 960605, 960616, 960631, 960590]"/>
    <s v="#FIELD!"/>
    <s v="[960514, 960564, 960574, 960605, 960616, 960631]"/>
    <s v="[0.043, 0.03, 0.001, 0.091, 0.089, 0.089]"/>
    <s v="2534.622236507483"/>
    <s v="[-0.043, -0.03, 0.001, 0.091, 0.089, 0.089]"/>
  </r>
  <r>
    <x v="2819"/>
    <x v="3418"/>
    <x v="0"/>
    <n v="0"/>
    <s v="LINESTRING (9.522788495053303 58.974315208197595, 9.521557618064675 58.973931426555936, 9.505935429489185 58.97141361316821)"/>
    <s v="[1003460, 1003468]"/>
    <s v="[960523, 960532]"/>
    <s v="0.02481890874895308"/>
    <s v="[960522, 960523]"/>
    <s v="[0.16, 0.013]"/>
    <s v="1029.491423604079"/>
    <s v="[0.16, 0.013]"/>
  </r>
  <r>
    <x v="2820"/>
    <x v="3201"/>
    <x v="0"/>
    <s v="[0, 0, 1, 0, 0, 0]"/>
    <s v="LINESTRING (9.505935429489185 58.97141361316821, 9.504722618074101 58.9712753796686, 9.483664647522838 58.967397243692254, 9.482507095968502 58.96704437510051, 9.472046953292937 58.964193354714524, 9.46599967232206 58.96236571957122, 9.464796786618283 58.96223264395769)"/>
    <s v="[1003476, 1003484, 1003492, 1003517, 1003518, 1003525]"/>
    <s v="[960539, 960548, 960556, 960583, 960584, 960590]"/>
    <s v="#FIELD!"/>
    <s v="[960532, 960539, 960548, 960556, 960583, 960584]"/>
    <s v="[0.026, 0.043, 0.031, 0.0, 0.092, 0.087]"/>
    <s v="2604.481449511393"/>
    <s v="[-0.026, -0.043, -0.031, -0.0, 0.092, 0.087]"/>
  </r>
  <r>
    <x v="2821"/>
    <x v="1008"/>
    <x v="0"/>
    <n v="0"/>
    <s v="LINESTRING (15.088371043212854 66.4641119684241, 15.088521527571357 66.46409685675131, 15.088599013051091 66.4640890797981)"/>
    <s v="[1004932, 1004946]"/>
    <s v="[961914, 961931]"/>
    <s v="0.011660113455419084"/>
    <s v="[961913, 961914]"/>
    <s v="[0.012, 0.011]"/>
    <s v="10.473901536776152"/>
    <s v="[0.012, 0.011]"/>
  </r>
  <r>
    <x v="2821"/>
    <x v="1751"/>
    <x v="0"/>
    <n v="0"/>
    <m/>
    <n v="1005028"/>
    <n v="961913"/>
    <s v="#FIELD!"/>
    <n v="961950"/>
    <s v="0.019"/>
    <s v="9.79129250945711"/>
    <s v="#FIELD!"/>
  </r>
  <r>
    <x v="2822"/>
    <x v="1751"/>
    <x v="0"/>
    <n v="0"/>
    <m/>
    <n v="1005004"/>
    <n v="961931"/>
    <s v="#FIELD!"/>
    <n v="961950"/>
    <s v="0.007"/>
    <s v="8.851133825663315"/>
    <s v="#FIELD!"/>
  </r>
  <r>
    <x v="2823"/>
    <x v="3433"/>
    <x v="288"/>
    <n v="0"/>
    <s v="LINESTRING (29.87326271060724 69.71855752565536, 29.87643063754588 69.71946747907482, 29.88034369005791 69.7199795655128, 29.883407106819703 69.72029018529054, 29.884066470012097 69.72038201313626, 29.88468869454506 69.72066916493107)"/>
    <s v="[1011120, 1011128, 1011136, 1011144, 1011152]"/>
    <s v="[967971, 967979, 967988, 967999, 968007]"/>
    <s v="#FIELD!"/>
    <s v="[967970, 967971, 967979, 967988, 967999]"/>
    <s v="[0.063, 0.019, 0.016, 0.008, 0.009]"/>
    <s v="520.637352116679"/>
    <s v="[-0.063, -0.019, -0.016, -0.008, -0.009]"/>
  </r>
  <r>
    <x v="2823"/>
    <x v="3434"/>
    <x v="0"/>
    <n v="0"/>
    <s v="LINESTRING (29.872153299684776 69.7183058234425, 29.872240183251325 69.7183218797481, 29.87326271060724 69.71855752565536)"/>
    <s v="[1149182, 1149190]"/>
    <s v="[1084582, 967970]"/>
    <s v="#FIELD!"/>
    <s v="[1084581, 1084582]"/>
    <s v="[0.055, 0.083]"/>
    <s v="51.7061132407534"/>
    <s v="[-0.055, -0.083]"/>
  </r>
  <r>
    <x v="2823"/>
    <x v="3435"/>
    <x v="0"/>
    <n v="0"/>
    <s v="LINESTRING (29.87237081743274 69.71821964683545, 29.87243052703702 69.71823998434411, 29.87326271060724 69.71855752565536)"/>
    <s v="[1162428, 1162436]"/>
    <s v="[1096880, 967970]"/>
    <s v="0.13619015412997956"/>
    <s v="[1096879, 1096880]"/>
    <s v="[0.024, 0.147]"/>
    <s v="51.4124373026481"/>
    <s v="[-0.024, 0.147]"/>
  </r>
  <r>
    <x v="2824"/>
    <x v="3436"/>
    <x v="289"/>
    <n v="0"/>
    <s v="LINESTRING (30.767245185115 70.29026427562127, 31.103518674750703 70.37409316565235)"/>
    <m/>
    <m/>
    <s v="0.0"/>
    <m/>
    <n v="0"/>
    <s v="18724.321164133016"/>
    <n v="0"/>
  </r>
  <r>
    <x v="2825"/>
    <x v="3437"/>
    <x v="290"/>
    <s v="[0, 0, 0, 0, 0, 1, 0, 0, 0, 0, 0, 0, 0, 0, 0, 0]"/>
    <s v="LINESTRING (29.75377811415182 70.0736684384586, 29.753855996155853 70.07326797335374, 29.75414476649198 70.07245700646637, 29.753362508226754 70.07074321319715, 29.752138041854966 70.07016555636173, 29.751063028325778 70.06965405269146, 29.749051846739526 70.06868677122064, 29.748375186525024 70.0683625582997, 29.74748224174971 70.06803346922958, 29.747417954117854 70.06801809865081, 29.746642164411806 70.067891625752, 29.742669974451907 70.06823787225393, 29.740654170517473 70.06843237642231, 29.738819194433066 70.06869589233573, 29.738171929313133 70.06886461348645, 29.737890875864377 70.06973491376854, 29.736634059239943 70.07016517696233)"/>
    <s v="[1013043, 1013051, 1013059, 1013067, 1013075, 1013083, 1013091, 1013099, 1013107, 1013115, 1013123, 1013131, 1013139, 1013147, 1013155, 1013163]"/>
    <s v="[969842, 969850, 969855, 969862, 969869, 969876, 969882, 969890, 963369, 969902, 961582, 969915, 969923, 969929, 969936, 969943]"/>
    <s v="#FIELD!"/>
    <s v="[969841, 969842, 969850, 969855, 969862, 969869, 969876, 969882, 969890, 963369, 969902, 961582, 969915, 969923, 969929, 969936]"/>
    <s v="[0.031, 0.031, 0.027, 0.016, 0.007, 0.007, 0.003, 0.002, 0.007, 0.009, 0.011, 0.009, 0.001, 0.003, 0.002, 0.004]"/>
    <s v="1269.0666400051227"/>
    <s v="[-0.031, -0.031, -0.027, 0.016, 0.007, 0.007, 0.003, -0.002, -0.007, -0.009, -0.011, -0.009, -0.001, 0.003, 0.002, 0.004]"/>
  </r>
  <r>
    <x v="2825"/>
    <x v="3438"/>
    <x v="0"/>
    <n v="0"/>
    <s v="LINESTRING (29.75375543659728 70.07396356093942, 29.753742903387735 70.07390927247505, 29.75377811415182 70.0736684384586)"/>
    <s v="[1162044, 1162052]"/>
    <s v="[1096526, 969841]"/>
    <s v="#FIELD!"/>
    <s v="[969952, 1096526]"/>
    <s v="[1.532, 0.307]"/>
    <s v="33.20686854031331"/>
    <s v="[-1.532, 0.307]"/>
  </r>
  <r>
    <x v="2825"/>
    <x v="3439"/>
    <x v="0"/>
    <n v="0"/>
    <s v="LINESTRING (29.75409912284523 70.0739318693511, 29.754001071772475 70.07388251096712, 29.75377811415182 70.0736684384586)"/>
    <s v="[1148823, 1148831]"/>
    <s v="[1084281, 969841]"/>
    <s v="#FIELD!"/>
    <s v="[969965, 1084281]"/>
    <s v="[0.023, 0.027]"/>
    <s v="32.22839160880697"/>
    <s v="[-0.023, -0.027]"/>
  </r>
  <r>
    <x v="2826"/>
    <x v="3438"/>
    <x v="0"/>
    <n v="0"/>
    <m/>
    <n v="1013171"/>
    <n v="969952"/>
    <s v="#FIELD!"/>
    <n v="969951"/>
    <s v="0.032"/>
    <s v="5.76316753189328"/>
    <s v="#FIELD!"/>
  </r>
  <r>
    <x v="2826"/>
    <x v="3440"/>
    <x v="0"/>
    <n v="0"/>
    <s v="LINESTRING (29.7538532433292 70.07411911510415, 29.753721541853963 70.07407373009221, 29.753693758600818 70.07401055088164)"/>
    <s v="[1013251, 1013259]"/>
    <s v="[970020, 969951]"/>
    <s v="0.5141317312214865"/>
    <s v="[970013, 970020]"/>
    <s v="[0.046, 1.074]"/>
    <s v="14.299545051460528"/>
    <s v="[-0.046, 1.074]"/>
  </r>
  <r>
    <x v="2826"/>
    <x v="3441"/>
    <x v="0"/>
    <n v="0"/>
    <s v="LINESTRING (29.75290565081542 70.07416563229098, 29.753568268768646 70.07404345571733, 29.753693758600818 70.07401055088164)"/>
    <s v="[1161996, 1162004]"/>
    <s v="[1096485, 969951]"/>
    <s v="#FIELD!"/>
    <s v="[1084221, 1096485]"/>
    <s v="[0.332, 1.469]"/>
    <s v="34.997099701780726"/>
    <s v="[-0.332, 1.469]"/>
  </r>
  <r>
    <x v="2827"/>
    <x v="3439"/>
    <x v="0"/>
    <n v="0"/>
    <s v="LINESTRING (29.75375543659728 70.07396356093942, 29.75391213022568 70.07392851786304, 29.75409912284523 70.0739318693511)"/>
    <s v="[1013179, 1013187]"/>
    <s v="[969959, 969965]"/>
    <s v="#FIELD!"/>
    <s v="[969952, 969959]"/>
    <s v="[0.019, 0.006]"/>
    <s v="14.303243611117589"/>
    <s v="[-0.019, -0.006]"/>
  </r>
  <r>
    <x v="2828"/>
    <x v="3442"/>
    <x v="0"/>
    <n v="0"/>
    <m/>
    <n v="1013195"/>
    <n v="969972"/>
    <s v="0.007"/>
    <n v="969965"/>
    <s v="0.007"/>
    <s v="2.9093126335018553"/>
    <s v="0.007"/>
  </r>
  <r>
    <x v="2829"/>
    <x v="3443"/>
    <x v="0"/>
    <n v="0"/>
    <s v="LINESTRING (29.754166121947407 70.07394424940023, 29.754276883537322 70.07399572782259, 29.754276903160683 70.07405968711852)"/>
    <s v="[1013203, 1013211]"/>
    <s v="[969979, 969986]"/>
    <s v="0.027501248640248353"/>
    <s v="[969972, 969979]"/>
    <s v="[0.026, 0.029]"/>
    <s v="14.307433667228233"/>
    <s v="[0.026, 0.029]"/>
  </r>
  <r>
    <x v="2829"/>
    <x v="3444"/>
    <x v="0"/>
    <n v="0"/>
    <s v="LINESTRING (29.754166121947407 70.07394424940023, 29.754330772404902 70.07393243419104, 29.75462434363891 70.07393132184473, 29.754812207433435 70.07394702310843)"/>
    <s v="[1162012, 1162020, 1162036]"/>
    <s v="[1096497, 1096504, 1084247]"/>
    <s v="#FIELD!"/>
    <s v="[969972, 1096497, 1096504]"/>
    <s v="[1.435, 0.005, 1.243]"/>
    <s v="25.01819612074954"/>
    <s v="[-1.435, -0.005, 1.243]"/>
  </r>
  <r>
    <x v="2830"/>
    <x v="3440"/>
    <x v="0"/>
    <n v="0"/>
    <s v="LINESTRING (29.754276903160683 70.07405968711852, 29.754195812153764 70.07410297892613, 29.754038350902423 70.07412916010126, 29.753924713001737 70.07412798874513, 29.7538532433292 70.07411911510415)"/>
    <s v="[1013219, 1013227, 1013235, 1013243]"/>
    <s v="[969993, 969999, 970006, 970013]"/>
    <s v="#FIELD!"/>
    <s v="[969986, 969993, 969999, 970006]"/>
    <s v="[0.027, 0.021, 1.757, 0.022]"/>
    <s v="19.68339761989678"/>
    <s v="[0.027, 0.021, -1.757, -0.022]"/>
  </r>
  <r>
    <x v="2830"/>
    <x v="3444"/>
    <x v="0"/>
    <n v="0"/>
    <s v="LINESTRING (29.754276903160683 70.07405968711852, 29.75442054490422 70.07402138353993, 29.754646880967307 70.07397556254996, 29.754812207433435 70.07394702310843)"/>
    <s v="[1148767, 1148775, 1148791]"/>
    <s v="[1084233, 1084238, 1084247]"/>
    <s v="#FIELD!"/>
    <s v="[969986, 1084233, 1084238]"/>
    <s v="[0.024, 0.018, 0.019]"/>
    <s v="24.085190060879864"/>
    <s v="[-0.024, -0.018, -0.019]"/>
  </r>
  <r>
    <x v="2831"/>
    <x v="3441"/>
    <x v="0"/>
    <n v="0"/>
    <s v="LINESTRING (29.75290565081542 70.07416563229098, 29.7537027617858 70.0741397461269, 29.7538532433292 70.07411911510415)"/>
    <s v="[1148751, 1148759]"/>
    <s v="[1084222, 970013]"/>
    <s v="#FIELD!"/>
    <s v="[1084221, 1084222]"/>
    <s v="[0.009, 1.26]"/>
    <s v="36.859016970453396"/>
    <s v="[-0.009, -1.26]"/>
  </r>
  <r>
    <x v="2832"/>
    <x v="3445"/>
    <x v="0"/>
    <n v="0"/>
    <m/>
    <n v="1013267"/>
    <n v="970036"/>
    <s v="#FIELD!"/>
    <n v="970035"/>
    <s v="0.018"/>
    <s v="221.48712785972867"/>
    <s v="#FIELD!"/>
  </r>
  <r>
    <x v="2832"/>
    <x v="3445"/>
    <x v="0"/>
    <n v="0"/>
    <s v="LINESTRING (30.203426296422506 69.65960066835433, 30.203480772007715 69.65927703634915, 30.20423136650732 69.65774728459782)"/>
    <s v="[1166115, 1166116]"/>
    <s v="[1099813, 970036]"/>
    <s v="#FIELD!"/>
    <s v="[970035, 1099813]"/>
    <s v="[0.059, 0.01]"/>
    <s v="212.6922754382581"/>
    <s v="[-0.059, -0.01]"/>
  </r>
  <r>
    <x v="2832"/>
    <x v="3446"/>
    <x v="291"/>
    <n v="0"/>
    <s v="LINESTRING (30.121659914348715 69.6791100444826, 30.123728635836944 69.67800776368281, 30.12828578389595 69.67629296441865, 30.13051854460505 69.67584347609365, 30.1307847415959 69.6757989147839, 30.13775233782338 69.67399258214607, 30.141927499006485 69.67381420337996, 30.14420027838906 69.67403733069996, 30.148132913788462 69.67452811031767, 30.16042997296793 69.67521518209085, 30.16100979331652 69.67517438000245, 30.16970586010743 69.67347028487308, 30.175147860705984 69.67060441955657, 30.178332165904514 69.6687133396154, 30.187512884068923 69.66623966366718, 30.19008823933577 69.66539129922404, 30.192959897906025 69.66475445720725, 30.199307030299032 69.66284014966625, 30.19978318779263 69.66234428089032, 30.201131918163128 69.66138945900727, 30.20208051779963 69.66079777783983, 30.202174929095708 69.66073534246065, 30.20223535134391 69.66069413865497, 30.20229544689079 69.66065176574953, 30.2024662819141 69.6605132278968, 30.20287525608494 69.66014641615907, 30.20317838620823 69.65985533672915, 30.203219898545505 69.65981580847726, 30.203301701082466 69.65973425224341, 30.203426296422506 69.65960066835433)"/>
    <s v="[1303068, 1303076, 1303088, 443559, 443567, 443575, 443583, 443591, 443599, 443607, 443615, 443852, 443864, 443880, 443881, 443894, 443902, 443903, 1166027, 1166035, 1166048, 1166056, 1166057, 1166064, 1166073, 1166074, 1166081, 1166101, 1166107]"/>
    <s v="[1213870, 1213876, 442610, 442611, 442618, 442624, 442634, 442646, 442653, 442660, 442669, 442764, 442908, 442772, 442773, 442934, 442942, 442943, 1099737, 1099745, 1048128, 1099763, 1048147, 982381, 982389, 982382, 982390, 1099801, 970035]"/>
    <s v="0.0012417438073979747"/>
    <s v="[1213869, 1213870, 1213876, 442610, 442611, 442618, 442624, 442634, 442646, 442653, 442660, 442669, 442764, 442908, 442772, 442773, 442934, 442942, 442943, 1099737, 1099745, 1048128, 1099763, 1048147, 982381, 982389, 982382, 982390, 1099801]"/>
    <s v="[0.03, 0.017, 0.042, 0.089, 0.079, 0.061, 0.059, 0.066, 0.029, 0.036, 0.024, 0.001, 0.014, 0.031, 0.064, 0.042, 0.026, 0.01, 0.064, 0.015, 0.003, 0.003, 0.001, 0.012, 0.02, 0.032, 0.037, 0.045, 0.04]"/>
    <s v="4286.56293250502"/>
    <s v="[0.03, 0.017, 0.042, 0.089, 0.079, 0.061, -0.059, -0.066, -0.029, -0.036, -0.024, 0.001, -0.014, 0.031, -0.064, -0.042, 0.026, -0.01, -0.064, 0.015, 0.003, -0.003, -0.001, -0.012, -0.02, -0.032, -0.037, -0.045, -0.04]"/>
  </r>
  <r>
    <x v="2833"/>
    <x v="3447"/>
    <x v="0"/>
    <n v="0"/>
    <m/>
    <n v="1166128"/>
    <n v="1099823"/>
    <s v="#FIELD!"/>
    <n v="970036"/>
    <s v="0.006"/>
    <s v="16.950696150343184"/>
    <s v="#FIELD!"/>
  </r>
  <r>
    <x v="2834"/>
    <x v="3448"/>
    <x v="292"/>
    <s v="[0, 0, 0, 1, 0, 0, 0, 0, 0, 0, 0, 0, 0, 0, 0, 0, 0, 0, 0, 0, 0]"/>
    <s v="LINESTRING (23.37390692528301 69.96917686660353, 23.374127136566095 69.96902972200058, 23.37413956136074 69.96902214400951, 23.374309560913375 69.96891836387192, 23.375834143602937 69.96792123620757, 23.376905551217035 69.96721438375195, 23.3770014962513 69.9671515163393, 23.37708520799084 69.96709754713795, 23.377111958423857 69.96708018472154, 23.377928476527867 69.9665430939879, 23.378080167201954 69.96644259120679, 23.38001135105881 69.96516139088043, 23.380152798072213 69.96506887596254, 23.380365704925286 69.96492866691662, 23.380921206786308 69.96456126271998, 23.382519493770587 69.96360711736935, 23.383809055547587 69.96330864153623, 23.38436699887412 69.96325024406275, 23.38754284640176 69.96302257311591, 23.387819635942414 69.96300345840385, 23.388183305212955 69.96297813672523, 23.389717229699222 69.9628687370907)"/>
    <s v="[1015312, 1015320, 1015328, 1015336, 1015344, 1015352, 1015360, 1015368, 1015376, 1015384, 1015392, 1015400, 1015408, 1015416, 1015424, 1015432, 1015440, 1015448, 1015456, 1015464, 1015472]"/>
    <s v="[972030, 972037, 972045, 972050, 972053, 972061, 972066, 972073, 972082, 972087, 972092, 972099, 972104, 972112, 972119, 972124, 972131, 972140, 972147, 972153, 972160]"/>
    <s v="0.0055819318511487"/>
    <s v="[972029, 972030, 972037, 972045, 972050, 972053, 972061, 972066, 972073, 972082, 972087, 972092, 972099, 972104, 972112, 972119, 972124, 972131, 972140, 972147, 972153]"/>
    <s v="[0.041, 0.038, 0.036, 0.013, 0.007, 0.007, 0.007, 0.005, 0.002, 0.0, 0.011, 0.011, 0.021, 0.026, 0.026, 0.017, 0.006, 0.003, 0.002, 0.003, 0.009]"/>
    <s v="995.706528641206"/>
    <s v="[-0.041, -0.038, -0.036, -0.013, 0.007, 0.007, 0.007, 0.005, 0.002, 0.0, 0.011, 0.011, 0.021, 0.026, 0.026, 0.017, 0.006, 0.003, -0.002, -0.003, -0.009]"/>
  </r>
  <r>
    <x v="2834"/>
    <x v="3449"/>
    <x v="0"/>
    <n v="0"/>
    <s v="LINESTRING (23.373559712285882 69.96934983191318, 23.373618974226407 69.96931196940679, 23.373710028088315 69.96926184056977, 23.37390692528301 69.96917686660353)"/>
    <s v="[1024256, 1024264, 1024272]"/>
    <s v="[979117, 979125, 972029]"/>
    <s v="#FIELD!"/>
    <s v="[979116, 979117, 979125]"/>
    <s v="[0.024, 0.024, 0.165]"/>
    <s v="23.5078929793411"/>
    <s v="[-0.024, -0.024, -0.165]"/>
  </r>
  <r>
    <x v="2834"/>
    <x v="3450"/>
    <x v="0"/>
    <n v="0"/>
    <s v="LINESTRING (23.37382084245351 69.96939432252395, 23.373826648687846 69.96934294577852, 23.37385082113842 69.96928315788496, 23.37390692528301 69.96917686660353)"/>
    <s v="[1148396, 1148404, 1148412]"/>
    <s v="[1083875, 1083882, 972029]"/>
    <s v="#FIELD!"/>
    <s v="[1083874, 1083875, 1083882]"/>
    <s v="[0.021, 0.022, 0.067]"/>
    <s v="24.54110489806142"/>
    <s v="[-0.021, -0.022, -0.067]"/>
  </r>
  <r>
    <x v="2835"/>
    <x v="3451"/>
    <x v="0"/>
    <n v="0"/>
    <s v="LINESTRING (23.389717229699222 69.9628687370907, 23.39046115852098 69.96285322779389, 23.391416007904635 69.96279459996609, 23.39163411076799 69.96277982302556, 23.39190977874011 69.96276120700986, 23.393652623954946 69.962593379559)"/>
    <s v="[2075503, 2075511, 2075519, 2075527, 2075535]"/>
    <s v="[1800747, 1800751, 1800754, 1800760, 972167]"/>
    <s v="0.007375368142405879"/>
    <s v="[972160, 1800747, 1800751, 1800754, 1800760]"/>
    <s v="[0.111, 0.012, 0.01, 0.013, 0.039]"/>
    <s v="154.61582855049318"/>
    <s v="[0.111, 0.012, 0.01, 0.013, -0.039]"/>
  </r>
  <r>
    <x v="2835"/>
    <x v="3451"/>
    <x v="0"/>
    <n v="0"/>
    <s v="LINESTRING (23.389717229699222 69.9628687370907, 23.39020393580803 69.96280402106208, 23.390425796517505 69.96278620995353, 23.39135861285338 69.96271978652476, 23.391556370121474 69.96270621157305, 23.391865462021016 69.96268483179757, 23.393652623954946 69.962593379559)"/>
    <s v="[2075543, 2075551, 2075559, 2075567, 2075575, 2075583]"/>
    <s v="[1800771, 1800776, 1800779, 1800784, 1800790, 972167]"/>
    <s v="0.007429318109308539"/>
    <s v="[972160, 1800771, 1800776, 1800779, 1800784, 1800790]"/>
    <s v="[0.165, 0.01, 0.013, 0.011, 0.015, 0.043]"/>
    <s v="154.26519478387002"/>
    <s v="[0.165, 0.01, 0.013, 0.011, 0.015, -0.043]"/>
  </r>
  <r>
    <x v="2836"/>
    <x v="3452"/>
    <x v="293"/>
    <n v="0"/>
    <s v="LINESTRING (23.393652623954946 69.962593379559, 23.590884249228008 70.04715326527904)"/>
    <m/>
    <m/>
    <s v="0.0"/>
    <m/>
    <n v="0"/>
    <s v="12788.33653785324"/>
    <n v="0"/>
  </r>
  <r>
    <x v="2837"/>
    <x v="3453"/>
    <x v="294"/>
    <n v="0"/>
    <s v="LINESTRING (24.979979781295114 70.05178776469073, 24.980326857090038 70.0526395972179, 24.98042197946978 70.05285628001984, 24.98073456447987 70.05358479825261, 24.98090090288576 70.05397525593203, 24.98180156236491 70.05604007850435, 24.982697572173766 70.05818143788807, 24.982739911603083 70.05828139191422, 24.98317279050854 70.06012347651661, 24.98324082120955 70.06068380455694, 24.983252466930796 70.06075881716909, 24.983268633333534 70.06090056175888, 24.984812337820703 70.06299305101781, 24.98475577081702 70.06414450669584, 24.98461687272727 70.0647380814367, 24.98451511361978 70.06517239225484)"/>
    <s v="[1015554, 1015562, 1015570, 1015578, 1015586, 1015594, 1015602, 1015610, 1015618, 1015626, 1015634, 1179899, 1179907, 1179915, 1179923]"/>
    <s v="[972235, 972242, 972249, 972254, 972262, 972266, 972271, 972277, 972284, 972288, 972294, 1110590, 1047733, 1110601, 1037091]"/>
    <s v="#FIELD!"/>
    <s v="[972234, 972235, 972242, 972249, 972254, 972262, 972266, 972271, 972277, 972284, 972288, 972294, 1110590, 1047733, 1110601]"/>
    <s v="[0.012, 0.013, 0.014, 0.015, 0.015, 0.01, 0.006, 0.004, 0.002, 0.003, 0.002, 0.001, 0.002, 0.002, 0.002]"/>
    <s v="1513.054317107016"/>
    <s v="[-0.012, -0.013, -0.014, -0.015, -0.015, -0.01, -0.006, -0.004, 0.002, 0.003, 0.002, -0.001, 0.002, 0.002, 0.002]"/>
  </r>
  <r>
    <x v="2837"/>
    <x v="3454"/>
    <x v="0"/>
    <n v="0"/>
    <s v="LINESTRING (24.979673679915265 70.05151298961536, 24.979725047156418 70.05156307539742, 24.979979781295114 70.05178776469073)"/>
    <s v="[1060582, 1060590]"/>
    <s v="[1008754, 972234]"/>
    <s v="#FIELD!"/>
    <s v="[1008753, 1008754]"/>
    <s v="[0.028, 0.016]"/>
    <s v="33.19681265643035"/>
    <s v="[-0.028, -0.016]"/>
  </r>
  <r>
    <x v="2837"/>
    <x v="3455"/>
    <x v="0"/>
    <n v="0"/>
    <s v="LINESTRING (24.979988456312014 70.05150782360808, 24.980005260756737 70.05154997170241, 24.979979781295114 70.05178776469073)"/>
    <s v="[1162444, 1162452]"/>
    <s v="[1096892, 972234]"/>
    <s v="#FIELD!"/>
    <s v="[1096891, 1096892]"/>
    <s v="[0.024, 0.01]"/>
    <s v="31.811948334235204"/>
    <s v="[-0.024, -0.01]"/>
  </r>
  <r>
    <x v="2838"/>
    <x v="3456"/>
    <x v="0"/>
    <n v="0"/>
    <s v="LINESTRING (23.3177438001951 68.72331126908108, 23.3207058861141 68.66496884658645)"/>
    <m/>
    <m/>
    <s v="0.0"/>
    <m/>
    <n v="0"/>
    <s v="10561.183014175662"/>
    <n v="0"/>
  </r>
  <r>
    <x v="2839"/>
    <x v="3457"/>
    <x v="0"/>
    <n v="0"/>
    <s v="LINESTRING (25.07141976340873 70.47378643252064, 25.04854831924976 70.36795835691326)"/>
    <m/>
    <m/>
    <s v="0.0"/>
    <m/>
    <n v="0"/>
    <s v="15957.952800708315"/>
    <n v="0"/>
  </r>
  <r>
    <x v="2839"/>
    <x v="3458"/>
    <x v="295"/>
    <n v="0"/>
    <s v="LINESTRING (25.07141976340873 70.47378643252064, 25.185639338394168 70.53044627030664)"/>
    <m/>
    <m/>
    <s v="0.0"/>
    <m/>
    <n v="0"/>
    <s v="12188.381781344706"/>
    <n v="0"/>
  </r>
  <r>
    <x v="2839"/>
    <x v="3459"/>
    <x v="296"/>
    <n v="0"/>
    <s v="LINESTRING (24.84920960381835 70.43054805500027, 25.07141976340873 70.47378643252064)"/>
    <m/>
    <m/>
    <s v="0.0"/>
    <m/>
    <n v="0"/>
    <s v="12788.33653785324"/>
    <n v="0"/>
  </r>
  <r>
    <x v="2840"/>
    <x v="3460"/>
    <x v="0"/>
    <n v="0"/>
    <m/>
    <n v="1353172"/>
    <n v="974178"/>
    <s v="#FIELD!"/>
    <n v="1252611"/>
    <s v="0.005"/>
    <s v="14.059245001091229"/>
    <s v="#FIELD!"/>
  </r>
  <r>
    <x v="2841"/>
    <x v="3461"/>
    <x v="0"/>
    <n v="0"/>
    <m/>
    <n v="1353180"/>
    <n v="1252664"/>
    <s v="#FIELD!"/>
    <n v="974186"/>
    <s v="0.001"/>
    <s v="15.872754171625287"/>
    <s v="#FIELD!"/>
  </r>
  <r>
    <x v="2842"/>
    <x v="1125"/>
    <x v="0"/>
    <n v="0"/>
    <s v="LINESTRING (5.862492455664156 58.76681970971115, 5.8625672403460065 58.766851316415895, 5.862588175780106 58.76689823845707)"/>
    <s v="[1351943, 1351951]"/>
    <s v="[1251792, 1055681]"/>
    <s v="0.024668565116921826"/>
    <s v="[974427, 1251792]"/>
    <s v="[0.008, 0.042]"/>
    <s v="10.976813632124669"/>
    <s v="[0.008, 0.042]"/>
  </r>
  <r>
    <x v="2843"/>
    <x v="1264"/>
    <x v="0"/>
    <s v="[0, 0, 0, 0, 0, 1, 0, 0, 0, 0, 0, 0]"/>
    <s v="LINESTRING (5.71128678941112 58.859557990604166, 5.711205446001834 58.86037228136432, 5.71119760292151 58.86052705366788, 5.711252087480858 58.861979509096685, 5.711259720698077 58.862085982016005, 5.711292276523786 58.86254563698716, 5.71134066884349 58.863078119647696, 5.711567891822109 58.865078003128325, 5.713241249732726 58.86831946314462, 5.71324953550101 58.86832695883878, 5.713257821272795 58.8683344545325, 5.713305115671274 58.86838012074757, 5.718194382426881 58.87156927253416)"/>
    <s v="[1018350, 1018358, 1018366, 1018374, 1018382, 1018390, 1018398, 1018406, 1018414, 1018422, 1018430, 1018438]"/>
    <s v="[974619, 974623, 974627, 974635, 974640, 974645, 974651, 974659, 974665, 974670, 974675, 974682]"/>
    <s v="#FIELD!"/>
    <s v="[974613, 974619, 974623, 974627, 974635, 974640, 974645, 974651, 974659, 974665, 974670, 974675]"/>
    <s v="[0.045, 0.046, 0.043, 0.036, 0.034, 0.033, 0.028, 0.0, 0.003, 0.004, 0.003, 0.005]"/>
    <s v="1460.653824620692"/>
    <s v="[-0.045, -0.046, -0.043, -0.036, -0.034, -0.033, -0.028, 0.0, 0.003, 0.004, 0.003, 0.005]"/>
  </r>
  <r>
    <x v="2844"/>
    <x v="1265"/>
    <x v="0"/>
    <n v="0"/>
    <s v="LINESTRING (5.718194382426881 58.87156927253416, 5.719437105678898 58.87365459502369, 5.719439111465197 58.87366357815906, 5.719441100137158 58.87367256005466, 5.7194628339627736 58.87375315084907, 5.718733040609413 58.87702306081667, 5.718728638270268 58.87703044113997, 5.718724238323736 58.87703781259988, 5.718702165304258 58.87707468266301, 5.718694780154696 58.87708716046317)"/>
    <s v="[1018446, 1018454, 1018462, 1018470, 1018478, 1018486, 1018494, 1018502, 1018510]"/>
    <s v="[974688, 974693, 974698, 974704, 974709, 974715, 974722, 974728, 974734]"/>
    <s v="#FIELD!"/>
    <s v="[974682, 974688, 974693, 974698, 974704, 974709, 974715, 974722, 974728]"/>
    <s v="[0.001, 0.005, 0.004, 0.005, 0.009, 0.038, 0.046, 0.026, 0.05]"/>
    <s v="634.4409749902081"/>
    <s v="[0.001, 0.005, 0.004, 0.005, -0.009, -0.038, -0.046, -0.026, -0.05]"/>
  </r>
  <r>
    <x v="2845"/>
    <x v="3462"/>
    <x v="0"/>
    <n v="0"/>
    <s v="LINESTRING (5.718694780154696 58.87708716046317, 5.7186889621483585 58.87709577565892, 5.7186826652090605 58.8771061634919, 5.718668952915043 58.87713237050048, 5.717785640679158 58.88245125611423)"/>
    <s v="[1018518, 1018526, 1018534, 1018542]"/>
    <s v="[974741, 974747, 974752, 974757]"/>
    <s v="#FIELD!"/>
    <s v="[974734, 974741, 974747, 974752]"/>
    <s v="[0.032, 0.034, 0.024, 0.006]"/>
    <s v="607.1117305332249"/>
    <s v="[-0.032, -0.034, -0.024, -0.006]"/>
  </r>
  <r>
    <x v="2846"/>
    <x v="3463"/>
    <x v="297"/>
    <n v="0"/>
    <s v="LINESTRING (5.717785640679158 58.88245125611423, 5.717877494205344 58.883264018283526, 5.717609569109868 58.88642476548947, 5.717607678415776 58.88643389114365, 5.717605787720445 58.88644301679783, 5.71758352490218 58.88653403025131, 5.717135103489825 58.88776547419515)"/>
    <s v="[1018550, 1018558, 1018566, 1018574, 1018582, 1018590]"/>
    <s v="[974762, 974769, 974774, 974782, 974787, 974792]"/>
    <s v="#FIELD!"/>
    <s v="[974757, 974762, 974769, 974774, 974782, 974787]"/>
    <s v="[0.001, 0.009, 0.02, 0.02, 0.014, 0.005]"/>
    <s v="597.3887577791452"/>
    <s v="[0.001, -0.009, -0.02, -0.02, -0.014, -0.005]"/>
  </r>
  <r>
    <x v="2846"/>
    <x v="3464"/>
    <x v="0"/>
    <n v="0"/>
    <s v="LINESTRING (5.715854214614932 58.886407667055956, 5.7158683990223516 58.886350941088786, 5.71774696486868 58.88272507629796, 5.717785640679158 58.88245125611423)"/>
    <s v="[2099392, 2099393, 1435927]"/>
    <s v="[1815349, 1305684, 974757]"/>
    <s v="0.005862990760122775"/>
    <s v="[1815348, 1815349, 1305684]"/>
    <s v="[0.012, 0.007, 0.012]"/>
    <s v="485.7775472749439"/>
    <s v="[0.012, 0.007, -0.012]"/>
  </r>
  <r>
    <x v="2847"/>
    <x v="3465"/>
    <x v="0"/>
    <n v="0"/>
    <s v="LINESTRING (5.717135103489825 58.88776547419515, 5.716835703820917 58.88838262648164, 5.716010312799273 58.88972101095836, 5.715658264499542 58.890194848441325)"/>
    <s v="[1018598, 1018606, 1018614]"/>
    <s v="[974797, 974801, 974806]"/>
    <s v="#FIELD!"/>
    <s v="[974792, 974797, 974801]"/>
    <s v="[0.005, 0.008, 0.002]"/>
    <s v="284.8484788641956"/>
    <s v="[-0.005, -0.008, 0.002]"/>
  </r>
  <r>
    <x v="2847"/>
    <x v="1696"/>
    <x v="0"/>
    <n v="0"/>
    <s v="LINESTRING (5.717135103489825 58.88776547419515, 5.717177156173555 58.887534234925766, 5.7174871710763275 58.886540397791016, 5.717520457522893 58.88642849480488, 5.7175501358368095 58.88628673528414, 5.717551387261892 58.88627784346094, 5.71606810368065 58.886353842795266, 5.71607121267798 58.88641859920507)"/>
    <s v="[1436103, 2099574, 2099575, 2099592, 2099593, 2099608, 2099609]"/>
    <s v="[1305782, 1815464, 1815465, 1815480, 1815481, 1815491, 1815492]"/>
    <s v="0.002481333418568132"/>
    <s v="[974792, 1305782, 1815464, 1815465, 1815480, 1815481, 1815491]"/>
    <s v="[0.006, 0.002, 0.005, 0.005, 0.008, 0.005, 0.013]"/>
    <s v="352.8686962901257"/>
    <s v="[0.006, -0.002, 0.005, 0.005, 0.008, 0.005, -0.013]"/>
  </r>
  <r>
    <x v="2848"/>
    <x v="3466"/>
    <x v="0"/>
    <n v="0"/>
    <s v="LINESTRING (5.715658264499542 58.890194848441325, 5.715606855376159 58.89026203514835, 5.715489732609734 58.8904099213194, 5.715212505252862 58.89074305496833, 5.713619657472212 58.89247064282203, 5.711593621912938 58.894491877743526, 5.711586702145331 58.89449983466941, 5.71157978237438 58.89450779159484, 5.711475926839193 58.894627168287656, 5.7112104317581815 58.8949476915002)"/>
    <s v="[1018622, 1018630, 1018638, 1018646, 1018654, 1018662, 1018670, 1018678, 1018686]"/>
    <s v="[974812, 974817, 974822, 974827, 974833, 974839, 974844, 974849, 974856]"/>
    <s v="0.007032046186930637"/>
    <s v="[974806, 974812, 974817, 974822, 974827, 974833, 974839, 974844, 974849]"/>
    <s v="[0.004, 0.005, 0.004, 0.005, 0.013, 0.018, 0.011, 0.006, 0.011]"/>
    <s v="590.3823588055388"/>
    <s v="[0.004, 0.005, 0.004, 0.005, 0.013, 0.018, -0.011, -0.006, -0.011]"/>
  </r>
  <r>
    <x v="2848"/>
    <x v="3467"/>
    <x v="0"/>
    <n v="0"/>
    <s v="LINESTRING (5.708845581811477 58.89443965083827, 5.7088542591637585 58.89438733318937, 5.715247771735714 58.890574553736826, 5.715360648924199 58.890445472800465, 5.715658264499542 58.890194848441325)"/>
    <s v="[2099718, 2099719, 2099720, 1438654]"/>
    <s v="[1815569, 1815570, 1307570, 974806]"/>
    <s v="#FIELD!"/>
    <s v="[1212397, 1815569, 1815570, 1307570]"/>
    <s v="[0.008, 0.002, 0.061, 0.004]"/>
    <s v="647.1976487129529"/>
    <s v="[-0.008, -0.002, -0.061, -0.004]"/>
  </r>
  <r>
    <x v="2849"/>
    <x v="1348"/>
    <x v="0"/>
    <n v="0"/>
    <s v="LINESTRING (5.7112104317581815 58.8949476915002, 5.710670385100135 58.89572725637422, 5.710565847662033 58.895904680854436, 5.700486939758419 58.90603371361929, 5.700476760661487 58.906041045150715, 5.700466581560145 58.90604837668123, 5.700436044229625 58.90607037126725, 5.6998655413932555 58.90648426334412, 5.699858095853455 58.906489886364675)"/>
    <s v="[1018694, 1018702, 1018710, 1018718, 1018726, 1018734, 1018742, 1018750]"/>
    <s v="[974860, 974864, 974870, 974877, 974880, 974885, 974888, 974896]"/>
    <s v="0.0040449991624295495"/>
    <s v="[974856, 974860, 974864, 974870, 974877, 974880, 974885, 974888]"/>
    <s v="[0.004, 0.005, 0.005, 0.007, 0.007, 0.004, 0.001, 0.012]"/>
    <s v="1464.9665183188267"/>
    <s v="[-0.004, -0.005, 0.005, 0.007, 0.007, -0.004, -0.001, 0.012]"/>
  </r>
  <r>
    <x v="2849"/>
    <x v="3468"/>
    <x v="0"/>
    <n v="0"/>
    <s v="LINESTRING (5.7112104317581815 58.8949476915002, 5.71134042557513 58.894703459314194, 5.711389681992564 58.89463093041771, 5.711495778310481 58.89449423903541, 5.71205572422382 58.89389795287705, 5.712064077459465 58.89388966605769, 5.711146715886937 58.8933503934665)"/>
    <s v="[1438806, 2099780, 2099795, 2099812, 2099824, 2099832]"/>
    <s v="[1307679, 1815607, 1815615, 1815627, 1815638, 1212730]"/>
    <s v="#FIELD!"/>
    <s v="[974856, 1307679, 1815607, 1815615, 1815627, 1815638]"/>
    <s v="[0.003, 0.321, 0.013, 0.014, 0.031, 0.02]"/>
    <s v="245.534839027998"/>
    <s v="[0.003, 0.321, -0.013, -0.014, -0.031, -0.02]"/>
  </r>
  <r>
    <x v="2850"/>
    <x v="3469"/>
    <x v="0"/>
    <n v="0"/>
    <s v="LINESTRING (5.694204798774541 58.907268342866665, 5.694204798774541 58.907268342866665, 5.695166104268231 58.9080526552391, 5.696823067545511 58.90850552420798, 5.6995048543205105 58.9066835305324, 5.699858095853455 58.906489886364675)"/>
    <s v="[1384611, 1383583, 1383591, 1383599, 1383607]"/>
    <s v="[1271588, 1271677, 1271685, 1271693, 974896]"/>
    <s v="#FIELD!"/>
    <s v="[1272258, 1271588, 1271677, 1271685, 1271693]"/>
    <s v="[0.0, 0.041, 0.023, 0.031, 0.007]"/>
    <s v="518.4683294894338"/>
    <s v="[0.0, 0.041, 0.023, -0.031, 0.007]"/>
  </r>
  <r>
    <x v="2851"/>
    <x v="3470"/>
    <x v="298"/>
    <s v="[0, 0, 0, 0, 0, 0, 0, 0, 0, 0, 0, 0, 0, 0, 0, 0, 0, 0, 0, 0, 0, 0, 0, 0, 0, 0, 0, 0, 0, 1, 0, 0, 0, 0, 0, 0, 0, 0, 0, 0, 0, 0, 1, 0, 0, 0, 0, 0]"/>
    <s v="LINESTRING (13.041555795337926 67.9023299194875, 13.04036003790318 67.90198403627167, 13.038721212707621 67.90183997045455, 13.03315731016227 67.90178792887568, 13.028323673382593 67.9000064526287, 13.027864408400207 67.89951315871043, 13.028749483465386 67.89881925598378, 13.029117027894111 67.8986020843731, 13.030836194330023 67.89724936423558, 13.0310502796755 67.8972100186081, 13.03262905456189 67.89549042265992, 13.032599997732543 67.89543225083004, 13.032365715899882 67.89508666465485, 13.032223344303283 67.89497566367824, 13.031153826347811 67.89436557778187, 13.030044662390743 67.89369202521073, 13.02939246005276 67.89325589286919, 13.029317900844985 67.89318832630887, 13.028769372556843 67.89265563669997, 13.026533439417948 67.89136538197387, 13.026152815205878 67.89106065738065, 13.024961751157246 67.89062389150413, 13.024379234129794 67.89045612302823, 13.021737203650463 67.88978543933827, 13.019944903204175 67.8896904195673, 13.019023564335056 67.8896921307532, 13.016322731316343 67.8896726744845, 13.012886391710131 67.88942984181135, 13.00637504475872 67.88897149134029, 13.002539809022604 67.88853331260101, 13.002385693936953 67.88851968124644, 13.001009614879896 67.88701538057883, 12.999779642247622 67.88689219817032, 12.997824848685035 67.88585669618095, 12.997931650549067 67.8853067290842, 12.996755657578776 67.88410316718524, 12.995383784477267 67.88379443317375, 12.98526200181676 67.88415097183221, 12.983805057181616 67.88340547926325, 12.983519368306707 67.88321783285595, 12.983416973111101 67.88315023353537, 12.983065063834205 67.88295085153074, 12.980314889991389 67.88231076831734, 12.980244162901874 67.88224771148393, 12.979778340750753 67.88183328838713, 12.979746689901214 67.88179273340737, 12.979623088407147 67.8816530199148, 12.978586531409762 67.8806630849359, 12.978560411448514 67.88063813090093)"/>
    <s v="[1018993, 1019001, 1019009, 1019017, 1019025, 1019033, 1019041, 1019049, 1019057, 1019065, 1019073, 1019081, 1019089, 1019097, 1019105, 1019113, 1019121, 1019129, 1019137, 1019145, 1019153, 1019161, 1019169, 1019177, 1019185, 1019193, 1019201, 1019209, 1019217, 1019225, 1019233, 1019241, 1019249, 1019257, 1019265, 1019273, 1019281, 1019289, 1019297, 1019305, 1019313, 1019321, 1019329, 1019337, 1019345, 1019353, 1019361, 1019369]"/>
    <s v="[425583, 425773, 425766, 975067, 975072, 975077, 418423, 393027, 975089, 418394, 392388, 418382, 418329, 418310, 392404, 975121, 975127, 418231, 418222, 418189, 392443, 392470, 975156, 392556, 392538, 418249, 392708, 392785, 975186, 975192, 417949, 417937, 975208, 417927, 417905, 975224, 975230, 417895, 975241, 392795, 417883, 975257, 975263, 392815, 392806, 975280, 975286, 975290]"/>
    <s v="#FIELD!"/>
    <s v="[975050, 425583, 425773, 425766, 975067, 975072, 975077, 418423, 393027, 975089, 418394, 392388, 418382, 418329, 418310, 392404, 975121, 975127, 418231, 418222, 418189, 392443, 392470, 975156, 392556, 392538, 418249, 392708, 392785, 975186, 975192, 417949, 417937, 975208, 417927, 417905, 975224, 975230, 417895, 975241, 392795, 417883, 975257, 975263, 392815, 392806, 975280, 975286]"/>
    <s v="[0.127, 0.012, 0.101, 0.043, 0.024, 0.194, 0.142, 0.021, 0.133, 0.006, 0.018, 0.018, 0.005, 0.014, 0.003, 0.022, 0.038, 0.032, 0.022, 0.01, 0.024, 0.049, 0.006, 0.024, 0.006, 0.018, 0.012, 0.011, 0.05, 0.054, 0.011, 0.042, 0.04, 0.018, 0.029, 0.043, 0.028, 0.024, 0.03, 0.031, 0.026, 0.001, 0.044, 0.042, 0.038, 0.037, 0.025, 0.007]"/>
    <s v="4624.374975763498"/>
    <s v="[-0.127, -0.012, 0.101, -0.043, -0.024, -0.194, -0.142, -0.021, -0.133, 0.006, -0.018, -0.018, 0.005, 0.014, -0.003, -0.022, -0.038, -0.032, -0.022, -0.01, 0.024, 0.049, 0.006, 0.024, 0.006, 0.018, 0.012, -0.011, -0.05, -0.054, 0.011, 0.042, 0.04, 0.018, 0.029, 0.043, 0.028, -0.024, -0.03, -0.031, -0.026, 0.001, -0.044, -0.042, -0.038, -0.037, -0.025, -0.007]"/>
  </r>
  <r>
    <x v="2851"/>
    <x v="3471"/>
    <x v="0"/>
    <n v="0"/>
    <s v="LINESTRING (13.041555795337926 67.9023299194875, 13.041632267524362 67.90231065107712, 13.042396181961246 67.90214136650157, 13.044209362252783 67.90184703287731, 13.044533912603928 67.9017932734988, 13.046444365797075 67.901109274757, 13.046562804478306 67.90018633962045, 13.046561799748634 67.89991862197267, 13.044288778827402 67.8998893127514)"/>
    <s v="[1019377, 1019385, 1019393, 1019401, 1019409, 1019417, 1019425, 1019433]"/>
    <s v="[975296, 975302, 975310, 975315, 425835, 975325, 392378, 448431]"/>
    <s v="#FIELD!"/>
    <s v="[975050, 975296, 975302, 975310, 975315, 425835, 975325, 392378]"/>
    <s v="[3.138, 0.2, 0.131, 0.11, 0.093, 0.035, 0.025, 0.043]"/>
    <s v="483.85164290631343"/>
    <s v="[3.138, -0.2, -0.131, -0.11, -0.093, -0.035, -0.025, -0.043]"/>
  </r>
  <r>
    <x v="2851"/>
    <x v="3472"/>
    <x v="299"/>
    <n v="0"/>
    <s v="LINESTRING (13.182103334875222 67.98930236137221, 13.041555795337926 67.9023299194875)"/>
    <m/>
    <m/>
    <s v="0.0"/>
    <m/>
    <n v="0"/>
    <s v="14206.539524385877"/>
    <n v="0"/>
  </r>
  <r>
    <x v="2852"/>
    <x v="3383"/>
    <x v="0"/>
    <n v="0"/>
    <s v="LINESTRING (5.723972260482823 58.939751862221904, 5.725125426803747 58.94133082618517, 5.725129297931698 58.94133945601719, 5.725133186210327 58.94134808708908, 5.725150990305538 58.94139141323807, 5.725186230216854 58.941474388059156, 5.725251400547945 58.94165414142005, 5.725070215242819 58.944234853506664, 5.725065705766832 58.94424388952336, 5.725061213438632 58.94425292677981, 5.72499197045197 58.944388242842585, 5.724209289507586 58.94558052982833, 5.724011099500503 58.94583459084872)"/>
    <s v="[1019038, 1019046, 1019054, 1019062, 1019070, 1019078, 1019086, 1019094, 1019102, 1019110, 1019118, 1019126]"/>
    <s v="[975079, 975083, 975086, 975091, 975095, 975099, 975104, 975107, 975113, 975118, 975124, 975129]"/>
    <s v="#FIELD!"/>
    <s v="[975074, 975079, 975083, 975086, 975091, 975095, 975099, 975104, 975107, 975113, 975118, 975124]"/>
    <s v="[0.008, 0.004, 0.004, 0.01, 0.011, 0.009, 0.018, 0.021, 0.021, 0.021, 0.005, 0.016]"/>
    <s v="705.5986694000993"/>
    <s v="[0.008, 0.004, 0.004, -0.01, -0.011, -0.009, -0.018, -0.021, -0.021, -0.021, -0.005, -0.016]"/>
  </r>
  <r>
    <x v="2853"/>
    <x v="3473"/>
    <x v="300"/>
    <n v="0"/>
    <s v="LINESTRING (24.97863250150341 70.05139930913083, 24.97935440556869 70.0513495137837, 24.979508409973153 70.05134077102187)"/>
    <s v="[1024296, 1024304]"/>
    <s v="[979151, 979158]"/>
    <s v="0.030575660862217007"/>
    <s v="[975097, 979151]"/>
    <s v="[0.041, 0.019]"/>
    <s v="34.275566174455"/>
    <s v="[0.041, -0.019]"/>
  </r>
  <r>
    <x v="2853"/>
    <x v="3474"/>
    <x v="0"/>
    <n v="0"/>
    <s v="LINESTRING (24.97863250150341 70.05139930913083, 24.979365722970993 70.05145817797441, 24.979516021147163 70.05146509600483)"/>
    <s v="[1148436, 1148444]"/>
    <s v="[1083912, 1083920]"/>
    <s v="0.02353978598459661"/>
    <s v="[975097, 1083912]"/>
    <s v="[0.033, 0.024]"/>
    <s v="34.85487221889232"/>
    <s v="[0.033, -0.024]"/>
  </r>
  <r>
    <x v="2853"/>
    <x v="3475"/>
    <x v="0"/>
    <n v="0"/>
    <s v="LINESTRING (25.0021546882971 70.15676479521835, 24.97863250150341 70.05139930913083)"/>
    <m/>
    <m/>
    <s v="0.0"/>
    <m/>
    <n v="0"/>
    <s v="15957.952800708315"/>
    <n v="0"/>
  </r>
  <r>
    <x v="2854"/>
    <x v="1358"/>
    <x v="0"/>
    <n v="0"/>
    <s v="LINESTRING (5.724011099500503 58.94583459084872, 5.724162636006551 58.94555908301665, 5.724173890403706 58.94554205823993, 5.724763354594633 58.944367195106665, 5.724787583218564 58.944314708414325, 5.72479154333814 58.94430595800599, 5.724835699969641 58.94420976462994, 5.723915350369572 58.94416671319936, 5.723926131317613 58.94420497719052)"/>
    <s v="[1439222, 804456, 804464, 804472, 804480, 804488, 804496, 1439382]"/>
    <s v="[782891, 782892, 782900, 782911, 782919, 782926, 782935, 1308078]"/>
    <s v="0.005610049201160609"/>
    <s v="[975129, 782891, 782892, 782900, 782911, 782919, 782926, 782935]"/>
    <s v="[0.013, 0.012, 0.005, 0.027, 0.0, 0.023, 0.003, 0.028]"/>
    <s v="321.08624773074814"/>
    <s v="[0.013, 0.012, 0.005, 0.027, 0.0, 0.023, 0.003, -0.028]"/>
  </r>
  <r>
    <x v="2855"/>
    <x v="3476"/>
    <x v="0"/>
    <n v="0"/>
    <m/>
    <n v="1019324"/>
    <n v="975260"/>
    <s v="#FIELD!"/>
    <n v="975259"/>
    <s v="0.042"/>
    <s v="20.33291351500863"/>
    <s v="#FIELD!"/>
  </r>
  <r>
    <x v="2855"/>
    <x v="3477"/>
    <x v="0"/>
    <n v="0"/>
    <s v="LINESTRING (10.333341186955137 59.97307891196812, 10.333238500307774 59.973093262654395, 10.333138684524505 59.97307452629)"/>
    <s v="[1019356, 1019364]"/>
    <s v="[975283, 975259]"/>
    <s v="#FIELD!"/>
    <s v="[975277, 975283]"/>
    <s v="[0.141, 0.189]"/>
    <s v="11.91069263329041"/>
    <s v="[-0.141, -0.189]"/>
  </r>
  <r>
    <x v="2855"/>
    <x v="3478"/>
    <x v="0"/>
    <n v="0"/>
    <s v="LINESTRING (10.3331971503248 59.97326817445792, 10.333139258271082 59.97313001398203, 10.333138684524505 59.97307452629)"/>
    <s v="[1019420, 1019428]"/>
    <s v="[975328, 975259]"/>
    <s v="#FIELD!"/>
    <s v="[975318, 975328]"/>
    <s v="[0.113, 0.092]"/>
    <s v="22.850102631395497"/>
    <s v="[-0.113, -0.092]"/>
  </r>
  <r>
    <x v="2856"/>
    <x v="3479"/>
    <x v="0"/>
    <n v="0"/>
    <s v="LINESTRING (10.333189343735745 59.97292521805959, 10.33329590095424 59.97292413610429, 10.333395301187357 59.972963634286046)"/>
    <s v="[1019332, 1019340]"/>
    <s v="[975265, 975271]"/>
    <s v="0.17367207002410615"/>
    <s v="[975260, 975265]"/>
    <s v="[0.159, 0.186]"/>
    <s v="13.04131955952597"/>
    <s v="[0.159, 0.186]"/>
  </r>
  <r>
    <x v="2856"/>
    <x v="3480"/>
    <x v="0"/>
    <n v="0"/>
    <s v="LINESTRING (10.3410218840541 59.96742154975561, 10.340520675225255 59.96851833402286, 10.333416081850778 59.9726938153041, 10.333234047052688 59.972878214958136, 10.333189343735745 59.97292521805959)"/>
    <s v="[2159727, 2159735, 1019388, 1019396]"/>
    <s v="[1849721, 975305, 975306, 975260]"/>
    <s v="#FIELD!"/>
    <s v="[1034617, 1849721, 975305, 975306]"/>
    <s v="[0.121, 0.066, 0.002, 0.016]"/>
    <s v="861.6640771240487"/>
    <s v="[0.121, -0.066, -0.002, 0.016]"/>
  </r>
  <r>
    <x v="2857"/>
    <x v="3477"/>
    <x v="0"/>
    <n v="0"/>
    <m/>
    <n v="1019348"/>
    <n v="975277"/>
    <s v="0.039"/>
    <n v="975271"/>
    <s v="0.039"/>
    <s v="14.19311053967057"/>
    <s v="0.039"/>
  </r>
  <r>
    <x v="2857"/>
    <x v="3480"/>
    <x v="0"/>
    <n v="0"/>
    <s v="LINESTRING (10.3410218840541 59.96742154975561, 10.339203850967397 59.971095259816266, 10.338739398888242 59.97154321354069, 10.333504150327917 59.97271072324836, 10.33341745688953 59.97290054220029, 10.333395301187357 59.972963634286046)"/>
    <s v="[2159703, 2159711, 2159719, 1019372, 1019380]"/>
    <s v="[1804935, 1804941, 975292, 975293, 975271]"/>
    <s v="#FIELD!"/>
    <s v="[1034617, 1804935, 1804941, 975292, 975293]"/>
    <s v="[0.035, 0.034, 0.122, 0.046, 0.052]"/>
    <s v="862.4473111294384"/>
    <s v="[0.035, -0.034, -0.122, 0.046, 0.052]"/>
  </r>
  <r>
    <x v="2858"/>
    <x v="3478"/>
    <x v="0"/>
    <n v="0"/>
    <s v="LINESTRING (10.3331971503248 59.97326817445792, 10.333315893635392 59.97313333039683, 10.333341186955137 59.97307891196812)"/>
    <s v="[1019404, 1019412]"/>
    <s v="[975319, 975277]"/>
    <s v="#FIELD!"/>
    <s v="[975318, 975319]"/>
    <s v="[0.012, 0.045]"/>
    <s v="23.344267232660876"/>
    <s v="[-0.012, -0.045]"/>
  </r>
  <r>
    <x v="2859"/>
    <x v="3481"/>
    <x v="0"/>
    <n v="0"/>
    <s v="LINESTRING (12.978560411448514 67.88063813090093, 12.978343455592293 67.88056196443054, 12.978298695516216 67.88054247875515, 12.977240681543547 67.87919481161958)"/>
    <s v="[2043795, 2043803, 2043811]"/>
    <s v="[1781055, 1781059, 1781068]"/>
    <s v="#FIELD!"/>
    <s v="[975290, 1781055, 1781059]"/>
    <s v="[0.006, 0.001, 0.004]"/>
    <s v="182.28023256719044"/>
    <s v="[0.006, 0.001, -0.004]"/>
  </r>
  <r>
    <x v="2859"/>
    <x v="3481"/>
    <x v="0"/>
    <n v="0"/>
    <s v="LINESTRING (12.978560411448514 67.88063813090093, 12.97857073562552 67.88049936694324, 12.978575062411684 67.88046733117761, 12.977240681543547 67.87919481161958)"/>
    <s v="[2043819, 2043827, 2043835]"/>
    <s v="[1781076, 1781081, 1781068]"/>
    <s v="#FIELD!"/>
    <s v="[975290, 1781076, 1781081]"/>
    <s v="[0.031, 0.032, 0.0]"/>
    <s v="178.27918244860024"/>
    <s v="[-0.031, -0.032, -0.0]"/>
  </r>
  <r>
    <x v="2860"/>
    <x v="3482"/>
    <x v="0"/>
    <n v="0"/>
    <m/>
    <n v="1019452"/>
    <n v="975318"/>
    <s v="#FIELD!"/>
    <n v="975338"/>
    <s v="0.027"/>
    <s v="360.52345529189637"/>
    <s v="#FIELD!"/>
  </r>
  <r>
    <x v="2861"/>
    <x v="3483"/>
    <x v="0"/>
    <n v="0"/>
    <s v="LINESTRING (10.330160794002808 59.97578218630931, 10.330160794002808 59.97578218630931, 10.325934381173367 59.976820812699245, 10.324890746018992 59.97706397978698)"/>
    <s v="[1019436, 2159767, 2159775]"/>
    <s v="[975339, 1849740, 1804949]"/>
    <s v="#FIELD!"/>
    <s v="[975338, 975339, 1849740]"/>
    <s v="[0.0, 0.064, 0.082]"/>
    <s v="344.87501620904"/>
    <s v="[0.0, -0.064, -0.082]"/>
  </r>
  <r>
    <x v="2861"/>
    <x v="3484"/>
    <x v="0"/>
    <n v="0"/>
    <s v="LINESTRING (10.330160794002808 59.97578218630931, 10.330209771725889 59.975822714602934, 10.325874003465213 59.97688541698654)"/>
    <s v="[1019444, 2159743]"/>
    <s v="[975346, 1804954]"/>
    <s v="#FIELD!"/>
    <s v="[975338, 975346]"/>
    <s v="0.065"/>
    <s v="285.71097758004674"/>
    <s v="[0.065, -0.065]"/>
  </r>
  <r>
    <x v="2862"/>
    <x v="3485"/>
    <x v="301"/>
    <n v="0"/>
    <s v="LINESTRING (27.039446991291033 69.91677218158175, 27.40870059700775 70.01813404431843)"/>
    <m/>
    <m/>
    <s v="0.0"/>
    <m/>
    <n v="0"/>
    <s v="20312.085025370354"/>
    <n v="0"/>
  </r>
  <r>
    <x v="2862"/>
    <x v="3486"/>
    <x v="0"/>
    <s v="[1, 0, 0, 0, 0, 0, 0, 0]"/>
    <s v="LINESTRING (27.034551871362524 69.91225966298646, 27.034551871362524 69.91225966298646, 27.03515581864183 69.9125776600195, 27.036303457085015 69.9131841026594, 27.036390142334902 69.9132267554866, 27.036448945022943 69.91325780890028, 27.039946854967685 69.91626042067173, 27.039474378674317 69.9167463056451, 27.039446991291033 69.91677218158175)"/>
    <s v="[1166407, 1166408, 1166413, 1166421, 1166422, 1166450, 1166460, 1166466]"/>
    <s v="[1100063, 1100064, 979720, 968367, 1100074, 960018, 1100107, 975404]"/>
    <s v="0.015221856422742494"/>
    <s v="[1100062, 1100063, 1100064, 979720, 968367, 1100074, 960018, 1100107]"/>
    <s v="[0.0, 0.02, 0.02, 0.024, 0.021, 0.02, 0.025, 0.019]"/>
    <s v="768.0605135099858"/>
    <s v="[0.0, 0.02, 0.02, 0.024, 0.021, 0.02, 0.025, 0.019]"/>
  </r>
  <r>
    <x v="2862"/>
    <x v="3487"/>
    <x v="302"/>
    <n v="0"/>
    <s v="LINESTRING (26.838488991005768 69.88667056375346, 27.039446991291033 69.91677218158175)"/>
    <m/>
    <m/>
    <s v="0.0"/>
    <m/>
    <n v="0"/>
    <s v="14074.529799990265"/>
    <n v="0"/>
  </r>
  <r>
    <x v="2863"/>
    <x v="3488"/>
    <x v="0"/>
    <s v="[0, 0, 1, 0, 0, 0, 0, 0, 0, 0, 1, 0, 0, 0, 0, 0, 1, 0, 0, 0, 0, 1, 0, 0, 0, 0, 0, 0, 0, 0, 0, 0, 0, 1, 1, 0, 0, 0]"/>
    <s v="LINESTRING (14.833580828515222 68.42185412208707, 14.83957349937016 68.42396648740898, 14.841767508976098 68.42404993250787, 14.84276249235379 68.42407598296305, 14.848431464033295 68.42431063607489, 14.877932440606203 68.43933213396676, 14.895641858965865 68.44759957534964, 14.905953612196964 68.44728400430282, 14.909969456055022 68.44666113559268, 14.916574025015152 68.4457299200281, 14.936699832434128 68.44550894253823, 14.936805174373035 68.4455177717757, 14.944319437650304 68.44643468575026, 14.9774616800771 68.44203348308956, 14.982851316429175 68.43911501328361, 14.992797264599336 68.43394651256848, 14.995690262698389 68.43372761952719, 14.996388686904774 68.43371194055261, 14.996857471112408 68.43370504398916, 15.03082205336125 68.4449015478828, 15.034975048300586 68.44530052742668, 15.035924516088121 68.44544332572976, 15.036549587038927 68.44556148954831, 15.037294970450523 68.44571630685627, 15.037923779858913 68.44587338948645, 15.093447343097566 68.46168774863051, 15.094191690939594 68.46190030591177, 15.095349991929345 68.46216466210363, 15.095885674894976 68.46226082530359, 15.099723650656543 68.46269552065965, 15.148615011147875 68.46451200042335, 15.170334269959959 68.46858023722987, 15.180846863921563 68.46031142620956, 15.18359534899581 68.45872597285289, 15.193035392583209 68.45706020767335, 15.199727767334219 68.45622628845808, 15.202362980382235 68.45609099790134, 15.203961399505584 68.45621248985589, 15.20533426605537 68.45645548426943)"/>
    <s v="[1030784, 1030792, 1030800, 1030808, 1030816, 1030824, 1030832, 1030840, 1030848, 1030856, 1030864, 1030872, 1030880, 1030888, 1030896, 1030904, 1030912, 1030920, 1030928, 1030936, 1030944, 1019441, 1019449, 1019457, 1019465, 1019473, 1019481, 1019489, 1019497, 1019505, 1019513, 1019521, 1019529, 1019537, 1019545, 1019553, 1019561, 1019569]"/>
    <s v="[984722, 984730, 984737, 984742, 984747, 984752, 394222, 415082, 984770, 984776, 984784, 984788, 984796, 984803, 458507, 984817, 984823, 984828, 984836, 984844, 975343, 975344, 394066, 432505, 975360, 432435, 432422, 432456, 975384, 432481, 975392, 432540, 975405, 975412, 975418, 975424, 432091, 975434]"/>
    <s v="0.0008675966623373247"/>
    <s v="[982469, 984722, 984730, 984737, 984742, 984747, 984752, 394222, 415082, 984770, 984776, 984784, 984788, 984796, 984803, 458507, 984817, 984823, 984828, 984836, 984844, 975343, 975344, 394066, 432505, 975360, 432435, 432422, 432456, 975384, 432481, 975392, 432540, 975405, 975412, 975418, 975424, 432091]"/>
    <s v="[4.386, 0.008, 0.03, 0.199, 0.023, 0.005, 0.004, 0.041, 0.018, 0.003, 0.009, 0.028, 0.02, 0.052, 0.021, 0.039, 0.088, 0.251, 0.001, 0.075, 0.18, 0.134, 0.117, 0.099, 0.004, 0.001, 0.007, 0.051, 0.054, 0.007, 0.041, 0.015, 0.145, 0.044, 0.152, 0.022, 0.046, 0.046]"/>
    <s v="19840.497584561897"/>
    <s v="[-4.386, 0.008, 0.03, 0.199, -0.023, 0.005, -0.004, 0.041, 0.018, -0.003, -0.009, 0.028, 0.02, -0.052, -0.021, 0.039, 0.088, 0.251, -0.001, -0.075, 0.18, 0.134, 0.117, 0.099, -0.004, -0.001, 0.007, 0.051, 0.054, -0.007, 0.041, -0.015, -0.145, -0.044, 0.152, -0.022, -0.046, -0.046]"/>
  </r>
  <r>
    <x v="2863"/>
    <x v="3489"/>
    <x v="0"/>
    <n v="0"/>
    <s v="LINESTRING (15.48125482599389 68.46488314721229, 15.20533426605537 68.45645548426943)"/>
    <m/>
    <m/>
    <s v="0.0"/>
    <m/>
    <n v="0"/>
    <s v="13969.250494224472"/>
    <n v="0"/>
  </r>
  <r>
    <x v="2864"/>
    <x v="2330"/>
    <x v="0"/>
    <n v="0"/>
    <s v="LINESTRING (7.9065994289860795 58.14148478822076, 7.909159908012773 58.14341381479943, 7.913577681876765 58.14490844150182, 7.9138976510337296 58.14497933619341)"/>
    <s v="[1019820, 1019828, 1019836]"/>
    <s v="[975587, 975593, 975600]"/>
    <s v="0.0007275783420651581"/>
    <s v="[975586, 975587, 975593]"/>
    <s v="[0.035, 0.025, 0.04]"/>
    <s v="601.7800015786117"/>
    <s v="[0.035, -0.025, -0.04]"/>
  </r>
  <r>
    <x v="2864"/>
    <x v="1300"/>
    <x v="0"/>
    <n v="0"/>
    <s v="LINESTRING (7.906188790272053 58.14143227439872, 7.9062740562499965 58.141438842919094, 7.9065994289860795 58.14148478822076)"/>
    <s v="[1019844, 1019852]"/>
    <s v="[975605, 975586]"/>
    <s v="#FIELD!"/>
    <s v="[975604, 975605]"/>
    <s v="[0.026, 0.029]"/>
    <s v="24.954096529638417"/>
    <s v="[-0.026, -0.029]"/>
  </r>
  <r>
    <x v="2864"/>
    <x v="3490"/>
    <x v="0"/>
    <n v="0"/>
    <s v="LINESTRING (7.906318727545567 58.141292090417586, 7.906377207468292 58.1413354654096, 7.9065994289860795 58.14148478822076)"/>
    <s v="[1019860, 1019868]"/>
    <s v="[975613, 975586]"/>
    <s v="0.059130891645453806"/>
    <s v="[975612, 975613]"/>
    <s v="[0.081, 0.053]"/>
    <s v="27.144524456216352"/>
    <s v="[0.081, 0.053]"/>
  </r>
  <r>
    <x v="2865"/>
    <x v="3491"/>
    <x v="0"/>
    <n v="0"/>
    <m/>
    <n v="1019876"/>
    <n v="975624"/>
    <s v="#FIELD!"/>
    <n v="975600"/>
    <s v="0.062"/>
    <s v="11.764377119098821"/>
    <s v="#FIELD!"/>
  </r>
  <r>
    <x v="2866"/>
    <x v="3490"/>
    <x v="0"/>
    <n v="0"/>
    <s v="LINESTRING (7.906318727545567 58.141292090417586, 7.906286552984885 58.141377173918784, 7.906188790272053 58.14143227439872)"/>
    <s v="[1260122, 1260123]"/>
    <s v="[1177661, 975604]"/>
    <s v="0.12755254623770373"/>
    <s v="[975612, 1177661]"/>
    <s v="[0.135, 0.119]"/>
    <s v="18.111091747598884"/>
    <s v="[0.135, 0.119]"/>
  </r>
  <r>
    <x v="2867"/>
    <x v="1299"/>
    <x v="0"/>
    <n v="0"/>
    <s v="LINESTRING (7.905841530303767 58.14119655991317, 7.906252659628313 58.14120908624946, 7.906318727545567 58.141292090417586)"/>
    <s v="[1260105, 1260107]"/>
    <s v="[1177646, 975612]"/>
    <s v="#FIELD!"/>
    <s v="[1177635, 1177646]"/>
    <s v="[0.04, 0.086]"/>
    <s v="37.033202392245784"/>
    <s v="[-0.04, 0.086]"/>
  </r>
  <r>
    <x v="2868"/>
    <x v="38"/>
    <x v="0"/>
    <n v="0"/>
    <s v="LINESTRING (7.935317959089268 58.142788236309606, 7.934363662410338 58.14317248570472, 7.931890236587136 58.143785158013316, 7.9315303970840425 58.14384340030562, 7.931514192853057 58.143845859495755, 7.929967100607965 58.14401100114466, 7.927889601892998 58.144075543773646, 7.92749599238993 58.1440870652453, 7.9269861710143505 58.14410725026687, 7.926889969598708 58.144111550503105, 7.922075524616715 58.14458243374006, 7.921024723179354 58.14471572444325, 7.920916909313144 58.14472917815945, 7.919810978805146 58.14486518829148, 7.919449164436309 58.14490573070205, 7.9192913781120176 58.144919252223666, 7.91925386907417 58.14492246803751, 7.919031780846255 58.14494150457677, 7.918300098821623 58.145009111584066, 7.916798098659526 58.14509447156378, 7.916379401545278 58.14510007962634, 7.915715834850132 58.14509299213311, 7.914967088488286 58.14506118338896, 7.914950347052684 58.145060176738035, 7.914766391396636 58.14504835754566, 7.9140956165256995 58.14499201093546)"/>
    <s v="[1184707, 1184715, 1184723, 1184731, 1184739, 1184747, 1184755, 1184763, 1184771, 1184779, 1184787, 1184795, 1184803, 1184811, 1184819, 1184827, 1184835, 1184843, 1184851, 1184859, 1184867, 1184875, 1184883, 1184891, 1184899]"/>
    <s v="[1114161, 1114166, 1114171, 1114175, 1114182, 1114186, 1114189, 1114194, 215265, 1114203, 1114209, 1114216, 1114223, 1114228, 1114236, 1114241, 1114246, 1114252, 1114258, 1109333, 1114268, 1114274, 1114277, 1114283, 975624]"/>
    <s v="0.00015883015792232113"/>
    <s v="[1114154, 1114161, 1114166, 1114171, 1114175, 1114182, 1114186, 1114189, 1114194, 215265, 1114203, 1114209, 1114216, 1114223, 1114228, 1114236, 1114241, 1114246, 1114252, 1114258, 1109333, 1114268, 1114274, 1114277, 1114283]"/>
    <s v="[0.108, 0.057, 0.068, 0.095, 0.065, 0.016, 0.048, 0.05, 0.05, 0.043, 0.029, 0.032, 0.037, 0.03, 0.019, 0.005, 0.024, 0.026, 0.037, 0.03, 0.025, 0.001, 0.002, 0.002, 0.122]"/>
    <s v="1296.9842032271715"/>
    <s v="[0.108, 0.057, 0.068, 0.095, 0.065, -0.016, -0.048, -0.05, -0.05, -0.043, -0.029, -0.032, -0.037, -0.03, -0.019, -0.005, -0.024, -0.026, -0.037, -0.03, -0.025, -0.001, -0.002, 0.002, 0.122]"/>
  </r>
  <r>
    <x v="2869"/>
    <x v="3492"/>
    <x v="0"/>
    <n v="0"/>
    <s v="LINESTRING (28.55567643462822 70.17245468678786, 28.726553288960293 70.11993043664123)"/>
    <m/>
    <m/>
    <s v="0.0"/>
    <m/>
    <n v="0"/>
    <s v="13953.288836851356"/>
    <n v="0"/>
  </r>
  <r>
    <x v="2869"/>
    <x v="3493"/>
    <x v="0"/>
    <n v="0"/>
    <s v="LINESTRING (28.555823861727834 70.17270886553747, 28.555791194065453 70.17266733047346, 28.555721386597007 70.17256964629986, 28.55567643462822 70.17245468678786)"/>
    <s v="[1148644, 1148652, 1148660]"/>
    <s v="[1084110, 1084118, 975765]"/>
    <s v="#FIELD!"/>
    <s v="[1084109, 1084110, 1084118]"/>
    <s v="[0.021, 0.022, 0.308]"/>
    <s v="29.028473418607355"/>
    <s v="[-0.021, -0.022, -0.308]"/>
  </r>
  <r>
    <x v="2869"/>
    <x v="3494"/>
    <x v="0"/>
    <n v="0"/>
    <s v="LINESTRING (28.555520810405834 70.1727216575563, 28.555521852294195 70.17267945192832, 28.55558144182825 70.17257033874452, 28.55567643462822 70.17245468678786)"/>
    <s v="[1161884, 1161892, 1161900]"/>
    <s v="[1096377, 1096386, 975765]"/>
    <s v="#FIELD!"/>
    <s v="[1096376, 1096377, 1096386]"/>
    <s v="[0.035, 0.043, 0.047]"/>
    <s v="30.568712213030334"/>
    <s v="[-0.035, -0.043, -0.047]"/>
  </r>
  <r>
    <x v="2870"/>
    <x v="3495"/>
    <x v="303"/>
    <n v="0"/>
    <s v="LINESTRING (14.416044488522955 66.28953309521714, 14.591244995593089 66.13548062431376)"/>
    <m/>
    <m/>
    <s v="0.0"/>
    <m/>
    <n v="0"/>
    <s v="18159.799693509147"/>
    <n v="0"/>
  </r>
  <r>
    <x v="2871"/>
    <x v="3496"/>
    <x v="0"/>
    <n v="0"/>
    <s v="LINESTRING (23.21567469643386 69.95524135137958, 23.21703092698375 69.95574658744108, 23.217410214374354 69.9558830443946, 23.217489994629606 69.95591526897033, 23.21756210179405 69.95594927868322, 23.217682177483475 69.95599823833855, 23.218905844277078 69.95649424027725, 23.219371417567352 69.9566858083822, 23.219935583857403 69.95692154040876)"/>
    <s v="[1023792, 1023800, 1023808, 1023816, 1023824, 1023832, 1023840, 1023848]"/>
    <s v="[978655, 978663, 978672, 978680, 978687, 978695, 978704, 978711]"/>
    <s v="#FIELD!"/>
    <s v="[978654, 978655, 978663, 978672, 978680, 978687, 978695, 978704]"/>
    <s v="[0.031, 0.047, 0.079, 0.056, 0.06, 0.058, 0.066, 0.024]"/>
    <s v="248.88259117257041"/>
    <s v="[-0.031, -0.047, -0.079, -0.056, -0.06, -0.058, -0.066, -0.024]"/>
  </r>
  <r>
    <x v="2871"/>
    <x v="3497"/>
    <x v="0"/>
    <n v="0"/>
    <s v="LINESTRING (23.21567469643386 69.95524135137958, 23.21689019143467 69.9557870307245, 23.217319900559964 69.95596383057834, 23.217514891209124 69.95604457252139, 23.21872760346801 69.95653933193124, 23.21883626121964 69.95658352587014, 23.219189787404247 69.95673245921098, 23.219772356625764 69.95697081503982)"/>
    <s v="[1028742, 1028750, 1028758, 1028766, 1028774, 1028782, 1028790]"/>
    <s v="[983131, 982748, 983140, 983143, 983149, 983154, 983161]"/>
    <s v="#FIELD!"/>
    <s v="[978654, 983131, 982748, 983140, 983143, 983149, 983154]"/>
    <s v="[0.013, 0.016, 0.019, 0.022, 0.02, 0.028, 0.032]"/>
    <s v="248.9300575401064"/>
    <s v="[-0.013, -0.016, -0.019, -0.022, -0.02, -0.028, -0.032]"/>
  </r>
  <r>
    <x v="2872"/>
    <x v="3498"/>
    <x v="0"/>
    <n v="0"/>
    <s v="LINESTRING (23.219935583857403 69.95692154040876, 23.220043704489484 69.95696170047395, 23.22017568616239 69.95700888450374)"/>
    <s v="[1023856, 1023864]"/>
    <s v="[978720, 978729]"/>
    <s v="0.01971465856356805"/>
    <s v="[978711, 978720]"/>
    <s v="[0.011, 0.027]"/>
    <s v="13.403962707572926"/>
    <s v="[0.011, 0.027]"/>
  </r>
  <r>
    <x v="2872"/>
    <x v="3499"/>
    <x v="0"/>
    <s v="[0, 0, 0, 0, 0, 0, 0, 0, 0, 0, 0, 0, 0, 0, 1]"/>
    <s v="LINESTRING (23.219935583857403 69.95692154040876, 23.220022062491857 69.95690034170867, 23.220206348835045 69.95684928207916, 23.221117434694424 69.95657186568073, 23.221279370861694 69.95652094136891, 23.22140042886287 69.95648385099798, 23.221520481205232 69.95644988047225, 23.22272983004748 69.95606767509503, 23.222858211946576 69.95602699761086, 23.222920053537973 69.95600741448976, 23.22437626361033 69.955555463895, 23.224519002052766 69.95551139564574, 23.224656149898646 69.95547057944877, 23.224770169107188 69.95543583879733, 23.22739135312904 69.95478605785523, 23.227809103114996 69.9547293167746)"/>
    <s v="[1162116, 1162124, 1162132, 1162140, 1162148, 1162156, 1162164, 1162172, 1162180, 1162188, 1162196, 1162204, 1162212, 1162220, 1162228]"/>
    <s v="[1096587, 1096594, 1096601, 1096608, 1008964, 1096626, 1096635, 1096643, 1096652, 1096661, 1009237, 1096675, 982774, 1096690, 1084417]"/>
    <s v="0.043665517459143634"/>
    <s v="[978711, 1096587, 1096594, 1096601, 1096608, 1008964, 1096626, 1096635, 1096643, 1096652, 1096661, 1009237, 1096675, 982774, 1096690]"/>
    <s v="[0.164, 0.174, 0.153, 0.132, 0.132, 0.121, 0.086, 0.034, 0.034, 0.022, 0.013, 0.008, 0.005, 0.017, 0.028]"/>
    <s v="390.0534117287453"/>
    <s v="[0.164, 0.174, 0.153, 0.132, 0.132, 0.121, 0.086, 0.034, 0.034, 0.022, 0.013, 0.008, 0.005, -0.017, -0.028]"/>
  </r>
  <r>
    <x v="2872"/>
    <x v="3497"/>
    <x v="0"/>
    <n v="0"/>
    <m/>
    <n v="1162108"/>
    <n v="978711"/>
    <s v="#FIELD!"/>
    <n v="983161"/>
    <s v="0.75"/>
    <s v="8.327165003536985"/>
    <s v="#FIELD!"/>
  </r>
  <r>
    <x v="2873"/>
    <x v="3500"/>
    <x v="0"/>
    <n v="0"/>
    <s v="LINESTRING (23.22017568616239 69.95700888450374, 23.220289990986753 69.95705621341611, 23.22146003080754 69.95754109593712, 23.222080092487502 69.95780360535228, 23.22209648069909 69.95781058843315, 23.222844775660818 69.95817045505339)"/>
    <s v="[1023872, 1023880, 1023888, 1023896, 1023904]"/>
    <s v="[978739, 978748, 978758, 978766, 978776]"/>
    <s v="0.04709008231798261"/>
    <s v="[978729, 978739, 978748, 978758, 978766]"/>
    <s v="[0.01, 0.044, 0.078, 0.101, 0.032]"/>
    <s v="165.444019753321"/>
    <s v="[0.01, 0.044, 0.078, 0.101, 0.032]"/>
  </r>
  <r>
    <x v="2873"/>
    <x v="3499"/>
    <x v="0"/>
    <s v="[0, 0, 0, 0, 0, 0, 0, 0, 0, 0, 0, 0, 0, 1]"/>
    <s v="LINESTRING (23.22017568616239 69.95700888450374, 23.220238655438315 69.95698154917598, 23.22038058614938 69.95692134354655, 23.221310554958006 69.95662704884914, 23.22158255908582 69.95654102785913, 23.221697093864712 69.95650689832574, 23.223013628333703 69.9560854531101, 23.223073435761055 69.95606638947693, 23.22317519837789 69.95603395626455, 23.224531714376177 69.95561553440511, 23.22468181298415 69.95557162034059, 23.224759854968774 69.95554710601725, 23.224915951185206 69.95549744396865, 23.227450815444453 69.95481797775513, 23.227809103114996 69.9547293167746)"/>
    <s v="[1148895, 1148903, 1148911, 1148919, 1148927, 1148935, 1148943, 1148951, 1148959, 1148967, 1148975, 1148983, 1148991, 1148999]"/>
    <s v="[1084335, 1084342, 1084347, 1008956, 1084357, 1084362, 1084368, 1084376, 1084382, 1009248, 1084395, 982775, 1084409, 1084417]"/>
    <s v="0.04342355545836763"/>
    <s v="[978729, 1084335, 1084342, 1084347, 1008956, 1084357, 1084362, 1084368, 1084376, 1084382, 1009248, 1084395, 982775, 1084409]"/>
    <s v="[0.174, 0.166, 0.152, 0.133, 0.125, 0.075, 0.035, 0.039, 0.021, 0.012, 0.007, 0.008, 0.016, 0.023]"/>
    <s v="388.37468526541477"/>
    <s v="[0.174, 0.166, 0.152, 0.133, 0.125, 0.075, 0.035, 0.039, 0.021, 0.012, 0.007, 0.008, -0.016, -0.023]"/>
  </r>
  <r>
    <x v="2873"/>
    <x v="3501"/>
    <x v="0"/>
    <n v="0"/>
    <s v="LINESTRING (23.21999937545888 69.9570649868992, 23.220075308424715 69.9570415765386, 23.22017568616239 69.95700888450374)"/>
    <s v="[1148879, 1148887]"/>
    <s v="[1084327, 978729]"/>
    <s v="#FIELD!"/>
    <s v="[983169, 1084327]"/>
    <s v="[1.63, 0.173]"/>
    <s v="9.21091645780591"/>
    <s v="[-1.63, 0.173]"/>
  </r>
  <r>
    <x v="2874"/>
    <x v="3502"/>
    <x v="0"/>
    <n v="0"/>
    <s v="LINESTRING (23.222844775660818 69.95817045505339, 23.222908243178956 69.95819497728733, 23.223773458073175 69.95853123845517, 23.22405557887374 69.95862810112293, 23.224765973905342 69.95883902553908, 23.225235335642473 69.95895594558586, 23.226065209053566 69.95912697219617, 23.226460321621833 69.95919824979266)"/>
    <s v="[1027306, 1027314, 1027322, 1027330, 1027338, 1027346, 1027354]"/>
    <s v="[982000, 982008, 967967, 982021, 982028, 982038, 982045]"/>
    <s v="#FIELD!"/>
    <s v="[978776, 982000, 982008, 967967, 982021, 982028, 982038]"/>
    <s v="[2.268, 0.032, 0.027, 0.021, 0.017, 0.011, 0.005]"/>
    <s v="181.38305791893535"/>
    <s v="[-2.268, -0.032, -0.027, -0.021, -0.017, -0.011, -0.005]"/>
  </r>
  <r>
    <x v="2874"/>
    <x v="3501"/>
    <x v="0"/>
    <n v="0"/>
    <s v="LINESTRING (23.21999937545888 69.9570649868992, 23.22010629225601 69.95710916189398, 23.221286615988763 69.95758933675728, 23.221404515915406 69.95763667858867, 23.221933348831644 69.95784366336082, 23.22195058426868 69.95785039008324, 23.222844775660818 69.95817045505339)"/>
    <s v="[1028814, 1028822, 1028830, 1028838, 1028846, 1028854]"/>
    <s v="[983175, 983180, 983184, 983188, 983194, 978776]"/>
    <s v="0.014061229503890509"/>
    <s v="[983169, 983175, 983180, 983184, 983188, 983194]"/>
    <s v="[0.047, 0.038, 0.04, 0.034, 0.056, 0.134]"/>
    <s v="164.9457045591597"/>
    <s v="[-0.047, -0.038, -0.04, -0.034, -0.056, 0.134]"/>
  </r>
  <r>
    <x v="2875"/>
    <x v="3503"/>
    <x v="0"/>
    <n v="0"/>
    <s v="LINESTRING (23.236923395050212 69.96047521136865, 23.238744103949884 69.96075047812141, 23.239905697400648 69.96095887766927, 23.24028051903504 69.96103132750211, 23.240628499456186 69.96109856617686, 23.24127282810177 69.96122645725596, 23.241493142887098 69.9612708624843, 23.241674399890417 69.96130850306464, 23.241869523421045 69.96134920237802, 23.242584390622756 69.96149658487448, 23.247049008909595 69.96247512214157, 23.24722159683005 69.96251224971496, 23.247276769437057 69.96252360268905, 23.248834861740846 69.96287387148264, 23.249064381135153 69.9629274202164, 23.250063624565477 69.96315770756499, 23.258293707588415 69.96439753836485, 23.258605381443676 69.96448492910012, 23.26009148471624 69.96494026074203)"/>
    <s v="[1027362, 1027370, 1027378, 1027386, 1027394, 1027402, 1027410, 1027418, 1027426, 1027434, 1027442, 1027450, 1027458, 1027466, 1027474, 1027482, 1027490, 1027498]"/>
    <s v="[982050, 982060, 982067, 982072, 982080, 982088, 982097, 982103, 982110, 982116, 982124, 982131, 982138, 982145, 982151, 982158, 982164, 978910]"/>
    <s v="0.026197679662544146"/>
    <s v="[978900, 982050, 982060, 982067, 982072, 982080, 982088, 982097, 982103, 982110, 982116, 982124, 982131, 982138, 982145, 982151, 982158, 982164]"/>
    <s v="[0.065, 0.061, 0.038, 0.035, 0.032, 0.033, 0.002, 0.016, 0.013, 0.007, 0.01, 0.009, 0.01, 0.014, 0.019, 0.036, 0.025, 0.011]"/>
    <s v="1026.1200016743633"/>
    <s v="[0.065, 0.061, 0.038, 0.035, 0.032, 0.033, 0.002, -0.016, -0.013, 0.007, 0.01, 0.009, 0.01, 0.014, 0.019, 0.036, 0.025, 0.011]"/>
  </r>
  <r>
    <x v="2875"/>
    <x v="3502"/>
    <x v="0"/>
    <n v="0"/>
    <s v="LINESTRING (23.226460321621833 69.95919824979266, 23.22713087112249 69.95927963595499, 23.227179184180315 69.95928769846724, 23.22764686315369 69.95936430651292, 23.227797899221603 69.95938804690074, 23.22880879648477 69.95953917651684, 23.22894779413243 69.95955906603967, 23.230302147375788 69.95974849829524, 23.23065049419082 69.95979286925991, 23.23313982768435 69.96005316973223, 23.233266201872937 69.96006499450304, 23.23341639179645 69.96007905328469, 23.233767864205735 69.96011145915904, 23.23465840199545 69.96019098715261, 23.234860281912457 69.96020777778008, 23.234963390141193 69.96021635663453, 23.235145724282994 69.96023503452383, 23.235293881669072 69.96025020797751, 23.235377540371527 69.96025972064331, 23.236774606840097 69.96043672117962, 23.236923395050212 69.96047521136865)"/>
    <s v="[1753081, 1753089, 1753097, 1023912, 1023920, 1023928, 1023936, 1023944, 1023952, 1023960, 1023968, 1023976, 1023984, 1023992, 1024000, 1024008, 1024016, 1024024, 1024032, 1024040]"/>
    <s v="[1552454, 1552459, 978783, 978784, 978793, 978799, 978807, 978815, 978822, 978829, 978836, 978842, 978848, 978855, 978861, 978867, 978876, 978886, 978892, 978900]"/>
    <s v="0.01502421911745518"/>
    <s v="[982045, 1552454, 1552459, 978783, 978784, 978793, 978799, 978807, 978815, 978822, 978829, 978836, 978842, 978848, 978855, 978861, 978867, 978876, 978886, 978892]"/>
    <s v="[0.005, 0.005, 0.275, 0.036, 0.03, 0.026, 0.02, 0.008, 0.008, 0.015, 0.007, 0.009, 0.01, 0.01, 0.011, 0.011, 0.013, 0.012, 0.03, 0.039]"/>
    <s v="426.50481055957187"/>
    <s v="[0.005, -0.005, 0.275, -0.036, -0.03, -0.026, -0.02, -0.008, 0.008, 0.015, 0.007, 0.009, 0.01, 0.01, 0.011, 0.011, 0.013, 0.012, 0.03, 0.039]"/>
  </r>
  <r>
    <x v="2875"/>
    <x v="3502"/>
    <x v="0"/>
    <n v="0"/>
    <s v="LINESTRING (23.226460321621833 69.95919824979266, 23.227055058418163 69.95932444737946, 23.227121926801463 69.9593356406345, 23.22772963712577 69.9594378126126, 23.227934281064904 69.959472333312, 23.22870715279201 69.95959368871931, 23.228719439082987 69.95959543017906, 23.228845461862676 69.95961330309937, 23.229033967945284 69.95964160572856, 23.23024873254943 69.95980259881509, 23.23059981646922 69.95984403130373, 23.233087214118544 69.96012290731568, 23.233357642468558 69.96014999898479, 23.233695277855226 69.96018233604298, 23.234591462673308 69.96026932038257, 23.23475601068086 69.96028342273944, 23.234859877545247 69.96029231880996, 23.235066830413242 69.960310201422, 23.23518275413736 69.96032092138012, 23.23529324896156 69.96033124361634, 23.23673221910646 69.9604664835282, 23.236792975352635 69.96046961566384, 23.236923395050212 69.96047521136865)"/>
    <s v="[1753107, 1753112, 1753139, 1753140, 1028862, 1028870, 1028878, 1028886, 1028894, 1028902, 1028918, 1028926, 1028934, 1028942, 1028950, 1028958, 1028966, 1028974, 1028982, 1028990, 1028998, 1029006]"/>
    <s v="[1552470, 1552473, 1552485, 983204, 983205, 983210, 983215, 982921, 982689, 983230, 983240, 983243, 983249, 983254, 983258, 983263, 983269, 982728, 983281, 983286, 983293, 978900]"/>
    <s v="0.014704272932267072"/>
    <s v="[982045, 1552470, 1552473, 1552485, 983204, 983205, 983210, 983215, 982921, 982689, 983230, 983240, 983243, 983249, 983254, 983258, 983263, 983269, 982728, 983281, 983286, 983293]"/>
    <s v="[0.006, 0.02, 0.001, 0.004, 0.006, 0.077, 0.017, 0.006, 0.012, 0.016, 0.013, 0.016, 0.019, 0.018, 0.023, 0.019, 0.021, 0.02, 0.021, 0.039, 0.068, 0.004]"/>
    <s v="427.24634397931874"/>
    <s v="[-0.006, -0.02, 0.001, 0.004, 0.006, -0.077, 0.017, 0.006, 0.012, 0.016, 0.013, 0.016, 0.019, 0.018, 0.023, 0.019, 0.021, 0.02, 0.021, 0.039, 0.068, -0.004]"/>
  </r>
  <r>
    <x v="2876"/>
    <x v="3504"/>
    <x v="0"/>
    <n v="0"/>
    <s v="LINESTRING (23.26009148471624 69.96494026074203, 23.260683104769424 69.9650329431495, 23.260810442849678 69.96505759508345)"/>
    <s v="[1024048, 1024056]"/>
    <s v="[978911, 978917]"/>
    <s v="0.03728487495542823"/>
    <s v="[978910, 978911]"/>
    <s v="[0.036, 0.043]"/>
    <s v="30.49847192177666"/>
    <s v="[0.036, 0.043]"/>
  </r>
  <r>
    <x v="2876"/>
    <x v="3505"/>
    <x v="0"/>
    <n v="0"/>
    <s v="LINESTRING (23.26009148471624 69.96494026074203, 23.26044050839446 69.96513336142837, 23.26054701651137 69.96519067943318)"/>
    <s v="[1029014, 1029022]"/>
    <s v="[983303, 983309]"/>
    <s v="0.0732560151820006"/>
    <s v="[978910, 983303]"/>
    <s v="[0.085, 0.034]"/>
    <s v="32.952746325244824"/>
    <s v="[0.085, 0.034]"/>
  </r>
  <r>
    <x v="2877"/>
    <x v="3506"/>
    <x v="0"/>
    <n v="0"/>
    <s v="LINESTRING (23.260810442849678 69.96505759508345, 23.260892372883276 69.96505412504297, 23.261120237758973 69.96508215653351, 23.261244461528793 69.96516511274493, 23.26124244113843 69.96519051729777)"/>
    <s v="[1164105, 1164113, 1164121, 1164129]"/>
    <s v="[1008880, 1098186, 1097041, 978925]"/>
    <s v="0.02572273021588025"/>
    <s v="[978917, 1008880, 1098186, 1097041]"/>
    <s v="[0.016, 0.017, 0.043, 0.036]"/>
    <s v="25.88794541083043"/>
    <s v="[-0.016, 0.017, 0.043, 0.036]"/>
  </r>
  <r>
    <x v="2877"/>
    <x v="3505"/>
    <x v="0"/>
    <n v="0"/>
    <s v="LINESTRING (23.26054701651137 69.96519067943318, 23.260614244731684 69.96510280113506, 23.260810442849678 69.96505759508345)"/>
    <s v="[1164169, 1164177]"/>
    <s v="[1098223, 978917]"/>
    <s v="#FIELD!"/>
    <s v="[983309, 1098223]"/>
    <s v="[0.119, 0.007]"/>
    <s v="19.192904899905823"/>
    <s v="[-0.119, -0.007]"/>
  </r>
  <r>
    <x v="2878"/>
    <x v="3507"/>
    <x v="0"/>
    <n v="0"/>
    <s v="LINESTRING (23.26124244113843 69.96519051729777, 23.261326781610332 69.96523684036676, 23.261630520795897 69.96537585082238, 23.261803492072477 69.96545760252052)"/>
    <s v="[1024064, 1024072, 1024080]"/>
    <s v="[978926, 978932, 978940]"/>
    <s v="0.03752245405124012"/>
    <s v="[978925, 978926, 978932]"/>
    <s v="[0.042, 0.037, 0.036]"/>
    <s v="36.766840662219685"/>
    <s v="[0.042, 0.037, 0.036]"/>
  </r>
  <r>
    <x v="2878"/>
    <x v="3508"/>
    <x v="0"/>
    <n v="0"/>
    <s v="LINESTRING (23.26124244113843 69.96519051729777, 23.261130447814967 69.96526354985502, 23.260848562490178 69.96529390753135)"/>
    <s v="[1164137, 1164145]"/>
    <s v="[1098201, 1083706]"/>
    <s v="0.05236593999585653"/>
    <s v="[978925, 1098201]"/>
    <s v="[0.039, 0.063]"/>
    <s v="20.791969653140917"/>
    <s v="[0.039, 0.063]"/>
  </r>
  <r>
    <x v="2879"/>
    <x v="3509"/>
    <x v="0"/>
    <n v="0"/>
    <s v="LINESTRING (23.261803492072477 69.96545760252052, 23.26273967022754 69.96568272460257, 23.26515046063857 69.9661933941945, 23.268797820052487 69.9673517037761, 23.270654938116866 69.96835417625948, 23.27070370720187 69.96837982502964)"/>
    <s v="[1027506, 1027514, 1027522, 1027530, 1027538]"/>
    <s v="[982172, 982178, 982181, 982187, 978944]"/>
    <s v="0.016902804198596418"/>
    <s v="[978940, 982172, 982178, 982181, 982187]"/>
    <s v="[0.041, 0.015, 0.004, 0.011, 0.723]"/>
    <s v="480.4283603776239"/>
    <s v="[0.041, 0.015, 0.004, 0.011, 0.723]"/>
  </r>
  <r>
    <x v="2879"/>
    <x v="3508"/>
    <x v="0"/>
    <n v="0"/>
    <s v="LINESTRING (23.260848562490178 69.96529390753135, 23.261056112577407 69.96532865633341, 23.26152178343827 69.96541618079472, 23.261803492072477 69.96545760252052)"/>
    <s v="[1148188, 1148196, 1148204]"/>
    <s v="[1083707, 1083715, 978940]"/>
    <s v="0.007291564402190652"/>
    <s v="[1083706, 1083707, 1083715]"/>
    <s v="[0.025, 0.024, 0.035]"/>
    <s v="40.905095414308356"/>
    <s v="[0.025, 0.024, -0.035]"/>
  </r>
  <r>
    <x v="2880"/>
    <x v="3510"/>
    <x v="0"/>
    <n v="0"/>
    <s v="LINESTRING (23.27070370720187 69.96837982502964, 23.27128811615619 69.96861695920529, 23.271591607104117 69.96872333638015, 23.271729042310543 69.9687646299573)"/>
    <s v="[1024088, 1024096, 1024104]"/>
    <s v="[978945, 978952, 978960]"/>
    <s v="0.012547615542206767"/>
    <s v="[978944, 978945, 978952]"/>
    <s v="[0.014, 0.011, 0.009]"/>
    <s v="58.39675597816668"/>
    <s v="[0.014, 0.011, 0.009]"/>
  </r>
  <r>
    <x v="2880"/>
    <x v="3511"/>
    <x v="0"/>
    <n v="0"/>
    <s v="LINESTRING (23.27070370720187 69.96837982502964, 23.27113506675894 69.96865838454073, 23.271328045906976 69.96877171692634, 23.27139477225135 69.96880920723089)"/>
    <s v="[1148212, 1148220, 1148228]"/>
    <s v="[1083727, 1083731, 1083738]"/>
    <s v="#FIELD!"/>
    <s v="[978944, 1083727, 1083731]"/>
    <s v="[0.05, 0.02, 0.022]"/>
    <s v="54.826503172442145"/>
    <s v="[-0.05, 0.02, 0.022]"/>
  </r>
  <r>
    <x v="2881"/>
    <x v="3512"/>
    <x v="0"/>
    <n v="0"/>
    <s v="LINESTRING (23.271729042310543 69.9687646299573, 23.27186313164128 69.96879143612529, 23.271945602684095 69.96884090763008, 23.271941706455355 69.96889333837586, 23.271899059589764 69.96892462320693)"/>
    <s v="[1164185, 1164193, 1164201, 1164209]"/>
    <s v="[982831, 1098241, 1009316, 978966]"/>
    <s v="0.014619870746604322"/>
    <s v="[978960, 982831, 1098241, 1009316]"/>
    <s v="[0.002, 0.007, 0.027, 0.034]"/>
    <s v="22.01470485011905"/>
    <s v="[-0.002, 0.007, 0.027, 0.034]"/>
  </r>
  <r>
    <x v="2881"/>
    <x v="3511"/>
    <x v="0"/>
    <n v="0"/>
    <s v="LINESTRING (23.27139477225135 69.96880920723089, 23.27151830155544 69.96877178530679, 23.271729042310543 69.9687646299573)"/>
    <s v="[1164265, 1164273]"/>
    <s v="[1098298, 978960]"/>
    <s v="0.14413807946665036"/>
    <s v="[1083738, 1098298]"/>
    <s v="[0.346, 0.013]"/>
    <s v="14.415268383695597"/>
    <s v="[0.346, -0.013]"/>
  </r>
  <r>
    <x v="2882"/>
    <x v="3513"/>
    <x v="0"/>
    <n v="0"/>
    <s v="LINESTRING (23.271899059589764 69.96892462320693, 23.271972819767463 69.96896083486516, 23.272188357125028 69.96906941321618, 23.27249730329083 69.96925330981271)"/>
    <s v="[1024112, 1024120, 1024128]"/>
    <s v="[978967, 978976, 978982]"/>
    <s v="0.006441980253865456"/>
    <s v="[978966, 978967, 978976]"/>
    <s v="[0.008, 0.005, 0.007]"/>
    <s v="43.71923085734048"/>
    <s v="[0.008, 0.005, 0.007]"/>
  </r>
  <r>
    <x v="2882"/>
    <x v="3514"/>
    <x v="0"/>
    <n v="0"/>
    <s v="LINESTRING (23.271899059589764 69.96892462320693, 23.271783129388783 69.96895861615387, 23.271577552665452 69.96896616246913)"/>
    <s v="[1164217, 1164225]"/>
    <s v="[1098261, 1083744]"/>
    <s v="#FIELD!"/>
    <s v="[978966, 1098261]"/>
    <s v="[0.041, 0.279]"/>
    <s v="13.752324237649557"/>
    <s v="[0.041, -0.279]"/>
  </r>
  <r>
    <x v="2883"/>
    <x v="3515"/>
    <x v="304"/>
    <n v="0"/>
    <m/>
    <n v="1027546"/>
    <n v="978989"/>
    <s v="0.026"/>
    <n v="978982"/>
    <s v="0.026"/>
    <s v="454.9080238804693"/>
    <s v="0.026"/>
  </r>
  <r>
    <x v="2883"/>
    <x v="3514"/>
    <x v="0"/>
    <n v="0"/>
    <s v="LINESTRING (23.271577552665452 69.96896616246913, 23.27170347050509 69.96900157734073, 23.271855870364366 69.96904587643195, 23.272048056190435 69.96910762992927, 23.27249730329083 69.96925330981271)"/>
    <s v="[1148236, 1148244, 1148252, 1148260]"/>
    <s v="[1083745, 1083750, 1083757, 978982]"/>
    <s v="0.047549329055658354"/>
    <s v="[1083744, 1083745, 1083750, 1083757]"/>
    <s v="[0.019, 0.297, 0.003, 0.004]"/>
    <s v="47.63279647004353"/>
    <s v="[0.019, 0.297, -0.003, -0.004]"/>
  </r>
  <r>
    <x v="2884"/>
    <x v="3516"/>
    <x v="0"/>
    <n v="0"/>
    <s v="LINESTRING (23.281070430660407 69.97206986449027, 23.28164275365021 69.97223890180818, 23.28306135716649 69.97269765461866, 23.2831532608171 69.97272035682902)"/>
    <s v="[1024136, 1024144, 1024152]"/>
    <s v="[978990, 978997, 979004]"/>
    <s v="0.04251868746896455"/>
    <s v="[978989, 978990, 978997]"/>
    <s v="[0.052, 0.041, 0.005]"/>
    <s v="108.25775798636752"/>
    <s v="[0.052, 0.041, 0.005]"/>
  </r>
  <r>
    <x v="2884"/>
    <x v="3517"/>
    <x v="0"/>
    <n v="0"/>
    <s v="LINESTRING (23.281070430660407 69.97206986449027, 23.281527744941478 69.97227567823151, 23.282850409963093 69.97276605754634, 23.282924941135633 69.97279063191111)"/>
    <s v="[1148268, 1148276, 1148284]"/>
    <s v="[1083770, 1083779, 1083785]"/>
    <s v="0.05182004029547778"/>
    <s v="[978989, 1083770, 1083779]"/>
    <s v="[0.067, 0.048, 0.013]"/>
    <s v="107.40679866179734"/>
    <s v="[0.067, 0.048, 0.013]"/>
  </r>
  <r>
    <x v="2885"/>
    <x v="3518"/>
    <x v="0"/>
    <n v="0"/>
    <s v="LINESTRING (23.2831532608171 69.97272035682902, 23.283436685885352 69.97274123972996, 23.283540879519492 69.97279407348327, 23.283556469832465 69.97283650719098, 23.283545478221985 69.97285654827279)"/>
    <s v="[1164281, 1164289, 1164297, 1164305]"/>
    <s v="[1009481, 1098315, 982967, 979009]"/>
    <s v="0.01563726886539339"/>
    <s v="[979004, 1009481, 1098315, 982967]"/>
    <s v="[0.026, 0.029, 0.069, 0.071]"/>
    <s v="25.604813100053782"/>
    <s v="[-0.026, 0.029, 0.069, 0.071]"/>
  </r>
  <r>
    <x v="2885"/>
    <x v="3517"/>
    <x v="0"/>
    <n v="0"/>
    <s v="LINESTRING (23.282924941135633 69.97279063191111, 23.283007914697958 69.97274799805838, 23.2831532608171 69.97272035682902)"/>
    <s v="[1164361, 1164369]"/>
    <s v="[1098369, 979004]"/>
    <s v="#FIELD!"/>
    <s v="[1083785, 1098369]"/>
    <s v="[0.082, 0.071]"/>
    <s v="12.082948950544754"/>
    <s v="[-0.082, -0.071]"/>
  </r>
  <r>
    <x v="2886"/>
    <x v="3519"/>
    <x v="0"/>
    <n v="0"/>
    <s v="LINESTRING (23.283545478221985 69.97285654827279, 23.283610452713546 69.97289074573762, 23.283816126205906 69.97299899009235, 23.28407447943409 69.97314180921077)"/>
    <s v="[1024160, 1024168, 1024176]"/>
    <s v="[979010, 979018, 979025]"/>
    <s v="#FIELD!"/>
    <s v="[979009, 979010, 979018]"/>
    <s v="[0.024, 0.375, 0.003]"/>
    <s v="37.74140760602293"/>
    <s v="[0.024, -0.375, 0.003]"/>
  </r>
  <r>
    <x v="2886"/>
    <x v="3520"/>
    <x v="0"/>
    <n v="0"/>
    <s v="LINESTRING (23.283545478221985 69.97285654827279, 23.28342382371745 69.9729178458324, 23.283269177126034 69.97293811294624)"/>
    <s v="[1164313, 1164321]"/>
    <s v="[1098331, 1083792]"/>
    <s v="0.07493002592243757"/>
    <s v="[979009, 1098331]"/>
    <s v="[0.081, 0.067]"/>
    <s v="14.613135365987342"/>
    <s v="[0.081, 0.067]"/>
  </r>
  <r>
    <x v="2887"/>
    <x v="3521"/>
    <x v="0"/>
    <n v="0"/>
    <s v="LINESTRING (23.28407447943409 69.97314180921077, 23.28871793397104 69.9749237352575, 23.291614736854243 69.97656226191918)"/>
    <s v="[1027554, 1027562]"/>
    <s v="[982198, 979032]"/>
    <s v="#FIELD!"/>
    <s v="[979025, 982198]"/>
    <s v="[0.012, 0.014]"/>
    <s v="481.2612938601542"/>
    <s v="[-0.012, -0.014]"/>
  </r>
  <r>
    <x v="2887"/>
    <x v="3520"/>
    <x v="0"/>
    <n v="0"/>
    <s v="LINESTRING (23.283269177126034 69.97293811294624, 23.283369073352684 69.97296372181764, 23.283652624331324 69.97303672159222, 23.28407447943409 69.97314180921077)"/>
    <s v="[1148292, 1148300, 1148308]"/>
    <s v="[1083793, 1083799, 979025]"/>
    <s v="#FIELD!"/>
    <s v="[1083792, 1083793, 1083799]"/>
    <s v="[0.007, 0.003, 0.318]"/>
    <s v="38.301589168458534"/>
    <s v="[-0.007, 0.003, -0.318]"/>
  </r>
  <r>
    <x v="2888"/>
    <x v="3522"/>
    <x v="0"/>
    <n v="0"/>
    <s v="LINESTRING (23.291614736854243 69.97656226191918, 23.292112942562486 69.976717765722, 23.292158924880567 69.97674437291467)"/>
    <s v="[1024184, 1024192]"/>
    <s v="[979033, 979042]"/>
    <s v="#FIELD!"/>
    <s v="[979032, 979033]"/>
    <s v="[0.048, 0.036]"/>
    <s v="29.400749945680385"/>
    <s v="[-0.048, -0.036]"/>
  </r>
  <r>
    <x v="2888"/>
    <x v="3523"/>
    <x v="0"/>
    <n v="0"/>
    <s v="LINESTRING (23.291614736854243 69.97656226191918, 23.29186850236262 69.97677408231125, 23.291927901188554 69.97680990443605)"/>
    <s v="[1148316, 1148324]"/>
    <s v="[1083810, 1083816]"/>
    <s v="0.045562016929308884"/>
    <s v="[979032, 1083810]"/>
    <s v="[0.063, 0.052]"/>
    <s v="30.337598233751592"/>
    <s v="[0.063, -0.052]"/>
  </r>
  <r>
    <x v="2889"/>
    <x v="3524"/>
    <x v="0"/>
    <n v="0"/>
    <s v="LINESTRING (23.292158924880567 69.97674437291467, 23.292365648734833 69.97675600661336, 23.292471103595297 69.97678884477916, 23.292519468476865 69.97682933382357, 23.292498687796705 69.97689087611552)"/>
    <s v="[1164377, 1164385, 1164393, 1164401]"/>
    <s v="[982942, 1098390, 1009449, 979051]"/>
    <s v="#FIELD!"/>
    <s v="[979042, 982942, 1098390, 1009449]"/>
    <s v="[0.231, 0.057, 0.046, 0.317]"/>
    <s v="25.26919248663537"/>
    <s v="[0.231, -0.057, -0.046, -0.317]"/>
  </r>
  <r>
    <x v="2889"/>
    <x v="3523"/>
    <x v="0"/>
    <n v="0"/>
    <s v="LINESTRING (23.291927901188554 69.97680990443605, 23.292038380191084 69.97676223310434, 23.292158924880567 69.97674437291467)"/>
    <s v="[1164457, 1164465]"/>
    <s v="[1098448, 979042]"/>
    <s v="#FIELD!"/>
    <s v="[1083816, 1098448]"/>
    <s v="[0.018, 0.519]"/>
    <s v="11.82166716936006"/>
    <s v="[-0.018, -0.519]"/>
  </r>
  <r>
    <x v="2890"/>
    <x v="3525"/>
    <x v="0"/>
    <n v="0"/>
    <s v="LINESTRING (23.292498687796705 69.97689087611552, 23.292560894389887 69.97691464273744, 23.293021326802695 69.97704219401906, 23.297551509525864 69.97724770252346, 23.29812535364666 69.97715513626028)"/>
    <s v="[1024200, 1024208, 1024216, 1024224]"/>
    <s v="[979052, 979061, 979069, 979079]"/>
    <s v="#FIELD!"/>
    <s v="[979051, 979052, 979061, 979069]"/>
    <s v="[0.045, 0.055, 0.086, 0.124]"/>
    <s v="234.6906039285809"/>
    <s v="[-0.045, -0.055, -0.086, -0.124]"/>
  </r>
  <r>
    <x v="2890"/>
    <x v="3526"/>
    <x v="0"/>
    <n v="0"/>
    <s v="LINESTRING (23.292498687796705 69.97689087611552, 23.292376425249124 69.97693810630393, 23.292216501660974 69.97695446966186)"/>
    <s v="[1164409, 1164417]"/>
    <s v="[1098409, 1083821]"/>
    <s v="0.19142034236518735"/>
    <s v="[979051, 1098409]"/>
    <s v="[0.315, 0.055]"/>
    <s v="13.434803948108277"/>
    <s v="[0.315, 0.055]"/>
  </r>
  <r>
    <x v="2891"/>
    <x v="682"/>
    <x v="0"/>
    <n v="0"/>
    <s v="LINESTRING (23.29812535364666 69.97715513626028, 23.308568218295303 69.97589070321813, 23.30910565755185 69.97589879038371, 23.309586695359382 69.97590608394191, 23.310191472892775 69.97591525914255, 23.318242254895473 69.97566373843337, 23.326965381559305 69.97558438448651, 23.328868707010468 69.9755362644893, 23.329107461763996 69.97552971124489, 23.329393059822777 69.97552221516376, 23.3313542210949 69.97546636928031, 23.333226983894733 69.97540653379303, 23.33520536215065 69.97532046843227, 23.335680794410372 69.9752964849065, 23.33623268840856 69.9752662889319, 23.336806534805646 69.97523360888763, 23.338310086552983 69.97514720061946, 23.33920774508693 69.97509519874689, 23.339403002950778 69.97508341547669, 23.339583304215957 69.97507255490028, 23.340430143389977 69.97502336108076, 23.340936413332262 69.97499322414676)"/>
    <s v="[1033420, 1033428, 1033436, 1033444, 1033452, 1033460, 1033468, 1033476, 1033484, 1033492, 1033500, 1033508, 1033516, 1033524, 1033532, 1033540, 1033548, 1033556, 1033564, 1033572, 1033580]"/>
    <s v="[986710, 986712, 986718, 986726, 986732, 986739, 986744, 986749, 986755, 261732, 986767, 986774, 986780, 983730, 986793, 986801, 986806, 986811, 983014, 986822, 986829]"/>
    <s v="#FIELD!"/>
    <s v="[979079, 986710, 986712, 986718, 986726, 986732, 986739, 986744, 986749, 986755, 261732, 986767, 986774, 986780, 983730, 986793, 986801, 986806, 986811, 983014, 986822]"/>
    <s v="[0.08, 0.008, 0.008, 0.007, 0.001, 0.011, 0.01, 0.015, 0.014, 0.016, 0.019, 0.022, 0.013, 0.017, 0.021, 0.017, 0.018, 0.031, 0.017, 0.019, 0.01]"/>
    <s v="1679.8087115334092"/>
    <s v="[-0.08, -0.008, -0.008, -0.007, 0.001, 0.011, 0.01, 0.015, 0.014, 0.016, 0.019, 0.022, 0.013, 0.017, 0.021, 0.017, 0.018, 0.031, 0.017, 0.019, 0.01]"/>
  </r>
  <r>
    <x v="2891"/>
    <x v="3526"/>
    <x v="0"/>
    <n v="0"/>
    <s v="LINESTRING (23.292216501660974 69.97695446966186, 23.292302537859264 69.97697653964318, 23.292770778483042 69.97708521150695, 23.292878012353654 69.97710982111154, 23.297598052110647 69.97728861971169, 23.29812535364666 69.97715513626028)"/>
    <s v="[1148332, 1148340, 1148348, 1148356, 1148364]"/>
    <s v="[1083822, 1083827, 1083835, 1083840, 979079]"/>
    <s v="#FIELD!"/>
    <s v="[1083821, 1083822, 1083827, 1083835, 1083840]"/>
    <s v="[0.066, 0.066, 0.066, 0.085, 0.184]"/>
    <s v="246.58405963876726"/>
    <s v="[-0.066, -0.066, -0.066, -0.085, -0.184]"/>
  </r>
  <r>
    <x v="2892"/>
    <x v="3527"/>
    <x v="0"/>
    <n v="0"/>
    <s v="LINESTRING (23.373322215802403 69.96974181964416, 23.373321545833697 69.96963476621968, 23.373344103487213 69.96955815681997, 23.37334797613755 69.96950950281823)"/>
    <s v="[1024232, 1024240, 1024248]"/>
    <s v="[979087, 979096, 979107]"/>
    <s v="#FIELD!"/>
    <s v="[979086, 979087, 979096]"/>
    <s v="[0.017, 0.017, 0.018]"/>
    <s v="25.98510228727098"/>
    <s v="[-0.017, -0.017, -0.018]"/>
  </r>
  <r>
    <x v="2892"/>
    <x v="3528"/>
    <x v="0"/>
    <n v="0"/>
    <s v="LINESTRING (23.373322215802403 69.96974181964416, 23.37349291842775 69.96965172302289, 23.37358242147663 69.96958297041654, 23.37360918230475 69.96954829417973)"/>
    <s v="[1148372, 1148380, 1148388]"/>
    <s v="[1083852, 1083858, 1083864]"/>
    <s v="#FIELD!"/>
    <s v="[979086, 1083852, 1083858]"/>
    <s v="[0.096, 0.03, 0.025]"/>
    <s v="24.406632562931136"/>
    <s v="[-0.096, -0.03, -0.025]"/>
  </r>
  <r>
    <x v="2892"/>
    <x v="3529"/>
    <x v="305"/>
    <n v="0"/>
    <s v="LINESTRING (23.371389463058392 69.97237411501602, 23.372040959877246 69.9721263860229, 23.372616878867934 69.97154633396813, 23.37264238497001 69.97147290324088, 23.372677883031038 69.97137520223741, 23.37274479242103 69.97117294166276, 23.372781102256404 69.97106679372182, 23.372794483421938 69.97102411746548, 23.372926610565887 69.97064680005732, 23.372946252980814 69.9705915308249, 23.372999180400296 69.97043040155498, 23.373044472224663 69.97030605252061, 23.37315132267838 69.97004132156623, 23.373322215802403 69.96974181964416)"/>
    <s v="[1080098, 1080106, 1080114, 1080122, 1080130, 1080138, 1080146, 1080154, 1080162, 1080170, 1080178, 1033716, 1033724]"/>
    <s v="[346992, 347010, 1025071, 1024994, 1025087, 1025214, 1025221, 1025225, 1025230, 1025236, 986946, 986947, 979086]"/>
    <s v="#FIELD!"/>
    <s v="[1025182, 346992, 347010, 1025071, 1024994, 1025087, 1025214, 1025221, 1025225, 1025230, 1025236, 986946, 986947]"/>
    <s v="[0.005, 0.011, 0.017, 0.017, 0.018, 0.019, 0.02, 0.021, 0.024, 0.022, 0.144, 0.046, 0.07]"/>
    <s v="309.7915323332483"/>
    <s v="[-0.005, -0.011, -0.017, -0.017, -0.018, -0.019, -0.02, -0.021, -0.024, -0.022, 0.144, -0.046, -0.07]"/>
  </r>
  <r>
    <x v="2893"/>
    <x v="3449"/>
    <x v="0"/>
    <n v="0"/>
    <s v="LINESTRING (23.37334797613755 69.96950950281823, 23.373292488402956 69.96946349095238, 23.37335475790147 69.96938640044652, 23.37342508985202 69.9693652550226, 23.373502436720926 69.96935299915197, 23.373559712285882 69.96934983191318)"/>
    <s v="[1164473, 1164481, 1164489, 1164497, 1164505]"/>
    <s v="[1035734, 1096973, 1098475, 1008841, 979116]"/>
    <s v="#FIELD!"/>
    <s v="[979107, 1035734, 1096973, 1098475, 1008841]"/>
    <s v="[0.104, 0.042, 0.084, 0.037, 0.414]"/>
    <s v="23.553298896852294"/>
    <s v="[-0.104, -0.042, -0.084, -0.037, 0.414]"/>
  </r>
  <r>
    <x v="2893"/>
    <x v="3528"/>
    <x v="0"/>
    <n v="0"/>
    <s v="LINESTRING (23.37360918230475 69.96954829417973, 23.373457772524972 69.96953910700852, 23.37334797613755 69.96950950281823)"/>
    <s v="[1164561, 1164569]"/>
    <s v="[1098535, 979107]"/>
    <s v="0.09449944578864856"/>
    <s v="[1083864, 1098535]"/>
    <s v="[0.025, 0.171]"/>
    <s v="11.231888066669288"/>
    <s v="[0.025, 0.171]"/>
  </r>
  <r>
    <x v="2894"/>
    <x v="3450"/>
    <x v="0"/>
    <n v="0"/>
    <s v="LINESTRING (23.373559712285882 69.96934983191318, 23.373697340793207 69.96935885854523, 23.37382084245351 69.96939432252395)"/>
    <s v="[1164513, 1164521]"/>
    <s v="[1098498, 1083874]"/>
    <s v="#FIELD!"/>
    <s v="[979116, 1098498]"/>
    <s v="[0.209, 0.011]"/>
    <s v="11.529683471819078"/>
    <s v="[-0.209, -0.011]"/>
  </r>
  <r>
    <x v="2895"/>
    <x v="3530"/>
    <x v="0"/>
    <n v="0"/>
    <m/>
    <n v="1164577"/>
    <n v="979167"/>
    <s v="#FIELD!"/>
    <n v="979158"/>
    <s v="0.003"/>
    <s v="4.818236192260183"/>
    <s v="#FIELD!"/>
  </r>
  <r>
    <x v="2895"/>
    <x v="3474"/>
    <x v="0"/>
    <n v="0"/>
    <s v="LINESTRING (24.979516021147163 70.05146509600483, 24.979463336775392 70.05139802719985, 24.979508409973153 70.05134077102187)"/>
    <s v="[1164657, 1164665]"/>
    <s v="[1098615, 979158]"/>
    <s v="0.01547313127781485"/>
    <s v="[1083920, 1098615]"/>
    <s v="[0.021, 0.009]"/>
    <s v="14.380649102787594"/>
    <s v="[0.021, 0.009]"/>
  </r>
  <r>
    <x v="2896"/>
    <x v="3531"/>
    <x v="0"/>
    <n v="0"/>
    <s v="LINESTRING (24.979591837910817 70.05130838647835, 24.979590685700188 70.05125855868513, 24.97958788984963 70.05113622093761, 24.979631869384693 70.05101143200591)"/>
    <s v="[1024312, 1024320, 1024328]"/>
    <s v="[979168, 979177, 979185]"/>
    <s v="0.014142555529341428"/>
    <s v="[979167, 979168, 979177]"/>
    <s v="[0.015, 0.015, 0.013]"/>
    <s v="33.66808263606404"/>
    <s v="[0.015, 0.015, 0.013]"/>
  </r>
  <r>
    <x v="2896"/>
    <x v="3532"/>
    <x v="0"/>
    <n v="0"/>
    <s v="LINESTRING (24.979591837910817 70.05130838647835, 24.979768472125567 70.05128080901041, 24.9799429913976 70.05129000606428)"/>
    <s v="[1164585, 1164593]"/>
    <s v="[1098556, 1083926]"/>
    <s v="#FIELD!"/>
    <s v="[979167, 1098556]"/>
    <s v="[0.012, 0.023]"/>
    <s v="14.144241018253297"/>
    <s v="[-0.012, -0.023]"/>
  </r>
  <r>
    <x v="2897"/>
    <x v="3533"/>
    <x v="306"/>
    <n v="0"/>
    <s v="LINESTRING (24.979631869384693 70.05101143200591, 25.101695603776474 69.89931502723377)"/>
    <m/>
    <m/>
    <s v="0.0"/>
    <m/>
    <n v="0"/>
    <s v="18372.848241192944"/>
    <n v="0"/>
  </r>
  <r>
    <x v="2897"/>
    <x v="3532"/>
    <x v="0"/>
    <n v="0"/>
    <s v="LINESTRING (24.9799429913976 70.05129000606428, 24.979898156591496 70.05124397001055, 24.979777473941425 70.05112660257781, 24.979631869384693 70.05101143200591)"/>
    <s v="[1148452, 1148460, 1148468]"/>
    <s v="[1083927, 1083936, 979185]"/>
    <s v="0.02117492168542943"/>
    <s v="[1083926, 1083927, 1083936]"/>
    <s v="[0.022, 0.02, 0.022]"/>
    <s v="33.6844901091889"/>
    <s v="[0.022, 0.02, 0.022]"/>
  </r>
  <r>
    <x v="2898"/>
    <x v="3534"/>
    <x v="0"/>
    <n v="0"/>
    <s v="LINESTRING (25.503697734513207 69.47284782870398, 25.503464983093988 69.47279851912198, 25.50319675026432 69.47270103167172, 25.503076113423855 69.47265598997605)"/>
    <s v="[1024336, 1024344, 1024352]"/>
    <s v="[979195, 979203, 979213]"/>
    <s v="#FIELD!"/>
    <s v="[979194, 979195, 979203]"/>
    <s v="[0.022, 0.059, 0.049]"/>
    <s v="32.711184973661304"/>
    <s v="[-0.022, -0.059, -0.049]"/>
  </r>
  <r>
    <x v="2898"/>
    <x v="3535"/>
    <x v="0"/>
    <n v="0"/>
    <s v="LINESTRING (25.503697734513207 69.47284782870398, 25.503624850662806 69.47276643271354, 25.503520585826287 69.47265953552962, 25.50350755020704 69.47259055196295)"/>
    <s v="[1148476, 1148484, 1148492]"/>
    <s v="[1083950, 1083958, 1083965]"/>
    <s v="#FIELD!"/>
    <s v="[979194, 1083950, 1083958]"/>
    <s v="[0.098, 0.103, 0.12]"/>
    <s v="29.883766247113165"/>
    <s v="[-0.098, -0.103, -0.12]"/>
  </r>
  <r>
    <x v="2898"/>
    <x v="3536"/>
    <x v="0"/>
    <n v="0"/>
    <s v="LINESTRING (25.363728536340723 69.61023322558282, 25.503697734513207 69.47284782870398)"/>
    <m/>
    <m/>
    <s v="0.0"/>
    <m/>
    <n v="0"/>
    <s v="18372.848241192944"/>
    <n v="0"/>
  </r>
  <r>
    <x v="2899"/>
    <x v="3537"/>
    <x v="0"/>
    <n v="0"/>
    <s v="LINESTRING (25.503076113423855 69.47265598997605, 25.50288621180889 69.4725870831166, 25.502904178985553 69.47249470135026, 25.503094825674506 69.47243694171591, 25.50325795680654 69.47243290571379)"/>
    <s v="[1163511, 1163527, 1163535, 1163543]"/>
    <s v="[1096559, 1097749, 1084307, 979223]"/>
    <s v="#FIELD!"/>
    <s v="[979213, 1096559, 1097749, 1084307]"/>
    <s v="[0.058, 0.132, 0.101, 0.065]"/>
    <s v="37.819635809181655"/>
    <s v="[-0.058, -0.132, -0.101, -0.065]"/>
  </r>
  <r>
    <x v="2899"/>
    <x v="3535"/>
    <x v="0"/>
    <n v="0"/>
    <s v="LINESTRING (25.50350755020704 69.47259055196295, 25.503307687736335 69.47265741188856, 25.503076113423855 69.47265598997605)"/>
    <s v="[1163582, 1163589]"/>
    <s v="[1097791, 979213]"/>
    <s v="0.0841340209392296"/>
    <s v="[1083965, 1097791]"/>
    <s v="[0.117, 0.044]"/>
    <s v="20.17336070524268"/>
    <s v="[0.117, 0.044]"/>
  </r>
  <r>
    <x v="2900"/>
    <x v="3538"/>
    <x v="0"/>
    <n v="0"/>
    <s v="LINESTRING (25.50325795680654 69.47243290571379, 25.503405349406908 69.47240971816537, 25.503742243866864 69.47235607148565, 25.50425628597116 69.47231793402042)"/>
    <s v="[1024360, 1024368, 1024376]"/>
    <s v="[979224, 979232, 979240]"/>
    <s v="#FIELD!"/>
    <s v="[979223, 979224, 979232]"/>
    <s v="[0.082, 0.083, 0.066]"/>
    <s v="41.44540149909241"/>
    <s v="[-0.082, -0.083, -0.066]"/>
  </r>
  <r>
    <x v="2900"/>
    <x v="3539"/>
    <x v="0"/>
    <n v="0"/>
    <s v="LINESTRING (25.50325795680654 69.47243290571379, 25.50346102995383 69.47247612131568, 25.503530563533133 69.47255127229208)"/>
    <s v="[1163551, 1163557]"/>
    <s v="[1097768, 1083972]"/>
    <s v="0.0647393282508975"/>
    <s v="[979223, 1097768]"/>
    <s v="[0.037, 0.094]"/>
    <s v="18.14208737314508"/>
    <s v="[0.037, 0.094]"/>
  </r>
  <r>
    <x v="2901"/>
    <x v="3540"/>
    <x v="0"/>
    <n v="0"/>
    <s v="LINESTRING (25.50425628597116 69.47231793402042, 25.509966119763845 69.47199213128192, 25.510234498251116 69.47196804580682)"/>
    <s v="[1037620, 1037628]"/>
    <s v="[964947, 979244]"/>
    <s v="#FIELD!"/>
    <s v="[979240, 964947]"/>
    <s v="[0.027, 0.046]"/>
    <s v="237.8602195377912"/>
    <s v="[-0.027, -0.046]"/>
  </r>
  <r>
    <x v="2901"/>
    <x v="3539"/>
    <x v="0"/>
    <n v="0"/>
    <s v="LINESTRING (25.503530563533133 69.47255127229208, 25.503625122975116 69.47250954947754, 25.50387144127481 69.4724163233214, 25.50425628597116 69.47231793402042)"/>
    <s v="[1148500, 1148508, 1148516]"/>
    <s v="[1083973, 1083979, 979240]"/>
    <s v="#FIELD!"/>
    <s v="[1083972, 1083973, 1083979]"/>
    <s v="[0.119, 0.113, 0.104]"/>
    <s v="38.83465921387341"/>
    <s v="[-0.119, -0.113, -0.104]"/>
  </r>
  <r>
    <x v="2902"/>
    <x v="3541"/>
    <x v="0"/>
    <n v="0"/>
    <s v="LINESTRING (25.510234498251116 69.47196804580682, 25.510428085411057 69.4719225418315, 25.51070124173601 69.47187046875752, 25.51083387690542 69.47184038962656)"/>
    <s v="[1024384, 1024392, 1024400]"/>
    <s v="[979245, 979249, 979256]"/>
    <s v="#FIELD!"/>
    <s v="[979244, 979245, 979249]"/>
    <s v="[0.026, 0.018, 0.022]"/>
    <s v="27.520290859938886"/>
    <s v="[-0.026, -0.018, -0.022]"/>
  </r>
  <r>
    <x v="2902"/>
    <x v="3542"/>
    <x v="0"/>
    <n v="0"/>
    <s v="LINESTRING (25.510234498251116 69.47196804580682, 25.510465496517252 69.47197040123551, 25.510785486025824 69.47195426770679, 25.51091386165826 69.47194914621265)"/>
    <s v="[1148524, 1148532, 1148540]"/>
    <s v="[1083991, 1084001, 1084007]"/>
    <s v="#FIELD!"/>
    <s v="[979244, 1083991, 1084001]"/>
    <s v="[0.003, 0.004, 0.004]"/>
    <s v="26.80681794579115"/>
    <s v="[0.003, -0.004, 0.004]"/>
  </r>
  <r>
    <x v="2903"/>
    <x v="3543"/>
    <x v="0"/>
    <n v="0"/>
    <s v="LINESTRING (25.51083387690542 69.47184038962656, 25.510889622728516 69.47180138305269, 25.511077065997863 69.47176124876516, 25.51125323809485 69.4717683997834, 25.51134356183044 69.47178877943844)"/>
    <s v="[1164673, 1164681, 1164689, 1164697]"/>
    <s v="[1084302, 1098631, 1096555, 979263]"/>
    <s v="#FIELD!"/>
    <s v="[979256, 1084302, 1098631, 1096555]"/>
    <s v="[0.041, 0.021, 0.012, 0.029]"/>
    <s v="24.65273229376959"/>
    <s v="[-0.041, -0.021, 0.012, 0.029]"/>
  </r>
  <r>
    <x v="2903"/>
    <x v="3542"/>
    <x v="0"/>
    <n v="0"/>
    <s v="LINESTRING (25.51091386165826 69.47194914621265, 25.510833622192784 69.47189790345791, 25.51083387690542 69.47184038962656)"/>
    <s v="[1164753, 1164761]"/>
    <s v="[1098683, 979256]"/>
    <s v="#FIELD!"/>
    <s v="[1084007, 1098683]"/>
    <s v="[0.043, 0.049]"/>
    <s v="12.960099011132053"/>
    <s v="[-0.043, -0.049]"/>
  </r>
  <r>
    <x v="2904"/>
    <x v="3544"/>
    <x v="0"/>
    <n v="0"/>
    <s v="LINESTRING (25.51134356183044 69.47178877943844, 25.511488071785593 69.47178320945531, 25.511903491484254 69.47175971877712, 25.512224530504607 69.47174686108063)"/>
    <s v="[1024408, 1024416, 1024424]"/>
    <s v="[979264, 979270, 965032]"/>
    <s v="#FIELD!"/>
    <s v="[979263, 979264, 979270]"/>
    <s v="[0.005, 0.002, 0.0]"/>
    <s v="34.874062878914245"/>
    <s v="[-0.005, -0.002, 0.0]"/>
  </r>
  <r>
    <x v="2904"/>
    <x v="3545"/>
    <x v="0"/>
    <n v="0"/>
    <s v="LINESTRING (25.51134356183044 69.47178877943844, 25.511436745084172 69.47184159433854, 25.51143429507745 69.47190251218385)"/>
    <s v="[1164705, 1164713]"/>
    <s v="[1098648, 1084015]"/>
    <s v="0.04397083047872724"/>
    <s v="[979263, 1098648]"/>
    <s v="[0.041, 0.047]"/>
    <s v="13.748924641731996"/>
    <s v="[0.041, 0.047]"/>
  </r>
  <r>
    <x v="2905"/>
    <x v="3546"/>
    <x v="0"/>
    <n v="0"/>
    <s v="LINESTRING (25.512224530504607 69.47174686108063, 25.693072145415954 69.55290157337762)"/>
    <m/>
    <m/>
    <s v="0.0"/>
    <m/>
    <n v="0"/>
    <s v="14074.529799990265"/>
    <n v="0"/>
  </r>
  <r>
    <x v="2905"/>
    <x v="3545"/>
    <x v="0"/>
    <n v="0"/>
    <s v="LINESTRING (25.51143429507745 69.47190251218385, 25.511564380532654 69.4718737142907, 25.511941474731668 69.4718045455759, 25.512224530504607 69.47174686108063)"/>
    <s v="[1148548, 1148556, 1148564]"/>
    <s v="[1084016, 1084022, 965032]"/>
    <s v="#FIELD!"/>
    <s v="[1084015, 1084016, 1084022]"/>
    <s v="[0.023, 0.018, 0.017]"/>
    <s v="35.55361118107559"/>
    <s v="[-0.023, -0.018, -0.017]"/>
  </r>
  <r>
    <x v="2906"/>
    <x v="3547"/>
    <x v="0"/>
    <n v="0"/>
    <s v="LINESTRING (28.224051658439222 70.16687630072238, 28.22450013370172 70.16630833339859, 28.224624894928315 70.16626272984392, 28.224750567898266 70.16621935583534, 28.22484456009865 70.16619325631223, 28.22604547058299 70.1660366897876, 28.227899337753353 70.16612316221176)"/>
    <s v="[1024432, 1024440, 1024448, 1024456, 1024464, 1024472]"/>
    <s v="[979286, 979293, 979299, 979307, 979316, 967923]"/>
    <s v="0.04881327904022151"/>
    <s v="[979285, 979286, 979293, 979299, 979307, 979316]"/>
    <s v="[0.015, 0.043, 0.049, 0.049, 0.064, 0.071]"/>
    <s v="207.29348110132986"/>
    <s v="[0.015, 0.043, 0.049, 0.049, 0.064, 0.071]"/>
  </r>
  <r>
    <x v="2906"/>
    <x v="3547"/>
    <x v="0"/>
    <n v="0"/>
    <s v="LINESTRING (28.224051658439222 70.16687630072238, 28.22468335737748 70.16636193028874, 28.22480478068424 70.16632055993352, 28.224930579162688 70.16628338401605, 28.22500764674714 70.16626396593838, 28.226086145812047 70.16611866657766, 28.2262085418169 70.16611221562893, 28.227899337753353 70.16612316221176)"/>
    <s v="[1148572, 1148580, 1148588, 1148596, 1148604, 1148612, 1148620]"/>
    <s v="[1084035, 1084044, 1008766, 1084062, 1084070, 1084077, 967923]"/>
    <s v="0.05203619776543901"/>
    <s v="[979285, 1084035, 1084044, 1008766, 1084062, 1084070, 1084077]"/>
    <s v="[0.024, 0.047, 0.052, 0.057, 0.063, 0.067, 0.071]"/>
    <s v="193.2326607419858"/>
    <s v="[0.024, 0.047, 0.052, 0.057, 0.063, 0.067, 0.071]"/>
  </r>
  <r>
    <x v="2907"/>
    <x v="3548"/>
    <x v="307"/>
    <n v="0"/>
    <s v="LINESTRING (28.227899337753353 70.16612316221176, 28.231983404136365 70.16635420209772, 28.23818131493423 70.16672198277183, 28.23897016498519 70.1667933743015, 28.253373584705184 70.16817772850465, 28.258017254601654 70.16843689866708, 28.265280750232314 70.1688438439465, 28.26818244516991 70.16902321414764, 28.275067827928417 70.17004359577291, 28.292839175323966 70.17342820746946, 28.294161015696073 70.17373894598788, 28.299749204730826 70.17501678215419, 28.326088516358773 70.17948499724496, 28.331987578541504 70.18002973152149, 28.38622829286228 70.1800719839215, 28.38963813021893 70.17895344316297, 28.39108115479835 70.17845993976374, 28.391878162438775 70.1782028632533, 28.39789248903978 70.17725384750291, 28.400188585312993 70.17722442114962, 28.40494631287754 70.17767351243003, 28.434435050075965 70.18020141655863, 28.440712159563105 70.18011804238546, 28.44600689042688 70.18004798837293, 28.45915138569014 70.1794010438799, 28.46127511628162 70.17924848647124, 28.47105788867466 70.17835366997998, 28.472654331274423 70.17806801095485, 28.485437076231204 70.17634665013935, 28.53032216085934 70.17334772941135, 28.53369784440235 70.173010310869, 28.53946583093228 70.17257686250943, 28.544302666569685 70.17231941940656, 28.54563600609568 70.17224819064354, 28.54596862883403 70.1722315822499, 28.54906225729946 70.17225493944639, 28.552581032550556 70.17259051020652, 28.553569984027217 70.17268816337518, 28.554093406671427 70.17273888425302, 28.55476983029917 70.17278662383849)"/>
    <s v="[1161425, 1161433, 1161441, 1161449, 1161457, 1161465, 1161473, 1161481, 1161489, 1161497, 1161505, 1161513, 1161521, 1161529, 1161537, 1161545, 1161553, 1161561, 1161569, 1161577, 1161585, 1161593, 1161601, 1161609, 1161617, 1161625, 1161633, 1161641, 1161649, 1161657, 1161665, 1161673, 1161681, 1161689, 1161697, 1161705, 1161713, 1161721, 1161729]"/>
    <s v="[1095923, 1095929, 1095935, 1095941, 1089892, 1095954, 1095960, 1095966, 1095974, 1095982, 1089936, 1095992, 1096000, 1096009, 1096018, 1096028, 1096035, 1096043, 1096052, 1096060, 1096068, 1096076, 1096083, 1096092, 1096101, 1096113, 1096123, 1096131, 1096141, 1096148, 1096158, 1096167, 1096176, 1096184, 1096193, 1096201, 1096211, 1096220, 979334]"/>
    <s v="#FIELD!"/>
    <s v="[967923, 1095923, 1095929, 1095935, 1095941, 1089892, 1095954, 1095960, 1095966, 1095974, 1095982, 1089936, 1095992, 1096000, 1096009, 1096018, 1096028, 1096035, 1096043, 1096052, 1096060, 1096068, 1096076, 1096083, 1096092, 1096101, 1096113, 1096123, 1096131, 1096141, 1096148, 1096158, 1096167, 1096176, 1096184, 1096193, 1096201, 1096211, 1096220]"/>
    <s v="[0.065, 0.043, 0.029, 0.038, 0.032, 0.027, 0.007, 0.015, 0.04, 0.004, 0.032, 0.012, 0.02, 0.013, 0.035, 0.005, 0.004, 0.001, 0.001, 0.001, 0.008, 0.005, 0.046, 0.035, 0.025, 0.014, 0.001, 0.038, 0.021, 0.021, 0.017, 0.013, 0.016, 0.023, 0.019, 0.026, 0.035, 0.025, 0.065]"/>
    <s v="13149.925723925264"/>
    <s v="[0.065, 0.043, 0.029, 0.038, 0.032, 0.027, 0.007, 0.015, 0.04, 0.004, -0.032, 0.012, 0.02, -0.013, -0.035, -0.005, -0.004, 0.001, 0.001, -0.001, 0.008, -0.005, -0.046, -0.035, -0.025, -0.014, -0.001, -0.038, -0.021, -0.021, -0.017, -0.013, -0.016, -0.023, -0.019, -0.026, -0.035, -0.025, 0.065]"/>
  </r>
  <r>
    <x v="2908"/>
    <x v="3549"/>
    <x v="0"/>
    <n v="0"/>
    <s v="LINESTRING (28.55476983029917 70.17278662383849, 28.555384076384424 70.17274776643596, 28.55547220572577 70.1727422645059)"/>
    <s v="[1024480, 1024488]"/>
    <s v="[979335, 979343]"/>
    <s v="#FIELD!"/>
    <s v="[979334, 979335]"/>
    <s v="[0.016, 0.02]"/>
    <s v="27.130723427684092"/>
    <s v="[-0.016, -0.02]"/>
  </r>
  <r>
    <x v="2908"/>
    <x v="3550"/>
    <x v="0"/>
    <n v="0"/>
    <s v="LINESTRING (28.55476983029917 70.17278662383849, 28.555410685223787 70.17284012416678, 28.55550225691712 70.1728446227692)"/>
    <s v="[1148628, 1148636]"/>
    <s v="[1084094, 1084100]"/>
    <s v="#FIELD!"/>
    <s v="[979334, 1084094]"/>
    <s v="[0.006, 0.011]"/>
    <s v="28.575541004469926"/>
    <s v="[-0.006, -0.011]"/>
  </r>
  <r>
    <x v="2909"/>
    <x v="3494"/>
    <x v="0"/>
    <n v="0"/>
    <m/>
    <n v="1164769"/>
    <n v="1096376"/>
    <s v="#FIELD!"/>
    <n v="979343"/>
    <s v="1.101"/>
    <s v="2.9532524442908366"/>
    <s v="#FIELD!"/>
  </r>
  <r>
    <x v="2909"/>
    <x v="3550"/>
    <x v="0"/>
    <n v="0"/>
    <s v="LINESTRING (28.55550225691712 70.1728446227692, 28.555438514788715 70.1727920615748, 28.55547220572577 70.1727422645059)"/>
    <s v="[1164849, 1164857]"/>
    <s v="[1098746, 979343]"/>
    <s v="#FIELD!"/>
    <s v="[1084100, 1098746]"/>
    <s v="[0.492, 0.5]"/>
    <s v="12.074991385842106"/>
    <s v="[-0.492, 0.5]"/>
  </r>
  <r>
    <x v="2910"/>
    <x v="3551"/>
    <x v="308"/>
    <n v="0"/>
    <s v="LINESTRING (7.5046082139376535 61.06443185225702, 7.363795423947527 60.96692663054517)"/>
    <m/>
    <m/>
    <s v="0.0"/>
    <m/>
    <n v="0"/>
    <s v="12463.576189684947"/>
    <n v="0"/>
  </r>
  <r>
    <x v="2910"/>
    <x v="3552"/>
    <x v="0"/>
    <n v="0"/>
    <s v="LINESTRING (7.505326546493829 61.064729878369924, 7.505253411126498 61.06468847690819, 7.5046082139376535 61.06443185225702)"/>
    <s v="[1898547, 1898555]"/>
    <s v="[1667486, 980688]"/>
    <s v="0.13246943623490146"/>
    <s v="[981021, 1667486]"/>
    <s v="[0.069, 0.141]"/>
    <s v="51.33775708499087"/>
    <s v="[0.069, 0.141]"/>
  </r>
  <r>
    <x v="2910"/>
    <x v="3553"/>
    <x v="0"/>
    <n v="0"/>
    <s v="LINESTRING (7.505533126103369 61.064612430966925, 7.505392883784376 61.06459081635647, 7.5046082139376535 61.06443185225702)"/>
    <s v="[1881230, 1881231]"/>
    <s v="[1655828, 980688]"/>
    <s v="0.132231455101729"/>
    <s v="[981042, 1655828]"/>
    <s v="[0.122, 0.134]"/>
    <s v="54.0053723223231"/>
    <s v="[0.122, 0.134]"/>
  </r>
  <r>
    <x v="2911"/>
    <x v="3554"/>
    <x v="0"/>
    <n v="0"/>
    <s v="LINESTRING (7.211307551604379 60.898157746081736, 7.2108132745488716 60.89804553941856, 7.210689760647291 60.89802794520139)"/>
    <s v="[1881233, 1881234]"/>
    <s v="[1655830, 981136]"/>
    <s v="#FIELD!"/>
    <s v="[980846, 1655830]"/>
    <s v="[0.12, 0.108]"/>
    <s v="37.2873658231282"/>
    <s v="[-0.12, -0.108]"/>
  </r>
  <r>
    <x v="2911"/>
    <x v="3555"/>
    <x v="0"/>
    <n v="0"/>
    <s v="LINESTRING (7.211307551604379 60.898157746081736, 7.210789792564949 60.89819431145266, 7.210656596161627 60.89820606223345)"/>
    <s v="[1898563, 1898571]"/>
    <s v="[1667497, 981072]"/>
    <s v="#FIELD!"/>
    <s v="[980846, 1667497]"/>
    <s v="[0.819, 3.765]"/>
    <s v="36.636351800443194"/>
    <s v="[0.819, -3.765]"/>
  </r>
  <r>
    <x v="2911"/>
    <x v="3551"/>
    <x v="0"/>
    <n v="0"/>
    <s v="LINESTRING (7.363795423947527 60.96692663054517, 7.211307551604379 60.898157746081736)"/>
    <m/>
    <m/>
    <s v="0.0"/>
    <m/>
    <n v="0"/>
    <s v="12463.576189684947"/>
    <n v="0"/>
  </r>
  <r>
    <x v="2912"/>
    <x v="3552"/>
    <x v="0"/>
    <n v="0"/>
    <s v="LINESTRING (7.505912055044544 61.064717448960934, 7.505626593931516 61.06489272778896, 7.505493983462667 61.064879015944, 7.505378170948104 61.064833772443336, 7.505326546493829 61.064729878369924)"/>
    <s v="[1026177, 1026185, 1026193, 1026201]"/>
    <s v="[980995, 981004, 981012, 981021]"/>
    <s v="0.056762771849431536"/>
    <s v="[980994, 980995, 981004, 981012]"/>
    <s v="[0.003, 0.115, 0.141, 0.105]"/>
    <s v="55.798361803311515"/>
    <s v="[-0.003, 0.115, 0.141, 0.105]"/>
  </r>
  <r>
    <x v="2912"/>
    <x v="3556"/>
    <x v="0"/>
    <n v="0"/>
    <s v="LINESTRING (7.505679149244933 61.0646088529453, 7.505841517040112 61.06465398776813, 7.505912055044544 61.064717448960934)"/>
    <s v="[1026233, 1026241]"/>
    <s v="[981057, 980994]"/>
    <s v="#FIELD!"/>
    <s v="[981050, 981057]"/>
    <s v="[0.115, 0.096]"/>
    <s v="18.168608632953465"/>
    <s v="[-0.115, -0.096]"/>
  </r>
  <r>
    <x v="2912"/>
    <x v="2207"/>
    <x v="0"/>
    <n v="0"/>
    <s v="LINESTRING (7.509321694566586 61.06324974324108, 7.508062856540008 61.06385073668431, 7.507944614784952 61.06389095079106, 7.507854638234651 61.06392029499628, 7.507091927256457 61.06413644653798, 7.50672725087224 61.064264549137064, 7.505972331676552 61.06465974349277, 7.505912055044544 61.064717448960934)"/>
    <s v="[1898491, 1898499, 1898507, 1898515, 1898523, 1898531, 1898539]"/>
    <s v="[1667444, 1667449, 1655368, 1667461, 1667468, 1667472, 980994]"/>
    <s v="0.027346523341570936"/>
    <s v="[1655795, 1667444, 1667449, 1655368, 1667461, 1667468, 1667472]"/>
    <s v="[0.031, 0.055, 0.054, 0.054, 0.038, 0.002, 0.073]"/>
    <s v="249.48179855050617"/>
    <s v="[0.031, 0.055, 0.054, 0.054, 0.038, 0.002, -0.073]"/>
  </r>
  <r>
    <x v="2913"/>
    <x v="3553"/>
    <x v="0"/>
    <n v="0"/>
    <s v="LINESTRING (7.505326546493829 61.064729878369924, 7.505381193287358 61.06466438219381, 7.505533126103369 61.064612430966925)"/>
    <s v="[1026209, 1026217]"/>
    <s v="[981030, 981042]"/>
    <s v="#FIELD!"/>
    <s v="[981021, 981030]"/>
    <s v="[0.026, 0.054]"/>
    <s v="17.941633964314853"/>
    <s v="[0.026, -0.054]"/>
  </r>
  <r>
    <x v="2914"/>
    <x v="3556"/>
    <x v="0"/>
    <n v="0"/>
    <m/>
    <n v="1026225"/>
    <n v="981050"/>
    <s v="#FIELD!"/>
    <n v="981042"/>
    <s v="0.113"/>
    <s v="7.907591289359934"/>
    <s v="#FIELD!"/>
  </r>
  <r>
    <x v="2915"/>
    <x v="2207"/>
    <x v="0"/>
    <n v="0"/>
    <s v="LINESTRING (7.509321694566586 61.06324974324108, 7.507877893188798 61.06382238237511, 7.5078298418680385 61.06383584642511, 7.506975914950332 61.06408593514182, 7.506961838407799 61.064091210747065, 7.506619118496373 61.06422826715935, 7.50579104947258 61.06457772980618, 7.505679149244933 61.0646088529453)"/>
    <s v="[1881203, 1881204, 1881205, 1881206, 1881214, 1881217, 1881229]"/>
    <s v="[1655407, 1655796, 1655797, 1655798, 1655806, 1655810, 981050]"/>
    <s v="0.03516522309020948"/>
    <s v="[1655795, 1655407, 1655796, 1655797, 1655798, 1655806, 1655810]"/>
    <s v="[0.023, 0.03, 0.036, 0.073, 0.027, 0.054, 0.069]"/>
    <s v="249.62574008167388"/>
    <s v="[0.023, 0.03, 0.036, 0.073, 0.027, 0.054, 0.069]"/>
  </r>
  <r>
    <x v="2916"/>
    <x v="3557"/>
    <x v="0"/>
    <n v="0"/>
    <s v="LINESTRING (7.210656596161627 60.89820606223345, 7.210606594513956 60.898230046199465, 7.210399426845955 60.89826330236194, 7.210216187771889 60.89823806180924, 7.210152691179308 60.89820986003084)"/>
    <s v="[1026249, 1026257, 1026265, 1026273]"/>
    <s v="[981073, 981079, 981086, 981094]"/>
    <s v="#FIELD!"/>
    <s v="[981072, 981073, 981079, 981086]"/>
    <s v="[0.06, 0.104, 0.12, 0.11]"/>
    <s v="30.91828410556764"/>
    <s v="[-0.06, -0.104, -0.12, -0.11]"/>
  </r>
  <r>
    <x v="2916"/>
    <x v="3554"/>
    <x v="0"/>
    <n v="0"/>
    <s v="LINESTRING (7.210689760647291 60.89802794520139, 7.2107295337196025 60.89811660392618, 7.210656596161627 60.89820606223345)"/>
    <s v="[1026329, 1026337]"/>
    <s v="[981145, 981072]"/>
    <s v="0.03254330001422054"/>
    <s v="[981136, 981145]"/>
    <s v="[0.066, 0.001]"/>
    <s v="20.87485516619513"/>
    <s v="[0.066, 0.001]"/>
  </r>
  <r>
    <x v="2917"/>
    <x v="3558"/>
    <x v="0"/>
    <n v="0"/>
    <s v="LINESTRING (7.210152691179308 60.89820986003084, 7.210070335696723 60.89810846320815, 7.2101220860333814 60.898018781937644)"/>
    <s v="[1026281, 1026289]"/>
    <s v="[981101, 981107]"/>
    <s v="#FIELD!"/>
    <s v="[981094, 981101]"/>
    <s v="[0.054, 0.012]"/>
    <s v="22.77535431197597"/>
    <s v="[-0.054, 0.012]"/>
  </r>
  <r>
    <x v="2917"/>
    <x v="3559"/>
    <x v="0"/>
    <n v="0"/>
    <s v="LINESTRING (7.210152691179308 60.89820986003084, 7.209962082583725 60.898178424764616, 7.209450337892191 60.898100129929944)"/>
    <s v="[1898579, 1898587]"/>
    <s v="[1667508, 1655832]"/>
    <s v="#FIELD!"/>
    <s v="[981094, 1667508]"/>
    <s v="[2.412, 0.963]"/>
    <s v="40.613866203766264"/>
    <s v="[2.412, -0.963]"/>
  </r>
  <r>
    <x v="2918"/>
    <x v="3554"/>
    <x v="0"/>
    <n v="0"/>
    <s v="LINESTRING (7.2101220860333814 60.898018781937644, 7.210218518472212 60.89797072371426, 7.210448028603151 60.89794483179737, 7.21063287085061 60.89798912118771, 7.210689760647291 60.89802794520139)"/>
    <s v="[1026297, 1026305, 1026313, 1026321]"/>
    <s v="[981113, 981121, 981129, 981136]"/>
    <s v="0.08339041542473802"/>
    <s v="[981107, 981113, 981121, 981129]"/>
    <s v="[0.056, 0.081, 0.099, 0.095]"/>
    <s v="37.075686169558054"/>
    <s v="[0.056, 0.081, 0.099, 0.095]"/>
  </r>
  <r>
    <x v="2918"/>
    <x v="3559"/>
    <x v="0"/>
    <n v="0"/>
    <s v="LINESTRING (7.2101220860333814 60.898018781937644, 7.209989447974697 60.89803188179441, 7.209450337892191 60.898100129929944)"/>
    <s v="[1881235, 1881236]"/>
    <s v="[1655831, 1655832]"/>
    <s v="#FIELD!"/>
    <s v="[981107, 1655831]"/>
    <s v="[0.093, 0.032]"/>
    <s v="38.0061827668674"/>
    <s v="[-0.093, -0.032]"/>
  </r>
  <r>
    <x v="2919"/>
    <x v="1702"/>
    <x v="0"/>
    <n v="0"/>
    <s v="LINESTRING (5.509429626200632 61.05446964472605, 5.508817816452816 61.05454607809365, 5.508693336421236 61.05452886594949, 5.507110314247446 61.05437099654938, 5.507097067488383 61.05436975846949, 5.505839660948678 61.05426893132553, 5.5053582259371945 61.054355502388496)"/>
    <s v="[1482666, 1482676, 1482684, 1482685, 1482699, 1482715]"/>
    <s v="[1342862, 1342869, 1342875, 1342876, 1342887, 1342897]"/>
    <s v="0.1860223601735265"/>
    <s v="[981280, 1342862, 1342869, 1342875, 1342876, 1342887]"/>
    <s v="[0.518, 0.152, 0.138, 0.079, 0.143, 0.014]"/>
    <s v="229.7320814312431"/>
    <s v="[0.518, 0.152, 0.138, 0.079, 0.143, 0.014]"/>
  </r>
  <r>
    <x v="2919"/>
    <x v="1702"/>
    <x v="0"/>
    <n v="0"/>
    <s v="LINESTRING (5.509429626200632 61.05446964472605, 5.509258018118659 61.0546668896527, 5.5088938642299565 61.05476858257633, 5.50876360611209 61.0547651333872, 5.5071508756923215 61.05461205910506, 5.506126036175133 61.05451994389295, 5.5058838870279425 61.05450320004129, 5.5053582259371945 61.054355502388496)"/>
    <s v="[1482727, 1482734, 1482742, 1482750, 1482766, 1482774, 1482782]"/>
    <s v="[1342903, 1342910, 1342916, 1342923, 1342934, 1342942, 1342897]"/>
    <s v="0.17032917396897626"/>
    <s v="[981280, 1342903, 1342910, 1342916, 1342923, 1342934, 1342942]"/>
    <s v="[0.546, 0.001, 0.086, 0.126, 0.133, 0.141, 0.194]"/>
    <s v="251.32050085394917"/>
    <s v="[0.546, 0.001, 0.086, 0.126, 0.133, 0.141, 0.194]"/>
  </r>
  <r>
    <x v="2919"/>
    <x v="3560"/>
    <x v="0"/>
    <s v="[0, 0, 0, 0, 0, 0, 0, 0, 0, 0, 0, 1, 0, 0, 0, 0, 0, 0, 0, 0, 0, 0, 0, 0, 0, 0, 0, 0, 0, 0, 0, 0, 0, 0, 0]"/>
    <s v="LINESTRING (5.487668040374084 60.97516832738533, 5.486655634989298 60.97775049781744, 5.486706170078926 60.9795943930921, 5.486450809017807 60.980110445697186, 5.486162646302527 60.98039973058655, 5.484912046626386 60.98179565114462, 5.484764613680137 60.982328713974255, 5.484893016745624 60.9830682363042, 5.484969184995232 60.983227165258974, 5.4849999462101735 60.98328150693678, 5.48504577821692 60.98335624105663, 5.485114030286772 60.98346452623285, 5.485302221286555 60.983708292881786, 5.485577417516106 60.98401585034759, 5.486416558091584 60.98485562139359, 5.486711647875965 60.987345610682894, 5.486660842178571 60.98743606644199, 5.486409881941211 60.98822325858335, 5.485303774578857 61.0055559323856, 5.493454480223291 61.019957095665475, 5.493449380105938 61.0206297932238, 5.4932053239291765 61.021546304101726, 5.49287581529342 61.0259564411438, 5.49010164251168 61.028439939036865, 5.490069419928405 61.02846958454554, 5.487768732674602 61.0303831608727, 5.4886534716610695 61.03283236513334, 5.4839416542973165 61.045328709445904, 5.4828459167700485 61.046550091634025, 5.493626043568586 61.0530852252941, 5.500311079304889 61.05352041625474, 5.5036644678366216 61.053701784122254, 5.505732097667151 61.05408661579707, 5.506360584645932 61.05415463485264, 5.509365215414864 61.0544019561383, 5.509429626200632 61.05446964472605)"/>
    <s v="[1889470, 1889477, 1889504, 1889513, 1889521, 1889522, 1889545, 1889546, 1889567, 1889568, 1889575, 1889605, 1889618, 1889622, 1889634, 1889642, 1889649, 1889650, 1026345, 1026353, 1026361, 1026369, 1026377, 1026385, 1026393, 1026401, 1026409, 1026417, 1026425, 1026433, 1026441, 1026449, 1026457, 1026465, 1026473]"/>
    <s v="[1661338, 250049, 250081, 1661364, 1661369, 1661370, 1661384, 364067, 1661396, 364051, 1661403, 1661425, 1661435, 1156114, 1661444, 1661449, 250134, 981161, 981162, 981169, 981177, 981186, 981195, 981201, 981208, 981216, 981222, 981229, 981237, 981241, 981248, 981256, 981265, 981273, 981280]"/>
    <s v="#FIELD!"/>
    <s v="[1661337, 1661338, 250049, 250081, 1661364, 1661369, 1661370, 1661384, 364067, 1661396, 364051, 1661403, 1661425, 1661435, 1156114, 1661444, 1661449, 250134, 981161, 981162, 981169, 981177, 981186, 981195, 981201, 981208, 981216, 981222, 981229, 981237, 981241, 981248, 981256, 981265, 981273]"/>
    <s v="[0.037, 0.049, 0.042, 0.077, 0.074, 0.028, 0.454, 0.464, 0.376, 0.425, 0.349, 0.353, 0.03, 0.068, 0.035, 0.225, 0.132, 0.001, 0.002, 0.0, 0.02, 0.029, 0.032, 0.002, 0.015, 0.067, 0.005, 0.119, 0.02, 0.055, 0.016, 0.139, 0.127, 0.077, 0.09]"/>
    <s v="10283.280768196752"/>
    <s v="[0.037, -0.049, -0.042, 0.077, 0.074, -0.028, -0.454, -0.464, -0.376, -0.425, -0.349, -0.353, -0.03, 0.068, -0.035, -0.225, -0.132, 0.001, -0.002, 0.0, -0.02, 0.029, -0.032, 0.002, -0.015, 0.067, 0.005, -0.119, 0.02, 0.055, 0.016, -0.139, -0.127, -0.077, -0.09]"/>
  </r>
  <r>
    <x v="2920"/>
    <x v="3561"/>
    <x v="309"/>
    <s v="[0, 0, 0, 0, 0, 0, 0, 0, 0, 0, 0, 0, 0, 0, 0, 1, 0, 0, 0, 0, 0, 0, 0, 0, 0, 0, 0, 0, 0, 0, 0, 0, 0, 0, 0, 0, 0, 0, 0, 0, 0, 0, 0, 0, 0, 0, 0, 0, 0, 0, 0, 0, 0, 0, 0, 0, 0, 0, 0, 1, 0, 0, 0, 0, 0, 0, 0, 0, 0, 0, 0, 0, 0, 0, 0, 0, 0, 0, 0, 0, 0, 0, 0, 0, 0, 0, 0, 0, 0, 0, 0, 0, 0, 0, 0, 0, 0, 0, 0, 0, 0, 0, 0, 0, 0, 0, 0, 0, 0, 0, 0, 0, 0, 0, 0, 0, 0, 0, 0, 0, 0, 0, 0, 0, 0, 0, 0, 0, 0, 0, 0, 0, 0, 0, 0, 0, 0, 0, 0]"/>
    <s v="LINESTRING (10.250289796381109 63.08829567161575, 10.250290106425743 63.088572715991404, 10.249724953401563 63.090126321455564, 10.24958121533512 63.09032129256731, 10.2465823796085 63.09227221792339, 10.245076556392164 63.0927357656177, 10.242054322370759 63.093733365129964, 10.24183253786748 63.09381455426079, 10.241723521236263 63.09385332765814, 10.241648901204906 63.0938827535835, 10.235993950493432 63.10639798293785, 10.235330882224572 63.107706334533276, 10.234732608079964 63.10847394346889, 10.234696984904744 63.10853285680252, 10.234642115297198 63.10860534981956, 10.23448596257152 63.10883759317005, 10.234366887225084 63.10907910728687, 10.234246874186836 63.10943433128688, 10.238555121142781 63.11285553088749, 10.245070405204045 63.12196359359121, 10.244594089017948 63.122927747288145, 10.243995740583133 63.123599820433434, 10.243179172251025 63.12559275291827, 10.243203850117133 63.12566362330441, 10.245415241672607 63.12928762640514, 10.249157924337188 63.13286868634827, 10.25009121196117 63.13361661863937, 10.252467788469913 63.13553636757109, 10.253084440029472 63.136226813832906, 10.253134273751604 63.136297067908664, 10.253173660670335 63.13634785182665, 10.254703637525125 63.13845141787747, 10.257193157285046 63.140119451011294, 10.261168278229535 63.14275174989953, 10.26282854489469 63.1438604054178, 10.264296423361845 63.14483376814741, 10.267477701650263 63.14684510305399, 10.270689332528482 63.148522585550474, 10.271165034482268 63.14876329715032, 10.272328116281704 63.14928182569882, 10.273425308649053 63.14965621406034, 10.273586260627456 63.149705650830754, 10.274521326782171 63.14996456172783, 10.276142981069848 63.15038081904783, 10.276884866817628 63.15057289128891, 10.277476241447324 63.15072660447385, 10.28121185403683 63.1517324104477, 10.282939106882257 63.15204263737274, 10.284549593310787 63.152105241653324, 10.284630539517646 63.15210883508091, 10.285523886235525 63.15215475267798, 10.285635748111421 63.15216144269634, 10.287046907475263 63.152351823802746, 10.287540874842202 63.152443860044166, 10.288901526616606 63.15279337496336, 10.290176252216483 63.153297830680174, 10.290336032858855 63.15336699308903, 10.291588990585701 63.15391868942394, 10.291689026210882 63.153976664769566, 10.291953706109933 63.15420585378286, 10.29215590245759 63.15449135820333, 10.293234976915459 63.1558308728038, 10.293292113186554 63.15589515577083, 10.293434012037698 63.156041222515015, 10.293535606931764 63.15614426743046, 10.293759146166918 63.15637471165306, 10.29380852134157 63.156425813524365, 10.294257444522165 63.156895988601015, 10.294838197286923 63.15750680241479, 10.296089208854896 63.15881840010987, 10.297024121467688 63.15963787972512, 10.29711191399687 63.159697449592166, 10.298798456646562 63.160539555980485, 10.300121606156788 63.16116091426105, 10.303025551066916 63.162517742784964, 10.303612978297995 63.162796209150606, 10.304170905877044 63.16305804753037, 10.304282353356896 63.163111003876374, 10.304389668376025 63.16315975837076, 10.304403376941938 63.163166246873985, 10.305329542219543 63.16360503203529, 10.30549216132205 63.163683747646395, 10.309351710932479 63.165477458962926, 10.312020042917052 63.166779673398715, 10.312240347139918 63.1669874753668, 10.312774574627653 63.16754651766967, 10.31356867090245 63.16851613347453, 10.314368306343432 63.16978012978565, 10.316153515617561 63.173074408159415, 10.316647674296306 63.174094575806826, 10.31672522157036 63.17484534652585, 10.316797690063135 63.176513224425044, 10.316799898953205 63.17710233188561, 10.316672671365886 63.17836594724478, 10.31567171058692 63.18210225312332, 10.315019169534697 63.183121784242495, 10.314710830012501 63.18362446162295, 10.313986811736095 63.18476666529713, 10.312682259351483 63.18620827957437, 10.311124077594256 63.18782585419202, 10.310206251747998 63.18878382799142, 10.308499029264395 63.19055742556596, 10.307584321423905 63.191515939333186, 10.307185190568719 63.19193454805751, 10.30565340893818 63.193539398375144, 10.30445317549803 63.194769359767896, 10.302417682306713 63.19688360568565, 10.302365107638192 63.19695028320879, 10.30201497320057 63.19742836458709, 10.301913317145049 63.19765408528889, 10.301905128322579 63.197669551813455, 10.30182144703601 63.19783010202764, 10.301707358721744 63.198083657887864, 10.301523114247697 63.199377043803395, 10.301537213638412 63.199512028105154, 10.301576146283411 63.20019623704246, 10.301728133034375 63.20292051070572, 10.301729411245681 63.202998702183905, 10.301037801822764 63.2066316220565, 10.300436263336596 63.207620902167186, 10.300867587416038 63.20833506859211, 10.306125387586938 63.21324642543105, 10.306324756610664 63.21343012729577, 10.307033604426517 63.215090288781845, 10.306562243158652 63.217203512355916, 10.301237852501192 63.22003260559526, 10.29278491526961 63.22203091274484, 10.290399657670411 63.22355553030965, 10.290184628607316 63.2237302084569, 10.290119098677424 63.22378390804009, 10.28942945329915 63.2243511215884, 10.289126540698513 63.224594107089324, 10.289047242809382 63.224660326358006, 10.288770505872241 63.22488945830552, 10.288738143456364 63.22491345689966, 10.288552600659296 63.22506392208687, 10.288378580799236 63.225198608978, 10.288326923328425 63.22523712938024, 10.288015111282816 63.22545340484013, 10.28575463469275 63.226882086886036)"/>
    <s v="[1291269, 1291277, 1291165, 598295, 598303, 598311, 598319, 598327, 598336, 598344, 598352, 598360, 598368, 598376, 598384, 598392, 598400, 598408, 598416, 598424, 598432, 598440, 598448, 598456, 598464, 598472, 598480, 598488, 598496, 598504, 598512, 598520, 570396, 570399, 570400, 570427, 570428, 570435, 570443, 570444, 570454, 570455, 570462, 570470, 570478, 570489, 570521, 570546, 570554, 570558, 570575, 570576, 570583, 570591, 570599, 570620, 570622, 570623, 570624, 570628, 570654, 570661, 570675, 570676, 570683, 570691, 570692, 570699, 570714, 570722, 570739, 570746, 570747, 570748, 570761, 570762, 570764, 570765, 570770, 570778, 570787, 570788, 570796, 570797, 570798, 570805, 570812, 570820, 570821, 570836, 570837, 570852, 570860, 570861, 570866, 570867, 570874, 570882, 570883, 570890, 570900, 570906, 570907, 570925, 570933, 570934, 570938, 570939, 570941, 570942, 570943, 570951, 570968, 570973, 570981, 570982, 570983, 570995, 571003, 571013, 571028, 571029, 571037, 598528, 598536, 598544, 598552, 598560, 598568, 598576, 598584, 598592, 676471, 1784782, 1784790, 1027438, 1027446, 1027454, 1027462]"/>
    <s v="[1204486, 1204405, 601419, 601420, 601427, 601434, 375405, 601447, 375397, 601462, 601469, 601477, 541690, 601486, 601492, 601498, 601505, 601512, 601517, 601524, 601531, 601539, 37876, 18834, 601554, 601558, 601564, 375464, 601577, 375437, 14434, 25712, 44037, 35198, 578491, 19438, 35078, 22439, 578526, 562049, 31624, 578534, 562165, 31464, 578552, 578560, 578595, 578612, 35608, 578623, 578640, 5009, 578645, 562450, 578661, 4450, 578680, 578681, 578682, 578686, 27488, 578717, 31194, 578730, 578735, 31273, 578744, 27077, 13865, 11483, 578773, 25438, 27390, 27414, 26968, 35014, 14805, 578789, 578794, 578803, 578806, 26146, 29545, 37470, 35357, 29459, 33462, 9820, 537840, 17839, 41044, 20444, 42408, 36628, 578847, 29853, 37773, 578853, 40239, 34076, 4052, 578865, 37246, 16752, 34711, 578881, 578884, 578885, 578887, 578888, 578889, 578895, 34994, 578903, 578910, 578911, 39226, 20008, 40097, 266, 30143, 564711, 29465, 28182, 19955, 36284, 601625, 601633, 601640, 601648, 601655, 601662, 666397, 982054, 982119, 982120, 982127, 982133, 981995]"/>
    <s v="#FIELD!"/>
    <s v="[1204452, 1204486, 1204405, 601419, 601420, 601427, 601434, 375405, 601447, 375397, 601462, 601469, 601477, 541690, 601486, 601492, 601498, 601505, 601512, 601517, 601524, 601531, 601539, 37876, 18834, 601554, 601558, 601564, 375464, 601577, 375437, 14434, 25712, 44037, 35198, 578491, 19438, 35078, 22439, 578526, 562049, 31624, 578534, 562165, 31464, 578552, 578560, 578595, 578612, 35608, 578623, 578640, 5009, 578645, 562450, 578661, 4450, 578680, 578681, 578682, 578686, 27488, 578717, 31194, 578730, 578735, 31273, 578744, 27077, 13865, 11483, 578773, 25438, 27390, 27414, 26968, 35014, 14805, 578789, 578794, 578803, 578806, 26146, 29545, 37470, 35357, 29459, 33462, 9820, 537840, 17839, 41044, 20444, 42408, 36628, 578847, 29853, 37773, 578853, 40239, 34076, 4052, 578865, 37246, 16752, 34711, 578881, 578884, 578885, 578887, 578888, 578889, 578895, 34994, 578903, 578910, 578911, 39226, 20008, 40097, 266, 30143, 564711, 29465, 28182, 19955, 36284, 601625, 601633, 601640, 601648, 601655, 601662, 666397, 982054, 982119, 982120, 982127, 982133]"/>
    <s v="[0.009, 0.106, 1.034, 0.031, 0.005, 0.011, 0.02, 0.023, 0.018, 0.003, 0.015, 0.024, 0.065, 0.081, 0.074, 0.074, 0.071, 0.003, 0.006, 0.015, 0.003, 0.001, 0.027, 0.006, 0.013, 0.014, 0.007, 0.006, 0.018, 0.017, 0.015, 0.014, 0.012, 0.002, 0.014, 0.003, 0.006, 0.018, 0.005, 0.004, 0.015, 0.005, 0.005, 0.009, 0.032, 0.018, 0.005, 0.001, 0.0, 0.001, 0.004, 0.002, 0.006, 0.014, 0.01, 0.009, 0.017, 0.025, 0.019, 0.037, 0.044, 0.053, 0.05, 0.056, 0.045, 0.026, 0.023, 0.019, 0.009, 0.007, 0.015, 0.0, 0.002, 0.015, 0.02, 0.01, 0.002, 0.005, 0.029, 0.011, 0.016, 0.028, 0.02, 0.023, 0.024, 0.026, 0.03, 0.002, 0.019, 0.001, 0.02, 0.041, 0.076, 0.012, 0.007, 0.005, 0.005, 0.001, 0.008, 0.004, 0.025, 0.033, 0.009, 0.037, 0.017, 0.016, 0.029, 0.021, 0.004, 0.004, 0.008, 0.008, 0.01, 0.015, 0.001, 0.001, 0.018, 0.021, 0.026, 0.015, 0.002, 0.026, 0.023, 0.056, 0.004, 0.004, 0.017, 0.025, 0.019, 0.022, 0.04, 0.041, 0.092, 1.863, 0.011, 0.002, 0.004, 0.012, 0.004]"/>
    <s v="18121.82261444985"/>
    <s v="[0.009, 0.106, -1.034, 0.031, -0.005, -0.011, -0.02, -0.023, -0.018, 0.003, 0.015, -0.024, -0.065, -0.081, -0.074, -0.074, -0.071, 0.003, -0.006, 0.015, -0.003, -0.001, 0.027, 0.006, -0.013, -0.014, -0.007, -0.006, -0.018, -0.017, -0.015, -0.014, -0.012, -0.002, -0.014, -0.003, -0.006, -0.018, -0.005, -0.004, -0.015, 0.005, 0.005, 0.009, 0.032, 0.018, 0.005, 0.001, 0.0, 0.001, 0.004, -0.002, -0.006, 0.014, 0.01, 0.009, 0.017, 0.025, 0.019, 0.037, 0.044, 0.053, 0.05, 0.056, 0.045, 0.026, 0.023, -0.019, -0.009, -0.007, -0.015, 0.0, 0.002, 0.015, 0.02, 0.01, -0.002, -0.005, -0.029, 0.011, 0.016, 0.028, 0.02, -0.023, -0.024, -0.026, -0.03, 0.002, 0.019, 0.001, -0.02, -0.041, -0.076, -0.012, 0.007, 0.005, 0.005, -0.001, 0.008, 0.004, 0.025, 0.033, 0.009, -0.037, -0.017, -0.016, -0.029, -0.021, -0.004, 0.004, -0.008, -0.008, 0.01, 0.015, 0.001, 0.001, -0.018, -0.021, -0.026, -0.015, -0.002, 0.026, 0.023, 0.056, -0.004, -0.004, -0.017, -0.025, -0.019, -0.022, -0.04, -0.041, 0.092, 1.863, -0.011, -0.002, -0.004, -0.012, -0.004]"/>
  </r>
  <r>
    <x v="2921"/>
    <x v="3562"/>
    <x v="310"/>
    <n v="0"/>
    <s v="LINESTRING (5.847615695249444 61.450740740484626, 5.8477517227412426 61.45066651122566, 5.848299234106605 61.45039703537515, 5.848908322696601 61.45018181268266)"/>
    <s v="[1027457, 1027465, 1027473]"/>
    <s v="[982137, 982144, 982150]"/>
    <s v="#FIELD!"/>
    <s v="[982136, 982137, 982144]"/>
    <s v="[0.007, 0.013, 0.057]"/>
    <s v="93.61745747514124"/>
    <s v="[0.007, -0.013, -0.057]"/>
  </r>
  <r>
    <x v="2921"/>
    <x v="3563"/>
    <x v="0"/>
    <n v="0"/>
    <s v="LINESTRING (5.845272852826223 61.45185629510409, 5.845272852826223 61.45185629510409, 5.845778041298591 61.45165682628984, 5.846495154796039 61.45134286813963, 5.847615695249444 61.450740740484626)"/>
    <s v="[1881249, 1881257, 1881265, 1881273]"/>
    <s v="[1655846, 1655447, 1655855, 982136]"/>
    <s v="#FIELD!"/>
    <s v="[1655845, 1655846, 1655447, 1655855]"/>
    <s v="[0.0, 0.051, 0.068, 0.072]"/>
    <s v="187.6717654917439"/>
    <s v="[0.0, 0.051, 0.068, -0.072]"/>
  </r>
  <r>
    <x v="2921"/>
    <x v="3563"/>
    <x v="0"/>
    <n v="0"/>
    <s v="LINESTRING (5.845272852826223 61.45185629510409, 5.845191396916457 61.4518172446558, 5.8456033148070015 61.4516441563066, 5.845693495809883 61.451604783534926, 5.845761640816728 61.45157758697852, 5.846412853036839 61.45129428668905, 5.847615695249444 61.450740740484626)"/>
    <s v="[1898595, 1898603, 1898611, 1898619, 1898627, 1898635]"/>
    <s v="[1667517, 1655448, 1667528, 1667535, 1667542, 982136]"/>
    <s v="#FIELD!"/>
    <s v="[1655845, 1667517, 1655448, 1667528, 1667535, 1667542]"/>
    <s v="[0.093, 0.0, 0.0, 0.027, 0.001, 0.002]"/>
    <s v="186.33725369657998"/>
    <s v="[-0.093, 0.0, 0.0, -0.027, -0.001, -0.002]"/>
  </r>
  <r>
    <x v="2922"/>
    <x v="3015"/>
    <x v="0"/>
    <n v="0"/>
    <s v="LINESTRING (5.848908322696601 61.45018181268266, 5.8494947322991075 61.450153816486974, 5.849578838386263 61.450155534887806)"/>
    <s v="[1881287, 1881295]"/>
    <s v="[1655871, 982932]"/>
    <s v="#FIELD!"/>
    <s v="[982150, 1655871]"/>
    <s v="[0.824, 6.902]"/>
    <s v="36.751836300713926"/>
    <s v="[0.824, -6.902]"/>
  </r>
  <r>
    <x v="2922"/>
    <x v="3017"/>
    <x v="0"/>
    <n v="0"/>
    <s v="LINESTRING (5.848908322696601 61.45018181268266, 5.849442339593976 61.450050117861345, 5.84959817424956 61.45002431130057)"/>
    <s v="[1898643, 1898651]"/>
    <s v="[1667550, 982902]"/>
    <s v="#FIELD!"/>
    <s v="[982150, 1667550]"/>
    <s v="[0.093, 0.118]"/>
    <s v="41.253846438062595"/>
    <s v="[-0.093, -0.118]"/>
  </r>
  <r>
    <x v="2923"/>
    <x v="3564"/>
    <x v="0"/>
    <n v="0"/>
    <s v="LINESTRING (10.94330438065692 63.46808489685263, 10.94344524195155 63.46811536507929, 10.94513115631955 63.46827125951832, 10.945628145174869 63.46829431002865, 10.946110352255367 63.468321703308895)"/>
    <s v="[1027626, 1027634, 1027642, 1027650]"/>
    <s v="[982248, 982254, 982259, 982265]"/>
    <s v="0.018108959557874112"/>
    <s v="[982247, 982248, 982254, 982259]"/>
    <s v="[0.02, 0.018, 0.018, 0.018]"/>
    <s v="143.21197525252518"/>
    <s v="[0.02, 0.018, 0.018, 0.018]"/>
  </r>
  <r>
    <x v="2923"/>
    <x v="3565"/>
    <x v="0"/>
    <n v="0"/>
    <s v="LINESTRING (10.94330438065692 63.46808489685263, 10.943326355328931 63.46815606924141, 10.943269205383986 63.46823455041881)"/>
    <s v="[1027954, 1027962]"/>
    <s v="[982495, 982276]"/>
    <s v="0.005119118011107972"/>
    <s v="[982247, 982495]"/>
    <s v="[0.011, 0.0]"/>
    <s v="17.21113341451113"/>
    <s v="[0.011, 0.0]"/>
  </r>
  <r>
    <x v="2923"/>
    <x v="3566"/>
    <x v="0"/>
    <n v="0"/>
    <s v="LINESTRING (10.942593205937266 63.46807022028911, 10.942861235662406 63.46797469748784, 10.94302077221369 63.46797479467393, 10.943183186634736 63.46800871522552, 10.94330438065692 63.46808489685263)"/>
    <s v="[1027922, 1027930, 1027938, 1027946]"/>
    <s v="[982410, 982476, 982386, 982247]"/>
    <s v="0.013694837414760571"/>
    <s v="[982379, 982410, 982476, 982386]"/>
    <s v="[0.015, 0.017, 0.009, 0.013]"/>
    <s v="44.87179390823147"/>
    <s v="[0.015, 0.017, 0.009, 0.013]"/>
  </r>
  <r>
    <x v="2924"/>
    <x v="3567"/>
    <x v="0"/>
    <n v="0"/>
    <s v="LINESTRING (10.946110352255367 63.468321703308895, 11.143735040789572 63.464208826745086)"/>
    <m/>
    <m/>
    <s v="0.0"/>
    <m/>
    <n v="0"/>
    <s v="11551.631569352941"/>
    <n v="0"/>
  </r>
  <r>
    <x v="2924"/>
    <x v="3565"/>
    <x v="0"/>
    <n v="0"/>
    <s v="LINESTRING (10.943269205383986 63.46823455041881, 10.943398910613718 63.46823700028508, 10.945124227894073 63.46831898820222, 10.945624490247056 63.468339507011706, 10.946110352255367 63.468321703308895)"/>
    <s v="[1027666, 1027674, 1027682, 1027690]"/>
    <s v="[982277, 982282, 982289, 982265]"/>
    <s v="0.017828256699630694"/>
    <s v="[982276, 982277, 982282, 982289]"/>
    <s v="[0.018, 0.018, 0.018, 0.017]"/>
    <s v="142.64971035879964"/>
    <s v="[0.018, 0.018, 0.018, 0.017]"/>
  </r>
  <r>
    <x v="2925"/>
    <x v="3568"/>
    <x v="0"/>
    <n v="0"/>
    <s v="LINESTRING (10.943269205383986 63.46823455041881, 10.943189443696486 63.46827609527896, 10.94304882679375 63.46830919860219, 10.942885287850189 63.46831435386183, 10.94257894300132 63.468201196600056)"/>
    <s v="[1027970, 1027978, 1027986, 1027994]"/>
    <s v="[982506, 982513, 982519, 982335]"/>
    <s v="#FIELD!"/>
    <s v="[982276, 982506, 982513, 982519]"/>
    <s v="[0.005, 0.012, 0.017, 0.017]"/>
    <s v="42.76897867637595"/>
    <s v="[-0.005, -0.012, -0.017, -0.017]"/>
  </r>
  <r>
    <x v="2926"/>
    <x v="3568"/>
    <x v="0"/>
    <n v="0"/>
    <s v="LINESTRING (10.937747522509914 63.467732477028086, 10.938185005907698 63.467819144369535, 10.938359145852003 63.46784389416857, 10.94013805418983 63.468084760582364, 10.940232463774548 63.46809746409656, 10.940628348102676 63.46814601834053, 10.940795923199211 63.46815956801878, 10.942447888970953 63.468190267730876, 10.94257894300132 63.468201196600056)"/>
    <s v="[1027698, 1027706, 1027714, 1027722, 1027730, 1027738, 1027746, 1027754]"/>
    <s v="[982298, 982301, 982308, 982314, 982319, 982326, 982330, 982335]"/>
    <s v="#FIELD!"/>
    <s v="[982297, 982298, 982301, 982308, 982314, 982319, 982326, 982330]"/>
    <s v="[0.019, 0.018, 0.019, 0.014, 0.016, 0.017, 0.016, 0.018]"/>
    <s v="249.3729556345673"/>
    <s v="[-0.019, -0.018, -0.019, -0.014, -0.016, -0.017, -0.016, 0.018]"/>
  </r>
  <r>
    <x v="2926"/>
    <x v="3566"/>
    <x v="0"/>
    <n v="0"/>
    <s v="LINESTRING (10.937747522509914 63.467732477028086, 10.938380151012545 63.46780267761597, 10.940185294221392 63.468029575210934, 10.94028044987494 63.46804254257128, 10.940346746255766 63.46805157125831, 10.940662460719357 63.46808591194083, 10.942448591468793 63.46808348932224, 10.942593205937266 63.46807022028911)"/>
    <s v="[1027770, 1027778, 1027786, 1027794, 1027802, 1027810, 1027818]"/>
    <s v="[982344, 982349, 982355, 982363, 982368, 982374, 982379]"/>
    <s v="#FIELD!"/>
    <s v="[982297, 982344, 982349, 982355, 982363, 982368, 982374]"/>
    <s v="[0.018, 0.019, 0.015, 0.017, 0.016, 0.016, 0.015]"/>
    <s v="248.0732297300583"/>
    <s v="[-0.018, -0.019, -0.015, -0.017, -0.016, -0.016, 0.015]"/>
  </r>
  <r>
    <x v="2927"/>
    <x v="3569"/>
    <x v="0"/>
    <s v="[0, 0, 0, 0, 0, 0, 0, 0, 0, 0, 0, 0, 0, 0, 0, 0, 0, 0, 0, 0, 0, 0, 0, 0, 0, 0, 0, 0, 0, 0, 0, 1, 0, 1, 0, 0, 0, 0, 0, 0, 0, 0, 0, 0, 0, 0, 0, 0, 0, 0, 0, 0, 0, 0, 0, 0]"/>
    <s v="LINESTRING (6.458264663354238 61.56601487208605, 6.455010872386949 61.56473078664936, 6.453540706555206 61.56405148343169, 6.450694119129761 61.5632875235691, 6.448508703205832 61.56277427941964, 6.444224691946851 61.56219992336751, 6.432382015940418 61.56152922613283, 6.424428990690777 61.56104418094421, 6.419436611418644 61.560984571070726, 6.415798103974493 61.560257039018865, 6.415239180172383 61.560223187555785, 6.41372855999763 61.56029356028448, 6.409304389936832 61.56079847243501, 6.4051324692130445 61.56045666584552, 6.404742662226018 61.56047721113347, 6.402646917279505 61.560780096782246, 6.392839244103001 61.56004212678649, 6.384430390422785 61.55843677252831, 6.383802931613365 61.5583478729827, 6.379617846212033 61.55749526367692, 6.376225134872656 61.557365852258975, 6.363798201165178 61.55524728075058, 6.363294512666907 61.55508077047834, 6.363206373476349 61.55505130615294, 6.363103414234456 61.55501728407587, 6.358889615667226 61.55361844659086, 6.357280122994087 61.55308420599586, 6.356207281084 61.55271903972805, 6.3548499031466354 61.552146279038, 6.353528380532657 61.55137885357656, 6.3531177731089254 61.55108498059614, 6.352919561110148 61.55094055111219, 6.352679328126924 61.5507651376191, 6.35232880647416 61.55050898960666, 6.352175325977505 61.550396844660355, 6.351080678162935 61.54959736720351, 6.350446904759131 61.54913383482229, 6.349993260582249 61.54880288386935, 6.34976538446062 61.54863577754385, 6.347158626007564 61.54673053019928, 6.344489564959817 61.5441521184797, 6.344405500093468 61.54404349217634, 6.344363517887184 61.54399473803767, 6.344329056922641 61.54395089085995, 6.3397322077319584 61.53889361815461, 6.338484336514365 61.53838628222018, 6.336294880651014 61.537856042748956, 6.3355050928239 61.53766589495559, 6.331395128878856 61.535885969529886, 6.329210253595 61.535336688570794, 6.327891824869768 61.534885524672916, 6.324677805182459 61.53330841596424, 6.317596452393949 61.53000076392468, 6.314946949252224 61.52883129044405, 6.309621811074928 61.52668201180913, 6.307896301080196 61.526209836639055, 6.307157270000471 61.52607604358691)"/>
    <s v="[1370183, 1370191, 1370199, 1370111, 1370119, 1370127, 1370135, 1370143, 1370151, 1369327, 1369335, 1369343, 1369351, 1369359, 1369367, 1369375, 1369383, 1369391, 1369911, 1369919, 1369927, 1369935, 1369943, 1369951, 1369959, 1369967, 1369975, 1369983, 1369991, 1369999, 1369735, 1369743, 1369751, 1369759, 1369767, 1369775, 1369783, 1369791, 1369799, 1369807, 1369815, 1369823, 1369831, 1369839, 1369847, 1369855, 1369863, 1369615, 1369623, 1369719, 1369727, 1370207, 1370215, 1370223, 1370231, 1370239]"/>
    <s v="[1263174, 1263512, 1263459, 1263460, 1262989, 1263472, 1263477, 1263484, 1262927, 1262928, 1262929, 1262933, 1262940, 1262946, 1262951, 1262955, 1262959, 1262964, 1263334, 1263338, 1263015, 1263009, 1263347, 1263036, 1263358, 1263364, 1262879, 1170969, 1263381, 1263205, 1263206, 1263209, 1263212, 1263221, 1263225, 1263231, 1263239, 1263248, 1263256, 1263264, 1263003, 1263278, 1262973, 1263288, 1263295, 1263305, 1263132, 1263133, 1263140, 1263200, 1263201, 1263520, 1263525, 1263531, 1263534, 982313]"/>
    <s v="#FIELD!"/>
    <s v="[1263183, 1263174, 1263512, 1263459, 1263460, 1262989, 1263472, 1263477, 1263484, 1262927, 1262928, 1262929, 1262933, 1262940, 1262946, 1262951, 1262955, 1262959, 1262964, 1263334, 1263338, 1263015, 1263009, 1263347, 1263036, 1263358, 1263364, 1262879, 1170969, 1263381, 1263205, 1263206, 1263209, 1263212, 1263221, 1263225, 1263231, 1263239, 1263248, 1263256, 1263264, 1263003, 1263278, 1262973, 1263288, 1263295, 1263305, 1263132, 1263133, 1263140, 1263200, 1263201, 1263520, 1263525, 1263531, 1263534]"/>
    <s v="[0.038, 0.011, 0.012, 0.022, 0.006, 0.018, 0.02, 0.021, 0.074, 0.039, 0.003, 0.004, 0.027, 0.015, 0.033, 0.002, 0.005, 0.006, 0.004, 0.046, 0.014, 0.017, 0.023, 0.013, 0.025, 0.019, 0.008, 0.005, 0.013, 0.035, 0.037, 0.005, 0.001, 0.001, 0.007, 0.016, 0.013, 0.013, 0.018, 0.022, 0.013, 0.039, 0.011, 0.002, 0.035, 0.079, 0.133, 0.004, 0.019, 0.026, 0.022, 0.013, 0.028, 0.032, 0.091, 0.025]"/>
    <s v="9905.162199103459"/>
    <s v="[-0.038, 0.011, 0.012, -0.022, 0.006, 0.018, 0.02, -0.021, -0.074, -0.039, -0.003, -0.004, -0.027, 0.015, 0.033, 0.002, -0.005, 0.006, 0.004, 0.046, -0.014, -0.017, -0.023, -0.013, -0.025, 0.019, 0.008, 0.005, -0.013, -0.035, -0.037, -0.005, 0.001, -0.001, -0.007, -0.016, -0.013, 0.013, 0.018, 0.022, 0.013, 0.039, 0.011, 0.002, 0.035, 0.079, 0.133, 0.004, 0.019, -0.026, 0.022, -0.013, 0.028, -0.032, -0.091, 0.025]"/>
  </r>
  <r>
    <x v="2927"/>
    <x v="3570"/>
    <x v="311"/>
    <n v="0"/>
    <s v="LINESTRING (6.095512698824922 61.48907653528614, 6.307157270000471 61.52607604358691)"/>
    <m/>
    <m/>
    <s v="0.0"/>
    <m/>
    <n v="0"/>
    <s v="14988.793078673878"/>
    <n v="0"/>
  </r>
  <r>
    <x v="2928"/>
    <x v="3566"/>
    <x v="0"/>
    <n v="0"/>
    <s v="LINESTRING (10.94257894300132 63.468201196600056, 10.942556639591167 63.46814240951732, 10.942593205937266 63.46807022028911)"/>
    <s v="[1028002, 1028010]"/>
    <s v="[982533, 982379]"/>
    <s v="#FIELD!"/>
    <s v="[982335, 982533]"/>
    <s v="[0.009, 0.003]"/>
    <s v="14.89894342761501"/>
    <s v="[-0.009, -0.003]"/>
  </r>
  <r>
    <x v="2929"/>
    <x v="3307"/>
    <x v="312"/>
    <n v="0"/>
    <s v="LINESTRING (14.833580828515222 68.42185412208707, 14.697958733149362 68.32904602932473)"/>
    <m/>
    <m/>
    <s v="0.0"/>
    <m/>
    <n v="0"/>
    <s v="15723.070541670788"/>
    <n v="0"/>
  </r>
  <r>
    <x v="2930"/>
    <x v="3571"/>
    <x v="0"/>
    <n v="0"/>
    <s v="LINESTRING (6.292119948167081 62.46888615855034, 6.290767816531293 62.46899270970415, 6.28994143107835 62.469053244514456, 6.288517748701003 62.46913906389799, 6.287030733275162 62.469120872119085)"/>
    <s v="[1305677, 1305685, 1305693, 1305701]"/>
    <s v="[1215559, 1215566, 1215573, 982690]"/>
    <s v="#FIELD!"/>
    <s v="[982684, 1215559, 1215566, 1215573]"/>
    <s v="[0.034, 0.046, 0.002, 0.035]"/>
    <s v="265.3672318630369"/>
    <s v="[-0.034, -0.046, 0.002, 0.035]"/>
  </r>
  <r>
    <x v="2930"/>
    <x v="3572"/>
    <x v="0"/>
    <n v="0"/>
    <s v="LINESTRING (6.292835756473399 62.4688092531409, 6.292690443990975 62.46882761495083, 6.292316405989388 62.46888097058529, 6.2921438316699385 62.46888552757721, 6.292119948167081 62.46888615855034)"/>
    <s v="[1297180, 1297181, 1028191, 1028199]"/>
    <s v="[1209241, 982705, 982706, 982684]"/>
    <s v="#FIELD!"/>
    <s v="[1209240, 1209241, 982705, 982706]"/>
    <s v="[0.073, 0.063, 0.025, 0.015]"/>
    <s v="38.194240210805425"/>
    <s v="[-0.073, -0.063, -0.025, -0.015]"/>
  </r>
  <r>
    <x v="2930"/>
    <x v="3573"/>
    <x v="0"/>
    <n v="0"/>
    <s v="LINESTRING (6.29275094756643 62.46869903921698, 6.292608303506255 62.46874896020054, 6.292282327078624 62.468835047991526, 6.292139691476355 62.468879944996374, 6.292119948167081 62.46888615855034)"/>
    <s v="[2135393, 2135401, 1028158, 1028167]"/>
    <s v="[1835933, 982674, 982675, 982684]"/>
    <s v="#FIELD!"/>
    <s v="[1218699, 1835933, 982674, 982675]"/>
    <s v="[0.105, 0.041, 0.041, 0.067]"/>
    <s v="38.798184957790696"/>
    <s v="[-0.105, -0.041, -0.041, -0.067]"/>
  </r>
  <r>
    <x v="2931"/>
    <x v="3574"/>
    <x v="0"/>
    <n v="0"/>
    <s v="LINESTRING (6.287030733275162 62.469120872119085, 6.286830928113518 62.469073350733105, 6.286038068391966 62.46900336510154, 6.285747393763203 62.46897406196832, 6.262211110212208 62.46781656726499, 6.261940886259706 62.46783186013385, 6.261178106129126 62.46787737787613, 6.260992180484231 62.46791240135572)"/>
    <s v="[1028175, 2135409, 2135417, 2135425, 2135433, 2135441, 1028207]"/>
    <s v="[982691, 1835942, 1835946, 1835949, 1835952, 982717, 982718]"/>
    <s v="#FIELD!"/>
    <s v="[982690, 982691, 1835942, 1835946, 1835949, 1835952, 982717]"/>
    <s v="[0.045, 0.015, 0.018, 0.024, 0.042, 0.022, 0.048]"/>
    <s v="1376.2929213450573"/>
    <s v="[0.045, 0.015, 0.018, -0.024, -0.042, -0.022, -0.048]"/>
  </r>
  <r>
    <x v="2931"/>
    <x v="3574"/>
    <x v="0"/>
    <n v="0"/>
    <s v="LINESTRING (6.287030733275162 62.469120872119085, 6.28681518196433 62.46913629139296, 6.286007685662187 62.469063559573605, 6.285718769747974 62.46902999351868, 6.262224834750058 62.467861052631946, 6.261952234121676 62.467877587225516, 6.261192299618603 62.46792245327403, 6.260992180484231 62.46791240135572)"/>
    <s v="[1028183, 1297215, 1297223, 1297231, 1297245, 1297246, 1028215]"/>
    <s v="[982697, 1209265, 1209270, 1209277, 1209285, 982724, 982718]"/>
    <s v="#FIELD!"/>
    <s v="[982690, 982697, 1209265, 1209270, 1209277, 1209285, 982724]"/>
    <s v="[0.013, 0.026, 0.027, 0.024, 0.045, 0.044, 0.04]"/>
    <s v="1374.6049289519012"/>
    <s v="[0.013, 0.026, 0.027, -0.024, -0.045, -0.044, -0.04]"/>
  </r>
  <r>
    <x v="2932"/>
    <x v="3575"/>
    <x v="0"/>
    <n v="0"/>
    <s v="LINESTRING (6.260992180484231 62.46791240135572, 6.260647985781317 62.46793148244161, 6.2565181547237705 62.468187992905584, 6.254245734446366 62.468406971629825, 6.249917210023411 62.46908070191185, 6.24659047775904 62.469631765836006, 6.244074796087957 62.47004910334336)"/>
    <s v="[1305709, 1305717, 1305725, 1305733, 1305741, 1305749]"/>
    <s v="[1215587, 1215593, 1215600, 1215605, 1215610, 1215615]"/>
    <s v="#FIELD!"/>
    <s v="[982718, 1215587, 1215593, 1215600, 1215605, 1215610]"/>
    <s v="[0.046, 0.04, 0.006, 0.005, 0.012, 0.006]"/>
    <s v="910.3626097504982"/>
    <s v="[-0.046, -0.04, -0.006, 0.005, 0.012, 0.006]"/>
  </r>
  <r>
    <x v="2933"/>
    <x v="3576"/>
    <x v="0"/>
    <n v="0"/>
    <s v="LINESTRING (5.992477365761637 61.90677523963829, 5.992393953972325 61.9068303020918, 5.992147511151585 61.90700984076306, 5.9920530555452665 61.907089213701944, 5.991505510704265 61.90762221783553, 5.991440029477106 61.907690484924736, 5.990920480967321 61.90823500649497, 5.990122153770325 61.9089082985112, 5.988625945946683 61.9095993640773, 5.988234586176945 61.90977421806372, 5.987224410230348 61.91022308261048, 5.986039469721596 61.911039793501146, 5.985958564853682 61.91113153799178, 5.985673205671051 61.911677997097485)"/>
    <s v="[1028298, 1028306, 1028314, 1028322, 1028330, 1028338, 1028346, 1028354, 1028362, 1028370, 1028378, 1028386, 1028394]"/>
    <s v="[982779, 982787, 982794, 982803, 982808, 979772, 982821, 982828, 982836, 982842, 982851, 982859, 982868]"/>
    <s v="0.00041819406146267234"/>
    <s v="[982778, 982779, 982787, 982794, 982803, 982808, 979772, 982821, 982828, 982836, 982842, 982851, 982859]"/>
    <s v="[0.01, 0.009, 0.009, 0.009, 0.01, 0.006, 0.013, 0.002, 0.011, 0.011, 0.002, 0.01, 0.013]"/>
    <s v="666.555236939559"/>
    <s v="[-0.01, -0.009, -0.009, -0.009, -0.01, 0.006, 0.013, -0.002, -0.011, -0.011, 0.002, 0.01, 0.013]"/>
  </r>
  <r>
    <x v="2933"/>
    <x v="3577"/>
    <x v="0"/>
    <n v="0"/>
    <s v="LINESTRING (5.993095890739837 61.90637183793473, 5.9930162410254 61.90642714875967, 5.99287871108038 61.90654191780084, 5.992477365761637 61.90677523963829)"/>
    <s v="[1898883, 1898891, 1898899]"/>
    <s v="[1667724, 1667731, 982778]"/>
    <s v="#FIELD!"/>
    <s v="[983026, 1667724, 1667731]"/>
    <s v="[0.003, 0.006, 0.009]"/>
    <s v="55.808278707600664"/>
    <s v="[-0.003, -0.006, -0.009]"/>
  </r>
  <r>
    <x v="2933"/>
    <x v="3578"/>
    <x v="0"/>
    <n v="0"/>
    <s v="LINESTRING (5.992854984403016 61.906311657648224, 5.992847862158667 61.90637446334151, 5.9927795398770245 61.90651096221917, 5.992477365761637 61.90677523963829)"/>
    <s v="[1881667, 1881683, 1881684]"/>
    <s v="[1656168, 1656180, 982778]"/>
    <s v="#FIELD!"/>
    <s v="[983044, 1656168, 1656180]"/>
    <s v="[0.003, 0.001, 0.006]"/>
    <s v="56.23155446819188"/>
    <s v="[0.003, -0.001, -0.006]"/>
  </r>
  <r>
    <x v="2934"/>
    <x v="3579"/>
    <x v="0"/>
    <n v="0"/>
    <s v="LINESTRING (5.985673205671051 61.911677997097485, 5.985518660269755 61.91198941264327, 5.985510187327222 61.91204928224253)"/>
    <s v="[1881699, 1881716]"/>
    <s v="[1656193, 1656205]"/>
    <s v="0.0100890815872966"/>
    <s v="[982868, 1656193]"/>
    <s v="[0.009, 0.016]"/>
    <s v="43.08032875421201"/>
    <s v="[0.009, 0.016]"/>
  </r>
  <r>
    <x v="2934"/>
    <x v="3580"/>
    <x v="0"/>
    <n v="0"/>
    <s v="LINESTRING (5.985673205671051 61.911677997097485, 5.985725731865389 61.91200455174235, 5.98575009862006 61.91205544290933)"/>
    <s v="[1898906, 1898914]"/>
    <s v="[1667744, 1664980]"/>
    <s v="0.027348723757881527"/>
    <s v="[982868, 1667744]"/>
    <s v="[0.026, 0.036]"/>
    <s v="43.21007635847069"/>
    <s v="[0.026, 0.036]"/>
  </r>
  <r>
    <x v="2935"/>
    <x v="3015"/>
    <x v="0"/>
    <n v="0"/>
    <s v="LINESTRING (5.849578838386263 61.450155534887806, 5.849534499179432 61.45007858099723, 5.84959817424956 61.45002431130057)"/>
    <s v="[1028498, 1028506]"/>
    <s v="[982936, 982902]"/>
    <s v="0.02861687405796814"/>
    <s v="[982932, 982936]"/>
    <s v="[0.079, 0.036]"/>
    <s v="15.8713891642026"/>
    <s v="[0.079, -0.036]"/>
  </r>
  <r>
    <x v="2936"/>
    <x v="3581"/>
    <x v="0"/>
    <n v="0"/>
    <m/>
    <n v="1028514"/>
    <n v="982946"/>
    <s v="#FIELD!"/>
    <n v="982945"/>
    <s v="0.02"/>
    <s v="26.352932874398373"/>
    <s v="#FIELD!"/>
  </r>
  <r>
    <x v="2936"/>
    <x v="3582"/>
    <x v="0"/>
    <n v="0"/>
    <s v="LINESTRING (5.883246935985967 61.44770356749119, 5.883144835419263 61.447651143672594, 5.8831212815279486 61.44758536138766)"/>
    <s v="[1028570, 1028578]"/>
    <s v="[982989, 982945]"/>
    <s v="0.09139192023517935"/>
    <s v="[982982, 982989]"/>
    <s v="[0.102, 0.08]"/>
    <s v="15.462762760490033"/>
    <s v="[0.102, 0.08]"/>
  </r>
  <r>
    <x v="2936"/>
    <x v="3583"/>
    <x v="0"/>
    <n v="0"/>
    <s v="LINESTRING (5.882488876852142 61.447724580479935, 5.883028691666283 61.447611395411556, 5.8831212815279486 61.44758536138766)"/>
    <s v="[1626764, 1626772]"/>
    <s v="[1455226, 982945]"/>
    <s v="#FIELD!"/>
    <s v="[1455225, 1455226]"/>
    <s v="[0.039, 0.797]"/>
    <s v="37.36177509484418"/>
    <s v="[-0.039, -0.797]"/>
  </r>
  <r>
    <x v="2937"/>
    <x v="3584"/>
    <x v="0"/>
    <n v="0"/>
    <s v="LINESTRING (5.883485169188237 61.44747805797482, 5.883613206001257 61.447530134280285, 5.883650191950415 61.447595774101806)"/>
    <s v="[1028522, 1028530]"/>
    <s v="[982953, 982959]"/>
    <s v="#FIELD!"/>
    <s v="[982946, 982953]"/>
    <s v="[0.092, 0.088]"/>
    <s v="16.579694925514765"/>
    <s v="[-0.092, -0.088]"/>
  </r>
  <r>
    <x v="2937"/>
    <x v="3585"/>
    <x v="0"/>
    <n v="0"/>
    <s v="LINESTRING (5.883485169188237 61.44747805797482, 5.883614406140545 61.447462885505324, 5.884103003838848 61.4473536534904)"/>
    <s v="[1626788, 1626796]"/>
    <s v="[1455248, 1455254]"/>
    <s v="0.08654432184108736"/>
    <s v="[982946, 1455248]"/>
    <s v="[0.571, 0.033]"/>
    <s v="35.95388465207784"/>
    <s v="[0.571, -0.033]"/>
  </r>
  <r>
    <x v="2938"/>
    <x v="3582"/>
    <x v="0"/>
    <n v="0"/>
    <s v="LINESTRING (5.883650191950415 61.447595774101806, 5.883630792735244 61.44764216008899, 5.88353335127031 61.44770032061759, 5.8833782715523535 61.44772180393493, 5.883246935985967 61.44770356749119)"/>
    <s v="[1028538, 1028546, 1028554, 1028562]"/>
    <s v="[982964, 982969, 982975, 982982]"/>
    <s v="0.020371039477432008"/>
    <s v="[982959, 982964, 982969, 982975]"/>
    <s v="[0.043, 0.013, 0.04, 0.081]"/>
    <s v="29.559830900805885"/>
    <s v="[-0.043, -0.013, 0.04, 0.081]"/>
  </r>
  <r>
    <x v="2938"/>
    <x v="3585"/>
    <x v="0"/>
    <n v="0"/>
    <s v="LINESTRING (5.883650191950415 61.447595774101806, 5.883729244262013 61.44754747383666, 5.884103003838848 61.4473536534904)"/>
    <s v="[1626804, 1626812]"/>
    <s v="[1455262, 1455254]"/>
    <s v="0.12663216328896001"/>
    <s v="[982959, 1455262]"/>
    <s v="[0.714, 0.01]"/>
    <s v="36.322000257279456"/>
    <s v="[0.714, -0.01]"/>
  </r>
  <r>
    <x v="2939"/>
    <x v="3583"/>
    <x v="0"/>
    <n v="0"/>
    <s v="LINESTRING (5.882488876852142 61.447724580479935, 5.883100650649048 61.44769954547456, 5.883246935985967 61.44770356749119)"/>
    <s v="[1626820, 1626828]"/>
    <s v="[1455272, 982982]"/>
    <s v="#FIELD!"/>
    <s v="[1455225, 1455272]"/>
    <s v="[0.056, 0.686]"/>
    <s v="40.67075251355171"/>
    <s v="[-0.056, -0.686]"/>
  </r>
  <r>
    <x v="2940"/>
    <x v="3577"/>
    <x v="0"/>
    <n v="0"/>
    <s v="LINESTRING (5.993279572263913 61.90621129988909, 5.993303278162105 61.906267099237695, 5.99325961019552 61.90632387910499, 5.993153562570788 61.90636479405552, 5.993095890739837 61.90637183793473)"/>
    <s v="[1028586, 1028594, 1028602, 1028610]"/>
    <s v="[983000, 983011, 983019, 983026]"/>
    <s v="0.0006090544686719472"/>
    <s v="[982999, 983000, 983011, 983019]"/>
    <s v="[0.006, 0.002, 0.003, 0.005]"/>
    <s v="23.460241085412235"/>
    <s v="[0.006, 0.002, -0.003, -0.005]"/>
  </r>
  <r>
    <x v="2940"/>
    <x v="3586"/>
    <x v="0"/>
    <n v="0"/>
    <s v="LINESTRING (5.993023627622982 61.906150128128225, 5.993164882642486 61.90615853972597, 5.993279572263913 61.90621129988909)"/>
    <s v="[1028666, 1028674]"/>
    <s v="[983076, 982999]"/>
    <s v="0.008470525381000526"/>
    <s v="[983068, 983076]"/>
    <s v="[0.009, 0.008]"/>
    <s v="15.941045775437797"/>
    <s v="[0.009, 0.008]"/>
  </r>
  <r>
    <x v="2940"/>
    <x v="2634"/>
    <x v="0"/>
    <n v="0"/>
    <s v="LINESTRING (5.9938444907542205 61.905743616378345, 5.993751078083508 61.90580398586494, 5.993298835213371 61.90614975586707, 5.993279572263913 61.90621129988909)"/>
    <s v="[1898859, 1898867, 1898875]"/>
    <s v="[1667707, 1667712, 982999]"/>
    <s v="0.0023618414266813096"/>
    <s v="[1656119, 1667707, 1667712]"/>
    <s v="[0.003, 0.002, 0.004]"/>
    <s v="61.48176496522902"/>
    <s v="[0.003, 0.002, 0.004]"/>
  </r>
  <r>
    <x v="2941"/>
    <x v="3578"/>
    <x v="0"/>
    <n v="0"/>
    <s v="LINESTRING (5.993095890739837 61.90637183793473, 5.99295918321059 61.90636101441116, 5.992854984403016 61.906311657648224)"/>
    <s v="[1028618, 1028626]"/>
    <s v="[983035, 983044]"/>
    <s v="#FIELD!"/>
    <s v="[983026, 983035]"/>
    <s v="[0.015, 0.016]"/>
    <s v="15.082842038742738"/>
    <s v="[-0.015, -0.016]"/>
  </r>
  <r>
    <x v="2942"/>
    <x v="3586"/>
    <x v="0"/>
    <n v="0"/>
    <s v="LINESTRING (5.992854984403016 61.906311657648224, 5.992829136523464 61.90625662085408, 5.9928791937554635 61.90619122312047, 5.992973738631889 61.906156781272465, 5.993023627622982 61.906150128128225)"/>
    <s v="[1028634, 1028642, 1028650, 1028658]"/>
    <s v="[983052, 983059, 983064, 983068]"/>
    <s v="0.0035367688892560477"/>
    <s v="[983044, 983052, 983059, 983064]"/>
    <s v="[0.006, 0.002, 0.01, 0.015]"/>
    <s v="23.088367380134123"/>
    <s v="[-0.006, 0.002, 0.01, 0.015]"/>
  </r>
  <r>
    <x v="2943"/>
    <x v="2634"/>
    <x v="0"/>
    <n v="0"/>
    <s v="LINESTRING (5.9938444907542205 61.905743616378345, 5.993694259237071 61.905775832799776, 5.993107904544804 61.90610506576723, 5.993023627622982 61.906150128128225)"/>
    <s v="[1881597, 1881622, 1881630]"/>
    <s v="[1656120, 1656137, 983068]"/>
    <s v="0.0004402910028080378"/>
    <s v="[1656119, 1656120, 1656137]"/>
    <s v="[0.0, 0.001, 0.003]"/>
    <s v="63.500924361289066"/>
    <s v="[0.0, 0.001, -0.003]"/>
  </r>
  <r>
    <x v="2944"/>
    <x v="3587"/>
    <x v="0"/>
    <n v="0"/>
    <s v="LINESTRING (5.999500840371085 61.910362611319925, 5.999528079995892 61.91040886131375, 5.999481669182129 61.91047789119849)"/>
    <s v="[1028714, 1028722]"/>
    <s v="[983118, 983121]"/>
    <s v="0.004223446956511908"/>
    <s v="[983113, 983118]"/>
    <s v="[0.006, 0.011]"/>
    <s v="13.45095477073504"/>
    <s v="[-0.006, 0.011]"/>
  </r>
  <r>
    <x v="2944"/>
    <x v="3588"/>
    <x v="0"/>
    <n v="0"/>
    <s v="LINESTRING (5.999500840371085 61.910362611319925, 5.999607475573608 61.91037031585416, 5.999928587339529 61.91038851874895, 6.0005953367258655 61.91044980513177)"/>
    <s v="[1898962, 1898970, 1898978]"/>
    <s v="[1667772, 1667779, 1656258]"/>
    <s v="#FIELD!"/>
    <s v="[983113, 1667772, 1667779]"/>
    <s v="[0.029, 0.028, 0.028]"/>
    <s v="58.545572615051015"/>
    <s v="[-0.029, -0.028, -0.028]"/>
  </r>
  <r>
    <x v="2944"/>
    <x v="3589"/>
    <x v="0"/>
    <n v="0"/>
    <s v="LINESTRING (5.999099711260992 61.910349086730086, 5.999136732416475 61.910329597062294, 5.999181966842548 61.910314734359666, 5.999287020745193 61.91030177063737, 5.99942913134296 61.9103228860893, 5.999500840371085 61.910362611319925)"/>
    <s v="[1028778, 1028682, 1028690, 1028698, 1028706]"/>
    <s v="[983090, 983091, 983101, 983107, 983113]"/>
    <s v="#FIELD!"/>
    <s v="[983147, 983090, 983091, 983101, 983107]"/>
    <s v="[0.023, 0.023, 0.029, 0.025, 0.016]"/>
    <s v="25.22259457613898"/>
    <s v="[-0.023, -0.023, -0.029, -0.025, -0.016]"/>
  </r>
  <r>
    <x v="2945"/>
    <x v="3590"/>
    <x v="0"/>
    <n v="0"/>
    <s v="LINESTRING (5.999481669182129 61.91047789119849, 5.999431687751078 61.91050185107265, 5.999310809958259 61.91052163637428, 5.99918172515743 61.910509604918886, 5.999089341891118 61.9104647387346)"/>
    <s v="[1028730, 1028738, 1028746, 1028754]"/>
    <s v="[983125, 983129, 983134, 983138]"/>
    <s v="0.024213312609806477"/>
    <s v="[983121, 983125, 983129, 983134]"/>
    <s v="[0.022, 0.028, 0.029, 0.017]"/>
    <s v="24.410535201999107"/>
    <s v="[0.022, 0.028, 0.029, 0.017]"/>
  </r>
  <r>
    <x v="2945"/>
    <x v="3588"/>
    <x v="0"/>
    <n v="0"/>
    <s v="LINESTRING (5.999481669182129 61.91047789119849, 5.9996152227469155 61.91046196915648, 5.999914146803866 61.91044488514218, 6.0005953367258655 61.91044980513177)"/>
    <s v="[1881765, 1881778, 1881796]"/>
    <s v="[1656241, 1656247, 1656258]"/>
    <s v="#FIELD!"/>
    <s v="[983121, 1656241, 1656247]"/>
    <s v="[0.03, 0.028, 0.029]"/>
    <s v="59.00250335408404"/>
    <s v="[-0.03, -0.028, -0.029]"/>
  </r>
  <r>
    <x v="2946"/>
    <x v="3589"/>
    <x v="0"/>
    <n v="0"/>
    <s v="LINESTRING (5.999089341891118 61.9104647387346, 5.999062593105092 61.91040338020174, 5.999099711260992 61.910349086730086)"/>
    <s v="[1028762, 1028770]"/>
    <s v="[983142, 983147]"/>
    <s v="#FIELD!"/>
    <s v="[983138, 983142]"/>
    <s v="[0.003, 0.013]"/>
    <s v="13.369421748003866"/>
    <s v="[0.003, -0.013]"/>
  </r>
  <r>
    <x v="2946"/>
    <x v="3591"/>
    <x v="0"/>
    <n v="0"/>
    <s v="LINESTRING (5.998166223412777 61.91042008506182, 5.998704489095268 61.91043820241623, 5.998950962777802 61.91045399282261, 5.999089341891118 61.9104647387346)"/>
    <s v="[1881738, 1881748, 1881759]"/>
    <s v="[1656223, 1656228, 983138]"/>
    <s v="#FIELD!"/>
    <s v="[1656222, 1656223, 1656228]"/>
    <s v="[0.001, 0.029, 0.028]"/>
    <s v="48.9142073604117"/>
    <s v="[0.001, -0.029, -0.028]"/>
  </r>
  <r>
    <x v="2947"/>
    <x v="3591"/>
    <x v="0"/>
    <n v="0"/>
    <s v="LINESTRING (5.998166223412777 61.91042008506182, 5.998745034363373 61.91038483087875, 5.9989770843987085 61.910359897978395, 5.999099711260992 61.910349086730086)"/>
    <s v="[1898938, 1898946, 1898954]"/>
    <s v="[1667762, 1667766, 983147]"/>
    <s v="#FIELD!"/>
    <s v="[1656222, 1667762, 1667766]"/>
    <s v="[0.003, 0.028, 0.028]"/>
    <s v="49.849385965642846"/>
    <s v="[-0.003, -0.028, -0.028]"/>
  </r>
  <r>
    <x v="2948"/>
    <x v="3501"/>
    <x v="0"/>
    <n v="0"/>
    <s v="LINESTRING (23.219772356625764 69.95697081503982, 23.219867695027652 69.95701083805585, 23.21999937545888 69.9570649868992)"/>
    <s v="[1028798, 1028806]"/>
    <s v="[983166, 983169]"/>
    <s v="#FIELD!"/>
    <s v="[983161, 983166]"/>
    <s v="[0.041, 0.037]"/>
    <s v="13.643343339171885"/>
    <s v="[-0.041, -0.037]"/>
  </r>
  <r>
    <x v="2949"/>
    <x v="3508"/>
    <x v="0"/>
    <n v="0"/>
    <s v="LINESTRING (23.260848562490178 69.96529390753135, 23.26065114295065 69.96526155925248, 23.26054701651137 69.96519067943318)"/>
    <s v="[1164153, 1164161]"/>
    <s v="[1098214, 983309]"/>
    <s v="#FIELD!"/>
    <s v="[1083706, 1098214]"/>
    <s v="[0.1, 0.041]"/>
    <s v="17.23724009195039"/>
    <s v="[-0.1, 0.041]"/>
  </r>
  <r>
    <x v="2950"/>
    <x v="3592"/>
    <x v="0"/>
    <n v="0"/>
    <s v="LINESTRING (14.199893216802153 66.32108245498293, 14.200126824377884 66.32103440075512, 14.200354829313294 66.32100321131823, 14.202014931929384 66.32079417636551, 14.20212431321487 66.32077962874966, 14.202326773700664 66.32075653260738, 14.202481331758278 66.32073739846851, 14.20381384331393 66.32057194578199, 14.203987717861366 66.32055088136639, 14.204192497270753 66.32052702309794, 14.205540612832747 66.32038821001846, 14.2056260972983 66.32038053595146, 14.205850102480179 66.32036041622017, 14.20748157842293 66.32025963735381, 14.207724873385366 66.32025045112574, 14.209554355805725 66.32019359773463, 14.20961541423064 66.32019198793947, 14.209841872571428 66.32018596067387, 14.209982006658269 66.32018243755587, 14.211375184583034 66.32014842309428, 14.215368944344476 66.31989274006587, 14.21555527325604 66.31985965852004, 14.216870290425867 66.31954293927741, 14.216960095970638 66.31951523776964, 14.217128044841923 66.31946027834276, 14.219501098032739 66.31807304952194, 14.219567996085091 66.31803333502336, 14.219627688989128 66.31799859061776, 14.219734478163275 66.31793811802069, 14.220664120029747 66.3175314208239, 14.222661347926437 66.317084290772)"/>
    <s v="[2120192, 2120200, 2120208, 2120216, 2120224, 2120232, 2120240, 2120248, 2120256, 2120264, 2120272, 2120280, 2120288, 2120296, 2120304, 2120312, 2120320, 2120328, 2120336, 2120344, 2120352, 2120360, 2120368, 2120376, 2120384, 2120392, 2120400, 2120408, 2120416, 2120424]"/>
    <s v="[1827246, 1827253, 1827258, 1827267, 1827274, 1827281, 1827287, 1827293, 1827296, 1827302, 1827309, 641466, 1827318, 1827322, 1827325, 641512, 641487, 1827336, 1827342, 1827349, 1827354, 1827357, 641527, 641540, 641556, 1827378, 641578, 1827387, 1827390, 984897]"/>
    <s v="0.025091913089016225"/>
    <s v="[984889, 1827246, 1827253, 1827258, 1827267, 1827274, 1827281, 1827287, 1827293, 1827296, 1827302, 1827309, 641466, 1827318, 1827322, 1827325, 641512, 641487, 1827336, 1827342, 1827349, 1827354, 1827357, 641527, 641540, 641556, 1827378, 641578, 1827387, 1827390]"/>
    <s v="[0.171, 0.044, 0.046, 0.042, 0.045, 0.049, 0.051, 0.052, 0.047, 0.047, 0.028, 0.021, 0.015, 0.01, 0.008, 0.001, 0.001, 0.017, 0.004, 0.01, 0.027, 0.043, 0.043, 0.063, 0.004, 0.033, 0.028, 0.033, 0.028, 0.121]"/>
    <s v="1176.130044130807"/>
    <s v="[-0.171, 0.044, 0.046, 0.042, 0.045, 0.049, 0.051, 0.052, 0.047, 0.047, 0.028, 0.021, 0.015, 0.01, 0.008, 0.001, 0.001, 0.017, 0.004, 0.01, 0.027, 0.043, 0.043, 0.063, 0.004, -0.033, -0.028, -0.033, -0.028, 0.121]"/>
  </r>
  <r>
    <x v="2950"/>
    <x v="3592"/>
    <x v="0"/>
    <n v="0"/>
    <s v="LINESTRING (14.199893216802153 66.32108245498293, 14.200384681855509 66.32104689598415, 14.20206901903372 66.32086747533582, 14.202176351549765 66.320855617692, 14.202381481442027 66.32083280431799, 14.202538668539537 66.32081451797596, 14.203870906016677 66.32065008616894, 14.20407327655465 66.3206255159274, 14.204247192190325 66.3206045680651, 14.205585055773604 66.32046900378124, 14.205696341395223 66.32045975675835, 14.205912450536845 66.32044237788725, 14.207749503244237 66.3203328031418, 14.209569699509178 66.32027624319258, 14.209642505845185 66.32027430727724, 14.209876336006241 66.32026804824957, 14.20999417542748 66.3202653270284, 14.21139456663184 66.32022700664666, 14.211609249828754 66.3202193291205, 14.215648647833392 66.31993512448544, 14.217003649456068 66.31961354557306, 14.217127597432345 66.31957502533302, 14.217294157472004 66.31952167366197, 14.21750762205444 66.31944029656098, 14.219683062086732 66.31811245122569, 14.219739304590945 66.31808104492261, 14.219809039593121 66.31804337217396, 14.219908049391591 66.31799055824591, 14.220803500409042 66.3175913148089, 14.220932176058307 66.31754155567218, 14.222661347926437 66.317084290772)"/>
    <s v="[2120432, 2120440, 2120448, 2120456, 2120464, 2120472, 2120480, 2120488, 2120496, 2120504, 2120512, 2120520, 2120528, 2120536, 2120544, 2120552, 2120560, 2120568, 2120576, 2120584, 2120592, 2120600, 2120608, 2120616, 2120624, 2120632, 2120640, 2120648, 2120656, 2120664]"/>
    <s v="[1827399, 1827405, 1827411, 1827418, 1827425, 1827431, 1827435, 1827442, 1827447, 1827454, 641457, 1827460, 1827464, 641518, 641494, 1827479, 1827485, 1827494, 1827500, 1827507, 641528, 641541, 1827525, 641563, 1827534, 641586, 1827541, 1827546, 1827551, 984897]"/>
    <s v="0.025274385088438177"/>
    <s v="[984889, 1827399, 1827405, 1827411, 1827418, 1827425, 1827431, 1827435, 1827442, 1827447, 1827454, 641457, 1827460, 1827464, 641518, 641494, 1827479, 1827485, 1827494, 1827500, 1827507, 641528, 641541, 1827525, 641563, 1827534, 641586, 1827541, 1827546, 1827551]"/>
    <s v="[0.085, 0.043, 0.042, 0.052, 0.05, 0.049, 0.046, 0.064, 0.044, 0.021, 0.022, 0.015, 0.007, 0.032, 0.001, 0.001, 0.006, 0.007, 0.011, 0.045, 0.046, 0.064, 0.062, 0.004, 0.031, 0.034, 0.03, 0.028, 0.025, 0.134]"/>
    <s v="1176.8746477634263"/>
    <s v="[-0.085, 0.043, 0.042, 0.052, 0.05, 0.049, 0.046, 0.064, 0.044, 0.021, 0.022, 0.015, 0.007, 0.032, 0.001, 0.001, 0.006, 0.007, 0.011, 0.045, 0.046, 0.064, 0.062, 0.004, -0.031, -0.034, -0.03, -0.028, -0.025, 0.134]"/>
  </r>
  <r>
    <x v="2951"/>
    <x v="3495"/>
    <x v="0"/>
    <n v="0"/>
    <s v="LINESTRING (14.222661347926437 66.317084290772, 14.416044488522955 66.28953309521714)"/>
    <m/>
    <m/>
    <s v="0.0"/>
    <m/>
    <n v="0"/>
    <s v="18159.799693509147"/>
    <n v="0"/>
  </r>
  <r>
    <x v="2952"/>
    <x v="3593"/>
    <x v="0"/>
    <n v="0"/>
    <s v="LINESTRING (17.45676198422443 68.44753270184225, 17.457148800154318 68.44767578418622, 17.457236915352105 68.44770747371724)"/>
    <s v="[1038055, 1038063]"/>
    <s v="[990325, 990330]"/>
    <s v="0.10065089981155564"/>
    <s v="[990173, 990325]"/>
    <s v="[0.099, 0.108]"/>
    <s v="27.55045133919943"/>
    <s v="[0.099, 0.108]"/>
  </r>
  <r>
    <x v="2952"/>
    <x v="3594"/>
    <x v="0"/>
    <n v="0"/>
    <s v="LINESTRING (17.45676198422443 68.44753270184225, 17.456892846579176 68.44772616447385, 17.4569496375497 68.4477908476581)"/>
    <s v="[1038071, 1038079]"/>
    <s v="[990337, 990343]"/>
    <s v="#FIELD!"/>
    <s v="[990173, 990337]"/>
    <s v="[0.017, 0.007]"/>
    <s v="29.809841660468383"/>
    <s v="[-0.017, 0.007]"/>
  </r>
  <r>
    <x v="2952"/>
    <x v="3595"/>
    <x v="0"/>
    <n v="0"/>
    <s v="LINESTRING (17.454614715562197 68.44577451860059, 17.454909532285207 68.44597239960349, 17.45676198422443 68.44753270184225)"/>
    <s v="[1781533, 1037847]"/>
    <s v="[990172, 990173]"/>
    <s v="0.001785932788859007"/>
    <s v="[1571331, 990172]"/>
    <s v="[0.166, 0.024]"/>
    <s v="215.1995726116126"/>
    <s v="[-0.166, 0.024]"/>
  </r>
  <r>
    <x v="2953"/>
    <x v="3596"/>
    <x v="0"/>
    <n v="0"/>
    <s v="LINESTRING (17.457236915352105 68.44770747371724, 17.457443239908383 68.44772383142107, 17.45754940829124 68.44775969839468, 17.45760875315537 68.44781168933389, 17.45759402946136 68.44787392176686)"/>
    <s v="[1038207, 1038215, 1038223, 1038231]"/>
    <s v="[990282, 990443, 990270, 990421]"/>
    <s v="0.022461918439571238"/>
    <s v="[990330, 990282, 990443, 990270]"/>
    <s v="[0.113, 0.038, 0.011, 0.073]"/>
    <s v="27.818595584724807"/>
    <s v="[0.113, 0.038, -0.011, -0.073]"/>
  </r>
  <r>
    <x v="2953"/>
    <x v="3594"/>
    <x v="0"/>
    <n v="0"/>
    <s v="LINESTRING (17.4569496375497 68.4477908476581, 17.45706939812266 68.44773156142416, 17.457236915352105 68.44770747371724)"/>
    <s v="[1038287, 1038295]"/>
    <s v="[990488, 990330]"/>
    <s v="0.19900807653263242"/>
    <s v="[990343, 990488]"/>
    <s v="[0.182, 0.218]"/>
    <s v="15.609997600851116"/>
    <s v="[0.182, 0.218]"/>
  </r>
  <r>
    <x v="2954"/>
    <x v="3597"/>
    <x v="0"/>
    <n v="0"/>
    <s v="LINESTRING (17.457306994588926 68.44795729274395, 17.457139025465132 68.4479480006355, 17.456994255761213 68.44790507119643, 17.456935155760867 68.44785307646137, 17.4569496375497 68.4477908476581)"/>
    <s v="[1038255, 1038263, 1038271, 1038279]"/>
    <s v="[990248, 990474, 990260, 990343]"/>
    <s v="#FIELD!"/>
    <s v="[990410, 990248, 990474, 990260]"/>
    <s v="[0.187, 0.135, 0.004, 0.079]"/>
    <s v="27.838316607381113"/>
    <s v="[-0.187, -0.135, 0.004, 0.079]"/>
  </r>
  <r>
    <x v="2955"/>
    <x v="3598"/>
    <x v="313"/>
    <s v="[0, 0, 0, 0, 0, 0, 1, 0, 1, 0]"/>
    <s v="LINESTRING (17.457912054263545 68.44810744669056, 17.46110117550881 68.44898418995685, 17.46189153829528 68.44917335771112, 17.463067766244468 68.44940995995363, 17.473017561241683 68.45109958234733, 17.47871988172308 68.45221558634132, 17.47956393954532 68.45248571289716, 17.482090872225942 68.46627324461335, 17.48213080355012 68.46706218127233, 17.482189572489933 68.46822078711222, 17.48366833090223 68.47176113306956)"/>
    <s v="[1038127, 1038135, 1038143, 1038151, 1038159, 1038167, 1037839, 1038303, 1038311, 1038319]"/>
    <s v="[990375, 990383, 990386, 990392, 990397, 990164, 990165, 990499, 990506, 990511]"/>
    <s v="#FIELD!"/>
    <s v="[990374, 990375, 990383, 990386, 990392, 990397, 990164, 990165, 990499, 990506]"/>
    <s v="[0.045, 0.031, 0.029, 0.044, 0.082, 0.28, 0.023, 0.068, 0.12, 0.055]"/>
    <s v="3198.3508362948537"/>
    <s v="[0.045, -0.031, -0.029, 0.044, -0.082, -0.28, -0.023, 0.068, 0.12, 0.055]"/>
  </r>
  <r>
    <x v="2955"/>
    <x v="3597"/>
    <x v="0"/>
    <n v="0"/>
    <s v="LINESTRING (17.457306994588926 68.44795729274395, 17.45741312049641 68.44798668955946, 17.457912054263545 68.44810744669056)"/>
    <s v="[1038175, 1038183]"/>
    <s v="[990411, 990374]"/>
    <s v="0.06390655730413974"/>
    <s v="[990410, 990411]"/>
    <s v="[0.05, 0.067]"/>
    <s v="29.938442957460435"/>
    <s v="[0.05, 0.067]"/>
  </r>
  <r>
    <x v="2955"/>
    <x v="3596"/>
    <x v="0"/>
    <n v="0"/>
    <s v="LINESTRING (17.45759402946136 68.44787392176686, 17.45765984270784 68.44792568313059, 17.457912054263545 68.44810744669056)"/>
    <s v="[1038191, 1038199]"/>
    <s v="[990422, 990374]"/>
    <s v="#FIELD!"/>
    <s v="[990421, 990422]"/>
    <s v="[0.012, 0.001]"/>
    <s v="29.125654485210415"/>
    <s v="[-0.012, 0.001]"/>
  </r>
  <r>
    <x v="2956"/>
    <x v="3596"/>
    <x v="0"/>
    <n v="0"/>
    <s v="LINESTRING (17.45759402946136 68.44787392176686, 17.457474990910953 68.44793310803735, 17.457306994588926 68.44795729274395)"/>
    <s v="[1038239, 1038247]"/>
    <s v="[990459, 990410]"/>
    <s v="#FIELD!"/>
    <s v="[990421, 990459]"/>
    <s v="[0.121, 0.133]"/>
    <s v="15.605568007978007"/>
    <s v="[-0.121, -0.133]"/>
  </r>
  <r>
    <x v="2957"/>
    <x v="3599"/>
    <x v="0"/>
    <n v="0"/>
    <s v="LINESTRING (17.48366833090223 68.47176113306956, 17.48640522911975 68.47289761931627, 17.486584200274223 68.47296290470456, 17.486657425340624 68.47298967662633, 17.487630480954476 68.47334215201165, 17.489703309981582 68.47418988165137)"/>
    <s v="[1038335, 1038343, 1038351, 1038359, 1038367]"/>
    <s v="[535605, 535580, 990533, 990540, 990517]"/>
    <s v="#FIELD!"/>
    <s v="[990511, 535605, 535580, 990533, 990540]"/>
    <s v="[0.005, 0.036, 0.044, 0.037, 0.014]"/>
    <s v="367.35052848539374"/>
    <s v="[-0.005, -0.036, -0.044, -0.037, -0.014]"/>
  </r>
  <r>
    <x v="2957"/>
    <x v="3599"/>
    <x v="0"/>
    <n v="0"/>
    <s v="LINESTRING (17.48366833090223 68.47176113306956, 17.486344712517255 68.47297839449308, 17.486511026594325 68.47303902124297, 17.48748954091907 68.4733902497077, 17.487680426158782 68.47345803172992, 17.489703309981582 68.47418988165137)"/>
    <s v="[1038391, 1038399, 1038407, 1038415, 1038423]"/>
    <s v="[535587, 990578, 990584, 990594, 990517]"/>
    <s v="#FIELD!"/>
    <s v="[990511, 535587, 990578, 990584, 990594]"/>
    <s v="[0.008, 0.039, 0.036, 0.036, 0.009]"/>
    <s v="368.22374984118113"/>
    <s v="[-0.008, -0.039, -0.036, -0.036, -0.009]"/>
  </r>
  <r>
    <x v="2958"/>
    <x v="3600"/>
    <x v="0"/>
    <n v="0"/>
    <s v="LINESTRING (17.489703309981582 68.47418988165137, 17.50048597723927 68.47909245723726, 17.50797848195286 68.4798658307993, 17.523816588411574 68.48444833364358)"/>
    <s v="[1038327, 1251370, 1251378]"/>
    <s v="[990518, 1170522, 1170474]"/>
    <s v="#FIELD!"/>
    <s v="[990517, 990518, 1170522]"/>
    <s v="[0.024, 0.023, 0.018]"/>
    <s v="1878.1302528971103"/>
    <s v="[0.024, -0.023, -0.018]"/>
  </r>
  <r>
    <x v="2959"/>
    <x v="3601"/>
    <x v="0"/>
    <n v="0"/>
    <s v="LINESTRING (27.82194072708536 70.0817000098451, 27.816852268378824 70.08078666798363, 27.811619072720255 70.08008051149116, 27.79554556357022 70.07994851212129)"/>
    <s v="[1071760, 1071768, 1071776]"/>
    <s v="[1018364, 1018371, 991174]"/>
    <s v="0.019874433850939344"/>
    <s v="[967077, 1018364, 1018371]"/>
    <s v="[0.043, 0.008, 0.019]"/>
    <s v="980.211951632745"/>
    <s v="[0.043, 0.008, 0.019]"/>
  </r>
  <r>
    <x v="2959"/>
    <x v="3485"/>
    <x v="0"/>
    <n v="0"/>
    <s v="LINESTRING (27.40870059700775 70.01813404431843, 27.79554556357022 70.07994851212129)"/>
    <m/>
    <m/>
    <s v="0.0"/>
    <m/>
    <n v="0"/>
    <s v="20312.085025370354"/>
    <n v="0"/>
  </r>
  <r>
    <x v="2960"/>
    <x v="2555"/>
    <x v="0"/>
    <n v="0"/>
    <s v="LINESTRING (27.82194072708536 70.0817000098451, 27.986601220972663 70.08572536798974)"/>
    <m/>
    <m/>
    <s v="0.0"/>
    <m/>
    <n v="0"/>
    <s v="13078.160710764614"/>
    <n v="0"/>
  </r>
  <r>
    <x v="2961"/>
    <x v="3602"/>
    <x v="0"/>
    <n v="0"/>
    <s v="LINESTRING (16.79947796120094 68.33880359545337, 16.80198013623602 68.33876509982022, 16.802325941831672 68.33875454499459, 16.803629501547892 68.33868619152088, 16.803832065484826 68.33867276798325, 16.804057566106227 68.33865612634052, 16.806687369281544 68.33837654996456, 16.807076331965604 68.33834318596388)"/>
    <s v="[1050561, 1050569, 1050577, 1050585, 1050593, 1050601, 1050609]"/>
    <s v="[1000180, 1000187, 1000194, 1000144, 1000202, 1000209, 1000215]"/>
    <s v="#FIELD!"/>
    <s v="[1000179, 1000180, 1000187, 1000194, 1000144, 1000202, 1000209]"/>
    <s v="[0.046, 0.021, 0.024, 0.047, 0.04, 0.02, 0.023]"/>
    <s v="319.57344370167453"/>
    <s v="[-0.046, -0.021, -0.024, 0.047, 0.04, 0.02, -0.023]"/>
  </r>
  <r>
    <x v="2961"/>
    <x v="3602"/>
    <x v="0"/>
    <n v="0"/>
    <s v="LINESTRING (16.79947796120094 68.33880359545337, 16.80233512554179 68.33882454545162, 16.80366328879123 68.33875740632499, 16.80375525413226 68.3387515669214, 16.80386991915588 68.33874349914053, 16.803985888670493 68.33873534539491, 16.804096684762378 68.33872565047017, 16.806720697475395 68.33841738036035, 16.806882490428837 68.338391492647, 16.807076331965604 68.33834318596388)"/>
    <s v="[1050617, 1050625, 1050633, 1050641, 1050649, 1050657, 1050665, 1050673, 1050681]"/>
    <s v="[1000221, 1000228, 1000145, 1000242, 1000161, 1000252, 1000259, 1000265, 1000215]"/>
    <s v="#FIELD!"/>
    <s v="[1000179, 1000221, 1000228, 1000145, 1000242, 1000161, 1000252, 1000259, 1000265]"/>
    <s v="[0.047, 0.019, 0.058, 0.049, 0.042, 0.048, 0.023, 0.026, 0.032]"/>
    <s v="322.1658277651838"/>
    <s v="[-0.047, -0.019, 0.058, 0.049, 0.042, 0.048, 0.023, -0.026, -0.032]"/>
  </r>
  <r>
    <x v="2962"/>
    <x v="3603"/>
    <x v="0"/>
    <n v="0"/>
    <s v="LINESTRING (16.807076331965604 68.33834318596388, 16.8112336441308 68.33740767554312, 16.81343514666901 68.33668367066299, 16.81377888738567 68.33655129825672)"/>
    <s v="[1782445, 1782453, 1782461]"/>
    <s v="[1572196, 1572206, 1572128]"/>
    <s v="#FIELD!"/>
    <s v="[1000215, 1572196, 1572206]"/>
    <s v="[0.109, 0.036, 0.035]"/>
    <s v="342.8968888991392"/>
    <s v="[-0.109, -0.036, -0.035]"/>
  </r>
  <r>
    <x v="2963"/>
    <x v="3604"/>
    <x v="0"/>
    <n v="0"/>
    <s v="LINESTRING (18.493468883609182 69.06106813104579, 18.493858474733564 69.06135722834006, 18.49394919880698 69.0614114529159)"/>
    <s v="[1069182, 1069190]"/>
    <s v="[1016424, 1010565]"/>
    <s v="#FIELD!"/>
    <s v="[1005467, 1016424]"/>
    <s v="[0.059, 0.001]"/>
    <s v="43.009892174853874"/>
    <s v="[-0.059, -0.001]"/>
  </r>
  <r>
    <x v="2963"/>
    <x v="3605"/>
    <x v="0"/>
    <n v="0"/>
    <s v="LINESTRING (18.493468883609182 69.06106813104579, 18.494170018431024 69.06125581399122, 18.494292664161787 69.06128222087854)"/>
    <s v="[1079324, 1079332]"/>
    <s v="[1024486, 1010517]"/>
    <s v="#FIELD!"/>
    <s v="[1005467, 1024486]"/>
    <s v="[0.011, 0.592]"/>
    <s v="40.64632791526353"/>
    <s v="[-0.011, -0.592]"/>
  </r>
  <r>
    <x v="2963"/>
    <x v="3606"/>
    <x v="0"/>
    <s v="[0, 0, 0, 0, 0, 0, 0, 0, 0, 0, 0, 0, 0, 0, 0, 0, 0, 0, 1, 0, 0, 0]"/>
    <s v="LINESTRING (18.51057763782238 69.04421803811826, 18.509792710730878 69.04521183976713, 18.509305149229686 69.04546173755217, 18.50793738724503 69.04585025619802, 18.506867812452988 69.046098483259, 18.5047968210047 69.0465743918584, 18.497999372486223 69.04814187444698, 18.497868322745063 69.04817310132458, 18.4963655666979 69.04851812724606, 18.494637177237227 69.04891547661, 18.492919592574776 69.04931140157092, 18.49048377526399 69.0499000903623, 18.489750192976786 69.05016924777232, 18.4882933538997 69.05174345007667, 18.489673189791812 69.05451871854234, 18.490092665062587 69.05532785381634, 18.490327976150365 69.05579364168672, 18.491244270736452 69.05753953742872, 18.49250317514029 69.05995860081106, 18.492636027920675 69.06022037103135, 18.49265013910158 69.06024684553202, 18.492856034633814 69.06058471881602, 18.493468883609182 69.06106813104579)"/>
    <s v="[1845930, 1845938, 1057348, 1057356, 1057364, 1057372, 1057380, 1057388, 1057396, 1057404, 1057412, 1057420, 1057428, 1057436, 1057444, 1057452, 1057460, 1057468, 1057476, 1057484, 1057492, 1057500]"/>
    <s v="[1616685, 1005346, 1005347, 1005355, 906743, 1005366, 1005372, 1005380, 1005385, 906625, 1005398, 980269, 1005408, 1005414, 906904, 906846, 1005433, 1005439, 1005446, 1005453, 1005460, 1005467]"/>
    <s v="0.013091431254581884"/>
    <s v="[1616684, 1616685, 1005346, 1005347, 1005355, 906743, 1005366, 1005372, 1005380, 1005385, 906625, 1005398, 980269, 1005408, 1005414, 906904, 906846, 1005433, 1005439, 1005446, 1005453, 1005460]"/>
    <s v="[0.012, 0.022, 0.04, 0.044, 0.023, 0.03, 0.048, 0.05, 0.053, 0.087, 0.121, 0.122, 0.076, 0.03, 0.086, 0.083, 0.069, 0.024, 0.016, 0.063, 0.048, 0.034]"/>
    <s v="2343.663168655511"/>
    <s v="[0.012, 0.022, 0.04, 0.044, 0.023, 0.03, 0.048, 0.05, 0.053, 0.087, 0.121, 0.122, 0.076, -0.03, -0.086, -0.083, -0.069, -0.024, 0.016, 0.063, 0.048, 0.034]"/>
  </r>
  <r>
    <x v="2964"/>
    <x v="3607"/>
    <x v="0"/>
    <s v="[0, 1, 0, 1, 0]"/>
    <s v="LINESTRING (18.495423151363283 69.06172686821829, 18.506515837745205 69.06352423675592, 18.50735548999633 69.0635834744378, 18.509816011951287 69.06376146237976, 18.51047901150956 69.0638088572385, 18.514189580838497 69.06424163317175)"/>
    <s v="[1057508, 1057516, 1057524, 1057532, 1057540]"/>
    <s v="[1005476, 1005480, 1005486, 1005492, 1005498]"/>
    <s v="#FIELD!"/>
    <s v="[1005475, 1005476, 1005480, 1005486, 1005492]"/>
    <s v="[0.017, 0.01, 0.003, 0.039, 0.05]"/>
    <s v="810.9942014823761"/>
    <s v="[-0.017, 0.01, -0.003, -0.039, -0.05]"/>
  </r>
  <r>
    <x v="2964"/>
    <x v="3608"/>
    <x v="0"/>
    <n v="0"/>
    <s v="LINESTRING (18.494729834053523 69.06141313108712, 18.49483490881661 69.06146963092797, 18.495423151363283 69.06172686821829)"/>
    <s v="[1079340, 1079348]"/>
    <s v="[1024498, 1005475]"/>
    <s v="0.09461445599416558"/>
    <s v="[1010518, 1024498]"/>
    <s v="[0.509, 0.01]"/>
    <s v="44.63282333966882"/>
    <s v="[0.509, 0.01]"/>
  </r>
  <r>
    <x v="2964"/>
    <x v="3609"/>
    <x v="0"/>
    <n v="0"/>
    <s v="LINESTRING (18.494386163603846 69.06155997021324, 18.49455375757671 69.0615818229022, 18.495423151363283 69.06172686821829)"/>
    <s v="[1069198, 1069206]"/>
    <s v="[1016437, 1005475]"/>
    <s v="0.04057507339044956"/>
    <s v="[1010533, 1016437]"/>
    <s v="[0.037, 0.055]"/>
    <s v="45.3849670197758"/>
    <s v="[-0.037, 0.055]"/>
  </r>
  <r>
    <x v="2965"/>
    <x v="3610"/>
    <x v="0"/>
    <n v="0"/>
    <s v="LINESTRING (18.514189580838497 69.06424163317175, 18.514687081163043 69.06442390326312, 18.51480388554086 69.06446747051837)"/>
    <s v="[1069214, 1069222]"/>
    <s v="[1016446, 1010636]"/>
    <s v="#FIELD!"/>
    <s v="[1005498, 1016446]"/>
    <s v="[0.187, 0.05]"/>
    <s v="35.14026533723413"/>
    <s v="[-0.187, 0.05]"/>
  </r>
  <r>
    <x v="2965"/>
    <x v="3611"/>
    <x v="0"/>
    <n v="0"/>
    <s v="LINESTRING (18.514189580838497 69.06424163317175, 18.514901280696705 69.06430910819348, 18.515061398082274 69.06432415280479)"/>
    <s v="[1079356, 1079364]"/>
    <s v="[1024513, 1010588]"/>
    <s v="#FIELD!"/>
    <s v="[1005498, 1024513]"/>
    <s v="[0.07, 0.714]"/>
    <s v="35.97150882700346"/>
    <s v="[-0.07, -0.714]"/>
  </r>
  <r>
    <x v="2966"/>
    <x v="3612"/>
    <x v="0"/>
    <s v="[0, 0, 0, 0, 1, 0, 0, 1, 0, 0, 0, 0, 0, 0]"/>
    <s v="LINESTRING (18.516117048716165 69.06470716399274, 18.517631975189033 69.0652033996902, 18.521530436383628 69.06625987944838, 18.528386997032573 69.06864936868074, 18.542625383578734 69.07321989106084, 18.543332766201 69.07345233323188, 18.554148152801723 69.07637245958125, 18.557974430392395 69.07729859373116, 18.558901498370474 69.0775218360974, 18.56838620737087 69.08111547123933, 18.570947492336852 69.08198541791336, 18.574258421323567 69.08306807590012, 18.58858466905517 69.09247336783814, 18.59082297200228 69.09333340396768, 18.592224192830706 69.0938716075847)"/>
    <s v="[1057548, 1057556, 1057564, 1057572, 1057580, 1057588, 1057596, 1057604, 1057612, 1057620, 1057628, 1057636, 1057644, 1057652]"/>
    <s v="[1005505, 1005513, 1005519, 1005523, 1005531, 1005539, 1005547, 1005554, 1005560, 1005566, 1005570, 1005576, 1005579, 1005585]"/>
    <s v="#FIELD!"/>
    <s v="[1005504, 1005505, 1005513, 1005519, 1005523, 1005531, 1005539, 1005547, 1005554, 1005560, 1005566, 1005570, 1005576, 1005579]"/>
    <s v="[0.037, 0.019, 0.026, 0.014, 0.01, 0.006, 0.001, 0.012, 0.02, 0.011, 0.039, 0.01, 0.013, 0.01]"/>
    <s v="4578.399091014995"/>
    <s v="[-0.037, -0.019, -0.026, -0.014, -0.01, 0.006, -0.001, -0.012, 0.02, -0.011, -0.039, -0.01, -0.013, -0.01]"/>
  </r>
  <r>
    <x v="2966"/>
    <x v="3613"/>
    <x v="0"/>
    <n v="0"/>
    <s v="LINESTRING (18.515613013206334 69.06446909958824, 18.51570427849721 69.06451547145792, 18.516117048716165 69.06470716399274)"/>
    <s v="[1079372, 1079380]"/>
    <s v="[1024527, 1005504]"/>
    <s v="0.07871035664692025"/>
    <s v="[1010615, 1024527]"/>
    <s v="[0.47, 0.013]"/>
    <s v="33.309042853627744"/>
    <s v="[0.47, -0.013]"/>
  </r>
  <r>
    <x v="2966"/>
    <x v="3614"/>
    <x v="0"/>
    <n v="0"/>
    <s v="LINESTRING (18.515307278807068 69.06459984665675, 18.51546468059431 69.06462299342505, 18.516117048716165 69.06470716399274)"/>
    <s v="[1069230, 1069238]"/>
    <s v="[1016457, 1005504]"/>
    <s v="0.03037441498801724"/>
    <s v="[1010628, 1016457]"/>
    <s v="[0.017, 0.042]"/>
    <s v="34.45047144133356"/>
    <s v="[-0.017, 0.042]"/>
  </r>
  <r>
    <x v="2967"/>
    <x v="3615"/>
    <x v="0"/>
    <n v="0"/>
    <s v="LINESTRING (18.592224192830706 69.0938716075847, 18.59251075297021 69.09407085529072, 18.59258513941565 69.09413240882714)"/>
    <s v="[1069246, 1069254]"/>
    <s v="[1016467, 1010736]"/>
    <s v="0.03270720747897873"/>
    <s v="[1005585, 1016467]"/>
    <s v="[0.041, 0.005]"/>
    <s v="32.460386782120224"/>
    <s v="[0.041, 0.005]"/>
  </r>
  <r>
    <x v="2967"/>
    <x v="3616"/>
    <x v="0"/>
    <n v="0"/>
    <s v="LINESTRING (18.592224192830706 69.0938716075847, 18.59277515575511 69.09398402692514, 18.59298217949889 69.0940188306323)"/>
    <s v="[1079388, 1079396]"/>
    <s v="[1024539, 1010664]"/>
    <s v="0.009177601774427405"/>
    <s v="[1005585, 1024539]"/>
    <s v="[0.016, 0.079]"/>
    <s v="34.390387739943066"/>
    <s v="[-0.016, 0.079]"/>
  </r>
  <r>
    <x v="2968"/>
    <x v="3617"/>
    <x v="0"/>
    <n v="0"/>
    <s v="LINESTRING (19.262453989446534 69.20075850816662, 19.262580614726062 69.20084887866149, 19.264973964273526 69.20207394346752, 19.265053583885145 69.20211410032951, 19.26517459241843 69.20217535686669, 19.265263879254732 69.20222031564774, 19.26533561021573 69.20225583303058, 19.266203460422464 69.20266415151659, 19.266319832927564 69.20271889010354, 19.2678774908395 69.2033868137224)"/>
    <s v="[2145210, 2145218, 2145226, 2145234, 2145242, 2145250, 2145258, 2145266, 2145274]"/>
    <s v="[1841458, 1841466, 1841469, 1841474, 1841479, 1841484, 1841489, 1841496, 1006359]"/>
    <s v="#FIELD!"/>
    <s v="[1006350, 1841458, 1841466, 1841469, 1841474, 1841479, 1841484, 1841489, 1841496]"/>
    <s v="[0.324, 0.03, 0.027, 0.029, 0.026, 0.032, 0.03, 0.034, 0.023]"/>
    <s v="364.30366620168013"/>
    <s v="[-0.324, -0.03, -0.027, -0.029, -0.026, -0.032, -0.03, -0.034, -0.023]"/>
  </r>
  <r>
    <x v="2968"/>
    <x v="3617"/>
    <x v="0"/>
    <n v="0"/>
    <s v="LINESTRING (19.262453989446534 69.20075850816662, 19.262645803597074 69.20083275995644, 19.265134430999282 69.2020341918491, 19.26520608688726 69.20206907307544, 19.265332040980585 69.2021297576379, 19.265425696195635 69.20217494060779, 19.266354878848723 69.20262338288053, 19.2678774908395 69.2033868137224)"/>
    <s v="[2145282, 2145290, 2145298, 2145306, 2145314, 2145322, 2145330]"/>
    <s v="[1841506, 1841511, 1841517, 1841519, 1841524, 1841529, 1006359]"/>
    <s v="#FIELD!"/>
    <s v="[1006350, 1841506, 1841511, 1841517, 1841519, 1841524, 1841529]"/>
    <s v="[0.329, 0.03, 0.031, 0.027, 0.027, 0.03, 0.023]"/>
    <s v="363.98390833632635"/>
    <s v="[-0.329, -0.03, -0.031, -0.027, -0.027, -0.03, -0.023]"/>
  </r>
  <r>
    <x v="2968"/>
    <x v="3618"/>
    <x v="0"/>
    <s v="[0, 0, 0, 1, 0, 0, 0, 0, 0, 0, 0, 0, 0, 0, 0, 1, 0, 0, 0, 0, 0, 0, 0, 0]"/>
    <s v="LINESTRING (19.05762269555211 69.16292057402376, 19.05909630405409 69.16336611112317, 19.081232579455563 69.16517877702113, 19.090790294124297 69.1699080306587, 19.090853072073475 69.16992639441638, 19.136066302419955 69.17207678186072, 19.13927098666556 69.17216957141771, 19.146473664955217 69.17180165778183, 19.171607539974612 69.17051525078561, 19.17977704403864 69.1729660165981, 19.179912755824514 69.17299947036247, 19.18007388513547 69.17303904563319, 19.224672408956216 69.18849131349788, 19.224703031425687 69.18855921709077, 19.224736777683407 69.18863279522621, 19.237978299589834 69.19303213858386, 19.238085619465423 69.19307129151467, 19.23971670296344 69.19366353575818, 19.246290468366837 69.19593475893488, 19.246448092169818 69.19597813892122, 19.24662091302493 69.1960255471895, 19.252691692666886 69.1972956495625, 19.259487422729 69.19933620783038, 19.2596522666356 69.19941294518054, 19.262453989446534 69.20075850816662)"/>
    <s v="[1099166, 1099174, 1099182, 1099190, 1099198, 1099206, 1099214, 1099222, 1099230, 1099238, 1099246, 1099254, 1099262, 1099270, 1099278, 1099286, 1058381, 1058389, 1058397, 1058405, 1058413, 1058421, 1058429, 1058437]"/>
    <s v="[1041552, 1041559, 1041567, 1041575, 1034855, 1041595, 1041605, 1041610, 1024782, 1041620, 1039177, 1006728, 1041647, 1024684, 1041662, 1006281, 1006282, 1006291, 1006300, 1006310, 1006320, 1006331, 1006340, 1006350]"/>
    <s v="#FIELD!"/>
    <s v="[1016634, 1041552, 1041559, 1041567, 1041575, 1034855, 1041595, 1041605, 1041610, 1024782, 1041620, 1039177, 1006728, 1041647, 1024684, 1041662, 1006281, 1006282, 1006291, 1006300, 1006310, 1006320, 1006331, 1006340]"/>
    <s v="[0.019, 0.005, 0.019, 0.087, 0.027, 0.086, 0.023, 0.034, 0.047, 0.033, 0.037, 0.039, 0.002, 0.034, 0.005, 0.053, 0.038, 0.027, 0.008, 0.009, 0.036, 0.036, 0.007, 0.017]"/>
    <s v="10267.708629449613"/>
    <s v="[0.019, 0.005, 0.019, 0.087, 0.027, 0.086, 0.023, -0.034, -0.047, -0.033, -0.037, -0.039, 0.002, 0.034, -0.005, -0.053, -0.038, -0.027, -0.008, -0.009, -0.036, -0.036, -0.007, -0.017]"/>
  </r>
  <r>
    <x v="2969"/>
    <x v="3619"/>
    <x v="0"/>
    <s v="[0, 0, 0, 0, 0, 1, 0, 0, 0, 0, 1, 0]"/>
    <s v="LINESTRING (19.2678774908395 69.2033868137224, 19.270119922962166 69.20440990842523, 19.274354740800405 69.20612173252312, 19.27453062467055 69.2061916863121, 19.274726390949166 69.20627013305119, 19.276266835315205 69.20688773359386, 19.276366533173018 69.20692650665606, 19.278898331624244 69.20793669041493, 19.27994275378968 69.2083526849767, 19.295216078106883 69.21442894590581, 19.296283903705167 69.21485267368365, 19.296341161896375 69.21487479111516, 19.296723289837228 69.2150234283481)"/>
    <s v="[1058445, 1058453, 1058461, 1058469, 1058477, 1058485, 1058493, 1058501, 1058509, 1058517, 1058525, 1058533]"/>
    <s v="[1006360, 1006367, 1006378, 1006389, 1006398, 1006407, 1006417, 1006426, 1006433, 1006443, 1006450, 1006461]"/>
    <s v="#FIELD!"/>
    <s v="[1006359, 1006360, 1006367, 1006378, 1006389, 1006398, 1006407, 1006417, 1006426, 1006433, 1006443, 1006450]"/>
    <s v="[0.015, 0.004, 0.0, 0.0, 0.0, 0.0, 0.0, 0.004, 0.01, 0.002, 0.001, 0.001]"/>
    <s v="1729.9266617486019"/>
    <s v="[-0.015, -0.004, 0.0, 0.0, 0.0, 0.0, 0.0, -0.004, -0.01, -0.002, 0.001, 0.001]"/>
  </r>
  <r>
    <x v="2970"/>
    <x v="3620"/>
    <x v="0"/>
    <n v="0"/>
    <s v="LINESTRING (18.98611237049553 69.67990757397419, 18.986326901399345 69.67993082168452, 18.98646915796205 69.6799494039256, 18.988990078050037 69.6804251885809, 18.98944716681922 69.68056364780468)"/>
    <s v="[1058531, 1058539, 1319317, 1319318]"/>
    <s v="[1006458, 1006467, 1226533, 1226534]"/>
    <s v="#FIELD!"/>
    <s v="[1006457, 1006458, 1006467, 1226533]"/>
    <s v="[0.036, 0.03, 0.015, 0.024]"/>
    <s v="151.24931095074717"/>
    <s v="[-0.036, -0.03, -0.015, -0.024]"/>
  </r>
  <r>
    <x v="2970"/>
    <x v="3621"/>
    <x v="0"/>
    <n v="0"/>
    <s v="LINESTRING (18.98611237049553 69.67990757397419, 18.986257359122405 69.680007777263, 18.986135238122795 69.68011305873742)"/>
    <s v="[1064394, 1064402]"/>
    <s v="[1012354, 1012360]"/>
    <s v="0.039025718850243016"/>
    <s v="[1006457, 1012354]"/>
    <s v="[0.035, 0.043]"/>
    <s v="25.747816666290923"/>
    <s v="[0.035, 0.043]"/>
  </r>
  <r>
    <x v="2970"/>
    <x v="3622"/>
    <x v="0"/>
    <n v="0"/>
    <m/>
    <n v="1064386"/>
    <n v="1006457"/>
    <s v="#FIELD!"/>
    <n v="1012342"/>
    <s v="0.197"/>
    <s v="2.84431010981184"/>
    <s v="#FIELD!"/>
  </r>
  <r>
    <x v="2971"/>
    <x v="3623"/>
    <x v="0"/>
    <n v="0"/>
    <s v="LINESTRING (19.296723289837228 69.2150234283481, 19.298533864563616 69.21572011298522, 19.29895243225359 69.21585414932115, 19.30045011048184 69.21626098672841, 19.300542082832816 69.21628227212454, 19.300632394029318 69.21630283506069, 19.30075050772764 69.21633102566472, 19.30085259255153 69.21635264255283, 19.303352890689528 69.21678811498579, 19.30365720419025 69.21682980522709, 19.30486782219118 69.21699660110464, 19.305838762552096 69.21712754612489, 19.306207014378302 69.21715329937544)"/>
    <s v="[1069462, 1069470, 1069478, 1069486, 1069494, 1069502, 1069510, 1069518, 1069526, 1069534, 1069542, 1069550]"/>
    <s v="[1016643, 1016653, 1016660, 1016666, 1016674, 1016681, 1016689, 1016694, 1016704, 1016710, 1016715, 1006470]"/>
    <s v="#FIELD!"/>
    <s v="[1006461, 1016643, 1016653, 1016660, 1016666, 1016674, 1016681, 1016689, 1016694, 1016704, 1016710, 1016715]"/>
    <s v="[0.003, 0.0, 0.0, 0.004, 0.004, 0.005, 0.004, 0.005, 0.004, 0.005, 0.005, 0.002]"/>
    <s v="453.136142509854"/>
    <s v="[-0.003, 0.0, 0.0, -0.004, -0.004, -0.005, -0.004, -0.005, -0.004, -0.005, -0.005, -0.002]"/>
  </r>
  <r>
    <x v="2971"/>
    <x v="3623"/>
    <x v="0"/>
    <n v="0"/>
    <s v="LINESTRING (19.296723289837228 69.2150234283481, 19.298668381541056 69.215667543142, 19.298962901438998 69.2157573141679, 19.29909342448391 69.21579453350998, 19.30059013702361 69.21620199590119, 19.30075470453418 69.21624063774122, 19.300957018429436 69.21628702727217, 19.303403212515718 69.21673887613207, 19.3041703822416 69.21685712692323, 19.30490179418036 69.21695528352681, 19.30587277116832 69.21709101748557, 19.306207014378302 69.21715329937544)"/>
    <s v="[1079572, 1079580, 1079588, 1079596, 1079604, 1079612, 1079620, 1079628, 1079636, 1079644, 1079652]"/>
    <s v="[1024696, 1024702, 1024709, 1024714, 1019219, 1024726, 1024734, 1005800, 1024747, 1024756, 1006470]"/>
    <s v="#FIELD!"/>
    <s v="[1006461, 1024696, 1024702, 1024709, 1024714, 1019219, 1024726, 1024734, 1005800, 1024747, 1024756]"/>
    <s v="[0.002, 0.0, 0.002, 0.0, 0.005, 0.005, 0.005, 0.005, 0.005, 0.005, 0.006]"/>
    <s v="449.39678449546955"/>
    <s v="[-0.002, 0.0, 0.002, -0.0, -0.005, -0.005, -0.005, -0.005, -0.005, -0.005, -0.006]"/>
  </r>
  <r>
    <x v="2972"/>
    <x v="3624"/>
    <x v="0"/>
    <s v="[0, 1, 0, 0, 0, 0, 0, 0, 0, 0, 0]"/>
    <s v="LINESTRING (19.306207014378302 69.21715329937544, 19.307301830336307 69.21731070676424, 19.307507054019805 69.2173445872836, 19.30870189009522 69.21755985079594, 19.313303514662863 69.21901184634815, 19.314562811523004 69.21971976639531, 19.314650980643105 69.21978010816751, 19.314740740761895 69.21984463398826, 19.321134756588382 69.23260104681302, 19.3347551976344 69.23482855307147, 19.338694600181313 69.23529030311046, 19.339937636343215 69.23534207829124)"/>
    <s v="[1058541, 1058549, 1058557, 1058565, 1058573, 1058581, 1058589, 1058597, 1058605, 1058613, 1058621]"/>
    <s v="[1006471, 1006479, 1006488, 1006496, 1006503, 1006514, 1006522, 1006531, 1006541, 1006551, 1006555]"/>
    <s v="#FIELD!"/>
    <s v="[1006470, 1006471, 1006479, 1006488, 1006496, 1006503, 1006514, 1006522, 1006531, 1006541, 1006551]"/>
    <s v="[0.005, 0.005, 0.003, 0.003, 0.005, 0.002, 0.003, 0.004, 0.005, 0.0, 0.017]"/>
    <s v="2884.039133642657"/>
    <s v="[-0.005, -0.005, -0.003, 0.003, 0.005, 0.002, 0.003, -0.004, 0.005, -0.0, 0.017]"/>
  </r>
  <r>
    <x v="2973"/>
    <x v="3625"/>
    <x v="0"/>
    <s v="[0, 0, 0, 0, 0, 0, 0, 0, 0, 0, 0, 1, 1, 1, 0]"/>
    <s v="LINESTRING (19.339937636343215 69.23534207829124, 19.34006344066926 69.23535688518825, 19.342310689176333 69.2352939842129, 19.345154560959145 69.23509544844697, 19.345233148526297 69.23509200229081, 19.345336250813858 69.23508841438611, 19.345521891546294 69.23508314989223, 19.34730132099331 69.23508802239031, 19.34746536198388 69.23509466962905, 19.34802486125264 69.2351235967487, 19.34885991996915 69.23518669580528, 19.34899147749094 69.2351987088451, 19.34919873451157 69.23522028854326, 19.349890685625383 69.23530065465219, 19.35037922599582 69.23536042140508, 19.350663365615016 69.23538039138863)"/>
    <s v="[1069558, 1069566, 1069574, 1069582, 1069590, 1069598, 1069606, 1069614, 1069622, 1069630, 1069638, 1069646, 1069654, 1069662, 1069670]"/>
    <s v="[1016725, 1016730, 1016736, 1006898, 1016750, 1016758, 1016764, 1016774, 1016779, 1016787, 1016793, 1016799, 1016802, 1016807, 1006563]"/>
    <s v="0.0037732552048498633"/>
    <s v="[1006555, 1016725, 1016730, 1016736, 1006898, 1016750, 1016758, 1016764, 1016774, 1016779, 1016787, 1016793, 1016799, 1016802, 1016807]"/>
    <s v="[0.143, 0.013, 0.007, 0.005, 0.035, 0.016, 0.021, 0.031, 0.017, 0.011, 0.012, 0.008, 0.005, 0.008, 0.066]"/>
    <s v="432.01535537437667"/>
    <s v="[0.143, 0.013, 0.007, 0.005, -0.035, -0.016, -0.021, 0.031, 0.017, 0.011, 0.012, 0.008, 0.005, 0.008, -0.066]"/>
  </r>
  <r>
    <x v="2973"/>
    <x v="3625"/>
    <x v="0"/>
    <s v="[0, 0, 0, 0, 0, 0, 0, 0, 0, 1, 1, 1, 1, 1, 0]"/>
    <s v="LINESTRING (19.339937636343215 69.23534207829124, 19.340057067406196 69.23533008372834, 19.342307073082672 69.23523679903899, 19.345077752599234 69.2350242905903, 19.34519242803346 69.23501968303309, 19.3453305227047 69.23501414345385, 19.3454730092367 69.23501042531765, 19.347208031874036 69.2350131468253, 19.347873242379304 69.23504014505737, 19.34875197313512 69.23510948558346, 19.348936057935386 69.23512830692047, 19.349014110699258 69.2351366010733, 19.349082451158324 69.23514420557301, 19.34973786447185 69.23522615924993, 19.350093052013353 69.2352772309927, 19.350663365615016 69.23538039138863)"/>
    <s v="[1079668, 1079676, 1079684, 1079692, 1079700, 1079708, 1079716, 1079724, 1079732, 1079740, 1079748, 1079756, 1079764, 1079772, 1079780]"/>
    <s v="[1024778, 1024783, 1006899, 1024797, 1024802, 1024811, 1024818, 1024828, 1024834, 1024841, 1024846, 1024853, 1024861, 1024871, 1006563]"/>
    <s v="0.003759079960155115"/>
    <s v="[1006555, 1024778, 1024783, 1006899, 1024797, 1024802, 1024811, 1024818, 1024828, 1024834, 1024841, 1024846, 1024853, 1024861, 1024871]"/>
    <s v="[0.24, 0.016, 0.01, 0.034, 0.015, 0.036, 0.025, 0.02, 0.012, 0.006, 0.002, 0.029, 0.001, 0.004, 0.041]"/>
    <s v="435.5531601107368"/>
    <s v="[0.24, 0.016, 0.01, -0.034, -0.015, -0.036, -0.025, 0.02, 0.012, 0.006, -0.002, 0.029, -0.001, 0.004, -0.041]"/>
  </r>
  <r>
    <x v="2974"/>
    <x v="3626"/>
    <x v="0"/>
    <s v="[0, 0, 1, 0, 0, 1, 0, 0, 0, 0, 0, 0, 1, 0, 1, 0, 1, 0, 1, 0, 1, 0, 1, 0, 1, 0, 0]"/>
    <s v="LINESTRING (19.350663365615016 69.23538039138863, 19.351574896433043 69.23550492662106, 19.35888126691573 69.23569789717342, 19.358992229499872 69.23568412622926, 19.36446571219835 69.23365323498861, 19.36998401740006 69.23071355268753, 19.370056830578736 69.23069912357934, 19.38927207032708 69.22908719460236, 19.408284917978623 69.2260895147234, 19.40946707906399 69.2258638649583, 19.411972926084452 69.22544028321958, 19.413429760232823 69.22521979390243, 19.44149044861637 69.22088689538674, 19.44156488287611 69.22087580803138, 19.45345237985857 69.2187854841874, 19.453526125957953 69.21876739825424, 19.463661320461146 69.21651587985643, 19.463743918521104 69.21650645830792, 19.47645856696454 69.2155461450123, 19.477226234878696 69.21549113235618, 19.48195635197415 69.21518516781478, 19.48203998836314 69.21518083368815, 19.488345258732583 69.2149670766365, 19.488456781700958 69.21496542817852, 19.50446517388473 69.21501240146362, 19.50577713353035 69.21491695302244, 19.528694827525204 69.21326001818517, 19.531600164121112 69.21309247316513)"/>
    <s v="[1058629, 1058637, 1058645, 1058653, 1058661, 1058669, 1058677, 1058685, 1058693, 1099294, 1099302, 1099310, 1099318, 1099326, 1099334, 1099342, 1099350, 1099358, 1099366, 1099374, 1099382, 1099390, 1099398, 1099406, 1099414, 1099422, 1099430]"/>
    <s v="[1006564, 1006568, 1006578, 1006587, 1006598, 1006606, 1006615, 1006624, 1006632, 1016556, 1016574, 1041691, 1041701, 1041709, 1041718, 1041725, 1041734, 1041740, 1041747, 1041756, 1041764, 1041771, 1041776, 1041778, 1041783, 1041788, 1016827]"/>
    <s v="0.000369936879560974"/>
    <s v="[1006563, 1006564, 1006568, 1006578, 1006587, 1006598, 1006606, 1006615, 1006624, 1006632, 1016556, 1016574, 1041691, 1041701, 1041709, 1041718, 1041725, 1041734, 1041740, 1041747, 1041756, 1041764, 1041771, 1041776, 1041778, 1041783, 1041788]"/>
    <s v="[0.012, 0.019, 0.05, 0.056, 0.033, 0.02, 0.042, 0.006, 0.046, 0.033, 0.006, 0.021, 0.025, 0.023, 0.047, 0.008, 0.008, 0.016, 0.02, 0.017, 0.013, 0.007, 0.014, 0.038, 0.024, 0.003, 0.058]"/>
    <s v="7868.312669830987"/>
    <s v="[0.012, 0.019, 0.05, 0.056, 0.033, 0.02, 0.042, -0.006, 0.046, 0.033, -0.006, -0.021, 0.025, -0.023, -0.047, -0.008, 0.008, -0.016, 0.02, 0.017, 0.013, -0.007, 0.014, -0.038, -0.024, -0.003, 0.058]"/>
  </r>
  <r>
    <x v="2975"/>
    <x v="3474"/>
    <x v="0"/>
    <n v="0"/>
    <m/>
    <n v="1164649"/>
    <n v="1083920"/>
    <s v="0.24"/>
    <n v="1008753"/>
    <s v="0.24"/>
    <s v="8.04929810590756"/>
    <s v="0.24"/>
  </r>
  <r>
    <x v="2975"/>
    <x v="3455"/>
    <x v="0"/>
    <n v="0"/>
    <s v="LINESTRING (24.979988456312014 70.05150782360808, 24.979833586328862 70.05152328433915, 24.979673679915265 70.05151298961536)"/>
    <s v="[1164633, 1164641]"/>
    <s v="[1098592, 1008753]"/>
    <s v="0.01882879570702605"/>
    <s v="[1096891, 1098592]"/>
    <s v="[0.297, 0.257]"/>
    <s v="12.361564147588787"/>
    <s v="[0.297, -0.257]"/>
  </r>
  <r>
    <x v="2976"/>
    <x v="3627"/>
    <x v="0"/>
    <s v="[0, 1, 0]"/>
    <s v="LINESTRING (18.515774655399685 69.06412271694026, 18.516131169200616 69.06379361900696, 18.516395942651773 69.06352352097996, 18.51654132001247 69.06338259212319)"/>
    <s v="[1061175, 1061183, 1061191]"/>
    <s v="[1009266, 1009274, 1009283]"/>
    <s v="#FIELD!"/>
    <s v="[1009265, 1009266, 1009274]"/>
    <s v="[0.033, 0.04, 0.038]"/>
    <s v="88.03940685930789"/>
    <s v="[-0.033, -0.04, -0.038]"/>
  </r>
  <r>
    <x v="2976"/>
    <x v="3628"/>
    <x v="0"/>
    <n v="0"/>
    <s v="LINESTRING (18.515210735284253 69.0643142633256, 18.51530545848674 69.06428483857233, 18.515774655399685 69.06412271694026)"/>
    <s v="[1072629, 1072637]"/>
    <s v="[1019027, 1009265]"/>
    <s v="#FIELD!"/>
    <s v="[1010589, 1019027]"/>
    <s v="[0.725, 0.206]"/>
    <s v="31.02756159319768"/>
    <s v="[0.725, -0.206]"/>
  </r>
  <r>
    <x v="2976"/>
    <x v="3629"/>
    <x v="0"/>
    <n v="0"/>
    <s v="LINESTRING (18.515594812755282 69.06441513939683, 18.51563005096197 69.06436556087998, 18.515774655399685 69.06412271694026)"/>
    <s v="[1082296, 1082304]"/>
    <s v="[1027165, 1009265]"/>
    <s v="#FIELD!"/>
    <s v="[1010605, 1027165]"/>
    <s v="[0.482, 0.178]"/>
    <s v="33.39767679436834"/>
    <s v="[0.482, -0.178]"/>
  </r>
  <r>
    <x v="2977"/>
    <x v="3630"/>
    <x v="0"/>
    <n v="0"/>
    <s v="LINESTRING (18.51654132001247 69.06338259212319, 18.516596754252472 69.06312825906838, 18.51662032592908 69.06306906783472)"/>
    <s v="[1072646, 1072654]"/>
    <s v="[1019040, 1009482]"/>
    <s v="#FIELD!"/>
    <s v="[1009283, 1019040]"/>
    <s v="[0.006, 0.116]"/>
    <s v="35.12071359494252"/>
    <s v="[-0.006, -0.116]"/>
  </r>
  <r>
    <x v="2977"/>
    <x v="3631"/>
    <x v="0"/>
    <n v="0"/>
    <s v="LINESTRING (18.51654132001247 69.06338259212319, 18.5169548581183 69.06316689832134, 18.517061903643686 69.06311056452728)"/>
    <s v="[1082328, 1082336]"/>
    <s v="[1027187, 1009529]"/>
    <s v="#FIELD!"/>
    <s v="[1009283, 1027187]"/>
    <s v="[0.022, 0.122]"/>
    <s v="36.7656731015593"/>
    <s v="[-0.022, -0.122]"/>
  </r>
  <r>
    <x v="2978"/>
    <x v="3632"/>
    <x v="0"/>
    <n v="0"/>
    <s v="LINESTRING (18.518259755826275 69.0631500910384, 18.52285076326136 69.06433551049292, 18.523159515327237 69.06440889310048, 18.523703420867243 69.06450709342552, 18.526504813651524 69.06476214679066, 18.53219686287433 69.06458042100627, 18.532497332837718 69.0645654424621, 18.533906971977043 69.06449933353265, 18.537042257494935 69.06435365007549, 18.538520581482498 69.06428675818863, 18.542573156146858 69.0641060103236, 18.54278440639607 69.06409672024368, 18.54333596178445 69.06407272189918, 18.54326488942306 69.06374036913911, 18.54309278107116 69.06276141047287, 18.54273132726291 69.06109573127303, 18.541542299179902 69.06032139920536, 18.541082282428984 69.06012521884948)"/>
    <s v="[1061199, 1061207, 1061215, 1061223, 1061231, 1061239, 1061247, 1061255, 1061263, 1061271, 1061279, 1171471, 1171479, 1061287, 1061295, 1061303, 1061311]"/>
    <s v="[1009291, 225741, 1009308, 1009318, 1009325, 225752, 1009341, 1009349, 903958, 1009367, 1009374, 1104239, 1009382, 1009383, 1009393, 1009402, 614116]"/>
    <s v="#FIELD!"/>
    <s v="[1009290, 1009291, 225741, 1009308, 1009318, 1009325, 225752, 1009341, 1009349, 903958, 1009367, 1009374, 1104239, 1009382, 1009383, 1009393, 1009402]"/>
    <s v="[0.038, 0.019, 0.009, 0.019, 0.004, 0.003, 0.002, 0.012, 0.012, 0.002, 0.002, 0.286, 0.173, 0.013, 0.004, 0.007, 0.013]"/>
    <s v="1521.8575224872934"/>
    <s v="[-0.038, -0.019, -0.009, -0.019, -0.004, -0.003, -0.002, 0.012, 0.012, 0.002, 0.002, -0.286, 0.173, 0.013, 0.004, 0.007, 0.013]"/>
  </r>
  <r>
    <x v="2978"/>
    <x v="3633"/>
    <x v="0"/>
    <n v="0"/>
    <s v="LINESTRING (18.517273307537383 69.06292265697238, 18.51742327576912 69.06296400577386, 18.518259755826275 69.0631500910384)"/>
    <s v="[1072662, 1072670]"/>
    <s v="[1019054, 1009290]"/>
    <s v="#FIELD!"/>
    <s v="[1009509, 1019054]"/>
    <s v="[0.012, 0.019]"/>
    <s v="46.84814169648146"/>
    <s v="[0.012, -0.019]"/>
  </r>
  <r>
    <x v="2978"/>
    <x v="3634"/>
    <x v="0"/>
    <n v="0"/>
    <s v="LINESTRING (18.517147632558206 69.06309398617948, 18.51729696495296 69.06309898495964, 18.518259755826275 69.0631500910384)"/>
    <s v="[1082344, 1082352]"/>
    <s v="[1027198, 1009290]"/>
    <s v="#FIELD!"/>
    <s v="[1009522, 1027198]"/>
    <s v="0.038"/>
    <s v="44.808334862195274"/>
    <s v="[0.038, -0.038]"/>
  </r>
  <r>
    <x v="2979"/>
    <x v="3633"/>
    <x v="0"/>
    <n v="0"/>
    <s v="LINESTRING (18.51662032592908 69.06306906783472, 18.516568638980456 69.06303959418395, 18.516533372459683 69.06297161513871, 18.51662304697464 69.06289200078264, 18.517273307537383 69.06292265697238)"/>
    <s v="[1061383, 1061391, 1061399, 1061407]"/>
    <s v="[1009483, 1009490, 1009500, 1009509]"/>
    <s v="#FIELD!"/>
    <s v="[1009482, 1009483, 1009490, 1009500]"/>
    <s v="[0.0, 0.016, 0.037, 0.029]"/>
    <s v="51.993825831685186"/>
    <s v="[0.0, -0.016, -0.037, -0.029]"/>
  </r>
  <r>
    <x v="2979"/>
    <x v="3631"/>
    <x v="0"/>
    <n v="0"/>
    <s v="LINESTRING (18.517061903643686 69.06311056452728, 18.516801135358968 69.06311295429335, 18.51662032592908 69.06306906783472)"/>
    <s v="[1061439, 1061447]"/>
    <s v="[1009535, 1009482]"/>
    <s v="0.03133902180971561"/>
    <s v="[1009529, 1009535]"/>
    <s v="[0.04, 0.021]"/>
    <s v="19.12167848872282"/>
    <s v="[0.04, 0.021]"/>
  </r>
  <r>
    <x v="2980"/>
    <x v="3634"/>
    <x v="0"/>
    <n v="0"/>
    <s v="LINESTRING (18.517273307537383 69.06292265697238, 18.517281368786833 69.06303232647262, 18.517147632558206 69.06309398617948)"/>
    <s v="[1061415, 1061423]"/>
    <s v="[1009516, 1009522]"/>
    <s v="0.02762134738445511"/>
    <s v="[1009509, 1009516]"/>
    <s v="[0.019, 0.04]"/>
    <s v="21.20026071638317"/>
    <s v="[0.019, 0.04]"/>
  </r>
  <r>
    <x v="2981"/>
    <x v="3631"/>
    <x v="0"/>
    <n v="0"/>
    <m/>
    <n v="1061431"/>
    <n v="1009529"/>
    <s v="0.05"/>
    <n v="1009522"/>
    <s v="0.05"/>
    <s v="3.887531350135599"/>
    <s v="0.05"/>
  </r>
  <r>
    <x v="2982"/>
    <x v="3635"/>
    <x v="0"/>
    <n v="0"/>
    <s v="LINESTRING (21.127753882313712 69.80184432179186, 21.130019528669855 69.80219114639667, 21.131899379268404 69.80245589576435, 21.132187172507592 69.80249322656147, 21.13229530506546 69.8025064818757, 21.132403489795408 69.80251991544485, 21.13459558126373 69.80282458385075)"/>
    <s v="[1070022, 1070030, 1070038, 1070046, 1070054, 1070062]"/>
    <s v="[1017062, 1017065, 1017070, 1017074, 1007092, 1009592]"/>
    <s v="#FIELD!"/>
    <s v="[1009585, 1017062, 1017065, 1017070, 1017074, 1007092]"/>
    <s v="[0.03, 0.01, 0.01, 0.008, 0.01, 0.005]"/>
    <s v="285.78457169597124"/>
    <s v="[-0.03, -0.01, -0.01, 0.008, 0.01, -0.005]"/>
  </r>
  <r>
    <x v="2982"/>
    <x v="3635"/>
    <x v="0"/>
    <n v="0"/>
    <s v="LINESTRING (21.127753882313712 69.80184432179186, 21.12952971464082 69.802050794964, 21.130102530425912 69.8021270188615, 21.131997177923196 69.80238827045208, 21.132373398335965 69.80244359591988, 21.13459558126373 69.80282458385075)"/>
    <s v="[1080204, 1080212, 1080220, 1080228, 1080236]"/>
    <s v="[1025268, 1025275, 1025284, 1007091, 1009592]"/>
    <s v="#FIELD!"/>
    <s v="[1009585, 1025268, 1025275, 1025284, 1007091]"/>
    <s v="[0.002, 0.028, 0.032, 0.059, 0.018]"/>
    <s v="286.2973780313596"/>
    <s v="[-0.002, -0.028, -0.032, 0.059, -0.018]"/>
  </r>
  <r>
    <x v="2982"/>
    <x v="3636"/>
    <x v="314"/>
    <s v="[0, 0, 0, 0, 0, 0, 0, 0, 0, 0, 0, 0, 0, 0, 0, 0, 0, 0, 0, 0, 0, 0, 0, 0, 0, 0, 0, 0, 0, 0, 0, 0, 0, 0, 0, 0, 0, 0, 0, 0, 0, 0, 0, 0, 0, 0, 0, 0, 0, 0, 0, 0, 0, 0, 0, 0, 0, 0, 0, 0, 0, 0, 1, 1, 1, 0, 1, 0, 0, 0, 0, 0, 0, 0, 0, 0, 0, 0, 0, 0, 0, 0, 0, 0, 0, 0, 0, 0, 0, 0, 0, 0, 0, 0, 0, 0, 0, 0, 0, 0, 0, 0, 0, 0, 0, 0, 0, 0, 0, 0, 0, 0, 0, 0, 0, 0, 0, 0, 0, 0, 0, 0]"/>
    <s v="LINESTRING (20.785737118863807 69.82087449091533, 20.79925853125057 69.82120099787132, 20.802248528608757 69.82099543927019, 20.80526320686142 69.82052490467565, 20.808162977258927 69.82000562581861, 20.80996945428647 69.8196820386052, 20.8100729293221 69.81966349308789, 20.815279799741347 69.81873069175934, 20.8160540939783 69.81859200539583, 20.923512985929836 69.80066620607029, 20.934028579517364 69.79492437676188, 20.934031360165974 69.79492186086873, 20.934314321031955 69.79465883284308, 20.93475155409711 69.79425225173787, 20.93693892538952 69.79320526708833, 20.938355001305833 69.79299451096661, 20.93968587086911 69.79280309644011, 20.939859104052385 69.79277365805817, 20.94020652096635 69.79269601969513, 20.941119024107937 69.7922260747132, 20.94117559076173 69.79218382558756, 20.94252620485825 69.79114351225549, 20.9452098245648 69.78909225181175, 20.946381450027587 69.78827224971164, 20.94726363571083 69.78772567005397, 20.947953705758767 69.78730011570207, 20.948673322220063 69.78686311369299, 20.949121405871754 69.78659124653781, 20.949523107621857 69.78634877010506, 20.950281615346285 69.78588838352633, 20.950348786138818 69.7858478427815, 20.950409253376407 69.78581122055884, 20.953971503383777 69.78364586939237, 20.955006599515084 69.78301995684909, 20.955803212741568 69.78253312688577, 20.95623100176047 69.78227232362643, 20.957788779448723 69.78132357228262, 20.9595496868102 69.78025450818092, 20.961762986571745 69.77890202056409, 20.96239938456976 69.77852448655193, 20.96691531225168 69.77689799756052, 20.967027728475887 69.77688229707884, 20.975977484053274 69.77460094780467, 20.980805659093996 69.77345355719888, 20.98407173539733 69.77282636356604, 20.98415694369174 69.77281301790933, 20.985886979102528 69.7724916356919, 20.987153854233043 69.77225415649094, 20.988640384980627 69.77197878506573, 20.989662091017802 69.77178922242499, 20.991197923647643 69.77151146345938, 20.994342852298367 69.77097346689747, 20.996598651561616 69.77059595179607, 20.999650570938197 69.77008308720235, 21.000584235940327 69.76992614083154, 21.00413632927115 69.76932650968303, 21.006732505377325 69.76889004155068, 21.007029195679007 69.76884010076479, 21.00768607115929 69.76872931262544, 21.013517173453558 69.76773279206195, 21.014638755145793 69.7675913900306, 21.014790955225244 69.76758033777038, 21.01740215589901 69.76757841019221, 21.017531533975205 69.76758264427262, 21.0176076668246 69.76758492784059, 21.01938725081697 69.76762436090002, 21.020521560905255 69.76764945170449, 21.02123828930257 69.76766641654628, 21.021465581952217 69.7676723907494, 21.023098955714016 69.76777665373218, 21.023878680778406 69.76796267728169, 21.023942748620282 69.76798380559522, 21.024315617428282 69.76814317367725, 21.02432892472944 69.76815148884013, 21.024417647144823 69.7682069470135, 21.02449369577974 69.76826539703947, 21.02481764273479 69.76878281945834, 21.02493950020091 69.76911973937624, 21.025107692069064 69.76943788000455, 21.02575663760728 69.77007541599109, 21.026376102610268 69.77058045644172, 21.026512102198797 69.7706901087805, 21.027070083548374 69.77113751368664, 21.027128580911018 69.77118458763478, 21.02766230657462 69.77160762586469, 21.028268517077876 69.77211376517111, 21.029071097021742 69.77271887504979, 21.02955063883562 69.77302833631745, 21.03248691420751 69.77468493995615, 21.032577409405278 69.7747375069322, 21.033901066279554 69.7755394859952, 21.034684030920406 69.77613867805816, 21.03497727882117 69.77636978091701, 21.035411903627715 69.77672151373673, 21.03567115728891 69.77691707623819, 21.037276590279525 69.77819119761266, 21.037367009798867 69.77825320332265, 21.038229339362864 69.77892503721517, 21.040470352398103 69.78058053963366, 21.0405229004609 69.78061702646608, 21.043199326818893 69.78242790927857, 21.04432112514241 69.78318444019584, 21.044768148976463 69.78349080360982, 21.046198189244187 69.78459214028327, 21.046810083655142 69.78568558235389, 21.04733995603281 69.78639367307557, 21.048008360778475 69.78734910511055, 21.048027209747957 69.78737543805387, 21.04940332119827 69.78896895709076, 21.06050353879756 69.79085890068217, 21.066648143804258 69.79080878618255, 21.069394018808143 69.7909559807304, 21.08059782858098 69.79234367323745, 21.087602728453152 69.794387570947, 21.088244884834435 69.79470308487734, 21.091206345071654 69.79564576423121, 21.09776361586112 69.79688082841969, 21.108844404867693 69.79895166434001, 21.11013053084015 69.79917675904099, 21.11665306427369 69.80029864886772, 21.120760979521307 69.8008798617504, 21.12259024700581 69.80113344796108, 21.127753882313712 69.80184432179186)"/>
    <s v="[2089027, 2089035, 2089043, 2089051, 2089059, 2089067, 2089075, 2089083, 2089195, 2089203, 2089211, 2089219, 2089227, 1101694, 1101702, 1101710, 1101718, 1101727, 1101735, 1101743, 1101751, 1101759, 1101767, 1101775, 1101784, 1101792, 1101800, 1101801, 1101802, 1101808, 1101816, 1101824, 1101832, 1101840, 1101848, 1101856, 1101864, 1101872, 1101880, 1101888, 1101896, 1101904, 1101912, 1101920, 1101928, 1101936, 1101944, 1101952, 1101960, 1101968, 1101976, 1101984, 1101992, 1102000, 1102008, 1102016, 1102024, 1102032, 1102040, 1102048, 1102056, 1102064, 1102072, 1102080, 1102088, 1102096, 1102104, 1102112, 1102120, 1102128, 1102136, 1102144, 1102152, 1102160, 1102168, 1102176, 1102184, 1102192, 1102200, 1102208, 1102216, 1102224, 1102232, 1102240, 1102248, 1102256, 1102264, 1102272, 1102280, 1102288, 1102296, 1102304, 1102312, 1102320, 1102328, 1102336, 1102344, 1102352, 1102360, 1102368, 1102376, 1102384, 1102392, 1102400, 1102408, 1102416, 1102425, 1102433, 1102441, 1061397, 1061405, 1061413, 1061421, 1061429, 1061437, 1061445, 1061453, 1061461, 1061469, 1061477, 1061485, 1061493]"/>
    <s v="[1308794, 1808950, 364093, 364140, 1308834, 1808967, 1808972, 1808976, 1809046, 1809049, 1809054, 1308826, 1043546, 893167, 893175, 893201, 894922, 893258, 893155, 893247, 893265, 893310, 893333, 1018266, 893343, 1041840, 1032312, 1032314, 1043627, 1043633, 1043640, 893393, 1041834, 893521, 1043668, 893462, 893644, 893537, 1043691, 1032301, 893649, 1024387, 1024370, 893663, 1024355, 1024341, 1043761, 1043769, 1043776, 1024321, 893695, 893739, 1043802, 893763, 895041, 1043815, 1043820, 1043824, 893806, 1043833, 1022878, 1043845, 1043855, 1043866, 1043875, 1043884, 1043895, 893876, 893923, 1030198, 1043920, 1024825, 1043930, 1043935, 1024162, 1043949, 894341, 893870, 894358, 1030207, 991409, 1030216, 894375, 1035110, 1035103, 1035097, 894845, 894653, 894839, 1035073, 1044055, 1044064, 894833, 1044080, 894822, 894704, 1030279, 894814, 894804, 1044129, 1044140, 992037, 1044156, 1023317, 1044173, 1044183, 1044193, 895733, 1009497, 1009498, 1009507, 1009514, 1009521, 895823, 1009534, 895830, 895871, 1009553, 1009561, 1009569, 999085, 1009585]"/>
    <s v="#FIELD!"/>
    <s v="[1808945, 1308794, 1808950, 364093, 364140, 1308834, 1808967, 1808972, 1808976, 1809046, 1809049, 1809054, 1308826, 1043546, 893167, 893175, 893201, 894922, 893258, 893155, 893247, 893265, 893310, 893333, 1018266, 893343, 1041840, 1032312, 1032314, 1043627, 1043633, 1043640, 893393, 1041834, 893521, 1043668, 893462, 893644, 893537, 1043691, 1032301, 893649, 1024387, 1024370, 893663, 1024355, 1024341, 1043761, 1043769, 1043776, 1024321, 893695, 893739, 1043802, 893763, 895041, 1043815, 1043820, 1043824, 893806, 1043833, 1022878, 1043845, 1043855, 1043866, 1043875, 1043884, 1043895, 893876, 893923, 1030198, 1043920, 1024825, 1043930, 1043935, 1024162, 1043949, 894341, 893870, 894358, 1030207, 991409, 1030216, 894375, 1035110, 1035103, 1035097, 894845, 894653, 894839, 1035073, 1044055, 1044064, 894833, 1044080, 894822, 894704, 1030279, 894814, 894804, 1044129, 1044140, 992037, 1044156, 1023317, 1044173, 1044183, 1044193, 895733, 1009497, 1009498, 1009507, 1009514, 1009521, 895823, 1009534, 895830, 895871, 1009553, 1009561, 1009569, 999085]"/>
    <s v="[0.044, 0.031, 0.058, 0.056, 0.036, 0.027, 0.061, 0.197, 0.024, 0.017, 0.0, 0.026, 0.054, 0.019, 0.012, 0.035, 0.044, 0.041, 0.061, 0.073, 0.007, 0.013, 0.005, 0.018, 0.045, 0.036, 0.023, 0.016, 0.015, 0.015, 0.016, 0.002, 0.005, 0.005, 0.019, 0.007, 0.029, 0.024, 0.009, 0.052, 0.087, 0.025, 0.037, 0.024, 0.014, 0.0, 0.005, 0.002, 0.006, 0.003, 0.001, 0.011, 0.04, 0.009, 0.021, 0.005, 0.011, 0.011, 0.005, 0.041, 0.043, 0.029, 0.0, 0.0, 0.0, 0.0, 0.0, 0.0, 0.0, 0.0, 0.0, 0.0, 0.0, 0.0, 0.0, 0.0, 0.0, 0.0, 0.0, 0.0, 0.0, 0.0, 0.0, 0.0, 0.0, 0.0, 0.0, 0.003, 0.013, 0.011, 0.006, 0.01, 0.013, 0.017, 0.019, 0.024, 0.028, 0.04, 0.046, 0.036, 0.003, 0.034, 0.077, 0.016, 0.042, 0.01, 0.066, 0.044, 0.022, 0.071, 0.023, 0.003, 0.021, 0.007, 0.007, 0.031, 0.028, 0.064, 0.007, 0.003, 0.012, 0.069]"/>
    <s v="17571.257303020895"/>
    <s v="[0.044, 0.031, 0.058, 0.056, 0.036, 0.027, 0.061, 0.197, -0.024, -0.017, 0.0, -0.026, -0.054, -0.019, 0.012, 0.035, 0.044, 0.041, 0.061, 0.073, 0.007, -0.013, -0.005, -0.018, -0.045, -0.036, -0.023, -0.016, -0.015, -0.015, -0.016, -0.002, 0.005, 0.005, 0.019, 0.007, 0.029, 0.024, 0.009, 0.052, -0.087, -0.025, -0.037, -0.024, -0.014, -0.0, 0.005, 0.002, 0.006, -0.003, -0.001, 0.011, 0.04, -0.009, -0.021, 0.005, 0.011, 0.011, 0.005, -0.041, -0.043, -0.029, 0.0, 0.0, 0.0, 0.0, 0.0, 0.0, 0.0, 0.0, 0.0, 0.0, 0.0, 0.0, 0.0, 0.0, 0.0, 0.0, 0.0, 0.0, 0.0, 0.0, 0.0, 0.0, 0.0, 0.0, 0.0, 0.003, 0.013, 0.011, 0.006, 0.01, 0.013, 0.017, 0.019, 0.024, 0.028, 0.04, 0.046, 0.036, 0.003, 0.034, 0.077, 0.016, -0.042, -0.01, -0.066, -0.044, 0.022, 0.071, 0.023, -0.003, -0.021, -0.007, -0.007, -0.031, -0.028, -0.064, -0.007, 0.003, -0.012, -0.069]"/>
  </r>
  <r>
    <x v="2983"/>
    <x v="3637"/>
    <x v="0"/>
    <n v="0"/>
    <s v="LINESTRING (21.13459558126373 69.80282458385075, 21.368991254475844 69.83128214778074)"/>
    <m/>
    <m/>
    <s v="0.0"/>
    <m/>
    <n v="0"/>
    <s v="17691.23052826447"/>
    <n v="0"/>
  </r>
  <r>
    <x v="2984"/>
    <x v="3608"/>
    <x v="0"/>
    <n v="0"/>
    <m/>
    <n v="1062379"/>
    <n v="1010518"/>
    <s v="#FIELD!"/>
    <n v="1010517"/>
    <s v="0.025"/>
    <s v="25.29793459348225"/>
    <s v="#FIELD!"/>
  </r>
  <r>
    <x v="2984"/>
    <x v="3604"/>
    <x v="0"/>
    <n v="0"/>
    <s v="LINESTRING (18.49394919880698 69.0614114529159, 18.494039364234116 69.06133130284016, 18.494292664161787 69.06128222087854)"/>
    <s v="[1062435, 1062443]"/>
    <s v="[1010571, 1010517]"/>
    <s v="#FIELD!"/>
    <s v="[1010565, 1010571]"/>
    <s v="[0.07, 0.083]"/>
    <s v="21.336889344661635"/>
    <s v="[-0.07, -0.083]"/>
  </r>
  <r>
    <x v="2985"/>
    <x v="3609"/>
    <x v="0"/>
    <n v="0"/>
    <s v="LINESTRING (18.494729834053523 69.06141313108712, 18.494639215101966 69.06151089284032, 18.494386163603846 69.06155997021324)"/>
    <s v="[1062387, 1062395]"/>
    <s v="[1010525, 1010533]"/>
    <s v="0.10249932008884204"/>
    <s v="[1010518, 1010525]"/>
    <s v="[0.099, 0.106]"/>
    <s v="23.380597506804158"/>
    <s v="[0.099, 0.106]"/>
  </r>
  <r>
    <x v="2986"/>
    <x v="3604"/>
    <x v="0"/>
    <n v="0"/>
    <s v="LINESTRING (18.494386163603846 69.06155997021324, 18.494239964365523 69.0615563965759, 18.49406984921319 69.06152250709768, 18.493954778993526 69.06144645332455, 18.49394919880698 69.0614114529159)"/>
    <s v="[1062403, 1062411, 1062419, 1062427]"/>
    <s v="[1010540, 1010548, 1010557, 1010565]"/>
    <s v="#FIELD!"/>
    <s v="[1010533, 1010540, 1010548, 1010557]"/>
    <s v="[0.075, 0.011, 0.038, 0.075]"/>
    <s v="27.168428244033446"/>
    <s v="[0.075, 0.011, -0.038, -0.075]"/>
  </r>
  <r>
    <x v="2987"/>
    <x v="3628"/>
    <x v="0"/>
    <n v="0"/>
    <m/>
    <n v="1062451"/>
    <n v="1010589"/>
    <s v="#FIELD!"/>
    <n v="1010588"/>
    <s v="0.042"/>
    <s v="6.057862659368583"/>
    <s v="#FIELD!"/>
  </r>
  <r>
    <x v="2987"/>
    <x v="3610"/>
    <x v="0"/>
    <n v="0"/>
    <s v="LINESTRING (18.51480388554086 69.06446747051837, 18.514867586679458 69.06438084632896, 18.515061398082274 69.06432415280479)"/>
    <s v="[1062507, 1062515]"/>
    <s v="[1010647, 1010588]"/>
    <s v="#FIELD!"/>
    <s v="[1010636, 1010647]"/>
    <s v="[0.098, 0.08]"/>
    <s v="19.97705665206402"/>
    <s v="[-0.098, -0.08]"/>
  </r>
  <r>
    <x v="2988"/>
    <x v="3629"/>
    <x v="0"/>
    <n v="0"/>
    <s v="LINESTRING (18.515210735284253 69.0643142633256, 18.515443854150156 69.06434136168008, 18.515594812755282 69.06441513939683)"/>
    <s v="[1062459, 1062467]"/>
    <s v="[1010596, 1010605]"/>
    <s v="0.02297209261079424"/>
    <s v="[1010589, 1010596]"/>
    <s v="[0.0, 0.045]"/>
    <s v="19.97358177545634"/>
    <s v="[0.0, 0.045]"/>
  </r>
  <r>
    <x v="2989"/>
    <x v="3613"/>
    <x v="0"/>
    <n v="0"/>
    <m/>
    <n v="1062475"/>
    <n v="1010615"/>
    <s v="0.06"/>
    <n v="1010605"/>
    <s v="0.06"/>
    <s v="6.061922137222626"/>
    <s v="0.06"/>
  </r>
  <r>
    <x v="2990"/>
    <x v="3614"/>
    <x v="0"/>
    <n v="0"/>
    <s v="LINESTRING (18.515613013206334 69.06446909958824, 18.515519369055216 69.06455220737962, 18.515307278807068 69.06459984665675)"/>
    <s v="[1062483, 1062491]"/>
    <s v="[1010621, 1010628]"/>
    <s v="0.07849990696875346"/>
    <s v="[1010615, 1010621]"/>
    <s v="[0.078, 0.079]"/>
    <s v="19.98319759655118"/>
    <s v="[0.078, 0.079]"/>
  </r>
  <r>
    <x v="2991"/>
    <x v="3610"/>
    <x v="0"/>
    <n v="0"/>
    <m/>
    <n v="1062499"/>
    <n v="1010636"/>
    <s v="#FIELD!"/>
    <n v="1010628"/>
    <s v="0.013"/>
    <s v="28.20896144673359"/>
    <s v="#FIELD!"/>
  </r>
  <r>
    <x v="2992"/>
    <x v="3638"/>
    <x v="0"/>
    <n v="0"/>
    <s v="LINESTRING (18.59298217949889 69.0940188306323, 18.593068033439742 69.09402556428856, 18.59323424427335 69.09406833592259, 18.59331128780124 69.09412982453163, 18.593310550210145 69.09416391510402)"/>
    <s v="[1062523, 1062531, 1062539, 1062547]"/>
    <s v="[1010665, 1010675, 1010682, 1010689]"/>
    <s v="#FIELD!"/>
    <s v="[1010664, 1010665, 1010675, 1010682]"/>
    <s v="[0.031, 0.018, 0.002, 0.017]"/>
    <s v="22.977440504532908"/>
    <s v="[-0.031, -0.018, 0.002, 0.017]"/>
  </r>
  <r>
    <x v="2992"/>
    <x v="3615"/>
    <x v="0"/>
    <n v="0"/>
    <s v="LINESTRING (18.59258513941565 69.09413240882714, 18.59269886744459 69.09405314651059, 18.59298217949889 69.0940188306323)"/>
    <s v="[1062603, 1062611]"/>
    <s v="[1010745, 1010664]"/>
    <s v="#FIELD!"/>
    <s v="[1010736, 1010745]"/>
    <s v="[0.033, 0.035]"/>
    <s v="22.118953171312704"/>
    <s v="[-0.033, -0.035]"/>
  </r>
  <r>
    <x v="2993"/>
    <x v="3639"/>
    <x v="0"/>
    <n v="0"/>
    <s v="LINESTRING (18.593310550210145 69.09416391510402, 18.593172554556833 69.09425158982516, 18.59290966104818 69.09427856261836)"/>
    <s v="[1062555, 1062563]"/>
    <s v="[1010696, 1010704]"/>
    <s v="0.03746164478769885"/>
    <s v="[1010689, 1010696]"/>
    <s v="[0.035, 0.04]"/>
    <s v="22.536851131779578"/>
    <s v="[0.035, 0.04]"/>
  </r>
  <r>
    <x v="2993"/>
    <x v="3640"/>
    <x v="0"/>
    <n v="0"/>
    <s v="LINESTRING (18.593310550210145 69.09416391510402, 18.593384587831252 69.09422332911248, 18.593677203351053 69.0944287262116)"/>
    <s v="[1079404, 1079412]"/>
    <s v="[1024548, 1016487]"/>
    <s v="#FIELD!"/>
    <s v="[1010689, 1024548]"/>
    <s v="[0.105, 0.002]"/>
    <s v="32.95664889867957"/>
    <s v="[-0.105, 0.002]"/>
  </r>
  <r>
    <x v="2994"/>
    <x v="3615"/>
    <x v="0"/>
    <n v="0"/>
    <s v="LINESTRING (18.59290966104818 69.09427856261836, 18.592830164155764 69.09427241420313, 18.592677979172198 69.09423680285187, 18.592584726418508 69.09416358263177, 18.59258513941565 69.09413240882714)"/>
    <s v="[1062571, 1062579, 1062587, 1062595]"/>
    <s v="[1010710, 1010718, 1010727, 1010736]"/>
    <s v="0.0036808897980013027"/>
    <s v="[1010704, 1010710, 1010718, 1010727]"/>
    <s v="[0.027, 0.019, 0.006, 0.025]"/>
    <s v="22.93585520301628"/>
    <s v="[0.027, 0.019, -0.006, -0.025]"/>
  </r>
  <r>
    <x v="2994"/>
    <x v="3640"/>
    <x v="0"/>
    <n v="0"/>
    <s v="LINESTRING (18.59290966104818 69.09427856261836, 18.593093764866996 69.09431099032298, 18.593677203351053 69.0944287262116)"/>
    <s v="[1069262, 1069270]"/>
    <s v="[1016482, 1016487]"/>
    <s v="#FIELD!"/>
    <s v="[1010704, 1016482]"/>
    <s v="[0.138, 0.016]"/>
    <s v="34.87003465945787"/>
    <s v="[-0.138, -0.016]"/>
  </r>
  <r>
    <x v="2995"/>
    <x v="715"/>
    <x v="315"/>
    <n v="0"/>
    <s v="LINESTRING (20.7490991502041 69.11262786123801, 20.525027364221465 69.27166220276601)"/>
    <m/>
    <m/>
    <s v="0.0"/>
    <m/>
    <n v="0"/>
    <s v="19176.50781992076"/>
    <n v="0"/>
  </r>
  <r>
    <x v="2996"/>
    <x v="3641"/>
    <x v="316"/>
    <s v="[0, 0, 0, 0, 0, 0, 0, 0, 0, 0, 0, 0, 0, 0, 0, 0, 0, 0, 0, 1, 0, 0, 0, 1, 0, 0, 1, 0, 1, 0, 1, 0, 1, 0, 1, 0, 1, 0, 1, 0, 1, 0, 1, 0, 1, 0, 0, 0, 0, 0]"/>
    <s v="LINESTRING (19.55123717847544 69.22001725625746, 19.550810429917806 69.22003672235434, 19.55064903297542 69.2200411578084, 19.550507352925923 69.22004400242903, 19.546888250097027 69.2200564382162, 19.544455966512626 69.220060408047, 19.544176750136113 69.22006049420905, 19.543939141869473 69.22006101030468, 19.539167082233714 69.22007178769293, 19.537742902681025 69.22010005857506, 19.53629684108238 69.22021869517695, 19.534637250715278 69.2203962468119, 19.532868569672868 69.22059002876067, 19.532721371956775 69.22060623576375, 19.52727193913224 69.22119694984634, 19.52556952313046 69.22138101977174, 19.522607568205157 69.22169581492945, 19.51267209302139 69.22264644099292, 19.511057909065354 69.22292486082584, 19.508719422537318 69.22347175545958, 19.50797217863765 69.22369329224954, 19.507839573934188 69.2237364212916, 19.505715251955234 69.22455509787414, 19.486986728018444 69.23106520267449, 19.486926393675468 69.23109311053588, 19.48440284546129 69.23224411874776, 19.48071140423653 69.2338780663505, 19.4806532163217 69.23390294961546, 19.469695113601542 69.23806937366594, 19.469620036058114 69.23809478054606, 19.458996297795153 69.24134986561683, 19.45890754917423 69.24137544115872, 19.445171296742892 69.24679570810257, 19.44511364730321 69.24682604664525, 19.438664919793556 69.25094275820138, 19.438622961808445 69.2509743081237, 19.43370971650652 69.25508316623609, 19.43258314656399 69.25603367558872, 19.432255795149814 69.25630885545063, 19.43221616457737 69.25634196143257, 19.42686682836774 69.2627371968633, 19.426865641413904 69.26277111239513, 19.429219784932904 69.26708502447896, 19.4294235230287 69.26810749492256, 19.429000931327504 69.26903710492343, 19.42896454955749 69.26908127138489, 19.423064456496864 69.27298293119408, 19.42261638265144 69.27356525216962, 19.422560779161877 69.27364586148214, 19.422165438649323 69.27465193671847, 19.42215191621359 69.27470551029228)"/>
    <s v="[1063259, 1063267, 1063275, 1063283, 1063291, 1063299, 1063307, 1063315, 1063323, 1063331, 1063339, 1063347, 1063355, 1063363, 1063371, 1063379, 1063387, 1063395, 1063403, 1063411, 1063419, 1063427, 1063435, 1063443, 1063451, 1063459, 1063467, 1063475, 1063483, 1063491, 1063499, 1063507, 1063515, 1063523, 1063531, 1063539, 1063547, 1063555, 1063563, 1063571, 1063579, 1063587, 1063595, 1063603, 1063611, 1063619, 1063627, 1063635, 1063643, 1063651]"/>
    <s v="[1011343, 1001168, 1001188, 1001205, 1011365, 1001229, 1011379, 1001222, 1001234, 1011396, 1001267, 1011412, 1001271, 1011428, 1001279, 1011442, 975984, 1011458, 1011465, 1011471, 1011479, 1011488, 1011493, 1011503, 1011510, 1011516, 1011522, 1011529, 1011535, 1011542, 1011551, 1011560, 1011567, 1011574, 1011580, 1011586, 1011591, 1011598, 1011605, 1011611, 1011618, 1011625, 1011631, 1011637, 1011644, 1011651, 1011657, 1011665, 1011671, 1011677]"/>
    <s v="0.007226970575327096"/>
    <s v="[1011342, 1011343, 1001168, 1001188, 1001205, 1011365, 1001229, 1011379, 1001222, 1001234, 1011396, 1001267, 1011412, 1001271, 1011428, 1001279, 1011442, 975984, 1011458, 1011465, 1011471, 1011479, 1011488, 1011493, 1011503, 1011510, 1011516, 1011522, 1011529, 1011535, 1011542, 1011551, 1011560, 1011567, 1011574, 1011580, 1011586, 1011591, 1011598, 1011605, 1011611, 1011618, 1011625, 1011631, 1011637, 1011644, 1011651, 1011657, 1011665, 1011671]"/>
    <s v="[0.033, 0.002, 0.002, 0.003, 0.007, 0.03, 0.483, 0.042, 0.077, 0.028, 0.013, 0.02, 0.01, 0.004, 0.005, 0.028, 0.029, 0.011, 0.002, 0.007, 0.048, 0.028, 0.035, 0.03, 0.021, 0.029, 0.046, 0.009, 0.015, 0.002, 0.019, 0.012, 0.08, 0.009, 0.002, 0.015, 0.063, 0.083, 0.074, 0.005, 0.06, 0.001, 0.046, 0.072, 0.013, 0.02, 0.046, 0.054, 0.013, 0.069]"/>
    <s v="8729.114452267291"/>
    <s v="[0.033, -0.002, -0.002, 0.003, 0.007, 0.03, -0.483, 0.042, -0.077, -0.028, -0.013, -0.02, -0.01, 0.004, 0.005, -0.028, -0.029, 0.011, -0.002, 0.007, 0.048, 0.028, 0.035, -0.03, 0.021, 0.029, -0.046, 0.009, 0.015, 0.002, -0.019, 0.012, 0.08, 0.009, 0.002, -0.015, 0.063, 0.083, 0.074, -0.005, 0.06, 0.001, 0.046, 0.072, 0.013, -0.02, 0.046, 0.054, 0.013, -0.069]"/>
  </r>
  <r>
    <x v="2997"/>
    <x v="3642"/>
    <x v="0"/>
    <n v="0"/>
    <s v="LINESTRING (19.42215191621359 69.27470551029228, 19.422060122910114 69.27484664611644, 19.421847428402074 69.27553741427649, 19.42182490169692 69.27562941758251, 19.421808546638257 69.27569733664964, 19.42178845878686 69.27577468989458, 19.421601505852546 69.27657320260367, 19.42159185081126 69.27662447494777, 19.421516428920278 69.27697359632369, 19.42151780649327 69.2772684223262)"/>
    <s v="[1070102, 1070110, 1070118, 1070126, 1070134, 1070142, 1070150, 1070158, 1070166]"/>
    <s v="[1017119, 1017125, 1017132, 1006774, 1017145, 1017152, 1017158, 1017162, 1011683]"/>
    <s v="#FIELD!"/>
    <s v="[1011677, 1017119, 1017125, 1017132, 1006774, 1017145, 1017152, 1017158, 1017162]"/>
    <s v="[0.301, 0.02, 0.023, 0.007, 0.018, 0.016, 0.013, 0.014, 0.011]"/>
    <s v="287.45663073092527"/>
    <s v="[-0.301, -0.02, -0.023, -0.007, -0.018, -0.016, -0.013, -0.014, -0.011]"/>
  </r>
  <r>
    <x v="2997"/>
    <x v="3642"/>
    <x v="0"/>
    <n v="0"/>
    <s v="LINESTRING (19.42215191621359 69.27470551029228, 19.422203813718664 69.27475833367262, 19.42218710916358 69.27484988233186, 19.42205078498045 69.2755439074369, 19.422031548998802 69.27563611410764, 19.42202487097179 69.27566815674706, 19.422013369509763 69.27570329798513, 19.42199881672757 69.27574773012066, 19.42198670541514 69.27578920556508, 19.421776527031405 69.2765831903733, 19.42165377459006 69.27697915642563, 19.42151780649327 69.2772684223262)"/>
    <s v="[1080268, 1080276, 1080284, 1080292, 1080300, 1080308, 1080316, 1080324, 1080332, 1080340, 1080348]"/>
    <s v="[1025326, 1025334, 1025341, 1025349, 1006775, 1025359, 1024724, 1025376, 1025379, 1025388, 1011683]"/>
    <s v="#FIELD!"/>
    <s v="[1011677, 1025326, 1025334, 1025341, 1025349, 1006775, 1025359, 1024724, 1025376, 1025379, 1025388]"/>
    <s v="[0.573, 0.001, 0.01, 0.011, 0.021, 0.019, 0.012, 0.015, 0.018, 0.025, 0.055]"/>
    <s v="287.66672587581934"/>
    <s v="[-0.573, -0.001, -0.01, -0.011, -0.021, -0.019, -0.012, -0.015, -0.018, -0.025, -0.055]"/>
  </r>
  <r>
    <x v="2998"/>
    <x v="3643"/>
    <x v="0"/>
    <s v="[0, 0, 0, 0, 0, 1, 0, 1, 0]"/>
    <s v="LINESTRING (19.42151780649327 69.2772684223262, 19.421455570490203 69.27752168110888, 19.421414301547625 69.27770735215921, 19.42126923655144 69.278249647895, 19.420812658167808 69.28011719585648, 19.42030533180258 69.28145975558803, 19.420263646482976 69.28152661503746, 19.417697001455736 69.28401789260231, 19.41763218009952 69.2840946006419, 19.41737214645593 69.28868296926294)"/>
    <s v="[1063659, 1063667, 1063675, 1063683, 1063691, 1063699, 1063707, 1063715, 1063723]"/>
    <s v="[1011684, 1011691, 1011701, 1011709, 1011718, 1011725, 1011732, 1011739, 1011746]"/>
    <s v="#FIELD!"/>
    <s v="[1011683, 1011684, 1011691, 1011701, 1011709, 1011718, 1011725, 1011732, 1011739]"/>
    <s v="[0.0, 0.004, 0.007, 0.089, 0.033, 0.051, 0.041, 0.031, 0.031]"/>
    <s v="1298.3485241983426"/>
    <s v="[0.0, -0.004, -0.007, -0.089, 0.033, -0.051, -0.041, 0.031, 0.031]"/>
  </r>
  <r>
    <x v="2999"/>
    <x v="3644"/>
    <x v="0"/>
    <s v="[0, 1, 0, 0, 0, 0, 0, 0, 0, 0]"/>
    <s v="LINESTRING (19.41737214645593 69.28868296926294, 19.416469806227195 69.29005208511332, 19.41643312560288 69.29008636842171, 19.41636169443031 69.29016103343302, 19.416273362604915 69.29025852856422, 19.415075971139313 69.2914111344174, 19.415047665931734 69.29144167997038, 19.415009662081342 69.29148269272814, 19.41439406291489 69.29261311279545, 19.414357726746786 69.2928254920508, 19.41435872930132 69.29355194502666)"/>
    <s v="[2101274, 2101283, 2101291, 2101299, 2101307, 2101315, 2101323, 2101324, 2101333, 2101337]"/>
    <s v="[1816548, 1816553, 1816559, 1816565, 1816572, 1816578, 1816584, 1816585, 1816593, 1011753]"/>
    <s v="0.01286870514052294"/>
    <s v="[1011746, 1816548, 1816553, 1816559, 1816565, 1816572, 1816578, 1816584, 1816585, 1816593]"/>
    <s v="[0.062, 0.079, 0.064, 0.059, 0.109, 0.136, 0.135, 0.092, 0.047, 0.346]"/>
    <s v="560.4805456923665"/>
    <s v="[0.062, -0.079, -0.064, -0.059, -0.109, -0.136, -0.135, -0.092, -0.047, 0.346]"/>
  </r>
  <r>
    <x v="2999"/>
    <x v="3644"/>
    <x v="0"/>
    <s v="[0, 1, 0, 0, 0, 0, 0, 0, 0]"/>
    <s v="LINESTRING (19.41737214645593 69.28868296926294, 19.416313212078403 69.29003137218916, 19.41627682036516 69.29006582783212, 19.416089910364065 69.2902342598038, 19.414911420931475 69.2913840801606, 19.4148838536305 69.29141786945247, 19.414846817502948 69.29146325254796, 19.414249975060272 69.29260946074861, 19.41421832702922 69.29282378737257, 19.41435872930132 69.29355194502666)"/>
    <s v="[2101338, 2101373, 2101374, 2101405, 2101410, 2101411, 2101429, 2101430, 2101431]"/>
    <s v="[1816596, 1816618, 1816619, 1816633, 1816636, 1816637, 1816647, 1816648, 1011753]"/>
    <s v="0.012984577457665054"/>
    <s v="[1011746, 1816596, 1816618, 1816619, 1816633, 1816636, 1816637, 1816647, 1816648]"/>
    <s v="[0.049, 0.047, 0.083, 0.107, 0.133, 0.099, 0.089, 0.046, 0.365]"/>
    <s v="562.210955694718"/>
    <s v="[0.049, -0.047, -0.083, -0.107, -0.133, -0.099, -0.089, -0.046, 0.365]"/>
  </r>
  <r>
    <x v="3000"/>
    <x v="3645"/>
    <x v="0"/>
    <s v="[0, 0, 0, 1, 0, 1, 0, 1, 0, 1, 0, 1, 0, 1, 0, 0, 0, 0, 0, 1, 0, 0, 0, 1, 0, 0, 1, 0]"/>
    <s v="LINESTRING (19.41435872930132 69.29355194502666, 19.417667868820484 69.29823229620435, 19.418067443992914 69.29875893176708, 19.42059761419199 69.30288715887052, 19.420611169350067 69.30292114631607, 19.424935778590193 69.3097841112222, 19.424985671355397 69.30981923560084, 19.428775713647052 69.31260401988771, 19.428823489872983 69.31263991670312, 19.432153366443075 69.31852600789922, 19.432118951920287 69.31856401089517, 19.4316349687983 69.31903094394778, 19.4300874517845 69.32003825513232, 19.414040611956985 69.32721220489604, 19.41393833032636 69.32727557335454, 19.399165419969467 69.34056180087357, 19.398730340054772 69.34098845487797, 19.39823410775836 69.34146546511334, 19.360969209742894 69.36365847385048, 19.360303057419298 69.36396825034129, 19.36018013064268 69.3640243701486, 19.359736923713633 69.36423734620867, 19.360939573435303 69.36954280344693, 19.36182557596437 69.36999824855766, 19.362534620303222 69.37036955574499, 19.364424534615594 69.37145395516677, 19.36475268145868 69.37352438493465, 19.36469076277626 69.3735861604385, 19.36137632740678 69.37496217664571)"/>
    <s v="[1063731, 1063739, 1063747, 1063755, 1063763, 1063771, 1063779, 1063787, 1063795, 1063803, 1063811, 1063819, 1063827, 1063835, 1063843, 1063851, 1063859, 1103697, 1103705, 1103713, 1103721, 1103729, 1103737, 1103745, 1103753, 1103761, 1103769, 1103777]"/>
    <s v="[781357, 781369, 1011767, 1011775, 1011784, 1011792, 1011796, 1011803, 1011811, 1011817, 1011824, 1011831, 1011840, 1011848, 1011855, 1011865, 1011874, 1045221, 1045227, 1045234, 1045244, 1045247, 1045254, 1045265, 1045273, 1045283, 1045291, 1017172]"/>
    <s v="#FIELD!"/>
    <s v="[1011753, 781357, 781369, 1011767, 1011775, 1011784, 1011792, 1011796, 1011803, 1011811, 1011817, 1011824, 1011831, 1011840, 1011848, 1011855, 1011865, 1011874, 1045221, 1045227, 1045234, 1045244, 1045247, 1045254, 1045265, 1045273, 1045283, 1045291]"/>
    <s v="[0.015, 0.047, 0.011, 0.006, 0.015, 0.031, 0.0, 0.072, 0.018, 0.012, 0.029, 0.096, 0.005, 0.025, 0.013, 0.023, 0.019, 0.009, 0.027, 0.019, 0.023, 0.013, 0.072, 0.076, 0.026, 0.013, 0.034, 0.008]"/>
    <s v="10155.76249828604"/>
    <s v="[-0.015, 0.047, 0.011, 0.006, -0.015, -0.031, -0.0, -0.072, -0.018, 0.012, 0.029, 0.096, 0.005, 0.025, -0.013, -0.023, -0.019, -0.009, 0.027, 0.019, 0.023, -0.013, -0.072, -0.076, -0.026, -0.013, 0.034, 0.008]"/>
  </r>
  <r>
    <x v="3001"/>
    <x v="3646"/>
    <x v="0"/>
    <n v="0"/>
    <m/>
    <n v="1064442"/>
    <n v="1012284"/>
    <s v="#FIELD!"/>
    <n v="1011782"/>
    <s v="0.021"/>
    <s v="20.712501525469193"/>
    <s v="#FIELD!"/>
  </r>
  <r>
    <x v="3001"/>
    <x v="3647"/>
    <x v="0"/>
    <n v="0"/>
    <s v="LINESTRING (18.98557932746409 69.6801096016936, 18.985381221046243 69.6801255997089, 18.98413136845985 69.680382960062, 18.983699725447572 69.68054394962832, 18.983599509140912 69.6805837414498)"/>
    <s v="[1063762, 1063770, 1063778, 1063786]"/>
    <s v="[1011783, 1011791, 1011795, 1011802]"/>
    <s v="0.049689237848938826"/>
    <s v="[1011782, 1011783, 1011791, 1011795]"/>
    <s v="[0.044, 0.047, 0.056, 0.057]"/>
    <s v="95.28441171411193"/>
    <s v="[0.044, 0.047, 0.056, 0.057]"/>
  </r>
  <r>
    <x v="3001"/>
    <x v="3621"/>
    <x v="0"/>
    <n v="0"/>
    <s v="LINESTRING (18.986135238122795 69.68011305873742, 18.985977410646697 69.68014530217509, 18.985814727052958 69.68015034425628, 18.985655722450687 69.68013095589576, 18.98557932746409 69.6801096016936)"/>
    <s v="[1064410, 1064418, 1064426, 1064434]"/>
    <s v="[1012369, 1012373, 1012379, 1011782]"/>
    <s v="0.046515614024027103"/>
    <s v="[1012360, 1012369, 1012373, 1012379]"/>
    <s v="[0.066, 0.059, 0.031, 0.016]"/>
    <s v="23.762234991165037"/>
    <s v="[0.066, 0.059, 0.031, 0.016]"/>
  </r>
  <r>
    <x v="3002"/>
    <x v="3648"/>
    <x v="0"/>
    <n v="0"/>
    <s v="LINESTRING (18.983599509140912 69.6805837414498, 18.9831203051535 69.68088595954067, 18.98311378597962 69.68089130024256, 18.98574751202924 69.6829855803485, 18.995154883948217 69.681870381285, 18.995167021962462 69.6818624954651, 19.02292457718856 69.66694942113814, 19.022930862646895 69.66694074185088, 19.024390024802035 69.66446525725436, 19.01859696101042 69.66215147671467, 19.018587420450814 69.66215142579021, 19.018109267249454 69.66214989296277)"/>
    <s v="[1063794, 1063802, 686042, 686050, 686058, 686066, 686074, 686082, 686090, 1063810, 1063818]"/>
    <s v="[1011810, 677735, 677736, 677746, 677755, 677766, 677777, 677784, 677795, 1011823, 1011830]"/>
    <s v="#FIELD!"/>
    <s v="[1011802, 1011810, 677735, 677736, 677746, 677755, 677766, 677777, 677784, 677795, 1011823]"/>
    <s v="[0.06, 1.253, 0.035, 0.047, 0.072, 0.002, 0.058, 0.052, 0.028, 7.936, 0.105]"/>
    <s v="3429.94122825504"/>
    <s v="[0.06, -1.253, 0.035, -0.047, -0.072, 0.002, 0.058, 0.052, -0.028, -7.936, -0.105]"/>
  </r>
  <r>
    <x v="3002"/>
    <x v="3649"/>
    <x v="0"/>
    <n v="0"/>
    <s v="LINESTRING (18.985485447053232 69.68054057754156, 18.985485447053232 69.68054057754156, 18.985477801332483 69.68044683202315, 18.98391014107196 69.68049589772477, 18.983599509140912 69.6805837414498)"/>
    <s v="[1080144, 1080152, 1064234, 1064242]"/>
    <s v="[1025220, 1012203, 1012204, 1011802]"/>
    <s v="0.035507414513204834"/>
    <s v="[1025219, 1025220, 1012203, 1012204]"/>
    <s v="[0.0, 0.02, 0.035, 0.058]"/>
    <s v="108.37570944934559"/>
    <s v="[0.0, 0.02, 0.035, 0.058]"/>
  </r>
  <r>
    <x v="3003"/>
    <x v="3650"/>
    <x v="0"/>
    <n v="0"/>
    <s v="LINESTRING (19.018109267249454 69.66214989296277, 19.017769582719232 69.66215381171544, 19.016511813636974 69.66227935485533, 19.01639357428054 69.66229931250757, 19.016303467649074 69.6623145200115)"/>
    <s v="[1063826, 1063834, 1063842, 1063850]"/>
    <s v="[1011839, 1011847, 1011854, 1011864]"/>
    <s v="#FIELD!"/>
    <s v="[1011830, 1011839, 1011847, 1011854]"/>
    <s v="[0.105, 0.084, 0.067, 0.062]"/>
    <s v="73.33152318441743"/>
    <s v="[-0.105, -0.084, -0.067, -0.062]"/>
  </r>
  <r>
    <x v="3003"/>
    <x v="3651"/>
    <x v="317"/>
    <n v="0"/>
    <s v="LINESTRING (19.018109267249454 69.66214989296277, 19.01784484532509 69.66217234717718, 19.01764872639823 69.66218899572594, 19.01710633021292 69.66282541630838, 19.018003596136356 69.66358337201096, 19.018128172487145 69.663752891239)"/>
    <s v="[1064178, 1064186, 1064194, 1064202, 1064210]"/>
    <s v="[1012158, 1012164, 1012169, 1012176, 1012181]"/>
    <s v="#FIELD!"/>
    <s v="[1011830, 1012158, 1012164, 1012169, 1012176]"/>
    <s v="[0.111, 0.108, 0.047, 0.006, 0.012]"/>
    <s v="213.64814468125235"/>
    <s v="[-0.111, -0.108, -0.047, 0.006, -0.012]"/>
  </r>
  <r>
    <x v="3004"/>
    <x v="3652"/>
    <x v="0"/>
    <n v="0"/>
    <s v="LINESTRING (19.016303467649074 69.6623145200115, 19.016239102754312 69.66234564215785, 19.016033943628624 69.6623861874654, 19.015751042218735 69.66237352866776, 19.015668062742318 69.66235269833626, 19.015572658756323 69.66230852373482, 19.015532882169545 69.66225256384449, 19.01556143320793 69.66219324268211)"/>
    <s v="[1104271, 1104279, 1104287, 1104297, 1104305, 1104313, 1104328]"/>
    <s v="[1006237, 1045692, 1024324, 1045699, 1045704, 1045712, 1011872]"/>
    <s v="#FIELD!"/>
    <s v="[1011864, 1006237, 1045692, 1024324, 1045699, 1045704, 1045712]"/>
    <s v="[0.781, 0.039, 0.025, 0.012, 0.005, 0.014, 0.568]"/>
    <s v="47.972501196967265"/>
    <s v="[0.781, -0.039, -0.025, -0.012, -0.005, 0.014, -0.568]"/>
  </r>
  <r>
    <x v="3004"/>
    <x v="3653"/>
    <x v="0"/>
    <n v="0"/>
    <m/>
    <n v="1104264"/>
    <n v="1011864"/>
    <s v="#FIELD!"/>
    <n v="1012215"/>
    <s v="0.006"/>
    <s v="20.496338728221527"/>
    <s v="#FIELD!"/>
  </r>
  <r>
    <x v="3005"/>
    <x v="3654"/>
    <x v="0"/>
    <n v="0"/>
    <m/>
    <n v="1104336"/>
    <n v="1012209"/>
    <s v="0.037"/>
    <n v="1011872"/>
    <s v="0.037"/>
    <s v="25.035105743142722"/>
    <s v="0.037"/>
  </r>
  <r>
    <x v="3005"/>
    <x v="3655"/>
    <x v="0"/>
    <n v="0"/>
    <s v="LINESTRING (19.01556143320793 69.66219324268211, 19.01554153301662 69.66208644376658, 19.015538454307748 69.66149991147618)"/>
    <s v="[1063858, 1063866]"/>
    <s v="[1011873, 1011880]"/>
    <s v="0.01222917323392716"/>
    <s v="[1011872, 1011873]"/>
    <s v="[0.008, 0.013]"/>
    <s v="77.43637453109216"/>
    <s v="[0.008, 0.013]"/>
  </r>
  <r>
    <x v="3006"/>
    <x v="3654"/>
    <x v="0"/>
    <n v="0"/>
    <s v="LINESTRING (19.015538454307748 69.66149991147618, 19.016007238660244 69.66204337403502, 19.016102546782054 69.66211679449493)"/>
    <s v="[1064235, 1064243]"/>
    <s v="[1012205, 1012209]"/>
    <s v="#FIELD!"/>
    <s v="[1011880, 1012205]"/>
    <s v="[0.003, 0.014]"/>
    <s v="72.27711582513375"/>
    <s v="[-0.003, 0.014]"/>
  </r>
  <r>
    <x v="3006"/>
    <x v="3656"/>
    <x v="318"/>
    <n v="0"/>
    <s v="LINESTRING (19.010206209385306 69.65570057619811, 19.01198507584902 69.65761433842823, 19.015430067578304 69.66134410775918, 19.015538454307748 69.66149991147618)"/>
    <s v="[1064211, 1064219, 1064227]"/>
    <s v="[1012183, 1012190, 1011880]"/>
    <s v="0.0017502684216184356"/>
    <s v="[1012182, 1012183, 1012190]"/>
    <s v="[0.009, 0.001, 0.022]"/>
    <s v="679.2379732264994"/>
    <s v="[0.009, -0.001, -0.022]"/>
  </r>
  <r>
    <x v="3007"/>
    <x v="3657"/>
    <x v="319"/>
    <s v="[0, 0, 0, 0, 0, 1, 0, 0, 0, 0, 0, 0, 0, 0, 0, 0, 0, 0, 0, 0, 0, 0, 0, 0, 0, 0, 0, 0, 0, 0, 0, 1, 0, 0, 0, 0, 0]"/>
    <s v="LINESTRING (19.280763873109507 69.41814994964979, 19.27907279262905 69.42073757226397, 19.278003859168166 69.42322553161578, 19.27622424554995 69.42506034880535, 19.264577409535605 69.43191867137492, 19.26107884503362 69.43355862045911, 19.26053390829094 69.43377121584206, 19.259047654524256 69.43430129406646, 19.257142026141043 69.43489574172945, 19.256891031447704 69.43497178830232, 19.2567530925966 69.4350133963183, 19.256161308385025 69.43518850015353, 19.25596559042632 69.43524697058696, 19.25235907383856 69.43632225524996, 19.250011238712784 69.43700200763945, 19.242453051498185 69.43933884834422, 19.238137021485546 69.4419787513622, 19.236346659032247 69.44547552075048, 19.2361340928901 69.44600987720003, 19.23550446365941 69.45355367182285, 19.235698641213563 69.45634267974049, 19.23613154308809 69.45832109748302, 19.238255056040256 69.46102011402925, 19.243727675194663 69.46744274880206, 19.246661772997836 69.470897883892, 19.246816687158642 69.47108026474496, 19.247050812316775 69.47135587789668, 19.247075071920673 69.4713843656898, 19.247115580413155 69.47143244258183, 19.247413972253884 69.471783589924, 19.25055920086832 69.47556119281354, 19.251532509214524 69.47709942776301, 19.251600258516095 69.47723176022514, 19.25222599287716 69.48352449136952, 19.251920244575878 69.48588568137932, 19.249676088721305 69.494612459983, 19.24937554596966 69.49518551321377, 19.249066519488128 69.49809596056008)"/>
    <s v="[1782187, 1782195, 1782203, 1782211, 1782219, 1782227, 1782275, 1782283, 1782291, 1782299, 1782307, 1782315, 1782323, 1782331, 1782339, 1782347, 1101585, 1101593, 1101601, 1101609, 1101617, 1101681, 1101689, 1101697, 1101705, 1101713, 1101721, 1101730, 1101292, 1101300, 1101308, 1101316, 1101324, 1101334, 1101859, 1101867, 1101875]"/>
    <s v="[1571978, 1043417, 1571990, 1571998, 1572005, 1572013, 1572047, 1043422, 1572060, 1572064, 1572073, 1572080, 1043526, 1572097, 1043401, 1043459, 1043460, 1043469, 1043475, 1043484, 1043488, 1043533, 1043542, 1043549, 1043558, 1043564, 1043229, 1043189, 1043246, 650910, 1043256, 1043263, 650939, 1043278, 1043673, 1043681, 1011888]"/>
    <s v="0.0003051087396063416"/>
    <s v="[1011881, 1571978, 1043417, 1571990, 1571998, 1572005, 1572013, 1572047, 1043422, 1572060, 1572064, 1572073, 1572080, 1043526, 1572097, 1043401, 1043459, 1043460, 1043469, 1043475, 1043484, 1043488, 1043533, 1043542, 1043549, 1043558, 1043564, 1043229, 1043189, 1043246, 650910, 1043256, 1043263, 650939, 1043278, 1043673, 1043681]"/>
    <s v="[0.058, 0.039, 0.105, 0.013, 0.126, 0.032, 0.058, 0.194, 0.159, 0.161, 0.16, 0.152, 0.11, 0.049, 0.035, 0.206, 0.004, 0.003, 0.004, 0.021, 0.007, 0.005, 0.001, 0.002, 0.007, 0.005, 0.013, 0.003, 0.002, 0.001, 0.018, 0.014, 0.005, 0.009, 0.008, 0.03, 0.039]"/>
    <s v="9598.640122540322"/>
    <s v="[0.058, 0.039, 0.105, 0.013, -0.126, 0.032, 0.058, 0.194, 0.159, 0.161, 0.16, 0.152, 0.11, 0.049, 0.035, -0.206, -0.004, 0.003, -0.004, -0.021, -0.007, 0.005, 0.001, -0.002, 0.007, 0.005, 0.013, 0.003, 0.002, 0.001, -0.018, -0.014, 0.005, -0.009, -0.008, -0.03, -0.039]"/>
  </r>
  <r>
    <x v="3007"/>
    <x v="3657"/>
    <x v="0"/>
    <s v="[0, 0, 0, 0, 1, 0, 0, 0, 0, 0, 0, 0, 0, 0, 0, 0, 0, 0, 0, 0, 0, 0, 0, 0, 0, 0, 0, 0, 0, 1, 0, 0, 0, 0, 0, 0, 0]"/>
    <s v="LINESTRING (19.280763873109507 69.41814994964979, 19.27919049011817 69.42074891573627, 19.276396052306843 69.42508361767466, 19.26472739293088 69.43195642652536, 19.261170527139406 69.43358656654125, 19.26062322438272 69.43380011888955, 19.259145596171763 69.43433747219021, 19.25737244678365 69.43491783708114, 19.257265907877475 69.43495033666547, 19.257154306782056 69.43498438007644, 19.25700950676641 69.43502812445715, 19.256871725735945 69.43506975565703, 19.25627919687814 69.43524432994953, 19.25015872203604 69.43704246074248, 19.23843853755423 69.44200491748629, 19.236544752851348 69.4454870568238, 19.236342333406768 69.44602096863213, 19.235688383325066 69.45355186956665, 19.235820060472992 69.45633638834582, 19.236313823058204 69.45830871356351, 19.24389778575607 69.46741649282869, 19.245418733348288 69.46926841764777, 19.246871284250883 69.47077844567525, 19.24694995508951 69.47086626347098, 19.247108753254167 69.4710479472236, 19.24734297509128 69.47132312634811, 19.247393335392307 69.47138241135683, 19.247692714846345 69.47173438790227, 19.25120273803355 69.47631254505265, 19.251652382317424 69.47709173662717, 19.25172018556998 69.4772243373323, 19.25243990926402 69.48280285962794, 19.252418475977 69.48297182467718, 19.252103346721878 69.48588390550741, 19.2512056780844 69.49249061705133, 19.249862309988984 69.49461594984707, 19.249503512013362 69.49518476344583, 19.249066519488128 69.49809596056008)"/>
    <s v="[1782235, 1782243, 1782251, 1782259, 1782267, 1101102, 1101122, 1101155, 1101159, 1101160, 1101167, 1101172, 1101173, 1101174, 1101625, 1101633, 1101641, 1101649, 1101657, 1101795, 1101803, 1101819, 1101827, 1101835, 1101843, 1101851, 1101353, 1101361, 1101369, 1101377, 1101385, 1101393, 1101401, 1101433, 1101441, 1101449, 1101457]"/>
    <s v="[1572018, 1572026, 1572031, 1572036, 1043079, 1043080, 1043094, 1043125, 1043129, 1043130, 1043136, 1043139, 1043140, 1043141, 1043492, 1043496, 1043502, 1043507, 1043513, 1043623, 1043628, 1043644, 1043651, 1043658, 1043665, 1043188, 1043297, 650918, 1043311, 1043315, 1043321, 1043327, 650949, 650959, 1043364, 1043370, 1011888]"/>
    <s v="0.0002476773843043084"/>
    <s v="[1011881, 1572018, 1572026, 1572031, 1572036, 1043079, 1043080, 1043094, 1043125, 1043129, 1043130, 1043136, 1043139, 1043140, 1043141, 1043492, 1043496, 1043502, 1043507, 1043513, 1043623, 1043628, 1043644, 1043651, 1043658, 1043665, 1043188, 1043297, 650918, 1043311, 1043315, 1043321, 1043327, 650949, 650959, 1043364, 1043370]"/>
    <s v="[0.058, 0.07, 0.012, 0.126, 0.343, 0.025, 0.006, 0.007, 0.015, 0.073, 0.048, 0.034, 0.025, 0.005, 0.002, 0.005, 0.004, 0.022, 0.008, 0.002, 0.002, 0.0, 0.008, 0.007, 0.004, 0.003, 0.002, 0.003, 0.012, 0.015, 0.007, 0.027, 0.009, 0.004, 0.024, 0.032, 0.041]"/>
    <s v="9593.436624812302"/>
    <s v="[0.058, 0.07, 0.012, -0.126, -0.343, 0.025, -0.006, -0.007, 0.015, 0.073, 0.048, 0.034, 0.025, 0.005, -0.002, 0.005, -0.004, -0.022, -0.008, 0.002, -0.002, -0.0, 0.008, 0.007, 0.004, 0.003, 0.002, -0.003, -0.012, -0.015, 0.007, 0.027, -0.009, -0.004, -0.024, -0.032, -0.041]"/>
  </r>
  <r>
    <x v="3007"/>
    <x v="3658"/>
    <x v="0"/>
    <s v="[0, 0, 0, 0, 0, 0, 0, 0, 0, 0, 1, 0, 0, 0, 0, 0, 0, 0, 0, 0, 0]"/>
    <s v="LINESTRING (19.35405845178302 69.37517088674738, 19.351807457983025 69.37501273128542, 19.323792504168246 69.3713416318178, 19.322487265385604 69.37134894835182, 19.301165621118223 69.37352765561211, 19.291782340425467 69.37539231757293, 19.286295530427573 69.37753052109122, 19.286213077745625 69.37758776561118, 19.286131518766226 69.37764527556136, 19.284643927259772 69.37979479249103, 19.285446331707153 69.38183442796435, 19.285520795968676 69.38195247073611, 19.286081184889003 69.38559034504478, 19.286027888182623 69.38565558527098, 19.285972938051735 69.38571982387718, 19.284490356299784 69.38715921346743, 19.281597186633682 69.38986384396534, 19.28150714100333 69.38996169467237, 19.27949563329471 69.39554268370627, 19.27953363542097 69.39566153892261, 19.279209881854023 69.3976396076223, 19.280763873109507 69.41814994964979)"/>
    <s v="[1103785, 1103793, 1103801, 1103809, 1103817, 1103825, 1103833, 1103841, 1103849, 1103857, 1103865, 1103873, 1103881, 1103889, 1103897, 1103905, 1103913, 1103921, 1103929, 1103937, 1063867]"/>
    <s v="[1045311, 1045322, 1045332, 1024605, 1045346, 1024774, 1045360, 1006846, 1008048, 1045377, 1045382, 1039152, 1045388, 1024760, 999555, 999715, 1008465, 1014347, 999670, 1008471, 1011881]"/>
    <s v="0.0035194690839333432"/>
    <s v="[1017215, 1045311, 1045322, 1045332, 1024605, 1045346, 1024774, 1045360, 1006846, 1008048, 1045377, 1045382, 1039152, 1045388, 1024760, 999555, 999715, 1008465, 1014347, 999670, 1008471]"/>
    <s v="[0.044, 0.007, 0.002, 0.004, 0.018, 0.001, 0.015, 0.02, 0.02, 0.019, 0.031, 0.031, 0.002, 0.011, 0.018, 0.012, 0.001, 0.004, 0.015, 0.001, 0.004]"/>
    <s v="7574.8507144626"/>
    <s v="[-0.044, -0.007, 0.002, 0.004, 0.018, -0.001, 0.015, 0.02, 0.02, 0.019, 0.031, 0.031, -0.002, -0.011, -0.018, -0.012, -0.001, 0.004, 0.015, 0.001, 0.004]"/>
  </r>
  <r>
    <x v="3008"/>
    <x v="3659"/>
    <x v="0"/>
    <s v="[0, 0, 0, 1, 0, 0, 0, 0, 0, 0, 0, 0, 0, 0, 0, 0, 0, 0, 0, 0, 0, 0, 0, 0, 0, 0, 0, 0, 0, 0, 0, 0, 0, 0, 0, 0, 0, 0, 0, 0, 0, 0, 0, 0, 0, 0, 0, 0, 0, 0, 0, 0, 0, 0, 0, 0, 0, 0, 0, 0, 0, 0, 0, 0, 0, 0, 0, 0, 0, 0, 0, 0, 0, 0, 0, 0, 0, 0]"/>
    <s v="LINESTRING (19.249066519488128 69.49809596056008, 19.249408816890014 69.50069255729196, 19.250386826990443 69.50255159032326, 19.252031853250788 69.51527273829764, 19.251901984569614 69.51545833017032, 19.251248557078632 69.51620318131144, 19.25066456748224 69.51675828665799, 19.25031851473893 69.51709562633098, 19.250215967050643 69.51721225371764, 19.25011086465864 69.517328943305, 19.248294437923846 69.52070087132907, 19.24688311167456 69.52181271899241, 19.236640769253697 69.52786252717056, 19.236330384559714 69.52803108275828, 19.236316661106184 69.52803865004886, 19.23507980358269 69.52872987085031, 19.231021575111306 69.53096376205197, 19.22826428051029 69.53240962684113, 19.22752516448269 69.53279608265454, 19.22668137876591 69.53324247463317, 19.221912504263436 69.53612478848386, 19.221213299353106 69.53663863130316, 19.220136795057616 69.53721103897772, 19.215335077365687 69.53918094544373, 19.21264298318053 69.54053366329242, 19.211988734933584 69.5409412483961, 19.211318240231126 69.54134212364504, 19.206244125096077 69.54366706283504, 19.202626865131105 69.54550179839141, 19.198832447226184 69.54729326213125, 19.198508340548283 69.54745371140628, 19.19849354119716 69.54746103147951, 19.197427720118068 69.54800278926886, 19.195370364499645 69.54937943136572, 19.195160046515895 69.54953350805904, 19.193950161756927 69.55044211863472, 19.191729972290464 69.55341441052205, 19.190794417183614 69.55413417200315, 19.18890087160345 69.55559128726718, 19.187919004859445 69.55631178091767, 19.185159493291533 69.55735326371342, 19.182786783943683 69.55875618565537, 19.182498395131198 69.55935705277236, 19.18243787514209 69.55953119083027, 19.182434914262185 69.5595400857722, 19.18186499422665 69.56118824550724, 19.181842492480122 69.56125707614027, 19.181817256179073 69.56132507366918, 19.18179864500939 69.56138752109464, 19.181666383357896 69.56175946378977, 19.181562920975768 69.56206979327801, 19.181454619183906 69.56304720669954, 19.182821987148778 69.56516399674871, 19.183322934468855 69.56579240721437, 19.183329441981105 69.5658010664117, 19.18017173619762 69.57184724257769, 19.174168918435015 69.57241757805598, 19.167576157595715 69.57181387175186, 19.16586614468333 69.57148286302122, 19.165744233819794 69.5714562160418, 19.161176440616078 69.57004888239065, 19.16067901325283 69.5698459740099, 19.158366676325542 69.5688829635579, 19.156392634234564 69.5680711020245, 19.155472807090348 69.56769294838107, 19.15459510498584 69.56733283803284, 19.154346017542952 69.56722913841283, 19.153158482103446 69.56673441855898, 19.15263640513544 69.56651795122237, 19.150731030554322 69.56572733312417, 19.14877858808443 69.56491912525468, 19.14780676701179 69.56451798280393, 19.1472556253002 69.56428873154528, 19.146337758600072 69.5639096811549, 19.146147542747958 69.56383063175167, 19.13678862702889 69.56305156567264, 19.135947290756757 69.56317586430195, 19.13581412518572 69.56319640423729, 19.13522307221527 69.5632838899113)"/>
    <s v="[1063875, 1063883, 1063891, 1063899, 1063907, 1063915, 1063923, 1063931, 1063939, 1063947, 1063955, 1063963, 1063971, 1063979, 1063987, 1063995, 1064003, 1064011, 1064019, 1064027, 1064035, 1064043, 1064051, 1064059, 1064067, 1064075, 1064083, 1064091, 1064099, 1064107, 1064115, 1064123, 1064131, 1064139, 1064147, 1064155, 1064163, 1064171, 1064179, 1064187, 1064195, 1064203, 1103945, 1103953, 1103961, 1103969, 1103977, 1103985, 1103993, 1104001, 1104009, 1104017, 1104025, 1104033, 1104041, 1104049, 1104061, 1104069, 1104077, 1104089, 1104107, 1104115, 1104130, 1104140, 1104141, 1104142, 1104143, 1104144, 1104147, 1104150, 1104158, 1104166, 1104174, 1104182, 1104189, 1104197, 1104201, 1104209]"/>
    <s v="[904367, 1011896, 1011905, 1011914, 1011921, 909781, 1006887, 1011945, 1011952, 909747, 909720, 909669, 1011980, 1011988, 904098, 1012002, 1012008, 904068, 909640, 909608, 1012036, 909600, 909580, 909574, 909566, 909558, 909550, 909541, 909520, 1012096, 1012105, 909492, 909467, 1012125, 909458, 909451, 1012145, 1012152, 909433, 920244, 1012170, 907615, 1045433, 1045441, 907606, 1018835, 1045466, 1026977, 1045481, 1045490, 1045498, 904394, 1045510, 1045518, 904496, 913765, 913801, 913820, 1045556, 904502, 904518, 1045588, 1045595, 913872, 913898, 913906, 1028545, 1045603, 1045606, 1045610, 913934, 913968, 1045625, 1045630, 914013, 1045642, 1045647, 1045653]"/>
    <s v="#FIELD!"/>
    <s v="[1011888, 904367, 1011896, 1011905, 1011914, 1011921, 909781, 1006887, 1011945, 1011952, 909747, 909720, 909669, 1011980, 1011988, 904098, 1012002, 1012008, 904068, 909640, 909608, 1012036, 909600, 909580, 909574, 909566, 909558, 909550, 909541, 909520, 1012096, 1012105, 909492, 909467, 1012125, 909458, 909451, 1012145, 1012152, 909433, 920244, 1012170, 907615, 1045433, 1045441, 907606, 1018835, 1045466, 1026977, 1045481, 1045490, 1045498, 904394, 1045510, 1045518, 904496, 913765, 913801, 913820, 1045556, 904502, 904518, 1045588, 1045595, 913872, 913898, 913906, 1028545, 1045603, 1045606, 1045610, 913934, 913968, 1045625, 1045630, 914013, 1045642, 1045647]"/>
    <s v="[0.014, 0.014, 0.014, 0.011, 0.016, 0.039, 0.048, 0.046, 0.053, 0.005, 0.0, 0.005, 0.029, 0.003, 0.002, 0.01, 0.013, 0.02, 0.059, 0.023, 0.017, 0.018, 0.016, 0.012, 0.013, 0.024, 0.021, 0.001, 0.003, 0.059, 0.073, 0.02, 0.017, 0.01, 0.008, 0.015, 0.025, 0.011, 0.023, 0.018, 0.015, 0.01, 0.003, 0.033, 0.011, 0.013, 0.011, 0.008, 0.009, 0.011, 0.013, 0.008, 0.009, 0.003, 0.007, 0.009, 0.0, 0.013, 0.885, 0.011, 0.024, 0.04, 0.019, 0.003, 0.013, 0.032, 0.035, 0.045, 0.054, 0.051, 0.005, 0.012, 0.018, 0.024, 0.02, 0.023, 0.021, 0.018]"/>
    <s v="11321.141515345229"/>
    <s v="[-0.014, -0.014, -0.014, -0.011, -0.016, -0.039, -0.048, -0.046, -0.053, -0.005, -0.0, 0.005, -0.029, 0.003, 0.002, 0.01, -0.013, 0.02, 0.059, 0.023, 0.017, -0.018, -0.016, 0.012, 0.013, 0.024, -0.021, -0.001, -0.003, -0.059, -0.073, -0.02, 0.017, 0.01, -0.008, 0.015, -0.025, 0.011, -0.023, -0.018, -0.015, -0.01, -0.003, -0.033, -0.011, -0.013, -0.011, -0.008, -0.009, -0.011, -0.013, -0.008, -0.009, -0.003, 0.007, -0.009, 0.0, 0.013, 0.885, 0.011, 0.024, 0.04, 0.019, -0.003, -0.013, 0.032, 0.035, 0.045, 0.054, 0.051, -0.005, -0.012, -0.018, -0.024, -0.02, 0.023, 0.021, 0.018]"/>
  </r>
  <r>
    <x v="3009"/>
    <x v="1004"/>
    <x v="0"/>
    <n v="0"/>
    <m/>
    <n v="1190840"/>
    <n v="1012151"/>
    <s v="#FIELD!"/>
    <n v="1012112"/>
    <s v="0.007"/>
    <s v="70.80713322767475"/>
    <s v="#FIELD!"/>
  </r>
  <r>
    <x v="3009"/>
    <x v="3660"/>
    <x v="0"/>
    <n v="0"/>
    <s v="LINESTRING (18.98234825405135 69.64749709904893, 18.982428378334923 69.64752123351234, 18.98366585383305 69.64778869769921)"/>
    <s v="[1064122, 1064130]"/>
    <s v="[1012113, 1012119]"/>
    <s v="0.0925617834445597"/>
    <s v="[1012112, 1012113]"/>
    <s v="[0.045, 0.096]"/>
    <s v="61.02473918725156"/>
    <s v="[0.045, 0.096]"/>
  </r>
  <r>
    <x v="3009"/>
    <x v="3661"/>
    <x v="0"/>
    <n v="0"/>
    <s v="LINESTRING (18.980901087539948 69.64337603126086, 18.98137116615659 69.64355327161476, 18.9816320296633 69.64369614766345, 18.982653286534436 69.64461482895209, 18.98248357839276 69.64713277663003, 18.98234825405135 69.64749709904893)"/>
    <s v="[1190800, 1190808, 1190816, 1190824, 1190832]"/>
    <s v="[1118729, 877887, 877416, 918963, 1012112]"/>
    <s v="#FIELD!"/>
    <s v="[1017397, 1118729, 877887, 877416, 918963]"/>
    <s v="[0.017, 0.01, 0.009, 0.016, 0.057]"/>
    <s v="479.40071008071055"/>
    <s v="[0.017, -0.01, 0.009, -0.016, -0.057]"/>
  </r>
  <r>
    <x v="3010"/>
    <x v="3662"/>
    <x v="0"/>
    <n v="0"/>
    <s v="LINESTRING (18.98366585383305 69.64778869769921, 18.984521768662486 69.6479635683842, 18.98561430483339 69.64815697967373)"/>
    <s v="[1064138, 1064146]"/>
    <s v="[918971, 1012132]"/>
    <s v="0.08568433977944455"/>
    <s v="[1012119, 918971]"/>
    <s v="[0.105, 0.07]"/>
    <s v="86.23222135320975"/>
    <s v="[0.105, 0.07]"/>
  </r>
  <r>
    <x v="3010"/>
    <x v="1004"/>
    <x v="0"/>
    <n v="0"/>
    <s v="LINESTRING (18.98366585383305 69.64778869769921, 18.98335807227164 69.64777431028831, 18.982246402239902 69.64799865549489, 18.982103672871304 69.64812614711579)"/>
    <s v="[1064154, 1064162, 1064170]"/>
    <s v="[1012138, 1012144, 1012151]"/>
    <s v="#FIELD!"/>
    <s v="[1012119, 1012138, 1012144]"/>
    <s v="[0.153, 0.073, 0.029]"/>
    <s v="80.37832935181977"/>
    <s v="[-0.153, -0.073, -0.029]"/>
  </r>
  <r>
    <x v="3011"/>
    <x v="1005"/>
    <x v="0"/>
    <n v="0"/>
    <s v="LINESTRING (19.007253393819433 69.65330865216652, 19.008066881583566 69.65390100297361, 19.00861762803607 69.65430604423699, 19.008668927834503 69.65434362936789, 19.008676776604954 69.65434937053257, 19.008747585295456 69.65439482900786, 19.008782654806975 69.65441783542006, 19.008841754398823 69.65445925813219, 19.008897952111965 69.65449966907049, 19.0094912662998 69.65505828198432, 19.009542155517817 69.6551076187301, 19.009586653188524 69.6551464912279, 19.010206209385306 69.65570057619811)"/>
    <s v="[1070478, 1070486, 1070494, 1070502, 1070510, 1070518, 1070526, 1070534, 1070542, 1070550, 1070558, 1070566]"/>
    <s v="[1017403, 1017408, 1017414, 1017420, 1017423, 1017316, 1017436, 1017442, 1017449, 1017453, 1017459, 1012182]"/>
    <s v="0.0030204376805710153"/>
    <s v="[1017402, 1017403, 1017408, 1017414, 1017420, 1017423, 1017316, 1017436, 1017442, 1017449, 1017453, 1017459]"/>
    <s v="[0.004, 0.004, 0.004, 0.004, 0.005, 0.004, 0.004, 0.004, 0.006, 0.007, 0.009, 0.003]"/>
    <s v="290.6672798729392"/>
    <s v="[0.004, 0.004, 0.004, 0.004, 0.005, 0.004, 0.004, 0.004, 0.006, 0.007, 0.009, -0.003]"/>
  </r>
  <r>
    <x v="3011"/>
    <x v="1005"/>
    <x v="0"/>
    <n v="0"/>
    <s v="LINESTRING (19.007253393819433 69.65330865216652, 19.008041981758886 69.65373588485352, 19.008166308621586 69.6538178538382, 19.00824556358703 69.65387059425659, 19.008821554872494 69.65426998169907, 19.008868620417786 69.65430811280403, 19.008885932347827 69.65432212769831, 19.008947842676026 69.6543628482247, 19.008995412423754 69.65439599050225, 19.00904864455959 69.6544291739953, 19.00910038458982 69.65447099850368, 19.009692642689878 69.65503903250291, 19.010206209385306 69.65570057619811)"/>
    <s v="[1070516, 1070524, 1070532, 1070540, 1070548, 1070556, 1070564, 1070572, 1070580, 1070588, 1070596, 1070604]"/>
    <s v="[1017429, 1017435, 1017440, 1017447, 1017452, 1017458, 1017464, 1017469, 1017474, 1017479, 1017484, 1012182]"/>
    <s v="0.003101273134725224"/>
    <s v="[1017402, 1017429, 1017435, 1017440, 1017447, 1017452, 1017458, 1017464, 1017469, 1017474, 1017479, 1017484]"/>
    <s v="[0.005, 0.005, 0.005, 0.004, 0.004, 0.005, 0.004, 0.005, 0.004, 0.004, 0.008, 0.004]"/>
    <s v="292.2497160851693"/>
    <s v="[0.005, 0.005, 0.005, 0.004, 0.004, 0.005, 0.004, 0.005, 0.004, 0.004, 0.008, -0.004]"/>
  </r>
  <r>
    <x v="3012"/>
    <x v="3663"/>
    <x v="0"/>
    <n v="0"/>
    <s v="LINESTRING (18.983861551157197 69.68032262069761, 18.984184420469095 69.68017818674586, 18.98361820836284 69.67906351691951, 18.983308675385793 69.67891551403146)"/>
    <s v="[1064218, 1064226, 1080120]"/>
    <s v="[1012189, 1012197, 1017519]"/>
    <s v="#FIELD!"/>
    <s v="[1012188, 1012189, 1012197]"/>
    <s v="[0.051, 0.017, 0.012]"/>
    <s v="202.14234630379204"/>
    <s v="[-0.051, -0.017, -0.012]"/>
  </r>
  <r>
    <x v="3012"/>
    <x v="3646"/>
    <x v="0"/>
    <n v="0"/>
    <s v="LINESTRING (18.983861551157197 69.68032262069761, 18.98402241253626 69.68027513636596, 18.985317836304517 69.6799828631355, 18.98553779756113 69.67993544583481)"/>
    <s v="[1064307, 1064315, 1064323]"/>
    <s v="[1012270, 1012278, 1012284]"/>
    <s v="#FIELD!"/>
    <s v="[1012188, 1012270, 1012278]"/>
    <s v="[0.053, 0.049, 0.044]"/>
    <s v="78.1703192523095"/>
    <s v="[-0.053, -0.049, -0.044]"/>
  </r>
  <r>
    <x v="3012"/>
    <x v="3653"/>
    <x v="0"/>
    <n v="0"/>
    <s v="LINESTRING (19.016220742675195 69.66214355639718, 19.016410755150336 69.66211988880993, 19.0179629624972 69.66205926884871, 19.0181966865041 69.66205407585333, 19.018540017667195 69.66205087228998, 19.018592903280016 69.66205094526954, 19.024782886626742 69.66365927499935, 19.024028419225694 69.66624780443112, 19.024022737903465 69.66625653280235, 18.996188862318675 69.68164387456882, 18.996176805407092 69.68165177659118, 18.984986171529155 69.68306972492525, 18.982766816198424 69.68084466765838, 18.98348876624794 69.68044356163404, 18.983861551157197 69.68032262069761)"/>
    <s v="[1064251, 1064259, 1064267, 1064275, 1064283, 786725, 786733, 786741, 786749, 786757, 786765, 786773, 1064291, 1064299]"/>
    <s v="[1012216, 1012222, 1012231, 1012238, 766697, 766698, 766704, 766714, 766721, 766729, 766736, 766744, 1012252, 1012188]"/>
    <s v="0.0026796622774455576"/>
    <s v="[1012215, 1012216, 1012222, 1012231, 1012238, 766697, 766698, 766704, 766714, 766721, 766729, 766736, 766744, 1012252]"/>
    <s v="[0.072, 0.088, 0.113, 0.105, 1.502, 0.059, 0.061, 0.072, 0.006, 0.047, 0.044, 0.04, 0.036, 0.057]"/>
    <s v="3650.978584169454"/>
    <s v="[0.072, 0.088, 0.113, 0.105, 1.502, 0.059, -0.061, -0.072, -0.006, 0.047, 0.044, -0.04, -0.036, -0.057]"/>
  </r>
  <r>
    <x v="3013"/>
    <x v="3653"/>
    <x v="0"/>
    <n v="0"/>
    <m/>
    <n v="1104257"/>
    <n v="1012215"/>
    <s v="0.053"/>
    <n v="1012209"/>
    <s v="0.053"/>
    <s v="5.472001462148145"/>
    <s v="0.053"/>
  </r>
  <r>
    <x v="3014"/>
    <x v="3664"/>
    <x v="0"/>
    <n v="0"/>
    <s v="LINESTRING (18.978949827473475 69.64308470079939, 18.97901819977562 69.64306838773648, 18.97925409720177 69.64306144147619, 18.979452793833325 69.6430910510485, 18.979505408758484 69.64311253195224)"/>
    <s v="[1064266, 1064274, 1064282, 1064290]"/>
    <s v="[1012230, 1012237, 1012243, 1012251]"/>
    <s v="0.012077005911512036"/>
    <s v="[1012229, 1012230, 1012237, 1012243]"/>
    <s v="[0.022, 0.02, 0.006, 0.005]"/>
    <s v="23.95505883626146"/>
    <s v="[0.022, 0.02, 0.006, -0.005]"/>
  </r>
  <r>
    <x v="3014"/>
    <x v="3665"/>
    <x v="0"/>
    <n v="0"/>
    <s v="LINESTRING (18.978877809474067 69.64330087387759, 18.978775933202897 69.64317992628465, 18.978949827473475 69.64308470079939)"/>
    <s v="[1064346, 1064354]"/>
    <s v="[1012313, 1012229]"/>
    <s v="0.019309101178277426"/>
    <s v="[1012303, 1012313]"/>
    <s v="[0.016, 0.023]"/>
    <s v="27.24333589469529"/>
    <s v="[0.016, 0.023]"/>
  </r>
  <r>
    <x v="3014"/>
    <x v="3666"/>
    <x v="0"/>
    <n v="0"/>
    <s v="LINESTRING (18.977464317902726 69.64301896881337, 18.97871345552219 69.64308746188752, 18.978949827473475 69.64308470079939)"/>
    <s v="[2024783, 2024790]"/>
    <s v="[1768152, 1012229]"/>
    <s v="#FIELD!"/>
    <s v="[1118721, 1768152]"/>
    <s v="[0.021, 0.119]"/>
    <s v="58.558046745651325"/>
    <s v="[0.021, -0.119]"/>
  </r>
  <r>
    <x v="3015"/>
    <x v="3667"/>
    <x v="0"/>
    <n v="0"/>
    <s v="LINESTRING (18.979505408758484 69.64311253195224, 18.979595108697396 69.6432163985879, 18.97947082048815 69.64330780315477)"/>
    <s v="[1064298, 1064306]"/>
    <s v="[1012260, 1012269]"/>
    <s v="#FIELD!"/>
    <s v="[1012251, 1012260]"/>
    <s v="[0.022, 0.028]"/>
    <s v="23.619214859877562"/>
    <s v="[-0.022, -0.028]"/>
  </r>
  <r>
    <x v="3015"/>
    <x v="3661"/>
    <x v="0"/>
    <n v="0"/>
    <s v="LINESTRING (18.979505408758484 69.64311253195224, 18.97971118078454 69.6431370663318, 18.98075565642066 69.64331933939116, 18.980901087539948 69.64337603126086)"/>
    <s v="[1070492, 1070500, 1070508]"/>
    <s v="[1017413, 1017418, 1017397]"/>
    <s v="0.09701527174990386"/>
    <s v="[1012251, 1017413, 1017418]"/>
    <s v="[0.377, 0.06, 0.018]"/>
    <s v="62.71742018633313"/>
    <s v="[0.377, 0.06, 0.018]"/>
  </r>
  <r>
    <x v="3016"/>
    <x v="3665"/>
    <x v="0"/>
    <n v="0"/>
    <s v="LINESTRING (18.97947082048815 69.64330780315477, 18.97941153016153 69.64332397305397, 18.979190735179458 69.6433472239281, 18.978932910199205 69.64331812993785, 18.978877809474067 69.64330087387759)"/>
    <s v="[1064314, 1064322, 1064330, 1064338]"/>
    <s v="[1012277, 1012283, 1012294, 1012303]"/>
    <s v="#FIELD!"/>
    <s v="[1012269, 1012277, 1012283, 1012294]"/>
    <s v="[0.018, 0.019, 0.003, 0.008]"/>
    <s v="25.286261976256515"/>
    <s v="[-0.018, -0.019, -0.003, 0.008]"/>
  </r>
  <r>
    <x v="3016"/>
    <x v="3661"/>
    <x v="0"/>
    <n v="0"/>
    <s v="LINESTRING (18.97947082048815 69.64330780315477, 18.97967043771398 69.6432967210165, 18.980713611659247 69.64335675154479, 18.980901087539948 69.64337603126086)"/>
    <s v="[1070454, 1070462, 1070470]"/>
    <s v="[1017386, 1017391, 1017397]"/>
    <s v="0.11584067468057971"/>
    <s v="[1012269, 1017386, 1017391]"/>
    <s v="[0.414, 0.07, 0.062]"/>
    <s v="57.582967658444225"/>
    <s v="[0.414, 0.07, 0.062]"/>
  </r>
  <r>
    <x v="3017"/>
    <x v="3668"/>
    <x v="0"/>
    <n v="0"/>
    <m/>
    <n v="1064362"/>
    <n v="1012328"/>
    <s v="#FIELD!"/>
    <n v="1012284"/>
    <s v="0.045"/>
    <s v="6.143232048298328"/>
    <s v="#FIELD!"/>
  </r>
  <r>
    <x v="3018"/>
    <x v="3666"/>
    <x v="0"/>
    <n v="0"/>
    <s v="LINESTRING (18.977464317902726 69.64301896881337, 18.978667059800934 69.64324618441218, 18.978877809474067 69.64330087387759)"/>
    <s v="[2024758, 2024782]"/>
    <s v="[1768137, 1012303]"/>
    <s v="#FIELD!"/>
    <s v="[1118721, 1768137]"/>
    <s v="[0.017, 0.148]"/>
    <s v="63.44742699798713"/>
    <s v="[0.017, -0.148]"/>
  </r>
  <r>
    <x v="3019"/>
    <x v="3622"/>
    <x v="0"/>
    <n v="0"/>
    <s v="LINESTRING (18.985652955064737 69.6798976133981, 18.985834175333487 69.67987705728403, 18.986051528889213 69.67989332350506)"/>
    <s v="[1064370, 1064378]"/>
    <s v="[1012334, 1012342]"/>
    <s v="#FIELD!"/>
    <s v="[1012328, 1012334]"/>
    <s v="[0.051, 0.052]"/>
    <s v="16.009541707881148"/>
    <s v="[-0.051, -0.052]"/>
  </r>
  <r>
    <x v="3019"/>
    <x v="3663"/>
    <x v="0"/>
    <n v="0"/>
    <s v="LINESTRING (18.985652955064737 69.6798976133981, 18.98562356241721 69.67985525629283, 18.985214875806374 69.67954460588773, 18.98493364567166 69.6794346481044, 18.983308675385793 69.67891551403146)"/>
    <s v="[1070612, 1070620, 1070628, 1070636]"/>
    <s v="[1017497, 1017504, 1017511, 1017519]"/>
    <s v="0.00026243555033424887"/>
    <s v="[1012328, 1017497, 1017504, 1017511]"/>
    <s v="[0.146, 0.008, 0.007, 0.011]"/>
    <s v="145.3873810126722"/>
    <s v="[-0.146, -0.008, 0.007, 0.011]"/>
  </r>
  <r>
    <x v="3020"/>
    <x v="3669"/>
    <x v="0"/>
    <n v="0"/>
    <s v="LINESTRING (18.986051528889213 69.67989332350506, 18.986016313303185 69.67983608635839, 18.985570745407955 69.6795469465497, 18.985286645707856 69.67942860946378, 18.985120534005894 69.67937137964358)"/>
    <s v="[1070574, 1070582, 1070590, 1070598]"/>
    <s v="[1017470, 1017475, 1017480, 1017485]"/>
    <s v="#FIELD!"/>
    <s v="[1012342, 1017470, 1017475, 1017480]"/>
    <s v="[0.095, 0.004, 0.005, 0.01]"/>
    <s v="69.37499487145162"/>
    <s v="[-0.095, -0.004, 0.005, 0.01]"/>
  </r>
  <r>
    <x v="3021"/>
    <x v="3670"/>
    <x v="0"/>
    <n v="0"/>
    <s v="LINESTRING (18.986135238122795 69.68011305873742, 18.986353916006692 69.6800882374733, 18.98670148241285 69.68006974193665, 18.988846817167225 69.68049032665583, 18.989288996133965 69.68062757987967, 18.989560825709933 69.6807118260613, 18.994818458082342 69.68234032490122, 18.995934476852717 69.68256767271481, 18.99609596932665 69.68259859417519)"/>
    <s v="[1079311, 1079319, 1319342, 1319343, 1319352, 1319360, 1319387, 1319388]"/>
    <s v="[1024477, 1024482, 1226558, 1226559, 1226568, 1226576, 1226595, 1226474]"/>
    <s v="#FIELD!"/>
    <s v="[1012360, 1024477, 1024482, 1226558, 1226559, 1226568, 1226576, 1226595]"/>
    <s v="[0.097, 0.049, 0.014, 0.023, 0.025, 0.01, 0.003, 0.003]"/>
    <s v="487.2427049765177"/>
    <s v="[-0.097, -0.049, -0.014, -0.023, -0.025, 0.01, -0.003, -0.003]"/>
  </r>
  <r>
    <x v="3022"/>
    <x v="3671"/>
    <x v="0"/>
    <n v="0"/>
    <s v="LINESTRING (18.980536599418272 69.67788584488744, 18.980691338243414 69.67782701171541, 18.980881667646827 69.67780699951648)"/>
    <s v="[1064474, 1064482]"/>
    <s v="[1012420, 1012426]"/>
    <s v="#FIELD!"/>
    <s v="[1012412, 1012420]"/>
    <s v="[0.054, 0.047]"/>
    <s v="16.60113466649336"/>
    <s v="[-0.054, -0.047]"/>
  </r>
  <r>
    <x v="3022"/>
    <x v="3672"/>
    <x v="320"/>
    <n v="0"/>
    <s v="LINESTRING (18.980536599418272 69.67788584488744, 18.98045028743079 69.67783183220783, 18.979090209347476 69.67694336092504, 18.978448436334492 69.67649146275991)"/>
    <s v="[1070676, 1070684, 1070692]"/>
    <s v="[1017551, 1017557, 1017563]"/>
    <s v="#FIELD!"/>
    <s v="[1012412, 1017551, 1017557]"/>
    <s v="[0.062, 0.013, 0.008]"/>
    <s v="175.36781133875408"/>
    <s v="[0.062, -0.013, -0.008]"/>
  </r>
  <r>
    <x v="3022"/>
    <x v="3673"/>
    <x v="0"/>
    <n v="0"/>
    <s v="LINESTRING (18.98093110709454 69.67807953973157, 18.980781921147685 69.67807323891644, 18.980602330731397 69.67803440476372, 18.98049967671953 69.67793781924297, 18.980536599418272 69.67788584488744)"/>
    <s v="[1064538, 1064450, 1064458, 1064466]"/>
    <s v="[1012398, 1012399, 1012406, 1012412]"/>
    <s v="#FIELD!"/>
    <s v="[1012469, 1012398, 1012399, 1012406]"/>
    <s v="[0.031, 0.013, 0.021, 0.046]"/>
    <s v="31.697356711439326"/>
    <s v="[0.031, 0.013, -0.021, -0.046]"/>
  </r>
  <r>
    <x v="3023"/>
    <x v="3674"/>
    <x v="0"/>
    <n v="0"/>
    <s v="LINESTRING (18.980881667646827 69.67780699951648, 18.98103006709626 69.67781600426837, 18.98118829738011 69.67785410069001, 18.98128421964709 69.67793409238978, 18.9812607318753 69.6779918083994)"/>
    <s v="[1064490, 1064498, 1064506, 1064514]"/>
    <s v="[1012434, 1012443, 1012452, 1012457]"/>
    <s v="0.00798138229687779"/>
    <s v="[1012426, 1012434, 1012443, 1012452]"/>
    <s v="[0.03, 0.014, 0.023, 0.045]"/>
    <s v="29.472278876287774"/>
    <s v="[-0.03, -0.014, 0.023, 0.045]"/>
  </r>
  <r>
    <x v="3023"/>
    <x v="3675"/>
    <x v="0"/>
    <n v="0"/>
    <s v="LINESTRING (18.980881667646827 69.67780699951648, 18.980773197839884 69.67776259038354, 18.979307418335914 69.67689019185583)"/>
    <s v="[1070646, 1070654]"/>
    <s v="[1017526, 1017534]"/>
    <s v="#FIELD!"/>
    <s v="[1012426, 1017526]"/>
    <s v="[0.071, 0.01]"/>
    <s v="119.60776417288608"/>
    <s v="[0.071, -0.01]"/>
  </r>
  <r>
    <x v="3024"/>
    <x v="3673"/>
    <x v="0"/>
    <n v="0"/>
    <s v="LINESTRING (18.9812607318753 69.6779918083994, 18.98113998700473 69.67804970025733, 18.98093110709454 69.67807953973157)"/>
    <s v="[1064522, 1064530]"/>
    <s v="[1012465, 1012469]"/>
    <s v="0.050336877657422265"/>
    <s v="[1012457, 1012465]"/>
    <s v="[0.054, 0.047]"/>
    <s v="16.731705092187514"/>
    <s v="[0.054, 0.047]"/>
  </r>
  <r>
    <x v="3024"/>
    <x v="3669"/>
    <x v="0"/>
    <n v="0"/>
    <s v="LINESTRING (18.985120534005894 69.67937137964358, 18.98358533763827 69.67887743126616, 18.981931299620562 69.67829752201628, 18.98153984426232 69.67813226616882, 18.981341513799894 69.6780324611946, 18.9812607318753 69.6779918083994)"/>
    <s v="[1070606, 1070614, 1070622, 1070630, 1070638]"/>
    <s v="[1017491, 1017498, 1017506, 1017513, 1012457]"/>
    <s v="0.005516896035725481"/>
    <s v="[1017485, 1017491, 1017498, 1017506, 1017513]"/>
    <s v="[0.01, 0.006, 0.0, 0.0, 0.031]"/>
    <s v="215.13916474454118"/>
    <s v="[0.01, 0.006, -0.0, 0.0, -0.031]"/>
  </r>
  <r>
    <x v="3025"/>
    <x v="3663"/>
    <x v="0"/>
    <n v="0"/>
    <s v="LINESTRING (18.983308675385793 69.67891551403146, 18.981743814987052 69.67835623673824, 18.98130037718033 69.67819357918886, 18.981036350643752 69.67811267519318, 18.98093110709454 69.67807953973157)"/>
    <s v="[1070644, 1070652, 1070660, 1070668]"/>
    <s v="[1017525, 1017532, 1017539, 1012469]"/>
    <s v="0.004447198696718812"/>
    <s v="[1017519, 1017525, 1017532, 1017539]"/>
    <s v="[0.005, 0.005, 0.013, 0.028]"/>
    <s v="131.1683102681091"/>
    <s v="[0.005, 0.005, 0.013, -0.028]"/>
  </r>
  <r>
    <x v="3026"/>
    <x v="3676"/>
    <x v="0"/>
    <s v="[0, 0, 0, 0, 0, 0, 0, 0, 0, 1, 0, 0, 0]"/>
    <s v="LINESTRING (16.64880557036766 68.57697138850216, 16.64720081471628 68.57731331096507, 16.646438815026738 68.5774928472326, 16.645706183373992 68.57766808258287, 16.645645061835435 68.57768298061536, 16.645517297465197 68.5777144633865, 16.645411249817787 68.57774088920148, 16.64532263475409 68.57776139386834, 16.64473629005752 68.57790962630307, 16.64452280242398 68.57796228410967, 16.64394501140889 68.57811117475256, 16.64331100089807 68.57828543609953, 16.643210005983523 68.57831323760544, 16.643057831592454 68.57838021435761)"/>
    <s v="[1070686, 1070694, 1070702, 1070710, 1070718, 1070726, 1070734, 1070742, 1070750, 1070758, 1070766, 1070774, 1070782]"/>
    <s v="[1017559, 1017566, 1017575, 1017583, 1017592, 1017599, 1017605, 1017611, 1017619, 1017626, 1017633, 1017639, 1012617]"/>
    <s v="0.027286404135781324"/>
    <s v="[1012611, 1017559, 1017566, 1017575, 1017583, 1017592, 1017599, 1017605, 1017611, 1017619, 1017626, 1017633, 1017639]"/>
    <s v="[0.049, 0.037, 0.038, 0.022, 0.034, 0.042, 0.033, 0.036, 0.032, 0.026, 0.019, 0.005, 0.22]"/>
    <s v="282.9265545461152"/>
    <s v="[0.049, 0.037, 0.038, 0.022, 0.034, 0.042, 0.033, 0.036, 0.032, 0.026, 0.019, 0.005, -0.22]"/>
  </r>
  <r>
    <x v="3026"/>
    <x v="3676"/>
    <x v="0"/>
    <s v="[0, 0, 0, 0, 0, 0, 0, 0, 1, 0, 0]"/>
    <s v="LINESTRING (16.64880557036766 68.57697138850216, 16.647440457962166 68.57733514349773, 16.6473041945911 68.57736947404707, 16.646542855434667 68.57755335544681, 16.64580651593985 68.57772991937792, 16.645636644162675 68.57776918846146, 16.645436913775452 68.57781830381556, 16.644844818400376 68.57796509461339, 16.64463073177833 68.57801963343191, 16.644039235546607 68.57816334723077, 16.643379784593204 68.57832431049408, 16.643057831592454 68.57838021435761)"/>
    <s v="[1070732, 1070740, 1070748, 1070756, 1070764, 1070772, 1070780, 1070788, 1070796, 1070804, 1070812]"/>
    <s v="[1017604, 1017610, 1017618, 1017625, 1017632, 1017638, 1017644, 1017647, 1017654, 1017661, 1012617]"/>
    <s v="0.02744854418961743"/>
    <s v="[1012611, 1017604, 1017610, 1017618, 1017625, 1017632, 1017638, 1017644, 1017647, 1017654, 1017661]"/>
    <s v="[0.059, 0.031, 0.037, 0.037, 0.035, 0.036, 0.036, 0.031, 0.025, 0.014, 0.167]"/>
    <s v="282.3951671546956"/>
    <s v="[0.059, 0.031, 0.037, 0.037, 0.035, 0.036, 0.036, 0.031, 0.025, 0.014, -0.167]"/>
  </r>
  <r>
    <x v="3027"/>
    <x v="3677"/>
    <x v="0"/>
    <s v="[0, 0, 0, 0, 0, 0, 0, 0, 1, 0, 0]"/>
    <s v="LINESTRING (16.643057831592454 68.57838021435761, 16.634651972951485 68.58075020645441, 16.592046223352906 68.5942330785598, 16.591806480982143 68.59433119308952, 16.59054769963254 68.59486700428074, 16.59040582743181 68.5949261006672, 16.590341534687372 68.59495287677858, 16.590293345231558 68.59497295183253, 16.583751625565817 68.59711164636437, 16.583681153441063 68.59714120515639, 16.573988895293997 68.60063983569792, 16.57104541075476 68.60167617942325)"/>
    <s v="[1064714, 1064722, 1064730, 1064738, 1064746, 1064754, 1064762, 1064770, 1064778, 1064786, 1064794]"/>
    <s v="[1012618, 1012623, 779643, 779658, 1012640, 1012645, 1012650, 1012657, 1012663, 1012668, 1012673]"/>
    <s v="0.005131233999417335"/>
    <s v="[1012617, 1012618, 1012623, 779643, 779658, 1012640, 1012645, 1012650, 1012657, 1012663, 1012668]"/>
    <s v="[0.018, 0.011, 0.039, 0.047, 0.031, 0.0, 0.023, 0.019, 0.024, 0.0, 0.065]"/>
    <s v="3932.0248282497123"/>
    <s v="[0.018, 0.011, 0.039, 0.047, 0.031, -0.0, 0.023, -0.019, 0.024, -0.0, -0.065]"/>
  </r>
  <r>
    <x v="3028"/>
    <x v="3678"/>
    <x v="0"/>
    <n v="0"/>
    <s v="LINESTRING (16.57104541075476 68.60167617942325, 16.570063933479926 68.6021227171473, 16.569426784640644 68.60255137384142, 16.569411915405965 68.60256500494772, 16.569365946729576 68.60260716689483, 16.56932349565695 68.60264939474516, 16.569284347285617 68.6026872049331, 16.56877782773888 68.60347797322652, 16.568758539584785 68.60353634859, 16.56877627939688 68.60361693262443)"/>
    <s v="[1070790, 1070798, 1070806, 1070814, 1070822, 1070830, 1070838, 1070846, 1070854]"/>
    <s v="[1017648, 1006650, 1017662, 1017666, 1017674, 1017679, 1017687, 1017693, 1012680]"/>
    <s v="#FIELD!"/>
    <s v="[1012673, 1017648, 1006650, 1017662, 1017666, 1017674, 1017679, 1017687, 1017693]"/>
    <s v="[0.096, 0.084, 0.099, 0.064, 0.08, 0.074, 0.055, 0.04, 0.295]"/>
    <s v="240.95096354698825"/>
    <s v="[-0.096, -0.084, -0.099, -0.064, -0.08, -0.074, -0.055, -0.04, -0.295]"/>
  </r>
  <r>
    <x v="3028"/>
    <x v="3678"/>
    <x v="0"/>
    <n v="0"/>
    <s v="LINESTRING (16.57104541075476 68.60167617942325, 16.57026742619615 68.60211222627278, 16.570206423711433 68.60214980079945, 16.569580647892032 68.60258578916962, 16.569532693168302 68.60262308039476, 16.569446283755873 68.60270564833054, 16.568864606881704 68.60348294260633, 16.56877627939688 68.60361693262443)"/>
    <s v="[1070820, 1070828, 1070836, 1070844, 1070852, 1070860, 1070868]"/>
    <s v="[1017672, 1017678, 1017685, 1006668, 1017698, 1017702, 1012680]"/>
    <s v="#FIELD!"/>
    <s v="[1012673, 1017672, 1017678, 1017685, 1006668, 1017698, 1017702]"/>
    <s v="[0.083, 0.069, 0.081, 0.084, 0.067, 0.062, 0.233]"/>
    <s v="237.6637579329709"/>
    <s v="[-0.083, -0.069, -0.081, -0.084, -0.067, -0.062, -0.233]"/>
  </r>
  <r>
    <x v="3029"/>
    <x v="3679"/>
    <x v="0"/>
    <s v="[0, 0, 0, 0, 1, 0, 1, 0, 0, 0]"/>
    <s v="LINESTRING (16.56877627939688 68.60361693262443, 16.569215868760807 68.6050186074157, 16.568749890178367 68.6063072453037, 16.567176089532108 68.60820628457756, 16.575282681717038 68.61598512856725, 16.575309568097598 68.61600955692566, 16.578922284922754 68.61816332722657, 16.578986917749056 68.61819687504175, 16.58035869642087 68.61895987342879, 16.581373514579337 68.61954893092768, 16.58224522886918 68.62004816982247)"/>
    <s v="[1064802, 1064810, 1064818, 1064826, 1064834, 1064842, 1064850, 1064858, 1064866, 1064874]"/>
    <s v="[912261, 1012687, 920732, 1012698, 1012703, 1012710, 1012716, 1012720, 1012726, 1012732]"/>
    <s v="#FIELD!"/>
    <s v="[1012680, 912261, 1012687, 920732, 1012698, 1012703, 1012710, 1012716, 1012720, 1012726]"/>
    <s v="[0.011, 0.061, 0.0, 0.016, 0.012, 0.007, 0.028, 0.016, 0.007, 0.002]"/>
    <s v="2004.0372282317373"/>
    <s v="[-0.011, -0.061, -0.0, -0.016, -0.012, 0.007, 0.028, 0.016, 0.007, -0.002]"/>
  </r>
  <r>
    <x v="3030"/>
    <x v="3680"/>
    <x v="0"/>
    <s v="[0, 0, 1, 0, 0, 0, 0, 0]"/>
    <s v="LINESTRING (16.58224522886918 68.62004816982247, 16.583397843048264 68.62077150382297, 16.583656709883563 68.6209221653757, 16.583790111977113 68.62100075563478, 16.584822107340635 68.62160098983347, 16.584864480852524 68.62162581845124, 16.584939863457258 68.62166960683103, 16.585028517824284 68.62172026792365, 16.586352692200382 68.62243447915252)"/>
    <s v="[1070862, 1070870, 1070878, 1070886, 1070894, 1070902, 1070910, 1070918]"/>
    <s v="[1017703, 1017709, 1017715, 1017721, 1017726, 1017731, 1017736, 1012738]"/>
    <s v="0.019625359855683085"/>
    <s v="[1012732, 1017703, 1017709, 1017715, 1017721, 1017726, 1017731, 1017736]"/>
    <s v="[0.019, 0.01, 0.005, 0.015, 0.002, 0.016, 0.011, 0.029]"/>
    <s v="314.342933575374"/>
    <s v="[0.019, 0.01, 0.005, 0.015, 0.002, 0.016, 0.011, 0.029]"/>
  </r>
  <r>
    <x v="3030"/>
    <x v="3680"/>
    <x v="0"/>
    <s v="[0, 0, 0, 1, 0, 0, 0, 0]"/>
    <s v="LINESTRING (16.58224522886918 68.62004816982247, 16.583443584957564 68.62067997201689, 16.583547199136643 68.62073750878442, 16.583770477569818 68.62086188697788, 16.58391648178642 68.62094484433787, 16.584967371238516 68.62156470849986, 16.58504108063655 68.62160917643082, 16.58507882903151 68.62163187745504, 16.586352692200382 68.62243447915252)"/>
    <s v="[1070876, 1070884, 1070892, 1070900, 1070908, 1070916, 1070924, 1070932]"/>
    <s v="[1017713, 1017720, 1017725, 1017730, 1017735, 1017741, 1017746, 1012738]"/>
    <s v="0.020162227924920027"/>
    <s v="[1012732, 1017713, 1017720, 1017725, 1017730, 1017735, 1017741, 1017746]"/>
    <s v="[0.026, 0.015, 0.011, 0.016, 0.016, 0.003, 0.015, 0.022]"/>
    <s v="314.4148283445271"/>
    <s v="[0.026, 0.015, 0.011, 0.016, 0.016, 0.003, 0.015, 0.022]"/>
  </r>
  <r>
    <x v="3031"/>
    <x v="3681"/>
    <x v="0"/>
    <s v="[0, 0, 0, 0, 0, 0, 0, 0, 1, 1, 1, 1, 1, 0, 0, 0]"/>
    <s v="LINESTRING (16.586352692200382 68.62243447915252, 16.590991139806853 68.62513635163782, 16.591913434053993 68.62566990156608, 16.592136937306503 68.62580094181682, 16.592683703592265 68.62634610719336, 16.59262242627543 68.62656558299193, 16.592530722149792 68.62667968342555, 16.592521471400204 68.62668795251362, 16.591301475074836 68.62717720311596, 16.589862783547122 68.62732087312008, 16.58596630747342 68.62764974531754, 16.58079541931726 68.62808770679455, 16.578364809188592 68.62829395102506, 16.567222816369775 68.62924285200265, 16.565541554848352 68.62999113715028, 16.565794807697586 68.63047073165046, 16.568608999005676 68.63316397578167)"/>
    <s v="[1064882, 1064890, 1064898, 1064906, 1064914, 1064922, 1064930, 1064938, 1064946, 1064954, 1064962, 1064970, 1064978, 1064986, 1064994, 1065002]"/>
    <s v="[909003, 1012746, 1012754, 1012761, 1012768, 1012773, 1012782, 1012789, 1012795, 1012801, 1012806, 1012813, 1012820, 909893, 909904, 1012835]"/>
    <s v="#FIELD!"/>
    <s v="[1012738, 909003, 1012746, 1012754, 1012761, 1012768, 1012773, 1012782, 1012789, 1012795, 1012801, 1012806, 1012813, 1012820, 909893, 909904]"/>
    <s v="[0.03, 0.018, 0.009, 0.019, 0.04, 0.092, 0.136, 0.149, 0.137, 0.022, 0.0, 0.0, 0.001, 0.054, 0.032, 0.002]"/>
    <s v="2123.0445572119415"/>
    <s v="[0.03, 0.018, -0.009, 0.019, -0.04, -0.092, -0.136, -0.149, -0.137, -0.022, 0.0, 0.0, 0.001, 0.054, 0.032, 0.002]"/>
  </r>
  <r>
    <x v="3032"/>
    <x v="3682"/>
    <x v="0"/>
    <n v="0"/>
    <s v="LINESTRING (16.568608999005676 68.63316397578167, 16.568576888049932 68.6332113727149, 16.56844018584395 68.63349396886177, 16.56842058809459 68.63353632426441)"/>
    <s v="[1070926, 1070934, 1070942]"/>
    <s v="[1017747, 1017751, 1013629]"/>
    <s v="0.17138895014473854"/>
    <s v="[1012835, 1017747, 1017751]"/>
    <s v="[1.383, 0.137, 0.976]"/>
    <s v="42.23095204168398"/>
    <s v="[1.383, 0.137, -0.976]"/>
  </r>
  <r>
    <x v="3032"/>
    <x v="3683"/>
    <x v="0"/>
    <n v="0"/>
    <s v="LINESTRING (16.568608999005676 68.63316397578167, 16.568613896037636 68.6332164112212, 16.568676181054304 68.63349388249378, 16.568705226139084 68.63354651499564)"/>
    <s v="[1070940, 1070948, 1070956]"/>
    <s v="[1017755, 1017759, 1013582]"/>
    <s v="0.06539494665594352"/>
    <s v="[1012835, 1017755, 1017759]"/>
    <s v="[1.249, 0.053, 1.027]"/>
    <s v="42.879634122440855"/>
    <s v="[1.249, 0.053, -1.027]"/>
  </r>
  <r>
    <x v="3033"/>
    <x v="3684"/>
    <x v="0"/>
    <n v="0"/>
    <s v="LINESTRING (16.568705226139084 68.63354651499564, 16.568729813689032 68.63371374999416, 16.56852722425757 68.63373985598123, 16.568330542432168 68.63370831229102, 16.568269600999134 68.633675192399)"/>
    <s v="[1065858, 1065866, 1065874, 1065882]"/>
    <s v="[1013583, 1013591, 1013600, 1013609]"/>
    <s v="0.200294997581125"/>
    <s v="[1013582, 1013583, 1013591, 1013600]"/>
    <s v="[0.063, 0.425, 0.344, 0.135]"/>
    <s v="43.248889241778684"/>
    <s v="[0.063, 0.425, 0.344, 0.135]"/>
  </r>
  <r>
    <x v="3033"/>
    <x v="3682"/>
    <x v="0"/>
    <n v="0"/>
    <s v="LINESTRING (16.56842058809459 68.63353632426441, 16.56857004578399 68.63352793701442, 16.568705226139084 68.63354651499564)"/>
    <s v="[1065914, 1065922]"/>
    <s v="[1013635, 1013582]"/>
    <s v="#FIELD!"/>
    <s v="[1013629, 1013635]"/>
    <s v="[0.4, 0.335]"/>
    <s v="12.022675500923878"/>
    <s v="[-0.4, -0.335]"/>
  </r>
  <r>
    <x v="3034"/>
    <x v="3685"/>
    <x v="0"/>
    <n v="0"/>
    <s v="LINESTRING (16.568269600999134 68.633675192399, 16.568253703750955 68.63360968067646, 16.56834641872132 68.633553269551)"/>
    <s v="[1065890, 1065898]"/>
    <s v="[1013615, 1013623]"/>
    <s v="#FIELD!"/>
    <s v="[1013609, 1013615]"/>
    <s v="[0.085, 0.326]"/>
    <s v="14.666783286913304"/>
    <s v="[-0.085, -0.326]"/>
  </r>
  <r>
    <x v="3034"/>
    <x v="3686"/>
    <x v="0"/>
    <n v="0"/>
    <s v="LINESTRING (16.568269600999134 68.633675192399, 16.568157941004106 68.63364713722154, 16.567682299446062 68.63332267781284)"/>
    <s v="[1070964, 1070972]"/>
    <s v="[1017770, 1017764]"/>
    <s v="0.14997972329673775"/>
    <s v="[1013609, 1017770]"/>
    <s v="[1.053, 0.034]"/>
    <s v="48.442548071815516"/>
    <s v="[1.053, 0.034]"/>
  </r>
  <r>
    <x v="3035"/>
    <x v="3682"/>
    <x v="0"/>
    <n v="0"/>
    <m/>
    <n v="1065906"/>
    <n v="1013629"/>
    <s v="#FIELD!"/>
    <n v="1013623"/>
    <s v="0.344"/>
    <s v="3.558835905209041"/>
    <s v="#FIELD!"/>
  </r>
  <r>
    <x v="3035"/>
    <x v="3686"/>
    <x v="0"/>
    <n v="0"/>
    <s v="LINESTRING (16.56834641872132 68.633553269551, 16.568244215883983 68.63354400170913, 16.567682299446062 68.63332267781284)"/>
    <s v="[1070950, 1070958]"/>
    <s v="[1017760, 1017764]"/>
    <s v="0.2576930244762573"/>
    <s v="[1013623, 1017760]"/>
    <s v="[1.515, 0.106]"/>
    <s v="39.77570386568069"/>
    <s v="[1.515, 0.106]"/>
  </r>
  <r>
    <x v="3036"/>
    <x v="3687"/>
    <x v="0"/>
    <n v="0"/>
    <m/>
    <n v="1066846"/>
    <n v="893050"/>
    <s v="0.009"/>
    <n v="1014439"/>
    <s v="0.009"/>
    <s v="62.30603762426611"/>
    <s v="0.009"/>
  </r>
  <r>
    <x v="3036"/>
    <x v="3688"/>
    <x v="0"/>
    <n v="0"/>
    <s v="LINESTRING (18.902024251607628 69.67866246116212, 18.902119208086088 69.67867705016035, 18.902413733365517 69.67875052573666, 18.902829259225623 69.67884722732103)"/>
    <s v="[1079682, 1079690, 1079698]"/>
    <s v="[1024788, 1024795, 1014439]"/>
    <s v="0.0035667546423934536"/>
    <s v="[1014952, 1024788, 1024795]"/>
    <s v="[0.106, 0.004, 0.026]"/>
    <s v="37.46761702930674"/>
    <s v="[-0.106, 0.004, 0.026]"/>
  </r>
  <r>
    <x v="3036"/>
    <x v="3689"/>
    <x v="0"/>
    <n v="0"/>
    <s v="LINESTRING (18.90179839435106 69.6788185821453, 18.90198783693346 69.67881317592298, 18.902324104120915 69.67882246291082, 18.902829259225623 69.67884722732103)"/>
    <s v="[1078910, 1078918, 1078926]"/>
    <s v="[1024131, 1024137, 1014439]"/>
    <s v="0.0036006885989929584"/>
    <s v="[1014967, 1024131, 1024137]"/>
    <s v="[0.059, 0.005, 0.026]"/>
    <s v="40.225165900711325"/>
    <s v="[-0.059, 0.005, 0.026]"/>
  </r>
  <r>
    <x v="3037"/>
    <x v="3672"/>
    <x v="321"/>
    <n v="0"/>
    <s v="LINESTRING (18.978448436334492 69.67649146275991, 18.97819245344423 69.67635530994406, 18.97464498428035 69.67601561105104, 18.97428613577211 69.67601771902434)"/>
    <s v="[1080168, 1066910, 1066918]"/>
    <s v="[1014504, 1014505, 1014512]"/>
    <s v="0.05274228776631588"/>
    <s v="[1017563, 1014504, 1014505]"/>
    <s v="[0.056, 0.049, 0.093]"/>
    <s v="197.55582078963965"/>
    <s v="[0.056, 0.049, 0.093]"/>
  </r>
  <r>
    <x v="3038"/>
    <x v="3675"/>
    <x v="0"/>
    <n v="0"/>
    <s v="LINESTRING (18.979585298756017 69.67561930414894, 18.979388631915395 69.67571369372307, 18.97849004728959 69.67603413313901, 18.97919622764149 69.67674337223762, 18.979307418335914 69.67689019185583)"/>
    <s v="[1066926, 1066934, 1066942, 1080176]"/>
    <s v="[1014520, 1014527, 1014535, 1017534]"/>
    <s v="0.033652764340467774"/>
    <s v="[1014519, 1014520, 1014527, 1014535]"/>
    <s v="[0.049, 0.067, 0.017, 0.002]"/>
    <s v="166.7789830661572"/>
    <s v="[0.049, 0.067, 0.017, 0.002]"/>
  </r>
  <r>
    <x v="3038"/>
    <x v="3690"/>
    <x v="0"/>
    <s v="[0, 1, 0, 0, 0, 0, 0, 0, 0, 0, 0]"/>
    <s v="LINESTRING (18.979585298756017 69.67561930414894, 18.978327094608296 69.67496969492326, 18.976406814091625 69.67528493024497, 18.974194030722177 69.67566321409906, 18.968167666210743 69.67788782271984, 18.96790572479182 69.67821455993466, 18.967816127001594 69.67832969279195, 18.967659143267547 69.6785129196171, 18.967581336778085 69.67860820085767, 18.967519734780147 69.67867957794238, 18.95904968766841 69.68000999343113, 18.95525668120485 69.67953402143024)"/>
    <s v="[1070152, 1070160, 1070168, 1070176, 1070184, 1070192, 1070200, 1070208, 1070216, 1070224, 1070232]"/>
    <s v="[1017160, 1017164, 1017169, 1017176, 1017182, 1012527, 1017194, 1017199, 1017205, 876487, 1017217]"/>
    <s v="0.06281042821563558"/>
    <s v="[1014519, 1017160, 1017164, 1017169, 1017176, 1017182, 1012527, 1017194, 1017199, 1017205, 876487]"/>
    <s v="[0.004, 0.081, 0.092, 0.094, 0.047, 0.041, 0.041, 0.041, 0.039, 0.059, 0.039]"/>
    <s v="1361.1228790748949"/>
    <s v="[0.004, 0.081, 0.092, 0.094, 0.047, 0.041, 0.041, 0.041, 0.039, 0.059, 0.039]"/>
  </r>
  <r>
    <x v="3038"/>
    <x v="3691"/>
    <x v="0"/>
    <n v="0"/>
    <m/>
    <n v="1070144"/>
    <n v="1014519"/>
    <s v="#FIELD!"/>
    <n v="1017154"/>
    <s v="0.039"/>
    <s v="13.113085068064075"/>
    <s v="#FIELD!"/>
  </r>
  <r>
    <x v="3039"/>
    <x v="3692"/>
    <x v="0"/>
    <n v="0"/>
    <m/>
    <n v="1070288"/>
    <n v="1017255"/>
    <s v="#FIELD!"/>
    <n v="1014554"/>
    <s v="0.041"/>
    <s v="12.080335260321762"/>
    <s v="#FIELD!"/>
  </r>
  <r>
    <x v="3039"/>
    <x v="3693"/>
    <x v="0"/>
    <n v="0"/>
    <s v="LINESTRING (18.93534978092659 69.6736936944325, 18.92146775800324 69.67187543766393, 18.919934979228806 69.67195773056329, 18.91955961081238 69.67196927809171)"/>
    <s v="[1070264, 1070272, 1070280]"/>
    <s v="[1017239, 1017243, 1014554]"/>
    <s v="#FIELD!"/>
    <s v="[1017238, 1017239, 1017243]"/>
    <s v="[0.028, 0.067, 0.087]"/>
    <s v="701.6694951843964"/>
    <s v="[-0.028, -0.067, -0.087]"/>
  </r>
  <r>
    <x v="3039"/>
    <x v="3694"/>
    <x v="0"/>
    <n v="0"/>
    <s v="LINESTRING (18.918303128835042 69.67146448501, 18.918303128835042 69.67146448501, 18.9181140229167 69.67167682832915, 18.919033006712272 69.67193886299967, 18.91955961081238 69.67196927809171)"/>
    <s v="[1080200, 1066950, 1066958, 1066966]"/>
    <s v="[1014540, 1014541, 1014548, 1014554]"/>
    <s v="0.02917069769042812"/>
    <s v="[1006596, 1014540, 1014541, 1014548]"/>
    <s v="[0.078, 0.011, 0.051, 0.078]"/>
    <s v="113.39473170529746"/>
    <s v="[-0.078, 0.011, 0.051, 0.078]"/>
  </r>
  <r>
    <x v="3040"/>
    <x v="3695"/>
    <x v="0"/>
    <n v="0"/>
    <s v="LINESTRING (18.97817682678062 69.67566228963665, 18.97828409139187 69.67573810842853, 18.978245730439152 69.67582692225372)"/>
    <s v="[1067198, 1067206]"/>
    <s v="[1014775, 1014784]"/>
    <s v="0.03415596255534609"/>
    <s v="[1014768, 1014775]"/>
    <s v="[0.012, 0.055]"/>
    <s v="19.44249602244639"/>
    <s v="[0.012, 0.055]"/>
  </r>
  <r>
    <x v="3040"/>
    <x v="3691"/>
    <x v="0"/>
    <n v="0"/>
    <s v="LINESTRING (18.97817682678062 69.67566228963665, 18.978356079350384 69.67565799237808, 18.979282092252276 69.67567136937039)"/>
    <s v="[1079049, 1079057]"/>
    <s v="[1024251, 1017154]"/>
    <s v="#FIELD!"/>
    <s v="[1014768, 1024251]"/>
    <s v="[0.097, 0.054]"/>
    <s v="43.025497196554014"/>
    <s v="[-0.097, -0.054]"/>
  </r>
  <r>
    <x v="3040"/>
    <x v="3696"/>
    <x v="0"/>
    <n v="0"/>
    <s v="LINESTRING (18.977776576429175 69.67589211695385, 18.977568302657847 69.67584256560063, 18.97749258879424 69.67576215920556, 18.977532345911825 69.6757003377532, 18.977622253133873 69.67565428741065, 18.97784333489448 69.67562043757034, 18.97804615524123 69.6756283905944, 18.97817682678062 69.67566228963665)"/>
    <s v="[1067238, 1067246, 1067254, 1067166, 1067174, 1067182, 1067190]"/>
    <s v="[1014815, 1014823, 1014749, 1014750, 1014757, 1012733, 1014768]"/>
    <s v="#FIELD!"/>
    <s v="[1014808, 1014815, 1014823, 1014749, 1014750, 1014757, 1012733]"/>
    <s v="[0.036, 0.018, 0.06, 0.083, 0.085, 0.071, 0.036]"/>
    <s v="56.10118397773107"/>
    <s v="[0.036, -0.018, -0.06, -0.083, -0.085, -0.071, -0.036]"/>
  </r>
  <r>
    <x v="3041"/>
    <x v="3697"/>
    <x v="0"/>
    <n v="0"/>
    <m/>
    <n v="1067214"/>
    <n v="1014792"/>
    <s v="0.086"/>
    <n v="1014784"/>
    <s v="0.086"/>
    <s v="5.15872939799501"/>
    <s v="0.086"/>
  </r>
  <r>
    <x v="3041"/>
    <x v="3691"/>
    <x v="0"/>
    <n v="0"/>
    <s v="LINESTRING (18.978245730439152 69.67582692225372, 18.97836383572112 69.67581077779879, 18.979282092252276 69.67567136937039)"/>
    <s v="[1082816, 1082824]"/>
    <s v="[1027576, 1017154]"/>
    <s v="#FIELD!"/>
    <s v="[1014784, 1027576]"/>
    <s v="[0.146, 0.066]"/>
    <s v="43.773898590563334"/>
    <s v="[-0.146, -0.066]"/>
  </r>
  <r>
    <x v="3042"/>
    <x v="3696"/>
    <x v="0"/>
    <n v="0"/>
    <s v="LINESTRING (18.97815324037478 69.67586016642004, 18.977967081731137 69.67589433898411, 18.977776576429175 69.67589211695385)"/>
    <s v="[1067222, 1067230]"/>
    <s v="[1014800, 1014808]"/>
    <s v="0.0791985259304057"/>
    <s v="[1014792, 1014800]"/>
    <s v="[0.083, 0.075]"/>
    <s v="15.553842270205998"/>
    <s v="[0.083, 0.075]"/>
  </r>
  <r>
    <x v="3042"/>
    <x v="3675"/>
    <x v="0"/>
    <n v="0"/>
    <s v="LINESTRING (18.979307418335914 69.67689019185583, 18.978741384383618 69.67643010880826, 18.978202863819853 69.67591376290581, 18.97815324037478 69.67586016642004)"/>
    <s v="[1070662, 1070670, 1070678]"/>
    <s v="[1017540, 1017545, 1014792]"/>
    <s v="#FIELD!"/>
    <s v="[1017534, 1017540, 1017545]"/>
    <s v="[0.018, 0.01, 0.041]"/>
    <s v="123.4800818746565"/>
    <s v="[-0.018, -0.01, 0.041]"/>
  </r>
  <r>
    <x v="3043"/>
    <x v="3672"/>
    <x v="0"/>
    <n v="0"/>
    <s v="LINESTRING (18.978448436334492 69.67649146275991, 18.977811965228483 69.67593996302155, 18.977776576429175 69.67589211695385)"/>
    <s v="[1070700, 1070708]"/>
    <s v="[1017573, 1014808]"/>
    <s v="#FIELD!"/>
    <s v="[1017563, 1017573]"/>
    <s v="[0.006, 0.034]"/>
    <s v="71.79352493216857"/>
    <s v="[-0.006, 0.034]"/>
  </r>
  <r>
    <x v="3044"/>
    <x v="3698"/>
    <x v="0"/>
    <n v="0"/>
    <s v="LINESTRING (18.917719605707482 69.67212141503006, 18.917476265097257 69.67214426695078, 18.917260873673595 69.67212202634299)"/>
    <s v="[1067262, 1067270]"/>
    <s v="[1014839, 1014847]"/>
    <s v="#FIELD!"/>
    <s v="[1014838, 1014839]"/>
    <s v="[0.018, 0.03]"/>
    <s v="18.488988834473524"/>
    <s v="[-0.018, -0.03]"/>
  </r>
  <r>
    <x v="3044"/>
    <x v="3699"/>
    <x v="0"/>
    <n v="0"/>
    <s v="LINESTRING (18.917719605707482 69.67212141503006, 18.91772247908038 69.67216760683799, 18.91768609182217 69.67229823060723, 18.917693412929548 69.6723461198072, 18.917719045429536 69.67243033363845, 18.918187964188224 69.67337007396875, 18.918234509552114 69.67345976789228, 18.918429383696218 69.67375088342271, 18.91850024341148 69.67381272456564)"/>
    <s v="[1079618, 1079626, 1079634, 1079642, 1079650, 1079658, 1079666, 1079674]"/>
    <s v="[1024732, 1024739, 1024745, 1024754, 1024762, 1024768, 1024777, 1015538]"/>
    <s v="0.0234110428878102"/>
    <s v="[1014838, 1024732, 1024739, 1024745, 1024754, 1024762, 1024768, 1024777]"/>
    <s v="[0.088, 0.007, 0.009, 0.012, 0.015, 0.014, 0.015, 0.207]"/>
    <s v="191.9079854817323"/>
    <s v="[0.088, 0.007, 0.009, 0.012, 0.015, 0.014, 0.015, 0.207]"/>
  </r>
  <r>
    <x v="3044"/>
    <x v="3700"/>
    <x v="0"/>
    <n v="0"/>
    <m/>
    <n v="1067350"/>
    <n v="1014838"/>
    <s v="#FIELD!"/>
    <n v="1014922"/>
    <s v="0.004"/>
    <s v="8.985152307902878"/>
    <s v="#FIELD!"/>
  </r>
  <r>
    <x v="3045"/>
    <x v="3701"/>
    <x v="0"/>
    <n v="0"/>
    <m/>
    <n v="1067278"/>
    <n v="1014856"/>
    <s v="#FIELD!"/>
    <n v="1014847"/>
    <s v="0.036"/>
    <s v="6.182574301749362"/>
    <s v="#FIELD!"/>
  </r>
  <r>
    <x v="3045"/>
    <x v="3702"/>
    <x v="322"/>
    <n v="0"/>
    <s v="LINESTRING (18.917260873673595 69.67212202634299, 18.917295649287443 69.67217363266676, 18.917420201580928 69.67232799109337, 18.917446883178073 69.67237746036294, 18.917491704766284 69.67246148835906)"/>
    <s v="[1078846, 1078854, 1078862, 1078870]"/>
    <s v="[1024083, 1024088, 1024095, 1024104]"/>
    <s v="0.02399373621005195"/>
    <s v="[1014847, 1024083, 1024088, 1024095]"/>
    <s v="[0.077, 0.016, 0.014, 0.012]"/>
    <s v="38.941750148900034"/>
    <s v="[0.077, 0.016, 0.014, 0.012]"/>
  </r>
  <r>
    <x v="3046"/>
    <x v="3703"/>
    <x v="0"/>
    <n v="0"/>
    <s v="LINESTRING (18.917145905377488 69.67208362825666, 18.917056560770742 69.67199831232504, 18.9171586123341 69.67188394726179)"/>
    <s v="[1067286, 1067294]"/>
    <s v="[1014862, 1014871]"/>
    <s v="#FIELD!"/>
    <s v="[1014856, 1014862]"/>
    <s v="[0.031, 0.018]"/>
    <s v="23.78303639735154"/>
    <s v="[-0.031, -0.018]"/>
  </r>
  <r>
    <x v="3046"/>
    <x v="3704"/>
    <x v="0"/>
    <n v="0"/>
    <s v="LINESTRING (18.917145905377488 69.67208362825666, 18.917009293287254 69.6720717204348, 18.914552953175274 69.67197953117322, 18.913249062698327 69.67193946949968)"/>
    <s v="[1079209, 1079217, 1079225]"/>
    <s v="[1024399, 1024404, 1024409]"/>
    <s v="#FIELD!"/>
    <s v="[1014856, 1024399, 1024404]"/>
    <s v="[0.052, 0.018, 0.008]"/>
    <s v="152.22448284344284"/>
    <s v="[0.052, -0.018, -0.008]"/>
  </r>
  <r>
    <x v="3047"/>
    <x v="3705"/>
    <x v="0"/>
    <n v="0"/>
    <s v="LINESTRING (18.9171586123341 69.67188394726179, 18.917320859734502 69.6718491524584, 18.91760976389334 69.6718458196501, 18.917817529243585 69.67188218141143, 18.917895688963988 69.67192008036889)"/>
    <s v="[1067302, 1067310, 1067318, 1067326]"/>
    <s v="[1014878, 1014886, 1006630, 1014903]"/>
    <s v="0.027317798054978536"/>
    <s v="[1014871, 1014878, 1014886, 1006630]"/>
    <s v="[0.012, 0.028, 0.034, 0.036]"/>
    <s v="33.051726285371366"/>
    <s v="[0.012, 0.028, 0.034, 0.036]"/>
  </r>
  <r>
    <x v="3047"/>
    <x v="3706"/>
    <x v="0"/>
    <n v="0"/>
    <s v="LINESTRING (18.9171586123341 69.67188394726179, 18.917011727512385 69.67189587737957, 18.91459584791718 69.67187454576066, 18.914480331295568 69.67187164294008, 18.913302776524358 69.6718458947718)"/>
    <s v="[1082953, 1082961, 1082969, 1082977]"/>
    <s v="[1027699, 1027706, 1027710, 1027717]"/>
    <s v="#FIELD!"/>
    <s v="[1014871, 1027699, 1027706, 1027710]"/>
    <s v="[0.119, 0.017, 0.007, 0.007]"/>
    <s v="150.46782615018043"/>
    <s v="[0.119, -0.017, -0.007, -0.007]"/>
  </r>
  <r>
    <x v="3048"/>
    <x v="3700"/>
    <x v="0"/>
    <n v="0"/>
    <s v="LINESTRING (18.917895688963988 69.67192008036889, 18.91793892597239 69.67199118946233, 18.91788540736456 69.67206515068571)"/>
    <s v="[1067334, 1067342]"/>
    <s v="[1014912, 1014922]"/>
    <s v="0.02187964699426836"/>
    <s v="[1014903, 1014912]"/>
    <s v="[0.027, 0.017]"/>
    <s v="16.61419805453383"/>
    <s v="[0.027, 0.017]"/>
  </r>
  <r>
    <x v="3048"/>
    <x v="3692"/>
    <x v="0"/>
    <n v="0"/>
    <s v="LINESTRING (18.91924861434551 69.67197541629847, 18.918021425115818 69.6719250076185, 18.917895688963988 69.67192008036889)"/>
    <s v="[1082937, 1082945]"/>
    <s v="[1027683, 1014903]"/>
    <s v="#FIELD!"/>
    <s v="[1017255, 1027683]"/>
    <s v="[0.054, 0.172]"/>
    <s v="52.904497585729764"/>
    <s v="[-0.054, -0.172]"/>
  </r>
  <r>
    <x v="3049"/>
    <x v="3692"/>
    <x v="0"/>
    <n v="0"/>
    <s v="LINESTRING (18.91924861434551 69.67197541629847, 18.918023178852245 69.67205899310412, 18.91788540736456 69.67206515068571)"/>
    <s v="[1079193, 1079201]"/>
    <s v="[1024385, 1014922]"/>
    <s v="#FIELD!"/>
    <s v="[1017255, 1024385]"/>
    <s v="[0.05, 0.115]"/>
    <s v="53.816824863380745"/>
    <s v="[-0.05, -0.115]"/>
  </r>
  <r>
    <x v="3050"/>
    <x v="3688"/>
    <x v="0"/>
    <n v="0"/>
    <m/>
    <n v="1067366"/>
    <n v="1014952"/>
    <s v="0.007"/>
    <n v="1014951"/>
    <s v="0.007"/>
    <s v="6.227118113327263"/>
    <s v="0.007"/>
  </r>
  <r>
    <x v="3050"/>
    <x v="3707"/>
    <x v="0"/>
    <n v="0"/>
    <s v="LINESTRING (18.901354078446833 69.67854880716425, 18.901740252328285 69.67853914492467, 18.901972398430207 69.6786096239812)"/>
    <s v="[1067446, 1067454]"/>
    <s v="[1015029, 1014951]"/>
    <s v="0.018"/>
    <s v="[1015021, 1015029]"/>
    <s v="0.018"/>
    <s v="27.579722518140663"/>
    <s v="0.018"/>
  </r>
  <r>
    <x v="3050"/>
    <x v="3704"/>
    <x v="0"/>
    <n v="0"/>
    <s v="LINESTRING (18.913249062698327 69.67193946949968, 18.91281781652195 69.67193567425842, 18.910004026056118 69.67220205144409, 18.907935270054615 69.67287543050567, 18.90223985357799 69.67825683055602, 18.902169789913447 69.678299127792, 18.90197865819001 69.67853689932697, 18.901972398430207 69.6786096239812)"/>
    <s v="[1079233, 1079241, 1079249, 1079257, 1079265, 1079273, 1079281]"/>
    <s v="[1024416, 1024424, 1024432, 1024440, 1024447, 1024454, 1014951]"/>
    <s v="0.00047592031564347144"/>
    <s v="[1024409, 1024416, 1024424, 1024432, 1024440, 1024447, 1024454]"/>
    <s v="[0.005, 0.001, 0.0, 0.0, 0.0, 0.0, 0.051]"/>
    <s v="931.5540387546872"/>
    <s v="[-0.005, 0.001, 0.0, 0.0, -0.0, -0.0, 0.051]"/>
  </r>
  <r>
    <x v="3051"/>
    <x v="3689"/>
    <x v="0"/>
    <n v="0"/>
    <s v="LINESTRING (18.902024251607628 69.67866246116212, 18.901990172262035 69.67874272146926, 18.90179839435106 69.6788185821453)"/>
    <s v="[1067374, 1067382]"/>
    <s v="[1014959, 1014967]"/>
    <s v="#FIELD!"/>
    <s v="[1014952, 1014959]"/>
    <s v="0.006"/>
    <s v="20.495965023560707"/>
    <s v="[0.006, -0.006]"/>
  </r>
  <r>
    <x v="3052"/>
    <x v="3707"/>
    <x v="0"/>
    <n v="0"/>
    <s v="LINESTRING (18.90179839435106 69.6788185821453, 18.901671166836593 69.67883650241167, 18.901424101306556 69.67883103466724, 18.901183437536492 69.67875921702598, 18.901133004949887 69.67870706672575, 18.90114752861521 69.67863990782101, 18.90122735183067 69.67858629969531, 18.901354078446833 69.67854880716425)"/>
    <s v="[1067390, 1067398, 1067406, 1067414, 1067422, 1067430, 1067438]"/>
    <s v="[1014977, 1014987, 1014995, 1015003, 1015011, 1015016, 1015021]"/>
    <s v="#FIELD!"/>
    <s v="[1014967, 1014977, 1014987, 1014995, 1015003, 1015011, 1015016]"/>
    <s v="[0.015, 0.02, 0.018, 0.012, 0.005, 0.003, 0.009]"/>
    <s v="54.26906474996122"/>
    <s v="[-0.015, -0.02, -0.018, -0.012, -0.005, 0.003, 0.009]"/>
  </r>
  <r>
    <x v="3053"/>
    <x v="3706"/>
    <x v="0"/>
    <n v="0"/>
    <s v="LINESTRING (18.913302776524358 69.6718458947718, 18.912801790843265 69.67184880237238, 18.9098833973878 69.67212236140655, 18.90772527091571 69.67278019377879, 18.90187523642129 69.67828178055288, 18.901513928891603 69.67849412073808, 18.901354078446833 69.67854880716425)"/>
    <s v="[1082985, 1082993, 1083001, 1083009, 1083017, 1083025]"/>
    <s v="[1027725, 1027731, 1027740, 1027746, 1027754, 1015021]"/>
    <s v="8.54718727314346e-05"/>
    <s v="[1027717, 1027725, 1027731, 1027740, 1027746, 1027754]"/>
    <s v="[0.005, 0.001, 0.001, 0.0, 0.005, 0.01]"/>
    <s v="949.7024730761613"/>
    <s v="[-0.005, 0.001, 0.001, 0.0, -0.005, 0.01]"/>
  </r>
  <r>
    <x v="3054"/>
    <x v="3708"/>
    <x v="0"/>
    <n v="0"/>
    <s v="LINESTRING (18.918064298117258 69.67385183473996, 18.918260060493072 69.67380227677889, 18.91850024341148 69.67381272456564)"/>
    <s v="[1068070, 1068078]"/>
    <s v="[1015581, 1015538]"/>
    <s v="0.028997736706825136"/>
    <s v="[1015574, 1015581]"/>
    <s v="[0.019, 0.039]"/>
    <s v="18.777209109709148"/>
    <s v="[0.019, 0.039]"/>
  </r>
  <r>
    <x v="3055"/>
    <x v="3702"/>
    <x v="0"/>
    <n v="0"/>
    <s v="LINESTRING (18.917491704766284 69.67246148835906, 18.917965786487905 69.67339551712662, 18.917993963699853 69.67345642487871, 18.91806716348141 69.67379041355032, 18.918064298117258 69.67385183473996)"/>
    <s v="[1078878, 1078886, 1078894, 1078902]"/>
    <s v="[1024108, 1024117, 1024122, 1015574]"/>
    <s v="0.021745948115945397"/>
    <s v="[1024104, 1024108, 1024117, 1024122]"/>
    <s v="[0.015, 0.013, 0.012, 0.188]"/>
    <s v="157.01287073238257"/>
    <s v="[0.015, 0.013, 0.012, 0.188]"/>
  </r>
  <r>
    <x v="3056"/>
    <x v="3709"/>
    <x v="323"/>
    <n v="0"/>
    <s v="LINESTRING (18.593677203351053 69.0944287262116, 18.595084813704695 69.09497554981631, 18.597467015066986 69.09589533456679, 18.598421106190965 69.0962628573385, 18.600055281603787 69.09689043863574, 18.60007226415704 69.09689704275993, 18.601132363858554 69.09730477302345, 18.60114951367226 69.0973113196527, 18.606803344226748 69.0999726079703, 18.606875725210664 69.10005853816166, 18.60689922810046 69.10008726054002, 18.607180515103426 69.10171937662044, 18.607142038505703 69.10179586301926, 18.60661713682369 69.10253011767136, 18.603079319125964 69.10508540715188, 18.59293147509792 69.11160673338465, 18.59129518999097 69.11265981803268, 18.589219814143714 69.11399509737447, 18.586878746036106 69.1154998070439, 18.58474666961501 69.11686862942845, 18.5830264724124 69.11797858957453, 18.58301410701234 69.11798639188811, 18.582255980900072 69.11847097018901, 18.582243772826295 69.11847881406021, 18.581271135405792 69.1191000756946, 18.581162425134234 69.1191690468493, 18.58018788681282 69.11980119914976, 18.578037626807667 69.12122850012655, 18.577268309057853 69.12213501491773, 18.57726838795314 69.12432651130679, 18.5757210264691 69.12955380641954, 18.576220850034407 69.13023887450507, 18.578337700304083 69.13161622803723, 18.578570478226247 69.1317140693098)"/>
    <s v="[1098615, 1098623, 1098631, 1098639, 1098647, 1098655, 1098670, 1098673, 1098674, 1098675, 1098679, 1098687, 1098695, 1098703, 1098710, 1098718, 1098726, 1098734, 1098739, 1098745, 1098753, 1098762, 1098777, 1098800, 1098801, 1098806, 1098828, 1098836, 1098837, 1098838, 1098855, 1098863, 1098871]"/>
    <s v="[1041106, 1041111, 1041118, 1041125, 1041132, 1041140, 1041157, 1041160, 1041161, 905944, 1041165, 1041171, 1041177, 1041184, 1041188, 906066, 1041197, 1041201, 1041205, 1041206, 1041212, 1041216, 1041229, 1032538, 1041240, 1041242, 1041259, 1041264, 1041265, 1041266, 1041285, 1041292, 1016494]"/>
    <s v="#FIELD!"/>
    <s v="[1016487, 1041106, 1041111, 1041118, 1041125, 1041132, 1041140, 1041157, 1041160, 1041161, 905944, 1041165, 1041171, 1041177, 1041184, 1041188, 906066, 1041197, 1041201, 1041205, 1041206, 1041212, 1041216, 1041229, 1032538, 1041240, 1041242, 1041259, 1041264, 1041265, 1041266, 1041285, 1041292]"/>
    <s v="[0.005, 0.007, 0.007, 0.01, 0.004, 0.013, 0.01, 0.016, 0.011, 0.008, 0.007, 0.015, 0.012, 0.011, 0.017, 0.009, 0.015, 0.002, 0.006, 0.003, 0.039, 0.012, 0.022, 0.014, 0.019, 0.02, 0.054, 0.018, 0.048, 0.016, 0.018, 0.001, 0.011]"/>
    <s v="4690.009627755217"/>
    <s v="[-0.005, -0.007, -0.007, -0.01, -0.004, -0.013, -0.01, -0.016, -0.011, -0.008, -0.007, -0.015, -0.012, -0.011, -0.017, -0.009, -0.015, 0.002, 0.006, 0.003, 0.039, 0.012, 0.022, 0.014, 0.019, 0.02, 0.054, 0.018, -0.048, -0.016, -0.018, -0.001, 0.011]"/>
  </r>
  <r>
    <x v="3057"/>
    <x v="3710"/>
    <x v="0"/>
    <n v="0"/>
    <s v="LINESTRING (18.578570478226247 69.1317140693098, 18.57948738751869 69.13210026701373, 18.580743110094893 69.13253562005873, 18.580848116109212 69.13257190651696, 18.58094472858549 69.13260186550978, 18.58107901807697 69.13264343302379, 18.581133488961225 69.13266128366622, 18.582733728735494 69.13317764496026, 18.582955835122185 69.13323433602355, 18.583118903783543 69.13327637055073)"/>
    <s v="[1069278, 1069286, 1069294, 1069302, 1069310, 1069318, 1069326, 1069334, 1069342]"/>
    <s v="[1016495, 1016501, 1016506, 1016516, 1016519, 1016526, 1016533, 1016539, 1016544]"/>
    <s v="0.001965292016027892"/>
    <s v="[1016494, 1016495, 1016501, 1016506, 1016516, 1016519, 1016526, 1016533, 1016539]"/>
    <s v="[0.008, 0.004, 0.0, 0.001, 0.0, 0.002, 0.002, 0.002, 0.004]"/>
    <s v="251.84113805385567"/>
    <s v="[0.008, 0.004, 0.0, -0.001, -0.0, -0.002, -0.002, -0.002, -0.004]"/>
  </r>
  <r>
    <x v="3057"/>
    <x v="3710"/>
    <x v="0"/>
    <n v="0"/>
    <s v="LINESTRING (18.578570478226247 69.1317140693098, 18.579498320028268 69.13200638331975, 18.579636116084433 69.13205247714518, 18.580914625724837 69.13248023196957, 18.581126807969518 69.13255082841495, 18.58129492456547 69.13260833268896, 18.582831415892752 69.1331422781516, 18.583118903783543 69.13327637055073)"/>
    <s v="[1079420, 1079428, 1079436, 1079444, 1079452, 1079460, 1079468]"/>
    <s v="[1024560, 1024568, 1024576, 1019108, 1024591, 1024597, 1016544]"/>
    <s v="0.0018679124601046876"/>
    <s v="[1016494, 1024560, 1024568, 1024576, 1019108, 1024591, 1024597]"/>
    <s v="[0.01, 0.008, 0.003, 0.0, 0.001, 0.002, 0.006]"/>
    <s v="251.51801353630637"/>
    <s v="[0.01, 0.008, 0.003, -0.0, -0.001, -0.002, -0.006]"/>
  </r>
  <r>
    <x v="3058"/>
    <x v="3711"/>
    <x v="0"/>
    <n v="0"/>
    <s v="LINESTRING (18.583118903783543 69.13327637055073, 18.81056833380694 69.10975214279883)"/>
    <m/>
    <m/>
    <s v="0.0"/>
    <m/>
    <n v="0"/>
    <s v="12531.590772690757"/>
    <n v="0"/>
  </r>
  <r>
    <x v="3059"/>
    <x v="3618"/>
    <x v="0"/>
    <n v="0"/>
    <s v="LINESTRING (19.050571447251862 69.16075286358152, 19.052019756809354 69.16125952878828, 19.052797959253045 69.16150019925442, 19.053703307696992 69.16178137311938, 19.05456105954774 69.16204586623984, 19.05474996150112 69.16210124107509, 19.054808725407014 69.16211813026456, 19.05486934416282 69.16213603590118, 19.054976950068177 69.16216789185505, 19.05527986457356 69.16225807071713, 19.05537789312309 69.16228754675389, 19.05564594103976 69.16236312048463, 19.055788406920808 69.1624040908528, 19.055912164471252 69.1624406776191, 19.05762269555211 69.16292057402376)"/>
    <s v="[1069350, 1069358, 1069366, 1069374, 1069382, 1069390, 1069398, 1069406, 1069414, 1069422, 1069430, 1069438, 1069446, 1069454]"/>
    <s v="[1016549, 1016555, 1016561, 1016567, 1016573, 1016581, 1006978, 1016593, 1016600, 1016606, 1016612, 1016619, 1016627, 1016634]"/>
    <s v="#FIELD!"/>
    <s v="[1016548, 1016549, 1016555, 1016561, 1016567, 1016573, 1016581, 1006978, 1016593, 1016600, 1016606, 1016612, 1016619, 1016627]"/>
    <s v="[0.059, 0.071, 0.021, 0.007, 0.006, 0.019, 0.019, 0.011, 0.017, 0.02, 0.016, 0.021, 0.006, 0.0]"/>
    <s v="370.7220775466463"/>
    <s v="[-0.059, -0.071, -0.021, -0.007, -0.006, -0.019, -0.019, -0.011, -0.017, -0.02, -0.016, -0.021, -0.006, 0.0]"/>
  </r>
  <r>
    <x v="3059"/>
    <x v="3618"/>
    <x v="0"/>
    <n v="0"/>
    <s v="LINESTRING (19.050571447251862 69.16075286358152, 19.05212670410008 69.1612199002955, 19.05279644307632 69.16141497752906, 19.052919420598798 69.16145204285539, 19.053837126962378 69.16172747980912, 19.05470112297995 69.16198891386837, 19.054938305807514 69.16206017606413, 19.05510550435942 69.16211066255168, 19.055412028717857 69.1622034245369, 19.05577665003619 69.16231679242526, 19.055911401001037 69.1623588881214, 19.05603210897787 69.1623963104673, 19.05762269555211 69.16292057402376)"/>
    <s v="[1079476, 1079484, 1079492, 1079500, 1079508, 1079516, 1079524, 1079532, 1079540, 1079548, 1079556, 1079564]"/>
    <s v="[1024612, 1024620, 1024626, 1024633, 1024639, 1006977, 1024654, 1024660, 1024666, 1024672, 1024681, 1016634]"/>
    <s v="#FIELD!"/>
    <s v="[1016548, 1024612, 1024620, 1024626, 1024633, 1024639, 1006977, 1024654, 1024660, 1024666, 1024672, 1024681]"/>
    <s v="[0.058, 0.068, 0.076, 0.012, 0.005, 0.01, 0.013, 0.017, 0.025, 0.002, 0.006, 0.008]"/>
    <s v="370.27745312697516"/>
    <s v="[-0.058, -0.068, -0.076, -0.012, -0.005, -0.01, -0.013, -0.017, -0.025, -0.002, -0.006, -0.008]"/>
  </r>
  <r>
    <x v="3059"/>
    <x v="3711"/>
    <x v="324"/>
    <n v="0"/>
    <s v="LINESTRING (18.81056833380694 69.10975214279883, 19.050571447251862 69.16075286358152)"/>
    <m/>
    <m/>
    <s v="0.0"/>
    <m/>
    <n v="0"/>
    <s v="12531.590772690757"/>
    <n v="0"/>
  </r>
  <r>
    <x v="3060"/>
    <x v="3712"/>
    <x v="0"/>
    <n v="0"/>
    <s v="LINESTRING (19.531600164121112 69.21309247316513, 19.53318457235274 69.2130370932376, 19.535955258572383 69.21300485271823, 19.53633608896609 69.21301189879493, 19.537979886155803 69.21307513025087, 19.538169607534154 69.21308828783476, 19.538255349993676 69.21309349783326, 19.54168834016252 69.21341113887745)"/>
    <s v="[1069686, 1069694, 1069702, 1069710, 1069718, 1069726, 1069734]"/>
    <s v="[1016828, 1006958, 1016841, 1016847, 1016850, 1016857, 1016866]"/>
    <s v="#FIELD!"/>
    <s v="[1016827, 1016828, 1006958, 1016841, 1016847, 1016850, 1016857]"/>
    <s v="[0.021, 0.004, 0.014, 0.021, 0.023, 0.007, 0.028]"/>
    <s v="405.46820284520606"/>
    <s v="[0.021, 0.004, -0.014, -0.021, -0.023, -0.007, -0.028]"/>
  </r>
  <r>
    <x v="3060"/>
    <x v="3712"/>
    <x v="0"/>
    <n v="0"/>
    <s v="LINESTRING (19.531600164121112 69.21309247316513, 19.533185665049352 69.21299127407093, 19.53586230084099 69.21293538874711, 19.535983383345922 69.2129371429048, 19.536080620395165 69.21293862628576, 19.53635754839663 69.21294439147195, 19.53801775456606 69.21301278136411, 19.538291740580526 69.21302989338659, 19.54168834016252 69.21341113887745)"/>
    <s v="[1079788, 1079796, 1079804, 1079812, 1079820, 1079828, 1079836, 1079844]"/>
    <s v="[1024885, 1024844, 1024900, 1006939, 1024914, 1024921, 1024930, 1016866]"/>
    <s v="#FIELD!"/>
    <s v="[1016827, 1024885, 1024844, 1024900, 1006939, 1024914, 1024921, 1024930]"/>
    <s v="[0.034, 0.004, 0.006, 0.007, 0.006, 0.023, 0.03, 0.033]"/>
    <s v="408.8851441295503"/>
    <s v="[0.034, 0.004, -0.006, -0.007, -0.006, -0.023, -0.03, -0.033]"/>
  </r>
  <r>
    <x v="3061"/>
    <x v="3713"/>
    <x v="325"/>
    <n v="0"/>
    <s v="LINESTRING (19.54168834016252 69.21341113887745, 19.541821773938917 69.2134289774202, 19.542175707407907 69.21347738729034, 19.548037673318113 69.21434583514572, 19.549107281110775 69.21457778188385)"/>
    <s v="[1099438, 1099446, 1099454, 1099462]"/>
    <s v="[1041802, 1041808, 1041815, 1016873]"/>
    <s v="#FIELD!"/>
    <s v="[1016866, 1041802, 1041808, 1041815]"/>
    <s v="[0.154, 0.041, 0.022, 0.007]"/>
    <s v="322.10352410546284"/>
    <s v="[-0.154, -0.041, -0.022, 0.007]"/>
  </r>
  <r>
    <x v="3062"/>
    <x v="3714"/>
    <x v="0"/>
    <n v="0"/>
    <s v="LINESTRING (19.549107281110775 69.21457778188385, 19.550923262422703 69.21515863760263, 19.55139361280646 69.2153473403244, 19.55151997847988 69.21539874472114, 19.551692737148194 69.2154722408328, 19.552629836574802 69.21593372349906, 19.552761495131875 69.21600865592858, 19.55390876159642 69.21671678807073)"/>
    <s v="[1069742, 1069750, 1069758, 1069766, 1069774, 1069782, 1069790]"/>
    <s v="[1016874, 1016878, 1016884, 1016890, 1016895, 1016902, 1016906]"/>
    <s v="#FIELD!"/>
    <s v="[1016873, 1016874, 1016878, 1016884, 1016890, 1016895, 1016902]"/>
    <s v="[0.002, 0.006, 0.007, 0.007, 0.008, 0.009, 0.003]"/>
    <s v="307.87124178403235"/>
    <s v="[-0.002, -0.006, -0.007, -0.007, -0.008, -0.009, 0.003]"/>
  </r>
  <r>
    <x v="3062"/>
    <x v="3714"/>
    <x v="0"/>
    <n v="0"/>
    <s v="LINESTRING (19.549107281110775 69.21457778188385, 19.55101006863971 69.21506703512154, 19.551097544668078 69.21509737204784, 19.55160546465021 69.21529940109218, 19.551704925783515 69.21534162835262, 19.551793489637717 69.21537533415596, 19.55188821977749 69.21541817180758, 19.5528288588059 69.2158909762351, 19.55390876159642 69.21671678807073)"/>
    <s v="[1079852, 1079860, 1079868, 1079876, 1079884, 1079892, 1079900, 1079908]"/>
    <s v="[1024945, 1024951, 1024725, 1024964, 1024972, 1024978, 1024987, 1016906]"/>
    <s v="#FIELD!"/>
    <s v="[1016873, 1024945, 1024951, 1024725, 1024964, 1024972, 1024978, 1024987]"/>
    <s v="[0.002, 0.006, 0.006, 0.007, 0.008, 0.007, 0.008, 0.002]"/>
    <s v="312.40491420362355"/>
    <s v="[-0.002, -0.006, -0.006, -0.007, -0.008, -0.007, -0.008, 0.002]"/>
  </r>
  <r>
    <x v="3063"/>
    <x v="2495"/>
    <x v="0"/>
    <n v="0"/>
    <m/>
    <n v="1099470"/>
    <n v="1016914"/>
    <s v="0.022"/>
    <n v="1016906"/>
    <s v="0.022"/>
    <s v="113.41029144882171"/>
    <s v="0.022"/>
  </r>
  <r>
    <x v="3064"/>
    <x v="3715"/>
    <x v="326"/>
    <s v="[0, 0, 0, 0, 0, 0, 0, 0, 0, 0, 0, 0, 0, 0, 0, 0, 1, 0, 0, 0, 0, 0, 0, 0, 0, 0, 0, 0, 0, 0, 0, 0, 0, 0, 0, 0, 0, 0, 0, 0, 0, 0, 0, 0, 0, 0, 0, 0, 0, 0, 0, 0, 0, 0, 0, 0, 0, 0, 0, 0, 0, 0, 0, 0, 0, 0, 0, 0, 0, 0, 0, 0, 0, 0, 0, 0, 0, 0, 0, 0, 0, 0, 0, 0, 0, 0, 0, 0, 0, 0, 0, 0, 0, 1, 0, 0, 0, 0, 0, 0, 0, 0, 0, 0, 0, 0, 0, 0, 0, 0, 0, 0, 0, 0, 0, 0, 0, 0, 0, 0, 0, 0, 0, 0, 0, 0, 0, 0, 0, 0, 0, 0, 1, 0, 0, 0, 0, 0]"/>
    <s v="LINESTRING (19.55615411203439 69.21929593265783, 19.556915844640606 69.2193996513072, 19.557717221317947 69.21950887978618, 19.558092260649087 69.21956008140812, 19.55998819522454 69.21981705696928, 19.56501944214205 69.22044577905216, 19.569045840956115 69.22057302807639, 19.57419922081849 69.22063075592195, 19.57519779438557 69.22070311546584, 19.575469703890647 69.22071512934826, 19.58817099106136 69.2206968022434, 19.594687787598147 69.22070384555138, 19.596660249493997 69.22036390064866, 19.598618373313055 69.22022190814435, 19.599442878624934 69.22021193602325, 19.60043075294297 69.22017242473203, 19.601540359285398 69.22007895306193, 19.602341665080885 69.22000971518452, 19.603232446847766 69.21994338576945, 19.605311452256206 69.21982136763637, 19.60620216439905 69.21973210043618, 19.609628554953694 69.21912728177843, 19.60999555426687 69.21904338161518, 19.61221704994999 69.21864039632007, 19.617038619247968 69.21827421691684, 19.620613406532758 69.21747325410365, 19.622844085959358 69.21678318833062, 19.623760765252815 69.21648501165498, 19.626650038952178 69.21581936780962, 19.627265311375158 69.21575716490241, 19.627937934024057 69.21569683444268, 19.630021545397756 69.21551441852154, 19.631426931719304 69.21538510274098, 19.634556505832414 69.21474171133194, 19.6367316323783 69.21404125733619, 19.637118749736874 69.21392438895435, 19.63964694772215 69.21312628129293, 19.640020943682757 69.21301092797279, 19.64417276183932 69.2091135939586, 19.644264086189427 69.20905071630277, 19.644344326518386 69.20900701692963, 19.649857710600518 69.20784722408808, 19.651074411315342 69.20744206701758, 19.651998771258455 69.2071170831654, 19.65218469934119 69.20706719669242, 19.65449502289968 69.20631276628981, 19.659009035763965 69.20398809632302, 19.660577895991846 69.2013090337149, 19.664789946249574 69.19894147515524, 19.66682733682337 69.19778769560669, 19.670378707098166 69.19575785724456, 19.67516592684782 69.19340872129177, 19.676678772740754 69.19285541302612, 19.680297737727148 69.19155504752158, 19.680912927312082 69.19141513761801, 19.686061457132805 69.19089060556843, 19.688357102377786 69.19067340995532, 19.68873008795111 69.19063833898664, 19.69322656676747 69.19021748794113, 19.69596026270623 69.18997798467339, 19.712738118421385 69.19241582283972, 19.724666322076438 69.1941738580054, 19.737398561203296 69.19589665407355, 19.743831294581412 69.19648174119472, 19.750488313752705 69.19697903285228, 19.750628137903195 69.1969891979652, 19.750757690171742 69.1969986575991, 19.75298374826377 69.19716698490689, 19.754054717878486 69.19724555695181, 19.758199860665755 69.19755543550586, 19.762494882554506 69.1985914298631, 19.775187079359455 69.20467853736693, 19.775272310592683 69.20475547642125, 19.78445597984745 69.20967561820162, 19.785635112216944 69.2105839773854, 19.786415728700725 69.21112388126174, 19.79024337073426 69.21285779001404, 19.791101903675443 69.21310508169046, 19.798538205632163 69.21623572756269, 19.803476612764054 69.21861648690393, 19.804593402392346 69.21917769815458, 19.809174971201873 69.22121041108257, 19.81288064945035 69.22338493756901, 19.821350957107512 69.22759167568316, 19.822460619226806 69.2281393249337, 19.824258898814136 69.22908188400358, 19.825001401616483 69.22976699385794, 19.825175275309604 69.2299073511426, 19.82796659781656 69.23131990389194, 19.828931132727398 69.23390376285398, 19.829598265706803 69.23438150582781, 19.831431789033815 69.23512282491205, 19.834432936308975 69.236025503833, 19.835705532067365 69.2364058487704, 19.83586497237638 69.23645487595256, 19.837060354689246 69.23681831625647, 19.837162838130954 69.23684942878373, 19.839606859373845 69.23758495121706, 19.846637774009682 69.24285226365517, 19.85443498978797 69.24756691933543, 19.85732501586274 69.24863044942055, 19.857692291807332 69.24870498560458, 19.86406739155931 69.25051851945946, 19.868879627571417 69.25144249817718, 19.871558830113933 69.25222332593164, 19.873255964336497 69.25263558724629, 19.874846047009175 69.25289728872926, 19.87656698272385 69.253141121034, 19.876879014498613 69.25318984559523, 19.878514618106212 69.25353977404271, 19.881193090330814 69.25458927156153, 19.881478144369858 69.25471851535464, 19.88204374939483 69.25493783227596, 19.882199034478777 69.25498756954191, 19.88292432982578 69.25518491640392, 19.883838588383725 69.25541701427218, 19.88399597051137 69.25545688890722, 19.884140690537148 69.2554946042222, 19.88434404012979 69.25554877830496, 19.885095268257544 69.25580414816315, 19.885418056224804 69.25595093168613, 19.88646001312077 69.25650600607293, 19.88654995403656 69.25655273590118, 19.88762542146527 69.25702106640665, 19.887943463445804 69.25712450180521, 19.88909409576832 69.25746664190228, 19.890855006622377 69.25811299379788, 19.893014648835578 69.25893254334514, 19.89363995865718 69.25906695226682, 19.894334882984715 69.25919164957412, 19.89720828073675 69.25971958548263, 19.898065787776567 69.26004549220433, 19.898110676480453 69.26006705837791, 19.899027325906193 69.2605178072232, 19.90175582887034 69.26167334094657, 19.903256979511365 69.26184687556001, 19.919180102563256 69.2611306831898, 19.929280482599307 69.26550933173056, 19.929360099091536 69.2655751146994)"/>
    <s v="[1099478, 1099486, 1099494, 1099502, 1099510, 1099518, 1099526, 1099534, 1099542, 1099550, 1099558, 1099566, 1099574, 1099582, 1099590, 1099598, 1099606, 1099614, 1099622, 1099630, 1099638, 1099646, 1099654, 1099662, 1099670, 1099678, 1099686, 1099694, 1099702, 1099710, 1099718, 1099726, 1099734, 1099742, 1099750, 1058701, 1058709, 1058717, 1058725, 1058733, 1058741, 1058749, 1058757, 1058765, 1058773, 1058781, 1058789, 1058797, 1058805, 1058813, 1058821, 1058829, 1058837, 1058845, 1058853, 1058861, 1058869, 1058877, 1058885, 1058893, 1058901, 1058909, 1058917, 1058925, 1058933, 1058941, 1058949, 1058957, 1058965, 1058973, 1058981, 1058989, 1058997, 1059005, 1059013, 1059021, 1059029, 1059037, 1059045, 1059053, 1059061, 1099758, 1099766, 1099774, 1099782, 1099790, 1099798, 1099806, 1099814, 1099823, 1099831, 1099839, 1099847, 1099855, 1099863, 1099871, 1099879, 1099887, 1099895, 1099903, 1099911, 1099919, 1099927, 1099935, 1099943, 1099951, 1099959, 1099967, 1099975, 1099983, 1099991, 1099999, 1100007, 1100015, 1100023, 1100031, 1100039, 1100047, 1100055, 1100063, 1100071, 1100079, 1100087, 1100095, 1100103, 1100111, 1100119, 1100127, 1100135, 1100143, 1100151, 1100159, 1100167, 1100175, 1100183, 1100191, 1100199, 1100207]"/>
    <s v="[1041833, 908925, 1041845, 1041852, 1041860, 1041865, 1021515, 1041875, 1041883, 1041886, 1041891, 1041896, 1041900, 1021488, 1041909, 1041915, 1041922, 1021465, 997692, 1031548, 1041941, 1021457, 1021424, 1036693, 1032205, 1032213, 1036639, 1036583, 1021411, 1036591, 1021393, 1041999, 1021384, 1021375, 1006642, 1006643, 1006652, 1006660, 1006671, 1006683, 1006694, 1006702, 1006713, 1006722, 1006730, 1006740, 1006750, 1006759, 1006769, 1006777, 1006784, 1006792, 1006801, 1006811, 1006821, 1006829, 1006839, 1006850, 1006860, 1006869, 909304, 1006890, 1006902, 1006912, 1006921, 1006931, 1006942, 1006951, 1006960, 1006971, 1006981, 1006992, 1007001, 1007011, 1007022, 1007032, 1007040, 1007049, 1007059, 1007065, 1007074, 1015449, 1015442, 1015434, 1042035, 1029595, 1042051, 1029575, 1042063, 1042069, 1029548, 1042082, 1042088, 1042091, 1029533, 1029542, 1029532, 916678, 1042115, 1042122, 1042129, 1029601, 1029612, 1029625, 1029630, 1042161, 1029637, 1029645, 1029651, 1029657, 1029668, 1029674, 1042188, 1042193, 1024226, 1029684, 1024892, 1042218, 1042223, 1042228, 1014637, 1014647, 1042237, 1042242, 1042246, 1014629, 1042255, 1042263, 1014604, 1042271, 1042276, 1042282, 1042290, 1014590, 1042304, 1014530, 1042314, 1016957]"/>
    <s v="0.00035206379427436124"/>
    <s v="[1016951, 1041833, 908925, 1041845, 1041852, 1041860, 1041865, 1021515, 1041875, 1041883, 1041886, 1041891, 1041896, 1041900, 1021488, 1041909, 1041915, 1041922, 1021465, 997692, 1031548, 1041941, 1021457, 1021424, 1036693, 1032205, 1032213, 1036639, 1036583, 1021411, 1036591, 1021393, 1041999, 1021384, 1021375, 1006642, 1006643, 1006652, 1006660, 1006671, 1006683, 1006694, 1006702, 1006713, 1006722, 1006730, 1006740, 1006750, 1006759, 1006769, 1006777, 1006784, 1006792, 1006801, 1006811, 1006821, 1006829, 1006839, 1006850, 1006860, 1006869, 909304, 1006890, 1006902, 1006912, 1006921, 1006931, 1006942, 1006951, 1006960, 1006971, 1006981, 1006992, 1007001, 1007011, 1007022, 1007032, 1007040, 1007049, 1007059, 1007065, 1007074, 1015449, 1015442, 1015434, 1042035, 1029595, 1042051, 1029575, 1042063, 1042069, 1029548, 1042082, 1042088, 1042091, 1029533, 1029542, 1029532, 916678, 1042115, 1042122, 1042129, 1029601, 1029612, 1029625, 1029630, 1042161, 1029637, 1029645, 1029651, 1029657, 1029668, 1029674, 1042188, 1042193, 1024226, 1029684, 1024892, 1042218, 1042223, 1042228, 1014637, 1014647, 1042237, 1042242, 1042246, 1014629, 1042255, 1042263, 1014604, 1042271, 1042276, 1042282, 1042290, 1014590, 1042304, 1014530, 1042314]"/>
    <s v="[0.093, 0.087, 0.076, 0.052, 0.108, 0.008, 0.062, 0.004, 0.02, 0.026, 0.015, 0.01, 0.039, 0.05, 0.009, 0.014, 0.02, 0.022, 0.064, 0.012, 0.034, 0.054, 0.026, 0.005, 0.001, 0.007, 0.016, 0.012, 0.034, 0.057, 0.037, 0.014, 0.019, 0.034, 0.009, 0.01, 0.035, 0.007, 0.008, 0.001, 0.041, 0.017, 0.02, 0.03, 0.004, 0.017, 0.03, 0.057, 0.011, 0.015, 0.026, 0.004, 0.006, 0.005, 0.037, 0.044, 0.051, 0.035, 0.032, 0.005, 0.005, 0.01, 0.004, 0.001, 0.007, 0.017, 0.021, 0.031, 0.035, 0.012, 0.004, 0.022, 0.003, 0.0, 0.017, 0.015, 0.008, 0.002, 0.006, 0.015, 0.01, 0.017, 0.021, 0.025, 0.033, 0.059, 0.081, 0.014, 0.056, 0.019, 0.01, 0.003, 0.006, 0.006, 0.011, 0.008, 0.013, 0.031, 0.016, 0.006, 0.004, 0.017, 0.017, 0.027, 0.024, 0.021, 0.019, 0.015, 0.006, 0.031, 0.004, 0.027, 0.065, 0.049, 0.024, 0.014, 0.019, 0.002, 0.005, 0.007, 0.007, 0.011, 0.027, 0.001, 0.011, 0.006, 0.058, 0.023, 0.005, 0.061, 0.129, 0.124, 0.13, 0.004, 0.0, 0.032, 0.013, 0.105]"/>
    <s v="20601.386993540105"/>
    <s v="[0.093, 0.087, 0.076, 0.052, 0.108, 0.008, -0.062, 0.004, -0.02, -0.026, 0.015, -0.01, 0.039, 0.05, 0.009, -0.014, -0.02, 0.022, 0.064, 0.012, -0.034, 0.054, 0.026, 0.005, -0.001, 0.007, 0.016, 0.012, 0.034, 0.057, 0.037, 0.014, 0.019, 0.034, 0.009, -0.01, -0.035, 0.007, -0.008, -0.001, 0.041, 0.017, -0.02, -0.03, -0.004, 0.017, -0.03, 0.057, 0.011, 0.015, 0.026, 0.004, -0.006, -0.005, 0.037, -0.044, -0.051, 0.035, 0.032, -0.005, -0.005, 0.01, 0.004, 0.001, -0.007, -0.017, -0.021, -0.031, -0.035, -0.012, 0.004, -0.022, 0.003, -0.0, -0.017, -0.015, 0.008, 0.002, -0.006, -0.015, 0.01, -0.017, 0.021, 0.025, -0.033, -0.059, -0.081, -0.014, -0.056, -0.019, 0.01, -0.003, 0.006, 0.006, 0.011, 0.008, 0.013, -0.031, -0.016, -0.006, -0.004, -0.017, 0.017, -0.027, 0.024, 0.021, 0.019, 0.015, -0.006, -0.031, -0.004, 0.027, 0.065, 0.049, 0.024, 0.014, 0.019, 0.002, 0.005, -0.007, -0.007, -0.011, -0.027, -0.001, 0.011, -0.006, -0.058, -0.023, -0.005, -0.061, -0.129, -0.124, -0.13, -0.004, 0.0, 0.032, -0.013, 0.105]"/>
  </r>
  <r>
    <x v="3065"/>
    <x v="3716"/>
    <x v="0"/>
    <n v="0"/>
    <s v="LINESTRING (19.929360099091536 69.2655751146994, 19.929427985146166 69.26568658424519, 19.9306393314302 69.26653332925532, 19.930734204689827 69.26659485363291, 19.930857969494994 69.26667580411458, 19.93177622489946 69.26731965992278, 19.93187760798129 69.26739992786163, 19.933038060755926 69.26846137497758)"/>
    <s v="[1069854, 1069862, 1069870, 1069878, 1069886, 1069894, 1069902]"/>
    <s v="[1016958, 1016963, 1007018, 1016974, 1016977, 1016980, 1016986]"/>
    <s v="#FIELD!"/>
    <s v="[1016957, 1016958, 1016963, 1007018, 1016974, 1016977, 1016980]"/>
    <s v="[0.082, 0.0, 0.016, 0.011, 0.009, 0.033, 0.054]"/>
    <s v="354.32865455419545"/>
    <s v="[-0.082, 0.0, 0.016, 0.011, -0.009, -0.033, -0.054]"/>
  </r>
  <r>
    <x v="3065"/>
    <x v="3716"/>
    <x v="0"/>
    <n v="0"/>
    <s v="LINESTRING (19.929360099091536 69.2655751146994, 19.929474870504713 69.26563377767589, 19.929529300616064 69.2656732027464, 19.93081493060225 69.26649594366977, 19.9308656940453 69.26652615656685, 19.930924672882597 69.2665622407912, 19.93098365191746 69.26659832499452, 19.931057288725036 69.26664159815348, 19.93197270607772 69.26729169433575, 19.933038060755926 69.26846137497758)"/>
    <s v="[1079988, 1079996, 1080004, 1080012, 1080020, 1080028, 1080036, 1080044, 1080052]"/>
    <s v="[1025074, 1025082, 1025090, 1007019, 1025105, 1024897, 1025121, 1025131, 1016986]"/>
    <s v="#FIELD!"/>
    <s v="[1016957, 1025074, 1025082, 1025090, 1007019, 1025105, 1024897, 1025121, 1025131]"/>
    <s v="[1.567, 0.02, 0.029, 0.029, 0.031, 0.046, 0.029, 0.055, 0.094]"/>
    <s v="355.43009321677255"/>
    <s v="[1.567, -0.02, -0.029, -0.029, -0.031, -0.046, -0.029, -0.055, -0.094]"/>
  </r>
  <r>
    <x v="3066"/>
    <x v="3717"/>
    <x v="0"/>
    <s v="[0, 1, 0, 0, 0, 0, 0, 0]"/>
    <s v="LINESTRING (19.933038060755926 69.26846137497758, 19.933744715333198 69.26965764291455, 19.93388415976861 69.26991085347025, 19.936485261383027 69.27176515520097, 19.936842247756807 69.27189892645414, 19.938550866606516 69.27240992709805, 19.939031870615317 69.27253200546409, 19.943079515535747 69.27342135662428, 19.943477759097398 69.27349978645785)"/>
    <s v="[1100215, 1100223, 1100231, 1100239, 1100247, 1100255, 1100263, 1100271]"/>
    <s v="[1042325, 1042332, 1042339, 1012734, 1012721, 1042353, 1042360, 1016991]"/>
    <s v="#FIELD!"/>
    <s v="[1016986, 1042325, 1042332, 1042339, 1012734, 1012721, 1042353, 1042360]"/>
    <s v="[0.025, 0.003, 0.001, 0.005, 0.001, 0.004, 0.0, 0.013]"/>
    <s v="737.48206763057"/>
    <s v="[-0.025, -0.003, -0.001, -0.005, -0.001, -0.004, 0.0, 0.013]"/>
  </r>
  <r>
    <x v="3067"/>
    <x v="713"/>
    <x v="0"/>
    <n v="0"/>
    <s v="LINESTRING (19.943477759097398 69.27349978645785, 19.944352327777192 69.27368887631566, 19.946475134038202 69.274079631927, 19.94667750274443 69.27411433462353, 19.94693231712089 69.27415787537119, 19.948762831113847 69.27445483294771, 19.948941838476024 69.27448371921524, 19.95223603634337 69.27498311083161)"/>
    <s v="[1069910, 1069918, 1069926, 1069934, 1069942, 1069950, 1069958]"/>
    <s v="[1016992, 1017000, 1017006, 1017011, 1017015, 1017022, 1017026]"/>
    <s v="0.002080587617084457"/>
    <s v="[1016991, 1016992, 1017000, 1017006, 1017011, 1017015, 1017022]"/>
    <s v="[0.005, 0.001, 0.005, 0.003, 0.004, 0.001, 0.005]"/>
    <s v="384.25741954148157"/>
    <s v="[-0.005, -0.001, 0.005, 0.003, 0.004, -0.001, 0.005]"/>
  </r>
  <r>
    <x v="3067"/>
    <x v="713"/>
    <x v="0"/>
    <n v="0"/>
    <s v="LINESTRING (19.943477759097398 69.27349978645785, 19.944257472758487 69.2736208552095, 19.944415880766623 69.27364898723854, 19.94654346874481 69.27401412745282, 19.946664912207147 69.27403313719384, 19.946753867802382 69.27404719688205, 19.94685575615207 69.27406329585554, 19.947014221492267 69.27408853723212, 19.948847645967586 69.27438769459194, 19.95223603634337 69.27498311083161)"/>
    <s v="[1080060, 1080068, 1080076, 1080084, 1080092, 1080100, 1080108, 1080116, 1080124]"/>
    <s v="[1025150, 1025158, 1025162, 1025171, 1025178, 1024786, 1025189, 1025197, 1017026]"/>
    <s v="0.0018337442724139855"/>
    <s v="[1016991, 1025150, 1025158, 1025162, 1025171, 1025178, 1024786, 1025189, 1025197]"/>
    <s v="[0.016, 0.01, 0.007, 0.004, 0.006, 0.0, 0.005, 0.001, 0.007]"/>
    <s v="383.8858164430303"/>
    <s v="[0.016, -0.01, -0.007, -0.004, -0.006, -0.0, -0.005, -0.001, 0.007]"/>
  </r>
  <r>
    <x v="3068"/>
    <x v="3658"/>
    <x v="0"/>
    <n v="0"/>
    <s v="LINESTRING (19.36137632740678 69.37496217664571, 19.360866317599225 69.37507477057417, 19.360403382512875 69.37515270037113, 19.358717498195972 69.37531890837022, 19.35860155184579 69.37532443957255, 19.35849403731147 69.37532956093472, 19.35841404680931 69.37533337894146, 19.358290079917364 69.37533845554294, 19.357768597794763 69.37534606776872, 19.35638936778173 69.37532368850574, 19.35405845178302 69.37517088674738)"/>
    <s v="[1070172, 1070180, 1070188, 1070196, 1070204, 1070212, 1070220, 1070228, 1070236, 1070244]"/>
    <s v="[1017173, 1017179, 1017186, 1017191, 1017196, 1006818, 1017208, 1017214, 1017220, 1017215]"/>
    <s v="0.018365174881337213"/>
    <s v="[1017172, 1017173, 1017179, 1017186, 1017191, 1017196, 1006818, 1017208, 1017214, 1017220]"/>
    <s v="[0.02, 0.017, 0.011, 0.0, 0.01, 0.0, 0.009, 0.008, 0.019, 0.028]"/>
    <s v="298.0084804918049"/>
    <s v="[0.02, 0.017, 0.011, 0.0, 0.01, 0.0, 0.009, 0.008, 0.019, 0.028]"/>
  </r>
  <r>
    <x v="3068"/>
    <x v="3658"/>
    <x v="0"/>
    <n v="0"/>
    <s v="LINESTRING (19.36137632740678 69.37496217664571, 19.36035319975803 69.3751051611374, 19.358698966853954 69.37525378423736, 19.358480163346673 69.37526225256593, 19.35825797422554 69.37526835218594, 19.357758627176175 69.37527725022483, 19.356351041682952 69.37525771371037, 19.356127740044098 69.37524822744835, 19.35405845178302 69.37517088674738)"/>
    <s v="[1070174, 1070182, 1070190, 1070198, 1070206, 1070214, 1070222, 1070230]"/>
    <s v="[1017174, 1017180, 1006836, 1017192, 1017197, 1017202, 1017209, 1017215]"/>
    <s v="0.01858978691296712"/>
    <s v="[1017172, 1017174, 1017180, 1006836, 1017192, 1017197, 1017202, 1017209]"/>
    <s v="[0.015, 0.009, 0.005, 0.005, 0.009, 0.02, 0.015, 0.033]"/>
    <s v="293.6897593542866"/>
    <s v="[0.015, 0.009, 0.005, 0.005, 0.009, 0.02, 0.015, 0.033]"/>
  </r>
  <r>
    <x v="3069"/>
    <x v="3718"/>
    <x v="0"/>
    <n v="0"/>
    <s v="LINESTRING (18.95525668120485 69.67953402143024, 18.953687099327684 69.67926761989636, 18.953533884580313 69.67922888338458, 18.953200565169738 69.67913915987542, 18.953099469929846 69.67911030811173, 18.952984937619547 69.67907842595271, 18.95282463412499 69.67903007418904, 18.95207347260104 69.67880630593362, 18.95079889655914 69.67840113121821)"/>
    <s v="[1079065, 1079073, 1079081, 1079089, 1079097, 1079105, 1079113, 1079121]"/>
    <s v="[1024269, 1024276, 1024283, 1024290, 1012497, 1024306, 1024314, 1017224]"/>
    <s v="#FIELD!"/>
    <s v="[1017217, 1024269, 1024276, 1024283, 1024290, 1012497, 1024306, 1024314]"/>
    <s v="[0.031, 0.045, 0.045, 0.047, 0.056, 0.051, 0.063, 0.103]"/>
    <s v="215.9820553988189"/>
    <s v="[-0.031, -0.045, -0.045, -0.047, -0.056, -0.051, -0.063, -0.103]"/>
  </r>
  <r>
    <x v="3069"/>
    <x v="3718"/>
    <x v="0"/>
    <n v="0"/>
    <s v="LINESTRING (18.95525668120485 69.67953402143024, 18.953666915991764 69.67917075331322, 18.9533434398202 69.67908308124387, 18.953200041344605 69.67904402454987, 18.952953137368848 69.67897468788118, 18.95221422339176 69.67875574717023, 18.952063659923457 69.67871206262927, 18.95079889655914 69.67840113121821)"/>
    <s v="[1082832, 1082840, 1082848, 1082856, 1082864, 1082872, 1082880]"/>
    <s v="[1027590, 1027598, 1012512, 1027610, 1027615, 1027622, 1017224]"/>
    <s v="#FIELD!"/>
    <s v="[1017217, 1027590, 1027598, 1012512, 1027610, 1027615, 1027622]"/>
    <s v="[0.024, 0.047, 0.049, 0.055, 0.064, 0.073, 0.116]"/>
    <s v="214.4082157728194"/>
    <s v="[-0.024, -0.047, -0.049, -0.055, -0.064, -0.073, -0.116]"/>
  </r>
  <r>
    <x v="3070"/>
    <x v="3719"/>
    <x v="327"/>
    <s v="[0, 1, 0]"/>
    <s v="LINESTRING (18.95079889655914 69.67840113121821, 18.94318355299959 69.67629969670557, 18.942673046541934 69.67617973517712, 18.940354577868007 69.67554841924321)"/>
    <s v="[1070240, 1070248, 1070256]"/>
    <s v="[1017225, 1017228, 1017232]"/>
    <s v="#FIELD!"/>
    <s v="[1017224, 1017225, 1017228]"/>
    <s v="[0.077, 0.045, 0.051]"/>
    <s v="515.492753356111"/>
    <s v="[-0.077, -0.045, -0.051]"/>
  </r>
  <r>
    <x v="3071"/>
    <x v="3720"/>
    <x v="0"/>
    <n v="0"/>
    <s v="LINESTRING (18.935793866086197 69.60768766106185, 18.93658148002911 69.60868013354997, 18.936619499454824 69.60873219221675, 18.936705323171775 69.60884923255611, 18.93675302579655 69.60891352476973, 18.93678039864809 69.60894674157116, 18.936803423470366 69.60897539364676, 18.936838336378006 69.60902499775068, 18.937220585399235 69.6095274714731, 18.937797920811757 69.6105258030089)"/>
    <s v="[1070252, 1070260, 1070268, 1070276, 1070284, 1070292, 1070300, 1070308, 1070316]"/>
    <s v="[1017230, 1017235, 1017240, 1017246, 1017251, 1017259, 1017266, 1017271, 1017272]"/>
    <s v="0.00012623798330687043"/>
    <s v="[1017229, 1017230, 1017235, 1017240, 1017246, 1017251, 1017259, 1017266, 1017271]"/>
    <s v="[0.001, 0.003, 0.003, 0.003, 0.004, 0.004, 0.003, 0.003, 0.004]"/>
    <s v="326.79070511021973"/>
    <s v="[-0.001, -0.003, -0.003, -0.003, -0.004, -0.004, -0.003, -0.003, 0.004]"/>
  </r>
  <r>
    <x v="3071"/>
    <x v="3720"/>
    <x v="0"/>
    <n v="0"/>
    <s v="LINESTRING (18.935793866086197 69.60768766106185, 18.936439764560742 69.60874630561987, 18.936523157501206 69.60886358037678, 18.93658906488525 69.60895902280097, 18.936644562933036 69.60903871739235, 18.93703587517567 69.60953951425559, 18.93711056241999 69.60963378882703, 18.937797920811757 69.6105258030089)"/>
    <s v="[1070262, 1070270, 1070278, 1070286, 1070294, 1070302, 1070310]"/>
    <s v="[1017236, 1017241, 1017247, 1017252, 1017260, 1017267, 1017272]"/>
    <s v="0.00040797697902118823"/>
    <s v="[1017229, 1017236, 1017241, 1017247, 1017252, 1017260, 1017267]"/>
    <s v="[0.001, 0.002, 0.003, 0.003, 0.003, 0.0, 0.005]"/>
    <s v="326.43309644010884"/>
    <s v="[-0.001, -0.002, -0.003, -0.003, -0.003, 0.0, 0.005]"/>
  </r>
  <r>
    <x v="3072"/>
    <x v="3693"/>
    <x v="0"/>
    <n v="0"/>
    <s v="LINESTRING (18.940354577868007 69.67554841924321, 18.939981113149276 69.67539346343264, 18.9393133377619 69.67513547722895, 18.938156973960826 69.67467988972469, 18.938047880508666 69.6746387672349, 18.93786286263578 69.67456758227486, 18.9370038184935 69.6742511924627, 18.936820839112098 69.67418468619582, 18.93534978092659 69.6736936944325)"/>
    <s v="[1234563, 1234571, 1082888, 1082896, 1082904, 1082912, 1082920, 1082928]"/>
    <s v="[1155899, 1027638, 1027639, 1012582, 1027652, 1027660, 1027667, 1017238]"/>
    <s v="#FIELD!"/>
    <s v="[1017232, 1155899, 1027638, 1027639, 1012582, 1027652, 1027660, 1027667]"/>
    <s v="[0.027, 0.03, 0.029, 0.035, 0.035, 0.039, 0.034, 0.033]"/>
    <s v="283.8494237714691"/>
    <s v="[-0.027, -0.03, -0.029, -0.035, -0.035, -0.039, -0.034, -0.033]"/>
  </r>
  <r>
    <x v="3072"/>
    <x v="3693"/>
    <x v="0"/>
    <n v="0"/>
    <s v="LINESTRING (18.940354577868007 69.67554841924321, 18.94005803532006 69.67546878031371, 18.93990908063323 69.67541971386261, 18.93921405433928 69.67517640750775, 18.938512088681566 69.67491985982362, 18.938019658901272 69.67473046780933, 18.93795043427809 69.67470545660832, 18.937898330978037 69.67468650245326, 18.937831574542095 69.67465961214366, 18.937699593710708 69.67461352301639, 18.93684648318153 69.67429665792106, 18.93534978092659 69.6736936944325)"/>
    <s v="[1234594, 1234595, 1234603, 1079129, 1079137, 1079145, 1079153, 1079161, 1079169, 1079177, 1079185]"/>
    <s v="[1155928, 1155929, 1024329, 1024330, 1024334, 1012583, 1024347, 1024353, 1024362, 1024367, 1017238]"/>
    <s v="#FIELD!"/>
    <s v="[1017232, 1155928, 1155929, 1024329, 1024330, 1024334, 1012583, 1024347, 1024353, 1024362, 1024367]"/>
    <s v="[0.026, 0.062, 0.035, 0.032, 0.032, 0.04, 0.032, 0.032, 0.035, 0.04, 0.026]"/>
    <s v="284.05890724221297"/>
    <s v="[-0.026, -0.062, -0.035, -0.032, -0.032, -0.04, -0.032, -0.032, -0.035, -0.04, -0.026]"/>
  </r>
  <r>
    <x v="3073"/>
    <x v="3721"/>
    <x v="0"/>
    <n v="0"/>
    <m/>
    <n v="1190656"/>
    <n v="1017276"/>
    <s v="0.0"/>
    <n v="1017272"/>
    <s v="0.0"/>
    <s v="841.0081375854426"/>
    <s v="0.0"/>
  </r>
  <r>
    <x v="3074"/>
    <x v="3271"/>
    <x v="0"/>
    <n v="0"/>
    <s v="LINESTRING (18.93992408553749 69.6180238122003, 18.940474369054566 69.6189062674067, 18.94055161112459 69.61899667480176, 18.940859628429063 69.61929401123903, 18.940905910384995 69.61933902897536, 18.941561628432304 69.61986338117961)"/>
    <s v="[1070318, 1070326, 1070334, 1070342, 1070350]"/>
    <s v="[1017277, 1017284, 1017290, 1017295, 1017300]"/>
    <s v="0.011830718181408812"/>
    <s v="[1017276, 1017277, 1017284, 1017290, 1017295]"/>
    <s v="[0.0, 0.028, 0.028, 0.023, 0.018]"/>
    <s v="215.9098659003033"/>
    <s v="[0.0, 0.028, 0.028, 0.023, 0.018]"/>
  </r>
  <r>
    <x v="3074"/>
    <x v="3271"/>
    <x v="0"/>
    <n v="0"/>
    <s v="LINESTRING (18.93992408553749 69.6180238122003, 18.94060088492945 69.61885709105701, 18.94063093088545 69.61889169381398, 18.940667726363916 69.61893406828092, 18.940708321049247 69.61897774970713, 18.9410020786388 69.61927490378594, 18.941561628432304 69.61986338117961)"/>
    <s v="[1070324, 1070332, 1070340, 1070348, 1070356, 1070364]"/>
    <s v="[1017283, 1017289, 1017294, 1017299, 1017305, 1017300]"/>
    <s v="0.011610617360406415"/>
    <s v="[1017276, 1017283, 1017289, 1017294, 1017299, 1017305]"/>
    <s v="[0.006, 0.028, 0.029, 0.025, 0.024, 0.01]"/>
    <s v="215.25951465013978"/>
    <s v="[0.006, 0.028, 0.029, 0.025, 0.024, 0.01]"/>
  </r>
  <r>
    <x v="3075"/>
    <x v="3722"/>
    <x v="0"/>
    <n v="0"/>
    <s v="LINESTRING (18.95416586948113 69.63013417418989, 18.955045940671702 69.63071359737415, 18.95551872016694 69.63101646622773, 18.9556551654108 69.63110844287783, 18.95572468501393 69.63115301388301, 18.95627426443469 69.6315305811342, 18.956346937835548 69.6315827978197, 18.95718619944826 69.63225766205603)"/>
    <s v="[1070358, 1070366, 1070374, 1070382, 1070390, 1070398, 1070406]"/>
    <s v="[1017307, 1017314, 1017322, 1017330, 1017335, 1017342, 1017346]"/>
    <s v="#FIELD!"/>
    <s v="[1017306, 1017307, 1017314, 1017322, 1017330, 1017335, 1017342]"/>
    <s v="[0.009, 0.04, 0.051, 0.051, 0.033, 0.002, 0.018]"/>
    <s v="264.77882927183765"/>
    <s v="[-0.009, -0.04, -0.051, -0.051, -0.033, 0.002, 0.018]"/>
  </r>
  <r>
    <x v="3075"/>
    <x v="3722"/>
    <x v="0"/>
    <n v="0"/>
    <s v="LINESTRING (18.95416586948113 69.63013417418989, 18.95505391035274 69.63060895365, 18.955195689734413 69.6306897061378, 18.95569472109184 69.63099033776118, 18.955746224951284 69.6310249931755, 18.955836299047526 69.63108300691881, 18.95588053635318 69.63111242712533, 18.955892693994556 69.63112066024614, 18.956435209689598 69.63150391160512, 18.95718619944826 69.63225766205603)"/>
    <s v="[1070372, 1070380, 1070388, 1070396, 1070404, 1070412, 1070420, 1070428, 1070436]"/>
    <s v="[1017320, 1017329, 1017334, 1017341, 1017345, 1017351, 1017358, 1017365, 1017346]"/>
    <s v="#FIELD!"/>
    <s v="[1017306, 1017320, 1017329, 1017334, 1017341, 1017345, 1017351, 1017358, 1017365]"/>
    <s v="[0.0, 0.021, 0.039, 0.042, 0.058, 0.062, 0.079, 0.041, 0.016]"/>
    <s v="266.0152793749677"/>
    <s v="[0.0, -0.021, -0.039, -0.042, -0.058, -0.062, -0.079, -0.041, 0.016]"/>
  </r>
  <r>
    <x v="3076"/>
    <x v="3723"/>
    <x v="328"/>
    <n v="0"/>
    <s v="LINESTRING (18.95718619944826 69.63225766205603, 18.95726625189609 69.63233715736378, 18.95937705340067 69.63435044633842, 18.961034838333042 69.63532895714063, 18.964298004151196 69.63690854518904)"/>
    <s v="[1190712, 1190720, 1190728, 1190736]"/>
    <s v="[881309, 881311, 881316, 1017353]"/>
    <s v="#FIELD!"/>
    <s v="[1017346, 881309, 881311, 881316]"/>
    <s v="[0.035, 0.011, 0.028, 0.013]"/>
    <s v="592.5783724876906"/>
    <s v="[0.035, -0.011, 0.028, -0.013]"/>
  </r>
  <r>
    <x v="3077"/>
    <x v="3724"/>
    <x v="0"/>
    <n v="0"/>
    <s v="LINESTRING (18.964298004151196 69.63690854518904, 18.965975077656214 69.63781058621402, 18.96602530162422 69.63783875488477, 18.96654229417282 69.6381303306545, 18.966639303432565 69.63818661080356, 18.967716372966798 69.63880403540216)"/>
    <s v="[1070414, 1070422, 1070430, 1070438, 1070446]"/>
    <s v="[1017354, 1017360, 1017366, 1017372, 1017380]"/>
    <s v="0.011207585858990695"/>
    <s v="[1017353, 1017354, 1017360, 1017366, 1017372]"/>
    <s v="[0.019, 0.024, 0.018, 0.009, 0.004]"/>
    <s v="250.03066796330782"/>
    <s v="[0.019, 0.024, 0.018, 0.009, -0.004]"/>
  </r>
  <r>
    <x v="3077"/>
    <x v="3724"/>
    <x v="0"/>
    <n v="0"/>
    <s v="LINESTRING (18.964298004151196 69.63690854518904, 18.9660495955289 69.63772938301318, 18.966127939259195 69.63777524231291, 18.966176074132132 69.63780341331116, 18.966191627844967 69.63781252128719, 18.9666768261369 69.63810016271056, 18.967716372966798 69.63880403540216)"/>
    <s v="[1070444, 1070452, 1070460, 1070468, 1070476, 1070484]"/>
    <s v="[1017378, 1017385, 1017390, 1017396, 1017401, 1017380]"/>
    <s v="0.011267292735322036"/>
    <s v="[1017353, 1017378, 1017385, 1017390, 1017396, 1017401]"/>
    <s v="[0.023, 0.024, 0.028, 0.008, 0.015, 0.007]"/>
    <s v="250.92554347296948"/>
    <s v="[0.023, 0.024, 0.028, 0.008, 0.015, -0.007]"/>
  </r>
  <r>
    <x v="3078"/>
    <x v="3666"/>
    <x v="0"/>
    <n v="0"/>
    <s v="LINESTRING (18.967716372966798 69.63880403540216, 18.968390480600107 69.6392569397539, 18.968402138567487 69.6392649319547, 18.969123088132864 69.63977119783307, 18.969134397001458 69.63977925180677, 18.9752690666862 69.64258412818457, 18.976043166835165 69.64275921065834, 18.977464317902726 69.64301896881337)"/>
    <s v="[1190744, 1190752, 1190760, 1190768, 1190776, 1190784, 1190792]"/>
    <s v="[1118696, 1118701, 1118707, 1118710, 1118712, 1118716, 1118721]"/>
    <s v="#FIELD!"/>
    <s v="[1017380, 1118696, 1118701, 1118707, 1118710, 1118712, 1118716]"/>
    <s v="[0.028, 0.008, 0.031, 0.0, 0.002, 0.005, 0.011]"/>
    <s v="619.9807343187862"/>
    <s v="[-0.028, 0.008, -0.031, 0.0, 0.002, 0.005, 0.011]"/>
  </r>
  <r>
    <x v="3079"/>
    <x v="3620"/>
    <x v="0"/>
    <n v="0"/>
    <s v="LINESTRING (18.985120534005894 69.67937137964358, 18.985457949179043 69.67944744924962, 18.985870652907405 69.67957885712934, 18.98926155875752 69.6804688620418, 18.98944716681922 69.68056364780468)"/>
    <s v="[1080160, 1064250, 1836597, 1836797]"/>
    <s v="[1012213, 1012214, 1610940, 1226534]"/>
    <s v="#FIELD!"/>
    <s v="[1017485, 1012213, 1012214, 1610940]"/>
    <s v="[0.025, 0.014, 0.016, 0.016]"/>
    <s v="215.27047110635235"/>
    <s v="[0.025, -0.014, -0.016, -0.016]"/>
  </r>
  <r>
    <x v="3080"/>
    <x v="3725"/>
    <x v="0"/>
    <n v="0"/>
    <s v="LINESTRING (17.68924290655567 68.65081430606094, 17.690800602322877 68.65165311099982, 17.692499133454657 68.65231628598833, 17.692582272794795 68.65234206637965, 17.692653385746656 68.65236350584067, 17.6927564287318 68.65239459638303, 17.692860243707678 68.6524243191828, 17.693313881150615 68.6525482699116, 17.693386428796845 68.65256708316538, 17.693950933293323 68.65270312114626, 17.695857508455546 68.65302048434263)"/>
    <s v="[1070720, 1070728, 1070736, 1070744, 1070752, 1070760, 1070768, 1070776, 1070784, 1070792]"/>
    <s v="[1017595, 1017601, 1017607, 1017614, 1017622, 1017628, 1017635, 1017641, 1017645, 1017650]"/>
    <s v="0.0025297822665544347"/>
    <s v="[917559, 1017595, 1017601, 1017607, 1017614, 1017622, 1017628, 1017635, 1017641, 1017645]"/>
    <s v="[0.005, 0.007, 0.0, 0.002, 0.003, 0.006, 0.009, 0.011, 0.001, 0.0]"/>
    <s v="373.0367182295067"/>
    <s v="[0.005, 0.007, 0.0, -0.002, -0.003, -0.006, -0.009, -0.011, -0.001, 0.0]"/>
  </r>
  <r>
    <x v="3080"/>
    <x v="3725"/>
    <x v="0"/>
    <n v="0"/>
    <s v="LINESTRING (17.68924290655567 68.65081430606094, 17.690889330581836 68.65156448602833, 17.690977075972985 68.6516046538515, 17.692622868166794 68.65225289813138, 17.6926971221078 68.65227710587546, 17.69277663683016 68.65230224390102, 17.693072143875188 68.65239040087027, 17.69370566470276 68.65255506613116, 17.694055163754587 68.65264185677941, 17.695857508455546 68.65302048434263)"/>
    <s v="[1079251, 1079259, 1079267, 1079275, 1079283, 1079291, 1079300, 1079308, 1079316]"/>
    <s v="[1024435, 1024442, 1024448, 1024456, 1019013, 1024465, 1024470, 1024476, 1017650]"/>
    <s v="0.0025510658605932194"/>
    <s v="[917559, 1024435, 1024442, 1024448, 1024456, 1019013, 1024465, 1024470, 1024476]"/>
    <s v="[0.018, 0.018, 0.025, 0.035, 0.032, 0.034, 0.021, 0.01, 0.034]"/>
    <s v="368.8490033545124"/>
    <s v="[0.018, -0.018, -0.025, -0.035, -0.032, -0.034, -0.021, 0.01, 0.034]"/>
  </r>
  <r>
    <x v="3081"/>
    <x v="3726"/>
    <x v="329"/>
    <n v="0"/>
    <s v="LINESTRING (17.695857508455546 68.65302048434263, 17.970401098580936 68.6901770024308)"/>
    <m/>
    <m/>
    <s v="0.0"/>
    <m/>
    <n v="0"/>
    <s v="18501.87807325774"/>
    <n v="0"/>
  </r>
  <r>
    <x v="3082"/>
    <x v="3727"/>
    <x v="330"/>
    <n v="0"/>
    <s v="LINESTRING (16.567682299446062 68.63332267781284, 16.37452447441072 68.5872042612848)"/>
    <m/>
    <m/>
    <s v="0.0"/>
    <m/>
    <n v="0"/>
    <s v="16283.804932249759"/>
    <n v="0"/>
  </r>
  <r>
    <x v="3083"/>
    <x v="3704"/>
    <x v="0"/>
    <n v="0"/>
    <s v="LINESTRING (18.917491704766284 69.67246148835906, 18.91732047536352 69.6723849987525, 18.913755834536392 69.67197868976419, 18.913249062698327 69.67193946949968)"/>
    <s v="[1814967, 1066982, 1080208]"/>
    <s v="[1014567, 1014568, 1024409]"/>
    <s v="#FIELD!"/>
    <s v="[1024104, 1014567, 1014568]"/>
    <s v="[0.014, 0.02, 0.014]"/>
    <s v="184.75571579747123"/>
    <s v="[-0.014, -0.02, 0.014]"/>
  </r>
  <r>
    <x v="3084"/>
    <x v="3728"/>
    <x v="0"/>
    <n v="0"/>
    <s v="LINESTRING (23.36532677135266 69.97343224165742, 23.365912041102888 69.97333382598488, 23.367722304654414 69.97302911547425, 23.369557887871597 69.97271992989786, 23.370104170565916 69.9726295842461)"/>
    <s v="[1080018, 1080026, 1080034, 1080042]"/>
    <s v="[1025103, 1025112, 1025119, 1025129]"/>
    <s v="#FIELD!"/>
    <s v="[1025102, 1025103, 1025112, 1025119]"/>
    <s v="[0.002, 0.005, 0.017, 0.02]"/>
    <s v="203.60802754017885"/>
    <s v="[-0.002, -0.005, -0.017, -0.02]"/>
  </r>
  <r>
    <x v="3084"/>
    <x v="3729"/>
    <x v="0"/>
    <n v="0"/>
    <s v="LINESTRING (23.364916463891443 69.97354325625743, 23.364993614142747 69.9735235281734, 23.36532677135266 69.97343224165742)"/>
    <s v="[1080338, 1080346]"/>
    <s v="[1025386, 1025102]"/>
    <s v="0.0006317609156473365"/>
    <s v="[1025385, 1025386]"/>
    <s v="0.001"/>
    <s v="20.006162526979963"/>
    <s v="[-0.001, 0.001]"/>
  </r>
  <r>
    <x v="3084"/>
    <x v="3730"/>
    <x v="0"/>
    <n v="0"/>
    <s v="LINESTRING (23.364818782830707 69.97347500949867, 23.3649125079557 69.97346570770036, 23.36532677135266 69.97343224165742)"/>
    <s v="[1080354, 1080362]"/>
    <s v="[1025401, 1025102]"/>
    <s v="#FIELD!"/>
    <s v="[1025400, 1025401]"/>
    <s v="[0.018, 0.016]"/>
    <s v="20.02117277903371"/>
    <s v="[-0.018, -0.016]"/>
  </r>
  <r>
    <x v="3085"/>
    <x v="3731"/>
    <x v="0"/>
    <n v="0"/>
    <s v="LINESTRING (23.370104170565916 69.9726295842461, 23.37043646919938 69.97253782098353, 23.370514966457492 69.97251726683893)"/>
    <s v="[1080378, 1080386]"/>
    <s v="[1025426, 1025434]"/>
    <s v="#FIELD!"/>
    <s v="[1025129, 1025426]"/>
    <s v="[0.014, 0.012]"/>
    <s v="20.361218216250883"/>
    <s v="[-0.014, -0.012]"/>
  </r>
  <r>
    <x v="3085"/>
    <x v="3732"/>
    <x v="0"/>
    <n v="0"/>
    <s v="LINESTRING (23.370104170565916 69.9726295842461, 23.370526248591787 69.97259847426074, 23.37061800047926 69.97258697523331)"/>
    <s v="[1080402, 1080410]"/>
    <s v="[1025451, 1025460]"/>
    <s v="#FIELD!"/>
    <s v="[1025129, 1025451]"/>
    <s v="[0.029, 0.025]"/>
    <s v="20.260409740824315"/>
    <s v="[-0.029, -0.025]"/>
  </r>
  <r>
    <x v="3086"/>
    <x v="3733"/>
    <x v="0"/>
    <n v="0"/>
    <s v="LINESTRING (23.371053686349587 69.97251217368796, 23.371125567039098 69.97248888586319, 23.371389463058392 69.97237411501602)"/>
    <s v="[1080466, 1080474]"/>
    <s v="[1025519, 1025182]"/>
    <s v="#FIELD!"/>
    <s v="[1025518, 1025519]"/>
    <s v="[0.009, 0.0]"/>
    <s v="20.454884492373868"/>
    <s v="[-0.009, -0.0]"/>
  </r>
  <r>
    <x v="3086"/>
    <x v="3734"/>
    <x v="0"/>
    <n v="0"/>
    <s v="LINESTRING (23.370949114894394 69.97244127257675, 23.371038480756365 69.97242680328307, 23.371389463058392 69.97237411501602)"/>
    <s v="[1080482, 1080490]"/>
    <s v="[1025539, 1025182]"/>
    <s v="#FIELD!"/>
    <s v="[1025538, 1025539]"/>
    <s v="[0.017, 0.015]"/>
    <s v="18.44608016921196"/>
    <s v="[-0.017, -0.015]"/>
  </r>
  <r>
    <x v="3087"/>
    <x v="3735"/>
    <x v="0"/>
    <n v="0"/>
    <s v="LINESTRING (23.362584753037627 69.97385100911987, 23.363265956796038 69.97374838772235, 23.364304313458156 69.97357310703919, 23.364377944959752 69.97354497483694)"/>
    <s v="[1080202, 1080210, 1080218]"/>
    <s v="[1025266, 1025273, 1025282]"/>
    <s v="#FIELD!"/>
    <s v="[1025265, 1025266, 1025273]"/>
    <s v="[0.005, 0.005, 0.009]"/>
    <s v="77.27967081569395"/>
    <s v="[-0.005, -0.005, 0.009]"/>
  </r>
  <r>
    <x v="3087"/>
    <x v="3736"/>
    <x v="0"/>
    <n v="0"/>
    <s v="LINESTRING (23.362584753037627 69.97385100911987, 23.363318591138267 69.97378276583876, 23.364389968004698 69.97362899458157, 23.36448116298326 69.97361910762683)"/>
    <s v="[1080266, 1080274, 1080282]"/>
    <s v="[1025324, 1025333, 1025340]"/>
    <s v="#FIELD!"/>
    <s v="[1025265, 1025324, 1025333]"/>
    <s v="[0.011, 0.009, 0.014]"/>
    <s v="77.40246214203316"/>
    <s v="[-0.011, -0.009, -0.014]"/>
  </r>
  <r>
    <x v="3088"/>
    <x v="3730"/>
    <x v="0"/>
    <n v="0"/>
    <s v="LINESTRING (23.364377944959752 69.97354497483694, 23.364434086246373 69.97348987818295, 23.364504449594357 69.97346810286831, 23.364591163219966 69.97345613154562, 23.364818782830707 69.97347500949867)"/>
    <s v="[1621747, 1621755, 1621763, 1621771]"/>
    <s v="[1025347, 1452138, 1025365, 1025400]"/>
    <s v="#FIELD!"/>
    <s v="[1025282, 1025347, 1452138, 1025365]"/>
    <s v="[0.262, 0.002, 0.02, 0.205]"/>
    <s v="22.905747204956846"/>
    <s v="[0.262, -0.002, -0.02, -0.205]"/>
  </r>
  <r>
    <x v="3088"/>
    <x v="3736"/>
    <x v="0"/>
    <n v="0"/>
    <s v="LINESTRING (23.36448116298326 69.97361910762683, 23.364412286367315 69.97359090538791, 23.364377944959752 69.97354497483694)"/>
    <s v="[1621828, 1621836]"/>
    <s v="[1452197, 1025282]"/>
    <s v="0.04641228745168115"/>
    <s v="[1025340, 1452197]"/>
    <s v="[0.435, 0.255]"/>
    <s v="9.400543910118637"/>
    <s v="[0.435, -0.255]"/>
  </r>
  <r>
    <x v="3089"/>
    <x v="3737"/>
    <x v="0"/>
    <n v="0"/>
    <m/>
    <n v="1080232"/>
    <n v="1025295"/>
    <s v="#FIELD!"/>
    <n v="1025294"/>
    <s v="0.01"/>
    <s v="96.54852387390599"/>
    <s v="#FIELD!"/>
  </r>
  <r>
    <x v="3089"/>
    <x v="3738"/>
    <x v="0"/>
    <n v="0"/>
    <s v="LINESTRING (8.002799739645958 58.15516646809142, 8.002765347873616 58.15523279205598, 8.00259176354832 58.15541274348131)"/>
    <s v="[1183060, 1183068]"/>
    <s v="[1112944, 1025294]"/>
    <s v="0.06001487846115374"/>
    <s v="[1112943, 1112944]"/>
    <s v="[0.016, 0.075]"/>
    <s v="30.208500581592737"/>
    <s v="[0.016, 0.075]"/>
  </r>
  <r>
    <x v="3089"/>
    <x v="3739"/>
    <x v="0"/>
    <n v="0"/>
    <s v="LINESTRING (8.003103289103372 58.15528268789537, 8.002959589875067 58.15531631281371, 8.00259176354832 58.15541274348131)"/>
    <s v="[1986638, 1986646]"/>
    <s v="[1746020, 1025294]"/>
    <s v="0.03538097126478654"/>
    <s v="[1453671, 1746020]"/>
    <s v="[0.156, 0.01]"/>
    <s v="33.901191081895604"/>
    <s v="[0.156, -0.01]"/>
  </r>
  <r>
    <x v="3090"/>
    <x v="3740"/>
    <x v="0"/>
    <n v="0"/>
    <s v="LINESTRING (8.00132346707131 58.15593076612523, 8.000936064567137 58.15601376701177, 8.000833417015292 58.15602360857942)"/>
    <s v="[1183076, 1183084]"/>
    <s v="[1112958, 1112965]"/>
    <s v="#FIELD!"/>
    <s v="[1025295, 1112958]"/>
    <s v="[0.028, 0.015]"/>
    <s v="30.8043908972308"/>
    <s v="[-0.028, -0.015]"/>
  </r>
  <r>
    <x v="3090"/>
    <x v="3741"/>
    <x v="0"/>
    <n v="0"/>
    <s v="LINESTRING (8.00132346707131 58.15593076612523, 8.001078840765988 58.156125093676295, 8.001010115197369 58.156182225019144)"/>
    <s v="[1986654, 1986662]"/>
    <s v="[1746036, 1453550]"/>
    <s v="#FIELD!"/>
    <s v="[1025295, 1746036]"/>
    <s v="[0.009, 0.024]"/>
    <s v="33.826829462271306"/>
    <s v="[-0.009, 0.024]"/>
  </r>
  <r>
    <x v="3091"/>
    <x v="3729"/>
    <x v="0"/>
    <n v="0"/>
    <s v="LINESTRING (23.364916463891443 69.97354325625743, 23.364863905178847 69.97360134789058, 23.364771076794845 69.9736282555119, 23.364657367659806 69.97363870227313, 23.36448116298326 69.97361910762683)"/>
    <s v="[1621795, 1621803, 1621812, 1621820]"/>
    <s v="[1282641, 1452176, 1282666, 1025340]"/>
    <s v="0.007138587322931283"/>
    <s v="[1025385, 1282641, 1452176, 1282666]"/>
    <s v="[0.202, 0.001, 0.021, 0.183]"/>
    <s v="23.03720272753678"/>
    <s v="[0.202, -0.001, 0.021, -0.183]"/>
  </r>
  <r>
    <x v="3092"/>
    <x v="3730"/>
    <x v="0"/>
    <n v="0"/>
    <s v="LINESTRING (23.364818782830707 69.97347500949867, 23.364897082303248 69.97351153535708, 23.364916463891443 69.97354325625743)"/>
    <s v="[1621779, 1621787]"/>
    <s v="[1452159, 1025385]"/>
    <s v="#FIELD!"/>
    <s v="[1025400, 1452159]"/>
    <s v="[0.26, 0.459]"/>
    <s v="8.679337808469608"/>
    <s v="[0.26, -0.459]"/>
  </r>
  <r>
    <x v="3093"/>
    <x v="3734"/>
    <x v="0"/>
    <n v="0"/>
    <s v="LINESTRING (23.370514966457492 69.97251726683893, 23.37064346408679 69.97243559341854, 23.370949114894394 69.97244127257675)"/>
    <s v="[1621844, 1621852]"/>
    <s v="[1025147, 1025538]"/>
    <s v="#FIELD!"/>
    <s v="[1025434, 1025147]"/>
    <s v="[0.038, 0.058]"/>
    <s v="22.98998455639664"/>
    <s v="[0.038, -0.058]"/>
  </r>
  <r>
    <x v="3093"/>
    <x v="3732"/>
    <x v="0"/>
    <n v="0"/>
    <s v="LINESTRING (23.37061800047926 69.97258697523331, 23.370546555786355 69.97255699820074, 23.370514966457492 69.97251726683893)"/>
    <s v="[1621908, 1621916]"/>
    <s v="[1452267, 1025434]"/>
    <s v="0.03336862673583377"/>
    <s v="[1025460, 1452267]"/>
    <s v="[0.121, 0.049]"/>
    <s v="8.919885032652818"/>
    <s v="[0.121, -0.049]"/>
  </r>
  <r>
    <x v="3094"/>
    <x v="3733"/>
    <x v="0"/>
    <n v="0"/>
    <s v="LINESTRING (23.371053686349587 69.97251217368796, 23.370995810535053 69.97257142402205, 23.370886937943904 69.97259972849545, 23.370769369289327 69.97260647467512, 23.37061800047926 69.97258697523331)"/>
    <s v="[1621876, 1621884, 1621892, 1621900]"/>
    <s v="[1025495, 1452245, 1025469, 1025460]"/>
    <s v="0.010763402136680028"/>
    <s v="[1025518, 1025495, 1452245, 1025469]"/>
    <s v="[0.033, 0.011, 0.025, 0.025]"/>
    <s v="22.956259937085363"/>
    <s v="[0.033, 0.011, 0.025, -0.025]"/>
  </r>
  <r>
    <x v="3095"/>
    <x v="3734"/>
    <x v="0"/>
    <n v="0"/>
    <s v="LINESTRING (23.370949114894394 69.97244127257675, 23.371021264713953 69.9724710352163, 23.371053686349587 69.97251217368796)"/>
    <s v="[1621860, 1621868]"/>
    <s v="[1452224, 1025518]"/>
    <s v="#FIELD!"/>
    <s v="[1025538, 1452224]"/>
    <s v="[0.045, 0.091]"/>
    <s v="9.078549857934757"/>
    <s v="[0.045, -0.091]"/>
  </r>
  <r>
    <x v="3096"/>
    <x v="3742"/>
    <x v="0"/>
    <n v="0"/>
    <s v="LINESTRING (18.913302776524358 69.6718458947718, 18.91404264701667 69.67182063358338, 18.915039447493886 69.67184713990676, 18.91756211533157 69.67158014589141, 18.917764092644614 69.67148950260912, 18.918211066361827 69.67130614064962)"/>
    <s v="[1814975, 1814943, 1066974, 1814951, 1814959]"/>
    <s v="[1597003, 1014560, 1014561, 1597008, 1024579]"/>
    <s v="0.012790625664611368"/>
    <s v="[1027717, 1597003, 1014560, 1014561, 1597008]"/>
    <s v="[0.041, 0.033, 0.01, 0.136, 0.001]"/>
    <s v="213.89230320446907"/>
    <s v="[0.041, -0.033, 0.01, 0.136, 0.001]"/>
  </r>
  <r>
    <x v="3097"/>
    <x v="3743"/>
    <x v="0"/>
    <n v="0"/>
    <s v="LINESTRING (10.75590618424437 59.89921763284885, 10.755887049658277 59.899237669578106, 10.755799147906325 59.89927844405829, 10.755660114531947 59.89928935335295, 10.75518720550988 59.898806917978185, 10.755291375063315 59.8987555100115, 10.755405949926352 59.89874704020017, 10.75549786084455 59.89876213474826, 10.755610051649448 59.898819793593034, 10.755694335237242 59.89888994978829, 10.755863462486717 59.899069303938546)"/>
    <s v="[1088360, 1088365, 1088366, 1088367, 1088374, 1088310, 1088327, 1088339, 1088344, 1088345]"/>
    <s v="[1032548, 1032551, 1032552, 1032553, 1032499, 1032500, 1032517, 1032530, 1032534, 1032535]"/>
    <s v="0.0007885827882555201"/>
    <s v="[1032542, 1032548, 1032551, 1032552, 1032553, 1032499, 1032500, 1032517, 1032530, 1032534]"/>
    <s v="[0.1, 0.133, 0.15, 0.0, 0.028, 0.029, 0.02, 0.004, 0.074, 0.054]"/>
    <s v="140.7319767357581"/>
    <s v="[-0.1, -0.133, -0.15, -0.0, 0.028, 0.029, 0.02, 0.004, 0.074, 0.054]"/>
  </r>
  <r>
    <x v="3097"/>
    <x v="2818"/>
    <x v="0"/>
    <n v="0"/>
    <s v="LINESTRING (10.755863462486717 59.899069303938546, 10.755940231018986 59.89907866760742, 10.756078484963233 59.89908981645642, 10.75822914262702 59.90004821254978, 10.758956961673908 59.900747583754416, 10.759003151576643 59.90084687466829)"/>
    <s v="[1928962, 1928970, 1928978, 1928986, 1928994]"/>
    <s v="[1692609, 1692617, 1692625, 1692632, 1692549]"/>
    <s v="0.028474415929099522"/>
    <s v="[1032535, 1692609, 1692617, 1692625, 1692632]"/>
    <s v="[0.165, 0.164, 0.013, 0.044, 0.003]"/>
    <s v="284.972694059838"/>
    <s v="[0.165, 0.164, 0.013, 0.044, -0.003]"/>
  </r>
  <r>
    <x v="3098"/>
    <x v="3744"/>
    <x v="0"/>
    <n v="0"/>
    <s v="LINESTRING (10.758708113023587 59.900755820299935, 10.758599898380172 59.90068389687209, 10.757502754685959 59.89985850352385, 10.756174478319267 59.89918040140625, 10.755964829006935 59.89920313249233, 10.75590618424437 59.89921763284885)"/>
    <s v="[1928753, 1928761, 1928769, 1928777, 1928785]"/>
    <s v="[1692461, 1692469, 1692475, 1692479, 1032542]"/>
    <s v="#FIELD!"/>
    <s v="[1086260, 1692461, 1692469, 1692475, 1692479]"/>
    <s v="[1.121, 0.007, 0.02, 0.163, 0.141]"/>
    <s v="247.67788839849777"/>
    <s v="[-1.121, 0.007, -0.02, -0.163, -0.141]"/>
  </r>
  <r>
    <x v="3099"/>
    <x v="3745"/>
    <x v="0"/>
    <s v="[0, 0, 0, 0, 0, 0, 1, 0, 0, 0, 0, 0, 0, 0, 0, 0, 0, 0, 0, 0, 0, 0, 0, 0, 0, 0, 0, 0, 0, 0, 0, 0, 0, 0, 0, 0, 0, 0, 0, 0, 0]"/>
    <s v="LINESTRING (10.377507577977894 59.95198283911446, 10.377588890566779 59.95231328901177, 10.3771634182383 59.95308573744092, 10.375763799131045 59.95413277937521, 10.370321298505843 59.956852186382534, 10.369183901543776 59.95727808542502, 10.369076011575107 59.957316023766566, 10.368974361205785 59.95735166312025, 10.367509385406795 59.957828977959124, 10.362249645736268 59.95870516301062, 10.361100424674763 59.95921422432388, 10.360534026948141 59.95963408171082, 10.35981642241297 59.96032652599942, 10.359474964767102 59.9606256895558, 10.358801919326138 59.9612558414624, 10.35834345856854 59.96159108280036, 10.35705000230197 59.96222562306386, 10.356923256211157 59.96229701092896, 10.356630654194522 59.96245197057049, 10.353312323817358 59.96363998291639, 10.3528441896791 59.963745696192056, 10.350889049639367 59.96398995361895, 10.350420573592169 59.96401918752445, 10.349726855096623 59.96401819791922, 10.347919290988395 59.96393814046944, 10.347642647898232 59.96392548181282, 10.347624841106061 59.96392467294161, 10.346865859006181 59.9638928244764, 10.34567310491159 59.96386177919565, 10.344977320513824 59.963890165291275, 10.344507655166415 59.963955501688154, 10.344385795925048 59.96397861747561, 10.34429828453299 59.96399602179914, 10.343975526763154 59.96407020084233, 10.343480058130082 59.9642359407187, 10.343110249846998 59.96443251076307, 10.343098957713085 59.96443945973593, 10.34201427866563 59.96526493999622, 10.341624751778458 59.96589934676944, 10.341294348694053 59.96681760435173, 10.341066517567883 59.96733054245124, 10.3410218840541 59.96742154975561)"/>
    <s v="[1782277, 1501343, 1501360, 1501373, 1501381, 1501389, 1501405, 1501416, 1501439, 1501446, 1501454, 1501467, 1501475, 1501491, 1501539, 1501554, 1501562, 1501574, 1501592, 1501600, 1090637, 1090645, 1090653, 1090662, 1090670, 1090678, 1090686, 1090694, 2159791, 1090702, 1090710, 1090718, 1090726, 1090734, 1090742, 1090750, 1090758, 1090766, 1090774, 1090782, 1090790]"/>
    <s v="[1358102, 1358103, 1358108, 1358115, 1358118, 1358125, 1358135, 1358146, 1358164, 1351138, 465098, 465105, 465117, 465128, 1358218, 1358225, 1358230, 1351167, 465426, 1034500, 1034501, 1034508, 1034515, 1034522, 1034528, 1034536, 827395, 1034546, 1034555, 1034556, 1034562, 1034569, 1034574, 1034578, 1034584, 1034590, 1034596, 1034602, 1034608, 1034613, 1034617]"/>
    <s v="0.022770991164230456"/>
    <s v="[1571968, 1358102, 1358103, 1358108, 1358115, 1358118, 1358125, 1358135, 1358146, 1358164, 1351138, 465098, 465105, 465117, 465128, 1358218, 1358225, 1358230, 1351167, 465426, 1034500, 1034501, 1034508, 1034515, 1034522, 1034528, 1034536, 827395, 1034546, 1034555, 1034556, 1034562, 1034569, 1034574, 1034578, 1034584, 1034590, 1034596, 1034602, 1034608, 1034613]"/>
    <s v="[0.118, 0.009, 0.056, 0.046, 0.003, 0.064, 0.053, 0.012, 0.052, 0.001, 0.014, 0.068, 0.027, 0.057, 0.052, 0.037, 0.026, 0.038, 0.024, 0.136, 0.033, 0.051, 0.035, 0.065, 0.086, 0.012, 0.083, 0.022, 0.013, 0.001, 0.0, 0.006, 0.003, 0.018, 0.062, 0.026, 0.049, 0.014, 0.002, 0.016, 0.037]"/>
    <s v="2920.3268385028864"/>
    <s v="[-0.118, 0.009, 0.056, 0.046, 0.003, 0.064, 0.053, -0.012, 0.052, -0.001, 0.014, 0.068, -0.027, 0.057, 0.052, 0.037, 0.026, -0.038, 0.024, -0.136, 0.033, 0.051, 0.035, 0.065, 0.086, 0.012, 0.083, 0.022, -0.013, -0.001, -0.0, 0.006, 0.003, -0.018, -0.062, -0.026, -0.049, -0.014, 0.002, -0.016, -0.037]"/>
  </r>
  <r>
    <x v="3100"/>
    <x v="3746"/>
    <x v="0"/>
    <n v="0"/>
    <s v="LINESTRING (10.321928131944041 59.97854170840762, 10.320633653509686 59.97902767787282, 10.32030467268398 59.979123330704816, 10.31367899584481 59.981056657794674, 10.313568235951058 59.981088731417515, 10.313356386773188 59.98115150448183, 10.311348972234331 59.98184253310536, 10.310954579441814 59.9820216692198, 10.310521647493534 59.982243091179136)"/>
    <s v="[1090798, 1090806, 1090814, 1090822, 1090830, 1090838, 1090846, 1090854]"/>
    <s v="[1034626, 1034634, 1034642, 1034647, 1034652, 1034659, 1034666, 1034671]"/>
    <s v="#FIELD!"/>
    <s v="[1034625, 1034626, 1034634, 1034642, 1034647, 1034652, 1034659, 1034666]"/>
    <s v="[0.186, 0.215, 0.046, 0.327, 0.277, 0.153, 0.143, 0.174]"/>
    <s v="761.3946402393296"/>
    <s v="[0.186, 0.215, -0.046, -0.327, -0.277, -0.153, -0.143, -0.174]"/>
  </r>
  <r>
    <x v="3100"/>
    <x v="3483"/>
    <x v="0"/>
    <n v="0"/>
    <m/>
    <n v="2159783"/>
    <n v="1034625"/>
    <s v="#FIELD!"/>
    <n v="1804949"/>
    <s v="0.043"/>
    <s v="236.71224656014215"/>
    <s v="#FIELD!"/>
  </r>
  <r>
    <x v="3100"/>
    <x v="3484"/>
    <x v="0"/>
    <n v="0"/>
    <s v="LINESTRING (10.325874003465213 59.97688541698654, 10.324454107570766 59.9772296018102, 10.321928131944041 59.97854170840762)"/>
    <s v="[2159751, 2159759]"/>
    <s v="[1849730, 1034625]"/>
    <s v="#FIELD!"/>
    <s v="[1804954, 1849730]"/>
    <s v="[0.08, 0.043]"/>
    <s v="293.2359924991"/>
    <s v="[-0.08, -0.043]"/>
  </r>
  <r>
    <x v="3101"/>
    <x v="206"/>
    <x v="0"/>
    <n v="0"/>
    <s v="LINESTRING (10.310521647493534 59.982243091179136, 10.309781192127355 59.98271861093213, 10.308924303924009 59.98329394751382, 10.308656716413786 59.98348291684963, 10.30840693258838 59.98365631179925)"/>
    <s v="[2158796, 2158804, 2158812, 2158820]"/>
    <s v="[1849127, 1849132, 1849137, 1849142]"/>
    <s v="#FIELD!"/>
    <s v="[1034671, 1849127, 1849132, 1849137]"/>
    <s v="[0.07, 0.169, 0.143, 0.149]"/>
    <s v="197.57482817408626"/>
    <s v="[-0.07, -0.169, -0.143, -0.149]"/>
  </r>
  <r>
    <x v="3101"/>
    <x v="208"/>
    <x v="0"/>
    <n v="0"/>
    <s v="LINESTRING (10.310521647493534 59.982243091179136, 10.30966934512774 59.982689409132945, 10.309185573653037 59.98301317208627)"/>
    <s v="[2158868, 2158876]"/>
    <s v="[1849171, 1849176]"/>
    <s v="#FIELD!"/>
    <s v="[1034671, 1849171]"/>
    <s v="[0.119, 0.168]"/>
    <s v="114.94036316707752"/>
    <s v="[-0.119, -0.168]"/>
  </r>
  <r>
    <x v="3102"/>
    <x v="206"/>
    <x v="0"/>
    <n v="0"/>
    <s v="LINESTRING (10.30840693258838 59.98365631179925, 10.305032270477314 59.987592405811846, 10.304981477114483 59.98763495635766, 10.30346757953594 59.98866996741296, 10.30329013024211 59.98877913083917, 10.302350023080756 59.989566934825845)"/>
    <s v="[2158828, 2158836, 2158844, 2158852, 2158860]"/>
    <s v="[1849149, 1849153, 1849158, 1849165, 1034678]"/>
    <s v="#FIELD!"/>
    <s v="[1849142, 1849149, 1849153, 1849158, 1849165]"/>
    <s v="[0.006, 0.025, 0.086, 0.144, 0.106]"/>
    <s v="749.765507815027"/>
    <s v="[0.006, -0.025, -0.086, -0.144, -0.106]"/>
  </r>
  <r>
    <x v="3102"/>
    <x v="208"/>
    <x v="0"/>
    <n v="0"/>
    <s v="LINESTRING (10.309185573653037 59.98301317208627, 10.308785613418703 59.98328100447876, 10.308508483359455 59.98347498541881, 10.30476138349867 59.98770467267546, 10.304712422262511 59.9877440504299, 10.303261000241783 59.98870019198782, 10.303097014550865 59.98879898780558, 10.303092921887574 59.98880163918479, 10.302350023080756 59.989566934825845)"/>
    <s v="[2158884, 2158892, 2158900, 2158908, 2158916, 2158924, 2158932, 2158940]"/>
    <s v="[1849179, 1849184, 1849123, 1849192, 1849197, 1849118, 1849206, 1034678]"/>
    <s v="#FIELD!"/>
    <s v="[1849176, 1849179, 1849184, 1849123, 1849192, 1849197, 1849118, 1849206]"/>
    <s v="[0.165, 0.159, 0.0, 0.034, 0.101, 0.14, 0.717, 0.062]"/>
    <s v="835.6225584708404"/>
    <s v="[-0.165, -0.159, -0.0, -0.034, -0.101, -0.14, -0.717, -0.062]"/>
  </r>
  <r>
    <x v="3103"/>
    <x v="131"/>
    <x v="0"/>
    <n v="0"/>
    <s v="LINESTRING (10.282484663011644 60.00297982402645, 10.281241009666324 60.00369736853957, 10.277506154218788 60.00561192032064, 10.277436678001877 60.00564057932419, 10.270946364498565 60.01057648162931, 10.268125812660783 60.01938098782433, 10.268369739832252 60.02443652376861, 10.268385806788691 60.02450564828933, 10.268386296167964 60.024507626676574, 10.268409846343628 60.024607565436355, 10.268890505351315 60.026787665966154, 10.268936405622865 60.026985296387664, 10.269227640690131 60.028305414127935, 10.271090117929734 60.03204404429368, 10.271690393341107 60.0371395243099, 10.276632140371557 60.04571708045239, 10.280288037348917 60.05083267934192, 10.28133226843177 60.051368633298694, 10.281429271751756 60.05144559683234)"/>
    <s v="[2080220, 2080228, 2080236, 2080244, 2080252, 2080260, 2080268, 2080276, 2080284, 2080300, 2080308, 2080316, 2080324, 2080332, 2080340, 2080348, 2080356, 2080364]"/>
    <s v="[1803726, 1803733, 1803739, 1803744, 1803750, 1803755, 1803759, 1803766, 1803772, 1803788, 1803795, 1803803, 1803809, 1803818, 1803825, 1803832, 1803837, 1263193]"/>
    <s v="#FIELD!"/>
    <s v="[1034760, 1803726, 1803733, 1803739, 1803744, 1803750, 1803755, 1803759, 1803766, 1803772, 1803788, 1803795, 1803803, 1803809, 1803818, 1803825, 1803832, 1803837]"/>
    <s v="[0.149, 0.053, 0.0, 0.019, 0.011, 0.014, 0.006, 0.0, 0.01, 0.012, 0.013, 0.021, 0.005, 0.059, 0.047, 0.047, 0.04, 0.208]"/>
    <s v="5818.809097749945"/>
    <s v="[0.149, -0.053, 0.0, -0.019, 0.011, 0.014, 0.006, 0.0, -0.01, -0.012, -0.013, -0.021, -0.005, -0.059, -0.047, -0.047, -0.04, 0.208]"/>
  </r>
  <r>
    <x v="3103"/>
    <x v="135"/>
    <x v="331"/>
    <n v="0"/>
    <s v="LINESTRING (10.282484663011644 60.00297982402645, 10.281181748407112 60.0036705029536, 10.277431668196582 60.005590659875274, 10.277361745201144 60.005619302832535, 10.270869512706437 60.01057797907823, 10.268043111983188 60.019375627180374, 10.268281183965687 60.02443706981592, 10.268297582772277 60.0245062602277, 10.268321290687796 60.024609235856474, 10.268803749172173 60.02679078658201, 10.268849487041114 60.02698779059105, 10.269143757552875 60.02831015821961, 10.270960015710934 60.032057773074705, 10.271571487118836 60.037155157628014, 10.276515333502715 60.04572752326812, 10.28021097088819 60.05086759146789)"/>
    <s v="[2080372, 2080380, 2080388, 2080396, 2080404, 2080412, 2080420, 2080436, 2080444, 2080460, 2080468, 2080476, 2080484, 2080492, 2080500]"/>
    <s v="[1803849, 1803858, 1803863, 1803868, 1803873, 1803878, 1803883, 1803896, 1803899, 1803909, 1803912, 1803917, 1803918, 1803923, 1803928]"/>
    <s v="#FIELD!"/>
    <s v="[1034760, 1803849, 1803858, 1803863, 1803868, 1803873, 1803878, 1803883, 1803896, 1803899, 1803909, 1803912, 1803917, 1803918, 1803923]"/>
    <s v="[0.131, 0.05, 0.0, 0.02, 0.011, 0.015, 0.007, 0.009, 0.011, 0.012, 0.02, 0.005, 0.059, 0.047, 0.046]"/>
    <s v="5732.241644610439"/>
    <s v="[0.131, -0.05, 0.0, -0.02, 0.011, 0.015, 0.007, -0.009, -0.011, -0.012, -0.02, -0.005, -0.059, -0.047, -0.046]"/>
  </r>
  <r>
    <x v="3104"/>
    <x v="3747"/>
    <x v="0"/>
    <n v="0"/>
    <s v="LINESTRING (10.09712954595728 60.35511745976049, 10.097043105900994 60.35524677264592, 10.096761366264275 60.3553974506094)"/>
    <s v="[1830409, 1830417]"/>
    <s v="[1607236, 1035188]"/>
    <s v="#FIELD!"/>
    <s v="[1035179, 1607236]"/>
    <s v="[0.035, 0.041]"/>
    <s v="40.241062327400115"/>
    <s v="[-0.035, -0.041]"/>
  </r>
  <r>
    <x v="3104"/>
    <x v="3747"/>
    <x v="0"/>
    <n v="0"/>
    <s v="LINESTRING (10.09712954595728 60.35511745976049, 10.096915511181109 60.355206751759226, 10.096761366264275 60.3553974506094)"/>
    <s v="[1830425, 1830433]"/>
    <s v="[1607247, 1035188]"/>
    <s v="#FIELD!"/>
    <s v="[1035179, 1607247]"/>
    <s v="[0.036, 0.039]"/>
    <s v="41.24981566151978"/>
    <s v="[-0.036, -0.039]"/>
  </r>
  <r>
    <x v="3105"/>
    <x v="299"/>
    <x v="332"/>
    <n v="0"/>
    <s v="LINESTRING (10.096761366264275 60.3553974506094, 9.988731282095815 60.56325322109984)"/>
    <m/>
    <m/>
    <s v="0.0"/>
    <m/>
    <n v="0"/>
    <s v="21365.400605663388"/>
    <n v="0"/>
  </r>
  <r>
    <x v="3106"/>
    <x v="2460"/>
    <x v="0"/>
    <s v="[0, 0, 0, 1, 1, 0, 0]"/>
    <s v="LINESTRING (8.697827339642757 58.42790000244936, 8.699215576209367 58.426399717987096, 8.699330352994446 58.42621540555487, 8.699931934762375 58.42439211600531, 8.699977625739281 58.42345025440964, 8.699870037468225 58.422480475656776, 8.699659762231548 58.42144626081902, 8.69962790033813 58.42131087494018)"/>
    <s v="[1092875, 1398324, 1398332, 1398340, 1398348, 1398356, 1398364]"/>
    <s v="[1036432, 1280488, 1280489, 1280493, 1280498, 1280503, 1280442]"/>
    <s v="#FIELD!"/>
    <s v="[1036367, 1036432, 1280488, 1280489, 1280493, 1280498, 1280503]"/>
    <s v="[0.053, 0.044, 0.017, 0.033, 0.017, 0.003, 0.003]"/>
    <s v="759.500529746662"/>
    <s v="[-0.053, -0.044, -0.017, 0.033, 0.017, -0.003, 0.003]"/>
  </r>
  <r>
    <x v="3106"/>
    <x v="3748"/>
    <x v="0"/>
    <s v="[0, 0, 1, 0, 0, 0, 1, 0, 1, 0, 1, 0, 1, 0, 1, 0, 0, 0]"/>
    <s v="LINESTRING (8.707872207748371 58.453323278824406, 8.705431456224787 58.44977498260841, 8.703187758735048 58.44815394532996, 8.703141414322792 58.44812977582899, 8.700780813866567 58.447135348469544, 8.696391127997112 58.44497510335526, 8.693755273811167 58.442537238596444, 8.693667990833841 58.442430258111074, 8.693453164841486 58.442162162973034, 8.693313612221976 58.441982803023166, 8.692563986224492 58.440869000824236, 8.692536022803173 58.44082195826321, 8.690463486889048 58.43625582342001, 8.69045298013901 58.436225403598115, 8.690869876127291 58.43232144188852, 8.690891523514386 58.43229270076095, 8.69323955950872 58.43046214556807, 8.695430009678955 58.429358932394905, 8.697827339642757 58.42790000244936)"/>
    <s v="[1092996, 1093004, 1093012, 1093020, 1093028, 1093043, 1093051, 1093059, 1093067, 1093075, 1092811, 1092819, 1092827, 1092835, 1092843, 1092851, 1092859, 1092867]"/>
    <s v="[1036537, 1036542, 1036548, 1036556, 1036564, 1036575, 1036579, 1036585, 1036595, 1036381, 1036382, 1036386, 1036392, 1036398, 1036406, 1036413, 1036420, 1036367]"/>
    <s v="#FIELD!"/>
    <s v="[1036515, 1036537, 1036542, 1036548, 1036556, 1036564, 1036575, 1036579, 1036585, 1036595, 1036381, 1036382, 1036386, 1036392, 1036398, 1036406, 1036413, 1036420]"/>
    <s v="[0.004, 0.052, 0.012, 0.001, 0.004, 0.022, 0.06, 0.068, 0.078, 0.013, 0.038, 0.006, 0.001, 0.005, 0.005, 0.026, 0.065, 0.045]"/>
    <s v="3311.1391766412917"/>
    <s v="[-0.004, -0.052, 0.012, -0.001, -0.004, -0.022, -0.06, -0.068, -0.078, 0.013, 0.038, 0.006, -0.001, 0.005, 0.005, -0.026, 0.065, -0.045]"/>
  </r>
  <r>
    <x v="3107"/>
    <x v="3749"/>
    <x v="0"/>
    <s v="[0, 0, 0, 0, 1, 1, 0]"/>
    <s v="LINESTRING (8.695525333869746 58.42937379779515, 8.69784698622736 58.427968797661194, 8.69929351764823 58.42641334473963, 8.699407608817536 58.426227683516515, 8.70000901359974 58.42439501857653, 8.700057496900232 58.423449827422274, 8.699947253601572 58.422477801348606, 8.699724826493219 58.421381132725635)"/>
    <s v="[1092939, 1092947, 1398252, 1398260, 1398276, 1398284, 1398292]"/>
    <s v="[1036488, 1036495, 1280453, 1280458, 1280465, 1280471, 1280449]"/>
    <s v="#FIELD!"/>
    <s v="[1036375, 1036488, 1036495, 1280453, 1280458, 1280465, 1280471]"/>
    <s v="[0.048, 0.051, 0.046, 0.016, 0.038, 0.021, 0.006]"/>
    <s v="968.0636925202177"/>
    <s v="[-0.048, -0.051, -0.046, -0.016, 0.038, 0.021, -0.006]"/>
  </r>
  <r>
    <x v="3107"/>
    <x v="2352"/>
    <x v="333"/>
    <s v="[0, 0, 1, 0, 1, 0, 1, 0, 1, 0, 1, 0, 0]"/>
    <s v="LINESTRING (8.700757731553761 58.44705948602213, 8.696457318652971 58.44491643434477, 8.693854945834019 58.442500641170184, 8.693772955960302 58.44240148732762, 8.693563877608323 58.442137728983354, 8.69342671802121 58.441959387953986, 8.692690982457828 58.44086959861458, 8.692665175529333 58.44082680544844, 8.690584055568864 58.4362567367038, 8.690573358774763 58.43622450625767, 8.69098680274874 58.43233586474681, 8.691011744456576 58.43230503479993, 8.69333316885998 58.43049240953868, 8.695525333869746 58.42937379779515)"/>
    <s v="[1093139, 1093147, 1093155, 1093163, 1093171, 1093179, 1092883, 1092891, 1092899, 1092907, 1092915, 1092923, 1092931]"/>
    <s v="[1036656, 1036662, 1036668, 1036676, 1036686, 1036440, 1036441, 1036448, 1036454, 1036459, 1036467, 1036473, 1036375]"/>
    <s v="#FIELD!"/>
    <s v="[1036502, 1036656, 1036662, 1036668, 1036676, 1036686, 1036440, 1036441, 1036448, 1036454, 1036459, 1036467, 1036473]"/>
    <s v="[0.003, 0.024, 0.057, 0.064, 0.075, 0.008, 0.038, 0.007, 0.001, 0.004, 0.002, 0.025, 0.066]"/>
    <s v="2253.897914656643"/>
    <s v="[-0.003, -0.024, -0.057, -0.064, -0.075, 0.008, 0.038, 0.007, -0.001, 0.004, 0.002, -0.025, 0.066]"/>
  </r>
  <r>
    <x v="3107"/>
    <x v="3750"/>
    <x v="0"/>
    <n v="0"/>
    <s v="LINESTRING (8.699430845926441 58.42717481101129, 8.699430845926441 58.42717481101129, 8.699362610443071 58.427165932250325, 8.695821588541943 58.42924522566862, 8.695525333869746 58.42937379779515)"/>
    <s v="[1763696, 1763704, 1763712, 1092803]"/>
    <s v="[1558576, 1558581, 1036374, 1036375]"/>
    <s v="0.05605516653650948"/>
    <s v="[271969, 1558576, 1558581, 1036374]"/>
    <s v="[0.0, 0.103, 0.062, 0.026]"/>
    <s v="350.71524162888693"/>
    <s v="[0.0, 0.103, 0.062, -0.026]"/>
  </r>
  <r>
    <x v="3108"/>
    <x v="2351"/>
    <x v="0"/>
    <s v="[0, 1, 0]"/>
    <s v="LINESTRING (8.705470872783485 58.449700606980564, 8.703268113396337 58.44811972036043, 8.703226801913019 58.4480981405849, 8.700757731553761 58.44705948602213)"/>
    <s v="[1093115, 1093123, 1093131]"/>
    <s v="[1036638, 1036644, 1036502]"/>
    <s v="#FIELD!"/>
    <s v="[1036510, 1036638, 1036644]"/>
    <s v="[0.054, 0.009, 0.001]"/>
    <s v="407.60308312468965"/>
    <s v="[-0.054, 0.009, -0.001]"/>
  </r>
  <r>
    <x v="3109"/>
    <x v="3209"/>
    <x v="0"/>
    <s v="[0, 1, 0, 0, 1, 0, 0, 0, 1, 0, 0]"/>
    <s v="LINESTRING (8.719183290170351 58.46052020363819, 8.714132036711224 58.45853884562355, 8.713963568561963 58.458458598476476, 8.711641718267023 58.45718242884768, 8.71093274619837 58.456699063760645, 8.71084475643059 58.45663583248438, 8.709938618194522 58.45589288992461, 8.709750736627921 58.455713325142135, 8.708797292871147 58.45462690169168, 8.708773267893884 58.454595097824885, 8.707972665356978 58.45331104304679, 8.705470872783485 58.449700606980564)"/>
    <s v="[1146517, 1146525, 1146533, 1146542, 1146550, 1146558, 1146566, 1093083, 1093091, 1093099, 1093107]"/>
    <s v="[1082249, 1082254, 1082257, 1082263, 1082266, 1082273, 1036608, 1036609, 1036618, 1036626, 1036510]"/>
    <s v="0.0005806031336719258"/>
    <s v="[1081944, 1082249, 1082254, 1082257, 1082263, 1082266, 1082273, 1036608, 1036609, 1036618, 1036626]"/>
    <s v="[0.024, 0.028, 0.025, 0.021, 0.007, 0.01, 0.029, 0.027, 0.03, 0.025, 0.005]"/>
    <s v="1494.5766934540898"/>
    <s v="[-0.024, -0.028, 0.025, 0.021, 0.007, -0.01, -0.029, 0.027, 0.03, 0.025, -0.005]"/>
  </r>
  <r>
    <x v="3110"/>
    <x v="3751"/>
    <x v="0"/>
    <s v="[0, 1, 0, 0, 0, 1, 0]"/>
    <s v="LINESTRING (8.711451657693091 58.457147082249826, 8.71088165325287 58.456754998112224, 8.710792855083243 58.456689565545474, 8.709853235107538 58.455918388138436, 8.709658406400582 58.45573894947756, 8.708708960573524 58.4546595667887, 8.708686601173014 58.45462901572013, 8.707872207748371 58.453323278824406)"/>
    <s v="[1146333, 1146341, 1146349, 1146357, 1092970, 1092980, 1092988]"/>
    <s v="[1082108, 1082115, 1082120, 1036516, 1036517, 1036526, 1036515]"/>
    <s v="0.013804025970260205"/>
    <s v="[1081951, 1082108, 1082115, 1082120, 1036516, 1036517, 1036526]"/>
    <s v="[0.02, 0.007, 0.011, 0.03, 0.026, 0.036, 0.024]"/>
    <s v="478.5398855417329"/>
    <s v="[0.02, 0.007, -0.011, -0.03, 0.026, 0.036, 0.024]"/>
  </r>
  <r>
    <x v="3110"/>
    <x v="3752"/>
    <x v="0"/>
    <s v="[0, 0, 0, 0, 1, 0, 0]"/>
    <s v="LINESTRING (8.708720403500736 58.45587442311154, 8.708815375196872 58.4558671398385, 8.708930875162629 58.45584867311428, 8.70929134880663 58.455487446866385, 8.708660698496333 58.454677372741784, 8.70863859530336 58.454647788928035, 8.707989725492874 58.45359168506604, 8.707872207748371 58.453323278824406)"/>
    <s v="[1750439, 1750447, 1750455, 1750464, 1750469, 1750485, 1092969]"/>
    <s v="[1551009, 1551011, 1551014, 1551020, 1551023, 1036514, 1036515]"/>
    <s v="0.02503021324703547"/>
    <s v="[1550904, 1551009, 1551011, 1551014, 1551020, 1551023, 1036514]"/>
    <s v="[0.022, 0.027, 0.03, 0.012, 0.012, 0.035, 0.02]"/>
    <s v="317.0891352107374"/>
    <s v="[0.022, 0.027, 0.03, 0.012, 0.012, 0.035, 0.02]"/>
  </r>
  <r>
    <x v="3111"/>
    <x v="3753"/>
    <x v="334"/>
    <n v="0"/>
    <s v="LINESTRING (7.1068269145456675 58.15779086690385, 7.106543686456745 58.157710986975694, 7.10614619507347 58.157577105996495, 7.104422962437861 58.15718828935332, 7.104292794377116 58.15717250718725, 7.104088836967358 58.15714792623239, 7.103861155491488 58.15712305811651, 7.103679491943742 58.157106178978175, 7.103551557314934 58.15709607348067, 7.102964294976541 58.15706703811833, 7.1028132698870445 58.15706566838608, 7.102702463741034 58.15706515291101, 7.102044305408058 58.15707213461437, 7.099521022057583 58.15713576881372)"/>
    <s v="[1096619, 1096627, 1096635, 1096643, 1096651, 1096659, 1096667, 1096675, 1096683, 1096691, 1096699, 1096707, 1096715]"/>
    <s v="[1039414, 1039424, 1039431, 1039442, 1039453, 1039460, 1039470, 1039481, 1039489, 596675, 1039503, 1039509, 1039517]"/>
    <s v="0.0045250898452564746"/>
    <s v="[1039413, 1039414, 1039424, 1039431, 1039442, 1039453, 1039460, 1039470, 1039481, 1039489, 596675, 1039503, 1039509]"/>
    <s v="[0.002, 0.003, 0.002, 0.005, 0.01, 0.007, 0.015, 0.012, 0.015, 0.021, 0.021, 0.005, 0.002]"/>
    <s v="448.41057803213005"/>
    <s v="[0.002, -0.003, 0.002, 0.005, 0.01, 0.007, 0.015, 0.012, 0.015, 0.021, 0.021, 0.005, 0.002]"/>
  </r>
  <r>
    <x v="3111"/>
    <x v="3753"/>
    <x v="0"/>
    <n v="0"/>
    <s v="LINESTRING (7.1068269145456675 58.15779086690385, 7.106577780416629 58.15768434440486, 7.106184499305867 58.15754964324016, 7.104447042086338 58.157121596738044, 7.104326818166645 58.157104305100326, 7.103920488661501 58.15705775827689, 7.103728830222673 58.157038714300334, 7.103610366073971 58.157028305670984, 7.102957192744434 58.15699991890175, 7.102921499349291 58.15699966212211, 7.102807329175089 58.15699892818138, 7.102735799598158 58.156999055083425, 7.102708651500643 58.156999123039334, 7.1020658643641275 58.15701424226951, 7.102050089103042 58.1570149644013, 7.099521022057583 58.15713576881372)"/>
    <s v="[1185467, 1185475, 1185483, 1185491, 1185499, 1185507, 1185515, 1185523, 1185531, 1185539, 1185547, 1185555, 1185563, 1185571, 1185579]"/>
    <s v="[1114674, 1114679, 1109223, 1114687, 1114691, 1114698, 1114703, 1114709, 596664, 1114722, 1114731, 1114739, 1114746, 1114751, 1039517]"/>
    <s v="0.004615088944730889"/>
    <s v="[1039413, 1114674, 1114679, 1109223, 1114687, 1114691, 1114698, 1114703, 1114709, 596664, 1114722, 1114731, 1114739, 1114746, 1114751]"/>
    <s v="[0.011, 0.003, 0.0, 0.003, 0.01, 0.009, 0.011, 0.015, 0.023, 0.019, 0.02, 0.022, 0.008, 0.005, 0.005]"/>
    <s v="452.8600678981566"/>
    <s v="[-0.011, -0.003, -0.0, 0.003, 0.01, 0.009, 0.011, 0.015, 0.023, 0.019, 0.02, 0.022, 0.008, 0.005, 0.005]"/>
  </r>
  <r>
    <x v="3112"/>
    <x v="3754"/>
    <x v="0"/>
    <n v="0"/>
    <s v="LINESTRING (7.099521022057583 58.15713576881372, 7.0961155690893225 58.157251476959544, 7.0959821651559185 58.1572565555704, 7.095736812489702 58.15726470344742, 7.095644386283655 58.15726777212386, 7.093432563566308 58.157343802235594, 7.092423058598491 58.15740244651599)"/>
    <s v="[1351026, 1351034, 1351042, 1351050, 1351058, 1351066]"/>
    <s v="[1107510, 1251238, 1251243, 1251249, 1109569, 1251253]"/>
    <s v="#FIELD!"/>
    <s v="[1039517, 1107510, 1251238, 1251243, 1251249, 1109569]"/>
    <s v="[0.022, 0.012, 0.016, 0.03, 0.031, 0.033]"/>
    <s v="419.9284986386106"/>
    <s v="[-0.022, 0.012, 0.016, 0.03, 0.031, -0.033]"/>
  </r>
  <r>
    <x v="3113"/>
    <x v="3755"/>
    <x v="0"/>
    <n v="0"/>
    <s v="LINESTRING (7.020099876373293 58.216973909551655, 7.018749933045838 58.217866167050936, 7.018519827492723 58.21802039794488, 7.01657990370368 58.219218817054525, 7.016447845912627 58.21928012526541, 7.014658487250757 58.219895892514785, 7.01445002403926 58.219951344859, 7.014441022053654 58.21995350279625, 7.014366890040004 58.219971959219166, 7.012439284299349 58.220424403988446, 7.01239597679232 58.220433026828196, 7.012323743224739 58.22044625209851, 7.012234188066492 58.22046425083204, 7.012196036713594 58.22047161944101, 7.010722521467458 58.22072351019009, 7.008530286461718 58.220939502338766, 7.007757883961729 58.2209550929538)"/>
    <s v="[1096723, 1096731, 1096739, 1096747, 1173468, 1173388, 1173396, 1173404, 1173412, 1173428, 1173476, 1173484, 1173228, 1173236, 1173244, 1177665]"/>
    <s v="[1039524, 1039532, 1039539, 1039546, 1105759, 1105760, 1105767, 1105773, 1105778, 1105787, 1105823, 1105624, 1105625, 1105631, 1105640, 1108862]"/>
    <s v="0.0368987162420052"/>
    <s v="[1039523, 1039524, 1039532, 1039539, 1039546, 1105759, 1105760, 1105767, 1105773, 1105778, 1105787, 1105823, 1105624, 1105625, 1105631, 1105640]"/>
    <s v="[0.079, 0.069, 0.06, 0.071, 0.058, 0.108, 0.134, 0.095, 0.075, 0.039, 0.045, 0.067, 0.014, 0.022, 0.023, 0.003]"/>
    <s v="889.3827110696461"/>
    <s v="[0.079, 0.069, 0.06, 0.071, -0.058, 0.108, 0.134, 0.095, 0.075, 0.039, 0.045, 0.067, 0.014, 0.022, 0.023, 0.003]"/>
  </r>
  <r>
    <x v="3113"/>
    <x v="3755"/>
    <x v="0"/>
    <n v="0"/>
    <s v="LINESTRING (7.020099876373293 58.216973909551655, 7.018704308596236 58.21784714998857, 7.018473738596183 58.21800146886513, 7.016386773468121 58.219266748030776, 7.014425106488903 58.21992422019982, 7.014420136283229 58.21992533279072, 7.014345287313412 58.219942120288174, 7.012394617970891 58.22035365470707, 7.012282581415942 58.22037573236373, 7.012139375528643 58.22040394004209, 7.010671738471661 58.22065767052537, 7.01047304991623 58.220687083637316, 7.008526732671943 58.22090608070305, 7.007757883961729 58.2209550929538)"/>
    <s v="[1185587, 1185595, 1185603, 1173284, 1173292, 1173300, 1173308, 1173324, 1173260, 1173268, 1173276, 1173252, 1177601]"/>
    <s v="[1114761, 1114769, 1105674, 1105675, 1105681, 1105691, 1105700, 1105655, 1105656, 1105661, 1105647, 1105648, 1108862]"/>
    <s v="0.03694414299060362"/>
    <s v="[1039523, 1114761, 1114769, 1105674, 1105675, 1105681, 1105691, 1105700, 1105655, 1105656, 1105661, 1105647, 1105648]"/>
    <s v="[0.096, 0.002, 0.051, 0.107, 0.123, 0.106, 0.082, 0.039, 0.062, 0.018, 0.026, 0.017, 0.004]"/>
    <s v="885.6843471808805"/>
    <s v="[0.096, 0.002, -0.051, 0.107, 0.123, 0.106, 0.082, 0.039, 0.062, 0.018, 0.026, 0.017, -0.004]"/>
  </r>
  <r>
    <x v="3113"/>
    <x v="3756"/>
    <x v="0"/>
    <s v="[1, 0, 0, 0, 0, 0, 0, 0, 0, 0, 0, 0, 0, 0, 0, 0, 0, 1, 0, 0, 0, 0, 0, 0, 0, 0, 0, 0, 0, 0, 0, 0, 0, 0, 0, 0, 0, 0, 1, 0, 0, 0, 0, 0, 0, 0, 1, 0, 0, 0, 0, 0]"/>
    <s v="LINESTRING (7.09109223192626 58.15757786767694, 7.090281394624726 58.15769280747384, 7.089855318652784 58.15775320819605, 7.087904086057708 58.1580317508887, 7.0854458118272055 58.158162279373094, 7.084506632075117 58.15810548892209, 7.079696404714784 58.15778132765535, 7.079339620549361 58.15775741516549, 7.074032881887837 58.15761549197528, 7.0736629568337985 58.15769714667515, 7.073403421898636 58.157767769414605, 7.072854675463581 58.15796397762639, 7.072343762613437 58.158208201820415, 7.0722144906834545 58.15827315711814, 7.070953031359608 58.15890118759525, 7.068872412540847 58.15993667701787, 7.0678106300167585 58.1602720080622, 7.0676588517478915 58.16029320008304, 7.067401477414294 58.160322479685526, 7.067263087351309 58.16032930935576, 7.064126560391186 58.16021587248025, 7.062291026810803 58.16045639705965, 7.0597332895175215 58.162339697200636, 7.059570117096487 58.16259243719728, 7.059042718839359 58.16341600156227, 7.0589186153370775 58.1636092526626, 7.059186828286222 58.16802050737815, 7.0593386760123815 58.168136197671515, 7.060637927560103 58.169116072705556, 7.060798644881243 58.17258338616872, 7.058670542565766 58.176349110782816, 7.059002409554493 58.176864445293916, 7.059125248321739 58.17705776253997, 7.058790276104648 58.18340547829638, 7.058076556703039 58.18392845815471, 7.04800457028644 58.18686667148507, 7.045736203257875 58.18824118195289, 7.046031771016887 58.19031183548253, 7.045976320083554 58.19128739785655, 7.045928002300237 58.191499242328184, 7.045460077521341 58.193513534251224, 7.045296932526716 58.19422308824609, 7.03754550996394 58.19719436097044, 7.035304043409394 58.1979399843601, 7.034766178434849 58.201151021285405, 7.034766609366269 58.20115987977035, 7.034787486996286 58.201656445214965, 7.034794172054038 58.20183385436088, 7.034864503246281 58.20361980133691, 7.0333439279184455 58.20594887712501, 7.032009408820503 58.207251907129105, 7.0218245889496345 58.21587402056271, 7.020099876373293 58.216973909551655)"/>
    <s v="[1351074, 1351082, 1351090, 1351098, 1351106, 1351114, 1351122, 1351130, 1351138, 1351146, 1351154, 1351162, 1351170, 1351178, 1351186, 1351194, 1351202, 1351210, 1351218, 1351226, 1351338, 1351346, 1351354, 1351362, 1351370, 1351378, 1351386, 1351394, 1351402, 1351410, 1351418, 1351426, 1351434, 1351442, 1351450, 1351458, 1351466, 1351474, 1351482, 1351490, 1351498, 1351506, 1351514, 1351523, 1351531, 1351539, 1351547, 1351555, 1351563, 1351571, 1351579, 1351587]"/>
    <s v="[1251260, 1251267, 879333, 1075571, 1073193, 1075423, 1073201, 1075433, 882906, 1251299, 1251305, 1073814, 652856, 902263, 1154976, 1251333, 1251340, 1251346, 608011, 1073834, 1251436, 1251443, 1068674, 1068675, 1251460, 871181, 887972, 1251480, 1095268, 1242650, 1251494, 1088981, 1251503, 1242550, 1074174, 883420, 1243143, 1251531, 1251538, 1073957, 897810, 911969, 1251560, 1251565, 1251570, 1251577, 1251585, 1074008, 1251593, 1107278, 1251603, 1039523]"/>
    <s v="0.023635203810723895"/>
    <s v="[1251259, 1251260, 1251267, 879333, 1075571, 1073193, 1075423, 1073201, 1075433, 882906, 1251299, 1251305, 1073814, 652856, 902263, 1154976, 1251333, 1251340, 1251346, 608011, 1073834, 1251436, 1251443, 1068674, 1068675, 1251460, 871181, 887972, 1251480, 1095268, 1242650, 1251494, 1088981, 1251503, 1242550, 1074174, 883420, 1243143, 1251531, 1251538, 1073957, 897810, 911969, 1251560, 1251565, 1251570, 1251577, 1251585, 1074008, 1251593, 1107278, 1251603]"/>
    <s v="[0.051, 0.011, 0.008, 0.001, 0.007, 0.017, 0.008, 0.003, 0.016, 0.009, 0.012, 0.017, 0.013, 0.01, 0.004, 0.018, 0.013, 0.011, 0.01, 0.018, 0.017, 0.005, 0.034, 0.047, 0.034, 0.003, 0.021, 0.024, 0.034, 0.036, 0.047, 0.066, 0.029, 0.002, 0.086, 0.059, 0.049, 0.025, 0.022, 0.023, 0.063, 0.056, 0.101, 0.059, 0.13, 0.104, 0.082, 0.041, 0.04, 0.061, 0.019, 0.012]"/>
    <s v="9526.295338368183"/>
    <s v="[-0.051, 0.011, 0.008, -0.001, 0.007, 0.017, 0.008, -0.003, 0.016, 0.009, 0.012, 0.017, 0.013, 0.01, 0.004, -0.018, 0.013, 0.011, 0.01, 0.018, 0.017, 0.005, 0.034, 0.047, 0.034, -0.003, -0.021, 0.024, 0.034, 0.036, 0.047, 0.066, 0.029, 0.002, 0.086, -0.059, -0.049, -0.025, -0.022, 0.023, 0.063, 0.056, 0.101, 0.059, -0.13, -0.104, -0.082, -0.041, 0.04, 0.061, 0.019, 0.012]"/>
  </r>
  <r>
    <x v="3114"/>
    <x v="3757"/>
    <x v="0"/>
    <n v="0"/>
    <m/>
    <n v="1762753"/>
    <n v="109767"/>
    <s v="0.136"/>
    <n v="1039958"/>
    <s v="0.136"/>
    <s v="56.271188524775205"/>
    <s v="0.136"/>
  </r>
  <r>
    <x v="3114"/>
    <x v="599"/>
    <x v="0"/>
    <s v="[0, 0, 1, 0, 0]"/>
    <s v="LINESTRING (8.941823160659544 58.65256973581796, 8.941959056976392 58.65253429425679, 8.941475918260073 58.65174430235736, 8.940773133482699 58.65093861765368, 8.940634889293824 58.65072030385592, 8.940506944743971 58.650505258866076)"/>
    <s v="[1097262, 1097270, 1097278, 1097286, 1105834]"/>
    <s v="[1039959, 1039964, 1039969, 1039974, 1046787]"/>
    <s v="#FIELD!"/>
    <s v="[1039958, 1039959, 1039964, 1039969, 1039974]"/>
    <s v="[0.095, 0.031, 0.045, 0.065, 0.099]"/>
    <s v="260.3759330484454"/>
    <s v="[-0.095, -0.031, -0.045, -0.065, -0.099]"/>
  </r>
  <r>
    <x v="3115"/>
    <x v="3758"/>
    <x v="0"/>
    <n v="0"/>
    <s v="LINESTRING (18.253730921731663 68.834810651402, 18.254080651015983 68.83552163489716, 18.25409609353801 68.83554847395743, 18.254136427853403 68.8356184567134, 18.254163615371912 68.8356655611143, 18.254508980402917 68.83619320200064, 18.254582465525043 68.83628909177914, 18.254861884390387 68.83657942023795)"/>
    <s v="[1143065, 1143072, 1143073, 1143080, 1143108, 1143119, 1143133]"/>
    <s v="[1079202, 1079207, 1079208, 1079215, 1079245, 1079255, 1040588]"/>
    <s v="#FIELD!"/>
    <s v="[1040580, 1079202, 1079207, 1079208, 1079215, 1079245, 1079255]"/>
    <s v="[0.004, 0.009, 0.006, 0.003, 0.005, 0.003, 0.12]"/>
    <s v="203.02354565287894"/>
    <s v="[0.004, 0.009, 0.006, 0.003, 0.005, 0.003, -0.12]"/>
  </r>
  <r>
    <x v="3115"/>
    <x v="3758"/>
    <x v="0"/>
    <n v="0"/>
    <s v="LINESTRING (18.253730921731663 68.834810651402, 18.25429481621722 68.83550335336952, 18.254312327404477 68.83553023358871, 18.254357186307107 68.83559887252862, 18.254388432281402 68.83564670725774, 18.25470955275573 68.8361782603565, 18.254861884390387 68.83657942023795)"/>
    <s v="[1143146, 1143170, 1143178, 1143188, 1143204, 1143234]"/>
    <s v="[1079285, 1079316, 1079323, 1079333, 1079349, 1040588]"/>
    <s v="#FIELD!"/>
    <s v="[1040580, 1079285, 1079316, 1079323, 1079333, 1079349]"/>
    <s v="[0.008, 0.007, 0.007, 0.005, 0.003, 0.096]"/>
    <s v="203.0997213930911"/>
    <s v="[0.008, 0.007, 0.007, 0.005, 0.003, -0.096]"/>
  </r>
  <r>
    <x v="3115"/>
    <x v="3726"/>
    <x v="335"/>
    <n v="0"/>
    <s v="LINESTRING (17.970401098580936 68.6901770024308, 18.253730921731663 68.834810651402)"/>
    <m/>
    <m/>
    <s v="0.0"/>
    <m/>
    <n v="0"/>
    <s v="18501.87807325774"/>
    <n v="0"/>
  </r>
  <r>
    <x v="3116"/>
    <x v="3759"/>
    <x v="336"/>
    <s v="[0, 0, 0, 1, 0, 0, 0, 0, 0, 0, 0, 0, 0, 0, 0, 0, 0, 0, 0, 0, 0, 0, 0, 0, 0, 0, 0, 0, 0, 0, 0, 0, 0, 0, 0, 0, 0, 0, 0, 0, 0, 0, 0, 0, 0, 0, 0, 0, 0]"/>
    <s v="LINESTRING (18.254861884390387 68.83657942023795, 18.255199311156463 68.83705665976191, 18.259022090406553 68.83855416696838, 18.266338476632555 68.84046645877909, 18.26653712687508 68.84063225621607, 18.267104159564525 68.84115929622854, 18.267941478389318 68.84194153283688, 18.268114802730885 68.842097220526, 18.268875030004818 68.84270171132948, 18.27682945002188 68.84654200044436, 18.28269140637498 68.8492415261751, 18.284090336321196 68.85037471329505, 18.284363126003967 68.85064160443251, 18.2930075946803 68.85473471970323, 18.29813106074631 68.85635362937387, 18.298974601244463 68.85691669175016, 18.299033091574735 68.85695704141618, 18.299450837650753 68.85727856728188, 18.299917230581677 68.85764772656583, 18.30143016964964 68.85877013953953, 18.302117890732067 68.85912008928273, 18.3033063867902 68.85954013336193, 18.30644624674043 68.86019196923196, 18.309300430736368 68.86026836606635, 18.311153727770034 68.86028406247569, 18.313612534280036 68.86031391468131, 18.31607292273925 68.86032268849092, 18.318853954742988 68.86021291372128, 18.318981583842124 68.86021680637755, 18.31913162328096 68.86022034219378, 18.32035449088712 68.86019825716875, 18.32316741935244 68.85982092425243, 18.32506242683798 68.8597010761238, 18.325667056531596 68.85969203193048, 18.32789683256788 68.85959837759981, 18.32934387532111 68.85945697108414, 18.331179305971496 68.85926075330363, 18.3312031307975 68.85925823007712, 18.33261149168516 68.85910700199715, 18.332635284640705 68.8591044342911, 18.336074820167585 68.8588923840455, 18.33821281615784 68.85888534134149, 18.33834014618164 68.85888346929643, 18.33843941239561 68.8588852014181, 18.33850434868487 68.85888527301736, 18.339388993636682 68.85889725962535, 18.34269562688972 68.85962024523805, 18.34290176683023 68.8597317513532, 18.34626727823381 68.86043114510022, 18.347514131311037 68.86072735264707)"/>
    <s v="[1097945, 1097946, 1097947, 1097948, 1097955, 1097963, 1097971, 1097984, 1097992, 1098000, 1098008, 1098016, 1098024, 1098032, 1098040, 1098048, 1098056, 1098064, 1098072, 1098080, 1098097, 1098105, 1098113, 1098121, 1098129, 1098137, 1098145, 1098155, 1098163, 1098171, 1098179, 1098187, 1098195, 1098203, 1098211, 1098219, 1098227, 1098235, 1098243, 1098251, 1098257, 1098258, 1098265, 1098273, 1098288, 1098289, 1098290, 1129808, 1129816]"/>
    <s v="[920105, 920259, 1040589, 1040590, 1040597, 1040602, 920267, 906434, 920336, 920369, 920340, 1040646, 1040650, 1040654, 917857, 917878, 470832, 470846, 470806, 470825, 917911, 917918, 1040705, 917923, 1040715, 904000, 959669, 1040729, 959679, 893226, 1040747, 893189, 893706, 903902, 1040772, 1040778, 1040786, 1040794, 1040800, 918006, 959688, 1040816, 959659, 1040831, 904032, 1040840, 1040841, 1067698, 918139]"/>
    <s v="#FIELD!"/>
    <s v="[1040588, 920105, 920259, 1040589, 1040590, 1040597, 1040602, 920267, 906434, 920336, 920369, 920340, 1040646, 1040650, 1040654, 917857, 917878, 470832, 470846, 470806, 470825, 917911, 917918, 1040705, 917923, 1040715, 904000, 959669, 1040729, 959679, 893226, 1040747, 893189, 893706, 903902, 1040772, 1040778, 1040786, 1040794, 1040800, 918006, 959688, 1040816, 959659, 1040831, 904032, 1040840, 1040841, 1067698]"/>
    <s v="[0.016, 0.008, 0.05, 0.051, 0.052, 0.048, 0.046, 0.037, 0.027, 0.006, 0.012, 0.002, 0.003, 0.049, 0.034, 0.008, 0.009, 0.019, 0.028, 0.042, 0.056, 0.064, 0.012, 0.027, 0.005, 0.018, 0.009, 0.017, 0.009, 0.024, 0.031, 0.047, 0.039, 0.033, 0.001, 0.014, 0.014, 0.032, 0.08, 0.03, 0.042, 0.047, 0.041, 0.04, 0.041, 0.044, 0.032, 0.064, 0.077]"/>
    <s v="5183.71753434013"/>
    <s v="[-0.016, 0.008, -0.05, 0.051, 0.052, 0.048, 0.046, 0.037, -0.027, 0.006, -0.012, 0.002, 0.003, -0.049, -0.034, -0.008, -0.009, -0.019, -0.028, -0.042, -0.056, 0.064, -0.012, -0.027, 0.005, 0.018, 0.009, 0.017, 0.009, 0.024, 0.031, 0.047, 0.039, 0.033, -0.001, -0.014, -0.014, -0.032, -0.08, -0.03, -0.042, -0.047, -0.041, -0.04, -0.041, -0.044, -0.032, -0.064, -0.077]"/>
  </r>
  <r>
    <x v="3117"/>
    <x v="517"/>
    <x v="0"/>
    <n v="0"/>
    <s v="LINESTRING (8.72347821535396 58.463189355571146, 8.723492191507962 58.463226516357615, 8.723466775271902 58.4632802043899, 8.723297529479304 58.4633366436489, 8.723182774595042 58.46332290106876, 8.72309203648912 58.46326810010932, 8.723076703147578 58.46324140960401)"/>
    <s v="[1752166, 1752167, 1752173, 1752175, 1752176, 1752185]"/>
    <s v="[1552024, 544721, 1552028, 1552030, 451337, 1152794]"/>
    <s v="0.006483161209014849"/>
    <s v="[1045070, 1552024, 544721, 1552028, 1552030, 451337]"/>
    <s v="[0.29, 0.012, 0.024, 0.052, 0.008, 0.515]"/>
    <s v="40.58170881092214"/>
    <s v="[0.29, -0.012, 0.024, 0.052, 0.008, -0.515]"/>
  </r>
  <r>
    <x v="3118"/>
    <x v="505"/>
    <x v="0"/>
    <n v="0"/>
    <s v="LINESTRING (19.13522307221527 69.5632838899113, 19.134979497731244 69.56333692841598, 19.134711374430097 69.56337700674845, 19.132426292653975 69.56363509682632, 19.13234444361668 69.56364143607854, 19.132229335094042 69.56364996385108, 19.132111250798218 69.56365746573294, 19.131987554520347 69.56366519913097, 19.130907753530362 69.56370713810946, 19.13089169832171 69.5637074818744, 19.130756719425086 69.56371033262879, 19.130256703217007 69.56371599296635, 19.13012119843713 69.56371639368487, 19.128135630747163 69.56364176102802)"/>
    <s v="[2115472, 2115480, 2115488, 2115496, 2115504, 2115512, 2115520, 2115528, 2115536, 2115544, 2115552, 2115560, 2115568]"/>
    <s v="[1824485, 1824489, 1824495, 1824498, 1824500, 1824505, 1824508, 1824514, 1824518, 1824525, 1824529, 1824479, 1045654]"/>
    <s v="0.04395434818837264"/>
    <s v="[1045653, 1824485, 1824489, 1824495, 1824498, 1824500, 1824505, 1824508, 1824514, 1824518, 1824525, 1824529, 1824479]"/>
    <s v="[1.351, 0.044, 0.042, 0.032, 0.039, 0.041, 0.039, 0.034, 0.037, 0.028, 0.032, 0.031, 0.129]"/>
    <s v="284.9716285868906"/>
    <s v="[1.351, 0.044, 0.042, 0.032, 0.039, 0.041, 0.039, 0.034, 0.037, 0.028, 0.032, 0.031, -0.129]"/>
  </r>
  <r>
    <x v="3118"/>
    <x v="505"/>
    <x v="0"/>
    <n v="0"/>
    <s v="LINESTRING (19.13522307221527 69.5632838899113, 19.134949767439792 69.56330890604603, 19.134677356944504 69.56334198739296, 19.13238638545079 69.56356514666233, 19.132299680272876 69.56357097181515, 19.13219689674215 69.56357795003909, 19.132074062773086 69.56358628309638, 19.131963377970052 69.56359202841641, 19.13088641554518 69.5636341338065, 19.130735304760883 69.56363600030326, 19.130658715640887 69.56363737127367, 19.13024798976994 69.56364284285574, 19.13012232327189 69.56364385556485, 19.128135630747163 69.56364176102802)"/>
    <s v="[2115648, 2115656, 2115664, 2115672, 2115680, 2115688, 2115696, 2115704, 2115712, 2115720, 2115728, 2115736, 2115744]"/>
    <s v="[1824593, 1824600, 1824606, 1824547, 1824616, 1824582, 1824627, 1824631, 1824638, 1824642, 1824646, 1824476, 1045654]"/>
    <s v="0.044663846713747804"/>
    <s v="[1045653, 1824593, 1824600, 1824606, 1824547, 1824616, 1824582, 1824627, 1824631, 1824638, 1824642, 1824646, 1824476]"/>
    <s v="[1.362, 0.04, 0.041, 0.03, 0.041, 0.041, 0.029, 0.034, 0.038, 0.031, 0.029, 0.03, 0.124]"/>
    <s v="281.58343482503074"/>
    <s v="[1.362, 0.04, 0.041, 0.03, 0.041, 0.041, 0.029, 0.034, 0.038, 0.031, 0.029, 0.03, -0.124]"/>
  </r>
  <r>
    <x v="3119"/>
    <x v="3760"/>
    <x v="0"/>
    <n v="0"/>
    <s v="LINESTRING (11.23979997625154 60.45315786016956, 11.23979997625154 60.45315786016956, 11.239461973076091 60.45427143934928, 11.242203748938351 60.46042795936774)"/>
    <s v="[1104595, 1104610, 1104619]"/>
    <s v="[1045918, 1045931, 1045935]"/>
    <s v="0.012753337042115379"/>
    <s v="[1045917, 1045918, 1045931]"/>
    <s v="[0.0, 0.043, 0.046]"/>
    <s v="2166.8741180431352"/>
    <s v="[0.0, -0.043, 0.046]"/>
  </r>
  <r>
    <x v="3119"/>
    <x v="3761"/>
    <x v="0"/>
    <n v="0"/>
    <s v="LINESTRING (11.23979997625154 60.45315786016956, 11.241944826762259 60.441411310740584, 11.241912400191893 60.44062087306758, 11.24191129289528 60.4406029185471, 11.24188757453729 60.440293454707664)"/>
    <s v="[1115871, 1115895, 1115903, 1299104]"/>
    <s v="[1055240, 1055262, 1055272, 1210915]"/>
    <s v="0.0199956084516108"/>
    <s v="[1045917, 1055240, 1055262, 1055272]"/>
    <s v="[0.644, 0.069, 0.1, 0.087]"/>
    <s v="134.83588687714587"/>
    <s v="[-0.644, 0.069, 0.1, 0.087]"/>
  </r>
  <r>
    <x v="3120"/>
    <x v="3762"/>
    <x v="0"/>
    <n v="0"/>
    <s v="LINESTRING (11.243698364063585 60.462303211299556, 11.24235432926682 60.46056609335861, 11.242203748938351 60.46042795936774)"/>
    <s v="[1299152, 1298067]"/>
    <s v="[1210040, 1045935]"/>
    <s v="#FIELD!"/>
    <s v="[1210953, 1210040]"/>
    <s v="[0.014, 0.059]"/>
    <s v="225.0249635762974"/>
    <s v="[-0.014, -0.059]"/>
  </r>
  <r>
    <x v="3121"/>
    <x v="646"/>
    <x v="0"/>
    <s v="[0, 1, 1, 0, 1, 0]"/>
    <s v="LINESTRING (11.23828034587579 60.49898054661036, 11.23828034587579 60.49898054661036, 11.238334922110715 60.49916356624344, 11.238388040190024 60.4993811506702, 11.240005711138146 60.50410363518225, 11.240433711255909 60.504557405696616, 11.243097497457944 60.51058544185445)"/>
    <s v="[1104664, 1104672, 1104692, 1104693, 1104694, 2105506]"/>
    <s v="[1045968, 1045977, 1045998, 1045999, 1046000, 1819073]"/>
    <s v="#FIELD!"/>
    <s v="[1045967, 1045968, 1045977, 1045998, 1045999, 1046000]"/>
    <s v="[0.0, 0.008, 0.008, 0.036, 0.049, 0.043]"/>
    <s v="2636.6363529311475"/>
    <s v="[0.0, 0.008, 0.008, -0.036, -0.049, -0.043]"/>
  </r>
  <r>
    <x v="3121"/>
    <x v="3763"/>
    <x v="0"/>
    <n v="0"/>
    <s v="LINESTRING (11.23828034587579 60.49898054661036, 11.236233898911104 60.48724999530487, 11.236980083000136 60.48562614228104, 11.23747798991071 60.48496322871348)"/>
    <s v="[1298155, 1298123, 1298131]"/>
    <s v="[1210092, 1210093, 1210100]"/>
    <s v="#FIELD!"/>
    <s v="[1045967, 1210092, 1210093]"/>
    <s v="[2.048, 0.018, 0.034]"/>
    <s v="277.05966117684335"/>
    <s v="[-2.048, 0.018, 0.034]"/>
  </r>
  <r>
    <x v="3122"/>
    <x v="649"/>
    <x v="0"/>
    <n v="0"/>
    <s v="LINESTRING (11.243551951491968 60.51159687453969, 11.24323297697309 60.51774030121252, 11.243003725225385 60.518371451627225)"/>
    <s v="[2105594, 2105602]"/>
    <s v="[1819127, 1819130]"/>
    <s v="0.03718616267578593"/>
    <s v="[1046032, 1819127]"/>
    <s v="[0.04, 0.01]"/>
    <s v="761.7763447989654"/>
    <s v="[0.04, 0.01]"/>
  </r>
  <r>
    <x v="3122"/>
    <x v="3764"/>
    <x v="0"/>
    <s v="[0, 0, 0, 0, 1, 1, 0, 1, 0, 0]"/>
    <s v="LINESTRING (11.237593459770816 60.48522567532779, 11.236994931406045 60.486091595126325, 11.236466472538961 60.48726962525441, 11.236435792201464 60.48737673855122, 11.238460233863677 60.498966208628886, 11.2385162749545 60.49915027623271, 11.23856916473679 60.49937188099919, 11.24018561259645 60.5040784185745, 11.240604298099129 60.50452922918751, 11.243277117954205 60.51057080101535, 11.243551951491968 60.51159687453969)"/>
    <s v="[1298099, 1298107, 1298163, 1104684, 1104685, 1104704, 1104716, 1104717, 1104718, 1104725]"/>
    <s v="[1210071, 1210078, 1045989, 1045990, 1045991, 1046009, 1046022, 1046023, 1046024, 1046032]"/>
    <s v="#FIELD!"/>
    <s v="[1210066, 1210071, 1210078, 1045989, 1045990, 1045991, 1046009, 1046022, 1046023, 1046024]"/>
    <s v="[0.039, 0.016, 0.001, 0.019, 0.014, 0.002, 0.037, 0.05, 0.045, 0.014]"/>
    <s v="2997.2056540409512"/>
    <s v="[-0.039, -0.016, 0.001, 0.019, 0.014, 0.002, -0.037, -0.05, -0.045, -0.014]"/>
  </r>
  <r>
    <x v="3123"/>
    <x v="3765"/>
    <x v="0"/>
    <s v="[0, 0, 0, 1, 0, 0, 0, 0]"/>
    <s v="LINESTRING (11.283993777523023 60.58792280368842, 11.279165105610298 60.583392958948956, 11.277833568578446 60.581859293911045, 11.276470881628484 60.580274382740406, 11.275825869724919 60.579571878181, 11.268937466152243 60.57458327321404, 11.265837218732171 60.572909212389135, 11.265607351408022 60.57277739406197, 11.265416893700941 60.57266350412535)"/>
    <s v="[1298238, 1298229, 1298237, 1104874, 1104886, 1298171, 1298179, 1298187]"/>
    <s v="[1210179, 1210180, 1046157, 1046158, 1046161, 1210132, 1210139, 1046131]"/>
    <s v="#FIELD!"/>
    <s v="[1046163, 1210179, 1210180, 1046157, 1046158, 1046161, 1210132, 1210139]"/>
    <s v="[0.941, 0.07, 0.017, 0.005, 0.019, 0.045, 0.039, 0.031]"/>
    <s v="1438.887115877414"/>
    <s v="[0.941, -0.07, -0.017, -0.005, 0.019, -0.045, -0.039, -0.031]"/>
  </r>
  <r>
    <x v="3123"/>
    <x v="619"/>
    <x v="0"/>
    <n v="0"/>
    <s v="LINESTRING (11.258557793832852 60.566851792215765, 11.258561940700286 60.56685556674602, 11.258898831865586 60.56716251755989, 11.26116299909945 60.569224235553364, 11.264626933340619 60.57215607330219, 11.265416893700941 60.57266350412535)"/>
    <s v="[2105810, 2105818, 1104828, 1104840, 1104841]"/>
    <s v="[1819230, 1046119, 1046120, 1046130, 1046131]"/>
    <s v="0.03266260732533999"/>
    <s v="[1819224, 1819230, 1046119, 1046120, 1046130]"/>
    <s v="[0.111, 0.033, 0.015, 0.044, 0.038]"/>
    <s v="749.979654332395"/>
    <s v="[-0.111, 0.033, 0.015, 0.044, 0.038]"/>
  </r>
  <r>
    <x v="3124"/>
    <x v="354"/>
    <x v="0"/>
    <s v="[0, 0, 0, 0, 0, 0, 1, 0, 0, 0, 0, 0, 0]"/>
    <s v="LINESTRING (11.259093623071783 60.56711820862458, 11.261351440980574 60.56917410957292, 11.264801586836503 60.57208975482509, 11.265598872725445 60.57259022581045, 11.265778046606977 60.57269586309226, 11.269227809598638 60.57447319131815, 11.276113696320026 60.579444183536836, 11.276792629236146 60.580190363014985, 11.278673619681786 60.58249094864913, 11.279359046136165 60.583343939512496, 11.279452024758918 60.583456762809746, 11.284147499417259 60.58787442835966, 11.296873010986648 60.593784190950046, 11.297709902159077 60.594175442495384)"/>
    <s v="[1104848, 1104857, 1104868, 1298195, 1298180, 1104870, 1104871, 1298210, 1298214, 1298244, 2105393, 1726427, 1726435]"/>
    <s v="[1046137, 1046144, 1046151, 1210140, 1046154, 1046155, 1046156, 1210164, 1210167, 1210192, 1536149, 1536150, 1536159]"/>
    <s v="0.014089337527192632"/>
    <s v="[1046136, 1046137, 1046144, 1046151, 1210140, 1046154, 1046155, 1046156, 1210164, 1210167, 1210192, 1536149, 1536150]"/>
    <s v="[0.021, 0.043, 0.039, 0.034, 0.049, 0.021, 0.004, 0.039, 0.061, 0.055, 0.035, 0.032, 0.021]"/>
    <s v="3752.2380798637505"/>
    <s v="[0.021, 0.043, 0.039, 0.034, 0.049, -0.021, 0.004, 0.039, 0.061, 0.055, -0.035, 0.032, -0.021]"/>
  </r>
  <r>
    <x v="3124"/>
    <x v="618"/>
    <x v="0"/>
    <n v="0"/>
    <s v="LINESTRING (11.253433855259203 60.559236146060336, 11.25363636068055 60.55959745005216, 11.258748631303012 60.566803921427244, 11.259093623071783 60.56711820862458)"/>
    <s v="[2105738, 2105786, 2105794]"/>
    <s v="[1819194, 1819216, 1046136]"/>
    <s v="0.011140994084772206"/>
    <s v="[1819189, 1819194, 1819216]"/>
    <s v="[0.003, 0.011, 0.029]"/>
    <s v="934.8096890499373"/>
    <s v="[-0.003, 0.011, 0.029]"/>
  </r>
  <r>
    <x v="3125"/>
    <x v="353"/>
    <x v="0"/>
    <n v="0"/>
    <s v="LINESTRING (11.283993777523023 60.58792280368842, 11.283993777523023 60.58792280368842, 11.296746175461053 60.593848417807024, 11.296759500542104 60.59385398248124)"/>
    <s v="[1104889, 1726451, 1726459]"/>
    <s v="[1046164, 1536175, 1536181]"/>
    <s v="0.01723223704020238"/>
    <s v="[1046163, 1046164, 1536175]"/>
    <s v="[0.0, 0.027, 0.057]"/>
    <s v="1541.1318960549943"/>
    <s v="[0.0, 0.027, 0.057]"/>
  </r>
  <r>
    <x v="3126"/>
    <x v="3766"/>
    <x v="0"/>
    <s v="[0, 0, 1, 0, 1, 0, 0, 0, 0, 0, 0, 0, 0, 0, 0, 0, 0, 0, 0, 0, 0]"/>
    <s v="LINESTRING (8.940506944743971 58.650505258866076, 8.933042649797022 58.64603531081969, 8.918596101607939 58.64198847243326, 8.918476022737092 58.641952071620544, 8.912194066382849 58.64018585122237, 8.911942923501998 58.640071274217114, 8.906414958009568 58.635050093222745, 8.905238785342835 58.63471674082332, 8.905194859396895 58.63470574694605, 8.904061214613614 58.6344260643511, 8.904025041897684 58.63441724865284, 8.902574299332105 58.63403330955193, 8.902539811872805 58.634022070281176, 8.900229037863747 58.63286358603735, 8.899955922120027 58.632635289125325, 8.899388779738402 58.632081168263454, 8.896004682288758 58.62788805111104, 8.895762268630005 58.627227360067565, 8.895699222923168 58.627005634080284, 8.895748951420076 58.62331043078087, 8.896764041581461 58.61902352014183, 8.896927017277767 58.61850426525847)"/>
    <s v="[1105761, 1105764, 1105765, 978074, 978082, 978090, 1247716, 1247727, 1247740, 1247754, 1247763, 1247764, 1247772, 1247448, 1246644, 1246645, 1246660, 1247450, 1244719, 1244720, 1244721]"/>
    <s v="[1046798, 1046799, 939647, 939648, 939655, 939662, 1167145, 1167154, 1167167, 1167185, 1167193, 1167194, 1166933, 1166273, 1166274, 1166275, 1166291, 1164645, 1164646, 1164647, 1164648]"/>
    <s v="0.023522755363162815"/>
    <s v="[1046787, 1046798, 1046799, 939647, 939648, 939655, 939662, 1167145, 1167154, 1167167, 1167185, 1167193, 1167194, 1166933, 1166273, 1166274, 1166275, 1166291, 1164645, 1164646, 1164647]"/>
    <s v="[0.075, 0.023, 0.134, 0.038, 0.103, 0.02, 0.253, 0.178, 0.144, 0.066, 0.073, 0.121, 0.217, 0.179, 0.15, 0.02, 0.074, 0.058, 0.007, 0.02, 0.047]"/>
    <s v="4850.617300060562"/>
    <s v="[0.075, -0.023, 0.134, 0.038, -0.103, 0.02, 0.253, -0.178, -0.144, -0.066, -0.073, 0.121, 0.217, 0.179, 0.15, -0.02, -0.074, -0.058, 0.007, 0.02, 0.047]"/>
  </r>
  <r>
    <x v="3127"/>
    <x v="3767"/>
    <x v="0"/>
    <s v="[1, 0, 0, 0, 1, 0, 1, 0, 0, 0, 0, 0, 0, 0, 0]"/>
    <s v="LINESTRING (8.94164330264084 58.65175040902304, 8.940927772498334 58.650946464298826, 8.940619094327381 58.65053995714779, 8.933110098048072 58.64598167532068, 8.918638184547316 58.64195418030781, 8.918520021105946 58.64191868078863, 8.912136910519694 58.64010569818077, 8.91188600272649 58.6399887910201, 8.906459519155849 58.63501646307084, 8.905284715348436 58.634677656316455, 8.905233073388883 58.63466299093135, 8.904128757330307 58.63435542925897, 8.904095971259297 58.63434620732625, 8.902763717119322 58.633950570654704, 8.902731926238136 58.63393941466638, 8.900594773750795 58.632826059931354)"/>
    <s v="[1105780, 1105781, 1105789, 1105796, 1105813, 1105850, 1105858, 1105866, 1247644, 1247653, 1247668, 1247669, 1247690, 1247702, 1247710]"/>
    <s v="[1046816, 1046817, 1046822, 1046831, 1046842, 1046868, 1046875, 1046879, 1167081, 1167089, 1167103, 1167104, 1167123, 1167133, 1166934]"/>
    <s v="0.02565274898150048"/>
    <s v="[1046814, 1046816, 1046817, 1046822, 1046831, 1046842, 1046868, 1046875, 1046879, 1167081, 1167089, 1167103, 1167104, 1167123, 1167133]"/>
    <s v="[0.094, 0.1, 0.075, 0.024, 0.126, 0.036, 0.107, 0.021, 0.251, 0.173, 0.157, 0.072, 0.037, 0.129, 0.216]"/>
    <s v="3328.7970436235137"/>
    <s v="[-0.094, -0.1, 0.075, -0.024, 0.126, 0.036, -0.107, 0.021, 0.251, -0.173, -0.157, -0.072, -0.037, 0.129, 0.216]"/>
  </r>
  <r>
    <x v="3127"/>
    <x v="595"/>
    <x v="0"/>
    <n v="0"/>
    <s v="LINESTRING (8.94164330264084 58.65175040902304, 8.941749284761432 58.651823182224014, 8.942918706431213 58.652292537934116)"/>
    <s v="[1105820, 1762902]"/>
    <s v="[1046847, 113916]"/>
    <s v="0.052632496113249494"/>
    <s v="[1046814, 1046847]"/>
    <s v="[0.077, 0.05]"/>
    <s v="104.49297589443076"/>
    <s v="[0.077, 0.05]"/>
  </r>
  <r>
    <x v="3128"/>
    <x v="3768"/>
    <x v="0"/>
    <n v="0"/>
    <s v="LINESTRING (11.024680523417729 59.316191778227996, 11.02457574629887 59.31615018728162, 11.023798993860584 59.31590042990252, 11.023700600636941 59.31587404758276)"/>
    <s v="[1106336, 1106346, 1106351]"/>
    <s v="[1047232, 1047237, 1047239]"/>
    <s v="#FIELD!"/>
    <s v="[1047231, 1047232, 1047237]"/>
    <s v="[0.003, 0.005, 0.009]"/>
    <s v="66.15384076882825"/>
    <s v="[0.003, -0.005, -0.009]"/>
  </r>
  <r>
    <x v="3128"/>
    <x v="3769"/>
    <x v="0"/>
    <n v="0"/>
    <s v="LINESTRING (11.024680523417729 59.316191778227996, 11.024691126088483 59.316116131688894, 11.024763507749162 59.31605963449501)"/>
    <s v="[1769581, 1769589]"/>
    <s v="[1561958, 1047244]"/>
    <s v="0.039181411311055896"/>
    <s v="[1047231, 1561958]"/>
    <s v="[0.034, 0.045]"/>
    <s v="15.975782723144128"/>
    <s v="[0.034, 0.045]"/>
  </r>
  <r>
    <x v="3128"/>
    <x v="3770"/>
    <x v="0"/>
    <n v="0"/>
    <m/>
    <n v="1769573"/>
    <n v="1047231"/>
    <s v="0.023"/>
    <n v="1561951"/>
    <s v="0.023"/>
    <s v="7.357886924545183"/>
    <s v="0.023"/>
  </r>
  <r>
    <x v="3129"/>
    <x v="3771"/>
    <x v="0"/>
    <n v="0"/>
    <m/>
    <n v="1769925"/>
    <n v="1562156"/>
    <s v="#FIELD!"/>
    <n v="1047239"/>
    <s v="0.014"/>
    <s v="21.163131863188802"/>
    <s v="#FIELD!"/>
  </r>
  <r>
    <x v="3129"/>
    <x v="3772"/>
    <x v="0"/>
    <n v="0"/>
    <s v="LINESTRING (11.023898369228867 59.31577553049316, 11.023826430657278 59.31583725530677, 11.023700600636941 59.31587404758276)"/>
    <s v="[1769973, 1769981]"/>
    <s v="[1562188, 1047239]"/>
    <s v="#FIELD!"/>
    <s v="[1047260, 1562188]"/>
    <s v="[0.039, 0.037]"/>
    <s v="16.262931381198356"/>
    <s v="[-0.039, -0.037]"/>
  </r>
  <r>
    <x v="3130"/>
    <x v="3773"/>
    <x v="0"/>
    <n v="0"/>
    <m/>
    <n v="1769597"/>
    <n v="1047291"/>
    <s v="#FIELD!"/>
    <n v="1047244"/>
    <s v="0.049"/>
    <s v="32.656077444107204"/>
    <s v="#FIELD!"/>
  </r>
  <r>
    <x v="3130"/>
    <x v="3772"/>
    <x v="0"/>
    <n v="0"/>
    <s v="LINESTRING (11.024763507749162 59.31605963449501, 11.02465253370588 59.31604968995406, 11.023962371956122 59.315825289230716, 11.023898369228867 59.31577553049316)"/>
    <s v="[1106359, 1106372, 1106380]"/>
    <s v="[1047245, 1047255, 1047260]"/>
    <s v="#FIELD!"/>
    <s v="[1047244, 1047245, 1047255]"/>
    <s v="[0.019, 0.005, 0.011]"/>
    <s v="60.32511630158168"/>
    <s v="[-0.019, -0.005, 0.011]"/>
  </r>
  <r>
    <x v="3131"/>
    <x v="3774"/>
    <x v="0"/>
    <n v="0"/>
    <m/>
    <n v="1769965"/>
    <n v="1047260"/>
    <s v="#FIELD!"/>
    <n v="1562177"/>
    <s v="0.023"/>
    <s v="16.83179532061058"/>
    <s v="#FIELD!"/>
  </r>
  <r>
    <x v="3132"/>
    <x v="3775"/>
    <x v="0"/>
    <n v="0"/>
    <s v="LINESTRING (11.025724093343905 59.3162299499948, 11.0254138577901 59.316240882607325, 11.025296782462991 59.31624084868974, 11.025188549942207 59.31624505863115)"/>
    <s v="[1106381, 1106382, 1106384]"/>
    <s v="[1047262, 1047263, 1047265]"/>
    <s v="0.04939548345466946"/>
    <s v="[1047261, 1047262, 1047263]"/>
    <s v="[0.05, 0.05, 0.047]"/>
    <s v="30.682933305477633"/>
    <s v="[0.05, 0.05, 0.047]"/>
  </r>
  <r>
    <x v="3132"/>
    <x v="3773"/>
    <x v="0"/>
    <n v="0"/>
    <s v="LINESTRING (11.025724093343905 59.3162299499948, 11.025438688653171 59.316176657143686, 11.025329510953 59.31615419922576, 11.025227538474306 59.31612667484934)"/>
    <s v="[1106409, 1106417, 1106423]"/>
    <s v="[1047279, 1047285, 1047291]"/>
    <s v="0.061670891176069054"/>
    <s v="[1047261, 1047279, 1047285]"/>
    <s v="[0.061, 0.067, 0.058]"/>
    <s v="30.57913179197417"/>
    <s v="[0.061, 0.067, 0.058]"/>
  </r>
  <r>
    <x v="3132"/>
    <x v="3776"/>
    <x v="0"/>
    <n v="0"/>
    <s v="LINESTRING (11.02890171482295 59.315748603174036, 11.026067096143539 59.316240066380104, 11.025724093343905 59.3162299499948)"/>
    <s v="[1106387, 1106395]"/>
    <s v="[1047267, 1047261]"/>
    <s v="0.038938588554603984"/>
    <s v="[1047266, 1047267]"/>
    <s v="[0.037, 0.056]"/>
    <s v="191.8048963073085"/>
    <s v="[0.037, 0.056]"/>
  </r>
  <r>
    <x v="3133"/>
    <x v="3777"/>
    <x v="0"/>
    <n v="0"/>
    <m/>
    <n v="1769549"/>
    <n v="1561941"/>
    <s v="0.029"/>
    <n v="1047265"/>
    <s v="0.029"/>
    <s v="15.443330662117882"/>
    <s v="0.029"/>
  </r>
  <r>
    <x v="3133"/>
    <x v="3773"/>
    <x v="0"/>
    <n v="0"/>
    <s v="LINESTRING (11.025227538474306 59.31612667484934, 11.02523344856453 59.316187451927824, 11.025188549942207 59.31624505863115)"/>
    <s v="[1769605, 1769613]"/>
    <s v="[1561971, 1047265]"/>
    <s v="#FIELD!"/>
    <s v="[1047291, 1561971]"/>
    <s v="[0.036, 0.018]"/>
    <s v="13.69009623538912"/>
    <s v="[-0.036, -0.018]"/>
  </r>
  <r>
    <x v="3134"/>
    <x v="3778"/>
    <x v="0"/>
    <n v="0"/>
    <s v="LINESTRING (11.029408144622217 59.31568601990455, 11.029306127977508 59.3156966623596, 11.02890171482295 59.315748603174036)"/>
    <s v="[1106439, 1106447]"/>
    <s v="[1047299, 1047266]"/>
    <s v="0.041199806382248544"/>
    <s v="[1047298, 1047299]"/>
    <s v="[0.042, 0.041]"/>
    <s v="29.682487152895234"/>
    <s v="[0.042, 0.041]"/>
  </r>
  <r>
    <x v="3134"/>
    <x v="3779"/>
    <x v="0"/>
    <n v="0"/>
    <s v="LINESTRING (11.029314721259071 59.31557788952775, 11.029228685072594 59.315621871097875, 11.02890171482295 59.315748603174036)"/>
    <s v="[1106530, 1106536]"/>
    <s v="[1047373, 1047266]"/>
    <s v="0.013941622208927557"/>
    <s v="[1047372, 1047373]"/>
    <s v="[0.007, 0.016]"/>
    <s v="30.303385309761875"/>
    <s v="[0.007, 0.016]"/>
  </r>
  <r>
    <x v="3135"/>
    <x v="3779"/>
    <x v="0"/>
    <n v="0"/>
    <s v="LINESTRING (11.029408144622217 59.31568601990455, 11.029342149419703 59.31564121094214, 11.029314721259071 59.31557788952775)"/>
    <s v="[1769837, 1769845]"/>
    <s v="[1562106, 1047372]"/>
    <s v="0.05927522407171286"/>
    <s v="[1047298, 1562106]"/>
    <s v="[0.07, 0.05]"/>
    <s v="13.476349355124224"/>
    <s v="[0.07, 0.05]"/>
  </r>
  <r>
    <x v="3135"/>
    <x v="3780"/>
    <x v="0"/>
    <n v="0"/>
    <s v="LINESTRING (11.029582318158841 59.3154354633357, 11.029776124186808 59.315468618407046, 11.029846900999216 59.31551465190903, 11.029876383146362 59.315570933320465, 11.029777702185386 59.31568857568819, 11.029663076212573 59.31571834319866, 11.029538230245954 59.315719658296096, 11.029408144622217 59.31568601990455)"/>
    <s v="[1769861, 1769869, 1769877, 1769805, 1769813, 1769821, 1769829]"/>
    <s v="[1047427, 1562124, 1047383, 1047489, 1562092, 1047432, 1047298]"/>
    <s v="#FIELD!"/>
    <s v="[1562114, 1047427, 1562124, 1047383, 1047489, 1562092, 1047432]"/>
    <s v="[0.061, 0.06, 0.056, 0.018, 0.029, 0.05, 0.063]"/>
    <s v="62.2392677580477"/>
    <s v="[-0.061, -0.06, -0.056, -0.018, 0.029, 0.05, 0.063]"/>
  </r>
  <r>
    <x v="3136"/>
    <x v="3780"/>
    <x v="0"/>
    <n v="0"/>
    <m/>
    <n v="1769853"/>
    <n v="1562114"/>
    <s v="#FIELD!"/>
    <n v="1047372"/>
    <s v="0.006"/>
    <s v="23.967804948659328"/>
    <s v="#FIELD!"/>
  </r>
  <r>
    <x v="3137"/>
    <x v="3781"/>
    <x v="0"/>
    <n v="0"/>
    <s v="LINESTRING (23.25661708917953 69.9315296331012, 23.256919730617174 69.93120985170007, 23.256969947183983 69.93115426922856, 23.257316187593048 69.93076783358876, 23.257371747502546 69.93070410051746, 23.257403260111186 69.93066777916776, 23.257439518542316 69.93062617368254, 23.2579432906685 69.93016002944283)"/>
    <s v="[1107811, 1107819, 1107827, 1107835, 1107843, 1107851, 1107866]"/>
    <s v="[1048469, 1048475, 1048482, 1048429, 1048494, 1048451, 1048365]"/>
    <s v="0.004306240349338916"/>
    <s v="[1048357, 1048469, 1048475, 1048482, 1048429, 1048494, 1048451]"/>
    <s v="[0.004, 0.007, 0.005, 0.01, 0.003, 0.004, 0.003]"/>
    <s v="161.2754048951993"/>
    <s v="[0.004, 0.007, 0.005, 0.01, 0.003, 0.004, 0.003]"/>
  </r>
  <r>
    <x v="3137"/>
    <x v="3781"/>
    <x v="0"/>
    <n v="0"/>
    <s v="LINESTRING (23.25661708917953 69.9315296331012, 23.257157493231595 69.93117624136542, 23.25751820487229 69.9307875459099, 23.257573674001108 69.93072212667037, 23.25760212852509 69.93068877770727, 23.257634760306843 69.93065056894595, 23.2579432906685 69.93016002944283)"/>
    <s v="[1107874, 1107882, 1107883, 1107900, 1107908, 1107917]"/>
    <s v="[1048512, 1048516, 1048423, 1048533, 1048444, 1048365]"/>
    <s v="0.004345280012193234"/>
    <s v="[1048357, 1048512, 1048516, 1048423, 1048533, 1048444]"/>
    <s v="[0.006, 0.005, 0.01, 0.003, 0.009, 0.011]"/>
    <s v="162.19745384717066"/>
    <s v="[-0.006, 0.005, 0.01, 0.003, 0.009, 0.011]"/>
  </r>
  <r>
    <x v="3137"/>
    <x v="3782"/>
    <x v="0"/>
    <n v="0"/>
    <s v="LINESTRING (23.24117625730959 69.94335428896792, 23.242977908394202 69.93930186510256, 23.244889761658914 69.93788399275374, 23.245367153778474 69.93742797529387, 23.24556961167105 69.93723133434418, 23.245742100847107 69.93706210784342, 23.246773162857597 69.9360610249013, 23.247117892284233 69.93577383066383, 23.247951526084858 69.93524774657824, 23.25287430298052 69.9333384877618, 23.253428910991627 69.93308903011294, 23.254060514029856 69.93280371590303, 23.25661708917953 69.9315296331012)"/>
    <s v="[1166485, 1166486, 1166487, 1166496, 1107635, 1107643, 1107651, 1107659, 1107667, 1107675, 1107683, 1107691]"/>
    <s v="[1100131, 1021666, 1100132, 1048306, 1048042, 1047902, 1047924, 1048095, 1048336, 1047954, 1048351, 1048357]"/>
    <s v="#FIELD!"/>
    <s v="[1084519, 1100131, 1021666, 1100132, 1048306, 1048042, 1047902, 1047924, 1048095, 1048336, 1047954, 1048351]"/>
    <s v="[0.044, 0.025, 0.006, 0.005, 0.004, 0.003, 0.004, 0.008, 0.014, 0.018, 0.017, 0.014]"/>
    <s v="1504.969483078212"/>
    <s v="[-0.044, -0.025, -0.006, -0.005, -0.004, -0.003, -0.004, -0.008, -0.014, -0.018, -0.017, -0.014]"/>
  </r>
  <r>
    <x v="3138"/>
    <x v="3783"/>
    <x v="0"/>
    <n v="0"/>
    <s v="LINESTRING (23.2579432906685 69.93016002944283, 23.267709767691898 69.73054707871799)"/>
    <m/>
    <m/>
    <s v="0.0"/>
    <m/>
    <n v="0"/>
    <s v="21122.366028351324"/>
    <n v="0"/>
  </r>
  <r>
    <x v="3139"/>
    <x v="1225"/>
    <x v="0"/>
    <n v="0"/>
    <s v="LINESTRING (5.715711789094249 58.890462155763004, 5.715650428830216 58.89063051067407, 5.714147842073272 58.89306048156045, 5.714469439661402 58.89359866055105, 5.7148077292452335 58.89395160152808, 5.714887611051291 58.893993111150756)"/>
    <s v="[1108106, 2099664, 2099665, 2099666, 2099673]"/>
    <s v="[1048718, 1815529, 1815530, 1815531, 1308573]"/>
    <s v="0.012172302276188764"/>
    <s v="[1048717, 1048718, 1815529, 1815530, 1815531]"/>
    <s v="[0.002, 0.013, 0.056, 0.064, 0.754]"/>
    <s v="422.4398289805649"/>
    <s v="[-0.002, 0.013, 0.056, 0.064, -0.754]"/>
  </r>
  <r>
    <x v="3139"/>
    <x v="3784"/>
    <x v="0"/>
    <n v="0"/>
    <s v="LINESTRING (5.715711789094249 58.890462155763004, 5.7154421170431045 58.89079311713495, 5.713860257894477 58.892503159064155, 5.711931137508044 58.89447982086515, 5.711899661842418 58.89451593705422, 5.711892227004666 58.89452405547477, 5.711805527944733 58.894618812472594, 5.711714111738791 58.89471919184804, 5.7115940080687615 58.89486009150852, 5.7114586167658485 58.895022122677645, 5.711284931462007 58.895243199073256, 5.710921406777948 58.8957608940573)"/>
    <s v="[1116935, 1116943, 1116951, 1116959, 1116967, 1116975, 1116983, 1116991, 1116999, 1117007, 1117015]"/>
    <s v="[1056068, 1056070, 1056077, 1056080, 1056085, 1056089, 1056092, 1056097, 1056100, 1056108, 1056112]"/>
    <s v="0.005200292511971551"/>
    <s v="[1048717, 1056068, 1056070, 1056077, 1056080, 1056085, 1056089, 1056092, 1056097, 1056100, 1056108]"/>
    <s v="[0.021, 0.005, 0.016, 0.0, 0.03, 0.002, 0.009, 0.008, 0.006, 0.004, 0.004]"/>
    <s v="654.1568271998748"/>
    <s v="[-0.021, 0.005, 0.016, 0.0, -0.03, -0.002, -0.009, -0.008, -0.006, -0.004, -0.004]"/>
  </r>
  <r>
    <x v="3139"/>
    <x v="3785"/>
    <x v="0"/>
    <n v="0"/>
    <s v="LINESTRING (5.717066822279026 58.888414279254256, 5.716237120569844 58.88976592572132, 5.716203236429138 58.889815504446894, 5.715947018795141 58.89016260468132, 5.715886650146611 58.890239878022165, 5.715711789094249 58.890462155763004)"/>
    <s v="[1116895, 1116903, 1116911, 1116919, 1116927]"/>
    <s v="[1056040, 1056046, 1056054, 1056059, 1048717]"/>
    <s v="1.0193471639236528e-05"/>
    <s v="[1056034, 1056040, 1056046, 1056054, 1056059]"/>
    <s v="[0.007, 0.001, 0.001, 0.002, 0.039]"/>
    <s v="242.01431075307266"/>
    <s v="[-0.007, 0.001, 0.001, 0.002, 0.039]"/>
  </r>
  <r>
    <x v="3140"/>
    <x v="2535"/>
    <x v="0"/>
    <n v="0"/>
    <m/>
    <n v="1109712"/>
    <n v="1050042"/>
    <s v="#FIELD!"/>
    <n v="1050036"/>
    <s v="0.005"/>
    <s v="659.6750214792063"/>
    <s v="#FIELD!"/>
  </r>
  <r>
    <x v="3140"/>
    <x v="3786"/>
    <x v="0"/>
    <n v="0"/>
    <s v="LINESTRING (10.368701924576987 63.34652965220983, 10.368750918319597 63.34648277642785, 10.368020108119042 63.34394517400972, 10.36792662519398 63.34376264417155)"/>
    <s v="[1332609, 1332617, 1332930]"/>
    <s v="[1237583, 1237590, 1050036]"/>
    <s v="0.0030336743822208037"/>
    <s v="[1237450, 1237583, 1237590]"/>
    <s v="[0.006, 0.003, 0.006]"/>
    <s v="317.29539783362196"/>
    <s v="[-0.006, 0.003, 0.006]"/>
  </r>
  <r>
    <x v="3141"/>
    <x v="3787"/>
    <x v="0"/>
    <n v="0"/>
    <s v="LINESTRING (10.370200125144347 63.34955247368594, 10.3701114688992 63.349390740607625, 10.369215346200004 63.34715855266564, 10.368834740474279 63.3467650768259, 10.368766076231589 63.34672408644322)"/>
    <s v="[1332946, 1332585, 1332593, 1332601]"/>
    <s v="[1237558, 1237559, 1237567, 1237443]"/>
    <s v="0.007673105396632048"/>
    <s v="[1050042, 1237558, 1237559, 1237567]"/>
    <s v="[0.01, 0.008, 0.005, 0.008]"/>
    <s v="326.46864180905067"/>
    <s v="[0.01, 0.008, 0.005, 0.008]"/>
  </r>
  <r>
    <x v="3142"/>
    <x v="2534"/>
    <x v="337"/>
    <n v="0"/>
    <s v="LINESTRING (10.367804757750672 63.343352248901816, 10.36814751973925 63.34369775537654, 10.37045543655929 63.34950919292123, 10.370468931712358 63.34962970722665, 10.370473000670211 63.349664343363266)"/>
    <s v="[1109920, 1109928, 1109936, 1109944]"/>
    <s v="[1050170, 1050174, 1050179, 1050182]"/>
    <s v="#FIELD!"/>
    <s v="[1050165, 1050170, 1050174, 1050179]"/>
    <s v="[0.011, 0.005, 0.007, 0.005]"/>
    <s v="721.8981879756006"/>
    <s v="[-0.011, -0.005, -0.007, -0.005]"/>
  </r>
  <r>
    <x v="3142"/>
    <x v="3788"/>
    <x v="0"/>
    <n v="0"/>
    <s v="LINESTRING (10.367804757750672 63.343352248901816, 10.368035464362286 63.343502166957094, 10.370883760055612 63.34628235203622, 10.370988519350874 63.34630805856584)"/>
    <s v="[1332922, 1332657, 1332665]"/>
    <s v="[1237624, 1237625, 1237534]"/>
    <s v="#FIELD!"/>
    <s v="[1050165, 1237624, 1237625]"/>
    <s v="[0.015, 0.007, 0.012]"/>
    <s v="368.82606933298814"/>
    <s v="[-0.015, -0.007, -0.012]"/>
  </r>
  <r>
    <x v="3143"/>
    <x v="3789"/>
    <x v="338"/>
    <n v="0"/>
    <s v="LINESTRING (10.37104859860155 63.34662852246325, 10.370981353726375 63.3466632054797, 10.370639159242357 63.34724270302567, 10.370519427923874 63.349450763181224, 10.370473000670211 63.349664343363266)"/>
    <s v="[1332633, 1332641, 1332649, 1332938]"/>
    <s v="[1237603, 1237609, 1237617, 1050182]"/>
    <s v="#FIELD!"/>
    <s v="[1237508, 1237603, 1237609, 1237617]"/>
    <s v="[0.011, 0.004, 0.006, 0.004]"/>
    <s v="343.4823876319629"/>
    <s v="[0.011, 0.004, -0.006, -0.004]"/>
  </r>
  <r>
    <x v="3144"/>
    <x v="3790"/>
    <x v="0"/>
    <n v="0"/>
    <s v="LINESTRING (10.486173873791023 63.430167766863775, 10.486362053728417 63.43022739704842, 10.489241890697816 63.43033488232146, 10.489480507125984 63.430340858520964)"/>
    <s v="[1112536, 1112544, 1112552]"/>
    <s v="[1052201, 1052209, 1052216]"/>
    <s v="#FIELD!"/>
    <s v="[1052200, 1052201, 1052209]"/>
    <s v="[0.009, 0.008, 0.011]"/>
    <s v="172.243743678499"/>
    <s v="[-0.009, -0.008, -0.011]"/>
  </r>
  <r>
    <x v="3144"/>
    <x v="3791"/>
    <x v="0"/>
    <n v="0"/>
    <s v="LINESTRING (10.486173873791023 63.430167766863775, 10.487081802475304 63.43046244494915, 10.487387733448706 63.430510960702115)"/>
    <s v="[1113084, 1113092]"/>
    <s v="[1052714, 1052723]"/>
    <s v="0.048994204000665106"/>
    <s v="[1052200, 1052714]"/>
    <s v="[0.057, 0.021]"/>
    <s v="72.87591796895745"/>
    <s v="[0.057, 0.021]"/>
  </r>
  <r>
    <x v="3144"/>
    <x v="3408"/>
    <x v="0"/>
    <n v="0"/>
    <m/>
    <n v="1113076"/>
    <n v="1052200"/>
    <s v="#FIELD!"/>
    <n v="1052490"/>
    <s v="0.015"/>
    <s v="278.26148357593684"/>
    <s v="#FIELD!"/>
  </r>
  <r>
    <x v="3145"/>
    <x v="3792"/>
    <x v="0"/>
    <n v="0"/>
    <s v="LINESTRING (10.481579583282059 63.42831382068724, 10.481789716143721 63.42840924636029, 10.482003315559117 63.42850624704362)"/>
    <s v="[1112608, 1112616]"/>
    <s v="[1052268, 1052277]"/>
    <s v="#FIELD!"/>
    <s v="[1052261, 1052268]"/>
    <s v="0.022"/>
    <s v="30.134331285376927"/>
    <s v="#FIELD!"/>
  </r>
  <r>
    <x v="3145"/>
    <x v="3793"/>
    <x v="0"/>
    <n v="0"/>
    <s v="LINESTRING (10.481715779997892 63.42844272802927, 10.481594706842857 63.428328146432484, 10.481579583282059 63.42831382068724)"/>
    <s v="[1112840, 1112848]"/>
    <s v="[1052477, 1052261]"/>
    <s v="0.09511423886387693"/>
    <s v="[1052468, 1052477]"/>
    <s v="[0.019, 0.704]"/>
    <s v="15.90047974412271"/>
    <s v="[0.019, 0.704]"/>
  </r>
  <r>
    <x v="3146"/>
    <x v="3793"/>
    <x v="0"/>
    <n v="0"/>
    <m/>
    <n v="1112896"/>
    <n v="1052468"/>
    <s v="#FIELD!"/>
    <n v="1052277"/>
    <s v="0.053"/>
    <s v="16.010872336937023"/>
    <s v="#FIELD!"/>
  </r>
  <r>
    <x v="3146"/>
    <x v="2400"/>
    <x v="339"/>
    <n v="0"/>
    <s v="LINESTRING (10.482003315559117 63.42850624704362, 10.482219560599255 63.42860442808201, 10.495364460210896 63.430962714373074)"/>
    <s v="[1112624, 1112632]"/>
    <s v="[1052287, 1052295]"/>
    <s v="#FIELD!"/>
    <s v="[1052277, 1052287]"/>
    <s v="[0.019, 0.026]"/>
    <s v="806.9603641920056"/>
    <s v="[-0.019, -0.026]"/>
  </r>
  <r>
    <x v="3147"/>
    <x v="3406"/>
    <x v="340"/>
    <n v="0"/>
    <s v="LINESTRING (10.495364460210896 63.430962714373074, 10.4952172469097 63.4310307191346, 10.490971001768798 63.43161865808606)"/>
    <s v="[1112664, 1113044]"/>
    <s v="[1052322, 1052349]"/>
    <s v="0.031378576464770276"/>
    <s v="[1052295, 1052322]"/>
    <s v="[0.003, 0.033]"/>
    <s v="234.47409593920548"/>
    <s v="[-0.003, 0.033]"/>
  </r>
  <r>
    <x v="3148"/>
    <x v="3794"/>
    <x v="0"/>
    <n v="0"/>
    <s v="LINESTRING (10.490971001768798 63.43161865808606, 10.489938129274616 63.43156867291784, 10.487164140385692 63.431022700479545, 10.48704875832837 63.43097778148773)"/>
    <s v="[1113052, 1113060, 1113068]"/>
    <s v="[1052682, 1052690, 1052697]"/>
    <s v="0.05411532970209189"/>
    <s v="[1052349, 1052682, 1052690]"/>
    <s v="[0.125, 0.033, 0.006]"/>
    <s v="212.13874512100253"/>
    <s v="[0.125, 0.033, -0.006]"/>
  </r>
  <r>
    <x v="3149"/>
    <x v="3795"/>
    <x v="0"/>
    <n v="0"/>
    <m/>
    <n v="1112832"/>
    <n v="1052469"/>
    <s v="0.01"/>
    <n v="1052468"/>
    <s v="0.01"/>
    <s v="182.57670931695898"/>
    <s v="0.01"/>
  </r>
  <r>
    <x v="3149"/>
    <x v="3796"/>
    <x v="0"/>
    <n v="0"/>
    <s v="LINESTRING (10.486217171527944 63.4306813817218, 10.486159598183242 63.43063271532751, 10.481715779997892 63.42844272802927)"/>
    <s v="[1113028, 1113036]"/>
    <s v="[1052654, 1052468]"/>
    <s v="0.004672718449594552"/>
    <s v="[1052653, 1052654]"/>
    <s v="[0.013, 0.005]"/>
    <s v="337.72224548732896"/>
    <s v="[-0.013, 0.005]"/>
  </r>
  <r>
    <x v="3150"/>
    <x v="3797"/>
    <x v="0"/>
    <n v="0"/>
    <s v="LINESTRING (10.47914054653601 63.42728040447093, 10.476580537083738 63.42782888852063, 10.476533996649824 63.42797839093263)"/>
    <s v="[1807102, 2154608]"/>
    <s v="[1592183, 1846660]"/>
    <s v="0.0006109250548440306"/>
    <s v="[1052469, 1592183]"/>
    <s v="[0.003, 0.03]"/>
    <s v="232.46783631587257"/>
    <s v="[0.003, -0.03]"/>
  </r>
  <r>
    <x v="3150"/>
    <x v="2137"/>
    <x v="0"/>
    <n v="0"/>
    <s v="LINESTRING (10.47914054653601 63.42728040447093, 10.479024289432841 63.42723026247919, 10.476813269160635 63.42694591934772, 10.476701884370826 63.42696485013516)"/>
    <s v="[1807118, 1807125, 1807135]"/>
    <s v="[1592195, 1592200, 1592206]"/>
    <s v="0.02653938653380508"/>
    <s v="[1052469, 1592195, 1592200]"/>
    <s v="[0.4, 0.004, 0.01]"/>
    <s v="137.91345530041517"/>
    <s v="[0.4, 0.004, -0.01]"/>
  </r>
  <r>
    <x v="3151"/>
    <x v="2139"/>
    <x v="0"/>
    <n v="0"/>
    <s v="LINESTRING (10.476079299874296 63.426738912978884, 10.476088309086768 63.426686076331976, 10.476093279694023 63.42665740690315, 10.476017455638871 63.4263310369363, 10.47587389168502 63.42595445954463, 10.475993190995107 63.425516287390685, 10.47600048814212 63.42550795872903, 10.478898404836102 63.42693290734362, 10.482206464564184 63.42841642329483)"/>
    <s v="[2069630, 2069638, 572916, 572923, 572939, 572940, 572947, 1112872]"/>
    <s v="[1797155, 580474, 580475, 580483, 580497, 580498, 580504, 1052490]"/>
    <s v="#FIELD!"/>
    <s v="[1797154, 1797155, 580474, 580475, 580483, 580497, 580498, 580504]"/>
    <s v="[0.028, 1.493, 0.014, 0.017, 0.011, 0.076, 0.001, 0.006]"/>
    <s v="720.3269440570273"/>
    <s v="[0.028, -1.493, 0.014, 0.017, -0.011, -0.076, -0.001, -0.006]"/>
  </r>
  <r>
    <x v="3152"/>
    <x v="3791"/>
    <x v="0"/>
    <s v="[0, 1, 0]"/>
    <s v="LINESTRING (10.486217171527944 63.4306813817218, 10.486449983706407 63.430599008780085, 10.486866640435542 63.430528383016835, 10.487387733448706 63.430510960702115)"/>
    <s v="[1113132, 1113140, 1113148]"/>
    <s v="[1052766, 1052775, 1052723]"/>
    <s v="0.01729054261974781"/>
    <s v="[1052653, 1052766, 1052775]"/>
    <s v="[0.008, 0.018, 0.022]"/>
    <s v="63.38733258526761"/>
    <s v="[0.008, 0.018, 0.022]"/>
  </r>
  <r>
    <x v="3152"/>
    <x v="3794"/>
    <x v="0"/>
    <n v="0"/>
    <s v="LINESTRING (10.48704875832837 63.43097778148773, 10.486237016992131 63.43088404824326, 10.486159726258014 63.430799997198434, 10.486181869799342 63.4307131472534, 10.486217171527944 63.4306813817218)"/>
    <s v="[1113212, 1113220, 1113228, 1113124]"/>
    <s v="[1052566, 1052846, 1052576, 1052653]"/>
    <s v="#FIELD!"/>
    <s v="[1052697, 1052566, 1052846, 1052576]"/>
    <s v="[0.013, 0.012, 0.004, 0.003]"/>
    <s v="66.9394584964653"/>
    <s v="[-0.013, -0.012, -0.004, 0.003]"/>
  </r>
  <r>
    <x v="3153"/>
    <x v="780"/>
    <x v="341"/>
    <s v="[1, 0, 0]"/>
    <s v="LINESTRING (10.007608997036149 61.548588396704254, 10.006287339312287 61.54872410140591, 10.005914630703753 61.54876747262323, 9.9291615856417 61.55944877210174)"/>
    <s v="[1113043, 1113051, 1113837]"/>
    <s v="[1052673, 1052681, 1052884]"/>
    <s v="#FIELD!"/>
    <s v="[1052672, 1052673, 1052681]"/>
    <s v="[0.152, 0.197, 0.008]"/>
    <s v="4397.893850785726"/>
    <s v="[0.152, 0.197, -0.008]"/>
  </r>
  <r>
    <x v="3154"/>
    <x v="2361"/>
    <x v="0"/>
    <s v="[0, 1, 0]"/>
    <s v="LINESTRING (10.488023958416418 63.43076170544539, 10.48783054251599 63.430866726020675, 10.487305384485605 63.43096174401091, 10.48704875832837 63.43097778148773)"/>
    <s v="[1113188, 1113196, 1113204]"/>
    <s v="[1052816, 1052824, 1052697]"/>
    <s v="#FIELD!"/>
    <s v="[1052730, 1052816, 1052824]"/>
    <s v="[0.017, 0.013, 0.011]"/>
    <s v="56.80527774328015"/>
    <s v="[-0.017, -0.013, -0.011]"/>
  </r>
  <r>
    <x v="3155"/>
    <x v="2361"/>
    <x v="0"/>
    <n v="0"/>
    <s v="LINESTRING (10.487387733448706 63.430510960702115, 10.487702581535885 63.430536020150804, 10.487957844093392 63.43060415273611, 10.488037688746857 63.430696231898125, 10.488023958416418 63.43076170544539)"/>
    <s v="[1113156, 1113164, 1113172, 1113180]"/>
    <s v="[1052633, 1052793, 1052583, 1052730]"/>
    <s v="0.007697027550477981"/>
    <s v="[1052723, 1052633, 1052793, 1052583]"/>
    <s v="[0.02, 0.014, 0.005, 0.013]"/>
    <s v="49.40576708325333"/>
    <s v="[0.02, 0.014, -0.005, -0.013]"/>
  </r>
  <r>
    <x v="3156"/>
    <x v="3798"/>
    <x v="0"/>
    <n v="0"/>
    <s v="LINESTRING (11.240581148064326 60.43163059425302, 11.240723800330356 60.43070068944406, 11.240741019490612 60.43059501138537)"/>
    <s v="[1299048, 1115863]"/>
    <s v="[1055231, 1055223]"/>
    <s v="#FIELD!"/>
    <s v="[1210861, 1055231]"/>
    <s v="[0.013, 0.003]"/>
    <s v="115.73416171270273"/>
    <s v="[-0.013, -0.003]"/>
  </r>
  <r>
    <x v="3156"/>
    <x v="635"/>
    <x v="0"/>
    <n v="0"/>
    <s v="LINESTRING (11.24084140639747 60.417600860280906, 11.240950174666503 60.429312024839, 11.240741019490612 60.43059501138537)"/>
    <s v="[2105466, 1115855]"/>
    <s v="[1055222, 1055223]"/>
    <s v="0.0037034348539628603"/>
    <s v="[1819047, 1055222]"/>
    <s v="[0.004, 0.001]"/>
    <s v="1450.9224579178558"/>
    <s v="[0.004, 0.001]"/>
  </r>
  <r>
    <x v="3157"/>
    <x v="1229"/>
    <x v="0"/>
    <n v="0"/>
    <s v="LINESTRING (6.336993887193881 58.5306633823538, 6.335091293688378 58.53135522209038, 6.335005277706539 58.5313727591816, 6.334953221914708 58.53138285381163, 6.334927987030775 58.53138915585351, 6.333314759407395 58.53176666900968, 6.33169451724257 58.53211828815571)"/>
    <s v="[1116183, 1116191, 1116199, 1116207, 1116215, 1116223]"/>
    <s v="[1055492, 1055497, 662686, 1055508, 1055514, 1055519]"/>
    <s v="0.008517360399920402"/>
    <s v="[1055491, 1055492, 1055497, 662686, 1055508, 1055514]"/>
    <s v="[0.015, 0.024, 0.02, 0.034, 0.0, 0.008]"/>
    <s v="352.2479595608173"/>
    <s v="[0.015, 0.024, 0.02, -0.034, 0.0, 0.008]"/>
  </r>
  <r>
    <x v="3157"/>
    <x v="1229"/>
    <x v="0"/>
    <n v="0"/>
    <s v="LINESTRING (6.336993887193881 58.5306633823538, 6.334944856815992 58.5312941915749, 6.3348725179590515 58.531312197891104, 6.333252864907266 58.531706680796304, 6.33305049796219 58.53175702519741, 6.33169451724257 58.53211828815571)"/>
    <s v="[2101890, 2101898, 2101902, 2101907, 2101914]"/>
    <s v="[662676, 1816934, 1816936, 1816939, 1055519]"/>
    <s v="0.008809390245458034"/>
    <s v="[1055491, 662676, 1816934, 1816936, 1816939]"/>
    <s v="[0.07, 0.04, 0.069, 0.162, 0.181]"/>
    <s v="350.72487078674527"/>
    <s v="[0.07, 0.04, 0.069, 0.162, -0.181]"/>
  </r>
  <r>
    <x v="3157"/>
    <x v="3799"/>
    <x v="342"/>
    <s v="[0, 0, 0, 0, 1, 0, 0, 0, 0, 0, 0, 0, 0, 1, 0, 0, 0, 0, 0, 0, 0, 0, 0, 0, 0, 0, 0, 0, 0, 0, 0, 0, 0, 0, 0, 0, 0, 0, 0, 0, 0, 0, 0, 0, 0, 0, 0, 0, 0, 0, 0, 0, 0, 0, 0, 0, 0, 0, 0, 0, 0, 0, 0, 0, 0, 0, 0, 0, 0, 1, 0, 1, 0, 1, 0, 0, 0, 1, 0, 0, 1, 0, 1, 0, 0, 1, 0, 0, 0, 0, 0, 0, 0, 1, 0, 1, 0, 0, 1, 0]"/>
    <s v="LINESTRING (6.51974848396457 58.47056895923199, 6.51932805359057 58.47088483477273, 6.517191251148183 58.473146190372304, 6.5156112567445446 58.476350727844554, 6.502825731878727 58.488355871228045, 6.502721357285683 58.48842636011166, 6.500162215319633 58.48945066086471, 6.499813051963063 58.48957518978884, 6.44425263552436 58.478827193917176, 6.441060424851007 58.47875387445221, 6.434031112672271 58.47744913266245, 6.423451963171653 58.47613308496355, 6.421755650950783 58.475650184174334, 6.421596703954903 58.47559484497623, 6.4214428341553385 58.47554030796752, 6.418681764981758 58.47458132110277, 6.4088373238079 58.47252927812942, 6.406344534375556 58.472830872790205, 6.406070412032504 58.47288481349021, 6.404610174480472 58.47318099574253, 6.402367954555062 58.47356200945639, 6.400915914070882 58.4734812115477, 6.398773938588343 58.47187077801495, 6.397854854761401 58.470781585364215, 6.387656753805904 58.469078582193966, 6.383018150454402 58.46911141818803, 6.379541077330862 58.46903750543596, 6.3792757149221595 58.468985774494094, 6.377461079690628 58.46805587587123, 6.375406605218913 58.46583203195806, 6.375395669268288 58.46582453809058, 6.375362890956485 58.465802076538694, 6.3753264722982985 58.4657771203644, 6.3745519480521 58.46532653610072, 6.367530300603182 58.46546500859734, 6.366837493133739 58.46620024402518, 6.366290418471224 58.467019932863934, 6.365432612698213 58.46861674110677, 6.3650488421552955 58.46971464982577, 6.363086143264444 58.472276255441436, 6.362663852970393 58.47280754924142, 6.362472674872149 58.473045524122746, 6.362188133913641 58.47340022206212, 6.361825829304325 58.47385585398755, 6.361715250646297 58.47399676077009, 6.361042941044861 58.47483101951735, 6.360994383167503 58.474889813329455, 6.3609417572175575 58.47495530104191, 6.360671474561325 58.47527659334501, 6.359261460610459 58.47634194757292, 6.357623164418148 58.478786506249435, 6.3576264831988025 58.478798802460034, 6.3576397752934435 58.478847988452706, 6.357653224847117 58.47890106734488, 6.3578764138547665 58.479376716578095, 6.357921354961667 58.479443669410465, 6.3638158770094675 58.483788817076906, 6.364428844592194 58.4843183621441, 6.3646858694920425 58.48538397959359, 6.36363342610966 58.486620042949724, 6.36122080287008 58.489026158781854, 6.361041933651982 58.48982953467662, 6.361040964076023 58.48985896467297, 6.361258692470213 58.49099884962414, 6.361547416916954 58.49207888725681, 6.361743945996341 58.492801503354045, 6.36174639281485 58.492810851155454, 6.36175371412075 58.49283890228895, 6.362493341516929 58.4956647978181, 6.3624796290337375 58.49658300299878, 6.36247334115992 58.49662173277532, 6.3611630010284985 58.498732271218564, 6.360804482231703 58.49903734240116, 6.359980002034961 58.49971008486903, 6.359885743037833 58.499786744641355, 6.3598495702594855 58.49981617073406, 6.358122534354852 58.501222759856816, 6.356595276149531 58.50339864932119, 6.356588381636502 58.5034339433311, 6.3565569403471 58.5036072965618, 6.3568208458193 58.50830926848097, 6.35681103330311 58.50833857737659, 6.355092257457233 58.51079930036547, 6.355065721603203 58.51082277078237, 6.353230708805013 58.512356229269194, 6.350176988693624 58.51500081147192, 6.350130352090211 58.515054868788546, 6.3494690773722375 58.516331680604324, 6.3478229010811935 58.520721720472274, 6.347006923026852 58.5217766485352, 6.346999483227824 58.52178479280103, 6.346969719589909 58.52181738761726, 6.343899020763727 58.5247024777355, 6.343586724186453 58.52504628605445, 6.343558518145968 58.52507758669892, 6.341353314815154 58.52753909915783, 6.341295421390007 58.527603946647176, 6.340189158833537 58.52875894699588, 6.3377734554670475 58.530317944216755, 6.3377112179743245 58.53034769866982, 6.336993887193881 58.5306633823538)"/>
    <s v="[1842929, 1842937, 1842945, 370159, 370167, 370175, 370183, 370191, 370199, 370207, 370215, 370223, 370231, 370239, 370247, 370255, 370263, 370271, 370279, 370287, 370295, 370303, 370311, 370319, 370327, 370335, 370343, 370351, 1842953, 1842961, 1842969, 1842977, 1842985, 1842993, 1843001, 1843009, 1843018, 1843026, 1843034, 1843042, 1843050, 1843058, 1843066, 1843074, 1843082, 1843090, 1843098, 1843106, 1843113, 1843121, 1843129, 1843137, 1843145, 1843153, 1843161, 1843169, 1843177, 1843185, 1843193, 1843201, 1843209, 1843217, 1843225, 1843233, 1843241, 1843248, 1843256, 1843264, 1843272, 1843280, 1843288, 1843296, 1843304, 1843312, 1843320, 1843328, 1843336, 1843344, 1843352, 1843360, 1843368, 1843376, 1843384, 1843392, 1843400, 1843408, 1843416, 1843424, 1843432, 1843440, 1843448, 1843456, 1843464, 1843472, 1843480, 1843488, 1843496, 1843504, 1843512, 1843520]"/>
    <s v="[1614739, 1139890, 359094, 359095, 359105, 359111, 359117, 359124, 359131, 359139, 359148, 359155, 359164, 359171, 359178, 359185, 359194, 359203, 359211, 359220, 359228, 359237, 359245, 359253, 359260, 359271, 359277, 359287, 1614756, 1614763, 1614768, 1614776, 1614782, 1614789, 1191663, 1142122, 649698, 1614819, 1614827, 1594158, 1614837, 1594171, 1614843, 1191617, 676245, 1614858, 1250306, 1614866, 1614869, 1614874, 1614879, 1614881, 1614884, 1614890, 1191564, 1614900, 1594177, 1594194, 1614915, 1614923, 1614930, 1614936, 1191504, 1614946, 1614950, 1614957, 1614960, 1614968, 1614973, 1614977, 1614984, 1614989, 1614994, 1614999, 1615004, 1263337, 1615015, 1615023, 1615028, 1615034, 1615042, 1615048, 1615053, 1615060, 1615069, 1615075, 1615081, 1615086, 1615092, 1615097, 1615103, 1615109, 1615117, 1615121, 1615125, 1615131, 1615137, 1615143, 1615148, 1055491]"/>
    <s v="0.00620825322660983"/>
    <s v="[1614734, 1614739, 1139890, 359094, 359095, 359105, 359111, 359117, 359124, 359131, 359139, 359148, 359155, 359164, 359171, 359178, 359185, 359194, 359203, 359211, 359220, 359228, 359237, 359245, 359253, 359260, 359271, 359277, 359287, 1614756, 1614763, 1614768, 1614776, 1614782, 1614789, 1191663, 1142122, 649698, 1614819, 1614827, 1594158, 1614837, 1594171, 1614843, 1191617, 676245, 1614858, 1250306, 1614866, 1614869, 1614874, 1614879, 1614881, 1614884, 1614890, 1191564, 1614900, 1594177, 1594194, 1614915, 1614923, 1614930, 1614936, 1191504, 1614946, 1614950, 1614957, 1614960, 1614968, 1614973, 1614977, 1614984, 1614989, 1614994, 1614999, 1615004, 1263337, 1615015, 1615023, 1615028, 1615034, 1615042, 1615048, 1615053, 1615060, 1615069, 1615075, 1615081, 1615086, 1615092, 1615097, 1615103, 1615109, 1615117, 1615121, 1615125, 1615131, 1615137, 1615143, 1615148]"/>
    <s v="[0.085, 0.009, 0.024, 0.008, 0.08, 0.001, 0.065, 0.016, 0.113, 0.113, 0.025, 0.227, 0.22, 0.153, 0.03, 0.07, 0.097, 0.024, 0.0, 0.051, 0.047, 0.006, 0.034, 0.006, 0.062, 0.019, 0.014, 0.014, 0.165, 0.279, 0.24, 0.186, 0.129, 0.119, 0.088, 0.007, 0.028, 0.035, 0.046, 0.001, 0.007, 0.013, 0.021, 0.028, 0.021, 0.135, 0.14, 0.116, 0.037, 0.016, 0.058, 0.023, 0.021, 0.032, 0.029, 0.076, 0.052, 0.152, 0.013, 0.074, 0.19, 0.153, 0.073, 0.065, 0.004, 0.162, 0.102, 0.038, 0.023, 0.023, 0.011, 0.032, 0.034, 0.014, 0.018, 0.003, 0.042, 0.05, 0.05, 0.001, 0.003, 0.015, 0.022, 0.016, 0.002, 0.111, 0.027, 0.005, 0.019, 0.147, 0.074, 0.014, 0.0, 0.0, 0.034, 0.021, 0.002, 0.002, 0.04, 0.04]"/>
    <s v="19239.40174716337"/>
    <s v="[0.085, -0.009, -0.024, -0.008, -0.08, 0.001, -0.065, 0.016, 0.113, -0.113, 0.025, 0.227, 0.22, 0.153, 0.03, 0.07, -0.097, 0.024, -0.0, 0.051, 0.047, 0.006, 0.034, 0.006, -0.062, -0.019, -0.014, 0.014, 0.165, 0.279, 0.24, 0.186, 0.129, -0.119, -0.088, -0.007, 0.028, 0.035, -0.046, 0.001, -0.007, -0.013, -0.021, -0.028, -0.021, 0.135, 0.14, 0.116, 0.037, 0.016, -0.058, -0.023, -0.021, -0.032, -0.029, 0.076, 0.052, -0.152, -0.013, 0.074, -0.19, -0.153, -0.073, 0.065, 0.004, 0.162, -0.102, -0.038, -0.023, -0.023, 0.011, 0.032, 0.034, 0.014, 0.018, 0.003, 0.042, 0.05, 0.05, -0.001, 0.003, 0.015, 0.022, 0.016, -0.002, -0.111, -0.027, 0.005, -0.019, 0.147, 0.074, 0.014, 0.0, 0.0, -0.034, 0.021, -0.002, -0.002, 0.04, 0.04]"/>
  </r>
  <r>
    <x v="3158"/>
    <x v="3800"/>
    <x v="0"/>
    <n v="0"/>
    <s v="LINESTRING (6.098894573644984 58.521849986012846, 6.098642545658033 58.52209058329933, 6.098423771851112 58.522320200717694, 6.09817253411002 58.522687147887424, 6.098094459387661 58.52284199062183, 6.097954017890469 58.52314809546058, 6.097568548587473 58.52391520066089, 6.097488686837244 58.523993864804154)"/>
    <s v="[1116287, 1116295, 1116303, 1116311, 1116319, 1116327, 1116335]"/>
    <s v="[1055558, 1055565, 374658, 673610, 1055578, 1055584, 1055588]"/>
    <s v="#FIELD!"/>
    <s v="[1055557, 1055558, 1055565, 374658, 673610, 1055578, 1055584]"/>
    <s v="[0.056, 0.033, 0.019, 0.008, 0.001, 0.035, 0.122]"/>
    <s v="255.0209872483636"/>
    <s v="[0.056, 0.033, 0.019, 0.008, 0.001, -0.035, -0.122]"/>
  </r>
  <r>
    <x v="3158"/>
    <x v="3800"/>
    <x v="0"/>
    <n v="0"/>
    <s v="LINESTRING (6.098894573644984 58.521849986012846, 6.098539620607411 58.522066023833816, 6.098039286239691 58.52266639373997, 6.097999680613606 58.5227590881331, 6.097969459227218 58.52282848698868, 6.097828931901505 58.52313221950483, 6.097493920662628 58.523903401535755, 6.097488686837244 58.523993864804154)"/>
    <s v="[2102067, 2102075, 2102083, 2102091, 2102100, 2102108, 2102116]"/>
    <s v="[1817045, 370409, 1817055, 673611, 1817066, 1817071, 1055588]"/>
    <s v="#FIELD!"/>
    <s v="[1055557, 1817045, 370409, 1817055, 673611, 1817066, 1817071]"/>
    <s v="[1.314, 0.163, 0.154, 0.162, 0.172, 0.198, 0.455]"/>
    <s v="257.99710072030035"/>
    <s v="[1.314, -0.163, -0.154, -0.162, -0.172, -0.198, -0.455]"/>
  </r>
  <r>
    <x v="3159"/>
    <x v="3801"/>
    <x v="343"/>
    <s v="[0, 0, 0, 0, 0, 0, 0, 0, 0, 0, 0, 0, 0, 0, 0, 0, 0, 0, 0, 0, 0, 0, 0, 0, 0, 0, 0, 0, 0, 0, 0, 0, 0, 0, 0, 0, 0, 0, 0, 0, 0, 0, 0, 0, 0, 1, 1, 0, 0, 0, 0, 0, 0, 0, 0, 0, 0, 0, 0, 0, 0, 1, 1, 0, 0, 0, 0, 0, 0, 0, 0, 0, 0, 0, 0, 0, 0, 0, 0, 0, 0, 0, 0, 0, 0, 0, 0, 0, 0, 0, 0, 0, 0, 0, 0, 0, 0, 0, 0, 0, 0, 0]"/>
    <s v="LINESTRING (6.097488686837244 58.523993864804154, 6.097057713031963 58.52494256352302, 6.096794952834199 58.525528068903114, 6.09661271259889 58.5259391779231, 6.096149411785838 58.52698339126665, 6.095910793685186 58.52747568124288, 6.0939873552047175 58.529178145640074, 6.0905971048736625 58.53012197559349, 6.089627279205686 58.53027575799753, 6.0829613347564 58.5329335254534, 6.082095423232277 58.53327428425625, 6.073005620417197 58.53523442750616, 6.071252587042437 58.53583557480618, 6.0685427230508155 58.5372946669222, 6.065866052370512 58.54013004942733, 6.065703385436397 58.540333239961264, 6.064896274858918 58.541351072436214, 6.063434213754235 58.54346035210426, 6.063335456990538 58.54374425193705, 6.069299875662282 58.55268254231601, 6.069373135754817 58.55271032753593, 6.07062525880296 58.55310904173872, 6.071310706465217 58.553287843102176, 6.071748223929449 58.553401133452866, 6.073134096893184 58.55379815305547, 6.07542723008102 58.55489090845578, 6.07695671975744 58.55645065656182, 6.077250507068602 58.55711346880172, 6.0773528381144 58.55815512559466, 6.077274658694349 58.558550209885055, 6.077149866189507 58.55891258783638, 6.076841331527523 58.5594870114986, 6.076172966999172 58.56026317601863, 6.070603346746401 58.564308565667204, 6.0695269280307915 58.56507727557158, 6.068836171808086 58.565581089406706, 6.06858661598335 58.56576944101389, 6.068443723386499 58.565878288726246, 6.066488641270234 58.56796860807164, 6.066383710537926 58.56817227556693, 6.065948439516179 58.56951971185104, 6.065895729680646 58.570801407878484, 6.065896525708974 58.570846045018506, 6.065885423539692 58.572427155865704, 6.065885031570396 58.57250065695766, 6.065881695755581 58.57293916500679, 6.065881824386065 58.57295058128977, 6.065879093916564 58.573485231060346, 6.065175644725491 58.57646920823522, 6.065122667260211 58.57656168556815, 6.065083476024689 58.576629505467466, 6.064805438864149 58.5770534609873, 6.063744751562058 58.58140684524716, 6.066275427637072 58.58349875116615, 6.06783951766695 58.584093780832305, 6.068159156361938 58.58418598562819, 6.06843474788345 58.58425911810935, 6.069057123549211 58.584402960909216, 6.069198193593448 58.58443419185342, 6.069309627937468 58.584457304871876, 6.069370879820746 58.584469804405096, 6.0700749847792395 58.58461035164904, 6.070191184891691 58.584633499517174, 6.070409388434644 58.58467951434012, 6.0713946567755945 58.58490416549384, 6.071622534376613 58.584961756844706, 6.078412308955052 58.59257926678041, 6.078736323544942 58.59349408966913, 6.078774387170103 58.59360395921914, 6.078884999928057 58.59391380885072, 6.078967318059725 58.5941411158891, 6.07899585265367 58.59421686514498, 6.079020995743502 58.59428992053884, 6.079090733994984 58.59448265905881, 6.079107460185438 58.59452871682634, 6.079255126415169 58.59493743617791, 6.079289551447341 58.59503270852903, 6.079506611165416 58.59562482075891, 6.079519680360423 58.595658637516344, 6.079546969763144 58.59572374133983, 6.079647412521693 58.59596270173952, 6.079982095250355 58.59668245660182, 6.082318544807256 58.600224782231194, 6.0824944213510985 58.60049086941805, 6.082856493887463 58.60108536060382, 6.08287135599517 58.60111241092998, 6.083925948794243 58.60460906277036, 6.087588934936492 58.60851057022466, 6.090255666714599 58.610071629943526, 6.090558283262901 58.61029543282941, 6.0909986027025855 58.61066531868648, 6.0910379639072625 58.61070283903846, 6.091403707303118 58.611060651701685, 6.091501113350339 58.611160036360786, 6.091593874109912 58.61126187833891, 6.091960119143008 58.611680416707934, 6.092044759199749 58.61178639677915, 6.092344618715376 58.61217157816749, 6.092964416093963 58.61660955922065, 6.091105965971143 58.62548558768666, 6.090808227590837 58.62585163104098, 6.086821421534767 58.6283676420924, 6.085746978725101 58.62871270523826)"/>
    <s v="[1843866, 1843874, 1843882, 1843890, 1843898, 1843906, 1843914, 1843922, 1843930, 1843938, 1843946, 1843954, 1843962, 1843970, 1843978, 1843986, 1843994, 1844002, 1844010, 1844018, 1844026, 1844034, 1844042, 1844050, 1844058, 1844066, 1844074, 1844082, 1844090, 1844098, 1844106, 1844114, 1844122, 1844130, 1844218, 1844226, 1844234, 1844246, 1844254, 1844262, 1844278, 1844286, 1844294, 1844302, 1844310, 1844318, 1844326, 1844334, 1844342, 1844352, 1844353, 1844360, 1844368, 1844376, 1844384, 1844392, 1844400, 1844408, 1844416, 1844424, 1844432, 1844440, 1844448, 1844456, 1844464, 1844472, 1844480, 1844488, 1844496, 1844504, 1844512, 1844520, 1844528, 1844536, 1844544, 1844552, 1844560, 1844568, 1844576, 1844584, 1844592, 1844600, 1844609, 1844617, 1844625, 1844633, 1844641, 1844649, 1844657, 1844665, 1844673, 1844681, 1844689, 1844697, 1844705, 1844713, 1844721, 1844729, 1844737, 1844745, 1844753, 1844761]"/>
    <s v="[1142397, 1615411, 1615419, 1612309, 1615428, 1615432, 1615438, 1615443, 1141214, 1132747, 1202323, 1132430, 1615464, 1202199, 1612273, 1615479, 1615487, 1615491, 1195063, 1594224, 1594210, 1615515, 1195129, 1301540, 1610223, 1615541, 1615547, 1195048, 1615556, 1610283, 1615564, 1615567, 1615573, 1131464, 1615644, 1615649, 1615653, 1260755, 1615664, 1182322, 1615676, 1615681, 1195150, 1615690, 1615696, 1615701, 1615708, 1266745, 1615715, 661763, 1615719, 1615721, 1615726, 1615731, 1615737, 1615742, 1615748, 662255, 1615758, 1267035, 1615770, 1615775, 1615778, 1615784, 1615789, 1615793, 1615797, 1615801, 1615805, 1615810, 1615815, 1615819, 1615823, 1615826, 1261746, 1615835, 1615839, 1615841, 1615844, 1615850, 1615853, 1615857, 1615864, 1615867, 1615870, 1615876, 1615880, 1615885, 1615889, 1615894, 1615898, 1615902, 1261595, 1615907, 1615913, 1615916, 1615919, 1615924, 1615928, 1615933, 1615938, 1615942]"/>
    <s v="#FIELD!"/>
    <s v="[1055588, 1142397, 1615411, 1615419, 1612309, 1615428, 1615432, 1615438, 1615443, 1141214, 1132747, 1202323, 1132430, 1615464, 1202199, 1612273, 1615479, 1615487, 1615491, 1195063, 1594224, 1594210, 1615515, 1195129, 1301540, 1610223, 1615541, 1615547, 1195048, 1615556, 1610283, 1615564, 1615567, 1615573, 1131464, 1615644, 1615649, 1615653, 1260755, 1615664, 1182322, 1615676, 1615681, 1195150, 1615690, 1615696, 1615701, 1615708, 1266745, 1615715, 661763, 1615719, 1615721, 1615726, 1615731, 1615737, 1615742, 1615748, 662255, 1615758, 1267035, 1615770, 1615775, 1615778, 1615784, 1615789, 1615793, 1615797, 1615801, 1615805, 1615810, 1615815, 1615819, 1615823, 1615826, 1261746, 1615835, 1615839, 1615841, 1615844, 1615850, 1615853, 1615857, 1615864, 1615867, 1615870, 1615876, 1615880, 1615885, 1615889, 1615894, 1615898, 1615902, 1261595, 1615907, 1615913, 1615916, 1615919, 1615924, 1615928, 1615933, 1615938]"/>
    <s v="[0.071, 0.086, 0.073, 0.049, 0.053, 0.061, 0.065, 0.171, 0.035, 0.021, 0.01, 0.108, 0.087, 0.054, 0.083, 0.089, 0.002, 0.024, 0.013, 0.014, 0.021, 0.033, 0.029, 0.002, 0.131, 0.031, 0.018, 0.018, 0.0, 0.012, 0.035, 0.061, 0.056, 0.133, 0.097, 0.009, 0.015, 0.037, 0.009, 0.034, 0.032, 0.037, 0.006, 0.006, 0.006, 0.005, 0.006, 0.009, 0.0, 0.0, 0.001, 0.018, 0.028, 0.009, 0.02, 0.013, 0.008, 0.006, 0.012, 0.001, 0.001, 0.017, 0.001, 0.023, 0.058, 0.007, 0.002, 0.002, 0.011, 0.019, 0.02, 0.01, 0.021, 0.028, 0.025, 0.023, 0.033, 0.019, 0.043, 0.036, 0.036, 0.029, 0.015, 0.053, 0.052, 0.002, 0.007, 0.012, 0.023, 0.024, 0.028, 0.023, 0.028, 0.024, 0.022, 0.021, 0.03, 0.034, 0.005, 0.047, 0.035, 0.017]"/>
    <s v="13893.275188547412"/>
    <s v="[0.071, 0.086, 0.073, 0.049, -0.053, 0.061, 0.065, -0.171, -0.035, -0.021, 0.01, 0.108, 0.087, -0.054, 0.083, 0.089, 0.002, -0.024, -0.013, 0.014, 0.021, 0.033, 0.029, 0.002, -0.131, 0.031, 0.018, 0.018, 0.0, -0.012, -0.035, -0.061, -0.056, -0.133, -0.097, -0.009, -0.015, -0.037, -0.009, 0.034, 0.032, 0.037, -0.006, -0.006, -0.006, -0.005, -0.006, -0.009, 0.0, -0.0, -0.001, 0.018, 0.028, -0.009, 0.02, 0.013, 0.008, 0.006, 0.012, 0.001, -0.001, -0.017, -0.001, 0.023, 0.058, 0.007, 0.002, -0.002, -0.011, -0.019, -0.02, -0.01, -0.021, -0.028, -0.025, -0.023, -0.033, -0.019, -0.043, -0.036, -0.036, 0.029, -0.015, -0.053, -0.052, -0.002, 0.007, -0.012, -0.023, -0.024, -0.028, -0.023, -0.028, -0.024, -0.022, 0.021, 0.03, 0.034, 0.005, 0.047, -0.035, 0.017]"/>
  </r>
  <r>
    <x v="3160"/>
    <x v="1261"/>
    <x v="344"/>
    <s v="[0, 0, 0, 1, 0, 0, 0, 0, 0]"/>
    <s v="LINESTRING (5.711466701862234 58.86083137021017, 5.711534690245965 58.86196470589186, 5.711542243126327 58.862066121404716, 5.7115901132663955 58.8627419875768, 5.711647535360536 58.86338915902595, 5.712459832902022 58.867113476320796, 5.713419999063479 58.86825199501315, 5.713429473794046 58.86825928771365, 5.7134968018202175 58.86830997568125, 5.718404326743006 58.87152845613467)"/>
    <s v="[1116695, 1116703, 1116711, 1116719, 1116727, 1116735, 1116743, 1116751, 1116759]"/>
    <s v="[1055877, 1055882, 1055887, 1055890, 1055895, 1055901, 1055909, 1055919, 1055926]"/>
    <s v="#FIELD!"/>
    <s v="[1055873, 1055877, 1055882, 1055887, 1055890, 1055895, 1055901, 1055909, 1055919]"/>
    <s v="[0.044, 0.041, 0.033, 0.034, 0.013, 0.002, 0.003, 0.003, 0.005]"/>
    <s v="1312.3579849634534"/>
    <s v="[-0.044, -0.041, -0.033, -0.034, -0.013, 0.002, 0.003, 0.003, 0.005]"/>
  </r>
  <r>
    <x v="3161"/>
    <x v="1372"/>
    <x v="0"/>
    <n v="0"/>
    <s v="LINESTRING (5.718404326743006 58.87152845613467, 5.719652242104202 58.87366566098586, 5.719653720738975 58.873674334830135, 5.7196701316342695 58.87376093792408, 5.718977127694008 58.87704977915, 5.7189718613157385 58.87705867830407, 5.718939884019955 58.87711205480735, 5.718926273910606 58.87713465457415, 5.718904953202807 58.87716835307646)"/>
    <s v="[1116767, 1116775, 1116783, 1116791, 1116799, 1116807, 1116815, 1116823]"/>
    <s v="[1055934, 1055942, 1055948, 1055957, 1055963, 1055969, 1055975, 1055983]"/>
    <s v="#FIELD!"/>
    <s v="[1055926, 1055934, 1055942, 1055948, 1055957, 1055963, 1055969, 1055975]"/>
    <s v="[0.001, 0.0, 0.004, 0.009, 0.037, 0.029, 0.026, 0.038]"/>
    <s v="647.7211290059909"/>
    <s v="[0.001, 0.0, 0.004, -0.009, -0.037, -0.029, -0.026, -0.038]"/>
  </r>
  <r>
    <x v="3162"/>
    <x v="3802"/>
    <x v="0"/>
    <n v="0"/>
    <s v="LINESTRING (5.718904953202807 58.87716835307646, 5.718034942530498 58.88244499790442, 5.7181357924862395 58.88336122160815)"/>
    <s v="[1116831, 1116839]"/>
    <s v="[1055991, 1055996]"/>
    <s v="#FIELD!"/>
    <s v="[1055983, 1055991]"/>
    <s v="[0.007, 0.002]"/>
    <s v="699.5384946921972"/>
    <s v="[-0.007, -0.002]"/>
  </r>
  <r>
    <x v="3163"/>
    <x v="3785"/>
    <x v="345"/>
    <n v="0"/>
    <s v="LINESTRING (5.7181357924862395 58.88336122160815, 5.717859950046538 58.88642844346536, 5.717857201304676 58.88643757926071, 5.717828530621185 58.8865382225543, 5.717358156557228 58.887817390031024, 5.717331228181005 58.88787683474626, 5.717066822279026 58.888414279254256)"/>
    <s v="[1116847, 1116855, 1116863, 1116871, 1116879, 1116887]"/>
    <s v="[1056002, 1056010, 1056018, 1056022, 1056027, 1056034]"/>
    <s v="#FIELD!"/>
    <s v="[1055996, 1056002, 1056010, 1056018, 1056022, 1056027]"/>
    <s v="[0.007, 0.016, 0.011, 0.003, 0.003, 0.005]"/>
    <s v="570.2978042829593"/>
    <s v="[-0.007, -0.016, -0.011, -0.003, -0.003, -0.005]"/>
  </r>
  <r>
    <x v="3163"/>
    <x v="3803"/>
    <x v="346"/>
    <n v="0"/>
    <s v="LINESTRING (5.7181357924862395 58.88336122160815, 5.718211224418386 58.88353473176358, 5.71981721093854 58.88632414357107, 5.719834113675826 58.88639408247586)"/>
    <s v="[1435919, 2099357, 2099365]"/>
    <s v="[1305680, 1815326, 1815331]"/>
    <s v="#FIELD!"/>
    <s v="[1055996, 1305680, 1815326]"/>
    <s v="[0.016, 0.01, 0.004]"/>
    <s v="368.7481957837521"/>
    <s v="[-0.016, -0.01, -0.004]"/>
  </r>
  <r>
    <x v="3164"/>
    <x v="1690"/>
    <x v="0"/>
    <n v="0"/>
    <s v="LINESTRING (5.719608605999565 58.886386281682285, 5.719617076840697 58.88633375050319, 5.717956074324899 58.886426152655105, 5.717920927611911 58.88654358694547, 5.717861487404888 58.88674953808859, 5.717858669090008 58.88675847907585, 5.7172599054592945 58.88821718656526, 5.717066822279026 58.888414279254256)"/>
    <s v="[2099495, 2099509, 2099524, 2099532, 2099544, 2099552, 1312091]"/>
    <s v="[1815420, 1815427, 1815440, 1815444, 1815452, 1220191, 1056034]"/>
    <s v="0.0010923338478651071"/>
    <s v="[1815419, 1815420, 1815427, 1815440, 1815444, 1815452, 1220191]"/>
    <s v="[0.004, 0.003, 0.003, 0.003, 0.0, 0.001, 0.008]"/>
    <s v="430.6052485960194"/>
    <s v="[0.004, 0.003, -0.003, -0.003, 0.0, 0.001, -0.008]"/>
  </r>
  <r>
    <x v="3165"/>
    <x v="1345"/>
    <x v="347"/>
    <n v="0"/>
    <s v="LINESTRING (5.710921406777948 58.8957608940573, 5.71074893160591 58.89604999646612, 5.700685842058727 58.906108003961286, 5.700675686999169 58.9061152468821, 5.700635069119461 58.90614420969357, 5.700228083814424 58.906441631885144, 5.699521687747124 58.90696998549701, 5.698652979838435 58.90766861798844)"/>
    <s v="[1117023, 1117031, 1117039, 1117047, 1117055, 1117063, 1117068]"/>
    <s v="[1056117, 1056123, 1056127, 1056130, 1056134, 1056137, 1056139]"/>
    <s v="0.005329485474116604"/>
    <s v="[1056112, 1056117, 1056123, 1056127, 1056130, 1056134, 1056137]"/>
    <s v="[0.004, 0.005, 0.007, 0.009, 0.001, 0.001, 0.02]"/>
    <s v="1525.500390285111"/>
    <s v="[-0.004, 0.005, 0.007, -0.009, -0.001, 0.001, 0.02]"/>
  </r>
  <r>
    <x v="3165"/>
    <x v="2913"/>
    <x v="0"/>
    <n v="0"/>
    <s v="LINESTRING (5.7146223785948 58.89405872303485, 5.714593086578081 58.89400782947154, 5.712654821024081 58.893826800660456, 5.7126467971042745 58.89383445169121, 5.712036979688298 58.89447461396654, 5.711905497505275 58.89461608086577, 5.7111491434434845 58.89554012967829, 5.710921406777948 58.8957608940573)"/>
    <s v="[2099723, 2099745, 2099749, 2099751, 2099757, 2099772, 1438742]"/>
    <s v="[1815572, 1815586, 1815588, 1815589, 1815594, 1307637, 1056112]"/>
    <s v="#FIELD!"/>
    <s v="[1308567, 1815572, 1815586, 1815588, 1815589, 1815594, 1307637]"/>
    <s v="[0.761, 0.03, 0.0, 0.017, 0.015, 0.022, 0.016]"/>
    <s v="414.8871247172931"/>
    <s v="[0.761, -0.03, 0.0, 0.017, 0.015, -0.022, -0.016]"/>
  </r>
  <r>
    <x v="3166"/>
    <x v="3804"/>
    <x v="0"/>
    <n v="0"/>
    <m/>
    <n v="1117406"/>
    <n v="1056318"/>
    <s v="0.0"/>
    <n v="1056253"/>
    <s v="0.0"/>
    <s v="3.9203698805546425"/>
    <s v="0.0"/>
  </r>
  <r>
    <x v="3166"/>
    <x v="2336"/>
    <x v="0"/>
    <s v="[0, 0, 0, 1, 0, 0, 0]"/>
    <s v="LINESTRING (7.471313571761226 58.03027961797793, 7.471299728770726 58.03026091499402, 7.471165652683661 58.03007122265655, 7.469066895311243 58.02992473838088, 7.467804178764187 58.0301444753138, 7.467601349429518 58.03018516170608, 7.46754006695103 58.030197979224475, 7.4674883610803375 58.030206984555576)"/>
    <s v="[1162146, 1162154, 1162162, 1162170, 1162178, 1117321, 1117328]"/>
    <s v="[1096615, 1096624, 1096633, 1096641, 1056312, 1056245, 1056318]"/>
    <s v="0.022134939532023258"/>
    <s v="[1096606, 1096615, 1096624, 1096633, 1096641, 1056312, 1056245]"/>
    <s v="[0.005, 0.006, 0.009, 0.039, 0.07, 0.058, 0.065]"/>
    <s v="261.8966040208521"/>
    <s v="[0.005, 0.006, 0.009, 0.039, 0.07, 0.058, 0.065]"/>
  </r>
  <r>
    <x v="3167"/>
    <x v="2335"/>
    <x v="0"/>
    <s v="[0, 0, 1, 0, 0]"/>
    <s v="LINESTRING (7.471476256871959 58.03025843923248, 7.471461565962804 58.030231282487556, 7.469044587534485 58.02988554193253, 7.467732051837133 58.03008623773376, 7.4675474078872 58.030116483033225, 7.467416978628343 58.03013944096029)"/>
    <s v="[1185875, 1185883, 1185891, 1185899, 1117336]"/>
    <s v="[1114993, 1115001, 1115008, 1056327, 1056328]"/>
    <s v="0.019321950777428452"/>
    <s v="[1114554, 1114993, 1115001, 1115008, 1056327]"/>
    <s v="[0.007, 0.008, 0.035, 0.053, 0.055]"/>
    <s v="271.90144647654205"/>
    <s v="[0.007, 0.008, 0.035, 0.053, 0.055]"/>
  </r>
  <r>
    <x v="3168"/>
    <x v="3805"/>
    <x v="0"/>
    <n v="0"/>
    <s v="LINESTRING (5.724076795272592 58.946108636184356, 5.721766939517511 58.949936072555616, 5.721766242674332 58.94993941999193)"/>
    <s v="[1117347, 1117355]"/>
    <s v="[1056340, 1056348]"/>
    <s v="#FIELD!"/>
    <s v="[1056333, 1056340]"/>
    <s v="[0.031, 0.0]"/>
    <s v="449.99338140424135"/>
    <s v="[-0.031, 0.0]"/>
  </r>
  <r>
    <x v="3168"/>
    <x v="1326"/>
    <x v="0"/>
    <n v="0"/>
    <s v="LINESTRING (5.726423112230225 58.94450164800602, 5.726423413379459 58.94446823392651, 5.725448660862711 58.94429022863166, 5.725432580571726 58.94431642927733, 5.725427207435768 58.94432516790755, 5.725352751724115 58.94443782266686, 5.724360459562738 58.945810149390034, 5.724144877970366 58.946063856838364, 5.724101456384962 58.94609505685532, 5.724076795272592 58.946108636184356)"/>
    <s v="[1438926, 804344, 804352, 804360, 804368, 804376, 1439038, 1439046, 1439054]"/>
    <s v="[782769, 782770, 782781, 782789, 782795, 782802, 1307850, 1307856, 1056333]"/>
    <s v="#FIELD!"/>
    <s v="[1307759, 782769, 782770, 782781, 782789, 782795, 782802, 1307850, 1307856]"/>
    <s v="[0.017, 0.0, 0.017, 0.017, 0.007, 0.003, 0.017, 0.025, 0.023]"/>
    <s v="354.70927778176247"/>
    <s v="[-0.017, -0.0, -0.017, -0.017, -0.007, -0.003, -0.017, -0.025, -0.023]"/>
  </r>
  <r>
    <x v="3169"/>
    <x v="3806"/>
    <x v="0"/>
    <n v="0"/>
    <s v="LINESTRING (5.721766242674332 58.94993941999193, 5.721757087208995 58.949986327516555, 5.721710416995721 58.95023810602979, 5.721696789373851 58.95032573522629, 5.721664768068875 58.95056985267687, 5.721604234070598 58.951768768720264)"/>
    <s v="[1117363, 1117371, 992154, 1417920, 1418115]"/>
    <s v="[1056356, 950818, 950819, 1294880, 1295018]"/>
    <s v="#FIELD!"/>
    <s v="[1056348, 1056356, 950818, 950819, 1294880]"/>
    <s v="[0.0, 0.0, 0.0, 0.021, 0.003]"/>
    <s v="204.701734569628"/>
    <s v="[-0.0, -0.0, -0.0, -0.021, 0.003]"/>
  </r>
  <r>
    <x v="3169"/>
    <x v="920"/>
    <x v="0"/>
    <n v="0"/>
    <s v="LINESTRING (5.721766242674332 58.94993941999193, 5.721780324063555 58.95019735416367, 5.722227100940102 58.95197972699007)"/>
    <s v="[1417900, 1418721]"/>
    <s v="[1294865, 1295470]"/>
    <s v="0.006492606849577671"/>
    <s v="[1056348, 1294865]"/>
    <s v="[0.011, 0.009]"/>
    <s v="229.97876143573166"/>
    <s v="[-0.011, 0.009]"/>
  </r>
  <r>
    <x v="3170"/>
    <x v="3807"/>
    <x v="0"/>
    <n v="0"/>
    <s v="LINESTRING (8.153658292073766 58.19051684685344, 8.153436116955984 58.190466959283135, 8.15337634375694 58.1904169017129, 8.153355893874888 58.19035822242247, 8.153377797204316 58.19030067191764, 8.153438832044639 58.190251032728625, 8.153565461568435 58.19020983864956, 8.15370096120474 58.19020468699288)"/>
    <s v="[1118950, 1118957, 1118965, 1118966, 1118967, 1118974, 1118990]"/>
    <s v="[1057955, 1057962, 1057968, 1057969, 1057970, 1057976, 1057190]"/>
    <s v="0.021609405800939046"/>
    <s v="[1056976, 1057955, 1057962, 1057968, 1057969, 1057970, 1057976]"/>
    <s v="[0.265, 0.02, 0.009, 0.02, 0.025, 0.025, 0.27]"/>
    <s v="57.70543222022164"/>
    <s v="[0.265, 0.02, -0.009, -0.02, -0.025, -0.025, -0.27]"/>
  </r>
  <r>
    <x v="3170"/>
    <x v="3808"/>
    <x v="0"/>
    <n v="0"/>
    <m/>
    <n v="1119027"/>
    <n v="1056976"/>
    <s v="#FIELD!"/>
    <n v="1057850"/>
    <s v="0.108"/>
    <s v="26.533696173397622"/>
    <s v="#FIELD!"/>
  </r>
  <r>
    <x v="3171"/>
    <x v="3809"/>
    <x v="0"/>
    <s v="[1, 0, 0, 0]"/>
    <s v="LINESTRING (8.156429131944671 58.19165708850908, 8.156382580357201 58.19162317966994, 8.154828254979925 58.19018505656119, 8.15470775094621 58.190062680247046, 8.152727080008141 58.187186810819135)"/>
    <s v="[1118060, 1118089, 1118090, 1118119]"/>
    <s v="[1057038, 1057064, 1057065, 1057095]"/>
    <s v="0.02105447353369211"/>
    <s v="[1057017, 1057038, 1057064, 1057065]"/>
    <s v="[0.037, 0.031, 0.031, 0.015]"/>
    <s v="546.6659175238183"/>
    <s v="[0.037, 0.031, 0.031, 0.015]"/>
  </r>
  <r>
    <x v="3171"/>
    <x v="3810"/>
    <x v="0"/>
    <s v="[0, 0, 0, 0, 0, 1]"/>
    <s v="LINESTRING (8.155924253988188 58.18973122540502, 8.15590731980726 58.189676673624, 8.15478640701557 58.19004652682696, 8.154886805395504 58.190169730171554, 8.156241373355739 58.19147321720479, 8.156387477524644 58.19160992764276, 8.156429131944671 58.19165708850908)"/>
    <s v="[1118173, 1118177, 1118181, 1118182, 1118150, 1118167]"/>
    <s v="[1057161, 1057165, 1057169, 1057132, 1057133, 1057017]"/>
    <s v="#FIELD!"/>
    <s v="[1057160, 1057161, 1057165, 1057169, 1057132, 1057133]"/>
    <s v="[0.037, 0.013, 0.03, 0.031, 0.035, 0.039]"/>
    <s v="424.47698969045985"/>
    <s v="[0.037, -0.013, -0.03, -0.031, -0.035, -0.039]"/>
  </r>
  <r>
    <x v="3171"/>
    <x v="3811"/>
    <x v="348"/>
    <s v="[0, 1, 0, 0, 0, 1, 0, 1, 0, 0, 0, 1, 0, 0, 0, 1, 0, 0, 0, 1, 0, 1, 0, 0, 0, 0, 1, 0, 0, 1, 0, 0, 0]"/>
    <s v="LINESTRING (8.29568418727791 58.236468476610426, 8.29529157025021 58.23629877487947, 8.290024793774446 58.23402259007993, 8.282127180558232 58.23172639317756, 8.2574232611716 58.22779799049952, 8.257209726931311 58.227733691297296, 8.25647927134136 58.22750792528467, 8.256090604853567 58.227382008370576, 8.25601214084299 58.227356395060546, 8.2516468743432 58.22568205646465, 8.251565572129934 58.22564556796559, 8.247431812258942 58.22349414443266, 8.247389098990753 58.22346900932197, 8.244084503603272 58.221416317309966, 8.21956488305143 58.20621994523189, 8.215183359462491 58.20373512507687, 8.215080620314367 58.20369434854423, 8.212053893817483 58.20277380812918, 8.207439280069352 58.20188026198123, 8.192647177379351 58.20018958732067, 8.19255654954148 58.20017948010949, 8.185348314471208 58.19945419397955, 8.183662965937856 58.199329808040375, 8.183229858613828 58.199297846902375, 8.178035862784377 58.19891439047386, 8.177530694470967 58.198877099646126, 8.177225814421064 58.19885471335245, 8.176221067710564 58.198779747442345, 8.16042023544454 58.19389820120527, 8.159005769841338 58.193173016708684, 8.158870861143278 58.193103824532685, 8.158218319582351 58.19276484864675, 8.157398403173405 58.192301692710146, 8.156429131944671 58.19165708850908)"/>
    <s v="[1125372, 1125380, 1123481, 1123571, 1123607, 1123615, 1123639, 1123640, 1123643, 1123645, 1123666, 1123676, 1123683, 1123705, 1123762, 1123779, 1123795, 1123804, 1123813, 1123818, 1123821, 1123825, 1123826, 1123843, 1123852, 1118001, 1118004, 1118010, 1118012, 1118020, 1118031, 1118038, 1118039]"/>
    <s v="[1063887, 1062225, 1062226, 1062306, 1062336, 1062345, 1062367, 1062368, 1062371, 1062373, 1062393, 1062406, 1062413, 1062434, 1062483, 1062496, 1062507, 1062514, 1062522, 1062529, 1062534, 1062536, 1062537, 1062546, 1056977, 1056978, 1056982, 1056987, 1056989, 1056997, 1057010, 1057016, 1057017]"/>
    <s v="#FIELD!"/>
    <s v="[1063880, 1063887, 1062225, 1062226, 1062306, 1062336, 1062345, 1062367, 1062368, 1062371, 1062373, 1062393, 1062406, 1062413, 1062434, 1062483, 1062496, 1062507, 1062514, 1062522, 1062529, 1062534, 1062536, 1062537, 1062546, 1056977, 1056978, 1056982, 1056987, 1056989, 1056997, 1057010, 1057016]"/>
    <s v="[0.144, 0.011, 0.056, 0.009, 0.244, 0.202, 0.035, 0.106, 0.001, 0.093, 0.093, 0.092, 0.083, 0.01, 0.08, 0.162, 0.126, 0.035, 0.023, 0.067, 0.024, 0.139, 0.203, 0.092, 0.0, 0.001, 0.02, 0.02, 0.008, 0.007, 0.008, 0.011, 0.013]"/>
    <s v="9986.661301608712"/>
    <s v="[-0.144, 0.011, 0.056, -0.009, -0.244, -0.202, -0.035, 0.106, 0.001, -0.093, -0.093, -0.092, 0.083, 0.01, -0.08, -0.162, 0.126, -0.035, -0.023, -0.067, -0.024, 0.139, 0.203, 0.092, -0.0, -0.001, -0.02, -0.02, -0.008, 0.007, 0.008, 0.011, 0.013]"/>
  </r>
  <r>
    <x v="3172"/>
    <x v="3812"/>
    <x v="0"/>
    <s v="[0, 0, 0, 0, 0, 0, 1, 0, 0]"/>
    <s v="LINESTRING (8.152477079009106 58.18707522176699, 8.152016832510295 58.18635133276017, 8.151465193202888 58.185483626435605, 8.150389336672315 58.1838351656803, 8.149527908669729 58.18284644870282, 8.149475556484541 58.182798068352994, 8.14760298695592 58.18161560482184, 8.146908601377095 58.18134155836063, 8.14608446312026 58.18108718803958, 8.144303644873363 58.18074293888929)"/>
    <s v="[1118114, 220433, 220441, 220449, 220457, 220465, 220473, 220481, 1118530]"/>
    <s v="[226870, 226871, 226877, 226881, 226886, 226891, 226895, 226902, 1057530]"/>
    <s v="0.0009910669762638298"/>
    <s v="[1057080, 226870, 226871, 226877, 226881, 226886, 226891, 226895, 226902]"/>
    <s v="[0.001, 0.039, 0.018, 0.026, 0.032, 0.008, 0.006, 0.008, 0.009]"/>
    <s v="901.6586749637715"/>
    <s v="[-0.001, 0.039, 0.018, -0.026, -0.032, -0.008, -0.006, -0.008, -0.009]"/>
  </r>
  <r>
    <x v="3172"/>
    <x v="3807"/>
    <x v="0"/>
    <n v="0"/>
    <s v="LINESTRING (8.15370096120474 58.19020468699288, 8.153739659557143 58.19016043988356, 8.153781533549386 58.190100991887114, 8.15258194941211 58.187302794388145, 8.152477079009106 58.18707522176699)"/>
    <s v="[1118208, 1118219, 1118222, 1118207]"/>
    <s v="[1057191, 1057201, 1057189, 1057080]"/>
    <s v="0.014418078361318823"/>
    <s v="[1057190, 1057191, 1057201, 1057189]"/>
    <s v="[0.024, 0.03, 0.015, 0.001]"/>
    <s v="362.1225078635402"/>
    <s v="[0.024, 0.03, 0.015, 0.001]"/>
  </r>
  <r>
    <x v="3173"/>
    <x v="3813"/>
    <x v="0"/>
    <n v="0"/>
    <s v="LINESTRING (8.152727080008141 58.187186810819135, 8.152637935685425 58.187046587127305, 8.152177734775213 58.18632280037678, 8.151626117025957 58.18545514108614, 8.150550481437904 58.18380673888624)"/>
    <s v="[1118146, 1118149, 1119657, 1119658]"/>
    <s v="[1057128, 1057131, 1058609, 1058610]"/>
    <s v="0.014574289074107998"/>
    <s v="[1057095, 1057128, 1057131, 1058609]"/>
    <s v="[0.001, 0.001, 0.073, 0.009]"/>
    <s v="398.28711118954806"/>
    <s v="[0.001, 0.001, 0.073, -0.009]"/>
  </r>
  <r>
    <x v="3173"/>
    <x v="3814"/>
    <x v="0"/>
    <n v="0"/>
    <s v="LINESTRING (8.152727080008141 58.187186810819135, 8.152990344808398 58.1874688007108, 8.156094458050227 58.189610155028916, 8.156215059224895 58.18964953023099)"/>
    <s v="[1118189, 1118194, 1118205]"/>
    <s v="[1057176, 1057181, 1057187]"/>
    <s v="#FIELD!"/>
    <s v="[1057095, 1057176, 1057181]"/>
    <s v="[0.001, 0.006, 0.008]"/>
    <s v="370.54737561885014"/>
    <s v="[-0.001, -0.006, -0.008]"/>
  </r>
  <r>
    <x v="3174"/>
    <x v="3814"/>
    <x v="0"/>
    <n v="0"/>
    <m/>
    <n v="1118656"/>
    <n v="1057187"/>
    <s v="0.033"/>
    <n v="1057160"/>
    <s v="0.033"/>
    <s v="20.209033483791078"/>
    <s v="0.033"/>
  </r>
  <r>
    <x v="3174"/>
    <x v="3815"/>
    <x v="0"/>
    <n v="0"/>
    <m/>
    <n v="1118655"/>
    <n v="1057160"/>
    <s v="#FIELD!"/>
    <n v="1057672"/>
    <s v="0.03"/>
    <s v="9.012254101503574"/>
    <s v="#FIELD!"/>
  </r>
  <r>
    <x v="3175"/>
    <x v="3816"/>
    <x v="0"/>
    <n v="0"/>
    <s v="LINESTRING (8.156215059224895 58.18964953023099, 8.156316354515289 58.189663329840194, 8.156417918083719 58.18970259853011, 8.15644185065774 58.18971861972828, 8.156491469720724 58.18978584353031, 8.156433030097691 58.18990953708002, 8.156293399873059 58.18996418017013, 8.156159513631628 58.18997088116109, 8.155995603654898 58.18993461556449)"/>
    <s v="[1118662, 1118676, 1118691, 1118700, 1118708, 1118727, 1118739, 1118740]"/>
    <s v="[1057677, 1057694, 1057711, 1057721, 227000, 1057746, 227013, 1057755]"/>
    <s v="#FIELD!"/>
    <s v="[1057187, 1057677, 1057694, 1057711, 1057721, 227000, 1057746, 227013]"/>
    <s v="[0.015, 0.071, 0.09, 0.086, 0.059, 0.005, 0.033, 0.068]"/>
    <s v="67.04978867907931"/>
    <s v="[0.015, -0.071, -0.09, -0.086, -0.059, -0.005, 0.033, 0.068]"/>
  </r>
  <r>
    <x v="3176"/>
    <x v="3817"/>
    <x v="0"/>
    <n v="0"/>
    <m/>
    <n v="1119003"/>
    <n v="1057770"/>
    <s v="0.189"/>
    <n v="1057190"/>
    <s v="0.189"/>
    <s v="9.529307425056126"/>
    <s v="0.189"/>
  </r>
  <r>
    <x v="3177"/>
    <x v="3818"/>
    <x v="0"/>
    <n v="0"/>
    <s v="LINESTRING (8.106442081999853 58.171355648274506, 8.106344924075392 58.17138152586334, 8.106236540303883 58.17138654652085, 8.10611867849343 58.17136698444065, 8.106036106269702 58.171327576269306, 8.105979856457328 58.17125479653, 8.105996947099339 58.171179347476325, 8.106253840022534 58.171082384249104)"/>
    <s v="[1119181, 1119188, 1119201, 1119207, 1119223, 1119239, 1119267]"/>
    <s v="[1058162, 1058169, 592309, 1057266, 1058197, 1057276, 1057387]"/>
    <s v="#FIELD!"/>
    <s v="[1057323, 1058162, 1058169, 592309, 1057266, 1058197, 1057276]"/>
    <s v="[1.183, 0.071, 0.046, 0.016, 0.014, 0.014, 0.314]"/>
    <s v="63.30223278320436"/>
    <s v="[-1.183, 0.071, 0.046, 0.016, -0.014, -0.014, 0.314]"/>
  </r>
  <r>
    <x v="3177"/>
    <x v="3819"/>
    <x v="0"/>
    <n v="0"/>
    <s v="LINESTRING (8.109717427667215 58.174669681106494, 8.109446507729974 58.174413807760565, 8.107735656059749 58.17276915254738, 8.106541552404384 58.17137717648242, 8.106442081999853 58.171355648274506)"/>
    <s v="[1118350, 1118316, 1118317, 1118340]"/>
    <s v="[1057300, 1057301, 1057302, 1057323]"/>
    <s v="#FIELD!"/>
    <s v="[1057332, 1057300, 1057301, 1057302]"/>
    <s v="[0.028, 0.091, 0.044, 0.062]"/>
    <s v="423.7319705027945"/>
    <s v="[-0.028, -0.091, -0.044, -0.062]"/>
  </r>
  <r>
    <x v="3177"/>
    <x v="3820"/>
    <x v="0"/>
    <n v="0"/>
    <m/>
    <n v="1119290"/>
    <n v="1057323"/>
    <s v="0.639"/>
    <n v="1058249"/>
    <s v="0.639"/>
    <s v="14.925541870303025"/>
    <s v="0.639"/>
  </r>
  <r>
    <x v="3178"/>
    <x v="3821"/>
    <x v="0"/>
    <s v="[0, 0, 0, 1, 0, 0, 0, 0, 0, 0]"/>
    <s v="LINESTRING (8.109717427667215 58.174669681106494, 8.10809466887215 58.172756743358896, 8.107667559894157 58.17218234259913, 8.107136614395273 58.17131661351023, 8.106726167044002 58.17071807136667, 8.106061733169858 58.169936822727585, 8.104682648836958 58.16879877679835, 8.104621343270974 58.16875948577703, 8.103871333179404 58.16829805222909, 8.103750727324767 58.16822899458124, 8.103456378773885 58.16807501774259)"/>
    <s v="[1119488, 1119489, 1119496, 1119500, 1119514, 1119526, 1118457, 1118459, 1118468, 1118476]"/>
    <s v="[1058454, 1058455, 1058464, 1058468, 1058483, 1057445, 1057446, 1057447, 1057461, 1057372]"/>
    <s v="#FIELD!"/>
    <s v="[1057332, 1058454, 1058455, 1058464, 1058468, 1058483, 1057445, 1057446, 1057447, 1057461]"/>
    <s v="[0.071, 0.084, 0.085, 0.055, 0.012, 0.003, 0.032, 0.038, 0.044, 0.047]"/>
    <s v="830.2238159739026"/>
    <s v="[-0.071, -0.084, -0.085, -0.055, 0.012, 0.003, -0.032, -0.038, -0.044, -0.047]"/>
  </r>
  <r>
    <x v="3178"/>
    <x v="3822"/>
    <x v="0"/>
    <n v="0"/>
    <m/>
    <n v="1119477"/>
    <n v="1057332"/>
    <s v="#FIELD!"/>
    <n v="1058439"/>
    <s v="0.041"/>
    <s v="644.3005325192023"/>
    <s v="#FIELD!"/>
  </r>
  <r>
    <x v="3179"/>
    <x v="3823"/>
    <x v="0"/>
    <n v="0"/>
    <s v="LINESTRING (8.104024308154802 58.16824423680159, 8.104363866449104 58.16839865735499, 8.104933926241982 58.168734482897854, 8.105007137607465 58.16878489982827, 8.10551772654847 58.16916765768669, 8.106116128539556 58.169529038797606)"/>
    <s v="[1118389, 1118366, 1118367, 1118375, 1337134]"/>
    <s v="[1057346, 1057347, 1057348, 1057354, 1241123]"/>
    <s v="0.03706583142302829"/>
    <s v="[1057370, 1057346, 1057347, 1057348, 1057354]"/>
    <s v="[0.045, 0.036, 0.032, 0.041, 0.031]"/>
    <s v="189.8129012946509"/>
    <s v="[0.045, 0.036, 0.032, 0.041, 0.031]"/>
  </r>
  <r>
    <x v="3179"/>
    <x v="3824"/>
    <x v="0"/>
    <n v="0"/>
    <s v="LINESTRING (8.104024308154802 58.16824423680159, 8.10389639170807 58.16817322346238, 8.103594847816652 58.16800968310956, 8.096114528495585 58.16597161663419, 8.095949001958335 58.16596261826726)"/>
    <s v="[1119762, 1119773, 1119774, 1119785]"/>
    <s v="[1058696, 1058704, 1058705, 1058716]"/>
    <s v="#FIELD!"/>
    <s v="[1057370, 1058696, 1058704, 1058705]"/>
    <s v="[0.494, 0.013, 0.008, 0.06]"/>
    <s v="551.375769411843"/>
    <s v="[-0.494, -0.013, 0.008, 0.06]"/>
  </r>
  <r>
    <x v="3179"/>
    <x v="3825"/>
    <x v="0"/>
    <s v="[0, 1, 0, 0, 0, 0]"/>
    <s v="LINESTRING (8.10784842922543 58.1721509051101, 8.10734004415165 58.17128086849813, 8.106932350621312 58.1706742856358, 8.106261342730187 58.16991165841408, 8.104904716208702 58.1687946401108, 8.104819084833053 58.16874425169394, 8.104024308154802 58.16824423680159)"/>
    <s v="[1119132, 1119139, 1119147, 1119148, 1119747, 1119754]"/>
    <s v="[1058108, 1058114, 1058121, 1058122, 1058682, 1057370]"/>
    <s v="#FIELD!"/>
    <s v="[1057444, 1058108, 1058114, 1058121, 1058122, 1058682]"/>
    <s v="[0.081, 0.053, 0.012, 0.019, 0.058, 0.024]"/>
    <s v="495.8479599556666"/>
    <s v="[-0.081, -0.053, -0.012, -0.019, -0.058, 0.024]"/>
  </r>
  <r>
    <x v="3180"/>
    <x v="3826"/>
    <x v="349"/>
    <n v="0"/>
    <s v="LINESTRING (8.103456378773885 58.16807501774259, 8.096652711210675 58.16613380231742, 8.096434451514382 58.16611275596323)"/>
    <s v="[1118484, 1118492]"/>
    <s v="[1057479, 1057487]"/>
    <s v="0.0057351973289641546"/>
    <s v="[1057372, 1057479]"/>
    <s v="[0.004, 0.067]"/>
    <s v="474.8880598937697"/>
    <s v="[0.004, 0.067]"/>
  </r>
  <r>
    <x v="3180"/>
    <x v="3818"/>
    <x v="0"/>
    <n v="0"/>
    <s v="LINESTRING (8.106253840022534 58.171082384249104, 8.106291021728364 58.17102771453163, 8.104603584725643 58.16882143607554, 8.104529774349645 58.168771734282146, 8.103792106433048 58.16830918614925, 8.103456378773885 58.16807501774259)"/>
    <s v="[1118406, 1118407, 1118413, 1118414, 1118390]"/>
    <s v="[1057388, 1057389, 1057395, 1057371, 1057372]"/>
    <s v="#FIELD!"/>
    <s v="[1057387, 1057388, 1057389, 1057395, 1057371]"/>
    <s v="[0.018, 0.017, 0.031, 0.038, 0.043]"/>
    <s v="385.3094626723095"/>
    <s v="[0.018, -0.017, -0.031, -0.038, -0.043]"/>
  </r>
  <r>
    <x v="3181"/>
    <x v="3827"/>
    <x v="0"/>
    <n v="0"/>
    <m/>
    <n v="1119273"/>
    <n v="1058240"/>
    <s v="#FIELD!"/>
    <n v="1057387"/>
    <s v="0.769"/>
    <s v="10.53406379322194"/>
    <s v="#FIELD!"/>
  </r>
  <r>
    <x v="3182"/>
    <x v="3828"/>
    <x v="0"/>
    <n v="0"/>
    <s v="LINESTRING (8.115516394628893 58.179622703918355, 8.115288853962218 58.1795134604804, 8.109869948783226 58.17462988134918, 8.108264587000876 58.172724188344795, 8.10784842922543 58.1721509051101)"/>
    <s v="[1119125, 1119126, 1119127, 1119128]"/>
    <s v="[1058102, 1058103, 1058104, 1057444]"/>
    <s v="#FIELD!"/>
    <s v="[1058097, 1058102, 1058103, 1058104]"/>
    <s v="[0.076, 0.05, 0.041, 0.098]"/>
    <s v="958.8326950643151"/>
    <s v="[-0.076, -0.05, -0.041, -0.098]"/>
  </r>
  <r>
    <x v="3182"/>
    <x v="3829"/>
    <x v="0"/>
    <s v="[0, 0, 1, 0, 0]"/>
    <s v="LINESTRING (8.106588097587752 58.170035569065725, 8.106748876027607 58.17032315633663, 8.10703341149469 58.17067516568282, 8.107441093019743 58.17127980115024, 8.107816170859259 58.17194335425584, 8.10784842922543 58.1721509051101)"/>
    <s v="[1337175, 1118425, 1118443, 1118450, 1118456]"/>
    <s v="[1057409, 1057410, 1057432, 1057438, 1057444]"/>
    <s v="0.030145283852161288"/>
    <s v="[1241139, 1057409, 1057410, 1057432, 1057438]"/>
    <s v="[0.019, 0.028, 0.032, 0.036, 0.025]"/>
    <s v="248.35278914538014"/>
    <s v="[0.019, 0.028, 0.032, 0.036, 0.025]"/>
  </r>
  <r>
    <x v="3183"/>
    <x v="3830"/>
    <x v="0"/>
    <n v="0"/>
    <s v="LINESTRING (8.096434451514382 58.16611275596323, 8.096184783911294 58.16609538144798, 8.095330554457096 58.166055348819235, 8.089774422236658 58.165575714865746, 8.089437351865994 58.16551887835924, 8.085662319790904 58.16482424429592)"/>
    <s v="[1118501, 1118508, 1118510, 1119816, 1119828]"/>
    <s v="[1057495, 1057505, 1057507, 1058744, 1058758]"/>
    <s v="0.0040040886515654225"/>
    <s v="[1057487, 1057495, 1057505, 1057507, 1058744]"/>
    <s v="[0.067, 0.066, 0.016, 0.004, 0.015]"/>
    <s v="655.1744898419748"/>
    <s v="[0.067, 0.066, -0.016, 0.004, 0.015]"/>
  </r>
  <r>
    <x v="3183"/>
    <x v="3831"/>
    <x v="0"/>
    <s v="[0, 0, 0, 0, 1, 0, 1, 1]"/>
    <s v="LINESTRING (8.096434451514382 58.16611275596323, 8.096001900040825 58.166117293562486, 8.095735023110045 58.16611474289177, 8.092589325241882 58.16614168939098, 8.092032934337238 58.166110975895634, 8.091945970473963 58.16610309170696, 8.091281453721901 58.16616525458026, 8.091191191924478 58.166213689811315, 8.091130056066108 58.16625704127873)"/>
    <s v="[1838973, 1839269, 1118522, 1839229, 1839237, 1839245, 1839253, 1839261]"/>
    <s v="[1612187, 1057518, 1057519, 1612329, 1612331, 1612336, 1612340, 1248968]"/>
    <s v="0.012790287573535295"/>
    <s v="[1057487, 1612187, 1057518, 1057519, 1612329, 1612331, 1612336, 1612340]"/>
    <s v="[0.053, 0.045, 0.021, 0.012, 0.015, 0.009, 0.026, 0.031]"/>
    <s v="320.08869917998163"/>
    <s v="[-0.053, 0.045, 0.021, 0.012, 0.015, 0.009, -0.026, 0.031]"/>
  </r>
  <r>
    <x v="3184"/>
    <x v="3832"/>
    <x v="0"/>
    <s v="[0, 1, 0]"/>
    <s v="LINESTRING (8.144303644873363 58.18074293888929, 8.139009150656285 58.18081152868205, 8.138761253728399 58.18082733495043, 8.132465697289868 58.18086073874526)"/>
    <s v="[1118531, 1118550, 1118593]"/>
    <s v="[1057531, 1057551, 1057604]"/>
    <s v="0.0067981723348414175"/>
    <s v="[1057530, 1057531, 1057551]"/>
    <s v="[0.017, 0.03, 0.026]"/>
    <s v="700.2995233879114"/>
    <s v="[-0.017, 0.03, 0.026]"/>
  </r>
  <r>
    <x v="3184"/>
    <x v="3833"/>
    <x v="0"/>
    <n v="0"/>
    <s v="LINESTRING (8.144303644873363 58.18074293888929, 8.143650119002222 58.18071362604172, 8.13956208468329 58.181156113678966, 8.139502333556255 58.181163141127776)"/>
    <s v="[1118571, 1118551, 1118558]"/>
    <s v="[1057552, 1057553, 1057562]"/>
    <s v="#FIELD!"/>
    <s v="[1057530, 1057552, 1057553]"/>
    <s v="[0.002, 0.014, 0.004]"/>
    <s v="294.4598603303737"/>
    <s v="[-0.002, -0.014, -0.004]"/>
  </r>
  <r>
    <x v="3185"/>
    <x v="3834"/>
    <x v="0"/>
    <n v="0"/>
    <s v="LINESTRING (8.139502333556255 58.181163141127776, 8.139477248851742 58.1812230319341, 8.139130673298332 58.181179310976994)"/>
    <s v="[1119144, 1119189]"/>
    <s v="[592227, 1057633]"/>
    <s v="0.02736710437125294"/>
    <s v="[1057562, 592227]"/>
    <s v="[0.069, 0.017]"/>
    <s v="34.322922185577774"/>
    <s v="[0.069, 0.017]"/>
  </r>
  <r>
    <x v="3185"/>
    <x v="3835"/>
    <x v="0"/>
    <n v="0"/>
    <m/>
    <n v="1119226"/>
    <n v="1057562"/>
    <s v="0.022"/>
    <n v="1058190"/>
    <s v="0.022"/>
    <s v="14.993233237322428"/>
    <s v="0.022"/>
  </r>
  <r>
    <x v="3186"/>
    <x v="3822"/>
    <x v="0"/>
    <s v="[0, 0, 1, 0, 0]"/>
    <s v="LINESTRING (8.132465697289868 58.18086073874526, 8.131719191906214 58.18086150655949, 8.122036308799881 58.18177054919206, 8.121082070328827 58.18167425208879, 8.1154158171536 58.17969553050545, 8.115188131363535 58.179586242982815)"/>
    <s v="[1118599, 1118600, 1118614, 1119451, 1119469]"/>
    <s v="[1057606, 1057607, 1057623, 1058423, 1058439]"/>
    <s v="#FIELD!"/>
    <s v="[1057604, 1057606, 1057607, 1057623, 1058423]"/>
    <s v="[0.037, 0.017, 0.045, 0.035, 0.073]"/>
    <s v="1109.3566359361594"/>
    <s v="[0.037, 0.017, -0.045, -0.035, -0.073]"/>
  </r>
  <r>
    <x v="3186"/>
    <x v="3834"/>
    <x v="0"/>
    <n v="0"/>
    <s v="LINESTRING (8.139130673298332 58.181179310976994, 8.139061582357584 58.18116787557652, 8.132946272933832 58.18089636745247, 8.132465697289868 58.18086073874526)"/>
    <s v="[1118622, 1118627, 1118638]"/>
    <s v="[1057634, 1057637, 1057604]"/>
    <s v="0.018461111170781887"/>
    <s v="[1057633, 1057634, 1057637]"/>
    <s v="[0.016, 0.019, 0.012]"/>
    <s v="395.21895033121916"/>
    <s v="[0.016, 0.019, 0.012]"/>
  </r>
  <r>
    <x v="3187"/>
    <x v="3836"/>
    <x v="0"/>
    <n v="0"/>
    <m/>
    <n v="1119199"/>
    <n v="1058176"/>
    <s v="#FIELD!"/>
    <n v="1057633"/>
    <s v="0.07"/>
    <s v="4.926240960170161"/>
    <s v="#FIELD!"/>
  </r>
  <r>
    <x v="3188"/>
    <x v="3816"/>
    <x v="0"/>
    <n v="0"/>
    <s v="LINESTRING (8.155995603654898 58.18993461556449, 8.15590524868212 58.18986814380437, 8.155884979541042 58.18980930358906)"/>
    <s v="[1118747, 1118748]"/>
    <s v="[1057760, 1057672]"/>
    <s v="0.05580039986914243"/>
    <s v="[1057755, 1057760]"/>
    <s v="[0.052, 0.061]"/>
    <s v="15.799912488243365"/>
    <s v="[0.052, 0.061]"/>
  </r>
  <r>
    <x v="3188"/>
    <x v="3837"/>
    <x v="0"/>
    <n v="0"/>
    <s v="LINESTRING (8.155511063807413 58.18995776743842, 8.155629061893631 58.189901878844964, 8.155811392339611 58.18984056201097, 8.155884979541042 58.18980930358906)"/>
    <s v="[1118906, 1118917, 1118941]"/>
    <s v="[1057921, 1057931, 1057672]"/>
    <s v="0.03929997046270245"/>
    <s v="[1057838, 1057921, 1057931]"/>
    <s v="[0.041, 0.036, 0.044]"/>
    <s v="27.6361792464147"/>
    <s v="[0.041, 0.036, 0.044]"/>
  </r>
  <r>
    <x v="3189"/>
    <x v="3837"/>
    <x v="0"/>
    <n v="0"/>
    <s v="LINESTRING (8.155511063807413 58.18995776743842, 8.15567036368921 58.18994952565121, 8.155881341293853 58.189930263114015, 8.155995603654898 58.18993461556449)"/>
    <s v="[1118893, 1118895, 1118905]"/>
    <s v="[1057910, 1057913, 1057755]"/>
    <s v="0.007674417538659423"/>
    <s v="[1057838, 1057910, 1057913]"/>
    <s v="[0.009, 0.014, 0.006]"/>
    <s v="28.792233575564875"/>
    <s v="[0.009, 0.014, -0.006]"/>
  </r>
  <r>
    <x v="3190"/>
    <x v="3838"/>
    <x v="0"/>
    <s v="[0, 0, 1]"/>
    <s v="LINESTRING (8.153847284851425 58.19024109832683, 8.153957017215932 58.19024073027813, 8.154239818335341 58.19020802187896, 8.15446459539016 58.19018349506358)"/>
    <s v="[1118755, 1118763, 1118786]"/>
    <s v="[1057771, 1057779, 1057806]"/>
    <s v="#FIELD!"/>
    <s v="[1057770, 1057771, 1057779]"/>
    <s v="[0.023, 0.02, 0.015]"/>
    <s v="37.04176986177898"/>
    <s v="[-0.023, -0.02, -0.015]"/>
  </r>
  <r>
    <x v="3190"/>
    <x v="3808"/>
    <x v="0"/>
    <n v="0"/>
    <s v="LINESTRING (8.153847284851425 58.19024109832683, 8.15393183867333 58.19030570027045, 8.153949919122947 58.190364107606136)"/>
    <s v="[1119015, 1119023]"/>
    <s v="[1058005, 1057850]"/>
    <s v="#FIELD!"/>
    <s v="[1057770, 1058005]"/>
    <s v="[0.016, 0.009]"/>
    <s v="15.363008005780303"/>
    <s v="[-0.016, -0.009]"/>
  </r>
  <r>
    <x v="3191"/>
    <x v="3837"/>
    <x v="0"/>
    <s v="[1, 0]"/>
    <s v="LINESTRING (8.15446459539016 58.19018349506358, 8.155113095497665 58.19004285203505, 8.155511063807413 58.18995776743842)"/>
    <s v="[1118805, 1118813]"/>
    <s v="[1057830, 1057838]"/>
    <s v="0.008557805600984248"/>
    <s v="[1057806, 1057830]"/>
    <s v="[0.004, 0.016]"/>
    <s v="66.59455838918572"/>
    <s v="[0.004, 0.016]"/>
  </r>
  <r>
    <x v="3191"/>
    <x v="3808"/>
    <x v="0"/>
    <s v="[0, 0, 1]"/>
    <s v="LINESTRING (8.153949919122947 58.190364107606136, 8.154022671807992 58.190329588448755, 8.154271400852371 58.190249622091905, 8.15446459539016 58.19018349506358)"/>
    <s v="[1118830, 1118860, 1118885]"/>
    <s v="[1057851, 1057879, 1057806]"/>
    <s v="#FIELD!"/>
    <s v="[1057850, 1057851, 1057879]"/>
    <s v="[0.018, 0.017, 0.007]"/>
    <s v="36.47995868210178"/>
    <s v="[-0.018, -0.017, -0.007]"/>
  </r>
  <r>
    <x v="3192"/>
    <x v="3839"/>
    <x v="350"/>
    <n v="0"/>
    <s v="LINESTRING (8.115516394628893 58.179622703918355, 8.115916403124444 58.1797631715859, 8.122157001310923 58.18128042592843, 8.122200810986216 58.18129421446372, 8.121687242917798 58.18160055687403)"/>
    <s v="[1119180, 1119157, 1119170, 1119429]"/>
    <s v="[1058131, 1058132, 1058149, 1058365]"/>
    <s v="0.03308911998129231"/>
    <s v="[1058097, 1058131, 1058132, 1058149]"/>
    <s v="[0.067, 0.032, 0.041, 0.027]"/>
    <s v="498.6755541421352"/>
    <s v="[0.067, 0.032, -0.041, 0.027]"/>
  </r>
  <r>
    <x v="3192"/>
    <x v="3840"/>
    <x v="0"/>
    <s v="[0, 1, 0]"/>
    <s v="LINESTRING (8.132474743787824 58.180771165670656, 8.122157338817185 58.18168784071692, 8.121206867002495 58.18159851553723, 8.115516394628893 58.179622703918355)"/>
    <s v="[1119694, 1119695, 1119117]"/>
    <s v="[1058640, 1058096, 1058097]"/>
    <s v="#FIELD!"/>
    <s v="[1058630, 1058640, 1058096]"/>
    <s v="[0.019, 0.025, 0.035]"/>
    <s v="1085.44703412214"/>
    <s v="[0.019, -0.025, -0.035]"/>
  </r>
  <r>
    <x v="3193"/>
    <x v="3835"/>
    <x v="0"/>
    <n v="0"/>
    <s v="LINESTRING (8.139143670980351 58.18113568948052, 8.139207700328178 58.18109298576509, 8.139331614429341 58.181074555920866)"/>
    <s v="[1119200, 1119215]"/>
    <s v="[1058177, 1058190]"/>
    <s v="#FIELD!"/>
    <s v="[1058176, 1058177]"/>
    <s v="[0.089, 0.051]"/>
    <s v="13.663034378700564"/>
    <s v="[-0.089, -0.051]"/>
  </r>
  <r>
    <x v="3193"/>
    <x v="3841"/>
    <x v="0"/>
    <n v="0"/>
    <s v="LINESTRING (8.139143670980351 58.18113568948052, 8.139113037384256 58.18109812762502, 8.138869343625371 58.18086915224218, 8.138815147647446 58.180824920362106, 8.138683634475859 58.180717636970414, 8.138651458358693 58.180691309059746, 8.138412354565547 58.18053726091278, 8.138315685726022 58.180483066676125)"/>
    <s v="[1119337, 1119351, 1338596, 1338604, 1338609, 1338610, 1338620]"/>
    <s v="[1058302, 1058315, 1242236, 1242245, 1242250, 1242251, 1106697]"/>
    <s v="#FIELD!"/>
    <s v="[1058176, 1058302, 1058315, 1242236, 1242245, 1242250, 1242251]"/>
    <s v="[0.057, 0.051, 0.115, 0.014, 0.017, 0.016, 0.3]"/>
    <s v="88.02848905569134"/>
    <s v="[-0.057, -0.051, 0.115, 0.014, 0.017, 0.016, -0.3]"/>
  </r>
  <r>
    <x v="3194"/>
    <x v="3842"/>
    <x v="0"/>
    <n v="0"/>
    <s v="LINESTRING (8.139331614429341 58.181074555920866, 8.139250470488095 58.181045016065205, 8.138966239198693 58.18086780751074, 8.138917650039643 58.18082175196847, 8.1387997734757 58.18071002405161, 8.138771506471883 58.18068244757096, 8.138614377648064 58.180506398870946, 8.138584103189189 58.18043552580099)"/>
    <s v="[1119359, 1119369, 1175078, 1175086, 1175094, 1175102, 1175110]"/>
    <s v="[1058322, 1058330, 1107039, 1107043, 1107049, 1107053, 1106743]"/>
    <s v="#FIELD!"/>
    <s v="[1058190, 1058322, 1058330, 1107039, 1107043, 1107049, 1107053]"/>
    <s v="[0.0, 0.038, 0.04, 0.022, 0.027, 0.026, 0.036]"/>
    <s v="85.39960228469094"/>
    <s v="[-0.0, -0.038, -0.04, -0.022, -0.027, -0.026, -0.036]"/>
  </r>
  <r>
    <x v="3195"/>
    <x v="3820"/>
    <x v="0"/>
    <n v="0"/>
    <s v="LINESTRING (8.10642579426476 58.17110809899177, 8.106522153694499 58.17116492541988, 8.106554304142064 58.17123929845197)"/>
    <s v="[1119274, 1119281]"/>
    <s v="[1058241, 1058249]"/>
    <s v="#FIELD!"/>
    <s v="[1058240, 1058241]"/>
    <s v="[0.064, 0.007]"/>
    <s v="17.02261838665077"/>
    <s v="[-0.064, -0.007]"/>
  </r>
  <r>
    <x v="3195"/>
    <x v="3843"/>
    <x v="0"/>
    <n v="0"/>
    <s v="LINESTRING (8.106999692655535 58.16975865453479, 8.107048033017072 58.16979772721819, 8.10725816225947 58.16998804285564, 8.107223229073542 58.17079505784995, 8.106838258843016 58.171031193226774, 8.106534072340756 58.17110045929509, 8.10642579426476 58.17110809899177)"/>
    <s v="[1175134, 1175142, 1175150, 1119317, 1119330, 1119333]"/>
    <s v="[1107072, 1107077, 1058281, 1058282, 1058295, 1058240]"/>
    <s v="#FIELD!"/>
    <s v="[1106798, 1107072, 1107077, 1058281, 1058282, 1058295]"/>
    <s v="[0.022, 0.027, 0.006, 0.107, 0.156, 0.072]"/>
    <s v="184.10577012900654"/>
    <s v="[-0.022, 0.027, -0.006, -0.107, -0.156, 0.072]"/>
  </r>
  <r>
    <x v="3196"/>
    <x v="3844"/>
    <x v="0"/>
    <n v="0"/>
    <s v="LINESTRING (8.107198515501093 58.169703574886405, 8.107216249587688 58.169747537445154, 8.107324571953932 58.16997012874001, 8.107283192526547 58.17081198153862, 8.106869069274348 58.171082371391705, 8.106640664144823 58.17118764012494, 8.106554304142064 58.17123929845197)"/>
    <s v="[1338857, 1338865, 1338879, 1119306, 1119307, 1119309]"/>
    <s v="[1242448, 1242454, 1058270, 1058271, 1058272, 1058249]"/>
    <s v="#FIELD!"/>
    <s v="[1106784, 1242448, 1242454, 1058270, 1058271, 1058272]"/>
    <s v="[0.404, 0.014, 0.033, 0.105, 0.138, 0.123]"/>
    <s v="192.1860601557801"/>
    <s v="[0.404, -0.014, -0.033, -0.105, -0.138, -0.123]"/>
  </r>
  <r>
    <x v="3197"/>
    <x v="3845"/>
    <x v="0"/>
    <s v="[0, 1, 0, 1, 0]"/>
    <s v="LINESTRING (8.086142107386555 58.16482103456509, 8.084893850894751 58.164462417556706, 8.084582840693423 58.16434555776395, 8.080914490339131 58.162198508624215, 8.077707144806137 58.161156594417136, 8.07521110895534 58.161068975939074)"/>
    <s v="[1119881, 1119894, 1119895, 1119902, 1119903]"/>
    <s v="[1058801, 1058815, 1058816, 1058822, 1058347]"/>
    <s v="0.005887659379510065"/>
    <s v="[1058793, 1058801, 1058815, 1058816, 1058822]"/>
    <s v="[0.027, 0.006, 0.001, 0.026, 0.053]"/>
    <s v="803.2701890604694"/>
    <s v="[0.027, 0.006, 0.001, -0.026, 0.053]"/>
  </r>
  <r>
    <x v="3197"/>
    <x v="3846"/>
    <x v="0"/>
    <n v="0"/>
    <s v="LINESTRING (8.073163019515754 58.16123346580304, 8.074704110803747 58.161106207774246, 8.07521110895534 58.161068975939074)"/>
    <s v="[1336541, 1119385]"/>
    <s v="[1058346, 1058347]"/>
    <s v="#FIELD!"/>
    <s v="[1105890, 1058346]"/>
    <s v="[0.089, 0.072]"/>
    <s v="122.21056757831764"/>
    <s v="[-0.089, -0.072]"/>
  </r>
  <r>
    <x v="3198"/>
    <x v="3847"/>
    <x v="0"/>
    <n v="0"/>
    <s v="LINESTRING (8.121687242917798 58.18160055687403, 8.121382283827526 58.18175525040822, 8.120726863985155 58.181988589277054, 8.120630950069273 58.18199565916316)"/>
    <s v="[1119400, 1119409, 1119417]"/>
    <s v="[1058366, 1058377, 1058387]"/>
    <s v="#FIELD!"/>
    <s v="[1058365, 1058366, 1058377]"/>
    <s v="[0.069, 0.107, 0.133]"/>
    <s v="78.83000363573426"/>
    <s v="[-0.069, -0.107, -0.133]"/>
  </r>
  <r>
    <x v="3198"/>
    <x v="3848"/>
    <x v="0"/>
    <n v="0"/>
    <s v="LINESTRING (8.121687242917798 58.18160055687403, 8.121465906270391 58.18176316623757, 8.120795431500824 58.18208919554853, 8.120713793512445 58.182115087214676)"/>
    <s v="[1119438, 1119439, 1119445]"/>
    <s v="[1058410, 1058411, 1058417]"/>
    <s v="#FIELD!"/>
    <s v="[1058365, 1058410, 1058411]"/>
    <s v="[0.053, 0.106, 0.149]"/>
    <s v="82.30980424984698"/>
    <s v="[-0.053, -0.106, -0.149]"/>
  </r>
  <r>
    <x v="3199"/>
    <x v="3849"/>
    <x v="0"/>
    <n v="0"/>
    <s v="LINESTRING (8.146412393146125 58.1806554848461, 8.146952896430125 58.1806650085402, 8.147048683558108 58.18066374202975)"/>
    <s v="[1119426, 1119427]"/>
    <s v="[1058397, 1058398]"/>
    <s v="0.00345152658319043"/>
    <s v="[1058382, 1058397]"/>
    <s v="[0.003, 0.006]"/>
    <s v="37.514907319479406"/>
    <s v="[0.003, 0.006]"/>
  </r>
  <r>
    <x v="3199"/>
    <x v="3850"/>
    <x v="0"/>
    <n v="0"/>
    <s v="LINESTRING (8.146412393146125 58.1806554848461, 8.146903751915685 58.18075262563583, 8.146962631154006 58.18077330036279)"/>
    <s v="[1119428, 1119435]"/>
    <s v="[1058399, 1058407]"/>
    <s v="#FIELD!"/>
    <s v="[1058382, 1058399]"/>
    <s v="[0.001, 0.005]"/>
    <s v="35.15411647977442"/>
    <s v="[-0.001, -0.005]"/>
  </r>
  <r>
    <x v="3199"/>
    <x v="3851"/>
    <x v="351"/>
    <n v="0"/>
    <s v="LINESTRING (8.13903497855782 58.18030881312568, 8.14033400913261 58.1802598329652, 8.144711354461322 58.180452199705414, 8.145260824305746 58.18053451570532, 8.146322831757688 58.18064660741814, 8.146412393146125 58.1806554848461)"/>
    <s v="[1337032, 1337053, 1119405, 1119413, 1119414]"/>
    <s v="[1241064, 1058371, 1058372, 1058381, 1058382]"/>
    <s v="0.02008021406726675"/>
    <s v="[1107068, 1241064, 1058371, 1058372, 1058381]"/>
    <s v="[0.041, 0.018, 0.008, 0.011, 0.006]"/>
    <s v="441.015222554056"/>
    <s v="[0.041, 0.018, 0.008, 0.011, 0.006]"/>
  </r>
  <r>
    <x v="3200"/>
    <x v="3848"/>
    <x v="0"/>
    <n v="0"/>
    <s v="LINESTRING (8.120630950069273 58.18199565916316, 8.120709372464193 58.182048212815026, 8.120713793512445 58.182115087214676)"/>
    <s v="[1119590, 1119603]"/>
    <s v="[1058552, 1058417]"/>
    <s v="#FIELD!"/>
    <s v="[1058387, 1058552]"/>
    <s v="[0.04, 0.051]"/>
    <s v="14.930155457363082"/>
    <s v="[0.04, -0.051]"/>
  </r>
  <r>
    <x v="3200"/>
    <x v="3852"/>
    <x v="0"/>
    <n v="0"/>
    <m/>
    <n v="1119589"/>
    <n v="1058387"/>
    <s v="0.113"/>
    <n v="1058551"/>
    <s v="0.113"/>
    <s v="12.606621329078674"/>
    <s v="0.113"/>
  </r>
  <r>
    <x v="3201"/>
    <x v="3853"/>
    <x v="0"/>
    <n v="0"/>
    <s v="LINESTRING (8.147048683558108 58.18066374202975, 8.14714463412721 58.180630658852735, 8.14726489948523 58.18062277425304, 8.14736670291693 58.18063768165945, 8.147461193512495 58.18067682948213, 8.147513188954832 58.18073240909364, 8.147519593322436 58.18079007990421, 8.147461404586169 58.180862278794976)"/>
    <s v="[1119546, 1119553, 1119579, 1119580, 1119583, 1119584, 1119593]"/>
    <s v="[1058513, 1058519, 1058543, 1058258, 1058547, 1058207, 1058491]"/>
    <s v="#FIELD!"/>
    <s v="[1058398, 1058513, 1058519, 1058543, 1058258, 1058547, 1058207]"/>
    <s v="[0.009, 0.006, 0.002, 0.008, 0.013, 0.018, 0.012]"/>
    <s v="49.30997433829103"/>
    <s v="[0.009, 0.006, -0.002, -0.008, -0.013, -0.018, -0.012]"/>
  </r>
  <r>
    <x v="3201"/>
    <x v="3850"/>
    <x v="0"/>
    <n v="0"/>
    <s v="LINESTRING (8.146962631154006 58.18077330036279, 8.146982990944172 58.180714487199964, 8.147048683558108 58.18066374202975)"/>
    <s v="[1119537, 1119545]"/>
    <s v="[1058508, 1058398]"/>
    <s v="0.012493044222080023"/>
    <s v="[1058407, 1058508]"/>
    <s v="[0.013, 0.012]"/>
    <s v="13.527898763873644"/>
    <s v="[0.013, 0.012]"/>
  </r>
  <r>
    <x v="3202"/>
    <x v="3853"/>
    <x v="0"/>
    <n v="0"/>
    <s v="LINESTRING (8.147461404586169 58.180862278794976, 8.147375831751754 58.18090044531403, 8.147270672784293 58.18091736255921, 8.147156325911395 58.18091095127043, 8.146962631154006 58.18077330036279)"/>
    <s v="[1119520, 1119521, 1119522, 1119529]"/>
    <s v="[1058032, 1058492, 1058362, 1058407]"/>
    <s v="0.002500057920393436"/>
    <s v="[1058491, 1058032, 1058492, 1058362]"/>
    <s v="[0.003, 0.001, 0.001, 0.004]"/>
    <s v="39.943796879843305"/>
    <s v="[0.003, 0.001, -0.001, 0.004]"/>
  </r>
  <r>
    <x v="3203"/>
    <x v="3852"/>
    <x v="0"/>
    <n v="0"/>
    <s v="LINESTRING (8.120713793512445 58.182115087214676, 8.120388178791552 58.182168027293, 8.12032848517016 58.18212436312594, 8.120316328442074 58.18207089237136, 8.120424443813112 58.18198856730093)"/>
    <s v="[1119534, 1119550, 1119558, 1119588]"/>
    <s v="[1058507, 1058516, 1058523, 1058551]"/>
    <s v="#FIELD!"/>
    <s v="[1058417, 1058507, 1058516, 1058523]"/>
    <s v="[0.117, 0.019, 0.046, 0.11]"/>
    <s v="47.05176597632408"/>
    <s v="[-0.117, -0.019, 0.046, 0.11]"/>
  </r>
  <r>
    <x v="3204"/>
    <x v="3852"/>
    <x v="0"/>
    <n v="0"/>
    <s v="LINESTRING (8.120424443813112 58.18198856730093, 8.120411989269192 58.181963788904724, 8.115490125193437 58.17979573052673, 8.115188131363535 58.179586242982815)"/>
    <s v="[1119656, 1119664, 1119646]"/>
    <s v="[1058608, 1058600, 1058439]"/>
    <s v="#FIELD!"/>
    <s v="[1058551, 1058608, 1058600]"/>
    <s v="[0.045, 0.022, 0.049]"/>
    <s v="411.6250726454178"/>
    <s v="[0.045, -0.022, -0.049]"/>
  </r>
  <r>
    <x v="3205"/>
    <x v="3813"/>
    <x v="0"/>
    <n v="0"/>
    <s v="LINESTRING (8.147461404586169 58.180862278794976, 8.147501066404473 58.18088344848092, 8.149697689331482 58.182723093857874, 8.14975071734838 58.18277662855388, 8.150457075227688 58.18358925202705, 8.150550481437904 58.18380673888624)"/>
    <s v="[1119698, 1119700, 1119708, 1119716, 1119693]"/>
    <s v="[1058643, 1058646, 1058654, 1058639, 1058610]"/>
    <s v="0.010329073225814523"/>
    <s v="[1058491, 1058643, 1058646, 1058654, 1058639]"/>
    <s v="[0.004, 0.007, 0.014, 0.02, 0.004]"/>
    <s v="378.8203468452785"/>
    <s v="[0.004, 0.007, 0.014, 0.02, 0.004]"/>
  </r>
  <r>
    <x v="3206"/>
    <x v="3840"/>
    <x v="0"/>
    <s v="[0, 0, 0, 1, 0, 0, 0, 1, 0]"/>
    <s v="LINESTRING (8.150550481437904 58.18380673888624, 8.149676244247983 58.18280289752966, 8.149621835764679 58.18275262227645, 8.14756247688111 58.181480928107824, 8.146904230454949 58.18123181682618, 8.146161115280167 58.181007209442, 8.144341942171653 58.180655611257016, 8.138900421110481 58.18072824593972, 8.138667088267407 58.18074372125097, 8.132474743787824 58.180771165670656)"/>
    <s v="[1119666, 1119667, 1119674, 1119685, 1119690, 1118251, 1118267, 1118268, 1119681]"/>
    <s v="[1058614, 1058615, 1058621, 1058632, 1057229, 1057230, 1057247, 1057248, 1058630]"/>
    <s v="#FIELD!"/>
    <s v="[1058610, 1058614, 1058615, 1058621, 1058632, 1057229, 1057230, 1057247, 1057248]"/>
    <s v="[0.018, 0.018, 0.007, 0.006, 0.002, 0.01, 0.012, 0.006, 0.023]"/>
    <s v="1232.1265522037806"/>
    <s v="[-0.018, -0.018, -0.007, -0.006, -0.002, -0.01, -0.012, 0.006, 0.023]"/>
  </r>
  <r>
    <x v="3207"/>
    <x v="3854"/>
    <x v="0"/>
    <n v="0"/>
    <s v="LINESTRING (8.132474743787824 58.180771165670656, 8.132908850610852 58.18074348724209, 8.138069818266395 58.18041587574103, 8.13814940267646 58.1803938902923)"/>
    <s v="[1119717, 1119701, 1119709]"/>
    <s v="[1058647, 1058648, 1058655]"/>
    <s v="#FIELD!"/>
    <s v="[1058630, 1058647, 1058648]"/>
    <s v="[0.037, 0.031, 0.053]"/>
    <s v="339.83438328873757"/>
    <s v="[-0.037, -0.031, -0.053]"/>
  </r>
  <r>
    <x v="3208"/>
    <x v="3855"/>
    <x v="0"/>
    <n v="0"/>
    <s v="LINESTRING (8.13814940267646 58.1803938902923, 8.138141339629355 58.18034636502491, 8.138171873896887 58.18029507661847, 8.138304671881816 58.18023593994776, 8.13845435288573 58.18023375235918, 8.138561450187472 58.180267379743135)"/>
    <s v="[1174628, 1174636, 1174644, 1174652, 1174660]"/>
    <s v="[1106704, 1106709, 1106713, 1106719, 1106725]"/>
    <s v="#FIELD!"/>
    <s v="[1058655, 1106704, 1106709, 1106713, 1106719]"/>
    <s v="[0.036, 0.047, 0.04, 0.019, 0.013]"/>
    <s v="37.72227768470235"/>
    <s v="[-0.036, -0.047, -0.04, -0.019, 0.013]"/>
  </r>
  <r>
    <x v="3208"/>
    <x v="3841"/>
    <x v="0"/>
    <n v="0"/>
    <m/>
    <n v="1174620"/>
    <n v="1058655"/>
    <s v="#FIELD!"/>
    <n v="1106697"/>
    <s v="0.019"/>
    <s v="14.415394386589725"/>
    <s v="#FIELD!"/>
  </r>
  <r>
    <x v="3209"/>
    <x v="3845"/>
    <x v="0"/>
    <n v="0"/>
    <s v="LINESTRING (8.095949001958335 58.16596261826726, 8.095234674119665 58.16594068808843, 8.08965570668667 58.16544348769344, 8.089365294848173 58.16539363224489, 8.086142107386555 58.16482103456509)"/>
    <s v="[1119793, 1119801, 1119873, 1119874]"/>
    <s v="[1058725, 1058728, 1058792, 1058793]"/>
    <s v="0.010113201446317855"/>
    <s v="[1058716, 1058725, 1058728, 1058792]"/>
    <s v="[0.054, 0.001, 0.015, 0.019]"/>
    <s v="595.5555194325923"/>
    <s v="[0.054, -0.001, 0.015, 0.019]"/>
  </r>
  <r>
    <x v="3209"/>
    <x v="3856"/>
    <x v="0"/>
    <n v="0"/>
    <s v="LINESTRING (8.089402252464398 58.16474180875173, 8.08953550642732 58.16471950350158, 8.091273626607695 58.16543862754132, 8.095508872668521 58.165903872264444, 8.095949001958335 58.16596261826726)"/>
    <s v="[1348168, 1348176, 1348184, 1838965]"/>
    <s v="[1249117, 1249122, 1249124, 1058716]"/>
    <s v="#FIELD!"/>
    <s v="[1106844, 1249117, 1249122, 1249124]"/>
    <s v="[0.215, 0.017, 0.004, 0.213]"/>
    <s v="464.94176292443757"/>
    <s v="[0.215, -0.017, 0.004, -0.213]"/>
  </r>
  <r>
    <x v="3210"/>
    <x v="3857"/>
    <x v="0"/>
    <s v="[0, 1, 0, 1, 0, 0, 0, 0]"/>
    <s v="LINESTRING (8.085662319790904 58.16482424429592, 8.084821809079106 58.164569637783444, 8.084519881835963 58.16445866109711, 8.080773602787415 58.16228312433099, 8.077406867518318 58.16123092271329, 8.075236311709897 58.16117830439689, 8.074737980083396 58.161216549694004, 8.07353595107233 58.16134313617319, 8.070237006829666 58.161507893475445)"/>
    <s v="[1119836, 1119857, 1119858, 1119859, 1119868, 1119377, 1623883, 1623891]"/>
    <s v="[1058763, 1058779, 1058780, 1058781, 1058337, 1058338, 1453430, 1105882]"/>
    <s v="0.02095019000943288"/>
    <s v="[1058758, 1058763, 1058779, 1058780, 1058781, 1058337, 1058338, 1453430]"/>
    <s v="[0.031, 0.043, 0.01, 0.038, 0.048, 0.058, 0.024, 0.08]"/>
    <s v="1068.4234040890376"/>
    <s v="[0.031, 0.043, 0.01, -0.038, 0.048, 0.058, 0.024, 0.08]"/>
  </r>
  <r>
    <x v="3210"/>
    <x v="3858"/>
    <x v="0"/>
    <s v="[1, 0, 0]"/>
    <s v="LINESTRING (8.090326555090531 58.16621332761597, 8.090255674603702 58.16615702677077, 8.086030694961295 58.16494820719616, 8.085662319790904 58.16482424429592)"/>
    <s v="[1839213, 1839221, 1838949]"/>
    <s v="[1612319, 1612176, 1058758]"/>
    <s v="#FIELD!"/>
    <s v="[1249021, 1612319, 1612176]"/>
    <s v="[0.291, 0.039, 0.513]"/>
    <s v="322.47624013895415"/>
    <s v="[-0.291, -0.039, 0.513]"/>
  </r>
  <r>
    <x v="3211"/>
    <x v="3859"/>
    <x v="0"/>
    <n v="0"/>
    <s v="LINESTRING (8.086142107386555 58.16482103456509, 8.086575923330745 58.16487687522081, 8.086936745682479 58.16492841653211, 8.090132234051568 58.16538851482438, 8.089629882013078 58.16479609670947, 8.089540663757763 58.16484530838688)"/>
    <s v="[1838957, 1348136, 1348144, 1348152, 1348160]"/>
    <s v="[1249091, 1249092, 1249101, 1249108, 1106850]"/>
    <s v="#FIELD!"/>
    <s v="[1058793, 1249091, 1249092, 1249101, 1249108]"/>
    <s v="[0.076, 0.008, 0.012, 0.009, 0.31]"/>
    <s v="420.1350807440557"/>
    <s v="[0.076, -0.008, -0.012, 0.009, -0.31]"/>
  </r>
  <r>
    <x v="3212"/>
    <x v="1376"/>
    <x v="0"/>
    <n v="0"/>
    <s v="LINESTRING (5.448122160341593 59.420042218665216, 5.447946567088033 59.42004325039774, 5.447784313342771 59.419998107024554)"/>
    <s v="[1835446, 1835454]"/>
    <s v="[1610303, 1058810]"/>
    <s v="#FIELD!"/>
    <s v="[1058799, 1610303]"/>
    <s v="0.03"/>
    <s v="20.530121568991618"/>
    <s v="[0.03, -0.03]"/>
  </r>
  <r>
    <x v="3212"/>
    <x v="1096"/>
    <x v="0"/>
    <n v="0"/>
    <s v="LINESTRING (5.446083862523387 59.42103069314618, 5.44696368143987 59.42074355311874, 5.447315903392508 59.420636968529635, 5.447886366559391 59.420308500548316, 5.448066182689152 59.42009403373682, 5.448122160341593 59.420042218665216)"/>
    <s v="[1836006, 1836014, 1836022, 1836030, 1119878]"/>
    <s v="[1610597, 1610601, 1610604, 1058798, 1058799]"/>
    <s v="#FIELD!"/>
    <s v="[1307366, 1610597, 1610601, 1610604, 1058798]"/>
    <s v="[0.001, 0.014, 0.032, 0.069, 0.025]"/>
    <s v="158.2911236961029"/>
    <s v="[0.001, -0.014, -0.032, -0.069, -0.025]"/>
  </r>
  <r>
    <x v="3212"/>
    <x v="3860"/>
    <x v="0"/>
    <n v="0"/>
    <s v="LINESTRING (5.448330641709394 59.41996412316494, 5.4482393342793145 59.42001371869575, 5.448167879250907 59.42003429241489, 5.448122160341593 59.420042218665216)"/>
    <s v="[1835422, 1835430, 1835438]"/>
    <s v="[1610289, 1610294, 1058799]"/>
    <s v="#FIELD!"/>
    <s v="[1610288, 1610289, 1610294]"/>
    <s v="[0.03, 0.012, 0.168]"/>
    <s v="15.025101363848862"/>
    <s v="[0.03, 0.012, -0.168]"/>
  </r>
  <r>
    <x v="3213"/>
    <x v="3861"/>
    <x v="0"/>
    <n v="0"/>
    <s v="LINESTRING (5.447784313342771 59.419998107024554, 5.447735264139902 59.419968446405804, 5.447674734686708 59.41986178268683, 5.447751632354687 59.419754913433515, 5.447885966646932 59.41970186774331)"/>
    <s v="[1835462, 1835470, 1835478, 1835486]"/>
    <s v="[1610314, 1610319, 1610324, 1610328]"/>
    <s v="#FIELD!"/>
    <s v="[1058810, 1610314, 1610319, 1610324]"/>
    <s v="[0.079, 0.063, 0.048, 0.018]"/>
    <s v="39.30494014925653"/>
    <s v="[-0.079, -0.063, -0.048, -0.018]"/>
  </r>
  <r>
    <x v="3214"/>
    <x v="3862"/>
    <x v="0"/>
    <n v="0"/>
    <m/>
    <n v="1779106"/>
    <n v="1569267"/>
    <s v="#FIELD!"/>
    <n v="1058861"/>
    <s v="0.017"/>
    <s v="19.571097158595233"/>
    <s v="#FIELD!"/>
  </r>
  <r>
    <x v="3214"/>
    <x v="3863"/>
    <x v="0"/>
    <n v="0"/>
    <s v="LINESTRING (11.095559643614239 59.26006205035769, 11.09549005782785 59.260097800188, 11.095258805190465 59.26044720073089, 11.09885041164187 59.25819233188666, 11.098938243884932 59.25816168606717)"/>
    <s v="[1119938, 1119946, 1119958, 1630697]"/>
    <s v="[1058862, 1058872, 1058885, 1059028]"/>
    <s v="0.008771419517588216"/>
    <s v="[1058861, 1058862, 1058872, 1058885]"/>
    <s v="[0.006, 0.008, 0.01, 0.043]"/>
    <s v="516.6915948320113"/>
    <s v="[-0.006, -0.008, 0.01, 0.043]"/>
  </r>
  <r>
    <x v="3214"/>
    <x v="3864"/>
    <x v="0"/>
    <n v="0"/>
    <s v="LINESTRING (11.095756496281439 59.260023614159316, 11.095628126250082 59.26005661848005, 11.095559643614239 59.26006205035769)"/>
    <s v="[1779154, 1779098]"/>
    <s v="[1569260, 1058861]"/>
    <s v="0.0026446355112137213"/>
    <s v="[1569101, 1569260]"/>
    <s v="[0.012, 0.033]"/>
    <s v="12.149063541674618"/>
    <s v="[-0.012, 0.033]"/>
  </r>
  <r>
    <x v="3215"/>
    <x v="1627"/>
    <x v="0"/>
    <s v="[0, 1, 0]"/>
    <s v="LINESTRING (11.097459982039293 59.26017686166718, 11.097459982039293 59.26017686166718, 11.098338995627701 59.260288773079296, 11.098682094465135 59.26033000639124)"/>
    <s v="[1119969, 1119988, 1119996]"/>
    <s v="[1058900, 1058922, 1058933]"/>
    <s v="0.01768372067973049"/>
    <s v="[1058899, 1058900, 1058922]"/>
    <s v="[0.0, 0.026, 0.028]"/>
    <s v="107.81619575899316"/>
    <s v="[0.0, 0.026, 0.028]"/>
  </r>
  <r>
    <x v="3215"/>
    <x v="3864"/>
    <x v="0"/>
    <n v="0"/>
    <s v="LINESTRING (11.097459982039293 59.26017686166718, 11.095821960323505 59.260022307947935, 11.095756496281439 59.260023614159316)"/>
    <s v="[1778850, 1778858]"/>
    <s v="[1569093, 1569101]"/>
    <s v="#FIELD!"/>
    <s v="[1058899, 1569093]"/>
    <s v="[0.014, 0.01]"/>
    <s v="63.050392120267496"/>
    <s v="[-0.014, -0.01]"/>
  </r>
  <r>
    <x v="3216"/>
    <x v="1628"/>
    <x v="0"/>
    <n v="0"/>
    <s v="LINESTRING (11.100434025011003 59.25663414944108, 11.099153616230783 59.25820014597436, 11.097051449717885 59.2622378471317)"/>
    <s v="[1120039, 1120047]"/>
    <s v="[1058977, 1058987]"/>
    <s v="#FIELD!"/>
    <s v="[1058976, 1058977]"/>
    <s v="[0.049, 0.015]"/>
    <s v="655.409285469736"/>
    <s v="[-0.049, -0.015]"/>
  </r>
  <r>
    <x v="3216"/>
    <x v="3865"/>
    <x v="352"/>
    <s v="[0, 0, 1, 0, 1, 0, 1, 0, 1, 0, 1, 1, 0, 1, 0, 0]"/>
    <s v="LINESTRING (11.162647151987665 59.21590887657868, 11.162336589973746 59.216612847087326, 11.156676506794206 59.224607546051026, 11.1553335219826 59.2257211311779, 11.148319237922827 59.230067244264134, 11.146615528994177 59.2309935791502, 11.143636680547143 59.232736868522245, 11.14350165911496 59.23282775064241, 11.13541752376404 59.239337738199914, 11.135306900306533 59.23941742644572, 11.125987391396459 59.24378285540916, 11.124856793179456 59.24420530434907, 11.123930085575127 59.2445490486769, 11.11820166373712 59.24668664185903, 11.115167677133556 59.24781772700368, 11.100844201273961 59.25619874090353, 11.100434025011003 59.25663414944108)"/>
    <s v="[1616361, 1616481, 1616521, 1616529, 1616537, 1616369, 1616377, 1616385, 1616393, 1616401, 1616409, 1630594, 1630595, 1630575, 1630583, 1630584]"/>
    <s v="[1448947, 1449016, 1449035, 1449041, 1448954, 1448955, 1448959, 1448964, 1448968, 1448971, 1448974, 1458114, 1458094, 1458095, 1458103, 1058976]"/>
    <s v="0.0018468720758956542"/>
    <s v="[1448943, 1448947, 1449016, 1449035, 1449041, 1448954, 1448955, 1448959, 1448964, 1448968, 1448971, 1448974, 1458114, 1458094, 1458095, 1458103]"/>
    <s v="[0.011, 0.007, 0.013, 0.017, 0.035, 0.004, 0.014, 0.014, 0.044, 0.0, 0.055, 0.017, 0.017, 0.032, 0.011, 0.005]"/>
    <s v="5888.714223279201"/>
    <s v="[-0.011, -0.007, 0.013, 0.017, -0.035, 0.004, 0.014, 0.014, 0.044, -0.0, -0.055, 0.017, -0.017, -0.032, 0.011, 0.005]"/>
  </r>
  <r>
    <x v="3217"/>
    <x v="3866"/>
    <x v="0"/>
    <s v="[0, 0, 0, 0, 1, 1, 1]"/>
    <s v="LINESTRING (11.097051449717885 59.2622378471317, 11.096651568097364 59.26383178730313, 11.096640797060717 59.2638896398135, 11.09660153527256 59.264123088537985, 11.09652445340003 59.26466092639671, 11.095645615461855 59.27042206540671, 11.091505354878384 59.274416369421346, 11.088585951274872 59.27552113089068)"/>
    <s v="[1120061, 1120067, 1120075, 1120123, 1120131, 1120164, 1120357]"/>
    <s v="[1058999, 1059007, 1059017, 1059071, 1059084, 1059128, 1059210]"/>
    <s v="0.0008371920041415227"/>
    <s v="[1058987, 1058999, 1059007, 1059017, 1059071, 1059084, 1059128]"/>
    <s v="[0.014, 0.026, 0.023, 0.039, 0.026, 0.029, 0.042]"/>
    <s v="1641.2314462227766"/>
    <s v="[-0.014, -0.026, -0.023, -0.039, -0.026, 0.029, 0.042]"/>
  </r>
  <r>
    <x v="3218"/>
    <x v="3867"/>
    <x v="0"/>
    <n v="0"/>
    <s v="LINESTRING (11.098938243884932 59.25816168606717, 11.096826617775903 59.26222290635679, 11.096421485757372 59.26382411432806)"/>
    <s v="[1120091, 1120099]"/>
    <s v="[1059036, 1059046]"/>
    <s v="#FIELD!"/>
    <s v="[1059028, 1059036]"/>
    <s v="[0.014, 0.011]"/>
    <s v="648.9066698698058"/>
    <s v="[-0.014, -0.011]"/>
  </r>
  <r>
    <x v="3218"/>
    <x v="3868"/>
    <x v="0"/>
    <s v="[0, 0, 0, 1, 0, 1, 0, 1, 0, 1, 0, 1, 1, 0, 1, 0, 0, 0]"/>
    <s v="LINESTRING (11.163002103619212 59.2145629497454, 11.16242241752555 59.21589762489723, 11.162118671399654 59.21658865303478, 11.156484738286686 59.22454586475543, 11.155125484604664 59.22566993425069, 11.148161351784482 59.229984979466536, 11.14644683620399 59.23091225035793, 11.14348334431624 59.23264910535891, 11.143340067530476 59.23274411142904, 11.135292864157025 59.23922228395897, 11.13518406291833 59.239302925303946, 11.125863909966188 59.243683429392455, 11.12470338808586 59.24411595281701, 11.12379079876682 59.24445283515514, 11.118063265143002 59.246592093796735, 11.115032055052088 59.24772271923344, 11.100638885328369 59.25614812480946, 11.100226866995177 59.256585805943715, 11.098938243884932 59.25816168606717)"/>
    <s v="[1616289, 1616297, 1616473, 1616497, 1616505, 1616513, 1616425, 1616433, 1616441, 1616449, 1616457, 1616465, 1630610, 1630618, 1630568, 1630571, 1630572, 1120083]"/>
    <s v="[1448905, 1448914, 1449011, 1449026, 1449031, 1448982, 1448983, 1448990, 1448994, 1448998, 1449001, 1449007, 1458132, 1458086, 1458087, 1458090, 1059027, 1059028]"/>
    <s v="0.0004810024543267933"/>
    <s v="[1448901, 1448905, 1448914, 1449011, 1449026, 1449031, 1448982, 1448983, 1448990, 1448994, 1448998, 1449001, 1449007, 1458132, 1458086, 1458087, 1458090, 1059027]"/>
    <s v="[0.006, 0.011, 0.006, 0.013, 0.018, 0.037, 0.006, 0.018, 0.015, 0.044, 0.002, 0.067, 0.019, 0.017, 0.025, 0.01, 0.002, 0.048]"/>
    <s v="6227.266905209961"/>
    <s v="[0.006, -0.011, -0.006, 0.013, 0.018, -0.037, 0.006, 0.018, 0.015, 0.044, -0.002, -0.067, 0.019, -0.017, -0.025, 0.01, 0.002, -0.048]"/>
  </r>
  <r>
    <x v="3219"/>
    <x v="3869"/>
    <x v="353"/>
    <s v="[0, 0, 0, 1, 1]"/>
    <s v="LINESTRING (11.096421485757372 59.26382411432806, 11.096410392057233 59.26388171440096, 11.096367359788157 59.26411403396524, 11.096278095544207 59.26465502112191, 11.095380911197012 59.27050476464099, 11.091355049645152 59.27431519669779)"/>
    <s v="[1120107, 1120115, 1120140, 1120148, 1120172]"/>
    <s v="[1059055, 1059061, 1059095, 1059108, 1059135]"/>
    <s v="#FIELD!"/>
    <s v="[1059046, 1059055, 1059061, 1059095, 1059108]"/>
    <s v="[0.02, 0.017, 0.031, 0.027, 0.03]"/>
    <s v="1243.0287904823072"/>
    <s v="[-0.02, -0.017, -0.031, -0.027, 0.03]"/>
  </r>
  <r>
    <x v="3219"/>
    <x v="3862"/>
    <x v="0"/>
    <n v="0"/>
    <s v="LINESTRING (11.096421485757372 59.26382411432806, 11.096368135137565 59.26378522070598, 11.095275200720293 59.26088566287588, 11.09525743034857 59.260071339465284, 11.09526058506948 59.2599875640662)"/>
    <s v="[1630726, 1119963, 1779226, 1779234]"/>
    <s v="[1058891, 1058892, 1569365, 1569267]"/>
    <s v="0.007701332744108397"/>
    <s v="[1059046, 1058891, 1058892, 1569365]"/>
    <s v="[0.028, 0.008, 0.006, 0.002]"/>
    <s v="458.3328596859246"/>
    <s v="[0.028, 0.008, 0.006, 0.002]"/>
  </r>
  <r>
    <x v="3220"/>
    <x v="3870"/>
    <x v="0"/>
    <s v="[1, 1, 0]"/>
    <s v="LINESTRING (11.091355049645152 59.27431519669779, 11.088460779548926 59.27541190933254, 11.086077282218975 59.27640575929708, 11.083076500741123 59.27831821489272)"/>
    <s v="[1120317, 1120325, 1120333]"/>
    <s v="[1059275, 1059280, 1059253]"/>
    <s v="0.008231876152003988"/>
    <s v="[1059135, 1059275, 1059280]"/>
    <s v="[0.039, 0.004, 0.007]"/>
    <s v="654.8308593400828"/>
    <s v="[0.039, -0.004, -0.007]"/>
  </r>
  <r>
    <x v="3220"/>
    <x v="3871"/>
    <x v="0"/>
    <s v="[0, 0, 0, 1, 1]"/>
    <s v="LINESTRING (11.085128980561608 59.27573800042302, 11.085048729897272 59.275764371107456, 11.085689807746185 59.27642042793364, 11.08603498142929 59.27634294740146, 11.09125317643511 59.27431715076945, 11.091355049645152 59.27431519669779)"/>
    <s v="[1120188, 1120196, 1120204, 1120212, 1120180]"/>
    <s v="[1059153, 1059161, 1059170, 1059143, 1059135]"/>
    <s v="#FIELD!"/>
    <s v="[1059152, 1059153, 1059161, 1059170, 1059143]"/>
    <s v="[0.014, 0.0, 0.026, 0.018, 0.12]"/>
    <s v="520.7374204293791"/>
    <s v="[0.014, -0.0, -0.026, -0.018, -0.12]"/>
  </r>
  <r>
    <x v="3221"/>
    <x v="3872"/>
    <x v="0"/>
    <n v="0"/>
    <m/>
    <n v="1690372"/>
    <n v="1059242"/>
    <s v="0.004"/>
    <n v="1059152"/>
    <s v="0.004"/>
    <s v="19.854621397302772"/>
    <s v="0.004"/>
  </r>
  <r>
    <x v="3221"/>
    <x v="3873"/>
    <x v="0"/>
    <n v="0"/>
    <m/>
    <n v="1690364"/>
    <n v="1059152"/>
    <s v="0.05"/>
    <n v="1502689"/>
    <s v="0.05"/>
    <s v="9.340770846134703"/>
    <s v="0.05"/>
  </r>
  <r>
    <x v="3222"/>
    <x v="3874"/>
    <x v="0"/>
    <n v="0"/>
    <m/>
    <n v="1690468"/>
    <n v="1502721"/>
    <s v="#FIELD!"/>
    <n v="1059203"/>
    <s v="0.184"/>
    <s v="3.827531841715765"/>
    <s v="#FIELD!"/>
  </r>
  <r>
    <x v="3222"/>
    <x v="3866"/>
    <x v="0"/>
    <s v="[1, 1, 0, 0]"/>
    <s v="LINESTRING (11.088585951274872 59.27552113089068, 11.088539230924475 59.27557722730295, 11.086202155648575 59.27658388487115, 11.086259431701876 59.27753369858319, 11.086413916750534 59.277534284715706)"/>
    <s v="[1120245, 1120221, 1120229, 1120237]"/>
    <s v="[1059187, 1059188, 1059195, 1059203]"/>
    <s v="0.003230420809587423"/>
    <s v="[1059210, 1059187, 1059188, 1059195]"/>
    <s v="[0.025, 0.006, 0.014, 0.01]"/>
    <s v="336.33122995213625"/>
    <s v="[0.025, -0.006, 0.014, -0.01]"/>
  </r>
  <r>
    <x v="3222"/>
    <x v="3875"/>
    <x v="0"/>
    <n v="0"/>
    <s v="LINESTRING (11.086274013914478 59.27770091647663, 11.086277781792578 59.277603008685944, 11.086413916750534 59.277534284715706)"/>
    <s v="[1690452, 1690460]"/>
    <s v="[1513386, 1059203]"/>
    <s v="#FIELD!"/>
    <s v="[1059219, 1513386]"/>
    <s v="[0.089, 0.039]"/>
    <s v="22.206257870928738"/>
    <s v="[-0.089, 0.039]"/>
  </r>
  <r>
    <x v="3223"/>
    <x v="3876"/>
    <x v="0"/>
    <s v="[1, 0, 0]"/>
    <s v="LINESTRING (11.088585951274872 59.27552113089068, 11.086167375981008 59.27653587268615, 11.083262322412471 59.278386375851525, 11.081667244177396 59.27994807227134)"/>
    <s v="[1120365, 1120373, 1120381]"/>
    <s v="[1059308, 1059315, 1059259]"/>
    <s v="#FIELD!"/>
    <s v="[1059210, 1059308, 1059315]"/>
    <s v="[0.005, 0.004, 0.021]"/>
    <s v="640.06580823882"/>
    <s v="[-0.005, -0.004, -0.021]"/>
  </r>
  <r>
    <x v="3224"/>
    <x v="3876"/>
    <x v="0"/>
    <n v="0"/>
    <s v="LINESTRING (11.086274013914478 59.27770091647663, 11.086205653394751 59.27767454014063, 11.081759103773397 59.27991878976045, 11.081667244177396 59.27994807227134)"/>
    <s v="[1120253, 1120261, 1120301]"/>
    <s v="[1059220, 1059227, 1059259]"/>
    <s v="#FIELD!"/>
    <s v="[1059219, 1059220, 1059227]"/>
    <s v="[0.013, 0.019, 0.048]"/>
    <s v="412.30096373606233"/>
    <s v="[-0.013, -0.019, -0.048]"/>
  </r>
  <r>
    <x v="3224"/>
    <x v="3877"/>
    <x v="0"/>
    <n v="0"/>
    <s v="LINESTRING (11.086712038337946 59.27756932901723, 11.086773519432423 59.27766108223968, 11.086582086976097 59.27778298313708, 11.086464279684504 59.277783932664875, 11.086373349269888 59.27776501334727, 11.086323095334171 59.2777437221466, 11.086274013914478 59.27770091647663)"/>
    <s v="[1690404, 1690412, 1690420, 1690428, 1690436, 1690444]"/>
    <s v="[1375643, 1513357, 1513365, 1513370, 1513376, 1059219]"/>
    <s v="#FIELD!"/>
    <s v="[1500485, 1375643, 1513357, 1513365, 1513370, 1513376]"/>
    <s v="[0.005, 0.021, 0.015, 0.019, 0.038, 0.088]"/>
    <s v="50.89838872553775"/>
    <s v="[0.005, -0.021, -0.015, -0.019, -0.038, 0.088]"/>
  </r>
  <r>
    <x v="3225"/>
    <x v="3878"/>
    <x v="0"/>
    <n v="0"/>
    <s v="LINESTRING (11.084878245126028 59.27562706235447, 11.084874024202223 59.275572094399394, 11.084930762591924 59.27550637553853, 11.085073481618828 59.27545673095861, 11.085430998104847 59.27560145053592)"/>
    <s v="[1690380, 1690388, 1690396, 1690340]"/>
    <s v="[1502683, 1513341, 1500449, 1500456]"/>
    <s v="#FIELD!"/>
    <s v="[1059242, 1502683, 1513341, 1500449]"/>
    <s v="[0.003, 0.012, 0.024, 0.004]"/>
    <s v="54.09575276336785"/>
    <s v="[0.003, -0.012, -0.024, -0.004]"/>
  </r>
  <r>
    <x v="3225"/>
    <x v="3870"/>
    <x v="0"/>
    <n v="0"/>
    <s v="LINESTRING (11.083076500741123 59.27831821489272, 11.083070707867861 59.27826517735785, 11.0848603979218 59.27569384436472, 11.084878245126028 59.27562706235447)"/>
    <s v="[1120293, 1120269, 1120277]"/>
    <s v="[1059233, 1059234, 1059242]"/>
    <s v="0.007124922216851944"/>
    <s v="[1059253, 1059233, 1059234]"/>
    <s v="[0.02, 0.008, 0.009]"/>
    <s v="335.28864973540163"/>
    <s v="[-0.02, 0.008, -0.009]"/>
  </r>
  <r>
    <x v="3226"/>
    <x v="3879"/>
    <x v="0"/>
    <n v="0"/>
    <s v="LINESTRING (11.083076500741123 59.27831821489272, 11.081455025576279 59.2799048349875, 11.081187004008697 59.280227592779745, 11.071951362808166 59.293407767419026)"/>
    <s v="[1120341, 1120349, 1614793]"/>
    <s v="[1059293, 1059296, 1448019]"/>
    <s v="0.011152678715411568"/>
    <s v="[1059253, 1059293, 1059296]"/>
    <s v="[0.023, 0.009, 0.016]"/>
    <s v="1807.8824026006164"/>
    <s v="[-0.023, -0.009, 0.016]"/>
  </r>
  <r>
    <x v="3227"/>
    <x v="3880"/>
    <x v="0"/>
    <n v="0"/>
    <s v="LINESTRING (11.081667244177396 59.27994807227134, 11.081397608209512 59.28027235512375, 11.07214055514637 59.293472979106774)"/>
    <s v="[1120389, 1614782]"/>
    <s v="[1059329, 1448013]"/>
    <s v="0.014415010219573718"/>
    <s v="[1059259, 1059329]"/>
    <s v="[0.009, 0.015]"/>
    <s v="1611.0099701540523"/>
    <s v="[-0.009, 0.015]"/>
  </r>
  <r>
    <x v="3228"/>
    <x v="3881"/>
    <x v="0"/>
    <n v="0"/>
    <s v="LINESTRING (11.067195439623088 59.29611326417139, 11.066950864815244 59.29599826326524, 11.066879076239042 59.295953756844824)"/>
    <s v="[1120437, 1120445]"/>
    <s v="[1059382, 1059389]"/>
    <s v="#FIELD!"/>
    <s v="[1059381, 1059382]"/>
    <s v="[0.011, 0.007]"/>
    <s v="25.363029332724704"/>
    <s v="[-0.011, -0.007]"/>
  </r>
  <r>
    <x v="3228"/>
    <x v="3882"/>
    <x v="0"/>
    <n v="0"/>
    <s v="LINESTRING (11.067195439623088 59.29611326417139, 11.066858899545835 59.29606902378723, 11.066738846248292 59.296054928764555)"/>
    <s v="[1614559, 1614575]"/>
    <s v="[1447890, 1447896]"/>
    <s v="#FIELD!"/>
    <s v="[1059381, 1447890]"/>
    <s v="[0.106, 0.006]"/>
    <s v="26.82401994590417"/>
    <s v="[-0.106, 0.006]"/>
  </r>
  <r>
    <x v="3228"/>
    <x v="3883"/>
    <x v="0"/>
    <n v="1"/>
    <m/>
    <n v="1120453"/>
    <n v="1059381"/>
    <s v="0.024"/>
    <n v="1059395"/>
    <s v="0.024"/>
    <s v="68.07898369520882"/>
    <s v="0.024"/>
  </r>
  <r>
    <x v="3229"/>
    <x v="3882"/>
    <x v="0"/>
    <n v="0"/>
    <s v="LINESTRING (11.066879076239042 59.295953756844824, 11.066837656298876 59.29601467288705, 11.066738846248292 59.296054928764555)"/>
    <s v="[1614771, 1614781]"/>
    <s v="[1448007, 1447896]"/>
    <s v="#FIELD!"/>
    <s v="[1059389, 1448007]"/>
    <s v="[0.233, 0.019]"/>
    <s v="14.385869624836559"/>
    <s v="[-0.233, -0.019]"/>
  </r>
  <r>
    <x v="3229"/>
    <x v="3884"/>
    <x v="0"/>
    <n v="0"/>
    <m/>
    <n v="1614770"/>
    <n v="1059389"/>
    <s v="0.075"/>
    <n v="1448006"/>
    <s v="0.075"/>
    <s v="14.39195532530804"/>
    <s v="0.075"/>
  </r>
  <r>
    <x v="3230"/>
    <x v="3885"/>
    <x v="354"/>
    <n v="0"/>
    <s v="LINESTRING (10.785388561276367 59.72804894816658, 10.784076558901253 59.73184714328889, 10.78335268353037 59.733655016225, 10.782476893113556 59.736165921605874, 10.782451803688712 59.73627965919369, 10.782259279497264 59.73745829524308)"/>
    <s v="[1120571, 1120579, 1120587, 1120601, 1131393]"/>
    <s v="[1059385, 1059378, 1059527, 1059545, 1068920]"/>
    <s v="#FIELD!"/>
    <s v="[1059392, 1059385, 1059378, 1059527, 1059545]"/>
    <s v="[0.032, 0.036, 0.019, 0.007, 0.039]"/>
    <s v="1064.1823412104843"/>
    <s v="[-0.032, -0.036, -0.019, -0.007, -0.039]"/>
  </r>
  <r>
    <x v="3230"/>
    <x v="3886"/>
    <x v="0"/>
    <n v="0"/>
    <s v="LINESTRING (10.785526307092875 59.72289643996674, 10.78549993051496 59.72763901189758, 10.785388561276367 59.72804894816658)"/>
    <s v="[1120555, 1120563]"/>
    <s v="[1059499, 1059392]"/>
    <s v="#FIELD!"/>
    <s v="[1059408, 1059499]"/>
    <s v="[0.025, 0.006]"/>
    <s v="575.241342878503"/>
    <s v="[-0.025, 0.006]"/>
  </r>
  <r>
    <x v="3230"/>
    <x v="2034"/>
    <x v="0"/>
    <n v="0"/>
    <s v="LINESTRING (10.787580050126158 59.724380605578325, 10.787554826147266 59.72444036275015, 10.785471737819677 59.727972063450615, 10.785388561276367 59.72804894816658)"/>
    <s v="[1503781, 1503790, 1120448]"/>
    <s v="[1359924, 1059391, 1059392]"/>
    <s v="#FIELD!"/>
    <s v="[1359923, 1359924, 1059391]"/>
    <s v="[0.021, 0.031, 0.032]"/>
    <s v="448.56988759000035"/>
    <s v="[0.021, -0.031, 0.032]"/>
  </r>
  <r>
    <x v="3231"/>
    <x v="3887"/>
    <x v="0"/>
    <n v="0"/>
    <s v="LINESTRING (11.068848670917179 59.296428086909344, 11.068681820914042 59.296426972994425, 11.068260387508252 59.29638936767693)"/>
    <s v="[1614582, 1614583]"/>
    <s v="[1447903, 1059395]"/>
    <s v="0.04891899033559004"/>
    <s v="[1447902, 1447903]"/>
    <s v="[0.0, 0.068]"/>
    <s v="33.891451144400904"/>
    <s v="[-0.0, 0.068]"/>
  </r>
  <r>
    <x v="3231"/>
    <x v="3888"/>
    <x v="0"/>
    <n v="0"/>
    <s v="LINESTRING (11.068715244152811 59.296562757840505, 11.06863044509497 59.29652996927005, 11.068260387508252 59.29638936767693)"/>
    <s v="[1614595, 1614605]"/>
    <s v="[1447910, 1059395]"/>
    <s v="0.0665062872191917"/>
    <s v="[1447909, 1447910]"/>
    <s v="[0.021, 0.077]"/>
    <s v="32.33101670708733"/>
    <s v="[0.021, 0.077]"/>
  </r>
  <r>
    <x v="3232"/>
    <x v="3889"/>
    <x v="0"/>
    <n v="0"/>
    <s v="LINESTRING (10.785378056156471 59.72764106555283, 10.785289999299291 59.72805237140353, 10.783980264487463 59.73184449739472, 10.783250835794567 59.733651597918005, 10.782372085103079 59.73616162531749, 10.782347337318557 59.73628691013733, 10.782527261829873 59.73912613687644)"/>
    <s v="[1120491, 1120497, 1120498, 1120512, 1120520, 1130831]"/>
    <s v="[1059440, 1059448, 1059449, 1059460, 1059469, 1068661]"/>
    <s v="#FIELD!"/>
    <s v="[1059398, 1059440, 1059448, 1059449, 1059460, 1059469]"/>
    <s v="[0.004, 0.032, 0.039, 0.014, 0.025, 0.037]"/>
    <s v="1298.2063250777223"/>
    <s v="[-0.004, -0.032, -0.039, -0.014, -0.025, -0.037]"/>
  </r>
  <r>
    <x v="3232"/>
    <x v="1841"/>
    <x v="0"/>
    <n v="0"/>
    <s v="LINESTRING (10.785260894536222 59.72194613597496, 10.785428000195154 59.722898666307614, 10.785378056156471 59.72764106555283)"/>
    <s v="[1120481, 1120482]"/>
    <s v="[1059429, 1059398]"/>
    <s v="#FIELD!"/>
    <s v="[1059419, 1059429]"/>
    <s v="[0.021, 0.024]"/>
    <s v="635.7849995945417"/>
    <s v="[-0.021, -0.024]"/>
  </r>
  <r>
    <x v="3233"/>
    <x v="1838"/>
    <x v="0"/>
    <n v="0"/>
    <s v="LINESTRING (10.785526307092875 59.72289643996674, 10.785567317812308 59.72299682770125, 10.78731643966878 59.72445212655368, 10.787301867687 59.72439819432362)"/>
    <s v="[1120464, 1503726, 1503734]"/>
    <s v="[1059409, 1359881, 1359887]"/>
    <s v="#FIELD!"/>
    <s v="[1059408, 1059409, 1359881]"/>
    <s v="[0.033, 0.001, 0.008]"/>
    <s v="351.28169257841347"/>
    <s v="[-0.033, 0.001, -0.008]"/>
  </r>
  <r>
    <x v="3233"/>
    <x v="3890"/>
    <x v="0"/>
    <n v="0"/>
    <s v="LINESTRING (10.783948239795004 59.71808056129167, 10.784221365569541 59.718636645914245, 10.784222355433698 59.71863896161488, 10.784223958038234 59.71864277164398, 10.784224749347329 59.71864468532883, 10.784239439694293 59.71867954165184, 10.784242013311244 59.71868567576653, 10.784275550359876 59.718765349891015, 10.784838670683644 59.72013351978766, 10.784840318541718 59.72013796067424, 10.785300448027979 59.72171559436435, 10.78536208157774 59.72194377760175, 10.785526307092875 59.72289643996674)"/>
    <s v="[1552247, 1552255, 1552263, 1552271, 1552279, 1552287, 1552295, 1552311, 1552319, 1552327, 1120528, 1120536]"/>
    <s v="[1401129, 1401135, 1401142, 1401150, 1401156, 1401162, 1401170, 1401183, 1401189, 1059475, 1059476, 1059408]"/>
    <s v="#FIELD!"/>
    <s v="[1389205, 1401129, 1401135, 1401142, 1401150, 1401156, 1401162, 1401170, 1401183, 1401189, 1059475, 1059476]"/>
    <s v="[0.002, 0.0, 0.0, 0.0, 0.0, 0.009, 0.001, 0.002, 0.01, 0.023, 0.017, 0.023]"/>
    <s v="545.3238602606265"/>
    <s v="[-0.002, 0.0, 0.0, 0.0, 0.0, 0.009, -0.001, 0.002, -0.01, -0.023, -0.017, -0.023]"/>
  </r>
  <r>
    <x v="3234"/>
    <x v="3890"/>
    <x v="0"/>
    <n v="0"/>
    <s v="LINESTRING (10.783948239795004 59.71808056129167, 10.784214135279507 59.71888400692319, 10.784215517420858 59.71888730633236, 10.784217807884339 59.71889272100437, 10.784218943122962 59.71889543701069, 10.784239752646261 59.71894502055017, 10.78424342526381 59.71895373463074, 10.784290989903495 59.71906702988027, 10.784729750668419 59.72023656002901, 10.785222889428052 59.72172612126828, 10.785260894536222 59.72194613597496)"/>
    <s v="[1542268, 1542276, 1542284, 1542292, 1542300, 1542308, 1542316, 1542324, 1542332, 1120480]"/>
    <s v="[1393294, 1393301, 1393311, 1393319, 1393325, 1393333, 1393340, 1393348, 1059428, 1059419]"/>
    <s v="#FIELD!"/>
    <s v="[1389205, 1393294, 1393301, 1393311, 1393319, 1393325, 1393333, 1393340, 1393348, 1059428]"/>
    <s v="[0.0, 0.021, 0.0, 0.016, 0.001, 0.0, 0.0, 0.001, 0.024, 0.016]"/>
    <s v="437.48513344441375"/>
    <s v="[0.0, -0.021, 0.0, 0.016, 0.001, 0.0, 0.0, 0.001, -0.024, -0.016]"/>
  </r>
  <r>
    <x v="3235"/>
    <x v="3891"/>
    <x v="0"/>
    <n v="0"/>
    <m/>
    <n v="1120564"/>
    <n v="1059507"/>
    <s v="#FIELD!"/>
    <n v="1059506"/>
    <s v="0.02"/>
    <s v="14.48683741214812"/>
    <s v="#FIELD!"/>
  </r>
  <r>
    <x v="3235"/>
    <x v="3892"/>
    <x v="0"/>
    <n v="0"/>
    <s v="LINESTRING (8.546611895570624 58.32534175816258, 8.546535322681613 58.32528928569043, 8.546508832293746 58.32522717152466)"/>
    <s v="[1120648, 1120656]"/>
    <s v="[1059590, 1059506]"/>
    <s v="0.045249719045876755"/>
    <s v="[1059578, 1059590]"/>
    <s v="[0.058, 0.032]"/>
    <s v="14.478188447151105"/>
    <s v="[0.058, 0.032]"/>
  </r>
  <r>
    <x v="3235"/>
    <x v="3893"/>
    <x v="0"/>
    <n v="0"/>
    <s v="LINESTRING (8.546189212653953 58.325355102570235, 8.546436760018105 58.325259767198645, 8.546508832293746 58.32522717152466)"/>
    <s v="[1629846, 1629862]"/>
    <s v="[1457468, 1059506]"/>
    <s v="0.38158613689466775"/>
    <s v="[1457447, 1457468]"/>
    <s v="[0.047, 1.765]"/>
    <s v="23.577597502763194"/>
    <s v="[-0.047, 1.765]"/>
  </r>
  <r>
    <x v="3236"/>
    <x v="3894"/>
    <x v="0"/>
    <n v="0"/>
    <s v="LINESTRING (8.546612278216056 58.325112666442124, 8.546775497020159 58.325079561226474, 8.546913443896779 58.325094365215854, 8.54702046606585 58.32514249756022, 8.547054192781264 58.32527717195352, 8.546975288560933 58.32533821847104, 8.546889167312104 58.32536543716586, 8.546725726444782 58.32537102285931)"/>
    <s v="[1120572, 1120580, 1120588, 1120604, 1120612, 1120619, 1120627]"/>
    <s v="[1059436, 1059520, 1059485, 1059548, 1059557, 1059565, 1059571]"/>
    <s v="#FIELD!"/>
    <s v="[1059507, 1059436, 1059520, 1059485, 1059548, 1059557, 1059565]"/>
    <s v="[0.069, 0.073, 0.076, 0.033, 0.024, 0.067, 0.087]"/>
    <s v="66.12423723875415"/>
    <s v="[-0.069, -0.073, -0.076, -0.033, 0.024, 0.067, 0.087]"/>
  </r>
  <r>
    <x v="3236"/>
    <x v="3895"/>
    <x v="0"/>
    <s v="[0, 0, 1, 0, 0]"/>
    <s v="LINESTRING (8.541568494130924 58.32229159018717, 8.541885417678822 58.32245350947626, 8.542448273686684 58.32281250662965, 8.542516984572812 58.32285895388827, 8.546519212116682 58.3251149611106, 8.546612278216056 58.325112666442124)"/>
    <s v="[1146930, 1146938, 1146946, 1146954, 1146962]"/>
    <s v="[1082637, 1082645, 1082651, 1082658, 1059507]"/>
    <s v="#FIELD!"/>
    <s v="[1082487, 1082637, 1082645, 1082651, 1082658]"/>
    <s v="[0.01, 0.004, 0.011, 0.0, 0.075]"/>
    <s v="437.00617415559594"/>
    <s v="[-0.01, -0.004, 0.011, -0.0, -0.075]"/>
  </r>
  <r>
    <x v="3237"/>
    <x v="3892"/>
    <x v="0"/>
    <n v="0"/>
    <m/>
    <n v="1120634"/>
    <n v="1059578"/>
    <s v="0.091"/>
    <n v="1059571"/>
    <s v="0.091"/>
    <s v="7.43386857570365"/>
    <s v="0.091"/>
  </r>
  <r>
    <x v="3237"/>
    <x v="3896"/>
    <x v="0"/>
    <s v="[0, 0, 1, 0, 0]"/>
    <s v="LINESTRING (8.546725726444782 58.32537102285931, 8.546694556120823 58.325404005595466, 8.546665753474835 58.328201366640435, 8.54666312500778 58.32825399863228, 8.546645568048323 58.32857823911587, 8.546509604415242 58.32902914402866)"/>
    <s v="[1120664, 1120680, 1120686, 1120693, 1120701]"/>
    <s v="[1059604, 1059618, 1059623, 1059629, 1059637]"/>
    <s v="#FIELD!"/>
    <s v="[1059571, 1059604, 1059618, 1059623, 1059629]"/>
    <s v="[0.037, 0.008, 0.001, 0.004, 0.003]"/>
    <s v="411.6389593315449"/>
    <s v="[0.037, -0.008, 0.001, -0.004, -0.003]"/>
  </r>
  <r>
    <x v="3238"/>
    <x v="3893"/>
    <x v="0"/>
    <n v="0"/>
    <s v="LINESTRING (8.546189212653953 58.325355102570235, 8.546517542669223 58.32534153768246, 8.546611895570624 58.32534175816258)"/>
    <s v="[1629830, 1629838]"/>
    <s v="[1457458, 1059578]"/>
    <s v="0.3347964336644817"/>
    <s v="[1457447, 1457458]"/>
    <s v="[0.042, 1.65]"/>
    <s v="24.86011779294045"/>
    <s v="[-0.042, 1.65]"/>
  </r>
  <r>
    <x v="3239"/>
    <x v="3895"/>
    <x v="0"/>
    <s v="[0, 0, 1, 0, 0, 0, 0, 1, 0]"/>
    <s v="LINESTRING (8.546509604415242 58.32902914402866, 8.546510529965913 58.329020624900274, 8.546569530094065 58.32825679825506, 8.546570793047616 58.328209663658896, 8.546570195800063 58.32808801607981, 8.545615505471655 58.32551050779075, 8.545569075351997 58.32544798694232, 8.54244017866744 58.322882155867845, 8.542371467842175 58.32283570856896, 8.541568494130924 58.32229159018717)"/>
    <s v="[1120847, 1120855, 1120867, 1146738, 1146746, 1146754, 1146762, 1146770, 1146778]"/>
    <s v="[1059770, 1059774, 1059792, 1082444, 1082454, 1082463, 1082471, 1082479, 1082487]"/>
    <s v="0.005430169230187652"/>
    <s v="[1059637, 1059770, 1059774, 1059792, 1082444, 1082454, 1082463, 1082471, 1082479]"/>
    <s v="[0.011, 0.006, 0.007, 0.007, 0.027, 0.029, 0.013, 0.003, 0.002]"/>
    <s v="831.7209569280075"/>
    <s v="[0.011, 0.006, 0.007, 0.007, 0.027, 0.029, -0.013, -0.003, 0.002]"/>
  </r>
  <r>
    <x v="3239"/>
    <x v="3897"/>
    <x v="355"/>
    <n v="0"/>
    <s v="LINESTRING (8.564118783658776 58.340463353355375, 8.559693607072173 58.33857081538461, 8.556430706757821 58.337168842315336, 8.55624870891184 58.33708695284271, 8.546509604415242 58.32902914402866)"/>
    <s v="[1120810, 1120822, 1120823, 1120839]"/>
    <s v="[1059737, 1059749, 1059750, 1059637]"/>
    <s v="0.0016209458215350342"/>
    <s v="[1059736, 1059737, 1059749, 1059750]"/>
    <s v="[0.008, 0.017, 0.023, 0.004]"/>
    <s v="1705.2124120616877"/>
    <s v="[0.008, 0.017, 0.023, -0.004]"/>
  </r>
  <r>
    <x v="3240"/>
    <x v="3898"/>
    <x v="0"/>
    <s v="[0, 0, 0, 0, 0, 0, 1, 0]"/>
    <s v="LINESTRING (8.564044060255132 58.34051498400644, 8.562706985807077 58.33996395084611, 8.559598412614127 58.33864560266189, 8.55637373528131 58.33726125924936, 8.556172403227567 58.337170826144224, 8.546341869650245 58.3290227307025, 8.54639919186614 58.328255648459624, 8.546399902495075 58.32820928754283, 8.546401936307683 58.328087394873904)"/>
    <s v="[1120709, 1120725, 1120739, 1120755, 1120756, 1120764, 1120772, 1146665]"/>
    <s v="[1059645, 1059660, 1059672, 1059683, 1059684, 1059690, 1059697, 1082364]"/>
    <s v="0.002877728381107852"/>
    <s v="[1059644, 1059645, 1059660, 1059672, 1059683, 1059684, 1059690, 1059697]"/>
    <s v="[0.007, 0.01, 0.017, 0.022, 0.003, 0.01, 0.012, 0.011]"/>
    <s v="1819.345085655103"/>
    <s v="[0.007, 0.01, 0.017, 0.022, -0.003, 0.01, 0.012, 0.011]"/>
  </r>
  <r>
    <x v="3240"/>
    <x v="3269"/>
    <x v="0"/>
    <s v="[0, 0, 1, 1, 1, 0]"/>
    <s v="LINESTRING (8.56932798602575 58.34241211969472, 8.569173073237375 58.34236268261403, 8.56615938441573 58.34131229715515, 8.565711544014185 58.34114175834069, 8.565660376204319 58.3411210350554, 8.565543765688709 58.34107380580421, 8.564044060255132 58.34051498400644)"/>
    <s v="[2133652, 2133660, 2133668, 2133676, 2133684, 1120780]"/>
    <s v="[1834999, 1835003, 1835005, 1835010, 1059704, 1059644]"/>
    <s v="0.006790916214674021"/>
    <s v="[1834993, 1834999, 1835003, 1835005, 1835010, 1059704]"/>
    <s v="[0.006, 0.004, 0.001, 0.001, 0.123, 0.005]"/>
    <s v="375.401288791698"/>
    <s v="[0.006, 0.004, 0.001, 0.001, 0.123, 0.005]"/>
  </r>
  <r>
    <x v="3241"/>
    <x v="3899"/>
    <x v="0"/>
    <s v="[0, 0, 0, 1, 0, 0, 0]"/>
    <s v="LINESTRING (8.564118783658776 58.340463353355375, 8.564485397562803 58.34057751959517, 8.565766652758843 58.34107793171274, 8.565780529478456 58.3410830817114, 8.566307767009004 58.341281100375795, 8.566804661779727 58.341423533154895, 8.567723302344552 58.341164916631605, 8.567751351832289 58.341098507863634)"/>
    <s v="[1120912, 1120882, 1120890, 1225627, 1225632, 1225633, 1225635]"/>
    <s v="[1059808, 1059809, 1059816, 1148450, 1148452, 1148453, 1148454]"/>
    <s v="#FIELD!"/>
    <s v="[1059736, 1059808, 1059809, 1059816, 1148450, 1148452, 1148453]"/>
    <s v="[0.001, 0.007, 0.0, 0.028, 0.002, 0.003, 0.005]"/>
    <s v="267.6712643027455"/>
    <s v="[0.001, -0.007, 0.0, -0.028, -0.002, 0.003, 0.005]"/>
  </r>
  <r>
    <x v="3241"/>
    <x v="3900"/>
    <x v="0"/>
    <s v="[0, 0, 0, 0, 1, 1, 1, 0]"/>
    <s v="LINESTRING (8.570937397963565 58.34283503945394, 8.569851900703586 58.34252020730245, 8.569378578103027 58.342373022682956, 8.569223608661718 58.34232370890334, 8.566248730239112 58.34129344194747, 8.565754772617465 58.341109136500926, 8.565695803929106 58.34108732591737, 8.565561385500962 58.34103762153748, 8.564118783658776 58.340463353355375)"/>
    <s v="[2133748, 2133756, 2133764, 2133772, 2133780, 2133788, 2133796, 1120809]"/>
    <s v="[1835052, 1835057, 1835062, 1835063, 1835070, 1835075, 1059735, 1059736]"/>
    <s v="0.010666783315298474"/>
    <s v="[1835047, 1835052, 1835057, 1835062, 1835063, 1835070, 1835075, 1059735]"/>
    <s v="[0.023, 0.025, 0.012, 0.004, 0.001, 0.001, 0.115, 0.005]"/>
    <s v="480.014380487963"/>
    <s v="[0.023, 0.025, 0.012, 0.004, 0.001, 0.001, 0.115, 0.005]"/>
  </r>
  <r>
    <x v="3242"/>
    <x v="3901"/>
    <x v="0"/>
    <n v="0"/>
    <s v="LINESTRING (8.397731490868127 58.27076148874662, 8.392840269891346 58.26820745268308, 8.392713732616272 58.26814146332725, 8.390870313218288 58.267178784598094, 8.390619979453488 58.26704804272578)"/>
    <s v="[1123994, 1124009, 1124072, 1124080]"/>
    <s v="[1062669, 1062683, 1062736, 1062746]"/>
    <s v="0.002704374264320663"/>
    <s v="[1062663, 1062669, 1062683, 1062736]"/>
    <s v="[0.0, 0.009, 0.009, 0.006]"/>
    <s v="588.4420163319488"/>
    <s v="[0.0, 0.009, 0.009, 0.006]"/>
  </r>
  <r>
    <x v="3242"/>
    <x v="3902"/>
    <x v="0"/>
    <n v="0"/>
    <s v="LINESTRING (8.397731490868127 58.27076148874662, 8.397184906895102 58.27053495726958, 8.39314973682121 58.26939568666165)"/>
    <s v="[1124062, 1126066]"/>
    <s v="[1062725, 1062794]"/>
    <s v="0.021595135531393563"/>
    <s v="[1062663, 1062725]"/>
    <s v="[0.012, 0.023]"/>
    <s v="320.0083901755992"/>
    <s v="[0.012, 0.023]"/>
  </r>
  <r>
    <x v="3242"/>
    <x v="3903"/>
    <x v="356"/>
    <s v="[0, 0, 0, 1, 1, 0, 0, 0, 1, 0, 1, 0, 1, 0, 0, 0, 1, 0]"/>
    <s v="LINESTRING (8.466168818561803 58.29761855618143, 8.453978962650545 58.296636747701655, 8.447818011002642 58.296967830455834, 8.446649826803585 58.29701393809362, 8.444566369319748 58.29698937748353, 8.4423883720231 58.296803946764584, 8.438851664550429 58.2961202240599, 8.43873311035226 58.29608746966454, 8.430903099730578 58.29115498407648, 8.430846714106428 58.291085657152536, 8.421509187443338 58.284107174858725, 8.421123711647851 58.28392237703163, 8.417707813059097 58.282286986510435, 8.416090165747764 58.281512469918134, 8.41466797690393 58.28085226830439, 8.411638066183313 58.27922567105759, 8.404900826261034 58.274597657871205, 8.404482026003054 58.27434906247271, 8.397731490868127 58.27076148874662)"/>
    <s v="[1364106, 1364114, 1364122, 1364130, 1364138, 1617117, 1617125, 1617133, 1617141, 1617149, 1123240, 1123242, 1123243, 1123244, 1123260, 1123268, 1123276, 1123986]"/>
    <s v="[1259477, 1259486, 1259496, 1259505, 1259515, 1449347, 1449354, 1449362, 1449368, 1061986, 1061987, 1061989, 1061990, 1061991, 1062003, 1062011, 1062017, 1062663]"/>
    <s v="#FIELD!"/>
    <s v="[1259467, 1259477, 1259486, 1259496, 1259505, 1259515, 1449347, 1449354, 1449362, 1449368, 1061986, 1061987, 1061989, 1061990, 1061991, 1062003, 1062011, 1062017]"/>
    <s v="[0.008, 0.122, 0.152, 0.048, 0.03, 0.01, 0.04, 0.043, 0.012, 0.009, 0.051, 0.053, 0.003, 0.06, 0.041, 0.003, 0.123, 0.053]"/>
    <s v="5394.574055382069"/>
    <s v="[-0.008, -0.122, -0.152, -0.048, 0.03, 0.01, 0.04, 0.043, 0.012, -0.009, -0.051, -0.053, 0.003, 0.06, 0.041, -0.003, -0.123, 0.053]"/>
  </r>
  <r>
    <x v="3243"/>
    <x v="3904"/>
    <x v="0"/>
    <s v="[0, 1, 0]"/>
    <s v="LINESTRING (8.344145152749956 58.26748520323167, 8.343501406345768 58.26739304881257, 8.342602764914696 58.26721849473225, 8.339404318185844 58.26728206225832)"/>
    <s v="[1124003, 1124419, 1124427]"/>
    <s v="[1062679, 1063022, 1063028]"/>
    <s v="0.009048608252472166"/>
    <s v="[1062678, 1062679, 1063022]"/>
    <s v="[0.002, 0.007, 0.011]"/>
    <s v="296.22982918419206"/>
    <s v="[0.002, 0.007, 0.011]"/>
  </r>
  <r>
    <x v="3243"/>
    <x v="3905"/>
    <x v="0"/>
    <s v="[0, 1, 0, 0, 0]"/>
    <s v="LINESTRING (8.344145152749956 58.26748520323167, 8.343521777988538 58.26736713237669, 8.34262313709611 58.267192578450945, 8.338202187183446 58.26611537359038, 8.337955747599912 58.26604152709387, 8.335841157322834 58.26538791107338)"/>
    <s v="[1124173, 1124347, 1124355, 1124363, 1124371]"/>
    <s v="[1062846, 1062968, 1062973, 1062978, 1062985]"/>
    <s v="0.044630128490945"/>
    <s v="[1062678, 1062846, 1062968, 1062973, 1062978]"/>
    <s v="[0.001, 0.007, 0.017, 0.071, 0.123]"/>
    <s v="542.4770859787285"/>
    <s v="[0.001, 0.007, 0.017, 0.071, 0.123]"/>
  </r>
  <r>
    <x v="3243"/>
    <x v="3901"/>
    <x v="357"/>
    <s v="[0, 1, 0, 0, 0, 1, 0, 1, 0]"/>
    <s v="LINESTRING (8.390619979453488 58.26704804272578, 8.373500472797632 58.266634193974994, 8.373394153886148 58.26666026103951, 8.370210436513334 58.26739909837249, 8.367616025967965 58.26785463248103, 8.366637454179626 58.26798781003398, 8.365309403054098 58.268149905782316, 8.358814601757476 58.2686008137763, 8.358711935504674 58.26860361861295, 8.344145152749956 58.26748520323167)"/>
    <s v="[1124088, 1124146, 1124152, 1124158, 1124159, 1124162, 1124164, 1124165, 1124172]"/>
    <s v="[1062757, 1062817, 1062826, 1062832, 1062833, 1062836, 1062838, 1062839, 1062678]"/>
    <s v="#FIELD!"/>
    <s v="[1062746, 1062757, 1062817, 1062826, 1062832, 1062833, 1062836, 1062838, 1062839]"/>
    <s v="[0.009, 0.037, 0.008, 0.012, 0.063, 0.032, 0.024, 0.041, 0.004]"/>
    <s v="2886.3974532188695"/>
    <s v="[-0.009, -0.037, 0.008, 0.012, -0.063, -0.032, -0.024, -0.041, -0.004]"/>
  </r>
  <r>
    <x v="3244"/>
    <x v="3906"/>
    <x v="0"/>
    <n v="0"/>
    <s v="LINESTRING (8.337665785455076 58.26709060363213, 8.33724007510139 58.267039542369695, 8.337150389205972 58.267034351535784)"/>
    <s v="[1124011, 1124019]"/>
    <s v="[1062686, 1062692]"/>
    <s v="0.04851378754028878"/>
    <s v="[1062685, 1062686]"/>
    <s v="[0.048, 0.051]"/>
    <s v="30.96582609960865"/>
    <s v="[0.048, 0.051]"/>
  </r>
  <r>
    <x v="3244"/>
    <x v="3907"/>
    <x v="0"/>
    <n v="0"/>
    <s v="LINESTRING (8.337665785455076 58.26709060363213, 8.337303398622119 58.266953595923155, 8.337243968858067 58.2669298449047)"/>
    <s v="[1124056, 1124077]"/>
    <s v="[1062720, 1062743]"/>
    <s v="0.05014327469210622"/>
    <s v="[1062685, 1062720]"/>
    <s v="[0.05, 0.051]"/>
    <s v="30.600052891176922"/>
    <s v="[0.05, 0.051]"/>
  </r>
  <r>
    <x v="3244"/>
    <x v="3904"/>
    <x v="0"/>
    <n v="0"/>
    <m/>
    <n v="1124435"/>
    <n v="1062685"/>
    <s v="0.03"/>
    <n v="1063028"/>
    <s v="0.03"/>
    <s v="104.62935898801071"/>
    <s v="0.03"/>
  </r>
  <r>
    <x v="3245"/>
    <x v="3908"/>
    <x v="0"/>
    <n v="0"/>
    <s v="LINESTRING (8.337150389205972 58.267034351535784, 8.33676887751976 58.26703659380056, 8.336693185293294 58.26698239634897, 8.336674280518514 58.26692697388194, 8.336676298924663 58.26689641276252, 8.33672557949889 58.26683571340697, 8.336827405010148 58.26679238678826, 8.336989870932971 58.266776451252696)"/>
    <s v="[1125561, 1125569, 1125577, 1125585, 1125593, 1125601, 1125609]"/>
    <s v="[1063351, 1064064, 1063365, 772681, 1064085, 772668, 1062883]"/>
    <s v="0.01885908209356366"/>
    <s v="[1062692, 1063351, 1064064, 1063365, 772681, 1064085, 772668]"/>
    <s v="[0.04, 0.059, 0.04, 0.026, 0.011, 0.016, 0.048]"/>
    <s v="66.42544975101856"/>
    <s v="[0.04, 0.059, 0.04, 0.026, 0.011, -0.016, -0.048]"/>
  </r>
  <r>
    <x v="3245"/>
    <x v="3907"/>
    <x v="0"/>
    <n v="0"/>
    <s v="LINESTRING (8.337243968858067 58.2669298449047, 8.337214896887984 58.26698510689992, 8.337150389205972 58.267034351535784)"/>
    <s v="[1125642, 1125650]"/>
    <s v="[1064125, 1062692]"/>
    <s v="#FIELD!"/>
    <s v="[1062743, 1064125]"/>
    <s v="[0.013, 0.007]"/>
    <s v="13.07131714088136"/>
    <s v="[-0.013, 0.007]"/>
  </r>
  <r>
    <x v="3246"/>
    <x v="3909"/>
    <x v="0"/>
    <n v="0"/>
    <s v="LINESTRING (8.39784116074998 58.2706922802175, 8.392963538489177 58.26814544042593, 8.392830583706473 58.26807601009221, 8.390994006628418 58.267116877398244)"/>
    <s v="[1124054, 1124055, 1124103]"/>
    <s v="[1062718, 1062719, 1062776]"/>
    <s v="0.0011643195050633902"/>
    <s v="[1062704, 1062718, 1062719]"/>
    <s v="[0.002, 0.009, 0.009]"/>
    <s v="566.5674824295471"/>
    <s v="[-0.002, 0.009, 0.009]"/>
  </r>
  <r>
    <x v="3246"/>
    <x v="3910"/>
    <x v="0"/>
    <n v="0"/>
    <s v="LINESTRING (8.395005966243799 58.26755657042072, 8.39489480112071 58.26762694194075, 8.397426364617864 58.27040444478076, 8.39784116074998 58.2706922802175)"/>
    <s v="[1124064, 1124065, 1124068]"/>
    <s v="[1062727, 1062728, 1062704]"/>
    <s v="0.02905140038606424"/>
    <s v="[1062726, 1062727, 1062728]"/>
    <s v="[0.068, 0.031, 0.001]"/>
    <s v="426.7080455427438"/>
    <s v="[0.068, 0.031, 0.001]"/>
  </r>
  <r>
    <x v="3246"/>
    <x v="3911"/>
    <x v="0"/>
    <s v="[0, 0, 0, 0, 1, 1, 0, 0, 0, 1, 0, 1, 0, 1, 0, 0, 0, 1, 0, 0]"/>
    <s v="LINESTRING (8.466862293153033 58.29766014907776, 8.466218973969676 58.297532454589934, 8.454068520565448 58.29654314475424, 8.448129101349819 58.29686106341716, 8.446647475681136 58.29692411389454, 8.444563771981688 58.29689897288731, 8.442427449248191 58.29671654364052, 8.438929178443514 58.29604017995574, 8.4388087604599 58.296006960264755, 8.431016923163385 58.291066656400766, 8.430957032776249 58.2909934553308, 8.421622482224056 58.284039961895665, 8.421240739559195 58.28385706889351, 8.41782569632203 58.282222050021204, 8.416208032254612 58.281447534054465, 8.414828678727417 58.28076498349021, 8.411807507260766 58.27914489601258, 8.405025639325283 58.27453644354837, 8.404611376807905 58.27429056101199, 8.397846020602342 58.2706948204633, 8.39784116074998 58.2706922802175)"/>
    <s v="[1126475, 1126483, 1126491, 1126499, 1126507, 1126515, 1617157, 1617165, 1617173, 1617181, 1617189, 1123288, 1123293, 1123308, 1123321, 1123331, 1123342, 1123349, 1124033, 1124038]"/>
    <s v="[1064873, 1064881, 1064891, 1064901, 1064910, 1064918, 1449381, 1449389, 1449395, 1449402, 1062031, 1062032, 1062037, 1062053, 1062063, 1062071, 1062083, 1062089, 1062700, 1062704]"/>
    <s v="#FIELD!"/>
    <s v="[1064864, 1064873, 1064881, 1064891, 1064901, 1064910, 1064918, 1449381, 1449389, 1449395, 1449402, 1062031, 1062032, 1062037, 1062053, 1062063, 1062071, 1062083, 1062089, 1062700]"/>
    <s v="[0.018, 0.008, 0.117, 0.15, 0.05, 0.027, 0.01, 0.04, 0.043, 0.013, 0.009, 0.049, 0.048, 0.001, 0.06, 0.041, 0.004, 0.131, 0.054, 0.062]"/>
    <s v="5430.487357993556"/>
    <s v="[-0.018, -0.008, -0.117, -0.15, -0.05, 0.027, 0.01, 0.04, 0.043, 0.013, -0.009, -0.049, -0.048, 0.001, 0.06, 0.041, -0.004, -0.131, 0.054, 0.062]"/>
  </r>
  <r>
    <x v="3247"/>
    <x v="3912"/>
    <x v="0"/>
    <n v="0"/>
    <m/>
    <n v="1125989"/>
    <n v="1064048"/>
    <s v="0.004"/>
    <n v="1062726"/>
    <s v="0.004"/>
    <s v="26.856494398541223"/>
    <s v="0.004"/>
  </r>
  <r>
    <x v="3247"/>
    <x v="3913"/>
    <x v="0"/>
    <n v="0"/>
    <s v="LINESTRING (8.395095471949258 58.267349892302136, 8.395116637447323 58.26737376431112, 8.395133968722334 58.26744696643486, 8.395078347824827 58.267519634902925, 8.395005966243799 58.26755657042072)"/>
    <s v="[1125957, 1125965, 1125973, 1125981]"/>
    <s v="[1063589, 1064403, 1063515, 1062726]"/>
    <s v="0.06617715140380798"/>
    <s v="[1063583, 1063589, 1064403, 1063515]"/>
    <s v="[0.047, 0.073, 0.067, 0.065]"/>
    <s v="25.829680105074104"/>
    <s v="[0.047, 0.073, 0.067, 0.065]"/>
  </r>
  <r>
    <x v="3248"/>
    <x v="3914"/>
    <x v="0"/>
    <n v="0"/>
    <m/>
    <n v="1125634"/>
    <n v="1062743"/>
    <s v="#FIELD!"/>
    <n v="1062865"/>
    <s v="0.036"/>
    <s v="7.910954050936103"/>
    <s v="#FIELD!"/>
  </r>
  <r>
    <x v="3249"/>
    <x v="3902"/>
    <x v="0"/>
    <n v="0"/>
    <s v="LINESTRING (8.39314973682121 58.26939568666165, 8.393250989290475 58.26939045638107, 8.39276686161564 58.26823815386025, 8.392643868459183 58.26817241147442, 8.39114348361067 58.267387537037145, 8.390619979453488 58.26704804272578)"/>
    <s v="[1124123, 1124124, 1124125, 1124133, 1124118]"/>
    <s v="[1062795, 1062796, 1062797, 1062790, 1062746]"/>
    <s v="#FIELD!"/>
    <s v="[1062794, 1062795, 1062796, 1062797, 1062790]"/>
    <s v="[0.097, 0.031, 0.009, 0.01, 0.009]"/>
    <s v="362.35382354101193"/>
    <s v="[-0.097, -0.031, 0.009, 0.01, -0.009]"/>
  </r>
  <r>
    <x v="3250"/>
    <x v="3915"/>
    <x v="0"/>
    <n v="0"/>
    <s v="LINESTRING (8.339089903680264 58.26542872026101, 8.339476274717594 58.26535877985332, 8.339574252990298 58.26535723197643)"/>
    <s v="[1124084, 1124105]"/>
    <s v="[1062752, 1062778]"/>
    <s v="0.018290883348188666"/>
    <s v="[1062751, 1062752]"/>
    <s v="[0.021, 0.007]"/>
    <s v="29.775703186361667"/>
    <s v="[0.021, 0.007]"/>
  </r>
  <r>
    <x v="3250"/>
    <x v="3916"/>
    <x v="0"/>
    <n v="0"/>
    <s v="LINESTRING (8.339089903680264 58.26542872026101, 8.339391539217782 58.26527455213113, 8.33945732953261 58.26523651785797)"/>
    <s v="[1124150, 1124151]"/>
    <s v="[1062824, 1062825]"/>
    <s v="0.03705708325110299"/>
    <s v="[1062751, 1062824]"/>
    <s v="[0.038, 0.033]"/>
    <s v="30.44082160089818"/>
    <s v="[0.038, 0.033]"/>
  </r>
  <r>
    <x v="3250"/>
    <x v="3917"/>
    <x v="0"/>
    <s v="[0, 1, 0]"/>
    <s v="LINESTRING (8.33741526365854 58.2665928653686, 8.337934889850219 58.2662173727116, 8.338436142076105 58.26585467331358, 8.339089903680264 58.26542872026101)"/>
    <s v="[1124115, 1124116, 1124117]"/>
    <s v="[1062788, 1062789, 1062751]"/>
    <s v="#FIELD!"/>
    <s v="[1062787, 1062788, 1062789]"/>
    <s v="[0.025, 0.027, 0.02]"/>
    <s v="163.14526701264904"/>
    <s v="[-0.025, -0.027, 0.02]"/>
  </r>
  <r>
    <x v="3251"/>
    <x v="3918"/>
    <x v="0"/>
    <s v="[0, 0, 1, 0, 0, 0, 1, 0, 1, 0]"/>
    <s v="LINESTRING (8.390994006628418 58.267116877398244, 8.39074255051533 58.26698555499008, 8.373429461124578 58.26655247196003, 8.373315445833455 58.26658047149498, 8.37011051720925 58.26725551870943, 8.36752843674032 58.26770097255469, 8.366865017351245 58.267805530552195, 8.365306390490714 58.26802225604533, 8.358805145474296 58.26851112357177, 8.358693937253326 58.268514167335255, 8.344207568302506 58.267401539700515)"/>
    <s v="[1124111, 1124114, 1124243, 1124251, 1124259, 1124267, 1124275, 1124283, 1124291, 1124299]"/>
    <s v="[1062785, 1062786, 1062902, 1062908, 1062912, 1062919, 1062922, 1062925, 1062929, 1062934]"/>
    <s v="#FIELD!"/>
    <s v="[1062776, 1062785, 1062786, 1062902, 1062908, 1062912, 1062919, 1062922, 1062925, 1062929]"/>
    <s v="[0.007, 0.009, 0.036, 0.006, 0.01, 0.052, 0.032, 0.024, 0.045, 0.003]"/>
    <s v="2910.182037766039"/>
    <s v="[0.007, -0.009, -0.036, 0.006, 0.01, -0.052, -0.032, -0.024, -0.045, -0.003]"/>
  </r>
  <r>
    <x v="3251"/>
    <x v="3912"/>
    <x v="0"/>
    <n v="0"/>
    <s v="LINESTRING (8.390994006628418 58.267116877398244, 8.391605448901714 58.26737294897976, 8.394653821054149 58.26760174294047, 8.394597316043185 58.267518427017706)"/>
    <s v="[1126021, 1125545, 1125553]"/>
    <s v="[1064039, 1064040, 1064048]"/>
    <s v="#FIELD!"/>
    <s v="[1062776, 1064039, 1064040]"/>
    <s v="[0.027, 0.041, 0.064]"/>
    <s v="329.10487654460167"/>
    <s v="[-0.027, -0.041, -0.064]"/>
  </r>
  <r>
    <x v="3252"/>
    <x v="3916"/>
    <x v="0"/>
    <n v="0"/>
    <s v="LINESTRING (8.339574252990298 58.26535723197643, 8.339485594940493 58.265299258536224, 8.33945732953261 58.26523651785797)"/>
    <s v="[1125821, 1125829]"/>
    <s v="[1064282, 1062825]"/>
    <s v="0.03771293322465319"/>
    <s v="[1062778, 1064282]"/>
    <s v="[0.034, 0.042]"/>
    <s v="15.498225244351033"/>
    <s v="[0.034, 0.042]"/>
  </r>
  <r>
    <x v="3252"/>
    <x v="3919"/>
    <x v="0"/>
    <n v="0"/>
    <m/>
    <n v="1125813"/>
    <n v="1062778"/>
    <s v="0.007"/>
    <n v="1063102"/>
    <s v="0.007"/>
    <s v="7.94529420484027"/>
    <s v="0.007"/>
  </r>
  <r>
    <x v="3253"/>
    <x v="3914"/>
    <x v="0"/>
    <n v="0"/>
    <s v="LINESTRING (8.337213306671691 58.26686078894317, 8.337241903183436 58.26680859216196, 8.33741526365854 58.2665928653686)"/>
    <s v="[1124198, 1124218]"/>
    <s v="[1062866, 1062787]"/>
    <s v="0.0006942321911576566"/>
    <s v="[1062865, 1062866]"/>
    <s v="[0.008, 0.001]"/>
    <s v="32.192190988583725"/>
    <s v="[0.008, -0.001]"/>
  </r>
  <r>
    <x v="3253"/>
    <x v="3908"/>
    <x v="0"/>
    <n v="0"/>
    <s v="LINESTRING (8.336989870932971 58.266776451252696, 8.337078850327622 58.266746848341526, 8.33741526365854 58.2665928653686)"/>
    <s v="[1124226, 1124227]"/>
    <s v="[1062884, 1062787]"/>
    <s v="#FIELD!"/>
    <s v="[1062883, 1062884]"/>
    <s v="[0.031, 0.027]"/>
    <s v="32.37750534054485"/>
    <s v="[-0.031, -0.027]"/>
  </r>
  <r>
    <x v="3254"/>
    <x v="3920"/>
    <x v="0"/>
    <s v="[0, 1, 0]"/>
    <s v="LINESTRING (8.39314973682121 58.26939568666165, 8.392508278703637 58.26831339269124, 8.393165020625203 58.26796675502158, 8.394058982670414 58.26750438788165)"/>
    <s v="[1126074, 1126082, 1126090]"/>
    <s v="[1064486, 1064494, 1064452]"/>
    <s v="#FIELD!"/>
    <s v="[1062794, 1064486, 1064494]"/>
    <s v="[0.023, 0.145, 0.108]"/>
    <s v="279.8439805060143"/>
    <s v="[-0.023, -0.145, -0.108]"/>
  </r>
  <r>
    <x v="3255"/>
    <x v="3921"/>
    <x v="0"/>
    <n v="0"/>
    <s v="LINESTRING (8.33945732953261 58.26523651785797, 8.339780103092355 58.26508773449454, 8.339899318065475 58.26510829782541, 8.33997998714731 58.26515378079914, 8.339993635383705 58.2653135943276)"/>
    <s v="[1125773, 1125781, 1125789, 1125797]"/>
    <s v="[732945, 1064254, 732990, 1062950]"/>
    <s v="#FIELD!"/>
    <s v="[1062825, 732945, 1064254, 732990]"/>
    <s v="[0.035, 0.005, 0.026, 0.048]"/>
    <s v="61.15253635259599"/>
    <s v="[0.035, -0.005, -0.026, -0.048]"/>
  </r>
  <r>
    <x v="3256"/>
    <x v="3908"/>
    <x v="0"/>
    <n v="0"/>
    <s v="LINESTRING (8.336989870932971 58.266776451252696, 8.3371228200972 58.26680507848445, 8.337213306671691 58.26686078894317)"/>
    <s v="[1125618, 1125626]"/>
    <s v="[1064103, 1062865]"/>
    <s v="#FIELD!"/>
    <s v="[1062883, 1064103]"/>
    <s v="[0.059, 0.051]"/>
    <s v="16.621414854852397"/>
    <s v="[-0.059, -0.051]"/>
  </r>
  <r>
    <x v="3257"/>
    <x v="3922"/>
    <x v="0"/>
    <s v="[0, 1, 0, 0, 0]"/>
    <s v="LINESTRING (8.344207568302506 58.267401539700515, 8.343583882592853 58.267281768166995, 8.34269297384772 58.26709413261636, 8.338371602502164 58.26598763771907, 8.338132274140929 58.26591588450968, 8.336032157399469 58.265226425411115)"/>
    <s v="[1124307, 1124443, 1124451, 1124459, 1124467]"/>
    <s v="[1062940, 1063038, 1063045, 1063050, 1063054]"/>
    <s v="0.04518836095628454"/>
    <s v="[1062934, 1062940, 1063038, 1063045, 1063050]"/>
    <s v="[0.001, 0.009, 0.014, 0.096, 0.126]"/>
    <s v="539.607058073705"/>
    <s v="[0.001, 0.009, 0.014, 0.096, 0.126]"/>
  </r>
  <r>
    <x v="3257"/>
    <x v="3921"/>
    <x v="0"/>
    <s v="[0, 0, 1, 0]"/>
    <s v="LINESTRING (8.339993635383705 58.2653135943276, 8.339985460895681 58.26537094137679, 8.34271975043343 58.267050010818394, 8.343617753071195 58.267235197423275, 8.344207568302506 58.267401539700515)"/>
    <s v="[1124323, 1124331, 1124339, 1124315]"/>
    <s v="[1062951, 1062956, 1062946, 1062934]"/>
    <s v="#FIELD!"/>
    <s v="[1062950, 1062951, 1062956, 1062946]"/>
    <s v="[0.053, 0.023, 0.009, 0.0]"/>
    <s v="380.15965840512536"/>
    <s v="[-0.053, -0.023, -0.009, 0.0]"/>
  </r>
  <r>
    <x v="3258"/>
    <x v="3919"/>
    <x v="0"/>
    <n v="0"/>
    <m/>
    <n v="1125805"/>
    <n v="1063102"/>
    <s v="#FIELD!"/>
    <n v="1062950"/>
    <s v="0.026"/>
    <s v="19.849786132726805"/>
    <s v="#FIELD!"/>
  </r>
  <r>
    <x v="3259"/>
    <x v="3923"/>
    <x v="358"/>
    <s v="[0, 0, 1, 0, 1, 0, 0, 0, 1, 0]"/>
    <s v="LINESTRING (8.335841157322834 58.26538791107338, 8.323083134380775 58.25844543996478, 8.320575930887314 58.25662228258864, 8.320506308795268 58.256570843120215, 8.317496680816244 58.25428341955314, 8.317109796838933 58.25399008449066, 8.313099872416373 58.2505077964918, 8.310069355049038 58.247699728259484, 8.30915242177091 58.246840537901235, 8.309091992576025 58.24678440319783, 8.30348724345425 58.24151171813608)"/>
    <s v="[1124379, 1124387, 1124395, 1123365, 1123376, 1123381, 1123400, 1123410, 1123413, 1125279]"/>
    <s v="[1062992, 1062999, 1062105, 1062106, 1062117, 1062122, 1062143, 1062153, 1062155, 1063801]"/>
    <s v="0.009516278716378297"/>
    <s v="[1062985, 1062992, 1062999, 1062105, 1062106, 1062117, 1062122, 1062143, 1062153, 1062155]"/>
    <s v="[0.011, 0.107, 0.696, 0.012, 0.021, 0.061, 0.038, 0.121, 0.136, 0.029]"/>
    <s v="3300.35864193398"/>
    <s v="[0.011, -0.107, -0.696, 0.012, 0.021, 0.061, 0.038, -0.121, -0.136, 0.029]"/>
  </r>
  <r>
    <x v="3259"/>
    <x v="3904"/>
    <x v="0"/>
    <n v="0"/>
    <s v="LINESTRING (8.339404318185844 58.26728206225832, 8.338136998273631 58.266149384727406, 8.337910466986658 58.26608166137192, 8.336678342806634 58.2657050372436, 8.336183649474888 58.26551235934336, 8.335841157322834 58.26538791107338)"/>
    <s v="[1125698, 1125706, 1125714, 1125722, 1125730]"/>
    <s v="[1064181, 1064189, 1064198, 1064204, 1062985]"/>
    <s v="0.05922356399548884"/>
    <s v="[1063028, 1064181, 1064189, 1064198, 1064204]"/>
    <s v="[0.014, 0.073, 0.104, 0.138, 0.155]"/>
    <s v="361.98871621715983"/>
    <s v="[0.014, 0.073, 0.104, 0.138, 0.155]"/>
  </r>
  <r>
    <x v="3260"/>
    <x v="3924"/>
    <x v="0"/>
    <s v="[0, 0, 1, 0, 1, 0, 0, 0, 1, 0, 0]"/>
    <s v="LINESTRING (8.336032157399469 58.265226425411115, 8.323365413585703 58.25832721348558, 8.32072217359581 58.25647942513416, 8.320649396487896 58.256429486822036, 8.317657286842037 58.25423069119395, 8.317290248916049 58.253930642099625, 8.313410200139522 58.25040556326298, 8.310379255540761 58.24760608435395, 8.309530615993745 58.24682908488485, 8.309468827585587 58.24677642854725, 8.30363701197273 58.241468844001446, 8.303128474305769 58.24100656190598)"/>
    <s v="[1124475, 1124483, 1124491, 1123420, 1123439, 1123440, 1123443, 1123452, 1123458, 1125324, 1125332]"/>
    <s v="[1063059, 1063065, 1062163, 1062164, 1062186, 1062187, 1062191, 1062198, 1062205, 1063842, 1063849]"/>
    <s v="0.00853228712475767"/>
    <s v="[1063054, 1063059, 1063065, 1062163, 1062164, 1062186, 1062187, 1062191, 1062198, 1062205, 1063842]"/>
    <s v="[0.012, 0.113, 0.878, 0.016, 0.013, 0.053, 0.048, 0.115, 0.123, 0.025, 0.008]"/>
    <s v="3350.1777061179127"/>
    <s v="[0.012, -0.113, -0.878, 0.016, 0.013, 0.053, 0.048, -0.115, -0.123, 0.025, -0.008]"/>
  </r>
  <r>
    <x v="3260"/>
    <x v="3919"/>
    <x v="0"/>
    <n v="0"/>
    <s v="LINESTRING (8.336032157399469 58.265226425411115, 8.336393632704192 58.265324903088285, 8.336928585643745 58.265479498731175, 8.338195266395957 58.265877289921676, 8.338418170384765 58.26594048957935, 8.339799811454089 58.26541577535646, 8.339700381818169 58.26538284200184)"/>
    <s v="[1124532, 1124540, 1124499, 1124507, 1124516, 1124524]"/>
    <s v="[1063110, 1063077, 1063078, 1063084, 1063093, 1063102]"/>
    <s v="#FIELD!"/>
    <s v="[1063054, 1063110, 1063077, 1063078, 1063084, 1063093]"/>
    <s v="[0.142, 0.139, 0.116, 0.096, 0.012, 0.026]"/>
    <s v="321.87668323743895"/>
    <s v="[-0.142, -0.139, -0.116, -0.096, 0.012, 0.026]"/>
  </r>
  <r>
    <x v="3261"/>
    <x v="3925"/>
    <x v="0"/>
    <n v="0"/>
    <s v="LINESTRING (8.395159898732961 58.26707130359673, 8.394903842640284 58.267231340500445, 8.394805787315475 58.26727035778567)"/>
    <s v="[1125008, 1125022]"/>
    <s v="[1063556, 1063574]"/>
    <s v="0.055818808680218074"/>
    <s v="[1063555, 1063556]"/>
    <s v="[0.057, 0.052]"/>
    <s v="30.570541561177983"/>
    <s v="[0.057, 0.052]"/>
  </r>
  <r>
    <x v="3261"/>
    <x v="3913"/>
    <x v="0"/>
    <n v="0"/>
    <s v="LINESTRING (8.395159898732961 58.26707130359673, 8.395104883840858 58.26727364576258, 8.395095471949258 58.267349892302136)"/>
    <s v="[1125030, 1125035]"/>
    <s v="[1063581, 1063583]"/>
    <s v="0.06908836649342233"/>
    <s v="[1063555, 1063581]"/>
    <s v="[0.068, 0.072]"/>
    <s v="31.322904250790714"/>
    <s v="[0.068, 0.072]"/>
  </r>
  <r>
    <x v="3261"/>
    <x v="3926"/>
    <x v="359"/>
    <s v="[0, 1, 0, 0]"/>
    <s v="LINESTRING (8.393419664651981 58.262372241229876, 8.395248293492818 58.26427788499082, 8.395310691568831 58.26494759460018, 8.395456598073107 58.26654255585369, 8.395159898732961 58.26707130359673)"/>
    <s v="[1126154, 1126162, 1126170, 1126178]"/>
    <s v="[1064561, 1064568, 1064575, 1063555]"/>
    <s v="0.01692719270525258"/>
    <s v="[1064560, 1064561, 1064568, 1064575]"/>
    <s v="[0.009, 0.019, 0.037, 0.061]"/>
    <s v="564.2672977233077"/>
    <s v="[-0.009, 0.019, 0.037, 0.061]"/>
  </r>
  <r>
    <x v="3262"/>
    <x v="3913"/>
    <x v="0"/>
    <n v="0"/>
    <s v="LINESTRING (8.394805787315475 58.26727035778567, 8.394967642853626 58.26728495525786, 8.395095471949258 58.267349892302136)"/>
    <s v="[1125941, 1125949]"/>
    <s v="[1064386, 1063583]"/>
    <s v="0.022378845149958703"/>
    <s v="[1063574, 1064386]"/>
    <s v="[0.001, 0.044]"/>
    <s v="20.08772808962225"/>
    <s v="[-0.001, 0.044]"/>
  </r>
  <r>
    <x v="3262"/>
    <x v="3927"/>
    <x v="0"/>
    <n v="0"/>
    <m/>
    <n v="1125933"/>
    <n v="1063574"/>
    <s v="#FIELD!"/>
    <n v="1064381"/>
    <s v="0.039"/>
    <s v="11.260880693610815"/>
    <s v="#FIELD!"/>
  </r>
  <r>
    <x v="3263"/>
    <x v="3928"/>
    <x v="0"/>
    <n v="0"/>
    <s v="LINESTRING (8.393008580077556 58.26216290043204, 8.392632612544713 58.26197329943918, 8.392668056629223 58.26185437056759, 8.392754714008186 58.261789386426706, 8.39283538249467 58.26175708073757, 8.392996573684703 58.261729369803646, 8.393173637249769 58.26173919263289, 8.393206586940734 58.26174590294452, 8.39335304787234 58.26180166606686, 8.393417082613533 58.26185433023845, 8.393434425145093 58.26187695921102, 8.393450925527357 58.261977991145706, 8.393374114685876 58.26207526014403, 8.393313195977216 58.26210990670189)"/>
    <s v="[1125109, 1125110, 1125111, 1125127, 1125135, 1125144, 1125151, 1125159, 1125167, 1125175, 1125183, 1125191, 1125076]"/>
    <s v="[1063650, 1063651, 1063652, 1063662, 1063670, 1063677, 1063682, 603134, 1063694, 1063701, 1063708, 1063618, 1063619]"/>
    <s v="0.004806148822856963"/>
    <s v="[1063635, 1063650, 1063651, 1063652, 1063662, 1063670, 1063677, 1063682, 603134, 1063694, 1063701, 1063708, 1063618]"/>
    <s v="[0.068, 0.042, 0.015, 0.01, 0.023, 0.047, 0.079, 0.065, 0.075, 0.084, 0.065, 0.037, 0.003]"/>
    <s v="132.34620524899515"/>
    <s v="[-0.068, -0.042, -0.015, 0.01, 0.023, 0.047, 0.079, 0.065, 0.075, 0.084, 0.065, 0.037, 0.003]"/>
  </r>
  <r>
    <x v="3263"/>
    <x v="3926"/>
    <x v="0"/>
    <n v="0"/>
    <s v="LINESTRING (8.393313195977216 58.26210990670189, 8.39332504019548 58.26216725758749, 8.393419664651981 58.262372241229876)"/>
    <s v="[1126186, 1126194]"/>
    <s v="[1064587, 1064560]"/>
    <s v="0.0694294744257609"/>
    <s v="[1063619, 1064587]"/>
    <s v="[0.071, 0.069]"/>
    <s v="29.966128736637085"/>
    <s v="[0.071, 0.069]"/>
  </r>
  <r>
    <x v="3264"/>
    <x v="3926"/>
    <x v="0"/>
    <n v="0"/>
    <s v="LINESTRING (8.393008580077556 58.26216290043204, 8.393096722262822 58.26221196968204, 8.393419664651981 58.262372241229876)"/>
    <s v="[1126202, 1126210]"/>
    <s v="[1064602, 1064560]"/>
    <s v="0.08055271469881592"/>
    <s v="[1063635, 1064602]"/>
    <s v="[0.079, 0.081]"/>
    <s v="33.70037347673262"/>
    <s v="[0.079, 0.081]"/>
  </r>
  <r>
    <x v="3265"/>
    <x v="3929"/>
    <x v="0"/>
    <n v="0"/>
    <s v="LINESTRING (8.300314671763338 58.23763695006701, 8.300657012130234 58.237543527132836, 8.300742608818906 58.237518574970956)"/>
    <s v="[1125247, 1125255]"/>
    <s v="[1063764, 1063773]"/>
    <s v="#FIELD!"/>
    <s v="[1063763, 1063764]"/>
    <s v="[0.04, 0.035]"/>
    <s v="28.4294162868529"/>
    <s v="[-0.04, -0.035]"/>
  </r>
  <r>
    <x v="3265"/>
    <x v="3930"/>
    <x v="0"/>
    <n v="0"/>
    <s v="LINESTRING (8.300314671763338 58.23763695006701, 8.300521180583921 58.23747841576269, 8.300585278673175 58.237429780989864)"/>
    <s v="[1125263, 1125271]"/>
    <s v="[1063782, 1063790]"/>
    <s v="#FIELD!"/>
    <s v="[1063763, 1063782]"/>
    <s v="[0.039, 0.041]"/>
    <s v="28.061951418120362"/>
    <s v="[-0.039, -0.041]"/>
  </r>
  <r>
    <x v="3265"/>
    <x v="3931"/>
    <x v="0"/>
    <s v="[0, 1, 0]"/>
    <s v="LINESTRING (8.297868998059961 58.23888533020548, 8.29874839914344 58.23838267891298, 8.299513649171175 58.238018428816865, 8.300314671763338 58.23763695006701)"/>
    <s v="[1126114, 1126122, 1126130]"/>
    <s v="[1064524, 1064532, 1063763]"/>
    <s v="#FIELD!"/>
    <s v="[1064516, 1064524, 1064532]"/>
    <s v="[0.023, 0.002, 0.002]"/>
    <s v="201.0151535922373"/>
    <s v="[-0.023, -0.002, 0.002]"/>
  </r>
  <r>
    <x v="3266"/>
    <x v="3930"/>
    <x v="0"/>
    <n v="0"/>
    <s v="LINESTRING (8.300742608818906 58.237518574970956, 8.30064629489081 58.23747905945991, 8.300585278673175 58.237429780989864)"/>
    <s v="[1126018, 1126026]"/>
    <s v="[1064440, 1063790]"/>
    <s v="#FIELD!"/>
    <s v="[1063773, 1064440]"/>
    <s v="[0.005, 0.007]"/>
    <s v="13.743768015217665"/>
    <s v="[0.005, -0.007]"/>
  </r>
  <r>
    <x v="3266"/>
    <x v="3932"/>
    <x v="0"/>
    <n v="0"/>
    <m/>
    <n v="1126010"/>
    <n v="1063773"/>
    <s v="0.024"/>
    <n v="1064351"/>
    <s v="0.024"/>
    <s v="11.861507239817202"/>
    <s v="0.024"/>
  </r>
  <r>
    <x v="3267"/>
    <x v="3933"/>
    <x v="0"/>
    <n v="0"/>
    <m/>
    <n v="1125922"/>
    <n v="1064337"/>
    <s v="#FIELD!"/>
    <n v="1063790"/>
    <s v="0.024"/>
    <s v="14.26230850376924"/>
    <s v="#FIELD!"/>
  </r>
  <r>
    <x v="3268"/>
    <x v="176"/>
    <x v="0"/>
    <n v="0"/>
    <s v="LINESTRING (8.30348724345425 58.24151171813608, 8.302983739344343 58.24105389874442, 8.299086208159874 58.238284291205545, 8.298965450266843 58.23821490901965, 8.296356790883468 58.236883411653295)"/>
    <s v="[1125287, 1125295, 1125303, 1125311]"/>
    <s v="[1063808, 1063818, 1063826, 1063833]"/>
    <s v="#FIELD!"/>
    <s v="[1063801, 1063808, 1063818, 1063826]"/>
    <s v="[0.012, 0.02, 0.053, 0.083]"/>
    <s v="668.5406501655584"/>
    <s v="[-0.012, -0.02, -0.053, -0.083]"/>
  </r>
  <r>
    <x v="3268"/>
    <x v="3934"/>
    <x v="0"/>
    <n v="0"/>
    <s v="LINESTRING (8.30348724345425 58.24151171813608, 8.302999441169606 58.24116208942148, 8.297889078012085 58.23942307558566, 8.297827996241681 58.239382171015514)"/>
    <s v="[1125802, 1125810, 1125818]"/>
    <s v="[1064270, 1064276, 1064217]"/>
    <s v="#FIELD!"/>
    <s v="[1063801, 1064270, 1064276]"/>
    <s v="[0.007, 0.008, 0.051]"/>
    <s v="440.0633393349339"/>
    <s v="[-0.007, -0.008, -0.051]"/>
  </r>
  <r>
    <x v="3269"/>
    <x v="3935"/>
    <x v="0"/>
    <n v="0"/>
    <s v="LINESTRING (8.29805245302303 58.23931486845738, 8.29808673353588 58.23936882981567, 8.299006299337277 58.23831328988817, 8.298903386602884 58.2382541364047, 8.296911277535305 58.23718899674089, 8.296356790883468 58.236883411653295)"/>
    <s v="[1125826, 1125834, 1125842, 1125850, 1125866]"/>
    <s v="[1064285, 1064290, 1064300, 1064307, 1063833]"/>
    <s v="#FIELD!"/>
    <s v="[1064259, 1064285, 1064290, 1064300, 1064307]"/>
    <s v="[0.062, 0.02, 0.055, 0.076, 0.111]"/>
    <s v="472.4833503166324"/>
    <s v="[0.062, -0.02, -0.055, -0.076, -0.111]"/>
  </r>
  <r>
    <x v="3270"/>
    <x v="3811"/>
    <x v="0"/>
    <n v="0"/>
    <s v="LINESTRING (8.303128474305769 58.24100656190598, 8.299211884637055 58.23822372031616, 8.299092662683936 58.23815515793408, 8.296469252747164 58.23681594857764, 8.29568418727791 58.236468476610426)"/>
    <s v="[1125340, 1125348, 1125356, 1125364]"/>
    <s v="[1063859, 1063865, 1063873, 1063880]"/>
    <s v="#FIELD!"/>
    <s v="[1063849, 1063859, 1063865, 1063873]"/>
    <s v="[0.019, 0.049, 0.083, 0.13]"/>
    <s v="672.751096061071"/>
    <s v="[-0.019, -0.049, -0.083, -0.13]"/>
  </r>
  <r>
    <x v="3270"/>
    <x v="3932"/>
    <x v="0"/>
    <n v="0"/>
    <s v="LINESTRING (8.300940974831859 58.23753762654164, 8.300901800561862 58.23758121358957, 8.302772853674876 58.240618556083156, 8.303128474305769 58.24100656190598)"/>
    <s v="[1125898, 1125906, 1125914]"/>
    <s v="[1064352, 1064361, 1063849]"/>
    <s v="0.020079661494727414"/>
    <s v="[1064351, 1064352, 1064361]"/>
    <s v="[0.036, 0.021, 0.011]"/>
    <s v="435.4400038962427"/>
    <s v="[0.036, 0.021, 0.011]"/>
  </r>
  <r>
    <x v="3271"/>
    <x v="3933"/>
    <x v="0"/>
    <n v="0"/>
    <s v="LINESTRING (8.29568418727791 58.236468476610426, 8.296357777084635 58.23670511418615, 8.30048615022235 58.23731032143224, 8.300564398366932 58.237303965010064)"/>
    <s v="[1125890, 1125874, 1125882]"/>
    <s v="[1064329, 1064330, 1064337]"/>
    <s v="0.07473259674230642"/>
    <s v="[1063880, 1064329, 1064330]"/>
    <s v="[0.13, 0.067, 0.033]"/>
    <s v="328.8965755730435"/>
    <s v="[0.13, 0.067, -0.033]"/>
  </r>
  <r>
    <x v="3272"/>
    <x v="3936"/>
    <x v="0"/>
    <n v="0"/>
    <s v="LINESTRING (8.301491588829656 58.237077004168114, 8.30127550745213 58.23725184709214, 8.30122923288525 58.23730000639753)"/>
    <s v="[1125484, 1125492]"/>
    <s v="[1063990, 1063995]"/>
    <s v="0.040205525167880535"/>
    <s v="[1063989, 1063990]"/>
    <s v="[0.04, 0.041]"/>
    <s v="29.302808786191246"/>
    <s v="[0.04, 0.041]"/>
  </r>
  <r>
    <x v="3272"/>
    <x v="3937"/>
    <x v="0"/>
    <n v="0"/>
    <s v="LINESTRING (8.301491588829656 58.237077004168114, 8.301133185281314 58.237177799648094, 8.301048950354934 58.2371924990665)"/>
    <s v="[1125556, 1125564]"/>
    <s v="[1064052, 1064059]"/>
    <s v="0.03974504256080357"/>
    <s v="[1063989, 1064052]"/>
    <s v="[0.041, 0.034]"/>
    <s v="29.11481553194255"/>
    <s v="[0.041, 0.034]"/>
  </r>
  <r>
    <x v="3272"/>
    <x v="3938"/>
    <x v="0"/>
    <n v="0"/>
    <s v="LINESTRING (8.316803816913252 58.23434509811132, 8.316645329354479 58.234329490869335, 8.316578587074483 58.234323371134, 8.305180610659017 58.23549455913344, 8.303123127408588 58.2363032301449, 8.302862200470841 58.236423478154684, 8.302358895268677 58.236662336763295, 8.301491588829656 58.237077004168114)"/>
    <s v="[1125500, 1125508, 1125516, 1125524, 1125532, 1125540, 1125548]"/>
    <s v="[1064001, 1064007, 1064014, 1064021, 1064027, 1064034, 1063989]"/>
    <s v="0.03601638796461927"/>
    <s v="[1064000, 1064001, 1064007, 1064014, 1064021, 1064027, 1064034]"/>
    <s v="[0.059, 0.004, 0.039, 0.018, 0.013, 0.046, 0.045]"/>
    <s v="992.1622986354562"/>
    <s v="[0.059, 0.004, 0.039, 0.018, 0.013, 0.046, 0.045]"/>
  </r>
  <r>
    <x v="3273"/>
    <x v="3932"/>
    <x v="0"/>
    <n v="0"/>
    <s v="LINESTRING (8.30122923288525 58.23730000639753, 8.301245623424522 58.23736816929153, 8.301209669975723 58.23743715215941, 8.301136101860234 58.23749006341334, 8.300940974831859 58.23753762654164)"/>
    <s v="[1125978, 1125986, 1125994, 1126002]"/>
    <s v="[1064412, 1064418, 1064425, 1064351]"/>
    <s v="0.03568810826814129"/>
    <s v="[1063995, 1064412, 1064418, 1064425]"/>
    <s v="[0.025, 0.037, 0.038, 0.04]"/>
    <s v="35.60938758461411"/>
    <s v="[0.025, 0.037, 0.038, 0.04]"/>
  </r>
  <r>
    <x v="3273"/>
    <x v="3937"/>
    <x v="0"/>
    <n v="0"/>
    <s v="LINESTRING (8.301048950354934 58.2371924990665, 8.301157776248052 58.23723558325518, 8.30122923288525 58.23730000639753)"/>
    <s v="[1125962, 1125970]"/>
    <s v="[1064399, 1063995]"/>
    <s v="0.001627455417176992"/>
    <s v="[1064059, 1064399]"/>
    <s v="[0.005, 0.008]"/>
    <s v="16.330771373608943"/>
    <s v="[-0.005, 0.008]"/>
  </r>
  <r>
    <x v="3274"/>
    <x v="3939"/>
    <x v="0"/>
    <n v="0"/>
    <s v="LINESTRING (8.317267034395373 58.23446091630483, 8.317165048809775 58.234438449369996, 8.316803816913252 58.23434509811132)"/>
    <s v="[1125572, 1125580]"/>
    <s v="[1064067, 1064000]"/>
    <s v="0.05964660800489923"/>
    <s v="[1064066, 1064067]"/>
    <s v="[0.062, 0.059]"/>
    <s v="30.16885105109224"/>
    <s v="[0.062, 0.059]"/>
  </r>
  <r>
    <x v="3274"/>
    <x v="3940"/>
    <x v="0"/>
    <n v="0"/>
    <s v="LINESTRING (8.317312123345578 58.23432103918259, 8.317212850032492 58.234327985647674, 8.316803816913252 58.23434509811132)"/>
    <s v="[1125588, 1125596]"/>
    <s v="[1064078, 1064000]"/>
    <s v="0.06680381820172301"/>
    <s v="[1064077, 1064078]"/>
    <s v="[0.066, 0.067]"/>
    <s v="30.03209594682708"/>
    <s v="[0.066, 0.067]"/>
  </r>
  <r>
    <x v="3275"/>
    <x v="3941"/>
    <x v="0"/>
    <n v="0"/>
    <m/>
    <n v="1125997"/>
    <n v="1064427"/>
    <s v="#FIELD!"/>
    <n v="1064048"/>
    <s v="0.057"/>
    <s v="3.8761140333886814"/>
    <s v="#FIELD!"/>
  </r>
  <r>
    <x v="3276"/>
    <x v="3933"/>
    <x v="0"/>
    <n v="0"/>
    <s v="LINESTRING (8.300564398366932 58.237303965010064, 8.300660471707133 58.23722585109787, 8.300778924844778 58.237187241555354, 8.300940777461047 58.237175738392516, 8.301048950354934 58.2371924990665)"/>
    <s v="[1125930, 1125938, 1125946, 1125954]"/>
    <s v="[1064377, 1064384, 1064389, 1064059]"/>
    <s v="#FIELD!"/>
    <s v="[1064337, 1064377, 1064384, 1064389]"/>
    <s v="[0.038, 0.041, 0.033, 0.025]"/>
    <s v="34.818331905179164"/>
    <s v="[-0.038, -0.041, -0.033, -0.025]"/>
  </r>
  <r>
    <x v="3277"/>
    <x v="3940"/>
    <x v="0"/>
    <n v="0"/>
    <s v="LINESTRING (8.317312123345578 58.23432103918259, 8.317368935642591 58.23430051014668, 8.317514360018096 58.23429050171836, 8.317599531382934 58.23430694073688, 8.317662202337369 58.23434239617158, 8.317694072424345 58.234429783985775, 8.317626671689023 58.23449317215574, 8.317502671620849 58.23452630680054, 8.317423851486053 58.23452516569206, 8.317341952238278 58.234506231767526, 8.317267034395373 58.23446091630483)"/>
    <s v="[1363725, 1363733, 1363741, 1363749, 1363758, 1363766, 1363676, 1363684, 1363692, 1363700]"/>
    <s v="[1173245, 1259187, 1173251, 1173241, 1259201, 1173240, 1063958, 1259149, 1063972, 1064066]"/>
    <s v="0.003136757278925615"/>
    <s v="[1064077, 1173245, 1259187, 1173251, 1173241, 1259201, 1173240, 1063958, 1259149, 1063972]"/>
    <s v="[0.123, 0.018, 0.008, 0.002, 0.018, 0.023, 0.023, 0.013, 0.004, 0.172]"/>
    <s v="66.24096536746238"/>
    <s v="[-0.123, 0.018, 0.008, -0.002, -0.018, -0.023, -0.023, -0.013, -0.004, 0.172]"/>
  </r>
  <r>
    <x v="3278"/>
    <x v="496"/>
    <x v="0"/>
    <n v="0"/>
    <s v="LINESTRING (10.002847328367025 59.75269389885176, 10.002758730840183 59.75268809291684, 10.002318410073231 59.75266530859667)"/>
    <s v="[1125684, 1125692]"/>
    <s v="[1064166, 1064174]"/>
    <s v="#FIELD!"/>
    <s v="[1064165, 1064166]"/>
    <s v="[0.009, 0.007]"/>
    <s v="30.47792051063062"/>
    <s v="[-0.009, -0.007]"/>
  </r>
  <r>
    <x v="3278"/>
    <x v="3942"/>
    <x v="0"/>
    <n v="0"/>
    <s v="LINESTRING (10.002847328367025 59.75269389885176, 10.002796109977513 59.75263776978631, 10.002834715423392 59.752567224286)"/>
    <s v="[1125812, 1125820]"/>
    <s v="[1064279, 1064200]"/>
    <s v="0.01833760437184508"/>
    <s v="[1064165, 1064279]"/>
    <s v="[0.014, 0.022]"/>
    <s v="15.046250404667896"/>
    <s v="[0.014, 0.022]"/>
  </r>
  <r>
    <x v="3278"/>
    <x v="3943"/>
    <x v="0"/>
    <n v="0"/>
    <m/>
    <n v="1125804"/>
    <n v="1064165"/>
    <s v="#FIELD!"/>
    <n v="1064266"/>
    <s v="0.005"/>
    <s v="15.829648477594949"/>
    <s v="#FIELD!"/>
  </r>
  <r>
    <x v="3279"/>
    <x v="3942"/>
    <x v="0"/>
    <n v="0"/>
    <s v="LINESTRING (10.002834715423392 59.752567224286, 10.00274851312623 59.75258555726059, 10.002318410073231 59.75266530859667)"/>
    <s v="[1125716, 1125724]"/>
    <s v="[1064201, 1064174]"/>
    <s v="#FIELD!"/>
    <s v="[1064200, 1064201]"/>
    <s v="[0.017, 0.016]"/>
    <s v="31.390397050812126"/>
    <s v="[-0.017, -0.016]"/>
  </r>
  <r>
    <x v="3280"/>
    <x v="3944"/>
    <x v="0"/>
    <n v="0"/>
    <s v="LINESTRING (10.002834715423392 59.752567224286, 10.002869293943721 59.75254942468084, 10.002958934511806 59.7525294413705, 10.003079265697925 59.75253883171787, 10.003165326478646 59.752582308038406)"/>
    <s v="[1125828, 1125836, 1125844, 1125852]"/>
    <s v="[1064233, 1064292, 1064220, 1064253]"/>
    <s v="0.00517882806899693"/>
    <s v="[1064200, 1064233, 1064292, 1064220]"/>
    <s v="[0.025, 0.018, 0.004, 0.012]"/>
    <s v="21.989339202782723"/>
    <s v="[0.025, 0.018, 0.004, -0.012]"/>
  </r>
  <r>
    <x v="3281"/>
    <x v="3944"/>
    <x v="0"/>
    <n v="0"/>
    <s v="LINESTRING (10.003729214604878 59.75271829611464, 10.003245448187283 59.75259959407457, 10.003165326478646 59.752582308038406)"/>
    <s v="[1125772, 1125780]"/>
    <s v="[1064248, 1064253]"/>
    <s v="0.005137851641656801"/>
    <s v="[1064212, 1064248]"/>
    <s v="[0.005, 0.006]"/>
    <s v="35.55511478072511"/>
    <s v="[0.005, 0.006]"/>
  </r>
  <r>
    <x v="3281"/>
    <x v="3943"/>
    <x v="0"/>
    <n v="0"/>
    <s v="LINESTRING (10.003729214604878 59.75271829611464, 10.00321134347873 59.752708447335394, 10.003108776417946 59.752705680843896)"/>
    <s v="[1125788, 1125796]"/>
    <s v="[1064261, 1064266]"/>
    <s v="#FIELD!"/>
    <s v="[1064212, 1064261]"/>
    <s v="[0.004, 0.005]"/>
    <s v="35.14569315399881"/>
    <s v="[-0.004, -0.005]"/>
  </r>
  <r>
    <x v="3281"/>
    <x v="3945"/>
    <x v="0"/>
    <n v="0"/>
    <s v="LINESTRING (10.009279763258789 59.752257310643785, 10.007397371690075 59.752512340367055, 10.005610748486987 59.75271145323954, 10.00512574885167 59.75273607922411, 10.004231687477944 59.752747762211136, 10.003729214604878 59.75271829611464)"/>
    <s v="[2094648, 2094669, 2094694, 2094703, 1125732]"/>
    <s v="[1812292, 1812302, 1812322, 1064211, 1064212]"/>
    <s v="#FIELD!"/>
    <s v="[1757324, 1812292, 1812302, 1812322, 1064211]"/>
    <s v="[0.013, 0.024, 0.025, 0.017, 0.003]"/>
    <s v="318.7923591948349"/>
    <s v="[0.013, -0.024, -0.025, 0.017, -0.003]"/>
  </r>
  <r>
    <x v="3282"/>
    <x v="3946"/>
    <x v="0"/>
    <n v="0"/>
    <s v="LINESTRING (8.297827996241681 58.239382171015514, 8.297746495833152 58.23936959706761, 8.29765107066734 58.2393217744881, 8.2976262198195 58.23926024648616, 8.297673559095356 58.23919000835511)"/>
    <s v="[1125738, 1125746, 1125754, 1125762]"/>
    <s v="[1064218, 1064224, 1064232, 1064239]"/>
    <s v="#FIELD!"/>
    <s v="[1064217, 1064218, 1064224, 1064232]"/>
    <s v="[0.025, 0.051, 0.057, 0.049]"/>
    <s v="28.071601164846953"/>
    <s v="[-0.025, -0.051, -0.057, -0.049]"/>
  </r>
  <r>
    <x v="3282"/>
    <x v="3935"/>
    <x v="0"/>
    <n v="0"/>
    <m/>
    <n v="1125794"/>
    <n v="1064217"/>
    <s v="0.016"/>
    <n v="1064259"/>
    <s v="0.016"/>
    <s v="15.932358775872807"/>
    <s v="0.016"/>
  </r>
  <r>
    <x v="3283"/>
    <x v="3947"/>
    <x v="0"/>
    <n v="0"/>
    <s v="LINESTRING (8.297673559095356 58.23919000835511, 8.297799254328403 58.23914812507285, 8.2979302766859 58.2391535061543)"/>
    <s v="[1125770, 1125778]"/>
    <s v="[1064246, 1064252]"/>
    <s v="#FIELD!"/>
    <s v="[1064239, 1064246]"/>
    <s v="[0.015, 0.016]"/>
    <s v="16.477327008764338"/>
    <s v="[-0.015, 0.016]"/>
  </r>
  <r>
    <x v="3283"/>
    <x v="3931"/>
    <x v="0"/>
    <n v="0"/>
    <s v="LINESTRING (8.297673559095356 58.23919000835511, 8.297708793755772 58.23913000669186, 8.297868998059961 58.23888533020548)"/>
    <s v="[1126138, 1126146]"/>
    <s v="[1064548, 1064516]"/>
    <s v="#FIELD!"/>
    <s v="[1064239, 1064548]"/>
    <s v="[0.049, 0.046]"/>
    <s v="36.210334940559086"/>
    <s v="[-0.049, -0.046]"/>
  </r>
  <r>
    <x v="3284"/>
    <x v="3935"/>
    <x v="0"/>
    <n v="0"/>
    <m/>
    <n v="1125786"/>
    <n v="1064259"/>
    <s v="0.051"/>
    <n v="1064252"/>
    <s v="0.051"/>
    <s v="21.40877921394813"/>
    <s v="0.051"/>
  </r>
  <r>
    <x v="3284"/>
    <x v="3931"/>
    <x v="0"/>
    <n v="0"/>
    <s v="LINESTRING (8.2979302766859 58.2391535061543, 8.297899513750512 58.239113352229126, 8.297868998059961 58.23888533020548)"/>
    <s v="[1126098, 1126106]"/>
    <s v="[1064509, 1064516]"/>
    <s v="#FIELD!"/>
    <s v="[1064252, 1064509]"/>
    <s v="[0.057, 0.054]"/>
    <s v="30.483945690663422"/>
    <s v="[-0.057, -0.054]"/>
  </r>
  <r>
    <x v="3285"/>
    <x v="3943"/>
    <x v="0"/>
    <n v="0"/>
    <s v="LINESTRING (10.003165326478646 59.752582308038406, 10.003178217112021 59.75265520309694, 10.003108776417946 59.752705680843896)"/>
    <s v="[1125860, 1125868]"/>
    <s v="[1064319, 1064266]"/>
    <s v="#FIELD!"/>
    <s v="[1064253, 1064319]"/>
    <s v="[0.023, 0.02]"/>
    <s v="15.007562086419261"/>
    <s v="[-0.023, -0.02]"/>
  </r>
  <r>
    <x v="3286"/>
    <x v="3941"/>
    <x v="0"/>
    <n v="0"/>
    <s v="LINESTRING (8.3945649896595 58.267488138134475, 8.394540446798493 58.26741702997593, 8.394632052403683 58.26731291554601)"/>
    <s v="[1126005, 1126013]"/>
    <s v="[1064433, 1064381]"/>
    <s v="#FIELD!"/>
    <s v="[1064427, 1064433]"/>
    <s v="[0.073, 0.078]"/>
    <s v="21.086957358825316"/>
    <s v="[-0.073, -0.078]"/>
  </r>
  <r>
    <x v="3286"/>
    <x v="3920"/>
    <x v="0"/>
    <n v="0"/>
    <s v="LINESTRING (8.394058982670414 58.26750438788165, 8.39447743520118 58.26735718595339, 8.394632052403683 58.26731291554601)"/>
    <s v="[1126050, 1126058]"/>
    <s v="[1064468, 1064381]"/>
    <s v="#FIELD!"/>
    <s v="[1064452, 1064468]"/>
    <s v="[0.055, 0.052]"/>
    <s v="40.31216448883092"/>
    <s v="[-0.055, -0.052]"/>
  </r>
  <r>
    <x v="3287"/>
    <x v="3920"/>
    <x v="0"/>
    <n v="0"/>
    <s v="LINESTRING (8.394058982670414 58.26750438788165, 8.394471819018612 58.2674757715759, 8.3945649896595 58.267488138134475)"/>
    <s v="[1126034, 1126042]"/>
    <s v="[1064453, 1064427]"/>
    <s v="#FIELD!"/>
    <s v="[1064452, 1064453]"/>
    <s v="[0.023, 0.0]"/>
    <s v="30.297649165196596"/>
    <s v="[-0.023, 0.0]"/>
  </r>
  <r>
    <x v="3288"/>
    <x v="3948"/>
    <x v="0"/>
    <n v="0"/>
    <s v="LINESTRING (8.466862293153033 58.29766014907776, 8.467990823448249 58.2978507676058, 8.47365722858141 58.29839520425672, 8.47366862881995 58.298391752885635, 8.473770328614751 58.29836492303349)"/>
    <s v="[1126547, 1126523, 1126531, 1126539]"/>
    <s v="[1064928, 1064929, 1064936, 1064945]"/>
    <s v="#FIELD!"/>
    <s v="[1064864, 1064928, 1064929, 1064936]"/>
    <s v="[0.006, 0.055, 0.035, 0.021]"/>
    <s v="423.48432005396205"/>
    <s v="[0.006, -0.055, -0.035, -0.021]"/>
  </r>
  <r>
    <x v="3288"/>
    <x v="3949"/>
    <x v="0"/>
    <n v="0"/>
    <s v="LINESTRING (8.481186390179571 58.30030366819128, 8.48012323613015 58.300120950202455, 8.47366112019444 58.29900949269568, 8.47351861750476 58.29898121992584, 8.466862293153033 58.29766014907776)"/>
    <s v="[1363954, 1363962, 1126459, 1126467]"/>
    <s v="[1259335, 1064856, 1064857, 1064864]"/>
    <s v="0.02251570983877024"/>
    <s v="[1259329, 1259335, 1064856, 1064857]"/>
    <s v="[0.004, 0.008, 0.002, 0.041]"/>
    <s v="891.6682785768434"/>
    <s v="[-0.004, 0.008, 0.002, 0.041]"/>
  </r>
  <r>
    <x v="3289"/>
    <x v="3950"/>
    <x v="0"/>
    <n v="0"/>
    <s v="LINESTRING (8.473770328614751 58.29836492303349, 8.473794243068797 58.29834736691939, 8.473910767141007 58.29830522643527, 8.474071292530411 58.29830633559131, 8.474167435872225 58.29833547526023, 8.474223242955633 58.29837696977666, 8.47425018345892 58.29842671375363, 8.474226712420561 58.29849092672908)"/>
    <s v="[1363978, 1363986, 1363994, 1364002, 1364010, 1364018, 1364026]"/>
    <s v="[1063410, 1259357, 1063397, 1259370, 1259377, 1259387, 1259395]"/>
    <s v="#FIELD!"/>
    <s v="[1064945, 1063410, 1259357, 1063397, 1259370, 1259377, 1259387]"/>
    <s v="[0.015, 0.021, 0.014, 0.003, 0.007, 0.014, 0.019]"/>
    <s v="45.38658108887654"/>
    <s v="[-0.015, -0.021, -0.014, -0.003, 0.007, 0.014, 0.019]"/>
  </r>
  <r>
    <x v="3289"/>
    <x v="3951"/>
    <x v="0"/>
    <n v="0"/>
    <m/>
    <n v="1363970"/>
    <n v="1064945"/>
    <s v="#FIELD!"/>
    <n v="1259348"/>
    <s v="0.016"/>
    <s v="18.353751496584934"/>
    <s v="#FIELD!"/>
  </r>
  <r>
    <x v="3290"/>
    <x v="3903"/>
    <x v="0"/>
    <n v="0"/>
    <s v="LINESTRING (8.480080815496661 58.30020804679977, 8.473598320999196 58.29909299409206, 8.47346573917613 58.2990666799252, 8.466812340827 58.29774627030521, 8.466168818561803 58.29761855618143)"/>
    <s v="[1126587, 1364082, 1364090, 1364098]"/>
    <s v="[1064992, 1259450, 1259459, 1259467]"/>
    <s v="0.022163988557839315"/>
    <s v="[1064985, 1064992, 1259450, 1259459]"/>
    <s v="[0.008, 0.004, 0.04, 0.018]"/>
    <s v="866.8358685321685"/>
    <s v="[0.008, 0.004, 0.04, -0.018]"/>
  </r>
  <r>
    <x v="3290"/>
    <x v="3952"/>
    <x v="0"/>
    <n v="0"/>
    <s v="LINESTRING (8.480080815496661 58.30020804679977, 8.479229629550456 58.300127899075896, 8.473443902440044 58.299718023895636, 8.473314037645109 58.29974983297707)"/>
    <s v="[1126595, 1126611, 1126619]"/>
    <s v="[1065002, 1065024, 1065033]"/>
    <s v="0.01201619316136191"/>
    <s v="[1064985, 1065002, 1065024]"/>
    <s v="[0.002, 0.014, 0.015]"/>
    <s v="406.0508564422444"/>
    <s v="[-0.002, 0.014, 0.015]"/>
  </r>
  <r>
    <x v="3290"/>
    <x v="3953"/>
    <x v="0"/>
    <s v="[0, 1, 0, 1, 0, 1, 0, 0, 1, 0, 0, 1, 0, 1, 0, 0, 0]"/>
    <s v="LINESTRING (8.54095176367103 58.322020733412906, 8.537620678690569 58.319770403084206, 8.536260205039932 58.31887910686948, 8.535726548255571 58.31853938550629, 8.535246000985403 58.318236854765, 8.525776241687698 58.313240103337925, 8.525679274373994 58.31319581283268, 8.521168715022498 58.31118545024099, 8.51887812717237 58.310187044835565, 8.518244765004367 58.30994053093871, 8.50173551855159 58.307224359977, 8.500932592816026 58.30715696919091, 8.498776655365067 58.306975957242166, 8.49250521149673 58.30571363941904, 8.49222972127052 58.305609613280154, 8.488193312972012 58.30331780323412, 8.481136796850306 58.300389776410505, 8.480080815496661 58.30020804679977)"/>
    <s v="[1146722, 1146730, 1146858, 1146866, 1146874, 1146882, 1146890, 1126355, 1126363, 1126371, 1126379, 1126387, 1126395, 1126555, 1126563, 1126571, 1126579]"/>
    <s v="[1082424, 1082432, 1082575, 1082583, 1082591, 1082597, 1064754, 1064755, 1064765, 1064773, 1064779, 1064783, 1064792, 1064964, 1064970, 1064978, 1064985]"/>
    <s v="0.0035302986179329204"/>
    <s v="[1082414, 1082424, 1082432, 1082575, 1082583, 1082591, 1082597, 1064754, 1064755, 1064765, 1064773, 1064779, 1064783, 1064792, 1064964, 1064970, 1064978]"/>
    <s v="[0.073, 0.024, 0.06, 0.023, 0.015, 0.099, 0.012, 0.048, 0.116, 0.015, 0.034, 0.052, 0.031, 0.0, 0.021, 0.016, 0.003]"/>
    <s v="4474.668131975743"/>
    <s v="[-0.073, -0.024, -0.06, -0.023, 0.015, -0.099, 0.012, -0.048, 0.116, 0.015, -0.034, 0.052, 0.031, -0.0, -0.021, 0.016, -0.003]"/>
  </r>
  <r>
    <x v="3291"/>
    <x v="3954"/>
    <x v="0"/>
    <n v="0"/>
    <s v="LINESTRING (8.473314037645109 58.29974983297707, 8.473281594563783 58.29976325873584, 8.47287386220129 58.299601524664475)"/>
    <s v="[1364146, 1364154]"/>
    <s v="[1259518, 1259524]"/>
    <s v="0.018709263166221082"/>
    <s v="[1065033, 1259518]"/>
    <s v="[0.014, 0.019]"/>
    <s v="41.67246017769574"/>
    <s v="[0.014, 0.019]"/>
  </r>
  <r>
    <x v="3291"/>
    <x v="3955"/>
    <x v="0"/>
    <n v="0"/>
    <m/>
    <n v="1364186"/>
    <n v="1065033"/>
    <s v="0.019"/>
    <n v="1259544"/>
    <s v="0.019"/>
    <s v="22.901090329693588"/>
    <s v="0.019"/>
  </r>
  <r>
    <x v="3292"/>
    <x v="3956"/>
    <x v="0"/>
    <n v="0"/>
    <s v="LINESTRING (18.348139024005032 68.86082253363827, 18.34833990189532 68.86082163022313, 18.348503513470035 68.86086384503334, 18.34856616067771 68.86093265302958, 18.348525950289172 68.86098920930719)"/>
    <s v="[1129640, 1129648, 1129656, 1129664]"/>
    <s v="[1067529, 1067537, 1067545, 1067554]"/>
    <s v="#FIELD!"/>
    <s v="[1067528, 1067529, 1067537, 1067545]"/>
    <s v="[0.078, 0.084, 0.066, 0.02]"/>
    <s v="30.772911840211115"/>
    <s v="[-0.078, -0.084, -0.066, -0.02]"/>
  </r>
  <r>
    <x v="3292"/>
    <x v="3957"/>
    <x v="0"/>
    <n v="0"/>
    <s v="LINESTRING (18.34792878301492 68.86090632463194, 18.34801846343078 68.86084951259947, 18.348139024005032 68.86082253363827)"/>
    <s v="[1129720, 1129728]"/>
    <s v="[1067608, 1067528]"/>
    <s v="#FIELD!"/>
    <s v="[1067598, 1067608]"/>
    <s v="[0.009, 0.046]"/>
    <s v="13.002735950637295"/>
    <s v="[-0.009, -0.046]"/>
  </r>
  <r>
    <x v="3292"/>
    <x v="3759"/>
    <x v="0"/>
    <n v="0"/>
    <s v="LINESTRING (18.347514131311037 68.86072735264707, 18.3480120998316 68.86080132691914, 18.348139024005032 68.86082253363827)"/>
    <s v="[1129824, 1129832]"/>
    <s v="[1067710, 1067528]"/>
    <s v="#FIELD!"/>
    <s v="[918139, 1067710]"/>
    <s v="[0.083, 0.086]"/>
    <s v="27.307859479864366"/>
    <s v="[-0.083, -0.086]"/>
  </r>
  <r>
    <x v="3293"/>
    <x v="3958"/>
    <x v="0"/>
    <n v="0"/>
    <s v="LINESTRING (18.348525950289172 68.86098920930719, 18.34840019965539 68.86103451964442, 18.348193015746606 68.86104802914282)"/>
    <s v="[1129672, 1129680]"/>
    <s v="[1067563, 1067571]"/>
    <s v="0.05706558948157807"/>
    <s v="[1067554, 1067563]"/>
    <s v="[0.037, 0.074]"/>
    <s v="15.628041228814674"/>
    <s v="[0.037, 0.074]"/>
  </r>
  <r>
    <x v="3293"/>
    <x v="1323"/>
    <x v="0"/>
    <n v="0"/>
    <s v="LINESTRING (18.348525950289172 68.86098920930719, 18.348536213462992 68.8610500155339, 18.348458552925457 68.8612839051235)"/>
    <s v="[1130008, 1130016]"/>
    <s v="[1067878, 1067779]"/>
    <s v="#FIELD!"/>
    <s v="[1067554, 1067878]"/>
    <s v="[0.044, 0.026]"/>
    <s v="33.72065792609586"/>
    <s v="[-0.044, -0.026]"/>
  </r>
  <r>
    <x v="3294"/>
    <x v="3957"/>
    <x v="0"/>
    <n v="0"/>
    <s v="LINESTRING (18.348193015746606 68.86104802914282, 18.348114646745064 68.86103978474098, 18.347974062061684 68.86099684665439, 18.34792397754622 68.86095024040844, 18.34792878301492 68.86090632463194)"/>
    <s v="[1129688, 1129696, 1129704, 1129712]"/>
    <s v="[1067582, 1067587, 1067591, 1067598]"/>
    <s v="0.06629015481670904"/>
    <s v="[1067571, 1067582, 1067587, 1067591]"/>
    <s v="[0.095, 0.084, 0.063, 0.024]"/>
    <s v="21.176397355697794"/>
    <s v="[0.095, 0.084, 0.063, 0.024]"/>
  </r>
  <r>
    <x v="3294"/>
    <x v="1323"/>
    <x v="0"/>
    <n v="0"/>
    <s v="LINESTRING (18.348193015746606 68.86104802914282, 18.348269070873727 68.86108671551501, 18.348458552925457 68.8612839051235)"/>
    <s v="[1129896, 1129904]"/>
    <s v="[1067771, 1067779]"/>
    <s v="#FIELD!"/>
    <s v="[1067571, 1067771]"/>
    <s v="[0.082, 0.063]"/>
    <s v="28.721872750378843"/>
    <s v="[-0.082, -0.063]"/>
  </r>
  <r>
    <x v="3295"/>
    <x v="3759"/>
    <x v="0"/>
    <n v="0"/>
    <s v="LINESTRING (18.347514131311037 68.86072735264707, 18.347849447147127 68.86087505714528, 18.34792878301492 68.86090632463194)"/>
    <s v="[1129792, 1129800]"/>
    <s v="[1067682, 1067598]"/>
    <s v="#FIELD!"/>
    <s v="[918139, 1067682]"/>
    <s v="[0.075, 0.078]"/>
    <s v="26.025887980257888"/>
    <s v="[-0.075, -0.078]"/>
  </r>
  <r>
    <x v="3296"/>
    <x v="3959"/>
    <x v="0"/>
    <n v="0"/>
    <m/>
    <n v="1130645"/>
    <n v="1068477"/>
    <s v="0.0"/>
    <n v="1068469"/>
    <s v="0.0"/>
    <s v="279.57815542328"/>
    <s v="0.0"/>
  </r>
  <r>
    <x v="3296"/>
    <x v="3960"/>
    <x v="0"/>
    <n v="0"/>
    <s v="LINESTRING (10.783838590688474 59.75099893721808, 10.78377471096404 59.75114168531007, 10.783901724601169 59.75204645641756)"/>
    <s v="[1141576, 1130637]"/>
    <s v="[1068468, 1068469]"/>
    <s v="0.003806939498261891"/>
    <s v="[1068550, 1068468]"/>
    <s v="[0.078, 0.017]"/>
    <s v="117.43288153702183"/>
    <s v="[-0.078, 0.017]"/>
  </r>
  <r>
    <x v="3297"/>
    <x v="3961"/>
    <x v="0"/>
    <n v="0"/>
    <m/>
    <n v="1537298"/>
    <n v="1356777"/>
    <s v="#FIELD!"/>
    <n v="1068477"/>
    <s v="0.083"/>
    <s v="125.21189405024325"/>
    <s v="#FIELD!"/>
  </r>
  <r>
    <x v="3297"/>
    <x v="3962"/>
    <x v="0"/>
    <n v="0"/>
    <s v="LINESTRING (10.783903034950123 59.75414778346159, 10.783616569785611 59.75453494637124, 10.783605238109711 59.75454184745176)"/>
    <s v="[1130661, 1130669]"/>
    <s v="[1068495, 1068477]"/>
    <s v="#FIELD!"/>
    <s v="[1068485, 1068495]"/>
    <s v="[0.085, 0.149]"/>
    <s v="47.624458272669294"/>
    <s v="[-0.085, -0.149]"/>
  </r>
  <r>
    <x v="3298"/>
    <x v="1769"/>
    <x v="0"/>
    <n v="0"/>
    <s v="LINESTRING (10.783903034950123 59.75414778346159, 10.783872404025422 59.75430999688694, 10.783815251657256 59.75477424939997, 10.783952577668678 59.75600728414538, 10.783515735753243 59.75644033694985, 10.783466159746617 59.75646685162484, 10.782954394607998 59.75671672782377, 10.782844938787083 59.75675141541357, 10.782741225836528 59.75678536135593)"/>
    <s v="[1130903, 1130911, 1130919, 1130927, 1499129, 1499151, 1499152, 1499167]"/>
    <s v="[1068717, 1068722, 1068727, 1068733, 1356737, 1356746, 1356747, 1356754]"/>
    <s v="#FIELD!"/>
    <s v="[1068485, 1068717, 1068722, 1068727, 1068733, 1356737, 1356746, 1356747]"/>
    <s v="[0.01, 0.008, 0.001, 0.119, 1.537, 0.108, 0.013, 0.007]"/>
    <s v="322.59216493295503"/>
    <s v="[-0.01, -0.008, -0.001, -0.119, -1.537, -0.108, 0.013, 0.007]"/>
  </r>
  <r>
    <x v="3298"/>
    <x v="3963"/>
    <x v="0"/>
    <n v="0"/>
    <s v="LINESTRING (10.783580168285038 59.74835799628482, 10.783619422791164 59.74845045081295, 10.783903034950123 59.75414778346159)"/>
    <s v="[1141571, 1130653]"/>
    <s v="[1068484, 1068485]"/>
    <s v="0.009725159698659565"/>
    <s v="[1068594, 1068484]"/>
    <s v="[0.054, 0.009]"/>
    <s v="653.8765369448132"/>
    <s v="[0.054, 0.009]"/>
  </r>
  <r>
    <x v="3299"/>
    <x v="3960"/>
    <x v="0"/>
    <n v="0"/>
    <s v="LINESTRING (10.78225701745209 59.744673822133365, 10.78328014222761 59.74839162109853, 10.78337466158603 59.74884115561362, 10.783836836994434 59.750991795474, 10.783838590688474 59.75099893721808)"/>
    <s v="[1130693, 1130701, 1130709, 1130717]"/>
    <s v="[1068523, 1068532, 1068539, 1068550]"/>
    <s v="#FIELD!"/>
    <s v="[1068515, 1068523, 1068532, 1068539]"/>
    <s v="[0.018, 0.023, 0.022, 0.012]"/>
    <s v="710.702456741302"/>
    <s v="[-0.018, 0.023, 0.022, -0.012]"/>
  </r>
  <r>
    <x v="3299"/>
    <x v="3964"/>
    <x v="360"/>
    <n v="0"/>
    <s v="LINESTRING (10.78225701745209 59.744673822133365, 10.782158759754271 59.74454514890477, 10.781505957471111 59.74358521651893, 10.781254522645243 59.74321067682469)"/>
    <s v="[1130887, 1503687, 1503698]"/>
    <s v="[1068704, 1359858, 1356700]"/>
    <s v="#FIELD!"/>
    <s v="[1068515, 1068704, 1359858]"/>
    <s v="[0.052, 0.053, 0.068]"/>
    <s v="172.63456038114754"/>
    <s v="[0.052, -0.053, 0.068]"/>
  </r>
  <r>
    <x v="3299"/>
    <x v="977"/>
    <x v="0"/>
    <n v="0"/>
    <s v="LINESTRING (10.7793712591359 59.740818250281244, 10.7793712591359 59.740818250281244, 10.77938162865662 59.74082542656873, 10.780438195006594 59.741629848458864, 10.780671246041091 59.7418392789645, 10.780679004912518 59.7418472433524, 10.781422427140335 59.74275692796724, 10.781427645627582 59.74276540405342, 10.782138213943936 59.74415703023775, 10.782190719275611 59.74439116087568, 10.78225701745209 59.744673822133365)"/>
    <s v="[1558519, 1558527, 1558535, 1558543, 1558551, 1558559, 1558567, 1558575, 1130677, 1130685]"/>
    <s v="[1406056, 1406064, 1406068, 1406075, 1406082, 1406089, 1406094, 1068508, 1068509, 1068515]"/>
    <s v="0.007418168771342798"/>
    <s v="[1406055, 1406056, 1406064, 1406068, 1406075, 1406082, 1406089, 1406094, 1068508, 1068509]"/>
    <s v="[0.0, 0.01, 0.011, 0.032, 0.095, 0.001, 0.025, 0.048, 0.037, 0.039]"/>
    <s v="470.59376934627323"/>
    <s v="[0.0, 0.01, -0.011, -0.032, -0.095, 0.001, 0.025, 0.048, -0.037, -0.039]"/>
  </r>
  <r>
    <x v="3300"/>
    <x v="3965"/>
    <x v="0"/>
    <s v="[0, 0, 0, 0, 0, 0, 0, 1, 1, 1, 0, 0]"/>
    <s v="LINESTRING (10.783838590688474 59.75099893721808, 10.784435762987489 59.75225955221869, 10.78457622358689 59.75245266403194, 10.810522799671386 59.75927366426962, 10.810746270275342 59.75933326368104, 10.820521576819567 59.76333862986607, 10.832330827784661 59.77208296419311, 10.832986422364854 59.772403665699336, 10.833270795269756 59.77254713116482, 10.83366622780453 59.77274662135706, 10.834745956197219 59.77329401269916, 10.835152243859529 59.77351310185199, 10.836968704552527 59.77479812419114)"/>
    <s v="[1130789, 1130570, 1130572, 1130577, 1130578, 1130975, 1130983, 1130991, 1130999, 1131007, 1131015, 1131023]"/>
    <s v="[1068403, 1068404, 1068405, 1068408, 1068409, 1068762, 1068766, 1068771, 1068776, 1068781, 1068786, 1068757]"/>
    <s v="0.01648355587327485"/>
    <s v="[1068550, 1068403, 1068404, 1068405, 1068408, 1068409, 1068762, 1068766, 1068771, 1068776, 1068781, 1068786]"/>
    <s v="[0.068, 0.119, 0.0, 0.052, 0.037, 0.009, 0.071, 0.108, 0.099, 0.078, 0.057, 0.005]"/>
    <s v="4195.557815456031"/>
    <s v="[0.068, 0.119, -0.0, 0.052, 0.037, 0.009, 0.071, 0.108, 0.099, 0.078, 0.057, 0.005]"/>
  </r>
  <r>
    <x v="3301"/>
    <x v="3963"/>
    <x v="0"/>
    <n v="0"/>
    <m/>
    <n v="1130757"/>
    <n v="1068594"/>
    <s v="#FIELD!"/>
    <n v="1068586"/>
    <s v="0.008"/>
    <s v="450.0686435080569"/>
    <s v="#FIELD!"/>
  </r>
  <r>
    <x v="3301"/>
    <x v="3966"/>
    <x v="361"/>
    <n v="0"/>
    <s v="LINESTRING (10.781784931773302 59.74258202694406, 10.782053742923363 59.74321594826689, 10.782099597062366 59.74331785909516, 10.782427018174172 59.74414554506541, 10.78242260076352 59.74436264064402)"/>
    <s v="[1537274, 1537282, 1537290, 1130879]"/>
    <s v="[1389217, 1389226, 1068698, 1068586]"/>
    <s v="0.03417919043526293"/>
    <s v="[1356687, 1389217, 1389226, 1068698]"/>
    <s v="[0.009, 0.023, 0.085, 0.029]"/>
    <s v="202.21877353788537"/>
    <s v="[-0.009, 0.023, 0.085, -0.029]"/>
  </r>
  <r>
    <x v="3302"/>
    <x v="3967"/>
    <x v="362"/>
    <s v="[0, 0, 0, 0, 0, 0, 0, 0, 0, 1, 1, 1, 0]"/>
    <s v="LINESTRING (10.783580168285038 59.74835799628482, 10.783632325639743 59.748770508334715, 10.784053163890983 59.750737271014806, 10.784552948122144 59.75179814559003, 10.78468497889461 59.75199719068414, 10.810833914043597 59.759083527705364, 10.811128166629553 59.759161669587805, 10.8209373857943 59.76320522179562, 10.832247177297681 59.771783891292586, 10.833219769412048 59.77226200624681, 10.833510985803324 59.772411065242096, 10.833915949580385 59.77261832900335, 10.835018234160662 59.77318871445289, 10.835417262347912 59.773400397376165)"/>
    <s v="[1130765, 1130773, 1130781, 1130593, 1130601, 1130615, 1130629, 1131103, 1131111, 1131119, 1131127, 1131135, 1131143]"/>
    <s v="[1068605, 1068612, 1068423, 1068424, 1068430, 1068446, 1068460, 1068863, 1068869, 1068878, 1068884, 1068893, 1068752]"/>
    <s v="0.012823403854299708"/>
    <s v="[1068594, 1068605, 1068612, 1068423, 1068424, 1068430, 1068446, 1068460, 1068863, 1068869, 1068878, 1068884, 1068893]"/>
    <s v="[0.013, 0.022, 0.06, 0.099, 0.0, 0.045, 0.032, 0.009, 0.074, 0.107, 0.099, 0.077, 0.379]"/>
    <s v="4303.825244113325"/>
    <s v="[0.013, 0.022, 0.06, 0.099, 0.0, 0.045, 0.032, 0.009, 0.074, 0.107, 0.099, 0.077, -0.379]"/>
  </r>
  <r>
    <x v="3303"/>
    <x v="3968"/>
    <x v="0"/>
    <n v="0"/>
    <s v="LINESTRING (10.840422480202228 59.78339294239928, 10.840495763568274 59.78339166763331, 10.840633539965086 59.78341671242397, 10.840757158159956 59.78352672556683, 10.84063937420809 59.78365606493751)"/>
    <s v="[1501101, 1501107, 1501115, 1501116]"/>
    <s v="[1357977, 1357979, 1357982, 1356131]"/>
    <s v="#FIELD!"/>
    <s v="[1068637, 1357977, 1357979, 1357982]"/>
    <s v="[0.837, 0.022, 0.024, 0.058]"/>
    <s v="43.17616696834878"/>
    <s v="[-0.837, -0.022, -0.024, 0.058]"/>
  </r>
  <r>
    <x v="3303"/>
    <x v="3969"/>
    <x v="0"/>
    <n v="0"/>
    <s v="LINESTRING (10.839391793474 59.78005005651285, 10.839420271283668 59.78020641817892, 10.840292355588971 59.78336603585625, 10.840422480202228 59.78339294239928)"/>
    <s v="[1130815, 1130797, 1130806]"/>
    <s v="[1068631, 1068632, 1068637]"/>
    <s v="0.017615195260345728"/>
    <s v="[1068643, 1068631, 1068632]"/>
    <s v="[0.036, 0.018, 0.041]"/>
    <s v="392.96773909012836"/>
    <s v="[0.036, 0.018, -0.041]"/>
  </r>
  <r>
    <x v="3303"/>
    <x v="3970"/>
    <x v="0"/>
    <n v="0"/>
    <s v="LINESTRING (10.84017488841511 59.78353345390626, 10.840351745029373 59.78340238999881, 10.840422480202228 59.78339294239928)"/>
    <s v="[1501146, 1501100]"/>
    <s v="[1357976, 1068637]"/>
    <s v="0.09885295682952323"/>
    <s v="[1356102, 1357976]"/>
    <s v="[0.066, 0.836]"/>
    <s v="22.49329860740575"/>
    <s v="[-0.066, 0.836]"/>
  </r>
  <r>
    <x v="3304"/>
    <x v="3971"/>
    <x v="0"/>
    <s v="[0, 0, 1, 0, 0, 0, 0]"/>
    <s v="LINESTRING (10.839391793474 59.78005005651285, 10.839229725639722 59.78229107572768, 10.839204826905505 59.783390414072564, 10.839217557796955 59.78403721821426, 10.839220872402782 59.78420544209609, 10.839417206637002 59.78767226947565, 10.839429531704239 59.78775308693235, 10.839484432462879 59.788112409355016)"/>
    <s v="[1131184, 1131192, 1506065, 1506073, 1506081, 1506109, 1506117]"/>
    <s v="[1068937, 1068944, 1361988, 1361994, 1362001, 1362029, 1362035]"/>
    <s v="0.01731181810445782"/>
    <s v="[1068643, 1068937, 1068944, 1361988, 1361994, 1362001, 1362029]"/>
    <s v="[0.046, 0.001, 0.063, 0.002, 0.019, 0.02, 0.023]"/>
    <s v="899.0406240556974"/>
    <s v="[0.046, 0.001, -0.063, 0.002, 0.019, 0.02, 0.023]"/>
  </r>
  <r>
    <x v="3304"/>
    <x v="3967"/>
    <x v="363"/>
    <n v="0"/>
    <s v="LINESTRING (10.835417262347912 59.773400397376165, 10.837193829042569 59.77470695276708, 10.837457180085416 59.77495651325962, 10.837714447593221 59.77522057200564, 10.839391793474 59.78005005651285)"/>
    <s v="[1131151, 1131159, 1131168, 1131176]"/>
    <s v="[1068907, 1068916, 1068923, 1068643]"/>
    <s v="0.03926968752731584"/>
    <s v="[1068752, 1068907, 1068916, 1068923]"/>
    <s v="[0.099, 0.015, 0.024, 0.027]"/>
    <s v="793.5399939206677"/>
    <s v="[0.099, -0.015, -0.024, 0.027]"/>
  </r>
  <r>
    <x v="3305"/>
    <x v="3889"/>
    <x v="0"/>
    <n v="0"/>
    <s v="LINESTRING (10.782527261829873 59.73912613687644, 10.782774570727156 59.73958888463675, 10.78228475106773 59.74099944135717)"/>
    <s v="[1130839, 1130847]"/>
    <s v="[1068667, 1068655]"/>
    <s v="#FIELD!"/>
    <s v="[1068661, 1068667]"/>
    <s v="[0.058, 0.04]"/>
    <s v="217.6150601825807"/>
    <s v="[-0.058, -0.04]"/>
  </r>
  <r>
    <x v="3305"/>
    <x v="3964"/>
    <x v="0"/>
    <s v="[0, 1, 0, 0]"/>
    <s v="LINESTRING (10.781254522645243 59.74321067682469, 10.780910458677578 59.74248026275065, 10.78119490684002 59.74174112763007, 10.782263092531545 59.741018337710585, 10.78228475106773 59.74099944135717)"/>
    <s v="[1503705, 1503711, 1503719, 1130823]"/>
    <s v="[1359869, 1359871, 1068654, 1068655]"/>
    <s v="#FIELD!"/>
    <s v="[1356700, 1359869, 1359871, 1068654]"/>
    <s v="[0.003, 0.026, 0.018, 0.012]"/>
    <s v="271.8013051565649"/>
    <s v="[0.003, -0.026, 0.018, -0.012]"/>
  </r>
  <r>
    <x v="3306"/>
    <x v="3972"/>
    <x v="0"/>
    <n v="0"/>
    <s v="LINESTRING (10.78098489266442 59.739985590445436, 10.781132478959677 59.740045644866406, 10.782522900223631 59.739188938014905, 10.782527261829873 59.73912613687644)"/>
    <s v="[1498963, 1498972, 1131174]"/>
    <s v="[1356642, 1068931, 1068661]"/>
    <s v="0.012270760922139586"/>
    <s v="[1356641, 1356642, 1068931]"/>
    <s v="[0.027, 0.021, 0.157]"/>
    <s v="201.43453029634625"/>
    <s v="[-0.027, 0.021, -0.157]"/>
  </r>
  <r>
    <x v="3307"/>
    <x v="3965"/>
    <x v="364"/>
    <n v="0"/>
    <s v="LINESTRING (10.836968704552527 59.77479812419114, 10.836664895259513 59.77461207969361, 10.835170654648056 59.773840699710966, 10.833524426917274 59.771785399718446, 10.833265524857062 59.770680843248584, 10.83523181838101 59.7732085735923, 10.835417262347912 59.773400397376165)"/>
    <s v="[1130967, 1131417, 1131425, 1131433, 474343, 1130959]"/>
    <s v="[1068758, 1069132, 1069141, 472738, 472748, 1068752]"/>
    <s v="#FIELD!"/>
    <s v="[1068757, 1068758, 1069132, 1069141, 472738, 472748]"/>
    <s v="[0.101, 0.024, 0.061, 0.014, 0.009, 0.01]"/>
    <s v="852.1495140040078"/>
    <s v="[0.101, -0.024, -0.061, -0.014, 0.009, 0.01]"/>
  </r>
  <r>
    <x v="3308"/>
    <x v="3973"/>
    <x v="0"/>
    <n v="0"/>
    <s v="LINESTRING (10.836968704552527 59.77479812419114, 10.837226263825373 59.77504421966646, 10.837478357906962 59.775304428412156, 10.839105843052456 59.78006056788148, 10.838953768549645 59.78225576064131)"/>
    <s v="[1131031, 1131039, 1131047, 1131055]"/>
    <s v="[1068796, 1068803, 1068808, 1068811]"/>
    <s v="0.03361830833467669"/>
    <s v="[1068757, 1068796, 1068803, 1068808]"/>
    <s v="[0.073, 0.022, 0.03, 0.044]"/>
    <s v="851.8127568300291"/>
    <s v="[0.073, -0.022, 0.03, 0.044]"/>
  </r>
  <r>
    <x v="3309"/>
    <x v="3974"/>
    <x v="0"/>
    <s v="[0, 0, 1, 0, 0, 0, 0]"/>
    <s v="LINESTRING (10.838953768549645 59.78225576064131, 10.83895207045174 59.78230084303062, 10.838922799153986 59.783395268564966, 10.838933795153197 59.784074961898284, 10.838936503913065 59.78424216858421, 10.83913287383875 59.78768802148862, 10.839145980402145 59.78776828830967, 10.839151839892324 59.78780425925283)"/>
    <s v="[1558583, 1558591, 1558599, 1558607, 1558615, 1558623, 1558631]"/>
    <s v="[1406106, 1406112, 1406120, 1406126, 1406134, 1406141, 1363690]"/>
    <s v="0.004043790866006666"/>
    <s v="[1068811, 1406106, 1406112, 1406120, 1406126, 1406134, 1406141]"/>
    <s v="[0.648, 0.0, 0.026, 0.0, 0.02, 0.002, 0.006]"/>
    <s v="618.6243881917449"/>
    <s v="[-0.648, -0.0, -0.026, -0.0, 0.02, 0.002, 0.006]"/>
  </r>
  <r>
    <x v="3309"/>
    <x v="3975"/>
    <x v="0"/>
    <s v="[0, 0, 1, 0, 0]"/>
    <s v="LINESTRING (10.8403447869854 59.783672806715266, 10.84023863240553 59.783680232963626, 10.838845848703384 59.78417864028828, 10.83883451374981 59.783722639130445, 10.838881618276728 59.782331491207515, 10.838953768549645 59.78225576064131)"/>
    <s v="[1498199, 1498206, 1498214, 1498222, 1508008]"/>
    <s v="[1356104, 1356107, 1356116, 1356124, 1068811]"/>
    <s v="0.012121255745681866"/>
    <s v="[1356103, 1356104, 1356107, 1356116, 1356124]"/>
    <s v="[0.044, 0.012, 0.003, 0.003, 0.297]"/>
    <s v="637.2993482810862"/>
    <s v="[0.044, 0.012, 0.003, -0.003, 0.297]"/>
  </r>
  <r>
    <x v="3310"/>
    <x v="3976"/>
    <x v="0"/>
    <s v="[0, 0, 1, 0, 0]"/>
    <s v="LINESTRING (10.782259279497264 59.73745829524308, 10.782290054568614 59.737540757977314, 10.78324248193426 59.73988104917615, 10.782437314103648 59.74026248370553, 10.781028454100671 59.740191829944784, 10.780846517253583 59.74016456899632)"/>
    <s v="[1131165, 1499068, 1499074, 1499084, 1499092]"/>
    <s v="[1068921, 1356707, 1356709, 1356712, 1356715]"/>
    <s v="#FIELD!"/>
    <s v="[1068920, 1068921, 1356707, 1356709, 1356712]"/>
    <s v="[0.041, 0.034, 0.004, 0.007, 0.013]"/>
    <s v="436.86163250331975"/>
    <s v="[-0.041, -0.034, -0.004, 0.007, -0.013]"/>
  </r>
  <r>
    <x v="3310"/>
    <x v="3966"/>
    <x v="0"/>
    <n v="0"/>
    <s v="LINESTRING (10.782259279497264 59.73745829524308, 10.78287358748001 59.7395938483891, 10.78240995764498 59.74102840089615, 10.782390222916094 59.74104503928537, 10.781784931773302 59.74258202694406)"/>
    <s v="[1131401, 1131409, 1131377, 1537266]"/>
    <s v="[1069115, 1069097, 1069098, 1356687]"/>
    <s v="#FIELD!"/>
    <s v="[1068920, 1069115, 1069097, 1069098]"/>
    <s v="[0.024, 0.005, 0.014, 0.071]"/>
    <s v="588.4661089151878"/>
    <s v="[-0.024, -0.005, 0.014, -0.071]"/>
  </r>
  <r>
    <x v="3311"/>
    <x v="3977"/>
    <x v="0"/>
    <n v="0"/>
    <s v="LINESTRING (7.965147159548798 58.14052865329376, 7.964771067596063 58.140452814851926, 7.964700701638204 58.14044353416331)"/>
    <s v="[1135076, 1135084]"/>
    <s v="[1071997, 1072002]"/>
    <s v="0.09758003971034092"/>
    <s v="[1071996, 1071997]"/>
    <s v="[0.093, 0.123]"/>
    <s v="28.027174567510738"/>
    <s v="[0.093, 0.123]"/>
  </r>
  <r>
    <x v="3311"/>
    <x v="3978"/>
    <x v="0"/>
    <n v="0"/>
    <s v="LINESTRING (7.965147159548798 58.14052865329376, 7.96490987914594 58.14035510327578, 7.964870320822692 58.140321250947046)"/>
    <s v="[1135092, 1135100]"/>
    <s v="[1072008, 1072019]"/>
    <s v="0.020156698971036082"/>
    <s v="[1071996, 1072008]"/>
    <s v="[0.02, 0.021]"/>
    <s v="28.333716283942525"/>
    <s v="[0.02, 0.021]"/>
  </r>
  <r>
    <x v="3311"/>
    <x v="3979"/>
    <x v="0"/>
    <n v="0"/>
    <m/>
    <n v="1138693"/>
    <n v="1071996"/>
    <s v="#FIELD!"/>
    <n v="1072147"/>
    <s v="0.021"/>
    <s v="83.81046821350407"/>
    <s v="#FIELD!"/>
  </r>
  <r>
    <x v="3312"/>
    <x v="3978"/>
    <x v="0"/>
    <n v="0"/>
    <s v="LINESTRING (7.964870320822692 58.140321250947046, 7.964810943235419 58.140393841801504, 7.964700701638204 58.14044353416331)"/>
    <s v="[1135184, 1135191]"/>
    <s v="[1072098, 1072002]"/>
    <s v="0.12420440809947714"/>
    <s v="[1072019, 1072098]"/>
    <s v="[0.106, 0.143]"/>
    <s v="17.370793196919365"/>
    <s v="[0.106, 0.143]"/>
  </r>
  <r>
    <x v="3313"/>
    <x v="3979"/>
    <x v="0"/>
    <n v="0"/>
    <s v="LINESTRING (7.9687813665095 58.14099334187536, 7.968598890363416 58.14099278573231, 7.9684245357305645 58.14098134204112, 7.966668626592722 58.1409855630997, 7.966304443209919 58.14096216403812)"/>
    <s v="[1135108, 1135109, 1138677, 1138692]"/>
    <s v="[1072029, 1072030, 1075066, 1072147]"/>
    <s v="#FIELD!"/>
    <s v="[1072028, 1072029, 1072030, 1075066]"/>
    <s v="[0.042, 0.053, 0.003, 0.005]"/>
    <s v="154.83254023236918"/>
    <s v="[-0.042, -0.053, -0.003, 0.005]"/>
  </r>
  <r>
    <x v="3313"/>
    <x v="2324"/>
    <x v="0"/>
    <n v="0"/>
    <s v="LINESTRING (7.9687813665095 58.14099334187536, 7.968453023990335 58.1409424019046, 7.965194395956504 58.14003640641602)"/>
    <s v="[1135251, 1138694]"/>
    <s v="[1072164, 1072160]"/>
    <s v="#FIELD!"/>
    <s v="[1072028, 1072164]"/>
    <s v="[0.065, 0.022]"/>
    <s v="238.31012808872137"/>
    <s v="[-0.065, -0.022]"/>
  </r>
  <r>
    <x v="3313"/>
    <x v="3980"/>
    <x v="0"/>
    <n v="0"/>
    <s v="LINESTRING (7.978469175150189 58.141441172385335, 7.977067008818923 58.1412609488415, 7.976110029587915 58.14123706649466, 7.974861155019143 58.14121845157836, 7.974788461099819 58.14121721270598, 7.974738118848901 58.14121635482526, 7.974721353780366 58.141216075736544, 7.973865874411065 58.14120580608277, 7.973113975087454 58.14119562366726, 7.973097034609944 58.14119554192868, 7.973032030025522 58.14119523242771, 7.972965807475798 58.14119418856842, 7.971060270664657 58.141165006994434, 7.9687813665095 58.14099334187536)"/>
    <s v="[1182172, 1182180, 1182188, 1182196, 1182204, 1182212, 1182220, 1182228, 1182236, 1182244, 1182252, 1182260, 1135249]"/>
    <s v="[1112245, 1112250, 1077123, 1112259, 1112265, 1112272, 1112278, 1112285, 1112290, 1077118, 1112298, 1072161, 1072028]"/>
    <s v="#FIELD!"/>
    <s v="[1112244, 1112245, 1112250, 1077123, 1112259, 1112265, 1112272, 1112278, 1112285, 1112290, 1077118, 1112298, 1072161]"/>
    <s v="[0.018, 0.047, 0.046, 0.049, 0.05, 0.062, 0.048, 0.025, 0.018, 0.033, 0.062, 0.033, 0.055]"/>
    <s v="576.1133064955965"/>
    <s v="[0.018, 0.047, 0.046, 0.049, 0.05, 0.062, 0.048, 0.025, -0.018, -0.033, -0.062, -0.033, -0.055]"/>
  </r>
  <r>
    <x v="3314"/>
    <x v="2324"/>
    <x v="0"/>
    <n v="0"/>
    <s v="LINESTRING (7.966304443209919 58.14096216403812, 7.9655113272782545 58.14020798099282, 7.965397863646469 58.140146592079226, 7.965194395956504 58.14003640641602)"/>
    <s v="[1135238, 1135239, 1135248]"/>
    <s v="[1072148, 1072149, 1072160]"/>
    <s v="#FIELD!"/>
    <s v="[1072147, 1072148, 1072149]"/>
    <s v="[0.031, 0.024, 0.022]"/>
    <s v="170.33726513460618"/>
    <s v="[-0.031, -0.024, -0.022]"/>
  </r>
  <r>
    <x v="3315"/>
    <x v="3981"/>
    <x v="0"/>
    <n v="0"/>
    <m/>
    <n v="1135250"/>
    <n v="1072163"/>
    <s v="#FIELD!"/>
    <n v="1072162"/>
    <s v="0.053"/>
    <s v="133.9655437516118"/>
    <s v="#FIELD!"/>
  </r>
  <r>
    <x v="3315"/>
    <x v="3982"/>
    <x v="0"/>
    <n v="0"/>
    <s v="LINESTRING (7.968695528410217 58.140800116531594, 7.969257475667419 58.1408969267276, 7.970814066565006 58.14102887078708, 7.9710649033969005 58.14107973892056)"/>
    <s v="[1135313, 1135314, 1135304]"/>
    <s v="[1072222, 1072215, 1072162]"/>
    <s v="0.0587884448375279"/>
    <s v="[1072217, 1072222, 1072215]"/>
    <s v="[0.067, 0.055, 0.063]"/>
    <s v="143.92276492023558"/>
    <s v="[0.067, 0.055, 0.063]"/>
  </r>
  <r>
    <x v="3315"/>
    <x v="3983"/>
    <x v="365"/>
    <n v="0"/>
    <s v="LINESTRING (7.97859783948043 58.14135934152678, 7.978491996757946 58.1413355433776, 7.976928662977246 58.1411694819576, 7.976176740198201 58.14115641457716, 7.975755907766827 58.14115108636741, 7.974981186016354 58.14113068499139, 7.974940876427053 58.14113028334872, 7.974895533017253 58.1411298283758, 7.974843385001713 58.1411293121752, 7.9748260035068155 58.141129134160664, 7.974355581550401 58.141118370897374, 7.973941477498263 58.14112347553184, 7.9730435668794115 58.14111044581679, 7.9710649033969005 58.14107973892056)"/>
    <s v="[1308229, 1184555, 1184563, 1184571, 1184579, 1184587, 1184595, 1184603, 1184611, 1184619, 1184627, 1184635, 1184643]"/>
    <s v="[1114047, 1114048, 1077099, 1114057, 1114061, 1077103, 1114074, 1114080, 1114087, 1114092, 1077094, 1114107, 1072162]"/>
    <s v="0.06152918235578396"/>
    <s v="[1217329, 1114047, 1114048, 1077099, 1114057, 1114061, 1077103, 1114074, 1114080, 1114087, 1114092, 1077094, 1114107]"/>
    <s v="[2.871, 0.022, 0.047, 0.045, 0.046, 0.053, 0.047, 0.061, 0.031, 0.048, 0.054, 0.024, 0.032]"/>
    <s v="447.3883695878488"/>
    <s v="[2.871, 0.022, 0.047, 0.045, 0.046, 0.053, 0.047, 0.061, 0.031, 0.048, 0.054, 0.024, -0.032]"/>
  </r>
  <r>
    <x v="3316"/>
    <x v="3984"/>
    <x v="0"/>
    <n v="0"/>
    <s v="LINESTRING (7.965464731612011 58.13956558244885, 7.968360108474678 58.140790158736046, 7.968821735322263 58.140910513024764)"/>
    <s v="[1138715, 1135302]"/>
    <s v="[1072213, 1072163]"/>
    <s v="0.036242891678629"/>
    <s v="[1072216, 1072213]"/>
    <s v="[0.031, 0.075]"/>
    <s v="254.84415554906323"/>
    <s v="[0.031, 0.075]"/>
  </r>
  <r>
    <x v="3316"/>
    <x v="3985"/>
    <x v="0"/>
    <n v="0"/>
    <s v="LINESTRING (7.964130643045473 58.13942914209804, 7.964130643045473 58.13942914209804, 7.965015519720306 58.13979965626653, 7.9655639032573875 58.140027732540176, 7.968515250157964 58.14086417259249, 7.968821735322263 58.140910513024764)"/>
    <s v="[1138729, 1138744, 1138745, 1138756, 1138764]"/>
    <s v="[1075117, 1075133, 1075134, 1075146, 1072163]"/>
    <s v="0.0008972108023420762"/>
    <s v="[1074456, 1075117, 1075133, 1075134, 1075146]"/>
    <s v="[0.0, 0.088, 0.0, 0.025, 0.065]"/>
    <s v="365.24903228850445"/>
    <s v="[0.0, -0.088, -0.0, 0.025, 0.065]"/>
  </r>
  <r>
    <x v="3317"/>
    <x v="3986"/>
    <x v="0"/>
    <n v="0"/>
    <s v="LINESTRING (7.959099384865436 58.13697426860805, 7.959195518873644 58.13693778548031, 7.962735127463413 58.13599032997198, 7.962775578792736 58.135953370191004)"/>
    <s v="[1135259, 1135261, 1135262]"/>
    <s v="[1072172, 1072175, 1072176]"/>
    <s v="0.00160428378134114"/>
    <s v="[1072171, 1072172, 1072175]"/>
    <s v="[0.133, 0.004, 0.08]"/>
    <s v="248.112266839618"/>
    <s v="[-0.133, 0.004, 0.08]"/>
  </r>
  <r>
    <x v="3317"/>
    <x v="3984"/>
    <x v="0"/>
    <s v="[0, 0, 0, 0, 1, 0, 0]"/>
    <s v="LINESTRING (7.959099384865436 58.13697426860805, 7.9595576588957515 58.13685742615459, 7.959868744964248 58.136790644905666, 7.960892922833165 58.13677332997074, 7.961678603897578 58.137013956109094, 7.961866752700643 58.13713131064007, 7.962020796420369 58.13725592988854, 7.965464731612011 58.13956558244885)"/>
    <s v="[1135277, 1135279, 1135287, 1135288, 1135289, 1135297, 1287420]"/>
    <s v="[1072186, 1072188, 1072196, 1072197, 1072198, 1072208, 1072216]"/>
    <s v="#FIELD!"/>
    <s v="[1072171, 1072186, 1072188, 1072196, 1072197, 1072198, 1072208]"/>
    <s v="[0.096, 0.004, 0.039, 0.044, 0.066, 0.082, 0.009]"/>
    <s v="527.7686695580373"/>
    <s v="[-0.096, 0.004, -0.039, -0.044, 0.066, 0.082, 0.009]"/>
  </r>
  <r>
    <x v="3317"/>
    <x v="3987"/>
    <x v="0"/>
    <n v="0"/>
    <s v="LINESTRING (7.956827756787796 58.13748630198922, 7.956827756787796 58.13748630198922, 7.959099384865436 58.13697426860805)"/>
    <s v="[1135300, 1135298]"/>
    <s v="[1072209, 1072171]"/>
    <s v="#FIELD!"/>
    <s v="[1072210, 1072209]"/>
    <s v="[0.0, 0.11]"/>
    <s v="161.8196825701827"/>
    <s v="[0.0, -0.11]"/>
  </r>
  <r>
    <x v="3318"/>
    <x v="2325"/>
    <x v="0"/>
    <n v="0"/>
    <s v="LINESTRING (7.962775578792736 58.135953370191004, 7.96277144260676 58.13588690154916, 7.96290127839244 58.13577595174518, 7.963118736328194 58.135744571047496, 7.963231918679245 58.1357613008451, 7.96333183603494 58.135801627826645, 7.963379373076455 58.135989823595615, 7.9632964787127145 58.136045428530934, 7.963197916225369 58.13607520102771, 7.963038762506008 58.13608295863161, 7.962878825179337 58.13604764859662)"/>
    <n v="1135337"/>
    <n v="1072176"/>
    <s v="0.131"/>
    <n v="1072243"/>
    <s v="0.131"/>
    <s v="12.15560002585712"/>
    <s v="0.131"/>
  </r>
  <r>
    <x v="3319"/>
    <x v="2327"/>
    <x v="0"/>
    <n v="0"/>
    <s v="LINESTRING (7.956827756787796 58.13748630198922, 7.955919065598367 58.1376022167232, 7.9558868813002395 58.13760554029205, 7.954842551857241 58.13768653985218, 7.953817388205574 58.13772649893336, 7.953711134699156 58.13771854486634)"/>
    <s v="[1184651, 1184659, 1184667, 1184675, 1184683]"/>
    <s v="[1114118, 1114123, 1114130, 1114133, 1114141]"/>
    <s v="0.0458027820236686"/>
    <s v="[1072210, 1114118, 1114123, 1114130, 1114133]"/>
    <s v="[0.077, 0.057, 0.043, 0.031, 0.018]"/>
    <s v="170.7380206079848"/>
    <s v="[0.077, 0.057, 0.043, 0.031, 0.018]"/>
  </r>
  <r>
    <x v="3320"/>
    <x v="3982"/>
    <x v="0"/>
    <n v="0"/>
    <m/>
    <n v="1135305"/>
    <n v="1072217"/>
    <s v="0.033"/>
    <n v="1072216"/>
    <s v="0.033"/>
    <s v="240.71554251279935"/>
    <s v="0.033"/>
  </r>
  <r>
    <x v="3321"/>
    <x v="3988"/>
    <x v="0"/>
    <n v="0"/>
    <s v="LINESTRING (7.965636625212505 58.13935121244191, 7.965636625212505 58.13935121244191, 7.965655207276222 58.139368374050626, 7.968561566908392 58.14076061204785, 7.968695528410217 58.140800116531594)"/>
    <s v="[1340660, 1340667, 1135323, 1287412]"/>
    <s v="[1243697, 1072229, 1072230, 1072217]"/>
    <s v="0.0372396753158084"/>
    <s v="[1243694, 1243697, 1072229, 1072230]"/>
    <s v="[0.0, 0.036, 0.037, 0.079]"/>
    <s v="256.98788461669284"/>
    <s v="[0.0, 0.036, 0.037, 0.079]"/>
  </r>
  <r>
    <x v="3322"/>
    <x v="3989"/>
    <x v="0"/>
    <n v="0"/>
    <s v="LINESTRING (10.330210146601035 59.73889405797879, 10.330091479905958 59.73898126808015, 10.329973567765228 59.73899793527796, 10.329863696920588 59.738986007924694, 10.329773081907812 59.73880037483931)"/>
    <s v="[1138405, 1138420, 1138442, 1138456]"/>
    <s v="[1074826, 1074833, 1074850, 1074865]"/>
    <s v="0.0005211311440559184"/>
    <s v="[1074825, 1074826, 1074833, 1074850]"/>
    <s v="[0.012, 0.008, 0.003, 0.008]"/>
    <s v="49.45551069141186"/>
    <s v="[0.012, 0.008, 0.003, -0.008]"/>
  </r>
  <r>
    <x v="3322"/>
    <x v="3990"/>
    <x v="0"/>
    <n v="0"/>
    <s v="LINESTRING (10.330129539099632 59.73878150093478, 10.330198666646046 59.73883252350263, 10.330210146601035 59.73889405797879)"/>
    <s v="[1138498, 1138506]"/>
    <s v="[1074906, 1074825]"/>
    <s v="0.007999875099313648"/>
    <s v="[1074899, 1074906]"/>
    <s v="[0.006, 0.01]"/>
    <s v="13.778486536855041"/>
    <s v="[0.006, 0.01]"/>
  </r>
  <r>
    <x v="3322"/>
    <x v="3991"/>
    <x v="0"/>
    <n v="0"/>
    <s v="LINESTRING (10.330653162337715 59.73877968741088, 10.33029009172713 59.738872017904235, 10.330210146601035 59.73889405797879)"/>
    <s v="[1138535, 1138541]"/>
    <s v="[1074944, 1074825]"/>
    <s v="0.009"/>
    <s v="[1074923, 1074944]"/>
    <s v="0.009"/>
    <s v="28.155256851220038"/>
    <s v="0.009"/>
  </r>
  <r>
    <x v="3323"/>
    <x v="3992"/>
    <x v="0"/>
    <n v="0"/>
    <s v="LINESTRING (10.329773081907812 59.73880037483931, 10.329868771703493 59.73876180656345, 10.329989501332577 59.738751490905265)"/>
    <s v="[1138480, 1138481]"/>
    <s v="[1074890, 1074891]"/>
    <s v="#FIELD!"/>
    <s v="[1074865, 1074890]"/>
    <s v="[0.011, 0.006]"/>
    <s v="13.778908737222526"/>
    <s v="[-0.011, -0.006]"/>
  </r>
  <r>
    <x v="3323"/>
    <x v="3993"/>
    <x v="0"/>
    <n v="0"/>
    <s v="LINESTRING (10.329773081907812 59.73880037483931, 10.329771619600537 59.73873244236797, 10.329756588545028 59.73860428608839, 10.32975572120961 59.73859914640146, 10.329786457493233 59.73841404910133)"/>
    <s v="[1138589, 1138597, 1138598, 1138605]"/>
    <s v="[1074995, 1074999, 1075000, 1074921]"/>
    <s v="#FIELD!"/>
    <s v="[1074865, 1074995, 1074999, 1075000]"/>
    <s v="[0.011, 0.011, 0.0, 0.011]"/>
    <s v="43.53905696873552"/>
    <s v="[-0.011, -0.011, 0.0, -0.011]"/>
  </r>
  <r>
    <x v="3324"/>
    <x v="3990"/>
    <x v="0"/>
    <n v="0"/>
    <m/>
    <n v="1138490"/>
    <n v="1074899"/>
    <s v="#FIELD!"/>
    <n v="1074891"/>
    <s v="0.0"/>
    <s v="8.559704960061053"/>
    <s v="#FIELD!"/>
  </r>
  <r>
    <x v="3324"/>
    <x v="3993"/>
    <x v="0"/>
    <n v="0"/>
    <s v="LINESTRING (10.329989501332577 59.738751490905265, 10.329929923995474 59.738703785507276, 10.329873452137598 59.73859868079921, 10.32987220742524 59.73859279912923, 10.329786457493233 59.73841404910133)"/>
    <s v="[1138555, 1138570, 1138578, 1138579]"/>
    <s v="[1074963, 1074979, 1074985, 1074921]"/>
    <s v="#FIELD!"/>
    <s v="[1074891, 1074963, 1074979, 1074985]"/>
    <s v="[0.007, 0.008, 0.018, 0.009]"/>
    <s v="39.97033211659037"/>
    <s v="[-0.007, -0.008, -0.018, -0.009]"/>
  </r>
  <r>
    <x v="3325"/>
    <x v="3991"/>
    <x v="0"/>
    <n v="0"/>
    <s v="LINESTRING (10.330653162337715 59.73877968741088, 10.330259120968556 59.73877974813373, 10.330129539099632 59.73878150093478)"/>
    <s v="[1138513, 1138524]"/>
    <s v="[1074924, 1074899]"/>
    <s v="0.005"/>
    <s v="[1074923, 1074924]"/>
    <s v="0.005"/>
    <s v="29.655870502480205"/>
    <s v="0.005"/>
  </r>
  <r>
    <x v="3326"/>
    <x v="3994"/>
    <x v="0"/>
    <n v="0"/>
    <s v="LINESTRING (10.329786457493233 59.73841404910133, 10.329602643587211 59.73793804127207, 10.329245217813027 59.73754431686362, 10.32789301147656 59.73595090640225, 10.327851588590152 59.735519589463664, 10.32782581262804 59.73528472740684, 10.327073477237425 59.73389349516059, 10.326586752351773 59.732972750562546, 10.326385900748997 59.732599852105224, 10.32624564311762 59.73245633846518, 10.325435937689955 59.732017325384305)"/>
    <s v="[1138512, 1412692, 1412708, 1412716, 1412724, 1412732, 1412744, 1412745, 1412746, 1412754]"/>
    <s v="[1074922, 1291589, 1291598, 1291601, 1279723, 1291612, 1291620, 1279878, 1291621, 1291627]"/>
    <s v="#FIELD!"/>
    <s v="[1074921, 1074922, 1291589, 1291598, 1291601, 1279723, 1291612, 1291620, 1279878, 1291621]"/>
    <s v="[0.021, 0.224, 0.072, 0.077, 0.043, 0.025, 0.012, 0.022, 0.024, 0.064]"/>
    <s v="769.8494883407484"/>
    <s v="[-0.021, -0.224, -0.072, -0.077, -0.043, -0.025, -0.012, -0.022, -0.024, -0.064]"/>
  </r>
  <r>
    <x v="3327"/>
    <x v="3995"/>
    <x v="366"/>
    <n v="0"/>
    <s v="LINESTRING (10.375827264706835 59.73952778569252, 10.342800228945723 59.736852907083325, 10.33943405813709 59.737238269790446, 10.336051708638065 59.737462576678034, 10.33214910339735 59.73845965210241, 10.330945159140516 59.73874535695851, 10.330830630335178 59.73875975288408, 10.330653162337715 59.73877968741088)"/>
    <s v="[1412626, 1412634, 1412642, 1412652, 1412655, 1412671, 1138534]"/>
    <s v="[1291539, 1291544, 1291549, 1291557, 1291559, 1074943, 1074923]"/>
    <s v="#FIELD!"/>
    <s v="[1291538, 1291539, 1291544, 1291549, 1291557, 1291559, 1074943]"/>
    <s v="[0.003, 0.015, 0.052, 0.027, 0.016, 0.147, 0.007]"/>
    <s v="3000.987958701281"/>
    <s v="[0.003, -0.015, -0.052, -0.027, -0.016, -0.147, 0.007]"/>
  </r>
  <r>
    <x v="3328"/>
    <x v="34"/>
    <x v="0"/>
    <n v="0"/>
    <m/>
    <n v="1140722"/>
    <n v="1077029"/>
    <s v="#FIELD!"/>
    <n v="1076967"/>
    <s v="0.031"/>
    <s v="3.1856710438708813"/>
    <s v="#FIELD!"/>
  </r>
  <r>
    <x v="3328"/>
    <x v="30"/>
    <x v="0"/>
    <n v="0"/>
    <s v="LINESTRING (7.937886253997099 58.14091825554052, 7.937834687955491 58.14096243074986, 7.9377345581975325 58.14098515788407)"/>
    <s v="[1140741, 1140745]"/>
    <s v="[1077060, 1076967]"/>
    <s v="0.010583102787738285"/>
    <s v="[1077009, 1077060]"/>
    <s v="[0.019, 0.003]"/>
    <s v="12.22108017746401"/>
    <s v="[0.019, 0.003]"/>
  </r>
  <r>
    <x v="3329"/>
    <x v="35"/>
    <x v="0"/>
    <n v="0"/>
    <s v="LINESTRING (7.937553453467325 58.14092407011405, 7.937548014131713 58.14087963384978, 7.937590737359 58.14083450704691, 7.93769495154896 58.14080504075745, 7.937738431805585 58.14080492776464, 7.937825624395201 58.14082374877119, 7.9378870742516705 58.140878673798724, 7.937886253997099 58.14091825554052)"/>
    <s v="[1140728, 1140729, 1140735, 1140736, 1140737, 1140739, 1140740]"/>
    <s v="[1076920, 1077049, 1076942, 1077056, 1077057, 1077059, 1077009]"/>
    <s v="0.00011460228399626201"/>
    <s v="[1077043, 1076920, 1077049, 1076942, 1077056, 1077057, 1077059]"/>
    <s v="[0.037, 0.067, 0.019, 0.004, 0.033, 0.046, 0.04]"/>
    <s v="37.23003416196591"/>
    <s v="[-0.037, -0.067, -0.019, 0.004, 0.033, 0.046, 0.04]"/>
  </r>
  <r>
    <x v="3330"/>
    <x v="35"/>
    <x v="0"/>
    <n v="0"/>
    <s v="LINESTRING (7.937680620020903 58.1409838688199, 7.937601095477632 58.140963852196094, 7.937553453467325 58.14092407011405)"/>
    <s v="[1140723, 1140727]"/>
    <s v="[1077045, 1077043]"/>
    <s v="#FIELD!"/>
    <s v="[1077029, 1077045]"/>
    <s v="[0.012, 0.003]"/>
    <s v="10.450192025694964"/>
    <s v="[-0.012, 0.003]"/>
  </r>
  <r>
    <x v="3331"/>
    <x v="3996"/>
    <x v="0"/>
    <s v="[0, 0, 0, 1, 0, 0]"/>
    <s v="LINESTRING (7.269175010988923 58.094645357124485, 7.268154519586472 58.0947301337697, 7.268139361852863 58.09472997523478, 7.267477610299026 58.094655585922496, 7.2674126556013725 58.09463475671946, 7.2673076330899145 58.09459808937883, 7.267214512200778 58.09456151711894)"/>
    <s v="[1141097, 1141100, 1141106, 1141114, 1141122, 1141130]"/>
    <s v="[284406, 1077408, 1077412, 1077421, 1077428, 1077436]"/>
    <s v="0.01184082749982962"/>
    <s v="[1077405, 284406, 1077408, 1077412, 1077421, 1077428]"/>
    <s v="[0.013, 0.013, 0.004, 0.117, 0.118, 0.146]"/>
    <s v="121.16512857892397"/>
    <s v="[-0.013, -0.013, -0.004, 0.117, 0.118, 0.146]"/>
  </r>
  <r>
    <x v="3331"/>
    <x v="3997"/>
    <x v="0"/>
    <s v="[0, 0, 0, 1, 0, 0]"/>
    <s v="LINESTRING (7.269175010988923 58.094645357124485, 7.268150698413015 58.094780863866866, 7.2681386572768325 58.09478070615633, 7.267413010529556 58.094723880824404, 7.26733912460386 58.094717477098904, 7.267241417977292 58.09471221665665, 7.267113623315974 58.09471200967482)"/>
    <s v="[1141135, 1141143, 1141152, 1141160, 1141190, 1141198]"/>
    <s v="[284407, 1077450, 1077458, 1077467, 1077500, 1077507]"/>
    <s v="0.004642987656905447"/>
    <s v="[1077405, 284407, 1077450, 1077458, 1077467, 1077500]"/>
    <s v="[0.015, 0.021, 0.006, 0.09, 0.115, 0.099]"/>
    <s v="125.59118452983331"/>
    <s v="[-0.015, -0.021, -0.006, 0.09, 0.115, 0.099]"/>
  </r>
  <r>
    <x v="3332"/>
    <x v="3997"/>
    <x v="0"/>
    <n v="0"/>
    <s v="LINESTRING (7.267214512200778 58.09456151711894, 7.267211655138157 58.094657569773936, 7.267113623315974 58.09471200967482)"/>
    <s v="[1141476, 1141477]"/>
    <s v="[1077729, 1077507]"/>
    <s v="#FIELD!"/>
    <s v="[1077436, 1077729]"/>
    <s v="[0.088, 0.011]"/>
    <s v="19.360939122849814"/>
    <s v="[-0.088, 0.011]"/>
  </r>
  <r>
    <x v="3332"/>
    <x v="3998"/>
    <x v="0"/>
    <n v="0"/>
    <s v="LINESTRING (7.266790491507317 58.09459876371043, 7.267063000032916 58.094493919315354, 7.267214512200778 58.09456151711894)"/>
    <s v="[1141468, 1141469]"/>
    <s v="[1077404, 1077436]"/>
    <s v="#FIELD!"/>
    <s v="[1077722, 1077404]"/>
    <s v="[0.024, 0.137]"/>
    <s v="34.47907627412009"/>
    <s v="[-0.024, -0.137]"/>
  </r>
  <r>
    <x v="3333"/>
    <x v="3999"/>
    <x v="0"/>
    <n v="0"/>
    <m/>
    <n v="1141425"/>
    <n v="1077692"/>
    <s v="0.086"/>
    <n v="1077507"/>
    <s v="0.086"/>
    <s v="9.436630754799472"/>
    <s v="0.086"/>
  </r>
  <r>
    <x v="3334"/>
    <x v="3298"/>
    <x v="0"/>
    <n v="0"/>
    <s v="LINESTRING (7.219321050570457 58.10782057991593, 7.219203033289324 58.107833823685326, 7.218809991977438 58.10790000252839)"/>
    <s v="[1141336, 1141344]"/>
    <s v="[1077627, 1077636]"/>
    <s v="#FIELD!"/>
    <s v="[1077626, 1077627]"/>
    <s v="[0.065, 0.048]"/>
    <s v="31.496443952634543"/>
    <s v="[-0.065, -0.048]"/>
  </r>
  <r>
    <x v="3334"/>
    <x v="4000"/>
    <x v="0"/>
    <n v="0"/>
    <s v="LINESTRING (7.219321050570457 58.10782057991593, 7.219168711267779 58.107759609534696, 7.219112521287023 58.107650213380076)"/>
    <s v="[1141492, 1141507]"/>
    <s v="[1077740, 1077662]"/>
    <s v="#FIELD!"/>
    <s v="[1077626, 1077740]"/>
    <s v="[0.114, 0.107]"/>
    <s v="23.93819674817359"/>
    <s v="[-0.114, -0.107]"/>
  </r>
  <r>
    <x v="3334"/>
    <x v="4001"/>
    <x v="0"/>
    <n v="0"/>
    <m/>
    <n v="1141484"/>
    <n v="1077626"/>
    <s v="#FIELD!"/>
    <n v="1077734"/>
    <s v="0.014"/>
    <s v="35.224885182910256"/>
    <s v="#FIELD!"/>
  </r>
  <r>
    <x v="3335"/>
    <x v="4000"/>
    <x v="0"/>
    <n v="0"/>
    <s v="LINESTRING (7.219112521287023 58.107650213380076, 7.219045753823634 58.10771835493264, 7.218809991977438 58.10790000252839)"/>
    <s v="[1141375, 1141393]"/>
    <s v="[1077663, 1077636]"/>
    <s v="0.03019989365820962"/>
    <s v="[1077662, 1077663]"/>
    <s v="[0.048, 0.024]"/>
    <s v="33.16775240308432"/>
    <s v="[0.048, 0.024]"/>
  </r>
  <r>
    <x v="3336"/>
    <x v="4002"/>
    <x v="0"/>
    <n v="0"/>
    <s v="LINESTRING (7.219112521287023 58.107650213380076, 7.219142458898204 58.107587476198105, 7.219245921394073 58.10752122726541, 7.2194379714646875 58.10748846714935, 7.219557889667183 58.10750106195581)"/>
    <s v="[1141516, 1141537, 1141538, 1141552]"/>
    <s v="[1077760, 1077784, 1077785, 1077794]"/>
    <s v="0.014337696365487165"/>
    <s v="[1077662, 1077760, 1077784, 1077785]"/>
    <s v="[0.062, 0.021, 0.045, 0.087]"/>
    <s v="35.96205329652171"/>
    <s v="[-0.062, -0.021, 0.045, 0.087]"/>
  </r>
  <r>
    <x v="3337"/>
    <x v="3998"/>
    <x v="0"/>
    <n v="0"/>
    <s v="LINESTRING (7.26695491784666 58.09472126096514, 7.266845031103118 58.09468542362018, 7.266790491507317 58.09459876371043)"/>
    <s v="[1141461, 1141462]"/>
    <s v="[1077721, 1077722]"/>
    <s v="0.1249240848858944"/>
    <s v="[1077692, 1077721]"/>
    <s v="[0.118, 0.13]"/>
    <s v="18.032564162851514"/>
    <s v="[0.118, 0.13]"/>
  </r>
  <r>
    <x v="3337"/>
    <x v="4001"/>
    <x v="0"/>
    <s v="[0, 0, 0, 1, 0, 1, 0, 0, 0, 0, 0]"/>
    <s v="LINESTRING (7.26695491784666 58.09472126096514, 7.266868051384207 58.094746630308826, 7.265573119364577 58.09536374211193, 7.252925337209475 58.098890243393065, 7.252126682591455 58.09901329870042, 7.245761106682098 58.10106087436577, 7.2456624885702325 58.10109903004496, 7.233176857412604 58.104511822285595, 7.232412552219014 58.104701170063905, 7.224453214402095 58.106518695988626, 7.219832960746694 58.107619397831485, 7.219759614588198 58.1076737155661)"/>
    <s v="[1141688, 1141696, 1141704, 1141705, 1141720, 1141721, 1141642, 1141650, 1141672, 1141673, 1141680]"/>
    <s v="[1077901, 1077908, 1077914, 1077915, 1077932, 1077868, 1077869, 1077875, 1077890, 1077891, 1077734]"/>
    <s v="0.035808197464587105"/>
    <s v="[1077692, 1077901, 1077908, 1077914, 1077915, 1077932, 1077868, 1077869, 1077875, 1077890, 1077891]"/>
    <s v="[0.022, 0.021, 0.033, 0.003, 0.038, 0.054, 0.067, 0.104, 0.0, 0.029, 0.027]"/>
    <s v="3167.9038680773187"/>
    <s v="[0.022, -0.021, 0.033, 0.003, 0.038, 0.054, 0.067, 0.104, -0.0, 0.029, 0.027]"/>
  </r>
  <r>
    <x v="3338"/>
    <x v="4002"/>
    <x v="0"/>
    <s v="[0, 0, 0, 1, 0, 1, 0, 0, 0, 0, 0]"/>
    <s v="LINESTRING (7.266790491507317 58.09459876371043, 7.2667209081207815 58.09464605669593, 7.265503786834006 58.0953065436624, 7.252895085748051 58.098828239414495, 7.252091324637598 58.098952064424, 7.245753954885916 58.10098440916756, 7.245651980728 58.10102389260248, 7.233127804262672 58.104453349614865, 7.23235649578196 58.10464434203152, 7.224425099069926 58.106456084046684, 7.219660567566219 58.10748581174215, 7.219557889667183 58.10750106195581)"/>
    <s v="[1141569, 1141581, 1141582, 1141597, 1141598, 1141605, 1141613, 1141621, 1141622, 1141629, 1141634]"/>
    <s v="[1077806, 1077815, 1077816, 1077828, 1077829, 1077836, 1077844, 1077851, 1077852, 1077858, 1077794]"/>
    <s v="0.03408842904301056"/>
    <s v="[1077722, 1077806, 1077815, 1077816, 1077828, 1077829, 1077836, 1077844, 1077851, 1077852, 1077858]"/>
    <s v="[0.021, 0.03, 0.032, 0.005, 0.04, 0.054, 0.066, 0.103, 0.001, 0.017, 0.053]"/>
    <s v="3167.6758653182605"/>
    <s v="[-0.021, -0.03, 0.032, 0.005, 0.04, 0.054, 0.066, 0.103, 0.001, 0.017, -0.053]"/>
  </r>
  <r>
    <x v="3339"/>
    <x v="4002"/>
    <x v="0"/>
    <n v="0"/>
    <s v="LINESTRING (7.219557889667183 58.10750106195581, 7.219706309437621 58.107565065076926, 7.219759614588198 58.1076737155661)"/>
    <s v="[1141553, 1141561]"/>
    <s v="[1077795, 1077734]"/>
    <s v="0.10983366976310922"/>
    <s v="[1077794, 1077795]"/>
    <s v="[0.122, 0.099]"/>
    <s v="24.013173784878937"/>
    <s v="[0.122, 0.099]"/>
  </r>
  <r>
    <x v="3340"/>
    <x v="3216"/>
    <x v="0"/>
    <s v="[0, 0, 0, 0, 0, 1, 0, 0, 1, 0, 0]"/>
    <s v="LINESTRING (8.74248350818154 58.472332304570706, 8.742126768205026 58.47191633707489, 8.741211614177308 58.470990019566756, 8.734368223600923 58.466353952839995, 8.734359628279226 58.4663492445729, 8.731266846560466 58.46483992260916, 8.728856489791614 58.46384185880325, 8.728665902532487 58.46376812131397, 8.728052514710804 58.46353501124593, 8.72796532259648 58.463502632766804, 8.726227151853756 58.462881193235546, 8.725928731089438 58.462781595958205)"/>
    <s v="[1146181, 1146189, 1146197, 1146205, 1146213, 1146221, 1146229, 1146237, 1146245, 1146253, 1146261]"/>
    <s v="[1081980, 1081989, 1081998, 1082006, 1082013, 1082020, 1082025, 1082032, 1082037, 1082043, 1081920]"/>
    <s v="0.0008324800897343517"/>
    <s v="[1081908, 1081980, 1081989, 1081998, 1082006, 1082013, 1082020, 1082025, 1082032, 1082037, 1082043]"/>
    <s v="[0.016, 0.025, 0.004, 0.048, 0.003, 0.062, 0.038, 0.069, 0.072, 0.055, 0.035]"/>
    <s v="1457.4155543329703"/>
    <s v="[0.016, 0.025, -0.004, 0.048, 0.003, -0.062, -0.038, 0.069, 0.072, 0.055, 0.035]"/>
  </r>
  <r>
    <x v="3340"/>
    <x v="3212"/>
    <x v="0"/>
    <n v="0"/>
    <s v="LINESTRING (8.745805351227501 58.475440443534914, 8.743804424562354 58.473870599075134, 8.742725622666814 58.472592288109475, 8.74248350818154 58.472332304570706)"/>
    <s v="[2132669, 1146165, 1146173]"/>
    <s v="[1081962, 1081963, 1081908]"/>
    <s v="0.011258258925451367"/>
    <s v="[1834417, 1081962, 1081963]"/>
    <s v="[0.042, 0.016, 0.058]"/>
    <s v="399.11484789046693"/>
    <s v="[0.042, -0.016, -0.058]"/>
  </r>
  <r>
    <x v="3341"/>
    <x v="3217"/>
    <x v="0"/>
    <s v="[0, 0, 0, 0, 1, 0]"/>
    <s v="LINESTRING (8.741316255728693 58.470958490565216, 8.739021526023606 58.46917951478794, 8.734443067818512 58.466316474709934, 8.734434289351224 58.46631182951499, 8.731330795386988 58.46481099876664, 8.728954424849649 58.463825681466844, 8.728836242286722 58.46377917434593)"/>
    <s v="[1146397, 1146405, 1146413, 1146421, 1146429, 1146437]"/>
    <s v="[1082159, 1082168, 1082176, 1082185, 1082192, 1081930]"/>
    <s v="#FIELD!"/>
    <s v="[1081914, 1082159, 1082168, 1082176, 1082185, 1082192]"/>
    <s v="[0.005, 0.006, 0.056, 0.003, 0.062, 0.051]"/>
    <s v="1089.8207309451575"/>
    <s v="[0.005, -0.006, -0.056, 0.003, -0.062, -0.051]"/>
  </r>
  <r>
    <x v="3341"/>
    <x v="3213"/>
    <x v="0"/>
    <n v="0"/>
    <s v="LINESTRING (8.745898133546815 58.47543680653798, 8.745748424332257 58.47533943136727, 8.743876983307356 58.4738541580297, 8.742802600748876 58.472575442718245, 8.742587369037961 58.472309021583015, 8.742228756181326 58.471891116502725, 8.741316255728693 58.470958490565216)"/>
    <s v="[2132701, 2132709, 1146365, 1146373, 1146381, 1146389]"/>
    <s v="[1834467, 1082131, 1082132, 1082141, 1082148, 1081914]"/>
    <s v="0.010983920963080606"/>
    <s v="[1834398, 1834467, 1082131, 1082132, 1082141, 1082148]"/>
    <s v="[0.003, 0.043, 0.014, 0.056, 0.025, 0.025]"/>
    <s v="568.9003285198663"/>
    <s v="[0.003, 0.043, -0.014, -0.056, -0.025, 0.025]"/>
  </r>
  <r>
    <x v="3342"/>
    <x v="3215"/>
    <x v="0"/>
    <s v="[0, 1, 0, 0]"/>
    <s v="LINESTRING (8.725928731089438 58.462781595958205, 8.721901055984555 58.46147935485139, 8.721463159871046 58.46133625661324, 8.720310560009091 58.46095581098299, 8.719615736178588 58.46072437338986)"/>
    <s v="[1146269, 1146277, 1146285, 1146293]"/>
    <s v="[1082055, 1082063, 1082068, 1081938]"/>
    <s v="#FIELD!"/>
    <s v="[1081920, 1082055, 1082063, 1082068]"/>
    <s v="[0.001, 0.024, 0.014, 0.021]"/>
    <s v="434.469007979107"/>
    <s v="[0.001, -0.024, -0.014, 0.021]"/>
  </r>
  <r>
    <x v="3343"/>
    <x v="3209"/>
    <x v="0"/>
    <s v="[0, 1, 0, 0, 0, 1, 0, 0, 0]"/>
    <s v="LINESTRING (8.728836242286722 58.46377917434593, 8.728064774037813 58.463483738719255, 8.727977102838649 58.463451156609494, 8.72628172545828 58.46284693935335, 8.72597499010648 58.46274443927829, 8.72194546259994 58.46144055950558, 8.721509557798221 58.46129882010271, 8.720397032857264 58.46093087251775, 8.719726824834039 58.460706697403985, 8.719183290170351 58.46052020363819)"/>
    <s v="[1146445, 1146453, 1146461, 1146469, 1146477, 1146485, 1146493, 1146501, 1146509]"/>
    <s v="[1082203, 1082209, 1082214, 1082222, 1082229, 1082233, 1082241, 1082244, 1081944]"/>
    <s v="0.016455253238965014"/>
    <s v="[1081930, 1082203, 1082209, 1082214, 1082222, 1082229, 1082233, 1082241, 1082244]"/>
    <s v="[0.062, 0.065, 0.054, 0.035, 0.002, 0.024, 0.014, 0.021, 0.006]"/>
    <s v="671.2775073943143"/>
    <s v="[0.062, 0.065, 0.054, 0.035, 0.002, -0.024, -0.014, 0.021, 0.006]"/>
  </r>
  <r>
    <x v="3344"/>
    <x v="3751"/>
    <x v="0"/>
    <s v="[0, 0, 1, 0]"/>
    <s v="LINESTRING (8.719615736178588 58.46072437338986, 8.719114048953573 58.46055122085996, 8.71403693397209 58.45856802934239, 8.713857932474028 58.45848231047112, 8.711451657693091 58.457147082249826)"/>
    <s v="[1146301, 1146309, 1146317, 1146325]"/>
    <s v="[1082082, 1082087, 1082095, 1081951]"/>
    <s v="#FIELD!"/>
    <s v="[1081938, 1082082, 1082087, 1082095]"/>
    <s v="[0.005, 0.023, 0.029, 0.025]"/>
    <s v="624.8416485755855"/>
    <s v="[0.005, -0.023, -0.029, 0.025]"/>
  </r>
  <r>
    <x v="3345"/>
    <x v="4003"/>
    <x v="0"/>
    <s v="[0, 0, 1, 0, 0, 0, 0]"/>
    <s v="LINESTRING (8.711451657693091 58.457147082249826, 8.711200236438097 58.457002407133395, 8.71084827208824 58.456783534247265, 8.710761631663964 58.456721882362395, 8.710013221249929 58.45614603176231, 8.708973985240847 58.45591780137444, 8.708866072354542 58.45594580096501, 8.708777015149014 58.45597654823854)"/>
    <s v="[1146157, 1750371, 1750378, 1750396, 1750405, 1750423, 1750431]"/>
    <s v="[1081952, 1550980, 1550985, 1550992, 1550997, 1551002, 1550910]"/>
    <s v="#FIELD!"/>
    <s v="[1081951, 1081952, 1550980, 1550985, 1550992, 1550997, 1551002]"/>
    <s v="[0.025, 0.073, 0.013, 0.012, 0.008, 0.029, 0.03]"/>
    <s v="224.9482222919959"/>
    <s v="[0.025, -0.073, 0.013, 0.012, -0.008, -0.029, -0.03]"/>
  </r>
  <r>
    <x v="3346"/>
    <x v="3953"/>
    <x v="0"/>
    <s v="[0, 0, 0, 1, 0, 0]"/>
    <s v="LINESTRING (8.546401936307683 58.328087394873904, 8.545456780444852 58.325543271762136, 8.545407678904056 58.32547944458087, 8.54229728576274 58.32293229152369, 8.542236901922735 58.322890859910906, 8.541440968460773 58.3223519614812, 8.54095176367103 58.322020733412906)"/>
    <s v="[1146673, 1146681, 1146689, 1146697, 1146706, 1146714]"/>
    <s v="[1082373, 1082381, 1082390, 1082396, 1082404, 1082414]"/>
    <s v="0.003140838631607018"/>
    <s v="[1082364, 1082373, 1082381, 1082390, 1082396, 1082404]"/>
    <s v="[0.029, 0.025, 0.014, 0.007, 0.004, 0.037]"/>
    <s v="766.0687011798717"/>
    <s v="[0.029, 0.025, -0.014, -0.007, 0.004, -0.037]"/>
  </r>
  <r>
    <x v="3346"/>
    <x v="4004"/>
    <x v="0"/>
    <n v="0"/>
    <s v="LINESTRING (8.546401936307683 58.328087394873904, 8.546279779808085 58.32765906082159, 8.544426510133228 58.32579237156295, 8.544354617077238 58.32577252529389)"/>
    <s v="[1629701, 1629717, 1629725]"/>
    <s v="[1457365, 1457379, 1457385]"/>
    <s v="#FIELD!"/>
    <s v="[1082364, 1457365, 1457379]"/>
    <s v="[0.023, 0.001, 0.027]"/>
    <s v="303.99860733883617"/>
    <s v="[-0.023, -0.001, 0.027]"/>
  </r>
  <r>
    <x v="3347"/>
    <x v="4005"/>
    <x v="0"/>
    <s v="[0, 0, 1, 0, 0]"/>
    <s v="LINESTRING (8.544215440219755 58.32553096765601, 8.544288674146005 58.32550214304632, 8.542217711720378 58.32295592956853, 8.54215734490127 58.32291449877883, 8.541160695589252 58.32221392181316, 8.54095176367103 58.322020733412906)"/>
    <s v="[1146898, 1146906, 1146914, 1146922, 1146970]"/>
    <s v="[1082611, 1082616, 1082622, 1082629, 1082414]"/>
    <s v="#FIELD!"/>
    <s v="[1082610, 1082611, 1082616, 1082622, 1082629]"/>
    <s v="[0.018, 0.024, 0.013, 0.003, 0.056]"/>
    <s v="456.99470135788783"/>
    <s v="[0.018, -0.024, -0.013, -0.003, -0.056]"/>
  </r>
  <r>
    <x v="3348"/>
    <x v="3949"/>
    <x v="0"/>
    <s v="[0, 0, 1, 0, 1, 0, 1, 0, 0, 1, 0, 0, 1, 0, 1, 0, 0]"/>
    <s v="LINESTRING (8.541568494130924 58.32229159018717, 8.541078623799569 58.321959320058156, 8.537728000522948 58.31969667087414, 8.536381543054176 58.31881203173177, 8.535923080296032 58.31851972166932, 8.535428164353506 58.318208716302365, 8.525804283746815 58.313132987748716, 8.525709193728758 58.313090594160926, 8.521278839493224 58.31111700852615, 8.518791896638879 58.31004031116845, 8.518129748366537 58.30978840477925, 8.501761402689157 58.30713555824808, 8.500963620425615 58.30706859211788, 8.498801683650482 58.30688710319902, 8.492605873376297 58.30564114382897, 8.492327835888664 58.30553617706253, 8.488309105364088 58.303249381381235, 8.481186390179571 58.30030366819128)"/>
    <s v="[1146786, 1146794, 1146802, 1146810, 1146818, 1146826, 1146834, 1146842, 1126403, 1126411, 1126419, 1126427, 1126435, 1126443, 1363930, 1363938, 1363946]"/>
    <s v="[1082492, 1082502, 1082513, 1082520, 1082531, 1082542, 1082550, 1064800, 1064801, 1064811, 1064818, 1064828, 1064836, 1064844, 1259316, 1259321, 1259329]"/>
    <s v="0.0032635880939430174"/>
    <s v="[1082487, 1082492, 1082502, 1082513, 1082520, 1082531, 1082542, 1082550, 1064800, 1064801, 1064811, 1064818, 1064828, 1064836, 1064844, 1259316, 1259321]"/>
    <s v="[0.035, 0.073, 0.019, 0.063, 0.028, 0.014, 0.096, 0.018, 0.045, 0.117, 0.013, 0.041, 0.053, 0.032, 0.008, 0.021, 0.016]"/>
    <s v="4461.749450559825"/>
    <s v="[-0.035, -0.073, -0.019, -0.063, -0.028, 0.014, -0.096, 0.018, -0.045, 0.117, 0.013, -0.041, 0.053, 0.032, 0.008, -0.021, 0.016]"/>
  </r>
  <r>
    <x v="3349"/>
    <x v="4006"/>
    <x v="0"/>
    <n v="0"/>
    <m/>
    <n v="1629750"/>
    <n v="1457404"/>
    <s v="#FIELD!"/>
    <n v="1082610"/>
    <s v="0.842"/>
    <s v="16.285703466138013"/>
    <s v="#FIELD!"/>
  </r>
  <r>
    <x v="3349"/>
    <x v="4004"/>
    <x v="0"/>
    <n v="0"/>
    <s v="LINESTRING (8.544354617077238 58.32577252529389, 8.544184022048723 58.32578874337387, 8.544215440219755 58.32553096765601)"/>
    <s v="[1629734, 1629742]"/>
    <s v="[1082696, 1082610]"/>
    <s v="0.2555872556823932"/>
    <s v="[1457385, 1082696]"/>
    <s v="[0.039, 0.309]"/>
    <s v="51.41723007849605"/>
    <s v="[0.039, 0.309]"/>
  </r>
  <r>
    <x v="3350"/>
    <x v="3514"/>
    <x v="0"/>
    <n v="0"/>
    <s v="LINESTRING (23.271577552665452 69.96896616246913, 23.271441298166383 69.96894054216592, 23.271366612648155 69.96890200530466, 23.271347173083722 69.96886314170396, 23.27139477225135 69.96880920723089)"/>
    <s v="[1164233, 1164241, 1164249, 1164257]"/>
    <s v="[982887, 1098277, 1009357, 1083738]"/>
    <s v="#FIELD!"/>
    <s v="[1083744, 982887, 1098277, 1009357]"/>
    <s v="[0.382, 0.018, 0.025, 0.398]"/>
    <s v="21.807903937539244"/>
    <s v="[0.382, -0.018, -0.025, -0.398]"/>
  </r>
  <r>
    <x v="3351"/>
    <x v="3520"/>
    <x v="0"/>
    <n v="0"/>
    <s v="LINESTRING (23.283269177126034 69.97293811294624, 23.283022381483022 69.97291252943215, 23.282945803064116 69.97287899327885, 23.28290904221479 69.97283142309202, 23.282924941135633 69.97279063191111)"/>
    <s v="[1164329, 1164337, 1164345, 1164353]"/>
    <s v="[1009001, 1098350, 1097148, 1083785]"/>
    <s v="#FIELD!"/>
    <s v="[1083792, 1009001, 1098350, 1097148]"/>
    <s v="[0.022, 0.025, 0.062, 0.075]"/>
    <s v="24.947123408679737"/>
    <s v="[0.022, -0.025, -0.062, -0.075]"/>
  </r>
  <r>
    <x v="3352"/>
    <x v="3526"/>
    <x v="0"/>
    <n v="0"/>
    <s v="LINESTRING (23.292216501660974 69.97695446966186, 23.292093487354478 69.97694568772403, 23.291983366877798 69.97691767857722, 23.291907851521874 69.97685875648055, 23.291927901188554 69.97680990443605)"/>
    <s v="[1164425, 1164433, 1164441, 1164449]"/>
    <s v="[982790, 1098427, 1009263, 1083816]"/>
    <s v="0.04581797744779025"/>
    <s v="[1083821, 982790, 1098427, 1009263]"/>
    <s v="[0.064, 0.064, 0.044, 0.015]"/>
    <s v="22.74814343559783"/>
    <s v="[0.064, 0.064, 0.044, 0.015]"/>
  </r>
  <r>
    <x v="3353"/>
    <x v="3450"/>
    <x v="0"/>
    <n v="0"/>
    <s v="LINESTRING (23.37382084245351 69.96939432252395, 23.373867074731823 69.9694474636104, 23.373838705149172 69.96949220682383, 23.373732426559883 69.96953277747845, 23.37360918230475 69.96954829417973)"/>
    <s v="[1164529, 1164537, 1164545, 1164553]"/>
    <s v="[982905, 1098514, 1009380, 1083864]"/>
    <s v="0.025858730605176353"/>
    <s v="[1083874, 982905, 1098514, 1009380]"/>
    <s v="[0.011, 0.023, 0.035, 0.036]"/>
    <s v="22.417799796836547"/>
    <s v="[0.011, 0.023, 0.035, 0.036]"/>
  </r>
  <r>
    <x v="3354"/>
    <x v="3455"/>
    <x v="0"/>
    <n v="0"/>
    <s v="LINESTRING (24.9799429913976 70.05129000606428, 24.98014295334473 70.05135556156807, 24.98016952981702 70.0514082269132, 24.980126846488012 70.05146053962756, 24.979988456312014 70.05150782360808)"/>
    <s v="[1164601, 1164609, 1164617, 1164625]"/>
    <s v="[1096820, 1098575, 1084526, 1096891]"/>
    <s v="#FIELD!"/>
    <s v="[1083926, 1096820, 1098575, 1084526]"/>
    <s v="[0.026, 0.018, 0.009, 0.226]"/>
    <s v="30.28312138504889"/>
    <s v="[-0.026, -0.018, -0.009, -0.226]"/>
  </r>
  <r>
    <x v="3355"/>
    <x v="3539"/>
    <x v="0"/>
    <n v="0"/>
    <m/>
    <n v="1163574"/>
    <n v="1083965"/>
    <s v="0.128"/>
    <n v="1083972"/>
    <s v="0.128"/>
    <s v="4.480903926600575"/>
    <s v="0.128"/>
  </r>
  <r>
    <x v="3356"/>
    <x v="3545"/>
    <x v="0"/>
    <n v="0"/>
    <s v="LINESTRING (25.51143429507745 69.47190251218385, 25.511365571380715 69.47194667047245, 25.511211599248018 69.47197704292887, 25.51106913013279 69.47197837334546, 25.51091386165826 69.47194914621265)"/>
    <s v="[1164721, 1164729, 1164737, 1164745]"/>
    <s v="[983094, 1098665, 991520, 1084007]"/>
    <s v="0.007014490431467812"/>
    <s v="[1084015, 983094, 1098665, 991520]"/>
    <s v="[0.045, 0.019, 0.004, 0.027]"/>
    <s v="25.047328041079563"/>
    <s v="[0.045, 0.019, -0.004, -0.027]"/>
  </r>
  <r>
    <x v="3357"/>
    <x v="4007"/>
    <x v="0"/>
    <n v="0"/>
    <s v="LINESTRING (28.555917648650492 70.17283427197547, 28.555861480235862 70.17285527808303, 28.555732539804026 70.17287446283761, 28.55556919405577 70.17286357493651, 28.55550225691712 70.1728446227692)"/>
    <s v="[1164817, 1164825, 1164833, 1164841]"/>
    <s v="[991550, 1098728, 983119, 1084100]"/>
    <s v="0.011812768122384564"/>
    <s v="[1084189, 991550, 1098728, 983119]"/>
    <s v="[0.998, 0.039, 0.026, 0.909]"/>
    <s v="18.151660579162552"/>
    <s v="[-0.998, 0.039, 0.026, 0.909]"/>
  </r>
  <r>
    <x v="3358"/>
    <x v="4008"/>
    <x v="0"/>
    <n v="0"/>
    <m/>
    <n v="1164793"/>
    <n v="1096451"/>
    <s v="#FIELD!"/>
    <n v="1084109"/>
    <s v="0.564"/>
    <s v="6.084817171007613"/>
    <s v="#FIELD!"/>
  </r>
  <r>
    <x v="3358"/>
    <x v="3494"/>
    <x v="0"/>
    <n v="0"/>
    <s v="LINESTRING (28.555520810405834 70.1727216575563, 28.555666749436877 70.17269841444771, 28.555823861727834 70.17270886553747)"/>
    <s v="[1164777, 1164785]"/>
    <s v="[1098697, 1084109]"/>
    <s v="0.24699032415207106"/>
    <s v="[1096376, 1098697]"/>
    <s v="[0.046, 0.542]"/>
    <s v="12.201706604409742"/>
    <s v="[-0.046, 0.542]"/>
  </r>
  <r>
    <x v="3359"/>
    <x v="4009"/>
    <x v="0"/>
    <n v="0"/>
    <s v="LINESTRING (29.995755616226337 69.68669365163059, 29.996936681017683 69.68683697281175, 29.997031095978524 69.68685453467376)"/>
    <s v="[1148668, 1148679]"/>
    <s v="[1084137, 1084149]"/>
    <s v="#FIELD!"/>
    <s v="[1084136, 1084137]"/>
    <s v="[0.0, 0.001]"/>
    <s v="53.001949699090055"/>
    <s v="[0.0, -0.001]"/>
  </r>
  <r>
    <x v="3359"/>
    <x v="4010"/>
    <x v="0"/>
    <n v="0"/>
    <s v="LINESTRING (29.995755616226337 69.68669365163059, 29.996983626606767 69.6867356669937, 29.99712669426675 69.68673015920479)"/>
    <s v="[1161908, 1161916]"/>
    <s v="[1096400, 1096407]"/>
    <s v="#FIELD!"/>
    <s v="[1084136, 1096400]"/>
    <s v="[0.018, 0.001]"/>
    <s v="53.60151077857936"/>
    <s v="[-0.018, -0.001]"/>
  </r>
  <r>
    <x v="3359"/>
    <x v="3435"/>
    <x v="0"/>
    <s v="[0, 0, 0, 0, 0, 0, 0, 0, 0, 0, 0, 0, 0, 1, 0, 0, 0, 0, 0, 0, 0, 0, 0, 0, 0, 0, 0, 0, 0, 0, 0, 0, 0, 0, 0, 0, 0, 0, 0, 0, 0, 0, 0]"/>
    <s v="LINESTRING (29.87237081743274 69.71821964683545, 29.872467725459813 69.71818096989452, 29.87289554381376 69.71801036182083, 29.873812389432747 69.71764881003918, 29.87963055807714 69.71535260728581, 29.883129561736 69.71420183816846, 29.883793954196527 69.71407643451329, 29.902496071665997 69.71395783322339, 29.908433226837914 69.71261529807954, 29.909319524473577 69.71222336947343, 29.911887523194586 69.70844585668317, 29.9208618600534 69.70034355618306, 29.9243995739606 69.7009428146996, 29.928230184370936 69.70074921833299, 29.929539304727943 69.70032474039951, 29.93049997689852 69.70007367046935, 29.93184699362483 69.70002731196314, 29.945390237030505 69.70031341823778, 29.946688061163506 69.69942518728243, 29.95021918438822 69.69765722316122, 29.950620947338184 69.6975256990601, 29.951817357125037 69.6971383363551, 29.96017492252483 69.69623847666871, 29.96107404387222 69.69625675730114, 29.97064568538174 69.69368785324687, 29.972642309021225 69.69285821740964, 29.97269082924024 69.69284115446344, 29.975432527244802 69.6920248853436, 29.975955752297924 69.6918894115312, 29.981255331666237 69.6905035506755, 29.983481259025574 69.68992134990576, 29.987883935327005 69.68768063547438, 29.988012658548598 69.6876406397117, 29.988177428601 69.68759099822536, 29.988354985175665 69.68754327994304, 29.988795465194794 69.68743753184944, 29.989213329958194 69.68734542243868, 29.98938591435685 69.68730656235563, 29.989642498792893 69.68725047465061, 29.990730040487282 69.68702354166035, 29.9917757428496 69.68682708473327, 29.991886866449665 69.6868096164892, 29.992979644856344 69.68667687398775, 29.995755616226337 69.68669365163059)"/>
    <s v="[1163258, 1163266, 1163274, 1163282, 1163290, 1163298, 1163306, 1163314, 1163325, 1163333, 1163341, 1163349, 1163357, 1163365, 1163373, 1163383, 1163391, 1163403, 1163411, 1163419, 1163427, 1163435, 1163436, 1163443, 1163451, 1163460, 1163468, 1163476, 1163484, 1163492, 1163500, 1163508, 1163516, 1163529, 1163537, 1163545, 1163560, 1163573, 1163581, 1163586, 1163587, 1163588, 1163601]"/>
    <s v="[1097565, 1097571, 1097575, 1094045, 1094013, 1094071, 1084792, 1084773, 1084782, 969176, 969175, 969166, 1097638, 1097642, 969159, 969149, 969140, 1097660, 1045329, 1049204, 1045344, 969132, 1097684, 1097688, 1097692, 1097699, 1097705, 969102, 985085, 968975, 1097730, 1096851, 1097741, 1084554, 1097756, 1097761, 1097773, 1097783, 1097790, 1097795, 1097796, 1097797, 1084136]"/>
    <s v="#FIELD!"/>
    <s v="[1096879, 1097565, 1097571, 1097575, 1094045, 1094013, 1094071, 1084792, 1084773, 1084782, 969176, 969175, 969166, 1097638, 1097642, 969159, 969149, 969140, 1097660, 1045329, 1049204, 1045344, 969132, 1097684, 1097688, 1097692, 1097699, 1097705, 969102, 985085, 968975, 1097730, 1096851, 1097741, 1084554, 1097756, 1097761, 1097773, 1097783, 1097790, 1097795, 1097796, 1097797]"/>
    <s v="[0.007, 0.013, 0.035, 0.0, 0.031, 0.078, 0.059, 0.053, 0.01, 0.023, 0.008, 0.001, 0.021, 0.047, 0.054, 0.115, 0.061, 0.057, 0.003, 0.009, 0.035, 0.106, 0.064, 0.038, 0.011, 0.011, 0.011, 0.015, 0.01, 0.046, 0.024, 0.002, 0.001, 0.001, 0.001, 0.001, 0.001, 0.0, 0.005, 0.006, 0.006, 0.006, 0.003]"/>
    <s v="6974.698150519009"/>
    <s v="[-0.007, -0.013, 0.035, -0.0, -0.031, -0.078, -0.059, -0.053, 0.01, -0.023, -0.008, 0.001, -0.021, -0.047, 0.054, 0.115, 0.061, 0.057, 0.003, 0.009, 0.035, 0.106, -0.064, -0.038, -0.011, -0.011, -0.011, -0.015, -0.01, -0.046, -0.024, -0.002, -0.001, -0.001, 0.001, 0.001, 0.001, 0.0, -0.005, -0.006, -0.006, -0.006, -0.003]"/>
  </r>
  <r>
    <x v="3360"/>
    <x v="4010"/>
    <x v="0"/>
    <n v="0"/>
    <s v="LINESTRING (29.997031095978524 69.68685453467376, 29.99702500002588 69.68678415900551, 29.99712669426675 69.68673015920479)"/>
    <s v="[1164929, 1164937]"/>
    <s v="[1098801, 1096407]"/>
    <s v="#FIELD!"/>
    <s v="[1084149, 1098801]"/>
    <s v="[0.048, 0.066]"/>
    <s v="15.108658656938363"/>
    <s v="[-0.048, -0.066]"/>
  </r>
  <r>
    <x v="3360"/>
    <x v="4011"/>
    <x v="0"/>
    <n v="0"/>
    <s v="LINESTRING (29.997582770740042 69.68689938862457, 29.99727201329534 69.68693111886707, 29.997031095978524 69.68685453467376)"/>
    <s v="[1164913, 1164921]"/>
    <s v="[968897, 1084149]"/>
    <s v="0.0015093159608967365"/>
    <s v="[1084155, 968897]"/>
    <s v="[0.009, 0.012]"/>
    <s v="26.17646437901815"/>
    <s v="[-0.009, 0.012]"/>
  </r>
  <r>
    <x v="3361"/>
    <x v="1727"/>
    <x v="0"/>
    <n v="0"/>
    <s v="LINESTRING (29.997582770740042 69.68689938862457, 29.99769271832902 69.68689880665325, 29.998190107748247 69.68690645121488, 29.998873358002765 69.68693499007887)"/>
    <s v="[1148687, 1148695, 1148703]"/>
    <s v="[1084156, 1084165, 1084173]"/>
    <s v="#FIELD!"/>
    <s v="[1084155, 1084156, 1084165]"/>
    <s v="[0.006, 0.005, 0.002]"/>
    <s v="50.415591849834364"/>
    <s v="[-0.006, -0.005, 0.002]"/>
  </r>
  <r>
    <x v="3361"/>
    <x v="4012"/>
    <x v="0"/>
    <n v="0"/>
    <s v="LINESTRING (29.997652680402464 69.68676804618815, 29.997671621203924 69.68684558869172, 29.997582770740042 69.68689938862457)"/>
    <s v="[1164897, 1164905]"/>
    <s v="[1098772, 1084155]"/>
    <s v="0.05057290753320366"/>
    <s v="[1096416, 1098772]"/>
    <s v="[0.059, 0.04]"/>
    <s v="15.658324099721018"/>
    <s v="[0.059, 0.04]"/>
  </r>
  <r>
    <x v="3362"/>
    <x v="4012"/>
    <x v="0"/>
    <n v="0"/>
    <s v="LINESTRING (29.997652680402464 69.68676804618815, 29.997760864029473 69.6867899495008, 29.998202053082764 69.68685498084702, 29.99826503776228 69.6868627617784, 29.998873358002765 69.68693499007887)"/>
    <s v="[1161924, 1161932, 1161940, 1161948]"/>
    <s v="[1096417, 1096423, 1096428, 1084173]"/>
    <s v="0.014375519106455077"/>
    <s v="[1096416, 1096417, 1096423, 1096428]"/>
    <s v="[0.003, 0.002, 0.003, 0.027]"/>
    <s v="51.1225047080482"/>
    <s v="[0.003, 0.002, 0.003, 0.027]"/>
  </r>
  <r>
    <x v="3363"/>
    <x v="4013"/>
    <x v="0"/>
    <n v="0"/>
    <s v="LINESTRING (28.555917648650492 70.17283427197547, 28.555943581718 70.17283570327082, 28.55607016594152 70.17284269363138, 28.556294922826567 70.17284931100524, 28.55661689472093 70.1728749317295)"/>
    <s v="[1148719, 1148727, 1148735, 1148743]"/>
    <s v="[1084190, 1084198, 1084206, 1084214]"/>
    <s v="#FIELD!"/>
    <s v="[1084189, 1084190, 1084198, 1084206]"/>
    <s v="[0.02, 0.012, 0.008, 0.007]"/>
    <s v="26.993688214251392"/>
    <s v="[0.02, -0.012, -0.008, -0.007]"/>
  </r>
  <r>
    <x v="3363"/>
    <x v="4008"/>
    <x v="0"/>
    <n v="0"/>
    <s v="LINESTRING (28.55593419179216 70.17274830737237, 28.55595827006243 70.1727948483007, 28.555917648650492 70.17283427197547)"/>
    <s v="[1164801, 1164809]"/>
    <s v="[1098713, 1084189]"/>
    <s v="0.3740676675596423"/>
    <s v="[1096451, 1098713]"/>
    <s v="[0.025, 0.769]"/>
    <s v="9.958870218282854"/>
    <s v="[0.025, 0.769]"/>
  </r>
  <r>
    <x v="3364"/>
    <x v="4014"/>
    <x v="0"/>
    <n v="0"/>
    <s v="LINESTRING (28.55661689472093 70.1728749317295, 28.85562545580789 70.14788721920041)"/>
    <m/>
    <m/>
    <s v="0.0"/>
    <m/>
    <n v="0"/>
    <s v="12495.911564780365"/>
    <n v="0"/>
  </r>
  <r>
    <x v="3364"/>
    <x v="4008"/>
    <x v="0"/>
    <n v="0"/>
    <s v="LINESTRING (28.55593419179216 70.17274830737237, 28.555959769219225 70.17275029764959, 28.556084580034934 70.17276000922882, 28.556350916284686 70.1727904638846, 28.55661689472093 70.1728749317295)"/>
    <s v="[1161964, 1161972, 1161980, 1161988]"/>
    <s v="[1096452, 1096460, 1096469, 1084214]"/>
    <s v="0.11634053717110694"/>
    <s v="[1096451, 1096452, 1096460, 1096469]"/>
    <s v="[0.04, 0.024, 0.025, 0.286]"/>
    <s v="30.363693091031458"/>
    <s v="[-0.04, -0.024, -0.025, 0.286]"/>
  </r>
  <r>
    <x v="3365"/>
    <x v="4015"/>
    <x v="367"/>
    <n v="0"/>
    <s v="LINESTRING (29.453769833855137 70.09853256948116, 29.75290565081542 70.07416563229098)"/>
    <m/>
    <m/>
    <s v="0.0"/>
    <m/>
    <n v="0"/>
    <s v="12495.911564780365"/>
    <n v="0"/>
  </r>
  <r>
    <x v="3366"/>
    <x v="4016"/>
    <x v="368"/>
    <n v="0"/>
    <s v="LINESTRING (29.754812207433435 70.07394702310843, 30.092891951456366 70.1401912043493)"/>
    <m/>
    <m/>
    <s v="0.0"/>
    <m/>
    <n v="0"/>
    <s v="18724.321164133016"/>
    <n v="0"/>
  </r>
  <r>
    <x v="3367"/>
    <x v="4017"/>
    <x v="0"/>
    <s v="[1, 1, 0]"/>
    <s v="LINESTRING (23.227809103114996 69.9547293167746, 23.228665660817487 69.95458805022614, 23.228738893611023 69.9545777589166, 23.234882974504774 69.95271109443733)"/>
    <s v="[1166442, 1166449, 1166459]"/>
    <s v="[1100094, 1100099, 1084423]"/>
    <s v="0.008861924816326652"/>
    <s v="[1084417, 1100094, 1100099]"/>
    <s v="[0.062, 0.007, 0.003]"/>
    <s v="361.20422004990047"/>
    <s v="[0.062, -0.007, 0.003]"/>
  </r>
  <r>
    <x v="3368"/>
    <x v="4018"/>
    <x v="0"/>
    <n v="0"/>
    <s v="LINESTRING (23.234882974504774 69.95271109443733, 23.236020660982092 69.95170796250336, 23.236408122284473 69.95107738691863, 23.236442530983172 69.95102554366076, 23.23646567076993 69.95098089680809, 23.236502030789445 69.95090978203484, 23.237602217587465 69.94927285027147)"/>
    <s v="[1149007, 1149015, 1149023, 1149031, 1149039, 1149047]"/>
    <s v="[1084424, 1084432, 1008891, 1084448, 1084455, 1084462]"/>
    <s v="0.02482321339517744"/>
    <s v="[1084423, 1084424, 1084432, 1008891, 1084448, 1084455]"/>
    <s v="[0.023, 0.031, 0.029, 0.035, 0.03, 0.023]"/>
    <s v="399.5273804362038"/>
    <s v="[0.023, 0.031, 0.029, 0.035, 0.03, 0.023]"/>
  </r>
  <r>
    <x v="3368"/>
    <x v="4018"/>
    <x v="0"/>
    <n v="0"/>
    <s v="LINESTRING (23.234882974504774 69.95271109443733, 23.23578314612957 69.95173806018964, 23.235815920276494 69.95168873389514, 23.236192902290497 69.95106154935303, 23.236220926653093 69.95101147733742, 23.236250853096283 69.9509540402981, 23.236293485543417 69.95088877938743, 23.237602217587465 69.94927285027147)"/>
    <s v="[1162236, 1162244, 1162252, 1162260, 1162268, 1162276, 1162284]"/>
    <s v="[1096705, 1096713, 1096723, 1008886, 1096740, 1096747, 1084462]"/>
    <s v="0.025269627001258156"/>
    <s v="[1084423, 1096705, 1096713, 1096723, 1008886, 1096740, 1096747]"/>
    <s v="[0.025, 0.028, 0.03, 0.031, 0.033, 0.028, 0.023]"/>
    <s v="398.75755069195964"/>
    <s v="[0.025, 0.028, 0.03, 0.031, 0.033, 0.028, 0.023]"/>
  </r>
  <r>
    <x v="3369"/>
    <x v="4019"/>
    <x v="369"/>
    <n v="0"/>
    <s v="LINESTRING (23.237602217587465 69.94927285027147, 23.23918188051066 69.94820653160873, 23.241655521735588 69.94619616818194)"/>
    <s v="[1166477, 1166478]"/>
    <s v="[1100122, 1084468]"/>
    <s v="0.0012343709965104129"/>
    <s v="[1084462, 1100122]"/>
    <s v="[0.002, 0.003]"/>
    <s v="378.5129098258797"/>
    <s v="[-0.002, 0.003]"/>
  </r>
  <r>
    <x v="3370"/>
    <x v="3782"/>
    <x v="0"/>
    <n v="0"/>
    <s v="LINESTRING (23.241655521735588 69.94619616818194, 23.241912692550738 69.9458928345848, 23.242160716309623 69.94503701486421, 23.242149183072677 69.9449369137793, 23.24214875586467 69.94493477342027, 23.242145457670006 69.94491815115033, 23.241968463665785 69.94429190046867, 23.241952244601272 69.94425969284309, 23.24117625730959 69.94335428896792)"/>
    <s v="[1149055, 1149063, 1149071, 1149079, 1149087, 1149095, 1149103, 1149110]"/>
    <s v="[1084469, 983039, 1084480, 1084488, 1084495, 1084504, 1084510, 1084519]"/>
    <s v="#FIELD!"/>
    <s v="[1084468, 1084469, 983039, 1084480, 1084488, 1084495, 1084504, 1084510]"/>
    <s v="[0.016, 0.012, 0.007, 0.042, 0.005, 0.016, 0.038, 0.036]"/>
    <s v="324.2467795394507"/>
    <s v="[-0.016, -0.012, -0.007, -0.042, -0.005, -0.016, -0.038, -0.036]"/>
  </r>
  <r>
    <x v="3370"/>
    <x v="3782"/>
    <x v="0"/>
    <n v="0"/>
    <s v="LINESTRING (23.241655521735588 69.94619616818194, 23.241769300526027 69.94588326016365, 23.24193488240724 69.94509185163793, 23.241929969032608 69.94503694350622, 23.24192500899872 69.94495401682218, 23.241924544010487 69.94493690069436, 23.241924131000875 69.94492224073262, 23.241923879686126 69.94491370162551, 23.241752504467943 69.94430253673431, 23.24117625730959 69.94335428896792)"/>
    <s v="[1162292, 1162300, 1162308, 1162316, 1162324, 1162332, 1162340, 1162348, 1162356]"/>
    <s v="[1096762, 983040, 1096775, 1009562, 1096787, 1096795, 1096801, 1096807, 1084519]"/>
    <s v="#FIELD!"/>
    <s v="[1084468, 1096762, 983040, 1096775, 1009562, 1096787, 1096795, 1096801, 1096807]"/>
    <s v="[0.011, 0.01, 0.007, 0.008, 0.004, 0.011, 0.008, 0.015, 0.04]"/>
    <s v="320.6008514280523"/>
    <s v="[-0.011, -0.01, -0.007, -0.008, 0.004, -0.011, -0.008, -0.015, -0.04]"/>
  </r>
  <r>
    <x v="3371"/>
    <x v="3435"/>
    <x v="0"/>
    <n v="0"/>
    <s v="LINESTRING (29.872153299684776 69.7183058234425, 29.872278247714036 69.71825627351184, 29.87237081743274 69.71821964683545)"/>
    <s v="[1163242, 1163250]"/>
    <s v="[1097553, 1096879]"/>
    <s v="#FIELD!"/>
    <s v="[1084581, 1097553]"/>
    <s v="[1.514, 0.004]"/>
    <s v="12.824326534193812"/>
    <s v="[-1.514, -0.004]"/>
  </r>
  <r>
    <x v="3371"/>
    <x v="4020"/>
    <x v="370"/>
    <n v="0"/>
    <s v="LINESTRING (29.71391093775271 69.7793187891322, 29.872153299684776 69.7183058234425)"/>
    <m/>
    <m/>
    <s v="0.0"/>
    <m/>
    <n v="0"/>
    <s v="13953.288836851356"/>
    <n v="0"/>
  </r>
  <r>
    <x v="3372"/>
    <x v="3744"/>
    <x v="0"/>
    <n v="0"/>
    <s v="LINESTRING (10.758708113023587 59.900755820299935, 10.757596963268924 59.899817113008574, 10.75756316027487 59.89979309444522)"/>
    <s v="[1151107, 1151078]"/>
    <s v="[1086236, 1086193]"/>
    <s v="#FIELD!"/>
    <s v="[1086260, 1086236]"/>
    <s v="[0.006, 0.041]"/>
    <s v="125.39759485680351"/>
    <s v="[-0.006, -0.041]"/>
  </r>
  <r>
    <x v="3373"/>
    <x v="2964"/>
    <x v="0"/>
    <n v="0"/>
    <m/>
    <n v="1380495"/>
    <n v="1270199"/>
    <s v="0.007"/>
    <n v="1086235"/>
    <s v="0.007"/>
    <s v="204.0870968092654"/>
    <s v="0.007"/>
  </r>
  <r>
    <x v="3373"/>
    <x v="2869"/>
    <x v="0"/>
    <n v="0"/>
    <s v="LINESTRING (10.759142914006215 59.9024271038945, 10.758481224693448 59.90325972526035, 10.751495122984531 59.90583384548708, 10.751473818686744 59.905838049211546, 10.74726189539195 59.90651557101563)"/>
    <s v="[1380463, 1380471, 1380479, 1380487]"/>
    <s v="[1270176, 1270182, 1270188, 1086235]"/>
    <s v="#FIELD!"/>
    <s v="[1086237, 1270176, 1270182, 1270188]"/>
    <s v="[0.071, 0.005, 0.007, 0.006]"/>
    <s v="848.6829163140746"/>
    <s v="[-0.071, -0.005, 0.007, 0.006]"/>
  </r>
  <r>
    <x v="3374"/>
    <x v="3744"/>
    <x v="0"/>
    <n v="0"/>
    <s v="LINESTRING (10.759142914006215 59.9024271038945, 10.75916258550112 59.90229297988018, 10.759246386340383 59.90198090055561, 10.758708113023587 59.900755820299935)"/>
    <s v="[1151079, 1151091, 1151099]"/>
    <s v="[1086238, 1086254, 1086260]"/>
    <s v="0.06182580112563467"/>
    <s v="[1086237, 1086238, 1086254]"/>
    <s v="[0.079, 0.078, 0.056]"/>
    <s v="191.69619773148787"/>
    <s v="[0.079, 0.078, 0.056]"/>
  </r>
  <r>
    <x v="3375"/>
    <x v="2654"/>
    <x v="0"/>
    <n v="0"/>
    <m/>
    <n v="1156821"/>
    <n v="1091844"/>
    <s v="#FIELD!"/>
    <n v="1091843"/>
    <s v="0.023"/>
    <s v="8.211458457461637"/>
    <s v="#FIELD!"/>
  </r>
  <r>
    <x v="3375"/>
    <x v="4021"/>
    <x v="0"/>
    <n v="0"/>
    <s v="LINESTRING (5.33579146553959 59.403616837413296, 5.335674494561313 59.40367935230171, 5.335588282752792 59.40368755813)"/>
    <s v="[1156869, 1156877]"/>
    <s v="[1091891, 1091843]"/>
    <s v="#FIELD!"/>
    <s v="[1091886, 1091891]"/>
    <s v="[0.009, 0.018]"/>
    <s v="14.654603643636275"/>
    <s v="[-0.009, -0.018]"/>
  </r>
  <r>
    <x v="3375"/>
    <x v="4022"/>
    <x v="0"/>
    <n v="0"/>
    <s v="LINESTRING (5.335744763557124 59.40389513867479, 5.335630703894706 59.403726737149114, 5.335588282752792 59.40368755813)"/>
    <s v="[1157037, 1157045]"/>
    <s v="[1092054, 1091843]"/>
    <s v="#FIELD!"/>
    <s v="[1092053, 1092054]"/>
    <s v="[0.015, 0.017]"/>
    <s v="25.044773696231076"/>
    <s v="[-0.015, -0.017]"/>
  </r>
  <r>
    <x v="3376"/>
    <x v="4023"/>
    <x v="0"/>
    <n v="0"/>
    <m/>
    <n v="1156829"/>
    <n v="1091849"/>
    <s v="#FIELD!"/>
    <n v="1091844"/>
    <s v="0.006"/>
    <s v="21.469661501549574"/>
    <s v="#FIELD!"/>
  </r>
  <r>
    <x v="3377"/>
    <x v="4021"/>
    <x v="0"/>
    <n v="0"/>
    <s v="LINESTRING (5.335454687185721 59.40349309982372, 5.335588369249946 59.40346764365174, 5.335684947497899 59.4034790216683, 5.335772043717384 59.40351844702807, 5.33579146553959 59.403616837413296)"/>
    <s v="[1156837, 1156845, 1156853, 1156861]"/>
    <s v="[1091858, 1091869, 1091877, 1091886]"/>
    <s v="0.015402871176048404"/>
    <s v="[1091849, 1091858, 1091869, 1091877]"/>
    <s v="[0.016, 0.018, 0.02, 0.011]"/>
    <s v="31.783057221844622"/>
    <s v="[0.016, 0.018, 0.02, 0.011]"/>
  </r>
  <r>
    <x v="3377"/>
    <x v="4024"/>
    <x v="0"/>
    <n v="0"/>
    <s v="LINESTRING (5.33460054283655 59.40024826685744, 5.334809302360206 59.40316302341603, 5.334837785015413 59.40321052020775, 5.335379685434648 59.40348433807193, 5.335454687185721 59.40349309982372)"/>
    <s v="[1157005, 1157013, 1157021, 1157029]"/>
    <s v="[1092026, 1092031, 1092039, 1091849]"/>
    <s v="#FIELD!"/>
    <s v="[1091994, 1092026, 1092031, 1092039]"/>
    <s v="[0.008, 0.006, 0.014, 0.018]"/>
    <s v="381.9775796345401"/>
    <s v="[-0.008, 0.006, 0.014, 0.018]"/>
  </r>
  <r>
    <x v="3378"/>
    <x v="4022"/>
    <x v="0"/>
    <n v="0"/>
    <s v="LINESTRING (5.335744763557124 59.40389513867479, 5.335802321873975 59.4036845655224, 5.33579146553959 59.403616837413296)"/>
    <s v="[1157053, 1157061]"/>
    <s v="[1092066, 1091886]"/>
    <s v="#FIELD!"/>
    <s v="[1092053, 1092066]"/>
    <s v="[0.006, 0.009]"/>
    <s v="31.86720998641263"/>
    <s v="[-0.006, -0.009]"/>
  </r>
  <r>
    <x v="3379"/>
    <x v="4025"/>
    <x v="0"/>
    <n v="0"/>
    <m/>
    <n v="1339291"/>
    <n v="1242778"/>
    <s v="#FIELD!"/>
    <n v="1091963"/>
    <s v="0.018"/>
    <s v="84.2703865563397"/>
    <s v="#FIELD!"/>
  </r>
  <r>
    <x v="3379"/>
    <x v="4026"/>
    <x v="0"/>
    <n v="0"/>
    <s v="LINESTRING (5.333859084346362 59.404280283722876, 5.333813185292901 59.40424592612741, 5.334537270965602 59.40321919161494, 5.334536330399289 59.403176077508896, 5.334428316783122 59.401313656916834, 5.334470761091548 59.40104635929794)"/>
    <s v="[1156941, 1156949, 1156957, 1156965, 1156989]"/>
    <s v="[1091964, 1091972, 1091980, 1091988, 1092011]"/>
    <s v="0.008621857311656236"/>
    <s v="[1091963, 1091964, 1091972, 1091980, 1091988]"/>
    <s v="[0.103, 0.005, 0.0, 0.009, 0.008]"/>
    <s v="374.18346828415457"/>
    <s v="[0.103, 0.005, 0.0, 0.009, 0.008]"/>
  </r>
  <r>
    <x v="3379"/>
    <x v="1403"/>
    <x v="0"/>
    <n v="0"/>
    <s v="LINESTRING (5.336122936094274 59.405623068647046, 5.335905312554151 59.405421336743636, 5.335409680296667 59.40487075321158, 5.335297193335881 59.404724081282026, 5.333930763074738 59.404102805055636, 5.333859084346362 59.404280283722876)"/>
    <s v="[1156981, 1339259, 1339267, 1339275, 1339283]"/>
    <s v="[1092002, 1242744, 1242749, 1242759, 1091963]"/>
    <s v="#FIELD!"/>
    <s v="[1092001, 1092002, 1242744, 1242749, 1242759]"/>
    <s v="[0.031, 0.025, 0.034, 0.029, 0.071]"/>
    <s v="262.5374884224259"/>
    <s v="[-0.031, -0.025, -0.034, -0.029, 0.071]"/>
  </r>
  <r>
    <x v="3380"/>
    <x v="1402"/>
    <x v="0"/>
    <n v="0"/>
    <m/>
    <n v="1157189"/>
    <n v="1092178"/>
    <s v="#FIELD!"/>
    <n v="1091994"/>
    <s v="0.003"/>
    <s v="13.297251595724193"/>
    <s v="#FIELD!"/>
  </r>
  <r>
    <x v="3380"/>
    <x v="2655"/>
    <x v="0"/>
    <n v="0"/>
    <m/>
    <n v="1156997"/>
    <n v="1091994"/>
    <s v="#FIELD!"/>
    <n v="1092017"/>
    <s v="0.018"/>
    <s v="11.271379684605595"/>
    <s v="#FIELD!"/>
  </r>
  <r>
    <x v="3380"/>
    <x v="4027"/>
    <x v="0"/>
    <n v="0"/>
    <s v="LINESTRING (5.3296329070772375 59.397464435824276, 5.329696841206517 59.397504910057094, 5.330835152724127 59.397825024663184, 5.33460054283655 59.40024826685744)"/>
    <s v="[1429775, 1429783, 1156973]"/>
    <s v="[1302265, 1091993, 1091994]"/>
    <s v="#FIELD!"/>
    <s v="[1302225, 1302265, 1091993]"/>
    <s v="[0.001, 0.013, 0.018]"/>
    <s v="444.71432768190135"/>
    <s v="[-0.001, 0.013, -0.018]"/>
  </r>
  <r>
    <x v="3381"/>
    <x v="4026"/>
    <x v="0"/>
    <n v="0"/>
    <s v="LINESTRING (5.336122936094274 59.405623068647046, 5.33543903022414 59.404823573109304, 5.335335286418103 59.40467240028091, 5.334617331775144 59.40321313108717, 5.334609425637775 59.40317616991243, 5.334470761091548 59.40104635929794)"/>
    <s v="[1157253, 1157261, 1157269, 1157277, 1157285]"/>
    <s v="[1092238, 1092244, 1092249, 1092257, 1092011]"/>
    <s v="#FIELD!"/>
    <s v="[1092001, 1092238, 1092244, 1092249, 1092257]"/>
    <s v="[0.025, 0.017, 0.009, 0.002, 0.008]"/>
    <s v="526.4379082815799"/>
    <s v="[-0.025, -0.017, -0.009, -0.002, 0.008]"/>
  </r>
  <r>
    <x v="3382"/>
    <x v="2656"/>
    <x v="0"/>
    <n v="0"/>
    <s v="LINESTRING (5.334470761091548 59.40104635929794, 5.334469828168564 59.40036491386648, 5.334429244070551 59.40016065039423, 5.334428803342575 59.40015879080026, 5.334354555320859 59.39994548182151, 5.333964023761823 59.39934244781313, 5.333958445939419 59.399336559914)"/>
    <s v="[1157301, 1157309, 1157317, 1157325, 1157333, 1157341]"/>
    <s v="[1092278, 1092285, 1092295, 1092302, 1092308, 1092185]"/>
    <s v="0.013814147634271814"/>
    <s v="[1092011, 1092278, 1092285, 1092295, 1092302, 1092308]"/>
    <s v="[0.009, 0.011, 0.0, 0.014, 0.02, 0.0]"/>
    <s v="195.4122185764722"/>
    <s v="[0.009, 0.011, 0.0, 0.014, 0.02, 0.0]"/>
  </r>
  <r>
    <x v="3383"/>
    <x v="1402"/>
    <x v="0"/>
    <n v="0"/>
    <m/>
    <n v="1339140"/>
    <n v="1092017"/>
    <s v="0.011"/>
    <n v="1092178"/>
    <s v="0.011"/>
    <s v="23.07555633103329"/>
    <s v="0.011"/>
  </r>
  <r>
    <x v="3384"/>
    <x v="4028"/>
    <x v="0"/>
    <n v="0"/>
    <s v="LINESTRING (5.3350436868195485 59.40500119522142, 5.335253494147412 59.40484868045273, 5.33550803536475 59.404582947094106, 5.335744763557124 59.40389513867479)"/>
    <s v="[1339235, 1339243, 1339251]"/>
    <s v="[1242723, 1242729, 1092053]"/>
    <s v="0.009382122661833912"/>
    <s v="[1242722, 1242723, 1242729]"/>
    <s v="[0.037, 0.019, 0.002]"/>
    <s v="132.32433704111313"/>
    <s v="[0.037, 0.019, -0.002]"/>
  </r>
  <r>
    <x v="3385"/>
    <x v="4029"/>
    <x v="0"/>
    <s v="[0, 0, 0, 0, 0, 0, 0, 1, 0, 0]"/>
    <s v="LINESTRING (5.333958445939419 59.399336559914, 5.333712095451214 59.39917324044896, 5.330963335414415 59.39832666855681, 5.3290638336546055 59.3983195738731, 5.329038377852403 59.3982831712082, 5.329015918370065 59.39824387287001, 5.329074350948307 59.39792789982086, 5.329103245377798 59.39784328572157, 5.329168660821147 59.39763551757953, 5.329196939621772 59.39749268465086, 5.3292085623332826 59.39741577629848)"/>
    <s v="[1157197, 682100, 682108, 2010559, 1441019, 1441027, 1430063, 1430071, 1430079, 1430087]"/>
    <s v="[673169, 673170, 361763, 1309100, 368963, 1302431, 1302432, 1302439, 1302444, 1302238]"/>
    <s v="0.007930415861169889"/>
    <s v="[1092185, 673169, 673170, 361763, 1309100, 368963, 1302431, 1302432, 1302439, 1302444]"/>
    <s v="[0.042, 0.029, 0.025, 0.721, 0.118, 0.166, 0.082, 0.073, 0.032, 0.002]"/>
    <s v="454.5476961190325"/>
    <s v="[0.042, 0.029, 0.025, 0.721, -0.118, -0.166, -0.082, -0.073, -0.032, -0.002]"/>
  </r>
  <r>
    <x v="3386"/>
    <x v="4030"/>
    <x v="0"/>
    <n v="0"/>
    <s v="LINESTRING (15.576680920512333 67.34821769294518, 15.579018341821305 67.34906987826108, 15.580516007039064 67.34939029049973, 15.580612414488284 67.34940855647618, 15.58074878217667 67.34942994351452, 15.580835821211396 67.34944378486621, 15.580840399755317 67.34944451289384, 15.580945366658874 67.34946068461497, 15.584580851133046 67.3497426097066)"/>
    <s v="[1160432, 1160440, 1160448, 1160456, 1160464, 1160472, 1160480, 1160488]"/>
    <s v="[1095126, 1095133, 1095141, 1095149, 1095156, 1095096, 1095168, 1095065]"/>
    <s v="#FIELD!"/>
    <s v="[1095056, 1095126, 1095133, 1095141, 1095149, 1095156, 1095096, 1095168]"/>
    <s v="[0.02, 0.16, 0.161, 0.159, 0.15, 0.0, 0.176, 0.145]"/>
    <s v="393.342725100771"/>
    <s v="[-0.02, -0.16, -0.161, -0.159, -0.15, 0.0, -0.176, -0.145]"/>
  </r>
  <r>
    <x v="3386"/>
    <x v="4030"/>
    <x v="0"/>
    <n v="0"/>
    <s v="LINESTRING (15.576680920512333 67.34821769294518, 15.578883082193029 67.34894984758314, 15.579118087213773 67.3490098217824, 15.58059775643508 67.34932518485631, 15.580827511260734 67.3493640951336, 15.580913709634792 67.34937782285976, 15.58102169633567 67.3493947461194, 15.584580851133046 67.3497426097066)"/>
    <s v="[1160496, 1160504, 1160512, 1160520, 1160528, 1160536, 1160544]"/>
    <s v="[1095183, 1095190, 1095199, 1095095, 1095215, 1095224, 1095065]"/>
    <s v="#FIELD!"/>
    <s v="[1095056, 1095183, 1095190, 1095199, 1095095, 1095215, 1095224]"/>
    <s v="[0.005, 0.159, 0.161, 0.148, 0.174, 0.141, 0.151]"/>
    <s v="388.0989583747248"/>
    <s v="[-0.005, -0.159, -0.161, -0.148, -0.174, -0.141, -0.151]"/>
  </r>
  <r>
    <x v="3387"/>
    <x v="4031"/>
    <x v="0"/>
    <n v="0"/>
    <s v="LINESTRING (15.584580851133046 67.3497426097066, 15.621200632814084 67.40084002003589)"/>
    <m/>
    <m/>
    <s v="0.0"/>
    <m/>
    <n v="0"/>
    <s v="11667.912640201068"/>
    <n v="0"/>
  </r>
  <r>
    <x v="3388"/>
    <x v="4012"/>
    <x v="0"/>
    <n v="0"/>
    <s v="LINESTRING (29.99712669426675 69.68673015920479, 29.997193294266 69.6867155974283, 29.997407846195955 69.68670382197622, 29.997577946524494 69.68673331427972, 29.997652680402464 69.68676804618815)"/>
    <s v="[1164865, 1164873, 1164881, 1164889]"/>
    <s v="[1049484, 1098756, 1049498, 1096416]"/>
    <s v="0.0012669188794367696"/>
    <s v="[1096407, 1049484, 1098756, 1049498]"/>
    <s v="[0.121, 0.005, 0.005, 0.069]"/>
    <s v="23.761596730261275"/>
    <s v="[0.121, -0.005, 0.005, -0.069]"/>
  </r>
  <r>
    <x v="3389"/>
    <x v="2335"/>
    <x v="0"/>
    <n v="0"/>
    <s v="LINESTRING (7.471476256871959 58.03025843923248, 7.471398240929552 58.03026864942509, 7.471313571761226 58.03027961797793)"/>
    <s v="[1185283, 1185291]"/>
    <s v="[1114560, 1096606]"/>
    <s v="0.011"/>
    <s v="[1114554, 1114560]"/>
    <s v="0.011"/>
    <s v="9.917110694201789"/>
    <s v="0.011"/>
  </r>
  <r>
    <x v="3390"/>
    <x v="4032"/>
    <x v="0"/>
    <n v="0"/>
    <m/>
    <n v="1168502"/>
    <n v="1098415"/>
    <s v="0.046"/>
    <n v="1098370"/>
    <s v="0.046"/>
    <s v="12.630281735527252"/>
    <s v="0.046"/>
  </r>
  <r>
    <x v="3390"/>
    <x v="2485"/>
    <x v="0"/>
    <s v="[0, 0, 0, 0, 0, 1, 0, 0]"/>
    <s v="LINESTRING (8.041458430732439 58.164107579910954, 8.0413924949918 58.16413293868775, 8.040786971066158 58.16478692683106, 8.041022327802478 58.16537592930761, 8.041998091122238 58.16497104639808, 8.040913570028033 58.16504291528069, 8.040636389644376 58.16507461194148, 8.03810399114042 58.16535673003977, 8.037739636199616 58.16537207952233)"/>
    <s v="[1164362, 1168534, 1168430, 1168406, 1164442, 1168390, 1168398, 1164490]"/>
    <s v="[1098371, 1101897, 1101873, 1098433, 1098434, 1101855, 1098476, 1098477]"/>
    <s v="0.03836564542273376"/>
    <s v="[1098370, 1098371, 1101897, 1101873, 1098433, 1098434, 1101855, 1098476]"/>
    <s v="[0.083, 0.006, 0.022, 0.016, 0.084, 0.147, 0.11, 0.082]"/>
    <s v="543.8182278025137"/>
    <s v="[0.083, -0.006, 0.022, -0.016, 0.084, -0.147, 0.11, 0.082]"/>
  </r>
  <r>
    <x v="3390"/>
    <x v="4033"/>
    <x v="0"/>
    <n v="0"/>
    <m/>
    <n v="1168494"/>
    <n v="1098370"/>
    <s v="0.82"/>
    <n v="1101951"/>
    <s v="0.82"/>
    <s v="9.65062692259542"/>
    <s v="0.82"/>
  </r>
  <r>
    <x v="3391"/>
    <x v="4034"/>
    <x v="371"/>
    <n v="0"/>
    <s v="LINESTRING (25.965830828689555 71.00171993979876, 25.965714680483856 71.00161719629412, 25.96545881942629 71.00123074764005, 25.967823671944853 71.00014294418587, 25.96839229754777 70.99900959461735, 25.968282708785384 70.99804865705025, 25.96897569252193 70.99671308792121, 25.970373104556433 70.99608611925983, 25.97247066189683 70.99471621312995, 25.973030411179334 70.99410031272237, 25.973045767913298 70.99389832727843, 25.9673236028001 70.98900059400573, 25.967338227780605 70.9889511374819, 25.967075721659448 70.98812207230779, 25.966727595708708 70.98673141222339, 25.96700584685296 70.98462802772082, 25.96709511307669 70.98381795632197, 25.969532469944912 70.98268520324632, 25.970150923234904 70.98219452908673, 25.970233199228158 70.98211350748036, 25.970257127475474 70.98208802239654)"/>
    <s v="[1187982, 1187990, 1187998, 1188006, 1188014, 1188022, 1188030, 1188038, 1188046, 1188054, 1188062, 1188070, 1188078, 1188086, 1188094, 1188102, 1188110, 1188118, 1188126, 1188134]"/>
    <s v="[1116501, 1116504, 1116510, 1116514, 1116519, 1116522, 957423, 1116535, 1116541, 957356, 1116550, 1053185, 1116560, 1116567, 1116572, 1116578, 1116586, 957394, 1116599, 1100053]"/>
    <s v="#FIELD!"/>
    <s v="[1098392, 1116501, 1116504, 1116510, 1116514, 1116519, 1116522, 957423, 1116535, 1116541, 957356, 1116550, 1053185, 1116560, 1116567, 1116572, 1116578, 1116586, 957394, 1116599]"/>
    <s v="[0.012, 0.001, 0.044, 0.029, 0.047, 0.019, 0.026, 0.01, 0.006, 0.055, 0.0, 0.115, 0.025, 0.069, 0.004, 0.017, 0.054, 0.018, 0.007, 0.34]"/>
    <s v="2443.632627080103"/>
    <s v="[0.012, -0.001, 0.044, 0.029, -0.047, -0.019, 0.026, 0.01, 0.006, -0.055, 0.0, 0.115, -0.025, -0.069, -0.004, -0.017, 0.054, 0.018, 0.007, -0.34]"/>
  </r>
  <r>
    <x v="3391"/>
    <x v="4035"/>
    <x v="372"/>
    <n v="0"/>
    <s v="LINESTRING (25.965830828689555 71.00171993979876, 25.886214627403724 71.03312654532839)"/>
    <m/>
    <m/>
    <s v="0.0"/>
    <m/>
    <n v="0"/>
    <s v="15563.341928997743"/>
    <n v="0"/>
  </r>
  <r>
    <x v="3391"/>
    <x v="4036"/>
    <x v="0"/>
    <n v="0"/>
    <s v="LINESTRING (25.85644763735479 70.92639640076524, 25.965830828689555 71.00171993979876)"/>
    <m/>
    <m/>
    <s v="0.0"/>
    <m/>
    <n v="0"/>
    <s v="12188.381781344706"/>
    <n v="0"/>
  </r>
  <r>
    <x v="3392"/>
    <x v="4037"/>
    <x v="0"/>
    <n v="0"/>
    <s v="LINESTRING (8.041314279680766 58.1640279492305, 8.041382809033006 58.16390202926696, 8.041484388699228 58.16387533453233, 8.041597648315172 58.163877756037984, 8.041694914611648 58.1639086785067, 8.041760202974183 58.163990475710534)"/>
    <s v="[1164418, 1168454, 1168462, 1168470, 1168478]"/>
    <s v="[1098416, 1101921, 1101930, 1101939, 1101833]"/>
    <s v="#FIELD!"/>
    <s v="[1098415, 1098416, 1101921, 1101930, 1101939]"/>
    <s v="[0.043, 1.027, 0.115, 0.088, 0.049]"/>
    <s v="45.20983901159172"/>
    <s v="[-0.043, -1.027, -0.115, -0.088, -0.049]"/>
  </r>
  <r>
    <x v="3392"/>
    <x v="4038"/>
    <x v="0"/>
    <s v="[0, 0, 1, 0, 0, 0, 0, 0]"/>
    <s v="LINESTRING (8.046079870667254 58.16339669474432, 8.045800829323918 58.1635640756934, 8.043964285576346 58.16442789296961, 8.043872837720695 58.16446118237102, 8.042755515045377 58.16484222852117, 8.040956906114557 58.16540343382088, 8.040728902131416 58.164793476906496, 8.041272045978967 58.16407181872952, 8.041314279680766 58.1640279492305)"/>
    <s v="[1371423, 1371391, 1164426, 1164434, 1168374, 1164402, 1164410, 1168542]"/>
    <s v="[1264330, 1098421, 1098422, 1098384, 1098403, 1098404, 1098410, 1098415]"/>
    <s v="0.022033351891472264"/>
    <s v="[1264308, 1264330, 1098421, 1098422, 1098384, 1098403, 1098404, 1098410]"/>
    <s v="[0.026, 0.034, 0.039, 0.043, 0.054, 0.003, 0.048, 0.053]"/>
    <s v="572.8929573901208"/>
    <s v="[0.026, 0.034, 0.039, 0.043, 0.054, -0.003, -0.048, -0.053]"/>
  </r>
  <r>
    <x v="3393"/>
    <x v="4033"/>
    <x v="0"/>
    <s v="[0, 0, 1, 0, 0, 0]"/>
    <s v="LINESTRING (8.037699155253568 58.1652291001755, 8.038031333794411 58.165166568783455, 8.040647491711034 58.16487552568229, 8.04088418205219 58.16484872921308, 8.042067390401467 58.164635993769004, 8.041706545599684 58.16411360616933, 8.04162197466097 58.16410401568964)"/>
    <s v="[1164506, 1164530, 1164522, 1164370, 1168382, 1168526]"/>
    <s v="[1098494, 1098504, 1098376, 1098377, 1101848, 1101951]"/>
    <s v="#FIELD!"/>
    <s v="[1098468, 1098494, 1098504, 1098376, 1098377, 1101848]"/>
    <s v="[0.082, 0.085, 0.084, 0.083, 0.089, 0.118]"/>
    <s v="349.56144435534674"/>
    <s v="[-0.082, -0.085, -0.084, -0.083, -0.089, 0.118]"/>
  </r>
  <r>
    <x v="3393"/>
    <x v="4039"/>
    <x v="0"/>
    <n v="0"/>
    <s v="LINESTRING (8.029479624857084 58.16435148178546, 8.029785790204231 58.16443263042529, 8.032796955066537 58.16469511271346, 8.032760471064773 58.16470444751583, 8.032774695466946 58.16512176033373, 8.033591863933019 58.16526968452817, 8.033851195112298 58.16531136917574, 8.03449370987487 58.16539196917352, 8.037292917624447 58.16524846010489, 8.037699155253568 58.1652291001755)"/>
    <s v="[1337977, 1173676, 1173684, 1173692, 1173700, 1173708, 1173716, 1168414, 1164482]"/>
    <s v="[1105993, 1026160, 1105999, 1106005, 1106009, 1106016, 1101879, 1098467, 1098468]"/>
    <s v="0.010438677245940102"/>
    <s v="[1106950, 1105993, 1026160, 1105999, 1106005, 1106009, 1106016, 1101879, 1098467]"/>
    <s v="[0.056, 0.017, 0.033, 0.022, 0.018, 0.023, 0.128, 0.008, 0.084]"/>
    <s v="573.6130307324775"/>
    <s v="[0.056, 0.017, -0.033, -0.022, 0.018, 0.023, 0.128, -0.008, -0.084]"/>
  </r>
  <r>
    <x v="3393"/>
    <x v="4040"/>
    <x v="0"/>
    <s v="[1, 0, 0, 1, 0, 0, 0]"/>
    <s v="LINESTRING (8.043709155868354 58.16433677916968, 8.043709155868354 58.16433677916968, 8.042181381208545 58.164724919881294, 8.040890259266376 58.16489553451385, 8.040629757466627 58.16492488297218, 8.039011763312168 58.16510495073952, 8.037754783707689 58.16522873471874, 8.037699155253568 58.1652291001755)"/>
    <s v="[1174846, 1174854, 1174862, 1174870, 1174878, 1174886, 1174894]"/>
    <s v="[1106876, 1106881, 1106884, 1106890, 1106897, 1106902, 1098468]"/>
    <s v="0.08516769201454867"/>
    <s v="[1106875, 1106876, 1106881, 1106884, 1106890, 1106897, 1106902]"/>
    <s v="[0.0, 0.005, 0.058, 0.067, 0.104, 0.108, 2.363]"/>
    <s v="377.52488323087977"/>
    <s v="[0.0, 0.005, 0.058, 0.067, 0.104, 0.108, 2.363]"/>
  </r>
  <r>
    <x v="3394"/>
    <x v="4041"/>
    <x v="373"/>
    <n v="0"/>
    <s v="LINESTRING (8.037739636199616 58.16537207952233, 8.037389413079815 58.16543704524759, 8.034031110133576 58.16554718528167, 8.032190035381339 58.16531443853701, 8.033446785954506 58.16572131491216, 8.033518782816808 58.16572261524115, 8.033629562577397 58.1657300532494)"/>
    <s v="[1164498, 1164514, 1173660, 1173668, 1337952, 1337960]"/>
    <s v="[1098485, 1098499, 642700, 1105988, 1120231, 1105365]"/>
    <s v="0.0016521343890909743"/>
    <s v="[1098477, 1098485, 1098499, 642700, 1105988, 1120231]"/>
    <s v="[0.083, 0.004, 0.044, 0.001, 1.028, 0.036]"/>
    <s v="467.6139990047005"/>
    <s v="[0.083, -0.004, -0.044, 0.001, 1.028, 0.036]"/>
  </r>
  <r>
    <x v="3394"/>
    <x v="4042"/>
    <x v="0"/>
    <s v="[1, 0, 0, 1, 0, 0]"/>
    <s v="LINESTRING (8.043820151617252 58.164421169068305, 8.043820151617252 58.164421169068305, 8.042210130756386 58.1648244408801, 8.040903364293627 58.16499542414785, 8.040646219805202 58.16502460520172, 8.039002462362712 58.16520863194547, 8.037739636199616 58.16537207952233)"/>
    <s v="[1338216, 1338224, 1338232, 1338240, 1338248, 1338256]"/>
    <s v="[1241938, 1241947, 1241954, 1241962, 1241968, 1098477]"/>
    <s v="0.08201586698587425"/>
    <s v="[1241937, 1241938, 1241947, 1241954, 1241962, 1241968]"/>
    <s v="[0.0, 0.021, 0.107, 0.115, 0.121, 0.09]"/>
    <s v="382.64447389058364"/>
    <s v="[0.0, 0.021, 0.107, 0.115, 0.121, 0.09]"/>
  </r>
  <r>
    <x v="3395"/>
    <x v="4035"/>
    <x v="374"/>
    <n v="0"/>
    <s v="LINESTRING (25.886214627403724 71.03312654532839, 25.781448116236483 71.16783971273247)"/>
    <m/>
    <m/>
    <s v="0.0"/>
    <m/>
    <n v="0"/>
    <s v="15563.341928997743"/>
    <n v="0"/>
  </r>
  <r>
    <x v="3396"/>
    <x v="4043"/>
    <x v="0"/>
    <n v="0"/>
    <s v="LINESTRING (25.970246751389585 70.98200819797746, 25.970434459172104 70.98204180609335, 25.970257127475474 70.98208802239654)"/>
    <s v="[1166399, 1166406]"/>
    <s v="[1100055, 1100053]"/>
    <s v="0.03523189892055057"/>
    <s v="[1100054, 1100055]"/>
    <s v="[0.087, 0.012]"/>
    <s v="18.19621577769067"/>
    <s v="[0.087, -0.012]"/>
  </r>
  <r>
    <x v="3397"/>
    <x v="4044"/>
    <x v="0"/>
    <n v="0"/>
    <s v="LINESTRING (25.970246751389585 70.98200819797746, 25.970207515823187 70.98198072859988, 25.970010713339335 70.98181396880504, 25.969833325444984 70.98165206254194, 25.969002368666043 70.98096879533755)"/>
    <s v="[1188158, 1188166, 1188174, 1188182]"/>
    <s v="[1116621, 957397, 957391, 1116635]"/>
    <s v="#FIELD!"/>
    <s v="[1100054, 1116621, 957397, 957391]"/>
    <s v="[0.326, 0.072, 0.066, 0.061]"/>
    <s v="124.7566031175576"/>
    <s v="[0.326, -0.072, -0.066, -0.061]"/>
  </r>
  <r>
    <x v="3398"/>
    <x v="4033"/>
    <x v="0"/>
    <n v="0"/>
    <m/>
    <n v="1168486"/>
    <n v="1101951"/>
    <s v="0.056"/>
    <n v="1101833"/>
    <s v="0.056"/>
    <s v="15.74932436404907"/>
    <s v="0.056"/>
  </r>
  <r>
    <x v="3398"/>
    <x v="4045"/>
    <x v="0"/>
    <s v="[0, 0, 0, 1, 0, 0]"/>
    <s v="LINESTRING (8.041760202974183 58.163990475710534, 8.041817512216776 58.16402776950582, 8.043319561628863 58.16434595855855, 8.043649351555144 58.16429132942841, 8.043751967691172 58.1642610850849, 8.04598514728441 58.16322930146137, 8.046374837354358 58.163117632417595)"/>
    <s v="[1168366, 1168510, 1168438, 1168446, 1371335, 1371487]"/>
    <s v="[1101834, 1098462, 1101905, 1101910, 1264277, 1264290]"/>
    <s v="#FIELD!"/>
    <s v="[1101833, 1101834, 1098462, 1101905, 1101910, 1264277]"/>
    <s v="[0.077, 0.014, 0.001, 0.003, 0.007, 0.028]"/>
    <s v="333.1540369548446"/>
    <s v="[-0.077, -0.014, -0.001, -0.003, -0.007, -0.028]"/>
  </r>
  <r>
    <x v="3399"/>
    <x v="4046"/>
    <x v="0"/>
    <n v="0"/>
    <s v="LINESTRING (6.521411186942989 61.60642981107489, 6.521411186942989 61.60642981107489, 6.521320471744023 61.60637013625276, 6.520370832012045 61.60554692546444)"/>
    <s v="[1173223, 2015367, 2014399]"/>
    <s v="[1105619, 1761349, 1663567]"/>
    <s v="#FIELD!"/>
    <s v="[1105618, 1105619, 1761349]"/>
    <s v="[0.0, 0.074, 0.029]"/>
    <s v="371.7187659125859"/>
    <s v="[0.0, -0.074, -0.029]"/>
  </r>
  <r>
    <x v="3399"/>
    <x v="4047"/>
    <x v="375"/>
    <n v="0"/>
    <s v="LINESTRING (6.521411186942989 61.60642981107489, 6.385848772310889 61.74026188862329)"/>
    <m/>
    <m/>
    <s v="0.0"/>
    <m/>
    <n v="0"/>
    <s v="15823.00509241764"/>
    <n v="0"/>
  </r>
  <r>
    <x v="3400"/>
    <x v="4048"/>
    <x v="0"/>
    <n v="0"/>
    <s v="LINESTRING (8.018029445237385 58.16021102038419, 8.017913781314423 58.16016967685152, 8.017184629813103 58.160081835587384)"/>
    <s v="[1173407, 1173415]"/>
    <s v="[1105776, 1105779]"/>
    <s v="0.03115587976550305"/>
    <s v="[1105775, 1105776]"/>
    <s v="[0.032, 0.031]"/>
    <s v="52.820149208169525"/>
    <s v="[0.032, 0.031]"/>
  </r>
  <r>
    <x v="3400"/>
    <x v="4049"/>
    <x v="0"/>
    <n v="0"/>
    <s v="LINESTRING (8.018029445237385 58.16021102038419, 8.018041775817908 58.16012239261582, 8.018142375203293 58.1600608773891)"/>
    <s v="[1174860, 1174868]"/>
    <s v="[1106882, 1106889]"/>
    <s v="0.00844410456247287"/>
    <s v="[1105775, 1106882]"/>
    <s v="[0.018, 0.002]"/>
    <s v="18.985906869838466"/>
    <s v="[0.018, -0.002]"/>
  </r>
  <r>
    <x v="3400"/>
    <x v="4050"/>
    <x v="0"/>
    <n v="0"/>
    <m/>
    <n v="1174852"/>
    <n v="1105775"/>
    <s v="0.02"/>
    <n v="1106086"/>
    <s v="0.02"/>
    <s v="22.073848517416124"/>
    <s v="0.02"/>
  </r>
  <r>
    <x v="3401"/>
    <x v="4051"/>
    <x v="0"/>
    <n v="0"/>
    <m/>
    <n v="1335969"/>
    <n v="1105784"/>
    <s v="0.006"/>
    <n v="1105779"/>
    <s v="0.006"/>
    <s v="150.49823612263285"/>
    <s v="0.006"/>
  </r>
  <r>
    <x v="3401"/>
    <x v="4049"/>
    <x v="0"/>
    <n v="0"/>
    <s v="LINESTRING (8.018142375203293 58.1600608773891, 8.017967968657851 58.160057324983754, 8.017184629813103 58.160081835587384)"/>
    <s v="[1182356, 1182364]"/>
    <s v="[1112370, 1105779]"/>
    <s v="0.02563675723565732"/>
    <s v="[1106889, 1112370]"/>
    <s v="[0.255, 0.024]"/>
    <s v="57.84868326857395"/>
    <s v="[0.255, -0.024]"/>
  </r>
  <r>
    <x v="3402"/>
    <x v="4052"/>
    <x v="0"/>
    <n v="0"/>
    <s v="LINESTRING (8.017106468653244 58.161126678476656, 8.017799372848433 58.16133847363672, 8.01891028699906 58.161688795173085, 8.019027941718036 58.16171130449606)"/>
    <s v="[1173423, 1173431, 1173439]"/>
    <s v="[1105785, 1105789, 1105795]"/>
    <s v="#FIELD!"/>
    <s v="[1105784, 1105785, 1105789]"/>
    <s v="[0.017, 0.006, 0.009]"/>
    <s v="131.1203800084646"/>
    <s v="[-0.017, -0.006, 0.009]"/>
  </r>
  <r>
    <x v="3402"/>
    <x v="4053"/>
    <x v="0"/>
    <n v="0"/>
    <s v="LINESTRING (8.017106468653244 58.161126678476656, 8.018817680184831 58.16177552366941, 8.018899170232757 58.161818042270866)"/>
    <s v="[1182372, 1182380]"/>
    <s v="[1112387, 1112392]"/>
    <s v="0.008852833825371439"/>
    <s v="[1105784, 1112387]"/>
    <s v="[0.007, 0.043]"/>
    <s v="131.18965580260866"/>
    <s v="[0.007, 0.043]"/>
  </r>
  <r>
    <x v="3403"/>
    <x v="4054"/>
    <x v="0"/>
    <n v="0"/>
    <m/>
    <n v="1624043"/>
    <n v="1106097"/>
    <s v="#FIELD!"/>
    <n v="1105795"/>
    <s v="0.014"/>
    <s v="4.446391795765233"/>
    <s v="#FIELD!"/>
  </r>
  <r>
    <x v="3403"/>
    <x v="4053"/>
    <x v="0"/>
    <n v="0"/>
    <s v="LINESTRING (8.018899170232757 58.161818042270866, 8.018936109958739 58.16175771237454, 8.019027941718036 58.16171130449606)"/>
    <s v="[1624027, 1624035]"/>
    <s v="[1453522, 1105795]"/>
    <s v="#FIELD!"/>
    <s v="[1112392, 1453522]"/>
    <s v="[0.088, 0.228]"/>
    <s v="14.56618045271415"/>
    <s v="[-0.088, -0.228]"/>
  </r>
  <r>
    <x v="3404"/>
    <x v="4055"/>
    <x v="0"/>
    <n v="0"/>
    <s v="LINESTRING (8.079551357348857 58.16096027664461, 8.079737727860275 58.160874365379634, 8.079853812207732 58.16088270099897, 8.079935271508305 58.160915056692026, 8.07997920623758 58.16095728019542, 8.079983562802397 58.16102933649045, 8.079921182792692 58.16107991392396, 8.079794342582797 58.161112200248134, 8.079719427665971 58.16110991990951, 8.07964361933331 58.16109299276564, 8.079554539012669 58.16103398107388)"/>
    <s v="[1176219, 1176227, 1176235, 1176243, 1176251, 1176259, 1176179, 1176187, 1176195, 1176203]"/>
    <s v="[597209, 1107858, 1107865, 1107872, 1107879, 597204, 1107819, 1107824, 1107831, 1105837]"/>
    <s v="#FIELD!"/>
    <s v="[1105918, 597209, 1107858, 1107865, 1107872, 1107879, 597204, 1107819, 1107824, 1107831]"/>
    <s v="[0.045, 0.061, 0.122, 0.11, 0.106, 0.071, 0.012, 0.033, 0.088, 0.118]"/>
    <s v="74.31023358643338"/>
    <s v="[0.045, -0.061, -0.122, -0.11, -0.106, -0.071, -0.012, 0.033, 0.088, 0.118]"/>
  </r>
  <r>
    <x v="3404"/>
    <x v="3857"/>
    <x v="0"/>
    <n v="0"/>
    <s v="LINESTRING (8.079554539012669 58.16103398107388, 8.07946617210324 58.16103353565473, 8.078481013702678 58.161162291215454, 8.078210435574997 58.16124327739038, 8.078195483858302 58.161247553707476, 8.073552703597745 58.161398270382605, 8.070657612871628 58.16153679324674, 8.070237006829666 58.161507893475445)"/>
    <s v="[1173492, 1173500, 1173508, 1173516, 1173524, 1173532, 1173540]"/>
    <s v="[1105838, 1105846, 1105854, 1105858, 1105866, 1105875, 1105882]"/>
    <s v="0.04405031427451998"/>
    <s v="[1105837, 1105838, 1105846, 1105854, 1105858, 1105866, 1105875]"/>
    <s v="[0.035, 0.009, 0.065, 0.168, 0.045, 0.069, 0.082]"/>
    <s v="560.4310971578229"/>
    <s v="[0.035, -0.009, -0.065, -0.168, 0.045, 0.069, 0.082]"/>
  </r>
  <r>
    <x v="3405"/>
    <x v="4056"/>
    <x v="0"/>
    <s v="[0, 0, 0, 0, 0, 1, 1]"/>
    <s v="LINESTRING (8.070237006829666 58.161507893475445, 8.069504561641203 58.161495891657985, 8.06837664801262 58.16144519571527, 8.062313292134526 58.16090293776594, 8.06150749029216 58.160921358569496, 8.061271103314084 58.160933943848796, 8.05940814883864 58.16108769335, 8.058184451463271 58.16122454898564)"/>
    <s v="[1623899, 1623907, 1623915, 1623923, 1623931, 1623939, 1623947]"/>
    <s v="[1453442, 1453446, 1453451, 1453458, 1453465, 1453473, 1453477]"/>
    <s v="#FIELD!"/>
    <s v="[1105882, 1453442, 1453446, 1453451, 1453458, 1453465, 1453473]"/>
    <s v="[0.072, 0.089, 0.034, 0.202, 0.211, 0.129, 0.096]"/>
    <s v="719.6891499222842"/>
    <s v="[0.072, 0.089, -0.034, -0.202, -0.211, -0.129, -0.096]"/>
  </r>
  <r>
    <x v="3406"/>
    <x v="4055"/>
    <x v="0"/>
    <n v="0"/>
    <s v="LINESTRING (8.073163019515754 58.16123346580304, 8.073570858819073 58.16116532970669, 8.075214294756545 58.16099588866469, 8.07692774893423 58.16089093443861, 8.079465637701874 58.16096400347621, 8.079551357348857 58.16096027664461)"/>
    <s v="[1173548, 1173556, 1173564, 1173572, 1173580]"/>
    <s v="[1105891, 1105898, 1105904, 1105910, 1105918]"/>
    <s v="#FIELD!"/>
    <s v="[1105890, 1105891, 1105898, 1105904, 1105910]"/>
    <s v="[0.017, 0.085, 0.027, 0.037, 0.039]"/>
    <s v="382.39973221975055"/>
    <s v="[-0.017, -0.085, -0.027, -0.037, -0.039]"/>
  </r>
  <r>
    <x v="3406"/>
    <x v="4057"/>
    <x v="0"/>
    <s v="[1, 0, 0, 0, 0]"/>
    <s v="LINESTRING (8.057083185377895 58.161216696574215, 8.06113549599037 58.16082966212101, 8.06212037927113 58.16076560875079, 8.068433777771897 58.16123835203354, 8.06952459669117 58.16130652349153, 8.073163019515754 58.16123346580304)"/>
    <s v="[1371319, 1371327, 1336517, 1336525, 1336533]"/>
    <s v="[1264267, 1240655, 1240656, 1240663, 1105890]"/>
    <s v="0.03228224229882373"/>
    <s v="[1264264, 1264267, 1240655, 1240656, 1240663]"/>
    <s v="[0.109, 0.12, 0.04, 0.093, 0.054]"/>
    <s v="959.1983899400882"/>
    <s v="[0.109, 0.12, 0.04, -0.093, -0.054]"/>
  </r>
  <r>
    <x v="3407"/>
    <x v="4053"/>
    <x v="0"/>
    <n v="0"/>
    <s v="LINESTRING (8.019371363553091 58.161771007726436, 8.019369549492415 58.16188219316947, 8.019246742933083 58.16194693136813, 8.019088187732919 58.16195531861628, 8.018961762756485 58.16191412360935, 8.018914632672242 58.16187116012265, 8.018899170232757 58.161818042270866)"/>
    <s v="[1623979, 1623987, 1623995, 1624003, 1624011, 1624019]"/>
    <s v="[181293, 1105893, 1453502, 1112398, 167247, 1112392]"/>
    <s v="0.042003444811617906"/>
    <s v="[1106061, 181293, 1105893, 1453502, 1112398, 167247]"/>
    <s v="[0.166, 0.076, 0.038, 0.029, 0.056, 0.078]"/>
    <s v="52.612814706696376"/>
    <s v="[0.166, 0.076, 0.038, -0.029, -0.056, -0.078]"/>
  </r>
  <r>
    <x v="3407"/>
    <x v="4054"/>
    <x v="0"/>
    <n v="0"/>
    <m/>
    <n v="1624051"/>
    <n v="1106061"/>
    <s v="0.009"/>
    <n v="1106097"/>
    <s v="0.009"/>
    <s v="18.943019746928044"/>
    <s v="0.009"/>
  </r>
  <r>
    <x v="3407"/>
    <x v="2484"/>
    <x v="376"/>
    <n v="0"/>
    <s v="LINESTRING (8.02096451007319 58.16164786225343, 8.020872650391398 58.16164130837443, 8.02054353936688 58.161624119885225, 8.01975346995645 58.16150679431249, 8.01968600117188 58.16151501679172, 8.019395254896049 58.16169042306948, 8.019371363553091 58.161771007726436)"/>
    <s v="[1390305, 1622629, 1173740, 1173748, 1173756, 1173764]"/>
    <s v="[1275466, 1106041, 1106042, 1106048, 1106055, 1106061]"/>
    <s v="0.000284407780430242"/>
    <s v="[1242074, 1275466, 1106041, 1106042, 1106048, 1106055]"/>
    <s v="[0.022, 0.032, 0.003, 0.004, 0.014, 0.032]"/>
    <s v="114.04318862659927"/>
    <s v="[0.022, -0.032, -0.003, 0.004, 0.014, 0.032]"/>
  </r>
  <r>
    <x v="3408"/>
    <x v="4050"/>
    <x v="0"/>
    <n v="0"/>
    <m/>
    <n v="1174844"/>
    <n v="1106086"/>
    <s v="0.008"/>
    <n v="1106069"/>
    <s v="0.008"/>
    <s v="20.27681098158112"/>
    <s v="0.008"/>
  </r>
  <r>
    <x v="3408"/>
    <x v="4058"/>
    <x v="0"/>
    <n v="0"/>
    <s v="LINESTRING (8.018516050029945 58.160163430428845, 8.018602808792354 58.16020514863589, 8.02283496670566 58.161890452088066, 8.023129916334439 58.161981635509584)"/>
    <s v="[1173772, 1173780, 1622709]"/>
    <s v="[1106070, 1106076, 1106987]"/>
    <s v="0.0139545323940876"/>
    <s v="[1106069, 1106070, 1106076]"/>
    <s v="[0.033, 0.013, 0.046]"/>
    <s v="363.2539579252914"/>
    <s v="[-0.033, 0.013, 0.046]"/>
  </r>
  <r>
    <x v="3408"/>
    <x v="4049"/>
    <x v="0"/>
    <n v="0"/>
    <s v="LINESTRING (8.018142375203293 58.1600608773891, 8.018273831232186 58.16004269276155, 8.018412814324352 58.160066826198644, 8.018505433225181 58.160132477308, 8.018516050029945 58.160163430428845)"/>
    <s v="[1174876, 1174884, 1174892, 1174900]"/>
    <s v="[1106895, 1106900, 1106908, 1106069]"/>
    <s v="#FIELD!"/>
    <s v="[1106889, 1106895, 1106900, 1106908]"/>
    <s v="[0.018, 0.031, 0.03, 0.023]"/>
    <s v="29.28502254145745"/>
    <s v="[-0.018, -0.031, -0.03, -0.023]"/>
  </r>
  <r>
    <x v="3409"/>
    <x v="4059"/>
    <x v="0"/>
    <n v="0"/>
    <s v="LINESTRING (8.01684093069345 58.160452328847434, 8.017020535390529 58.16048491592424, 8.01848352796176 58.16031826525264, 8.018329041252985 58.16030012833506)"/>
    <s v="[1622765, 1173788, 1173796]"/>
    <s v="[1106080, 1106081, 1106086]"/>
    <s v="#FIELD!"/>
    <s v="[1107020, 1106080, 1106081]"/>
    <s v="[0.04, 0.012, 0.02]"/>
    <s v="241.96998152537108"/>
    <s v="[-0.04, -0.012, 0.02]"/>
  </r>
  <r>
    <x v="3410"/>
    <x v="4060"/>
    <x v="377"/>
    <n v="0"/>
    <s v="LINESTRING (8.01909908694297 58.16169809374679, 8.019193012271794 58.161649710152545, 8.019200248562878 58.16139203160422, 8.016909571932116 58.16062417201316, 8.016733494839336 58.16052256897857)"/>
    <s v="[1173812, 1173820, 1173828, 1622837]"/>
    <s v="[1106098, 1106106, 1106112, 1242103]"/>
    <s v="0.013325318910281134"/>
    <s v="[1106097, 1106098, 1106106, 1106112]"/>
    <s v="[0.029, 0.015, 0.011, 0.116]"/>
    <s v="214.93141821184605"/>
    <s v="[-0.029, -0.015, 0.011, 0.116]"/>
  </r>
  <r>
    <x v="3411"/>
    <x v="4061"/>
    <x v="0"/>
    <n v="0"/>
    <s v="LINESTRING (8.00342914998238 58.15621417313675, 8.003265172640862 58.15618981651497, 8.001662331580489 58.155655389706894, 8.001585034629823 58.15563067204574, 8.00064075313622 58.15594419079472, 8.000684464830885 58.1559662283963, 8.000782598154647 58.15601503942061)"/>
    <s v="[1173836, 1173844, 1173852, 1173860, 1173868, 1173876]"/>
    <s v="[1106119, 1106126, 1106133, 1106139, 1106144, 1106151]"/>
    <s v="#FIELD!"/>
    <s v="[1106118, 1106119, 1106126, 1106133, 1106139, 1106144]"/>
    <s v="[0.016, 0.03, 0.04, 0.001, 0.039, 0.032]"/>
    <s v="234.4850756989101"/>
    <s v="[-0.016, -0.03, -0.04, -0.001, 0.039, 0.032]"/>
  </r>
  <r>
    <x v="3411"/>
    <x v="4062"/>
    <x v="0"/>
    <s v="[0, 0, 0, 0, 1]"/>
    <s v="LINESTRING (8.00342914998238 58.15621417313675, 8.00171560510581 58.1556186742385, 8.000161565479063 58.15514819731021, 7.999456409322586 58.15498945913231, 7.999330725588558 58.15496253150978, 7.997903825178241 58.15465871655745)"/>
    <s v="[1336557, 1336565, 1336573, 1336581, 1336589]"/>
    <s v="[1240691, 1240700, 1240707, 1240717, 1106307]"/>
    <s v="#FIELD!"/>
    <s v="[1106118, 1240691, 1240700, 1240707, 1240717]"/>
    <s v="[0.028, 0.024, 0.013, 0.011, 0.037]"/>
    <s v="370.54147143266266"/>
    <s v="[-0.028, -0.024, -0.013, -0.011, -0.037]"/>
  </r>
  <r>
    <x v="3411"/>
    <x v="4063"/>
    <x v="0"/>
    <n v="0"/>
    <m/>
    <n v="1336549"/>
    <n v="1106118"/>
    <s v="#FIELD!"/>
    <n v="1107027"/>
    <s v="0.001"/>
    <s v="925.4462113094452"/>
    <s v="#FIELD!"/>
  </r>
  <r>
    <x v="3412"/>
    <x v="3740"/>
    <x v="0"/>
    <n v="0"/>
    <m/>
    <n v="1624059"/>
    <n v="1112965"/>
    <s v="0.053"/>
    <n v="1106151"/>
    <s v="0.053"/>
    <s v="3.145790838484333"/>
    <s v="0.053"/>
  </r>
  <r>
    <x v="3412"/>
    <x v="4064"/>
    <x v="0"/>
    <n v="0"/>
    <m/>
    <n v="1624123"/>
    <n v="1106151"/>
    <s v="#FIELD!"/>
    <n v="1106219"/>
    <s v="0.002"/>
    <s v="24.29719238966282"/>
    <s v="#FIELD!"/>
  </r>
  <r>
    <x v="3413"/>
    <x v="4065"/>
    <x v="0"/>
    <n v="0"/>
    <m/>
    <n v="1624211"/>
    <n v="1106215"/>
    <s v="#FIELD!"/>
    <n v="1106157"/>
    <s v="0.019"/>
    <s v="22.564630453026012"/>
    <s v="#FIELD!"/>
  </r>
  <r>
    <x v="3413"/>
    <x v="4066"/>
    <x v="0"/>
    <n v="0"/>
    <s v="LINESTRING (8.002786541519404 58.155136317119116, 8.002683739915916 58.15509544211135, 8.001812572464944 58.155485516538995, 8.001894174501999 58.155516842723856, 8.004390989723344 58.156350984085925, 8.0047461304798 58.15650392646174)"/>
    <s v="[1173884, 1173892, 1173900, 1173908, 1173916]"/>
    <s v="[1106158, 1106165, 1106170, 1106174, 1106181]"/>
    <s v="0.014313849371471427"/>
    <s v="[1106157, 1106158, 1106165, 1106170, 1106174]"/>
    <s v="[0.036, 0.002, 0.038, 0.024, 0.012]"/>
    <s v="327.25157766775254"/>
    <s v="[-0.036, 0.002, 0.038, 0.024, 0.012]"/>
  </r>
  <r>
    <x v="3413"/>
    <x v="3738"/>
    <x v="0"/>
    <n v="0"/>
    <m/>
    <n v="1624203"/>
    <n v="1106157"/>
    <s v="#FIELD!"/>
    <n v="1112943"/>
    <s v="0.164"/>
    <s v="3.452731382228579"/>
    <s v="#FIELD!"/>
  </r>
  <r>
    <x v="3414"/>
    <x v="4063"/>
    <x v="0"/>
    <n v="0"/>
    <m/>
    <n v="1336914"/>
    <n v="1107027"/>
    <s v="0.0"/>
    <n v="1106181"/>
    <s v="0.0"/>
    <s v="843.4564681674535"/>
    <s v="0.0"/>
  </r>
  <r>
    <x v="3414"/>
    <x v="4067"/>
    <x v="0"/>
    <n v="0"/>
    <s v="LINESTRING (7.999514672554773 58.15488737742703, 8.000233753453832 58.15506746610521, 8.001812208727113 58.155543793968995, 8.0047461304798 58.15650392646174)"/>
    <s v="[1336888, 1336896, 1336913]"/>
    <s v="[1240941, 1240948, 1106181]"/>
    <s v="0.026227489720285855"/>
    <s v="[1106547, 1240941, 1240948]"/>
    <s v="[0.054, 0.024, 0.021]"/>
    <s v="357.7925154143837"/>
    <s v="[0.054, 0.024, 0.021]"/>
  </r>
  <r>
    <x v="3415"/>
    <x v="4068"/>
    <x v="0"/>
    <n v="1"/>
    <m/>
    <n v="1173924"/>
    <n v="1106189"/>
    <s v="0.012"/>
    <n v="1106188"/>
    <s v="0.012"/>
    <s v="16.01530517974168"/>
    <s v="0.012"/>
  </r>
  <r>
    <x v="3415"/>
    <x v="4067"/>
    <x v="0"/>
    <n v="1"/>
    <m/>
    <n v="1336887"/>
    <n v="1106547"/>
    <s v="0.024"/>
    <n v="1106188"/>
    <s v="0.024"/>
    <s v="31.572765985952262"/>
    <s v="0.024"/>
  </r>
  <r>
    <x v="3415"/>
    <x v="4069"/>
    <x v="0"/>
    <s v="[0, 0, 0, 0, 1, 1]"/>
    <s v="LINESTRING (7.991994513182748 58.15285740970928, 7.9945689046516675 58.153797515123586, 7.994584088201396 58.15380151613193, 7.995624377717427 58.15404633547552, 7.995844571696193 58.154091638506124, 7.99761275780211 58.15447426731391, 7.9990230087227285 58.15477541044961)"/>
    <s v="[1336814, 1336831, 1336839, 1336848, 1336871, 1336879]"/>
    <s v="[1240879, 1240892, 1240899, 1240907, 1240925, 1106188]"/>
    <s v="#FIELD!"/>
    <s v="[1106386, 1240879, 1240892, 1240899, 1240907, 1240925]"/>
    <s v="[0.107, 0.094, 0.155, 0.106, 0.089, 0.044]"/>
    <s v="469.54949640126586"/>
    <s v="[-0.107, -0.094, -0.155, -0.106, -0.089, -0.044]"/>
  </r>
  <r>
    <x v="3416"/>
    <x v="4067"/>
    <x v="0"/>
    <n v="1"/>
    <m/>
    <n v="1174428"/>
    <n v="1106547"/>
    <s v="0.032"/>
    <n v="1106189"/>
    <s v="0.032"/>
    <s v="17.382748689657774"/>
    <s v="0.032"/>
  </r>
  <r>
    <x v="3416"/>
    <x v="4065"/>
    <x v="0"/>
    <s v="[1, 0, 0, 0]"/>
    <s v="LINESTRING (7.999294071730496 58.15478404943557, 7.999656953032556 58.15486622262333, 8.000279898957896 58.15501503810302, 8.002783146848438 58.15496017436145, 8.002915139658402 58.15495797755159)"/>
    <s v="[1173932, 1173940, 1173948, 1173956]"/>
    <s v="[1106199, 1106204, 1106209, 1106215]"/>
    <s v="0.021672860330982948"/>
    <s v="[1106189, 1106199, 1106204, 1106209]"/>
    <s v="[0.026, 0.025, 0.02, 0.024]"/>
    <s v="222.6294793649958"/>
    <s v="[0.026, 0.025, 0.02, 0.024]"/>
  </r>
  <r>
    <x v="3416"/>
    <x v="4070"/>
    <x v="0"/>
    <s v="[0, 0, 0, 0, 1, 1]"/>
    <s v="LINESTRING (7.9926042841976415 58.1551990167421, 7.992614100563934 58.154897299364734, 7.994817551211373 58.153722450291475, 7.995686262752486 58.15400919634599, 7.995905123182535 58.15405374080006, 7.997733090483383 58.15444753339123, 7.999294071730496 58.15478404943557)"/>
    <s v="[1174380, 1174388, 1174396, 1174404, 1174412, 1174420]"/>
    <s v="[1106514, 1106520, 1106527, 1106531, 1106537, 1106189]"/>
    <s v="#FIELD!"/>
    <s v="[1106508, 1106514, 1106520, 1106527, 1106531, 1106537]"/>
    <s v="[0.158, 0.047, 0.209, 0.148, 0.081, 0.002]"/>
    <s v="722.4852823444941"/>
    <s v="[0.158, -0.047, -0.209, -0.148, -0.081, 0.002]"/>
  </r>
  <r>
    <x v="3417"/>
    <x v="3739"/>
    <x v="0"/>
    <n v="0"/>
    <s v="LINESTRING (8.002915139658402 58.15495797755159, 8.002945719053482 58.15494840712041, 8.003083799126848 58.15492252013463, 8.003277497499704 58.15494136876537, 8.00330648127013 58.15495354592912, 8.003416072617897 58.15501497203569, 8.003458805313823 58.15511726793821, 8.003286859291427 58.15525600032559, 8.003103289103372 58.15528268789537)"/>
    <s v="[1624219, 1624227, 1624235, 1624243, 1624251, 1624259, 1624267, 1624275]"/>
    <s v="[1077084, 1453641, 1079078, 1453651, 1453656, 1112937, 166812, 1453671]"/>
    <s v="0.02110085064532761"/>
    <s v="[1106215, 1077084, 1453641, 1079078, 1453651, 1453656, 1112937, 166812]"/>
    <s v="[0.282, 0.008, 0.023, 0.027, 0.029, 0.028, 0.009, 0.014]"/>
    <s v="75.83465126893095"/>
    <s v="[0.282, 0.008, 0.023, 0.027, 0.029, 0.028, 0.009, -0.014]"/>
  </r>
  <r>
    <x v="3418"/>
    <x v="4071"/>
    <x v="0"/>
    <s v="[0, 0, 0, 0, 1]"/>
    <s v="LINESTRING (8.00043148770034 58.156095804015074, 8.000425603058279 58.15603326187599, 8.000423388530645 58.15600862759397, 8.000111084243276 58.15520073769192, 7.999285394931401 58.15500874992364, 7.997721781399308 58.15467066504471)"/>
    <s v="[1173964, 1173972, 1173980, 1173988, 1173996]"/>
    <s v="[1106220, 1106224, 1106231, 1106237, 1106242]"/>
    <s v="#FIELD!"/>
    <s v="[1106219, 1106220, 1106224, 1106231, 1106237]"/>
    <s v="[0.037, 0.029, 0.032, 0.025, 0.016]"/>
    <s v="262.8020244798764"/>
    <s v="[-0.037, -0.029, -0.032, -0.025, -0.016]"/>
  </r>
  <r>
    <x v="3418"/>
    <x v="3741"/>
    <x v="0"/>
    <n v="0"/>
    <s v="LINESTRING (8.001010115197369 58.156182225019144, 8.00084604801237 58.156311016322135, 8.000671516840788 58.156330908347385, 8.0004949478189 58.156295373149916, 8.000402889712413 58.1562176714712, 8.00043148770034 58.156095804015074)"/>
    <s v="[1624083, 1624091, 1624099, 1624107, 1624115]"/>
    <s v="[1453557, 1453561, 1112974, 182668, 1106219]"/>
    <s v="#FIELD!"/>
    <s v="[1453550, 1453557, 1453561, 1112974, 182668]"/>
    <s v="[0.027, 0.01, 0.032, 0.049, 0.028]"/>
    <s v="63.68602361009868"/>
    <s v="[0.027, -0.01, -0.032, -0.049, -0.028]"/>
  </r>
  <r>
    <x v="3419"/>
    <x v="4072"/>
    <x v="0"/>
    <n v="1"/>
    <m/>
    <n v="1174004"/>
    <n v="1106250"/>
    <s v="0.024"/>
    <n v="1106242"/>
    <s v="0.024"/>
    <s v="10.193684319252277"/>
    <s v="0.024"/>
  </r>
  <r>
    <x v="3419"/>
    <x v="4073"/>
    <x v="0"/>
    <s v="[1, 0, 0]"/>
    <s v="LINESTRING (7.997721781399308 58.15467066504471, 7.995583215091176 58.154212081851725, 7.995435655900813 58.1541819155763, 7.992832387662007 58.15587398136525)"/>
    <s v="[1174084, 1174092, 1174100]"/>
    <s v="[1106313, 1106319, 1106325]"/>
    <s v="0.04809253049387948"/>
    <s v="[1106242, 1106313, 1106319]"/>
    <s v="[0.078, 0.138, 0.034]"/>
    <s v="493.81867304166616"/>
    <s v="[0.078, 0.138, 0.034]"/>
  </r>
  <r>
    <x v="3419"/>
    <x v="4062"/>
    <x v="0"/>
    <n v="1"/>
    <m/>
    <n v="1174076"/>
    <n v="1106242"/>
    <s v="0.003"/>
    <n v="1106307"/>
    <s v="0.003"/>
    <s v="10.818742995252263"/>
    <s v="0.003"/>
  </r>
  <r>
    <x v="3420"/>
    <x v="4074"/>
    <x v="378"/>
    <s v="[1, 1, 1, 0, 0, 0, 0]"/>
    <s v="LINESTRING (7.9976193593339 58.15459706653136, 7.997522268842691 58.15457583251321, 7.997463010022332 58.154563137591026, 7.995675542802594 58.15417876712768, 7.995506677434868 58.15414167586037, 7.9935177979607035 58.153702317876416, 7.993502301024375 58.15369869596233, 7.990740300858096 58.15259621452959)"/>
    <s v="[1336605, 1336613, 1336621, 1336629, 1336637, 1336645, 1336653]"/>
    <s v="[1240731, 1240740, 1240745, 1240751, 1240757, 1240764, 1106256]"/>
    <s v="0.10231815839030595"/>
    <s v="[1106250, 1240731, 1240740, 1240745, 1240751, 1240757, 1240764]"/>
    <s v="[0.741, 0.071, 0.086, 0.108, 0.167, 0.19, 0.052]"/>
    <s v="468.4688806525339"/>
    <s v="[0.741, 0.071, 0.086, 0.108, 0.167, 0.19, 0.052]"/>
  </r>
  <r>
    <x v="3420"/>
    <x v="4062"/>
    <x v="0"/>
    <n v="1"/>
    <m/>
    <n v="1336597"/>
    <n v="1106250"/>
    <s v="0.015"/>
    <n v="1106307"/>
    <s v="0.015"/>
    <s v="18.132015883665478"/>
    <s v="0.015"/>
  </r>
  <r>
    <x v="3421"/>
    <x v="4075"/>
    <x v="0"/>
    <n v="0"/>
    <m/>
    <n v="1174012"/>
    <n v="1106257"/>
    <s v="#FIELD!"/>
    <n v="1106256"/>
    <s v="0.012"/>
    <s v="16.938901543566235"/>
    <s v="#FIELD!"/>
  </r>
  <r>
    <x v="3421"/>
    <x v="4076"/>
    <x v="0"/>
    <n v="0"/>
    <m/>
    <n v="1336661"/>
    <n v="1106564"/>
    <s v="#FIELD!"/>
    <n v="1106256"/>
    <s v="0.044"/>
    <s v="30.05611418704196"/>
    <s v="#FIELD!"/>
  </r>
  <r>
    <x v="3422"/>
    <x v="4076"/>
    <x v="0"/>
    <n v="0"/>
    <m/>
    <n v="1174452"/>
    <n v="1106564"/>
    <s v="#FIELD!"/>
    <n v="1106257"/>
    <s v="0.069"/>
    <s v="16.041113266936385"/>
    <s v="#FIELD!"/>
  </r>
  <r>
    <x v="3422"/>
    <x v="4077"/>
    <x v="0"/>
    <n v="0"/>
    <s v="LINESTRING (7.990494271535234 58.1525213494077, 7.9908276644692116 58.1501593137706, 7.990995583982789 58.15014731703398, 7.991036040732927 58.150141241765404, 7.991189068430025 58.15011083131562, 7.991291577546947 58.15008168691455)"/>
    <s v="[1174020, 1174028, 1174036, 1174044, 1174052]"/>
    <s v="[1106264, 1106272, 1106278, 1106284, 1106291]"/>
    <s v="#FIELD!"/>
    <s v="[1106257, 1106264, 1106272, 1106278, 1106284]"/>
    <s v="[0.052, 0.094, 0.115, 0.101, 0.088]"/>
    <s v="536.6694445580433"/>
    <s v="[-0.052, -0.094, -0.115, -0.101, -0.088]"/>
  </r>
  <r>
    <x v="3422"/>
    <x v="4070"/>
    <x v="0"/>
    <n v="0"/>
    <s v="LINESTRING (7.9926042841976415 58.1551990167421, 7.992561310149342 58.155131759087496, 7.990494271535234 58.1525213494077)"/>
    <s v="[1174436, 1174444]"/>
    <s v="[1106552, 1106257]"/>
    <s v="0.02733617501303901"/>
    <s v="[1106508, 1106552]"/>
    <s v="[0.217, 0.023]"/>
    <s v="354.35010941421893"/>
    <s v="[0.217, 0.023]"/>
  </r>
  <r>
    <x v="3423"/>
    <x v="2886"/>
    <x v="0"/>
    <n v="0"/>
    <m/>
    <n v="1174908"/>
    <n v="1106296"/>
    <s v="#FIELD!"/>
    <n v="1106291"/>
    <s v="0.079"/>
    <s v="18.07795135583826"/>
    <s v="#FIELD!"/>
  </r>
  <r>
    <x v="3423"/>
    <x v="4078"/>
    <x v="0"/>
    <n v="0"/>
    <m/>
    <n v="1174948"/>
    <n v="1106291"/>
    <s v="#FIELD!"/>
    <n v="1106402"/>
    <s v="0.063"/>
    <s v="19.446616641453517"/>
    <s v="#FIELD!"/>
  </r>
  <r>
    <x v="3424"/>
    <x v="2887"/>
    <x v="0"/>
    <n v="0"/>
    <m/>
    <n v="1174916"/>
    <n v="1106352"/>
    <s v="0.001"/>
    <n v="1106296"/>
    <s v="0.001"/>
    <s v="22.053731399325525"/>
    <s v="0.001"/>
  </r>
  <r>
    <x v="3425"/>
    <x v="4070"/>
    <x v="0"/>
    <n v="0"/>
    <s v="LINESTRING (7.992832387662007 58.15587398136525, 7.9928159913861085 58.15600014421437, 7.9927963581287065 58.15621174147005, 7.992742702488576 58.15629349194885, 7.992732228754497 58.15620479549887, 7.992746141267168 58.155999893754455, 7.992745550258072 58.15598096317757, 7.9926042841976415 58.1551990167421)"/>
    <s v="[1174108, 1174116, 1174124, 1174348, 1174356, 1174364, 1174372]"/>
    <s v="[1106328, 1106334, 1101788, 1106492, 1106495, 1106501, 1106508]"/>
    <s v="0.08413254836310141"/>
    <s v="[1106325, 1106328, 1106334, 1101788, 1106492, 1106495, 1106501]"/>
    <s v="[0.155, 0.102, 0.019, 0.047, 0.104, 0.168, 0.177]"/>
    <s v="169.93781332043238"/>
    <s v="[-0.155, -0.102, 0.019, 0.047, 0.104, 0.168, 0.177]"/>
  </r>
  <r>
    <x v="3425"/>
    <x v="4079"/>
    <x v="0"/>
    <n v="0"/>
    <s v="LINESTRING (7.991879755899476 58.15273932717872, 7.9939560471096405 58.1535006206754, 7.994536896677252 58.153386960817706, 7.99277916472319 58.155780924838396, 7.992832387662007 58.15587398136525)"/>
    <s v="[1174316, 1174324, 1174332, 1174340]"/>
    <s v="[1106472, 1106477, 1106482, 1106325]"/>
    <s v="#FIELD!"/>
    <s v="[1106381, 1106472, 1106477, 1106482]"/>
    <s v="[0.052, 0.159, 0.013, 0.19]"/>
    <s v="642.963781087528"/>
    <s v="[-0.052, -0.159, -0.013, -0.19]"/>
  </r>
  <r>
    <x v="3426"/>
    <x v="4080"/>
    <x v="0"/>
    <n v="0"/>
    <m/>
    <n v="1174924"/>
    <n v="1106358"/>
    <s v="0.081"/>
    <n v="1106352"/>
    <s v="0.081"/>
    <s v="18.00345036396592"/>
    <s v="0.081"/>
  </r>
  <r>
    <x v="3427"/>
    <x v="4081"/>
    <x v="0"/>
    <n v="0"/>
    <m/>
    <n v="1174932"/>
    <n v="1106462"/>
    <s v="0.059"/>
    <n v="1106358"/>
    <s v="0.059"/>
    <s v="19.322984961490068"/>
    <s v="0.059"/>
  </r>
  <r>
    <x v="3427"/>
    <x v="4079"/>
    <x v="0"/>
    <n v="0"/>
    <s v="LINESTRING (7.991654480424728 58.150281059302635, 7.9916222917432105 58.15032234114449, 7.991620397400625 58.15032476890864, 7.991552785210112 58.150414129203995, 7.9915470984200745 58.15042186288208, 7.991879755899476 58.15273932717872)"/>
    <s v="[1174148, 1174156, 1174164, 1174172, 1174180]"/>
    <s v="[1106359, 1106363, 1106370, 1106375, 1106381]"/>
    <s v="0.08582731015673142"/>
    <s v="[1106358, 1106359, 1106363, 1106370, 1106375]"/>
    <s v="[0.08, 0.0, 0.087, 0.076, 0.086]"/>
    <s v="310.42912389922003"/>
    <s v="[0.08, 0.0, 0.087, 0.076, 0.086]"/>
  </r>
  <r>
    <x v="3428"/>
    <x v="4069"/>
    <x v="0"/>
    <n v="0"/>
    <m/>
    <n v="1174188"/>
    <n v="1106386"/>
    <s v="0.057"/>
    <n v="1106381"/>
    <s v="0.057"/>
    <s v="14.811144453049442"/>
    <s v="0.057"/>
  </r>
  <r>
    <x v="3428"/>
    <x v="4082"/>
    <x v="0"/>
    <n v="0"/>
    <m/>
    <n v="1174308"/>
    <n v="1106381"/>
    <s v="#FIELD!"/>
    <n v="1106466"/>
    <s v="0.04"/>
    <s v="13.489254983034378"/>
    <s v="#FIELD!"/>
  </r>
  <r>
    <x v="3429"/>
    <x v="4082"/>
    <x v="0"/>
    <n v="0"/>
    <m/>
    <n v="1336806"/>
    <n v="1106386"/>
    <s v="0.011"/>
    <n v="1106466"/>
    <s v="0.011"/>
    <s v="26.480370088041283"/>
    <s v="0.011"/>
  </r>
  <r>
    <x v="3430"/>
    <x v="4083"/>
    <x v="0"/>
    <n v="0"/>
    <s v="LINESTRING (7.991314992866552 58.15024688829466, 7.991216516842204 58.15023067315602, 7.991082409374815 58.150214572417774, 7.991047052077939 58.150210709746936, 7.988835076081251 58.149892868229955)"/>
    <s v="[1174212, 1174220, 1174228, 1174236]"/>
    <s v="[1106403, 1106409, 1106416, 1106422]"/>
    <s v="0.01626617809375524"/>
    <s v="[1106402, 1106403, 1106409, 1106416]"/>
    <s v="[0.034, 0.064, 0.073, 0.015]"/>
    <s v="502.7530410455812"/>
    <s v="[0.034, 0.064, 0.073, 0.015]"/>
  </r>
  <r>
    <x v="3430"/>
    <x v="4081"/>
    <x v="0"/>
    <n v="0"/>
    <m/>
    <n v="1174940"/>
    <n v="1106402"/>
    <s v="0.019"/>
    <n v="1106462"/>
    <s v="0.019"/>
    <s v="2.500857452779415"/>
    <s v="0.019"/>
  </r>
  <r>
    <x v="3431"/>
    <x v="4084"/>
    <x v="0"/>
    <n v="0"/>
    <m/>
    <n v="1174244"/>
    <n v="1106427"/>
    <s v="#FIELD!"/>
    <n v="1106422"/>
    <s v="0.115"/>
    <s v="15.88238017353341"/>
    <s v="#FIELD!"/>
  </r>
  <r>
    <x v="3431"/>
    <x v="4085"/>
    <x v="0"/>
    <n v="0"/>
    <s v="LINESTRING (7.988835076081251 58.149892868229955, 7.988513705526504 58.148784674558854, 7.986472371011037 58.147497335013256, 7.986353828691477 58.14747825875157)"/>
    <s v="[1174468, 1174476, 1174484]"/>
    <s v="[1106577, 1106583, 1106585]"/>
    <s v="#FIELD!"/>
    <s v="[1106422, 1106577, 1106583]"/>
    <s v="[0.078, 0.039, 0.0]"/>
    <s v="330.71674583949937"/>
    <s v="[-0.078, -0.039, 0.0]"/>
  </r>
  <r>
    <x v="3431"/>
    <x v="4086"/>
    <x v="0"/>
    <n v="0"/>
    <m/>
    <n v="1174460"/>
    <n v="1106422"/>
    <s v="#FIELD!"/>
    <n v="1106571"/>
    <s v="0.075"/>
    <s v="15.654072952934566"/>
    <s v="#FIELD!"/>
  </r>
  <r>
    <x v="3432"/>
    <x v="4087"/>
    <x v="0"/>
    <s v="[0, 0, 0, 1]"/>
    <s v="LINESTRING (7.988903199354497 58.149755143350724, 7.988622523763007 58.14880330164195, 7.987859843938837 58.14795336226821, 7.987379877873493 58.14763000383329, 7.986068991349224 58.146988807250054)"/>
    <s v="[1336685, 1336693, 1336701, 1336709]"/>
    <s v="[1240788, 1240792, 1240796, 1240804]"/>
    <s v="#FIELD!"/>
    <s v="[1106427, 1240788, 1240792, 1240796]"/>
    <s v="[0.065, 0.069, 0.028, 0.01]"/>
    <s v="364.8060039639175"/>
    <s v="[-0.065, -0.069, -0.028, -0.01]"/>
  </r>
  <r>
    <x v="3432"/>
    <x v="4086"/>
    <x v="0"/>
    <n v="0"/>
    <m/>
    <n v="1336677"/>
    <n v="1106427"/>
    <s v="#FIELD!"/>
    <n v="1106571"/>
    <s v="0.1"/>
    <s v="30.123080851547165"/>
    <s v="#FIELD!"/>
  </r>
  <r>
    <x v="3433"/>
    <x v="4088"/>
    <x v="0"/>
    <n v="0"/>
    <m/>
    <n v="1174252"/>
    <n v="1106433"/>
    <s v="0.055"/>
    <n v="1106432"/>
    <s v="0.055"/>
    <s v="15.757199117633995"/>
    <s v="0.055"/>
  </r>
  <r>
    <x v="3433"/>
    <x v="4089"/>
    <x v="0"/>
    <n v="0"/>
    <m/>
    <n v="1336790"/>
    <n v="1106655"/>
    <s v="0.094"/>
    <n v="1106432"/>
    <s v="0.094"/>
    <s v="29.906855401035386"/>
    <s v="0.094"/>
  </r>
  <r>
    <x v="3433"/>
    <x v="4087"/>
    <x v="0"/>
    <s v="[1, 0, 0, 0]"/>
    <s v="LINESTRING (7.986068991349224 58.146988807250054, 7.987443896739807 58.147599304092815, 7.988784768408373 58.14876720309841, 7.988796708058959 58.148783984886485, 7.989203864656219 58.14970866511584)"/>
    <s v="[1336757, 1336765, 1336773, 1336782]"/>
    <s v="[1240838, 1240843, 1240849, 1106432]"/>
    <s v="0.03971423204382279"/>
    <s v="[1240804, 1240838, 1240843, 1240849]"/>
    <s v="[0.009, 0.054, 0.033, 0.05]"/>
    <s v="367.8110314497531"/>
    <s v="[0.009, 0.054, 0.033, 0.05]"/>
  </r>
  <r>
    <x v="3434"/>
    <x v="4089"/>
    <x v="0"/>
    <n v="0"/>
    <m/>
    <n v="1174564"/>
    <n v="1106655"/>
    <s v="0.121"/>
    <n v="1106433"/>
    <s v="0.121"/>
    <s v="15.941143754442221"/>
    <s v="0.121"/>
  </r>
  <r>
    <x v="3434"/>
    <x v="4081"/>
    <x v="0"/>
    <n v="0"/>
    <s v="LINESTRING (7.989320390958365 58.14983495911544, 7.990101614290274 58.1514160750499, 7.990904459857529 58.15148481764437, 7.99137731708674 58.15081133858797, 7.991411847874175 58.15040740266642, 7.9913790204776545 58.15031729160571, 7.991344394559104 58.150263038754964)"/>
    <s v="[1174260, 1174268, 1174276, 1174284, 1174292, 1174300]"/>
    <s v="[1106438, 1106442, 1106448, 1106453, 1106457, 1106462]"/>
    <s v="#FIELD!"/>
    <s v="[1106433, 1106438, 1106442, 1106448, 1106453, 1106457]"/>
    <s v="[0.074, 0.062, 0.127, 0.088, 0.053, 0.045]"/>
    <s v="380.8521982465959"/>
    <s v="[0.074, -0.062, -0.127, -0.088, -0.053, -0.045]"/>
  </r>
  <r>
    <x v="3434"/>
    <x v="4090"/>
    <x v="0"/>
    <n v="0"/>
    <s v="LINESTRING (7.987189071942352 58.14732816979353, 7.9878706400926704 58.14776054442718, 7.987913899240119 58.14779177224352, 7.9888456691668575 58.14872640826433, 7.989320390958365 58.14983495911544)"/>
    <s v="[1174532, 1174540, 1174548, 1174556]"/>
    <s v="[1106627, 1106632, 1106640, 1106433]"/>
    <s v="0.05013531027721976"/>
    <s v="[1106622, 1106627, 1106632, 1106640]"/>
    <s v="[0.023, 0.011, 0.05, 0.065]"/>
    <s v="312.4591063707116"/>
    <s v="[0.023, 0.011, 0.05, 0.065]"/>
  </r>
  <r>
    <x v="3435"/>
    <x v="4089"/>
    <x v="0"/>
    <n v="0"/>
    <m/>
    <n v="1336798"/>
    <n v="1106466"/>
    <s v="0.055"/>
    <n v="1106655"/>
    <s v="0.055"/>
    <s v="343.1812768500092"/>
    <s v="0.055"/>
  </r>
  <r>
    <x v="3436"/>
    <x v="4086"/>
    <x v="0"/>
    <n v="0"/>
    <m/>
    <n v="1336669"/>
    <n v="1106571"/>
    <s v="#FIELD!"/>
    <n v="1106564"/>
    <s v="0.062"/>
    <s v="282.0422996190193"/>
    <s v="#FIELD!"/>
  </r>
  <r>
    <x v="3437"/>
    <x v="4091"/>
    <x v="0"/>
    <n v="0"/>
    <s v="LINESTRING (7.986353828691477 58.14747825875157, 7.9862413769475875 58.14749209710352, 7.986093935661122 58.1474644395727, 7.986016481668104 58.1473967607989, 7.98601401799866 58.147348861313574)"/>
    <s v="[1174956, 1174964, 1174972, 1174980]"/>
    <s v="[1106949, 1106954, 1106959, 1106963]"/>
    <s v="#FIELD!"/>
    <s v="[1106585, 1106949, 1106954, 1106959]"/>
    <s v="[0.018, 0.002, 0.024, 0.039]"/>
    <s v="30.210770737673023"/>
    <s v="[0.018, -0.002, -0.024, -0.039]"/>
  </r>
  <r>
    <x v="3437"/>
    <x v="4092"/>
    <x v="0"/>
    <n v="0"/>
    <m/>
    <n v="1175036"/>
    <n v="1106585"/>
    <s v="0.038"/>
    <n v="1106661"/>
    <s v="0.038"/>
    <s v="18.295187542799702"/>
    <s v="0.038"/>
  </r>
  <r>
    <x v="3438"/>
    <x v="4093"/>
    <x v="0"/>
    <n v="0"/>
    <s v="LINESTRING (7.985654801056361 58.147139761209154, 7.984445926240245 58.14669355159661, 7.982738009274134 58.145588903645894, 7.982269014475314 58.14509218939563, 7.982242625988662 58.14505756635147)"/>
    <s v="[1174492, 1174500, 1174508, 1174516]"/>
    <s v="[1106591, 1106599, 1106605, 1106614]"/>
    <s v="#FIELD!"/>
    <s v="[1106590, 1106591, 1106599, 1106605]"/>
    <s v="[0.0, 0.012, 0.017, 0.033]"/>
    <s v="313.0756648367413"/>
    <s v="[-0.0, -0.012, 0.017, 0.033]"/>
  </r>
  <r>
    <x v="3438"/>
    <x v="4091"/>
    <x v="0"/>
    <n v="0"/>
    <s v="LINESTRING (7.98601401799866 58.147348861313574, 7.985949510592113 58.147312006787665, 7.985654801056361 58.147139761209154)"/>
    <s v="[1622845, 1622853]"/>
    <s v="[1452830, 1106590]"/>
    <s v="#FIELD!"/>
    <s v="[1106963, 1452830]"/>
    <s v="[0.192, 0.065]"/>
    <s v="31.516164020511717"/>
    <s v="[0.192, -0.065]"/>
  </r>
  <r>
    <x v="3438"/>
    <x v="4094"/>
    <x v="0"/>
    <n v="0"/>
    <s v="LINESTRING (7.986209353170496 58.14724880737245, 7.986082094804549 58.14722286876845, 7.985654801056361 58.147139761209154)"/>
    <s v="[1175158, 1175166]"/>
    <s v="[1107088, 1106590]"/>
    <s v="#FIELD!"/>
    <s v="[1106976, 1107088]"/>
    <s v="[0.004, 0.001]"/>
    <s v="34.90245859494728"/>
    <s v="[-0.004, 0.001]"/>
  </r>
  <r>
    <x v="3439"/>
    <x v="4095"/>
    <x v="0"/>
    <n v="0"/>
    <s v="LINESTRING (7.982242625988662 58.14505756635147, 7.98206705555005 58.14504724663304, 7.9820523890265305 58.145043155378886, 7.981970745923222 58.14499999801543, 7.982064908073346 58.14484875605531)"/>
    <s v="[2137618, 2137626, 2137634, 2137642]"/>
    <s v="[1837124, 1837131, 1452974, 1112166]"/>
    <s v="0.02700717968935489"/>
    <s v="[1106614, 1837124, 1837131, 1452974]"/>
    <s v="[0.173, 0.016, 0.009, 0.047]"/>
    <s v="37.59280491981388"/>
    <s v="[0.173, 0.016, 0.009, -0.047]"/>
  </r>
  <r>
    <x v="3439"/>
    <x v="984"/>
    <x v="0"/>
    <n v="0"/>
    <s v="LINESTRING (7.982390896624936 58.144949869605874, 7.982328719250696 58.14502538604476, 7.9823165761946875 58.14503214958489, 7.982242625988662 58.14505756635147)"/>
    <s v="[2137594, 2137602, 2137610]"/>
    <s v="[1837111, 1837114, 1106614]"/>
    <s v="0.009687680748146054"/>
    <s v="[1112161, 1837111, 1837114]"/>
    <s v="[0.161, 0.017, 0.259]"/>
    <s v="15.43272009760535"/>
    <s v="[0.161, 0.017, -0.259]"/>
  </r>
  <r>
    <x v="3440"/>
    <x v="4092"/>
    <x v="0"/>
    <n v="0"/>
    <s v="LINESTRING (7.986465114283461 58.147335268699536, 7.986579020141428 58.14732416002226, 7.986757876773564 58.1473183429852, 7.986775645289608 58.14731700860622, 7.987095533947848 58.1473184962275, 7.987189071942352 58.14732816979353)"/>
    <s v="[1174572, 1174580, 1174588, 1174596, 1174604]"/>
    <s v="[1106662, 1106668, 1106675, 1106681, 1106622]"/>
    <s v="#FIELD!"/>
    <s v="[1106661, 1106662, 1106668, 1106675, 1106681]"/>
    <s v="[0.025, 0.012, 0.013, 0.009, 0.02]"/>
    <s v="43.08882349084762"/>
    <s v="[-0.025, -0.012, -0.013, -0.009, 0.02]"/>
  </r>
  <r>
    <x v="3440"/>
    <x v="4096"/>
    <x v="0"/>
    <n v="0"/>
    <s v="LINESTRING (7.987121688189385 58.14693603233067, 7.987121688189385 58.14693603233067, 7.987189071942352 58.14732816979353)"/>
    <s v="[1622861, 1174524]"/>
    <s v="[1106621, 1106622]"/>
    <s v="0.019367443255299547"/>
    <s v="[1452839, 1106621]"/>
    <s v="[0.066, 0.036]"/>
    <s v="55.917296778856404"/>
    <s v="[-0.066, 0.036]"/>
  </r>
  <r>
    <x v="3441"/>
    <x v="4094"/>
    <x v="0"/>
    <n v="0"/>
    <s v="LINESTRING (7.986209353170496 58.14724880737245, 7.986245024989792 58.147247353816034, 7.986375667146942 58.1472697122153, 7.9864515123325 58.14731716015733, 7.986465114283461 58.147335268699536)"/>
    <s v="[1175004, 1175012, 1175020, 1175028]"/>
    <s v="[1106981, 1106986, 1106994, 1106661]"/>
    <s v="0.010489445428618951"/>
    <s v="[1106976, 1106981, 1106986, 1106994]"/>
    <s v="[0.014, 0.001, 0.024, 0.034]"/>
    <s v="19.315546306728187"/>
    <s v="[-0.014, -0.001, 0.024, 0.034]"/>
  </r>
  <r>
    <x v="3442"/>
    <x v="3842"/>
    <x v="0"/>
    <n v="0"/>
    <s v="LINESTRING (8.138584103189189 58.18043552580099, 8.138474097231022 58.18047975569542, 8.138315685726022 58.180483066676125)"/>
    <s v="[1174692, 1174700]"/>
    <s v="[1106751, 1106697]"/>
    <s v="0.026316399248900668"/>
    <s v="[1106743, 1106751]"/>
    <s v="[0.037, 0.017]"/>
    <s v="17.489039461786753"/>
    <s v="[0.037, 0.017]"/>
  </r>
  <r>
    <x v="3443"/>
    <x v="4097"/>
    <x v="0"/>
    <n v="0"/>
    <s v="LINESTRING (8.138561450187472 58.180267379743135, 8.138626759485007 58.180332359844655, 8.138621191391245 58.18039637723289)"/>
    <s v="[1174668, 1174676]"/>
    <s v="[1106730, 1106737]"/>
    <s v="0.035310938699741494"/>
    <s v="[1106725, 1106730]"/>
    <s v="[0.026, 0.046]"/>
    <s v="15.35655870379666"/>
    <s v="[0.026, 0.046]"/>
  </r>
  <r>
    <x v="3443"/>
    <x v="3851"/>
    <x v="0"/>
    <n v="0"/>
    <s v="LINESTRING (8.138561450187472 58.180267379743135, 8.138672183762074 58.18027155834004, 8.13903497855782 58.18030881312568)"/>
    <s v="[1338665, 1338673]"/>
    <s v="[1242302, 1107068]"/>
    <s v="#FIELD!"/>
    <s v="[1106725, 1242302]"/>
    <s v="[0.611, 0.189]"/>
    <s v="28.9623431632916"/>
    <s v="[0.611, -0.189]"/>
  </r>
  <r>
    <x v="3444"/>
    <x v="3842"/>
    <x v="0"/>
    <n v="0"/>
    <m/>
    <n v="1174684"/>
    <n v="1106743"/>
    <s v="0.046"/>
    <n v="1106737"/>
    <s v="0.046"/>
    <s v="4.88368600529015"/>
    <s v="0.046"/>
  </r>
  <r>
    <x v="3444"/>
    <x v="3851"/>
    <x v="0"/>
    <n v="0"/>
    <s v="LINESTRING (8.138621191391245 58.18039637723289, 8.138744619158496 58.180371812538695, 8.13903497855782 58.18030881312568)"/>
    <s v="[1175118, 1175126]"/>
    <s v="[1107062, 1107068]"/>
    <s v="#FIELD!"/>
    <s v="[1106737, 1107062]"/>
    <s v="[0.032, 0.028]"/>
    <s v="26.40920701102861"/>
    <s v="[-0.032, -0.028]"/>
  </r>
  <r>
    <x v="3445"/>
    <x v="3844"/>
    <x v="0"/>
    <n v="0"/>
    <s v="LINESTRING (8.106806890509446 58.1695928243305, 8.107127750273898 58.16954132237605, 8.107198928781406 58.16958213004168, 8.107228162023326 58.169632645845915, 8.107198515501093 58.169703574886405)"/>
    <s v="[1174708, 1174716, 1174724, 1174732]"/>
    <s v="[1106765, 1106773, 1106779, 1106784]"/>
    <s v="0.03588816427378955"/>
    <s v="[1106764, 1106765, 1106773, 1106779]"/>
    <s v="[0.13, 0.007, 0.063, 0.126]"/>
    <s v="42.21990261507432"/>
    <s v="[0.13, 0.007, -0.063, -0.126]"/>
  </r>
  <r>
    <x v="3445"/>
    <x v="4098"/>
    <x v="0"/>
    <n v="0"/>
    <m/>
    <n v="1174764"/>
    <n v="1106764"/>
    <s v="0.054"/>
    <n v="1106806"/>
    <s v="0.054"/>
    <s v="18.710590466858704"/>
    <s v="0.054"/>
  </r>
  <r>
    <x v="3445"/>
    <x v="3823"/>
    <x v="0"/>
    <n v="0"/>
    <s v="LINESTRING (8.106116128539556 58.169529038797606, 8.106716094174057 58.16959889885377, 8.106806890509446 58.1695928243305)"/>
    <s v="[1337142, 1337159]"/>
    <s v="[1241155, 1106764]"/>
    <s v="#FIELD!"/>
    <s v="[1241123, 1241155]"/>
    <s v="[0.044, 0.555]"/>
    <s v="42.62298837548278"/>
    <s v="[0.044, -0.555]"/>
  </r>
  <r>
    <x v="3446"/>
    <x v="3843"/>
    <x v="0"/>
    <n v="0"/>
    <s v="LINESTRING (8.107198515501093 58.169703574886405, 8.10710061613061 58.16974917360468, 8.106999692655535 58.16975865453479)"/>
    <s v="[1174740, 1174748]"/>
    <s v="[1106791, 1106798]"/>
    <s v="#FIELD!"/>
    <s v="[1106784, 1106791]"/>
    <s v="[0.164, 0.131]"/>
    <s v="13.735432192819488"/>
    <s v="[-0.164, -0.131]"/>
  </r>
  <r>
    <x v="3447"/>
    <x v="4098"/>
    <x v="0"/>
    <n v="0"/>
    <m/>
    <n v="1174756"/>
    <n v="1106806"/>
    <s v="#FIELD!"/>
    <n v="1106798"/>
    <s v="0.072"/>
    <s v="6.3100618855332895"/>
    <s v="#FIELD!"/>
  </r>
  <r>
    <x v="3448"/>
    <x v="3829"/>
    <x v="0"/>
    <n v="0"/>
    <s v="LINESTRING (8.10689733150623 58.16974210588809, 8.106834908413427 58.1697638134742, 8.106588097587752 58.170035569065725)"/>
    <s v="[1337167, 1337168]"/>
    <s v="[1241175, 1241139]"/>
    <s v="0.06464455783165697"/>
    <s v="[1106806, 1241175]"/>
    <s v="[0.79, 0.026]"/>
    <s v="39.65545545912334"/>
    <s v="[0.79, -0.026]"/>
  </r>
  <r>
    <x v="3449"/>
    <x v="3856"/>
    <x v="0"/>
    <n v="0"/>
    <s v="LINESTRING (8.089225132453059 58.16493410868411, 8.089170065043936 58.164906061266485, 8.089134781253616 58.164828988820915, 8.08920876877379 58.16475993522471, 8.089252290665568 58.16474572318926, 8.089402252464398 58.16474180875173)"/>
    <s v="[1174772, 1174780, 1174788, 1174796, 1174804]"/>
    <s v="[597111, 1106824, 1106832, 1106839, 1106844]"/>
    <s v="0.017714097094770478"/>
    <s v="[1106819, 597111, 1106824, 1106832, 1106839]"/>
    <s v="[0.061, 0.071, 0.023, 0.023, 0.049]"/>
    <s v="34.07653422733494"/>
    <s v="[0.061, 0.071, 0.023, -0.023, -0.049]"/>
  </r>
  <r>
    <x v="3449"/>
    <x v="4099"/>
    <x v="0"/>
    <n v="0"/>
    <s v="LINESTRING (8.089483395180567 58.16491869613451, 8.089346723160697 58.16495153853796, 8.089225132453059 58.16493410868411)"/>
    <s v="[1174828, 1174836]"/>
    <s v="[1106861, 1106819]"/>
    <s v="0.033881729123805646"/>
    <s v="[1106856, 1106861]"/>
    <s v="[0.017, 0.054]"/>
    <s v="16.279158773325108"/>
    <s v="[0.017, 0.054]"/>
  </r>
  <r>
    <x v="3449"/>
    <x v="4100"/>
    <x v="0"/>
    <n v="0"/>
    <s v="LINESTRING (8.089393577216862 58.16517576058475, 8.089264712557368 58.16499438395352, 8.089225132453059 58.16493410868411)"/>
    <s v="[1839013, 1839021]"/>
    <s v="[1612207, 1106819]"/>
    <s v="#FIELD!"/>
    <s v="[1249084, 1612207]"/>
    <s v="[0.356, 0.851]"/>
    <s v="28.731637049931383"/>
    <s v="[-0.356, 0.851]"/>
  </r>
  <r>
    <x v="3450"/>
    <x v="3859"/>
    <x v="0"/>
    <n v="0"/>
    <m/>
    <n v="1174812"/>
    <n v="1106850"/>
    <s v="#FIELD!"/>
    <n v="1106844"/>
    <s v="0.066"/>
    <s v="14.864189624472802"/>
    <s v="#FIELD!"/>
  </r>
  <r>
    <x v="3451"/>
    <x v="4099"/>
    <x v="0"/>
    <n v="0"/>
    <m/>
    <n v="1174820"/>
    <n v="1106856"/>
    <s v="#FIELD!"/>
    <n v="1106850"/>
    <s v="0.02"/>
    <s v="8.85609959315137"/>
    <s v="#FIELD!"/>
  </r>
  <r>
    <x v="3452"/>
    <x v="4100"/>
    <x v="0"/>
    <n v="0"/>
    <s v="LINESTRING (8.089393577216862 58.16517576058475, 8.089450174298493 58.164986805335026, 8.089483395180567 58.16491869613451)"/>
    <s v="[1838869, 1838877]"/>
    <s v="[1612135, 1106856]"/>
    <s v="#FIELD!"/>
    <s v="[1249084, 1612135]"/>
    <s v="[0.34, 0.647]"/>
    <s v="29.189265048625163"/>
    <s v="[-0.34, 0.647]"/>
  </r>
  <r>
    <x v="3453"/>
    <x v="4045"/>
    <x v="0"/>
    <n v="0"/>
    <s v="LINESTRING (8.043709155868354 58.16433677916968, 8.045950918608565 58.16330369087488, 8.046374837354358 58.163117632417595)"/>
    <s v="[1371343, 1371351]"/>
    <s v="[1264283, 1264290]"/>
    <s v="#FIELD!"/>
    <s v="[1106875, 1264283]"/>
    <s v="[0.002, 0.026]"/>
    <s v="201.23734725255457"/>
    <s v="[-0.002, -0.026]"/>
  </r>
  <r>
    <x v="3454"/>
    <x v="4058"/>
    <x v="0"/>
    <n v="0"/>
    <s v="LINESTRING (8.029479624857084 58.16435148178546, 8.029315374893413 58.16426839025531, 8.027568011482504 58.1632182189848, 8.026993991842996 58.1629470800427, 8.026679629459933 58.16281977596691, 8.025262429989676 58.16242415426058, 8.024963626162204 58.16236119608622, 8.023129916334439 58.161981635509584)"/>
    <s v="[1174966, 1174974, 1174982, 1174990, 1174998, 1175006, 1175014]"/>
    <s v="[1106956, 1106960, 1106965, 1106973, 1106977, 1106982, 1106987]"/>
    <s v="#FIELD!"/>
    <s v="[1106950, 1106956, 1106960, 1106965, 1106973, 1106977, 1106982]"/>
    <s v="[0.052, 0.045, 0.059, 0.007, 0.008, 0.037, 0.044]"/>
    <s v="468.00489106806197"/>
    <s v="[-0.052, -0.045, -0.059, -0.007, -0.008, -0.037, -0.044]"/>
  </r>
  <r>
    <x v="3455"/>
    <x v="4094"/>
    <x v="0"/>
    <n v="0"/>
    <s v="LINESTRING (7.98601401799866 58.147348861313574, 7.986064393894775 58.14729121065829, 7.986209353170496 58.14724880737245)"/>
    <s v="[1174988, 1174996]"/>
    <s v="[1106971, 1106976]"/>
    <s v="#FIELD!"/>
    <s v="[1106963, 1106971]"/>
    <s v="[0.042, 0.029]"/>
    <s v="16.857714204553968"/>
    <s v="[-0.042, -0.029]"/>
  </r>
  <r>
    <x v="3456"/>
    <x v="4059"/>
    <x v="379"/>
    <n v="0"/>
    <s v="LINESTRING (8.023129916334439 58.161981635509584, 8.020948938359362 58.16153609986995, 8.019783331048245 58.161290083073155, 8.019378174588274 58.16119926699954, 8.018853600373339 58.16107412800172, 8.01684093069345 58.160452328847434)"/>
    <s v="[1175022, 1175030, 1175038, 1175046, 1175054]"/>
    <s v="[1106996, 1107001, 1107007, 1107014, 1107020]"/>
    <s v="#FIELD!"/>
    <s v="[1106987, 1106996, 1107001, 1107007, 1107014]"/>
    <s v="[0.025, 0.006, 0.005, 0.006, 0.016]"/>
    <s v="409.4103031688248"/>
    <s v="[-0.025, -0.006, -0.005, -0.006, 0.016]"/>
  </r>
  <r>
    <x v="3457"/>
    <x v="4063"/>
    <x v="0"/>
    <n v="0"/>
    <m/>
    <n v="1175062"/>
    <n v="1107027"/>
    <s v="0.043"/>
    <n v="1107020"/>
    <s v="0.043"/>
    <s v="10.912900622640903"/>
    <s v="0.043"/>
  </r>
  <r>
    <x v="3458"/>
    <x v="4060"/>
    <x v="0"/>
    <n v="0"/>
    <m/>
    <n v="1338435"/>
    <n v="1107027"/>
    <s v="#FIELD!"/>
    <n v="1242103"/>
    <s v="0.118"/>
    <s v="11.012447502810467"/>
    <s v="#FIELD!"/>
  </r>
  <r>
    <x v="3459"/>
    <x v="3983"/>
    <x v="380"/>
    <n v="0"/>
    <s v="LINESTRING (7.98045079292053 58.14213232518529, 7.978713479778767 58.141392882837586, 7.97859783948043 58.14135934152678)"/>
    <s v="[1175070, 1308221]"/>
    <s v="[1107033, 1217329]"/>
    <s v="#FIELD!"/>
    <s v="[1107032, 1107033]"/>
    <s v="[0.022, 1.208]"/>
    <s v="142.05417065398728"/>
    <s v="[-0.022, -1.208]"/>
  </r>
  <r>
    <x v="3459"/>
    <x v="3980"/>
    <x v="381"/>
    <n v="0"/>
    <s v="LINESTRING (7.98045079292053 58.14213232518529, 7.978658231108541 58.14145378480164, 7.978537972040845 58.14143187478199, 7.978469175150189 58.141441172385335)"/>
    <s v="[1338512, 1308253, 1308261]"/>
    <s v="[1217353, 1217354, 1112244]"/>
    <s v="0.06035872805241156"/>
    <s v="[1107032, 1217353, 1217354]"/>
    <s v="[0.093, 0.046, 4.908]"/>
    <s v="143.4177278444393"/>
    <s v="[-0.093, 0.046, 4.908]"/>
  </r>
  <r>
    <x v="3459"/>
    <x v="4087"/>
    <x v="0"/>
    <n v="1"/>
    <s v="LINESTRING (7.986068991349224 58.146988807250054, 7.981184251848984 58.14310883586011, 7.980909496685554 58.142641041897214, 7.98045079292053 58.14213232518529)"/>
    <s v="[1336717, 1336725, 1336733]"/>
    <s v="[1240811, 1240818, 1107032]"/>
    <s v="0.02579616606786946"/>
    <s v="[1240804, 1240811, 1240818]"/>
    <s v="[0.011, 0.071, 0.113]"/>
    <s v="656.2444823980916"/>
    <s v="[0.011, 0.071, 0.113]"/>
  </r>
  <r>
    <x v="3460"/>
    <x v="4101"/>
    <x v="0"/>
    <n v="0"/>
    <s v="LINESTRING (7.007757883961729 58.2209550929538, 7.00630692399602 58.22095536474697, 7.0053158987248345 58.220906470800884, 7.002256731059557 58.22049134771373, 6.977621725296101 58.217202392923866, 6.954827385758506 58.217825204238686, 6.949777123738103 58.217834020258444)"/>
    <s v="[1177673, 1177681, 1177689, 1177705, 1177713, 1177721]"/>
    <s v="[1108909, 1108916, 1108921, 1108929, 1108944, 1108950]"/>
    <s v="#FIELD!"/>
    <s v="[1108862, 1108909, 1108916, 1108921, 1108929, 1108944]"/>
    <s v="[0.002, 0.043, 0.003, 0.009, 0.015, 0.078]"/>
    <s v="3514.691402315471"/>
    <s v="[-0.002, -0.043, 0.003, 0.009, -0.015, -0.078]"/>
  </r>
  <r>
    <x v="3461"/>
    <x v="4102"/>
    <x v="0"/>
    <n v="0"/>
    <s v="LINESTRING (6.949777123738103 58.217834020258444, 6.949669790314876 58.21785111839994, 6.946023467637857 58.21790815860018, 6.945787196005162 58.21790945513968, 6.9439294167108025 58.21791908949387, 6.94373159331493 58.21792009862475)"/>
    <s v="[1177729, 1177761, 1177801, 1177809, 1177817]"/>
    <s v="[1108954, 1108979, 1109004, 1109009, 1109017]"/>
    <s v="0.01711222105441408"/>
    <s v="[1108950, 1108954, 1108979, 1109004, 1109009]"/>
    <s v="[0.036, 0.003, 0.042, 0.042, 0.044]"/>
    <s v="356.5412267538091"/>
    <s v="[-0.036, 0.003, 0.042, 0.042, 0.044]"/>
  </r>
  <r>
    <x v="3461"/>
    <x v="4103"/>
    <x v="0"/>
    <n v="0"/>
    <s v="LINESTRING (6.949777123738103 58.217834020258444, 6.949670302112646 58.21782110846419, 6.94578930345218 58.21783953476504, 6.943947923309978 58.217849172654624, 6.943854507186349 58.21784968334642)"/>
    <s v="[1177793, 1177769, 1177777, 1177785]"/>
    <s v="[1108985, 1108986, 1108992, 1108998]"/>
    <s v="0.018439354788455348"/>
    <s v="[1108950, 1108985, 1108986, 1108992]"/>
    <s v="[0.049, 0.009, 0.041, 0.045]"/>
    <s v="349.08329054256257"/>
    <s v="[-0.049, 0.009, 0.041, 0.045]"/>
  </r>
  <r>
    <x v="3462"/>
    <x v="4104"/>
    <x v="0"/>
    <n v="0"/>
    <s v="LINESTRING (6.943854507186349 58.21784968334642, 6.943746668816335 58.217850234612754, 6.943649441698916 58.21785073775994)"/>
    <s v="[1177929, 1182841]"/>
    <s v="[1109092, 1109060]"/>
    <s v="0.040896509859665975"/>
    <s v="[1108998, 1109092]"/>
    <s v="[0.039, 0.043]"/>
    <s v="12.081142352059047"/>
    <s v="[0.039, 0.043]"/>
  </r>
  <r>
    <x v="3462"/>
    <x v="4105"/>
    <x v="0"/>
    <n v="0"/>
    <s v="LINESTRING (6.943854507186349 58.21784968334642, 6.943850323939373 58.21782154038707, 6.943809167861543 58.21759338235477, 6.943738791981376 58.21757285537608)"/>
    <s v="[1178033, 1177937, 1177969]"/>
    <s v="[1109097, 1109098, 1109124]"/>
    <s v="0.0783960363358911"/>
    <s v="[1108998, 1109097, 1109098]"/>
    <s v="[0.081, 0.08, 0.068]"/>
    <s v="33.475882370632256"/>
    <s v="[0.081, 0.08, 0.068]"/>
  </r>
  <r>
    <x v="3462"/>
    <x v="4102"/>
    <x v="0"/>
    <n v="0"/>
    <m/>
    <n v="1177825"/>
    <n v="1108998"/>
    <s v="0.025"/>
    <n v="1109017"/>
    <s v="0.025"/>
    <s v="11.656279008174621"/>
    <s v="0.025"/>
  </r>
  <r>
    <x v="3463"/>
    <x v="4104"/>
    <x v="0"/>
    <n v="0"/>
    <m/>
    <n v="1177881"/>
    <n v="1109060"/>
    <s v="0.08"/>
    <n v="1109017"/>
    <s v="0.08"/>
    <s v="9.812991652680399"/>
    <s v="0.08"/>
  </r>
  <r>
    <x v="3463"/>
    <x v="4106"/>
    <x v="0"/>
    <n v="0"/>
    <s v="LINESTRING (6.94373159331493 58.21792009862475, 6.943549104316555 58.217921115718, 6.94142116636691 58.21794086018179, 6.939495558233676 58.218049755667984)"/>
    <s v="[1177889, 1177897, 1177905]"/>
    <s v="[1109064, 1109069, 1109074]"/>
    <s v="0.009901449875616393"/>
    <s v="[1109017, 1109064, 1109069]"/>
    <s v="[0.043, 0.017, 0.001]"/>
    <s v="250.41156019936903"/>
    <s v="[0.043, 0.017, -0.001]"/>
  </r>
  <r>
    <x v="3464"/>
    <x v="4106"/>
    <x v="0"/>
    <n v="0"/>
    <s v="LINESTRING (6.943649441698916 58.21785073775994, 6.9435664932654495 58.217851155008894, 6.941425827173263 58.21790071133333, 6.939495558233676 58.218049755667984)"/>
    <s v="[1177913, 1177921, 1177985]"/>
    <s v="[1109081, 1109087, 1109074]"/>
    <s v="0.007035991149675588"/>
    <s v="[1109060, 1109081, 1109087]"/>
    <s v="[0.04, 0.014, 0.002]"/>
    <s v="246.29091521972032"/>
    <s v="[0.04, 0.014, -0.002]"/>
  </r>
  <r>
    <x v="3464"/>
    <x v="4105"/>
    <x v="0"/>
    <n v="0"/>
    <s v="LINESTRING (6.943649441698916 58.21785073775994, 6.943652901168282 58.217815321278096, 6.943663580979505 58.21771224860244, 6.94367837800808 58.21760086662213, 6.943738791981376 58.21757285537608)"/>
    <s v="[1178025, 1177945, 1177953, 1177977]"/>
    <s v="[1109102, 1109103, 1109109, 1109124]"/>
    <s v="0.06509762103527827"/>
    <s v="[1109060, 1109102, 1109103, 1109109]"/>
    <s v="[0.063, 0.077, 0.07, 0.025]"/>
    <s v="32.68684959620976"/>
    <s v="[0.063, 0.077, 0.07, 0.025]"/>
  </r>
  <r>
    <x v="3465"/>
    <x v="4107"/>
    <x v="382"/>
    <n v="0"/>
    <s v="LINESTRING (6.939495558233676 58.218049755667984, 6.934766623160868 58.218570799685985, 6.934673470247176 58.21858265190114, 6.923487585450995 58.22081952035516, 6.923306109422113 58.220900382033996, 6.9120501438860416 58.22605614359224, 6.8976407114533265 58.22992846336847, 6.8768961069857975 58.23448030052196, 6.876464852795015 58.234585481457, 6.875878920517579 58.23472833539484)"/>
    <s v="[1177993, 1178001, 1178009, 1178017, 1178041, 1178049, 1178057, 1178065, 1178073]"/>
    <s v="[1109139, 1109145, 1109150, 1109155, 1109169, 1109175, 1109182, 1109187, 1109193]"/>
    <s v="#FIELD!"/>
    <s v="[1109074, 1109139, 1109145, 1109150, 1109155, 1109169, 1109175, 1109182, 1109187]"/>
    <s v="[0.076, 0.066, 0.043, 0.113, 0.086, 0.013, 0.095, 0.256, 0.228]"/>
    <s v="4244.375109368032"/>
    <s v="[-0.076, -0.066, 0.043, 0.113, 0.086, -0.013, -0.095, -0.256, -0.228]"/>
  </r>
  <r>
    <x v="3466"/>
    <x v="4108"/>
    <x v="0"/>
    <n v="0"/>
    <s v="LINESTRING (6.875878920517579 58.23472833539484, 6.870410682862689 58.23607983251336, 6.869648327795599 58.23626720840503, 6.869440315604116 58.23631890846756, 6.861789147018611 58.23937309715245, 6.860741553639826 58.24007050209454)"/>
    <s v="[1178081, 1178129, 1178097, 1178105, 1182329]"/>
    <s v="[1109198, 1109211, 1109212, 1109218, 1112348]"/>
    <s v="#FIELD!"/>
    <s v="[1109193, 1109198, 1109211, 1109212, 1109218]"/>
    <s v="[0.067, 0.021, 0.006, 0.023, 0.106]"/>
    <s v="1089.9611953754766"/>
    <s v="[-0.067, -0.021, -0.006, -0.023, -0.106]"/>
  </r>
  <r>
    <x v="3466"/>
    <x v="4109"/>
    <x v="0"/>
    <n v="0"/>
    <s v="LINESTRING (6.875878920517579 58.23472833539484, 6.8703762121203535 58.23603711312155, 6.8696031438799805 58.2362256972135, 6.8693940707204835 58.23627747358649, 6.8617254784929935 58.239345736200306, 6.860673009001588 58.24004499337343)"/>
    <s v="[1178089, 1182321, 1178113, 1178121, 1182337]"/>
    <s v="[1109205, 1109224, 1109225, 1109229, 1112355]"/>
    <s v="#FIELD!"/>
    <s v="[1109193, 1109205, 1109224, 1109225, 1109229]"/>
    <s v="[0.07, 0.026, 0.008, 0.022, 0.106]"/>
    <s v="1092.7680966090422"/>
    <s v="[-0.07, -0.026, -0.008, -0.022, -0.106]"/>
  </r>
  <r>
    <x v="3467"/>
    <x v="2193"/>
    <x v="0"/>
    <s v="[0, 0, 0, 1, 1]"/>
    <s v="LINESTRING (10.236461174595977 59.74681040016237, 10.234841206629843 59.74598372950944, 10.231880742750702 59.74447875640703, 10.231665516449414 59.744372596357586, 10.219511034832202 59.736874245824374, 10.215262642842465 59.73204823227402)"/>
    <s v="[1179179, 1664287, 1179187, 1179195, 1179203]"/>
    <s v="[1109988, 1109995, 1109996, 1110000, 1110008]"/>
    <s v="#FIELD!"/>
    <s v="[1109982, 1109988, 1109995, 1109996, 1110000]"/>
    <s v="[0.003, 0.034, 0.043, 0.006, 0.006]"/>
    <s v="2057.728290577817"/>
    <s v="[-0.003, -0.034, -0.043, -0.006, 0.006]"/>
  </r>
  <r>
    <x v="3468"/>
    <x v="4110"/>
    <x v="0"/>
    <s v="[1, 1, 0, 0, 0, 0, 0]"/>
    <s v="LINESTRING (10.215262642842465 59.73204823227402, 10.215180127443407 59.73193310548459, 10.21502275996686 59.73051102976807, 10.213668424854026 59.7303784686087, 10.21372937006319 59.730637054404596, 10.215411460474177 59.73060941256382, 10.215807277680462 59.730482636990914, 10.21589244868655 59.730422779966894)"/>
    <s v="[1179219, 1179227, 1179315, 1635286, 1635287, 1635295, 1635302]"/>
    <s v="[1110019, 1110027, 1110109, 1462047, 1462048, 1462057, 1300651]"/>
    <s v="#FIELD!"/>
    <s v="[1110008, 1110019, 1110027, 1110109, 1462047, 1462048, 1462057]"/>
    <s v="[0.04, 0.04, 0.012, 0.282, 0.018, 0.031, 0.299]"/>
    <s v="461.98531303832794"/>
    <s v="[0.04, 0.04, 0.012, -0.282, -0.018, -0.031, 0.299]"/>
  </r>
  <r>
    <x v="3469"/>
    <x v="2842"/>
    <x v="0"/>
    <s v="[0, 0, 0, 0, 0, 0, 0, 0, 1, 1, 1]"/>
    <s v="LINESTRING (10.241215051909059 59.749012420341394, 10.239084540969639 59.74794469894956, 10.238129072680657 59.74746746286486, 10.236647477829075 59.746728172143804, 10.235008865450451 59.745899638931355, 10.234367085914577 59.74558569671344, 10.23370298575449 59.7452474088567, 10.232011607350005 59.744405474843354, 10.23180133632418 59.74430480224813, 10.21971032458737 59.73683678044369, 10.215460537109315 59.732036026182364, 10.215340504773627 59.73052019982918)"/>
    <s v="[1179339, 1179347, 1179355, 1179363, 1664270, 1664278, 1664286, 1179259, 1179283, 1179291, 1179299]"/>
    <s v="[1110133, 1110139, 1110146, 1110154, 1492778, 1492786, 1110053, 1110054, 1110080, 1110086, 1110064]"/>
    <s v="0.0007662467293463805"/>
    <s v="[1110126, 1110133, 1110139, 1110146, 1110154, 1492778, 1492786, 1110053, 1110054, 1110080, 1110086]"/>
    <s v="[0.012, 0.03, 0.016, 0.003, 0.166, 0.048, 0.023, 0.045, 0.005, 0.006, 0.039]"/>
    <s v="2582.5358248390285"/>
    <s v="[0.012, 0.03, 0.016, -0.003, -0.166, -0.048, 0.023, -0.045, -0.005, 0.006, 0.039]"/>
  </r>
  <r>
    <x v="3469"/>
    <x v="4111"/>
    <x v="0"/>
    <n v="0"/>
    <s v="LINESTRING (10.21630789706999 59.73033343741073, 10.216396343848743 59.73031254041237, 10.21756846119503 59.72971834216799, 10.215557830879666 59.7300435670148, 10.215424964261787 59.73041616921021, 10.215340504773627 59.73052019982918)"/>
    <s v="[1635363, 1635364, 1635371, 1664248, 1664262]"/>
    <s v="[1462117, 1462118, 1462125, 1492758, 1110064]"/>
    <s v="0.020099882857724773"/>
    <s v="[1300673, 1462117, 1462118, 1462125, 1492758]"/>
    <s v="[0.356, 0.009, 0.003, 0.004, 0.667]"/>
    <s v="388.7532587111084"/>
    <s v="[-0.356, 0.009, 0.003, -0.004, 0.667]"/>
  </r>
  <r>
    <x v="3470"/>
    <x v="1453"/>
    <x v="0"/>
    <s v="[0, 0, 0, 1, 0, 0, 0, 0]"/>
    <s v="LINESTRING (10.23397992824185 59.744682967265405, 10.234055518798213 59.74470489214835, 10.234385436410568 59.74479620128482, 10.235753696553479 59.74563766934792, 10.236080378771145 59.74605826038883, 10.236801293969274 59.74664053613616, 10.23896358099548 59.74781399132218, 10.241044073558566 59.748879908725726, 10.241215051909059 59.749012420341394)"/>
    <s v="[1638665, 1638673, 1638681, 1638689, 1638690, 1638697, 1302268, 1302276]"/>
    <s v="[1465409, 1465417, 1465426, 1465436, 1465437, 1213356, 1213357, 1110126]"/>
    <s v="0.01128930215895925"/>
    <s v="[1460410, 1465409, 1465417, 1465426, 1465436, 1465437, 1213356, 1213357]"/>
    <s v="[0.006, 0.009, 0.016, 0.005, 0.008, 0.036, 0.013, 0.006]"/>
    <s v="640.1964203325357"/>
    <s v="[0.006, 0.009, 0.016, 0.005, 0.008, 0.036, -0.013, -0.006]"/>
  </r>
  <r>
    <x v="3471"/>
    <x v="4112"/>
    <x v="0"/>
    <n v="0"/>
    <m/>
    <n v="1181084"/>
    <n v="1111445"/>
    <s v="0.224"/>
    <n v="1111444"/>
    <s v="0.224"/>
    <s v="122.46091648561433"/>
    <s v="0.224"/>
  </r>
  <r>
    <x v="3471"/>
    <x v="4108"/>
    <x v="0"/>
    <s v="[0, 0, 1, 0, 0, 0]"/>
    <s v="LINESTRING (6.860741553639826 58.24007050209454, 6.860461262270519 58.24025428336927, 6.859993862879917 58.24056607838838, 6.85930459669771 58.24102560833641, 6.857039386871324 58.24253282916301, 6.856301223383253 58.243023269748896, 6.855774136994388 58.24337366563672)"/>
    <s v="[1182369, 1182377, 1182441, 1182505, 1182513, 1182521]"/>
    <s v="[1112382, 1112390, 1112444, 1112501, 1112505, 1111444]"/>
    <s v="0.036507647456297775"/>
    <s v="[1112348, 1112382, 1112390, 1112444, 1112501, 1112505]"/>
    <s v="[0.11, 0.092, 0.061, 0.062, 0.118, 0.132]"/>
    <s v="470.67876175848806"/>
    <s v="[-0.11, -0.092, -0.061, 0.062, 0.118, 0.132]"/>
  </r>
  <r>
    <x v="3471"/>
    <x v="4113"/>
    <x v="0"/>
    <s v="[0, 0, 1, 0, 0]"/>
    <s v="LINESTRING (6.856150283973844 58.24199945788299, 6.856174995708898 58.24204207880842, 6.856732040523891 58.242354256981905, 6.857406561538923 58.24262015721765, 6.856124248279775 58.24317859171721, 6.855774136994388 58.24337366563672)"/>
    <s v="[1182665, 1182673, 1182681, 1182689, 1182809]"/>
    <s v="[1112633, 1112639, 1112647, 1112654, 1111444]"/>
    <s v="0.034772303427997094"/>
    <s v="[1112632, 1112633, 1112639, 1112647, 1112654]"/>
    <s v="[0.114, 0.078, 0.05, 0.022, 0.127]"/>
    <s v="602.2455720221793"/>
    <s v="[0.114, 0.078, 0.05, 0.022, 0.127]"/>
  </r>
  <r>
    <x v="3472"/>
    <x v="4114"/>
    <x v="0"/>
    <n v="0"/>
    <s v="LINESTRING (6.854522681822791 58.244247426009935, 6.85234091823564 58.25245247015852, 6.84958408377289 58.25899009946276)"/>
    <s v="[1181132, 1181140]"/>
    <s v="[1111479, 1111486]"/>
    <s v="#FIELD!"/>
    <s v="[1111445, 1111479]"/>
    <s v="[0.074, 0.145]"/>
    <s v="1703.5397129158273"/>
    <s v="[0.074, -0.145]"/>
  </r>
  <r>
    <x v="3472"/>
    <x v="4115"/>
    <x v="0"/>
    <n v="0"/>
    <m/>
    <n v="1181124"/>
    <n v="1111445"/>
    <s v="0.224"/>
    <n v="1111473"/>
    <s v="0.224"/>
    <s v="122.52189625341094"/>
    <s v="0.224"/>
  </r>
  <r>
    <x v="3473"/>
    <x v="4116"/>
    <x v="0"/>
    <n v="0"/>
    <s v="LINESTRING (6.855729409633547 58.243356900731484, 6.8560163187218155 58.24312501923905, 6.856119372825159 58.24189687113713, 6.85611610910747 58.24194809126942)"/>
    <s v="[1182817, 1182697, 1182833]"/>
    <s v="[1112659, 1112660, 1112692]"/>
    <s v="#FIELD!"/>
    <s v="[1111473, 1112659, 1112660]"/>
    <s v="[0.137, 0.061, 0.128]"/>
    <s v="337.66409806635875"/>
    <s v="[-0.137, -0.061, 0.128]"/>
  </r>
  <r>
    <x v="3473"/>
    <x v="4109"/>
    <x v="0"/>
    <s v="[0, 0, 1, 0, 0, 0]"/>
    <s v="LINESTRING (6.860673009001588 58.24004499337343, 6.860417676718332 58.24023762035502, 6.859950961855705 58.24054807864922, 6.859259815775223 58.24100685620713, 6.856993954534109 58.242515117189434, 6.856255290879795 58.24300579610981, 6.855729409633547 58.243356900731484)"/>
    <s v="[1182353, 1182361, 1182457, 1182633, 1182641, 1182649]"/>
    <s v="[1112368, 1112375, 1112458, 1112603, 1112610, 1111473]"/>
    <s v="0.037308870040068234"/>
    <s v="[1112355, 1112368, 1112375, 1112458, 1112603, 1112610]"/>
    <s v="[0.107, 0.091, 0.061, 0.063, 0.118, 0.132]"/>
    <s v="470.61974213245225"/>
    <s v="[-0.107, -0.091, -0.061, 0.063, 0.118, 0.132]"/>
  </r>
  <r>
    <x v="3474"/>
    <x v="4117"/>
    <x v="383"/>
    <s v="[0, 0, 0, 1, 0]"/>
    <s v="LINESTRING (6.84958408377289 58.25899009946276, 6.84835525802419 58.259711812583035, 6.848342699031607 58.25971882000541, 6.847994169275741 58.25991684295546, 6.8411325455882785 58.26359428471044, 6.839863275474652 58.26418122565965)"/>
    <s v="[1181148, 1181156, 1181188, 1181204, 1191200]"/>
    <s v="[1111490, 1111493, 1111517, 1111529, 1119037]"/>
    <s v="#FIELD!"/>
    <s v="[1111486, 1111490, 1111493, 1111517, 1111529]"/>
    <s v="[0.517, 0.81, 0.548, 0.0, 0.413]"/>
    <s v="815.1608882276828"/>
    <s v="[-0.517, -0.81, -0.548, 0.0, 0.413]"/>
  </r>
  <r>
    <x v="3474"/>
    <x v="4118"/>
    <x v="0"/>
    <s v="[0, 0, 0, 1, 0, 0]"/>
    <s v="LINESTRING (6.84958408377289 58.25899009946276, 6.848312477142712 58.25969084873453, 6.848299666309716 58.259697686595004, 6.847949516148673 58.25989331358381, 6.841092656099987 58.26357132969644, 6.839824056940837 58.26415759152338, 6.837787667466018 58.26505964702652)"/>
    <s v="[1181164, 1181172, 1181196, 1191192, 1191208, 1191256]"/>
    <s v="[1111500, 1111505, 1111524, 1119028, 1119044, 1119082]"/>
    <s v="0.005979802145156712"/>
    <s v="[1111486, 1111500, 1111505, 1111524, 1119028, 1119044]"/>
    <s v="[0.52, 0.614, 0.535, 0.0, 0.413, 0.242]"/>
    <s v="971.0716699088507"/>
    <s v="[-0.52, -0.614, -0.535, -0.0, 0.413, 0.242]"/>
  </r>
  <r>
    <x v="3475"/>
    <x v="983"/>
    <x v="0"/>
    <n v="0"/>
    <s v="LINESTRING (7.982299213856992 58.1448541402334, 7.982363560744209 58.14488987053537, 7.982390896624936 58.144949869605874)"/>
    <s v="[2137674, 2137682]"/>
    <s v="[1837158, 1112161]"/>
    <s v="#FIELD!"/>
    <s v="[1114019, 1837158]"/>
    <s v="[0.159, 0.168]"/>
    <s v="12.390133667201045"/>
    <s v="[0.159, -0.168]"/>
  </r>
  <r>
    <x v="3476"/>
    <x v="4119"/>
    <x v="0"/>
    <n v="0"/>
    <s v="LINESTRING (7.982064908073346 58.14484875605531, 7.982042818553639 58.14481738965704, 7.981725984538822 58.14439834266625, 7.9816738888372 58.14433764126357, 7.981314593639162 58.14393840564961, 7.981228381456163 58.143857009492486, 7.9812502669683045 58.14379796549497)"/>
    <s v="[1182068, 1182076, 1182084, 1182092, 1182100, 1182108]"/>
    <s v="[1112167, 1112174, 1112181, 1112185, 1077112, 1112195]"/>
    <s v="0.03621161217753681"/>
    <s v="[1112166, 1112167, 1112174, 1112181, 1112185, 1077112]"/>
    <s v="[0.016, 0.019, 0.027, 0.056, 0.079, 0.025]"/>
    <s v="127.97115244413541"/>
    <s v="[0.016, 0.019, 0.027, 0.056, 0.079, -0.025]"/>
  </r>
  <r>
    <x v="3476"/>
    <x v="4120"/>
    <x v="0"/>
    <n v="0"/>
    <s v="LINESTRING (7.982064908073346 58.14484875605531, 7.982141104357907 58.14483404365633, 7.9822223808603905 58.14483673485782)"/>
    <s v="[2137650, 2137658]"/>
    <s v="[1837146, 1114022]"/>
    <s v="#FIELD!"/>
    <s v="[1112166, 1837146]"/>
    <s v="[0.053, 0.177]"/>
    <s v="9.589559305646382"/>
    <s v="[0.053, -0.177]"/>
  </r>
  <r>
    <x v="3477"/>
    <x v="3980"/>
    <x v="0"/>
    <n v="0"/>
    <s v="LINESTRING (7.9812502669683045 58.14379796549497, 7.9810334308005055 58.1436854102421, 7.980775178030522 58.14342810258818, 7.980720074039776 58.143375732646554, 7.978958668980663 58.14163992932761, 7.978584123754903 58.14150465851646, 7.978495957013685 58.14147386257931, 7.978469175150189 58.141441172385335)"/>
    <s v="[1184620, 1184628, 1184636, 1184644, 1184652, 1308237, 1308245]"/>
    <s v="[1114093, 1114100, 1114108, 1114113, 1114119, 1217343, 1112244]"/>
    <s v="0.06578857488371642"/>
    <s v="[1112195, 1114093, 1114100, 1114108, 1114113, 1114119, 1217343]"/>
    <s v="[0.129, 0.094, 0.114, 0.068, 0.005, 3.336, 5.089]"/>
    <s v="314.84466911731687"/>
    <s v="[0.129, 0.094, 0.114, 0.068, 0.005, -3.336, 5.089]"/>
  </r>
  <r>
    <x v="3477"/>
    <x v="4120"/>
    <x v="0"/>
    <n v="0"/>
    <s v="LINESTRING (7.9822223808603905 58.14483673485782, 7.982155946305853 58.14479208434311, 7.981817611246428 58.1443763548532, 7.981764866043974 58.14430756086276, 7.981445187255934 58.14388871610367, 7.98139356142012 58.14382271443995, 7.9812502669683045 58.14379796549497)"/>
    <s v="[1184507, 1184515, 1184523, 1184531, 1184539, 1184547]"/>
    <s v="[1114023, 1114029, 1114033, 1114038, 1077113, 1112195]"/>
    <s v="0.039452754508215365"/>
    <s v="[1114022, 1114023, 1114029, 1114033, 1114038, 1077113]"/>
    <s v="[0.031, 0.022, 0.024, 0.034, 0.075, 0.154]"/>
    <s v="132.72017733933797"/>
    <s v="[0.031, 0.022, 0.024, 0.034, 0.075, 0.154]"/>
  </r>
  <r>
    <x v="3477"/>
    <x v="3983"/>
    <x v="0"/>
    <n v="0"/>
    <s v="LINESTRING (7.97859783948043 58.14135934152678, 7.978739778674076 58.141367193472604, 7.979832278956333 58.141680491989746, 7.980171331794979 58.14182739502879, 7.980981306276999 58.14241900114527, 7.9810878445710305 58.14280935328091, 7.981087101170583 58.1428183692255, 7.981069295519158 58.14334135994597, 7.981220532224958 58.143659708471354, 7.9812502669683045 58.14379796549497)"/>
    <s v="[1308269, 1184796, 1184804, 1184812, 1184820, 1184828, 1184836, 1184844, 1184852]"/>
    <s v="[1114217, 1114218, 1114224, 1114229, 1114237, 1114242, 1114247, 1114253, 1112195]"/>
    <s v="0.000943034613709421"/>
    <s v="[1217329, 1114217, 1114218, 1114224, 1114229, 1114237, 1114242, 1114247, 1114253]"/>
    <s v="[2.275, 0.089, 0.087, 0.069, 0.042, 0.009, 0.004, 0.051, 0.024]"/>
    <s v="346.2738088315745"/>
    <s v="[2.275, -0.089, -0.087, -0.069, -0.042, -0.009, -0.004, -0.051, -0.024]"/>
  </r>
  <r>
    <x v="3478"/>
    <x v="4121"/>
    <x v="0"/>
    <s v="[0, 0, 1, 0, 1, 0, 0]"/>
    <s v="LINESTRING (6.860741553639826 58.24007050209454, 6.860486648665554 58.24027069957131, 6.860038990012924 58.24058629609612, 6.859367885692809 58.24104942727717, 6.857366344331435 58.24264347239411, 6.8566965433257705 58.242376692797436, 6.856055103180689 58.242128159371596, 6.855973427131911 58.24211632313281)"/>
    <s v="[1182417, 1182425, 1182465, 1182473, 1182481, 1182489, 1182497]"/>
    <s v="[1112420, 1112428, 1112464, 1112472, 1112479, 1112486, 1112495]"/>
    <s v="#FIELD!"/>
    <s v="[1112348, 1112420, 1112428, 1112464, 1112472, 1112479, 1112486]"/>
    <s v="[0.105, 0.091, 0.061, 0.049, 0.047, 0.059, 0.012]"/>
    <s v="524.0850136502092"/>
    <s v="[-0.105, -0.091, -0.061, 0.049, -0.047, -0.059, -0.012]"/>
  </r>
  <r>
    <x v="3479"/>
    <x v="4122"/>
    <x v="0"/>
    <s v="[0, 0, 1, 0, 0]"/>
    <s v="LINESTRING (6.8558963458948785 58.24190290712331, 6.855946358133071 58.241868807153175, 6.859218325009669 58.24098867599605, 6.8599110046241565 58.240529184969354, 6.860369012429032 58.240224357987444, 6.860673009001588 58.24004499337343)"/>
    <s v="[1182825, 1182657, 1182449, 1182433, 1182345]"/>
    <s v="[1112623, 1112451, 1112436, 1112361, 1112355]"/>
    <s v="0.012603438182750795"/>
    <s v="[1112686, 1112623, 1112451, 1112436, 1112361]"/>
    <s v="[0.099, 0.024, 0.06, 0.091, 0.112]"/>
    <s v="376.7499973390539"/>
    <s v="[-0.099, -0.024, 0.06, 0.091, 0.112]"/>
  </r>
  <r>
    <x v="3480"/>
    <x v="4122"/>
    <x v="0"/>
    <n v="0"/>
    <s v="LINESTRING (6.855973427131911 58.24211632313281, 6.855744876162383 58.24203380727179, 6.855756160307861 58.241967853349216, 6.855860213338956 58.24190985502532, 6.8558963458948785 58.24190290712331)"/>
    <s v="[1182713, 1182721, 1182729, 1182737]"/>
    <s v="[1111343, 1112674, 1111322, 1112686]"/>
    <s v="#FIELD!"/>
    <s v="[1112495, 1111343, 1112674, 1111322]"/>
    <s v="[0.065, 0.126, 0.11, 0.078]"/>
    <s v="36.05917371747838"/>
    <s v="[-0.065, -0.126, -0.11, -0.078]"/>
  </r>
  <r>
    <x v="3480"/>
    <x v="4113"/>
    <x v="0"/>
    <n v="0"/>
    <m/>
    <n v="1182705"/>
    <n v="1112495"/>
    <s v="0.107"/>
    <n v="1112632"/>
    <s v="0.107"/>
    <s v="18.05793614559413"/>
    <s v="0.107"/>
  </r>
  <r>
    <x v="3481"/>
    <x v="4116"/>
    <x v="0"/>
    <n v="0"/>
    <m/>
    <n v="1182801"/>
    <n v="1112632"/>
    <s v="0.116"/>
    <n v="1112692"/>
    <s v="0.116"/>
    <s v="6.077713385972"/>
    <s v="0.116"/>
  </r>
  <r>
    <x v="3482"/>
    <x v="4116"/>
    <x v="0"/>
    <n v="0"/>
    <m/>
    <n v="1182745"/>
    <n v="1112692"/>
    <s v="0.041"/>
    <n v="1112686"/>
    <s v="0.041"/>
    <s v="14.529516127234455"/>
    <s v="0.041"/>
  </r>
  <r>
    <x v="3483"/>
    <x v="3739"/>
    <x v="0"/>
    <n v="0"/>
    <s v="LINESTRING (8.003103289103372 58.15528268789537, 8.002913922217857 58.15524791959821, 8.002799739645958 58.15516646809142)"/>
    <s v="[1624283, 1624291]"/>
    <s v="[1453678, 1112943]"/>
    <s v="#FIELD!"/>
    <s v="[1453671, 1453678]"/>
    <s v="[0.024, 0.029]"/>
    <s v="23.132842818011863"/>
    <s v="[-0.024, -0.029]"/>
  </r>
  <r>
    <x v="3484"/>
    <x v="3741"/>
    <x v="0"/>
    <n v="0"/>
    <s v="LINESTRING (8.000833417015292 58.15602360857942, 8.000956979684775 58.15608204913943, 8.001010115197369 58.156182225019144)"/>
    <s v="[1624067, 1624075]"/>
    <s v="[1453545, 1453550]"/>
    <s v="0.034373289337280316"/>
    <s v="[1112965, 1453545]"/>
    <s v="[0.03, 0.038]"/>
    <s v="21.569074025197555"/>
    <s v="[0.03, 0.038]"/>
  </r>
  <r>
    <x v="3485"/>
    <x v="4120"/>
    <x v="0"/>
    <n v="0"/>
    <m/>
    <n v="2137666"/>
    <n v="1114019"/>
    <s v="#FIELD!"/>
    <n v="1114022"/>
    <s v="0.059"/>
    <s v="4.931095213014494"/>
    <s v="#FIELD!"/>
  </r>
  <r>
    <x v="3486"/>
    <x v="2273"/>
    <x v="0"/>
    <n v="0"/>
    <s v="LINESTRING (9.983459875847695 62.75072302790106, 9.984107140279123 62.75132977079267, 9.984158295539517 62.751381265955175, 9.984201575230042 62.75142508491149, 9.984219937598603 62.75144273463006, 9.984261143308139 62.75148064118359, 9.985242632088863 62.75218470290191, 9.985354627130626 62.75225676069431, 9.985794358534305 62.752530770563126, 9.985968920363396 62.75266202576834)"/>
    <s v="[1333668, 1333676, 1333684, 1333692, 1333700, 1333708, 1333716, 1333724, 1333732]"/>
    <s v="[661163, 1238494, 661148, 1238508, 1238516, 1238523, 1238526, 1238531, 1114300]"/>
    <s v="0.023769100071758184"/>
    <s v="[1114288, 661163, 1238494, 661148, 1238508, 1238516, 1238523, 1238526, 1238531]"/>
    <s v="[0.015, 0.013, 0.036, 0.046, 0.012, 0.035, 0.048, 0.07, 0.056]"/>
    <s v="252.45354294764928"/>
    <s v="[-0.015, -0.013, -0.036, 0.046, -0.012, 0.035, 0.048, 0.07, 0.056]"/>
  </r>
  <r>
    <x v="3486"/>
    <x v="2273"/>
    <x v="0"/>
    <n v="0"/>
    <s v="LINESTRING (9.983459875847695 62.75072302790106, 9.983960665417237 62.75136501089329, 9.984021638239732 62.75142072548802, 9.984061184188432 62.751456854556196, 9.984081185826293 62.75147467088951, 9.984124514100543 62.75151324713733, 9.98511882223094 62.75223743288739, 9.985172691307204 62.75227069152047, 9.985225338803748 62.7523022512374, 9.985968920363396 62.75266202576834)"/>
    <s v="[1333740, 1333748, 1333756, 1333764, 1333772, 1333780, 1333788, 1333796, 1333804]"/>
    <s v="[661174, 1238546, 661149, 1238563, 1238569, 1238577, 1238582, 1238584, 1114300]"/>
    <s v="0.02346911563638753"/>
    <s v="[1114288, 661174, 1238546, 661149, 1238563, 1238569, 1238577, 1238582, 1238584]"/>
    <s v="[0.044, 0.003, 0.015, 0.044, 0.013, 0.032, 0.061, 0.093, 0.101]"/>
    <s v="255.34432341767445"/>
    <s v="[-0.044, 0.003, -0.015, 0.044, -0.013, 0.032, 0.061, 0.093, 0.101]"/>
  </r>
  <r>
    <x v="3487"/>
    <x v="1415"/>
    <x v="0"/>
    <n v="0"/>
    <s v="LINESTRING (6.680420268021328 58.29865177308639, 6.680276126670304 58.298038403153974, 6.6797634626675455 58.29805927556047, 6.679463800663699 58.298094063703466, 6.678416239816395 58.298269514559536)"/>
    <s v="[1614613, 1614621, 1614629, 1614630]"/>
    <s v="[228878, 1447926, 1447931, 1115020]"/>
    <s v="#FIELD!"/>
    <s v="[1447922, 228878, 1447926, 1447931]"/>
    <s v="[0.062, 0.221, 0.082, 0.062]"/>
    <s v="208.24784985170345"/>
    <s v="[0.062, -0.221, -0.082, -0.062]"/>
  </r>
  <r>
    <x v="3488"/>
    <x v="4123"/>
    <x v="0"/>
    <n v="0"/>
    <s v="LINESTRING (7.242144838310525 62.74447525449491, 7.242163693628621 62.74434253172547, 7.242395153498469 62.74423715626738)"/>
    <s v="[1186795, 1186875]"/>
    <s v="[1115604, 1115616]"/>
    <s v="#FIELD!"/>
    <s v="[1115603, 1115604]"/>
    <s v="[0.102, 0.075]"/>
    <s v="32.13426898923838"/>
    <s v="[-0.102, -0.075]"/>
  </r>
  <r>
    <x v="3488"/>
    <x v="4124"/>
    <x v="0"/>
    <n v="0"/>
    <m/>
    <n v="1186819"/>
    <n v="1115603"/>
    <s v="#FIELD!"/>
    <n v="1115619"/>
    <s v="0.025"/>
    <s v="36.27232802463281"/>
    <s v="#FIELD!"/>
  </r>
  <r>
    <x v="3488"/>
    <x v="954"/>
    <x v="0"/>
    <n v="0"/>
    <s v="LINESTRING (7.238678221678187 62.74374747015391, 7.240957427550621 62.74413351970422, 7.241066980074624 62.74415209441447, 7.242041450838509 62.744431241894354, 7.242144838310525 62.74447525449491)"/>
    <s v="[1186923, 1186931, 1186939, 1186947]"/>
    <s v="[1115692, 1115696, 1115699, 1115603]"/>
    <s v="0.026519199026364817"/>
    <s v="[1115691, 1115692, 1115696, 1115699]"/>
    <s v="[0.018, 0.025, 0.04, 0.064]"/>
    <s v="196.87973516652315"/>
    <s v="[0.018, 0.025, 0.04, 0.064]"/>
  </r>
  <r>
    <x v="3489"/>
    <x v="4125"/>
    <x v="0"/>
    <n v="0"/>
    <s v="LINESTRING (7.242395153498469 62.74423715626738, 7.242568107280263 62.744218986487525, 7.242766802947782 62.744245208797736, 7.242938325767646 62.744314427480596, 7.242980787555758 62.74435608458005)"/>
    <s v="[1186811, 1186803, 1186859, 1186827]"/>
    <s v="[1115609, 1115610, 1115625, 1115626]"/>
    <s v="0.02260520478957735"/>
    <s v="[1115616, 1115609, 1115610, 1115625]"/>
    <s v="[0.038, 0.016, 0.043, 0.097]"/>
    <s v="36.49740662190191"/>
    <s v="[-0.038, 0.016, 0.043, 0.097]"/>
  </r>
  <r>
    <x v="3489"/>
    <x v="954"/>
    <x v="0"/>
    <n v="0"/>
    <s v="LINESTRING (7.238678221678187 62.74374747015391, 7.240983096722547 62.744096675291495, 7.241089132730325 62.74411515390881, 7.242221571116885 62.744238705036246, 7.242395153498469 62.74423715626738)"/>
    <s v="[1187043, 1187051, 1187059, 1187067]"/>
    <s v="[1115767, 1115773, 1115779, 1115616]"/>
    <s v="0.012175236355381916"/>
    <s v="[1115691, 1115767, 1115773, 1115779]"/>
    <s v="[0.015, 0.026, 0.009, 0.015]"/>
    <s v="199.34558129071988"/>
    <s v="[0.015, 0.026, 0.009, -0.015]"/>
  </r>
  <r>
    <x v="3490"/>
    <x v="4126"/>
    <x v="384"/>
    <n v="0"/>
    <s v="LINESTRING (7.242719413710888 62.74460671733052, 7.242878992726063 62.74461342306306, 7.245200646781951 62.745014623652416, 7.245240781247231 62.74502471161524, 7.249400526177713 62.74599298653321, 7.25019546980495 62.74617836927391, 7.250318605956551 62.74620599167485, 7.250471608323278 62.74624362691307, 7.250609982585334 62.74627532493318, 7.2506259968572095 62.74627899268646, 7.2512234483896645 62.74642021407977, 7.251333087387885 62.74644530007377, 7.251831708505839 62.746557033050046, 7.251851393756757 62.74656177957762, 7.252037601684142 62.7466067051358, 7.252231191171665 62.74664998242536, 7.252366445895335 62.74668083776489, 7.253148653503966 62.746854053662666, 7.2535910253864735 62.74694796063075, 7.254683738775771 62.74717957025212, 7.254760076990993 62.74719521794402, 7.2549434777048205 62.74723350459743, 7.257952926134038 62.747787842624646, 7.258271720426286 62.747888032090266, 7.258360272704652 62.74792432396537)"/>
    <s v="[1186955, 1186963, 357062, 357070, 357078, 357086, 357094, 357102, 357110, 357118, 357124, 357132, 357140, 357148, 357156, 357164, 357172, 357180, 357188, 357197, 357205, 357213, 1597296, 1597304]"/>
    <s v="[1115707, 345439, 345440, 345450, 345459, 327201, 345477, 345487, 345498, 345506, 345513, 345524, 345534, 345543, 328107, 345558, 345566, 345577, 345587, 345596, 345603, 345613, 1435280, 1435186]"/>
    <s v="#FIELD!"/>
    <s v="[1115619, 1115707, 345439, 345440, 345450, 345459, 327201, 345477, 345487, 345498, 345506, 345513, 345524, 345534, 345543, 328107, 345558, 345566, 345577, 345587, 345596, 345603, 345613, 1435280]"/>
    <s v="[0.018, 0.073, 0.02, 0.014, 0.02, 0.018, 0.008, 0.023, 0.036, 0.014, 0.023, 0.011, 0.025, 0.015, 0.005, 0.004, 0.0, 0.004, 0.01, 0.014, 0.004, 0.001, 0.029, 0.003]"/>
    <s v="884.9637922122263"/>
    <s v="[-0.018, -0.073, -0.02, 0.014, 0.02, 0.018, 0.008, 0.023, -0.036, 0.014, 0.023, 0.011, -0.025, 0.015, 0.005, 0.004, 0.0, -0.004, 0.01, 0.014, 0.004, -0.001, 0.029, 0.003]"/>
  </r>
  <r>
    <x v="3490"/>
    <x v="4125"/>
    <x v="0"/>
    <n v="0"/>
    <s v="LINESTRING (7.242980787555758 62.74435608458005, 7.242956887740062 62.7445085962514, 7.242719413710888 62.74460671733052)"/>
    <s v="[1186851, 1186867]"/>
    <s v="[1115640, 1115619]"/>
    <s v="0.08414124905097131"/>
    <s v="[1115626, 1115640]"/>
    <s v="[0.092, 0.076]"/>
    <s v="34.11264058075644"/>
    <s v="[0.092, 0.076]"/>
  </r>
  <r>
    <x v="3491"/>
    <x v="4127"/>
    <x v="0"/>
    <n v="0"/>
    <s v="LINESTRING (7.242980787555758 62.74435608458005, 7.243071581163957 62.7443968252385, 7.245241649617959 62.74498273578753, 7.245282497822609 62.74499213243375, 7.249452605744974 62.745944386488304, 7.250252070794865 62.74612426264865, 7.2503918861046435 62.74615653717489, 7.2505221257836565 62.746185726580826, 7.250656258549036 62.746216196637874, 7.250688412793537 62.74622350301228, 7.251266227612391 62.74635613612169, 7.2513747038704395 62.74638100418689, 7.251866321134708 62.746493548722135, 7.251886696871355 62.746498288427276, 7.252079298403159 62.74654314446611, 7.252329146066182 62.74659828607766, 7.2524296602648315 62.746620744459314, 7.252839129629195 62.74670903917591, 7.253148065401302 62.74677472939348, 7.253215002045496 62.74679005513338, 7.253662186811332 62.746886602060556, 7.254745626708444 62.74711397021374, 7.25481779569686 62.74712781658318, 7.254993990894342 62.74716514419806, 7.2579794174648 62.74772115492741, 7.258378420894216 62.74774122857605, 7.258487454992328 62.74773766088737)"/>
    <s v="[1186971, 1186979, 1296155, 1296163, 1296171, 1296179, 1296187, 1296195, 1296203, 1296211, 1296219, 1296227, 1296235, 1296243, 1296251, 1296259, 1296267, 1296275, 1296283, 1296291, 1296299, 1296307, 1296315, 1296323, 1597287, 1597288]"/>
    <s v="[1115718, 1115723, 1208479, 1208485, 1208494, 327202, 1208505, 1208511, 938627, 1208520, 1208525, 1159147, 1208538, 1208543, 328106, 1208556, 1208562, 1208566, 1208571, 1208577, 1208583, 1208589, 1208595, 1208600, 1435274, 1435151]"/>
    <s v="#FIELD!"/>
    <s v="[1115626, 1115718, 1115723, 1208479, 1208485, 1208494, 327202, 1208505, 1208511, 938627, 1208520, 1208525, 1159147, 1208538, 1208543, 328106, 1208556, 1208562, 1208566, 1208571, 1208577, 1208583, 1208589, 1208595, 1208600, 1435274]"/>
    <s v="[0.054, 0.029, 0.022, 0.007, 0.005, 0.001, 0.008, 0.011, 0.032, 0.006, 0.008, 0.008, 0.019, 0.01, 0.008, 0.013, 0.012, 0.016, 0.008, 0.014, 0.02, 0.015, 0.019, 0.015, 0.012, 0.016]"/>
    <s v="882.9196152619272"/>
    <s v="[0.054, 0.029, 0.022, 0.007, -0.005, -0.001, -0.008, -0.011, -0.032, -0.006, -0.008, -0.008, 0.019, -0.01, -0.008, -0.013, -0.012, -0.016, -0.008, -0.014, -0.02, -0.015, -0.019, -0.015, -0.012, -0.016]"/>
  </r>
  <r>
    <x v="3492"/>
    <x v="4128"/>
    <x v="0"/>
    <s v="[1, 1, 0, 0, 0, 0, 0, 1, 0]"/>
    <s v="LINESTRING (10.564782710728899 59.66431361684147, 10.564481423241627 59.664380526580985, 10.564420134484587 59.664393963447324, 10.556639142703615 59.665017222885076, 10.545906539596162 59.664895079116725, 10.540149689624373 59.66482882019462, 10.533506111596257 59.66500329794438, 10.529717767771691 59.66541901231641, 10.528204298045202 59.665970778677554, 10.527294306237783 59.6665557324464)"/>
    <s v="[1188735, 1188743, 1188751, 1188759, 1188767, 1188775, 1188783, 1188791, 1188799]"/>
    <s v="[1117094, 1117099, 1117107, 1117113, 1117120, 1117126, 1117134, 1117142, 1117151]"/>
    <s v="0.022906559001986935"/>
    <s v="[1117093, 1117094, 1117099, 1117107, 1117113, 1117120, 1117126, 1117134, 1117142]"/>
    <s v="[0.029, 0.042, 0.052, 0.022, 0.016, 0.027, 0.038, 0.031, 0.03]"/>
    <s v="2183.2058266748572"/>
    <s v="[0.029, 0.042, 0.052, 0.022, 0.016, 0.027, -0.038, 0.031, 0.03]"/>
  </r>
  <r>
    <x v="3492"/>
    <x v="4129"/>
    <x v="0"/>
    <s v="[0, 0, 0, 1]"/>
    <s v="LINESTRING (10.565824609081176 59.66416364660257, 10.565615210816414 59.66418011739665, 10.565303316421067 59.66422108486687, 10.565148895597803 59.66424803198998, 10.564782710728899 59.66431361684147)"/>
    <s v="[2136638, 2136646, 2136654, 2136662]"/>
    <s v="[1836624, 1836629, 1836633, 1117093]"/>
    <s v="0.12260447045889176"/>
    <s v="[1298430, 1836624, 1836629, 1836633]"/>
    <s v="[0.424, 0.059, 0.038, 0.047]"/>
    <s v="61.36974626151934"/>
    <s v="[0.424, 0.059, 0.038, 0.047]"/>
  </r>
  <r>
    <x v="3492"/>
    <x v="4130"/>
    <x v="0"/>
    <s v="[0, 0, 1]"/>
    <s v="LINESTRING (10.565580006680372 59.664024066859305, 10.565499645003946 59.66406720950243, 10.565125202084305 59.66420369473754, 10.564782710728899 59.66431361684147)"/>
    <s v="[2129295, 2129303, 2129311]"/>
    <s v="[1832479, 1832482, 1117093]"/>
    <s v="0.08513823863195843"/>
    <s v="[1298448, 1832479, 1832482]"/>
    <s v="[0.651, 0.006, 0.013]"/>
    <s v="55.906487828510585"/>
    <s v="[0.651, 0.006, 0.013]"/>
  </r>
  <r>
    <x v="3493"/>
    <x v="4131"/>
    <x v="0"/>
    <n v="0"/>
    <s v="LINESTRING (10.527294306237783 59.6665557324464, 10.526734528075899 59.66685801879136, 10.526649506898282 59.666897670179495)"/>
    <s v="[2129423, 2129431]"/>
    <s v="[1832525, 1298557]"/>
    <s v="#FIELD!"/>
    <s v="[1117151, 1832525]"/>
    <s v="[0.045, 0.505]"/>
    <s v="52.80764218158798"/>
    <s v="[0.045, -0.505]"/>
  </r>
  <r>
    <x v="3493"/>
    <x v="4132"/>
    <x v="0"/>
    <n v="0"/>
    <s v="LINESTRING (10.527294306237783 59.6665557324464, 10.526958353127261 59.6669294259015, 10.52692106333793 59.666999441023414)"/>
    <s v="[2136758, 2136766]"/>
    <s v="[1836688, 1298572]"/>
    <s v="#FIELD!"/>
    <s v="[1117151, 1836688]"/>
    <s v="[0.01, 0.783]"/>
    <s v="54.04270395290284"/>
    <s v="[0.01, -0.783]"/>
  </r>
  <r>
    <x v="3494"/>
    <x v="4133"/>
    <x v="0"/>
    <s v="[0, 0, 0, 1, 0, 0, 0, 0, 0, 1, 0, 1, 1, 0, 0, 0, 0, 0, 1, 0]"/>
    <s v="LINESTRING (10.526037475542962 59.66742363671686, 10.525252545412059 59.66778819189749, 10.525159912807633 59.66782290587064, 10.523049318436467 59.66837838493315, 10.520727627832233 59.669308930505444, 10.51332346758031 59.67348824211972, 10.51090021047494 59.67464780336387, 10.508813173180057 59.67690074401479, 10.507984841472593 59.67795117160528, 10.507338559801141 59.67899111198051, 10.50726978058611 59.679185705725125, 10.505502449973024 59.68398225169172, 10.504913966678286 59.68445463084335, 10.504366983175899 59.685024507324826, 10.501931291478208 59.68899765146936, 10.498733713409578 59.69070545730078, 10.496726551991916 59.69262154381419, 10.49599375365678 59.69386140263934, 10.488810409792293 59.69772334202547, 10.486282721054703 59.69777029280399, 10.473279503735267 59.70362680368551)"/>
    <s v="[1188807, 1188815, 1188823, 1188831, 1188839, 1188847, 1188855, 1188863, 1188871, 1188879, 1188887, 1188895, 1188903, 1188911, 1188919, 1188927, 1188935, 1188943, 1188951, 1188959]"/>
    <s v="[1117159, 1117168, 1117173, 1117178, 1075631, 1117193, 1117200, 1117208, 1075664, 1117220, 1117227, 1117233, 1117239, 1075576, 1117252, 1117258, 1075550, 1117270, 1117274, 1117282]"/>
    <s v="#FIELD!"/>
    <s v="[1117158, 1117159, 1117168, 1117173, 1117178, 1075631, 1117193, 1117200, 1117208, 1075664, 1117220, 1117227, 1117233, 1117239, 1075576, 1117252, 1117258, 1075550, 1117270, 1117274]"/>
    <s v="[0.023, 0.032, 0.067, 0.086, 0.041, 0.024, 0.02, 0.053, 0.015, 0.006, 0.023, 0.018, 0.019, 0.014, 0.013, 0.025, 0.04, 0.007, 0.041, 0.006]"/>
    <s v="5331.962692325508"/>
    <s v="[0.023, 0.032, -0.067, -0.086, 0.041, -0.024, 0.02, 0.053, 0.015, -0.006, -0.023, -0.018, -0.019, -0.014, 0.013, -0.025, -0.04, -0.007, 0.041, 0.006]"/>
  </r>
  <r>
    <x v="3494"/>
    <x v="4134"/>
    <x v="0"/>
    <n v="0"/>
    <s v="LINESTRING (10.52668416989407 59.66716618527515, 10.526580041823536 59.66720727036789, 10.526037475542962 59.66742363671686)"/>
    <s v="[2136942, 2136950]"/>
    <s v="[1836784, 1117158]"/>
    <s v="0.18074342777206887"/>
    <s v="[1298536, 1836784]"/>
    <s v="[0.926, 0.039]"/>
    <s v="46.591178227018986"/>
    <s v="[0.926, 0.039]"/>
  </r>
  <r>
    <x v="3494"/>
    <x v="4135"/>
    <x v="0"/>
    <n v="0"/>
    <s v="LINESTRING (10.526399895535663 59.66705474349929, 10.526349505763797 59.66712566893686, 10.526037475542962 59.66742363671686)"/>
    <s v="[2129551, 2129559]"/>
    <s v="[1832577, 1117158]"/>
    <s v="0.07248408801396448"/>
    <s v="[1298551, 1832577]"/>
    <s v="[0.412, 0.003]"/>
    <s v="46.1797219160872"/>
    <s v="[0.412, -0.003]"/>
  </r>
  <r>
    <x v="3495"/>
    <x v="4136"/>
    <x v="0"/>
    <n v="0"/>
    <s v="LINESTRING (10.473279503735267 59.70362680368551, 10.472921308144155 59.70375675141217, 10.472842669756327 59.70378551185619)"/>
    <s v="[2129567, 2129575]"/>
    <s v="[1832586, 1298640]"/>
    <s v="#FIELD!"/>
    <s v="[1117282, 1832586]"/>
    <s v="[0.005, 0.967]"/>
    <s v="30.426914930096004"/>
    <s v="[0.005, -0.967]"/>
  </r>
  <r>
    <x v="3495"/>
    <x v="4137"/>
    <x v="0"/>
    <n v="0"/>
    <s v="LINESTRING (10.473279503735267 59.70362680368551, 10.473075560045922 59.70382683327926, 10.473039951279722 59.70387956401473)"/>
    <s v="[2137102, 2137110]"/>
    <s v="[1836880, 1298615]"/>
    <s v="#FIELD!"/>
    <s v="[1117282, 1836880]"/>
    <s v="[0.035, 1.775]"/>
    <s v="31.622409558264508"/>
    <s v="[-0.035, -1.775]"/>
  </r>
  <r>
    <x v="3496"/>
    <x v="4138"/>
    <x v="0"/>
    <n v="0"/>
    <s v="LINESTRING (6.839863275474652 58.26418122565965, 6.839557350381953 58.264344549167575, 6.841295761315054 58.265809611102675, 6.841451608036006 58.265741396207424)"/>
    <s v="[1191216, 1191384, 1191440]"/>
    <s v="[1119049, 1119158, 1119200]"/>
    <s v="0.03693637492113844"/>
    <s v="[1119037, 1119049, 1119158]"/>
    <s v="[0.344, 0.03, 0.296]"/>
    <s v="599.6826787438644"/>
    <s v="[0.344, 0.03, -0.296]"/>
  </r>
  <r>
    <x v="3496"/>
    <x v="4139"/>
    <x v="0"/>
    <n v="0"/>
    <s v="LINESTRING (6.839863275474652 58.26418122565965, 6.837828054313164 58.265081191407745, 6.830390781609934 58.268873657581636, 6.830005271449822 58.26907704652826)"/>
    <s v="[1191248, 1191296, 1191312]"/>
    <s v="[1119076, 1119104, 1119116]"/>
    <s v="0.21708326169671677"/>
    <s v="[1119037, 1119076, 1119104]"/>
    <s v="[0.245, 0.231, 0.183]"/>
    <s v="797.4970020092436"/>
    <s v="[0.245, 0.231, -0.183]"/>
  </r>
  <r>
    <x v="3497"/>
    <x v="4140"/>
    <x v="0"/>
    <n v="0"/>
    <m/>
    <n v="1191288"/>
    <n v="1119099"/>
    <s v="0.231"/>
    <n v="1119082"/>
    <s v="0.231"/>
    <s v="608.7839498203203"/>
    <s v="0.231"/>
  </r>
  <r>
    <x v="3497"/>
    <x v="4141"/>
    <x v="0"/>
    <n v="0"/>
    <s v="LINESTRING (6.837943443438734 58.266680437241035, 6.837123636213908 58.26532455166801, 6.837787667466018 58.26505964702652)"/>
    <s v="[1191392, 1191264]"/>
    <s v="[1119086, 1119082]"/>
    <s v="#FIELD!"/>
    <s v="[1119162, 1119086]"/>
    <s v="[0.046, 0.185]"/>
    <s v="802.4749863210138"/>
    <s v="[-0.046, -0.185]"/>
  </r>
  <r>
    <x v="3498"/>
    <x v="4142"/>
    <x v="0"/>
    <n v="0"/>
    <s v="LINESTRING (6.830355449365469 58.268850992323436, 6.829970988943331 58.26905354639784, 6.829631912303475 58.26923167985023, 6.8285731545571045 58.26981068401135)"/>
    <s v="[1191304, 1191344, 1354918]"/>
    <s v="[1119108, 1119137, 1253742]"/>
    <s v="#FIELD!"/>
    <s v="[1119099, 1119108, 1119137]"/>
    <s v="[0.184, 0.17, 0.142]"/>
    <s v="150.0507544282127"/>
    <s v="[-0.184, -0.17, -0.142]"/>
  </r>
  <r>
    <x v="3498"/>
    <x v="4138"/>
    <x v="0"/>
    <n v="0"/>
    <s v="LINESTRING (6.830355449365469 58.268850992323436, 6.830636048101173 58.268671711674685, 6.841321949865225 58.26582148972106, 6.841451608036006 58.265741396207424)"/>
    <s v="[1191352, 1191408, 1191448]"/>
    <s v="[1119141, 1119175, 1119200]"/>
    <s v="#FIELD!"/>
    <s v="[1119099, 1119141, 1119175]"/>
    <s v="[0.106, 0.171, 0.313]"/>
    <s v="949.5157146933857"/>
    <s v="[0.106, -0.171, -0.313]"/>
  </r>
  <r>
    <x v="3499"/>
    <x v="4142"/>
    <x v="0"/>
    <n v="0"/>
    <s v="LINESTRING (6.830005271449822 58.26907704652826, 6.829673734640872 58.26925368014519, 6.8285731545571045 58.26981068401135)"/>
    <s v="[1191336, 1354839]"/>
    <s v="[1119132, 1253742]"/>
    <s v="#FIELD!"/>
    <s v="[1119116, 1119132]"/>
    <s v="[0.169, 0.144]"/>
    <s v="117.64000910075706"/>
    <s v="[-0.169, -0.144]"/>
  </r>
  <r>
    <x v="3499"/>
    <x v="4141"/>
    <x v="0"/>
    <n v="0"/>
    <s v="LINESTRING (6.837943443438734 58.266680437241035, 6.837666407496435 58.2666330337257, 6.8302980701495155 58.26894637349655, 6.830005271449822 58.26907704652826)"/>
    <s v="[1191416, 1191400, 1191320]"/>
    <s v="[1119170, 1119121, 1119116]"/>
    <s v="0.1579415258162162"/>
    <s v="[1119162, 1119170, 1119121]"/>
    <s v="[0.025, 0.178, 0.182]"/>
    <s v="578.574543492739"/>
    <s v="[-0.025, 0.178, -0.182]"/>
  </r>
  <r>
    <x v="3500"/>
    <x v="4143"/>
    <x v="0"/>
    <n v="0"/>
    <s v="LINESTRING (6.84136685390047 58.265839804165225, 6.84136685390047 58.265839804165225, 6.837943443438734 58.266680437241035)"/>
    <s v="[1191456, 1191424]"/>
    <s v="[1119188, 1119162]"/>
    <s v="0.21499016322131387"/>
    <s v="[1119209, 1119188]"/>
    <s v="[0.0, 0.225]"/>
    <s v="258.55445251445894"/>
    <s v="[0.0, 0.225]"/>
  </r>
  <r>
    <x v="3501"/>
    <x v="4144"/>
    <x v="0"/>
    <n v="0"/>
    <s v="LINESTRING (6.841451608036006 58.265741396207424, 6.8449601784566685 58.265144709580504, 6.845399123030182 58.26522422250517, 6.8454847647400605 58.26521409497636)"/>
    <s v="[1353789, 1353821, 1353829]"/>
    <s v="[1253137, 1253159, 1253166]"/>
    <s v="#FIELD!"/>
    <s v="[1119200, 1253137, 1253159]"/>
    <s v="[0.301, 0.144, 0.249]"/>
    <s v="281.71306366403616"/>
    <s v="[-0.301, -0.144, -0.249]"/>
  </r>
  <r>
    <x v="3502"/>
    <x v="4145"/>
    <x v="0"/>
    <n v="0"/>
    <s v="LINESTRING (6.84136685390047 58.265839804165225, 6.844919678589771 58.265173237349984, 6.845434195947634 58.26530918760851, 6.845531246654063 58.26530148002418)"/>
    <s v="[1353797, 1353805, 1353813]"/>
    <s v="[1253143, 1253148, 1253152]"/>
    <s v="#FIELD!"/>
    <s v="[1119209, 1253143, 1253148]"/>
    <s v="[0.319, 0.11, 0.278]"/>
    <s v="282.9119191417964"/>
    <s v="[-0.319, -0.11, -0.278]"/>
  </r>
  <r>
    <x v="3503"/>
    <x v="4146"/>
    <x v="0"/>
    <n v="0"/>
    <s v="LINESTRING (6.795966571887435 58.27471153098398, 6.790223164725817 58.274219135123516, 6.790208104803735 58.27421562586889, 6.788213036237288 58.27374632995746, 6.782361186501546 58.27371783418992)"/>
    <s v="[1191520, 1191528, 1191536, 1191544]"/>
    <s v="[1119255, 1119263, 1119269, 1119242]"/>
    <s v="0.01596096855309591"/>
    <s v="[1119249, 1119255, 1119263, 1119269]"/>
    <s v="[0.071, 0.151, 0.083, 0.002]"/>
    <s v="826.0985569687224"/>
    <s v="[0.071, -0.151, -0.083, -0.002]"/>
  </r>
  <r>
    <x v="3503"/>
    <x v="4147"/>
    <x v="385"/>
    <n v="0"/>
    <s v="LINESTRING (6.796548845013521 58.27460955631777, 6.796103011387293 58.27464707582112, 6.795953579626825 58.27465844616145, 6.790270579939183 58.27416447762359, 6.790255489813133 58.27416080399903, 6.788249053706366 58.27367738278276, 6.782361186501546 58.27371783418992)"/>
    <s v="[1355086, 1191472, 1191480, 1191488, 1191496, 1191504]"/>
    <s v="[1119220, 1119221, 1119228, 1119233, 1119237, 1119242]"/>
    <s v="0.029386314243693677"/>
    <s v="[1119417, 1119220, 1119221, 1119228, 1119233, 1119237]"/>
    <s v="[0.366, 0.367, 0.071, 0.148, 0.092, 0.0]"/>
    <s v="862.913245458348"/>
    <s v="[0.366, 0.367, 0.071, -0.148, -0.092, -0.0]"/>
  </r>
  <r>
    <x v="3504"/>
    <x v="4147"/>
    <x v="0"/>
    <s v="[0, 0, 1, 0, 0, 0, 0, 0, 1, 0, 0]"/>
    <s v="LINESTRING (6.796548845013521 58.27460955631777, 6.796959052098934 58.27455069453012, 6.798261754032867 58.27443379964983, 6.7989916505484445 58.27439440620646, 6.799138069694226 58.27355314001124, 6.7990752531331875 58.27352941224014, 6.798897398493071 58.27365803148122, 6.7987455999538255 58.27492478982519, 6.798943464204124 58.27453377307454, 6.798502565317325 58.27455673104313, 6.796283300574345 58.27471358551835, 6.795966571887435 58.27471153098398)"/>
    <s v="[1191720, 1191672, 1191680, 1191688, 1191728, 1191632, 1191640, 1191648, 1191656, 1191664, 1191624]"/>
    <s v="[1119376, 1119377, 1119383, 1119390, 1119333, 1119348, 595549, 1119360, 1119367, 1119341, 1119249]"/>
    <s v="0.014705444920651546"/>
    <s v="[1119417, 1119376, 1119377, 1119383, 1119390, 1119333, 1119348, 595549, 1119360, 1119367, 1119341]"/>
    <s v="[0.347, 0.21, 0.059, 0.058, 0.068, 0.062, 0.089, 0.021, 0.057, 0.232, 0.37]"/>
    <s v="821.40373636972"/>
    <s v="[-0.347, -0.21, 0.059, 0.058, 0.068, -0.062, -0.089, 0.021, -0.057, 0.232, 0.37]"/>
  </r>
  <r>
    <x v="3504"/>
    <x v="4148"/>
    <x v="0"/>
    <s v="[0, 0, 0, 0, 0, 0, 0, 1, 0, 0, 0]"/>
    <s v="LINESTRING (6.810465082038693 58.27616535785904, 6.810128955862618 58.27613470288066, 6.808415246398102 58.275806087934406, 6.804743965680928 58.274994521265285, 6.80473824390157 58.274993421117806, 6.800462249520928 58.274476017834836, 6.800451158992477 58.274475761902664, 6.798932607676589 58.27448768442379, 6.798486013559841 58.27451009403002, 6.796566938551501 58.27466206825501, 6.796116527586615 58.27469938236321, 6.795966571887435 58.27471153098398)"/>
    <s v="[1354952, 1354953, 1354960, 1354961, 1354968, 1354969, 1354976, 1354984, 1354991, 1355066, 1191512]"/>
    <s v="[1253837, 1253838, 1253845, 1253846, 1253851, 1253852, 1253858, 1253865, 1253871, 1119248, 1119249]"/>
    <s v="0.11142175712738546"/>
    <s v="[1253832, 1253837, 1253838, 1253845, 1253846, 1253851, 1253852, 1253858, 1253865, 1253871, 1119248]"/>
    <s v="[0.149, 0.142, 0.185, 0.0, 0.024, 0.043, 0.05, 0.054, 0.211, 0.361, 0.365]"/>
    <s v="887.402474691226"/>
    <s v="[0.149, 0.142, 0.185, 0.0, 0.024, -0.043, -0.05, -0.054, 0.211, 0.361, 0.365]"/>
  </r>
  <r>
    <x v="3505"/>
    <x v="4148"/>
    <x v="0"/>
    <s v="[0, 0, 0, 0, 0, 0, 0, 1, 0]"/>
    <s v="LINESTRING (6.810465082038693 58.27616535785904, 6.810146807657002 58.276106528614115, 6.808443972650918 58.27576436758964, 6.804778293914875 58.27494691901461, 6.804772624495055 58.274945741037754, 6.800465022859298 58.27442286894052, 6.800453835239236 58.27442258869194, 6.798921280955109 58.27443551975276, 6.798476478333473 58.27445759383057, 6.796548845013521 58.27460955631777)"/>
    <s v="[1354999, 1355007, 1355015, 1355023, 1355024, 1355032, 1355040, 1355048, 1355049]"/>
    <s v="[1253878, 1253884, 1253888, 1253895, 1253896, 1253904, 1253910, 1253915, 1119417]"/>
    <s v="0.10142581518185557"/>
    <s v="[1253832, 1253878, 1253884, 1253888, 1253895, 1253896, 1253904, 1253910, 1253915]"/>
    <s v="[0.148, 0.144, 0.185, 0.343, 0.025, 0.091, 0.052, 0.056, 0.214]"/>
    <s v="854.6521596705812"/>
    <s v="[0.148, 0.144, 0.185, 0.343, 0.025, -0.091, -0.052, -0.056, 0.214]"/>
  </r>
  <r>
    <x v="3506"/>
    <x v="4149"/>
    <x v="0"/>
    <s v="[0, 0, 0, 0, 1, 0]"/>
    <s v="LINESTRING (13.229648498036507 65.83183690383451, 13.229437339906886 65.83205162259645, 13.228401873109828 65.83275737921812, 13.228154016701387 65.83288437548238, 13.227405797383756 65.83326907753407, 13.226835692243952 65.83355684763958, 13.225845034735862 65.83396682645481)"/>
    <s v="[1761147, 1761153, 1761175, 1761183, 1761191, 1761199]"/>
    <s v="[1557002, 1557005, 1557014, 1557020, 1557025, 1122566]"/>
    <s v="0.009149824651699438"/>
    <s v="[1122561, 1557002, 1557005, 1557014, 1557020, 1557025]"/>
    <s v="[0.518, 0.001, 0.035, 0.034, 0.0, 0.128]"/>
    <s v="296.49418987497074"/>
    <s v="[0.518, 0.001, -0.035, -0.034, 0.0, -0.128]"/>
  </r>
  <r>
    <x v="3506"/>
    <x v="4149"/>
    <x v="0"/>
    <s v="[0, 0, 0, 0, 1, 1, 0]"/>
    <s v="LINESTRING (13.229648498036507 65.83183690383451, 13.229346633738002 65.83202635147853, 13.228289013617598 65.83270464909974, 13.228040748719081 65.83284393572754, 13.227454292704895 65.83313726262234, 13.226943493164928 65.83340050059888, 13.226856652435444 65.83344652254699, 13.225845034735862 65.83396682645481)"/>
    <s v="[1761208, 1761228, 1761236, 1761244, 1761252, 1761260, 1761268]"/>
    <s v="[1557037, 1557053, 1557057, 1557064, 1557070, 1557076, 1122566]"/>
    <s v="0.009539329792361642"/>
    <s v="[1122561, 1557037, 1557053, 1557057, 1557064, 1557070, 1557076]"/>
    <s v="[0.509, 0.003, 0.027, 0.036, 0.001, 0.005, 0.105]"/>
    <s v="294.6643550459971"/>
    <s v="[0.509, -0.003, -0.027, -0.036, 0.001, 0.005, -0.105]"/>
  </r>
  <r>
    <x v="3507"/>
    <x v="4150"/>
    <x v="0"/>
    <n v="0"/>
    <m/>
    <n v="1196032"/>
    <n v="1122567"/>
    <s v="#FIELD!"/>
    <n v="1122566"/>
    <s v="0.011"/>
    <s v="131.26557430148023"/>
    <s v="#FIELD!"/>
  </r>
  <r>
    <x v="3508"/>
    <x v="2221"/>
    <x v="0"/>
    <n v="0"/>
    <s v="LINESTRING (13.223404479878004 65.83457017656482, 13.22140981889796 65.83465529985048, 13.220251285347093 65.83470693700966, 13.220121613164062 65.83471407295981, 13.219805621330583 65.83474253032782, 13.217182934695918 65.83506993872605)"/>
    <s v="[1761388, 1761396, 1761404, 1761412, 1761423]"/>
    <s v="[1557149, 1557154, 1557158, 1557165, 1122573]"/>
    <s v="#FIELD!"/>
    <s v="[1122567, 1557149, 1557154, 1557158, 1557165]"/>
    <s v="[0.0, 0.027, 0.029, 0.025, 0.031]"/>
    <s v="290.98557560842903"/>
    <s v="[-0.0, -0.027, -0.029, -0.025, -0.031]"/>
  </r>
  <r>
    <x v="3508"/>
    <x v="2221"/>
    <x v="0"/>
    <n v="0"/>
    <s v="LINESTRING (13.223404479878004 65.83457017656482, 13.221731334877363 65.83472905300414, 13.221409693802585 65.83473947182208, 13.220273865002188 65.8347866790554, 13.220147119381584 65.83479487214545, 13.21982874450318 65.83482294289372, 13.217182934695918 65.83506993872605)"/>
    <s v="[1761431, 1761439, 1761447, 1761452, 1761460, 1761468]"/>
    <s v="[1557178, 1557183, 1557186, 1557189, 1557194, 1122573]"/>
    <s v="#FIELD!"/>
    <s v="[1122567, 1557178, 1557183, 1557186, 1557189, 1557194]"/>
    <s v="[0.006, 0.027, 0.027, 0.027, 0.026, 0.032]"/>
    <s v="290.9978902017072"/>
    <s v="[0.006, -0.027, -0.027, -0.027, -0.026, -0.032]"/>
  </r>
  <r>
    <x v="3509"/>
    <x v="4151"/>
    <x v="0"/>
    <s v="[0, 0, 0, 0, 0, 0, 0, 0, 0, 0, 1, 0, 0, 0, 0, 0, 0]"/>
    <s v="LINESTRING (5.27598490046556 59.34235930687577, 5.276990549455193 59.342556119168094, 5.277065231095069 59.342577640360126, 5.283143091861778 59.34452824545581, 5.283897493878119 59.34434874717932, 5.284016365346558 59.34432130899338, 5.285992977298043 59.34386768001735, 5.287499878308756 59.34323353576175, 5.287865995852196 59.34301608753056, 5.288516575148345 59.34264270086285, 5.288705579810956 59.34253626768786, 5.2891053805206525 59.342303308361934, 5.289414765413434 59.34212359661059, 5.294240458213202 59.34178327585165, 5.3010347413607555 59.34097314200522, 5.301103810744487 59.340910677940634, 5.302296807698236 59.33965831326187, 5.302322216862149 59.33961578368936)"/>
    <s v="[1216733, 1216741, 1216749, 1216757, 1216765, 1216773, 1216781, 1216789, 1216797, 1216805, 1216813, 1216821, 1216829, 1216837, 1216845, 1216853, 1216861]"/>
    <s v="[1139035, 1139040, 1139048, 1139058, 1139065, 1139072, 1139079, 1139086, 1139093, 1139102, 1139113, 1139120, 1139129, 1139137, 1139144, 1074083, 1139160]"/>
    <s v="#FIELD!"/>
    <s v="[1139034, 1139035, 1139040, 1139048, 1139058, 1139065, 1139072, 1139079, 1139086, 1139093, 1139102, 1139113, 1139120, 1139129, 1139137, 1139144, 1074083]"/>
    <s v="[0.027, 0.027, 0.01, 0.001, 0.001, 0.009, 0.01, 0.008, 0.006, 0.001, 0.002, 0.002, 0.012, 0.008, 0.014, 0.011, 0.007]"/>
    <s v="1900.1810088381853"/>
    <s v="[-0.027, -0.027, 0.01, -0.001, -0.001, -0.009, -0.01, -0.008, -0.006, -0.001, -0.002, -0.002, -0.012, 0.008, -0.014, -0.011, -0.007]"/>
  </r>
  <r>
    <x v="3509"/>
    <x v="2614"/>
    <x v="0"/>
    <n v="0"/>
    <s v="LINESTRING (5.2755553919431275 59.34225624463324, 5.275650423271235 59.342272950621776, 5.275714315178529 59.34228492421736, 5.27598490046556 59.34235930687577)"/>
    <s v="[1431118, 1431126, 1431134]"/>
    <s v="[1302980, 1139217, 1139034]"/>
    <s v="#FIELD!"/>
    <s v="[1250970, 1302980, 1139217]"/>
    <s v="[0.044, 0.026, 0.029]"/>
    <s v="27.34589282270737"/>
    <s v="[-0.044, -0.026, -0.029]"/>
  </r>
  <r>
    <x v="3509"/>
    <x v="4152"/>
    <x v="0"/>
    <n v="0"/>
    <s v="LINESTRING (5.275513860408175 59.34232322192816, 5.275613003665673 59.342338808714594, 5.275675938256316 59.34234526608537, 5.27598490046556 59.34235930687577)"/>
    <s v="[1377698, 1377705, 1377723]"/>
    <s v="[1268907, 1139782, 1139034]"/>
    <s v="#FIELD!"/>
    <s v="[1250981, 1268907, 1139782]"/>
    <s v="[0.018, 0.031, 0.024]"/>
    <s v="27.405583605290634"/>
    <s v="[-0.018, -0.031, -0.024]"/>
  </r>
  <r>
    <x v="3510"/>
    <x v="4153"/>
    <x v="0"/>
    <n v="0"/>
    <s v="LINESTRING (9.040702688468105 58.72418993729985, 9.040748626145149 58.72422610239043, 9.04075035647678 58.724402310574014, 9.040722686142546 58.72443666277416)"/>
    <s v="[1220919, 1220944, 1220945]"/>
    <s v="[1143528, 1143558, 1143559]"/>
    <s v="0.00851747815753675"/>
    <s v="[1143527, 1143528, 1143558]"/>
    <s v="[0.047, 0.006, 0.024]"/>
    <s v="29.22406372182751"/>
    <s v="[0.047, 0.006, -0.024]"/>
  </r>
  <r>
    <x v="3510"/>
    <x v="4154"/>
    <x v="0"/>
    <n v="0"/>
    <s v="LINESTRING (9.040702688468105 58.72418993729985, 9.041131477391948 58.724273758521846, 9.041421084875159 58.72429803581556, 9.041525191603192 58.72431894629225)"/>
    <s v="[1756399, 1756407, 1756423]"/>
    <s v="[1554331, 1554338, 278053]"/>
    <s v="0.07026083703833368"/>
    <s v="[1143527, 1554331, 1554338]"/>
    <s v="[0.068, 0.072, 0.075]"/>
    <s v="50.13926779749867"/>
    <s v="[0.068, 0.072, 0.075]"/>
  </r>
  <r>
    <x v="3511"/>
    <x v="2447"/>
    <x v="0"/>
    <n v="0"/>
    <s v="LINESTRING (9.040722686142546 58.72443666277416, 9.041396720505109 58.72433683622497, 9.041267312021382 58.72437956840533, 9.040762067853475 58.724691490535506)"/>
    <s v="[2110793, 1241305, 1241313]"/>
    <s v="[1161766, 1161767, 1147726]"/>
    <s v="0.0033717046882204504"/>
    <s v="[1143559, 1161766, 1161767]"/>
    <s v="[0.378, 0.051, 0.353]"/>
    <s v="95.25221596324465"/>
    <s v="[-0.378, -0.051, 0.353]"/>
  </r>
  <r>
    <x v="3511"/>
    <x v="4155"/>
    <x v="0"/>
    <n v="0"/>
    <m/>
    <n v="2110785"/>
    <n v="1143559"/>
    <s v="0.068"/>
    <n v="1147694"/>
    <s v="0.068"/>
    <s v="14.169333082547528"/>
    <s v="0.068"/>
  </r>
  <r>
    <x v="3512"/>
    <x v="3121"/>
    <x v="0"/>
    <s v="[0, 0, 0, 0, 0, 0, 0, 0, 0, 0, 0, 0, 1, 0, 1, 0, 1, 0, 1, 0, 0]"/>
    <s v="LINESTRING (10.21193540698538 59.50765256877773, 10.214495817050887 59.50446233625065, 10.216619620704419 59.50208901436153, 10.216713408305557 59.50200160092354, 10.222238057168187 59.49732074431257, 10.222834627822946 59.49682245212916, 10.234138443213398 59.488573561967854, 10.239872308919816 59.48511292352675, 10.239948489884975 59.4850743261215, 10.245777100817428 59.482940977398215, 10.263770833840624 59.47470226794884, 10.264534232687462 59.4744660227828, 10.277016254624836 59.47259925760462, 10.277106705613193 59.47259713611128, 10.283339241910202 59.472423307381774, 10.28341574660174 59.47241977770274, 10.292595730777418 59.47150476059736, 10.29333880727619 59.471385863999714, 10.297694638698852 59.47065970317786, 10.301378541479304 59.47008639042933, 10.309868499830657 59.46905761482729, 10.312650950964027 59.46874435398372)"/>
    <s v="[1242996, 1243004, 1243026, 1243032, 1243033, 1243044, 1243045, 1243054, 1243061, 1243081, 1243083, 1243084, 1243087, 1243104, 1243105, 1243120, 1243148, 1243149, 1243154, 1243170, 1243181]"/>
    <s v="[1163241, 1163246, 1163264, 1163268, 1163269, 1163279, 1163280, 1163291, 1163299, 1163318, 1163321, 1163322, 1163325, 1163340, 1163341, 1163351, 1163372, 1163373, 1163375, 1163389, 1143960]"/>
    <s v="0.0021122529610570905"/>
    <s v="[1143943, 1163241, 1163246, 1163264, 1163268, 1163269, 1163279, 1163280, 1163291, 1163299, 1163318, 1163321, 1163322, 1163325, 1163340, 1163341, 1163351, 1163372, 1163373, 1163375, 1163389]"/>
    <s v="[0.01, 0.015, 0.016, 0.043, 0.077, 0.003, 0.049, 0.085, 0.022, 0.012, 0.059, 0.007, 0.023, 0.003, 0.021, 0.02, 0.034, 0.024, 0.003, 0.014, 0.008]"/>
    <s v="7650.879156305286"/>
    <s v="[0.01, -0.015, -0.016, 0.043, 0.077, 0.003, -0.049, 0.085, 0.022, 0.012, -0.059, -0.007, 0.023, 0.003, 0.021, -0.02, -0.034, -0.024, 0.003, 0.014, -0.008]"/>
  </r>
  <r>
    <x v="3513"/>
    <x v="3124"/>
    <x v="0"/>
    <n v="0"/>
    <s v="LINESTRING (10.312650950964027 59.46874435398372, 10.314487883345693 59.468549518285116, 10.314812789466492 59.46851351933071, 10.320734070807198 59.4678609327781, 10.32417288064238 59.46748226532183)"/>
    <s v="[1243182, 1243189, 1243197, 1243205]"/>
    <s v="[1163398, 1163404, 1163415, 1143974]"/>
    <s v="#FIELD!"/>
    <s v="[1143960, 1163398, 1163404, 1163415]"/>
    <s v="[0.024, 0.037, 0.009, 0.035]"/>
    <s v="668.4872759484701"/>
    <s v="[0.024, -0.037, -0.009, -0.035]"/>
  </r>
  <r>
    <x v="3514"/>
    <x v="4156"/>
    <x v="0"/>
    <s v="[0, 0, 0, 0, 1, 0, 0, 0, 0, 0, 0, 1, 0, 0, 0, 1, 0, 0, 0]"/>
    <s v="LINESTRING (10.32417288064238 59.46748226532183, 10.325605289921073 59.46732314140328, 10.325840382364886 59.46729738815585, 10.328851441434985 59.46689258312483, 10.332496280154636 59.46609574928925, 10.332556911840333 59.46607903086962, 10.34343190814209 59.45939447548899, 10.34387934875367 59.458660427907056, 10.344043905930363 59.45838495889166, 10.348120231562387 59.45413608948156, 10.348434395240039 59.45392792489278, 10.348716310591527 59.45375033238616, 10.355410857006003 59.44961862901154, 10.35695721876272 59.44724521398738, 10.357698047932631 59.44517148545402, 10.357806510129686 59.44490818049712, 10.357824589433479 59.444866550988856, 10.357861116588573 59.44478060679585, 10.359095522006458 59.442491432342536, 10.359925011818225 59.44113133984743)"/>
    <s v="[1243212, 1243220, 1243228, 1243242, 1243243, 1243265, 1243273, 1243289, 1243290, 1243299, 1243304, 1243305, 1243312, 1243313, 1243325, 1243326, 1243327, 1243328, 1243330]"/>
    <s v="[1163424, 1163429, 1163435, 1163445, 1163446, 1163465, 1163470, 1163489, 1163490, 1163498, 1163502, 1163503, 1163509, 1163510, 1163521, 1163522, 1163523, 1163524, 1149413]"/>
    <s v="#FIELD!"/>
    <s v="[1143974, 1163424, 1163429, 1163435, 1163445, 1163446, 1163465, 1163470, 1163489, 1163490, 1163498, 1163502, 1163503, 1163509, 1163510, 1163521, 1163522, 1163523, 1163524]"/>
    <s v="[0.127, 0.09, 0.045, 0.002, 0.009, 0.002, 0.025, 0.057, 0.028, 0.236, 0.253, 0.033, 0.036, 0.006, 0.011, 0.005, 0.013, 0.019, 0.027]"/>
    <s v="3778.963478274593"/>
    <s v="[-0.127, -0.09, -0.045, -0.002, 0.009, -0.002, 0.025, 0.057, -0.028, -0.236, -0.253, -0.033, 0.036, 0.006, 0.011, 0.005, 0.013, 0.019, 0.027]"/>
  </r>
  <r>
    <x v="3515"/>
    <x v="4157"/>
    <x v="0"/>
    <n v="0"/>
    <s v="LINESTRING (9.005522437374777 58.68779591727829, 9.00555562447627 58.687687620582125, 9.005459886919038 58.687350006764056)"/>
    <s v="[1757364, 1757365]"/>
    <s v="[123875, 1213871]"/>
    <s v="#FIELD!"/>
    <s v="[1145784, 123875]"/>
    <s v="[0.026, 0.044]"/>
    <s v="50.55544708456825"/>
    <s v="[-0.026, -0.044]"/>
  </r>
  <r>
    <x v="3516"/>
    <x v="4158"/>
    <x v="0"/>
    <n v="0"/>
    <s v="LINESTRING (11.53930673382415 60.18683025576918, 11.539778978952453 60.18685322684176, 11.539938600929368 60.18686574635553, 11.540962131015142 60.18694602899174, 11.540988370613084 60.18694808936522, 11.541166536820088 60.18696206233854, 11.541494424536594 60.18698695502958, 11.541498990257454 60.186987298939826, 11.542700018699051 60.1870794018274, 11.542886393957863 60.18709306549106, 11.542952405020344 60.1870979071582, 11.543971197569588 60.187174627439745, 11.544905368591133 60.18726579464278)"/>
    <s v="[1223622, 1223630, 1223631, 1223638, 1223645, 1223653, 1223661, 1223662, 1223667, 1223676, 1223678, 1223686]"/>
    <s v="[1146434, 1146444, 1146445, 1146453, 1146461, 1146473, 1146480, 1146481, 1146485, 1146494, 1146496, 1146503]"/>
    <s v="0.00012611534795144516"/>
    <s v="[1146433, 1146434, 1146444, 1146445, 1146453, 1146461, 1146473, 1146480, 1146481, 1146485, 1146494, 1146496]"/>
    <s v="[0.001, 0.0, 0.001, 0.001, 0.001, 0.0, 0.004, 0.0, 0.0, 0.001, 0.0, 0.001]"/>
    <s v="315.5874269616878"/>
    <s v="[0.001, 0.0, 0.001, 0.001, 0.001, -0.0, 0.004, 0.0, 0.0, -0.001, -0.0, -0.001]"/>
  </r>
  <r>
    <x v="3516"/>
    <x v="4158"/>
    <x v="0"/>
    <n v="0"/>
    <s v="LINESTRING (11.53930673382415 60.18683025576918, 11.539902601547057 60.18692532631776, 11.540943328362323 60.187021237883734, 11.540974705060973 60.18702404356497, 11.541143940793635 60.18703919432323, 11.54148081056426 60.187061059225975, 11.542680795102562 60.18714458807221, 11.54287329724722 60.1871579982729, 11.54293654328849 60.18716236334192, 11.543995224697749 60.187235451218186, 11.544247135099281 60.187252836191945, 11.544905368591133 60.18726579464278)"/>
    <s v="[1223698, 1223708, 1223723, 1223724, 1223730, 1223734, 1223735, 1223741, 1223756, 1223764, 1223772]"/>
    <s v="[1146516, 1146528, 1146541, 1146542, 1146549, 1146552, 1146553, 1146561, 1146580, 1146585, 1146503]"/>
    <s v="0.00023854394983422386"/>
    <s v="[1146433, 1146516, 1146528, 1146541, 1146542, 1146549, 1146552, 1146553, 1146561, 1146580, 1146585]"/>
    <s v="[0.0, 0.001, 0.002, 0.001, 0.0, 0.0, 0.0, 0.001, 0.0, 0.0, 0.0]"/>
    <s v="315.87306682032494"/>
    <s v="[-0.0, 0.001, 0.002, 0.001, 0.0, 0.0, -0.0, 0.001, -0.0, 0.0, 0.0]"/>
  </r>
  <r>
    <x v="3516"/>
    <x v="4159"/>
    <x v="0"/>
    <n v="0"/>
    <m/>
    <n v="1496425"/>
    <n v="1146433"/>
    <s v="0.012"/>
    <n v="1354589"/>
    <s v="0.012"/>
    <s v="495.27615955068"/>
    <s v="0.012"/>
  </r>
  <r>
    <x v="3517"/>
    <x v="4160"/>
    <x v="386"/>
    <n v="0"/>
    <s v="LINESTRING (11.544905368591133 60.18726579464278, 11.550163357284054 60.18783959437645, 11.554083561020558 60.18902478917025, 11.556700961474796 60.18999634588426, 11.559680248126337 60.191106753720334, 11.560219938154995 60.191306715588794, 11.561959626621414 60.19195752997706, 11.564602539444776 60.19293938023762, 11.564780846143655 60.1930100244031, 11.565004674623374 60.19308964968423, 11.566228342641281 60.19354733260533, 11.569865067933401 60.194899821207876, 11.569925875173741 60.19492165281685, 11.572387605631002 60.19583756188815, 11.572508116949452 60.195881481681475, 11.572624174219705 60.195924495250374, 11.57372198979106 60.196338963959604, 11.575760560205463 60.19710920707468, 11.57599153897085 60.1971997102699, 11.576153805543537 60.197259121152186, 11.580402150494947 60.19905317175661, 11.5805282045728 60.199110123398896, 11.580609185842945 60.19914726331723, 11.58336394438697 60.20039294963262, 11.587255875838968 60.20193029502622, 11.590113876955487 60.202954381561725, 11.594173648521592 60.20440485634995, 11.596319697805281 60.205176898970336, 11.596832518945483 60.20536127449133, 11.599592650518797 60.20634286452289, 11.600951337685544 60.20680336845288, 11.605012250418058 60.20804142169465, 11.606396395828012 60.20841060077474, 11.606537926758765 60.208445949459076, 11.60739889566921 60.20865591349199, 11.610721628816764 60.209166027706566, 11.610996319557847 60.209199025751964, 11.612529443548064 60.20938300755953, 11.617509490232932 60.21039318901511, 11.61849122440472 60.21072218234595, 11.621332497373572 60.21167270303548, 11.624009348162994 60.212577056381306, 11.624568777961294 60.21276455608488, 11.630223646947625 60.21470923020879, 11.63194229342565 60.21535533491102, 11.632095300919358 60.215413144428084, 11.635262120489118 60.21662224021114, 11.6359772668522 60.21689430835713, 11.637280386683729 60.217390613199406, 11.637447366439838 60.21745326412003, 11.639657970604182 60.218178848742596, 11.640170422451598 60.21832026203826, 11.640794903768603 60.21848886700479, 11.64201588533544 60.21880738525937, 11.643383220513789 60.21916105218813, 11.644989526344721 60.21959812999999, 11.645213829627842 60.21966572655733, 11.650722865902368 60.222034180886396, 11.651084530066695 60.222231627410416, 11.651946275764965 60.22270911491886, 11.652808183709784 60.22318525245947, 11.657999312472612 60.225747592906764, 11.661285126388087 60.22697781421649, 11.661512995199738 60.2270644334146, 11.663947507144195 60.2280864529507, 11.664070277708415 60.228158775851725, 11.665886062832591 60.229830055245685, 11.66822760583119 60.23532728726672, 11.668258042694818 60.236688172517574, 11.6681301939607 60.23952205355588, 11.668107559042303 60.23997944429275, 11.668071324212846 60.24074291094585, 11.667985143345001 60.24249603494205, 11.667980323027242 60.24254469332596, 11.667979713694047 60.24258926974567, 11.667978030075274 60.24262112104204, 11.66792889441017 60.24355353581764, 11.667924769929606 60.24364086323878, 11.667897890030321 60.24406525606554, 11.667867120077075 60.24483014491388, 11.667970239519908 60.2456563078406, 11.668861130736236 60.24701899253138, 11.670848123072833 60.25057746468439, 11.671031478504597 60.25101504261923, 11.671727660600972 60.252634020483065, 11.672302548693459 60.25346661396118, 11.67294650789439 60.25430487312096, 11.673003858963348 60.2543825720854, 11.673342835920193 60.254824543493015, 11.673735461630674 60.2553391230422, 11.67380553371185 60.25543155511654, 11.673896573918308 60.25555167945852, 11.674117741781517 60.25584315212306)"/>
    <s v="[1496432, 1496463, 1496464, 1496471, 1496472, 1496483, 1496501, 1496509, 1496513, 1496528, 1496535, 1496548, 1496575, 1496577, 1496579, 1496585, 1496608, 1496616, 1496618, 138158, 138166, 138174, 138182, 138190, 138198, 138206, 138214, 138222, 138230, 138238, 138246, 138254, 138262, 138270, 138278, 138286, 138294, 138302, 138310, 138318, 138326, 138334, 138342, 138350, 138358, 138366, 138374, 138382, 138390, 138398, 138406, 138414, 138422, 138430, 138438, 138446, 138454, 138462, 138470, 138478, 138486, 138494, 138502, 138510, 138518, 138526, 138534, 138542, 138550, 138558, 138566, 138574, 138582, 138590, 138598, 138606, 138614, 138622, 138630, 138638, 138646, 138654, 138662, 138670, 138678, 138686, 138694, 1814562, 1814570, 1814578, 1814586, 1814594]"/>
    <s v="[1354595, 1354618, 1354619, 1354627, 1354628, 1354637, 1354651, 1354658, 1354662, 1354674, 1354681, 1354689, 1354709, 378259, 1354712, 1354716, 1354734, 1354742, 155352, 155353, 155361, 155366, 155376, 26450, 155392, 155401, 155409, 155418, 29771, 155430, 155438, 155448, 43361, 155464, 155471, 155481, 155488, 155496, 155504, 155512, 26442, 155523, 155531, 26046, 71265, 155556, 155563, 155570, 71045, 37623, 155593, 26098, 30857, 25882, 30847, 29687, 155633, 25869, 155651, 155657, 155663, 30866, 155683, 155692, 155700, 25829, 25914, 155717, 155724, 155730, 155736, 155744, 155752, 155760, 155769, 155779, 155788, 155796, 30291, 155812, 155819, 155825, 44957, 155843, 155853, 155859, 155865, 45269, 1596783, 1596788, 1596792, 1596719]"/>
    <s v="#FIELD!"/>
    <s v="[1146503, 1354595, 1354618, 1354619, 1354627, 1354628, 1354637, 1354651, 1354658, 1354662, 1354674, 1354681, 1354689, 1354709, 378259, 1354712, 1354716, 1354734, 1354742, 155352, 155353, 155361, 155366, 155376, 26450, 155392, 155401, 155409, 155418, 29771, 155430, 155438, 155448, 43361, 155464, 155471, 155481, 155488, 155496, 155504, 155512, 26442, 155523, 155531, 26046, 71265, 155556, 155563, 155570, 71045, 37623, 155593, 26098, 30857, 25882, 30847, 29687, 155633, 25869, 155651, 155657, 155663, 30866, 155683, 155692, 155700, 25829, 25914, 155717, 155724, 155730, 155736, 155744, 155752, 155760, 155769, 155779, 155788, 155796, 30291, 155812, 155819, 155825, 44957, 155843, 155853, 155859, 155865, 45269, 1596783, 1596788, 1596792]"/>
    <s v="[0.021, 0.01, 0.041, 0.015, 0.065, 0.004, 0.008, 0.014, 0.016, 0.001, 0.001, 0.014, 0.008, 0.03, 0.027, 0.011, 0.013, 0.014, 0.007, 0.004, 0.006, 0.007, 0.011, 0.003, 0.001, 0.002, 0.01, 0.009, 0.003, 0.002, 0.001, 0.004, 0.004, 0.015, 0.004, 0.014, 0.023, 0.002, 0.008, 0.007, 0.001, 0.03, 0.005, 0.01, 0.01, 0.003, 0.002, 0.006, 0.004, 0.002, 0.01, 0.002, 0.004, 0.004, 0.006, 0.0, 0.005, 0.002, 0.008, 0.012, 0.001, 0.002, 0.036, 0.015, 0.015, 0.0, 0.002, 0.016, 0.003, 0.01, 0.011, 0.011, 0.004, 0.002, 0.002, 0.003, 0.009, 0.01, 0.009, 0.008, 0.018, 0.006, 0.013, 0.007, 0.006, 0.01, 0.009, 0.004, 0.006, 0.006, 0.006, 0.006]"/>
    <s v="11283.36952903374"/>
    <s v="[-0.021, -0.01, -0.041, -0.015, -0.065, -0.004, 0.008, 0.014, 0.016, 0.001, 0.001, -0.014, -0.008, -0.03, -0.027, -0.011, -0.013, -0.014, -0.007, -0.004, 0.006, 0.007, 0.011, -0.003, -0.001, -0.002, 0.01, -0.009, 0.003, -0.002, -0.001, -0.004, 0.004, 0.015, -0.004, -0.014, 0.023, -0.002, -0.008, -0.007, -0.001, -0.03, 0.005, 0.01, -0.01, -0.003, 0.002, 0.006, -0.004, -0.002, 0.01, -0.002, -0.004, 0.004, 0.006, 0.0, 0.005, 0.002, -0.008, -0.012, -0.001, 0.002, -0.036, 0.015, -0.015, -0.0, -0.002, 0.016, -0.003, 0.01, 0.011, -0.011, 0.004, 0.002, 0.002, 0.003, -0.009, -0.01, -0.009, 0.008, 0.018, -0.006, -0.013, -0.007, 0.006, 0.01, 0.009, -0.004, -0.006, -0.006, -0.006, -0.006]"/>
  </r>
  <r>
    <x v="3518"/>
    <x v="2447"/>
    <x v="0"/>
    <n v="0"/>
    <s v="LINESTRING (9.040489424292842 58.72447445816821, 9.040565233970892 58.72449230065026, 9.040758713417567 58.724655338601934, 9.040762067853475 58.724691490535506)"/>
    <s v="[1224853, 1224869, 1224882]"/>
    <s v="[1147695, 1147711, 1147726]"/>
    <s v="0.04272054144934045"/>
    <s v="[1147694, 1147695, 1147711]"/>
    <s v="[0.073, 0.043, 0.005]"/>
    <s v="30.74162548307017"/>
    <s v="[0.073, 0.043, 0.005]"/>
  </r>
  <r>
    <x v="3518"/>
    <x v="2449"/>
    <x v="0"/>
    <n v="0"/>
    <s v="LINESTRING (9.039205946584435 58.72424652706359, 9.040045104232947 58.72453837407794, 9.040193891505439 58.724518619126854, 9.040489424292842 58.72447445816821)"/>
    <s v="[2110761, 2110769, 2110777]"/>
    <s v="[1821803, 1821806, 1147694]"/>
    <s v="0.1892337483538995"/>
    <s v="[1161884, 1821803, 1821806]"/>
    <s v="[0.236, 0.068, 0.072]"/>
    <s v="94.52823656992113"/>
    <s v="[0.236, 0.068, 0.072]"/>
  </r>
  <r>
    <x v="3519"/>
    <x v="4161"/>
    <x v="0"/>
    <s v="[0, 0, 1, 0]"/>
    <s v="LINESTRING (9.0052158472696 58.68850028300491, 9.00451023216955 58.6884956024606, 9.004481688623102 58.688049920215036, 9.004769470419653 58.687623346259194, 9.005022563194307 58.68725151548724)"/>
    <s v="[1225385, 1225394, 1225402, 1225403]"/>
    <s v="[1148234, 1148243, 1148249, 1148250]"/>
    <s v="#FIELD!"/>
    <s v="[1148220, 1148234, 1148243, 1148249]"/>
    <s v="[0.061, 0.029, 0.009, 0.013]"/>
    <s v="192.36876600823717"/>
    <s v="[-0.061, -0.029, -0.009, -0.013]"/>
  </r>
  <r>
    <x v="3520"/>
    <x v="4162"/>
    <x v="0"/>
    <n v="0"/>
    <m/>
    <n v="1225410"/>
    <n v="936605"/>
    <s v="#FIELD!"/>
    <n v="1148250"/>
    <s v="0.016"/>
    <s v="6.068690138479538"/>
    <s v="#FIELD!"/>
  </r>
  <r>
    <x v="3520"/>
    <x v="4157"/>
    <x v="0"/>
    <n v="0"/>
    <s v="LINESTRING (9.005459886919038 58.687350006764056, 9.005140272237405 58.68726088564005, 9.005022563194307 58.68725151548724)"/>
    <s v="[1303069, 1303077]"/>
    <s v="[1213872, 1148250]"/>
    <s v="#FIELD!"/>
    <s v="[1213871, 1213872]"/>
    <s v="[0.06, 0.056]"/>
    <s v="28.49495835988459"/>
    <s v="[-0.06, -0.056]"/>
  </r>
  <r>
    <x v="3521"/>
    <x v="547"/>
    <x v="0"/>
    <n v="0"/>
    <m/>
    <n v="1754068"/>
    <n v="1552938"/>
    <s v="0.007"/>
    <n v="1148454"/>
    <s v="0.007"/>
    <s v="3.0611109089268576"/>
    <s v="0.007"/>
  </r>
  <r>
    <x v="3521"/>
    <x v="549"/>
    <x v="0"/>
    <n v="0"/>
    <m/>
    <n v="1754049"/>
    <n v="1148454"/>
    <s v="0.054"/>
    <n v="1162183"/>
    <s v="0.054"/>
    <s v="18.139114206041462"/>
    <s v="0.054"/>
  </r>
  <r>
    <x v="3522"/>
    <x v="3093"/>
    <x v="0"/>
    <n v="0"/>
    <s v="LINESTRING (10.233215788796008 59.6593764100711, 10.232189493623547 59.65814786760377, 10.231487183741486 59.657419998038975, 10.229106138567998 59.65502870484785, 10.229043814856167 59.65496706584675, 10.228995877119234 59.654916745248606, 10.226807986960333 59.65266916719461, 10.226776701890698 59.65263924205513, 10.225325100302346 59.65107499725042, 10.225182626243175 59.65091610970305)"/>
    <s v="[1243441, 1243455, 1243464, 1243472, 1243953, 1243960, 1243500, 1243501, 1243508]"/>
    <s v="[1163626, 1163639, 1163648, 1163653, 1164056, 1163672, 1163673, 1163674, 1148919]"/>
    <s v="#FIELD!"/>
    <s v="[1148885, 1163626, 1163639, 1163648, 1163653, 1164056, 1163672, 1163673, 1163674]"/>
    <s v="[0.037, 0.042, 0.006, 0.012, 0.007, 0.001, 0.006, 0.015, 0.092]"/>
    <s v="1046.4874189447976"/>
    <s v="[-0.037, -0.042, -0.006, -0.012, -0.007, -0.001, 0.006, -0.015, 0.092]"/>
  </r>
  <r>
    <x v="3522"/>
    <x v="2208"/>
    <x v="387"/>
    <s v="[0, 0, 0, 0, 0, 0, 0, 1, 0]"/>
    <s v="LINESTRING (10.24846746443111 59.69149563141605, 10.246952517243491 59.68991092072366, 10.245115858818581 59.68339724007329, 10.242058751892316 59.67306732494775, 10.240900475682558 59.67133516833007, 10.2407563045541 59.67112205446734, 10.237877376026718 59.6668032292828, 10.234426627948663 59.66108727175658, 10.23427777942673 59.66087136976647, 10.233215788796008 59.6593764100711)"/>
    <s v="[1594031, 1594039, 1594047, 1594055, 1594063, 1594071, 1243426, 1243433, 1243434]"/>
    <s v="[1432942, 1432949, 1432956, 1432964, 1432970, 1163613, 1163614, 1163618, 1148885]"/>
    <s v="0.00356966965777945"/>
    <s v="[1432935, 1432942, 1432949, 1432956, 1432964, 1432970, 1163613, 1163614, 1163618]"/>
    <s v="[0.012, 0.018, 0.004, 0.002, 0.006, 0.002, 0.003, 0.024, 0.022]"/>
    <s v="3765.2665407907666"/>
    <s v="[0.012, 0.018, -0.004, 0.002, 0.006, -0.002, -0.003, 0.024, 0.022]"/>
  </r>
  <r>
    <x v="3523"/>
    <x v="3087"/>
    <x v="0"/>
    <n v="0"/>
    <s v="LINESTRING (10.231926284961702 59.65820686694825, 10.228878171125778 59.65511934042108, 10.22879112215235 59.65503161388817, 10.22876614192516 59.65500731617811, 10.226553412158935 59.65273454146959, 10.226520868820446 59.6527009723523, 10.225068050047938 59.65113410749226)"/>
    <s v="[1242353, 1242354, 1242366, 1242374, 1242382, 1242394]"/>
    <s v="[1162665, 1162666, 1162676, 1162682, 1162687, 1148925]"/>
    <s v="#FIELD!"/>
    <s v="[1148895, 1162665, 1162666, 1162676, 1162682, 1162687]"/>
    <s v="[0.03, 0.013, 0.012, 0.003, 0.003, 0.011]"/>
    <s v="878.1871117730827"/>
    <s v="[-0.03, -0.013, -0.012, 0.003, 0.003, -0.011]"/>
  </r>
  <r>
    <x v="3524"/>
    <x v="4163"/>
    <x v="0"/>
    <s v="[0, 0, 0, 0, 0, 0, 0, 1, 0, 0, 0, 0]"/>
    <s v="LINESTRING (10.192938288451966 59.6187226867091, 10.193189052928426 59.619153781976365, 10.193659539085537 59.62008409344995, 10.193686052144134 59.62013454178545, 10.194318335083114 59.62079504556457, 10.194807550334403 59.62103698396822, 10.19505731941209 59.62187397651422, 10.195235364277774 59.62221513203508, 10.196035578480114 59.6229976984001, 10.196557273532315 59.62345942481941, 10.196607910472867 59.623502662564064, 10.197040812006627 59.62389006337238, 10.1974454325921 59.624289017486)"/>
    <s v="[1226161, 901915, 901923, 901933, 901940, 901996, 901948, 901956, 901964, 901972, 901980, 1226143]"/>
    <s v="[876477, 876478, 876485, 876497, 876507, 876516, 876517, 876527, 876536, 876540, 876548, 1148914]"/>
    <s v="0.005007801478856735"/>
    <s v="[1148927, 876477, 876478, 876485, 876497, 876507, 876516, 876517, 876527, 876536, 876540, 876548]"/>
    <s v="[0.15, 0.036, 0.01, 0.021, 0.051, 0.011, 0.045, 0.007, 0.039, 0.01, 0.028, 0.167]"/>
    <s v="737.4119879026293"/>
    <s v="[-0.15, -0.036, 0.01, 0.021, 0.051, 0.011, -0.045, -0.007, 0.039, 0.01, 0.028, 0.167]"/>
  </r>
  <r>
    <x v="3524"/>
    <x v="3093"/>
    <x v="0"/>
    <s v="[0, 1, 0, 0, 0, 0, 1, 0]"/>
    <s v="LINESTRING (10.225182626243175 59.65091610970305, 10.221829876381136 59.64694474830018, 10.220152824808453 59.64488479364392, 10.215288011555222 59.64079772279257, 10.212460578753781 59.639097661806574, 10.210569863943155 59.63785639698793, 10.20591913769756 59.63329281918931, 10.205885889057225 59.63325202195109, 10.1974454325921 59.624289017486)"/>
    <s v="[1243527, 1243528, 1243543, 1243557, 1243565, 1243593, 1243601, 1243609]"/>
    <s v="[1163695, 1163696, 1163703, 1163713, 1163718, 1163746, 1163752, 1148914]"/>
    <s v="0.009671158373572134"/>
    <s v="[1148919, 1163695, 1163696, 1163703, 1163713, 1163718, 1163746, 1163752]"/>
    <s v="[0.022, 0.004, 0.032, 0.045, 0.035, 0.023, 0.001, 0.019]"/>
    <s v="3374.3058731075903"/>
    <s v="[-0.022, 0.004, 0.032, 0.045, 0.035, -0.023, 0.001, 0.019]"/>
  </r>
  <r>
    <x v="3525"/>
    <x v="4164"/>
    <x v="0"/>
    <s v="[0, 0, 1, 0, 0, 0, 0, 1, 0, 0, 0, 0, 1, 1]"/>
    <s v="LINESTRING (10.225068050047938 59.65113410749226, 10.224926541062718 59.650976810999445, 10.221629923266498 59.6470759716684, 10.219890734584585 59.644940884244235, 10.215065664219814 59.64088673939306, 10.212302157840996 59.63916202723112, 10.210412467660827 59.63791360144878, 10.205654093955337 59.633345173350804, 10.205620973466818 59.633303481215556, 10.197203916961804 59.624362753152134, 10.196285170853367 59.623598753267146, 10.196234406120592 59.62355641022378, 10.195711459999636 59.62309103838864, 10.194895447997215 59.622300279549556, 10.19473230354402 59.6221285571199)"/>
    <s v="[1242403, 1242421, 1242426, 1242444, 1242445, 1242457, 1242460, 1242462, 1242463, 1242469, 1242477, 1242485, 1242493, 1242529]"/>
    <s v="[1162699, 1162715, 1162718, 1162730, 1162731, 1162741, 1162743, 1162744, 1162745, 1162752, 1162759, 1162762, 1162768, 1148926]"/>
    <s v="0.006044188680028713"/>
    <s v="[1148925, 1162699, 1162715, 1162718, 1162730, 1162731, 1162741, 1162743, 1162744, 1162745, 1162752, 1162759, 1162762, 1162768]"/>
    <s v="[0.07, 0.018, 0.006, 0.03, 0.045, 0.03, 0.021, 0.004, 0.019, 0.03, 0.067, 0.104, 0.02, 0.044]"/>
    <s v="3676.828616344505"/>
    <s v="[-0.07, -0.018, 0.006, 0.03, 0.045, 0.03, -0.021, -0.004, 0.019, -0.03, -0.067, -0.104, -0.02, 0.044]"/>
  </r>
  <r>
    <x v="3526"/>
    <x v="4165"/>
    <x v="0"/>
    <n v="0"/>
    <s v="LINESTRING (10.19473230354402 59.6221285571199, 10.194325973974493 59.621729530362686, 10.193229793018112 59.62019603330924, 10.193202896190726 59.620148269346096, 10.192331804970049 59.61937302572693, 10.192143235537367 59.618236501607015, 10.190499638374446 59.61590295821146, 10.190108072707082 59.61550086001287)"/>
    <s v="[1226160, 901853, 901869, 901886, 901894, 901907, 1226167]"/>
    <s v="[876406, 876407, 876424, 876445, 876453, 876467, 1148932]"/>
    <s v="0.011132699287405892"/>
    <s v="[1148926, 876406, 876407, 876424, 876445, 876453, 876467]"/>
    <s v="[0.028, 0.007, 0.028, 0.066, 0.005, 0.001, 0.039]"/>
    <s v="801.748053633947"/>
    <s v="[0.028, -0.007, -0.028, 0.066, 0.005, -0.001, 0.039]"/>
  </r>
  <r>
    <x v="3526"/>
    <x v="4165"/>
    <x v="0"/>
    <n v="0"/>
    <s v="LINESTRING (10.19473230354402 59.6221285571199, 10.193652025688198 59.62075114105228, 10.193322053507185 59.62018413200915, 10.19329705100629 59.620135538158266, 10.1931460028989 59.61983991605357, 10.192666208301123 59.61876296082654, 10.192355511031383 59.61809817649818, 10.190108072707082 59.61550086001287)"/>
    <s v="[1242537, 1242549, 1242550, 1242573, 1242574, 1242581, 1242582]"/>
    <s v="[1162808, 1162819, 1162820, 1162837, 1162838, 1162843, 1148932]"/>
    <s v="0.011295351094156476"/>
    <s v="[1148926, 1162808, 1162819, 1162820, 1162837, 1162838, 1162843]"/>
    <s v="[0.021, 0.019, 0.025, 0.003, 0.02, 0.046, 0.003]"/>
    <s v="787.3169522018086"/>
    <s v="[0.021, -0.019, -0.025, -0.003, 0.02, 0.046, 0.003]"/>
  </r>
  <r>
    <x v="3527"/>
    <x v="3106"/>
    <x v="0"/>
    <s v="[0, 0, 0, 1, 0, 0, 0, 1, 0, 1, 0, 1, 0, 1, 0, 0, 0, 0, 0, 1, 0, 0]"/>
    <s v="LINESTRING (10.192938288451966 59.6187226867091, 10.192624034334813 59.61805282499933, 10.190360857416676 59.6154343804773, 10.183033330594629 59.61136706849396, 10.182973386324662 59.61132707988642, 10.177137093982886 59.60551502706634, 10.175225672503815 59.60437765386776, 10.173830331786277 59.60368838172992, 10.171344446800422 59.602462274018066, 10.166999291160959 59.59838420133192, 10.166976621631012 59.59833208913991, 10.166947314978957 59.59826443928952, 10.16693468423956 59.59822889004243, 10.167058786592703 59.594997810789174, 10.167895271952538 59.59367221884702, 10.170044449044129 59.59159453889894, 10.170089575400782 59.591552128653866, 10.17395063483195 59.585912814806306, 10.17620097053415 59.58198560947796, 10.176573050800862 59.58133617416852, 10.176596727060813 59.58129476959606, 10.178335432422736 59.578261562915806, 10.178607319732123 59.577786994421764)"/>
    <s v="[1243749, 1243753, 1243761, 1243772, 1243773, 1243799, 1243807, 1243815, 1243816, 1243824, 1243831, 1243839, 1243855, 1243871, 1243872, 1243876, 1243877, 1243906, 1243936, 1243937, 1243944, 1243945]"/>
    <s v="[1163877, 1163880, 1163886, 1163893, 1163894, 1163913, 1163919, 1163925, 1163926, 1163932, 1163938, 1163947, 1163957, 1163976, 1163977, 1163978, 1163979, 1164010, 1164038, 1164039, 1164048, 1148954]"/>
    <s v="#FIELD!"/>
    <s v="[1148927, 1163877, 1163880, 1163886, 1163893, 1163894, 1163913, 1163919, 1163925, 1163926, 1163932, 1163938, 1163947, 1163957, 1163976, 1163977, 1163978, 1163979, 1164010, 1164038, 1164039, 1164048]"/>
    <s v="[0.018, 0.001, 0.018, 0.006, 0.0, 0.023, 0.084, 0.007, 0.003, 0.025, 0.024, 0.005, 0.023, 0.049, 0.028, 0.01, 0.008, 0.008, 0.01, 0.039, 0.01, 0.053]"/>
    <s v="5155.983410878488"/>
    <s v="[-0.018, -0.001, -0.018, 0.006, -0.0, -0.023, -0.084, 0.007, -0.003, -0.025, -0.024, -0.005, 0.023, -0.049, -0.028, 0.01, 0.008, -0.008, -0.01, 0.039, 0.01, 0.053]"/>
  </r>
  <r>
    <x v="3528"/>
    <x v="3097"/>
    <x v="388"/>
    <s v="[0, 1, 0, 0, 0, 1, 0, 1, 0, 1, 0, 1, 0, 0, 0, 0, 0, 1, 0]"/>
    <s v="LINESTRING (10.190108072707082 59.61550086001287, 10.182806058348058 59.61145404718421, 10.18274309603177 59.611410349148755, 10.177007482247559 59.60573782960219, 10.174970850565261 59.60449598513589, 10.17373335859467 59.603869208167175, 10.171276352771745 59.602639667735815, 10.166729559529307 59.598433599444164, 10.166708398032522 59.59838334204209, 10.166678963152329 59.59831658692511, 10.166666590144043 59.5982792480819, 10.166782759793314 59.59496781554377, 10.167640672180683 59.59360433675373, 10.169792875304209 59.591530370710544, 10.169838387720656 59.591485276179, 10.17368189930716 59.585866990899135, 10.175931021821974 59.58194534886718, 10.17630408779938 59.58129476319902, 10.17632750758148 59.58125514828283, 10.178064328964542 59.57822212699987)"/>
    <s v="[1242589, 1242590, 1242597, 1242616, 1242617, 1242631, 1242632, 1242634, 1242640, 1242641, 1242648, 1242655, 1242670, 1242671, 1242672, 1242680, 1242681, 1242709, 1242714]"/>
    <s v="[1162850, 1162851, 1162857, 1162877, 1162878, 1162889, 1162890, 1162892, 1162897, 1162898, 1162906, 1162913, 1162931, 1162932, 1162933, 1162939, 1162940, 1162964, 1148942]"/>
    <s v="#FIELD!"/>
    <s v="[1148932, 1162850, 1162851, 1162857, 1162877, 1162878, 1162889, 1162890, 1162892, 1162897, 1162898, 1162906, 1162913, 1162931, 1162932, 1162933, 1162939, 1162940, 1162964]"/>
    <s v="[0.021, 0.019, 0.005, 0.043, 0.088, 0.001, 0.001, 0.023, 0.014, 0.035, 0.02, 0.044, 0.023, 0.011, 0.007, 0.003, 0.01, 0.015, 0.016]"/>
    <s v="4715.266199651789"/>
    <s v="[-0.021, 0.019, 0.005, -0.043, -0.088, -0.001, -0.001, -0.023, -0.014, -0.035, 0.02, -0.044, -0.023, 0.011, 0.007, -0.003, -0.01, -0.015, 0.016]"/>
  </r>
  <r>
    <x v="3529"/>
    <x v="3099"/>
    <x v="0"/>
    <n v="0"/>
    <s v="LINESTRING (10.178064328964542 59.57822212699987, 10.178336167438555 59.577747800058575, 10.180252894927445 59.57415059403264, 10.180300675279568 59.57403991407736, 10.180311962812251 59.574010645641394, 10.180886802364446 59.57195679242143, 10.180936505061437 59.57149608302718, 10.180887822296318 59.56989310963897)"/>
    <s v="[1242715, 1242716, 1242723, 1242724, 1242731, 1242746, 1242754]"/>
    <s v="[1162968, 1162969, 1162976, 1162977, 1162984, 1162996, 1148963]"/>
    <s v="0.09289292618681295"/>
    <s v="[1148942, 1162968, 1162969, 1162976, 1162977, 1162984, 1162996]"/>
    <s v="[0.054, 0.036, 0.076, 0.094, 0.093, 0.122, 0.263]"/>
    <s v="948.0114013591933"/>
    <s v="[-0.054, 0.036, 0.076, 0.094, 0.093, 0.122, 0.263]"/>
  </r>
  <r>
    <x v="3530"/>
    <x v="2975"/>
    <x v="389"/>
    <s v="[0, 0, 1, 0, 0, 0]"/>
    <s v="LINESTRING (10.359925011818225 59.44113133984743, 10.361589955813146 59.43798390158793, 10.363620143966413 59.43227752485567, 10.36376268827823 59.4316754810976, 10.364045234253403 59.430263355059274, 10.364383231574124 59.42742391932294, 10.364428885980814 59.42663359640011)"/>
    <s v="[1243337, 1243345, 1243359, 1243367, 1243374, 1243375]"/>
    <s v="[1163532, 1163535, 1163549, 1163557, 1163564, 1149433]"/>
    <s v="0.013188246355881589"/>
    <s v="[1149413, 1163532, 1163535, 1163549, 1163557, 1163564]"/>
    <s v="[0.013, 0.009, 0.007, 0.005, 0.034, 0.0]"/>
    <s v="1640.9750996168202"/>
    <s v="[0.013, 0.009, -0.007, 0.005, 0.034, -0.0]"/>
  </r>
  <r>
    <x v="3530"/>
    <x v="4166"/>
    <x v="0"/>
    <s v="[0, 0, 0, 0, 0, 1, 0, 0, 0]"/>
    <s v="LINESTRING (10.35393955628291 59.45298931708056, 10.35393955628291 59.45298931708056, 10.354413528759222 59.452505355850796, 10.355077036369297 59.450325383625675, 10.355045875524809 59.449832283482266, 10.35750072676034 59.44490988352345, 10.357521055646664 59.44486473643151, 10.357554388060459 59.44480206376851, 10.359602811201682 59.441548899124726, 10.359925011818225 59.44113133984743)"/>
    <s v="[2047827, 921094, 921102, 921110, 921118, 921126, 921134, 921142, 1226639]"/>
    <s v="[892108, 892109, 892116, 892124, 892131, 892139, 892146, 892152, 1149413]"/>
    <s v="0.026145768541743216"/>
    <s v="[893431, 892108, 892109, 892116, 892124, 892131, 892139, 892146, 892152]"/>
    <s v="[0.038, 0.072, 0.069, 0.043, 0.022, 0.01, 0.014, 0.015, 0.075]"/>
    <s v="1395.2494032059974"/>
    <s v="[-0.038, -0.072, 0.069, 0.043, 0.022, 0.01, 0.014, 0.015, 0.075]"/>
  </r>
  <r>
    <x v="3531"/>
    <x v="4167"/>
    <x v="0"/>
    <n v="0"/>
    <s v="LINESTRING (8.615603450966129 58.37110351065486, 8.615597508832842 58.371041741688664, 8.615551755866393 58.370735336291624, 8.612771709727364 58.370050964158345, 8.611108277703218 58.36983218813277, 8.61071717461217 58.36974212685802)"/>
    <s v="[1228976, 1228984, 1228992, 1232240, 1232232]"/>
    <s v="[1151379, 1151384, 1151389, 1153818, 1153772]"/>
    <s v="0.059398289994231024"/>
    <s v="[1150681, 1151379, 1151384, 1151389, 1153818]"/>
    <s v="[0.026, 0.023, 0.006, 0.176, 0.119]"/>
    <s v="350.1032261601042"/>
    <s v="[-0.026, -0.023, 0.006, 0.176, 0.119]"/>
  </r>
  <r>
    <x v="3531"/>
    <x v="4168"/>
    <x v="0"/>
    <n v="0"/>
    <s v="LINESTRING (8.618177614498055 58.371989985984555, 8.617887806419946 58.371829665329926, 8.616365181393906 58.37099559134436, 8.615603450966129 58.37110351065486)"/>
    <s v="[1232264, 1228014, 1228022]"/>
    <s v="[1150673, 1150674, 1150681]"/>
    <s v="0.011894634369575599"/>
    <s v="[1153836, 1150673, 1150674]"/>
    <s v="[0.026, 0.013, 0.027]"/>
    <s v="206.11154333153155"/>
    <s v="[-0.026, 0.013, 0.027]"/>
  </r>
  <r>
    <x v="3532"/>
    <x v="650"/>
    <x v="0"/>
    <n v="0"/>
    <m/>
    <n v="1753932"/>
    <n v="1151758"/>
    <s v="0.012"/>
    <n v="1150928"/>
    <s v="0.012"/>
    <s v="13.951394185715454"/>
    <s v="0.012"/>
  </r>
  <r>
    <x v="3532"/>
    <x v="4169"/>
    <x v="0"/>
    <n v="0"/>
    <s v="LINESTRING (8.617998233485876 58.3703655512967, 8.618072385438886 58.370410422665095, 8.61784085240203 58.37123187635654, 8.619028221024028 58.37236193863267, 8.619531777607325 58.372606786496476, 8.619733006357928 58.372703497607645)"/>
    <s v="[1228282, 1228290, 1228298, 1232281, 1232280]"/>
    <s v="[1150929, 1150935, 1150942, 1153851, 1153852]"/>
    <s v="#FIELD!"/>
    <s v="[1150928, 1150929, 1150935, 1150942, 1153851]"/>
    <s v="[0.006, 0.008, 0.012, 0.007, 0.02]"/>
    <s v="319.88780782809374"/>
    <s v="[-0.006, 0.008, -0.012, 0.007, -0.02]"/>
  </r>
  <r>
    <x v="3533"/>
    <x v="4170"/>
    <x v="0"/>
    <n v="0"/>
    <s v="LINESTRING (6.352887956742548 62.46752194552298, 6.352950791605439 62.46746102180594, 6.353222039070214 62.46708941012484, 6.353577526793992 62.46653215940254, 6.353625056762416 62.46641977296086, 6.353627337818595 62.46634406418795)"/>
    <s v="[1228419, 1228427, 1228435, 1296883, 1296891]"/>
    <s v="[1151037, 1151043, 1151047, 1209008, 1209013]"/>
    <s v="#FIELD!"/>
    <s v="[1151036, 1151037, 1151043, 1151047, 1209008]"/>
    <s v="[0.026, 0.026, 0.026, 0.027, 0.002]"/>
    <s v="137.48151265945086"/>
    <s v="[-0.026, -0.026, -0.026, 0.027, -0.002]"/>
  </r>
  <r>
    <x v="3533"/>
    <x v="4171"/>
    <x v="0"/>
    <n v="0"/>
    <s v="LINESTRING (6.352887956742548 62.46752194552298, 6.353015934738434 62.46752295946106, 6.353142057544725 62.467566991931335)"/>
    <s v="[1309844, 1309852]"/>
    <s v="[1218502, 1151061]"/>
    <s v="#FIELD!"/>
    <s v="[1151036, 1218502]"/>
    <s v="[0.388, 0.292]"/>
    <s v="14.78395932427079"/>
    <s v="[-0.388, 0.292]"/>
  </r>
  <r>
    <x v="3533"/>
    <x v="3361"/>
    <x v="0"/>
    <n v="0"/>
    <s v="LINESTRING (6.352757832332132 62.467684273019636, 6.352724255574472 62.46764637003924, 6.352731652697055 62.467588283125735, 6.352806989155687 62.46754039175466, 6.352887956742548 62.46752194552298)"/>
    <s v="[1309812, 1309820, 1309828, 1309836]"/>
    <s v="[1218485, 1218491, 321019, 1151036]"/>
    <s v="0.10914218260311673"/>
    <s v="[1209004, 1218485, 1218491, 321019]"/>
    <s v="[0.02, 0.003, 0.025, 0.543]"/>
    <s v="22.355013947773365"/>
    <s v="[0.02, -0.003, -0.025, 0.543]"/>
  </r>
  <r>
    <x v="3534"/>
    <x v="4172"/>
    <x v="0"/>
    <n v="0"/>
    <s v="LINESTRING (6.353142057544725 62.467566991931335, 6.3531462796857685 62.46748161001116, 6.3533679787546795 62.46710648039999, 6.353735424319425 62.46655232502097, 6.353828363161332 62.46644170688279, 6.35388556242881 62.46638986398986)"/>
    <s v="[1228451, 1228459, 1228467, 1329172, 1329180]"/>
    <s v="[1151062, 1151068, 1151076, 1234487, 1234048]"/>
    <s v="#FIELD!"/>
    <s v="[1151061, 1151062, 1151068, 1151076, 1234487]"/>
    <s v="[0.022, 0.025, 0.026, 0.034, 0.004]"/>
    <s v="137.4654147284901"/>
    <s v="[-0.022, -0.025, -0.026, 0.034, -0.004]"/>
  </r>
  <r>
    <x v="3534"/>
    <x v="3362"/>
    <x v="0"/>
    <n v="0"/>
    <s v="LINESTRING (6.353142057544725 62.467566991931335, 6.353167097923353 62.46759125170908, 6.353167524917152 62.46765752508788, 6.353083276477521 62.46771108562717, 6.353032258984029 62.46772393849029)"/>
    <s v="[1309860, 1309868, 1309876, 1309884]"/>
    <s v="[1218511, 1218517, 320977, 1218525]"/>
    <s v="#FIELD!"/>
    <s v="[1151061, 1218511, 1218517, 320977]"/>
    <s v="[0.786, 0.0, 0.003, 0.005]"/>
    <s v="20.806134706208855"/>
    <s v="[-0.786, 0.0, -0.003, -0.005]"/>
  </r>
  <r>
    <x v="3535"/>
    <x v="4173"/>
    <x v="0"/>
    <n v="0"/>
    <s v="LINESTRING (8.615133534851743 58.37044966371495, 8.615514303659761 58.370551433785955, 8.617036268218405 58.37105155877059, 8.617971464538474 58.370485803645295, 8.617868771484744 58.37046409265329)"/>
    <s v="[1232248, 1229524, 1229537, 1229538]"/>
    <s v="[1151748, 1151749, 1151757, 1151758]"/>
    <s v="#FIELD!"/>
    <s v="[1153829, 1151748, 1151749, 1151757]"/>
    <s v="[0.0, 0.008, 0.014, 0.012]"/>
    <s v="263.25554795271364"/>
    <s v="[0.0, -0.008, -0.014, 0.012]"/>
  </r>
  <r>
    <x v="3536"/>
    <x v="4174"/>
    <x v="0"/>
    <n v="0"/>
    <s v="LINESTRING (8.599138402023302 58.35586984321486, 8.599366918923224 58.355709750021845, 8.599371814321273 58.355664321550464)"/>
    <s v="[1230515, 1230523]"/>
    <s v="[1152441, 933626]"/>
    <s v="#FIELD!"/>
    <s v="[1152434, 1152441]"/>
    <s v="[0.015, 0.002]"/>
    <s v="27.852518966301798"/>
    <s v="[-0.015, 0.002]"/>
  </r>
  <r>
    <x v="3536"/>
    <x v="2426"/>
    <x v="0"/>
    <n v="0"/>
    <s v="LINESTRING (8.599138402023302 58.35586984321486, 8.598745263001073 58.35600189260221, 8.597955213655267 58.357175284878096, 8.597879307551496 58.35734683925815)"/>
    <s v="[1233920, 1233921, 1232134]"/>
    <s v="[1155281, 1153751, 1153752]"/>
    <s v="0.04856161442756498"/>
    <s v="[1152434, 1155281, 1153751]"/>
    <s v="[0.45, 0.018, 0.035]"/>
    <s v="188.33907744759838"/>
    <s v="[0.45, -0.018, -0.035]"/>
  </r>
  <r>
    <x v="3537"/>
    <x v="4175"/>
    <x v="0"/>
    <s v="[0, 0, 0, 1, 0, 0]"/>
    <s v="LINESTRING (8.743781173498483 58.47498105056002, 8.743801919505776 58.47493925238789, 8.743987585619559 58.47478249852102, 8.744064637010295 58.474730280931695, 8.745027146522363 58.47424042855167, 8.745641257871464 58.473951389029075, 8.745698557358839 58.473918998396954)"/>
    <s v="[1247409, 1247413, 1230912, 1230939, 1230947, 1230955]"/>
    <s v="[1166913, 1152746, 1152747, 1152760, 1152767, 1152773]"/>
    <s v="#FIELD!"/>
    <s v="[1166912, 1166913, 1152746, 1152747, 1152760, 1152767]"/>
    <s v="[0.04, 0.118, 0.018, 0.074, 0.006, 0.011]"/>
    <s v="164.69281572899166"/>
    <s v="[-0.04, -0.118, 0.018, -0.074, 0.006, 0.011]"/>
  </r>
  <r>
    <x v="3538"/>
    <x v="4176"/>
    <x v="0"/>
    <s v="[0, 1]"/>
    <s v="LINESTRING (8.597597897748178 58.35590374734009, 8.59786127808161 58.35539241558996, 8.598621403705256 58.35521711395537)"/>
    <s v="[1231385, 1231389]"/>
    <s v="[1153150, 1153154]"/>
    <s v="0.008991769734739875"/>
    <s v="[1153147, 1153150]"/>
    <s v="[0.008, 0.031]"/>
    <s v="112.30688439433499"/>
    <s v="[-0.008, 0.031]"/>
  </r>
  <r>
    <x v="3538"/>
    <x v="2424"/>
    <x v="0"/>
    <n v="0"/>
    <s v="LINESTRING (8.597727726950115 58.35772052919387, 8.597724315515471 58.357496228807484, 8.597969671027155 58.356683969833824, 8.597946803990947 58.35618247642428, 8.597597897748178 58.35590374734009)"/>
    <s v="[1232142, 1231364, 1231372, 1231380]"/>
    <s v="[1153134, 1153135, 1153141, 1153147]"/>
    <s v="0.003789790392051276"/>
    <s v="[1153759, 1153134, 1153135, 1153141]"/>
    <s v="[0.023, 0.033, 0.018, 0.047]"/>
    <s v="212.53387505919144"/>
    <s v="[0.023, 0.033, -0.018, -0.047]"/>
  </r>
  <r>
    <x v="3539"/>
    <x v="4177"/>
    <x v="0"/>
    <s v="[1, 0, 0]"/>
    <s v="LINESTRING (8.598621403705256 58.35521711395537, 8.598817952263383 58.35514807134616, 8.598905955515976 58.35511584898959, 8.599001651645443 58.355088912542016)"/>
    <s v="[2063551, 2063559, 2063567]"/>
    <s v="[1793429, 1793435, 933654]"/>
    <s v="0.021282717271019"/>
    <s v="[1153154, 1793429, 1793435]"/>
    <s v="[0.022, 0.021, 0.02]"/>
    <s v="26.509738023645987"/>
    <s v="[0.022, 0.021, 0.02]"/>
  </r>
  <r>
    <x v="3539"/>
    <x v="4178"/>
    <x v="0"/>
    <s v="[1, 0, 0]"/>
    <s v="LINESTRING (8.598621403705256 58.35521711395537, 8.59884604971778 58.35521939380867, 8.598968160243228 58.355211274907724, 8.599078159588238 58.35519889109342)"/>
    <s v="[2063570, 2063571, 2063578]"/>
    <s v="[1793439, 1793440, 933642]"/>
    <s v="0.04141719004439807"/>
    <s v="[1153154, 1793439, 1793440]"/>
    <s v="[0.045, 0.038, 0.038]"/>
    <s v="26.982276807090614"/>
    <s v="[0.045, 0.038, 0.038]"/>
  </r>
  <r>
    <x v="3540"/>
    <x v="4173"/>
    <x v="0"/>
    <s v="[0, 0, 0, 1, 0, 0]"/>
    <s v="LINESTRING (8.615133534851743 58.37044966371495, 8.612584957864353 58.3699504175206, 8.610752596847082 58.36969401234902, 8.598583099789739 58.35979432410471, 8.598530359027922 58.35972977175399, 8.59782985266037 58.35767023690726, 8.597879307551496 58.35734683925815)"/>
    <s v="[1232455, 1232466, 1232390, 1232398, 1232399, 1232406]"/>
    <s v="[1153978, 1153927, 1153928, 1153937, 1153938, 1153752]"/>
    <s v="#FIELD!"/>
    <s v="[1153829, 1153978, 1153927, 1153928, 1153937, 1153938]"/>
    <s v="[0.043, 0.133, 0.032, 0.004, 0.027, 0.028]"/>
    <s v="1890.1051518342808"/>
    <s v="[0.043, 0.133, -0.032, 0.004, 0.027, 0.028]"/>
  </r>
  <r>
    <x v="3541"/>
    <x v="4167"/>
    <x v="0"/>
    <s v="[0, 1, 0]"/>
    <s v="LINESTRING (8.61071717461217 58.36974212685802, 8.598496937509584 58.35981964964222, 8.598444088386413 58.359755316985954, 8.597727726950115 58.35772052919387)"/>
    <s v="[1232158, 1232166, 1232181]"/>
    <s v="[1153773, 1153779, 1153759]"/>
    <s v="#FIELD!"/>
    <s v="[1153772, 1153773, 1153779]"/>
    <s v="[0.032, 0.007, 0.025]"/>
    <s v="1584.0180954451996"/>
    <s v="[-0.032, 0.007, 0.025]"/>
  </r>
  <r>
    <x v="3542"/>
    <x v="4168"/>
    <x v="0"/>
    <n v="0"/>
    <s v="LINESTRING (8.618177614498055 58.371989985984555, 8.615184763630376 58.370517788833425, 8.612590997866576 58.36999810499695, 8.61071717461217 58.36974212685802)"/>
    <s v="[1232484, 1232491, 1232492]"/>
    <s v="[1154002, 1154007, 1153772]"/>
    <s v="0.04441574153420945"/>
    <s v="[1153836, 1154002, 1154007]"/>
    <s v="[0.006, 0.039, 0.134]"/>
    <s v="518.7412395632075"/>
    <s v="[0.006, 0.039, 0.134]"/>
  </r>
  <r>
    <x v="3543"/>
    <x v="4169"/>
    <x v="0"/>
    <n v="0"/>
    <s v="LINESTRING (8.619733006357928 58.372703497607645, 8.619134526095875 58.372456072653165, 8.618126955374569 58.37188708855046, 8.615133534851743 58.37044966371495)"/>
    <s v="[1232423, 1232439, 1232447]"/>
    <s v="[1153954, 1153970, 1153829]"/>
    <s v="0.010020270059931832"/>
    <s v="[1153852, 1153954, 1153970]"/>
    <s v="[0.019, 0.022, 0.004]"/>
    <s v="370.52607399682535"/>
    <s v="[0.019, 0.022, 0.004]"/>
  </r>
  <r>
    <x v="3544"/>
    <x v="462"/>
    <x v="0"/>
    <n v="0"/>
    <s v="LINESTRING (8.626253397025394 58.374049677668715, 8.62588420516974 58.374002254585875, 8.625321656800766 58.373919624303696, 8.624596657081067 58.37379530384274, 8.624462336859317 58.37377065780073, 8.619765090915921 58.372777237846954, 8.619172748528214 58.37254058602948, 8.618177614498055 58.371989985984555)"/>
    <s v="[1232323, 1232332, 1232340, 1232341, 1232467, 1232474, 1232483]"/>
    <s v="[1153887, 1153892, 1153898, 1153899, 1153988, 1153993, 1153836]"/>
    <s v="0.012175983568060898"/>
    <s v="[1153865, 1153887, 1153892, 1153898, 1153899, 1153988, 1153993]"/>
    <s v="[0.014, 0.02, 0.029, 0.036, 0.021, 0.021, 0.023]"/>
    <s v="535.1843732091388"/>
    <s v="[-0.014, -0.02, -0.029, -0.036, 0.021, 0.021, 0.023]"/>
  </r>
  <r>
    <x v="3545"/>
    <x v="463"/>
    <x v="0"/>
    <n v="0"/>
    <s v="LINESTRING (8.625929236934898 58.373956652079215, 8.625361806192803 58.37387286829733, 8.624630620015196 58.373746833780004, 8.62449504667376 58.37372200804717, 8.619733006357928 58.372703497607645)"/>
    <s v="[1232356, 1232357, 1232364, 1232422]"/>
    <s v="[1153911, 1153912, 1153914, 1153852]"/>
    <s v="0.00928781484709793"/>
    <s v="[1153906, 1153911, 1153912, 1153914]"/>
    <s v="[0.021, 0.031, 0.035, 0.02]"/>
    <s v="390.0327804911759"/>
    <s v="[-0.021, -0.031, -0.035, 0.02]"/>
  </r>
  <r>
    <x v="3546"/>
    <x v="4179"/>
    <x v="0"/>
    <n v="0"/>
    <s v="LINESTRING (9.13945674997628 58.85923387143937, 9.139484360862674 58.85924146612965, 9.141843252933272 58.86055703968375)"/>
    <s v="[1234565, 1234573]"/>
    <s v="[1155901, 1155909]"/>
    <s v="0.03746765742555261"/>
    <s v="[1155893, 1155901]"/>
    <s v="[0.023, 0.038]"/>
    <s v="206.93137927774364"/>
    <s v="[-0.023, 0.038]"/>
  </r>
  <r>
    <x v="3546"/>
    <x v="4179"/>
    <x v="0"/>
    <n v="0"/>
    <s v="LINESTRING (9.13945674997628 58.85923387143937, 9.139509171803496 58.859276229968124, 9.141790802388142 58.86052917547426, 9.141843252933272 58.86055703968375)"/>
    <s v="[1754135, 1754145, 1754167]"/>
    <s v="[1552970, 1552976, 1155909]"/>
    <s v="0.036403444567983625"/>
    <s v="[1155893, 1552970, 1552976]"/>
    <s v="[0.276, 0.051, 0.961]"/>
    <s v="214.39294598496716"/>
    <s v="[0.276, 0.051, -0.961]"/>
  </r>
  <r>
    <x v="3547"/>
    <x v="4180"/>
    <x v="0"/>
    <n v="0"/>
    <m/>
    <n v="1290977"/>
    <n v="1204262"/>
    <s v="0.376"/>
    <n v="1155909"/>
    <s v="0.376"/>
    <s v="13.39039849705529"/>
    <s v="0.376"/>
  </r>
  <r>
    <x v="3548"/>
    <x v="4181"/>
    <x v="0"/>
    <n v="0"/>
    <m/>
    <n v="1234727"/>
    <n v="1156045"/>
    <s v="0.011"/>
    <n v="1156038"/>
    <s v="0.011"/>
    <s v="37.377944896308406"/>
    <s v="0.011"/>
  </r>
  <r>
    <x v="3548"/>
    <x v="2427"/>
    <x v="0"/>
    <n v="0"/>
    <s v="LINESTRING (8.579530234182343 58.346463109246756, 8.579587743673322 58.346371250865296, 8.579677442137115 58.34607826378755, 8.577448861459287 58.34454477705979, 8.577221647960387 58.34442074080637)"/>
    <s v="[1239949, 1239950, 1239951, 2133820]"/>
    <s v="[1160680, 1160681, 1160682, 1834979]"/>
    <s v="#FIELD!"/>
    <s v="[1156038, 1160680, 1160681, 1160682]"/>
    <s v="[0.011, 0.007, 0.01, 0.221]"/>
    <s v="279.9169614561828"/>
    <s v="[-0.011, -0.007, 0.01, -0.221]"/>
  </r>
  <r>
    <x v="3549"/>
    <x v="652"/>
    <x v="0"/>
    <n v="0"/>
    <s v="LINESTRING (8.579378665840697 58.34677783994528, 8.579526597555608 58.346896798038074, 8.579647599742307 58.34700014150375)"/>
    <s v="[1956682, 1956690]"/>
    <s v="[1716087, 1156058]"/>
    <s v="#FIELD!"/>
    <s v="[1156045, 1716087]"/>
    <s v="[0.203, 0.218]"/>
    <s v="29.386534737964695"/>
    <s v="[-0.203, 0.218]"/>
  </r>
  <r>
    <x v="3549"/>
    <x v="4182"/>
    <x v="0"/>
    <n v="0"/>
    <s v="LINESTRING (8.579378665840697 58.34677783994528, 8.579400887626994 58.34692667553583, 8.579469334761662 58.34704559371674)"/>
    <s v="[1956714, 1956715]"/>
    <s v="[1716116, 1716117]"/>
    <s v="#FIELD!"/>
    <s v="[1156045, 1716116]"/>
    <s v="[0.176, 0.009]"/>
    <s v="30.508086060640466"/>
    <s v="[-0.176, 0.009]"/>
  </r>
  <r>
    <x v="3550"/>
    <x v="652"/>
    <x v="0"/>
    <n v="0"/>
    <m/>
    <n v="1234737"/>
    <n v="1156058"/>
    <s v="0.0"/>
    <n v="1156057"/>
    <s v="0.0"/>
    <s v="5.760567072660627"/>
    <s v="0.0"/>
  </r>
  <r>
    <x v="3551"/>
    <x v="2420"/>
    <x v="0"/>
    <n v="0"/>
    <s v="LINESTRING (8.580198291774987 58.34622722404893, 8.580509662117898 58.34638218901879, 8.581508314551584 58.346843753102085, 8.5822055345374 58.346869693338725, 8.582320219065203 58.34681633512436)"/>
    <s v="[2133812, 1239616, 1239624, 1239625]"/>
    <s v="[1160438, 1160439, 1160444, 1156136]"/>
    <s v="#FIELD!"/>
    <s v="[1835024, 1160438, 1160439, 1160444]"/>
    <s v="[0.143, 0.06, 0.074, 0.06]"/>
    <s v="157.03059020730328"/>
    <s v="[0.143, -0.06, -0.074, -0.06]"/>
  </r>
  <r>
    <x v="3552"/>
    <x v="2785"/>
    <x v="0"/>
    <n v="0"/>
    <s v="LINESTRING (10.675321792621304 59.92060801846288, 10.675489612352232 59.92057123286796, 10.675599049411227 59.92061121029095)"/>
    <s v="[1238988, 1238996]"/>
    <s v="[1159955, 1159929]"/>
    <s v="#FIELD!"/>
    <s v="[1159969, 1159955]"/>
    <s v="[0.053, 0.028]"/>
    <s v="18.319371505201765"/>
    <s v="[-0.053, -0.028]"/>
  </r>
  <r>
    <x v="3553"/>
    <x v="4183"/>
    <x v="0"/>
    <n v="0"/>
    <s v="LINESTRING (10.699609064564203 59.44711740982136, 10.699609064564203 59.44711740982136, 10.699771860640183 59.44558945915205, 10.699763914434868 59.445559324763664)"/>
    <s v="[1239043, 1675460, 1675468]"/>
    <s v="[1159996, 1502655, 1502661]"/>
    <s v="#FIELD!"/>
    <s v="[1159995, 1159996, 1502655]"/>
    <s v="[0.0, 0.027, 0.027]"/>
    <s v="329.1374832171857"/>
    <s v="[0.0, -0.027, 0.027]"/>
  </r>
  <r>
    <x v="3554"/>
    <x v="1772"/>
    <x v="390"/>
    <s v="[0, 0, 0, 0, 0, 1, 0, 1, 0, 0, 0, 1, 0, 0, 0, 0, 0, 0, 0, 0, 0, 0, 0, 0, 0, 1, 0, 0]"/>
    <s v="LINESTRING (10.700864381782333 59.446062766029556, 10.70085580152059 59.44607178118063, 10.7004620293041 59.4465229536465, 10.699561539077877 59.44795394128427, 10.699351107311237 59.44865210491496, 10.700047646580671 59.451782668645606, 10.70018280355191 59.452051434539946, 10.701049468324161 59.47028332444663, 10.701110769514731 59.4705084422267, 10.70117340253507 59.470736292523846, 10.701219117558887 59.47090128699494, 10.702851144314376 59.4768259966244, 10.702911311988094 59.47703755127935, 10.704159632993274 59.48113501544234, 10.706887892491018 59.4851104699099, 10.707910772002172 59.48634918683912, 10.7096439954434 59.48846112642668, 10.709716898808374 59.488554847645474, 10.710314258543828 59.48932263285011, 10.711377580459873 59.4909153644895, 10.711454521094549 59.49105574273172, 10.711613058172272 59.491358323169024, 10.711956250554525 59.49208087999748, 10.711993784304646 59.49216124425586, 10.712049766290537 59.492287085535445, 10.719945431952665 59.50722237545295, 10.72067765190154 59.51011036737347, 10.720874763781048 59.51050204969123, 10.721804402521707 59.51199516946574)"/>
    <s v="[1697887, 1697895, 1697903, 1697911, 1697919, 1697927, 1697935, 1697943, 1697951, 1697959, 1697967, 1697975, 1697983, 1697999, 1698007, 1698015, 1505065, 1505083, 1505084, 1505098, 1505109, 1505124, 1505131, 1505132, 1505139, 1505148, 1505156, 1505157]"/>
    <s v="[1518192, 1518194, 1518197, 1518204, 1518207, 1518213, 1518219, 1518223, 1518228, 1518230, 1518237, 1518245, 1518251, 1518256, 1518260, 1361017, 1361018, 1361033, 1361034, 1361044, 1361052, 1361065, 1361071, 1361072, 1361077, 1361087, 1361095, 1361096]"/>
    <s v="#FIELD!"/>
    <s v="[1160005, 1518192, 1518194, 1518197, 1518204, 1518207, 1518213, 1518219, 1518223, 1518228, 1518230, 1518237, 1518245, 1518251, 1518256, 1518260, 1361017, 1361018, 1361033, 1361034, 1361044, 1361052, 1361065, 1361071, 1361072, 1361077, 1361087, 1361095]"/>
    <s v="[1.732, 0.03, 0.016, 0.034, 0.017, 0.058, 0.005, 0.061, 0.0, 0.006, 0.005, 0.016, 0.018, 0.002, 0.012, 0.006, 0.11, 0.019, 0.004, 0.009, 0.017, 0.014, 0.014, 0.016, 0.008, 0.003, 0.006, 0.01]"/>
    <s v="7574.32650399065"/>
    <s v="[-1.732, 0.03, 0.016, -0.034, 0.017, 0.058, -0.005, 0.061, 0.0, 0.006, -0.005, -0.016, 0.018, 0.002, 0.012, -0.006, 0.11, 0.019, -0.004, -0.009, 0.017, 0.014, 0.014, 0.016, -0.008, 0.003, -0.006, -0.01]"/>
  </r>
  <r>
    <x v="3554"/>
    <x v="4184"/>
    <x v="0"/>
    <s v="[0, 0, 1, 0, 0]"/>
    <s v="LINESTRING (10.704171374202605 59.44523968743444, 10.70417354471007 59.44519479765016, 10.702470566252712 59.44472910787276, 10.701457380475285 59.44557991553236, 10.701045000341042 59.44596199096386, 10.700864381782333 59.446062766029556)"/>
    <s v="[1675436, 1675444, 1675452, 1239056, 1239057]"/>
    <s v="[1502635, 1502643, 1160003, 1160004, 1160005]"/>
    <s v="0.01230763658579467"/>
    <s v="[1502634, 1502635, 1502643, 1160003, 1160004]"/>
    <s v="[0.053, 0.042, 0.013, 0.022, 0.014]"/>
    <s v="337.42837905547754"/>
    <s v="[0.053, 0.042, -0.013, -0.022, -0.014]"/>
  </r>
  <r>
    <x v="3555"/>
    <x v="2905"/>
    <x v="0"/>
    <n v="0"/>
    <s v="LINESTRING (9.087041104984912 58.831770601928525, 9.087285642629833 58.83195523983555, 9.089319733540396 58.833047416757246)"/>
    <s v="[1323369, 1752815]"/>
    <s v="[1229903, 1160031]"/>
    <s v="#FIELD!"/>
    <s v="[1229505, 1229903]"/>
    <s v="[0.124, 0.088]"/>
    <s v="200.59337177119102"/>
    <s v="[-0.124, -0.088]"/>
  </r>
  <r>
    <x v="3556"/>
    <x v="4185"/>
    <x v="0"/>
    <s v="[1, 1, 1, 0, 0, 0, 0, 0, 0, 0, 1, 0, 0]"/>
    <s v="LINESTRING (11.266325197178467 59.13214686010939, 11.266089971590901 59.13237311394139, 11.265908651654312 59.132553607694085, 11.26508666981332 59.13337113194847, 11.264880309105473 59.133568792441785, 11.251388004154643 59.14526010673367, 11.244213698400882 59.14933853221807, 11.244083387418758 59.149399403748276, 11.24050747603082 59.15100934479916, 11.228732596244786 59.15741355481075, 11.219372434021478 59.165419302422215, 11.21908044489602 59.16568983590838, 11.214605381406214 59.17186157856629, 11.208238096755275 59.177541108274355)"/>
    <s v="[1626172, 1626212, 1626220, 1626236, 1626244, 1626300, 1626308, 1626316, 1626324, 1404388, 1404396, 1404404, 1404412]"/>
    <s v="[1454810, 1454826, 1454831, 1454842, 1454847, 1454882, 1454885, 1454890, 1285428, 1285429, 1285436, 1285443, 1285447]"/>
    <s v="#FIELD!"/>
    <s v="[1160095, 1454810, 1454826, 1454831, 1454842, 1454847, 1454882, 1454885, 1454890, 1285428, 1285429, 1285436, 1285443]"/>
    <s v="[0.233, 0.051, 0.034, 0.017, 0.002, 0.005, 0.019, 0.029, 0.011, 0.021, 0.014, 0.004, 0.053]"/>
    <s v="6121.681266104019"/>
    <s v="[-0.233, -0.051, -0.034, -0.017, 0.002, 0.005, 0.019, 0.029, 0.011, 0.021, 0.014, 0.004, -0.053]"/>
  </r>
  <r>
    <x v="3556"/>
    <x v="4186"/>
    <x v="0"/>
    <s v="[1, 1, 1, 0, 0, 0, 0, 1]"/>
    <s v="LINESTRING (11.270771470600316 59.12526034456419, 11.270769568067026 59.12533181924082, 11.270763586482309 59.125401729300215, 11.270566400760647 59.12637645242287, 11.270209802721139 59.127400482456544, 11.269217893271648 59.129044058819815, 11.268937203328731 59.129422244162214, 11.266654311412381 59.13182795701244, 11.266325197178467 59.13214686010939)"/>
    <s v="[1697263, 1697271, 1697279, 1697287, 1697295, 1626124, 1626132, 1626164]"/>
    <s v="[1517826, 1517831, 1517835, 1517842, 1454781, 1454782, 1454786, 1160095]"/>
    <s v="#FIELD!"/>
    <s v="[1517822, 1517826, 1517831, 1517835, 1517842, 1454781, 1454782, 1454786]"/>
    <s v="[0.075, 0.072, 0.026, 0.055, 0.024, 0.004, 0.063, 0.048]"/>
    <s v="816.2965332437358"/>
    <s v="[-0.075, -0.072, 0.026, 0.055, 0.024, 0.004, -0.063, 0.048]"/>
  </r>
  <r>
    <x v="3556"/>
    <x v="1724"/>
    <x v="0"/>
    <s v="[0, 0, 0, 0, 0, 1, 0]"/>
    <s v="LINESTRING (11.271469255192686 59.128475570742296, 11.271313228875622 59.12852084144034, 11.271113374322866 59.12859987475701, 11.268070991981228 59.13050608485278, 11.267779119379494 59.130806070233014, 11.266750749270038 59.13185141799721, 11.266505771911733 59.13208888037419, 11.266325197178467 59.13214686010939)"/>
    <s v="[1823452, 1823470, 1678175, 1626140, 1626148, 1626156, 1239169]"/>
    <s v="[1602650, 1504740, 1454793, 1454794, 1454799, 1160094, 1160095]"/>
    <s v="#FIELD!"/>
    <s v="[1602649, 1602650, 1504740, 1454793, 1454794, 1454799, 1160094]"/>
    <s v="[0.045, 0.166, 0.003, 0.07, 0.088, 0.076, 0.062]"/>
    <s v="510.4267172583151"/>
    <s v="[0.045, -0.166, -0.003, -0.07, -0.088, 0.076, -0.062]"/>
  </r>
  <r>
    <x v="3557"/>
    <x v="2910"/>
    <x v="0"/>
    <n v="0"/>
    <s v="LINESTRING (9.088497364458386 58.83363382776719, 9.088506817645358 58.83354395971112, 9.088510460057435 58.8331812072697, 9.08679301374555 58.83170734382268, 9.086562544821785 58.83146582067016)"/>
    <s v="[1239319, 1239327, 1287828, 1323457]"/>
    <s v="[1160202, 1160207, 1201517, 1229693]"/>
    <s v="0.09341498614806948"/>
    <s v="[1160201, 1160202, 1160207, 1201517]"/>
    <s v="[0.033, 0.037, 0.12, 0.021]"/>
    <s v="273.38923241028897"/>
    <s v="[0.033, 0.037, 0.12, 0.021]"/>
  </r>
  <r>
    <x v="3558"/>
    <x v="4180"/>
    <x v="0"/>
    <n v="0"/>
    <s v="LINESTRING (9.14179320430626 58.86067287967274, 9.141832290774353 58.86068834219057, 9.142897677502985 58.86118091580548, 9.142956687199412 58.86116496409775)"/>
    <s v="[1291153, 1291161, 1239632]"/>
    <s v="[1204400, 1160452, 441738]"/>
    <s v="#FIELD!"/>
    <s v="[1204262, 1204400, 1160452]"/>
    <s v="[0.051, 0.042, 0.028]"/>
    <s v="115.2975433343646"/>
    <s v="[0.051, -0.042, 0.028]"/>
  </r>
  <r>
    <x v="3559"/>
    <x v="4187"/>
    <x v="0"/>
    <n v="0"/>
    <s v="LINESTRING (10.26212545261025 59.7539813303468, 10.261829008057601 59.75399809949918, 10.261744290770624 59.754005427696065)"/>
    <s v="[1239672, 1239697]"/>
    <s v="[1160471, 1160486]"/>
    <s v="#FIELD!"/>
    <s v="[1160470, 1160471]"/>
    <s v="[0.003, 0.001]"/>
    <s v="21.610513505637652"/>
    <s v="[-0.003, -0.001]"/>
  </r>
  <r>
    <x v="3559"/>
    <x v="4188"/>
    <x v="0"/>
    <n v="0"/>
    <s v="LINESTRING (10.26212545261025 59.7539813303468, 10.2618237727884 59.75393374159057, 10.26174557065505 59.753931087099346)"/>
    <s v="[1239714, 1239721]"/>
    <s v="[1160500, 1160507]"/>
    <s v="#FIELD!"/>
    <s v="[1160470, 1160500]"/>
    <s v="[0.011, 0.005]"/>
    <s v="22.726087663771363"/>
    <s v="[-0.011, -0.005]"/>
  </r>
  <r>
    <x v="3560"/>
    <x v="4189"/>
    <x v="0"/>
    <n v="0"/>
    <m/>
    <n v="1788051"/>
    <n v="1577178"/>
    <s v="0.006"/>
    <n v="1160486"/>
    <s v="0.006"/>
    <s v="6.253894786491281"/>
    <s v="0.006"/>
  </r>
  <r>
    <x v="3560"/>
    <x v="4188"/>
    <x v="0"/>
    <n v="0"/>
    <s v="LINESTRING (10.26174557065505 59.753931087099346, 10.261771325296912 59.75396817662171, 10.261744290770624 59.754005427696065)"/>
    <s v="[1788107, 1788043]"/>
    <s v="[1577205, 1160486]"/>
    <s v="0.01800468402507769"/>
    <s v="[1160507, 1577205]"/>
    <s v="[0.017, 0.019]"/>
    <s v="8.802050907319588"/>
    <s v="[0.017, 0.019]"/>
  </r>
  <r>
    <x v="3561"/>
    <x v="4190"/>
    <x v="0"/>
    <n v="0"/>
    <s v="LINESTRING (10.261540762525698 59.75396362412585, 10.261551778759356 59.753942524625586, 10.261614383325192 59.753913394795354, 10.261699362497374 59.753913766687276, 10.26174557065505 59.753931087099346)"/>
    <s v="[1788075, 1788083, 1788091, 1788099]"/>
    <s v="[1160530, 1577245, 1160524, 1160507]"/>
    <s v="#FIELD!"/>
    <s v="[1577151, 1160530, 1577245, 1160524]"/>
    <s v="[0.014, 0.013, 0.005, 0.0]"/>
    <s v="15.238195165555718"/>
    <s v="[-0.014, -0.013, -0.005, -0.0]"/>
  </r>
  <r>
    <x v="3562"/>
    <x v="4191"/>
    <x v="0"/>
    <n v="0"/>
    <s v="LINESTRING (10.26127040294124 59.75418547111751, 10.261191476493257 59.75429568367576, 10.26106566367533 59.75450488062016, 10.260792545861113 59.75497342609035, 10.260642410440218 59.755231359064744, 10.260612875854019 59.755283693819564, 10.260573142394753 59.755350105636545, 10.260299266741317 59.755827905625694, 10.260134036953396 59.75611449877489, 10.260099555503604 59.75617429124497, 10.259890924987964 59.756535249667856, 10.259736857980528 59.75680168381998, 10.259711257978843 59.75684826005793, 10.259675037430378 59.75690936579721, 10.2593528015267 59.75746250188045, 10.258672989849227 59.758637474397176, 10.258606396055011 59.75875285392135, 10.258307321020236 59.75928212576858, 10.258055857337181 59.75972116461835, 10.257922972467643 59.759953742108976, 10.257268143267256 59.76110825015153, 10.256681695320273 59.76213155692047, 10.256468622060211 59.76250064411784, 10.256325133222392 59.76280892412013, 10.256293474154331 59.76294987921483, 10.256289431450647 59.7632320082029, 10.256317432650915 59.76340886942696)"/>
    <s v="[1239722, 1422908, 1422916, 1422924, 1422932, 1422940, 1422948, 1422956, 1422964, 1422972, 1422980, 1422988, 1422996, 1423004, 1423012, 1423020, 1423028, 1423036, 1423044, 1423052, 1423060, 1423068, 1423076, 1423084, 1423092, 1423100]"/>
    <s v="[1160509, 1249552, 1125003, 1298235, 1298241, 1298247, 1298255, 1298259, 1298264, 1276720, 1298270, 1298274, 1249476, 1248996, 1291464, 1298295, 224642, 819443, 1298315, 222564, 1298331, 1291527, 1298342, 1247211, 1292098, 1298359]"/>
    <s v="0.0069903721623263216"/>
    <s v="[1160508, 1160509, 1249552, 1125003, 1298235, 1298241, 1298247, 1298255, 1298259, 1298264, 1276720, 1298270, 1298274, 1249476, 1248996, 1291464, 1298295, 224642, 819443, 1298315, 222564, 1298331, 1291527, 1298342, 1247211, 1292098]"/>
    <s v="[0.017, 0.025, 0.007, 0.006, 0.005, 0.006, 0.005, 0.005, 0.006, 0.006, 0.005, 0.006, 0.005, 0.004, 0.003, 0.0, 0.012, 0.011, 0.01, 0.021, 0.01, 0.003, 0.004, 0.001, 0.001, 0.003]"/>
    <s v="1067.707117903948"/>
    <s v="[0.017, 0.025, 0.007, 0.006, 0.005, 0.006, 0.005, 0.005, 0.006, 0.006, 0.005, 0.006, 0.005, 0.004, -0.003, -0.0, 0.012, 0.011, 0.01, 0.021, 0.01, -0.003, -0.004, -0.001, -0.001, -0.003]"/>
  </r>
  <r>
    <x v="3562"/>
    <x v="4190"/>
    <x v="0"/>
    <n v="0"/>
    <s v="LINESTRING (10.261540762525698 59.75396362412585, 10.261489330811969 59.75398700518645, 10.261398242781857 59.75403281652226, 10.26127040294124 59.75418547111751)"/>
    <s v="[1787995, 1788003, 1788011]"/>
    <s v="[1577152, 1577163, 1160508]"/>
    <s v="0.008612340950109638"/>
    <s v="[1577151, 1577152, 1577163]"/>
    <s v="[0.015, 0.012, 0.006]"/>
    <s v="30.025935452659606"/>
    <s v="[0.015, 0.012, 0.006]"/>
  </r>
  <r>
    <x v="3562"/>
    <x v="4189"/>
    <x v="0"/>
    <n v="0"/>
    <s v="LINESTRING (10.261640529641312 59.75402560492521, 10.261573197017691 59.75404395909544, 10.26148068619862 59.754075678227196, 10.26127040294124 59.75418547111751)"/>
    <s v="[1788019, 1788027, 1788035]"/>
    <s v="[1577179, 1577189, 1160508]"/>
    <s v="0.006901561937826369"/>
    <s v="[1577178, 1577179, 1577189]"/>
    <s v="[0.008, 0.014, 0.004]"/>
    <s v="27.612580681531046"/>
    <s v="[0.008, 0.014, 0.004]"/>
  </r>
  <r>
    <x v="3563"/>
    <x v="4192"/>
    <x v="0"/>
    <n v="0"/>
    <s v="LINESTRING (8.56534034134573 58.3417434285519, 8.565076113985555 58.34158066077769, 8.565007322822348 58.3415389975367)"/>
    <s v="[1344337, 1344354]"/>
    <s v="[1246473, 1246492]"/>
    <s v="0.0035900483134707474"/>
    <s v="[1161274, 1246473]"/>
    <s v="[0.004, 0.002]"/>
    <s v="30.022052739791654"/>
    <s v="[0.004, 0.002]"/>
  </r>
  <r>
    <x v="3563"/>
    <x v="4193"/>
    <x v="0"/>
    <n v="0"/>
    <s v="LINESTRING (8.56534034134573 58.3417434285519, 8.565280733938515 58.341542621277846, 8.56527741258324 58.34149138273028)"/>
    <s v="[1344370, 1344378]"/>
    <s v="[1246503, 1246511]"/>
    <s v="0.0037985583573840183"/>
    <s v="[1161274, 1246503]"/>
    <s v="[0.004, 0.003]"/>
    <s v="28.385815710978648"/>
    <s v="[0.004, 0.003]"/>
  </r>
  <r>
    <x v="3564"/>
    <x v="4194"/>
    <x v="0"/>
    <n v="0"/>
    <s v="LINESTRING (8.565302798852711 58.341464921999965, 8.565384235521236 58.34142174497446, 8.565679930513006 58.34129823009853)"/>
    <s v="[1344386, 1344394]"/>
    <s v="[1246517, 1161279]"/>
    <s v="0.023435609200152304"/>
    <s v="[1246516, 1246517]"/>
    <s v="[0.002, 0.03]"/>
    <s v="28.929900334602223"/>
    <s v="[0.002, 0.03]"/>
  </r>
  <r>
    <x v="3564"/>
    <x v="4195"/>
    <x v="0"/>
    <n v="0"/>
    <s v="LINESTRING (8.565196592307393 58.341321390106614, 8.565303200212094 58.34132254726119, 8.565679930513006 58.34129823009853)"/>
    <s v="[1344402, 1344410]"/>
    <s v="[1246528, 1161279]"/>
    <s v="0.02185905746639418"/>
    <s v="[1246527, 1246528]"/>
    <s v="[0.0, 0.028]"/>
    <s v="28.513721062543425"/>
    <s v="[0.0, 0.028]"/>
  </r>
  <r>
    <x v="3565"/>
    <x v="3245"/>
    <x v="0"/>
    <n v="1"/>
    <m/>
    <n v="1241248"/>
    <n v="1161718"/>
    <s v="#FIELD!"/>
    <n v="1161717"/>
    <s v="0.154"/>
    <s v="25.13527314346835"/>
    <s v="#FIELD!"/>
  </r>
  <r>
    <x v="3566"/>
    <x v="272"/>
    <x v="0"/>
    <n v="0"/>
    <s v="LINESTRING (9.435214200908554 61.84728372399338, 9.433936854360063 61.84773751021559, 9.433777510057146 61.84779979463839, 9.432987449642003 61.848137792950034, 9.432907050459729 61.84817370688461, 9.432830131093423 61.84820787200233, 9.43277525712639 61.848232257841275, 9.43275234000342 61.84824232569649, 9.430762116131472 61.84906710349593, 9.430460312809577 61.84917471968637)"/>
    <s v="[1241603, 1241604, 1241615, 1241628, 1241674, 1241682, 1241690, 1241706, 1241714]"/>
    <s v="[1162017, 1162018, 1162027, 1162037, 1162075, 1162081, 1162088, 1162098, 1162003]"/>
    <s v="0.06268140395829301"/>
    <s v="[1161983, 1162017, 1162018, 1162027, 1162037, 1162075, 1162081, 1162088, 1162098]"/>
    <s v="[0.03, 0.173, 0.161, 0.105, 0.159, 0.097, 0.101, 0.044, 0.055]"/>
    <s v="327.7971267917148"/>
    <s v="[0.03, 0.173, 0.161, 0.105, 0.159, 0.097, 0.101, 0.044, -0.055]"/>
  </r>
  <r>
    <x v="3566"/>
    <x v="272"/>
    <x v="0"/>
    <n v="0"/>
    <s v="LINESTRING (9.435214200908554 61.84728372399338, 9.433681639463199 61.847743780681384, 9.432877514342179 61.84808852461575, 9.432795686415183 61.84812517250191, 9.432719663859492 61.8481593289744, 9.43266542198949 61.84818369543659, 9.432642800898575 61.848193811297044, 9.430731669214854 61.84905154695279, 9.430460312809577 61.84917471968637)"/>
    <s v="[1241715, 1241727, 1241736, 1241737, 1241746, 1241748, 1241759, 1241771]"/>
    <s v="[1162103, 1162107, 1162113, 1162114, 1162120, 1162121, 1162127, 1162003]"/>
    <s v="0.06293706882892153"/>
    <s v="[1161983, 1162103, 1162107, 1162113, 1162114, 1162120, 1162121, 1162127]"/>
    <s v="[0.023, 0.164, 0.154, 0.106, 0.098, 0.103, 0.054, 0.022]"/>
    <s v="329.15542461275334"/>
    <s v="[0.023, 0.164, 0.154, 0.106, 0.098, 0.103, 0.054, -0.022]"/>
  </r>
  <r>
    <x v="3567"/>
    <x v="3900"/>
    <x v="0"/>
    <n v="0"/>
    <s v="LINESTRING (8.567990168105647 58.34118937124242, 8.567893639505963 58.341226474056306, 8.56751568588357 58.34157606678846, 8.57056694099415 58.3427124127807, 8.570937397963565 58.34283503945394)"/>
    <s v="[1241830, 1241838, 1241846, 2133828]"/>
    <s v="[1162184, 1162191, 1162199, 1835047]"/>
    <s v="#FIELD!"/>
    <s v="[1162183, 1162184, 1162191, 1162199]"/>
    <s v="[0.008, 0.005, 0.013, 0.023]"/>
    <s v="301.6173280764593"/>
    <s v="[0.008, -0.005, -0.013, 0.023]"/>
  </r>
  <r>
    <x v="3568"/>
    <x v="4196"/>
    <x v="0"/>
    <s v="[0, 1, 1, 0, 0]"/>
    <s v="LINESTRING (10.962001010347729 59.32465206247036, 10.961855538398597 59.324741800183226, 10.960840539573333 59.324972610057806, 10.960277931600688 59.32508744775996, 10.957048765924903 59.326395146299326, 10.957018107258683 59.32645173583151)"/>
    <s v="[1243358, 1243366, 1615841, 1615849, 1675004]"/>
    <s v="[1163548, 1163556, 1448618, 1448622, 1502271]"/>
    <s v="0.005822394512319952"/>
    <s v="[1163547, 1163548, 1163556, 1448618, 1448622]"/>
    <s v="[0.0, 0.006, 0.012, 0.011, 0.232]"/>
    <s v="389.09628134656646"/>
    <s v="[-0.0, 0.006, 0.012, 0.011, -0.232]"/>
  </r>
  <r>
    <x v="3568"/>
    <x v="3387"/>
    <x v="0"/>
    <s v="[0, 0, 1, 1, 0, 0, 0, 0, 0]"/>
    <s v="LINESTRING (10.962001010347729 59.32465206247036, 10.961964490218515 59.32466167339727, 10.961776788346372 59.324711053086766, 10.960866810450915 59.3249209005161, 10.96024026455289 59.32504009210044, 10.960093633435251 59.32506596542216, 10.958200784793632 59.32532740173347, 10.951507696500585 59.3249060309087, 10.951047049957207 59.32484371434925, 10.950697650362777 59.32480319041186)"/>
    <s v="[1615945, 1615953, 1615961, 1615969, 1615977, 1615985, 1615993, 1616001, 1615889]"/>
    <s v="[1448694, 1448701, 1448705, 1448709, 1448712, 1448718, 1448724, 1448653, 1448654]"/>
    <s v="#FIELD!"/>
    <s v="[1163547, 1448694, 1448701, 1448705, 1448709, 1448712, 1448718, 1448724, 1448653]"/>
    <s v="[0.022, 0.019, 0.009, 0.012, 0.011, 0.008, 0.005, 0.005, 0.005]"/>
    <s v="666.0579358047689"/>
    <s v="[-0.022, -0.019, 0.009, 0.012, 0.011, 0.008, -0.005, -0.005, -0.005]"/>
  </r>
  <r>
    <x v="3568"/>
    <x v="4197"/>
    <x v="391"/>
    <s v="[0, 0, 0, 0, 0, 1, 0, 0, 0]"/>
    <s v="LINESTRING (11.016705310504792 59.316460254173236, 11.016678462272107 59.316459585112234, 11.015883508077216 59.316442277426745, 11.000820477377047 59.316127029213206, 11.000802049421976 59.316127146114646, 10.990728707010685 59.31657449905087, 10.989839371390435 59.31662611278257, 10.98889790836844 59.316680950597494, 10.962107473519493 59.324625606028214, 10.962001010347729 59.32465206247036)"/>
    <s v="[1615148, 1615155, 1615283, 1615284, 1615292, 1615294, 1615295, 1615929, 1615937]"/>
    <s v="[1448272, 1448277, 1448328, 1448329, 1448332, 1448333, 1448334, 1448681, 1163547]"/>
    <s v="#FIELD!"/>
    <s v="[1448271, 1448272, 1448277, 1448328, 1448329, 1448332, 1448333, 1448334, 1448681]"/>
    <s v="[0.037, 0.158, 0.006, 0.184, 0.096, 0.002, 0.005, 0.015, 0.024]"/>
    <s v="3472.9567427575707"/>
    <s v="[0.037, 0.158, 0.006, -0.184, -0.096, 0.002, -0.005, -0.015, -0.024]"/>
  </r>
  <r>
    <x v="3569"/>
    <x v="3389"/>
    <x v="0"/>
    <n v="0"/>
    <s v="LINESTRING (10.958230928455308 59.325170816812786, 10.958146661875043 59.325179672025, 10.957394305050528 59.32524197694148, 10.951557792071592 59.32479163287602)"/>
    <s v="[1616041, 1616049, 1616057]"/>
    <s v="[1448750, 1448759, 1448639]"/>
    <s v="#FIELD!"/>
    <s v="[1163570, 1448750, 1448759]"/>
    <s v="[0.01, 0.01, 0.007]"/>
    <s v="387.4230484004667"/>
    <s v="[0.01, 0.01, -0.007]"/>
  </r>
  <r>
    <x v="3569"/>
    <x v="4198"/>
    <x v="0"/>
    <s v="[0, 0, 0, 0, 0, 0, 1, 0, 0, 0, 0, 1, 1, 0, 0]"/>
    <s v="LINESTRING (11.01824703856639 59.31630060333091, 11.018222920382541 59.316299901251014, 11.016694629085398 59.31625897762621, 11.015905194118627 59.31623963623481, 11.000814770387793 59.31592493137744, 11.000796997366372 59.31592456492584, 10.991081905322597 59.31641923234358, 10.989801568195476 59.31649494114037, 10.988899732758481 59.3165485996837, 10.961978769829987 59.324496755620906, 10.961856923547277 59.3245272750124, 10.961695023297374 59.32456708869232, 10.960785667600195 59.32477054427127, 10.960143658442258 59.32489256403657, 10.960000211745049 59.3249179966432, 10.958230928455308 59.325170816812786)"/>
    <s v="[1615224, 1615228, 1615248, 1615256, 1615264, 1615276, 1615277, 1615278, 1615299, 1615310, 1615318, 1616009, 1616017, 1616025, 1616033]"/>
    <s v="[1448302, 1448304, 1448310, 1448314, 1448319, 1448323, 1448324, 1448325, 1448337, 1448340, 1448344, 1448729, 1448734, 1448740, 1163570]"/>
    <s v="#FIELD!"/>
    <s v="[1448301, 1448302, 1448304, 1448310, 1448314, 1448319, 1448323, 1448324, 1448325, 1448337, 1448340, 1448344, 1448729, 1448734, 1448740]"/>
    <s v="[0.039, 0.031, 0.154, 0.005, 0.098, 0.1, 0.017, 0.005, 0.016, 0.019, 0.02, 0.013, 0.013, 0.012, 0.009]"/>
    <s v="3788.348130829661"/>
    <s v="[0.039, 0.031, 0.154, 0.005, -0.098, -0.1, 0.017, 0.005, -0.016, -0.019, -0.02, 0.013, 0.013, 0.012, 0.009]"/>
  </r>
  <r>
    <x v="3569"/>
    <x v="4199"/>
    <x v="0"/>
    <n v="0"/>
    <s v="LINESTRING (10.956163646418076 59.3245541721165, 10.956150038284521 59.324616649890764, 10.95609304372802 59.32468477438256, 10.957249899172911 59.325201931751515, 10.95802849532157 59.32515138464654, 10.958230928455308 59.325170816812786)"/>
    <s v="[1675012, 1675020, 1615857, 1243373, 1243381]"/>
    <s v="[1502278, 1448626, 1163562, 1163563, 1163570]"/>
    <s v="0.009029942363893812"/>
    <s v="[1502277, 1502278, 1448626, 1163562, 1163563]"/>
    <s v="[0.0, 0.188, 0.005, 0.009, 0.004]"/>
    <s v="184.7403091212986"/>
    <s v="[0.0, 0.188, 0.005, -0.009, -0.004]"/>
  </r>
  <r>
    <x v="3570"/>
    <x v="4200"/>
    <x v="0"/>
    <n v="0"/>
    <s v="LINESTRING (10.27282539823988 59.78974604311845, 10.27282539823988 59.78974604311845, 10.272269216729335 59.79121606126706, 10.268536928996499 59.79586441435017, 10.267890404082893 59.7978954477136, 10.267824649955541 59.79815641567474)"/>
    <s v="[1243922, 2078104, 2078112, 2078120, 1243916]"/>
    <s v="[1164023, 1802339, 1802343, 1164014, 1164013]"/>
    <s v="0.04501377081933971"/>
    <s v="[1164022, 1164023, 1802339, 1802343, 1164014]"/>
    <s v="[0.0, 0.256, 0.003, 0.006, 0.0]"/>
    <s v="1016.757409495038"/>
    <s v="[0.0, 0.256, 0.003, 0.006, 0.0]"/>
  </r>
  <r>
    <x v="3570"/>
    <x v="4200"/>
    <x v="0"/>
    <n v="0"/>
    <s v="LINESTRING (10.27282539823988 59.78974604311845, 10.272722321884089 59.78973925417317, 10.271964135476582 59.791158046891965, 10.268332848573026 59.79574280665939, 10.26778438585859 59.7978958801075, 10.267824649955541 59.79815641567474)"/>
    <s v="[1243923, 2078128, 2078136, 2078144, 1243915]"/>
    <s v="[1164024, 1802354, 1802358, 1164012, 1164013]"/>
    <s v="0.04486620935558826"/>
    <s v="[1164022, 1164024, 1802354, 1802358, 1164012]"/>
    <s v="[0.058, 0.248, 0.005, 0.01, 0.048]"/>
    <s v="1015.158615120905"/>
    <s v="[-0.058, 0.248, 0.005, 0.01, 0.048]"/>
  </r>
  <r>
    <x v="3571"/>
    <x v="2843"/>
    <x v="0"/>
    <s v="[0, 0, 0, 0, 1, 0, 0, 1, 0, 0, 0, 1, 1, 0, 0]"/>
    <s v="LINESTRING (10.27282539823988 59.78974604311845, 10.273065119455094 59.78800026266396, 10.273065555946841 59.78797301547146, 10.273967333942316 59.78291467941886, 10.274071082310224 59.78275956969948, 10.274486676591083 59.78221515695513, 10.274523142011462 59.78216971575673, 10.27620964435578 59.77595924186659, 10.275789350515536 59.77551719477164, 10.275572984088786 59.77532846693546, 10.270082706683567 59.77281939911029, 10.268996794586231 59.77248904974673, 10.268570291942815 59.77235901321222, 10.267984503207261 59.772180271214225, 10.266878449455735 59.77184306937312, 10.260136409892608 59.76914708712924)"/>
    <s v="[1593719, 1593727, 1593735, 1593743, 1593751, 1593759, 1593767, 1593775, 1593783, 1593791, 1593799, 1593807, 1593815, 1593823, 1593831]"/>
    <s v="[1432730, 1432739, 1432746, 1432753, 1432762, 1432768, 1432775, 1432782, 1432789, 1432794, 1432799, 1432805, 1432808, 1432815, 1175795]"/>
    <s v="#FIELD!"/>
    <s v="[1164022, 1432730, 1432739, 1432746, 1432753, 1432762, 1432768, 1432775, 1432782, 1432789, 1432794, 1432799, 1432805, 1432808, 1432815]"/>
    <s v="[0.081, 0.095, 0.068, 0.058, 0.054, 0.068, 0.046, 0.047, 0.045, 0.017, 0.004, 0.015, 0.019, 0.025, 0.009]"/>
    <s v="2748.855314586981"/>
    <s v="[-0.081, -0.095, -0.068, -0.058, -0.054, -0.068, -0.046, -0.047, -0.045, -0.017, -0.004, 0.015, 0.019, 0.025, 0.009]"/>
  </r>
  <r>
    <x v="3572"/>
    <x v="4201"/>
    <x v="0"/>
    <s v="[0, 1, 0, 1, 0, 1, 0, 1, 0, 0, 1, 0, 0, 1, 0, 1, 0, 0, 0, 0, 0, 0, 0, 0, 0, 0, 0, 0, 0, 0, 0, 0, 0, 1, 0, 0, 0, 0]"/>
    <s v="LINESTRING (8.899680688389237 58.609482149283856, 8.898612282245548 58.59718892100473, 8.89850572063416 58.59692910434234, 8.903657470740557 58.581158678778316, 8.90381333674813 58.58090577482411, 8.902457016379893 58.57203181373809, 8.902235177327118 58.57179271299773, 8.895782594228603 58.56569167898319, 8.894719046115252 58.56493788459962, 8.893244886966688 58.56397993587593, 8.87536839966364 58.55660838382498, 8.87505716983381 58.55639817838588, 8.8735769607618 58.55530011138787, 8.861088865482575 58.544034369029795, 8.860071003298714 58.5435931958914, 8.849582678309735 58.53827144278661, 8.848201584542405 58.53698685597992, 8.845799389066574 58.530755841838534, 8.845840159587464 58.53044271634908, 8.84595556870231 58.5298627594302, 8.846335806966485 58.52866275586493, 8.846507058185654 58.52813231092819, 8.846598161237276 58.527776671141396, 8.846363426684656 58.52541210331851, 8.846255831576078 58.52517726349334, 8.844107550237995 58.5227755788326, 8.843755329989744 58.522521166370815, 8.843076616533573 58.522058961787984, 8.83573736827313 58.51821640132364, 8.83521967385479 58.5180054792055, 8.834905547638671 58.51788059453652, 8.834785651676638 58.51783356349057, 8.83437214600435 58.51767369337594, 8.82831651177172 58.51549210816809, 8.826136505770684 58.51449295857567, 8.814682610202603 58.50591168837404, 8.814160370185652 58.50565393034921, 8.801549130100556 58.50204298016779, 8.8003367677688 58.501825911319294)"/>
    <s v="[1244690, 1244694, 1244627, 1244634, 1244702, 1244703, 1244704, 1244705, 1244711, 1244712, 1244713, 1831407, 1831415, 1831423, 1247812, 1247814, 1247815, 1247483, 1246681, 1246683, 1246689, 1247463, 1831215, 1831223, 1831231, 1247620, 1246728, 1246729, 1246747, 1246749, 1246766, 1247636, 1831096, 1831104, 1831112, 1831120, 1831128, 1831136]"/>
    <s v="[1164627, 1164582, 1164583, 1164589, 1164632, 1164633, 1164634, 1164635, 1164639, 1164640, 1164641, 1607818, 1607822, 1167242, 1167243, 1167245, 1166954, 1166312, 1166313, 1166315, 1166321, 1166937, 1607740, 1607743, 1167064, 1166367, 1166368, 1166369, 1166393, 1166395, 1166413, 1167075, 1607654, 1607662, 1607669, 1607674, 1607681, 1607688]"/>
    <s v="#FIELD!"/>
    <s v="[1164626, 1164627, 1164582, 1164583, 1164589, 1164632, 1164633, 1164634, 1164635, 1164639, 1164640, 1164641, 1607818, 1607822, 1167242, 1167243, 1167245, 1166954, 1166312, 1166313, 1166315, 1166321, 1166937, 1607740, 1607743, 1167064, 1166367, 1166368, 1166369, 1166393, 1166395, 1166413, 1167075, 1607654, 1607662, 1607669, 1607674, 1607681]"/>
    <s v="[0.004, 0.051, 0.018, 0.073, 0.003, 0.046, 0.049, 0.094, 0.129, 0.001, 0.042, 0.111, 0.006, 0.135, 0.01, 0.006, 0.047, 0.091, 0.094, 0.066, 0.1, 0.102, 0.001, 0.005, 0.001, 0.035, 0.057, 0.018, 0.137, 0.155, 0.167, 0.179, 0.037, 0.017, 0.034, 0.025, 0.013, 0.029]"/>
    <s v="14601.645362100862"/>
    <s v="[0.004, 0.051, -0.018, 0.073, -0.003, 0.046, -0.049, 0.094, 0.129, 0.001, 0.042, 0.111, -0.006, -0.135, -0.01, 0.006, 0.047, 0.091, 0.094, -0.066, -0.1, -0.102, 0.001, -0.005, -0.001, 0.035, 0.057, -0.018, -0.137, -0.155, -0.167, -0.179, -0.037, -0.017, 0.034, -0.025, -0.013, -0.029]"/>
  </r>
  <r>
    <x v="3572"/>
    <x v="3766"/>
    <x v="0"/>
    <s v="[0, 0, 0, 0, 0, 0, 1, 0]"/>
    <s v="LINESTRING (8.896927017277767 58.61850426525847, 8.896962867218354 58.618389740262586, 8.896995812468864 58.618284711930805, 8.898291147145686 58.614156182691524, 8.898353726387741 58.61395686380709, 8.899441030458485 58.610442475701795, 8.899481472320813 58.61029289794144, 8.89954993862951 58.61002962005213, 8.899680688389237 58.609482149283856)"/>
    <s v="[1244727, 1244728, 1244729, 1244737, 1244738, 1244739, 1244740, 1244743]"/>
    <s v="[1164655, 1164656, 1164657, 1164663, 1164664, 1164665, 1164666, 1164626]"/>
    <s v="#FIELD!"/>
    <s v="[1164648, 1164655, 1164656, 1164657, 1164663, 1164664, 1164665, 1164666]"/>
    <s v="[0.024, 0.021, 0.027, 0.105, 0.057, 0.071, 0.07, 0.074]"/>
    <s v="1018.8315209236754"/>
    <s v="[0.024, 0.021, -0.027, -0.105, -0.057, 0.071, 0.07, 0.074]"/>
  </r>
  <r>
    <x v="3572"/>
    <x v="4202"/>
    <x v="0"/>
    <s v="[0, 0, 1, 0, 0]"/>
    <s v="LINESTRING (8.897098609173845 58.613801467224704, 8.897147952224234 58.61377502020832, 8.899415334906925 58.61028821846214, 8.899483801700596 58.61002494061664, 8.899562917801875 58.60969778656549, 8.899680688389237 58.609482149283856)"/>
    <s v="[1246405, 1246408, 1246411, 1246412, 1831343]"/>
    <s v="[1166069, 1166074, 1166075, 1166076, 1164626]"/>
    <s v="#FIELD!"/>
    <s v="[1165956, 1166069, 1166074, 1166075, 1166076]"/>
    <s v="[0.019, 0.04, 0.076, 0.071, 0.054]"/>
    <s v="509.8610698564274"/>
    <s v="[0.019, -0.04, 0.076, 0.071, 0.054]"/>
  </r>
  <r>
    <x v="3573"/>
    <x v="4203"/>
    <x v="0"/>
    <n v="0"/>
    <s v="LINESTRING (8.896927017277767 58.61850426525847, 8.896928160846002 58.618390797913854, 8.896932199340933 58.6183250040521, 8.896936934321486 58.61827989105319, 8.896993065732795 58.61413150431475, 8.896977761038425 58.614099619303985)"/>
    <s v="[1831311, 1831319, 1831327, 1246398, 1246404]"/>
    <s v="[1607777, 1607780, 1166066, 1166067, 1165943]"/>
    <s v="#FIELD!"/>
    <s v="[1164648, 1607777, 1607780, 1166066, 1166067]"/>
    <s v="[0.43, 0.011, 1.178, 0.042, 0.01]"/>
    <s v="494.34233073096004"/>
    <s v="[-0.43, -0.011, 1.178, -0.042, -0.01]"/>
  </r>
  <r>
    <x v="3574"/>
    <x v="4204"/>
    <x v="0"/>
    <n v="0"/>
    <s v="LINESTRING (8.899065911956876 58.61412404040712, 8.899466797083342 58.614093518533345, 8.899554397161866 58.61408219170403)"/>
    <s v="[1244753, 1244754]"/>
    <s v="[1164676, 1164677]"/>
    <s v="#FIELD!"/>
    <s v="[1164675, 1164676]"/>
    <s v="[0.207, 0.2]"/>
    <s v="28.8228319723691"/>
    <s v="[-0.207, -0.2]"/>
  </r>
  <r>
    <x v="3574"/>
    <x v="4205"/>
    <x v="0"/>
    <n v="0"/>
    <s v="LINESTRING (8.899065911956876 58.61412404040712, 8.8994224079092 58.61421648889618, 8.899503614152012 58.61424527955725)"/>
    <s v="[1244755, 1244756]"/>
    <s v="[1164678, 1164679]"/>
    <s v="#FIELD!"/>
    <s v="[1164675, 1164678]"/>
    <s v="[0.082, 0.056]"/>
    <s v="28.87523375264564"/>
    <s v="[-0.082, -0.056]"/>
  </r>
  <r>
    <x v="3574"/>
    <x v="4206"/>
    <x v="0"/>
    <n v="0"/>
    <s v="LINESTRING (8.897773051778403 58.61401367805733, 8.89822774802622 58.61405252797841, 8.898584513400367 58.61408293166845, 8.899065911956876 58.61412404040712)"/>
    <s v="[1246618, 1246623, 1246633]"/>
    <s v="[1166245, 1166249, 1164675]"/>
    <s v="0.07088687153380364"/>
    <s v="[1164692, 1166245, 1166249]"/>
    <s v="[0.09, 0.099, 0.032]"/>
    <s v="76.22294577728191"/>
    <s v="[0.09, 0.099, 0.032]"/>
  </r>
  <r>
    <x v="3575"/>
    <x v="4207"/>
    <x v="0"/>
    <n v="0"/>
    <m/>
    <n v="1246297"/>
    <n v="1165973"/>
    <s v="#FIELD!"/>
    <n v="1164677"/>
    <s v="0.231"/>
    <s v="13.720119283433188"/>
    <s v="#FIELD!"/>
  </r>
  <r>
    <x v="3575"/>
    <x v="4205"/>
    <x v="0"/>
    <n v="0"/>
    <s v="LINESTRING (8.899503614152012 58.61424527955725, 8.899483097270457 58.61415929902374, 8.899554397161866 58.61408219170403)"/>
    <s v="[1246396, 1246397]"/>
    <s v="[1166065, 1164677]"/>
    <s v="#FIELD!"/>
    <s v="[1164679, 1166065]"/>
    <s v="[0.151, 0.235]"/>
    <s v="19.209199632823747"/>
    <s v="[-0.151, -0.235]"/>
  </r>
  <r>
    <x v="3576"/>
    <x v="4208"/>
    <x v="0"/>
    <n v="0"/>
    <m/>
    <n v="1246389"/>
    <n v="1164679"/>
    <s v="0.061"/>
    <n v="1166058"/>
    <s v="0.061"/>
    <s v="17.96581885283271"/>
    <s v="0.061"/>
  </r>
  <r>
    <x v="3577"/>
    <x v="4206"/>
    <x v="0"/>
    <n v="0"/>
    <s v="LINESTRING (8.897318993539095 58.61388634105975, 8.897411211105048 58.61392152854295, 8.897773051778403 58.61401367805733)"/>
    <s v="[1244770, 1244771]"/>
    <s v="[1164691, 1164692]"/>
    <s v="0.07413739278847807"/>
    <s v="[1164690, 1164691]"/>
    <s v="[0.057, 0.079]"/>
    <s v="30.07445741773678"/>
    <s v="[0.057, 0.079]"/>
  </r>
  <r>
    <x v="3577"/>
    <x v="4209"/>
    <x v="0"/>
    <n v="0"/>
    <s v="LINESTRING (8.897318993539095 58.61388634105975, 8.897343750622952 58.613975675661884, 8.897266389672094 58.61405780599775)"/>
    <s v="[1246291, 1246295]"/>
    <s v="[1165968, 1164693]"/>
    <s v="0.012359126570047767"/>
    <s v="[1164690, 1165968]"/>
    <s v="[0.033, 0.008]"/>
    <s v="20.270836091887567"/>
    <s v="[0.033, -0.008]"/>
  </r>
  <r>
    <x v="3577"/>
    <x v="4202"/>
    <x v="0"/>
    <n v="0"/>
    <m/>
    <n v="1246279"/>
    <n v="1164690"/>
    <s v="0.043"/>
    <n v="1165956"/>
    <s v="0.043"/>
    <s v="16.41659033498182"/>
    <s v="0.043"/>
  </r>
  <r>
    <x v="3578"/>
    <x v="4209"/>
    <x v="0"/>
    <n v="0"/>
    <s v="LINESTRING (8.897266389672094 58.61405780599775, 8.897372275465356 58.614039526400305, 8.897773051778403 58.61401367805733)"/>
    <s v="[1244772, 1244779]"/>
    <s v="[1164694, 1164692]"/>
    <s v="0.06591792371090224"/>
    <s v="[1164693, 1164694]"/>
    <s v="[0.062, 0.067]"/>
    <s v="29.985261338943886"/>
    <s v="[0.062, 0.067]"/>
  </r>
  <r>
    <x v="3579"/>
    <x v="4203"/>
    <x v="0"/>
    <n v="0"/>
    <m/>
    <n v="1246296"/>
    <n v="1165943"/>
    <s v="#FIELD!"/>
    <n v="1164693"/>
    <s v="0.077"/>
    <s v="18.07608941957329"/>
    <s v="#FIELD!"/>
  </r>
  <r>
    <x v="3580"/>
    <x v="2924"/>
    <x v="0"/>
    <n v="0"/>
    <s v="LINESTRING (8.743239776788567 58.475011013795125, 8.743293126874123 58.47495481747736, 8.743405824003487 58.474909991947776)"/>
    <s v="[2098028, 2098035]"/>
    <s v="[1814471, 1164747]"/>
    <s v="#FIELD!"/>
    <s v="[1164743, 1814471]"/>
    <s v="[0.195, 0.026]"/>
    <s v="15.265949779758175"/>
    <s v="[-0.195, 0.026]"/>
  </r>
  <r>
    <x v="3580"/>
    <x v="4175"/>
    <x v="0"/>
    <n v="0"/>
    <s v="LINESTRING (8.743781173498483 58.47498105056002, 8.743812762179981 58.47504779908323, 8.743782141197071 58.47511825673385, 8.74365544947045 58.47518563258075, 8.74355756803094 58.475201374316946, 8.743392648402319 58.47518717691739, 8.743278159676445 58.47513411138918, 8.743239776788567 58.475011013795125)"/>
    <s v="[2097973, 2097976, 2097979, 2097995, 2098003, 2098011, 2098027]"/>
    <s v="[1237758, 1814438, 1237784, 1166920, 1814456, 1166917, 1164743]"/>
    <s v="0.056393809490516936"/>
    <s v="[1166912, 1237758, 1814438, 1237784, 1166920, 1814456, 1166917]"/>
    <s v="[0.175, 0.026, 0.079, 0.116, 0.121, 0.087, 0.093]"/>
    <s v="65.16908559693296"/>
    <s v="[-0.175, 0.026, 0.079, 0.116, 0.121, 0.087, 0.093]"/>
  </r>
  <r>
    <x v="3581"/>
    <x v="2830"/>
    <x v="0"/>
    <n v="0"/>
    <m/>
    <n v="2097953"/>
    <n v="1166895"/>
    <s v="#FIELD!"/>
    <n v="1164747"/>
    <s v="0.119"/>
    <s v="9.591631769367975"/>
    <s v="#FIELD!"/>
  </r>
  <r>
    <x v="3582"/>
    <x v="3356"/>
    <x v="0"/>
    <n v="0"/>
    <s v="LINESTRING (9.189958693394624 59.57624717179026, 9.189998488957942 59.57621019639591, 9.190133658472266 59.576164592361444, 9.190292971117556 59.57616829796622, 9.190334692260622 59.57617887821267)"/>
    <s v="[1245087, 1245088, 1245095, 1245103]"/>
    <s v="[1164940, 1164941, 1164949, 1164916]"/>
    <s v="0.00103716606165508"/>
    <s v="[1164858, 1164940, 1164941, 1164949]"/>
    <s v="[0.05, 0.02, 0.035, 0.049]"/>
    <s v="25.539100024915562"/>
    <s v="[-0.05, -0.02, 0.035, 0.049]"/>
  </r>
  <r>
    <x v="3582"/>
    <x v="3359"/>
    <x v="0"/>
    <n v="0"/>
    <s v="LINESTRING (9.190082322644221 59.57640690470309, 9.189968536200972 59.576345502782935, 9.189958693394624 59.57624717179026)"/>
    <s v="[1245085, 1245086]"/>
    <s v="[1164939, 1164858]"/>
    <s v="#FIELD!"/>
    <s v="[1164892, 1164939]"/>
    <s v="[0.045, 0.056]"/>
    <s v="20.562154971203817"/>
    <s v="[-0.045, -0.056]"/>
  </r>
  <r>
    <x v="3583"/>
    <x v="3357"/>
    <x v="0"/>
    <n v="0"/>
    <m/>
    <n v="1245078"/>
    <n v="1164892"/>
    <s v="#FIELD!"/>
    <n v="1164933"/>
    <s v="0.001"/>
    <s v="27.18898733141802"/>
    <s v="#FIELD!"/>
  </r>
  <r>
    <x v="3584"/>
    <x v="3357"/>
    <x v="0"/>
    <n v="0"/>
    <s v="LINESTRING (9.190334692260622 59.57617887821267, 9.190435135987212 59.576235337796426, 9.190459005417573 59.57631496466501)"/>
    <s v="[1245111, 1245119]"/>
    <s v="[1164968, 1164933]"/>
    <s v="0.06082792001862489"/>
    <s v="[1164916, 1164968]"/>
    <s v="[0.067, 0.055]"/>
    <s v="17.461300047573804"/>
    <s v="[0.067, 0.055]"/>
  </r>
  <r>
    <x v="3585"/>
    <x v="4210"/>
    <x v="0"/>
    <n v="0"/>
    <s v="LINESTRING (8.748024881433059 58.476574527220734, 8.749293302898025 58.477170610994676, 8.749734785977951 58.477422002053096, 8.750092977304536 58.47763352952554, 8.757458364066064 58.48290601022732, 8.758073723289797 58.48344443377262, 8.758337111514187 58.483675593728925)"/>
    <s v="[1247590, 1246837, 1246844, 1246848, 1246856, 1245126]"/>
    <s v="[1166490, 1166491, 1166498, 1166503, 1164979, 1164980]"/>
    <s v="0.011874599481802105"/>
    <s v="[1166968, 1166490, 1166491, 1166498, 1166503, 1164979]"/>
    <s v="[0.218, 0.093, 0.067, 0.007, 0.066, 0.058]"/>
    <s v="929.5773309314984"/>
    <s v="[0.218, 0.093, 0.067, 0.007, -0.066, -0.058]"/>
  </r>
  <r>
    <x v="3585"/>
    <x v="4211"/>
    <x v="392"/>
    <s v="[0, 1, 0, 1, 0, 0]"/>
    <s v="LINESTRING (8.787093949169144 58.49935830123156, 8.786011201178068 58.49916601182677, 8.783272234504743 58.49867544594404, 8.766393732970684 58.490672221534574, 8.766173868738074 58.490485890531886, 8.76251098453109 58.48733634396213, 8.758337111514187 58.483675593728925)"/>
    <s v="[1831186, 1831040, 1831048, 1831056, 1247776, 1247790]"/>
    <s v="[1607610, 1607611, 1607618, 1167206, 1167207, 1164980]"/>
    <s v="#FIELD!"/>
    <s v="[1607720, 1607610, 1607611, 1607618, 1167206, 1167207]"/>
    <s v="[0.126, 0.095, 0.001, 0.154, 0.012, 0.009]"/>
    <s v="2520.708810652935"/>
    <s v="[-0.126, -0.095, -0.001, 0.154, 0.012, -0.009]"/>
  </r>
  <r>
    <x v="3586"/>
    <x v="4212"/>
    <x v="0"/>
    <n v="0"/>
    <s v="LINESTRING (8.793925051911433 58.5002792572692, 8.793961927872887 58.50013128649334, 8.793957778046005 58.50006147301345, 8.793936928052497 58.50000435716805)"/>
    <s v="[1245299, 1245301, 1245302]"/>
    <s v="[1165145, 1165147, 1165148]"/>
    <s v="0.05185344318307228"/>
    <s v="[1165144, 1165145, 1165147]"/>
    <s v="[0.049, 0.052, 0.059]"/>
    <s v="30.915757951668542"/>
    <s v="[0.049, 0.052, 0.059]"/>
  </r>
  <r>
    <x v="3586"/>
    <x v="4213"/>
    <x v="0"/>
    <n v="0"/>
    <s v="LINESTRING (8.793925051911433 58.5002792572692, 8.794085010256348 58.50015319973968, 8.794176967037515 58.50009276943318, 8.794239019006033 58.50005684141722)"/>
    <s v="[1245309, 1245313, 1245321]"/>
    <s v="[1165151, 1165155, 1165163]"/>
    <s v="0.0230652938095137"/>
    <s v="[1165144, 1165151, 1165155]"/>
    <s v="[0.026, 0.023, 0.014]"/>
    <s v="30.893868365421753"/>
    <s v="[0.026, 0.023, 0.014]"/>
  </r>
  <r>
    <x v="3586"/>
    <x v="4214"/>
    <x v="0"/>
    <s v="[0, 1, 0]"/>
    <s v="LINESTRING (8.793509954643804 58.50091812877275, 8.79357954210072 58.50081082937838, 8.793861922521968 58.500376333856565, 8.793925051911433 58.5002792572692)"/>
    <s v="[1246637, 1246641, 1246643]"/>
    <s v="[1166265, 1166270, 1165144]"/>
    <s v="0.03310409847541792"/>
    <s v="[1165172, 1166265, 1166270]"/>
    <s v="[0.03, 0.033, 0.037]"/>
    <s v="75.25500179483893"/>
    <s v="[0.03, 0.033, 0.037]"/>
  </r>
  <r>
    <x v="3587"/>
    <x v="4215"/>
    <x v="0"/>
    <n v="0"/>
    <m/>
    <n v="1246197"/>
    <n v="1165897"/>
    <s v="0.055"/>
    <n v="1165148"/>
    <s v="0.055"/>
    <s v="14.508323400605878"/>
    <s v="0.055"/>
  </r>
  <r>
    <x v="3587"/>
    <x v="4213"/>
    <x v="0"/>
    <n v="0"/>
    <s v="LINESTRING (8.794239019006033 58.50005684141722, 8.794074274613898 58.50005451939082, 8.793936928052497 58.50000435716805)"/>
    <s v="[1246239, 1246243]"/>
    <s v="[1165927, 1165148]"/>
    <s v="0.04606425560592041"/>
    <s v="[1165163, 1165927]"/>
    <s v="[0.038, 0.054]"/>
    <s v="19.397095850860595"/>
    <s v="[0.038, 0.054]"/>
  </r>
  <r>
    <x v="3588"/>
    <x v="4216"/>
    <x v="0"/>
    <n v="0"/>
    <m/>
    <n v="1246224"/>
    <n v="1165163"/>
    <s v="#FIELD!"/>
    <n v="1165904"/>
    <s v="0.013"/>
    <s v="14.216426038361755"/>
    <s v="#FIELD!"/>
  </r>
  <r>
    <x v="3589"/>
    <x v="4217"/>
    <x v="0"/>
    <n v="0"/>
    <m/>
    <n v="1246187"/>
    <n v="1165836"/>
    <s v="#FIELD!"/>
    <n v="1165170"/>
    <s v="0.057"/>
    <s v="14.120837082030818"/>
    <s v="#FIELD!"/>
  </r>
  <r>
    <x v="3589"/>
    <x v="4214"/>
    <x v="0"/>
    <n v="0"/>
    <s v="LINESTRING (8.793507512791502 58.50118150961699, 8.793493096194704 58.50112983905544, 8.793509954643804 58.50091812877275)"/>
    <s v="[1245327, 1245328]"/>
    <s v="[1165171, 1165172]"/>
    <s v="0.046372563572237416"/>
    <s v="[1165170, 1165171]"/>
    <s v="[0.056, 0.044]"/>
    <s v="29.453932778368088"/>
    <s v="[0.056, 0.044]"/>
  </r>
  <r>
    <x v="3589"/>
    <x v="4218"/>
    <x v="0"/>
    <n v="0"/>
    <s v="LINESTRING (8.793193144408995 58.50112932850552, 8.793372244729802 58.50113027706989, 8.793507512791502 58.50118150961699)"/>
    <s v="[1246179, 1246180]"/>
    <s v="[1165883, 1165170]"/>
    <s v="#FIELD!"/>
    <s v="[1165174, 1165883]"/>
    <s v="[0.055, 0.073]"/>
    <s v="20.201900367936606"/>
    <s v="[-0.055, -0.073]"/>
  </r>
  <r>
    <x v="3590"/>
    <x v="4218"/>
    <x v="0"/>
    <n v="0"/>
    <s v="LINESTRING (8.793193144408995 58.50112932850552, 8.793272702676129 58.50109491701526, 8.793509954643804 58.50091812877275)"/>
    <s v="[1245332, 1245334]"/>
    <s v="[1165175, 1165172]"/>
    <s v="0.0027995207041956903"/>
    <s v="[1165174, 1165175]"/>
    <s v="[0.01, 0.006]"/>
    <s v="30.11832075201186"/>
    <s v="[-0.01, 0.006]"/>
  </r>
  <r>
    <x v="3591"/>
    <x v="4219"/>
    <x v="0"/>
    <n v="0"/>
    <m/>
    <n v="1246168"/>
    <n v="1165174"/>
    <s v="#FIELD!"/>
    <n v="1165866"/>
    <s v="0.013"/>
    <s v="13.770204618436326"/>
    <s v="#FIELD!"/>
  </r>
  <r>
    <x v="3592"/>
    <x v="4219"/>
    <x v="0"/>
    <n v="0"/>
    <s v="LINESTRING (8.793560822986008 58.5013020684465, 8.79333707844282 58.50142007652069, 8.793189736917354 58.501415626442146, 8.79306699708572 58.50137427730473, 8.793019054731698 58.50120886147122)"/>
    <s v="[1246128, 1246139, 1246148, 1246156]"/>
    <s v="[1164735, 1165850, 1164733, 1165866]"/>
    <s v="0.040685908219107156"/>
    <s v="[1165836, 1164735, 1165850, 1164733]"/>
    <s v="[0.008, 0.063, 0.078, 0.047]"/>
    <s v="55.98743166759323"/>
    <s v="[0.008, 0.063, 0.078, 0.047]"/>
  </r>
  <r>
    <x v="3592"/>
    <x v="4201"/>
    <x v="0"/>
    <n v="0"/>
    <s v="LINESTRING (8.8003367677688 58.501825911319294, 8.799912868294188 58.50178302562989, 8.793633084702261 58.501294084778905, 8.793560822986008 58.5013020684465)"/>
    <s v="[1831359, 1246504, 1246513]"/>
    <s v="[1166144, 1166145, 1165836]"/>
    <s v="#FIELD!"/>
    <s v="[1607688, 1166144, 1166145]"/>
    <s v="[0.014, 0.003, 0.043]"/>
    <s v="404.809902162091"/>
    <s v="[0.014, -0.003, 0.043]"/>
  </r>
  <r>
    <x v="3593"/>
    <x v="4220"/>
    <x v="0"/>
    <n v="0"/>
    <s v="LINESTRING (8.793019054731698 58.50120886147122, 8.792988204066882 58.501178096247976, 8.786399343204952 58.49936372321148, 8.785955695607008 58.49925102800575)"/>
    <s v="[1246600, 1246610, 1831375]"/>
    <s v="[1166231, 1166239, 1607698]"/>
    <s v="#FIELD!"/>
    <s v="[1165866, 1166231, 1166239]"/>
    <s v="[0.061, 0.016, 0.351]"/>
    <s v="473.469848479638"/>
    <s v="[0.061, 0.016, -0.351]"/>
  </r>
  <r>
    <x v="3594"/>
    <x v="4216"/>
    <x v="0"/>
    <n v="0"/>
    <s v="LINESTRING (8.793882481876047 58.49988050138482, 8.794143143338221 58.49976185293342, 8.794292595046779 58.499777661329425, 8.794406230969926 58.49983153542566, 8.794422064688174 58.49997720136065)"/>
    <s v="[1246198, 1246199, 1246205, 1246211]"/>
    <s v="[1165898, 1165899, 1165900, 1165904]"/>
    <s v="#FIELD!"/>
    <s v="[1165897, 1165898, 1165899, 1165900]"/>
    <s v="[0.015, 0.038, 0.055, 0.058]"/>
    <s v="55.922980209687054"/>
    <s v="[0.015, -0.038, -0.055, -0.058]"/>
  </r>
  <r>
    <x v="3594"/>
    <x v="4211"/>
    <x v="0"/>
    <n v="0"/>
    <s v="LINESTRING (8.787093949169144 58.49935830123156, 8.787518332144844 58.499400173723174, 8.793817781500435 58.49989321072979, 8.793882481876047 58.49988050138482)"/>
    <s v="[1831367, 1246569, 1246577]"/>
    <s v="[1166198, 1166199, 1165897]"/>
    <s v="#FIELD!"/>
    <s v="[1607720, 1166198, 1166199]"/>
    <s v="[0.091, 0.008, 0.009]"/>
    <s v="405.2726208662002"/>
    <s v="[0.091, -0.008, -0.009]"/>
  </r>
  <r>
    <x v="3595"/>
    <x v="4221"/>
    <x v="0"/>
    <n v="0"/>
    <s v="LINESTRING (8.794422064688174 58.49997720136065, 8.79446197171185 58.50000831568208, 8.794548694476084 58.50005484987724, 8.801214035402237 58.501855022140646, 8.801599097160052 58.50195698733188)"/>
    <s v="[1246526, 1246534, 1246548, 1831351]"/>
    <s v="[1166155, 1166163, 1166174, 1607704]"/>
    <s v="#FIELD!"/>
    <s v="[1165904, 1166155, 1166163, 1166174]"/>
    <s v="[0.063, 0.058, 0.001, 0.073]"/>
    <s v="479.9265905444354"/>
    <s v="[-0.063, -0.058, -0.001, -0.073]"/>
  </r>
  <r>
    <x v="3596"/>
    <x v="4202"/>
    <x v="0"/>
    <n v="0"/>
    <s v="LINESTRING (8.896977761038425 58.614099619303985, 8.896824948044673 58.61404677797521, 8.896763745525508 58.61396354153792, 8.896784957067142 58.613893595005436, 8.897098609173845 58.613801467224704)"/>
    <s v="[1246260, 1246262, 1246270, 1246278]"/>
    <s v="[1164704, 1165944, 1164701, 1165956]"/>
    <s v="0.008655542506680929"/>
    <s v="[1165943, 1164704, 1165944, 1164701]"/>
    <s v="[0.066, 0.001, 0.033, 0.04]"/>
    <s v="50.83987446713513"/>
    <s v="[-0.066, -0.001, 0.033, 0.04]"/>
  </r>
  <r>
    <x v="3597"/>
    <x v="4208"/>
    <x v="0"/>
    <n v="0"/>
    <s v="LINESTRING (8.899764136953452 58.6140315747894, 8.90003862994942 58.61412190087844, 8.900063432672448 58.614199170696, 8.900009002933732 58.61427356949196, 8.899925448849961 58.6143141652203, 8.899745025878799 58.61433628258964)"/>
    <s v="[1246309, 1246317, 1246379, 1246380, 1246387]"/>
    <s v="[1164687, 1165989, 1164689, 1166053, 1166058]"/>
    <s v="0.10558101708361031"/>
    <s v="[1165973, 1164687, 1165989, 1164689, 1166053]"/>
    <s v="[0.07, 0.139, 0.203, 0.241, 0.236]"/>
    <s v="54.766636448534776"/>
    <s v="[-0.07, 0.139, 0.203, 0.241, 0.236]"/>
  </r>
  <r>
    <x v="3597"/>
    <x v="4222"/>
    <x v="0"/>
    <n v="0"/>
    <s v="LINESTRING (8.89960350640463 58.610483212802905, 8.899607909296778 58.610709709067194, 8.899743425231447 58.61400029724132, 8.899764136953452 58.6140315747894)"/>
    <s v="[1831335, 1246424, 1246441]"/>
    <s v="[1166086, 1166087, 1165973]"/>
    <s v="0.04685381206604092"/>
    <s v="[1166797, 1166086, 1166087]"/>
    <s v="[0.094, 0.056, 0.091]"/>
    <s v="400.13379577239095"/>
    <s v="[-0.094, 0.056, 0.091]"/>
  </r>
  <r>
    <x v="3598"/>
    <x v="4223"/>
    <x v="0"/>
    <n v="0"/>
    <s v="LINESTRING (8.899745025878799 58.61433628258964, 8.899708310599864 58.61436888755481, 8.89728050232601 58.61820602499089, 8.897234118420414 58.618353140556444, 8.897060250144367 58.618829915239104, 8.896931986779817 58.61904406139649)"/>
    <s v="[1246457, 1246465, 1246486, 1246496, 1831303]"/>
    <s v="[1166112, 1166118, 1166133, 1166139, 1166789]"/>
    <s v="0.023442687451388024"/>
    <s v="[1166058, 1166112, 1166118, 1166133, 1166139]"/>
    <s v="[0.236, 0.031, 0.009, 0.013, 0.061]"/>
    <s v="553.6862596400363"/>
    <s v="[0.236, 0.031, 0.009, -0.013, -0.061]"/>
  </r>
  <r>
    <x v="3599"/>
    <x v="4224"/>
    <x v="0"/>
    <s v="[0, 0, 0, 0, 0, 1, 0, 0, 0, 0]"/>
    <s v="LINESTRING (11.149358756227775 60.14962145687911, 11.149433033486474 60.14973331527888, 11.149431228618244 60.14974210822978, 11.149307059405384 60.15043728729795, 11.149450730945533 60.153236244816846, 11.151363265189246 60.156639054838465, 11.150979365181051 60.15774157207021, 11.14671924762508 60.16025455510668, 11.14619118381601 60.16044594965494, 11.146067532467965 60.16048974919026, 11.14596451777882 60.16052690426011)"/>
    <s v="[1505388, 1525290, 1525298, 1525306, 1525314, 1525322, 1525330, 1525338, 1525346, 1247162]"/>
    <s v="[1361319, 1379143, 1379152, 1379158, 1379167, 1379175, 1379181, 1379189, 1166767, 1166768]"/>
    <s v="0.009784750649925844"/>
    <s v="[1361318, 1361319, 1379143, 1379152, 1379158, 1379167, 1379175, 1379181, 1379189, 1166767]"/>
    <s v="[0.014, 0.002, 0.006, 0.019, 0.02, 0.008, 0.017, 0.073, 0.812, 0.018]"/>
    <s v="1352.9349206774561"/>
    <s v="[0.014, 0.002, 0.006, 0.019, 0.02, 0.008, -0.017, -0.073, 0.812, -0.018]"/>
  </r>
  <r>
    <x v="3599"/>
    <x v="4225"/>
    <x v="0"/>
    <n v="0"/>
    <s v="LINESTRING (11.144348874387529 60.16111388369796, 11.145268458395195 60.16078085828317, 11.145801162823926 60.16058797530957, 11.14596451777882 60.16052690426011)"/>
    <s v="[2109405, 2109413, 2109421]"/>
    <s v="[1821126, 1821131, 1166768]"/>
    <s v="0.028940521215359765"/>
    <s v="[1807739, 1821126, 1821131]"/>
    <s v="[0.019, 0.016, 0.126]"/>
    <s v="111.04027879842914"/>
    <s v="[0.019, 0.016, 0.126]"/>
  </r>
  <r>
    <x v="3600"/>
    <x v="4226"/>
    <x v="0"/>
    <s v="[0, 0, 1, 0]"/>
    <s v="LINESTRING (11.099707019674167 60.17320356323914, 11.099707019674167 60.17320356323914, 11.09539652124433 60.17772085027186, 11.095027153244331 60.17820626913761, 11.094053027439262 60.1797061630495)"/>
    <s v="[1247163, 1525778, 1525786, 1525794]"/>
    <s v="[1166770, 1379565, 1379573, 1379580]"/>
    <s v="#FIELD!"/>
    <s v="[1166769, 1166770, 1379565, 1379573]"/>
    <s v="[0.0, 0.004, 0.002, 0.008]"/>
    <s v="802.9238976167537"/>
    <s v="[0.0, -0.004, 0.002, 0.008]"/>
  </r>
  <r>
    <x v="3600"/>
    <x v="4227"/>
    <x v="393"/>
    <n v="0"/>
    <s v="LINESTRING (11.099707019674167 60.17320356323914, 11.099935396776996 60.17300675116861, 11.10044279627953 60.1726022844658, 11.101381829460053 60.17194054752858, 11.110359206895597 60.168530755319566, 11.110373417309043 60.16852790976762, 11.112665784895837 60.16813263519419, 11.11419006680791 60.16793724413028, 11.114219959186675 60.16793389673876, 11.119232038958916 60.16744305888717, 11.120518699744798 60.167325974106745, 11.12203384618143 60.16718062131055, 11.123097871141754 60.16706642686836, 11.125033018114955 60.16681719062276, 11.1251041094985 60.16680651612523, 11.12603019331236 60.166671521377175, 11.126066190394534 60.16666701961644, 11.128878221891217 60.166142229987614, 11.138377053133171 60.16328084024329)"/>
    <s v="[2109245, 2109253, 2109261, 2109269, 2109277, 2109285, 2109293, 2109301, 2109309, 2109317, 2109325, 2109333, 2109341, 2109349, 2109357, 2109365, 2109373, 2109381]"/>
    <s v="[1821044, 1821049, 1821054, 1821061, 345586, 1821071, 1821075, 1821080, 1821085, 1821090, 1821093, 345565, 1821099, 1821103, 1821106, 1821108, 1821112, 1821039]"/>
    <s v="#FIELD!"/>
    <s v="[1166769, 1821044, 1821049, 1821054, 1821061, 345586, 1821071, 1821075, 1821080, 1821085, 1821090, 1821093, 345565, 1821099, 1821103, 1821106, 1821108, 1821112]"/>
    <s v="[0.229, 0.012, 0.003, 0.004, 0.004, 0.003, 0.007, 0.005, 0.004, 0.01, 0.01, 0.009, 0.0, 0.004, 0.004, 0.006, 0.005, 0.006]"/>
    <s v="2474.0668214967945"/>
    <s v="[-0.229, 0.012, 0.003, 0.004, 0.004, 0.003, 0.007, 0.005, 0.004, -0.01, -0.01, -0.009, 0.0, 0.004, 0.004, 0.006, 0.005, -0.006]"/>
  </r>
  <r>
    <x v="3600"/>
    <x v="4228"/>
    <x v="0"/>
    <n v="0"/>
    <s v="LINESTRING (11.099707019674167 60.17320356323914, 11.099758660376171 60.173190800545136, 11.098255080404547 60.17531227917321, 11.095094632578908 60.17796821995591, 11.095076512327811 60.17796823377801, 11.092828738515589 60.17797248303565, 11.092810616142083 60.177972514463974, 11.090038566946408 60.177963451683645)"/>
    <s v="[2109429, 1525354, 1525362, 1525370, 1525378, 1525386, 1525394]"/>
    <s v="[1379200, 1379201, 1379207, 1379216, 1379225, 1379232, 1379046]"/>
    <s v="#FIELD!"/>
    <s v="[1166769, 1379200, 1379201, 1379207, 1379216, 1379225, 1379232]"/>
    <s v="[0.039, 0.004, 0.004, 0.017, 0.007, 0.041, 0.008]"/>
    <s v="987.1900951076175"/>
    <s v="[0.039, -0.004, -0.004, -0.017, -0.007, 0.041, 0.008]"/>
  </r>
  <r>
    <x v="3601"/>
    <x v="4223"/>
    <x v="0"/>
    <n v="0"/>
    <s v="LINESTRING (8.895937085699945 58.62330085914241, 8.895937085699945 58.62330085914241, 8.896931986779817 58.61904406139649)"/>
    <s v="[1247178, 1247191]"/>
    <s v="[1166781, 1166789]"/>
    <s v="0.009693811228140708"/>
    <s v="[1166780, 1166781]"/>
    <s v="[0.0, 0.018]"/>
    <s v="888.5228187494629"/>
    <s v="[0.0, 0.018]"/>
  </r>
  <r>
    <x v="3601"/>
    <x v="3767"/>
    <x v="0"/>
    <n v="0"/>
    <s v="LINESTRING (8.895937085699945 58.62330085914241, 8.89606565365733 58.62718868015234, 8.8963273611249 58.62784767782979, 8.899757466861532 58.6320425245711, 8.900323290853473 58.632597301279716, 8.900594773750795 58.632826059931354)"/>
    <s v="[1247446, 1246668, 1246669, 1246676, 1247449]"/>
    <s v="[1166298, 1166299, 1166300, 1166307, 1166934]"/>
    <s v="#FIELD!"/>
    <s v="[1166780, 1166298, 1166299, 1166300, 1166307]"/>
    <s v="[0.105, 0.06, 0.012, 0.167, 0.203]"/>
    <s v="710.2662348896529"/>
    <s v="[0.105, 0.06, 0.012, -0.167, -0.203]"/>
  </r>
  <r>
    <x v="3602"/>
    <x v="4222"/>
    <x v="0"/>
    <n v="0"/>
    <s v="LINESTRING (8.896931986779817 58.61904406139649, 8.897125719986107 58.61842664344283, 8.89714482677866 58.61836578131319, 8.897186465562276 58.618232766226654, 8.898461000485327 58.614170717318046, 8.898523605281698 58.61397134556758, 8.89960350640463 58.610483212802905)"/>
    <s v="[1247192, 1247193, 1247194, 1247199, 1247200, 1247201]"/>
    <s v="[1166790, 1166791, 1166792, 1166795, 1166796, 1166797]"/>
    <s v="#FIELD!"/>
    <s v="[1166789, 1166790, 1166791, 1166792, 1166795, 1166796]"/>
    <s v="[0.027, 0.0, 0.0, 0.025, 0.12, 0.064]"/>
    <s v="967.2358976075959"/>
    <s v="[0.027, 0.0, 0.0, -0.025, -0.12, -0.064]"/>
  </r>
  <r>
    <x v="3603"/>
    <x v="4229"/>
    <x v="0"/>
    <s v="[0, 1, 0, 0, 1, 0, 1, 0, 1, 0, 1, 0, 0, 1, 0, 0, 1, 0, 1, 0]"/>
    <s v="LINESTRING (8.89960350640463 58.610483212802905, 8.899651833083746 58.61030551068957, 8.899720532348532 58.610040893140834, 8.899851558425537 58.60949271506016, 8.898780483247704 58.597170097811485, 8.898673920424695 58.5969102812676, 8.903821125069332 58.58118618873661, 8.903976990041214 58.58093328456513, 8.902611566223205 58.571992709119435, 8.902389741910621 58.57175351932764, 8.895862324074326 58.56559534825923, 8.894789984172835 58.56483861396946, 8.89334619050734 58.563903959679116, 8.875504316979884 58.55655347370209, 8.8751930867791 58.556343268586595, 8.873672567500797 58.555212009266185, 8.861198486182024 58.54396524647267, 8.86018062451317 58.5435240742146, 8.849592144296258 58.538111788548974, 8.848355909780777 58.536947538941924, 8.84616193940009 58.53078948870626)"/>
    <s v="[1247216, 1247229, 1247242, 1244744, 1244745, 1244604, 1244626, 1244635, 1244637, 1244647, 1244654, 1244660, 1244677, 1244689, 1831383, 1831391, 1831399, 1247798, 1247799, 1247807]"/>
    <s v="[1166807, 1166814, 1164667, 1164668, 1164565, 1164566, 1164581, 1164590, 1164591, 1164599, 1164604, 1164607, 1164617, 1164625, 1607808, 1607811, 1167229, 1167230, 1167231, 1166959]"/>
    <s v="#FIELD!"/>
    <s v="[1166797, 1166807, 1166814, 1164667, 1164668, 1164565, 1164566, 1164581, 1164590, 1164591, 1164599, 1164604, 1164607, 1164617, 1164625, 1607808, 1607811, 1167229, 1167230, 1167231]"/>
    <s v="[0.067, 0.074, 0.075, 0.005, 0.057, 0.018, 0.08, 0.005, 0.043, 0.049, 0.107, 0.137, 0.0, 0.042, 0.108, 0.006, 0.144, 0.008, 0.002, 0.05]"/>
    <s v="10242.465434315805"/>
    <s v="[0.067, 0.074, 0.075, 0.005, 0.057, -0.018, 0.08, -0.005, 0.043, -0.049, 0.107, 0.137, 0.0, 0.042, 0.108, -0.006, -0.144, -0.008, -0.002, 0.05]"/>
  </r>
  <r>
    <x v="3604"/>
    <x v="4175"/>
    <x v="0"/>
    <n v="0"/>
    <s v="LINESTRING (8.743568784461784 58.47489950753963, 8.743703152664594 58.47493076120778, 8.743781173498483 58.47498105056002)"/>
    <s v="[2097957, 2097965]"/>
    <s v="[1814430, 1166912]"/>
    <s v="#FIELD!"/>
    <s v="[1166895, 1814430]"/>
    <s v="[0.228, 0.079]"/>
    <s v="15.815760621255013"/>
    <s v="[-0.228, 0.079]"/>
  </r>
  <r>
    <x v="3605"/>
    <x v="4229"/>
    <x v="0"/>
    <n v="0"/>
    <s v="LINESTRING (8.8469740166291 58.52817223852654, 8.8469740166291 58.52817223852654, 8.846840112363264 58.52870574070438, 8.846413282664052 58.529902513907885, 8.846235456539794 58.530478118278076, 8.84616193940009 58.53078948870626)"/>
    <s v="[1247459, 1246692, 1246710, 1246711, 1247491]"/>
    <s v="[1166323, 1166324, 1166349, 1166350, 1166959]"/>
    <s v="0.014954319248362581"/>
    <s v="[1166936, 1166323, 1166324, 1166349, 1166350]"/>
    <s v="[0.0, 0.116, 0.062, 0.106, 0.099]"/>
    <s v="335.81163472550725"/>
    <s v="[0.0, 0.116, 0.062, -0.106, -0.099]"/>
  </r>
  <r>
    <x v="3605"/>
    <x v="4230"/>
    <x v="0"/>
    <n v="0"/>
    <s v="LINESTRING (8.8469740166291 58.52817223852654, 8.846617277003338 58.52538179126884, 8.846501249339708 58.52514153931379, 8.844373805133873 58.52266718250046)"/>
    <s v="[1831194, 1831199, 1831207]"/>
    <s v="[1607732, 1607735, 1167069]"/>
    <s v="#FIELD!"/>
    <s v="[1166936, 1607732, 1607735]"/>
    <s v="[0.021, 0.004, 0.006]"/>
    <s v="604.6385529187746"/>
    <s v="[-0.021, -0.004, -0.006]"/>
  </r>
  <r>
    <x v="3606"/>
    <x v="3213"/>
    <x v="0"/>
    <s v="[0, 0, 0, 1, 0]"/>
    <s v="LINESTRING (8.748024881433059 58.476574527220734, 8.748024881433059 58.476574527220734, 8.747821781807719 58.47648851111036, 8.746992990566953 58.47609672086501, 8.746374576302133 58.47573225767036, 8.745898133546815 58.47543680653798)"/>
    <s v="[1247507, 1247520, 1247528, 2132685, 2132693]"/>
    <s v="[1166969, 1166979, 1166988, 1834457, 1834398]"/>
    <s v="0.02456205776657957"/>
    <s v="[1166968, 1166969, 1166979, 1166988, 1834457]"/>
    <s v="[0.0, 0.01, 0.087, 0.006, 0.005]"/>
    <s v="247.25459951410846"/>
    <s v="[0.0, -0.01, 0.087, 0.006, 0.005]"/>
  </r>
  <r>
    <x v="3607"/>
    <x v="4230"/>
    <x v="0"/>
    <n v="0"/>
    <s v="LINESTRING (8.834720912158604 58.51759126702062, 8.834720912158604 58.51759126702062, 8.834833768407394 58.51763164626971, 8.835221551150793 58.517772607109336, 8.835812616989257 58.5179952596764, 8.843385796664418 58.5219345333134, 8.844036958670358 58.52240756725104, 8.844373805133873 58.52266718250046)"/>
    <s v="[1247606, 1247619, 1246774, 1246786, 1246787, 1246793, 1247627]"/>
    <s v="[1167056, 1166423, 1166424, 1166434, 1166435, 1166441, 1167069]"/>
    <s v="0.01934886042999533"/>
    <s v="[1167055, 1167056, 1166423, 1166424, 1166434, 1166435, 1166441]"/>
    <s v="[0.0, 0.178, 0.172, 0.153, 0.013, 0.051, 0.043]"/>
    <s v="825.3445916436618"/>
    <s v="[0.0, 0.178, 0.172, 0.153, 0.013, -0.051, -0.043]"/>
  </r>
  <r>
    <x v="3607"/>
    <x v="4221"/>
    <x v="394"/>
    <s v="[0, 1, 0, 0, 0]"/>
    <s v="LINESTRING (8.834720912158604 58.51759126702062, 8.828423374255589 58.51542189089798, 8.826255472999772 58.51442828021062, 8.814616964314121 58.50573747602156, 8.814123125639847 58.50550256903126, 8.801599097160052 58.50195698733188)"/>
    <s v="[1831064, 1831072, 1831080, 1831088, 1831160]"/>
    <s v="[1607630, 1607637, 1607643, 1607647, 1607704]"/>
    <s v="0.0028121799846229883"/>
    <s v="[1167055, 1607630, 1607637, 1607643, 1607647]"/>
    <s v="[0.047, 0.016, 0.035, 0.026, 0.013]"/>
    <s v="2655.292373316979"/>
    <s v="[-0.047, -0.016, 0.035, -0.026, -0.013]"/>
  </r>
  <r>
    <x v="3608"/>
    <x v="4231"/>
    <x v="0"/>
    <n v="0"/>
    <s v="LINESTRING (11.167580236141603 60.17618212964655, 11.167399417036473 60.1760325101044, 11.164395948529137 60.17314629415777, 11.161274202907094 60.169996815886556, 11.160463587521441 60.16856553479873, 11.160462322440395 60.168556598754165, 11.157837643664076 60.16756350019664)"/>
    <s v="[1357036, 1357037, 591442, 591450, 591458, 1248503]"/>
    <s v="[1255340, 596211, 596212, 596219, 596224, 1167955]"/>
    <s v="#FIELD!"/>
    <s v="[1255317, 1255340, 596211, 596212, 596219, 596224]"/>
    <s v="[0.008, 0.015, 0.01, 0.001, 0.003, 0.002]"/>
    <s v="1157.3039275546478"/>
    <s v="[-0.008, -0.015, 0.01, 0.001, 0.003, -0.002]"/>
  </r>
  <r>
    <x v="3609"/>
    <x v="4232"/>
    <x v="0"/>
    <s v="[0, 0, 0, 0, 1, 0, 0, 1, 0, 0, 0]"/>
    <s v="LINESTRING (7.544835399496939 58.069920864296655, 7.546538130090445 58.07002842015551, 7.553569922142685 58.07041251057518, 7.5537052354092635 58.070416848541484, 7.565293042371125 58.070744316958006, 7.567471572003992 58.070924522288976, 7.578113041086992 58.07327681565633, 7.593421074170166 58.08038555587522, 7.595072525997108 58.08078471738699, 7.606299311642952 58.08589614922057, 7.6134531667225565 58.090768908549485, 7.613627885487912 58.09083581463208)"/>
    <s v="[1249563, 1249813, 1249835, 1249836, 1249837, 1249844, 1249514, 1249522, 1249523, 1249712, 1249744]"/>
    <s v="[1168947, 1169128, 1169144, 1169145, 1169146, 1168907, 1168908, 1168914, 1168915, 1169068, 1168652]"/>
    <s v="0.002908867274062345"/>
    <s v="[1168630, 1168947, 1169128, 1169144, 1169145, 1169146, 1168907, 1168908, 1168914, 1168915, 1169068]"/>
    <s v="[0.022, 0.044, 0.021, 0.022, 0.014, 0.047, 0.023, 0.031, 0.016, 0.032, 0.018]"/>
    <s v="4920.962396653894"/>
    <s v="[0.022, -0.044, 0.021, -0.022, 0.014, 0.047, -0.023, 0.031, 0.016, 0.032, 0.018]"/>
  </r>
  <r>
    <x v="3610"/>
    <x v="4233"/>
    <x v="0"/>
    <s v="[0, 0, 0, 1, 0, 0, 1, 0, 0, 0, 0]"/>
    <s v="LINESTRING (7.546563605860493 58.06993509962833, 7.553581029632408 58.070318407865514, 7.553715636606192 58.070322704319565, 7.565315315501615 58.070650779414656, 7.567505699415364 58.07083204062794, 7.578213032622788 58.07319882853663, 7.593494927192399 58.08029980867893, 7.595146544167121 58.080698978985225, 7.60645782498516 58.08585337873652, 7.61355759908984 58.09069259555994, 7.614208641774666 58.09093342290752, 7.614804804410348 58.09113723279924)"/>
    <s v="[1249979, 1249980, 1249987, 1249988, 1249995, 1249865, 1249873, 1249881, 1250014, 1250023, 1250031]"/>
    <s v="[1169271, 1169272, 1169276, 1169277, 1169172, 1169173, 1169182, 1169191, 1169305, 1169311, 1168660]"/>
    <s v="0.00255771567387054"/>
    <s v="[1168633, 1169271, 1169272, 1169276, 1169277, 1169172, 1169173, 1169182, 1169191, 1169305, 1169311]"/>
    <s v="[0.045, 0.004, 0.022, 0.019, 0.046, 0.023, 0.034, 0.017, 0.029, 0.005, 0.021]"/>
    <s v="4940.773615889833"/>
    <s v="[-0.045, 0.004, -0.022, 0.019, 0.046, -0.023, 0.034, 0.017, 0.029, 0.005, 0.021]"/>
  </r>
  <r>
    <x v="3610"/>
    <x v="4234"/>
    <x v="0"/>
    <n v="0"/>
    <m/>
    <n v="1249947"/>
    <n v="1168633"/>
    <s v="0.0"/>
    <n v="1169244"/>
    <s v="0.0"/>
    <s v="61.29010760309512"/>
    <s v="0.0"/>
  </r>
  <r>
    <x v="3610"/>
    <x v="4235"/>
    <x v="0"/>
    <n v="0"/>
    <s v="LINESTRING (7.53329872131412 58.06803085312713, 7.533339162636131 58.068058661743706, 7.53346728460236 58.06814050467164, 7.5335411023661125 58.06817523017104, 7.545902756058299 58.06985176956539, 7.546563605860493 58.06993509962833)"/>
    <s v="[1436560, 1436568, 1436576, 1436584, 1249275]"/>
    <s v="[1306071, 1306079, 1306082, 1168632, 1168633]"/>
    <s v="0.04885226618344962"/>
    <s v="[1169801, 1306071, 1306079, 1306082, 1168632]"/>
    <s v="[0.025, 0.023, 0.024, 0.051, 0.022]"/>
    <s v="817.9211760243498"/>
    <s v="[0.025, 0.023, 0.024, 0.051, 0.022]"/>
  </r>
  <r>
    <x v="3611"/>
    <x v="4236"/>
    <x v="0"/>
    <n v="0"/>
    <s v="LINESTRING (7.613627885487912 58.09083581463208, 7.614109532269914 58.09101173244013, 7.614711794676841 58.091217241465614, 7.621606244946976 58.09321514624301)"/>
    <s v="[1249749, 1249757, 1249765]"/>
    <s v="[1169085, 1169088, 1169091]"/>
    <s v="#FIELD!"/>
    <s v="[1168652, 1169085, 1169088]"/>
    <s v="[0.008, 0.022, 0.05]"/>
    <s v="541.4145369963652"/>
    <s v="[0.008, 0.022, -0.05]"/>
  </r>
  <r>
    <x v="3611"/>
    <x v="4237"/>
    <x v="0"/>
    <n v="0"/>
    <s v="LINESTRING (7.621923556395246 58.093981766297134, 7.621881063931593 58.09395026409733, 7.614156798374867 58.09106576535477, 7.614078874466126 58.09103220447875, 7.613627885487912 58.09083581463208)"/>
    <s v="[1436424, 1436432, 1249289, 1249297]"/>
    <s v="[1305971, 1168643, 1168644, 1168652]"/>
    <s v="0.031040641842278185"/>
    <s v="[1169678, 1305971, 1168643, 1168644]"/>
    <s v="[0.037, 0.035, 0.033, 0.014]"/>
    <s v="607.5294595013056"/>
    <s v="[-0.037, 0.035, -0.033, -0.014]"/>
  </r>
  <r>
    <x v="3612"/>
    <x v="4238"/>
    <x v="0"/>
    <n v="0"/>
    <m/>
    <n v="1250042"/>
    <n v="1169334"/>
    <s v="#FIELD!"/>
    <n v="1168660"/>
    <s v="0.051"/>
    <s v="464.37204725020706"/>
    <s v="#FIELD!"/>
  </r>
  <r>
    <x v="3612"/>
    <x v="4239"/>
    <x v="0"/>
    <n v="0"/>
    <s v="LINESTRING (7.614804804410348 58.09113723279924, 7.615418095686605 58.09129451843562, 7.623112177870457 58.09293216918644, 7.62318673156396 58.092935516499196)"/>
    <s v="[1249303, 1436504, 1436512]"/>
    <s v="[1168661, 1306031, 1169541]"/>
    <s v="#FIELD!"/>
    <s v="[1168660, 1168661, 1306031]"/>
    <s v="[0.019, 0.041, 1.798]"/>
    <s v="536.808901707739"/>
    <s v="[0.019, -0.041, -1.798]"/>
  </r>
  <r>
    <x v="3613"/>
    <x v="4240"/>
    <x v="0"/>
    <n v="0"/>
    <s v="LINESTRING (7.633007975021045 58.09548822427448, 7.632331586442164 58.095502822019036, 7.622695192457049 58.09416929894899, 7.622474528356048 58.09414888299329, 7.622398885343656 58.094144209825316)"/>
    <s v="[1249304, 1436440, 1436448, 1436456]"/>
    <s v="[1168663, 1305981, 1305990, 1169628]"/>
    <s v="#FIELD!"/>
    <s v="[1168662, 1168663, 1305981, 1305990]"/>
    <s v="[0.019, 0.004, 0.044, 0.042]"/>
    <s v="649.0735061885729"/>
    <s v="[-0.019, -0.004, -0.044, -0.042]"/>
  </r>
  <r>
    <x v="3613"/>
    <x v="4241"/>
    <x v="0"/>
    <n v="0"/>
    <s v="LINESTRING (7.621954371117948 58.093323705046366, 7.621954371117948 58.093323705046366, 7.62340485352798 58.0937876101955, 7.633007975021045 58.09548822427448)"/>
    <s v="[1249767, 1249791, 1249801]"/>
    <s v="[1169092, 1169113, 1168662]"/>
    <s v="0.012310615926693629"/>
    <s v="[1169093, 1169092, 1169113]"/>
    <s v="[0.0, 0.017, 0.012]"/>
    <s v="729.4511157357892"/>
    <s v="[0.0, 0.017, 0.012]"/>
  </r>
  <r>
    <x v="3614"/>
    <x v="4242"/>
    <x v="0"/>
    <n v="0"/>
    <s v="LINESTRING (7.62204524180942 58.09324262933196, 7.62204524180942 58.09324262933196, 7.6234978318076685 58.093707197070835, 7.633748252530983 58.09539620027374)"/>
    <s v="[1250059, 1250094, 1250095]"/>
    <s v="[1169349, 1169386, 1168672]"/>
    <s v="0.014815383006881141"/>
    <s v="[1169350, 1169349, 1169386]"/>
    <s v="[0.0, 0.017, 0.015]"/>
    <s v="767.5110101127566"/>
    <s v="[0.0, 0.017, 0.015]"/>
  </r>
  <r>
    <x v="3614"/>
    <x v="4243"/>
    <x v="0"/>
    <n v="0"/>
    <s v="LINESTRING (7.633123573733865 58.095364224377654, 7.633123573733865 58.095364224377654, 7.633748252530983 58.09539620027374)"/>
    <s v="[1436496, 1249311]"/>
    <s v="[1168671, 1168672]"/>
    <s v="0.002"/>
    <s v="[1306026, 1168671]"/>
    <s v="0.002"/>
    <s v="527.7475848978745"/>
    <s v="0.002"/>
  </r>
  <r>
    <x v="3615"/>
    <x v="4240"/>
    <x v="0"/>
    <n v="0"/>
    <m/>
    <n v="1250470"/>
    <n v="1169628"/>
    <s v="0.006"/>
    <n v="1168678"/>
    <s v="0.006"/>
    <s v="17.4358986627053"/>
    <s v="0.006"/>
  </r>
  <r>
    <x v="3615"/>
    <x v="4244"/>
    <x v="0"/>
    <n v="0"/>
    <s v="LINESTRING (7.622446116472337 58.09399541425551, 7.622462752705716 58.09393823485671, 7.622570902313349 58.09374529483009)"/>
    <s v="[1249318, 1249333]"/>
    <s v="[1168679, 1168691]"/>
    <s v="#FIELD!"/>
    <s v="[1168678, 1168679]"/>
    <s v="[0.079, 0.078]"/>
    <s v="28.91514854869787"/>
    <s v="[-0.079, -0.078]"/>
  </r>
  <r>
    <x v="3615"/>
    <x v="4245"/>
    <x v="0"/>
    <n v="0"/>
    <s v="LINESTRING (7.622171234539396 58.09389746704657, 7.622343234827055 58.09392495878187, 7.622446116472337 58.09399541425551)"/>
    <s v="[1250440, 1250447]"/>
    <s v="[1169699, 1168678]"/>
    <s v="0.0186805436732726"/>
    <s v="[1168736, 1169699]"/>
    <s v="[0.02, 0.06]"/>
    <s v="20.555101633456736"/>
    <s v="[-0.02, 0.06]"/>
  </r>
  <r>
    <x v="3616"/>
    <x v="4246"/>
    <x v="0"/>
    <n v="0"/>
    <s v="LINESTRING (7.622570902313349 58.09374529483009, 7.622697362348739 58.0936347370626, 7.622915308436882 58.09344431069202, 7.6230490404329805 58.0933274145316)"/>
    <s v="[1436376, 1436384, 1436392]"/>
    <s v="[1305940, 1305944, 1168793]"/>
    <s v="#FIELD!"/>
    <s v="[1168691, 1305940, 1305944]"/>
    <s v="[0.115, 0.003, 0.379]"/>
    <s v="54.52388229337667"/>
    <s v="[0.115, -0.003, -0.379]"/>
  </r>
  <r>
    <x v="3616"/>
    <x v="4245"/>
    <x v="0"/>
    <n v="0"/>
    <s v="LINESTRING (7.622171234539396 58.09389746704657, 7.622263695198476 58.093867870023175, 7.622570902313349 58.09374529483009)"/>
    <s v="[1249373, 1249375]"/>
    <s v="[1168737, 1168691]"/>
    <s v="#FIELD!"/>
    <s v="[1168736, 1168737]"/>
    <s v="[0.061, 0.065]"/>
    <s v="29.113993092840396"/>
    <s v="[-0.061, -0.065]"/>
  </r>
  <r>
    <x v="3617"/>
    <x v="4237"/>
    <x v="0"/>
    <n v="0"/>
    <m/>
    <n v="1250439"/>
    <n v="1168736"/>
    <s v="0.055"/>
    <n v="1169678"/>
    <s v="0.055"/>
    <s v="18.047142804639293"/>
    <s v="0.055"/>
  </r>
  <r>
    <x v="3618"/>
    <x v="4247"/>
    <x v="0"/>
    <n v="0"/>
    <s v="LINESTRING (7.6230490404329805 58.0933274145316, 7.623339230170894 58.09320312611998, 7.623416979452482 58.093173032791746)"/>
    <s v="[1249423, 1249431]"/>
    <s v="[1168794, 1168805]"/>
    <s v="#FIELD!"/>
    <s v="[1168793, 1168794]"/>
    <s v="[0.068, 0.064]"/>
    <s v="27.745686810527864"/>
    <s v="[-0.068, -0.064]"/>
  </r>
  <r>
    <x v="3618"/>
    <x v="4248"/>
    <x v="0"/>
    <n v="0"/>
    <s v="LINESTRING (7.6230490404329805 58.0933274145316, 7.623140984387281 58.093135424219675, 7.623157175293672 58.09308038250465)"/>
    <s v="[1249439, 1249444]"/>
    <s v="[1168816, 1168823]"/>
    <s v="#FIELD!"/>
    <s v="[1168793, 1168816]"/>
    <s v="[0.077, 0.084]"/>
    <s v="28.319152902445843"/>
    <s v="[-0.077, -0.084]"/>
  </r>
  <r>
    <x v="3619"/>
    <x v="4248"/>
    <x v="0"/>
    <n v="0"/>
    <s v="LINESTRING (7.623416979452482 58.093173032791746, 7.6232650839406135 58.09314859664796, 7.623157175293672 58.09308038250465)"/>
    <s v="[1250354, 1250370]"/>
    <s v="[1169604, 1168823]"/>
    <s v="#FIELD!"/>
    <s v="[1168805, 1169604]"/>
    <s v="[0.798, 0.789]"/>
    <s v="19.310946126256233"/>
    <s v="[0.798, -0.789]"/>
  </r>
  <r>
    <x v="3619"/>
    <x v="4249"/>
    <x v="0"/>
    <n v="0"/>
    <m/>
    <n v="1250346"/>
    <n v="1168805"/>
    <s v="#FIELD!"/>
    <n v="1169582"/>
    <s v="0.446"/>
    <s v="18.04832395029657"/>
    <s v="#FIELD!"/>
  </r>
  <r>
    <x v="3620"/>
    <x v="4239"/>
    <x v="0"/>
    <n v="0"/>
    <m/>
    <n v="1250295"/>
    <n v="1169541"/>
    <s v="#FIELD!"/>
    <n v="1168823"/>
    <s v="0.063"/>
    <s v="16.788786807207103"/>
    <s v="#FIELD!"/>
  </r>
  <r>
    <x v="3621"/>
    <x v="4250"/>
    <x v="0"/>
    <n v="0"/>
    <s v="LINESTRING (7.53286782570805 58.06834174936527, 7.533049696749794 58.06815456966307, 7.533102160865069 58.06811375443847)"/>
    <s v="[1249460, 1249470]"/>
    <s v="[1168842, 1168854]"/>
    <s v="#FIELD!"/>
    <s v="[1168841, 1168842]"/>
    <s v="[0.039, 0.027]"/>
    <s v="29.00645040422906"/>
    <s v="[-0.039, 0.027]"/>
  </r>
  <r>
    <x v="3621"/>
    <x v="4251"/>
    <x v="0"/>
    <n v="0"/>
    <s v="LINESTRING (7.53286782570805 58.06834174936527, 7.5328034300787206 58.06813707834335, 7.532775150063422 58.06809105291875)"/>
    <s v="[1249852, 1249857]"/>
    <s v="[1169156, 1169161]"/>
    <s v="#FIELD!"/>
    <s v="[1168841, 1169156]"/>
    <s v="[0.038, 0.044]"/>
    <s v="28.558092578263842"/>
    <s v="[-0.038, 0.044]"/>
  </r>
  <r>
    <x v="3621"/>
    <x v="4252"/>
    <x v="0"/>
    <n v="0"/>
    <s v="LINESTRING (7.5327265282682365 58.06885517325632, 7.532764619247584 58.06871667964427, 7.532831473705119 58.0684743949547, 7.53286782570805 58.06834174936527)"/>
    <s v="[1436400, 1436408, 1436416]"/>
    <s v="[1305952, 1305958, 1168841]"/>
    <s v="#FIELD!"/>
    <s v="[1168968, 1305952, 1305958]"/>
    <s v="[0.21, 0.066, 0.091]"/>
    <s v="57.90352614929703"/>
    <s v="[-0.21, -0.066, -0.091]"/>
  </r>
  <r>
    <x v="3622"/>
    <x v="4251"/>
    <x v="0"/>
    <n v="0"/>
    <s v="LINESTRING (7.533102160865069 58.06811375443847, 7.532928398915197 58.06812208508971, 7.532775150063422 58.06809105291875)"/>
    <s v="[1250589, 1250608]"/>
    <s v="[1169822, 1169161]"/>
    <s v="0.0059768534981444014"/>
    <s v="[1168854, 1169822]"/>
    <s v="[0.021, 0.01]"/>
    <s v="20.019577186467234"/>
    <s v="[0.021, -0.01]"/>
  </r>
  <r>
    <x v="3622"/>
    <x v="4235"/>
    <x v="0"/>
    <n v="0"/>
    <m/>
    <n v="1250580"/>
    <n v="1168854"/>
    <s v="#FIELD!"/>
    <n v="1169801"/>
    <s v="0.025"/>
    <s v="15.079681542526483"/>
    <s v="#FIELD!"/>
  </r>
  <r>
    <x v="3623"/>
    <x v="4252"/>
    <x v="0"/>
    <n v="0"/>
    <s v="LINESTRING (7.532501595434581 58.06909102492454, 7.532552905244262 58.06904437160241, 7.5327265282682365 58.06885517325632)"/>
    <s v="[1249577, 1249588]"/>
    <s v="[1168958, 1168968]"/>
    <s v="#FIELD!"/>
    <s v="[1168957, 1168958]"/>
    <s v="[0.088, 0.084]"/>
    <s v="29.504400491738025"/>
    <s v="[-0.088, -0.084]"/>
  </r>
  <r>
    <x v="3623"/>
    <x v="4253"/>
    <x v="0"/>
    <n v="0"/>
    <s v="LINESTRING (7.532501595434581 58.06909102492454, 7.532665297859647 58.06907795438495, 7.5328266898925635 58.069121277422624)"/>
    <s v="[1436632, 1436640]"/>
    <s v="[1306109, 1169404]"/>
    <s v="0.04435809556366162"/>
    <s v="[1168957, 1306109]"/>
    <s v="[0.329, 0.386]"/>
    <s v="20.488626317148835"/>
    <s v="[-0.329, 0.386]"/>
  </r>
  <r>
    <x v="3623"/>
    <x v="1353"/>
    <x v="0"/>
    <n v="0"/>
    <s v="LINESTRING (7.532903423061004 58.0691999114357, 7.532543077315293 58.06937080067224, 7.532414271390757 58.06932786545744, 7.532345866228851 58.069255762721724, 7.5323658706594685 58.06916452846878, 7.532501595434581 58.06909102492454)"/>
    <s v="[1436592, 1436600, 1436608, 1436616, 1436624]"/>
    <s v="[1169060, 1306095, 1169463, 1306100, 1168957]"/>
    <s v="0.026650203986150995"/>
    <s v="[1306066, 1169060, 1306095, 1169463, 1306100]"/>
    <s v="[0.02, 0.057, 0.067, 0.067, 0.269]"/>
    <s v="73.59412342434075"/>
    <s v="[0.02, -0.057, -0.067, -0.067, 0.269]"/>
  </r>
  <r>
    <x v="3624"/>
    <x v="4253"/>
    <x v="0"/>
    <n v="0"/>
    <s v="LINESTRING (7.5328266898925635 58.069121277422624, 7.532792510837187 58.06906363438094, 7.5327265282682365 58.06885517325632)"/>
    <s v="[1250116, 1250129]"/>
    <s v="[1169405, 1168968]"/>
    <s v="#FIELD!"/>
    <s v="[1169404, 1169405]"/>
    <s v="[0.122, 0.11]"/>
    <s v="30.331895263411838"/>
    <s v="[-0.122, -0.11]"/>
  </r>
  <r>
    <x v="3625"/>
    <x v="1758"/>
    <x v="0"/>
    <n v="0"/>
    <s v="LINESTRING (7.532775150063422 58.06809105291875, 7.532611742834637 58.06790497860747, 7.532862009171444 58.06773968248956)"/>
    <s v="[1250478, 1250486]"/>
    <s v="[1169730, 1169265]"/>
    <s v="0.03202924256952017"/>
    <s v="[1169161, 1169730]"/>
    <s v="[0.028, 0.09]"/>
    <s v="48.41858442532232"/>
    <s v="[-0.028, 0.09]"/>
  </r>
  <r>
    <x v="3626"/>
    <x v="4235"/>
    <x v="0"/>
    <n v="0"/>
    <s v="LINESTRING (7.533146817294275 58.067749437858765, 7.533277632285041 58.067806285298985, 7.5333431238821 58.06787767486512, 7.533342186891363 58.067977786711474, 7.53329872131412 58.06803085312713)"/>
    <s v="[1250527, 1250535, 1250551, 1250562]"/>
    <s v="[1168944, 1169777, 1169054, 1169801]"/>
    <s v="#FIELD!"/>
    <s v="[1169218, 1168944, 1169777, 1169054]"/>
    <s v="[0.132, 0.022, 0.018, 0.009]"/>
    <s v="36.49163592270788"/>
    <s v="[-0.132, 0.022, 0.018, 0.009]"/>
  </r>
  <r>
    <x v="3626"/>
    <x v="1758"/>
    <x v="0"/>
    <n v="0"/>
    <s v="LINESTRING (7.532862009171444 58.06773968248956, 7.533006190619948 58.06772960840024, 7.533146817294275 58.067749437858765)"/>
    <s v="[1250494, 1250509]"/>
    <s v="[1169746, 1169218]"/>
    <s v="#FIELD!"/>
    <s v="[1169265, 1169746]"/>
    <s v="[0.253, 0.205]"/>
    <s v="17.20607948238697"/>
    <s v="[-0.253, 0.205]"/>
  </r>
  <r>
    <x v="3627"/>
    <x v="1353"/>
    <x v="0"/>
    <n v="0"/>
    <m/>
    <n v="1436648"/>
    <n v="1306066"/>
    <s v="#FIELD!"/>
    <n v="1169404"/>
    <s v="0.291"/>
    <s v="9.87921049533104"/>
    <s v="#FIELD!"/>
  </r>
  <r>
    <x v="3628"/>
    <x v="4254"/>
    <x v="0"/>
    <n v="0"/>
    <s v="LINESTRING (5.382289223593078 59.423453581008815, 5.382289223593078 59.423453581008815, 5.382132017867524 59.423350720677924, 5.381932420039439 59.42317318426076)"/>
    <s v="[1250258, 1250263, 1250271]"/>
    <s v="[1169513, 1169515, 1169472]"/>
    <s v="0.001500521899115361"/>
    <s v="[1169512, 1169513, 1169515]"/>
    <s v="[0.0, 0.012, 0.005]"/>
    <s v="192.7267153178432"/>
    <s v="[0.0, 0.012, 0.005]"/>
  </r>
  <r>
    <x v="3629"/>
    <x v="4249"/>
    <x v="0"/>
    <n v="0"/>
    <s v="LINESTRING (7.62318673156396 58.092935516499196, 7.623477920006018 58.09287448213115, 7.623624671706433 58.092917135794046, 7.623699076557004 58.09299174778944, 7.623670547025358 58.093093941857255)"/>
    <s v="[1250296, 1250311, 1250325, 1250333]"/>
    <s v="[1168783, 1169555, 1168772, 1169582]"/>
    <s v="0.1880414276388583"/>
    <s v="[1169541, 1168783, 1169555, 1168772]"/>
    <s v="[0.022, 0.02, 0.016, 0.849]"/>
    <s v="50.32716515774071"/>
    <s v="[-0.022, -0.02, 0.016, 0.849]"/>
  </r>
  <r>
    <x v="3630"/>
    <x v="4255"/>
    <x v="0"/>
    <n v="0"/>
    <s v="LINESTRING (7.623670547025358 58.093093941857255, 7.623718578377384 58.09312008623144, 7.623871157547445 58.093198652401774, 7.625475005823411 58.09390449855588)"/>
    <s v="[1436464, 1436472, 1436480]"/>
    <s v="[1306004, 1306008, 1306015]"/>
    <s v="0.031634377343649815"/>
    <s v="[1169582, 1306004, 1306008]"/>
    <s v="[0.046, 0.043, 0.03]"/>
    <s v="139.87915687827063"/>
    <s v="[0.046, 0.043, 0.03]"/>
  </r>
  <r>
    <x v="3631"/>
    <x v="4237"/>
    <x v="0"/>
    <n v="0"/>
    <s v="LINESTRING (7.622398885343656 58.094144209825316, 7.622176202186012 58.0941991326144, 7.622010032719548 58.09416962713565, 7.621908782530841 58.09409557905972, 7.621923556395246 58.093981766297134)"/>
    <s v="[1250378, 1250393, 1250399, 1250423]"/>
    <s v="[1168697, 1169645, 1168718, 1169678]"/>
    <s v="#FIELD!"/>
    <s v="[1169628, 1168697, 1169645, 1168718]"/>
    <s v="[0.024, 0.045, 0.039, 0.021]"/>
    <s v="48.420602068514114"/>
    <s v="[-0.024, -0.045, -0.039, -0.021]"/>
  </r>
  <r>
    <x v="3632"/>
    <x v="4256"/>
    <x v="0"/>
    <n v="0"/>
    <s v="LINESTRING (5.59287820173038 59.13808095501475, 5.591477614162879 59.137641085423056, 5.591204240708653 59.137557089628864, 5.590826690101469 59.13743928319397, 5.5906732337230505 59.137392741451)"/>
    <s v="[2103164, 2103165, 2103171, 2103177]"/>
    <s v="[1238213, 1817666, 1817671, 1817674]"/>
    <s v="0.028735195656506035"/>
    <s v="[1170291, 1238213, 1817666, 1817671]"/>
    <s v="[0.076, 0.051, 0.052, 0.064]"/>
    <s v="148.14811493907908"/>
    <s v="[0.076, -0.051, -0.052, -0.064]"/>
  </r>
  <r>
    <x v="3633"/>
    <x v="2434"/>
    <x v="0"/>
    <n v="0"/>
    <s v="LINESTRING (10.856264636066568 63.50641606704273, 10.856303696550697 63.50651850223461, 10.856253140255617 63.50657151011479, 10.856137048032648 63.50661713660551, 10.855902465248771 63.50662787000939)"/>
    <s v="[1251165, 1251173, 1251181, 1251189]"/>
    <s v="[1170384, 1170390, 1170395, 1170401]"/>
    <s v="0.05027543180645457"/>
    <s v="[1170383, 1170384, 1170390, 1170395]"/>
    <s v="[0.037, 0.079, 0.075, 0.032]"/>
    <s v="37.861903634369874"/>
    <s v="[0.037, 0.079, 0.075, 0.032]"/>
  </r>
  <r>
    <x v="3633"/>
    <x v="2432"/>
    <x v="0"/>
    <n v="0"/>
    <s v="LINESTRING (10.856023707130182 63.50634715572657, 10.856174162227802 63.50637254747102, 10.856264636066568 63.50641606704273)"/>
    <s v="[1251230, 1251238]"/>
    <s v="[1170433, 1170383]"/>
    <s v="#FIELD!"/>
    <s v="[1170429, 1170433]"/>
    <s v="[0.02, 0.01]"/>
    <s v="14.630516845723374"/>
    <s v="[-0.02, -0.01]"/>
  </r>
  <r>
    <x v="3634"/>
    <x v="2435"/>
    <x v="0"/>
    <n v="0"/>
    <s v="LINESTRING (10.855902465248771 63.50662787000939, 10.855806970633477 63.506607845347375, 10.855713246261177 63.506563152667454)"/>
    <s v="[1251197, 1251205]"/>
    <s v="[1170406, 1170414]"/>
    <s v="#FIELD!"/>
    <s v="[1170401, 1170406]"/>
    <s v="[0.013, 0.047]"/>
    <s v="12.080527861944622"/>
    <s v="[-0.013, -0.047]"/>
  </r>
  <r>
    <x v="3635"/>
    <x v="2432"/>
    <x v="0"/>
    <n v="0"/>
    <s v="LINESTRING (10.855713246261177 63.506563152667454, 10.855725294182703 63.50640808512051, 10.856023707130182 63.50634715572657)"/>
    <s v="[1251213, 1251222]"/>
    <s v="[1170422, 1170429]"/>
    <s v="#FIELD!"/>
    <s v="[1170414, 1170422]"/>
    <s v="[0.049, 0.024]"/>
    <s v="34.973178622317945"/>
    <s v="[-0.049, -0.024]"/>
  </r>
  <r>
    <x v="3636"/>
    <x v="828"/>
    <x v="0"/>
    <n v="0"/>
    <m/>
    <n v="1251258"/>
    <n v="1170457"/>
    <s v="0.037"/>
    <n v="1170456"/>
    <s v="0.037"/>
    <s v="58.37597494003542"/>
    <s v="0.037"/>
  </r>
  <r>
    <x v="3636"/>
    <x v="4257"/>
    <x v="0"/>
    <n v="0"/>
    <s v="LINESTRING (17.524715137069357 68.48519679738695, 17.524578964216573 68.48522101644346, 17.52440649901524 68.4852246004082)"/>
    <s v="[1251330, 1251338]"/>
    <s v="[1170505, 1170463]"/>
    <s v="#FIELD!"/>
    <s v="[1170456, 1170505]"/>
    <s v="[0.034, 0.049]"/>
    <s v="13.264667104101715"/>
    <s v="[-0.034, -0.049]"/>
  </r>
  <r>
    <x v="3636"/>
    <x v="4258"/>
    <x v="0"/>
    <n v="0"/>
    <m/>
    <n v="1251322"/>
    <n v="1170456"/>
    <s v="0.008"/>
    <n v="1170496"/>
    <s v="0.008"/>
    <s v="13.779812668468816"/>
    <s v="0.008"/>
  </r>
  <r>
    <x v="3637"/>
    <x v="4257"/>
    <x v="0"/>
    <n v="0"/>
    <m/>
    <n v="1251266"/>
    <n v="1170457"/>
    <s v="0.047"/>
    <n v="1170463"/>
    <s v="0.047"/>
    <s v="57.71547386356191"/>
    <s v="0.047"/>
  </r>
  <r>
    <x v="3638"/>
    <x v="4259"/>
    <x v="0"/>
    <n v="0"/>
    <m/>
    <n v="1251346"/>
    <n v="1170475"/>
    <s v="#FIELD!"/>
    <n v="1170463"/>
    <s v="0.033"/>
    <s v="36.087868915944625"/>
    <s v="#FIELD!"/>
  </r>
  <r>
    <x v="3639"/>
    <x v="4259"/>
    <x v="0"/>
    <n v="0"/>
    <m/>
    <n v="1251282"/>
    <n v="1170475"/>
    <s v="0.033"/>
    <n v="1170474"/>
    <s v="0.033"/>
    <s v="60.54189762368691"/>
    <s v="0.033"/>
  </r>
  <r>
    <x v="3639"/>
    <x v="4260"/>
    <x v="0"/>
    <n v="0"/>
    <m/>
    <n v="1251290"/>
    <n v="1170478"/>
    <s v="0.039"/>
    <n v="1170474"/>
    <s v="0.039"/>
    <s v="60.73606107035184"/>
    <s v="0.039"/>
  </r>
  <r>
    <x v="3640"/>
    <x v="4260"/>
    <x v="0"/>
    <n v="0"/>
    <s v="LINESTRING (17.524196993114316 68.48497106483279, 17.52435482427471 68.48493718581973, 17.52449688350711 68.48493064912816)"/>
    <s v="[1251354, 1251362]"/>
    <s v="[1170516, 1170478]"/>
    <s v="0.02802666049335188"/>
    <s v="[1170475, 1170516]"/>
    <s v="[0.021, 0.037]"/>
    <s v="13.344650330516863"/>
    <s v="[0.021, 0.037]"/>
  </r>
  <r>
    <x v="3641"/>
    <x v="4261"/>
    <x v="0"/>
    <n v="0"/>
    <m/>
    <n v="1251298"/>
    <n v="1170484"/>
    <s v="0.051"/>
    <n v="1170478"/>
    <s v="0.051"/>
    <s v="14.186768871132696"/>
    <s v="0.051"/>
  </r>
  <r>
    <x v="3642"/>
    <x v="4258"/>
    <x v="0"/>
    <n v="0"/>
    <s v="LINESTRING (17.524796529034262 68.48498869415977, 17.52486482456455 68.48503972171078, 17.52487697884428 68.48509159466232)"/>
    <s v="[1251306, 1251314]"/>
    <s v="[1170490, 1170496]"/>
    <s v="0.04365388711367455"/>
    <s v="[1170484, 1170490]"/>
    <s v="[0.047, 0.04]"/>
    <s v="12.145666930485572"/>
    <s v="[0.047, 0.04]"/>
  </r>
  <r>
    <x v="3642"/>
    <x v="4262"/>
    <x v="0"/>
    <n v="0"/>
    <s v="LINESTRING (17.525500083838626 68.4849788163569, 17.52488655842023 68.48498566008978, 17.524796529034262 68.48498869415977)"/>
    <s v="[2076894, 2076902]"/>
    <s v="[1801664, 1170484]"/>
    <s v="#FIELD!"/>
    <s v="[1801659, 1801664]"/>
    <s v="[0.04, 0.042]"/>
    <s v="28.826146334079223"/>
    <s v="[-0.04, -0.042]"/>
  </r>
  <r>
    <x v="3643"/>
    <x v="4262"/>
    <x v="0"/>
    <n v="0"/>
    <s v="LINESTRING (17.525500083838626 68.4849788163569, 17.524969722721867 68.48507652884982, 17.52487697884428 68.48509159466232)"/>
    <s v="[2076910, 2076918]"/>
    <s v="[1801672, 1170496]"/>
    <s v="#FIELD!"/>
    <s v="[1801659, 1801672]"/>
    <s v="[0.021, 0.031]"/>
    <s v="28.442009133763474"/>
    <s v="[-0.021, -0.031]"/>
  </r>
  <r>
    <x v="3644"/>
    <x v="961"/>
    <x v="0"/>
    <n v="0"/>
    <m/>
    <n v="1255033"/>
    <n v="1173462"/>
    <s v="0.009"/>
    <n v="1173457"/>
    <s v="0.009"/>
    <s v="9.262790184031378"/>
    <s v="0.009"/>
  </r>
  <r>
    <x v="3645"/>
    <x v="1150"/>
    <x v="0"/>
    <n v="0"/>
    <s v="LINESTRING (10.99360203512375 60.85479603940926, 10.993614714672454 60.85489773130339, 10.993551008730943 60.85494811424196, 10.993469775634987 60.85498366258688, 10.993246224729493 60.855001353540764, 10.993140374078108 60.85497985576634, 10.993056632906525 60.854940768703294, 10.993050910455985 60.854767456883884)"/>
    <s v="[1256123, 1256124, 1256131, 1256139, 1256152, 1256102, 1256106]"/>
    <s v="[356120, 1174413, 356235, 1174425, 1174399, 1174400, 1174216]"/>
    <s v="#FIELD!"/>
    <s v="[1174214, 356120, 1174413, 356235, 1174425, 1174399, 1174400]"/>
    <s v="[0.046, 0.033, 0.016, 0.005, 0.028, 0.039, 0.04]"/>
    <s v="69.17153596699995"/>
    <s v="[0.046, 0.033, 0.016, -0.005, -0.028, -0.039, -0.04]"/>
  </r>
  <r>
    <x v="3646"/>
    <x v="1152"/>
    <x v="0"/>
    <n v="0"/>
    <s v="LINESTRING (10.99348223394253 60.853522044682116, 10.993626861475223 60.8533915154665, 10.993837526365422 60.853369214467264, 10.99392912213521 60.85338237555152, 10.994021919401517 60.85341534968461, 10.994096229212007 60.85356050254033)"/>
    <s v="[1255994, 1256014, 1256029, 1256038, 1256050]"/>
    <s v="[1174303, 1174326, 1174343, 355703, 1174245]"/>
    <s v="0.001520231215823553"/>
    <s v="[1174239, 1174303, 1174326, 1174343, 355703]"/>
    <s v="[0.041, 0.014, 0.005, 0.03, 0.043]"/>
    <s v="57.65514118985402"/>
    <s v="[-0.041, -0.014, 0.005, 0.03, 0.043]"/>
  </r>
  <r>
    <x v="3647"/>
    <x v="1144"/>
    <x v="0"/>
    <n v="0"/>
    <s v="LINESTRING (10.926330619176529 60.880634152270815, 10.926545218686414 60.88081263937678, 10.926415620165798 60.88093492960571, 10.926164388680887 60.88097693594421, 10.925960195071983 60.880942334807195, 10.925839015105426 60.88086718876453, 10.925834979447862 60.8807355420087)"/>
    <s v="[1256672, 1256673, 1256681, 1256695, 1256703, 1256706]"/>
    <s v="[1174569, 359686, 1174797, 359672, 1174479, 1174617]"/>
    <s v="0.0008879492686066969"/>
    <s v="[1174604, 1174569, 359686, 1174797, 359672, 1174479]"/>
    <s v="[0.011, 0.013, 0.006, 0.006, 0.017, 0.015]"/>
    <s v="91.86328873919075"/>
    <s v="[0.011, 0.013, 0.006, -0.006, -0.017, -0.015]"/>
  </r>
  <r>
    <x v="3648"/>
    <x v="1149"/>
    <x v="0"/>
    <n v="0"/>
    <s v="LINESTRING (10.925010186917921 60.87975692277197, 10.925216773784333 60.87950142630845, 10.925330195186655 60.879511609363966, 10.9254180634695 60.879535581103816, 10.925517793318932 60.87962122469545)"/>
    <s v="[1256534, 1256549, 1256571, 1256579]"/>
    <s v="[356322, 1174693, 356338, 1174636]"/>
    <s v="0.004656829729256578"/>
    <s v="[1174631, 356322, 1174693, 356338]"/>
    <s v="[0.003, 0.017, 0.02, 0.017]"/>
    <s v="61.46381397228775"/>
    <s v="[-0.003, 0.017, 0.02, 0.017]"/>
  </r>
  <r>
    <x v="3649"/>
    <x v="4263"/>
    <x v="0"/>
    <n v="0"/>
    <s v="LINESTRING (10.256856022093242 59.76606463426976, 10.256877847219352 59.76612726272696, 10.25690454298751 59.76620418014256, 10.257048973912864 59.766652504501316, 10.257210799626616 59.767043459007944, 10.258328941150012 59.76798014012928, 10.2599856712367 59.76901501210473, 10.260136409892608 59.76914708712924)"/>
    <s v="[1634850, 1634852, 1634880, 1634885, 1634886, 1257918, 1257913]"/>
    <s v="[1461642, 1461643, 1461666, 1461673, 1175798, 1175794, 1175795]"/>
    <s v="#FIELD!"/>
    <s v="[1262925, 1461642, 1461643, 1461666, 1461673, 1175798, 1175794]"/>
    <s v="[0.187, 0.011, 0.014, 0.009, 0.019, 0.008, 0.006]"/>
    <s v="398.8450058875001"/>
    <s v="[-0.187, -0.011, -0.014, -0.009, 0.019, -0.008, -0.006]"/>
  </r>
  <r>
    <x v="3650"/>
    <x v="1202"/>
    <x v="0"/>
    <n v="0"/>
    <s v="LINESTRING (5.277239860028919 59.354505350109925, 5.27731975559362 59.35457828551048, 5.277310991484667 59.35464545169192, 5.277239623830925 59.354702479540656, 5.277186177558788 59.354721969504936)"/>
    <s v="[1259169, 1259177, 1259178, 1259179]"/>
    <s v="[1176908, 1176915, 1176916, 1176917]"/>
    <s v="#FIELD!"/>
    <s v="[1176907, 1176908, 1176915, 1176916]"/>
    <s v="[0.024, 0.016, 0.0, 0.007]"/>
    <s v="28.17745579112304"/>
    <s v="[-0.024, -0.016, -0.0, 0.007]"/>
  </r>
  <r>
    <x v="3650"/>
    <x v="1201"/>
    <x v="0"/>
    <n v="0"/>
    <s v="LINESTRING (5.276962313907422 59.35447903225642, 5.277103331603609 59.354470122374416, 5.277239860028919 59.354505350109925)"/>
    <s v="[1259231, 1259243]"/>
    <s v="[1176962, 1176907]"/>
    <s v="#FIELD!"/>
    <s v="[1176953, 1176962]"/>
    <s v="[0.018, 0.027]"/>
    <s v="16.840087756931688"/>
    <s v="[-0.018, -0.027]"/>
  </r>
  <r>
    <x v="3651"/>
    <x v="1203"/>
    <x v="0"/>
    <n v="0"/>
    <s v="LINESTRING (5.277186177558788 59.354721969504936, 5.277008050335249 59.354734696932326, 5.2768618273569095 59.354692128461444)"/>
    <s v="[1259187, 1259188]"/>
    <s v="[1176925, 1176926]"/>
    <s v="0.023875809907456323"/>
    <s v="[1176917, 1176925]"/>
    <s v="[0.021, 0.027]"/>
    <s v="20.0424581672672"/>
    <s v="[0.021, 0.027]"/>
  </r>
  <r>
    <x v="3652"/>
    <x v="1201"/>
    <x v="0"/>
    <n v="0"/>
    <s v="LINESTRING (5.2768618273569095 59.354692128461444, 5.276824169133393 59.35466306771934, 5.276795765862444 59.354595816773326, 5.2768352213133145 59.354532769570575, 5.276962313907422 59.35447903225642)"/>
    <s v="[1259192, 1259213, 1259221, 1259222]"/>
    <s v="[1176930, 1176947, 1176952, 1176953]"/>
    <s v="0.00811556511526687"/>
    <s v="[1176926, 1176930, 1176947, 1176952]"/>
    <s v="[0.025, 0.016, 0.009, 0.006]"/>
    <s v="28.399981317413033"/>
    <s v="[0.025, 0.016, 0.009, -0.006]"/>
  </r>
  <r>
    <x v="3653"/>
    <x v="4264"/>
    <x v="0"/>
    <n v="0"/>
    <s v="LINESTRING (5.305540015513598 59.3804719593555, 5.305588604246798 59.380496475615466, 5.305648874292541 59.38059172632842, 5.3056058493848814 59.380660220161595, 5.305575280909056 59.3806808696517)"/>
    <s v="[1259343, 1259344, 1259352, 1259353]"/>
    <s v="[1177042, 1177043, 1177049, 1177050]"/>
    <s v="0.006986441507354206"/>
    <s v="[1177041, 1177042, 1177043, 1177049]"/>
    <s v="[0.029, 0.014, 0.005, 0.017]"/>
    <s v="26.227956441576435"/>
    <s v="[0.029, 0.014, -0.005, -0.017]"/>
  </r>
  <r>
    <x v="3653"/>
    <x v="1215"/>
    <x v="0"/>
    <n v="0"/>
    <s v="LINESTRING (5.305143281918701 59.3804996503552, 5.3053151293851615 59.38044460916167, 5.305540015513598 59.3804719593555)"/>
    <s v="[1259418, 1259428]"/>
    <s v="[1177105, 1177041]"/>
    <s v="0.030672530472719364"/>
    <s v="[1177085, 1177105]"/>
    <s v="[0.028, 0.033]"/>
    <s v="25.3022751776201"/>
    <s v="[0.028, 0.033]"/>
  </r>
  <r>
    <x v="3654"/>
    <x v="4265"/>
    <x v="0"/>
    <n v="0"/>
    <s v="LINESTRING (5.305575280909056 59.3806808696517, 5.305409251843855 59.380725803379285, 5.305201822796094 59.3806993736973)"/>
    <s v="[1259354, 1259389]"/>
    <s v="[1177051, 1177077]"/>
    <s v="#FIELD!"/>
    <s v="[1177050, 1177051]"/>
    <s v="[0.029, 0.034]"/>
    <s v="23.156808188351505"/>
    <s v="[-0.029, -0.034]"/>
  </r>
  <r>
    <x v="3654"/>
    <x v="4266"/>
    <x v="0"/>
    <n v="0"/>
    <s v="LINESTRING (5.305575280909056 59.3806808696517, 5.305585282649325 59.38075011263908, 5.305561445671132 59.381281870001715, 5.305532802376779 59.381971160266815, 5.305529095643477 59.382009858183295, 5.305527214118937 59.38202807463657, 5.305522266671541 59.382057545912495, 5.304847246307167 59.38372173804259, 5.3046073201411925 59.38412935690054, 5.304481147865135 59.38449787844474, 5.304494956249273 59.38460679922601)"/>
    <s v="[1370640, 1370648, 1370656, 1370664, 1370672, 1370680, 1370688, 1343141, 1343143, 1343147]"/>
    <s v="[1263797, 1263803, 1263808, 1263814, 1263820, 1263825, 1245551, 1245552, 1245553, 1245557]"/>
    <s v="#FIELD!"/>
    <s v="[1177050, 1263797, 1263803, 1263808, 1263814, 1263820, 1263825, 1245551, 1245552, 1245553]"/>
    <s v="[0.175, 0.002, 0.004, 0.005, 0.004, 0.006, 0.007, 0.003, 0.002, 0.004]"/>
    <s v="446.10881219790053"/>
    <s v="[0.175, 0.002, -0.004, -0.005, -0.004, -0.006, -0.007, -0.003, 0.002, 0.004]"/>
  </r>
  <r>
    <x v="3655"/>
    <x v="1215"/>
    <x v="0"/>
    <n v="0"/>
    <m/>
    <n v="1259397"/>
    <n v="1177085"/>
    <s v="#FIELD!"/>
    <n v="1177077"/>
    <s v="0.009"/>
    <s v="24.716518187183944"/>
    <s v="#FIELD!"/>
  </r>
  <r>
    <x v="3655"/>
    <x v="4267"/>
    <x v="0"/>
    <n v="0"/>
    <s v="LINESTRING (5.305201822796094 59.3806993736973, 5.305257979102234 59.38077057779202, 5.305416070417371 59.3812881473087, 5.305421123970455 59.38199027448196, 5.305417401253545 59.382021646254145, 5.304735761373862 59.38370264105313, 5.304508848899273 59.38406989966926, 5.304209122123568 59.384466891963505, 5.304146635736149 59.38453301249124)"/>
    <s v="[2024068, 2024069, 2024070, 2024071, 2024076, 1343149, 1343151, 1343153]"/>
    <s v="[1767616, 1767617, 1767618, 1767619, 1245558, 1245559, 1245561, 1245563]"/>
    <s v="0.0007014324118931868"/>
    <s v="[1177077, 1767616, 1767617, 1767618, 1767619, 1245558, 1245559, 1245561]"/>
    <s v="[0.224, 0.004, 0.004, 0.004, 0.007, 0.004, 0.0, 0.0]"/>
    <s v="440.7823891224782"/>
    <s v="[0.224, 0.004, -0.004, -0.004, -0.007, -0.004, 0.0, 0.0]"/>
  </r>
  <r>
    <x v="3656"/>
    <x v="4268"/>
    <x v="0"/>
    <n v="0"/>
    <s v="LINESTRING (5.295154170871609 59.39716297876318, 5.295297566628998 59.39716381369255, 5.295443230217027 59.3972274436775)"/>
    <s v="[1259579, 1259580]"/>
    <s v="[1177240, 1177168]"/>
    <s v="0.009422581637186896"/>
    <s v="[1177213, 1177240]"/>
    <s v="[0.01, 0.009]"/>
    <s v="19.343200256153274"/>
    <s v="[0.01, 0.009]"/>
  </r>
  <r>
    <x v="3656"/>
    <x v="1216"/>
    <x v="0"/>
    <n v="0"/>
    <s v="LINESTRING (5.298703953231281 59.39197640668225, 5.298062973338138 59.39277700236532, 5.297881192436287 59.393015349982825, 5.296258337133748 59.395703879518265, 5.2955844497068405 59.39672711522551, 5.295441078679507 59.39706527112849, 5.2954371404163485 59.39712757334131, 5.295439150548848 59.397153416301784, 5.295443230217027 59.3972274436775)"/>
    <s v="[1370800, 1370808, 1370816, 1370824, 1370832, 1370840, 1370848, 1370856]"/>
    <s v="[1263915, 1263922, 1263926, 1263932, 1263938, 1263944, 1263949, 1177168]"/>
    <s v="#FIELD!"/>
    <s v="[1263909, 1263915, 1263922, 1263926, 1263932, 1263938, 1263944, 1263949]"/>
    <s v="[0.0, 0.007, 0.0, 0.007, 0.004, 0.003, 0.002, 0.033]"/>
    <s v="617.2871079321905"/>
    <s v="[0.0, 0.007, 0.0, -0.007, -0.004, -0.003, -0.002, -0.033]"/>
  </r>
  <r>
    <x v="3657"/>
    <x v="4268"/>
    <x v="0"/>
    <n v="0"/>
    <s v="LINESTRING (5.295408072563812 59.39736706495291, 5.295257694913376 59.39740866184843, 5.29513760103452 59.397401554744675, 5.295000197020324 59.397337323616526, 5.294979191319764 59.39730203320382, 5.294983897521933 59.39725157205985, 5.295066893577552 59.39718581771272, 5.295154170871609 59.39716297876318)"/>
    <s v="[1259518, 1259524, 1259532, 1259540, 1259549, 1259550, 1259555]"/>
    <s v="[1177180, 1177184, 1177192, 1177198, 1177207, 1177208, 1177213]"/>
    <s v="#FIELD!"/>
    <s v="[1177175, 1177180, 1177184, 1177192, 1177198, 1177207, 1177208]"/>
    <s v="[0.005, 0.008, 0.009, 0.008, 0.005, 0.002, 0.005]"/>
    <s v="51.58841059183917"/>
    <s v="[-0.005, -0.008, -0.009, -0.008, -0.005, 0.002, 0.005]"/>
  </r>
  <r>
    <x v="3658"/>
    <x v="1217"/>
    <x v="0"/>
    <n v="0"/>
    <s v="LINESTRING (5.29857356377392 59.391908255859605, 5.297941478335983 59.39275397525836, 5.297771931055652 59.39300055693713, 5.2961599294344595 59.39569599537869, 5.295482611398049 59.39672060097937, 5.295264697938695 59.39702924148526, 5.295231570447584 59.397073852268406, 5.295202212626236 59.3971046655814, 5.295154170871609 59.39716297876318)"/>
    <s v="[2024084, 2024087, 2024088, 2024089, 2024097, 2024098, 2024099, 2024100]"/>
    <s v="[1767628, 1767632, 1767633, 1767634, 1767641, 1767642, 1767643, 1177213]"/>
    <s v="#FIELD!"/>
    <s v="[1767627, 1767628, 1767632, 1767633, 1767634, 1767641, 1767642, 1767643]"/>
    <s v="[0.001, 0.007, 0.001, 0.007, 0.005, 0.005, 0.006, 0.055]"/>
    <s v="619.1993040230072"/>
    <s v="[0.001, 0.007, 0.001, -0.007, -0.005, -0.005, -0.006, -0.055]"/>
  </r>
  <r>
    <x v="3659"/>
    <x v="4269"/>
    <x v="0"/>
    <n v="0"/>
    <s v="LINESTRING (11.684159168158748 59.47902605993452, 11.684159168158748 59.47902605993452, 11.678253886543782 59.47858529190913, 11.678029413450771 59.478563135184636)"/>
    <s v="[1267185, 1267192, 1338367]"/>
    <s v="[1183681, 1183687, 1241691]"/>
    <s v="0.001405069035430078"/>
    <s v="[1183680, 1183681, 1183687]"/>
    <s v="[0.0, 0.004, 0.071]"/>
    <s v="379.64885293688286"/>
    <s v="[0.0, 0.004, -0.071]"/>
  </r>
  <r>
    <x v="3660"/>
    <x v="4270"/>
    <x v="0"/>
    <n v="0"/>
    <s v="LINESTRING (5.334296866307908 60.47593954990684, 5.334081250419967 60.47583901141594, 5.333288014537905 60.47509253468881, 5.3331971934959 60.475005023075035, 5.3313339012786685 60.47440393560584, 5.331287663594492 60.47438991447225)"/>
    <s v="[1267231, 1267225, 2043407, 2043415, 2043423]"/>
    <s v="[1183723, 1183724, 1780806, 1780813, 1780818]"/>
    <s v="#FIELD!"/>
    <s v="[1183730, 1183723, 1183724, 1780806, 1780813]"/>
    <s v="[0.012, 0.002, 0.626, 0.03, 0.027]"/>
    <s v="249.79833880890652"/>
    <s v="[0.012, 0.002, -0.626, 0.03, 0.027]"/>
  </r>
  <r>
    <x v="3660"/>
    <x v="4271"/>
    <x v="0"/>
    <n v="0"/>
    <s v="LINESTRING (5.334296866307908 60.47593954990684, 5.334514053552855 60.47609900777563, 5.33808409852956 60.47747593789967, 5.338101280962934 60.477479627519415, 5.346586891027229 60.47724493411912, 5.348291415310068 60.4769136721662)"/>
    <s v="[2020975, 2020983, 2020991, 2020999, 2021007]"/>
    <s v="[1765508, 1765516, 1765522, 1765527, 1590005]"/>
    <s v="#FIELD!"/>
    <s v="[1183730, 1765508, 1765516, 1765522, 1765527]"/>
    <s v="[0.343, 0.005, 0.015, 0.013, 0.01]"/>
    <s v="855.8243252002874"/>
    <s v="[-0.343, -0.005, -0.015, 0.013, -0.01]"/>
  </r>
  <r>
    <x v="3660"/>
    <x v="4272"/>
    <x v="395"/>
    <n v="0"/>
    <s v="LINESTRING (5.330603220127813 60.47219670799811, 5.330824519738224 60.47237467459673, 5.330833310478924 60.472382500110605, 5.33118154688556 60.47270487807298, 5.332759130424253 60.4743238473592, 5.33349794487979 60.475222237734584, 5.333730321038341 60.47546156784076, 5.334294783038315 60.47593800450214, 5.334296866307908 60.47593954990684)"/>
    <s v="[2020919, 2020927, 2020935, 2043109, 2020943, 2020951, 2020959, 2020967]"/>
    <s v="[1765460, 1765466, 1765472, 1765477, 1765478, 1765486, 1765492, 1183730]"/>
    <s v="0.008985380834441298"/>
    <s v="[1765453, 1765460, 1765466, 1765472, 1765477, 1765478, 1765486, 1765492]"/>
    <s v="[0.004, 0.002, 0.004, 0.009, 0.007, 0.011, 0.001, 35.69]"/>
    <s v="466.23573788242476"/>
    <s v="[-0.004, -0.002, -0.004, -0.009, -0.007, -0.011, -0.001, 35.69]"/>
  </r>
  <r>
    <x v="3661"/>
    <x v="4273"/>
    <x v="0"/>
    <n v="0"/>
    <s v="LINESTRING (5.334742631599515 60.47606623113509, 5.334750208465924 60.47607096439585, 5.33825887541071 60.47738411590195, 5.338275857231003 60.47738737474044, 5.346534930645517 60.477142652435646)"/>
    <s v="[1999186, 1999194, 1999205, 1999218]"/>
    <s v="[1752886, 1752891, 1752897, 1183897]"/>
    <s v="#FIELD!"/>
    <s v="[1183878, 1752886, 1752891, 1752897]"/>
    <s v="[10.884, 0.05, 0.074, 0.02]"/>
    <s v="713.611349771595"/>
    <s v="[-10.884, 0.05, 0.074, -0.02]"/>
  </r>
  <r>
    <x v="3661"/>
    <x v="4274"/>
    <x v="396"/>
    <n v="0"/>
    <s v="LINESTRING (5.331377326081296 60.47266312292471, 5.332942641569982 60.47430997472308, 5.333703865734245 60.47517469861909, 5.333940499272125 60.47541688154084, 5.334540986525978 60.47591286754686, 5.334742631599515 60.47606623113509)"/>
    <s v="[2043143, 1999154, 1999162, 1999176, 1999177]"/>
    <s v="[1752872, 1752873, 1752877, 1752880, 1183878]"/>
    <s v="0.007822946740079783"/>
    <s v="[1761962, 1752872, 1752873, 1752877, 1752880]"/>
    <s v="[0.021, 0.003, 0.019, 0.007, 0.35]"/>
    <s v="423.8663907512805"/>
    <s v="[-0.021, 0.003, 0.019, -0.007, 0.35]"/>
  </r>
  <r>
    <x v="3661"/>
    <x v="4275"/>
    <x v="0"/>
    <n v="0"/>
    <s v="LINESTRING (5.333959124824814 60.47391568492936, 5.3339984231007955 60.47399548292823, 5.333533002740405 60.474474549087994, 5.333569950783858 60.47489326465177, 5.333815738905279 60.47520327158578, 5.334705731366021 60.475961769988984, 5.334742631599515 60.47606623113509)"/>
    <s v="[2043204, 2043215, 2043216, 2043230, 1267223, 1267373]"/>
    <s v="[1780662, 1780667, 1780668, 1183719, 1183720, 1183878]"/>
    <s v="0.03249361120514677"/>
    <s v="[1780661, 1780662, 1780667, 1780668, 1183719, 1183720]"/>
    <s v="[0.002, 0.018, 0.008, 0.202, 0.004, 0.003]"/>
    <s v="265.5967727294195"/>
    <s v="[-0.002, 0.018, 0.008, 0.202, -0.004, 0.003]"/>
  </r>
  <r>
    <x v="3662"/>
    <x v="4276"/>
    <x v="397"/>
    <n v="0"/>
    <s v="LINESTRING (5.346534930645517 60.477142652435646, 5.3466021627346185 60.47711718987408, 5.348367296687954 60.476768157971925, 5.35185510473159 60.4765164512391, 5.352244813676613 60.4764002176475, 5.352389877923785 60.47635765922908)"/>
    <s v="[1267392, 1267383, 1803608, 1803615, 1803626]"/>
    <s v="[1183886, 1183887, 1589649, 1589655, 1589663]"/>
    <s v="0.04215224377667572"/>
    <s v="[1183897, 1183886, 1183887, 1589649, 1589655]"/>
    <s v="[0.01, 0.01, 0.051, 0.093, 0.098]"/>
    <s v="339.15495645777304"/>
    <s v="[0.01, 0.01, 0.051, 0.093, 0.098]"/>
  </r>
  <r>
    <x v="3662"/>
    <x v="4277"/>
    <x v="0"/>
    <s v="[0, 0, 1, 1, 0]"/>
    <s v="LINESTRING (5.346534930645517 60.477142652435646, 5.348197737402654 60.476822708176954, 5.3484270462879095 60.47682681219321, 5.353191013451335 60.47698185712963, 5.355664672716965 60.4776704741367, 5.3560158604443115 60.477763808420185)"/>
    <s v="[1999225, 1803982, 1803759, 1803767, 1803788]"/>
    <s v="[1589992, 1589790, 1589791, 1589800, 1589818]"/>
    <s v="0.06272825416915888"/>
    <s v="[1183897, 1589992, 1589790, 1589791, 1589800]"/>
    <s v="[0.01, 0.006, 0.064, 0.093, 0.1]"/>
    <s v="562.2385523080138"/>
    <s v="[0.01, 0.006, 0.064, 0.093, 0.1]"/>
  </r>
  <r>
    <x v="3663"/>
    <x v="2278"/>
    <x v="0"/>
    <n v="0"/>
    <m/>
    <n v="1267801"/>
    <n v="1183932"/>
    <s v="#FIELD!"/>
    <n v="1184086"/>
    <s v="0.007"/>
    <s v="8.646878049221653"/>
    <s v="#FIELD!"/>
  </r>
  <r>
    <x v="3664"/>
    <x v="4278"/>
    <x v="0"/>
    <n v="0"/>
    <m/>
    <n v="1267673"/>
    <n v="1184099"/>
    <s v="#FIELD!"/>
    <n v="1184086"/>
    <s v="0.007"/>
    <s v="3.514847649374219"/>
    <s v="#FIELD!"/>
  </r>
  <r>
    <x v="3665"/>
    <x v="4279"/>
    <x v="0"/>
    <s v="[0, 0, 0, 0, 0, 0, 1, 0, 0]"/>
    <s v="LINESTRING (13.412487355627096 65.43555406646796, 13.413232479510203 65.43691631615935, 13.413262476882062 65.43698076260688, 13.413495802125126 65.43750160399448, 13.413525386484869 65.4375707576664, 13.413552760642945 65.43763581372988, 13.41367552722068 65.43793548540127, 13.413696444012789 65.43798788249505, 13.414056866189254 65.43898672735915, 13.414259858330983 65.43979166059927)"/>
    <s v="[1269958, 1269966, 1269974, 1269982, 1269990, 1269998, 1270006, 1270014, 1270022]"/>
    <s v="[1186106, 1186112, 1186122, 1186096, 1186135, 1186144, 1186151, 1186159, 1186165]"/>
    <s v="#FIELD!"/>
    <s v="[1186105, 1186106, 1186112, 1186122, 1186096, 1186135, 1186144, 1186151, 1186159]"/>
    <s v="[0.012, 0.015, 0.019, 0.022, 0.033, 0.023, 0.024, 0.028, 0.036]"/>
    <s v="480.20329724515886"/>
    <s v="[-0.012, -0.015, -0.019, -0.022, -0.033, -0.023, -0.024, -0.028, -0.036]"/>
  </r>
  <r>
    <x v="3665"/>
    <x v="4279"/>
    <x v="0"/>
    <s v="[0, 0, 0, 0, 0, 0, 1, 0, 0, 0]"/>
    <s v="LINESTRING (13.412487355627096 65.43555406646796, 13.413086358429565 65.43699151608928, 13.413311323196217 65.43751611121279, 13.413321840109392 65.4375404437048, 13.413357479702984 65.43762284446676, 13.41336772718503 65.4376462856524, 13.41349762922329 65.43794774642727, 13.413519954810644 65.43799966471866, 13.413942957920467 65.43899274914389, 13.413984782034982 65.4390984585184, 13.414259858330983 65.43979166059927)"/>
    <s v="[1270054, 1270062, 1270070, 1270078, 1270086, 1270094, 1270102, 1270110, 1270118, 1270120]"/>
    <s v="[1186194, 1186201, 1186087, 1186180, 1186219, 1186226, 1186233, 1186241, 1186249, 1186165]"/>
    <s v="#FIELD!"/>
    <s v="[1186105, 1186194, 1186201, 1186087, 1186180, 1186219, 1186226, 1186233, 1186241, 1186249]"/>
    <s v="[0.019, 0.022, 0.015, 0.017, 0.035, 0.022, 0.023, 0.024, 0.03, 0.028]"/>
    <s v="479.6258799866345"/>
    <s v="[-0.019, -0.022, -0.015, -0.017, -0.035, -0.022, -0.023, -0.024, -0.03, -0.028]"/>
  </r>
  <r>
    <x v="3666"/>
    <x v="4280"/>
    <x v="0"/>
    <n v="0"/>
    <s v="LINESTRING (13.414259858330983 65.43979166059927, 13.412685171566059 65.46209385094329, 13.411451260878815 65.46385211970225)"/>
    <s v="[2095066, 2095074]"/>
    <s v="[1812555, 1764735]"/>
    <s v="0.00012873568899554374"/>
    <s v="[1186165, 1812555]"/>
    <s v="[0.006, 0.072]"/>
    <s v="2713.09493467285"/>
    <s v="[0.006, -0.072]"/>
  </r>
  <r>
    <x v="3667"/>
    <x v="4281"/>
    <x v="0"/>
    <n v="0"/>
    <s v="LINESTRING (5.334510215837022 59.40520963659795, 5.3345761712400055 59.40515722603757, 5.334662889268345 59.405142339710565)"/>
    <s v="[1274213, 1274221]"/>
    <s v="[1189749, 1189756]"/>
    <s v="#FIELD!"/>
    <s v="[1189741, 1189749]"/>
    <s v="[0.033, 0.059]"/>
    <s v="12.174024962561884"/>
    <s v="[-0.033, -0.059]"/>
  </r>
  <r>
    <x v="3667"/>
    <x v="4282"/>
    <x v="0"/>
    <n v="0"/>
    <s v="LINESTRING (5.334819504832402 59.40520110481347, 5.334803677634515 59.40526231724772, 5.334737425015264 59.405295345031064, 5.334667627230912 59.405303692191175, 5.334622483312658 59.405300317868324, 5.3345583311649705 59.40528286278235, 5.334523023681038 59.40525761661173, 5.334510215837022 59.40520963659795)"/>
    <s v="[1274246, 1274254, 1274262, 1274173, 1274181, 1274182, 1274205]"/>
    <s v="[368782, 1189788, 361482, 1056880, 1189723, 368797, 1189741]"/>
    <s v="0.03914998196664613"/>
    <s v="[1189773, 368782, 1189788, 361482, 1056880, 1189723, 368797]"/>
    <s v="[0.004, 0.038, 0.068, 0.077, 0.063, 0.053, 0.018]"/>
    <s v="31.887453967701543"/>
    <s v="[0.004, 0.038, 0.068, 0.077, 0.063, 0.053, 0.018]"/>
  </r>
  <r>
    <x v="3667"/>
    <x v="4025"/>
    <x v="0"/>
    <n v="0"/>
    <s v="LINESTRING (5.334331105887683 59.40498904128796, 5.334457224309104 59.405148434567096, 5.334510215837022 59.40520963659795)"/>
    <s v="[1339299, 1339307]"/>
    <s v="[1242786, 1189741]"/>
    <s v="1.1201812220854344"/>
    <s v="[1242778, 1242786]"/>
    <s v="[0.022, 3.987]"/>
    <s v="26.996732647054433"/>
    <s v="[0.022, 3.987]"/>
  </r>
  <r>
    <x v="3668"/>
    <x v="4283"/>
    <x v="0"/>
    <n v="0"/>
    <m/>
    <n v="1274222"/>
    <n v="1189757"/>
    <s v="#FIELD!"/>
    <n v="1189756"/>
    <s v="0.071"/>
    <s v="3.584509031911623"/>
    <s v="#FIELD!"/>
  </r>
  <r>
    <x v="3668"/>
    <x v="4025"/>
    <x v="0"/>
    <n v="0"/>
    <s v="LINESTRING (5.334331105887683 59.40498904128796, 5.334620018838557 59.40509793622859, 5.334662889268345 59.405142339710565)"/>
    <s v="[1339315, 1339323]"/>
    <s v="[1242798, 1189756]"/>
    <s v="1.132063151324028"/>
    <s v="[1242778, 1242798]"/>
    <s v="[0.058, 5.153]"/>
    <s v="26.239781668015965"/>
    <s v="[0.058, 5.153]"/>
  </r>
  <r>
    <x v="3669"/>
    <x v="4282"/>
    <x v="0"/>
    <n v="0"/>
    <s v="LINESTRING (5.334724836054245 59.405147910422116, 5.334779476387404 59.40516661676346, 5.334819504832402 59.40520110481347)"/>
    <s v="[1274230, 1274238]"/>
    <s v="[1189766, 1189773]"/>
    <s v="#FIELD!"/>
    <s v="[1189757, 1189766]"/>
    <s v="[0.07, 0.043]"/>
    <s v="8.229452925540599"/>
    <s v="[-0.07, -0.043]"/>
  </r>
  <r>
    <x v="3669"/>
    <x v="4028"/>
    <x v="0"/>
    <n v="0"/>
    <s v="LINESTRING (5.334724836054245 59.405147910422116, 5.3347525008770065 59.40510400455864, 5.3350436868195485 59.40500119522142)"/>
    <s v="[1339331, 1339339]"/>
    <s v="[1242810, 1242722]"/>
    <s v="#FIELD!"/>
    <s v="[1189757, 1242810]"/>
    <s v="[5.366, 0.063]"/>
    <s v="25.33765050447964"/>
    <s v="[-5.366, 0.063]"/>
  </r>
  <r>
    <x v="3670"/>
    <x v="4028"/>
    <x v="0"/>
    <n v="0"/>
    <s v="LINESTRING (5.334819504832402 59.40520110481347, 5.334894815938224 59.40516803064562, 5.3350436868195485 59.40500119522142)"/>
    <s v="[1339347, 1339355]"/>
    <s v="[1242821, 1242722]"/>
    <s v="#FIELD!"/>
    <s v="[1189773, 1242821]"/>
    <s v="[4.688, 0.03]"/>
    <s v="26.587083210062303"/>
    <s v="[-4.688, 0.03]"/>
  </r>
  <r>
    <x v="3671"/>
    <x v="4284"/>
    <x v="0"/>
    <n v="0"/>
    <s v="LINESTRING (5.449941789723124 59.315579865826024, 5.449851506718253 59.31565202627161, 5.44974150796649 59.315685117457235, 5.449603174003793 59.31568772366529, 5.449485853494922 59.315662952572914)"/>
    <s v="[1288675, 1288683, 1288691, 1288699]"/>
    <s v="[1202274, 1202281, 1202287, 1202296]"/>
    <s v="0.010495271543546382"/>
    <s v="[1202273, 1202274, 1202281, 1202287]"/>
    <s v="[0.001, 0.007, 0.018, 0.021]"/>
    <s v="32.02505606532009"/>
    <s v="[-0.001, 0.007, 0.018, 0.021]"/>
  </r>
  <r>
    <x v="3671"/>
    <x v="4285"/>
    <x v="0"/>
    <n v="0"/>
    <s v="LINESTRING (5.449868164581779 59.31543383127398, 5.449943277815818 59.31550424778281, 5.449941789723124 59.315579865826024)"/>
    <s v="[1288755, 1288763]"/>
    <s v="[1202337, 1202273]"/>
    <s v="#FIELD!"/>
    <s v="[1202331, 1202337]"/>
    <s v="[0.019, 0.014]"/>
    <s v="17.41494767316376"/>
    <s v="[-0.019, -0.014]"/>
  </r>
  <r>
    <x v="3671"/>
    <x v="4286"/>
    <x v="0"/>
    <n v="0"/>
    <s v="LINESTRING (5.451148688642571 59.315444186444815, 5.450002622135242 59.31556295599382, 5.449941789723124 59.315579865826024)"/>
    <s v="[1288827, 1288835]"/>
    <s v="[1202397, 1202273]"/>
    <s v="0.013669904652550855"/>
    <s v="[1202382, 1202397]"/>
    <s v="[0.014, 0.008]"/>
    <s v="71.90660923085579"/>
    <s v="[0.014, 0.008]"/>
  </r>
  <r>
    <x v="3672"/>
    <x v="4287"/>
    <x v="0"/>
    <n v="0"/>
    <s v="LINESTRING (5.449485853494922 59.315662952572914, 5.44937614939968 59.31559127902174, 5.449360541550211 59.315517705383414)"/>
    <s v="[1288707, 1288715]"/>
    <s v="[1202301, 1202307]"/>
    <s v="0.01830909748351422"/>
    <s v="[1202296, 1202301]"/>
    <s v="[0.021, 0.015]"/>
    <s v="18.441365792746183"/>
    <s v="[0.021, 0.015]"/>
  </r>
  <r>
    <x v="3672"/>
    <x v="2916"/>
    <x v="0"/>
    <n v="0"/>
    <s v="LINESTRING (5.449485853494922 59.315662952572914, 5.449412827556834 59.31566351805848, 5.448050209016169 59.316025958378965)"/>
    <s v="[1288843, 1288851]"/>
    <s v="[1202407, 1202377]"/>
    <s v="0.00371100805195479"/>
    <s v="[1202296, 1202407]"/>
    <s v="[0.019, 0.003]"/>
    <s v="93.89551519276436"/>
    <s v="[0.019, 0.003]"/>
  </r>
  <r>
    <x v="3673"/>
    <x v="4285"/>
    <x v="0"/>
    <n v="0"/>
    <s v="LINESTRING (5.449360541550211 59.315517705383414, 5.449412188550322 59.31545145723644, 5.449551770792861 59.31539632448341, 5.4497257795997625 59.31539201743026, 5.449868164581779 59.31543383127398)"/>
    <s v="[1288723, 1288731, 1288739, 1288747]"/>
    <s v="[1202268, 1202318, 1202245, 1202331]"/>
    <s v="#FIELD!"/>
    <s v="[1202307, 1202268, 1202318, 1202245]"/>
    <s v="[0.007, 0.007, 0.017, 0.021]"/>
    <s v="37.38205853724948"/>
    <s v="[0.007, -0.007, -0.017, -0.021]"/>
  </r>
  <r>
    <x v="3673"/>
    <x v="2916"/>
    <x v="0"/>
    <n v="0"/>
    <s v="LINESTRING (5.449360541550211 59.315517705383414, 5.449298941824561 59.315542261174485, 5.448050209016169 59.316025958378965)"/>
    <s v="[1288795, 1288803]"/>
    <s v="[1202368, 1202377]"/>
    <s v="#FIELD!"/>
    <s v="[1202307, 1202368]"/>
    <s v="[0.007, 0.001]"/>
    <s v="94.6726579931816"/>
    <s v="[0.007, -0.001]"/>
  </r>
  <r>
    <x v="3674"/>
    <x v="4286"/>
    <x v="0"/>
    <n v="0"/>
    <s v="LINESTRING (5.451148688642571 59.315444186444815, 5.449954519072296 59.31543703605506, 5.449868164581779 59.31543383127398)"/>
    <s v="[1288811, 1288819]"/>
    <s v="[1202383, 1202331]"/>
    <s v="0.018067516891707467"/>
    <s v="[1202382, 1202383]"/>
    <s v="[0.018, 0.019]"/>
    <s v="73.26374304170207"/>
    <s v="[0.018, 0.019]"/>
  </r>
  <r>
    <x v="3675"/>
    <x v="4288"/>
    <x v="0"/>
    <s v="[0, 1, 0, 0, 1, 0, 0]"/>
    <s v="LINESTRING (5.467099686023219 59.31468906722225, 5.466288475874416 59.31490746830951, 5.466062757147399 59.314961501353466, 5.4593634189061016 59.31556051779434, 5.455371542651742 59.31553844004355, 5.452156196224522 59.3154643564796, 5.452057188052589 59.315461618836586, 5.451148688642571 59.315444186444815)"/>
    <s v="[2101908, 2101913, 2101921, 2101929, 2101937, 2101945, 2101953]"/>
    <s v="[1816940, 1816943, 1816947, 1816953, 1816960, 1816965, 1202382]"/>
    <s v="0.007968395347577178"/>
    <s v="[1251541, 1816940, 1816943, 1816947, 1816953, 1816960, 1816965]"/>
    <s v="[0.046, 0.007, 0.001, 0.026, 0.042, 0.06, 0.157]"/>
    <s v="926.8949970820004"/>
    <s v="[-0.046, -0.007, -0.001, -0.026, 0.042, 0.06, 0.157]"/>
  </r>
  <r>
    <x v="3676"/>
    <x v="2912"/>
    <x v="0"/>
    <n v="0"/>
    <s v="LINESTRING (9.14179320430626 58.86067287967274, 9.141242178100468 58.86084528635118, 9.141219536799845 58.861483771564096, 9.143222469107403 58.86257140762129, 9.14341961329548 58.86270791677614)"/>
    <s v="[1290985, 1290993, 1291001, 1291009]"/>
    <s v="[1204267, 1204273, 1204281, 1204286]"/>
    <s v="0.028591976552944317"/>
    <s v="[1204262, 1204267, 1204273, 1204281]"/>
    <s v="[0.025, 0.057, 0.019, 0.005]"/>
    <s v="301.6063181638117"/>
    <s v="[0.025, 0.057, 0.019, 0.005]"/>
  </r>
  <r>
    <x v="3677"/>
    <x v="4289"/>
    <x v="0"/>
    <s v="[0, 1, 0, 0, 0]"/>
    <s v="LINESTRING (9.151062977942315 58.867918929562, 9.150756559032137 58.86768575975267, 9.150716769901615 58.867654873677836, 9.143966469816776 58.86301442160794, 9.143655249469303 58.862839838182815, 9.14341961329548 58.86270791677614)"/>
    <s v="[1291113, 1291121, 1291049, 1291057, 1291065]"/>
    <s v="[1204370, 1204319, 1204320, 1204328, 1204286]"/>
    <s v="#FIELD!"/>
    <s v="[1204364, 1204370, 1204319, 1204320, 1204328]"/>
    <s v="[0.028, 0.034, 0.007, 0.01, 0.006]"/>
    <s v="730.8281164285376"/>
    <s v="[-0.028, -0.034, -0.007, 0.01, 0.006]"/>
  </r>
  <r>
    <x v="3678"/>
    <x v="4289"/>
    <x v="0"/>
    <n v="0"/>
    <s v="LINESTRING (9.151062977942315 58.867918929562, 9.151313005635101 58.86807042143812, 9.157960174927231 58.872209434148346, 9.158120652436075 58.87232009108254)"/>
    <s v="[1838583, 1838567, 1838575]"/>
    <s v="[1611975, 1611976, 1204356]"/>
    <s v="0.026708248719021215"/>
    <s v="[1204364, 1611975, 1611976]"/>
    <s v="[0.029, 0.027, 0.012]"/>
    <s v="641.0227149245659"/>
    <s v="[0.029, 0.027, 0.012]"/>
  </r>
  <r>
    <x v="3679"/>
    <x v="3561"/>
    <x v="0"/>
    <n v="0"/>
    <s v="LINESTRING (10.264339670893321 63.073837586561, 10.259597730158651 63.07791430053359, 10.253939807443293 63.082749268228376, 10.250289796381109 63.08829567161575)"/>
    <s v="[1291205, 1291213, 1291221]"/>
    <s v="[1204438, 1204447, 1204452]"/>
    <s v="#FIELD!"/>
    <s v="[1204437, 1204438, 1204447]"/>
    <s v="[0.056, 0.045, 0.07]"/>
    <s v="1793.318089474043"/>
    <s v="[0.056, -0.045, -0.07]"/>
  </r>
  <r>
    <x v="3679"/>
    <x v="3561"/>
    <x v="0"/>
    <n v="0"/>
    <s v="LINESTRING (10.264339670893321 63.073837586561, 10.259701214492225 63.07793568447722, 10.254058821301946 63.08276249849474, 10.250289796381109 63.08829567161575)"/>
    <s v="[1291229, 1291237, 1291245]"/>
    <s v="[1204459, 1204463, 1204452]"/>
    <s v="#FIELD!"/>
    <s v="[1204437, 1204459, 1204463]"/>
    <s v="[0.061, 0.046, 0.073]"/>
    <s v="1790.4488154400092"/>
    <s v="[0.061, -0.046, -0.073]"/>
  </r>
  <r>
    <x v="3680"/>
    <x v="4290"/>
    <x v="398"/>
    <s v="[0, 0, 0, 0, 0, 0, 0, 0, 0, 0, 0, 0, 0, 0, 0, 0, 0, 0, 0, 0, 0, 0, 0, 0, 0, 1, 0, 0, 0, 0, 0, 0, 0, 0, 0, 0, 0, 0, 0, 0, 0, 0, 0, 0, 0, 0, 0, 0, 0, 0, 0, 0, 0, 0, 0, 0, 0, 0, 0, 0, 0, 0, 0]"/>
    <s v="LINESTRING (6.127130079145393 62.19844319016636, 6.126902259056123 62.19877533721906, 6.126677916094847 62.19908974993856, 6.126457358593263 62.199391735434986, 6.126284732609608 62.199654632321156, 6.126044371283199 62.1999981712287, 6.125896689642671 62.20020862073011, 6.125841630236637 62.20028769444065, 6.125790828163035 62.20036120422282, 6.125639784082183 62.20058065549997, 6.125327933435087 62.20106877279059, 6.125030379399149 62.20122035040606, 6.124741306882225 62.20129914013478, 6.123567219419486 62.20164189536651, 6.123065188239561 62.20179259465105, 6.122951043568559 62.20182696696524, 6.122817881467246 62.20186635733151, 6.122300061163931 62.2020166951102, 6.122209823877286 62.20204449349485, 6.122113643017623 62.202075243317076, 6.120583503073417 62.202528861499154, 6.11923322320183 62.202937722867944, 6.117456326355295 62.20337927675803, 6.110577458183036 62.20430011380894, 6.105673844232762 62.20490739739574, 6.1053789349464935 62.20494666433713, 6.1046795557808595 62.20503973221968, 6.1044945396016725 62.20506365155299, 6.10330749020951 62.20516882581712, 6.101195585715422 62.20520374078702, 6.0901038612573 62.205984657387546, 6.087850897817415 62.20612934500019, 6.074040946984943 62.20927439104498, 6.071790956656114 62.20986604592805, 6.057736142972405 62.212031424172615, 6.052942003459873 62.212943143409056, 6.047353450454191 62.21347019967412, 6.04652634862404 62.21366856294984, 6.0452393457655385 62.21385903743887, 6.04505215897032 62.213876078337464, 6.042605760612789 62.21405817299499, 6.035351342108175 62.21472048627631, 6.029369321238994 62.214891627275136, 6.017817016681874 62.21536210097407, 6.01557313741441 62.215794491168985, 6.015039672502801 62.21741182608854, 6.015467782659796 62.21906994890322, 6.0155367895421925 62.22140691068583, 6.01332519368615 62.2234194114482, 6.013208086899895 62.22348169467443, 6.011866775070445 62.22642208805117, 6.010355289646426 62.22797596727667, 6.0095855091513295 62.23014884918829, 6.009499198689771 62.23137249604482, 6.009344666097304 62.2333007636654, 6.009340862821995 62.23332673950038, 6.008451107505666 62.23455759696459, 6.006831443898923 62.236073205462525, 6.006708770948346 62.236205189930516, 6.002574519676984 62.23903519134782, 6.001450466930669 62.239585470143865, 6.00140323936622 62.23961056029058, 5.999791124524342 62.24041128495156, 5.999651336438797 62.24047796345885)"/>
    <s v="[1310948, 1332518, 1310956, 1310964, 1310972, 1310980, 1310988, 1310996, 1311004, 1311012, 1311020, 1311028, 1311036, 1311044, 1311052, 1311060, 1311068, 1311076, 1311084, 1311092, 1311100, 1311108, 1311116, 1311124, 1311132, 1311140, 1311148, 1311156, 1311164, 1311172, 1311180, 1311188, 1311196, 1311204, 1311212, 1311220, 1311228, 1311236, 1311244, 1311252, 1311260, 1311268, 1311276, 1311284, 1311292, 1311300, 1311308, 1311316, 1311324, 1311332, 1311340, 1311348, 1311356, 1311364, 1311372, 1311380, 1311388, 1311396, 1311404, 1311412, 1311420, 1311428, 1311436]"/>
    <s v="[1205414, 1205415, 295401, 1219315, 275695, 327711, 1219338, 1213586, 275558, 1219362, 275577, 279863, 276331, 1213631, 1219397, 327750, 1219411, 1219418, 1219423, 272414, 304353, 1219440, 1219447, 1219453, 1219460, 1219468, 1219476, 279985, 1219489, 1219498, 646280, 1219514, 1219523, 732951, 280138, 646104, 646144, 1219559, 1219567, 307037, 1219581, 1219587, 1219594, 1219601, 927508, 1219614, 1219619, 1219627, 305610, 297559, 1219647, 1219654, 941600, 1219665, 1219672, 1219677, 1219680, 1219686, 1219693, 1219702, 941720, 1219716, 1205589]"/>
    <s v="0.002007465323383087"/>
    <s v="[1205259, 1205414, 1205415, 295401, 1219315, 275695, 327711, 1219338, 1213586, 275558, 1219362, 275577, 279863, 276331, 1213631, 1219397, 327750, 1219411, 1219418, 1219423, 272414, 304353, 1219440, 1219447, 1219453, 1219460, 1219468, 1219476, 279985, 1219489, 1219498, 646280, 1219514, 1219523, 732951, 280138, 646104, 646144, 1219559, 1219567, 307037, 1219581, 1219587, 1219594, 1219601, 927508, 1219614, 1219619, 1219627, 305610, 297559, 1219647, 1219654, 941600, 1219665, 1219672, 1219677, 1219680, 1219686, 1219693, 1219702, 941720, 1219716]"/>
    <s v="[0.007, 0.009, 0.009, 0.031, 0.035, 0.036, 0.037, 0.036, 0.039, 0.042, 0.032, 0.005, 0.019, 0.027, 0.029, 0.004, 0.008, 0.002, 0.037, 0.032, 0.043, 0.038, 0.021, 0.001, 0.022, 0.019, 0.021, 0.017, 0.054, 0.01, 0.008, 0.002, 0.05, 0.014, 0.037, 0.002, 0.08, 0.035, 0.027, 0.006, 0.012, 0.006, 0.007, 0.058, 0.0, 0.03, 0.002, 0.012, 0.156, 0.033, 0.056, 0.007, 0.023, 0.036, 0.084, 0.042, 0.035, 0.061, 0.009, 0.05, 0.101, 0.003, 0.819]"/>
    <s v="9382.99442965118"/>
    <s v="[-0.007, -0.009, -0.009, 0.031, 0.035, 0.036, 0.037, 0.036, 0.039, 0.042, 0.032, 0.005, -0.019, -0.027, -0.029, -0.004, 0.008, -0.002, 0.037, 0.032, 0.043, 0.038, 0.021, -0.001, -0.022, -0.019, -0.021, -0.017, -0.054, 0.01, -0.008, 0.002, -0.05, 0.014, -0.037, -0.002, 0.08, 0.035, 0.027, 0.006, 0.012, 0.006, -0.007, -0.058, 0.0, 0.03, -0.002, 0.012, -0.156, -0.033, 0.056, 0.007, -0.023, 0.036, 0.084, -0.042, -0.035, 0.061, -0.009, -0.05, -0.101, 0.003, 0.819]"/>
  </r>
  <r>
    <x v="3681"/>
    <x v="4291"/>
    <x v="0"/>
    <n v="0"/>
    <s v="LINESTRING (5.999651336438797 62.24047796345885, 5.999509013863411 62.240600993509005, 5.999289540876368 62.24069130829453)"/>
    <s v="[1292494, 1292502]"/>
    <s v="[1205590, 1205598]"/>
    <s v="0.026190033233544307"/>
    <s v="[1205589, 1205590]"/>
    <s v="[0.042, 0.01]"/>
    <s v="30.864837114317247"/>
    <s v="[0.042, 0.01]"/>
  </r>
  <r>
    <x v="3681"/>
    <x v="4291"/>
    <x v="0"/>
    <n v="0"/>
    <s v="LINESTRING (5.999651336438797 62.24047796345885, 5.999409486522071 62.24056367857617, 5.999289540876368 62.24069130829453)"/>
    <s v="[1332590, 1332598]"/>
    <s v="[1237563, 1205598]"/>
    <s v="0.02606986214196046"/>
    <s v="[1205589, 1237563]"/>
    <s v="[0.502, 0.569]"/>
    <s v="31.57029540537132"/>
    <s v="[-0.502, 0.569]"/>
  </r>
  <r>
    <x v="3682"/>
    <x v="3314"/>
    <x v="399"/>
    <n v="0"/>
    <s v="LINESTRING (5.999289540876368 62.24069130829453, 6.160100244641764 62.328420031251454)"/>
    <m/>
    <m/>
    <s v="0.0"/>
    <m/>
    <n v="0"/>
    <s v="13490.043791069573"/>
    <n v="0"/>
  </r>
  <r>
    <x v="3683"/>
    <x v="4292"/>
    <x v="0"/>
    <n v="0"/>
    <s v="LINESTRING (6.314141429347668 62.42679853207948, 6.314307419121002 62.426840865992226, 6.315718876739449 62.42718568499764, 6.318536724736704 62.42748194945153, 6.318696245694805 62.427480843771725, 6.319285055183145 62.42746425619195, 6.323451274070895 62.427445777607794, 6.3443620357294135 62.42840048394015)"/>
    <s v="[1312500, 1312508, 1312516, 1312524, 1312532, 1312540, 1312548]"/>
    <s v="[1220511, 1220519, 1220525, 1220530, 1220537, 1220543, 1205805]"/>
    <s v="0.03505482049824936"/>
    <s v="[1205738, 1220511, 1220519, 1220525, 1220530, 1220537, 1220543]"/>
    <s v="[1.195, 0.06, 0.076, 0.129, 0.139, 0.019, 0.018]"/>
    <s v="1675.8229471136654"/>
    <s v="[1.195, 0.06, 0.076, 0.129, 0.139, 0.019, 0.018]"/>
  </r>
  <r>
    <x v="3683"/>
    <x v="2499"/>
    <x v="0"/>
    <n v="0"/>
    <s v="LINESTRING (6.314492167835736 62.42649075246236, 6.3144374933744345 62.42659891209505, 6.314141429347668 62.42679853207948)"/>
    <s v="[1819220, 1292670]"/>
    <s v="[1205737, 1205738]"/>
    <s v="#FIELD!"/>
    <s v="[1220506, 1205737]"/>
    <s v="[0.828, 0.024]"/>
    <s v="42.00600543162535"/>
    <s v="[-0.828, 0.024]"/>
  </r>
  <r>
    <x v="3683"/>
    <x v="2499"/>
    <x v="0"/>
    <n v="0"/>
    <s v="LINESTRING (6.314492167835736 62.42649075246236, 6.3142995779612 62.426569508784965, 6.314141429347668 62.42679853207948)"/>
    <s v="[1819228, 1332734]"/>
    <s v="[1237692, 1205738]"/>
    <s v="#FIELD!"/>
    <s v="[1220506, 1237692]"/>
    <s v="[0.038, 0.352]"/>
    <s v="41.85582699949076"/>
    <s v="[0.038, -0.352]"/>
  </r>
  <r>
    <x v="3684"/>
    <x v="4293"/>
    <x v="0"/>
    <s v="[0, 0, 0, 0, 0, 0, 0, 0, 0, 0, 0, 1, 1]"/>
    <s v="LINESTRING (6.3443620357294135 62.42840048394015, 6.348515970820565 62.4288920535239, 6.349736659512386 62.42904358131998, 6.3505523635029855 62.42915071243073, 6.35061755920205 62.42916005485912, 6.352155974936816 62.429436127725346, 6.352273046336371 62.42946328487021, 6.352374419755444 62.429489189906505, 6.3524594407688415 62.42951408206987, 6.353621481846889 62.42988650616999, 6.354095706194141 62.4300902518655, 6.355906702412999 62.43139611687581, 6.356138549176604 62.43171237299015, 6.356342107839609 62.432067872465716)"/>
    <s v="[1292742, 1292750, 1292758, 1292766, 1292774, 1292782, 1292790, 1292798, 1292806, 1292814, 1292822, 1292830, 1292838]"/>
    <s v="[1205806, 1205815, 1205822, 1205830, 1205840, 1205844, 1205852, 1205856, 1205862, 1205868, 1205874, 1205882, 1205889]"/>
    <s v="#FIELD!"/>
    <s v="[1205805, 1205806, 1205815, 1205822, 1205830, 1205840, 1205844, 1205852, 1205856, 1205862, 1205868, 1205874, 1205882]"/>
    <s v="[0.12, 0.112, 0.107, 0.111, 0.11, 0.09, 0.137, 0.109, 0.099, 0.021, 0.035, 0.041, 0.044]"/>
    <s v="798.069384422713"/>
    <s v="[-0.12, -0.112, -0.107, -0.111, -0.11, -0.09, -0.137, -0.109, -0.099, 0.021, 0.035, 0.041, 0.044]"/>
  </r>
  <r>
    <x v="3684"/>
    <x v="4293"/>
    <x v="0"/>
    <s v="[0, 0, 0, 0, 0, 0, 0, 0, 0, 0, 0, 0, 0, 0, 0, 1, 1, 1]"/>
    <s v="LINESTRING (6.3443620357294135 62.42840048394015, 6.3484893551103765 62.42893006351933, 6.348581574494743 62.428943734724406, 6.349700926807827 62.429105227088726, 6.3498121009116675 62.429120416560586, 6.350703406981492 62.42924977365367, 6.352199626361571 62.429524636054076, 6.352290065881961 62.42954363261128, 6.352412211725862 62.42957706996589, 6.352473526792084 62.429591716589904, 6.352560227937556 62.429614653628704, 6.353547929345182 62.4299215752961, 6.353677415202017 62.429969330021024, 6.354038632599686 62.430114505604344, 6.354148244039347 62.43016565321782, 6.35583478687432 62.431408791896224, 6.3558531493641075 62.43143279785162, 6.356064955945212 62.43172317248021, 6.356342107839609 62.432067872465716)"/>
    <s v="[1332742, 1332750, 1332758, 1332766, 1332774, 1332782, 1332790, 1332798, 1332806, 1332814, 1332823, 1332831, 1332839, 1332847, 1332855, 1332863, 1332871, 1332879]"/>
    <s v="[1237701, 1237708, 1237716, 1237722, 1237731, 1237738, 1237749, 1217277, 1237768, 1237777, 1237785, 1237793, 1237797, 1237801, 1237804, 1237808, 1237812, 1205889]"/>
    <s v="#FIELD!"/>
    <s v="[1205805, 1237701, 1237708, 1237716, 1237722, 1237731, 1237738, 1237749, 1217277, 1237768, 1237777, 1237785, 1237793, 1237797, 1237801, 1237804, 1237808, 1237812]"/>
    <s v="[0.142, 0.137, 0.147, 0.112, 0.075, 0.052, 0.057, 0.081, 0.039, 0.055, 0.073, 0.038, 0.036, 0.036, 0.023, 0.008, 0.008, 0.33]"/>
    <s v="792.6631828362583"/>
    <s v="[-0.142, -0.137, -0.147, -0.112, -0.075, -0.052, -0.057, -0.081, -0.039, -0.055, -0.073, -0.038, -0.036, -0.036, -0.023, -0.008, -0.008, 0.33]"/>
  </r>
  <r>
    <x v="3685"/>
    <x v="4294"/>
    <x v="0"/>
    <n v="0"/>
    <s v="LINESTRING (10.587788034069302 59.901126776190516, 10.587331387439258 59.90106507773308, 10.584179280907136 59.90069510975734, 10.584103601636134 59.90070515053841)"/>
    <s v="[1292823, 1292831, 1292839]"/>
    <s v="[1205876, 1205883, 1205890]"/>
    <s v="0.021503397342783843"/>
    <s v="[1205875, 1205876, 1205883]"/>
    <s v="[0.013, 0.022, 0.052]"/>
    <s v="215.0607896186644"/>
    <s v="[0.013, 0.022, 0.052]"/>
  </r>
  <r>
    <x v="3685"/>
    <x v="4295"/>
    <x v="0"/>
    <n v="0"/>
    <s v="LINESTRING (10.587788034069302 59.901126776190516, 10.586037273479295 59.90076320153317, 10.581689126468971 59.90022454522887, 10.581585088299216 59.900212688188006, 10.581503812114011 59.90020358287292, 10.581487567813669 59.90020176037248, 10.58135757550247 59.900187062117, 10.578750671182522 59.899842616893366, 10.577577682090546 59.89960808767944, 10.577099873887933 59.89949454472613, 10.575998902465967 59.89919996729807, 10.575915842591074 59.89917485432226)"/>
    <s v="[1552719, 1552727, 1552735, 1552743, 1552751, 1552759, 1552767, 1552775, 1552783, 1552791, 1552799]"/>
    <s v="[1401521, 1401529, 1401537, 1401543, 1401550, 1401556, 1401561, 1401567, 1401573, 1401579, 1401584]"/>
    <s v="0.0012391653229029528"/>
    <s v="[1205875, 1401521, 1401529, 1401537, 1401543, 1401550, 1401556, 1401561, 1401567, 1401573, 1401579]"/>
    <s v="[0.003, 0.001, 0.008, 0.001, 0.003, 0.001, 0.007, 0.005, 0.051, 0.015, 0.017]"/>
    <s v="702.4869346641149"/>
    <s v="[0.003, -0.001, -0.008, 0.001, -0.003, -0.001, 0.007, 0.005, -0.051, 0.015, -0.017]"/>
  </r>
  <r>
    <x v="3685"/>
    <x v="1421"/>
    <x v="400"/>
    <n v="0"/>
    <s v="LINESTRING (10.59392230310428 59.9025877139873, 10.587839138655736 59.90113879555208, 10.587788034069302 59.901126776190516)"/>
    <s v="[1552703, 1552711]"/>
    <s v="[1401510, 1205875]"/>
    <s v="#FIELD!"/>
    <s v="[1401504, 1401510]"/>
    <s v="[0.006, 0.779]"/>
    <s v="380.0663612472915"/>
    <s v="[-0.006, -0.779]"/>
  </r>
  <r>
    <x v="3686"/>
    <x v="3338"/>
    <x v="0"/>
    <s v="[1, 0, 0, 0, 0, 0, 0]"/>
    <s v="LINESTRING (6.356342107839609 62.432067872465716, 6.357294492024324 62.43341611869313, 6.357916697251594 62.43430524410112, 6.358727898054618 62.43546048647582, 6.358762170909429 62.4355096542124, 6.359053644701272 62.43592535288519, 6.360367001997458 62.437754499507214, 6.360709247742705 62.43819825362376)"/>
    <s v="[1332887, 1312556, 1312564, 1312572, 1312580, 1312588, 1312596]"/>
    <s v="[1205897, 628795, 1220567, 1220574, 1220582, 1220590, 1220599]"/>
    <s v="0.011042738012069508"/>
    <s v="[1205889, 1205897, 628795, 1220567, 1220574, 1220582, 1220590]"/>
    <s v="[0.041, 0.029, 0.037, 0.013, 0.008, 0.023, 0.04]"/>
    <s v="721.3271122976168"/>
    <s v="[0.041, 0.029, 0.037, 0.013, 0.008, -0.023, -0.04]"/>
  </r>
  <r>
    <x v="3687"/>
    <x v="4294"/>
    <x v="0"/>
    <n v="0"/>
    <s v="LINESTRING (10.584103601636134 59.90070515053841, 10.58411092031971 59.900747032350786, 10.58403531052474 59.900820213139056, 10.58390837480432 59.90084724726438, 10.583683791208836 59.90077936807144, 10.58369126936256 59.90068411664035, 10.583869850153418 59.90062410439264, 10.584103601636134 59.90070515053841)"/>
    <s v="[1292887, 1292895, 1292847, 1292855, 1292863, 1292871, 1292879]"/>
    <s v="[1205823, 1205898, 1205807, 1205831, 1205908, 1205845, 1205890]"/>
    <s v="5.947003915571504e-05"/>
    <s v="[1205890, 1205823, 1205898, 1205807, 1205831, 1205908, 1205845]"/>
    <s v="[0.017, 0.039, 0.054, 0.026, 0.028, 0.049, 0.02]"/>
    <s v="77.21882372273211"/>
    <s v="[0.017, 0.039, 0.054, 0.026, -0.028, -0.049, -0.02]"/>
  </r>
  <r>
    <x v="3688"/>
    <x v="4296"/>
    <x v="0"/>
    <n v="0"/>
    <s v="LINESTRING (6.202256289228169 62.46969522565488, 6.2023108855309985 62.46971113854444, 6.202369806528939 62.469760140971445, 6.202360803341355 62.46980815412944, 6.202340501647074 62.46982598757802)"/>
    <s v="[1295117, 1295118, 1295126, 1295127]"/>
    <s v="[343461, 1207574, 1207585, 1207586]"/>
    <s v="0.14383483987090995"/>
    <s v="[1207573, 343461, 1207574, 1207585]"/>
    <s v="[0.043, 0.147, 0.185, 0.186]"/>
    <s v="17.23318300475554"/>
    <s v="[0.043, 0.147, 0.185, 0.186]"/>
  </r>
  <r>
    <x v="3688"/>
    <x v="4297"/>
    <x v="0"/>
    <n v="0"/>
    <s v="LINESTRING (6.202016984552805 62.46973525054118, 6.202099396551962 62.46969738670398, 6.202256289228169 62.46969522565488)"/>
    <s v="[1295135, 1295136]"/>
    <s v="[1207593, 1207573]"/>
    <s v="#FIELD!"/>
    <s v="[1207592, 1207593]"/>
    <s v="[0.147, 0.021]"/>
    <s v="14.11779364992167"/>
    <s v="[-0.147, -0.021]"/>
  </r>
  <r>
    <x v="3688"/>
    <x v="4298"/>
    <x v="0"/>
    <s v="[0, 0, 1, 0, 0, 0, 0, 0, 0]"/>
    <s v="LINESTRING (6.200842424613546 62.4704405201044, 6.200769386139745 62.47039448799399, 6.2007414543595445 62.47035186407794, 6.20073205171013 62.470008296128825, 6.200732074628103 62.46998227882081, 6.200732128796467 62.46994088179091, 6.200739373142036 62.46982612388162, 6.200831205578606 62.46969428257894, 6.202139646843535 62.46964421005016, 6.202256289228169 62.46969522565488)"/>
    <s v="[2159288, 2159296, 2159304, 2159312, 2159320, 2159328, 2159336, 2159344, 2159352]"/>
    <s v="[1849447, 1849451, 1849455, 1849462, 1849468, 1592137, 1849477, 1849484, 1207573]"/>
    <s v="0.045971662629953"/>
    <s v="[1218340, 1849447, 1849451, 1849455, 1849462, 1849468, 1592137, 1849477, 1849484]"/>
    <s v="[3.37, 0.163, 0.174, 0.203, 0.17, 0.168, 0.174, 0.01, 0.128]"/>
    <s v="174.85309584162673"/>
    <s v="[3.37, -0.163, -0.174, -0.203, -0.17, -0.168, -0.174, -0.01, 0.128]"/>
  </r>
  <r>
    <x v="3689"/>
    <x v="4299"/>
    <x v="0"/>
    <n v="0"/>
    <m/>
    <n v="1295128"/>
    <n v="1207587"/>
    <s v="#FIELD!"/>
    <n v="1207586"/>
    <s v="0.01"/>
    <s v="21.752282765473904"/>
    <s v="#FIELD!"/>
  </r>
  <r>
    <x v="3689"/>
    <x v="4300"/>
    <x v="0"/>
    <n v="0"/>
    <s v="LINESTRING (6.202340501647074 62.46982598757802, 6.2023631578012735 62.469893851802965, 6.202365208078544 62.469900633582704, 6.207522095659508 62.47021428106265, 6.207790181074622 62.47025665988445)"/>
    <s v="[1309508, 1309516, 1309524, 1309532]"/>
    <s v="[1218291, 1218296, 1218302, 1215651]"/>
    <s v="#FIELD!"/>
    <s v="[1207586, 1218291, 1218296, 1218302]"/>
    <s v="[2.156, 0.098, 0.008, 0.009]"/>
    <s v="303.76602252154066"/>
    <s v="[-2.156, 0.098, -0.008, 0.009]"/>
  </r>
  <r>
    <x v="3690"/>
    <x v="4297"/>
    <x v="0"/>
    <n v="0"/>
    <m/>
    <n v="1295134"/>
    <n v="1207592"/>
    <s v="#FIELD!"/>
    <n v="1207587"/>
    <s v="0.164"/>
    <s v="7.418878419149489"/>
    <s v="#FIELD!"/>
  </r>
  <r>
    <x v="3690"/>
    <x v="4301"/>
    <x v="0"/>
    <n v="0"/>
    <s v="LINESTRING (6.198006045534363 62.47025327076851, 6.198224299774416 62.47021967766744, 6.200617646848433 62.470098332993196, 6.200965518552848 62.47008383448898, 6.201935768315974 62.46986271492692, 6.20200263978779 62.46980134260096)"/>
    <s v="[1309540, 1309548, 1309564, 1309572, 1309580]"/>
    <s v="[1218310, 1218316, 1218327, 1218332, 1207587]"/>
    <s v="0.05598142323970418"/>
    <s v="[1215661, 1218310, 1218316, 1218327, 1218332]"/>
    <s v="[0.024, 0.008, 0.008, 0.037, 2.074]"/>
    <s v="220.41136725938196"/>
    <s v="[-0.024, -0.008, -0.008, -0.037, 2.074]"/>
  </r>
  <r>
    <x v="3691"/>
    <x v="4298"/>
    <x v="0"/>
    <s v="[0, 0, 1, 0, 0, 0, 0, 0, 0, 0]"/>
    <s v="LINESTRING (6.200842424613546 62.4704405201044, 6.200884275502406 62.47039031925703, 6.200888248585943 62.47035137636239, 6.2008755560710185 62.470006189633445, 6.200875851704888 62.46997826468661, 6.200876337483323 62.469933831401086, 6.200885581970861 62.4698748078937, 6.200904196907544 62.46981381313507, 6.2009889872207165 62.46971243232235, 6.2019760520043965 62.4696847789294, 6.202016984552805 62.46973525054118)"/>
    <s v="[1334155, 1334163, 1334171, 1334179, 1334187, 1334195, 1334203, 1334211, 1334219, 1334227]"/>
    <s v="[1238826, 1238833, 1238840, 1238846, 1238852, 1238861, 1238869, 1238877, 1238883, 1207592]"/>
    <s v="0.05949666634248115"/>
    <s v="[1218340, 1238826, 1238833, 1238840, 1238846, 1238852, 1238861, 1238869, 1238877, 1238883]"/>
    <s v="[0.08, 0.088, 0.085, 0.092, 0.097, 0.087, 0.083, 0.077, 0.006, 2.728]"/>
    <s v="152.17558703466983"/>
    <s v="[-0.08, -0.088, -0.085, -0.092, -0.097, -0.087, -0.083, -0.077, -0.006, 2.728]"/>
  </r>
  <r>
    <x v="3692"/>
    <x v="4302"/>
    <x v="0"/>
    <n v="0"/>
    <m/>
    <n v="1296212"/>
    <n v="1208521"/>
    <s v="#FIELD!"/>
    <n v="1208516"/>
    <s v="0.02"/>
    <s v="28.950420394375925"/>
    <s v="#FIELD!"/>
  </r>
  <r>
    <x v="3692"/>
    <x v="4303"/>
    <x v="0"/>
    <n v="0"/>
    <s v="LINESTRING (9.637259046874645 63.28550724186002, 9.637078954132416 63.28557112673952, 9.630763411687052 63.286559354412354, 9.630625056856195 63.286563754118006)"/>
    <s v="[1335873, 1335887, 1335895]"/>
    <s v="[1240222, 1240230, 1240175]"/>
    <s v="#FIELD!"/>
    <s v="[1208516, 1240222, 1240230]"/>
    <s v="[0.001, 0.01, 0.017]"/>
    <s v="354.3311912428749"/>
    <s v="[-0.001, -0.01, -0.017]"/>
  </r>
  <r>
    <x v="3693"/>
    <x v="4304"/>
    <x v="0"/>
    <n v="0"/>
    <s v="LINESTRING (9.636709298381572 63.28558565270603, 9.630511346243802 63.286265826165675, 9.628566062485966 63.286406026608056, 9.624710430663525 63.28650720469311)"/>
    <s v="[1296220, 1296228, 1296236]"/>
    <s v="[1208526, 1208533, 1208539]"/>
    <s v="#FIELD!"/>
    <s v="[1208521, 1208526, 1208533]"/>
    <s v="[0.012, 0.02, 0.033]"/>
    <s v="613.6372892526754"/>
    <s v="[-0.012, -0.02, -0.033]"/>
  </r>
  <r>
    <x v="3693"/>
    <x v="4305"/>
    <x v="0"/>
    <n v="0"/>
    <s v="LINESTRING (9.630417548748854 63.28602041011846, 9.630518961093836 63.286014929445514, 9.632045913038866 63.285953220294196, 9.636398526351135 63.285589262988054, 9.636670417162868 63.28558555268702, 9.636709298381572 63.28558565270603)"/>
    <s v="[1335842, 1335848, 1335849, 1335850, 1335872]"/>
    <s v="[1240204, 1240208, 1240209, 1240210, 1208521]"/>
    <s v="0.015403666818548037"/>
    <s v="[1240203, 1240204, 1240208, 1240209, 1240210]"/>
    <s v="[0.009, 0.013, 0.015, 0.035, 0.036]"/>
    <s v="320.59070720069985"/>
    <s v="[0.009, 0.013, 0.015, 0.035, 0.036]"/>
  </r>
  <r>
    <x v="3694"/>
    <x v="4306"/>
    <x v="0"/>
    <n v="0"/>
    <m/>
    <n v="1296244"/>
    <n v="1208544"/>
    <s v="#FIELD!"/>
    <n v="1208539"/>
    <s v="0.029"/>
    <s v="43.717725524105454"/>
    <s v="#FIELD!"/>
  </r>
  <r>
    <x v="3694"/>
    <x v="4305"/>
    <x v="0"/>
    <n v="0"/>
    <s v="LINESTRING (9.624710430663525 63.28650720469311, 9.624866998730376 63.28648235317616, 9.630306291187654 63.28602755228258, 9.630417548748854 63.28602041011846)"/>
    <s v="[1335828, 1335836, 1335841]"/>
    <s v="[1240192, 1240199, 1240203]"/>
    <s v="0.02570177846307807"/>
    <s v="[1208539, 1240192, 1240199]"/>
    <s v="[0.027, 0.026, 0.009]"/>
    <s v="293.65875854841215"/>
    <s v="[0.027, 0.026, 0.009]"/>
  </r>
  <r>
    <x v="3695"/>
    <x v="4307"/>
    <x v="0"/>
    <n v="0"/>
    <s v="LINESTRING (9.623845279645455 63.2864623574865, 9.41096637996732 63.250988945317495)"/>
    <m/>
    <m/>
    <s v="0.0"/>
    <m/>
    <n v="0"/>
    <s v="12507.47468830385"/>
    <n v="0"/>
  </r>
  <r>
    <x v="3695"/>
    <x v="4303"/>
    <x v="0"/>
    <n v="0"/>
    <s v="LINESTRING (9.630625056856195 63.286563754118006, 9.630527097454983 63.286561536711616, 9.624095928259681 63.28650717033518, 9.623845279645455 63.2864623574865)"/>
    <s v="[1335807, 1335816, 1335821]"/>
    <s v="[1240176, 1240183, 1208544]"/>
    <s v="#FIELD!"/>
    <s v="[1240175, 1240176, 1240183]"/>
    <s v="[0.018, 0.032, 0.015]"/>
    <s v="341.8323166988067"/>
    <s v="[-0.018, -0.032, -0.015]"/>
  </r>
  <r>
    <x v="3696"/>
    <x v="4308"/>
    <x v="0"/>
    <n v="0"/>
    <s v="LINESTRING (7.761524575916197 62.49342803775059, 7.769951273368691 62.50120104084392, 7.770146484122586 62.501686084817194, 7.770195392956096 62.50181943442703, 7.7657268390167635 62.51211681340172, 7.76572457952552 62.51215659757631, 7.765721864799553 62.51219680892392, 7.76470531591415 62.514753654456904, 7.761927067382115 62.51725381029097, 7.75746044537658 62.5251712119588, 7.757459029657465 62.525219480797126, 7.757452314830964 62.52527578768397, 7.7541888048583445 62.5292244654031, 7.752342756383587 62.530173571762504, 7.749013186256943 62.53105986813697, 7.745562963222171 62.53210922046428, 7.745499103938149 62.532129587109786, 7.743707121341135 62.532648048119114, 7.736625374289793 62.53305892110064, 7.735502745869067 62.533036148875084, 7.734883765644622 62.53302426239547, 7.734743012700763 62.53302191319445, 7.734519071278138 62.53302012292195, 7.732588754885905 62.53317855568789, 7.7295517320040625 62.53607272260526, 7.724723497676135 62.53956230641642, 7.724628307633366 62.53959722169405, 7.724542718778827 62.53962945589077, 7.716667427655735 62.54801074731259, 7.706679180728866 62.5530665009395, 7.705957739279711 62.55343580653435, 7.7046256405733615 62.55406447091627, 7.704450682019422 62.554139786499135, 7.704325896435723 62.55419311367482, 7.687613412597782 62.55800074512802, 7.685743144982204 62.55822008577031, 7.685581476629713 62.558240057289005, 7.683586388192966 62.55846982542077)"/>
    <s v="[1368482, 1407135, 1407143, 1407151, 1407159, 1407031, 1407039, 1407047, 1407055, 1407063, 1407191, 1407199, 1407207, 1407215, 1407223, 1407231, 1407239, 1407247, 1407255, 1407263, 1407271, 1407279, 1407287, 1327512, 1327520, 1327528, 1327536, 1327544, 1327552, 1327560, 1327568, 1327576, 1327584, 1327592, 1327600, 1327608, 1327616]"/>
    <s v="[1262348, 1287488, 1287496, 1287503, 1287394, 1287395, 1287403, 1259489, 1287420, 1287428, 1287530, 1287537, 1287543, 1287548, 1287553, 1287558, 1287563, 1287571, 1287580, 1287588, 1287595, 1287600, 1233225, 313041, 1159016, 1233232, 939573, 1233242, 1233246, 1233253, 1233260, 1233267, 1233275, 1233283, 1233289, 1233297, 1208946]"/>
    <s v="#FIELD!"/>
    <s v="[1262340, 1262348, 1287488, 1287496, 1287503, 1287394, 1287395, 1287403, 1259489, 1287420, 1287428, 1287530, 1287537, 1287543, 1287548, 1287553, 1287558, 1287563, 1287571, 1287580, 1287588, 1287595, 1287600, 1233225, 313041, 1159016, 1233232, 939573, 1233242, 1233246, 1233253, 1233260, 1233267, 1233275, 1233283, 1233289, 1233297]"/>
    <s v="[0.026, 0.29, 0.003, 0.018, 0.008, 0.007, 0.001, 0.006, 0.009, 0.049, 0.039, 0.029, 0.189, 0.058, 0.019, 0.057, 0.05, 0.109, 0.079, 0.078, 0.077, 0.076, 0.066, 0.015, 0.03, 0.035, 0.055, 0.002, 0.01, 0.061, 0.054, 0.093, 0.096, 0.001, 0.002, 0.001, 0.016]"/>
    <s v="9692.044334466327"/>
    <s v="[-0.026, 0.29, 0.003, -0.018, -0.008, -0.007, 0.001, -0.006, 0.009, 0.049, 0.039, 0.029, 0.189, 0.058, -0.019, -0.057, -0.05, -0.109, -0.079, -0.078, -0.077, -0.076, -0.066, 0.015, 0.03, -0.035, -0.055, 0.002, -0.01, -0.061, -0.054, -0.093, -0.096, -0.001, 0.002, -0.001, 0.016]"/>
  </r>
  <r>
    <x v="3697"/>
    <x v="3362"/>
    <x v="0"/>
    <n v="0"/>
    <s v="LINESTRING (6.353032258984029 62.46772393849029, 6.352882521855414 62.46772652663875, 6.352757832332132 62.467684273019636)"/>
    <s v="[1309892, 1309900]"/>
    <s v="[1218528, 1209004]"/>
    <s v="0.009215591410501024"/>
    <s v="[1218525, 1218528]"/>
    <s v="[0.005, 0.023]"/>
    <s v="15.73524440120472"/>
    <s v="[-0.005, 0.023]"/>
  </r>
  <r>
    <x v="3698"/>
    <x v="4309"/>
    <x v="0"/>
    <n v="0"/>
    <m/>
    <n v="1328518"/>
    <n v="1209016"/>
    <s v="0.001"/>
    <n v="1209013"/>
    <s v="0.001"/>
    <s v="4.699415495697401"/>
    <s v="0.001"/>
  </r>
  <r>
    <x v="3698"/>
    <x v="4172"/>
    <x v="0"/>
    <n v="0"/>
    <s v="LINESTRING (6.35388556242881 62.46638986398986, 6.353753055241941 62.46638813422054, 6.353627337818595 62.46634406418795)"/>
    <s v="[1328589, 1328597]"/>
    <s v="[1234051, 1209013]"/>
    <s v="0.003913406468543319"/>
    <s v="[1234048, 1234051]"/>
    <s v="[0.005, 0.003]"/>
    <s v="15.006133315121284"/>
    <s v="[0.005, 0.003]"/>
  </r>
  <r>
    <x v="3699"/>
    <x v="4310"/>
    <x v="0"/>
    <n v="0"/>
    <s v="LINESTRING (6.353591589657087 62.46630537532299, 6.353462880759141 62.4662851793286, 6.352990399277571 62.466202384987064, 6.352633598757754 62.46614994134956, 6.351508921251339 62.46601225566997, 6.349137337212723 62.46571920125302, 6.347362891143333 62.46553804086085, 6.3471646499817425 62.465539336091965)"/>
    <s v="[1296899, 1296907, 1296915, 1296923, 1296931, 1296939, 1296947]"/>
    <s v="[1209017, 1209022, 1209028, 1209035, 1209040, 1209048, 1209055]"/>
    <s v="0.015715181888886477"/>
    <s v="[1209016, 1209017, 1209022, 1209028, 1209035, 1209040, 1209048]"/>
    <s v="[0.005, 0.006, 0.015, 0.018, 0.015, 0.016, 0.042]"/>
    <s v="343.8502199898423"/>
    <s v="[0.005, 0.006, 0.015, 0.018, 0.015, 0.016, 0.042]"/>
  </r>
  <r>
    <x v="3699"/>
    <x v="4311"/>
    <x v="0"/>
    <n v="0"/>
    <s v="LINESTRING (6.353591589657087 62.46630537532299, 6.353593848026241 62.46625393389123, 6.3536972126516975 62.46618799558616)"/>
    <s v="[1328526, 1328534]"/>
    <s v="[1234016, 1234021]"/>
    <s v="#FIELD!"/>
    <s v="[1209016, 1234016]"/>
    <s v="[0.002, 0.005]"/>
    <s v="14.844763510605942"/>
    <s v="[-0.002, -0.005]"/>
  </r>
  <r>
    <x v="3700"/>
    <x v="3363"/>
    <x v="0"/>
    <n v="0"/>
    <s v="LINESTRING (6.3471646499817425 62.465539336091965, 6.347112591234401 62.46554873339993, 6.346971014189168 62.46554317759365, 6.3468610546013675 62.465495441050116, 6.346842419852577 62.465471055957636)"/>
    <s v="[1309940, 1309948, 1309956, 1309964]"/>
    <s v="[1218560, 1218565, 1210890, 1209064]"/>
    <s v="0.02930979660361747"/>
    <s v="[1209055, 1218560, 1218565, 1210890]"/>
    <s v="[0.046, 0.039, 0.023, 0.005]"/>
    <s v="20.917345422593623"/>
    <s v="[0.046, 0.039, 0.023, 0.005]"/>
  </r>
  <r>
    <x v="3700"/>
    <x v="4312"/>
    <x v="0"/>
    <n v="0"/>
    <s v="LINESTRING (6.34725858349794 62.46540509282774, 6.347269436976717 62.46548088184991, 6.3471646499817425 62.465539336091965)"/>
    <s v="[1310020, 1310028]"/>
    <s v="[1218617, 1209055]"/>
    <s v="0.020500750166977236"/>
    <s v="[1218610, 1218617]"/>
    <s v="[0.003, 0.038]"/>
    <s v="16.966022794921074"/>
    <s v="[0.003, 0.038]"/>
  </r>
  <r>
    <x v="3701"/>
    <x v="3364"/>
    <x v="0"/>
    <n v="0"/>
    <s v="LINESTRING (6.346842419852577 62.465471055957636, 6.346846752073896 62.46541977078054, 6.346925475076945 62.46536744080755)"/>
    <s v="[1309972, 1309980]"/>
    <s v="[1218579, 1218585]"/>
    <s v="#FIELD!"/>
    <s v="[1209064, 1218579]"/>
    <s v="[0.012, 0.031]"/>
    <s v="12.85369895023721"/>
    <s v="[-0.012, -0.031]"/>
  </r>
  <r>
    <x v="3702"/>
    <x v="4313"/>
    <x v="0"/>
    <n v="0"/>
    <m/>
    <n v="1310036"/>
    <n v="1209148"/>
    <s v="0.099"/>
    <n v="1209143"/>
    <s v="0.099"/>
    <s v="2.9992805805514746"/>
    <s v="0.099"/>
  </r>
  <r>
    <x v="3702"/>
    <x v="3368"/>
    <x v="0"/>
    <n v="0"/>
    <s v="LINESTRING (6.3006711546031005 62.4636455200581, 6.300696396921373 62.4637082342884, 6.300641025804657 62.46374559891093)"/>
    <s v="[1310092, 1310100]"/>
    <s v="[1218658, 1209143]"/>
    <s v="0.1180277150209966"/>
    <s v="[1218653, 1218658]"/>
    <s v="[0.101, 0.142]"/>
    <s v="12.185326114131541"/>
    <s v="[0.101, 0.142]"/>
  </r>
  <r>
    <x v="3703"/>
    <x v="4314"/>
    <x v="0"/>
    <n v="0"/>
    <s v="LINESTRING (6.300588958749761 62.46375743649704, 6.300502437615034 62.46381591330422, 6.30018258733288 62.464008176578076)"/>
    <s v="[1297067, 1297075]"/>
    <s v="[1209149, 1209156]"/>
    <s v="0.142"/>
    <s v="[1209148, 1209149]"/>
    <s v="0.142"/>
    <s v="35.095895373341214"/>
    <s v="0.142"/>
  </r>
  <r>
    <x v="3703"/>
    <x v="4315"/>
    <x v="0"/>
    <n v="0"/>
    <s v="LINESTRING (6.300588958749761 62.46375743649704, 6.3004579900752 62.46374767339662, 6.300394572077751 62.463692952427316)"/>
    <s v="[1310044, 1310052]"/>
    <s v="[1218629, 1218634]"/>
    <s v="#FIELD!"/>
    <s v="[1209148, 1218629]"/>
    <s v="[0.04, 0.09]"/>
    <s v="13.794614635842104"/>
    <s v="[0.04, -0.09]"/>
  </r>
  <r>
    <x v="3704"/>
    <x v="4316"/>
    <x v="401"/>
    <n v="0"/>
    <s v="LINESTRING (6.30018258733288 62.464008176578076, 6.299988525080622 62.464209091311545, 6.295946022283096 62.466186687071364, 6.29385908418578 62.46696920132945)"/>
    <s v="[1305549, 1305557, 1305565]"/>
    <s v="[1215478, 1215484, 1209163]"/>
    <s v="0.03389675232256079"/>
    <s v="[1209156, 1215478, 1215484]"/>
    <s v="[0.152, 0.09, 0.112]"/>
    <s v="476.11423539622086"/>
    <s v="[0.152, 0.09, -0.112]"/>
  </r>
  <r>
    <x v="3704"/>
    <x v="4315"/>
    <x v="0"/>
    <n v="0"/>
    <s v="LINESTRING (6.300394572077751 62.463692952427316, 6.300325359744531 62.46378207323805, 6.30018258733288 62.464008176578076)"/>
    <s v="[2135209, 2135217]"/>
    <s v="[1835846, 1209156]"/>
    <s v="0.1444122260714802"/>
    <s v="[1218634, 1835846]"/>
    <s v="[1.017, 0.61]"/>
    <s v="36.9615174000534"/>
    <s v="[-1.017, 0.61]"/>
  </r>
  <r>
    <x v="3705"/>
    <x v="4317"/>
    <x v="0"/>
    <n v="0"/>
    <s v="LINESTRING (6.29385908418578 62.46696920132945, 6.293509095074969 62.46727064833086, 6.293484445602995 62.46729312584548, 6.293163791500444 62.467672807796845, 6.2931171538211705 62.46773776435322, 6.293038079551931 62.467919940581695, 6.293034127394927 62.46792968608625, 6.292977075551837 62.468341002375176, 6.292982301153759 62.46836777059244, 6.2930311144821385 62.46860294119492, 6.293056142809324 62.468676722267354)"/>
    <s v="[1297083, 1297091, 1297099, 1297107, 1297115, 1297123, 1297131, 1297140, 1297164, 1297172]"/>
    <s v="[1209164, 1209169, 1209174, 1209180, 1209187, 1209193, 1209202, 1209209, 1209224, 1209232]"/>
    <s v="#FIELD!"/>
    <s v="[1209163, 1209164, 1209169, 1209174, 1209180, 1209187, 1209193, 1209202, 1209209, 1209224]"/>
    <s v="[0.121, 0.11, 0.104, 0.1, 0.09, 0.098, 0.073, 0.025, 0.018, 0.012]"/>
    <s v="200.2948620750688"/>
    <s v="[-0.121, -0.11, -0.104, -0.1, -0.09, -0.098, -0.073, -0.025, -0.018, -0.012]"/>
  </r>
  <r>
    <x v="3705"/>
    <x v="4318"/>
    <x v="0"/>
    <n v="0"/>
    <s v="LINESTRING (6.29385908418578 62.46696920132945, 6.2933448718539395 62.46725755067514, 6.29298931333749 62.467653471779705, 6.292965385749338 62.467687325921666, 6.292945626957658 62.46772227346089, 6.29293061263911 62.46776699816373, 6.292874454287987 62.467906988545295, 6.292823063580918 62.46834032036348, 6.2928131475304445 62.468606597183125, 6.292790119845046 62.46867164642753)"/>
    <s v="[2135281, 2135289, 2135297, 2135305, 2135313, 2135321, 2135329, 2135337, 2135345]"/>
    <s v="[1835882, 1835888, 1210755, 1835893, 1589875, 1835899, 1210796, 1835904, 1218704]"/>
    <s v="#FIELD!"/>
    <s v="[1209163, 1835882, 1835888, 1210755, 1835893, 1589875, 1835899, 1210796, 1835904]"/>
    <s v="[0.377, 0.023, 0.025, 0.019, 0.024, 0.021, 0.0, 0.09, 0.017]"/>
    <s v="205.19224248101102"/>
    <s v="[-0.377, 0.023, 0.025, 0.019, 0.024, 0.021, -0.0, -0.09, -0.017]"/>
  </r>
  <r>
    <x v="3706"/>
    <x v="3572"/>
    <x v="0"/>
    <n v="0"/>
    <s v="LINESTRING (6.293056142809324 62.468676722267354, 6.293099418336688 62.46871558722342, 6.2930728253441535 62.46877981598058, 6.2929795284037064 62.468812842496575, 6.292835756473399 62.4688092531409)"/>
    <s v="[1310108, 1310116, 1310124, 1310132]"/>
    <s v="[1218670, 1218677, 1218681, 1209240]"/>
    <s v="#FIELD!"/>
    <s v="[1209232, 1218670, 1218677, 1218681]"/>
    <s v="[0.006, 0.028, 0.059, 0.062]"/>
    <s v="25.702402288380974"/>
    <s v="[0.006, -0.028, -0.059, -0.062]"/>
  </r>
  <r>
    <x v="3706"/>
    <x v="4318"/>
    <x v="0"/>
    <n v="0"/>
    <s v="LINESTRING (6.292790119845046 62.46867164642753, 6.292868863536018 62.468650364780615, 6.292959789749006 62.46865056878508, 6.293056142809324 62.468676722267354)"/>
    <s v="[1310164, 1310172, 1310180]"/>
    <s v="[1218711, 1218717, 1209232]"/>
    <s v="0.04409058695222335"/>
    <s v="[1218704, 1218711, 1218717]"/>
    <s v="[0.056, 0.047, 0.032]"/>
    <s v="15.189146655479846"/>
    <s v="[0.056, 0.047, 0.032]"/>
  </r>
  <r>
    <x v="3707"/>
    <x v="3573"/>
    <x v="0"/>
    <n v="0"/>
    <s v="LINESTRING (6.292835756473399 62.4688092531409, 6.292743921536687 62.46876197695249, 6.29275094756643 62.46869903921698)"/>
    <s v="[1310140, 1310148]"/>
    <s v="[1218692, 1218699]"/>
    <s v="0.007876985825435601"/>
    <s v="[1209240, 1218692]"/>
    <s v="[0.02, 0.036]"/>
    <s v="14.138991243698953"/>
    <s v="[-0.02, 0.036]"/>
  </r>
  <r>
    <x v="3708"/>
    <x v="4319"/>
    <x v="0"/>
    <n v="0"/>
    <s v="LINESTRING (6.235707506980825 62.47035196088947, 6.232467361521457 62.470205286523466, 6.232405575404276 62.47020599300531)"/>
    <s v="[1297257, 1297273]"/>
    <s v="[1209293, 1209306]"/>
    <s v="0.05296277009872783"/>
    <s v="[1209292, 1209293]"/>
    <s v="[0.053, 0.051]"/>
    <s v="171.6430590379501"/>
    <s v="[0.053, 0.051]"/>
  </r>
  <r>
    <x v="3708"/>
    <x v="4320"/>
    <x v="0"/>
    <n v="0"/>
    <s v="LINESTRING (6.235707506980825 62.47035196088947, 6.232462273581026 62.47017182581316, 6.230277303400135 62.47031282128088, 6.225897863779787 62.471052849753484, 6.223196362173062 62.47135347670627)"/>
    <s v="[2135449, 2135457, 2135465, 2135473]"/>
    <s v="[1835958, 1835964, 1835968, 1209337]"/>
    <s v="0.0006071950380624701"/>
    <s v="[1209292, 1835958, 1835964, 1835968]"/>
    <s v="[0.081, 0.001, 0.002, 0.09]"/>
    <s v="668.659307190861"/>
    <s v="[0.081, 0.001, -0.002, -0.09]"/>
  </r>
  <r>
    <x v="3708"/>
    <x v="4321"/>
    <x v="0"/>
    <n v="0"/>
    <m/>
    <n v="1305805"/>
    <n v="1209292"/>
    <s v="0.041"/>
    <n v="1215642"/>
    <s v="0.041"/>
    <s v="42.811038132699075"/>
    <s v="0.041"/>
  </r>
  <r>
    <x v="3709"/>
    <x v="4320"/>
    <x v="0"/>
    <n v="0"/>
    <s v="LINESTRING (6.232405575404276 62.47020599300531, 6.230298693970182 62.47034547997512, 6.22592576334452 62.471092600087424, 6.223196362173062 62.47135347670627)"/>
    <s v="[1297274, 1297281, 1297301]"/>
    <s v="[1209307, 1209315, 1209337]"/>
    <s v="#FIELD!"/>
    <s v="[1209306, 1209307, 1209315]"/>
    <s v="[0.046, 0.005, 0.088]"/>
    <s v="495.8995117607891"/>
    <s v="[0.046, -0.005, -0.088]"/>
  </r>
  <r>
    <x v="3709"/>
    <x v="4322"/>
    <x v="0"/>
    <n v="0"/>
    <s v="LINESTRING (6.23755916836164 62.471119519695925, 6.2374319468867085 62.471051565041506, 6.23742313213142 62.47103103577079, 6.2326633162777645 62.47022254425755, 6.232405575404276 62.47020599300531)"/>
    <s v="[1297963, 1297971, 1309468, 1297987]"/>
    <s v="[1209939, 1209945, 1209959, 1209306]"/>
    <s v="0.03565659080221739"/>
    <s v="[1209837, 1209939, 1209945, 1209959]"/>
    <s v="[0.065, 0.065, 0.039, 0.058]"/>
    <s v="308.6579063850485"/>
    <s v="[-0.065, -0.065, 0.039, 0.058]"/>
  </r>
  <r>
    <x v="3710"/>
    <x v="4300"/>
    <x v="0"/>
    <n v="0"/>
    <m/>
    <n v="1305813"/>
    <n v="1215651"/>
    <s v="0.008"/>
    <n v="1209337"/>
    <s v="0.008"/>
    <s v="808.6252638464169"/>
    <s v="0.008"/>
  </r>
  <r>
    <x v="3711"/>
    <x v="4323"/>
    <x v="0"/>
    <n v="0"/>
    <s v="LINESTRING (6.172991895534758 62.47045011771949, 6.172407467331085 62.47048630559563, 6.1721749823070065 62.470494224680465, 6.171890712320132 62.470503071837406)"/>
    <s v="[1297340, 1297348, 1297364]"/>
    <s v="[1209372, 1209381, 1209394]"/>
    <s v="#FIELD!"/>
    <s v="[1209371, 1209372, 1209381]"/>
    <s v="[0.015, 0.02, 0.017]"/>
    <s v="57.264034483713715"/>
    <s v="[-0.015, -0.02, -0.017]"/>
  </r>
  <r>
    <x v="3711"/>
    <x v="4324"/>
    <x v="0"/>
    <n v="0"/>
    <s v="LINESTRING (6.172991895534758 62.47045011771949, 6.172176534787586 62.47043854211529, 6.17181835559225 62.47043927028789, 6.1712444418996455 62.47044241241994, 6.17110604073409 62.47044301516375)"/>
    <s v="[2135481, 2135489, 2135497, 2135505]"/>
    <s v="[1835978, 1835985, 1835989, 1783342]"/>
    <s v="0.34964432248223637"/>
    <s v="[1209371, 1835978, 1835985, 1835989]"/>
    <s v="[0.819, 0.008, 0.008, 0.008]"/>
    <s v="97.51786327347072"/>
    <s v="[0.819, -0.008, -0.008, -0.008]"/>
  </r>
  <r>
    <x v="3711"/>
    <x v="4325"/>
    <x v="0"/>
    <s v="[0, 1, 1, 0, 0]"/>
    <s v="LINESTRING (6.182640663985434 62.47073371121682, 6.177374679723782 62.470449349036855, 6.175591241640547 62.470435637442925, 6.175310856888758 62.47043550251402, 6.175088032009429 62.470435962242554, 6.172991895534758 62.47045011771949)"/>
    <s v="[1305869, 1305877, 1305885, 1305893, 1305901]"/>
    <s v="[1215682, 1215686, 1215694, 1215699, 1209371]"/>
    <s v="#FIELD!"/>
    <s v="[1215677, 1215682, 1215686, 1215694, 1215699]"/>
    <s v="[0.024, 0.01, 0.016, 0.016, 0.018]"/>
    <s v="500.80782699683385"/>
    <s v="[-0.024, -0.01, -0.016, -0.016, -0.018]"/>
  </r>
  <r>
    <x v="3712"/>
    <x v="4326"/>
    <x v="0"/>
    <n v="0"/>
    <s v="LINESTRING (6.171890712320132 62.470503071837406, 6.171812534148091 62.470505950923595, 6.171095242059212 62.470525366481255, 6.1709219294089666 62.470524457254626, 6.170760811159761 62.470526006338986, 6.170708334146764 62.470526176242664, 6.170616738132035 62.470525786055575, 6.170522912393369 62.47052613031426, 6.17040495630706 62.470524954029024, 6.169984200004164 62.47052612513988, 6.169312567446772 62.47053119865174, 6.169182233555469 62.47053336232028, 6.1691007423251225 62.47053470908634, 6.167964044864768 62.47063101806109, 6.167871245649562 62.47064444058028, 6.167816274119108 62.47065331647866, 6.167645319678625 62.4706807518317, 6.1665676105587925 62.47084994311577, 6.165223157496628 62.4708948831381, 6.16508749050927 62.47088137444933, 6.1638414913880855 62.470851999988746, 6.162829448610982 62.47083962313083, 6.162079497704882 62.470888360577916, 6.162047190685857 62.47089200168045, 6.161952532896907 62.47090535600055, 6.161914769528938 62.47091066431054, 6.161826848639732 62.47092395142308, 6.161388015753516 62.470993625858775, 6.161039590579691 62.47104441393154, 6.161034845753329 62.471045069105394, 6.1608696578289335 62.47106281428766, 6.159729145946164 62.47105284352209)"/>
    <s v="[1297374, 1297380, 1297381, 1297388, 1297389, 1297390, 1297398, 1297399, 1297400, 1297405, 1297413, 1297414, 1297428, 1297429, 1297432, 1297445, 1297453, 1297459, 1297466, 1297469, 1297472, 1297475, 1297485, 1297486, 1297494, 1297502, 1297514, 1297515, 1297529, 1297530, 1297552]"/>
    <s v="[1209403, 1209410, 1209411, 1209419, 320983, 1209420, 1209429, 1209430, 1209431, 1209435, 1209445, 1209446, 1209460, 343233, 1209464, 1209472, 1209479, 1209483, 1209491, 1209494, 1209498, 1209501, 1209515, 1209516, 1209523, 1209532, 1209548, 1209549, 1209559, 1209560, 1209579]"/>
    <s v="#FIELD!"/>
    <s v="[1209394, 1209403, 1209410, 1209411, 1209419, 320983, 1209420, 1209429, 1209430, 1209431, 1209435, 1209445, 1209446, 1209460, 343233, 1209464, 1209472, 1209479, 1209483, 1209491, 1209494, 1209498, 1209501, 1209515, 1209516, 1209523, 1209532, 1209548, 1209549, 1209559, 1209560]"/>
    <s v="[0.013, 0.017, 0.021, 0.014, 0.017, 0.017, 0.019, 0.021, 0.016, 0.017, 0.018, 0.017, 0.008, 0.005, 0.002, 0.003, 0.005, 0.0, 0.002, 0.004, 0.003, 0.008, 0.009, 0.006, 0.01, 0.007, 0.007, 0.017, 0.574, 0.002, 0.006]"/>
    <s v="638.8695726819867"/>
    <s v="[-0.013, -0.017, -0.021, -0.014, -0.017, -0.017, -0.019, -0.021, -0.016, -0.017, -0.018, -0.017, -0.008, -0.005, -0.002, -0.003, -0.005, 0.0, 0.002, 0.004, -0.003, -0.008, -0.009, -0.006, -0.01, -0.007, -0.007, 0.017, 0.574, 0.002, -0.006]"/>
  </r>
  <r>
    <x v="3712"/>
    <x v="4327"/>
    <x v="0"/>
    <n v="0"/>
    <s v="LINESTRING (6.17625158287926 62.470519839431695, 6.176233669596155 62.47052026157837, 6.176140225308819 62.47052247765967, 6.172183990993105 62.47052268068805, 6.171890712320132 62.470503071837406)"/>
    <s v="[1309676, 1309684, 1309804, 1298027]"/>
    <s v="[1218402, 1218406, 1210000, 1209394]"/>
    <s v="#FIELD!"/>
    <s v="[1212643, 1218402, 1218406, 1210000]"/>
    <s v="[0.018, 0.016, 0.018, 0.023]"/>
    <s v="225.79788934196998"/>
    <s v="[-0.018, -0.016, -0.018, -0.023]"/>
  </r>
  <r>
    <x v="3713"/>
    <x v="4328"/>
    <x v="0"/>
    <n v="0"/>
    <s v="LINESTRING (6.159729145946164 62.47105284352209, 6.158506786418759 62.47098924799501, 6.15751050664669 62.47093416687345)"/>
    <s v="[1305909, 1305917]"/>
    <s v="[1215709, 1209621]"/>
    <s v="#FIELD!"/>
    <s v="[1209579, 1215709]"/>
    <s v="[0.004, 0.001]"/>
    <s v="115.46267202802855"/>
    <s v="[-0.004, 0.001]"/>
  </r>
  <r>
    <x v="3713"/>
    <x v="4324"/>
    <x v="0"/>
    <n v="0"/>
    <s v="LINESTRING (6.17110604073409 62.47044301516375, 6.170852429534379 62.470443385147405, 6.170617051550182 62.47044534197568, 6.170405570261144 62.47044619205177, 6.169188127761785 62.470453599308854, 6.169106492413795 62.470456021423466, 6.168970601486012 62.4704605870599, 6.168190988002386 62.47052116658635, 6.167973676284624 62.4705492067107, 6.167827553998768 62.4705675432015, 6.167714506032121 62.47058654296429, 6.167653570519512 62.470597153281545, 6.166572515392686 62.470772412400684, 6.166461295446447 62.47078316774358, 6.1650866710540955 62.47081619478203, 6.163836475475816 62.47080229653893, 6.162840075758378 62.47079089975798, 6.162822023409607 62.47079060634636, 6.162043379729681 62.47082344939213, 6.161916468513065 62.47083849598515, 6.161793555533696 62.4708552618008, 6.161008687356159 62.47096895347607, 6.160849646433795 62.4709911038408, 6.16063151238497 62.471016748612556, 6.159729145946164 62.47105284352209)"/>
    <s v="[2135513, 2135521, 2135529, 2135537, 2135545, 2135553, 2135561, 2135569, 2135577, 2135585, 2135593, 2135601, 2135609, 2135617, 2135625, 2135633, 2135641, 2135649, 2135657, 2135665, 2135681, 2135689, 2135697, 2135705]"/>
    <s v="[1835993, 320982, 1836002, 1836005, 1836012, 1836018, 1836022, 1836029, 343228, 1591901, 1836049, 1836054, 1836058, 1836062, 1836067, 1836071, 1836076, 1836080, 1836084, 1836089, 1836098, 1836104, 1836109, 1209579]"/>
    <s v="#FIELD!"/>
    <s v="[1783342, 1835993, 320982, 1836002, 1836005, 1836012, 1836018, 1836022, 1836029, 343228, 1591901, 1836049, 1836054, 1836058, 1836062, 1836067, 1836071, 1836076, 1836080, 1836084, 1836089, 1836098, 1836104, 1836109]"/>
    <s v="[0.008, 0.008, 0.008, 0.008, 0.036, 0.008, 0.007, 0.024, 0.025, 0.034, 0.031, 0.027, 0.004, 0.016, 0.031, 0.073, 0.127, 0.105, 0.071, 0.083, 0.086, 0.096, 0.098, 0.489]"/>
    <s v="597.4167444817251"/>
    <s v="[-0.008, 0.008, -0.008, -0.008, 0.036, -0.008, 0.007, 0.024, 0.025, 0.034, 0.031, 0.027, 0.004, -0.016, -0.031, -0.073, -0.127, -0.105, -0.071, -0.083, -0.086, -0.096, -0.098, -0.489]"/>
  </r>
  <r>
    <x v="3714"/>
    <x v="4329"/>
    <x v="0"/>
    <n v="0"/>
    <s v="LINESTRING (6.15751050664669 62.47093416687345, 6.157274351465971 62.47094452926118, 6.1562366264075985 62.47102108884289, 6.15610898127932 62.47107421501456, 6.156006508377987 62.47112123924434, 6.155848321196372 62.47107972019111, 6.155710481744274 62.47104324225486, 6.154290454919145 62.4707122547423, 6.154209851385563 62.47069221112814, 6.153070283902318 62.470466207029446, 6.152941035011866 62.47046956354131, 6.1527823861155 62.470497387680304, 6.152546149599326 62.47060204945453)"/>
    <s v="[1297614, 1297615, 349261, 2095686, 349293, 2095702, 1297629, 1297630, 1297636, 1297644, 1297648, 1297660]"/>
    <s v="[1209622, 337368, 337369, 337387, 337402, 1209633, 1209634, 1209635, 1209641, 321069, 1209653, 1209667]"/>
    <s v="0.0034948531017606707"/>
    <s v="[1209621, 1209622, 337368, 337369, 337387, 337402, 1209633, 1209634, 1209635, 1209641, 321069, 1209653]"/>
    <s v="[0.001, 0.049, 0.009, 0.006, 0.031, 0.267, 0.002, 0.004, 0.004, 0.009, 0.013, 0.015]"/>
    <s v="285.26742595410144"/>
    <s v="[0.001, 0.049, -0.009, -0.006, -0.031, -0.267, 0.002, 0.004, 0.004, 0.009, 0.013, 0.015]"/>
  </r>
  <r>
    <x v="3714"/>
    <x v="4329"/>
    <x v="0"/>
    <n v="0"/>
    <s v="LINESTRING (6.15751050664669 62.47093416687345, 6.157233425268365 62.470900304686644, 6.1562267575260945 62.47089980041146, 6.156029360259317 62.47097901147076, 6.1559319145029425 62.47103308101708, 6.1558553345658105 62.47101610626395, 6.155780493110778 62.47099952267596, 6.154271834033614 62.47064012528343, 6.154195408567715 62.4706118979227, 6.153040135238368 62.47038920132421, 6.152885556626902 62.470386483713675, 6.152706592408718 62.47043659929761, 6.152546149599326 62.47060204945453)"/>
    <s v="[2135713, 2135721, 2135729, 349269, 2095670, 2095678, 2135737, 2135745, 2135753, 2135761, 2135769, 2135777]"/>
    <s v="[1836116, 1822670, 337377, 337378, 1812908, 1812912, 1836129, 1836134, 1836138, 321059, 1836146, 1209667]"/>
    <s v="0.003094043984168076"/>
    <s v="[1209621, 1836116, 1822670, 337377, 337378, 1812908, 1812912, 1836129, 1836134, 1836138, 321059, 1836146]"/>
    <s v="[0.256, 0.025, 0.008, 0.006, 0.026, 0.033, 0.027, 0.022, 0.022, 0.02, 0.017, 0.152]"/>
    <s v="294.4517893888327"/>
    <s v="[0.256, -0.025, -0.008, -0.006, -0.026, -0.033, -0.027, -0.022, -0.022, -0.02, -0.017, 0.152]"/>
  </r>
  <r>
    <x v="3715"/>
    <x v="4330"/>
    <x v="402"/>
    <s v="[0, 0, 0, 0, 0, 1, 1, 0, 0, 0, 0, 0, 0, 0, 0, 0, 0, 0, 0, 0]"/>
    <s v="LINESTRING (6.152546149599326 62.47060204945453, 6.152283038335845 62.470762512401755, 6.152238889154753 62.47076945274698, 6.152145287291285 62.47078180150471, 6.152075439610633 62.470789205704534, 6.151947079475477 62.47080018305581, 6.151515795794986 62.47083371409873, 6.15139571862591 62.47082830987639, 6.151319701508837 62.47081953890189, 6.151280722407751 62.47081359556894, 6.151238807782782 62.470807085041216, 6.150705918961357 62.47072313254084, 6.148692322590595 62.470398139487656, 6.148582611085638 62.470386336472544, 6.14721746913311 62.47024616826279, 6.146778176146188 62.47020184151925, 6.14477530864435 62.47002456179719, 6.143032160337332 62.470038257448564, 6.1414376333129095 62.470115081260545, 6.138241017237309 62.47062169770377, 6.135664316401171 62.47049506055456)"/>
    <s v="[1305925, 1832545, 1832546, 1306013, 1306021, 1306029, 1306037, 1832537, 1832538, 1306158, 1306166, 1306174, 1306182, 1306190, 1306198, 1306206, 1306214, 1306222, 1306230, 1306238]"/>
    <s v="[1215716, 1608597, 1215783, 1215784, 923834, 1215797, 1215803, 1608593, 1215880, 1215881, 288521, 1215896, 1215903, 919377, 1215916, 924939, 924997, 925083, 937354, 1211360]"/>
    <s v="0.010790353799590634"/>
    <s v="[1209667, 1215716, 1608597, 1215783, 1215784, 923834, 1215797, 1215803, 1608593, 1215880, 1215881, 288521, 1215896, 1215903, 919377, 1215916, 924939, 924997, 925083, 937354]"/>
    <s v="[0.019, 1.626, 0.817, 0.028, 0.026, 0.026, 0.024, 1.265, 2.467, 0.021, 0.015, 0.021, 0.032, 0.028, 0.024, 0.02, 0.01, 0.002, 0.01, 0.008]"/>
    <s v="910.9104316814856"/>
    <s v="[0.019, -1.626, 0.817, 0.028, 0.026, 0.026, 0.024, -1.265, 2.467, 0.021, 0.015, 0.021, 0.032, 0.028, 0.024, 0.02, 0.01, 0.002, -0.01, 0.008]"/>
  </r>
  <r>
    <x v="3716"/>
    <x v="4322"/>
    <x v="0"/>
    <n v="0"/>
    <s v="LINESTRING (6.237598045617328 62.471033950771236, 6.2375797054402495 62.47108018905234, 6.23755916836164 62.471119519695925)"/>
    <s v="[1297835, 1297836]"/>
    <s v="[1209836, 1209837]"/>
    <s v="0.06522456935459904"/>
    <s v="[1209834, 1209836]"/>
    <s v="[0.068, 0.062]"/>
    <s v="9.769654478370633"/>
    <s v="[0.068, 0.062]"/>
  </r>
  <r>
    <x v="3716"/>
    <x v="4331"/>
    <x v="0"/>
    <n v="0"/>
    <s v="LINESTRING (6.237598045617328 62.471033950771236, 6.237537132217325 62.47103877240916, 6.237521011657508 62.47104073468913)"/>
    <s v="[1333886, 1333894]"/>
    <s v="[1238650, 1238658]"/>
    <s v="#FIELD!"/>
    <s v="[1209834, 1238650]"/>
    <s v="[0.008, 0.041]"/>
    <s v="4.056346870405259"/>
    <s v="[-0.008, -0.041]"/>
  </r>
  <r>
    <x v="3716"/>
    <x v="4332"/>
    <x v="0"/>
    <s v="[0, 0, 0, 1, 0, 0, 0, 0, 0, 0, 0]"/>
    <s v="LINESTRING (6.241222614590326 62.46953048871423, 6.241228125626812 62.46956334282294, 6.24125982993399 62.46977850927014, 6.2412639766371 62.46981472917193, 6.23956844438519 62.47088501417262, 6.23950200955138 62.47089306600968, 6.239287398236842 62.47091907262583, 6.238608476066156 62.47097785445183, 6.238456370191509 62.47098828513667, 6.237741200442054 62.471027057470025, 6.237647421585036 62.4710315711335, 6.237598045617328 62.471033950771236)"/>
    <s v="[1333797, 1333805, 1333813, 1333821, 1333830, 1333838, 1333846, 1333854, 1333862, 1333870, 1333878]"/>
    <s v="[1238585, 1238593, 1238598, 1210503, 1238609, 1238616, 1238624, 1238627, 1238633, 1238637, 1209834]"/>
    <s v="#FIELD!"/>
    <s v="[1209933, 1238585, 1238593, 1238598, 1210503, 1238609, 1238616, 1238624, 1238627, 1238633, 1238637]"/>
    <s v="[0.005, 0.01, 0.01, 0.011, 0.035, 0.03, 0.032, 0.032, 0.029, 0.033, 0.034]"/>
    <s v="295.1362287102799"/>
    <s v="[-0.005, -0.01, -0.01, -0.011, -0.035, -0.03, -0.032, -0.032, -0.029, -0.033, -0.034]"/>
  </r>
  <r>
    <x v="3716"/>
    <x v="4333"/>
    <x v="0"/>
    <n v="0"/>
    <s v="LINESTRING (6.240724133755128 62.470485743247266, 6.2406644858944595 62.47052689310133, 6.23760682838357 62.471018556277954, 6.237598045617328 62.471033950771236)"/>
    <s v="[1309122, 1309130, 1297833]"/>
    <s v="[1217994, 1209833, 1209834]"/>
    <s v="#FIELD!"/>
    <s v="[1215639, 1217994, 1209833]"/>
    <s v="[0.001, 0.021, 0.034]"/>
    <s v="201.19962691472392"/>
    <s v="[-0.001, -0.021, 0.034]"/>
  </r>
  <r>
    <x v="3717"/>
    <x v="4334"/>
    <x v="0"/>
    <n v="0"/>
    <m/>
    <n v="2159080"/>
    <n v="1849308"/>
    <s v="14.122"/>
    <n v="1209837"/>
    <s v="14.122"/>
    <s v="0.9889560152429212"/>
    <s v="14.122"/>
  </r>
  <r>
    <x v="3717"/>
    <x v="4335"/>
    <x v="0"/>
    <s v="[1, 1, 1, 0, 0, 0, 0, 0, 0, 0]"/>
    <s v="LINESTRING (6.241388207282297 62.469522155387615, 6.241397169639875 62.46955740562859, 6.241418155550021 62.46979109746166, 6.2396989509751295 62.47094906267136, 6.239652294979779 62.4709631280592, 6.239544768571763 62.47098630213766, 6.239302148066729 62.47101208246336, 6.238656735565365 62.47105536229648, 6.23775728964457 62.471108639409536, 6.23766290371031 62.47111381956753, 6.23755916836164 62.471119519695925)"/>
    <s v="[2159000, 2159008, 2159016, 2159024, 2159032, 2159040, 2159048, 2159056, 2159064, 2159072]"/>
    <s v="[1849253, 1849259, 1592198, 1849272, 1210489, 1849286, 1849291, 1849295, 1849300, 1209837]"/>
    <s v="#FIELD!"/>
    <s v="[1209926, 1849253, 1849259, 1592198, 1849272, 1210489, 1849286, 1849291, 1849295, 1849300]"/>
    <s v="[0.848, 0.031, 0.016, 0.026, 0.03, 0.019, 0.018, 0.016, 0.014, 2.567]"/>
    <s v="308.96966997920913"/>
    <s v="[0.848, 0.031, 0.016, 0.026, 0.03, 0.019, 0.018, 0.016, 0.014, -2.567]"/>
  </r>
  <r>
    <x v="3718"/>
    <x v="4336"/>
    <x v="0"/>
    <n v="0"/>
    <m/>
    <n v="1297923"/>
    <n v="1209902"/>
    <s v="0.0"/>
    <n v="1209901"/>
    <s v="0.0"/>
    <s v="7.600847913225288"/>
    <s v="0.0"/>
  </r>
  <r>
    <x v="3718"/>
    <x v="4332"/>
    <x v="0"/>
    <n v="0"/>
    <m/>
    <n v="1333789"/>
    <n v="1209933"/>
    <s v="#FIELD!"/>
    <n v="1209901"/>
    <s v="0.035"/>
    <s v="13.864555276542415"/>
    <s v="#FIELD!"/>
  </r>
  <r>
    <x v="3719"/>
    <x v="4335"/>
    <x v="0"/>
    <n v="0"/>
    <m/>
    <n v="2158992"/>
    <n v="1209926"/>
    <s v="#FIELD!"/>
    <n v="1209902"/>
    <s v="0.005"/>
    <s v="14.056030343230482"/>
    <s v="#FIELD!"/>
  </r>
  <r>
    <x v="3719"/>
    <x v="3575"/>
    <x v="0"/>
    <n v="0"/>
    <s v="LINESTRING (6.241343036779995 62.46939805124661, 6.2413991089217 62.46940392883984, 6.241660696428043 62.46939446364933, 6.242208124175723 62.469437494813775, 6.243987325639932 62.470025770842675, 6.244074796087957 62.47004910334336)"/>
    <s v="[1297931, 1309211, 1309220, 1309228, 1309236]"/>
    <s v="[1209910, 1218061, 1218066, 1218071, 1215615]"/>
    <s v="#FIELD!"/>
    <s v="[1209902, 1209910, 1218061, 1218066, 1218071]"/>
    <s v="[0.053, 0.052, 0.044, 0.026, 0.049]"/>
    <s v="164.06982933858552"/>
    <s v="[0.053, 0.052, 0.044, -0.026, -0.049]"/>
  </r>
  <r>
    <x v="3720"/>
    <x v="4332"/>
    <x v="0"/>
    <n v="0"/>
    <m/>
    <n v="1297955"/>
    <n v="1209933"/>
    <s v="#FIELD!"/>
    <n v="1209926"/>
    <s v="0.048"/>
    <s v="8.61123086445767"/>
    <s v="#FIELD!"/>
  </r>
  <r>
    <x v="3720"/>
    <x v="4321"/>
    <x v="0"/>
    <s v="[1, 1, 1, 1, 0, 0, 0, 0, 0]"/>
    <s v="LINESTRING (6.236525998054892 62.47041025131873, 6.236751951383217 62.47039065996557, 6.241006212621313 62.47017976500717, 6.2413928820155515 62.47012337484015, 6.2424364632588425 62.469902673263796, 6.2424404563412175 62.46990012433699, 6.242168326710811 62.46948191557472, 6.241693000067682 62.469481733050074, 6.241430033478452 62.46951835724037, 6.241388207282297 62.469522155387615)"/>
    <s v="[1309324, 1309332, 1309340, 1309348, 1309356, 1309364, 1309372, 1309380, 1297947]"/>
    <s v="[1218156, 1218163, 1218171, 1218174, 1218180, 1218187, 1218194, 1209925, 1209926]"/>
    <s v="0.0119814408932109"/>
    <s v="[1215642, 1218156, 1218163, 1218171, 1218174, 1218180, 1218187, 1218194, 1209925]"/>
    <s v="[0.035, 0.018, 0.019, 0.031, 0.0, 0.019, 0.047, 0.05, 0.043]"/>
    <s v="414.0475649518498"/>
    <s v="[-0.035, 0.018, 0.019, 0.031, 0.0, 0.019, -0.047, -0.05, -0.043]"/>
  </r>
  <r>
    <x v="3721"/>
    <x v="4298"/>
    <x v="0"/>
    <n v="0"/>
    <m/>
    <n v="1334147"/>
    <n v="1218340"/>
    <s v="#FIELD!"/>
    <n v="1209966"/>
    <s v="0.013"/>
    <s v="41.02259877190026"/>
    <s v="#FIELD!"/>
  </r>
  <r>
    <x v="3721"/>
    <x v="4298"/>
    <x v="0"/>
    <s v="[1, 1, 0]"/>
    <s v="LINESTRING (6.201624265459542 62.470503288977376, 6.201583705242142 62.47054828510673, 6.201581437154872 62.470550798013136, 6.200842424613546 62.4704405201044)"/>
    <s v="[1298003, 1298019, 2159280]"/>
    <s v="[1209975, 1209993, 1218340]"/>
    <s v="#FIELD!"/>
    <s v="[1209966, 1209975, 1209993]"/>
    <s v="[0.086, 0.0, 0.025]"/>
    <s v="47.07373344892273"/>
    <s v="[0.086, 0.0, -0.025]"/>
  </r>
  <r>
    <x v="3721"/>
    <x v="4300"/>
    <x v="0"/>
    <s v="[0, 0, 0, 1, 1]"/>
    <s v="LINESTRING (6.207790181074622 62.47025665988445, 6.20755577938169 62.470280946158105, 6.2025770919265 62.470402926969335, 6.2025660784405146 62.47040201044534, 6.201668594785665 62.47046217437741, 6.201624265459542 62.470503288977376)"/>
    <s v="[1309476, 1309484, 1309492, 1309500, 1297995]"/>
    <s v="[1218272, 1218278, 1218283, 1209965, 1209966]"/>
    <s v="0.026031720001533386"/>
    <s v="[1215651, 1218272, 1218278, 1218283, 1209965]"/>
    <s v="[0.03, 0.023, 0.029, 0.035, 0.073]"/>
    <s v="331.29861174722475"/>
    <s v="[0.03, 0.023, 0.029, 0.035, 0.073]"/>
  </r>
  <r>
    <x v="3722"/>
    <x v="3764"/>
    <x v="0"/>
    <n v="0"/>
    <m/>
    <n v="1298091"/>
    <n v="1210066"/>
    <s v="#FIELD!"/>
    <n v="1210055"/>
    <s v="0.025"/>
    <s v="68.17205585876101"/>
    <s v="#FIELD!"/>
  </r>
  <r>
    <x v="3722"/>
    <x v="4337"/>
    <x v="0"/>
    <n v="0"/>
    <m/>
    <n v="1784327"/>
    <n v="1210108"/>
    <s v="#FIELD!"/>
    <n v="1210055"/>
    <s v="0.119"/>
    <s v="38.829527264976875"/>
    <s v="#FIELD!"/>
  </r>
  <r>
    <x v="3722"/>
    <x v="4338"/>
    <x v="0"/>
    <n v="0"/>
    <s v="LINESTRING (11.244238489027934 60.46270252668987, 11.244897559947514 60.463841087114965, 11.246191163250282 60.47574873337956, 11.23886935066845 60.483961986752185, 11.238101110436679 60.48466754515319)"/>
    <s v="[1299184, 1104638, 1104658, 1298083]"/>
    <s v="[1045949, 1045950, 1045961, 1210055]"/>
    <s v="#FIELD!"/>
    <s v="[1210976, 1045949, 1045950, 1045961]"/>
    <s v="[0.037, 0.0, 0.005, 0.022]"/>
    <s v="2571.207729503654"/>
    <s v="[0.037, 0.0, -0.005, -0.022]"/>
  </r>
  <r>
    <x v="3723"/>
    <x v="3763"/>
    <x v="0"/>
    <n v="0"/>
    <m/>
    <n v="1784319"/>
    <n v="1210100"/>
    <s v="#FIELD!"/>
    <n v="1210066"/>
    <s v="0.106"/>
    <s v="29.92686627426936"/>
    <s v="#FIELD!"/>
  </r>
  <r>
    <x v="3724"/>
    <x v="4337"/>
    <x v="0"/>
    <n v="0"/>
    <m/>
    <n v="1298139"/>
    <n v="1210108"/>
    <s v="0.025"/>
    <n v="1210100"/>
    <s v="0.025"/>
    <s v="10.089301511490687"/>
    <s v="0.025"/>
  </r>
  <r>
    <x v="3725"/>
    <x v="4339"/>
    <x v="0"/>
    <n v="0"/>
    <s v="LINESTRING (11.237545300830764 60.48487900094672, 11.238583315574475 60.48386195848202, 11.245787025406079 60.475719277237744, 11.244566743147223 60.46393917209987, 11.244133045895232 60.46312156607319)"/>
    <s v="[1298147, 1104659, 1104662, 1299128]"/>
    <s v="[1045962, 1045963, 1045965, 1210936]"/>
    <s v="0.0005767025352904464"/>
    <s v="[1210108, 1045962, 1045963, 1045965]"/>
    <s v="[0.023, 0.005, 0.002, 0.04]"/>
    <s v="2545.5115601145035"/>
    <s v="[0.023, 0.005, -0.002, -0.04]"/>
  </r>
  <r>
    <x v="3726"/>
    <x v="3798"/>
    <x v="0"/>
    <n v="0"/>
    <s v="LINESTRING (11.240479889545355 60.4323863005478, 11.240571573144646 60.43169358560812, 11.240581148064326 60.43163059425302)"/>
    <s v="[1299032, 1299040]"/>
    <s v="[1210854, 1210861]"/>
    <s v="#FIELD!"/>
    <s v="[1210845, 1210854]"/>
    <s v="[0.019, 0.012]"/>
    <s v="84.39575054795019"/>
    <s v="[-0.019, -0.012]"/>
  </r>
  <r>
    <x v="3726"/>
    <x v="4340"/>
    <x v="0"/>
    <n v="0"/>
    <m/>
    <n v="1784303"/>
    <n v="1210845"/>
    <s v="#FIELD!"/>
    <n v="1210875"/>
    <s v="0.089"/>
    <s v="46.94207643438986"/>
    <s v="#FIELD!"/>
  </r>
  <r>
    <x v="3726"/>
    <x v="4341"/>
    <x v="0"/>
    <n v="0"/>
    <s v="LINESTRING (11.241868140475786 60.440091831138005, 11.241693165037322 60.438954022019864, 11.240469482881402 60.43335150897871, 11.240479889545355 60.4323863005478)"/>
    <s v="[1299120, 1104579, 1299024]"/>
    <s v="[1045900, 1045901, 1210845]"/>
    <s v="0.014307676707373266"/>
    <s v="[1210923, 1045900, 1045901]"/>
    <s v="[0.079, 0.01, 0.037]"/>
    <s v="863.2288664421505"/>
    <s v="[0.079, 0.01, -0.037]"/>
  </r>
  <r>
    <x v="3727"/>
    <x v="4342"/>
    <x v="0"/>
    <n v="0"/>
    <m/>
    <n v="1784311"/>
    <n v="1210861"/>
    <s v="#FIELD!"/>
    <n v="1210869"/>
    <s v="0.168"/>
    <s v="31.50445982700572"/>
    <s v="#FIELD!"/>
  </r>
  <r>
    <x v="3728"/>
    <x v="4340"/>
    <x v="0"/>
    <n v="0"/>
    <m/>
    <n v="1299064"/>
    <n v="1210875"/>
    <s v="0.036"/>
    <n v="1210869"/>
    <s v="0.036"/>
    <s v="13.78314496051975"/>
    <s v="0.036"/>
  </r>
  <r>
    <x v="3728"/>
    <x v="634"/>
    <x v="0"/>
    <n v="0"/>
    <s v="LINESTRING (11.241100485675062 60.41709104707311, 11.24104100683578 60.41753816828899, 11.241155368715441 60.42931782076352, 11.240966990627207 60.43060205051607, 11.240959945188088 60.43065009336856, 11.240951719955447 60.43070613871175, 11.240844612595719 60.43188153777908)"/>
    <s v="[2105450, 1104558, 1115831, 1115839, 1115847, 1299056]"/>
    <s v="[1045879, 1045880, 1055199, 1055206, 1055212, 1210869]"/>
    <s v="0.005743415425535689"/>
    <s v="[1819033, 1045879, 1045880, 1055199, 1055206, 1055212]"/>
    <s v="[0.007, 0.005, 0.005, 0.001, 0.007, 0.019]"/>
    <s v="1651.4457296210346"/>
    <s v="[-0.007, 0.005, 0.005, 0.001, 0.007, 0.019]"/>
  </r>
  <r>
    <x v="3729"/>
    <x v="4343"/>
    <x v="0"/>
    <n v="0"/>
    <s v="LINESTRING (11.240836465889219 60.43200516168712, 11.240868155027147 60.43326149547214, 11.24205117809216 60.438938881260526, 11.242138208646567 60.439746204088685)"/>
    <s v="[1299072, 1104587, 1299080]"/>
    <s v="[1045911, 1045912, 1210889]"/>
    <s v="#FIELD!"/>
    <s v="[1210875, 1045911, 1045912]"/>
    <s v="[0.037, 0.014, 0.086]"/>
    <s v="866.4002117388618"/>
    <s v="[0.037, -0.014, -0.086]"/>
  </r>
  <r>
    <x v="3730"/>
    <x v="4344"/>
    <x v="0"/>
    <n v="0"/>
    <m/>
    <n v="1299088"/>
    <n v="1210900"/>
    <s v="#FIELD!"/>
    <n v="1210889"/>
    <s v="0.091"/>
    <s v="77.56093153113466"/>
    <s v="#FIELD!"/>
  </r>
  <r>
    <x v="3730"/>
    <x v="4341"/>
    <x v="0"/>
    <n v="0"/>
    <m/>
    <n v="1784295"/>
    <n v="1210923"/>
    <s v="#FIELD!"/>
    <n v="1210889"/>
    <s v="0.122"/>
    <s v="41.417682206261105"/>
    <s v="#FIELD!"/>
  </r>
  <r>
    <x v="3731"/>
    <x v="3761"/>
    <x v="0"/>
    <n v="0"/>
    <m/>
    <n v="1784287"/>
    <n v="1210915"/>
    <s v="0.005"/>
    <n v="1210900"/>
    <s v="0.005"/>
    <s v="22.502697616028552"/>
    <s v="0.005"/>
  </r>
  <r>
    <x v="3731"/>
    <x v="4345"/>
    <x v="0"/>
    <n v="0"/>
    <s v="LINESTRING (11.242164161548583 60.44044211464042, 11.242161672580897 60.440595956063596, 11.242164012555351 60.44138360266816, 11.242162927794523 60.44141076253853, 11.242163064319426 60.44150020289245, 11.239976886355395 60.45317804696271, 11.239643683697583 60.454280076878085, 11.242400346354625 60.46037619583055, 11.242568759488908 60.460531839148345, 11.243346472287842 60.46135769179511, 11.244130739663587 60.46251105156895)"/>
    <s v="[1299096, 1115879, 1115887, 1115911, 1104609, 1104630, 1104637, 1298075, 1299160, 1299168]"/>
    <s v="[1055248, 1055249, 1055253, 1045929, 1045930, 1045942, 1045948, 1210047, 1210962, 1210967]"/>
    <s v="0.0126172982744876"/>
    <s v="[1210900, 1055248, 1055249, 1055253, 1045929, 1045930, 1045942, 1045948, 1210047, 1210962]"/>
    <s v="[0.097, 0.077, 0.037, 0.034, 0.007, 0.045, 0.046, 0.06, 0.034, 0.008]"/>
    <s v="2536.3717939058856"/>
    <s v="[-0.097, -0.077, 0.037, 0.034, 0.007, -0.045, 0.046, 0.06, 0.034, -0.008]"/>
  </r>
  <r>
    <x v="3732"/>
    <x v="4341"/>
    <x v="0"/>
    <n v="0"/>
    <m/>
    <n v="1299112"/>
    <n v="1210923"/>
    <s v="0.084"/>
    <n v="1210915"/>
    <s v="0.084"/>
    <s v="22.493096718880008"/>
    <s v="0.084"/>
  </r>
  <r>
    <x v="3733"/>
    <x v="3762"/>
    <x v="0"/>
    <n v="0"/>
    <s v="LINESTRING (11.244133045895232 60.46312156607319, 11.24380541125207 60.462501830919294, 11.243698364063585 60.462303211299556)"/>
    <s v="[1299136, 1299144]"/>
    <s v="[1210948, 1210953]"/>
    <s v="0.02905650920280443"/>
    <s v="[1210936, 1210948]"/>
    <s v="[0.031, 0.023]"/>
    <s v="94.27717525315299"/>
    <s v="[0.031, 0.023]"/>
  </r>
  <r>
    <x v="3733"/>
    <x v="4346"/>
    <x v="0"/>
    <n v="0"/>
    <m/>
    <n v="1356737"/>
    <n v="1210936"/>
    <s v="0.161"/>
    <n v="1255139"/>
    <s v="0.161"/>
    <s v="26.599339108243363"/>
    <s v="0.161"/>
  </r>
  <r>
    <x v="3734"/>
    <x v="4347"/>
    <x v="0"/>
    <n v="0"/>
    <m/>
    <n v="1356728"/>
    <n v="1210953"/>
    <s v="0.761"/>
    <n v="1255133"/>
    <s v="0.761"/>
    <s v="19.890418446966844"/>
    <s v="0.761"/>
  </r>
  <r>
    <x v="3735"/>
    <x v="4338"/>
    <x v="0"/>
    <n v="0"/>
    <m/>
    <n v="1299176"/>
    <n v="1210976"/>
    <s v="#FIELD!"/>
    <n v="1210967"/>
    <s v="0.027"/>
    <s v="22.145243101531044"/>
    <s v="#FIELD!"/>
  </r>
  <r>
    <x v="3735"/>
    <x v="4348"/>
    <x v="0"/>
    <n v="0"/>
    <m/>
    <n v="1356720"/>
    <n v="1255128"/>
    <s v="#FIELD!"/>
    <n v="1210967"/>
    <s v="1.111"/>
    <s v="12.387566548885713"/>
    <s v="#FIELD!"/>
  </r>
  <r>
    <x v="3736"/>
    <x v="4349"/>
    <x v="0"/>
    <n v="0"/>
    <m/>
    <n v="1356729"/>
    <n v="1255134"/>
    <s v="#FIELD!"/>
    <n v="1210976"/>
    <s v="0.455"/>
    <s v="19.482245301157384"/>
    <s v="#FIELD!"/>
  </r>
  <r>
    <x v="3737"/>
    <x v="4350"/>
    <x v="403"/>
    <s v="[0, 0, 1, 0, 0, 0, 0, 0, 0, 0, 0, 0, 0, 0, 0, 0, 0]"/>
    <s v="LINESTRING (6.087450709560706 62.14645536594862, 6.087554089902968 62.146243974869535, 6.0877449380296005 62.14589391415242, 6.088005210635211 62.145536336063714, 6.088349744295478 62.1451091596722, 6.088955020111168 62.14399044648922, 6.088982689806043 62.143255537055204, 6.088977071175754 62.143213866957716, 6.088969456323149 62.14315670203629, 6.08947211894637 62.140767283295794, 6.0895147265071925 62.14072123977337, 6.089553135102557 62.14067763538588, 6.090490176091842 62.13991417811299, 6.091619712890199 62.139265109253145, 6.092487265349023 62.13877013118861, 6.093877720648623 62.13772356924053, 6.094041901909882 62.13755134205479, 6.098396955586121 62.12192177888036)"/>
    <s v="[1321408, 1321416, 1321425, 1321433, 1321441, 1321456, 1321464, 1321465, 1321471, 1321472, 1321481, 1321491, 1321492, 1321499, 1321507, 1321508, 1321521]"/>
    <s v="[276009, 1228188, 1228196, 1228204, 1228211, 942577, 1228227, 1158844, 327456, 1228230, 1212006, 1228246, 1228247, 1228253, 1228258, 1228259, 1211319]"/>
    <s v="0.049169998395791184"/>
    <s v="[1211248, 276009, 1228188, 1228196, 1228204, 1228211, 942577, 1228227, 1158844, 327456, 1228230, 1212006, 1228246, 1228247, 1228253, 1228258, 1228259]"/>
    <s v="[0.005, 0.005, 0.007, 0.008, 0.01, 0.026, 0.031, 0.021, 0.027, 0.033, 0.028, 0.035, 0.044, 0.029, 0.28, 0.348, 0.041]"/>
    <s v="2872.7644882169225"/>
    <s v="[0.005, 0.005, 0.007, 0.008, 0.01, 0.026, 0.031, 0.021, 0.027, 0.033, 0.028, 0.035, 0.044, 0.029, 0.28, 0.348, 0.041]"/>
  </r>
  <r>
    <x v="3738"/>
    <x v="2831"/>
    <x v="0"/>
    <n v="0"/>
    <s v="LINESTRING (6.098396955586121 62.12192177888036, 6.098553249040739 62.121844240648606, 6.0998620299918995 62.12108491349981, 6.0999118192907344 62.12105901076254, 6.101139193068984 62.12044735130919, 6.101154450500951 62.12044045889048, 6.1024511110189685 62.11988073148785)"/>
    <s v="[1299528, 1299536, 1299544, 1299552, 1299560, 1299568]"/>
    <s v="[1211320, 1211180, 1211333, 1211343, 1211351, 1211358]"/>
    <s v="0.060895361936297"/>
    <s v="[1211319, 1211320, 1211180, 1211333, 1211343, 1211351]"/>
    <s v="[0.432, 0.329, 0.399, 0.03, 0.428, 0.281]"/>
    <s v="311.97099283692705"/>
    <s v="[0.432, 0.329, 0.399, 0.03, -0.428, -0.281]"/>
  </r>
  <r>
    <x v="3738"/>
    <x v="2831"/>
    <x v="0"/>
    <n v="0"/>
    <s v="LINESTRING (6.098396955586121 62.12192177888036, 6.098503777006576 62.12182747590079, 6.099731288567962 62.12107734218478, 6.0997811063930385 62.12104984157181, 6.099830545377774 62.12102231638737, 6.101086648879907 62.120407810873395, 6.1024511110189685 62.11988073148785)"/>
    <s v="[2079321, 2079329, 2079337, 2079345, 2079353, 2079361]"/>
    <s v="[1803156, 1803162, 1803168, 1211188, 1803175, 1211358]"/>
    <s v="0.06070561274893158"/>
    <s v="[1211319, 1803156, 1803162, 1803168, 1211188, 1803175]"/>
    <s v="[0.055, 0.24, 0.164, 0.157, 0.162, 0.255]"/>
    <s v="313.404309797324"/>
    <s v="[0.055, 0.24, 0.164, 0.157, 0.162, -0.255]"/>
  </r>
  <r>
    <x v="3739"/>
    <x v="4351"/>
    <x v="0"/>
    <s v="[0, 1, 0, 0, 0, 0]"/>
    <s v="LINESTRING (5.4757128817864436 59.27676941756511, 5.475733146413163 59.27703937565644, 5.475733986603561 59.27708653948703, 5.475773517724519 59.277355704779445, 5.4758023079651394 59.27744635602066, 5.475953641821523 59.2777312594932, 5.476685501891263 59.27844217149644)"/>
    <s v="[1299629, 1299621, 2061937, 1299693, 1299701, 1299645]"/>
    <s v="[1211411, 1211412, 1211468, 1211469, 1211432, 1211433]"/>
    <s v="0.10431628672141158"/>
    <s v="[1211419, 1211411, 1211412, 1211468, 1211469, 1211432]"/>
    <s v="[0.105, 0.112, 0.106, 0.106, 0.104, 0.103]"/>
    <s v="199.21856690725554"/>
    <s v="[0.105, 0.112, 0.106, 0.106, 0.104, 0.103]"/>
  </r>
  <r>
    <x v="3739"/>
    <x v="4352"/>
    <x v="0"/>
    <s v="[0, 1, 0, 0]"/>
    <s v="LINESTRING (5.4757128817864436 59.27676941756511, 5.475665743755727 59.277039101395204, 5.475665076326755 59.27708597313076, 5.475692766544694 59.27735941760063, 5.4757090995466955 59.27744813678076)"/>
    <s v="[1299717, 1299709, 1299685, 1299637]"/>
    <s v="[1211479, 1211465, 1211424, 1211425]"/>
    <s v="0.10467417303763878"/>
    <s v="[1211419, 1211479, 1211465, 1211424]"/>
    <s v="[0.103, 0.112, 0.104, 0.108]"/>
    <s v="76.18042733746681"/>
    <s v="[0.103, 0.112, 0.104, 0.108]"/>
  </r>
  <r>
    <x v="3739"/>
    <x v="2938"/>
    <x v="0"/>
    <s v="[0, 0, 0, 0, 0, 0, 1, 0, 0, 0, 0, 0, 0, 0, 0, 0, 0, 0, 0, 0, 0, 1, 0, 0, 0, 0, 0, 0, 0, 1, 0, 1, 0, 0, 0, 0, 0, 0, 0, 0, 0, 0, 0, 0, 0, 0, 0, 0, 0, 0, 0, 0, 0, 0, 0, 0, 1, 1, 1, 0, 0, 0, 0, 0, 0, 0, 0, 0, 0, 1, 1, 0, 0]"/>
    <s v="LINESTRING (5.450977469083645 59.172789372841926, 5.4515501840911185 59.17321588346952, 5.45337250314371 59.17425112806329, 5.456138487874772 59.177718274364906, 5.45618132383927 59.17778489633425, 5.456226351103878 59.17785424822731, 5.462013856234145 59.18213556473526, 5.462743779708759 59.18256335715049, 5.463011776306545 59.182718467670675, 5.463189894958494 59.18282810203962, 5.463650402225455 59.18316198627413, 5.463666277002881 59.183176451350135, 5.457953774737924 59.195518005681954, 5.457290023764262 59.20690775742289, 5.457179308267256 59.20792927818305, 5.457163419392521 59.208469930281176, 5.457166591447327 59.20852339700284, 5.457170570694423 59.20857593806524, 5.457213339205376 59.20907819880754, 5.457228466606982 59.2092146678495, 5.45728560781156 59.20958920779126, 5.457324246734388 59.20977734993416, 5.457373439173643 59.210013972481306, 5.452818378075998 59.2186636037169, 5.453553125175405 59.22150943294423, 5.453594661216706 59.221544025730275, 5.453602000790119 59.22155014754125, 5.453604829787319 59.221552499752654, 5.454401656737125 59.222091655831015, 5.455462777621197 59.222515163781914, 5.462077079294907 59.22311952261088, 5.464123508635731 59.224020403809504, 5.464162335697884 59.22406021651404, 5.464439510624295 59.22448872765271, 5.4645059373038185 59.224740217107026, 5.464512806706363 59.22481535604269, 5.464514103588339 59.22489769498105, 5.464506763944525 59.22504177565299, 5.464346656351114 59.22543674346871, 5.464313306668598 59.22548345758628, 5.464285317982486 59.22552009015579, 5.463842338261391 59.22609870350481, 5.4633606361736184 59.226771349432006, 5.462085459190152 59.23223453522029, 5.461598162788811 59.23701529341225, 5.462316367063945 59.23856728993256, 5.463697352313793 59.239716176433184, 5.463712510092929 59.23972469286283, 5.463724272376936 59.23973129465622, 5.471461880096115 59.24334578595735, 5.471481000952037 59.24336085931899, 5.471496409550433 59.24337300944953, 5.47227755028162 59.244710593125056, 5.472362729221464 59.24664176184117, 5.472019154112247 59.24784488937802, 5.471822811049742 59.248342172496265, 5.471677533868774 59.249743088868726, 5.472237320769725 59.25102268071819, 5.472611937375714 59.251714689679304, 5.472120273462714 59.25339486791653, 5.470316740246068 59.254064461495766, 5.468705586550974 59.25434443932728, 5.463487831145097 59.2578574679483, 5.462093306134617 59.26001330767891, 5.4619206301704715 59.2604078082034, 5.4692901938438565 59.269231768118374, 5.473676772199061 59.27076612574152, 5.4739167122825805 59.27127927127223, 5.474026535860072 59.272137202808686, 5.474078869842438 59.27242593828063, 5.475069127701249 59.27426704986554, 5.475439555076881 59.27484306427436, 5.475596522069291 59.275137895288, 5.4757128817864436 59.27676941756511)"/>
    <s v="[2101163, 2101176, 2101179, 2101195, 2101196, 2101203, 2101204, 2101211, 2101219, 2101227, 2101240, 2101252, 2101253, 2101262, 2101287, 2101295, 2101303, 2101310, 2101318, 2101326, 2101327, 2101345, 2101360, 2101361, 2101366, 2101376, 2101394, 2101404, 2101412, 2101433, 2101434, 2101439, 2101447, 2101455, 2101463, 2101471, 2101479, 2101487, 2101495, 2101503, 2101511, 2101516, 2101528, 2101529, 2101544, 2101552, 2101560, 2101568, 2101576, 2101584, 2101592, 2101600, 2101608, 2101616, 2101624, 2101632, 2101640, 2101663, 2101664, 2101672, 2101680, 2101688, 2101702, 2101710, 2101718, 2101726, 2101734, 2101742, 2101750, 2101758, 2101773, 2101781, 2101789]"/>
    <s v="[1816482, 1816491, 1186503, 1816500, 1186466, 1816507, 1816508, 1816513, 1302415, 1302405, 1816530, 1816536, 1816537, 1816543, 687068, 1816562, 687081, 1816574, 1816579, 1816587, 1816588, 1816601, 1816611, 1816612, 1816615, 1816620, 1816627, 1816632, 1816638, 1816649, 1816650, 1816657, 1816661, 1816668, 1816673, 1816678, 1816684, 687144, 1816696, 687165, 1816703, 1816706, 1232518, 1232542, 1186401, 1816727, 1816730, 1816736, 1816741, 1816747, 1816752, 1612855, 1235307, 1235291, 1816768, 1816774, 1816780, 1816799, 1816800, 1199654, 1234441, 1815377, 1767709, 1767698, 345056, 1816827, 1235274, 1816840, 1816848, 1816854, 1816862, 1816867, 1211419]"/>
    <s v="#FIELD!"/>
    <s v="[1813548, 1816482, 1816491, 1186503, 1816500, 1186466, 1816507, 1816508, 1816513, 1302415, 1302405, 1816530, 1816536, 1816537, 1816543, 687068, 1816562, 687081, 1816574, 1816579, 1816587, 1816588, 1816601, 1816611, 1816612, 1816615, 1816620, 1816627, 1816632, 1816638, 1816649, 1816650, 1816657, 1816661, 1816668, 1816673, 1816678, 1816684, 687144, 1816696, 687165, 1816703, 1816706, 1232518, 1232542, 1186401, 1816727, 1816730, 1816736, 1816741, 1816747, 1816752, 1612855, 1235307, 1235291, 1816768, 1816774, 1816780, 1816799, 1816800, 1199654, 1234441, 1815377, 1767709, 1767698, 345056, 1816827, 1235274, 1816840, 1816848, 1816854, 1816862, 1816867]"/>
    <s v="[0.004, 0.01, 0.003, 0.001, 0.0, 0.01, 0.007, 0.007, 0.008, 0.008, 0.01, 0.021, 0.001, 0.019, 0.016, 0.003, 0.016, 0.009, 0.004, 0.004, 0.003, 0.001, 0.006, 0.047, 0.074, 0.117, 0.0, 0.079, 0.049, 0.005, 0.091, 0.111, 0.107, 0.098, 0.089, 0.081, 0.081, 0.053, 0.004, 0.043, 0.011, 0.0, 0.027, 0.013, 0.072, 0.106, 0.113, 0.103, 0.043, 0.136, 0.168, 0.113, 0.069, 0.056, 0.057, 0.04, 0.008, 0.009, 0.019, 0.008, 0.052, 0.027, 0.002, 0.014, 0.009, 0.04, 0.034, 0.003, 0.003, 0.004, 0.005, 0.006, 0.006]"/>
    <s v="13391.73081709855"/>
    <s v="[-0.004, -0.01, 0.003, 0.001, 0.0, -0.01, 0.007, 0.007, 0.008, 0.008, 0.01, 0.021, 0.001, 0.019, 0.016, 0.003, 0.016, 0.009, 0.004, 0.004, 0.003, -0.001, -0.006, -0.047, -0.074, -0.117, 0.0, -0.079, -0.049, -0.005, 0.091, 0.111, 0.107, 0.098, 0.089, 0.081, 0.081, 0.053, 0.004, 0.043, 0.011, -0.0, 0.027, 0.013, 0.072, 0.106, 0.113, 0.103, -0.043, -0.136, -0.168, -0.113, -0.069, -0.056, -0.057, -0.04, 0.008, 0.009, 0.019, -0.008, -0.052, 0.027, 0.002, -0.014, -0.009, -0.04, -0.034, 0.003, 0.003, 0.004, 0.005, 0.006, 0.006]"/>
  </r>
  <r>
    <x v="3740"/>
    <x v="4353"/>
    <x v="0"/>
    <n v="0"/>
    <s v="LINESTRING (5.4757090995466955 59.27744813678076, 5.476565801477236 59.278455893204054, 5.478015861535941 59.2797808454141, 5.477264183799645 59.281475253725155)"/>
    <s v="[1299661, 1299669, 1299677]"/>
    <s v="[1211444, 1211451, 1211458]"/>
    <s v="0.08766006916034845"/>
    <s v="[1211425, 1211444, 1211451]"/>
    <s v="[0.104, 0.128, 0.043]"/>
    <s v="495.4394350211551"/>
    <s v="[0.104, 0.128, 0.043]"/>
  </r>
  <r>
    <x v="3740"/>
    <x v="4354"/>
    <x v="0"/>
    <n v="0"/>
    <s v="LINESTRING (5.476782765469446 59.27993626523485, 5.476782765469446 59.27993626523485, 5.4757028011759665 59.27752062995878, 5.4757090995466955 59.27744813678076)"/>
    <s v="[1299773, 1299757, 1299813]"/>
    <s v="[1211515, 1211516, 1211425]"/>
    <s v="#FIELD!"/>
    <s v="[1211532, 1211515, 1211516]"/>
    <s v="[0.0, 0.078, 0.1]"/>
    <s v="366.3687374751309"/>
    <s v="[0.0, -0.078, -0.1]"/>
  </r>
  <r>
    <x v="3741"/>
    <x v="4355"/>
    <x v="0"/>
    <n v="0"/>
    <m/>
    <n v="1299653"/>
    <n v="1211438"/>
    <s v="0.132"/>
    <n v="1211433"/>
    <s v="0.132"/>
    <s v="173.22013962205904"/>
    <s v="0.132"/>
  </r>
  <r>
    <x v="3741"/>
    <x v="4356"/>
    <x v="0"/>
    <n v="0"/>
    <s v="LINESTRING (5.476685501891263 59.27844217149644, 5.476892245506615 59.27853725919629, 5.47889776850673 59.27892809089478, 5.478926677429201 59.27895728259849)"/>
    <s v="[1299789, 1299725, 1299733]"/>
    <s v="[1211491, 1211492, 1211498]"/>
    <s v="0.10535446915120528"/>
    <s v="[1211433, 1211491, 1211492]"/>
    <s v="[0.121, 0.102, 0.154]"/>
    <s v="146.74169652326677"/>
    <s v="[0.121, 0.102, 0.154]"/>
  </r>
  <r>
    <x v="3742"/>
    <x v="4357"/>
    <x v="0"/>
    <n v="0"/>
    <s v="LINESTRING (5.478134278076702 59.279786302034246, 5.477382623386499 59.28148641710728, 5.477012876099307 59.28763817503209)"/>
    <s v="[2061921, 2061929]"/>
    <s v="[1792390, 1792384]"/>
    <s v="0.0025202919645290686"/>
    <s v="[1211438, 1792390]"/>
    <s v="[0.047, 0.01]"/>
    <s v="913.1644402710335"/>
    <s v="[0.047, -0.01]"/>
  </r>
  <r>
    <x v="3742"/>
    <x v="4358"/>
    <x v="0"/>
    <n v="0"/>
    <s v="LINESTRING (5.478342919511547 59.27920910312476, 5.478342919511547 59.27920910312476, 5.478176821805717 59.27973375117787, 5.478134278076702 59.279786302034246)"/>
    <s v="[1299741, 1299781, 1299797]"/>
    <s v="[1211505, 1211539, 1211438]"/>
    <s v="0.08542830788878522"/>
    <s v="[1211504, 1211505, 1211539]"/>
    <s v="[0.0, 0.093, 0.061]"/>
    <s v="72.9505427495906"/>
    <s v="[0.0, 0.093, 0.061]"/>
  </r>
  <r>
    <x v="3743"/>
    <x v="4357"/>
    <x v="0"/>
    <n v="0"/>
    <m/>
    <n v="2061913"/>
    <n v="1792384"/>
    <s v="#FIELD!"/>
    <n v="1211458"/>
    <s v="0.008"/>
    <s v="715.4032652045141"/>
    <s v="#FIELD!"/>
  </r>
  <r>
    <x v="3743"/>
    <x v="4359"/>
    <x v="0"/>
    <n v="0"/>
    <s v="LINESTRING (5.477264183799645 59.281475253725155, 5.477366351592699 59.28133778147827, 5.476760874044881 59.27999576435377, 5.476709544934813 59.27999410062473)"/>
    <s v="[1299805, 1299749, 1299765]"/>
    <s v="[1211508, 1211509, 1211525]"/>
    <s v="#FIELD!"/>
    <s v="[1211458, 1211508, 1211509]"/>
    <s v="[0.015, 0.074, 0.135]"/>
    <s v="223.43157014356726"/>
    <s v="[0.015, -0.074, -0.135]"/>
  </r>
  <r>
    <x v="3744"/>
    <x v="3467"/>
    <x v="0"/>
    <n v="0"/>
    <s v="LINESTRING (5.70908109460086 58.8946230018289, 5.708772541021488 58.89461726088248, 5.708715315100856 58.89455193290682, 5.708730372494804 58.89449952654298, 5.708845581811477 58.89443965083827)"/>
    <s v="[1300961, 1300969, 1300977, 1300985]"/>
    <s v="[1212372, 1212379, 1212388, 1212397]"/>
    <s v="#FIELD!"/>
    <s v="[1212371, 1212372, 1212379, 1212388]"/>
    <s v="[0.025, 0.018, 0.005, 0.013]"/>
    <s v="42.983134924802506"/>
    <s v="[-0.025, -0.018, -0.005, 0.013]"/>
  </r>
  <r>
    <x v="3744"/>
    <x v="4360"/>
    <x v="0"/>
    <n v="0"/>
    <s v="LINESTRING (5.7091292745944955 58.8944985332677, 5.709146657811212 58.89453946506503, 5.70908109460086 58.8946230018289)"/>
    <s v="[1301009, 1301017]"/>
    <s v="[1212425, 1212371]"/>
    <s v="0.0036194400723824137"/>
    <s v="[1212417, 1212425]"/>
    <s v="[0.016, 0.002]"/>
    <s v="14.999917648886463"/>
    <s v="[0.016, -0.002]"/>
  </r>
  <r>
    <x v="3744"/>
    <x v="1226"/>
    <x v="0"/>
    <n v="0"/>
    <s v="LINESTRING (5.711009660012875 58.89455356761679, 5.710187550561646 58.89457220189831, 5.709233138271731 58.89459334930053, 5.70908109460086 58.8946230018289)"/>
    <s v="[1301601, 1301609, 1301617]"/>
    <s v="[1212952, 1212958, 1212371]"/>
    <s v="#FIELD!"/>
    <s v="[1212743, 1212952, 1212958]"/>
    <s v="[0.025, 0.026, 0.021]"/>
    <s v="112.99493954385207"/>
    <s v="[-0.025, -0.026, -0.021]"/>
  </r>
  <r>
    <x v="3745"/>
    <x v="4361"/>
    <x v="0"/>
    <n v="0"/>
    <m/>
    <n v="1300993"/>
    <n v="1212405"/>
    <s v="0.024"/>
    <n v="1212397"/>
    <s v="0.024"/>
    <s v="11.8052350494117"/>
    <s v="0.024"/>
  </r>
  <r>
    <x v="3746"/>
    <x v="4360"/>
    <x v="0"/>
    <n v="0"/>
    <m/>
    <n v="1301001"/>
    <n v="1212417"/>
    <s v="0.026"/>
    <n v="1212405"/>
    <s v="0.026"/>
    <s v="7.828623506426416"/>
    <s v="0.026"/>
  </r>
  <r>
    <x v="3746"/>
    <x v="3468"/>
    <x v="0"/>
    <n v="0"/>
    <s v="LINESTRING (5.711146715886937 58.8933503934665, 5.709084124442941 58.89416342825858, 5.709056500103143 58.894392912727135, 5.7090444365801005 58.894443936625656)"/>
    <s v="[2099833, 2099860, 2099868]"/>
    <s v="[1815644, 1815661, 1212405]"/>
    <s v="#FIELD!"/>
    <s v="[1212730, 1815644, 1815661]"/>
    <s v="[0.004, 0.009, 0.005]"/>
    <s v="188.02597046166585"/>
    <s v="[-0.004, 0.009, 0.005]"/>
  </r>
  <r>
    <x v="3747"/>
    <x v="1226"/>
    <x v="0"/>
    <n v="0"/>
    <s v="LINESTRING (5.711009660012875 58.89455356761679, 5.709447259353228 58.89450748738437, 5.709235336165276 58.894501486746705, 5.7091292745944955 58.8944985332677)"/>
    <s v="[1301553, 1301561, 1301569]"/>
    <s v="[1212903, 1212912, 1212417]"/>
    <s v="#FIELD!"/>
    <s v="[1212743, 1212903, 1212912]"/>
    <s v="0.027"/>
    <s v="108.91595604199115"/>
    <s v="#FIELD!"/>
  </r>
  <r>
    <x v="3748"/>
    <x v="4362"/>
    <x v="0"/>
    <n v="0"/>
    <s v="LINESTRING (5.6077453893861895 59.50785605368636, 5.607682955667065 59.507955032539755, 5.607608327547575 59.50798334295205, 5.607483269983158 59.50799552508026, 5.607303796317953 59.50794555004091, 5.607263285633018 59.507902931450325, 5.607256808292608 59.5078556375139, 5.607389059577166 59.50775945750613, 5.60766718543772 59.50777852371982)"/>
    <s v="[1301261, 1301269, 1301277, 1301205, 1301213, 1301221, 1301229, 1301237]"/>
    <s v="[1212655, 1212662, 1212605, 1212606, 1212612, 1212619, 1212625, 1212631]"/>
    <s v="#FIELD!"/>
    <s v="[1212648, 1212655, 1212662, 1212605, 1212606, 1212612, 1212619, 1212625]"/>
    <s v="[0.081, 0.021, 0.003, 0.064, 0.105, 0.075, 0.063, 0.032]"/>
    <s v="77.08787352398004"/>
    <s v="[0.081, 0.021, 0.003, -0.064, -0.105, -0.075, -0.063, 0.032]"/>
  </r>
  <r>
    <x v="3748"/>
    <x v="4363"/>
    <x v="0"/>
    <n v="0"/>
    <s v="LINESTRING (5.607911971689416 59.50775603287366, 5.607769816206311 59.50775429408127, 5.60766718543772 59.50777852371982)"/>
    <s v="[1309355, 1309363]"/>
    <s v="[1218179, 1212631]"/>
    <s v="#FIELD!"/>
    <s v="[1212974, 1218179]"/>
    <s v="0.031"/>
    <s v="15.13445298575655"/>
    <s v="[-0.031, 0.031]"/>
  </r>
  <r>
    <x v="3749"/>
    <x v="4363"/>
    <x v="0"/>
    <n v="0"/>
    <s v="LINESTRING (5.607911971689416 59.50775603287366, 5.607845809773019 59.50781649556175, 5.6077453893861895 59.50785605368636)"/>
    <s v="[1309339, 1309347]"/>
    <s v="[1218170, 1212648]"/>
    <s v="0.054194236605712404"/>
    <s v="[1212974, 1218170]"/>
    <s v="[0.064, 0.042]"/>
    <s v="16.19007198190278"/>
    <s v="[0.064, 0.042]"/>
  </r>
  <r>
    <x v="3750"/>
    <x v="1226"/>
    <x v="0"/>
    <n v="0"/>
    <s v="LINESTRING (5.711146715886937 58.8933503934665, 5.711031101325409 58.89340392478769, 5.710846704697232 58.89452830994078, 5.711009660012875 58.89455356761679)"/>
    <s v="[1301353, 1301361, 1301369]"/>
    <s v="[1212731, 1212736, 1212743]"/>
    <s v="0.010516305547825096"/>
    <s v="[1212730, 1212731, 1212736]"/>
    <s v="[0.004, 0.01, 0.03]"/>
    <s v="276.8055997583699"/>
    <s v="[0.004, 0.01, 0.03]"/>
  </r>
  <r>
    <x v="3751"/>
    <x v="4363"/>
    <x v="0"/>
    <n v="0"/>
    <m/>
    <n v="1301629"/>
    <n v="1212974"/>
    <s v="0.032"/>
    <n v="1212815"/>
    <s v="0.032"/>
    <s v="17.897040034830514"/>
    <s v="0.032"/>
  </r>
  <r>
    <x v="3751"/>
    <x v="1198"/>
    <x v="0"/>
    <n v="0"/>
    <s v="LINESTRING (5.608189654408285 59.50768034102473, 5.60825816474257 59.50761035800883, 5.609978838516673 59.506926830636125, 5.609868540928454 59.50688600084574, 5.60928236563362 59.50677229044091, 5.608574218752217 59.506654143118986, 5.606624960216291 59.506414878563454, 5.606280537770681 59.50633631636976)"/>
    <s v="[1301461, 1301469, 1301477, 1301485, 1301493, 1301501, 1309539]"/>
    <s v="[1212816, 1212821, 1212830, 1212839, 1212846, 1212853, 1218232]"/>
    <s v="#FIELD!"/>
    <s v="[1212815, 1212816, 1212821, 1212830, 1212839, 1212846, 1212853]"/>
    <s v="[0.082, 0.009, 0.062, 0.064, 0.068, 0.037, 0.047]"/>
    <s v="378.25825884854385"/>
    <s v="[-0.082, -0.009, -0.062, -0.064, -0.068, -0.037, -0.047]"/>
  </r>
  <r>
    <x v="3751"/>
    <x v="4364"/>
    <x v="0"/>
    <s v="[0, 1, 0, 0]"/>
    <s v="LINESTRING (5.611448998678113 59.506252891936434, 5.61192266590648 59.50674739376318, 5.611111487312761 59.50710681092579, 5.609673816513813 59.50743970098529, 5.608189654408285 59.50768034102473)"/>
    <s v="[1301597, 1301605, 1301613, 1301621]"/>
    <s v="[1212948, 1212954, 1212960, 1212815]"/>
    <s v="#FIELD!"/>
    <s v="[1212916, 1212948, 1212954, 1212960]"/>
    <s v="[0.04, 0.033, 0.019, 0.004]"/>
    <s v="313.1883262097035"/>
    <s v="[0.04, -0.033, -0.019, 0.004]"/>
  </r>
  <r>
    <x v="3751"/>
    <x v="1183"/>
    <x v="0"/>
    <n v="0"/>
    <s v="LINESTRING (5.6138458132907285 59.507236803358396, 5.613498699469269 59.5072331301127, 5.611834118787674 59.50710011819068, 5.609901951888805 59.50748540545148, 5.608339847974731 59.50767611710943, 5.608189654408285 59.50768034102473)"/>
    <s v="[1309547, 1301525, 1301533, 1301541, 1301549]"/>
    <s v="[1212876, 1212877, 1212886, 1212894, 1212815]"/>
    <s v="#FIELD!"/>
    <s v="[1218215, 1212876, 1212877, 1212886, 1212894]"/>
    <s v="[0.052, 0.054, 0.024, 0.006, 0.018]"/>
    <s v="334.6304029741531"/>
    <s v="[-0.052, -0.054, -0.024, -0.006, -0.018]"/>
  </r>
  <r>
    <x v="3752"/>
    <x v="1184"/>
    <x v="0"/>
    <n v="0"/>
    <s v="LINESTRING (5.611448998678113 59.506252891936434, 5.611348352059434 59.506270641932446, 5.610830695614893 59.50650003957646, 5.611189781257407 59.50678434935076, 5.613120867698056 59.50706855359227, 5.613419860812356 59.50713992909624)"/>
    <s v="[1301693, 1301701, 1301709, 1301717, 1309555]"/>
    <s v="[1213020, 1213025, 1213031, 1213038, 1218257]"/>
    <s v="0.03701253703924928"/>
    <s v="[1212916, 1213020, 1213025, 1213031, 1213038]"/>
    <s v="[0.074, 0.03, 0.049, 0.062, 0.046]"/>
    <s v="221.69814755491223"/>
    <s v="[-0.074, -0.03, 0.049, 0.062, 0.046]"/>
  </r>
  <r>
    <x v="3752"/>
    <x v="1199"/>
    <x v="0"/>
    <n v="0"/>
    <s v="LINESTRING (5.60670903721269 59.506341640186214, 5.607018847721665 59.50635269019893, 5.608118114177669 59.50647416245585, 5.608959675296299 59.50651958270099, 5.610792713825919 59.50630755047704, 5.611448998678113 59.506252891936434)"/>
    <s v="[1309531, 1301509, 1301517, 1301557, 1301565]"/>
    <s v="[1212861, 1212862, 1212868, 1212908, 1212916]"/>
    <s v="0.04680030170189155"/>
    <s v="[1218267, 1212861, 1212862, 1212868, 1212908]"/>
    <s v="[0.027, 0.036, 0.048, 0.05, 0.063]"/>
    <s v="276.60998337273156"/>
    <s v="[0.027, 0.036, 0.048, 0.05, 0.063]"/>
  </r>
  <r>
    <x v="3753"/>
    <x v="1453"/>
    <x v="0"/>
    <n v="0"/>
    <s v="LINESTRING (10.234113009529096 59.74513044671373, 10.234113009529096 59.74513044671373, 10.233700324693714 59.744859665075396, 10.233743061783922 59.74477224040477, 10.2338654981599 59.74471703639549, 10.23389834150695 59.744705187543765, 10.23397992824185 59.744682967265405)"/>
    <s v="[1302300, 1302308, 1633352, 1633357, 1633365, 1633373]"/>
    <s v="[1213388, 1213393, 1460391, 1460397, 419815, 1460410]"/>
    <s v="#FIELD!"/>
    <s v="[1213372, 1213388, 1213393, 1460391, 1460397, 419815]"/>
    <s v="[0.0, 0.038, 0.827, 0.001, 0.002, 0.001]"/>
    <s v="71.03389846048357"/>
    <s v="[0.0, -0.038, -0.827, 0.001, 0.002, 0.001]"/>
  </r>
  <r>
    <x v="3754"/>
    <x v="3446"/>
    <x v="0"/>
    <n v="0"/>
    <s v="LINESTRING (30.117783996219632 69.68010713484979, 30.118560703614115 69.67993224527099, 30.118790571681235 69.67988383164622, 30.119918637079323 69.67961987128595, 30.120116684252725 69.67956748618012, 30.121659914348715 69.6791100444826)"/>
    <s v="[1303096, 1303104, 1303112, 1303120, 1303128]"/>
    <s v="[1213886, 1213891, 1213895, 1213901, 1213869]"/>
    <s v="0.08716172972271304"/>
    <s v="[1213863, 1213886, 1213891, 1213895, 1213901]"/>
    <s v="[0.012, 0.017, 0.122, 0.143, 0.116]"/>
    <s v="188.01859312469267"/>
    <s v="[-0.012, -0.017, 0.122, 0.143, 0.116]"/>
  </r>
  <r>
    <x v="3754"/>
    <x v="3446"/>
    <x v="0"/>
    <n v="0"/>
    <s v="LINESTRING (30.117783996219632 69.68010713484979, 30.118897337679517 69.67995378050061, 30.120054289143177 69.67968886043424, 30.120179181279834 69.67965466396227, 30.12035398928496 69.67960647170011, 30.121659914348715 69.6791100444826)"/>
    <s v="[1303136, 1303144, 1303152, 1303170, 1303178]"/>
    <s v="[1213913, 1213918, 1213924, 1213938, 1213869]"/>
    <s v="0.0856428906725154"/>
    <s v="[1213863, 1213913, 1213918, 1213924, 1213938]"/>
    <s v="[0.015, 0.142, 0.145, 0.136, 0.097]"/>
    <s v="191.33250849319919"/>
    <s v="[-0.015, 0.142, 0.145, 0.136, 0.097]"/>
  </r>
  <r>
    <x v="3755"/>
    <x v="4365"/>
    <x v="0"/>
    <n v="0"/>
    <s v="LINESTRING (9.005459886919038 58.687350006764056, 9.00517695439032 58.68715940612259, 9.005073823437323 58.68714271256297)"/>
    <s v="[1303089, 1303097]"/>
    <s v="[1213883, 936575]"/>
    <s v="#FIELD!"/>
    <s v="[1213871, 1213883]"/>
    <s v="[0.054, 0.061]"/>
    <s v="34.69750148180995"/>
    <s v="[-0.054, -0.061]"/>
  </r>
  <r>
    <x v="3756"/>
    <x v="966"/>
    <x v="0"/>
    <n v="0"/>
    <m/>
    <n v="1303814"/>
    <n v="1214388"/>
    <s v="#FIELD!"/>
    <n v="1214393"/>
    <s v="0.003"/>
    <s v="10.111051626769827"/>
    <s v="#FIELD!"/>
  </r>
  <r>
    <x v="3757"/>
    <x v="4333"/>
    <x v="0"/>
    <s v="[0, 1, 0, 0, 0]"/>
    <s v="LINESTRING (6.244074796087957 62.47004910334336, 6.244026578138426 62.47005716121632, 6.242425378133025 62.4703015543605, 6.241092012808865 62.470456450696815, 6.240886827144573 62.470473097054494, 6.240724133755128 62.470485743247266)"/>
    <s v="[1305757, 1305765, 1305773, 1305781, 1305789]"/>
    <s v="[1215621, 1215626, 1215630, 1215635, 1215639]"/>
    <s v="#FIELD!"/>
    <s v="[1215615, 1215621, 1215626, 1215630, 1215635]"/>
    <s v="[0.001, 0.002, 0.012, 0.003, 0.002]"/>
    <s v="180.1763427143559"/>
    <s v="[0.001, 0.002, -0.012, -0.003, -0.002]"/>
  </r>
  <r>
    <x v="3758"/>
    <x v="4321"/>
    <x v="0"/>
    <n v="0"/>
    <m/>
    <n v="1305797"/>
    <n v="1215642"/>
    <s v="#FIELD!"/>
    <n v="1215639"/>
    <s v="0.015"/>
    <s v="218.06158778992562"/>
    <s v="#FIELD!"/>
  </r>
  <r>
    <x v="3759"/>
    <x v="4301"/>
    <x v="0"/>
    <n v="0"/>
    <s v="LINESTRING (6.207790181074622 62.47025665988445, 6.200972824435192 62.47023867602608, 6.200613278508676 62.47024025944173, 6.198006045534363 62.47025327076851)"/>
    <s v="[1305821, 1305829, 1305837]"/>
    <s v="[1215656, 1215658, 1215661]"/>
    <s v="0.012505745586287535"/>
    <s v="[1215651, 1215656, 1215658]"/>
    <s v="[0.018, 0.001, 0.0]"/>
    <s v="505.8944939836067"/>
    <s v="[0.018, -0.001, -0.0]"/>
  </r>
  <r>
    <x v="3760"/>
    <x v="4366"/>
    <x v="0"/>
    <n v="0"/>
    <m/>
    <n v="1305845"/>
    <n v="1215666"/>
    <s v="0.007"/>
    <n v="1215661"/>
    <s v="0.007"/>
    <s v="194.3754096098707"/>
    <s v="0.007"/>
  </r>
  <r>
    <x v="3761"/>
    <x v="4367"/>
    <x v="404"/>
    <n v="0"/>
    <m/>
    <n v="1305853"/>
    <n v="1215671"/>
    <s v="#FIELD!"/>
    <n v="1215666"/>
    <s v="0.012"/>
    <s v="562.2198169077352"/>
    <s v="#FIELD!"/>
  </r>
  <r>
    <x v="3761"/>
    <x v="4298"/>
    <x v="0"/>
    <n v="0"/>
    <s v="LINESTRING (6.200842424613546 62.4704405201044, 6.200671900670783 62.4704700646437, 6.200583653840553 62.47047129889555, 6.200574184731997 62.47047142926986, 6.200438264417313 62.47047080012175, 6.19447704350833 62.47036592743846, 6.194251540026894 62.47034109628399)"/>
    <s v="[1309588, 1309596, 1309604, 1309612, 1309620, 1309628]"/>
    <s v="[1218341, 1218347, 1218352, 1218358, 1218362, 1215666]"/>
    <s v="#FIELD!"/>
    <s v="[1218340, 1218341, 1218347, 1218352, 1218358, 1218362]"/>
    <s v="[0.031, 0.0, 0.002, 0.0, 0.002, 0.015]"/>
    <s v="342.68201497973973"/>
    <s v="[0.031, 0.0, 0.002, 0.0, -0.002, -0.015]"/>
  </r>
  <r>
    <x v="3762"/>
    <x v="4325"/>
    <x v="0"/>
    <n v="0"/>
    <m/>
    <n v="1305861"/>
    <n v="1215677"/>
    <s v="0.027"/>
    <n v="1215671"/>
    <s v="0.027"/>
    <s v="40.63347341784973"/>
    <s v="0.027"/>
  </r>
  <r>
    <x v="3762"/>
    <x v="4368"/>
    <x v="0"/>
    <n v="0"/>
    <s v="LINESTRING (6.176336335741556 62.4702653854443, 6.176476732547406 62.4702547823514, 6.176515529012666 62.47025537445086, 6.17652163299919 62.470255465125064, 6.183203511021626 62.47072337311201, 6.183424373095827 62.470761384202085)"/>
    <s v="[1309764, 1309772, 1309780, 1309788, 1309796]"/>
    <s v="[1218454, 1218459, 1218465, 1218471, 1215671]"/>
    <s v="0.017755732031314687"/>
    <s v="[1218415, 1218454, 1218459, 1218465, 1218471]"/>
    <s v="[0.001, 0.039, 0.0, 0.019, 0.011]"/>
    <s v="372.6622218127781"/>
    <s v="[0.001, 0.039, 0.0, 0.019, -0.011]"/>
  </r>
  <r>
    <x v="3763"/>
    <x v="4369"/>
    <x v="0"/>
    <n v="0"/>
    <s v="LINESTRING (6.182640663985434 62.47073371121682, 6.182631464219104 62.47073444496811, 6.182402744510774 62.47075277029073, 6.17640368403007 62.47052043883333)"/>
    <s v="[1309636, 1309644, 1309652]"/>
    <s v="[1218377, 1218382, 1218388]"/>
    <s v="#FIELD!"/>
    <s v="[1215677, 1218377, 1218382]"/>
    <s v="[0.035, 0.021, 0.02]"/>
    <s v="323.8816244169904"/>
    <s v="[0.035, -0.021, -0.02]"/>
  </r>
  <r>
    <x v="3764"/>
    <x v="1198"/>
    <x v="0"/>
    <n v="0"/>
    <s v="LINESTRING (5.6138458132907285 59.507236803358396, 5.613245275789245 59.50716768493662, 5.606713933008922 59.506389434269025, 5.606280537770681 59.50633631636976)"/>
    <s v="[1309403, 1309411, 1309419]"/>
    <s v="[1218221, 1218226, 1218232]"/>
    <s v="#FIELD!"/>
    <s v="[1218215, 1218221, 1218226]"/>
    <s v="[0.048, 0.053, 0.038]"/>
    <s v="441.3425076916824"/>
    <s v="[-0.048, -0.053, -0.038]"/>
  </r>
  <r>
    <x v="3765"/>
    <x v="1199"/>
    <x v="0"/>
    <n v="0"/>
    <s v="LINESTRING (5.613419860812356 59.50713992909624, 5.61331095697019 59.50712704481992, 5.60670903721269 59.506341640186214)"/>
    <s v="[1309459, 1309467]"/>
    <s v="[1218262, 1218267]"/>
    <s v="#FIELD!"/>
    <s v="[1218257, 1218262]"/>
    <s v="[0.052, 0.054]"/>
    <s v="391.48142965235724"/>
    <s v="[-0.052, -0.054]"/>
  </r>
  <r>
    <x v="3766"/>
    <x v="4327"/>
    <x v="0"/>
    <n v="0"/>
    <s v="LINESTRING (6.17640368403007 62.47052043883333, 6.176345251945886 62.47052238243163, 6.17625158287926 62.470519839431695)"/>
    <s v="[1309660, 1309668]"/>
    <s v="[1218392, 1212643]"/>
    <s v="#FIELD!"/>
    <s v="[1218388, 1218392]"/>
    <s v="[0.014, 0.017]"/>
    <s v="7.879441699989332"/>
    <s v="[-0.014, -0.017]"/>
  </r>
  <r>
    <x v="3766"/>
    <x v="4368"/>
    <x v="0"/>
    <n v="0"/>
    <s v="LINESTRING (6.176336335741556 62.4702653854443, 6.176343528555664 62.47026647639442, 6.176455281862166 62.47050477422868, 6.17640368403007 62.47052043883333)"/>
    <s v="[1309708, 1309716, 1309724]"/>
    <s v="[1218422, 1218428, 1218388]"/>
    <s v="0.034545711416196764"/>
    <s v="[1218415, 1218422, 1218428]"/>
    <s v="[0.0, 0.037, 0.014]"/>
    <s v="35.794662999166874"/>
    <s v="[0.0, 0.037, 0.014]"/>
  </r>
  <r>
    <x v="3767"/>
    <x v="4368"/>
    <x v="0"/>
    <n v="0"/>
    <s v="LINESTRING (6.17625158287926 62.470519839431695, 6.176246579098849 62.470518806619104, 6.17620195037715 62.47050309318446, 6.176215763736816 62.47028620803794, 6.176336335741556 62.4702653854443)"/>
    <s v="[1309732, 1309740, 1309748, 1309756]"/>
    <s v="[1218437, 1218440, 1218445, 1218415]"/>
    <s v="#FIELD!"/>
    <s v="[1212643, 1218437, 1218440, 1218445]"/>
    <s v="[0.0, 0.047, 0.038, 0.001]"/>
    <s v="35.22538539063886"/>
    <s v="[0.0, -0.047, -0.038, -0.001]"/>
  </r>
  <r>
    <x v="3768"/>
    <x v="4324"/>
    <x v="0"/>
    <n v="0"/>
    <s v="LINESTRING (6.17110604073409 62.47044301516375, 6.171338065372756 62.470424964216235, 6.176167565100416 62.470256303737315, 6.176336335741556 62.4702653854443)"/>
    <s v="[2047939, 1309692, 1309700]"/>
    <s v="[1218411, 1218412, 1218415]"/>
    <s v="#FIELD!"/>
    <s v="[1783342, 1218411, 1218412]"/>
    <s v="[2.941, 0.015, 0.02]"/>
    <s v="272.1507088011615"/>
    <s v="[-2.941, 0.015, 0.02]"/>
  </r>
  <r>
    <x v="3769"/>
    <x v="1987"/>
    <x v="0"/>
    <n v="0"/>
    <s v="LINESTRING (8.205015906954022 59.493773355282585, 8.204616668910083 59.49396033860816, 8.203880126120243 59.494467183746934, 8.203753731045593 59.49458150980883, 8.203504957263956 59.494947336226)"/>
    <s v="[1309818, 1309826, 1309834, 1309842]"/>
    <s v="[1218490, 1218470, 1218481, 1218464]"/>
    <s v="#FIELD!"/>
    <s v="[1218458, 1218490, 1218470, 1218481]"/>
    <s v="[0.027, 0.018, 0.017, 0.011]"/>
    <s v="159.83821402226556"/>
    <s v="[-0.027, -0.018, -0.017, 0.011]"/>
  </r>
  <r>
    <x v="3769"/>
    <x v="1987"/>
    <x v="0"/>
    <n v="0"/>
    <s v="LINESTRING (8.205015906954022 59.493773355282585, 8.20482000482548 59.49394235366725, 8.204720977406025 59.49400225106965, 8.204005183777134 59.494501646857344, 8.20387975108649 59.49461647382149, 8.203504957263956 59.494947336226)"/>
    <s v="[1309850, 1309858, 1309866, 1309874, 1309882]"/>
    <s v="[1218506, 1218510, 1218469, 1218480, 1218464]"/>
    <s v="#FIELD!"/>
    <s v="[1218458, 1218506, 1218510, 1218469, 1218480]"/>
    <s v="[0.018, 0.013, 0.015, 0.01, 0.023]"/>
    <s v="157.6914493109569"/>
    <s v="[0.018, -0.013, -0.015, -0.01, -0.023]"/>
  </r>
  <r>
    <x v="3770"/>
    <x v="4312"/>
    <x v="0"/>
    <n v="0"/>
    <s v="LINESTRING (6.346925475076945 62.46536744080755, 6.346973971702384 62.46535459541769, 6.347111313320919 62.465349703805735, 6.3472283289256 62.465383343050995, 6.34725858349794 62.46540509282774)"/>
    <s v="[1309988, 1309996, 1310004, 1310012]"/>
    <s v="[343557, 1218598, 1218605, 1218610]"/>
    <s v="#FIELD!"/>
    <s v="[1218585, 343557, 1218598, 1218605]"/>
    <s v="[0.035, 0.041, 0.033, 0.015]"/>
    <s v="20.02114018903381"/>
    <s v="[-0.035, -0.041, -0.033, -0.015]"/>
  </r>
  <r>
    <x v="3771"/>
    <x v="4311"/>
    <x v="0"/>
    <n v="0"/>
    <s v="LINESTRING (6.3536972126516975 62.46618799558616, 6.353520568260196 62.46619554536953, 6.353011350099434 62.46616141679553, 6.352650135523245 62.46612272039232, 6.351526317172899 62.4659856396029, 6.3491523555778935 62.46569130748435, 6.347419620898762 62.46544251200911, 6.34725858349794 62.46540509282774)"/>
    <s v="[1329259, 1329267, 1329275, 1329276, 1329286, 1329294, 1329305]"/>
    <s v="[1234555, 1234562, 1234567, 1234568, 1234578, 1234587, 1218610]"/>
    <s v="0.014593510998766742"/>
    <s v="[1234021, 1234555, 1234562, 1234567, 1234568, 1234578, 1234587]"/>
    <s v="[0.007, 0.007, 0.014, 0.018, 0.014, 0.015, 0.027]"/>
    <s v="345.31361243429194"/>
    <s v="[0.007, 0.007, 0.014, 0.018, 0.014, 0.015, 0.027]"/>
  </r>
  <r>
    <x v="3772"/>
    <x v="3368"/>
    <x v="0"/>
    <n v="0"/>
    <s v="LINESTRING (6.300394572077751 62.463692952427316, 6.300395353479532 62.46367976374839, 6.300437808467068 62.46363892223725, 6.300534262314069 62.46361761107287, 6.3006711546031005 62.4636455200581)"/>
    <s v="[1310060, 1310068, 1310076, 1310084]"/>
    <s v="[1218638, 1218642, 1218649, 1218653]"/>
    <s v="#FIELD!"/>
    <s v="[1218634, 1218638, 1218642, 1218649]"/>
    <s v="[0.117, 0.135, 0.098, 0.001]"/>
    <s v="19.79570974580794"/>
    <s v="[-0.117, -0.135, -0.098, 0.001]"/>
  </r>
  <r>
    <x v="3773"/>
    <x v="4318"/>
    <x v="0"/>
    <n v="0"/>
    <m/>
    <n v="1310156"/>
    <n v="1218704"/>
    <s v="0.058"/>
    <n v="1218699"/>
    <s v="0.058"/>
    <s v="3.66884736626522"/>
    <s v="0.058"/>
  </r>
  <r>
    <x v="3774"/>
    <x v="4370"/>
    <x v="0"/>
    <n v="0"/>
    <s v="LINESTRING (9.655400291700284 59.6530192824004, 9.655303438731226 59.653012265307154, 9.655139727879318 59.65296625040153, 9.655034227970583 59.65287968891438, 9.655177932532569 59.65266211684527)"/>
    <s v="[1312147, 1312155, 1312163, 1312171]"/>
    <s v="[1220237, 1220246, 1220254, 1220261]"/>
    <s v="0.0247512416307552"/>
    <s v="[1220236, 1220237, 1220246, 1220254]"/>
    <s v="[0.183, 0.122, 0.019, 0.143]"/>
    <s v="54.43211879971855"/>
    <s v="[-0.183, -0.122, -0.019, 0.143]"/>
  </r>
  <r>
    <x v="3774"/>
    <x v="4371"/>
    <x v="0"/>
    <n v="0"/>
    <m/>
    <n v="1312203"/>
    <n v="1220236"/>
    <s v="#FIELD!"/>
    <n v="1220277"/>
    <s v="0.201"/>
    <s v="16.480133383151717"/>
    <s v="#FIELD!"/>
  </r>
  <r>
    <x v="3774"/>
    <x v="4372"/>
    <x v="0"/>
    <n v="0"/>
    <s v="LINESTRING (9.656487811588518 59.654773784404945, 9.655450882362338 59.65306328466836, 9.655400291700284 59.6530192824004)"/>
    <s v="[1312379, 1312387]"/>
    <s v="[1220415, 1220236]"/>
    <s v="#FIELD!"/>
    <s v="[1220407, 1220415]"/>
    <s v="[0.063, 1.709]"/>
    <s v="205.57279424737027"/>
    <s v="[-0.063, 1.709]"/>
  </r>
  <r>
    <x v="3775"/>
    <x v="4373"/>
    <x v="0"/>
    <n v="0"/>
    <s v="LINESTRING (9.655177932532569 59.65266211684527, 9.65535898865059 59.652626140049854, 9.655549621229074 59.6526382487744)"/>
    <s v="[1312179, 1312187]"/>
    <s v="[1220268, 1220273]"/>
    <s v="0.18408010744907322"/>
    <s v="[1220261, 1220268]"/>
    <s v="[0.197, 0.171]"/>
    <s v="21.815694542295784"/>
    <s v="[0.197, 0.171]"/>
  </r>
  <r>
    <x v="3775"/>
    <x v="4374"/>
    <x v="0"/>
    <n v="0"/>
    <s v="LINESTRING (9.655177932532569 59.65266211684527, 9.65519650337352 59.652603662529366, 9.652125465371322 59.64966946530755, 9.652049881752722 59.649618140282634)"/>
    <s v="[1845243, 1845251, 1845259]"/>
    <s v="[1616220, 1616227, 1220289]"/>
    <s v="#FIELD!"/>
    <s v="[1220261, 1616220, 1616227]"/>
    <s v="[0.125, 0.024, 0.12]"/>
    <s v="390.51362103243866"/>
    <s v="[0.125, -0.024, -0.12]"/>
  </r>
  <r>
    <x v="3776"/>
    <x v="4371"/>
    <x v="0"/>
    <n v="0"/>
    <m/>
    <n v="1312195"/>
    <n v="1220277"/>
    <s v="#FIELD!"/>
    <n v="1220273"/>
    <s v="0.046"/>
    <s v="44.21071937235874"/>
    <s v="#FIELD!"/>
  </r>
  <r>
    <x v="3776"/>
    <x v="4375"/>
    <x v="0"/>
    <n v="0"/>
    <s v="LINESTRING (9.655549621229074 59.6526382487744, 9.655494077881908 59.652584055322755, 9.652412419277791 59.64962468432434, 9.65241317907802 59.64956199249457)"/>
    <s v="[1845219, 1845227, 1845235]"/>
    <s v="[1616208, 1616212, 1220328]"/>
    <s v="#FIELD!"/>
    <s v="[1220273, 1616208, 1616212]"/>
    <s v="[0.002, 0.023, 0.123]"/>
    <s v="392.09583012491487"/>
    <s v="[-0.002, -0.023, 0.123]"/>
  </r>
  <r>
    <x v="3777"/>
    <x v="4376"/>
    <x v="0"/>
    <n v="0"/>
    <s v="LINESTRING (9.655668920243366 59.65296825547076, 9.65568318703053 59.653018152662256, 9.656584655072596 59.65412858322622, 9.656643257150284 59.65417711471917, 9.658388956974742 59.65530623888233, 9.661212022682419 59.656679041941885, 9.69169254568904 59.662345040315834, 9.694378022238569 59.66305184357477, 9.694840581868187 59.663184613761864)"/>
    <s v="[1312499, 1312507, 1312515, 1312523, 1827734, 1827742, 1827748, 1828461]"/>
    <s v="[1220510, 1220518, 1220524, 1220529, 1605454, 1605460, 1605464, 1605828]"/>
    <s v="0.03365388612311257"/>
    <s v="[1220277, 1220510, 1220518, 1220524, 1220529, 1605454, 1605460, 1605464]"/>
    <s v="[2.041, 0.09, 0.057, 0.127, 0.086, 0.027, 0.018, 0.016]"/>
    <s v="2569.5700757723384"/>
    <s v="[-2.041, 0.09, 0.057, 0.127, 0.086, 0.027, -0.018, -0.016]"/>
  </r>
  <r>
    <x v="3778"/>
    <x v="4377"/>
    <x v="0"/>
    <n v="0"/>
    <m/>
    <n v="1312211"/>
    <n v="1220290"/>
    <s v="#FIELD!"/>
    <n v="1220289"/>
    <s v="0.109"/>
    <s v="24.725708384492336"/>
    <s v="#FIELD!"/>
  </r>
  <r>
    <x v="3778"/>
    <x v="4375"/>
    <x v="0"/>
    <n v="0"/>
    <s v="LINESTRING (9.65241317907802 59.64956199249457, 9.652249582098861 59.64961676665325, 9.652049881752722 59.649618140282634)"/>
    <s v="[1312267, 1312275]"/>
    <s v="[1220333, 1220289]"/>
    <s v="#FIELD!"/>
    <s v="[1220328, 1220333]"/>
    <s v="[0.18, 0.277]"/>
    <s v="22.338519146062502"/>
    <s v="[-0.18, -0.277]"/>
  </r>
  <r>
    <x v="3779"/>
    <x v="4378"/>
    <x v="0"/>
    <n v="0"/>
    <s v="LINESTRING (9.651789953351885 59.64945326933752, 9.651836051266288 59.649357155357116, 9.65197889121199 59.64928650469054)"/>
    <s v="[1312219, 1312227]"/>
    <s v="[1220295, 1220300]"/>
    <s v="0.1407638834685014"/>
    <s v="[1220290, 1220295]"/>
    <s v="[0.07, 0.21]"/>
    <s v="22.296430186404237"/>
    <s v="[0.07, 0.21]"/>
  </r>
  <r>
    <x v="3779"/>
    <x v="4379"/>
    <x v="0"/>
    <s v="[0, 0, 1, 1, 0, 0]"/>
    <s v="LINESTRING (9.651789953351885 59.64945326933752, 9.6517095730055 59.64939780639121, 9.65165169481667 59.64936209842122, 9.651393028985202 59.64927343664348, 9.648974594044795 59.64883570246008, 9.647793816012026 59.64880178660011, 9.647675689658502 59.64882340969836)"/>
    <s v="[1845123, 1845131, 1845139, 1845147, 1845155, 1845163]"/>
    <s v="[1616150, 1616153, 1616161, 1616166, 1616172, 1220342]"/>
    <s v="#FIELD!"/>
    <s v="[1220290, 1616150, 1616153, 1616161, 1616166, 1616172]"/>
    <s v="[0.106, 0.116, 0.085, 0.011, 0.129, 1.359]"/>
    <s v="250.55044975778196"/>
    <s v="[-0.106, -0.116, -0.085, 0.011, 0.129, -1.359]"/>
  </r>
  <r>
    <x v="3780"/>
    <x v="4375"/>
    <x v="0"/>
    <n v="0"/>
    <s v="LINESTRING (9.65197889121199 59.64928650469054, 9.652028002543624 59.64927510432395, 9.65218572539205 59.64926715497517, 9.65232615222999 59.649290714616065, 9.65241317907802 59.64956199249457)"/>
    <s v="[1312235, 1312243, 1312251, 1312259]"/>
    <s v="[1220306, 1220313, 1220321, 1220328]"/>
    <s v="0.08480780418815956"/>
    <s v="[1220300, 1220306, 1220313, 1220321]"/>
    <s v="[0.19, 0.202, 0.185, 0.021]"/>
    <s v="54.90363114513825"/>
    <s v="[0.19, 0.202, 0.185, 0.021]"/>
  </r>
  <r>
    <x v="3780"/>
    <x v="4380"/>
    <x v="0"/>
    <s v="[0, 0, 1, 1, 0, 0]"/>
    <s v="LINESTRING (9.65197889121199 59.64928650469054, 9.651840718913602 59.64928112481762, 9.651750937552782 59.6492756537965, 9.651430186183736 59.64920215432679, 9.649035779504656 59.648768733392124, 9.647781830893193 59.64867090042906, 9.647656844690635 59.648649767427)"/>
    <s v="[1845171, 1845179, 1845187, 1845195, 1845203, 1845211]"/>
    <s v="[1616182, 1616186, 1616191, 1616195, 1616198, 1220377]"/>
    <s v="#FIELD!"/>
    <s v="[1220300, 1616182, 1616186, 1616191, 1616195, 1616198]"/>
    <s v="[0.281, 0.201, 0.136, 0.008, 0.124, 0.921]"/>
    <s v="255.92369285300236"/>
    <s v="[-0.281, -0.201, -0.136, 0.008, 0.124, -0.921]"/>
  </r>
  <r>
    <x v="3781"/>
    <x v="3331"/>
    <x v="0"/>
    <n v="0"/>
    <s v="LINESTRING (6.6636010739354985 62.4797072366048, 6.666070359605975 62.47991892581503, 6.667988436809535 62.480287933832656, 6.669411683096867 62.48074132284103, 6.669858305438469 62.4808876391093)"/>
    <s v="[1332967, 1332975, 1332983, 1332991]"/>
    <s v="[1211964, 1237908, 1237917, 1220319]"/>
    <s v="0.018396441918700344"/>
    <s v="[1220312, 1211964, 1237908, 1237917]"/>
    <s v="[0.02, 0.036, 0.014, 0.042]"/>
    <s v="355.09514602446893"/>
    <s v="[0.02, 0.036, 0.014, -0.042]"/>
  </r>
  <r>
    <x v="3781"/>
    <x v="3331"/>
    <x v="0"/>
    <n v="0"/>
    <s v="LINESTRING (6.6636010739354985 62.4797072366048, 6.665714994813334 62.47979191763119, 6.665995629004438 62.479831266583346, 6.666212771125509 62.47985526558014, 6.669454950660434 62.48069425228651, 6.669858305438469 62.4808876391093)"/>
    <s v="[2071514, 2071522, 2071530, 2071538, 2071546]"/>
    <s v="[1798478, 1223697, 1211965, 1798490, 1220319]"/>
    <s v="0.018262889787623107"/>
    <s v="[1220312, 1798478, 1223697, 1211965, 1798490]"/>
    <s v="[0.057, 0.013, 0.011, 0.006, 0.037]"/>
    <s v="360.73751701386385"/>
    <s v="[0.057, 0.013, 0.011, -0.006, 0.037]"/>
  </r>
  <r>
    <x v="3781"/>
    <x v="4381"/>
    <x v="405"/>
    <n v="0"/>
    <s v="LINESTRING (6.607240897208619 62.48986817641366, 6.608721088254454 62.489784389897245, 6.622804522402131 62.48785216913934, 6.622944447813897 62.48781752436289, 6.623084522072137 62.48779051114287, 6.632489975072879 62.48691841024692, 6.6405508175926915 62.484398300443466, 6.643911514309199 62.483222889288584, 6.645283346654803 62.48278939826119, 6.645508230336835 62.48271749581546, 6.647054156834115 62.48224255044046, 6.6582017810666185 62.48005664576898, 6.659749927823544 62.47988824167129, 6.6636010739354985 62.4797072366048)"/>
    <s v="[1753629, 1312154, 1312162, 1312170, 1312178, 1312186, 1312194, 1312202, 1312210, 1312218, 1312226, 1312234, 1312242]"/>
    <s v="[1220245, 460016, 1220253, 459993, 1220267, 1220272, 1079276, 1220283, 1220288, 1164240, 1220299, 1220305, 1220312]"/>
    <s v="#FIELD!"/>
    <s v="[1552676, 1220245, 460016, 1220253, 459993, 1220267, 1220272, 1079276, 1220283, 1220288, 1164240, 1220299, 1220305]"/>
    <s v="[0.014, 0.003, 0.029, 0.031, 0.013, 0.045, 0.005, 0.042, 0.032, 0.023, 0.019, 0.016, 0.013]"/>
    <s v="3221.205455507404"/>
    <s v="[-0.014, -0.003, -0.029, -0.031, 0.013, -0.045, -0.005, 0.042, 0.032, 0.023, -0.019, 0.016, -0.013]"/>
  </r>
  <r>
    <x v="3782"/>
    <x v="4382"/>
    <x v="0"/>
    <n v="0"/>
    <s v="LINESTRING (9.647675689658502 59.64882340969836, 9.647515112754506 59.648903768843844, 9.647407705628604 59.648920610956765, 9.64729171114281 59.64891775365315, 9.647067570947737 59.64883730814326)"/>
    <s v="[1312283, 1312291, 1312299, 1312307]"/>
    <s v="[1220343, 1220349, 1220356, 1220361]"/>
    <s v="0.00763517323585687"/>
    <s v="[1220342, 1220343, 1220349, 1220356]"/>
    <s v="[0.102, 0.023, 0.022, 0.085]"/>
    <s v="41.66200226400777"/>
    <s v="[-0.102, 0.023, 0.022, 0.085]"/>
  </r>
  <r>
    <x v="3782"/>
    <x v="4380"/>
    <x v="0"/>
    <n v="0"/>
    <s v="LINESTRING (9.647656844690635 59.648649767427, 9.647711310209564 59.64873730697116, 9.647675689658502 59.64882340969836)"/>
    <s v="[1312339, 1312347]"/>
    <s v="[1220382, 1220342]"/>
    <s v="#FIELD!"/>
    <s v="[1220377, 1220382]"/>
    <s v="[0.151, 0.125]"/>
    <s v="20.03939080185327"/>
    <s v="[-0.151, -0.125]"/>
  </r>
  <r>
    <x v="3783"/>
    <x v="4383"/>
    <x v="0"/>
    <n v="0"/>
    <s v="LINESTRING (9.647067570947737 59.64883730814326, 9.647021959269512 59.64877559788482, 9.64702430298618 59.64870973099314)"/>
    <s v="[1312315, 1312323]"/>
    <s v="[1220365, 1220369]"/>
    <s v="0.19699946801340598"/>
    <s v="[1220361, 1220365]"/>
    <s v="[0.19, 0.204]"/>
    <s v="14.689955709291063"/>
    <s v="[0.19, 0.204]"/>
  </r>
  <r>
    <x v="3783"/>
    <x v="4384"/>
    <x v="0"/>
    <n v="0"/>
    <s v="LINESTRING (9.647067570947737 59.64883730814326, 9.646962100984489 59.64884091062321, 9.64300901455391 59.64949914971569, 9.642469203163884 59.64949826770009, 9.639952655508274 59.64924316544492, 9.637204882695688 59.63718711265053, 9.637486531973002 59.636610752917875, 9.637575416681036 59.63633360851481, 9.637549823781072 59.63315166823501, 9.637493543530514 59.63309689528)"/>
    <s v="[1845363, 1845371, 1845379, 1312395, 1312403, 1312411, 1845525, 1845533, 1845541]"/>
    <s v="[1616303, 1616308, 1220427, 1220428, 1220434, 1220441, 1616414, 1616418, 1220450]"/>
    <s v="0.01984004213768476"/>
    <s v="[1220361, 1616303, 1616308, 1220427, 1220428, 1220434, 1220441, 1616414, 1616418]"/>
    <s v="[2.841, 0.076, 0.106, 0.011, 0.019, 0.098, 0.028, 0.013, 0.095]"/>
    <s v="2454.299000041173"/>
    <s v="[2.841, 0.076, -0.106, -0.011, 0.019, -0.098, -0.028, -0.013, 0.095]"/>
  </r>
  <r>
    <x v="3784"/>
    <x v="4380"/>
    <x v="0"/>
    <n v="0"/>
    <m/>
    <n v="1312331"/>
    <n v="1220377"/>
    <s v="#FIELD!"/>
    <n v="1220369"/>
    <s v="0.01"/>
    <s v="45.598808875847084"/>
    <s v="#FIELD!"/>
  </r>
  <r>
    <x v="3784"/>
    <x v="4385"/>
    <x v="0"/>
    <n v="0"/>
    <s v="LINESTRING (9.64702430298618 59.64870973099314, 9.646921982428978 59.64873146036945, 9.643003683543416 59.64938747814837)"/>
    <s v="[1845509, 1845517]"/>
    <s v="[1616402, 1616408]"/>
    <s v="0.13348590798871546"/>
    <s v="[1220369, 1616402]"/>
    <s v="[2.328, 0.075]"/>
    <s v="241.21110588436773"/>
    <s v="[2.328, 0.075]"/>
  </r>
  <r>
    <x v="3785"/>
    <x v="4386"/>
    <x v="0"/>
    <n v="0"/>
    <s v="LINESTRING (9.656487811588518 59.654773784404945, 9.656308858199525 59.65466496582534, 9.655261275945165 59.653654418033966, 9.655713044938272 59.6545899603639, 9.655751963011122 59.6547082668597)"/>
    <s v="[1844604, 1844611, 1844619, 1842155]"/>
    <s v="[1615860, 1615865, 1614226, 1614227]"/>
    <s v="0.005047909356727788"/>
    <s v="[1220407, 1615860, 1615865, 1614226]"/>
    <s v="[0.122, 0.039, 0.048, 0.036]"/>
    <s v="285.6062555157114"/>
    <s v="[0.122, -0.039, 0.048, -0.036]"/>
  </r>
  <r>
    <x v="3785"/>
    <x v="4387"/>
    <x v="0"/>
    <n v="0"/>
    <s v="LINESTRING (9.697695766241036 59.66422669519042, 9.694682132741654 59.663328196655335, 9.694213462783301 59.66320030739493, 9.691525777308476 59.66251860770337, 9.659470804059156 59.656861241839806, 9.656931429543157 59.65526570008517, 9.656835151144705 59.65516963619813, 9.656487811588518 59.654773784404945)"/>
    <s v="[1828397, 1828405, 1827718, 1827726, 1312355, 1312363, 1312371]"/>
    <s v="[1605897, 1605440, 1605441, 1220395, 1220396, 1220403, 1220407]"/>
    <s v="#FIELD!"/>
    <s v="[1605767, 1605897, 1605440, 1605441, 1220395, 1220396, 1220403]"/>
    <s v="[0.026, 0.017, 0.018, 0.037, 0.087, 0.029, 0.014]"/>
    <s v="2608.2944182502765"/>
    <s v="[0.026, 0.017, 0.018, -0.037, -0.087, 0.029, -0.014]"/>
  </r>
  <r>
    <x v="3786"/>
    <x v="4388"/>
    <x v="0"/>
    <n v="0"/>
    <m/>
    <n v="1312427"/>
    <n v="1220451"/>
    <s v="0.027"/>
    <n v="1220450"/>
    <s v="0.027"/>
    <s v="41.149581608649655"/>
    <s v="0.027"/>
  </r>
  <r>
    <x v="3786"/>
    <x v="4389"/>
    <x v="0"/>
    <n v="0"/>
    <s v="LINESTRING (9.637817340065414 59.633057890280725, 9.63766531323079 59.63309845064295, 9.637493543530514 59.63309689528)"/>
    <s v="[1312483, 1312491]"/>
    <s v="[1220500, 1220450]"/>
    <s v="0.20849342368800816"/>
    <s v="[1220492, 1220500]"/>
    <s v="[0.149, 0.268]"/>
    <s v="19.400546265616683"/>
    <s v="[0.149, 0.268]"/>
  </r>
  <r>
    <x v="3787"/>
    <x v="4390"/>
    <x v="0"/>
    <n v="0"/>
    <s v="LINESTRING (9.637353595567847 59.63279859490615, 9.63749237612336 59.632759741423314, 9.637638625240992 59.632755300663455)"/>
    <s v="[1312435, 1312443]"/>
    <s v="[1220455, 1220464]"/>
    <s v="#FIELD!"/>
    <s v="[1220451, 1220455]"/>
    <s v="[0.227, 0.247]"/>
    <s v="17.22462326757038"/>
    <s v="[-0.227, -0.247]"/>
  </r>
  <r>
    <x v="3787"/>
    <x v="4391"/>
    <x v="0"/>
    <n v="0"/>
    <s v="LINESTRING (9.637353595567847 59.63279859490615, 9.637345387533314 59.632737694357836, 9.636616743823254 59.63178819799524, 9.63556833841345 59.63102201836081, 9.619106532311474 59.62632122947498, 9.614959562823797 59.62437919211772, 9.614643972223256 59.62422942949176)"/>
    <s v="[1845247, 1845255, 1845263, 1845271, 1845279, 1845287]"/>
    <s v="[1616224, 1616231, 1616234, 1616240, 1616245, 1616251]"/>
    <s v="0.00822008069324729"/>
    <s v="[1220451, 1616224, 1616231, 1616234, 1616240, 1616245]"/>
    <s v="[0.029, 0.037, 0.036, 0.021, 0.043, 0.133]"/>
    <s v="1652.6937530474513"/>
    <s v="[-0.029, 0.037, 0.036, 0.021, -0.043, -0.133]"/>
  </r>
  <r>
    <x v="3788"/>
    <x v="4389"/>
    <x v="0"/>
    <n v="0"/>
    <s v="LINESTRING (9.637638625240992 59.632755300663455, 9.63782647698222 59.63280296083308, 9.637900521301445 59.632856662346086, 9.6379304840938 59.63292043480717, 9.637817340065414 59.633057890280725)"/>
    <s v="[1312451, 1312459, 1312467, 1312475]"/>
    <s v="[775708, 1220478, 775699, 1220492]"/>
    <s v="#FIELD!"/>
    <s v="[1220464, 775708, 1220478, 775699]"/>
    <s v="[0.134, 0.003, 0.008, 0.025]"/>
    <s v="43.47825449935268"/>
    <s v="[-0.134, 0.003, 0.008, 0.025]"/>
  </r>
  <r>
    <x v="3788"/>
    <x v="4392"/>
    <x v="0"/>
    <s v="[0, 0, 0, 0, 0, 0, 1]"/>
    <s v="LINESTRING (9.637638625240992 59.632755300663455, 9.637575685234326 59.63270439417479, 9.635674228968792 59.63100211944379, 9.61918081526595 59.62628236859823, 9.61503133081989 59.6243390690816, 9.614778836280703 59.62422244941381, 9.61438382310139 59.624036017934216, 9.613279919068912 59.62352024978488)"/>
    <s v="[1845031, 1845039, 1845047, 1845055, 1845063, 1845071, 1845079]"/>
    <s v="[1616091, 1616094, 1616100, 1616105, 1616108, 1616116, 1616121]"/>
    <s v="0.0017533682652151432"/>
    <s v="[1220464, 1616091, 1616094, 1616100, 1616105, 1616108, 1616116]"/>
    <s v="[0.131, 0.046, 0.02, 0.041, 0.135, 0.125, 0.119]"/>
    <s v="1766.3050952240576"/>
    <s v="[0.131, 0.046, 0.02, -0.041, -0.135, -0.125, -0.119]"/>
  </r>
  <r>
    <x v="3789"/>
    <x v="4393"/>
    <x v="0"/>
    <n v="0"/>
    <s v="LINESTRING (9.63775372343449 59.636622520345014, 9.637812704580579 59.63312132373539, 9.637817340065414 59.633057890280725)"/>
    <s v="[1845558, 1845566]"/>
    <s v="[1616438, 1220492]"/>
    <s v="#FIELD!"/>
    <s v="[1616391, 1616438]"/>
    <s v="[0.016, 0.033]"/>
    <s v="367.5626054437538"/>
    <s v="[-0.016, -0.033]"/>
  </r>
  <r>
    <x v="3790"/>
    <x v="1217"/>
    <x v="0"/>
    <n v="0"/>
    <s v="LINESTRING (5.297686199479722 59.391393670633676, 5.297686199479722 59.391393670633676, 5.29808849912349 59.391827213411894, 5.298450230006355 59.39190943557027, 5.29857356377392 59.391908255859605)"/>
    <s v="[1313892, 1313904, 1313923, 2102945]"/>
    <s v="[1221691, 1221703, 1221721, 1767627]"/>
    <s v="0.013496928085083102"/>
    <s v="[1221654, 1221691, 1221703, 1221721]"/>
    <s v="[0.0, 0.008, 0.026, 0.029]"/>
    <s v="95.84697828935649"/>
    <s v="[0.0, 0.008, 0.026, 0.029]"/>
  </r>
  <r>
    <x v="3791"/>
    <x v="4394"/>
    <x v="0"/>
    <n v="0"/>
    <s v="LINESTRING (17.626176818648627 68.4767146510449, 17.626143583279283 68.47667684556444, 17.624313430667204 68.4763326611116, 17.624029522850932 68.47632310414855)"/>
    <s v="[1318425, 1318426, 1318427]"/>
    <s v="[1225627, 1225628, 1225629]"/>
    <s v="#FIELD!"/>
    <s v="[1225626, 1225627, 1225628]"/>
    <s v="[0.064, 0.046, 0.021]"/>
    <s v="104.28698682860342"/>
    <s v="[-0.064, -0.046, -0.021]"/>
  </r>
  <r>
    <x v="3791"/>
    <x v="4262"/>
    <x v="406"/>
    <n v="0"/>
    <s v="LINESTRING (17.626176818648627 68.4767146510449, 17.623906671284633 68.47642286245328, 17.619441362525013 68.47641300438985, 17.593450693259847 68.47616762135114, 17.58938301736543 68.47568686628742, 17.586758281107713 68.47539300529523, 17.586543770362177 68.47536935351319, 17.585500520347033 68.47527217969161, 17.572538495436444 68.47425034950386, 17.57241612005547 68.47424298318771, 17.571526397504805 68.47420897758944, 17.567997830860566 68.47449900844272, 17.56743218441661 68.47459009555001, 17.564754876884216 68.47605162989264, 17.564608454387187 68.47668690385115, 17.564478809556825 68.47724177072593, 17.564403634816056 68.47754646810287, 17.56434611931426 68.47772245761858, 17.562491961418978 68.47898007959361, 17.55897073287428 68.47953684948234, 17.554560056018445 68.47939769003504, 17.551830228370633 68.47940750461092, 17.551533387678855 68.47944163267562, 17.5361525036597 68.48149261335618, 17.534951990031054 68.4819442737891, 17.52936507158253 68.48407572047182, 17.526742035620465 68.48483777316012, 17.526677363618468 68.48484738187605, 17.525500083838626 68.4849788163569)"/>
    <s v="[2074133, 2074141, 2074149, 2074157, 430413, 430421, 430429, 430437, 430445, 430453, 430461, 430469, 430477, 430485, 430493, 430501, 430509, 430517, 430525, 430533, 430541, 430549, 430557, 430565, 430573, 2076870, 2076878, 2076886]"/>
    <s v="[1225658, 1799883, 1799891, 428601, 428602, 428612, 428621, 428630, 428639, 428648, 428655, 428663, 428671, 428679, 428686, 428694, 428701, 428708, 428714, 428718, 428724, 428730, 428738, 428747, 428754, 944704, 1801653, 1801659]"/>
    <s v="#FIELD!"/>
    <s v="[1225626, 1225658, 1799883, 1799891, 428601, 428602, 428612, 428621, 428630, 428639, 428648, 428655, 428663, 428671, 428679, 428686, 428694, 428701, 428708, 428714, 428718, 428724, 428730, 428738, 428747, 428754, 944704, 1801653]"/>
    <s v="[0.035, 0.033, 0.016, 0.296, 0.121, 0.103, 0.098, 0.019, 0.189, 0.149, 0.029, 0.049, 0.013, 0.048, 0.001, 0.0, 0.001, 0.025, 0.022, 0.028, 0.002, 0.016, 0.029, 0.034, 0.03, 0.09, 0.011, 0.025]"/>
    <s v="4808.802770519651"/>
    <s v="[-0.035, 0.033, 0.016, -0.296, -0.121, -0.103, -0.098, 0.019, -0.189, -0.149, -0.029, -0.049, 0.013, 0.048, -0.001, -0.0, -0.001, -0.025, -0.022, -0.028, 0.002, 0.016, 0.029, 0.034, 0.03, 0.09, -0.011, -0.025]"/>
  </r>
  <r>
    <x v="3792"/>
    <x v="3670"/>
    <x v="0"/>
    <n v="0"/>
    <s v="LINESTRING (18.99609596932665 69.68259859417519, 18.996108565091166 69.68251044268396, 18.996284055155147 69.68243062140563)"/>
    <s v="[1319283, 1319284]"/>
    <s v="[1226498, 1226405]"/>
    <s v="#FIELD!"/>
    <s v="[1226474, 1226498]"/>
    <s v="[0.041, 0.044]"/>
    <s v="21.049996703148466"/>
    <s v="[-0.041, -0.044]"/>
  </r>
  <r>
    <x v="3792"/>
    <x v="3620"/>
    <x v="0"/>
    <n v="0"/>
    <s v="LINESTRING (18.98944716681922 69.68056364780468, 18.9897160086591 69.68064603007649, 18.994937174141615 69.6822581495736, 18.99608093768142 69.68242972039224, 18.996284055155147 69.68243062140563)"/>
    <s v="[1319319, 1319326, 1319327, 1319334]"/>
    <s v="[1226535, 1226541, 1226542, 1226405]"/>
    <s v="0.0046577114915803105"/>
    <s v="[1226534, 1226535, 1226541, 1226542]"/>
    <s v="[0.024, 0.009, 0.007, 0.021]"/>
    <s v="341.87105537408297"/>
    <s v="[-0.024, 0.009, -0.007, -0.021]"/>
  </r>
  <r>
    <x v="3793"/>
    <x v="1573"/>
    <x v="0"/>
    <n v="0"/>
    <s v="LINESTRING (9.087041104984912 58.831770601928525, 9.08692620469009 58.83166748435034, 9.07581460462261 58.82380817140041)"/>
    <s v="[1322889, 1322897]"/>
    <s v="[1229515, 1229525]"/>
    <s v="0.023645276692218758"/>
    <s v="[1229505, 1229515]"/>
    <s v="[0.161, 0.022]"/>
    <s v="1121.8897518521799"/>
    <s v="[0.161, 0.022]"/>
  </r>
  <r>
    <x v="3794"/>
    <x v="1572"/>
    <x v="0"/>
    <n v="0"/>
    <m/>
    <n v="1322905"/>
    <n v="1229532"/>
    <s v="#FIELD!"/>
    <n v="1229525"/>
    <s v="0.002"/>
    <s v="631.9303455243648"/>
    <s v="#FIELD!"/>
  </r>
  <r>
    <x v="3795"/>
    <x v="3244"/>
    <x v="0"/>
    <n v="0"/>
    <m/>
    <n v="1322945"/>
    <n v="1229574"/>
    <s v="#FIELD!"/>
    <n v="1229568"/>
    <s v="0.026"/>
    <s v="690.4352902846315"/>
    <s v="#FIELD!"/>
  </r>
  <r>
    <x v="3795"/>
    <x v="4395"/>
    <x v="0"/>
    <s v="[0, 0, 1, 0, 0, 1, 1, 0, 0, 1, 0, 0, 0, 0, 0, 1, 0, 0]"/>
    <s v="LINESTRING (9.049793552168929 58.78991199209738, 9.03939487739172 58.7822746218567, 9.03842605752179 58.78046595035927, 9.038353469800866 58.780153040636094, 9.044875976932769 58.77036549758814, 9.045159566881644 58.76976668312332, 9.045406417534931 58.7686440329084, 9.04529397037182 58.76795428412921, 9.045082630768055 58.76745408779637, 9.044827608317243 58.766981812770766, 9.044636357350413 58.76667538409698, 9.042516510938151 58.76329743316078, 9.04064107069529 58.76031297087181, 9.039240364399902 58.757696465149145, 9.038369743769575 58.75309114812561, 9.037980556584671 58.7499063458357, 9.03793508891576 58.74959217138971, 9.037611672089705 58.74704665715703, 9.037531297988165 58.74638633971556)"/>
    <s v="[1323401, 1323409, 1323153, 1323161, 1323169, 1323177, 996541, 996542, 996543, 996544, 996545, 996546, 996547, 996548, 996549, 1322921, 1322929, 1322937]"/>
    <s v="[1229925, 1229744, 1229745, 1229750, 1229758, 954277, 954278, 954279, 954280, 954281, 954282, 954283, 954284, 954285, 954286, 1229549, 1229557, 1229568]"/>
    <s v="#FIELD!"/>
    <s v="[1229873, 1229925, 1229744, 1229745, 1229750, 1229758, 954277, 954278, 954279, 954280, 954281, 954282, 954283, 954284, 954285, 954286, 1229549, 1229557]"/>
    <s v="[0.011, 0.025, 0.019, 0.006, 0.041, 0.118, 0.0, 0.016, 0.03, 0.044, 0.009, 0.018, 0.016, 0.024, 0.054, 0.008, 0.009, 0.004]"/>
    <s v="5192.74559695703"/>
    <s v="[-0.011, 0.025, 0.019, -0.006, -0.041, 0.118, -0.0, -0.016, -0.03, -0.044, -0.009, 0.018, -0.016, -0.024, -0.054, 0.008, -0.009, 0.004]"/>
  </r>
  <r>
    <x v="3796"/>
    <x v="3248"/>
    <x v="0"/>
    <n v="0"/>
    <m/>
    <n v="1323017"/>
    <n v="1229633"/>
    <s v="#FIELD!"/>
    <n v="1229627"/>
    <s v="0.024"/>
    <s v="771.8267252745891"/>
    <s v="#FIELD!"/>
  </r>
  <r>
    <x v="3797"/>
    <x v="1578"/>
    <x v="0"/>
    <n v="0"/>
    <s v="LINESTRING (9.086562544821785 58.83146582067016, 9.075697676852917 58.82378984094186, 9.07566856354662 58.82369988982836)"/>
    <s v="[1323097, 1323105]"/>
    <s v="[1229699, 1229706]"/>
    <s v="0.0168141052772619"/>
    <s v="[1229693, 1229699]"/>
    <s v="[0.017, 0.003]"/>
    <s v="1094.2214331268917"/>
    <s v="[0.017, -0.003]"/>
  </r>
  <r>
    <x v="3798"/>
    <x v="1580"/>
    <x v="0"/>
    <n v="0"/>
    <m/>
    <n v="1323113"/>
    <n v="1229711"/>
    <s v="#FIELD!"/>
    <n v="1229706"/>
    <s v="0.002"/>
    <s v="696.3228323977039"/>
    <s v="#FIELD!"/>
  </r>
  <r>
    <x v="3799"/>
    <x v="4396"/>
    <x v="407"/>
    <s v="[0, 1, 0, 0, 1, 0]"/>
    <s v="LINESTRING (9.07431586354738 58.81754036691427, 9.072720515667722 58.81600887551401, 9.072350603775119 58.815703004769155, 9.056579325692063 58.801281844674214, 9.055060794751117 58.79948853173982, 9.054700851448954 58.79853211006083, 9.052554716801017 58.79262202554449)"/>
    <s v="[1323465, 1323473, 1323481, 1323489, 1323377, 1323385]"/>
    <s v="[1229970, 1229975, 1229977, 1229908, 1229909, 1229879]"/>
    <s v="0.018619331404266925"/>
    <s v="[1229711, 1229970, 1229975, 1229977, 1229908, 1229909]"/>
    <s v="[0.024, 0.064, 0.025, 0.035, 0.017, 0.02]"/>
    <s v="3086.2659541657335"/>
    <s v="[0.024, 0.064, 0.025, -0.035, -0.017, 0.02]"/>
  </r>
  <r>
    <x v="3800"/>
    <x v="4396"/>
    <x v="0"/>
    <n v="0"/>
    <m/>
    <n v="1323393"/>
    <n v="1229873"/>
    <s v="#FIELD!"/>
    <n v="1229879"/>
    <s v="0.017"/>
    <s v="342.4659542699087"/>
    <s v="#FIELD!"/>
  </r>
  <r>
    <x v="3800"/>
    <x v="4396"/>
    <x v="0"/>
    <n v="0"/>
    <s v="LINESTRING (9.052554716801017 58.79262202554449, 9.052473240980706 58.79255910425111, 9.049910145909864 58.79002587969873, 9.049793552168929 58.78991199209738)"/>
    <s v="[1323321, 1287812, 1323313]"/>
    <s v="[1201497, 1201498, 1229873]"/>
    <s v="#FIELD!"/>
    <s v="[1229879, 1201497, 1201498]"/>
    <s v="[0.888, 0.02, 0.479]"/>
    <s v="342.891633106643"/>
    <s v="[0.888, -0.02, -0.479]"/>
  </r>
  <r>
    <x v="3801"/>
    <x v="4397"/>
    <x v="408"/>
    <s v="[1, 0, 0, 0, 1, 0]"/>
    <s v="LINESTRING (7.146763136941531 62.61377998693823, 7.1467414283866155 62.613736733067206, 7.145465023218304 62.6127049490517, 7.145256628756544 62.61255221997462, 7.1441201562203815 62.61188664341629, 7.143998789471894 62.61183110395821, 7.139782419321816 62.610812380368046)"/>
    <s v="[2166395, 2166401, 2166407, 2166413, 2166419, 2166425]"/>
    <s v="[1853696, 1853701, 1853705, 1853707, 1853712, 1853486]"/>
    <s v="#FIELD!"/>
    <s v="[1233937, 1853696, 1853701, 1853705, 1853707, 1853712]"/>
    <s v="[0.004, 0.012, 0.015, 0.022, 0.027, 0.017]"/>
    <s v="510.61233305704326"/>
    <s v="[0.004, -0.012, -0.015, -0.022, -0.027, -0.017]"/>
  </r>
  <r>
    <x v="3801"/>
    <x v="4397"/>
    <x v="0"/>
    <s v="[1, 0, 0, 0, 1, 0]"/>
    <s v="LINESTRING (7.146763136941531 62.61377998693823, 7.146711578081732 62.613756672795496, 7.145591765382461 62.61289214854017, 7.14536444755407 62.61271479678984, 7.144073541900758 62.61192991363147, 7.143957881131043 62.6118747232501, 7.139782419321816 62.610812380368046)"/>
    <s v="[2166499, 2166505, 2166511, 2166517, 2166523, 2166529]"/>
    <s v="[1853748, 1853728, 1853653, 1853755, 1853758, 1853486]"/>
    <s v="#FIELD!"/>
    <s v="[1233937, 1853748, 1853728, 1853653, 1853755, 1853758]"/>
    <s v="[0.04, 0.014, 0.013, 0.02, 0.024, 0.016]"/>
    <s v="506.2706125890635"/>
    <s v="[-0.04, -0.014, -0.013, -0.02, -0.024, -0.016]"/>
  </r>
  <r>
    <x v="3801"/>
    <x v="842"/>
    <x v="409"/>
    <n v="0"/>
    <s v="LINESTRING (7.408220014521703 62.56369062623124, 7.146763136941531 62.61377998693823)"/>
    <m/>
    <m/>
    <s v="0.0"/>
    <m/>
    <n v="0"/>
    <s v="20290.826371943655"/>
    <n v="0"/>
  </r>
  <r>
    <x v="3802"/>
    <x v="4172"/>
    <x v="0"/>
    <n v="0"/>
    <s v="LINESTRING (6.3536972126516975 62.46618799558616, 6.353763519997965 62.46617410024791, 6.353898097111921 62.466175353895, 6.354011455219236 62.466209924147265, 6.354060008548568 62.46625423701828, 6.35405621481402 62.46631604542876, 6.353967998976756 62.46637212339622, 6.35388556242881 62.46638986398986)"/>
    <s v="[1328542, 1328550, 1328558, 1328566, 1328571, 1328573, 1328581]"/>
    <s v="[1206240, 1234027, 1234033, 1234037, 1234040, 1206198, 1234048]"/>
    <s v="#FIELD!"/>
    <s v="[1234021, 1206240, 1234027, 1234033, 1234037, 1234040, 1206198]"/>
    <s v="[0.007, 0.006, 0.004, 0.001, 0.003, 0.005, 0.006]"/>
    <s v="42.642045329327125"/>
    <s v="[-0.007, -0.006, -0.004, -0.001, 0.003, 0.005, 0.006]"/>
  </r>
  <r>
    <x v="3803"/>
    <x v="2589"/>
    <x v="0"/>
    <n v="0"/>
    <s v="LINESTRING (13.249903612102527 65.88669042978779, 13.250659975691018 65.88675826915174, 13.250816608081635 65.8867771693076, 13.253964425214999 65.88730090447454, 13.254027715560925 65.88731531978345, 13.254204556538717 65.88735560827224, 13.254268581662316 65.8873701933807, 13.25493383153003 65.88753312755014, 13.257332076961042 65.88835671868702)"/>
    <s v="[1850449, 1850456, 1850457, 1850464, 1850468, 1850469, 1850476, 1850484]"/>
    <s v="[1620165, 1620173, 1620174, 1620182, 1620186, 1620187, 1620196, 1235508]"/>
    <s v="#FIELD!"/>
    <s v="[1235499, 1620165, 1620173, 1620174, 1620182, 1620186, 1620187, 1620196]"/>
    <s v="[0.656, 0.024, 0.035, 0.074, 0.052, 0.034, 0.056, 0.27]"/>
    <s v="392.8940056368555"/>
    <s v="[0.656, -0.024, -0.035, -0.074, -0.052, -0.034, -0.056, -0.27]"/>
  </r>
  <r>
    <x v="3803"/>
    <x v="2589"/>
    <x v="0"/>
    <n v="0"/>
    <s v="LINESTRING (13.249903612102527 65.88669042978779, 13.25078684471752 65.88681078957264, 13.2539011220319 65.88735666965202, 13.254043837222548 65.88738863650345, 13.254218330805129 65.88742892518344, 13.254904757685976 65.88760120953805, 13.255151453197586 65.88766917001213, 13.257332076961042 65.88835671868702)"/>
    <s v="[1850485, 1850495, 1850516, 1850517, 1850532, 1850533, 1850540]"/>
    <s v="[1620204, 1620212, 1620235, 1620236, 1620253, 1620254, 1235508]"/>
    <s v="#FIELD!"/>
    <s v="[1235499, 1620204, 1620212, 1620235, 1620236, 1620253, 1620254]"/>
    <s v="[0.534, 0.038, 0.048, 0.053, 0.057, 0.048, 0.296]"/>
    <s v="389.7253730731204"/>
    <s v="[0.534, -0.038, -0.048, -0.053, -0.057, -0.048, -0.296]"/>
  </r>
  <r>
    <x v="3804"/>
    <x v="4398"/>
    <x v="0"/>
    <s v="[0, 0, 1, 0, 0, 1, 0, 0, 0, 0, 0, 0]"/>
    <s v="LINESTRING (9.605714226494111 59.620830470418866, 9.600835650432224 59.620794186605934, 9.59739836996627 59.6213032579244, 9.596807697814985 59.62139342324954, 9.588224186472583 59.62195934990226, 9.584819745502976 59.62248327217891, 9.583481431462323 59.62285354275682, 9.582432518070975 59.623226201611125, 9.576897558356972 59.626440203417715, 9.574920314670678 59.627234114645, 9.574127759369492 59.627495929607015, 9.571905136075136 59.62821266604365, 9.568939142508722 59.628837568053555)"/>
    <s v="[1845111, 1845119, 1845127, 1845135, 1845143, 1845151, 1845159, 1845167, 1845175, 1845183, 1845191, 1845207]"/>
    <s v="[1616143, 1616148, 1616151, 1616157, 1616164, 1616170, 1616174, 1616179, 1616184, 1616188, 1616194, 1236482]"/>
    <s v="0.04435762593114391"/>
    <s v="[1616139, 1616143, 1616148, 1616151, 1616157, 1616164, 1616170, 1616174, 1616179, 1616184, 1616188, 1616194]"/>
    <s v="[0.054, 0.069, 0.036, 0.067, 0.007, 0.02, 0.152, 0.048, 0.127, 0.059, 0.03, 0.154]"/>
    <s v="2371.0284085425155"/>
    <s v="[0.054, 0.069, 0.036, 0.067, -0.007, -0.02, 0.152, 0.048, -0.127, -0.059, 0.03, 0.154]"/>
  </r>
  <r>
    <x v="3804"/>
    <x v="4399"/>
    <x v="0"/>
    <s v="[0, 1, 0, 0, 1, 0, 0, 0, 0, 0, 0]"/>
    <s v="LINESTRING (9.600886001521518 59.62085739004096, 9.597436613260076 59.621368032266496, 9.596847342500677 59.621458534701794, 9.588246051224779 59.622031170826126, 9.584940204860542 59.62251425296091, 9.583615372719851 59.62287496799408, 9.58249936991052 59.623268561071995, 9.576970232844506 59.62647940545508, 9.574995734301426 59.62727336872386, 9.574204790571178 59.62753576401619, 9.571959290369549 59.62825891354849, 9.568939142508722 59.628837568053555)"/>
    <s v="[1845343, 1845351, 1845359, 1845367, 1845375, 1845383, 1845391, 1845399, 1845407, 1845415, 1845431]"/>
    <s v="[1616289, 1616294, 1616298, 1616305, 1616310, 1616315, 1616319, 1616325, 1616332, 1616337, 1236482]"/>
    <s v="0.04361930599931313"/>
    <s v="[1616282, 1616289, 1616294, 1616298, 1616305, 1616310, 1616315, 1616319, 1616325, 1616332, 1616337]"/>
    <s v="[0.069, 0.035, 0.065, 0.004, 0.008, 0.151, 0.045, 0.127, 0.066, 0.03, 0.161]"/>
    <s v="2093.8186037573773"/>
    <s v="[0.069, 0.035, 0.065, -0.004, -0.008, 0.151, 0.045, -0.127, -0.066, 0.03, 0.161]"/>
  </r>
  <r>
    <x v="3805"/>
    <x v="4400"/>
    <x v="0"/>
    <n v="0"/>
    <m/>
    <n v="1844927"/>
    <n v="1616024"/>
    <s v="#FIELD!"/>
    <n v="1236596"/>
    <s v="0.052"/>
    <s v="13.352286795490503"/>
    <s v="#FIELD!"/>
  </r>
  <r>
    <x v="3805"/>
    <x v="4399"/>
    <x v="0"/>
    <n v="0"/>
    <s v="LINESTRING (9.60737269193698 59.62236320684736, 9.6074260024078 59.62233327857301, 9.601402239619782 59.62084987846591, 9.600886001521518 59.62085739004096)"/>
    <s v="[1331571, 1331579, 1845618]"/>
    <s v="[1236597, 1236605, 1616282]"/>
    <s v="0.055330687979964016"/>
    <s v="[1236596, 1236597, 1236605]"/>
    <s v="[0.024, 0.052, 0.114]"/>
    <s v="505.1838601289338"/>
    <s v="[0.024, 0.052, 0.114]"/>
  </r>
  <r>
    <x v="3805"/>
    <x v="4401"/>
    <x v="0"/>
    <n v="0"/>
    <s v="LINESTRING (9.607562488565067 59.62264902533742, 9.607302490716288 59.6226716869632, 9.607198314073017 59.62264561082733, 9.607120408636504 59.62260198986908, 9.607120949103868 59.62243840463192, 9.60737269193698 59.62236320684736)"/>
    <s v="[1844887, 1844895, 1844903, 1844911, 1844919]"/>
    <s v="[1616004, 1616007, 1616014, 1616018, 1236596]"/>
    <s v="0.03659844960255759"/>
    <s v="[1616003, 1616004, 1616007, 1616014, 1616018]"/>
    <s v="[0.032, 0.057, 0.081, 0.057, 0.007]"/>
    <s v="64.324991056693"/>
    <s v="[0.032, 0.057, 0.081, 0.057, -0.007]"/>
  </r>
  <r>
    <x v="3806"/>
    <x v="4402"/>
    <x v="0"/>
    <n v="0"/>
    <m/>
    <n v="1331595"/>
    <n v="1236625"/>
    <s v="#FIELD!"/>
    <n v="1236618"/>
    <s v="0.021"/>
    <s v="348.9221497576957"/>
    <s v="#FIELD!"/>
  </r>
  <r>
    <x v="3806"/>
    <x v="4392"/>
    <x v="0"/>
    <s v="[0, 1, 1]"/>
    <s v="LINESTRING (9.611026161410992 59.62134774875995, 9.610487490242983 59.62215243064762, 9.613003461234007 59.6233478243069, 9.613279919068912 59.62352024978488)"/>
    <s v="[1331603, 1331611, 1845634]"/>
    <s v="[1236631, 1236637, 1616121]"/>
    <s v="#FIELD!"/>
    <s v="[1236618, 1236631, 1236637]"/>
    <s v="[0.066, 0.035, 0.217]"/>
    <s v="336.409339465841"/>
    <s v="[-0.066, -0.035, 0.217]"/>
  </r>
  <r>
    <x v="3806"/>
    <x v="4398"/>
    <x v="0"/>
    <n v="0"/>
    <s v="LINESTRING (9.605714226494111 59.620830470418866, 9.606148593809172 59.620859140440935, 9.611026161410992 59.62134774875995)"/>
    <s v="[1845626, 1331587]"/>
    <s v="[1236617, 1236618]"/>
    <s v="#FIELD!"/>
    <s v="[1616139, 1236617]"/>
    <s v="[0.031, 0.034]"/>
    <s v="319.2509527853239"/>
    <s v="[-0.031, -0.034]"/>
  </r>
  <r>
    <x v="3807"/>
    <x v="4401"/>
    <x v="0"/>
    <n v="0"/>
    <s v="LINESTRING (9.608063764788275 59.62274556743109, 9.607637126109658 59.62265993370222, 9.607562488565067 59.62264902533742)"/>
    <s v="[1845215, 1845223]"/>
    <s v="[1616205, 1616003]"/>
    <s v="0.06727615311213508"/>
    <s v="[1236625, 1616205]"/>
    <s v="[0.068, 0.063]"/>
    <s v="30.304260301761822"/>
    <s v="[0.068, 0.063]"/>
  </r>
  <r>
    <x v="3807"/>
    <x v="4403"/>
    <x v="0"/>
    <n v="0"/>
    <s v="LINESTRING (9.608063764788275 59.62274556743109, 9.607739183044039 59.62257874025711, 9.607688310518215 59.62255261353574)"/>
    <s v="[1845231, 1845239]"/>
    <s v="[1616214, 1616028]"/>
    <s v="0.08026862738683825"/>
    <s v="[1236625, 1616214]"/>
    <s v="[0.08, 0.082]"/>
    <s v="30.46093049912651"/>
    <s v="[0.08, 0.082]"/>
  </r>
  <r>
    <x v="3808"/>
    <x v="4404"/>
    <x v="0"/>
    <n v="1"/>
    <m/>
    <n v="1332449"/>
    <n v="1237437"/>
    <s v="0.014"/>
    <n v="1237436"/>
    <s v="0.014"/>
    <s v="42.81293496117438"/>
    <s v="0.014"/>
  </r>
  <r>
    <x v="3808"/>
    <x v="4405"/>
    <x v="0"/>
    <n v="0"/>
    <s v="LINESTRING (10.370829613188267 63.346572485377784, 10.370687594897172 63.34655438009617, 10.37030914246027 63.34653263479111)"/>
    <s v="[1332842, 1332850]"/>
    <s v="[1237798, 1237436]"/>
    <s v="0.013723426785914013"/>
    <s v="[1237516, 1237798]"/>
    <s v="[0.013, 0.014]"/>
    <s v="26.733442518298705"/>
    <s v="[0.013, 0.014]"/>
  </r>
  <r>
    <x v="3808"/>
    <x v="4406"/>
    <x v="0"/>
    <n v="0"/>
    <s v="LINESTRING (10.370754319539053 63.34642103360367, 10.370651576541857 63.346453015800336, 10.37030914246027 63.34653263479111)"/>
    <s v="[1332858, 1332866]"/>
    <s v="[1237805, 1237436]"/>
    <s v="0.01275518185230391"/>
    <s v="[1237527, 1237805]"/>
    <s v="[0.012, 0.013]"/>
    <s v="25.57235168777877"/>
    <s v="[0.012, 0.013]"/>
  </r>
  <r>
    <x v="3809"/>
    <x v="4407"/>
    <x v="0"/>
    <s v="[1, 0, 0]"/>
    <s v="LINESTRING (10.369461665897479 63.346582864524876, 10.369339790862883 63.34661864798101, 10.369150952616215 63.346642631901304, 10.369050190645334 63.34667037904856)"/>
    <s v="[1332874, 1332882, 1332890]"/>
    <s v="[1237815, 1237823, 1237442]"/>
    <s v="0.012426584031477741"/>
    <s v="[1237437, 1237815, 1237823]"/>
    <s v="[0.012, 0.013, 0.012]"/>
    <s v="23.04009119456646"/>
    <s v="[0.012, 0.013, 0.012]"/>
  </r>
  <r>
    <x v="3809"/>
    <x v="4408"/>
    <x v="0"/>
    <s v="[1, 0, 0]"/>
    <s v="LINESTRING (10.369461665897479 63.346582864524876, 10.369323024852802 63.34656243972635, 10.369146981949989 63.34656218249492, 10.369015700023107 63.346547769833464)"/>
    <s v="[1332898, 1332906, 1332914]"/>
    <s v="[1237834, 1237843, 1237458]"/>
    <s v="0.013385135012412182"/>
    <s v="[1237437, 1237834, 1237843]"/>
    <s v="[0.013, 0.014, 0.013]"/>
    <s v="22.893239678831172"/>
    <s v="[0.013, 0.014, 0.013]"/>
  </r>
  <r>
    <x v="3810"/>
    <x v="3787"/>
    <x v="0"/>
    <n v="0"/>
    <m/>
    <n v="1332457"/>
    <n v="1237443"/>
    <s v="0.012"/>
    <n v="1237442"/>
    <s v="0.012"/>
    <s v="16.396556337051763"/>
    <s v="0.012"/>
  </r>
  <r>
    <x v="3810"/>
    <x v="4408"/>
    <x v="0"/>
    <n v="0"/>
    <s v="LINESTRING (10.369015700023107 63.346547769833464, 10.369075422748564 63.34660573477004, 10.369050190645334 63.34667037904856)"/>
    <s v="[1332481, 1332489]"/>
    <s v="[1237466, 1237442]"/>
    <s v="#FIELD!"/>
    <s v="[1237458, 1237466]"/>
    <s v="[0.006, 0.003]"/>
    <s v="14.438987805053728"/>
    <s v="[-0.006, 0.003]"/>
  </r>
  <r>
    <x v="3811"/>
    <x v="3786"/>
    <x v="0"/>
    <n v="0"/>
    <m/>
    <n v="1332465"/>
    <n v="1237450"/>
    <s v="0.002"/>
    <n v="1237443"/>
    <s v="0.002"/>
    <s v="26.98636085766459"/>
    <s v="0.002"/>
  </r>
  <r>
    <x v="3812"/>
    <x v="4408"/>
    <x v="0"/>
    <n v="0"/>
    <m/>
    <n v="1332473"/>
    <n v="1237458"/>
    <s v="#FIELD!"/>
    <n v="1237450"/>
    <s v="0.013"/>
    <s v="16.911839360743684"/>
    <s v="#FIELD!"/>
  </r>
  <r>
    <x v="3813"/>
    <x v="4405"/>
    <x v="0"/>
    <n v="0"/>
    <m/>
    <n v="1332529"/>
    <n v="1237516"/>
    <s v="0.011"/>
    <n v="1237508"/>
    <s v="0.011"/>
    <s v="12.820923119670928"/>
    <s v="0.011"/>
  </r>
  <r>
    <x v="3813"/>
    <x v="3788"/>
    <x v="0"/>
    <n v="0"/>
    <s v="LINESTRING (10.370988519350874 63.34630805856584, 10.371386704755665 63.34635517261844, 10.371464006362073 63.346417124929395, 10.37147314808484 63.346495835798166, 10.371445401342655 63.34653387105187, 10.371347921911429 63.34659221069708, 10.371231681374393 63.34662161440277, 10.37104859860155 63.34662852246325)"/>
    <s v="[1332561, 1332569, 1332577, 1332497, 1332505, 1332513, 1332521]"/>
    <s v="[1237539, 1237547, 1237484, 1237485, 1237493, 1237500, 1237508]"/>
    <s v="0.0008702582581477751"/>
    <s v="[1237534, 1237539, 1237547, 1237484, 1237485, 1237493, 1237500]"/>
    <s v="[0.009, 0.01, 0.004, 0.002, 0.008, 0.014, 0.009]"/>
    <s v="66.75184812505218"/>
    <s v="[0.009, 0.01, 0.004, -0.002, -0.008, -0.014, -0.009]"/>
  </r>
  <r>
    <x v="3814"/>
    <x v="4406"/>
    <x v="0"/>
    <n v="0"/>
    <s v="LINESTRING (10.370829613188267 63.346572485377784, 10.37075008528066 63.34650074852859, 10.370754319539053 63.34642103360367)"/>
    <s v="[1332537, 1332545]"/>
    <s v="[1237522, 1237527]"/>
    <s v="0.0015088041433775844"/>
    <s v="[1237516, 1237522]"/>
    <s v="[0.005, 0.002]"/>
    <s v="17.82564976089514"/>
    <s v="[0.005, -0.002]"/>
  </r>
  <r>
    <x v="3815"/>
    <x v="3788"/>
    <x v="0"/>
    <n v="0"/>
    <m/>
    <n v="1332553"/>
    <n v="1237534"/>
    <s v="#FIELD!"/>
    <n v="1237527"/>
    <s v="0.011"/>
    <s v="17.735144908647474"/>
    <s v="#FIELD!"/>
  </r>
  <r>
    <x v="3816"/>
    <x v="4409"/>
    <x v="0"/>
    <n v="0"/>
    <s v="LINESTRING (11.077575308153008 59.95286583878409, 11.077758887946565 59.95290034074525, 11.077829156497973 59.95297147439398, 11.07777301491122 59.953065724840556, 11.077675927583895 59.95310005275603, 11.077493520857706 59.953098038951204, 11.07737594419362 59.95304347644818, 11.077350873176352 59.953005422234405)"/>
    <s v="[1334823, 1334831, 1334839, 1334847, 1334855, 1334863, 1334799]"/>
    <s v="[1239373, 1239381, 1239387, 1239392, 1239398, 1239351, 1239352]"/>
    <s v="0.0011549864722893235"/>
    <s v="[1239367, 1239373, 1239381, 1239387, 1239392, 1239398, 1239351]"/>
    <s v="[0.001, 0.001, 0.001, 0.003, 0.005, 0.001, 0.0]"/>
    <s v="61.48854373724396"/>
    <s v="[-0.001, -0.001, 0.001, 0.003, 0.005, 0.001, -0.0]"/>
  </r>
  <r>
    <x v="3816"/>
    <x v="4410"/>
    <x v="0"/>
    <n v="0"/>
    <s v="LINESTRING (11.076407279373448 59.95120492527634, 11.077009492481118 59.95270467108092, 11.077274800704245 59.952913366965866, 11.077350873176352 59.953005422234405)"/>
    <s v="[1813059, 1813066, 1813067]"/>
    <s v="[1595952, 1595960, 1239352]"/>
    <s v="#FIELD!"/>
    <s v="[1399836, 1595952, 1595960]"/>
    <s v="[0.003, 0.003, 0.002]"/>
    <s v="209.8079595296262"/>
    <s v="[-0.003, 0.003, 0.002]"/>
  </r>
  <r>
    <x v="3817"/>
    <x v="4410"/>
    <x v="0"/>
    <n v="0"/>
    <s v="LINESTRING (11.076407279373448 59.95120492527634, 11.077019281121828 59.95249232571262, 11.077127349159733 59.952660228139145, 11.077447268127306 59.952822606696365, 11.077575308153008 59.95286583878409)"/>
    <s v="[1813080, 1813083, 1813090, 1813099]"/>
    <s v="[1595972, 1595975, 1595979, 1239367]"/>
    <s v="#FIELD!"/>
    <s v="[1399836, 1595972, 1595975, 1595979]"/>
    <s v="[0.004, 0.005, 0.002, 0.0]"/>
    <s v="201.55776846240434"/>
    <s v="[-0.004, 0.005, 0.002, 0.0]"/>
  </r>
  <r>
    <x v="3818"/>
    <x v="4411"/>
    <x v="0"/>
    <n v="0"/>
    <m/>
    <n v="1334898"/>
    <n v="1239431"/>
    <s v="#FIELD!"/>
    <n v="1239430"/>
    <s v="0.003"/>
    <s v="13.93663517559521"/>
    <s v="#FIELD!"/>
  </r>
  <r>
    <x v="3818"/>
    <x v="4412"/>
    <x v="0"/>
    <n v="0"/>
    <s v="LINESTRING (11.167043815001758 59.57001993845058, 11.167001489853817 59.5700902376219, 11.166885970060381 59.570382269909025)"/>
    <s v="[1335026, 1335027]"/>
    <s v="[1239539, 1239430]"/>
    <s v="0.0003947131767672982"/>
    <s v="[1239538, 1239539]"/>
    <s v="[0.002, 0.0]"/>
    <s v="41.500230392574096"/>
    <s v="[0.002, 0.0]"/>
  </r>
  <r>
    <x v="3818"/>
    <x v="4413"/>
    <x v="0"/>
    <n v="0"/>
    <s v="LINESTRING (11.166762178532991 59.570037843404876, 11.16680177281333 59.5700915845021, 11.166885970060381 59.570382269909025)"/>
    <s v="[1335028, 1335036]"/>
    <s v="[1239541, 1239430]"/>
    <s v="#FIELD!"/>
    <s v="[1239540, 1239541]"/>
    <s v="[0.008, 0.005]"/>
    <s v="39.13006596968387"/>
    <s v="[-0.008, -0.005]"/>
  </r>
  <r>
    <x v="3819"/>
    <x v="4414"/>
    <x v="0"/>
    <n v="0"/>
    <s v="LINESTRING (11.166879351947285 59.57050730189165, 11.166969406844972 59.57073099714716, 11.16700790713188 59.57078813115214)"/>
    <s v="[1334906, 1334914]"/>
    <s v="[1239440, 1239447]"/>
    <s v="0.0169738722388088"/>
    <s v="[1239431, 1239440]"/>
    <s v="[0.013, 0.032]"/>
    <s v="32.16759293468725"/>
    <s v="[0.013, 0.032]"/>
  </r>
  <r>
    <x v="3819"/>
    <x v="4415"/>
    <x v="0"/>
    <n v="0"/>
    <s v="LINESTRING (11.166879351947285 59.57050730189165, 11.166767214763034 59.570737863073354, 11.166733619266244 59.57079123881782)"/>
    <s v="[1334922, 1334930]"/>
    <s v="[1239455, 1239462]"/>
    <s v="0.01809991772305629"/>
    <s v="[1239431, 1239455]"/>
    <s v="[0.016, 0.027]"/>
    <s v="32.703955420930555"/>
    <s v="[0.016, 0.027]"/>
  </r>
  <r>
    <x v="3820"/>
    <x v="4416"/>
    <x v="0"/>
    <n v="0"/>
    <m/>
    <n v="1334970"/>
    <n v="1239491"/>
    <s v="0.029"/>
    <n v="1239447"/>
    <s v="0.029"/>
    <s v="15.944693234489371"/>
    <s v="0.029"/>
  </r>
  <r>
    <x v="3820"/>
    <x v="4415"/>
    <x v="0"/>
    <n v="0"/>
    <s v="LINESTRING (11.166733619266244 59.57079123881782, 11.166864921097675 59.57077252336479, 11.16700790713188 59.57078813115214)"/>
    <s v="[1334954, 1334962]"/>
    <s v="[1239482, 1239447]"/>
    <s v="#FIELD!"/>
    <s v="[1239462, 1239482]"/>
    <s v="[0.011, 0.006]"/>
    <s v="15.978125980953564"/>
    <s v="[-0.011, 0.006]"/>
  </r>
  <r>
    <x v="3821"/>
    <x v="4417"/>
    <x v="0"/>
    <n v="0"/>
    <m/>
    <n v="1334946"/>
    <n v="1239462"/>
    <s v="#FIELD!"/>
    <n v="1239471"/>
    <s v="0.025"/>
    <s v="13.741849641724748"/>
    <s v="#FIELD!"/>
  </r>
  <r>
    <x v="3822"/>
    <x v="4418"/>
    <x v="0"/>
    <n v="0"/>
    <s v="LINESTRING (11.16663682446694 59.57090059254526, 11.166571561416847 59.570891604660424, 11.163405234414997 59.57077004840466, 11.160735816761443 59.57094458810684, 11.160320575029747 59.57095154505002)"/>
    <s v="[1690008, 1690016, 1690024, 1689976]"/>
    <s v="[1513094, 1513099, 1513069, 1497984]"/>
    <s v="0.005337486091735904"/>
    <s v="[1239471, 1513094, 1513099, 1513069]"/>
    <s v="[0.552, 0.016, 0.012, 0.029]"/>
    <s v="359.8509470133043"/>
    <s v="[-0.552, 0.016, 0.012, -0.029]"/>
  </r>
  <r>
    <x v="3822"/>
    <x v="4416"/>
    <x v="0"/>
    <n v="0"/>
    <s v="LINESTRING (11.167117329698362 59.57091332788578, 11.167062569917137 59.57098031404115, 11.16692889181782 59.571022692758284, 11.166794602298564 59.57101659915644, 11.16663682446694 59.57090059254526)"/>
    <s v="[1334978, 1334986, 1334994, 1334938]"/>
    <s v="[1239403, 1239502, 1239417, 1239471]"/>
    <s v="#FIELD!"/>
    <s v="[1239491, 1239403, 1239502, 1239417]"/>
    <s v="[0.033, 0.013, 0.005, 0.025]"/>
    <s v="41.08822345025803"/>
    <s v="[0.033, 0.013, -0.005, -0.025]"/>
  </r>
  <r>
    <x v="3823"/>
    <x v="4419"/>
    <x v="0"/>
    <s v="[0, 1, 0, 0, 0]"/>
    <s v="LINESTRING (11.175108045935492 59.569961907656435, 11.17469254135014 59.57004306666024, 11.171987079142129 59.57029579853027, 11.169798862018654 59.57063347488803, 11.167187269659978 59.57090489576321, 11.167117329698362 59.57091332788578)"/>
    <s v="[1689960, 1690032, 1690040, 1690048, 1690056]"/>
    <s v="[1513061, 1513108, 1513113, 1513121, 1239491]"/>
    <s v="#FIELD!"/>
    <s v="[1497902, 1513061, 1513108, 1513113, 1513121]"/>
    <s v="[0.09, 0.013, 0.016, 0.032, 0.144]"/>
    <s v="464.91601652723926"/>
    <s v="[-0.09, -0.013, -0.016, -0.032, 0.144]"/>
  </r>
  <r>
    <x v="3824"/>
    <x v="4413"/>
    <x v="0"/>
    <n v="0"/>
    <s v="LINESTRING (11.167043815001758 59.57001993845058, 11.166905688189914 59.5700575390303, 11.166762178532991 59.570037843404876)"/>
    <s v="[1335362, 1335370]"/>
    <s v="[1239785, 1239540]"/>
    <s v="0.013433819809248715"/>
    <s v="[1239538, 1239785]"/>
    <s v="[0.011, 0.016]"/>
    <s v="17.266091267344105"/>
    <s v="[0.011, 0.016]"/>
  </r>
  <r>
    <x v="3824"/>
    <x v="4420"/>
    <x v="0"/>
    <n v="0"/>
    <m/>
    <n v="1335418"/>
    <n v="1239538"/>
    <s v="0.005"/>
    <n v="1239823"/>
    <s v="0.005"/>
    <s v="11.991226798764842"/>
    <s v="0.005"/>
  </r>
  <r>
    <x v="3825"/>
    <x v="845"/>
    <x v="0"/>
    <n v="0"/>
    <m/>
    <n v="1335378"/>
    <n v="1239796"/>
    <s v="0.007"/>
    <n v="1239540"/>
    <s v="0.007"/>
    <s v="21.01239016395285"/>
    <s v="0.007"/>
  </r>
  <r>
    <x v="3826"/>
    <x v="4420"/>
    <x v="0"/>
    <n v="0"/>
    <s v="LINESTRING (11.166672572871565 59.5698693576212, 11.166839724044214 59.56980497382458, 11.166998675035074 59.56981991695781, 11.16708642297127 59.569862187162066, 11.16712472043655 59.569924052757976)"/>
    <s v="[1335386, 1335394, 1335402, 1335410]"/>
    <s v="[1239781, 1239808, 1239765, 1239823]"/>
    <s v="#FIELD!"/>
    <s v="[1239796, 1239781, 1239808, 1239765]"/>
    <s v="[0.012, 0.018, 0.014, 0.005]"/>
    <s v="35.31640918862614"/>
    <s v="[-0.012, -0.018, -0.014, -0.005]"/>
  </r>
  <r>
    <x v="3827"/>
    <x v="847"/>
    <x v="0"/>
    <s v="[0, 0, 1, 0]"/>
    <s v="LINESTRING (11.16712472043655 59.569924052757976, 11.167180758161527 59.569946200569696, 11.171925311652247 59.570106646507426, 11.174630526254896 59.56987467497591, 11.175029075544568 59.5698694320482)"/>
    <s v="[1690064, 1690072, 1690080, 1689968]"/>
    <s v="[1513130, 1513133, 1513064, 1499593]"/>
    <s v="0.022970691208711154"/>
    <s v="[1239823, 1513130, 1513133, 1513064]"/>
    <s v="[0.473, 0.025, 0.02, 0.107]"/>
    <s v="456.8899252476619"/>
    <s v="[-0.473, 0.025, 0.02, 0.107]"/>
  </r>
  <r>
    <x v="3828"/>
    <x v="4305"/>
    <x v="0"/>
    <s v="[0, 1, 0]"/>
    <s v="LINESTRING (9.630417548748854 63.28602041011846, 9.630449074503145 63.28610753742609, 9.630582840315727 63.28644283836086, 9.630625056856195 63.286563754118006)"/>
    <s v="[1335978, 1335986, 1335994]"/>
    <s v="[1240293, 1240298, 1240175]"/>
    <s v="0.03338211517354944"/>
    <s v="[1240203, 1240293, 1240298]"/>
    <s v="[0.034, 0.033, 0.034]"/>
    <s v="61.4857033838559"/>
    <s v="[0.034, 0.033, 0.034]"/>
  </r>
  <r>
    <x v="3829"/>
    <x v="4421"/>
    <x v="0"/>
    <s v="[0, 1, 0]"/>
    <s v="LINESTRING (11.744529397469377 59.482719720908875, 11.744000544369657 59.48270670853643, 11.743058987394807 59.48274407436235, 11.742126998813943 59.482723759788925)"/>
    <s v="[1336833, 1336847, 1336855]"/>
    <s v="[1240893, 1240906, 1240913]"/>
    <s v="#FIELD!"/>
    <s v="[1240880, 1240893, 1240906]"/>
    <s v="[0.071, 0.089, 0.089]"/>
    <s v="136.9443431710412"/>
    <s v="[-0.071, -0.089, -0.089]"/>
  </r>
  <r>
    <x v="3829"/>
    <x v="4422"/>
    <x v="0"/>
    <n v="0"/>
    <s v="LINESTRING (11.744529397469377 59.482719720908875, 11.744538349344571 59.48269079918854, 11.743642379502054 59.48267971518148, 11.743817839910063 59.48362745577147, 11.743809853106098 59.48373968409487)"/>
    <s v="[1337210, 1337217, 1337225, 1338327]"/>
    <s v="[1241204, 1241209, 1241214, 1241823]"/>
    <s v="#FIELD!"/>
    <s v="[1240880, 1241204, 1241209, 1241214]"/>
    <s v="[0.006, 0.027, 0.013, 0.0]"/>
    <s v="266.61058998088436"/>
    <s v="[-0.006, -0.027, 0.013, 0.0]"/>
  </r>
  <r>
    <x v="3829"/>
    <x v="4423"/>
    <x v="0"/>
    <n v="0"/>
    <s v="LINESTRING (11.743042177676784 59.48081027955104, 11.743147893060588 59.48086197593972, 11.744683511851179 59.48270648692618, 11.74467886457375 59.48274831343677, 11.744529397469377 59.482719720908875)"/>
    <s v="[1338319, 1337226, 1337233, 1336816]"/>
    <s v="[1241215, 1241216, 1240871, 1240880]"/>
    <s v="0.03470651946960135"/>
    <s v="[1241841, 1241215, 1241216, 1240871]"/>
    <s v="[0.074, 0.036, 0.007, 0.021]"/>
    <s v="259.2742238682017"/>
    <s v="[0.074, 0.036, 0.007, -0.021]"/>
  </r>
  <r>
    <x v="3830"/>
    <x v="4424"/>
    <x v="0"/>
    <n v="0"/>
    <m/>
    <n v="1336856"/>
    <n v="1240914"/>
    <s v="#FIELD!"/>
    <n v="1240913"/>
    <s v="0.089"/>
    <s v="8.412043390259807"/>
    <s v="#FIELD!"/>
  </r>
  <r>
    <x v="3830"/>
    <x v="4425"/>
    <x v="0"/>
    <n v="0"/>
    <s v="LINESTRING (11.742126998813943 59.482723759788925, 11.742103911132439 59.48274516612002, 11.743419951713895 59.48277868820345, 11.743308640456 59.48200141225793, 11.743356486625252 59.48193481630418)"/>
    <s v="[1337193, 1337201, 1337209, 1338335]"/>
    <s v="[1241192, 1241198, 1241203, 1241563]"/>
    <s v="0.019225401636779403"/>
    <s v="[1240913, 1241192, 1241198, 1241203]"/>
    <s v="[0.055, 0.037, 0.016, 0.023]"/>
    <s v="279.18556697442784"/>
    <s v="[-0.055, 0.037, -0.016, 0.023]"/>
  </r>
  <r>
    <x v="3831"/>
    <x v="4426"/>
    <x v="0"/>
    <n v="0"/>
    <s v="LINESTRING (11.744661056940252 59.484541513421405, 11.744513939877947 59.48449834874312, 11.741971278975411 59.482716981575834, 11.741991117080252 59.48269336428328)"/>
    <s v="[1338312, 1337185, 1337186]"/>
    <s v="[1241187, 1241188, 1240914]"/>
    <s v="#FIELD!"/>
    <s v="[1241554, 1241187, 1241188]"/>
    <s v="[0.024, 0.051, 0.024]"/>
    <s v="283.19024956656756"/>
    <s v="[-0.024, -0.051, 0.024]"/>
  </r>
  <r>
    <x v="3832"/>
    <x v="4427"/>
    <x v="0"/>
    <n v="0"/>
    <m/>
    <n v="1336899"/>
    <n v="1240951"/>
    <s v="0.0"/>
    <n v="1240949"/>
    <s v="0.0"/>
    <s v="6.591500284478185"/>
    <s v="0.0"/>
  </r>
  <r>
    <x v="3833"/>
    <x v="4428"/>
    <x v="0"/>
    <s v="[0, 1, 0, 0]"/>
    <s v="LINESTRING (11.684244272239225 59.478933243296204, 11.684338050813624 59.4784732292737, 11.68407117715549 59.47800270993656, 11.683062937164953 59.47757580493867, 11.6823517523936 59.4775159211331)"/>
    <s v="[1336900, 1336906, 1336907, 1336925]"/>
    <s v="[1240952, 1240958, 1240959, 1240970]"/>
    <s v="#FIELD!"/>
    <s v="[1240951, 1240952, 1240958, 1240959]"/>
    <s v="[0.01, 0.019, 0.01, 0.001]"/>
    <s v="223.37685369810293"/>
    <s v="[-0.01, -0.019, -0.01, 0.001]"/>
  </r>
  <r>
    <x v="3833"/>
    <x v="4429"/>
    <x v="0"/>
    <n v="0"/>
    <s v="LINESTRING (11.686075208695105 59.47838137328383, 11.685833967722068 59.478385164179585, 11.684181630065783 59.478937916911356, 11.684244272239225 59.478933243296204)"/>
    <s v="[1338343, 1337299, 1337325]"/>
    <s v="[1241261, 1241262, 1240951]"/>
    <s v="#FIELD!"/>
    <s v="[1241680, 1241261, 1241262]"/>
    <s v="[0.023, 0.006, 0.017]"/>
    <s v="248.90446503854204"/>
    <s v="[-0.023, -0.006, 0.017]"/>
  </r>
  <r>
    <x v="3834"/>
    <x v="4430"/>
    <x v="0"/>
    <n v="0"/>
    <m/>
    <n v="1336939"/>
    <n v="1240981"/>
    <s v="0.002"/>
    <n v="1240970"/>
    <s v="0.002"/>
    <s v="12.1684687614492"/>
    <s v="0.002"/>
  </r>
  <r>
    <x v="3834"/>
    <x v="4431"/>
    <x v="0"/>
    <n v="0"/>
    <s v="LINESTRING (11.6823517523936 59.4775159211331, 11.682342340452621 59.47754702066363, 11.686857828721823 59.478393600841926, 11.68697899068768 59.47843907660071)"/>
    <s v="[1337345, 1337346, 1338359]"/>
    <s v="[1241295, 1241296, 1241924]"/>
    <s v="0.017941745446159757"/>
    <s v="[1240970, 1241295, 1241296]"/>
    <s v="[0.0, 0.017, 0.059]"/>
    <s v="317.3105584966356"/>
    <s v="[0.0, 0.017, 0.059]"/>
  </r>
  <r>
    <x v="3835"/>
    <x v="4432"/>
    <x v="0"/>
    <n v="0"/>
    <s v="LINESTRING (11.679045779271139 59.4784614828755, 11.679267765841157 59.47842551671278, 11.682146246278686 59.47755199655609, 11.682137995632557 59.47752609229583)"/>
    <s v="[1338351, 1337337, 1337338]"/>
    <s v="[1241290, 1241291, 1240981]"/>
    <s v="#FIELD!"/>
    <s v="[1241946, 1241290, 1241291]"/>
    <s v="[0.021, 0.01, 0.002]"/>
    <s v="236.41006392392472"/>
    <s v="[-0.021, -0.01, 0.002]"/>
  </r>
  <r>
    <x v="3836"/>
    <x v="3829"/>
    <x v="0"/>
    <n v="0"/>
    <s v="LINESTRING (8.106116128539556 58.169529038797606, 8.10616954904931 58.16957925478825, 8.106543110813481 58.16997740383324, 8.106588097587752 58.170035569065725)"/>
    <s v="[1337107, 1337115, 1337126]"/>
    <s v="[1241124, 1241131, 1241139]"/>
    <s v="0.0027626143933572453"/>
    <s v="[1241123, 1241124, 1241131]"/>
    <s v="[0.002, 0.0, 0.023]"/>
    <s v="63.012892525708935"/>
    <s v="[0.002, 0.0, 0.023]"/>
  </r>
  <r>
    <x v="3837"/>
    <x v="4433"/>
    <x v="0"/>
    <n v="0"/>
    <s v="LINESTRING (11.667264821878563 59.48061735446778, 11.667177134438093 59.48068693454978, 11.666365635667423 59.48181105755793, 11.666424045489906 59.48179295609808)"/>
    <s v="[1338375, 1337355, 1337356]"/>
    <s v="[1241301, 1241302, 1241303]"/>
    <s v="#FIELD!"/>
    <s v="[1241705, 1241301, 1241302]"/>
    <s v="[0.007, 0.004, 0.011]"/>
    <s v="236.78644235119532"/>
    <s v="[-0.007, -0.004, 0.011]"/>
  </r>
  <r>
    <x v="3838"/>
    <x v="4434"/>
    <x v="0"/>
    <n v="0"/>
    <s v="LINESTRING (11.666397127189725 59.48191252867406, 11.666397127189725 59.48191252867406, 11.662051068303212 59.481748512415344, 11.661826111848974 59.481746150766675)"/>
    <s v="[1337360, 1337362, 1338383]"/>
    <s v="[1241308, 1241310, 1241721]"/>
    <s v="0.005342833115845012"/>
    <s v="[1241307, 1241308, 1241310]"/>
    <s v="[0.0, 0.005, 0.014]"/>
    <s v="284.6023438015574"/>
    <s v="[0.0, 0.005, 0.014]"/>
  </r>
  <r>
    <x v="3839"/>
    <x v="4426"/>
    <x v="0"/>
    <s v="[0, 0, 0, 0, 0, 0, 1, 0]"/>
    <s v="LINESTRING (11.74890651459442 59.48722497519775, 11.74890651459442 59.48722497519775, 11.748005230617746 59.48646188580419, 11.74786238732663 59.4863126862322, 11.747735890431471 59.48615649720882, 11.74693992202902 59.48557757696055, 11.746153446192467 59.48522091155167, 11.745736786028314 59.48502863422321, 11.744661056940252 59.484541513421405)"/>
    <s v="[1337660, 1337676, 1337677, 1337712, 1337736, 1337748, 1337749, 1337751]"/>
    <s v="[1241494, 1241504, 1241505, 1241526, 1241543, 1241552, 1241553, 1241554]"/>
    <s v="#FIELD!"/>
    <s v="[1241493, 1241494, 1241504, 1241505, 1241526, 1241543, 1241552, 1241553]"/>
    <s v="[0.0, 0.025, 0.034, 0.035, 0.042, 0.032, 0.024, 0.023]"/>
    <s v="399.4631956623506"/>
    <s v="[0.0, -0.025, -0.034, -0.035, -0.042, -0.032, -0.024, -0.023]"/>
  </r>
  <r>
    <x v="3840"/>
    <x v="4056"/>
    <x v="0"/>
    <s v="[0, 0, 0, 0, 0, 0, 0, 1, 1, 1]"/>
    <s v="LINESTRING (8.062637023506117 58.16140339587814, 8.062637023506117 58.16140339587814, 8.062659854908402 58.16138944113447, 8.062691702020834 58.16137751085097, 8.062937006552545 58.161281154351755, 8.062361374645729 58.16097441110535, 8.061515529262412 58.16096829619463, 8.0612817421835 58.160980663113634, 8.059784127183969 58.16110116007934, 8.058418787748275 58.16121636293463, 8.058184451463271 58.16122454898564)"/>
    <s v="[1337738, 1337766, 1173588, 1173596, 1173604, 1173612, 1173620, 1173628, 2035090, 2035096]"/>
    <s v="[1113074, 1105924, 1105925, 1105930, 1105939, 1105946, 1105953, 1105956, 1775631, 1453477]"/>
    <s v="#FIELD!"/>
    <s v="[1241544, 1113074, 1105924, 1105925, 1105930, 1105939, 1105946, 1105953, 1105956, 1775631]"/>
    <s v="[0.0, 0.957, 0.209, 0.233, 0.028, 0.198, 0.218, 0.173, 0.076, 0.068]"/>
    <s v="342.3893616765746"/>
    <s v="[0.0, 0.957, 0.209, 0.233, -0.028, -0.198, -0.218, -0.173, -0.076, -0.068]"/>
  </r>
  <r>
    <x v="3841"/>
    <x v="4425"/>
    <x v="0"/>
    <n v="0"/>
    <s v="LINESTRING (11.744661056940252 59.484541513421405, 11.743682458597617 59.48370677897425, 11.743358322205376 59.48194675188781, 11.743356486625252 59.48193481630418)"/>
    <s v="[1337758, 1337759, 1337760]"/>
    <s v="[1241561, 1241562, 1241563]"/>
    <s v="#FIELD!"/>
    <s v="[1241554, 1241561, 1241562]"/>
    <s v="[0.044, 0.015, 0.016]"/>
    <s v="308.0430928531403"/>
    <s v="[-0.044, -0.015, -0.016]"/>
  </r>
  <r>
    <x v="3842"/>
    <x v="4429"/>
    <x v="0"/>
    <s v="[0, 0, 0, 1, 0, 1, 0, 0, 0, 1, 0, 0, 0, 0]"/>
    <s v="LINESTRING (11.743356486625252 59.48193481630418, 11.742929305965685 59.480815247452135, 11.73706760124385 59.478539398015634, 11.732671977953938 59.478634403983946, 11.731607091908819 59.47875523526809, 11.727946095859789 59.47921725462395, 11.726042799981116 59.4794233855075, 11.721920395143952 59.47974597259608, 11.718909873061294 59.480082089476035, 11.709079618014199 59.48296275427973, 11.708181800090994 59.48306738650082, 11.702087183374053 59.482870268982886, 11.69224266808737 59.479898240710924, 11.686979320823824 59.47849536318982, 11.686075208695105 59.47838137328383)"/>
    <s v="[1337767, 1337775, 1337783, 1337796, 1337804, 1337816, 1337817, 1337826, 1337842, 1337850, 1337856, 1337864, 1337872, 1337899]"/>
    <s v="[1241565, 1241573, 1241580, 1241588, 1241594, 1241610, 1241611, 1241618, 1241631, 1241637, 1241645, 1241651, 1241656, 1241680]"/>
    <s v="#FIELD!"/>
    <s v="[1241563, 1241565, 1241573, 1241580, 1241588, 1241594, 1241610, 1241611, 1241618, 1241631, 1241637, 1241645, 1241651, 1241656]"/>
    <s v="[0.027, 0.051, 0.074, 0.002, 0.001, 0.018, 0.0, 0.015, 0.011, 0.054, 0.055, 0.015, 0.052, 0.037]"/>
    <s v="3700.988938218236"/>
    <s v="[-0.027, -0.051, -0.074, 0.002, 0.001, 0.018, 0.0, 0.015, -0.011, -0.054, -0.055, -0.015, -0.052, -0.037]"/>
  </r>
  <r>
    <x v="3843"/>
    <x v="4057"/>
    <x v="0"/>
    <s v="[1, 1, 0, 0, 0, 0, 0, 0]"/>
    <s v="LINESTRING (8.057083185377895 58.161216696574215, 8.05748518781529 58.16113937090061, 8.06107133330189 58.160715767365176, 8.06131773976155 58.160128988498144, 8.061165380199755 58.159795714961376, 8.060995972284463 58.15971607915259, 8.060615203831608 58.15969806437851, 8.06052189814185 58.159702219844924, 8.060375820021864 58.1596737177582)"/>
    <s v="[1371567, 1371575, 1371583, 1173636, 1173644, 1173652, 1337782, 1337792]"/>
    <s v="[1264452, 1264458, 1105962, 1105963, 1105970, 1105977, 1113093, 1241585]"/>
    <s v="0.08095338762232876"/>
    <s v="[1264264, 1264452, 1264458, 1105962, 1105963, 1105970, 1105977, 1113093]"/>
    <s v="[0.034, 0.119, 0.17, 0.079, 0.062, 0.176, 0.563, 0.118]"/>
    <s v="402.4580807008185"/>
    <s v="[0.034, 0.119, 0.17, 0.079, -0.062, -0.176, -0.563, -0.118]"/>
  </r>
  <r>
    <x v="3844"/>
    <x v="4269"/>
    <x v="0"/>
    <n v="0"/>
    <s v="LINESTRING (11.686075208695105 59.47838137328383, 11.679126391471002 59.478510886893616, 11.678029413450771 59.478563135184636)"/>
    <s v="[1337907, 1337915]"/>
    <s v="[1241683, 1241691]"/>
    <s v="0.0010317274015117321"/>
    <s v="[1241680, 1241683]"/>
    <s v="[0.004, 0.033]"/>
    <s v="459.1871962584259"/>
    <s v="[-0.004, 0.033]"/>
  </r>
  <r>
    <x v="3845"/>
    <x v="4433"/>
    <x v="0"/>
    <n v="0"/>
    <s v="LINESTRING (11.678029413450771 59.478563135184636, 11.675657956599027 59.47854802138241, 11.668134957289968 59.48024578581601, 11.667264821878563 59.48061735446778)"/>
    <s v="[1337923, 1337931, 1337935]"/>
    <s v="[1241697, 1241701, 1241705]"/>
    <s v="#FIELD!"/>
    <s v="[1241691, 1241697, 1241701]"/>
    <s v="[0.046, 0.014, 0.008]"/>
    <s v="693.8945828668777"/>
    <s v="[0.046, -0.014, -0.008]"/>
  </r>
  <r>
    <x v="3846"/>
    <x v="4434"/>
    <x v="0"/>
    <n v="0"/>
    <s v="LINESTRING (11.667264821878563 59.48061735446778, 11.663872362066327 59.48147927054545, 11.661826111848974 59.481746150766675)"/>
    <s v="[1337950, 1337958]"/>
    <s v="[1241717, 1241721]"/>
    <s v="0.0014107222499343292"/>
    <s v="[1241705, 1241717]"/>
    <s v="[0.005, 0.013]"/>
    <s v="336.142471732664"/>
    <s v="[-0.005, 0.013]"/>
  </r>
  <r>
    <x v="3847"/>
    <x v="4435"/>
    <x v="0"/>
    <s v="[0, 0, 0, 1, 0, 0, 0, 1, 0, 0, 0, 0, 0, 1, 0]"/>
    <s v="LINESTRING (11.661826111848974 59.481746150766675, 11.658916918389068 59.48220302772378, 11.65636403077636 59.482678220883855, 11.65431348966774 59.482836945958866, 11.653164558214367 59.482907321703856, 11.65300900862761 59.48291730180712, 11.652872469013682 59.48292354485364, 11.651412197685419 59.483085937499865, 11.650306523337854 59.48332685517772, 11.649353521228075 59.483583660977146, 11.64816541459233 59.48391214964626, 11.64808017040432 59.4839357647587, 11.646762988566602 59.484284151794256, 11.646674881665076 59.48430721618554, 11.645794920716789 59.484538020204624, 11.645537895624834 59.48458475934104)"/>
    <s v="[1337966, 1337974, 1337990, 1831770, 1831778, 1831786, 1831794, 1831802, 1831810, 1831818, 1831826, 1831834, 1831842, 1831850, 1831858]"/>
    <s v="[1241728, 1241734, 1241744, 1608057, 660917, 1608068, 1608077, 1608082, 1608092, 660942, 1608106, 1608112, 1608116, 1608124, 1506520]"/>
    <s v="0.012117277239531462"/>
    <s v="[1241721, 1241728, 1241734, 1241744, 1608057, 660917, 1608068, 1608077, 1608082, 1608092, 660942, 1608106, 1608112, 1608116, 1608124]"/>
    <s v="[0.003, 0.007, 0.048, 0.032, 0.031, 0.033, 0.029, 0.052, 0.077, 0.052, 0.035, 0.025, 0.001, 0.001, 0.566]"/>
    <s v="984.4531876562259"/>
    <s v="[0.003, -0.007, -0.048, -0.032, -0.031, -0.033, -0.029, 0.052, 0.077, 0.052, 0.035, 0.025, -0.001, -0.001, 0.566]"/>
  </r>
  <r>
    <x v="3848"/>
    <x v="4422"/>
    <x v="410"/>
    <s v="[0, 0, 0, 0, 0, 0, 1, 0, 0]"/>
    <s v="LINESTRING (11.748123713447477 59.48641550608981, 11.748123713447477 59.48641550608981, 11.747996484265226 59.48626654262517, 11.74786151235856 59.48611634374346, 11.747634810594898 59.485886042308124, 11.747032412267389 59.48554368088054, 11.746224668382927 59.485180357083024, 11.745803584489636 59.48498814950296, 11.74477319383549 59.48451917161423, 11.743809853106098 59.48373968409487)"/>
    <s v="[1338005, 1338023, 1338031, 1338039, 1338047, 1338055, 1338063, 1338071, 1338079]"/>
    <s v="[1241759, 1241777, 1241784, 1241792, 1241799, 1241806, 1241813, 1241819, 1241823]"/>
    <s v="#FIELD!"/>
    <s v="[1241758, 1241759, 1241777, 1241784, 1241792, 1241799, 1241806, 1241813, 1241819]"/>
    <s v="[0.0, 0.034, 0.036, 0.038, 0.042, 0.029, 0.024, 0.023, 0.041]"/>
    <s v="495.5271102600648"/>
    <s v="[0.0, -0.034, -0.036, -0.038, -0.042, -0.029, -0.024, -0.023, -0.041]"/>
  </r>
  <r>
    <x v="3849"/>
    <x v="4423"/>
    <x v="0"/>
    <n v="0"/>
    <s v="LINESTRING (11.743809853106098 59.48373968409487, 11.743469192470952 59.481975794414474, 11.743467360305962 59.48196382297026, 11.743042177676784 59.48081027955104)"/>
    <s v="[1338087, 1338095, 1338103]"/>
    <s v="[1241828, 1241834, 1241841]"/>
    <s v="#FIELD!"/>
    <s v="[1241823, 1241828, 1241834]"/>
    <s v="[0.015, 0.016, 0.026]"/>
    <s v="330.30368055154855"/>
    <s v="[-0.015, -0.016, -0.026]"/>
  </r>
  <r>
    <x v="3850"/>
    <x v="4431"/>
    <x v="0"/>
    <s v="[0, 0, 1, 0, 1, 0, 0, 0, 1, 0, 0, 0]"/>
    <s v="LINESTRING (11.743042177676784 59.48081027955104, 11.737102465412637 59.47847834839011, 11.732640670048028 59.47856720633211, 11.731574552439884 59.47868800650647, 11.727914805563513 59.47914996626826, 11.726020656219262 59.4793558136725, 11.721899064299336 59.47969232338814, 11.718880739423614 59.48001696483474, 11.709045533571762 59.482895480332914, 11.708156018309545 59.48300014181574, 11.702130894569484 59.48281558027836, 11.692276818488127 59.47984533505815, 11.68697899068768 59.47843907660071)"/>
    <s v="[1338111, 1338119, 1338127, 1338135, 1338143, 1338151, 1338159, 1338167, 1338175, 1338183, 1338191, 1338199]"/>
    <s v="[1241849, 1241857, 1241863, 1241871, 1241878, 1241886, 1241893, 1241899, 1241904, 1241909, 1241914, 1241924]"/>
    <s v="#FIELD!"/>
    <s v="[1241841, 1241849, 1241857, 1241863, 1241871, 1241878, 1241886, 1241893, 1241899, 1241904, 1241909, 1241914]"/>
    <s v="[0.051, 0.073, 0.003, 0.0, 0.018, 0.001, 0.016, 0.011, 0.055, 0.056, 0.015, 0.052]"/>
    <s v="3529.0497147839983"/>
    <s v="[-0.051, -0.073, 0.003, 0.0, 0.018, 0.001, 0.016, -0.011, -0.055, -0.056, -0.015, -0.052]"/>
  </r>
  <r>
    <x v="3851"/>
    <x v="4432"/>
    <x v="0"/>
    <n v="0"/>
    <s v="LINESTRING (11.68697899068768 59.47843907660071, 11.686872679761793 59.4784226739366, 11.685944051942156 59.47831118867676, 11.679045779271139 59.4784614828755)"/>
    <s v="[1338207, 1338215, 1338223]"/>
    <s v="[1241928, 1241936, 1241946]"/>
    <s v="#FIELD!"/>
    <s v="[1241924, 1241928, 1241936]"/>
    <s v="[0.069, 0.032, 0.003]"/>
    <s v="454.0660439697266"/>
    <s v="[-0.069, -0.032, -0.003]"/>
  </r>
  <r>
    <x v="3852"/>
    <x v="4038"/>
    <x v="0"/>
    <n v="0"/>
    <m/>
    <n v="1371367"/>
    <n v="1264308"/>
    <s v="#FIELD!"/>
    <n v="1241937"/>
    <s v="0.009"/>
    <s v="169.21151712307835"/>
    <s v="#FIELD!"/>
  </r>
  <r>
    <x v="3853"/>
    <x v="4436"/>
    <x v="0"/>
    <n v="0"/>
    <s v="LINESTRING (11.679045779271139 59.4784614828755, 11.677961535253743 59.47851089985908, 11.675671845906264 59.47847631471232, 11.668007637948614 59.48020703743553, 11.667127471159999 59.480579283922545, 11.6638043280164 59.48141159233014)"/>
    <s v="[1338231, 1338239, 1338247, 1338255, 1338263]"/>
    <s v="[1241953, 1241961, 1241967, 1241973, 1241980]"/>
    <s v="2.7638076011872295e-05"/>
    <s v="[1241946, 1241953, 1241961, 1241967, 1241973]"/>
    <s v="[0.034, 0.045, 0.013, 0.008, 0.004]"/>
    <s v="972.0942722200093"/>
    <s v="[0.034, 0.045, -0.013, -0.008, -0.004]"/>
  </r>
  <r>
    <x v="3854"/>
    <x v="4437"/>
    <x v="0"/>
    <n v="0"/>
    <s v="LINESTRING (11.658850852879445 59.48213803944082, 11.65895879047312 59.482086337299016, 11.66045841652542 59.48109967424844, 11.66356146418933 59.48142134949272, 11.6638043280164 59.48141159233014)"/>
    <s v="[1338391, 1337507, 1337494, 1338399]"/>
    <s v="[1241405, 1241392, 1241393, 1241980]"/>
    <s v="#FIELD!"/>
    <s v="[1241993, 1241405, 1241392, 1241393]"/>
    <s v="[0.019, 0.01, 0.016, 0.015]"/>
    <s v="415.6699001539434"/>
    <s v="[0.019, 0.01, -0.016, -0.015]"/>
  </r>
  <r>
    <x v="3855"/>
    <x v="4435"/>
    <x v="0"/>
    <s v="[0, 0, 1, 0, 0, 0, 1, 0, 0, 0, 0, 0, 1, 0]"/>
    <s v="LINESTRING (11.658850852879445 59.48213803944082, 11.65632604430809 59.48260697593085, 11.65429886888565 59.482765121578645, 11.653146173393113 59.482828750015074, 11.653069778741434 59.48283372152099, 11.652906107960046 59.482844356161124, 11.651361661995688 59.48301537576361, 11.650246813334094 59.48326313076821, 11.649287274408474 59.48352261741352, 11.648154664820392 59.483837943193166, 11.64805127466556 59.48386672768756, 11.646709967910951 59.484232478824524, 11.646621515670807 59.48425742167223, 11.64575640266026 59.484501881097515, 11.645537895624834 59.48458475934104)"/>
    <s v="[1338287, 1338295, 1831674, 1831682, 1831690, 1831698, 1831706, 1831714, 1831722, 1831730, 1831738, 1831746, 1831754, 1831762]"/>
    <s v="[1241999, 1242007, 1607984, 660926, 660916, 1608003, 1608008, 1608017, 660941, 1607975, 1608034, 1608041, 1608045, 1506520]"/>
    <s v="0.013923663031395004"/>
    <s v="[1241993, 1241999, 1242007, 1607984, 660926, 660916, 1608003, 1608008, 1608017, 660941, 1607975, 1608034, 1608041, 1608045]"/>
    <s v="[0.008, 0.048, 0.033, 0.035, 0.032, 0.03, 0.059, 0.078, 0.054, 0.037, 0.026, 0.001, 0.002, 0.532]"/>
    <s v="811.9752605527581"/>
    <s v="[-0.008, -0.048, -0.033, -0.035, -0.032, -0.03, 0.059, 0.078, 0.054, 0.037, 0.026, 0.001, -0.002, 0.532]"/>
  </r>
  <r>
    <x v="3856"/>
    <x v="4060"/>
    <x v="411"/>
    <n v="0"/>
    <s v="LINESTRING (8.02096451007319 58.16164786225343, 8.020885856815422 58.16162037922739, 8.019717359164174 58.16136278524798, 8.019310708502058 58.16126794873703, 8.018789759721077 58.16113166311087, 8.016733494839336 58.16052256897857)"/>
    <s v="[1338400, 1338408, 1338416, 1338424, 1338427]"/>
    <s v="[1242080, 1242086, 1242093, 1242101, 1242103]"/>
    <s v="0.009815583490676528"/>
    <s v="[1242074, 1242080, 1242086, 1242093, 1242101]"/>
    <s v="[0.035, 0.002, 0.012, 0.012, 0.017]"/>
    <s v="279.7621731064852"/>
    <s v="[-0.035, -0.002, 0.012, 0.012, 0.017]"/>
  </r>
  <r>
    <x v="3857"/>
    <x v="4438"/>
    <x v="0"/>
    <n v="0"/>
    <s v="LINESTRING (6.478361192317953 61.571465153670985, 6.478829841293046 61.57152506175715, 6.478911266689413 61.571531143535964)"/>
    <s v="[1338959, 1338966]"/>
    <s v="[1242510, 1242515]"/>
    <s v="#FIELD!"/>
    <s v="[1242509, 1242510]"/>
    <s v="[0.064, 0.075]"/>
    <s v="31.176094339895027"/>
    <s v="[-0.064, -0.075]"/>
  </r>
  <r>
    <x v="3857"/>
    <x v="4439"/>
    <x v="0"/>
    <n v="0"/>
    <s v="LINESTRING (6.478361192317953 61.571465153670985, 6.478832151131529 61.57145535223697, 6.478898240586877 61.57145626160403)"/>
    <s v="[1338974, 1338982]"/>
    <s v="[1242522, 1242529]"/>
    <s v="#FIELD!"/>
    <s v="[1242509, 1242522]"/>
    <s v="[0.076, 0.08]"/>
    <s v="29.040980410231864"/>
    <s v="[-0.076, -0.08]"/>
  </r>
  <r>
    <x v="3857"/>
    <x v="4440"/>
    <x v="0"/>
    <n v="0"/>
    <m/>
    <n v="1339357"/>
    <n v="1242509"/>
    <s v="0.0"/>
    <n v="1242665"/>
    <s v="0.0"/>
    <s v="109.11175051290952"/>
    <s v="0.0"/>
  </r>
  <r>
    <x v="3858"/>
    <x v="4439"/>
    <x v="0"/>
    <n v="0"/>
    <s v="LINESTRING (6.478911266689413 61.571531143535964, 6.478891840191177 61.57148422045758, 6.478898240586877 61.57145626160403)"/>
    <s v="[1339421, 1339429]"/>
    <s v="[1242886, 1242529]"/>
    <s v="#FIELD!"/>
    <s v="[1242515, 1242886]"/>
    <s v="[0.013, 0.032]"/>
    <s v="8.481912996706404"/>
    <s v="[-0.013, -0.032]"/>
  </r>
  <r>
    <x v="3858"/>
    <x v="4441"/>
    <x v="0"/>
    <n v="0"/>
    <m/>
    <n v="1339413"/>
    <n v="1242515"/>
    <s v="0.043"/>
    <n v="1242872"/>
    <s v="0.043"/>
    <s v="14.124086223629165"/>
    <s v="0.043"/>
  </r>
  <r>
    <x v="3859"/>
    <x v="4442"/>
    <x v="0"/>
    <n v="0"/>
    <s v="LINESTRING (6.478898240586877 61.57145626160403, 6.479405002703405 61.57142740061093, 6.47942836405931 61.57146282898115, 6.479430426229185 61.571503422509835, 6.47930605165241 61.57159216305185)"/>
    <s v="[1339365, 1339373, 1339381, 1339389]"/>
    <s v="[1242587, 1242846, 1242543, 1242592]"/>
    <s v="#FIELD!"/>
    <s v="[1242529, 1242587, 1242846, 1242543]"/>
    <s v="[0.06, 0.004, 0.019, 0.058]"/>
    <s v="55.9372091572169"/>
    <s v="[-0.06, -0.004, 0.019, 0.058]"/>
  </r>
  <r>
    <x v="3860"/>
    <x v="4443"/>
    <x v="0"/>
    <n v="0"/>
    <s v="LINESTRING (6.47930605165241 61.57159216305185, 6.479323449289273 61.571630594826644, 6.479474008438928 61.57185019445877)"/>
    <s v="[1339054, 1339062]"/>
    <s v="[1242593, 1242600]"/>
    <s v="#FIELD!"/>
    <s v="[1242592, 1242593]"/>
    <s v="[0.012, 0.007]"/>
    <s v="31.209706428467292"/>
    <s v="[0.012, -0.007]"/>
  </r>
  <r>
    <x v="3860"/>
    <x v="4441"/>
    <x v="0"/>
    <n v="0"/>
    <s v="LINESTRING (6.47930605165241 61.57159216305185, 6.479208980960764 61.571610271270465, 6.479109006412024 61.571609410142784)"/>
    <s v="[1339397, 1339405]"/>
    <s v="[1242867, 1242872]"/>
    <s v="0.08255196796745394"/>
    <s v="[1242592, 1242867]"/>
    <s v="[0.085, 0.08]"/>
    <s v="10.873872685431024"/>
    <s v="[0.085, 0.08]"/>
  </r>
  <r>
    <x v="3861"/>
    <x v="4444"/>
    <x v="0"/>
    <n v="0"/>
    <s v="LINESTRING (6.479474008438928 61.57185019445877, 6.4798984076877675 61.57209199888941, 6.480006409778524 61.57216130330506, 6.480190563646476 61.57228355016695, 6.4807653143466295 61.57277273730805)"/>
    <s v="[1339086, 1339270, 1339277, 1339293]"/>
    <s v="[1242621, 1242752, 1242761, 1242779]"/>
    <s v="#FIELD!"/>
    <s v="[1242600, 1242621, 1242752, 1242761]"/>
    <s v="[0.048, 0.049, 0.049, 0.05]"/>
    <s v="124.27554991853111"/>
    <s v="[-0.048, -0.049, -0.049, -0.05]"/>
  </r>
  <r>
    <x v="3861"/>
    <x v="4441"/>
    <x v="0"/>
    <n v="0"/>
    <s v="LINESTRING (6.479109006412024 61.571609410142784, 6.479143220993635 61.571642512672554, 6.479474008438928 61.57185019445877)"/>
    <s v="[1339525, 1339533]"/>
    <s v="[1242981, 1242600]"/>
    <s v="#FIELD!"/>
    <s v="[1242872, 1242981]"/>
    <s v="[0.012, 0.033]"/>
    <s v="34.2258719872445"/>
    <s v="[-0.012, -0.033]"/>
  </r>
  <r>
    <x v="3862"/>
    <x v="4046"/>
    <x v="0"/>
    <s v="[0, 0, 0, 0, 0, 0, 0, 0, 0, 0, 0, 0, 0, 0, 0, 0, 0, 0, 0, 0, 0, 0, 0, 0, 0, 0, 1, 0, 0, 0, 0, 0, 0, 0, 0]"/>
    <s v="LINESTRING (6.4807653143466295 61.57277273730805, 6.480841112480008 61.572840542119025, 6.481109582336457 61.573067400098196, 6.482570023558593 61.57434430522458, 6.4828826151380685 61.57499446357464, 6.483013398691395 61.57530217946526, 6.483526768961409 61.57606095247869, 6.484306235196675 61.5764676467195, 6.486791508507438 61.577441036187885, 6.488705296888114 61.57818857645062, 6.488734198866849 61.57820330553699, 6.491248672254291 61.57921600599274, 6.4913571573509765 61.57927329885563, 6.49147662231921 61.5793388671133, 6.492531135838291 61.58042075342423, 6.4927134511210385 61.58247267309987, 6.492898906562886 61.58365583998683, 6.502039263686509 61.590911756289024, 6.502062113519486 61.59092718657751, 6.503239766139618 61.591504633985245, 6.503295237894347 61.591528248184915, 6.504150560983576 61.59189168074281, 6.506345300920093 61.59284924177838, 6.507516674188092 61.59433295552607, 6.507837969167743 61.594915109509465, 6.511471663394271 61.59600748942328, 6.511682817578213 61.59602069555419, 6.511884864421099 61.596033241454926, 6.513631490703052 61.596438434244725, 6.5142382692178185 61.59802359755891, 6.516526978404779 61.60022715915575, 6.517104229058404 61.60047394519619, 6.518297533131827 61.601283874443546, 6.5189434041806225 61.602331622594534, 6.5190220675103205 61.60275930986973, 6.520370832012045 61.60554692546444)"/>
    <s v="[1892605, 1892606, 1892614, 1892622, 1892623, 1892632, 1892640, 1892648, 1892664, 1892674, 1892682, 1892690, 1892702, 1892705, 1892706, 1892707, 1892715, 1892723, 1892731, 1892739, 1892747, 1892755, 1892756, 1892763, 1892771, 1892779, 1892780, 1892787, 1892802, 1892826, 1892827, 1892839, 1892840, 1892853, 1892854]"/>
    <s v="[1663364, 1574043, 1574056, 1648115, 1663376, 1648123, 1663391, 324351, 1663406, 1663414, 797925, 1663428, 797919, 1574240, 1648134, 1663439, 1663448, 1663455, 1663461, 1663469, 1663477, 1648136, 1663483, 1663490, 1576627, 1663503, 1663504, 1663511, 1648149, 1663542, 1663543, 1105763, 1648150, 1663566, 1663567]"/>
    <s v="#FIELD!"/>
    <s v="[1242779, 1663364, 1574043, 1574056, 1648115, 1663376, 1648123, 1663391, 324351, 1663406, 1663414, 797925, 1663428, 797919, 1574240, 1648134, 1663439, 1663448, 1663455, 1663461, 1663469, 1663477, 1648136, 1663483, 1663490, 1576627, 1663503, 1663504, 1663511, 1648149, 1663542, 1663543, 1105763, 1648150, 1663566]"/>
    <s v="[0.503, 0.013, 0.02, 0.022, 0.035, 0.033, 0.003, 0.025, 0.009, 0.005, 0.008, 0.031, 0.03, 0.008, 0.004, 0.007, 0.004, 0.03, 0.001, 0.047, 0.012, 0.0, 0.039, 0.044, 0.084, 0.027, 0.027, 0.003, 0.008, 0.019, 0.029, 0.01, 0.043, 0.006, 0.022]"/>
    <s v="4462.3169733777995"/>
    <s v="[-0.503, -0.013, -0.02, 0.022, 0.035, 0.033, -0.003, -0.025, -0.009, -0.005, -0.008, -0.031, -0.03, -0.008, -0.004, 0.007, 0.004, 0.03, 0.001, 0.047, 0.012, 0.0, 0.039, 0.044, -0.084, -0.027, -0.027, 0.003, -0.008, 0.019, 0.029, 0.01, 0.043, 0.006, -0.022]"/>
  </r>
  <r>
    <x v="3862"/>
    <x v="4445"/>
    <x v="0"/>
    <n v="0"/>
    <s v="LINESTRING (6.478749063719119 61.57169924812731, 6.478749063719119 61.57169924812731, 6.479206488039683 61.57187430485492, 6.479908234750986 61.57219738892742, 6.480113128674574 61.57230963945932, 6.4803497291621905 61.57249555105779, 6.4807653143466295 61.57277273730805)"/>
    <s v="[1892572, 1892580, 1892588, 1892589, 1892590, 1892597]"/>
    <s v="[1663346, 1663350, 1663354, 1663355, 1663356, 1242779]"/>
    <s v="0.00989032858532811"/>
    <s v="[1242647, 1663346, 1663350, 1663354, 1663355, 1663356]"/>
    <s v="[0.0, 0.023, 0.003, 0.01, 0.005, 0.093]"/>
    <s v="264.8985970748354"/>
    <s v="[0.0, -0.023, -0.003, -0.01, -0.005, 0.093]"/>
  </r>
  <r>
    <x v="3863"/>
    <x v="3569"/>
    <x v="0"/>
    <n v="0"/>
    <s v="LINESTRING (6.478361192317953 61.571465153670985, 6.47333963720231 61.570399347337705, 6.467961361594836 61.56859673468156, 6.458264663354238 61.56601487208605)"/>
    <s v="[1370159, 1370167, 1370175]"/>
    <s v="[1263496, 1262900, 1263183]"/>
    <s v="0.005112632611656345"/>
    <s v="[1242665, 1263496, 1262900]"/>
    <s v="[0.006, 0.015, 0.001]"/>
    <s v="1129.751429446334"/>
    <s v="[0.006, 0.015, -0.001]"/>
  </r>
  <r>
    <x v="3864"/>
    <x v="4446"/>
    <x v="0"/>
    <n v="0"/>
    <m/>
    <n v="1340962"/>
    <n v="1244036"/>
    <s v="0.012"/>
    <n v="1244035"/>
    <s v="0.012"/>
    <s v="402.54952268235473"/>
    <s v="0.012"/>
  </r>
  <r>
    <x v="3864"/>
    <x v="4447"/>
    <x v="0"/>
    <n v="0"/>
    <s v="LINESTRING (5.424523320591661 60.2145290519015, 5.424565160126444 60.214826650463564, 5.424708781196945 60.21557609404221, 5.425569163585366 60.21632406611157)"/>
    <s v="[2091025, 2091033, 2091041]"/>
    <s v="[1810164, 1810171, 1810042]"/>
    <s v="#FIELD!"/>
    <s v="[1244035, 1810164, 1810171]"/>
    <s v="[0.035, 0.041, 0.021]"/>
    <s v="214.89598356625234"/>
    <s v="[-0.035, -0.041, -0.021]"/>
  </r>
  <r>
    <x v="3864"/>
    <x v="4448"/>
    <x v="0"/>
    <n v="0"/>
    <s v="LINESTRING (5.4433418451308295 60.201998557789146, 5.442065837358429 60.20345388397693, 5.438309702593118 60.20568933767493, 5.424845522066616 60.21350690256949, 5.424523320591661 60.2145290519015)"/>
    <s v="[1341075, 1340985, 1340992, 1340961]"/>
    <s v="[1244050, 1244051, 1244034, 1244035]"/>
    <s v="0.006879451180314256"/>
    <s v="[1244116, 1244050, 1244051, 1244034]"/>
    <s v="[0.131, 0.428, 0.12, 0.07]"/>
    <s v="1810.371853835956"/>
    <s v="[0.131, 0.428, -0.12, -0.07]"/>
  </r>
  <r>
    <x v="3865"/>
    <x v="4449"/>
    <x v="412"/>
    <n v="0"/>
    <s v="LINESTRING (5.424872789447965 60.218118598735735, 5.424270866575177 60.22274180718391, 5.408150535325853 60.24433778880605, 5.388425384061785 60.258640285794705, 5.368088961235114 60.269353026899466, 5.352786389173024 60.280009635839164, 5.334668774509006 60.28589757799519, 5.329577689646074 60.28782187475351)"/>
    <s v="[1340963, 1341001, 1341083, 1341084, 1341085, 1341086, 1341098]"/>
    <s v="[1244037, 1244062, 1244121, 1244122, 1244123, 1244124, 1244130]"/>
    <s v="0.0012572610489707998"/>
    <s v="[1244036, 1244037, 1244062, 1244121, 1244122, 1244123, 1244124]"/>
    <s v="[0.038, 0.08, 0.047, 0.09, 0.036, 0.068, 0.307]"/>
    <s v="9716.969782661026"/>
    <s v="[0.038, 0.08, -0.047, -0.09, 0.036, 0.068, -0.307]"/>
  </r>
  <r>
    <x v="3865"/>
    <x v="4450"/>
    <x v="0"/>
    <n v="0"/>
    <s v="LINESTRING (5.425623883994062 60.21660695670797, 5.4253183367961 60.216902854322505, 5.425041347053847 60.21722312426677, 5.424935840824476 60.217915459761336, 5.424872789447965 60.218118598735735)"/>
    <s v="[1341406, 1341414, 1341415, 1341427]"/>
    <s v="[1244338, 1244340, 1244341, 1244036]"/>
    <s v="0.05745586635021142"/>
    <s v="[1244337, 1244338, 1244340, 1244341]"/>
    <s v="[0.054, 0.061, 0.056, 0.062]"/>
    <s v="177.26025753213645"/>
    <s v="[0.054, 0.061, 0.056, 0.062]"/>
  </r>
  <r>
    <x v="3866"/>
    <x v="4449"/>
    <x v="0"/>
    <n v="0"/>
    <s v="LINESTRING (5.329577689646074 60.28782187475351, 5.328510068674947 60.288264243222166, 5.3257464679605535 60.289400811198355, 5.325061815976848 60.28968680243487, 5.323376999929696 60.29039553500716)"/>
    <s v="[1341104, 1340975, 1341002, 1341013]"/>
    <s v="[1244042, 1244043, 1244063, 1244075]"/>
    <s v="#FIELD!"/>
    <s v="[1244130, 1244042, 1244043, 1244063]"/>
    <s v="[0.519, 0.048, 0.103, 0.103]"/>
    <s v="448.4408127096519"/>
    <s v="[-0.519, -0.048, 0.103, 0.103]"/>
  </r>
  <r>
    <x v="3866"/>
    <x v="4451"/>
    <x v="0"/>
    <n v="0"/>
    <s v="LINESTRING (5.326892937413706 60.28949407607164, 5.326892937413706 60.28949407607164, 5.325059529269156 60.2897633736229, 5.324073986982577 60.29015534008925, 5.323376999929696 60.29039553500716)"/>
    <s v="[2091176, 2091184, 2091198, 2091206]"/>
    <s v="[1810262, 1810268, 1810277, 1244075]"/>
    <s v="0.049680933576858016"/>
    <s v="[1810247, 1810262, 1810268, 1810277]"/>
    <s v="[0.0, 0.026, 0.114, 0.103]"/>
    <s v="322.17987966505376"/>
    <s v="[0.0, 0.026, 0.114, 0.103]"/>
  </r>
  <r>
    <x v="3867"/>
    <x v="4452"/>
    <x v="0"/>
    <n v="0"/>
    <m/>
    <n v="1341030"/>
    <n v="1244089"/>
    <s v="0.014"/>
    <n v="1244088"/>
    <s v="0.014"/>
    <s v="563.849585496557"/>
    <s v="0.014"/>
  </r>
  <r>
    <x v="3867"/>
    <x v="4453"/>
    <x v="0"/>
    <n v="0"/>
    <s v="LINESTRING (5.444248070136366 60.19984297059047, 5.44565248266549 60.19595727656502, 5.445840724346909 60.19502458590236)"/>
    <s v="[1341140, 1341157]"/>
    <s v="[1244160, 1244088]"/>
    <s v="#FIELD!"/>
    <s v="[1244159, 1244160]"/>
    <s v="[0.012, 0.024]"/>
    <s v="546.3806956392812"/>
    <s v="[-0.012, -0.024]"/>
  </r>
  <r>
    <x v="3867"/>
    <x v="4454"/>
    <x v="0"/>
    <s v="[0, 0, 0, 1, 0]"/>
    <s v="LINESTRING (5.450677098649641 60.183001469510295, 5.450601100844003 60.183130688100086, 5.449180261706108 60.18614458174238, 5.445364661360362 60.18912450087166, 5.443989561619307 60.19121205578909, 5.445840724346909 60.19502458590236)"/>
    <s v="[2061968, 2061976, 2061984, 2061992, 2062000]"/>
    <s v="[1792424, 1792431, 1792439, 1792443, 1244088]"/>
    <s v="#FIELD!"/>
    <s v="[1754147, 1792424, 1792431, 1792439, 1792443]"/>
    <s v="[0.057, 0.024, 0.07, 0.027, 0.023]"/>
    <s v="1449.690884904489"/>
    <s v="[-0.057, 0.024, -0.07, -0.027, 0.023]"/>
  </r>
  <r>
    <x v="3868"/>
    <x v="4448"/>
    <x v="0"/>
    <n v="0"/>
    <s v="LINESTRING (5.44435583222034 60.19999513827122, 5.44367328748358 60.20148902420223, 5.4433418451308295 60.201998557789146)"/>
    <s v="[1341073, 1341074]"/>
    <s v="[1244115, 1244116]"/>
    <s v="#FIELD!"/>
    <s v="[1244089, 1244115]"/>
    <s v="[0.019, 0.044]"/>
    <s v="231.14356951954684"/>
    <s v="[-0.019, 0.044]"/>
  </r>
  <r>
    <x v="3868"/>
    <x v="4455"/>
    <x v="0"/>
    <n v="0"/>
    <s v="LINESTRING (5.44435583222034 60.19999513827122, 5.444349227686701 60.20011570264168, 5.443621431965363 60.20268587152305, 5.443428735154147 60.204075183505346, 5.4434764290341136 60.20411188607404)"/>
    <s v="[2090843, 2090851, 2090859, 2090861]"/>
    <s v="[1810061, 1810066, 1810071, 1757535]"/>
    <s v="0.009502763925450228"/>
    <s v="[1244089, 1810061, 1810066, 1810071]"/>
    <s v="[0.018, 0.009, 0.051, 0.139]"/>
    <s v="493.65349420516895"/>
    <s v="[-0.018, -0.009, 0.051, -0.139]"/>
  </r>
  <r>
    <x v="3869"/>
    <x v="4456"/>
    <x v="0"/>
    <n v="0"/>
    <s v="LINESTRING (5.443280057554053 60.20414655721812, 5.443251642214967 60.20410886006861, 5.4436166415794895 60.2025767229473, 5.4434468898781185 60.201893951379795, 5.4433418451308295 60.201998557789146)"/>
    <s v="[2090862, 2090864, 2090872, 2090880]"/>
    <s v="[1810072, 1810074, 1810079, 1244116]"/>
    <s v="#FIELD!"/>
    <s v="[1757568, 1810072, 1810074, 1810079]"/>
    <s v="[0.066, 0.066, 0.008, 0.082]"/>
    <s v="424.27631835889514"/>
    <s v="[0.066, -0.066, 0.008, 0.082]"/>
  </r>
  <r>
    <x v="3870"/>
    <x v="1762"/>
    <x v="0"/>
    <n v="0"/>
    <s v="LINESTRING (5.329577689646074 60.28782187475351, 5.329127326236368 60.28806872904637, 5.328571575569524 60.2882982862871, 5.327796494586126 60.28861838353569, 5.327088331612281 60.28937957019515, 5.327065613917614 60.28974108139079)"/>
    <s v="[2091049, 2091057, 2091066, 2091074, 2091082]"/>
    <s v="[1810181, 1810189, 1810193, 1810195, 1810201]"/>
    <s v="#FIELD!"/>
    <s v="[1244130, 1810181, 1810189, 1810193, 1810195]"/>
    <s v="[0.476, 0.506, 0.137, 0.018, 0.013]"/>
    <s v="272.28286252813166"/>
    <s v="[-0.476, -0.506, -0.137, -0.018, -0.013]"/>
  </r>
  <r>
    <x v="3871"/>
    <x v="4457"/>
    <x v="0"/>
    <n v="0"/>
    <s v="LINESTRING (5.325683978563431 60.28919125447319, 5.328173368602458 60.28815366231136, 5.329209310018174 60.28773872717407)"/>
    <s v="[1341125, 1341175]"/>
    <s v="[1244146, 1244173]"/>
    <s v="0.14095686470827246"/>
    <s v="[1244139, 1244146]"/>
    <s v="[0.023, 0.429]"/>
    <s v="254.2006538654815"/>
    <s v="[0.023, 0.429]"/>
  </r>
  <r>
    <x v="3871"/>
    <x v="4458"/>
    <x v="0"/>
    <n v="0"/>
    <s v="LINESTRING (5.325683978563431 60.28919125447319, 5.326144260203739 60.288935731885644, 5.326663878176071 60.28854523766028, 5.325966469549318 60.28824038732802)"/>
    <s v="[2091270, 2091278, 2091286]"/>
    <s v="[1810320, 1810325, 1810285]"/>
    <s v="0.016758749506618657"/>
    <s v="[1244139, 1810320, 1810325]"/>
    <s v="[0.031, 0.024, 0.001]"/>
    <s v="152.07029269306815"/>
    <s v="[0.031, 0.024, 0.001]"/>
  </r>
  <r>
    <x v="3871"/>
    <x v="4459"/>
    <x v="0"/>
    <n v="0"/>
    <s v="LINESTRING (5.328764830121827 60.308274456468496, 5.327289788839738 60.305977484179294, 5.319776607479338 60.300246913477345, 5.3249388479281485 60.289504095707635, 5.325683978563431 60.28919125447319)"/>
    <s v="[1341242, 1341108, 1341109, 1341110]"/>
    <s v="[1244136, 1244137, 1244138, 1244139]"/>
    <s v="0.007104876519371327"/>
    <s v="[1244228, 1244136, 1244137, 1244138]"/>
    <s v="[0.053, 0.081, 0.038, 0.125]"/>
    <s v="2460.63612246272"/>
    <s v="[0.053, 0.081, -0.038, -0.125]"/>
  </r>
  <r>
    <x v="3872"/>
    <x v="4453"/>
    <x v="0"/>
    <n v="0"/>
    <m/>
    <n v="1341139"/>
    <n v="1244159"/>
    <s v="0.01"/>
    <n v="1244158"/>
    <s v="0.01"/>
    <s v="187.7246426417958"/>
    <s v="0.01"/>
  </r>
  <r>
    <x v="3872"/>
    <x v="4460"/>
    <x v="0"/>
    <n v="0"/>
    <s v="LINESTRING (5.443510191108552 60.201481314123626, 5.443485169695232 60.20135858525216, 5.4435365161965965 60.200931830243164, 5.442499933564218 60.2007087901511)"/>
    <s v="[2090888, 2090896, 2090905]"/>
    <s v="[1810091, 1810096, 1809095]"/>
    <s v="0.06306148208108509"/>
    <s v="[1244158, 1810091, 1810096]"/>
    <s v="[0.027, 0.006, 0.108]"/>
    <s v="134.8459140467898"/>
    <s v="[0.027, 0.006, 0.108]"/>
  </r>
  <r>
    <x v="3872"/>
    <x v="4461"/>
    <x v="0"/>
    <n v="0"/>
    <s v="LINESTRING (5.424040660843006 60.214902479066176, 5.424468585813721 60.21340311376543, 5.438274757284026 60.20542767449188, 5.4418278149637604 60.203351202572634, 5.443510191108552 60.201481314123626)"/>
    <s v="[2090967, 1341374, 1341385, 1341138]"/>
    <s v="[1244312, 1244313, 1244157, 1244158]"/>
    <s v="#FIELD!"/>
    <s v="[1810129, 1244312, 1244313, 1244157]"/>
    <s v="[0.039, 0.118, 0.438, 0.118]"/>
    <s v="1920.34947787288"/>
    <s v="[0.039, 0.118, -0.438, -0.118]"/>
  </r>
  <r>
    <x v="3873"/>
    <x v="4462"/>
    <x v="0"/>
    <n v="0"/>
    <s v="LINESTRING (5.4433188501362935 60.20054096471477, 5.4433188501362935 60.20054096471477, 5.444125959860875 60.1999086978459, 5.444248070136366 60.19984297059047)"/>
    <s v="[2090913, 2090921, 2090937]"/>
    <s v="[1810106, 1810112, 1244159]"/>
    <s v="#FIELD!"/>
    <s v="[1809128, 1810106, 1810112]"/>
    <s v="[0.0, 0.012, 0.022]"/>
    <s v="145.2089256368198"/>
    <s v="[0.0, -0.012, 0.022]"/>
  </r>
  <r>
    <x v="3874"/>
    <x v="4463"/>
    <x v="0"/>
    <n v="0"/>
    <s v="LINESTRING (5.329209310018174 60.28773872717407, 5.3342394340371095 60.285807633535136, 5.352448768120137 60.279880508112235, 5.3724099514909325 60.266414030970076, 5.394836107572961 60.254410834552864, 5.407828702003752 60.24419357954257, 5.423851541980148 60.22273287654864, 5.424392424910582 60.21778733714026)"/>
    <s v="[1341191, 1341207, 1341208, 1341231, 1341239, 1341158, 2090945]"/>
    <s v="[1244186, 1244197, 1244198, 1244218, 1244166, 1244167, 1810123]"/>
    <s v="0.00019780279035028033"/>
    <s v="[1244173, 1244186, 1244197, 1244198, 1244218, 1244166, 1244167]"/>
    <s v="[0.359, 0.077, 0.005, 0.031, 0.097, 0.08, 0.043]"/>
    <s v="9743.306529409047"/>
    <s v="[0.359, -0.077, 0.005, 0.031, 0.097, -0.08, -0.043]"/>
  </r>
  <r>
    <x v="3874"/>
    <x v="4464"/>
    <x v="0"/>
    <n v="0"/>
    <s v="LINESTRING (5.326757729995427 60.28825837623197, 5.326757729995427 60.28825837623197, 5.328114120473078 60.28810813488975, 5.328916484168985 60.28780304824406, 5.329209310018174 60.28773872717407)"/>
    <s v="[2091294, 2091302, 2091311, 2091319]"/>
    <s v="[1810334, 1810340, 1810347, 1244173]"/>
    <s v="0.1663120006593613"/>
    <s v="[1810307, 1810334, 1810340, 1810347]"/>
    <s v="[0.0, 0.013, 0.369, 0.621]"/>
    <s v="197.1252718873699"/>
    <s v="[0.0, 0.013, 0.369, 0.621]"/>
  </r>
  <r>
    <x v="3875"/>
    <x v="4465"/>
    <x v="0"/>
    <n v="0"/>
    <m/>
    <n v="1341206"/>
    <n v="1244196"/>
    <s v="0.0"/>
    <n v="1244195"/>
    <s v="0.0"/>
    <s v="4.328407674724554"/>
    <s v="0.0"/>
  </r>
  <r>
    <x v="3876"/>
    <x v="4466"/>
    <x v="0"/>
    <s v="[0, 1, 0]"/>
    <s v="LINESTRING (5.9276027038257055 58.746142098782286, 5.927753661039248 58.74619858413344, 5.928252095484509 58.74636398125522, 5.928322257174785 58.74643229535877)"/>
    <s v="[1341214, 1341215, 1341224]"/>
    <s v="[1244203, 1244204, 1244211]"/>
    <s v="#FIELD!"/>
    <s v="[1244196, 1244203, 1244204]"/>
    <s v="[0.063, 0.067, 0.056]"/>
    <s v="54.66804530574912"/>
    <s v="[-0.063, -0.067, -0.056]"/>
  </r>
  <r>
    <x v="3876"/>
    <x v="4467"/>
    <x v="0"/>
    <n v="0"/>
    <s v="LINESTRING (5.9276027038257055 58.746142098782286, 5.9276589665130235 58.746123361611, 5.930540522103544 58.74424799884208, 5.930715314655598 58.74418944558298)"/>
    <s v="[1341249, 1341257, 1341258]"/>
    <s v="[1244235, 1244242, 1244243]"/>
    <s v="0.0032911181820273546"/>
    <s v="[1244196, 1244235, 1244242]"/>
    <s v="[0.034, 0.006, 0.045]"/>
    <s v="284.6506769804527"/>
    <s v="[-0.034, 0.006, -0.045]"/>
  </r>
  <r>
    <x v="3877"/>
    <x v="1126"/>
    <x v="0"/>
    <n v="0"/>
    <s v="LINESTRING (5.928322257174785 58.74643229535877, 5.925609229293929 58.74820481599992, 5.925376029395927 58.74829727832489)"/>
    <s v="[1341232, 1341240]"/>
    <s v="[1244219, 1244227]"/>
    <s v="#FIELD!"/>
    <s v="[1244211, 1244219]"/>
    <s v="[0.001, 0.011]"/>
    <s v="270.4351853832668"/>
    <s v="[-0.001, -0.011]"/>
  </r>
  <r>
    <x v="3877"/>
    <x v="4468"/>
    <x v="0"/>
    <s v="[0, 1, 0]"/>
    <s v="LINESTRING (5.928322257174785 58.74643229535877, 5.928213223269235 58.74639644632797, 5.927710308606682 58.74623176104332, 5.927536231160195 58.74618111521202)"/>
    <s v="[1341271, 1341283, 1341299]"/>
    <s v="[1244254, 1244262, 1244272]"/>
    <s v="0.06684285439811985"/>
    <s v="[1244211, 1244254, 1244262]"/>
    <s v="[0.069, 0.068, 0.062]"/>
    <s v="53.59280870914316"/>
    <s v="[0.069, 0.068, 0.062]"/>
  </r>
  <r>
    <x v="3877"/>
    <x v="4469"/>
    <x v="0"/>
    <n v="0"/>
    <s v="LINESTRING (5.930622538021201 58.74426010393179, 5.930528954769235 58.744409037245376, 5.928322257174785 58.74643229535877)"/>
    <s v="[1341265, 1341266]"/>
    <s v="[1244250, 1244211]"/>
    <s v="#FIELD!"/>
    <s v="[1244249, 1244250]"/>
    <s v="[0.018, 0.016]"/>
    <s v="282.107155562755"/>
    <s v="[-0.018, -0.016]"/>
  </r>
  <r>
    <x v="3878"/>
    <x v="4470"/>
    <x v="0"/>
    <n v="0"/>
    <m/>
    <n v="1341360"/>
    <n v="1244227"/>
    <s v="#FIELD!"/>
    <n v="1244308"/>
    <s v="0.025"/>
    <s v="16.6865795178986"/>
    <s v="#FIELD!"/>
  </r>
  <r>
    <x v="3879"/>
    <x v="4471"/>
    <x v="0"/>
    <n v="0"/>
    <s v="LINESTRING (5.328764830121827 60.308274456468496, 5.328549911484712 60.308154026487095, 5.327903488186308 60.302361354399665, 5.328090944686163 60.30159803799668)"/>
    <s v="[2090702, 2090710, 2090718]"/>
    <s v="[1809971, 1809977, 1447325]"/>
    <s v="0.022135754760492503"/>
    <s v="[1244228, 1809971, 1809977]"/>
    <s v="[0.042, 0.025, 0.015]"/>
    <s v="770.3039065001242"/>
    <s v="[-0.042, 0.025, 0.015]"/>
  </r>
  <r>
    <x v="3879"/>
    <x v="4472"/>
    <x v="0"/>
    <s v="[0, 0, 0, 0, 0, 0, 0, 1, 0, 0, 0]"/>
    <s v="LINESTRING (5.33541897023378 60.32380178429478, 5.335352994057021 60.32370564174231, 5.334973702348763 60.323207897547796, 5.33322318480703 60.31905779815086, 5.333213304114727 60.318961827615084, 5.332992103029016 60.31487079433039, 5.332375535130484 60.31283567382028, 5.3308346461080385 60.31057245041927, 5.330111453208214 60.30978781550471, 5.329606445817275 60.309242886524615, 5.329521770653508 60.30914882099782, 5.328764830121827 60.308274456468496)"/>
    <s v="[1613887, 1613892, 1613711, 1613731, 1613771, 1613781, 1613784, 1613785, 1613792, 474211, 1341241]"/>
    <s v="[1447421, 1447300, 1447301, 1447311, 1447350, 1447359, 1447362, 1447363, 472599, 472600, 1244228]"/>
    <s v="#FIELD!"/>
    <s v="[1447394, 1447421, 1447300, 1447301, 1447311, 1447350, 1447359, 1447362, 1447363, 472599, 472600]"/>
    <s v="[0.015, 0.004, 0.003, 0.147, 0.0, 0.028, 0.003, 0.06, 0.071, 0.04, 0.016]"/>
    <s v="1794.2298439455412"/>
    <s v="[0.015, -0.004, -0.003, -0.147, -0.0, 0.028, -0.003, -0.06, -0.071, -0.04, 0.016]"/>
  </r>
  <r>
    <x v="3880"/>
    <x v="4469"/>
    <x v="0"/>
    <n v="0"/>
    <m/>
    <n v="1341334"/>
    <n v="1244249"/>
    <s v="0.015"/>
    <n v="1244243"/>
    <s v="0.015"/>
    <s v="9.557402418901296"/>
    <s v="0.015"/>
  </r>
  <r>
    <x v="3880"/>
    <x v="3801"/>
    <x v="413"/>
    <s v="[0, 0, 0, 0, 0, 0, 0, 0, 0, 0, 0, 0, 0, 0, 0, 0, 0, 0, 0, 0, 0, 0, 0, 0, 0, 0, 0, 0, 0, 0, 0, 0, 0, 0, 0, 0, 0, 0, 0, 0, 0, 0, 0, 0, 0, 0, 0, 0, 0, 0, 0, 0, 0, 0, 0, 0, 0, 0, 0, 0, 0, 0, 1, 0, 0, 0, 0, 1, 0, 0, 0, 0, 0, 0, 0, 0, 0, 0]"/>
    <s v="LINESTRING (6.085746978725101 58.62871270523826, 6.085632086231489 58.62874604601168, 6.0847706550585565 58.62896875087262, 6.084459218861784 58.62903776530046, 6.083562515751806 58.62920624655664, 6.081553291521778 58.629530413761444, 6.080374343596612 58.62973769523126, 6.080246935198204 58.62976558672094, 6.080167280762975 58.62978334003944, 6.07854837211438 58.6304813105561, 6.078175082277576 58.63081801765954, 6.0773137568341 58.632123397155496, 6.0772627840128965 58.632565908807805, 6.077327444377924 58.63281011683061, 6.077338719325433 58.63284488292421, 6.077497441893191 58.63314718412785, 6.077762921161082 58.63345665862451, 6.077936094943317 58.633601161910136, 6.0779739779861615 58.633629514655226, 6.078050553154241 58.633684488349495, 6.082018272139552 58.635270705060606, 6.08205479571593 58.63534487916788, 6.082091330775836 58.635644352841176, 6.082086768707949 58.63568320512059, 6.082459481686575 58.63796861715645, 6.080120238909466 58.64106072588794, 6.0649097044080325 58.64270818811407, 6.053317307646921 58.64424424288422, 6.05072812982118 58.64475075801482, 6.045785129934438 58.646545343955545, 6.043706004405018 58.647847145583775, 6.043205687358857 58.64816823320397, 6.029511752198784 58.65453966529209, 6.01332817894711 58.66206008438928, 6.0061207217033346 58.66312659583483, 5.991728676567395 58.665324904340714, 5.991039233472484 58.66549982048702, 5.989520784529311 58.66589613305696, 5.987875330703625 58.66637823960072, 5.98772858575659 58.66643187242514, 5.9877158799042585 58.66643679291745, 5.9875951794981415 58.66648628393272, 5.987462535944628 58.66654122789924, 5.985950506501156 58.66737860286352, 5.98152494111636 58.67515171627485, 5.981032594082352 58.67584025357186, 5.980899360002895 58.67631924532626, 5.980935922925134 58.67682381380318, 5.981970198159009 58.67809236624179, 5.982469443865226 58.67843967253292, 5.984903699588505 58.680120215378274, 5.985218677059015 58.6803453740897, 5.98636846752065 58.68131529819018, 5.987557968623741 58.682968883816514, 5.987881497357053 58.683886530299645, 5.987871458411618 58.68605552583422, 5.987662541734589 58.68662303694513, 5.986589237404053 58.68892907679834, 5.986216038910442 58.694853601152786, 5.9820220995226325 58.70849424060546, 5.98198616794791 58.70876730591598, 5.981666507729865 58.709762294607415, 5.975237096976445 58.71684038742629, 5.975208965159451 58.716890703388856, 5.974612722618117 58.718580904513296, 5.972807731782011 58.72130730306526, 5.969939282283702 58.72536320146464, 5.969301278522672 58.726273601451204, 5.968747571118496 58.72700918055939, 5.95779989453574 58.73132964908466, 5.952054002869711 58.733972186482504, 5.950319434474628 58.734877213690446, 5.943681848022395 58.73833046544752, 5.94170819049973 58.739357009438535, 5.941308598875726 58.739565461489406, 5.93808330819101 58.74120681553283, 5.933499097404522 58.74270274848036, 5.931133702415932 58.74388319031519, 5.930715314655598 58.74418944558298)"/>
    <s v="[1844769, 1844777, 1844785, 1844793, 1844801, 1844809, 1844817, 1844825, 1844833, 1844841, 1844849, 1844857, 1844865, 1844873, 1844881, 1844889, 1844897, 1844905, 1844913, 1844921, 1844929, 370863, 370871, 370879, 370887, 370895, 370903, 370911, 370919, 370927, 370935, 370943, 370951, 370959, 370967, 370975, 370983, 370991, 370999, 371007, 371015, 371023, 371031, 371039, 371047, 371055, 371063, 371071, 371079, 371087, 371095, 371103, 371111, 371119, 371127, 371135, 371159, 371167, 371175, 371183, 371191, 371199, 371207, 371215, 371223, 371231, 371239, 371247, 371262, 371270, 371278, 371286, 371294, 371302, 371310, 371318, 371326, 1341324]"/>
    <s v="[1615947, 1615951, 1615956, 1615961, 1615965, 1194499, 1221809, 1615976, 338795, 349016, 1178742, 1615990, 1615995, 1615999, 339242, 1610136, 1616008, 1616015, 1610121, 1194479, 359756, 359757, 359765, 359771, 359780, 359789, 359796, 359804, 359812, 359821, 359829, 359838, 359845, 359851, 359858, 359866, 359874, 359884, 359892, 359900, 359908, 359919, 359928, 359938, 359945, 359955, 359966, 359974, 359985, 359995, 360004, 360013, 360024, 360034, 360044, 360054, 360078, 360087, 360096, 360105, 360115, 360124, 360132, 360142, 360151, 360160, 360170, 360178, 360195, 360204, 360213, 360222, 360230, 360239, 360249, 360259, 360268, 1244243]"/>
    <s v="0.004377552268169558"/>
    <s v="[1615942, 1615947, 1615951, 1615956, 1615961, 1615965, 1194499, 1221809, 1615976, 338795, 349016, 1178742, 1615990, 1615995, 1615999, 339242, 1610136, 1616008, 1616015, 1610121, 1194479, 359756, 359757, 359765, 359771, 359780, 359789, 359796, 359804, 359812, 359821, 359829, 359838, 359845, 359851, 359858, 359866, 359874, 359884, 359892, 359900, 359908, 359919, 359928, 359938, 359945, 359955, 359966, 359974, 359985, 359995, 360004, 360013, 360024, 360034, 360044, 360054, 360078, 360087, 360096, 360105, 360115, 360124, 360132, 360142, 360151, 360160, 360170, 360178, 360195, 360204, 360213, 360222, 360230, 360239, 360249, 360259, 360268]"/>
    <s v="[0.091, 0.083, 0.075, 0.065, 0.017, 0.008, 0.037, 0.017, 0.062, 0.092, 0.012, 0.083, 0.078, 0.068, 0.077, 0.068, 0.057, 0.062, 0.048, 0.002, 1.512, 0.069, 0.06, 0.044, 0.08, 0.047, 0.008, 0.011, 0.004, 0.01, 0.025, 0.006, 0.027, 0.073, 0.052, 0.057, 0.003, 0.036, 0.047, 0.079, 0.05, 0.027, 0.007, 0.001, 0.009, 0.019, 0.036, 0.011, 0.016, 0.001, 0.004, 0.004, 0.022, 0.038, 0.013, 0.037, 0.023, 0.033, 0.011, 0.019, 0.026, 0.02, 0.026, 0.032, 0.005, 0.008, 0.036, 0.019, 0.011, 0.034, 0.014, 0.012, 0.008, 0.018, 0.003, 0.004, 0.012, 0.162]"/>
    <s v="18347.914247962075"/>
    <s v="[0.091, 0.083, 0.075, 0.065, 0.017, -0.008, -0.037, -0.017, -0.062, -0.092, 0.012, 0.083, 0.078, 0.068, 0.077, 0.068, 0.057, 0.062, 0.048, 0.002, 1.512, 0.069, 0.06, 0.044, 0.08, 0.047, 0.008, -0.011, 0.004, 0.01, 0.025, 0.006, 0.027, 0.073, -0.052, -0.057, -0.003, -0.036, -0.047, -0.079, -0.05, -0.027, 0.007, -0.001, 0.009, 0.019, 0.036, -0.011, -0.016, -0.001, 0.004, 0.004, -0.022, 0.038, -0.013, -0.037, 0.023, -0.033, -0.011, 0.019, 0.026, -0.02, 0.026, 0.032, 0.005, 0.008, -0.036, -0.019, -0.011, -0.034, 0.014, -0.012, 0.008, -0.018, -0.003, 0.004, -0.012, 0.162]"/>
  </r>
  <r>
    <x v="3881"/>
    <x v="4470"/>
    <x v="0"/>
    <n v="0"/>
    <s v="LINESTRING (5.930622538021201 58.74426010393179, 5.928021113589559 58.746262042814564, 5.9279324922769465 58.74632920937254, 5.925537144582023 58.74817360149219)"/>
    <s v="[1341346, 1341347, 1341359]"/>
    <s v="[1244299, 1244300, 1244308]"/>
    <s v="#FIELD!"/>
    <s v="[1244249, 1244299, 1244300]"/>
    <s v="[0.01, 0.007, 0.008]"/>
    <s v="527.6062013691779"/>
    <s v="[-0.01, 0.007, -0.008]"/>
  </r>
  <r>
    <x v="3882"/>
    <x v="4473"/>
    <x v="0"/>
    <n v="0"/>
    <m/>
    <n v="1341320"/>
    <n v="1244291"/>
    <s v="0.066"/>
    <n v="1244272"/>
    <s v="0.066"/>
    <s v="2.446656698362017"/>
    <s v="0.066"/>
  </r>
  <r>
    <x v="3882"/>
    <x v="4470"/>
    <x v="0"/>
    <n v="0"/>
    <s v="LINESTRING (5.925537144582023 58.74817360149219, 5.925583219908414 58.74806768779429, 5.927530558189967 58.746213370085194, 5.927536231160195 58.74618111521202)"/>
    <s v="[1341399, 1341407, 1341408]"/>
    <s v="[1244330, 1244339, 1244272]"/>
    <s v="0.01502346836149273"/>
    <s v="[1244308, 1244330, 1244339]"/>
    <s v="[0.035, 0.014, 0.015]"/>
    <s v="252.4558801259845"/>
    <s v="[0.035, 0.014, 0.015]"/>
  </r>
  <r>
    <x v="3883"/>
    <x v="4474"/>
    <x v="0"/>
    <n v="0"/>
    <m/>
    <n v="1341308"/>
    <n v="1244280"/>
    <s v="0.079"/>
    <n v="1244279"/>
    <s v="0.079"/>
    <s v="19.496687372399926"/>
    <s v="0.079"/>
  </r>
  <r>
    <x v="3883"/>
    <x v="4475"/>
    <x v="0"/>
    <n v="0"/>
    <s v="LINESTRING (5.423032003580504 60.2161892425653, 5.423162251949496 60.216264841503275, 5.4231755179363965 60.21634575380416)"/>
    <s v="[1341358, 1341369]"/>
    <s v="[1244307, 1244279]"/>
    <s v="0.01459996157558964"/>
    <s v="[1244301, 1244307]"/>
    <s v="[0.011, 0.046]"/>
    <s v="20.20014356826394"/>
    <s v="[-0.011, 0.046]"/>
  </r>
  <r>
    <x v="3883"/>
    <x v="4476"/>
    <x v="0"/>
    <s v="[0, 1, 0]"/>
    <s v="LINESTRING (5.425381358115698 60.216429852048144, 5.424915854269984 60.216398384549215, 5.423655104567238 60.216367039526766, 5.4231755179363965 60.21634575380416)"/>
    <s v="[1341428, 1341431, 1341437]"/>
    <s v="[1244351, 1244354, 1244279]"/>
    <s v="0.045829574624189864"/>
    <s v="[1244350, 1244351, 1244354]"/>
    <s v="[0.016, 0.05, 0.064]"/>
    <s v="123.08356255671316"/>
    <s v="[0.016, 0.05, 0.064]"/>
  </r>
  <r>
    <x v="3884"/>
    <x v="4475"/>
    <x v="0"/>
    <n v="0"/>
    <s v="LINESTRING (5.422934604518931 60.21646150396105, 5.42259402615214 60.2163341335854, 5.42268787389865 60.21620857275767, 5.423032003580504 60.2161892425653)"/>
    <s v="[1341322, 1341333, 1341350]"/>
    <s v="[1175809, 1244295, 1244301]"/>
    <s v="#FIELD!"/>
    <s v="[1244280, 1175809, 1244295]"/>
    <s v="[0.023, 0.065, 0.071]"/>
    <s v="61.94091458801736"/>
    <s v="[0.023, -0.065, -0.071]"/>
  </r>
  <r>
    <x v="3884"/>
    <x v="4463"/>
    <x v="0"/>
    <n v="0"/>
    <s v="LINESTRING (5.424392424910582 60.21778733714026, 5.424262793807432 60.21762252423223, 5.42393639843497 60.21705347866902, 5.422934604518931 60.21646150396105)"/>
    <s v="[2091001, 2091009, 2091017]"/>
    <s v="[1810151, 1810156, 1244280]"/>
    <s v="#FIELD!"/>
    <s v="[1810123, 1810151, 1810156]"/>
    <s v="[0.036, 0.038, 0.002]"/>
    <s v="174.06911122183124"/>
    <s v="[-0.036, -0.038, 0.002]"/>
  </r>
  <r>
    <x v="3885"/>
    <x v="4461"/>
    <x v="0"/>
    <n v="0"/>
    <s v="LINESTRING (5.423032003580504 60.2161892425653, 5.423322973809863 60.21600406688987, 5.423729638567483 60.215617950836126, 5.4239382374684615 60.21497568607133, 5.424040660843006 60.214902479066176)"/>
    <s v="[2090975, 2090983, 2090991, 2090998]"/>
    <s v="[1810138, 1810143, 1810148, 1810129]"/>
    <s v="#FIELD!"/>
    <s v="[1244301, 1810138, 1810143, 1810148]"/>
    <s v="[0.068, 0.016, 0.016, 0.02]"/>
    <s v="157.95456099580787"/>
    <s v="[-0.068, -0.016, 0.016, 0.02]"/>
  </r>
  <r>
    <x v="3886"/>
    <x v="4476"/>
    <x v="0"/>
    <n v="0"/>
    <m/>
    <n v="2090835"/>
    <n v="1244350"/>
    <s v="#FIELD!"/>
    <n v="1244337"/>
    <s v="0.023"/>
    <s v="26.663249655943794"/>
    <s v="#FIELD!"/>
  </r>
  <r>
    <x v="3886"/>
    <x v="4477"/>
    <x v="0"/>
    <n v="0"/>
    <m/>
    <n v="2090827"/>
    <n v="1244337"/>
    <s v="0.037"/>
    <n v="1244363"/>
    <s v="0.037"/>
    <s v="10.328494565984046"/>
    <s v="0.037"/>
  </r>
  <r>
    <x v="3887"/>
    <x v="4447"/>
    <x v="0"/>
    <n v="0"/>
    <m/>
    <n v="2090811"/>
    <n v="1810042"/>
    <s v="#FIELD!"/>
    <n v="1244350"/>
    <s v="0.049"/>
    <s v="16.2770781715308"/>
    <s v="#FIELD!"/>
  </r>
  <r>
    <x v="3888"/>
    <x v="4478"/>
    <x v="0"/>
    <n v="0"/>
    <m/>
    <n v="1341444"/>
    <n v="1244364"/>
    <s v="0.009"/>
    <n v="1244363"/>
    <s v="0.009"/>
    <s v="13.053708285665282"/>
    <s v="0.009"/>
  </r>
  <r>
    <x v="3888"/>
    <x v="4447"/>
    <x v="0"/>
    <n v="0"/>
    <m/>
    <n v="2090819"/>
    <n v="1244363"/>
    <s v="0.021"/>
    <n v="1810042"/>
    <s v="0.021"/>
    <s v="48.7027146685822"/>
    <s v="0.021"/>
  </r>
  <r>
    <x v="3889"/>
    <x v="4479"/>
    <x v="0"/>
    <n v="0"/>
    <m/>
    <n v="1341466"/>
    <n v="1244379"/>
    <s v="0.016"/>
    <n v="1244364"/>
    <s v="0.016"/>
    <s v="133.14655941604337"/>
    <s v="0.016"/>
  </r>
  <r>
    <x v="3889"/>
    <x v="4480"/>
    <x v="0"/>
    <n v="0"/>
    <s v="LINESTRING (5.425977348585123 60.21667204232488, 5.4255489975527444 60.21720615736535, 5.426756526172225 60.21730297067188)"/>
    <s v="[1341582, 1341587]"/>
    <s v="[1244453, 1244456]"/>
    <s v="0.00671071614507893"/>
    <s v="[1244364, 1244453]"/>
    <s v="[0.052, 0.028]"/>
    <s v="153.87860632761252"/>
    <s v="[0.052, -0.028]"/>
  </r>
  <r>
    <x v="3890"/>
    <x v="4481"/>
    <x v="0"/>
    <n v="0"/>
    <s v="LINESTRING (10.904811207259288 63.4748246065222, 10.904846012598561 63.474912917842474, 10.904802644298082 63.47499116074293, 10.904688383437355 63.47505985835016, 10.90447695658314 63.475108783912845)"/>
    <s v="[1342069, 1342075, 1342086, 1342094]"/>
    <s v="[1244752, 1244758, 1244766, 1244772]"/>
    <s v="#FIELD!"/>
    <s v="[1244751, 1244752, 1244758, 1244766]"/>
    <s v="[0.001, 0.001, 0.003, 0.004]"/>
    <s v="40.39590338413523"/>
    <s v="[0.001, -0.001, -0.003, -0.004]"/>
  </r>
  <r>
    <x v="3890"/>
    <x v="2412"/>
    <x v="0"/>
    <n v="0"/>
    <s v="LINESTRING (10.90418506004768 63.47471402332472, 10.90457024475105 63.47471323910211, 10.904811207259288 63.4748246065222)"/>
    <s v="[1342198, 1342206]"/>
    <s v="[1244859, 1244751]"/>
    <s v="0.005055212279726433"/>
    <s v="[1244855, 1244859]"/>
    <s v="[0.006, 0.004]"/>
    <s v="37.238660444322"/>
    <s v="[0.006, 0.004]"/>
  </r>
  <r>
    <x v="3891"/>
    <x v="4482"/>
    <x v="0"/>
    <n v="0"/>
    <s v="LINESTRING (10.90447695658314 63.475108783912845, 10.904195942033349 63.475096544124725, 10.903949765215307 63.47498748012212)"/>
    <s v="[1342104, 1342135]"/>
    <s v="[1244783, 1244809]"/>
    <s v="#FIELD!"/>
    <s v="[1244772, 1244783]"/>
    <s v="[0.005, 0.004]"/>
    <s v="31.826144972703673"/>
    <s v="[-0.005, -0.004]"/>
  </r>
  <r>
    <x v="3891"/>
    <x v="2523"/>
    <x v="414"/>
    <s v="[0, 0, 0, 0, 0, 1, 0]"/>
    <s v="LINESTRING (10.90447695658314 63.475108783912845, 10.904355775963595 63.475164321618756, 10.904271208781754 63.47520308404062, 10.90402808648441 63.47536294480012, 10.903258694186896 63.476130115703526, 10.901794684777744 63.47752282885972, 10.901335218133163 63.477922364712406, 10.885806558239839 63.48788912552291)"/>
    <s v="[1342324, 1342337, 1342363, 2161060, 2161068, 2161076, 2161084]"/>
    <s v="[1244958, 1244969, 1244992, 1850537, 1850543, 1850549, 1850554]"/>
    <s v="0.008552338164109394"/>
    <s v="[1244772, 1244958, 1244969, 1244992, 1850537, 1850543, 1850549]"/>
    <s v="[0.003, 0.003, 0.002, 0.005, 0.0, 0.004, 0.011]"/>
    <s v="1725.4916611472531"/>
    <s v="[-0.003, -0.003, -0.002, -0.005, -0.0, 0.004, 0.011]"/>
  </r>
  <r>
    <x v="3892"/>
    <x v="2412"/>
    <x v="0"/>
    <n v="0"/>
    <s v="LINESTRING (10.903949765215307 63.47498748012212, 10.903918897637388 63.47494058352441, 10.90392235420811 63.47485796138049, 10.904009303158848 63.47477633833602, 10.90418506004768 63.47471402332472)"/>
    <s v="[1342143, 1342144, 1342159, 1342190]"/>
    <s v="[1244815, 1244816, 1244829, 1244855]"/>
    <s v="0.0012235267871317911"/>
    <s v="[1244809, 1244815, 1244816, 1244829]"/>
    <s v="[0.004, 0.001, 0.003, 0.004]"/>
    <s v="35.92338935431876"/>
    <s v="[-0.004, -0.001, 0.003, 0.004]"/>
  </r>
  <r>
    <x v="3892"/>
    <x v="2526"/>
    <x v="0"/>
    <s v="[0, 0, 0, 0, 0, 0, 1, 0, 0]"/>
    <s v="LINESTRING (10.903949765215307 63.47498748012212, 10.903951100426928 63.47507846404295, 10.903951929833566 63.47513383900276, 10.90384593269363 63.47532538493455, 10.903077570081223 63.4760915148195, 10.902633451019092 63.47653292187797, 10.901615671708015 63.47748235425877, 10.901157398321295 63.47788084516593, 10.900964575989512 63.478043752605146, 10.885609093261538 63.48787314323226)"/>
    <s v="[1342371, 1342372, 1342379, 2161092, 2161100, 2161108, 2161116, 2161124, 2161132]"/>
    <s v="[1245000, 1245001, 1245006, 1850562, 1850567, 1850573, 1850578, 1850584, 1850591]"/>
    <s v="0.008401582982491712"/>
    <s v="[1244809, 1245000, 1245001, 1245006, 1850562, 1850567, 1850573, 1850578, 1850584]"/>
    <s v="[0.001, 0.001, 0.003, 0.005, 0.003, 0.001, 0.004, 0.001, 0.011]"/>
    <s v="1730.241834627276"/>
    <s v="[0.001, 0.001, -0.003, -0.005, -0.003, 0.001, 0.004, -0.001, 0.011]"/>
  </r>
  <r>
    <x v="3893"/>
    <x v="4483"/>
    <x v="0"/>
    <n v="0"/>
    <s v="LINESTRING (5.304320769535386 59.38477387265533, 5.304293851999141 59.384817385797376, 5.304225391125875 59.38491425715544, 5.304204747969334 59.38494700934798, 5.3040542016056165 59.3852276205438, 5.303909929965602 59.385499921496084, 5.30377486912748 59.38575262050299, 5.303604145124182 59.38607202337828, 5.303106709197628 59.3869480495133, 5.303025169305397 59.387002141842814)"/>
    <s v="[1342853, 1342861, 1342870, 1342871, 1342874, 1342926, 1342959, 1342968, 1342976]"/>
    <s v="[1245322, 1245329, 1245337, 1245338, 1245341, 1245376, 1245404, 1245410, 1245273]"/>
    <s v="0.0008522793389599078"/>
    <s v="[1245321, 1245322, 1245329, 1245337, 1245338, 1245341, 1245376, 1245404, 1245410]"/>
    <s v="[0.002, 0.002, 0.003, 0.004, 0.005, 0.005, 0.004, 0.003, 0.013]"/>
    <s v="260.3426048676031"/>
    <s v="[0.002, 0.002, 0.003, 0.004, 0.005, 0.005, 0.004, -0.003, -0.013]"/>
  </r>
  <r>
    <x v="3893"/>
    <x v="4484"/>
    <x v="0"/>
    <n v="0"/>
    <s v="LINESTRING (5.304041366952669 59.384716197781096, 5.3040362096267994 59.38479620469324, 5.30403294082398 59.38489118408177, 5.304031071883639 59.384927126138, 5.303931925651972 59.38516753474803, 5.303905157444654 59.385218582977664, 5.303740000861951 59.385528157519744, 5.30364883510193 59.38572044921081, 5.303617488933021 59.38579100378006, 5.303578881118548 59.385873158580914, 5.30352429159098 59.38599851647, 5.3030344641739084 59.386929562182466, 5.303025169305397 59.387002141842814)"/>
    <s v="[1343025, 1343026, 1343034, 1343043, 1343050, 1343058, 1343070, 1343105, 1343110, 1343113, 1343116, 1343117]"/>
    <s v="[1245455, 1245456, 1245461, 769340, 1245472, 1245479, 1245493, 769241, 1245521, 1245526, 1245529, 1245273]"/>
    <s v="0.001268757535078159"/>
    <s v="[1245454, 1245455, 1245456, 1245461, 769340, 1245472, 1245479, 1245493, 769241, 1245521, 1245526, 1245529]"/>
    <s v="[0.005, 0.005, 0.006, 0.004, 0.005, 0.005, 0.006, 0.002, 0.003, 0.002, 0.002, 0.006]"/>
    <s v="262.70100259633165"/>
    <s v="[0.005, 0.005, 0.006, 0.004, 0.005, 0.005, 0.006, -0.002, -0.003, -0.002, -0.002, 0.006]"/>
  </r>
  <r>
    <x v="3894"/>
    <x v="4484"/>
    <x v="0"/>
    <n v="0"/>
    <s v="LINESTRING (5.304320769535386 59.38477387265533, 5.304171379374107 59.384769855437135, 5.304074397009596 59.384737639120594, 5.304041366952669 59.384716197781096)"/>
    <s v="[1343180, 1343188, 1343196]"/>
    <s v="[1245584, 1245590, 1245454]"/>
    <s v="#FIELD!"/>
    <s v="[1245321, 1245584, 1245590]"/>
    <s v="[0.006, 0.008, 0.007]"/>
    <s v="18.177119406439733"/>
    <s v="[-0.006, -0.008, -0.007]"/>
  </r>
  <r>
    <x v="3894"/>
    <x v="4266"/>
    <x v="0"/>
    <n v="0"/>
    <s v="LINESTRING (5.304494956249273 59.38460679922601, 5.3045063072056235 59.38463070172916, 5.304491606953008 59.384696527482035, 5.304400210654261 59.384755324893995, 5.304320769535386 59.38477387265533)"/>
    <s v="[1343161, 1343169, 1343177, 1343179]"/>
    <s v="[1245314, 1245577, 1245285, 1245321]"/>
    <s v="0.0002300968992663985"/>
    <s v="[1245557, 1245314, 1245577, 1245285]"/>
    <s v="[0.006, 0.003, 0.001, 0.005]"/>
    <s v="23.522748586063884"/>
    <s v="[0.006, 0.003, -0.001, -0.005]"/>
  </r>
  <r>
    <x v="3895"/>
    <x v="4267"/>
    <x v="0"/>
    <n v="0"/>
    <s v="LINESTRING (5.304041366952669 59.384716197781096, 5.304004994995897 59.384659119798286, 5.304024908710044 59.3845989482811, 5.304112102806883 59.38454335368546, 5.304146635736149 59.38453301249124)"/>
    <s v="[1343200, 1343201, 1343202, 1343213]"/>
    <s v="[1245530, 1245601, 1245236, 1245563]"/>
    <s v="#FIELD!"/>
    <s v="[1245454, 1245530, 1245601, 1245236]"/>
    <s v="[0.008, 0.004, 0.001, 0.006]"/>
    <s v="23.770117118184082"/>
    <s v="[-0.008, -0.004, 0.001, 0.006]"/>
  </r>
  <r>
    <x v="3896"/>
    <x v="4267"/>
    <x v="0"/>
    <n v="0"/>
    <s v="LINESTRING (5.304146635736149 59.38453301249124, 5.30433696067965 59.38452679801394, 5.30443725773819 59.38455852125713, 5.304494956249273 59.38460679922601)"/>
    <s v="[1343219, 1343227, 1343228]"/>
    <s v="[1245611, 1245618, 1245557]"/>
    <s v="0.008016952230570286"/>
    <s v="[1245563, 1245611, 1245618]"/>
    <s v="[0.008, 0.009, 0.007]"/>
    <s v="24.131390365585883"/>
    <s v="[0.008, 0.009, 0.007]"/>
  </r>
  <r>
    <x v="3897"/>
    <x v="4195"/>
    <x v="0"/>
    <n v="0"/>
    <s v="LINESTRING (8.565007322822348 58.3415389975367, 8.56494331668655 58.34151991370181, 8.564869405933639 58.34146210320391, 8.564881207444223 58.34137410401322, 8.565196592307393 58.341321390106614)"/>
    <s v="[1344426, 1344434, 1344442, 1344450]"/>
    <s v="[334543, 1246546, 334556, 1246527]"/>
    <s v="0.0014066274815431044"/>
    <s v="[1246492, 334543, 1246546, 334556]"/>
    <s v="[0.001, 0.002, 0.002, 0.001]"/>
    <s v="43.30376226318084"/>
    <s v="[0.001, 0.002, 0.002, 0.001]"/>
  </r>
  <r>
    <x v="3897"/>
    <x v="4193"/>
    <x v="0"/>
    <n v="0"/>
    <s v="LINESTRING (8.56527741258324 58.34149138273028, 8.565164651390223 58.34153856290378, 8.565007322822348 58.3415389975367)"/>
    <s v="[1344482, 1344490]"/>
    <s v="[1246587, 1246492]"/>
    <s v="#FIELD!"/>
    <s v="[1246511, 1246587]"/>
    <s v="[0.002, 0.0]"/>
    <s v="17.67821827042536"/>
    <s v="[-0.002, 0.0]"/>
  </r>
  <r>
    <x v="3898"/>
    <x v="4194"/>
    <x v="0"/>
    <n v="0"/>
    <m/>
    <n v="1344474"/>
    <n v="1246511"/>
    <s v="#FIELD!"/>
    <n v="1246516"/>
    <s v="0.003"/>
    <s v="3.3055105506490174"/>
    <s v="#FIELD!"/>
  </r>
  <r>
    <x v="3899"/>
    <x v="4195"/>
    <x v="0"/>
    <n v="0"/>
    <s v="LINESTRING (8.565196592307393 58.341321390106614, 8.56529803904092 58.34138243688421, 8.565302798852711 58.341464921999965)"/>
    <s v="[1344458, 1344466]"/>
    <s v="[1246564, 1246516]"/>
    <s v="#FIELD!"/>
    <s v="[1246527, 1246564]"/>
    <s v="[0.002, 0.003]"/>
    <s v="18.245913546460635"/>
    <s v="[-0.002, -0.003]"/>
  </r>
  <r>
    <x v="3900"/>
    <x v="4485"/>
    <x v="0"/>
    <n v="0"/>
    <s v="LINESTRING (6.531004380267606 58.4625993432863, 6.53107034766096 58.46246664498481, 6.531462756653428 58.461827687079314, 6.531554462635962 58.461803645983295)"/>
    <s v="[1346786, 1346794, 1346802]"/>
    <s v="[1248065, 1248070, 1248073]"/>
    <s v="0.0023666352776895955"/>
    <s v="[1248064, 1248065, 1248070]"/>
    <s v="[0.009, 0.001, 0.028]"/>
    <s v="97.17616320825354"/>
    <s v="[0.009, -0.001, 0.028]"/>
  </r>
  <r>
    <x v="3900"/>
    <x v="4486"/>
    <x v="0"/>
    <n v="0"/>
    <s v="LINESTRING (6.531004380267606 58.4625993432863, 6.5309314751248415 58.46266281642799, 6.529352974266143 58.46399022161497, 6.523152881799657 58.46825078272461)"/>
    <s v="[1842880, 1842888, 1842897]"/>
    <s v="[1614709, 1614714, 1614721]"/>
    <s v="0.008539966113865982"/>
    <s v="[1248064, 1614709, 1614714]"/>
    <s v="[0.05, 0.005, 0.009]"/>
    <s v="781.3390658835212"/>
    <s v="[0.05, 0.005, 0.009]"/>
  </r>
  <r>
    <x v="3900"/>
    <x v="4487"/>
    <x v="0"/>
    <n v="0"/>
    <s v="LINESTRING (6.53167388848312 58.462109641815154, 6.531431262948464 58.46227192514102, 6.531004380267606 58.4625993432863)"/>
    <s v="[1842864, 1842872]"/>
    <s v="[1614701, 1248064]"/>
    <s v="0.0222687858230075"/>
    <s v="[1248882, 1614701]"/>
    <s v="[0.058, 0.064]"/>
    <s v="67.30521199083859"/>
    <s v="[-0.058, 0.064]"/>
  </r>
  <r>
    <x v="3901"/>
    <x v="2951"/>
    <x v="0"/>
    <n v="0"/>
    <s v="LINESTRING (6.531554462635962 58.461803645983295, 6.531740434314897 58.46199146928156, 6.531826006156375 58.46201523951265)"/>
    <s v="[1347884, 1347892]"/>
    <s v="[1248856, 1248864]"/>
    <s v="#FIELD!"/>
    <s v="[1248073, 1248856]"/>
    <s v="[0.041, 0.017]"/>
    <s v="31.472910296235654"/>
    <s v="[-0.041, -0.017]"/>
  </r>
  <r>
    <x v="3901"/>
    <x v="4487"/>
    <x v="0"/>
    <n v="0"/>
    <s v="LINESTRING (6.531554462635962 58.461803645983295, 6.5315997912814545 58.4620782489236, 6.53167388848312 58.462109641815154)"/>
    <s v="[1347900, 1347908]"/>
    <s v="[1248874, 1248882]"/>
    <s v="#FIELD!"/>
    <s v="[1248073, 1248874]"/>
    <s v="[0.043, 0.018]"/>
    <s v="44.068192586212035"/>
    <s v="[-0.043, -0.018]"/>
  </r>
  <r>
    <x v="3902"/>
    <x v="1244"/>
    <x v="0"/>
    <n v="0"/>
    <s v="LINESTRING (5.8369501023139865 58.77930519727013, 5.8370658176475025 58.779376487118434, 5.836887278329904 58.77946230632419, 5.836787833293348 58.77943063479007)"/>
    <s v="[1351967, 1351975, 1351983]"/>
    <s v="[1238949, 1231473, 1248156]"/>
    <s v="#FIELD!"/>
    <s v="[1248111, 1238949, 1231473]"/>
    <s v="[0.101, 0.1, 0.135]"/>
    <s v="33.434805298248406"/>
    <s v="[0.101, -0.1, -0.135]"/>
  </r>
  <r>
    <x v="3902"/>
    <x v="4488"/>
    <x v="0"/>
    <n v="0"/>
    <m/>
    <n v="1351999"/>
    <n v="1248111"/>
    <s v="0.128"/>
    <n v="1248119"/>
    <s v="0.128"/>
    <s v="11.435442963427356"/>
    <s v="0.128"/>
  </r>
  <r>
    <x v="3903"/>
    <x v="1239"/>
    <x v="0"/>
    <s v="[0, 1, 0]"/>
    <s v="LINESTRING (5.836777793215313 58.77934261029068, 5.836658507948278 58.779299235589356, 5.836273108643209 58.779162439408914, 5.836191814351652 58.779133314433835)"/>
    <s v="[1346858, 1346866, 1346874]"/>
    <s v="[1248120, 1248128, 1212998]"/>
    <s v="#FIELD!"/>
    <s v="[1248119, 1248120, 1248128]"/>
    <s v="[0.12, 0.06, 0.012]"/>
    <s v="41.2635400662113"/>
    <s v="[-0.12, -0.06, -0.012]"/>
  </r>
  <r>
    <x v="3903"/>
    <x v="1244"/>
    <x v="0"/>
    <n v="0"/>
    <m/>
    <n v="1351991"/>
    <n v="1248119"/>
    <s v="#FIELD!"/>
    <n v="1248156"/>
    <s v="0.007"/>
    <s v="10.288279308220323"/>
    <s v="#FIELD!"/>
  </r>
  <r>
    <x v="3904"/>
    <x v="1246"/>
    <x v="0"/>
    <n v="0"/>
    <s v="LINESTRING (5.830721356502108 58.782241037218405, 5.830426635096505 58.782316768434306, 5.830031888302421 58.78228262709804, 5.829852027207252 58.78219579993318, 5.829787265516099 58.782148466715185, 5.829779164797708 58.78214254627714, 5.829722503999342 58.7821011334691, 5.82924037877169 58.78171483480906, 5.8291917531504405 58.78167520844605, 5.830315164613601 58.781334063379504, 5.830590121024291 58.781304567140964, 5.830900762821302 58.78136592802724)"/>
    <s v="[1347010, 1347018, 1347026, 1347034, 1347042, 1347050, 1347058, 1347066, 1347074, 1347082, 1347090]"/>
    <s v="[1144552, 1248258, 1248263, 1248269, 1248275, 1248282, 1248288, 985944, 1248299, 1248303, 1248312]"/>
    <s v="#FIELD!"/>
    <s v="[1248246, 1144552, 1248258, 1248263, 1248269, 1248275, 1248282, 1248288, 985944, 1248299, 1248303]"/>
    <s v="[0.018, 0.015, 0.008, 0.004, 0.005, 0.006, 0.006, 0.008, 0.02, 0.022, 0.016]"/>
    <s v="238.31814083936973"/>
    <s v="[0.018, 0.015, 0.008, 0.004, 0.005, 0.006, 0.006, 0.008, -0.02, -0.022, -0.016]"/>
  </r>
  <r>
    <x v="3905"/>
    <x v="4487"/>
    <x v="0"/>
    <n v="0"/>
    <s v="LINESTRING (6.531826006156375 58.46201523951265, 6.531730842670918 58.462073261257004, 6.53167388848312 58.462109641815154)"/>
    <s v="[1842848, 1842856]"/>
    <s v="[1614690, 1248882]"/>
    <s v="#FIELD!"/>
    <s v="[1248864, 1614690]"/>
    <s v="[0.039, 0.053]"/>
    <s v="13.798799451757144"/>
    <s v="[-0.039, -0.053]"/>
  </r>
  <r>
    <x v="3906"/>
    <x v="3858"/>
    <x v="0"/>
    <s v="[1, 0, 0, 0, 0, 0, 1, 1]"/>
    <s v="LINESTRING (8.091130056066108 58.16625704127873, 8.091079185254188 58.16632122603967, 8.091000274999647 58.16637090946784, 8.090892853833388 58.16640588564096, 8.090513185587056 58.166388834579315, 8.09041169669506 58.1663399697471, 8.090388891016522 58.166322238717406, 8.090347143547357 58.16627482192516, 8.090326555090531 58.16621332761597)"/>
    <s v="[1348000, 1348008, 1348016, 1348024, 1348032, 1348040, 1348048, 1348056]"/>
    <s v="[1248969, 1248976, 1248985, 1248990, 1249000, 1249008, 1249014, 1249021]"/>
    <s v="#FIELD!"/>
    <s v="[1248968, 1248969, 1248976, 1248985, 1248990, 1249000, 1249008, 1249014]"/>
    <s v="[0.006, 0.005, 0.017, 0.03, 0.022, 0.015, 0.011, 0.004]"/>
    <s v="68.88718327998947"/>
    <s v="[0.006, -0.005, -0.017, -0.03, -0.022, -0.015, -0.011, -0.004]"/>
  </r>
  <r>
    <x v="3906"/>
    <x v="4489"/>
    <x v="0"/>
    <s v="[0, 1]"/>
    <s v="LINESTRING (8.090577967641952 58.16600992945848, 8.091127178421223 58.16615451908499, 8.091130056066108 58.16625704127873)"/>
    <s v="[1348096, 1348104]"/>
    <s v="[1249057, 1248968]"/>
    <s v="0.017657987237394982"/>
    <s v="[1249047, 1249057]"/>
    <s v="[0.017, 0.02]"/>
    <s v="52.15340674173963"/>
    <s v="[0.017, 0.02]"/>
  </r>
  <r>
    <x v="3907"/>
    <x v="4490"/>
    <x v="0"/>
    <s v="[1, 0]"/>
    <s v="LINESTRING (8.090326555090531 58.16621332761597, 8.090337268667847 58.16615921333298, 8.090372433249778 58.16610913267741)"/>
    <s v="[1348064, 1348072]"/>
    <s v="[1249028, 1249032]"/>
    <s v="0.0034861924783140597"/>
    <s v="[1249021, 1249028]"/>
    <s v="[0.002, 0.005]"/>
    <s v="12.029286716909349"/>
    <s v="[0.002, 0.005]"/>
  </r>
  <r>
    <x v="3908"/>
    <x v="4489"/>
    <x v="0"/>
    <n v="0"/>
    <s v="LINESTRING (8.090372433249778 58.16610913267741, 8.090457688761216 58.16605051345553, 8.090577967641952 58.16600992945848)"/>
    <s v="[1348080, 1348088]"/>
    <s v="[1249040, 1249047]"/>
    <s v="0.008504956351176157"/>
    <s v="[1249032, 1249040]"/>
    <s v="[0.008, 0.009]"/>
    <s v="16.661132111007973"/>
    <s v="[0.008, 0.009]"/>
  </r>
  <r>
    <x v="3908"/>
    <x v="4491"/>
    <x v="0"/>
    <n v="0"/>
    <s v="LINESTRING (8.090372433249778 58.16610913267741, 8.09034643217256 58.166077170517966, 8.090128039393077 58.16593516835623)"/>
    <s v="[1839061, 1839069]"/>
    <s v="[1612238, 1249071]"/>
    <s v="#FIELD!"/>
    <s v="[1249032, 1612238]"/>
    <s v="[0.535, 0.095]"/>
    <s v="24.295436678790438"/>
    <s v="[-0.535, 0.095]"/>
  </r>
  <r>
    <x v="3909"/>
    <x v="4491"/>
    <x v="0"/>
    <n v="0"/>
    <s v="LINESTRING (8.090577967641952 58.16600992945848, 8.09050101919549 58.165997903396345, 8.090128039393077 58.16593516835623)"/>
    <s v="[1839093, 1839101]"/>
    <s v="[1612254, 1249071]"/>
    <s v="#FIELD!"/>
    <s v="[1249047, 1612254]"/>
    <s v="[0.398, 0.069]"/>
    <s v="27.806479564481023"/>
    <s v="[-0.398, 0.069]"/>
  </r>
  <r>
    <x v="3910"/>
    <x v="4100"/>
    <x v="0"/>
    <s v="[0, 1, 0]"/>
    <s v="LINESTRING (8.090128039393077 58.16593516835623, 8.089834854877871 58.16577008289009, 8.089402074363777 58.16519866053776, 8.089393577216862 58.16517576058475)"/>
    <s v="[1348112, 1348120, 1348128]"/>
    <s v="[1249072, 1249078, 1249084]"/>
    <s v="0.01568047453942304"/>
    <s v="[1249071, 1249072, 1249078]"/>
    <s v="[0.003, 0.02, 0.025]"/>
    <s v="96.95275578689176"/>
    <s v="[0.003, 0.02, 0.025]"/>
  </r>
  <r>
    <x v="3911"/>
    <x v="2615"/>
    <x v="0"/>
    <n v="0"/>
    <m/>
    <n v="1350715"/>
    <n v="1251008"/>
    <s v="0.049"/>
    <n v="1249607"/>
    <s v="0.049"/>
    <s v="4.48198270838415"/>
    <s v="0.049"/>
  </r>
  <r>
    <x v="3911"/>
    <x v="1191"/>
    <x v="0"/>
    <n v="0"/>
    <s v="LINESTRING (5.27545021465173 59.34234707879917, 5.275353797067773 59.34235345566484, 5.275264157978699 59.34233168424071)"/>
    <s v="[1350698, 1350707]"/>
    <s v="[1250994, 1249607]"/>
    <s v="0.039072462006273366"/>
    <s v="[1250987, 1250994]"/>
    <s v="[0.032, 0.046]"/>
    <s v="11.217658476002944"/>
    <s v="[0.032, 0.046]"/>
  </r>
  <r>
    <x v="3912"/>
    <x v="4492"/>
    <x v="0"/>
    <n v="0"/>
    <s v="LINESTRING (7.48794488589344 58.033341346182304, 7.487397114043769 58.03329098831322, 7.487315470909488 58.03328397936938)"/>
    <s v="[1796917, 1796925]"/>
    <s v="[1584671, 1584608]"/>
    <s v="0.7752882932906343"/>
    <s v="[1250125, 1584671]"/>
    <s v="[0.89, 0.002]"/>
    <s v="37.899765574614435"/>
    <s v="[0.89, 0.002]"/>
  </r>
  <r>
    <x v="3912"/>
    <x v="4493"/>
    <x v="0"/>
    <n v="0"/>
    <s v="LINESTRING (7.48794488589344 58.033341346182304, 7.487488924045894 58.033180486646835, 7.487423210562441 58.033148726542144)"/>
    <s v="[1797021, 1797029]"/>
    <s v="[1584754, 1584597]"/>
    <s v="0.7877372306071838"/>
    <s v="[1250125, 1584754]"/>
    <s v="[0.914, 0.01]"/>
    <s v="37.6789934738017"/>
    <s v="[0.914, 0.01]"/>
  </r>
  <r>
    <x v="3913"/>
    <x v="4494"/>
    <x v="0"/>
    <n v="0"/>
    <s v="LINESTRING (7.487007441810646 58.033048766286555, 7.486926119812118 58.03303943187979, 7.486404636691529 58.032952310219606)"/>
    <s v="[1797053, 1797061]"/>
    <s v="[1584783, 1250131]"/>
    <s v="#FIELD!"/>
    <s v="[1584581, 1584783]"/>
    <s v="[0.001, 1.074]"/>
    <s v="37.29071101919918"/>
    <s v="[0.001, -1.074]"/>
  </r>
  <r>
    <x v="3913"/>
    <x v="4495"/>
    <x v="0"/>
    <n v="0"/>
    <s v="LINESTRING (7.486885678760319 58.033166686657665, 7.486826079997482 58.03313817434334, 7.486404636691529 58.032952310219606)"/>
    <s v="[1797037, 1797045]"/>
    <s v="[1584767, 1250131]"/>
    <s v="#FIELD!"/>
    <s v="[1584640, 1584767]"/>
    <s v="[0.011, 1.064]"/>
    <s v="37.19601514421244"/>
    <s v="[0.011, -1.064]"/>
  </r>
  <r>
    <x v="3914"/>
    <x v="4496"/>
    <x v="0"/>
    <n v="0"/>
    <s v="LINESTRING (5.286103869985327 59.37376660363437, 5.286172950873738 59.373754306821326, 5.286217333880557 59.37375402589757, 5.286262886364095 59.373761971913346, 5.2862338394477755 59.37391171715342)"/>
    <s v="[1445697, 1445705, 1445713, 1445721]"/>
    <s v="[1312419, 1312424, 1268551, 1312437]"/>
    <s v="0.022326343640765755"/>
    <s v="[1250668, 1312419, 1312424, 1268551]"/>
    <s v="[0.015, 0.036, 0.039, 0.02]"/>
    <s v="30.87033272343573"/>
    <s v="[0.015, 0.036, 0.039, 0.02]"/>
  </r>
  <r>
    <x v="3914"/>
    <x v="1211"/>
    <x v="0"/>
    <n v="0"/>
    <m/>
    <n v="1445689"/>
    <n v="1250668"/>
    <s v="#FIELD!"/>
    <n v="1250777"/>
    <s v="0.023"/>
    <s v="16.337585446748278"/>
    <s v="#FIELD!"/>
  </r>
  <r>
    <x v="3915"/>
    <x v="4497"/>
    <x v="0"/>
    <n v="0"/>
    <m/>
    <n v="1445625"/>
    <n v="1251302"/>
    <s v="#FIELD!"/>
    <n v="1250719"/>
    <s v="0.01"/>
    <s v="9.847078361443758"/>
    <s v="#FIELD!"/>
  </r>
  <r>
    <x v="3915"/>
    <x v="1213"/>
    <x v="0"/>
    <n v="0"/>
    <s v="LINESTRING (5.28611924180984 59.37502086463239, 5.286074640947941 59.37504645070742, 5.285960809250057 59.37506034835658, 5.285863407582804 59.375032922840916, 5.285825869974548 59.374968967663825)"/>
    <s v="[1445657, 1445665, 1445673, 1445617]"/>
    <s v="[1312386, 1312394, 1251282, 1250719]"/>
    <s v="#FIELD!"/>
    <s v="[1250834, 1312386, 1312394, 1251282]"/>
    <s v="[0.009, 0.017, 0.037, 0.033]"/>
    <s v="24.310737644316283"/>
    <s v="[0.009, -0.017, -0.037, -0.033]"/>
  </r>
  <r>
    <x v="3916"/>
    <x v="4498"/>
    <x v="0"/>
    <n v="0"/>
    <m/>
    <n v="1445681"/>
    <n v="1250777"/>
    <s v="#FIELD!"/>
    <n v="1251321"/>
    <s v="0.047"/>
    <s v="2.8848050196446033"/>
    <s v="#FIELD!"/>
  </r>
  <r>
    <x v="3917"/>
    <x v="4499"/>
    <x v="0"/>
    <n v="0"/>
    <m/>
    <n v="1445649"/>
    <n v="1250834"/>
    <s v="0.031"/>
    <n v="1312378"/>
    <s v="0.031"/>
    <s v="12.287008805070966"/>
    <s v="0.031"/>
  </r>
  <r>
    <x v="3918"/>
    <x v="4152"/>
    <x v="0"/>
    <n v="0"/>
    <s v="LINESTRING (5.2755553919431275 59.34225624463324, 5.275547806365877 59.34229172961303, 5.275513860408175 59.34232322192816)"/>
    <s v="[1350673, 1350681]"/>
    <s v="[1250975, 1250981]"/>
    <s v="#FIELD!"/>
    <s v="[1250970, 1250975]"/>
    <s v="[0.033, 0.02]"/>
    <s v="8.008084103897735"/>
    <s v="[-0.033, -0.02]"/>
  </r>
  <r>
    <x v="3919"/>
    <x v="1191"/>
    <x v="0"/>
    <n v="0"/>
    <m/>
    <n v="1350689"/>
    <n v="1250987"/>
    <s v="#FIELD!"/>
    <n v="1250981"/>
    <s v="0.01"/>
    <s v="4.5071787181606195"/>
    <s v="#FIELD!"/>
  </r>
  <r>
    <x v="3920"/>
    <x v="1195"/>
    <x v="0"/>
    <n v="0"/>
    <s v="LINESTRING (5.274810133273282 59.34705873718294, 5.274848576474521 59.34709209945248, 5.274854721666693 59.347130861258314, 5.274824458623072 59.34716883485261, 5.2747535821552605 59.34719795330694)"/>
    <s v="[1350763, 1350772, 1350780, 1350788]"/>
    <s v="[1251043, 1251049, 1251053, 1251061]"/>
    <s v="0.0024381528887749294"/>
    <s v="[1251042, 1251043, 1251049, 1251053]"/>
    <s v="[0.002, 0.004, 0.003, 0.001]"/>
    <s v="18.44860713594169"/>
    <s v="[0.002, 0.004, 0.003, 0.001]"/>
  </r>
  <r>
    <x v="3920"/>
    <x v="1193"/>
    <x v="0"/>
    <n v="0"/>
    <s v="LINESTRING (5.274618122550733 59.347041122068866, 5.274719232741065 59.347034546791534, 5.274810133273282 59.34705873718294)"/>
    <s v="[1350844, 1350852]"/>
    <s v="[1251100, 1251042]"/>
    <s v="#FIELD!"/>
    <s v="[1251095, 1251100]"/>
    <s v="[0.002, 0.001]"/>
    <s v="11.669819351733981"/>
    <s v="[-0.002, 0.001]"/>
  </r>
  <r>
    <x v="3921"/>
    <x v="1196"/>
    <x v="0"/>
    <n v="0"/>
    <s v="LINESTRING (5.2747535821552605 59.34719795330694, 5.274670452101865 59.34720456224777, 5.27456050353272 59.347173791650036)"/>
    <s v="[1350796, 1350804]"/>
    <s v="[1251069, 1251075]"/>
    <s v="#FIELD!"/>
    <s v="[1251061, 1251069]"/>
    <s v="0.002"/>
    <s v="11.959658171308156"/>
    <s v="#FIELD!"/>
  </r>
  <r>
    <x v="3922"/>
    <x v="1193"/>
    <x v="0"/>
    <n v="0"/>
    <s v="LINESTRING (5.27456050353272 59.347173791650036, 5.274536586512805 59.34715439201843, 5.274521367647339 59.34710823664128, 5.274553470110969 59.3470681859714, 5.274618122550733 59.347041122068866)"/>
    <s v="[1350812, 1350820, 1350828, 1350836]"/>
    <s v="[1176501, 1251083, 1251089, 1251095]"/>
    <s v="#FIELD!"/>
    <s v="[1251075, 1176501, 1251083, 1251089]"/>
    <s v="[0.001, 0.001, 0.001, 0.002]"/>
    <s v="17.403086269789654"/>
    <s v="[-0.001, -0.001, -0.001, -0.002]"/>
  </r>
  <r>
    <x v="3923"/>
    <x v="4500"/>
    <x v="0"/>
    <n v="0"/>
    <s v="LINESTRING (7.092423058598491 58.15740244651599, 7.092093052420348 58.15748118591815, 7.092010401239533 58.157521032834055)"/>
    <s v="[2137547, 2137555]"/>
    <s v="[1837082, 1837088]"/>
    <s v="#FIELD!"/>
    <s v="[1251253, 1837082]"/>
    <s v="[0.15, 0.01]"/>
    <s v="28.267803221207302"/>
    <s v="[-0.15, -0.01]"/>
  </r>
  <r>
    <x v="3923"/>
    <x v="4501"/>
    <x v="0"/>
    <n v="0"/>
    <s v="LINESTRING (7.092423058598491 58.15740244651599, 7.092046791347091 58.157400067959884, 7.091959437610275 58.157391570679685)"/>
    <s v="[2137563, 2137571]"/>
    <s v="[1837092, 1837095]"/>
    <s v="#FIELD!"/>
    <s v="[1251253, 1837092]"/>
    <s v="[0.15, 0.021]"/>
    <s v="27.60745620657851"/>
    <s v="[-0.15, -0.021]"/>
  </r>
  <r>
    <x v="3924"/>
    <x v="4502"/>
    <x v="0"/>
    <n v="0"/>
    <s v="LINESTRING (7.091529554687496 58.15757889781873, 7.091433865973541 58.15757348838708, 7.09109223192626 58.15757786767694)"/>
    <s v="[2137587, 2137595]"/>
    <s v="[1837106, 1251259]"/>
    <s v="#FIELD!"/>
    <s v="[1837105, 1837106]"/>
    <s v="[0.023, 0.053]"/>
    <s v="25.842478639690086"/>
    <s v="[-0.023, -0.053]"/>
  </r>
  <r>
    <x v="3924"/>
    <x v="4503"/>
    <x v="0"/>
    <n v="0"/>
    <s v="LINESTRING (7.091469295073501 58.15745056940313, 7.091383708127267 58.157485370895145, 7.09109223192626 58.15757786767694)"/>
    <s v="[2137603, 2137611]"/>
    <s v="[1837116, 1251259]"/>
    <s v="#FIELD!"/>
    <s v="[1837115, 1837116]"/>
    <s v="[0.015, 0.048]"/>
    <s v="26.43166142235214"/>
    <s v="[-0.015, -0.048]"/>
  </r>
  <r>
    <x v="3925"/>
    <x v="4504"/>
    <x v="0"/>
    <n v="0"/>
    <s v="LINESTRING (5.285931556945306 59.37490366117134, 5.285948107360831 59.374870576634734, 5.286082305819066 59.3747006652539)"/>
    <s v="[1351152, 1351160]"/>
    <s v="[1251303, 1251308]"/>
    <s v="#FIELD!"/>
    <s v="[1251302, 1251303]"/>
    <s v="[0.02, 0.018]"/>
    <s v="24.914866925986747"/>
    <s v="[-0.02, -0.018]"/>
  </r>
  <r>
    <x v="3925"/>
    <x v="4499"/>
    <x v="0"/>
    <n v="0"/>
    <s v="LINESTRING (5.285931556945306 59.37490366117134, 5.286010429994476 59.37490054696092, 5.286086639888641 59.37491893663001)"/>
    <s v="[1445633, 1445641]"/>
    <s v="[1312371, 1312378]"/>
    <s v="0.030706509985206198"/>
    <s v="[1251302, 1312371]"/>
    <s v="[0.024, 0.037]"/>
    <s v="9.320531781248272"/>
    <s v="[0.024, 0.037]"/>
  </r>
  <r>
    <x v="3926"/>
    <x v="4505"/>
    <x v="0"/>
    <n v="0"/>
    <s v="LINESTRING (5.286082305819066 59.3747006652539, 5.28608767140141 59.37468207749394, 5.286142535703326 59.37452884692796, 5.286188681486506 59.37414797208956)"/>
    <s v="[1445593, 1445601, 1445609]"/>
    <s v="[1312337, 1312346, 1251314]"/>
    <s v="#FIELD!"/>
    <s v="[1251308, 1312337, 1312346]"/>
    <s v="[0.025, 0.024, 0.028]"/>
    <s v="62.25579249667484"/>
    <s v="[-0.025, -0.024, -0.028]"/>
  </r>
  <r>
    <x v="3926"/>
    <x v="4499"/>
    <x v="0"/>
    <n v="0"/>
    <s v="LINESTRING (5.286086639888641 59.37491893663001, 5.286095335139553 59.37488267517867, 5.286082305819066 59.3747006652539)"/>
    <s v="[1445882, 1445890]"/>
    <s v="[1312555, 1251308]"/>
    <s v="#FIELD!"/>
    <s v="[1312378, 1312555]"/>
    <s v="[0.029, 0.03]"/>
    <s v="25.17009998529357"/>
    <s v="[-0.029, -0.03]"/>
  </r>
  <r>
    <x v="3927"/>
    <x v="4498"/>
    <x v="0"/>
    <n v="0"/>
    <s v="LINESTRING (5.286188681486506 59.37414797208956, 5.286103834585429 59.373950778491064, 5.286130229458887 59.3739084501253)"/>
    <s v="[1351168, 1351176]"/>
    <s v="[1251315, 1251321]"/>
    <s v="#FIELD!"/>
    <s v="[1251314, 1251315]"/>
    <s v="[0.036, 0.016]"/>
    <s v="27.960078032629966"/>
    <s v="[-0.036, -0.016]"/>
  </r>
  <r>
    <x v="3927"/>
    <x v="4496"/>
    <x v="0"/>
    <n v="0"/>
    <s v="LINESTRING (5.286188681486506 59.37414797208956, 5.286251316985826 59.37395553487869, 5.2862338394477755 59.37391171715342)"/>
    <s v="[1445962, 1445970]"/>
    <s v="[1312613, 1312437]"/>
    <s v="#FIELD!"/>
    <s v="[1251314, 1312613]"/>
    <s v="[0.023, 0.04]"/>
    <s v="27.259354481214487"/>
    <s v="[-0.023, -0.04]"/>
  </r>
  <r>
    <x v="3928"/>
    <x v="4496"/>
    <x v="0"/>
    <n v="0"/>
    <s v="LINESTRING (5.2862338394477755 59.37391171715342, 5.28617629311121 59.37391462591305, 5.286130229458887 59.3739084501253)"/>
    <s v="[1445729, 1445737]"/>
    <s v="[1312446, 1251321]"/>
    <s v="#FIELD!"/>
    <s v="[1312437, 1312446]"/>
    <s v="[0.027, 0.033]"/>
    <s v="6.015100041863892"/>
    <s v="[-0.027, -0.033]"/>
  </r>
  <r>
    <x v="3929"/>
    <x v="4506"/>
    <x v="415"/>
    <n v="0"/>
    <s v="LINESTRING (5.490184576990219 59.29576161889639, 5.490184576990219 59.29576161889639, 5.489022330421957 59.29789031790924, 5.488953740009687 59.29800713948799)"/>
    <s v="[1351422, 1351430, 1351438]"/>
    <s v="[1251495, 1251500, 1251504]"/>
    <s v="#FIELD!"/>
    <s v="[365076, 1251495, 1251500]"/>
    <s v="[0.0, 0.017, 0.014]"/>
    <s v="313.6743934158053"/>
    <s v="[0.0, -0.017, -0.014]"/>
  </r>
  <r>
    <x v="3930"/>
    <x v="4288"/>
    <x v="0"/>
    <n v="0"/>
    <s v="LINESTRING (5.488953740009687 59.29800713948799, 5.485274575577297 59.30561275707321, 5.485214835193993 59.30565572693026, 5.478314943553174 59.30935484779711, 5.478275412617027 59.30937093594165, 5.473741394131581 59.311222498066044, 5.471129187969707 59.31288419133397, 5.468143337558133 59.31435789527122, 5.467099686023219 59.31468906722225)"/>
    <s v="[2101861, 2101869, 2101877, 2101885, 2101886, 2101893, 2101900, 2101905]"/>
    <s v="[1613118, 340188, 1816923, 1064638, 1816927, 1816930, 1816935, 1251541]"/>
    <s v="#FIELD!"/>
    <s v="[1251504, 1613118, 340188, 1816923, 1064638, 1816927, 1816930, 1816935]"/>
    <s v="[0.001, 0.039, 0.006, 0.026, 0.032, 0.013, 0.009, 0.023]"/>
    <s v="2344.6168318489936"/>
    <s v="[0.001, 0.039, -0.006, -0.026, -0.032, -0.013, -0.009, 0.023]"/>
  </r>
  <r>
    <x v="3930"/>
    <x v="4357"/>
    <x v="0"/>
    <n v="0"/>
    <s v="LINESTRING (5.477012876099307 59.28763817503209, 5.483585380064757 59.291816830787226, 5.4886877399518195 59.294788375021355, 5.4889115197456055 59.295558745452716, 5.488947354081347 59.295801773595144, 5.4889539022463305 59.29585263896729, 5.489016142234405 59.29660211953495, 5.48896598160594 59.29787305725375, 5.488953740009687 59.29800713948799)"/>
    <s v="[2101797, 2101805, 2101813, 2101821, 2101829, 2101837, 2101845, 2101853]"/>
    <s v="[1211280, 1211295, 1816886, 1816893, 687206, 1816902, 1816907, 1251504]"/>
    <s v="#FIELD!"/>
    <s v="[1792384, 1211280, 1211295, 1816886, 1816893, 687206, 1816902, 1816907]"/>
    <s v="[0.005, 0.028, 0.004, 0.007, 0.011, 0.01, 0.012, 0.011]"/>
    <s v="1440.2321767207584"/>
    <s v="[0.005, -0.028, -0.004, -0.007, -0.011, -0.01, -0.012, 0.011]"/>
  </r>
  <r>
    <x v="3931"/>
    <x v="4288"/>
    <x v="0"/>
    <n v="0"/>
    <s v="LINESTRING (5.46567417890237 59.31462614213359, 5.46567417890237 59.31462614213359, 5.465729075051917 59.3146039772318, 5.4667464246222135 59.31439512248077, 5.466937601431915 59.31453614423272, 5.467059461871698 59.31465266433917, 5.467099686023219 59.31468906722225)"/>
    <s v="[1351446, 1351454, 1351462, 1351470, 1351478, 1351486]"/>
    <s v="[1251509, 1251512, 1206088, 1251526, 1251534, 1251541]"/>
    <s v="0.017078044706017658"/>
    <s v="[1251508, 1251509, 1251512, 1206088, 1251526, 1251534]"/>
    <s v="[0.0, 0.021, 0.023, 0.009, 0.007, 0.007]"/>
    <s v="113.07884380262091"/>
    <s v="[0.0, 0.021, 0.023, 0.009, 0.007, 0.007]"/>
  </r>
  <r>
    <x v="3932"/>
    <x v="4507"/>
    <x v="416"/>
    <s v="[0, 0, 0, 0, 0, 0, 0, 0, 0, 0, 0, 0, 0, 0, 0, 0, 0, 0, 0, 0, 0, 0, 0, 0, 0, 0, 0, 0, 0, 0, 0, 0, 0, 0, 0, 0, 0, 0, 0, 0, 0, 0, 1, 0, 1, 0, 1, 0, 0, 0, 0, 0, 0, 0, 0, 0, 0, 0, 0, 0, 0, 0, 1, 0, 0, 1, 0, 1, 0, 0, 0, 1, 0, 0, 0, 0, 0, 0, 0, 0, 0, 0, 0, 0]"/>
    <s v="LINESTRING (5.472942823443602 59.46453323359907, 5.472201739172504 59.46503718066198, 5.471973485606875 59.4652972717716, 5.467547035098191 59.4693613506991, 5.465748349159133 59.47001218484669, 5.464192886413057 59.47031139876063, 5.4599599457483485 59.47163157865732, 5.458686057538882 59.47389490364708, 5.459621560975469 59.47709799321066, 5.460974280852836 59.48007270734887, 5.460965194947132 59.48011106969464, 5.460925561585789 59.48023023616587, 5.460476258008012 59.48082387501401, 5.459397658283046 59.48169043300086, 5.458221328864477 59.48260288599569, 5.456962031943963 59.483382422757614, 5.454708137776236 59.48426226947612, 5.44410709478105 59.48735318596713, 5.434432050421662 59.49666976910972, 5.434137534702062 59.49731913870857, 5.4341005786814796 59.497418346761684, 5.434280611206622 59.50090697502905, 5.434561211001197 59.5022099168931, 5.43507249906386 59.50291210001716, 5.435094025837225 59.50293462062843, 5.43514910902139 59.50298586633392, 5.435747871316875 59.50345912816063, 5.436114887950881 59.50368667166471, 5.437088713224043 59.50436148812294, 5.438069065057814 59.50563149502776, 5.438189464878435 59.506314510232514, 5.438190370393496 59.50637257053429, 5.4381903209927565 59.50639722361571, 5.438097522598752 59.50681077053142, 5.438051993052562 59.50691800926626, 5.437862107675758 59.50744154606785, 5.437819506072957 59.50760436325986, 5.437736415697886 59.50873997475309, 5.437742750981341 59.508774845932486, 5.437743150530962 59.50877793151326, 5.438381274823336 59.51045285633783, 5.438386141351995 59.51046147950422, 5.438893564263626 59.51143281477557, 5.4390632912165415 59.511890006908565, 5.438697419763288 59.51364650274504, 5.438668863955722 59.513679830638104, 5.429508216635498 59.5180599756038, 5.4294640731219665 59.51809443877062, 5.427749256186046 59.519927048143956, 5.427084887162434 59.52158932371194, 5.426235842444686 59.52387583991338, 5.425445741809784 59.52468035527417, 5.422918238929933 59.53035365245355, 5.4226811814986435 59.531030690329786, 5.422670368464039 59.53105098646554, 5.422665756621915 59.53105963349779, 5.422544567336314 59.531260888709156, 5.422295994310501 59.531693720314024, 5.42228292845237 59.531722069174315, 5.42226022430319 59.53177133442295, 5.422030036726867 59.532390966114754, 5.421935819472482 59.533176119672056, 5.4205822179638545 59.538044084153064, 5.420578586720881 59.53808224444299, 5.420578030853666 59.53878256168162, 5.421690721065341 59.541429469357354, 5.421695690567054 59.54146607679334, 5.421093114368399 59.543853751807895, 5.421080866371573 59.54391670185706, 5.421518649100903 59.54602565534932, 5.421731058141321 59.54681865881741, 5.421743402459377 59.54695179198674, 5.421732159165698 59.54702646247255, 5.421629094087837 59.547423462870576, 5.421607799297543 59.54747223609954, 5.42159646866684 59.5474969248916, 5.421313247468324 59.548004576675815, 5.421252296968153 59.54807488873136, 5.420523031106452 59.54888038876241, 5.420154051769696 59.55413214686489, 5.42094224261623 59.55682259963358, 5.4195709045758 59.55915313344418, 5.418616149348433 59.55978633472211, 5.417723916313187 59.560225503201785, 5.416862484742675 59.560604343579364)"/>
    <s v="[2102693, 2102712, 2102720, 2102722, 2102723, 2102733, 2102734, 2102741, 2102742, 2102751, 2102752, 2102778, 2102786, 2102794, 2102802, 2102810, 2102811, 2102818, 2102824, 2102832, 2058880, 2058888, 2058896, 2058904, 2058912, 2058919, 2058936, 2058948, 2058956, 2058964, 2058965, 2058973, 2058981, 2059000, 2059008, 2059016, 2059024, 2059031, 2059034, 2059040, 2059048, 2059068, 2059085, 2059093, 2059104, 2059115, 2059116, 2059120, 2059121, 2059127, 2059135, 2059147, 2059155, 2059163, 2059171, 2059179, 2059187, 2059195, 2059203, 2059211, 2059219, 2059227, 2059235, 2059243, 2059251, 2059259, 2059267, 2059275, 2059290, 2059298, 2059317, 2059333, 2059351, 2059367, 2059375, 2059383, 2059391, 2059392, 2059409, 2059423, 2059431, 2059432, 2059439, 2059455]"/>
    <s v="[966454, 1817404, 321184, 380953, 1206307, 456316, 1244939, 236352, 236287, 1817431, 1238307, 343348, 1238390, 1244910, 1252815, 1282818, 1224676, 1605651, 1605667, 1790291, 1790292, 1790296, 1790301, 1790305, 1790310, 1790315, 1790321, 1790330, 1790338, 1790344, 1790345, 1790349, 1790354, 1790366, 1790371, 1790376, 1790383, 1790387, 1790388, 1790391, 1790398, 1790414, 1790426, 1790430, 1790439, 1790447, 1790448, 1790452, 1790453, 1790457, 1790463, 1790470, 1790476, 1790482, 1790487, 1790493, 1790499, 1790505, 1790510, 1790515, 1790521, 1790525, 1790531, 1790535, 1790540, 1790545, 1790555, 1790561, 1790573, 1790579, 1790589, 1790599, 1790612, 1790630, 1790634, 1790638, 1790646, 1790647, 1790662, 1790673, 1790678, 1790679, 1790685, 1790694]"/>
    <s v="#FIELD!"/>
    <s v="[1251681, 966454, 1817404, 321184, 380953, 1206307, 456316, 1244939, 236352, 236287, 1817431, 1238307, 343348, 1238390, 1244910, 1252815, 1282818, 1224676, 1605651, 1605667, 1790291, 1790292, 1790296, 1790301, 1790305, 1790310, 1790315, 1790321, 1790330, 1790338, 1790344, 1790345, 1790349, 1790354, 1790366, 1790371, 1790376, 1790383, 1790387, 1790388, 1790391, 1790398, 1790414, 1790426, 1790430, 1790439, 1790447, 1790448, 1790452, 1790453, 1790457, 1790463, 1790470, 1790476, 1790482, 1790487, 1790493, 1790499, 1790505, 1790510, 1790515, 1790521, 1790525, 1790531, 1790535, 1790540, 1790545, 1790555, 1790561, 1790573, 1790579, 1790589, 1790599, 1790612, 1790630, 1790634, 1790638, 1790646, 1790647, 1790662, 1790673, 1790678, 1790679, 1790685]"/>
    <s v="[0.041, 0.06, 0.019, 0.013, 0.02, 0.002, 0.029, 0.071, 0.039, 0.066, 0.055, 0.048, 0.005, 0.026, 0.03, 0.027, 0.009, 0.001, 0.013, 0.167, 0.023, 0.046, 0.023, 0.01, 0.013, 0.015, 0.015, 0.033, 0.05, 0.05, 0.118, 0.139, 0.093, 0.031, 0.052, 0.093, 0.145, 0.159, 0.602, 0.012, 0.178, 0.128, 0.025, 0.006, 0.09, 0.037, 0.086, 0.029, 0.058, 0.011, 0.031, 0.017, 0.013, 0.041, 0.038, 0.038, 0.03, 0.029, 0.028, 0.017, 0.012, 0.011, 0.022, 0.01, 0.033, 0.008, 0.031, 0.054, 0.023, 0.037, 0.047, 0.058, 0.044, 0.035, 0.041, 0.041, 0.032, 0.022, 0.006, 0.014, 0.01, 0.081, 0.037, 0.01]"/>
    <s v="12384.544527916252"/>
    <s v="[0.041, 0.06, 0.019, -0.013, -0.02, -0.002, -0.029, -0.071, -0.039, -0.066, -0.055, -0.048, 0.005, 0.026, 0.03, 0.027, 0.009, 0.001, -0.013, -0.167, -0.023, -0.046, -0.023, -0.01, -0.013, -0.015, -0.015, 0.033, 0.05, -0.05, -0.118, -0.139, -0.093, -0.031, -0.052, 0.093, 0.145, 0.159, 0.602, -0.012, -0.178, -0.128, -0.025, 0.006, 0.09, 0.037, 0.086, 0.029, -0.058, -0.011, 0.031, 0.017, -0.013, -0.041, -0.038, -0.038, -0.03, -0.029, -0.028, -0.017, -0.012, -0.011, 0.022, 0.01, -0.033, 0.008, 0.031, 0.054, 0.023, -0.037, -0.047, -0.058, -0.044, -0.035, -0.041, -0.041, -0.032, -0.022, -0.006, 0.014, -0.01, -0.081, -0.037, 0.01]"/>
  </r>
  <r>
    <x v="3933"/>
    <x v="1266"/>
    <x v="0"/>
    <n v="0"/>
    <s v="LINESTRING (5.7207400995169895 58.87381353464627, 5.720736056072825 58.87377151967558, 5.720849986794098 58.87368739917896)"/>
    <s v="[1352079, 1352087]"/>
    <s v="[1251887, 1251827]"/>
    <s v="0.00014528840874314768"/>
    <s v="[1251880, 1251887]"/>
    <s v="[0.002, 0.001]"/>
    <s v="16.49851517525477"/>
    <s v="[-0.002, 0.001]"/>
  </r>
  <r>
    <x v="3934"/>
    <x v="1373"/>
    <x v="0"/>
    <n v="0"/>
    <s v="LINESTRING (5.721113600921702 58.873728505330455, 5.721223494671511 58.873751790612296, 5.723325312478979 58.873944780448284, 5.724058644220336 58.873932272234285, 5.72416875289156 58.873914761196794)"/>
    <s v="[1435806, 1435814, 1435822, 1435830]"/>
    <s v="[1305596, 1305602, 1305608, 1251897]"/>
    <s v="#FIELD!"/>
    <s v="[1251840, 1305596, 1305602, 1305608]"/>
    <s v="[0.011, 0.017, 0.013, 0.001]"/>
    <s v="180.01573864827725"/>
    <s v="[-0.011, -0.017, -0.013, 0.001]"/>
  </r>
  <r>
    <x v="3935"/>
    <x v="1132"/>
    <x v="0"/>
    <n v="0"/>
    <s v="LINESTRING (5.72416875289156 58.873914761196794, 5.724223580513325 58.87389912142575, 5.7243278995965 58.87390033960392, 5.724395513504912 58.873923497816364, 5.724435041245335 58.87396711461045)"/>
    <s v="[1352095, 1352103, 1352111, 1352119]"/>
    <s v="[1248561, 1251902, 1251908, 1251914]"/>
    <s v="#FIELD!"/>
    <s v="[1251897, 1248561, 1251902, 1251908]"/>
    <s v="[0.001, 0.002, 0.004, 0.004]"/>
    <s v="19.73419172038909"/>
    <s v="[0.001, -0.002, -0.004, -0.004]"/>
  </r>
  <r>
    <x v="3936"/>
    <x v="4508"/>
    <x v="0"/>
    <n v="0"/>
    <m/>
    <n v="1353100"/>
    <n v="1252648"/>
    <s v="0.008"/>
    <n v="1252604"/>
    <s v="0.008"/>
    <s v="35.80578073998818"/>
    <s v="0.008"/>
  </r>
  <r>
    <x v="3936"/>
    <x v="3460"/>
    <x v="0"/>
    <n v="0"/>
    <s v="LINESTRING (13.613151350638816 68.14399949799206, 13.613230145423259 68.14401513938151, 13.613919136594175 68.1441513725422)"/>
    <s v="[1353036, 1353044]"/>
    <s v="[1252605, 1252611]"/>
    <s v="#FIELD!"/>
    <s v="[1252604, 1252605]"/>
    <s v="[0.01, 0.009]"/>
    <s v="36.11480481328142"/>
    <s v="[-0.01, -0.009]"/>
  </r>
  <r>
    <x v="3936"/>
    <x v="4509"/>
    <x v="0"/>
    <n v="0"/>
    <s v="LINESTRING (13.613372133205996 68.14389989259723, 13.61329421320805 68.14395879022274, 13.613151350638816 68.14399949799206)"/>
    <s v="[1353084, 1353092]"/>
    <s v="[1252637, 1252604]"/>
    <s v="0.012010169147869705"/>
    <s v="[1252632, 1252637]"/>
    <s v="[0.011, 0.013]"/>
    <s v="14.793519816792935"/>
    <s v="[0.011, 0.013]"/>
  </r>
  <r>
    <x v="3937"/>
    <x v="4509"/>
    <x v="0"/>
    <n v="0"/>
    <s v="LINESTRING (13.613372133205996 68.14389989259723, 13.613435660875604 68.14392876400106, 13.613919136594175 68.1441513725422)"/>
    <s v="[1353156, 1353164]"/>
    <s v="[1252690, 1252611]"/>
    <s v="#FIELD!"/>
    <s v="[1252632, 1252690]"/>
    <s v="[0.006, 0.004]"/>
    <s v="36.09277508372593"/>
    <s v="[-0.006, -0.004]"/>
  </r>
  <r>
    <x v="3938"/>
    <x v="4509"/>
    <x v="0"/>
    <n v="0"/>
    <s v="LINESTRING (13.612815644846702 68.14373282084502, 13.613110923364935 68.14372649286827, 13.613244948476272 68.14375366699139, 13.613336759358798 68.14379579224672, 13.613372133205996 68.14389989259723)"/>
    <s v="[1353052, 1353060, 1353068, 1353076]"/>
    <s v="[688520, 1252622, 688556, 1252632]"/>
    <s v="#FIELD!"/>
    <s v="[1252616, 688520, 1252622, 688556]"/>
    <s v="[0.016, 0.013, 0.007, 0.003]"/>
    <s v="36.803292861313565"/>
    <s v="[-0.016, -0.013, -0.007, 0.003]"/>
  </r>
  <r>
    <x v="3938"/>
    <x v="4508"/>
    <x v="0"/>
    <n v="0"/>
    <s v="LINESTRING (13.612604605155855 68.14383293772424, 13.612689557816344 68.14377082487536, 13.612815644846702 68.14373282084502)"/>
    <s v="[1353108, 1353116]"/>
    <s v="[1252652, 1252616]"/>
    <s v="#FIELD!"/>
    <s v="[1252648, 1252652]"/>
    <s v="[0.009, 0.015]"/>
    <s v="14.510740057562993"/>
    <s v="[-0.009, -0.015]"/>
  </r>
  <r>
    <x v="3938"/>
    <x v="3461"/>
    <x v="0"/>
    <n v="0"/>
    <s v="LINESTRING (13.611907915792312 68.14353254459091, 13.612738683886205 68.14371713181043, 13.612815644846702 68.14373282084502)"/>
    <s v="[1353140, 1353148]"/>
    <s v="[1252682, 1252616]"/>
    <s v="#FIELD!"/>
    <s v="[1252664, 1252682]"/>
    <s v="[0.012, 0.014]"/>
    <s v="43.83105291808406"/>
    <s v="[-0.012, -0.014]"/>
  </r>
  <r>
    <x v="3939"/>
    <x v="3461"/>
    <x v="0"/>
    <n v="0"/>
    <s v="LINESTRING (13.611907915792312 68.14353254459091, 13.612540327151926 68.14380455311586, 13.612604605155855 68.14383293772424)"/>
    <s v="[1353124, 1353132]"/>
    <s v="[1252665, 1252648]"/>
    <s v="#FIELD!"/>
    <s v="[1252664, 1252665]"/>
    <s v="0.008"/>
    <s v="44.26799284877764"/>
    <s v="#FIELD!"/>
  </r>
  <r>
    <x v="3940"/>
    <x v="1589"/>
    <x v="0"/>
    <n v="0"/>
    <m/>
    <n v="1353748"/>
    <n v="1253118"/>
    <s v="0.178"/>
    <n v="1253113"/>
    <s v="0.178"/>
    <s v="7.102667808230127"/>
    <s v="0.178"/>
  </r>
  <r>
    <x v="3940"/>
    <x v="1415"/>
    <x v="0"/>
    <n v="0"/>
    <s v="LINESTRING (6.680420268021328 58.29865177308639, 6.6795011473408 58.29928411689548, 6.679510938136023 58.299834295797304, 6.679519757399765 58.29995893528335, 6.679538093552029 58.30009821346061, 6.679509202141928 58.30023205150249)"/>
    <s v="[2136978, 2136986, 2136994, 2137002, 2137010]"/>
    <s v="[1836807, 1836813, 1836819, 1836823, 1253113]"/>
    <s v="0.02097152895294492"/>
    <s v="[1447922, 1836807, 1836813, 1836819, 1836823]"/>
    <s v="[0.108, 0.121, 0.128, 0.125, 0.232]"/>
    <s v="202.38646385212226"/>
    <s v="[-0.108, 0.121, 0.128, 0.125, 0.232]"/>
  </r>
  <r>
    <x v="3941"/>
    <x v="4510"/>
    <x v="0"/>
    <s v="[0, 0, 0, 0, 0, 1, 0, 0, 1, 0, 1, 0, 0, 0, 0, 0, 0, 0, 0, 0, 0]"/>
    <s v="LINESTRING (6.679525800939522 58.30029505691269, 6.679636894444782 58.3006433664337, 6.679714362272754 58.30083752526549, 6.6834905059825935 58.30900453034825, 6.683459529685641 58.30911630287903, 6.683191127835425 58.309706810426775, 6.682905795544452 58.31011309983133, 6.682304459350806 58.310713666323835, 6.6793626405902105 58.31280016553438, 6.679281661943279 58.312856301843986, 6.67833500142704 58.31351500805728, 6.678251155437939 58.313573609289996, 6.677374963850216 58.31417515175398, 6.677319203711542 58.31421201083601, 6.6692216422527295 58.31961652391218, 6.669119323015327 58.31969251824292, 6.663840331782319 58.32388598781323, 6.663790491806926 58.323980023947655, 6.658302353732405 58.330653956933574, 6.658255516842179 58.33069971631091, 6.658184232825321 58.33077113519059, 6.657902064489113 58.331089269332324)"/>
    <s v="[1353756, 1353788, 1353796, 1353804, 1353812, 1353820, 1353828, 1353836, 1353844, 1353860, 1353868, 1353876, 1353884, 1353892, 1353900, 1353910, 1353918, 1353926, 1353934, 1353942, 1353950]"/>
    <s v="[1253121, 1253136, 1253142, 1253147, 1253151, 1253158, 1253165, 1253170, 1253175, 1253185, 1253189, 1253198, 1253204, 1253208, 1253214, 1253221, 1253226, 1253230, 1253235, 1253242, 1253247]"/>
    <s v="#FIELD!"/>
    <s v="[1253118, 1253121, 1253136, 1253142, 1253147, 1253151, 1253158, 1253165, 1253170, 1253175, 1253185, 1253189, 1253198, 1253204, 1253208, 1253214, 1253221, 1253226, 1253230, 1253235, 1253242]"/>
    <s v="[0.159, 0.172, 0.011, 0.249, 0.226, 0.118, 0.004, 0.005, 0.292, 0.251, 0.19, 0.207, 0.142, 0.019, 0.235, 0.015, 0.102, 0.03, 0.178, 0.234, 0.193]"/>
    <s v="3940.5463408929245"/>
    <s v="[0.159, 0.172, -0.011, -0.249, -0.226, -0.118, 0.004, 0.005, 0.292, 0.251, 0.19, 0.207, 0.142, -0.019, -0.235, 0.015, 0.102, -0.03, -0.178, -0.234, -0.193]"/>
  </r>
  <r>
    <x v="3942"/>
    <x v="4144"/>
    <x v="0"/>
    <n v="0"/>
    <s v="LINESTRING (6.8454847647400605 58.26521409497636, 6.845496233386252 58.26519360070119, 6.845591473840674 58.265142485107695, 6.845753307599031 58.26514087769686, 6.845849652780112 58.26527437753388, 6.845747440485707 58.26532691332817, 6.845597629544832 58.26532613487541, 6.845531246654063 58.26530148002418)"/>
    <s v="[1353913, 1353914, 1353921, 1353929, 1353937, 1353943, 1353951]"/>
    <s v="[1253190, 1253224, 1253209, 1253232, 1253237, 1253243, 1253152]"/>
    <s v="0.01925328998293192"/>
    <s v="[1253166, 1253190, 1253224, 1253209, 1253232, 1253237, 1253243]"/>
    <s v="[0.283, 0.274, 0.213, 0.062, 0.299, 0.241, 0.081]"/>
    <s v="59.386936939027755"/>
    <s v="[-0.283, -0.274, -0.213, 0.062, 0.299, 0.241, 0.081]"/>
  </r>
  <r>
    <x v="3943"/>
    <x v="4511"/>
    <x v="0"/>
    <n v="0"/>
    <s v="LINESTRING (6.657902064489113 58.331089269332324, 6.657309340577979 58.33214307922032, 6.657197741650299 58.332820808223524, 6.657197814883882 58.33289186629505)"/>
    <s v="[1353958, 1353959, 1353966]"/>
    <s v="[1253252, 1253253, 1253255]"/>
    <s v="#FIELD!"/>
    <s v="[1253247, 1253252, 1253253]"/>
    <s v="[0.055, 0.058, 0.056]"/>
    <s v="206.97688342119247"/>
    <s v="[-0.055, -0.058, -0.056]"/>
  </r>
  <r>
    <x v="3943"/>
    <x v="4512"/>
    <x v="0"/>
    <n v="0"/>
    <s v="LINESTRING (6.657009021522936 58.332843246302986, 6.657623816144916 58.33131840392494, 6.657902064489113 58.331089269332324)"/>
    <s v="[2137250, 2137258]"/>
    <s v="[1836955, 1253247]"/>
    <s v="0.057652991635595056"/>
    <s v="[1253654, 1836955]"/>
    <s v="[0.021, 0.27]"/>
    <s v="206.2481690178058"/>
    <s v="[0.021, 0.27]"/>
  </r>
  <r>
    <x v="3944"/>
    <x v="2949"/>
    <x v="0"/>
    <n v="0"/>
    <m/>
    <n v="1353974"/>
    <n v="1253262"/>
    <s v="#FIELD!"/>
    <n v="1253255"/>
    <s v="0.049"/>
    <s v="109.85031415971079"/>
    <s v="#FIELD!"/>
  </r>
  <r>
    <x v="3944"/>
    <x v="4513"/>
    <x v="0"/>
    <n v="0"/>
    <m/>
    <n v="1354706"/>
    <n v="1253664"/>
    <s v="#FIELD!"/>
    <n v="1253255"/>
    <s v="0.07"/>
    <s v="11.8333500843936"/>
    <s v="#FIELD!"/>
  </r>
  <r>
    <x v="3944"/>
    <x v="4512"/>
    <x v="0"/>
    <n v="0"/>
    <m/>
    <n v="1354694"/>
    <n v="1253255"/>
    <s v="0.016"/>
    <n v="1253654"/>
    <s v="0.016"/>
    <s v="12.69680422256597"/>
    <s v="0.016"/>
  </r>
  <r>
    <x v="3945"/>
    <x v="4513"/>
    <x v="0"/>
    <n v="0"/>
    <s v="LINESTRING (6.657341608557276 58.3338727130347, 6.657261518354753 58.333740203978756, 6.657012873643167 58.33292968727875)"/>
    <s v="[2137418, 2137426]"/>
    <s v="[1837025, 1253664]"/>
    <s v="0.041880662672988074"/>
    <s v="[1253262, 1837025]"/>
    <s v="[1.085, 0.132]"/>
    <s v="108.66804844759771"/>
    <s v="[1.085, -0.132]"/>
  </r>
  <r>
    <x v="3946"/>
    <x v="4514"/>
    <x v="0"/>
    <n v="0"/>
    <s v="LINESTRING (6.656396286873592 58.33280407536822, 6.656396286873592 58.33280407536822, 6.657009021522936 58.332843246302986)"/>
    <s v="[2137234, 2137242]"/>
    <s v="[1836946, 1253654]"/>
    <s v="#FIELD!"/>
    <s v="[1117432, 1836946]"/>
    <s v="[0.0, 0.433]"/>
    <s v="41.191391524562334"/>
    <s v="[0.0, -0.433]"/>
  </r>
  <r>
    <x v="3947"/>
    <x v="4515"/>
    <x v="0"/>
    <n v="0"/>
    <s v="LINESTRING (6.657012873643167 58.33292968727875, 6.6564246697504155 58.33288439258519, 6.656345468109591 58.33288379541403)"/>
    <s v="[2137434, 2137442]"/>
    <s v="[1837033, 1117438]"/>
    <s v="0.417428658730493"/>
    <s v="[1253664, 1837033]"/>
    <s v="[0.462, 0.082]"/>
    <s v="39.66170061388532"/>
    <s v="[0.462, 0.082]"/>
  </r>
  <r>
    <x v="3948"/>
    <x v="4148"/>
    <x v="0"/>
    <s v="[0, 1, 1, 0, 1]"/>
    <s v="LINESTRING (6.8285731545571045 58.26981068401135, 6.823562517274481 58.27245204959787, 6.8232353001874895 58.272623794942895, 6.820019374511405 58.27431948614019, 6.8145408002055605 58.27617687825446, 6.810465082038693 58.27616535785904)"/>
    <s v="[1354927, 1354935, 1354936, 1354944, 1354945]"/>
    <s v="[1253820, 1253825, 1253826, 1253831, 1253832]"/>
    <s v="#FIELD!"/>
    <s v="[1253742, 1253820, 1253825, 1253826, 1253831]"/>
    <s v="[0.368, 0.461, 0.119, 0.006, 0.024]"/>
    <s v="1343.1550414993685"/>
    <s v="[-0.368, -0.461, -0.119, -0.006, 0.024]"/>
  </r>
  <r>
    <x v="3949"/>
    <x v="2320"/>
    <x v="0"/>
    <n v="0"/>
    <s v="LINESTRING (9.8358962635224 63.29726985501922, 9.83576292061564 63.29734341720238, 9.835648346722428 63.297357392056874, 9.835531470166796 63.29734843145417, 9.835401465819457 63.29729831054062)"/>
    <s v="[1354894, 1354900, 1354908, 1354930]"/>
    <s v="[1253794, 1253800, 1253806, 1253821]"/>
    <s v="0.0012744677075737833"/>
    <s v="[1253793, 1253794, 1253800, 1253806]"/>
    <s v="[0.001, 0.001, 0.001, 0.002]"/>
    <s v="31.297858416496837"/>
    <s v="[0.001, 0.001, 0.001, 0.002]"/>
  </r>
  <r>
    <x v="3949"/>
    <x v="2318"/>
    <x v="0"/>
    <n v="0"/>
    <s v="LINESTRING (9.83586196365759 63.29716683787956, 9.835904612631913 63.297216636778856, 9.8358962635224 63.29726985501922)"/>
    <s v="[1355004, 1355012]"/>
    <s v="[1253881, 1253793]"/>
    <s v="0.0"/>
    <s v="[1253875, 1253881]"/>
    <s v="0.0"/>
    <s v="11.900619141116744"/>
    <s v="0.0"/>
  </r>
  <r>
    <x v="3950"/>
    <x v="2321"/>
    <x v="0"/>
    <n v="0"/>
    <s v="LINESTRING (9.835401465819457 63.29729831054062, 9.835363556442692 63.29724773002124, 9.835377203899998 63.29719474027889)"/>
    <s v="[1354931, 1354947]"/>
    <s v="[1253822, 1253835]"/>
    <s v="0.0010003289191073312"/>
    <s v="[1253821, 1253822]"/>
    <s v="[0.002, 0.0]"/>
    <s v="11.901119892466657"/>
    <s v="[0.002, -0.0]"/>
  </r>
  <r>
    <x v="3951"/>
    <x v="2318"/>
    <x v="0"/>
    <n v="0"/>
    <s v="LINESTRING (9.835377203899998 63.29719474027889, 9.835532044962408 63.297121041860215, 9.835649198896572 63.29711240595613, 9.835763646473652 63.29712654132987, 9.83586196365759 63.29716683787956)"/>
    <s v="[1354963, 1354964, 1354972, 1354996]"/>
    <s v="[1253848, 1253849, 1253854, 1253875]"/>
    <s v="#FIELD!"/>
    <s v="[1253835, 1253848, 1253849, 1253854]"/>
    <s v="[0.003, 0.002, 0.002, 0.001]"/>
    <s v="30.15860820999228"/>
    <s v="[-0.003, -0.002, -0.002, -0.001]"/>
  </r>
  <r>
    <x v="3952"/>
    <x v="4516"/>
    <x v="0"/>
    <n v="0"/>
    <s v="LINESTRING (5.429968554555345 60.14880116753014, 5.42992880390514 60.14887015520527, 5.429722567287908 60.14902093814019)"/>
    <s v="[1356268, 1356276]"/>
    <s v="[1254828, 1254835]"/>
    <s v="0.022139624312259944"/>
    <s v="[1254827, 1254828]"/>
    <s v="[0.039, 0.016]"/>
    <s v="30.049782918091417"/>
    <s v="[0.039, 0.016]"/>
  </r>
  <r>
    <x v="3952"/>
    <x v="4517"/>
    <x v="0"/>
    <n v="0"/>
    <s v="LINESTRING (5.429968554555345 60.14880116753014, 5.429806488225766 60.14881607466641, 5.42968592356629 60.14879498531551)"/>
    <s v="[1356703, 1356743]"/>
    <s v="[1255112, 1254850]"/>
    <s v="#FIELD!"/>
    <s v="[1254827, 1255112]"/>
    <s v="[0.035, 0.072]"/>
    <s v="16.301576045550323"/>
    <s v="[-0.035, -0.072]"/>
  </r>
  <r>
    <x v="3952"/>
    <x v="4518"/>
    <x v="0"/>
    <n v="0"/>
    <s v="LINESTRING (5.429950806190232 60.14855790887418, 5.430053011086926 60.14860362298265, 5.430107724589452 60.14865974707842, 5.430092205410285 60.148725400958185, 5.429968554555345 60.14880116753014)"/>
    <s v="[1356656, 1356663, 1356664, 1356679]"/>
    <s v="[1255016, 1255084, 1255044, 1254827]"/>
    <s v="0.04521238646819504"/>
    <s v="[1254963, 1255016, 1255084, 1255044]"/>
    <s v="[0.036, 0.04, 0.063, 0.043]"/>
    <s v="33.124031695996656"/>
    <s v="[0.036, 0.04, 0.063, 0.043]"/>
  </r>
  <r>
    <x v="3953"/>
    <x v="4519"/>
    <x v="417"/>
    <n v="0"/>
    <s v="LINESTRING (5.429722567287908 60.14902093814019, 5.429063995547812 60.15029879923858, 5.430615504563476 60.151847975792776, 5.431089549299045 60.15205252938302, 5.431737993077912 60.152486327200485, 5.432243052957385 60.15306603934838, 5.434031671952718 60.15467055190306, 5.434042042693638 60.154677873059114, 5.435253372653336 60.155895012125676, 5.435414936301642 60.15674327227075, 5.435413938756524 60.15675224291957, 5.437548433994537 60.161986756937154, 5.437553698273429 60.161995351655435, 5.439023018298799 60.164270183443705, 5.441262370610095 60.16648678426728, 5.441267453615148 60.16649538365303, 5.441378976617828 60.16672770246403, 5.443141969882412 60.16947423298786, 5.443150871190182 60.16948200686034, 5.444937914093802 60.17085142035856, 5.445009681771515 60.17090999712171, 5.445124461996579 60.17099521570761, 5.4466660150702575 60.17205881040455, 5.44667636872187 60.172066092763444, 5.446961848175245 60.172266701459705, 5.450180977462433 60.17752673531333, 5.450582386384849 60.177990091962926, 5.450990075264505 60.17850082840596)"/>
    <s v="[1356284, 2061720, 2061728, 2061736, 2061744, 2061752, 2061760, 2061768, 2061776, 2061784, 2061792, 2061800, 2061808, 2061816, 2061824, 2061832, 2061840, 2061848, 2061856, 2061864, 2061872, 2061880, 2061888, 2061896, 2061904, 2061912, 2061920]"/>
    <s v="[1254841, 1724252, 1792262, 1679749, 1792270, 1792276, 1792281, 1679774, 1792294, 1792299, 1792304, 1792308, 1679766, 1792320, 1792324, 1792329, 1792334, 1792339, 1792343, 1792348, 1792355, 1792361, 1792368, 1724270, 1792378, 1792383, 1754129]"/>
    <s v="0.013397918855996881"/>
    <s v="[1254835, 1254841, 1724252, 1792262, 1679749, 1792270, 1792276, 1792281, 1679774, 1792294, 1792299, 1792304, 1792308, 1679766, 1792320, 1792324, 1792329, 1792334, 1792339, 1792343, 1792348, 1792355, 1792361, 1792368, 1724270, 1792378, 1792383]"/>
    <s v="[0.034, 0.03, 0.046, 0.025, 0.022, 0.052, 0.007, 0.023, 0.05, 0.051, 0.011, 0.017, 0.016, 0.024, 0.035, 0.037, 0.02, 0.058, 0.02, 0.088, 0.097, 0.058, 0.071, 0.012, 0.009, 0.087, 0.045]"/>
    <s v="3597.202622677869"/>
    <s v="[0.034, 0.03, 0.046, 0.025, 0.022, 0.052, -0.007, 0.023, 0.05, 0.051, -0.011, -0.017, -0.016, 0.024, 0.035, 0.037, 0.02, 0.058, -0.02, 0.088, 0.097, 0.058, 0.071, -0.012, 0.009, -0.087, 0.045]"/>
  </r>
  <r>
    <x v="3953"/>
    <x v="4517"/>
    <x v="0"/>
    <n v="0"/>
    <s v="LINESTRING (5.42968592356629 60.14879498531551, 5.4296728254730935 60.14883951854685, 5.429670749703374 60.14888036085914, 5.429722567287908 60.14902093814019)"/>
    <s v="[1356292, 1356300, 1356308]"/>
    <s v="[1254851, 1254859, 1254835]"/>
    <s v="0.05580647547540162"/>
    <s v="[1254850, 1254851, 1254859]"/>
    <s v="[0.05, 0.054, 0.058]"/>
    <s v="26.670803228701377"/>
    <s v="[0.05, 0.054, 0.058]"/>
  </r>
  <r>
    <x v="3954"/>
    <x v="4520"/>
    <x v="0"/>
    <n v="0"/>
    <m/>
    <n v="1356744"/>
    <n v="1255078"/>
    <s v="#FIELD!"/>
    <n v="1254850"/>
    <s v="0.073"/>
    <s v="6.839805626074529"/>
    <s v="#FIELD!"/>
  </r>
  <r>
    <x v="3955"/>
    <x v="4521"/>
    <x v="0"/>
    <n v="0"/>
    <s v="LINESTRING (5.429322487651827 60.14868311698062, 5.428403608206121 60.14807776152847, 5.42828506344138 60.148023086119544, 5.427344374168978 60.14760237103815)"/>
    <s v="[1356316, 1356324, 1356348]"/>
    <s v="[1254870, 1254877, 1254886]"/>
    <s v="#FIELD!"/>
    <s v="[1254869, 1254870, 1254877]"/>
    <s v="[0.08, 0.087, 0.088]"/>
    <s v="167.21636346719976"/>
    <s v="[-0.08, -0.087, -0.088]"/>
  </r>
  <r>
    <x v="3955"/>
    <x v="4522"/>
    <x v="0"/>
    <n v="0"/>
    <s v="LINESTRING (5.429591870644289 60.14862933506759, 5.4295263755318555 60.14864398490717, 5.429322487651827 60.14868311698062)"/>
    <s v="[1356639, 1356640]"/>
    <s v="[1255075, 1254869]"/>
    <s v="#FIELD!"/>
    <s v="[1255074, 1255075]"/>
    <s v="[0.027, 0.028]"/>
    <s v="16.172746149244315"/>
    <s v="[-0.027, -0.028]"/>
  </r>
  <r>
    <x v="3955"/>
    <x v="4520"/>
    <x v="0"/>
    <n v="0"/>
    <s v="LINESTRING (5.429603554621211 60.14874960484694, 5.42953962523706 60.14873331387995, 5.429322487651827 60.14868311698062)"/>
    <s v="[1356647, 1356655]"/>
    <s v="[1255079, 1254869]"/>
    <s v="#FIELD!"/>
    <s v="[1255078, 1255079]"/>
    <s v="[0.073, 0.07]"/>
    <s v="17.336199750668357"/>
    <s v="[-0.073, -0.07]"/>
  </r>
  <r>
    <x v="3956"/>
    <x v="4523"/>
    <x v="0"/>
    <n v="0"/>
    <m/>
    <n v="1356340"/>
    <n v="1254887"/>
    <s v="#FIELD!"/>
    <n v="1254886"/>
    <s v="0.052"/>
    <s v="11.873185124471936"/>
    <s v="#FIELD!"/>
  </r>
  <r>
    <x v="3956"/>
    <x v="4524"/>
    <x v="0"/>
    <n v="0"/>
    <m/>
    <n v="1356356"/>
    <n v="1254897"/>
    <s v="#FIELD!"/>
    <n v="1254886"/>
    <s v="0.057"/>
    <s v="11.71557339581245"/>
    <s v="#FIELD!"/>
  </r>
  <r>
    <x v="3957"/>
    <x v="4524"/>
    <x v="0"/>
    <n v="0"/>
    <s v="LINESTRING (5.427371390923754 60.147498406849, 5.42729511544052 60.147525942927885, 5.427204773795491 60.147522103406445)"/>
    <s v="[1356543, 1356544]"/>
    <s v="[1255012, 1254887]"/>
    <s v="0.004829553675632925"/>
    <s v="[1254897, 1255012]"/>
    <s v="[0.004, 0.014]"/>
    <s v="10.299363272208847"/>
    <s v="[-0.004, 0.014]"/>
  </r>
  <r>
    <x v="3958"/>
    <x v="4525"/>
    <x v="0"/>
    <n v="0"/>
    <s v="LINESTRING (5.429588214075991 60.148320725251764, 5.42969051512919 60.14850741495537, 5.429662338810821 60.14857899181957)"/>
    <s v="[1356380, 1356388]"/>
    <s v="[1254914, 1254917]"/>
    <s v="0.06024232637019151"/>
    <s v="[1254913, 1254914]"/>
    <s v="[0.067, 0.042]"/>
    <s v="30.156917988888424"/>
    <s v="[0.067, 0.042]"/>
  </r>
  <r>
    <x v="3958"/>
    <x v="4526"/>
    <x v="0"/>
    <n v="0"/>
    <s v="LINESTRING (5.429588214075991 60.148320725251764, 5.429556090231264 60.14820397519424, 5.427561875001438 60.1464239427137, 5.42704825999929 60.145964617378546, 5.426919543715513 60.14577333015911)"/>
    <s v="[1356937, 1356945, 1356953, 2030067]"/>
    <s v="[1255275, 1255279, 1255287, 1254924]"/>
    <s v="#FIELD!"/>
    <s v="[1254913, 1255275, 1255279, 1255287]"/>
    <s v="[0.064, 0.056, 0.016, 0.024]"/>
    <s v="322.8541590088056"/>
    <s v="[-0.064, -0.056, -0.016, 0.024]"/>
  </r>
  <r>
    <x v="3958"/>
    <x v="4527"/>
    <x v="0"/>
    <n v="0"/>
    <s v="LINESTRING (5.429428771644715 60.14823405790537, 5.429428771644715 60.14823405790537, 5.429588214075991 60.148320725251764)"/>
    <s v="[1356908, 1356916]"/>
    <s v="[1255253, 1254913]"/>
    <s v="0.02168168518281195"/>
    <s v="[1255254, 1255253]"/>
    <s v="[0.0, 0.081]"/>
    <s v="49.0998858413552"/>
    <s v="[0.0, 0.081]"/>
  </r>
  <r>
    <x v="3959"/>
    <x v="4518"/>
    <x v="0"/>
    <n v="0"/>
    <s v="LINESTRING (5.429662338810821 60.14857899181957, 5.4297964815693955 60.148548836638724, 5.429950806190232 60.14855790887418)"/>
    <s v="[1356812, 1356813]"/>
    <s v="[1255181, 1254963]"/>
    <s v="0.04292248730888529"/>
    <s v="[1254917, 1255181]"/>
    <s v="[0.027, 0.058]"/>
    <s v="16.85722778700445"/>
    <s v="[0.027, 0.058]"/>
  </r>
  <r>
    <x v="3959"/>
    <x v="4522"/>
    <x v="0"/>
    <n v="0"/>
    <m/>
    <n v="1356804"/>
    <n v="1254917"/>
    <s v="#FIELD!"/>
    <n v="1255074"/>
    <s v="0.016"/>
    <s v="6.860704482577347"/>
    <s v="#FIELD!"/>
  </r>
  <r>
    <x v="3960"/>
    <x v="4528"/>
    <x v="0"/>
    <n v="0"/>
    <s v="LINESTRING (5.426919543715513 60.14577333015911, 5.427136025550903 60.145848254226806, 5.427797603894416 60.14641942107739, 5.4280458452688904 60.14664201407939, 5.4283766689054955 60.14692433739106, 5.429428639453009 60.147879176801176)"/>
    <s v="[1356396, 1356404, 1356412, 1356420, 1356428]"/>
    <s v="[688965, 688954, 1254932, 1254939, 1254943]"/>
    <s v="0.03920490177786469"/>
    <s v="[1254924, 688965, 688954, 1254932, 1254939]"/>
    <s v="[0.083, 0.04, 0.044, 0.037, 0.053]"/>
    <s v="275.30634829709845"/>
    <s v="[-0.083, 0.04, 0.044, 0.037, 0.053]"/>
  </r>
  <r>
    <x v="3960"/>
    <x v="4529"/>
    <x v="0"/>
    <n v="0"/>
    <s v="LINESTRING (5.426919543715513 60.14577333015911, 5.4269264355703 60.14571527672289, 5.426956461931194 60.145475112314195)"/>
    <s v="[2030075, 1356961]"/>
    <s v="[1255291, 1255274]"/>
    <s v="#FIELD!"/>
    <s v="[1254924, 1255291]"/>
    <s v="[0.02, 0.018]"/>
    <s v="33.39062349605287"/>
    <s v="[-0.02, -0.018]"/>
  </r>
  <r>
    <x v="3960"/>
    <x v="2953"/>
    <x v="0"/>
    <n v="0"/>
    <s v="LINESTRING (5.426459821641673 60.145584505287054, 5.426493113867151 60.14560789626883, 5.426919543715513 60.14577333015911)"/>
    <s v="[1356826, 1356832]"/>
    <s v="[1255192, 1254924]"/>
    <s v="#FIELD!"/>
    <s v="[1255189, 1255192]"/>
    <s v="[0.035, 0.074]"/>
    <s v="33.7452551051241"/>
    <s v="[-0.035, -0.074]"/>
  </r>
  <r>
    <x v="3961"/>
    <x v="4518"/>
    <x v="0"/>
    <n v="0"/>
    <s v="LINESTRING (5.429692979340852 60.148178551170744, 5.429692979340852 60.148178551170744, 5.429768651559776 60.148285906009754, 5.429910615296968 60.14849964216627, 5.429950806190232 60.14855790887418)"/>
    <s v="[1356444, 1356452, 1356460, 1356468]"/>
    <s v="[1254949, 1254956, 1254959, 1254963]"/>
    <s v="0.03846194285323914"/>
    <s v="[1254950, 1254949, 1254956, 1254959]"/>
    <s v="[0.0, 0.073, 0.067, 0.069]"/>
    <s v="80.32021155824577"/>
    <s v="[0.0, 0.073, 0.067, 0.069]"/>
  </r>
  <r>
    <x v="3962"/>
    <x v="4520"/>
    <x v="0"/>
    <n v="0"/>
    <s v="LINESTRING (5.429603554621211 60.14874960484694, 5.429567540218178 60.14868854064324, 5.429591870644289 60.14862933506759)"/>
    <s v="[1356774, 1356803]"/>
    <s v="[1255162, 1255074]"/>
    <s v="#FIELD!"/>
    <s v="[1255078, 1255162]"/>
    <s v="[0.064, 0.047]"/>
    <s v="13.86702384694796"/>
    <s v="[-0.064, -0.047]"/>
  </r>
  <r>
    <x v="3963"/>
    <x v="4530"/>
    <x v="0"/>
    <n v="0"/>
    <s v="LINESTRING (5.426459821641673 60.145584505287054, 5.426444259954112 60.1456130688045, 5.426450336180729 60.145890647613726, 5.427383410767972 60.146839286300384, 5.4277187283466555 60.14712569223657, 5.428857120898106 60.14806974734639)"/>
    <s v="[1356834, 1356842, 1356848, 1356849, 1356857]"/>
    <s v="[1255199, 1255206, 1255210, 1255211, 1255219]"/>
    <s v="0.024653665144287427"/>
    <s v="[1255189, 1255199, 1255206, 1255210, 1255211]"/>
    <s v="[0.053, 0.016, 0.028, 0.044, 0.071]"/>
    <s v="314.03380489670616"/>
    <s v="[0.053, 0.016, -0.028, 0.044, 0.071]"/>
  </r>
  <r>
    <x v="3964"/>
    <x v="4531"/>
    <x v="0"/>
    <n v="0"/>
    <s v="LINESTRING (11.167580236141603 60.17618212964655, 11.169469275029641 60.17848606177926, 11.178796691086067 60.18386770970217)"/>
    <s v="[1357021, 1357028]"/>
    <s v="[1255330, 1255334]"/>
    <s v="0.003709154888643943"/>
    <s v="[1255317, 1255330]"/>
    <s v="[0.0, 0.005]"/>
    <s v="1075.533016356777"/>
    <s v="[-0.0, 0.005]"/>
  </r>
  <r>
    <x v="3964"/>
    <x v="4532"/>
    <x v="0"/>
    <n v="0"/>
    <s v="LINESTRING (11.16197431394924 60.168229017913106, 11.162275345155876 60.16856630334103, 11.165077544516521 60.17214072506866, 11.166574625900285 60.17455117255461, 11.167580236141603 60.17618212964655)"/>
    <s v="[1560287, 1560295, 1356998, 1356999]"/>
    <s v="[1407390, 1255315, 1255316, 1255317]"/>
    <s v="0.004656146832436546"/>
    <s v="[1400977, 1407390, 1255315, 1255316]"/>
    <s v="[0.151, 0.012, 0.007, 0.007]"/>
    <s v="940.1497524243748"/>
    <s v="[0.151, -0.012, 0.007, 0.007]"/>
  </r>
  <r>
    <x v="3965"/>
    <x v="4533"/>
    <x v="0"/>
    <n v="0"/>
    <s v="LINESTRING (11.178796691086067 60.18386770970217, 11.180358537509642 60.184568840212656, 11.187614421195027 60.18936637349883, 11.188020824713366 60.189841640561056, 11.188497185392794 60.19047946465157)"/>
    <s v="[1358187, 1358195, 1358203, 1358211]"/>
    <s v="[1255935, 1255940, 1255945, 1255951]"/>
    <s v="0.0010482474958050047"/>
    <s v="[1255334, 1255935, 1255940, 1255945]"/>
    <s v="[0.052, 0.007, 0.004, 0.008]"/>
    <s v="924.7037368900025"/>
    <s v="[0.052, -0.007, 0.004, -0.008]"/>
  </r>
  <r>
    <x v="3965"/>
    <x v="4534"/>
    <x v="0"/>
    <n v="0"/>
    <s v="LINESTRING (11.178796691086067 60.18386770970217, 11.17914255856847 60.18406907912857, 11.184135312391593 60.187364055783654, 11.184159270073106 60.18737628822786, 11.184223425626396 60.18740903264934)"/>
    <s v="[1745149, 1745126, 1745131, 1745139]"/>
    <s v="[1547862, 1547863, 1547866, 1547873]"/>
    <s v="0.010443907422076704"/>
    <s v="[1255334, 1547862, 1547863, 1547866]"/>
    <s v="[0.069, 0.007, 0.006, 0.011]"/>
    <s v="504.40660372494926"/>
    <s v="[0.069, 0.007, 0.006, -0.011]"/>
  </r>
  <r>
    <x v="3966"/>
    <x v="4535"/>
    <x v="0"/>
    <n v="0"/>
    <s v="LINESTRING (11.184465685851537 60.18739021535216, 11.184555378063857 60.18737267338957, 11.18489816352415 60.18730334782885)"/>
    <s v="[1358059, 1358067]"/>
    <s v="[1255857, 1255861]"/>
    <s v="#FIELD!"/>
    <s v="[1255856, 1255857]"/>
    <s v="[0.032, 0.028]"/>
    <s v="25.878120182240192"/>
    <s v="[-0.032, -0.028]"/>
  </r>
  <r>
    <x v="3966"/>
    <x v="4536"/>
    <x v="0"/>
    <n v="0"/>
    <s v="LINESTRING (11.184465685851537 60.18739021535216, 11.184542905426323 60.1874247114073, 11.18457694620933 60.18747351431409)"/>
    <s v="[1746865, 1746874]"/>
    <s v="[1548915, 1255867]"/>
    <s v="#FIELD!"/>
    <s v="[1255856, 1548915]"/>
    <s v="[0.156, 0.153]"/>
    <s v="11.51351379313984"/>
    <s v="[-0.156, 0.153]"/>
  </r>
  <r>
    <x v="3966"/>
    <x v="4534"/>
    <x v="0"/>
    <n v="0"/>
    <m/>
    <n v="1746949"/>
    <n v="1255856"/>
    <s v="0.009"/>
    <n v="1547873"/>
    <s v="0.009"/>
    <s v="14.288937555872987"/>
    <s v="0.009"/>
  </r>
  <r>
    <x v="3967"/>
    <x v="4537"/>
    <x v="0"/>
    <n v="1"/>
    <m/>
    <n v="1745118"/>
    <n v="1255891"/>
    <s v="#FIELD!"/>
    <n v="1255861"/>
    <s v="0.019"/>
    <s v="53.008434234521964"/>
    <s v="#FIELD!"/>
  </r>
  <r>
    <x v="3967"/>
    <x v="4536"/>
    <x v="0"/>
    <n v="0"/>
    <s v="LINESTRING (11.18457694620933 60.18747351431409, 11.184657226501853 60.18742325942482, 11.18489816352415 60.18730334782885)"/>
    <s v="[1358075, 1358083]"/>
    <s v="[1255868, 1255861]"/>
    <s v="#FIELD!"/>
    <s v="[1255867, 1255868]"/>
    <s v="[0.03, 0.028]"/>
    <s v="26.058365390836332"/>
    <s v="[-0.03, -0.028]"/>
  </r>
  <r>
    <x v="3968"/>
    <x v="4538"/>
    <x v="0"/>
    <n v="0"/>
    <m/>
    <n v="1746875"/>
    <n v="1547897"/>
    <s v="#FIELD!"/>
    <n v="1255867"/>
    <s v="0.008"/>
    <s v="14.285066597327917"/>
    <s v="#FIELD!"/>
  </r>
  <r>
    <x v="3969"/>
    <x v="4539"/>
    <x v="0"/>
    <n v="0"/>
    <s v="LINESTRING (11.185689079169055 60.18703659608616, 11.185975537011169 60.186904833979696, 11.18608024271425 60.186860891073685)"/>
    <s v="[1358123, 1358131]"/>
    <s v="[1255892, 1255895]"/>
    <s v="#FIELD!"/>
    <s v="[1255891, 1255892]"/>
    <s v="[0.007, 0.004]"/>
    <s v="29.238184743915337"/>
    <s v="[-0.007, -0.004]"/>
  </r>
  <r>
    <x v="3969"/>
    <x v="4540"/>
    <x v="0"/>
    <n v="0"/>
    <s v="LINESTRING (11.185689079169055 60.18703659608616, 11.186021652064008 60.18697992679901, 11.186144578378794 60.18696746710295)"/>
    <s v="[1358163, 1358171]"/>
    <s v="[1255914, 1255920]"/>
    <s v="#FIELD!"/>
    <s v="[1255891, 1255914]"/>
    <s v="0.012"/>
    <s v="26.46732444718618"/>
    <s v="#FIELD!"/>
  </r>
  <r>
    <x v="3970"/>
    <x v="4541"/>
    <x v="0"/>
    <n v="0"/>
    <m/>
    <n v="1745430"/>
    <n v="1548053"/>
    <s v="0.07"/>
    <n v="1255895"/>
    <s v="0.07"/>
    <s v="12.912348965284012"/>
    <s v="0.07"/>
  </r>
  <r>
    <x v="3970"/>
    <x v="4540"/>
    <x v="0"/>
    <n v="0"/>
    <s v="LINESTRING (11.186144578378794 60.18696746710295, 11.186077847047981 60.186912599207, 11.18608024271425 60.186860891073685)"/>
    <s v="[1745464, 1745465]"/>
    <s v="[1548109, 1255895]"/>
    <s v="0.011077564573724446"/>
    <s v="[1255920, 1548109]"/>
    <s v="[0.07, 0.062]"/>
    <s v="12.911519860602612"/>
    <s v="[0.07, -0.062]"/>
  </r>
  <r>
    <x v="3971"/>
    <x v="4542"/>
    <x v="0"/>
    <n v="0"/>
    <m/>
    <n v="1745463"/>
    <n v="1255920"/>
    <s v="#FIELD!"/>
    <n v="1548056"/>
    <s v="0.098"/>
    <s v="12.448347858862471"/>
    <s v="#FIELD!"/>
  </r>
  <r>
    <x v="3972"/>
    <x v="4541"/>
    <x v="0"/>
    <n v="0"/>
    <s v="LINESTRING (11.180403972676174 60.18442742176615, 11.180900885681723 60.18460912483214, 11.186202926443801 60.186740015963984, 11.186247650206667 60.18678714852389)"/>
    <s v="[1358179, 1745381, 1745389]"/>
    <s v="[1255929, 1548046, 1548053]"/>
    <s v="#FIELD!"/>
    <s v="[1255928, 1255929, 1548046]"/>
    <s v="[0.034, 0.007, 0.014]"/>
    <s v="424.42823797764254"/>
    <s v="[0.034, -0.007, 0.014]"/>
  </r>
  <r>
    <x v="3972"/>
    <x v="4543"/>
    <x v="0"/>
    <n v="0"/>
    <s v="LINESTRING (11.180403972676174 60.18442742176615, 11.187833468156814 60.18931748716349, 11.188243163719596 60.189797073137285, 11.188747248486527 60.190471821406874, 11.189259595374477 60.19130170468416)"/>
    <s v="[1620751, 1620759, 1620767, 1620775]"/>
    <s v="[1451502, 1451508, 1451511, 1255960]"/>
    <s v="#FIELD!"/>
    <s v="[1255928, 1451502, 1451508, 1451511]"/>
    <s v="[0.006, 0.001, 0.011, 0.024]"/>
    <s v="923.8829466399062"/>
    <s v="[-0.006, 0.001, -0.011, -0.024]"/>
  </r>
  <r>
    <x v="3972"/>
    <x v="4544"/>
    <x v="0"/>
    <n v="0"/>
    <s v="LINESTRING (11.162541558945964 60.16853132343613, 11.16529409564862 60.1721079049227, 11.166803608215956 60.17450951372092, 11.167808829663443 60.176135846170375, 11.169648535234725 60.178405500898265, 11.178799170725629 60.183708188293025, 11.180403972676174 60.18442742176615)"/>
    <s v="[1507960, 1357062, 1357070, 1357076, 1357077, 1620743]"/>
    <s v="[1255351, 1255352, 1255358, 1255361, 1255362, 1255928]"/>
    <s v="0.006845281960167504"/>
    <s v="[1363644, 1255351, 1255352, 1255358, 1255361, 1255362]"/>
    <s v="[0.003, 0.008, 0.005, 0.0, 0.004, 0.055]"/>
    <s v="2074.562466128996"/>
    <s v="[0.003, 0.008, 0.005, -0.0, 0.004, 0.055]"/>
  </r>
  <r>
    <x v="3973"/>
    <x v="4545"/>
    <x v="0"/>
    <n v="0"/>
    <s v="LINESTRING (11.188497185392794 60.19047946465157, 11.18902466908444 60.191333327024, 11.185796549618127 60.20877223104833, 11.177184895020952 60.22328994924587, 11.176936216914548 60.22358930303874, 11.174796865332114 60.22620047441419)"/>
    <s v="[1358219, 1620440, 1620480, 1620488, 1620496]"/>
    <s v="[1255955, 1451336, 1451358, 1451363, 1255966]"/>
    <s v="#FIELD!"/>
    <s v="[1255951, 1255955, 1451336, 1451358, 1451363]"/>
    <s v="[0.021, 0.008, 0.001, 0.001, 0.001]"/>
    <s v="4105.808855572848"/>
    <s v="[-0.021, -0.008, -0.001, 0.001, -0.001]"/>
  </r>
  <r>
    <x v="3973"/>
    <x v="4538"/>
    <x v="0"/>
    <n v="0"/>
    <s v="LINESTRING (11.188497185392794 60.19047946465157, 11.188315727671268 60.1902942351787, 11.187940403692863 60.18987195567645, 11.187516208822581 60.18937424274644, 11.184594247679522 60.1876514665814, 11.184516695745623 60.187608951707595, 11.184448436147571 60.187577500464165)"/>
    <s v="[1620185, 1745157, 1745161, 1745162, 1745169, 1745170]"/>
    <s v="[1451219, 1547886, 1547890, 1547891, 1547896, 1547897]"/>
    <s v="0.011757387524836578"/>
    <s v="[1255951, 1451219, 1547886, 1547890, 1547891, 1547896]"/>
    <s v="[0.01, 0.0, 0.035, 0.009, 0.003, 0.012]"/>
    <s v="400.033784012955"/>
    <s v="[0.01, 0.0, 0.035, 0.009, 0.003, 0.012]"/>
  </r>
  <r>
    <x v="3974"/>
    <x v="4546"/>
    <x v="0"/>
    <n v="0"/>
    <s v="LINESTRING (11.189259595374477 60.19130170468416, 11.186031441659267 60.208804163749775, 11.177409904900138 60.223336172593044, 11.177164992558827 60.223631140866004, 11.175025486531409 60.22624222127817, 11.174568190219988 60.22691965440907)"/>
    <s v="[1358227, 1620456, 1620464, 1620472, 1620695]"/>
    <s v="[1255961, 1451344, 1451347, 1451352, 1451473]"/>
    <s v="#FIELD!"/>
    <s v="[1255960, 1255961, 1451344, 1451347, 1451352]"/>
    <s v="[0.008, 0.001, 0.003, 0.0, 0.001]"/>
    <s v="4094.264596678869"/>
    <s v="[-0.008, -0.001, 0.003, -0.0, -0.001]"/>
  </r>
  <r>
    <x v="3974"/>
    <x v="4542"/>
    <x v="0"/>
    <n v="0"/>
    <s v="LINESTRING (11.186357731443739 60.18698475314754, 11.18640657663166 60.18702453442069, 11.186463946279563 60.18708121796866, 11.187915047515386 60.18928495821537, 11.18833603679337 60.18979633078039, 11.189164907332643 60.1910393394745, 11.189259595374477 60.19130170468416)"/>
    <s v="[1745394, 1745395, 1745402, 1745415, 1745416, 1620448]"/>
    <s v="[1548057, 1548058, 1548063, 1548072, 1451340, 1255960]"/>
    <s v="#FIELD!"/>
    <s v="[1548056, 1548057, 1548058, 1548063, 1548072, 1451340]"/>
    <s v="[0.024, 0.018, 0.008, 0.037, 0.008, 0.028]"/>
    <s v="509.33434581205086"/>
    <s v="[0.024, 0.018, -0.008, -0.037, -0.008, -0.028]"/>
  </r>
  <r>
    <x v="3975"/>
    <x v="4547"/>
    <x v="418"/>
    <s v="[0, 0, 1, 0]"/>
    <s v="LINESTRING (11.174796865332114 60.22620047441419, 11.174340320695242 60.22688490409552, 11.173192672327472 60.2304342377318, 11.173181076559281 60.23089738201706, 11.174131598566028 60.234358578546534)"/>
    <s v="[1358235, 1358243, 1358251, 1358259]"/>
    <s v="[1255967, 1255972, 1255975, 1255981]"/>
    <s v="#FIELD!"/>
    <s v="[1255966, 1255967, 1255972, 1255975]"/>
    <s v="[0.001, 0.001, 0.006, 0.013]"/>
    <s v="924.2393997482308"/>
    <s v="[-0.001, 0.001, 0.006, -0.013]"/>
  </r>
  <r>
    <x v="3975"/>
    <x v="4548"/>
    <x v="0"/>
    <n v="0"/>
    <s v="LINESTRING (11.172180566373958 60.2302494956855, 11.172227916939415 60.23021130222174, 11.172284484136634 60.23016568925008, 11.174577716368091 60.22643315970359, 11.174796865332114 60.22620047441419)"/>
    <s v="[1746051, 1746058, 1746066, 1746074]"/>
    <s v="[1548432, 1548435, 1548438, 1255966]"/>
    <s v="#FIELD!"/>
    <s v="[1548402, 1548432, 1548435, 1548438]"/>
    <s v="[0.001, 0.0, 0.003, 0.038]"/>
    <s v="476.120107279493"/>
    <s v="[0.001, 0.0, -0.003, 0.038]"/>
  </r>
  <r>
    <x v="3976"/>
    <x v="4549"/>
    <x v="0"/>
    <s v="[0, 0, 0, 1, 0, 1, 1, 1, 0]"/>
    <s v="LINESTRING (11.174131598566028 60.234358578546534, 11.174619745139646 60.23513551203146, 11.17479246194053 60.23538865941444, 11.17647382893145 60.23747410573901, 11.17696232077804 60.23805352095305, 11.178492254742102 60.239867771982794, 11.178796723877447 60.24022892189641, 11.178846554931688 60.240288427924256, 11.179100207094503 60.24059858217748, 11.182652155984448 60.24982904373186)"/>
    <s v="[1358267, 1358275, 1620504, 1620512, 1620520, 1620528, 1620536, 1620544, 1620552]"/>
    <s v="[1255988, 1255995, 1451374, 1451378, 1451382, 1451385, 1451390, 1451394, 1451397]"/>
    <s v="0.0039016533843744487"/>
    <s v="[1255981, 1255988, 1255995, 1451374, 1451378, 1451382, 1451385, 1451390, 1451394]"/>
    <s v="[0.01, 0.018, 0.046, 0.057, 0.021, 0.034, 0.033, 0.039, 0.03]"/>
    <s v="1807.7083998490446"/>
    <s v="[-0.01, -0.018, -0.046, -0.057, -0.021, -0.034, -0.033, -0.039, 0.03]"/>
  </r>
  <r>
    <x v="3976"/>
    <x v="4550"/>
    <x v="419"/>
    <n v="0"/>
    <s v="LINESTRING (11.174131598566028 60.234358578546534, 11.17396121816024 60.23413087379583, 11.171907051250074 60.23050435630152, 11.171906086057005 60.23045164313557)"/>
    <s v="[1745519, 1745503, 1745511]"/>
    <s v="[1548134, 1548135, 1548140]"/>
    <s v="0.00981351006170139"/>
    <s v="[1255981, 1548134, 1548135]"/>
    <s v="[0.117, 0.003, 0.006]"/>
    <s v="455.5642064716063"/>
    <s v="[0.117, 0.003, 0.006]"/>
  </r>
  <r>
    <x v="3977"/>
    <x v="4551"/>
    <x v="0"/>
    <s v="[0, 1, 0, 1, 1, 1, 0, 0]"/>
    <s v="LINESTRING (11.175021917584862 60.23534790907253, 11.17669858186569 60.23742728378927, 11.177187077050068 60.23800669820929, 11.178717504491642 60.23982455631165, 11.179142760085345 60.24033445107511, 11.179206401631498 60.240408404984294, 11.179326693809267 60.2405509963977, 11.182894534621886 60.249841748478595, 11.18265072517331 60.25082355175544)"/>
    <s v="[1358283, 1358291, 1358299, 1358307, 1358315, 1358323, 1358331, 1358339]"/>
    <s v="[1256003, 1256007, 1256012, 1256015, 1256018, 1256022, 1256026, 1256030]"/>
    <s v="0.0054741892923358595"/>
    <s v="[1256002, 1256003, 1256007, 1256012, 1256015, 1256018, 1256022, 1256026]"/>
    <s v="[0.049, 0.058, 0.023, 0.031, 0.045, 0.045, 0.03, 0.021]"/>
    <s v="1803.510785108189"/>
    <s v="[-0.049, -0.058, -0.023, -0.031, -0.045, -0.045, 0.03, 0.021]"/>
  </r>
  <r>
    <x v="3977"/>
    <x v="4546"/>
    <x v="0"/>
    <s v="[0, 1, 0, 0, 0]"/>
    <s v="LINESTRING (11.174568190219988 60.22691965440907, 11.17343631816344 60.23043731797463, 11.173424752528167 60.23089713710964, 11.17435831954299 60.234327728448065, 11.17484290133465 60.235098229785926, 11.175021917584862 60.23534790907253)"/>
    <s v="[1620703, 1620711, 1620719, 1620727, 1620735]"/>
    <s v="[1451476, 1451481, 1451486, 1451491, 1256002]"/>
    <s v="#FIELD!"/>
    <s v="[1451473, 1451476, 1451481, 1451486, 1451491]"/>
    <s v="[0.001, 0.006, 0.011, 0.007, 0.008]"/>
    <s v="955.8840227457711"/>
    <s v="[0.001, 0.006, -0.011, -0.007, -0.008]"/>
  </r>
  <r>
    <x v="3977"/>
    <x v="4552"/>
    <x v="0"/>
    <n v="0"/>
    <s v="LINESTRING (11.174429925681933 60.23120499964145, 11.174357449807834 60.23124197416665, 11.17485932292576 60.235028004386905, 11.175021917584862 60.23534790907253)"/>
    <s v="[1745495, 1745496, 1745485]"/>
    <s v="[1548130, 1548125, 1256002]"/>
    <s v="#FIELD!"/>
    <s v="[1548129, 1548130, 1548125]"/>
    <s v="[0.043, 0.0, 0.056]"/>
    <s v="476.0297328907943"/>
    <s v="[0.043, -0.0, -0.056]"/>
  </r>
  <r>
    <x v="3978"/>
    <x v="4553"/>
    <x v="420"/>
    <n v="0"/>
    <s v="LINESTRING (11.18265072517331 60.25082355175544, 11.18194709556925 60.25249835721257, 11.179324343546845 60.2559883720652, 11.178745003926942 60.25662342082799, 11.178117529242627 60.25729685671021, 11.177900325644556 60.257525327739295)"/>
    <s v="[1358347, 1358355, 1358363, 1747278, 1747282]"/>
    <s v="[1256035, 1256039, 1256044, 1549143, 1549146]"/>
    <s v="0.021298229880098555"/>
    <s v="[1256030, 1256035, 1256039, 1256044, 1549143]"/>
    <s v="[0.023, 0.028, 0.015, 0.007, 0.053]"/>
    <s v="794.9110220115314"/>
    <s v="[0.023, 0.028, -0.015, 0.007, 0.053]"/>
  </r>
  <r>
    <x v="3978"/>
    <x v="4554"/>
    <x v="0"/>
    <n v="0"/>
    <s v="LINESTRING (11.18265072517331 60.25082355175544, 11.18259301036953 60.25127682610428, 11.182032338487456 60.252566611856444, 11.181956467731952 60.25283373920635, 11.181640740576144 60.25398744461218, 11.18156415351849 60.25401277246983)"/>
    <s v="[1619984, 1619992, 1620000, 1620008, 1620016]"/>
    <s v="[1451116, 1451118, 1451097, 1451128, 1451131]"/>
    <s v="0.022264029833844155"/>
    <s v="[1256030, 1451116, 1451118, 1451097, 1451128]"/>
    <s v="[0.019, 0.023, 0.021, 0.022, 0.048]"/>
    <s v="369.67958760833886"/>
    <s v="[0.019, 0.023, 0.021, 0.022, 0.048]"/>
  </r>
  <r>
    <x v="3979"/>
    <x v="4555"/>
    <x v="0"/>
    <n v="0"/>
    <s v="LINESTRING (9.13127286826593 62.07375584191862, 9.131425044614396 62.07381871025505, 9.131461239364409 62.073924030367685)"/>
    <s v="[1362405, 1362421]"/>
    <s v="[1258326, 1258291]"/>
    <s v="0.028241358228726986"/>
    <s v="[1258283, 1258326]"/>
    <s v="[0.092, 0.029]"/>
    <s v="23.38093448621087"/>
    <s v="[0.092, -0.029]"/>
  </r>
  <r>
    <x v="3979"/>
    <x v="4555"/>
    <x v="0"/>
    <n v="0"/>
    <s v="LINESTRING (9.13127286826593 62.07375584191862, 9.131311539529491 62.073845296131324, 9.131461239364409 62.073924030367685)"/>
    <s v="[1362413, 1362429]"/>
    <s v="[1258329, 1258291]"/>
    <s v="0.029826230247994665"/>
    <s v="[1258283, 1258329]"/>
    <s v="[0.02, 0.072]"/>
    <s v="22.20690015861546"/>
    <s v="[-0.02, 0.072]"/>
  </r>
  <r>
    <x v="3980"/>
    <x v="4556"/>
    <x v="0"/>
    <n v="0"/>
    <s v="LINESTRING (9.131461239364409 62.073924030367685, 9.27150322143151 62.12361644675889)"/>
    <m/>
    <m/>
    <s v="0.0"/>
    <m/>
    <n v="0"/>
    <s v="18870.27767173504"/>
    <n v="0"/>
  </r>
  <r>
    <x v="3981"/>
    <x v="3950"/>
    <x v="0"/>
    <n v="0"/>
    <s v="LINESTRING (8.474226712420561 58.29849092672908, 8.474249689658656 58.29855516857522, 8.48039544827933 58.30011243692426, 8.481186390179571 58.30030366819128)"/>
    <s v="[1364058, 1364066, 1364074]"/>
    <s v="[1259426, 1259433, 1259329]"/>
    <s v="#FIELD!"/>
    <s v="[1259395, 1259426, 1259433]"/>
    <s v="[0.017, 0.005, 0.007]"/>
    <s v="471.8427158160434"/>
    <s v="[0.017, -0.005, 0.007]"/>
  </r>
  <r>
    <x v="3982"/>
    <x v="4557"/>
    <x v="0"/>
    <n v="0"/>
    <s v="LINESTRING (8.474034958748542 58.29857016282556, 8.473900104447283 58.29856475713677, 8.47379104069289 58.29852156041141)"/>
    <s v="[1364042, 1364050]"/>
    <s v="[1259409, 1259348]"/>
    <s v="0.00547952503029672"/>
    <s v="[1259402, 1259409]"/>
    <s v="[0.01, 0.001]"/>
    <s v="15.956112283625785"/>
    <s v="[0.01, 0.001]"/>
  </r>
  <r>
    <x v="3982"/>
    <x v="4558"/>
    <x v="0"/>
    <n v="0"/>
    <s v="LINESTRING (8.473741917489399 58.29878569613385, 8.473789398875429 58.29858504527866, 8.47379104069289 58.29852156041141)"/>
    <s v="[1617093, 1617101]"/>
    <s v="[1449330, 1259348]"/>
    <s v="#FIELD!"/>
    <s v="[1449306, 1449330]"/>
    <s v="[0.03, 0.969]"/>
    <s v="29.6347904389965"/>
    <s v="[-0.03, -0.969]"/>
  </r>
  <r>
    <x v="3983"/>
    <x v="4557"/>
    <x v="0"/>
    <n v="0"/>
    <m/>
    <n v="1364034"/>
    <n v="1259402"/>
    <s v="0.021"/>
    <n v="1259395"/>
    <s v="0.021"/>
    <s v="14.77030144560526"/>
    <s v="0.021"/>
  </r>
  <r>
    <x v="3984"/>
    <x v="4558"/>
    <x v="0"/>
    <n v="0"/>
    <s v="LINESTRING (8.473741917489399 58.29878569613385, 8.47394756016419 58.29861755216959, 8.474034958748542 58.29857016282556)"/>
    <s v="[1617072, 1617080]"/>
    <s v="[1449318, 1259402]"/>
    <s v="#FIELD!"/>
    <s v="[1449306, 1449318]"/>
    <s v="[0.052, 0.876]"/>
    <s v="29.673122798201156"/>
    <s v="[-0.052, -0.876]"/>
  </r>
  <r>
    <x v="3985"/>
    <x v="3954"/>
    <x v="0"/>
    <n v="0"/>
    <s v="LINESTRING (8.47287386220129 58.299601524664475, 8.472851534326503 58.29953933356641, 8.466932016445224 58.2978155553815, 8.466168818561803 58.29761855618143)"/>
    <s v="[1364202, 1364210, 1364218]"/>
    <s v="[1259563, 1259570, 1259467]"/>
    <s v="0.028676818582579817"/>
    <s v="[1259524, 1259563, 1259570]"/>
    <s v="[0.008, 0.034, 0.012]"/>
    <s v="465.80947012969375"/>
    <s v="[0.008, 0.034, -0.012]"/>
  </r>
  <r>
    <x v="3986"/>
    <x v="4559"/>
    <x v="0"/>
    <n v="0"/>
    <m/>
    <n v="1364162"/>
    <n v="1259530"/>
    <s v="#FIELD!"/>
    <n v="1259524"/>
    <s v="0.046"/>
    <s v="14.917343566127206"/>
    <s v="#FIELD!"/>
  </r>
  <r>
    <x v="3987"/>
    <x v="3955"/>
    <x v="0"/>
    <n v="0"/>
    <s v="LINESTRING (8.473054648650082 58.29951317047492, 8.473217507589654 58.29951797627537, 8.473329857802872 58.299558495324405)"/>
    <s v="[1364170, 1364178]"/>
    <s v="[1259536, 1259544]"/>
    <s v="#FIELD!"/>
    <s v="[1259530, 1259536]"/>
    <s v="[0.058, 0.004]"/>
    <s v="17.57480893607605"/>
    <s v="[-0.058, 0.004]"/>
  </r>
  <r>
    <x v="3987"/>
    <x v="4560"/>
    <x v="0"/>
    <n v="0"/>
    <s v="LINESTRING (8.473054648650082 58.29951317047492, 8.473153907344425 58.29946541656329, 8.473381112614895 58.299289703653386)"/>
    <s v="[1617016, 1617024]"/>
    <s v="[1449286, 1449292]"/>
    <s v="0.14290766388089518"/>
    <s v="[1259530, 1449286]"/>
    <s v="[0.545, 0.009]"/>
    <s v="31.604350448027795"/>
    <s v="[0.545, 0.009]"/>
  </r>
  <r>
    <x v="3988"/>
    <x v="4560"/>
    <x v="0"/>
    <n v="0"/>
    <s v="LINESTRING (8.473329857802872 58.299558495324405, 8.473332839369702 58.29949637623092, 8.473381112614895 58.299289703653386)"/>
    <s v="[1617056, 1617064]"/>
    <s v="[1449310, 1449292]"/>
    <s v="0.16725776734367917"/>
    <s v="[1259544, 1449310]"/>
    <s v="[0.587, 0.042]"/>
    <s v="30.1562869264768"/>
    <s v="[0.587, 0.042]"/>
  </r>
  <r>
    <x v="3989"/>
    <x v="1992"/>
    <x v="0"/>
    <s v="[0, 0, 0, 0, 1]"/>
    <s v="LINESTRING (10.79339670936191 59.909447271521756, 10.785320312531464 59.90541943220279, 10.784993003965692 59.90512104177048, 10.78498453544204 59.90511315473874, 10.784840062794805 59.90497870817063, 10.783695370460451 59.903952308154075)"/>
    <s v="[1849937, 1849821, 1849831, 1849832, 1849865]"/>
    <s v="[1619560, 1619561, 1619574, 1619575, 1259654]"/>
    <s v="#FIELD!"/>
    <s v="[1259667, 1619560, 1619561, 1619574, 1619575]"/>
    <s v="[0.037, 0.035, 0.043, 0.033, 0.027]"/>
    <s v="968.432937130582"/>
    <s v="[-0.037, -0.035, -0.043, -0.033, -0.027]"/>
  </r>
  <r>
    <x v="3990"/>
    <x v="2001"/>
    <x v="0"/>
    <s v="[1, 0, 0, 0, 0, 0, 0]"/>
    <s v="LINESTRING (10.784983382451392 59.9048089082071, 10.785156232687708 59.90495361462423, 10.78523365429131 59.90501609444717, 10.785252537321698 59.90503134635024, 10.785261987189317 59.90503897706388, 10.78528088921095 59.905054220579, 10.785670390791738 59.90538715106628, 10.793358723819766 59.90986232583386)"/>
    <s v="[1849965, 1849966, 1849973, 1849974, 1849981, 1849982, 1849986]"/>
    <s v="[1619707, 1619708, 1619718, 1619719, 1619727, 1619728, 1259673]"/>
    <s v="0.030621479972226702"/>
    <s v="[1259662, 1619707, 1619708, 1619718, 1619719, 1619727, 1619728]"/>
    <s v="[0.178, 0.037, 0.025, 0.044, 0.025, 0.036, 0.035]"/>
    <s v="908.3666802544977"/>
    <s v="[-0.178, 0.037, 0.025, 0.044, 0.025, 0.036, 0.035]"/>
  </r>
  <r>
    <x v="3991"/>
    <x v="2999"/>
    <x v="0"/>
    <n v="0"/>
    <s v="LINESTRING (10.148399573240718 59.129435261100056, 10.143396323067748 59.12687587857412, 10.143229461701 59.126792618976104, 10.141643033118108 59.12600133347528, 10.141181304100613 59.12576760410461, 10.139987218519572 59.12513130096387)"/>
    <s v="[1365116, 1365124, 1365608, 1365616, 1365624]"/>
    <s v="[1260200, 1260207, 1260567, 1260573, 1260580]"/>
    <s v="0.002903538363001127"/>
    <s v="[1260193, 1260200, 1260207, 1260567, 1260573]"/>
    <s v="[0.0, 0.023, 0.009, 0.007, 0.008]"/>
    <s v="680.1174508828649"/>
    <s v="[0.0, 0.023, 0.009, -0.007, 0.008]"/>
  </r>
  <r>
    <x v="3991"/>
    <x v="4561"/>
    <x v="0"/>
    <n v="0"/>
    <s v="LINESTRING (10.148399573240718 59.129435261100056, 10.147740744025665 59.12914080427454, 10.145104963036525 59.12800070557746, 10.144890112884768 59.127979340194884, 10.142376095991567 59.12796176179771, 10.14227015739656 59.127939006249754, 10.141908517820003 59.12783216789546, 10.141757269946828 59.12780818960222)"/>
    <s v="[1365132, 1365140, 1365148, 1365156, 1365164, 1365172, 1365180]"/>
    <s v="[1260212, 1260218, 1260226, 1260234, 1260241, 1260250, 1260259]"/>
    <s v="0.002832535581596622"/>
    <s v="[1260193, 1260212, 1260218, 1260226, 1260234, 1260241, 1260250]"/>
    <s v="[0.015, 0.004, 0.001, 0.01, 0.039, 0.034, 0.034]"/>
    <s v="446.19793909644943"/>
    <s v="[-0.015, -0.004, -0.001, 0.01, 0.039, 0.034, 0.034]"/>
  </r>
  <r>
    <x v="3992"/>
    <x v="4562"/>
    <x v="0"/>
    <n v="0"/>
    <s v="LINESTRING (10.141757269946828 59.12780818960222, 10.141678289906627 59.12780141354394, 10.141591639252672 59.127775440573465, 10.14156169500801 59.127758925762535, 10.141507987711265 59.12769245659755, 10.141517164559147 59.12764049909174, 10.141585294620644 59.127583645783, 10.14175640905878 59.12754790846379, 10.141850556634541 59.12755656666308)"/>
    <s v="[1365672, 1365680, 1365688, 1365696, 1365704, 1365712, 1365720, 1365728]"/>
    <s v="[1185470, 1260619, 1260625, 1185462, 815127, 1260634, 815166, 1260267]"/>
    <s v="#FIELD!"/>
    <s v="[1260259, 1185470, 1260619, 1260625, 1185462, 815127, 1260634, 815166]"/>
    <s v="[0.035, 0.031, 0.023, 0.011, 0.004, 0.017, 0.027, 0.028]"/>
    <s v="50.192223453443994"/>
    <s v="[0.035, 0.031, 0.023, 0.011, -0.004, -0.017, -0.027, -0.028]"/>
  </r>
  <r>
    <x v="3992"/>
    <x v="4563"/>
    <x v="0"/>
    <n v="0"/>
    <m/>
    <n v="1365760"/>
    <n v="1260259"/>
    <s v="0.022"/>
    <n v="1260656"/>
    <s v="0.022"/>
    <s v="19.975777415739834"/>
    <s v="0.022"/>
  </r>
  <r>
    <x v="3993"/>
    <x v="4564"/>
    <x v="0"/>
    <n v="0"/>
    <s v="LINESTRING (10.141850556634541 59.12755656666308, 10.141922150137457 59.12753190414602, 10.142455169599748 59.12730882434755)"/>
    <s v="[1365188, 1365196]"/>
    <s v="[1260268, 1260272]"/>
    <s v="#FIELD!"/>
    <s v="[1260267, 1260268]"/>
    <s v="[0.021, 0.016]"/>
    <s v="44.482762575104225"/>
    <s v="[-0.021, -0.016]"/>
  </r>
  <r>
    <x v="3993"/>
    <x v="4565"/>
    <x v="0"/>
    <n v="0"/>
    <s v="LINESTRING (10.141850556634541 59.12755656666308, 10.141953509536162 59.12759443154139, 10.14201214502074 59.12766958634726)"/>
    <s v="[1365736, 1365744]"/>
    <s v="[1260646, 1260305]"/>
    <s v="#FIELD!"/>
    <s v="[1260267, 1260646]"/>
    <s v="[0.025, 0.016]"/>
    <s v="16.278066331435333"/>
    <s v="[-0.025, -0.016]"/>
  </r>
  <r>
    <x v="3994"/>
    <x v="4566"/>
    <x v="0"/>
    <s v="[0, 1, 0]"/>
    <s v="LINESTRING (10.142455169599748 59.12730882434755, 10.143046870964287 59.126995375760664, 10.143791239974727 59.126599938626924, 10.145051734656763 59.12595342762245)"/>
    <s v="[1365204, 1365213, 1365221]"/>
    <s v="[1260277, 1260283, 1260288]"/>
    <s v="#FIELD!"/>
    <s v="[1260272, 1260277, 1260283]"/>
    <s v="[0.004, 0.001, 0.01]"/>
    <s v="212.10662474132837"/>
    <s v="[-0.004, 0.001, -0.01]"/>
  </r>
  <r>
    <x v="3994"/>
    <x v="4565"/>
    <x v="0"/>
    <n v="0"/>
    <s v="LINESTRING (10.14201214502074 59.12766958634726, 10.142068950327486 59.127603123413564, 10.142455169599748 59.12730882434755)"/>
    <s v="[1365246, 1365255]"/>
    <s v="[1260306, 1260272]"/>
    <s v="#FIELD!"/>
    <s v="[1260305, 1260306]"/>
    <s v="[0.008, 0.009]"/>
    <s v="47.65925266567639"/>
    <s v="[-0.008, -0.009]"/>
  </r>
  <r>
    <x v="3995"/>
    <x v="4567"/>
    <x v="0"/>
    <n v="0"/>
    <s v="LINESTRING (10.145051734656763 59.12595342762245, 10.145593088852571 59.12589349908879, 10.145668689190545 59.12589594516882)"/>
    <s v="[1365264, 1365272]"/>
    <s v="[1260317, 1260323]"/>
    <s v="#FIELD!"/>
    <s v="[1260288, 1260317]"/>
    <s v="[0.026, 0.029]"/>
    <s v="36.34654377003238"/>
    <s v="[-0.026, -0.029]"/>
  </r>
  <r>
    <x v="3995"/>
    <x v="4568"/>
    <x v="0"/>
    <n v="0"/>
    <s v="LINESTRING (10.145051734656763 59.12595342762245, 10.145581312316656 59.12579032588446, 10.145679939015011 59.12575243410599)"/>
    <s v="[1365280, 1365288]"/>
    <s v="[1260329, 1260337]"/>
    <s v="#FIELD!"/>
    <s v="[1260288, 1260329]"/>
    <s v="[0.023, 0.024]"/>
    <s v="43.2322101065414"/>
    <s v="[-0.023, -0.024]"/>
  </r>
  <r>
    <x v="3996"/>
    <x v="4563"/>
    <x v="0"/>
    <n v="0"/>
    <m/>
    <n v="1365752"/>
    <n v="1260656"/>
    <s v="#FIELD!"/>
    <n v="1260305"/>
    <s v="0.004"/>
    <s v="3.660341514270562"/>
    <s v="#FIELD!"/>
  </r>
  <r>
    <x v="3997"/>
    <x v="4568"/>
    <x v="0"/>
    <n v="0"/>
    <s v="LINESTRING (10.145668689190545 59.12589594516882, 10.145639035337082 59.125842208620696, 10.145679939015011 59.12575243410599)"/>
    <s v="[1365544, 1365552]"/>
    <s v="[1260520, 1260337]"/>
    <s v="#FIELD!"/>
    <s v="[1260323, 1260520]"/>
    <s v="0.007"/>
    <s v="16.502601198024028"/>
    <s v="[0.007, -0.007]"/>
  </r>
  <r>
    <x v="3997"/>
    <x v="4569"/>
    <x v="0"/>
    <n v="0"/>
    <m/>
    <n v="1365536"/>
    <n v="1260323"/>
    <s v="0.019"/>
    <n v="1260513"/>
    <s v="0.019"/>
    <s v="12.460085555757134"/>
    <s v="0.019"/>
  </r>
  <r>
    <x v="3998"/>
    <x v="4570"/>
    <x v="0"/>
    <n v="0"/>
    <s v="LINESTRING (10.145679939015011 59.12575243410599, 10.145752824204445 59.12571108586107, 10.145886167419759 59.12568270795547, 10.146029503227835 59.12569122722352, 10.146174521833448 59.125754773629666, 10.146214541157802 59.12583266526996, 10.146186620291058 59.12589259257154, 10.146094528750007 59.12594968371473)"/>
    <s v="[1365472, 1365480, 1365488, 1365496, 1365504, 1365512, 1365520]"/>
    <s v="[814971, 1260487, 814997, 1037150, 1260502, 1037132, 1260384]"/>
    <s v="0.0032117088517993413"/>
    <s v="[1260337, 814971, 1260487, 814997, 1037150, 1260502, 1037132]"/>
    <s v="[0.02, 0.022, 0.04, 0.03, 0.01, 0.006, 0.026]"/>
    <s v="57.78783867850288"/>
    <s v="[-0.02, -0.022, 0.04, 0.03, 0.01, -0.006, -0.026]"/>
  </r>
  <r>
    <x v="3999"/>
    <x v="2994"/>
    <x v="0"/>
    <n v="0"/>
    <s v="LINESTRING (10.149765660229106 59.130008705025155, 10.148602684030148 59.12933652806793, 10.143588400028316 59.126771531207496, 10.143422184187349 59.12668865588777, 10.141886415149285 59.1259226616476, 10.141398935055497 59.12567863870676)"/>
    <s v="[1365312, 1365320, 1365328, 1365360, 1365368]"/>
    <s v="[1260356, 1260361, 1260367, 1260398, 1260406]"/>
    <s v="0.001240282235748859"/>
    <s v="[1260348, 1260356, 1260361, 1260367, 1260398]"/>
    <s v="[0.004, 0.0, 0.022, 0.01, 0.007]"/>
    <s v="680.4790811498046"/>
    <s v="[-0.004, 0.0, 0.022, 0.01, -0.007]"/>
  </r>
  <r>
    <x v="3999"/>
    <x v="4570"/>
    <x v="0"/>
    <n v="0"/>
    <s v="LINESTRING (10.146094528750007 59.12594968371473, 10.14608286033965 59.12599051018645, 10.149263581791617 59.12964042227109, 10.149765660229106 59.130008705025155)"/>
    <s v="[1365344, 1365352, 1365336]"/>
    <s v="[1260385, 1260375, 1260348]"/>
    <s v="0.003931959184718848"/>
    <s v="[1260384, 1260385, 1260375]"/>
    <s v="0.004"/>
    <s v="540.7683137734982"/>
    <s v="[-0.004, 0.004, 0.004]"/>
  </r>
  <r>
    <x v="4000"/>
    <x v="4569"/>
    <x v="0"/>
    <n v="0"/>
    <m/>
    <n v="1365528"/>
    <n v="1260513"/>
    <s v="#FIELD!"/>
    <n v="1260384"/>
    <s v="0.025"/>
    <s v="15.852683841377463"/>
    <s v="#FIELD!"/>
  </r>
  <r>
    <x v="4001"/>
    <x v="4569"/>
    <x v="0"/>
    <n v="0"/>
    <s v="LINESTRING (10.141398935055497 59.12567863870676, 10.14191101019774 59.12588412835347, 10.142085850538649 59.12595648926277, 10.143487057571052 59.12665447497076, 10.143659772154919 59.126734715168034, 10.14588271131453 59.12600871171672, 10.14582845674887 59.125968770538655)"/>
    <s v="[1365592, 1365600, 1365560, 1365568, 1365576, 1365584]"/>
    <s v="[1260553, 1260530, 1260531, 1260538, 1260543, 1260513]"/>
    <s v="#FIELD!"/>
    <s v="[1260406, 1260553, 1260530, 1260531, 1260538, 1260543]"/>
    <s v="[0.008, 0.003, 0.012, 0.022, 0.009, 0.008]"/>
    <s v="412.84684252701265"/>
    <s v="[0.008, 0.003, -0.012, -0.022, -0.009, 0.008]"/>
  </r>
  <r>
    <x v="4002"/>
    <x v="4563"/>
    <x v="0"/>
    <n v="0"/>
    <s v="LINESTRING (10.142008367625882 59.12770236936697, 10.142053507474913 59.12775756913306, 10.143312386110964 59.126918610455895, 10.143159086317796 59.12682857258022, 10.141545037571772 59.12601833969856, 10.14051799170682 59.125487386383725, 10.139987218519572 59.12513130096387)"/>
    <s v="[1365800, 1365808, 1365816, 1365824, 1365832, 1365840]"/>
    <s v="[1260690, 1260694, 1260699, 1260703, 1260708, 1260580]"/>
    <s v="0.0027828220939469005"/>
    <s v="[1260656, 1260690, 1260694, 1260699, 1260703, 1260708]"/>
    <s v="[0.016, 0.003, 0.022, 0.009, 0.01, 0.029]"/>
    <s v="486.5389118746706"/>
    <s v="[-0.016, -0.003, 0.022, 0.009, -0.01, 0.029]"/>
  </r>
  <r>
    <x v="4003"/>
    <x v="3004"/>
    <x v="0"/>
    <n v="1"/>
    <m/>
    <n v="1365864"/>
    <n v="1260715"/>
    <s v="0.022"/>
    <n v="1260726"/>
    <s v="0.022"/>
    <s v="60.59233037293618"/>
    <s v="0.022"/>
  </r>
  <r>
    <x v="4004"/>
    <x v="4571"/>
    <x v="0"/>
    <n v="0"/>
    <m/>
    <n v="1368150"/>
    <n v="1262138"/>
    <s v="#FIELD!"/>
    <n v="1262133"/>
    <s v="0.071"/>
    <s v="11.142906775286058"/>
    <s v="#FIELD!"/>
  </r>
  <r>
    <x v="4004"/>
    <x v="4572"/>
    <x v="0"/>
    <s v="[0, 1, 0, 0, 0]"/>
    <s v="LINESTRING (5.755256159410042 58.822067297241674, 5.755152704218005 58.82205937344155, 5.754953383931418 58.82204822135574, 5.751734511895432 58.82218864921199, 5.751698574536172 58.82219310084894, 5.747920993347923 58.82274643654572)"/>
    <s v="[1851846, 1851852, 1851869, 1851877, 1851883]"/>
    <s v="[1621460, 1621464, 1621482, 1621490, 1621498]"/>
    <s v="0.020031233381350457"/>
    <s v="[1262133, 1621460, 1621464, 1621482, 1621490]"/>
    <s v="[1.003, 0.033, 0.034, 0.028, 0.035]"/>
    <s v="435.35891656916897"/>
    <s v="[-1.003, 0.033, 0.034, 0.028, 0.035]"/>
  </r>
  <r>
    <x v="4004"/>
    <x v="4573"/>
    <x v="0"/>
    <n v="0"/>
    <s v="LINESTRING (5.755669419893835 58.82202386125197, 5.755628662781146 58.82208805584594, 5.7555241200668705 58.82212830651443, 5.7553759019197415 58.82212681864974, 5.755256159410042 58.822067297241674)"/>
    <s v="[1368182, 1368190, 1368198, 1368142]"/>
    <s v="[1262150, 1262156, 1262132, 1262133]"/>
    <s v="0.06981019899202694"/>
    <s v="[1262147, 1262150, 1262156, 1262132]"/>
    <s v="[0.083, 0.109, 0.084, 0.016]"/>
    <s v="33.29901839786339"/>
    <s v="[0.083, 0.109, 0.084, 0.016]"/>
  </r>
  <r>
    <x v="4005"/>
    <x v="4574"/>
    <x v="0"/>
    <n v="0"/>
    <s v="LINESTRING (5.755263600744975 58.82197015455714, 5.755402325272354 58.821914336801264, 5.755578177451413 58.82193151916243)"/>
    <s v="[1368158, 1368166]"/>
    <s v="[1262140, 1262143]"/>
    <s v="#FIELD!"/>
    <s v="[1262138, 1262140]"/>
    <s v="[0.102, 0.059]"/>
    <s v="21.01134795864323"/>
    <s v="[-0.102, -0.059]"/>
  </r>
  <r>
    <x v="4005"/>
    <x v="4575"/>
    <x v="0"/>
    <n v="0"/>
    <s v="LINESTRING (5.755263600744975 58.82197015455714, 5.755267314376361 58.821898314778394, 5.7552363590764175 58.821756841951554, 5.755162861165463 58.82163449813364, 5.755156241086301 58.82162599594798, 5.755022535146826 58.821489427003854, 5.754957059091638 58.82142798735586)"/>
    <s v="[2012226, 2012234, 2012242, 2012250, 2012258, 2012266]"/>
    <s v="[1760244, 1760250, 1760254, 1760261, 1760265, 1262166]"/>
    <s v="#FIELD!"/>
    <s v="[1262138, 1760244, 1760250, 1760254, 1760261, 1760265]"/>
    <s v="[0.693, 0.001, 0.007, 0.0, 0.012, 0.209]"/>
    <s v="64.23955074329342"/>
    <s v="[-0.693, 0.001, 0.007, 0.0, 0.012, 0.209]"/>
  </r>
  <r>
    <x v="4006"/>
    <x v="4573"/>
    <x v="0"/>
    <n v="0"/>
    <m/>
    <n v="1368174"/>
    <n v="1262147"/>
    <s v="0.013"/>
    <n v="1262143"/>
    <s v="0.013"/>
    <s v="11.936723563861197"/>
    <s v="0.013"/>
  </r>
  <r>
    <x v="4006"/>
    <x v="4576"/>
    <x v="0"/>
    <n v="0"/>
    <s v="LINESTRING (5.755578177451413 58.82193151916243, 5.755507080415549 58.82186271613185, 5.75538460700433 58.82173569680447, 5.755303303932333 58.82161367490987, 5.75529918435455 58.821604684659484, 5.755260216836105 58.82145418442115, 5.755258055638837 58.821384757676554)"/>
    <s v="[2003000, 2003008, 2003016, 2003024, 2003032, 2003040]"/>
    <s v="[1754885, 1754889, 1754893, 1754897, 1754900, 1262187]"/>
    <s v="#FIELD!"/>
    <s v="[1262143, 1754885, 1754889, 1754893, 1754897, 1754900]"/>
    <s v="[0.02, 0.023, 0.05, 0.074, 0.063, 0.071]"/>
    <s v="64.7737070291754"/>
    <s v="[-0.02, -0.023, -0.05, -0.074, -0.063, -0.071]"/>
  </r>
  <r>
    <x v="4007"/>
    <x v="1259"/>
    <x v="0"/>
    <n v="0"/>
    <s v="LINESTRING (5.760669117535083 58.82056019890678, 5.760260956163499 58.82073574526902, 5.755772277360307 58.82200961209581, 5.755669419893835 58.82202386125197)"/>
    <s v="[1375864, 1851031, 1851049]"/>
    <s v="[1267548, 1620701, 1262147]"/>
    <s v="0.0352417259125935"/>
    <s v="[1267547, 1267548, 1620701]"/>
    <s v="[0.009, 0.022, 0.803]"/>
    <s v="333.71269564242124"/>
    <s v="[0.009, 0.022, 0.803]"/>
  </r>
  <r>
    <x v="4008"/>
    <x v="4577"/>
    <x v="0"/>
    <n v="0"/>
    <m/>
    <n v="1368206"/>
    <n v="1262167"/>
    <s v="#FIELD!"/>
    <n v="1262166"/>
    <s v="0.059"/>
    <s v="13.963566804484397"/>
    <s v="#FIELD!"/>
  </r>
  <r>
    <x v="4008"/>
    <x v="4576"/>
    <x v="0"/>
    <n v="0"/>
    <s v="LINESTRING (5.755258055638837 58.821384757676554, 5.755125203445476 58.821438957158485, 5.754957059091638 58.82142798735586)"/>
    <s v="[1368254, 1368262]"/>
    <s v="[1262192, 1262166]"/>
    <s v="0.05246806285778751"/>
    <s v="[1262187, 1262192]"/>
    <s v="[0.077, 0.028]"/>
    <s v="19.616150135808724"/>
    <s v="[0.077, 0.028]"/>
  </r>
  <r>
    <x v="4009"/>
    <x v="4578"/>
    <x v="0"/>
    <n v="0"/>
    <s v="LINESTRING (5.754847693210306 58.82132204649801, 5.754858481332326 58.82129354876422, 5.754952021951555 58.82123262467654, 5.755099217837595 58.82121714189144, 5.755231226800183 58.82125432678622)"/>
    <s v="[1368214, 1368222, 1368230, 1368238]"/>
    <s v="[1262169, 1262175, 1262178, 1262183]"/>
    <s v="#FIELD!"/>
    <s v="[1262167, 1262169, 1262175, 1262178]"/>
    <s v="[0.094, 0.079, 0.031, 0.01]"/>
    <s v="29.356332411639173"/>
    <s v="[-0.094, -0.079, -0.031, 0.01]"/>
  </r>
  <r>
    <x v="4009"/>
    <x v="4579"/>
    <x v="0"/>
    <s v="[0, 0, 0, 0, 1, 0]"/>
    <s v="LINESTRING (5.748695683721024 58.82255291409412, 5.749387013984849 58.82242403473027, 5.751639957318055 58.82207209165682, 5.7516750246304715 58.82206601392795, 5.7545681996324936 58.82139809327012, 5.754743853557014 58.82135060031106, 5.754847693210306 58.82132204649801)"/>
    <s v="[1375848, 1851751, 1851752, 1851767, 1851774, 1851793]"/>
    <s v="[1267536, 1621371, 1621372, 1621386, 1621395, 1262167]"/>
    <s v="#FIELD!"/>
    <s v="[1267535, 1267536, 1621371, 1621372, 1621386, 1621395]"/>
    <s v="[0.036, 0.02, 0.036, 0.032, 0.027, 0.058]"/>
    <s v="383.2898296953542"/>
    <s v="[0.036, -0.02, -0.036, -0.032, -0.027, 0.058]"/>
  </r>
  <r>
    <x v="4010"/>
    <x v="4576"/>
    <x v="0"/>
    <n v="0"/>
    <m/>
    <n v="1368246"/>
    <n v="1262187"/>
    <s v="0.064"/>
    <n v="1262183"/>
    <s v="0.064"/>
    <s v="15.376944765305787"/>
    <s v="0.064"/>
  </r>
  <r>
    <x v="4010"/>
    <x v="1258"/>
    <x v="0"/>
    <n v="0"/>
    <s v="LINESTRING (5.755231226800183 58.82125432678622, 5.75534511215509 58.82124610646262, 5.76184910277297 58.81994470728458, 5.762242926889968 58.81975519141862)"/>
    <s v="[1851844, 1851845, 1375856]"/>
    <s v="[1621459, 1267544, 1267545]"/>
    <s v="#FIELD!"/>
    <s v="[1262183, 1621459, 1267544]"/>
    <s v="[0.039, 0.019, 0.003]"/>
    <s v="455.9020151186945"/>
    <s v="[-0.039, -0.019, -0.003]"/>
  </r>
  <r>
    <x v="4011"/>
    <x v="4580"/>
    <x v="0"/>
    <n v="0"/>
    <s v="LINESTRING (7.760849075009339 62.493592223142215, 7.761605878467377 62.4946600811663, 7.761570784748363 62.49470690150277, 7.761475737982786 62.494961668108274, 7.7630663229203885 62.495704613132155, 7.764491039704492 62.496351358330216, 7.764735710674365 62.49655360898985, 7.76890099878441 62.50093035111057, 7.769609034134858 62.50168954494431, 7.769788352389292 62.50171919161725, 7.769891731129699 62.50173000817895, 7.770044256025354 62.501746186208095, 7.770303727117934 62.501774790655475, 7.770788048515288 62.50183619334805, 7.7708553452098466 62.501844383511646)"/>
    <s v="[1368418, 1368426, 1368434, 1368442, 1327408, 1327416, 1327424, 1368353, 1368361, 1368369, 1368377, 1368385, 1368393, 1368401]"/>
    <s v="[1262303, 1262308, 1262295, 1233146, 1233147, 1233153, 1233159, 1262257, 1262264, 1262270, 1262274, 1262279, 1262283, 1262287]"/>
    <s v="#FIELD!"/>
    <s v="[1262302, 1262303, 1262308, 1262295, 1233146, 1233147, 1233153, 1233159, 1262257, 1262264, 1262270, 1262274, 1262279, 1262283]"/>
    <s v="[0.067, 0.095, 0.086, 0.025, 0.002, 0.003, 0.016, 0.005, 0.041, 0.042, 0.042, 0.204, 0.226, 0.238]"/>
    <s v="1130.8989826392128"/>
    <s v="[-0.067, -0.095, -0.086, -0.025, -0.002, 0.003, -0.016, -0.005, 0.041, 0.042, 0.042, 0.204, 0.226, 0.238]"/>
  </r>
  <r>
    <x v="4012"/>
    <x v="4581"/>
    <x v="0"/>
    <n v="0"/>
    <s v="LINESTRING (7.761456226832425 62.49332515895085, 7.761365730410288 62.49334346499846, 7.760849075009339 62.493592223142215)"/>
    <s v="[1368522, 1368530]"/>
    <s v="[1262375, 1262302]"/>
    <s v="#FIELD!"/>
    <s v="[1262329, 1262375]"/>
    <s v="[0.053, 0.08]"/>
    <s v="46.52148522072286"/>
    <s v="[-0.053, -0.08]"/>
  </r>
  <r>
    <x v="4012"/>
    <x v="4308"/>
    <x v="0"/>
    <n v="0"/>
    <s v="LINESTRING (7.761524575916197 62.49342803775059, 7.761444132316308 62.49343348585267, 7.760849075009339 62.493592223142215)"/>
    <s v="[1368506, 1368514]"/>
    <s v="[1262364, 1262302]"/>
    <s v="#FIELD!"/>
    <s v="[1262340, 1262364]"/>
    <s v="[0.036, 0.071]"/>
    <s v="40.73027446700241"/>
    <s v="[-0.036, -0.071]"/>
  </r>
  <r>
    <x v="4013"/>
    <x v="4308"/>
    <x v="0"/>
    <n v="0"/>
    <s v="LINESTRING (7.761456226832425 62.49332515895085, 7.761488972617552 62.49338002265813, 7.761524575916197 62.49342803775059)"/>
    <s v="[1368466, 1368474]"/>
    <s v="[1262336, 1262340]"/>
    <s v="#FIELD!"/>
    <s v="[1262329, 1262336]"/>
    <s v="[0.066, 0.075]"/>
    <s v="12.016483942351657"/>
    <s v="[-0.066, -0.075]"/>
  </r>
  <r>
    <x v="4013"/>
    <x v="3295"/>
    <x v="421"/>
    <n v="0"/>
    <s v="LINESTRING (8.003803990168796 62.401787204896316, 7.761456226832425 62.49332515895085)"/>
    <m/>
    <m/>
    <s v="0.0"/>
    <m/>
    <n v="0"/>
    <s v="19496.062317049575"/>
    <n v="0"/>
  </r>
  <r>
    <x v="4014"/>
    <x v="2841"/>
    <x v="0"/>
    <n v="0"/>
    <m/>
    <n v="1369492"/>
    <n v="1262962"/>
    <s v="#FIELD!"/>
    <n v="1262917"/>
    <s v="0.003"/>
    <s v="32.853366653871625"/>
    <s v="#FIELD!"/>
  </r>
  <r>
    <x v="4014"/>
    <x v="4263"/>
    <x v="0"/>
    <n v="0"/>
    <s v="LINESTRING (10.256628487015865 59.76585375373187, 10.256662598395001 59.76588601929346, 10.256856022093242 59.76606463426976)"/>
    <s v="[1369316, 1369324]"/>
    <s v="[1262918, 1262925]"/>
    <s v="#FIELD!"/>
    <s v="[1262917, 1262918]"/>
    <s v="[0.002, 0.001]"/>
    <s v="26.760489769639513"/>
    <s v="[0.002, -0.001]"/>
  </r>
  <r>
    <x v="4014"/>
    <x v="4582"/>
    <x v="0"/>
    <n v="0"/>
    <s v="LINESTRING (10.25686695885754 59.76581578362069, 10.256756802630438 59.76584804956797, 10.256628487015865 59.76585375373187)"/>
    <s v="[1369476, 1369484]"/>
    <s v="[1263027, 1262917]"/>
    <s v="0.0074972097985442025"/>
    <s v="[1262937, 1263027]"/>
    <s v="[0.008, 0.007]"/>
    <s v="14.403407220465468"/>
    <s v="[0.008, 0.007]"/>
  </r>
  <r>
    <x v="4015"/>
    <x v="4582"/>
    <x v="0"/>
    <n v="0"/>
    <s v="LINESTRING (10.25686695885754 59.76581578362069, 10.25687269326904 59.76585322946953, 10.256856022093242 59.76606463426976)"/>
    <s v="[1369348, 1369356]"/>
    <s v="[1262938, 1262925]"/>
    <s v="0.0038504363917791226"/>
    <s v="[1262937, 1262938]"/>
    <s v="[0.003, 0.004]"/>
    <s v="27.989213071068466"/>
    <s v="[0.003, 0.004]"/>
  </r>
  <r>
    <x v="4016"/>
    <x v="4583"/>
    <x v="0"/>
    <n v="0"/>
    <s v="LINESTRING (10.25681144661737 59.76557775262051, 10.256947965359995 59.76566238292787, 10.256959186352429 59.76572647188641, 10.25691431898953 59.76578745342759, 10.25686695885754 59.76581578362069)"/>
    <s v="[1369444, 1369452, 1369460, 1369468]"/>
    <s v="[1262971, 1263008, 1262954, 1262937]"/>
    <s v="0.0022685287061694225"/>
    <s v="[1262984, 1262971, 1263008, 1262954]"/>
    <s v="[0.001, 0.003, 0.005, 0.006]"/>
    <s v="30.93068143252491"/>
    <s v="[-0.001, 0.003, 0.005, 0.006]"/>
  </r>
  <r>
    <x v="4017"/>
    <x v="4584"/>
    <x v="0"/>
    <n v="0"/>
    <m/>
    <n v="1369500"/>
    <n v="1262994"/>
    <s v="#FIELD!"/>
    <n v="1262962"/>
    <s v="0.003"/>
    <s v="10.20851115506857"/>
    <s v="#FIELD!"/>
  </r>
  <r>
    <x v="4018"/>
    <x v="4583"/>
    <x v="0"/>
    <n v="0"/>
    <s v="LINESTRING (10.256733424617316 59.76532244712856, 10.256803899357994 59.76554177033197, 10.25681144661737 59.76557775262051)"/>
    <s v="[1369412, 1369420]"/>
    <s v="[1262977, 1262984]"/>
    <s v="0.0001393223828844568"/>
    <s v="[1262976, 1262977]"/>
    <s v="[0.0, 0.001]"/>
    <s v="28.94717189198288"/>
    <s v="[0.0, 0.001]"/>
  </r>
  <r>
    <x v="4018"/>
    <x v="4584"/>
    <x v="0"/>
    <n v="0"/>
    <s v="LINESTRING (10.256733424617316 59.76532244712856, 10.256595463420615 59.765531534854006, 10.256562000806918 59.76556873265145)"/>
    <s v="[1369428, 1369436]"/>
    <s v="[1262987, 1262994]"/>
    <s v="0.002"/>
    <s v="[1262976, 1262987]"/>
    <s v="0.002"/>
    <s v="29.114802745746317"/>
    <s v="0.002"/>
  </r>
  <r>
    <x v="4018"/>
    <x v="4585"/>
    <x v="0"/>
    <n v="0"/>
    <s v="LINESTRING (10.256543958839213 59.76416497987876, 10.256573000503943 59.76444118131305, 10.256733424617316 59.76532244712856)"/>
    <s v="[2099462, 1634845]"/>
    <s v="[1461639, 1262976]"/>
    <s v="0.005904948389426627"/>
    <s v="[1815310, 1461639]"/>
    <s v="[0.012, 0.004]"/>
    <s v="129.46842686934025"/>
    <s v="[0.012, 0.004]"/>
  </r>
  <r>
    <x v="4019"/>
    <x v="4584"/>
    <x v="0"/>
    <n v="0"/>
    <s v="LINESTRING (10.256562000806918 59.76556873265145, 10.256689265501969 59.765559122809684, 10.25681144661737 59.76557775262051)"/>
    <s v="[1369508, 1369516]"/>
    <s v="[1263046, 1262984]"/>
    <s v="#FIELD!"/>
    <s v="[1262994, 1263046]"/>
    <s v="[0.004, 0.003]"/>
    <s v="14.410738118039806"/>
    <s v="[-0.004, -0.003]"/>
  </r>
  <r>
    <x v="4020"/>
    <x v="4586"/>
    <x v="0"/>
    <s v="[0, 1, 0, 0, 0, 0, 0, 0]"/>
    <s v="LINESTRING (6.458264663354238 61.56601487208605, 6.459489846767616 61.56585655954735, 6.459586032382529 61.56586352009826, 6.459715194323143 61.56587478823063, 6.460843593520396 61.56608971075652, 6.461540185634088 61.5664169152542, 6.461925366609019 61.56660295312972, 6.462434659123237 61.56684829631661, 6.464265646346816 61.567652155087806)"/>
    <s v="[1369695, 1369703, 1369711, 1892540, 1892548, 1892556, 1892557, 1892564]"/>
    <s v="[1263184, 1263191, 1263197, 1663324, 1663329, 1648016, 1663335, 1170986]"/>
    <s v="0.0038012639695590203"/>
    <s v="[1263183, 1263184, 1263191, 1263197, 1663324, 1663329, 1648016, 1663335]"/>
    <s v="[0.097, 0.071, 0.047, 0.122, 0.071, 0.067, 0.099, 0.06]"/>
    <s v="404.6682678633842"/>
    <s v="[-0.097, -0.071, -0.047, -0.122, 0.071, 0.067, 0.099, 0.06]"/>
  </r>
  <r>
    <x v="4021"/>
    <x v="135"/>
    <x v="0"/>
    <n v="0"/>
    <s v="LINESTRING (10.28021097088819 60.05086759146789, 10.281268209581498 60.05140138486368, 10.281429271751756 60.05144559683234)"/>
    <s v="[2080508, 2080516]"/>
    <s v="[1803932, 1263193]"/>
    <s v="#FIELD!"/>
    <s v="[1803928, 1803932]"/>
    <s v="[0.032, 0.24]"/>
    <s v="94.32951888072586"/>
    <s v="[-0.032, 0.24]"/>
  </r>
  <r>
    <x v="4022"/>
    <x v="1217"/>
    <x v="0"/>
    <n v="0"/>
    <m/>
    <n v="2102952"/>
    <n v="1263909"/>
    <s v="0.024"/>
    <n v="1767627"/>
    <s v="0.024"/>
    <s v="11.212951242210234"/>
    <s v="0.024"/>
  </r>
  <r>
    <x v="4023"/>
    <x v="4045"/>
    <x v="0"/>
    <s v="[0, 0, 0, 1]"/>
    <s v="LINESTRING (8.046374837354358 58.163117632417595, 8.04714698050144 58.16287028476891, 8.047610650062879 58.162750857843946, 8.050115962489942 58.162251342882946, 8.057083185377895 58.161216696574215)"/>
    <s v="[1371359, 1371295, 1371303, 1371311]"/>
    <s v="[1264252, 1264253, 1264258, 1264264]"/>
    <s v="0.0015813584732263576"/>
    <s v="[1264290, 1264252, 1264253, 1264258]"/>
    <s v="[0.026, 0.018, 0.0, 0.007]"/>
    <s v="668.5089980576637"/>
    <s v="[-0.026, -0.018, 0.0, 0.007]"/>
  </r>
  <r>
    <x v="4024"/>
    <x v="4587"/>
    <x v="0"/>
    <n v="0"/>
    <s v="LINESTRING (8.046079870667254 58.16339669474432, 8.046515153495681 58.163224252617844, 8.047260235100664 58.16298318122048)"/>
    <s v="[1371375, 1371383]"/>
    <s v="[1264315, 1264323]"/>
    <s v="#FIELD!"/>
    <s v="[1264308, 1264315]"/>
    <s v="[0.028, 0.026]"/>
    <s v="83.58411265129935"/>
    <s v="[-0.028, -0.026]"/>
  </r>
  <r>
    <x v="4025"/>
    <x v="4056"/>
    <x v="0"/>
    <s v="[1, 1, 0, 0]"/>
    <s v="LINESTRING (8.058184451463271 58.16122454898564, 8.053662548260121 58.161794958380696, 8.050114568122655 58.16238463543541, 8.047709070870884 58.1628663660478, 8.047260235100664 58.16298318122048)"/>
    <s v="[1623955, 1623963, 1623971, 1371495]"/>
    <s v="[1453481, 1453485, 1264414, 1264323]"/>
    <s v="#FIELD!"/>
    <s v="[1453477, 1453481, 1453485, 1264414]"/>
    <s v="[0.01, 0.0, 0.001, 0.013]"/>
    <s v="674.6826972559649"/>
    <s v="[-0.01, 0.0, -0.001, 0.013]"/>
  </r>
  <r>
    <x v="4026"/>
    <x v="4588"/>
    <x v="0"/>
    <n v="0"/>
    <s v="LINESTRING (10.030621389606914 59.75017711939552, 10.030420988752194 59.75032924380912, 10.03009144184391 59.75054161472808, 10.028686540146317 59.75233111229133, 10.028758745122442 59.752297594880474)"/>
    <s v="[1372790, 2094893, 2094901, 2094909]"/>
    <s v="[1265437, 1812447, 1812451, 1300784]"/>
    <s v="#FIELD!"/>
    <s v="[1265436, 1265437, 1812447, 1812451]"/>
    <s v="[0.004, 0.043, 0.004, 0.419]"/>
    <s v="433.90412320668156"/>
    <s v="[-0.004, -0.043, -0.004, 0.419]"/>
  </r>
  <r>
    <x v="4026"/>
    <x v="4589"/>
    <x v="0"/>
    <n v="0"/>
    <s v="LINESTRING (10.030621389606914 59.75017711939552, 10.022318219652611 59.752075582184844, 10.021771652033468 59.75203969831879, 10.020470400488863 59.75195817531344)"/>
    <s v="[1416749, 1416757, 1416773]"/>
    <s v="[1294173, 1294179, 1294187]"/>
    <s v="#FIELD!"/>
    <s v="[1265436, 1294173, 1294179]"/>
    <s v="[0.002, 0.004, 0.005]"/>
    <s v="657.0711878182055"/>
    <s v="[-0.002, 0.004, 0.005]"/>
  </r>
  <r>
    <x v="4027"/>
    <x v="4590"/>
    <x v="0"/>
    <n v="0"/>
    <s v="LINESTRING (10.02879059414553 59.752203441490764, 10.028745975554433 59.75215586849727, 10.028505596830941 59.75192634412574)"/>
    <s v="[1372814, 1372822]"/>
    <s v="[1265459, 1265470]"/>
    <s v="0.015662871768915152"/>
    <s v="[1265458, 1265459]"/>
    <s v="[0.014, 0.016]"/>
    <s v="34.80489330925138"/>
    <s v="[0.014, 0.016]"/>
  </r>
  <r>
    <x v="4027"/>
    <x v="4591"/>
    <x v="0"/>
    <n v="0"/>
    <s v="LINESTRING (10.02879059414553 59.752203441490764, 10.028882883984139 59.75215836060149, 10.029006500984204 59.75214235599177)"/>
    <s v="[1427229, 1427237]"/>
    <s v="[1300791, 1300796]"/>
    <s v="0.00700968871565674"/>
    <s v="[1265458, 1300791]"/>
    <s v="[0.01, 0.004]"/>
    <s v="14.403396688735869"/>
    <s v="[0.01, 0.004]"/>
  </r>
  <r>
    <x v="4027"/>
    <x v="4588"/>
    <x v="0"/>
    <n v="0"/>
    <m/>
    <n v="1427221"/>
    <n v="1265458"/>
    <s v="0.017"/>
    <n v="1300784"/>
    <s v="0.017"/>
    <s v="10.835122396826332"/>
    <s v="0.017"/>
  </r>
  <r>
    <x v="4028"/>
    <x v="4592"/>
    <x v="0"/>
    <s v="[0, 1, 0]"/>
    <s v="LINESTRING (10.028505596830941 59.75192634412574, 10.028004810860816 59.75178140562244, 10.027283401379563 59.75163349527304, 10.026201072971256 59.75152586734276)"/>
    <s v="[2094917, 2094925, 2094933]"/>
    <s v="[1812458, 1812463, 1432423]"/>
    <s v="#FIELD!"/>
    <s v="[1265470, 1812458, 1812463]"/>
    <s v="[0.074, 0.006, 0.032]"/>
    <s v="138.74873326999574"/>
    <s v="[-0.074, 0.006, 0.032]"/>
  </r>
  <r>
    <x v="4028"/>
    <x v="4591"/>
    <x v="0"/>
    <n v="0"/>
    <s v="LINESTRING (10.029006500984204 59.75214235599177, 10.028938169219918 59.752098382154635, 10.028505596830941 59.75192634412574)"/>
    <s v="[1593208, 1593216]"/>
    <s v="[1432365, 1265470]"/>
    <s v="0.01216563746675385"/>
    <s v="[1300796, 1432365]"/>
    <s v="[0.013, 0.012]"/>
    <s v="37.60601223524246"/>
    <s v="[0.013, 0.012]"/>
  </r>
  <r>
    <x v="4029"/>
    <x v="3801"/>
    <x v="0"/>
    <n v="0"/>
    <s v="LINESTRING (6.085746978725101 58.62871270523826, 6.085627188207626 58.628797221103646, 6.084546144887351 58.62907441908058, 6.0830177905585465 58.62938862899508, 6.082924139522795 58.62941065353003, 6.082797815315913 58.6294696654812)"/>
    <s v="[2078190, 2078198, 1207813, 1207821, 1373750]"/>
    <s v="[1802394, 1131381, 1131382, 1131389, 1265957]"/>
    <s v="0.05143293470916692"/>
    <s v="[1615942, 1802394, 1131381, 1131382, 1131389]"/>
    <s v="[0.042, 0.075, 0.074, 0.075, 0.238]"/>
    <s v="193.57066861469883"/>
    <s v="[-0.042, 0.075, 0.074, 0.075, -0.238]"/>
  </r>
  <r>
    <x v="4030"/>
    <x v="4593"/>
    <x v="0"/>
    <s v="[0, 0, 1, 1, 0, 1, 0, 1, 0, 0]"/>
    <s v="LINESTRING (5.748695683721024 58.82255291409412, 5.747445207336307 58.82274988867636, 5.747276319643675 58.822776283071505, 5.7471494088004516 58.82279650378641, 5.747079725703213 58.82280761422121, 5.738672374862009 58.82777126978379, 5.738096878050719 58.82863615508544, 5.737219107266966 58.83025240635163, 5.737149877288623 58.830435172000044, 5.736697913275077 58.83225677893249, 5.736675047125536 58.832464171047405)"/>
    <s v="[1375968, 1375976, 1375984, 1375992, 1376072, 1376080, 1376085, 1376086, 1423610, 1423618]"/>
    <s v="[1267640, 1267648, 1267653, 1267660, 1267730, 1267737, 1267743, 1267744, 1298679, 1296772]"/>
    <s v="#FIELD!"/>
    <s v="[1267535, 1267640, 1267648, 1267653, 1267660, 1267730, 1267737, 1267743, 1267744, 1298679]"/>
    <s v="[0.008, 0.015, 0.017, 0.018, 0.049, 0.004, 0.031, 0.038, 0.035, 0.04]"/>
    <s v="1409.219860970548"/>
    <s v="[0.008, 0.015, 0.017, 0.018, -0.049, 0.004, 0.031, 0.038, 0.035, 0.04]"/>
  </r>
  <r>
    <x v="4030"/>
    <x v="1258"/>
    <x v="0"/>
    <s v="[0, 0, 0, 1, 0, 0, 0]"/>
    <s v="LINESTRING (5.762242926889968 58.81975519141862, 5.761333807586184 58.820219094813666, 5.7597845475608995 58.820802485579364, 5.755614137493209 58.82160746178962, 5.7548024447202515 58.821705974896574, 5.752358515827271 58.822013323940574, 5.7523374863170025 58.8220161781011, 5.748695683721024 58.82255291409412)"/>
    <s v="[1375912, 1375920, 1375928, 1375936, 1375944, 1375952, 1375960]"/>
    <s v="[1267583, 1267594, 1267602, 1267609, 1267617, 1267624, 1267535]"/>
    <s v="0.019279431682785824"/>
    <s v="[1267545, 1267583, 1267594, 1267602, 1267609, 1267617, 1267624]"/>
    <s v="[0.004, 0.009, 0.034, 0.069, 0.042, 0.06, 0.014]"/>
    <s v="858.5185118386906"/>
    <s v="[0.004, 0.009, 0.034, 0.069, 0.042, 0.06, -0.014]"/>
  </r>
  <r>
    <x v="4031"/>
    <x v="4594"/>
    <x v="0"/>
    <s v="[0, 1, 0, 0, 0, 0, 0, 1, 1, 0, 1, 0, 1, 0]"/>
    <s v="LINESTRING (5.760669117535083 58.82056019890678, 5.755656862621313 58.82164949298979, 5.754825202233402 58.8217509918793, 5.752484670799309 58.822050639955165, 5.752464526365704 58.82205337735811, 5.748971017223301 58.82256337991254, 5.747534970499883 58.82279333519301, 5.747343061223787 58.82282746321428, 5.747214062105767 58.82284968366096, 5.747150505828707 58.82286062256664, 5.738762131728024 58.82778806489387, 5.73818507450944 58.82865292797912, 5.7373067109287295 58.83027139587681, 5.737248772147948 58.830440701142976, 5.736918231175897 58.83227230483392)"/>
    <s v="[1376179, 1376180, 1376219, 1376220, 1376234, 1376235, 1376257, 1376264, 1376265, 1376040, 1376049, 1376057, 1376065, 1423722]"/>
    <s v="[1267816, 1267817, 1267846, 1267847, 1267858, 1267859, 1267881, 1267884, 1267701, 1267702, 1267710, 1267719, 1267724, 1296767]"/>
    <s v="#FIELD!"/>
    <s v="[1267547, 1267816, 1267817, 1267846, 1267847, 1267858, 1267859, 1267881, 1267884, 1267701, 1267702, 1267710, 1267719, 1267724]"/>
    <s v="[0.03, 0.071, 0.044, 0.004, 0.013, 0.001, 0.014, 0.017, 0.016, 0.049, 0.003, 0.03, 0.035, 0.033]"/>
    <s v="2111.1278105244483"/>
    <s v="[0.03, 0.071, 0.044, -0.004, -0.013, -0.001, 0.014, 0.017, 0.016, -0.049, 0.003, 0.03, 0.035, 0.033]"/>
  </r>
  <r>
    <x v="4032"/>
    <x v="4595"/>
    <x v="0"/>
    <n v="0"/>
    <s v="LINESTRING (6.164859356586233 58.5365247286334, 6.164864274758125 58.53654422368141, 6.164856629471809 58.53673982192599)"/>
    <s v="[1377930, 1377931]"/>
    <s v="[1269060, 466236]"/>
    <s v="#FIELD!"/>
    <s v="[1269059, 1269060]"/>
    <s v="[0.234, 0.232]"/>
    <s v="24.322502005535103"/>
    <s v="[-0.234, -0.232]"/>
  </r>
  <r>
    <x v="4032"/>
    <x v="1227"/>
    <x v="0"/>
    <n v="0"/>
    <s v="LINESTRING (6.165174605330304 58.53665120487006, 6.16500048273279 58.536581345951454, 6.164882040102829 58.53653382383963, 6.164859356586233 58.5365247286334)"/>
    <s v="[1378207, 1378214, 1378222]"/>
    <s v="[1269197, 1269204, 1269059]"/>
    <s v="0.04043231668128942"/>
    <s v="[1269067, 1269197, 1269204]"/>
    <s v="[0.041, 0.037, 0.054]"/>
    <s v="23.209147968709072"/>
    <s v="[0.041, 0.037, 0.054]"/>
  </r>
  <r>
    <x v="4033"/>
    <x v="4596"/>
    <x v="0"/>
    <n v="0"/>
    <s v="LINESTRING (6.164856629471809 58.53673982192599, 6.1657977527072285 58.53705422255471, 6.165916225970196 58.536990189965124, 6.166075955690448 58.53688467661948, 6.164927403230111 58.536360563590556, 6.163849382456475 58.53588124497239)"/>
    <s v="[1379438, 1379446, 1379454, 1379462, 1379470]"/>
    <s v="[1269264, 1269801, 1269806, 1269265, 1269075]"/>
    <s v="0.037083244781114445"/>
    <s v="[466236, 1269264, 1269801, 1269806, 1269265]"/>
    <s v="[0.034, 0.255, 0.294, 0.053, 0.004]"/>
    <s v="289.8266727787802"/>
    <s v="[-0.034, 0.255, 0.294, 0.053, 0.004]"/>
  </r>
  <r>
    <x v="4033"/>
    <x v="1227"/>
    <x v="0"/>
    <n v="0"/>
    <s v="LINESTRING (6.165174605330304 58.53665120487006, 6.165129844165356 58.536653646516015, 6.164856629471809 58.53673982192599)"/>
    <s v="[1377939, 1377947]"/>
    <s v="[1269068, 466236]"/>
    <s v="#FIELD!"/>
    <s v="[1269067, 1269068]"/>
    <s v="[0.118, 0.228]"/>
    <s v="21.904712575302216"/>
    <s v="[-0.118, -0.228]"/>
  </r>
  <r>
    <x v="4034"/>
    <x v="1407"/>
    <x v="0"/>
    <n v="0"/>
    <s v="LINESTRING (6.163849382456475 58.53588124497239, 6.1637010908604575 58.53590772642731, 6.16367466454334 58.53591836540295, 6.163451011181411 58.53599413924141, 6.163405828069994 58.536004308354734)"/>
    <s v="[1377952, 1377953, 1377954, 1377962]"/>
    <s v="[1269076, 1269077, 1269078, 1269083]"/>
    <s v="#FIELD!"/>
    <s v="[1269075, 1269076, 1269077, 1269078]"/>
    <s v="[0.239, 0.275, 0.243, 0.216]"/>
    <s v="29.98780654066015"/>
    <s v="[-0.239, -0.275, -0.243, -0.216]"/>
  </r>
  <r>
    <x v="4034"/>
    <x v="1228"/>
    <x v="0"/>
    <n v="0"/>
    <s v="LINESTRING (6.163849382456475 58.53588124497239, 6.1637964383950345 58.53593788984804, 6.1637755559790195 58.53596119499396, 6.163770580228763 58.53606533506629, 6.16377858006518 58.53608445687002)"/>
    <s v="[1377963, 1377964, 1377971, 1377974]"/>
    <s v="[1269084, 1269085, 1269088, 1269091]"/>
    <s v="#FIELD!"/>
    <s v="[1269075, 1269084, 1269085, 1269088]"/>
    <s v="[0.258, 0.221, 0.205, 0.048]"/>
    <s v="23.74040301707173"/>
    <s v="[-0.258, -0.221, -0.205, -0.048]"/>
  </r>
  <r>
    <x v="4035"/>
    <x v="1228"/>
    <x v="0"/>
    <n v="0"/>
    <s v="LINESTRING (6.16377858006518 58.53608445687002, 6.163602164090679 58.53604409356507, 6.163405828069994 58.536004308354734)"/>
    <s v="[1378073, 1378086]"/>
    <s v="[1269133, 1269083]"/>
    <s v="#FIELD!"/>
    <s v="[1269091, 1269133]"/>
    <s v="[0.095, 0.1]"/>
    <s v="23.54723029089987"/>
    <s v="[-0.095, -0.1]"/>
  </r>
  <r>
    <x v="4036"/>
    <x v="2481"/>
    <x v="0"/>
    <n v="0"/>
    <s v="LINESTRING (10.798476868041371 59.91225369142196, 10.798772967173436 59.91234419129926, 10.799607036669995 59.9124531357744, 10.79968876790407 59.91246534674288)"/>
    <s v="[1380449, 1380457, 1380465]"/>
    <s v="[1270164, 1270170, 1270177]"/>
    <s v="0.029938261954817712"/>
    <s v="[1270102, 1270164, 1270170]"/>
    <s v="[0.033, 0.029, 0.027]"/>
    <s v="72.52759067223573"/>
    <s v="[0.033, 0.029, 0.027]"/>
  </r>
  <r>
    <x v="4037"/>
    <x v="2888"/>
    <x v="0"/>
    <n v="0"/>
    <m/>
    <n v="1380561"/>
    <n v="1270177"/>
    <s v="#FIELD!"/>
    <n v="1270219"/>
    <s v="0.017"/>
    <s v="28.9228540495653"/>
    <s v="#FIELD!"/>
  </r>
  <r>
    <x v="4038"/>
    <x v="2888"/>
    <x v="0"/>
    <n v="0"/>
    <s v="LINESTRING (10.799973781231596 59.912489115427746, 10.799993170666488 59.91253271307632, 10.799970361729184 59.91257373241304, 10.799908979310581 59.912605599473586)"/>
    <s v="[1380537, 1380545, 1380553]"/>
    <s v="[1270128, 1270241, 1270219]"/>
    <s v="0.010683519028967296"/>
    <s v="[1270193, 1270128, 1270241]"/>
    <s v="[0.019, 0.011, 0.002]"/>
    <s v="14.665241443662957"/>
    <s v="[0.019, 0.011, 0.002]"/>
  </r>
  <r>
    <x v="4039"/>
    <x v="4597"/>
    <x v="0"/>
    <n v="0"/>
    <m/>
    <n v="1380625"/>
    <n v="1270299"/>
    <s v="#FIELD!"/>
    <n v="1270287"/>
    <s v="0.021"/>
    <s v="9.839711835342857"/>
    <s v="#FIELD!"/>
  </r>
  <r>
    <x v="4039"/>
    <x v="4598"/>
    <x v="0"/>
    <n v="0"/>
    <s v="LINESTRING (10.632016005549486 59.91159914910643, 10.630095289498412 59.910813502374815, 10.627729451703052 59.91048716332444, 10.627714640536997 59.910482291932404, 10.627136214510013 59.90980158105812, 10.62772476429334 59.90865032234495, 10.627765330332876 59.908573436019196)"/>
    <s v="[1380617, 1504334, 1504340, 1504348, 1504356, 1553967]"/>
    <s v="[1270294, 1360374, 1360377, 1360383, 1360389, 1365962]"/>
    <s v="0.01899143229855676"/>
    <s v="[1270287, 1270294, 1360374, 1360377, 1360383, 1360389]"/>
    <s v="[0.011, 0.021, 0.045, 0.034, 0.051, 0.154]"/>
    <s v="510.7906366013787"/>
    <s v="[0.011, -0.021, 0.045, 0.034, 0.051, 0.154]"/>
  </r>
  <r>
    <x v="4039"/>
    <x v="553"/>
    <x v="0"/>
    <n v="0"/>
    <m/>
    <n v="1380633"/>
    <n v="1270287"/>
    <s v="#FIELD!"/>
    <n v="1270304"/>
    <s v="0.054"/>
    <s v="10.930486219633458"/>
    <s v="#FIELD!"/>
  </r>
  <r>
    <x v="4040"/>
    <x v="1422"/>
    <x v="0"/>
    <n v="0"/>
    <s v="LINESTRING (10.631943504955384 59.91151871572341, 10.631110309564521 59.91118479536446, 10.630982507012193 59.911133414407985, 10.630259923385786 59.91084828424586, 10.63017563434005 59.9108152709819, 10.629847582528809 59.91068208089324, 10.629327143527929 59.91045158730029, 10.62858612460924 59.910160493519086, 10.62857167548894 59.910155184628124, 10.627805574703533 59.909886858107924, 10.627760825384742 59.909871792812986)"/>
    <s v="[1552527, 1552535, 1552543, 1552551, 1552559, 1552567, 1552575, 1552583, 1552591, 1552599]"/>
    <s v="[1401359, 1401367, 1401376, 1401383, 1401392, 1401398, 1401405, 1401413, 1401419, 1401426]"/>
    <s v="0.0033907246007428993"/>
    <s v="[1270299, 1401359, 1401367, 1401376, 1401383, 1401392, 1401398, 1401405, 1401413, 1401419]"/>
    <s v="[0.032, 0.053, 0.025, 0.01, 0.014, 0.007, 0.006, 0.009, 0.028, 0.042]"/>
    <s v="297.63666157686055"/>
    <s v="[-0.032, 0.053, 0.025, -0.01, -0.014, 0.007, -0.006, -0.009, 0.028, 0.042]"/>
  </r>
  <r>
    <x v="4040"/>
    <x v="553"/>
    <x v="0"/>
    <n v="0"/>
    <m/>
    <n v="1552519"/>
    <n v="1270299"/>
    <s v="#FIELD!"/>
    <n v="1270304"/>
    <s v="0.043"/>
    <s v="18.695453992666856"/>
    <s v="#FIELD!"/>
  </r>
  <r>
    <x v="4041"/>
    <x v="1766"/>
    <x v="0"/>
    <n v="0"/>
    <s v="LINESTRING (10.734069500345354 59.70798916785683, 10.734247333656327 59.70789244716979, 10.73630762104877 59.70743671478335, 10.73633291526028 59.70743247507689, 10.737082666625959 59.70714333006013, 10.737542073073161 59.70594497409069)"/>
    <s v="[1382766, 1498726, 1498731, 1498739, 1498760]"/>
    <s v="[1271279, 1356501, 1356504, 1356512, 1356527]"/>
    <s v="#FIELD!"/>
    <s v="[1271278, 1271279, 1356501, 1356504, 1356512]"/>
    <s v="[0.039, 0.062, 0.053, 0.321, 0.024]"/>
    <s v="334.9369248509439"/>
    <s v="[-0.039, -0.062, -0.053, -0.321, 0.024]"/>
  </r>
  <r>
    <x v="4041"/>
    <x v="4599"/>
    <x v="0"/>
    <n v="0"/>
    <s v="LINESTRING (10.734069500345354 59.70798916785683, 10.730545811387405 59.70861718099298, 10.730223325113123 59.70866553841305, 10.728404838941966 59.70893665721068, 10.727286219406093 59.70909572181826, 10.723962762643007 59.70961783345755)"/>
    <s v="[1507060, 1507068, 1507076, 1507084, 1507085]"/>
    <s v="[1362858, 1362866, 1362877, 1362886, 1359872]"/>
    <s v="#FIELD!"/>
    <s v="[1271278, 1362858, 1362866, 1362877, 1362886]"/>
    <s v="[0.021, 0.26, 0.049, 0.055, 0.021]"/>
    <s v="598.1331178485128"/>
    <s v="[0.021, -0.26, 0.049, -0.055, -0.021]"/>
  </r>
  <r>
    <x v="4041"/>
    <x v="4600"/>
    <x v="0"/>
    <s v="[0, 0, 0, 1, 1, 1, 0, 0, 0, 0]"/>
    <s v="LINESTRING (10.739147572451111 59.70685050323498, 10.739023857182133 59.70689831103303, 10.739020894036093 59.70689950055275, 10.738863886381456 59.70696237543224, 10.737934652678817 59.70717617818451, 10.737068633271655 59.70735912003025, 10.736741341771214 59.70742121128555, 10.736473606231204 59.7074670032613, 10.73639473691219 59.70748123485488, 10.73629921125162 59.707498953000254, 10.734069500345354 59.70798916785683)"/>
    <s v="[1506988, 1506995, 1506996, 1507019, 1507027, 1507028, 1507035, 1507043, 1507044, 1507051]"/>
    <s v="[1362793, 1362800, 1362801, 1362821, 1362829, 1362830, 1362837, 1362844, 1362845, 1271278]"/>
    <s v="0.08816922225517052"/>
    <s v="[1360052, 1362793, 1362800, 1362801, 1362821, 1362829, 1362830, 1362837, 1362844, 1362845]"/>
    <s v="[0.04, 0.0, 0.023, 0.02, 0.029, 0.466, 0.45, 0.445, 0.095, 0.065]"/>
    <s v="313.7070363651345"/>
    <s v="[-0.04, 0.0, -0.023, -0.02, 0.029, 0.466, 0.45, 0.445, 0.095, 0.065]"/>
  </r>
  <r>
    <x v="4042"/>
    <x v="297"/>
    <x v="0"/>
    <n v="0"/>
    <s v="LINESTRING (10.288110519371628 59.80717551936731, 10.288110519371628 59.80717551936731, 10.288552662123344 59.80764755631957)"/>
    <s v="[1387019, 1387027]"/>
    <s v="[1273489, 1273494]"/>
    <s v="0.051725405896156054"/>
    <s v="[419975, 1273489]"/>
    <s v="[0.0, 0.06]"/>
    <s v="70.09598108799837"/>
    <s v="[0.0, 0.06]"/>
  </r>
  <r>
    <x v="4043"/>
    <x v="4601"/>
    <x v="0"/>
    <n v="0"/>
    <s v="LINESTRING (10.28403118408571 59.808567146471006, 10.28403118408571 59.808567146471006, 10.285158953474035 59.80800828634728, 10.285017748834271 59.80794789854736)"/>
    <s v="[1634450, 1634474, 1634475]"/>
    <s v="[1461288, 1461316, 1273513]"/>
    <s v="0.02759307809211865"/>
    <s v="[419988, 1461288, 1461316]"/>
    <s v="[0.0, 0.037, 0.884]"/>
    <s v="154.87635535699428"/>
    <s v="[0.0, -0.037, 0.884]"/>
  </r>
  <r>
    <x v="4044"/>
    <x v="4602"/>
    <x v="0"/>
    <n v="0"/>
    <s v="LINESTRING (10.28651753320474 59.807380224618775, 10.288114598454491 59.806950603193194, 10.288266537976677 59.806854282432184)"/>
    <s v="[1387163, 1387171]"/>
    <s v="[1273584, 419951]"/>
    <s v="#FIELD!"/>
    <s v="[1273578, 1273584]"/>
    <s v="[0.001, 0.03]"/>
    <s v="119.29549429220202"/>
    <s v="[-0.001, -0.03]"/>
  </r>
  <r>
    <x v="4045"/>
    <x v="4603"/>
    <x v="0"/>
    <n v="0"/>
    <s v="LINESTRING (15.930623838420413 67.96326164353056, 15.93069810357907 67.96324929316991, 15.930887783690707 67.96325010411287, 15.931032268980717 67.96328534705087, 15.931094039498223 67.96332473564628)"/>
    <s v="[1387871, 1387879, 1387887, 1387895]"/>
    <s v="[1273959, 1273963, 1273967, 1273971]"/>
    <s v="0.017988732111627204"/>
    <s v="[1273958, 1273959, 1273963, 1273967]"/>
    <s v="[0.049, 0.035, 0.003, 0.008]"/>
    <s v="23.65413650478573"/>
    <s v="[0.049, 0.035, 0.003, -0.008]"/>
  </r>
  <r>
    <x v="4045"/>
    <x v="4604"/>
    <x v="0"/>
    <n v="0"/>
    <s v="LINESTRING (15.930469690450327 67.96337858973037, 15.93051068483676 67.96330489188064, 15.930623838420413 67.96326164353056)"/>
    <s v="[1387951, 1387959]"/>
    <s v="[1273998, 1273958]"/>
    <s v="0.055107829550274975"/>
    <s v="[1273994, 1273998]"/>
    <s v="[0.056, 0.054]"/>
    <s v="15.15422073468783"/>
    <s v="[0.056, 0.054]"/>
  </r>
  <r>
    <x v="4045"/>
    <x v="1482"/>
    <x v="0"/>
    <n v="0"/>
    <s v="LINESTRING (15.929976284204525 67.9631953363821, 15.930324258378842 67.96323032693576, 15.930512231340554 67.9632493305891, 15.930623838420413 67.96326164353056)"/>
    <s v="[1388007, 1388015, 1388023]"/>
    <s v="[1274026, 1274028, 1273958]"/>
    <s v="0.01329636299323193"/>
    <s v="[1274011, 1274026, 1274028]"/>
    <s v="[0.006, 0.021, 0.023]"/>
    <s v="28.10522247141949"/>
    <s v="[0.006, 0.021, 0.023]"/>
  </r>
  <r>
    <x v="4046"/>
    <x v="4605"/>
    <x v="0"/>
    <n v="0"/>
    <s v="LINESTRING (15.931094039498223 67.96332473564628, 15.931098968138222 67.96339996788171, 15.930995570462706 67.96345836588667)"/>
    <s v="[1387903, 1387911]"/>
    <s v="[1273975, 1273979]"/>
    <s v="#FIELD!"/>
    <s v="[1273971, 1273975]"/>
    <s v="[0.04, 0.055]"/>
    <s v="16.209355371466884"/>
    <s v="[-0.04, -0.055]"/>
  </r>
  <r>
    <x v="4046"/>
    <x v="4606"/>
    <x v="0"/>
    <n v="0"/>
    <s v="LINESTRING (15.931094039498223 67.96332473564628, 15.93120489530214 67.9633486688784, 15.931321413495265 67.96337204075049, 15.931393083760128 67.9633843100674, 15.931685102433615 67.96342948167475)"/>
    <s v="[1388103, 1388111, 1388119, 1388127]"/>
    <s v="[1274090, 1274095, 1274098, 1274054]"/>
    <s v="0.019142118083853746"/>
    <s v="[1273971, 1274090, 1274095, 1274098]"/>
    <s v="[0.008, 0.019, 0.022, 0.023]"/>
    <s v="27.40704104010425"/>
    <s v="[0.008, 0.019, 0.022, 0.023]"/>
  </r>
  <r>
    <x v="4047"/>
    <x v="4604"/>
    <x v="0"/>
    <n v="0"/>
    <s v="LINESTRING (15.930995570462706 67.96345836588667, 15.930950596437173 67.96347032643297, 15.930768027392958 67.96348607023629, 15.930582021122445 67.96345778951186, 15.930469690450327 67.96337858973037)"/>
    <s v="[1387919, 1387927, 1387935, 1387943]"/>
    <s v="[1273982, 1273989, 1273992, 1273994]"/>
    <s v="#FIELD!"/>
    <s v="[1273979, 1273982, 1273989, 1273992]"/>
    <s v="[0.057, 0.051, 0.021, 0.022]"/>
    <s v="28.55800075272542"/>
    <s v="[-0.057, -0.051, -0.021, 0.022]"/>
  </r>
  <r>
    <x v="4047"/>
    <x v="4606"/>
    <x v="0"/>
    <n v="0"/>
    <s v="LINESTRING (15.930995570462706 67.96345836588667, 15.931143174499725 67.96345461549801, 15.931272414504488 67.96345095992453, 15.931349322615269 67.96344851537609, 15.931685102433615 67.96342948167475)"/>
    <s v="[1388031, 1388039, 1388047, 1388055]"/>
    <s v="[1274038, 1274045, 1274050, 1274054]"/>
    <s v="0.043733167474995394"/>
    <s v="[1273979, 1274038, 1274045, 1274050]"/>
    <s v="[0.045, 0.04, 0.042, 0.045]"/>
    <s v="29.071972178845538"/>
    <s v="[0.045, 0.04, 0.042, 0.045]"/>
  </r>
  <r>
    <x v="4048"/>
    <x v="1482"/>
    <x v="0"/>
    <n v="0"/>
    <s v="LINESTRING (15.929976284204525 67.9631953363821, 15.930227099021918 67.96329124569954, 15.930368442863022 67.96334228558257, 15.930469690450327 67.96337858973037)"/>
    <s v="[1387983, 1387991, 1387999]"/>
    <s v="[1274014, 1274018, 1273994]"/>
    <s v="#FIELD!"/>
    <s v="[1274011, 1274014, 1274018]"/>
    <s v="[0.024, 0.006, 0.008]"/>
    <s v="29.059633758589626"/>
    <s v="[-0.024, -0.006, -0.008]"/>
  </r>
  <r>
    <x v="4049"/>
    <x v="4607"/>
    <x v="0"/>
    <n v="0"/>
    <s v="LINESTRING (15.931685102433615 67.96342948167475, 15.95599306875907 68.00081564867176)"/>
    <m/>
    <m/>
    <s v="0.0"/>
    <m/>
    <n v="0"/>
    <s v="11535.50774066956"/>
    <n v="0"/>
  </r>
  <r>
    <x v="4050"/>
    <x v="4608"/>
    <x v="0"/>
    <n v="0"/>
    <s v="LINESTRING (11.067371399506799 60.186241953317456, 11.067408349668268 60.18619930689688, 11.067673977767477 60.18588892473656)"/>
    <s v="[1389964, 1389972]"/>
    <s v="[1275206, 1275213]"/>
    <s v="#FIELD!"/>
    <s v="[1275205, 1275206]"/>
    <s v="0.006"/>
    <s v="42.7739777978617"/>
    <s v="#FIELD!"/>
  </r>
  <r>
    <x v="4050"/>
    <x v="4609"/>
    <x v="0"/>
    <n v="0"/>
    <s v="LINESTRING (11.067371399506799 60.186241953317456, 11.06751900001575 60.18624696694357, 11.067628140983498 60.18628221219661)"/>
    <s v="[1390109, 1390117]"/>
    <s v="[1275324, 1275287]"/>
    <s v="0.003403614253612624"/>
    <s v="[1275205, 1275324]"/>
    <s v="[0.002, 0.005]"/>
    <s v="15.429162587573895"/>
    <s v="[0.002, 0.005]"/>
  </r>
  <r>
    <x v="4050"/>
    <x v="4610"/>
    <x v="0"/>
    <n v="0"/>
    <s v="LINESTRING (11.067192584348081 60.18644178712776, 11.06715949775958 60.18638344979358, 11.067176898865592 60.186322566874125, 11.06728840245451 60.18625971477505, 11.067371399506799 60.186241953317456)"/>
    <s v="[1390077, 1390085, 1390093, 1390101]"/>
    <s v="[1275255, 1275309, 1275234, 1275205]"/>
    <s v="#FIELD!"/>
    <s v="[1275280, 1275255, 1275309, 1275234]"/>
    <s v="[0.008, 0.007, 0.004, 0.002]"/>
    <s v="27.967369265466644"/>
    <s v="[-0.008, -0.007, -0.004, -0.002]"/>
  </r>
  <r>
    <x v="4051"/>
    <x v="4611"/>
    <x v="422"/>
    <n v="0"/>
    <s v="LINESTRING (11.067673977767477 60.18588892473656, 11.068247511914405 60.18477595084064, 11.069478500463163 60.182755656937694, 11.07190115326631 60.18063947105756, 11.075742677216109 60.17910649720091, 11.080346233971 60.17842842866202)"/>
    <s v="[1525138, 1525146, 1525154, 1525162, 1525170]"/>
    <s v="[1379001, 1379009, 492678, 1379022, 1361247]"/>
    <s v="0.001930249042158677"/>
    <s v="[1275213, 1379001, 1379009, 492678, 1379022]"/>
    <s v="[0.007, 0.0, 0.001, 0.005, 0.001]"/>
    <s v="1179.1467515027807"/>
    <s v="[0.007, -0.0, 0.001, 0.005, -0.001]"/>
  </r>
  <r>
    <x v="4051"/>
    <x v="4609"/>
    <x v="0"/>
    <n v="0"/>
    <s v="LINESTRING (11.067628140983498 60.18628221219661, 11.067628643850727 60.18622073741296, 11.067673977767477 60.18588892473656)"/>
    <s v="[1390061, 1390069]"/>
    <s v="[1275288, 1275213]"/>
    <s v="#FIELD!"/>
    <s v="[1275287, 1275288]"/>
    <s v="0.007"/>
    <s v="43.91184394721687"/>
    <s v="#FIELD!"/>
  </r>
  <r>
    <x v="4052"/>
    <x v="4612"/>
    <x v="0"/>
    <n v="0"/>
    <s v="LINESTRING (11.067179439886655 60.18684450502248, 11.067449268979736 60.186550204740136, 11.06750673872551 60.18650307961445)"/>
    <s v="[1389980, 1389988]"/>
    <s v="[1275222, 1275228]"/>
    <s v="#FIELD!"/>
    <s v="[1275221, 1275222]"/>
    <s v="0.006"/>
    <s v="42.19650019297201"/>
    <s v="#FIELD!"/>
  </r>
  <r>
    <x v="4052"/>
    <x v="4610"/>
    <x v="0"/>
    <n v="0"/>
    <s v="LINESTRING (11.067179439886655 60.18684450502248, 11.067210456653523 60.18651517078992, 11.067192584348081 60.18644178712776)"/>
    <s v="[1390045, 1390053]"/>
    <s v="[1275272, 1275280]"/>
    <s v="#FIELD!"/>
    <s v="[1275221, 1275272]"/>
    <s v="[0.007, 0.008]"/>
    <s v="45.1206770454191"/>
    <s v="[-0.007, -0.008]"/>
  </r>
  <r>
    <x v="4052"/>
    <x v="4613"/>
    <x v="0"/>
    <n v="0"/>
    <s v="LINESTRING (11.065961838070688 60.18922449112911, 11.06618823631851 60.188758358177324, 11.066697014689703 60.187793809395096, 11.067024625665004 60.18715709062465, 11.067179439886655 60.18684450502248)"/>
    <s v="[1525106, 1525114, 1525122, 1525130]"/>
    <s v="[1378973, 1378980, 1378988, 1275221]"/>
    <s v="#FIELD!"/>
    <s v="[1361240, 1378973, 1378980, 1378988]"/>
    <s v="[0.02, 0.007, 0.008, 0.025]"/>
    <s v="273.6957346105004"/>
    <s v="[0.02, -0.007, 0.008, -0.025]"/>
  </r>
  <r>
    <x v="4053"/>
    <x v="4610"/>
    <x v="0"/>
    <n v="0"/>
    <s v="LINESTRING (11.06750673872551 60.18650307961445, 11.067342465584783 60.18650161611926, 11.067192584348081 60.18644178712776)"/>
    <s v="[1390166, 1390174]"/>
    <s v="[1275364, 1275280]"/>
    <s v="#FIELD!"/>
    <s v="[1275228, 1275364]"/>
    <s v="[0.002, 0.006]"/>
    <s v="19.77792191191525"/>
    <s v="[-0.002, -0.006]"/>
  </r>
  <r>
    <x v="4053"/>
    <x v="4609"/>
    <x v="0"/>
    <n v="0"/>
    <s v="LINESTRING (11.067628140983498 60.18628221219661, 11.067695483301174 60.18635145557088, 11.06767332273521 60.18643098569751, 11.067594664780152 60.18648034027248, 11.06750673872551 60.18650307961445)"/>
    <s v="[1390125, 1390142, 1390150, 1390158]"/>
    <s v="[1275335, 1275348, 1275354, 1275228]"/>
    <s v="0.005902797734045858"/>
    <s v="[1275287, 1275335, 1275348, 1275354]"/>
    <s v="[0.008, 0.007, 0.005, 0.002]"/>
    <s v="30.040909643306474"/>
    <s v="[0.008, 0.007, 0.005, 0.002]"/>
  </r>
  <r>
    <x v="4054"/>
    <x v="4614"/>
    <x v="0"/>
    <n v="0"/>
    <s v="LINESTRING (9.225602460166966 59.56478474893657, 9.224063818109608 59.56518914502144, 9.223966869726743 59.56522483329538)"/>
    <s v="[1391275, 1391276]"/>
    <s v="[1275998, 1275999]"/>
    <s v="#FIELD!"/>
    <s v="[1275989, 1275998]"/>
    <s v="[0.108, 0.107]"/>
    <s v="104.97251720879146"/>
    <s v="[-0.108, -0.107]"/>
  </r>
  <r>
    <x v="4054"/>
    <x v="4615"/>
    <x v="0"/>
    <n v="0"/>
    <s v="LINESTRING (9.225602460166966 59.56478474893657, 9.22397756544818 59.56509685414467, 9.223863691195602 59.565110566053555)"/>
    <s v="[1391284, 1391292]"/>
    <s v="[1276005, 1276012]"/>
    <s v="#FIELD!"/>
    <s v="[1275989, 1276005]"/>
    <s v="[0.119, 0.159]"/>
    <s v="105.17374909839725"/>
    <s v="[-0.119, -0.159]"/>
  </r>
  <r>
    <x v="4055"/>
    <x v="4616"/>
    <x v="0"/>
    <n v="0"/>
    <s v="LINESTRING (9.223966869726743 59.56522483329538, 9.223922864257908 59.565278762480354, 9.223820213779627 59.565317484108746, 9.223700229928706 59.56532348967908, 9.223619144590385 59.56530796403618)"/>
    <s v="[1391360, 1391368, 1391376, 1391384]"/>
    <s v="[1276013, 1276074, 1276028, 1276087]"/>
    <s v="#FIELD!"/>
    <s v="[1275999, 1276013, 1276074, 1276028]"/>
    <s v="[0.036, 0.114, 0.173, 0.166]"/>
    <s v="25.47116084136676"/>
    <s v="[-0.036, -0.114, -0.173, -0.166]"/>
  </r>
  <r>
    <x v="4055"/>
    <x v="4615"/>
    <x v="0"/>
    <n v="0"/>
    <s v="LINESTRING (9.223863691195602 59.565110566053555, 9.223946153898673 59.56515822737902, 9.223966869726743 59.56522483329538)"/>
    <s v="[1391416, 1391424]"/>
    <s v="[1276114, 1275999]"/>
    <s v="0.1001680516949386"/>
    <s v="[1276012, 1276114]"/>
    <s v="[0.145, 0.058]"/>
    <s v="14.590942290589732"/>
    <s v="[0.145, 0.058]"/>
  </r>
  <r>
    <x v="4056"/>
    <x v="4617"/>
    <x v="0"/>
    <n v="0"/>
    <m/>
    <n v="1391408"/>
    <n v="1276012"/>
    <s v="0.115"/>
    <n v="1276103"/>
    <s v="0.115"/>
    <s v="26.034995266260534"/>
    <s v="0.115"/>
  </r>
  <r>
    <x v="4057"/>
    <x v="4617"/>
    <x v="0"/>
    <n v="0"/>
    <s v="LINESTRING (9.223619144590385 59.56530796403618, 9.223530492902839 59.56525698583228, 9.223511211736033 59.565194836398796)"/>
    <s v="[1391392, 1391400]"/>
    <s v="[1276094, 1276103]"/>
    <s v="#FIELD!"/>
    <s v="[1276087, 1276094]"/>
    <s v="[0.134, 0.054]"/>
    <s v="14.596423916103845"/>
    <s v="[-0.134, -0.054]"/>
  </r>
  <r>
    <x v="4057"/>
    <x v="4618"/>
    <x v="0"/>
    <n v="0"/>
    <s v="LINESTRING (9.223619144590385 59.56530796403618, 9.22351939700243 59.565317925822555, 9.221831666834493 59.5655643169637)"/>
    <s v="[1391472, 1391480]"/>
    <s v="[1276161, 1276137]"/>
    <s v="#FIELD!"/>
    <s v="[1276087, 1276161]"/>
    <s v="[0.166, 0.049]"/>
    <s v="105.29643321169351"/>
    <s v="[-0.166, -0.049]"/>
  </r>
  <r>
    <x v="4058"/>
    <x v="4618"/>
    <x v="0"/>
    <n v="0"/>
    <s v="LINESTRING (9.223511211736033 59.565194836398796, 9.223428898410944 59.56522268294619, 9.221831666834493 59.5655643169637)"/>
    <s v="[1391432, 1391440]"/>
    <s v="[1276128, 1276137]"/>
    <s v="#FIELD!"/>
    <s v="[1276103, 1276128]"/>
    <s v="[0.121, 0.038]"/>
    <s v="103.87060938331584"/>
    <s v="[-0.121, -0.038]"/>
  </r>
  <r>
    <x v="4059"/>
    <x v="1440"/>
    <x v="0"/>
    <n v="0"/>
    <m/>
    <n v="1391448"/>
    <n v="1276144"/>
    <s v="#FIELD!"/>
    <n v="1276137"/>
    <s v="0.005"/>
    <s v="366.8720966726344"/>
    <s v="#FIELD!"/>
  </r>
  <r>
    <x v="4060"/>
    <x v="4619"/>
    <x v="0"/>
    <n v="0"/>
    <s v="LINESTRING (10.412924317391875 59.73909177906696, 10.412916506111904 59.73916165769342, 10.412840770704994 59.73922016633592, 10.412720231979296 59.73925462298633, 10.412556856267887 59.739250706177)"/>
    <s v="[1392839, 1392847, 1392855, 1392863]"/>
    <s v="[229353, 1277052, 1277054, 1277055]"/>
    <s v="0.04900424714158891"/>
    <s v="[1277050, 229353, 1277052, 1277054]"/>
    <s v="[0.0, 0.046, 0.068, 0.077]"/>
    <s v="32.58613860014256"/>
    <s v="[0.0, 0.046, 0.068, 0.077]"/>
  </r>
  <r>
    <x v="4060"/>
    <x v="4620"/>
    <x v="0"/>
    <n v="0"/>
    <s v="LINESTRING (10.412739242344387 59.738986372454896, 10.412858569748671 59.73902562285203, 10.412924317391875 59.73909177906696)"/>
    <s v="[1392895, 1392903]"/>
    <s v="[1277064, 1277050]"/>
    <s v="#FIELD!"/>
    <s v="[1277062, 1277064]"/>
    <s v="[0.072, 0.035]"/>
    <s v="16.262356640682476"/>
    <s v="[-0.072, -0.035]"/>
  </r>
  <r>
    <x v="4060"/>
    <x v="938"/>
    <x v="0"/>
    <n v="0"/>
    <s v="LINESTRING (10.41349305478542 59.73871058475694, 10.412992776755548 59.73903708106922, 10.412924317391875 59.73909177906696)"/>
    <s v="[1422344, 1422352]"/>
    <s v="[1297864, 1277050]"/>
    <s v="0.08055152579485605"/>
    <s v="[1297863, 1297864]"/>
    <s v="[0.039, 0.348]"/>
    <s v="53.62590271691707"/>
    <s v="[0.039, 0.348]"/>
  </r>
  <r>
    <x v="4061"/>
    <x v="4621"/>
    <x v="0"/>
    <n v="0"/>
    <s v="LINESTRING (10.412556856267887 59.739250706177, 10.412431541860723 59.73920315160495, 10.41237552096214 59.73913103974505)"/>
    <s v="[1392871, 1392879]"/>
    <s v="[1277056, 1277059]"/>
    <s v="0.050698588494861675"/>
    <s v="[1277055, 1277056]"/>
    <s v="[0.069, 0.032]"/>
    <s v="17.453506757449095"/>
    <s v="[0.069, 0.032]"/>
  </r>
  <r>
    <x v="4061"/>
    <x v="4622"/>
    <x v="0"/>
    <n v="0"/>
    <s v="LINESTRING (10.412556856267887 59.739250706177, 10.412418940778574 59.73928013866224, 10.411657319424641 59.73948275236343)"/>
    <s v="[1422624, 1422632]"/>
    <s v="[1298035, 1291516]"/>
    <s v="#FIELD!"/>
    <s v="[1277055, 1298035]"/>
    <s v="[0.278, 0.038]"/>
    <s v="57.021455551680496"/>
    <s v="[-0.278, 0.038]"/>
  </r>
  <r>
    <x v="4062"/>
    <x v="4620"/>
    <x v="0"/>
    <n v="0"/>
    <m/>
    <n v="1392887"/>
    <n v="1277062"/>
    <s v="#FIELD!"/>
    <n v="1277059"/>
    <s v="0.053"/>
    <s v="30.67565715345318"/>
    <s v="#FIELD!"/>
  </r>
  <r>
    <x v="4062"/>
    <x v="4622"/>
    <x v="0"/>
    <n v="0"/>
    <s v="LINESTRING (10.41237552096214 59.73913103974505, 10.412305420187348 59.739174455714036, 10.411657319424641 59.73948275236343)"/>
    <s v="[2129611, 2129619]"/>
    <s v="[1832603, 1291516]"/>
    <s v="#FIELD!"/>
    <s v="[1277059, 1832603]"/>
    <s v="[0.205, 0.053]"/>
    <s v="56.60214369693722"/>
    <s v="[0.205, -0.053]"/>
  </r>
  <r>
    <x v="4063"/>
    <x v="938"/>
    <x v="0"/>
    <n v="0"/>
    <s v="LINESTRING (10.41349305478542 59.73871058475694, 10.412852043669877 59.73895817465514, 10.412739242344387 59.738986372454896)"/>
    <s v="[2129587, 2129595]"/>
    <s v="[1832593, 1277062]"/>
    <s v="0.09876650326777782"/>
    <s v="[1297863, 1832593]"/>
    <s v="[0.119, 0.032]"/>
    <s v="52.851928048911006"/>
    <s v="[0.119, -0.032]"/>
  </r>
  <r>
    <x v="4064"/>
    <x v="427"/>
    <x v="0"/>
    <n v="0"/>
    <s v="LINESTRING (10.264174884762161 59.754225030681795, 10.264181767433568 59.75427642345517, 10.264154929189669 59.754318089491086)"/>
    <s v="[1393063, 1393071]"/>
    <s v="[1277123, 1277098]"/>
    <s v="0.018217324470344316"/>
    <s v="[1277120, 1277123]"/>
    <s v="[0.015, 0.022]"/>
    <s v="10.62453223541979"/>
    <s v="[0.015, 0.022]"/>
  </r>
  <r>
    <x v="4064"/>
    <x v="2896"/>
    <x v="0"/>
    <n v="0"/>
    <s v="LINESTRING (10.264706286092084 59.75429761184475, 10.264486856122948 59.754307057653975, 10.264252667604678 59.75431510666832, 10.264154929189669 59.754318089491086)"/>
    <s v="[1423259, 1423267, 1423275]"/>
    <s v="[1298500, 1298505, 1277098]"/>
    <s v="0.00602721021843502"/>
    <s v="[1298209, 1298500, 1298505]"/>
    <s v="[0.018, 0.019, 0.052]"/>
    <s v="31.0934141404067"/>
    <s v="[0.018, 0.019, -0.052]"/>
  </r>
  <r>
    <x v="4065"/>
    <x v="2896"/>
    <x v="0"/>
    <n v="0"/>
    <s v="LINESTRING (10.264706286092084 59.75429761184475, 10.264263876645373 59.75423117651526, 10.264174884762161 59.754225030681795)"/>
    <s v="[2130627, 2130635]"/>
    <s v="[1833125, 1277120]"/>
    <s v="4.188776901543619e-06"/>
    <s v="[1298209, 1833125]"/>
    <s v="[0.053, 0.274]"/>
    <s v="31.16452495194862"/>
    <s v="[-0.053, 0.274]"/>
  </r>
  <r>
    <x v="4066"/>
    <x v="4623"/>
    <x v="0"/>
    <n v="0"/>
    <m/>
    <n v="1393326"/>
    <n v="1277254"/>
    <s v="0.009"/>
    <n v="1277249"/>
    <s v="0.009"/>
    <s v="18.91709560520244"/>
    <s v="0.009"/>
  </r>
  <r>
    <x v="4066"/>
    <x v="287"/>
    <x v="0"/>
    <n v="0"/>
    <s v="LINESTRING (10.257150225637417 59.76823069691777, 10.257225221089834 59.76820093708323, 10.257421608585027 59.767909319739395)"/>
    <s v="[1635096, 1635104]"/>
    <s v="[1461870, 1461385]"/>
    <s v="#FIELD!"/>
    <s v="[1277249, 1461870]"/>
    <s v="[0.132, 0.021]"/>
    <s v="41.46938289231108"/>
    <s v="[-0.132, -0.021]"/>
  </r>
  <r>
    <x v="4067"/>
    <x v="430"/>
    <x v="0"/>
    <n v="0"/>
    <s v="LINESTRING (10.257096554697084 59.76837618130341, 10.257031558615008 59.768385524608014, 10.256932644166977 59.76837628155424, 10.25685831709015 59.768342112331844, 10.25685811373094 59.76824442138477, 10.256892291434829 59.76822391669085)"/>
    <s v="[1393334, 1393340, 1393341, 1393342, 1393343]"/>
    <s v="[1277261, 1277268, 262511, 1277269, 1277270]"/>
    <s v="0.017807965600774335"/>
    <s v="[1277254, 1277261, 1277268, 262511, 1277269]"/>
    <s v="[0.055, 0.047, 0.03, 0.003, 0.029]"/>
    <s v="29.414733939779715"/>
    <s v="[0.055, 0.047, 0.03, -0.003, -0.029]"/>
  </r>
  <r>
    <x v="4067"/>
    <x v="285"/>
    <x v="0"/>
    <n v="0"/>
    <s v="LINESTRING (10.25817080177434 59.768533657524934, 10.257204937774093 59.7684006169831, 10.257096554697084 59.76837618130341)"/>
    <s v="[1634747, 1634755]"/>
    <s v="[1461548, 1277254]"/>
    <s v="0.03748000806915698"/>
    <s v="[1461371, 1461548]"/>
    <s v="[0.034, 0.067]"/>
    <s v="63.28683870785926"/>
    <s v="[0.034, 0.067]"/>
  </r>
  <r>
    <x v="4068"/>
    <x v="4624"/>
    <x v="0"/>
    <n v="0"/>
    <s v="LINESTRING (15.76611849521861 68.52944216167187, 15.76585289090605 68.52947198452334, 15.765652283935252 68.52944760511592, 15.76555039394223 68.52941030840971, 15.765483558616376 68.52935267096001, 15.765495052563258 68.52928520507301, 15.765590614787879 68.5292248186906, 15.765797800151296 68.52918342294909)"/>
    <s v="[1394434, 1394444, 1394453, 1394454, 1394455, 1394458, 1394475]"/>
    <s v="[1278069, 1278079, 1278083, 1278084, 1278085, 1278086, 1278094]"/>
    <s v="0.014136041103114488"/>
    <s v="[1278068, 1278069, 1278079, 1278083, 1278084, 1278085, 1278086]"/>
    <s v="[0.044, 0.019, 0.007, 0.022, 0.038, 0.058, 0.058]"/>
    <s v="58.00030888173343"/>
    <s v="[-0.044, -0.019, 0.007, 0.022, 0.038, 0.058, 0.058]"/>
  </r>
  <r>
    <x v="4068"/>
    <x v="4625"/>
    <x v="0"/>
    <n v="0"/>
    <s v="LINESTRING (15.766246401122027 68.52927232711436, 15.766246920599265 68.5293813021921, 15.76611849521861 68.52944216167187)"/>
    <s v="[1394510, 1394514]"/>
    <s v="[1278110, 1278068]"/>
    <s v="#FIELD!"/>
    <s v="[1278109, 1278110]"/>
    <s v="[0.05, 0.06]"/>
    <s v="20.9600400972704"/>
    <s v="[-0.05, -0.06]"/>
  </r>
  <r>
    <x v="4068"/>
    <x v="4626"/>
    <x v="0"/>
    <n v="0"/>
    <s v="LINESTRING (15.766916926356762 68.52951920792731, 15.766224022180054 68.52944739401366, 15.76611849521861 68.52944216167187)"/>
    <s v="[1395259, 1395273]"/>
    <s v="[1278563, 1278068]"/>
    <s v="#FIELD!"/>
    <s v="[1278381, 1278563]"/>
    <s v="[0.684, 4.764]"/>
    <s v="33.85637801657558"/>
    <s v="[0.684, -4.764]"/>
  </r>
  <r>
    <x v="4069"/>
    <x v="4627"/>
    <x v="0"/>
    <n v="0"/>
    <s v="LINESTRING (15.765797800151296 68.52918342294909, 15.765978989546483 68.52918543146522, 15.766159306956823 68.52922375163848)"/>
    <s v="[1394483, 1394493]"/>
    <s v="[1278098, 1278100]"/>
    <s v="0.027372191181610394"/>
    <s v="[1278094, 1278098]"/>
    <s v="[0.037, 0.019]"/>
    <s v="15.920016763658392"/>
    <s v="[0.037, 0.019]"/>
  </r>
  <r>
    <x v="4069"/>
    <x v="4628"/>
    <x v="0"/>
    <n v="0"/>
    <s v="LINESTRING (15.765797800151296 68.52918342294909, 15.765838660198531 68.52915382628613, 15.76606778497077 68.52896767275016)"/>
    <s v="[1395169, 1395188]"/>
    <s v="[1278500, 1278515]"/>
    <s v="0.6770244314599001"/>
    <s v="[1278094, 1278500]"/>
    <s v="[4.87, 0.004]"/>
    <s v="26.466800378955327"/>
    <s v="[4.87, -0.004]"/>
  </r>
  <r>
    <x v="4070"/>
    <x v="4625"/>
    <x v="0"/>
    <n v="0"/>
    <m/>
    <n v="1394509"/>
    <n v="1278109"/>
    <s v="#FIELD!"/>
    <n v="1278100"/>
    <s v="0.019"/>
    <s v="6.480100307829208"/>
    <s v="#FIELD!"/>
  </r>
  <r>
    <x v="4070"/>
    <x v="4628"/>
    <x v="0"/>
    <n v="0"/>
    <s v="LINESTRING (15.766159306956823 68.52922375163848, 15.766140281471255 68.52917754763018, 15.76606778497077 68.52896767275016)"/>
    <s v="[1395254, 1395258]"/>
    <s v="[1278558, 1278515]"/>
    <s v="0.6066976147948069"/>
    <s v="[1278100, 1278558]"/>
    <s v="[3.53, 0.039]"/>
    <s v="28.797620825393903"/>
    <s v="[3.53, -0.039]"/>
  </r>
  <r>
    <x v="4071"/>
    <x v="4626"/>
    <x v="0"/>
    <n v="0"/>
    <s v="LINESTRING (15.766916926356762 68.52951920792731, 15.76635540541982 68.52931435367549, 15.766246401122027 68.52927232711436)"/>
    <s v="[1395280, 1395297]"/>
    <s v="[1278577, 1278109]"/>
    <s v="0.015108396350059722"/>
    <s v="[1278381, 1278577]"/>
    <s v="[0.618, 3.004]"/>
    <s v="38.83433424114965"/>
    <s v="[0.618, -3.004]"/>
  </r>
  <r>
    <x v="4072"/>
    <x v="4629"/>
    <x v="423"/>
    <n v="0"/>
    <s v="LINESTRING (15.97414178786607 68.53530252634204, 15.766916926356762 68.52951920792731)"/>
    <m/>
    <m/>
    <s v="0.0"/>
    <m/>
    <n v="0"/>
    <s v="16283.804932249759"/>
    <n v="0"/>
  </r>
  <r>
    <x v="4073"/>
    <x v="3489"/>
    <x v="424"/>
    <n v="0"/>
    <s v="LINESTRING (15.76606778497077 68.52896767275016, 15.48125482599389 68.46488314721229)"/>
    <m/>
    <m/>
    <s v="0.0"/>
    <m/>
    <n v="0"/>
    <s v="13969.250494224472"/>
    <n v="0"/>
  </r>
  <r>
    <x v="4074"/>
    <x v="2460"/>
    <x v="0"/>
    <n v="0"/>
    <s v="LINESTRING (8.69962790033813 58.42131087494018, 8.698100115834613 58.418644667340345, 8.696166979222447 58.41742156506593)"/>
    <s v="[1398372, 1398380]"/>
    <s v="[1280511, 1280434]"/>
    <s v="0.002239260993923416"/>
    <s v="[1280442, 1280511]"/>
    <s v="[0.009, 0.022]"/>
    <s v="491.15616477039555"/>
    <s v="[-0.009, 0.022]"/>
  </r>
  <r>
    <x v="4074"/>
    <x v="2458"/>
    <x v="0"/>
    <s v="[0, 1, 0, 0, 0]"/>
    <s v="LINESTRING (8.698614733626961 58.417890224064465, 8.698065907953332 58.41807631016221, 8.697328916969694 58.41852004815891, 8.698134877861875 58.41875905049835, 8.696397771573068 58.41755499471161, 8.696166979222447 58.41742156506593)"/>
    <s v="[1751292, 1751293, 1751305, 950889, 1398220]"/>
    <s v="[1551498, 1551499, 919203, 919204, 1280434]"/>
    <s v="#FIELD!"/>
    <s v="[1551469, 1551498, 1551499, 919203, 919204]"/>
    <s v="[0.008, 0.015, 0.054, 0.021, 0.018]"/>
    <s v="492.4420399883384"/>
    <s v="[0.008, 0.015, -0.054, 0.021, 0.018]"/>
  </r>
  <r>
    <x v="4075"/>
    <x v="3749"/>
    <x v="0"/>
    <s v="[0, 0, 0, 0, 1, 0]"/>
    <s v="LINESTRING (8.699724826493219 58.421381132725635, 8.699695394811975 58.421250766145114, 8.698089364402751 58.41855758727956, 8.69623605103228 58.41737839563393, 8.695415558996494 58.417026102855246, 8.695327123769747 58.4169928256479, 8.693812290338379 58.41650246045209)"/>
    <s v="[1398300, 1398308, 1398316, 1398676, 1398684, 1398692]"/>
    <s v="[1280477, 1280482, 1280483, 1280649, 1280655, 1280437]"/>
    <s v="0.030870948358098338"/>
    <s v="[1280449, 1280477, 1280482, 1280483, 1280649, 1280655]"/>
    <s v="[0.006, 0.012, 0.022, 0.065, 0.165, 0.151]"/>
    <s v="675.7388028870228"/>
    <s v="[0.006, -0.012, 0.022, 0.065, 0.165, 0.151]"/>
  </r>
  <r>
    <x v="4076"/>
    <x v="2458"/>
    <x v="0"/>
    <n v="0"/>
    <s v="LINESTRING (8.698614733626961 58.417890224064465, 8.698566399816867 58.41791854944609, 8.699695004195311 58.42114532070869, 8.699724826493219 58.421381132725635)"/>
    <s v="[1751249, 1751262, 1398244]"/>
    <s v="[1551470, 1280448, 1280449]"/>
    <s v="#FIELD!"/>
    <s v="[1551469, 1551470, 1280448]"/>
    <s v="[0.015, 0.015, 0.012]"/>
    <s v="404.5376832322968"/>
    <s v="[0.015, -0.015, -0.012]"/>
  </r>
  <r>
    <x v="4077"/>
    <x v="4630"/>
    <x v="0"/>
    <n v="0"/>
    <s v="LINESTRING (11.208238096755275 59.177541108274355, 11.20787325564237 59.17780900611405, 11.203385011300238 59.18135353059114, 11.202878785195683 59.1819433396901, 11.201585834735585 59.1842527442066)"/>
    <s v="[1404420, 1404428, 1404508, 1404526]"/>
    <s v="[1285456, 1285462, 1285534, 1285529]"/>
    <s v="0.016496818742402792"/>
    <s v="[1285447, 1285456, 1285462, 1285534]"/>
    <s v="[0.021, 0.013, 0.023, 0.026]"/>
    <s v="847.696451842959"/>
    <s v="[-0.021, 0.013, 0.023, 0.026]"/>
  </r>
  <r>
    <x v="4077"/>
    <x v="4631"/>
    <x v="0"/>
    <n v="0"/>
    <s v="LINESTRING (11.208238096755275 59.177541108274355, 11.208118541249695 59.17768850865891, 11.207594749692397 59.179557153288286, 11.207653101752486 59.17953638377641)"/>
    <s v="[1404468, 1404596, 1674506]"/>
    <s v="[1285497, 1285601, 1501842]"/>
    <s v="0.006289022251460397"/>
    <s v="[1285447, 1285497, 1285601]"/>
    <s v="[0.019, 0.019, 0.907]"/>
    <s v="349.0123304062178"/>
    <s v="[-0.019, 0.019, -0.907]"/>
  </r>
  <r>
    <x v="4078"/>
    <x v="4632"/>
    <x v="0"/>
    <n v="0"/>
    <s v="LINESTRING (11.20768503529651 59.177742942871426, 11.203182834170178 59.18130105889263, 11.202682346301238 59.18188428379752)"/>
    <s v="[1404452, 1404536]"/>
    <s v="[1285481, 1285519]"/>
    <s v="0.014609786920584237"/>
    <s v="[1285473, 1285481]"/>
    <s v="[0.012, 0.032]"/>
    <s v="544.1424553767076"/>
    <s v="[0.012, 0.032]"/>
  </r>
  <r>
    <x v="4078"/>
    <x v="4633"/>
    <x v="425"/>
    <s v="[0, 0, 0, 0, 0, 0, 1, 0, 0, 0]"/>
    <s v="LINESTRING (11.264688751473933 59.13352222933803, 11.251177626880585 59.14521128170402, 11.244154095574975 59.14920964870709, 11.244026424968972 59.14926926615522, 11.240526072100014 59.15084798064548, 11.228544251903408 59.15735388146253, 11.219175181734917 59.165363302982584, 11.21888123841855 59.16563566694509, 11.214384782650807 59.17182987392428, 11.208047452083978 59.17747622429473, 11.20768503529651 59.177742942871426)"/>
    <s v="[1626268, 1626276, 1626284, 1626292, 1626332, 1404364, 1404372, 1404380, 1404436, 1404444]"/>
    <s v="[1454860, 1454862, 1454869, 1454875, 1285408, 1285409, 1285415, 1285422, 1285466, 1285473]"/>
    <s v="0.001637706724326592"/>
    <s v="[1454836, 1454860, 1454862, 1454869, 1454875, 1285408, 1285409, 1285415, 1285422, 1285466]"/>
    <s v="[0.001, 0.005, 0.019, 0.028, 0.012, 0.022, 0.015, 0.002, 0.053, 0.02]"/>
    <s v="5977.355240954559"/>
    <s v="[0.001, 0.005, 0.019, 0.028, 0.012, 0.022, 0.015, 0.002, -0.053, -0.02]"/>
  </r>
  <r>
    <x v="4078"/>
    <x v="4634"/>
    <x v="0"/>
    <n v="0"/>
    <s v="LINESTRING (11.20393467649144 59.17955174794028, 11.203947313583976 59.17958574827608, 11.206653747631766 59.17842339381386, 11.207486510597036 59.17783880747949, 11.20768503529651 59.177742942871426)"/>
    <s v="[1674514, 1404594, 1404595, 1404460]"/>
    <s v="[1285599, 1285600, 1285489, 1285473]"/>
    <s v="#FIELD!"/>
    <s v="[1501846, 1285599, 1285600, 1285489]"/>
    <s v="[0.246, 0.01, 0.018, 0.021]"/>
    <s v="342.7782632271649"/>
    <s v="[0.246, -0.01, -0.018, 0.021]"/>
  </r>
  <r>
    <x v="4079"/>
    <x v="4635"/>
    <x v="0"/>
    <n v="0"/>
    <s v="LINESTRING (11.202682346301238 59.18188428379752, 11.202737526679241 59.1817538201736, 11.20382436395836 59.17961360771274, 11.203802111017877 59.17957834624543)"/>
    <s v="[1404492, 1404601, 1674538]"/>
    <s v="[1285520, 1285604, 1501861]"/>
    <s v="#FIELD!"/>
    <s v="[1285519, 1285520, 1285604]"/>
    <s v="[0.029, 0.016, 0.2]"/>
    <s v="278.8498772554415"/>
    <s v="[-0.029, -0.016, -0.2]"/>
  </r>
  <r>
    <x v="4079"/>
    <x v="4636"/>
    <x v="426"/>
    <s v="[0, 0, 0, 1, 0, 1, 0, 1, 0, 0, 0, 0, 0]"/>
    <s v="LINESTRING (11.202682346301238 59.18188428379752, 11.201367613692021 59.184226293395945, 11.201112117918191 59.18482329885355, 11.188796046443017 59.20013195025907, 11.188461474053927 59.2002262320318, 11.18353014009531 59.20174378989286, 11.18316923844604 59.20188520070337, 11.178234347829095 59.2043618441678, 11.177997494643554 59.20452722735993, 11.174291395006321 59.20707748901173, 11.173712898218113 59.2074266044201, 11.172163090997579 59.20827636343896, 11.171951091638796 59.208383396454956, 11.17110923378286 59.20879636052205)"/>
    <s v="[1404551, 1404569, 1629727, 1629815, 1629823, 1629831, 1629839, 1629847, 1629860, 1629868, 1629881, 1616241, 1616249]"/>
    <s v="[1285571, 1285584, 1457387, 1457451, 1457455, 1457459, 1457463, 1457469, 1457480, 1457486, 1448874, 1448875, 1448879]"/>
    <s v="0.0013622617403708293"/>
    <s v="[1285519, 1285571, 1285584, 1457387, 1457451, 1457455, 1457459, 1457463, 1457469, 1457480, 1457486, 1448874, 1448875]"/>
    <s v="[0.027, 0.015, 0.011, 0.055, 0.019, 0.016, 0.039, 0.061, 0.042, 0.009, 0.036, 0.003, 0.004]"/>
    <s v="3725.230602685656"/>
    <s v="[0.027, 0.015, -0.011, -0.055, -0.019, -0.016, 0.039, 0.061, 0.042, -0.009, -0.036, -0.003, -0.004]"/>
  </r>
  <r>
    <x v="4080"/>
    <x v="4637"/>
    <x v="0"/>
    <s v="[0, 0, 1, 0, 1, 0, 1, 0, 0, 0, 0, 0, 0]"/>
    <s v="LINESTRING (11.201585834735585 59.1842527442066, 11.201334173063971 59.18484791143793, 11.188896336588146 59.20023683859609, 11.18857099240289 59.20032851476756, 11.183685118184576 59.20183284945087, 11.18332444194192 59.201970671377495, 11.178424754541357 59.20444004110261, 11.178197191504042 59.20458788009588, 11.174465255206895 59.20715291174696, 11.1738839673902 59.20750347397238, 11.172328106813186 59.20835766842359, 11.17211244577576 59.20846906176543, 11.171270205708401 59.208881368337096, 11.166936441641871 59.21094541054559)"/>
    <s v="[1404535, 1629735, 1629751, 1629759, 1629767, 1629775, 1629783, 1629791, 1629799, 1629807, 1616305, 1616313, 1616321]"/>
    <s v="[1285554, 1457391, 1457405, 1457412, 1457420, 1457425, 1457430, 1457437, 1457442, 1448919, 1448920, 1448926, 1448929]"/>
    <s v="#FIELD!"/>
    <s v="[1285529, 1285554, 1457391, 1457405, 1457412, 1457420, 1457425, 1457430, 1457437, 1457442, 1448919, 1448920, 1448926]"/>
    <s v="[0.015, 0.01, 0.055, 0.021, 0.015, 0.042, 0.061, 0.038, 0.007, 0.036, 0.004, 0.003, 0.006]"/>
    <s v="3799.0576653351013"/>
    <s v="[0.015, -0.01, -0.055, -0.021, -0.015, 0.042, 0.061, 0.038, -0.007, -0.036, -0.004, -0.003, -0.006]"/>
  </r>
  <r>
    <x v="4080"/>
    <x v="4638"/>
    <x v="0"/>
    <n v="0"/>
    <s v="LINESTRING (11.20772685210245 59.179597870923416, 11.207662597159391 59.17961185154354, 11.203014531937862 59.181910425491836, 11.202198942485952 59.18314521624884, 11.201693020739214 59.18416070571209, 11.201585834735585 59.1842527442066)"/>
    <s v="[1674522, 1674530, 1404599, 1404600, 1404500]"/>
    <s v="[1501852, 1285602, 1285603, 1285528, 1285529]"/>
    <s v="0.01696498006671326"/>
    <s v="[1501851, 1501852, 1285602, 1285603, 1285528]"/>
    <s v="[0.032, 0.01, 0.033, 0.018, 0.026]"/>
    <s v="654.2566642324917"/>
    <s v="[0.032, 0.01, 0.033, 0.018, 0.026]"/>
  </r>
  <r>
    <x v="4081"/>
    <x v="4639"/>
    <x v="0"/>
    <n v="0"/>
    <s v="LINESTRING (10.753919142986968 59.386281673178864, 10.754008223712193 59.3862397696149, 10.754752972284939 59.38543923282995, 10.755217182091933 59.384968153859276, 10.772453768340384 59.37770862175981, 10.773007913501965 59.37757229704876, 10.773490278303665 59.37745451099569)"/>
    <s v="[1406362, 1406370, 1406378, 1406386, 1406394, 1406594]"/>
    <s v="[1286830, 1286836, 1286843, 1286850, 1286860, 1287039]"/>
    <s v="0.0014106220616974063"/>
    <s v="[1286829, 1286830, 1286836, 1286843, 1286850, 1286860]"/>
    <s v="[0.022, 0.0, 0.002, 0.002, 0.013, 0.008]"/>
    <s v="1510.3889432784954"/>
    <s v="[0.022, -0.0, 0.002, 0.002, -0.013, -0.008]"/>
  </r>
  <r>
    <x v="4081"/>
    <x v="4640"/>
    <x v="0"/>
    <n v="0"/>
    <s v="LINESTRING (10.752413694176594 59.3863010223971, 10.752492441711755 59.38634188713453, 10.752796559824086 59.38640783234186, 10.753181774264265 59.38641148934507, 10.75343209923116 59.386383142468745, 10.753919142986968 59.386281673178864)"/>
    <s v="[1406402, 1406410, 1406418, 1406426, 1406434]"/>
    <s v="[1286870, 1286876, 1286881, 1286889, 1286829]"/>
    <s v="0.046247075828127225"/>
    <s v="[1286869, 1286870, 1286876, 1286881, 1286889]"/>
    <s v="[0.05, 0.053, 0.05, 0.045, 0.039]"/>
    <s v="91.83903590700103"/>
    <s v="[0.05, 0.053, 0.05, 0.045, 0.039]"/>
  </r>
  <r>
    <x v="4081"/>
    <x v="4641"/>
    <x v="0"/>
    <n v="0"/>
    <s v="LINESTRING (10.752256839115025 59.38639931590725, 10.752390108486946 59.386416106512165, 10.75267418574612 59.38645320853548, 10.75325226724565 59.38646225445628, 10.753459906811685 59.38643836074228, 10.75354881622464 59.38642372466438, 10.753919142986968 59.386281673178864)"/>
    <s v="[1406498, 1406506, 1406514, 1406522, 1406530, 1406538]"/>
    <s v="[1286952, 1286958, 1286920, 1286935, 1286981, 1286829]"/>
    <s v="0.04302921392869172"/>
    <s v="[1286951, 1286952, 1286958, 1286920, 1286935, 1286981]"/>
    <s v="[0.051, 0.05, 0.051, 0.046, 0.039, 0.026]"/>
    <s v="101.69232297087875"/>
    <s v="[0.051, 0.05, 0.051, 0.046, 0.039, 0.026]"/>
  </r>
  <r>
    <x v="4082"/>
    <x v="4641"/>
    <x v="0"/>
    <n v="0"/>
    <s v="LINESTRING (10.752413694176594 59.3863010223971, 10.752358665502982 59.38636037378135, 10.752256839115025 59.38639931590725)"/>
    <s v="[1701531, 1701539]"/>
    <s v="[1520580, 1286951]"/>
    <s v="#FIELD!"/>
    <s v="[1286869, 1520580]"/>
    <s v="[0.004, 0.022]"/>
    <s v="14.551058788812504"/>
    <s v="[0.004, -0.022]"/>
  </r>
  <r>
    <x v="4082"/>
    <x v="4642"/>
    <x v="0"/>
    <n v="0"/>
    <m/>
    <n v="1701523"/>
    <n v="1286869"/>
    <s v="#FIELD!"/>
    <n v="1502487"/>
    <s v="0.009"/>
    <s v="12.044270317493467"/>
    <s v="#FIELD!"/>
  </r>
  <r>
    <x v="4083"/>
    <x v="353"/>
    <x v="0"/>
    <n v="0"/>
    <s v="LINESTRING (11.296759500542104 60.59385398248124, 11.29758308103771 60.59424018286863, 11.304272986974023 60.59889503357586, 11.30509710123894 60.599487871270604)"/>
    <s v="[1726467, 1726475, 1406454]"/>
    <s v="[1536191, 1286913, 1286914]"/>
    <s v="0.015969990065077468"/>
    <s v="[1536181, 1536191, 1286913]"/>
    <s v="[0.021, 0.024, 0.019]"/>
    <s v="777.9844732359322"/>
    <s v="[-0.021, 0.024, -0.019]"/>
  </r>
  <r>
    <x v="4084"/>
    <x v="354"/>
    <x v="0"/>
    <n v="0"/>
    <s v="LINESTRING (11.297709902159077 60.594175442495384, 11.304450010730273 60.598835531769105, 11.305265355517603 60.5994313794589, 11.306044520445615 60.60000419105536, 11.30605074113208 60.60000877627011)"/>
    <s v="[1726443, 1406478, 1406486, 1406494]"/>
    <s v="[1286930, 1286931, 1286938, 1286945]"/>
    <s v="0.014441028206008557"/>
    <s v="[1536159, 1286930, 1286931, 1286938]"/>
    <s v="[0.021, 0.012, 0.012, 0.044]"/>
    <s v="795.0924317773292"/>
    <s v="[0.021, -0.012, -0.012, -0.044]"/>
  </r>
  <r>
    <x v="4085"/>
    <x v="4643"/>
    <x v="0"/>
    <n v="0"/>
    <s v="LINESTRING (10.752256839115025 59.38639931590725, 10.752109126134208 59.386405091721485, 10.751972079527286 59.38636485234084)"/>
    <s v="[1701547, 1701555]"/>
    <s v="[464826, 1502506]"/>
    <s v="0.025183148751537224"/>
    <s v="[1286951, 464826]"/>
    <s v="[0.044, 0.09]"/>
    <s v="17.410909373878948"/>
    <s v="[-0.044, 0.09]"/>
  </r>
  <r>
    <x v="4086"/>
    <x v="326"/>
    <x v="0"/>
    <n v="0"/>
    <m/>
    <n v="1406510"/>
    <n v="1286962"/>
    <s v="0.046"/>
    <n v="1286961"/>
    <s v="0.046"/>
    <s v="15.0572473695658"/>
    <s v="0.046"/>
  </r>
  <r>
    <x v="4086"/>
    <x v="4644"/>
    <x v="0"/>
    <n v="0"/>
    <s v="LINESTRING (11.298462354754516 60.63298773348024, 11.29844760582134 60.63304448962165, 11.29839091230976 60.633088848953406)"/>
    <s v="[1406558, 1406566]"/>
    <s v="[1287009, 1286961]"/>
    <s v="0.03451413089487557"/>
    <s v="[1287001, 1287009]"/>
    <s v="[0.024, 0.046]"/>
    <s v="12.212380040735836"/>
    <s v="[0.024, 0.046]"/>
  </r>
  <r>
    <x v="4086"/>
    <x v="314"/>
    <x v="0"/>
    <n v="0"/>
    <s v="LINESTRING (11.298866886052934 60.63312207351891, 11.298478625542188 60.63309515198976, 11.29839091230976 60.633088848953406)"/>
    <s v="[1406702, 1406710]"/>
    <s v="[1287129, 1286961]"/>
    <s v="0.04063121918958351"/>
    <s v="[1287096, 1287129]"/>
    <s v="[0.041, 0.039]"/>
    <s v="26.314709363321818"/>
    <s v="[0.041, 0.039]"/>
  </r>
  <r>
    <x v="4087"/>
    <x v="324"/>
    <x v="0"/>
    <n v="0"/>
    <s v="LINESTRING (11.298134020325216 60.63312056299911, 11.297963321729602 60.63297049681042, 11.298024512550775 60.63291565620279, 11.298132263011897 60.63288241833281, 11.298227512111811 60.6328767872781)"/>
    <s v="[1406518, 1406526, 1406534, 1406542]"/>
    <s v="[1286969, 1286976, 1286985, 1286994]"/>
    <s v="#FIELD!"/>
    <s v="[1286962, 1286969, 1286976, 1286985]"/>
    <s v="[0.001, 0.04, 0.052, 0.043]"/>
    <s v="39.80657779461115"/>
    <s v="[-0.001, -0.04, -0.052, -0.043]"/>
  </r>
  <r>
    <x v="4088"/>
    <x v="4644"/>
    <x v="0"/>
    <n v="0"/>
    <m/>
    <n v="1406550"/>
    <n v="1287001"/>
    <s v="#FIELD!"/>
    <n v="1286994"/>
    <s v="0.013"/>
    <s v="18.961933114604676"/>
    <s v="#FIELD!"/>
  </r>
  <r>
    <x v="4089"/>
    <x v="314"/>
    <x v="0"/>
    <n v="0"/>
    <s v="LINESTRING (11.298866886052934 60.63312207351891, 11.2985319875787 60.633011583959465, 11.298462354754516 60.63298773348024)"/>
    <s v="[1406662, 1406670]"/>
    <s v="[1287097, 1287001]"/>
    <s v="0.024"/>
    <s v="[1287096, 1287097]"/>
    <s v="0.024"/>
    <s v="26.72870710635204"/>
    <s v="0.024"/>
  </r>
  <r>
    <x v="4090"/>
    <x v="152"/>
    <x v="0"/>
    <n v="0"/>
    <m/>
    <n v="1431852"/>
    <n v="1291062"/>
    <s v="0.001"/>
    <n v="1287650"/>
    <s v="0.001"/>
    <s v="11.16549061521226"/>
    <s v="0.001"/>
  </r>
  <r>
    <x v="4090"/>
    <x v="2224"/>
    <x v="0"/>
    <n v="0"/>
    <s v="LINESTRING (10.275553659881428 60.1290471983698, 10.275385614864366 60.12924167821141, 10.2751541696688 60.12961227046945)"/>
    <s v="[2122804, 2122812]"/>
    <s v="[1828770, 1291070]"/>
    <s v="#FIELD!"/>
    <s v="[1287650, 1828770]"/>
    <s v="[0.329, 0.215]"/>
    <s v="67.14587696942311"/>
    <s v="[0.329, -0.215]"/>
  </r>
  <r>
    <x v="4091"/>
    <x v="4645"/>
    <x v="0"/>
    <n v="0"/>
    <s v="LINESTRING (10.274498033073806 60.130816472120785, 10.27404644424447 60.13309865094783, 10.273950674181906 60.13394138677439, 10.273839629585257 60.134458783783)"/>
    <s v="[1407354, 1407362, 1407370]"/>
    <s v="[1287656, 1287662, 1287669]"/>
    <s v="0.06331317186877697"/>
    <s v="[1287655, 1287656, 1287662]"/>
    <s v="[0.062, 0.064, 0.068]"/>
    <s v="408.30532479787274"/>
    <s v="[0.062, 0.064, 0.068]"/>
  </r>
  <r>
    <x v="4091"/>
    <x v="151"/>
    <x v="0"/>
    <s v="[0, 0, 1, 0]"/>
    <s v="LINESTRING (10.274818440914236 60.130355131861734, 10.274761029380583 60.130447764386474, 10.274722479844057 60.13051452850065, 10.274585217145232 60.130752553492044, 10.274498033073806 60.130816472120785)"/>
    <s v="[1431876, 1431884, 1431892, 1431900]"/>
    <s v="[1303529, 1303535, 1303540, 1287655]"/>
    <s v="0.049318195568583766"/>
    <s v="[1291078, 1303529, 1303535, 1303540]"/>
    <s v="[0.083, 0.035, 0.039, 0.053]"/>
    <s v="54.77652118848076"/>
    <s v="[0.083, 0.035, 0.039, 0.053]"/>
  </r>
  <r>
    <x v="4091"/>
    <x v="2225"/>
    <x v="0"/>
    <s v="[1, 1, 0]"/>
    <s v="LINESTRING (10.274628856598161 60.130499793639075, 10.274580374544078 60.13058322919389, 10.274495668541917 60.13073907058167, 10.274498033073806 60.130816472120785)"/>
    <s v="[2122836, 2122844, 2122852]"/>
    <s v="[1828789, 1828792, 1287655]"/>
    <s v="0.05084475445940627"/>
    <s v="[1291096, 1828789, 1828792]"/>
    <s v="[1.167, 0.039, 1.177]"/>
    <s v="36.30931284469241"/>
    <s v="[1.167, 0.039, -1.177]"/>
  </r>
  <r>
    <x v="4092"/>
    <x v="4646"/>
    <x v="0"/>
    <n v="0"/>
    <s v="LINESTRING (10.272183544710131 60.13565724726378, 10.2723911292522 60.135543957320586, 10.272553960631923 60.1354491870338, 10.272718135187977 60.1353479525657, 10.273839629585257 60.134458783783)"/>
    <s v="[2080450, 2080538, 2080546, 2080554]"/>
    <s v="[1803904, 1803942, 1224340, 1287669]"/>
    <s v="#FIELD!"/>
    <s v="[1803888, 1803904, 1803942, 1224340]"/>
    <s v="[0.02, 0.025, 0.029, 0.082]"/>
    <s v="163.62458010644605"/>
    <s v="[-0.02, -0.025, -0.029, -0.082]"/>
  </r>
  <r>
    <x v="4093"/>
    <x v="4647"/>
    <x v="0"/>
    <n v="0"/>
    <m/>
    <n v="2080458"/>
    <n v="1803815"/>
    <s v="0.081"/>
    <n v="1287674"/>
    <s v="0.081"/>
    <s v="75.49905747291481"/>
    <s v="0.081"/>
  </r>
  <r>
    <x v="4094"/>
    <x v="1364"/>
    <x v="0"/>
    <n v="0"/>
    <s v="LINESTRING (10.257794519035743 60.14569436666083, 10.254050872440441 60.14677763388403, 10.253506560345755 60.14685912740735)"/>
    <s v="[1431972, 1431980]"/>
    <s v="[1303594, 1287788]"/>
    <s v="#FIELD!"/>
    <s v="[1287780, 1303594]"/>
    <s v="[0.018, 0.044]"/>
    <s v="274.3743196819138"/>
    <s v="[-0.018, -0.044]"/>
  </r>
  <r>
    <x v="4095"/>
    <x v="167"/>
    <x v="0"/>
    <n v="0"/>
    <s v="LINESTRING (10.218661100963562 60.15514770031468, 10.218818386047646 60.155695519436804, 10.218860442048635 60.15579698254222, 10.219074687906105 60.16426933025959, 10.216924451568469 60.167266591461406, 10.216866071331964 60.167311963899515, 10.21496926119497 60.1689667484927)"/>
    <s v="[1407666, 1407674, 1407682, 1407690, 1407698, 1407706]"/>
    <s v="[1287900, 1287905, 1287910, 1287917, 1287922, 1287926]"/>
    <s v="0.011217137612739432"/>
    <s v="[1287899, 1287900, 1287905, 1287910, 1287917, 1287922]"/>
    <s v="[0.01, 0.027, 0.004, 0.038, 0.008, 0.008]"/>
    <s v="1636.1274748596525"/>
    <s v="[-0.01, -0.027, 0.004, 0.038, 0.008, 0.008]"/>
  </r>
  <r>
    <x v="4095"/>
    <x v="4648"/>
    <x v="0"/>
    <n v="0"/>
    <s v="LINESTRING (10.219964053191728 60.152944233778236, 10.219874745353815 60.15298040219275, 10.218686809713741 60.1548781987453, 10.218661100963562 60.15514770031468)"/>
    <s v="[1716911, 1716930, 1716931]"/>
    <s v="[1530752, 1530761, 1287899]"/>
    <s v="#FIELD!"/>
    <s v="[1530707, 1530752, 1530761]"/>
    <s v="[0.08, 0.04, 0.024]"/>
    <s v="280.0911485350864"/>
    <s v="[-0.08, -0.04, -0.024]"/>
  </r>
  <r>
    <x v="4095"/>
    <x v="4649"/>
    <x v="0"/>
    <n v="0"/>
    <m/>
    <n v="1716952"/>
    <n v="1287899"/>
    <s v="#FIELD!"/>
    <n v="1530772"/>
    <s v="0.014"/>
    <s v="49.57487211277232"/>
    <s v="#FIELD!"/>
  </r>
  <r>
    <x v="4096"/>
    <x v="151"/>
    <x v="0"/>
    <n v="0"/>
    <s v="LINESTRING (10.275539992867692 60.12914447122662, 10.275244036662405 60.1296373223511, 10.274818440914236 60.130355131861734)"/>
    <s v="[1431860, 1431868]"/>
    <s v="[1303520, 1291078]"/>
    <s v="0.0027412565060346444"/>
    <s v="[1291062, 1303520]"/>
    <s v="[0.002, 0.006]"/>
    <s v="140.78362259838732"/>
    <s v="[-0.002, 0.006]"/>
  </r>
  <r>
    <x v="4097"/>
    <x v="2225"/>
    <x v="0"/>
    <n v="0"/>
    <s v="LINESTRING (10.2751541696688 60.12961227046945, 10.274738428558132 60.130308665349595, 10.274628856598161 60.130499793639075)"/>
    <s v="[2122820, 2122828]"/>
    <s v="[1828778, 1291096]"/>
    <s v="0.026601029388530546"/>
    <s v="[1291070, 1828778]"/>
    <s v="[0.16, 0.461]"/>
    <s v="103.1502299495451"/>
    <s v="[0.16, -0.461]"/>
  </r>
  <r>
    <x v="4098"/>
    <x v="4650"/>
    <x v="0"/>
    <n v="0"/>
    <m/>
    <n v="1412327"/>
    <n v="1291319"/>
    <s v="#FIELD!"/>
    <n v="1291176"/>
    <s v="0.042"/>
    <s v="13.684025869952814"/>
    <s v="#FIELD!"/>
  </r>
  <r>
    <x v="4098"/>
    <x v="4651"/>
    <x v="0"/>
    <n v="0"/>
    <s v="LINESTRING (5.257988875287223 60.5330719277811, 5.257988875287223 60.5330719277811, 5.257577132286713 60.533021228039026, 5.256755317380763 60.532560990497316)"/>
    <s v="[1412073, 1412199, 1412191]"/>
    <s v="[1291177, 1291247, 1291183]"/>
    <s v="#FIELD!"/>
    <s v="[1291176, 1291177, 1291247]"/>
    <s v="[0.0, 0.025, 0.014]"/>
    <s v="131.82672977553938"/>
    <s v="[0.0, -0.025, -0.014]"/>
  </r>
  <r>
    <x v="4099"/>
    <x v="4652"/>
    <x v="0"/>
    <n v="0"/>
    <s v="LINESTRING (5.256755317380763 60.532560990497316, 5.256371575979736 60.53248785965873, 5.256251394076377 60.5324675712175)"/>
    <s v="[1412081, 1412089]"/>
    <s v="[1291184, 1291189]"/>
    <s v="#FIELD!"/>
    <s v="[1291183, 1291184]"/>
    <s v="[0.039, 0.03]"/>
    <s v="29.65445370956693"/>
    <s v="[-0.039, -0.03]"/>
  </r>
  <r>
    <x v="4099"/>
    <x v="4653"/>
    <x v="0"/>
    <n v="0"/>
    <s v="LINESTRING (5.256755317380763 60.532560990497316, 5.25647363924285 60.53241041103345, 5.256385077984796 60.53236523938698)"/>
    <s v="[1412094, 1412102]"/>
    <s v="[1291192, 1291195]"/>
    <s v="#FIELD!"/>
    <s v="[1291183, 1291192]"/>
    <s v="[0.017, 0.004]"/>
    <s v="29.907597433748265"/>
    <s v="[-0.017, -0.004]"/>
  </r>
  <r>
    <x v="4100"/>
    <x v="4654"/>
    <x v="0"/>
    <n v="0"/>
    <s v="LINESTRING (5.256251394076377 60.5324675712175, 5.25615901555883 60.532481573522574, 5.25601417390206 60.53246818931584, 5.25590242365225 60.53241291362037, 5.255912002138465 60.532290583259424, 5.25600435202364 60.53224762939889, 5.256126626947642 60.532231306263476, 5.256255398880047 60.53224802997078)"/>
    <s v="[2025239, 2025247, 2025255, 2025263, 2025264, 2025271, 2025279]"/>
    <s v="[1766203, 1768456, 1760758, 1764654, 1768468, 1760728, 1757000]"/>
    <s v="0.012074563880475953"/>
    <s v="[1291189, 1766203, 1768456, 1760758, 1764654, 1768468, 1760728]"/>
    <s v="[0.652, 0.022, 0.024, 0.012, 0.005, 0.015, 0.625]"/>
    <s v="57.596546447031606"/>
    <s v="[-0.652, -0.022, -0.024, -0.012, 0.005, 0.015, 0.625]"/>
  </r>
  <r>
    <x v="4100"/>
    <x v="4653"/>
    <x v="0"/>
    <n v="0"/>
    <s v="LINESTRING (5.256385077984796 60.53236523938698, 5.25634536036606 60.5324247361881, 5.256267073617403 60.532462791600764, 5.256251394076377 60.5324675712175)"/>
    <s v="[2025290, 2025305, 2025313]"/>
    <s v="[1768486, 1768496, 1291189]"/>
    <s v="#FIELD!"/>
    <s v="[1291195, 1768486, 1768496]"/>
    <s v="[0.576, 0.004, 3.328]"/>
    <s v="14.071734134199607"/>
    <s v="[-0.576, -0.004, 3.328]"/>
  </r>
  <r>
    <x v="4101"/>
    <x v="4655"/>
    <x v="0"/>
    <n v="0"/>
    <m/>
    <n v="2025289"/>
    <n v="1291195"/>
    <s v="#FIELD!"/>
    <n v="1291275"/>
    <s v="0.027"/>
    <s v="5.286028755663184"/>
    <s v="#FIELD!"/>
  </r>
  <r>
    <x v="4102"/>
    <x v="4656"/>
    <x v="0"/>
    <n v="0"/>
    <m/>
    <n v="1412158"/>
    <n v="1291224"/>
    <s v="0.04"/>
    <n v="1291200"/>
    <s v="0.04"/>
    <s v="26.08408208053891"/>
    <s v="0.04"/>
  </r>
  <r>
    <x v="4102"/>
    <x v="4657"/>
    <x v="0"/>
    <s v="[0, 0, 1, 0, 0]"/>
    <s v="LINESTRING (5.258168986175119 60.530459949455235, 5.258116778708388 60.5306891930747, 5.257768605736018 60.532854830422394, 5.257928768187977 60.53323077627068, 5.258085195587148 60.533483899587125, 5.258684787603723 60.53419749853684)"/>
    <s v="[1412110, 1412118, 1412126, 1412134, 1412142]"/>
    <s v="[1291201, 1291203, 1291208, 1291212, 1291216]"/>
    <s v="0.012922362479788846"/>
    <s v="[1291200, 1291201, 1291203, 1291208, 1291212]"/>
    <s v="[0.014, 0.002, 0.043, 0.033, 0.033]"/>
    <s v="428.9381286613108"/>
    <s v="[0.014, -0.002, 0.043, 0.033, 0.033]"/>
  </r>
  <r>
    <x v="4102"/>
    <x v="4650"/>
    <x v="0"/>
    <n v="0"/>
    <s v="LINESTRING (5.258168986175119 60.530459949455235, 5.258229102681492 60.53055397610547, 5.258764843050043 60.53283935583519)"/>
    <s v="[1412367, 1412375]"/>
    <s v="[1291342, 1291319]"/>
    <s v="0.001063076399209451"/>
    <s v="[1291200, 1291342]"/>
    <s v="[0.028, 0.0]"/>
    <s v="290.202234138915"/>
    <s v="[0.028, 0.0]"/>
  </r>
  <r>
    <x v="4102"/>
    <x v="4658"/>
    <x v="427"/>
    <s v="[0, 1, 1, 1, 0, 0]"/>
    <s v="LINESTRING (5.279372710425012 60.518308574674286, 5.276032833574636 60.519187488317286, 5.2647113221971455 60.52377790528904, 5.2637368964124995 60.52440637862825, 5.25845350382046 60.52986871352673, 5.258281133277709 60.53021969603531, 5.258168986175119 60.530459949455235)"/>
    <s v="[2000067, 2000075, 2000084, 2000108, 2000109, 1412295]"/>
    <s v="[1753315, 1753319, 1753327, 1753340, 1291299, 1291200]"/>
    <s v="#FIELD!"/>
    <s v="[1753306, 1753315, 1753319, 1753327, 1753340, 1291299]"/>
    <s v="[0.033, 0.023, 0.0, 0.007, 0.081, 0.091]"/>
    <s v="1856.6951320184878"/>
    <s v="[-0.033, -0.023, 0.0, 0.007, 0.081, 0.091]"/>
  </r>
  <r>
    <x v="4103"/>
    <x v="2543"/>
    <x v="0"/>
    <s v="[0, 1, 0, 0, 0, 0, 0, 0, 0]"/>
    <s v="LINESTRING (5.258684787603723 60.53419749853684, 5.25903373681289 60.53465438152104, 5.259060986230594 60.53473257973878, 5.261539627391723 60.5405029333252, 5.263463698449336 60.541730881453084, 5.264204993900885 60.541948122419974, 5.265311980418383 60.54214100904693, 5.266433254022352 60.54222079539522, 5.268002285781612 60.54227756582538, 5.2683372030530515 60.54233353963284)"/>
    <s v="[1412303, 1822754, 1822763, 1822774, 1822782, 1822790, 1822798, 1822806, 1822814]"/>
    <s v="[1291304, 1602205, 1602213, 1602223, 1602228, 1602233, 1602236, 1602241, 1602247]"/>
    <s v="0.012792269565847112"/>
    <s v="[1291216, 1291304, 1602205, 1602213, 1602223, 1602228, 1602233, 1602236, 1602241]"/>
    <s v="[0.044, 0.324, 0.033, 0.004, 0.039, 0.042, 0.039, 0.041, 0.128]"/>
    <s v="1204.7226211319553"/>
    <s v="[0.044, 0.324, 0.033, 0.004, -0.039, -0.042, -0.039, -0.041, -0.128]"/>
  </r>
  <r>
    <x v="4103"/>
    <x v="4650"/>
    <x v="0"/>
    <s v="[0, 0, 1, 0, 0]"/>
    <s v="LINESTRING (5.258764843050043 60.53283935583519, 5.258743401431594 60.53277742602312, 5.257850347361757 60.53286699375586, 5.258006533099802 60.53323511063, 5.258729562353912 60.53415757974741, 5.258684787603723 60.53419749853684)"/>
    <s v="[1412335, 1412343, 1412351, 1412359, 1412207]"/>
    <s v="[1291324, 1291328, 1291333, 1291252, 1291216]"/>
    <s v="0.020185904349268084"/>
    <s v="[1291319, 1291324, 1291328, 1291333, 1291252]"/>
    <s v="[0.056, 0.001, 0.046, 0.033, 0.002]"/>
    <s v="252.3074118034527"/>
    <s v="[-0.056, -0.001, 0.046, 0.033, -0.002]"/>
  </r>
  <r>
    <x v="4104"/>
    <x v="2542"/>
    <x v="0"/>
    <s v="[0, 1, 0]"/>
    <s v="LINESTRING (5.258019610513262 60.530681420935686, 5.257637578351761 60.5328414161774, 5.257783430225629 60.533211269204834, 5.257958594339333 60.533502185874)"/>
    <s v="[1412166, 1412174, 1412183]"/>
    <s v="[1291230, 1291236, 1291241]"/>
    <s v="0.0040602121307201046"/>
    <s v="[1291224, 1291230, 1291236]"/>
    <s v="[0.005, 0.035, 0.031]"/>
    <s v="320.6695623281342"/>
    <s v="[-0.005, 0.035, 0.031]"/>
  </r>
  <r>
    <x v="4104"/>
    <x v="4654"/>
    <x v="0"/>
    <n v="0"/>
    <s v="LINESTRING (5.256255398880047 60.53224802997078, 5.256396254861883 60.53222674266953, 5.257381777773196 60.53197534726423, 5.257392725350187 60.53196812918693, 5.257933491065854 60.53069696175647, 5.258019610513262 60.530681420935686)"/>
    <s v="[2006752, 2006760, 2006768, 1412065, 1412215]"/>
    <s v="[1757001, 1757006, 1291171, 1291172, 1291224]"/>
    <s v="0.00933172012479572"/>
    <s v="[1757000, 1757001, 1757006, 1291171, 1291172]"/>
    <s v="[0.027, 0.009, 1.709, 0.024, 0.095]"/>
    <s v="223.01383623476647"/>
    <s v="[0.027, 0.009, -1.709, 0.024, -0.095]"/>
  </r>
  <r>
    <x v="4105"/>
    <x v="4655"/>
    <x v="0"/>
    <s v="[0, 0, 1, 0, 0]"/>
    <s v="LINESTRING (5.257958594339333 60.533502185874, 5.257896853982321 60.53348400513115, 5.257716221405465 60.5332045187104, 5.257563526190943 60.53283604323844, 5.256474159095125 60.532321257352514, 5.256373808251855 60.532318270726186)"/>
    <s v="[1412223, 1412231, 1412239, 1412247, 1412255]"/>
    <s v="[1291262, 1291264, 1291268, 1291272, 1291275]"/>
    <s v="#FIELD!"/>
    <s v="[1291241, 1291262, 1291264, 1291268, 1291272]"/>
    <s v="[0.045, 0.031, 0.032, 0.006, 0.027]"/>
    <s v="185.58374480741264"/>
    <s v="[-0.045, -0.031, -0.032, -0.006, -0.027]"/>
  </r>
  <r>
    <x v="4106"/>
    <x v="4654"/>
    <x v="0"/>
    <n v="0"/>
    <m/>
    <n v="2025280"/>
    <n v="1291275"/>
    <s v="0.012"/>
    <n v="1757000"/>
    <s v="0.012"/>
    <s v="10.205493618511339"/>
    <s v="0.012"/>
  </r>
  <r>
    <x v="4107"/>
    <x v="2237"/>
    <x v="0"/>
    <n v="0"/>
    <s v="LINESTRING (10.218063708114954 60.17310087816643, 10.218093195218113 60.173122290755394, 10.219191850081264 60.1739232013598, 10.21938734346137 60.174054891861736, 10.220628118956224 60.17483484078608, 10.221385842373978 60.175261016002935, 10.222638876575633 60.17587746441773)"/>
    <s v="[2123365, 2123373, 2123381, 2123389, 2123397, 2123405]"/>
    <s v="[1829094, 1829100, 1829103, 1829110, 1829118, 1291336]"/>
    <s v="#FIELD!"/>
    <s v="[1291443, 1829094, 1829100, 1829103, 1829110, 1829118]"/>
    <s v="[0.361, 0.017, 0.009, 0.001, 0.013, 0.017]"/>
    <s v="401.46489569279436"/>
    <s v="[-0.361, 0.017, 0.009, -0.001, -0.013, -0.017]"/>
  </r>
  <r>
    <x v="4108"/>
    <x v="4659"/>
    <x v="0"/>
    <n v="0"/>
    <s v="LINESTRING (10.411657319424641 59.73948275236343, 10.410823332987261 59.739722213287116, 10.410602008538394 59.739782028990106, 10.401566899429294 59.741053832246806, 10.385596418144429 59.741104520859864)"/>
    <s v="[1412597, 1412602, 1412610, 1412618]"/>
    <s v="[1291517, 1291519, 1291525, 1291531]"/>
    <s v="#FIELD!"/>
    <s v="[1291516, 1291517, 1291519, 1291525]"/>
    <s v="[0.031, 0.005, 0.008, 0.006]"/>
    <s v="1500.5560720915305"/>
    <s v="[0.031, 0.005, -0.008, -0.006]"/>
  </r>
  <r>
    <x v="4109"/>
    <x v="4660"/>
    <x v="0"/>
    <n v="0"/>
    <m/>
    <n v="1632002"/>
    <n v="1459275"/>
    <s v="0.032"/>
    <n v="1291531"/>
    <s v="0.032"/>
    <s v="47.17017749305097"/>
    <s v="0.032"/>
  </r>
  <r>
    <x v="4109"/>
    <x v="4661"/>
    <x v="0"/>
    <n v="0"/>
    <s v="LINESTRING (10.385596418144429 59.741104520859864, 10.384763205660992 59.74109670205131, 10.382060252325997 59.74088021921509)"/>
    <s v="[1632050, 1632051]"/>
    <s v="[1459315, 1459316]"/>
    <s v="#FIELD!"/>
    <s v="[1291531, 1459315]"/>
    <s v="[0.028, 0.041]"/>
    <s v="201.16663806985537"/>
    <s v="[0.028, -0.041]"/>
  </r>
  <r>
    <x v="4110"/>
    <x v="4662"/>
    <x v="0"/>
    <n v="0"/>
    <m/>
    <n v="1632021"/>
    <n v="1291538"/>
    <s v="#FIELD!"/>
    <n v="1459284"/>
    <s v="0.009"/>
    <s v="40.116699298626386"/>
    <s v="#FIELD!"/>
  </r>
  <r>
    <x v="4110"/>
    <x v="4663"/>
    <x v="0"/>
    <n v="0"/>
    <s v="LINESTRING (10.378463201038105 59.7402705467421, 10.376848803094877 59.73986088992578, 10.37641661046276 59.73973763233811, 10.375827264706835 59.73952778569252)"/>
    <s v="[1632075, 1632083, 1632091]"/>
    <s v="[1459329, 1459334, 1291538]"/>
    <s v="0.03384976900542422"/>
    <s v="[1459320, 1459329, 1459334]"/>
    <s v="[0.053, 0.031, 0.012]"/>
    <s v="170.3105473056442"/>
    <s v="[0.053, 0.031, -0.012]"/>
  </r>
  <r>
    <x v="4111"/>
    <x v="1015"/>
    <x v="0"/>
    <n v="0"/>
    <s v="LINESTRING (10.325435937689955 59.732017325384305, 10.324310273060924 59.7312962799184, 10.324269842182154 59.7312355018833, 10.324019854468109 59.73094311807477, 10.323975578488579 59.73090690137976, 10.323931825140187 59.73087293391927, 10.323595370869796 59.73069543538422, 10.32341373157497 59.73063202121892, 10.322194629066654 59.73031869333165)"/>
    <s v="[1422769, 1422777, 1422785, 1422793, 1422802, 1422810, 1422818, 1422826]"/>
    <s v="[1298127, 1298132, 1298139, 1298145, 1298150, 1298157, 1298163, 1291636]"/>
    <s v="#FIELD!"/>
    <s v="[1291627, 1298127, 1298132, 1298139, 1298145, 1298150, 1298157, 1298163]"/>
    <s v="[0.064, 0.014, 0.0, 0.015, 0.025, 0.039, 0.066, 0.032]"/>
    <s v="274.4405840683887"/>
    <s v="[-0.064, 0.014, 0.0, -0.015, -0.025, -0.039, -0.066, -0.032]"/>
  </r>
  <r>
    <x v="4111"/>
    <x v="1015"/>
    <x v="0"/>
    <n v="0"/>
    <s v="LINESTRING (10.325435937689955 59.732017325384305, 10.324423427653256 59.73123959456035, 10.324365681703814 59.73114647578523, 10.324178600462151 59.730916553369696, 10.32409341993969 59.73085083322012, 10.324020140060462 59.730796564618664, 10.323533055284207 59.730594004229175, 10.323480178803893 59.730579795636544, 10.323409319519557 59.73056170752321, 10.322194629066654 59.73031869333165)"/>
    <s v="[2129955, 2129963, 2129971, 2129979, 2129987, 2129995, 2130003, 2130011, 2130019]"/>
    <s v="[1438671, 1832763, 1832769, 1832772, 1832777, 1438397, 1832784, 1530622, 1291636]"/>
    <s v="#FIELD!"/>
    <s v="[1291627, 1438671, 1832763, 1832769, 1832772, 1832777, 1438397, 1832784, 1530622]"/>
    <s v="[0.07, 0.004, 0.009, 0.029, 0.031, 0.06, 0.074, 0.079, 0.205]"/>
    <s v="277.9926234188337"/>
    <s v="[0.07, 0.004, -0.009, -0.029, -0.031, -0.06, -0.074, -0.079, -0.205]"/>
  </r>
  <r>
    <x v="4112"/>
    <x v="4664"/>
    <x v="0"/>
    <n v="0"/>
    <s v="LINESTRING (5.455679212447372 59.76304032645523, 5.455576661531243 59.76277790600658, 5.455511592019553 59.76249059032815)"/>
    <s v="[1413136, 1413203]"/>
    <s v="[1291974, 1292031]"/>
    <s v="#FIELD!"/>
    <s v="[1291973, 1291974]"/>
    <s v="[0.006, 0.005]"/>
    <s v="62.20878086361702"/>
    <s v="[-0.006, 0.005]"/>
  </r>
  <r>
    <x v="4112"/>
    <x v="4665"/>
    <x v="0"/>
    <n v="0"/>
    <s v="LINESTRING (5.4556477257555445 59.76329843162048, 5.455671002244789 59.76322152524749, 5.455679212447372 59.76304032645523)"/>
    <s v="[1999336, 1999337]"/>
    <s v="[1752954, 1291973]"/>
    <s v="0.05078891954954398"/>
    <s v="[1752953, 1752954]"/>
    <s v="[0.027, 0.061]"/>
    <s v="28.949312681112588"/>
    <s v="[0.027, 0.061]"/>
  </r>
  <r>
    <x v="4112"/>
    <x v="4666"/>
    <x v="0"/>
    <n v="0"/>
    <s v="LINESTRING (5.4559285044615535 59.76327017856794, 5.455865001375719 59.76320641720915, 5.455679212447372 59.76304032645523)"/>
    <s v="[2021087, 2021095]"/>
    <s v="[1765599, 1291973]"/>
    <s v="#FIELD!"/>
    <s v="[1757665, 1765599]"/>
    <s v="[0.011, 0.012]"/>
    <s v="29.28675927575923"/>
    <s v="[-0.011, -0.012]"/>
  </r>
  <r>
    <x v="4113"/>
    <x v="4667"/>
    <x v="0"/>
    <n v="0"/>
    <s v="LINESTRING (5.45534386833037 59.7622831981913, 5.455263909460422 59.76224721044647, 5.455228061439469 59.76218994203285, 5.455274122572712 59.76212018495537, 5.45533658542461 59.762093124002654)"/>
    <s v="[1413143, 1413151, 1413152, 1413153]"/>
    <s v="[1291984, 1291992, 1291993, 1291994]"/>
    <s v="0.0029965755501036406"/>
    <s v="[1291983, 1291984, 1291992, 1291993]"/>
    <s v="[0.008, 0.001, 0.007, 0.016]"/>
    <s v="25.610991875216875"/>
    <s v="[-0.008, -0.001, 0.007, 0.016]"/>
  </r>
  <r>
    <x v="4113"/>
    <x v="4668"/>
    <x v="0"/>
    <n v="0"/>
    <s v="LINESTRING (5.45556577464296 59.762274675052396, 5.45545183106112 59.76229451859758, 5.45534386833037 59.7622831981913)"/>
    <s v="[1413190, 1413195]"/>
    <s v="[1292026, 1291983]"/>
    <s v="#FIELD!"/>
    <s v="[1292019, 1292026]"/>
    <s v="[0.014, 0.012]"/>
    <s v="13.011982532239186"/>
    <s v="[-0.014, -0.012]"/>
  </r>
  <r>
    <x v="4113"/>
    <x v="4664"/>
    <x v="0"/>
    <n v="0"/>
    <s v="LINESTRING (5.455511592019553 59.76249059032815, 5.455388903089301 59.76233887924142, 5.45534386833037 59.7622831981913)"/>
    <s v="[1413198, 1413200]"/>
    <s v="[1292032, 1291983]"/>
    <s v="0.0004630290944790082"/>
    <s v="[1292031, 1292032]"/>
    <s v="0.001"/>
    <s v="25.031533117737432"/>
    <s v="[0.001, -0.001]"/>
  </r>
  <r>
    <x v="4114"/>
    <x v="4669"/>
    <x v="0"/>
    <n v="0"/>
    <s v="LINESTRING (5.45533658542461 59.762093124002654, 5.455451428829132 59.76207973929263, 5.4555652235210506 59.76209962488777)"/>
    <s v="[1413160, 1413164]"/>
    <s v="[1292000, 1292004]"/>
    <s v="0.015494627529128547"/>
    <s v="[1291994, 1292000]"/>
    <s v="[0.016, 0.015]"/>
    <s v="13.43401056123693"/>
    <s v="[0.016, 0.015]"/>
  </r>
  <r>
    <x v="4114"/>
    <x v="454"/>
    <x v="0"/>
    <n v="0"/>
    <s v="LINESTRING (5.45533658542461 59.762093124002654, 5.455362246719436 59.76203774991478, 5.455506034232162 59.76188326844215)"/>
    <s v="[1413235, 1413243]"/>
    <s v="[1292066, 1292044]"/>
    <s v="0.01125047317817751"/>
    <s v="[1291994, 1292066]"/>
    <s v="[0.006, 0.013]"/>
    <s v="25.427493052412384"/>
    <s v="[0.006, 0.013]"/>
  </r>
  <r>
    <x v="4115"/>
    <x v="4668"/>
    <x v="0"/>
    <n v="0"/>
    <s v="LINESTRING (5.4555652235210506 59.76209962488777, 5.455620756706249 59.762129057381664, 5.455654172720778 59.76218027008033, 5.455621101871959 59.762245192227375, 5.45556577464296 59.762274675052396)"/>
    <s v="[1413165, 1413166, 1413174, 1413182]"/>
    <s v="[1292005, 1292006, 1292012, 1292019]"/>
    <s v="#FIELD!"/>
    <s v="[1292004, 1292005, 1292006, 1292012]"/>
    <s v="[0.006, 0.002, 0.01, 0.011]"/>
    <s v="22.594311172304483"/>
    <s v="[0.006, -0.002, -0.01, -0.011]"/>
  </r>
  <r>
    <x v="4115"/>
    <x v="454"/>
    <x v="0"/>
    <n v="0"/>
    <s v="LINESTRING (5.4555652235210506 59.76209962488777, 5.455552920882509 59.762043937297186, 5.455506034232162 59.76188326844215)"/>
    <s v="[1413221, 1413226]"/>
    <s v="[1292052, 1292044]"/>
    <s v="0.003"/>
    <s v="[1292004, 1292052]"/>
    <s v="0.003"/>
    <s v="24.410870129019955"/>
    <s v="0.003"/>
  </r>
  <r>
    <x v="4116"/>
    <x v="4664"/>
    <x v="0"/>
    <n v="0"/>
    <s v="LINESTRING (5.455511592019553 59.76249059032815, 5.455550738333615 59.76233361273092, 5.45556577464296 59.762274675052396)"/>
    <s v="[1413204, 1413205]"/>
    <s v="[1292036, 1292019]"/>
    <s v="0.007273038748330081"/>
    <s v="[1292031, 1292036]"/>
    <s v="[0.007, 0.008]"/>
    <s v="24.322109207764086"/>
    <s v="[0.007, 0.008]"/>
  </r>
  <r>
    <x v="4117"/>
    <x v="2491"/>
    <x v="0"/>
    <n v="0"/>
    <s v="LINESTRING (10.21592784901297 59.730374599019996, 10.21590769235339 59.73031629478676, 10.215975279073001 59.729705647400905, 10.216025167608874 59.72959955415414, 10.216113271206835 59.729247391804925, 10.216110406294298 59.728969348058854)"/>
    <s v="[1416549, 1416557, 1416565, 1416573, 1416581]"/>
    <s v="[1294087, 1294091, 1294094, 1294098, 1294102]"/>
    <s v="0.047910966741950174"/>
    <s v="[1294086, 1294087, 1294091, 1294094, 1294098]"/>
    <s v="[0.005, 0.027, 0.069, 0.067, 0.071]"/>
    <s v="158.79299677907596"/>
    <s v="[0.005, 0.027, 0.069, 0.067, 0.071]"/>
  </r>
  <r>
    <x v="4117"/>
    <x v="4670"/>
    <x v="0"/>
    <n v="0"/>
    <s v="LINESTRING (10.21592784901297 59.730374599019996, 10.216053139187501 59.73032070369866, 10.216215415745497 59.73031344836688)"/>
    <s v="[1427061, 1427069]"/>
    <s v="[1300659, 1300666]"/>
    <s v="0.11276962523310637"/>
    <s v="[1294086, 1300659]"/>
    <s v="[0.262, 0.038]"/>
    <s v="18.432165039964584"/>
    <s v="[0.262, -0.038]"/>
  </r>
  <r>
    <x v="4117"/>
    <x v="4110"/>
    <x v="0"/>
    <n v="0"/>
    <m/>
    <n v="1427053"/>
    <n v="1294086"/>
    <s v="#FIELD!"/>
    <n v="1300651"/>
    <s v="0.469"/>
    <s v="5.728001396649501"/>
    <s v="#FIELD!"/>
  </r>
  <r>
    <x v="4118"/>
    <x v="4670"/>
    <x v="0"/>
    <n v="0"/>
    <s v="LINESTRING (10.216215415745497 59.73031344836688, 10.216138233232916 59.73026697837472, 10.216108544710966 59.72969607412258, 10.216173675873558 59.7295942521076, 10.21622653578062 59.72919135745232, 10.216110406294298 59.728969348058854)"/>
    <s v="[1719367, 1719375, 1719381, 1719389, 1719397]"/>
    <s v="[1532266, 1532272, 1532275, 1532281, 1294102]"/>
    <s v="0.035102879813937254"/>
    <s v="[1300666, 1532266, 1532272, 1532275, 1532281]"/>
    <s v="[0.028, 0.031, 0.063, 0.069, 0.024]"/>
    <s v="157.82227922570698"/>
    <s v="[0.028, 0.031, 0.063, 0.069, -0.024]"/>
  </r>
  <r>
    <x v="4119"/>
    <x v="3945"/>
    <x v="393"/>
    <n v="0"/>
    <s v="LINESTRING (10.020470400488863 59.75195817531344, 10.019848273106398 59.75193655164072, 10.018769750075023 59.751931205428505, 10.018510167737807 59.751933946791915, 10.009279763258789 59.752257310643785)"/>
    <s v="[2007305, 2007313, 2007321, 2007329]"/>
    <s v="[1757306, 1757312, 1757317, 1757324]"/>
    <s v="0.005039328203029621"/>
    <s v="[1294187, 1757306, 1757312, 1757317]"/>
    <s v="[0.01, 0.003, 0.003, 0.005]"/>
    <s v="631.558955806703"/>
    <s v="[0.01, 0.003, 0.003, 0.005]"/>
  </r>
  <r>
    <x v="4119"/>
    <x v="4671"/>
    <x v="0"/>
    <n v="0"/>
    <s v="LINESTRING (10.02892816089459 59.75239308191405, 10.028811808648763 59.75242015750444, 10.02110543922647 59.75201898870771, 10.020818866851066 59.751991471497874, 10.020470400488863 59.75195817531344)"/>
    <s v="[2094997, 2095005, 2095013, 2134608]"/>
    <s v="[1812508, 1812515, 1812519, 1294187]"/>
    <s v="#FIELD!"/>
    <s v="[1300815, 1812508, 1812515, 1812519]"/>
    <s v="[0.309, 0.002, 0.002, 0.059]"/>
    <s v="495.0066607323703"/>
    <s v="[-0.309, 0.002, 0.002, 0.059]"/>
  </r>
  <r>
    <x v="4120"/>
    <x v="4672"/>
    <x v="0"/>
    <n v="0"/>
    <s v="LINESTRING (9.900060119439617 59.7629223781441, 9.899625298516138 59.76304475084167, 9.89951316774732 59.7630860229403)"/>
    <s v="[1416854, 1416862]"/>
    <s v="[1294232, 1294239]"/>
    <s v="0.021962021806529623"/>
    <s v="[1294231, 1294232]"/>
    <s v="[0.02, 0.029]"/>
    <s v="35.80460171607989"/>
    <s v="[0.02, 0.029]"/>
  </r>
  <r>
    <x v="4120"/>
    <x v="4673"/>
    <x v="0"/>
    <n v="0"/>
    <s v="LINESTRING (9.900060119439617 59.7629223781441, 9.899546257515807 59.76293700285078, 9.899421170352829 59.76295522389022)"/>
    <s v="[1720013, 1720021]"/>
    <s v="[1532615, 1301021]"/>
    <s v="#FIELD!"/>
    <s v="[1294231, 1532615]"/>
    <s v="[0.06, 0.057]"/>
    <s v="36.9735141953309"/>
    <s v="[-0.06, 0.057]"/>
  </r>
  <r>
    <x v="4120"/>
    <x v="425"/>
    <x v="0"/>
    <s v="[0, 1, 0, 1, 0]"/>
    <s v="LINESTRING (9.908896147897618 59.76179807658811, 9.90757066119344 59.7619731521785, 9.906630603358261 59.76209435901991, 9.902282346367109 59.762663777070095, 9.90053957164458 59.762885719661064, 9.900060119439617 59.7629223781441)"/>
    <s v="[2094708, 2094710, 2094720, 2094721, 2094735]"/>
    <s v="[1812329, 1812330, 1812338, 1812339, 1294231]"/>
    <s v="0.00363011995232167"/>
    <s v="[1757262, 1812329, 1812330, 1812338, 1812339]"/>
    <s v="[0.088, 0.002, 0.0, 0.002, 0.169]"/>
    <s v="512.5810498659216"/>
    <s v="[0.088, -0.002, 0.0, -0.002, -0.169]"/>
  </r>
  <r>
    <x v="4121"/>
    <x v="4674"/>
    <x v="0"/>
    <n v="0"/>
    <s v="LINESTRING (9.89951316774732 59.7630860229403, 9.899431850978072 59.76315825634143, 9.899307828033058 59.76319109416071, 9.899181941625828 59.76318875229065, 9.899066607571209 59.763155654493424)"/>
    <s v="[1427493, 1427501, 1427509, 1427517]"/>
    <s v="[601016, 1300988, 264187, 1294280]"/>
    <s v="0.015237981226242571"/>
    <s v="[1294239, 601016, 1300988, 264187]"/>
    <s v="[0.161, 0.051, 0.046, 0.167]"/>
    <s v="31.681710394507633"/>
    <s v="[-0.161, 0.051, 0.046, 0.167]"/>
  </r>
  <r>
    <x v="4121"/>
    <x v="4673"/>
    <x v="0"/>
    <n v="0"/>
    <s v="LINESTRING (9.899421170352829 59.76295522389022, 9.899499292804055 59.76300912397534, 9.89951316774732 59.7630860229403)"/>
    <s v="[1427568, 1427576]"/>
    <s v="[1301023, 1294239]"/>
    <s v="0.1344321877265047"/>
    <s v="[1301021, 1301023]"/>
    <s v="[0.005, 0.255]"/>
    <s v="16.05100504642367"/>
    <s v="[-0.005, 0.255]"/>
  </r>
  <r>
    <x v="4122"/>
    <x v="4675"/>
    <x v="0"/>
    <n v="0"/>
    <s v="LINESTRING (9.899066607571209 59.763155654493424, 9.898968423582415 59.763171610744834, 9.898266437643793 59.76326147922923, 9.891423320177708 59.76322571732888, 9.891271663238774 59.76320157113878, 9.890419060010831 59.76304371022187, 9.877245963107605 59.751917628660685, 9.87655246388628 59.751555437299224)"/>
    <s v="[1416942, 1416950, 1416958, 1437723, 1437731, 1437739, 1437747]"/>
    <s v="[1294281, 1294284, 1294290, 1306886, 1306892, 1306902, 1306909]"/>
    <s v="0.004228687185496227"/>
    <s v="[1294280, 1294281, 1294284, 1294290, 1306886, 1306892, 1306902]"/>
    <s v="[0.016, 0.026, 0.001, 0.121, 0.026, 0.005, 0.012]"/>
    <s v="2031.8524614740736"/>
    <s v="[0.016, 0.026, -0.001, 0.121, -0.026, 0.005, 0.012]"/>
  </r>
  <r>
    <x v="4122"/>
    <x v="4676"/>
    <x v="0"/>
    <n v="0"/>
    <s v="LINESTRING (9.899066607571209 59.763155654493424, 9.899001209970315 59.763104039616465, 9.898990644582392 59.76303186688978)"/>
    <s v="[1427525, 1427533]"/>
    <s v="[1301001, 1301007]"/>
    <s v="#FIELD!"/>
    <s v="[1294280, 1301001]"/>
    <s v="[0.16, 0.025]"/>
    <s v="14.8960255975812"/>
    <s v="[-0.16, -0.025]"/>
  </r>
  <r>
    <x v="4123"/>
    <x v="4677"/>
    <x v="0"/>
    <n v="0"/>
    <s v="LINESTRING (5.651293587079314 58.99482377153891, 5.651353242326737 58.994922650428194, 5.65130479038496 58.995006969333126, 5.651182211238852 58.995065826633805, 5.6510613852428255 58.995091371774656)"/>
    <s v="[1417319, 1417320, 1417324, 1417325]"/>
    <s v="[1294515, 1294516, 1294518, 1294519]"/>
    <s v="#FIELD!"/>
    <s v="[1294514, 1294515, 1294516, 1294518]"/>
    <s v="[0.029, 0.02, 0.001, 0.007]"/>
    <s v="38.583824437423004"/>
    <s v="[-0.029, -0.02, -0.001, 0.007]"/>
  </r>
  <r>
    <x v="4123"/>
    <x v="4678"/>
    <x v="0"/>
    <n v="0"/>
    <s v="LINESTRING (5.651040071246888 58.99475045169516, 5.651183760353052 58.994771308408026, 5.651293587079314 58.99482377153891)"/>
    <s v="[1417343, 1417351]"/>
    <s v="[1294533, 1294514]"/>
    <s v="#FIELD!"/>
    <s v="[1294532, 1294533]"/>
    <s v="[0.011, 0.027]"/>
    <s v="17.23703237745643"/>
    <s v="[-0.011, -0.027]"/>
  </r>
  <r>
    <x v="4123"/>
    <x v="1135"/>
    <x v="0"/>
    <n v="0"/>
    <s v="LINESTRING (5.651379000102983 58.99456585352848, 5.651301691939931 58.99476889698117, 5.651293587079314 58.99482377153891)"/>
    <s v="[1417517, 1417526]"/>
    <s v="[1294620, 1294514]"/>
    <s v="#FIELD!"/>
    <s v="[1294611, 1294620]"/>
    <s v="[0.022, 0.021]"/>
    <s v="29.272122664816443"/>
    <s v="[-0.022, -0.021]"/>
  </r>
  <r>
    <x v="4124"/>
    <x v="4679"/>
    <x v="0"/>
    <n v="0"/>
    <s v="LINESTRING (5.6510613852428255 58.995091371774656, 5.650863300719759 58.995071524664894, 5.650747096078847 58.99501868709583)"/>
    <s v="[1417326, 1417328]"/>
    <s v="[1294520, 1294522]"/>
    <s v="0.002307056815039666"/>
    <s v="[1294519, 1294520]"/>
    <s v="[0.002, 0.008]"/>
    <s v="20.735339728661685"/>
    <s v="[-0.002, 0.008]"/>
  </r>
  <r>
    <x v="4124"/>
    <x v="1139"/>
    <x v="0"/>
    <n v="0"/>
    <s v="LINESTRING (5.6510613852428255 58.995091371774656, 5.65094118552565 58.99512019793529, 5.650651757111632 58.99526868810158)"/>
    <s v="[1417367, 1417371]"/>
    <s v="[1294546, 1294550]"/>
    <s v="#FIELD!"/>
    <s v="[1294519, 1294546]"/>
    <s v="[0.015, 0.012]"/>
    <s v="31.17705514672555"/>
    <s v="[-0.015, -0.012]"/>
  </r>
  <r>
    <x v="4125"/>
    <x v="4678"/>
    <x v="0"/>
    <n v="0"/>
    <s v="LINESTRING (5.650747096078847 58.99501868709583, 5.650707687577964 58.994861723367116, 5.650785921256801 58.99480395727947, 5.650900615037005 58.99476580105642, 5.651040071246888 58.99475045169516)"/>
    <s v="[1417329, 1417330, 1417338, 1417342]"/>
    <s v="[1294523, 1294524, 1294528, 1294532]"/>
    <s v="0.01822215230501962"/>
    <s v="[1294522, 1294523, 1294524, 1294528]"/>
    <s v="[0.019, 0.022, 0.016, 0.015]"/>
    <s v="42.25894797073339"/>
    <s v="[0.019, 0.022, 0.016, 0.015]"/>
  </r>
  <r>
    <x v="4125"/>
    <x v="1139"/>
    <x v="0"/>
    <n v="0"/>
    <s v="LINESTRING (5.650747096078847 58.99501868709583, 5.65073934798589 58.99506604111107, 5.650651757111632 58.99526868810158)"/>
    <s v="[1417422, 1417430]"/>
    <s v="[1294574, 1294550]"/>
    <s v="#FIELD!"/>
    <s v="[1294522, 1294574]"/>
    <s v="[0.022, 0.015]"/>
    <s v="28.51115143823057"/>
    <s v="[-0.022, -0.015]"/>
  </r>
  <r>
    <x v="4126"/>
    <x v="1135"/>
    <x v="0"/>
    <n v="0"/>
    <s v="LINESTRING (5.651379000102983 58.99456585352848, 5.651103288214469 58.994725501625254, 5.651040071246888 58.99475045169516)"/>
    <s v="[1417491, 1417495]"/>
    <s v="[1294612, 1294532]"/>
    <s v="#FIELD!"/>
    <s v="[1294611, 1294612]"/>
    <s v="[0.01, 0.016]"/>
    <s v="28.48518973197558"/>
    <s v="[-0.01, -0.016]"/>
  </r>
  <r>
    <x v="4127"/>
    <x v="4680"/>
    <x v="0"/>
    <n v="0"/>
    <s v="LINESTRING (10.377978621703333 59.740789296139745, 10.37801819333693 59.740744101810144, 10.378096083655775 59.740714288840685)"/>
    <s v="[1417572, 1417575]"/>
    <s v="[1294645, 1294648]"/>
    <s v="#FIELD!"/>
    <s v="[1294642, 1294645]"/>
    <s v="[0.006, 0.018]"/>
    <s v="11.006658890662852"/>
    <s v="[-0.006, -0.018]"/>
  </r>
  <r>
    <x v="4127"/>
    <x v="4681"/>
    <x v="0"/>
    <n v="0"/>
    <s v="LINESTRING (10.37834776659448 59.740762553788244, 10.378363380048867 59.74078621879495, 10.37835779935605 59.74083557929344, 10.37830533799864 59.74087735137036, 10.378219551429755 59.74090112996186, 10.37811724845951 59.74090004241095, 10.378024924036591 59.74087061549274, 10.377978621703333 59.740789296139745)"/>
    <s v="[1417592, 1417594, 1417599, 1417601, 1417560, 1417562, 1417570]"/>
    <s v="[1294660, 1294662, 1294664, 1294635, 1294636, 1294638, 1294642]"/>
    <s v="0.01388714935096545"/>
    <s v="[1294656, 1294660, 1294662, 1294664, 1294635, 1294636, 1294638]"/>
    <s v="[0.018, 0.01, 0.008, 0.025, 0.031, 0.032, 0.012]"/>
    <s v="40.87566970681111"/>
    <s v="[-0.018, -0.01, 0.008, 0.025, 0.031, 0.032, 0.012]"/>
  </r>
  <r>
    <x v="4127"/>
    <x v="4682"/>
    <x v="0"/>
    <n v="0"/>
    <s v="LINESTRING (10.37751097670846 59.74053761700213, 10.37793092271258 59.74076225158874, 10.377978621703333 59.740789296139745)"/>
    <s v="[1631898, 1631899]"/>
    <s v="[1459202, 1294642]"/>
    <s v="#FIELD!"/>
    <s v="[1294913, 1459202]"/>
    <s v="[0.075, 0.06]"/>
    <s v="38.663575709694605"/>
    <s v="[-0.075, -0.06]"/>
  </r>
  <r>
    <x v="4128"/>
    <x v="4683"/>
    <x v="0"/>
    <n v="0"/>
    <m/>
    <n v="1417583"/>
    <n v="1294651"/>
    <s v="#FIELD!"/>
    <n v="1294648"/>
    <s v="0.025"/>
    <s v="4.159278783798819"/>
    <s v="#FIELD!"/>
  </r>
  <r>
    <x v="4128"/>
    <x v="4682"/>
    <x v="0"/>
    <n v="0"/>
    <s v="LINESTRING (10.37751097670846 59.74053761700213, 10.378012727059872 59.740697319962436, 10.378096083655775 59.740714288840685)"/>
    <s v="[1417965, 1417973]"/>
    <s v="[1294914, 1294648]"/>
    <s v="#FIELD!"/>
    <s v="[1294913, 1294914]"/>
    <s v="[0.085, 0.027]"/>
    <s v="38.63070809989224"/>
    <s v="[-0.085, -0.027]"/>
  </r>
  <r>
    <x v="4129"/>
    <x v="4681"/>
    <x v="0"/>
    <n v="0"/>
    <m/>
    <n v="1417586"/>
    <n v="1294656"/>
    <s v="#FIELD!"/>
    <n v="1294651"/>
    <s v="0.026"/>
    <s v="12.354229401450585"/>
    <s v="#FIELD!"/>
  </r>
  <r>
    <x v="4129"/>
    <x v="4663"/>
    <x v="0"/>
    <n v="0"/>
    <s v="LINESTRING (10.37816842085384 59.740706585333335, 10.378245028633934 59.740675737729276, 10.378503543830377 59.74030092046167, 10.378463201038105 59.7402705467421)"/>
    <s v="[1417731, 1417741, 1817843]"/>
    <s v="[1294750, 1294756, 1459320]"/>
    <s v="0.0021597055537285435"/>
    <s v="[1294651, 1294750, 1294756]"/>
    <s v="[0.017, 0.003, 0.018]"/>
    <s v="58.466864662359356"/>
    <s v="[-0.017, 0.003, 0.018]"/>
  </r>
  <r>
    <x v="4130"/>
    <x v="4661"/>
    <x v="0"/>
    <n v="0"/>
    <s v="LINESTRING (10.382060252325997 59.74088021921509, 10.381374133231615 59.7408097438878, 10.378384858563345 59.74071389919495, 10.37834776659448 59.740762553788244)"/>
    <s v="[1632092, 1632095, 1632103]"/>
    <s v="[1459341, 1459344, 1294656]"/>
    <s v="#FIELD!"/>
    <s v="[1459316, 1459341, 1459344]"/>
    <s v="[0.019, 0.005, 0.002]"/>
    <s v="233.0386249896497"/>
    <s v="[-0.019, -0.005, -0.002]"/>
  </r>
  <r>
    <x v="4131"/>
    <x v="4684"/>
    <x v="0"/>
    <n v="0"/>
    <m/>
    <n v="1417609"/>
    <n v="1294671"/>
    <s v="0.027"/>
    <n v="1294670"/>
    <s v="0.027"/>
    <s v="11.017747335372128"/>
    <s v="0.027"/>
  </r>
  <r>
    <x v="4131"/>
    <x v="4685"/>
    <x v="0"/>
    <n v="0"/>
    <s v="LINESTRING (10.376922619743457 59.7390413998551, 10.376953735034267 59.739094662436216, 10.376923737352808 59.739147928881934)"/>
    <s v="[1417672, 1417678]"/>
    <s v="[1294714, 1294670]"/>
    <s v="#FIELD!"/>
    <s v="[1294704, 1294714]"/>
    <s v="[0.057, 0.036]"/>
    <s v="12.361226005228742"/>
    <s v="[-0.057, -0.036]"/>
  </r>
  <r>
    <x v="4131"/>
    <x v="4686"/>
    <x v="0"/>
    <n v="0"/>
    <s v="LINESTRING (10.377539963777918 59.73909302493055, 10.377012157248457 59.73913728544437, 10.376923737352808 59.739147928881934)"/>
    <s v="[1631961, 1631963]"/>
    <s v="[1459245, 1294670]"/>
    <s v="0.045"/>
    <s v="[1459244, 1459245]"/>
    <s v="0.045"/>
    <s v="35.327529856013506"/>
    <s v="0.045"/>
  </r>
  <r>
    <x v="4132"/>
    <x v="4687"/>
    <x v="0"/>
    <n v="0"/>
    <s v="LINESTRING (10.37675738345905 59.73919386925965, 10.376669948138842 59.73918323133025, 10.37659661442738 59.739150515484276)"/>
    <s v="[1417615, 1417619]"/>
    <s v="[1294676, 1294679]"/>
    <s v="0.06652110904379038"/>
    <s v="[1294671, 1294676]"/>
    <s v="[0.066, 0.067]"/>
    <s v="10.56651298199158"/>
    <s v="[0.066, 0.067]"/>
  </r>
  <r>
    <x v="4132"/>
    <x v="4688"/>
    <x v="0"/>
    <n v="0"/>
    <s v="LINESTRING (10.37675738345905 59.73919386925965, 10.376697917252537 59.73923476411429, 10.376517116090822 59.739527513415545)"/>
    <s v="[1631949, 1631950]"/>
    <s v="[1459235, 1294927]"/>
    <s v="#FIELD!"/>
    <s v="[1294671, 1459235]"/>
    <s v="[0.002, 0.032]"/>
    <s v="40.226408056822024"/>
    <s v="[-0.002, -0.032]"/>
  </r>
  <r>
    <x v="4133"/>
    <x v="4685"/>
    <x v="0"/>
    <n v="0"/>
    <s v="LINESTRING (10.37659661442738 59.739150515484276, 10.37656312885108 59.73909635976335, 10.376621523768605 59.739024577579144, 10.37670635417811 59.738999956938684, 10.376804466301003 59.738999099152466, 10.376922619743457 59.7390413998551)"/>
    <s v="[1417627, 1417635, 1417643, 1417656, 1417657]"/>
    <s v="[1294687, 1294692, 1294697, 1294703, 1294704]"/>
    <s v="#FIELD!"/>
    <s v="[1294679, 1294687, 1294692, 1294697, 1294703]"/>
    <s v="[0.041, 0.037, 0.031, 0.049, 0.07]"/>
    <s v="34.14812084192239"/>
    <s v="[0.041, 0.037, -0.031, -0.049, -0.07]"/>
  </r>
  <r>
    <x v="4133"/>
    <x v="4688"/>
    <x v="0"/>
    <n v="0"/>
    <s v="LINESTRING (10.37659661442738 59.739150515484276, 10.376578157945325 59.739201490593786, 10.376517116090822 59.739527513415545)"/>
    <s v="[1631935, 1631936]"/>
    <s v="[1459227, 1294927]"/>
    <s v="#FIELD!"/>
    <s v="[1294679, 1459227]"/>
    <s v="[0.036, 0.043]"/>
    <s v="43.52446004190518"/>
    <s v="[-0.036, -0.043]"/>
  </r>
  <r>
    <x v="4134"/>
    <x v="4686"/>
    <x v="0"/>
    <n v="0"/>
    <s v="LINESTRING (10.377539963777918 59.73909302493055, 10.377030394618888 59.73905247592266, 10.376922619743457 59.7390413998551)"/>
    <s v="[1631984, 1631992]"/>
    <s v="[1459263, 1294704]"/>
    <s v="0.06117573900039094"/>
    <s v="[1459244, 1459263]"/>
    <s v="[0.061, 0.062]"/>
    <s v="35.211933816767335"/>
    <s v="[0.061, 0.062]"/>
  </r>
  <r>
    <x v="4135"/>
    <x v="4686"/>
    <x v="0"/>
    <n v="0"/>
    <m/>
    <n v="1631974"/>
    <n v="1459244"/>
    <s v="0.009"/>
    <n v="1294739"/>
    <s v="0.009"/>
    <s v="204.2507702777795"/>
    <s v="0.009"/>
  </r>
  <r>
    <x v="4135"/>
    <x v="4660"/>
    <x v="0"/>
    <n v="0"/>
    <s v="LINESTRING (10.380017249006746 59.73989446003702, 10.384089511845625 59.741004193486106, 10.384766091668768 59.74105813839757)"/>
    <s v="[1417715, 1632137]"/>
    <s v="[1294740, 1459275]"/>
    <s v="0.013927661675394562"/>
    <s v="[1294739, 1294740]"/>
    <s v="[0.006, 0.075]"/>
    <s v="335.40485500262145"/>
    <s v="[0.006, 0.075]"/>
  </r>
  <r>
    <x v="4135"/>
    <x v="4662"/>
    <x v="0"/>
    <n v="0"/>
    <s v="LINESTRING (10.37645020275836 59.739701275642595, 10.376953417885643 59.7398206514198, 10.380017249006746 59.73989446003702)"/>
    <s v="[1632145, 1631964]"/>
    <s v="[1459246, 1294739]"/>
    <s v="#FIELD!"/>
    <s v="[1459284, 1459246]"/>
    <s v="[0.04, 0.009]"/>
    <s v="240.73618455881459"/>
    <s v="[-0.04, -0.009]"/>
  </r>
  <r>
    <x v="4136"/>
    <x v="4688"/>
    <x v="0"/>
    <s v="[1, 0, 0]"/>
    <s v="LINESTRING (10.376517116090822 59.739527513415545, 10.376784512045528 59.74001390552324, 10.376846441488123 59.74008231227124, 10.37751097670846 59.74053761700213)"/>
    <s v="[1417981, 1417989, 1417997]"/>
    <s v="[1294928, 1294934, 1294913]"/>
    <s v="#FIELD!"/>
    <s v="[1294927, 1294928, 1294934]"/>
    <s v="[0.008, 0.02, 0.046]"/>
    <s v="128.00503750939288"/>
    <s v="[0.008, -0.02, -0.046]"/>
  </r>
  <r>
    <x v="4137"/>
    <x v="4689"/>
    <x v="0"/>
    <n v="0"/>
    <s v="LINESTRING (5.721604234070598 58.951768768720264, 5.72160328297248 58.951867318448244, 5.721838257049362 58.95367665012253, 5.727079302598253 58.95950712088509)"/>
    <s v="[1418123, 1418131, 1418139]"/>
    <s v="[1295024, 1295028, 1295031]"/>
    <s v="0.015747669563821058"/>
    <s v="[1295018, 1295024, 1295028]"/>
    <s v="[0.016, 0.022, 0.014]"/>
    <s v="942.4280742688904"/>
    <s v="[0.016, 0.022, 0.014]"/>
  </r>
  <r>
    <x v="4137"/>
    <x v="903"/>
    <x v="0"/>
    <n v="0"/>
    <s v="LINESTRING (5.721604234070598 58.951768768720264, 5.721687638916615 58.95191760876757, 5.721951974205227 58.95422064670675, 5.721915828822779 58.95431229575273)"/>
    <s v="[1419034, 1419035, 1419042]"/>
    <s v="[1295736, 1295737, 1295068]"/>
    <s v="0.023613814913229947"/>
    <s v="[1295018, 1295736, 1295737]"/>
    <s v="[0.026, 0.024, 0.01]"/>
    <s v="289.2047241123919"/>
    <s v="[0.026, 0.024, 0.01]"/>
  </r>
  <r>
    <x v="4138"/>
    <x v="4690"/>
    <x v="0"/>
    <n v="0"/>
    <m/>
    <n v="1418147"/>
    <n v="1295036"/>
    <s v="0.0"/>
    <n v="1295031"/>
    <s v="0.0"/>
    <s v="1313.7642247801928"/>
    <s v="0.0"/>
  </r>
  <r>
    <x v="4138"/>
    <x v="4691"/>
    <x v="0"/>
    <n v="0"/>
    <s v="LINESTRING (5.727079302598253 58.95950712088509, 5.727196660805518 58.95968485976863, 5.727578842598026 58.96154072636216, 5.72810715811041 58.96244495351083, 5.7290939980037585 58.9633135610025, 5.729304467984574 58.96343051931786)"/>
    <s v="[1418862, 1418881, 1418882, 1418890, 1418901]"/>
    <s v="[1295588, 1295604, 1295605, 1295613, 1295267]"/>
    <s v="#FIELD!"/>
    <s v="[1295031, 1295588, 1295604, 1295605, 1295613]"/>
    <s v="[0.037, 0.05, 0.049, 0.021, 0.018]"/>
    <s v="465.8862675190441"/>
    <s v="[-0.037, -0.05, -0.049, -0.021, -0.018]"/>
  </r>
  <r>
    <x v="4139"/>
    <x v="915"/>
    <x v="0"/>
    <n v="0"/>
    <s v="LINESTRING (5.717031145554721 58.96902633235436, 5.690897209413901 58.97573318281133, 5.690288447767765 58.97614009468312)"/>
    <s v="[1418155, 1418163]"/>
    <s v="[1295040, 1295043]"/>
    <s v="#FIELD!"/>
    <s v="[1295036, 1295040]"/>
    <s v="[0.005, 0.001]"/>
    <s v="1750.1431452005486"/>
    <s v="[-0.005, 0.001]"/>
  </r>
  <r>
    <x v="4139"/>
    <x v="911"/>
    <x v="0"/>
    <n v="0"/>
    <s v="LINESTRING (5.723038084271014 58.96095790120129, 5.722915024495527 58.96098845024333, 5.722947633804821 58.96187696507625, 5.723036623116981 58.961934655124814, 5.7244932914252065 58.96383921273224, 5.7230652370320705 58.967352813908306, 5.720581287220654 58.967919498016585, 5.717388485451025 58.968950152197955, 5.717031145554721 58.96902633235436)"/>
    <s v="[1418389, 1418390, 1418391, 1418406, 1418416, 1418417, 1418418, 1418427]"/>
    <s v="[1295191, 1295192, 1295193, 1295204, 1295213, 1295214, 1295215, 1295036]"/>
    <s v="0.014260622032294874"/>
    <s v="[1295159, 1295191, 1295192, 1295193, 1295204, 1295213, 1295214, 1295215]"/>
    <s v="[0.003, 0.01, 0.007, 0.003, 0.026, 0.043, 0.001, 0.009]"/>
    <s v="1181.8442939021459"/>
    <s v="[-0.003, -0.01, -0.007, 0.003, 0.026, 0.043, -0.001, -0.009]"/>
  </r>
  <r>
    <x v="4140"/>
    <x v="917"/>
    <x v="0"/>
    <n v="0"/>
    <s v="LINESTRING (5.690288447767765 58.97614009468312, 5.686253885384334 58.97877631858397, 5.684656709843381 58.979532523641716, 5.684163772797808 58.979807315869586, 5.6827304770914235 58.98080665155543)"/>
    <s v="[1418171, 1418179, 1418187, 1418195]"/>
    <s v="[1295047, 1295051, 1295055, 1295062]"/>
    <s v="#FIELD!"/>
    <s v="[1295043, 1295047, 1295051, 1295055]"/>
    <s v="[0.019, 0.028, 0.078, 0.039]"/>
    <s v="682.0221900507136"/>
    <s v="[-0.019, 0.028, -0.078, -0.039]"/>
  </r>
  <r>
    <x v="4141"/>
    <x v="918"/>
    <x v="0"/>
    <n v="0"/>
    <s v="LINESTRING (5.6827304770914235 58.98080665155543, 5.682961635173642 58.980593213382576, 5.683252798970017 58.98036422114212)"/>
    <s v="[1419050, 1419054]"/>
    <s v="[1267512, 1295750]"/>
    <s v="#FIELD!"/>
    <s v="[1295062, 1267512]"/>
    <s v="[0.012, 0.0]"/>
    <s v="58.01428909174358"/>
    <s v="[-0.012, -0.0]"/>
  </r>
  <r>
    <x v="4142"/>
    <x v="925"/>
    <x v="0"/>
    <n v="0"/>
    <m/>
    <n v="1418256"/>
    <n v="1295068"/>
    <s v="0.084"/>
    <n v="1295103"/>
    <s v="0.084"/>
    <s v="35.69378999910688"/>
    <s v="0.084"/>
  </r>
  <r>
    <x v="4143"/>
    <x v="922"/>
    <x v="0"/>
    <n v="0"/>
    <s v="LINESTRING (5.718832837274931 58.953165448788944, 5.7188236504531655 58.953230201838046, 5.7203539625916955 58.95421888175648, 5.721241769698433 58.95441216152149, 5.721398244284306 58.954424697209184)"/>
    <s v="[1423186, 1423194, 1423202, 1423210]"/>
    <s v="[1298447, 1298454, 1298459, 1295087]"/>
    <s v="#FIELD!"/>
    <s v="[1298446, 1298447, 1298454, 1298459]"/>
    <s v="[0.022, 0.028, 0.014, 0.092]"/>
    <s v="215.57560970611286"/>
    <s v="[-0.022, -0.028, 0.014, 0.092]"/>
  </r>
  <r>
    <x v="4144"/>
    <x v="924"/>
    <x v="0"/>
    <n v="0"/>
    <s v="LINESTRING (5.721425929884037 58.95424180639711, 5.721410926439422 58.95417135493264, 5.721166429846383 58.953450429703054)"/>
    <s v="[1419123, 1419138]"/>
    <s v="[1295797, 1295521]"/>
    <s v="#FIELD!"/>
    <s v="[1295103, 1295797]"/>
    <s v="[0.06, 0.034]"/>
    <s v="90.1830447149741"/>
    <s v="[-0.06, -0.034]"/>
  </r>
  <r>
    <x v="4145"/>
    <x v="908"/>
    <x v="0"/>
    <n v="0"/>
    <m/>
    <n v="1418350"/>
    <n v="1295165"/>
    <s v="0.012"/>
    <n v="1295159"/>
    <s v="0.012"/>
    <s v="17.825385156439896"/>
    <s v="0.012"/>
  </r>
  <r>
    <x v="4146"/>
    <x v="4692"/>
    <x v="0"/>
    <n v="0"/>
    <s v="LINESTRING (5.720579663395385 58.96757435404535, 5.720863264541971 58.967426051355204, 5.7234145658249185 58.9661815016905, 5.7241782516869915 58.96378924994005, 5.7229256677253 58.96197785435723, 5.722838900579268 58.96192009895771, 5.722756703815873 58.96090190852899, 5.722834805324533 58.96084487574955)"/>
    <s v="[1418443, 1418447, 1418448, 1418449, 1418456, 1418457, 1418464]"/>
    <s v="[1295234, 1295238, 1295239, 1295240, 1295244, 1295245, 1295165]"/>
    <s v="#FIELD!"/>
    <s v="[1295233, 1295234, 1295238, 1295239, 1295240, 1295244, 1295245]"/>
    <s v="[0.035, 0.045, 0.031, 0.001, 0.009, 0.01, 0.014]"/>
    <s v="865.4912811542927"/>
    <s v="[-0.035, -0.045, -0.031, -0.001, 0.009, 0.01, 0.014]"/>
  </r>
  <r>
    <x v="4147"/>
    <x v="4693"/>
    <x v="0"/>
    <n v="0"/>
    <m/>
    <n v="1419107"/>
    <n v="1295582"/>
    <s v="0.013"/>
    <n v="1295233"/>
    <s v="0.013"/>
    <s v="1363.982458656108"/>
    <s v="0.013"/>
  </r>
  <r>
    <x v="4147"/>
    <x v="919"/>
    <x v="428"/>
    <n v="0"/>
    <s v="LINESTRING (5.690401009276546 58.97578686022147, 5.6906463636669 58.97563331044731, 5.720579663395385 58.96757435404535)"/>
    <s v="[1419091, 1419099]"/>
    <s v="[1295776, 1295233]"/>
    <s v="0.005089829214977593"/>
    <s v="[1295765, 1295776]"/>
    <s v="[0.013, 0.005]"/>
    <s v="1980.9360060926335"/>
    <s v="[0.013, 0.005]"/>
  </r>
  <r>
    <x v="4148"/>
    <x v="4694"/>
    <x v="0"/>
    <n v="0"/>
    <s v="LINESTRING (5.722227100940102 58.95197972699007, 5.722600439540232 58.952271862703114, 5.722639172243592 58.952294815454984)"/>
    <s v="[1418786, 1418797]"/>
    <s v="[1295528, 1295533]"/>
    <s v="0.03230133283030957"/>
    <s v="[1295470, 1295528]"/>
    <s v="[0.035, 0.001]"/>
    <s v="45.39062853346961"/>
    <s v="[0.035, -0.001]"/>
  </r>
  <r>
    <x v="4149"/>
    <x v="3384"/>
    <x v="0"/>
    <n v="0"/>
    <s v="LINESTRING (5.721166429846383 58.953450429703054, 5.721300904616968 58.951501031353224, 5.721387648697892 58.951253452151896)"/>
    <s v="[1419146, 1419150]"/>
    <s v="[1295818, 1295789]"/>
    <s v="#FIELD!"/>
    <s v="[1295521, 1295818]"/>
    <s v="0.007"/>
    <s v="246.1965290139951"/>
    <s v="#FIELD!"/>
  </r>
  <r>
    <x v="4150"/>
    <x v="4694"/>
    <x v="0"/>
    <n v="0"/>
    <s v="LINESTRING (5.722639172243592 58.952294815454984, 5.722780192067294 58.9523045153621, 5.722868831554177 58.952348815875254, 5.722888178431605 58.95242771419372, 5.722564134565412 58.952492418894664, 5.722490836035254 58.95244701346149, 5.7224840672297335 58.952365138747155, 5.722639172243592 58.952294815454984)"/>
    <s v="[1423218, 1423226, 1423234, 1423242, 1423250, 1423258, 1423266]"/>
    <s v="[1296036, 1298479, 1295989, 343666, 1298497, 343642, 1295533]"/>
    <s v="#FIELD!"/>
    <s v="[1295533, 1296036, 1298479, 1295989, 343666, 1298497, 343642]"/>
    <s v="[0.028, 0.001, 0.024, 0.038, 0.011, 0.035, 0.039]"/>
    <s v="75.69081895040486"/>
    <s v="[-0.028, -0.001, 0.024, 0.038, -0.011, -0.035, -0.039]"/>
  </r>
  <r>
    <x v="4151"/>
    <x v="4693"/>
    <x v="0"/>
    <n v="0"/>
    <s v="LINESTRING (5.726472801937246 58.96268308614215, 5.726472801937246 58.96268308614215, 5.726269511724654 58.96161157358523, 5.726600136495575 58.96028616226692, 5.724960902816843 58.95687152891612, 5.724859825041702 58.956696012215566)"/>
    <s v="[1418806, 1418827, 1418839, 1418848, 1418854]"/>
    <s v="[1295543, 1295561, 1295572, 1295579, 1295582]"/>
    <s v="0.050332991443526216"/>
    <s v="[1295542, 1295543, 1295561, 1295572, 1295579]"/>
    <s v="[0.0, 0.04, 0.057, 0.059, 0.057]"/>
    <s v="708.5210941797317"/>
    <s v="[0.0, 0.04, 0.057, 0.059, -0.057]"/>
  </r>
  <r>
    <x v="4152"/>
    <x v="3384"/>
    <x v="0"/>
    <n v="0"/>
    <s v="LINESTRING (5.724859825041702 58.956696012215566, 5.721513355267944 58.95369682070212, 5.721387648697892 58.951253452151896)"/>
    <s v="[1419109, 1419110]"/>
    <s v="[1295788, 1295789]"/>
    <s v="#FIELD!"/>
    <s v="[1295582, 1295788]"/>
    <s v="[0.077, 0.014]"/>
    <s v="664.2841639086746"/>
    <s v="[-0.077, -0.014]"/>
  </r>
  <r>
    <x v="4153"/>
    <x v="919"/>
    <x v="0"/>
    <n v="0"/>
    <s v="LINESTRING (5.683252798970017 58.98036422114212, 5.684292499146291 58.97963827081351, 5.68477775281235 58.97936024561533, 5.686131607062218 58.97871699961633, 5.690401009276546 58.97578686022147)"/>
    <s v="[1419063, 1419069, 1419070, 1419077]"/>
    <s v="[1295754, 1295759, 1295760, 1295765]"/>
    <s v="0.018907284415454462"/>
    <s v="[1295750, 1295754, 1295759, 1295760]"/>
    <s v="[0.077, 0.059, 0.037, 0.015]"/>
    <s v="659.6824647502383"/>
    <s v="[0.077, 0.059, -0.037, 0.015]"/>
  </r>
  <r>
    <x v="4154"/>
    <x v="4695"/>
    <x v="0"/>
    <n v="0"/>
    <s v="LINESTRING (5.725587244381792 58.841142979484516, 5.7255401905696415 58.8412110769391, 5.725415948686927 58.84126679683056, 5.72527526004486 58.84128122129253, 5.725038653651774 58.84103576582997)"/>
    <s v="[1420408, 1420416, 1420424, 1420368]"/>
    <s v="[1296743, 1296749, 1296711, 1296712]"/>
    <s v="0.03223429002228406"/>
    <s v="[1296448, 1296743, 1296749, 1296711]"/>
    <s v="[0.02, 0.041, 0.053, 0.028]"/>
    <s v="62.98605357878841"/>
    <s v="[0.02, 0.041, 0.053, 0.028]"/>
  </r>
  <r>
    <x v="4154"/>
    <x v="1688"/>
    <x v="0"/>
    <n v="0"/>
    <m/>
    <n v="1420400"/>
    <n v="1296448"/>
    <s v="#FIELD!"/>
    <n v="1296455"/>
    <s v="0.014"/>
    <s v="19.492439492885204"/>
    <s v="#FIELD!"/>
  </r>
  <r>
    <x v="4154"/>
    <x v="1689"/>
    <x v="0"/>
    <n v="0"/>
    <s v="LINESTRING (5.729555308941337 58.83920794504336, 5.729034849240903 58.83942434662866, 5.725687008850657 58.841086290720064, 5.725587244381792 58.841142979484516)"/>
    <s v="[1420456, 1420024, 1420032]"/>
    <s v="[1296438, 1296439, 1296448]"/>
    <s v="0.04459320970516687"/>
    <s v="[1296777, 1296438, 1296439]"/>
    <s v="[0.009, 0.05, 0.031]"/>
    <s v="323.1785034439678"/>
    <s v="[0.009, 0.05, 0.031]"/>
  </r>
  <r>
    <x v="4155"/>
    <x v="4696"/>
    <x v="0"/>
    <n v="0"/>
    <m/>
    <n v="1420392"/>
    <n v="1296455"/>
    <s v="#FIELD!"/>
    <n v="1296725"/>
    <s v="0.033"/>
    <s v="6.1941373894344975"/>
    <s v="#FIELD!"/>
  </r>
  <r>
    <x v="4156"/>
    <x v="4697"/>
    <x v="0"/>
    <n v="0"/>
    <s v="LINESTRING (5.736768191108203 58.83489995142583, 5.737474187181934 58.83556380302239, 5.737449910501318 58.835644277329095)"/>
    <s v="[1420064, 1420072]"/>
    <s v="[1296479, 774403]"/>
    <s v="0.02619912198523805"/>
    <s v="[1296470, 1296479]"/>
    <s v="[0.028, 0.009]"/>
    <s v="96.02176604474721"/>
    <s v="[0.028, 0.009]"/>
  </r>
  <r>
    <x v="4156"/>
    <x v="4698"/>
    <x v="0"/>
    <s v="[0, 0, 0, 1, 1, 1, 1, 0, 0, 0]"/>
    <s v="LINESTRING (5.736768191108203 58.83489995142583, 5.736905437615418 58.83502574565402, 5.74049940157775 58.836347175639844, 5.740743573363934 58.83638381974287, 5.741219029915248 58.83644437313146, 5.7413405065958605 58.83650324600466, 5.7411991720659055 58.836532034929185, 5.740895355358549 58.83649090663187, 5.740478694105289 58.836439348327715, 5.735370043521573 58.836543812072286, 5.735125542532937 58.83659320502958)"/>
    <s v="[1420656, 1420664, 795208, 795216, 795224, 795232, 795240, 795248, 1420584, 1420592]"/>
    <s v="[1296882, 774460, 774461, 774472, 774230, 774335, 774499, 774507, 1296846, 1296850]"/>
    <s v="#FIELD!"/>
    <s v="[1296470, 1296882, 774460, 774461, 774472, 774230, 774335, 774499, 774507, 1296846]"/>
    <s v="[0.031, 0.017, 0.027, 0.025, 0.005, 0.031, 0.02, 0.024, 0.007, 0.062]"/>
    <s v="706.3248054195577"/>
    <s v="[0.031, -0.017, -0.027, -0.025, -0.005, 0.031, 0.02, 0.024, -0.007, -0.062]"/>
  </r>
  <r>
    <x v="4156"/>
    <x v="4594"/>
    <x v="0"/>
    <n v="0"/>
    <s v="LINESTRING (5.736918231175897 58.83227230483392, 5.7369661182061975 58.832614993790784, 5.736768191108203 58.83489995142583)"/>
    <s v="[1420440, 1420056]"/>
    <s v="[1296469, 1296470]"/>
    <s v="0.02339017088211251"/>
    <s v="[1296767, 1296469]"/>
    <s v="[0.046, 0.02]"/>
    <s v="294.4318353267917"/>
    <s v="[0.046, 0.02]"/>
  </r>
  <r>
    <x v="4157"/>
    <x v="1396"/>
    <x v="0"/>
    <n v="0"/>
    <m/>
    <n v="1420280"/>
    <n v="1296649"/>
    <s v="0.02"/>
    <n v="1296648"/>
    <s v="0.02"/>
    <s v="4.273383320040489"/>
    <s v="0.02"/>
  </r>
  <r>
    <x v="4157"/>
    <x v="4695"/>
    <x v="0"/>
    <n v="0"/>
    <s v="LINESTRING (5.723710630353066 58.83920009225112, 5.7237697279823765 58.83924670100093, 5.7250203321385 58.84097530377598, 5.725038653651774 58.84103576582997)"/>
    <s v="[1423986, 1423994, 1424002]"/>
    <s v="[1298873, 1298880, 1296712]"/>
    <s v="#FIELD!"/>
    <s v="[1296648, 1298873, 1298880]"/>
    <s v="[0.077, 0.008, 0.296]"/>
    <s v="219.6923564879812"/>
    <s v="[-0.077, 0.008, -0.296]"/>
  </r>
  <r>
    <x v="4157"/>
    <x v="4699"/>
    <x v="0"/>
    <n v="0"/>
    <s v="LINESTRING (5.723984809388519 58.83915475835558, 5.723868030656354 58.83919523039988, 5.723710630353066 58.83920009225112)"/>
    <s v="[1420352, 1420360]"/>
    <s v="[1296701, 1296648]"/>
    <s v="0.042788159987849676"/>
    <s v="[1296695, 1296701]"/>
    <s v="[0.065, 0.023]"/>
    <s v="17.26968951154351"/>
    <s v="[0.065, 0.023]"/>
  </r>
  <r>
    <x v="4158"/>
    <x v="1699"/>
    <x v="0"/>
    <n v="0"/>
    <m/>
    <n v="1420288"/>
    <n v="1296655"/>
    <s v="0.006"/>
    <n v="1296649"/>
    <s v="0.006"/>
    <s v="20.894609220985846"/>
    <s v="0.006"/>
  </r>
  <r>
    <x v="4159"/>
    <x v="4699"/>
    <x v="0"/>
    <n v="0"/>
    <s v="LINESTRING (5.7234669653152315 58.839035793419434, 5.72355008108262 58.838939982997246, 5.723666195024961 58.83889990589317, 5.723847639424369 58.838898123593225, 5.7240011436081 58.83894908704502, 5.72405712324226 58.839006937090254, 5.724058460635448 58.83907982305591, 5.723984809388519 58.83915475835558)"/>
    <s v="[1420296, 1420304, 1420312, 1420320, 1420328, 1420336, 1420344]"/>
    <s v="[1296661, 1296666, 1296673, 1296543, 1296685, 1296529, 1296695]"/>
    <s v="#FIELD!"/>
    <s v="[1296655, 1296661, 1296666, 1296673, 1296543, 1296685, 1296529]"/>
    <s v="[0.013, 0.017, 0.016, 0.066, 0.04, 0.006, 0.048]"/>
    <s v="65.6620443194019"/>
    <s v="[-0.013, -0.017, -0.016, -0.066, -0.04, 0.006, 0.048]"/>
  </r>
  <r>
    <x v="4160"/>
    <x v="4696"/>
    <x v="0"/>
    <n v="0"/>
    <s v="LINESTRING (5.723984809388519 58.83915475835558, 5.723999303817602 58.839208780490644, 5.72525618663624 58.840923313681344, 5.725347068265173 58.84097160934722)"/>
    <s v="[1424010, 1424018, 1424026]"/>
    <s v="[1298890, 1298894, 1296725]"/>
    <s v="#FIELD!"/>
    <s v="[1296695, 1298890, 1298894]"/>
    <s v="[0.059, 0.008, 0.379]"/>
    <s v="219.57910377314278"/>
    <s v="[-0.059, 0.008, -0.379]"/>
  </r>
  <r>
    <x v="4161"/>
    <x v="4696"/>
    <x v="0"/>
    <n v="0"/>
    <s v="LINESTRING (5.725038653651774 58.84103576582997, 5.725159985088631 58.84098301634061, 5.725347068265173 58.84097160934722)"/>
    <s v="[1420376, 1420384]"/>
    <s v="[1296718, 1296725]"/>
    <s v="#FIELD!"/>
    <s v="[1296712, 1296718]"/>
    <s v="[0.089, 0.069]"/>
    <s v="20.08235192939583"/>
    <s v="[-0.089, -0.069]"/>
  </r>
  <r>
    <x v="4162"/>
    <x v="4700"/>
    <x v="0"/>
    <n v="0"/>
    <s v="LINESTRING (5.734634970919359 58.83643622800615, 5.734805502706625 58.83623041301736, 5.735545799889644 58.83466221995097)"/>
    <s v="[1420432, 1423850]"/>
    <s v="[1296760, 1296836]"/>
    <s v="0.028604368925191196"/>
    <s v="[1296759, 1296760]"/>
    <s v="[0.048, 0.026]"/>
    <s v="211.42825687323074"/>
    <s v="[0.048, 0.026]"/>
  </r>
  <r>
    <x v="4162"/>
    <x v="4593"/>
    <x v="0"/>
    <n v="0"/>
    <s v="LINESTRING (5.736675047125536 58.832464171047405, 5.736183014694638 58.834416256813824, 5.736138637521023 58.834502306775, 5.734634970919359 58.83643622800615)"/>
    <s v="[1423626, 1423634, 1423642]"/>
    <s v="[1298684, 1298688, 1296759]"/>
    <s v="#FIELD!"/>
    <s v="[1296772, 1298684, 1298688]"/>
    <s v="[0.022, 0.011, 0.032]"/>
    <s v="464.56123914590125"/>
    <s v="[0.022, 0.011, -0.032]"/>
  </r>
  <r>
    <x v="4163"/>
    <x v="4701"/>
    <x v="0"/>
    <s v="[0, 0, 0, 0, 0, 1]"/>
    <s v="LINESTRING (5.736918231175897 58.83227230483392, 5.736897912020923 58.83247923963883, 5.736321859789637 58.834532019698024, 5.736274863911862 58.834622488754015, 5.734643061160982 58.836647505564194, 5.733305057927459 58.83760641769655, 5.733054959026946 58.837752922792546)"/>
    <s v="[1423730, 1423738, 1423746, 1423754, 1423762, 1423770]"/>
    <s v="[1298732, 1298735, 1298740, 1298743, 1298746, 1298677]"/>
    <s v="#FIELD!"/>
    <s v="[1296767, 1298732, 1298735, 1298740, 1298743, 1298746]"/>
    <s v="[0.027, 0.027, 0.023, 0.035, 0.074, 0.077]"/>
    <s v="666.0008967319131"/>
    <s v="[0.027, 0.027, -0.023, -0.035, -0.074, -0.077]"/>
  </r>
  <r>
    <x v="4164"/>
    <x v="4702"/>
    <x v="0"/>
    <n v="0"/>
    <s v="LINESTRING (5.733874731017066 58.83484962282813, 5.733874731017066 58.83484962282813, 5.736616340276407 58.832736272485015, 5.736675047125536 58.832464171047405)"/>
    <s v="[1423874, 1423882, 1420448]"/>
    <s v="[1298811, 1296771, 1296772]"/>
    <s v="#FIELD!"/>
    <s v="[774393, 1298811, 1296771]"/>
    <s v="[0.0, 0.006, 0.049]"/>
    <s v="352.53557509891374"/>
    <s v="[0.0, -0.006, -0.049]"/>
  </r>
  <r>
    <x v="4165"/>
    <x v="4701"/>
    <x v="0"/>
    <n v="1"/>
    <m/>
    <n v="1423778"/>
    <n v="1296777"/>
    <s v="#FIELD!"/>
    <n v="1298677"/>
    <s v="0.046"/>
    <s v="260.88475648655776"/>
    <s v="#FIELD!"/>
  </r>
  <r>
    <x v="4166"/>
    <x v="4703"/>
    <x v="0"/>
    <n v="0"/>
    <s v="LINESTRING (5.735545799889644 58.83466221995097, 5.735371008404072 58.834605853310975, 5.734788560475845 58.83520962240513, 5.735062951021378 58.835300035484885)"/>
    <s v="[1420568, 1420576, 1420624]"/>
    <s v="[1296837, 1296841, 774249]"/>
    <s v="#FIELD!"/>
    <s v="[1296836, 1296837, 1296841]"/>
    <s v="[0.004, 0.013, 0.007]"/>
    <s v="162.66790257612456"/>
    <s v="[0.004, -0.013, 0.007]"/>
  </r>
  <r>
    <x v="4166"/>
    <x v="4704"/>
    <x v="0"/>
    <n v="0"/>
    <s v="LINESTRING (5.735545799889644 58.83466221995097, 5.734075031895871 58.83490387990209, 5.734065580877436 58.834935094290294)"/>
    <s v="[1423858, 1423866]"/>
    <s v="[1298802, 774349]"/>
    <s v="#FIELD!"/>
    <s v="[1296836, 1298802]"/>
    <s v="[0.004, 0.055]"/>
    <s v="118.81709427210549"/>
    <s v="[-0.004, -0.055]"/>
  </r>
  <r>
    <x v="4167"/>
    <x v="4701"/>
    <x v="0"/>
    <n v="0"/>
    <s v="LINESTRING (5.735125542532937 58.83659320502958, 5.733390573707949 58.83764267118947, 5.733054959026946 58.837752922792546)"/>
    <s v="[1420648, 1423602]"/>
    <s v="[1296878, 1298677]"/>
    <s v="#FIELD!"/>
    <s v="[1296850, 1296878]"/>
    <s v="[0.071, 0.101]"/>
    <s v="177.76611956504667"/>
    <s v="[-0.071, -0.101]"/>
  </r>
  <r>
    <x v="4167"/>
    <x v="4705"/>
    <x v="0"/>
    <n v="0"/>
    <s v="LINESTRING (5.737140198073824 58.83597888681043, 5.737140198073824 58.83597888681043, 5.735125542532937 58.83659320502958)"/>
    <s v="[1420632, 1420640]"/>
    <s v="[1296872, 1296850]"/>
    <s v="#FIELD!"/>
    <s v="[774423, 1296872]"/>
    <s v="[0.0, 0.063]"/>
    <s v="149.808761469709"/>
    <s v="[0.0, -0.063]"/>
  </r>
  <r>
    <x v="4168"/>
    <x v="4706"/>
    <x v="0"/>
    <n v="0"/>
    <s v="LINESTRING (10.566800142696511 59.663641812064526, 10.566489602819805 59.663735751492986, 10.566048664973682 59.66388076143095, 10.56594082739383 59.66390318952759)"/>
    <s v="[2129175, 2129183, 2129191]"/>
    <s v="[1832412, 1832416, 1298471]"/>
    <s v="#FIELD!"/>
    <s v="[1297915, 1832412, 1832416]"/>
    <s v="[0.134, 0.017, 0.671]"/>
    <s v="56.83160480465524"/>
    <s v="[0.134, 0.017, -0.671]"/>
  </r>
  <r>
    <x v="4168"/>
    <x v="4707"/>
    <x v="0"/>
    <n v="0"/>
    <s v="LINESTRING (10.566800142696511 59.663641812064526, 10.566558220894816 59.66378097994049, 10.566211025452903 59.663984722499364, 10.566107681709136 59.66405272621335)"/>
    <s v="[2136590, 2136598, 2136606]"/>
    <s v="[1836602, 1836606, 1298429]"/>
    <s v="#FIELD!"/>
    <s v="[1297915, 1836602, 1836606]"/>
    <s v="[0.091, 0.024, 0.569]"/>
    <s v="60.413948460909445"/>
    <s v="[0.091, -0.024, -0.569]"/>
  </r>
  <r>
    <x v="4168"/>
    <x v="4708"/>
    <x v="429"/>
    <n v="0"/>
    <s v="LINESTRING (10.65578768519909 59.69150037014739, 10.654599122562256 59.690833352923065, 10.654145279659737 59.690582529424624, 10.653757648382278 59.690368305399396, 10.653698858250607 59.69033570020759, 10.653552539441476 59.69025454609441, 10.65323866298548 59.690080472088574, 10.645534338936148 59.68580025724039, 10.645523033443308 59.68579337095257, 10.61981408154917 59.66798202765999, 10.619800083311153 59.66797651463066, 10.611099111362208 59.66277250590218, 10.610046889766387 59.66144531237845, 10.60847547081661 59.65914645613855, 10.606907823203622 59.65717073812009, 10.606899716679623 59.65716275939537, 10.573175409281074 59.66074305805799, 10.57316231622301 59.66074907231406, 10.56924403369769 59.662553962322846, 10.568935776175337 59.662694235000735, 10.568731980702085 59.66278672844759, 10.566800142696511 59.663641812064526)"/>
    <s v="[1503847, 1503850, 1503852, 1503855, 1503857, 1503865, 1503867, 1503868, 1503869, 1503876, 1503891, 1422361, 1422369, 1422377, 1422385, 1422393, 1422401, 1422409, 1422417, 1422425, 1422433]"/>
    <s v="[1359980, 1359984, 1359986, 1359989, 1359990, 1359997, 1359998, 1359999, 1360000, 1360004, 1297872, 1297873, 1297876, 1297879, 1297882, 1297885, 1297890, 1297897, 1297904, 1297909, 1297915]"/>
    <s v="#FIELD!"/>
    <s v="[1359979, 1359980, 1359984, 1359986, 1359989, 1359990, 1359997, 1359998, 1359999, 1360000, 1360004, 1297872, 1297873, 1297876, 1297879, 1297882, 1297885, 1297890, 1297897, 1297904, 1297909]"/>
    <s v="[0.032, 0.086, 0.08, 0.069, 0.055, 0.07, 0.053, 0.073, 0.059, 0.0, 0.0, 0.0, 0.0, 0.0, 0.0, 0.042, 0.102, 0.075, 0.054, 0.026, 0.024]"/>
    <s v="7610.643900619961"/>
    <s v="[-0.032, 0.086, 0.08, 0.069, 0.055, 0.07, 0.053, -0.073, -0.059, 0.0, 0.0, 0.0, 0.0, 0.0, 0.0, 0.042, -0.102, -0.075, -0.054, -0.026, -0.024]"/>
  </r>
  <r>
    <x v="4169"/>
    <x v="4709"/>
    <x v="430"/>
    <n v="0"/>
    <s v="LINESTRING (10.472210417816605 59.704249513567326, 10.470745889848416 59.70509621063169, 10.470712471332481 59.70511720656579, 10.469109490866506 59.70604744485718, 10.446294369674076 59.72305670317776, 10.446196402760616 59.72441985550096, 10.446177387472547 59.72462458253905, 10.44589868306984 59.72564085852408)"/>
    <s v="[1422585, 1422593, 1422601, 1422609, 1422617, 1422625, 1422633]"/>
    <s v="[1298006, 1298010, 1298016, 1298025, 1298031, 1298036, 1298042]"/>
    <s v="#FIELD!"/>
    <s v="[1298005, 1298006, 1298010, 1298016, 1298025, 1298031, 1298036]"/>
    <s v="[0.046, 0.031, 0.124, 0.012, 0.169, 0.089, 0.087]"/>
    <s v="2898.936645938387"/>
    <s v="[0.046, 0.031, 0.124, -0.012, -0.169, -0.089, -0.087]"/>
  </r>
  <r>
    <x v="4169"/>
    <x v="4710"/>
    <x v="0"/>
    <n v="0"/>
    <s v="LINESTRING (10.472760962301734 59.70406058756674, 10.4726447594877 59.70409074817878, 10.472210417816605 59.704249513567326)"/>
    <s v="[2137150, 2137158]"/>
    <s v="[1836910, 1298005]"/>
    <s v="#FIELD!"/>
    <s v="[1298616, 1836910]"/>
    <s v="[0.602, 0.257]"/>
    <s v="37.71231359456752"/>
    <s v="[0.602, -0.257]"/>
  </r>
  <r>
    <x v="4169"/>
    <x v="4711"/>
    <x v="0"/>
    <n v="0"/>
    <s v="LINESTRING (10.472507039957934 59.70395108785155, 10.472461967412325 59.70400798822088, 10.472210417816605 59.704249513567326)"/>
    <s v="[2129583, 2129591]"/>
    <s v="[1832590, 1298005]"/>
    <s v="#FIELD!"/>
    <s v="[1298627, 1832590]"/>
    <s v="[0.673, 0.292]"/>
    <s v="37.43729313312786"/>
    <s v="[0.673, -0.292]"/>
  </r>
  <r>
    <x v="4170"/>
    <x v="935"/>
    <x v="0"/>
    <n v="0"/>
    <s v="LINESTRING (10.44589868306984 59.72564085852408, 10.4454917110315 59.72590912029914, 10.445421493685028 59.72594085661943)"/>
    <s v="[2129647, 2129655]"/>
    <s v="[1832610, 1298694]"/>
    <s v="0.11155441558503851"/>
    <s v="[1298042, 1832610]"/>
    <s v="[0.325, 1.413]"/>
    <s v="43.18644577458117"/>
    <s v="[0.325, -1.413]"/>
  </r>
  <r>
    <x v="4170"/>
    <x v="939"/>
    <x v="0"/>
    <n v="0"/>
    <s v="LINESTRING (10.44589868306984 59.72564085852408, 10.445650481078223 59.72596480265865, 10.445617539203077 59.72603130835786)"/>
    <s v="[2137166, 2137174]"/>
    <s v="[1836916, 1298674]"/>
    <s v="0.11730359372549096"/>
    <s v="[1298042, 1836916]"/>
    <s v="[0.32, 0.914]"/>
    <s v="46.51537884574053"/>
    <s v="[0.32, -0.914]"/>
  </r>
  <r>
    <x v="4171"/>
    <x v="2899"/>
    <x v="0"/>
    <n v="0"/>
    <s v="LINESTRING (10.287724575214405 59.750971340359676, 10.287526940197917 59.751560554737736, 10.287451834917114 59.75162769009974, 10.287372852432968 59.751687436436896, 10.286969983988522 59.751905730526374, 10.28625301767086 59.75205618498431)"/>
    <s v="[1422867, 1422875, 1422883, 1422891, 1422899]"/>
    <s v="[1298196, 1298202, 1298208, 1298214, 1298164]"/>
    <s v="#FIELD!"/>
    <s v="[1298158, 1298196, 1298202, 1298208, 1298214]"/>
    <s v="[0.005, 0.009, 0.009, 0.011, 0.019]"/>
    <s v="161.8040708338097"/>
    <s v="[0.005, 0.009, 0.009, -0.011, -0.019]"/>
  </r>
  <r>
    <x v="4171"/>
    <x v="2899"/>
    <x v="0"/>
    <n v="0"/>
    <s v="LINESTRING (10.287724575214405 59.750971340359676, 10.287332070339074 59.75154394591363, 10.287294525991934 59.75157947467226, 10.287223342500862 59.751638520771145, 10.286808760679088 59.751868068460276, 10.28625301767086 59.75205618498431)"/>
    <s v="[2130459, 2130467, 2130475, 2130483, 2130491]"/>
    <s v="[1833019, 1299191, 1833029, 1833036, 1298164]"/>
    <s v="#FIELD!"/>
    <s v="[1298158, 1833019, 1299191, 1833029, 1833036]"/>
    <s v="[0.047, 0.013, 0.012, 0.012, 0.09]"/>
    <s v="152.662186487841"/>
    <s v="[0.047, -0.013, -0.012, -0.012, -0.09]"/>
  </r>
  <r>
    <x v="4172"/>
    <x v="4712"/>
    <x v="0"/>
    <n v="0"/>
    <s v="LINESTRING (10.256317432650915 59.76340886942696, 10.256298165463459 59.763558233084794, 10.256293770042141 59.76362755005316, 10.256281309574907 59.76369062978293)"/>
    <s v="[2099276, 2099297, 2099310]"/>
    <s v="[1815276, 1815291, 1815206]"/>
    <s v="#FIELD!"/>
    <s v="[1298359, 1815276, 1815291]"/>
    <s v="[0.029, 0.004, 0.004]"/>
    <s v="31.479140632048036"/>
    <s v="[-0.029, 0.004, 0.004]"/>
  </r>
  <r>
    <x v="4172"/>
    <x v="4713"/>
    <x v="0"/>
    <n v="0"/>
    <s v="LINESTRING (10.256317432650915 59.76340886942696, 10.256425830723224 59.76355076993598, 10.256474558264452 59.76361693492889, 10.2565145914809 59.76366146778825)"/>
    <s v="[2099452, 2099453, 2099460]"/>
    <s v="[1815396, 1815397, 1815147]"/>
    <s v="#FIELD!"/>
    <s v="[1298359, 1815396, 1815397]"/>
    <s v="[0.035, 0.001, 0.003]"/>
    <s v="30.26728733513888"/>
    <s v="[-0.035, -0.001, -0.003]"/>
  </r>
  <r>
    <x v="4173"/>
    <x v="4129"/>
    <x v="0"/>
    <n v="0"/>
    <m/>
    <n v="1423172"/>
    <n v="1298430"/>
    <s v="0.037"/>
    <n v="1298429"/>
    <s v="0.037"/>
    <s v="21.835331615812237"/>
    <s v="0.037"/>
  </r>
  <r>
    <x v="4173"/>
    <x v="4706"/>
    <x v="0"/>
    <n v="0"/>
    <s v="LINESTRING (10.56594082739383 59.66390318952759, 10.566069036303864 59.66395519327957, 10.566107681709136 59.66405272621335)"/>
    <s v="[1423228, 1423236]"/>
    <s v="[1298480, 1298429]"/>
    <s v="#FIELD!"/>
    <s v="[1298471, 1298480]"/>
    <s v="[0.193, 0.115]"/>
    <s v="20.559583775459235"/>
    <s v="[-0.193, -0.115]"/>
  </r>
  <r>
    <x v="4174"/>
    <x v="4130"/>
    <x v="0"/>
    <n v="0"/>
    <s v="LINESTRING (10.565824609081176 59.66416364660257, 10.565627979290852 59.66410482923104, 10.565580006680372 59.664024066859305)"/>
    <s v="[1423180, 1423188]"/>
    <s v="[1298439, 1298448]"/>
    <s v="0.12292783062227775"/>
    <s v="[1298430, 1298439]"/>
    <s v="[0.13, 0.113]"/>
    <s v="22.59177651379813"/>
    <s v="[0.13, 0.113]"/>
  </r>
  <r>
    <x v="4175"/>
    <x v="4706"/>
    <x v="0"/>
    <n v="0"/>
    <s v="LINESTRING (10.565580006680372 59.664024066859305, 10.565602565227326 59.66397447030904, 10.565713844876653 59.66391259010915, 10.56587441368163 59.663894645634784, 10.56594082739383 59.66390318952759)"/>
    <s v="[1423196, 1423204, 1423212, 1423220]"/>
    <s v="[229636, 1298460, 264375, 1298471]"/>
    <s v="#FIELD!"/>
    <s v="[1298448, 229636, 1298460, 264375]"/>
    <s v="[0.096, 0.028, 0.074, 0.155]"/>
    <s v="28.131422948870856"/>
    <s v="[0.096, 0.028, -0.074, -0.155]"/>
  </r>
  <r>
    <x v="4176"/>
    <x v="4135"/>
    <x v="0"/>
    <n v="0"/>
    <s v="LINESTRING (10.52668416989407 59.66716618527515, 10.52651358435742 59.66714419730282, 10.526399895535663 59.66705474349929)"/>
    <s v="[1423316, 1423324]"/>
    <s v="[1298543, 1298551]"/>
    <s v="0.23120591247599656"/>
    <s v="[1298536, 1298543]"/>
    <s v="[0.24, 0.224]"/>
    <s v="22.037537756756983"/>
    <s v="[0.24, 0.224]"/>
  </r>
  <r>
    <x v="4176"/>
    <x v="4132"/>
    <x v="0"/>
    <n v="0"/>
    <s v="LINESTRING (10.52692106333793 59.666999441023414, 10.526928619616449 59.6670432530513, 10.526861155212371 59.66712277745529, 10.526733285972144 59.667161801653094, 10.52668416989407 59.66716618527515)"/>
    <s v="[1423363, 1423292, 1423300, 1423308]"/>
    <s v="[1298523, 1298524, 1298531, 1298536]"/>
    <s v="#FIELD!"/>
    <s v="[1298572, 1298523, 1298524, 1298531]"/>
    <s v="[0.152, 0.05, 0.096, 0.14]"/>
    <s v="25.777606444462947"/>
    <s v="[-0.152, -0.05, 0.096, 0.14]"/>
  </r>
  <r>
    <x v="4177"/>
    <x v="4131"/>
    <x v="0"/>
    <n v="0"/>
    <m/>
    <n v="1423332"/>
    <n v="1298557"/>
    <s v="#FIELD!"/>
    <n v="1298551"/>
    <s v="0.016"/>
    <s v="25.12631399804381"/>
    <s v="#FIELD!"/>
  </r>
  <r>
    <x v="4178"/>
    <x v="4132"/>
    <x v="0"/>
    <n v="0"/>
    <s v="LINESTRING (10.526649506898282 59.666897670179495, 10.52681693399697 59.6669225358456, 10.52692106333793 59.666999441023414)"/>
    <s v="[1423347, 1423355]"/>
    <s v="[1298568, 1298572]"/>
    <s v="#FIELD!"/>
    <s v="[1298557, 1298568]"/>
    <s v="[0.231, 0.232]"/>
    <s v="20.22703838831555"/>
    <s v="[-0.231, -0.232]"/>
  </r>
  <r>
    <x v="4179"/>
    <x v="4710"/>
    <x v="0"/>
    <n v="0"/>
    <m/>
    <n v="1423427"/>
    <n v="1298616"/>
    <s v="0.201"/>
    <n v="1298615"/>
    <s v="0.201"/>
    <s v="29.921371655914186"/>
    <s v="0.201"/>
  </r>
  <r>
    <x v="4179"/>
    <x v="4136"/>
    <x v="0"/>
    <n v="0"/>
    <s v="LINESTRING (10.472842669756327 59.70378551185619, 10.47295974204223 59.70381640188478, 10.473039951279722 59.70387956401473)"/>
    <s v="[1423483, 1423491]"/>
    <s v="[1298641, 1298615]"/>
    <s v="#FIELD!"/>
    <s v="[1298640, 1298641]"/>
    <s v="[0.064, 0.75]"/>
    <s v="15.802517988904103"/>
    <s v="[-0.064, -0.75]"/>
  </r>
  <r>
    <x v="4180"/>
    <x v="4711"/>
    <x v="0"/>
    <n v="0"/>
    <s v="LINESTRING (10.472760962301734 59.70406058756674, 10.472594779819124 59.70402606707022, 10.472507039957934 59.70395108785155)"/>
    <s v="[1423435, 1423443]"/>
    <s v="[1298621, 1298627]"/>
    <s v="0.04906219300276586"/>
    <s v="[1298616, 1298621]"/>
    <s v="[0.052, 0.046]"/>
    <s v="19.827532432077035"/>
    <s v="[0.052, 0.046]"/>
  </r>
  <r>
    <x v="4181"/>
    <x v="4136"/>
    <x v="0"/>
    <n v="0"/>
    <s v="LINESTRING (10.472507039957934 59.70395108785155, 10.472522182317773 59.70386745002182, 10.472608238344606 59.70381017588909, 10.472738034635812 59.7037827962863, 10.472842669756327 59.70378551185619)"/>
    <s v="[1423451, 1423459, 1423467, 1423475]"/>
    <s v="[261930, 1298636, 620147, 1298640]"/>
    <s v="#FIELD!"/>
    <s v="[1298627, 261930, 1298636, 620147]"/>
    <s v="[0.027, 0.003, 0.023, 0.058]"/>
    <s v="31.19758523313567"/>
    <s v="[0.027, 0.003, -0.023, -0.058]"/>
  </r>
  <r>
    <x v="4182"/>
    <x v="935"/>
    <x v="0"/>
    <n v="0"/>
    <s v="LINESTRING (10.445421493685028 59.72594085661943, 10.445535066204657 59.72596998452461, 10.445617539203077 59.72603130835786)"/>
    <s v="[1423651, 1423659]"/>
    <s v="[1298698, 1298674]"/>
    <s v="0.039260951465264385"/>
    <s v="[1298694, 1298698]"/>
    <s v="[0.058, 0.023]"/>
    <s v="15.431340357777321"/>
    <s v="[0.058, 0.023]"/>
  </r>
  <r>
    <x v="4183"/>
    <x v="4714"/>
    <x v="0"/>
    <n v="0"/>
    <s v="LINESTRING (10.438924281479308 59.83332037893995, 10.438775279436506 59.83331250773797, 10.438694340604282 59.833277320555716, 10.43865859355176 59.83321222470167, 10.438676437626834 59.833173272304315, 10.438743151706241 59.83312972111389, 10.438840585307691 59.833109720492665, 10.438947032217701 59.83311521486472)"/>
    <s v="[1507050, 1507065, 1507066, 1506978, 1506979, 1506986, 1506994]"/>
    <s v="[1362850, 1362864, 1362782, 1362783, 1362784, 1362792, 1362799]"/>
    <s v="#FIELD!"/>
    <s v="[1298991, 1362850, 1362864, 1362782, 1362783, 1362784, 1362792]"/>
    <s v="[0.234, 0.039, 0.01, 0.017, 0.038, 0.067, 0.067]"/>
    <s v="44.424131457800875"/>
    <s v="[-0.234, 0.039, 0.01, -0.017, -0.038, -0.067, -0.067]"/>
  </r>
  <r>
    <x v="4183"/>
    <x v="4715"/>
    <x v="0"/>
    <n v="0"/>
    <s v="LINESTRING (10.439080765041144 59.83319540412059, 10.439075184867518 59.833249172118634, 10.439017116750728 59.83329482236075, 10.438924281479308 59.83332037893995)"/>
    <s v="[1507017, 1507041, 1507049]"/>
    <s v="[1362820, 1362843, 1298991]"/>
    <s v="0.16702685000978182"/>
    <s v="[1362819, 1362820, 1362843]"/>
    <s v="[0.02, 0.036, 0.449]"/>
    <s v="17.97868509406444"/>
    <s v="[0.02, 0.036, 0.449]"/>
  </r>
  <r>
    <x v="4183"/>
    <x v="4716"/>
    <x v="0"/>
    <n v="0"/>
    <s v="LINESTRING (10.449738189789276 59.837678610850524, 10.449591000866706 59.83765732490055, 10.445583701607815 59.83609297716181, 10.442249790057849 59.834396586371305, 10.439390376849312 59.83347722012872, 10.439038003637886 59.83335388911034, 10.438924281479308 59.83332037893995)"/>
    <s v="[1540420, 1505695, 1505709, 1505710, 1424177, 1424185]"/>
    <s v="[1361637, 1361638, 1361650, 1298984, 1298985, 1298991]"/>
    <s v="0.035942304735770356"/>
    <s v="[1391852, 1361637, 1361638, 1361650, 1298984, 1298985]"/>
    <s v="[0.254, 0.029, 0.046, 0.05, 0.009, 0.003]"/>
    <s v="781.5797439260823"/>
    <s v="[-0.254, 0.029, 0.046, 0.05, 0.009, 0.003]"/>
  </r>
  <r>
    <x v="4184"/>
    <x v="4717"/>
    <x v="0"/>
    <n v="0"/>
    <m/>
    <n v="1427640"/>
    <n v="1301032"/>
    <s v="#FIELD!"/>
    <n v="1300441"/>
    <s v="0.012"/>
    <s v="14.735515658698194"/>
    <s v="#FIELD!"/>
  </r>
  <r>
    <x v="4184"/>
    <x v="4718"/>
    <x v="0"/>
    <n v="0"/>
    <s v="LINESTRING (9.872542964748414 59.750754536763516, 9.872640985756322 59.75075981041479, 9.869660055448392 59.7491032987622, 9.86923728495378 59.7489377002652)"/>
    <s v="[1426765, 1426773, 1438179]"/>
    <s v="[1300442, 1300452, 1306939]"/>
    <s v="0.022320995087010333"/>
    <s v="[1300441, 1300442, 1300452]"/>
    <s v="[0.005, 0.02, 0.051]"/>
    <s v="343.9029100089376"/>
    <s v="[-0.005, 0.02, 0.051]"/>
  </r>
  <r>
    <x v="4184"/>
    <x v="4719"/>
    <x v="0"/>
    <n v="0"/>
    <m/>
    <n v="1427632"/>
    <n v="1300441"/>
    <s v="#FIELD!"/>
    <n v="1301053"/>
    <s v="0.01"/>
    <s v="4.673371374491043"/>
    <s v="#FIELD!"/>
  </r>
  <r>
    <x v="4185"/>
    <x v="4720"/>
    <x v="0"/>
    <n v="0"/>
    <m/>
    <n v="1427712"/>
    <n v="1301090"/>
    <s v="#FIELD!"/>
    <n v="1300467"/>
    <s v="0.015"/>
    <s v="3.0413812652878645"/>
    <s v="#FIELD!"/>
  </r>
  <r>
    <x v="4185"/>
    <x v="4721"/>
    <x v="0"/>
    <n v="0"/>
    <m/>
    <n v="1427704"/>
    <n v="1300467"/>
    <s v="#FIELD!"/>
    <n v="1301083"/>
    <s v="0.013"/>
    <s v="17.091225778772404"/>
    <s v="#FIELD!"/>
  </r>
  <r>
    <x v="4185"/>
    <x v="4722"/>
    <x v="0"/>
    <n v="0"/>
    <s v="LINESTRING (9.870194566446544 59.749209252153406, 9.87065577027379 59.749341873214405, 9.873123667241867 59.74948927357391, 9.873002589736586 59.74949983353605)"/>
    <s v="[1438187, 1426781, 1426789]"/>
    <s v="[1300459, 1300460, 1300467]"/>
    <s v="#FIELD!"/>
    <s v="[1306590, 1300459, 1300460]"/>
    <s v="[0.049, 0.004, 0.009]"/>
    <s v="302.2299382390547"/>
    <s v="[-0.049, -0.004, -0.009]"/>
  </r>
  <r>
    <x v="4186"/>
    <x v="4723"/>
    <x v="0"/>
    <n v="0"/>
    <s v="LINESTRING (9.777760824624881 59.70322928824142, 9.777491471581076 59.70321540591033, 9.777472564411335 59.70306842416732)"/>
    <s v="[1427888, 1427896]"/>
    <s v="[1301176, 1300520]"/>
    <s v="#FIELD!"/>
    <s v="[1300479, 1301176]"/>
    <s v="[0.02, 0.067]"/>
    <s v="33.75659963189305"/>
    <s v="[-0.02, -0.067]"/>
  </r>
  <r>
    <x v="4186"/>
    <x v="4724"/>
    <x v="0"/>
    <n v="0"/>
    <m/>
    <n v="1427928"/>
    <n v="1300479"/>
    <s v="0.066"/>
    <n v="1301192"/>
    <s v="0.066"/>
    <s v="16.036279637773575"/>
    <s v="0.066"/>
  </r>
  <r>
    <x v="4186"/>
    <x v="4725"/>
    <x v="0"/>
    <n v="0"/>
    <s v="LINESTRING (9.781373905096933 59.70540059517349, 9.781223225736333 59.70529766351992, 9.777815280067452 59.703260154745784, 9.777760824624881 59.70322928824142)"/>
    <s v="[1438163, 1426797, 1426805]"/>
    <s v="[1300472, 1300473, 1300479]"/>
    <s v="0.005237852053005272"/>
    <s v="[1307107, 1300472, 1300473]"/>
    <s v="[0.052, 0.009, 0.064]"/>
    <s v="320.87682182467233"/>
    <s v="[-0.052, 0.009, -0.064]"/>
  </r>
  <r>
    <x v="4187"/>
    <x v="4726"/>
    <x v="0"/>
    <n v="0"/>
    <m/>
    <n v="1428448"/>
    <n v="1301479"/>
    <s v="0.089"/>
    <n v="1300503"/>
    <s v="0.089"/>
    <s v="13.640003041420586"/>
    <s v="0.089"/>
  </r>
  <r>
    <x v="4187"/>
    <x v="4727"/>
    <x v="0"/>
    <n v="0"/>
    <s v="LINESTRING (9.778767604895162 59.70273386067007, 9.778813377219254 59.702769707393145, 9.78207355704135 59.70598165611043, 9.78214137735687 59.70610802741022)"/>
    <s v="[1426837, 1426845, 1438171]"/>
    <s v="[1300504, 1300509, 1306725]"/>
    <s v="0.007605963962624654"/>
    <s v="[1300503, 1300504, 1300509]"/>
    <s v="[0.028, 0.008, 0.01]"/>
    <s v="425.39742631442545"/>
    <s v="[0.028, 0.008, -0.01]"/>
  </r>
  <r>
    <x v="4187"/>
    <x v="4728"/>
    <x v="0"/>
    <n v="0"/>
    <s v="LINESTRING (9.778528288811472 59.702555793570085, 9.778750412784042 59.70257049917237, 9.778797819933457 59.70259758399133, 9.778827346751596 59.70263655315697, 9.778767604895162 59.70273386067007)"/>
    <s v="[1428416, 1428424, 1428432, 1428440]"/>
    <s v="[1301460, 1301465, 1301471, 1300503]"/>
    <s v="0.00893537552379325"/>
    <s v="[1300614, 1301460, 1301465, 1301471]"/>
    <s v="[0.064, 0.005, 0.038, 0.08]"/>
    <s v="33.456137954712034"/>
    <s v="[-0.064, 0.005, 0.038, 0.08]"/>
  </r>
  <r>
    <x v="4188"/>
    <x v="4729"/>
    <x v="0"/>
    <n v="0"/>
    <m/>
    <n v="1427904"/>
    <n v="1301184"/>
    <s v="#FIELD!"/>
    <n v="1300520"/>
    <s v="0.003"/>
    <s v="15.301307189631489"/>
    <s v="#FIELD!"/>
  </r>
  <r>
    <x v="4188"/>
    <x v="2415"/>
    <x v="0"/>
    <n v="0"/>
    <s v="LINESTRING (9.777472564411335 59.70306842416732, 9.777421674914194 59.70304038114827, 9.777327354413574 59.70299525523118, 9.77255070093723 59.7006808353195, 9.772351406068632 59.70059386656229)"/>
    <s v="[1426861, 1426869, 1426877, 1438147]"/>
    <s v="[1300521, 1300527, 1300533, 1307137]"/>
    <s v="#FIELD!"/>
    <s v="[1300520, 1300521, 1300527, 1300533]"/>
    <s v="[0.063, 0.05, 0.024, 0.007]"/>
    <s v="406.81820120611644"/>
    <s v="[-0.063, -0.05, -0.024, 0.007]"/>
  </r>
  <r>
    <x v="4189"/>
    <x v="4730"/>
    <x v="0"/>
    <n v="0"/>
    <m/>
    <n v="1428408"/>
    <n v="1300614"/>
    <s v="#FIELD!"/>
    <n v="1301457"/>
    <s v="0.087"/>
    <s v="17.423669608944326"/>
    <s v="#FIELD!"/>
  </r>
  <r>
    <x v="4189"/>
    <x v="2414"/>
    <x v="0"/>
    <n v="0"/>
    <s v="LINESTRING (9.773290097809646 59.70086316601429, 9.773530400361265 59.700915957575496, 9.778300354601203 59.70242458286586, 9.778470038896627 59.70252231957319, 9.778528288811472 59.702555793570085)"/>
    <s v="[1438155, 1426981, 1426989, 1426997]"/>
    <s v="[1300602, 1300603, 1300610, 1300614]"/>
    <s v="0.005388863268337241"/>
    <s v="[1306751, 1300602, 1300603, 1300610]"/>
    <s v="[0.143, 0.012, 0.005, 0.012]"/>
    <s v="361.4583629742294"/>
    <s v="[-0.143, 0.012, 0.005, 0.012]"/>
  </r>
  <r>
    <x v="4190"/>
    <x v="4110"/>
    <x v="0"/>
    <n v="0"/>
    <m/>
    <n v="1427045"/>
    <n v="1300651"/>
    <s v="0.022"/>
    <n v="1300646"/>
    <s v="0.022"/>
    <s v="19.327717192324556"/>
    <s v="0.022"/>
  </r>
  <r>
    <x v="4191"/>
    <x v="4111"/>
    <x v="0"/>
    <n v="0"/>
    <m/>
    <n v="1427077"/>
    <n v="1300673"/>
    <s v="#FIELD!"/>
    <n v="1300666"/>
    <s v="0.035"/>
    <s v="5.6617411633164805"/>
    <s v="#FIELD!"/>
  </r>
  <r>
    <x v="4192"/>
    <x v="4731"/>
    <x v="0"/>
    <n v="0"/>
    <m/>
    <n v="1427085"/>
    <n v="1300683"/>
    <s v="#FIELD!"/>
    <n v="1300673"/>
    <s v="0.017"/>
    <s v="16.697544207662617"/>
    <s v="#FIELD!"/>
  </r>
  <r>
    <x v="4193"/>
    <x v="1451"/>
    <x v="0"/>
    <n v="0"/>
    <m/>
    <n v="1427093"/>
    <n v="1300689"/>
    <s v="0.006"/>
    <n v="1300683"/>
    <s v="0.006"/>
    <s v="4.214975325986141"/>
    <s v="0.006"/>
  </r>
  <r>
    <x v="4193"/>
    <x v="2195"/>
    <x v="0"/>
    <n v="0"/>
    <s v="LINESTRING (10.21822133055514 59.727288961498274, 10.218023005286277 59.72744806290507, 10.216987452277985 59.729028663982604, 10.21652433622304 59.730416615989284, 10.21641839088989 59.73046604554763)"/>
    <s v="[1630316, 1630317, 2094420, 2094421]"/>
    <s v="[1457876, 1457877, 1812188, 1300683]"/>
    <s v="#FIELD!"/>
    <s v="[1457875, 1457876, 1457877, 1812188]"/>
    <s v="[0.029, 0.039, 0.023, 0.977]"/>
    <s v="427.1281285911515"/>
    <s v="[0.029, -0.039, 0.023, -0.977]"/>
  </r>
  <r>
    <x v="4194"/>
    <x v="4671"/>
    <x v="0"/>
    <n v="0"/>
    <m/>
    <n v="1427277"/>
    <n v="1300784"/>
    <s v="0.012"/>
    <n v="1300815"/>
    <s v="0.012"/>
    <s v="14.78648377749131"/>
    <s v="0.012"/>
  </r>
  <r>
    <x v="4195"/>
    <x v="4671"/>
    <x v="0"/>
    <n v="0"/>
    <s v="LINESTRING (10.029006500984204 59.75214235599177, 10.029253747533389 59.75222999790515, 10.029259047166928 59.75230216935173, 10.029189446115419 59.75236250480697, 10.02892816089459 59.75239308191405)"/>
    <s v="[1427245, 1427253, 1427261, 1427269]"/>
    <s v="[1300800, 1300804, 1300809, 1300815]"/>
    <s v="#FIELD!"/>
    <s v="[1300796, 1300800, 1300804, 1300809]"/>
    <s v="[0.011, 0.017, 0.014, 0.002]"/>
    <s v="49.43646620721259"/>
    <s v="[-0.011, -0.017, -0.014, -0.002]"/>
  </r>
  <r>
    <x v="4196"/>
    <x v="4732"/>
    <x v="0"/>
    <n v="0"/>
    <m/>
    <n v="1427349"/>
    <n v="1300885"/>
    <s v="#FIELD!"/>
    <n v="1300884"/>
    <s v="0.005"/>
    <s v="6.842514158323194"/>
    <s v="#FIELD!"/>
  </r>
  <r>
    <x v="4196"/>
    <x v="4733"/>
    <x v="0"/>
    <n v="0"/>
    <s v="LINESTRING (10.02562594796237 59.7514860552395, 10.02567645278374 59.75154194946343, 10.025666989040856 59.751605464419995)"/>
    <s v="[1427421, 1427429]"/>
    <s v="[1300938, 1300884]"/>
    <s v="#FIELD!"/>
    <s v="[1300933, 1300938]"/>
    <s v="[0.002, 0.004]"/>
    <s v="13.947627325943884"/>
    <s v="[-0.002, -0.004]"/>
  </r>
  <r>
    <x v="4196"/>
    <x v="4592"/>
    <x v="0"/>
    <n v="0"/>
    <s v="LINESTRING (10.026201072971256 59.75152586734276, 10.025776156364632 59.751590713912876, 10.025666989040856 59.751605464419995)"/>
    <s v="[2134472, 2134480]"/>
    <s v="[1835437, 1300884]"/>
    <s v="#FIELD!"/>
    <s v="[1432423, 1835437]"/>
    <s v="[0.069, 0.252]"/>
    <s v="31.501363835495862"/>
    <s v="[-0.069, 0.252]"/>
  </r>
  <r>
    <x v="4197"/>
    <x v="4734"/>
    <x v="0"/>
    <n v="0"/>
    <m/>
    <n v="1427357"/>
    <n v="1300890"/>
    <s v="#FIELD!"/>
    <n v="1300885"/>
    <s v="0.004"/>
    <s v="19.981173141116706"/>
    <s v="#FIELD!"/>
  </r>
  <r>
    <x v="4197"/>
    <x v="2489"/>
    <x v="0"/>
    <n v="0"/>
    <s v="LINESTRING (10.025603901182993 59.75165794850364, 10.025595943478269 59.75172331986746, 10.03086696133326 59.749892769785035, 10.031251704651728 59.749670712934616, 10.03147571752587 59.74957573615051)"/>
    <s v="[2094965, 2094973, 2094989, 2134536]"/>
    <s v="[1812485, 1812492, 1812503, 1532406]"/>
    <s v="0.0005978641888299514"/>
    <s v="[1300885, 1812485, 1812492, 1812503]"/>
    <s v="[0.23, 0.002, 0.007, 0.056]"/>
    <s v="456.88101654051616"/>
    <s v="[-0.23, 0.002, 0.007, 0.056]"/>
  </r>
  <r>
    <x v="4198"/>
    <x v="4733"/>
    <x v="0"/>
    <n v="0"/>
    <s v="LINESTRING (10.025274372364095 59.75166793634283, 10.02520892563291 59.751628568050535, 10.02517681601353 59.75156887345048, 10.025203742036675 59.75150782036505, 10.025255832977313 59.75147158942589, 10.025395764543216 59.751439537056314, 10.025505677805057 59.751443707404675, 10.02562594796237 59.7514860552395)"/>
    <s v="[1427365, 1427373, 1427381, 1427389, 1427397, 1427405, 1427413]"/>
    <s v="[238271, 1300901, 1300907, 1300913, 1300918, 1299458, 1300933]"/>
    <s v="0.003293138132369734"/>
    <s v="[1300890, 238271, 1300901, 1300907, 1300913, 1300918, 1299458]"/>
    <s v="[0.002, 0.004, 0.005, 0.006, 0.004, 0.003, 0.0]"/>
    <s v="47.67787639446524"/>
    <s v="[0.002, 0.004, 0.005, 0.006, 0.004, 0.003, -0.0]"/>
  </r>
  <r>
    <x v="4198"/>
    <x v="4735"/>
    <x v="0"/>
    <n v="0"/>
    <s v="LINESTRING (10.021785481159045 59.7519794799442, 10.022129752617255 59.75198448169159, 10.022339751451131 59.75198856816633, 10.02530554912595 59.75173389295622, 10.025274372364095 59.75166793634283)"/>
    <s v="[2134520, 2094941, 2094949, 2094957]"/>
    <s v="[1812469, 1812470, 1812476, 1300890]"/>
    <s v="0.0034407062122118444"/>
    <s v="[1532429, 1812469, 1812470, 1812476]"/>
    <s v="[0.06, 0.001, 0.002, 0.209]"/>
    <s v="227.6813733504091"/>
    <s v="[-0.06, -0.001, 0.002, 0.209]"/>
  </r>
  <r>
    <x v="4199"/>
    <x v="4592"/>
    <x v="0"/>
    <n v="0"/>
    <s v="LINESTRING (10.026201072971256 59.75152586734276, 10.025735844488011 59.751490458659916, 10.02562594796237 59.7514860552395)"/>
    <s v="[1593288, 1593296]"/>
    <s v="[1432424, 1300933]"/>
    <s v="#FIELD!"/>
    <s v="[1432423, 1432424]"/>
    <s v="[0.002, 0.003]"/>
    <s v="32.77415016412825"/>
    <s v="[-0.002, -0.003]"/>
  </r>
  <r>
    <x v="4200"/>
    <x v="4673"/>
    <x v="0"/>
    <n v="0"/>
    <s v="LINESTRING (9.898990644582392 59.76303186688978, 9.899048893520764 59.762971692327206, 9.899173539646247 59.762930574591266, 9.89932188335931 59.762929048568026, 9.899421170352829 59.76295522389022)"/>
    <s v="[1427541, 1427546, 1427552, 1427560]"/>
    <s v="[601934, 1301011, 1301015, 1301021]"/>
    <s v="#FIELD!"/>
    <s v="[1301007, 601934, 1301011, 1301015]"/>
    <s v="[0.047, 0.053, 0.048, 0.026]"/>
    <s v="30.483055051953993"/>
    <s v="[-0.047, -0.053, -0.048, -0.026]"/>
  </r>
  <r>
    <x v="4200"/>
    <x v="4736"/>
    <x v="0"/>
    <n v="0"/>
    <s v="LINESTRING (9.898990644582392 59.76303186688978, 9.89888395373014 59.76305936843939, 9.898209641063794 59.76319234811615, 9.891450994944803 59.76318009979012, 9.89130121870056 59.76315648576239, 9.890450846306772 59.76299885589969, 9.877329506171739 59.75189190385453)"/>
    <s v="[1720078, 1720086, 1720094, 1437283, 1437291, 1437299]"/>
    <s v="[1532641, 1532643, 1306551, 1306552, 1306557, 1306562]"/>
    <s v="0.004676560017443808"/>
    <s v="[1301007, 1532641, 1532643, 1306551, 1306552, 1306557]"/>
    <s v="[0.056, 0.037, 0.004, 0.026, 0.027, 0.005]"/>
    <s v="1967.875391087242"/>
    <s v="[0.056, 0.037, 0.004, -0.026, -0.027, 0.005]"/>
  </r>
  <r>
    <x v="4201"/>
    <x v="4737"/>
    <x v="0"/>
    <n v="0"/>
    <s v="LINESTRING (9.872499876768769 59.75087903979477, 9.87245096582868 59.7508978656064, 9.872325198128253 59.75091211049805, 9.872208131676354 59.75089025619563, 9.872237065777268 59.7507019028988)"/>
    <s v="[1427584, 1427592, 1427600, 1427608]"/>
    <s v="[602966, 1301035, 1301039, 1301041]"/>
    <s v="0.006751349579490893"/>
    <s v="[1301032, 602966, 1301035, 1301039]"/>
    <s v="[0.005, 0.001, 0.007, 0.01]"/>
    <s v="42.5498078279509"/>
    <s v="[-0.005, 0.001, 0.007, 0.01]"/>
  </r>
  <r>
    <x v="4201"/>
    <x v="4675"/>
    <x v="0"/>
    <n v="0"/>
    <s v="LINESTRING (9.87655246388628 59.751555437299224, 9.87612900267326 59.751398113343065, 9.872628245620183 59.750873048119786, 9.872499876768769 59.75087903979477)"/>
    <s v="[1438195, 2095021, 2095029]"/>
    <s v="[1307259, 1812526, 1301032]"/>
    <s v="0.007210575519641492"/>
    <s v="[1306909, 1307259, 1812526]"/>
    <s v="[0.039, 0.03, 0.828]"/>
    <s v="261.3504018725312"/>
    <s v="[0.039, 0.03, -0.828]"/>
  </r>
  <r>
    <x v="4202"/>
    <x v="4719"/>
    <x v="0"/>
    <n v="0"/>
    <s v="LINESTRING (9.872237065777268 59.7507019028988, 9.872371919864328 59.75068990299189, 9.872495094752823 59.75072027369958)"/>
    <s v="[1427616, 1427624]"/>
    <s v="[1301046, 1301053]"/>
    <s v="#FIELD!"/>
    <s v="[1301041, 1301046]"/>
    <s v="[0.0, 0.007]"/>
    <s v="15.41508746610032"/>
    <s v="[0.0, -0.007]"/>
  </r>
  <r>
    <x v="4202"/>
    <x v="4738"/>
    <x v="0"/>
    <n v="0"/>
    <s v="LINESTRING (9.872237065777268 59.7507019028988, 9.872265217401022 59.75064121001399, 9.872450404199995 59.750347967966334)"/>
    <s v="[2134616, 2134624]"/>
    <s v="[1835500, 1432449]"/>
    <s v="0.011097188858041267"/>
    <s v="[1301041, 1835500]"/>
    <s v="[0.751, 0.138]"/>
    <s v="41.43205217316782"/>
    <s v="[0.751, -0.138]"/>
  </r>
  <r>
    <x v="4203"/>
    <x v="4738"/>
    <x v="0"/>
    <n v="0"/>
    <s v="LINESTRING (9.872495094752823 59.75072027369958, 9.872478806492248 59.75065800443413, 9.872450404199995 59.750347967966334)"/>
    <s v="[1593320, 1593328]"/>
    <s v="[1432445, 1432449]"/>
    <s v="0.012"/>
    <s v="[1301053, 1432445]"/>
    <s v="0.012"/>
    <s v="41.69883337409572"/>
    <s v="0.012"/>
  </r>
  <r>
    <x v="4204"/>
    <x v="4721"/>
    <x v="0"/>
    <n v="0"/>
    <s v="LINESTRING (9.872705356618786 59.74951969850887, 9.872665294683305 59.74950193618064, 9.872610696709433 59.74943951803219, 9.872630492943781 59.74938027976808, 9.872672697056721 59.74934927006565, 9.872802662398422 59.749315664845085, 9.872912130720492 59.7493226457892, 9.873001527900868 59.74935583377341)"/>
    <s v="[1427648, 1427656, 1427664, 1427672, 1427680, 1427688, 1427696]"/>
    <s v="[1301063, 1301067, 238038, 263653, 1301077, 601009, 1301083]"/>
    <s v="0.008438245172346627"/>
    <s v="[1301062, 1301063, 1301067, 238038, 263653, 1301077, 601009]"/>
    <s v="[0.005, 0.008, 0.014, 0.015, 0.012, 0.008, 0.004]"/>
    <s v="42.1624047801697"/>
    <s v="[0.005, 0.008, 0.014, 0.015, 0.012, 0.008, -0.004]"/>
  </r>
  <r>
    <x v="4204"/>
    <x v="4720"/>
    <x v="0"/>
    <n v="0"/>
    <s v="LINESTRING (9.872962350005722 59.749518053907046, 9.872828852943437 59.74953982455508, 9.872705356618786 59.74951969850887)"/>
    <s v="[1427720, 1427728]"/>
    <s v="[1301095, 1301062]"/>
    <s v="#FIELD!"/>
    <s v="[1301090, 1301095]"/>
    <s v="[0.01, 0.002]"/>
    <s v="15.193086308366114"/>
    <s v="[-0.01, -0.002]"/>
  </r>
  <r>
    <x v="4204"/>
    <x v="4739"/>
    <x v="0"/>
    <n v="0"/>
    <s v="LINESTRING (9.872743507661564 59.749789609947506, 9.872715681272975 59.74957041576867, 9.872705356618786 59.74951969850887)"/>
    <s v="[2134656, 2134664]"/>
    <s v="[1835523, 1301062]"/>
    <s v="0.013316541170655656"/>
    <s v="[1432508, 1835523]"/>
    <s v="[0.184, 0.722]"/>
    <s v="30.168680043052728"/>
    <s v="[0.184, -0.722]"/>
  </r>
  <r>
    <x v="4205"/>
    <x v="4736"/>
    <x v="0"/>
    <n v="0"/>
    <s v="LINESTRING (9.873001527900868 59.74935583377341, 9.873129343497336 59.74937662334196, 9.87706489947096 59.7517151032377, 9.877329506171739 59.75189190385453)"/>
    <s v="[2095045, 2095053, 1438203]"/>
    <s v="[1812542, 1307269, 1306562]"/>
    <s v="#FIELD!"/>
    <s v="[1301083, 1812542, 1307269]"/>
    <s v="[0.638, 0.025, 0.014]"/>
    <s v="394.8783906100592"/>
    <s v="[0.638, -0.025, -0.014]"/>
  </r>
  <r>
    <x v="4206"/>
    <x v="4739"/>
    <x v="0"/>
    <n v="0"/>
    <s v="LINESTRING (9.872743507661564 59.749789609947506, 9.87292440969486 59.749581783028994, 9.872962350005722 59.749518053907046)"/>
    <s v="[1593416, 1593424]"/>
    <s v="[1432509, 1301090]"/>
    <s v="0.015"/>
    <s v="[1432508, 1432509]"/>
    <s v="0.015"/>
    <s v="32.97129808212059"/>
    <s v="0.015"/>
  </r>
  <r>
    <x v="4207"/>
    <x v="4724"/>
    <x v="0"/>
    <n v="0"/>
    <s v="LINESTRING (9.777721696285992 59.703035169076806, 9.777808331865893 59.70306337778305, 9.777848665041418 59.70309984476885)"/>
    <s v="[1427912, 1427920]"/>
    <s v="[1301188, 1301192]"/>
    <s v="0.046566734625124166"/>
    <s v="[1301184, 1301188]"/>
    <s v="[0.039, 0.056]"/>
    <s v="10.463360908890351"/>
    <s v="[0.039, 0.056]"/>
  </r>
  <r>
    <x v="4207"/>
    <x v="4730"/>
    <x v="0"/>
    <n v="0"/>
    <s v="LINESTRING (9.777721696285992 59.703035169076806, 9.777798208390255 59.703015095327586, 9.778354823961585 59.702730178710695, 9.778407973069072 59.702688216520514)"/>
    <s v="[2134696, 2134704, 2134712]"/>
    <s v="[1835542, 1835546, 1301457]"/>
    <s v="#FIELD!"/>
    <s v="[1301184, 1835542, 1835546]"/>
    <s v="[0.021, 0.101, 0.102]"/>
    <s v="55.307014513058746"/>
    <s v="[-0.021, -0.101, -0.102]"/>
  </r>
  <r>
    <x v="4208"/>
    <x v="4726"/>
    <x v="0"/>
    <n v="0"/>
    <s v="LINESTRING (9.777848665041418 59.70309984476885, 9.77789901204451 59.70306488848176, 9.778464501834534 59.70278540020321, 9.77854149121318 59.702760324156166)"/>
    <s v="[1593528, 1593536, 1593544]"/>
    <s v="[1432594, 1432600, 1301479]"/>
    <s v="#FIELD!"/>
    <s v="[1301192, 1432594, 1432600]"/>
    <s v="[0.113, 0.102, 0.111]"/>
    <s v="54.74603667737935"/>
    <s v="[-0.113, -0.102, -0.111]"/>
  </r>
  <r>
    <x v="4209"/>
    <x v="4726"/>
    <x v="0"/>
    <n v="0"/>
    <s v="LINESTRING (9.77854149121318 59.702760324156166, 9.77846185110613 59.70273338466114, 9.778407973069072 59.702688216520514)"/>
    <s v="[1428456, 1428464]"/>
    <s v="[1301486, 1301457]"/>
    <s v="0.0007119617570451881"/>
    <s v="[1301479, 1301486]"/>
    <s v="[0.02, 0.017]"/>
    <s v="11.278493016281685"/>
    <s v="[0.02, -0.017]"/>
  </r>
  <r>
    <x v="4210"/>
    <x v="3803"/>
    <x v="0"/>
    <n v="0"/>
    <s v="LINESTRING (5.719834113675826 58.88639408247586, 5.7198565295693555 58.88640686610944, 5.719889424142102 58.88646536600922, 5.719873593439095 58.88649810705923, 5.719810262446174 58.88653608335966, 5.719597580355807 58.88652791013428)"/>
    <s v="[2103382, 2103409, 2103437, 2103449, 2103354]"/>
    <s v="[458590, 1817816, 1817836, 1760487, 1301608]"/>
    <s v="0.01088584147145933"/>
    <s v="[1815331, 458590, 1817816, 1817836, 1760487]"/>
    <s v="[0.01, 0.005, 0.001, 0.001, 0.03]"/>
    <s v="31.124731386584802"/>
    <s v="[-0.01, -0.005, -0.001, 0.001, 0.03]"/>
  </r>
  <r>
    <x v="4211"/>
    <x v="3464"/>
    <x v="0"/>
    <n v="0"/>
    <s v="LINESTRING (5.716028531561244 58.88656226319194, 5.715844128096314 58.88655215629193, 5.715780429345086 58.88646602100617, 5.7158271811073655 58.88641790800567, 5.715854214614932 58.886407667055956)"/>
    <s v="[2103563, 2103578, 2103586, 2103594]"/>
    <s v="[1301765, 1817928, 458650, 1815348]"/>
    <s v="#FIELD!"/>
    <s v="[1301663, 1301765, 1817928, 458650]"/>
    <s v="[0.175, 0.014, 0.008, 0.001]"/>
    <s v="29.811670105557717"/>
    <s v="[-0.175, 0.014, 0.008, 0.001]"/>
  </r>
  <r>
    <x v="4212"/>
    <x v="1383"/>
    <x v="0"/>
    <n v="0"/>
    <m/>
    <n v="1429719"/>
    <n v="1302231"/>
    <s v="0.003"/>
    <n v="1302225"/>
    <s v="0.003"/>
    <s v="14.60898515811012"/>
    <s v="0.003"/>
  </r>
  <r>
    <x v="4212"/>
    <x v="2657"/>
    <x v="0"/>
    <n v="0"/>
    <s v="LINESTRING (5.329189462583591 59.39736566081611, 5.3293209477290695 59.397251228777506, 5.329449026207676 59.397232179199186, 5.329593894549672 59.397253459560034, 5.3296762275427385 59.39729543660624, 5.32971214627608 59.397348482909706, 5.329695683990919 59.39741725240297, 5.3296329070772375 59.397464435824276)"/>
    <s v="[1429751, 1429759, 1429767, 1429687, 1429695, 1429703, 1429711]"/>
    <s v="[1302248, 1302254, 1302211, 1302212, 1302216, 1302219, 1302225]"/>
    <s v="#FIELD!"/>
    <s v="[1302244, 1302248, 1302254, 1302211, 1302212, 1302216, 1302219]"/>
    <s v="[0.003, 0.002, 0.001, 0.0, 0.0, 0.001, 0.002]"/>
    <s v="58.61838208588461"/>
    <s v="[-0.003, -0.002, -0.001, -0.0, 0.0, 0.001, 0.002]"/>
  </r>
  <r>
    <x v="4213"/>
    <x v="4029"/>
    <x v="0"/>
    <n v="0"/>
    <s v="LINESTRING (5.329393308730728 59.39749699171596, 5.32929765097668 59.39747507865355, 5.3292085623332826 59.39741577629848)"/>
    <s v="[1429727, 1429735]"/>
    <s v="[1302234, 1302238]"/>
    <s v="0.0008344000106722451"/>
    <s v="[1302231, 1302234]"/>
    <s v="[0.002, 0.0]"/>
    <s v="14.32674165822231"/>
    <s v="[0.002, -0.0]"/>
  </r>
  <r>
    <x v="4214"/>
    <x v="2657"/>
    <x v="0"/>
    <n v="0"/>
    <m/>
    <n v="1429743"/>
    <n v="1302244"/>
    <s v="#FIELD!"/>
    <n v="1302238"/>
    <s v="0.002"/>
    <s v="5.706098141096589"/>
    <s v="#FIELD!"/>
  </r>
  <r>
    <x v="4215"/>
    <x v="2246"/>
    <x v="0"/>
    <n v="0"/>
    <s v="LINESTRING (15.42582136508878 67.24589114891754, 15.425889827220457 67.2462914300657, 15.426061324496551 67.24672157798551, 15.426115597091524 67.24685415900744, 15.426554780517543 67.24766129146148)"/>
    <s v="[1832005, 1832013, 1832021, 1832029]"/>
    <s v="[1608240, 1608228, 1608249, 1303459]"/>
    <s v="#FIELD!"/>
    <s v="[1303455, 1608240, 1608228, 1608249]"/>
    <s v="[0.04, 0.042, 0.04, 0.026]"/>
    <s v="200.4779260561217"/>
    <s v="[-0.04, -0.042, -0.04, -0.026]"/>
  </r>
  <r>
    <x v="4215"/>
    <x v="2246"/>
    <x v="0"/>
    <n v="0"/>
    <s v="LINESTRING (15.42582136508878 67.24589114891754, 15.426053187258956 67.24619938236997, 15.426275054350906 67.24671430058851, 15.426300215568615 67.24677436192871, 15.426554780517543 67.24766129146148)"/>
    <s v="[1832037, 1832045, 1832053, 1832061]"/>
    <s v="[1608256, 1608263, 1608227, 1303459]"/>
    <s v="#FIELD!"/>
    <s v="[1303455, 1608256, 1608263, 1608227]"/>
    <s v="[0.048, 0.041, 0.037, 0.025]"/>
    <s v="200.57448701486481"/>
    <s v="[-0.048, -0.041, -0.037, -0.025]"/>
  </r>
  <r>
    <x v="4215"/>
    <x v="1836"/>
    <x v="431"/>
    <n v="0"/>
    <s v="LINESTRING (15.452635997195879 67.14579224357686, 15.42582136508878 67.24589114891754)"/>
    <m/>
    <m/>
    <s v="0.0"/>
    <m/>
    <n v="0"/>
    <s v="12753.9143078371"/>
    <n v="0"/>
  </r>
  <r>
    <x v="4216"/>
    <x v="3427"/>
    <x v="0"/>
    <n v="0"/>
    <s v="LINESTRING (9.676076720723902 59.03588214251468, 9.676014423260069 59.0357895873716, 9.675998188916466 59.03573213546351, 9.675989933587672 59.03566713811858, 9.67619068486883 59.03525628109868)"/>
    <s v="[1435425, 1435434, 1435442, 1435450]"/>
    <s v="[959930, 1305357, 959969, 1305316]"/>
    <s v="0.0032872324355907173"/>
    <s v="[1305301, 959930, 1305357, 959969]"/>
    <s v="[0.025, 0.012, 0.011, 0.004]"/>
    <s v="72.61871885172278"/>
    <s v="[0.025, 0.012, 0.011, -0.004]"/>
  </r>
  <r>
    <x v="4216"/>
    <x v="3430"/>
    <x v="0"/>
    <s v="[0, 0, 1, 0, 0]"/>
    <s v="LINESTRING (9.676656153819124 59.03591059535933, 9.676569046240129 59.035944623607996, 9.676536578756336 59.03595212346266, 9.676196520900863 59.035940746210585, 9.676164637837086 59.035929948218644, 9.676076720723902 59.03588214251468)"/>
    <s v="[1435546, 1435554, 1435562, 1435570, 1435417]"/>
    <s v="[1305429, 1305435, 1305444, 1305348, 1305301]"/>
    <s v="0.04270567537563582"/>
    <s v="[1305305, 1305429, 1305435, 1305444, 1305348]"/>
    <s v="[0.035, 0.036, 0.047, 0.054, 0.036]"/>
    <s v="38.021818283411086"/>
    <s v="[0.035, 0.036, 0.047, 0.054, 0.036]"/>
  </r>
  <r>
    <x v="4217"/>
    <x v="3431"/>
    <x v="0"/>
    <n v="0"/>
    <s v="LINESTRING (9.676771904552005 59.03528327746525, 9.676836056119006 59.035376268524466, 9.676850063255706 59.035428949135266, 9.676857971187424 59.03548380828527, 9.676833568959538 59.03567524544003, 9.676804146784134 59.035742281678424, 9.676760120887408 59.03581477279568, 9.676656153819124 59.03591059535933)"/>
    <s v="[1435490, 1435498, 1435506, 1435514, 1435522, 1435530, 1435538]"/>
    <s v="[960023, 1305396, 959992, 355898, 1305412, 355916, 1305305]"/>
    <s v="#FIELD!"/>
    <s v="[1305334, 960023, 1305396, 959992, 355898, 1305412, 355916]"/>
    <s v="[0.026, 0.012, 0.012, 0.005, 0.004, 0.005, 0.015]"/>
    <s v="72.81844485640441"/>
    <s v="[-0.026, -0.012, -0.012, -0.005, 0.004, 0.005, 0.015]"/>
  </r>
  <r>
    <x v="4218"/>
    <x v="3431"/>
    <x v="0"/>
    <s v="[0, 1, 1, 0]"/>
    <s v="LINESTRING (9.67619068486883 59.03525628109868, 9.676278386372895 59.03522201663312, 9.676309942572209 59.03521340845605, 9.676694091930642 59.03523978481219, 9.676771904552005 59.03528327746525)"/>
    <s v="[1435458, 1435466, 1435474, 1435482]"/>
    <s v="[1305370, 1305375, 1305380, 1305334]"/>
    <s v="#FIELD!"/>
    <s v="[1305316, 1305370, 1305375, 1305380]"/>
    <s v="[0.033, 0.035, 0.046, 0.038]"/>
    <s v="38.09514878204785"/>
    <s v="[-0.033, -0.035, -0.046, -0.038]"/>
  </r>
  <r>
    <x v="4219"/>
    <x v="4722"/>
    <x v="0"/>
    <n v="0"/>
    <s v="LINESTRING (9.877329506171739 59.75189190385453, 9.87663644295385 59.75152698578949, 9.875652808645212 59.75111566951367, 9.874367762183795 59.750643884165385, 9.870194566446544 59.749209252153406)"/>
    <s v="[1437307, 1437315, 1437323, 1437331]"/>
    <s v="[1306570, 1306578, 1306586, 1306590]"/>
    <s v="0.013955111813447975"/>
    <s v="[1306562, 1306570, 1306578, 1306586]"/>
    <s v="[0.009, 0.034, 0.004, 0.013]"/>
    <s v="501.66457078823146"/>
    <s v="[0.009, 0.034, 0.004, 0.013]"/>
  </r>
  <r>
    <x v="4220"/>
    <x v="4727"/>
    <x v="0"/>
    <s v="[0, 0, 0, 1, 0, 1, 0, 1, 0, 0, 1, 0, 0, 1, 0, 1, 0, 0, 1, 0, 0, 1, 0, 0, 0]"/>
    <s v="LINESTRING (9.870194566446544 59.749209252153406, 9.869288238688556 59.748899080347854, 9.868515020582059 59.748640395568145, 9.854793341895613 59.74812944633854, 9.854050505693403 59.7480000350322, 9.824651525210147 59.73076352928514, 9.82443817314686 59.72996802524689, 9.823465348750453 59.72731446388747, 9.823357242431506 59.727138083735554, 9.821785948047422 59.725301291842676, 9.81986372147464 59.72365192594731, 9.819637117975276 59.72347288089238, 9.816804225114666 59.72136095485868, 9.81060239744457 59.71777478263287, 9.810332393466808 59.7176401676201, 9.80278349326315 59.71443929635905, 9.802473179101874 59.71432762835944, 9.799718041512417 59.713444766195465, 9.798474784741597 59.713152293239915, 9.79748610299627 59.71293040411588, 9.784886532906675 59.70784400186268, 9.783865156713091 59.70743252555291, 9.783598828541239 59.70729538727032, 9.78248184059773 59.70648059600002, 9.7824495763064 59.70644885220132, 9.78214137735687 59.70610802741022)"/>
    <s v="[1437339, 1437347, 1437355, 1437363, 1437371, 1437379, 1437387, 1437395, 1437403, 1437411, 1437419, 1437427, 1437435, 1437443, 1437451, 1437459, 1437467, 1437475, 1437483, 1437491, 1437499, 1437507, 1437515, 1437523, 1437531]"/>
    <s v="[1306594, 1306600, 1306604, 1306609, 1306616, 1306624, 1306632, 1306638, 1306643, 1306649, 1306655, 1306661, 1306666, 1306671, 1306674, 1306681, 1306687, 1306693, 1306699, 1306705, 1306708, 1306712, 1306716, 1306720, 1306725]"/>
    <s v="0.018532000257402374"/>
    <s v="[1306590, 1306594, 1306600, 1306604, 1306609, 1306616, 1306624, 1306632, 1306638, 1306643, 1306649, 1306655, 1306661, 1306666, 1306671, 1306674, 1306681, 1306687, 1306693, 1306699, 1306705, 1306708, 1306712, 1306716, 1306720]"/>
    <s v="[0.052, 0.046, 0.018, 0.035, 0.01, 0.015, 0.004, 0.024, 0.032, 0.014, 0.022, 0.019, 0.029, 0.042, 0.051, 0.023, 0.01, 0.027, 0.023, 0.027, 0.041, 0.021, 0.043, 0.038, 0.034]"/>
    <s v="7353.691564415245"/>
    <s v="[0.052, 0.046, 0.018, 0.035, 0.01, -0.015, -0.004, 0.024, 0.032, 0.014, 0.022, 0.019, 0.029, 0.042, 0.051, 0.023, -0.01, 0.027, 0.023, 0.027, -0.041, -0.021, 0.043, 0.038, 0.034]"/>
  </r>
  <r>
    <x v="4221"/>
    <x v="2414"/>
    <x v="0"/>
    <s v="[0, 0, 0, 1, 0]"/>
    <s v="LINESTRING (9.78214137735687 59.70610802741022, 9.781716652463288 59.70562972042347, 9.781470104289362 59.70537648077491, 9.778754629625546 59.7032770153563, 9.777412705037861 59.70258156254714, 9.773290097809646 59.70086316601429)"/>
    <s v="[1437539, 1437547, 1437555, 1437563, 1437571]"/>
    <s v="[1306728, 1306733, 1306739, 1306744, 1306751]"/>
    <s v="#FIELD!"/>
    <s v="[1306725, 1306728, 1306733, 1306739, 1306744]"/>
    <s v="[0.027, 0.028, 0.012, 0.02, 0.007]"/>
    <s v="780.0765259715707"/>
    <s v="[0.027, 0.028, -0.012, -0.02, -0.007]"/>
  </r>
  <r>
    <x v="4222"/>
    <x v="4718"/>
    <x v="0"/>
    <n v="0"/>
    <s v="LINESTRING (9.87655246388628 59.751555437299224, 9.875599736667171 59.75115092495729, 9.874317390422119 59.75068047732808, 9.870140747485243 59.74924900192092, 9.86923728495378 59.7489377002652)"/>
    <s v="[1437755, 1437763, 1437771, 1437779]"/>
    <s v="[1306916, 1306922, 1306931, 1306939]"/>
    <s v="0.01953603481753564"/>
    <s v="[1306909, 1306916, 1306922, 1306931]"/>
    <s v="[0.035, 0.004, 0.014, 0.05]"/>
    <s v="504.7934241756199"/>
    <s v="[0.035, 0.004, 0.014, 0.05]"/>
  </r>
  <r>
    <x v="4223"/>
    <x v="4725"/>
    <x v="0"/>
    <s v="[0, 0, 1, 0, 1, 0, 1, 0, 0, 1, 0, 0, 1, 0, 1, 0, 0, 1, 0, 0, 1, 0, 0, 0, 0, 0]"/>
    <s v="LINESTRING (9.86923728495378 59.7489377002652, 9.868462950707544 59.748681517773285, 9.854768532408091 59.74817647423574, 9.85401476334275 59.74804534695102, 9.824554312977256 59.7307817339951, 9.824337826360267 59.72998738360137, 9.823367965589156 59.72732923257905, 9.823261914693937 59.72715373434691, 9.82168426865329 59.725329673903396, 9.819719652786658 59.72364714709981, 9.819498270359652 59.723467066540834, 9.816664711181136 59.721396707685564, 9.81050315498391 59.71782116689215, 9.810240747857925 59.717690397802, 9.802669815076133 59.71448206062422, 9.802366182184025 59.71437255603771, 9.799654492143937 59.713500063668, 9.798432823823193 59.71319955754772, 9.797444493278169 59.71297860887289, 9.784820048610404 59.707894505655034, 9.783777623119555 59.707477889393125, 9.783508657348298 59.707337910469796, 9.782377740621586 59.70651367340324, 9.782346184166395 59.706481273927785, 9.782042378417865 59.70613432529047, 9.781617806523132 59.70565367556147, 9.781373905096933 59.70540059517349)"/>
    <s v="[1437787, 1437795, 1437803, 1437811, 1437819, 1437827, 1437835, 1437843, 1437851, 1437859, 1437867, 1437875, 1437883, 1437891, 1437899, 1437907, 1437915, 1437923, 1437931, 1437939, 1437947, 1437955, 1437963, 1437971, 1437979, 1437987]"/>
    <s v="[1306946, 1306954, 1306957, 1306966, 1306975, 1306983, 1306990, 1306997, 1307004, 1307009, 1307016, 1307023, 1307029, 1307033, 1307038, 1307042, 1307049, 1307057, 1307064, 1307073, 1307080, 1307088, 1307092, 1307096, 1307100, 1307107]"/>
    <s v="0.018371203998095983"/>
    <s v="[1306939, 1306946, 1306954, 1306957, 1306966, 1306975, 1306983, 1306990, 1306997, 1307004, 1307009, 1307016, 1307023, 1307029, 1307033, 1307038, 1307042, 1307049, 1307057, 1307064, 1307073, 1307080, 1307088, 1307092, 1307096, 1307100]"/>
    <s v="[0.047, 0.018, 0.036, 0.01, 0.014, 0.003, 0.025, 0.032, 0.014, 0.023, 0.02, 0.029, 0.04, 0.051, 0.015, 0.009, 0.023, 0.024, 0.026, 0.041, 0.022, 0.049, 0.037, 0.032, 0.026, 0.028]"/>
    <s v="7384.729867990586"/>
    <s v="[0.047, 0.018, 0.036, 0.01, -0.014, -0.003, 0.025, 0.032, 0.014, 0.023, 0.02, 0.029, 0.04, 0.051, 0.015, -0.009, 0.023, 0.024, 0.026, -0.041, -0.022, 0.049, 0.037, 0.032, 0.026, 0.028]"/>
  </r>
  <r>
    <x v="4224"/>
    <x v="2415"/>
    <x v="0"/>
    <s v="[0, 1, 0, 0, 0]"/>
    <s v="LINESTRING (9.781373905096933 59.70540059517349, 9.778695116095017 59.703303742157175, 9.777357815433385 59.70261060569452, 9.773238114493742 59.70090049373904, 9.772636353290967 59.70069282987937, 9.772351406068632 59.70059386656229)"/>
    <s v="[1437995, 1438003, 1438011, 1438019, 1438027]"/>
    <s v="[1307113, 1307116, 1307122, 1307130, 1307137]"/>
    <s v="#FIELD!"/>
    <s v="[1307107, 1307113, 1307116, 1307122, 1307130]"/>
    <s v="[0.014, 0.02, 0.008, 0.022, 0.019]"/>
    <s v="748.2912767855047"/>
    <s v="[-0.014, -0.02, -0.008, -0.022, -0.019]"/>
  </r>
  <r>
    <x v="4225"/>
    <x v="4740"/>
    <x v="0"/>
    <n v="0"/>
    <s v="LINESTRING (10.909202114488618 63.45234764935875, 10.90949092250067 63.45316045032749, 10.909550215522426 63.45347473121295, 10.909567867833866 63.45361637367011)"/>
    <s v="[1750245, 1750257, 1750283]"/>
    <s v="[1550934, 1550937, 1550885]"/>
    <s v="#FIELD!"/>
    <s v="[1307339, 1550934, 1550937]"/>
    <s v="[0.009, 0.003, 0.133]"/>
    <s v="142.72634838554018"/>
    <s v="[0.009, -0.003, -0.133]"/>
  </r>
  <r>
    <x v="4226"/>
    <x v="1358"/>
    <x v="0"/>
    <s v="[0, 0, 1, 1, 0, 0]"/>
    <s v="LINESTRING (5.726423112230225 58.94450164800602, 5.726328773577105 58.94448252930344, 5.72567828128376 58.94435924241153, 5.725340901967959 58.94430066496634, 5.724271268609282 58.94420840797187, 5.724215656414615 58.94420681769384, 5.723926131317613 58.94420497719052)"/>
    <s v="[1439956, 1439964, 1439972, 1439980, 1439988, 1439996]"/>
    <s v="[1308436, 1308446, 1308454, 1308460, 1308467, 1308078]"/>
    <s v="0.0024852592015254466"/>
    <s v="[1307759, 1308436, 1308446, 1308454, 1308460, 1308467]"/>
    <s v="[0.01, 0.004, 0.005, 0.006, 0.003, 0.006]"/>
    <s v="149.06246994948353"/>
    <s v="[-0.01, -0.004, 0.005, 0.006, 0.003, 0.006]"/>
  </r>
  <r>
    <x v="4226"/>
    <x v="4741"/>
    <x v="0"/>
    <n v="0"/>
    <m/>
    <n v="1439948"/>
    <n v="1307759"/>
    <s v="0.0"/>
    <n v="1308424"/>
    <s v="0.0"/>
    <s v="3.0143821922687293"/>
    <s v="0.0"/>
  </r>
  <r>
    <x v="4227"/>
    <x v="1225"/>
    <x v="0"/>
    <n v="0"/>
    <m/>
    <n v="1440123"/>
    <n v="1308573"/>
    <s v="#FIELD!"/>
    <n v="1308567"/>
    <s v="0.014"/>
    <s v="17.84025456353298"/>
    <s v="#FIELD!"/>
  </r>
  <r>
    <x v="4228"/>
    <x v="4742"/>
    <x v="0"/>
    <n v="0"/>
    <s v="LINESTRING (5.522943843909026 59.83203721859575, 5.522943843909026 59.83203721859575, 5.522892314430095 59.83180197977005, 5.522819155936789 59.831467902478465, 5.522790223010445 59.83134366963691, 5.522697821672888 59.83092611662439, 5.52266727073603 59.83078773397041, 5.522522836232821 59.830101515291105, 5.522468695337884 59.82986600501298)"/>
    <s v="[1444120, 1444128, 1444136, 1444144, 1444152, 1444160, 1444168, 1444176]"/>
    <s v="[1311172, 1311180, 1311189, 1311109, 1311204, 1311212, 1311216, 1311226]"/>
    <s v="#FIELD!"/>
    <s v="[1311171, 1311172, 1311180, 1311189, 1311109, 1311204, 1311212, 1311216]"/>
    <s v="[0.0, 0.017, 0.021, 0.035, 0.033, 0.034, 0.033, 0.031]"/>
    <s v="272.94077066748986"/>
    <s v="[0.0, -0.017, -0.021, -0.035, -0.033, -0.034, -0.033, -0.031]"/>
  </r>
  <r>
    <x v="4229"/>
    <x v="4743"/>
    <x v="432"/>
    <s v="[0, 0, 0, 0, 0, 0, 0, 0, 0, 0, 1, 1, 0, 0, 0, 0, 0, 0, 0, 0, 0, 0, 0, 0, 0, 0, 0, 0, 0, 0, 0, 0, 0, 0, 0, 0, 0, 0]"/>
    <s v="LINESTRING (5.482109968418017 59.781588393083155, 5.48137413251974 59.78479330887662, 5.48166658412625 59.785223884428035, 5.481791100657864 59.78535367825847, 5.481942740376467 59.78547653776165, 5.483900097834845 59.78640738626526, 5.489270912194709 59.787602907240974, 5.490301659855306 59.788875164738826, 5.493777506070882 59.79085202071254, 5.49487110532537 59.79123397136127, 5.495317349398962 59.791562031804126, 5.495488136012365 59.79176767902131, 5.495636729571722 59.79210344416373, 5.4956421025018525 59.79219177490741, 5.495570541466132 59.79257227269992, 5.4957623679448435 59.7955022794453, 5.495717374324752 59.795853765572616, 5.495404627636483 59.797265463585354, 5.495544515514106 59.797807511515124, 5.495695095598452 59.798166241743246, 5.495817072271651 59.79850492944445, 5.495896661878909 59.79882070719621, 5.495942011785703 59.79934808562186, 5.495861921606474 59.7999471778341, 5.495914376837056 59.803188718918996, 5.498289260695354 59.80618653959546, 5.500343771906857 59.80723463193614, 5.500532420269288 59.80732459811085, 5.500807834106162 59.8074593125014, 5.50492979671167 59.81061633821389, 5.504942677360096 59.81183164763734, 5.505602535128175 59.813693938842, 5.5060127757266795 59.81410368065379, 5.508415110832622 59.81550921111025, 5.514107911494141 59.82131948173879, 5.5166432571480675 59.82292147128525, 5.522038303397866 59.82667585935472, 5.522454360300385 59.82886607330769, 5.522468695337884 59.82986600501298)"/>
    <s v="[2060943, 2060951, 2060959, 2060968, 2060976, 2060984, 2060992, 2061000, 2061008, 2061016, 2061024, 2061032, 2061040, 2061048, 2061056, 2061064, 2061072, 2061080, 2061088, 2061096, 2061104, 2061112, 2061120, 2061128, 2061136, 2061144, 2061152, 2061160, 2061168, 2061176, 2061184, 2061192, 2061200, 2061208, 2061216, 2061224, 2061232, 2061240]"/>
    <s v="[1749540, 1791691, 1791697, 1752436, 1637244, 1791710, 1791714, 1791719, 1755826, 1791734, 1791741, 1791747, 1791753, 1791760, 1791765, 1791771, 1791777, 1791785, 1791793, 1791799, 1679248, 1791809, 1791816, 1791820, 1626202, 1791830, 1791836, 1791841, 1638166, 1626305, 1791853, 1638178, 1749429, 1635736, 1791872, 1791880, 1749392, 1311226]"/>
    <s v="0.00016180554118261215"/>
    <s v="[1761273, 1749540, 1791691, 1791697, 1752436, 1637244, 1791710, 1791714, 1791719, 1755826, 1791734, 1791741, 1791747, 1791753, 1791760, 1791765, 1791771, 1791777, 1791785, 1791793, 1791799, 1679248, 1791809, 1791816, 1791820, 1626202, 1791830, 1791836, 1791841, 1638166, 1626305, 1791853, 1638178, 1749429, 1635736, 1791872, 1791880, 1749392]"/>
    <s v="[0.014, 0.015, 0.006, 0.023, 0.046, 0.003, 0.086, 0.059, 0.084, 0.089, 0.09, 0.03, 0.035, 0.058, 0.012, 0.049, 0.011, 0.043, 0.036, 0.019, 0.022, 0.032, 0.027, 0.019, 0.013, 0.031, 0.026, 0.029, 0.03, 0.038, 0.017, 0.027, 0.019, 0.018, 0.005, 0.005, 0.007, 0.03]"/>
    <s v="6306.2975445092"/>
    <s v="[-0.014, -0.015, 0.006, 0.023, 0.046, -0.003, -0.086, -0.059, -0.084, -0.089, -0.09, 0.03, 0.035, 0.058, 0.012, 0.049, 0.011, 0.043, 0.036, 0.019, -0.022, -0.032, 0.027, 0.019, 0.013, 0.031, 0.026, 0.029, 0.03, 0.038, 0.017, 0.027, -0.019, -0.018, -0.005, 0.005, 0.007, 0.03]"/>
  </r>
  <r>
    <x v="4230"/>
    <x v="4744"/>
    <x v="0"/>
    <n v="0"/>
    <s v="LINESTRING (11.067135454611025 63.62868281847453, 11.067104466491154 63.628762423974706, 11.067093114958872 63.628791573408314)"/>
    <s v="[1465872, 1465879]"/>
    <s v="[1328491, 1328497]"/>
    <s v="0.007536061730155443"/>
    <s v="[1328490, 1328491]"/>
    <s v="[0.007, 0.009]"/>
    <s v="12.304283811648094"/>
    <s v="[0.007, 0.009]"/>
  </r>
  <r>
    <x v="4230"/>
    <x v="4745"/>
    <x v="0"/>
    <n v="0"/>
    <s v="LINESTRING (11.067135454611025 63.62868281847453, 11.06722205223146 63.628761951547304, 11.067245764039264 63.62878362247129)"/>
    <s v="[2117460, 2117468]"/>
    <s v="[1825682, 1328558]"/>
    <s v="0.02131608778756291"/>
    <s v="[1328490, 1825682]"/>
    <s v="[0.212, 0.675]"/>
    <s v="12.497875822769295"/>
    <s v="[0.212, -0.675]"/>
  </r>
  <r>
    <x v="4231"/>
    <x v="4745"/>
    <x v="0"/>
    <n v="0"/>
    <s v="LINESTRING (11.067093114958872 63.628791573408314, 11.06716379763698 63.62878164657777, 11.067245764039264 63.62878362247129)"/>
    <s v="[1465954, 1465962]"/>
    <s v="[1328554, 1328558]"/>
    <s v="0.022678441444138542"/>
    <s v="[1328497, 1328554]"/>
    <s v="[0.019, 0.026]"/>
    <s v="7.745338447802368"/>
    <s v="[0.019, 0.026]"/>
  </r>
  <r>
    <x v="4231"/>
    <x v="4746"/>
    <x v="0"/>
    <n v="0"/>
    <s v="LINESTRING (11.067080996880433 63.62895786626499, 11.066990946910032 63.62890920439398, 11.066977798399456 63.628877208808156, 11.066996413176987 63.628837635362814, 11.067093114958872 63.628791573408314)"/>
    <s v="[1465943, 1465950, 1465952, 1465953]"/>
    <s v="[1328544, 1328551, 1328553, 1328497]"/>
    <s v="#FIELD!"/>
    <s v="[1328543, 1328544, 1328551, 1328553]"/>
    <s v="[0.024, 0.015, 0.008, 0.005]"/>
    <s v="22.184442784058625"/>
    <s v="[-0.024, -0.015, -0.008, 0.005]"/>
  </r>
  <r>
    <x v="4232"/>
    <x v="4747"/>
    <x v="0"/>
    <n v="0"/>
    <m/>
    <n v="2097990"/>
    <n v="1328498"/>
    <s v="#FIELD!"/>
    <n v="1814446"/>
    <s v="0.021"/>
    <s v="68.51014401486105"/>
    <s v="#FIELD!"/>
  </r>
  <r>
    <x v="4233"/>
    <x v="4746"/>
    <x v="0"/>
    <n v="0"/>
    <s v="LINESTRING (11.067236543145842 63.628969856658415, 11.067168056844784 63.628971215881776, 11.067080996880433 63.62895786626499)"/>
    <s v="[1465941, 1465942]"/>
    <s v="[1328542, 1328543]"/>
    <s v="#FIELD!"/>
    <s v="[1328541, 1328542]"/>
    <s v="[0.021, 0.024]"/>
    <s v="7.965122350594207"/>
    <s v="[-0.021, -0.024]"/>
  </r>
  <r>
    <x v="4233"/>
    <x v="4747"/>
    <x v="0"/>
    <n v="0"/>
    <s v="LINESTRING (11.067236543145842 63.628969856658415, 11.067205868290163 63.628993066368764, 11.06714760856436 63.62903716182457)"/>
    <s v="[2117412, 2117420]"/>
    <s v="[1825650, 1814446]"/>
    <s v="0.2234010508651471"/>
    <s v="[1328541, 1825650]"/>
    <s v="[0.644, 0.002]"/>
    <s v="8.702942050430305"/>
    <s v="[0.644, 0.002]"/>
  </r>
  <r>
    <x v="4233"/>
    <x v="4745"/>
    <x v="0"/>
    <n v="0"/>
    <s v="LINESTRING (11.067245764039264 63.62878362247129, 11.067332784639618 63.628803819253314, 11.06740688147594 63.62886919168051, 11.067395449169952 63.62890797332059, 11.067343967315121 63.628944129987524, 11.067236543145842 63.628969856658415)"/>
    <s v="[1465975, 1465983, 1465991, 1465999, 1466007]"/>
    <s v="[1328570, 1328576, 1328582, 1328587, 1328541]"/>
    <s v="0.008368512037316875"/>
    <s v="[1328558, 1328570, 1328576, 1328582, 1328587]"/>
    <s v="[0.024, 0.022, 0.008, 0.006, 0.011]"/>
    <s v="28.208972164128376"/>
    <s v="[0.024, 0.022, 0.008, -0.006, -0.011]"/>
  </r>
  <r>
    <x v="4234"/>
    <x v="4747"/>
    <x v="0"/>
    <n v="0"/>
    <s v="LINESTRING (11.067080996880433 63.62895786626499, 11.0671049175295 63.628986346330635, 11.06714760856436 63.62903716182457)"/>
    <s v="[2117428, 2117436]"/>
    <s v="[1825662, 1814446]"/>
    <s v="0.2249233824813472"/>
    <s v="[1328543, 1825662]"/>
    <s v="[0.587, 0.022]"/>
    <s v="9.436630761883286"/>
    <s v="[0.587, 0.022]"/>
  </r>
  <r>
    <x v="4235"/>
    <x v="4748"/>
    <x v="0"/>
    <n v="0"/>
    <m/>
    <n v="1476296"/>
    <n v="1337201"/>
    <s v="0.0"/>
    <n v="1337213"/>
    <s v="0.0"/>
    <s v="240.56127629530602"/>
    <s v="0.0"/>
  </r>
  <r>
    <x v="4235"/>
    <x v="4749"/>
    <x v="0"/>
    <n v="0"/>
    <s v="LINESTRING (10.405840381067263 59.94042507224063, 10.403390655080146 59.94305534718177, 10.4034218418568 59.94312827837025)"/>
    <s v="[1834710, 1476289]"/>
    <s v="[1337207, 1337201]"/>
    <s v="0.06903088751551831"/>
    <s v="[1357088, 1337207]"/>
    <s v="[0.071, 0.008]"/>
    <s v="333.5397685209566"/>
    <s v="[0.071, -0.008]"/>
  </r>
  <r>
    <x v="4235"/>
    <x v="4749"/>
    <x v="0"/>
    <n v="0"/>
    <s v="LINESTRING (10.405840381067263 59.94042507224063, 10.403501927145498 59.94307290247731, 10.4034218418568 59.94312827837025)"/>
    <s v="[1834718, 1476282]"/>
    <s v="[1337200, 1337201]"/>
    <s v="0.06975954827201207"/>
    <s v="[1357088, 1337200]"/>
    <s v="[0.069, 0.102]"/>
    <s v="331.30499674477085"/>
    <s v="[0.069, 0.102]"/>
  </r>
  <r>
    <x v="4236"/>
    <x v="4750"/>
    <x v="0"/>
    <n v="0"/>
    <s v="LINESTRING (10.4034218418568 59.94312827837025, 10.401946288668885 59.94528113499433, 10.40179124525061 59.94539848582666)"/>
    <s v="[1537034, 1501328]"/>
    <s v="[357026, 1358090]"/>
    <s v="0.017237980795054647"/>
    <s v="[1337213, 357026]"/>
    <s v="[0.003, 0.05]"/>
    <s v="41.09407989002863"/>
    <s v="[-0.003, 0.05]"/>
  </r>
  <r>
    <x v="4237"/>
    <x v="4751"/>
    <x v="0"/>
    <n v="0"/>
    <m/>
    <n v="1494795"/>
    <n v="1353167"/>
    <s v="#FIELD!"/>
    <n v="1353166"/>
    <s v="0.053"/>
    <s v="124.05599094637583"/>
    <s v="#FIELD!"/>
  </r>
  <r>
    <x v="4237"/>
    <x v="4752"/>
    <x v="0"/>
    <n v="0"/>
    <s v="LINESTRING (10.440645729813081 59.83261342722546, 10.440769057912302 59.832661326301064, 10.44108227228804 59.83282688584367)"/>
    <s v="[1540436, 1540444]"/>
    <s v="[1391862, 1353166]"/>
    <s v="#FIELD!"/>
    <s v="[1362910, 1391862]"/>
    <s v="[0.015, 0.001]"/>
    <s v="34.56145712832047"/>
    <s v="[-0.015, 0.001]"/>
  </r>
  <r>
    <x v="4237"/>
    <x v="4753"/>
    <x v="0"/>
    <n v="0"/>
    <s v="LINESTRING (10.440491319233086 59.832685503287294, 10.440611108783212 59.83271879998603, 10.44108227228804 59.83282688584367)"/>
    <s v="[1544188, 1544196]"/>
    <s v="[1394961, 1353166]"/>
    <s v="#FIELD!"/>
    <s v="[1362917, 1394961]"/>
    <s v="[0.035, 0.008]"/>
    <s v="36.936411583845185"/>
    <s v="[-0.035, 0.008]"/>
  </r>
  <r>
    <x v="4238"/>
    <x v="3397"/>
    <x v="433"/>
    <n v="0"/>
    <m/>
    <n v="2069359"/>
    <n v="1353172"/>
    <s v="#FIELD!"/>
    <n v="1353167"/>
    <s v="0.053"/>
    <s v="35.157640307508856"/>
    <s v="#FIELD!"/>
  </r>
  <r>
    <x v="4238"/>
    <x v="3397"/>
    <x v="0"/>
    <n v="0"/>
    <s v="LINESTRING (10.442253975792907 59.83375700779253, 10.442421762731419 59.83387524855789, 10.442540092300698 59.834014257423114)"/>
    <s v="[2069343, 2069351]"/>
    <s v="[1360806, 1353172]"/>
    <s v="#FIELD!"/>
    <s v="[1353167, 1360806]"/>
    <s v="[0.161, 0.046]"/>
    <s v="33.63559027559407"/>
    <s v="[-0.161, 0.046]"/>
  </r>
  <r>
    <x v="4239"/>
    <x v="4754"/>
    <x v="0"/>
    <n v="0"/>
    <s v="LINESTRING (10.813131119580207 59.68869783124236, 10.813087519216804 59.68875353410371, 10.812972949354572 59.688807868527824, 10.812781046737495 59.68882637344982, 10.812604540660832 59.68878431789012)"/>
    <s v="[1494912, 1494920, 1494928, 1494936]"/>
    <s v="[1353284, 1353292, 476406, 1353307]"/>
    <s v="#FIELD!"/>
    <s v="[1353283, 1353284, 1353292, 476406]"/>
    <s v="[0.007, 0.011, 0.012, 0.036]"/>
    <s v="37.52571579041069"/>
    <s v="[-0.007, 0.011, -0.012, -0.036]"/>
  </r>
  <r>
    <x v="4239"/>
    <x v="4755"/>
    <x v="0"/>
    <n v="0"/>
    <s v="LINESTRING (10.813037187666282 59.68855150577614, 10.813121285971121 59.6886185718257, 10.813131119580207 59.68869783124236)"/>
    <s v="[1494991, 1494999]"/>
    <s v="[1353364, 1353283]"/>
    <s v="#FIELD!"/>
    <s v="[1353354, 1353364]"/>
    <s v="[0.035, 0.048]"/>
    <s v="17.69893215061782"/>
    <s v="[-0.035, -0.048]"/>
  </r>
  <r>
    <x v="4239"/>
    <x v="4756"/>
    <x v="0"/>
    <n v="0"/>
    <s v="LINESTRING (10.813678851640168 59.68855619918939, 10.813240009952144 59.68866858130223, 10.813131119580207 59.68869783124236)"/>
    <s v="[1552215, 1552223]"/>
    <s v="[1401102, 1353283]"/>
    <s v="0.033"/>
    <s v="[1359857, 1401102]"/>
    <s v="0.033"/>
    <s v="34.85320390964126"/>
    <s v="0.033"/>
  </r>
  <r>
    <x v="4240"/>
    <x v="4757"/>
    <x v="0"/>
    <n v="0"/>
    <s v="LINESTRING (10.812604540660832 59.68878431789012, 10.81252026585961 59.688717245856395, 10.81252033693716 59.68861852159878)"/>
    <s v="[1494944, 1494951]"/>
    <s v="[1353314, 1353323]"/>
    <s v="0.014973149119336972"/>
    <s v="[1353307, 1353314]"/>
    <s v="[0.036, 0.056]"/>
    <s v="19.856584148656268"/>
    <s v="[-0.036, 0.056]"/>
  </r>
  <r>
    <x v="4240"/>
    <x v="4758"/>
    <x v="0"/>
    <n v="0"/>
    <s v="LINESTRING (10.812604540660832 59.68878431789012, 10.812452405344668 59.6887836194526, 10.811917994122686 59.68880598656076)"/>
    <s v="[1552231, 1552239]"/>
    <s v="[1401116, 1389037]"/>
    <s v="0.03237306464959707"/>
    <s v="[1353307, 1401116]"/>
    <s v="[0.15, 0.001]"/>
    <s v="38.782731156297984"/>
    <s v="[0.15, -0.001]"/>
  </r>
  <r>
    <x v="4241"/>
    <x v="4755"/>
    <x v="0"/>
    <n v="0"/>
    <s v="LINESTRING (10.81252033693716 59.68861852159878, 10.81257740804373 59.68856603672675, 10.812704533587002 59.68851938695916, 10.812860505544784 59.68850944491204, 10.813037187666282 59.68855150577614)"/>
    <s v="[1494959, 1494967, 1494975, 1494983]"/>
    <s v="[476396, 1353336, 1353346, 1353354]"/>
    <s v="0.02558258692976239"/>
    <s v="[1353323, 476396, 1353336, 1353346]"/>
    <s v="[0.054, 0.046, 0.023, 0.006]"/>
    <s v="35.383810600921954"/>
    <s v="[0.054, 0.046, 0.023, -0.006]"/>
  </r>
  <r>
    <x v="4241"/>
    <x v="4758"/>
    <x v="0"/>
    <n v="0"/>
    <s v="LINESTRING (10.81252033693716 59.68861852159878, 10.812382794606096 59.688660998953864, 10.811917994122686 59.68880598656076)"/>
    <s v="[1542252, 1542260]"/>
    <s v="[1393281, 1389037]"/>
    <s v="0.023860680325048407"/>
    <s v="[1353323, 1393281]"/>
    <s v="[0.02, 0.025]"/>
    <s v="39.85032208082174"/>
    <s v="[0.02, 0.025]"/>
  </r>
  <r>
    <x v="4242"/>
    <x v="4756"/>
    <x v="0"/>
    <n v="0"/>
    <s v="LINESTRING (10.813678851640168 59.68855619918939, 10.813182258081467 59.68855706701076, 10.813037187666282 59.68855150577614)"/>
    <s v="[1542236, 1542244]"/>
    <s v="[1393266, 1353354]"/>
    <s v="0.051711912363015415"/>
    <s v="[1359857, 1393266]"/>
    <s v="[0.009, 0.198]"/>
    <s v="36.270123049725214"/>
    <s v="[0.009, 0.198]"/>
  </r>
  <r>
    <x v="4243"/>
    <x v="552"/>
    <x v="0"/>
    <n v="0"/>
    <m/>
    <n v="1495047"/>
    <n v="1353413"/>
    <s v="#FIELD!"/>
    <n v="1353406"/>
    <s v="0.034"/>
    <s v="7.885285790560128"/>
    <s v="#FIELD!"/>
  </r>
  <r>
    <x v="4243"/>
    <x v="4759"/>
    <x v="0"/>
    <n v="0"/>
    <s v="LINESTRING (10.634188539615005 59.91328572180116, 10.6341510988465 59.91323628060389, 10.634113857705177 59.91317878883706, 10.634087771449737 59.91313206230058, 10.63394782438194 59.91256295853968, 10.634006258718511 59.912512021829606)"/>
    <s v="[1503995, 1504003, 1504011, 1504025, 1504032]"/>
    <s v="[1360102, 1360109, 1360115, 1360125, 1353435]"/>
    <s v="0.025271644902892562"/>
    <s v="[1353406, 1360102, 1360109, 1360115, 1360125]"/>
    <s v="[0.258, 0.025, 0.019, 0.025, 0.176]"/>
    <s v="89.3414517854626"/>
    <s v="[0.258, 0.025, 0.019, 0.025, -0.176]"/>
  </r>
  <r>
    <x v="4244"/>
    <x v="4760"/>
    <x v="0"/>
    <n v="0"/>
    <s v="LINESTRING (10.634165160224113 59.912550178339906, 10.634140203157122 59.91261084936914, 10.634242519242653 59.91311973248686, 10.63424814867944 59.91312785051145, 10.63427407963557 59.913168816732735, 10.634310419842869 59.91322117988038, 10.63432836251394 59.91327699730371)"/>
    <s v="[1504185, 1504209, 1504217, 1504240, 1504241, 1504249]"/>
    <s v="[1360248, 1360271, 1360276, 1360294, 1360295, 1353413]"/>
    <s v="#FIELD!"/>
    <s v="[1353510, 1360248, 1360271, 1360276, 1360294, 1360295]"/>
    <s v="[0.028, 0.015, 0.038, 0.021, 0.027, 0.23]"/>
    <s v="83.47215959982923"/>
    <s v="[0.028, -0.015, -0.038, -0.021, -0.027, -0.23]"/>
  </r>
  <r>
    <x v="4245"/>
    <x v="4761"/>
    <x v="0"/>
    <n v="0"/>
    <s v="LINESTRING (10.634006258718511 59.912512021829606, 10.633926813291499 59.91244812111668, 10.633914505900357 59.91238173566529, 10.633953543126147 59.91232524563684, 10.634118202038444 59.91225946138211, 10.634181500198567 59.91225281160394, 10.634274763318354 59.912255230973116, 10.634354749542162 59.912269826174935)"/>
    <s v="[1495071, 1495079, 1495087, 1495095, 1495103, 1495111, 1495119]"/>
    <s v="[1353436, 1353442, 1353451, 479972, 1353463, 1353471, 1353478]"/>
    <s v="0.017806030842318552"/>
    <s v="[1353435, 1353436, 1353442, 1353451, 479972, 1353463, 1353471]"/>
    <s v="[0.014, 0.019, 0.02, 0.025, 0.022, 0.009, 0.008]"/>
    <s v="48.05492402789493"/>
    <s v="[0.014, 0.019, 0.02, 0.025, 0.022, 0.009, 0.008]"/>
  </r>
  <r>
    <x v="4245"/>
    <x v="4760"/>
    <x v="0"/>
    <n v="0"/>
    <m/>
    <n v="1495167"/>
    <n v="1353435"/>
    <s v="0.009"/>
    <n v="1353510"/>
    <s v="0.009"/>
    <s v="9.857452256903668"/>
    <s v="0.009"/>
  </r>
  <r>
    <x v="4246"/>
    <x v="4762"/>
    <x v="0"/>
    <n v="0"/>
    <m/>
    <n v="1495127"/>
    <n v="1353488"/>
    <s v="#FIELD!"/>
    <n v="1353478"/>
    <s v="0.013"/>
    <s v="9.439483090022541"/>
    <s v="#FIELD!"/>
  </r>
  <r>
    <x v="4246"/>
    <x v="4763"/>
    <x v="0"/>
    <n v="0"/>
    <s v="LINESTRING (10.634354749542162 59.912269826174935, 10.634424475560492 59.91222016310723, 10.634569285821218 59.91214693965303, 10.634915940411716 59.91189291074285, 10.634960012133114 59.911838152121824)"/>
    <s v="[1504040, 1504048, 1504062, 1504070]"/>
    <s v="[1360135, 1360141, 1360151, 1360158]"/>
    <s v="0.007167435976626232"/>
    <s v="[1353478, 1360135, 1360141, 1360151]"/>
    <s v="[0.015, 0.007, 0.004, 0.047]"/>
    <s v="59.62941954232226"/>
    <s v="[-0.015, 0.007, 0.004, 0.047]"/>
  </r>
  <r>
    <x v="4247"/>
    <x v="4760"/>
    <x v="0"/>
    <n v="0"/>
    <s v="LINESTRING (10.634473933675576 59.91232975727208, 10.634507262302153 59.91237982634294, 10.634505624861673 59.91243202677645, 10.634459254476456 59.91248614250811, 10.634165160224113 59.912550178339906)"/>
    <s v="[1495135, 1495143, 1495151, 1495159]"/>
    <s v="[339795, 1353498, 339773, 1353510]"/>
    <s v="#FIELD!"/>
    <s v="[1353488, 339795, 1353498, 339773]"/>
    <s v="[0.028, 0.033, 0.037, 0.012]"/>
    <s v="37.00358422418287"/>
    <s v="[-0.028, -0.033, -0.037, -0.012]"/>
  </r>
  <r>
    <x v="4247"/>
    <x v="4764"/>
    <x v="0"/>
    <n v="0"/>
    <s v="LINESTRING (10.635110387741932 59.91187276951369, 10.635082370468165 59.91192990408952, 10.63469868212517 59.91220015925869, 10.634577563897372 59.912280589286134, 10.634473933675576 59.91232975727208)"/>
    <s v="[1504167, 1504168, 1504175, 1504184]"/>
    <s v="[1360234, 1360235, 1360241, 1353488]"/>
    <s v="0.004541678483683629"/>
    <s v="[1360233, 1360234, 1360235, 1360241]"/>
    <s v="[0.025, 0.008, 0.012, 0.036]"/>
    <s v="62.96630917980842"/>
    <s v="[-0.025, 0.008, -0.012, 0.036]"/>
  </r>
  <r>
    <x v="4248"/>
    <x v="4765"/>
    <x v="0"/>
    <n v="0"/>
    <m/>
    <n v="1495199"/>
    <n v="1353540"/>
    <s v="#FIELD!"/>
    <n v="1353539"/>
    <s v="0.023"/>
    <s v="2.3935450696340403"/>
    <s v="#FIELD!"/>
  </r>
  <r>
    <x v="4248"/>
    <x v="4766"/>
    <x v="0"/>
    <n v="0"/>
    <s v="LINESTRING (10.596554218481302 59.90383651700933, 10.596563923257081 59.903784270944726, 10.596638503236393 59.90374393496668)"/>
    <s v="[1495278, 1495286]"/>
    <s v="[1353619, 1353539]"/>
    <s v="#FIELD!"/>
    <s v="[1353611, 1353619]"/>
    <s v="0.026"/>
    <s v="11.983187550520018"/>
    <s v="#FIELD!"/>
  </r>
  <r>
    <x v="4248"/>
    <x v="4767"/>
    <x v="0"/>
    <n v="0"/>
    <s v="LINESTRING (10.596206334226922 59.90368304270607, 10.596504437219439 59.903721202321336, 10.596638503236393 59.90374393496668)"/>
    <s v="[1554079, 1554087]"/>
    <s v="[1402620, 1353539]"/>
    <s v="0.25258775973774983"/>
    <s v="[1360773, 1402620]"/>
    <s v="[0.025, 0.755]"/>
    <s v="25.407894508220902"/>
    <s v="[0.025, 0.755]"/>
  </r>
  <r>
    <x v="4249"/>
    <x v="4768"/>
    <x v="0"/>
    <n v="0"/>
    <s v="LINESTRING (10.596677343589857 59.903734956202314, 10.596756316197844 59.90373425374126, 10.596841242091678 59.90374886703964)"/>
    <s v="[1495207, 1495215]"/>
    <s v="[1353547, 1353554]"/>
    <s v="#FIELD!"/>
    <s v="[1353540, 1353547]"/>
    <s v="[0.015, 0.006]"/>
    <s v="9.447149762426871"/>
    <s v="[-0.015, -0.006]"/>
  </r>
  <r>
    <x v="4249"/>
    <x v="4769"/>
    <x v="0"/>
    <n v="0"/>
    <s v="LINESTRING (10.596677343589857 59.903734956202314, 10.596710209441357 59.90367154301989, 10.596804239926332 59.90352140155642)"/>
    <s v="[1554167, 1554175]"/>
    <s v="[1402684, 1360779]"/>
    <s v="#FIELD!"/>
    <s v="[1353540, 1402684]"/>
    <s v="[0.728, 0.032]"/>
    <s v="24.84443460716522"/>
    <s v="[-0.728, 0.032]"/>
  </r>
  <r>
    <x v="4250"/>
    <x v="4766"/>
    <x v="0"/>
    <n v="0"/>
    <s v="LINESTRING (10.596841242091678 59.90374886703964, 10.596904846156693 59.90385094837466, 10.596847942629578 59.90389204687973, 10.596775618329755 59.903911190924696, 10.596691482337095 59.903911405873835, 10.59661867006655 59.90389467994055, 10.596571330234225 59.90386367184501, 10.596554218481302 59.90383651700933)"/>
    <s v="[1495223, 1495231, 1495239, 1495247, 1495255, 1495263, 1495271]"/>
    <s v="[1353562, 1353571, 1353577, 1353588, 1353597, 1353604, 1353611]"/>
    <s v="0.012021155424917435"/>
    <s v="[1353554, 1353562, 1353571, 1353577, 1353588, 1353597, 1353604]"/>
    <s v="[0.01, 0.023, 0.026, 0.022, 0.008, 0.003, 0.008]"/>
    <s v="39.36244945000002"/>
    <s v="[0.01, 0.023, 0.026, 0.022, 0.008, -0.003, -0.008]"/>
  </r>
  <r>
    <x v="4250"/>
    <x v="4769"/>
    <x v="0"/>
    <n v="0"/>
    <s v="LINESTRING (10.596841242091678 59.90374886703964, 10.596842649849437 59.903680750119, 10.596804239926332 59.90352140155642)"/>
    <s v="[1544076, 1544084]"/>
    <s v="[1394875, 1360779]"/>
    <s v="#FIELD!"/>
    <s v="[1353554, 1394875]"/>
    <s v="[0.647, 0.014]"/>
    <s v="25.4808741817538"/>
    <s v="[-0.647, 0.014]"/>
  </r>
  <r>
    <x v="4251"/>
    <x v="4767"/>
    <x v="0"/>
    <n v="0"/>
    <s v="LINESTRING (10.596206334226922 59.90368304270607, 10.596451815462027 59.90378724559752, 10.596554218481302 59.90383651700933)"/>
    <s v="[1544060, 1544068]"/>
    <s v="[1394862, 1353611]"/>
    <s v="0.2593591139853672"/>
    <s v="[1360773, 1394862]"/>
    <s v="[0.012, 0.82]"/>
    <s v="25.93054931551596"/>
    <s v="[0.012, 0.82]"/>
  </r>
  <r>
    <x v="4252"/>
    <x v="4770"/>
    <x v="0"/>
    <n v="0"/>
    <s v="LINESTRING (10.581241218650682 59.90039017553377, 10.581321593132188 59.90034566315065, 10.581412985389248 59.90034776126245, 10.581469647527761 59.90037381859713, 10.581484452778538 59.900396006223254, 10.581473777870837 59.90043089015905, 10.581414588242302 59.90046041282755, 10.581369442500478 59.900466189750304, 10.581314633796808 59.90046238863322, 10.581264582433866 59.90044234456078, 10.581241218650682 59.90039017553377)"/>
    <s v="[1495366, 1495374, 1495382, 1495390, 1495398, 1495326, 1495334, 1495342, 1495350, 1495358]"/>
    <s v="[1353692, 1353695, 1353701, 1353709, 1353661, 1353662, 523555, 1353671, 1353678, 1353683]"/>
    <s v="#FIELD!"/>
    <s v="[1353683, 1353692, 1353695, 1353701, 1353709, 1353661, 1353662, 523555, 1353671, 1353678]"/>
    <s v="[0.084, 0.025, 0.029, 0.113, 0.083, 0.09, 0.069, 0.0, 0.037, 0.088]"/>
    <s v="42.58128745657701"/>
    <s v="[-0.084, -0.025, 0.029, 0.113, 0.083, 0.09, 0.069, 0.0, -0.037, -0.088]"/>
  </r>
  <r>
    <x v="4252"/>
    <x v="4295"/>
    <x v="0"/>
    <n v="0"/>
    <s v="LINESTRING (10.581241218650682 59.90039017553377, 10.58115436985421 59.9003780141786, 10.580766678383322 59.900322789909715, 10.576060067507981 59.89929267986191, 10.575915842591074 59.89917485432226)"/>
    <s v="[1505004, 1505005, 1505008, 1554215]"/>
    <s v="[1360960, 1360961, 1360964, 1401584]"/>
    <s v="#FIELD!"/>
    <s v="[1353683, 1360960, 1360961, 1360964]"/>
    <s v="[0.139, 0.02, 0.0, 0.051]"/>
    <s v="331.25544258930483"/>
    <s v="[-0.139, 0.02, 0.0, -0.051]"/>
  </r>
  <r>
    <x v="4253"/>
    <x v="4771"/>
    <x v="0"/>
    <n v="0"/>
    <m/>
    <n v="1495406"/>
    <n v="1353723"/>
    <s v="0.003"/>
    <n v="1353722"/>
    <s v="0.003"/>
    <s v="22.107745919226684"/>
    <s v="0.003"/>
  </r>
  <r>
    <x v="4253"/>
    <x v="4772"/>
    <x v="0"/>
    <n v="0"/>
    <m/>
    <n v="1495454"/>
    <n v="1353722"/>
    <s v="#FIELD!"/>
    <n v="1353760"/>
    <s v="0.01"/>
    <s v="8.977621288427235"/>
    <s v="#FIELD!"/>
  </r>
  <r>
    <x v="4253"/>
    <x v="4773"/>
    <x v="0"/>
    <s v="[1, 1, 1, 0, 0]"/>
    <s v="LINESTRING (10.519996955724658 59.885446933026, 10.52010730126019 59.88549116055357, 10.520430705435329 59.88569372869189, 10.52116729899597 59.88609130797113, 10.523699772031238 59.88709373629425, 10.523703619220509 59.88716690893868)"/>
    <s v="[1554335, 1505369, 1505370, 1505377, 1505378]"/>
    <s v="[1361301, 1361302, 1361303, 1361310, 1353722]"/>
    <s v="#FIELD!"/>
    <s v="[1394062, 1361301, 1361302, 1361303, 1361310]"/>
    <s v="[0.008, 0.013, 0.056, 0.027, 0.055]"/>
    <s v="320.0851168157301"/>
    <s v="[-0.008, 0.013, 0.056, -0.027, 0.055]"/>
  </r>
  <r>
    <x v="4254"/>
    <x v="4774"/>
    <x v="0"/>
    <n v="0"/>
    <s v="LINESTRING (10.523815361403626 59.8873313909915, 10.52376952385452 59.887353635686146, 10.523682664046648 59.88737553644477)"/>
    <s v="[1495414, 1495422]"/>
    <s v="[1353728, 1353738]"/>
    <s v="0.015207944741314148"/>
    <s v="[1353723, 1353728]"/>
    <s v="[0.014, 0.016]"/>
    <s v="9.012027200769188"/>
    <s v="[0.014, 0.016]"/>
  </r>
  <r>
    <x v="4254"/>
    <x v="4775"/>
    <x v="0"/>
    <n v="0"/>
    <s v="LINESTRING (10.524457270686517 59.88772581766067, 10.524389954981084 59.88769098118851, 10.523905959018041 59.887365149550064, 10.523815361403626 59.8873313909915)"/>
    <s v="[1554303, 1554311, 1554319]"/>
    <s v="[1402791, 1402797, 1353723]"/>
    <s v="0.011590790699438044"/>
    <s v="[1357632, 1402791, 1402797]"/>
    <s v="[0.006, 0.009, 0.035]"/>
    <s v="57.12846557890308"/>
    <s v="[0.006, 0.009, 0.035]"/>
  </r>
  <r>
    <x v="4255"/>
    <x v="990"/>
    <x v="0"/>
    <n v="0"/>
    <m/>
    <n v="1495430"/>
    <n v="1353744"/>
    <s v="0.012"/>
    <n v="1353738"/>
    <s v="0.012"/>
    <s v="11.193943583356045"/>
    <s v="0.012"/>
  </r>
  <r>
    <x v="4255"/>
    <x v="4776"/>
    <x v="0"/>
    <n v="0"/>
    <s v="LINESTRING (10.524339970081758 59.88778039805526, 10.524279521555517 59.88774028245241, 10.523767547211017 59.88741080030831, 10.523682664046648 59.88737553644477)"/>
    <s v="[1544124, 1544132, 1544140]"/>
    <s v="[1394914, 1394918, 1353738]"/>
    <s v="0.015567417078340477"/>
    <s v="[1357621, 1394914, 1394918]"/>
    <s v="[0.007, 0.011, 0.058]"/>
    <s v="58.56382210677853"/>
    <s v="[0.007, 0.011, 0.058]"/>
  </r>
  <r>
    <x v="4256"/>
    <x v="4777"/>
    <x v="0"/>
    <n v="0"/>
    <m/>
    <n v="1495438"/>
    <n v="1353753"/>
    <s v="0.001"/>
    <n v="1353744"/>
    <s v="0.001"/>
    <s v="13.493566679386904"/>
    <s v="0.001"/>
  </r>
  <r>
    <x v="4257"/>
    <x v="4772"/>
    <x v="0"/>
    <n v="0"/>
    <m/>
    <n v="1495446"/>
    <n v="1353760"/>
    <s v="#FIELD!"/>
    <n v="1353753"/>
    <s v="0.031"/>
    <s v="8.83828722136492"/>
    <s v="#FIELD!"/>
  </r>
  <r>
    <x v="4257"/>
    <x v="999"/>
    <x v="0"/>
    <n v="0"/>
    <s v="LINESTRING (10.522957925383762 59.887680915107424, 10.523023855905906 59.887616610521, 10.523213072941166 59.88743419643487, 10.523336408924743 59.88732673634694, 10.523444532435668 59.887233758846534)"/>
    <s v="[1505400, 1505423, 1505424, 1505431]"/>
    <s v="[1361334, 1361358, 1361359, 1353753]"/>
    <s v="0.005646684085391983"/>
    <s v="[1361333, 1361334, 1361358, 1361359]"/>
    <s v="[0.019, 0.005, 0.017, 0.024]"/>
    <s v="56.817510873609315"/>
    <s v="[0.019, 0.005, -0.017, 0.024]"/>
  </r>
  <r>
    <x v="4258"/>
    <x v="4778"/>
    <x v="0"/>
    <n v="0"/>
    <s v="LINESTRING (10.523394548020743 59.886751503835185, 10.523410707733248 59.88680421365853, 10.523522279276118 59.88711827196466, 10.52354366260515 59.887172058852094)"/>
    <s v="[1505344, 1505345, 1505352]"/>
    <s v="[1361275, 1361276, 1353760]"/>
    <s v="0.010805154913882398"/>
    <s v="[1361274, 1361275, 1361276]"/>
    <s v="[0.002, 0.006, 0.121]"/>
    <s v="47.61273602945009"/>
    <s v="[-0.002, -0.006, 0.121]"/>
  </r>
  <r>
    <x v="4259"/>
    <x v="4779"/>
    <x v="0"/>
    <n v="0"/>
    <m/>
    <n v="1495462"/>
    <n v="1353774"/>
    <s v="0.005"/>
    <n v="1353773"/>
    <s v="0.005"/>
    <s v="6.041522987158584"/>
    <s v="0.005"/>
  </r>
  <r>
    <x v="4259"/>
    <x v="4780"/>
    <x v="0"/>
    <n v="0"/>
    <s v="LINESTRING (10.501187537536852 59.8751614594268, 10.501245533308579 59.875182329388544, 10.50132324715022 59.87524254474126)"/>
    <s v="[1495535, 1495543]"/>
    <s v="[1353835, 1353773]"/>
    <s v="#FIELD!"/>
    <s v="[1353828, 1353835]"/>
    <s v="[0.015, 0.005]"/>
    <s v="11.99624824038975"/>
    <s v="[-0.015, -0.005]"/>
  </r>
  <r>
    <x v="4259"/>
    <x v="4781"/>
    <x v="0"/>
    <s v="[1, 0]"/>
    <s v="LINESTRING (10.501476532886207 59.875061629389904, 10.501371839301417 59.87519029286254, 10.50132324715022 59.87524254474126)"/>
    <s v="[1540308, 1540316]"/>
    <s v="[1391766, 1353773]"/>
    <s v="0.08160742410470069"/>
    <s v="[1361481, 1391766]"/>
    <s v="[0.108, 0.018]"/>
    <s v="21.92189115984385"/>
    <s v="[0.108, 0.018]"/>
  </r>
  <r>
    <x v="4260"/>
    <x v="4782"/>
    <x v="0"/>
    <n v="0"/>
    <m/>
    <n v="1495470"/>
    <n v="1353780"/>
    <s v="0.021"/>
    <n v="1353774"/>
    <s v="0.021"/>
    <s v="18.023709532817918"/>
    <s v="0.021"/>
  </r>
  <r>
    <x v="4260"/>
    <x v="4783"/>
    <x v="0"/>
    <n v="0"/>
    <s v="LINESTRING (10.501339245808383 59.875296152048264, 10.501345530231301 59.875342232438825, 10.498987228918859 59.87339869872605, 10.498856165827595 59.873302814008795)"/>
    <s v="[1505484, 1505492, 1540276]"/>
    <s v="[1361415, 1361421, 1391741]"/>
    <s v="0.023030561380671916"/>
    <s v="[1353774, 1361415, 1361421]"/>
    <s v="[0.015, 0.007, 0.509]"/>
    <s v="398.9923602199731"/>
    <s v="[-0.015, 0.007, 0.509]"/>
  </r>
  <r>
    <x v="4261"/>
    <x v="4784"/>
    <x v="0"/>
    <n v="0"/>
    <m/>
    <n v="1495479"/>
    <n v="1353787"/>
    <s v="0.025"/>
    <n v="1353780"/>
    <s v="0.025"/>
    <s v="11.136426715922994"/>
    <s v="0.025"/>
  </r>
  <r>
    <x v="4261"/>
    <x v="4785"/>
    <x v="0"/>
    <n v="0"/>
    <s v="LINESTRING (10.50422393300456 59.87719255086153, 10.50401782770272 59.877102766825395, 10.502072097721017 59.87580638796151, 10.501208939580643 59.87545900369925, 10.501157616580727 59.875422138271134)"/>
    <s v="[1540260, 1505442, 1505443, 1505445]"/>
    <s v="[1361372, 1361373, 1361374, 1353780]"/>
    <s v="0.010735879625026408"/>
    <s v="[1391725, 1361372, 1361373, 1361374]"/>
    <s v="[0.064, 0.005, 0.024, 0.108]"/>
    <s v="270.1536822295136"/>
    <s v="[0.064, 0.005, 0.024, -0.108]"/>
  </r>
  <r>
    <x v="4262"/>
    <x v="4786"/>
    <x v="0"/>
    <n v="0"/>
    <s v="LINESTRING (10.500958877666516 59.875423432495246, 10.500865996515325 59.875395972864666, 10.50079844486062 59.875353192054014)"/>
    <s v="[1495487, 1495495]"/>
    <s v="[1353795, 1353801]"/>
    <s v="0.011979254165906868"/>
    <s v="[1353787, 1353795]"/>
    <s v="[0.017, 0.007]"/>
    <s v="12.125076041004714"/>
    <s v="[0.017, 0.007]"/>
  </r>
  <r>
    <x v="4262"/>
    <x v="4787"/>
    <x v="0"/>
    <n v="0"/>
    <s v="LINESTRING (10.500958877666516 59.875423432495246, 10.500910475678936 59.8754498262605, 10.500203234086682 59.876263119556974, 10.500197005669857 59.87630594797049)"/>
    <s v="[2140268, 2140276, 1540340]"/>
    <s v="[1838517, 1391789, 1358175]"/>
    <s v="#FIELD!"/>
    <s v="[1353787, 1838517, 1391789]"/>
    <s v="[0.509, 0.028, 0.254]"/>
    <s v="108.97993629730055"/>
    <s v="[-0.509, 0.028, -0.254]"/>
  </r>
  <r>
    <x v="4263"/>
    <x v="4780"/>
    <x v="0"/>
    <n v="0"/>
    <s v="LINESTRING (10.50079844486062 59.875353192054014, 10.500853400146319 59.875185100609286, 10.500943231656207 59.87515579865903, 10.501085959178798 59.875145393558114, 10.501187537536852 59.8751614594268)"/>
    <s v="[1495503, 1495511, 1495519, 1495527]"/>
    <s v="[1353806, 1353813, 1353818, 1353828]"/>
    <s v="#FIELD!"/>
    <s v="[1353801, 1353806, 1353813, 1353818]"/>
    <s v="[0.012, 0.026, 0.027, 0.021]"/>
    <s v="39.96462890246755"/>
    <s v="[-0.012, -0.026, -0.027, -0.021]"/>
  </r>
  <r>
    <x v="4263"/>
    <x v="4788"/>
    <x v="0"/>
    <n v="0"/>
    <s v="LINESTRING (10.50079844486062 59.875353192054014, 10.50075421504918 59.87539448638687, 10.500009524542547 59.876223269707545, 10.499971294349523 59.876258024223155)"/>
    <s v="[2140252, 2140260, 1544180]"/>
    <s v="[1838505, 1394953, 1358163]"/>
    <s v="#FIELD!"/>
    <s v="[1353801, 1838505, 1394953]"/>
    <s v="[0.354, 0.005, 0.005]"/>
    <s v="111.02923347033396"/>
    <s v="[-0.354, 0.005, 0.005]"/>
  </r>
  <r>
    <x v="4264"/>
    <x v="4781"/>
    <x v="0"/>
    <s v="[1, 0]"/>
    <s v="LINESTRING (10.501476532886207 59.875061629389904, 10.501239149983304 59.87513817015296, 10.501187537536852 59.8751614594268)"/>
    <s v="[1544164, 1544172]"/>
    <s v="[1394941, 1353828]"/>
    <s v="0.09581675439569434"/>
    <s v="[1361481, 1394941]"/>
    <s v="[0.082, 0.152]"/>
    <s v="19.68735331513362"/>
    <s v="[0.082, 0.152]"/>
  </r>
  <r>
    <x v="4265"/>
    <x v="4789"/>
    <x v="0"/>
    <n v="0"/>
    <s v="LINESTRING (10.503080317635051 59.87443300341238, 10.503210069284673 59.87447880949662, 10.503244203562174 59.87454382856102, 10.503196431432 59.87460604657794, 10.502935062251856 59.874633980067074)"/>
    <s v="[1495551, 1495559, 1495567, 1495575]"/>
    <s v="[1353847, 1353854, 1353859, 1353867]"/>
    <s v="#FIELD!"/>
    <s v="[1353846, 1353847, 1353854, 1353859]"/>
    <s v="[0.07, 0.019, 0.085, 0.101]"/>
    <s v="39.66673583164089"/>
    <s v="[0.07, -0.019, -0.085, -0.101]"/>
  </r>
  <r>
    <x v="4265"/>
    <x v="4790"/>
    <x v="0"/>
    <n v="0"/>
    <m/>
    <n v="1495609"/>
    <n v="1353846"/>
    <s v="0.081"/>
    <n v="1353889"/>
    <s v="0.081"/>
    <s v="17.753218395385208"/>
    <s v="0.081"/>
  </r>
  <r>
    <x v="4265"/>
    <x v="4791"/>
    <x v="0"/>
    <n v="0"/>
    <s v="LINESTRING (10.499145326866698 59.87328266597667, 10.49934398427416 59.87331437713798, 10.502069099170605 59.874045639885665, 10.502843030303762 59.87420365529726, 10.503046251778875 59.874378454723775, 10.503080317635051 59.87443300341238)"/>
    <s v="[1540284, 1505532, 1505539, 1505540, 1505547]"/>
    <s v="[1361462, 1361463, 1361470, 1361471, 1353846]"/>
    <s v="#FIELD!"/>
    <s v="[1391750, 1361462, 1361463, 1361470, 1361471]"/>
    <s v="[0.462, 0.016, 0.004, 0.015, 0.024]"/>
    <s v="266.620962089409"/>
    <s v="[-0.462, -0.016, -0.004, 0.015, -0.024]"/>
  </r>
  <r>
    <x v="4266"/>
    <x v="4792"/>
    <x v="0"/>
    <n v="0"/>
    <s v="LINESTRING (10.502935062251856 59.874633980067074, 10.50285407633034 59.874597935443575, 10.502821529456833 59.8745608494875)"/>
    <s v="[1495583, 1495591]"/>
    <s v="[1353873, 1353882]"/>
    <s v="0.012676940664941454"/>
    <s v="[1353867, 1353873]"/>
    <s v="[0.002, 0.027]"/>
    <s v="10.578270829148034"/>
    <s v="[0.002, 0.027]"/>
  </r>
  <r>
    <x v="4266"/>
    <x v="4793"/>
    <x v="0"/>
    <s v="[0, 1]"/>
    <s v="LINESTRING (10.502935062251856 59.874633980067074, 10.502842968767302 59.87466680322853, 10.502444748245466 59.87474659553246)"/>
    <s v="[1540292, 1540300]"/>
    <s v="[1391756, 1361480]"/>
    <s v="#FIELD!"/>
    <s v="[1353867, 1391756]"/>
    <s v="[0.038, 0.012]"/>
    <s v="30.490276569593746"/>
    <s v="[-0.038, -0.012]"/>
  </r>
  <r>
    <x v="4267"/>
    <x v="4790"/>
    <x v="0"/>
    <n v="0"/>
    <m/>
    <n v="1495599"/>
    <n v="1353889"/>
    <s v="0.03"/>
    <n v="1353882"/>
    <s v="0.03"/>
    <s v="6.0033324079218415"/>
    <s v="0.03"/>
  </r>
  <r>
    <x v="4267"/>
    <x v="4793"/>
    <x v="0"/>
    <s v="[0, 1]"/>
    <s v="LINESTRING (10.502821529456833 59.8745608494875, 10.502740809902427 59.874602155461446, 10.502444748245466 59.87474659553246)"/>
    <s v="[1544148, 1544156]"/>
    <s v="[1394931, 1361480]"/>
    <s v="#FIELD!"/>
    <s v="[1353882, 1394931]"/>
    <s v="[0.046, 0.041]"/>
    <s v="29.892145034263045"/>
    <s v="[0.046, -0.041]"/>
  </r>
  <r>
    <x v="4268"/>
    <x v="4794"/>
    <x v="0"/>
    <n v="0"/>
    <s v="LINESTRING (10.502825236105942 59.87450701703151, 10.502813068693813 59.87440630867124, 10.502153633416432 59.874820229802864, 10.50227265610874 59.87491703002053, 10.50345692750565 59.876144698215604, 10.503453342696687 59.876197635511446)"/>
    <s v="[1505555, 1505556, 1505563, 1505564, 1540348]"/>
    <s v="[1361486, 1361487, 1361494, 1361495, 1391796]"/>
    <s v="#FIELD!"/>
    <s v="[1353889, 1361486, 1361487, 1361494, 1361495]"/>
    <s v="[0.062, 0.017, 0.003, 0.007, 0.063]"/>
    <s v="321.3091487282097"/>
    <s v="[0.062, -0.017, 0.003, -0.007, 0.063]"/>
  </r>
  <r>
    <x v="4269"/>
    <x v="4795"/>
    <x v="0"/>
    <n v="0"/>
    <s v="LINESTRING (11.409586913051166 60.14869726179424, 11.410601480076927 60.149469538387415, 11.411393546334883 60.150148391517234, 11.41140936107504 60.15015958797232, 11.4114913841379 60.15022654360318, 11.411532070183265 60.15026341900665, 11.411606244776266 60.15034861399849, 11.411751352809437 60.15049286884834, 11.411823498984807 60.15056460765112, 11.412225223506809 60.150937085437846, 11.412428010083895 60.151102820528266, 11.412919592603457 60.15149571689734)"/>
    <s v="[1540528, 1540536, 1540544, 1540552, 1540560, 1540568, 1540576, 1540584, 1540592, 1540600, 1540608]"/>
    <s v="[1391933, 1368573, 1391949, 487523, 1391963, 1391968, 1391974, 1391980, 1391987, 1391995, 1354126]"/>
    <s v="#FIELD!"/>
    <s v="[1354120, 1391933, 1368573, 1391949, 487523, 1391963, 1391968, 1391974, 1391980, 1391987, 1391995]"/>
    <s v="[0.06, 0.049, 0.103, 0.091, 0.071, 0.075, 0.056, 0.044, 0.038, 0.054, 0.026]"/>
    <s v="362.99631922598434"/>
    <s v="[-0.06, -0.049, -0.103, -0.091, -0.071, -0.075, -0.056, -0.044, -0.038, -0.054, -0.026]"/>
  </r>
  <r>
    <x v="4269"/>
    <x v="4795"/>
    <x v="0"/>
    <n v="0"/>
    <s v="LINESTRING (11.409586913051166 60.14869726179424, 11.410624219666792 60.14935812923495, 11.410701404996333 60.14941883339844, 11.411480140607072 60.15011478801454, 11.411492900422697 60.15012622518102, 11.411566033247823 60.15019171731331, 11.411591809315421 60.15021488619452, 11.411609703441867 60.15022966229096, 11.411718446055184 60.15031940776586, 11.411877751551971 60.150475147580735, 11.412261703619262 60.1508494083308, 11.412919592603457 60.15149571689734)"/>
    <s v="[1540668, 1540676, 1540684, 1540692, 1540700, 1540708, 1540716, 1540724, 1540732, 1540740, 1540748]"/>
    <s v="[1392048, 1392053, 1368572, 1392068, 1392077, 487494, 1392090, 1392098, 1392104, 1392109, 1354126]"/>
    <s v="#FIELD!"/>
    <s v="[1354120, 1392048, 1392053, 1368572, 1392068, 1392077, 487494, 1392090, 1392098, 1392104, 1392109]"/>
    <s v="[0.068, 0.009, 0.049, 0.017, 0.07, 0.066, 0.098, 0.071, 0.053, 0.032, 0.037]"/>
    <s v="364.01033829583673"/>
    <s v="[-0.068, -0.009, -0.049, -0.017, -0.07, -0.066, -0.098, -0.071, -0.053, -0.032, -0.037]"/>
  </r>
  <r>
    <x v="4270"/>
    <x v="4796"/>
    <x v="0"/>
    <n v="0"/>
    <m/>
    <n v="1495886"/>
    <n v="1354127"/>
    <s v="#FIELD!"/>
    <n v="1354126"/>
    <s v="0.047"/>
    <s v="218.87749519537417"/>
    <s v="#FIELD!"/>
  </r>
  <r>
    <x v="4271"/>
    <x v="4797"/>
    <x v="0"/>
    <n v="0"/>
    <s v="LINESTRING (11.415341997640262 60.15303987393533, 11.415658700391381 60.15326056753183, 11.415663861717686 60.153264823800725, 11.415764569007713 60.15334792152981, 11.415851268253205 60.15339610814435)"/>
    <s v="[1540616, 1540624, 1540632, 1540640]"/>
    <s v="[1392005, 1392011, 1392017, 1390187]"/>
    <s v="#FIELD!"/>
    <s v="[1354127, 1392005, 1392011, 1392017]"/>
    <s v="[0.027, 0.0, 0.031, 0.029]"/>
    <s v="48.81962870236259"/>
    <s v="[-0.027, 0.0, -0.031, -0.029]"/>
  </r>
  <r>
    <x v="4271"/>
    <x v="4798"/>
    <x v="0"/>
    <n v="0"/>
    <s v="LINESTRING (11.415341997640262 60.15303987393533, 11.415758724753868 60.153227181114865, 11.41577584105346 60.15323324418017, 11.415898849707665 60.153276814691274, 11.416035055632845 60.15333097974898)"/>
    <s v="[1540756, 1540764, 1540772, 1540780]"/>
    <s v="[1392120, 1392124, 1392130, 1390114]"/>
    <s v="#FIELD!"/>
    <s v="[1354127, 1392120, 1392124, 1392130]"/>
    <s v="[0.023, 0.003, 0.024, 0.023]"/>
    <s v="50.39355420208524"/>
    <s v="[-0.023, -0.003, -0.024, -0.023]"/>
  </r>
  <r>
    <x v="4272"/>
    <x v="4799"/>
    <x v="434"/>
    <s v="[0, 0, 0, 0, 0, 0, 0, 0, 0, 0, 0, 0, 0, 0, 0, 0, 0, 0, 0, 0, 0, 0, 0, 0, 0, 0, 1, 0, 0, 0, 0, 0, 0, 0, 0, 0, 0, 0, 0, 0, 0, 0, 0, 0, 0, 0]"/>
    <s v="LINESTRING (11.42168425151438 60.15768389818416, 11.422613267470892 60.15816110386334, 11.431640745820777 60.159983160635946, 11.431789469139636 60.15997530621004, 11.43195866023209 60.1599782495344, 11.435956295651431 60.1598477790948, 11.437373441988072 60.159797410827565, 11.440459749530751 60.15969196533156, 11.442691924372204 60.159659583137255, 11.447008610060557 60.16009786833561, 11.447130143426483 60.16012264742486, 11.44991643567273 60.16069112559623, 11.454152149201589 60.16156332038775, 11.455452639056876 60.16183454792909, 11.458348502770612 60.16242855218786, 11.462291679270814 60.163524578192565, 11.466567736945297 60.16524324399426, 11.46811882510717 60.165870453826955, 11.468605630517004 60.16605699302129, 11.469466130245344 60.16636764065848, 11.469611393799461 60.16642238493614, 11.471838512565927 60.167009587917036, 11.474228519087287 60.16742786266242, 11.474727350482825 60.1675172546612, 11.476190882895965 60.16789046982591, 11.477376831098084 60.16824506561454, 11.479216607693768 60.16878786808703, 11.48086790619089 60.169272445200846, 11.481971201543779 60.16960067815139, 11.482200893192335 60.169667771535586, 11.48382938514713 60.17015101201734, 11.48931325052202 60.17177249184702, 11.490836093843578 60.1722580625386, 11.493274865179858 60.17332177063958, 11.495109657909264 60.1743103599197, 11.49600853311587 60.174781370725604, 11.496277599313883 60.17490919359654, 11.502097483354998 60.17654978496233, 11.502204961820373 60.17656668067671, 11.50232192354786 60.17659211327617, 11.504883808751416 60.17710095807932, 11.509961109286243 60.17811664066868, 11.510279441784945 60.178177157851465, 11.510393094868926 60.178198855985464, 11.51059625746713 60.178235998560154, 11.511445841505914 60.178415188286856, 11.51282157891592 60.178704287572316)"/>
    <s v="[1495900, 1495911, 1495917, 1495931, 1495932, 1495943, 1495944, 1495963, 1495977, 1495978, 1495985, 1495986, 1495987, 1496004, 1496037, 1496052, 1496053, 1496071, 1496085, 1496088, 1496089, 1496093, 1496101, 1496102, 1496116, 1496134, 1496142, 1496150, 1496152, 1496155, 1496160, 1496168, 1496176, 1496184, 1496193, 1496203, 1496211, 1496219, 1496230, 1496238, 1496252, 1496280, 1496299, 1496300, 1496318, 1496325]"/>
    <s v="[1354140, 487219, 1354158, 1354173, 1354174, 1354187, 1354188, 1354207, 1354219, 1354220, 1354228, 1354229, 1354230, 1354245, 1354279, 496330, 1354293, 1354304, 1354316, 1354319, 1354320, 1354325, 1354332, 1354333, 1354346, 1354359, 1354366, 1354373, 1354375, 1354377, 1354381, 1354386, 1354390, 1354396, 1354403, 1354412, 1354417, 1354422, 1354431, 1354437, 487376, 1354468, 1354485, 1354486, 1354503, 1354510]"/>
    <s v="0.002665667327168505"/>
    <s v="[1354139, 1354140, 487219, 1354158, 1354173, 1354174, 1354187, 1354188, 1354207, 1354219, 1354220, 1354228, 1354229, 1354230, 1354245, 1354279, 496330, 1354293, 1354304, 1354316, 1354319, 1354320, 1354325, 1354332, 1354333, 1354346, 1354359, 1354366, 1354373, 1354375, 1354377, 1354381, 1354386, 1354390, 1354396, 1354403, 1354412, 1354417, 1354422, 1354431, 1354437, 487376, 1354468, 1354485, 1354486, 1354503]"/>
    <s v="[0.011, 0.034, 0.0, 0.001, 0.007, 0.012, 0.004, 0.021, 0.011, 0.011, 0.017, 0.005, 0.017, 0.007, 0.004, 0.008, 0.008, 0.006, 0.02, 0.032, 0.055, 0.011, 0.015, 0.016, 0.054, 0.06, 0.012, 0.081, 0.08, 0.029, 0.017, 0.003, 0.003, 0.006, 0.001, 0.013, 0.007, 0.009, 0.009, 0.005, 0.003, 0.022, 0.01, 0.013, 0.002, 0.004]"/>
    <s v="5730.1655482479755"/>
    <s v="[-0.011, 0.034, 0.0, 0.001, 0.007, -0.012, 0.004, -0.021, -0.011, -0.011, 0.017, 0.005, 0.017, -0.007, 0.004, -0.008, -0.008, -0.006, -0.02, -0.032, -0.055, -0.011, 0.015, 0.016, -0.054, -0.06, 0.012, 0.081, 0.08, 0.029, 0.017, 0.003, -0.003, -0.006, 0.001, -0.013, 0.007, -0.009, -0.009, 0.005, 0.003, -0.022, 0.01, 0.013, 0.002, -0.004]"/>
  </r>
  <r>
    <x v="4272"/>
    <x v="4800"/>
    <x v="0"/>
    <n v="0"/>
    <s v="LINESTRING (11.421464225193102 60.15744399405705, 11.421522500697808 60.157522560112014, 11.42168425151438 60.15768389818416)"/>
    <s v="[1540820, 1540828]"/>
    <s v="[1392167, 1354139]"/>
    <s v="#FIELD!"/>
    <s v="[1355108, 1392167]"/>
    <s v="[0.006, 0.008]"/>
    <s v="29.54201908130969"/>
    <s v="[-0.006, -0.008]"/>
  </r>
  <r>
    <x v="4272"/>
    <x v="4801"/>
    <x v="0"/>
    <n v="0"/>
    <s v="LINESTRING (11.421260543288277 60.15754103857421, 11.42136504210195 60.157579932660795, 11.42168425151438 60.15768389818416)"/>
    <s v="[1540680, 1540688]"/>
    <s v="[1392058, 1354139]"/>
    <s v="#FIELD!"/>
    <s v="[1355133, 1392058]"/>
    <s v="[0.015, 0.016]"/>
    <s v="28.42103349944396"/>
    <s v="[-0.015, -0.016]"/>
  </r>
  <r>
    <x v="4273"/>
    <x v="4802"/>
    <x v="0"/>
    <n v="0"/>
    <s v="LINESTRING (11.51282157891592 60.178704287572316, 11.513244093273467 60.178820459051025, 11.513741011050017 60.178898270432235)"/>
    <s v="[1540696, 1540704]"/>
    <s v="[1392073, 1354512]"/>
    <s v="0.002039498630838668"/>
    <s v="[1354510, 1392073]"/>
    <s v="[0.001, 0.003]"/>
    <s v="56.14694841019269"/>
    <s v="[0.001, 0.003]"/>
  </r>
  <r>
    <x v="4273"/>
    <x v="4802"/>
    <x v="0"/>
    <n v="0"/>
    <s v="LINESTRING (11.51282157891592 60.178704287572316, 11.513284144948063 60.17877866159774, 11.513741011050017 60.178898270432235)"/>
    <s v="[1540836, 1540844]"/>
    <s v="[1392180, 1354512]"/>
    <s v="0.0024240825183032993"/>
    <s v="[1354510, 1392180]"/>
    <s v="[0.005, 0.0]"/>
    <s v="55.85699454252641"/>
    <s v="[0.005, -0.0]"/>
  </r>
  <r>
    <x v="4274"/>
    <x v="4803"/>
    <x v="0"/>
    <n v="0"/>
    <s v="LINESTRING (11.513741011050017 60.178898270432235, 11.514365580229716 60.17903154930049, 11.514462332823634 60.17905494695443, 11.514573516829014 60.17907786160329, 11.51513180379827 60.17919021289057)"/>
    <s v="[1496332, 1496354, 1496355, 1496372]"/>
    <s v="[1354513, 1354532, 1354533, 1354548]"/>
    <s v="0.0011277371401002766"/>
    <s v="[1354512, 1354513, 1354532, 1354533]"/>
    <s v="[0.004, 0.012, 0.011, 0.003]"/>
    <s v="83.7824789918881"/>
    <s v="[-0.004, 0.012, 0.011, 0.003]"/>
  </r>
  <r>
    <x v="4275"/>
    <x v="4804"/>
    <x v="0"/>
    <n v="0"/>
    <s v="LINESTRING (11.51513180379827 60.17919021289057, 11.515446596375295 60.1792279758158, 11.515454791757028 60.17922997997504, 11.515881946059519 60.17934746016863)"/>
    <s v="[1537320, 1537328, 1537336]"/>
    <s v="[1389262, 1389271, 487460]"/>
    <s v="#FIELD!"/>
    <s v="[1354548, 1389262, 1389271]"/>
    <s v="[0.017, 0.0, 0.02]"/>
    <s v="45.55873689582833"/>
    <s v="[-0.017, 0.0, -0.02]"/>
  </r>
  <r>
    <x v="4275"/>
    <x v="4804"/>
    <x v="0"/>
    <n v="0"/>
    <s v="LINESTRING (11.51513180379827 60.17919021289057, 11.51540411427399 60.17928352359545, 11.515881946059519 60.17934746016863)"/>
    <s v="[1540712, 1540728]"/>
    <s v="[1392086, 487460]"/>
    <s v="#FIELD!"/>
    <s v="[1354548, 1392086]"/>
    <s v="[0.023, 0.016]"/>
    <s v="46.01794166002523"/>
    <s v="[-0.023, -0.016]"/>
  </r>
  <r>
    <x v="4276"/>
    <x v="4805"/>
    <x v="0"/>
    <n v="0"/>
    <s v="LINESTRING (11.515881946059519 60.17934746016863, 11.51599481805407 60.17937199978766, 11.516118495327559 60.179396733719564, 11.517613107017146 60.17970914886309, 11.522596312808888 60.18084159678573, 11.524374412972808 60.181345645578176, 11.525842117679208 60.18176522385962, 11.528897838744525 60.18291835578463)"/>
    <s v="[1496388, 1496389, 1496390, 1496391, 1496401, 1496402, 1496417]"/>
    <s v="[1354563, 1354564, 1354565, 1354566, 1354570, 1354571, 1354580]"/>
    <s v="0.002718565451587908"/>
    <s v="[487460, 1354563, 1354564, 1354565, 1354566, 1354570, 1354571]"/>
    <s v="[0.001, 0.001, 0.01, 0.004, 0.01, 0.014, 0.009]"/>
    <s v="829.4696807640643"/>
    <s v="[0.001, -0.001, -0.01, -0.004, 0.01, 0.014, 0.009]"/>
  </r>
  <r>
    <x v="4277"/>
    <x v="4159"/>
    <x v="0"/>
    <n v="0"/>
    <s v="LINESTRING (11.528897838744525 60.18291835578463, 11.529925887553635 60.18334996267559, 11.530174069564715 60.18347765103058, 11.530371265946465 60.18357929686496, 11.530374294908817 60.18358085913537, 11.531180833346436 60.18398724822481, 11.53190264776264 60.18443604445821)"/>
    <s v="[1537344, 1537352, 1537360, 1537368, 1537376, 1537384]"/>
    <s v="[1389285, 1363565, 1389303, 1368333, 1389318, 1354589]"/>
    <s v="0.01129188433854137"/>
    <s v="[1354580, 1389285, 1363565, 1389303, 1368333, 1389318]"/>
    <s v="[0.004, 0.005, 0.018, 0.0, 0.057, 0.025]"/>
    <s v="238.8538372316193"/>
    <s v="[0.004, 0.005, 0.018, 0.0, 0.057, -0.025]"/>
  </r>
  <r>
    <x v="4277"/>
    <x v="4159"/>
    <x v="0"/>
    <n v="0"/>
    <s v="LINESTRING (11.528897838744525 60.18291835578463, 11.529817575774539 60.18341681242654, 11.53005284148841 60.18353199367672, 11.530225505027056 60.183622796272864, 11.530300839700976 60.18365938934778, 11.531163575089785 60.18410095340881, 11.531398422498759 60.184218305057456, 11.53190264776264 60.18443604445821)"/>
    <s v="[1540760, 1540768, 1540776, 1540784, 1540792, 1540800, 1540808]"/>
    <s v="[1392123, 1363566, 1368348, 1392139, 1392145, 1392152, 1354589]"/>
    <s v="0.011248583623182934"/>
    <s v="[1354580, 1392123, 1363566, 1368348, 1392139, 1392145, 1392152]"/>
    <s v="[0.004, 0.004, 0.013, 0.013, 0.046, 0.032, 0.045]"/>
    <s v="238.42488276737927"/>
    <s v="[0.004, 0.004, 0.013, 0.013, 0.046, 0.032, -0.045]"/>
  </r>
  <r>
    <x v="4278"/>
    <x v="4806"/>
    <x v="0"/>
    <n v="0"/>
    <s v="LINESTRING (11.148916439605292 60.07989268740458, 11.148891156089707 60.07992431209753, 11.148828112590541 60.07995573499099)"/>
    <s v="[1496632, 1496633]"/>
    <s v="[1354752, 1354753]"/>
    <s v="0.024363756658389867"/>
    <s v="[1354748, 1354752]"/>
    <s v="[0.017, 0.03]"/>
    <s v="8.75255529536333"/>
    <s v="[0.017, 0.03]"/>
  </r>
  <r>
    <x v="4278"/>
    <x v="4807"/>
    <x v="0"/>
    <s v="[1, 1, 1, 0, 0]"/>
    <s v="LINESTRING (11.148916439605292 60.07989268740458, 11.149003479598322 60.07991769802765, 11.15003725607004 60.08020001561509, 11.151279825921051 60.080405004269934, 11.151587653208097 60.080407813834555, 11.151688802877365 60.08040028765992)"/>
    <s v="[1540516, 1540524, 1540532, 1540540, 1540548]"/>
    <s v="[1391924, 1391930, 1391937, 1391945, 1354816]"/>
    <s v="#FIELD!"/>
    <s v="[1354748, 1391924, 1391930, 1391937, 1391945]"/>
    <s v="[0.049, 0.043, 0.018, 0.002, 0.006]"/>
    <s v="167.14409633000085"/>
    <s v="[-0.049, -0.043, -0.018, 0.002, 0.006]"/>
  </r>
  <r>
    <x v="4278"/>
    <x v="4808"/>
    <x v="0"/>
    <n v="0"/>
    <s v="LINESTRING (11.148567963680344 60.079903204321354, 11.148575078257991 60.07984228403319, 11.148629679384467 60.07980612046026, 11.14873439710433 60.07978759872147, 11.148916439605292 60.07989268740458)"/>
    <s v="[1496663, 1496671, 1496691, 1496626]"/>
    <s v="[1354778, 1354786, 1354747, 1354748]"/>
    <s v="#FIELD!"/>
    <s v="[1354773, 1354778, 1354786, 1354747]"/>
    <s v="[0.004, 0.025, 0.047, 0.04]"/>
    <s v="35.27103810010105"/>
    <s v="[0.004, -0.025, -0.047, -0.04]"/>
  </r>
  <r>
    <x v="4279"/>
    <x v="4809"/>
    <x v="0"/>
    <n v="0"/>
    <m/>
    <n v="1496636"/>
    <n v="1354756"/>
    <s v="0.054"/>
    <n v="1354753"/>
    <s v="0.054"/>
    <s v="4.964876634813532"/>
    <s v="0.054"/>
  </r>
  <r>
    <x v="4279"/>
    <x v="4810"/>
    <x v="0"/>
    <s v="[1, 1, 1, 0, 0]"/>
    <s v="LINESTRING (11.148828112590541 60.07995573499099, 11.148924327471695 60.079979215246844, 11.149996503253217 60.08026567288551, 11.151425659443628 60.08049977538709, 11.15160900005876 60.08051012319668, 11.151734406877985 60.08051829781265)"/>
    <s v="[1544228, 1544236, 1544244, 1544252, 1544260]"/>
    <s v="[1394991, 1394998, 1395006, 1395013, 1354859]"/>
    <s v="#FIELD!"/>
    <s v="[1354753, 1394991, 1394998, 1395006, 1395013]"/>
    <s v="[0.07, 0.053, 0.023, 0.035, 0.444]"/>
    <s v="174.75434656083263"/>
    <s v="[-0.07, -0.053, 0.023, 0.035, -0.444]"/>
  </r>
  <r>
    <x v="4280"/>
    <x v="4808"/>
    <x v="0"/>
    <n v="0"/>
    <m/>
    <n v="1496659"/>
    <n v="1354773"/>
    <s v="0.047"/>
    <n v="1354756"/>
    <s v="0.047"/>
    <s v="12.697203910656786"/>
    <s v="0.047"/>
  </r>
  <r>
    <x v="4280"/>
    <x v="4811"/>
    <x v="0"/>
    <n v="0"/>
    <s v="LINESTRING (11.148742162468782 60.07996761242584, 11.148707913165689 60.079998975721175, 11.14866189774631 60.08051810063373, 11.149484030121275 60.08057893908706)"/>
    <s v="[1499992, 1499993, 1500001]"/>
    <s v="[1357259, 1357260, 1357264]"/>
    <s v="#FIELD!"/>
    <s v="[1354756, 1357259, 1357260]"/>
    <s v="[0.002, 0.01, 0.058]"/>
    <s v="116.86616574972496"/>
    <s v="[0.002, -0.01, -0.058]"/>
  </r>
  <r>
    <x v="4281"/>
    <x v="4812"/>
    <x v="0"/>
    <n v="0"/>
    <s v="LINESTRING (11.149251260760071 60.08092363879013, 11.14853274165385 60.07995783965649, 11.148567963680344 60.079903204321354)"/>
    <s v="[1500034, 1500041]"/>
    <s v="[1357281, 1354773]"/>
    <s v="0.03012418712027902"/>
    <s v="[1357271, 1357281]"/>
    <s v="[0.032, 0.007]"/>
    <s v="132.98184188176143"/>
    <s v="[0.032, -0.007]"/>
  </r>
  <r>
    <x v="4282"/>
    <x v="4813"/>
    <x v="0"/>
    <n v="0"/>
    <m/>
    <n v="1496708"/>
    <n v="1354817"/>
    <s v="0.018"/>
    <n v="1354816"/>
    <s v="0.018"/>
    <s v="9.723564161546271"/>
    <s v="0.018"/>
  </r>
  <r>
    <x v="4282"/>
    <x v="4810"/>
    <x v="0"/>
    <n v="0"/>
    <s v="LINESTRING (11.151734406877985 60.08051829781265, 11.151682096838089 60.08045312948803, 11.151688802877365 60.08040028765992)"/>
    <s v="[1496787, 1496797]"/>
    <s v="[1354886, 1354816]"/>
    <s v="0.020429906337843095"/>
    <s v="[1354859, 1354886]"/>
    <s v="[0.02, 0.021]"/>
    <s v="13.724096975791795"/>
    <s v="[0.02, 0.021]"/>
  </r>
  <r>
    <x v="4283"/>
    <x v="4814"/>
    <x v="0"/>
    <n v="0"/>
    <m/>
    <n v="1496723"/>
    <n v="1354830"/>
    <s v="0.001"/>
    <n v="1354817"/>
    <s v="0.001"/>
    <s v="21.50984386623503"/>
    <s v="0.001"/>
  </r>
  <r>
    <x v="4283"/>
    <x v="4815"/>
    <x v="0"/>
    <n v="0"/>
    <s v="LINESTRING (11.151782673288665 60.080326702388284, 11.151789415033653 60.080260755125856, 11.149549530574335 60.082788329512674, 11.14935060192636 60.08290951555173)"/>
    <s v="[1500063, 1500071, 1551951]"/>
    <s v="[1357292, 1357298, 1363242]"/>
    <s v="#FIELD!"/>
    <s v="[1354817, 1357292, 1357298]"/>
    <s v="[0.331, 0.009, 0.013]"/>
    <s v="382.92102288529253"/>
    <s v="[0.331, -0.009, -0.013]"/>
  </r>
  <r>
    <x v="4284"/>
    <x v="4816"/>
    <x v="0"/>
    <n v="0"/>
    <m/>
    <n v="1496730"/>
    <n v="1354835"/>
    <s v="#FIELD!"/>
    <n v="1354830"/>
    <s v="0.012"/>
    <s v="5.89061966189201"/>
    <s v="#FIELD!"/>
  </r>
  <r>
    <x v="4284"/>
    <x v="4817"/>
    <x v="0"/>
    <n v="0"/>
    <s v="LINESTRING (11.151667530769293 60.07992574945196, 11.152031392146133 60.0802518202075, 11.152142494000184 60.0803284631751)"/>
    <s v="[1499979, 2127169]"/>
    <s v="[1357252, 1354830]"/>
    <s v="#FIELD!"/>
    <s v="[1357251, 1357252]"/>
    <s v="[0.019, 0.183]"/>
    <s v="52.28502647354301"/>
    <s v="[0.019, -0.183]"/>
  </r>
  <r>
    <x v="4285"/>
    <x v="4818"/>
    <x v="0"/>
    <n v="0"/>
    <s v="LINESTRING (11.152208754997059 60.08036967649379, 11.152239733923363 60.08042028984297, 11.152219028620609 60.08048980371658)"/>
    <s v="[1496739, 1496747]"/>
    <s v="[1354842, 1354848]"/>
    <s v="#FIELD!"/>
    <s v="[1354835, 1354842]"/>
    <s v="[0.016, 0.017]"/>
    <s v="13.72909259797094"/>
    <s v="[-0.016, -0.017]"/>
  </r>
  <r>
    <x v="4285"/>
    <x v="4819"/>
    <x v="0"/>
    <n v="0"/>
    <s v="LINESTRING (11.152208754997059 60.08036967649379, 11.152324890082348 60.08036185814891, 11.15311613840974 60.08030170380216)"/>
    <s v="[1540580, 1540588]"/>
    <s v="[1391977, 1391983]"/>
    <s v="#FIELD!"/>
    <s v="[1354835, 1391977]"/>
    <s v="[0.004, 0.017]"/>
    <s v="51.176937911831054"/>
    <s v="[0.004, -0.017]"/>
  </r>
  <r>
    <x v="4286"/>
    <x v="4810"/>
    <x v="0"/>
    <n v="0"/>
    <s v="LINESTRING (11.152219028620609 60.08048980371658, 11.152005032083675 60.080573644201685, 11.151734406877985 60.08051829781265)"/>
    <s v="[1496759, 1496760]"/>
    <s v="[1354858, 1354859]"/>
    <s v="#FIELD!"/>
    <s v="[1354848, 1354858]"/>
    <s v="[0.014, 0.002]"/>
    <s v="32.5523233794658"/>
    <s v="[-0.014, 0.002]"/>
  </r>
  <r>
    <x v="4286"/>
    <x v="2314"/>
    <x v="0"/>
    <n v="0"/>
    <s v="LINESTRING (11.152219028620609 60.08048980371658, 11.152350749239488 60.08046406504105, 11.152929922311346 60.080389428985676, 11.153414338512249 60.080345238172484, 11.154137766359195 60.08034961518739, 11.154298882889739 60.08036230575758)"/>
    <s v="[1544268, 1544276, 1544284, 1544292, 1544300]"/>
    <s v="[1395026, 1395033, 1395040, 1395048, 1355006]"/>
    <s v="#FIELD!"/>
    <s v="[1354848, 1395026, 1395033, 1395040, 1395048]"/>
    <s v="[0.275, 0.044, 0.027, 0.003, 0.364]"/>
    <s v="118.224151806764"/>
    <s v="[0.275, -0.044, -0.027, -0.003, -0.364]"/>
  </r>
  <r>
    <x v="4287"/>
    <x v="2314"/>
    <x v="0"/>
    <n v="0"/>
    <s v="LINESTRING (11.154298882889739 60.08036230575758, 11.154285723018099 60.08029000799072, 11.154320472628726 60.08023888136954)"/>
    <s v="[1496925, 1496926]"/>
    <s v="[1355008, 1354917]"/>
    <s v="0.007483784878137374"/>
    <s v="[1355006, 1355008]"/>
    <s v="[0.019, 0.008]"/>
    <s v="14.106142949772968"/>
    <s v="[0.019, -0.008]"/>
  </r>
  <r>
    <x v="4287"/>
    <x v="4819"/>
    <x v="0"/>
    <n v="0"/>
    <s v="LINESTRING (11.15311613840974 60.08030170380216, 11.153531005282677 60.08026081810295, 11.15415479712146 60.080238598226664, 11.154320472628726 60.08023888136954)"/>
    <s v="[1540596, 1540604, 1540612]"/>
    <s v="[1391990, 1391998, 1354917]"/>
    <s v="#FIELD!"/>
    <s v="[1391983, 1391990, 1391998]"/>
    <s v="[0.019, 0.048, 0.083]"/>
    <s v="67.58305215147442"/>
    <s v="[-0.019, -0.048, -0.083]"/>
  </r>
  <r>
    <x v="4288"/>
    <x v="1470"/>
    <x v="0"/>
    <n v="0"/>
    <s v="LINESTRING (11.215726231878534 60.0915018741868, 11.21567280827051 60.09146555687422, 11.215649664069995 60.09140691501761, 11.215686076387838 60.09134997866972, 11.216118260573136 60.09137610745469, 11.216126362171394 60.09143566684573, 11.216076046270274 60.09148986805172, 11.215951027271554 60.09153006468821)"/>
    <s v="[1496992, 1496994, 1497010, 1496934, 1496944, 1496952, 1496960]"/>
    <s v="[1355071, 1355073, 1355017, 1355018, 1355027, 1355035, 1355042]"/>
    <s v="#FIELD!"/>
    <s v="[1355067, 1355071, 1355073, 1355017, 1355018, 1355027, 1355035]"/>
    <s v="[0.006, 0.016, 0.025, 0.017, 0.01, 0.022, 0.031]"/>
    <s v="69.7929063435434"/>
    <s v="[0.006, -0.016, -0.025, -0.017, 0.01, 0.022, 0.031]"/>
  </r>
  <r>
    <x v="4289"/>
    <x v="4800"/>
    <x v="0"/>
    <n v="0"/>
    <m/>
    <n v="1497026"/>
    <n v="1355108"/>
    <s v="#FIELD!"/>
    <n v="1355107"/>
    <s v="0.01"/>
    <s v="19.9348639317257"/>
    <s v="#FIELD!"/>
  </r>
  <r>
    <x v="4289"/>
    <x v="4820"/>
    <x v="0"/>
    <n v="0"/>
    <s v="LINESTRING (11.421056421713535 60.157420114224166, 11.421116590794222 60.15736430858529, 11.421231195671872 60.15733684874248)"/>
    <s v="[1497104, 1497158]"/>
    <s v="[1355184, 1355107]"/>
    <s v="#FIELD!"/>
    <s v="[1355183, 1355184]"/>
    <s v="[0.012, 0.015]"/>
    <s v="14.121486829941881"/>
    <s v="[-0.012, -0.015]"/>
  </r>
  <r>
    <x v="4289"/>
    <x v="4821"/>
    <x v="0"/>
    <n v="0"/>
    <s v="LINESTRING (11.420894866851356 60.15708373214977, 11.421166017030304 60.15729852346397, 11.421231195671872 60.15733684874248)"/>
    <s v="[1540804, 1540812]"/>
    <s v="[1392155, 1355107]"/>
    <s v="#FIELD!"/>
    <s v="[1390107, 1392155]"/>
    <s v="[0.009, 0.007]"/>
    <s v="33.971182002821095"/>
    <s v="[-0.009, -0.007]"/>
  </r>
  <r>
    <x v="4290"/>
    <x v="4801"/>
    <x v="0"/>
    <n v="0"/>
    <s v="LINESTRING (11.421464225193102 60.15744399405705, 11.421381200403365 60.15752093256913, 11.421260543288277 60.15754103857421)"/>
    <s v="[1497038, 1497049]"/>
    <s v="[1355120, 1355133]"/>
    <s v="0.013732753297988056"/>
    <s v="[1355108, 1355120]"/>
    <s v="[0.01, 0.019]"/>
    <s v="17.036164439974392"/>
    <s v="[0.01, 0.019]"/>
  </r>
  <r>
    <x v="4291"/>
    <x v="4820"/>
    <x v="0"/>
    <n v="0"/>
    <s v="LINESTRING (11.421260543288277 60.15754103857421, 11.421209299225598 60.15753803508963, 11.421101335960696 60.157504466896576, 11.421053632104968 60.157445744195186, 11.421056421713535 60.157420114224166)"/>
    <s v="[1497050, 1497085, 1497093, 1497103]"/>
    <s v="[1355134, 1355163, 1355171, 1355183]"/>
    <s v="0.007852033374080442"/>
    <s v="[1355133, 1355134, 1355163, 1355171]"/>
    <s v="[0.018, 0.014, 0.004, 0.008]"/>
    <s v="19.851965297604806"/>
    <s v="[0.018, 0.014, 0.004, -0.008]"/>
  </r>
  <r>
    <x v="4292"/>
    <x v="4821"/>
    <x v="0"/>
    <n v="0"/>
    <s v="LINESTRING (11.420894866851356 60.15708373214977, 11.421000002835804 60.15733030035058, 11.421056421713535 60.157420114224166)"/>
    <s v="[1540664, 1540672]"/>
    <s v="[1392043, 1355183]"/>
    <s v="#FIELD!"/>
    <s v="[1390107, 1392043]"/>
    <s v="[0.003, 0.002]"/>
    <s v="38.68614180957201"/>
    <s v="[-0.003, -0.002]"/>
  </r>
  <r>
    <x v="4293"/>
    <x v="3975"/>
    <x v="0"/>
    <n v="0"/>
    <m/>
    <n v="1501145"/>
    <n v="1356102"/>
    <s v="0.002"/>
    <n v="1356103"/>
    <s v="0.002"/>
    <s v="19.009466550207804"/>
    <s v="0.002"/>
  </r>
  <r>
    <x v="4293"/>
    <x v="3974"/>
    <x v="0"/>
    <n v="0"/>
    <s v="LINESTRING (10.839151839892324 59.78780425925283, 10.839043064434692 59.787732478561814, 10.840095808681355 59.78356691341518, 10.84017488841511 59.78353345390626)"/>
    <s v="[1508000, 1498197, 1498198]"/>
    <s v="[1356100, 1356101, 1356102]"/>
    <s v="#FIELD!"/>
    <s v="[1363690, 1356100, 1356101]"/>
    <s v="[0.069, 0.017, 0.048]"/>
    <s v="620.3688882122617"/>
    <s v="[0.069, -0.017, -0.048]"/>
  </r>
  <r>
    <x v="4294"/>
    <x v="3968"/>
    <x v="0"/>
    <n v="0"/>
    <m/>
    <n v="1501141"/>
    <n v="1356103"/>
    <s v="0.044"/>
    <n v="1356131"/>
    <s v="0.044"/>
    <s v="17.19667447006107"/>
    <s v="0.044"/>
  </r>
  <r>
    <x v="4295"/>
    <x v="3971"/>
    <x v="0"/>
    <n v="0"/>
    <s v="LINESTRING (10.84063937420809 59.78365606493751, 10.840635402632175 59.78370352089811, 10.839525694576098 59.788024703217616, 10.839484432462879 59.788112409355016)"/>
    <s v="[1498230, 1498244, 1508016]"/>
    <s v="[1356132, 1356139, 1362035]"/>
    <s v="0.02245446753811521"/>
    <s v="[1356131, 1356132, 1356139]"/>
    <s v="[0.024, 0.025, 0.104]"/>
    <s v="511.1249371795991"/>
    <s v="[0.024, 0.025, -0.104]"/>
  </r>
  <r>
    <x v="4296"/>
    <x v="4822"/>
    <x v="0"/>
    <n v="0"/>
    <m/>
    <n v="1500926"/>
    <n v="1357883"/>
    <s v="#FIELD!"/>
    <n v="1356177"/>
    <s v="0.037"/>
    <s v="9.084690417915267"/>
    <s v="#FIELD!"/>
  </r>
  <r>
    <x v="4296"/>
    <x v="4823"/>
    <x v="0"/>
    <n v="0"/>
    <m/>
    <n v="1500919"/>
    <n v="1356177"/>
    <s v="#FIELD!"/>
    <n v="1356207"/>
    <s v="0.035"/>
    <s v="10.992523122803828"/>
    <s v="#FIELD!"/>
  </r>
  <r>
    <x v="4296"/>
    <x v="4824"/>
    <x v="0"/>
    <n v="0"/>
    <s v="LINESTRING (10.738674374616163 59.60027894774092, 10.738733408452513 59.600386976064286, 10.738360193070456 59.602338077934, 10.73836107954012 59.60234703583419, 10.740418603249973 59.60257834258394, 10.740424445303562 59.60252315138299)"/>
    <s v="[1508066, 1498247, 1498259, 1498270, 1498296]"/>
    <s v="[1356141, 1356142, 1356152, 1356163, 1356177]"/>
    <s v="0.027693642965412366"/>
    <s v="[1361335, 1356141, 1356142, 1356152, 1356163]"/>
    <s v="[0.001, 0.027, 0.022, 0.033, 0.045]"/>
    <s v="420.41423702978705"/>
    <s v="[-0.001, 0.027, 0.022, 0.033, -0.045]"/>
  </r>
  <r>
    <x v="4297"/>
    <x v="4825"/>
    <x v="0"/>
    <n v="0"/>
    <s v="LINESTRING (10.735109461871621 59.60250787238139, 10.735049719760772 59.60246420177284, 10.735030685126796 59.602397795820714, 10.73510139537 59.60232120558465, 10.735354999674895 59.60228674384201, 10.735521432735213 59.60236157881974)"/>
    <s v="[1500774, 1500782, 1500790, 1500798, 1500799]"/>
    <s v="[1357787, 1357793, 1357798, 1357804, 1357805]"/>
    <s v="#FIELD!"/>
    <s v="[1356185, 1357787, 1357793, 1357798, 1357804]"/>
    <s v="[0.05, 0.024, 0.002, 0.027, 0.051]"/>
    <s v="51.10006686882538"/>
    <s v="[0.05, 0.024, 0.002, -0.027, -0.051]"/>
  </r>
  <r>
    <x v="4297"/>
    <x v="4826"/>
    <x v="0"/>
    <n v="0"/>
    <m/>
    <n v="1500823"/>
    <n v="1356185"/>
    <s v="0.055"/>
    <n v="1356192"/>
    <s v="0.055"/>
    <s v="19.72433367558269"/>
    <s v="0.055"/>
  </r>
  <r>
    <x v="4297"/>
    <x v="4827"/>
    <x v="0"/>
    <n v="0"/>
    <s v="LINESTRING (10.735982241516268 59.60567092804857, 10.735950550816128 59.60558105437628, 10.735195633717414 59.60258987423119, 10.735109461871621 59.60250787238139)"/>
    <s v="[1508067, 1498298, 1498309]"/>
    <s v="[1356178, 1356179, 1356185]"/>
    <s v="0.011208462154285882"/>
    <s v="[1363745, 1356178, 1356179]"/>
    <s v="[0.015, 0.01, 0.05]"/>
    <s v="384.8043539070993"/>
    <s v="[0.015, 0.01, 0.05]"/>
  </r>
  <r>
    <x v="4298"/>
    <x v="4828"/>
    <x v="0"/>
    <n v="1"/>
    <m/>
    <n v="1498317"/>
    <n v="1356191"/>
    <s v="#FIELD!"/>
    <n v="1356190"/>
    <s v="0.025"/>
    <s v="212.40237757617933"/>
    <s v="#FIELD!"/>
  </r>
  <r>
    <x v="4298"/>
    <x v="4825"/>
    <x v="0"/>
    <n v="0"/>
    <s v="LINESTRING (10.735521432735213 59.60236157881974, 10.73561355561342 59.60236424931718, 10.735954879871178 59.602405049426714)"/>
    <s v="[1508094, 1508108]"/>
    <s v="[1363770, 1356190]"/>
    <s v="#FIELD!"/>
    <s v="[1357805, 1363770]"/>
    <s v="[0.04, 0.059]"/>
    <s v="25.58921906018318"/>
    <s v="[-0.04, -0.059]"/>
  </r>
  <r>
    <x v="4298"/>
    <x v="4829"/>
    <x v="0"/>
    <n v="0"/>
    <s v="LINESTRING (10.735518189869397 59.60246598688847, 10.735619701246424 59.60245338933371, 10.735954879871178 59.602405049426714)"/>
    <s v="[1541972, 1541980]"/>
    <s v="[1393057, 1356190]"/>
    <s v="#FIELD!"/>
    <s v="[1357811, 1393057]"/>
    <s v="[0.032, 0.036]"/>
    <s v="26.03508515090644"/>
    <s v="[-0.032, -0.036]"/>
  </r>
  <r>
    <x v="4299"/>
    <x v="4830"/>
    <x v="0"/>
    <n v="0"/>
    <s v="LINESTRING (10.739715130836966 59.60239628516678, 10.740300837184334 59.60233681448019, 10.740413964109557 59.602320311322735)"/>
    <s v="[1508116, 1508117]"/>
    <s v="[1363787, 1357826]"/>
    <s v="#FIELD!"/>
    <s v="[1356191, 1363787]"/>
    <s v="[0.0, 0.021]"/>
    <s v="40.390717071467215"/>
    <s v="[0.0, -0.021]"/>
  </r>
  <r>
    <x v="4299"/>
    <x v="4822"/>
    <x v="0"/>
    <n v="0"/>
    <s v="LINESTRING (10.739715130836966 59.60239628516678, 10.740248947002442 59.602448648146094, 10.740334740700632 59.60245548827986)"/>
    <s v="[1541988, 1541996]"/>
    <s v="[1393072, 1357883]"/>
    <s v="0.012550921293412178"/>
    <s v="[1356191, 1393072]"/>
    <s v="[0.012, 0.016]"/>
    <s v="35.618031015832685"/>
    <s v="[0.012, 0.016]"/>
  </r>
  <r>
    <x v="4300"/>
    <x v="841"/>
    <x v="0"/>
    <n v="0"/>
    <s v="LINESTRING (10.735439939939306 59.60251783738042, 10.735454279483706 59.602562392541486, 10.737500100456272 59.602218192577595, 10.73750644420403 59.60220985691919, 10.738059610869813 59.601140131608524, 10.738454919762045 59.599687320553315, 10.738545010975109 59.59956436814268)"/>
    <s v="[1498318, 1498319, 1498320, 1498322, 1498332, 1508124]"/>
    <s v="[1356193, 1356194, 1356195, 1356197, 1356206, 1363794]"/>
    <s v="#FIELD!"/>
    <s v="[1356192, 1356193, 1356194, 1356195, 1356197, 1356206]"/>
    <s v="[0.041, 0.049, 0.09, 0.04, 0.024, 0.039]"/>
    <s v="482.491139796135"/>
    <s v="[-0.041, -0.049, -0.09, -0.04, -0.024, -0.039]"/>
  </r>
  <r>
    <x v="4300"/>
    <x v="4829"/>
    <x v="0"/>
    <n v="0"/>
    <m/>
    <n v="1500815"/>
    <n v="1356192"/>
    <s v="0.003"/>
    <n v="1357811"/>
    <s v="0.003"/>
    <s v="7.274895188872555"/>
    <s v="0.003"/>
  </r>
  <r>
    <x v="4301"/>
    <x v="4831"/>
    <x v="0"/>
    <n v="0"/>
    <s v="LINESTRING (10.740607769271593 59.60255061151729, 10.74058558807767 59.602598949355894, 10.736687231762968 59.6051624795151, 10.736237860383952 59.60593553086506, 10.736100809191074 59.605994906970416)"/>
    <s v="[1498333, 1498340, 1498355, 1508132]"/>
    <s v="[1356208, 1356212, 1356222, 1361383]"/>
    <s v="0.004488116086225076"/>
    <s v="[1356207, 1356208, 1356212, 1356222]"/>
    <s v="[0.046, 0.0, 0.019, 0.024]"/>
    <s v="491.3400230523823"/>
    <s v="[0.046, -0.0, 0.019, 0.024]"/>
  </r>
  <r>
    <x v="4301"/>
    <x v="4830"/>
    <x v="0"/>
    <n v="0"/>
    <s v="LINESTRING (10.740413964109557 59.602320311322735, 10.740529289967844 59.60229079638147, 10.74065848723205 59.60229320483791, 10.740769356604122 59.60232684791411, 10.740844444282212 59.60241606506723, 10.740828696184458 59.60246473828322, 10.740729574049515 59.60252877066635, 10.740607769271593 59.60255061151729)"/>
    <s v="[1500840, 1500856, 1500864, 1500879, 1500903, 1500910, 1500918]"/>
    <s v="[1357827, 1357838, 1357842, 1357850, 1357865, 1357873, 1356207]"/>
    <s v="0.023963794306769662"/>
    <s v="[1357826, 1357827, 1357838, 1357842, 1357850, 1357865, 1357873]"/>
    <s v="[0.029, 0.011, 0.043, 0.055, 0.043, 0.035, 0.004]"/>
    <s v="54.76979762772583"/>
    <s v="[-0.029, 0.011, 0.043, 0.055, 0.043, 0.035, -0.004]"/>
  </r>
  <r>
    <x v="4302"/>
    <x v="4832"/>
    <x v="0"/>
    <n v="0"/>
    <s v="LINESTRING (10.736216330581776 59.62454640519043, 10.73625591682439 59.62457017484052, 10.736291585532848 59.624638776653796, 10.736240286969759 59.62470724263555, 10.73587211253574 59.624698843597976)"/>
    <s v="[1501074, 1501081, 1501082, 1501083]"/>
    <s v="[1357959, 1357965, 1357966, 1357967]"/>
    <s v="0.0010186791306459795"/>
    <s v="[1356237, 1357959, 1357965, 1357966]"/>
    <s v="[0.017, 0.019, 0.012, 0.011]"/>
    <s v="43.42460292039328"/>
    <s v="[0.017, 0.019, 0.012, -0.011]"/>
  </r>
  <r>
    <x v="4302"/>
    <x v="4833"/>
    <x v="0"/>
    <n v="0"/>
    <m/>
    <n v="1501073"/>
    <n v="1356237"/>
    <s v="0.011"/>
    <n v="1356350"/>
    <s v="0.011"/>
    <s v="16.107503570710655"/>
    <s v="0.011"/>
  </r>
  <r>
    <x v="4302"/>
    <x v="4834"/>
    <x v="0"/>
    <n v="0"/>
    <s v="LINESTRING (10.733042602115024 59.62052066137234, 10.733099550704715 59.620589337746914, 10.735136719573253 59.623310564478764, 10.73619607122764 59.62446969110318, 10.736216330581776 59.62454640519043)"/>
    <s v="[1508133, 1498363, 1498365, 1498370]"/>
    <s v="[1356228, 1356229, 1356231, 1356237]"/>
    <s v="0.020477949545114008"/>
    <s v="[1361411, 1356228, 1356229, 1356231]"/>
    <s v="[0.026, 0.017, 0.031, 0.018]"/>
    <s v="512.5920779460836"/>
    <s v="[-0.026, 0.017, 0.031, 0.018]"/>
  </r>
  <r>
    <x v="4303"/>
    <x v="4835"/>
    <x v="0"/>
    <n v="0"/>
    <s v="LINESTRING (10.732768350725902 59.62464020778161, 10.732628122630341 59.62458842735521, 10.732595711937119 59.624519391100876, 10.732646060045541 59.62445287363881, 10.73272526755559 59.62442047761782)"/>
    <s v="[1500937, 1500947, 1500981, 1501011]"/>
    <s v="[1357892, 1357897, 1357918, 1356315]"/>
    <s v="0.018861281084433523"/>
    <s v="[1356298, 1357892, 1357897, 1357918]"/>
    <s v="[0.02, 0.036, 0.022, 0.011]"/>
    <s v="31.38928320098319"/>
    <s v="[0.02, 0.036, 0.022, -0.011]"/>
  </r>
  <r>
    <x v="4303"/>
    <x v="4836"/>
    <x v="0"/>
    <n v="0"/>
    <m/>
    <n v="1501057"/>
    <n v="1356298"/>
    <s v="0.024"/>
    <n v="1357949"/>
    <s v="0.024"/>
    <s v="14.885510562084573"/>
    <s v="0.024"/>
  </r>
  <r>
    <x v="4303"/>
    <x v="4837"/>
    <x v="0"/>
    <n v="0"/>
    <s v="LINESTRING (10.73557527277589 59.62844781258434, 10.735474999219365 59.628426561384494, 10.734201245347252 59.626253054535, 10.73393749498188 59.62590889477866, 10.733131849555491 59.62490905072801, 10.732960136857665 59.62478148482921, 10.732825846851606 59.62469177224617, 10.732768350725902 59.62464020778161)"/>
    <s v="[1508139, 1498377, 1498385, 1498386, 1498400, 1498431, 1498453]"/>
    <s v="[1356245, 1356246, 1356252, 1356253, 1356262, 1356282, 1356298]"/>
    <s v="0.012432038439295386"/>
    <s v="[1363807, 1356245, 1356246, 1356252, 1356253, 1356262, 1356282]"/>
    <s v="[0.059, 0.002, 0.023, 0.022, 0.062, 0.004, 0.015]"/>
    <s v="456.86749302412164"/>
    <s v="[0.059, 0.002, 0.023, 0.022, 0.062, 0.004, 0.015]"/>
  </r>
  <r>
    <x v="4304"/>
    <x v="4838"/>
    <x v="0"/>
    <s v="[1, 0]"/>
    <s v="LINESTRING (10.733740428721699 59.62455653378753, 10.734582049170301 59.624583068487695, 10.735347766247974 59.624606225073705)"/>
    <s v="[1498464, 1498467]"/>
    <s v="[1356306, 1356309]"/>
    <s v="0.0825809847081211"/>
    <s v="[1356305, 1356306]"/>
    <s v="[0.054, 0.114]"/>
    <s v="90.90056693319369"/>
    <s v="[0.054, 0.114]"/>
  </r>
  <r>
    <x v="4304"/>
    <x v="4839"/>
    <x v="0"/>
    <n v="0"/>
    <s v="LINESTRING (10.73298187227667 59.6244379265371, 10.733167579763467 59.62447462618585, 10.733740428721699 59.62455653378753)"/>
    <s v="[1508147, 1508148]"/>
    <s v="[1363816, 1356305]"/>
    <s v="#FIELD!"/>
    <s v="[1357942, 1363816]"/>
    <s v="[0.124, 0.095]"/>
    <s v="44.85258054874099"/>
    <s v="[-0.124, -0.095]"/>
  </r>
  <r>
    <x v="4304"/>
    <x v="4836"/>
    <x v="0"/>
    <n v="0"/>
    <s v="LINESTRING (10.733009834484418 59.62460204271424, 10.733125099107166 59.6245981217531, 10.733740428721699 59.62455653378753)"/>
    <s v="[1542004, 1542012]"/>
    <s v="[1393083, 1356305]"/>
    <s v="#FIELD!"/>
    <s v="[1357949, 1393083]"/>
    <s v="[0.121, 0.1]"/>
    <s v="41.5633921238733"/>
    <s v="[-0.121, -0.1]"/>
  </r>
  <r>
    <x v="4305"/>
    <x v="4840"/>
    <x v="0"/>
    <n v="0"/>
    <s v="LINESTRING (10.735347766247974 59.624606225073705, 10.735753816220718 59.62457036042136, 10.73588078610656 59.624560649959605)"/>
    <s v="[1508155, 1508156]"/>
    <s v="[1363824, 1357957]"/>
    <s v="0.008762463255903264"/>
    <s v="[1356309, 1363824]"/>
    <s v="[0.009, 0.008]"/>
    <s v="30.515202473756055"/>
    <s v="[0.009, 0.008]"/>
  </r>
  <r>
    <x v="4305"/>
    <x v="4832"/>
    <x v="0"/>
    <n v="0"/>
    <s v="LINESTRING (10.735347766247974 59.624606225073705, 10.735754042962773 59.624686831741954, 10.73587211253574 59.624698843597976)"/>
    <s v="[1542020, 1542028]"/>
    <s v="[1393093, 1357967]"/>
    <s v="0.014783698987986154"/>
    <s v="[1356309, 1393093]"/>
    <s v="[0.015, 0.014]"/>
    <s v="31.42802619316884"/>
    <s v="[0.015, 0.014]"/>
  </r>
  <r>
    <x v="4306"/>
    <x v="4839"/>
    <x v="0"/>
    <n v="0"/>
    <m/>
    <n v="1501026"/>
    <n v="1357942"/>
    <s v="#FIELD!"/>
    <n v="1356315"/>
    <s v="0.044"/>
    <s v="15.253638387621233"/>
    <s v="#FIELD!"/>
  </r>
  <r>
    <x v="4306"/>
    <x v="4841"/>
    <x v="0"/>
    <n v="0"/>
    <s v="LINESTRING (10.73272526755559 59.62442047761782, 10.732795323297719 59.624348065553924, 10.73303057699839 59.62268284108597, 10.732606901648914 59.620499259866506, 10.732651532358245 59.62044136820866)"/>
    <s v="[1498474, 1498475, 1498482, 1509087]"/>
    <s v="[1356316, 1356317, 1356322, 1364700]"/>
    <s v="#FIELD!"/>
    <s v="[1356315, 1356316, 1356317, 1356322]"/>
    <s v="[0.0, 0.03, 0.002, 0.032]"/>
    <s v="449.93760483490854"/>
    <s v="[-0.0, -0.03, -0.002, -0.032]"/>
  </r>
  <r>
    <x v="4307"/>
    <x v="4842"/>
    <x v="0"/>
    <n v="0"/>
    <s v="LINESTRING (10.735946528147759 59.624532219360226, 10.735943763095051 59.62448423806598, 10.734220907126963 59.624747090271, 10.73488914748858 59.626425101342946, 10.734868824034075 59.62653198295502)"/>
    <s v="[1498526, 1498534, 1498542, 1509088]"/>
    <s v="[1356351, 1356360, 1356366, 1361508]"/>
    <s v="#FIELD!"/>
    <s v="[1356350, 1356351, 1356360, 1356366]"/>
    <s v="[0.016, 0.027, 0.003, 0.016]"/>
    <s v="491.28163536324087"/>
    <s v="[-0.016, -0.027, 0.003, -0.016]"/>
  </r>
  <r>
    <x v="4307"/>
    <x v="4840"/>
    <x v="0"/>
    <n v="0"/>
    <m/>
    <n v="1501064"/>
    <n v="1356350"/>
    <s v="#FIELD!"/>
    <n v="1357957"/>
    <s v="0.002"/>
    <s v="4.879549159761914"/>
    <s v="#FIELD!"/>
  </r>
  <r>
    <x v="4308"/>
    <x v="4843"/>
    <x v="0"/>
    <n v="0"/>
    <s v="LINESTRING (10.737895346374891 59.704176963930095, 10.737984874469785 59.70423966222881, 10.739376273487744 59.706686452681375, 10.739508037330864 59.70675881306515)"/>
    <s v="[1498695, 1498703, 1498711]"/>
    <s v="[1356472, 1356476, 1356486]"/>
    <s v="#FIELD!"/>
    <s v="[1356471, 1356472, 1356476]"/>
    <s v="[0.008, 0.008, 0.146]"/>
    <s v="319.8495544959009"/>
    <s v="[-0.008, -0.008, 0.146]"/>
  </r>
  <r>
    <x v="4308"/>
    <x v="4844"/>
    <x v="435"/>
    <s v="[0, 0, 0, 0, 0, 0, 0, 0, 0, 1, 0]"/>
    <s v="LINESTRING (10.735651479613708 59.688670661489226, 10.735646151882758 59.68867758273318, 10.73507597927947 59.68941887975285, 10.735069564347727 59.689427213292525, 10.734266645889985 59.69056828433977, 10.733827476137428 59.69150510906872, 10.733753870725142 59.69170170426329, 10.733518781394043 59.693030890452526, 10.733524892284592 59.69308610206852, 10.73737651485225 59.70149516063212, 10.737435526906259 59.701734843858205, 10.737895346374891 59.704176963930095)"/>
    <s v="[1505859, 1505867, 1505898, 1505913, 1505921, 1505922, 1505933, 1505934, 1505059, 1505074, 1505076]"/>
    <s v="[1361794, 1361801, 1361827, 1361843, 1361850, 1361851, 1361863, 1361011, 1361012, 1361027, 1356471]"/>
    <s v="#FIELD!"/>
    <s v="[1361793, 1361794, 1361801, 1361827, 1361843, 1361850, 1361851, 1361863, 1361011, 1361012, 1361027]"/>
    <s v="[0.076, 0.016, 0.043, 0.014, 0.036, 0.021, 0.011, 0.015, 0.009, 0.041, 0.046]"/>
    <s v="1780.1033253217838"/>
    <s v="[-0.076, -0.016, -0.043, -0.014, -0.036, -0.021, -0.011, -0.015, 0.009, -0.041, -0.046]"/>
  </r>
  <r>
    <x v="4309"/>
    <x v="4845"/>
    <x v="0"/>
    <n v="0"/>
    <s v="LINESTRING (10.739508037330864 59.70675881306515, 10.73955892386428 59.70677845079423, 10.73961650564171 59.70681539070515, 10.739640653956053 59.70687732043263, 10.739562251846923 59.706961993559005, 10.739422774650766 59.706995226110735, 10.73930969411706 59.7069888530031, 10.739229021600957 59.706965549428986)"/>
    <s v="[1503935, 1503936, 1503900, 1503908, 1503909, 1503910, 1503911]"/>
    <s v="[1360053, 1360023, 1360024, 1360031, 1360032, 1360033, 1360034]"/>
    <s v="#FIELD!"/>
    <s v="[1356486, 1360053, 1360023, 1360024, 1360031, 1360032, 1360033]"/>
    <s v="[0.185, 0.215, 0.166, 0.018, 0.18, 0.268, 0.24]"/>
    <s v="46.833730794401134"/>
    <s v="[0.185, 0.215, 0.166, 0.018, -0.18, -0.268, -0.24]"/>
  </r>
  <r>
    <x v="4309"/>
    <x v="974"/>
    <x v="0"/>
    <n v="0"/>
    <m/>
    <n v="1503934"/>
    <n v="1356486"/>
    <s v="0.116"/>
    <n v="1356545"/>
    <s v="0.116"/>
    <s v="22.701112151859448"/>
    <s v="0.116"/>
  </r>
  <r>
    <x v="4310"/>
    <x v="4846"/>
    <x v="0"/>
    <n v="0"/>
    <s v="LINESTRING (10.73667312224467 59.70998645188623, 10.737532326519773 59.70603547538141, 10.737542073073161 59.70594497409069)"/>
    <s v="[1498882, 1498887]"/>
    <s v="[1356597, 1356527]"/>
    <s v="0.022688652102626508"/>
    <s v="[1356596, 1356597]"/>
    <s v="[0.023, 0.009]"/>
    <s v="454.176603442352"/>
    <s v="[0.023, 0.009]"/>
  </r>
  <r>
    <x v="4311"/>
    <x v="4600"/>
    <x v="0"/>
    <n v="0"/>
    <m/>
    <n v="1503933"/>
    <n v="1356545"/>
    <s v="0.016"/>
    <n v="1360052"/>
    <s v="0.016"/>
    <s v="3.4713109909911206"/>
    <s v="0.016"/>
  </r>
  <r>
    <x v="4312"/>
    <x v="4847"/>
    <x v="0"/>
    <n v="0"/>
    <s v="LINESTRING (10.73657661843071 59.71021182465041, 10.73657661843071 59.71021182465041, 10.736611418054435 59.71013550913991, 10.73667312224467 59.70998645188623)"/>
    <s v="[1811038, 1811030, 1811037]"/>
    <s v="[1594789, 1594790, 1356596]"/>
    <s v="#FIELD!"/>
    <s v="[523317, 1594789, 1594790]"/>
    <s v="[0.0, 0.087, 0.344]"/>
    <s v="33.57560448679844"/>
    <s v="[0.0, 0.087, -0.344]"/>
  </r>
  <r>
    <x v="4312"/>
    <x v="4848"/>
    <x v="0"/>
    <n v="0"/>
    <s v="LINESTRING (10.736853214517655 59.710078774965, 10.736853214517655 59.710078774965, 10.736813771749459 59.71008215904025, 10.73676699281108 59.710059030169866, 10.736713771609555 59.710017878798965, 10.73667312224467 59.70998645188623)"/>
    <s v="[1811063, 1811064, 1811045, 1811046, 1811053]"/>
    <s v="[523348, 1594800, 1594801, 1594802, 1356596]"/>
    <s v="#FIELD!"/>
    <s v="[1372311, 523348, 1594800, 1594801, 1594802]"/>
    <s v="[0.0, 0.177, 0.079, 0.066, 1.807]"/>
    <s v="22.79186584008655"/>
    <s v="[0.0, -0.177, -0.079, -0.066, -1.807]"/>
  </r>
  <r>
    <x v="4313"/>
    <x v="3972"/>
    <x v="0"/>
    <n v="0"/>
    <s v="LINESTRING (10.780572587052491 59.739949849286916, 10.780623200025328 59.7399298974306, 10.780811963863595 59.739916187636005, 10.780925773945093 59.73994592407279, 10.78098489266442 59.739985590445436)"/>
    <s v="[1536450, 1536378, 1536386, 1536394]"/>
    <s v="[525957, 1388446, 479222, 1356641]"/>
    <s v="0.0062878935188428325"/>
    <s v="[1356628, 525957, 1388446, 479222]"/>
    <s v="[0.055, 0.022, 0.011, 0.034]"/>
    <s v="27.269585913342407"/>
    <s v="[0.055, 0.022, -0.011, -0.034]"/>
  </r>
  <r>
    <x v="4313"/>
    <x v="4849"/>
    <x v="0"/>
    <n v="0"/>
    <m/>
    <n v="1536442"/>
    <n v="1356628"/>
    <s v="0.069"/>
    <n v="1356654"/>
    <s v="0.069"/>
    <s v="14.590403686629593"/>
    <s v="0.069"/>
  </r>
  <r>
    <x v="4314"/>
    <x v="3976"/>
    <x v="0"/>
    <n v="0"/>
    <m/>
    <n v="1536402"/>
    <n v="1356715"/>
    <s v="#FIELD!"/>
    <n v="1356641"/>
    <s v="0.052"/>
    <s v="23.930987157343544"/>
    <s v="#FIELD!"/>
  </r>
  <r>
    <x v="4315"/>
    <x v="3966"/>
    <x v="0"/>
    <n v="0"/>
    <s v="LINESTRING (10.780500215635168 59.74007160585892, 10.780400845861102 59.74006914663819, 10.781031494308515 59.74177646918375, 10.781040942007147 59.74178403828411, 10.781744094895801 59.74256542800936, 10.781784931773302 59.74258202694406)"/>
    <s v="[1498986, 1498996, 1499005, 1499024, 1499035]"/>
    <s v="[1356655, 1356664, 1356669, 1356679, 1356687]"/>
    <s v="#FIELD!"/>
    <s v="[1356654, 1356655, 1356664, 1356669, 1356679]"/>
    <s v="[0.026, 0.03, 0.01, 0.02, 0.04]"/>
    <s v="362.0147275180142"/>
    <s v="[-0.026, -0.03, 0.01, -0.02, -0.04]"/>
  </r>
  <r>
    <x v="4315"/>
    <x v="4850"/>
    <x v="0"/>
    <n v="0"/>
    <m/>
    <n v="1536434"/>
    <n v="1356654"/>
    <s v="0.06"/>
    <n v="1388481"/>
    <s v="0.06"/>
    <s v="5.458937625407602"/>
    <s v="0.06"/>
  </r>
  <r>
    <x v="4316"/>
    <x v="4851"/>
    <x v="0"/>
    <n v="0"/>
    <s v="LINESTRING (10.781254522645243 59.74321067682469, 10.78120933076168 59.74317494735517, 10.778816381938586 59.74167251308598, 10.778696236776259 59.7416617322366)"/>
    <s v="[1499060, 1499065, 1499066]"/>
    <s v="[1356701, 1356705, 1356706]"/>
    <s v="0.021754154920522722"/>
    <s v="[1356700, 1356701, 1356705]"/>
    <s v="[0.082, 0.021, 0.006]"/>
    <s v="245.56771244658756"/>
    <s v="[0.082, 0.021, 0.006]"/>
  </r>
  <r>
    <x v="4317"/>
    <x v="4852"/>
    <x v="0"/>
    <n v="0"/>
    <s v="LINESTRING (10.778696236776259 59.7416617322366, 10.778579940713264 59.74169395630523, 10.778425363131241 59.74169078002666, 10.77831422859822 59.74165393429124, 10.778257325288878 59.74152621986353, 10.778325225113228 59.7414681610896, 10.778408907409293 59.741440282647055, 10.778474360044928 59.74142980077586)"/>
    <s v="[1533722, 1533730, 1533738, 1533658, 1533666, 1533674, 1533682]"/>
    <s v="[1372068, 1386261, 523040, 523107, 1386207, 1372082, 1386221]"/>
    <s v="#FIELD!"/>
    <s v="[1356706, 1372068, 1386261, 523040, 523107, 1386207, 1372082]"/>
    <s v="[0.087, 0.029, 0.061, 0.07, 0.069, 0.048, 0.036]"/>
    <s v="55.695448952351654"/>
    <s v="[0.087, 0.029, -0.061, -0.07, -0.069, -0.048, -0.036]"/>
  </r>
  <r>
    <x v="4317"/>
    <x v="976"/>
    <x v="0"/>
    <n v="0"/>
    <m/>
    <n v="1533714"/>
    <n v="1356706"/>
    <s v="0.092"/>
    <n v="1356730"/>
    <s v="0.092"/>
    <s v="15.106585385114986"/>
    <s v="0.092"/>
  </r>
  <r>
    <x v="4318"/>
    <x v="4853"/>
    <x v="0"/>
    <n v="0"/>
    <m/>
    <n v="1536410"/>
    <n v="1364787"/>
    <s v="#FIELD!"/>
    <n v="1356715"/>
    <s v="0.05"/>
    <s v="3.544009029356207"/>
    <s v="#FIELD!"/>
  </r>
  <r>
    <x v="4319"/>
    <x v="4854"/>
    <x v="0"/>
    <n v="1"/>
    <m/>
    <n v="1499100"/>
    <n v="1356721"/>
    <s v="#FIELD!"/>
    <n v="1356720"/>
    <s v="0.008"/>
    <s v="126.73388435275437"/>
    <s v="#FIELD!"/>
  </r>
  <r>
    <x v="4319"/>
    <x v="4853"/>
    <x v="0"/>
    <n v="0"/>
    <s v="LINESTRING (10.780785068146463 59.740171584106335, 10.78070593942527 59.740229894255975, 10.780433617746654 59.74037338085328)"/>
    <s v="[1509184, 1509192]"/>
    <s v="[1364788, 1356720]"/>
    <s v="#FIELD!"/>
    <s v="[1364787, 1364788]"/>
    <s v="[0.074, 0.081]"/>
    <s v="30.94547179843521"/>
    <s v="[-0.074, -0.081]"/>
  </r>
  <r>
    <x v="4319"/>
    <x v="4850"/>
    <x v="0"/>
    <n v="0"/>
    <s v="LINESTRING (10.780540914998081 59.74011607490991, 10.780501175821668 59.74019592813211, 10.780433617746654 59.74037338085328)"/>
    <s v="[1542068, 1542076]"/>
    <s v="[1393136, 1356720]"/>
    <s v="#FIELD!"/>
    <s v="[1388481, 1393136]"/>
    <s v="[0.076, 0.083]"/>
    <s v="29.31253226526606"/>
    <s v="[-0.076, -0.083]"/>
  </r>
  <r>
    <x v="4320"/>
    <x v="4855"/>
    <x v="0"/>
    <n v="0"/>
    <s v="LINESTRING (10.77893420392169 59.741216211047806, 10.77879347333662 59.7414217452229, 10.778753513969834 59.741504423312065)"/>
    <s v="[1509222, 1509223]"/>
    <s v="[1364821, 1364822]"/>
    <s v="0.053444360195719735"/>
    <s v="[1356721, 1364821]"/>
    <s v="[0.054, 0.052]"/>
    <s v="34.13677475018605"/>
    <s v="[0.054, 0.052]"/>
  </r>
  <r>
    <x v="4320"/>
    <x v="4852"/>
    <x v="0"/>
    <n v="0"/>
    <s v="LINESTRING (10.77893420392169 59.741216211047806, 10.778612215804886 59.74137933423177, 10.778474360044928 59.74142980077586)"/>
    <s v="[1542084, 1542092]"/>
    <s v="[1393150, 1386221]"/>
    <s v="0.05264593667116134"/>
    <s v="[1356721, 1393150]"/>
    <s v="[0.054, 0.049]"/>
    <s v="35.37230837872164"/>
    <s v="[0.054, 0.049]"/>
  </r>
  <r>
    <x v="4321"/>
    <x v="4855"/>
    <x v="0"/>
    <n v="0"/>
    <m/>
    <n v="1533706"/>
    <n v="1356730"/>
    <s v="0.05"/>
    <n v="1364822"/>
    <s v="0.05"/>
    <s v="3.7696153650028"/>
    <s v="0.05"/>
  </r>
  <r>
    <x v="4322"/>
    <x v="1767"/>
    <x v="0"/>
    <n v="0"/>
    <m/>
    <n v="1536490"/>
    <n v="1356754"/>
    <s v="0.02"/>
    <n v="1356762"/>
    <s v="0.02"/>
    <s v="10.78850047758472"/>
    <s v="0.02"/>
  </r>
  <r>
    <x v="4323"/>
    <x v="3961"/>
    <x v="0"/>
    <n v="0"/>
    <s v="LINESTRING (10.782694869184398 59.756693775487754, 10.7828030612653 59.75667361381999, 10.782797795888815 59.75554543777412, 10.782694139303914 59.75556188773485)"/>
    <s v="[1499183, 1499200, 1499209]"/>
    <s v="[1356763, 1356773, 1356777]"/>
    <s v="0.014066416871784556"/>
    <s v="[1356762, 1356763, 1356773]"/>
    <s v="[0.012, 0.019, 0.164]"/>
    <s v="235.83108373291083"/>
    <s v="[0.012, 0.019, -0.164]"/>
  </r>
  <r>
    <x v="4324"/>
    <x v="2864"/>
    <x v="0"/>
    <s v="[1, 0, 0, 1, 0, 1, 0, 0, 0, 0, 0, 0, 0, 0, 0, 0, 0, 0, 0, 0, 0, 0, 0, 1, 0, 0, 0, 0, 0]"/>
    <s v="LINESTRING (10.782694139303914 59.75556188773485, 10.78129235164628 59.75645623394833, 10.77772977406802 59.75780601389622, 10.777173646617348 59.75808738676338, 10.776407410279896 59.758572606159575, 10.775606419227357 59.75928408357685, 10.775130208974762 59.75995229770965, 10.774959956126072 59.760349480424075, 10.7748459128952 59.760856147900355, 10.774845386858962 59.76086509564359, 10.771541436310267 59.77327544808322, 10.7612880383123 59.78736842350684, 10.76128649870796 59.78737731156788, 10.761233873473731 59.78767060383523, 10.761180616202271 59.78800423950631, 10.76095196598908 59.78936545075618, 10.760712951930302 59.79081688285229, 10.760489578553509 59.79217764378564, 10.760213566365795 59.79383807141985, 10.760011133449694 59.795057762775436, 10.760009657309777 59.79506670683111, 10.759877873385392 59.79589186576163, 10.75987632722236 59.795900798564105, 10.772779149384943 59.81106239444477, 10.773646421885095 59.812075712238105, 10.775072174291434 59.819231627630124, 10.775124825929444 59.819423853175515, 10.775458355900675 59.8205742295537, 10.775460061320688 59.82057993112454, 10.775819887361338 59.82187614124549)"/>
    <s v="[1840685, 1840693, 1840701, 1840709, 1840717, 1840725, 1840733, 1840797, 1840805, 1840813, 1840821, 1840829, 1840837, 1840845, 1840853, 1840861, 1840869, 1840877, 1840885, 1840893, 1840901, 1840909, 1840917, 1840925, 1840933, 1840941, 1840949, 1840957, 1840965]"/>
    <s v="[1613286, 1613292, 1613295, 1613304, 1613310, 1613316, 1613324, 1613376, 1613382, 1613388, 1613394, 1613403, 1613155, 1613413, 1613418, 1613151, 1613429, 1613433, 1613440, 1613447, 1613453, 1613461, 1613469, 1613477, 1613482, 1613488, 1613494, 1613498, 1401200]"/>
    <s v="0.0019093613049891104"/>
    <s v="[1356777, 1613286, 1613292, 1613295, 1613304, 1613310, 1613316, 1613324, 1613376, 1613382, 1613388, 1613394, 1613403, 1613155, 1613413, 1613418, 1613151, 1613429, 1613433, 1613440, 1613447, 1613453, 1613461, 1613469, 1613477, 1613482, 1613488, 1613494, 1613498]"/>
    <s v="[0.116, 0.022, 0.027, 0.027, 0.032, 0.042, 0.01, 0.053, 0.045, 0.021, 0.001, 0.013, 0.008, 0.036, 0.036, 0.033, 0.03, 0.007, 0.019, 0.024, 0.018, 0.024, 0.025, 0.029, 0.006, 0.022, 0.02, 0.003, 0.073]"/>
    <s v="7959.574388331414"/>
    <s v="[0.116, 0.022, -0.027, -0.027, -0.032, -0.042, 0.01, 0.053, 0.045, 0.021, -0.001, -0.013, 0.008, 0.036, 0.036, 0.033, 0.03, 0.007, -0.019, -0.024, -0.018, -0.024, -0.025, 0.029, -0.006, -0.022, -0.02, 0.003, 0.073]"/>
  </r>
  <r>
    <x v="4324"/>
    <x v="2349"/>
    <x v="0"/>
    <s v="[1, 0]"/>
    <s v="LINESTRING (10.782694139303914 59.75556188773485, 10.781180829687305 59.75640822073429, 10.77765173467058 59.7577579061423)"/>
    <s v="[1840741, 1840749]"/>
    <s v="[1613331, 1613340]"/>
    <s v="0.0559396530080966"/>
    <s v="[1356777, 1613331]"/>
    <s v="[0.122, 0.022]"/>
    <s v="377.1402287374902"/>
    <s v="[0.122, 0.022]"/>
  </r>
  <r>
    <x v="4325"/>
    <x v="4856"/>
    <x v="0"/>
    <n v="0"/>
    <s v="LINESTRING (10.843944133276366 59.79573789089901, 10.842680858312418 59.79669545739568, 10.842668003721945 59.796701677014426, 10.841024437405254 59.797207301875765)"/>
    <s v="[1499410, 1499412, 1499418]"/>
    <s v="[1356896, 1356897, 1356899]"/>
    <s v="#FIELD!"/>
    <s v="[1356889, 1356896, 1356897]"/>
    <s v="[0.003, 0.027, 0.051]"/>
    <s v="238.91141855845572"/>
    <s v="[-0.003, -0.027, -0.051]"/>
  </r>
  <r>
    <x v="4325"/>
    <x v="2870"/>
    <x v="0"/>
    <s v="[0, 0, 1, 0, 0]"/>
    <s v="LINESTRING (10.843944133276366 59.79573789089901, 10.843943300088798 59.795691173023656, 10.842881790818197 59.796429715976366, 10.84303785247668 59.797060284749996, 10.843175685539396 59.797813087599195, 10.843111761633104 59.79789648108205)"/>
    <s v="[1499449, 1499457, 1499465, 1499474, 1509289]"/>
    <s v="[1356912, 1356915, 1356919, 1356923, 1362133]"/>
    <s v="0.007703043195751789"/>
    <s v="[1356889, 1356912, 1356915, 1356919, 1356923]"/>
    <s v="[0.025, 0.001, 0.01, 0.027, 0.118]"/>
    <s v="575.559613549644"/>
    <s v="[-0.025, 0.001, 0.01, 0.027, 0.118]"/>
  </r>
  <r>
    <x v="4325"/>
    <x v="4857"/>
    <x v="0"/>
    <n v="0"/>
    <s v="LINESTRING (10.840734560389405 59.79180606379897, 10.840863234016073 59.79187577557459, 10.843944133276366 59.79573789089901)"/>
    <s v="[1509247, 1499402]"/>
    <s v="[1356888, 1356889]"/>
    <s v="#FIELD!"/>
    <s v="[1362060, 1356888]"/>
    <s v="[0.02, 0.013]"/>
    <s v="520.7453275629816"/>
    <s v="[0.02, -0.013]"/>
  </r>
  <r>
    <x v="4326"/>
    <x v="4858"/>
    <x v="0"/>
    <n v="0"/>
    <s v="LINESTRING (10.841024437405254 59.797207301875765, 10.840661343571972 59.79732887328278, 10.84058856810716 59.79735444126324)"/>
    <s v="[1509255, 1509267]"/>
    <s v="[1364854, 1357999]"/>
    <s v="#FIELD!"/>
    <s v="[1356899, 1364854]"/>
    <s v="[0.04, 0.009]"/>
    <s v="29.46236780659344"/>
    <s v="[-0.04, -0.009]"/>
  </r>
  <r>
    <x v="4326"/>
    <x v="4859"/>
    <x v="0"/>
    <n v="0"/>
    <s v="LINESTRING (10.841024437405254 59.797207301875765, 10.84065597979802 59.79721451443883, 10.840566670869812 59.79721528236663)"/>
    <s v="[1542108, 1542116]"/>
    <s v="[1393168, 1358019]"/>
    <s v="#FIELD!"/>
    <s v="[1356899, 1393168]"/>
    <s v="[0.045, 0.053]"/>
    <s v="25.722736662087918"/>
    <s v="[-0.045, 0.053]"/>
  </r>
  <r>
    <x v="4327"/>
    <x v="4860"/>
    <x v="0"/>
    <n v="0"/>
    <m/>
    <n v="1501201"/>
    <n v="1356936"/>
    <s v="0.032"/>
    <n v="1356908"/>
    <s v="0.032"/>
    <s v="15.977445713849477"/>
    <s v="0.032"/>
  </r>
  <r>
    <x v="4327"/>
    <x v="4861"/>
    <x v="0"/>
    <n v="0"/>
    <s v="LINESTRING (10.840185031090336 59.797170825921455, 10.84018528499437 59.797125877664406, 10.840521519589604 59.79571914551736, 10.840460597942709 59.79205353800509, 10.840475889287028 59.791977695556206)"/>
    <s v="[1499445, 1499446, 1499447, 1509274]"/>
    <s v="[1356909, 1356910, 1356911, 1364868]"/>
    <s v="0.022981177134106932"/>
    <s v="[1356908, 1356909, 1356910, 1356911]"/>
    <s v="[0.009, 0.019, 0.024, 0.057]"/>
    <s v="612.5520890095194"/>
    <s v="[0.009, 0.019, 0.024, 0.057]"/>
  </r>
  <r>
    <x v="4327"/>
    <x v="4858"/>
    <x v="0"/>
    <n v="0"/>
    <s v="LINESTRING (10.84058856810716 59.79735444126324, 10.840524221951643 59.79739825869774, 10.840428031415305 59.79742873149239, 10.840328358833684 59.79743791052459, 10.840075704788314 59.797360675054364, 10.840044750431844 59.797308444361185, 10.840055007916261 59.79725482171438, 10.840185031090336 59.797170825921455)"/>
    <s v="[1501148, 1501149, 1501151, 1501166, 1501167, 1501181, 1501189]"/>
    <s v="[1310803, 1358000, 1310795, 1358006, 1358007, 1358009, 1356908]"/>
    <s v="#FIELD!"/>
    <s v="[1357999, 1310803, 1358000, 1310795, 1358006, 1358007, 1358009]"/>
    <s v="[0.023, 0.018, 0.012, 0.016, 0.019, 0.058, 0.096]"/>
    <s v="59.55852566094703"/>
    <s v="[-0.023, -0.018, -0.012, 0.016, 0.019, 0.058, -0.096]"/>
  </r>
  <r>
    <x v="4328"/>
    <x v="4859"/>
    <x v="0"/>
    <n v="0"/>
    <m/>
    <n v="1501202"/>
    <n v="1358019"/>
    <s v="0.07"/>
    <n v="1356936"/>
    <s v="0.07"/>
    <s v="8.043009387075632"/>
    <s v="0.07"/>
  </r>
  <r>
    <x v="4328"/>
    <x v="4862"/>
    <x v="0"/>
    <s v="[0, 0, 1, 0, 0]"/>
    <s v="LINESTRING (10.842789204195494 59.797678573254245, 10.842706834294997 59.79759504461163, 10.842568185658227 59.79710549687969, 10.842389608351255 59.79647498780121, 10.84042799461165 59.79712547316209, 10.840460289875498 59.79716695671709)"/>
    <s v="[1509297, 1499477, 1499485, 1499493, 1499494]"/>
    <s v="[1356925, 1356926, 1356931, 1356935, 1356936]"/>
    <s v="#FIELD!"/>
    <s v="[1364887, 1356925, 1356926, 1356931, 1356935]"/>
    <s v="[0.046, 0.041, 0.001, 0.021, 0.002]"/>
    <s v="448.47635556950365"/>
    <s v="[-0.046, -0.041, 0.001, -0.021, -0.002]"/>
  </r>
  <r>
    <x v="4329"/>
    <x v="4863"/>
    <x v="0"/>
    <n v="0"/>
    <s v="LINESTRING (10.99644125614308 59.978346842262404, 10.996843402672631 59.97862606589351, 10.996954715745535 59.978699480276106)"/>
    <s v="[1499506, 1499513]"/>
    <s v="[1356941, 1356946]"/>
    <s v="0.0003701401566744856"/>
    <s v="[1356940, 1356941]"/>
    <s v="[0.001, 0.002]"/>
    <s v="48.93910557754981"/>
    <s v="[0.001, -0.002]"/>
  </r>
  <r>
    <x v="4329"/>
    <x v="4864"/>
    <x v="0"/>
    <n v="0"/>
    <s v="LINESTRING (10.99644125614308 59.978346842262404, 10.996664812092305 59.97842764845173, 10.997710352196242 59.97862182317358, 10.997894914981655 59.978631831748245)"/>
    <s v="[1499514, 1499529, 1509313]"/>
    <s v="[1356947, 1356957, 1364901]"/>
    <s v="#FIELD!"/>
    <s v="[1356940, 1356947, 1356957]"/>
    <s v="[0.006, 0.013, 0.017]"/>
    <s v="90.35849813715883"/>
    <s v="[-0.006, -0.013, -0.017]"/>
  </r>
  <r>
    <x v="4329"/>
    <x v="2859"/>
    <x v="0"/>
    <n v="0"/>
    <s v="LINESTRING (10.991632186071147 59.97491514310205, 10.991775722670813 59.97501540733381, 10.992815985792408 59.9767668056168, 10.995007786805628 59.978070576820585, 10.99644125614308 59.978346842262404)"/>
    <s v="[1509305, 1499498, 1499504, 1499505]"/>
    <s v="[1356937, 1356938, 1356939, 1356940]"/>
    <s v="0.00029063937478150805"/>
    <s v="[1362327, 1356937, 1356938, 1356939]"/>
    <s v="[0.103, 0.003, 0.003, 0.018]"/>
    <s v="506.1680227692716"/>
    <s v="[-0.103, -0.003, 0.003, 0.018]"/>
  </r>
  <r>
    <x v="4330"/>
    <x v="4865"/>
    <x v="0"/>
    <n v="0"/>
    <m/>
    <n v="1503054"/>
    <n v="1359360"/>
    <s v="#FIELD!"/>
    <n v="1356946"/>
    <s v="0.01"/>
    <s v="3.757658845420965"/>
    <s v="#FIELD!"/>
  </r>
  <r>
    <x v="4330"/>
    <x v="4866"/>
    <x v="0"/>
    <n v="0"/>
    <m/>
    <n v="1503049"/>
    <n v="1356946"/>
    <s v="#FIELD!"/>
    <n v="1356979"/>
    <s v="0.021"/>
    <s v="20.51934903447478"/>
    <s v="#FIELD!"/>
  </r>
  <r>
    <x v="4331"/>
    <x v="4867"/>
    <x v="0"/>
    <n v="0"/>
    <m/>
    <n v="1503567"/>
    <n v="1357022"/>
    <s v="0.012"/>
    <n v="1356960"/>
    <s v="0.012"/>
    <s v="24.474611924715383"/>
    <s v="0.012"/>
  </r>
  <r>
    <x v="4331"/>
    <x v="4868"/>
    <x v="0"/>
    <n v="0"/>
    <s v="LINESTRING (10.99286018547032 59.9802174246724, 10.992934611207007 59.98029069220529, 10.994423950341913 59.979537779346465, 10.994280000185626 59.979349671034186, 10.993846287875403 59.978804518562356, 10.99386349590555 59.97872071270173)"/>
    <s v="[1499537, 1499538, 1499552, 1499563, 1509321]"/>
    <s v="[1356961, 1356962, 1356969, 1356975, 1364909]"/>
    <s v="#FIELD!"/>
    <s v="[1356960, 1356961, 1356962, 1356969, 1356975]"/>
    <s v="[0.005, 0.028, 0.016, 0.004, 0.029]"/>
    <s v="298.2837552814267"/>
    <s v="[-0.005, -0.028, 0.016, -0.004, -0.029]"/>
  </r>
  <r>
    <x v="4331"/>
    <x v="4869"/>
    <x v="0"/>
    <n v="0"/>
    <m/>
    <n v="1503566"/>
    <n v="1356960"/>
    <s v="0.137"/>
    <n v="1359757"/>
    <s v="0.137"/>
    <s v="3.7805951912340627"/>
    <s v="0.137"/>
  </r>
  <r>
    <x v="4332"/>
    <x v="4870"/>
    <x v="0"/>
    <n v="0"/>
    <s v="LINESTRING (10.996629307965458 59.97875288982154, 10.996584507697266 59.978688264789994, 10.994722016223989 59.97921430358629, 10.99485361717612 59.97940515580914, 10.994859340167487 59.979413456891976, 10.996219295210551 59.98074254255561, 10.996215759036813 59.98079833662217)"/>
    <s v="[1499569, 1499573, 1499584, 1499585, 1499593, 1509329]"/>
    <s v="[1356980, 1356982, 1356988, 1356989, 1356993, 1362403]"/>
    <s v="#FIELD!"/>
    <s v="[1356979, 1356980, 1356982, 1356988, 1356989, 1356993]"/>
    <s v="[0.009, 0.016, 0.001, 0.018, 0.011, 0.002]"/>
    <s v="434.34570538445263"/>
    <s v="[-0.009, -0.016, -0.001, 0.018, -0.011, -0.002]"/>
  </r>
  <r>
    <x v="4332"/>
    <x v="4871"/>
    <x v="0"/>
    <n v="0"/>
    <m/>
    <n v="1503041"/>
    <n v="1356979"/>
    <s v="#FIELD!"/>
    <n v="1359352"/>
    <s v="0.016"/>
    <s v="3.765912903915466"/>
    <s v="#FIELD!"/>
  </r>
  <r>
    <x v="4333"/>
    <x v="4872"/>
    <x v="0"/>
    <n v="0"/>
    <s v="LINESTRING (10.992557161509648 59.98034360706412, 10.992491440555721 59.98033522609472, 10.992393183295281 59.980301303514054, 10.99233322117694 59.98016769203334, 10.99245968416796 59.980090713882774)"/>
    <s v="[1503568, 1503576, 1503584, 1503552]"/>
    <s v="[1359760, 1359768, 1359747, 1359748]"/>
    <s v="#FIELD!"/>
    <s v="[1357022, 1359760, 1359768, 1359747]"/>
    <s v="[0.298, 0.005, 0.003, 0.01]"/>
    <s v="37.58421984481315"/>
    <s v="[-0.298, -0.005, -0.003, 0.01]"/>
  </r>
  <r>
    <x v="4333"/>
    <x v="4873"/>
    <x v="0"/>
    <n v="0"/>
    <s v="LINESTRING (10.997398840828819 59.98185155507381, 10.997277558816357 59.98184744121605, 10.993193275123264 59.980551936420945, 10.992698910779644 59.98039259773296, 10.992557161509648 59.98034360706412)"/>
    <s v="[1509337, 1499635, 1499643, 1499649]"/>
    <s v="[1357015, 1357016, 1357020, 1357022]"/>
    <s v="0.031437636179445574"/>
    <s v="[1364924, 1357015, 1357016, 1357020]"/>
    <s v="[0.113, 0.031, 0.025, 0.009]"/>
    <s v="338.47935009324743"/>
    <s v="[0.113, 0.031, 0.025, 0.009]"/>
  </r>
  <r>
    <x v="4334"/>
    <x v="4874"/>
    <x v="0"/>
    <n v="0"/>
    <s v="LINESTRING (11.042615024520467 59.997293752426636, 11.042655007401937 59.9973016048158, 11.04273764216041 59.99735396994618, 11.042728012406398 59.99741302396426, 11.042673990643584 59.99744601442486)"/>
    <s v="[1531538, 1531546, 1531554, 1531498]"/>
    <s v="[1371040, 1384466, 1365500, 1365501]"/>
    <s v="0.007845488088848978"/>
    <s v="[1357034, 1371040, 1384466, 1365500]"/>
    <s v="[0.065, 0.04, 0.02, 0.037]"/>
    <s v="21.192254418370553"/>
    <s v="[0.065, -0.04, 0.02, 0.037]"/>
  </r>
  <r>
    <x v="4334"/>
    <x v="4875"/>
    <x v="0"/>
    <n v="0"/>
    <m/>
    <n v="1531530"/>
    <n v="1357034"/>
    <s v="#FIELD!"/>
    <n v="1357077"/>
    <s v="0.008"/>
    <s v="16.26208654638385"/>
    <s v="#FIELD!"/>
  </r>
  <r>
    <x v="4334"/>
    <x v="4876"/>
    <x v="0"/>
    <n v="0"/>
    <s v="LINESTRING (11.0355676620673 59.995250187553346, 11.035706152646164 59.99528920524413, 11.04242184652381 59.99722743476878, 11.042615024520467 59.997293752426636)"/>
    <s v="[1509419, 1499657, 1499665]"/>
    <s v="[1357028, 1357029, 1357034]"/>
    <s v="0.02936307870218244"/>
    <s v="[1362632, 1357028, 1357029]"/>
    <s v="[0.079, 0.029, 0.008]"/>
    <s v="465.33977428427085"/>
    <s v="[0.079, 0.029, 0.008]"/>
  </r>
  <r>
    <x v="4335"/>
    <x v="4877"/>
    <x v="0"/>
    <n v="0"/>
    <m/>
    <n v="1531618"/>
    <n v="1357107"/>
    <s v="#FIELD!"/>
    <n v="1357040"/>
    <s v="0.011"/>
    <s v="11.423282339755824"/>
    <s v="#FIELD!"/>
  </r>
  <r>
    <x v="4335"/>
    <x v="4878"/>
    <x v="0"/>
    <n v="0"/>
    <s v="LINESTRING (11.039379055625513 59.99940842186247, 11.039258382199613 59.99937048296461, 11.039106610089389 59.999281958101314, 11.038876965141423 59.99841994840243, 11.038499983131995 59.99759983782089, 11.038301040932701 59.99733573116995, 11.034609486395945 59.994859080027666, 11.034606056557362 59.99479784459259)"/>
    <s v="[1499673, 1499688, 1499700, 1499712, 1499713, 1499722, 1509427]"/>
    <s v="[1357041, 1357048, 1357057, 1357066, 1357067, 1357072, 1365009]"/>
    <s v="#FIELD!"/>
    <s v="[1357040, 1357041, 1357048, 1357057, 1357066, 1357067, 1357072]"/>
    <s v="[0.017, 0.038, 0.043, 0.04, 0.033, 0.047, 0.048]"/>
    <s v="596.2627096439096"/>
    <s v="[-0.017, -0.038, -0.043, -0.04, -0.033, -0.047, -0.048]"/>
  </r>
  <r>
    <x v="4335"/>
    <x v="4879"/>
    <x v="0"/>
    <n v="0"/>
    <s v="LINESTRING (11.0398373792813 59.99940330599168, 11.039837490701585 59.999447360397134, 11.039807411706825 59.999488710252486, 11.039723676925444 59.999528448916514, 11.039639367421502 59.99954299823596, 11.039504297498874 59.99953175013773, 11.039389970235286 59.999467184734684, 11.039379055625513 59.99940842186247)"/>
    <s v="[1531562, 1531570, 1531578, 1531586, 1531594, 1531602, 1531610]"/>
    <s v="[1384484, 1384492, 1364417, 1365545, 1384517, 1371099, 1357040]"/>
    <s v="#FIELD!"/>
    <s v="[1365544, 1384484, 1384492, 1364417, 1365545, 1384517, 1371099]"/>
    <s v="[0.118, 0.016, 0.007, 0.025, 0.04, 0.043, 0.01]"/>
    <s v="45.063484027197916"/>
    <s v="[0.118, 0.016, -0.007, -0.025, -0.04, -0.043, 0.01]"/>
  </r>
  <r>
    <x v="4336"/>
    <x v="4880"/>
    <x v="0"/>
    <n v="0"/>
    <s v="LINESTRING (10.967556481034475 59.930020542359955, 10.967355267194067 59.92954119511936, 10.962967801561826 59.92891408935737, 10.9628193438873 59.92886818192605)"/>
    <s v="[1536266, 1536274, 1510061]"/>
    <s v="[1388353, 1365575, 1365576]"/>
    <s v="0.007132267824481958"/>
    <s v="[1357058, 1388353, 1365575]"/>
    <s v="[0.013, 0.011, 0.025]"/>
    <s v="322.9984576539108"/>
    <s v="[-0.013, 0.011, 0.025]"/>
  </r>
  <r>
    <x v="4336"/>
    <x v="2383"/>
    <x v="0"/>
    <n v="0"/>
    <s v="LINESTRING (10.971111150876336 59.930369995371386, 10.970946375066223 59.930355064790625, 10.96887876653448 59.92981349943282, 10.967719871034154 59.92990478549691, 10.967556481034475 59.930020542359955)"/>
    <s v="[1510085, 1499682, 1499689, 1499701]"/>
    <s v="[1357046, 1357047, 1357049, 1357058]"/>
    <s v="0.007115097167734392"/>
    <s v="[1365600, 1357046, 1357047, 1357049]"/>
    <s v="[0.007, 0.001, 0.01, 0.053]"/>
    <s v="226.7204517944988"/>
    <s v="[-0.007, 0.001, 0.01, 0.053]"/>
  </r>
  <r>
    <x v="4336"/>
    <x v="4881"/>
    <x v="0"/>
    <n v="0"/>
    <m/>
    <n v="1536258"/>
    <n v="1357058"/>
    <s v="#FIELD!"/>
    <n v="1368219"/>
    <s v="0.023"/>
    <s v="15.576752549104798"/>
    <s v="#FIELD!"/>
  </r>
  <r>
    <x v="4337"/>
    <x v="4882"/>
    <x v="0"/>
    <n v="0"/>
    <s v="LINESTRING (10.986439071723494 59.93431611453543, 10.986472936826813 59.934265281198115, 10.986515456007933 59.934239605853335, 10.986563922477076 59.93422400111297, 10.98660784368681 59.93421634916474, 10.986703304563587 59.93420959344788, 10.986811591344225 59.93422194638874, 10.986864981272944 59.934445347142756, 10.986777622703839 59.934471454368385, 10.986685508746588 59.934477637864724, 10.986478307600347 59.93442817021095)"/>
    <n v="1506425"/>
    <n v="1357064"/>
    <s v="0.005"/>
    <n v="1357073"/>
    <s v="0.005"/>
    <s v="12.952723307922092"/>
    <s v="0.005"/>
  </r>
  <r>
    <x v="4337"/>
    <x v="4883"/>
    <x v="0"/>
    <n v="0"/>
    <s v="LINESTRING (10.982769618475809 59.93351367234858, 10.982983585469364 59.93353218282225, 10.986060406196046 59.93435727603999, 10.986347929773814 59.934319153814876, 10.986439071723494 59.93431611453543)"/>
    <s v="[1510093, 1499702, 1499708, 1499709]"/>
    <s v="[1357059, 1357060, 1357063, 1357064]"/>
    <s v="#FIELD!"/>
    <s v="[1365610, 1357059, 1357060, 1357063]"/>
    <s v="[0.013, 0.004, 0.024, 0.047]"/>
    <s v="237.05873643731152"/>
    <s v="[0.013, -0.004, 0.024, 0.047]"/>
  </r>
  <r>
    <x v="4338"/>
    <x v="4884"/>
    <x v="0"/>
    <n v="0"/>
    <s v="LINESTRING (10.986478307600347 59.93442817021095, 10.986412266225733 59.934426157683575, 10.987727166134558 59.93546325039809, 10.98794623440748 59.93555775041311, 10.988067302360221 59.93563273168572)"/>
    <s v="[1499725, 1499730, 1499738, 1510117]"/>
    <s v="[1357074, 1357080, 1357087, 1365628]"/>
    <s v="#FIELD!"/>
    <s v="[1357073, 1357074, 1357080, 1357087]"/>
    <s v="[0.048, 0.003, 0.026, 0.007]"/>
    <s v="191.09867465107533"/>
    <s v="[-0.048, -0.003, 0.026, 0.007]"/>
  </r>
  <r>
    <x v="4339"/>
    <x v="4885"/>
    <x v="0"/>
    <n v="0"/>
    <s v="LINESTRING (11.042402168410998 59.99737169111799, 11.04230620605757 59.99733696873651, 11.041325804696466 59.99826276717362, 11.041554335698477 59.99839352701321, 11.043300454986532 59.99947308614588, 11.043391482716308 59.99961246494687)"/>
    <s v="[1499728, 1499735, 1499736, 1499737, 1509435]"/>
    <s v="[1357078, 1357084, 1357085, 1357086, 1362713]"/>
    <s v="#FIELD!"/>
    <s v="[1357077, 1357078, 1357084, 1357085, 1357086]"/>
    <s v="[0.01, 0.008, 0.016, 0.017, 0.033]"/>
    <s v="485.4277331812828"/>
    <s v="[-0.01, -0.008, -0.016, -0.017, -0.033]"/>
  </r>
  <r>
    <x v="4339"/>
    <x v="4886"/>
    <x v="0"/>
    <n v="0"/>
    <m/>
    <n v="1531522"/>
    <n v="1357077"/>
    <s v="#FIELD!"/>
    <n v="1371041"/>
    <s v="0.016"/>
    <s v="4.748936723638716"/>
    <s v="#FIELD!"/>
  </r>
  <r>
    <x v="4340"/>
    <x v="4887"/>
    <x v="0"/>
    <n v="0"/>
    <s v="LINESTRING (11.011643342335129 59.93885149052974, 11.012548290100996 59.93900022019932, 11.014901406494126 59.939649681960844)"/>
    <s v="[1499753, 1499754]"/>
    <s v="[1357096, 1357097]"/>
    <s v="0.007560843378301039"/>
    <s v="[1357094, 1357096]"/>
    <s v="[0.009, 0.007]"/>
    <s v="214.30163656837144"/>
    <s v="[0.009, 0.007]"/>
  </r>
  <r>
    <x v="4340"/>
    <x v="1706"/>
    <x v="0"/>
    <n v="0"/>
    <s v="LINESTRING (11.011643342335129 59.93885149052974, 11.011570449829339 59.938910389846875, 11.011976300674599 59.9393316337703, 11.013130791818972 59.9396020177403, 11.014110100219416 59.93980833042442, 11.014186140822154 59.939846502247256)"/>
    <s v="[1550714, 1550722, 1550730, 1550738, 1510161]"/>
    <s v="[1400021, 1400026, 1400033, 1365667, 1365668]"/>
    <s v="#FIELD!"/>
    <s v="[1357094, 1400021, 1400026, 1400033, 1365667]"/>
    <s v="[0.055, 0.049, 0.073, 0.061, 0.103]"/>
    <s v="201.82177258822176"/>
    <s v="[-0.055, -0.049, 0.073, -0.061, -0.103]"/>
  </r>
  <r>
    <x v="4340"/>
    <x v="4888"/>
    <x v="0"/>
    <n v="0"/>
    <s v="LINESTRING (11.008833357283292 59.938498611730495, 11.009023245156309 59.93852863893498, 11.011643342335129 59.93885149052974)"/>
    <s v="[1510125, 1499746]"/>
    <s v="[1357093, 1357094]"/>
    <s v="0.005014152594468497"/>
    <s v="[1365636, 1357093]"/>
    <s v="[0.096, 0.012]"/>
    <s v="172.10476133242918"/>
    <s v="[-0.096, 0.012]"/>
  </r>
  <r>
    <x v="4341"/>
    <x v="4889"/>
    <x v="0"/>
    <n v="0"/>
    <s v="LINESTRING (11.014901406494126 59.939649681960844, 11.015263114675967 59.939640198795175, 11.01547337530221 59.93964630750399)"/>
    <s v="[1510141, 1510149]"/>
    <s v="[1365648, 1359269]"/>
    <s v="0.07299638686861525"/>
    <s v="[1357097, 1365648]"/>
    <s v="[0.081, 0.059]"/>
    <s v="32.369472147398845"/>
    <s v="[0.081, 0.059]"/>
  </r>
  <r>
    <x v="4341"/>
    <x v="4890"/>
    <x v="0"/>
    <n v="0"/>
    <s v="LINESTRING (11.014901406494126 59.939649681960844, 11.015191197621863 59.939753349360295, 11.015294557967698 59.93977754912977)"/>
    <s v="[1513350, 1513357]"/>
    <s v="[1368510, 1359263]"/>
    <s v="0.05805498504801959"/>
    <s v="[1357097, 1368510]"/>
    <s v="[0.059, 0.055]"/>
    <s v="26.993814222396647"/>
    <s v="[0.059, 0.055]"/>
  </r>
  <r>
    <x v="4342"/>
    <x v="4891"/>
    <x v="0"/>
    <n v="0"/>
    <s v="LINESTRING (11.010069734074658 59.9397038982906, 11.010082352492887 59.93973304920451, 11.01004695203637 59.93980389864451, 11.009909947157592 59.93985548795647, 11.009619342766877 59.93975408547408, 11.00966696445343 59.93967102005001, 11.009786500699686 59.939630589110706, 11.009842597360583 59.93962599526818)"/>
    <s v="[1505357, 1505364, 1505365, 1505380, 1505381, 1505387, 1505349]"/>
    <s v="[1361287, 1361294, 1361295, 1361312, 1361313, 1361280, 1357098]"/>
    <s v="0.0009092434320111719"/>
    <s v="[1361281, 1361287, 1361294, 1361295, 1361312, 1361313, 1361280]"/>
    <s v="[0.032, 0.038, 0.039, 0.001, 0.035, 0.037, 0.023]"/>
    <s v="64.2492145083591"/>
    <s v="[0.032, 0.038, 0.039, -0.001, -0.035, -0.037, -0.023]"/>
  </r>
  <r>
    <x v="4342"/>
    <x v="2379"/>
    <x v="0"/>
    <n v="0"/>
    <s v="LINESTRING (11.009842597360583 59.93962599526818, 11.009954108819331 59.93957243811148, 11.006964670160444 59.938022131856435, 11.006882471838683 59.93794592003315)"/>
    <s v="[1499755, 1499756, 1510160]"/>
    <s v="[1357099, 1357100, 1365666]"/>
    <s v="#FIELD!"/>
    <s v="[1357098, 1357099, 1357100]"/>
    <s v="[0.044, 0.018, 0.041]"/>
    <s v="279.1282012400056"/>
    <s v="[-0.044, -0.018, -0.041]"/>
  </r>
  <r>
    <x v="4343"/>
    <x v="4892"/>
    <x v="0"/>
    <n v="0"/>
    <s v="LINESTRING (11.056463783716131 59.948388246624255, 11.056551552553307 59.94835850983931, 11.060297090435323 59.947507365236454, 11.062254138365525 59.94766721631956, 11.062366703733836 59.94768288787252)"/>
    <s v="[1499757, 1499758, 1499766, 1499771]"/>
    <s v="[1357102, 1357103, 1357108, 1357111]"/>
    <s v="#FIELD!"/>
    <s v="[1357101, 1357102, 1357103, 1357108]"/>
    <s v="[0.02, 0.002, 0.007, 0.012]"/>
    <s v="355.0954913827173"/>
    <s v="[-0.02, 0.002, -0.007, 0.012]"/>
  </r>
  <r>
    <x v="4343"/>
    <x v="4410"/>
    <x v="0"/>
    <s v="[0, 1, 0, 1, 0, 1, 0]"/>
    <s v="LINESTRING (11.056463783716131 59.948388246624255, 11.061503251814024 59.947710119243425, 11.066522460116563 59.947563400537916, 11.07153237782107 59.94699548800698, 11.072233490716277 59.94706763426142, 11.075469171821103 59.94899709048777, 11.075885056838477 59.9499803819251, 11.076407279373448 59.95120492527634)"/>
    <s v="[1550386, 1550394, 1550402, 1550410, 1550418, 1550426, 1550434]"/>
    <s v="[1399809, 1399816, 1399821, 1399824, 1399828, 1399833, 1399836]"/>
    <s v="0.0008798841300295014"/>
    <s v="[1357101, 1399809, 1399816, 1399821, 1399824, 1399828, 1399833]"/>
    <s v="[0.001, 0.004, 0.01, 0.012, 0.025, 0.007, 0.027]"/>
    <s v="1462.968956951274"/>
    <s v="[-0.001, 0.004, -0.01, 0.012, 0.025, -0.007, -0.027]"/>
  </r>
  <r>
    <x v="4343"/>
    <x v="4893"/>
    <x v="0"/>
    <n v="0"/>
    <m/>
    <n v="1550378"/>
    <n v="1357101"/>
    <s v="#FIELD!"/>
    <n v="1357128"/>
    <s v="0.001"/>
    <s v="189.17731496684922"/>
    <s v="#FIELD!"/>
  </r>
  <r>
    <x v="4344"/>
    <x v="4894"/>
    <x v="0"/>
    <n v="0"/>
    <m/>
    <n v="1531626"/>
    <n v="1371092"/>
    <s v="0.001"/>
    <n v="1357107"/>
    <s v="0.001"/>
    <s v="3.1780497163591943"/>
    <s v="0.001"/>
  </r>
  <r>
    <x v="4344"/>
    <x v="4895"/>
    <x v="0"/>
    <n v="0"/>
    <s v="LINESTRING (11.042236890891088 59.9990159466524, 11.04208940978555 59.99900342972279, 11.0394028046334 59.99929340661055, 11.039491295769851 59.999325488371895)"/>
    <s v="[1509443, 1499744, 1499765]"/>
    <s v="[1357090, 1357091, 1357107]"/>
    <s v="0.02237840528770355"/>
    <s v="[1365023, 1357090, 1357091]"/>
    <s v="[0.08, 0.021, 0.021]"/>
    <s v="357.34809418327194"/>
    <s v="[0.08, 0.021, 0.021]"/>
  </r>
  <r>
    <x v="4345"/>
    <x v="4896"/>
    <x v="0"/>
    <n v="0"/>
    <m/>
    <n v="1499778"/>
    <n v="1357115"/>
    <s v="0.08"/>
    <n v="1357114"/>
    <s v="0.08"/>
    <s v="88.00999279129627"/>
    <s v="0.08"/>
  </r>
  <r>
    <x v="4345"/>
    <x v="4897"/>
    <x v="0"/>
    <n v="0"/>
    <s v="LINESTRING (11.069023492057157 60.01672427194069, 11.068897981891212 60.01673180554979, 11.06831629179748 60.01679669329432)"/>
    <s v="[1509444, 1509451]"/>
    <s v="[1365024, 1357114]"/>
    <s v="#FIELD!"/>
    <s v="[1358025, 1365024]"/>
    <s v="[0.009, 0.02]"/>
    <s v="40.621029447385254"/>
    <s v="[-0.009, -0.02]"/>
  </r>
  <r>
    <x v="4345"/>
    <x v="4898"/>
    <x v="0"/>
    <n v="0"/>
    <s v="LINESTRING (11.068906512676579 60.01659043376448, 11.068808009248315 60.016621857886655, 11.06831629179748 60.01679669329432)"/>
    <s v="[1542124, 1542132]"/>
    <s v="[1393182, 1357114]"/>
    <s v="#FIELD!"/>
    <s v="[1358029, 1393182]"/>
    <s v="[0.08, 0.024]"/>
    <s v="40.43013029697204"/>
    <s v="[-0.08, -0.024]"/>
  </r>
  <r>
    <x v="4346"/>
    <x v="4899"/>
    <x v="0"/>
    <n v="0"/>
    <s v="LINESTRING (11.066831700191845 60.017063492278744, 11.066394191621677 60.017208670170575, 11.066261591948983 60.01725146391618)"/>
    <s v="[1509459, 1509465]"/>
    <s v="[1365035, 1358048]"/>
    <s v="0.004244149731702833"/>
    <s v="[1357115, 1365035]"/>
    <s v="[0.005, 0.035]"/>
    <s v="38.0805954857543"/>
    <s v="[-0.005, 0.035]"/>
  </r>
  <r>
    <x v="4346"/>
    <x v="4900"/>
    <x v="0"/>
    <n v="0"/>
    <s v="LINESTRING (11.066831700191845 60.017063492278744, 11.066301200383283 60.01708958686694, 11.066184844460471 60.01711163080414)"/>
    <s v="[1542140, 1542148]"/>
    <s v="[1393193, 1358084]"/>
    <s v="#FIELD!"/>
    <s v="[1357115, 1393193]"/>
    <s v="[0.035, 0.04]"/>
    <s v="36.98979820788513"/>
    <s v="[-0.035, 0.04]"/>
  </r>
  <r>
    <x v="4347"/>
    <x v="4893"/>
    <x v="0"/>
    <n v="0"/>
    <s v="LINESTRING (11.057203676088944 59.94854874638459, 11.057140213253255 59.94851727021197, 11.053511235691978 59.94908522890931, 11.053365730665675 59.94907164665057)"/>
    <s v="[1499785, 1499786, 1499794]"/>
    <s v="[1357123, 1357124, 1357128]"/>
    <s v="0.001450621009732914"/>
    <s v="[1357122, 1357123, 1357124]"/>
    <s v="[0.022, 0.002, 0.001]"/>
    <s v="232.99107112833337"/>
    <s v="[-0.022, 0.002, 0.001]"/>
  </r>
  <r>
    <x v="4347"/>
    <x v="4901"/>
    <x v="0"/>
    <n v="0"/>
    <s v="LINESTRING (11.057203676088944 59.94854874638459, 11.057434388038146 59.948513433702644, 11.057528967429727 59.948533722399766, 11.057594215486503 59.948590729322596, 11.057508874824158 59.948702527828566, 11.057414427693637 59.9487201537188, 11.057276028393286 59.94870589841154, 11.05715693031969 59.948610277136254, 11.057203676088944 59.94854874638459)"/>
    <s v="[1563712, 1563720, 1563664, 1563672, 1563680, 1563688, 1563696, 1563704]"/>
    <s v="[1410010, 1409970, 1409971, 1409978, 1409984, 1409992, 1409999, 1357122]"/>
    <s v="#FIELD!"/>
    <s v="[1357122, 1410010, 1409970, 1409971, 1409978, 1409984, 1409992, 1409999]"/>
    <s v="[0.119, 0.006, 0.014, 0.013, 0.006, 0.002, 0.013, 0.202]"/>
    <s v="74.74412233794551"/>
    <s v="[-0.119, 0.006, 0.014, 0.013, 0.006, -0.002, -0.013, 0.202]"/>
  </r>
  <r>
    <x v="4348"/>
    <x v="4902"/>
    <x v="0"/>
    <n v="0"/>
    <s v="LINESTRING (11.069065927113034 60.01648820448809, 11.069244472488046 60.01648183732615, 11.06944198085017 60.01661807432977, 11.069410218108974 60.01667376403649, 11.069382395856401 60.01669630872885)"/>
    <s v="[1501219, 1501231, 1501232, 1501239]"/>
    <s v="[1358030, 1358037, 1358038, 1357138]"/>
    <s v="#FIELD!"/>
    <s v="[1357127, 1358030, 1358037, 1358038]"/>
    <s v="[0.002, 0.031, 0.018, 0.037]"/>
    <s v="39.27750615680789"/>
    <s v="[-0.002, -0.031, -0.018, -0.037]"/>
  </r>
  <r>
    <x v="4348"/>
    <x v="4898"/>
    <x v="0"/>
    <n v="0"/>
    <m/>
    <n v="1501218"/>
    <n v="1357127"/>
    <s v="0.027"/>
    <n v="1358029"/>
    <s v="0.027"/>
    <s v="14.900653030659392"/>
    <s v="0.027"/>
  </r>
  <r>
    <x v="4348"/>
    <x v="4903"/>
    <x v="0"/>
    <n v="0"/>
    <s v="LINESTRING (11.063363137753573 60.01269687434875, 11.063631090061257 60.01279999178549, 11.064926039030786 60.0137357863927, 11.0666872589919 60.01495184744254, 11.06703459777706 60.015339803332246, 11.068972321450547 60.016452764373064, 11.069065927113034 60.01648820448809)"/>
    <s v="[1509473, 1499779, 1499780, 1499789, 1499790, 1499791]"/>
    <s v="[1357116, 1357117, 1357118, 825455, 1357126, 1357127]"/>
    <s v="#FIELD!"/>
    <s v="[1362746, 1357116, 1357117, 1357118, 825455, 1357126]"/>
    <s v="[0.017, 0.018, 0.007, 0.036, 0.031, 0.033]"/>
    <s v="539.1295302318066"/>
    <s v="[0.017, 0.018, -0.007, -0.036, -0.031, -0.033]"/>
  </r>
  <r>
    <x v="4349"/>
    <x v="4904"/>
    <x v="0"/>
    <n v="0"/>
    <s v="LINESTRING (11.048423660788803 59.95044294009908, 11.048830067508499 59.95032649949829, 11.053365730665675 59.94907164665057)"/>
    <s v="[1550362, 1550370]"/>
    <s v="[1399793, 1357128]"/>
    <s v="0.00140800149974996"/>
    <s v="[1367571, 1399793]"/>
    <s v="[0.017, 0.0]"/>
    <s v="315.85818199850047"/>
    <s v="[0.017, 0.0]"/>
  </r>
  <r>
    <x v="4350"/>
    <x v="4905"/>
    <x v="0"/>
    <n v="0"/>
    <s v="LINESTRING (11.044232938026786 59.94916331549876, 11.04441515418575 59.9491382202662, 11.044640532602761 59.949171956736116, 11.044795147059693 59.94928807467455, 11.044797418712962 59.94935916403966)"/>
    <s v="[1499800, 1499801, 1499810, 1499816]"/>
    <s v="[1357132, 1357133, 1357143, 1357147]"/>
    <s v="#FIELD!"/>
    <s v="[1357131, 1357132, 1357133, 1357143]"/>
    <s v="[0.044, 0.076, 0.1, 0.067]"/>
    <s v="47.65175979305646"/>
    <s v="[-0.044, -0.076, -0.1, -0.067]"/>
  </r>
  <r>
    <x v="4350"/>
    <x v="4906"/>
    <x v="0"/>
    <n v="0"/>
    <s v="LINESTRING (11.044055538376261 59.9492982334165, 11.04410305755882 59.94923043702006, 11.044232938026786 59.94916331549876)"/>
    <s v="[1499871, 1499872]"/>
    <s v="[1357183, 1357131]"/>
    <s v="0.04785487525351872"/>
    <s v="[1357161, 1357183]"/>
    <s v="[0.075, 0.027]"/>
    <s v="18.431651949340832"/>
    <s v="[0.075, 0.027]"/>
  </r>
  <r>
    <x v="4351"/>
    <x v="4907"/>
    <x v="0"/>
    <n v="0"/>
    <s v="LINESTRING (11.069382395856401 60.01669630872885, 11.069415441985006 60.01672936899487, 11.068073039900984 60.01886194506018, 11.068743308734067 60.020320274597296, 11.068842103674692 60.02055093978837)"/>
    <s v="[1499805, 1499806, 1499807, 1509481]"/>
    <s v="[1357139, 1357140, 1357141, 1362817]"/>
    <s v="0.009041983484189008"/>
    <s v="[1357138, 1357139, 1357140, 1357141]"/>
    <s v="[0.028, 0.023, 0.01, 0.011]"/>
    <s v="473.9905261271027"/>
    <s v="[-0.028, 0.023, -0.01, -0.011]"/>
  </r>
  <r>
    <x v="4351"/>
    <x v="4897"/>
    <x v="0"/>
    <n v="0"/>
    <s v="LINESTRING (11.069382395856401 60.01669630872885, 11.069173577232828 60.01674582435994, 11.069023492057157 60.01672427194069)"/>
    <s v="[1501246, 1501211]"/>
    <s v="[1358024, 1358025]"/>
    <s v="#FIELD!"/>
    <s v="[1357138, 1358024]"/>
    <s v="[0.017, 0.011]"/>
    <s v="21.93395791966484"/>
    <s v="[-0.017, 0.011]"/>
  </r>
  <r>
    <x v="4352"/>
    <x v="4908"/>
    <x v="0"/>
    <n v="0"/>
    <s v="LINESTRING (11.044797418712962 59.94935916403966, 11.044611411707777 59.94949112727834, 11.044349151658102 59.949511122633844)"/>
    <s v="[1499817, 1499818]"/>
    <s v="[1357148, 1357149]"/>
    <s v="#FIELD!"/>
    <s v="[1357147, 1357148]"/>
    <s v="[0.027, 0.026]"/>
    <s v="33.522181776033655"/>
    <s v="[-0.027, 0.026]"/>
  </r>
  <r>
    <x v="4352"/>
    <x v="4909"/>
    <x v="0"/>
    <s v="[1, 1, 1, 1, 0, 0]"/>
    <s v="LINESTRING (11.044797418712962 59.94935916403966, 11.044855403309342 59.94942565985921, 11.04491547514994 59.94949599411442, 11.045284955797452 59.94983948206815, 11.046248374841998 59.95040064145347, 11.046593115580121 59.95055907861687, 11.046761558179183 59.950622774602024)"/>
    <s v="[1512256, 1512263, 1512270, 1512278, 1512286, 1512294]"/>
    <s v="[1367525, 1367530, 1367536, 1367542, 1367550, 1357185]"/>
    <s v="0.006803402681805828"/>
    <s v="[1357147, 1367525, 1367530, 1367536, 1367542, 1367550]"/>
    <s v="[0.089, 0.079, 0.04, 0.039, 0.03, 0.031]"/>
    <s v="180.81661838814668"/>
    <s v="[-0.089, -0.079, -0.04, 0.039, 0.03, 0.031]"/>
  </r>
  <r>
    <x v="4353"/>
    <x v="4906"/>
    <x v="0"/>
    <n v="0"/>
    <s v="LINESTRING (11.044349151658102 59.949511122633844, 11.04421799302384 59.949483810657505, 11.044118187277805 59.94943406586575, 11.044053444463305 59.94934581767993, 11.044055538376261 59.9492982334165)"/>
    <s v="[1499824, 1499832, 1499833, 1499834]"/>
    <s v="[1357153, 1357159, 1357160, 1357161]"/>
    <s v="0.08871754721960187"/>
    <s v="[1357149, 1357153, 1357159, 1357160]"/>
    <s v="[0.072, 0.093, 0.096, 0.093]"/>
    <s v="31.584682706240336"/>
    <s v="[0.072, 0.093, 0.096, 0.093]"/>
  </r>
  <r>
    <x v="4353"/>
    <x v="4910"/>
    <x v="0"/>
    <s v="[1, 1, 1, 1, 0, 0]"/>
    <s v="LINESTRING (11.044349151658102 59.949511122633844, 11.044437275495465 59.94955483482033, 11.04456144439137 59.94960107648184, 11.04511342057737 59.94988018221563, 11.045893734837586 59.950478181797315, 11.046171462770857 59.95071654391549, 11.046254708067268 59.950834563652634)"/>
    <s v="[1512846, 1512854, 1512855, 1512862, 1512870, 1512878]"/>
    <s v="[1368053, 1368059, 1368060, 1368066, 1368072, 1357244]"/>
    <s v="0.005720497878132804"/>
    <s v="[1357149, 1368053, 1368059, 1368060, 1368066, 1368072]"/>
    <s v="[0.08, 0.078, 0.036, 0.03, 0.037, 0.025]"/>
    <s v="184.20940943061785"/>
    <s v="[-0.08, -0.078, -0.036, 0.03, 0.037, 0.025]"/>
  </r>
  <r>
    <x v="4354"/>
    <x v="4911"/>
    <x v="0"/>
    <n v="0"/>
    <s v="LINESTRING (11.014151708137746 59.93998390934302, 11.014488557359643 59.94004354779226, 11.015019916019009 59.940155117670436, 11.02066053138981 59.941467191761795, 11.022268618339895 59.94186367908398, 11.036889466757684 59.94689449893319, 11.041696645286413 59.948628198202734, 11.042328856889352 59.94878719283684, 11.042376653999085 59.94879920989413, 11.04289965804158 59.94893310232753, 11.043137154420213 59.94899967738273, 11.043944900186421 59.94925561595349, 11.044055538376261 59.9492982334165)"/>
    <s v="[1512763, 1512774, 1512782, 1512790, 1512798, 1512806, 1512814, 1512815, 1512823, 1512830, 1512838, 1512839]"/>
    <s v="[1367982, 1367991, 1368000, 1368007, 1368011, 1368019, 1368029, 1368030, 1368037, 1368041, 1368050, 1357161]"/>
    <s v="#FIELD!"/>
    <s v="[1365675, 1367982, 1367991, 1368000, 1368007, 1368011, 1368019, 1368029, 1368030, 1368037, 1368041, 1368050]"/>
    <s v="[0.088, 0.198, 0.022, 0.028, 0.014, 0.11, 0.198, 0.378, 0.329, 0.161, 0.004, 0.058]"/>
    <s v="1978.3116486485073"/>
    <s v="[-0.088, 0.198, 0.022, -0.028, -0.014, -0.11, -0.198, -0.378, -0.329, -0.161, -0.004, -0.058]"/>
  </r>
  <r>
    <x v="4355"/>
    <x v="4912"/>
    <x v="0"/>
    <n v="0"/>
    <s v="LINESTRING (11.066006062869189 60.01734632922996, 11.065855977190393 60.017324773203796, 11.065752487895617 60.0172587582209, 11.065746296166093 60.01717496790049, 11.065898435754276 60.017088707017685)"/>
    <s v="[1501267, 1501278, 1501294, 1501302]"/>
    <s v="[1358054, 1358059, 1358069, 1358075]"/>
    <s v="#FIELD!"/>
    <s v="[1357162, 1358054, 1358059, 1358069]"/>
    <s v="[0.061, 0.117, 0.13, 0.011]"/>
    <s v="40.55750428230851"/>
    <s v="[-0.061, -0.117, -0.13, -0.011]"/>
  </r>
  <r>
    <x v="4355"/>
    <x v="4899"/>
    <x v="0"/>
    <n v="0"/>
    <m/>
    <n v="1501259"/>
    <n v="1357162"/>
    <s v="0.063"/>
    <n v="1358048"/>
    <s v="0.063"/>
    <s v="18.722135352589817"/>
    <s v="0.063"/>
  </r>
  <r>
    <x v="4355"/>
    <x v="4913"/>
    <x v="0"/>
    <n v="0"/>
    <s v="LINESTRING (11.068103057884926 60.019812724550995, 11.06799102437988 60.01976166777971, 11.066108642847047 60.017391316580046, 11.066006062869189 60.01734632922996)"/>
    <s v="[1551879, 1499827, 1499836]"/>
    <s v="[1357156, 1357157, 1357162]"/>
    <s v="0.0044476902813366135"/>
    <s v="[1400855, 1357156, 1357157]"/>
    <s v="[0.003, 0.005, 0.015]"/>
    <s v="306.07919893637506"/>
    <s v="[0.003, 0.005, -0.015]"/>
  </r>
  <r>
    <x v="4356"/>
    <x v="4914"/>
    <x v="0"/>
    <n v="0"/>
    <s v="LINESTRING (11.10684847347249 60.03490724008631, 11.107626814757367 60.034795127209726, 11.107509925701866 60.03484033183074, 11.108441177929842 60.03769244644586, 11.108485639805995 60.037760891733924)"/>
    <s v="[1499916, 1499940, 1499962, 1551911]"/>
    <s v="[1357202, 1357226, 1357241, 1363061]"/>
    <s v="0.01686917928256845"/>
    <s v="[1357174, 1357202, 1357226, 1357241]"/>
    <s v="[0.019, 0.021, 0.017, 0.006]"/>
    <s v="466.95875771523805"/>
    <s v="[0.019, 0.021, 0.017, -0.006]"/>
  </r>
  <r>
    <x v="4356"/>
    <x v="4915"/>
    <x v="0"/>
    <n v="0"/>
    <s v="LINESTRING (11.101882767050812 60.03560210568899, 11.102837555745387 60.035479346810995, 11.102854699328475 60.035476742587875, 11.10684847347249 60.03490724008631)"/>
    <s v="[1499868, 1499874, 1499899]"/>
    <s v="[1357182, 1357184, 1357174]"/>
    <s v="0.041505893597702494"/>
    <s v="[1357181, 1357182, 1357184]"/>
    <s v="[0.102, 0.076, 0.027]"/>
    <s v="287.52983675527327"/>
    <s v="[0.102, 0.076, 0.027]"/>
  </r>
  <r>
    <x v="4356"/>
    <x v="4916"/>
    <x v="0"/>
    <n v="0"/>
    <s v="LINESTRING (11.099373385251662 60.03211009904062, 11.099561228621916 60.032208244196916, 11.106567552088665 60.03490884213077, 11.10684847347249 60.03490724008631)"/>
    <s v="[1551887, 1499844, 1499861]"/>
    <s v="[1357167, 1357168, 1357174]"/>
    <s v="0.021540575686694884"/>
    <s v="[1362920, 1357167, 1357168]"/>
    <s v="[0.033, 0.02, 0.064]"/>
    <s v="575.1176040140008"/>
    <s v="[0.033, 0.02, 0.064]"/>
  </r>
  <r>
    <x v="4357"/>
    <x v="4917"/>
    <x v="0"/>
    <n v="0"/>
    <s v="LINESTRING (11.101882767050812 60.03560210568899, 11.101667769226303 60.03564250195739, 11.099301021874261 60.032342590606746, 11.099252309955292 60.0322377697219)"/>
    <s v="[1499936, 1499939, 1551903]"/>
    <s v="[1357221, 1357225, 1400875]"/>
    <s v="#FIELD!"/>
    <s v="[1357181, 1357221, 1357225]"/>
    <s v="[0.066, 0.001, 0.011]"/>
    <s v="464.6828035900666"/>
    <s v="[-0.066, -0.001, 0.011]"/>
  </r>
  <r>
    <x v="4357"/>
    <x v="4918"/>
    <x v="0"/>
    <s v="[0, 0, 1, 0, 0]"/>
    <s v="LINESTRING (11.104154742516561 60.03610257695234, 11.104016617649153 60.03608139264666, 11.103069097347705 60.035608514363076, 11.10273568188774 60.0354066330495, 11.101775298185952 60.035601035239516, 11.101882767050812 60.03560210568899)"/>
    <s v="[1551895, 1499862, 1499863, 1499866, 1499867]"/>
    <s v="[1357175, 1357176, 1357177, 1357180, 1357181]"/>
    <s v="#FIELD!"/>
    <s v="[1400869, 1357175, 1357176, 1357177, 1357180]"/>
    <s v="[0.017, 0.04, 0.099, 0.015, 0.091]"/>
    <s v="458.1417819706754"/>
    <s v="[-0.017, -0.04, -0.099, -0.015, 0.091]"/>
  </r>
  <r>
    <x v="4358"/>
    <x v="4919"/>
    <x v="0"/>
    <n v="0"/>
    <m/>
    <n v="1499877"/>
    <n v="1357186"/>
    <s v="0.002"/>
    <n v="1357185"/>
    <s v="0.002"/>
    <s v="5.720707998005389"/>
    <s v="0.002"/>
  </r>
  <r>
    <x v="4358"/>
    <x v="4910"/>
    <x v="0"/>
    <n v="0"/>
    <s v="LINESTRING (11.046254708067268 59.950834563652634, 11.046397609259182 59.950665650220905, 11.046761558179183 59.950622774602024)"/>
    <s v="[1499969, 1499976]"/>
    <s v="[1357245, 1357185]"/>
    <s v="0.0066325349971751175"/>
    <s v="[1357244, 1357245]"/>
    <s v="[0.005, 0.018]"/>
    <s v="42.53157615607964"/>
    <s v="[-0.005, 0.018]"/>
  </r>
  <r>
    <x v="4359"/>
    <x v="4920"/>
    <x v="0"/>
    <n v="0"/>
    <s v="LINESTRING (11.046856820496993 59.95064154518238, 11.047029756628865 59.95073339748408, 11.047062120422547 59.95085879018354)"/>
    <s v="[1499884, 1499892]"/>
    <s v="[1357188, 1357189]"/>
    <s v="0.021003088674708653"/>
    <s v="[1357186, 1357188]"/>
    <s v="[0.014, 0.028]"/>
    <s v="28.50804092815926"/>
    <s v="[0.014, 0.028]"/>
  </r>
  <r>
    <x v="4359"/>
    <x v="4904"/>
    <x v="0"/>
    <n v="0"/>
    <s v="LINESTRING (11.046856820496993 59.95064154518238, 11.047051917692887 59.950643299243985, 11.048423660788803 59.95044294009908)"/>
    <s v="[1512302, 1512310]"/>
    <s v="[1367563, 1367571]"/>
    <s v="#FIELD!"/>
    <s v="[1357186, 1367563]"/>
    <s v="[0.007, 0.004]"/>
    <s v="91.48694069310935"/>
    <s v="[-0.007, -0.004]"/>
  </r>
  <r>
    <x v="4360"/>
    <x v="4910"/>
    <x v="0"/>
    <n v="0"/>
    <s v="LINESTRING (11.047062120422547 59.95085879018354, 11.047030853044234 59.9509075668391, 11.046902114736692 59.95098614271442, 11.046713729680869 59.95102382226955, 11.046611547354699 59.95102399269116, 11.04648791265195 59.95100566516588, 11.046348072622909 59.95095189807646, 11.046254708067268 59.950834563652634)"/>
    <s v="[1499893, 1499922, 1499925, 1499941, 1499949, 1499960, 1499968]"/>
    <s v="[1357190, 1357207, 1357211, 1357227, 1357232, 1357240, 1357244]"/>
    <s v="#FIELD!"/>
    <s v="[1357189, 1357190, 1357207, 1357211, 1357227, 1357232, 1357240]"/>
    <s v="[0.026, 0.017, 0.005, 0.03, 0.032, 0.038, 0.029]"/>
    <s v="65.3919862567278"/>
    <s v="[0.026, 0.017, -0.005, -0.03, -0.032, -0.038, -0.029]"/>
  </r>
  <r>
    <x v="4360"/>
    <x v="4904"/>
    <x v="0"/>
    <n v="0"/>
    <s v="LINESTRING (11.047062120422547 59.95085879018354, 11.04717755446332 59.95079768715948, 11.048423660788803 59.95044294009908)"/>
    <s v="[1512892, 1512893]"/>
    <s v="[1368096, 1367571]"/>
    <s v="#FIELD!"/>
    <s v="[1357189, 1368096]"/>
    <s v="[0.021, 0.011]"/>
    <s v="89.75463708119551"/>
    <s v="[-0.021, -0.011]"/>
  </r>
  <r>
    <x v="4361"/>
    <x v="4921"/>
    <x v="0"/>
    <n v="0"/>
    <m/>
    <n v="1499985"/>
    <n v="1357256"/>
    <s v="#FIELD!"/>
    <n v="1357250"/>
    <s v="0.011"/>
    <s v="11.425137505426065"/>
    <s v="#FIELD!"/>
  </r>
  <r>
    <x v="4361"/>
    <x v="4922"/>
    <x v="0"/>
    <n v="0"/>
    <s v="LINESTRING (10.935130678012253 59.93626896647076, 10.93523446269257 59.9362530734849, 10.936146876913654 59.93609176140764, 10.936726985076815 59.93592639497493, 10.936861974913407 59.9358837633544, 10.937056958374859 59.935822178063766, 10.93886710620493 59.93505452977051, 10.939326892545147 59.9347555908323, 10.94074700677885 59.933837580983266)"/>
    <s v="[1550626, 1550634, 1550642, 1550650, 1550658, 1550666, 1550674, 1550682]"/>
    <s v="[1399956, 1399961, 1399968, 1399971, 1399978, 1399982, 1399989, 1368021]"/>
    <s v="0.011511737242976607"/>
    <s v="[1357250, 1399956, 1399961, 1399968, 1399971, 1399978, 1399982, 1399989]"/>
    <s v="[0.041, 0.001, 0.011, 0.009, 0.009, 0.013, 0.051, 0.002]"/>
    <s v="424.4995750520767"/>
    <s v="[0.041, 0.001, 0.011, -0.009, 0.009, 0.013, 0.051, 0.002]"/>
  </r>
  <r>
    <x v="4361"/>
    <x v="2824"/>
    <x v="0"/>
    <n v="0"/>
    <s v="LINESTRING (10.934856044297211 59.93639096211666, 10.934834752794368 59.93636368367115, 10.934854115774765 59.93629809226721, 10.934914310572582 59.93626567790256, 10.935130678012253 59.93626896647076)"/>
    <s v="[1500032, 1500040, 1500045, 1499977]"/>
    <s v="[1357280, 1357283, 1357249, 1357250]"/>
    <s v="0.02233717364244377"/>
    <s v="[1357276, 1357280, 1357283, 1357249]"/>
    <s v="[0.002, 0.012, 0.029, 0.032]"/>
    <s v="28.313979718081733"/>
    <s v="[-0.002, 0.012, 0.029, 0.032]"/>
  </r>
  <r>
    <x v="4362"/>
    <x v="4819"/>
    <x v="0"/>
    <n v="0"/>
    <s v="LINESTRING (11.151667530769293 60.07992574945196, 11.151731939309714 60.07997203300769, 11.152984403950642 60.080288087467856, 11.15311613840974 60.08030170380216)"/>
    <s v="[1499986, 1499991, 1551927]"/>
    <s v="[1357257, 1357258, 1391983]"/>
    <s v="#FIELD!"/>
    <s v="[1357251, 1357257, 1357258]"/>
    <s v="[0.038, 0.018, 0.087]"/>
    <s v="97.81829204652053"/>
    <s v="[0.038, -0.018, -0.087]"/>
  </r>
  <r>
    <x v="4362"/>
    <x v="4923"/>
    <x v="0"/>
    <n v="0"/>
    <s v="LINESTRING (11.152538357113256 60.07455433093387, 11.152564367175753 60.07469007258131, 11.151747178780097 60.07789863357523, 11.151513043658394 60.07944075939883, 11.151667530769293 60.07992574945196)"/>
    <s v="[1551919, 1499970, 1499971, 1499978]"/>
    <s v="[1357246, 1357247, 1357248, 1357251]"/>
    <s v="#FIELD!"/>
    <s v="[1363127, 1357246, 1357247, 1357248]"/>
    <s v="[0.006, 0.013, 0.003, 0.03]"/>
    <s v="603.2471277844179"/>
    <s v="[0.006, -0.013, -0.003, 0.03]"/>
  </r>
  <r>
    <x v="4363"/>
    <x v="4924"/>
    <x v="0"/>
    <n v="0"/>
    <s v="LINESTRING (10.935201234866673 59.93636089757354, 10.935151174485632 59.936409151672315, 10.935046679371627 59.93643668352834)"/>
    <s v="[1499999, 1500017]"/>
    <s v="[1357262, 1357274]"/>
    <s v="#FIELD!"/>
    <s v="[1357256, 1357262]"/>
    <s v="[0.033, 0.026]"/>
    <s v="12.662174428864505"/>
    <s v="[-0.033, -0.026]"/>
  </r>
  <r>
    <x v="4363"/>
    <x v="4925"/>
    <x v="0"/>
    <s v="[0, 0, 1, 0, 0, 0]"/>
    <s v="LINESTRING (10.935201234866673 59.93636089757354, 10.935298364091777 59.936405449931755, 10.93534740563321 59.936425735889806, 10.936149656556804 59.93680921834756, 10.936188069872419 59.93682910410516, 10.936230844395075 59.9368509764838, 10.936316296091366 59.936891715322965)"/>
    <s v="[1512357, 1512365, 1512373, 1512389, 1512397, 1512398]"/>
    <s v="[1367615, 1367622, 1367629, 1367643, 1367651, 1357342]"/>
    <s v="0.00883605613178781"/>
    <s v="[1357256, 1367615, 1367622, 1367629, 1367643, 1367651]"/>
    <s v="[0.005, 0.005, 0.007, 0.034, 0.088, 0.128]"/>
    <s v="86.04332676481874"/>
    <s v="[-0.005, -0.005, -0.007, 0.034, 0.088, 0.128]"/>
  </r>
  <r>
    <x v="4364"/>
    <x v="4926"/>
    <x v="0"/>
    <n v="0"/>
    <s v="LINESTRING (11.149484030121275 60.08057893908706, 11.149886089877839 60.08030754582011, 11.149890172618335 60.0802987743248, 11.150038313478893 60.079946061066224, 11.15054153491269 60.07881959783994, 11.150769588322378 60.07823495885988, 11.150905781095796 60.07814385563061)"/>
    <s v="[1500007, 1500008, 1500009, 1500012, 1500013, 1551935]"/>
    <s v="[1357265, 1357266, 1357267, 1357269, 1357270, 1400900]"/>
    <s v="#FIELD!"/>
    <s v="[1357264, 1357265, 1357266, 1357267, 1357269, 1357270]"/>
    <s v="[0.015, 0.024, 0.001, 0.003, 0.012, 0.006]"/>
    <s v="287.9666643587976"/>
    <s v="[-0.015, 0.024, 0.001, -0.003, 0.012, -0.006]"/>
  </r>
  <r>
    <x v="4364"/>
    <x v="4812"/>
    <x v="0"/>
    <n v="0"/>
    <s v="LINESTRING (11.149251260760071 60.08092363879013, 11.14926408244996 60.08087546994459, 11.14942310770863 60.08062300920385, 11.149484030121275 60.08057893908706)"/>
    <s v="[1500014, 1500019, 1500020]"/>
    <s v="[1357272, 1357275, 1357264]"/>
    <s v="#FIELD!"/>
    <s v="[1357271, 1357272, 1357275]"/>
    <s v="[0.016, 0.0, 0.023]"/>
    <s v="41.1371976614588"/>
    <s v="[0.016, -0.0, -0.023]"/>
  </r>
  <r>
    <x v="4365"/>
    <x v="4927"/>
    <x v="0"/>
    <n v="0"/>
    <s v="LINESTRING (11.148672658491455 60.084004975545795, 11.148606316845836 60.083921292413834, 11.149251260760071 60.08092363879013)"/>
    <s v="[1551943, 1500026]"/>
    <s v="[1357277, 1357271]"/>
    <s v="0.00717346081352799"/>
    <s v="[1400906, 1357277]"/>
    <s v="[0.013, 0.007]"/>
    <s v="346.92479508115593"/>
    <s v="[0.013, 0.007]"/>
  </r>
  <r>
    <x v="4366"/>
    <x v="2824"/>
    <x v="0"/>
    <n v="0"/>
    <m/>
    <n v="1500024"/>
    <n v="1357276"/>
    <s v="#FIELD!"/>
    <n v="1357274"/>
    <s v="0.01"/>
    <s v="12.375259605887855"/>
    <s v="#FIELD!"/>
  </r>
  <r>
    <x v="4366"/>
    <x v="4928"/>
    <x v="0"/>
    <s v="[0, 1, 0, 0]"/>
    <s v="LINESTRING (10.935046679371627 59.93643668352834, 10.935189379165914 59.93646903063096, 10.936023481576587 59.93685926887446, 10.93607774781543 59.93689775095086, 10.93613356134496 59.93697068787568)"/>
    <s v="[1512918, 1512926, 1512934, 1512945]"/>
    <s v="[1368119, 1368127, 1368136, 1357362]"/>
    <s v="0.00875898167739637"/>
    <s v="[1357274, 1368119, 1368127, 1368136]"/>
    <s v="[0.005, 0.002, 0.039, 0.044]"/>
    <s v="86.74636658640931"/>
    <s v="[0.005, 0.002, 0.039, 0.044]"/>
  </r>
  <r>
    <x v="4367"/>
    <x v="4929"/>
    <x v="0"/>
    <n v="0"/>
    <m/>
    <n v="1526770"/>
    <n v="1370379"/>
    <s v="0.003"/>
    <n v="1357330"/>
    <s v="0.003"/>
    <s v="4.382921400182943"/>
    <s v="0.003"/>
  </r>
  <r>
    <x v="4367"/>
    <x v="4930"/>
    <x v="0"/>
    <n v="0"/>
    <m/>
    <n v="1526762"/>
    <n v="1357330"/>
    <s v="#FIELD!"/>
    <n v="1357347"/>
    <s v="0.001"/>
    <s v="17.541537716670796"/>
    <s v="#FIELD!"/>
  </r>
  <r>
    <x v="4367"/>
    <x v="4931"/>
    <x v="0"/>
    <n v="0"/>
    <s v="LINESTRING (11.157055416991543 60.1628460507576, 11.159801604312417 60.16534372289213, 11.161047948672376 60.164839278300896, 11.161004451021679 60.16481014989154)"/>
    <s v="[2087014, 2087022, 1500114]"/>
    <s v="[1807772, 1357329, 1357330]"/>
    <s v="#FIELD!"/>
    <s v="[1807729, 1807772, 1357329]"/>
    <s v="[0.004, 0.019, 0.004]"/>
    <s v="456.5301723711459"/>
    <s v="[0.004, -0.019, 0.004]"/>
  </r>
  <r>
    <x v="4368"/>
    <x v="4932"/>
    <x v="0"/>
    <n v="0"/>
    <s v="LINESTRING (11.157197247798896 60.16546733779578, 11.157135896675706 60.16545207247221, 11.157044368526345 60.165401771671924, 11.157036204112977 60.1652864720966, 11.157072020997589 60.16525784758716)"/>
    <s v="[1526658, 1526666, 1526674, 1526682]"/>
    <s v="[1380262, 1380270, 1380275, 1370331]"/>
    <s v="#FIELD!"/>
    <s v="[1357338, 1380262, 1380270, 1380275]"/>
    <s v="[0.232, 0.019, 0.011, 0.187]"/>
    <s v="28.30166172972377"/>
    <s v="[-0.232, -0.019, -0.011, 0.187]"/>
  </r>
  <r>
    <x v="4368"/>
    <x v="4933"/>
    <x v="0"/>
    <n v="0"/>
    <m/>
    <n v="1526650"/>
    <n v="1357338"/>
    <s v="#FIELD!"/>
    <n v="1357339"/>
    <s v="0.004"/>
    <s v="14.891697370624122"/>
    <s v="#FIELD!"/>
  </r>
  <r>
    <x v="4368"/>
    <x v="4532"/>
    <x v="0"/>
    <n v="0"/>
    <s v="LINESTRING (11.16197431394924 60.168229017913106, 11.161813887547018 60.1681506539747, 11.160520910041813 60.16684926455576, 11.160452025530043 60.16680719213776, 11.159543604398989 60.16636695199532, 11.157263083584121 60.16552138710911, 11.157197247798896 60.16546733779578)"/>
    <s v="[1552047, 1500115, 1500121, 1500122, 1500123, 1500128]"/>
    <s v="[1357331, 1357332, 1357335, 1357336, 1357337, 1357338]"/>
    <s v="0.006081660565187014"/>
    <s v="[1400977, 1357331, 1357332, 1357335, 1357336, 1357337]"/>
    <s v="[0.025, 0.003, 0.027, 0.013, 0.013, 0.016]"/>
    <s v="417.4669352320351"/>
    <s v="[0.025, -0.003, -0.027, 0.013, 0.013, -0.016]"/>
  </r>
  <r>
    <x v="4369"/>
    <x v="4934"/>
    <x v="0"/>
    <n v="0"/>
    <s v="LINESTRING (11.157452394309162 60.16544508157425, 11.157502127967353 60.16549522035727, 11.158900332617755 60.165206199937806, 11.15671471679214 60.16299221024363)"/>
    <s v="[1500129, 1500130, 2087029]"/>
    <s v="[1357340, 1357341, 1807730]"/>
    <s v="0.0011914481916229145"/>
    <s v="[1357339, 1357340, 1357341]"/>
    <s v="[0.006, 0.015, 0.01]"/>
    <s v="428.28742714187734"/>
    <s v="[-0.006, -0.015, 0.01]"/>
  </r>
  <r>
    <x v="4369"/>
    <x v="4935"/>
    <x v="0"/>
    <n v="0"/>
    <m/>
    <n v="1526642"/>
    <n v="1357339"/>
    <s v="0.007"/>
    <n v="1370337"/>
    <s v="0.007"/>
    <s v="8.850988645318797"/>
    <s v="0.007"/>
  </r>
  <r>
    <x v="4370"/>
    <x v="4936"/>
    <x v="0"/>
    <n v="0"/>
    <m/>
    <n v="1500133"/>
    <n v="1357343"/>
    <s v="0.115"/>
    <n v="1357342"/>
    <s v="0.115"/>
    <s v="10.45858034571652"/>
    <s v="0.115"/>
  </r>
  <r>
    <x v="4370"/>
    <x v="4928"/>
    <x v="0"/>
    <n v="0"/>
    <s v="LINESTRING (10.93613356134496 59.93697068787568, 10.936191230982546 59.93691121414228, 10.936316296091366 59.936891715322965)"/>
    <s v="[1500162, 1500163]"/>
    <s v="[1357364, 1357342]"/>
    <s v="0.02728325185858623"/>
    <s v="[1357362, 1357364]"/>
    <s v="[0.04, 0.095]"/>
    <s v="14.693822707553675"/>
    <s v="[-0.04, 0.095]"/>
  </r>
  <r>
    <x v="4371"/>
    <x v="2829"/>
    <x v="0"/>
    <n v="0"/>
    <s v="LINESTRING (10.93645222088398 59.936950428242234, 10.93644965571956 59.93700104723704, 10.93636572133965 59.93704764529733, 10.936241925718559 59.93705078444123, 10.936190479346863 59.93703578306051)"/>
    <s v="[1500147, 1500153, 1500154, 1500155]"/>
    <s v="[1357354, 1357359, 1357360, 1357361]"/>
    <s v="#FIELD!"/>
    <s v="[1357343, 1357354, 1357359, 1357360]"/>
    <s v="[0.045, 0.038, 0.122, 0.094]"/>
    <s v="22.900832332502006"/>
    <s v="[0.045, -0.038, -0.122, -0.094]"/>
  </r>
  <r>
    <x v="4371"/>
    <x v="4937"/>
    <x v="0"/>
    <n v="0"/>
    <s v="LINESTRING (10.941231255173495 59.93392259643143, 10.93722170437311 59.936394559480846, 10.936492448239703 59.93686294987958, 10.93645222088398 59.936950428242234)"/>
    <s v="[1550690, 1550698, 1550706]"/>
    <s v="[1400001, 1400005, 1357343]"/>
    <s v="#FIELD!"/>
    <s v="[1368061, 1400001, 1400005]"/>
    <s v="[0.007, 0.038, 0.018]"/>
    <s v="432.45058565445544"/>
    <s v="[-0.007, -0.038, 0.018]"/>
  </r>
  <r>
    <x v="4372"/>
    <x v="4544"/>
    <x v="0"/>
    <n v="0"/>
    <s v="LINESTRING (11.161301461698145 60.16478460616689, 11.161330701071018 60.16482770368155, 11.160777274435649 60.16638814658928, 11.162553659743384 60.16847296565398, 11.162541558945964 60.16853132343613)"/>
    <s v="[1500137, 1500138, 1500139, 1552119]"/>
    <s v="[1357348, 1357349, 1357350, 1363644]"/>
    <s v="#FIELD!"/>
    <s v="[1357347, 1357348, 1357349, 1357350]"/>
    <s v="[0.004, 0.016, 0.005, 0.014]"/>
    <s v="446.55855521290357"/>
    <s v="[-0.004, -0.016, 0.005, -0.014]"/>
  </r>
  <r>
    <x v="4372"/>
    <x v="4938"/>
    <x v="0"/>
    <n v="0"/>
    <s v="LINESTRING (11.160853461911236 60.164651155012024, 11.160948125624408 60.164581987206965, 11.16108482122677 60.16455449015924, 11.161245362424575 60.16456993406052, 11.16129381577001 60.16458752013198, 11.161368226856048 60.16464541173739, 11.16137128918622 60.16472730260109, 11.161301461698145 60.16478460616689)"/>
    <s v="[1526706, 1526714, 1526722, 1526730, 1526738, 1526746, 1526754]"/>
    <s v="[1380300, 1380309, 1369490, 1380321, 1380328, 1380335, 1357347]"/>
    <s v="#FIELD!"/>
    <s v="[1365133, 1380300, 1380309, 1369490, 1380321, 1380328, 1380335]"/>
    <s v="[0.012, 0.014, 0.017, 0.013, 0.013, 0.004, 0.056]"/>
    <s v="54.182229929579755"/>
    <s v="[-0.012, 0.014, 0.017, 0.013, 0.013, 0.004, -0.056]"/>
  </r>
  <r>
    <x v="4373"/>
    <x v="4928"/>
    <x v="0"/>
    <n v="0"/>
    <m/>
    <n v="1500160"/>
    <n v="1357362"/>
    <s v="#FIELD!"/>
    <n v="1357361"/>
    <s v="0.055"/>
    <s v="7.921547134189316"/>
    <s v="#FIELD!"/>
  </r>
  <r>
    <x v="4374"/>
    <x v="4775"/>
    <x v="0"/>
    <n v="0"/>
    <s v="LINESTRING (10.524457270686517 59.88772581766067, 10.524687689296773 59.88772274033362, 10.524755073109901 59.887744853777946, 10.524821642977768 59.887786292562346, 10.524830469123327 59.8879032868425, 10.524759000923794 59.88795439088943, 10.524649489373015 59.88798436177163, 10.524480183915921 59.887979446330675, 10.524382609908562 59.887946979652966, 10.524310059978653 59.88787767448221, 10.524339970081758 59.88778039805526)"/>
    <s v="[1500563, 1500571, 1500576, 1500584, 1500592, 1500600, 1500604, 1500638, 1500648, 1500540]"/>
    <s v="[1357638, 1357646, 1357649, 1357654, 1357658, 1357663, 1357667, 1357697, 1357620, 1357621]"/>
    <s v="#FIELD!"/>
    <s v="[1357632, 1357638, 1357646, 1357649, 1357654, 1357658, 1357663, 1357667, 1357697, 1357620]"/>
    <s v="[0.007, 0.0, 0.006, 0.01, 0.029, 0.025, 0.008, 0.024, 0.056, 0.01]"/>
    <s v="86.70785966715394"/>
    <s v="[0.007, 0.0, -0.006, 0.01, 0.029, 0.025, 0.008, -0.024, -0.056, -0.01]"/>
  </r>
  <r>
    <x v="4375"/>
    <x v="4829"/>
    <x v="0"/>
    <n v="0"/>
    <s v="LINESTRING (10.735521432735213 59.60236157881974, 10.7355412643087 59.60240577349356, 10.735518189869397 59.60246598688847)"/>
    <s v="[1500806, 1500814]"/>
    <s v="[1357807, 1357811]"/>
    <s v="#FIELD!"/>
    <s v="[1357805, 1357807]"/>
    <s v="[0.057, 0.034]"/>
    <s v="11.8864326927367"/>
    <s v="[-0.057, -0.034]"/>
  </r>
  <r>
    <x v="4376"/>
    <x v="4822"/>
    <x v="0"/>
    <n v="0"/>
    <s v="LINESTRING (10.740334740700632 59.60245548827986, 10.740325425047134 59.60240315749228, 10.740413964109557 59.602320311322735)"/>
    <s v="[1500929, 1500934]"/>
    <s v="[1357888, 1357826]"/>
    <s v="#FIELD!"/>
    <s v="[1357883, 1357888]"/>
    <s v="[0.04, 0.034]"/>
    <s v="16.355346340881244"/>
    <s v="[-0.04, -0.034]"/>
  </r>
  <r>
    <x v="4377"/>
    <x v="4836"/>
    <x v="0"/>
    <n v="0"/>
    <s v="LINESTRING (10.73298187227667 59.6244379265371, 10.733059896614416 59.624534976264854, 10.733009834484418 59.62460204271424)"/>
    <s v="[1501035, 1501040]"/>
    <s v="[1357946, 1357949]"/>
    <s v="#FIELD!"/>
    <s v="[1357942, 1357946]"/>
    <s v="[0.051, 0.04]"/>
    <s v="19.966827807042463"/>
    <s v="[-0.051, 0.04]"/>
  </r>
  <r>
    <x v="4378"/>
    <x v="4832"/>
    <x v="0"/>
    <n v="0"/>
    <s v="LINESTRING (10.73587211253574 59.624698843597976, 10.735833022595719 59.624629230980894, 10.73588078610656 59.624560649959605)"/>
    <s v="[1501084, 1501092]"/>
    <s v="[1357968, 1357957]"/>
    <s v="#FIELD!"/>
    <s v="[1357967, 1357968]"/>
    <s v="[0.016, 0.009]"/>
    <s v="16.16967785579036"/>
    <s v="[-0.016, -0.009]"/>
  </r>
  <r>
    <x v="4379"/>
    <x v="4859"/>
    <x v="0"/>
    <n v="0"/>
    <s v="LINESTRING (10.840566670869812 59.79721528236663, 10.840607842633517 59.797271433028776, 10.84058856810716 59.79735444126324)"/>
    <s v="[1501210, 1501147]"/>
    <s v="[1357998, 1357999]"/>
    <s v="#FIELD!"/>
    <s v="[1358019, 1357998]"/>
    <s v="0.021"/>
    <s v="15.98426319386934"/>
    <s v="#FIELD!"/>
  </r>
  <r>
    <x v="4380"/>
    <x v="4898"/>
    <x v="0"/>
    <n v="0"/>
    <s v="LINESTRING (11.069023492057157 60.01672427194069, 11.068934399546416 60.01667307224165, 11.068906512676579 60.01659043376448)"/>
    <s v="[1501216, 1501217]"/>
    <s v="[1358028, 1358029]"/>
    <s v="0.03507675510733059"/>
    <s v="[1358025, 1358028]"/>
    <s v="[0.029, 0.04]"/>
    <s v="16.90553782000179"/>
    <s v="[0.029, 0.04]"/>
  </r>
  <r>
    <x v="4381"/>
    <x v="4900"/>
    <x v="0"/>
    <n v="0"/>
    <s v="LINESTRING (11.066184844460471 60.01711163080414, 11.066258871407149 60.01716867612747, 11.066261591948983 60.01725146391618)"/>
    <s v="[1501325, 1501327]"/>
    <s v="[1358088, 1358048]"/>
    <s v="0.056804085054352776"/>
    <s v="[1358084, 1358088]"/>
    <s v="[0.059, 0.055]"/>
    <s v="16.80682946673719"/>
    <s v="[0.059, 0.055]"/>
  </r>
  <r>
    <x v="4382"/>
    <x v="4939"/>
    <x v="0"/>
    <n v="0"/>
    <s v="LINESTRING (10.502817046527309 59.877277543078094, 10.502800426166141 59.87732104136723, 10.502743818294128 59.87735597753033, 10.502637749977076 59.87737303433294, 10.502460624075173 59.87728064161438, 10.502498165398096 59.8772279663698, 10.502611877282115 59.87719408401785, 10.502817046527309 59.877277543078094)"/>
    <s v="[1501297, 1501315, 1501321, 1501269, 1501280, 1501281, 1501282]"/>
    <s v="[1358071, 1358082, 1358055, 1358056, 1358060, 1358061, 1358062]"/>
    <s v="0.0001461439565146813"/>
    <s v="[1358062, 1358071, 1358082, 1358055, 1358056, 1358060, 1358061]"/>
    <s v="[0.004, 0.016, 0.022, 0.01, 0.013, 0.017, 0.011]"/>
    <s v="61.540175949187535"/>
    <s v="[0.004, 0.016, 0.022, 0.01, -0.013, -0.017, -0.011]"/>
  </r>
  <r>
    <x v="4382"/>
    <x v="4940"/>
    <x v="0"/>
    <n v="0"/>
    <s v="LINESTRING (10.50495826059838 59.87772846768698, 10.504791954911452 59.87766050495377, 10.503840051028355 59.87725317008881, 10.502880831515071 59.877278537366685, 10.502817046527309 59.877277543078094)"/>
    <s v="[1540268, 1505467, 1505469, 1505476]"/>
    <s v="[1361398, 1361399, 1361401, 1358062]"/>
    <s v="0.021891276322436648"/>
    <s v="[1391733, 1361398, 1361399, 1361401]"/>
    <s v="[0.153, 0.017, 0.0, 0.018]"/>
    <s v="141.93504158177078"/>
    <s v="[0.153, 0.017, 0.0, 0.018]"/>
  </r>
  <r>
    <x v="4383"/>
    <x v="4941"/>
    <x v="0"/>
    <n v="0"/>
    <s v="LINESTRING (11.065898435754276 60.017088707017685, 11.066032566391783 60.01707832277599, 11.066129711342194 60.017092007203495)"/>
    <s v="[1501305, 1501316]"/>
    <s v="[1358078, 1358083]"/>
    <s v="0.049338592389589736"/>
    <s v="[1358075, 1358078]"/>
    <s v="[0.06, 0.035]"/>
    <s v="13.20038447024095"/>
    <s v="[0.06, 0.035]"/>
  </r>
  <r>
    <x v="4383"/>
    <x v="4942"/>
    <x v="0"/>
    <n v="0"/>
    <s v="LINESTRING (11.065898435754276 60.017088707017685, 11.065925574588134 60.0170283133076, 11.066011785580857 60.016836415368125)"/>
    <s v="[1724008, 1724018]"/>
    <s v="[1534581, 1534588]"/>
    <s v="0.07593454820330867"/>
    <s v="[1358075, 1534581]"/>
    <s v="[0.403, 0.027]"/>
    <s v="28.81602332668608"/>
    <s v="[0.403, -0.027]"/>
  </r>
  <r>
    <x v="4384"/>
    <x v="4900"/>
    <x v="0"/>
    <n v="0"/>
    <m/>
    <n v="1501317"/>
    <n v="1358084"/>
    <s v="0.053"/>
    <n v="1358083"/>
    <s v="0.053"/>
    <s v="3.7735924528325135"/>
    <s v="0.053"/>
  </r>
  <r>
    <x v="4384"/>
    <x v="4942"/>
    <x v="0"/>
    <n v="0"/>
    <s v="LINESTRING (11.066129711342194 60.017092007203495, 11.066099432261753 60.01702635942255, 11.066011785580857 60.016836415368125)"/>
    <s v="[1724047, 1724055]"/>
    <s v="[1534604, 1534588]"/>
    <s v="0.05225469300883196"/>
    <s v="[1358083, 1534604]"/>
    <s v="[0.27, 0.023]"/>
    <s v="29.231305162611427"/>
    <s v="[0.27, -0.023]"/>
  </r>
  <r>
    <x v="4385"/>
    <x v="4943"/>
    <x v="0"/>
    <n v="0"/>
    <s v="LINESTRING (10.40179124525061 59.94539848582666, 10.394719409897471 59.94685733045293, 10.394701756785132 59.94685560677474, 10.393455679868584 59.94671238406788, 10.393335886656441 59.946666956158865)"/>
    <s v="[1834653, 1834661, 1834669, 1834670]"/>
    <s v="[1609817, 1609821, 1609828, 1358093]"/>
    <s v="0.056828085157875026"/>
    <s v="[1358090, 1609817, 1609821, 1609828]"/>
    <s v="[0.037, 0.059, 0.086, 0.924]"/>
    <s v="553.3604904030504"/>
    <s v="[0.037, 0.059, 0.086, 0.924]"/>
  </r>
  <r>
    <x v="4385"/>
    <x v="4943"/>
    <x v="0"/>
    <n v="0"/>
    <s v="LINESTRING (10.40179124525061 59.94539848582666, 10.394723844859598 59.94680968330052, 10.394706412093413 59.94680792236, 10.393479145759027 59.94665694850586, 10.393335886656441 59.946666956158865)"/>
    <s v="[1834679, 1834687, 1834695, 1834696]"/>
    <s v="[1609834, 1609841, 1609847, 1358093]"/>
    <s v="0.05750769002457934"/>
    <s v="[1358090, 1609834, 1609841, 1609847]"/>
    <s v="[0.039, 0.03, 0.088, 0.833]"/>
    <s v="547.1408785376899"/>
    <s v="[0.039, 0.03, 0.088, 0.833]"/>
  </r>
  <r>
    <x v="4386"/>
    <x v="1392"/>
    <x v="0"/>
    <n v="0"/>
    <s v="LINESTRING (10.393335886656441 59.946666956158865, 10.393189667393147 59.946648349578865, 10.392484091471466 59.94656520108209)"/>
    <s v="[1501333, 1501338]"/>
    <s v="[1358094, 1358098]"/>
    <s v="0.18641185509816877"/>
    <s v="[1358093, 1358094]"/>
    <s v="[0.198, 0.184]"/>
    <s v="48.959136989476626"/>
    <s v="[0.198, 0.184]"/>
  </r>
  <r>
    <x v="4387"/>
    <x v="4787"/>
    <x v="0"/>
    <n v="0"/>
    <s v="LINESTRING (10.500197005669857 59.87630594797049, 10.50025224848711 59.87635244473964, 10.50025839956214 59.87644177803137, 10.50015806384377 59.876515596315535, 10.4999304084973 59.87654278933545, 10.499861794099335 59.87653162784325, 10.499800931950205 59.87651209812572, 10.499711481138192 59.87644423166257, 10.499707862040024 59.87636448180891, 10.49980477029567 59.87628955730293, 10.499971294349523 59.876258024223155)"/>
    <s v="[1501472, 1501480, 1501481, 1501364, 1501365, 1501379, 1501403, 1501407, 1501412, 1501438]"/>
    <s v="[1358183, 1358189, 1358109, 1358110, 1358111, 1358117, 1358133, 1358138, 1358141, 1358163]"/>
    <s v="#FIELD!"/>
    <s v="[1358175, 1358183, 1358189, 1358109, 1358110, 1358111, 1358117, 1358133, 1358138, 1358141]"/>
    <s v="[0.018, 0.014, 0.009, 0.003, 0.017, 0.031, 0.05, 0.051, 0.018, 0.031]"/>
    <s v="85.34716561486196"/>
    <s v="[0.018, 0.014, 0.009, -0.003, -0.017, -0.031, -0.05, -0.051, -0.018, 0.031]"/>
  </r>
  <r>
    <x v="4388"/>
    <x v="4944"/>
    <x v="0"/>
    <n v="0"/>
    <s v="LINESTRING (10.549899084611539 59.89431556083744, 10.549740527063891 59.894296707646525, 10.54965151090329 59.894239738796806)"/>
    <s v="[1501799, 1501800]"/>
    <s v="[1358385, 1358386]"/>
    <s v="#FIELD!"/>
    <s v="[1358378, 1358385]"/>
    <s v="[0.002, 0.04]"/>
    <s v="17.196318223687662"/>
    <s v="[0.002, -0.04]"/>
  </r>
  <r>
    <x v="4388"/>
    <x v="4945"/>
    <x v="0"/>
    <n v="0"/>
    <s v="LINESTRING (10.549899084611539 59.89431556083744, 10.549801918730859 59.89436134813336, 10.549563498986123 59.894475388110045, 10.548965136138152 59.89472941846784, 10.548873544730498 59.89477980027209, 10.54879200018818 59.89483027016733)"/>
    <s v="[1511120, 1511128, 1511136, 1511144, 1511158]"/>
    <s v="[1366512, 1366520, 1366527, 1366536, 1358461]"/>
    <s v="0.041530036836452545"/>
    <s v="[1358378, 1366512, 1366520, 1366527, 1366536]"/>
    <s v="[0.059, 0.056, 0.029, 0.044, 0.06]"/>
    <s v="84.60936009704298"/>
    <s v="[0.059, 0.056, 0.029, 0.044, 0.06]"/>
  </r>
  <r>
    <x v="4388"/>
    <x v="4946"/>
    <x v="0"/>
    <n v="0"/>
    <s v="LINESTRING (10.549780350769538 59.89409301658817, 10.54992432890268 59.8940870957117, 10.550046393618258 59.89412449864216, 10.550101779483214 59.894192020389596, 10.549899084611539 59.89431556083744)"/>
    <s v="[1501833, 1501870, 1501880, 1501791]"/>
    <s v="[1358413, 1358450, 1358377, 1358378]"/>
    <s v="0.03959842067796027"/>
    <s v="[1358404, 1358413, 1358450, 1358377]"/>
    <s v="[0.045, 0.005, 0.072, 0.08]"/>
    <s v="43.48428391476462"/>
    <s v="[-0.045, -0.005, 0.072, 0.08]"/>
  </r>
  <r>
    <x v="4389"/>
    <x v="4947"/>
    <x v="0"/>
    <n v="0"/>
    <m/>
    <n v="1501810"/>
    <n v="1358395"/>
    <s v="#FIELD!"/>
    <n v="1358386"/>
    <s v="0.055"/>
    <s v="4.924428900717794"/>
    <s v="#FIELD!"/>
  </r>
  <r>
    <x v="4389"/>
    <x v="4948"/>
    <x v="0"/>
    <n v="0"/>
    <s v="LINESTRING (10.54965151090329 59.894239738796806, 10.549600448370674 59.89429409110027, 10.549444982344687 59.89443127017566, 10.548857494337664 59.89466866236226, 10.54874661023744 59.89470407457247, 10.54860312175793 59.89474384213259)"/>
    <s v="[1514065, 1514077, 1514078, 1514082, 1514090]"/>
    <s v="[1369181, 1369194, 1369195, 1369200, 1358513]"/>
    <s v="0.041732118480088884"/>
    <s v="[1358386, 1369181, 1369194, 1369195, 1369200]"/>
    <s v="[0.064, 0.062, 0.032, 0.028, 0.042]"/>
    <s v="83.22469648848828"/>
    <s v="[0.064, 0.062, 0.032, 0.028, 0.042]"/>
  </r>
  <r>
    <x v="4390"/>
    <x v="4946"/>
    <x v="0"/>
    <n v="0"/>
    <m/>
    <n v="1501822"/>
    <n v="1358404"/>
    <s v="#FIELD!"/>
    <n v="1358395"/>
    <s v="0.079"/>
    <s v="14.58571653590009"/>
    <s v="#FIELD!"/>
  </r>
  <r>
    <x v="4390"/>
    <x v="4949"/>
    <x v="0"/>
    <s v="[0, 0, 1, 1, 1, 0, 0]"/>
    <s v="LINESTRING (10.54963767014777 59.894196104604134, 10.549548738815895 59.894165217977374, 10.54908904102956 59.894458499631185, 10.549283646611457 59.894471073126944, 10.54959805512073 59.894489452995415, 10.549768954319257 59.89449394850224, 10.55143021683932 59.894554507645374, 10.551536222499625 59.894600251034014)"/>
    <s v="[1505087, 1505136, 1505169, 1505170, 1505177, 1505185, 1554271]"/>
    <s v="[1361037, 1361076, 1361108, 1361109, 1361115, 1361124, 1393854]"/>
    <s v="0.011831550649250835"/>
    <s v="[1358395, 1361037, 1361076, 1361108, 1361109, 1361115, 1361124]"/>
    <s v="[0.005, 0.015, 0.006, 0.002, 0.001, 0.009, 0.072]"/>
    <s v="290.386928510528"/>
    <s v="[-0.005, 0.015, -0.006, -0.002, -0.001, 0.009, 0.072]"/>
  </r>
  <r>
    <x v="4391"/>
    <x v="4950"/>
    <x v="0"/>
    <n v="0"/>
    <s v="LINESTRING (10.546617944718832 59.89421171853831, 10.546813935213791 59.89421835334136, 10.549705775657506 59.89407520579566, 10.549780350769538 59.89409301658817)"/>
    <s v="[1554287, 1505217, 1505225]"/>
    <s v="[1361155, 1361156, 1358404]"/>
    <s v="#FIELD!"/>
    <s v="[1393902, 1361155, 1361156]"/>
    <s v="[0.045, 0.036, 0.023]"/>
    <s v="188.22559116983712"/>
    <s v="[-0.045, -0.036, -0.023]"/>
  </r>
  <r>
    <x v="4392"/>
    <x v="4951"/>
    <x v="0"/>
    <n v="0"/>
    <s v="LINESTRING (10.54879200018818 59.89483027016733, 10.548784800654177 59.894883984034344, 10.548715478945663 59.8949337973101, 10.548606634305548 59.89495799232779, 10.54839075253881 59.89489942758443)"/>
    <s v="[1501881, 1501892, 1501893, 1501906]"/>
    <s v="[1358462, 1358474, 1358475, 1358487]"/>
    <s v="0.04153446182072084"/>
    <s v="[1358461, 1358462, 1358474, 1358475]"/>
    <s v="[0.057, 0.071, 0.079, 0.004]"/>
    <s v="33.88179500884273"/>
    <s v="[0.057, 0.071, 0.079, 0.004]"/>
  </r>
  <r>
    <x v="4392"/>
    <x v="4948"/>
    <x v="0"/>
    <n v="0"/>
    <s v="LINESTRING (10.54860312175793 59.89474384213259, 10.548712853077616 59.89476644028232, 10.54879200018818 59.89483027016733)"/>
    <s v="[1501936, 1501948]"/>
    <s v="[1358514, 1358461]"/>
    <s v="0.024600834003838338"/>
    <s v="[1358513, 1358514]"/>
    <s v="[0.014, 0.033]"/>
    <s v="15.022310393190331"/>
    <s v="[0.014, 0.033]"/>
  </r>
  <r>
    <x v="4393"/>
    <x v="4952"/>
    <x v="0"/>
    <n v="0"/>
    <s v="LINESTRING (10.54839075253881 59.89489942758443, 10.54836850265523 59.89483842213001, 10.548430835861359 59.894773983881485)"/>
    <s v="[1501919, 1501927]"/>
    <s v="[1358498, 1358507]"/>
    <s v="#FIELD!"/>
    <s v="[1358487, 1358498]"/>
    <s v="[0.078, 0.096]"/>
    <s v="14.897293774250585"/>
    <s v="[-0.078, -0.096]"/>
  </r>
  <r>
    <x v="4393"/>
    <x v="4953"/>
    <x v="0"/>
    <n v="0"/>
    <s v="LINESTRING (10.54839075253881 59.89489942758443, 10.548279166738643 59.894890795362656, 10.546515072164658 59.894700967335474, 10.5463808059573 59.89465873247721)"/>
    <s v="[1511166, 1511182, 1511186]"/>
    <s v="[1366554, 1366566, 1358519]"/>
    <s v="0.030224997788761893"/>
    <s v="[1358487, 1366554, 1366566]"/>
    <s v="[0.025, 0.029, 0.048]"/>
    <s v="116.9397265083147"/>
    <s v="[0.025, 0.029, 0.048]"/>
  </r>
  <r>
    <x v="4394"/>
    <x v="4948"/>
    <x v="0"/>
    <n v="0"/>
    <m/>
    <n v="1501935"/>
    <n v="1358513"/>
    <s v="#FIELD!"/>
    <n v="1358507"/>
    <s v="0.045"/>
    <s v="10.446160202238813"/>
    <s v="#FIELD!"/>
  </r>
  <r>
    <x v="4394"/>
    <x v="4954"/>
    <x v="0"/>
    <n v="0"/>
    <s v="LINESTRING (10.548430835861359 59.894773983881485, 10.5483123327679 59.89477890374159, 10.54697425954553 59.89471242901583)"/>
    <s v="[1514093, 1514101]"/>
    <s v="[1369212, 1361036]"/>
    <s v="0.03164733952472447"/>
    <s v="[1358507, 1369212]"/>
    <s v="[0.039, 0.031]"/>
    <s v="82.28709546336398"/>
    <s v="[0.039, 0.031]"/>
  </r>
  <r>
    <x v="4395"/>
    <x v="4955"/>
    <x v="0"/>
    <n v="0"/>
    <s v="LINESTRING (10.5463808059573 59.89465873247721, 10.54622098575564 59.89460925632979, 10.54620740866432 59.894550342627674, 10.546273529930366 59.89449772437508, 10.546312747451099 59.894485562720845)"/>
    <s v="[1501949, 1501964, 1501987, 1502000]"/>
    <s v="[1358520, 1358527, 1358543, 1358556]"/>
    <s v="#FIELD!"/>
    <s v="[1358519, 1358520, 1358527, 1358543]"/>
    <s v="[0.037, 0.054, 0.083, 0.086]"/>
    <s v="27.037231822289222"/>
    <s v="[0.037, -0.054, -0.083, -0.086]"/>
  </r>
  <r>
    <x v="4395"/>
    <x v="4956"/>
    <x v="0"/>
    <n v="0"/>
    <s v="LINESTRING (10.54655206957617 59.8945961842458, 10.546496538054635 59.89463657104209, 10.5463808059573 59.89465873247721)"/>
    <s v="[1502021, 1502029]"/>
    <s v="[1358575, 1358519]"/>
    <s v="0.08882636524470197"/>
    <s v="[1358574, 1358575]"/>
    <s v="[0.081, 0.095]"/>
    <s v="12.406248100332121"/>
    <s v="[0.081, 0.095]"/>
  </r>
  <r>
    <x v="4396"/>
    <x v="4957"/>
    <x v="0"/>
    <n v="0"/>
    <m/>
    <n v="1502001"/>
    <n v="1358557"/>
    <s v="#FIELD!"/>
    <n v="1358556"/>
    <s v="0.029"/>
    <s v="19.13241280825457"/>
    <s v="#FIELD!"/>
  </r>
  <r>
    <x v="4396"/>
    <x v="4958"/>
    <x v="0"/>
    <n v="0"/>
    <s v="LINESTRING (10.546312747451099 59.894485562720845, 10.54628441694981 59.89444323610494, 10.545794684882585 59.89417125567331, 10.544161463379034 59.89369777325395, 10.544081807436473 59.893664499080245)"/>
    <s v="[1505193, 1505201, 1505209, 1554279]"/>
    <s v="[1361131, 1361139, 1361148, 1401750]"/>
    <s v="0.011108803393761666"/>
    <s v="[1358556, 1361131, 1361139, 1361148]"/>
    <s v="[0.041, 0.028, 0.032, 0.043]"/>
    <s v="158.1152612388121"/>
    <s v="[-0.041, -0.028, 0.032, -0.043]"/>
  </r>
  <r>
    <x v="4397"/>
    <x v="4956"/>
    <x v="0"/>
    <n v="0"/>
    <m/>
    <n v="1502020"/>
    <n v="1358574"/>
    <s v="0.06"/>
    <n v="1358557"/>
    <s v="0.06"/>
    <s v="3.40587727355785"/>
    <s v="0.06"/>
  </r>
  <r>
    <x v="4397"/>
    <x v="4959"/>
    <x v="0"/>
    <n v="0"/>
    <s v="LINESTRING (10.547250563099405 59.89453177924988, 10.546644196345907 59.89454984195239, 10.546559714810876 59.89456586711649)"/>
    <s v="[1505055, 1505072]"/>
    <s v="[1361006, 1358557]"/>
    <s v="0.05478922877284554"/>
    <s v="[1360997, 1361006]"/>
    <s v="[0.041, 0.151]"/>
    <s v="40.33834464955153"/>
    <s v="[0.041, 0.151]"/>
  </r>
  <r>
    <x v="4398"/>
    <x v="4954"/>
    <x v="0"/>
    <n v="0"/>
    <s v="LINESTRING (10.54697425954553 59.89471242901583, 10.546639103366816 59.89462786302689, 10.54655206957617 59.8945961842458)"/>
    <s v="[1514102, 1514109]"/>
    <s v="[1369222, 1358574]"/>
    <s v="0.04233592899460354"/>
    <s v="[1361036, 1369222]"/>
    <s v="[0.043, 0.04]"/>
    <s v="27.18749023351543"/>
    <s v="[0.043, 0.04]"/>
  </r>
  <r>
    <x v="4399"/>
    <x v="4889"/>
    <x v="0"/>
    <n v="0"/>
    <s v="LINESTRING (11.01547337530221 59.93964630750399, 11.01555560423709 59.93964789583832, 11.015684439514697 59.939694046766604, 11.015698841842887 59.939797869551256, 11.015659585219154 59.939826349742255, 11.015511921585968 59.93986233898731, 11.015327850651245 59.93981361798888, 11.015294557967698 59.93977754912977)"/>
    <s v="[1502918, 1502919, 1502933, 1502941, 1502949, 1502957, 1502908]"/>
    <s v="[1359270, 1359271, 1359280, 1359283, 1359287, 1359262, 1359263]"/>
    <s v="#FIELD!"/>
    <s v="[1359269, 1359270, 1359271, 1359280, 1359283, 1359287, 1359262]"/>
    <s v="[0.066, 0.049, 0.014, 0.039, 0.073, 0.064, 0.029]"/>
    <s v="54.897617234697464"/>
    <s v="[0.066, 0.049, 0.014, -0.039, -0.073, -0.064, -0.029]"/>
  </r>
  <r>
    <x v="4400"/>
    <x v="4960"/>
    <x v="0"/>
    <n v="0"/>
    <s v="LINESTRING (10.9968233171589 59.97895836536108, 10.996613646974058 59.97888241342219, 10.996600673658886 59.97878348614641)"/>
    <s v="[1503103, 1503110]"/>
    <s v="[1359392, 1359352]"/>
    <s v="#FIELD!"/>
    <s v="[1359379, 1359392]"/>
    <s v="[0.007, 0.014]"/>
    <s v="26.166774969369598"/>
    <s v="[0.007, -0.014]"/>
  </r>
  <r>
    <x v="4400"/>
    <x v="4961"/>
    <x v="0"/>
    <s v="[0, 0, 1, 1, 0, 0]"/>
    <s v="LINESTRING (10.99258981791911 59.98007381240877, 10.992793120488546 59.98003250574869, 10.99360370528928 59.97970806833578, 10.995227675431938 59.979142118901784, 10.99527397838479 59.979128601700424, 10.996488856793048 59.97881838883827, 10.996600673658886 59.97878348614641)"/>
    <s v="[1538096, 1538104, 1538112, 1538120, 1538128, 1538136]"/>
    <s v="[1389995, 1390001, 1390010, 1390016, 1390024, 1359352]"/>
    <s v="#FIELD!"/>
    <s v="[1359749, 1389995, 1390001, 1390010, 1390016, 1390024]"/>
    <s v="[0.02, 0.024, 0.017, 0.03, 0.012, 0.06]"/>
    <s v="267.7832601346444"/>
    <s v="[0.02, -0.024, -0.017, 0.03, 0.012, 0.06]"/>
  </r>
  <r>
    <x v="4401"/>
    <x v="4962"/>
    <x v="0"/>
    <n v="0"/>
    <s v="LINESTRING (10.997013751482864 59.9787156573915, 10.997111638534605 59.97878291016475, 10.997063758887991 59.97891037661931)"/>
    <s v="[1503079, 1503080]"/>
    <s v="[1359374, 1359375]"/>
    <s v="0.008717159482959844"/>
    <s v="[1359360, 1359374]"/>
    <s v="[0.003, 0.016]"/>
    <s v="24.200801678906174"/>
    <s v="[-0.003, 0.016]"/>
  </r>
  <r>
    <x v="4401"/>
    <x v="4864"/>
    <x v="0"/>
    <n v="0"/>
    <s v="LINESTRING (10.997013751482864 59.9787156573915, 10.997164117459612 59.97871191632856, 10.997894914981655 59.978631831748245)"/>
    <s v="[1538144, 1538152]"/>
    <s v="[1390040, 1364901]"/>
    <s v="#FIELD!"/>
    <s v="[1359360, 1390040]"/>
    <s v="[0.064, 0.013]"/>
    <s v="50.353041879435416"/>
    <s v="[-0.064, -0.013]"/>
  </r>
  <r>
    <x v="4402"/>
    <x v="4960"/>
    <x v="0"/>
    <n v="0"/>
    <m/>
    <n v="1503087"/>
    <n v="1359379"/>
    <s v="0.025"/>
    <n v="1359375"/>
    <s v="0.025"/>
    <s v="14.920716526238845"/>
    <s v="0.025"/>
  </r>
  <r>
    <x v="4402"/>
    <x v="4963"/>
    <x v="0"/>
    <n v="0"/>
    <s v="LINESTRING (10.997063758887991 59.97891037661931, 10.997262231408145 59.978842287498225, 10.997953124476526 59.978692395217315)"/>
    <s v="[1541544, 1541552]"/>
    <s v="[1392714, 1392718]"/>
    <s v="#FIELD!"/>
    <s v="[1359375, 1392714]"/>
    <s v="[0.066, 0.01]"/>
    <s v="55.74300112785813"/>
    <s v="[-0.066, -0.01]"/>
  </r>
  <r>
    <x v="4403"/>
    <x v="4869"/>
    <x v="0"/>
    <s v="[0, 0, 1, 0, 0]"/>
    <s v="LINESTRING (10.992855671548869 59.98018357390184, 10.99295004149097 59.98013311205667, 10.993684835457465 59.97977886009109, 10.99537016723345 59.9792232245464, 10.9966040949971 59.97896749487945, 10.9968233171589 59.97895836536108)"/>
    <s v="[1541504, 1541512, 1541520, 1541528, 1541536]"/>
    <s v="[1392688, 1392691, 1392696, 1392703, 1359379]"/>
    <s v="#FIELD!"/>
    <s v="[1359757, 1392688, 1392691, 1392696, 1392703]"/>
    <s v="[0.018, 0.03, 0.012, 0.009, 0.053]"/>
    <s v="265.01907574032646"/>
    <s v="[0.018, -0.03, -0.012, 0.009, 0.053]"/>
  </r>
  <r>
    <x v="4404"/>
    <x v="4964"/>
    <x v="0"/>
    <n v="0"/>
    <s v="LINESTRING (10.88649130411682 59.67270760085353, 10.885231228234531 59.672939471080895, 10.88521567924569 59.67294377496587, 10.884702787264471 59.67309712902201, 10.884589207445151 59.67313831885418, 10.884456041477941 59.673173112042896, 10.88307561998367 59.67358851119619, 10.882930420465403 59.673636726097534, 10.881912172132937 59.6740049714654)"/>
    <s v="[1542172, 1542180, 1542188, 1542196, 1542204, 1542212, 1542220, 1542228]"/>
    <s v="[1393218, 1393224, 1393230, 1362087, 1393243, 1393248, 1393255, 1359673]"/>
    <s v="0.029251516998008324"/>
    <s v="[1359667, 1393218, 1393224, 1393230, 1362087, 1393243, 1393248, 1393255]"/>
    <s v="[0.05, 0.008, 0.039, 0.016, 0.005, 0.019, 0.059, 0.016]"/>
    <s v="297.87322834724773"/>
    <s v="[0.05, 0.008, 0.039, 0.016, 0.005, 0.019, 0.059, 0.016]"/>
  </r>
  <r>
    <x v="4404"/>
    <x v="4964"/>
    <x v="0"/>
    <n v="0"/>
    <s v="LINESTRING (10.88649130411682 59.67270760085353, 10.885327723546743 59.67301586008634, 10.885261052523797 59.67303376229125, 10.885245390536515 59.67303797272059, 10.884785200025812 59.673169200918366, 10.88475505376114 59.67317816216142, 10.884667851461664 59.67320011250459, 10.884569487508296 59.67322581210946, 10.884546154742122 59.67323284745892, 10.883050864557152 59.673684981029986, 10.881912172132937 59.6740049714654)"/>
    <s v="[1552135, 1552143, 1552151, 1552159, 1552167, 1552175, 1552183, 1552191, 1552199, 1552207]"/>
    <s v="[1401046, 1401052, 1401059, 1401065, 1362088, 1401072, 1363532, 1401085, 1401092, 1359673]"/>
    <s v="0.029422312802007047"/>
    <s v="[1359667, 1401046, 1401052, 1401059, 1401065, 1362088, 1401072, 1363532, 1401085, 1401092]"/>
    <s v="[0.054, 0.027, 0.049, 0.041, 0.051, 0.03, 0.01, 0.013, 0.015, 0.021]"/>
    <s v="296.1023545046856"/>
    <s v="[0.054, 0.027, 0.049, 0.041, 0.051, 0.03, 0.01, -0.013, 0.015, 0.021]"/>
  </r>
  <r>
    <x v="4405"/>
    <x v="4756"/>
    <x v="436"/>
    <n v="0"/>
    <s v="LINESTRING (10.881912172132937 59.6740049714654, 10.879411993113298 59.674715366404016, 10.873470954298565 59.67613599382486, 10.873256746240846 59.676190746394035, 10.87310440266388 59.67622861983124, 10.872905109826926 59.67627556979868, 10.872622924651074 59.67634137905847, 10.864201311425024 59.67837284075745, 10.862974462123136 59.678668851184334, 10.862847718311743 59.67869934845382, 10.861527291594571 59.67901246837621, 10.861432776450911 59.67903924392555, 10.858729341480108 59.67968723832756, 10.857642926483107 59.67998135449093, 10.855213094660467 59.680851012630804, 10.847219010874458 59.6833126312404, 10.843618413252536 59.683918411909374, 10.841087447168134 59.684238210137, 10.8400981159787 59.68435786020029, 10.834895820205787 59.6848372812345, 10.833885272027647 59.68488409998461, 10.823272215984604 59.6867134582888, 10.820078097447047 59.687716100627895, 10.815926170837546 59.688285021011346, 10.815182660368418 59.68838437232232, 10.814703255479964 59.6884381431452, 10.813678851640168 59.68855619918939)"/>
    <s v="[1503459, 1503466, 1503471, 1503472, 1503473, 1503480, 1503488, 1503496, 1503505, 1503513, 1503549, 1503555, 1503563, 1503569, 1503577, 1503599, 1503611, 1503619, 1503634, 1503635, 1503643, 1503651, 1503659, 1503662, 1503685, 1503686]"/>
    <s v="[1359674, 1359681, 1359686, 673691, 1359687, 673686, 987223, 1359702, 1359708, 1359714, 987261, 1359751, 1359758, 1359761, 1359769, 1359786, 1359793, 1359798, 485102, 1359808, 1359817, 464759, 1359830, 1359833, 1359856, 1359857]"/>
    <s v="#FIELD!"/>
    <s v="[1359673, 1359674, 1359681, 1359686, 673691, 1359687, 673686, 987223, 1359702, 1359708, 1359714, 987261, 1359751, 1359758, 1359761, 1359769, 1359786, 1359793, 1359798, 485102, 1359808, 1359817, 464759, 1359830, 1359833, 1359856]"/>
    <s v="[0.009, 0.019, 0.001, 0.009, 0.02, 0.026, 0.014, 0.025, 0.015, 0.008, 0.009, 0.001, 0.036, 0.019, 0.008, 0.025, 0.0, 0.002, 0.027, 0.066, 0.001, 0.003, 0.009, 0.02, 0.021, 0.011]"/>
    <s v="4224.335556809263"/>
    <s v="[0.009, 0.019, 0.001, 0.009, 0.02, 0.026, 0.014, 0.025, 0.015, 0.008, 0.009, -0.001, -0.036, -0.019, -0.008, -0.025, 0.0, -0.002, -0.027, -0.066, 0.001, -0.003, -0.009, 0.02, 0.021, 0.011]"/>
  </r>
  <r>
    <x v="4406"/>
    <x v="4961"/>
    <x v="0"/>
    <n v="0"/>
    <m/>
    <n v="1503553"/>
    <n v="1359749"/>
    <s v="0.018"/>
    <n v="1359748"/>
    <s v="0.018"/>
    <s v="7.507462953726932"/>
    <s v="0.018"/>
  </r>
  <r>
    <x v="4406"/>
    <x v="2861"/>
    <x v="0"/>
    <n v="0"/>
    <s v="LINESTRING (10.99245968416796 59.980090713882774, 10.992437099793028 59.980026825610786, 10.991676307369696 59.975675499283, 10.991678567805778 59.97556065409588)"/>
    <s v="[2106989, 2107004, 2106982]"/>
    <s v="[1819915, 1819909, 1406400]"/>
    <s v="#FIELD!"/>
    <s v="[1359748, 1819915, 1819909]"/>
    <s v="[0.215, 0.004, 0.098]"/>
    <s v="531.4942928926857"/>
    <s v="[-0.215, -0.004, 0.098]"/>
  </r>
  <r>
    <x v="4407"/>
    <x v="4869"/>
    <x v="0"/>
    <n v="0"/>
    <s v="LINESTRING (10.99258981791911 59.98007381240877, 10.99279828089162 59.980122673330506, 10.992855671548869 59.98018357390184)"/>
    <s v="[1503554, 1503562]"/>
    <s v="[1359750, 1359757]"/>
    <s v="0.00655275428695886"/>
    <s v="[1359749, 1359750]"/>
    <s v="[0.012, 0.003]"/>
    <s v="20.66704506519567"/>
    <s v="[0.012, -0.003]"/>
  </r>
  <r>
    <x v="4408"/>
    <x v="4965"/>
    <x v="437"/>
    <s v="[0, 0, 0, 1, 0, 0, 0, 0, 0, 0, 0, 0, 0, 0, 0, 1, 0]"/>
    <s v="LINESTRING (10.723962762643007 59.70961783345755, 10.722087843565662 59.709897258764144, 10.718207408282437 59.71056434516371, 10.718084824888463 59.710597388206835, 10.714915716471763 59.7115927489584, 10.714625174149212 59.71167003350371, 10.70987434743587 59.71230278669008, 10.708400215106998 59.71235691940296, 10.707500435744585 59.71237200661217, 10.707494261260713 59.71237199326671, 10.682913841451304 59.707158698417366, 10.682458680616291 59.70699980393449, 10.682444069823603 59.70699470065858, 10.681180088376715 59.706553435721766, 10.680987321683773 59.706486143638635, 10.666676168236435 59.70029935064012, 10.666089533750197 59.69981879009278, 10.660826139822138 59.69502884043016)"/>
    <s v="[1503713, 1503720, 1503721, 1503729, 1503736, 1503749, 1503756, 1503757, 1503776, 1503791, 1503792, 1503800, 1503808, 1503810, 1503812, 1503824, 1503828]"/>
    <s v="[1359873, 1359875, 1359876, 1359883, 1359888, 1359897, 1359903, 1359904, 1359919, 1359931, 1359932, 1359938, 1359946, 1359948, 1359950, 1359962, 1359964]"/>
    <s v="0.011861061786464358"/>
    <s v="[1359872, 1359873, 1359875, 1359876, 1359883, 1359888, 1359897, 1359903, 1359904, 1359919, 1359931, 1359932, 1359938, 1359946, 1359948, 1359950, 1359962]"/>
    <s v="[0.038, 0.001, 0.078, 0.01, 0.142, 0.028, 0.016, 0.086, 0.328, 0.023, 0.122, 0.189, 0.079, 0.053, 0.005, 0.002, 0.02]"/>
    <s v="4404.149943345243"/>
    <s v="[-0.038, 0.001, -0.078, -0.01, 0.142, 0.028, 0.016, 0.086, 0.328, 0.023, -0.122, -0.189, -0.079, 0.053, 0.005, -0.002, 0.02]"/>
  </r>
  <r>
    <x v="4408"/>
    <x v="979"/>
    <x v="0"/>
    <n v="0"/>
    <s v="LINESTRING (10.736156551063255 59.70764344347701, 10.734944577119746 59.707909416385576, 10.730635349124158 59.7086965287371, 10.730376129351894 59.70873079755657, 10.730260459608887 59.70874607491204, 10.7281314646829 59.709034788888914, 10.72683295567757 59.70922348756814, 10.723962762643007 59.70961783345755)"/>
    <s v="[1505036, 1505041, 1505052, 1505060, 1505070, 1505071, 1505079]"/>
    <s v="[1360989, 1360992, 1361003, 1361013, 1361024, 1361025, 1359872]"/>
    <s v="0.008148531290662116"/>
    <s v="[1360975, 1360989, 1360992, 1361003, 1361013, 1361024, 1361025]"/>
    <s v="[0.083, 0.035, 0.225, 0.193, 0.034, 0.11, 0.003]"/>
    <s v="722.9870306069936"/>
    <s v="[0.083, 0.035, -0.225, -0.193, 0.034, -0.11, -0.003]"/>
  </r>
  <r>
    <x v="4409"/>
    <x v="2034"/>
    <x v="0"/>
    <n v="0"/>
    <m/>
    <n v="1532802"/>
    <n v="1359887"/>
    <s v="#FIELD!"/>
    <n v="1359923"/>
    <s v="0.018"/>
    <s v="16.58839937260765"/>
    <s v="#FIELD!"/>
  </r>
  <r>
    <x v="4410"/>
    <x v="4966"/>
    <x v="0"/>
    <n v="0"/>
    <s v="LINESTRING (10.660826139822138 59.69502884043016, 10.660175138044496 59.694800925472684, 10.659987684732407 59.694744791636275)"/>
    <s v="[1505080, 1505090]"/>
    <s v="[1361030, 1360062]"/>
    <s v="#FIELD!"/>
    <s v="[1359964, 1361030]"/>
    <s v="[0.002, 0.013]"/>
    <s v="56.882716448914266"/>
    <s v="[0.002, -0.013]"/>
  </r>
  <r>
    <x v="4410"/>
    <x v="4967"/>
    <x v="0"/>
    <n v="0"/>
    <s v="LINESTRING (10.660826139822138 59.69502884043016, 10.660382379351724 59.69471894424314, 10.660236712709523 59.69463523918754)"/>
    <s v="[1507092, 1507093]"/>
    <s v="[1362891, 1360124]"/>
    <s v="0.006425000739087018"/>
    <s v="[1359964, 1362891]"/>
    <s v="[0.008, 0.001]"/>
    <s v="55.2172692396619"/>
    <s v="[0.008, 0.001]"/>
  </r>
  <r>
    <x v="4411"/>
    <x v="4968"/>
    <x v="0"/>
    <n v="0"/>
    <s v="LINESTRING (10.659504650174595 59.694381417756794, 10.659498405661441 59.69437812653488, 10.65900463653667 59.694090767182566, 10.658748949434 59.693906199058425)"/>
    <s v="[1503830, 1503838, 1503845]"/>
    <s v="[1359966, 1359972, 1359977]"/>
    <s v="0.013945380567134865"/>
    <s v="[1359965, 1359966, 1359972]"/>
    <s v="[0.0, 0.02, 0.004]"/>
    <s v="68.0366495801818"/>
    <s v="[0.0, 0.02, 0.004]"/>
  </r>
  <r>
    <x v="4411"/>
    <x v="4969"/>
    <x v="0"/>
    <n v="0"/>
    <s v="LINESTRING (10.659777342512033 59.694624521232946, 10.659657261691944 59.694537094804154, 10.659507871537446 59.694385660947724, 10.659504650174595 59.694381417756794)"/>
    <s v="[1505091, 1505092, 1505100]"/>
    <s v="[1361039, 1361040, 1359965]"/>
    <s v="#FIELD!"/>
    <s v="[1360083, 1361039, 1361040]"/>
    <s v="[0.004, 0.001, 0.002]"/>
    <s v="31.356563702558432"/>
    <s v="[-0.004, 0.001, 0.002]"/>
  </r>
  <r>
    <x v="4411"/>
    <x v="4970"/>
    <x v="0"/>
    <n v="0"/>
    <s v="LINESTRING (10.659971457364295 59.69451315048228, 10.659816244550703 59.69446728334366, 10.659513046638057 59.69438334148013, 10.659504650174595 59.694381417756794)"/>
    <s v="[1507100, 1507101, 1507114]"/>
    <s v="[1362898, 1362899, 1359965]"/>
    <s v="#FIELD!"/>
    <s v="[1360096, 1362898, 1362899]"/>
    <s v="[0.014, 0.014, 0.025]"/>
    <s v="30.121303740667543"/>
    <s v="[-0.014, -0.014, -0.025]"/>
  </r>
  <r>
    <x v="4412"/>
    <x v="4708"/>
    <x v="0"/>
    <n v="0"/>
    <s v="LINESTRING (10.658748949434 59.693906199058425, 10.657336235992151 59.692662763873656, 10.65578768519909 59.69150037014739)"/>
    <s v="[1780553, 1780561]"/>
    <s v="[1570563, 1359979]"/>
    <s v="#FIELD!"/>
    <s v="[1359977, 1570563]"/>
    <s v="[0.014, 0.004]"/>
    <s v="317.2171890030755"/>
    <s v="[-0.014, 0.004]"/>
  </r>
  <r>
    <x v="4412"/>
    <x v="4708"/>
    <x v="0"/>
    <n v="0"/>
    <s v="LINESTRING (10.658748949434 59.693906199058425, 10.657146484549237 59.692723225561906, 10.65578768519909 59.69150037014739)"/>
    <s v="[1780569, 1780577]"/>
    <s v="[1570573, 1359979]"/>
    <s v="#FIELD!"/>
    <s v="[1359977, 1570573]"/>
    <s v="[0.016, 0.006]"/>
    <s v="316.9718177669556"/>
    <s v="[-0.016, 0.006]"/>
  </r>
  <r>
    <x v="4413"/>
    <x v="2867"/>
    <x v="0"/>
    <n v="0"/>
    <s v="LINESTRING (10.775205372173472 59.824736396298604, 10.77677322393258 59.82388734244234, 10.776791596419214 59.8238860986924, 10.777012265548862 59.823876925534364, 10.77703004240201 59.823876858490436, 10.779678822562994 59.82400347915586)"/>
    <s v="[1503907, 1503915, 1503923, 1503929, 1503941]"/>
    <s v="[1360030, 1360037, 1360044, 1360050, 1359996]"/>
    <s v="0.0007515764422571502"/>
    <s v="[1360022, 1360030, 1360037, 1360044, 1360050]"/>
    <s v="[0.001, 0.019, 0.027, 0.033, 0.002]"/>
    <s v="303.22463498762227"/>
    <s v="[0.001, 0.019, 0.027, 0.033, -0.002]"/>
  </r>
  <r>
    <x v="4413"/>
    <x v="2864"/>
    <x v="0"/>
    <n v="0"/>
    <s v="LINESTRING (10.775819887361338 59.82187614124549, 10.775871043801038 59.82190925661006, 10.77962417875517 59.82398374079428, 10.779678822562994 59.82400347915586)"/>
    <s v="[1553943, 1503849, 1503864]"/>
    <s v="[1359982, 1359983, 1359996]"/>
    <s v="#FIELD!"/>
    <s v="[1401200, 1359982, 1359983]"/>
    <s v="[0.038, 0.022, 0.025]"/>
    <s v="341.9570998141964"/>
    <s v="[0.038, -0.022, -0.025]"/>
  </r>
  <r>
    <x v="4414"/>
    <x v="2868"/>
    <x v="0"/>
    <s v="[0, 0, 1, 1, 0, 1]"/>
    <s v="LINESTRING (10.775205372173472 59.824736396298604, 10.775233222517834 59.82475617418153, 10.776202976836151 59.824079712338595, 10.776161695758962 59.823968687664326, 10.776150231114935 59.82393235267674, 10.77560684609498 59.822105770955545, 10.77562255159313 59.822052326255104)"/>
    <s v="[1503951, 1503953, 1503954, 1503958, 1503971, 1553951]"/>
    <s v="[1360065, 1360067, 1360068, 1360072, 1360082, 1393358]"/>
    <s v="0.008415991768665518"/>
    <s v="[1360022, 1360065, 1360067, 1360068, 1360072, 1360082]"/>
    <s v="[0.096, 0.003, 0.055, 0.021, 0.029, 0.247]"/>
    <s v="422.9796195669332"/>
    <s v="[0.096, -0.003, -0.055, 0.021, 0.029, -0.247]"/>
  </r>
  <r>
    <x v="4415"/>
    <x v="4600"/>
    <x v="0"/>
    <n v="0"/>
    <s v="LINESTRING (10.739229021600957 59.706965549428986, 10.739169781791373 59.7069276562602, 10.739147572451111 59.70685050323498)"/>
    <s v="[1503912, 1503932]"/>
    <s v="[1360035, 1360052]"/>
    <s v="#FIELD!"/>
    <s v="[1360034, 1360035]"/>
    <s v="[0.172, 0.042]"/>
    <s v="14.069947762929289"/>
    <s v="[-0.172, -0.042]"/>
  </r>
  <r>
    <x v="4415"/>
    <x v="979"/>
    <x v="0"/>
    <s v="[0, 0, 1, 1, 0, 0, 0, 0]"/>
    <s v="LINESTRING (10.739229021600957 59.706965549428986, 10.739107587093374 59.7069869143509, 10.738915261472982 59.70701507451108, 10.738041196998802 59.707213757655424, 10.736780758670314 59.70749595714327, 10.736591935751603 59.70753848908132, 10.736424959457414 59.70757701957911, 10.73634360712894 59.707593697112486, 10.736156551063255 59.70764344347701)"/>
    <s v="[1504959, 1504971, 1504972, 1504980, 1504998, 1505006, 1505014, 1505021]"/>
    <s v="[1360923, 1360930, 1360931, 1360936, 1360952, 1360962, 1360968, 1360975]"/>
    <s v="0.0926575820066082"/>
    <s v="[1360034, 1360923, 1360930, 1360931, 1360936, 1360952, 1360962, 1360968]"/>
    <s v="[0.189, 0.03, 0.021, 0.119, 0.42, 0.406, 0.219, 0.079]"/>
    <s v="188.9385517730882"/>
    <s v="[-0.189, -0.03, -0.021, 0.119, 0.42, 0.406, 0.219, 0.079]"/>
  </r>
  <r>
    <x v="4416"/>
    <x v="4969"/>
    <x v="0"/>
    <n v="0"/>
    <s v="LINESTRING (10.659987684732407 59.694744791636275, 10.65992980902005 59.69473837862027, 10.659844257079255 59.69471216496207, 10.659789368955193 59.694668982144, 10.659777342512033 59.694624521232946)"/>
    <s v="[1503949, 1503950, 1503959, 1503972]"/>
    <s v="[1360063, 1360064, 1360073, 1360083]"/>
    <s v="#FIELD!"/>
    <s v="[1360062, 1360063, 1360064, 1360073]"/>
    <s v="[0.023, 0.013, 0.002, 0.011]"/>
    <s v="19.694404733856164"/>
    <s v="[-0.023, -0.013, -0.002, 0.011]"/>
  </r>
  <r>
    <x v="4416"/>
    <x v="4967"/>
    <x v="0"/>
    <n v="0"/>
    <s v="LINESTRING (10.660236712709523 59.69463523918754, 10.660171818442398 59.69471042432127, 10.659987684732407 59.694744791636275)"/>
    <s v="[1504026, 1504033]"/>
    <s v="[1360126, 1360062]"/>
    <s v="#FIELD!"/>
    <s v="[1360124, 1360126]"/>
    <s v="[0.015, 0.024]"/>
    <s v="20.48483212001952"/>
    <s v="[-0.015, -0.024]"/>
  </r>
  <r>
    <x v="4417"/>
    <x v="4970"/>
    <x v="0"/>
    <n v="0"/>
    <s v="LINESTRING (10.659777342512033 59.694624521232946, 10.659825250397253 59.6945568668006, 10.659971457364295 59.69451315048228)"/>
    <s v="[1503980, 1503988]"/>
    <s v="[1360090, 1360096]"/>
    <s v="0.022355252934981876"/>
    <s v="[1360083, 1360090]"/>
    <s v="[0.018, 0.026]"/>
    <s v="17.577342371652474"/>
    <s v="[0.018, 0.026]"/>
  </r>
  <r>
    <x v="4418"/>
    <x v="4967"/>
    <x v="0"/>
    <n v="0"/>
    <s v="LINESTRING (10.659971457364295 59.69451315048228, 10.660088020488054 59.69451970869778, 10.660159865298441 59.69454187130112, 10.660233341018252 59.69460635197039, 10.660236712709523 59.69463523918754)"/>
    <s v="[1503996, 1504004, 1504012, 1504024]"/>
    <s v="[1360103, 1360110, 1360116, 1360124]"/>
    <s v="0.005035887687841357"/>
    <s v="[1360096, 1360103, 1360110, 1360116]"/>
    <s v="[0.021, 0.013, 0.006, 0.011]"/>
    <s v="22.865793532640236"/>
    <s v="[0.021, 0.013, -0.006, -0.011]"/>
  </r>
  <r>
    <x v="4419"/>
    <x v="4971"/>
    <x v="0"/>
    <n v="0"/>
    <m/>
    <n v="1537418"/>
    <n v="1360161"/>
    <s v="0.104"/>
    <n v="1360158"/>
    <s v="0.104"/>
    <s v="6.783558063536338"/>
    <s v="0.104"/>
  </r>
  <r>
    <x v="4419"/>
    <x v="4764"/>
    <x v="0"/>
    <n v="0"/>
    <m/>
    <n v="1537466"/>
    <n v="1360158"/>
    <s v="0.088"/>
    <n v="1360233"/>
    <s v="0.088"/>
    <s v="9.258192534158125"/>
    <s v="0.088"/>
  </r>
  <r>
    <x v="4420"/>
    <x v="4972"/>
    <x v="0"/>
    <n v="0"/>
    <m/>
    <n v="1537426"/>
    <n v="1360373"/>
    <s v="0.075"/>
    <n v="1360161"/>
    <s v="0.075"/>
    <s v="16.24713112150769"/>
    <s v="0.075"/>
  </r>
  <r>
    <x v="4420"/>
    <x v="2891"/>
    <x v="0"/>
    <n v="0"/>
    <s v="LINESTRING (10.634905232094193 59.91178385564799, 10.634864380426787 59.91176130562896, 10.634771234718555 59.911693470951555, 10.63472776812092 59.911671607495755, 10.63460854080493 59.91160984070526, 10.633878717793463 59.911445321956876, 10.633805662822876 59.91144162134562, 10.633195904594404 59.91171224020941, 10.633240050482 59.91181726140338, 10.633707542395904 59.912034066887536, 10.63377557626797 59.91207499129806)"/>
    <s v="[1504076, 1504085, 1504098, 1504106, 1504114, 1504122, 1504130, 1504146, 1504159, 1553959]"/>
    <s v="[1360162, 1360171, 1360180, 1360184, 1360191, 1360199, 1360203, 1360216, 1360228, 1393480]"/>
    <s v="0.0015034447900003662"/>
    <s v="[1360161, 1360162, 1360171, 1360180, 1360184, 1360191, 1360199, 1360203, 1360216, 1360228]"/>
    <s v="[0.074, 0.064, 0.026, 0.019, 0.042, 0.105, 0.06, 0.017, 0.083, 0.262]"/>
    <s v="182.86006381649926"/>
    <s v="[0.074, 0.064, 0.026, 0.019, -0.042, -0.105, -0.06, 0.017, 0.083, 0.262]"/>
  </r>
  <r>
    <x v="4421"/>
    <x v="4972"/>
    <x v="0"/>
    <n v="0"/>
    <s v="LINESTRING (10.635033757538931 59.911662333068534, 10.63517755792935 59.91165694103223, 10.635255190552746 59.91167499165618, 10.635332270152462 59.91173006350602, 10.635110387741932 59.91187276951369)"/>
    <s v="[1537434, 1537442, 1537450, 1537458]"/>
    <s v="[524247, 1389371, 478005, 1360233]"/>
    <s v="#FIELD!"/>
    <s v="[1360373, 524247, 1389371, 478005]"/>
    <s v="[0.195, 0.021, 0.042, 0.174]"/>
    <s v="43.78035097369644"/>
    <s v="[0.195, 0.021, -0.042, -0.174]"/>
  </r>
  <r>
    <x v="4422"/>
    <x v="4973"/>
    <x v="0"/>
    <n v="0"/>
    <s v="LINESTRING (10.628511707924579 59.90964944615324, 10.628881546404715 59.90996652005948, 10.628891974586065 59.909973808580325, 10.62902535175708 59.9100579924021, 10.629037217443726 59.91006469918594, 10.62926802454376 59.91017686585889, 10.62928153905856 59.910182746122594, 10.632151289681365 59.91134103408878, 10.63255666996895 59.91141766830766, 10.633018408535122 59.911423090168604, 10.633790183361512 59.911354978680706, 10.63383146093952 59.91135604238815, 10.63469972185475 59.91152923600525, 10.634850180843545 59.91159057286871, 10.634856104987133 59.91159290955069, 10.634883322553618 59.911603667964016, 10.634954906220539 59.91163122091924, 10.635033757538931 59.911662333068534)"/>
    <s v="[1504519, 1504527, 1504528, 1504540, 1504541, 1504542, 1504557, 1504257, 1504258, 1504265, 1504273, 1504290, 1504293, 1504298, 1504313, 1504327, 1504333]"/>
    <s v="[1360533, 1360541, 1360542, 1360553, 1360554, 1360555, 1360309, 1360310, 1360311, 1360316, 1360320, 1360334, 1360337, 1360342, 1360355, 1360367, 1360373]"/>
    <s v="0.013142637657808407"/>
    <s v="[1360509, 1360533, 1360541, 1360542, 1360553, 1360554, 1360555, 1360309, 1360310, 1360311, 1360316, 1360320, 1360334, 1360337, 1360342, 1360355, 1360367]"/>
    <s v="[0.016, 0.064, 0.026, 0.055, 0.009, 0.016, 0.011, 0.007, 0.029, 0.08, 0.112, 0.053, 0.008, 0.047, 0.026, 0.036, 0.045]"/>
    <s v="453.45951647340223"/>
    <s v="[0.016, 0.064, 0.026, 0.055, 0.009, 0.016, -0.011, 0.007, 0.029, 0.08, 0.112, 0.053, -0.008, 0.047, -0.026, -0.036, -0.045]"/>
  </r>
  <r>
    <x v="4423"/>
    <x v="1420"/>
    <x v="0"/>
    <s v="[0, 0, 0, 1, 0]"/>
    <s v="LINESTRING (10.62454111606795 59.90893657814388, 10.624718691214811 59.90896136633765, 10.626916709487535 59.90940174940728, 10.62705156430974 59.909411194448936, 10.627350225377771 59.90941392450281, 10.628511707924579 59.90964944615324)"/>
    <s v="[1554047, 1504499, 1504500, 1504509, 1504511]"/>
    <s v="[1360515, 1360516, 1360517, 1360524, 1360509]"/>
    <s v="#FIELD!"/>
    <s v="[1393621, 1360515, 1360516, 1360517, 1360524]"/>
    <s v="[0.067, 0.011, 0.003, 0.007, 0.011]"/>
    <s v="241.59742049666255"/>
    <s v="[-0.067, -0.011, -0.003, -0.007, -0.011]"/>
  </r>
  <r>
    <x v="4423"/>
    <x v="4974"/>
    <x v="0"/>
    <n v="0"/>
    <s v="LINESTRING (10.628007653333151 59.90862321172362, 10.628123027890979 59.9086716471525, 10.628459820242087 59.90958117860312, 10.628511707924579 59.90964944615324)"/>
    <s v="[1554039, 1504482, 1504490]"/>
    <s v="[1360500, 1360501, 1360509]"/>
    <s v="#FIELD!"/>
    <s v="[1365968, 1360500, 1360501]"/>
    <s v="[0.067, 0.075, 0.043]"/>
    <s v="123.14945214569195"/>
    <s v="[-0.067, -0.075, -0.043]"/>
  </r>
  <r>
    <x v="4424"/>
    <x v="4975"/>
    <x v="0"/>
    <n v="0"/>
    <s v="LINESTRING (10.6242239888841 59.908747983148075, 10.624335118525385 59.9087606707703, 10.627467127373656 59.9086546842745, 10.627638273560995 59.90855932288235, 10.627648291729502 59.90855204814673, 10.627952501081824 59.908335060551956, 10.62805238012431 59.908270036386824)"/>
    <s v="[1504606, 1504619, 1504627, 1504628, 1504635, 1554055]"/>
    <s v="[1360614, 1360622, 1360630, 1360631, 1360638, 1378834]"/>
    <s v="0.03651086462462443"/>
    <s v="[1360613, 1360614, 1360622, 1360630, 1360631, 1360638]"/>
    <s v="[0.035, 0.02, 0.131, 0.185, 0.108, 0.001]"/>
    <s v="257.83014788505756"/>
    <s v="[0.035, 0.02, 0.131, 0.185, 0.108, -0.001]"/>
  </r>
  <r>
    <x v="4424"/>
    <x v="4976"/>
    <x v="0"/>
    <s v="[0, 0, 0, 1, 1, 1]"/>
    <s v="LINESTRING (10.6242239888841 59.908747983148075, 10.625256169795707 59.90898908179331, 10.626705692329699 59.9091816073747, 10.627127117208891 59.90925903519754, 10.62759227906194 59.909615304234, 10.627644668862365 59.909829266172125, 10.6276501896551 59.909882504919764)"/>
    <s v="[1504644, 1504645, 1504658, 1504666, 1504667, 1504681]"/>
    <s v="[1360644, 1360645, 1360658, 1360666, 1360667, 1360681]"/>
    <s v="#FIELD!"/>
    <s v="[1360613, 1360644, 1360645, 1360658, 1360666, 1360667]"/>
    <s v="[0.006, 0.018, 0.014, 0.009, 0.008, 0.033]"/>
    <s v="252.61799129067512"/>
    <s v="[0.006, -0.018, -0.014, -0.009, -0.008, -0.033]"/>
  </r>
  <r>
    <x v="4425"/>
    <x v="4977"/>
    <x v="0"/>
    <n v="0"/>
    <s v="LINESTRING (10.971228868593004 60.25905754565382, 10.9727149988307 60.25899906719518, 10.974197904651511 60.25883464172786, 10.974206327951332 60.25883367483744)"/>
    <s v="[2107933, 2107941, 2107949]"/>
    <s v="[1820452, 1820459, 1820460]"/>
    <s v="0.01258484473519935"/>
    <s v="[1360708, 1820452, 1820459]"/>
    <s v="[0.05, 0.024, 0.042]"/>
    <s v="167.58072043897806"/>
    <s v="[0.05, -0.024, -0.042]"/>
  </r>
  <r>
    <x v="4425"/>
    <x v="4978"/>
    <x v="0"/>
    <n v="0"/>
    <s v="LINESTRING (10.971228868593004 60.25905754565382, 10.972357930210537 60.258953446149725, 10.972704523054407 60.258920390395616, 10.974152416705763 60.25876273240997, 10.97416063620566 60.25876180428528)"/>
    <s v="[2108008, 2108012, 2108014, 2108020]"/>
    <s v="[1820502, 1820504, 1820505, 1820477]"/>
    <s v="0.014311419931570125"/>
    <s v="[1360708, 1820502, 1820504, 1820505]"/>
    <s v="[0.078, 0.023, 0.026, 0.043]"/>
    <s v="165.9102606191456"/>
    <s v="[0.078, -0.023, -0.026, -0.043]"/>
  </r>
  <r>
    <x v="4426"/>
    <x v="4979"/>
    <x v="0"/>
    <s v="[0, 1, 0, 1, 0, 0]"/>
    <s v="LINESTRING (10.976511019400904 60.25840209306602, 11.001854646140366 60.2535781512608, 11.00237984825613 60.253580504873696, 11.00384178329227 60.253500699251894, 11.005323642388518 60.25325839903178, 11.017649825912292 60.24708429365625, 11.018643636815927 60.24678062053673)"/>
    <s v="[1504720, 1504721, 1504729, 1504736, 1504744, 1504752]"/>
    <s v="[1360714, 1360715, 1360721, 1360728, 1360736, 1360742]"/>
    <s v="#FIELD!"/>
    <s v="[1360713, 1360714, 1360715, 1360721, 1360728, 1360736]"/>
    <s v="[0.018, 0.03, 0.003, 0.031, 0.017, 0.032]"/>
    <s v="2773.8918028425846"/>
    <s v="[-0.018, -0.03, -0.003, 0.031, 0.017, -0.032]"/>
  </r>
  <r>
    <x v="4426"/>
    <x v="4980"/>
    <x v="0"/>
    <n v="0"/>
    <m/>
    <n v="2107970"/>
    <n v="1360713"/>
    <s v="#FIELD!"/>
    <n v="1820462"/>
    <s v="0.04"/>
    <s v="126.6686907955338"/>
    <s v="#FIELD!"/>
  </r>
  <r>
    <x v="4426"/>
    <x v="4981"/>
    <x v="0"/>
    <n v="0"/>
    <m/>
    <n v="2108030"/>
    <n v="1360713"/>
    <s v="#FIELD!"/>
    <n v="1820483"/>
    <s v="0.042"/>
    <s v="126.32926449101801"/>
    <s v="#FIELD!"/>
  </r>
  <r>
    <x v="4427"/>
    <x v="4982"/>
    <x v="0"/>
    <n v="0"/>
    <s v="LINESTRING (11.018643636815927 60.24678062053673, 11.01902151125438 60.24655696372457, 11.019102132350339 60.246490171431674)"/>
    <s v="[1505115, 1505118]"/>
    <s v="[1361056, 1361059]"/>
    <s v="#FIELD!"/>
    <s v="[1360742, 1361056]"/>
    <s v="[0.018, 0.02]"/>
    <s v="41.3365760482641"/>
    <s v="[-0.018, -0.02]"/>
  </r>
  <r>
    <x v="4427"/>
    <x v="4983"/>
    <x v="0"/>
    <n v="0"/>
    <s v="LINESTRING (11.018643636815927 60.24678062053673, 11.019198406059095 60.24666971529135, 11.019276414773612 60.246646886195116)"/>
    <s v="[1507130, 1507138]"/>
    <s v="[1362924, 1362932]"/>
    <s v="#FIELD!"/>
    <s v="[1360742, 1362924]"/>
    <s v="[0.015, 0.017]"/>
    <s v="38.13795957926239"/>
    <s v="[-0.015, -0.017]"/>
  </r>
  <r>
    <x v="4428"/>
    <x v="4984"/>
    <x v="438"/>
    <n v="0"/>
    <s v="LINESTRING (11.020224978288773 60.246164651119415, 11.020982560535993 60.2457382219136, 11.02795026444769 60.23979330979632, 11.030665270358728 60.23907633121531, 11.030680671342974 60.23907158733073, 11.031403948700024 60.2388479045875, 11.031557567252566 60.238800093536256, 11.034001454454254 60.23785040002756, 11.044495398655059 60.225738949313616)"/>
    <s v="[1504768, 1504776, 1504792, 1504807, 1504830, 1504831, 1504839, 1504847]"/>
    <s v="[1360759, 1360766, 1360781, 1360795, 1360811, 1360812, 1360819, 1360826]"/>
    <s v="0.00255894735284543"/>
    <s v="[1360758, 1360759, 1360766, 1360781, 1360795, 1360811, 1360812, 1360819]"/>
    <s v="[0.011, 0.006, 0.037, 0.081, 0.069, 0.2, 0.002, 0.001]"/>
    <s v="2759.221257606842"/>
    <s v="[-0.011, 0.006, 0.037, 0.081, -0.069, -0.2, 0.002, 0.001]"/>
  </r>
  <r>
    <x v="4428"/>
    <x v="4985"/>
    <x v="0"/>
    <n v="0"/>
    <s v="LINESTRING (11.019598885759162 60.246353608964874, 11.019695095186004 60.24632490737762, 11.020224978288773 60.246164651119415)"/>
    <s v="[1505119, 1505120]"/>
    <s v="[1361061, 1360758]"/>
    <s v="#FIELD!"/>
    <s v="[1361060, 1361061]"/>
    <s v="[0.004, 0.007]"/>
    <s v="40.574652546593335"/>
    <s v="[0.004, -0.007]"/>
  </r>
  <r>
    <x v="4428"/>
    <x v="4986"/>
    <x v="0"/>
    <n v="0"/>
    <s v="LINESTRING (11.019773194265387 60.24648928735354, 11.019839332147932 60.24642052246094, 11.020224978288773 60.246164651119415)"/>
    <s v="[1507146, 1507162]"/>
    <s v="[1362939, 1360758]"/>
    <s v="#FIELD!"/>
    <s v="[1362938, 1362939]"/>
    <s v="[0.014, 0.019]"/>
    <s v="44.12271700624252"/>
    <s v="[-0.014, -0.019]"/>
  </r>
  <r>
    <x v="4429"/>
    <x v="4987"/>
    <x v="0"/>
    <n v="0"/>
    <m/>
    <n v="1504775"/>
    <n v="1360765"/>
    <s v="0.0"/>
    <n v="1360764"/>
    <s v="0.0"/>
    <s v="536.1279035130482"/>
    <s v="0.0"/>
  </r>
  <r>
    <x v="4430"/>
    <x v="4988"/>
    <x v="0"/>
    <n v="0"/>
    <m/>
    <n v="1504783"/>
    <n v="1360772"/>
    <s v="#FIELD!"/>
    <n v="1360765"/>
    <s v="0.02"/>
    <s v="40.29759108445885"/>
    <s v="#FIELD!"/>
  </r>
  <r>
    <x v="4430"/>
    <x v="4989"/>
    <x v="0"/>
    <n v="0"/>
    <s v="LINESTRING (10.596305876039327 59.90325652698639, 10.59622341159997 59.90323038621785, 10.595689180604793 59.90310099653961, 10.59560731165443 59.90308386792147)"/>
    <s v="[1504846, 1504860, 1504868]"/>
    <s v="[1360825, 1360837, 1360844]"/>
    <s v="0.052477869196528755"/>
    <s v="[1360765, 1360825, 1360837]"/>
    <s v="[0.054, 0.052, 0.054]"/>
    <s v="43.626223811451524"/>
    <s v="[0.054, 0.052, 0.054]"/>
  </r>
  <r>
    <x v="4431"/>
    <x v="4767"/>
    <x v="0"/>
    <n v="0"/>
    <m/>
    <n v="1504784"/>
    <n v="1360773"/>
    <s v="#FIELD!"/>
    <n v="1360772"/>
    <s v="0.045"/>
    <s v="38.288177244696755"/>
    <s v="#FIELD!"/>
  </r>
  <r>
    <x v="4431"/>
    <x v="4989"/>
    <x v="0"/>
    <n v="0"/>
    <s v="LINESTRING (10.595791742958875 59.90342096987875, 10.595739217262372 59.90331759509275, 10.59560731165443 59.90308386792147)"/>
    <s v="[1504899, 1504907]"/>
    <s v="[1360871, 1360844]"/>
    <s v="0.07857404133824791"/>
    <s v="[1360772, 1360871]"/>
    <s v="[0.073, 0.081]"/>
    <s v="39.21033740464799"/>
    <s v="[0.073, 0.081]"/>
  </r>
  <r>
    <x v="4432"/>
    <x v="4990"/>
    <x v="0"/>
    <n v="0"/>
    <s v="LINESTRING (10.596804239926332 59.90352140155642, 10.596831233603952 59.90345069667112, 10.596834696477183 59.90344186489946, 10.59684511074171 59.90342300517355, 10.597027912497365 59.90307285287823, 10.597095383502417 59.90296056269723)"/>
    <s v="[1504791, 1504799, 1504800, 1504806, 1504814]"/>
    <s v="[1360780, 1360788, 1360789, 1360794, 1360799]"/>
    <s v="0.007874889100600862"/>
    <s v="[1360779, 1360780, 1360788, 1360789, 1360794]"/>
    <s v="[0.023, 0.019, 0.023, 0.006, 0.001]"/>
    <s v="64.62380787707266"/>
    <s v="[0.023, 0.019, 0.023, 0.006, 0.001]"/>
  </r>
  <r>
    <x v="4433"/>
    <x v="4991"/>
    <x v="0"/>
    <n v="0"/>
    <m/>
    <n v="1504815"/>
    <n v="1360800"/>
    <s v="#FIELD!"/>
    <n v="1360799"/>
    <s v="0.024"/>
    <s v="7.615153577453824"/>
    <s v="#FIELD!"/>
  </r>
  <r>
    <x v="4433"/>
    <x v="4992"/>
    <x v="0"/>
    <n v="0"/>
    <m/>
    <n v="2085257"/>
    <n v="1806748"/>
    <s v="0.435"/>
    <n v="1360799"/>
    <s v="0.435"/>
    <s v="2.1952735592575627"/>
    <s v="0.435"/>
  </r>
  <r>
    <x v="4434"/>
    <x v="4993"/>
    <x v="0"/>
    <n v="0"/>
    <s v="LINESTRING (11.044495398655059 60.225738949313616, 11.044562388995226 60.22546894412444, 11.044574346473043 60.22542766023342)"/>
    <s v="[1505134, 1505142]"/>
    <s v="[1361074, 1361080]"/>
    <s v="#FIELD!"/>
    <s v="[1360826, 1361074]"/>
    <s v="[0.021, 0.017]"/>
    <s v="34.96490338159545"/>
    <s v="[-0.021, -0.017]"/>
  </r>
  <r>
    <x v="4434"/>
    <x v="4994"/>
    <x v="0"/>
    <n v="0"/>
    <s v="LINESTRING (11.044495398655059 60.225738949313616, 11.044815741347998 60.225542618462306, 11.044878503287938 60.22549877873862)"/>
    <s v="[1507170, 1507178]"/>
    <s v="[1362963, 1362969]"/>
    <s v="#FIELD!"/>
    <s v="[1360826, 1362963]"/>
    <s v="[0.022, 0.004]"/>
    <s v="34.17488479359713"/>
    <s v="[-0.022, -0.004]"/>
  </r>
  <r>
    <x v="4435"/>
    <x v="1421"/>
    <x v="0"/>
    <n v="0"/>
    <s v="LINESTRING (10.59560731165443 59.90308386792147, 10.595224343079009 59.90292087117555, 10.594002863090509 59.90262818071772, 10.59392230310428 59.9025877139873)"/>
    <s v="[1504915, 1504930, 1554183]"/>
    <s v="[1360886, 1360899, 1401504]"/>
    <s v="0.016936724045905373"/>
    <s v="[1360844, 1360886, 1360899]"/>
    <s v="[0.025, 0.014, 0.016]"/>
    <s v="110.4768176453225"/>
    <s v="[0.025, 0.014, 0.016]"/>
  </r>
  <r>
    <x v="4436"/>
    <x v="1419"/>
    <x v="0"/>
    <n v="0"/>
    <s v="LINESTRING (10.575575970588986 59.89831651521774, 10.575575970588986 59.89831651521774, 10.575973037368964 59.899004476578746, 10.576043521002006 59.89910651323829)"/>
    <s v="[1505002, 1505003, 1554207]"/>
    <s v="[1360958, 1360959, 1393732]"/>
    <s v="0.041661856011273105"/>
    <s v="[1360957, 1360958, 1360959]"/>
    <s v="[0.0, 0.038, 0.086]"/>
    <s v="105.67112828770172"/>
    <s v="[0.0, 0.038, 0.086]"/>
  </r>
  <r>
    <x v="4437"/>
    <x v="4995"/>
    <x v="0"/>
    <n v="0"/>
    <s v="LINESTRING (10.573645360487776 59.89840445213464, 10.573826841099521 59.89840733839216, 10.575320124841543 59.89832497920419, 10.575370671752312 59.89825635587135)"/>
    <s v="[1554223, 1505024, 1505038]"/>
    <s v="[1360978, 1360979, 1360990]"/>
    <s v="#FIELD!"/>
    <s v="[1393746, 1360978, 1360979]"/>
    <s v="[0.021, 0.001, 0.021]"/>
    <s v="116.21093507519629"/>
    <s v="[-0.021, -0.001, -0.021]"/>
  </r>
  <r>
    <x v="4438"/>
    <x v="4954"/>
    <x v="0"/>
    <n v="0"/>
    <s v="LINESTRING (10.547250563099405 59.89453177924988, 10.547007542469608 59.89453936272787, 10.546918353195071 59.8946711205686, 10.54697425954553 59.89471242901583)"/>
    <s v="[1505073, 1505085, 1505086]"/>
    <s v="[1361026, 1361035, 1361036]"/>
    <s v="0.032552557706964205"/>
    <s v="[1360997, 1361026, 1361035]"/>
    <s v="[0.036, 0.036, 0.012]"/>
    <s v="38.758620358457826"/>
    <s v="[0.036, 0.036, 0.012]"/>
  </r>
  <r>
    <x v="4438"/>
    <x v="4996"/>
    <x v="0"/>
    <s v="[0, 0, 1, 0]"/>
    <s v="LINESTRING (10.550256040523367 59.89468375454512, 10.550043479215981 59.8947259624392, 10.549474167420417 59.89471085785005, 10.548044805005649 59.89461614336358, 10.547250563099405 59.89453177924988)"/>
    <s v="[1554263, 1505042, 1505046, 1505047]"/>
    <s v="[1360993, 1360994, 1360996, 1360997]"/>
    <s v="0.008252939991436389"/>
    <s v="[1401706, 1360993, 1360994, 1360996]"/>
    <s v="[0.012, 0.025, 0.008, 0.031]"/>
    <s v="170.9501317424992"/>
    <s v="[0.012, -0.025, 0.008, 0.031]"/>
  </r>
  <r>
    <x v="4439"/>
    <x v="4985"/>
    <x v="0"/>
    <n v="0"/>
    <s v="LINESTRING (11.019102132350339 60.246490171431674, 11.01915334195711 60.246411069564495, 11.019274942902841 60.24635394947528, 11.019436805282403 60.24633309916491, 11.019598885759162 60.246353608964874)"/>
    <s v="[1526066, 1526074, 1526082, 1526090]"/>
    <s v="[1371317, 1379814, 1365716, 1361060]"/>
    <s v="#FIELD!"/>
    <s v="[1361059, 1371317, 1379814, 1365716]"/>
    <s v="[0.019, 0.022, 0.012, 0.024]"/>
    <s v="37.055491785187144"/>
    <s v="[-0.019, -0.022, 0.012, 0.024]"/>
  </r>
  <r>
    <x v="4439"/>
    <x v="4983"/>
    <x v="0"/>
    <n v="0"/>
    <s v="LINESTRING (11.019276414773612 60.246646886195116, 11.019154370907186 60.24659009035159, 11.019102132350339 60.246490171431674)"/>
    <s v="[1526170, 1526178]"/>
    <s v="[1379887, 1361059]"/>
    <s v="#FIELD!"/>
    <s v="[1362932, 1379887]"/>
    <s v="[0.002, 0.012]"/>
    <s v="20.765599403107025"/>
    <s v="[-0.002, -0.012]"/>
  </r>
  <r>
    <x v="4440"/>
    <x v="4986"/>
    <x v="0"/>
    <n v="0"/>
    <s v="LINESTRING (11.019598885759162 60.246353608964874, 11.019721120625002 60.24641032023806, 11.019773194265387 60.24648928735354)"/>
    <s v="[1526098, 1526106]"/>
    <s v="[1379833, 1362938]"/>
    <s v="0.03250004284472209"/>
    <s v="[1361060, 1379833]"/>
    <s v="[0.033, 0.032]"/>
    <s v="18.522947861184896"/>
    <s v="[0.033, 0.032]"/>
  </r>
  <r>
    <x v="4441"/>
    <x v="4997"/>
    <x v="0"/>
    <n v="0"/>
    <s v="LINESTRING (11.044574346473043 60.22542766023342, 11.04452972950963 60.225378034927786, 11.044523733621466 60.22529336956461, 11.044601013612583 60.2252178787123, 11.044869028954155 60.22516086518096)"/>
    <s v="[1540762, 1540770, 1540778, 1540786]"/>
    <s v="[1372863, 1392129, 1369098, 1361081]"/>
    <s v="#FIELD!"/>
    <s v="[1361080, 1372863, 1392129, 1369098]"/>
    <s v="[0.207, 0.009, 0.003, 0.118]"/>
    <s v="41.49269467082102"/>
    <s v="[0.207, 0.009, 0.003, -0.118]"/>
  </r>
  <r>
    <x v="4441"/>
    <x v="4994"/>
    <x v="0"/>
    <n v="0"/>
    <s v="LINESTRING (11.044878503287938 60.22549877873862, 11.044724346420747 60.225485987184534, 11.044574346473043 60.22542766023342)"/>
    <s v="[1540842, 1540850]"/>
    <s v="[1392184, 1361080]"/>
    <s v="#FIELD!"/>
    <s v="[1362969, 1392184]"/>
    <s v="[0.118, 0.105]"/>
    <s v="19.216649791795525"/>
    <s v="[0.118, -0.105]"/>
  </r>
  <r>
    <x v="4442"/>
    <x v="4998"/>
    <x v="0"/>
    <n v="0"/>
    <s v="LINESTRING (11.044869028954155 60.22516086518096, 11.044920980366916 60.2251240833868, 11.04523901097169 60.22491628356363)"/>
    <s v="[1505143, 1505144]"/>
    <s v="[1361082, 1361083]"/>
    <s v="0.002944146021102225"/>
    <s v="[1361081, 1361082]"/>
    <s v="[0.009, 0.005]"/>
    <s v="34.11261246524509"/>
    <s v="[-0.009, 0.005]"/>
  </r>
  <r>
    <x v="4442"/>
    <x v="4999"/>
    <x v="0"/>
    <n v="0"/>
    <s v="LINESTRING (11.044869028954155 60.22516086518096, 11.045032144616558 60.225185224222194, 11.045151086297233 60.225245868929555)"/>
    <s v="[1540794, 1540802]"/>
    <s v="[1392146, 1362985]"/>
    <s v="0.02049079513551787"/>
    <s v="[1361081, 1392146]"/>
    <s v="[0.186, 0.145]"/>
    <s v="18.881682363829103"/>
    <s v="[0.186, -0.145]"/>
  </r>
  <r>
    <x v="4443"/>
    <x v="5000"/>
    <x v="0"/>
    <s v="[0, 1, 0, 0]"/>
    <s v="LINESTRING (11.04523901097169 60.22491628356363, 11.056089195753668 60.21769104092865, 11.056849764520459 60.217362990955586, 11.067215109176814 60.211333709511955, 11.06767608870064 60.21032699177313)"/>
    <s v="[1525010, 1525018, 1525026, 1525034]"/>
    <s v="[1378887, 1378895, 1378902, 1361084]"/>
    <s v="#FIELD!"/>
    <s v="[1361083, 1378887, 1378895, 1378902]"/>
    <s v="[0.012, 0.031, 0.007, 0.019]"/>
    <s v="2084.9413900190516"/>
    <s v="[-0.012, -0.031, 0.007, 0.019]"/>
  </r>
  <r>
    <x v="4443"/>
    <x v="4999"/>
    <x v="0"/>
    <n v="0"/>
    <s v="LINESTRING (11.045151086297233 60.225245868929555, 11.045163143898442 60.225197755726306, 11.04523901097169 60.22491628356363)"/>
    <s v="[1507194, 1507209]"/>
    <s v="[1362986, 1361083]"/>
    <s v="#FIELD!"/>
    <s v="[1362985, 1362986]"/>
    <s v="[0.019, 0.006]"/>
    <s v="37.05016878978654"/>
    <s v="[-0.019, -0.006]"/>
  </r>
  <r>
    <x v="4444"/>
    <x v="5001"/>
    <x v="0"/>
    <n v="0"/>
    <s v="LINESTRING (11.06767608870064 60.21032699177313, 11.067622039231418 60.210062384268305, 11.067580818307698 60.20996110503355, 11.067568759952534 60.2099140185336)"/>
    <s v="[1505145, 1505152, 1505153]"/>
    <s v="[1361085, 1361091, 1361092]"/>
    <s v="0.013541071374915"/>
    <s v="[1361084, 1361085, 1361091]"/>
    <s v="[0.012, 0.015, 0.019]"/>
    <s v="46.44368927602686"/>
    <s v="[0.012, 0.015, 0.019]"/>
  </r>
  <r>
    <x v="4444"/>
    <x v="5002"/>
    <x v="0"/>
    <n v="0"/>
    <s v="LINESTRING (11.06767608870064 60.21032699177313, 11.067858415971067 60.21007093890522, 11.067922457705988 60.20998817500745, 11.067985999700301 60.20993519712488)"/>
    <s v="[1507217, 1507225, 1507227]"/>
    <s v="[1363008, 1363016, 1363017]"/>
    <s v="0.009851937182639948"/>
    <s v="[1361084, 1363008, 1363016]"/>
    <s v="[0.014, 0.004, 0.0]"/>
    <s v="47.03042425799029"/>
    <s v="[0.014, 0.004, -0.0]"/>
  </r>
  <r>
    <x v="4445"/>
    <x v="5003"/>
    <x v="0"/>
    <n v="0"/>
    <m/>
    <n v="1526186"/>
    <n v="1361101"/>
    <s v="0.026"/>
    <n v="1361092"/>
    <s v="0.026"/>
    <s v="37.28662878316946"/>
    <s v="0.026"/>
  </r>
  <r>
    <x v="4445"/>
    <x v="5002"/>
    <x v="0"/>
    <n v="0"/>
    <s v="LINESTRING (11.067985999700301 60.20993519712488, 11.067755903444857 60.209960153992384, 11.067568759952534 60.2099140185336)"/>
    <s v="[1526242, 1526250]"/>
    <s v="[1379940, 1361092]"/>
    <s v="0.006194073137546463"/>
    <s v="[1363017, 1379940]"/>
    <s v="[0.002, 0.011]"/>
    <s v="24.853368515581835"/>
    <s v="[0.002, 0.011]"/>
  </r>
  <r>
    <x v="4446"/>
    <x v="1782"/>
    <x v="0"/>
    <n v="0"/>
    <s v="LINESTRING (10.721804402521707 59.51199516946574, 10.721809181602673 59.512003104223766, 10.722068485970652 59.51243373439393, 10.722383940122617 59.51293841892421, 10.722695945230516 59.51337912753856, 10.72444034571296 59.515843358504846, 10.724446480019052 59.5158517781229, 10.726465224571827 59.51871671570269, 10.726825526509128 59.51925316645532, 10.727016535950828 59.51953754122171)"/>
    <s v="[1505158, 1505159, 1505167, 1505175, 1505183, 1505184, 1505191, 1505199, 1505215]"/>
    <s v="[1361097, 1361098, 1361106, 1361113, 1361122, 1361123, 1361129, 1361137, 1361153]"/>
    <s v="0.002705714501673103"/>
    <s v="[1361096, 1361097, 1361098, 1361106, 1361113, 1361122, 1361123, 1361129, 1361137]"/>
    <s v="[0.059, 0.005, 0.002, 0.03, 0.012, 0.007, 0.019, 0.003, 0.049]"/>
    <s v="890.9617325315049"/>
    <s v="[-0.059, -0.005, -0.002, -0.03, -0.012, 0.007, 0.019, -0.003, 0.049]"/>
  </r>
  <r>
    <x v="4447"/>
    <x v="5004"/>
    <x v="0"/>
    <n v="0"/>
    <s v="LINESTRING (11.067691669048017 60.20963735042583, 11.067693191628711 60.209635498799805, 11.067731390115059 60.209588843543806, 11.067867426544009 60.20927964473177)"/>
    <s v="[1505162, 1505163, 1505178]"/>
    <s v="[1361102, 1361103, 1361116]"/>
    <s v="0.01916988735495532"/>
    <s v="[1361101, 1361102, 1361103]"/>
    <s v="[0.0, 0.021, 0.019]"/>
    <s v="41.1577435200252"/>
    <s v="[0.0, 0.021, 0.019]"/>
  </r>
  <r>
    <x v="4447"/>
    <x v="5005"/>
    <x v="0"/>
    <n v="0"/>
    <s v="LINESTRING (11.067691669048017 60.20963735042583, 11.067859103163766 60.20962998722086, 11.06807190844424 60.20969410834493)"/>
    <s v="[1526194, 1526202]"/>
    <s v="[1379902, 1363024]"/>
    <s v="#FIELD!"/>
    <s v="[1361101, 1379902]"/>
    <s v="[0.03, 0.028]"/>
    <s v="23.369774005159286"/>
    <s v="[-0.03, -0.028]"/>
  </r>
  <r>
    <x v="4448"/>
    <x v="5006"/>
    <x v="439"/>
    <n v="0"/>
    <s v="LINESTRING (11.067867426544009 60.20927964473177, 11.06784789379486 60.20821469247381, 11.067847158978967 60.208205752868494, 11.067800874720497 60.20314036721407, 11.067903215616811 60.20129662227437, 11.067976995742532 60.19969624374461, 11.067944031695522 60.19888619071955)"/>
    <s v="[1525042, 1525050, 1525058, 1525066, 1525074, 1525082]"/>
    <s v="[1378915, 1378921, 1378927, 1378936, 1378943, 1361117]"/>
    <s v="0.0027240635215578487"/>
    <s v="[1361116, 1378915, 1378921, 1378927, 1378936, 1378943]"/>
    <s v="[0.02, 0.0, 0.0, 0.009, 0.007, 0.002]"/>
    <s v="1158.4971965686768"/>
    <s v="[0.02, 0.0, -0.0, 0.009, -0.007, 0.002]"/>
  </r>
  <r>
    <x v="4448"/>
    <x v="5005"/>
    <x v="0"/>
    <n v="0"/>
    <s v="LINESTRING (11.06807190844424 60.20969410834493, 11.068070381911618 60.20969132116948, 11.06803215792049 60.20962124442724, 11.067867426544009 60.20927964473177)"/>
    <s v="[1507234, 1507235, 1507236]"/>
    <s v="[1363025, 1363026, 1361116]"/>
    <s v="0.030026951183751767"/>
    <s v="[1363024, 1363025, 1363026]"/>
    <s v="[0.0, 0.012, 0.034]"/>
    <s v="47.56098069692473"/>
    <s v="[0.0, 0.012, 0.034]"/>
  </r>
  <r>
    <x v="4449"/>
    <x v="5007"/>
    <x v="0"/>
    <n v="0"/>
    <s v="LINESTRING (11.067944031695522 60.19888619071955, 11.068053269160085 60.198347929818695, 11.068117184722537 60.19825486025676)"/>
    <s v="[1505179, 1505187]"/>
    <s v="[1361118, 1361126]"/>
    <s v="#FIELD!"/>
    <s v="[1361117, 1361118]"/>
    <s v="[0.015, 0.02]"/>
    <s v="72.64444913796314"/>
    <s v="[-0.015, -0.02]"/>
  </r>
  <r>
    <x v="4449"/>
    <x v="5008"/>
    <x v="0"/>
    <n v="0"/>
    <s v="LINESTRING (11.067944031695522 60.19888619071955, 11.068254310915506 60.198408349715024, 11.068309354769216 60.198354058984904)"/>
    <s v="[1507243, 1507251]"/>
    <s v="[1363033, 1363042]"/>
    <s v="#FIELD!"/>
    <s v="[1361117, 1363033]"/>
    <s v="[0.015, 0.027]"/>
    <s v="62.912277584663634"/>
    <s v="[-0.015, -0.027]"/>
  </r>
  <r>
    <x v="4450"/>
    <x v="5009"/>
    <x v="0"/>
    <n v="0"/>
    <m/>
    <n v="1526354"/>
    <n v="1361141"/>
    <s v="#FIELD!"/>
    <n v="1361126"/>
    <s v="0.007"/>
    <s v="13.065085510343875"/>
    <s v="#FIELD!"/>
  </r>
  <r>
    <x v="4450"/>
    <x v="5008"/>
    <x v="0"/>
    <n v="0"/>
    <s v="LINESTRING (11.068309354769216 60.198354058984904, 11.068183769279708 60.198317068328656, 11.068117184722537 60.19825486025676)"/>
    <s v="[1526410, 1526418]"/>
    <s v="[1380067, 1361126]"/>
    <s v="#FIELD!"/>
    <s v="[1363042, 1380067]"/>
    <s v="[0.001, 0.011]"/>
    <s v="15.949994976592812"/>
    <s v="[0.001, -0.011]"/>
  </r>
  <r>
    <x v="4451"/>
    <x v="5010"/>
    <x v="0"/>
    <n v="0"/>
    <s v="LINESTRING (11.068164895228218 60.19814300646377, 11.068084465968505 60.198077438670495, 11.067722215191507 60.197572499518365)"/>
    <s v="[1505203, 1505211]"/>
    <s v="[1361142, 1361150]"/>
    <s v="0.012141242321823873"/>
    <s v="[1361141, 1361142]"/>
    <s v="[0.006, 0.013]"/>
    <s v="69.78545148402459"/>
    <s v="[0.006, 0.013]"/>
  </r>
  <r>
    <x v="4451"/>
    <x v="5011"/>
    <x v="0"/>
    <n v="0"/>
    <s v="LINESTRING (11.068164895228218 60.19814300646377, 11.068305965749444 60.198095953608224, 11.068473522630631 60.19809913038558)"/>
    <s v="[1526362, 1526370]"/>
    <s v="[1380033, 1363051]"/>
    <s v="#FIELD!"/>
    <s v="[1361141, 1380033]"/>
    <s v="[0.005, 0.007]"/>
    <s v="18.722341369452167"/>
    <s v="[-0.005, -0.007]"/>
  </r>
  <r>
    <x v="4452"/>
    <x v="5012"/>
    <x v="0"/>
    <n v="0"/>
    <m/>
    <n v="1525090"/>
    <n v="1361158"/>
    <s v="0.003"/>
    <n v="1361150"/>
    <s v="0.003"/>
    <s v="272.5887849875637"/>
    <s v="0.003"/>
  </r>
  <r>
    <x v="4452"/>
    <x v="5011"/>
    <x v="0"/>
    <n v="0"/>
    <s v="LINESTRING (11.068473522630631 60.19809913038558, 11.068338175708279 60.19802816559699, 11.067722215191507 60.197572499518365)"/>
    <s v="[1507259, 1507267]"/>
    <s v="[1363052, 1361150]"/>
    <s v="0.01274847102855273"/>
    <s v="[1363051, 1363052]"/>
    <s v="[0.017, 0.012]"/>
    <s v="72.84726749407096"/>
    <s v="[0.017, 0.012]"/>
  </r>
  <r>
    <x v="4453"/>
    <x v="4824"/>
    <x v="0"/>
    <s v="[0, 0, 0, 0, 0, 0, 0, 0, 0, 0, 0, 1, 1, 1, 0, 0, 0, 1, 1, 0, 0, 0, 0, 0, 0, 1, 0, 0, 0, 0, 0]"/>
    <s v="LINESTRING (10.727016535950828 59.51953754122171, 10.727385345220272 59.520079330905936, 10.727512810346623 59.52027546376923, 10.72917796329072 59.52376033769088, 10.72973569293231 59.525874416552, 10.729749223637526 59.52596070612351, 10.7299315909067 59.527250833199126, 10.729938610133763 59.527365756377606, 10.728310727595968 59.53531181673766, 10.728262148120363 59.535430092459976, 10.727713289710792 59.53672075070279, 10.727677465781348 59.53680723383669, 10.727201665459233 59.53794740571332, 10.726007654006013 59.54078608311306, 10.725991110415116 59.54082771474968, 10.725798223419941 59.54131327118712, 10.722923828183012 59.55058790965224, 10.721959054908499 59.555236953901684, 10.721879474480346 59.55564996313737, 10.721629331821838 59.55703716679485, 10.721564698620192 59.557438436032335, 10.723015229005934 59.57013252119632, 10.723020449340645 59.57014109058466, 10.73287960788149 59.58294406311957, 10.732885142981909 59.582952561353245, 10.7330060871813 59.58313794877383, 10.733046665240842 59.583209410556584, 10.733133384507296 59.58334622119802, 10.733199274962573 59.58345016073977, 10.738811060781643 59.599644638479724, 10.738791428892752 59.59974324323277, 10.738674374616163 59.60027894774092)"/>
    <s v="[1505216, 1505223, 1505245, 1505253, 344016, 343968, 343976, 343984, 343992, 344000, 344032, 1505261, 1505274, 1505290, 1505298, 1505306, 1505307, 1505323, 1505324, 1505339, 1505340, 1505341, 1505348, 1505356, 1505360, 1505361, 1505385, 1505386, 1505393, 1505394, 1505401]"/>
    <s v="[1361154, 1361162, 1361183, 332574, 332517, 332518, 332525, 332534, 332544, 332554, 332594, 1361197, 1361207, 1361221, 1361231, 1361238, 1361239, 1361254, 1361255, 1361268, 1361269, 1361270, 1361279, 1361286, 1361290, 1361291, 1361316, 1361317, 1361324, 1361325, 1361335]"/>
    <s v="0.0027230913490197514"/>
    <s v="[1361153, 1361154, 1361162, 1361183, 332574, 332517, 332518, 332525, 332534, 332544, 332554, 332594, 1361197, 1361207, 1361221, 1361231, 1361238, 1361239, 1361254, 1361255, 1361268, 1361269, 1361270, 1361279, 1361286, 1361290, 1361291, 1361316, 1361317, 1361324, 1361325]"/>
    <s v="[0.026, 0.03, 0.012, 0.02, 0.013, 0.055, 0.115, 0.011, 0.122, 0.134, 0.136, 0.111, 0.07, 0.236, 0.142, 0.014, 0.011, 0.116, 0.028, 0.109, 0.004, 0.012, 0.014, 0.048, 0.034, 0.021, 0.026, 0.033, 0.002, 0.027, 0.025]"/>
    <s v="9222.93692042737"/>
    <s v="[0.026, -0.03, 0.012, 0.02, 0.013, 0.055, 0.115, 0.011, -0.122, -0.134, -0.136, -0.111, 0.07, 0.236, 0.142, 0.014, -0.011, -0.116, 0.028, 0.109, 0.004, -0.012, -0.014, -0.048, -0.034, -0.021, -0.026, -0.033, 0.002, 0.027, 0.025]"/>
  </r>
  <r>
    <x v="4454"/>
    <x v="5013"/>
    <x v="0"/>
    <n v="0"/>
    <s v="LINESTRING (11.066855003455363 60.195165367339165, 11.066141042297795 60.19384231114336, 11.066097115577039 60.193779920898606)"/>
    <s v="[1505219, 1505220]"/>
    <s v="[1361159, 1361160]"/>
    <s v="#FIELD!"/>
    <s v="[1361158, 1361159]"/>
    <s v="0.003"/>
    <s v="160.54912341891634"/>
    <s v="[-0.003, 0.003]"/>
  </r>
  <r>
    <x v="4454"/>
    <x v="5014"/>
    <x v="0"/>
    <n v="0"/>
    <s v="LINESTRING (11.066855003455363 60.195165367339165, 11.066412927326184 60.1938210189606, 11.066392623428554 60.19376083187763)"/>
    <s v="[1507275, 1507290]"/>
    <s v="[1363065, 1363075]"/>
    <s v="#FIELD!"/>
    <s v="[1361158, 1363065]"/>
    <s v="[0.003, 0.009]"/>
    <s v="159.01701988070164"/>
    <s v="[-0.003, 0.009]"/>
  </r>
  <r>
    <x v="4455"/>
    <x v="5015"/>
    <x v="0"/>
    <n v="0"/>
    <s v="LINESTRING (11.066097115577039 60.193779920898606, 11.066045710233636 60.19376140306237, 11.06597766231282 60.193708499466425, 11.065977254976803 60.19363054641541, 11.066004164985815 60.193601859618894)"/>
    <s v="[1526426, 1526434, 1526442, 1526450]"/>
    <s v="[1371506, 1380088, 1365935, 1361180]"/>
    <s v="#FIELD!"/>
    <s v="[1361160, 1371506, 1380088, 1365935]"/>
    <s v="[0.005, 0.001, 0.003, 0.002]"/>
    <s v="22.73611289723354"/>
    <s v="[0.005, 0.001, -0.003, -0.002]"/>
  </r>
  <r>
    <x v="4455"/>
    <x v="5014"/>
    <x v="0"/>
    <n v="0"/>
    <s v="LINESTRING (11.066392623428554 60.19376083187763, 11.066251031153651 60.193794292403695, 11.066097115577039 60.193779920898606)"/>
    <s v="[1526506, 1526514]"/>
    <s v="[1380136, 1361160]"/>
    <s v="0.005534940744878052"/>
    <s v="[1363075, 1380136]"/>
    <s v="[0.088, 0.077]"/>
    <s v="17.384646840796435"/>
    <s v="[0.088, -0.077]"/>
  </r>
  <r>
    <x v="4456"/>
    <x v="5016"/>
    <x v="0"/>
    <s v="[0, 1, 0, 0]"/>
    <s v="LINESTRING (10.524128184271628 59.88838533132252, 10.523883554065147 59.888314954386935, 10.523495238290792 59.88823519032169, 10.521996486193363 59.888480944815825, 10.521838548190491 59.88847107113748)"/>
    <s v="[1505242, 1505249, 1505257, 1505265]"/>
    <s v="[1361179, 1361186, 1361193, 1361201]"/>
    <s v="0.01241549700321484"/>
    <s v="[1361178, 1361179, 1361186, 1361193]"/>
    <s v="[0.013, 0.004, 0.019, 0.013]"/>
    <s v="138.60624326445776"/>
    <s v="[-0.013, 0.004, 0.019, 0.013]"/>
  </r>
  <r>
    <x v="4456"/>
    <x v="5017"/>
    <x v="0"/>
    <s v="[1, 1, 0]"/>
    <s v="LINESTRING (10.526311438248195 59.889341825646746, 10.526215992113105 59.88931969391048, 10.524893169427198 59.88871743966621, 10.524128184271628 59.88838533132252)"/>
    <s v="[1554295, 1505226, 1505241]"/>
    <s v="[1361164, 1361165, 1361178]"/>
    <s v="0.038439359021880476"/>
    <s v="[1401797, 1361164, 1361165]"/>
    <s v="[0.045, 0.047, 0.032]"/>
    <s v="162.4786134970543"/>
    <s v="[-0.045, 0.047, 0.032]"/>
  </r>
  <r>
    <x v="4457"/>
    <x v="5018"/>
    <x v="0"/>
    <n v="0"/>
    <s v="LINESTRING (11.066004164985815 60.193601859618894, 11.066013692640242 60.19351754035377, 11.066022464590766 60.19310266428553)"/>
    <s v="[1505243, 1505259]"/>
    <s v="[1361181, 1361195]"/>
    <s v="0.012964491342993748"/>
    <s v="[1361180, 1361181]"/>
    <s v="[0.002, 0.016]"/>
    <s v="55.80579679500481"/>
    <s v="[-0.002, 0.016]"/>
  </r>
  <r>
    <x v="4457"/>
    <x v="5019"/>
    <x v="0"/>
    <n v="0"/>
    <s v="LINESTRING (11.066004164985815 60.193601859618894, 11.066185878209405 60.19354397061136, 11.066366766732324 60.19356678461321)"/>
    <s v="[1526458, 1526466]"/>
    <s v="[1380103, 1370250]"/>
    <s v="0.003"/>
    <s v="[1361180, 1380103]"/>
    <s v="0.003"/>
    <s v="22.613325900090388"/>
    <s v="0.003"/>
  </r>
  <r>
    <x v="4458"/>
    <x v="5020"/>
    <x v="0"/>
    <n v="0"/>
    <m/>
    <n v="1525098"/>
    <n v="1361196"/>
    <s v="0.001"/>
    <n v="1361195"/>
    <s v="0.001"/>
    <s v="159.52446658995646"/>
    <s v="0.001"/>
  </r>
  <r>
    <x v="4458"/>
    <x v="5019"/>
    <x v="0"/>
    <n v="0"/>
    <s v="LINESTRING (11.066366766732324 60.19356678461321, 11.066313596820695 60.19350152181315, 11.066022464590766 60.19310266428553)"/>
    <s v="[1515187, 1515195]"/>
    <s v="[1370251, 1361195]"/>
    <s v="0.011722316239214828"/>
    <s v="[1370250, 1370251]"/>
    <s v="[0.004, 0.013]"/>
    <s v="55.28255762062031"/>
    <s v="[0.004, 0.013]"/>
  </r>
  <r>
    <x v="4459"/>
    <x v="4613"/>
    <x v="0"/>
    <n v="0"/>
    <s v="LINESTRING (11.065601756382621 60.19168686693498, 11.065493526530682 60.1906768007389, 11.065499001811048 60.190631115801935, 11.065505550652535 60.190576473033374, 11.065512298922632 60.190515345603245, 11.065619729487866 60.189893697582754, 11.065961838070688 60.18922449112911)"/>
    <s v="[1505260, 1505267, 1505277, 1505278, 1505285, 1505308]"/>
    <s v="[487094, 1361202, 1361211, 1361212, 1361218, 1361240]"/>
    <s v="#FIELD!"/>
    <s v="[1361196, 487094, 1361202, 1361211, 1361212, 1361218]"/>
    <s v="[0.009, 0.006, 0.01, 0.006, 0.006, 0.011]"/>
    <s v="278.4525905608241"/>
    <s v="[-0.009, 0.006, 0.01, 0.006, 0.006, -0.011]"/>
  </r>
  <r>
    <x v="4459"/>
    <x v="4613"/>
    <x v="0"/>
    <n v="0"/>
    <s v="LINESTRING (11.065601756382621 60.19168686693498, 11.065637014473085 60.19068466047218, 11.065645147355333 60.19063186271791, 11.065649574930722 60.19057985383322, 11.065661495117178 60.19051970714033, 11.06578246145533 60.18990650707519, 11.065797460155084 60.18983603275302, 11.065961838070688 60.18922449112911)"/>
    <s v="[1515203, 1515214, 1515215, 1515222, 1515230, 1515231, 1515247]"/>
    <s v="[487093, 1370270, 1368236, 1370277, 1370284, 1370285, 1361240]"/>
    <s v="#FIELD!"/>
    <s v="[1361196, 487093, 1370270, 1368236, 1370277, 1370284, 1370285]"/>
    <s v="[0.006, 0.004, 0.002, 0.005, 0.001, 0.01, 0.013]"/>
    <s v="275.92319800456954"/>
    <s v="[-0.006, 0.004, 0.002, 0.005, 0.001, -0.01, -0.013]"/>
  </r>
  <r>
    <x v="4460"/>
    <x v="5021"/>
    <x v="0"/>
    <n v="0"/>
    <s v="LINESTRING (10.52169115882858 59.88825021901122, 10.521922986198113 59.88836243173659, 10.521838548190491 59.88847107113748)"/>
    <s v="[1533800, 1533808]"/>
    <s v="[1386315, 1361201]"/>
    <s v="0.0022590136097603063"/>
    <s v="[1361228, 1386315]"/>
    <s v="[0.092, 0.127]"/>
    <s v="33.05212336894724"/>
    <s v="[0.092, -0.127]"/>
  </r>
  <r>
    <x v="4461"/>
    <x v="998"/>
    <x v="0"/>
    <n v="0"/>
    <s v="LINESTRING (10.52169115882858 59.88825021901122, 10.52179214543472 59.88817811546111, 10.521960329028778 59.88711692046774, 10.52195239155159 59.88710889818895)"/>
    <s v="[1505296, 1505304, 1505312]"/>
    <s v="[1361229, 1361236, 1361244]"/>
    <s v="#FIELD!"/>
    <s v="[1361228, 1361229, 1361236]"/>
    <s v="[0.03, 0.01, 0.021]"/>
    <s v="140.9600490327644"/>
    <s v="[-0.03, -0.01, 0.021]"/>
  </r>
  <r>
    <x v="4462"/>
    <x v="5022"/>
    <x v="0"/>
    <s v="[0, 1, 1]"/>
    <s v="LINESTRING (10.52195239155159 59.88710889818895, 10.520531667898476 59.88609539035717, 10.520244743224012 59.885881160000345, 10.520188087860532 59.885774361836944)"/>
    <s v="[1505313, 1505328, 1554327]"/>
    <s v="[1361245, 1361259, 1401860]"/>
    <s v="#FIELD!"/>
    <s v="[1361244, 1361245, 1361259]"/>
    <s v="[0.007, 0.02, 0.029]"/>
    <s v="179.29353345829543"/>
    <s v="[-0.007, -0.02, -0.029]"/>
  </r>
  <r>
    <x v="4463"/>
    <x v="5023"/>
    <x v="0"/>
    <n v="0"/>
    <s v="LINESTRING (11.080346233971 60.17842842866202, 11.081143026899724 60.17829631933368, 11.081301904474556 60.17826883986717)"/>
    <s v="[1505316, 1505317]"/>
    <s v="[1361248, 1361249]"/>
    <s v="0.007667422041402411"/>
    <s v="[1361247, 1361248]"/>
    <s v="[0.007, 0.011]"/>
    <s v="55.95080089693266"/>
    <s v="[0.007, 0.011]"/>
  </r>
  <r>
    <x v="4463"/>
    <x v="5024"/>
    <x v="0"/>
    <n v="0"/>
    <s v="LINESTRING (11.080346233971 60.17842842866202, 11.081202330987958 60.17844014756542, 11.081303712582327 60.17843520203617)"/>
    <s v="[1515252, 1515253]"/>
    <s v="[1370303, 1370304]"/>
    <s v="0.009061165208245858"/>
    <s v="[1361247, 1370303]"/>
    <s v="[0.008, 0.018]"/>
    <s v="53.28602402405618"/>
    <s v="[0.008, 0.018]"/>
  </r>
  <r>
    <x v="4464"/>
    <x v="5025"/>
    <x v="0"/>
    <n v="0"/>
    <s v="LINESTRING (11.081301904474556 60.17826883986717, 11.081461104151911 60.17818994892043, 11.081578654464076 60.178172752483995, 11.081693960530155 60.17817436778748, 11.081931140459115 60.17825869937136)"/>
    <s v="[1526522, 1526530, 1526538, 1526546]"/>
    <s v="[1363171, 1380158, 1361892, 1361262]"/>
    <s v="0.009629775733838815"/>
    <s v="[1361249, 1363171, 1380158, 1361892]"/>
    <s v="[0.042, 0.01, 0.012, 0.048]"/>
    <s v="42.543148184049585"/>
    <s v="[-0.042, 0.01, 0.012, 0.048]"/>
  </r>
  <r>
    <x v="4464"/>
    <x v="5024"/>
    <x v="0"/>
    <n v="0"/>
    <s v="LINESTRING (11.081303712582327 60.17843520203617, 11.081264864795148 60.17836752852727, 11.081301904474556 60.17826883986717)"/>
    <s v="[1526602, 1526610]"/>
    <s v="[1380215, 1361249]"/>
    <s v="#FIELD!"/>
    <s v="[1370304, 1380215]"/>
    <s v="[0.074, 0.048]"/>
    <s v="19.03140855590491"/>
    <s v="[-0.074, 0.048]"/>
  </r>
  <r>
    <x v="4465"/>
    <x v="5026"/>
    <x v="0"/>
    <n v="0"/>
    <s v="LINESTRING (11.081931140459115 60.17825869937136, 11.082078669650976 60.17825947916801, 11.082309467877165 60.17826070061527, 11.082747900325069 60.17828017540653)"/>
    <s v="[1505332, 1505347, 1505355]"/>
    <s v="[1361263, 1361278, 1361285]"/>
    <s v="#FIELD!"/>
    <s v="[1361262, 1361263, 1361278]"/>
    <s v="[0.0, 0.0, 0.003]"/>
    <s v="45.43562909310948"/>
    <s v="[-0.0, -0.0, -0.003]"/>
  </r>
  <r>
    <x v="4465"/>
    <x v="5027"/>
    <x v="0"/>
    <n v="0"/>
    <s v="LINESTRING (11.081931140459115 60.17825869937136, 11.081979924618318 60.1783338584878, 11.081936850742743 60.17843776248329)"/>
    <s v="[1526554, 1526562]"/>
    <s v="[1380176, 1370305]"/>
    <s v="0.005286806793452289"/>
    <s v="[1361262, 1380176]"/>
    <s v="[0.053, 0.048]"/>
    <s v="20.81393239646974"/>
    <s v="[-0.053, 0.048]"/>
  </r>
  <r>
    <x v="4466"/>
    <x v="5028"/>
    <x v="0"/>
    <s v="[0, 0, 1, 0, 0]"/>
    <s v="LINESTRING (10.523394548020743 59.886751503835185, 10.522653198474462 59.88716693005485, 10.522869485280534 59.887296031782455, 10.523510721118331 59.887679037209345, 10.52400955353561 59.88797750565477, 10.524120946727015 59.88807634406718)"/>
    <s v="[1537386, 1537394, 1537402, 1537410, 1540252]"/>
    <s v="[1389325, 1389331, 1389339, 1389346, 1391722]"/>
    <s v="0.003968981102794985"/>
    <s v="[1361274, 1389325, 1389331, 1389339, 1389346]"/>
    <s v="[0.013, 0.025, 0.018, 0.001, 0.012]"/>
    <s v="329.7602228867916"/>
    <s v="[0.013, -0.025, -0.018, 0.001, 0.012]"/>
  </r>
  <r>
    <x v="4466"/>
    <x v="999"/>
    <x v="0"/>
    <n v="0"/>
    <s v="LINESTRING (10.522957925383762 59.887680915107424, 10.523061847181296 59.887507198929576, 10.523067073122961 59.887498563597134, 10.523135504262482 59.88738569155727, 10.523394548020743 59.886751503835185)"/>
    <s v="[1537354, 1537362, 1537370, 1537378]"/>
    <s v="[1389295, 1389305, 1389313, 1361274]"/>
    <s v="#FIELD!"/>
    <s v="[1361333, 1389295, 1389305, 1389313]"/>
    <s v="[0.065, 0.025, 0.016, 0.021]"/>
    <s v="106.68238972597032"/>
    <s v="[0.065, -0.025, -0.016, -0.021]"/>
  </r>
  <r>
    <x v="4467"/>
    <x v="4911"/>
    <x v="0"/>
    <n v="0"/>
    <s v="LINESTRING (11.014151708137746 59.93998390934302, 11.01397253606021 59.939983881717076, 11.01190460759989 59.939544742663884, 11.01012726755325 59.93964074961159, 11.010069734074658 59.9397038982906)"/>
    <s v="[1510168, 1550746, 1550754, 1550762]"/>
    <s v="[1365676, 1400046, 1400051, 1361281]"/>
    <s v="0.015650141899004804"/>
    <s v="[1365675, 1365676, 1400046, 1400051]"/>
    <s v="[0.067, 0.007, 0.019, 0.041]"/>
    <s v="255.43908339909294"/>
    <s v="[0.067, 0.007, 0.019, 0.041]"/>
  </r>
  <r>
    <x v="4468"/>
    <x v="5029"/>
    <x v="0"/>
    <n v="0"/>
    <m/>
    <n v="1525178"/>
    <n v="1379036"/>
    <s v="#FIELD!"/>
    <n v="1361285"/>
    <s v="0.001"/>
    <s v="288.17664921540097"/>
    <s v="#FIELD!"/>
  </r>
  <r>
    <x v="4468"/>
    <x v="5027"/>
    <x v="0"/>
    <n v="0"/>
    <s v="LINESTRING (11.081936850742743 60.17843776248329, 11.082103955368751 60.17840772978459, 11.082327972961597 60.17836746102088, 11.082747900325069 60.17828017540653)"/>
    <s v="[1515254, 1515262, 1515270]"/>
    <s v="[1370306, 1370315, 1361285]"/>
    <s v="#FIELD!"/>
    <s v="[1370305, 1370306, 1370315]"/>
    <s v="[0.001, 0.001, 0.007]"/>
    <s v="48.33890804259474"/>
    <s v="[-0.001, -0.001, -0.007]"/>
  </r>
  <r>
    <x v="4469"/>
    <x v="5030"/>
    <x v="440"/>
    <n v="0"/>
    <s v="LINESTRING (11.148890369512213 60.15089717855543, 11.148887614815624 60.150947798091664, 11.149051938427787 60.15313393620447, 11.149053814131998 60.15314286324653, 11.151260747197332 60.157515082163876, 11.15514127239196 60.1614003868774, 11.156366515136485 60.162575638901835, 11.156568137785532 60.16277461110697, 11.156608918699847 60.16281627414323, 11.156681437336616 60.16289040221383)"/>
    <s v="[1560167, 1560175, 1560183, 1560191, 1560199, 1560207, 1560215, 1560223, 1560231]"/>
    <s v="[1407301, 1407306, 1407312, 1407319, 1407325, 1407332, 1407339, 1407344, 1407349]"/>
    <s v="0.012103483062226753"/>
    <s v="[1361297, 1407301, 1407306, 1407312, 1407319, 1407325, 1407332, 1407339, 1407344]"/>
    <s v="[0.129, 0.021, 0.029, 0.017, 0.004, 0.005, 0.005, 0.006, 0.003]"/>
    <s v="1425.1907660565616"/>
    <s v="[0.129, 0.021, 0.029, 0.017, 0.004, 0.005, 0.005, 0.006, -0.003]"/>
  </r>
  <r>
    <x v="4469"/>
    <x v="5031"/>
    <x v="441"/>
    <s v="[0, 0, 0, 1, 0, 0, 1, 0, 0, 0, 0, 0, 0, 0, 0, 0, 0, 0]"/>
    <s v="LINESTRING (11.158214281806844 60.13406231037437, 11.158187580464348 60.134085715914544, 11.156835229226374 60.13539275103197, 11.154412745597751 60.1410389887186, 11.154318459833979 60.14121333661519, 11.149929274633765 60.14745512412835, 11.14991012434376 60.147490883617806, 11.149849778275241 60.14760856833944, 11.149815162208162 60.147678333742924, 11.149619100226253 60.148081452440614, 11.149582979675978 60.14816005545166, 11.14923047595447 60.149135761234064, 11.1491465917228 60.14941684251839, 11.149143771638556 60.14942629809375, 11.14914095050354 60.14943576262778, 11.149080982211249 60.14967642289889, 11.149078972009303 60.1496861986944, 11.149077139638957 60.14969507174557, 11.148890369512213 60.15089717855543)"/>
    <s v="[1560023, 1560031, 1560039, 1560047, 1560055, 1560063, 1560071, 1560079, 1560087, 1560095, 1560103, 1560111, 1560119, 1560127, 1560135, 1560143, 1560151, 1560159]"/>
    <s v="[1407185, 1407191, 1407198, 1407204, 1407211, 1407218, 1407224, 1407230, 1407237, 1407245, 1407252, 1407258, 1407264, 1407271, 1407276, 1407282, 1407289, 1361297]"/>
    <s v="0.006013892446167147"/>
    <s v="[1400965, 1407185, 1407191, 1407198, 1407204, 1407211, 1407218, 1407224, 1407230, 1407237, 1407245, 1407252, 1407258, 1407264, 1407271, 1407276, 1407282, 1407289]"/>
    <s v="[0.168, 0.008, 0.01, 0.013, 0.002, 0.024, 0.027, 0.025, 0.025, 0.024, 0.021, 0.018, 0.024, 0.017, 0.017, 0.016, 0.017, 0.014]"/>
    <s v="1958.86801868113"/>
    <s v="[0.168, -0.008, 0.01, 0.013, -0.002, 0.024, 0.027, 0.025, 0.025, 0.024, 0.021, 0.018, 0.024, 0.017, 0.017, 0.016, 0.017, 0.014]"/>
  </r>
  <r>
    <x v="4469"/>
    <x v="5032"/>
    <x v="0"/>
    <n v="0"/>
    <s v="LINESTRING (11.13821702063126 60.16316079188609, 11.14410841379262 60.16102421141727, 11.14507107088148 60.16067394242367, 11.145591557602675 60.16047588610753, 11.14573692189628 60.16041596333154, 11.145857832899896 60.160368155954636, 11.14598834595862 60.16031198040342, 11.146295620792436 60.1601740438171, 11.147737038430009 60.15934718738417, 11.149123109036703 60.15799050331536, 11.149283743263265 60.154407456089935, 11.14880566924385 60.15101041449921, 11.148890369512213 60.15089717855543)"/>
    <s v="[2109189, 2109197, 2109205, 2109213, 2109221, 1525242, 1525250, 1525258, 1525266, 1525274, 1525282, 1505366]"/>
    <s v="[1821015, 1821019, 1821022, 1821026, 1379097, 1379098, 1379105, 1379112, 1379119, 1379128, 1361296, 1361297]"/>
    <s v="#FIELD!"/>
    <s v="[1820937, 1821015, 1821019, 1821022, 1821026, 1379097, 1379098, 1379105, 1379112, 1379119, 1379128, 1361296]"/>
    <s v="[0.003, 0.019, 0.019, 0.013, 0.477, 0.118, 0.119, 0.003, 0.0, 0.006, 0.022, 0.011]"/>
    <s v="1648.7030758317521"/>
    <s v="[-0.003, 0.019, 0.019, 0.013, -0.477, 0.118, 0.119, 0.003, 0.0, -0.006, -0.022, -0.011]"/>
  </r>
  <r>
    <x v="4470"/>
    <x v="5033"/>
    <x v="0"/>
    <n v="0"/>
    <s v="LINESTRING (11.149358756227775 60.14962145687911, 11.149347606295892 60.149659552669185, 11.149345724055626 60.149669314212936, 11.149343999572547 60.149678190406526, 11.149210587168485 60.15044228213113, 11.149156985733596 60.150927115628605, 11.149311689036814 60.1531136382853, 11.149313293148333 60.15312257539663, 11.149655389977097 60.154324243503986, 11.15153266254148 60.15749205872737, 11.155392616621066 60.161340988947146, 11.15542567169504 60.16137296226022, 11.156580855865016 60.16248567905016, 11.156645742039043 60.1625477915769, 11.156885707760356 60.16277859313816)"/>
    <s v="[1507748, 1507749, 1507756, 1507764, 1507787, 1507795, 1507811, 1507819, 1507827, 1507835, 1507843, 1507859, 1507860, 1507876]"/>
    <s v="[1363461, 1363462, 1363467, 1363476, 1363497, 1363502, 1363516, 1363521, 1363530, 1363538, 1363548, 1363561, 1363562, 1363575]"/>
    <s v="0.008574606072949329"/>
    <s v="[1361318, 1363461, 1363462, 1363467, 1363476, 1363497, 1363502, 1363516, 1363521, 1363530, 1363538, 1363548, 1363561, 1363562]"/>
    <s v="[0.001, 0.004, 0.017, 0.007, 0.014, 0.019, 0.006, 0.015, 0.011, 0.0, 0.046, 0.008, 0.022, 0.07]"/>
    <s v="1554.9511318934888"/>
    <s v="[-0.001, 0.004, -0.017, 0.007, 0.014, 0.019, 0.006, 0.015, 0.011, -0.0, 0.046, -0.008, 0.022, 0.07]"/>
  </r>
  <r>
    <x v="4470"/>
    <x v="5034"/>
    <x v="0"/>
    <s v="[0, 0, 1, 1, 0, 0, 1, 0, 0, 0, 0, 0, 0]"/>
    <s v="LINESTRING (11.157091577234041 60.13542733816914, 11.154692483637914 60.14104685133982, 11.154679070919121 60.14107369897527, 11.154606719965924 60.141214615290444, 11.154592914777323 60.14124019300967, 11.150214936323565 60.14742793847158, 11.150193561248503 60.14747485191022, 11.150085317192383 60.14766658114048, 11.149880223812858 60.14810791158089, 11.149499754821836 60.149125898813914, 11.14941890590034 60.14939693761392, 11.14941619763262 60.149406054854175, 11.149413470345413 60.14941518053014, 11.149358756227775 60.14962145687911)"/>
    <s v="[1507645, 1507653, 1507661, 1507669, 1507684, 1507685, 1507693, 1507700, 1507708, 1507716, 1507724, 1507725, 1507740]"/>
    <s v="[1363369, 1363376, 1363385, 1363391, 1363402, 1363403, 1363408, 1363414, 1363420, 1363430, 1363437, 1363438, 1361318]"/>
    <s v="0.0075040685916016705"/>
    <s v="[1363364, 1363369, 1363376, 1363385, 1363391, 1363402, 1363403, 1363408, 1363414, 1363420, 1363430, 1363437, 1363438]"/>
    <s v="[0.012, 0.008, 0.017, 0.067, 0.002, 0.05, 0.056, 0.044, 0.014, 0.009, 0.015, 0.012, 0.001]"/>
    <s v="1645.3823002897407"/>
    <s v="[0.012, 0.008, 0.017, 0.067, -0.002, 0.05, 0.056, 0.044, 0.014, 0.009, 0.015, -0.012, -0.001]"/>
  </r>
  <r>
    <x v="4471"/>
    <x v="5035"/>
    <x v="0"/>
    <n v="0"/>
    <s v="LINESTRING (11.156951131636273 60.16485701197276, 11.157285610823317 60.165144051964916, 11.157360661019654 60.16521139422252)"/>
    <s v="[1505396, 1505421]"/>
    <s v="[1361329, 1361355]"/>
    <s v="0.010875295589956764"/>
    <s v="[1361328, 1361329]"/>
    <s v="[0.012, 0.006]"/>
    <s v="45.791921681711365"/>
    <s v="[0.012, 0.006]"/>
  </r>
  <r>
    <x v="4471"/>
    <x v="4932"/>
    <x v="0"/>
    <n v="0"/>
    <s v="LINESTRING (11.156951131636273 60.16485701197276, 11.157041260577145 60.16518383575177, 11.157072020997589 60.16525784758716)"/>
    <s v="[1515278, 1515279]"/>
    <s v="[1370330, 1370331]"/>
    <s v="#FIELD!"/>
    <s v="[1361328, 1370330]"/>
    <s v="[0.002, 0.007]"/>
    <s v="45.44600522633404"/>
    <s v="[-0.002, 0.007]"/>
  </r>
  <r>
    <x v="4471"/>
    <x v="5036"/>
    <x v="0"/>
    <n v="0"/>
    <s v="LINESTRING (11.15299748588468 60.16118571436583, 11.156914382901043 60.164795959506215, 11.156951131636273 60.16485701197276)"/>
    <s v="[1525450, 1525458]"/>
    <s v="[1379288, 1361328]"/>
    <s v="0.0018795385920722843"/>
    <s v="[1379282, 1379288]"/>
    <s v="[0.002, 0.006]"/>
    <s v="471.6999476843875"/>
    <s v="[0.002, -0.006]"/>
  </r>
  <r>
    <x v="4472"/>
    <x v="4831"/>
    <x v="0"/>
    <n v="0"/>
    <s v="LINESTRING (10.738674374616163 59.60027894774092, 10.738657569768437 59.600339437730184, 10.738632272794485 59.60043052946825, 10.738026176687569 59.602324830854315, 10.738022840625293 59.60233365118394, 10.737014731994433 59.604380779771994, 10.736289396283954 59.605671992272796, 10.736262655643563 59.605717744116575, 10.736124770223526 59.60595386626886, 10.736100809191074 59.605994906970416)"/>
    <s v="[1505404, 1505419, 1505427, 1505428, 1505437, 1505438, 1505444, 1505446, 1505453]"/>
    <s v="[1361337, 1361353, 1361361, 1361362, 1361368, 1361369, 1361375, 1361376, 1361383]"/>
    <s v="0.02115019513610887"/>
    <s v="[1361335, 1361337, 1361353, 1361361, 1361362, 1361368, 1361369, 1361375, 1361376]"/>
    <s v="[0.017, 0.023, 0.025, 0.013, 0.016, 0.022, 0.041, 0.028, 0.018]"/>
    <s v="654.3664604000467"/>
    <s v="[0.017, 0.023, 0.025, 0.013, 0.016, 0.022, 0.041, 0.028, 0.018]"/>
  </r>
  <r>
    <x v="4473"/>
    <x v="5037"/>
    <x v="0"/>
    <n v="0"/>
    <m/>
    <n v="1526618"/>
    <n v="1361356"/>
    <s v="#FIELD!"/>
    <n v="1361355"/>
    <s v="0.006"/>
    <s v="4.846648326351877"/>
    <s v="#FIELD!"/>
  </r>
  <r>
    <x v="4473"/>
    <x v="4932"/>
    <x v="0"/>
    <n v="0"/>
    <s v="LINESTRING (11.157072020997589 60.16525784758716, 11.157201828707626 60.16521217591457, 11.157360661019654 60.16521139422252)"/>
    <s v="[1526690, 1526698]"/>
    <s v="[1380287, 1361355]"/>
    <s v="0.029480823588851977"/>
    <s v="[1370331, 1380287]"/>
    <s v="[0.07, 0.129]"/>
    <s v="17.64426219584354"/>
    <s v="[-0.07, 0.129]"/>
  </r>
  <r>
    <x v="4474"/>
    <x v="5038"/>
    <x v="0"/>
    <n v="0"/>
    <s v="LINESTRING (11.157439675286353 60.165229869073144, 11.15759339389946 60.16521512213985, 11.158188002837287 60.165185972973426)"/>
    <s v="[1505422, 1505429]"/>
    <s v="[1361357, 1361363]"/>
    <s v="#FIELD!"/>
    <s v="[1361356, 1361357]"/>
    <s v="[0.013, 0.018]"/>
    <s v="42.07715607126821"/>
    <s v="[-0.013, -0.018]"/>
  </r>
  <r>
    <x v="4474"/>
    <x v="4935"/>
    <x v="0"/>
    <n v="0"/>
    <s v="LINESTRING (11.157439675286353 60.165229869073144, 11.157541902628505 60.165296660898356, 11.157544745936185 60.16538034352277)"/>
    <s v="[1526626, 1526634]"/>
    <s v="[1380237, 1370337]"/>
    <s v="#FIELD!"/>
    <s v="[1361356, 1380237]"/>
    <s v="[0.075, 0.072]"/>
    <s v="18.686862417551442"/>
    <s v="[-0.075, 0.072]"/>
  </r>
  <r>
    <x v="4475"/>
    <x v="5039"/>
    <x v="0"/>
    <s v="[0, 1, 0]"/>
    <s v="LINESTRING (11.158188002837287 60.165185972973426, 11.158454753358127 60.165141578601975, 11.159814920228452 60.16490957825613, 11.160316803408632 60.164828854503845)"/>
    <s v="[1525466, 1525474, 1525482]"/>
    <s v="[1379299, 1379305, 1365121]"/>
    <s v="#FIELD!"/>
    <s v="[1361363, 1379299, 1379305]"/>
    <s v="[0.037, 0.011, 0.036]"/>
    <s v="124.73527739783339"/>
    <s v="[-0.037, -0.011, 0.036]"/>
  </r>
  <r>
    <x v="4475"/>
    <x v="4935"/>
    <x v="0"/>
    <n v="0"/>
    <s v="LINESTRING (11.157544745936185 60.16538034352277, 11.157694002427954 60.16533911940267, 11.158188002837287 60.165185972973426)"/>
    <s v="[1515286, 1515314]"/>
    <s v="[1370338, 1361363]"/>
    <s v="#FIELD!"/>
    <s v="[1370337, 1370338]"/>
    <s v="[0.01, 0.019]"/>
    <s v="41.78310482772564"/>
    <s v="[-0.01, -0.019]"/>
  </r>
  <r>
    <x v="4476"/>
    <x v="4834"/>
    <x v="0"/>
    <n v="0"/>
    <s v="LINESTRING (10.736100809191074 59.605994906970416, 10.7330887744792 59.61121784443822, 10.732376416895534 59.61474226562709, 10.732380627416152 59.61481388928486, 10.732830474398884 59.619102901772116, 10.732838053390255 59.619166182741345, 10.73299336997866 59.62036331486104, 10.73299610781773 59.62037208140114, 10.733042602115024 59.62052066137234)"/>
    <s v="[1505461, 1505462, 1505463, 1505470, 1505471, 1505472, 1505479, 1505480]"/>
    <s v="[1361391, 1361392, 1361393, 1361402, 1361403, 1361404, 1361410, 1361411]"/>
    <s v="0.013030713325310092"/>
    <s v="[1361383, 1361391, 1361392, 1361393, 1361402, 1361403, 1361404, 1361410]"/>
    <s v="[0.017, 0.009, 0.008, 0.017, 0.003, 0.003, 0.043, 0.011]"/>
    <s v="1647.4521385946396"/>
    <s v="[0.017, 0.009, 0.008, 0.017, 0.003, -0.003, -0.043, -0.011]"/>
  </r>
  <r>
    <x v="4477"/>
    <x v="4842"/>
    <x v="0"/>
    <n v="0"/>
    <s v="LINESTRING (10.733042602115024 59.62052066137234, 10.733043326338613 59.62052474037204, 10.733258500514227 59.621739820264935, 10.733327219813889 59.62212242164223, 10.733379116618872 59.62235005518809, 10.733939047536275 59.62422167316338, 10.73413700133076 59.624755271511766, 10.734140284407626 59.62476408275995, 10.734834775064655 59.62644365119852, 10.734850145308249 59.6264835099653, 10.734868824034075 59.62653198295502)"/>
    <s v="[1505481, 1505487, 1505488, 1505497, 1505505, 1505506, 1505513, 1505520, 1505550, 1505573]"/>
    <s v="[1361412, 1361418, 1361419, 1361426, 1361434, 1361435, 1361442, 1361451, 1361483, 1361508]"/>
    <s v="0.0045343996636870235"/>
    <s v="[1361411, 1361412, 1361418, 1361419, 1361426, 1361434, 1361435, 1361442, 1361451, 1361483]"/>
    <s v="[0.0, 0.008, 0.02, 0.001, 0.0, 0.014, 0.0, 0.002, 0.01, 0.014]"/>
    <s v="678.528062031616"/>
    <s v="[0.0, 0.008, 0.02, 0.001, -0.0, 0.014, 0.0, 0.002, -0.01, -0.014]"/>
  </r>
  <r>
    <x v="4478"/>
    <x v="4781"/>
    <x v="0"/>
    <n v="1"/>
    <m/>
    <n v="1505548"/>
    <n v="1361481"/>
    <s v="#FIELD!"/>
    <n v="1361480"/>
    <s v="0.016"/>
    <s v="64.78120517107567"/>
    <s v="#FIELD!"/>
  </r>
  <r>
    <x v="4479"/>
    <x v="1813"/>
    <x v="0"/>
    <s v="[0, 0, 0, 0, 0, 1, 1, 1, 1, 0, 0, 0, 0, 0, 0, 0, 0, 0, 0, 0, 0, 0, 0]"/>
    <s v="LINESTRING (10.734868824034075 59.62653198295502, 10.735828031862715 59.628357406209325, 10.735853909926599 59.62840862232034, 10.737182699586706 59.63077739004828, 10.73719537259581 59.63080342986573, 10.737611830011902 59.63167662336162, 10.737721789957417 59.6319323924284, 10.737744918940246 59.63198488528545, 10.737821264302077 59.632180698290846, 10.73792093094966 59.632444701252695, 10.73844397815469 59.63413442247089, 10.738929793231948 59.63681350731394, 10.73893125197746 59.63682243883523, 10.740191882842668 59.644948993946024, 10.740193072292728 59.644957952639004, 10.740197000313776 59.64498759195005, 10.74047670934569 59.646952454199585, 10.740838174516233 59.649280172771704, 10.741077166423253 59.65080601651213, 10.741164413055778 59.65136543604193, 10.741169122206108 59.65140110728372, 10.741638048545923 59.65384516441594, 10.74363874070977 59.65847835849222, 10.743905165476006 59.65897492692193)"/>
    <s v="[1505587, 1505603, 1505604, 1505619, 1505620, 1505627, 1505635, 1505643, 1505644, 1505649, 1505650, 1505657, 1505658, 1505665, 1505673, 1505677, 1505688, 1505696, 1505726, 1505727, 1505735, 1505743, 1505744]"/>
    <s v="[1361524, 1361543, 1361544, 1361561, 1361562, 1361571, 1361580, 1361588, 1361589, 1361594, 1361595, 1361604, 1361605, 1361610, 957653, 1361618, 957613, 1361639, 1361665, 1361666, 1361675, 1361684, 1361685]"/>
    <s v="#FIELD!"/>
    <s v="[1361508, 1361524, 1361543, 1361544, 1361561, 1361562, 1361571, 1361580, 1361588, 1361589, 1361594, 1361595, 1361604, 1361605, 1361610, 957653, 1361618, 957613, 1361639, 1361665, 1361666, 1361675, 1361684]"/>
    <s v="[0.009, 0.005, 0.013, 0.039, 0.018, 0.0, 0.007, 0.025, 0.032, 0.012, 0.008, 0.009, 0.008, 0.036, 0.019, 0.01, 0.006, 0.013, 0.02, 0.024, 0.002, 0.008, 0.013]"/>
    <s v="3662.333990873286"/>
    <s v="[-0.009, -0.005, -0.013, -0.039, -0.018, 0.0, 0.007, 0.025, 0.032, -0.012, 0.008, -0.009, 0.008, -0.036, -0.019, -0.01, -0.006, -0.013, -0.02, -0.024, -0.002, -0.008, -0.013]"/>
  </r>
  <r>
    <x v="4480"/>
    <x v="5040"/>
    <x v="0"/>
    <n v="0"/>
    <s v="LINESTRING (10.480190551302767 59.857026917408604, 10.479979098620456 59.85704913541175, 10.4798374164904 59.85701855120698, 10.479760594176362 59.85697471978522, 10.479889409173248 59.85675715761304)"/>
    <s v="[1506143, 1506154, 1506155, 1506157]"/>
    <s v="[1362059, 1362067, 1362068, 1362037]"/>
    <s v="#FIELD!"/>
    <s v="[1361523, 1362059, 1362067, 1362068]"/>
    <s v="[0.006, 0.056, 0.088, 0.021]"/>
    <s v="55.64591262564265"/>
    <s v="[0.006, -0.056, -0.088, -0.021]"/>
  </r>
  <r>
    <x v="4480"/>
    <x v="5041"/>
    <x v="0"/>
    <n v="0"/>
    <m/>
    <n v="1506128"/>
    <n v="1361523"/>
    <s v="0.094"/>
    <n v="1361559"/>
    <s v="0.094"/>
    <s v="13.025976644531365"/>
    <s v="0.094"/>
  </r>
  <r>
    <x v="4480"/>
    <x v="5042"/>
    <x v="0"/>
    <n v="0"/>
    <s v="LINESTRING (10.483437039277439 59.85851964424224, 10.483349768200647 59.85846448422203, 10.481653526161713 59.85729240796687, 10.480313150544687 59.85704662860881, 10.480190551302767 59.857026917408604)"/>
    <s v="[1540356, 1505571, 1505585, 1505586]"/>
    <s v="[1361505, 1361506, 1361522, 1361523]"/>
    <s v="#FIELD!"/>
    <s v="[1391803, 1361505, 1361506, 1361522]"/>
    <s v="[0.04, 0.012, 0.061, 0.062]"/>
    <s v="261.531081483673"/>
    <s v="[-0.04, -0.012, -0.061, -0.062]"/>
  </r>
  <r>
    <x v="4481"/>
    <x v="5043"/>
    <x v="0"/>
    <n v="0"/>
    <s v="LINESTRING (10.481605250462662 59.85581534529291, 10.48316932627607 59.85772622651033, 10.484162604382675 59.859071833678236, 10.484144730529165 59.85916501104876)"/>
    <s v="[1505602, 1505617, 1540372]"/>
    <s v="[1361542, 1361558, 1391817]"/>
    <s v="0.03279569690386961"/>
    <s v="[1361541, 1361542, 1361558]"/>
    <s v="[0.045, 0.018, 0.01]"/>
    <s v="401.55161860278133"/>
    <s v="[0.045, 0.018, -0.01]"/>
  </r>
  <r>
    <x v="4481"/>
    <x v="5044"/>
    <x v="0"/>
    <n v="0"/>
    <s v="LINESTRING (10.481348826230306 59.855715697362335, 10.481526698837065 59.855663175560096, 10.481665737866539 59.85560698032965, 10.481851471261818 59.8555558075341, 10.481798195686448 59.85559264758562, 10.481605250462662 59.85581534529291)"/>
    <s v="[1527851, 1527859, 1527867, 1540364, 1505601]"/>
    <s v="[1381285, 1381291, 1381298, 1361540, 1361541]"/>
    <s v="#FIELD!"/>
    <s v="[1381277, 1381285, 1381291, 1381298, 1361540]"/>
    <s v="[0.023, 0.024, 0.023, 0.591, 0.061]"/>
    <s v="66.05549978198228"/>
    <s v="[-0.023, -0.024, -0.023, -0.591, 0.061]"/>
  </r>
  <r>
    <x v="4481"/>
    <x v="5044"/>
    <x v="0"/>
    <n v="0"/>
    <s v="LINESTRING (10.481348826230306 59.855715697362335, 10.481390926494917 59.85572164135874, 10.481562266417773 59.855789585627335, 10.481605250462662 59.85581534529291)"/>
    <s v="[1540412, 1505681, 1505687]"/>
    <s v="[1361623, 1361624, 1361541]"/>
    <s v="#FIELD!"/>
    <s v="[1381277, 1361623, 1361624]"/>
    <s v="[0.828, 0.011, 0.014]"/>
    <s v="18.431788538138903"/>
    <s v="[-0.828, -0.011, 0.014]"/>
  </r>
  <r>
    <x v="4482"/>
    <x v="5045"/>
    <x v="0"/>
    <s v="[0, 0, 1, 0, 0]"/>
    <s v="LINESTRING (10.48032441998361 59.85693396966776, 10.480419895225657 59.85695434892585, 10.480819953589679 59.85621475815556, 10.48040441426682 59.855897601342804, 10.479512546395231 59.854912403105025, 10.479512467810217 59.854849446891286)"/>
    <s v="[1505618, 1505625, 1505633, 1505641, 1540380]"/>
    <s v="[1361560, 1361568, 1361578, 1361585, 1391824]"/>
    <s v="0.00472287378793886"/>
    <s v="[1361559, 1361560, 1361568, 1361578, 1361585]"/>
    <s v="[0.047, 0.013, 0.003, 0.031, 0.037]"/>
    <s v="334.28869120895706"/>
    <s v="[0.047, -0.013, -0.003, 0.031, -0.037]"/>
  </r>
  <r>
    <x v="4482"/>
    <x v="5046"/>
    <x v="0"/>
    <n v="0"/>
    <m/>
    <n v="1506127"/>
    <n v="1361559"/>
    <s v="0.031"/>
    <n v="1362039"/>
    <s v="0.031"/>
    <s v="23.766345569358926"/>
    <s v="0.031"/>
  </r>
  <r>
    <x v="4483"/>
    <x v="1814"/>
    <x v="0"/>
    <n v="0"/>
    <s v="LINESTRING (10.743905165476006 59.65897492692193, 10.745405880472562 59.66237209014625, 10.745448666824458 59.662584186963024, 10.745450544952831 59.662593194901596, 10.745493261496376 59.66282195138442, 10.745574460175671 59.66331732641304, 10.745575782218012 59.66332623535681, 10.74561040844547 59.663772674234856, 10.745534550046118 59.66598965877474, 10.745530392104785 59.66602522148949)"/>
    <s v="[1505751, 1505752, 1505762, 1505763, 1505764, 1505770, 1505771, 1505779, 1505799]"/>
    <s v="[1361694, 1361695, 1361704, 1361705, 1361706, 1361712, 1361713, 1361721, 1361738]"/>
    <s v="#FIELD!"/>
    <s v="[1361685, 1361694, 1361695, 1361704, 1361705, 1361706, 1361712, 1361713, 1361721]"/>
    <s v="[0.001, 0.027, 0.022, 0.021, 0.034, 0.008, 0.024, 0.021, 0.008]"/>
    <s v="796.1997204223047"/>
    <s v="[0.001, 0.027, 0.022, -0.021, -0.034, -0.008, -0.024, -0.021, -0.008]"/>
  </r>
  <r>
    <x v="4484"/>
    <x v="5047"/>
    <x v="0"/>
    <n v="0"/>
    <s v="LINESTRING (10.946601714201318 59.929509816284465, 10.94647548093403 59.92955924483396, 10.946349476322755 59.92955842299038)"/>
    <s v="[1505970, 1505791]"/>
    <s v="[1361730, 1361731]"/>
    <s v="0.014166009554900036"/>
    <s v="[1361858, 1361730]"/>
    <s v="[0.008, 0.022]"/>
    <s v="16.003036543501388"/>
    <s v="[0.008, 0.022]"/>
  </r>
  <r>
    <x v="4484"/>
    <x v="5048"/>
    <x v="0"/>
    <n v="0"/>
    <s v="LINESTRING (10.946495996469558 59.93013650481414, 10.946475145414718 59.92983788838461, 10.946469740288094 59.92977437441851, 10.946406787642214 59.92961698960168, 10.946349476322755 59.92955842299038)"/>
    <s v="[1512905, 1512914, 1512930, 1512938]"/>
    <s v="[1368106, 1368114, 1368131, 1361731]"/>
    <s v="#FIELD!"/>
    <s v="[1368075, 1368106, 1368114, 1368131]"/>
    <s v="[0.0, 0.001, 0.008, 0.004]"/>
    <s v="65.54099427821366"/>
    <s v="[-0.0, 0.001, -0.008, -0.004]"/>
  </r>
  <r>
    <x v="4485"/>
    <x v="4844"/>
    <x v="442"/>
    <s v="[0, 0, 0, 0, 0, 0, 1, 0, 0, 0, 0, 0]"/>
    <s v="LINESTRING (10.745530392104785 59.66602522148949, 10.74551919413222 59.6661061713476, 10.745517946859632 59.66611515868338, 10.745448280259778 59.66688505569688, 10.745422199022345 59.66717176892512, 10.745392923054787 59.66738842152715, 10.742459651093881 59.67554767790062, 10.742032553375358 59.6765750491081, 10.740840013130692 59.680790423584014, 10.740834875361463 59.68079908660548, 10.737872855925518 59.68476015532695, 10.737638088264205 59.68524961838224, 10.735651479613708 59.688670661489226)"/>
    <s v="[1505813, 1505819, 1505820, 1505822, 1505823, 1505824, 1505832, 1505833, 1505848, 1505856, 1505857, 1505858]"/>
    <s v="[1361755, 1361761, 1361762, 1361764, 1361765, 1361766, 1361773, 1361774, 1361786, 1361791, 1361792, 1361793]"/>
    <s v="#FIELD!"/>
    <s v="[1361738, 1361755, 1361761, 1361762, 1361764, 1361765, 1361766, 1361773, 1361774, 1361786, 1361791, 1361792]"/>
    <s v="[0.044, 0.066, 0.059, 0.04, 0.041, 0.017, 0.021, 0.026, 0.013, 0.028, 0.001, 0.018]"/>
    <s v="2597.8482936240134"/>
    <s v="[-0.044, -0.066, -0.059, -0.04, -0.041, -0.017, 0.021, 0.026, -0.013, -0.028, 0.001, -0.018]"/>
  </r>
  <r>
    <x v="4486"/>
    <x v="1765"/>
    <x v="0"/>
    <s v="[0, 0, 0, 1, 0, 0, 0, 0, 0]"/>
    <s v="LINESTRING (10.733194611534415 59.69301969746263, 10.733140933878659 59.69292443355599, 10.73449585009952 59.68914427492, 10.734566391329436 59.68905125671729, 10.735648207727216 59.68938320108691, 10.73606099577361 59.68946587182064, 10.738644811610236 59.68621302688469, 10.736667073796513 59.687423628190814, 10.735797401532515 59.68861208015692, 10.735651479613708 59.688670661489226)"/>
    <s v="[1509144, 1498675, 1498680, 1498638, 1542060, 1498649, 1498663, 1498671, 1509143]"/>
    <s v="[1356454, 1356455, 1356429, 1356430, 1356435, 1356436, 1356446, 1356452, 1361793]"/>
    <s v="0.0062916685922192765"/>
    <s v="[1361908, 1356454, 1356455, 1356429, 1356430, 1356435, 1356436, 1356446, 1356452]"/>
    <s v="[0.07, 0.026, 0.007, 0.002, 0.108, 0.007, 0.003, 0.027, 0.09]"/>
    <s v="1312.0914844891981"/>
    <s v="[0.07, 0.026, 0.007, 0.002, 0.108, -0.007, 0.003, -0.027, -0.09]"/>
  </r>
  <r>
    <x v="4487"/>
    <x v="5049"/>
    <x v="0"/>
    <n v="0"/>
    <s v="LINESTRING (10.946581077007082 59.92984291118244, 10.946583886033345 59.92977476817726, 10.946577364759396 59.92959269712212, 10.946601714201318 59.929509816284465)"/>
    <s v="[1513333, 1513334, 1513341]"/>
    <s v="[1368497, 1368498, 1361858]"/>
    <s v="#FIELD!"/>
    <s v="[1368169, 1368497, 1368498]"/>
    <s v="[0.005, 0.008, 0.01]"/>
    <s v="37.2237239595204"/>
    <s v="[0.005, -0.008, -0.01]"/>
  </r>
  <r>
    <x v="4488"/>
    <x v="1808"/>
    <x v="0"/>
    <s v="[0, 0, 0, 0, 0, 0, 0, 0, 1, 0, 0, 0, 0, 0, 0, 0, 0, 0]"/>
    <s v="LINESTRING (10.745215809507904 59.66602315822322, 10.745211437748516 59.66610269329868, 10.745210956560653 59.66611152568202, 10.745206793706606 59.66618717405745, 10.745148572188977 59.66698475120726, 10.74514176869294 59.667056555192055, 10.745126814410698 59.6672583868078, 10.74510900017394 59.667471545210496, 10.742182904954964 59.67551382069844, 10.741748506673023 59.67655772376316, 10.74057905268482 59.680731656968014, 10.740573927381815 59.6807402214749, 10.737395474745544 59.68514371380294, 10.73538584975766 59.688624825957895, 10.73480913832597 59.68937134023828, 10.734802645643946 59.68937972518694, 10.733988892507645 59.690528013252205, 10.733534507067139 59.69148145346498, 10.733194611534415 59.69301969746263)"/>
    <s v="[1558375, 1558383, 1558391, 1558399, 1558407, 1558415, 1558423, 1558431, 1558439, 1558447, 1558455, 1558463, 1558471, 1558479, 1558487, 1558495, 1558503, 1558511]"/>
    <s v="[1405947, 1405951, 1405955, 1405961, 1405966, 1405975, 1405983, 1405989, 1405996, 1406001, 1406007, 1406014, 1406021, 1406025, 1406032, 1406036, 1406043, 1361908]"/>
    <s v="#FIELD!"/>
    <s v="[1364730, 1405947, 1405951, 1405955, 1405961, 1405966, 1405975, 1405983, 1405989, 1405996, 1406001, 1406007, 1406014, 1406021, 1406025, 1406032, 1406036, 1406043]"/>
    <s v="[0.003, 0.074, 0.07, 0.046, 0.051, 0.059, 0.058, 0.015, 0.024, 0.017, 0.122, 0.02, 0.017, 0.026, 0.105, 0.021, 0.001, 0.02]"/>
    <s v="3100.9384449536647"/>
    <s v="[0.003, -0.074, -0.07, -0.046, -0.051, -0.059, -0.058, -0.015, 0.024, 0.017, -0.122, -0.02, -0.017, -0.026, -0.105, -0.021, -0.001, -0.02]"/>
  </r>
  <r>
    <x v="4489"/>
    <x v="4857"/>
    <x v="0"/>
    <n v="0"/>
    <s v="LINESTRING (10.839484432462879 59.788112409355016, 10.839606153738618 59.78864453020185, 10.84011737953944 59.79034579835028, 10.840734560389405 59.79180606379897)"/>
    <s v="[1506118, 1506126, 1506145]"/>
    <s v="[1362036, 1362043, 1362060]"/>
    <s v="#FIELD!"/>
    <s v="[1362035, 1362036, 1362043]"/>
    <s v="[0.078, 0.036, 0.019]"/>
    <s v="417.8635148650155"/>
    <s v="[0.078, -0.036, -0.019]"/>
  </r>
  <r>
    <x v="4490"/>
    <x v="5046"/>
    <x v="0"/>
    <n v="0"/>
    <s v="LINESTRING (10.479889409173248 59.85675715761304, 10.480022009579262 59.85674115867915, 10.480153271081551 59.85675500748189)"/>
    <s v="[1506119, 1506120]"/>
    <s v="[1362038, 1362039]"/>
    <s v="#FIELD!"/>
    <s v="[1362037, 1362038]"/>
    <s v="[0.033, 0.017]"/>
    <s v="15.163783266645268"/>
    <s v="[-0.033, -0.017]"/>
  </r>
  <r>
    <x v="4490"/>
    <x v="5050"/>
    <x v="0"/>
    <n v="0"/>
    <s v="LINESTRING (10.479889409173248 59.85675715761304, 10.479905068352423 59.85669442785465, 10.48007742299612 59.856338021508314, 10.480248087896875 59.856224647254336, 10.480341735323123 59.85616728817705, 10.481104053898152 59.8557480761375, 10.481200684903154 59.855700711768506)"/>
    <s v="[1524323, 1524331, 1524339, 1524347, 1524355, 1524363]"/>
    <s v="[1378309, 1378316, 1378323, 1378329, 1378336, 1378343]"/>
    <s v="#FIELD!"/>
    <s v="[1362037, 1378309, 1378316, 1378323, 1378329, 1378336]"/>
    <s v="[0.026, 0.037, 0.062, 0.03, 0.016, 0.082]"/>
    <s v="143.529787836084"/>
    <s v="[-0.026, -0.037, -0.062, 0.03, -0.016, -0.082]"/>
  </r>
  <r>
    <x v="4491"/>
    <x v="5044"/>
    <x v="0"/>
    <n v="0"/>
    <s v="LINESTRING (10.480153271081551 59.85675500748189, 10.480150773526224 59.856692345843726, 10.480264074840164 59.85636210280172, 10.480489389275997 59.856196530392495, 10.480731874094266 59.85604786194875, 10.480742913217613 59.85604109178896, 10.481205877220887 59.85579105758178, 10.481348826230306 59.855715697362335)"/>
    <s v="[1527795, 1527803, 1527811, 1527819, 1527827, 1527835, 1527843]"/>
    <s v="[1381232, 1381240, 1381250, 1381256, 1381264, 1381271, 1381277]"/>
    <s v="#FIELD!"/>
    <s v="[1362039, 1381232, 1381240, 1381250, 1381256, 1381264, 1381271]"/>
    <s v="[0.432, 0.056, 0.045, 0.032, 0.043, 0.031, 0.023]"/>
    <s v="139.45114550182578"/>
    <s v="[0.432, -0.056, -0.045, -0.032, -0.043, -0.031, -0.023]"/>
  </r>
  <r>
    <x v="4492"/>
    <x v="2870"/>
    <x v="443"/>
    <s v="[0, 0, 1, 0, 0]"/>
    <s v="LINESTRING (10.840734560389405 59.79180606379897, 10.840772657102713 59.79188396592761, 10.84279463398004 59.79646133053362, 10.842952875710424 59.79706695480724, 10.8430615930808 59.797580379434955, 10.843111761633104 59.79789648108205)"/>
    <s v="[1506164, 1506209, 1506218, 1506219, 1506220]"/>
    <s v="[1362078, 1362123, 1362131, 1362132, 1362133]"/>
    <s v="#FIELD!"/>
    <s v="[1362060, 1362078, 1362123, 1362131, 1362132]"/>
    <s v="[0.019, 0.014, 0.026, 0.037, 0.044]"/>
    <s v="692.6968125608071"/>
    <s v="[-0.019, -0.014, 0.026, 0.037, 0.044]"/>
  </r>
  <r>
    <x v="4493"/>
    <x v="5051"/>
    <x v="0"/>
    <n v="0"/>
    <s v="LINESTRING (10.968381782703833 59.92882108621496, 10.968380641115694 59.928790240978856, 10.96841991781027 59.92873721300336, 10.968541862402187 59.92869107618134, 10.968662617148688 59.928687157956595, 10.968784256506492 59.92871752931399, 10.968847825608274 59.92876735840847, 10.968853612874918 59.92882763673303, 10.968814658183224 59.928872565295165, 10.968727428581978 59.92891117020631, 10.968565919603916 59.928920718586895)"/>
    <s v="[1506235, 1506236, 1506251, 1506140, 1506141, 1506148, 1506165, 1506190, 1506199, 1506211]"/>
    <s v="[1362147, 1362148, 1362055, 1362056, 1362057, 1362063, 1362079, 1362107, 1362114, 1362125]"/>
    <s v="#FIELD!"/>
    <s v="[1362126, 1362147, 1362148, 1362055, 1362056, 1362057, 1362063, 1362079, 1362107, 1362114]"/>
    <s v="[0.05, 0.04, 0.009, 0.05, 0.063, 0.061, 0.038, 0.017, 0.005, 0.026]"/>
    <s v="67.03003316657015"/>
    <s v="[0.05, 0.04, 0.009, -0.05, -0.063, -0.061, -0.038, -0.017, -0.005, 0.026]"/>
  </r>
  <r>
    <x v="4493"/>
    <x v="5052"/>
    <x v="0"/>
    <n v="0"/>
    <s v="LINESTRING (10.968565919603916 59.928920718586895, 10.968523463010442 59.928951272018416, 10.96926522505901 59.929669793749724, 10.97215073863122 59.930482709292505, 10.972242913490476 59.93053497580789)"/>
    <s v="[1536282, 1536290, 1536298, 1510070]"/>
    <s v="[1388363, 1388369, 1365584, 1365585]"/>
    <s v="0.0011006687136852027"/>
    <s v="[1362125, 1388363, 1388369, 1365584]"/>
    <s v="[0.044, 0.002, 0.004, 0.002]"/>
    <s v="311.9340119851161"/>
    <s v="[-0.044, -0.002, 0.004, 0.002]"/>
  </r>
  <r>
    <x v="4494"/>
    <x v="5053"/>
    <x v="0"/>
    <n v="0"/>
    <s v="LINESTRING (10.96479580113401 59.928950336685894, 10.965087338197694 59.92895387536771, 10.968342569842786 59.92890115043258, 10.968381782703833 59.92882108621496)"/>
    <s v="[1513001, 1536242, 1536250]"/>
    <s v="[1368197, 1388331, 1362126]"/>
    <s v="#FIELD!"/>
    <s v="[1367076, 1368197, 1388331]"/>
    <s v="[0.011, 0.003, 0.075]"/>
    <s v="230.43336035308056"/>
    <s v="[-0.011, -0.003, 0.075]"/>
  </r>
  <r>
    <x v="4495"/>
    <x v="4870"/>
    <x v="0"/>
    <n v="0"/>
    <s v="LINESTRING (10.991632186071147 59.97491514310205, 10.991660557757802 59.974965263681874, 10.991696170563442 59.97502817287761, 10.992787488676171 59.976931432506795, 10.993426305984364 59.97785456270782, 10.993542589997316 59.97799266350727, 10.994091238235844 59.978672145610986, 10.994145151732543 59.978733614235935, 10.994456386239941 59.97911027042997, 10.99446304174271 59.979118572897065, 10.99458843293129 59.97925723699328, 10.994651069108073 59.97932550633044, 10.996215759036813 59.98079833662217)"/>
    <s v="[1506451, 1506463, 1506464, 1506486, 1506488, 1506508, 1506509, 1506515, 1506523, 1506524, 1506530, 1506538]"/>
    <s v="[1362328, 1362337, 1362338, 1362358, 1362360, 1362376, 1362377, 1362383, 1362391, 1362392, 1362397, 1362403]"/>
    <s v="#FIELD!"/>
    <s v="[1362327, 1362328, 1362337, 1362338, 1362358, 1362360, 1362376, 1362377, 1362383, 1362391, 1362392, 1362397]"/>
    <s v="[0.027, 0.033, 0.01, 0.002, 0.009, 0.008, 0.018, 0.016, 0.031, 0.024, 0.019, 0.008]"/>
    <s v="706.3537318453662"/>
    <s v="[0.027, 0.033, -0.01, 0.002, -0.009, -0.008, 0.018, -0.016, -0.031, -0.024, 0.019, -0.008]"/>
  </r>
  <r>
    <x v="4496"/>
    <x v="4876"/>
    <x v="444"/>
    <s v="[0, 0, 0, 1, 0, 0, 1, 1, 0, 0, 1, 0, 0, 1, 1, 0, 0, 0, 1, 0, 0, 0]"/>
    <s v="LINESTRING (10.996215759036813 59.98079833662217, 10.996360987795795 59.98092527556493, 10.997459554423052 59.98169067475139, 10.99762890314397 59.981804706191895, 10.999265374334847 59.98273621370493, 10.999344316062636 59.98277331163204, 11.010034017480704 59.98567870575336, 11.01029765258976 59.98570349544635, 11.012327991948089 59.985879364101145, 11.012559138786726 59.98589534513677, 11.016776231733827 59.98614508242837, 11.016975705463286 59.98615740170597, 11.017193394758383 59.986173417485396, 11.028424055226223 59.98913060711886, 11.028546080057467 59.98921549892624, 11.028908162233805 59.989471473788036, 11.029018798388885 59.98955140121457, 11.034234653595886 59.99431707185086, 11.034274951955219 59.99435144803026, 11.034418382302112 59.994470204608085, 11.034454231737822 59.994495582753004, 11.034826395304897 59.99477011009328, 11.0355676620673 59.995250187553346)"/>
    <s v="[1506559, 1506560, 1506575, 1506602, 1506610, 1506611, 1506626, 1506647, 1506663, 1506672, 1506673, 1506704, 1506711, 1506712, 1506735, 1506736, 1506762, 1506770, 1506791, 1506792, 1506802, 1506805]"/>
    <s v="[1362422, 1362423, 1362437, 1362464, 1362471, 1362472, 1362483, 1362498, 1362511, 1362519, 1362520, 1362546, 1362552, 1362553, 1362573, 1362574, 1362595, 1362601, 1362621, 1362622, 1362630, 1362632]"/>
    <s v="0.02050670478301821"/>
    <s v="[1362403, 1362422, 1362423, 1362437, 1362464, 1362471, 1362472, 1362483, 1362498, 1362511, 1362519, 1362520, 1362546, 1362552, 1362553, 1362573, 1362574, 1362595, 1362601, 1362621, 1362622, 1362630]"/>
    <s v="[0.004, 0.021, 0.134, 0.017, 0.065, 0.022, 0.062, 0.033, 0.043, 0.014, 0.008, 0.008, 0.021, 0.013, 0.029, 0.023, 0.031, 0.025, 0.043, 0.045, 0.057, 0.085]"/>
    <s v="2895.578085460257"/>
    <s v="[-0.004, -0.021, -0.134, -0.017, 0.065, 0.022, -0.062, 0.033, 0.043, 0.014, -0.008, -0.008, 0.021, -0.013, 0.029, 0.023, 0.031, 0.025, 0.043, 0.045, 0.057, 0.085]"/>
  </r>
  <r>
    <x v="4497"/>
    <x v="5054"/>
    <x v="0"/>
    <n v="0"/>
    <s v="LINESTRING (10.967013054341585 59.930579650425074, 10.966963940384545 59.930636791118864, 10.966859188459233 59.930666820839384, 10.966725523796729 59.93065987727984, 10.966646709516478 59.93051620532018, 10.966743439985013 59.93047671488368, 10.966868240361562 59.93047523262047, 10.966951329199066 59.93049829344717)"/>
    <s v="[1506725, 1506732, 1506740, 1506741, 1506760, 1506782, 1506716]"/>
    <s v="[1362565, 1362571, 1362578, 1362579, 1362594, 1362556, 1362557]"/>
    <s v="0.004649478689627196"/>
    <s v="[1362564, 1362565, 1362571, 1362578, 1362579, 1362594, 1362556]"/>
    <s v="[0.029, 0.024, 0.005, 0.037, 0.023, 0.009, 0.02]"/>
    <s v="58.92997914757518"/>
    <s v="[-0.029, -0.024, -0.005, 0.037, 0.023, -0.009, -0.02]"/>
  </r>
  <r>
    <x v="4497"/>
    <x v="4881"/>
    <x v="0"/>
    <n v="0"/>
    <s v="LINESTRING (10.966951329199066 59.93049829344717, 10.967017048047998 59.93047843225754, 10.967484783937087 59.93015561326738)"/>
    <s v="[1513009, 1513025]"/>
    <s v="[1368203, 1368219]"/>
    <s v="0.007"/>
    <s v="[1362557, 1368203]"/>
    <s v="0.007"/>
    <s v="50.27663313701619"/>
    <s v="0.007"/>
  </r>
  <r>
    <x v="4498"/>
    <x v="4881"/>
    <x v="0"/>
    <n v="0"/>
    <s v="LINESTRING (10.967013054341585 59.930579650425074, 10.96710208930221 59.930547467057494, 10.967484783937087 59.93015561326738)"/>
    <s v="[1513342, 1513349]"/>
    <s v="[1368505, 1368219]"/>
    <s v="0.011326762773658643"/>
    <s v="[1362564, 1368505]"/>
    <s v="[0.014, 0.011]"/>
    <s v="56.34095258495972"/>
    <s v="[0.014, 0.011]"/>
  </r>
  <r>
    <x v="4499"/>
    <x v="4885"/>
    <x v="0"/>
    <n v="0"/>
    <s v="LINESTRING (11.0355676620673 59.995250187553346, 11.035611484959087 59.99527838519063, 11.041024418743289 59.998196229041625, 11.041036771694396 59.998202793982564, 11.041074938626025 59.99822192872068, 11.041087844549311 59.99822822257581, 11.042074991613715 59.998763863011455, 11.042423318500756 59.99896697184418, 11.042863898937345 59.99924459689857, 11.042874802957542 59.999251576666595, 11.04331899435544 59.999561204881765, 11.043391482716308 59.99961246494687)"/>
    <s v="[1506813, 1506821, 1506829, 1506845, 1506846, 1506853, 1506877, 1506885, 1506886, 1506895, 1506896]"/>
    <s v="[1362638, 1362644, 1362652, 1362665, 1362666, 1362673, 1362693, 1362703, 1362704, 1362712, 1362713]"/>
    <s v="0.012207456360341443"/>
    <s v="[1362632, 1362638, 1362644, 1362652, 1362665, 1362666, 1362673, 1362693, 1362703, 1362704, 1362712]"/>
    <s v="[0.054, 0.026, 0.011, 0.026, 0.047, 0.007, 0.039, 0.009, 0.026, 0.059, 0.03]"/>
    <s v="654.5087250126052"/>
    <s v="[0.054, 0.026, -0.011, -0.026, -0.047, 0.007, -0.039, -0.009, 0.026, -0.059, -0.03]"/>
  </r>
  <r>
    <x v="4500"/>
    <x v="4903"/>
    <x v="0"/>
    <n v="0"/>
    <s v="LINESTRING (11.043391482716308 59.99961246494687, 11.050721475550391 60.00742631545976, 11.050832824039805 60.00749217425827, 11.061256314295735 60.0114798488987, 11.063363137753573 60.01269687434875)"/>
    <s v="[1506903, 1506921, 1506922, 1506935]"/>
    <s v="[1362718, 1362734, 1362735, 1362746]"/>
    <s v="#FIELD!"/>
    <s v="[1362713, 1362718, 1362734, 1362735]"/>
    <s v="[0.016, 0.024, 0.009, 0.014]"/>
    <s v="1893.6005045466584"/>
    <s v="[-0.016, 0.024, 0.009, -0.014]"/>
  </r>
  <r>
    <x v="4501"/>
    <x v="4907"/>
    <x v="0"/>
    <s v="[0, 0, 0, 0, 0, 1, 1, 0, 0, 0, 0]"/>
    <s v="LINESTRING (11.063363137753573 60.01269687434875, 11.06485936100047 60.013778216424285, 11.065804412031868 60.01458886202791, 11.067023984372547 60.016020800908024, 11.067061001504216 60.01609306808275, 11.067418973254918 60.01686704008937, 11.06743376266367 60.01691180087911, 11.067486157404534 60.017072213242194, 11.06749662262782 60.01710803507903, 11.068345340722203 60.01978856987016, 11.068714846592078 60.02038667955675, 11.068842103674692 60.02055093978837)"/>
    <s v="[1506950, 1506951, 1506958, 1506966, 1506974, 1506982, 1506983, 1506991, 1507004, 1507005, 1507012]"/>
    <s v="[1362758, 1362759, 1362765, 1362771, 1362778, 1362787, 1362788, 1362797, 1362810, 1362811, 1362817]"/>
    <s v="#FIELD!"/>
    <s v="[1362746, 1362758, 1362759, 1362765, 1362771, 1362778, 1362787, 1362788, 1362797, 1362810, 1362811]"/>
    <s v="[0.017, 0.006, 0.008, 0.017, 0.008, 0.033, 0.023, 0.004, 0.001, 0.019, 0.011]"/>
    <s v="941.2135505139767"/>
    <s v="[0.017, -0.006, -0.008, 0.017, -0.008, -0.033, -0.023, 0.004, -0.001, -0.019, -0.011]"/>
  </r>
  <r>
    <x v="4502"/>
    <x v="4715"/>
    <x v="0"/>
    <n v="0"/>
    <s v="LINESTRING (10.438947032217701 59.83311521486472, 10.43903557432271 59.83314706840995, 10.439080765041144 59.83319540412059)"/>
    <s v="[1507007, 1507016]"/>
    <s v="[1362813, 1362819]"/>
    <s v="#FIELD!"/>
    <s v="[1362799, 1362813]"/>
    <s v="[0.044, 0.006]"/>
    <s v="12.05972526739984"/>
    <s v="[-0.044, 0.006]"/>
  </r>
  <r>
    <x v="4502"/>
    <x v="5055"/>
    <x v="0"/>
    <s v="[0, 0, 1, 0, 0, 0]"/>
    <s v="LINESTRING (10.438947032217701 59.83311521486472, 10.43907736001689 59.8330848982097, 10.439158393354798 59.8330721884176, 10.439718585407842 59.83286949263748, 10.439996176974363 59.832759540025364, 10.440257430470957 59.83264024203809, 10.440338558676832 59.83261247953666)"/>
    <s v="[1525315, 1525323, 1525331, 1525339, 1525347, 1525355]"/>
    <s v="[1379168, 1379176, 1379182, 1379190, 1379196, 1362873]"/>
    <s v="0.03025530757170306"/>
    <s v="[1362799, 1379168, 1379176, 1379182, 1379190, 1379196]"/>
    <s v="[0.065, 0.057, 0.058, 0.023, 0.019, 0.018]"/>
    <s v="96.63292651188769"/>
    <s v="[-0.065, 0.057, 0.058, 0.023, 0.019, 0.018]"/>
  </r>
  <r>
    <x v="4503"/>
    <x v="4916"/>
    <x v="445"/>
    <s v="[0, 0, 0, 0, 0, 0, 0, 0, 0, 1, 0, 0]"/>
    <s v="LINESTRING (11.068842103674692 60.02055093978837, 11.069337229978359 60.02112425625912, 11.069863217977236 60.021571085829876, 11.06987230620802 60.02157879112193, 11.07386926613564 60.02372975858081, 11.073883752062551 60.023734981163834, 11.093052620335436 60.0277075498208, 11.093192107377416 60.02776230039357, 11.096684478930158 60.029584732830344, 11.096733313737971 60.029617083741215, 11.098576560827023 60.03122138043242, 11.098622464018018 60.03127570454361, 11.099373385251662 60.03211009904062)"/>
    <s v="[1507020, 1507021, 1507036, 1507052, 1507067, 1507082, 1507090, 1507098, 1507099, 1507102, 1507109, 1507125]"/>
    <s v="[1362822, 1362823, 1362838, 1362851, 1362865, 1362884, 1362890, 1362896, 1362897, 1362900, 1362906, 1362920]"/>
    <s v="#FIELD!"/>
    <s v="[1362817, 1362822, 1362823, 1362838, 1362851, 1362865, 1362884, 1362890, 1362896, 1362897, 1362900, 1362906]"/>
    <s v="[0.018, 0.004, 0.035, 0.034, 0.003, 0.031, 0.004, 0.012, 0.111, 0.023, 0.11, 0.052]"/>
    <s v="2234.6938489577974"/>
    <s v="[-0.018, -0.004, -0.035, -0.034, -0.003, -0.031, 0.004, -0.012, -0.111, -0.023, 0.11, 0.052]"/>
  </r>
  <r>
    <x v="4504"/>
    <x v="5056"/>
    <x v="0"/>
    <s v="[0, 0, 1, 0, 0, 0]"/>
    <s v="LINESTRING (10.439080765041144 59.83319540412059, 10.439174148680332 59.83314901926727, 10.439241355675357 59.83310564683692, 10.439815098738112 59.83289532682141, 10.440074678090287 59.832797133022616, 10.440346071950678 59.83270815354367, 10.440417260662986 59.832675738076645)"/>
    <s v="[1528739, 1528747, 1528755, 1528763, 1528771, 1528779]"/>
    <s v="[1382048, 1382057, 1382063, 1382068, 1382077, 1362923]"/>
    <s v="0.03040364771117329"/>
    <s v="[1362819, 1382048, 1382057, 1382063, 1382068, 1382077]"/>
    <s v="[0.266, 0.01, 0.006, 0.019, 0.014, 0.006]"/>
    <s v="95.08450614801767"/>
    <s v="[0.266, 0.01, 0.006, 0.019, 0.014, 0.006]"/>
  </r>
  <r>
    <x v="4505"/>
    <x v="4752"/>
    <x v="0"/>
    <n v="0"/>
    <s v="LINESTRING (10.440338558676832 59.83261247953666, 10.440418880663033 59.832539990752295, 10.440531487881927 59.83253310662405, 10.440611378034818 59.83255899285706, 10.440645729813081 59.83261342722546)"/>
    <s v="[1507073, 1507081, 1507097, 1507113]"/>
    <s v="[1362874, 1362883, 1362895, 1362910]"/>
    <s v="#FIELD!"/>
    <s v="[1362873, 1362874, 1362883, 1362895]"/>
    <s v="[0.026, 0.012, 0.041, 0.038]"/>
    <s v="27.689113220876692"/>
    <s v="[0.026, -0.012, -0.041, -0.038]"/>
  </r>
  <r>
    <x v="4505"/>
    <x v="5056"/>
    <x v="0"/>
    <n v="0"/>
    <s v="LINESTRING (10.440417260662986 59.832675738076645, 10.440361762093636 59.83264916938326, 10.440338558676832 59.83261247953666)"/>
    <s v="[1507137, 1507145]"/>
    <s v="[1362931, 1362873]"/>
    <s v="0.03249776031494181"/>
    <s v="[1362923, 1362931]"/>
    <s v="[0.029, 0.036]"/>
    <s v="8.588385750660766"/>
    <s v="[0.029, 0.036]"/>
  </r>
  <r>
    <x v="4506"/>
    <x v="4753"/>
    <x v="0"/>
    <n v="0"/>
    <s v="LINESTRING (10.440645729813081 59.83261342722546, 10.440596874955462 59.83266488394327, 10.440491319233086 59.832685503287294)"/>
    <s v="[1507121, 1507122]"/>
    <s v="[1362916, 1362917]"/>
    <s v="#FIELD!"/>
    <s v="[1362910, 1362916]"/>
    <s v="[0.019, 0.005]"/>
    <s v="12.708752250906421"/>
    <s v="[-0.019, 0.005]"/>
  </r>
  <r>
    <x v="4507"/>
    <x v="5056"/>
    <x v="0"/>
    <n v="0"/>
    <m/>
    <n v="1507129"/>
    <n v="1362923"/>
    <s v="0.024"/>
    <n v="1362917"/>
    <s v="0.024"/>
    <s v="4.295160066832411"/>
    <s v="0.024"/>
  </r>
  <r>
    <x v="4508"/>
    <x v="4914"/>
    <x v="0"/>
    <s v="[0, 0, 0, 1, 1, 0, 0, 0, 0, 0, 0, 0, 0]"/>
    <s v="LINESTRING (11.099373385251662 60.03211009904062, 11.099453261918338 60.03219915612001, 11.099516806535085 60.03226949942491, 11.10297185166736 60.035305236203996, 11.103042223291963 60.03534812695406, 11.103384562905623 60.03554367253558, 11.103427344716215 60.03556775127029, 11.104296110426958 60.036026624917106, 11.104393775628468 60.03607351177709, 11.104410745156258 60.03608152796102, 11.104423748497043 60.03608767410404, 11.108349056264165 60.03770869848603, 11.10841568950691 60.037734458562646, 11.108485639805995 60.037760891733924)"/>
    <s v="[1507140, 1507141, 1507149, 1507157, 1507165, 1507173, 1507181, 1507189, 1507238, 1507247, 1507255, 1507263, 1507271]"/>
    <s v="[1362933, 1362934, 1362942, 1362951, 1362959, 1362965, 1362972, 1362981, 1363028, 1363037, 1363046, 1363056, 1363061]"/>
    <s v="0.02403900908471227"/>
    <s v="[1362920, 1362933, 1362934, 1362942, 1362951, 1362959, 1362965, 1362972, 1362981, 1363028, 1363037, 1363046, 1363056]"/>
    <s v="[0.007, 0.028, 0.014, 0.1, 0.028, 0.013, 0.062, 0.053, 0.074, 0.104, 0.032, 0.02, 0.017]"/>
    <s v="822.5834440766223"/>
    <s v="[0.007, 0.028, 0.014, 0.1, -0.028, -0.013, 0.062, 0.053, 0.074, 0.104, 0.032, 0.02, 0.017]"/>
  </r>
  <r>
    <x v="4509"/>
    <x v="4986"/>
    <x v="0"/>
    <n v="0"/>
    <s v="LINESTRING (11.019773194265387 60.24648928735354, 11.019768110984412 60.24653111775823, 11.019742108366561 60.24657097150151, 11.019697293060274 60.24660639464728, 11.019635930172502 60.24663511781031, 11.01952216349782 60.246661997580425, 11.019354853063373 60.24666218733438, 11.019276414773612 60.246646886195116)"/>
    <s v="[1526114, 1526122, 1526130, 1526138, 1526146, 1526154, 1526162]"/>
    <s v="[1379848, 1379854, 1367286, 1365717, 1379873, 1371331, 1362932]"/>
    <s v="#FIELD!"/>
    <s v="[1362938, 1379848, 1379854, 1367286, 1365717, 1379873, 1371331]"/>
    <s v="[0.025, 0.015, 0.01, 0.005, 0.024, 0.033, 0.027]"/>
    <s v="39.5848399379249"/>
    <s v="[0.025, 0.015, 0.01, -0.005, -0.024, -0.033, -0.027]"/>
  </r>
  <r>
    <x v="4510"/>
    <x v="4999"/>
    <x v="0"/>
    <n v="0"/>
    <s v="LINESTRING (11.045151086297233 60.225245868929555, 11.04519268894089 60.22530625475028, 11.045186371038644 60.225370010759036, 11.045133009827607 60.225428065441214, 11.044878503287938 60.22549877873862)"/>
    <s v="[1540810, 1540818, 1540826, 1540834]"/>
    <s v="[1369110, 1392165, 1372869, 1362969]"/>
    <s v="0.007760599388492315"/>
    <s v="[1362985, 1369110, 1392165, 1372869]"/>
    <s v="[0.176, 0.002, 0.0, 0.057]"/>
    <s v="37.89538945159002"/>
    <s v="[0.176, -0.002, 0.0, -0.057]"/>
  </r>
  <r>
    <x v="4511"/>
    <x v="5005"/>
    <x v="0"/>
    <n v="0"/>
    <s v="LINESTRING (11.06807190844424 60.20969410834493, 11.068114039163023 60.209730688533384, 11.068130214908182 60.209834307593745, 11.068050835034455 60.20990804907413, 11.067985999700301 60.20993519712488)"/>
    <s v="[1526210, 1526218, 1526226, 1526234]"/>
    <s v="[1360066, 1379921, 1357462, 1363017]"/>
    <s v="#FIELD!"/>
    <s v="[1363024, 1360066, 1379921, 1357462]"/>
    <s v="[0.002, 0.019, 0.026, 0.001]"/>
    <s v="30.301391603946293"/>
    <s v="[-0.002, -0.019, -0.026, 0.001]"/>
  </r>
  <r>
    <x v="4512"/>
    <x v="5011"/>
    <x v="0"/>
    <n v="0"/>
    <s v="LINESTRING (11.068473522630631 60.19809913038558, 11.068649366304916 60.19821402538219, 11.068620666649371 60.198287787953696, 11.068567790806215 60.19832217701686, 11.068309354769216 60.198354058984904)"/>
    <s v="[1526378, 1526386, 1526394, 1526402]"/>
    <s v="[1365244, 1380049, 1368129, 1363042]"/>
    <s v="0.006348294176596994"/>
    <s v="[1363051, 1365244, 1380049, 1368129]"/>
    <s v="[0.031, 0.044, 0.034, 0.018]"/>
    <s v="45.314775370058086"/>
    <s v="[-0.031, 0.044, 0.034, 0.018]"/>
  </r>
  <r>
    <x v="4513"/>
    <x v="4923"/>
    <x v="446"/>
    <s v="[0, 0, 0, 1, 1, 0, 0, 0, 0, 1, 1, 0, 0, 0, 0]"/>
    <s v="LINESTRING (11.108485639805995 60.037760891733924, 11.10855870960056 60.03778586163167, 11.112605864144186 60.03935625285743, 11.13188580809353 60.0469269274338, 11.132039607267574 60.04699373962861, 11.135927138775903 60.04895906596511, 11.137429211487465 60.04989506008091, 11.137682731157454 60.05006789147335, 11.14751971422239 60.058266411178145, 11.151404954737108 60.06160140901578, 11.15153220766007 60.0617235972252, 11.15160616525992 60.0617911680262, 11.151664477574329 60.06185705133216, 11.154220447033657 60.06996856009375, 11.15421784630957 60.06997744674825, 11.152538357113256 60.07455433093387)"/>
    <s v="[1507279, 1507287, 1507295, 1507296, 1507303, 1507304, 1507311, 1507312, 1507320, 1507328, 1507329, 1507336, 1507352, 1507360, 1507368]"/>
    <s v="[1363067, 1363073, 1363080, 1363081, 1363084, 1363085, 1363089, 1363090, 1363094, 1363098, 1363099, 1363105, 1363117, 1363123, 1363127]"/>
    <s v="0.005392411541617284"/>
    <s v="[1363061, 1363067, 1363073, 1363080, 1363081, 1363084, 1363085, 1363089, 1363090, 1363094, 1363098, 1363099, 1363105, 1363117, 1363123]"/>
    <s v="[0.021, 0.039, 0.006, 0.008, 0.015, 0.021, 0.028, 0.003, 0.008, 0.02, 0.005, 0.023, 0.007, 0.007, 0.003]"/>
    <s v="5110.769931468951"/>
    <s v="[0.021, 0.039, 0.006, 0.008, 0.015, 0.021, -0.028, -0.003, -0.008, -0.02, -0.005, 0.023, 0.007, 0.007, 0.003]"/>
  </r>
  <r>
    <x v="4514"/>
    <x v="5019"/>
    <x v="0"/>
    <n v="0"/>
    <s v="LINESTRING (11.066366766732324 60.19356678461321, 11.066431978028621 60.193601174795496, 11.06647141814848 60.19366077966955, 11.066439496991157 60.193737916146745, 11.066392623428554 60.19376083187763)"/>
    <s v="[1526474, 1526482, 1526490, 1526498]"/>
    <s v="[1368144, 1380122, 1365255, 1363075]"/>
    <s v="#FIELD!"/>
    <s v="[1370250, 1368144, 1380122, 1365255]"/>
    <s v="[0.003, 0.13, 0.011, 0.261]"/>
    <s v="24.68493117943845"/>
    <s v="[-0.003, 0.13, -0.011, -0.261]"/>
  </r>
  <r>
    <x v="4515"/>
    <x v="4815"/>
    <x v="0"/>
    <n v="0"/>
    <s v="LINESTRING (11.152538357113256 60.07455433093387, 11.152523214979484 60.074586215608385, 11.152460499236236 60.074749433411725, 11.152457121305313 60.074758189535096, 11.15245040338456 60.074775684908005, 11.151976482608186 60.07601651538494, 11.151704858343392 60.07673453810693, 11.151220147838737 60.0779933188208, 11.151155648481248 60.078164457803894, 11.150309670525644 60.08038810964055, 11.15030624820756 60.0803969273592, 11.149885438054316 60.08150596128957, 11.14935060192636 60.08290951555173)"/>
    <s v="[1507375, 1507382, 1507390, 1507422, 1507437, 1507446, 1507447, 1507455, 1507463, 1507471, 1507479, 1507495]"/>
    <s v="[1363135, 1363142, 1363147, 1363175, 1363189, 1363198, 1363199, 1363205, 1363212, 1363218, 1363226, 1363242]"/>
    <s v="#FIELD!"/>
    <s v="[1363127, 1363135, 1363142, 1363147, 1363175, 1363189, 1363198, 1363199, 1363205, 1363212, 1363218, 1363226]"/>
    <s v="[0.01, 0.004, 0.008, 0.006, 0.007, 0.016, 0.013, 0.006, 0.004, 0.011, 0.007, 0.002]"/>
    <s v="947.8019315829561"/>
    <s v="[-0.01, 0.004, 0.008, 0.006, -0.007, -0.016, -0.013, -0.006, -0.004, -0.011, -0.007, 0.002]"/>
  </r>
  <r>
    <x v="4516"/>
    <x v="5057"/>
    <x v="0"/>
    <s v="[0, 0, 0, 0, 0, 0, 1, 0, 0, 0, 0, 0, 0]"/>
    <s v="LINESTRING (11.14935060192636 60.08290951555173, 11.149145538828524 60.08344268476107, 11.148931364645671 60.08400511824595, 11.148310259898974 60.085651942298945, 11.147290816328931 60.08830714682072, 11.147234502776563 60.08846331319812, 11.146210270675159 60.091163759860386, 11.146093103640702 60.091473172882104, 11.148198526216124 60.110243328785536, 11.148641882421602 60.11060388231326, 11.148651510167657 60.1106114891237, 11.164301954628394 60.12220329821588, 11.165066135760691 60.126809080168265, 11.164013294644382 60.12898332782427)"/>
    <s v="[1507496, 1507503, 1507504, 1507519, 1507520, 1507521, 1507528, 1507535, 1507543, 1507547, 1507548, 1507550, 1507558]"/>
    <s v="[1363243, 1363250, 1363251, 1363264, 1363265, 1363266, 1363273, 1363280, 1363286, 1363289, 1363290, 1363291, 1363300]"/>
    <s v="0.004290584160969689"/>
    <s v="[1363242, 1363243, 1363250, 1363251, 1363264, 1363265, 1363266, 1363273, 1363280, 1363286, 1363289, 1363290, 1363291]"/>
    <s v="[0.011, 0.001, 0.004, 0.005, 0.02, 0.017, 0.01, 0.0, 0.015, 0.021, 0.009, 0.014, 0.024]"/>
    <s v="5508.922406828693"/>
    <s v="[-0.011, 0.001, 0.004, 0.005, 0.02, 0.017, 0.01, 0.0, 0.015, 0.021, 0.009, 0.014, -0.024]"/>
  </r>
  <r>
    <x v="4517"/>
    <x v="5034"/>
    <x v="0"/>
    <n v="0"/>
    <s v="LINESTRING (11.164013294644382 60.12898332782427, 11.163036852457099 60.130153106586185, 11.162874295627685 60.13032005795124, 11.162606151574987 60.13057069174001, 11.162597515422856 60.13057845956568, 11.16112845009001 60.13184764541626, 11.16111929013444 60.13185526311459, 11.158466366270924 60.134096600381106, 11.157165211622301 60.13534528401762, 11.157091577234041 60.13542733816914)"/>
    <s v="[1507566, 1507574, 1507575, 1507601, 1507608, 1507616, 1507617, 1507630, 1507637]"/>
    <s v="[1363308, 1363314, 1363315, 1363336, 1363342, 1363348, 1363349, 1363358, 1363364]"/>
    <s v="#FIELD!"/>
    <s v="[1363300, 1363308, 1363314, 1363315, 1363336, 1363342, 1363348, 1363349, 1363358]"/>
    <s v="[0.01, 0.004, 0.011, 0.011, 0.012, 0.022, 0.011, 0.011, 0.004]"/>
    <s v="815.842577480967"/>
    <s v="[-0.01, 0.004, 0.011, -0.011, -0.012, -0.022, -0.011, -0.011, -0.004]"/>
  </r>
  <r>
    <x v="4517"/>
    <x v="5058"/>
    <x v="0"/>
    <n v="0"/>
    <s v="LINESTRING (11.164013294644382 60.12898332782427, 11.164055931753449 60.1290516243622, 11.162972516869269 60.130363826822666, 11.162271967328897 60.132168318379414, 11.162229008101875 60.132196736329455)"/>
    <s v="[1551967, 1500076, 1500084, 1551975]"/>
    <s v="[1357301, 1357302, 1357307, 1391813]"/>
    <s v="0.006787803998636142"/>
    <s v="[1363300, 1357301, 1357302, 1357307]"/>
    <s v="[0.008, 0.006, 0.017, 0.02]"/>
    <s v="377.75132436617054"/>
    <s v="[0.008, -0.006, 0.017, -0.02]"/>
  </r>
  <r>
    <x v="4518"/>
    <x v="5059"/>
    <x v="0"/>
    <n v="0"/>
    <s v="LINESTRING (11.162106105144376 60.13224620646191, 11.162014673900408 60.13228849946114, 11.161891839577397 60.13233845681849, 11.158887335633844 60.13381667567926, 11.157216272830661 60.135360682980746, 11.157091577234041 60.13542733816914)"/>
    <s v="[1552015, 1500101, 1500108, 1500109, 1552023]"/>
    <s v="[1357320, 1357321, 1357324, 1357325, 1363364]"/>
    <s v="#FIELD!"/>
    <s v="[1393271, 1357320, 1357321, 1357324, 1357325]"/>
    <s v="[0.043, 0.068, 0.032, 0.01, 0.002]"/>
    <s v="457.77324971705957"/>
    <s v="[-0.043, -0.068, -0.032, -0.01, 0.002]"/>
  </r>
  <r>
    <x v="4519"/>
    <x v="4931"/>
    <x v="0"/>
    <n v="0"/>
    <m/>
    <n v="2086982"/>
    <n v="1807729"/>
    <s v="0.395"/>
    <n v="1363575"/>
    <s v="0.395"/>
    <s v="12.055274862173643"/>
    <s v="0.395"/>
  </r>
  <r>
    <x v="4519"/>
    <x v="5060"/>
    <x v="0"/>
    <n v="0"/>
    <s v="LINESTRING (11.156885707760356 60.16277859313816, 11.156903088737353 60.16279531451487, 11.15695663109557 60.16284677776468, 11.157052287829172 60.162938225648915)"/>
    <s v="[1507884, 1507892, 1507901]"/>
    <s v="[1363581, 1363589, 1363598]"/>
    <s v="0.007566406462338772"/>
    <s v="[1363575, 1363581, 1363589]"/>
    <s v="[0.021, 0.022, 0.003]"/>
    <s v="20.049983117757368"/>
    <s v="[0.021, 0.022, -0.003]"/>
  </r>
  <r>
    <x v="4520"/>
    <x v="4544"/>
    <x v="0"/>
    <n v="0"/>
    <s v="LINESTRING (11.157052287829172 60.162938225648915, 11.157896121363844 60.16375107578301, 11.158219119068102 60.16406178147151, 11.158309338106452 60.1641496545299, 11.16219575849053 60.16813556900219, 11.162541558945964 60.16853132343613)"/>
    <s v="[1507913, 1507936, 1507951, 1507952, 1507953]"/>
    <s v="[1363609, 1363629, 1363642, 1363643, 1363644]"/>
    <s v="0.0023103525670181034"/>
    <s v="[1363598, 1363609, 1363629, 1363642, 1363643]"/>
    <s v="[0.01, 0.004, 0.024, 0.003, 0.015]"/>
    <s v="693.9888727806917"/>
    <s v="[-0.01, 0.004, 0.024, 0.003, 0.015]"/>
  </r>
  <r>
    <x v="4520"/>
    <x v="4931"/>
    <x v="0"/>
    <n v="0"/>
    <m/>
    <n v="2086980"/>
    <n v="1363598"/>
    <s v="#FIELD!"/>
    <n v="1807729"/>
    <s v="0.449"/>
    <s v="10.272753865918908"/>
    <s v="#FIELD!"/>
  </r>
  <r>
    <x v="4521"/>
    <x v="840"/>
    <x v="0"/>
    <n v="0"/>
    <s v="LINESTRING (10.722110348891427 59.51297274428082, 10.722119230164054 59.51298544434968, 10.722663708479626 59.5137644625248, 10.724175592309818 59.51589126832416, 10.724181691314307 59.51589968679999, 10.726188008319253 59.518765346203594, 10.726190225573665 59.518768655914855)"/>
    <s v="[1557607, 1557615, 1557623, 1557631, 1557639, 1557647]"/>
    <s v="[1405319, 1405324, 1405330, 1405337, 1405343, 1363664]"/>
    <s v="0.005873197914285422"/>
    <s v="[1363657, 1405319, 1405324, 1405330, 1405337, 1405343]"/>
    <s v="[0.072, 0.026, 0.014, 0.014, 0.029, 0.0]"/>
    <s v="685.9914567254151"/>
    <s v="[0.072, -0.026, -0.014, 0.014, 0.029, 0.0]"/>
  </r>
  <r>
    <x v="4522"/>
    <x v="4862"/>
    <x v="0"/>
    <n v="0"/>
    <s v="LINESTRING (10.842789204195494 59.797678573254245, 10.842830654261014 59.79795294943976, 10.842861729627165 59.798158402991255, 10.84049564907324 59.80955947232624, 10.840253997297769 59.81002351924471, 10.840205057046147 59.8101183197204, 10.839818036692915 59.81318075710967, 10.840923698293526 59.81445202647177)"/>
    <s v="[1558727, 1558735, 1558743, 1558751, 1558759, 1558767, 1558775]"/>
    <s v="[1406224, 1406230, 1406236, 1406243, 1406248, 1406256, 1363672]"/>
    <s v="0.009344986911611378"/>
    <s v="[1364887, 1406224, 1406230, 1406236, 1406243, 1406248, 1406256]"/>
    <s v="[0.029, 0.024, 0.001, 0.013, 0.053, 0.025, 0.033]"/>
    <s v="1902.4555724707257"/>
    <s v="[0.029, 0.024, 0.001, 0.013, 0.053, 0.025, 0.033]"/>
  </r>
  <r>
    <x v="4523"/>
    <x v="4861"/>
    <x v="0"/>
    <n v="0"/>
    <s v="LINESTRING (10.839151839892324 59.78780425925283, 10.839218013167592 59.78812752440855, 10.83932711625628 59.78866066637853, 10.83983597175719 59.790362948752836, 10.840447939202402 59.79190712792302, 10.840475889287028 59.791977695556206)"/>
    <s v="[1558639, 1558647, 1558655, 1558663, 1558671]"/>
    <s v="[1406153, 1406161, 1406170, 1406176, 1364868]"/>
    <s v="#FIELD!"/>
    <s v="[1363690, 1406153, 1406161, 1406170, 1406176]"/>
    <s v="[0.003, 0.065, 0.027, 0.017, 0.047]"/>
    <s v="471.3171204135602"/>
    <s v="[0.003, 0.065, -0.027, -0.017, -0.047]"/>
  </r>
  <r>
    <x v="4524"/>
    <x v="4841"/>
    <x v="447"/>
    <n v="0"/>
    <s v="LINESTRING (10.735982241516268 59.60567092804857, 10.735843150554352 59.60590982513713, 10.735801654403813 59.60598110972625, 10.735639934046837 59.606258635902144, 10.732804053637185 59.61120265070351, 10.732069474212944 59.61454611962293, 10.732072445906558 59.61509400873082, 10.73254506138764 59.619457769543715, 10.732646892361778 59.62039016040071, 10.732651532358245 59.62044136820866)"/>
    <s v="[1557927, 1557935, 1557943, 1557951, 1557959, 1557967, 1557975, 1557983, 1557991]"/>
    <s v="[1405577, 1405584, 1405593, 1405600, 1405608, 1405617, 1405621, 1405627, 1364700]"/>
    <s v="0.013379584996743762"/>
    <s v="[1363745, 1405577, 1405584, 1405593, 1405600, 1405608, 1405617, 1405621, 1405627]"/>
    <s v="[0.01, 0.012, 0.019, 0.018, 0.01, 0.004, 0.015, 0.005, 0.187]"/>
    <s v="1675.6828913514319"/>
    <s v="[-0.01, -0.012, 0.019, 0.018, 0.01, 0.004, 0.015, -0.005, 0.187]"/>
  </r>
  <r>
    <x v="4524"/>
    <x v="841"/>
    <x v="0"/>
    <n v="0"/>
    <s v="LINESTRING (10.738545010975109 59.59956436814268, 10.738529833121396 59.59963049513157, 10.738442442072127 59.60001098446029, 10.738370945129274 59.60032220494661, 10.738279494293929 59.60070012513655, 10.737750595217387 59.60229564686261, 10.737747159897902 59.60230441000077, 10.73659879930616 59.604648493789014, 10.736005399938504 59.60563411441344, 10.735982241516268 59.60567092804857)"/>
    <s v="[1557855, 1557863, 1557871, 1557879, 1557887, 1557895, 1557903, 1557911, 1557919]"/>
    <s v="[1405520, 1405528, 1405533, 1405539, 1405545, 1405550, 1405557, 1405564, 1363745]"/>
    <s v="0.021306757953281696"/>
    <s v="[1363794, 1405520, 1405528, 1405533, 1405539, 1405545, 1405550, 1405557, 1405564]"/>
    <s v="[0.059, 0.024, 0.015, 0.019, 0.025, 0.0, 0.015, 0.023, 0.203]"/>
    <s v="697.144762524213"/>
    <s v="[0.059, 0.024, 0.015, 0.019, 0.025, 0.0, 0.015, 0.023, 0.203]"/>
  </r>
  <r>
    <x v="4525"/>
    <x v="5061"/>
    <x v="0"/>
    <n v="0"/>
    <s v="LINESTRING (10.979921983373574 59.93433519765041, 10.97981307976158 59.934391210043444, 10.979777416953684 59.93443417435553, 10.979909893928104 59.93465651366258, 10.980079423902497 59.93475008165142, 10.980132688164176 59.93476957126943)"/>
    <s v="[1508122, 1508123, 1508130, 1508152, 1508160]"/>
    <s v="[480325, 1363793, 1363799, 1363821, 1363149]"/>
    <s v="0.01525330429449535"/>
    <s v="[1363792, 480325, 1363793, 1363799, 1363821]"/>
    <s v="[0.013, 0.013, 0.009, 0.024, 0.036]"/>
    <s v="59.02010318662181"/>
    <s v="[0.013, 0.013, 0.009, 0.024, 0.036]"/>
  </r>
  <r>
    <x v="4525"/>
    <x v="5062"/>
    <x v="0"/>
    <n v="0"/>
    <s v="LINESTRING (10.979921983373574 59.93433519765041, 10.979861693085907 59.934418766043365, 10.980015122867169 59.93459313377412, 10.980192339667969 59.93466170921963, 10.980286939427042 59.934664596485916)"/>
    <s v="[1558066, 1558074, 1558082, 1558090]"/>
    <s v="[480324, 1405699, 1405707, 1363169]"/>
    <s v="0.03043254652816696"/>
    <s v="[1363792, 480324, 1405699, 1405707]"/>
    <s v="[0.016, 0.013, 0.038, 0.112]"/>
    <s v="49.75023703981394"/>
    <s v="[0.016, 0.013, 0.038, 0.112]"/>
  </r>
  <r>
    <x v="4526"/>
    <x v="1803"/>
    <x v="0"/>
    <s v="[0, 0, 0, 1, 1, 1, 1, 1, 0, 0, 0, 0, 0, 0, 0, 0, 0, 0, 0, 0, 0, 0, 0]"/>
    <s v="LINESTRING (10.73557527277589 59.62844781258434, 10.73567663083676 59.62862825678777, 10.737039369926851 59.63106576958788, 10.737404012543129 59.63190094866066, 10.737427406057016 59.63194604083243, 10.737547192473466 59.632221462759446, 10.737567815408648 59.63227495307133, 10.737632970407203 59.63244702270369, 10.737679764320038 59.6325668086476, 10.73822189873847 59.63439407284622, 10.738647951751666 59.636829860594, 10.738649429244882 59.63683878373839, 10.739909444293927 59.64496266135569, 10.739910633668817 59.64497162005038, 10.739914580267813 59.64500125098778, 10.740193540735453 59.64696264592837, 10.740202692563782 59.647022074594396, 10.740553498717508 59.649287250422894, 10.740794492206659 59.65081164043357, 10.740795222687723 59.650816241082495, 10.740911137594342 59.65154818619988, 10.741407041459507 59.65400912756699, 10.741944193403985 59.655623738964046, 10.743356897051054 59.658511792297766)"/>
    <s v="[1558103, 1558111, 1558119, 1558127, 1558135, 1558143, 1558151, 1558159, 1558167, 1558175, 1558183, 1558191, 1558199, 1558207, 1558215, 1558223, 1558231, 1558239, 1558247, 1558255, 1558263, 1558271, 1558279]"/>
    <s v="[1405726, 1405732, 1405738, 1405745, 1405752, 1405758, 1405763, 1405768, 1405775, 1405781, 1405788, 1405795, 1405805, 1405812, 1405821, 957634, 1405831, 957641, 1405845, 1405851, 1405858, 1405865, 1364713]"/>
    <s v="#FIELD!"/>
    <s v="[1363807, 1405726, 1405732, 1405738, 1405745, 1405752, 1405758, 1405763, 1405768, 1405775, 1405781, 1405788, 1405795, 1405805, 1405812, 1405821, 957634, 1405831, 957641, 1405845, 1405851, 1405858, 1405865]"/>
    <s v="[0.022, 0.013, 0.014, 0.049, 0.022, 0.001, 0.011, 0.017, 0.008, 0.008, 0.008, 0.007, 0.036, 0.033, 0.0, 0.021, 0.007, 0.009, 0.115, 0.013, 0.007, 0.012, 0.004]"/>
    <s v="3387.8699344507536"/>
    <s v="[-0.022, -0.013, -0.014, -0.049, -0.022, 0.001, 0.011, 0.017, -0.008, 0.008, 0.008, 0.007, -0.036, -0.033, -0.0, -0.021, -0.007, -0.009, -0.115, -0.013, -0.007, -0.012, -0.004]"/>
  </r>
  <r>
    <x v="4526"/>
    <x v="4841"/>
    <x v="0"/>
    <n v="0"/>
    <s v="LINESTRING (10.732651532358245 59.62044136820866, 10.732670065001281 59.62054737662348, 10.732687405215476 59.62064656619003, 10.732719598367114 59.62080389671438, 10.732970983724554 59.622024483226376, 10.733062217182182 59.6223662220025, 10.733074444491495 59.62240605952261, 10.733655857883152 59.624244695535126, 10.73380241319671 59.624657592078954, 10.733805583277936 59.62466645360598, 10.734568094312548 59.62651712838738, 10.734668242698895 59.626724618025634, 10.73557527277589 59.62844781258434)"/>
    <s v="[1557999, 1558007, 1558015, 1558023, 1558031, 1558039, 1558047, 1558055, 1558063, 1558071, 1558079, 1558087]"/>
    <s v="[1405642, 1405646, 1405651, 1405658, 1405663, 1405668, 1405676, 1405682, 1405689, 1405696, 1405705, 1363807]"/>
    <s v="#FIELD!"/>
    <s v="[1364700, 1405642, 1405646, 1405651, 1405658, 1405663, 1405668, 1405676, 1405682, 1405689, 1405696, 1405705]"/>
    <s v="[0.089, 0.001, 0.004, 0.006, 0.006, 0.001, 0.003, 0.044, 0.074, 0.01, 0.017, 0.001]"/>
    <s v="908.8355711141987"/>
    <s v="[-0.089, 0.001, 0.004, 0.006, 0.006, 0.001, 0.003, 0.044, -0.074, -0.01, -0.017, -0.001]"/>
  </r>
  <r>
    <x v="4527"/>
    <x v="1808"/>
    <x v="0"/>
    <n v="0"/>
    <s v="LINESTRING (10.743356897051054 59.658511792297766, 10.743397232265588 59.658587682178066, 10.74361738984842 59.659015164280525, 10.743663135418089 59.65910373762784, 10.745134787048743 59.662482875202414, 10.74516315675605 59.66259864126445, 10.745165004440398 59.66260746838192, 10.745208109146667 59.66283175065775, 10.745285548645711 59.663329125915574, 10.745286508668933 59.66333808604638, 10.745316409843394 59.6637862958489, 10.745215809507904 59.66602315822322)"/>
    <s v="[1558287, 1558295, 1558303, 1558311, 1558319, 1558327, 1558335, 1558343, 1558351, 1558359, 1558367]"/>
    <s v="[1405880, 1405884, 1405890, 1405894, 1405901, 1405908, 1405915, 1405922, 1405929, 1405935, 1364730]"/>
    <s v="#FIELD!"/>
    <s v="[1364713, 1405880, 1405884, 1405890, 1405894, 1405901, 1405908, 1405915, 1405922, 1405929, 1405935]"/>
    <s v="[0.026, 0.014, 0.008, 0.0, 0.072, 0.064, 0.056, 0.019, 0.046, 0.037, 0.016]"/>
    <s v="849.1463467104717"/>
    <s v="[0.026, -0.014, 0.008, -0.0, 0.072, 0.064, -0.056, -0.019, -0.046, -0.037, -0.016]"/>
  </r>
  <r>
    <x v="4528"/>
    <x v="4850"/>
    <x v="0"/>
    <n v="0"/>
    <s v="LINESTRING (10.780785068146463 59.740171584106335, 10.780668318153738 59.74016513124667, 10.780540914998081 59.74011607490991)"/>
    <s v="[1536418, 1536426]"/>
    <s v="[1388474, 1388481]"/>
    <s v="#FIELD!"/>
    <s v="[1364787, 1388474]"/>
    <s v="[0.033, 0.016]"/>
    <s v="15.620692852291828"/>
    <s v="[-0.033, 0.016]"/>
  </r>
  <r>
    <x v="4529"/>
    <x v="4852"/>
    <x v="0"/>
    <n v="0"/>
    <s v="LINESTRING (10.778474360044928 59.74142980077586, 10.778665592227819 59.741453039060424, 10.778753513969834 59.741504423312065)"/>
    <s v="[1533690, 1533698]"/>
    <s v="[1386229, 1364822]"/>
    <s v="#FIELD!"/>
    <s v="[1386221, 1386229]"/>
    <s v="[0.018, 0.02]"/>
    <s v="18.630730163629714"/>
    <s v="[-0.018, 0.02]"/>
  </r>
  <r>
    <x v="4530"/>
    <x v="4862"/>
    <x v="448"/>
    <s v="[0, 1, 1, 0, 0, 0]"/>
    <s v="LINESTRING (10.840475889287028 59.791977695556206, 10.842510039317704 59.79648289144924, 10.84251776442377 59.79650966018764, 10.842669941548262 59.79708946786101, 10.842676056220757 59.79711627551558, 10.842781700719486 59.797634278632536, 10.842789204195494 59.797678573254245)"/>
    <s v="[1558679, 1558687, 1558695, 1558703, 1558711, 1558719]"/>
    <s v="[1406188, 1406194, 1406202, 1406206, 1406213, 1364887]"/>
    <s v="#FIELD!"/>
    <s v="[1364868, 1406188, 1406194, 1406202, 1406206, 1406213]"/>
    <s v="[0.015, 0.03, 0.016, 0.032, 0.034, 0.036]"/>
    <s v="649.3987351015082"/>
    <s v="[-0.015, -0.03, 0.016, 0.032, 0.034, 0.036]"/>
  </r>
  <r>
    <x v="4531"/>
    <x v="5063"/>
    <x v="0"/>
    <n v="0"/>
    <m/>
    <n v="1538160"/>
    <n v="1390053"/>
    <s v="0.002"/>
    <n v="1364901"/>
    <s v="0.002"/>
    <s v="3.721293458050852"/>
    <s v="0.002"/>
  </r>
  <r>
    <x v="4532"/>
    <x v="4873"/>
    <x v="0"/>
    <n v="0"/>
    <s v="LINESTRING (10.99386349590555 59.97872071270173, 10.994296483973953 59.979212090270146, 10.99430465430456 59.9792213647742, 10.994443539240704 59.9793789769841, 10.995693696251228 59.980583822149214, 10.996009514031357 59.98087331764874, 10.996254149263937 59.98109577670925, 10.996976967961276 59.98158081527897, 10.997398840828819 59.98185155507381)"/>
    <s v="[1559023, 1559031, 1559039, 1559047, 1559055, 1559063, 1559071, 1559079]"/>
    <s v="[1406444, 1406449, 1406456, 1406461, 1406467, 1406472, 1406477, 1364924]"/>
    <s v="#FIELD!"/>
    <s v="[1364909, 1406444, 1406449, 1406456, 1406461, 1406467, 1406472, 1406477]"/>
    <s v="[0.0, 0.027, 0.014, 0.016, 0.01, 0.002, 0.018, 0.03]"/>
    <s v="402.51313475415384"/>
    <s v="[0.0, 0.027, -0.014, -0.016, 0.01, -0.002, -0.018, -0.03]"/>
  </r>
  <r>
    <x v="4532"/>
    <x v="2861"/>
    <x v="0"/>
    <n v="0"/>
    <s v="LINESTRING (10.991678567805778 59.97556065409588, 10.992507912138926 59.97698181066047, 10.992598822601499 59.97710036933119, 10.993027542389465 59.977724381710345, 10.993158028413044 59.977897194540155, 10.993272715643167 59.97803840265067, 10.99386349590555 59.97872071270173)"/>
    <s v="[1558975, 1558983, 1558991, 1558999, 1559007, 1559015]"/>
    <s v="[1406405, 1406411, 1406418, 1406427, 1406433, 1364909]"/>
    <s v="#FIELD!"/>
    <s v="[1406400, 1406405, 1406411, 1406418, 1406427, 1406433]"/>
    <s v="[0.004, 0.012, 0.004, 0.005, 0.002, 0.015]"/>
    <s v="373.3743646864915"/>
    <s v="[-0.004, -0.012, -0.004, 0.005, 0.002, -0.015]"/>
  </r>
  <r>
    <x v="4533"/>
    <x v="4878"/>
    <x v="0"/>
    <s v="[1, 0, 0, 0, 1, 0, 0, 0, 1, 0, 0, 0, 1, 0, 0, 0, 0, 1, 0, 0]"/>
    <s v="LINESTRING (10.997398840828819 59.98185155507381, 10.999044755552289 59.98279514732392, 11.007298386803948 59.98541509666778, 11.009589006754954 59.9857445312161, 11.010146213318563 59.98581965087534, 11.01241332106992 59.98600511021664, 11.01415455119412 59.986108645454934, 11.014380830582603 59.98612483570193, 11.016744879976413 59.9862565120998, 11.016922793466867 59.986269079094406, 11.026949606605342 59.988462041432356, 11.02753907339399 59.98876388885233, 11.02837367460814 59.989289958138954, 11.028860599040607 59.98964354985625, 11.033212493889877 59.993698792263295, 11.033357791103406 59.99382362962759, 11.033773350583596 59.994147724221264, 11.0340843992362 59.994405303435016, 11.034234547588408 59.99451337531475, 11.03444420503301 59.99468078182427, 11.034606056557362 59.99479784459259)"/>
    <s v="[1559087, 1559095, 1559103, 1559111, 1559119, 1559127, 1559135, 1559143, 1559151, 1559159, 1559167, 1559175, 1559183, 1559191, 1559199, 1559207, 1559215, 1559223, 1559231, 1559239]"/>
    <s v="[1406487, 1406491, 1406498, 1406501, 1406506, 1406512, 1406519, 1406524, 1406532, 1406538, 1406544, 1406549, 1406554, 1406561, 1406566, 1406571, 1406577, 1406582, 1406589, 1365009]"/>
    <s v="0.021005212507394823"/>
    <s v="[1364924, 1406487, 1406491, 1406498, 1406501, 1406506, 1406512, 1406519, 1406524, 1406532, 1406538, 1406544, 1406549, 1406554, 1406561, 1406566, 1406571, 1406577, 1406582, 1406589]"/>
    <s v="[0.034, 0.027, 0.025, 0.05, 0.02, 0.012, 0.003, 0.023, 0.008, 0.027, 0.036, 0.014, 0.021, 0.03, 0.037, 0.043, 0.004, 0.034, 0.058, 0.06]"/>
    <s v="2690.1184670045204"/>
    <s v="[-0.034, 0.027, 0.025, -0.05, 0.02, 0.012, 0.003, 0.023, -0.008, 0.027, -0.036, 0.014, 0.021, 0.03, 0.037, 0.043, 0.004, 0.034, 0.058, 0.06]"/>
  </r>
  <r>
    <x v="4534"/>
    <x v="4895"/>
    <x v="0"/>
    <n v="0"/>
    <s v="LINESTRING (11.034606056557362 59.99479784459259, 11.035319084569196 59.99529084710342, 11.04087882604567 59.998274009056885, 11.040891472652737 59.99828051989698, 11.040997306361445 59.99833505691841, 11.041375214312973 59.99853986585138, 11.041871710941752 59.9988141834542, 11.042236890891088 59.9990159466524)"/>
    <s v="[1559247, 1559255, 1559263, 1559271, 1559279, 1559287, 1559295]"/>
    <s v="[1406598, 1406604, 1406610, 1406617, 1406624, 1406629, 1365023]"/>
    <s v="0.02875230678165039"/>
    <s v="[1365009, 1406598, 1406604, 1406610, 1406617, 1406624, 1406629]"/>
    <s v="[0.073, 0.029, 0.026, 0.034, 0.019, 0.021, 0.034]"/>
    <s v="635.1708280628926"/>
    <s v="[0.073, 0.029, -0.026, -0.034, 0.019, 0.021, -0.034]"/>
  </r>
  <r>
    <x v="4535"/>
    <x v="5064"/>
    <x v="449"/>
    <n v="0"/>
    <s v="LINESTRING (11.042236890891088 59.9990159466524, 11.042396778419068 59.99911981449668, 11.042647704470152 59.99928281713094, 11.042658097617307 59.99928956582819, 11.043082206076893 59.99958700415765, 11.050568447763823 60.00749960465715, 11.0506742432925 60.00755859082827, 11.057777243603464 60.010202842962386)"/>
    <s v="[1559303, 1559311, 1559319, 1559327, 1559335, 1559343, 1559351]"/>
    <s v="[1406641, 1406646, 1406652, 1406657, 1406664, 1406670, 1406676]"/>
    <s v="#FIELD!"/>
    <s v="[1365023, 1406641, 1406646, 1406652, 1406657, 1406664, 1406670]"/>
    <s v="[0.028, 0.025, 0.061, 0.032, 0.018, 0.023, 0.018]"/>
    <s v="1568.2835318896055"/>
    <s v="[-0.028, 0.025, 0.061, -0.032, -0.018, 0.023, 0.018]"/>
  </r>
  <r>
    <x v="4536"/>
    <x v="4938"/>
    <x v="0"/>
    <n v="0"/>
    <s v="LINESTRING (11.160316803408632 60.164828854503845, 11.16077671934642 60.16467499753239, 11.160853461911236 60.164651155012024)"/>
    <s v="[1509560, 1509573]"/>
    <s v="[1365122, 1365133]"/>
    <s v="0.012315839921417987"/>
    <s v="[1365121, 1365122]"/>
    <s v="[0.014, 0.002]"/>
    <s v="35.78247846525563"/>
    <s v="[0.014, 0.002]"/>
  </r>
  <r>
    <x v="4536"/>
    <x v="4929"/>
    <x v="0"/>
    <n v="0"/>
    <s v="LINESTRING (11.160316803408632 60.164828854503845, 11.16084877878979 60.16479934158282, 11.16093643149967 60.16479019828454)"/>
    <s v="[1515322, 1515330]"/>
    <s v="[1370370, 1370379]"/>
    <s v="0.010434355361528988"/>
    <s v="[1365121, 1370370]"/>
    <s v="[0.012, 0.001]"/>
    <s v="34.93908668384048"/>
    <s v="[0.012, 0.001]"/>
  </r>
  <r>
    <x v="4537"/>
    <x v="4929"/>
    <x v="0"/>
    <n v="0"/>
    <s v="LINESTRING (11.16093643149967 60.16479019828454, 11.160858530012053 60.16473130625088, 11.160853461911236 60.164651155012024)"/>
    <s v="[1526778, 1526786]"/>
    <s v="[1380353, 1365133]"/>
    <s v="0.0051529850471603265"/>
    <s v="[1370379, 1380353]"/>
    <s v="[0.014, 0.022]"/>
    <s v="16.795908166285134"/>
    <s v="[-0.014, 0.022]"/>
  </r>
  <r>
    <x v="4538"/>
    <x v="4879"/>
    <x v="0"/>
    <s v="[0, 0, 0, 0, 1, 0, 0, 0, 0]"/>
    <s v="LINESTRING (11.042673990643584 59.99744601442486, 11.042578256656629 59.99751126788989, 11.042370384595994 59.99776494879246, 11.042267735670103 59.99783412994821, 11.041697414496035 59.99821313084797, 11.041051707850071 59.99864541581372, 11.040995068720136 59.99867849789639, 11.040691284286472 59.9988719500193, 11.039919586658119 59.99931964115308, 11.0398373792813 59.99940330599168)"/>
    <s v="[1509972, 1509980, 1509988, 1509989, 1509996, 1509997, 1510004, 1510005, 1510020]"/>
    <s v="[1365502, 1365507, 1365517, 1365518, 1365523, 1365524, 1365531, 1365532, 1365544]"/>
    <s v="0.023068158177129126"/>
    <s v="[1365501, 1365502, 1365507, 1365517, 1365518, 1365523, 1365524, 1365531, 1365532]"/>
    <s v="[0.034, 0.001, 0.041, 0.034, 0.025, 0.081, 0.09, 0.055, 0.016]"/>
    <s v="271.0006052854136"/>
    <s v="[0.034, -0.001, -0.041, -0.034, 0.025, 0.081, 0.09, 0.055, 0.016]"/>
  </r>
  <r>
    <x v="4538"/>
    <x v="4886"/>
    <x v="0"/>
    <n v="0"/>
    <s v="LINESTRING (11.042673990643584 59.99744601442486, 11.042515528277965 59.9974573873736, 11.04241834284722 59.99741353049915)"/>
    <s v="[1531506, 1531514]"/>
    <s v="[1384431, 1371041]"/>
    <s v="0.0019497224030289079"/>
    <s v="[1365501, 1384431]"/>
    <s v="[0.036, 0.041]"/>
    <s v="16.510847988291026"/>
    <s v="[0.036, -0.041]"/>
  </r>
  <r>
    <x v="4539"/>
    <x v="4894"/>
    <x v="0"/>
    <n v="0"/>
    <s v="LINESTRING (11.039544556674876 59.999315400782926, 11.03971593213598 59.99932324405946, 11.0398373792813 59.99940330599168)"/>
    <s v="[1531634, 1531642]"/>
    <s v="[1384557, 1365544]"/>
    <s v="0.013538712017972602"/>
    <s v="[1371092, 1384557]"/>
    <s v="[0.02, 0.008]"/>
    <s v="21.30034469536485"/>
    <s v="[0.02, 0.008]"/>
  </r>
  <r>
    <x v="4540"/>
    <x v="2383"/>
    <x v="0"/>
    <n v="0"/>
    <s v="LINESTRING (10.9628193438873 59.92886818192605, 10.964817899243082 59.92911473034203, 10.965511438951193 59.92919782522994, 10.965665815265329 59.92921808121837, 10.965683252327594 59.92922036854729, 10.96600586247458 59.92926270693316, 10.966404728150845 59.92931519292046, 10.966490959719549 59.9293263750677, 10.968997770780346 59.92977758416558, 10.971111150876336 59.930369995371386)"/>
    <s v="[1512417, 1512425, 1512440, 1512441, 1512442, 1512449, 1512450, 1512457, 1512458]"/>
    <s v="[1367667, 1367675, 1367691, 1367692, 1367693, 1367699, 1367700, 1367706, 1365600]"/>
    <s v="#FIELD!"/>
    <s v="[1365576, 1367667, 1367675, 1367691, 1367692, 1367693, 1367699, 1367700, 1367706]"/>
    <s v="[0.027, 0.011, 0.034, 0.016, 0.018, 0.025, 0.005, 0.015, 0.001]"/>
    <s v="496.25191853804336"/>
    <s v="[-0.027, 0.011, 0.034, 0.016, 0.018, 0.025, 0.005, -0.015, -0.001]"/>
  </r>
  <r>
    <x v="4540"/>
    <x v="5065"/>
    <x v="0"/>
    <n v="0"/>
    <s v="LINESTRING (10.946658478574456 59.93070479242492, 10.949230759294167 59.929782427410636, 10.949822311695039 59.929613241118176, 10.949838013073597 59.92960890508611, 10.953030838955996 59.928879493303235, 10.953274112414261 59.92883610981666, 10.953739035019186 59.928760229935, 10.953755381596201 59.92875779230039, 10.954922587052943 59.92859724388114, 10.95555600603652 59.928538212097955, 10.95898624520105 59.928499778820026, 10.959461443180635 59.92853335709236, 10.961636573525004 59.928730143854686, 10.9628193438873 59.92886818192605)"/>
    <s v="[1512309, 1512317, 1512321, 1512329, 1512337, 1512345, 1512361, 1512362, 1512369, 1512385, 1512393, 1512394, 1512401]"/>
    <s v="[1367570, 1367578, 1367582, 1367587, 1367596, 1367603, 1367617, 1367618, 1367625, 1367639, 1367647, 1367648, 1365576]"/>
    <s v="#FIELD!"/>
    <s v="[1367557, 1367570, 1367578, 1367582, 1367587, 1367596, 1367603, 1367617, 1367618, 1367625, 1367639, 1367647, 1367648]"/>
    <s v="[0.031, 0.061, 0.076, 0.028, 0.016, 0.022, 0.037, 0.004, 0.023, 0.013, 0.005, 0.011, 0.009]"/>
    <s v="969.7967887962783"/>
    <s v="[-0.031, 0.061, 0.076, -0.028, 0.016, 0.022, 0.037, -0.004, -0.023, -0.013, -0.005, -0.011, -0.009]"/>
  </r>
  <r>
    <x v="4541"/>
    <x v="4883"/>
    <x v="0"/>
    <n v="0"/>
    <s v="LINESTRING (10.972242913490476 59.93053497580789, 10.977233898109924 59.93191927480568, 10.978773703125254 59.93234715987102, 10.981004562749417 59.93297212097312, 10.98180336727708 59.933205656041665, 10.981819152761885 59.933210363130655, 10.982082092199787 59.93328864486128, 10.982245376364753 59.93334118526103, 10.982769618475809 59.93351367234858)"/>
    <s v="[1511871, 1511889, 1511890, 1511897, 1511905, 1511913, 1511921, 1511922]"/>
    <s v="[1367178, 1367191, 1367192, 1367200, 1367206, 1367214, 1367222, 1365610]"/>
    <s v="0.003639663900455454"/>
    <s v="[1365585, 1367178, 1367191, 1367192, 1367200, 1367206, 1367214, 1367222]"/>
    <s v="[0.001, 0.001, 0.003, 0.006, 0.081, 0.047, 0.034, 0.007]"/>
    <s v="675.9728400953417"/>
    <s v="[0.001, -0.001, 0.003, 0.006, 0.081, 0.047, 0.034, 0.007]"/>
  </r>
  <r>
    <x v="4541"/>
    <x v="5053"/>
    <x v="0"/>
    <n v="0"/>
    <s v="LINESTRING (10.96479580113401 59.928950336685894, 10.964883021505178 59.92896074107392, 10.965200108213109 59.928998686741174, 10.965284393128726 59.92900819177631, 10.965557700434216 59.92904233184278, 10.96557729496188 59.92904484711272, 10.965958701685636 59.929095936561964, 10.966072212859974 59.929110948479426, 10.967781927022966 59.92937624862552, 10.969028671309623 59.929651234230455, 10.969979804419868 59.92990824313077, 10.970924271336699 59.93016981482439, 10.971270020382693 59.930265558832204, 10.972242913490476 59.93053497580789)"/>
    <s v="[1511763, 1511772, 1511774, 1511782, 1511790, 1511798, 1511806, 1511814, 1511822, 1511831, 1511833, 1511840, 1511848]"/>
    <s v="[1367083, 1367095, 1367097, 1367104, 1367110, 1367117, 1367123, 1367130, 1367137, 1367146, 1367148, 1367152, 1365585]"/>
    <s v="#FIELD!"/>
    <s v="[1367076, 1367083, 1367095, 1367097, 1367104, 1367110, 1367117, 1367123, 1367130, 1367137, 1367146, 1367148, 1367152]"/>
    <s v="[0.028, 0.023, 0.012, 0.008, 0.005, 0.005, 0.0, 0.004, 0.006, 0.007, 0.003, 0.01, 0.013]"/>
    <s v="454.8789323285424"/>
    <s v="[-0.028, -0.023, -0.012, -0.008, 0.005, 0.005, 0.0, -0.004, -0.006, -0.007, 0.003, 0.01, 0.013]"/>
  </r>
  <r>
    <x v="4542"/>
    <x v="4884"/>
    <x v="0"/>
    <n v="0"/>
    <s v="LINESTRING (10.982769618475809 59.93351367234858, 10.982782693452073 59.93351827865859, 10.982796025310686 59.93352298270642, 10.983727638759765 59.933851341136894, 10.984508749294841 59.93419731922962, 10.985411095734458 59.93456484270661, 10.986518981990509 59.935016326721815, 10.988067302360221 59.93563273168572)"/>
    <s v="[1511929, 1511930, 1511937, 1511938, 1511942, 1511951, 1511959]"/>
    <s v="[1367226, 1367227, 1367233, 1367234, 1367238, 1367248, 1365628]"/>
    <s v="#FIELD!"/>
    <s v="[1365610, 1367226, 1367227, 1367233, 1367234, 1367238, 1367248]"/>
    <s v="[0.047, 0.039, 0.031, 0.015, 0.011, 0.013, 0.004]"/>
    <s v="379.0838042141769"/>
    <s v="[-0.047, 0.039, -0.031, 0.015, -0.011, 0.013, 0.004]"/>
  </r>
  <r>
    <x v="4543"/>
    <x v="4888"/>
    <x v="0"/>
    <n v="0"/>
    <s v="LINESTRING (10.988067302360221 59.93563273168572, 10.989108060125853 59.93597011008136, 10.991227531330528 59.936375818902, 10.991335697514744 59.936390276995844, 10.99135267612725 59.936392546856396, 10.99357720943613 59.936689799529084, 10.993594188366071 59.936692069103856, 10.997166498453705 59.9369842732312, 10.997716110908655 59.93695799251298, 10.997862591622114 59.93694790614944, 11.000063118992541 59.93667096308309, 11.000081339077708 59.93666903508512, 11.001403446881726 59.93658741465311, 11.003752189050545 59.93678833727553, 11.003757945355177 59.936789482871745, 11.003996243573962 59.93683707895596, 11.005524682206334 59.93729053691381, 11.005723857108306 59.937364911906116, 11.007055046036816 59.93788101883778, 11.007800929979592 59.93815976858386, 11.008833357283292 59.938498611730495)"/>
    <s v="[1511967, 1511975, 1511983, 1511984, 1511992, 1512007, 1512015, 1512022, 1512030, 1512038, 1512046, 1512054, 1512070, 1512078, 1512086, 1512094, 1512101, 1512109, 1512117, 1512125]"/>
    <s v="[1367262, 1367265, 1367273, 1367274, 1367283, 1367297, 1367304, 1367313, 1367322, 1367328, 1367335, 1367342, 1367356, 1367364, 1367373, 1367380, 1367387, 1367396, 1367402, 1365636]"/>
    <s v="0.012971534252892438"/>
    <s v="[1365628, 1367262, 1367265, 1367273, 1367274, 1367283, 1367297, 1367304, 1367313, 1367322, 1367328, 1367335, 1367342, 1367356, 1367364, 1367373, 1367380, 1367387, 1367396, 1367402]"/>
    <s v="[0.019, 0.026, 0.03, 0.008, 0.007, 0.035, 0.017, 0.003, 0.006, 0.026, 0.03, 0.03, 0.012, 0.012, 0.01, 0.009, 0.167, 0.032, 0.099, 0.031]"/>
    <s v="1255.6100149291067"/>
    <s v="[-0.019, 0.026, -0.03, -0.008, 0.007, 0.035, 0.017, 0.003, 0.006, -0.026, 0.03, 0.03, 0.012, 0.012, 0.01, 0.009, 0.167, 0.032, 0.099, -0.031]"/>
  </r>
  <r>
    <x v="4544"/>
    <x v="1706"/>
    <x v="0"/>
    <n v="0"/>
    <s v="LINESTRING (11.008833357283292 59.938498611730495, 11.01157129252834 59.93929623920191, 11.011946418731535 59.93938494000422, 11.014186140822154 59.939846502247256)"/>
    <s v="[1512133, 1512141, 1512147]"/>
    <s v="[1367416, 1367421, 1365668]"/>
    <s v="#FIELD!"/>
    <s v="[1365636, 1367416, 1367421]"/>
    <s v="[0.016, 0.018, 0.006]"/>
    <s v="335.7194431248793"/>
    <s v="[-0.016, 0.018, 0.006]"/>
  </r>
  <r>
    <x v="4545"/>
    <x v="4911"/>
    <x v="0"/>
    <n v="0"/>
    <s v="LINESTRING (11.006882471838683 59.93794592003315, 11.006938576107963 59.93796802870824, 11.008737490702414 59.938601431922585, 11.011576768613843 59.93941949896217, 11.011945142697032 59.93952964370923, 11.014151708137746 59.93998390934302)"/>
    <s v="[1512723, 1512739, 1512747, 1512755, 1512756]"/>
    <s v="[1367946, 1367961, 1367969, 1367974, 1365675]"/>
    <s v="0.0032768912990328593"/>
    <s v="[1365666, 1367946, 1367961, 1367969, 1367974]"/>
    <s v="[0.085, 0.035, 0.012, 0.057, 0.012]"/>
    <s v="467.47942577011634"/>
    <s v="[-0.085, 0.035, -0.012, 0.057, -0.012]"/>
  </r>
  <r>
    <x v="4546"/>
    <x v="4922"/>
    <x v="0"/>
    <n v="0"/>
    <m/>
    <n v="1512864"/>
    <n v="1368021"/>
    <s v="#FIELD!"/>
    <n v="1366887"/>
    <s v="0.065"/>
    <s v="12.031409560620071"/>
    <s v="#FIELD!"/>
  </r>
  <r>
    <x v="4546"/>
    <x v="5066"/>
    <x v="0"/>
    <n v="0"/>
    <s v="LINESTRING (10.940766092745612 59.93394512147598, 10.940863747613394 59.933881151366364, 10.94100583687814 59.93378888169141)"/>
    <s v="[1511566, 1511574]"/>
    <s v="[1366895, 1366902]"/>
    <s v="#FIELD!"/>
    <s v="[1366887, 1366895]"/>
    <s v="[0.052, 0.025]"/>
    <s v="21.975015333592893"/>
    <s v="[-0.052, -0.025]"/>
  </r>
  <r>
    <x v="4547"/>
    <x v="5067"/>
    <x v="0"/>
    <n v="0"/>
    <s v="LINESTRING (10.94100583687814 59.93378888169141, 10.943532025570132 59.93208657857561, 10.946115305847187 59.93076377356054, 10.94642798277796 59.93062831749642, 10.946441236384585 59.930622764703415, 10.946520667606677 59.93058945412662, 10.94897186976658 59.92971653749903, 10.949582271807214 59.92953923826797, 10.949598561736604 59.929534776518004, 10.95244890909686 59.928871255157, 10.952897461357257 59.92877336067543)"/>
    <s v="[1511582, 1511590, 1511598, 1511606, 1511614, 1511622, 1511636, 1511644, 1511645, 1511653]"/>
    <s v="[1366911, 1366917, 1366925, 1366933, 1366941, 1366949, 1366960, 1366967, 1366968, 1366977]"/>
    <s v="#FIELD!"/>
    <s v="[1366902, 1366911, 1366917, 1366925, 1366933, 1366941, 1366949, 1366960, 1366967, 1366968]"/>
    <s v="[0.003, 0.001, 0.038, 0.003, 0.004, 0.031, 0.04, 0.101, 0.029, 0.006]"/>
    <s v="885.0267940774679"/>
    <s v="[-0.003, 0.001, 0.038, -0.003, -0.004, -0.031, 0.04, 0.101, -0.029, 0.006]"/>
  </r>
  <r>
    <x v="4547"/>
    <x v="4922"/>
    <x v="0"/>
    <n v="0"/>
    <m/>
    <n v="1512808"/>
    <n v="1366902"/>
    <s v="#FIELD!"/>
    <n v="1368021"/>
    <s v="0.001"/>
    <s v="15.458772299051208"/>
    <s v="#FIELD!"/>
  </r>
  <r>
    <x v="4548"/>
    <x v="5053"/>
    <x v="0"/>
    <n v="0"/>
    <s v="LINESTRING (10.952897461357257 59.92877336067543, 10.953620258727653 59.92864891864565, 10.953637073597454 59.92864601891766, 10.954347730419068 59.92854059253452, 10.95483677089164 59.92847883675072, 10.955397741642948 59.92842253405033, 10.958821604961344 59.928387676500094, 10.959295278784106 59.92842287187926, 10.959405335405375 59.928431058760005, 10.960522422137771 59.9285229051935, 10.961685312276801 59.92862698916122, 10.962826988993204 59.928731760932294, 10.963639845752773 59.928814127469295, 10.964403342854938 59.928903247519365, 10.96479580113401 59.928950336685894)"/>
    <s v="[1511661, 1511677, 1511681, 1511683, 1511691, 1511698, 1511706, 1511714, 1511722, 1511730, 1511736, 1511742, 1511748, 1511756]"/>
    <s v="[1366987, 1367002, 1367006, 1367008, 1367016, 1367022, 1367031, 1367037, 1367044, 1367051, 1367056, 1367062, 1367068, 1367076]"/>
    <s v="#FIELD!"/>
    <s v="[1366977, 1366987, 1367002, 1367006, 1367008, 1367016, 1367022, 1367031, 1367037, 1367044, 1367051, 1367056, 1367062, 1367068]"/>
    <s v="[0.008, 0.029, 0.002, 0.021, 0.034, 0.013, 0.001, 0.004, 0.007, 0.012, 0.003, 0.023, 0.022, 0.031]"/>
    <s v="677.7616217750599"/>
    <s v="[0.008, 0.029, 0.002, -0.021, -0.034, -0.013, 0.001, 0.004, 0.007, -0.012, -0.003, -0.023, -0.022, -0.031]"/>
  </r>
  <r>
    <x v="4548"/>
    <x v="5049"/>
    <x v="0"/>
    <n v="0"/>
    <s v="LINESTRING (10.946581077007082 59.92984291118244, 10.946681365910557 59.92990173961943, 10.951270181205825 59.92907641651965, 10.952576172473872 59.9287937573278, 10.952897461357257 59.92877336067543)"/>
    <s v="[1512968, 1536226, 1536234, 1512983]"/>
    <s v="[1368170, 1388323, 1368182, 1366977]"/>
    <s v="#FIELD!"/>
    <s v="[1368169, 1368170, 1388323, 1368182]"/>
    <s v="[0.035, 0.017, 0.035, 0.004]"/>
    <s v="384.29579851790135"/>
    <s v="[-0.035, -0.017, -0.035, 0.004]"/>
  </r>
  <r>
    <x v="4549"/>
    <x v="5068"/>
    <x v="0"/>
    <n v="0"/>
    <s v="LINESTRING (10.9410522283511 59.9339638930376, 10.941205182992912 59.93385939815066, 10.941263555736139 59.93381923797656)"/>
    <s v="[1512269, 1512276]"/>
    <s v="[1367535, 1367541]"/>
    <s v="#FIELD!"/>
    <s v="[1367534, 1367535]"/>
    <s v="[0.032, 0.009]"/>
    <s v="19.98810539107711"/>
    <s v="[-0.032, 0.009]"/>
  </r>
  <r>
    <x v="4549"/>
    <x v="4937"/>
    <x v="0"/>
    <n v="0"/>
    <m/>
    <n v="1512953"/>
    <n v="1367534"/>
    <s v="#FIELD!"/>
    <n v="1368061"/>
    <s v="0.026"/>
    <s v="11.01890965587743"/>
    <s v="#FIELD!"/>
  </r>
  <r>
    <x v="4550"/>
    <x v="4937"/>
    <x v="0"/>
    <n v="0"/>
    <m/>
    <n v="1512856"/>
    <n v="1368061"/>
    <s v="0.061"/>
    <n v="1367541"/>
    <s v="0.061"/>
    <s v="11.65872454415093"/>
    <s v="0.061"/>
  </r>
  <r>
    <x v="4550"/>
    <x v="5065"/>
    <x v="0"/>
    <n v="0"/>
    <s v="LINESTRING (10.941263555736139 59.93381923797656, 10.943953965275634 59.93203331389758, 10.946563217225984 59.93074509599687, 10.946576836201979 59.930739338661986, 10.946658478574456 59.93070479242492)"/>
    <s v="[1512284, 1512285, 1512292, 1512293]"/>
    <s v="[1367548, 1367549, 1367556, 1367557]"/>
    <s v="#FIELD!"/>
    <s v="[1367541, 1367548, 1367549, 1367556]"/>
    <s v="[0.005, 0.005, 0.07, 0.058]"/>
    <s v="461.53225207368155"/>
    <s v="[-0.005, 0.005, -0.07, -0.058]"/>
  </r>
  <r>
    <x v="4551"/>
    <x v="5069"/>
    <x v="0"/>
    <n v="0"/>
    <s v="LINESTRING (10.946658478574456 59.93070479242492, 10.946605074146234 59.93076068834183, 10.946588698954464 59.931583720829884)"/>
    <s v="[1512880, 1536178]"/>
    <s v="[1368083, 1388276]"/>
    <s v="0.008298546743960834"/>
    <s v="[1367557, 1368083]"/>
    <s v="[0.06, 0.007]"/>
    <s v="281.94766322504137"/>
    <s v="[0.06, 0.007]"/>
  </r>
  <r>
    <x v="4552"/>
    <x v="5048"/>
    <x v="0"/>
    <n v="0"/>
    <s v="LINESTRING (10.94074700677885 59.933837580983266, 10.946433280060099 59.93021686507342, 10.946495996469558 59.93013650481414)"/>
    <s v="[1536170, 1512872]"/>
    <s v="[1368074, 1368075]"/>
    <s v="#FIELD!"/>
    <s v="[1368021, 1368074]"/>
    <s v="[0.0, 0.002]"/>
    <s v="524.6328546585171"/>
    <s v="[-0.0, -0.002]"/>
  </r>
  <r>
    <x v="4553"/>
    <x v="5069"/>
    <x v="0"/>
    <n v="0"/>
    <s v="LINESTRING (10.946588698954464 59.931583720829884, 10.946624483714032 59.93167203080414, 10.943042282626292 59.93269274246241, 10.941231255173495 59.93392259643143)"/>
    <s v="[1536202, 1536210, 1536218]"/>
    <s v="[1388301, 1388309, 1368061]"/>
    <s v="#FIELD!"/>
    <s v="[1388276, 1388301, 1388309]"/>
    <s v="[0.032, 0.008, 0.004]"/>
    <s v="430.1626775612914"/>
    <s v="[0.032, -0.008, 0.004]"/>
  </r>
  <r>
    <x v="4554"/>
    <x v="5070"/>
    <x v="0"/>
    <n v="0"/>
    <s v="LINESTRING (10.946564613556797 59.93038813228069, 10.946494449463636 59.93021029678424, 10.946495996469558 59.93013650481414)"/>
    <s v="[1512888, 1512904]"/>
    <s v="[1368092, 1368075]"/>
    <s v="0.011998819372305576"/>
    <s v="[1368091, 1368092]"/>
    <s v="[0.017, 0.001]"/>
    <s v="29.597896989832243"/>
    <s v="[0.017, -0.001]"/>
  </r>
  <r>
    <x v="4555"/>
    <x v="5049"/>
    <x v="0"/>
    <n v="0"/>
    <s v="LINESTRING (10.946564613556797 59.93038813228069, 10.946600368215487 59.9302054654778, 10.946598430380382 59.93013482982641, 10.946581077007082 59.92984291118244)"/>
    <s v="[1513317, 1513325, 1513326]"/>
    <s v="[1368486, 1368492, 1368169]"/>
    <s v="0.002811524128851057"/>
    <s v="[1368091, 1368486, 1368492]"/>
    <s v="[0.007, 0.007, 0.008]"/>
    <s v="61.00172816653917"/>
    <s v="[-0.007, 0.007, 0.008]"/>
  </r>
  <r>
    <x v="4555"/>
    <x v="5069"/>
    <x v="0"/>
    <s v="[0, 1]"/>
    <s v="LINESTRING (10.946588698954464 59.931583720829884, 10.946576922120103 59.930932440845126, 10.946564613556797 59.93038813228069)"/>
    <s v="[1536186, 1536194]"/>
    <s v="[1388284, 1368091]"/>
    <s v="#FIELD!"/>
    <s v="[1388276, 1388284]"/>
    <s v="[0.023, 0.026]"/>
    <s v="133.27415900745962"/>
    <s v="[-0.023, -0.026]"/>
  </r>
  <r>
    <x v="4556"/>
    <x v="5027"/>
    <x v="0"/>
    <n v="0"/>
    <s v="LINESTRING (11.081936850742743 60.17843776248329, 11.08186856611482 60.17848068956935, 11.081694072557232 60.17852137175533, 11.081513918292785 60.178518735806136, 11.081303712582327 60.17843520203617)"/>
    <s v="[1526570, 1526578, 1526586, 1526594]"/>
    <s v="[1380188, 1380194, 1369296, 1370304]"/>
    <s v="#FIELD!"/>
    <s v="[1370305, 1380188, 1380194, 1369296]"/>
    <s v="[0.086, 0.009, 0.013, 0.019]"/>
    <s v="42.21209460999259"/>
    <s v="[-0.086, -0.009, -0.013, 0.019]"/>
  </r>
  <r>
    <x v="4557"/>
    <x v="4894"/>
    <x v="0"/>
    <s v="[0, 0, 0, 0, 1, 0, 0, 0]"/>
    <s v="LINESTRING (11.04241834284722 59.99741353049915, 11.042391477803358 59.99749857879588, 11.042129673590113 59.99781208753154, 11.04160049417129 59.998184150818496, 11.04156917807946 59.99820586567369, 11.040965922062009 59.99861232851471, 11.040909518626892 59.998648240498895, 11.03970520895204 59.999251181753216, 11.039544556674876 59.999315400782926)"/>
    <s v="[1516039, 1516046, 1516047, 1516055, 1516071, 1516086, 1516093, 1516101]"/>
    <s v="[1371042, 1371049, 1371050, 1371057, 1371069, 1371080, 1371085, 1371092]"/>
    <s v="0.0218470445360319"/>
    <s v="[1371041, 1371042, 1371049, 1371050, 1371057, 1371069, 1371080, 1371085]"/>
    <s v="[0.014, 0.009, 0.034, 0.051, 0.025, 0.1, 0.063, 0.005]"/>
    <s v="270.26175102427226"/>
    <s v="[0.014, -0.009, -0.034, -0.051, 0.025, 0.1, 0.063, 0.005]"/>
  </r>
  <r>
    <x v="4558"/>
    <x v="5044"/>
    <x v="0"/>
    <n v="0"/>
    <m/>
    <n v="1540404"/>
    <n v="1381277"/>
    <s v="0.168"/>
    <n v="1378343"/>
    <s v="0.168"/>
    <s v="8.471717653409057"/>
    <s v="0.168"/>
  </r>
  <r>
    <x v="4558"/>
    <x v="5071"/>
    <x v="0"/>
    <n v="0"/>
    <s v="LINESTRING (10.481200684903154 59.855700711768506, 10.481260592881744 59.855667697294344, 10.481322401866187 59.855633848814385, 10.481438933695477 59.85559198887616)"/>
    <s v="[1524371, 1524379, 1524387]"/>
    <s v="[1378352, 1378358, 1378367]"/>
    <s v="#FIELD!"/>
    <s v="[1378343, 1378352, 1378358]"/>
    <s v="[0.08, 0.093, 0.095]"/>
    <s v="18.132542607406002"/>
    <s v="[-0.08, -0.093, -0.095]"/>
  </r>
  <r>
    <x v="4559"/>
    <x v="5072"/>
    <x v="0"/>
    <n v="0"/>
    <s v="LINESTRING (10.481438933695477 59.85559198887616, 10.481615990727503 59.855545464474844, 10.481832581020866 59.855498769924175)"/>
    <s v="[1524395, 1524403]"/>
    <s v="[1378373, 1378380]"/>
    <s v="#FIELD!"/>
    <s v="[1378367, 1378373]"/>
    <s v="[0.079, 0.006]"/>
    <s v="24.410613393748598"/>
    <s v="[-0.079, 0.006]"/>
  </r>
  <r>
    <x v="4559"/>
    <x v="3398"/>
    <x v="0"/>
    <n v="0"/>
    <s v="LINESTRING (10.479075340119932 59.853001564958454, 10.479224904691653 59.853137257140354, 10.47945298894036 59.854030210645995, 10.481172487532389 59.85547400932223, 10.481261133746754 59.855518965920304, 10.481341879911788 59.85555627631816, 10.481438933695477 59.85559198887616)"/>
    <s v="[1540388, 1505642, 1505647, 1505666, 1505680, 1540396]"/>
    <s v="[1361586, 1361587, 1361592, 1361611, 1361622, 1378367]"/>
    <s v="#FIELD!"/>
    <s v="[1391833, 1361586, 1361587, 1361592, 1361611, 1361622]"/>
    <s v="[0.177, 0.019, 0.014, 0.044, 0.051, 0.051]"/>
    <s v="329.53208261804207"/>
    <s v="[-0.177, 0.019, -0.014, -0.044, -0.051, -0.051]"/>
  </r>
  <r>
    <x v="4560"/>
    <x v="4228"/>
    <x v="0"/>
    <n v="0"/>
    <m/>
    <n v="1525186"/>
    <n v="1379046"/>
    <s v="0.0"/>
    <n v="1379036"/>
    <s v="0.0"/>
    <s v="118.3684079722196"/>
    <s v="0.0"/>
  </r>
  <r>
    <x v="4560"/>
    <x v="5073"/>
    <x v="0"/>
    <n v="0"/>
    <s v="LINESTRING (11.093026760742301 60.18148579680778, 11.090133595487647 60.17801018182697, 11.088265996459345 60.178015046555814, 11.0879076595779 60.17799811903911)"/>
    <s v="[1525610, 2124607, 2124615]"/>
    <s v="[1379422, 1829849, 1379036]"/>
    <s v="#FIELD!"/>
    <s v="[1379415, 1379422, 1829849]"/>
    <s v="[0.005, 0.006, 0.017]"/>
    <s v="690.9601934165892"/>
    <s v="[-0.005, 0.006, -0.017]"/>
  </r>
  <r>
    <x v="4561"/>
    <x v="5074"/>
    <x v="0"/>
    <n v="0"/>
    <s v="LINESTRING (11.090038566946408 60.177963451683645, 11.09459692134336 60.17742977654322, 11.094609612277074 60.17742336383635, 11.096362869330347 60.17603966018001, 11.09869421035368 60.17380523126862)"/>
    <s v="[1525194, 1525202, 1525210, 1525218]"/>
    <s v="[1379053, 1379061, 1379068, 1379075]"/>
    <s v="0.004070726845860766"/>
    <s v="[1379046, 1379053, 1379061, 1379068]"/>
    <s v="[0.008, 0.067, 0.02, 0.005]"/>
    <s v="732.7891393120929"/>
    <s v="[-0.008, 0.067, 0.02, 0.005]"/>
  </r>
  <r>
    <x v="4561"/>
    <x v="5075"/>
    <x v="0"/>
    <s v="[0, 0, 0, 1, 0]"/>
    <s v="LINESTRING (11.090038566946408 60.177963451683645, 11.090132196602433 60.177961290974864, 11.096221837518994 60.17682309569427, 11.095523690074664 60.1776894521191, 11.095070541106539 60.17829670774301, 11.094110699604752 60.17977739918521)"/>
    <s v="[1525554, 1525562, 1525570, 1525578, 1525586]"/>
    <s v="[1379371, 1379377, 1379384, 1379389, 1379398]"/>
    <s v="0.0011256373327958467"/>
    <s v="[1379046, 1379371, 1379377, 1379384, 1379389]"/>
    <s v="[0.001, 0.0, 0.0, 0.0, 0.007]"/>
    <s v="1073.7933671315932"/>
    <s v="[-0.001, 0.0, -0.0, 0.0, 0.007]"/>
  </r>
  <r>
    <x v="4562"/>
    <x v="5032"/>
    <x v="0"/>
    <n v="0"/>
    <s v="LINESTRING (11.09869421035368 60.17380523126862, 11.099127685798601 60.173413602719116, 11.099457244423846 60.17312860122641, 11.099560246683875 60.17303946664454, 11.099687615431233 60.17293141682393, 11.100195893925509 60.17252807365682, 11.101140867837756 60.1718606971705, 11.110174464134865 60.168413118633765, 11.110221317407689 60.16840351051957, 11.112497765532023 60.16801022523197, 11.112589963201007 60.16799703097844, 11.114061402358912 60.16780511446307, 11.119077502397731 60.167310796074275, 11.119158722362666 60.16730390064846, 11.120397699136271 60.16719092939705, 11.12195793150167 60.16704152355517, 11.123053363496995 60.1669234764689, 11.124947405308443 60.16668343823752, 11.12501919644583 60.16667233480819, 11.125952458964838 60.166527986114495, 11.125988344692564 60.16652243834503, 11.128782963222426 60.1660037214757, 11.13821702063126 60.16316079188609)"/>
    <s v="[1525226, 1525234, 2109133, 2109013, 2109021, 2109029, 2109037, 2109045, 2109053, 2109061, 2109069, 2109077, 2109085, 2109093, 2109101, 2109109, 2109117, 2109149, 2109157, 2109165, 2109173, 2109181]"/>
    <s v="[1379083, 1379090, 1820939, 1820940, 1820945, 1820947, 1820950, 345595, 1820956, 1820959, 1820962, 1820964, 1820968, 1820971, 1820974, 345576, 1820981, 1820995, 1820999, 1821004, 1821007, 1820937]"/>
    <s v="#FIELD!"/>
    <s v="[1379075, 1379083, 1379090, 1820939, 1820940, 1820945, 1820947, 1820950, 345595, 1820956, 1820959, 1820962, 1820964, 1820968, 1820971, 1820974, 345576, 1820981, 1820995, 1820999, 1821004, 1821007]"/>
    <s v="[0.001, 0.01, 0.368, 0.01, 0.012, 0.003, 0.005, 0.003, 0.003, 0.003, 0.007, 0.004, 0.01, 0.01, 0.009, 0.009, 0.0, 0.004, 0.005, 0.005, 0.005, 0.006]"/>
    <s v="2578.8405173389483"/>
    <s v="[0.001, -0.01, -0.368, 0.01, 0.012, -0.003, 0.005, 0.003, 0.003, 0.003, 0.007, 0.004, -0.01, -0.01, -0.009, -0.009, -0.0, 0.004, 0.005, 0.005, 0.005, -0.006]"/>
  </r>
  <r>
    <x v="4562"/>
    <x v="5076"/>
    <x v="0"/>
    <s v="[0, 1, 0, 0]"/>
    <s v="LINESTRING (11.093113646135263 60.18143557417289, 11.09472146116458 60.178203094089575, 11.095112185729656 60.17768531423691, 11.098591966621727 60.173904195238755, 11.09869421035368 60.17380523126862)"/>
    <s v="[1525730, 1525738, 1525746, 1525754]"/>
    <s v="[1379523, 1379530, 1379539, 1379075]"/>
    <s v="0.00017053778992987952"/>
    <s v="[1379517, 1379523, 1379530, 1379539]"/>
    <s v="[0.008, 0.01, 0.008, 0.003]"/>
    <s v="909.9870634673694"/>
    <s v="[-0.008, -0.01, 0.008, 0.003]"/>
  </r>
  <r>
    <x v="4563"/>
    <x v="5077"/>
    <x v="0"/>
    <n v="0"/>
    <m/>
    <n v="1525402"/>
    <n v="1379248"/>
    <s v="0.008"/>
    <n v="1379247"/>
    <s v="0.008"/>
    <s v="115.47453303763578"/>
    <s v="0.008"/>
  </r>
  <r>
    <x v="4563"/>
    <x v="4977"/>
    <x v="0"/>
    <n v="0"/>
    <s v="LINESTRING (10.974206327951332 60.25883367483744, 10.974238449181323 60.258867158733906, 10.974466235985592 60.25907604888305)"/>
    <s v="[2107979, 2107980]"/>
    <s v="[1820482, 1379247]"/>
    <s v="#FIELD!"/>
    <s v="[1820460, 1820482]"/>
    <s v="[0.043, 0.182]"/>
    <s v="30.61012701546504"/>
    <s v="[-0.043, -0.182]"/>
  </r>
  <r>
    <x v="4563"/>
    <x v="4980"/>
    <x v="0"/>
    <n v="0"/>
    <s v="LINESTRING (10.974383939119043 60.25881132419231, 10.974400926000307 60.258847090515964, 10.974466235985592 60.25907604888305)"/>
    <s v="[2107988, 2107996]"/>
    <s v="[1820489, 1379247]"/>
    <s v="#FIELD!"/>
    <s v="[1820462, 1820489]"/>
    <s v="[0.036, 0.178]"/>
    <s v="29.86539561831503"/>
    <s v="[-0.036, -0.178]"/>
  </r>
  <r>
    <x v="4564"/>
    <x v="5078"/>
    <x v="0"/>
    <n v="0"/>
    <s v="LINESTRING (10.975965253370779 60.25971436773378, 10.976361201391276 60.25969534161214, 10.976497586880596 60.2596859054506)"/>
    <s v="[2018994, 2019002]"/>
    <s v="[1764122, 1377343]"/>
    <s v="#FIELD!"/>
    <s v="[1379248, 1764122]"/>
    <s v="[0.068, 0.037]"/>
    <s v="29.652339154270088"/>
    <s v="[-0.068, -0.037]"/>
  </r>
  <r>
    <x v="4564"/>
    <x v="5079"/>
    <x v="0"/>
    <n v="0"/>
    <s v="LINESTRING (10.975965253370779 60.25971436773378, 10.976355716824747 60.2597732278973, 10.976487430495558 60.259793560279974)"/>
    <s v="[2019010, 2019018]"/>
    <s v="[1764129, 1377331]"/>
    <s v="#FIELD!"/>
    <s v="[1379248, 1764129]"/>
    <s v="[0.07, 0.04]"/>
    <s v="30.451367755058453"/>
    <s v="[-0.07, -0.04]"/>
  </r>
  <r>
    <x v="4565"/>
    <x v="5036"/>
    <x v="0"/>
    <s v="[0, 0, 1, 0]"/>
    <s v="LINESTRING (11.141519396071672 60.1618202090972, 11.141640893409384 60.161754138133524, 11.145150860103522 60.16032731015969, 11.14772909432757 60.16015833138782, 11.15299748588468 60.16118571436583)"/>
    <s v="[1525418, 1525426, 1525434, 1525442]"/>
    <s v="[1379261, 1379268, 1379275, 1379282]"/>
    <s v="0.013751786599128778"/>
    <s v="[1379254, 1379261, 1379268, 1379275]"/>
    <s v="[0.012, 0.018, 0.003, 0.018]"/>
    <s v="731.5206766870679"/>
    <s v="[0.012, 0.018, -0.003, 0.018]"/>
  </r>
  <r>
    <x v="4565"/>
    <x v="4931"/>
    <x v="0"/>
    <s v="[0, 1, 0, 0]"/>
    <s v="LINESTRING (11.141519396071672 60.1618202090972, 11.14797369876583 60.158511149108044, 11.153685336343253 60.159190132755256, 11.155215694697139 60.16098401771219, 11.157055416991543 60.1628460507576)"/>
    <s v="[2086947, 2086951, 2086955, 2086960]"/>
    <s v="[1807721, 1807724, 1807726, 1807729]"/>
    <s v="0.009308963608488992"/>
    <s v="[1379254, 1807721, 1807724, 1807726]"/>
    <s v="[0.014, 0.006, 0.008, 0.005]"/>
    <s v="1318.0350113204354"/>
    <s v="[0.014, 0.006, 0.008, 0.005]"/>
  </r>
  <r>
    <x v="4565"/>
    <x v="5032"/>
    <x v="0"/>
    <n v="0"/>
    <s v="LINESTRING (11.13821702063126 60.16316079188609, 11.138472608542898 60.16304064619609, 11.141519396071672 60.1618202090972)"/>
    <s v="[2109005, 1525410]"/>
    <s v="[1379253, 1379254]"/>
    <s v="#FIELD!"/>
    <s v="[1820937, 1379253]"/>
    <s v="[0.134, 0.011]"/>
    <s v="236.96699555783061"/>
    <s v="[-0.134, -0.011]"/>
  </r>
  <r>
    <x v="4566"/>
    <x v="4227"/>
    <x v="0"/>
    <n v="0"/>
    <s v="LINESTRING (11.15299748588468 60.16118571436583, 11.14875514040927 60.16056696148155, 11.138573687724605 60.163245496620895, 11.138377053133171 60.16328084024329)"/>
    <s v="[1525490, 1525498, 2109237]"/>
    <s v="[1379316, 1379321, 1821039]"/>
    <s v="#FIELD!"/>
    <s v="[1379282, 1379316, 1379321]"/>
    <s v="[0.013, 0.006, 0.171]"/>
    <s v="910.1252349998975"/>
    <s v="[-0.013, -0.006, 0.171]"/>
  </r>
  <r>
    <x v="4567"/>
    <x v="654"/>
    <x v="0"/>
    <n v="0"/>
    <m/>
    <n v="1525594"/>
    <n v="1379407"/>
    <s v="0.01"/>
    <n v="1379398"/>
    <s v="0.01"/>
    <s v="7.65151102715313"/>
    <s v="0.01"/>
  </r>
  <r>
    <x v="4567"/>
    <x v="5080"/>
    <x v="450"/>
    <n v="0"/>
    <s v="LINESTRING (11.094110699604752 60.17977739918521, 11.09353400659845 60.18284975268798, 11.094390047274809 60.184212228601055, 11.094703178288183 60.18469060512893, 11.094721886227541 60.18471542884703, 11.09476997549371 60.18478157235842)"/>
    <s v="[1525962, 1525970, 1525978, 1525986, 1525994]"/>
    <s v="[1379720, 1379728, 1379734, 479879, 479774]"/>
    <s v="0.0028898105344624453"/>
    <s v="[1379398, 1379720, 1379728, 1379734, 479879]"/>
    <s v="[0.007, 0.005, 0.001, 0.002, 0.003]"/>
    <s v="572.4773864811327"/>
    <s v="[0.007, -0.005, 0.001, -0.002, -0.003]"/>
  </r>
  <r>
    <x v="4567"/>
    <x v="4226"/>
    <x v="0"/>
    <n v="0"/>
    <m/>
    <n v="1525954"/>
    <n v="1379398"/>
    <s v="#FIELD!"/>
    <n v="1379580"/>
    <s v="0.007"/>
    <s v="8.559348690468985"/>
    <s v="#FIELD!"/>
  </r>
  <r>
    <x v="4568"/>
    <x v="4226"/>
    <x v="0"/>
    <n v="0"/>
    <m/>
    <n v="1525802"/>
    <n v="1379407"/>
    <s v="0.001"/>
    <n v="1379580"/>
    <s v="0.001"/>
    <s v="12.838894072517647"/>
    <s v="0.001"/>
  </r>
  <r>
    <x v="4569"/>
    <x v="5073"/>
    <x v="0"/>
    <n v="0"/>
    <m/>
    <n v="1525602"/>
    <n v="1379415"/>
    <s v="#FIELD!"/>
    <n v="1379414"/>
    <s v="0.018"/>
    <s v="5.581112434329721"/>
    <s v="#FIELD!"/>
  </r>
  <r>
    <x v="4569"/>
    <x v="5076"/>
    <x v="0"/>
    <n v="0"/>
    <m/>
    <n v="1525722"/>
    <n v="1379517"/>
    <s v="#FIELD!"/>
    <n v="1379414"/>
    <s v="0.002"/>
    <s v="9.55631063762113"/>
    <s v="#FIELD!"/>
  </r>
  <r>
    <x v="4570"/>
    <x v="5076"/>
    <x v="0"/>
    <n v="0"/>
    <m/>
    <n v="1526058"/>
    <n v="1379517"/>
    <s v="0.011"/>
    <n v="1379415"/>
    <s v="0.011"/>
    <s v="7.387670336059387"/>
    <s v="0.011"/>
  </r>
  <r>
    <x v="4570"/>
    <x v="5081"/>
    <x v="451"/>
    <n v="0"/>
    <s v="LINESTRING (11.093119113626958 60.18494232229877, 11.093119113626958 60.18494232229877, 11.093110666144886 60.18492229591797, 11.092985096892285 60.18459485720472, 11.092954921279388 60.18421145967932, 11.093026760742301 60.18148579680778)"/>
    <s v="[1526018, 1526026, 1526034, 1526042, 1526050]"/>
    <s v="[479887, 1379775, 1379781, 1379789, 1379415]"/>
    <s v="0.0006504014208363586"/>
    <s v="[479789, 479887, 1379775, 1379781, 1379789]"/>
    <s v="[0.0, 0.005, 0.015, 0.014, 0.003]"/>
    <s v="392.6696899797003"/>
    <s v="[0.0, 0.005, 0.015, 0.014, -0.003]"/>
  </r>
  <r>
    <x v="4571"/>
    <x v="4749"/>
    <x v="0"/>
    <n v="0"/>
    <s v="LINESTRING (10.406263189397155 59.9400614307524, 10.40596299755663 59.940303438129334, 10.405894577477694 59.940370302669585, 10.405840381067263 59.94042507224063)"/>
    <s v="[1537010, 1537018, 1537026]"/>
    <s v="[1388977, 1352109, 1357088]"/>
    <s v="0.075774881988889"/>
    <s v="[1388976, 1388977, 1352109]"/>
    <s v="[0.082, 0.065, 0.06]"/>
    <s v="46.963652354406136"/>
    <s v="[0.082, 0.065, 0.06]"/>
  </r>
  <r>
    <x v="4572"/>
    <x v="5082"/>
    <x v="0"/>
    <s v="[0, 0, 1, 0, 0, 0, 0, 0, 0, 0, 0, 0, 0, 0, 0, 0, 0, 0, 0, 0, 0]"/>
    <s v="LINESTRING (10.811917994122686 59.68880598656076, 10.81027921638482 59.68919031847651, 10.80403665008878 59.69119548526175, 10.803481107930839 59.69158213571661, 10.802862611320302 59.69208212929543, 10.799988993657804 59.694628905789244, 10.799941431005319 59.69467908295926, 10.796117977461988 59.69811117814414, 10.794505447795135 59.69953869675421, 10.793819552497586 59.70015508971745, 10.793028555935363 59.7008517369988, 10.792535991228986 59.70127132621709, 10.792101380453005 59.70165170974611, 10.791383609886918 59.70228316337654, 10.790757936699578 59.70281731480258, 10.789483544068334 59.70390198962672, 10.788305019955411 59.704934273759584, 10.788222871192366 59.705001678943255, 10.787070101929512 59.70600316649763, 10.785566201325818 59.70730536639782, 10.785140626697828 59.70766357739986, 10.784171170566609 59.70857868276432)"/>
    <s v="[1537074, 1537082, 1537090, 1537098, 1537106, 1537114, 1537122, 1537130, 1537138, 1537146, 1537154, 676748, 1537162, 1537170, 1537178, 1537186, 1537194, 1537202, 1537210, 1537218, 1537226]"/>
    <s v="[1389038, 1389048, 1389059, 463603, 1389077, 1389085, 1389090, 1389097, 1389104, 1389108, 666717, 666718, 1372631, 1372605, 1389134, 1389138, 1389146, 1389153, 1389162, 1389169, 1389176]"/>
    <s v="0.010158930563855376"/>
    <s v="[1389037, 1389038, 1389048, 1389059, 463603, 1389077, 1389085, 1389090, 1389097, 1389104, 1389108, 666717, 666718, 1372631, 1372605, 1389134, 1389138, 1389146, 1389153, 1389162, 1389169]"/>
    <s v="[0.024, 0.02, 0.04, 0.004, 0.001, 0.007, 0.007, 0.006, 0.002, 0.006, 0.059, 0.014, 0.04, 0.009, 0.021, 0.019, 0.015, 0.026, 0.024, 0.018, 0.024]"/>
    <s v="2762.448042096111"/>
    <s v="[0.024, 0.02, 0.04, 0.004, 0.001, 0.007, -0.007, -0.006, 0.002, 0.006, 0.059, 0.014, -0.04, 0.009, 0.021, 0.019, 0.015, 0.026, 0.024, 0.018, 0.024]"/>
  </r>
  <r>
    <x v="4573"/>
    <x v="5083"/>
    <x v="0"/>
    <n v="0"/>
    <m/>
    <n v="2070067"/>
    <n v="463799"/>
    <s v="#FIELD!"/>
    <n v="1389176"/>
    <s v="0.058"/>
    <s v="9.894542839145913"/>
    <s v="#FIELD!"/>
  </r>
  <r>
    <x v="4573"/>
    <x v="5084"/>
    <x v="0"/>
    <n v="0"/>
    <s v="LINESTRING (10.784171170566609 59.70857868276432, 10.783719912485301 59.7090995317807, 10.782945610302619 59.710251415843224)"/>
    <s v="[1537234, 1537242]"/>
    <s v="[1389184, 1389190]"/>
    <s v="0.015776016455129327"/>
    <s v="[1389176, 1389184]"/>
    <s v="[0.026, 0.011]"/>
    <s v="199.02099355546812"/>
    <s v="[0.026, 0.011]"/>
  </r>
  <r>
    <x v="4574"/>
    <x v="3890"/>
    <x v="0"/>
    <n v="0"/>
    <s v="LINESTRING (10.782945610302619 59.710251415843224, 10.782594919079152 59.7110755658705, 10.783948239795004 59.71808056129167)"/>
    <s v="[1537250, 1537258]"/>
    <s v="[1389196, 1389205]"/>
    <s v="#FIELD!"/>
    <s v="[1389190, 1389196]"/>
    <s v="[0.007, 0.01]"/>
    <s v="884.3589770818154"/>
    <s v="[0.007, -0.01]"/>
  </r>
  <r>
    <x v="4574"/>
    <x v="5085"/>
    <x v="0"/>
    <n v="0"/>
    <m/>
    <n v="2070075"/>
    <n v="1389190"/>
    <s v="0.057"/>
    <n v="463800"/>
    <s v="0.057"/>
    <s v="10.47623749222059"/>
    <s v="0.057"/>
  </r>
  <r>
    <x v="4575"/>
    <x v="4821"/>
    <x v="0"/>
    <s v="[1, 0, 0, 0]"/>
    <s v="LINESTRING (11.416397102452628 60.15363199323036, 11.419422781942668 60.155351489778205, 11.41953479961327 60.15541563822571, 11.419838543491556 60.15559997365412, 11.420894866851356 60.15708373214977)"/>
    <s v="[1538194, 1538202, 1538210, 1538218]"/>
    <s v="[1390082, 1390090, 1390098, 1390107]"/>
    <s v="0.019424903452633563"/>
    <s v="[1390081, 1390082, 1390090, 1390098]"/>
    <s v="[0.001, 0.105, 0.075, 0.033]"/>
    <s v="468.2773794581381"/>
    <s v="[0.001, 0.105, 0.075, 0.033]"/>
  </r>
  <r>
    <x v="4575"/>
    <x v="5086"/>
    <x v="0"/>
    <n v="1"/>
    <s v="LINESTRING (11.41618895591962 60.153457383489915, 11.416257521332128 60.15350736167391, 11.416397102452628 60.15363199323036)"/>
    <s v="[1540788, 1540796]"/>
    <s v="[1392143, 1390081]"/>
    <s v="#FIELD!"/>
    <s v="[1390141, 1392143]"/>
    <s v="[0.06, 0.079]"/>
    <s v="22.651294375099106"/>
    <s v="[-0.06, -0.079]"/>
  </r>
  <r>
    <x v="4575"/>
    <x v="5087"/>
    <x v="0"/>
    <n v="1"/>
    <s v="LINESTRING (11.41604977684205 60.15351023829385, 11.416152869123636 60.15355177717007, 11.416397102452628 60.15363199323036)"/>
    <s v="[1540648, 1540656]"/>
    <s v="[1392027, 1390081]"/>
    <s v="#FIELD!"/>
    <s v="[1390158, 1392027]"/>
    <s v="[0.029, 0.083]"/>
    <s v="23.608876093431363"/>
    <s v="[-0.029, -0.083]"/>
  </r>
  <r>
    <x v="4576"/>
    <x v="5086"/>
    <x v="0"/>
    <n v="0"/>
    <s v="LINESTRING (11.416035055632845 60.15333097974898, 11.41610788033066 60.153341041118885, 11.416174961352702 60.15337072035395, 11.416205152750614 60.15342456676562, 11.41618895591962 60.153457383489915)"/>
    <s v="[1538226, 1538234, 1538242, 1538250]"/>
    <s v="[1360088, 1390124, 1357503, 1390141]"/>
    <s v="#FIELD!"/>
    <s v="[1390114, 1360088, 1390124, 1357503]"/>
    <s v="[0.015, 0.029, 0.043, 0.038]"/>
    <s v="19.174987182696437"/>
    <s v="[-0.015, -0.029, -0.043, -0.038]"/>
  </r>
  <r>
    <x v="4576"/>
    <x v="4797"/>
    <x v="0"/>
    <n v="0"/>
    <s v="LINESTRING (11.415851268253205 60.15339610814435, 11.415913969251479 60.15335017024559, 11.416035055632845 60.15333097974898)"/>
    <s v="[1538306, 1538314]"/>
    <s v="[1390194, 1390114]"/>
    <s v="0.014813276582424088"/>
    <s v="[1390187, 1390194]"/>
    <s v="[0.026, 0.005]"/>
    <s v="13.248742672127987"/>
    <s v="[0.026, 0.005]"/>
  </r>
  <r>
    <x v="4577"/>
    <x v="5087"/>
    <x v="0"/>
    <n v="0"/>
    <s v="LINESTRING (11.41618895591962 60.153457383489915, 11.416132819953441 60.153492713786456, 11.41604977684205 60.15351023829385)"/>
    <s v="[1538258, 1538266]"/>
    <s v="[1390150, 1390158]"/>
    <s v="#FIELD!"/>
    <s v="[1390141, 1390150]"/>
    <s v="[0.012, 0.007]"/>
    <s v="10.030943726451968"/>
    <s v="[-0.012, -0.007]"/>
  </r>
  <r>
    <x v="4578"/>
    <x v="4797"/>
    <x v="0"/>
    <n v="0"/>
    <s v="LINESTRING (11.41604977684205 60.15351023829385, 11.415967279867957 60.15350620650194, 11.415890722163379 60.15348076447196, 11.415843961690683 60.15343006440538, 11.415851268253205 60.15339610814435)"/>
    <s v="[1538274, 1538282, 1538290, 1538298]"/>
    <s v="[1368228, 1390173, 1363455, 1390187]"/>
    <s v="0.025894016861799513"/>
    <s v="[1390158, 1368228, 1390173, 1363455]"/>
    <s v="[0.01, 0.03, 0.033, 0.028]"/>
    <s v="19.738094849815006"/>
    <s v="[0.01, 0.03, 0.033, 0.028]"/>
  </r>
  <r>
    <x v="4579"/>
    <x v="4773"/>
    <x v="0"/>
    <s v="[0, 0, 1, 0, 0, 1, 1, 1, 1]"/>
    <s v="LINESTRING (10.524120946727015 59.88807634406718, 10.524015069566866 59.88801492466537, 10.523492115104412 59.88770197480437, 10.522859773610444 59.88732493768862, 10.52113982769861 59.8862243244969, 10.52094362827256 59.88609790014508, 10.520674833156026 59.88591401934275, 10.520134401956156 59.885541779476554, 10.520064190299536 59.885492390039985, 10.519996955724658 59.885446933026)"/>
    <s v="[1543116, 1543124, 1543132, 1543140, 1543148, 1543156, 1543164, 1543172, 1543180]"/>
    <s v="[1394003, 1394008, 1394016, 1394022, 1394031, 1394040, 1394048, 1394055, 1394062]"/>
    <s v="0.0018570913936415976"/>
    <s v="[1391722, 1394003, 1394008, 1394016, 1394022, 1394031, 1394040, 1394048, 1394055]"/>
    <s v="[0.0, 0.009, 0.012, 0.022, 0.054, 0.054, 0.013, 0.004, 0.007]"/>
    <s v="373.308376972499"/>
    <s v="[-0.0, -0.009, 0.012, 0.022, -0.054, -0.054, -0.013, -0.004, 0.007]"/>
  </r>
  <r>
    <x v="4579"/>
    <x v="4950"/>
    <x v="0"/>
    <s v="[0, 0, 0, 0, 0, 0, 0, 0, 0, 0, 1, 1, 0, 0, 0]"/>
    <s v="LINESTRING (10.546617944718832 59.89421171853831, 10.546488389007488 59.894182152374576, 10.545118188048145 59.89382473714584, 10.545016461031194 59.89379507769885, 10.544198497964242 59.89355514064919, 10.544115949609692 59.89353408884597, 10.544109459453463 59.893532304233005, 10.544088438318695 59.8935265021767, 10.54404639366923 59.893514915958775, 10.543962089855334 59.89349227579052, 10.532108096625304 59.89107764654793, 10.526387000383385 59.88921129845371, 10.525101213721554 59.88861083651593, 10.524260787548828 59.88815783151932, 10.524249159078472 59.88815103275992, 10.524120946727015 59.88807634406718)"/>
    <s v="[1542996, 1543004, 1543012, 1543020, 1543028, 1543036, 1543044, 1543052, 1543060, 1543068, 1543076, 1543084, 1543092, 1543100, 1543108]"/>
    <s v="[1393908, 1393915, 1393921, 1393927, 1393933, 1393937, 1393945, 1393953, 1393960, 1393966, 1393970, 1393976, 1393982, 1393989, 1391722]"/>
    <s v="#FIELD!"/>
    <s v="[1393902, 1393908, 1393915, 1393921, 1393927, 1393933, 1393937, 1393945, 1393953, 1393960, 1393966, 1393970, 1393976, 1393982, 1393989]"/>
    <s v="[0.025, 0.012, 0.055, 0.035, 0.028, 0.058, 0.035, 0.11, 0.088, 0.013, 0.011, 0.046, 0.005, 0.06, 0.057]"/>
    <s v="1448.6410828780795"/>
    <s v="[0.025, 0.012, 0.055, 0.035, -0.028, -0.058, -0.035, -0.11, -0.088, -0.013, -0.011, 0.046, 0.005, -0.06, -0.057]"/>
  </r>
  <r>
    <x v="4580"/>
    <x v="4783"/>
    <x v="0"/>
    <n v="0"/>
    <s v="LINESTRING (10.50422393300456 59.87719255086153, 10.503842912108198 59.87684857404715, 10.503205832754276 59.8762462694455, 10.502574543717158 59.87556842746591, 10.502277672319138 59.87527293692464, 10.50220284930513 59.87520416959361, 10.501790294529327 59.87486127451164, 10.501780532556397 59.874853835928555, 10.499023644376432 59.87337098707268, 10.498911421745794 59.87332538996469, 10.498856165827595 59.873302814008795)"/>
    <s v="[1553287, 1553295, 1553303, 1553311, 1553319, 1553327, 1553335, 1553343, 1553351, 1553359]"/>
    <s v="[1401983, 1401990, 1401994, 1402002, 1402009, 1402014, 1402019, 1402026, 1402034, 1391741]"/>
    <s v="0.021797971853429854"/>
    <s v="[1391725, 1401983, 1401990, 1401994, 1402002, 1402009, 1402014, 1402019, 1402026, 1402034]"/>
    <s v="[0.003, 0.003, 0.006, 0.014, 0.026, 0.005, 0.046, 0.025, 0.075, 1.372]"/>
    <s v="533.8078128493432"/>
    <s v="[0.003, -0.003, -0.006, 0.014, 0.026, -0.005, -0.046, 0.025, 0.075, 1.372]"/>
  </r>
  <r>
    <x v="4580"/>
    <x v="4940"/>
    <x v="0"/>
    <n v="0"/>
    <s v="LINESTRING (10.50495826059838 59.87772846768698, 10.504261904534596 59.877222627275025, 10.50422393300456 59.87719255086153)"/>
    <s v="[1553271, 1553279]"/>
    <s v="[1401969, 1391725]"/>
    <s v="0.014757426572114103"/>
    <s v="[1391733, 1401969]"/>
    <s v="[0.032, 0.283]"/>
    <s v="72.53055812707034"/>
    <s v="[0.032, -0.283]"/>
  </r>
  <r>
    <x v="4581"/>
    <x v="5022"/>
    <x v="0"/>
    <s v="[1, 1, 1, 1, 1, 1, 1, 0, 0, 0, 1, 0, 1, 0, 0]"/>
    <s v="LINESTRING (10.520188087860532 59.885774361836944, 10.520043941211144 59.885682353883716, 10.519985380215822 59.885645555889454, 10.5198595364473 59.88556365886514, 10.519792069684609 59.885521782078996, 10.519658627506463 59.88543082176595, 10.519648539384603 59.885423760269305, 10.518029599596238 59.884312423266564, 10.511164904275372 59.88020624155204, 10.511151268602207 59.88020043418494, 10.507761956262714 59.87895651590866, 10.5073808092769 59.87882478529164, 10.506054886985877 59.878297445863424, 10.505350877750416 59.87794943259589, 10.505003759533484 59.877754484431875, 10.50495826059838 59.87772846768698)"/>
    <s v="[1553151, 1553159, 1553167, 1553175, 1553183, 1553191, 1553199, 1553207, 1553215, 1553223, 1553231, 1553239, 1553247, 1553255, 1553263]"/>
    <s v="[1401869, 1401876, 1401885, 1401891, 1401897, 1401905, 1401912, 1401919, 1401926, 1401932, 1401939, 1401945, 1401953, 1401959, 1391733]"/>
    <s v="#FIELD!"/>
    <s v="[1401860, 1401869, 1401876, 1401885, 1401891, 1401897, 1401905, 1401912, 1401919, 1401926, 1401932, 1401939, 1401945, 1401953, 1401959]"/>
    <s v="[0.003, 0.01, 0.009, 0.008, 0.004, 0.002, 0.033, 0.016, 0.058, 0.044, 0.147, 0.043, 0.009, 0.051, 0.277]"/>
    <s v="1247.4700668849327"/>
    <s v="[-0.003, 0.01, 0.009, 0.008, 0.004, -0.002, 0.033, 0.016, -0.058, -0.044, -0.147, -0.043, 0.009, 0.051, -0.277]"/>
  </r>
  <r>
    <x v="4582"/>
    <x v="5042"/>
    <x v="452"/>
    <s v="[0, 0, 0, 1, 1, 0, 0, 0, 0, 0, 0, 0]"/>
    <s v="LINESTRING (10.498856165827595 59.873302814008795, 10.491436093840571 59.870012286647544, 10.49142777441701 59.87000439305107, 10.489622955563554 59.86772444007055, 10.4886381725413 59.86625010554234, 10.488594672972589 59.866181882575674, 10.487426413954704 59.86445914057104, 10.483939992750043 59.85920353744321, 10.483751126370343 59.85893520780579, 10.483745042331881 59.85892655403542, 10.483623189103032 59.85875343665359, 10.483490319246435 59.85858811553797, 10.483437039277439 59.85851964424224)"/>
    <s v="[1553367, 1553375, 1553383, 1553391, 1553399, 1553407, 1553415, 1553423, 1553431, 1553439, 1553447, 1553455]"/>
    <s v="[1402047, 1402054, 1402061, 1402069, 1402079, 1402086, 1402093, 1402097, 1402107, 1402116, 1402123, 1391803]"/>
    <s v="0.008452701648455163"/>
    <s v="[1391741, 1402047, 1402054, 1402061, 1402069, 1402079, 1402086, 1402093, 1402097, 1402107, 1402116, 1402123]"/>
    <s v="[0.017, 0.001, 0.056, 0.008, 0.004, 0.041, 0.024, 0.008, 0.023, 0.006, 0.006, 0.073]"/>
    <s v="1916.7637122341566"/>
    <s v="[0.017, 0.001, -0.056, -0.008, -0.004, 0.041, 0.024, -0.008, -0.023, -0.006, 0.006, 0.073]"/>
  </r>
  <r>
    <x v="4583"/>
    <x v="5043"/>
    <x v="0"/>
    <s v="[0, 0, 0, 0, 0, 0, 1, 1, 1, 0, 0, 0]"/>
    <s v="LINESTRING (10.499145326866698 59.87328266597667, 10.499036448047748 59.87323721041124, 10.498984631639404 59.873216182169195, 10.498905705814453 59.87318400059523, 10.491545145246036 59.869873149930086, 10.491536674101788 59.86986518818473, 10.48977306866999 59.867580301277826, 10.489756741603522 59.86755563915211, 10.489626101626833 59.86735852111366, 10.488831265943361 59.86616481996785, 10.488772649194752 59.86608016020319, 10.487666354475973 59.86443050393868, 10.484144730529165 59.85916501104876)"/>
    <s v="[1543396, 1543404, 1543412, 1543420, 1543428, 1543436, 1543444, 1543452, 1543460, 1543468, 1543476, 1543484]"/>
    <s v="[1394266, 1394272, 1394277, 1394284, 1394293, 1394302, 1394308, 1394315, 1394321, 1394329, 1394334, 1391817]"/>
    <s v="0.007898456651023268"/>
    <s v="[1391750, 1394266, 1394272, 1394277, 1394284, 1394293, 1394302, 1394308, 1394315, 1394321, 1394329, 1394334]"/>
    <s v="[0.558, 0.074, 0.103, 0.022, 0.013, 0.056, 0.041, 0.054, 0.005, 0.002, 0.024, 0.03]"/>
    <s v="1839.968054395143"/>
    <s v="[-0.558, 0.074, 0.103, 0.022, -0.013, -0.056, -0.041, -0.054, -0.005, -0.002, 0.024, 0.03]"/>
  </r>
  <r>
    <x v="4583"/>
    <x v="4794"/>
    <x v="0"/>
    <n v="0"/>
    <s v="LINESTRING (10.503453342696687 59.876197635511446, 10.50336612805155 59.8761097573426, 10.5027869324624 59.87552456513196, 10.502713465621714 59.87545197743383, 10.502492647413828 59.87523308460349, 10.502401715400396 59.875147596625574, 10.501971512056098 59.87479988066957, 10.501961983481445 59.874792171294935, 10.499145326866698 59.87328266597667)"/>
    <s v="[1543332, 1543340, 1543348, 1543356, 1543364, 1543372, 1543380, 1543388]"/>
    <s v="[1394206, 1394215, 1394222, 1394231, 1394239, 1394246, 1394254, 1391750]"/>
    <s v="0.02986868250245497"/>
    <s v="[1391796, 1394206, 1394215, 1394222, 1394231, 1394239, 1394246, 1394254]"/>
    <s v="[0.038, 0.01, 0.019, 0.034, 0.021, 0.0, 0.004, 0.052]"/>
    <s v="409.3040606272983"/>
    <s v="[-0.038, -0.01, 0.019, 0.034, 0.021, -0.0, -0.004, 0.052]"/>
  </r>
  <r>
    <x v="4584"/>
    <x v="5058"/>
    <x v="0"/>
    <n v="1"/>
    <s v="LINESTRING (11.160578828119586 60.13097214605017, 11.160791471871761 60.131127316274004, 11.161501183651623 60.13165884863024, 11.161614760434682 60.13174603279893, 11.162092556846797 60.13210880805231, 11.162229008101875 60.132196736329455)"/>
    <s v="[1540336, 1540344, 1540352, 1540360, 1540368]"/>
    <s v="[1391784, 1391792, 1391800, 1391807, 1391813]"/>
    <s v="0.01065171285973405"/>
    <s v="[1391779, 1391784, 1391792, 1391800, 1391807]"/>
    <s v="[0.027, 0.019, 0.024, 0.055, 0.059]"/>
    <s v="164.45652656085664"/>
    <s v="[-0.027, -0.019, 0.024, 0.055, 0.059]"/>
  </r>
  <r>
    <x v="4584"/>
    <x v="5088"/>
    <x v="0"/>
    <n v="0"/>
    <s v="LINESTRING (11.160578828119586 60.13097214605017, 11.160626129693823 60.130952843964735, 11.162734390378215 60.13002611314593, 11.162999225153893 60.12976950420479, 11.163654694360735 60.12901941797917, 11.163772683004595 60.128939015937355)"/>
    <s v="[1551999, 1500092, 1500099, 1500100, 1552007]"/>
    <s v="[1357315, 1357316, 1357318, 1357319, 1400950]"/>
    <s v="#FIELD!"/>
    <s v="[1391779, 1357315, 1357316, 1357318, 1357319]"/>
    <s v="[0.151, 0.016, 0.015, 0.009, 0.006]"/>
    <s v="295.4892166933292"/>
    <s v="[0.151, -0.016, 0.015, 0.009, 0.006]"/>
  </r>
  <r>
    <x v="4584"/>
    <x v="5089"/>
    <x v="0"/>
    <n v="0"/>
    <m/>
    <n v="1551991"/>
    <n v="1391779"/>
    <s v="0.054"/>
    <n v="1393239"/>
    <s v="0.054"/>
    <s v="9.135097153651895"/>
    <s v="0.054"/>
  </r>
  <r>
    <x v="4585"/>
    <x v="4773"/>
    <x v="453"/>
    <s v="[1, 1, 1, 1, 0, 0, 0, 0, 1, 0, 1, 0, 0, 0, 0, 0, 0, 0]"/>
    <s v="LINESTRING (10.519996955724658 59.885446933026, 10.519872229662386 59.88536471434476, 10.519845868277372 59.88534696331914, 10.519834395619528 59.885339288109435, 10.518125390060584 59.88417269724107, 10.517870077927205 59.883999314745125, 10.511118946384755 59.8800364289714, 10.511105331015681 59.88003060430448, 10.508005408825568 59.87888928950377, 10.507613939809822 59.87875450902701, 10.50607202681381 59.878144248173825, 10.505535264712181 59.87786653131914, 10.5054396431256 59.8778133599151, 10.505155119193619 59.8776488530967, 10.505053672205504 59.877587838052094, 10.504402057023494 59.87711361891589, 10.504325739552497 59.877049622256024, 10.503844371989455 59.87661300219665, 10.503453342696687 59.876197635511446)"/>
    <s v="[1543188, 1543196, 1543204, 1543212, 1543220, 1543228, 1543236, 1543244, 1543252, 1543260, 1543268, 1543276, 1543284, 1543292, 1543300, 1543308, 1543316, 1543324]"/>
    <s v="[1394071, 1394081, 1394084, 1394095, 1394101, 1394106, 1394113, 1394119, 1394126, 1394132, 1394138, 1394147, 1394157, 1394165, 1394175, 1394182, 1394191, 1391796]"/>
    <s v="#FIELD!"/>
    <s v="[1394062, 1394071, 1394081, 1394084, 1394095, 1394101, 1394106, 1394113, 1394119, 1394126, 1394132, 1394138, 1394147, 1394157, 1394165, 1394175, 1394182, 1394191]"/>
    <s v="[0.005, 0.004, 0.009, 0.028, 0.056, 0.012, 0.072, 0.042, 0.099, 0.045, 0.001, 0.042, 0.052, 0.07, 0.005, 0.001, 0.007, 0.007]"/>
    <s v="1400.2869112570274"/>
    <s v="[0.005, 0.004, 0.009, 0.028, 0.056, 0.012, -0.072, -0.042, -0.099, -0.045, -0.001, 0.042, 0.052, 0.07, 0.005, 0.001, -0.007, 0.007]"/>
  </r>
  <r>
    <x v="4586"/>
    <x v="5045"/>
    <x v="0"/>
    <s v="[0, 0, 0, 0, 0, 1, 1, 0, 0]"/>
    <s v="LINESTRING (10.483437039277439 59.85851964424224, 10.482932295055749 59.85793122328554, 10.482903482181495 59.85789377415619, 10.482897132706137 59.857885497928365, 10.48091951495246 59.856202946488914, 10.48089060465109 59.85618018861164, 10.480506826824412 59.85587309050626, 10.48047773913382 59.85585032642519, 10.479550477573286 59.8548999478185, 10.479512467810217 59.854849446891286)"/>
    <s v="[1553463, 1553471, 1553479, 1553487, 1553495, 1553503, 1553511, 1553519, 1553527]"/>
    <s v="[1402134, 1402139, 1402148, 1402156, 1402163, 1402170, 1402176, 1402183, 1391824]"/>
    <s v="#FIELD!"/>
    <s v="[1391803, 1402134, 1402139, 1402148, 1402156, 1402163, 1402170, 1402176, 1402183]"/>
    <s v="[0.033, 0.051, 0.0, 0.037, 0.044, 0.008, 0.029, 0.03, 0.013]"/>
    <s v="465.7037715802505"/>
    <s v="[-0.033, -0.051, 0.0, -0.037, -0.044, -0.008, 0.029, 0.03, 0.013]"/>
  </r>
  <r>
    <x v="4587"/>
    <x v="5059"/>
    <x v="0"/>
    <n v="0"/>
    <m/>
    <n v="1551983"/>
    <n v="1393271"/>
    <s v="0.002"/>
    <n v="1391813"/>
    <s v="0.002"/>
    <s v="8.778382539192277"/>
    <s v="0.002"/>
  </r>
  <r>
    <x v="4588"/>
    <x v="3398"/>
    <x v="0"/>
    <s v="[0, 0, 0, 0, 0, 0, 0, 0, 0, 0, 1, 1, 0, 0, 0]"/>
    <s v="LINESTRING (10.484144730529165 59.85916501104876, 10.484095411412822 59.85908815946551, 10.483969307721456 59.858899319991025, 10.48396378219223 59.858890766359984, 10.483851252540092 59.85872008296662, 10.48367866757182 59.85848039869366, 10.483177544160219 59.857882273454614, 10.48314221660872 59.857845266027375, 10.483134404912445 59.85783709245254, 10.481108662130639 59.85611483941887, 10.481063456906389 59.85607911054355, 10.481026520171016 59.85605095053707, 10.480644567511908 59.855740947771054, 10.479751920618526 59.85481289520294, 10.479713279106855 59.85475967460456, 10.479075340119932 59.853001564958454)"/>
    <s v="[1543492, 1543500, 1543508, 1543516, 1543524, 1543532, 1543540, 1543548, 1543556, 1543564, 1543572, 1543580, 1543588, 1543596, 1543604]"/>
    <s v="[1394344, 1394352, 1394359, 1394368, 1394375, 1394382, 1394387, 1394394, 1394402, 1394410, 1394417, 1394424, 1394431, 1394438, 1391833]"/>
    <s v="#FIELD!"/>
    <s v="[1391817, 1394344, 1394352, 1394359, 1394368, 1394375, 1394382, 1394387, 1394394, 1394402, 1394410, 1394417, 1394424, 1394431, 1394438]"/>
    <s v="[0.02, 0.001, 0.012, 0.015, 0.02, 0.015, 0.071, 0.104, 0.035, 0.011, 0.02, 0.001, 0.017, 0.01, 0.004]"/>
    <s v="752.3300575766679"/>
    <s v="[0.02, -0.001, -0.012, -0.015, -0.02, -0.015, -0.071, -0.104, -0.035, -0.011, -0.02, -0.001, 0.017, -0.01, -0.004]"/>
  </r>
  <r>
    <x v="4589"/>
    <x v="4716"/>
    <x v="0"/>
    <n v="0"/>
    <s v="LINESTRING (10.479512467810217 59.854849446891286, 10.479446259296054 59.85475584221654, 10.478825549283265 59.85301128305214, 10.471951089673025 59.84663187574245, 10.471937323185792 59.84662625717008, 10.471743398207103 59.84654599998585, 10.462452256734535 59.84283987955209, 10.461260205200336 59.84238141348018, 10.458709029340577 59.8415056275038, 10.45121787382358 59.8384303091925, 10.451206301379234 59.83842346018003, 10.449738189789276 59.837678610850524)"/>
    <s v="[1553535, 1553543, 1553551, 1553559, 1553567, 1553575, 1553583, 1553591, 1553599, 1553607, 1553615]"/>
    <s v="[1402195, 1402200, 1402205, 1402212, 1402218, 1402223, 1402228, 1402233, 1402240, 1402247, 1391852]"/>
    <s v="0.02351365595537211"/>
    <s v="[1391824, 1402195, 1402200, 1402205, 1402212, 1402218, 1402223, 1402228, 1402233, 1402240, 1402247]"/>
    <s v="[0.007, 0.026, 0.026, 0.068, 0.116, 0.042, 0.004, 0.017, 0.01, 0.079, 0.062]"/>
    <s v="2670.764354292237"/>
    <s v="[-0.007, -0.026, 0.026, 0.068, 0.116, 0.042, 0.004, 0.017, 0.01, 0.079, 0.062]"/>
  </r>
  <r>
    <x v="4590"/>
    <x v="1994"/>
    <x v="0"/>
    <s v="[0, 0, 0, 0, 0, 0, 0, 0, 0, 0, 1, 0, 0]"/>
    <s v="LINESTRING (10.449738189789276 59.837678610850524, 10.447027450310568 59.83656843057686, 10.445633051080645 59.83598408482619, 10.445276016626881 59.83581351075435, 10.444610208415574 59.835483017377555, 10.439305093011757 59.832987443931245, 10.439290268968028 59.83298245048881, 10.436649910062998 59.83225455313842, 10.436633807006034 59.83225068412395, 10.4361584692146 59.832147787972175, 10.434278644300605 59.831824351888855, 10.429371602771552 59.83166271197112, 10.429284234181003 59.831667946399726, 10.428385272225484 59.831741712275445)"/>
    <s v="[1553623, 1553631, 1553639, 1553647, 1553655, 1553663, 1553671, 1553679, 1553687, 1553695, 1553703, 1553711, 1553719]"/>
    <s v="[1402260, 1402266, 1402272, 1402278, 1402285, 1402290, 1402296, 1402302, 1402309, 1402314, 1402322, 1402327, 1391875]"/>
    <s v="0.020452817973666246"/>
    <s v="[1391852, 1402260, 1402266, 1402272, 1402278, 1402285, 1402290, 1402296, 1402302, 1402309, 1402314, 1402322, 1402327]"/>
    <s v="[0.026, 0.018, 0.001, 0.054, 0.038, 0.095, 0.001, 0.022, 0.001, 0.037, 0.007, 0.113, 0.109]"/>
    <s v="1431.9239403319689"/>
    <s v="[0.026, 0.018, 0.001, 0.054, 0.038, -0.095, 0.001, -0.022, -0.001, -0.037, 0.007, 0.113, 0.109]"/>
  </r>
  <r>
    <x v="4591"/>
    <x v="276"/>
    <x v="0"/>
    <s v="[0, 0, 0, 0, 1, 1, 0, 0, 0, 0, 0, 0]"/>
    <s v="LINESTRING (10.428385272225484 59.831741712275445, 10.428315340165785 59.831750071081544, 10.426296309410299 59.83199187453054, 10.4237840879882 59.83230550633761, 10.4202797524719 59.83246669096982, 10.420140991943555 59.83246104413348, 10.419496709571066 59.83243129661845, 10.419372575368211 59.83242193187853, 10.418545449453353 59.83234596184034, 10.41624968866348 59.83196908436583, 10.413883517707504 59.83133590304884, 10.407541669293 59.829223220437974, 10.406537410744773 59.828878143863484)"/>
    <s v="[1553727, 1553735, 1553743, 1553751, 1553759, 1553767, 1553775, 1553783, 1553791, 1553799, 1553807, 1553815]"/>
    <s v="[1402338, 1402344, 1402351, 1402358, 1402367, 1402372, 1402380, 1402386, 1402393, 1402401, 1402407, 1391901]"/>
    <s v="0.03882291147771102"/>
    <s v="[1391875, 1402338, 1402344, 1402351, 1402358, 1402367, 1402372, 1402380, 1402386, 1402393, 1402401, 1402407]"/>
    <s v="[0.221, 0.05, 0.022, 0.031, 0.014, 0.035, 0.058, 0.06, 0.036, 0.084, 0.034, 0.018]"/>
    <s v="1343.2130796135552"/>
    <s v="[-0.221, 0.05, 0.022, 0.031, 0.014, 0.035, 0.058, 0.06, 0.036, 0.084, 0.034, 0.018]"/>
  </r>
  <r>
    <x v="4592"/>
    <x v="294"/>
    <x v="0"/>
    <n v="0"/>
    <s v="LINESTRING (10.41407386017122 59.831253689366996, 10.413999309120793 59.83122941181904, 10.411582396368958 59.83043099812209, 10.40774078314589 59.82912666257951)"/>
    <s v="[1543908, 1543916, 1543924]"/>
    <s v="[1394717, 1394724, 1391887]"/>
    <s v="0.03750307178219983"/>
    <s v="[1391882, 1394717, 1394724]"/>
    <s v="[0.39, 0.029, 0.051]"/>
    <s v="427.19667099964244"/>
    <s v="[-0.39, 0.029, 0.051]"/>
  </r>
  <r>
    <x v="4593"/>
    <x v="276"/>
    <x v="0"/>
    <n v="0"/>
    <s v="LINESTRING (10.420657831114351 59.832925510211666, 10.420657831114351 59.832925510211666, 10.419666224712689 59.83278346605311, 10.418542470485052 59.832601280423184, 10.41348288758077 59.83127057067752, 10.406617666235666 59.828928203814144, 10.406537410744773 59.828878143863484)"/>
    <s v="[1540476, 1494880, 1494888, 1494896, 1494904, 1540484]"/>
    <s v="[1353249, 1353250, 1353256, 1353266, 1353275, 1391901]"/>
    <s v="0.045577696700924694"/>
    <s v="[1365373, 1353249, 1353250, 1353256, 1353266, 1353275]"/>
    <s v="[0.871, 0.007, 0.028, 0.069, 0.02, 0.097]"/>
    <s v="933.0137663482103"/>
    <s v="[0.871, -0.007, -0.028, 0.069, 0.02, 0.097]"/>
  </r>
  <r>
    <x v="4594"/>
    <x v="5089"/>
    <x v="0"/>
    <n v="0"/>
    <m/>
    <n v="1542200"/>
    <n v="1393239"/>
    <s v="0.0"/>
    <n v="1393234"/>
    <s v="0.0"/>
    <s v="2.9144639300009443"/>
    <s v="0.0"/>
  </r>
  <r>
    <x v="4595"/>
    <x v="5059"/>
    <x v="0"/>
    <n v="1"/>
    <s v="LINESTRING (11.160450330608391 60.13102325004243, 11.16065246081975 60.1311539251519, 11.161366168460281 60.13169799742357, 11.161483388840924 60.131786231336676, 11.161975675712455 60.13215346377257, 11.162106105144376 60.13224620646191)"/>
    <s v="[1542208, 1542216, 1542224, 1542232, 1542240]"/>
    <s v="[1393245, 1393252, 1393258, 1393262, 1393271]"/>
    <s v="0.013638637497809324"/>
    <s v="[1393239, 1393245, 1393252, 1393258, 1393262]"/>
    <s v="[0.011, 0.02, 0.019, 0.052, 0.088]"/>
    <s v="164.49348865191104"/>
    <s v="[-0.011, -0.02, 0.019, 0.052, 0.088]"/>
  </r>
  <r>
    <x v="4595"/>
    <x v="5031"/>
    <x v="0"/>
    <n v="0"/>
    <s v="LINESTRING (11.158214281806844 60.13406231037437, 11.158202438768967 60.13396184381533, 11.16028832550137 60.13114330857966, 11.160334527653557 60.13108910530743, 11.160450330608391 60.13102325004243)"/>
    <s v="[1552031, 1500110, 1500113, 1552039]"/>
    <s v="[1357326, 1357327, 1357328, 1393239]"/>
    <s v="0.01696348191755476"/>
    <s v="[1400965, 1357326, 1357327, 1357328]"/>
    <s v="[0.016, 0.02, 0.012, 0.084]"/>
    <s v="366.3990942269674"/>
    <s v="[0.016, 0.02, 0.012, -0.084]"/>
  </r>
  <r>
    <x v="4596"/>
    <x v="2349"/>
    <x v="454"/>
    <s v="[0, 1, 0, 1, 0, 0, 0, 0, 0, 0, 0, 0, 0, 0, 0, 0, 0, 0, 0, 0, 0, 0, 1, 0, 0, 0, 0, 0]"/>
    <s v="LINESTRING (10.77765173467058 59.7577579061423, 10.777072330749437 59.758050983012, 10.776300459216177 59.75853298126789, 10.775505335390802 59.75926147033157, 10.775024153009825 59.759943191362844, 10.774862368810238 59.760324848299625, 10.774753216886952 59.76083722106567, 10.774752074808685 59.7608462478817, 10.772947462184826 59.770275854072885, 10.761131474021074 59.78765170623613, 10.761129957373166 59.787660693946414, 10.761025167575474 59.78829064235722, 10.760800703884533 59.789650846706806, 10.760370713299451 59.79212929687945, 10.760336352213802 59.792373508480395, 10.760147803362536 59.79355891315742, 10.760084472604074 59.79392487235006, 10.75995834516198 59.79464890422835, 10.759957028953771 59.79465785344775, 10.759815986856736 59.79550334938982, 10.759814510639755 59.795512293442066, 10.768215846504564 59.80841750588877, 10.772675491159157 59.81108813749805, 10.773541316312818 59.81209131185857, 10.774951647276962 59.819442300590545, 10.775209564400793 59.82059722359315, 10.775211089674015 59.820602937358416, 10.775568827765268 59.821898640638054, 10.77562255159313 59.822052326255104)"/>
    <s v="[1840757, 1840765, 1840773, 1840781, 1840789, 1840501, 1840509, 1840517, 1840525, 1840533, 1840541, 1840549, 1840557, 1840565, 1840573, 1840581, 1840589, 1840597, 1840605, 1840613, 1840621, 1840629, 1840637, 1840645, 1840653, 1840661, 1840669, 1840677]"/>
    <s v="[1613345, 1613352, 1613358, 1613365, 1613159, 1613160, 1613164, 1613170, 1613175, 1613179, 1613185, 1613191, 1613122, 1613200, 1613207, 1613211, 1613217, 1613222, 1613228, 1613235, 1613242, 1613246, 1613252, 1613256, 1613261, 1613268, 1613274, 1393358]"/>
    <s v="#FIELD!"/>
    <s v="[1613340, 1613345, 1613352, 1613358, 1613365, 1613159, 1613160, 1613164, 1613170, 1613175, 1613179, 1613185, 1613191, 1613122, 1613200, 1613207, 1613211, 1613217, 1613222, 1613228, 1613235, 1613242, 1613246, 1613252, 1613256, 1613261, 1613268, 1613274]"/>
    <s v="[0.024, 0.026, 0.034, 0.041, 0.005, 0.054, 0.046, 0.024, 0.001, 0.033, 0.036, 0.034, 0.031, 0.028, 0.009, 0.019, 0.019, 0.024, 0.018, 0.002, 0.023, 0.033, 0.028, 0.008, 0.025, 0.0, 0.022, 0.337]"/>
    <s v="7606.580170625222"/>
    <s v="[-0.024, -0.026, -0.034, -0.041, 0.005, 0.054, 0.046, 0.024, 0.001, 0.033, 0.036, 0.034, 0.031, 0.028, 0.009, -0.019, -0.019, -0.024, -0.018, -0.002, -0.023, -0.033, 0.028, -0.008, -0.025, 0.0, 0.022, 0.337]"/>
  </r>
  <r>
    <x v="4597"/>
    <x v="5090"/>
    <x v="455"/>
    <n v="0"/>
    <s v="LINESTRING (10.63377557626797 59.91207499129806, 10.633704991731593 59.912048010392546, 10.633173779797591 59.91184460249559, 10.633115326035568 59.911825325587216, 10.633107825814083 59.911822855596704, 10.633082821104413 59.911814607172566, 10.632312904032153 59.91152193845886, 10.63204849664398 59.91141812239127, 10.631845501188142 59.91133668494098, 10.63117380343066 59.91106836528356, 10.631039305089049 59.911014801749836, 10.630321830317444 59.9107262445196, 10.6294014316212 59.91035792555635)"/>
    <s v="[1542492, 1542500, 1542508, 1542524, 1542532, 1542540, 1542548, 1542556, 1542564, 1542572, 1542580, 1542588]"/>
    <s v="[1393489, 1393496, 1393504, 1393516, 1393525, 1393532, 1393539, 1393549, 1393555, 1393561, 1393566, 1393573]"/>
    <s v="#FIELD!"/>
    <s v="[1393480, 1393489, 1393496, 1393504, 1393516, 1393525, 1393532, 1393539, 1393549, 1393555, 1393561, 1393566]"/>
    <s v="[0.004, 0.022, 0.006, 0.114, 0.026, 0.043, 0.066, 0.064, 0.013, 0.04, 0.026, 0.029]"/>
    <s v="310.76868785943566"/>
    <s v="[-0.004, -0.022, -0.006, -0.114, -0.026, -0.043, -0.066, -0.064, -0.013, 0.04, 0.026, 0.029]"/>
  </r>
  <r>
    <x v="4598"/>
    <x v="1420"/>
    <x v="0"/>
    <s v="[0, 0, 0, 0, 1, 1, 1, 0]"/>
    <s v="LINESTRING (10.6294014316212 59.91035792555635, 10.629360113964667 59.91034126624556, 10.628621752577484 59.910053938775796, 10.628607543512068 59.910048574914796, 10.627842765630414 59.90978531027867, 10.627739194531424 59.909752724823996, 10.627724012982334 59.90974794902909, 10.627025796253454 59.90955241860328, 10.62454111606795 59.90893657814388)"/>
    <s v="[1542596, 1542604, 1542612, 1542620, 1542628, 1542636, 1542644, 1542652]"/>
    <s v="[1393581, 1393584, 1393590, 1393597, 1393601, 1393608, 1393614, 1393621]"/>
    <s v="0.0020563092044310356"/>
    <s v="[1393573, 1393581, 1393584, 1393590, 1393597, 1393601, 1393608, 1393614]"/>
    <s v="[0.025, 0.013, 0.027, 0.031, 0.048, 0.0, 0.033, 0.007]"/>
    <s v="315.80888532237117"/>
    <s v="[0.025, -0.013, -0.027, -0.031, 0.048, 0.0, 0.033, 0.007]"/>
  </r>
  <r>
    <x v="4598"/>
    <x v="4974"/>
    <x v="0"/>
    <s v="[0, 0, 0, 1, 0, 0]"/>
    <s v="LINESTRING (10.628007653333151 59.90862321172362, 10.628007653333151 59.90862321172362, 10.62803887332173 59.908658060452, 10.627985804691313 59.90929206188231, 10.628113467251973 59.90954629248571, 10.629312234640935 59.91030100871314, 10.6294014316212 59.91035792555635)"/>
    <s v="[1553975, 1553983, 1504364, 1504365, 1504400, 1553991]"/>
    <s v="[1402542, 1360395, 1360396, 1360397, 1360427, 1393573]"/>
    <s v="#FIELD!"/>
    <s v="[1365968, 1402542, 1360395, 1360396, 1360397, 1360427]"/>
    <s v="[0.0, 0.137, 0.106, 0.012, 0.002, 0.294]"/>
    <s v="223.42703758366935"/>
    <s v="[0.0, -0.137, -0.106, -0.012, -0.002, 0.294]"/>
  </r>
  <r>
    <x v="4599"/>
    <x v="4995"/>
    <x v="0"/>
    <n v="0"/>
    <s v="LINESTRING (10.576043521002006 59.89910651323829, 10.575981780835653 59.89908865491029, 10.573645360487776 59.89840445213464)"/>
    <s v="[1542796, 1542804]"/>
    <s v="[1393740, 1393746]"/>
    <s v="#FIELD!"/>
    <s v="[1393732, 1393740]"/>
    <s v="[0.021, 0.027]"/>
    <s v="155.54302766166634"/>
    <s v="[-0.021, -0.027]"/>
  </r>
  <r>
    <x v="4600"/>
    <x v="4949"/>
    <x v="456"/>
    <s v="[0, 0, 0, 1, 1, 0, 0, 0, 1, 0, 0, 0, 0, 0, 0, 0]"/>
    <s v="LINESTRING (10.573645360487776 59.89840445213464, 10.573547146705831 59.89838253274939, 10.572029590192155 59.898097833483526, 10.570712303996789 59.897928941169475, 10.57060634098276 59.89791683052853, 10.570308647627852 59.89788207735367, 10.570187646494212 59.89786730176464, 10.56416046606838 59.896717007685425, 10.56053474070477 59.89606520732283, 10.560214763887114 59.8960085455135, 10.559960739474624 59.895961168220005, 10.559926501866318 59.89595512057532, 10.55971411278747 59.8959176372478, 10.55780581930299 59.89557692644136, 10.557739583206205 59.89556536422975, 10.557163767772526 59.89546483940692, 10.551536222499625 59.894600251034014)"/>
    <s v="[1542812, 1542820, 1542828, 1542836, 1542844, 1542852, 1542860, 1542868, 1542876, 1542884, 1542892, 1542900, 1542908, 1542916, 1542924, 1542932]"/>
    <s v="[1393752, 1393758, 1393763, 1393770, 1393776, 1393784, 1393791, 1393801, 1393807, 1393811, 1393819, 1393827, 1393835, 1393840, 1393846, 1393854]"/>
    <s v="#FIELD!"/>
    <s v="[1393746, 1393752, 1393758, 1393763, 1393770, 1393776, 1393784, 1393791, 1393801, 1393807, 1393811, 1393819, 1393827, 1393835, 1393840, 1393846]"/>
    <s v="[0.024, 0.02, 0.009, 0.024, 0.024, 0.03, 0.014, 0.002, 0.016, 0.019, 0.027, 0.003, 0.007, 0.012, 0.019, 0.009]"/>
    <s v="1310.715298099455"/>
    <s v="[-0.024, -0.02, 0.009, -0.024, -0.024, -0.03, -0.014, 0.002, 0.016, 0.019, 0.027, -0.003, 0.007, -0.012, -0.019, -0.009]"/>
  </r>
  <r>
    <x v="4601"/>
    <x v="4950"/>
    <x v="0"/>
    <s v="[0, 0, 1, 1, 1, 0, 0]"/>
    <s v="LINESTRING (10.551536222499625 59.894600251034014, 10.550223831849227 59.894559462291994, 10.549699929810368 59.89454623635744, 10.549589100999858 59.894545184879775, 10.54907037023813 59.89452943349842, 10.548856573582043 59.894520760755896, 10.54694230972644 59.89427915657877, 10.546617944718832 59.89421171853831)"/>
    <s v="[1542940, 1542948, 1542956, 1542964, 1542972, 1542980, 1542988]"/>
    <s v="[1393860, 1393869, 1393876, 1393883, 1393890, 1393895, 1393902]"/>
    <s v="0.007924744407351175"/>
    <s v="[1393854, 1393860, 1393869, 1393876, 1393883, 1393890, 1393895]"/>
    <s v="[0.009, 0.01, 0.004, 0.0, 0.009, 0.023, 0.028]"/>
    <s v="280.74645040437866"/>
    <s v="[-0.009, -0.01, -0.004, 0.0, 0.009, 0.023, 0.028]"/>
  </r>
  <r>
    <x v="4602"/>
    <x v="4917"/>
    <x v="0"/>
    <s v="[0, 0, 0, 0, 0, 0, 0, 0, 0, 0, 0, 1, 0, 0, 0]"/>
    <s v="LINESTRING (11.068103057884926 60.019812724550995, 11.068508450882602 60.02042301576853, 11.068595300966615 60.02053543248068, 11.069117559237194 60.021159065315935, 11.069638765724234 60.02161058991148, 11.069648051853706 60.021618292124884, 11.073653698661904 60.02379282664483, 11.0736681728752 60.02379814779101, 11.092943748734971 60.02780440891548, 11.093070490857631 60.02785436833364, 11.096476382671165 60.029634808251686, 11.096518195837357 60.029664092834565, 11.098372721918262 60.0312680518998, 11.098417383099614 60.031320415579934, 11.099158735265835 60.03214771432574, 11.099252309955292 60.0322377697219)"/>
    <s v="[1559439, 1559447, 1559455, 1559463, 1559471, 1559479, 1559487, 1559495, 1559503, 1559511, 1559519, 1559527, 1559535, 1559543, 1559551]"/>
    <s v="[1406730, 1406736, 1406742, 1406748, 1406754, 1406760, 1406768, 1406773, 1406780, 1406788, 1406795, 1406802, 1406808, 1406814, 1400875]"/>
    <s v="#FIELD!"/>
    <s v="[1400855, 1406730, 1406736, 1406742, 1406748, 1406754, 1406760, 1406768, 1406773, 1406780, 1406788, 1406795, 1406802, 1406808, 1406814]"/>
    <s v="[0.004, 0.046, 0.019, 0.008, 0.022, 0.037, 0.019, 0.03, 0.006, 0.015, 0.092, 0.025, 0.094, 0.045, 0.009]"/>
    <s v="2336.8692908546323"/>
    <s v="[-0.004, -0.046, -0.019, 0.008, -0.022, -0.037, -0.019, -0.03, 0.006, -0.015, -0.092, -0.025, 0.094, 0.045, -0.009]"/>
  </r>
  <r>
    <x v="4602"/>
    <x v="5064"/>
    <x v="0"/>
    <s v="[0, 0, 0, 0, 0, 0, 1, 1, 0, 0]"/>
    <s v="LINESTRING (11.057777243603464 60.010202842962386, 11.06302425586903 60.01266436768533, 11.064714688442177 60.01387728443387, 11.065306278530528 60.01435341303286, 11.066811213574063 60.0160639919689, 11.067135311830544 60.01675762858476, 11.067185248078875 60.016884345774145, 11.067212924700272 60.016956640098456, 11.067260228300114 60.0170843575517, 11.068078932661761 60.01975734735862, 11.068103057884926 60.019812724550995)"/>
    <s v="[1559359, 1559367, 1559375, 1559383, 1559391, 1559399, 1559407, 1559415, 1559423, 1559431]"/>
    <s v="[1406681, 1406687, 1406693, 1406698, 1406703, 1406709, 1406713, 1406718, 1406721, 1400855]"/>
    <s v="#FIELD!"/>
    <s v="[1406676, 1406681, 1406687, 1406693, 1406698, 1406703, 1406709, 1406713, 1406718, 1406721]"/>
    <s v="[0.015, 0.016, 0.002, 0.005, 0.006, 0.003, 0.0, 0.016, 0.005, 0.031]"/>
    <s v="1263.4422593850963"/>
    <s v="[-0.015, 0.016, -0.002, -0.005, -0.006, -0.003, -0.0, 0.016, -0.005, 0.031]"/>
  </r>
  <r>
    <x v="4603"/>
    <x v="4926"/>
    <x v="0"/>
    <s v="[0, 0, 0, 0, 0, 0, 0, 0, 1, 0, 0, 0, 0, 0, 1, 1, 0, 0, 0, 0, 0, 0, 0, 0, 0, 0, 0]"/>
    <s v="LINESTRING (11.104154742516561 60.03610257695234, 11.104271809263006 60.03615788451699, 11.104284812606911 60.03616403067369, 11.108084844745553 60.037743366271926, 11.108149816262253 60.03777087541154, 11.10821657478628 60.037796792106576, 11.11239601253818 60.03943025067039, 11.13154505903164 60.04695816008678, 11.131715003991008 60.047028762888225, 11.135687282683408 60.04902320636263, 11.13719968230513 60.049972000751794, 11.137238930708978 60.04999406748905, 11.14708577284397 60.05813967539651, 11.15111804563788 60.061598827694915, 11.151187413083278 60.061664116517264, 11.151303674069647 60.06177462205106, 11.151392704438795 60.06185989182384, 11.153960546055572 60.06997961851511, 11.153958059081827 60.06998845454196, 11.15228482965036 60.07453510748796, 11.152217127776526 60.07471114260801, 11.152211430568455 60.074724667441096, 11.152207373316728 60.07473431169639, 11.152199259850896 60.07475359124764, 11.151729780110854 60.07599405596167, 11.151457083428415 60.07671413256617, 11.150926035566789 60.07810072153856, 11.150905781095796 60.07814385563061)"/>
    <s v="[1559599, 1559607, 1559615, 1559623, 1559631, 1559639, 1559647, 1559655, 1559663, 1559671, 1559679, 1559687, 1559695, 1559703, 1559711, 1559719, 1559727, 1559735, 1559743, 1559751, 1559759, 1559767, 1559775, 1559783, 1559791, 1559799, 1559807]"/>
    <s v="[1406859, 1406867, 1406875, 1406881, 1406885, 1406889, 1406894, 1406901, 1406907, 1406911, 1406919, 1406926, 1406932, 1406940, 1406946, 1406954, 1406960, 1406965, 1406971, 1406978, 1406983, 1406988, 779951, 1406998, 1407003, 1407008, 1400900]"/>
    <s v="0.0056831544732274504"/>
    <s v="[1400869, 1406859, 1406867, 1406875, 1406881, 1406885, 1406889, 1406894, 1406901, 1406907, 1406911, 1406919, 1406926, 1406932, 1406940, 1406946, 1406954, 1406960, 1406965, 1406971, 1406978, 1406983, 1406988, 779951, 1406998, 1407003, 1407008]"/>
    <s v="[0.067, 0.012, 0.028, 0.012, 0.015, 0.04, 0.007, 0.028, 0.01, 0.022, 0.013, 0.003, 0.004, 0.045, 0.031, 0.014, 0.006, 0.012, 0.003, 0.0, 0.001, 0.003, 0.003, 0.009, 0.01, 0.01, 0.006]"/>
    <s v="5809.436112680553"/>
    <s v="[0.067, -0.012, 0.028, 0.012, 0.015, 0.04, 0.007, -0.028, 0.01, 0.022, -0.013, -0.003, -0.004, -0.045, -0.031, -0.014, 0.006, 0.012, 0.003, 0.0, -0.001, -0.003, -0.003, -0.009, -0.01, -0.01, -0.006]"/>
  </r>
  <r>
    <x v="4603"/>
    <x v="4917"/>
    <x v="0"/>
    <s v="[0, 1, 1, 0, 0]"/>
    <s v="LINESTRING (11.099252309955292 60.0322377697219, 11.102800745904247 60.03537052801886, 11.10308494145379 60.035538629206954, 11.103145308808692 60.03557463510484, 11.10404647126443 60.03605374972472, 11.104154742516561 60.03610257695234)"/>
    <s v="[1559559, 1559567, 1559575, 1559583, 1559591]"/>
    <s v="[1406824, 1406831, 1406838, 1406845, 1400869]"/>
    <s v="0.022882337209975182"/>
    <s v="[1400875, 1406824, 1406831, 1406838, 1406845]"/>
    <s v="[0.015, 0.095, 0.059, 0.043, 0.067]"/>
    <s v="513.8639956084189"/>
    <s v="[0.015, 0.095, -0.059, 0.043, 0.067]"/>
  </r>
  <r>
    <x v="4604"/>
    <x v="4927"/>
    <x v="0"/>
    <n v="0"/>
    <s v="LINESTRING (11.150905781095796 60.07814385563061, 11.150053304297664 60.080366318984446, 11.150050130861016 60.080375161929226, 11.149355665879408 60.08221974764408, 11.148702940507286 60.0839412157391, 11.148672658491455 60.084004975545795)"/>
    <s v="[1559815, 1559823, 1559831, 1559839, 1559847]"/>
    <s v="[1407019, 1407027, 1407032, 1407039, 1400906]"/>
    <s v="#FIELD!"/>
    <s v="[1400900, 1407019, 1407027, 1407032, 1407039]"/>
    <s v="[0.004, 0.019, 0.007, 0.0, 0.001]"/>
    <s v="664.8503010303067"/>
    <s v="[-0.004, -0.019, -0.007, 0.0, 0.001]"/>
  </r>
  <r>
    <x v="4605"/>
    <x v="5088"/>
    <x v="0"/>
    <s v="[0, 0, 0, 1, 1, 0, 1, 1, 0, 0, 0, 0, 0, 0]"/>
    <s v="LINESTRING (11.148672658491455 60.084004975545795, 11.148058016502507 60.08563179692952, 11.147058467840754 60.08824333434234, 11.14704222486285 60.08828468824089, 11.147002375286565 60.08839760133877, 11.146991041250857 60.08842959661317, 11.145954489888409 60.09113472549795, 11.145842834114495 60.09142623044367, 11.145834688854551 60.09145125301169, 11.147959508608539 60.11030420676144, 11.148399234938601 60.11066298334682, 11.148408887925731 60.110670527985654, 11.163941029753243 60.12208495682784, 11.164857121139196 60.126592670265666, 11.163772683004595 60.128939015937355)"/>
    <s v="[1559855, 1559863, 1559871, 1559879, 1559887, 1559895, 1559903, 1559911, 1559919, 1559927, 1559935, 1559943, 1559951, 1559959]"/>
    <s v="[1407055, 1407061, 1407066, 1407074, 1407082, 1407087, 1407092, 1407100, 1407105, 1407112, 1407118, 1407123, 1407130, 1400950]"/>
    <s v="0.0044468799258905334"/>
    <s v="[1400906, 1407055, 1407061, 1407066, 1407074, 1407082, 1407087, 1407092, 1407100, 1407105, 1407112, 1407118, 1407123, 1407130]"/>
    <s v="[0.003, 0.008, 0.011, 0.005, 0.027, 0.016, 0.003, 0.015, 0.0, 0.01, 0.005, 0.011, 0.002, 0.009]"/>
    <s v="5379.486303318451"/>
    <s v="[0.003, 0.008, -0.011, 0.005, 0.027, 0.016, -0.003, 0.015, 0.0, 0.01, -0.005, 0.011, 0.002, -0.009]"/>
  </r>
  <r>
    <x v="4606"/>
    <x v="5031"/>
    <x v="0"/>
    <n v="0"/>
    <s v="LINESTRING (11.163772683004595 60.128939015937355, 11.162822905406733 60.130078320094384, 11.162660173589744 60.13023965683907, 11.162392829413795 60.1304943945469, 11.16238444276747 60.13050234039532, 11.160894731473679 60.13178472317677, 11.160885314823474 60.13179237835448, 11.158214281806844 60.13406231037437)"/>
    <s v="[1559967, 1559975, 1559983, 1559991, 1559999, 1560007, 1560015]"/>
    <s v="[1407143, 1407147, 1407151, 1407158, 1407164, 1407171, 1400965]"/>
    <s v="#FIELD!"/>
    <s v="[1400950, 1407143, 1407147, 1407151, 1407158, 1407164, 1407171]"/>
    <s v="[0.007, 0.029, 0.032, 0.041, 0.002, 0.001, 0.011]"/>
    <s v="650.222793904921"/>
    <s v="[-0.007, -0.029, -0.032, -0.041, -0.002, 0.001, -0.011]"/>
  </r>
  <r>
    <x v="4607"/>
    <x v="5030"/>
    <x v="0"/>
    <n v="0"/>
    <s v="LINESTRING (11.156681437336616 60.16289040221383, 11.156810057464781 60.16302449979264, 11.157606582426512 60.16378064910291, 11.15793357973847 60.16409106714486, 11.158025819555567 60.16417862152778, 11.161921479680956 60.168171662663156, 11.16197431394924 60.168229017913106)"/>
    <s v="[1560239, 1560247, 1560255, 1560263, 1560271, 1560279]"/>
    <s v="[1407356, 1407362, 1407368, 1407374, 1407379, 1400977]"/>
    <s v="#FIELD!"/>
    <s v="[1407349, 1407356, 1407362, 1407368, 1407374, 1407379]"/>
    <s v="[0.005, 0.01, 0.009, 0.007, 0.008, 0.81]"/>
    <s v="663.7099410147456"/>
    <s v="[-0.005, -0.01, -0.009, -0.007, 0.008, -0.81]"/>
  </r>
  <r>
    <x v="4608"/>
    <x v="4974"/>
    <x v="0"/>
    <n v="0"/>
    <s v="LINESTRING (10.628007653333151 59.90862321172362, 10.62783434823828 59.90866115714613, 10.627294164469838 59.90938387947143, 10.6272914577229 59.90939273700033, 10.627264008183134 59.90949032799193, 10.627262029984305 59.90949922771343, 10.627571636539203 59.910357428883536, 10.627584593707036 59.910363596551385, 10.62785000481825 59.90991522157246, 10.627760825384742 59.909871792812986)"/>
    <s v="[1554023, 1504401, 1504408, 1504439, 1504455, 1504465, 1504473, 1504474, 1554031]"/>
    <s v="[1360428, 1360429, 1360433, 1360460, 1360475, 1360484, 1360492, 1360493, 1401426]"/>
    <s v="#FIELD!"/>
    <s v="[1365968, 1360428, 1360429, 1360433, 1360460, 1360475, 1360484, 1360492, 1360493]"/>
    <s v="[0.092, 0.081, 0.003, 0.0, 0.002, 0.025, 0.006, 0.012, 0.039]"/>
    <s v="333.17794802174586"/>
    <s v="[-0.092, -0.081, -0.003, 0.0, -0.002, -0.025, -0.006, 0.012, 0.039]"/>
  </r>
  <r>
    <x v="4609"/>
    <x v="5091"/>
    <x v="0"/>
    <n v="0"/>
    <s v="LINESTRING (10.575915842591074 59.89917485432226, 10.57355526357202 59.89851634832412, 10.5720527926654 59.89822586208538)"/>
    <s v="[1552807, 1552815]"/>
    <s v="[1401590, 1401597]"/>
    <s v="#FIELD!"/>
    <s v="[1401584, 1401590]"/>
    <s v="[0.028, 0.029]"/>
    <s v="241.4375297869065"/>
    <s v="[-0.028, -0.029]"/>
  </r>
  <r>
    <x v="4610"/>
    <x v="5092"/>
    <x v="457"/>
    <s v="[0, 1, 0, 0]"/>
    <s v="LINESTRING (10.5720527926654 59.89822586208538, 10.570620153934044 59.89804274483045, 10.570228970269532 59.897996300724856, 10.56417231212377 59.896849421670765, 10.564122021441069 59.89683999215348)"/>
    <s v="[1552823, 1552831, 1552839, 1552847]"/>
    <s v="[1401604, 1401609, 1401617, 1401624]"/>
    <s v="#FIELD!"/>
    <s v="[1401597, 1401604, 1401609, 1401617]"/>
    <s v="[0.007, 0.02, 0.012, 0.008]"/>
    <s v="471.26775491864464"/>
    <s v="[-0.007, -0.02, -0.012, 0.008]"/>
  </r>
  <r>
    <x v="4610"/>
    <x v="5092"/>
    <x v="0"/>
    <s v="[0, 0, 1, 0, 0, 0, 0, 0, 0, 0, 0]"/>
    <s v="LINESTRING (10.5720527926654 59.89822586208538, 10.571787751148786 59.89821334431472, 10.570464614628067 59.89808157271117, 10.570288087053294 59.898063039227345, 10.569838557267488 59.89803022290061, 10.569560107424628 59.89800525270193, 10.569294252329062 59.897972019036814, 10.569160025788529 59.897945016544845, 10.568360319155337 59.897815787888916, 10.56709779324544 59.89756808282816, 10.564303932962225 59.89693875174136, 10.564122021441069 59.89683999215348)"/>
    <s v="[1554191, 1504939, 1504940, 1504946, 1504951, 1504964, 1504965, 1504966, 1504973, 1504981, 1554199]"/>
    <s v="[1360905, 1360906, 1360907, 346547, 1360916, 1360928, 1203073, 1203091, 346596, 1360937, 1401624]"/>
    <s v="#FIELD!"/>
    <s v="[1401597, 1360905, 1360906, 1360907, 346547, 1360916, 1360928, 1203073, 1203091, 346596, 1360937]"/>
    <s v="[0.017, 0.012, 0.015, 0.008, 0.01, 0.001, 0.001, 0.006, 0.013, 0.013, 0.0]"/>
    <s v="475.08379838931603"/>
    <s v="[-0.017, -0.012, -0.015, -0.008, -0.01, 0.001, -0.001, -0.006, -0.013, -0.013, 0.0]"/>
  </r>
  <r>
    <x v="4611"/>
    <x v="4996"/>
    <x v="0"/>
    <s v="[0, 0, 1, 1, 0, 0, 0, 0, 0, 0, 0]"/>
    <s v="LINESTRING (10.564122021441069 59.89683999215348, 10.560544662666441 59.896194499474205, 10.560493637373433 59.89618522358956, 10.560200515095952 59.89613252557343, 10.560149311812758 59.89612324354387, 10.559910556022409 59.896081075734045, 10.559771610999713 59.89605653895905, 10.55969880671094 59.89604335319985, 10.557728206408925 59.89569135668698, 10.557155482742314 59.89558817547044, 10.551539012929517 59.89472372792177, 10.550256040523367 59.89468375454512)"/>
    <s v="[1552855, 1552863, 1552871, 1552879, 1552887, 1552895, 1552903, 1552911, 1552919, 1552935, 1552943]"/>
    <s v="[1401634, 1401641, 1401648, 1401653, 1401662, 1401669, 1401675, 1401681, 1401687, 1401700, 1401706]"/>
    <s v="#FIELD!"/>
    <s v="[1401624, 1401634, 1401641, 1401648, 1401653, 1401662, 1401669, 1401675, 1401681, 1401687, 1401700]"/>
    <s v="[0.001, 0.019, 0.027, 0.03, 0.027, 0.013, 0.014, 0.003, 0.01, 0.004, 0.012]"/>
    <s v="815.8858561916376"/>
    <s v="[0.001, 0.019, 0.027, 0.03, 0.027, -0.013, -0.014, 0.003, -0.01, -0.004, -0.012]"/>
  </r>
  <r>
    <x v="4612"/>
    <x v="4958"/>
    <x v="0"/>
    <s v="[0, 1, 1, 0, 0, 0, 0, 0]"/>
    <s v="LINESTRING (10.550256040523367 59.89468375454512, 10.549542244861982 59.89466564245536, 10.548854033433932 59.894634525073045, 10.54854615588073 59.89460586971332, 10.54680548060821 59.89436869862416, 10.546508988171812 59.89430749170701, 10.545027175612315 59.89394202540993, 10.544131616886615 59.8936787763919, 10.544081807436473 59.893664499080245)"/>
    <s v="[1552951, 1552959, 1552967, 1552975, 1552983, 1552991, 1552999, 1553007]"/>
    <s v="[1401709, 1401714, 1401719, 1401726, 1401734, 1401739, 1401746, 1401750]"/>
    <s v="0.016038983195671066"/>
    <s v="[1401706, 1401709, 1401714, 1401719, 1401726, 1401734, 1401739, 1401746]"/>
    <s v="[0.022, 0.008, 0.016, 0.025, 0.039, 0.007, 0.054, 0.057]"/>
    <s v="369.1800916577911"/>
    <s v="[-0.022, -0.008, 0.016, 0.025, 0.039, 0.007, 0.054, -0.057]"/>
  </r>
  <r>
    <x v="4613"/>
    <x v="5017"/>
    <x v="458"/>
    <s v="[0, 0, 0, 0, 0, 1, 1]"/>
    <s v="LINESTRING (10.544081807436473 59.893664499080245, 10.544033166140965 59.89365071995833, 10.54401695872425 59.89364612413087, 10.54398476511508 59.893636751111615, 10.543925078416695 59.89361872183796, 10.532010535799804 59.89118305830184, 10.526392581917973 59.88937714030787, 10.526311438248195 59.889341825646746)"/>
    <s v="[1553015, 1553023, 1553031, 1553039, 1553047, 1553055, 1553063]"/>
    <s v="[1401756, 1401761, 1401770, 1401775, 1401783, 1401790, 1401797]"/>
    <s v="#FIELD!"/>
    <s v="[1401750, 1401756, 1401761, 1401770, 1401775, 1401783, 1401790]"/>
    <s v="[0.037, 0.005, 0.061, 0.069, 0.014, 0.011, 0.074]"/>
    <s v="1112.0190966423772"/>
    <s v="[-0.037, -0.005, -0.061, -0.069, -0.014, -0.011, -0.074]"/>
  </r>
  <r>
    <x v="4614"/>
    <x v="5022"/>
    <x v="0"/>
    <s v="[1, 0, 0, 0, 0, 1, 0, 0, 0, 1]"/>
    <s v="LINESTRING (10.526311438248195 59.889341825646746, 10.524910318712735 59.88870331947971, 10.524089755360366 59.888241690350036, 10.524077803560248 59.88823503345476, 10.523945240294989 59.88816235486587, 10.523401453063336 59.88786694266754, 10.52274569134962 59.88747445821952, 10.522324721961786 59.88721420292846, 10.520932265028366 59.88627773463765, 10.520621452003489 59.88606771881548, 10.520188087860532 59.885774361836944)"/>
    <s v="[1553071, 1553079, 1553087, 1553095, 1553103, 1553111, 1553119, 1553127, 1553135, 1553143]"/>
    <s v="[1401804, 1401810, 1401814, 1401820, 1401827, 1401834, 1401840, 1401851, 1401856, 1401860]"/>
    <s v="0.00807676778313407"/>
    <s v="[1401797, 1401804, 1401810, 1401814, 1401820, 1401827, 1401834, 1401840, 1401851, 1401856]"/>
    <s v="[0.041, 0.011, 0.018, 0.034, 0.032, 0.005, 0.048, 0.004, 0.029, 0.02]"/>
    <s v="526.4430184397185"/>
    <s v="[0.041, 0.011, 0.018, -0.034, -0.032, 0.005, 0.048, 0.004, -0.029, -0.02]"/>
  </r>
  <r>
    <x v="4615"/>
    <x v="5093"/>
    <x v="0"/>
    <n v="0"/>
    <s v="LINESTRING (11.06413570375287 60.01442092618334, 11.064123302930648 60.01436655407469, 11.05801058967159 60.01031053012099, 11.057777243603464 60.010202842962386)"/>
    <s v="[1724000, 1724001, 1724231]"/>
    <s v="[1534572, 1534573, 1406676]"/>
    <s v="0.017024746012483237"/>
    <s v="[1534541, 1534572, 1534573]"/>
    <s v="[0.019, 0.013, 0.148]"/>
    <s v="602.9909372277076"/>
    <s v="[0.019, 0.013, 0.148]"/>
  </r>
  <r>
    <x v="4616"/>
    <x v="4934"/>
    <x v="0"/>
    <n v="0"/>
    <m/>
    <n v="2086991"/>
    <n v="1407349"/>
    <s v="#FIELD!"/>
    <n v="1807730"/>
    <s v="0.003"/>
    <s v="11.494283318576793"/>
    <s v="#FIELD!"/>
  </r>
  <r>
    <x v="4617"/>
    <x v="4739"/>
    <x v="0"/>
    <n v="1"/>
    <m/>
    <n v="2095037"/>
    <n v="1432508"/>
    <s v="0.013"/>
    <n v="1432449"/>
    <s v="0.013"/>
    <s v="64.3908057493509"/>
    <s v="0.013"/>
  </r>
  <r>
    <x v="4618"/>
    <x v="2205"/>
    <x v="0"/>
    <n v="0"/>
    <s v="LINESTRING (10.24846746443111 59.69149563141605, 10.248675173296766 59.69166417471441, 10.24889474660502 59.692057525542914, 10.249845711490572 59.6941119881397, 10.24996319084838 59.6941991361769, 10.25000851453168 59.69425680885719)"/>
    <s v="[2083354, 2083353, 1635117, 1635125, 1635126]"/>
    <s v="[1805547, 1461886, 1461887, 1461894, 1461895]"/>
    <s v="#FIELD!"/>
    <s v="[1432935, 1805547, 1461886, 1461887, 1461894]"/>
    <s v="[0.225, 0.096, 0.042, 0.058, 0.013]"/>
    <s v="321.9938788305488"/>
    <s v="[-0.225, 0.096, -0.042, -0.058, -0.013]"/>
  </r>
  <r>
    <x v="4619"/>
    <x v="959"/>
    <x v="0"/>
    <n v="0"/>
    <s v="LINESTRING (7.258487454992328 62.74773766088737, 7.258673952229955 62.74768985657337, 7.2589000177956216 62.74769209728392, 7.259085464667858 62.74774198769275, 7.25919373823189 62.747822847893936)"/>
    <s v="[1597084, 1597098, 1597099, 1597116]"/>
    <s v="[1435152, 1435158, 1435159, 1435166]"/>
    <s v="#FIELD!"/>
    <s v="[1435151, 1435152, 1435158, 1435159]"/>
    <s v="[0.027, 0.016, 0.0, 0.015]"/>
    <s v="44.10793790373991"/>
    <s v="[-0.027, -0.016, 0.0, 0.015]"/>
  </r>
  <r>
    <x v="4619"/>
    <x v="4126"/>
    <x v="0"/>
    <n v="0"/>
    <s v="LINESTRING (7.258360272704652 62.74792432396537, 7.258373868984292 62.74782166606992, 7.258487454992328 62.74773766088737)"/>
    <s v="[1597172, 1597180]"/>
    <s v="[1435193, 1435151]"/>
    <s v="#FIELD!"/>
    <s v="[1435186, 1435193]"/>
    <s v="[0.028, 0.032]"/>
    <s v="22.51373742954213"/>
    <s v="[-0.028, -0.032]"/>
  </r>
  <r>
    <x v="4620"/>
    <x v="960"/>
    <x v="0"/>
    <n v="0"/>
    <s v="LINESTRING (7.25919373823189 62.747822847893936, 7.259201271745443 62.747930538748165, 7.2591062052141435 62.748014541991935)"/>
    <s v="[1597124, 1597134]"/>
    <s v="[1435171, 1435176]"/>
    <s v="0.027853380071165487"/>
    <s v="[1435166, 1435171]"/>
    <s v="[0.026, 0.03]"/>
    <s v="22.800220668776557"/>
    <s v="[0.026, 0.03]"/>
  </r>
  <r>
    <x v="4621"/>
    <x v="4126"/>
    <x v="0"/>
    <n v="0"/>
    <s v="LINESTRING (7.2591062052141435 62.748014541991935, 7.258882484865135 62.748073657313014, 7.258666661475529 62.74807301297986, 7.258486004964734 62.74802622097626, 7.258360272704652 62.74792432396537)"/>
    <s v="[1597135, 1597152, 1597153, 1597154]"/>
    <s v="[1435177, 1435184, 1435185, 1435186]"/>
    <s v="0.007245787708426863"/>
    <s v="[1435176, 1435177, 1435184, 1435185]"/>
    <s v="[0.028, 0.016, 0.003, 0.018]"/>
    <s v="48.14655653525359"/>
    <s v="[0.028, 0.016, 0.003, -0.018]"/>
  </r>
  <r>
    <x v="4622"/>
    <x v="5094"/>
    <x v="0"/>
    <n v="0"/>
    <s v="LINESTRING (11.325454922395258 59.57622160274835, 11.325548865874078 59.57623986435951, 11.325668868626666 59.57625835452776, 11.326017474822638 59.57633923021099, 11.326105767322765 59.576364137253755, 11.33139315983509 59.576748499438395, 11.331760786507699 59.57677468351834)"/>
    <s v="[1795948, 1795956, 1795964, 1795972, 1795980, 1795868]"/>
    <s v="[1583811, 1583819, 1583826, 1583834, 1583726, 1583727]"/>
    <s v="#FIELD!"/>
    <s v="[1445308, 1583811, 1583819, 1583826, 1583834, 1583726]"/>
    <s v="[0.889, 0.018, 0.015, 0.015, 0.033, 0.046]"/>
    <s v="369.5351718435742"/>
    <s v="[-0.889, 0.018, 0.015, 0.015, -0.033, -0.046]"/>
  </r>
  <r>
    <x v="4622"/>
    <x v="673"/>
    <x v="0"/>
    <n v="0"/>
    <s v="LINESTRING (11.325066761875274 59.576183461925055, 11.325094807697962 59.5761729598459, 11.325122559655577 59.576164175366316, 11.325242044530166 59.5761507229576, 11.325398201617919 59.576182795491164, 11.325454922395258 59.57622160274835)"/>
    <s v="[1610892, 1610900, 1610908, 1610916, 1610820]"/>
    <s v="[1445353, 1445357, 1445363, 1445307, 1445308]"/>
    <s v="0.09832351416639112"/>
    <s v="[1445349, 1445353, 1445357, 1445363, 1445307]"/>
    <s v="[0.09, 0.135, 0.129, 0.107, 0.034]"/>
    <s v="25.6412138084701"/>
    <s v="[0.09, 0.135, 0.129, 0.107, 0.034]"/>
  </r>
  <r>
    <x v="4623"/>
    <x v="5095"/>
    <x v="0"/>
    <n v="0"/>
    <s v="LINESTRING (11.319228150905257 59.5764328771504, 11.31945268158524 59.576415248647145, 11.324913541741548 59.576202069804644, 11.325066761875274 59.576183461925055)"/>
    <s v="[1795916, 1796004, 1796012]"/>
    <s v="[1583781, 1583858, 1445349]"/>
    <s v="0.054986792974996576"/>
    <s v="[1583780, 1583781, 1583858]"/>
    <s v="[0.08, 0.045, 0.373]"/>
    <s v="337.4623211810992"/>
    <s v="[0.08, 0.045, 0.373]"/>
  </r>
  <r>
    <x v="4624"/>
    <x v="5096"/>
    <x v="0"/>
    <n v="0"/>
    <s v="LINESTRING (11.282854549123751 59.575177993795236, 11.282735736116479 59.575172378959266, 11.282644425092549 59.5751439762862)"/>
    <s v="[1610933, 1610941]"/>
    <s v="[1445381, 1445385]"/>
    <s v="0.007904659662801392"/>
    <s v="[1445376, 1445381]"/>
    <s v="[0.015, 0.0]"/>
    <s v="12.798649531084711"/>
    <s v="[0.015, -0.0]"/>
  </r>
  <r>
    <x v="4624"/>
    <x v="5097"/>
    <x v="0"/>
    <n v="0"/>
    <s v="LINESTRING (11.282603058836806 59.57499146063378, 11.28281120675702 59.57492863674779, 11.282902974912677 59.57493636845401, 11.282993930294072 59.57496590245873, 11.283062429246792 59.57503592324287, 11.28305819272831 59.57508327412726, 11.283019684901141 59.57512645999521, 11.282854549123751 59.575177993795236)"/>
    <s v="[1610962, 1610963, 1610964, 1610969, 1610980, 1610988, 1610924]"/>
    <s v="[1445401, 1445402, 1445403, 1445407, 1445413, 1445375, 1445376]"/>
    <s v="0.009664898860329521"/>
    <s v="[1445398, 1445401, 1445402, 1445403, 1445407, 1445413, 1445375]"/>
    <s v="[0.038, 0.013, 0.006, 0.029, 0.033, 0.049, 0.038]"/>
    <s v="55.98075827836239"/>
    <s v="[-0.038, -0.013, 0.006, 0.029, 0.033, 0.049, 0.038]"/>
  </r>
  <r>
    <x v="4624"/>
    <x v="5098"/>
    <x v="0"/>
    <n v="0"/>
    <s v="LINESTRING (11.282586342924644 59.5753751425101, 11.28273639679404 59.57527149324978, 11.282739173215248 59.57526929791937, 11.28279870564267 59.575222188123014, 11.282854549123751 59.575177993795236)"/>
    <s v="[1612734, 1612742, 1612750, 1612758]"/>
    <s v="[1446704, 1446708, 1446715, 1445376]"/>
    <s v="#FIELD!"/>
    <s v="[1446638, 1446704, 1446708, 1446715]"/>
    <s v="[0.05, 0.0, 0.05, 0.043]"/>
    <s v="26.70290696619802"/>
    <s v="[-0.05, 0.0, -0.05, -0.043]"/>
  </r>
  <r>
    <x v="4625"/>
    <x v="5099"/>
    <x v="0"/>
    <n v="0"/>
    <m/>
    <n v="1610953"/>
    <n v="1445392"/>
    <s v="#FIELD!"/>
    <n v="1445385"/>
    <s v="0.027"/>
    <s v="8.708384580639876"/>
    <s v="#FIELD!"/>
  </r>
  <r>
    <x v="4625"/>
    <x v="5098"/>
    <x v="0"/>
    <n v="0"/>
    <s v="LINESTRING (11.282586342924644 59.5753751425101, 11.282616125257878 59.575250843089535, 11.28261667282255 59.57524877318704, 11.28263172290555 59.57519192255458, 11.282644425092549 59.5751439762862)"/>
    <s v="[1612702, 1612710, 1612718, 1612726]"/>
    <s v="[1446682, 1446689, 1446694, 1445385]"/>
    <s v="#FIELD!"/>
    <s v="[1446638, 1446682, 1446689, 1446694]"/>
    <s v="[0.046, 0.0, 0.045, 0.045]"/>
    <s v="25.965575579868464"/>
    <s v="[-0.046, 0.0, -0.045, -0.045]"/>
  </r>
  <r>
    <x v="4626"/>
    <x v="5097"/>
    <x v="0"/>
    <n v="0"/>
    <m/>
    <n v="1610960"/>
    <n v="1445398"/>
    <s v="#FIELD!"/>
    <n v="1445392"/>
    <s v="0.043"/>
    <s v="9.430611061697933"/>
    <s v="#FIELD!"/>
  </r>
  <r>
    <x v="4626"/>
    <x v="5100"/>
    <x v="0"/>
    <n v="0"/>
    <s v="LINESTRING (11.282573025115003 59.5750747177947, 11.282505881120922 59.575063352984515, 11.282387665884455 59.575043345329746, 11.286342133933628 59.576189502200975, 11.28662951045326 59.57626127639567)"/>
    <s v="[1612566, 1612574, 1612582, 1612590]"/>
    <s v="[1446584, 1446590, 1446596, 1446492]"/>
    <s v="#FIELD!"/>
    <s v="[1445392, 1446584, 1446590, 1446596]"/>
    <s v="[0.008, 0.009, 0.007, 0.02]"/>
    <s v="436.4118265315982"/>
    <s v="[0.008, 0.009, -0.007, -0.02]"/>
  </r>
  <r>
    <x v="4627"/>
    <x v="5101"/>
    <x v="0"/>
    <n v="0"/>
    <s v="LINESTRING (11.276031223338414 59.57625106335631, 11.27635259685095 59.576179382573585, 11.282399699692768 59.574989420327164, 11.282532253762781 59.57499142588309, 11.282603058836806 59.57499146063378)"/>
    <s v="[1612918, 1612929, 1612937, 1612945]"/>
    <s v="[1446816, 1446823, 1446829, 1445398]"/>
    <s v="#FIELD!"/>
    <s v="[1446494, 1446816, 1446823, 1446829]"/>
    <s v="[0.027, 0.0, 0.022, 0.022]"/>
    <s v="405.69908193928757"/>
    <s v="[-0.027, 0.0, -0.022, -0.022]"/>
  </r>
  <r>
    <x v="4628"/>
    <x v="3410"/>
    <x v="0"/>
    <n v="0"/>
    <m/>
    <n v="1610996"/>
    <n v="1445426"/>
    <s v="0.051"/>
    <n v="1445425"/>
    <s v="0.051"/>
    <s v="9.564246598778388"/>
    <s v="0.051"/>
  </r>
  <r>
    <x v="4628"/>
    <x v="5102"/>
    <x v="0"/>
    <n v="0"/>
    <s v="LINESTRING (11.282017075167447 59.5763138356882, 11.282038409736078 59.5762560940349, 11.282074037328012 59.57608066919139)"/>
    <s v="[1612686, 1612694]"/>
    <s v="[1446673, 1446614]"/>
    <s v="#FIELD!"/>
    <s v="[1445425, 1446673]"/>
    <s v="[0.057, 0.063]"/>
    <s v="26.19505004192908"/>
    <s v="[-0.057, -0.063]"/>
  </r>
  <r>
    <x v="4628"/>
    <x v="5103"/>
    <x v="0"/>
    <n v="0"/>
    <s v="LINESTRING (11.281849059216334 59.57627635757183, 11.28194016468127 59.5762869115986, 11.282017075167447 59.5763138356882)"/>
    <s v="[1611068, 1611076]"/>
    <s v="[1445475, 1445425]"/>
    <s v="#FIELD!"/>
    <s v="[1445470, 1445475]"/>
    <s v="0.008"/>
    <s v="10.563466569092355"/>
    <s v="[-0.008, 0.008]"/>
  </r>
  <r>
    <x v="4629"/>
    <x v="5104"/>
    <x v="0"/>
    <n v="0"/>
    <m/>
    <n v="1611004"/>
    <n v="1445433"/>
    <s v="0.066"/>
    <n v="1445426"/>
    <s v="0.066"/>
    <s v="11.395129603069508"/>
    <s v="0.066"/>
  </r>
  <r>
    <x v="4630"/>
    <x v="5103"/>
    <x v="0"/>
    <n v="0"/>
    <s v="LINESTRING (11.282023171911284 59.57648676099339, 11.281857898975854 59.57652726917748, 11.281759473797127 59.576520408291486, 11.281678962883857 59.57649687845691, 11.281592934151934 59.57640684334753, 11.281612134323279 59.576353832250824, 11.281687358517269 59.57630346547841, 11.281849059216334 59.57627635757183)"/>
    <s v="[1611012, 1611020, 1611028, 1611036, 1611044, 1611052, 1611060]"/>
    <s v="[1445439, 1445443, 1445447, 1445454, 1445459, 1445464, 1445470]"/>
    <s v="#FIELD!"/>
    <s v="[1445433, 1445439, 1445443, 1445447, 1445454, 1445459, 1445464]"/>
    <s v="[0.034, 0.003, 0.015, 0.04, 0.059, 0.053, 0.033]"/>
    <s v="55.30301780449207"/>
    <s v="[0.034, -0.003, -0.015, -0.04, -0.059, -0.053, -0.033]"/>
  </r>
  <r>
    <x v="4630"/>
    <x v="3411"/>
    <x v="0"/>
    <n v="0"/>
    <s v="LINESTRING (11.289455769102773 59.5767003678884, 11.289097532024382 59.576696614404796, 11.287253063247201 59.576491792690106, 11.282088990995256 59.57649987716676, 11.282023171911284 59.57648676099339)"/>
    <s v="[1612498, 1612518, 1612532, 1612535]"/>
    <s v="[1446540, 1446556, 1446564, 1445433]"/>
    <s v="0.03191017491741796"/>
    <s v="[1446350, 1446540, 1446556, 1446564]"/>
    <s v="[0.033, 0.016, 0.038, 0.008]"/>
    <s v="432.7278975090595"/>
    <s v="[0.033, 0.016, 0.038, -0.008]"/>
  </r>
  <r>
    <x v="4631"/>
    <x v="5102"/>
    <x v="0"/>
    <n v="0"/>
    <s v="LINESTRING (11.281849059216334 59.57627635757183, 11.281891307291101 59.57623511209, 11.282074037328012 59.57608066919139)"/>
    <s v="[1612670, 1612678]"/>
    <s v="[1446664, 1446614]"/>
    <s v="#FIELD!"/>
    <s v="[1445470, 1446664]"/>
    <s v="[0.06, 0.065]"/>
    <s v="25.248465572562147"/>
    <s v="[-0.06, -0.065]"/>
  </r>
  <r>
    <x v="4632"/>
    <x v="670"/>
    <x v="0"/>
    <s v="[0, 0, 1, 0, 1, 0]"/>
    <s v="LINESTRING (11.317693709297073 59.57642510657952, 11.317265465448266 59.57639705020711, 11.301506508804595 59.57652884345532, 11.300726976272218 59.576599341478556, 11.290143380782192 59.57676345949334, 11.289659256859757 59.57671933600592, 11.289455769102773 59.5767003678884)"/>
    <s v="[2053933, 1613609, 1613617, 1613625, 1613633, 1612257]"/>
    <s v="[1447237, 1447238, 1447244, 1447250, 1446349, 1446350]"/>
    <s v="0.006477399242465652"/>
    <s v="[1583718, 1447237, 1447238, 1447244, 1447250, 1446349]"/>
    <s v="[0.154, 0.008, 0.046, 0.018, 0.025, 0.02]"/>
    <s v="1606.9584822863085"/>
    <s v="[0.154, -0.008, 0.046, 0.018, 0.025, 0.02]"/>
  </r>
  <r>
    <x v="4633"/>
    <x v="5101"/>
    <x v="0"/>
    <n v="0"/>
    <s v="LINESTRING (11.28662951045326 59.57626127639567, 11.27871163146745 59.57583675933609, 11.276031223338414 59.57625106335631)"/>
    <s v="[1612425, 1612426]"/>
    <s v="[1446493, 1446494]"/>
    <s v="0.00604020418225824"/>
    <s v="[1446492, 1446493]"/>
    <s v="[0.013, 0.014]"/>
    <s v="614.5330984877389"/>
    <s v="[0.013, -0.014]"/>
  </r>
  <r>
    <x v="4633"/>
    <x v="5095"/>
    <x v="0"/>
    <s v="[0, 0, 0, 0, 1, 0, 1, 0, 0, 0]"/>
    <s v="LINESTRING (11.319228150905257 59.5764328771504, 11.318014762765117 59.576350951889374, 11.317805348997318 59.57633681423453, 11.317291973816104 59.57630215464479, 11.301484301843162 59.576439692113404, 11.30069696766771 59.57651089519348, 11.29017633844104 59.57667522302855, 11.289690262766957 59.57663097236554, 11.289497942726625 59.57661277952137, 11.287531823695543 59.57638531018182, 11.28662951045326 59.57626127639567)"/>
    <s v="[2053853, 2053861, 2053869, 1613577, 1613585, 1613593, 1613601, 1612384, 1612391, 1612424]"/>
    <s v="[1786950, 1786955, 1447220, 1447221, 1447226, 1447231, 1446454, 1446455, 1446463, 1446492]"/>
    <s v="0.0027498799511299038"/>
    <s v="[1583780, 1786950, 1786955, 1447220, 1447221, 1447226, 1447231, 1446454, 1446455, 1446463]"/>
    <s v="[0.081, 0.078, 0.119, 0.008, 0.048, 0.016, 0.019, 0.015, 0.014, 0.025]"/>
    <s v="1858.7966011887402"/>
    <s v="[-0.081, -0.078, 0.119, -0.008, 0.048, 0.016, 0.019, 0.015, 0.014, 0.025]"/>
  </r>
  <r>
    <x v="4634"/>
    <x v="5105"/>
    <x v="0"/>
    <s v="[0, 0, 1, 0, 1, 0, 0, 0, 0, 0, 0, 0, 1, 0]"/>
    <s v="LINESTRING (11.276031223338414 59.57625106335631, 11.272699191031274 59.5768065823181, 11.269142834287242 59.57728102839734, 11.268382074246668 59.57733635527656, 11.261273241416832 59.577032921554846, 11.260561862936294 59.5769272879102, 11.260003376584947 59.576840881148875, 11.259319981266632 59.57673514179246, 11.238785807876416 59.577908442946395, 11.237926464447236 59.577944497327046, 11.234490321971549 59.57787318441875, 11.232544850836774 59.57767774841972, 11.227434668863246 59.5765545313288, 11.225485708359775 59.57591429174971, 11.225220660966945 59.57582623290803)"/>
    <s v="[1612433, 1612441, 1612448, 1612451, 1612459, 1612460, 1612461, 1613057, 1613065, 1613073, 1613081, 1613089, 1613241, 1613249]"/>
    <s v="[1446498, 1446503, 1446507, 1446508, 1446510, 1446511, 1446512, 1446901, 1446906, 1446911, 1446914, 1446921, 1447008, 1447015]"/>
    <s v="#FIELD!"/>
    <s v="[1446494, 1446498, 1446503, 1446507, 1446508, 1446510, 1446511, 1446512, 1446901, 1446906, 1446911, 1446914, 1446921, 1447008]"/>
    <s v="[0.008, 0.043, 0.001, 0.021, 0.006, 0.034, 0.04, 0.001, 0.019, 0.013, 0.053, 0.045, 0.023, 0.049]"/>
    <s v="2972.783622046071"/>
    <s v="[-0.008, -0.043, -0.001, -0.021, -0.006, 0.034, 0.04, 0.001, 0.019, -0.013, -0.053, -0.045, 0.023, 0.049]"/>
  </r>
  <r>
    <x v="4635"/>
    <x v="5098"/>
    <x v="0"/>
    <s v="[0, 1, 0, 0]"/>
    <s v="LINESTRING (11.282074037328012 59.57608066919139, 11.28211525591738 59.57602419386141, 11.282480496831706 59.575521658478486, 11.28250429192238 59.575488796538046, 11.282586342924644 59.5753751425101)"/>
    <s v="[1612606, 1612614, 1612622, 1612630]"/>
    <s v="[1446615, 1446623, 1446632, 1446638]"/>
    <s v="#FIELD!"/>
    <s v="[1446614, 1446615, 1446623, 1446632]"/>
    <s v="[0.056, 0.049, 0.044, 0.048]"/>
    <s v="83.77365222387766"/>
    <s v="[-0.056, -0.049, -0.044, -0.048]"/>
  </r>
  <r>
    <x v="4636"/>
    <x v="5106"/>
    <x v="0"/>
    <s v="[0, 1, 1, 0]"/>
    <s v="LINESTRING (11.2243401294752 59.575642784642426, 11.219322138241974 59.573968648435, 11.219050032027765 59.57387791831848, 11.218596570715087 59.57372671353906, 11.212769716147843 59.57178648052175)"/>
    <s v="[1613193, 1613201, 1613209, 1613217]"/>
    <s v="[1446979, 1446984, 1446986, 1446992]"/>
    <s v="0.01826880343111373"/>
    <s v="[1446976, 1446979, 1446984, 1446986]"/>
    <s v="[0.037, 0.002, 0.004, 0.004]"/>
    <s v="782.5396033514614"/>
    <s v="[0.037, 0.002, 0.004, 0.004]"/>
  </r>
  <r>
    <x v="4636"/>
    <x v="5107"/>
    <x v="0"/>
    <n v="0"/>
    <s v="LINESTRING (11.2243401294752 59.575642784642426, 11.224113886475006 59.57561151475416, 11.217937933342228 59.57454035708143, 11.217862453541159 59.574507161011034)"/>
    <s v="[1613321, 1613329, 1613337]"/>
    <s v="[1447058, 1447063, 1447067]"/>
    <s v="0.027784341846799468"/>
    <s v="[1446976, 1447058, 1447063]"/>
    <s v="[0.033, 0.028, 0.001]"/>
    <s v="399.64758865672724"/>
    <s v="[0.033, 0.028, 0.001]"/>
  </r>
  <r>
    <x v="4637"/>
    <x v="4419"/>
    <x v="0"/>
    <s v="[0, 0, 0, 1, 0, 0, 0]"/>
    <s v="LINESTRING (11.212769716147843 59.57178648052175, 11.210704764461042 59.57112334145341, 11.209907648729603 59.570888766697536, 11.19462813986602 59.56922473644392, 11.192657737561847 59.56928119320132, 11.181827750130118 59.56935898873906, 11.181729146345225 59.56936589047476, 11.175108045935492 59.569961907656435)"/>
    <s v="[1613225, 1613233, 1669982, 1669990, 1669998, 1670006, 1670014]"/>
    <s v="[1446996, 1447002, 1497871, 1497880, 1497885, 1497894, 1497902]"/>
    <s v="#FIELD!"/>
    <s v="[1446992, 1446996, 1447002, 1497871, 1497880, 1497885, 1497894]"/>
    <s v="[0.005, 0.01, 0.019, 0.018, 0.005, 0.014, 0.028]"/>
    <s v="2196.478930635124"/>
    <s v="[0.005, -0.01, -0.019, -0.018, -0.005, 0.014, -0.028]"/>
  </r>
  <r>
    <x v="4637"/>
    <x v="5108"/>
    <x v="0"/>
    <s v="[0, 0, 0, 0, 1, 0, 0, 0]"/>
    <s v="LINESTRING (11.217565148787623 59.574319135017866, 11.217499939467622 59.57428222646836, 11.217449500315016 59.57424917899759, 11.217210008434888 59.57351366159159, 11.217093965115513 59.57342517559776, 11.216643512526362 59.573171499655615, 11.21355849986587 59.57210839769681, 11.213036784656635 59.57191209230673, 11.212769716147843 59.57178648052175)"/>
    <s v="[1676052, 1676060, 1676068, 1676076, 1676084, 1676092, 1613561, 1613569]"/>
    <s v="[1503136, 1503143, 1503148, 1503155, 1503163, 1447211, 1447212, 1446992]"/>
    <s v="0.0025766119404785418"/>
    <s v="[1503135, 1503136, 1503143, 1503148, 1503155, 1503163, 1447211, 1447212]"/>
    <s v="[0.009, 0.008, 0.001, 0.006, 0.0, 0.001, 0.011, 0.01]"/>
    <s v="412.53096450683535"/>
    <s v="[0.009, 0.008, 0.001, 0.006, -0.0, 0.001, 0.011, 0.01]"/>
  </r>
  <r>
    <x v="4638"/>
    <x v="5109"/>
    <x v="0"/>
    <s v="[0, 0, 1, 1, 0, 0]"/>
    <s v="LINESTRING (11.225220660966945 59.57582623290803, 11.2244541547068 59.57557114083367, 11.219455839111257 59.57390787947389, 11.21918551144782 59.57381740780239, 11.218734980372446 59.57366662081233, 11.212886752409117 59.571717001323115, 11.210803741498953 59.571047147105844)"/>
    <s v="[1613257, 1613265, 1613273, 1613281, 1613289, 1613297]"/>
    <s v="[1447020, 1447024, 1447029, 1447032, 1447038, 1447043]"/>
    <s v="0.01772810113393086"/>
    <s v="[1447015, 1447020, 1447024, 1447029, 1447032, 1447038]"/>
    <s v="[0.047, 0.037, 0.002, 0.004, 0.003, 0.007]"/>
    <s v="973.4950115309814"/>
    <s v="[0.047, 0.037, 0.002, 0.004, 0.003, 0.007]"/>
  </r>
  <r>
    <x v="4638"/>
    <x v="5110"/>
    <x v="0"/>
    <n v="0"/>
    <s v="LINESTRING (11.22028735372903 59.57342733792755, 11.220290277162782 59.573475470678005, 11.224348676845898 59.57547654837191, 11.224967303001247 59.57569511025444, 11.225220660966945 59.57582623290803)"/>
    <s v="[1613345, 1613353, 1613361, 1613369]"/>
    <s v="[1447073, 1447079, 1447085, 1447015]"/>
    <s v="#FIELD!"/>
    <s v="[1447072, 1447073, 1447079, 1447085]"/>
    <s v="[0.01, 0.034, 0.045, 0.053]"/>
    <s v="404.7115328450099"/>
    <s v="[-0.01, -0.034, -0.045, -0.053]"/>
  </r>
  <r>
    <x v="4639"/>
    <x v="847"/>
    <x v="0"/>
    <s v="[0, 0, 1, 0, 0, 0, 0]"/>
    <s v="LINESTRING (11.210803741498953 59.571047147105844, 11.210010497148716 59.5708140784854, 11.19461693011563 59.56913424537952, 11.192648244067087 59.56918967309068, 11.181866675094298 59.569265581753825, 11.181762383327166 59.56927155332611, 11.175112186301742 59.56986168663462, 11.175029075544568 59.5698694320482)"/>
    <s v="[1613305, 1671902, 1671910, 1671918, 1671926, 1671934, 1671942]"/>
    <s v="[1447050, 1499557, 1499565, 1499571, 1499578, 1499585, 1499593]"/>
    <s v="#FIELD!"/>
    <s v="[1447043, 1447050, 1499557, 1499565, 1499571, 1499578, 1499585]"/>
    <s v="[0.01, 0.019, 0.019, 0.005, 0.005, 0.028, 0.088]"/>
    <s v="2068.7407263740465"/>
    <s v="[-0.01, -0.019, -0.019, -0.005, 0.005, -0.028, -0.088]"/>
  </r>
  <r>
    <x v="4639"/>
    <x v="5111"/>
    <x v="0"/>
    <s v="[0, 0, 0, 0, 1, 0, 0, 0]"/>
    <s v="LINESTRING (11.210803741498953 59.571047147105844, 11.211230871065055 59.5711343138929, 11.212291569640428 59.57146335226352, 11.214913345269371 59.572157656886525, 11.21769230332156 59.57315446012367, 11.217824390358128 59.57320898014007, 11.219851553342014 59.57317820509057, 11.219907266702611 59.57318417520541, 11.22001553458155 59.57321272634834)"/>
    <s v="[1613545, 1613553, 1676260, 1676268, 1676276, 1676284, 1676292, 1676300]"/>
    <s v="[1447200, 1447206, 1503297, 1503302, 1503310, 1503315, 1503322, 1503331]"/>
    <s v="#FIELD!"/>
    <s v="[1447043, 1447200, 1447206, 1503297, 1503302, 1503310, 1503315, 1503322]"/>
    <s v="[0.009, 0.009, 0.004, 0.012, 0.006, 0.0, 0.016, 0.013]"/>
    <s v="598.136647743976"/>
    <s v="[0.009, -0.009, 0.004, -0.012, -0.006, 0.0, -0.016, -0.013]"/>
  </r>
  <r>
    <x v="4640"/>
    <x v="5108"/>
    <x v="0"/>
    <n v="0"/>
    <s v="LINESTRING (11.217862453541159 59.574507161011034, 11.217747608792251 59.574515670003855, 11.21761796632869 59.57448350542421, 11.217511069642304 59.57441088101252, 11.217565148787623 59.574319135017866)"/>
    <s v="[1676916, 1676924, 1676932, 1676876]"/>
    <s v="[1499547, 1503816, 1497862, 1503135]"/>
    <s v="0.05557964306462332"/>
    <s v="[1447067, 1499547, 1503816, 1497862]"/>
    <s v="[0.283, 0.012, 0.008, 0.005]"/>
    <s v="35.687902957667376"/>
    <s v="[0.283, 0.012, 0.008, -0.005]"/>
  </r>
  <r>
    <x v="4640"/>
    <x v="5112"/>
    <x v="0"/>
    <n v="0"/>
    <m/>
    <n v="1676908"/>
    <n v="1447067"/>
    <s v="#FIELD!"/>
    <n v="1498062"/>
    <s v="0.084"/>
    <s v="19.712010802234623"/>
    <s v="#FIELD!"/>
  </r>
  <r>
    <x v="4641"/>
    <x v="5113"/>
    <x v="0"/>
    <n v="0"/>
    <m/>
    <n v="1676988"/>
    <n v="1498039"/>
    <s v="0.03"/>
    <n v="1447072"/>
    <s v="0.03"/>
    <s v="11.498973958516368"/>
    <s v="0.03"/>
  </r>
  <r>
    <x v="4641"/>
    <x v="5111"/>
    <x v="0"/>
    <n v="0"/>
    <s v="LINESTRING (11.22001553458155 59.57321272634834, 11.220169790464002 59.57319767752332, 11.220330742993688 59.573241342945494, 11.220381814829848 59.57329306952937, 11.22038157749725 59.573364618175916, 11.220344570761272 59.57340114233454, 11.22028735372903 59.57342733792755)"/>
    <s v="[1676940, 1676948, 1676956, 1676964, 1676972, 1676980]"/>
    <s v="[1503828, 1503833, 1503838, 1503844, 1503851, 1447072]"/>
    <s v="#FIELD!"/>
    <s v="[1503331, 1503828, 1503833, 1503838, 1503844, 1503851]"/>
    <s v="[0.016, 0.014, 0.009, 0.002, 0.008, 0.019]"/>
    <s v="42.779103355611326"/>
    <s v="[-0.016, -0.014, -0.009, -0.002, 0.008, -0.019]"/>
  </r>
  <r>
    <x v="4642"/>
    <x v="5114"/>
    <x v="459"/>
    <n v="0"/>
    <s v="LINESTRING (5.328090944686163 60.30159803799668, 5.328233245328814 60.299344371349065, 5.328217711522499 60.299292577207254)"/>
    <s v="[1613745, 1613907]"/>
    <s v="[1447326, 1447438]"/>
    <s v="0.011249018241128093"/>
    <s v="[1447325, 1447326]"/>
    <s v="[0.011, 0.022]"/>
    <s v="258.51860981427365"/>
    <s v="[0.011, 0.022]"/>
  </r>
  <r>
    <x v="4642"/>
    <x v="5115"/>
    <x v="0"/>
    <n v="0"/>
    <s v="LINESTRING (5.328090944686163 60.30159803799668, 5.326619187527794 60.298835477473155, 5.3265172394088784 60.29885892050428)"/>
    <s v="[2081170, 2081178]"/>
    <s v="[1804257, 1804261]"/>
    <s v="0.030992852583076196"/>
    <s v="[1447325, 1804257]"/>
    <s v="[0.03, 0.084]"/>
    <s v="338.96229837587913"/>
    <s v="[0.03, 0.084]"/>
  </r>
  <r>
    <x v="4643"/>
    <x v="5116"/>
    <x v="0"/>
    <n v="0"/>
    <s v="LINESTRING (5.33541897023378 60.32380178429478, 5.335596966806048 60.3240482089399, 5.335886590978476 60.324452972510336, 5.336011713320754 60.3246394371081, 5.3364629454788695 60.325382313032094, 5.337576017947192 60.32801676706795)"/>
    <s v="[1613885, 2021311, 2021319, 2021327, 2021335]"/>
    <s v="[1447420, 1765763, 1765769, 1765772, 1761470]"/>
    <s v="#FIELD!"/>
    <s v="[1447394, 1447420, 1765763, 1765769, 1765772]"/>
    <s v="[0.031, 0.052, 0.075, 0.101, 0.04]"/>
    <s v="486.9932498070717"/>
    <s v="[-0.031, -0.052, -0.075, -0.101, -0.04]"/>
  </r>
  <r>
    <x v="4643"/>
    <x v="5117"/>
    <x v="460"/>
    <n v="0"/>
    <s v="LINESTRING (5.336734400683197 60.32666790984147, 5.335383904962173 60.32384534141674, 5.33541897023378 60.32380178429478)"/>
    <s v="[2001630, 1613839]"/>
    <s v="[1447393, 1447394]"/>
    <s v="0.06847194253804018"/>
    <s v="[1754195, 1447393]"/>
    <s v="[0.068, 0.098]"/>
    <s v="333.19146521523544"/>
    <s v="[0.068, 0.098]"/>
  </r>
  <r>
    <x v="4644"/>
    <x v="5118"/>
    <x v="0"/>
    <n v="0"/>
    <s v="LINESTRING (5.335598301189986 60.32366606029607, 5.335817256758405 60.32400738830534, 5.336104634025695 60.32440746385419)"/>
    <s v="[1613902, 1999696]"/>
    <s v="[1447433, 1753126]"/>
    <s v="#FIELD!"/>
    <s v="[1447426, 1447433]"/>
    <s v="[0.055, 0.19]"/>
    <s v="76.9859737501975"/>
    <s v="[-0.055, -0.19]"/>
  </r>
  <r>
    <x v="4645"/>
    <x v="5119"/>
    <x v="0"/>
    <n v="0"/>
    <m/>
    <n v="1614725"/>
    <n v="1447984"/>
    <s v="0.004"/>
    <n v="1447896"/>
    <s v="0.004"/>
    <s v="16.965592012518243"/>
    <s v="0.004"/>
  </r>
  <r>
    <x v="4646"/>
    <x v="5120"/>
    <x v="0"/>
    <n v="0"/>
    <m/>
    <n v="1614688"/>
    <n v="1447961"/>
    <s v="#FIELD!"/>
    <n v="1447902"/>
    <s v="0.002"/>
    <s v="13.140419862297126"/>
    <s v="#FIELD!"/>
  </r>
  <r>
    <x v="4646"/>
    <x v="3888"/>
    <x v="0"/>
    <n v="0"/>
    <s v="LINESTRING (11.068715244152811 59.296562757840505, 11.068728032338978 59.296489791890394, 11.068848670917179 59.296428086909344)"/>
    <s v="[1614656, 1614687]"/>
    <s v="[1447949, 1447902]"/>
    <s v="0.02910736351531624"/>
    <s v="[1447909, 1447949]"/>
    <s v="[0.034, 0.025]"/>
    <s v="17.886148547240328"/>
    <s v="[0.034, 0.025]"/>
  </r>
  <r>
    <x v="4647"/>
    <x v="5121"/>
    <x v="0"/>
    <n v="0"/>
    <m/>
    <n v="1614648"/>
    <n v="1447909"/>
    <s v="0.034"/>
    <n v="1447939"/>
    <s v="0.034"/>
    <s v="8.162392908920557"/>
    <s v="0.034"/>
  </r>
  <r>
    <x v="4648"/>
    <x v="5122"/>
    <x v="0"/>
    <n v="0"/>
    <s v="LINESTRING (11.068789256731092 59.296625472958866, 11.068703030239886 59.29663090432594, 11.06858553542377 59.29664880421493, 11.062347641920669 59.298825196973674, 11.062244225237407 59.298824179140084)"/>
    <s v="[1614809, 1614819, 1614823, 1614925]"/>
    <s v="[1448027, 1448033, 1448038, 1448118]"/>
    <s v="#FIELD!"/>
    <s v="[1447939, 1448027, 1448033, 1448038]"/>
    <s v="[0.0, 0.009, 0.005, 0.029]"/>
    <s v="451.08270651576987"/>
    <s v="[0.0, -0.009, -0.005, 0.029]"/>
  </r>
  <r>
    <x v="4648"/>
    <x v="5120"/>
    <x v="0"/>
    <n v="0"/>
    <s v="LINESTRING (11.069070770950825 59.29643949207877, 11.069164979824013 59.29651224821738, 11.069166370080982 59.29655666669914, 11.069098915680224 59.29662129181978, 11.068789256731092 59.296625472958866)"/>
    <s v="[1614702, 1614706, 1614717, 1614640]"/>
    <s v="[1447924, 1447973, 1447932, 1447939]"/>
    <s v="#FIELD!"/>
    <s v="[1447961, 1447924, 1447973, 1447932]"/>
    <s v="[0.028, 0.04, 0.03, 0.002]"/>
    <s v="41.762970087961335"/>
    <s v="[-0.028, -0.04, -0.03, -0.002]"/>
  </r>
  <r>
    <x v="4649"/>
    <x v="3880"/>
    <x v="0"/>
    <n v="0"/>
    <s v="LINESTRING (11.07214055514637 59.293472979106774, 11.07213134243738 59.293543365103396, 11.069067962921238 59.29639943602879, 11.069070770950825 59.29643949207877)"/>
    <s v="[1614786, 1614801, 1614808]"/>
    <s v="[1448016, 1448023, 1447961]"/>
    <s v="0.004621293099687989"/>
    <s v="[1448013, 1448016, 1448023]"/>
    <s v="[0.01, 0.005, 0.036]"/>
    <s v="379.73414237846544"/>
    <s v="[0.01, 0.005, -0.036]"/>
  </r>
  <r>
    <x v="4650"/>
    <x v="3884"/>
    <x v="0"/>
    <n v="0"/>
    <s v="LINESTRING (11.0664695932502 59.29601385480567, 11.066429588438988 59.295945280061474, 11.066476577586975 59.295877852698716, 11.066592405209379 59.29583771606128, 11.066758220672556 59.295846236480536)"/>
    <s v="[1614759, 1614762, 1614763, 1614769]"/>
    <s v="[1059348, 1448004, 1059365, 1448006]"/>
    <s v="0.01957709893940214"/>
    <s v="[1447984, 1059348, 1448004, 1059365]"/>
    <s v="[0.023, 0.042, 0.023, 0.005]"/>
    <s v="33.42157800846055"/>
    <s v="[0.023, 0.042, 0.023, -0.005]"/>
  </r>
  <r>
    <x v="4650"/>
    <x v="5123"/>
    <x v="0"/>
    <n v="0"/>
    <s v="LINESTRING (11.062464802885204 59.298592143063225, 11.06248194264172 59.298545192557626, 11.066420715866373 59.29610856482708, 11.066452605194891 59.29605453501302, 11.0664695932502 59.29601385480567)"/>
    <s v="[1614926, 1614831, 1614832, 1614833]"/>
    <s v="[1448043, 1448044, 1448045, 1447984]"/>
    <s v="0.010346922432844633"/>
    <s v="[1448119, 1448043, 1448044, 1448045]"/>
    <s v="[0.0, 0.01, 0.028, 0.025]"/>
    <s v="373.28636415732416"/>
    <s v="[0.0, 0.01, 0.028, 0.025]"/>
  </r>
  <r>
    <x v="4651"/>
    <x v="3879"/>
    <x v="0"/>
    <n v="0"/>
    <s v="LINESTRING (11.066758220672556 59.295846236480536, 11.066872242317606 59.295843013445705, 11.071831735106905 59.29344441341372, 11.071951362808166 59.293407767419026)"/>
    <s v="[1614840, 1614853, 1614861]"/>
    <s v="[1448053, 1448061, 1448019]"/>
    <s v="#FIELD!"/>
    <s v="[1448006, 1448053, 1448061]"/>
    <s v="[0.006, 0.009, 0.012]"/>
    <s v="413.967426784203"/>
    <s v="[0.006, -0.009, -0.012]"/>
  </r>
  <r>
    <x v="4652"/>
    <x v="5122"/>
    <x v="0"/>
    <n v="0"/>
    <s v="LINESTRING (11.07214055514637 59.293472979106774, 11.062603381327268 59.298684857311606, 11.062244225237407 59.298824179140084)"/>
    <s v="[1614936, 1614951]"/>
    <s v="[1448122, 1448118]"/>
    <s v="#FIELD!"/>
    <s v="[1448013, 1448122]"/>
    <s v="[0.002, 0.014]"/>
    <s v="824.6961389730816"/>
    <s v="[-0.002, 0.014]"/>
  </r>
  <r>
    <x v="4653"/>
    <x v="5123"/>
    <x v="0"/>
    <n v="0"/>
    <m/>
    <n v="1614996"/>
    <n v="1448119"/>
    <s v="#FIELD!"/>
    <n v="1448019"/>
    <s v="0.001"/>
    <s v="794.781153529241"/>
    <s v="#FIELD!"/>
  </r>
  <r>
    <x v="4654"/>
    <x v="5124"/>
    <x v="0"/>
    <s v="[0, 1, 0, 0, 0, 1, 0, 0, 0]"/>
    <s v="LINESTRING (11.062244225237407 59.298824179140084, 11.060826746363563 59.299354759956245, 11.06067576579794 59.29940942562162, 11.057314950794192 59.30055565558917, 11.057151231543003 59.300610929211935, 11.043204154352576 59.30589674894294, 11.042100505316654 59.306425641071314, 11.034085510969279 59.3105265311778, 11.031718615667959 59.31296682554252, 11.03141684652031 59.31331492413589)"/>
    <s v="[1614959, 1614967, 1614975, 1614988, 1615057, 1615058, 1615059, 1615082, 1615083]"/>
    <s v="[1448144, 1448148, 1448154, 1448164, 1448213, 1448214, 1448215, 1448227, 1448228]"/>
    <s v="0.011675162267170887"/>
    <s v="[1448118, 1448144, 1448148, 1448154, 1448164, 1448213, 1448214, 1448215, 1448227]"/>
    <s v="[0.02, 0.026, 0.023, 0.018, 0.005, 0.011, 0.0, 0.04, 0.057]"/>
    <s v="2422.2741015855227"/>
    <s v="[0.02, 0.026, 0.023, 0.018, 0.005, 0.011, 0.0, 0.04, 0.057]"/>
  </r>
  <r>
    <x v="4655"/>
    <x v="5125"/>
    <x v="461"/>
    <s v="[0, 0, 1, 0, 0, 0, 1, 0, 0]"/>
    <s v="LINESTRING (11.062464802885204 59.298592143063225, 11.06211055848448 59.29872958136172, 11.060731769250847 59.29924605763386, 11.060572534883004 59.299303997462616, 11.057163978781194 59.300466794425006, 11.056997917829046 59.300522859955564, 11.043182412490042 59.30574825690324, 11.04207500242538 59.306276117311484, 11.033896643800732 59.31045319202963, 11.031468605905383 59.31284426498823)"/>
    <s v="[1615012, 1615013, 1615016, 1615024, 1615035, 1615036, 1615041, 1615048, 1615163]"/>
    <s v="[1448183, 1448184, 1448187, 1448192, 1448201, 1448202, 1448203, 1448208, 1448278]"/>
    <s v="0.012110757431069772"/>
    <s v="[1448119, 1448183, 1448184, 1448187, 1448192, 1448201, 1448202, 1448203, 1448208]"/>
    <s v="[0.015, 0.02, 0.025, 0.023, 0.018, 0.006, 0.014, 0.0, 0.046]"/>
    <s v="2405.71332639888"/>
    <s v="[0.015, 0.02, 0.025, 0.023, 0.018, 0.006, 0.014, 0.0, 0.046]"/>
  </r>
  <r>
    <x v="4656"/>
    <x v="4197"/>
    <x v="0"/>
    <n v="0"/>
    <s v="LINESTRING (11.03141684652031 59.31331492413589, 11.031407742446536 59.31332482375823, 11.025786375918537 59.316109220762854, 11.025770019750716 59.316112380362824, 11.024279313276331 59.31637158602523, 11.02424513155456 59.31637723061646, 11.020719811841685 59.31655872237946, 11.018171779033977 59.316498872071996, 11.016705310504792 59.316460254173236)"/>
    <s v="[1615091, 1615102, 1615108, 1615116, 1615123, 1615131, 1615139, 1615147]"/>
    <s v="[1448233, 1448240, 1448245, 1448252, 1448257, 1448263, 1448267, 1448271]"/>
    <s v="0.004740356634696161"/>
    <s v="[1448228, 1448233, 1448240, 1448245, 1448252, 1448257, 1448263, 1448267]"/>
    <s v="[0.053, 0.005, 0.05, 0.005, 0.063, 0.019, 0.027, 0.033]"/>
    <s v="981.320317421623"/>
    <s v="[0.053, 0.005, 0.05, -0.005, -0.063, -0.019, 0.027, 0.033]"/>
  </r>
  <r>
    <x v="4656"/>
    <x v="3780"/>
    <x v="0"/>
    <n v="0"/>
    <s v="LINESTRING (11.03141684652031 59.31331492413589, 11.031426133281274 59.31338001130903, 11.02956117113579 59.31540133719637, 11.029582318158841 59.3154354633357)"/>
    <s v="[1770062, 1770046, 1770054]"/>
    <s v="[1562244, 1562245, 1562114]"/>
    <s v="#FIELD!"/>
    <s v="[1448228, 1562244, 1562245]"/>
    <s v="[1.019, 0.015, 0.061]"/>
    <s v="265.57017616299527"/>
    <s v="[-1.019, 0.015, -0.061]"/>
  </r>
  <r>
    <x v="4657"/>
    <x v="5126"/>
    <x v="0"/>
    <n v="0"/>
    <s v="LINESTRING (11.02247750272351 59.31693621519482, 11.02244067204807 59.31690586091277, 11.01681937974613 59.31649737105037, 11.016705310504792 59.316460254173236)"/>
    <s v="[1770134, 1770142, 1770150]"/>
    <s v="[1562307, 1562312, 1448271]"/>
    <s v="0.006819556172881249"/>
    <s v="[1562218, 1562307, 1562312]"/>
    <s v="[0.009, 0.043, 1.542]"/>
    <s v="341.15114041804566"/>
    <s v="[0.009, 0.043, -1.542]"/>
  </r>
  <r>
    <x v="4658"/>
    <x v="4198"/>
    <x v="0"/>
    <n v="0"/>
    <s v="LINESTRING (11.031468605905383 59.31284426498823, 11.031415256122278 59.312905706494206, 11.031095193375096 59.31325623127921, 11.025633669898538 59.31594727532266, 11.025617704079412 59.31595010518299, 11.024178513761386 59.3162010653616, 11.02414571484174 59.31620661731681, 11.020752922818625 59.316376182713114, 11.01824703856639 59.31630060333091)"/>
    <s v="[1615174, 1615182, 1615190, 1615191, 1615205, 1615214, 1615215, 1615223]"/>
    <s v="[1448280, 1448284, 1448287, 1448288, 1448293, 1448295, 1448296, 1448301]"/>
    <s v="0.0016141270971984853"/>
    <s v="[1448278, 1448280, 1448284, 1448287, 1448288, 1448293, 1448295, 1448296]"/>
    <s v="[0.056, 0.049, 0.003, 0.027, 0.014, 0.069, 0.023, 0.024]"/>
    <s v="919.657718271168"/>
    <s v="[0.056, 0.049, 0.003, 0.027, -0.014, -0.069, -0.023, 0.024]"/>
  </r>
  <r>
    <x v="4658"/>
    <x v="3774"/>
    <x v="0"/>
    <n v="0"/>
    <s v="LINESTRING (11.02382872578364 59.315634138052026, 11.023897100453944 59.31562605009982, 11.024039338457733 59.31560309207798, 11.03132039026005 59.31291934654533, 11.031468605905383 59.31284426498823)"/>
    <s v="[1770102, 1770110, 1770118, 1770126]"/>
    <s v="[1562279, 1562286, 1562293, 1448278]"/>
    <s v="#FIELD!"/>
    <s v="[1562177, 1562279, 1562286, 1562293]"/>
    <s v="[0.031, 0.041, 0.026, 0.561]"/>
    <s v="581.3137265462062"/>
    <s v="[0.031, 0.041, -0.026, 0.561]"/>
  </r>
  <r>
    <x v="4659"/>
    <x v="3771"/>
    <x v="0"/>
    <n v="0"/>
    <s v="LINESTRING (11.01824703856639 59.31630060333091, 11.018382499132649 59.316269649103404, 11.023350119117403 59.31583527703204, 11.023379955082175 59.31580212350912)"/>
    <s v="[1770222, 1770206, 1770214]"/>
    <s v="[1562353, 1562354, 1562156]"/>
    <s v="0.0152686441983867"/>
    <s v="[1448301, 1562353, 1562354]"/>
    <s v="[0.501, 0.001, 0.041]"/>
    <s v="307.56275050901155"/>
    <s v="[0.501, 0.001, 0.041]"/>
  </r>
  <r>
    <x v="4660"/>
    <x v="5127"/>
    <x v="0"/>
    <n v="0"/>
    <s v="LINESTRING (10.951557792071592 59.32479163287602, 10.951752728742623 59.32477381722763, 10.955920109396695 59.32466555423545, 10.955913951493514 59.32459591680729, 10.955923790404595 59.32452963562679)"/>
    <s v="[1615873, 1615881, 1675044, 1675052]"/>
    <s v="[1448640, 1448646, 1502302, 1502308]"/>
    <s v="0.0008540461150689216"/>
    <s v="[1448639, 1448640, 1448646, 1502302]"/>
    <s v="[0.001, 0.006, 0.169, 0.004]"/>
    <s v="293.88589143228734"/>
    <s v="[-0.001, 0.006, -0.169, -0.004]"/>
  </r>
  <r>
    <x v="4661"/>
    <x v="5128"/>
    <x v="0"/>
    <n v="0"/>
    <s v="LINESTRING (10.956821371505564 59.326419549957826, 10.956831321895377 59.32637361870197, 10.956870461631656 59.326045343766296, 10.950738946073056 59.324828688084054, 10.950697650362777 59.32480319041186)"/>
    <s v="[1675028, 1675036, 1615865, 1615921]"/>
    <s v="[1502294, 1448631, 1448632, 1448654]"/>
    <s v="#FIELD!"/>
    <s v="[1502293, 1502294, 1448631, 1448632]"/>
    <s v="[0.007, 0.038, 0.01, 0.015]"/>
    <s v="427.5146536572554"/>
    <s v="[0.007, 0.038, -0.01, -0.015]"/>
  </r>
  <r>
    <x v="4662"/>
    <x v="3868"/>
    <x v="0"/>
    <s v="[0, 0, 1, 0]"/>
    <s v="LINESTRING (11.17110923378286 59.20879636052205, 11.166772791614319 59.21086662025069, 11.165697432385551 59.21157647456408, 11.165243219815592 59.21192113344169, 11.163002103619212 59.2145629497454)"/>
    <s v="[1616257, 1616265, 1616273, 1616281]"/>
    <s v="[1448887, 1448892, 1448897, 1448901]"/>
    <s v="#FIELD!"/>
    <s v="[1448879, 1448887, 1448892, 1448897]"/>
    <s v="[0.008, 0.026, 0.005, 0.014]"/>
    <s v="807.5208403791448"/>
    <s v="[-0.008, -0.026, -0.005, 0.014]"/>
  </r>
  <r>
    <x v="4662"/>
    <x v="5129"/>
    <x v="0"/>
    <n v="0"/>
    <s v="LINESTRING (11.164736050920125 59.21136819903143, 11.164787799078487 59.211349832431196, 11.169337083308454 59.20953584285616, 11.170864784639365 59.20887441358581, 11.17110923378286 59.20879636052205)"/>
    <s v="[1630027, 1630035, 1630043, 1630019]"/>
    <s v="[1457641, 1457649, 1457634, 1448879]"/>
    <s v="0.013187549812318953"/>
    <s v="[1457640, 1457641, 1457649, 1457634]"/>
    <s v="[0.017, 0.029, 0.026, 0.025]"/>
    <s v="463.99993363643705"/>
    <s v="[-0.017, 0.029, -0.026, -0.025]"/>
  </r>
  <r>
    <x v="4663"/>
    <x v="5130"/>
    <x v="0"/>
    <n v="0"/>
    <s v="LINESTRING (11.163002103619212 59.2145629497454, 11.163053686558204 59.21438133926936, 11.164393947883115 59.21156598858577, 11.164419694508634 59.211532811908306)"/>
    <s v="[1630204, 1630205, 1630226]"/>
    <s v="[1457796, 1457797, 1457698]"/>
    <s v="#FIELD!"/>
    <s v="[1448901, 1457796, 1457797]"/>
    <s v="[0.023, 0.016, 0.022]"/>
    <s v="349.5624695920274"/>
    <s v="[0.023, -0.016, -0.022]"/>
  </r>
  <r>
    <x v="4664"/>
    <x v="3865"/>
    <x v="0"/>
    <s v="[0, 1, 0, 0]"/>
    <s v="LINESTRING (11.166936441641871 59.21094541054559, 11.165855121021474 59.21166167982827, 11.165417833063513 59.21199614091647, 11.163257789160786 59.21455723388343, 11.162647151987665 59.21590887657868)"/>
    <s v="[1616329, 1616337, 1616345, 1616353]"/>
    <s v="[1448935, 1448939, 1448942, 1448943]"/>
    <s v="0.0056991003802209245"/>
    <s v="[1448929, 1448935, 1448939, 1448942]"/>
    <s v="[0.026, 0.006, 0.016, 0.009]"/>
    <s v="612.5276336463739"/>
    <s v="[-0.026, -0.006, 0.016, 0.009]"/>
  </r>
  <r>
    <x v="4664"/>
    <x v="5131"/>
    <x v="0"/>
    <s v="[0, 0, 1, 0, 0]"/>
    <s v="LINESTRING (11.166936441641871 59.21094541054559, 11.166802670072084 59.211088834385855, 11.165925220034177 59.21169629285943, 11.165493897381829 59.21203227879293, 11.1665989650203 59.212874444583754, 11.166681896791566 59.212847405341776)"/>
    <s v="[1629988, 1629994, 1629997, 1630005, 1630011]"/>
    <s v="[1457606, 1457612, 1457615, 1457621, 1457626]"/>
    <s v="#FIELD!"/>
    <s v="[1448929, 1457606, 1457612, 1457615, 1457621]"/>
    <s v="[0.034, 0.024, 0.006, 0.006, 0.148]"/>
    <s v="330.63604552011725"/>
    <s v="[-0.034, -0.024, -0.006, -0.006, -0.148]"/>
  </r>
  <r>
    <x v="4665"/>
    <x v="5132"/>
    <x v="0"/>
    <n v="0"/>
    <s v="LINESTRING (11.166792768432321 59.21295927609295, 11.166649634571174 59.212961434414225, 11.162785630529537 59.21576197249713, 11.162647151987665 59.21590887657868)"/>
    <s v="[1629889, 1629906, 1630235]"/>
    <s v="[1457508, 1457528, 1448943]"/>
    <s v="0.016870291182481536"/>
    <s v="[1457507, 1457508, 1457528]"/>
    <s v="[0.024, 0.018, 0.013]"/>
    <s v="455.4067468528284"/>
    <s v="[0.024, 0.018, -0.013]"/>
  </r>
  <r>
    <x v="4666"/>
    <x v="4558"/>
    <x v="0"/>
    <s v="[0, 1, 0]"/>
    <s v="LINESTRING (8.473381112614895 58.299289703653386, 8.47339641887467 58.29926827443899, 8.473726077845825 58.298807791655264, 8.473741917489399 58.29878569613385)"/>
    <s v="[1617032, 1617040, 1617048]"/>
    <s v="[1449298, 1449303, 1449306]"/>
    <s v="0.000975413617476108"/>
    <s v="[1449292, 1449298, 1449303]"/>
    <s v="[0.014, 0.002, 0.033]"/>
    <s v="60.075827223331416"/>
    <s v="[0.014, 0.002, -0.033]"/>
  </r>
  <r>
    <x v="4667"/>
    <x v="4549"/>
    <x v="0"/>
    <n v="0"/>
    <s v="LINESTRING (11.180320380483508 60.25378242343143, 11.180304822360458 60.25373934007682, 11.181675845310291 60.252290071639386, 11.182462409428272 60.25026844858987, 11.182652155984448 60.24982904373186)"/>
    <s v="[1619960, 1619968, 1619976, 1620592]"/>
    <s v="[1451104, 1451108, 1451110, 1451397]"/>
    <s v="#FIELD!"/>
    <s v="[1451103, 1451104, 1451108, 1451110]"/>
    <s v="[0.006, 0.04, 0.022, 0.024]"/>
    <s v="467.33030208745123"/>
    <s v="[-0.006, -0.04, -0.022, -0.024]"/>
  </r>
  <r>
    <x v="4667"/>
    <x v="4554"/>
    <x v="0"/>
    <s v="[0, 1, 0]"/>
    <s v="LINESTRING (11.180320380483508 60.25378242343143, 11.180572395733266 60.25372298459373, 11.181412860305958 60.25385991596769, 11.18156415351849 60.25401277246983)"/>
    <s v="[1746813, 1746814, 1746830]"/>
    <s v="[1548883, 1548884, 1451131]"/>
    <s v="#FIELD!"/>
    <s v="[1451103, 1548883, 1548884]"/>
    <s v="[0.374, 0.012, 0.145]"/>
    <s v="86.30892416743666"/>
    <s v="[-0.374, -0.012, 0.145]"/>
  </r>
  <r>
    <x v="4667"/>
    <x v="5133"/>
    <x v="0"/>
    <n v="1"/>
    <s v="LINESTRING (11.179999778032773 60.25418794245313, 11.179992314318008 60.25404570014337, 11.180031495460044 60.253971860166736, 11.180106055932809 60.253895533742096, 11.180320380483508 60.25378242343143)"/>
    <s v="[1746864, 1746807, 1746808, 1746809]"/>
    <s v="[1451160, 1548877, 1451137, 1451103]"/>
    <s v="#FIELD!"/>
    <s v="[1451175, 1451160, 1548877, 1451137]"/>
    <s v="[0.399, 0.018, 0.023, 0.26]"/>
    <s v="51.13321512179763"/>
    <s v="[-0.399, -0.018, -0.023, 0.26]"/>
  </r>
  <r>
    <x v="4668"/>
    <x v="5134"/>
    <x v="0"/>
    <n v="1"/>
    <s v="LINESTRING (11.18156415351849 60.25401277246983, 11.181563286722344 60.254201697537475, 11.18152212521434 60.254263075968254, 11.18146178417568 60.2543198569452, 11.181248251459506 60.254430834520164)"/>
    <s v="[1746840, 1746849, 1746850, 1746851]"/>
    <s v="[1451465, 1548905, 1451440, 1451179]"/>
    <s v="0.033928094825679156"/>
    <s v="[1451131, 1451465, 1548905, 1451440]"/>
    <s v="[0.033, 0.057, 0.063, 0.095]"/>
    <s v="52.68220254698966"/>
    <s v="[-0.033, 0.057, 0.063, 0.095]"/>
  </r>
  <r>
    <x v="4669"/>
    <x v="5134"/>
    <x v="0"/>
    <s v="[0, 1, 0]"/>
    <s v="LINESTRING (11.181248251459506 60.254430834520164, 11.181084344854243 60.254476092857296, 11.180072152160486 60.25429007592523, 11.179999778032773 60.25418794245313)"/>
    <s v="[1746852, 1746862, 1746863]"/>
    <s v="[1548906, 1548914, 1451175]"/>
    <s v="0.046180723288171514"/>
    <s v="[1451179, 1548906, 1548914]"/>
    <s v="[0.06, 0.02, 0.495]"/>
    <s v="87.61947572424369"/>
    <s v="[-0.06, -0.02, 0.495]"/>
  </r>
  <r>
    <x v="4669"/>
    <x v="5135"/>
    <x v="0"/>
    <n v="0"/>
    <s v="LINESTRING (11.177947169291532 60.257263343005405, 11.177975456362947 60.25713894053659, 11.179011585574672 60.25599184537659, 11.179921763038138 60.25421510696968, 11.179999778032773 60.25418794245313)"/>
    <s v="[2050717, 1620081, 1620089, 1620097]"/>
    <s v="[1451167, 1451168, 1451171, 1451175]"/>
    <s v="#FIELD!"/>
    <s v="[1549128, 1451167, 1451168, 1451171]"/>
    <s v="[0.001, 0.0, 0.008, 0.071]"/>
    <s v="368.91422796309536"/>
    <s v="[-0.001, 0.0, -0.008, -0.071]"/>
  </r>
  <r>
    <x v="4670"/>
    <x v="4553"/>
    <x v="462"/>
    <n v="0"/>
    <s v="LINESTRING (11.181248251459506 60.254430834520164, 11.18125914961909 60.25446472254463, 11.179438401255496 60.25597743788733, 11.178223953969898 60.2572952588604, 11.178056762711934 60.257428314310985, 11.177900325644556 60.257525327739295)"/>
    <s v="[1620105, 1620113, 1620121, 2050701, 2050709]"/>
    <s v="[1451180, 1451183, 1451186, 1785107, 1549146]"/>
    <s v="0.016687546762731435"/>
    <s v="[1451179, 1451180, 1451183, 1451186, 1785107]"/>
    <s v="[0.007, 0.028, 0.008, 0.111, 0.302]"/>
    <s v="400.34008769331007"/>
    <s v="[0.007, 0.028, -0.008, -0.111, 0.302]"/>
  </r>
  <r>
    <x v="4671"/>
    <x v="5135"/>
    <x v="0"/>
    <n v="0"/>
    <s v="LINESTRING (11.182652155984448 60.24982904373186, 11.182419712478648 60.250772700816555, 11.181756956717237 60.25238087790672, 11.179125870454557 60.255980360689556, 11.178580585315121 60.25658614188966, 11.177947169291532 60.257263343005405)"/>
    <s v="[1620560, 1620568, 1620576, 1620584, 1747254]"/>
    <s v="[1451401, 1451404, 1451406, 1451409, 1549128]"/>
    <s v="0.020659628905216606"/>
    <s v="[1451397, 1451401, 1451404, 1451406, 1451409]"/>
    <s v="[0.021, 0.023, 0.027, 0.017, 0.016]"/>
    <s v="873.2519468879565"/>
    <s v="[0.021, 0.023, 0.027, -0.017, 0.016]"/>
  </r>
  <r>
    <x v="4672"/>
    <x v="5136"/>
    <x v="0"/>
    <n v="0"/>
    <s v="LINESTRING (11.174568190219988 60.22691965440907, 11.17447553616293 60.22718182598697, 11.174731338790954 60.23089573722158, 11.174695226387035 60.2309590748739, 11.174672042546975 60.23099975559434)"/>
    <s v="[1746409, 1746389, 1746390, 1746397]"/>
    <s v="[1548643, 1548644, 1548645, 1548618]"/>
    <s v="#FIELD!"/>
    <s v="[1451473, 1548643, 1548644, 1548645]"/>
    <s v="[0.038, 0.003, 0.014, 0.018]"/>
    <s v="470.6644450372832"/>
    <s v="[-0.038, -0.003, -0.014, -0.018]"/>
  </r>
  <r>
    <x v="4673"/>
    <x v="5137"/>
    <x v="0"/>
    <n v="0"/>
    <s v="LINESTRING (11.252562696662284 59.10340835878143, 11.252775601509267 59.10353618821623, 11.258406889695694 59.11011425161613, 11.259416062124336 59.11031313394189)"/>
    <s v="[1622045, 1622053, 1622061]"/>
    <s v="[1452373, 1452377, 1452380]"/>
    <s v="0.03190681167413587"/>
    <s v="[1452372, 1452373, 1452377]"/>
    <s v="[0.011, 0.041, 0.082]"/>
    <s v="900.3023904994013"/>
    <s v="[0.011, 0.041, -0.082]"/>
  </r>
  <r>
    <x v="4673"/>
    <x v="5138"/>
    <x v="0"/>
    <n v="0"/>
    <s v="LINESTRING (11.252562696662284 59.10340835878143, 11.252634781601518 59.1034854790245, 11.254943536479919 59.10645537537549, 11.256036783808945 59.108780907855525)"/>
    <s v="[1697159, 1697167, 1697175]"/>
    <s v="[1517756, 1517760, 1452388]"/>
    <s v="0.041968956053619264"/>
    <s v="[1452372, 1517756, 1517760]"/>
    <s v="[0.032, 0.067, 0.011]"/>
    <s v="634.8179286335906"/>
    <s v="[-0.032, 0.067, 0.011]"/>
  </r>
  <r>
    <x v="4673"/>
    <x v="5139"/>
    <x v="0"/>
    <s v="[1, 0, 1, 1]"/>
    <s v="LINESTRING (11.251374893219486 59.09653334356553, 11.251374893219486 59.09653334356553, 11.252163458271271 59.103031280421376, 11.252236937377788 59.10310442288057, 11.252562696662284 59.10340835878143)"/>
    <s v="[1697127, 1697135, 1697143, 1697151]"/>
    <s v="[1517736, 1517742, 1517747, 1452372]"/>
    <s v="#FIELD!"/>
    <s v="[1517735, 1517736, 1517742, 1517747]"/>
    <s v="[0.0, 0.004, 0.002, 0.032]"/>
    <s v="1023.8027181712811"/>
    <s v="[0.0, -0.004, 0.002, 0.032]"/>
  </r>
  <r>
    <x v="4674"/>
    <x v="5140"/>
    <x v="0"/>
    <n v="0"/>
    <s v="LINESTRING (11.256036783808945 59.108780907855525, 11.256159020054637 59.10886695351848, 11.25830977944235 59.110170438243564, 11.259395928854184 59.110388254081926)"/>
    <s v="[1622069, 1622077, 1622085]"/>
    <s v="[1452389, 1452393, 1452399]"/>
    <s v="0.007685174740197455"/>
    <s v="[1452388, 1452389, 1452393]"/>
    <s v="[0.024, 0.037, 0.081]"/>
    <s v="274.5566789896728"/>
    <s v="[0.024, 0.037, -0.081]"/>
  </r>
  <r>
    <x v="4674"/>
    <x v="5141"/>
    <x v="0"/>
    <n v="0"/>
    <s v="LINESTRING (11.256036783808945 59.108780907855525, 11.25661568500685 59.109502399863906, 11.256705713302829 59.1095983562888, 11.257637497633997 59.11045515823451)"/>
    <s v="[1697183, 1697191, 1697199]"/>
    <s v="[1517771, 1517777, 1517784]"/>
    <s v="0.005506054945756438"/>
    <s v="[1452388, 1517771, 1517777]"/>
    <s v="[0.013, 0.029, 0.003]"/>
    <s v="208.29938378751663"/>
    <s v="[0.013, 0.029, -0.003]"/>
  </r>
  <r>
    <x v="4675"/>
    <x v="5142"/>
    <x v="463"/>
    <n v="0"/>
    <s v="LINESTRING (23.349019734126305 69.97487602385073, 23.348860984959533 69.97540821227233, 23.34985444756511 69.97596385078569, 23.349794865606547 69.97643416176595)"/>
    <s v="[1623903, 1623911, 1623919]"/>
    <s v="[1453445, 1453448, 1453455]"/>
    <s v="#FIELD!"/>
    <s v="[1453439, 1453445, 1453448]"/>
    <s v="[0.065, 0.067, 0.063]"/>
    <s v="188.0996463588521"/>
    <s v="[-0.065, -0.067, -0.063]"/>
  </r>
  <r>
    <x v="4676"/>
    <x v="1722"/>
    <x v="0"/>
    <s v="[0, 0, 1, 0, 0, 1, 1, 1, 0, 0, 0]"/>
    <s v="LINESTRING (11.264688751473933 59.13352222933803, 11.26471283830172 59.13343558992893, 11.264839794769635 59.13330318107504, 11.266395694880787 59.13177136629154, 11.26651219897159 59.13166124573168, 11.268533502075533 59.12893939914501, 11.26871966095352 59.12893642230534, 11.269560153270124 59.1289227300547, 11.269838509903398 59.12891527508859, 11.27096045406617 59.128565173974124, 11.271151653541908 59.12842506015595, 11.271230022204344 59.128336321963275)"/>
    <s v="[1626228, 1626348, 1626356, 1626364, 1678183, 1678191, 1678199, 1678207, 1678215, 1823442, 1823444]"/>
    <s v="[1454837, 1454905, 1454911, 1454916, 1504746, 1504755, 1504759, 1504768, 1504775, 1602639, 1602641]"/>
    <s v="0.03510129611512087"/>
    <s v="[1454836, 1454837, 1454905, 1454911, 1454916, 1504746, 1504755, 1504759, 1504768, 1504775, 1602639]"/>
    <s v="[0.014, 0.016, 0.044, 0.075, 0.048, 0.067, 0.039, 0.003, 0.01, 0.175, 0.014]"/>
    <s v="794.7611007850609"/>
    <s v="[0.014, 0.016, 0.044, 0.075, 0.048, -0.067, -0.039, -0.003, -0.01, 0.175, -0.014]"/>
  </r>
  <r>
    <x v="4676"/>
    <x v="1723"/>
    <x v="0"/>
    <s v="[0, 0, 1, 1, 1, 0]"/>
    <s v="LINESTRING (11.270020967777764 59.12739679500845, 11.269052858577716 59.12900625648344, 11.266472163448745 59.13178386970849, 11.26612200879105 59.132122977307645, 11.26608031881107 59.132163353484714, 11.264890129713017 59.13331653284529, 11.264688751473933 59.13352222933803)"/>
    <s v="[1671142, 1626116, 1626188, 1626196, 1626204, 1626260]"/>
    <s v="[1454775, 1454776, 1454814, 1454819, 1454821, 1454836]"/>
    <s v="#FIELD!"/>
    <s v="[1498856, 1454775, 1454776, 1454814, 1454819, 1454821]"/>
    <s v="[0.023, 0.057, 0.065, 0.058, 0.038, 0.014]"/>
    <s v="749.9031459001513"/>
    <s v="[0.023, -0.057, -0.065, -0.058, -0.038, -0.014]"/>
  </r>
  <r>
    <x v="4677"/>
    <x v="5143"/>
    <x v="0"/>
    <n v="0"/>
    <s v="LINESTRING (5.881031279550679 61.447931311189265, 5.881031279550679 61.447931311189265, 5.881460070131916 61.447848877822885, 5.882488876852142 61.447724580479935)"/>
    <s v="[1891469, 1891470, 1891471]"/>
    <s v="[1662628, 1662629, 1455225]"/>
    <s v="0.12396522201411755"/>
    <s v="[1662627, 1662628, 1662629]"/>
    <s v="[0.0, 0.004, 0.199]"/>
    <s v="90.29056831431049"/>
    <s v="[0.0, -0.004, 0.199]"/>
  </r>
  <r>
    <x v="4678"/>
    <x v="3570"/>
    <x v="464"/>
    <n v="0"/>
    <s v="LINESTRING (5.884103003838848 61.4473536534904, 6.095512698824922 61.48907653528614)"/>
    <m/>
    <m/>
    <s v="0.0"/>
    <m/>
    <n v="0"/>
    <s v="14988.793078673878"/>
    <n v="0"/>
  </r>
  <r>
    <x v="4679"/>
    <x v="5144"/>
    <x v="0"/>
    <n v="0"/>
    <m/>
    <n v="1629774"/>
    <n v="1457385"/>
    <s v="0.038"/>
    <n v="1457419"/>
    <s v="0.038"/>
    <s v="7.262533993116716"/>
    <s v="0.038"/>
  </r>
  <r>
    <x v="4680"/>
    <x v="5144"/>
    <x v="0"/>
    <n v="0"/>
    <s v="LINESTRING (8.54444709699797 58.32560030538212, 8.54447538550077 58.325663709154, 8.544441836613997 58.3257263222733)"/>
    <s v="[1629758, 1629766]"/>
    <s v="[1457411, 1457419]"/>
    <s v="0.02099319210061542"/>
    <s v="[1457404, 1457411]"/>
    <s v="[0.009, 0.033]"/>
    <s v="14.519432913696786"/>
    <s v="[0.009, 0.033]"/>
  </r>
  <r>
    <x v="4680"/>
    <x v="5145"/>
    <x v="0"/>
    <n v="0"/>
    <s v="LINESTRING (8.54444709699797 58.32560030538212, 8.544535427368505 58.32560986017951, 8.5450819152427 58.32558571437913)"/>
    <s v="[1629814, 1629822]"/>
    <s v="[1457450, 1457436]"/>
    <s v="#FIELD!"/>
    <s v="[1457404, 1457450]"/>
    <s v="[0.033, 0.038]"/>
    <s v="37.8012152010792"/>
    <s v="[-0.033, -0.038]"/>
  </r>
  <r>
    <x v="4681"/>
    <x v="5145"/>
    <x v="0"/>
    <n v="0"/>
    <s v="LINESTRING (8.544441836613997 58.3257263222733, 8.544540343876323 58.32570712764729, 8.5450819152427 58.32558571437913)"/>
    <s v="[1629782, 1629790]"/>
    <s v="[1457429, 1457436]"/>
    <s v="#FIELD!"/>
    <s v="[1457419, 1457429]"/>
    <s v="0.042"/>
    <s v="40.822067201413965"/>
    <s v="#FIELD!"/>
  </r>
  <r>
    <x v="4682"/>
    <x v="3893"/>
    <x v="0"/>
    <s v="[1, 0]"/>
    <s v="LINESTRING (8.5450819152427 58.32558571437913, 8.545911860473314 58.325411484383345, 8.546189212653953 58.325355102570235)"/>
    <s v="[1629798, 1629806]"/>
    <s v="[1457441, 1457447]"/>
    <s v="#FIELD!"/>
    <s v="[1457436, 1457441]"/>
    <s v="0.044"/>
    <s v="69.8769014892612"/>
    <s v="#FIELD!"/>
  </r>
  <r>
    <x v="4683"/>
    <x v="5131"/>
    <x v="0"/>
    <n v="0"/>
    <m/>
    <n v="1630156"/>
    <n v="1457626"/>
    <s v="#FIELD!"/>
    <n v="1457507"/>
    <s v="0.029"/>
    <s v="14.313858365260044"/>
    <s v="#FIELD!"/>
  </r>
  <r>
    <x v="4683"/>
    <x v="5146"/>
    <x v="0"/>
    <n v="0"/>
    <s v="LINESTRING (11.166947952477027 59.2127623017499, 11.167082470855355 59.21291811171008, 11.167002057359419 59.21296598328577, 11.166866430872416 59.21297982557498, 11.166792768432321 59.21295927609295)"/>
    <s v="[1630123, 1630137, 1630138, 1630147]"/>
    <s v="[1457597, 1457740, 1457592, 1457507]"/>
    <s v="#FIELD!"/>
    <s v="[1457545, 1457597, 1457740, 1457592]"/>
    <s v="[0.055, 0.015, 0.027, 0.121]"/>
    <s v="40.900064125096264"/>
    <s v="[-0.055, 0.015, 0.027, 0.121]"/>
  </r>
  <r>
    <x v="4684"/>
    <x v="5146"/>
    <x v="0"/>
    <n v="0"/>
    <s v="LINESTRING (11.166651160286218 59.212583479562554, 11.166864550708187 59.21271965527886, 11.166947952477027 59.2127623017499)"/>
    <s v="[1629921, 1629922]"/>
    <s v="[1457544, 1457545]"/>
    <s v="#FIELD!"/>
    <s v="[1457543, 1457544]"/>
    <s v="[0.023, 0.027]"/>
    <s v="26.19287631958171"/>
    <s v="[-0.023, -0.027]"/>
  </r>
  <r>
    <x v="4684"/>
    <x v="5147"/>
    <x v="0"/>
    <n v="0"/>
    <s v="LINESTRING (11.166651160286218 59.212583479562554, 11.166708995064758 59.21275188696036, 11.166714260892286 59.21280430987214)"/>
    <s v="[1629953, 1629964]"/>
    <s v="[1457571, 1457581]"/>
    <s v="#FIELD!"/>
    <s v="[1457543, 1457571]"/>
    <s v="[0.019, 0.016]"/>
    <s v="24.901267478498422"/>
    <s v="[-0.019, -0.016]"/>
  </r>
  <r>
    <x v="4684"/>
    <x v="5148"/>
    <x v="0"/>
    <n v="0"/>
    <s v="LINESTRING (11.165146600370491 59.211629343721064, 11.165889539275534 59.211956307412116, 11.166651160286218 59.212583479562554)"/>
    <s v="[1629929, 1629944]"/>
    <s v="[1457553, 1457543]"/>
    <s v="#FIELD!"/>
    <s v="[1457552, 1457553]"/>
    <s v="0.01"/>
    <s v="138.54644616606316"/>
    <s v="[0.01, -0.01]"/>
  </r>
  <r>
    <x v="4685"/>
    <x v="5147"/>
    <x v="0"/>
    <n v="0"/>
    <s v="LINESTRING (11.166714260892286 59.21280430987214, 11.166814239561091 59.212765664239605, 11.166947952477027 59.2127623017499)"/>
    <s v="[1630183, 1630194]"/>
    <s v="[1457776, 1457545]"/>
    <s v="#FIELD!"/>
    <s v="[1457581, 1457776]"/>
    <s v="[0.144, 0.112]"/>
    <s v="14.801384835574446"/>
    <s v="[-0.144, 0.112]"/>
  </r>
  <r>
    <x v="4686"/>
    <x v="5149"/>
    <x v="0"/>
    <n v="0"/>
    <s v="LINESTRING (11.164793303571713 59.211429762784654, 11.164888285627912 59.21148632748209, 11.165146600370491 59.211629343721064)"/>
    <s v="[1630273, 1630281]"/>
    <s v="[1457844, 1457552]"/>
    <s v="0.0054920401398815466"/>
    <s v="[1457671, 1457844]"/>
    <s v="[0.012, 0.003]"/>
    <s v="30.036034655342224"/>
    <s v="[0.012, 0.003]"/>
  </r>
  <r>
    <x v="4686"/>
    <x v="5150"/>
    <x v="0"/>
    <n v="0"/>
    <s v="LINESTRING (11.164690677498387 59.21154584897345, 11.164792592458117 59.21157034456206, 11.165146600370491 59.211629343721064)"/>
    <s v="[1630291, 1630299]"/>
    <s v="[1457858, 1457552]"/>
    <s v="#FIELD!"/>
    <s v="[1457688, 1457858]"/>
    <s v="[0.001, 0.006]"/>
    <s v="27.69762068361851"/>
    <s v="[0.001, -0.006]"/>
  </r>
  <r>
    <x v="4687"/>
    <x v="5131"/>
    <x v="0"/>
    <n v="0"/>
    <m/>
    <n v="1630174"/>
    <n v="1457581"/>
    <s v="0.161"/>
    <n v="1457626"/>
    <s v="0.161"/>
    <s v="5.1453765648925796"/>
    <s v="0.161"/>
  </r>
  <r>
    <x v="4688"/>
    <x v="5149"/>
    <x v="0"/>
    <n v="0"/>
    <m/>
    <n v="1630059"/>
    <n v="1457671"/>
    <s v="0.013"/>
    <n v="1457640"/>
    <s v="0.013"/>
    <s v="7.599421029880641"/>
    <s v="0.013"/>
  </r>
  <r>
    <x v="4688"/>
    <x v="5130"/>
    <x v="0"/>
    <n v="0"/>
    <s v="LINESTRING (11.164419694508634 59.211532811908306, 11.164377839748187 59.21145435213321, 11.164394470837054 59.21139369367056, 11.164511420133506 59.211345203604814, 11.164736050920125 59.21136819903143)"/>
    <s v="[1630091, 1630092, 1630111, 1630051]"/>
    <s v="[1457706, 1457707, 1457662, 1457640]"/>
    <s v="#FIELD!"/>
    <s v="[1457698, 1457706, 1457707, 1457662]"/>
    <s v="[0.015, 0.017, 0.015, 0.004]"/>
    <s v="38.048467622914195"/>
    <s v="[-0.015, -0.017, -0.015, -0.004]"/>
  </r>
  <r>
    <x v="4689"/>
    <x v="5150"/>
    <x v="0"/>
    <n v="0"/>
    <s v="LINESTRING (11.164793303571713 59.211429762784654, 11.16475691860833 59.21150240589029, 11.164690677498387 59.21154584897345)"/>
    <s v="[1630067, 1630075]"/>
    <s v="[1457678, 1457688]"/>
    <s v="0.01927115981578881"/>
    <s v="[1457671, 1457678]"/>
    <s v="[0.018, 0.021]"/>
    <s v="14.500866604651483"/>
    <s v="[0.018, 0.021]"/>
  </r>
  <r>
    <x v="4690"/>
    <x v="5130"/>
    <x v="0"/>
    <n v="0"/>
    <m/>
    <n v="1630083"/>
    <n v="1457698"/>
    <s v="0.004"/>
    <n v="1457688"/>
    <s v="0.004"/>
    <s v="15.890342853508901"/>
    <s v="0.004"/>
  </r>
  <r>
    <x v="4691"/>
    <x v="2188"/>
    <x v="0"/>
    <n v="0"/>
    <m/>
    <n v="1630209"/>
    <n v="1457801"/>
    <s v="0.003"/>
    <n v="1457792"/>
    <s v="0.003"/>
    <s v="123.87635418261954"/>
    <s v="0.003"/>
  </r>
  <r>
    <x v="4691"/>
    <x v="290"/>
    <x v="0"/>
    <n v="0"/>
    <s v="LINESTRING (10.234975822377809 59.71168371533638, 10.236128521397493 59.710767475657235, 10.236807679365864 59.710334169598255, 10.237344227152679 59.709997553760054)"/>
    <s v="[1630228, 1630229, 1630230]"/>
    <s v="[1457812, 1457813, 1457814]"/>
    <s v="0.02474848691141401"/>
    <s v="[1457792, 1457812, 1457813]"/>
    <s v="[0.0, 0.021, 0.093]"/>
    <s v="233.3012674956893"/>
    <s v="[-0.0, 0.021, 0.093]"/>
  </r>
  <r>
    <x v="4692"/>
    <x v="4662"/>
    <x v="0"/>
    <n v="0"/>
    <s v="LINESTRING (10.384766091668768 59.74105813839757, 10.382078014939525 59.74083459750042, 10.378492787317764 59.740226556329894, 10.376881480959439 59.73982135296744, 10.37645020275836 59.739701275642595)"/>
    <s v="[1632003, 1632010, 1632011, 1632012]"/>
    <s v="[1459276, 1459282, 1459283, 1459284]"/>
    <s v="#FIELD!"/>
    <s v="[1459275, 1459276, 1459282, 1459283]"/>
    <s v="[0.04, 0.008, 0.051, 0.034]"/>
    <s v="495.45289295112497"/>
    <s v="[-0.04, -0.008, 0.051, 0.034]"/>
  </r>
  <r>
    <x v="4693"/>
    <x v="4663"/>
    <x v="0"/>
    <n v="0"/>
    <m/>
    <n v="1632058"/>
    <n v="1459320"/>
    <s v="#FIELD!"/>
    <n v="1459316"/>
    <s v="0.006"/>
    <s v="213.7920743384474"/>
    <s v="#FIELD!"/>
  </r>
  <r>
    <x v="4694"/>
    <x v="287"/>
    <x v="0"/>
    <n v="0"/>
    <s v="LINESTRING (10.25817080177434 59.768533657524934, 10.25815405609435 59.768498260348146, 10.257488631110604 59.76794167747096, 10.257421608585027 59.767909319739395)"/>
    <s v="[1634531, 1634539, 1634547]"/>
    <s v="[1461372, 1461379, 1461385]"/>
    <s v="0.008831963289512312"/>
    <s v="[1461371, 1461372, 1461379]"/>
    <s v="[0.02, 0.01, 0.015]"/>
    <s v="81.85147272213172"/>
    <s v="[-0.02, 0.01, 0.015]"/>
  </r>
  <r>
    <x v="4695"/>
    <x v="289"/>
    <x v="0"/>
    <n v="0"/>
    <s v="LINESTRING (10.247956328620363 59.69441063894602, 10.24785373237359 59.69439353250997, 10.247772289299265 59.69435139605337, 10.247742410350096 59.69428360589837, 10.24802018011499 59.694179501816585)"/>
    <s v="[2094438, 2094442, 2094453, 2094469]"/>
    <s v="[1435412, 1812199, 1812203, 1461773]"/>
    <s v="0.010398024883813051"/>
    <s v="[1465541, 1435412, 1812199, 1812203]"/>
    <s v="[0.224, 0.025, 0.031, 0.101]"/>
    <s v="42.24323747891742"/>
    <s v="[-0.224, -0.025, -0.031, 0.101]"/>
  </r>
  <r>
    <x v="4696"/>
    <x v="2209"/>
    <x v="0"/>
    <n v="0"/>
    <s v="LINESTRING (10.25000851453168 59.69425680885719, 10.250086963411107 59.694263260525815, 10.250199631510855 59.69430344248388, 10.250246153158155 59.694346658759066, 10.250254673306978 59.694395836893186, 10.250191589766656 59.69446706460977, 10.2500763839977 59.694504443456466, 10.249986470691095 59.6945090535385)"/>
    <s v="[2094483, 2094489, 2094491, 2094507, 2094508, 2094517, 2094547]"/>
    <s v="[1299292, 1812214, 1535139, 1535134, 1812219, 1299286, 1465770]"/>
    <s v="0.016266392027604458"/>
    <s v="[1461895, 1299292, 1812214, 1535139, 1535134, 1812219, 1299286]"/>
    <s v="[0.146, 0.035, 0.062, 0.056, 0.045, 0.017, 0.012]"/>
    <s v="44.73578496904856"/>
    <s v="[-0.146, 0.035, 0.062, 0.056, 0.045, 0.017, -0.012]"/>
  </r>
  <r>
    <x v="4697"/>
    <x v="2201"/>
    <x v="0"/>
    <n v="0"/>
    <m/>
    <n v="2094480"/>
    <n v="1465541"/>
    <s v="0.098"/>
    <n v="1531845"/>
    <s v="0.098"/>
    <s v="10.742131050418143"/>
    <s v="0.098"/>
  </r>
  <r>
    <x v="4698"/>
    <x v="2204"/>
    <x v="0"/>
    <n v="0"/>
    <m/>
    <n v="2094562"/>
    <n v="1531927"/>
    <s v="#FIELD!"/>
    <n v="1465770"/>
    <s v="0.046"/>
    <s v="14.719195211890487"/>
    <s v="#FIELD!"/>
  </r>
  <r>
    <x v="4699"/>
    <x v="4418"/>
    <x v="0"/>
    <s v="[0, 0, 0, 0, 1, 0, 1, 0, 0, 0, 0, 0, 0]"/>
    <s v="LINESTRING (11.175108045935492 59.569961907656435, 11.175033438671342 59.5699690387822, 11.1749328664713 59.56997857476281, 11.174858168098027 59.56998541545721, 11.17467342843286 59.5700023239852, 11.171967847157552 59.570246781451694, 11.16736289586977 59.57053531802257, 11.165995346345495 59.57059924266482, 11.163996156245354 59.57069591304663, 11.163838192234195 59.570704467310456, 11.161554643032922 59.57084798258696, 11.161393002633515 59.570859239786174, 11.160555628933311 59.57092892402113, 11.160320575029747 59.57095154505002)"/>
    <s v="[1670022, 1670030, 1670038, 1670046, 1670054, 1670062, 1670070, 1670078, 1670086, 1670094, 1670102, 1670110, 1670118]"/>
    <s v="[1497910, 1497915, 1497922, 1497929, 1497934, 1497939, 1497946, 1497954, 1497960, 1497967, 1497972, 1497979, 1497984]"/>
    <s v="#FIELD!"/>
    <s v="[1497902, 1497910, 1497915, 1497922, 1497929, 1497934, 1497939, 1497946, 1497954, 1497960, 1497967, 1497972, 1497979]"/>
    <s v="[0.104, 0.1, 0.091, 0.11, 0.014, 0.029, 0.015, 0.031, 0.005, 0.011, 0.017, 0.007, 0.028]"/>
    <s v="843.6489637539056"/>
    <s v="[-0.104, -0.1, -0.091, -0.11, -0.014, -0.029, -0.015, 0.031, -0.005, 0.011, 0.017, 0.007, -0.028]"/>
  </r>
  <r>
    <x v="4700"/>
    <x v="5151"/>
    <x v="0"/>
    <s v="[0, 1, 0, 0, 0]"/>
    <s v="LINESTRING (11.160320575029747 59.57095154505002, 11.13617781860974 59.57875651003093, 11.135455369409792 59.57900998460188, 11.123821311635279 59.58249620323807, 11.121653246751901 59.58333660700473, 11.121566983582127 59.583369280627295)"/>
    <s v="[1670126, 1670134, 1670142, 1670150, 1670158]"/>
    <s v="[1497988, 1497994, 1498000, 1498005, 1498010]"/>
    <s v="0.0026825281660522765"/>
    <s v="[1497984, 1497988, 1497994, 1498000, 1498005]"/>
    <s v="[0.012, 0.002, 0.028, 0.03, 0.142]"/>
    <s v="2619.790445947694"/>
    <s v="[-0.012, -0.002, 0.028, 0.03, 0.142]"/>
  </r>
  <r>
    <x v="4701"/>
    <x v="5152"/>
    <x v="0"/>
    <n v="0"/>
    <s v="LINESTRING (11.121566983582127 59.583369280627295, 11.11360951111984 59.58783613571734, 11.113231227335804 59.58806055857225)"/>
    <s v="[1725511, 1725671]"/>
    <s v="[1535590, 1535594]"/>
    <s v="#FIELD!"/>
    <s v="[1498010, 1535590]"/>
    <s v="[0.015, 0.007]"/>
    <s v="704.3493407099255"/>
    <s v="[-0.015, 0.007]"/>
  </r>
  <r>
    <x v="4701"/>
    <x v="5153"/>
    <x v="0"/>
    <n v="0"/>
    <s v="LINESTRING (11.121566983582127 59.583369280627295, 11.121548158280557 59.58341879609864, 11.118417375893085 59.585676957871605, 11.11843519866778 59.58572882804578)"/>
    <s v="[1725687, 1725383, 1725391]"/>
    <s v="[1535498, 1535499, 1535507]"/>
    <s v="0.007602154111380387"/>
    <s v="[1498010, 1535498, 1535499]"/>
    <s v="[0.626, 0.002, 0.069]"/>
    <s v="326.55385537983614"/>
    <s v="[0.626, -0.002, -0.069]"/>
  </r>
  <r>
    <x v="4702"/>
    <x v="5154"/>
    <x v="0"/>
    <n v="0"/>
    <s v="LINESTRING (11.220090955146045 59.57344368598535, 11.219990762870916 59.57347686471529, 11.219610839936196 59.573566421107095)"/>
    <s v="[1670190, 1670198]"/>
    <s v="[1498040, 1498046]"/>
    <s v="0.0069682304926420024"/>
    <s v="[1498039, 1498040]"/>
    <s v="[0.014, 0.005]"/>
    <s v="30.925791893420865"/>
    <s v="[0.014, 0.005]"/>
  </r>
  <r>
    <x v="4702"/>
    <x v="5155"/>
    <x v="0"/>
    <n v="0"/>
    <s v="LINESTRING (11.220090955146045 59.57344368598535, 11.21997222581948 59.5734164506565, 11.219907139907566 59.57336376152447)"/>
    <s v="[1676996, 1677004]"/>
    <s v="[1503865, 1499783]"/>
    <s v="0.01509175530014687"/>
    <s v="[1498039, 1503865]"/>
    <s v="[0.018, 0.012]"/>
    <s v="14.293748611735055"/>
    <s v="[0.018, 0.012]"/>
  </r>
  <r>
    <x v="4703"/>
    <x v="5156"/>
    <x v="0"/>
    <n v="0"/>
    <m/>
    <n v="1676308"/>
    <n v="1498054"/>
    <s v="#FIELD!"/>
    <n v="1498046"/>
    <s v="0.002"/>
    <s v="109.01833579974752"/>
    <s v="#FIELD!"/>
  </r>
  <r>
    <x v="4703"/>
    <x v="5155"/>
    <x v="0"/>
    <n v="0"/>
    <s v="LINESTRING (11.219907139907566 59.57336376152447, 11.21984849912377 59.57340531460216, 11.219610839936196 59.573566421107095)"/>
    <s v="[1672150, 1672158]"/>
    <s v="[1499784, 1498046]"/>
    <s v="0.00019301603450403072"/>
    <s v="[1499783, 1499784]"/>
    <s v="[0.009, 0.002]"/>
    <s v="28.561636114747266"/>
    <s v="[0.009, -0.002]"/>
  </r>
  <r>
    <x v="4704"/>
    <x v="5112"/>
    <x v="0"/>
    <n v="0"/>
    <s v="LINESTRING (11.218156580892229 59.57420903777524, 11.21805567740909 59.574319476372274, 11.218009951064365 59.574355190456)"/>
    <s v="[1670206, 1670214]"/>
    <s v="[1498055, 1498062]"/>
    <s v="0.005777542223580705"/>
    <s v="[1498054, 1498055]"/>
    <s v="[0.005, 0.008]"/>
    <s v="18.30796837438813"/>
    <s v="[0.005, 0.008]"/>
  </r>
  <r>
    <x v="4704"/>
    <x v="5157"/>
    <x v="0"/>
    <n v="0"/>
    <s v="LINESTRING (11.218156580892229 59.57420903777524, 11.217897338877934 59.57424448382014, 11.217811353307585 59.57426962174686)"/>
    <s v="[1672166, 1672174]"/>
    <s v="[1499801, 1499807]"/>
    <s v="0.012"/>
    <s v="[1498054, 1499801]"/>
    <s v="0.012"/>
    <s v="21.34216087892186"/>
    <s v="0.012"/>
  </r>
  <r>
    <x v="4705"/>
    <x v="5157"/>
    <x v="0"/>
    <n v="0"/>
    <s v="LINESTRING (11.217811353307585 59.57426962174686, 11.217951674939304 59.574308774076464, 11.218009951064365 59.574355190456)"/>
    <s v="[1676892, 1676900]"/>
    <s v="[1503793, 1498062]"/>
    <s v="#FIELD!"/>
    <s v="[1499807, 1503793]"/>
    <s v="[0.011, 0.007]"/>
    <s v="15.183891342243957"/>
    <s v="[-0.011, -0.007]"/>
  </r>
  <r>
    <x v="4706"/>
    <x v="5158"/>
    <x v="0"/>
    <n v="0"/>
    <s v="LINESTRING (10.704035856496294 59.44541686679903, 10.703925772274017 59.44541453518693, 10.70024089258675 59.445454915533865, 10.700107987519944 59.44547804973698)"/>
    <s v="[1670286, 1670294, 1670302]"/>
    <s v="[1498127, 1498135, 1498142]"/>
    <s v="0.029904792819186926"/>
    <s v="[1498126, 1498127, 1498135]"/>
    <s v="[0.006, 0.032, 0.003]"/>
    <s v="223.72651252226467"/>
    <s v="[-0.006, 0.032, 0.003]"/>
  </r>
  <r>
    <x v="4706"/>
    <x v="5159"/>
    <x v="0"/>
    <n v="0"/>
    <s v="LINESTRING (10.704035856496294 59.44541686679903, 10.70401267433054 59.44536304879808, 10.704022054168494 59.44530310966899)"/>
    <s v="[1677540, 1677548]"/>
    <s v="[1504261, 1499884]"/>
    <s v="0.054"/>
    <s v="[1498126, 1504261]"/>
    <s v="0.054"/>
    <s v="12.840778799947994"/>
    <s v="0.054"/>
  </r>
  <r>
    <x v="4706"/>
    <x v="3036"/>
    <x v="0"/>
    <n v="0"/>
    <s v="LINESTRING (10.704389306656859 59.44524776551585, 10.70447057496331 59.44528497271957, 10.704500236254935 59.445319760615284, 10.704513437203538 59.44536875361664, 10.7044931139615 59.44541754159251, 10.704336304938753 59.44548431441309, 10.704247813728466 59.44548589559694, 10.704148833356996 59.445472743580694, 10.704035856496294 59.44541686679903)"/>
    <s v="[1677572, 1677580, 1677588, 1677596, 1677508, 1677516, 1677524, 1677532]"/>
    <s v="[368274, 1504294, 1504300, 368249, 1504241, 1504245, 1504251, 1498126]"/>
    <s v="#FIELD!"/>
    <s v="[1502600, 368274, 1504294, 1504300, 368249, 1504241, 1504245, 1504251]"/>
    <s v="[0.016, 0.034, 0.033, 0.037, 0.036, 0.031, 0.003, 0.018]"/>
    <s v="52.86466403762168"/>
    <s v="[-0.016, -0.034, -0.033, -0.037, -0.036, -0.031, -0.003, 0.018]"/>
  </r>
  <r>
    <x v="4707"/>
    <x v="3035"/>
    <x v="0"/>
    <n v="0"/>
    <m/>
    <n v="1677604"/>
    <n v="1502606"/>
    <s v="#FIELD!"/>
    <n v="1498142"/>
    <s v="0.004"/>
    <s v="14.13300012791192"/>
    <s v="#FIELD!"/>
  </r>
  <r>
    <x v="4707"/>
    <x v="5160"/>
    <x v="0"/>
    <n v="0"/>
    <s v="LINESTRING (10.70008087733832 59.445344070092304, 10.70013399721956 59.44541236447395, 10.700107987519944 59.44547804973698)"/>
    <s v="[1677676, 1677684]"/>
    <s v="[1504359, 1498142]"/>
    <s v="#FIELD!"/>
    <s v="[1499900, 1504359]"/>
    <s v="[0.035, 0.031]"/>
    <s v="15.653225477123915"/>
    <s v="[-0.035, -0.031]"/>
  </r>
  <r>
    <x v="4708"/>
    <x v="1723"/>
    <x v="0"/>
    <s v="[0, 0, 0, 1, 1, 0, 0]"/>
    <s v="LINESTRING (11.260343042594618 59.11258518140228, 11.264338440941957 59.11544382481688, 11.264574820479302 59.11561141336919, 11.270621831515161 59.12384732443694, 11.270600706656621 59.125250111701035, 11.270384778083304 59.12636134041965, 11.270038637698699 59.1273581719868, 11.270020967777764 59.12739679500845)"/>
    <s v="[1671086, 1671094, 1671102, 1671110, 1671118, 1671126, 1671134]"/>
    <s v="[1498824, 1498829, 1498834, 1498838, 1498843, 1498850, 1498856]"/>
    <s v="#FIELD!"/>
    <s v="[1498817, 1498824, 1498829, 1498834, 1498838, 1498843, 1498850]"/>
    <s v="[0.01, 0.025, 0.033, 0.082, 0.012, 0.056, 0.029]"/>
    <s v="1810.2096115984068"/>
    <s v="[-0.01, 0.025, -0.033, -0.082, 0.012, 0.056, 0.029]"/>
  </r>
  <r>
    <x v="4708"/>
    <x v="798"/>
    <x v="0"/>
    <n v="0"/>
    <s v="LINESTRING (11.260343042594618 59.11258518140228, 11.260178696124566 59.11251751362021, 11.25727781482509 59.110732125847, 11.25635044330928 59.1107828474117, 11.255814476696772 59.11098414318401, 11.255736753561571 59.11101191453784, 11.255650258360937 59.111025894176024)"/>
    <s v="[1698039, 1674402, 1674410, 1674418, 1674426, 1674434]"/>
    <s v="[1501757, 1160035, 1160093, 1501769, 1501777, 1501718]"/>
    <s v="0.018167258158035226"/>
    <s v="[1498817, 1501757, 1160035, 1160093, 1501769, 1501777]"/>
    <s v="[0.048, 0.016, 0.019, 0.023, 0.019, 0.013]"/>
    <s v="377.68673031434497"/>
    <s v="[0.048, 0.016, 0.019, 0.023, 0.019, 0.013]"/>
  </r>
  <r>
    <x v="4709"/>
    <x v="5161"/>
    <x v="0"/>
    <n v="0"/>
    <s v="LINESTRING (10.850006489438732 59.35674624857875, 10.849920177781005 59.356757946817375, 10.849580340997607 59.356803697808296, 10.849512652672416 59.356812869385095, 10.844238235104537 59.35772828600472, 10.84399642194857 59.3577791924721, 10.843915123762095 59.35779592924954, 10.843672763606262 59.357847986573795, 10.843592747839027 59.3578657531619, 10.840011326749233 59.35873990708806)"/>
    <s v="[1671246, 1671254, 1671262, 1671270, 1671278, 1671286, 1671294, 1671302, 1671310]"/>
    <s v="[1498935, 1498942, 1498949, 1498955, 1498962, 1498968, 1498974, 1498978, 1498985]"/>
    <s v="0.0013038388176869534"/>
    <s v="[1498929, 1498935, 1498942, 1498949, 1498955, 1498962, 1498968, 1498974, 1498978]"/>
    <s v="[0.004, 0.004, 0.005, 0.007, 0.021, 0.023, 0.017, 0.01, 0.009]"/>
    <s v="611.8853846788036"/>
    <s v="[-0.004, -0.004, -0.005, 0.007, 0.021, 0.023, 0.017, 0.01, -0.009]"/>
  </r>
  <r>
    <x v="4709"/>
    <x v="5162"/>
    <x v="0"/>
    <n v="0"/>
    <s v="LINESTRING (10.843780262109174 59.35653721599538, 10.84381866217487 59.35661709969734, 10.849210859164563 59.35680787925692, 10.849812739332853 59.356739353589454, 10.850006489438732 59.35674624857875)"/>
    <s v="[1804422, 1675172, 1804430, 1804438]"/>
    <s v="[1502419, 1502420, 1590322, 1498929]"/>
    <s v="#FIELD!"/>
    <s v="[1502437, 1502419, 1502420, 1590322]"/>
    <s v="[0.017, 0.013, 0.055, 0.164]"/>
    <s v="422.77832309425264"/>
    <s v="[-0.017, -0.013, 0.055, -0.164]"/>
  </r>
  <r>
    <x v="4710"/>
    <x v="5163"/>
    <x v="0"/>
    <s v="[1, 0, 0, 0, 0, 0, 0, 0, 0]"/>
    <s v="LINESTRING (10.840011326749233 59.35873990708806, 10.839704972330848 59.35882542931254, 10.832968737471468 59.36109385561859, 10.832464987011704 59.361285978689345, 10.832016584841362 59.36145848060465, 10.83122884979715 59.361760997972816, 10.829770653253064 59.36232006954268, 10.829649849772824 59.362366023092804, 10.784405497419263 59.37422563369762, 10.758428986783736 59.382538995619825)"/>
    <s v="[1671318, 1671326, 1671334, 1671342, 1671350, 1671358, 1671366, 1671374, 1671382]"/>
    <s v="[1498992, 1498997, 1499005, 1499010, 1499016, 1499022, 1499029, 1499032, 1499042]"/>
    <s v="0.001606227099207075"/>
    <s v="[1498985, 1498992, 1498997, 1499005, 1499010, 1499016, 1499022, 1499029, 1499032]"/>
    <s v="[0.019, 0.017, 0.026, 0.027, 0.04, 0.065, 0.004, 0.003, 0.002]"/>
    <s v="5373.977723697601"/>
    <s v="[-0.019, -0.017, 0.026, -0.027, -0.04, 0.065, 0.004, 0.003, 0.002]"/>
  </r>
  <r>
    <x v="4710"/>
    <x v="5164"/>
    <x v="0"/>
    <n v="0"/>
    <s v="LINESTRING (10.840011326749233 59.35873990708806, 10.840291567180078 59.35862474098146, 10.843531856336602 59.35664590637596, 10.84356510271885 59.3565383500106)"/>
    <s v="[1698055, 1675228, 1804446]"/>
    <s v="[1502469, 1502470, 1502400]"/>
    <s v="0.01168873738216251"/>
    <s v="[1498985, 1502469, 1502470]"/>
    <s v="[0.021, 0.011, 0.014]"/>
    <s v="350.01687905279573"/>
    <s v="[0.021, 0.011, 0.014]"/>
  </r>
  <r>
    <x v="4711"/>
    <x v="815"/>
    <x v="0"/>
    <n v="0"/>
    <s v="LINESTRING (10.758428986783736 59.382538995619825, 10.757452721606032 59.38304521939021, 10.757235463212355 59.38315743976598, 10.745372706001374 59.38834546930367, 10.745250881295476 59.38840669182848)"/>
    <s v="[1671390, 1671398, 1671406, 1671414]"/>
    <s v="[1499048, 1499057, 1499064, 1499074]"/>
    <s v="#FIELD!"/>
    <s v="[1499042, 1499048, 1499057, 1499064]"/>
    <s v="[0.017, 0.014, 0.011, 0.027]"/>
    <s v="996.014531418865"/>
    <s v="[-0.017, -0.014, -0.011, 0.027]"/>
  </r>
  <r>
    <x v="4711"/>
    <x v="5165"/>
    <x v="0"/>
    <n v="0"/>
    <s v="LINESTRING (10.750964129718302 59.38551953068916, 10.751064613083997 59.38550592129272, 10.758254567814847 59.38258876942695, 10.758428986783736 59.382538995619825)"/>
    <s v="[1675260, 1675268, 1698071]"/>
    <s v="[1502493, 1502500, 1499042]"/>
    <s v="0.016783346791872697"/>
    <s v="[1502492, 1502493, 1502500]"/>
    <s v="[0.022, 0.017, 0.004]"/>
    <s v="545.3772672736962"/>
    <s v="[0.022, 0.017, 0.004]"/>
  </r>
  <r>
    <x v="4712"/>
    <x v="5166"/>
    <x v="0"/>
    <n v="0"/>
    <s v="LINESTRING (10.745250881295476 59.38840669182848, 10.74538349076171 59.38827218557274, 10.750548038766667 59.385709123476076, 10.75058025223513 59.38569357505557)"/>
    <s v="[1698087, 1675292, 1675300]"/>
    <s v="[1502523, 1502524, 1502533]"/>
    <s v="0.0027733881938212203"/>
    <s v="[1499074, 1502523, 1502524]"/>
    <s v="[0.03, 0.004, 0.021]"/>
    <s v="430.11586800607233"/>
    <s v="[-0.03, 0.004, 0.021]"/>
  </r>
  <r>
    <x v="4713"/>
    <x v="1743"/>
    <x v="0"/>
    <n v="0"/>
    <m/>
    <n v="1725399"/>
    <n v="1535514"/>
    <s v="#FIELD!"/>
    <n v="1499753"/>
    <s v="0.019"/>
    <s v="669.473411964026"/>
    <s v="#FIELD!"/>
  </r>
  <r>
    <x v="4713"/>
    <x v="5167"/>
    <x v="0"/>
    <n v="0"/>
    <s v="LINESTRING (11.116981087296354 59.58500189932683, 11.117063257354456 59.58499647234149, 11.121326937051236 59.58331424677651, 11.121428535723007 59.58331261162497)"/>
    <s v="[1725367, 1725375, 1725679]"/>
    <s v="[1535486, 1535491, 1499753]"/>
    <s v="#FIELD!"/>
    <s v="[1535485, 1535486, 1535491]"/>
    <s v="[0.048, 0.003, 0.483]"/>
    <s v="318.7758606194369"/>
    <s v="[0.048, -0.003, -0.483]"/>
  </r>
  <r>
    <x v="4714"/>
    <x v="5111"/>
    <x v="0"/>
    <n v="0"/>
    <m/>
    <n v="1677012"/>
    <n v="1503331"/>
    <s v="#FIELD!"/>
    <n v="1499783"/>
    <s v="0.008"/>
    <s v="19.000792092745407"/>
    <s v="#FIELD!"/>
  </r>
  <r>
    <x v="4715"/>
    <x v="5108"/>
    <x v="0"/>
    <n v="0"/>
    <m/>
    <n v="1676884"/>
    <n v="1499807"/>
    <s v="#FIELD!"/>
    <n v="1503135"/>
    <s v="0.011"/>
    <s v="16.082534053329884"/>
    <s v="#FIELD!"/>
  </r>
  <r>
    <x v="4716"/>
    <x v="4184"/>
    <x v="0"/>
    <n v="0"/>
    <m/>
    <n v="1677556"/>
    <n v="1502634"/>
    <s v="0.033"/>
    <n v="1499884"/>
    <s v="0.033"/>
    <s v="11.482496701137766"/>
    <s v="0.033"/>
  </r>
  <r>
    <x v="4716"/>
    <x v="5160"/>
    <x v="0"/>
    <n v="0"/>
    <s v="LINESTRING (10.704022054168494 59.44530310966899, 10.703923195079373 59.44530541016273, 10.700194275110102 59.44533936535666, 10.70008087733832 59.445344070092304)"/>
    <s v="[1672254, 1672262, 1672270]"/>
    <s v="[1499885, 1499892, 1499900]"/>
    <s v="0.029196512651017116"/>
    <s v="[1499884, 1499885, 1499892]"/>
    <s v="[0.019, 0.031, 0.012]"/>
    <s v="223.72297867832899"/>
    <s v="[-0.019, 0.031, 0.012]"/>
  </r>
  <r>
    <x v="4717"/>
    <x v="4183"/>
    <x v="0"/>
    <n v="0"/>
    <s v="LINESTRING (10.699763914434868 59.445559324763664, 10.69960097477442 59.44549370338228, 10.69957819164716 59.445450688340365, 10.699581456580374 59.445383353885035, 10.69975984382413 59.44528582516254, 10.69984833458597 59.44528424701919, 10.699982367333597 59.44529945739327, 10.70008087733832 59.445344070092304)"/>
    <s v="[1677620, 1677628, 1677636, 1677644, 1677652, 1677660, 1677668]"/>
    <s v="[1498150, 1504326, 1499908, 1504335, 1504339, 1504345, 1499900]"/>
    <s v="0.005833953163788207"/>
    <s v="[1502661, 1498150, 1504326, 1499908, 1504335, 1504339, 1504345]"/>
    <s v="[0.031, 0.022, 0.02, 0.006, 0.005, 0.018, 0.027]"/>
    <s v="59.87346797567172"/>
    <s v="[0.031, 0.022, 0.02, 0.006, -0.005, -0.018, -0.027]"/>
  </r>
  <r>
    <x v="4718"/>
    <x v="3877"/>
    <x v="0"/>
    <n v="0"/>
    <s v="LINESTRING (11.085430998104847 59.27560145053592, 11.085519791802298 59.27564196394832, 11.08681653533242 59.276904495036504, 11.086706776543618 59.27740231080301, 11.086703901839742 59.277533122969295, 11.086712038337946 59.27756932901723)"/>
    <s v="[1672861, 1672869, 1672877, 1672885, 1672893]"/>
    <s v="[1500457, 1500466, 1500472, 1500480, 1500485]"/>
    <s v="0.00982066409736515"/>
    <s v="[1500456, 1500457, 1500466, 1500472, 1500480]"/>
    <s v="[0.003, 0.003, 0.024, 0.028, 0.048]"/>
    <s v="247.13708196961497"/>
    <s v="[-0.003, 0.003, 0.024, 0.028, 0.048]"/>
  </r>
  <r>
    <x v="4718"/>
    <x v="3873"/>
    <x v="0"/>
    <n v="0"/>
    <s v="LINESTRING (11.085430998104847 59.27560145053592, 11.085389809272463 59.27566943580682, 11.08528910241846 59.27572034562935)"/>
    <s v="[1690348, 1690356]"/>
    <s v="[1513319, 1502689]"/>
    <s v="#FIELD!"/>
    <s v="[1500456, 1513319]"/>
    <s v="[0.035, 0.021]"/>
    <s v="16.003126451991616"/>
    <s v="[-0.035, 0.021]"/>
  </r>
  <r>
    <x v="4719"/>
    <x v="3874"/>
    <x v="0"/>
    <n v="0"/>
    <s v="LINESTRING (11.08647827752123 59.27752453443105, 11.086605661102558 59.2775319643843, 11.086712038337946 59.27756932901723)"/>
    <s v="[1690476, 1690484]"/>
    <s v="[1513398, 1500485]"/>
    <s v="0.09923703527277886"/>
    <s v="[1502721, 1513398]"/>
    <s v="[0.024, 0.174]"/>
    <s v="14.668259981242844"/>
    <s v="[0.024, 0.174]"/>
  </r>
  <r>
    <x v="4720"/>
    <x v="5168"/>
    <x v="0"/>
    <n v="0"/>
    <m/>
    <n v="1701091"/>
    <n v="1520306"/>
    <s v="0.275"/>
    <n v="1501712"/>
    <s v="0.275"/>
    <s v="4.924428900711294"/>
    <s v="0.275"/>
  </r>
  <r>
    <x v="4720"/>
    <x v="5169"/>
    <x v="0"/>
    <n v="0"/>
    <m/>
    <n v="1701083"/>
    <n v="1501712"/>
    <s v="#FIELD!"/>
    <n v="1501744"/>
    <s v="0.005"/>
    <s v="15.590817923100627"/>
    <s v="#FIELD!"/>
  </r>
  <r>
    <x v="4720"/>
    <x v="5141"/>
    <x v="0"/>
    <n v="0"/>
    <s v="LINESTRING (11.257637497633997 59.11045515823451, 11.257797627030975 59.1105209728083, 11.257959804276974 59.110632414398, 11.262392018662487 59.111597150608915, 11.262422106432634 59.11155509299469)"/>
    <s v="[1698023, 1674330, 1674338, 1674346]"/>
    <s v="[1501698, 1501699, 1501707, 1501712]"/>
    <s v="#FIELD!"/>
    <s v="[1517784, 1501698, 1501699, 1501707]"/>
    <s v="[0.034, 0.003, 0.022, 0.026]"/>
    <s v="387.6104039816629"/>
    <s v="[-0.034, -0.003, -0.022, -0.026]"/>
  </r>
  <r>
    <x v="4721"/>
    <x v="5170"/>
    <x v="0"/>
    <s v="[0, 1, 0]"/>
    <s v="LINESTRING (11.261981820873594 59.11136079162619, 11.259334463504715 59.1113051235906, 11.25796668800362 59.11145712711808, 11.255650258360937 59.111025894176024)"/>
    <s v="[1700747, 1700755, 1700763]"/>
    <s v="[1520074, 1520081, 1501718]"/>
    <s v="0.025380895059538826"/>
    <s v="[1520073, 1520074, 1520081]"/>
    <s v="[0.054, 0.059, 0.023]"/>
    <s v="385.72243221262204"/>
    <s v="[0.054, 0.059, -0.023]"/>
  </r>
  <r>
    <x v="4722"/>
    <x v="5171"/>
    <x v="0"/>
    <n v="0"/>
    <s v="LINESTRING (11.262635786150371 59.11163137181914, 11.262602167721619 59.11167166462697, 11.264695437043008 59.11549035655956, 11.264838089093775 59.11564583213664)"/>
    <s v="[1674386, 1674394, 1698031]"/>
    <s v="[1501745, 1501752, 1517807]"/>
    <s v="0.0033761756320035948"/>
    <s v="[1501744, 1501745, 1501752]"/>
    <s v="[0.027, 0.003, 0.007]"/>
    <s v="515.331522659158"/>
    <s v="[0.027, 0.003, 0.007]"/>
  </r>
  <r>
    <x v="4722"/>
    <x v="5172"/>
    <x v="0"/>
    <n v="0"/>
    <s v="LINESTRING (11.262494359574761 59.111421433982684, 11.262571729263323 59.11140119069652, 11.262683737822089 59.11139992505721, 11.262805486349738 59.1114375951369, 11.262850421895667 59.11147372500375, 11.262857863040365 59.111534394183465, 11.262793229846114 59.111598154613375, 11.262635786150371 59.11163137181914)"/>
    <s v="[1701115, 1701123, 1701131, 1701139, 1701147, 1701155, 1701075]"/>
    <s v="[1518653, 1520322, 1519334, 1239673, 1520339, 1239684, 1501744]"/>
    <s v="#FIELD!"/>
    <s v="[1520315, 1518653, 1520322, 1519334, 1239673, 1520339, 1239684]"/>
    <s v="[0.016, 0.015, 0.012, 0.005, 0.002, 0.011, 0.098]"/>
    <s v="48.8481302738227"/>
    <s v="[-0.016, -0.015, -0.012, -0.005, 0.002, 0.011, -0.098]"/>
  </r>
  <r>
    <x v="4723"/>
    <x v="5173"/>
    <x v="0"/>
    <n v="0"/>
    <m/>
    <n v="1701331"/>
    <n v="1520441"/>
    <s v="0.428"/>
    <n v="1501842"/>
    <s v="0.428"/>
    <s v="7.955501240558392"/>
    <s v="0.428"/>
  </r>
  <r>
    <x v="4723"/>
    <x v="4638"/>
    <x v="0"/>
    <n v="0"/>
    <m/>
    <n v="1701323"/>
    <n v="1501842"/>
    <s v="#FIELD!"/>
    <n v="1501851"/>
    <s v="0.07"/>
    <s v="8.044874144892626"/>
    <s v="#FIELD!"/>
  </r>
  <r>
    <x v="4724"/>
    <x v="4635"/>
    <x v="0"/>
    <n v="0"/>
    <m/>
    <n v="1701251"/>
    <n v="1501861"/>
    <s v="0.004"/>
    <n v="1501846"/>
    <s v="0.004"/>
    <s v="8.139539298883655"/>
    <s v="0.004"/>
  </r>
  <r>
    <x v="4724"/>
    <x v="5174"/>
    <x v="0"/>
    <n v="0"/>
    <m/>
    <n v="1701243"/>
    <n v="1501846"/>
    <s v="#FIELD!"/>
    <n v="1520384"/>
    <s v="0.063"/>
    <s v="11.267414755399281"/>
    <s v="#FIELD!"/>
  </r>
  <r>
    <x v="4725"/>
    <x v="5175"/>
    <x v="0"/>
    <n v="0"/>
    <s v="LINESTRING (11.207828342778239 59.17944081838763, 11.207937593048948 59.1794664845575, 11.207968379318187 59.17948895938673, 11.207982757292752 59.1795172476792, 11.207899761453463 59.1795999290065, 11.20772685210245 59.179597870923416)"/>
    <s v="[1701355, 1701363, 1701371, 1701307, 1701315]"/>
    <s v="[1520460, 1520465, 1520424, 1520425, 1501851]"/>
    <s v="#FIELD!"/>
    <s v="[1520452, 1520460, 1520465, 1520424, 1520425]"/>
    <s v="[0.032, 0.035, 0.041, 0.024, 0.346]"/>
    <s v="34.32471095284216"/>
    <s v="[0.032, 0.035, 0.041, 0.024, -0.346]"/>
  </r>
  <r>
    <x v="4726"/>
    <x v="5176"/>
    <x v="0"/>
    <n v="0"/>
    <s v="LINESTRING (11.203802111017877 59.17957834624543, 11.203657927018915 59.17952028048161, 11.203649785054235 59.17948318425451, 11.203665189561882 59.179454867513144, 11.203876471918498 59.17941340107669)"/>
    <s v="[1701259, 1701267, 1701275, 1701283]"/>
    <s v="[1509675, 1520395, 1510333, 1520405]"/>
    <s v="0.016205998465280532"/>
    <s v="[1501861, 1509675, 1520395, 1510333]"/>
    <s v="[0.048, 0.017, 0.009, 0.007]"/>
    <s v="32.226957540988835"/>
    <s v="[0.048, -0.017, -0.009, 0.007]"/>
  </r>
  <r>
    <x v="4727"/>
    <x v="5177"/>
    <x v="0"/>
    <n v="0"/>
    <s v="LINESTRING (10.956340577447817 59.32439783311105, 10.956482926489553 59.32440958393414, 10.956893333339892 59.32470541535766)"/>
    <s v="[1674850, 1674858]"/>
    <s v="[1502138, 1502144]"/>
    <s v="0.013"/>
    <s v="[1502137, 1502138]"/>
    <s v="0.013"/>
    <s v="51.588044489458646"/>
    <s v="0.013"/>
  </r>
  <r>
    <x v="4727"/>
    <x v="5178"/>
    <x v="0"/>
    <n v="0"/>
    <s v="LINESTRING (10.956340577447817 59.32439783311105, 10.956335877159082 59.324466917319015, 10.956258200316421 59.324528339303676)"/>
    <s v="[1694320, 1694328]"/>
    <s v="[1515925, 1503281]"/>
    <s v="0.017809695783630477"/>
    <s v="[1502137, 1515925]"/>
    <s v="[0.043, 0.006]"/>
    <s v="15.85183005727436"/>
    <s v="[0.043, -0.006]"/>
  </r>
  <r>
    <x v="4727"/>
    <x v="5127"/>
    <x v="0"/>
    <n v="0"/>
    <s v="LINESTRING (10.955923790404595 59.32452963562679, 10.955845498486408 59.32447024491223, 10.955831841056757 59.32441529038916, 10.955864968496059 59.324361313294155, 10.955917878109243 59.324327964805775, 10.95604997463976 59.324297095100995, 10.956182475244686 59.324304674109364, 10.956340577447817 59.32439783311105)"/>
    <s v="[1694352, 1694360, 1694368, 1694376, 1694384, 1694392, 1694312]"/>
    <s v="[1515945, 1515952, 1515957, 1503274, 1515967, 1502130, 1502137]"/>
    <s v="#FIELD!"/>
    <s v="[1502308, 1515945, 1515952, 1515957, 1503274, 1515967, 1502130]"/>
    <s v="[0.004, 0.001, 0.007, 0.01, 0.009, 0.002, 0.006]"/>
    <s v="55.25893421203983"/>
    <s v="[0.004, -0.001, -0.007, -0.01, -0.009, -0.002, -0.006]"/>
  </r>
  <r>
    <x v="4728"/>
    <x v="5179"/>
    <x v="0"/>
    <s v="[0, 1, 0]"/>
    <s v="LINESTRING (10.956893333339892 59.32470541535766, 10.956791659510609 59.325027728451644, 10.956144181633272 59.3258563549871, 10.95613548271397 59.32637306390147)"/>
    <s v="[1694176, 1694184, 1694192]"/>
    <s v="[1515820, 1515827, 1502152]"/>
    <s v="0.018503529254160666"/>
    <s v="[1502144, 1515820, 1515827]"/>
    <s v="[0.037, 0.015, 0.013]"/>
    <s v="196.81728969697423"/>
    <s v="[0.037, 0.015, 0.013]"/>
  </r>
  <r>
    <x v="4728"/>
    <x v="5178"/>
    <x v="0"/>
    <n v="0"/>
    <s v="LINESTRING (10.956258200316421 59.324528339303676, 10.95642325121072 59.32453544600719, 10.956893333339892 59.32470541535766)"/>
    <s v="[1676242, 1676250]"/>
    <s v="[1503282, 1502144]"/>
    <s v="0.008871825806108626"/>
    <s v="[1503281, 1503282]"/>
    <s v="[0.027, 0.004]"/>
    <s v="44.53135744081021"/>
    <s v="[0.027, 0.004]"/>
  </r>
  <r>
    <x v="4729"/>
    <x v="5180"/>
    <x v="0"/>
    <n v="0"/>
    <s v="LINESTRING (10.95613548271397 59.32637306390147, 10.95656846359993 59.32646024329721, 10.95663421975064 59.32646947911019)"/>
    <s v="[1674866, 1674874]"/>
    <s v="[1502153, 1502160]"/>
    <s v="#FIELD!"/>
    <s v="[1502152, 1502153]"/>
    <s v="[0.024, 0.021]"/>
    <s v="30.383863599499183"/>
    <s v="[-0.024, -0.021]"/>
  </r>
  <r>
    <x v="4729"/>
    <x v="5181"/>
    <x v="0"/>
    <n v="0"/>
    <s v="LINESTRING (10.95613548271397 59.32637306390147, 10.956511544805293 59.3265393932554, 10.956574802225353 59.326554845116064)"/>
    <s v="[1676258, 1676266]"/>
    <s v="[1503295, 1503301]"/>
    <s v="#FIELD!"/>
    <s v="[1502152, 1503295]"/>
    <s v="[0.052, 0.025]"/>
    <s v="32.888045196472916"/>
    <s v="[-0.052, -0.025]"/>
  </r>
  <r>
    <x v="4730"/>
    <x v="5128"/>
    <x v="0"/>
    <n v="0"/>
    <m/>
    <n v="1694400"/>
    <n v="1502293"/>
    <s v="#FIELD!"/>
    <n v="1502160"/>
    <s v="0.089"/>
    <s v="12.25890720592021"/>
    <s v="#FIELD!"/>
  </r>
  <r>
    <x v="4730"/>
    <x v="5181"/>
    <x v="0"/>
    <n v="0"/>
    <s v="LINESTRING (10.956574802225353 59.326554845116064, 10.956588149115465 59.326516598765224, 10.95663421975064 59.32646947911019)"/>
    <s v="[1694472, 1694480]"/>
    <s v="[1516025, 1502160]"/>
    <s v="0.08572436973536449"/>
    <s v="[1503301, 1516025]"/>
    <s v="[0.004, 0.146]"/>
    <s v="10.198384400935755"/>
    <s v="[0.004, 0.146]"/>
  </r>
  <r>
    <x v="4731"/>
    <x v="5181"/>
    <x v="0"/>
    <n v="0"/>
    <s v="LINESTRING (10.957018107258683 59.32645173583151, 10.957109698233795 59.32655438066826, 10.957095712563252 59.32659800177897, 10.957061438316387 59.32663469893662, 10.956818987556357 59.32669100225291, 10.956708508793943 59.32667318429869, 10.956639838163403 59.326644077911375, 10.956574802225353 59.326554845116064)"/>
    <s v="[1694416, 1694424, 1694432, 1694440, 1694448, 1694456, 1694464]"/>
    <s v="[1506149, 1515989, 1505391, 1505397, 1516007, 1506157, 1503301]"/>
    <s v="0.003027602207409097"/>
    <s v="[1502271, 1506149, 1515989, 1505391, 1505397, 1516007, 1506157]"/>
    <s v="[0.001, 0.004, 0.006, 0.01, 0.013, 0.02, 0.02]"/>
    <s v="60.32882088421197"/>
    <s v="[-0.001, -0.004, -0.006, -0.01, 0.013, 0.02, 0.02]"/>
  </r>
  <r>
    <x v="4731"/>
    <x v="5128"/>
    <x v="0"/>
    <n v="0"/>
    <m/>
    <n v="1694408"/>
    <n v="1502271"/>
    <s v="0.002"/>
    <n v="1502293"/>
    <s v="0.002"/>
    <s v="12.024133753061136"/>
    <s v="0.002"/>
  </r>
  <r>
    <x v="4732"/>
    <x v="5127"/>
    <x v="0"/>
    <n v="0"/>
    <m/>
    <n v="1694344"/>
    <n v="1502308"/>
    <s v="0.006"/>
    <n v="1502277"/>
    <s v="0.006"/>
    <s v="14.37522670460011"/>
    <s v="0.006"/>
  </r>
  <r>
    <x v="4732"/>
    <x v="5178"/>
    <x v="0"/>
    <n v="0"/>
    <m/>
    <n v="1694336"/>
    <n v="1502277"/>
    <s v="#FIELD!"/>
    <n v="1503281"/>
    <s v="0.023"/>
    <s v="6.105735009097035"/>
    <s v="#FIELD!"/>
  </r>
  <r>
    <x v="4733"/>
    <x v="3392"/>
    <x v="0"/>
    <n v="0"/>
    <m/>
    <n v="1701019"/>
    <n v="1502374"/>
    <s v="0.009"/>
    <n v="1502333"/>
    <s v="0.009"/>
    <s v="14.340822243923341"/>
    <s v="0.009"/>
  </r>
  <r>
    <x v="4733"/>
    <x v="5182"/>
    <x v="0"/>
    <n v="0"/>
    <m/>
    <n v="1701011"/>
    <n v="1502333"/>
    <s v="#FIELD!"/>
    <n v="1505458"/>
    <s v="0.067"/>
    <s v="10.064876634980747"/>
    <s v="#FIELD!"/>
  </r>
  <r>
    <x v="4734"/>
    <x v="5183"/>
    <x v="0"/>
    <s v="[0, 1, 0]"/>
    <s v="LINESTRING (10.925790507456108 59.345418277571405, 10.925525160189247 59.34532635570621, 10.923944012531498 59.34507995331059, 10.922508146248253 59.34547105596712)"/>
    <s v="[1699130, 1699138, 1699146]"/>
    <s v="[1518997, 1519001, 1471994]"/>
    <s v="0.0101513877645122"/>
    <s v="[1502352, 1518997, 1519001]"/>
    <s v="[0.015, 0.006, 0.026]"/>
    <s v="208.80959734754043"/>
    <s v="[0.015, -0.006, 0.026]"/>
  </r>
  <r>
    <x v="4735"/>
    <x v="5184"/>
    <x v="0"/>
    <n v="0"/>
    <s v="LINESTRING (10.920052153559244 59.34610350640496, 10.919986178914487 59.34600793104677, 10.920005406751528 59.345979762067785, 10.920045357134134 59.34595493987769, 10.920252487082585 59.34594524722573)"/>
    <s v="[1701027, 1701035, 1701043, 1701051]"/>
    <s v="[1505465, 1520265, 1506216, 1506210]"/>
    <s v="0.03349012015223269"/>
    <s v="[1502374, 1505465, 1520265, 1506216]"/>
    <s v="[0.253, 0.034, 0.038, 0.172]"/>
    <s v="30.935233964430516"/>
    <s v="[0.253, 0.034, 0.038, -0.172]"/>
  </r>
  <r>
    <x v="4736"/>
    <x v="5185"/>
    <x v="0"/>
    <n v="0"/>
    <s v="LINESTRING (10.84356510271885 59.3565383500106, 10.843447040006728 59.35596243177269, 10.843396409947585 59.35590017651287)"/>
    <s v="[1675156, 1675164]"/>
    <s v="[1502406, 1502413]"/>
    <s v="0.011103924595692712"/>
    <s v="[1502400, 1502406]"/>
    <s v="[0.011, 0.012]"/>
    <s v="72.27949859746285"/>
    <s v="[0.011, 0.012]"/>
  </r>
  <r>
    <x v="4736"/>
    <x v="3391"/>
    <x v="0"/>
    <s v="[0, 0, 0, 0, 1, 0]"/>
    <s v="LINESTRING (10.84440899401355 59.35781843627171, 10.844250409644545 59.35788674563654, 10.843489017802582 59.358066954191365, 10.843261915269876 59.35911976987143, 10.843805919430386 59.3581599272247, 10.843754992131018 59.35760793003111, 10.84356510271885 59.3565383500106)"/>
    <s v="[1804470, 1804462, 1675124, 1675132, 1675140, 1675148]"/>
    <s v="[1590351, 1502380, 1502381, 1502386, 1502393, 1502400]"/>
    <s v="0.004375998268426338"/>
    <s v="[1517915, 1590351, 1502380, 1502381, 1502386, 1502393]"/>
    <s v="[0.065, 0.027, 0.007, 0.026, 0.009, 0.017]"/>
    <s v="749.6257880837612"/>
    <s v="[-0.065, 0.027, -0.007, 0.026, 0.009, 0.017]"/>
  </r>
  <r>
    <x v="4737"/>
    <x v="5186"/>
    <x v="0"/>
    <n v="0"/>
    <s v="LINESTRING (10.843396409947585 59.35590017651287, 10.843348622015924 59.355876261949746, 10.843288441745683 59.35584238473845, 10.84323348593065 59.35578209531965, 10.84322752571303 59.35571141140145, 10.843850476037094 59.355618607693124, 10.843923617233816 59.35568570846579, 10.843933289540022 59.355769377696284, 10.843842615407855 59.35586330405483, 10.84373072658706 59.35590411452388)"/>
    <n v="1701179"/>
    <n v="1502413"/>
    <s v="0.018"/>
    <n v="1502428"/>
    <s v="0.018"/>
    <s v="19.44788602047594"/>
    <s v="0.018"/>
  </r>
  <r>
    <x v="4738"/>
    <x v="5162"/>
    <x v="0"/>
    <n v="0"/>
    <s v="LINESTRING (10.84373072658706 59.35590411452388, 10.843712815282341 59.35597201326121, 10.843780262109174 59.35653721599538)"/>
    <s v="[1675180, 1675188]"/>
    <s v="[1502429, 1502437]"/>
    <s v="#FIELD!"/>
    <s v="[1502428, 1502429]"/>
    <s v="[0.001, 0.008]"/>
    <s v="70.79385782454132"/>
    <s v="[-0.001, -0.008]"/>
  </r>
  <r>
    <x v="4739"/>
    <x v="5187"/>
    <x v="0"/>
    <s v="[0, 1, 0, 0, 0]"/>
    <s v="LINESTRING (10.843780262109174 59.35653721599538, 10.843888357728893 59.35758161596684, 10.843944802213713 59.35813028247492, 10.838306198760282 59.35970415258075, 10.833269473257323 59.36116300380317, 10.833084460379133 59.361195207597056)"/>
    <s v="[1675196, 1675204, 1675212, 1675220, 1804326]"/>
    <s v="[1502443, 1502450, 1502456, 1502462, 1517945]"/>
    <s v="#FIELD!"/>
    <s v="[1502437, 1502443, 1502450, 1502456, 1502462]"/>
    <s v="[0.018, 0.006, 0.011, 0.018, 0.031]"/>
    <s v="949.278842062409"/>
    <s v="[-0.018, -0.006, -0.011, -0.018, 0.031]"/>
  </r>
  <r>
    <x v="4740"/>
    <x v="5188"/>
    <x v="0"/>
    <n v="0"/>
    <s v="LINESTRING (10.757412469669413 59.38323533890834, 10.757333498480897 59.38332204823936, 10.752459889228778 59.38611099867031, 10.752397369795679 59.386172740473086, 10.752363719562089 59.38619807076314)"/>
    <s v="[1698063, 1675236, 1675244, 1675252]"/>
    <s v="[1502474, 1502475, 1502481, 1502487]"/>
    <s v="#FIELD!"/>
    <s v="[1517997, 1502474, 1502475, 1502481]"/>
    <s v="[0.015, 0.01, 0.021, 0.021]"/>
    <s v="438.84553921372986"/>
    <s v="[-0.015, -0.01, 0.021, 0.021]"/>
  </r>
  <r>
    <x v="4740"/>
    <x v="5189"/>
    <x v="0"/>
    <n v="0"/>
    <m/>
    <n v="1701515"/>
    <n v="1502487"/>
    <s v="0.078"/>
    <n v="1520568"/>
    <s v="0.078"/>
    <s v="16.95477581489046"/>
    <s v="0.078"/>
  </r>
  <r>
    <x v="4741"/>
    <x v="5190"/>
    <x v="0"/>
    <n v="0"/>
    <m/>
    <n v="1701459"/>
    <n v="1520525"/>
    <s v="#FIELD!"/>
    <n v="1502492"/>
    <s v="0.132"/>
    <s v="13.480146931228228"/>
    <s v="#FIELD!"/>
  </r>
  <r>
    <x v="4741"/>
    <x v="5166"/>
    <x v="0"/>
    <n v="0"/>
    <s v="LINESTRING (10.75058025223513 59.38569357505557, 10.750536116235379 59.38553031466131, 10.750574592871258 59.38550459376113, 10.750655649207904 59.38547666505692, 10.750964129718302 59.38551953068916)"/>
    <s v="[1701491, 1701499, 1701507, 1701451]"/>
    <s v="[1520547, 1520553, 1520518, 1502492]"/>
    <s v="0.010473678193809533"/>
    <s v="[1502533, 1520547, 1520553, 1520518]"/>
    <s v="[0.132, 0.004, 0.03, 0.149]"/>
    <s v="47.9453351538224"/>
    <s v="[-0.132, 0.004, 0.03, 0.149]"/>
  </r>
  <r>
    <x v="4742"/>
    <x v="5191"/>
    <x v="0"/>
    <n v="0"/>
    <m/>
    <n v="1701563"/>
    <n v="1520595"/>
    <s v="#FIELD!"/>
    <n v="1502506"/>
    <s v="0.106"/>
    <s v="16.37680729694735"/>
    <s v="#FIELD!"/>
  </r>
  <r>
    <x v="4742"/>
    <x v="819"/>
    <x v="0"/>
    <n v="0"/>
    <s v="LINESTRING (10.751972079527286 59.38636485234084, 10.751901298545764 59.3863670401124, 10.74395483476051 59.389185276516294, 10.743776432274194 59.38924876769415)"/>
    <s v="[1675276, 1675284, 1698079]"/>
    <s v="[1502507, 1502515, 1518033]"/>
    <s v="#FIELD!"/>
    <s v="[1502506, 1502507, 1502515]"/>
    <s v="[0.008, 0.012, 0.065]"/>
    <s v="570.8960938497708"/>
    <s v="[-0.008, -0.012, -0.065]"/>
  </r>
  <r>
    <x v="4743"/>
    <x v="5192"/>
    <x v="0"/>
    <n v="0"/>
    <m/>
    <n v="1701483"/>
    <n v="1502533"/>
    <s v="0.079"/>
    <n v="1520536"/>
    <s v="0.079"/>
    <s v="17.975262249862098"/>
    <s v="0.079"/>
  </r>
  <r>
    <x v="4744"/>
    <x v="816"/>
    <x v="0"/>
    <s v="[0, 1, 0]"/>
    <s v="LINESTRING (10.70007053432719 59.414894937435015, 10.700366163392177 59.41484534147844, 10.701367871091817 59.414681453013046, 10.701629320740722 59.414637021538624)"/>
    <s v="[1700571, 1700579, 1700587]"/>
    <s v="[1519937, 1519946, 1502547]"/>
    <s v="#FIELD!"/>
    <s v="[1502554, 1519937, 1519946]"/>
    <s v="[0.181, 0.015, 0.064]"/>
    <s v="93.0902212207637"/>
    <s v="[-0.181, -0.015, -0.064]"/>
  </r>
  <r>
    <x v="4745"/>
    <x v="4184"/>
    <x v="0"/>
    <n v="0"/>
    <m/>
    <n v="1677564"/>
    <n v="1502600"/>
    <s v="#FIELD!"/>
    <n v="1502634"/>
    <s v="0.001"/>
    <s v="12.839813612839528"/>
    <s v="#FIELD!"/>
  </r>
  <r>
    <x v="4746"/>
    <x v="4183"/>
    <x v="0"/>
    <n v="0"/>
    <m/>
    <n v="1677612"/>
    <n v="1502661"/>
    <s v="0.023"/>
    <n v="1502606"/>
    <s v="0.023"/>
    <s v="9.500526301206976"/>
    <s v="0.023"/>
  </r>
  <r>
    <x v="4747"/>
    <x v="3874"/>
    <x v="0"/>
    <n v="0"/>
    <s v="LINESTRING (11.08528910241846 59.27572034562935, 11.08537867988472 59.27575235992584, 11.08667288400664 59.276901070796995, 11.08658104244818 59.27737349772085, 11.086504844817226 59.277492069939555, 11.08647827752123 59.27752453443105)"/>
    <s v="[1675501, 1675509, 1675517, 1675525, 1675533]"/>
    <s v="[1502690, 1502698, 1502706, 1502714, 1502721]"/>
    <s v="0.004273323888632272"/>
    <s v="[1502689, 1502690, 1502698, 1502706, 1502714]"/>
    <s v="[0.029, 0.001, 0.015, 0.03, 0.031]"/>
    <s v="233.334032004477"/>
    <s v="[-0.029, -0.001, 0.015, 0.03, 0.031]"/>
  </r>
  <r>
    <x v="4748"/>
    <x v="5193"/>
    <x v="0"/>
    <n v="0"/>
    <m/>
    <n v="1675532"/>
    <n v="1502720"/>
    <s v="0.122"/>
    <n v="1502713"/>
    <s v="0.122"/>
    <s v="125.80433219878121"/>
    <s v="0.122"/>
  </r>
  <r>
    <x v="4748"/>
    <x v="5194"/>
    <x v="0"/>
    <n v="0"/>
    <s v="LINESTRING (11.537813818387582 59.53943789970173, 11.537878579244783 59.53943272104318, 11.539083252476868 59.53952251804184, 11.544605730646277 59.53896562309867, 11.544954047890581 59.53894911482454)"/>
    <s v="[1676636, 1676644, 1676652, 1676660]"/>
    <s v="[1503579, 1503586, 1503591, 1502713]"/>
    <s v="#FIELD!"/>
    <s v="[1503578, 1503579, 1503586, 1503591]"/>
    <s v="[0.04, 0.032, 0.046, 0.03]"/>
    <s v="413.4535183989386"/>
    <s v="[0.04, 0.032, -0.046, -0.03]"/>
  </r>
  <r>
    <x v="4748"/>
    <x v="4435"/>
    <x v="465"/>
    <s v="[0, 0, 0, 1, 0, 0, 0, 0, 0, 0, 0]"/>
    <s v="LINESTRING (11.645537895624834 59.48458475934104, 11.644658646907537 59.48484560127605, 11.636253670420077 59.49024815098812, 11.633468435030117 59.49309362291791, 11.633076795398893 59.493494256714946, 11.62738296311347 59.499082756895845, 11.620893790034094 59.50349869966415, 11.614709688800534 59.507411587362135, 11.610246869778837 59.51028332359547, 11.606659936240419 59.51212226440941, 11.597017788881889 59.51628249526971, 11.544954047890581 59.53894911482454)"/>
    <s v="[1680595, 1680603, 1680612, 1680621, 1675476, 1675484, 1675492, 1675500, 1675508, 1675516, 1675524]"/>
    <s v="[1506521, 1506526, 1506535, 1502667, 1502668, 1502676, 1502682, 1502688, 1502697, 1502705, 1502713]"/>
    <s v="0.005740615572575031"/>
    <s v="[1506520, 1506521, 1506526, 1506535, 1502667, 1502668, 1502676, 1502682, 1502688, 1502697, 1502705]"/>
    <s v="[0.08, 0.021, 0.01, 0.081, 0.023, 0.017, 0.014, 0.041, 0.015, 0.056, 0.003]"/>
    <s v="8494.958511716235"/>
    <s v="[0.08, 0.021, -0.01, 0.081, 0.023, 0.017, 0.014, 0.041, 0.015, -0.056, 0.003]"/>
  </r>
  <r>
    <x v="4749"/>
    <x v="5195"/>
    <x v="0"/>
    <n v="0"/>
    <s v="LINESTRING (11.542826634360544 59.53927755333317, 11.539213565904058 59.539698759588326, 11.532698123135438 59.540064494400404)"/>
    <s v="[1675540, 1675548]"/>
    <s v="[1502728, 1502735]"/>
    <s v="#FIELD!"/>
    <s v="[1502720, 1502728]"/>
    <s v="[0.003, 0.019]"/>
    <s v="580.9891783008193"/>
    <s v="[-0.003, -0.019]"/>
  </r>
  <r>
    <x v="4749"/>
    <x v="5196"/>
    <x v="0"/>
    <n v="0"/>
    <s v="LINESTRING (11.542826634360544 59.53927755333317, 11.542512245694853 59.53935873114465, 11.539300539975782 59.53982237121901, 11.538177440367622 59.5402402595194, 11.538122001429391 59.540263058759585)"/>
    <s v="[1676604, 1676612, 1676620, 1676628]"/>
    <s v="[1503552, 1503559, 1503567, 1503571]"/>
    <s v="#FIELD!"/>
    <s v="[1502720, 1503552, 1503559, 1503567]"/>
    <s v="[0.178, 0.023, 0.069, 0.028]"/>
    <s v="292.1368539477614"/>
    <s v="[0.178, -0.023, -0.069, -0.028]"/>
  </r>
  <r>
    <x v="4750"/>
    <x v="5197"/>
    <x v="0"/>
    <n v="0"/>
    <m/>
    <n v="1675556"/>
    <n v="1502741"/>
    <s v="0.003"/>
    <n v="1502735"/>
    <s v="0.003"/>
    <s v="88.93186124774498"/>
    <s v="0.003"/>
  </r>
  <r>
    <x v="4750"/>
    <x v="5198"/>
    <x v="0"/>
    <n v="0"/>
    <s v="LINESTRING (11.532698123135438 59.540064494400404, 11.533037535476922 59.5400168720441, 11.537689603523807 59.53941640062682, 11.537800929415445 59.539394164894134)"/>
    <s v="[1676684, 1676692, 1676700]"/>
    <s v="[1503615, 1503621, 1503628]"/>
    <s v="0.0178880329103041"/>
    <s v="[1502735, 1503615, 1503621]"/>
    <s v="[0.021, 0.017, 0.045]"/>
    <s v="303.14217198770666"/>
    <s v="[0.021, 0.017, 0.045]"/>
  </r>
  <r>
    <x v="4751"/>
    <x v="5199"/>
    <x v="466"/>
    <s v="[0, 0, 1, 0, 1, 0, 1, 0]"/>
    <s v="LINESTRING (11.531126514558318 59.540079354850064, 11.531008802661804 59.5400775796275, 11.526687937727834 59.53996591950824, 11.525764536183846 59.539913862260775, 11.518493656800889 59.53934093597161, 11.516214250647412 59.53914902429372, 11.50063475105084 59.53924878721821, 11.498007773980662 59.5396151982847, 11.473295128935003 59.54539389510226)"/>
    <s v="[1675564, 1680629, 1680637, 1680645, 1680653, 1680661, 1680669, 1680677]"/>
    <s v="[1502746, 1506547, 1506554, 1506560, 1506566, 1506573, 1506581, 1503663]"/>
    <s v="#FIELD!"/>
    <s v="[1502741, 1502746, 1506547, 1506554, 1506560, 1506566, 1506573, 1506581]"/>
    <s v="[0.046, 0.02, 0.056, 0.052, 0.007, 0.001, 0.015, 0.007]"/>
    <s v="3441.1401515346342"/>
    <s v="[0.046, -0.02, 0.056, -0.052, -0.007, -0.001, -0.015, 0.007]"/>
  </r>
  <r>
    <x v="4751"/>
    <x v="5196"/>
    <x v="0"/>
    <n v="0"/>
    <s v="LINESTRING (11.538122001429391 59.540263058759585, 11.538059572446794 59.54027584912975, 11.531472731636168 59.54010479101141, 11.531126514558318 59.540079354850064)"/>
    <s v="[1827687, 1676668, 1676676]"/>
    <s v="[1503601, 1503602, 1502741]"/>
    <s v="#FIELD!"/>
    <s v="[1503571, 1503601, 1503602]"/>
    <s v="[0.029, 0.004, 0.049]"/>
    <s v="400.97995291891266"/>
    <s v="[-0.029, -0.004, 0.049]"/>
  </r>
  <r>
    <x v="4752"/>
    <x v="5194"/>
    <x v="0"/>
    <s v="[0, 1, 0]"/>
    <s v="LINESTRING (11.538122001429391 59.540263058759585, 11.538031611679616 59.53997125561601, 11.537902142437195 59.53961190718838, 11.537813818387582 59.53943789970173)"/>
    <s v="[1702657, 1702665, 1702673]"/>
    <s v="[1521243, 1521250, 1503578]"/>
    <s v="0.04390107313042514"/>
    <s v="[1503571, 1521243, 1521250]"/>
    <s v="[0.054, 0.047, 0.021]"/>
    <s v="93.63078910346042"/>
    <s v="[0.054, 0.047, 0.021]"/>
  </r>
  <r>
    <x v="4753"/>
    <x v="5198"/>
    <x v="0"/>
    <n v="0"/>
    <m/>
    <n v="1702681"/>
    <n v="1503628"/>
    <s v="0.048"/>
    <n v="1503578"/>
    <s v="0.048"/>
    <s v="4.926855792246167"/>
    <s v="0.048"/>
  </r>
  <r>
    <x v="4754"/>
    <x v="5200"/>
    <x v="0"/>
    <n v="0"/>
    <s v="LINESTRING (11.471710077505522 59.54550178025244, 11.47134736279701 59.54556760885678, 11.465042978058724 59.54597704414828, 11.464954222778614 59.54599621610059)"/>
    <s v="[1676708, 1676716, 1676724]"/>
    <s v="[1503635, 1503639, 1503646]"/>
    <s v="#FIELD!"/>
    <s v="[1503634, 1503635, 1503639]"/>
    <s v="[0.036, 0.041, 0.016]"/>
    <s v="390.5925474193918"/>
    <s v="[-0.036, -0.041, 0.016]"/>
  </r>
  <r>
    <x v="4754"/>
    <x v="5201"/>
    <x v="0"/>
    <s v="[0, 1, 0]"/>
    <s v="LINESTRING (11.471710077505522 59.54550178025244, 11.465200379537215 59.545610212550294, 11.464288615253574 59.54561630709841, 11.459075388033286 59.54563929002514)"/>
    <s v="[1680693, 1680701, 1680709]"/>
    <s v="[1506596, 1506602, 1503695]"/>
    <s v="#FIELD!"/>
    <s v="[1503634, 1506596, 1506602]"/>
    <s v="[0.041, 0.014, 0.001]"/>
    <s v="715.0814488094476"/>
    <s v="[-0.041, -0.014, 0.001]"/>
  </r>
  <r>
    <x v="4754"/>
    <x v="5199"/>
    <x v="0"/>
    <n v="0"/>
    <m/>
    <n v="1680685"/>
    <n v="1503634"/>
    <s v="#FIELD!"/>
    <n v="1503663"/>
    <s v="0.002"/>
    <s v="90.48621915676068"/>
    <s v="#FIELD!"/>
  </r>
  <r>
    <x v="4755"/>
    <x v="5202"/>
    <x v="0"/>
    <n v="0"/>
    <s v="LINESTRING (11.464954222778614 59.54599621610059, 11.464963978988967 59.546071980865186, 11.464913286897595 59.54611645011591, 11.464816435858538 59.54614529011815, 11.46456778042582 59.546085535982, 11.464561837736984 59.54600717783056)"/>
    <s v="[1702753, 1702761, 1702697, 1702705, 1702713]"/>
    <s v="[1518661, 1521270, 1518668, 1478333, 1503670]"/>
    <s v="#FIELD!"/>
    <s v="[1503646, 1518661, 1521270, 1518668, 1478333]"/>
    <s v="[0.123, 0.038, 0.01, 0.038, 0.1]"/>
    <s v="45.82083380774356"/>
    <s v="[0.123, 0.038, 0.01, -0.038, -0.1]"/>
  </r>
  <r>
    <x v="4755"/>
    <x v="5203"/>
    <x v="0"/>
    <n v="0"/>
    <m/>
    <n v="1702745"/>
    <n v="1503646"/>
    <s v="#FIELD!"/>
    <n v="1521301"/>
    <s v="0.011"/>
    <s v="10.854710152666481"/>
    <s v="#FIELD!"/>
  </r>
  <r>
    <x v="4756"/>
    <x v="5204"/>
    <x v="0"/>
    <n v="0"/>
    <m/>
    <n v="1702809"/>
    <n v="1521346"/>
    <s v="0.114"/>
    <n v="1503651"/>
    <s v="0.114"/>
    <s v="15.996237051788238"/>
    <s v="0.114"/>
  </r>
  <r>
    <x v="4756"/>
    <x v="5199"/>
    <x v="0"/>
    <n v="0"/>
    <s v="LINESTRING (11.46495482719612 59.54519718042573, 11.465030899997716 59.54521451726761, 11.47294589400157 59.54539862155712, 11.473295128935003 59.54539389510226)"/>
    <s v="[1676732, 1676740, 1676748]"/>
    <s v="[1503652, 1503656, 1503663]"/>
    <s v="0.02885586674367783"/>
    <s v="[1503651, 1503652, 1503656]"/>
    <s v="[0.015, 0.031, 0.017]"/>
    <s v="480.3897788519558"/>
    <s v="[0.015, 0.031, -0.017]"/>
  </r>
  <r>
    <x v="4756"/>
    <x v="5205"/>
    <x v="0"/>
    <n v="0"/>
    <s v="LINESTRING (11.464545320975262 59.54523644129241, 11.46453022801408 59.54519468736705, 11.464550533974586 59.54515299187145, 11.46461134642248 59.54511329054952, 11.46495482719612 59.54519718042573)"/>
    <s v="[1702777, 1702785, 1702793, 1702801]"/>
    <s v="[1518673, 1521329, 1518685, 1503651]"/>
    <s v="0.015550146275837758"/>
    <s v="[1503707, 1518673, 1521329, 1518685]"/>
    <s v="[0.576, 0.056, 0.06, 0.101]"/>
    <s v="41.66004382222667"/>
    <s v="[0.576, 0.056, 0.06, -0.101]"/>
  </r>
  <r>
    <x v="4757"/>
    <x v="5206"/>
    <x v="0"/>
    <n v="0"/>
    <m/>
    <n v="1702721"/>
    <n v="1509891"/>
    <s v="#FIELD!"/>
    <n v="1503670"/>
    <s v="0.029"/>
    <s v="11.505424208253501"/>
    <s v="#FIELD!"/>
  </r>
  <r>
    <x v="4757"/>
    <x v="5207"/>
    <x v="0"/>
    <n v="0"/>
    <s v="LINESTRING (11.464561837736984 59.54600717783056, 11.464495718093316 59.545979324039074, 11.457688492626124 59.54569709495876, 11.457335336342354 59.54566545089691)"/>
    <s v="[1676756, 1676764, 1676772]"/>
    <s v="[1503671, 1503680, 1503688]"/>
    <s v="#FIELD!"/>
    <s v="[1503670, 1503671, 1503680]"/>
    <s v="[0.042, 0.001, 0.012]"/>
    <s v="417.92916247105927"/>
    <s v="[-0.042, -0.001, -0.012]"/>
  </r>
  <r>
    <x v="4758"/>
    <x v="5208"/>
    <x v="467"/>
    <s v="[0, 0, 0, 1, 1, 0]"/>
    <s v="LINESTRING (11.457335336342354 59.54566545089691, 11.448306178088078 59.54669551921434, 11.446445615451578 59.5470821715988, 11.444920541307242 59.54739959686061, 11.444560756446132 59.547476685404476, 11.444211403053574 59.5475515399593, 11.443043892274872 59.547800847145865)"/>
    <s v="[1680725, 2054388, 2054396, 2054404, 2054412, 2054420]"/>
    <s v="[1506614, 1787293, 1787300, 1787303, 1787308, 1786815]"/>
    <s v="0.009410458173047495"/>
    <s v="[1503688, 1506614, 1787293, 1787300, 1787303, 1787308]"/>
    <s v="[0.005, 0.008, 0.024, 0.021, 0.021, 0.018]"/>
    <s v="848.1270354107347"/>
    <s v="[0.005, 0.008, 0.024, 0.021, 0.021, 0.018]"/>
  </r>
  <r>
    <x v="4758"/>
    <x v="5201"/>
    <x v="0"/>
    <n v="0"/>
    <m/>
    <n v="1680717"/>
    <n v="1503688"/>
    <s v="#FIELD!"/>
    <n v="1503695"/>
    <s v="0.011"/>
    <s v="98.47524965181194"/>
    <s v="#FIELD!"/>
  </r>
  <r>
    <x v="4759"/>
    <x v="5205"/>
    <x v="0"/>
    <n v="0"/>
    <s v="LINESTRING (11.459075388033286 59.54563929002514, 11.459411412833868 59.545591863285026, 11.464482105940597 59.545265291760224, 11.464545320975262 59.54523644129241)"/>
    <s v="[1676780, 1676788, 1676796]"/>
    <s v="[1503696, 1503699, 1503707]"/>
    <s v="0.0034276372092196515"/>
    <s v="[1503695, 1503696, 1503699]"/>
    <s v="[0.017, 0.002, 0.035]"/>
    <s v="318.4372264554353"/>
    <s v="[0.017, 0.002, 0.035]"/>
  </r>
  <r>
    <x v="4760"/>
    <x v="5209"/>
    <x v="0"/>
    <n v="0"/>
    <m/>
    <n v="1702769"/>
    <n v="1503707"/>
    <s v="0.001"/>
    <n v="1509905"/>
    <s v="0.001"/>
    <s v="10.807116353348768"/>
    <s v="0.001"/>
  </r>
  <r>
    <x v="4761"/>
    <x v="5210"/>
    <x v="0"/>
    <n v="0"/>
    <s v="LINESTRING (10.922508146248253 59.34547105596712, 10.922261640095066 59.34557165065769, 10.921980763662209 59.34562626662725)"/>
    <s v="[1679053, 1679069]"/>
    <s v="[1505432, 1505441]"/>
    <s v="#FIELD!"/>
    <s v="[1471994, 1505432]"/>
    <s v="[0.003, 0.002]"/>
    <s v="35.59200344136627"/>
    <s v="[-0.003, 0.002]"/>
  </r>
  <r>
    <x v="4761"/>
    <x v="5210"/>
    <x v="0"/>
    <n v="0"/>
    <s v="LINESTRING (10.922508146248253 59.34547105596712, 10.922218043875336 59.34553156034591, 10.921980763662209 59.34562626662725)"/>
    <s v="[1680157, 1680173]"/>
    <s v="[1506186, 1505441]"/>
    <s v="#FIELD!"/>
    <s v="[1471994, 1506186]"/>
    <s v="[0.002, 0.003]"/>
    <s v="35.51732449725032"/>
    <s v="[0.002, -0.003]"/>
  </r>
  <r>
    <x v="4762"/>
    <x v="5211"/>
    <x v="0"/>
    <n v="0"/>
    <m/>
    <n v="1699154"/>
    <n v="1505446"/>
    <s v="0.04"/>
    <n v="1505441"/>
    <s v="0.04"/>
    <s v="79.45637940134242"/>
    <s v="0.04"/>
  </r>
  <r>
    <x v="4763"/>
    <x v="5182"/>
    <x v="0"/>
    <n v="0"/>
    <s v="LINESTRING (10.920674525994242 59.34587575443043, 10.920421452744987 59.34597481832207, 10.920335473672356 59.346001794626346)"/>
    <s v="[1679077, 1679085]"/>
    <s v="[1505447, 1505458]"/>
    <s v="#FIELD!"/>
    <s v="[1505446, 1505447]"/>
    <s v="[0.028, 0.033]"/>
    <s v="23.88944663625631"/>
    <s v="[-0.028, -0.033]"/>
  </r>
  <r>
    <x v="4763"/>
    <x v="5184"/>
    <x v="0"/>
    <n v="0"/>
    <s v="LINESTRING (10.920674525994242 59.34587575443043, 10.920350850172092 59.34591775995723, 10.920252487082585 59.34594524722573)"/>
    <s v="[1680181, 1680189]"/>
    <s v="[1506202, 1506210]"/>
    <s v="#FIELD!"/>
    <s v="[1505446, 1506202]"/>
    <s v="[0.002, 0.025]"/>
    <s v="25.38780026181487"/>
    <s v="[-0.002, -0.025]"/>
  </r>
  <r>
    <x v="4764"/>
    <x v="5184"/>
    <x v="0"/>
    <n v="0"/>
    <s v="LINESTRING (10.920252487082585 59.34594524722573, 10.92030888753397 59.34597398809985, 10.920335473672356 59.346001794626346)"/>
    <s v="[1701059, 1701067]"/>
    <s v="[1520284, 1505458]"/>
    <s v="#FIELD!"/>
    <s v="[1506210, 1520284]"/>
    <s v="[0.513, 0.819]"/>
    <s v="7.982501549394739"/>
    <s v="[0.513, -0.819]"/>
  </r>
  <r>
    <x v="4765"/>
    <x v="5209"/>
    <x v="0"/>
    <n v="0"/>
    <s v="LINESTRING (11.464703708882672 59.54593731077878, 11.464702605918983 59.54588976926272, 11.464682263039704 59.545333361132705, 11.46468200722418 59.54530035848461)"/>
    <s v="[1685489, 1685497, 1685505]"/>
    <s v="[1509892, 1509899, 1509905]"/>
    <s v="0.020746740240941853"/>
    <s v="[1509891, 1509892, 1509899]"/>
    <s v="[0.043, 0.026, 0.024]"/>
    <s v="70.97679248749172"/>
    <s v="[-0.043, 0.026, 0.024]"/>
  </r>
  <r>
    <x v="4765"/>
    <x v="5203"/>
    <x v="0"/>
    <n v="0"/>
    <s v="LINESTRING (11.464703708882672 59.54593731077878, 11.464757231510243 59.545933365101064, 11.464810096043287 59.54593569335563)"/>
    <s v="[1702729, 1702737]"/>
    <s v="[1521295, 1521301]"/>
    <s v="0.10610498142001241"/>
    <s v="[1509891, 1521295]"/>
    <s v="[0.169, 0.042]"/>
    <s v="6.061077912244603"/>
    <s v="[0.169, 0.042]"/>
  </r>
  <r>
    <x v="4766"/>
    <x v="5204"/>
    <x v="0"/>
    <n v="0"/>
    <s v="LINESTRING (11.464788016333952 59.54530232617728, 11.464734588725499 59.54530537559807, 11.46468200722418 59.54530035848461)"/>
    <s v="[1702817, 1702825]"/>
    <s v="[1521350, 1509905]"/>
    <s v="#FIELD!"/>
    <s v="[1521346, 1521350]"/>
    <s v="[0.05, 0.769]"/>
    <s v="6.067930455282656"/>
    <s v="[-0.05, -0.769]"/>
  </r>
  <r>
    <x v="4767"/>
    <x v="5171"/>
    <x v="0"/>
    <n v="0"/>
    <s v="LINESTRING (11.257637497633997 59.11045515823451, 11.257736369078382 59.1105341990484, 11.258197309603592 59.11088009143864, 11.260632316875258 59.112633025680594, 11.264838089093775 59.11564583213664)"/>
    <s v="[1697207, 1697215, 1697223, 1697231]"/>
    <s v="[1517789, 1517794, 1517801, 1517807]"/>
    <s v="#FIELD!"/>
    <s v="[1517784, 1517789, 1517794, 1517801]"/>
    <s v="[0.034, 0.022, 0.022, 0.005]"/>
    <s v="710.4187495470301"/>
    <s v="[-0.034, 0.022, -0.022, -0.005]"/>
  </r>
  <r>
    <x v="4768"/>
    <x v="4186"/>
    <x v="0"/>
    <s v="[0, 0, 1]"/>
    <s v="LINESTRING (11.264838089093775 59.11564583213664, 11.264948803721285 59.11572620586127, 11.270804250347343 59.123842142997574, 11.270771470600316 59.12526034456419)"/>
    <s v="[1697239, 1697247, 1697255]"/>
    <s v="[1517816, 1517819, 1517822]"/>
    <s v="#FIELD!"/>
    <s v="[1517807, 1517816, 1517819]"/>
    <s v="[0.002, 0.035, 0.077]"/>
    <s v="1148.6214495000318"/>
    <s v="[0.002, -0.035, -0.077]"/>
  </r>
  <r>
    <x v="4769"/>
    <x v="5212"/>
    <x v="0"/>
    <s v="[1, 1, 0, 0, 0]"/>
    <s v="LINESTRING (11.270771470600316 59.12526034456419, 11.270834583393682 59.12538308624608, 11.270654920311479 59.12637935777713, 11.270523442953074 59.126917373252084, 11.271554266226708 59.127959824978895, 11.271683920472158 59.127996175486686)"/>
    <s v="[1698047, 1674442, 1674450, 1674458, 1823441]"/>
    <s v="[1501794, 1501795, 1501803, 1501810, 1602638]"/>
    <s v="0.03380893287239224"/>
    <s v="[1517822, 1501794, 1501795, 1501803, 1501810]"/>
    <s v="[0.087, 0.024, 0.066, 0.015, 0.439]"/>
    <s v="329.72942398720534"/>
    <s v="[-0.087, 0.024, 0.066, 0.015, 0.439]"/>
  </r>
  <r>
    <x v="4770"/>
    <x v="5187"/>
    <x v="0"/>
    <s v="[0, 0, 0, 0, 0, 1, 0]"/>
    <s v="LINESTRING (10.84440899401355 59.35781843627171, 10.844327951369161 59.35783581985913, 10.84400409251479 59.357903520407575, 10.84376167687493 59.35795602571571, 10.843696890039604 59.35797023230579, 10.840081699735032 59.35885544897412, 10.83981569511401 59.35892787411671, 10.833084460379133 59.361195207597056)"/>
    <s v="[1697415, 1697423, 1697431, 1697439, 1697447, 1697455, 1697463]"/>
    <s v="[1517920, 1517925, 1517928, 1517933, 1517936, 1517941, 1517945]"/>
    <s v="#FIELD!"/>
    <s v="[1517915, 1517920, 1517925, 1517928, 1517933, 1517936, 1517941]"/>
    <s v="[0.028, 0.019, 0.009, 0.004, 0.01, 0.018, 0.017]"/>
    <s v="748.5048110575037"/>
    <s v="[0.028, 0.019, 0.009, 0.004, -0.01, -0.018, -0.017]"/>
  </r>
  <r>
    <x v="4771"/>
    <x v="5188"/>
    <x v="468"/>
    <n v="0"/>
    <s v="LINESTRING (10.833084460379133 59.361195207597056, 10.832594500889304 59.3613814424342, 10.832157081989198 59.361550699726656, 10.831407427998055 59.36184287389768, 10.831349282158266 59.3618631317366, 10.829885085634883 59.362420843643235, 10.829790879366 59.3624577583428, 10.78458534757128 59.374309684108816, 10.758938370697619 59.38243475657694, 10.758634424234817 59.38259503322324, 10.757412469669413 59.38323533890834)"/>
    <s v="[1697471, 1697479, 1697487, 1697495, 1697503, 1697511, 1697519, 1697527, 1697535, 1697543]"/>
    <s v="[1517952, 1517958, 1517960, 1517966, 1517970, 1517976, 1517978, 1517984, 1517990, 1517997]"/>
    <s v="0.0034734333162957094"/>
    <s v="[1517945, 1517952, 1517958, 1517960, 1517966, 1517970, 1517976, 1517978, 1517984, 1517990]"/>
    <s v="[0.036, 0.017, 0.04, 0.052, 0.07, 0.066, 0.003, 0.002, 0.015, 0.013]"/>
    <s v="4986.9110329673495"/>
    <s v="[0.036, -0.017, -0.04, -0.052, 0.07, 0.066, 0.003, 0.002, 0.015, -0.013]"/>
  </r>
  <r>
    <x v="4772"/>
    <x v="819"/>
    <x v="0"/>
    <n v="0"/>
    <s v="LINESTRING (10.757412469669413 59.38323533890834, 10.757280660270709 59.38330189362866, 10.744907779467576 59.38871571949923, 10.744654426672847 59.38883271222906, 10.744233909416598 59.38902899376273, 10.744194590825769 59.38904786947843, 10.744111189525439 59.389087902084746, 10.743776432274194 59.38924876769415)"/>
    <s v="[1697551, 1697559, 1697567, 1697575, 1697583, 1697591, 1697599]"/>
    <s v="[1518002, 1518006, 1518010, 1518018, 1518024, 1518028, 1518033]"/>
    <s v="#FIELD!"/>
    <s v="[1517997, 1518002, 1518006, 1518010, 1518018, 1518024, 1518028]"/>
    <s v="[0.012, 0.009, 0.019, 0.042, 0.051, 0.049, 0.056]"/>
    <s v="1025.999678005992"/>
    <s v="[-0.012, -0.009, 0.019, -0.042, -0.051, -0.049, -0.056]"/>
  </r>
  <r>
    <x v="4773"/>
    <x v="5213"/>
    <x v="0"/>
    <n v="1"/>
    <m/>
    <n v="1700539"/>
    <n v="1519914"/>
    <s v="0.045"/>
    <n v="1519913"/>
    <s v="0.045"/>
    <s v="51.84640778310582"/>
    <s v="0.045"/>
  </r>
  <r>
    <x v="4773"/>
    <x v="5190"/>
    <x v="0"/>
    <n v="0"/>
    <s v="LINESTRING (10.751000506994806 59.38563628282295, 10.751062484398203 59.38568365122609, 10.751142560092873 59.385768603119175)"/>
    <s v="[1701875, 1701883]"/>
    <s v="[1520762, 1519913]"/>
    <s v="0.0356233748216876"/>
    <s v="[1520525, 1520762]"/>
    <s v="[0.035, 0.036]"/>
    <s v="16.850844714370442"/>
    <s v="[0.035, 0.036]"/>
  </r>
  <r>
    <x v="4773"/>
    <x v="5192"/>
    <x v="0"/>
    <n v="0"/>
    <s v="LINESTRING (10.75088014776125 59.38571058745796, 10.750960128014489 59.385730622905534, 10.751142560092873 59.385768603119175)"/>
    <s v="[1703663, 1703671]"/>
    <s v="[1521925, 1519913]"/>
    <s v="0.046"/>
    <s v="[1520536, 1521925]"/>
    <s v="0.046"/>
    <s v="16.266836098601686"/>
    <s v="0.046"/>
  </r>
  <r>
    <x v="4774"/>
    <x v="5189"/>
    <x v="0"/>
    <n v="0"/>
    <s v="LINESTRING (10.751796394219356 59.386092959101774, 10.752024374723986 59.386144454770765, 10.75209205314633 59.38615295619402)"/>
    <s v="[1701891, 1701899]"/>
    <s v="[1520768, 1520568]"/>
    <s v="0.048655426161682086"/>
    <s v="[1519914, 1520768]"/>
    <s v="[0.048, 0.051]"/>
    <s v="18.136242263003787"/>
    <s v="[0.048, 0.051]"/>
  </r>
  <r>
    <x v="4774"/>
    <x v="5191"/>
    <x v="0"/>
    <n v="0"/>
    <s v="LINESTRING (10.751796394219356 59.386092959101774, 10.751892889713213 59.3861950182542, 10.751927807136944 59.38622583063233)"/>
    <s v="[1703679, 1703687]"/>
    <s v="[1521933, 1520595]"/>
    <s v="0.040434131858948896"/>
    <s v="[1519914, 1521933]"/>
    <s v="[0.039, 0.045]"/>
    <s v="16.593061696999257"/>
    <s v="[0.039, 0.045]"/>
  </r>
  <r>
    <x v="4775"/>
    <x v="5214"/>
    <x v="0"/>
    <n v="0"/>
    <s v="LINESTRING (11.20759352372683 59.17925236463897, 11.206993137525883 59.178948946951046, 11.206762463104852 59.17892498149241, 11.206591688773825 59.178910497441755, 11.205984651806759 59.178871889777334, 11.205963911337584 59.17887096888452, 11.204175512874302 59.17927561320844)"/>
    <s v="[1700635, 1700643, 1700651, 1700659, 1700667, 1700675]"/>
    <s v="[1519988, 1519996, 1520002, 1520008, 1520013, 1520018]"/>
    <s v="#FIELD!"/>
    <s v="[1519987, 1519988, 1519996, 1520002, 1520008, 1520013]"/>
    <s v="[0.036, 0.026, 0.021, 0.02, 0.003, 0.006]"/>
    <s v="227.12236718025264"/>
    <s v="[-0.036, -0.026, -0.021, -0.02, -0.003, 0.006]"/>
  </r>
  <r>
    <x v="4775"/>
    <x v="5173"/>
    <x v="0"/>
    <n v="0"/>
    <s v="LINESTRING (11.207695671290136 59.179468406383855, 11.207648975910306 59.179411080842264, 11.20759352372683 59.17925236463897)"/>
    <s v="[1701987, 1701995]"/>
    <s v="[1520829, 1519987]"/>
    <s v="#FIELD!"/>
    <s v="[1520441, 1520829]"/>
    <s v="[0.042, 0.039]"/>
    <s v="25.243244035620634"/>
    <s v="[-0.042, -0.039]"/>
  </r>
  <r>
    <x v="4775"/>
    <x v="5175"/>
    <x v="0"/>
    <n v="0"/>
    <s v="LINESTRING (11.207828342778239 59.17944081838763, 11.207771347954361 59.17938381228058, 11.20759352372683 59.17925236463897)"/>
    <s v="[1703759, 1703767]"/>
    <s v="[1521989, 1519987]"/>
    <s v="#FIELD!"/>
    <s v="[1520452, 1521989]"/>
    <s v="[0.042, 0.039]"/>
    <s v="25.14169500885716"/>
    <s v="[-0.042, -0.039]"/>
  </r>
  <r>
    <x v="4776"/>
    <x v="5174"/>
    <x v="0"/>
    <n v="0"/>
    <s v="LINESTRING (11.204175512874302 59.17927561320844, 11.204027509834999 59.17940972748191, 11.203964525127725 59.179456430269035)"/>
    <s v="[1702003, 1702011]"/>
    <s v="[1520836, 1520384]"/>
    <s v="0.008199733953084142"/>
    <s v="[1520018, 1520836]"/>
    <s v="[0.009, 0.006]"/>
    <s v="23.724011374541885"/>
    <s v="[0.009, 0.006]"/>
  </r>
  <r>
    <x v="4776"/>
    <x v="5176"/>
    <x v="0"/>
    <n v="0"/>
    <s v="LINESTRING (11.204175512874302 59.17927561320844, 11.203950881725701 59.179374224288594, 11.203876471918498 59.17941340107669)"/>
    <s v="[1703775, 1703783]"/>
    <s v="[1522000, 1520405]"/>
    <s v="0.0022613724856291205"/>
    <s v="[1520018, 1522000]"/>
    <s v="[0.002, 0.003]"/>
    <s v="23.32265482114606"/>
    <s v="[0.002, 0.003]"/>
  </r>
  <r>
    <x v="4777"/>
    <x v="5168"/>
    <x v="0"/>
    <n v="0"/>
    <s v="LINESTRING (11.262407627775525 59.11151152575014, 11.262314356800426 59.11147864074262, 11.261981820873594 59.11136079162619)"/>
    <s v="[1702019, 1702027]"/>
    <s v="[1520847, 1520073]"/>
    <s v="0.009656287435133607"/>
    <s v="[1520306, 1520847]"/>
    <s v="[0.012, 0.009]"/>
    <s v="29.619460955716534"/>
    <s v="[0.012, 0.009]"/>
  </r>
  <r>
    <x v="4777"/>
    <x v="5172"/>
    <x v="0"/>
    <n v="0"/>
    <s v="LINESTRING (11.262494359574761 59.111421433982684, 11.262392301254339 59.111409511009896, 11.261981820873594 59.11136079162619)"/>
    <s v="[1703791, 1703799]"/>
    <s v="[1522009, 1520073]"/>
    <s v="0.014"/>
    <s v="[1520315, 1522009]"/>
    <s v="0.014"/>
    <s v="30.1350645611425"/>
    <s v="0.014"/>
  </r>
  <r>
    <x v="4778"/>
    <x v="5172"/>
    <x v="0"/>
    <n v="0"/>
    <s v="LINESTRING (11.262407627775525 59.11151152575014, 11.262426256757207 59.111468913028936, 11.262494359574761 59.111421433982684)"/>
    <s v="[1701099, 1701107]"/>
    <s v="[1520312, 1520315]"/>
    <s v="#FIELD!"/>
    <s v="[1520306, 1520312]"/>
    <s v="[0.008, 0.012]"/>
    <s v="11.4396413958581"/>
    <s v="[-0.008, -0.012]"/>
  </r>
  <r>
    <x v="4779"/>
    <x v="5176"/>
    <x v="0"/>
    <n v="0"/>
    <s v="LINESTRING (11.203876471918498 59.17941340107669, 11.203918725306897 59.17942722251094, 11.203964525127725 59.179456430269035)"/>
    <s v="[1701291, 1701299]"/>
    <s v="[1520413, 1520384]"/>
    <s v="0.021813704531172803"/>
    <s v="[1520405, 1520413]"/>
    <s v="[0.023, 0.021]"/>
    <s v="7.042629471353816"/>
    <s v="[0.023, 0.021]"/>
  </r>
  <r>
    <x v="4780"/>
    <x v="5175"/>
    <x v="0"/>
    <n v="0"/>
    <s v="LINESTRING (11.207695671290136 59.179468406383855, 11.207752277283431 59.17944758581684, 11.207828342778239 59.17944081838763)"/>
    <s v="[1701339, 1701347]"/>
    <s v="[1520448, 1520452]"/>
    <s v="#FIELD!"/>
    <s v="[1520441, 1520448]"/>
    <s v="[0.01, 0.007]"/>
    <s v="8.397209561247337"/>
    <s v="[-0.01, 0.007]"/>
  </r>
  <r>
    <x v="4781"/>
    <x v="5192"/>
    <x v="0"/>
    <n v="0"/>
    <s v="LINESTRING (10.751000506994806 59.38563628282295, 10.75095451925206 59.38567974289728, 10.75088014776125 59.38571058745796)"/>
    <s v="[1701467, 1701475]"/>
    <s v="[1520530, 1520536]"/>
    <s v="#FIELD!"/>
    <s v="[1520525, 1520530]"/>
    <s v="[0.006, 0.019]"/>
    <s v="10.952488252778533"/>
    <s v="[-0.006, -0.019]"/>
  </r>
  <r>
    <x v="4782"/>
    <x v="5191"/>
    <x v="0"/>
    <n v="0"/>
    <s v="LINESTRING (10.751927807136944 59.38622583063233, 10.75198223519546 59.386185343078736, 10.75209205314633 59.38615295619402)"/>
    <s v="[1701571, 1701579]"/>
    <s v="[1520602, 1520568]"/>
    <s v="0.01637224398367297"/>
    <s v="[1520595, 1520602]"/>
    <s v="[0.005, 0.025]"/>
    <s v="12.681934297718012"/>
    <s v="[0.005, 0.025]"/>
  </r>
  <r>
    <x v="4783"/>
    <x v="5204"/>
    <x v="0"/>
    <n v="0"/>
    <s v="LINESTRING (11.464810096043287 59.54593569335563, 11.464812628159324 59.54588775578173, 11.464788400213914 59.54533326499722, 11.464788016333952 59.54530232617728)"/>
    <s v="[1719984, 1719992, 1720000]"/>
    <s v="[1532602, 1532606, 1521346]"/>
    <s v="0.04728994656593189"/>
    <s v="[1521301, 1532602, 1532606]"/>
    <s v="[0.034, 0.054, 0.053]"/>
    <s v="70.58347001871012"/>
    <s v="[-0.034, 0.054, 0.053]"/>
  </r>
  <r>
    <x v="4784"/>
    <x v="5215"/>
    <x v="0"/>
    <n v="0"/>
    <s v="LINESTRING (14.146145363585099 66.3063321955314, 14.146329796205382 66.30636532744016, 14.146392861366074 66.30639904911489, 14.146428173039224 66.30644948564778, 14.146398200881979 66.30651122736704)"/>
    <s v="[1707381, 1707389, 1707397, 1707405]"/>
    <s v="[1524313, 1524322, 1524328, 1524334]"/>
    <s v="#FIELD!"/>
    <s v="[1524312, 1524313, 1524322, 1524328]"/>
    <s v="[0.01, 0.001, 0.008, 0.016]"/>
    <s v="26.61463284270011"/>
    <s v="[0.01, 0.001, -0.008, -0.016]"/>
  </r>
  <r>
    <x v="4784"/>
    <x v="5216"/>
    <x v="0"/>
    <n v="0"/>
    <s v="LINESTRING (14.145853482691022 66.30638962800482, 14.14598731895906 66.30634299125686, 14.146145363585099 66.3063321955314)"/>
    <s v="[1707461, 1707469]"/>
    <s v="[1524372, 1524312]"/>
    <s v="0.02204967149402159"/>
    <s v="[1524367, 1524372]"/>
    <s v="[0.023, 0.021]"/>
    <s v="15.128506687435607"/>
    <s v="[0.023, 0.021]"/>
  </r>
  <r>
    <x v="4784"/>
    <x v="3238"/>
    <x v="0"/>
    <n v="0"/>
    <m/>
    <n v="1707542"/>
    <n v="1524312"/>
    <s v="0.0"/>
    <n v="1524382"/>
    <s v="0.0"/>
    <s v="38.52692825801761"/>
    <s v="0.0"/>
  </r>
  <r>
    <x v="4785"/>
    <x v="3239"/>
    <x v="0"/>
    <n v="0"/>
    <m/>
    <n v="1707485"/>
    <n v="1524386"/>
    <s v="#FIELD!"/>
    <n v="1524334"/>
    <s v="0.008"/>
    <s v="36.46056281830708"/>
    <s v="#FIELD!"/>
  </r>
  <r>
    <x v="4785"/>
    <x v="5217"/>
    <x v="0"/>
    <n v="0"/>
    <s v="LINESTRING (14.146398200881979 66.30651122736704, 14.146273047542536 66.30656553825978, 14.146112335637879 66.30658259981797)"/>
    <s v="[1707413, 1707421]"/>
    <s v="[1524342, 1524347]"/>
    <s v="#FIELD!"/>
    <s v="[1524334, 1524342]"/>
    <s v="[0.023, 0.018]"/>
    <s v="15.708452177181199"/>
    <s v="[-0.023, -0.018]"/>
  </r>
  <r>
    <x v="4786"/>
    <x v="3239"/>
    <x v="0"/>
    <n v="0"/>
    <m/>
    <n v="1707509"/>
    <n v="1524386"/>
    <s v="0.001"/>
    <n v="1524347"/>
    <s v="0.001"/>
    <s v="36.723598856635235"/>
    <s v="0.001"/>
  </r>
  <r>
    <x v="4786"/>
    <x v="5216"/>
    <x v="0"/>
    <n v="0"/>
    <s v="LINESTRING (14.146112335637879 66.30658259981797, 14.145939326258667 66.30656047612611, 14.145837010463547 66.30651290139153, 14.145805373862567 66.30646724002041, 14.145853482691022 66.30638962800482)"/>
    <s v="[1707429, 1707437, 1707445, 1707453]"/>
    <s v="[1524350, 1524355, 1524361, 1524367]"/>
    <s v="0.0016506438338322817"/>
    <s v="[1524347, 1524350, 1524355, 1524361]"/>
    <s v="[0.012, 0.002, 0.005, 0.015]"/>
    <s v="29.353075431646033"/>
    <s v="[-0.012, -0.002, 0.005, 0.015]"/>
  </r>
  <r>
    <x v="4787"/>
    <x v="3238"/>
    <x v="0"/>
    <n v="0"/>
    <m/>
    <n v="1707550"/>
    <n v="1524367"/>
    <s v="#FIELD!"/>
    <n v="1524382"/>
    <s v="0.008"/>
    <s v="40.23839231006484"/>
    <s v="#FIELD!"/>
  </r>
  <r>
    <x v="4788"/>
    <x v="5218"/>
    <x v="0"/>
    <n v="0"/>
    <s v="LINESTRING (10.207450576762342 59.177019309351095, 10.207387781116033 59.17708605511507, 10.206984960825716 59.18133860221506, 10.207114556198446 59.18171811209959)"/>
    <s v="[1708569, 1708577, 1708312]"/>
    <s v="[1525145, 1524965, 1524966]"/>
    <s v="#FIELD!"/>
    <s v="[1525144, 1525145, 1524965]"/>
    <s v="[0.018, 0.022, 0.045]"/>
    <s v="531.7879761395659"/>
    <s v="[-0.018, -0.022, -0.045]"/>
  </r>
  <r>
    <x v="4789"/>
    <x v="3224"/>
    <x v="0"/>
    <n v="0"/>
    <s v="LINESTRING (10.205904230070194 59.17693569650743, 10.20584190923312 59.17688525824189, 10.20579796986433 59.17677675962062, 10.205866513462642 59.1766759366478, 10.205965764295591 59.176617546677676)"/>
    <s v="[2114943, 2114951, 2114959, 2114967]"/>
    <s v="[1525017, 1824213, 1524989, 1525237]"/>
    <s v="#FIELD!"/>
    <s v="[1524978, 1525017, 1824213, 1524989]"/>
    <s v="[0.223, 0.017, 0.002, 0.195]"/>
    <s v="39.54697837011129"/>
    <s v="[-0.223, -0.017, -0.002, 0.195]"/>
  </r>
  <r>
    <x v="4789"/>
    <x v="3299"/>
    <x v="0"/>
    <n v="0"/>
    <s v="LINESTRING (10.206315686665125 59.18046144535847, 10.2061804850019 59.18007514247154, 10.20595265329582 59.17701711381413, 10.205904230070194 59.17693569650743)"/>
    <s v="[1708336, 1708320, 1708328]"/>
    <s v="[1524970, 1524971, 1524978]"/>
    <s v="0.009995960230160394"/>
    <s v="[1524982, 1524970, 1524971]"/>
    <s v="[0.013, 0.01, 0.004]"/>
    <s v="395.00634467883185"/>
    <s v="[0.013, 0.01, -0.004]"/>
  </r>
  <r>
    <x v="4789"/>
    <x v="5218"/>
    <x v="0"/>
    <s v="[0, 1, 0]"/>
    <s v="LINESTRING (10.207450576762342 59.177019309351095, 10.207155462590048 59.177089243991254, 10.206163235324508 59.177041692920646, 10.205904230070194 59.17693569650743)"/>
    <s v="[2115037, 2115045, 2115053]"/>
    <s v="[1824260, 1824263, 1524978]"/>
    <s v="#FIELD!"/>
    <s v="[1525144, 1824260, 1824263]"/>
    <s v="[0.107, 0.028, 0.044]"/>
    <s v="95.75537494062351"/>
    <s v="[-0.107, -0.028, 0.044]"/>
  </r>
  <r>
    <x v="4790"/>
    <x v="3235"/>
    <x v="0"/>
    <n v="0"/>
    <m/>
    <n v="1708857"/>
    <n v="1525037"/>
    <s v="#FIELD!"/>
    <n v="1524982"/>
    <s v="0.001"/>
    <s v="835.583451041737"/>
    <s v="#FIELD!"/>
  </r>
  <r>
    <x v="4791"/>
    <x v="3224"/>
    <x v="0"/>
    <n v="0"/>
    <s v="LINESTRING (10.205965764295591 59.176617546677676, 10.206023494498709 59.176542077673886, 10.206355473998935 59.173364136667786, 10.206292415635017 59.17298635609085)"/>
    <s v="[1708689, 1708697, 1708408]"/>
    <s v="[1525238, 1525036, 1525037]"/>
    <s v="#FIELD!"/>
    <s v="[1525237, 1525238, 1525036]"/>
    <s v="[0.001, 0.011, 0.02]"/>
    <s v="409.243789489454"/>
    <s v="[0.001, -0.011, -0.02]"/>
  </r>
  <r>
    <x v="4792"/>
    <x v="606"/>
    <x v="0"/>
    <n v="0"/>
    <m/>
    <n v="1708435"/>
    <n v="1525049"/>
    <s v="#FIELD!"/>
    <n v="1525045"/>
    <s v="0.006"/>
    <s v="15.428150965826653"/>
    <s v="#FIELD!"/>
  </r>
  <r>
    <x v="4793"/>
    <x v="5219"/>
    <x v="0"/>
    <n v="0"/>
    <m/>
    <n v="2115029"/>
    <n v="1525144"/>
    <s v="#FIELD!"/>
    <n v="1525217"/>
    <s v="0.029"/>
    <s v="7.448930192164566"/>
    <s v="#FIELD!"/>
  </r>
  <r>
    <x v="4794"/>
    <x v="5220"/>
    <x v="0"/>
    <n v="0"/>
    <s v="LINESTRING (10.209619322550797 59.176781446003496, 10.209291385385056 59.176900169107896, 10.209202862742268 59.17693057746494)"/>
    <s v="[1708585, 1708593]"/>
    <s v="[1525159, 1525165]"/>
    <s v="#FIELD!"/>
    <s v="[1525158, 1525159]"/>
    <s v="[0.009, 0.012]"/>
    <s v="29.811827283202224"/>
    <s v="[-0.009, -0.012]"/>
  </r>
  <r>
    <x v="4794"/>
    <x v="5221"/>
    <x v="0"/>
    <n v="0"/>
    <s v="LINESTRING (10.209619322550797 59.176781446003496, 10.20923997783222 59.176806984990165, 10.209147449807993 59.17680721879961)"/>
    <s v="[1708601, 1708609]"/>
    <s v="[1525172, 1525177]"/>
    <s v="#FIELD!"/>
    <s v="[1525158, 1525172]"/>
    <s v="0.01"/>
    <s v="27.181784900615607"/>
    <s v="#FIELD!"/>
  </r>
  <r>
    <x v="4795"/>
    <x v="5222"/>
    <x v="0"/>
    <n v="0"/>
    <s v="LINESTRING (10.209202862742268 59.17693057746494, 10.209171977468486 59.17696499513938, 10.209055230288003 59.1770123424234, 10.208894967587964 59.17701358182218, 10.208775203741654 59.1769709626742)"/>
    <s v="[2114887, 2114895, 2114903, 2114911]"/>
    <s v="[1525288, 1824182, 1525309, 1525230]"/>
    <s v="#FIELD!"/>
    <s v="[1525165, 1525288, 1824182, 1525309]"/>
    <s v="[0.679, 0.006, 0.029, 0.293]"/>
    <s v="30.242495942612663"/>
    <s v="[-0.679, -0.006, -0.029, 0.293]"/>
  </r>
  <r>
    <x v="4795"/>
    <x v="5221"/>
    <x v="0"/>
    <n v="0"/>
    <s v="LINESTRING (10.209147449807993 59.17680721879961, 10.209203030421893 59.17685426697225, 10.209202862742268 59.17693057746494)"/>
    <s v="[2114871, 2114879]"/>
    <s v="[1824169, 1525165]"/>
    <s v="#FIELD!"/>
    <s v="[1525177, 1824169]"/>
    <s v="[0.508, 0.364]"/>
    <s v="14.637821840128682"/>
    <s v="[-0.508, 0.364]"/>
  </r>
  <r>
    <x v="4796"/>
    <x v="5223"/>
    <x v="0"/>
    <n v="0"/>
    <s v="LINESTRING (10.208795922300903 59.17680459420084, 10.208825264292162 59.17679168149026, 10.208947559962688 59.17676812526974, 10.209094635158719 59.17678618843832, 10.209147449807993 59.17680721879961)"/>
    <s v="[2114935, 2114847, 2114855, 2114863]"/>
    <s v="[1525190, 1824160, 1525253, 1525177]"/>
    <s v="0.02819077196247289"/>
    <s v="[1525210, 1525190, 1824160, 1525253]"/>
    <s v="[1.438, 0.017, 0.029, 0.896]"/>
    <s v="22.159866452809627"/>
    <s v="[-1.438, 0.017, 0.029, 0.896]"/>
  </r>
  <r>
    <x v="4797"/>
    <x v="5223"/>
    <x v="0"/>
    <n v="0"/>
    <s v="LINESTRING (10.207582990437388 59.17670748466725, 10.20771392654974 59.17675339636768, 10.20868332342653 59.17681823584389, 10.208795922300903 59.17680459420084)"/>
    <s v="[1708641, 1708649, 1708657]"/>
    <s v="[1525199, 1525205, 1525210]"/>
    <s v="0.039489481387941415"/>
    <s v="[1525198, 1525199, 1525205]"/>
    <s v="[0.033, 0.04, 0.044]"/>
    <s v="72.52966491551011"/>
    <s v="[0.033, 0.04, 0.044]"/>
  </r>
  <r>
    <x v="4797"/>
    <x v="5219"/>
    <x v="0"/>
    <n v="0"/>
    <s v="LINESTRING (10.207582990437388 59.17670748466725, 10.207653997744732 59.17684369013152, 10.207544272121599 59.176972901635125)"/>
    <s v="[2115007, 2115015]"/>
    <s v="[1824244, 1525217]"/>
    <s v="#FIELD!"/>
    <s v="[1525198, 1824244]"/>
    <s v="[0.125, 0.116]"/>
    <s v="31.82114169494648"/>
    <s v="[-0.125, 0.116]"/>
  </r>
  <r>
    <x v="4798"/>
    <x v="5222"/>
    <x v="0"/>
    <n v="0"/>
    <s v="LINESTRING (10.208775203741654 59.1769709626742, 10.208724060809645 59.17688427375907, 10.208795922300903 59.17680459420084)"/>
    <s v="[2114919, 2114927]"/>
    <s v="[1824193, 1525210]"/>
    <s v="0.006688380664249604"/>
    <s v="[1525230, 1824193]"/>
    <s v="[0.298, 0.321]"/>
    <s v="19.881493096047684"/>
    <s v="[-0.298, 0.321]"/>
  </r>
  <r>
    <x v="4799"/>
    <x v="5222"/>
    <x v="0"/>
    <n v="0"/>
    <s v="LINESTRING (10.207544272121599 59.176972901635125, 10.207684790773019 59.17693863187548, 10.208668671225569 59.176939716670496, 10.208775203741654 59.1769709626742)"/>
    <s v="[1708665, 1708673, 1708681]"/>
    <s v="[1525218, 1525223, 1525230]"/>
    <s v="0.03905617160140462"/>
    <s v="[1525217, 1525218, 1525223]"/>
    <s v="[0.037, 0.04, 0.034]"/>
    <s v="72.91363682364154"/>
    <s v="[0.037, 0.04, 0.034]"/>
  </r>
  <r>
    <x v="4800"/>
    <x v="5224"/>
    <x v="0"/>
    <n v="0"/>
    <s v="LINESTRING (10.218446300368042 60.15044400463481, 10.217973768606122 60.15066637405501, 10.217919110111632 60.15069643663562, 10.217733866047473 60.15069747098654)"/>
    <s v="[1716706, 1716717, 1716718]"/>
    <s v="[1530637, 232698, 1267201]"/>
    <s v="0.01346941148781808"/>
    <s v="[1530636, 1530637, 232698]"/>
    <s v="[0.012, 0.001, 0.025]"/>
    <s v="51.06745921536156"/>
    <s v="[0.012, -0.001, 0.025]"/>
  </r>
  <r>
    <x v="4800"/>
    <x v="5224"/>
    <x v="0"/>
    <n v="0"/>
    <s v="LINESTRING (10.218446300368042 60.15044400463481, 10.21780496136996 60.150587201931565, 10.217745525644485 60.150617361468996, 10.217733866047473 60.15069747098654)"/>
    <s v="[1716721, 1716739, 1716760]"/>
    <s v="[1530646, 232686, 1267201]"/>
    <s v="0.01283448196577615"/>
    <s v="[1530636, 1530646, 232686]"/>
    <s v="[0.023, 0.002, 0.024]"/>
    <s v="52.98426894080171"/>
    <s v="[0.023, -0.002, -0.024]"/>
  </r>
  <r>
    <x v="4800"/>
    <x v="2643"/>
    <x v="0"/>
    <n v="0"/>
    <m/>
    <n v="1716720"/>
    <n v="1530636"/>
    <s v="0.026"/>
    <n v="1530645"/>
    <s v="0.026"/>
    <s v="106.39879349938515"/>
    <s v="0.026"/>
  </r>
  <r>
    <x v="4801"/>
    <x v="2642"/>
    <x v="0"/>
    <n v="0"/>
    <s v="LINESTRING (10.219370032545113 60.15200306311903, 10.219470495423558 60.151834039258574, 10.220175762426056 60.15069874284466)"/>
    <s v="[1716846, 1716719]"/>
    <s v="[1530644, 1530645]"/>
    <s v="#FIELD!"/>
    <s v="[1530717, 1530644]"/>
    <s v="[0.003, 0.022]"/>
    <s v="158.5404940042233"/>
    <s v="[-0.003, -0.022]"/>
  </r>
  <r>
    <x v="4802"/>
    <x v="5225"/>
    <x v="0"/>
    <n v="0"/>
    <m/>
    <n v="1716761"/>
    <n v="1530673"/>
    <s v="0.062"/>
    <n v="1530672"/>
    <s v="0.062"/>
    <s v="241.1424819976022"/>
    <s v="0.062"/>
  </r>
  <r>
    <x v="4803"/>
    <x v="4649"/>
    <x v="0"/>
    <n v="0"/>
    <s v="LINESTRING (10.220170935098196 60.15130814238588, 10.220142299061564 60.15133172597788, 10.21931707920967 60.15222996908613, 10.218595955987093 60.154704135950745)"/>
    <s v="[1716780, 1716959, 1716967]"/>
    <s v="[1530684, 1530777, 1530772]"/>
    <s v="#FIELD!"/>
    <s v="[1530673, 1530684, 1530777]"/>
    <s v="[0.029, 0.009, 0.023]"/>
    <s v="393.57832736571464"/>
    <s v="[0.029, 0.009, -0.023]"/>
  </r>
  <r>
    <x v="4803"/>
    <x v="4648"/>
    <x v="0"/>
    <n v="0"/>
    <s v="LINESTRING (10.220170935098196 60.15130814238588, 10.21993176990895 60.151541016249794, 10.219964053191728 60.152944233778236)"/>
    <s v="[1716823, 1716824]"/>
    <s v="[1530706, 1530707]"/>
    <s v="0.02153049659849203"/>
    <s v="[1530673, 1530706]"/>
    <s v="[0.025, 0.021]"/>
    <s v="220.81784303749208"/>
    <s v="[0.025, 0.021]"/>
  </r>
  <r>
    <x v="4804"/>
    <x v="5226"/>
    <x v="0"/>
    <n v="0"/>
    <m/>
    <n v="1716841"/>
    <n v="1530713"/>
    <s v="0.001"/>
    <n v="1530707"/>
    <s v="0.001"/>
    <s v="80.14949157643483"/>
    <s v="0.001"/>
  </r>
  <r>
    <x v="4805"/>
    <x v="5227"/>
    <x v="0"/>
    <n v="0"/>
    <s v="LINESTRING (10.220636094068304 60.152342658756176, 10.220920085107343 60.15209671546877, 10.220968911651212 60.15206630590766)"/>
    <s v="[1716847, 1716848]"/>
    <s v="[1530718, 1530719]"/>
    <s v="#FIELD!"/>
    <s v="[1530713, 1530718]"/>
    <s v="[0.023, 0.022]"/>
    <s v="35.973981839842864"/>
    <s v="[-0.023, -0.022]"/>
  </r>
  <r>
    <x v="4805"/>
    <x v="5228"/>
    <x v="0"/>
    <n v="0"/>
    <s v="LINESTRING (10.220636094068304 60.152342658756176, 10.220714987331915 60.15205098269357, 10.220718591762456 60.15201069902049)"/>
    <s v="[1716850, 1716851]"/>
    <s v="[1530720, 1530721]"/>
    <s v="#FIELD!"/>
    <s v="[1530713, 1530720]"/>
    <s v="[0.041, 0.044]"/>
    <s v="37.30104849830434"/>
    <s v="[-0.041, -0.044]"/>
  </r>
  <r>
    <x v="4806"/>
    <x v="4649"/>
    <x v="0"/>
    <n v="0"/>
    <m/>
    <n v="1716951"/>
    <n v="1530772"/>
    <s v="#FIELD!"/>
    <n v="1530717"/>
    <s v="0.021"/>
    <s v="306.99858455884333"/>
    <s v="#FIELD!"/>
  </r>
  <r>
    <x v="4807"/>
    <x v="2658"/>
    <x v="0"/>
    <n v="0"/>
    <m/>
    <n v="1717708"/>
    <n v="1531269"/>
    <s v="0.021"/>
    <n v="1531268"/>
    <s v="0.021"/>
    <s v="20.51524157794684"/>
    <s v="0.021"/>
  </r>
  <r>
    <x v="4807"/>
    <x v="1233"/>
    <x v="0"/>
    <n v="0"/>
    <s v="LINESTRING (5.846973754154348 58.771795661399, 5.847055977721964 58.771856332835476, 5.84704767183968 58.77193813648832)"/>
    <s v="[1717763, 1717768]"/>
    <s v="[1531308, 1531268]"/>
    <s v="0.2415742055703999"/>
    <s v="[1531303, 1531308]"/>
    <s v="[0.24, 0.243]"/>
    <s v="17.442031585135027"/>
    <s v="[0.24, 0.243]"/>
  </r>
  <r>
    <x v="4808"/>
    <x v="2659"/>
    <x v="0"/>
    <n v="0"/>
    <s v="LINESTRING (5.846749343635418 58.77200370317166, 5.846628816729823 58.77194735567975, 5.846609057681477 58.771860399439284)"/>
    <s v="[1717716, 1717723]"/>
    <s v="[1531274, 1531281]"/>
    <s v="#FIELD!"/>
    <s v="[1531269, 1531274]"/>
    <s v="[0.193, 0.248]"/>
    <s v="19.19309813301387"/>
    <s v="[-0.193, -0.248]"/>
  </r>
  <r>
    <x v="4809"/>
    <x v="1233"/>
    <x v="0"/>
    <n v="0"/>
    <s v="LINESTRING (5.846609057681477 58.771860399439284, 5.846637880433723 58.771826503297845, 5.846763575061962 58.771776681375094, 5.846907409920306 58.77177736140798, 5.846973754154348 58.771795661399)"/>
    <s v="[1717731, 1717739, 1717747, 1717755]"/>
    <s v="[1531285, 1531290, 1531295, 1531303]"/>
    <s v="#FIELD!"/>
    <s v="[1531281, 1531285, 1531290, 1531295]"/>
    <s v="[0.165, 0.102, 0.056, 0.171]"/>
    <s v="26.02181297449224"/>
    <s v="[-0.165, -0.102, 0.056, 0.171]"/>
  </r>
  <r>
    <x v="4810"/>
    <x v="4735"/>
    <x v="0"/>
    <n v="0"/>
    <s v="LINESTRING (10.03147571752587 59.74957573615051, 10.03118790929751 59.74974408899283, 10.030513402063743 59.750131652226, 10.02233194662953 59.75201281392826, 10.021785481159045 59.7519794799442)"/>
    <s v="[1719605, 1719613, 1719621, 1719629]"/>
    <s v="[1532413, 1532418, 1532424, 1532429]"/>
    <s v="#FIELD!"/>
    <s v="[1532406, 1532413, 1532418, 1532424]"/>
    <s v="[0.0, 0.007, 0.001, 0.003]"/>
    <s v="656.9392991118918"/>
    <s v="[-0.0, -0.007, -0.001, 0.003]"/>
  </r>
  <r>
    <x v="4811"/>
    <x v="3945"/>
    <x v="0"/>
    <n v="0"/>
    <s v="LINESTRING (10.021785481159045 59.7519794799442, 10.020481793499314 59.75190868713375, 10.019851682188783 59.75188537478236, 10.018766814002873 59.75187548721197, 10.01850747666112 59.751878381809526, 10.009279763258789 59.752257310643785)"/>
    <s v="[1719645, 2007337, 2007345, 2007353, 2007361]"/>
    <s v="[1532436, 1757330, 1757335, 1757339, 1757324]"/>
    <s v="0.004581469458783694"/>
    <s v="[1532429, 1532436, 1757330, 1757335, 1757339]"/>
    <s v="[0.004, 0.003, 0.003, 0.003, 0.005]"/>
    <s v="707.4199331690422"/>
    <s v="[0.004, 0.003, 0.003, 0.003, 0.005]"/>
  </r>
  <r>
    <x v="4812"/>
    <x v="5093"/>
    <x v="0"/>
    <n v="0"/>
    <s v="LINESTRING (11.064231949236438 60.014653749358985, 11.064151569802936 60.014644411210085, 11.06405350805282 60.01460711738254, 11.064003855806064 60.01455069894245, 11.06413570375287 60.01442092618334)"/>
    <s v="[1723950, 1723951, 1723952, 1723957]"/>
    <s v="[1534537, 1534538, 1534539, 1534541]"/>
    <s v="0.014111682248205634"/>
    <s v="[1534536, 1534537, 1534538, 1534539]"/>
    <s v="[0.022, 0.011, 0.014, 0.034]"/>
    <s v="35.41421391730256"/>
    <s v="[-0.022, -0.011, 0.014, 0.034]"/>
  </r>
  <r>
    <x v="4812"/>
    <x v="5229"/>
    <x v="0"/>
    <n v="0"/>
    <s v="LINESTRING (11.064485576345504 60.014559945782416, 11.064404956256356 60.014625045700846, 11.064231949236438 60.014653749358985)"/>
    <s v="[1723973, 1723992]"/>
    <s v="[1534552, 1534536]"/>
    <s v="#FIELD!"/>
    <s v="[1534546, 1534552]"/>
    <s v="[0.038, 0.033]"/>
    <s v="18.702931683694423"/>
    <s v="[-0.038, -0.033]"/>
  </r>
  <r>
    <x v="4812"/>
    <x v="5230"/>
    <x v="0"/>
    <n v="0"/>
    <s v="LINESTRING (11.06472202267029 60.01481748362365, 11.06438432528179 60.01469231273781, 11.064231949236438 60.014653749358985)"/>
    <s v="[1724062, 1724069]"/>
    <s v="[1534614, 1534536]"/>
    <s v="#FIELD!"/>
    <s v="[1534595, 1534614]"/>
    <s v="[0.011, 0.015]"/>
    <s v="32.965251444062815"/>
    <s v="[-0.011, -0.015]"/>
  </r>
  <r>
    <x v="4813"/>
    <x v="5229"/>
    <x v="0"/>
    <n v="0"/>
    <m/>
    <n v="1723965"/>
    <n v="1534546"/>
    <s v="0.005"/>
    <n v="1534541"/>
    <s v="0.005"/>
    <s v="30.809594871498582"/>
    <s v="0.005"/>
  </r>
  <r>
    <x v="4814"/>
    <x v="5230"/>
    <x v="0"/>
    <n v="0"/>
    <s v="LINESTRING (11.06472202267029 60.01481748362365, 11.064546650917778 60.01462646775353, 11.064485576345504 60.014559945782416)"/>
    <s v="[1724076, 1724079]"/>
    <s v="[1534624, 1534546]"/>
    <s v="0.007774900967713765"/>
    <s v="[1534595, 1534624]"/>
    <s v="[0.007, 0.01]"/>
    <s v="31.584531736370288"/>
    <s v="[0.007, 0.01]"/>
  </r>
  <r>
    <x v="4815"/>
    <x v="5230"/>
    <x v="0"/>
    <n v="0"/>
    <m/>
    <n v="1724032"/>
    <n v="1534595"/>
    <s v="#FIELD!"/>
    <n v="1534588"/>
    <s v="0.02"/>
    <s v="242.45797789422843"/>
    <s v="#FIELD!"/>
  </r>
  <r>
    <x v="4816"/>
    <x v="5231"/>
    <x v="0"/>
    <n v="0"/>
    <m/>
    <n v="1725941"/>
    <n v="1535840"/>
    <s v="#FIELD!"/>
    <n v="1535485"/>
    <s v="0.045"/>
    <s v="14.45615499773058"/>
    <s v="#FIELD!"/>
  </r>
  <r>
    <x v="4816"/>
    <x v="5232"/>
    <x v="0"/>
    <n v="0"/>
    <m/>
    <n v="1725925"/>
    <n v="1535485"/>
    <s v="0.059"/>
    <n v="1535536"/>
    <s v="0.059"/>
    <s v="40.017672647076296"/>
    <s v="0.059"/>
  </r>
  <r>
    <x v="4817"/>
    <x v="5233"/>
    <x v="0"/>
    <n v="0"/>
    <s v="LINESTRING (11.11843519866778 59.58572882804578, 11.118495300959356 59.58587319125371, 11.11840644296052 59.58593195556903, 11.118286325815225 59.585957428602654, 11.118090970804673 59.585932842537105)"/>
    <s v="[1726123, 1726131, 1726139, 1726081]"/>
    <s v="[1535932, 1535940, 1535915, 1535517]"/>
    <s v="#FIELD!"/>
    <s v="[1535507, 1535932, 1535940, 1535915]"/>
    <s v="[0.064, 0.02, 0.012, 0.029]"/>
    <s v="44.35723495669913"/>
    <s v="[-0.064, -0.02, 0.012, 0.029]"/>
  </r>
  <r>
    <x v="4817"/>
    <x v="5234"/>
    <x v="0"/>
    <n v="0"/>
    <m/>
    <n v="1726113"/>
    <n v="1535507"/>
    <s v="#FIELD!"/>
    <n v="1535885"/>
    <s v="0.075"/>
    <s v="15.456489255497873"/>
    <s v="#FIELD!"/>
  </r>
  <r>
    <x v="4818"/>
    <x v="5232"/>
    <x v="0"/>
    <n v="0"/>
    <s v="LINESTRING (11.113455671105157 59.58774907364533, 11.113461365090581 59.58770132652515, 11.116538599612522 59.58520481786302, 11.116561604858333 59.58515755766036)"/>
    <s v="[1725695, 1725423, 1725431]"/>
    <s v="[1535530, 1535531, 1535536]"/>
    <s v="0.040617873507189435"/>
    <s v="[1535514, 1535530, 1535531]"/>
    <s v="[0.008, 0.041, 0.065]"/>
    <s v="342.79689714287747"/>
    <s v="[-0.008, 0.041, 0.065]"/>
  </r>
  <r>
    <x v="4819"/>
    <x v="5235"/>
    <x v="0"/>
    <n v="0"/>
    <m/>
    <n v="1726089"/>
    <n v="1535901"/>
    <s v="0.048"/>
    <n v="1535517"/>
    <s v="0.048"/>
    <s v="18.936844275897464"/>
    <s v="0.048"/>
  </r>
  <r>
    <x v="4819"/>
    <x v="5152"/>
    <x v="0"/>
    <n v="0"/>
    <s v="LINESTRING (11.118090970804673 59.585932842537105, 11.118000816818217 59.58593370014226, 11.113336343578382 59.58804687057184, 11.113231227335804 59.58806055857225)"/>
    <s v="[1725407, 1725415, 1725703]"/>
    <s v="[1535518, 1535523, 1535594]"/>
    <s v="#FIELD!"/>
    <s v="[1535517, 1535518, 1535523]"/>
    <s v="[0.046, 0.032, 0.002]"/>
    <s v="372.1863237432057"/>
    <s v="[-0.046, -0.032, 0.002]"/>
  </r>
  <r>
    <x v="4820"/>
    <x v="5236"/>
    <x v="0"/>
    <n v="0"/>
    <m/>
    <n v="1725917"/>
    <n v="1535536"/>
    <s v="#FIELD!"/>
    <n v="1535829"/>
    <s v="0.018"/>
    <s v="22.070385440658377"/>
    <s v="#FIELD!"/>
  </r>
  <r>
    <x v="4821"/>
    <x v="1746"/>
    <x v="0"/>
    <s v="[0, 0, 0, 0, 1, 1, 0, 0, 1, 0, 1, 0, 0, 0, 1, 1, 0, 0, 0]"/>
    <s v="LINESTRING (11.113231227335804 59.58806055857225, 11.112899400757996 59.588254950076795, 11.0971505726395 59.592197427972316, 11.097121937180104 59.59220079000713, 11.09448123161939 59.59254820891563, 11.091445033337752 59.59299242290357, 11.089601187955529 59.593262600824644, 11.073589964724594 59.598332734890924, 11.07354414562863 59.59834497989951, 11.071161270343499 59.598895699974086, 11.06434365053367 59.60038832558387, 11.062131914391692 59.6010797412364, 11.050951624212546 59.60494688477186, 11.021598430660758 59.612323253104734, 11.018923262411208 59.613415552481314, 11.0187183209255 59.61350084931604, 11.018570822582031 59.613561353753724, 11.014554047361894 59.61520327344916, 11.012897566519204 59.615878356140456, 11.012670092999574 59.61597263136142)"/>
    <s v="[1725519, 1725527, 1725535, 1725543, 1725551, 1725559, 1725439, 1725447, 1725455, 1725647, 1725655, 1725663, 1725716, 1725756, 1725758, 1725764, 1725765, 1725766, 1725767]"/>
    <s v="[1535595, 1535601, 1535606, 1535613, 1535619, 1535538, 1535539, 1535547, 1535553, 1535672, 1535676, 1535679, 1535702, 1535733, 1535735, 1535741, 1535742, 1535743, 1535744]"/>
    <s v="0.0018475068033766747"/>
    <s v="[1535594, 1535595, 1535601, 1535606, 1535613, 1535619, 1535538, 1535539, 1535547, 1535553, 1535672, 1535676, 1535679, 1535702, 1535733, 1535735, 1535741, 1535742, 1535743]"/>
    <s v="[0.001, 0.002, 0.083, 0.1, 0.056, 0.073, 0.01, 0.05, 0.01, 0.003, 0.015, 0.024, 0.006, 0.022, 0.018, 0.018, 0.003, 0.041, 0.054]"/>
    <s v="6575.538247638739"/>
    <s v="[0.001, -0.002, -0.083, -0.1, -0.056, 0.073, 0.01, -0.05, -0.01, 0.003, 0.015, 0.024, 0.006, -0.022, 0.018, 0.018, -0.003, -0.041, -0.054]"/>
  </r>
  <r>
    <x v="4822"/>
    <x v="2503"/>
    <x v="0"/>
    <n v="0"/>
    <s v="LINESTRING (11.012670092999574 59.61597263136142, 11.012593497203598 59.6160657222238, 11.005974546077155 59.619289614606274, 11.005920175314959 59.61931555617212)"/>
    <s v="[1820482, 1820378, 1820379]"/>
    <s v="[1600414, 1600415, 1600416]"/>
    <s v="#FIELD!"/>
    <s v="[1535744, 1600414, 1600415]"/>
    <s v="[0.058, 0.047, 0.039]"/>
    <s v="534.6584882928867"/>
    <s v="[-0.058, -0.047, -0.039]"/>
  </r>
  <r>
    <x v="4823"/>
    <x v="5231"/>
    <x v="0"/>
    <n v="0"/>
    <s v="LINESTRING (11.117070690086644 59.58511945014721, 11.117007101652096 59.585191189899255, 11.116891826791361 59.5852315488107)"/>
    <s v="[1725947, 1725955]"/>
    <s v="[1535843, 1535829]"/>
    <s v="#FIELD!"/>
    <s v="[1535840, 1535843]"/>
    <s v="[0.079, 0.08]"/>
    <s v="16.67961952869253"/>
    <s v="[-0.079, -0.08]"/>
  </r>
  <r>
    <x v="4823"/>
    <x v="5237"/>
    <x v="0"/>
    <s v="[1, 0, 0]"/>
    <s v="LINESTRING (11.1173102367774 59.58534321737071, 11.117116487880894 59.58528478549175, 11.116986233895108 59.58524450988691, 11.116891826791361 59.5852315488107)"/>
    <s v="[1725963, 1725971, 1725979]"/>
    <s v="[1535853, 1535857, 1535829]"/>
    <s v="#FIELD!"/>
    <s v="[1535852, 1535853, 1535857]"/>
    <s v="[0.006, 0.007, 0.037]"/>
    <s v="26.88530768802486"/>
    <s v="[-0.006, -0.007, -0.037]"/>
  </r>
  <r>
    <x v="4824"/>
    <x v="5237"/>
    <x v="0"/>
    <s v="[1, 0, 0]"/>
    <s v="LINESTRING (11.1173102367774 59.58534321737071, 11.117188063520222 59.58524214037093, 11.11711683000604 59.58518337152839, 11.117070690086644 59.58511945014721)"/>
    <s v="[1725995, 1726003, 1726011]"/>
    <s v="[1535868, 1535875, 1535840]"/>
    <s v="0.03466661509249504"/>
    <s v="[1535852, 1535868, 1535875]"/>
    <s v="[0.032, 0.033, 0.041]"/>
    <s v="28.48149318754491"/>
    <s v="[0.032, 0.033, 0.041]"/>
  </r>
  <r>
    <x v="4825"/>
    <x v="5238"/>
    <x v="0"/>
    <n v="1"/>
    <m/>
    <n v="1725987"/>
    <n v="1535852"/>
    <s v="0.013"/>
    <n v="1535866"/>
    <s v="0.013"/>
    <s v="36.27238756926581"/>
    <s v="0.013"/>
  </r>
  <r>
    <x v="4826"/>
    <x v="5234"/>
    <x v="0"/>
    <s v="[0, 0, 1]"/>
    <s v="LINESTRING (11.11818032306342 59.58569312640574, 11.118061297520704 59.58566613059334, 11.11787776962855 59.585605126458255, 11.117766898725915 59.58557198954666)"/>
    <s v="[1726027, 1726041, 1726049]"/>
    <s v="[1535886, 1535891, 1535866]"/>
    <s v="#FIELD!"/>
    <s v="[1535885, 1535886, 1535891]"/>
    <s v="[0.01, 0.002, 0.001]"/>
    <s v="27.039666049586334"/>
    <s v="[-0.01, -0.002, 0.001]"/>
  </r>
  <r>
    <x v="4826"/>
    <x v="5235"/>
    <x v="0"/>
    <s v="[0, 0, 1]"/>
    <s v="LINESTRING (11.117996716086074 59.58577874538354, 11.117946758688442 59.5857216153173, 11.117833099536558 59.58563121994777, 11.117766898725915 59.58557198954666)"/>
    <s v="[1726057, 1726065, 1726073]"/>
    <s v="[1535902, 1535907, 1535866]"/>
    <s v="0.037495702647511724"/>
    <s v="[1535901, 1535902, 1535907]"/>
    <s v="[0.047, 0.031, 0.039]"/>
    <s v="26.49570240193095"/>
    <s v="[0.047, 0.031, 0.039]"/>
  </r>
  <r>
    <x v="4827"/>
    <x v="5235"/>
    <x v="0"/>
    <n v="0"/>
    <s v="LINESTRING (11.117996716086074 59.58577874538354, 11.118066539294567 59.58572516999855, 11.11818032306342 59.58569312640574)"/>
    <s v="[1726097, 1726105]"/>
    <s v="[1535922, 1535885]"/>
    <s v="0.0744246750006534"/>
    <s v="[1535901, 1535922]"/>
    <s v="[0.08, 0.069]"/>
    <s v="14.510145042696868"/>
    <s v="[0.08, 0.069]"/>
  </r>
  <r>
    <x v="4828"/>
    <x v="5239"/>
    <x v="0"/>
    <n v="0"/>
    <s v="LINESTRING (11.338392963613616 60.12902792494916, 11.33880015244031 60.1290181643127, 11.338920625141643 60.12901871269529)"/>
    <s v="[1734040, 1734058]"/>
    <s v="[1540883, 1540897]"/>
    <s v="0.005"/>
    <s v="[1540872, 1540883]"/>
    <s v="0.005"/>
    <s v="29.358317051899856"/>
    <s v="0.005"/>
  </r>
  <r>
    <x v="4828"/>
    <x v="5240"/>
    <x v="0"/>
    <n v="0"/>
    <s v="LINESTRING (11.338392963613616 60.12902792494916, 11.338708228831521 60.12913626124345, 11.338830220552644 60.129178719439224)"/>
    <s v="[1734059, 1734060]"/>
    <s v="[1540898, 1540899]"/>
    <s v="0.01172017448976425"/>
    <s v="[1540872, 1540898]"/>
    <s v="[0.012, 0.011]"/>
    <s v="29.54879304984979"/>
    <s v="[0.012, 0.011]"/>
  </r>
  <r>
    <x v="4829"/>
    <x v="1434"/>
    <x v="0"/>
    <n v="0"/>
    <s v="LINESTRING (11.338920625141643 60.12901871269529, 11.339071050005348 60.128992945235495, 11.339173242774773 60.12900071738731, 11.339265609687345 60.12902880079792, 11.339341497327085 60.12909166232929)"/>
    <s v="[1734079, 1734080, 1734087, 1734092]"/>
    <s v="[1540915, 1540916, 1540922, 1540900]"/>
    <s v="0.0075145314340283"/>
    <s v="[1540897, 1540915, 1540916, 1540922]"/>
    <s v="[0.0, 0.008, 0.012, 0.012]"/>
    <s v="28.777081053146798"/>
    <s v="[0.0, 0.008, 0.012, 0.012]"/>
  </r>
  <r>
    <x v="4829"/>
    <x v="5240"/>
    <x v="0"/>
    <n v="0"/>
    <s v="LINESTRING (11.338830220552644 60.129178719439224, 11.338820529015587 60.12909090473279, 11.338920625141643 60.12901871269529)"/>
    <s v="[1734138, 1734146]"/>
    <s v="[1540958, 1540897]"/>
    <s v="#FIELD!"/>
    <s v="[1540899, 1540958]"/>
    <s v="[0.014, 0.007]"/>
    <s v="19.58068052972408"/>
    <s v="[-0.014, -0.007]"/>
  </r>
  <r>
    <x v="4830"/>
    <x v="1435"/>
    <x v="0"/>
    <n v="0"/>
    <m/>
    <n v="1734130"/>
    <n v="1540899"/>
    <s v="#FIELD!"/>
    <n v="1540904"/>
    <s v="0.008"/>
    <s v="25.225374334006762"/>
    <s v="#FIELD!"/>
  </r>
  <r>
    <x v="4831"/>
    <x v="1435"/>
    <x v="0"/>
    <n v="0"/>
    <s v="LINESTRING (11.339341497327085 60.12909166232929, 11.339330873747178 60.12918071237862, 11.339210609953353 60.12924632433412)"/>
    <s v="[1734098, 1734099]"/>
    <s v="[1540929, 1540904]"/>
    <s v="0.009005052642773046"/>
    <s v="[1540900, 1540929]"/>
    <s v="[0.012, 0.006]"/>
    <s v="19.846734812223325"/>
    <s v="[0.012, 0.006]"/>
  </r>
  <r>
    <x v="4832"/>
    <x v="3053"/>
    <x v="0"/>
    <n v="0"/>
    <m/>
    <n v="1734293"/>
    <n v="1541064"/>
    <s v="0.068"/>
    <n v="1541059"/>
    <s v="0.068"/>
    <s v="20.348971950544758"/>
    <s v="0.068"/>
  </r>
  <r>
    <x v="4832"/>
    <x v="3073"/>
    <x v="0"/>
    <n v="0"/>
    <s v="LINESTRING (9.96599646880026 59.06396572536424, 9.965844515013233 59.06400466249472, 9.965677343134633 59.06397966858566)"/>
    <s v="[1734308, 1734287]"/>
    <s v="[1541058, 1541059]"/>
    <s v="0.020734070727873755"/>
    <s v="[1541073, 1541058]"/>
    <s v="[0.002, 0.039]"/>
    <s v="19.735478524867908"/>
    <s v="[0.002, 0.039]"/>
  </r>
  <r>
    <x v="4833"/>
    <x v="1033"/>
    <x v="0"/>
    <n v="0"/>
    <s v="LINESTRING (11.189456476528358 60.33093535878271, 11.192202771483622 60.334181179090066, 11.19232668890453 60.3342925811948, 11.193292010769255 60.33508499621738, 11.193591330542812 60.33530770945686, 11.193825063167719 60.33547527394344, 11.194302273334102 60.33580137722735)"/>
    <s v="[1748119, 1748126, 1748145, 1748146, 1748159, 1748160]"/>
    <s v="[1549610, 1549614, 1549631, 1549632, 1549641, 1547272]"/>
    <s v="0.020506472736442422"/>
    <s v="[1547260, 1549610, 1549614, 1549631, 1549632, 1549641]"/>
    <s v="[0.012, 0.018, 0.041, 0.012, 0.021, 0.054]"/>
    <s v="607.351777580587"/>
    <s v="[0.012, 0.018, 0.041, 0.012, 0.021, 0.054]"/>
  </r>
  <r>
    <x v="4833"/>
    <x v="5241"/>
    <x v="0"/>
    <n v="0"/>
    <s v="LINESTRING (11.188750702970006 60.33252548708972, 11.189546257455875 60.331127485068, 11.189456476528358 60.33093535878271)"/>
    <s v="[1747139, 1744306]"/>
    <s v="[1547259, 1547260]"/>
    <s v="#FIELD!"/>
    <s v="[1549053, 1547259]"/>
    <s v="[0.01, 0.047]"/>
    <s v="396.78246387558784"/>
    <s v="[-0.01, -0.047]"/>
  </r>
  <r>
    <x v="4833"/>
    <x v="5242"/>
    <x v="0"/>
    <s v="[1, 0, 1, 0, 0, 0]"/>
    <s v="LINESTRING (11.151582547632598 60.31746669934594, 11.15458069621394 60.318793512648504, 11.157497810825689 60.319550360808094, 11.159241747239781 60.31982582022603, 11.172618158483544 60.322295947622266, 11.185547823016853 60.327837268126586, 11.189456476528358 60.33093535878271)"/>
    <s v="[1747483, 1747488, 1747490, 1744516, 1744524, 1748117]"/>
    <s v="[1549261, 1549263, 1547427, 1547428, 1547432, 1547260]"/>
    <s v="0.0029071155522658945"/>
    <s v="[1549260, 1549261, 1549263, 1547427, 1547428, 1547432]"/>
    <s v="[0.012, 0.011, 0.023, 0.007, 0.017, 0.05]"/>
    <s v="2660.7304031132016"/>
    <s v="[-0.012, -0.011, 0.023, 0.007, -0.017, 0.05]"/>
  </r>
  <r>
    <x v="4834"/>
    <x v="5243"/>
    <x v="0"/>
    <n v="0"/>
    <s v="LINESTRING (11.186009415170284 60.32792269015577, 11.189531421692415 60.33073781951167, 11.189640282856882 60.33087893254903, 11.192426334162368 60.33409585655505)"/>
    <s v="[1747493, 1747495, 1747531]"/>
    <s v="[1549265, 1549267, 1547266]"/>
    <s v="0.032499588710203614"/>
    <s v="[1547420, 1549265, 1549267]"/>
    <s v="[0.052, 0.054, 0.013]"/>
    <s v="779.5338180005656"/>
    <s v="[0.052, 0.054, 0.013]"/>
  </r>
  <r>
    <x v="4834"/>
    <x v="5244"/>
    <x v="0"/>
    <n v="0"/>
    <s v="LINESTRING (11.193637783350159 60.33067630558146, 11.19170507546262 60.33331444209634, 11.192363525455011 60.333985190785185, 11.192426334162368 60.33409585655505)"/>
    <s v="[1747190, 1747193, 1744315]"/>
    <s v="[1549089, 1547265, 1547266]"/>
    <s v="0.006083402916791679"/>
    <s v="[1549088, 1549089, 1547265]"/>
    <s v="[0.006, 0.002, 0.035]"/>
    <s v="465.9908938688264"/>
    <s v="[0.006, 0.002, 0.035]"/>
  </r>
  <r>
    <x v="4835"/>
    <x v="5241"/>
    <x v="0"/>
    <n v="0"/>
    <s v="LINESTRING (11.194302273334102 60.33580137722735, 11.194118530170924 60.33572102753585, 11.188750702970006 60.33252548708972)"/>
    <s v="[1744323, 1749292]"/>
    <s v="[1547273, 1549053]"/>
    <s v="#FIELD!"/>
    <s v="[1547272, 1547273]"/>
    <s v="[0.068, 0.014]"/>
    <s v="505.78829136205434"/>
    <s v="[-0.068, -0.014]"/>
  </r>
  <r>
    <x v="4836"/>
    <x v="5245"/>
    <x v="0"/>
    <n v="0"/>
    <m/>
    <n v="1744331"/>
    <n v="1547279"/>
    <s v="0.0"/>
    <n v="1547278"/>
    <s v="0.0"/>
    <s v="48.02247542544768"/>
    <s v="0.0"/>
  </r>
  <r>
    <x v="4837"/>
    <x v="5246"/>
    <x v="0"/>
    <n v="0"/>
    <m/>
    <n v="1744339"/>
    <n v="1547285"/>
    <s v="#FIELD!"/>
    <n v="1547279"/>
    <s v="0.085"/>
    <s v="114.33981941717865"/>
    <s v="#FIELD!"/>
  </r>
  <r>
    <x v="4837"/>
    <x v="5247"/>
    <x v="0"/>
    <n v="0"/>
    <m/>
    <n v="1838484"/>
    <n v="1547279"/>
    <s v="#FIELD!"/>
    <n v="1611932"/>
    <s v="1.633"/>
    <s v="7.965069051787899"/>
    <s v="#FIELD!"/>
  </r>
  <r>
    <x v="4838"/>
    <x v="5248"/>
    <x v="0"/>
    <n v="0"/>
    <m/>
    <n v="1744347"/>
    <n v="1547291"/>
    <s v="#FIELD!"/>
    <n v="1547285"/>
    <s v="0.043"/>
    <s v="44.03838779915189"/>
    <s v="#FIELD!"/>
  </r>
  <r>
    <x v="4838"/>
    <x v="5249"/>
    <x v="0"/>
    <n v="0"/>
    <s v="LINESTRING (11.208605441824945 60.34730737226942, 11.208605441824945 60.34730737226942, 11.208450537606677 60.347643700425216)"/>
    <s v="[1838508, 1838516]"/>
    <s v="[1611946, 1547285]"/>
    <s v="#FIELD!"/>
    <s v="[1611947, 1611946]"/>
    <s v="[0.0, 0.445]"/>
    <s v="41.532604138324466"/>
    <s v="[0.0, -0.445]"/>
  </r>
  <r>
    <x v="4839"/>
    <x v="5250"/>
    <x v="0"/>
    <s v="[0, 0, 0, 0, 1, 0, 0, 0, 0]"/>
    <s v="LINESTRING (11.20854459975965 60.34803614124003, 11.208645777792514 60.34864238688205, 11.208463871983168 60.351331520183976, 11.204176797274732 60.362110040481106, 11.206716196314016 60.37428611195666, 11.208030400391173 60.37706028455651, 11.211246923747904 60.38383982359364, 11.211370359822434 60.38409066805391, 11.212101515139787 60.3853846117842, 11.21273371900688 60.38633582946553)"/>
    <s v="[1744355, 1744363, 1744371, 1744379, 1744387, 1748658, 1748659, 1748679, 1748680]"/>
    <s v="[1547298, 1547301, 1547306, 1547312, 1547317, 1549939, 1549940, 1549951, 1547449]"/>
    <s v="#FIELD!"/>
    <s v="[1547291, 1547298, 1547301, 1547306, 1547312, 1547317, 1549939, 1549940, 1549951]"/>
    <s v="[0.0, 0.004, 0.02, 0.012, 0.027, 0.028, 0.018, 0.003, 0.014]"/>
    <s v="4350.4275050299"/>
    <s v="[0.0, -0.004, -0.02, -0.012, -0.027, 0.028, 0.018, 0.003, -0.014]"/>
  </r>
  <r>
    <x v="4839"/>
    <x v="5251"/>
    <x v="0"/>
    <n v="0"/>
    <m/>
    <n v="1838956"/>
    <n v="1547291"/>
    <s v="#FIELD!"/>
    <n v="1612180"/>
    <s v="2.3"/>
    <s v="7.819439941712903"/>
    <s v="#FIELD!"/>
  </r>
  <r>
    <x v="4840"/>
    <x v="5252"/>
    <x v="0"/>
    <n v="0"/>
    <s v="LINESTRING (11.21310494989381 60.38653411638989, 11.219123156945185 60.39199696368677, 11.219525885934745 60.39226071934282)"/>
    <s v="[1744467, 1744475]"/>
    <s v="[1547385, 1547394]"/>
    <s v="#FIELD!"/>
    <s v="[1547380, 1547385]"/>
    <s v="[0.019, 0.033]"/>
    <s v="732.3834347459947"/>
    <s v="[-0.019, -0.033]"/>
  </r>
  <r>
    <x v="4840"/>
    <x v="5253"/>
    <x v="0"/>
    <n v="0"/>
    <s v="LINESTRING (11.21310494989381 60.38653411638989, 11.213258442204776 60.386663630015676, 11.216363710239971 60.38892769474302, 11.216446987651691 60.38896157910106)"/>
    <s v="[1744555, 1744564, 1744572]"/>
    <s v="[1547454, 1547459, 1547465]"/>
    <s v="0.00016594232292363003"/>
    <s v="[1547380, 1547454, 1547459]"/>
    <s v="[0.029, 0.001, 0.02]"/>
    <s v="333.62814552615635"/>
    <s v="[0.029, -0.001, -0.02]"/>
  </r>
  <r>
    <x v="4840"/>
    <x v="5254"/>
    <x v="0"/>
    <s v="[0, 0, 0, 0, 1, 0, 0, 0, 0, 0, 0, 0]"/>
    <s v="LINESTRING (11.208911011064774 60.348109519811175, 11.208931668888983 60.34863854532991, 11.20864662932607 60.35132976925795, 11.204355939384204 60.36211742257925, 11.206892847864271 60.37426571466435, 11.208210383760157 60.37704507694877, 11.211430338371484 60.383817904198885, 11.211547872229149 60.38405049481194, 11.211561159078775 60.384076464538936, 11.212295982505076 60.385365630665575, 11.212814858626906 60.38613529064814, 11.21291769897312 60.3862772945504, 11.21310494989381 60.38653411638989)"/>
    <s v="[1747644, 1747652, 1747653, 1744395, 1744403, 1744411, 1744419, 1744427, 1744435, 1744443, 1744451, 1744459]"/>
    <s v="[1549346, 1549351, 1547321, 1547322, 1547330, 1547338, 1547346, 343460, 1547357, 1547367, 1547373, 1547380]"/>
    <s v="#FIELD!"/>
    <s v="[1549341, 1549346, 1549351, 1547321, 1547322, 1547330, 1547338, 1547346, 343460, 1547357, 1547367, 1547373]"/>
    <s v="[0.013, 0.002, 0.018, 0.013, 0.024, 0.027, 0.02, 0.023, 0.0, 0.013, 0.01, 0.026]"/>
    <s v="4366.243785882614"/>
    <s v="[0.013, -0.002, -0.018, -0.013, -0.024, 0.027, 0.02, 0.023, -0.0, -0.013, -0.01, 0.026]"/>
  </r>
  <r>
    <x v="4841"/>
    <x v="633"/>
    <x v="0"/>
    <s v="[0, 1, 0, 0]"/>
    <s v="LINESTRING (11.219525885934745 60.39226071934282, 11.229826158098804 60.39751341675277, 11.235359474321621 60.40142895661733, 11.236980638615666 60.40374437893685, 11.239656115986012 60.41011459720315)"/>
    <s v="[1747749, 1747753, 1747754, 2105425]"/>
    <s v="[1549411, 1549412, 1549413, 1819018]"/>
    <s v="#FIELD!"/>
    <s v="[1547394, 1549411, 1549412, 1549413]"/>
    <s v="[0.07, 0.005, 0.02, 0.021]"/>
    <s v="2352.0983144682705"/>
    <s v="[-0.07, -0.005, 0.02, 0.021]"/>
  </r>
  <r>
    <x v="4841"/>
    <x v="5255"/>
    <x v="0"/>
    <n v="0"/>
    <s v="LINESTRING (11.216736362408486 60.38917062218354, 11.216739066576642 60.38923318005559, 11.216740459835567 60.38926512083739, 11.219197473235786 60.392000955389626, 11.219525885934745 60.39226071934282)"/>
    <s v="[1747201, 1747211, 1747223, 1744580]"/>
    <s v="[1549097, 1549103, 1547471, 1547394]"/>
    <s v="#FIELD!"/>
    <s v="[1549096, 1549097, 1549103, 1547471]"/>
    <s v="[0.033, 0.044, 0.034, 0.029]"/>
    <s v="384.65877950873335"/>
    <s v="[-0.033, -0.044, -0.034, -0.029]"/>
  </r>
  <r>
    <x v="4842"/>
    <x v="5256"/>
    <x v="0"/>
    <n v="0"/>
    <s v="LINESTRING (11.186009415170284 60.32792269015577, 11.186171650033877 60.3279716923359, 11.194286754134358 60.33048534602596, 11.194490554995319 60.33049914151287)"/>
    <s v="[1748209, 1749249, 1749268]"/>
    <s v="[1549673, 1550341, 1395655]"/>
    <s v="0.03600811058349183"/>
    <s v="[1547420, 1549673, 1550341]"/>
    <s v="[0.03, 0.037, 0.009]"/>
    <s v="601.117852731024"/>
    <s v="[0.03, 0.037, -0.009]"/>
  </r>
  <r>
    <x v="4842"/>
    <x v="5257"/>
    <x v="0"/>
    <s v="[0, 1, 0, 1, 0, 0]"/>
    <s v="LINESTRING (11.150132779043606 60.31641847064104, 11.151614261893428 60.31727920562681, 11.154733347908177 60.318682243625915, 11.15759559825412 60.319424736150935, 11.159308914224667 60.31969544328405, 11.172733702036187 60.32221325299143, 11.186009415170284 60.32792269015577)"/>
    <s v="[1748541, 1744588, 1744596, 1744607, 1744499, 1744507]"/>
    <s v="[1547479, 1547480, 1547486, 1547412, 1547413, 1547420]"/>
    <s v="#FIELD!"/>
    <s v="[1549608, 1547479, 1547480, 1547486, 1547412, 1547413]"/>
    <s v="[0.039, 0.012, 0.01, 0.016, 0.007, 0.015]"/>
    <s v="2411.7603643038274"/>
    <s v="[-0.039, -0.012, -0.01, 0.016, 0.007, -0.015]"/>
  </r>
  <r>
    <x v="4843"/>
    <x v="5258"/>
    <x v="469"/>
    <n v="0"/>
    <s v="LINESTRING (11.21273371900688 60.38633582946553, 11.21285344530455 60.38647661552341, 11.212946107951261 60.38659932716981, 11.218964395298025 60.39206401790093, 11.21934752080596 60.3923154504111)"/>
    <s v="[1748687, 1748701, 1748709, 1748725]"/>
    <s v="[1549957, 1549966, 1549970, 1549934]"/>
    <s v="#FIELD!"/>
    <s v="[1547449, 1549957, 1549966, 1549970]"/>
    <s v="[0.028, 0.035, 0.019, 0.033]"/>
    <s v="762.451983697527"/>
    <s v="[0.028, 0.035, -0.019, -0.033]"/>
  </r>
  <r>
    <x v="4843"/>
    <x v="5259"/>
    <x v="0"/>
    <n v="0"/>
    <s v="LINESTRING (11.214745482708159 60.389849961499564, 11.21475497822056 60.389796703639355, 11.212788907986686 60.38645657491715, 11.21273371900688 60.38633582946553)"/>
    <s v="[1747225, 1747238, 1744548]"/>
    <s v="[1549110, 1547448, 1547449]"/>
    <s v="0.002829809042288864"/>
    <s v="[1549109, 1549110, 1547448]"/>
    <s v="[0.014, 0.004, 0.035]"/>
    <s v="408.8500942846101"/>
    <s v="[0.014, 0.004, -0.035]"/>
  </r>
  <r>
    <x v="4844"/>
    <x v="5255"/>
    <x v="0"/>
    <n v="0"/>
    <s v="LINESTRING (11.216446987651691 60.38896157910106, 11.216786000386943 60.3889403040858, 11.216736362408486 60.38917062218354)"/>
    <s v="[1748839, 1748840]"/>
    <s v="[1548998, 1549096]"/>
    <s v="#FIELD!"/>
    <s v="[1547465, 1548998]"/>
    <s v="[0.016, 0.045]"/>
    <s v="51.64623035050139"/>
    <s v="[0.016, -0.045]"/>
  </r>
  <r>
    <x v="4844"/>
    <x v="5260"/>
    <x v="0"/>
    <n v="0"/>
    <m/>
    <n v="1748885"/>
    <n v="1547465"/>
    <s v="0.049"/>
    <n v="1550083"/>
    <s v="0.049"/>
    <s v="13.186098423702234"/>
    <s v="0.049"/>
  </r>
  <r>
    <x v="4845"/>
    <x v="4538"/>
    <x v="0"/>
    <n v="0"/>
    <s v="LINESTRING (11.184448436147571 60.187577500464165, 11.184303074177716 60.187579513977155, 11.18420016392918 60.187540861555895, 11.184164103049355 60.18749235988942, 11.184223425626396 60.18740903264934)"/>
    <s v="[1746908, 1746922, 1746930, 1746948]"/>
    <s v="[1255847, 1548947, 1255840, 1547873]"/>
    <s v="#FIELD!"/>
    <s v="[1547897, 1255847, 1548947, 1255840]"/>
    <s v="[0.044, 0.015, 0.011, 0.04]"/>
    <s v="31.07788792719756"/>
    <s v="[0.044, 0.015, -0.011, -0.04]"/>
  </r>
  <r>
    <x v="4846"/>
    <x v="4542"/>
    <x v="0"/>
    <n v="0"/>
    <s v="LINESTRING (11.186247650206667 60.18678714852389, 11.186452190084259 60.18683196261842, 11.186486222737084 60.18688085465009, 11.18646839776029 60.18693175882098, 11.186357731443739 60.18698475314754)"/>
    <s v="[1745438, 1745439, 1745461, 1745462]"/>
    <s v="[1255875, 1548095, 1255882, 1548056]"/>
    <s v="0.005553051074904989"/>
    <s v="[1548053, 1255875, 1548095, 1255882]"/>
    <s v="[0.037, 0.016, 0.011, 0.038]"/>
    <s v="32.958835856005805"/>
    <s v="[0.037, 0.016, -0.011, -0.038]"/>
  </r>
  <r>
    <x v="4847"/>
    <x v="5261"/>
    <x v="0"/>
    <n v="0"/>
    <m/>
    <n v="1746373"/>
    <n v="1548470"/>
    <s v="0.025"/>
    <n v="1548129"/>
    <s v="0.025"/>
    <s v="20.749351313272555"/>
    <s v="0.025"/>
  </r>
  <r>
    <x v="4847"/>
    <x v="5136"/>
    <x v="0"/>
    <n v="0"/>
    <s v="LINESTRING (11.174672042546975 60.23099975559434, 11.17473335174315 60.23108773087694, 11.174656038069655 60.231172513846126, 11.17454597177096 60.23120340546254, 11.174429925681933 60.23120499964145)"/>
    <s v="[1746341, 1746349, 1746357, 1746365]"/>
    <s v="[1548619, 1548624, 1548606, 1548129]"/>
    <s v="#FIELD!"/>
    <s v="[1548618, 1548619, 1548624, 1548606]"/>
    <s v="[0.002, 0.018, 0.013, 0.003]"/>
    <s v="34.18678259556108"/>
    <s v="[-0.002, -0.018, -0.013, -0.003]"/>
  </r>
  <r>
    <x v="4848"/>
    <x v="4548"/>
    <x v="0"/>
    <n v="0"/>
    <s v="LINESTRING (11.171906086057005 60.23045164313557, 11.171842309575856 60.230380224985744, 11.171870716872135 60.23030877298269, 11.171938533328175 60.23026821338246, 11.172180566373958 60.2302494956855)"/>
    <s v="[1746026, 1746034, 1746050, 1746007]"/>
    <s v="[1548397, 1548422, 1548401, 1548402]"/>
    <s v="0.0021603969816737993"/>
    <s v="[1548140, 1548397, 1548422, 1548401]"/>
    <s v="[0.007, 0.006, 0.002, 0.003]"/>
    <s v="36.725150349439105"/>
    <s v="[0.007, 0.006, 0.002, -0.003]"/>
  </r>
  <r>
    <x v="4848"/>
    <x v="5262"/>
    <x v="0"/>
    <n v="0"/>
    <m/>
    <n v="1746025"/>
    <n v="1548140"/>
    <s v="0.002"/>
    <n v="1548405"/>
    <s v="0.002"/>
    <s v="18.52295616127845"/>
    <s v="0.002"/>
  </r>
  <r>
    <x v="4849"/>
    <x v="5263"/>
    <x v="0"/>
    <n v="0"/>
    <m/>
    <n v="1746008"/>
    <n v="1548403"/>
    <s v="#FIELD!"/>
    <n v="1548402"/>
    <s v="0.005"/>
    <s v="16.416664819501296"/>
    <s v="#FIELD!"/>
  </r>
  <r>
    <x v="4850"/>
    <x v="5264"/>
    <x v="0"/>
    <n v="0"/>
    <m/>
    <n v="1746105"/>
    <n v="1548457"/>
    <s v="#FIELD!"/>
    <n v="1548403"/>
    <s v="0.002"/>
    <s v="28.67259492952251"/>
    <s v="#FIELD!"/>
  </r>
  <r>
    <x v="4850"/>
    <x v="5262"/>
    <x v="0"/>
    <n v="0"/>
    <s v="LINESTRING (11.172345587432487 60.23036401936161, 11.172316880332746 60.23042566463941, 11.172217631464157 60.23047691251324)"/>
    <s v="[1746009, 1746010]"/>
    <s v="[1548404, 1548405]"/>
    <s v="#FIELD!"/>
    <s v="[1548403, 1548404]"/>
    <s v="[0.003, 0.002]"/>
    <s v="14.979949985324875"/>
    <s v="[-0.003, -0.002]"/>
  </r>
  <r>
    <x v="4851"/>
    <x v="5264"/>
    <x v="0"/>
    <n v="0"/>
    <m/>
    <n v="1746106"/>
    <n v="1548457"/>
    <s v="#FIELD!"/>
    <n v="1548405"/>
    <s v="0.001"/>
    <s v="29.254806442542538"/>
    <s v="#FIELD!"/>
  </r>
  <r>
    <x v="4852"/>
    <x v="5265"/>
    <x v="0"/>
    <n v="0"/>
    <m/>
    <n v="1746097"/>
    <n v="1548458"/>
    <s v="#FIELD!"/>
    <n v="1548457"/>
    <s v="0.02"/>
    <s v="69.99906356554919"/>
    <s v="#FIELD!"/>
  </r>
  <r>
    <x v="4853"/>
    <x v="5266"/>
    <x v="0"/>
    <n v="0"/>
    <m/>
    <n v="1746115"/>
    <n v="1548469"/>
    <s v="#FIELD!"/>
    <n v="1548458"/>
    <s v="0.037"/>
    <s v="34.503637489072425"/>
    <s v="#FIELD!"/>
  </r>
  <r>
    <x v="4853"/>
    <x v="5261"/>
    <x v="0"/>
    <n v="0"/>
    <m/>
    <n v="1746116"/>
    <n v="1548470"/>
    <s v="#FIELD!"/>
    <n v="1548458"/>
    <s v="0.03"/>
    <s v="33.51825606619784"/>
    <s v="#FIELD!"/>
  </r>
  <r>
    <x v="4854"/>
    <x v="5136"/>
    <x v="0"/>
    <n v="0"/>
    <m/>
    <n v="1746340"/>
    <n v="1548618"/>
    <s v="0.005"/>
    <n v="1548469"/>
    <s v="0.005"/>
    <s v="15.72675240904689"/>
    <s v="0.005"/>
  </r>
  <r>
    <x v="4854"/>
    <x v="5261"/>
    <x v="0"/>
    <n v="0"/>
    <s v="LINESTRING (11.174231218560571 60.231063078334145, 11.174302092715346 60.230993211414905, 11.17441084287147 60.230961203322764)"/>
    <s v="[1746374, 1746381]"/>
    <s v="[1548636, 1548469]"/>
    <s v="#FIELD!"/>
    <s v="[1548470, 1548636]"/>
    <s v="[0.009, 0.028]"/>
    <s v="15.723299778725904"/>
    <s v="[-0.009, -0.028]"/>
  </r>
  <r>
    <x v="4855"/>
    <x v="5244"/>
    <x v="470"/>
    <s v="[0, 1, 0]"/>
    <s v="LINESTRING (11.188750702970006 60.33252548708972, 11.189581117256333 60.331807852736105, 11.190508672116177 60.331382139094494, 11.193637783350159 60.33067630558146)"/>
    <s v="[1749311, 1749319, 1749325]"/>
    <s v="[1550376, 1550382, 1549088]"/>
    <s v="#FIELD!"/>
    <s v="[1549053, 1550376, 1550382]"/>
    <s v="[0.01, 0.004, 0.009]"/>
    <s v="352.945070990164"/>
    <s v="[-0.01, 0.004, -0.009]"/>
  </r>
  <r>
    <x v="4856"/>
    <x v="5267"/>
    <x v="0"/>
    <n v="0"/>
    <m/>
    <n v="1749339"/>
    <n v="1549239"/>
    <s v="0.0"/>
    <n v="1549058"/>
    <s v="0.0"/>
    <s v="13.904094230753003"/>
    <s v="0.0"/>
  </r>
  <r>
    <x v="4856"/>
    <x v="5257"/>
    <x v="0"/>
    <n v="0"/>
    <s v="LINESTRING (11.146507531699143 60.31365510260906, 11.146534293856323 60.31368830352679, 11.150043246507717 60.3163129121256, 11.150132779043606 60.31641847064104)"/>
    <s v="[1747147, 1747149, 1748114]"/>
    <s v="[1549059, 1549061, 1549608]"/>
    <s v="#FIELD!"/>
    <s v="[1549058, 1549059, 1549061]"/>
    <s v="[0.015, 0.032, 0.001]"/>
    <s v="370.0204557379113"/>
    <s v="[-0.015, -0.032, 0.001]"/>
  </r>
  <r>
    <x v="4856"/>
    <x v="5268"/>
    <x v="0"/>
    <n v="0"/>
    <s v="LINESTRING (11.146184369762047 60.31344984651571, 11.146422022191125 60.313418361730825, 11.146534161622444 60.31344624743658, 11.146605948062591 60.3134951650138, 11.146507531699143 60.31365510260906)"/>
    <s v="[1749373, 1749381, 1749385, 1749334]"/>
    <s v="[1549247, 1550415, 1549252, 1549058]"/>
    <s v="#FIELD!"/>
    <s v="[1549602, 1549247, 1550415, 1549252]"/>
    <s v="[0.001, 0.005, 0.007, 0.008]"/>
    <s v="47.48002775288976"/>
    <s v="[0.001, 0.005, 0.007, -0.008]"/>
  </r>
  <r>
    <x v="4857"/>
    <x v="5256"/>
    <x v="0"/>
    <n v="0"/>
    <m/>
    <n v="1749333"/>
    <n v="1395655"/>
    <s v="#FIELD!"/>
    <n v="1549088"/>
    <s v="0.023"/>
    <s v="51.084651197556695"/>
    <s v="#FIELD!"/>
  </r>
  <r>
    <x v="4858"/>
    <x v="5269"/>
    <x v="0"/>
    <n v="0"/>
    <m/>
    <n v="1748860"/>
    <n v="1550072"/>
    <s v="#FIELD!"/>
    <n v="1549096"/>
    <s v="0.002"/>
    <s v="9.24182882337462"/>
    <s v="#FIELD!"/>
  </r>
  <r>
    <x v="4859"/>
    <x v="5270"/>
    <x v="0"/>
    <n v="0"/>
    <m/>
    <n v="1748994"/>
    <n v="1550113"/>
    <s v="#FIELD!"/>
    <n v="1549109"/>
    <s v="0.016"/>
    <s v="11.769436231341913"/>
    <s v="#FIELD!"/>
  </r>
  <r>
    <x v="4859"/>
    <x v="5271"/>
    <x v="0"/>
    <n v="0"/>
    <s v="LINESTRING (11.215079031823924 60.39005082755303, 11.214769609317615 60.390076805993665, 11.214745482708159 60.389849961499564)"/>
    <s v="[1748977, 1748985]"/>
    <s v="[627558, 1549109]"/>
    <s v="0.015500001316265541"/>
    <s v="[1550023, 627558]"/>
    <s v="[0.018, 0.014]"/>
    <s v="48.43597053122499"/>
    <s v="[0.018, 0.014]"/>
  </r>
  <r>
    <x v="4860"/>
    <x v="5272"/>
    <x v="0"/>
    <s v="[0, 0, 1, 0, 0, 0, 0, 0, 0, 1, 0, 0, 0, 0, 0, 0, 0, 0, 0]"/>
    <s v="LINESTRING (11.177947169291532 60.257263343005405, 11.177726088849589 60.257498362926185, 11.157662427135657 60.27018978785473, 11.157194066721456 60.27034237439055, 11.14438416301634 60.28080892999315, 11.140527955783558 60.282843358213796, 11.140515919288717 60.282848860050045, 11.138473087264453 60.28378591861346, 11.138439097041559 60.28380193694017, 11.136141239506049 60.28507740109472, 11.134577186131516 60.28645675003422, 11.134343821605182 60.28674454767119, 11.133623729087335 60.288047174818985, 11.133554750690625 60.28826134814384, 11.13340750135051 60.28951049682397, 11.133441627592594 60.28984361866642, 11.134385367395218 60.291949395224364, 11.135899706580043 60.29388219592474, 11.141327729956004 60.3078438401817, 11.142161690176067 60.31116752437498)"/>
    <s v="[1747255, 1747262, 1747270, 1744491, 1747305, 1747306, 1747322, 1747329, 1747344, 1747369, 1747385, 1747393, 1747397, 1747406, 1747407, 1747418, 1747421, 1747954, 1747967]"/>
    <s v="[1549129, 1549134, 1547404, 777880, 1549156, 1549157, 1549163, 1549169, 777875, 1549199, 1549210, 1549215, 1549217, 1549222, 1549223, 1549230, 1549231, 1549529, 1549532]"/>
    <s v="#FIELD!"/>
    <s v="[1549128, 1549129, 1549134, 1547404, 777880, 1549156, 1549157, 1549163, 1549169, 777875, 1549199, 1549210, 1549215, 1549217, 1549222, 1549223, 1549230, 1549231, 1549529]"/>
    <s v="[0.048, 0.0, 0.026, 0.024, 0.005, 0.032, 0.025, 0.029, 0.006, 0.017, 0.037, 0.044, 0.013, 0.011, 0.016, 0.04, 0.014, 0.006, 0.01]"/>
    <s v="6927.480927935624"/>
    <s v="[0.048, -0.0, 0.026, -0.024, -0.005, -0.032, -0.025, -0.029, 0.006, -0.017, 0.037, 0.044, 0.013, 0.011, 0.016, 0.04, 0.014, 0.006, -0.01]"/>
  </r>
  <r>
    <x v="4861"/>
    <x v="5273"/>
    <x v="0"/>
    <s v="[0, 1, 0, 0, 0, 0, 1, 0, 0, 0, 0, 0, 0, 0, 0, 0, 0, 0, 0]"/>
    <s v="LINESTRING (11.177900325644556 60.257525327739295, 11.157756602542568 60.27026453738771, 11.157296482730116 60.27041644612715, 11.144529590569752 60.28086214802808, 11.140665137503435 60.28290311843379, 11.138621957874001 60.28383960283365, 11.136288221287485 60.28512977437992, 11.134744485408532 60.286490749509674, 11.134512396425132 60.28677711033654, 11.13451063198296 60.286779477046984, 11.133811569765511 60.28805130023648, 11.133803152236405 60.28807073250573, 11.13373124265403 60.28828260013056, 11.133589091172505 60.28952039113787, 11.133626293636548 60.289850330437325, 11.1336336340228 60.28988917131655, 11.134567665280079 60.291935954394226, 11.134622995903491 60.292011557058345, 11.136069121892564 60.293850812641956, 11.141521119077822 60.30796733792293)"/>
    <s v="[1747289, 1747297, 1744483, 1747767, 1747768, 1747769, 1747778, 1747780, 1747788, 1747811, 1747819, 1747820, 1747821, 1747827, 1747861, 1747869, 1747877, 1747894, 1747953]"/>
    <s v="[1549148, 1547398, 1547399, 1549420, 1549421, 1549422, 1549430, 342731, 1549437, 1549448, 1549450, 1549451, 1549452, 1549457, 1549474, 1549480, 342732, 1549495, 1549528]"/>
    <s v="#FIELD!"/>
    <s v="[1549146, 1549148, 1547398, 1547399, 1549420, 1549421, 1549422, 1549430, 342731, 1549437, 1549448, 1549450, 1549451, 1549452, 1549457, 1549474, 1549480, 342732, 1549495]"/>
    <s v="[0.0, 0.031, 0.024, 0.007, 0.023, 0.003, 0.016, 0.03, 0.0, 0.043, 0.027, 0.019, 0.014, 0.017, 0.017, 0.035, 0.053, 0.011, 0.007]"/>
    <s v="6534.2591989638895"/>
    <s v="[0.0, 0.031, -0.024, -0.007, -0.023, 0.003, -0.016, 0.03, 0.0, 0.043, 0.027, 0.019, 0.014, 0.017, 0.017, 0.035, 0.053, 0.011, 0.007]"/>
  </r>
  <r>
    <x v="4862"/>
    <x v="5268"/>
    <x v="0"/>
    <n v="0"/>
    <m/>
    <n v="1749361"/>
    <n v="1549602"/>
    <s v="#FIELD!"/>
    <n v="1549234"/>
    <s v="0.004"/>
    <s v="13.864762450656048"/>
    <s v="#FIELD!"/>
  </r>
  <r>
    <x v="4862"/>
    <x v="5274"/>
    <x v="0"/>
    <n v="0"/>
    <s v="LINESTRING (11.146103674448822 60.31356400390557, 11.146074860630282 60.31360856287255, 11.145923316181468 60.313731899774524)"/>
    <s v="[1747429, 1747437]"/>
    <s v="[1549235, 1549238]"/>
    <s v="#FIELD!"/>
    <s v="[1549234, 1549235]"/>
    <s v="[0.008, 0.005]"/>
    <s v="21.31053362464304"/>
    <s v="[-0.008, -0.005]"/>
  </r>
  <r>
    <x v="4862"/>
    <x v="5267"/>
    <x v="0"/>
    <n v="0"/>
    <s v="LINESTRING (11.146263958907397 60.31366610010781, 11.14616690025418 60.31363325847549, 11.146103674448822 60.31356400390557)"/>
    <s v="[1749357, 1749360]"/>
    <s v="[1550405, 1549234]"/>
    <s v="0.007867887102921014"/>
    <s v="[1549239, 1550405]"/>
    <s v="[0.009, 0.007]"/>
    <s v="14.966581768177054"/>
    <s v="[0.009, 0.007]"/>
  </r>
  <r>
    <x v="4863"/>
    <x v="5275"/>
    <x v="0"/>
    <n v="1"/>
    <m/>
    <n v="1748496"/>
    <n v="1549820"/>
    <s v="0.0"/>
    <n v="1549238"/>
    <s v="0.0"/>
    <s v="43.5175470355893"/>
    <s v="0.0"/>
  </r>
  <r>
    <x v="4863"/>
    <x v="5267"/>
    <x v="0"/>
    <n v="0"/>
    <s v="LINESTRING (11.146263958907397 60.31366610010781, 11.146175179516558 60.31367520873959, 11.145923316181468 60.313731899774524)"/>
    <s v="[1747438, 1747448]"/>
    <s v="[1549240, 1549238]"/>
    <s v="#FIELD!"/>
    <s v="[1549239, 1549240]"/>
    <s v="[0.001, 0.0]"/>
    <s v="20.300604846421074"/>
    <s v="[-0.001, -0.0]"/>
  </r>
  <r>
    <x v="4864"/>
    <x v="5276"/>
    <x v="471"/>
    <n v="0"/>
    <s v="LINESTRING (11.151582547632598 60.31746669934594, 11.151379769100707 60.317394885469106, 11.149126316839947 60.31616716606012, 11.147604811061637 60.31544622604291, 11.145176394547372 60.31425706187585, 11.145101139623273 60.31424045788789)"/>
    <s v="[1748575, 1748578, 1748579, 1748580, 1748583]"/>
    <s v="[1549890, 1549051, 1549049, 1549892, 1549867]"/>
    <s v="0.03204817570323507"/>
    <s v="[1549260, 1549890, 1549051, 1549049, 1549892]"/>
    <s v="[0.053, 0.042, 0.033, 0.021, 0.002]"/>
    <s v="510.79255259613785"/>
    <s v="[0.053, 0.042, 0.033, 0.021, 0.002]"/>
  </r>
  <r>
    <x v="4864"/>
    <x v="5272"/>
    <x v="472"/>
    <n v="0"/>
    <s v="LINESTRING (11.142161690176067 60.31116752437498, 11.145456792787346 60.313864447001976, 11.150025012837657 60.31655586430914, 11.15023471343072 60.31667943410042, 11.151582547632598 60.31746669934594)"/>
    <s v="[1747975, 1747985, 1747986, 1747991]"/>
    <s v="[1549535, 1549542, 1549543, 1549260]"/>
    <s v="#FIELD!"/>
    <s v="[1549532, 1549535, 1549542, 1549543]"/>
    <s v="[0.002, 0.028, 0.018, 0.044]"/>
    <s v="878.9463637232153"/>
    <s v="[0.002, -0.028, -0.018, -0.044]"/>
  </r>
  <r>
    <x v="4865"/>
    <x v="5277"/>
    <x v="0"/>
    <n v="0"/>
    <m/>
    <n v="1747635"/>
    <n v="1549340"/>
    <s v="#FIELD!"/>
    <n v="1549335"/>
    <s v="0.054"/>
    <s v="44.32811167919974"/>
    <s v="#FIELD!"/>
  </r>
  <r>
    <x v="4865"/>
    <x v="5278"/>
    <x v="0"/>
    <n v="0"/>
    <m/>
    <n v="1838444"/>
    <n v="1611915"/>
    <s v="2.596"/>
    <n v="1549335"/>
    <s v="2.596"/>
    <s v="7.021922528744266"/>
    <s v="2.596"/>
  </r>
  <r>
    <x v="4866"/>
    <x v="5254"/>
    <x v="0"/>
    <n v="0"/>
    <m/>
    <n v="1747636"/>
    <n v="1549341"/>
    <s v="#FIELD!"/>
    <n v="1549340"/>
    <s v="0.029"/>
    <s v="125.02558658104648"/>
    <s v="#FIELD!"/>
  </r>
  <r>
    <x v="4866"/>
    <x v="5279"/>
    <x v="0"/>
    <n v="0"/>
    <m/>
    <n v="1838492"/>
    <n v="1611936"/>
    <s v="0.583"/>
    <n v="1549340"/>
    <s v="0.583"/>
    <s v="32.70120702672472"/>
    <s v="0.583"/>
  </r>
  <r>
    <x v="4867"/>
    <x v="5280"/>
    <x v="0"/>
    <n v="0"/>
    <s v="LINESTRING (11.208911011064774 60.348109519811175, 11.208721973524286 60.34807072263505, 11.208693220860743 60.34806512002063)"/>
    <s v="[1838932, 1838940]"/>
    <s v="[1612165, 1612171]"/>
    <s v="1.5586542088732276"/>
    <s v="[1549341, 1612165]"/>
    <s v="[1.77, 0.159]"/>
    <s v="13.004631448242105"/>
    <s v="[1.77, 0.159]"/>
  </r>
  <r>
    <x v="4868"/>
    <x v="5268"/>
    <x v="0"/>
    <n v="0"/>
    <s v="LINESTRING (11.141521119077822 60.30796733792293, 11.141573350921698 60.30808334315215, 11.142298087889946 60.31058122879378, 11.142569241538625 60.31101169235882, 11.146050277399297 60.31339653993036, 11.146131006680081 60.313428628932975, 11.146184369762047 60.31344984651571)"/>
    <s v="[1748107, 1748013, 1748043, 1748072, 1748082, 1748099]"/>
    <s v="[1549561, 1549036, 1549064, 1549588, 1549592, 1549602]"/>
    <s v="#FIELD!"/>
    <s v="[1549528, 1549561, 1549036, 1549064, 1549588, 1549592]"/>
    <s v="[0.007, 0.01, 0.019, 0.007, 0.005, 0.004]"/>
    <s v="691.4533010639544"/>
    <s v="[-0.007, -0.01, -0.019, 0.007, 0.005, 0.004]"/>
  </r>
  <r>
    <x v="4868"/>
    <x v="5257"/>
    <x v="0"/>
    <n v="0"/>
    <s v="LINESTRING (11.141521119077822 60.30796733792293, 11.14232884983303 60.31110331818906, 11.14558445446511 60.313770306255584, 11.150132779043606 60.31641847064104)"/>
    <s v="[1748510, 1748525, 1748526]"/>
    <s v="[1549844, 1549859, 1549608]"/>
    <s v="#FIELD!"/>
    <s v="[1549528, 1549844, 1549859]"/>
    <s v="[0.009, 0.004, 0.029]"/>
    <s v="1091.6604121348046"/>
    <s v="[-0.009, 0.004, -0.029]"/>
  </r>
  <r>
    <x v="4869"/>
    <x v="5281"/>
    <x v="0"/>
    <n v="0"/>
    <s v="LINESTRING (11.144741676385232 60.314061830843755, 11.144709026951602 60.31402002667705, 11.144677149368503 60.31397920676246, 11.142249150622066 60.31132329657051, 11.142161690176067 60.31116752437498)"/>
    <s v="[1748372, 1748373, 1748374, 1748113]"/>
    <s v="[1549758, 1549759, 1549607, 1549532]"/>
    <s v="#FIELD!"/>
    <s v="[1549757, 1549758, 1549759, 1549607]"/>
    <s v="[0.012, 0.013, 0.003, 0.012]"/>
    <s v="353.70855045072875"/>
    <s v="[-0.012, -0.013, -0.003, 0.012]"/>
  </r>
  <r>
    <x v="4870"/>
    <x v="5282"/>
    <x v="0"/>
    <n v="0"/>
    <m/>
    <n v="1748559"/>
    <n v="1549832"/>
    <s v="#FIELD!"/>
    <n v="1549757"/>
    <s v="0.001"/>
    <s v="9.587434484789487"/>
    <s v="#FIELD!"/>
  </r>
  <r>
    <x v="4870"/>
    <x v="5276"/>
    <x v="0"/>
    <n v="0"/>
    <s v="LINESTRING (11.145101139623273 60.31424045788789, 11.144890353629929 60.314305261605156, 11.144774706333044 60.314294801631156, 11.14466550024384 60.314252796703464, 11.144741676385232 60.314061830843755)"/>
    <s v="[1748543, 1748544, 1748545, 1748553]"/>
    <s v="[1549806, 1549868, 1549762, 1549757]"/>
    <s v="#FIELD!"/>
    <s v="[1549867, 1549806, 1549868, 1549762]"/>
    <s v="[0.01, 0.003, 0.003, 0.012]"/>
    <s v="52.352980190745704"/>
    <s v="[0.01, 0.003, -0.003, -0.012]"/>
  </r>
  <r>
    <x v="4871"/>
    <x v="5282"/>
    <x v="0"/>
    <n v="0"/>
    <s v="LINESTRING (11.145324413393435 60.31398535535052, 11.145040039731542 60.31404110076651, 11.144912090023748 60.31404583497333)"/>
    <s v="[1748473, 1748495]"/>
    <s v="[1549821, 1549832]"/>
    <s v="0.00029558116176247944"/>
    <s v="[1549820, 1549821]"/>
    <s v="[0.0, 0.001]"/>
    <s v="23.995326660962064"/>
    <s v="[0.0, 0.001]"/>
  </r>
  <r>
    <x v="4871"/>
    <x v="5283"/>
    <x v="0"/>
    <n v="0"/>
    <s v="LINESTRING (11.145324413393435 60.31398535535052, 11.145167169968872 60.314107806855155, 11.145136433038875 60.31415482678524)"/>
    <s v="[1748504, 1748505]"/>
    <s v="[1549838, 1549839]"/>
    <s v="0.004507978736997899"/>
    <s v="[1549820, 1549838]"/>
    <s v="[0.004, 0.006]"/>
    <s v="21.68699637937477"/>
    <s v="[0.004, 0.006]"/>
  </r>
  <r>
    <x v="4872"/>
    <x v="5283"/>
    <x v="0"/>
    <n v="0"/>
    <s v="LINESTRING (11.144912090023748 60.31404583497333, 11.145076717209934 60.3140911570489, 11.145136433038875 60.31415482678524)"/>
    <s v="[1748565, 1748568]"/>
    <s v="[1549884, 1549839]"/>
    <s v="0.004429180268326891"/>
    <s v="[1549832, 1549884]"/>
    <s v="[0.004, 0.005]"/>
    <s v="18.233261871438508"/>
    <s v="[0.004, 0.005]"/>
  </r>
  <r>
    <x v="4873"/>
    <x v="5276"/>
    <x v="0"/>
    <n v="0"/>
    <m/>
    <n v="1748542"/>
    <n v="1549867"/>
    <s v="0.008"/>
    <n v="1549839"/>
    <s v="0.008"/>
    <s v="9.739697120217585"/>
    <s v="0.008"/>
  </r>
  <r>
    <x v="4874"/>
    <x v="630"/>
    <x v="0"/>
    <s v="[0, 1, 0, 0, 0]"/>
    <s v="LINESTRING (11.21934752080596 60.3923154504111, 11.229700897167355 60.39757853922015, 11.235195799790713 60.401468008520794, 11.236803889260273 60.40376599363918, 11.239530808122161 60.41021148492384, 11.239837495524604 60.410666268932786)"/>
    <s v="[1748653, 1748654, 1748655, 2105401, 2105409]"/>
    <s v="[1549935, 1549936, 1549937, 1819002, 1819007]"/>
    <s v="#FIELD!"/>
    <s v="[1549934, 1549935, 1549936, 1549937, 1819002]"/>
    <s v="[0.07, 0.005, 0.015, 0.021, 0.037]"/>
    <s v="2411.5748212910094"/>
    <s v="[-0.07, -0.005, 0.015, 0.021, 0.037]"/>
  </r>
  <r>
    <x v="4874"/>
    <x v="5271"/>
    <x v="473"/>
    <n v="0"/>
    <s v="LINESTRING (11.21934752080596 60.3923154504111, 11.21893664597243 60.392080559173536, 11.216471751913286 60.39053693641865, 11.215221185531302 60.39009181777747, 11.21515649635569 60.39007316743154, 11.215079031823924 60.39005082755303)"/>
    <s v="[1748787, 1748745, 1748746, 1748770, 1748786]"/>
    <s v="[1549997, 1549123, 1549998, 1550012, 1550023]"/>
    <s v="0.03301550821209658"/>
    <s v="[1549934, 1549997, 1549123, 1549998, 1550012]"/>
    <s v="[0.035, 0.031, 0.038, 0.027, 0.028]"/>
    <s v="348.4443576790619"/>
    <s v="[0.035, 0.031, 0.038, 0.027, 0.028]"/>
  </r>
  <r>
    <x v="4875"/>
    <x v="5284"/>
    <x v="0"/>
    <n v="0"/>
    <m/>
    <n v="1748969"/>
    <n v="1550023"/>
    <s v="#FIELD!"/>
    <n v="1550099"/>
    <s v="0.012"/>
    <s v="16.893068430371518"/>
    <s v="#FIELD!"/>
  </r>
  <r>
    <x v="4876"/>
    <x v="5260"/>
    <x v="0"/>
    <n v="0"/>
    <s v="LINESTRING (11.216569167823703 60.38917620194013, 11.216457559400821 60.38914417218302, 11.216379692052307 60.38907184400937)"/>
    <s v="[1748861, 1748877]"/>
    <s v="[1550073, 1550083]"/>
    <s v="0.02774493824352431"/>
    <s v="[1550072, 1550073]"/>
    <s v="[0.021, 0.033]"/>
    <s v="16.247734091171765"/>
    <s v="[0.021, 0.033]"/>
  </r>
  <r>
    <x v="4876"/>
    <x v="5285"/>
    <x v="0"/>
    <n v="0"/>
    <s v="LINESTRING (11.216569167823703 60.38917620194013, 11.216466622619015 60.38920545483883, 11.216433730702684 60.389214837996015, 11.216121827191442 60.38931852865691)"/>
    <s v="[1748922, 1748936, 1748950]"/>
    <s v="[1550122, 1550136, 1550104]"/>
    <s v="#FIELD!"/>
    <s v="[1550072, 1550122, 1550136]"/>
    <s v="[0.014, 0.003, 0.013]"/>
    <s v="29.34351011990828"/>
    <s v="[-0.014, 0.003, -0.013]"/>
  </r>
  <r>
    <x v="4877"/>
    <x v="5285"/>
    <x v="0"/>
    <n v="0"/>
    <s v="LINESTRING (11.216379692052307 60.38907184400937, 11.21633586636454 60.389132664361945, 11.21632252862157 60.38915117022644, 11.216121827191442 60.38931852865691)"/>
    <s v="[1748958, 1748963, 1748968]"/>
    <s v="[1550154, 1550155, 1550104]"/>
    <s v="#FIELD!"/>
    <s v="[1550083, 1550154, 1550155]"/>
    <s v="[0.036, 0.029, 0.022]"/>
    <s v="31.071759903144056"/>
    <s v="[-0.036, -0.029, -0.022]"/>
  </r>
  <r>
    <x v="4878"/>
    <x v="5284"/>
    <x v="0"/>
    <n v="0"/>
    <s v="LINESTRING (11.215388064071359 60.38969998295857, 11.21517767928128 60.38986713640556, 11.215130726803073 60.38990919772902)"/>
    <s v="[1748886, 1748893]"/>
    <s v="[1550090, 1550099]"/>
    <s v="#FIELD!"/>
    <s v="[1550089, 1550090]"/>
    <s v="[0.005, 0.004]"/>
    <s v="27.299435434487563"/>
    <s v="[-0.005, -0.004]"/>
  </r>
  <r>
    <x v="4878"/>
    <x v="5270"/>
    <x v="0"/>
    <n v="0"/>
    <s v="LINESTRING (11.215388064071359 60.38969998295857, 11.215043681466176 60.3898086434192, 11.214952464149022 60.38983338170476)"/>
    <s v="[1748907, 1748908]"/>
    <s v="[1550112, 1550113]"/>
    <s v="0.007811932243333007"/>
    <s v="[1550089, 1550112]"/>
    <s v="[0.007, 0.011]"/>
    <s v="28.26043989320618"/>
    <s v="[0.007, 0.011]"/>
  </r>
  <r>
    <x v="4878"/>
    <x v="5285"/>
    <x v="0"/>
    <n v="1"/>
    <m/>
    <n v="1748899"/>
    <n v="1550089"/>
    <s v="#FIELD!"/>
    <n v="1550104"/>
    <s v="0.006"/>
    <s v="58.68917447009782"/>
    <s v="#FIELD!"/>
  </r>
  <r>
    <x v="4879"/>
    <x v="5270"/>
    <x v="0"/>
    <n v="0"/>
    <s v="LINESTRING (11.214952464149022 60.38983338170476, 11.215068832119778 60.389865098750725, 11.215130726803073 60.38990919772902)"/>
    <s v="[1749002, 1749010]"/>
    <s v="[1550174, 1550099]"/>
    <s v="#FIELD!"/>
    <s v="[1550113, 1550174]"/>
    <s v="[0.028, 0.024]"/>
    <s v="13.309833504401983"/>
    <s v="[-0.028, -0.024]"/>
  </r>
  <r>
    <x v="4880"/>
    <x v="2407"/>
    <x v="474"/>
    <n v="0"/>
    <s v="LINESTRING (10.912131549194722 63.46213497908237, 10.912131549194722 63.46213497908237, 10.910051055355408 63.46010168158722, 10.909137071084277 63.458465035703895, 10.90909441023754 63.4567988785603, 10.909162806993153 63.456201395170524, 10.909246288882565 63.455743251623865, 10.909402069570312 63.45508439792693, 10.909440793395614 63.45492845990087, 10.909575494407987 63.45370605433159, 10.909567867833866 63.45361637367011)"/>
    <s v="[1750199, 1750147, 1750155, 1750163, 1750173, 1750181, 1750189, 1750190, 1750198, 1750140]"/>
    <s v="[1550887, 1550888, 1550893, 1550896, 1550900, 1550903, 1550908, 1550909, 1550884, 1550885]"/>
    <s v="0.001756535177501887"/>
    <s v="[1550914, 1550887, 1550888, 1550893, 1550896, 1550900, 1550903, 1550908, 1550909, 1550884]"/>
    <s v="[0.233, 0.011, 0.009, 0.009, 0.003, 0.004, 0.005, 0.005, 0.012, 0.011]"/>
    <s v="996.3500287806199"/>
    <s v="[-0.233, 0.011, 0.009, 0.009, 0.003, 0.004, 0.005, 0.005, -0.012, 0.011]"/>
  </r>
  <r>
    <x v="4881"/>
    <x v="4003"/>
    <x v="0"/>
    <n v="0"/>
    <s v="LINESTRING (8.708777015149014 58.45597654823854, 8.708758666581101 58.456005094629674, 8.708642280044645 58.4560619556063, 8.708510854990571 58.456067551652396, 8.708403494178516 58.455875657980584, 8.70851165205475 58.455843609088895, 8.708614931993209 58.4558435617447, 8.708720403500736 58.45587442311154)"/>
    <s v="[1750206, 1750215, 1750216, 1750123, 1750153, 1750175, 1750183]"/>
    <s v="[1550917, 1550923, 1550878, 1550879, 1550892, 1550901, 1550904]"/>
    <s v="0.003072578343273082"/>
    <s v="[1550910, 1550917, 1550923, 1550878, 1550879, 1550892, 1550901]"/>
    <s v="[0.03, 0.029, 0.03, 0.009, 0.055, 0.021, 0.009]"/>
    <s v="67.6771530570891"/>
    <s v="[-0.03, -0.029, 0.03, -0.009, 0.055, 0.021, 0.009]"/>
  </r>
  <r>
    <x v="4882"/>
    <x v="5286"/>
    <x v="0"/>
    <n v="0"/>
    <m/>
    <n v="1753256"/>
    <n v="1552535"/>
    <s v="0.069"/>
    <n v="1552524"/>
    <s v="0.069"/>
    <s v="12.466975708521192"/>
    <s v="0.069"/>
  </r>
  <r>
    <x v="4882"/>
    <x v="3327"/>
    <x v="0"/>
    <n v="0"/>
    <s v="LINESTRING (6.604584063868989 62.49110626067363, 6.604508453119624 62.49108406138423, 6.597457356463934 62.48922086941321, 6.597262634540371 62.489165913797635)"/>
    <s v="[1753563, 1753564, 1753565]"/>
    <s v="[1552657, 1552658, 1552659]"/>
    <s v="0.08320976301705522"/>
    <s v="[1552524, 1552657, 1552658]"/>
    <s v="[0.071, 0.084, 0.059]"/>
    <s v="448.83962534303765"/>
    <s v="[0.071, 0.084, 0.059]"/>
  </r>
  <r>
    <x v="4882"/>
    <x v="5287"/>
    <x v="0"/>
    <n v="0"/>
    <s v="LINESTRING (6.605055485683676 62.491006623135625, 6.605132100697035 62.49108572047892, 6.605107080201324 62.49114833192017, 6.605019575629289 62.491197487170055, 6.6048915469879645 62.491220859505596, 6.604763629384775 62.491214306818975, 6.604651887978379 62.49117888308328, 6.604584063868989 62.49110626067363)"/>
    <s v="[1753328, 1753342, 1753350, 1753351, 1753367, 1753197, 1753228]"/>
    <s v="[1552563, 1552567, 1552570, 1552571, 1552506, 1552507, 1552524]"/>
    <s v="#FIELD!"/>
    <s v="[1552556, 1552563, 1552567, 1552570, 1552571, 1552506, 1552507]"/>
    <s v="[0.077, 0.068, 0.048, 0.007, 0.031, 0.051, 0.076]"/>
    <s v="53.48499300881033"/>
    <s v="[-0.077, -0.068, -0.048, -0.007, 0.031, 0.051, 0.076]"/>
  </r>
  <r>
    <x v="4883"/>
    <x v="5288"/>
    <x v="0"/>
    <n v="0"/>
    <m/>
    <n v="1753298"/>
    <n v="1552547"/>
    <s v="0.012"/>
    <n v="1552535"/>
    <s v="0.012"/>
    <s v="8.832796443097527"/>
    <s v="0.012"/>
  </r>
  <r>
    <x v="4883"/>
    <x v="5289"/>
    <x v="0"/>
    <n v="0"/>
    <s v="LINESTRING (6.6066087818911505 62.48991876812767, 6.606398788920268 62.48996748169302, 6.604586774540389 62.49099111481624, 6.604665153922899 62.49100394404245)"/>
    <s v="[1753595, 1753596, 1753604]"/>
    <s v="[1552678, 1552679, 1552535]"/>
    <s v="#FIELD!"/>
    <s v="[1552677, 1552678, 1552679]"/>
    <s v="[0.048, 0.034, 0.039]"/>
    <s v="272.35475741220785"/>
    <s v="[-0.048, -0.034, -0.039]"/>
  </r>
  <r>
    <x v="4884"/>
    <x v="5287"/>
    <x v="0"/>
    <n v="0"/>
    <s v="LINESTRING (6.60481836240862 62.49096880158223, 6.604951438415681 62.49097526917979, 6.605055485683676 62.491006623135625)"/>
    <s v="[1753309, 1753316]"/>
    <s v="[1552552, 1552556]"/>
    <s v="#FIELD!"/>
    <s v="[1552547, 1552552]"/>
    <s v="[0.031, 0.057]"/>
    <s v="13.325145387557765"/>
    <s v="[-0.031, -0.057]"/>
  </r>
  <r>
    <x v="4884"/>
    <x v="5290"/>
    <x v="0"/>
    <n v="0"/>
    <s v="LINESTRING (6.60514272320715 62.49073207947392, 6.604861944817336 62.49093257617979, 6.60481836240862 62.49096880158223)"/>
    <s v="[1753561, 1753562]"/>
    <s v="[1552656, 1552547]"/>
    <s v="#FIELD!"/>
    <s v="[1552646, 1552656]"/>
    <s v="[0.052, 0.065]"/>
    <s v="31.49117029505499"/>
    <s v="[-0.052, -0.065]"/>
  </r>
  <r>
    <x v="4885"/>
    <x v="5290"/>
    <x v="0"/>
    <n v="0"/>
    <s v="LINESTRING (6.60514272320715 62.49073207947392, 6.605073067259826 62.49096712547114, 6.605055485683676 62.491006623135625)"/>
    <s v="[1753546, 1753555]"/>
    <s v="[1552647, 1552556]"/>
    <s v="#FIELD!"/>
    <s v="[1552646, 1552647]"/>
    <s v="0.073"/>
    <s v="31.11691469027477"/>
    <s v="#FIELD!"/>
  </r>
  <r>
    <x v="4886"/>
    <x v="5291"/>
    <x v="0"/>
    <s v="[0, 1, 0]"/>
    <s v="LINESTRING (6.60430254191384 62.4894719843686, 6.6052939819437455 62.48977694997279, 6.605505477598185 62.4902237087049, 6.60514272320715 62.49073207947392)"/>
    <s v="[1753585, 1753586, 1753587]"/>
    <s v="[1552672, 1552673, 1552646]"/>
    <s v="#FIELD!"/>
    <s v="[1552669, 1552672, 1552673]"/>
    <s v="[0.096, 0.143, 0.066]"/>
    <s v="175.17260942787448"/>
    <s v="[-0.096, -0.143, -0.066]"/>
  </r>
  <r>
    <x v="4887"/>
    <x v="5292"/>
    <x v="0"/>
    <n v="0"/>
    <m/>
    <n v="1753606"/>
    <n v="1552667"/>
    <s v="#FIELD!"/>
    <n v="1552659"/>
    <s v="0.059"/>
    <s v="100.09926515509284"/>
    <s v="#FIELD!"/>
  </r>
  <r>
    <x v="4888"/>
    <x v="5291"/>
    <x v="0"/>
    <n v="0"/>
    <s v="LINESTRING (6.599124026556192 62.48941242743862, 6.599358741382135 62.489410906011486, 6.60430254191384 62.4894719843686)"/>
    <s v="[1753575, 1753580]"/>
    <s v="[1552668, 1552669]"/>
    <s v="#FIELD!"/>
    <s v="[1552667, 1552668]"/>
    <s v="[0.049, 0.041]"/>
    <s v="277.24467639363655"/>
    <s v="[-0.049, -0.041]"/>
  </r>
  <r>
    <x v="4888"/>
    <x v="5289"/>
    <x v="0"/>
    <n v="0"/>
    <s v="LINESTRING (6.599124026556192 62.48941242743862, 6.604388637444056 62.49002027545328, 6.6066087818911505 62.48991876812767)"/>
    <s v="[1753607, 1753611]"/>
    <s v="[1552680, 1552677]"/>
    <s v="#FIELD!"/>
    <s v="[1552667, 1552680]"/>
    <s v="[0.073, 0.009]"/>
    <s v="397.11091903364365"/>
    <s v="[-0.073, -0.009]"/>
  </r>
  <r>
    <x v="4889"/>
    <x v="4381"/>
    <x v="0"/>
    <n v="0"/>
    <s v="LINESTRING (6.60430254191384 62.4894719843686, 6.607013078623773 62.48984649246172, 6.607240897208619 62.48986817641366)"/>
    <s v="[1753593, 1753594]"/>
    <s v="[1552675, 1552676]"/>
    <s v="#FIELD!"/>
    <s v="[1552669, 1552675]"/>
    <s v="[0.039, 0.05]"/>
    <s v="247.228388825786"/>
    <s v="[-0.039, -0.05]"/>
  </r>
  <r>
    <x v="4890"/>
    <x v="5289"/>
    <x v="0"/>
    <n v="0"/>
    <m/>
    <n v="1753613"/>
    <n v="1552676"/>
    <s v="0.003"/>
    <n v="1552677"/>
    <s v="0.003"/>
    <s v="33.13516447810127"/>
    <s v="0.003"/>
  </r>
  <r>
    <x v="4891"/>
    <x v="1141"/>
    <x v="0"/>
    <n v="0"/>
    <s v="LINESTRING (5.643259644902254 59.007395395651876, 5.643123536372668 59.00742345538244, 5.640642969078439 59.00779725997442, 5.639238896912992 59.00873579898921, 5.639135360139508 59.00880238998317)"/>
    <s v="[1758934, 1758955, 1758956, 2118021]"/>
    <s v="[1555804, 1555811, 1555812, 1825981]"/>
    <s v="#FIELD!"/>
    <s v="[1555803, 1555804, 1555811, 1555812]"/>
    <s v="[0.018, 0.019, 0.022, 0.266]"/>
    <s v="302.7161363872461"/>
    <s v="[-0.018, -0.019, -0.022, 0.266]"/>
  </r>
  <r>
    <x v="4891"/>
    <x v="5293"/>
    <x v="0"/>
    <n v="0"/>
    <s v="LINESTRING (5.643798397916456 59.00720740167803, 5.643736588747419 59.007248024396, 5.643632800489327 59.00729389426752, 5.643259644902254 59.007395395651876)"/>
    <s v="[2118668, 2118683, 2118696]"/>
    <s v="[1826427, 1826437, 1555803]"/>
    <s v="#FIELD!"/>
    <s v="[1826318, 1826427, 1826437]"/>
    <s v="[0.004, 0.006, 0.072]"/>
    <s v="38.25545168023739"/>
    <s v="[-0.004, -0.006, -0.072]"/>
  </r>
  <r>
    <x v="4891"/>
    <x v="5294"/>
    <x v="0"/>
    <n v="0"/>
    <s v="LINESTRING (5.643577104645958 59.00717096992969, 5.64354787467664 59.00720458501359, 5.643497175891093 59.007256971070575, 5.643259644902254 59.007395395651876)"/>
    <s v="[2118637, 2118652, 2118660]"/>
    <s v="[1826402, 1826416, 1555803]"/>
    <s v="#FIELD!"/>
    <s v="[1826329, 1826402, 1826416]"/>
    <s v="[0.002, 0.002, 0.08]"/>
    <s v="31.90402760936587"/>
    <s v="[-0.002, -0.002, -0.08]"/>
  </r>
  <r>
    <x v="4892"/>
    <x v="595"/>
    <x v="0"/>
    <s v="[0, 1, 0, 0]"/>
    <s v="LINESTRING (8.942918706431213 58.652292537934116, 8.942342175726909 58.65192605102247, 8.941426683052896 58.6520959363933, 8.941226753806337 58.65217800205553, 8.941151535114717 58.65222565601326)"/>
    <s v="[1762910, 1762918, 1762926, 1762934]"/>
    <s v="[1558127, 1558131, 1558135, 109767]"/>
    <s v="0.001963834651249988"/>
    <s v="[113916, 1558127, 1558131, 1558135]"/>
    <s v="[0.052, 0.041, 0.07, 0.091]"/>
    <s v="149.054323992936"/>
    <s v="[-0.052, 0.041, 0.07, 0.091]"/>
  </r>
  <r>
    <x v="4893"/>
    <x v="5295"/>
    <x v="0"/>
    <n v="0"/>
    <s v="LINESTRING (9.291417204221775 60.9714087142917, 9.291332414957921 60.97142055015026, 9.290805761545295 60.97149757221295)"/>
    <s v="[1763556, 1763564]"/>
    <s v="[1558490, 1558481]"/>
    <s v="#FIELD!"/>
    <s v="[1558489, 1558490]"/>
    <s v="[0.015, 0.005]"/>
    <s v="34.58881632294747"/>
    <s v="[-0.015, -0.005]"/>
  </r>
  <r>
    <x v="4893"/>
    <x v="5296"/>
    <x v="0"/>
    <n v="0"/>
    <s v="LINESTRING (9.291252754421743 60.97128605686777, 9.291182735127686 60.971316280359446, 9.290805761545295 60.97149757221295)"/>
    <s v="[1763572, 1763580]"/>
    <s v="[1558501, 1558481]"/>
    <s v="0.041949429564641774"/>
    <s v="[1558500, 1558501]"/>
    <s v="[0.036, 0.043]"/>
    <s v="33.81817123268665"/>
    <s v="[0.036, 0.043]"/>
  </r>
  <r>
    <x v="4894"/>
    <x v="5296"/>
    <x v="0"/>
    <n v="0"/>
    <s v="LINESTRING (9.291417204221775 60.9714087142917, 9.291292893822506 60.971351223764955, 9.291252754421743 60.97128605686777)"/>
    <s v="[1765129, 1765137]"/>
    <s v="[1559275, 1558500]"/>
    <s v="#FIELD!"/>
    <s v="[1558489, 1559275]"/>
    <s v="[0.098, 0.096]"/>
    <s v="16.885833206399454"/>
    <s v="[-0.098, -0.096]"/>
  </r>
  <r>
    <x v="4894"/>
    <x v="5297"/>
    <x v="0"/>
    <n v="0"/>
    <s v="LINESTRING (9.291864110574508 60.97124811573429, 9.291829378579697 60.97135267984079, 9.291747037200677 60.97139653079235, 9.291638354669315 60.97142206958378, 9.291417204221775 60.9714087142917)"/>
    <s v="[1765097, 1765105, 1765113, 1765121]"/>
    <s v="[1558586, 1559263, 1558573, 1558489]"/>
    <s v="0.022396873570150407"/>
    <s v="[1558513, 1558586, 1559263, 1558573]"/>
    <s v="[0.084, 0.057, 0.001, 0.044]"/>
    <s v="37.494719456859244"/>
    <s v="[0.084, 0.057, -0.001, -0.044]"/>
  </r>
  <r>
    <x v="4895"/>
    <x v="5298"/>
    <x v="0"/>
    <n v="0"/>
    <s v="LINESTRING (9.291252754421743 60.97128605686777, 9.291270162863006 60.97122345176557, 9.291367852958722 60.97115790203189, 9.291538760327128 60.971124978999846, 9.291622551486828 60.9711278543472)"/>
    <s v="[1765145, 1765153, 1765161, 1765169]"/>
    <s v="[1558561, 1559290, 1558544, 1558527]"/>
    <s v="#FIELD!"/>
    <s v="[1558500, 1558561, 1559290, 1558544]"/>
    <s v="[0.102, 0.049, 0.008, 0.06]"/>
    <s v="30.587186232892158"/>
    <s v="[-0.102, -0.049, -0.008, 0.06]"/>
  </r>
  <r>
    <x v="4896"/>
    <x v="5297"/>
    <x v="0"/>
    <n v="0"/>
    <s v="LINESTRING (9.29234380048892 60.970955125809034, 9.291915486708296 60.97121650588439, 9.291864110574508 60.97124811573429)"/>
    <s v="[1763588, 1763596]"/>
    <s v="[1558509, 1558513]"/>
    <s v="0.05024691548970367"/>
    <s v="[1558508, 1558509]"/>
    <s v="[0.051, 0.044]"/>
    <s v="41.75417379168282"/>
    <s v="[0.051, 0.044]"/>
  </r>
  <r>
    <x v="4896"/>
    <x v="5298"/>
    <x v="0"/>
    <n v="0"/>
    <s v="LINESTRING (9.29234380048892 60.970955125809034, 9.291720329522796 60.97110506597333, 9.291622551486828 60.9711278543472)"/>
    <s v="[1763620, 1763628]"/>
    <s v="[1558523, 1558527]"/>
    <s v="0.007055954891993231"/>
    <s v="[1558508, 1558523]"/>
    <s v="[0.008, 0.001]"/>
    <s v="43.57880767441704"/>
    <s v="[0.008, 0.001]"/>
  </r>
  <r>
    <x v="4897"/>
    <x v="5298"/>
    <x v="0"/>
    <n v="0"/>
    <s v="LINESTRING (9.291622551486828 60.9711278543472, 9.29179394187103 60.97117690256233, 9.291864110574508 60.97124811573429)"/>
    <s v="[1765177, 1765185]"/>
    <s v="[1559304, 1558513]"/>
    <s v="0.08989985427548318"/>
    <s v="[1558527, 1559304]"/>
    <s v="[0.081, 0.101]"/>
    <s v="19.786684510749268"/>
    <s v="[0.081, 0.101]"/>
  </r>
  <r>
    <x v="4898"/>
    <x v="3770"/>
    <x v="0"/>
    <n v="0"/>
    <s v="LINESTRING (11.024956228190328 59.316308178053006, 11.024844692695329 59.316296409433626, 11.024733454206645 59.31625201395882)"/>
    <s v="[1769557, 1769565]"/>
    <s v="[1561946, 1561951]"/>
    <s v="0.049271646258261595"/>
    <s v="[1561941, 1561946]"/>
    <s v="[0.062, 0.039]"/>
    <s v="14.525542301669471"/>
    <s v="[0.062, 0.039]"/>
  </r>
  <r>
    <x v="4898"/>
    <x v="5299"/>
    <x v="0"/>
    <n v="0"/>
    <s v="LINESTRING (11.024956228190328 59.316308178053006, 11.024891834941464 59.31634779233398, 11.024577935009082 59.31652318374617)"/>
    <s v="[1769653, 1769661]"/>
    <s v="[1562002, 1561984]"/>
    <s v="#FIELD!"/>
    <s v="[1561941, 1562002]"/>
    <s v="[0.009, 0.021]"/>
    <s v="32.47568358622296"/>
    <s v="[0.009, -0.021]"/>
  </r>
  <r>
    <x v="4899"/>
    <x v="5299"/>
    <x v="0"/>
    <n v="0"/>
    <s v="LINESTRING (11.024733454206645 59.31625201395882, 11.024724123746697 59.31631978765003, 11.024577935009082 59.31652318374617)"/>
    <s v="[1769621, 1769629]"/>
    <s v="[1561979, 1561984]"/>
    <s v="#FIELD!"/>
    <s v="[1561951, 1561979]"/>
    <s v="[0.038, 0.039]"/>
    <s v="31.715318650841752"/>
    <s v="[-0.038, -0.039]"/>
  </r>
  <r>
    <x v="4900"/>
    <x v="5300"/>
    <x v="0"/>
    <n v="0"/>
    <s v="LINESTRING (11.024577935009082 59.31652318374617, 11.024492221737567 59.31657365442699, 11.023389683511244 59.31686636775942)"/>
    <s v="[1769637, 1769645]"/>
    <s v="[1561991, 1561996]"/>
    <s v="#FIELD!"/>
    <s v="[1561984, 1561991]"/>
    <s v="[0.039, 0.029]"/>
    <s v="78.33993273597474"/>
    <s v="[-0.039, -0.029]"/>
  </r>
  <r>
    <x v="4901"/>
    <x v="5301"/>
    <x v="0"/>
    <n v="0"/>
    <s v="LINESTRING (11.023389683511244 59.31686636775942, 11.022961128056538 59.31692045669153, 11.022842913454628 59.31692472824752)"/>
    <s v="[1769733, 1769741]"/>
    <s v="[1562052, 1562057]"/>
    <s v="#FIELD!"/>
    <s v="[1561996, 1562052]"/>
    <s v="[0.02, 0.014]"/>
    <s v="31.89343847214541"/>
    <s v="[-0.02, -0.014]"/>
  </r>
  <r>
    <x v="4901"/>
    <x v="5302"/>
    <x v="0"/>
    <n v="0"/>
    <s v="LINESTRING (11.023389683511244 59.31686636775942, 11.023037998437804 59.316998848614645, 11.022953958963894 59.31703843694079)"/>
    <s v="[1769749, 1769757]"/>
    <s v="[1562062, 1562066]"/>
    <s v="#FIELD!"/>
    <s v="[1561996, 1562062]"/>
    <s v="[0.026, 0.027]"/>
    <s v="31.392701173102886"/>
    <s v="[-0.026, -0.027]"/>
  </r>
  <r>
    <x v="4902"/>
    <x v="5302"/>
    <x v="0"/>
    <n v="0"/>
    <s v="LINESTRING (11.022842913454628 59.31692472824752, 11.02292784366734 59.31697902005582, 11.022953958963894 59.31703843694079)"/>
    <s v="[1770030, 1770038]"/>
    <s v="[1562230, 1562066]"/>
    <s v="#FIELD!"/>
    <s v="[1562057, 1562230]"/>
    <s v="[0.011, 0.021]"/>
    <s v="14.53150820194331"/>
    <s v="[-0.011, -0.021]"/>
  </r>
  <r>
    <x v="4902"/>
    <x v="5126"/>
    <x v="0"/>
    <n v="0"/>
    <m/>
    <n v="1770021"/>
    <n v="1562057"/>
    <s v="0.015"/>
    <n v="1562218"/>
    <s v="0.015"/>
    <s v="22.43732382018779"/>
    <s v="0.015"/>
  </r>
  <r>
    <x v="4903"/>
    <x v="5126"/>
    <x v="0"/>
    <n v="0"/>
    <s v="LINESTRING (11.022953958963894 59.31703843694079, 11.022506294529355 59.31715466778176, 11.022421790195832 59.31710425467013, 11.022392033911771 59.31703537613832, 11.02247750272351 59.31693621519482)"/>
    <s v="[1769989, 1769997, 1770005, 1770013]"/>
    <s v="[1562041, 1562207, 1562008, 1562218]"/>
    <s v="#FIELD!"/>
    <s v="[1562066, 1562041, 1562207, 1562008]"/>
    <s v="[0.016, 0.007, 0.015, 0.024]"/>
    <s v="62.552964550918915"/>
    <s v="[-0.016, 0.007, 0.015, 0.024]"/>
  </r>
  <r>
    <x v="4904"/>
    <x v="3774"/>
    <x v="0"/>
    <n v="0"/>
    <s v="LINESTRING (11.023379955082175 59.31580212350912, 11.023347115830342 59.315738545340686, 11.023375733372509 59.31567279963859, 11.023454662169009 59.3156219875018, 11.02382872578364 59.315634138052026)"/>
    <s v="[1769933, 1769941, 1769949, 1769957]"/>
    <s v="[1047229, 1562164, 1047217, 1562177]"/>
    <s v="0.028813573318033595"/>
    <s v="[1562156, 1047229, 1562164, 1047217]"/>
    <s v="[0.017, 0.034, 0.038, 0.028]"/>
    <s v="45.14568552414475"/>
    <s v="[0.017, 0.034, 0.038, 0.028]"/>
  </r>
  <r>
    <x v="4905"/>
    <x v="1070"/>
    <x v="0"/>
    <n v="0"/>
    <s v="LINESTRING (14.472632356218137 66.40638858694005, 14.474307347000098 66.40630401385572, 14.474598404869335 66.40629414777264, 14.47561266936333 66.40625975429556, 14.47584553721312 66.4062518613935, 14.47813554706138 66.4062015820818)"/>
    <s v="[1776134, 1776142, 1776150, 1776158, 1776166]"/>
    <s v="[1566941, 1566950, 1566957, 1566911, 1566973]"/>
    <s v="0.027441472094313912"/>
    <s v="[1566940, 1566941, 1566950, 1566957, 1566911]"/>
    <s v="[0.045, 0.033, 0.019, 0.023, 0.018]"/>
    <s v="247.21477342178312"/>
    <s v="[0.045, 0.033, 0.019, 0.023, 0.018]"/>
  </r>
  <r>
    <x v="4905"/>
    <x v="1070"/>
    <x v="0"/>
    <n v="0"/>
    <s v="LINESTRING (14.472632356218137 66.40638858694005, 14.474605027022688 66.4063605941826, 14.475600241546703 66.40632719525715, 14.4757314311354 66.40632271081111, 14.475971828235265 66.40631562352677, 14.47813554706138 66.4062015820818)"/>
    <s v="[1776174, 1776189, 1776197, 1776203, 1776204]"/>
    <s v="[1566983, 1566997, 1566925, 1566912, 1566973]"/>
    <s v="0.027641917332087842"/>
    <s v="[1566940, 1566983, 1566997, 1566925, 1566912]"/>
    <s v="[0.035, 0.02, 0.031, 0.012, 0.026]"/>
    <s v="247.27350100536134"/>
    <s v="[0.035, 0.02, 0.031, 0.012, 0.026]"/>
  </r>
  <r>
    <x v="4905"/>
    <x v="5303"/>
    <x v="0"/>
    <n v="0"/>
    <m/>
    <n v="2088471"/>
    <n v="1566940"/>
    <s v="0.018"/>
    <n v="1808626"/>
    <s v="0.018"/>
    <s v="363.3988602438998"/>
    <s v="0.018"/>
  </r>
  <r>
    <x v="4906"/>
    <x v="309"/>
    <x v="0"/>
    <n v="0"/>
    <s v="LINESTRING (9.053818000484679 61.037401120954854, 9.053734665146825 61.037632515041516, 9.053649487796367 61.037796741194384)"/>
    <s v="[1778020, 1778028]"/>
    <s v="[1568439, 1567594]"/>
    <s v="#FIELD!"/>
    <s v="[1567587, 1568439]"/>
    <s v="[0.017, 0.026]"/>
    <s v="45.41676392123082"/>
    <s v="[-0.017, -0.026]"/>
  </r>
  <r>
    <x v="4906"/>
    <x v="309"/>
    <x v="0"/>
    <n v="0"/>
    <s v="LINESTRING (9.053818000484679 61.037401120954854, 9.053631863077955 61.03762328940311, 9.053649487796367 61.037796741194384)"/>
    <s v="[1778029, 1778036]"/>
    <s v="[1568446, 1567594]"/>
    <s v="#FIELD!"/>
    <s v="[1567587, 1568446]"/>
    <s v="[0.044, 0.014]"/>
    <s v="47.19333797030241"/>
    <s v="[-0.044, 0.014]"/>
  </r>
  <r>
    <x v="4907"/>
    <x v="1426"/>
    <x v="0"/>
    <n v="0"/>
    <m/>
    <n v="1779146"/>
    <n v="1569101"/>
    <s v="#FIELD!"/>
    <n v="1569293"/>
    <s v="0.006"/>
    <s v="27.43970612052078"/>
    <s v="#FIELD!"/>
  </r>
  <r>
    <x v="4908"/>
    <x v="1426"/>
    <x v="0"/>
    <n v="0"/>
    <s v="LINESTRING (11.09526058506948 59.2599875640662, 11.095205533419985 59.25992281665692, 11.095210281988784 59.2598439798385, 11.095302812025919 59.25975998539166, 11.095839623099147 59.2597989989505)"/>
    <s v="[1779114, 1779122, 1779130, 1779138]"/>
    <s v="[1337520, 1569281, 1337584, 1569293]"/>
    <s v="0.0073278967390373465"/>
    <s v="[1569267, 1337520, 1569281, 1337584]"/>
    <s v="[0.003, 0.001, 0.008, 0.011]"/>
    <s v="62.709816260710426"/>
    <s v="[-0.003, 0.001, 0.008, 0.011]"/>
  </r>
  <r>
    <x v="4909"/>
    <x v="5304"/>
    <x v="0"/>
    <n v="0"/>
    <s v="LINESTRING (14.418764048970461 66.40287808708734, 14.42236377269761 66.40275957600181, 14.422601661533248 66.40274884753636, 14.423879388413416 66.40269075299756, 14.424120998112567 66.40267976681609, 14.425939100794023 66.4025806041505)"/>
    <s v="[1780350, 1780358, 1780378, 1780379, 1780387]"/>
    <s v="[1570373, 1570382, 1570400, 1570401, 1570410]"/>
    <s v="#FIELD!"/>
    <s v="[1570377, 1570373, 1570382, 1570400, 1570401]"/>
    <s v="[0.054, 0.061, 0.063, 0.058, 0.048]"/>
    <s v="322.91445838476466"/>
    <s v="[-0.054, -0.061, -0.063, -0.058, -0.048]"/>
  </r>
  <r>
    <x v="4909"/>
    <x v="5304"/>
    <x v="0"/>
    <n v="0"/>
    <s v="LINESTRING (14.418764048970461 66.40287808708734, 14.422173044288968 66.40270082451778, 14.422497238561391 66.4026860826268, 14.42257937415578 66.40268234051484, 14.423862765923081 66.40262406074443, 14.425939100794023 66.4025806041505)"/>
    <s v="[1780392, 1780400, 1780409, 1780417, 1780425]"/>
    <s v="[1570374, 1570372, 1570428, 1570435, 1570410]"/>
    <s v="#FIELD!"/>
    <s v="[1570377, 1570374, 1570372, 1570428, 1570435]"/>
    <s v="[0.067, 0.053, 0.114, 0.062, 0.027]"/>
    <s v="322.730436992299"/>
    <s v="[-0.067, -0.053, -0.114, -0.062, -0.027]"/>
  </r>
  <r>
    <x v="4910"/>
    <x v="5305"/>
    <x v="0"/>
    <n v="0"/>
    <m/>
    <n v="2088455"/>
    <n v="1808622"/>
    <s v="#FIELD!"/>
    <n v="1570410"/>
    <s v="0.014"/>
    <s v="1947.7719565465584"/>
    <s v="#FIELD!"/>
  </r>
  <r>
    <x v="4911"/>
    <x v="446"/>
    <x v="0"/>
    <n v="0"/>
    <m/>
    <n v="1781341"/>
    <n v="1571197"/>
    <s v="0.02"/>
    <n v="1571099"/>
    <s v="0.02"/>
    <s v="11.645937723281936"/>
    <s v="0.02"/>
  </r>
  <r>
    <x v="4911"/>
    <x v="448"/>
    <x v="0"/>
    <n v="0"/>
    <s v="LINESTRING (10.616782816956364 60.2936112663824, 10.616726012018786 60.29358771773374, 10.616709195701677 60.29354831537048)"/>
    <s v="[1781325, 1781333]"/>
    <s v="[1571225, 1571099]"/>
    <s v="#FIELD!"/>
    <s v="[1571111, 1571225]"/>
    <s v="[0.065, 0.061]"/>
    <s v="8.583375070691595"/>
    <s v="[-0.065, -0.061]"/>
  </r>
  <r>
    <x v="4912"/>
    <x v="445"/>
    <x v="0"/>
    <n v="0"/>
    <s v="LINESTRING (10.616946068362077 60.29356378677293, 10.616871204461367 60.29361139973217, 10.616782816956364 60.2936112663824)"/>
    <s v="[1781309, 1781317]"/>
    <s v="[1571205, 1571111]"/>
    <s v="#FIELD!"/>
    <s v="[1571131, 1571205]"/>
    <s v="[0.003, 0.058]"/>
    <s v="11.621351829469912"/>
    <s v="[0.003, -0.058]"/>
  </r>
  <r>
    <x v="4913"/>
    <x v="446"/>
    <x v="0"/>
    <n v="0"/>
    <s v="LINESTRING (10.61687191782399 60.293500728442275, 10.616928903079659 60.293524282988436, 10.616946068362077 60.29356378677293)"/>
    <s v="[1781349, 1781357]"/>
    <s v="[1571241, 1571131]"/>
    <s v="0.06676671584263125"/>
    <s v="[1571197, 1571241]"/>
    <s v="[0.072, 0.062]"/>
    <s v="8.606552968128812"/>
    <s v="[0.072, 0.062]"/>
  </r>
  <r>
    <x v="4914"/>
    <x v="3595"/>
    <x v="0"/>
    <n v="0"/>
    <s v="LINESTRING (17.453001853029335 68.44479198650548, 17.453603601147993 68.44504325998929, 17.45368913542623 68.44509046167151, 17.4540622601933 68.44531495552778, 17.454151148436562 68.44537529189317, 17.454614715562197 68.44577451860059)"/>
    <s v="[1781421, 1781429, 1781437, 1781445, 1781453]"/>
    <s v="[1571299, 1571307, 1571315, 1571323, 1571331]"/>
    <s v="0.013491026383601341"/>
    <s v="[1571298, 1571299, 1571307, 1571315, 1571323]"/>
    <s v="[0.03, 0.025, 0.018, 0.004, 0.002]"/>
    <s v="129.77471252855824"/>
    <s v="[0.03, 0.025, 0.018, 0.004, -0.002]"/>
  </r>
  <r>
    <x v="4914"/>
    <x v="3595"/>
    <x v="0"/>
    <n v="0"/>
    <s v="LINESTRING (17.453001853029335 68.44479198650548, 17.45351624858601 68.44512633689509, 17.453876110369812 68.44534827023246, 17.453909971727633 68.44537109957601, 17.454035353256202 68.44545647945164, 17.454614715562197 68.44577451860059)"/>
    <s v="[1781461, 1781469, 1781477, 1781485, 1781493]"/>
    <s v="[1571340, 1571345, 1571353, 1571359, 1571331]"/>
    <s v="0.013576882099796841"/>
    <s v="[1571298, 1571340, 1571345, 1571353, 1571359]"/>
    <s v="[0.007, 0.017, 0.01, 0.01, 0.019]"/>
    <s v="128.6211364714074"/>
    <s v="[0.007, 0.017, 0.01, 0.01, 0.019]"/>
  </r>
  <r>
    <x v="4915"/>
    <x v="1405"/>
    <x v="0"/>
    <n v="0"/>
    <s v="LINESTRING (14.538183547921362 66.3884870637626, 14.539413659888686 66.3877663285341, 14.539546141660892 66.38769405188383, 14.540224536575646 66.38736557612792, 14.540330706621674 66.38731750666595, 14.54151834366411 66.38680744739848)"/>
    <s v="[1782007, 1782015, 1782023, 1782031, 1782039]"/>
    <s v="[1571796, 1571841, 1571846, 1571851, 1571858]"/>
    <s v="#FIELD!"/>
    <s v="[1571835, 1571796, 1571841, 1571846, 1571851]"/>
    <s v="[0.019, 0.05, 0.061, 0.079, 0.014]"/>
    <s v="240.32171465566455"/>
    <s v="[-0.019, -0.05, -0.061, -0.079, -0.014]"/>
  </r>
  <r>
    <x v="4915"/>
    <x v="1405"/>
    <x v="0"/>
    <n v="0"/>
    <s v="LINESTRING (14.538183547921362 66.3884870637626, 14.539216078551492 66.38776142962512, 14.539334913781714 66.38769641550334, 14.539408772948569 66.38765601142443, 14.540100926004543 66.38732033696405, 14.54151834366411 66.38680744739848)"/>
    <s v="[1782047, 1782055, 1782063, 1782071, 1782079]"/>
    <s v="[1571817, 1571797, 1571879, 1571885, 1571858]"/>
    <s v="#FIELD!"/>
    <s v="[1571835, 1571817, 1571797, 1571879, 1571885]"/>
    <s v="[0.017, 0.039, 0.047, 0.061, 0.02]"/>
    <s v="242.35170970032738"/>
    <s v="[-0.017, -0.039, -0.047, -0.061, -0.02]"/>
  </r>
  <r>
    <x v="4916"/>
    <x v="5306"/>
    <x v="0"/>
    <n v="0"/>
    <s v="LINESTRING (10.379700100945186 59.94927229586576, 10.376641354959045 59.950450168492694, 10.376904388227299 59.951505940014876)"/>
    <s v="[1782029, 1782037]"/>
    <s v="[1351124, 1571856]"/>
    <s v="#FIELD!"/>
    <s v="[1571849, 1351124]"/>
    <s v="[0.011, 0.056]"/>
    <s v="349.37136027025133"/>
    <s v="[-0.011, -0.056]"/>
  </r>
  <r>
    <x v="4917"/>
    <x v="5307"/>
    <x v="0"/>
    <n v="0"/>
    <s v="LINESTRING (10.376904388227299 59.951505940014876, 10.377143801054608 59.951608008238246, 10.377255298901014 59.95163832874457)"/>
    <s v="[1782189, 1782197]"/>
    <s v="[1571979, 1571895]"/>
    <s v="0.030339542910549706"/>
    <s v="[1571856, 1571979]"/>
    <s v="[0.022, 0.051]"/>
    <s v="24.656327292937856"/>
    <s v="[0.022, 0.051]"/>
  </r>
  <r>
    <x v="4917"/>
    <x v="5308"/>
    <x v="0"/>
    <n v="0"/>
    <s v="LINESTRING (10.376904388227299 59.951505940014876, 10.377016033771014 59.951647503118394, 10.377071421519934 59.95169159329368)"/>
    <s v="[1782205, 1782213]"/>
    <s v="[1571992, 1571882]"/>
    <s v="#FIELD!"/>
    <s v="[1571856, 1571992]"/>
    <s v="[0.024, 0.004]"/>
    <s v="22.776344812810926"/>
    <s v="[-0.024, -0.004]"/>
  </r>
  <r>
    <x v="4918"/>
    <x v="5308"/>
    <x v="0"/>
    <n v="0"/>
    <s v="LINESTRING (10.377263510738025 59.951836483930244, 10.37710553536329 59.95180692416873, 10.377051151514035 59.95175204054024, 10.377054193465762 59.951714822436195, 10.377071421519934 59.95169159329368)"/>
    <s v="[1782045, 1782053, 1782061, 1782069]"/>
    <s v="[1571864, 1571869, 1571876, 1571882]"/>
    <s v="#FIELD!"/>
    <s v="[1571863, 1571864, 1571869, 1571876]"/>
    <s v="[0.061, 0.012, 0.062, 0.081]"/>
    <s v="23.400321845887778"/>
    <s v="[-0.061, 0.012, 0.062, 0.081]"/>
  </r>
  <r>
    <x v="4918"/>
    <x v="3745"/>
    <x v="0"/>
    <n v="0"/>
    <s v="LINESTRING (10.377263510738025 59.951836483930244, 10.377317088779717 59.95187722766409, 10.377507577977894 59.95198283911446)"/>
    <s v="[1782253, 1782261]"/>
    <s v="[1572032, 1571968]"/>
    <s v="0.026916167471241245"/>
    <s v="[1571863, 1572032]"/>
    <s v="[0.015, 0.031]"/>
    <s v="21.313480580869435"/>
    <s v="[0.015, 0.031]"/>
  </r>
  <r>
    <x v="4918"/>
    <x v="5309"/>
    <x v="0"/>
    <n v="0"/>
    <m/>
    <n v="1782125"/>
    <n v="1571863"/>
    <s v="#FIELD!"/>
    <n v="1571923"/>
    <s v="0.105"/>
    <s v="11.00658790203013"/>
    <s v="#FIELD!"/>
  </r>
  <r>
    <x v="4919"/>
    <x v="5307"/>
    <x v="0"/>
    <n v="0"/>
    <s v="LINESTRING (10.377071421519934 59.95169159329368, 10.377137511408772 59.951654879757044, 10.377255298901014 59.95163832874457)"/>
    <s v="[1782077, 1782085]"/>
    <s v="[1571888, 1571895]"/>
    <s v="0.0966953452277028"/>
    <s v="[1571882, 1571888]"/>
    <s v="[0.105, 0.09]"/>
    <s v="12.351612098044718"/>
    <s v="[0.105, 0.09]"/>
  </r>
  <r>
    <x v="4920"/>
    <x v="5309"/>
    <x v="0"/>
    <n v="0"/>
    <s v="LINESTRING (10.377255298901014 59.95163832874457, 10.3773883331486 59.95166800212712, 10.37742936958425 59.9516990327868, 10.377444907185883 59.95173546408065, 10.377422244660359 59.951783505671095)"/>
    <s v="[1782093, 1782101, 1782109, 1782117]"/>
    <s v="[1571900, 1571909, 1571915, 1571923]"/>
    <s v="#FIELD!"/>
    <s v="[1571895, 1571900, 1571909, 1571915]"/>
    <s v="[0.053, 0.006, 0.04, 0.057]"/>
    <s v="21.944641756953043"/>
    <s v="[0.053, 0.006, -0.04, -0.057]"/>
  </r>
  <r>
    <x v="4921"/>
    <x v="3745"/>
    <x v="0"/>
    <n v="0"/>
    <s v="LINESTRING (10.377422244660359 59.951783505671095, 10.377461359081789 59.951842961675275, 10.377507577977894 59.95198283911446)"/>
    <s v="[1782165, 1782173]"/>
    <s v="[1571963, 1571968]"/>
    <s v="#FIELD!"/>
    <s v="[1571923, 1571963]"/>
    <s v="[0.017, 0.029]"/>
    <s v="23.065774453696314"/>
    <s v="[-0.017, -0.029]"/>
  </r>
  <r>
    <x v="4922"/>
    <x v="5310"/>
    <x v="0"/>
    <n v="0"/>
    <s v="LINESTRING (16.81487932741432 68.33621863359771, 16.81491472984891 68.3361723105452, 16.8149812868881 68.33609766407594, 16.815148229028672 68.33595848247467)"/>
    <s v="[1782301, 1782309, 1782317]"/>
    <s v="[1572067, 1572074, 1572082]"/>
    <s v="#FIELD!"/>
    <s v="[1572066, 1572067, 1572074]"/>
    <s v="[0.021, 0.023, 0.027]"/>
    <s v="31.10568550909698"/>
    <s v="[-0.021, -0.023, -0.027]"/>
  </r>
  <r>
    <x v="4922"/>
    <x v="5311"/>
    <x v="0"/>
    <n v="0"/>
    <s v="LINESTRING (16.81487932741432 68.33621863359771, 16.81489329473461 68.33624764137583, 16.81484279000409 68.33633602907456, 16.814728637850518 68.33638446503977, 16.814415561556448 68.33641398022564)"/>
    <s v="[1782534, 1782542, 1782550, 1782558]"/>
    <s v="[1572276, 1572284, 1572169, 1572150]"/>
    <s v="0.028836433507385177"/>
    <s v="[1572066, 1572276, 1572284, 1572169]"/>
    <s v="[0.007, 0.02, 0.032, 0.039]"/>
    <s v="34.10629851123002"/>
    <s v="[0.007, 0.02, 0.032, 0.039]"/>
  </r>
  <r>
    <x v="4922"/>
    <x v="5312"/>
    <x v="0"/>
    <n v="0"/>
    <s v="LINESTRING (16.814524020379192 68.33610819309067, 16.814746583247217 68.33614345507122, 16.81487932741432 68.33621863359771)"/>
    <s v="[1782518, 1782526]"/>
    <s v="[1572264, 1572066]"/>
    <s v="#FIELD!"/>
    <s v="[1572106, 1572264]"/>
    <s v="[0.033, 0.01]"/>
    <s v="19.986094730477333"/>
    <s v="[-0.033, -0.01]"/>
  </r>
  <r>
    <x v="4923"/>
    <x v="582"/>
    <x v="475"/>
    <n v="0"/>
    <s v="LINESTRING (16.815148229028672 68.33595848247467, 17.084676333621587 68.38258411562806)"/>
    <m/>
    <m/>
    <s v="0.0"/>
    <m/>
    <n v="0"/>
    <s v="16566.766998893174"/>
    <n v="0"/>
  </r>
  <r>
    <x v="4923"/>
    <x v="5312"/>
    <x v="0"/>
    <n v="0"/>
    <s v="LINESTRING (16.814524020379192 68.33610819309067, 16.81463669690547 68.33608695917351, 16.81481965375541 68.33604998583499, 16.815148229028672 68.33595848247467)"/>
    <s v="[1782341, 1782349, 1782357]"/>
    <s v="[1572107, 1572114, 1572082]"/>
    <s v="#FIELD!"/>
    <s v="[1572106, 1572107, 1572114]"/>
    <s v="[0.042, 0.04, 0.038]"/>
    <s v="30.754713605026325"/>
    <s v="[-0.042, -0.04, -0.038]"/>
  </r>
  <r>
    <x v="4924"/>
    <x v="5313"/>
    <x v="0"/>
    <n v="0"/>
    <s v="LINESTRING (16.81407870673081 68.3363065680399, 16.814064391060114 68.33628231927358, 16.814089325295157 68.33620515607168, 16.81422322098531 68.33613936883502, 16.814524020379192 68.33610819309067)"/>
    <s v="[1782485, 1782493, 1782502, 1782510]"/>
    <s v="[1572053, 1572239, 1572090, 1572106]"/>
    <s v="#FIELD!"/>
    <s v="[1572138, 1572053, 1572239, 1572090]"/>
    <s v="[0.003, 0.016, 0.033, 0.04]"/>
    <s v="33.72916511914669"/>
    <s v="[-0.003, -0.016, -0.033, -0.04]"/>
  </r>
  <r>
    <x v="4925"/>
    <x v="5313"/>
    <x v="0"/>
    <n v="0"/>
    <s v="LINESTRING (16.81377888738567 68.33655129825672, 16.814041332730916 68.33634950289209, 16.81407870673081 68.3363065680399)"/>
    <s v="[1782365, 1782373]"/>
    <s v="[1572129, 1572138]"/>
    <s v="#FIELD!"/>
    <s v="[1572128, 1572129]"/>
    <s v="[0.027, 0.023]"/>
    <s v="29.992947088186696"/>
    <s v="[-0.027, -0.023]"/>
  </r>
  <r>
    <x v="4925"/>
    <x v="5311"/>
    <x v="0"/>
    <n v="0"/>
    <s v="LINESTRING (16.81377888738567 68.33655129825672, 16.81430590148655 68.33643347644063, 16.814415561556448 68.33641398022564)"/>
    <s v="[1782381, 1782389]"/>
    <s v="[1572144, 1572150]"/>
    <s v="#FIELD!"/>
    <s v="[1572128, 1572144]"/>
    <s v="0.04"/>
    <s v="30.391786229280008"/>
    <s v="#FIELD!"/>
  </r>
  <r>
    <x v="4926"/>
    <x v="5311"/>
    <x v="0"/>
    <n v="0"/>
    <s v="LINESTRING (16.814415561556448 68.33641398022564, 16.81420557673294 68.3363781323635, 16.81407870673081 68.3363065680399)"/>
    <s v="[1782566, 1782574]"/>
    <s v="[1572302, 1572138]"/>
    <s v="0.0214954647543587"/>
    <s v="[1572150, 1572302]"/>
    <s v="[0.031, 0.012]"/>
    <s v="19.069365933913154"/>
    <s v="[0.031, 0.012]"/>
  </r>
  <r>
    <x v="4927"/>
    <x v="4189"/>
    <x v="0"/>
    <n v="0"/>
    <s v="LINESTRING (10.261640529641312 59.75402560492521, 10.261566325579482 59.7540045745273, 10.261540762525698 59.75396362412585)"/>
    <s v="[1788059, 1788067]"/>
    <s v="[1577219, 1577151]"/>
    <s v="#FIELD!"/>
    <s v="[1577178, 1577219]"/>
    <s v="[0.005, 0.011]"/>
    <s v="9.57189630237681"/>
    <s v="[-0.005, -0.011]"/>
  </r>
  <r>
    <x v="4928"/>
    <x v="5314"/>
    <x v="0"/>
    <n v="0"/>
    <s v="LINESTRING (9.66544044263613 59.09226420263526, 9.665487017898103 59.09230753608454, 9.665719381393819 59.093072643510624, 9.665696082873962 59.09311220554779)"/>
    <s v="[1813950, 1813942, 1813954]"/>
    <s v="[1596452, 1596453, 1577642]"/>
    <s v="#FIELD!"/>
    <s v="[1577652, 1596452, 1596453]"/>
    <s v="[0.066, 0.039, 0.017]"/>
    <s v="97.65834182060965"/>
    <s v="[-0.066, -0.039, -0.017]"/>
  </r>
  <r>
    <x v="4929"/>
    <x v="3166"/>
    <x v="476"/>
    <s v="[0, 0, 1, 0, 0, 0, 0, 0]"/>
    <s v="LINESTRING (9.66544044263613 59.09226420263526, 9.665109009681657 59.08519239969617, 9.665145612093417 59.08498769688774, 9.665179277512573 59.08480702628909, 9.665225868401242 59.084554995652624, 9.665227484653371 59.08454607229672, 9.665489133146702 59.0821681850099, 9.665330430478386 59.080513204723914, 9.664953944522372 59.07908766219698)"/>
    <s v="[1788537, 1788545, 1788553, 1788561, 1788569, 1788577, 1788585, 1788593]"/>
    <s v="[1577658, 1577664, 1577673, 1577680, 1577687, 1577695, 1577703, 1577710]"/>
    <s v="#FIELD!"/>
    <s v="[1577652, 1577658, 1577664, 1577673, 1577680, 1577687, 1577695, 1577703]"/>
    <s v="[0.004, 0.016, 0.015, 0.015, 0.0, 0.004, 0.008, 0.025]"/>
    <s v="1473.6527242502282"/>
    <s v="[0.004, -0.016, -0.015, -0.015, 0.0, -0.004, -0.008, -0.025]"/>
  </r>
  <r>
    <x v="4930"/>
    <x v="1671"/>
    <x v="0"/>
    <n v="0"/>
    <m/>
    <n v="2067811"/>
    <n v="1178154"/>
    <s v="0.118"/>
    <n v="1581675"/>
    <s v="0.118"/>
    <s v="75.82532444691564"/>
    <s v="0.118"/>
  </r>
  <r>
    <x v="4930"/>
    <x v="1671"/>
    <x v="0"/>
    <n v="0"/>
    <s v="LINESTRING (6.341779311163844 59.84684560066989, 6.341734290631559 59.84686709194641, 6.340760398591552 59.8464355804176, 6.340763279395865 59.846411405622966, 6.340764719795873 59.84639931822561)"/>
    <s v="[1793278, 1793286, 1793294, 1793302]"/>
    <s v="[1581676, 1581685, 1581693, 1178154]"/>
    <s v="0.09641154971131362"/>
    <s v="[1581675, 1581676, 1581685, 1581693]"/>
    <s v="[0.328, 0.101, 0.411, 0.274]"/>
    <s v="92.32800599595758"/>
    <s v="[-0.328, 0.101, 0.411, 0.274]"/>
  </r>
  <r>
    <x v="4930"/>
    <x v="5315"/>
    <x v="477"/>
    <s v="[0, 0, 0, 0, 0, 0, 0, 0, 0, 0, 0, 0, 0, 0, 0, 1, 0, 0, 1, 0, 0, 0, 0, 0, 0, 0, 0, 1, 1, 0, 1, 0, 0, 0, 0, 0, 0, 0, 0, 0, 0, 0, 0, 0, 0, 0, 1, 0, 0, 0, 0, 0, 0, 0, 0, 1, 0, 0, 0, 0, 0, 0, 0, 0, 0, 0, 0, 0, 0, 0, 0, 0, 0, 0, 0, 0, 0, 1, 0, 0, 0, 0, 1, 0, 0]"/>
    <s v="LINESTRING (6.573392492867886 59.924421378564226, 6.573270945041263 59.92429167344305, 6.561796430916599 59.9159642625527, 6.55507404155485 59.91405010965917, 6.553109963325376 59.913834912744065, 6.550907224172159 59.91196017106523, 6.550560160234764 59.91161626050743, 6.538078144610957 59.908780833145315, 6.537796609812187 59.90876101601111, 6.537069440282174 59.908703438580694, 6.530854844797706 59.9085214914406, 6.529474971382686 59.908562811620705, 6.529384022625342 59.90856372456998, 6.5178841601191495 59.907089125410394, 6.517362481377623 59.90727309554328, 6.515251332000409 59.90799922962305, 6.514500358066455 59.9082575320327, 6.509799508657571 59.9091557277642, 6.508506920210684 59.90914455045348, 6.5080653871403475 59.90911653645957, 6.506605158801686 59.90892936585328, 6.504328593149762 59.90834187684138, 6.503254180018098 59.90801934214786, 6.503166347969517 59.907992349357954, 6.50290718379265 59.90791151639857, 6.498173788042018 59.9057952028463, 6.495945274376191 59.90507103603976, 6.495307460047661 59.90495383405543, 6.495132829769296 59.90492560092618, 6.494961049529587 59.9048987265713, 6.4912350183526 59.904030525084636, 6.491023142856717 59.90394379247962, 6.49078264867685 59.90383753732995, 6.488231463561784 59.901971044506844, 6.487537883628887 59.90146663396271, 6.484484542303159 59.89907928412471, 6.483318157994635 59.898389646991006, 6.47968153851487 59.89634611154457, 6.47965890684241 59.89632098071923, 6.479638874131295 59.89629692206976, 6.4795827207578025 59.896227847242535, 6.479409386542505 59.89338259097508, 6.479740942744171 59.892542847448034, 6.443229614933394 59.88004584370256, 6.442279663373946 59.88005124545319, 6.431495893056327 59.880547283947365, 6.431272063092816 59.88052702168521, 6.430424200863829 59.8804242456242, 6.423833075649148 59.87681598664841, 6.422978815149777 59.87614743653866, 6.422076731733771 59.875663423953924, 6.422037800840501 59.87564524837274, 6.4219970039442345 59.87562803399407, 6.417933537087783 59.87456642569986, 6.409134234760079 59.874243999368765, 6.407238128155878 59.874722960936175, 6.406391040291932 59.87501451201807, 6.406196279168061 59.87505408897635, 6.4042233844523855 59.87488605463824, 6.399328853192942 59.874487363663974, 6.382325907603358 59.87358727269374, 6.381968880697601 59.873587195596535, 6.381127725808206 59.87356128623646, 6.381040271151805 59.873555630273934, 6.380935685356977 59.87354665065102, 6.380816398021643 59.8735336405342, 6.37890482971089 59.8729378997231, 6.378875777733138 59.87292753168133, 6.360934518783414 59.863346415995906, 6.360930158896144 59.863343996615825, 6.360725166417352 59.86320763116009, 6.358698055015818 59.86142094189917, 6.358440923240353 59.8610987749505, 6.358427475942636 59.86108083581959, 6.358044408167121 59.8601728030735, 6.358141996717298 59.85926192096292, 6.358219992939354 59.858955333068366, 6.357103255192996 59.85394470501343, 6.35695534338112 59.85383404994339, 6.35084203205611 59.85060171907023, 6.34855530574915 59.849640294567294, 6.342626464327631 59.847272554848765, 6.341997674581754 59.846960745286864, 6.341946265026142 59.846932233155684, 6.341862419090358 59.84688775459044, 6.341779311163844 59.84684560066989)"/>
    <s v="[2067427, 2008448, 2008456, 2008464, 2008472, 2008480, 2008488, 2008496, 2008504, 2008512, 1135293, 1135315, 1135335, 1135356, 1135381, 1135382, 1135389, 1135465, 1135466, 1135480, 1135488, 1135493, 1135501, 1135509, 1135522, 1135530, 1135546, 1135574, 1135575, 1135587, 1135595, 1135603, 1135613, 1135463, 1135464, 1341557, 1341619, 1341620, 1341595, 1341603, 1341611, 1341534, 1341537, 1341486, 1341487, 1341488, 1341493, 1341500, 1341505, 1341521, 1341529, 1341669, 1341682, 1341690, 2067555, 2067563, 2067571, 2067579, 2067587, 2067595, 2067603, 2067611, 2067619, 2067627, 2067635, 2067643, 2067651, 2067659, 2067667, 2067675, 2067683, 2067691, 2067699, 2067707, 2067723, 2067731, 2067739, 2067747, 2067755, 2067763, 2067771, 2067779, 2067787, 2067795, 2067803]"/>
    <s v="[1758031, 1730166, 1758038, 1720935, 1720916, 1758051, 1758056, 1722683, 1758062, 1072202, 1072203, 1072223, 1072241, 1072265, 1072282, 1072283, 1072291, 1072359, 1072360, 1072369, 1072379, 1072381, 1072392, 1072399, 1072409, 332498, 1072422, 1072439, 1072440, 1072449, 1072455, 1072319, 1072356, 1072357, 1072358, 1244384, 1244447, 1244459, 332585, 1244465, 1244423, 1244424, 1244386, 1244387, 1244388, 1244389, 1244393, 1244395, 1244401, 1244413, 1244419, 1244493, 1244500, 1244507, 1795842, 1795849, 332663, 1681883, 1795859, 1795864, 1795870, 1795877, 1795883, 1795887, 1795891, 1795896, 1795900, 1795908, 1795913, 1628662, 1634233, 1795931, 1795937, 1795945, 1634261, 1633012, 1795965, 1795969, 1795977, 1795984, 1795992, 1796000, 1796004, 1178161, 1581675]"/>
    <s v="#FIELD!"/>
    <s v="[1757294, 1758031, 1730166, 1758038, 1720935, 1720916, 1758051, 1758056, 1722683, 1758062, 1072202, 1072203, 1072223, 1072241, 1072265, 1072282, 1072283, 1072291, 1072359, 1072360, 1072369, 1072379, 1072381, 1072392, 1072399, 1072409, 332498, 1072422, 1072439, 1072440, 1072449, 1072455, 1072319, 1072356, 1072357, 1072358, 1244384, 1244447, 1244459, 332585, 1244465, 1244423, 1244424, 1244386, 1244387, 1244388, 1244389, 1244393, 1244395, 1244401, 1244413, 1244419, 1244493, 1244500, 1244507, 1795842, 1795849, 332663, 1681883, 1795859, 1795864, 1795870, 1795877, 1795883, 1795887, 1795891, 1795896, 1795900, 1795908, 1795913, 1628662, 1634233, 1795931, 1795937, 1795945, 1634261, 1633012, 1795965, 1795969, 1795977, 1795984, 1795992, 1796000, 1796004, 1178161]"/>
    <s v="[0.05, 0.005, 0.015, 0.039, 0.042, 0.27, 0.008, 0.038, 0.033, 0.036, 0.024, 0.023, 0.017, 0.115, 0.109, 0.06, 0.045, 0.01, 0.003, 0.028, 0.061, 0.118, 0.147, 0.144, 0.046, 0.061, 0.068, 0.062, 0.07, 0.069, 0.102, 0.102, 0.076, 0.047, 0.058, 0.1, 0.036, 0.089, 0.063, 0.075, 0.072, 0.104, 0.073, 0.119, 0.062, 0.256, 0.229, 0.058, 0.232, 0.219, 0.106, 0.235, 0.115, 0.031, 0.338, 0.119, 0.15, 0.095, 0.032, 0.158, 0.919, 0.902, 0.931, 0.844, 0.87, 0.495, 0.179, 0.064, 0.291, 0.094, 0.082, 0.076, 0.04, 0.031, 0.083, 0.067, 0.063, 0.275, 0.067, 0.067, 0.028, 0.209, 0.274, 0.181, 27.552]"/>
    <s v="18306.105885055145"/>
    <s v="[0.05, 0.005, -0.015, 0.039, 0.042, -0.27, -0.008, -0.038, -0.033, -0.036, 0.024, 0.023, 0.017, -0.115, -0.109, -0.06, 0.045, 0.01, 0.003, -0.028, -0.061, 0.118, 0.147, 0.144, 0.046, -0.061, -0.068, -0.062, -0.07, -0.069, -0.102, -0.102, -0.076, -0.047, 0.058, -0.1, -0.036, 0.089, 0.063, 0.075, 0.072, 0.104, -0.073, -0.119, -0.062, 0.256, 0.229, -0.058, -0.232, -0.219, -0.106, -0.235, 0.115, 0.031, -0.338, -0.119, -0.15, -0.095, 0.032, 0.158, -0.919, -0.902, -0.931, -0.844, -0.87, -0.495, -0.179, -0.064, 0.291, -0.094, -0.082, -0.076, -0.04, 0.031, 0.083, 0.067, 0.063, -0.275, -0.067, 0.067, 0.028, 0.209, 0.274, 0.181, 27.552]"/>
  </r>
  <r>
    <x v="4931"/>
    <x v="3432"/>
    <x v="0"/>
    <n v="0"/>
    <m/>
    <n v="2068556"/>
    <n v="1581732"/>
    <s v="#FIELD!"/>
    <n v="1581707"/>
    <s v="0.065"/>
    <s v="53.16478733133192"/>
    <s v="#FIELD!"/>
  </r>
  <r>
    <x v="4931"/>
    <x v="3432"/>
    <x v="0"/>
    <n v="0"/>
    <s v="LINESTRING (6.01884207952988 59.69076436856743, 6.018840496687792 59.69073315299958, 6.018000840654056 59.690575959288445, 6.01797349636417 59.69059085939157, 6.017959832982428 59.69059831004596)"/>
    <s v="[1793310, 1793318, 1793326, 1793334]"/>
    <s v="[1581708, 1581716, 1581723, 1581732]"/>
    <s v="#FIELD!"/>
    <s v="[1581707, 1581708, 1581716, 1581723]"/>
    <s v="[0.293, 0.053, 0.182, 0.325]"/>
    <s v="67.69855557990572"/>
    <s v="[-0.293, -0.053, 0.182, 0.325]"/>
  </r>
  <r>
    <x v="4932"/>
    <x v="5316"/>
    <x v="0"/>
    <n v="0"/>
    <m/>
    <n v="1794987"/>
    <n v="1583026"/>
    <s v="#FIELD!"/>
    <n v="1583025"/>
    <s v="0.008"/>
    <s v="16.129855117054383"/>
    <s v="#FIELD!"/>
  </r>
  <r>
    <x v="4932"/>
    <x v="5317"/>
    <x v="0"/>
    <n v="0"/>
    <s v="LINESTRING (11.377179424877616 59.56164816788128, 11.377263989657958 59.561586511583975, 11.37741547720863 59.56155969731433)"/>
    <s v="[1795035, 1795043]"/>
    <s v="[1583068, 1583025]"/>
    <s v="#FIELD!"/>
    <s v="[1583060, 1583068]"/>
    <s v="[0.007, 0.01]"/>
    <s v="17.441487773930206"/>
    <s v="[-0.007, -0.01]"/>
  </r>
  <r>
    <x v="4932"/>
    <x v="5318"/>
    <x v="0"/>
    <n v="0"/>
    <s v="LINESTRING (11.376988211739956 59.56139882958366, 11.377287523433383 59.56152415331195, 11.37741547720863 59.56155969731433)"/>
    <s v="[1795228, 1795236]"/>
    <s v="[1583229, 1583025]"/>
    <s v="#FIELD!"/>
    <s v="[1583217, 1583229]"/>
    <s v="[0.007, 0.008]"/>
    <s v="30.188598693701657"/>
    <s v="[-0.007, -0.008]"/>
  </r>
  <r>
    <x v="4933"/>
    <x v="5319"/>
    <x v="0"/>
    <n v="0"/>
    <s v="LINESTRING (11.377643749844447 59.56163577217686, 11.377648154990169 59.56172820727877, 11.377562113761762 59.56178712633539, 11.377418331453148 59.56181145764861, 11.377186227855889 59.56173311900949)"/>
    <s v="[1794995, 1795003, 1795011, 1795019]"/>
    <s v="[1583033, 1583041, 1583048, 1583052]"/>
    <s v="0.006509413444783461"/>
    <s v="[1583026, 1583033, 1583041, 1583048]"/>
    <s v="[0.0, 0.007, 0.011, 0.008]"/>
    <s v="43.52396223746316"/>
    <s v="[-0.0, 0.007, 0.011, 0.008]"/>
  </r>
  <r>
    <x v="4933"/>
    <x v="5320"/>
    <x v="0"/>
    <s v="[0, 0, 1, 0, 0, 0]"/>
    <s v="LINESTRING (11.382293220243193 59.55919787311983, 11.382167665434785 59.55926370166085, 11.381510201839168 59.55945368661977, 11.380407962631006 59.55976277151506, 11.377754416799652 59.561537266177126, 11.377687689365752 59.56158936757927, 11.377643749844447 59.56163577217686)"/>
    <s v="[1795908, 1796060, 1796068, 1796076, 1796084, 1796092]"/>
    <s v="[1583771, 1583904, 1583912, 1583918, 1583926, 1583026]"/>
    <s v="#FIELD!"/>
    <s v="[1583770, 1583771, 1583904, 1583912, 1583918, 1583926]"/>
    <s v="[0.021, 0.014, 0.002, 0.001, 0.005, 0.005]"/>
    <s v="393.21901861627083"/>
    <s v="[-0.021, -0.014, -0.002, 0.001, 0.005, 0.005]"/>
  </r>
  <r>
    <x v="4934"/>
    <x v="5317"/>
    <x v="0"/>
    <n v="0"/>
    <m/>
    <n v="1795027"/>
    <n v="1583060"/>
    <s v="#FIELD!"/>
    <n v="1583052"/>
    <s v="0.001"/>
    <s v="9.472850679411199"/>
    <s v="#FIELD!"/>
  </r>
  <r>
    <x v="4934"/>
    <x v="5321"/>
    <x v="0"/>
    <n v="0"/>
    <s v="LINESTRING (11.377186227855889 59.56173311900949, 11.3770948320277 59.56172259617806, 11.371113492196045 59.563519722453194, 11.370902073098115 59.56358806601548)"/>
    <s v="[1795932, 1795940, 1795876]"/>
    <s v="[1583799, 1583735, 1583736]"/>
    <s v="0.05330314160532397"/>
    <s v="[1583052, 1583799, 1583735]"/>
    <s v="[0.011, 0.054, 0.049]"/>
    <s v="428.67546342576406"/>
    <s v="[0.011, 0.054, 0.049]"/>
  </r>
  <r>
    <x v="4935"/>
    <x v="5318"/>
    <x v="0"/>
    <n v="0"/>
    <s v="LINESTRING (11.376988211739956 59.56139882958366, 11.377136662668278 59.561581366325804, 11.377179424877616 59.56164816788128)"/>
    <s v="[1795212, 1795220]"/>
    <s v="[1583218, 1583060]"/>
    <s v="#FIELD!"/>
    <s v="[1583217, 1583218]"/>
    <s v="0.002"/>
    <s v="29.82762955296983"/>
    <s v="#FIELD!"/>
  </r>
  <r>
    <x v="4936"/>
    <x v="5322"/>
    <x v="0"/>
    <n v="0"/>
    <m/>
    <n v="1795060"/>
    <n v="1583089"/>
    <s v="0.002"/>
    <n v="1583083"/>
    <s v="0.002"/>
    <s v="14.329084498744251"/>
    <s v="0.002"/>
  </r>
  <r>
    <x v="4936"/>
    <x v="5323"/>
    <x v="0"/>
    <s v="[0, 0, 0, 1, 0, 0]"/>
    <s v="LINESTRING (11.37557465943633 59.56022170008669, 11.375679130431195 59.56023131904977, 11.375805933860546 59.56023897711927, 11.380232243680696 59.55961139338994, 11.381345587946061 59.55929947132497, 11.381879141249184 59.55917284418989, 11.3821389099073 59.55914227915202)"/>
    <s v="[1796020, 1796028, 1796036, 1796044, 1796052, 1795900]"/>
    <s v="[1583870, 1583874, 1583881, 1583888, 1583761, 1583762]"/>
    <s v="#FIELD!"/>
    <s v="[1583083, 1583870, 1583874, 1583881, 1583888, 1583761]"/>
    <s v="[0.042, 0.041, 0.007, 0.003, 0.006, 0.023]"/>
    <s v="400.6880116786564"/>
    <s v="[-0.042, -0.041, -0.007, 0.003, 0.006, 0.023]"/>
  </r>
  <r>
    <x v="4936"/>
    <x v="5324"/>
    <x v="0"/>
    <n v="0"/>
    <s v="LINESTRING (11.375148663067124 59.56034714886064, 11.37518919310139 59.56022234162404, 11.375299972873963 59.560183705035485, 11.375443476952682 59.56018166023239, 11.37557465943633 59.56022170008669)"/>
    <s v="[1795092, 1795100, 1795108, 1795052]"/>
    <s v="[1583112, 1583120, 1583082, 1583083]"/>
    <s v="#FIELD!"/>
    <s v="[1583106, 1583112, 1583120, 1583082]"/>
    <s v="[0.02, 0.041, 0.04, 0.03]"/>
    <s v="38.961673500755815"/>
    <s v="[-0.02, -0.041, -0.04, -0.03]"/>
  </r>
  <r>
    <x v="4937"/>
    <x v="5325"/>
    <x v="0"/>
    <n v="0"/>
    <s v="LINESTRING (11.375614019164853 59.56034476663647, 11.375529027929602 59.56040380334987, 11.375393244816589 59.560427904633066)"/>
    <s v="[1795068, 1795076]"/>
    <s v="[1583094, 1583100]"/>
    <s v="0.04049428117362777"/>
    <s v="[1583089, 1583094]"/>
    <s v="[0.033, 0.048]"/>
    <s v="16.280222538188966"/>
    <s v="[0.033, 0.048]"/>
  </r>
  <r>
    <x v="4937"/>
    <x v="5326"/>
    <x v="0"/>
    <n v="0"/>
    <s v="LINESTRING (11.375614019164853 59.56034476663647, 11.375655560842505 59.560407561981066, 11.375829725325932 59.560606651044836)"/>
    <s v="[1795196, 1795204]"/>
    <s v="[1583209, 1583201]"/>
    <s v="#FIELD!"/>
    <s v="[1583089, 1583209]"/>
    <s v="[0.007, 0.011]"/>
    <s v="31.650156792944376"/>
    <s v="[-0.007, -0.011]"/>
  </r>
  <r>
    <x v="4938"/>
    <x v="5324"/>
    <x v="0"/>
    <n v="0"/>
    <m/>
    <n v="1795084"/>
    <n v="1583106"/>
    <s v="0.029"/>
    <n v="1583100"/>
    <s v="0.029"/>
    <s v="17.342007298415595"/>
    <s v="0.029"/>
  </r>
  <r>
    <x v="4938"/>
    <x v="5326"/>
    <x v="0"/>
    <n v="0"/>
    <s v="LINESTRING (11.375393244816589 59.560427904633066, 11.375497130933654 59.560460410541374, 11.375829725325932 59.560606651044836)"/>
    <s v="[1795180, 1795188]"/>
    <s v="[1583194, 1583201]"/>
    <s v="#FIELD!"/>
    <s v="[1583100, 1583194]"/>
    <s v="[0.036, 0.029]"/>
    <s v="31.78411970315547"/>
    <s v="[-0.036, -0.029]"/>
  </r>
  <r>
    <x v="4939"/>
    <x v="5327"/>
    <x v="0"/>
    <n v="0"/>
    <s v="LINESTRING (11.371788503704915 59.56298666535677, 11.371898139582777 59.562887083660115, 11.375095950422425 59.5603896420968, 11.375148663067124 59.56034714886064)"/>
    <s v="[1795884, 1795988, 1795996]"/>
    <s v="[1583744, 1583844, 1583106]"/>
    <s v="#FIELD!"/>
    <s v="[1583743, 1583744, 1583844]"/>
    <s v="[0.028, 0.048, 0.033]"/>
    <s v="362.41769329459254"/>
    <s v="[-0.028, -0.048, -0.033]"/>
  </r>
  <r>
    <x v="4940"/>
    <x v="5318"/>
    <x v="0"/>
    <s v="[0, 0, 1, 0, 0]"/>
    <s v="LINESTRING (11.375829725325932 59.560606651044836, 11.375926146347636 59.56067298962999, 11.376107053778595 59.5607962663175, 11.376689748344294 59.56119155241128, 11.376830956568142 59.561287777899615, 11.376988211739956 59.56139882958366)"/>
    <s v="[1795820, 1795828, 1795836, 1795844, 1795852]"/>
    <s v="[1583681, 1583688, 1583697, 1583705, 1583217]"/>
    <s v="#FIELD!"/>
    <s v="[1583201, 1583681, 1583688, 1583697, 1583705]"/>
    <s v="[0.025, 0.025, 0.013, 0.003, 0.004]"/>
    <s v="109.91698109251995"/>
    <s v="[-0.025, -0.025, -0.013, -0.003, -0.004]"/>
  </r>
  <r>
    <x v="4941"/>
    <x v="669"/>
    <x v="0"/>
    <n v="0"/>
    <s v="LINESTRING (11.331061380767888 59.57688342882672, 11.325918493178335 59.57689309395214, 11.325095390364623 59.57686649372628, 11.319108254233674 59.576517953985054, 11.317901917311476 59.57643877000694, 11.317693709297073 59.57642510657952)"/>
    <s v="[2053893, 2053901, 2053909, 2053917, 2053925]"/>
    <s v="[1786979, 1786986, 1786992, 1786997, 1583718]"/>
    <s v="#FIELD!"/>
    <s v="[1583790, 1786979, 1786986, 1786992, 1786997]"/>
    <s v="[0.03, 0.024, 0.044, 0.08, 0.082]"/>
    <s v="758.6971653668567"/>
    <s v="[0.03, -0.024, -0.044, -0.08, -0.082]"/>
  </r>
  <r>
    <x v="4942"/>
    <x v="5095"/>
    <x v="0"/>
    <n v="0"/>
    <s v="LINESTRING (11.331760786507699 59.57677468351834, 11.32594907408015 59.576808558763986, 11.325085074756581 59.57678049514293, 11.319228150905257 59.5764328771504)"/>
    <s v="[2053829, 2053837, 2053845]"/>
    <s v="[1786938, 1786940, 1583780]"/>
    <s v="#FIELD!"/>
    <s v="[1583727, 1786938, 1786940]"/>
    <s v="[0.031, 0.024, 0.043]"/>
    <s v="710.9681513920257"/>
    <s v="[0.031, -0.024, -0.043]"/>
  </r>
  <r>
    <x v="4942"/>
    <x v="5327"/>
    <x v="0"/>
    <s v="[0, 0, 0, 1, 0, 0]"/>
    <s v="LINESTRING (11.371788503704915 59.56298666535677, 11.371026714411004 59.56339250712955, 11.366983739181656 59.56583949913433, 11.355851087369789 59.571956811358035, 11.354413532526385 59.57251423222343, 11.344921518579257 59.57519971184183, 11.331760786507699 59.57677468351834)"/>
    <s v="[2053989, 2053997, 2053773, 2053781, 2053789, 2053821]"/>
    <s v="[1787044, 1786896, 1786897, 1786904, 1786910, 1583727]"/>
    <s v="0.009121254854944937"/>
    <s v="[1583743, 1787044, 1786896, 1786897, 1786904, 1786910]"/>
    <s v="[0.041, 0.019, 0.003, 0.026, 0.024, 0.027]"/>
    <s v="2833.5824079655713"/>
    <s v="[0.041, -0.019, -0.003, -0.026, 0.024, 0.027]"/>
  </r>
  <r>
    <x v="4943"/>
    <x v="669"/>
    <x v="0"/>
    <s v="[0, 0, 1, 0, 0, 0]"/>
    <s v="LINESTRING (11.370902073098115 59.56358806601548, 11.367114113094935 59.56589322350441, 11.355955652578318 59.572023634330584, 11.354514781027344 59.572582222344906, 11.344977183126273 59.57528090769723, 11.331707734286855 59.57686148403422, 11.331061380767888 59.57688342882672)"/>
    <s v="[2054085, 2053797, 2053805, 2053813, 2053877, 2053885]"/>
    <s v="[1786914, 1786915, 1786921, 1786928, 1786966, 1583790]"/>
    <s v="0.008190249434516688"/>
    <s v="[1583736, 1786914, 1786915, 1786921, 1786928, 1786966]"/>
    <s v="[0.02, 0.004, 0.026, 0.022, 0.027, 0.041]"/>
    <s v="2797.8017532028584"/>
    <s v="[-0.02, -0.004, -0.026, 0.022, 0.027, 0.041]"/>
  </r>
  <r>
    <x v="4943"/>
    <x v="5320"/>
    <x v="0"/>
    <s v="[0, 0, 1, 0, 0]"/>
    <s v="LINESTRING (11.382293220243193 59.55919787311983, 11.382209079572492 59.55921928422318, 11.3814684397573 59.55941379015899, 11.380362563871982 59.55972376277153, 11.371613022662176 59.56320040059938, 11.370902073098115 59.56358806601548)"/>
    <s v="[2054037, 2054045, 2054053, 2054069, 2054077]"/>
    <s v="[1787073, 1787079, 1787084, 1787093, 1583736]"/>
    <s v="0.027884842723320973"/>
    <s v="[1583770, 1787073, 1787079, 1787084, 1787093]"/>
    <s v="[0.023, 0.014, 0.003, 0.034, 0.038]"/>
    <s v="813.385588571782"/>
    <s v="[-0.023, -0.014, -0.003, 0.034, 0.038]"/>
  </r>
  <r>
    <x v="4944"/>
    <x v="5323"/>
    <x v="0"/>
    <s v="[0, 1, 0]"/>
    <s v="LINESTRING (11.3821389099073 59.55914227915202, 11.38138850551857 59.55933850094525, 11.380276788113568 59.55965010887858, 11.371788503704915 59.56298666535677)"/>
    <s v="[2053965, 2053973, 2053981]"/>
    <s v="[1787023, 1787031, 1583743]"/>
    <s v="0.02733902047224237"/>
    <s v="[1583762, 1787023, 1787031]"/>
    <s v="[0.012, 0.003, 0.034]"/>
    <s v="728.5525220467238"/>
    <s v="[-0.012, -0.003, 0.034]"/>
  </r>
  <r>
    <x v="4945"/>
    <x v="5208"/>
    <x v="0"/>
    <s v="[0, 0, 0, 1, 0, 0, 0, 0, 0, 0, 0, 0, 0, 1, 0]"/>
    <s v="LINESTRING (11.443043892274872 59.547800847145865, 11.440297603392905 59.54834264092219, 11.437088391125535 59.54906104099362, 11.428138350355367 59.552269423721725, 11.427407204678135 59.552545346432616, 11.427236019029154 59.55260827071769, 11.416520477137835 59.55526143903266, 11.413626186306091 59.5556260292035, 11.41321608161991 59.55566788451273, 11.410761294430014 59.55588441863189, 11.410484322009168 59.55590677440659, 11.408369149746228 59.55607614775811, 11.394354899627627 59.557197126675725, 11.3907718056486 59.557548515383566, 11.389812713361529 59.5576711692744, 11.3821389099073 59.55914227915202)"/>
    <s v="[2053669, 2053677, 2053685, 2053693, 2053701, 2053709, 2053717, 2053725, 2053733, 2053741, 2053757, 2053765, 2053941, 2053949, 2053957]"/>
    <s v="[1786816, 1786823, 1786830, 1786837, 1786843, 1786849, 1786855, 1786861, 1786868, 1786873, 1786884, 1786890, 1787011, 1787015, 1583762]"/>
    <s v="#FIELD!"/>
    <s v="[1786815, 1786816, 1786823, 1786830, 1786837, 1786843, 1786849, 1786855, 1786861, 1786868, 1786873, 1786884, 1786890, 1787011, 1787015]"/>
    <s v="[0.009, 0.017, 0.006, 0.011, 0.015, 0.022, 0.044, 0.016, 0.014, 0.018, 0.022, 0.063, 0.014, 0.013, 0.018]"/>
    <s v="3727.115457700185"/>
    <s v="[-0.009, -0.017, -0.006, 0.011, 0.015, 0.022, 0.044, 0.016, 0.014, 0.018, -0.022, -0.063, -0.014, 0.013, -0.018]"/>
  </r>
  <r>
    <x v="4946"/>
    <x v="5208"/>
    <x v="0"/>
    <s v="[0, 0, 0, 1, 0, 0, 0, 0, 0, 0, 0, 0, 0, 0, 0, 1, 0]"/>
    <s v="LINESTRING (11.443043892274872 59.547800847145865, 11.440348900643382 59.54839754503707, 11.437145189765454 59.54911410992714, 11.428210277711612 59.55231749894607, 11.427479093539805 59.552593780549905, 11.427311131908297 59.55265535488027, 11.416560822915343 59.55533047028125, 11.413655609371602 59.55569730560238, 11.413650865395653 59.55569778670652, 11.413253408408735 59.55573776888131, 11.410799755880324 59.55595524276643, 11.41052277572734 59.555977832120234, 11.410501571378852 59.55597956008816, 11.408406186818098 59.556149324493, 11.394382204807547 59.557281535902085, 11.390809812044827 59.55763180966952, 11.389854202040363 59.55775202524302, 11.382293220243193 59.55919787311983)"/>
    <s v="[2054348, 2054356, 2054364, 2054372, 2054380, 2054428, 2054436, 2054444, 2054452, 2054460, 2054468, 2054476, 2054484, 2054492, 2054013, 2054021, 2054029]"/>
    <s v="[1787270, 1787273, 1787279, 1787284, 1787288, 1787315, 1787318, 1787324, 1787329, 1787334, 1787338, 1787342, 1787345, 1787057, 1787058, 1787063, 1583770]"/>
    <s v="#FIELD!"/>
    <s v="[1786815, 1787270, 1787273, 1787279, 1787284, 1787288, 1787315, 1787318, 1787324, 1787329, 1787334, 1787338, 1787342, 1787345, 1787057, 1787058, 1787063]"/>
    <s v="[0.01, 0.017, 0.006, 0.011, 0.017, 0.022, 0.046, 0.004, 0.017, 0.015, 0.012, 0.001, 0.021, 0.064, 0.015, 0.012, 0.017]"/>
    <s v="3720.980456847036"/>
    <s v="[-0.01, -0.017, -0.006, 0.011, 0.017, 0.022, 0.046, -0.004, 0.017, 0.015, 0.012, -0.001, -0.021, -0.064, -0.015, 0.012, -0.017]"/>
  </r>
  <r>
    <x v="4947"/>
    <x v="4493"/>
    <x v="0"/>
    <n v="0"/>
    <s v="LINESTRING (7.487007441810646 58.033048766286555, 7.487134682804367 58.033025752228475, 7.487259207505971 58.03303656841087, 7.487371835715883 58.03308283395813, 7.487423210562441 58.033148726542144)"/>
    <s v="[1796813, 1796821, 1796829, 1796837]"/>
    <s v="[1584582, 1584583, 1584589, 1584597]"/>
    <s v="#FIELD!"/>
    <s v="[1584581, 1584582, 1584583, 1584589]"/>
    <s v="[0.008, 0.001, 0.008, 0.018]"/>
    <s v="31.818412764816912"/>
    <s v="[0.008, 0.001, -0.008, -0.018]"/>
  </r>
  <r>
    <x v="4947"/>
    <x v="4495"/>
    <x v="0"/>
    <n v="0"/>
    <s v="LINESTRING (7.486885678760319 58.033166686657665, 7.486918215613561 58.03310027384452, 7.487007441810646 58.033048766286555)"/>
    <s v="[1796893, 1796901]"/>
    <s v="[1584647, 1584581]"/>
    <s v="0.017980785371721097"/>
    <s v="[1584640, 1584647]"/>
    <s v="[0.02, 0.016]"/>
    <s v="15.464511832989071"/>
    <s v="[0.02, 0.016]"/>
  </r>
  <r>
    <x v="4948"/>
    <x v="4492"/>
    <x v="0"/>
    <n v="0"/>
    <s v="LINESTRING (7.487423210562441 58.033148726542144, 7.48740057978183 58.03322862066527, 7.487315470909488 58.03328397936938)"/>
    <s v="[1796845, 1796853]"/>
    <s v="[1584601, 1584608]"/>
    <s v="#FIELD!"/>
    <s v="[1584597, 1584601]"/>
    <s v="[0.02, 0.015]"/>
    <s v="16.988388727801244"/>
    <s v="[-0.02, -0.015]"/>
  </r>
  <r>
    <x v="4949"/>
    <x v="4495"/>
    <x v="0"/>
    <n v="0"/>
    <s v="LINESTRING (7.487315470909488 58.03328397936938, 7.4872740185646895 58.03329756846972, 7.487157124162796 58.03331181974165, 7.487043999185982 58.03329933577936, 7.486885678760319 58.033166686657665)"/>
    <s v="[1796861, 1796869, 1796877, 1796885]"/>
    <s v="[1584617, 1584626, 1584633, 1584640]"/>
    <s v="0.004800441573164184"/>
    <s v="[1584608, 1584617, 1584626, 1584633]"/>
    <s v="[0.018, 0.005, 0.0, 0.014]"/>
    <s v="35.10742101503422"/>
    <s v="[-0.018, -0.005, 0.0, 0.014]"/>
  </r>
  <r>
    <x v="4950"/>
    <x v="5328"/>
    <x v="0"/>
    <n v="0"/>
    <s v="LINESTRING (5.352389877923785 60.47635765922908, 5.352521215857516 60.4762663033681, 5.3526799536035155 60.47621792287796, 5.352862204631273 60.47620029415136, 5.3530457594405165 60.476215495119554)"/>
    <s v="[2156083, 2156091, 2156099, 2156107]"/>
    <s v="[1847338, 1847555, 1847345, 1847354]"/>
    <s v="0.06657231664119141"/>
    <s v="[1589663, 1847338, 1847555, 1847345]"/>
    <s v="[0.282, 0.001, 0.02, 0.044]"/>
    <s v="43.32199974624179"/>
    <s v="[0.282, 0.001, -0.02, -0.044]"/>
  </r>
  <r>
    <x v="4950"/>
    <x v="5329"/>
    <x v="0"/>
    <n v="0"/>
    <m/>
    <n v="2156179"/>
    <n v="1589663"/>
    <s v="#FIELD!"/>
    <n v="1847604"/>
    <s v="0.039"/>
    <s v="34.22203058269483"/>
    <s v="#FIELD!"/>
  </r>
  <r>
    <x v="4951"/>
    <x v="5330"/>
    <x v="0"/>
    <n v="0"/>
    <s v="LINESTRING (5.353542089062213 60.47726437180824, 5.351034203585754 60.47670325582026, 5.350770150388213 60.47670526644252)"/>
    <s v="[1803734, 1803742]"/>
    <s v="[1589766, 1589773]"/>
    <s v="#FIELD!"/>
    <s v="[1589759, 1589766]"/>
    <s v="[0.092, 0.106]"/>
    <s v="170.36427264324078"/>
    <s v="[-0.092, -0.106]"/>
  </r>
  <r>
    <x v="4951"/>
    <x v="5331"/>
    <x v="0"/>
    <n v="0"/>
    <s v="LINESTRING (5.353542089062213 60.47726437180824, 5.353417489527486 60.477189155014834, 5.352815507770696 60.47677299503657, 5.352721788965045 60.47670298071263)"/>
    <s v="[2156219, 2156227, 2156235]"/>
    <s v="[1847635, 1847642, 1847598]"/>
    <s v="#FIELD!"/>
    <s v="[1589759, 1847635, 1847642]"/>
    <s v="[0.848, 0.057, 0.06]"/>
    <s v="77.50722127090944"/>
    <s v="[-0.848, 0.057, 0.06]"/>
  </r>
  <r>
    <x v="4951"/>
    <x v="5332"/>
    <x v="478"/>
    <n v="0"/>
    <s v="LINESTRING (5.371495519580709 60.481908308958324, 5.371320792256029 60.481829170440896, 5.371092299828457 60.481719983331566, 5.369913275024972 60.481170318152884, 5.366078541678949 60.4801184753932, 5.365665631274438 60.48003929464795, 5.365629127513256 60.48003230077731, 5.356461997958082 60.47809921010752, 5.353542089062213 60.47726437180824)"/>
    <s v="[1803990, 1803672, 1803680, 1803688, 1803696, 1803700, 1803704, 1803725]"/>
    <s v="[1589705, 1589706, 1589711, 1589718, 1589726, 1589731, 1589737, 1589759]"/>
    <s v="0.0214196082352701"/>
    <s v="[1589889, 1589705, 1589706, 1589711, 1589718, 1589726, 1589731, 1589737]"/>
    <s v="[0.132, 0.091, 0.094, 0.115, 0.125, 0.141, 0.002, 0.094]"/>
    <s v="1123.9226059651608"/>
    <s v="[0.132, 0.091, 0.094, 0.115, 0.125, 0.141, -0.002, -0.094]"/>
  </r>
  <r>
    <x v="4952"/>
    <x v="4271"/>
    <x v="0"/>
    <n v="0"/>
    <s v="LINESTRING (5.350770150388213 60.47670526644252, 5.350554441981699 60.47671644217006, 5.348490678587647 60.47688865352079, 5.348291415310068 60.4769136721662)"/>
    <s v="[1803750, 1803751, 1803998]"/>
    <s v="[1589781, 1589782, 1590005]"/>
    <s v="#FIELD!"/>
    <s v="[1589773, 1589781, 1589782]"/>
    <s v="[0.109, 0.019, 0.009]"/>
    <s v="138.92221412118528"/>
    <s v="[-0.109, -0.019, -0.009]"/>
  </r>
  <r>
    <x v="4952"/>
    <x v="5329"/>
    <x v="0"/>
    <n v="0"/>
    <s v="LINESTRING (5.352507552215806 60.47664119042409, 5.352338633887485 60.47663829166421, 5.351144789332209 60.47666183521779, 5.3510145692032465 60.47667692947282, 5.350770150388213 60.47670526644252)"/>
    <s v="[2156363, 2156371, 2156379, 2156387]"/>
    <s v="[1847713, 1847718, 1847722, 1589773]"/>
    <s v="#FIELD!"/>
    <s v="[1847604, 1847713, 1847718, 1847722]"/>
    <s v="[0.029, 0.027, 0.01, 0.962]"/>
    <s v="96.56207546626064"/>
    <s v="[0.029, 0.027, 0.01, -0.962]"/>
  </r>
  <r>
    <x v="4953"/>
    <x v="804"/>
    <x v="479"/>
    <n v="0"/>
    <s v="LINESTRING (5.3560158604443115 60.477763808420185, 5.3560977137362284 60.477785557051845, 5.35646700093092 60.477883693330035, 5.366075103117699 60.47992740079508, 5.366120096037575 60.47993603550209, 5.366480122647215 60.48000508245035, 5.370566369310401 60.481326890548665, 5.371207515763841 60.48163602835936, 5.371462739468736 60.48175933740583, 5.37158369423464 60.481817454014184, 5.371688350983051 60.48186774407314, 5.371914778045725 60.48198280349853, 5.373024718073021 60.482516751280365, 5.374878888114525 60.48399651602452, 5.375062887299264 60.48419481301302, 5.375114401655424 60.484240750227, 5.375163768301895 60.484293685569355, 5.375906721261935 60.48514963205722, 5.375994763039742 60.48534803103942)"/>
    <s v="[1803796, 1803804, 1803812, 1803820, 1803828, 1803836, 1803844, 1803852, 2156395, 2156403, 2156411, 2156419, 2156427, 2156435, 2156443, 2156451, 2156459, 2156467]"/>
    <s v="[1589824, 1589831, 1589839, 1589850, 1589858, 1589866, 1589874, 1589882, 1847732, 1847704, 1847741, 1847746, 1847748, 1847528, 1847758, 1847538, 1847768, 1589985]"/>
    <s v="#FIELD!"/>
    <s v="[1589818, 1589824, 1589831, 1589839, 1589850, 1589858, 1589866, 1589874, 1589882, 1847732, 1847704, 1847741, 1847746, 1847748, 1847528, 1847758, 1847538, 1847768]"/>
    <s v="[0.095, 0.098, 0.004, 0.115, 0.126, 0.111, 0.092, 0.089, 0.519, 0.003, 0.003, 0.014, 0.025, 0.027, 0.031, 0.028, 0.031, 0.371]"/>
    <s v="1451.5391942890221"/>
    <s v="[0.095, 0.098, -0.004, -0.115, -0.126, -0.111, -0.092, -0.089, -0.519, 0.003, 0.003, -0.014, -0.025, -0.027, -0.031, -0.028, -0.031, 0.371]"/>
  </r>
  <r>
    <x v="4953"/>
    <x v="5333"/>
    <x v="0"/>
    <n v="0"/>
    <s v="LINESTRING (5.35315955566763 60.476669824135456, 5.353173687293502 60.47673708512341, 5.355745410326201 60.47765844816297, 5.3560158604443115 60.477763808420185)"/>
    <s v="[2156307, 2156315, 2156323]"/>
    <s v="[1847689, 1847696, 1589818]"/>
    <s v="0.10026932415388491"/>
    <s v="[1847592, 1847689, 1847696]"/>
    <s v="[0.055, 0.045, 1.541]"/>
    <s v="206.97134968585794"/>
    <s v="[-0.055, -0.045, 1.541]"/>
  </r>
  <r>
    <x v="4954"/>
    <x v="5334"/>
    <x v="0"/>
    <n v="0"/>
    <s v="LINESTRING (5.371495519580709 60.481908308958324, 5.371495519580709 60.481908308958324, 5.371558120067494 60.48193780684741, 5.371599684506145 60.481956935148624, 5.371785704664654 60.482046791184324, 5.372885602858234 60.48256823199917, 5.372889567441953 60.482570112714455)"/>
    <s v="[1803860, 1803868, 1803876, 1803884, 1803892, 1803900]"/>
    <s v="[1589890, 1589896, 1589903, 1589911, 1589916, 1589925]"/>
    <s v="#FIELD!"/>
    <s v="[1589889, 1589890, 1589896, 1589903, 1589911, 1589916]"/>
    <s v="[0.0, 0.087, 0.088, 0.091, 0.032, 0.0]"/>
    <s v="110.37340698020608"/>
    <s v="[0.0, -0.087, -0.088, -0.091, -0.032, 0.0]"/>
  </r>
  <r>
    <x v="4955"/>
    <x v="804"/>
    <x v="0"/>
    <n v="0"/>
    <s v="LINESTRING (5.372889567441953 60.482570112714455, 5.374716730789879 60.48401024042926, 5.374723645691805 60.48401721117666, 5.374946489801947 60.48422425275802, 5.3749905858935785 60.48426655640811, 5.374994242482553 60.48427014220154, 5.375053371993466 60.484328247743285, 5.375788829648689 60.48515672235918, 5.375793986746533 60.48516221733101, 5.375994763039742 60.48534803103942)"/>
    <s v="[1803908, 1803916, 1803924, 1803932, 1803940, 1803950, 1803958, 1803966, 1803974]"/>
    <s v="[1589931, 1589939, 1589946, 1589953, 1589960, 1589968, 1589973, 1589981, 1589985]"/>
    <s v="#FIELD!"/>
    <s v="[1589925, 1589931, 1589939, 1589946, 1589953, 1589960, 1589968, 1589973, 1589981]"/>
    <s v="[0.003, 0.02, 0.006, 0.011, 0.0, 0.009, 0.013, 0.0, 0.016]"/>
    <s v="356.71939779253415"/>
    <s v="[0.003, -0.02, -0.006, -0.011, 0.0, -0.009, -0.013, 0.0, -0.016]"/>
  </r>
  <r>
    <x v="4955"/>
    <x v="5335"/>
    <x v="0"/>
    <n v="0"/>
    <s v="LINESTRING (5.372889567441953 60.482570112714455, 5.3727822759362445 60.48254479502986, 5.3712996306442005 60.482034144211354)"/>
    <s v="[2156475, 2156483]"/>
    <s v="[1847775, 1847506]"/>
    <s v="0.001546785235323979"/>
    <s v="[1589925, 1847775]"/>
    <s v="[0.068, 0.006]"/>
    <s v="108.99104818910641"/>
    <s v="[-0.068, 0.006]"/>
  </r>
  <r>
    <x v="4956"/>
    <x v="2398"/>
    <x v="0"/>
    <n v="0"/>
    <s v="LINESTRING (10.476701884370826 63.42696485013516, 10.476512594388614 63.427076046849635, 10.476331371032572 63.427104147149976, 10.476120577119243 63.42709083883885, 10.475853040844205 63.426934689648576, 10.475861681379872 63.42686652866382, 10.475920570664258 63.42680264902121, 10.475968359778436 63.42677574152592)"/>
    <s v="[2154568, 2154576, 2154584, 2154512, 2154520, 2154528, 2154536]"/>
    <s v="[1846632, 1846637, 1846600, 558682, 1846604, 580394, 1797143]"/>
    <s v="0.005105506091285866"/>
    <s v="[1592206, 1846632, 1846637, 1846600, 558682, 1846604, 580394]"/>
    <s v="[0.028, 0.011, 0.002, 0.02, 0.026, 0.031, 0.02]"/>
    <s v="78.0070681250102"/>
    <s v="[-0.028, -0.011, -0.002, 0.02, 0.026, 0.031, 0.02]"/>
  </r>
  <r>
    <x v="4957"/>
    <x v="5336"/>
    <x v="0"/>
    <n v="0"/>
    <s v="LINESTRING (11.0502284585341 60.84122025770384, 11.050164904968526 60.84121596049165, 11.050125882733774 60.841206631923065)"/>
    <s v="[1808305, 1808306]"/>
    <s v="[1593027, 1593028]"/>
    <s v="0.0356340674937054"/>
    <s v="[1593026, 1593027]"/>
    <s v="[0.032, 0.041]"/>
    <s v="5.852692470744698"/>
    <s v="[0.032, 0.041]"/>
  </r>
  <r>
    <x v="4957"/>
    <x v="5337"/>
    <x v="0"/>
    <n v="0"/>
    <s v="LINESTRING (11.0502284585341 60.84122025770384, 11.050207532984027 60.84125633649524, 11.050117855262666 60.84135001857347)"/>
    <s v="[1808513, 1808521]"/>
    <s v="[1593169, 1593176]"/>
    <s v="#FIELD!"/>
    <s v="[1593026, 1593169]"/>
    <s v="[0.038, 0.024]"/>
    <s v="16.120903239358775"/>
    <s v="[-0.038, -0.024]"/>
  </r>
  <r>
    <x v="4958"/>
    <x v="1123"/>
    <x v="0"/>
    <n v="0"/>
    <m/>
    <n v="1808307"/>
    <n v="1593029"/>
    <s v="0.053"/>
    <n v="1593028"/>
    <s v="0.053"/>
    <s v="14.376052551078537"/>
    <s v="0.053"/>
  </r>
  <r>
    <x v="4958"/>
    <x v="5337"/>
    <x v="0"/>
    <n v="0"/>
    <s v="LINESTRING (11.050125882733774 60.841206631923065, 11.050108909422937 60.84124754640887, 11.050117855262666 60.84135001857347)"/>
    <s v="[1808529, 1808537]"/>
    <s v="[1593183, 1593176]"/>
    <s v="#FIELD!"/>
    <s v="[1593028, 1593183]"/>
    <s v="[0.035, 0.042]"/>
    <s v="16.449184604210128"/>
    <s v="[-0.035, -0.042]"/>
  </r>
  <r>
    <x v="4959"/>
    <x v="5338"/>
    <x v="0"/>
    <s v="[0, 1, 1, 1, 0]"/>
    <s v="LINESTRING (11.050117855262666 60.84135001857347, 11.050074769113767 60.841486134977416, 11.049990775913344 60.841733567338224, 11.049509356217174 60.8422917521203, 11.049423795859497 60.84235699582098, 11.049388476663468 60.84238447059054)"/>
    <s v="[1808606, 1808607, 212551, 2096761, 2096765]"/>
    <s v="[1593247, 221059, 221060, 1813583, 1813584]"/>
    <s v="#FIELD!"/>
    <s v="[1593176, 1593247, 221059, 221060, 1813583]"/>
    <s v="[0.039, 0.057, 0.015, 0.021, 0.026]"/>
    <s v="123.40115374174538"/>
    <s v="[-0.039, -0.057, -0.015, -0.021, 0.026]"/>
  </r>
  <r>
    <x v="4960"/>
    <x v="177"/>
    <x v="0"/>
    <n v="0"/>
    <s v="LINESTRING (11.674564717724733 60.256228381404995, 11.674560031271698 60.256293425760695, 11.674593258136133 60.25646382696548)"/>
    <s v="[1814409, 1814418]"/>
    <s v="[1596698, 1596703]"/>
    <s v="#FIELD!"/>
    <s v="[1596697, 1596698]"/>
    <s v="0.001"/>
    <s v="26.326511889451442"/>
    <s v="[0.001, -0.001]"/>
  </r>
  <r>
    <x v="4960"/>
    <x v="5339"/>
    <x v="0"/>
    <n v="0"/>
    <s v="LINESTRING (11.674564717724733 60.256228381404995, 11.674446435264464 60.256274842222425, 11.674305426067823 60.25627975421057)"/>
    <s v="[1814690, 1814698]"/>
    <s v="[1596846, 1596708]"/>
    <s v="0.01990331056734637"/>
    <s v="[1596697, 1596846]"/>
    <s v="[0.017, 0.023]"/>
    <s v="16.174611014135973"/>
    <s v="[0.017, 0.023]"/>
  </r>
  <r>
    <x v="4960"/>
    <x v="5340"/>
    <x v="0"/>
    <n v="0"/>
    <s v="LINESTRING (11.674399922057596 60.256038316926826, 11.674477609169255 60.25605149794334, 11.674577071306405 60.2561013509726, 11.674604203775719 60.256177878121, 11.674564717724733 60.256228381404995)"/>
    <s v="[1814658, 1814666, 1814674, 1814682]"/>
    <s v="[1596758, 1596833, 1596768, 1596697]"/>
    <s v="#FIELD!"/>
    <s v="[1596725, 1596758, 1596833, 1596768]"/>
    <s v="[0.022, 0.015, 0.002, 0.009]"/>
    <s v="27.061762086280268"/>
    <s v="[-0.022, -0.015, -0.002, 0.009]"/>
  </r>
  <r>
    <x v="4961"/>
    <x v="5339"/>
    <x v="0"/>
    <n v="0"/>
    <s v="LINESTRING (11.674305426067823 60.25627975421057, 11.67438635681009 60.256321908524995, 11.674593258136133 60.25646382696548)"/>
    <s v="[1814426, 1814434]"/>
    <s v="[1596709, 1596703]"/>
    <s v="#FIELD!"/>
    <s v="[1596708, 1596709]"/>
    <s v="[0.015, 0.012]"/>
    <s v="26.017473881958182"/>
    <s v="[-0.015, -0.012]"/>
  </r>
  <r>
    <x v="4962"/>
    <x v="5341"/>
    <x v="0"/>
    <n v="0"/>
    <s v="LINESTRING (11.674305426067823 60.25627975421057, 11.674191262330996 60.256250021814125, 11.674123847140864 60.25619800647001, 11.67411687918469 60.25613483566075, 11.674172081733918 60.25607915488036)"/>
    <s v="[1814706, 1814714, 1814722, 1814730]"/>
    <s v="[1596855, 1596858, 1596866, 1596734]"/>
    <s v="0.005334270578822939"/>
    <s v="[1596708, 1596855, 1596858, 1596866]"/>
    <s v="[0.021, 0.012, 0.002, 0.01]"/>
    <s v="27.99494614621525"/>
    <s v="[0.021, 0.012, -0.002, -0.01]"/>
  </r>
  <r>
    <x v="4963"/>
    <x v="5340"/>
    <x v="0"/>
    <n v="0"/>
    <s v="LINESTRING (11.674117741781517 60.25584315212306, 11.67433663490429 60.255999256029305, 11.674399922057596 60.256038316926826)"/>
    <s v="[1814442, 1814450]"/>
    <s v="[1596720, 1596725]"/>
    <s v="#FIELD!"/>
    <s v="[1596719, 1596720]"/>
    <s v="0.012"/>
    <s v="26.786623585677948"/>
    <s v="#FIELD!"/>
  </r>
  <r>
    <x v="4963"/>
    <x v="5341"/>
    <x v="0"/>
    <n v="0"/>
    <s v="LINESTRING (11.674117741781517 60.25584315212306, 11.67416532549438 60.25602600944585, 11.674172081733918 60.25607915488036)"/>
    <s v="[1814458, 1814466]"/>
    <s v="[1596730, 1596734]"/>
    <s v="#FIELD!"/>
    <s v="[1596719, 1596730]"/>
    <s v="[0.002, 0.001]"/>
    <s v="26.476479001864362"/>
    <s v="[-0.002, 0.001]"/>
  </r>
  <r>
    <x v="4964"/>
    <x v="5341"/>
    <x v="0"/>
    <n v="0"/>
    <s v="LINESTRING (11.674172081733918 60.25607915488036, 11.674271250660263 60.25604461658915, 11.674399922057596 60.256038316926826)"/>
    <s v="[1814738, 1814746]"/>
    <s v="[1596873, 1596725]"/>
    <s v="#FIELD!"/>
    <s v="[1596734, 1596873]"/>
    <s v="[0.02, 0.023]"/>
    <s v="13.864020523286463"/>
    <s v="[-0.02, -0.023]"/>
  </r>
  <r>
    <x v="4965"/>
    <x v="2506"/>
    <x v="0"/>
    <n v="0"/>
    <m/>
    <n v="1820410"/>
    <n v="1600416"/>
    <s v="#FIELD!"/>
    <n v="1600436"/>
    <s v="0.034"/>
    <s v="6.218199096422286"/>
    <s v="#FIELD!"/>
  </r>
  <r>
    <x v="4966"/>
    <x v="2506"/>
    <x v="0"/>
    <n v="0"/>
    <s v="LINESTRING (11.00555801809151 59.6192928164308, 11.005681129376597 59.61926933246803, 11.005832246479203 59.61928194568338)"/>
    <s v="[1820394, 1820402]"/>
    <s v="[1600431, 1600436]"/>
    <s v="0.004241128666791875"/>
    <s v="[1600423, 1600431]"/>
    <s v="[0.015, 0.005]"/>
    <s v="16.07218714753455"/>
    <s v="[0.015, -0.005]"/>
  </r>
  <r>
    <x v="4967"/>
    <x v="5342"/>
    <x v="0"/>
    <s v="[0, 1, 1, 1, 0]"/>
    <s v="LINESTRING (5.2683372030530515 60.54233353963284, 5.269911210894947 60.54259930348414, 5.273203844665679 60.54332147468396, 5.280325530299108 60.54485087538404, 5.280344861672816 60.544855271782126, 5.280676347154748 60.54492963157131)"/>
    <s v="[2000116, 2000117, 2000124, 2000132, 2000140]"/>
    <s v="[1753345, 1753346, 1753349, 1753353, 1752930]"/>
    <s v="0.0029166430559822475"/>
    <s v="[1602247, 1753345, 1753346, 1753349, 1753353]"/>
    <s v="[0.105, 0.206, 0.076, 0.027, 0.043]"/>
    <s v="739.077634246817"/>
    <s v="[0.105, -0.206, 0.076, 0.027, 0.043]"/>
  </r>
  <r>
    <x v="4968"/>
    <x v="1724"/>
    <x v="0"/>
    <n v="0"/>
    <s v="LINESTRING (11.271683920472158 59.127996175486686, 11.271857024920314 59.12801443863131, 11.272008346317097 59.1280683209295, 11.272115234675354 59.1281978757178, 11.272122724676304 59.12826405586126, 11.272099207618293 59.128332167348375, 11.271995816863456 59.12841880232071, 11.271882876854974 59.12845930733331, 11.271739958893397 59.128483119918926, 11.271608230610935 59.12848574222144, 11.271469255192686 59.128475570742296)"/>
    <s v="[1823495, 1823496, 1823497, 1823505, 1823511, 1823512, 1823513, 1823514, 1823530, 1823531]"/>
    <s v="[1602637, 1602684, 1602685, 1602692, 1602697, 1602698, 1602699, 1602700, 1602714, 1602649]"/>
    <s v="0.0027702105090186475"/>
    <s v="[1602638, 1602637, 1602684, 1602685, 1602692, 1602697, 1602698, 1602699, 1602700, 1602714]"/>
    <s v="[0.06, 0.04, 0.009, 0.006, 0.005, 0.002, 0.04, 0.05, 0.052, 0.052]"/>
    <s v="95.39607104128318"/>
    <s v="[-0.06, -0.04, -0.009, -0.006, -0.005, -0.002, 0.04, 0.05, 0.052, 0.052]"/>
  </r>
  <r>
    <x v="4968"/>
    <x v="1722"/>
    <x v="0"/>
    <n v="0"/>
    <m/>
    <n v="1823540"/>
    <n v="1602638"/>
    <s v="#FIELD!"/>
    <n v="1602641"/>
    <s v="0.021"/>
    <s v="52.06580497693691"/>
    <s v="#FIELD!"/>
  </r>
  <r>
    <x v="4969"/>
    <x v="5343"/>
    <x v="0"/>
    <n v="0"/>
    <m/>
    <n v="1827657"/>
    <n v="1605391"/>
    <s v="0.015"/>
    <n v="1605390"/>
    <s v="0.015"/>
    <s v="10.730061416366405"/>
    <s v="0.015"/>
  </r>
  <r>
    <x v="4969"/>
    <x v="5344"/>
    <x v="0"/>
    <n v="0"/>
    <m/>
    <n v="1827702"/>
    <n v="1605390"/>
    <s v="#FIELD!"/>
    <n v="1605420"/>
    <s v="0.007"/>
    <s v="15.831197177541606"/>
    <s v="#FIELD!"/>
  </r>
  <r>
    <x v="4969"/>
    <x v="5345"/>
    <x v="0"/>
    <s v="[0, 0, 1, 0, 0]"/>
    <s v="LINESTRING (9.698971389579533 59.66451481491128, 9.699419431983904 59.66463693719794, 9.70114268921362 59.665265733417684, 9.701816510433853 59.66552842434558, 9.702868316949022 59.66479479054934, 9.702797865410664 59.664784442411175)"/>
    <s v="[1828121, 1827814, 1827822, 1827830, 1827838]"/>
    <s v="[1605523, 1605524, 1605530, 1605538, 1605390]"/>
    <s v="#FIELD!"/>
    <s v="[1605730, 1605523, 1605524, 1605530, 1605538]"/>
    <s v="[0.049, 0.051, 0.029, 0.002, 0.024]"/>
    <s v="420.784464663416"/>
    <s v="[-0.049, -0.051, -0.029, 0.002, 0.024]"/>
  </r>
  <r>
    <x v="4970"/>
    <x v="5346"/>
    <x v="0"/>
    <n v="0"/>
    <s v="LINESTRING (9.702610124330604 59.6647999947994, 9.702473264195662 59.66477015732531, 9.702382268089574 59.664711131485234)"/>
    <s v="[1827668, 1827676]"/>
    <s v="[1605399, 1605405]"/>
    <s v="0.027498203371199296"/>
    <s v="[1605391, 1605399]"/>
    <s v="[0.027, 0.028]"/>
    <s v="16.75071160340413"/>
    <s v="[0.027, 0.028]"/>
  </r>
  <r>
    <x v="4970"/>
    <x v="5347"/>
    <x v="0"/>
    <n v="0"/>
    <s v="LINESTRING (9.702193894025369 59.664952972904, 9.702529710784901 59.664828675113895, 9.702610124330604 59.6647999947994)"/>
    <s v="[1835105, 1835113]"/>
    <s v="[1610116, 1605391]"/>
    <s v="#FIELD!"/>
    <s v="[1605734, 1610116]"/>
    <s v="[0.005, 0.004]"/>
    <s v="29.15599145669854"/>
    <s v="[-0.005, -0.004]"/>
  </r>
  <r>
    <x v="4971"/>
    <x v="5344"/>
    <x v="0"/>
    <n v="0"/>
    <s v="LINESTRING (9.702382268089574 59.664711131485234, 9.702839097315623 59.664530848035696, 9.702952878169238 59.664670613695705)"/>
    <s v="[1827686, 1827694]"/>
    <s v="[1605414, 1605420]"/>
    <s v="#FIELD!"/>
    <s v="[1605405, 1605414]"/>
    <s v="[0.001, 0.026]"/>
    <s v="61.4272512653778"/>
    <s v="[-0.001, -0.026]"/>
  </r>
  <r>
    <x v="4971"/>
    <x v="5347"/>
    <x v="0"/>
    <n v="0"/>
    <s v="LINESTRING (9.702193894025369 59.664952972904, 9.70235365472359 59.66475349025909, 9.702382268089574 59.664711131485234)"/>
    <s v="[1835121, 1835129]"/>
    <s v="[1610126, 1605405]"/>
    <s v="0.011"/>
    <s v="[1605734, 1610126]"/>
    <s v="0.011"/>
    <s v="28.98567144714299"/>
    <s v="0.011"/>
  </r>
  <r>
    <x v="4972"/>
    <x v="5348"/>
    <x v="0"/>
    <n v="0"/>
    <s v="LINESTRING (9.702952878169238 59.664670613695705, 9.702996628725312 59.6647010005216, 9.708959657970732 59.667999628829826, 9.709374039623535 59.668153585343674)"/>
    <s v="[1827846, 1827854, 1828081]"/>
    <s v="[1605547, 1605553, 1605707]"/>
    <s v="#FIELD!"/>
    <s v="[1605420, 1605547, 1605553]"/>
    <s v="[0.03, 0.018, 0.001]"/>
    <s v="563.489593913563"/>
    <s v="[-0.03, -0.018, -0.001]"/>
  </r>
  <r>
    <x v="4973"/>
    <x v="5348"/>
    <x v="0"/>
    <s v="[0, 0, 0, 1, 0, 0]"/>
    <s v="LINESTRING (9.733020055354947 59.67293706987333, 9.732631175096317 59.672749710421066, 9.729968883143902 59.67202275836486, 9.71904365805526 59.67026104568305, 9.717123468896528 59.66993203015563, 9.71296078475882 59.66907126297591, 9.709374039623535 59.668153585343674)"/>
    <s v="[1828197, 1828205, 1828213, 1828221, 1828229, 1828237]"/>
    <s v="[1605774, 1605779, 1605785, 1605790, 1605794, 1605707]"/>
    <s v="0.01961904809703905"/>
    <s v="[1605433, 1605774, 1605779, 1605785, 1605790, 1605794]"/>
    <s v="[0.051, 0.081, 0.026, 0.043, 0.003, 0.001]"/>
    <s v="1443.446408198176"/>
    <s v="[0.051, 0.081, 0.026, -0.043, 0.003, 0.001]"/>
  </r>
  <r>
    <x v="4973"/>
    <x v="5349"/>
    <x v="0"/>
    <s v="[0, 0, 0, 1, 0, 0, 0, 0, 0]"/>
    <s v="LINESTRING (9.733020055354947 59.67293706987333, 9.732567062717937 59.672792769732155, 9.72992812089021 59.67207376654719, 9.718989782016259 59.6703466067497, 9.717063352038561 59.67001652872546, 9.712784942956436 59.66912918149981, 9.711890453766031 59.66891510745009, 9.709323970941991 59.668242158483515, 9.707730015187455 59.66777762309454, 9.70710546844124 59.667585374556914)"/>
    <s v="[1828293, 1828301, 1828309, 1828317, 1828325, 1828333, 1828341, 1828349, 1828357]"/>
    <s v="[1605833, 1605837, 1605842, 1605848, 1605854, 1605858, 1605865, 1605870, 1605702]"/>
    <s v="0.018025334175700534"/>
    <s v="[1605433, 1605833, 1605837, 1605842, 1605848, 1605854, 1605858, 1605865, 1605870]"/>
    <s v="[0.059, 0.079, 0.025, 0.041, 0.004, 0.013, 0.008, 0.003, 0.0]"/>
    <s v="1585.7143894131011"/>
    <s v="[0.059, 0.079, 0.025, -0.041, 0.004, -0.013, 0.008, 0.003, -0.0]"/>
  </r>
  <r>
    <x v="4974"/>
    <x v="5350"/>
    <x v="0"/>
    <n v="0"/>
    <s v="LINESTRING (9.700345121695925 59.66640865200549, 9.700183949306735 59.66645395595106, 9.700093528130681 59.666456592461074, 9.700003646182127 59.66644458297726, 9.69984696738817 59.6662477352926, 9.699929293578993 59.66619059928266, 9.700060558999834 59.6661580321467, 9.700188398324096 59.666158351094055)"/>
    <s v="[1828469, 1828477, 1828485, 1828493, 1828501, 1828509, 1828517]"/>
    <s v="[1605720, 1605942, 1605711, 1605914, 1605954, 1605930, 1605662]"/>
    <s v="0.014617195605668622"/>
    <s v="[1605483, 1605720, 1605942, 1605711, 1605914, 1605954, 1605930]"/>
    <s v="[0.072, 0.081, 0.085, 0.033, 0.039, 0.067, 0.081]"/>
    <s v="70.2113545298353"/>
    <s v="[0.072, 0.081, 0.085, 0.033, -0.039, -0.067, -0.081]"/>
  </r>
  <r>
    <x v="4974"/>
    <x v="5351"/>
    <x v="0"/>
    <n v="0"/>
    <m/>
    <n v="1828549"/>
    <n v="1605483"/>
    <s v="0.01"/>
    <n v="1605487"/>
    <s v="0.01"/>
    <s v="15.292742685933092"/>
    <s v="0.01"/>
  </r>
  <r>
    <x v="4974"/>
    <x v="5349"/>
    <x v="0"/>
    <n v="0"/>
    <s v="LINESTRING (9.70710546844124 59.667585374556914, 9.706637002880168 59.66747456632901, 9.700422433333523 59.66640736506274, 9.700345121695925 59.66640865200549)"/>
    <s v="[1828073, 1827756, 1827767]"/>
    <s v="[1605472, 1605473, 1605483]"/>
    <s v="0.0265470869745401"/>
    <s v="[1605702, 1605472, 1605473]"/>
    <s v="[0.0, 0.028, 0.075]"/>
    <s v="420.9425720949457"/>
    <s v="[0.0, 0.028, 0.075]"/>
  </r>
  <r>
    <x v="4975"/>
    <x v="4387"/>
    <x v="0"/>
    <s v="[0, 0, 1, 0, 0]"/>
    <s v="LINESTRING (9.700418880599376 59.66627998951855, 9.700477576816485 59.666303603661405, 9.701592820478016 59.66567414256724, 9.700921507749541 59.6654124519749, 9.698088844227955 59.66439306380532, 9.697695766241036 59.66422669519042)"/>
    <s v="[1827775, 1827789, 1827797, 1827806, 1828189]"/>
    <s v="[1605488, 1605500, 1605509, 1605517, 1605767]"/>
    <s v="0.0217535176207174"/>
    <s v="[1605487, 1605488, 1605500, 1605509, 1605517]"/>
    <s v="[0.071, 0.009, 0.03, 0.052, 0.034]"/>
    <s v="481.62489493914114"/>
    <s v="[-0.071, -0.009, 0.03, 0.052, 0.034]"/>
  </r>
  <r>
    <x v="4975"/>
    <x v="5352"/>
    <x v="0"/>
    <n v="0"/>
    <m/>
    <n v="1828541"/>
    <n v="1605487"/>
    <s v="#FIELD!"/>
    <n v="1605683"/>
    <s v="0.037"/>
    <s v="5.106515446349048"/>
    <s v="#FIELD!"/>
  </r>
  <r>
    <x v="4976"/>
    <x v="5353"/>
    <x v="0"/>
    <n v="0"/>
    <s v="LINESTRING (9.700188398324096 59.666158351094055, 9.700260123109208 59.666133468517934, 9.70036832693949 59.66609589960304, 9.70057956896406 59.66600754028494)"/>
    <s v="[1828025, 1828033, 1828041]"/>
    <s v="[1605663, 1605672, 1605677]"/>
    <s v="#FIELD!"/>
    <s v="[1605662, 1605663, 1605672]"/>
    <s v="[0.057, 0.061, 0.052]"/>
    <s v="27.76576071597851"/>
    <s v="[-0.057, -0.061, -0.052]"/>
  </r>
  <r>
    <x v="4976"/>
    <x v="5352"/>
    <x v="0"/>
    <n v="0"/>
    <s v="LINESTRING (9.700188398324096 59.666158351094055, 9.700305799522795 59.66618641284712, 9.700389815590492 59.666236608706406)"/>
    <s v="[1828525, 1828533]"/>
    <s v="[1605969, 1605683]"/>
    <s v="#FIELD!"/>
    <s v="[1605662, 1605969]"/>
    <s v="[0.078, 0.058]"/>
    <s v="14.656019615065617"/>
    <s v="[-0.078, -0.058]"/>
  </r>
  <r>
    <x v="4977"/>
    <x v="5347"/>
    <x v="0"/>
    <n v="0"/>
    <m/>
    <n v="1828129"/>
    <n v="1605734"/>
    <s v="#FIELD!"/>
    <n v="1605677"/>
    <s v="0.008"/>
    <s v="148.7013374478002"/>
    <s v="#FIELD!"/>
  </r>
  <r>
    <x v="4977"/>
    <x v="5352"/>
    <x v="0"/>
    <n v="0"/>
    <s v="LINESTRING (9.700389815590492 59.666236608706406, 9.700421468180071 59.66619665001628, 9.700468674935614 59.666135058698245, 9.70057956896406 59.66600754028494)"/>
    <s v="[1828049, 1828057, 1828065]"/>
    <s v="[1605684, 1605690, 1605677]"/>
    <s v="#FIELD!"/>
    <s v="[1605683, 1605684, 1605690]"/>
    <s v="[0.018, 0.02, 0.019]"/>
    <s v="27.69489749841622"/>
    <s v="[-0.018, -0.02, -0.019]"/>
  </r>
  <r>
    <x v="4978"/>
    <x v="4387"/>
    <x v="0"/>
    <s v="[0, 1, 0, 0]"/>
    <s v="LINESTRING (9.70710546844124 59.667585374556914, 9.70164994503282 59.66563686185747, 9.700978130664861 59.6653749712616, 9.698839830252036 59.664605680108636, 9.697695766241036 59.66422669519042)"/>
    <s v="[1828365, 1828373, 1828381, 1828389]"/>
    <s v="[1605880, 1605884, 1605889, 1605767]"/>
    <s v="0.03341060164517302"/>
    <s v="[1605702, 1605880, 1605884, 1605889]"/>
    <s v="[0.024, 0.03, 0.054, 0.042]"/>
    <s v="649.80296327223"/>
    <s v="[0.024, 0.03, 0.054, 0.042]"/>
  </r>
  <r>
    <x v="4979"/>
    <x v="5345"/>
    <x v="0"/>
    <s v="[0, 0, 1, 0]"/>
    <s v="LINESTRING (9.709374039623535 59.668153585343674, 9.707198346787145 59.66750890916606, 9.701758799459373 59.665566041317085, 9.70108565660997 59.66530355754569, 9.698971389579533 59.66451481491128)"/>
    <s v="[1828245, 1828253, 1828261, 1828269]"/>
    <s v="[1605803, 1605808, 1605813, 1605730]"/>
    <s v="0.02555682295693694"/>
    <s v="[1605707, 1605803, 1605808, 1605813]"/>
    <s v="[0.002, 0.024, 0.029, 0.051]"/>
    <s v="714.0491324958525"/>
    <s v="[0.002, 0.024, 0.029, 0.051]"/>
  </r>
  <r>
    <x v="4980"/>
    <x v="4376"/>
    <x v="0"/>
    <n v="0"/>
    <s v="LINESTRING (9.698971389579533 59.66451481491128, 9.697839576077394 59.664123396490695, 9.694840581868187 59.663184613761864)"/>
    <s v="[1828277, 1828285]"/>
    <s v="[1605823, 1605828]"/>
    <s v="0.02919843937235687"/>
    <s v="[1605730, 1605823]"/>
    <s v="[0.04, 0.025]"/>
    <s v="276.27046227375644"/>
    <s v="[0.04, 0.025]"/>
  </r>
  <r>
    <x v="4981"/>
    <x v="4220"/>
    <x v="0"/>
    <n v="0"/>
    <s v="LINESTRING (8.8003367677688 58.501825911319294, 8.786995921377827 58.499438937274036, 8.785955695607008 58.49925102800575)"/>
    <s v="[1831144, 1831152]"/>
    <s v="[1607694, 1607698]"/>
    <s v="#FIELD!"/>
    <s v="[1607688, 1607694]"/>
    <s v="[0.008, 0.128]"/>
    <s v="887.2553529776205"/>
    <s v="[0.008, -0.128]"/>
  </r>
  <r>
    <x v="4982"/>
    <x v="3212"/>
    <x v="0"/>
    <s v="[1, 0, 1, 0, 0, 0, 0, 0, 0, 0, 0, 0, 0, 1, 0, 0]"/>
    <s v="LINESTRING (8.785955695607008 58.49925102800575, 8.78321673906763 58.4987603715465, 8.76624791505264 58.49071941555811, 8.766028067211966 58.49053299503183, 8.76231343597754 58.48738667369229, 8.75801644527438 58.48374972250521, 8.757746087687524 58.4835210132713, 8.757113083293174 58.48298803026206, 8.749797642524534 58.477768313323786, 8.74900210812893 58.477298570877956, 8.7486530090648 58.47710129063071, 8.747838281190722 58.47664302921318, 8.747658928533149 58.47654175692216, 8.746934319351675 58.47612203852355, 8.746314744064374 58.47575733811297, 8.745949524925258 58.47553232437447, 8.745805351227501 58.475440443534914)"/>
    <s v="[1831239, 1831247, 1831255, 1831263, 1831271, 1245136, 1246801, 1246819, 1246836, 1247598, 1247572, 1247573, 1247579, 2132645, 2132653, 2132661]"/>
    <s v="[1607752, 1607753, 1607755, 1607756, 1164990, 1164991, 1166450, 1166466, 1166489, 1167028, 1167029, 1167030, 1167034, 1834431, 1834437, 1834417]"/>
    <s v="#FIELD!"/>
    <s v="[1607698, 1607752, 1607753, 1607755, 1607756, 1164990, 1164991, 1166450, 1166466, 1166489, 1167028, 1167029, 1167030, 1167034, 1834431, 1834437]"/>
    <s v="[0.092, 0.001, 0.036, 0.017, 0.008, 0.06, 0.073, 0.012, 0.07, 0.075, 0.045, 0.106, 0.082, 0.002, 0.005, 0.003]"/>
    <s v="3635.527301827912"/>
    <s v="[-0.092, -0.001, 0.036, 0.017, -0.008, 0.06, 0.073, -0.012, -0.07, -0.075, -0.045, 0.106, 0.082, 0.002, 0.005, 0.003]"/>
  </r>
  <r>
    <x v="4983"/>
    <x v="4211"/>
    <x v="0"/>
    <n v="0"/>
    <s v="LINESTRING (8.801599097160052 58.50195698733188, 8.800391422995892 58.5017408575949, 8.787093949169144 58.49935830123156)"/>
    <s v="[1831169, 1831178]"/>
    <s v="[1607714, 1607720]"/>
    <s v="0.005753404309229869"/>
    <s v="[1607704, 1607714]"/>
    <s v="[0.03, 0.009]"/>
    <s v="894.9641725672104"/>
    <s v="[-0.03, 0.009]"/>
  </r>
  <r>
    <x v="4984"/>
    <x v="5354"/>
    <x v="0"/>
    <n v="0"/>
    <s v="LINESTRING (5.484033343501956 59.77671792569145, 5.484004716419398 59.77662850061354, 5.484375984551686 59.77584139757772, 5.483522115071432 59.77439640424404, 5.482419275164858 59.77380635048535, 5.482368939496771 59.773741957878485)"/>
    <s v="[1833287, 1833295, 2078057, 1833303, 1833311]"/>
    <s v="[1609038, 1609043, 1609050, 1609051, 1609056]"/>
    <s v="#FIELD!"/>
    <s v="[1609037, 1609038, 1609043, 1609050, 1609051]"/>
    <s v="[0.008, 0.019, 0.002, 0.006, 0.011]"/>
    <s v="369.23109118399157"/>
    <s v="[0.008, -0.019, 0.002, 0.006, -0.011]"/>
  </r>
  <r>
    <x v="4984"/>
    <x v="5355"/>
    <x v="0"/>
    <n v="0"/>
    <s v="LINESTRING (5.484033343501956 59.77671792569145, 5.483651957001758 59.77741608743026, 5.48326777643822 59.77840092203696)"/>
    <s v="[2060927, 2060935]"/>
    <s v="[1791679, 1761256]"/>
    <s v="#FIELD!"/>
    <s v="[1609037, 1791679]"/>
    <s v="[0.012, 0.021]"/>
    <s v="193.1425151110961"/>
    <s v="[0.012, -0.021]"/>
  </r>
  <r>
    <x v="4984"/>
    <x v="5356"/>
    <x v="0"/>
    <n v="0"/>
    <s v="LINESTRING (5.484516600680556 59.775405095555286, 5.484488378097018 59.775912563732554, 5.484350704094923 59.77622861758619, 5.484033343501956 59.77671792569145)"/>
    <s v="[2078041, 2078049, 2060919]"/>
    <s v="[1802315, 1791676, 1609037]"/>
    <s v="0.014348347175217121"/>
    <s v="[1802282, 1802315, 1791676]"/>
    <s v="[0.006, 0.034, 0.053]"/>
    <s v="150.62869615199824"/>
    <s v="[0.006, -0.034, 0.053]"/>
  </r>
  <r>
    <x v="4985"/>
    <x v="5357"/>
    <x v="480"/>
    <n v="0"/>
    <s v="LINESTRING (5.482368939496771 59.773741957878485, 5.483330545655091 59.77419859245987, 5.483553779285394 59.77431251300787, 5.484136135272523 59.774767623291794)"/>
    <s v="[2060903, 2060911, 2077937]"/>
    <s v="[1791667, 1791672, 1802249]"/>
    <s v="#FIELD!"/>
    <s v="[1609056, 1791667, 1791672]"/>
    <s v="[0.209, 0.018, 0.232]"/>
    <s v="153.13913301652588"/>
    <s v="[-0.209, 0.018, 0.232]"/>
  </r>
  <r>
    <x v="4985"/>
    <x v="5358"/>
    <x v="0"/>
    <n v="0"/>
    <m/>
    <n v="2060895"/>
    <n v="1609056"/>
    <s v="0.044"/>
    <n v="1761249"/>
    <s v="0.044"/>
    <s v="190.72711527226568"/>
    <s v="0.044"/>
  </r>
  <r>
    <x v="4986"/>
    <x v="5359"/>
    <x v="0"/>
    <n v="0"/>
    <s v="LINESTRING (5.4508969050880705 59.41990411185742, 5.450366083435156 59.41988330326861, 5.448446968515205 59.419808348584326, 5.448343510022357 59.41978142513821)"/>
    <s v="[1836118, 1836126, 1836134]"/>
    <s v="[1610660, 1610665, 1610340]"/>
    <s v="#FIELD!"/>
    <s v="[1610274, 1610660, 1610665]"/>
    <s v="[0.024, 0.023, 0.046]"/>
    <s v="147.74681524984348"/>
    <s v="[-0.024, -0.023, -0.046]"/>
  </r>
  <r>
    <x v="4986"/>
    <x v="3860"/>
    <x v="0"/>
    <n v="0"/>
    <s v="LINESTRING (5.4508969050880705 59.41990411185742, 5.4503693220401646 59.41995031256168, 5.448435291717102 59.4199462894278, 5.448330641709394 59.41996412316494)"/>
    <s v="[1836142, 1836150, 1836158]"/>
    <s v="[1610676, 1610682, 1610288]"/>
    <s v="#FIELD!"/>
    <s v="[1610274, 1610676, 1610682]"/>
    <s v="[0.008, 0.019, 0.008]"/>
    <s v="147.72325645734534"/>
    <s v="[-0.008, -0.019, -0.008]"/>
  </r>
  <r>
    <x v="4987"/>
    <x v="2921"/>
    <x v="481"/>
    <n v="0"/>
    <m/>
    <n v="1835414"/>
    <n v="347578"/>
    <s v="#FIELD!"/>
    <n v="1610280"/>
    <s v="0.009"/>
    <s v="106.66558193334525"/>
    <s v="#FIELD!"/>
  </r>
  <r>
    <x v="4987"/>
    <x v="3861"/>
    <x v="0"/>
    <n v="0"/>
    <s v="LINESTRING (5.447885966646932 59.41970186774331, 5.447928586206476 59.41964530530168, 5.448082592114283 59.419026212747426, 5.448178692434731 59.418844162809165)"/>
    <s v="[1836070, 1836078, 1836086]"/>
    <s v="[1610631, 1610636, 1610280]"/>
    <s v="#FIELD!"/>
    <s v="[1610328, 1610631, 1610636]"/>
    <s v="[0.041, 0.018, 0.008]"/>
    <s v="98.53852241121179"/>
    <s v="[-0.041, -0.018, -0.008]"/>
  </r>
  <r>
    <x v="4987"/>
    <x v="5360"/>
    <x v="0"/>
    <n v="0"/>
    <s v="LINESTRING (5.448221079584102 59.41971452141296, 5.448191493964057 59.41964915606396, 5.448209425116603 59.41903780125306, 5.448178692434731 59.418844162809165)"/>
    <s v="[1836046, 1836054, 1836062]"/>
    <s v="[1610618, 1610623, 1610280]"/>
    <s v="#FIELD!"/>
    <s v="[1610336, 1610618, 1610623]"/>
    <s v="[0.055, 0.02, 0.015]"/>
    <s v="98.18954526962847"/>
    <s v="[-0.055, -0.02, -0.015]"/>
  </r>
  <r>
    <x v="4988"/>
    <x v="5359"/>
    <x v="0"/>
    <n v="0"/>
    <s v="LINESTRING (5.448343510022357 59.41978142513821, 5.448384025513226 59.41988492010333, 5.448330641709394 59.41996412316494)"/>
    <s v="[1835518, 1835526]"/>
    <s v="[1610346, 1610288]"/>
    <s v="0.05346046475150267"/>
    <s v="[1610340, 1610346]"/>
    <s v="[0.057, 0.049]"/>
    <s v="21.15343812727299"/>
    <s v="[0.057, 0.049]"/>
  </r>
  <r>
    <x v="4989"/>
    <x v="5360"/>
    <x v="0"/>
    <n v="0"/>
    <s v="LINESTRING (5.447885966646932 59.41970186774331, 5.448055703627999 59.41968660668271, 5.448221079584102 59.41971452141296)"/>
    <s v="[1835494, 1835502]"/>
    <s v="[1610332, 1610336]"/>
    <s v="0.021048109077088158"/>
    <s v="[1610328, 1610332]"/>
    <s v="[0.012, 0.03]"/>
    <s v="19.738934542926938"/>
    <s v="[0.012, 0.03]"/>
  </r>
  <r>
    <x v="4990"/>
    <x v="5359"/>
    <x v="0"/>
    <n v="0"/>
    <m/>
    <n v="1835510"/>
    <n v="1610340"/>
    <s v="0.056"/>
    <n v="1610336"/>
    <s v="0.056"/>
    <s v="10.223929235119865"/>
    <s v="0.056"/>
  </r>
  <r>
    <x v="4991"/>
    <x v="3799"/>
    <x v="16"/>
    <n v="0"/>
    <s v="LINESTRING (6.523152881799657 58.46825078272461, 6.522607044930637 58.46861998941766, 6.522091836698401 58.46897246678487, 6.51974848396457 58.47056895923199)"/>
    <s v="[1842905, 1842913, 1842921]"/>
    <s v="[1308286, 1614729, 1614734]"/>
    <s v="0.029111863580441145"/>
    <s v="[1614721, 1308286, 1614729]"/>
    <s v="[0.015, 0.051, 0.057]"/>
    <s v="326.6472522502687"/>
    <s v="[-0.015, -0.051, 0.057]"/>
  </r>
  <r>
    <x v="4991"/>
    <x v="3799"/>
    <x v="0"/>
    <n v="0"/>
    <s v="LINESTRING (6.523152881799657 58.46825078272461, 6.523005760970191 58.46829131383319, 6.522779094249575 58.46835359385078, 6.519928062300601 58.47027976069197, 6.519801847110711 58.470474410932546, 6.51974848396457 58.47056895923199)"/>
    <s v="[2084009, 2084011, 2084012, 2084020, 2084028]"/>
    <s v="[1806029, 1806030, 1806031, 1806036, 1614734]"/>
    <s v="0.02787629015681925"/>
    <s v="[1614721, 1806029, 1806030, 1806031, 1806036]"/>
    <s v="[1.845, 0.021, 0.007, 0.138, 0.925]"/>
    <s v="334.09840544121676"/>
    <s v="[1.845, 0.021, -0.007, 0.138, -0.925]"/>
  </r>
  <r>
    <x v="4992"/>
    <x v="4403"/>
    <x v="0"/>
    <n v="0"/>
    <s v="LINESTRING (9.607688310518215 59.62255261353574, 9.607643516456308 59.62260692139797, 9.607562488565067 59.62264902533742)"/>
    <s v="[1844943, 1844951]"/>
    <s v="[1616032, 1616003]"/>
    <s v="#FIELD!"/>
    <s v="[1616028, 1616032]"/>
    <s v="[0.047, 0.012]"/>
    <s v="13.11742197933582"/>
    <s v="[-0.047, -0.012]"/>
  </r>
  <r>
    <x v="4993"/>
    <x v="4403"/>
    <x v="0"/>
    <n v="0"/>
    <m/>
    <n v="1844935"/>
    <n v="1616028"/>
    <s v="#FIELD!"/>
    <n v="1616024"/>
    <s v="0.07"/>
    <s v="18.23648520809371"/>
    <s v="#FIELD!"/>
  </r>
  <r>
    <x v="4993"/>
    <x v="4391"/>
    <x v="0"/>
    <s v="[0, 0, 1, 0, 0]"/>
    <s v="LINESTRING (9.614643972223256 59.62422942949176, 9.614355191257285 59.62413865381003, 9.614267590912831 59.62409691485776, 9.610316266829049 59.622246432962946, 9.607593233494727 59.622363845573425, 9.607591494392997 59.622402290881894)"/>
    <s v="[1845650, 1844959, 1844967, 1844975, 1844983]"/>
    <s v="[1616040, 1616041, 1616046, 1616053, 1616024]"/>
    <s v="#FIELD!"/>
    <s v="[1616251, 1616040, 1616041, 1616046, 1616053]"/>
    <s v="[0.104, 0.123, 0.029, 0.016, 0.065]"/>
    <s v="543.8450657265093"/>
    <s v="[-0.104, -0.123, -0.029, 0.016, -0.065]"/>
  </r>
  <r>
    <x v="4994"/>
    <x v="4398"/>
    <x v="0"/>
    <s v="[1, 0, 0]"/>
    <s v="LINESTRING (9.613279919068912 59.62352024978488, 9.610430124890696 59.622184064756965, 9.608720128438616 59.62149653870177, 9.605714226494111 59.620830470418866)"/>
    <s v="[1845087, 1845095, 1845103]"/>
    <s v="[1616128, 1616136, 1616139]"/>
    <s v="0.037505129117538095"/>
    <s v="[1616121, 1616128, 1616136]"/>
    <s v="[0.014, 0.074, 0.041]"/>
    <s v="528.7722444942692"/>
    <s v="[0.014, 0.074, 0.041]"/>
  </r>
  <r>
    <x v="4995"/>
    <x v="4399"/>
    <x v="0"/>
    <s v="[0, 1, 1, 0, 0, 0]"/>
    <s v="LINESTRING (9.614643972223256 59.62422942949176, 9.614310117552915 59.62407481889378, 9.613369583158445 59.62363463561873, 9.610358055644241 59.62222362391111, 9.608638713826359 59.62155831772656, 9.605725948416115 59.62090140987478, 9.600886001521518 59.62085739004096)"/>
    <s v="[1845295, 1845303, 1845311, 1845319, 1845327, 1845335]"/>
    <s v="[1616256, 1616261, 1616265, 1616269, 1616276, 1616282]"/>
    <s v="0.02209201001408394"/>
    <s v="[1616251, 1616256, 1616261, 1616265, 1616269, 1616276]"/>
    <s v="[0.131, 0.119, 0.003, 0.073, 0.043, 0.053]"/>
    <s v="908.6784426632023"/>
    <s v="[-0.131, -0.119, 0.003, 0.073, 0.043, 0.053]"/>
  </r>
  <r>
    <x v="4996"/>
    <x v="4385"/>
    <x v="0"/>
    <n v="0"/>
    <s v="LINESTRING (9.63775372343449 59.636622520345014, 9.63775372343449 59.636622520345014, 9.637503088333384 59.63723056936666, 9.640065029371302 59.64909082689879, 9.64249610632548 59.649380042276135, 9.643003683543416 59.64938747814837)"/>
    <s v="[1845501, 1312531, 1312539, 1312547, 1845574]"/>
    <s v="[1220535, 1220536, 1220542, 1220552, 1616408]"/>
    <s v="#FIELD!"/>
    <s v="[1616391, 1220535, 1220536, 1220542, 1220552]"/>
    <s v="[0.007, 0.075, 0.018, 0.016, 0.12]"/>
    <s v="1807.4020147306824"/>
    <s v="[0.007, 0.075, -0.018, 0.016, 0.12]"/>
  </r>
  <r>
    <x v="4997"/>
    <x v="5361"/>
    <x v="0"/>
    <n v="0"/>
    <s v="LINESTRING (18.51085398587451 69.04367172943573, 18.51113933059701 69.0437678983176, 18.511159054013827 69.04380961350871, 18.511142527312447 69.0438568320269, 18.510824285013058 69.04395954303637)"/>
    <s v="[1845826, 1845834, 1845842, 1845850]"/>
    <s v="[1616628, 1616634, 1616638, 1616643]"/>
    <s v="0.0015932433135544917"/>
    <s v="[1616627, 1616628, 1616634, 1616638]"/>
    <s v="[0.038, 0.008, 0.009, 0.038]"/>
    <s v="43.91784123725839"/>
    <s v="[-0.038, -0.008, 0.009, 0.038]"/>
  </r>
  <r>
    <x v="4997"/>
    <x v="5362"/>
    <x v="0"/>
    <n v="0"/>
    <s v="LINESTRING (18.510512176945262 69.04369301878336, 18.510664728563857 69.04366959378227, 18.51085398587451 69.04367172943573)"/>
    <s v="[1845906, 1845914]"/>
    <s v="[1616672, 1616627]"/>
    <s v="#FIELD!"/>
    <s v="[1616668, 1616672]"/>
    <s v="[0.049, 0.054]"/>
    <s v="14.187003006431087"/>
    <s v="[-0.049, -0.054]"/>
  </r>
  <r>
    <x v="4997"/>
    <x v="2884"/>
    <x v="0"/>
    <n v="0"/>
    <s v="LINESTRING (18.510481546642367 69.0434263798098, 18.510689878086858 69.04356651782552, 18.510789318612645 69.04363323505581, 18.51085398587451 69.04367172943573)"/>
    <s v="[1845946, 1845954, 1845962]"/>
    <s v="[1616693, 1616695, 1616627]"/>
    <s v="#FIELD!"/>
    <s v="[1616680, 1616693, 1616695]"/>
    <s v="[0.038, 0.027, 0.026]"/>
    <s v="31.14902525076888"/>
    <s v="[-0.038, -0.027, -0.026]"/>
  </r>
  <r>
    <x v="4998"/>
    <x v="5363"/>
    <x v="0"/>
    <n v="0"/>
    <s v="LINESTRING (18.510824285013058 69.04395954303637, 18.510661490566285 69.04395973844731, 18.510481378009207 69.0439269702654)"/>
    <s v="[1845858, 1845866]"/>
    <s v="[1616646, 1616651]"/>
    <s v="0.04878486067079209"/>
    <s v="[1616643, 1616646]"/>
    <s v="[0.051, 0.047]"/>
    <s v="14.565687620737673"/>
    <s v="[0.051, 0.047]"/>
  </r>
  <r>
    <x v="4998"/>
    <x v="3606"/>
    <x v="0"/>
    <n v="0"/>
    <s v="LINESTRING (18.510824285013058 69.04395954303637, 18.510795285315616 69.04399106749833, 18.51057763782238 69.04421803811826)"/>
    <s v="[1846074, 1846082]"/>
    <s v="[1616746, 1616684]"/>
    <s v="0.0163924857530242"/>
    <s v="[1616643, 1616746]"/>
    <s v="[0.012, 0.017]"/>
    <s v="30.465954524316107"/>
    <s v="[0.012, 0.017]"/>
  </r>
  <r>
    <x v="4999"/>
    <x v="5362"/>
    <x v="0"/>
    <n v="0"/>
    <s v="LINESTRING (18.510481378009207 69.0439269702654, 18.51039033759036 69.04388797480053, 18.510337486096763 69.04383050411083, 18.510351559612978 69.04377264891502, 18.510512176945262 69.04369301878336)"/>
    <s v="[1845874, 1845882, 1845890, 1845898]"/>
    <s v="[1616656, 1616661, 1616664, 1616668]"/>
    <s v="#FIELD!"/>
    <s v="[1616651, 1616656, 1616661, 1616664]"/>
    <s v="[0.034, 0.016, 0.003, 0.031]"/>
    <s v="29.84772255602879"/>
    <s v="[0.034, 0.016, -0.003, -0.031]"/>
  </r>
  <r>
    <x v="4999"/>
    <x v="3606"/>
    <x v="0"/>
    <n v="0"/>
    <s v="LINESTRING (18.510481378009207 69.0439269702654, 18.510509873821466 69.04397663319443, 18.51057763782238 69.04421803811826)"/>
    <s v="[1846050, 1846058]"/>
    <s v="[1616734, 1616684]"/>
    <s v="#FIELD!"/>
    <s v="[1616651, 1616734]"/>
    <s v="[0.011, 0.005]"/>
    <s v="32.714542887688665"/>
    <s v="[-0.011, -0.005]"/>
  </r>
  <r>
    <x v="5000"/>
    <x v="2884"/>
    <x v="0"/>
    <n v="0"/>
    <s v="LINESTRING (18.510481546642367 69.0434263798098, 18.510498908846756 69.04358659956671, 18.510507673211826 69.04365860710139, 18.510512176945262 69.04369301878336)"/>
    <s v="[1846090, 1846098, 1846106]"/>
    <s v="[1616758, 1616765, 1616668]"/>
    <s v="#FIELD!"/>
    <s v="[1616680, 1616758, 1616765]"/>
    <s v="[0.015, 0.003, 0.0]"/>
    <s v="29.764005901295825"/>
    <s v="[-0.015, -0.003, 0.0]"/>
  </r>
  <r>
    <x v="5001"/>
    <x v="5364"/>
    <x v="0"/>
    <n v="0"/>
    <s v="LINESTRING (10.390162692190836 60.22250688727677, 10.389795348234749 60.22251683405368, 10.385942063540405 60.22373658282263, 10.385880654833837 60.223760524897486)"/>
    <s v="[1847258, 1852604, 1852611]"/>
    <s v="[1617534, 1622155, 1622165]"/>
    <s v="#FIELD!"/>
    <s v="[1617533, 1617534, 1622155]"/>
    <s v="[0.014, 0.066, 0.055]"/>
    <s v="348.61030948769815"/>
    <s v="[-0.014, -0.066, -0.055]"/>
  </r>
  <r>
    <x v="5001"/>
    <x v="5365"/>
    <x v="482"/>
    <s v="[0, 1, 0, 1, 0, 1, 0, 0, 1, 0, 0, 0, 1, 0, 0, 1, 0, 0, 0, 1, 0, 0, 0]"/>
    <s v="LINESTRING (10.390162692190836 60.22250688727677, 10.39550532706448 60.22326602009664, 10.395954566693058 60.22339768659589, 10.405802831029893 60.22738795407627, 10.407275601836202 60.227868772978816, 10.416286219349072 60.23060358315735, 10.416672288185147 60.23071896759913, 10.42381124016233 60.23235128620691, 10.424985898391649 60.23257044309563, 10.43077562951635 60.234318644954854, 10.436375165845314 60.23837362241421, 10.438575615974337 60.241176929838545, 10.44929844180892 60.2478713721662, 10.449543959254928 60.24823671475922, 10.455837558983431 60.25348892684597, 10.45826613836791 60.254414358247075, 10.45886005198779 60.254598903823485, 10.477590170044065 60.25975448991352, 10.48178950911981 60.260602130990975, 10.48553076578002 60.26124647034648, 10.486386004791406 60.26139368879247, 10.492699249677846 60.262696782117814, 10.494907375369241 60.26358193456989, 10.495859702468415 60.26411432398313)"/>
    <s v="[1851430, 1851438, 1851449, 1851457, 1851473, 1851481, 1851482, 1851502, 1851510, 1851518, 1851534, 1851550, 1851551, 1851559, 1851560, 1851567, 1851575, 1851583, 1851609, 1851610, 1851617, 1851618, 1851625]"/>
    <s v="[1621077, 1621083, 1621093, 1621100, 1621113, 1621119, 1621120, 1621148, 1621154, 1621160, 1621176, 1621192, 1621193, 1621203, 1621204, 1621213, 1621219, 1621227, 1621254, 1621255, 1621263, 1621264, 1621272]"/>
    <s v="0.020788186409325664"/>
    <s v="[1617533, 1621077, 1621083, 1621093, 1621100, 1621113, 1621119, 1621120, 1621148, 1621154, 1621160, 1621176, 1621192, 1621193, 1621203, 1621204, 1621213, 1621219, 1621227, 1621254, 1621255, 1621263, 1621264]"/>
    <s v="[0.026, 0.004, 0.01, 0.002, 0.042, 0.007, 0.031, 0.098, 0.031, 0.058, 0.004, 0.045, 0.022, 0.001, 0.001, 0.039, 0.009, 0.102, 0.048, 0.025, 0.03, 0.066, 0.128]"/>
    <s v="7770.276049248272"/>
    <s v="[-0.026, -0.004, -0.01, 0.002, 0.042, 0.007, 0.031, -0.098, 0.031, 0.058, -0.004, 0.045, 0.022, -0.001, -0.001, 0.039, 0.009, 0.102, 0.048, 0.025, -0.03, 0.066, 0.128]"/>
  </r>
  <r>
    <x v="5001"/>
    <x v="5366"/>
    <x v="0"/>
    <n v="0"/>
    <m/>
    <n v="1851422"/>
    <n v="1617533"/>
    <s v="0.047"/>
    <n v="1620881"/>
    <s v="0.047"/>
    <s v="566.4761168547906"/>
    <s v="0.047"/>
  </r>
  <r>
    <x v="5002"/>
    <x v="5367"/>
    <x v="0"/>
    <s v="[0, 1, 0, 1, 0, 1, 0, 0, 1, 0, 0, 0, 1, 0, 0, 1, 0, 0, 0, 1, 0, 0, 0]"/>
    <s v="LINESTRING (10.392738003460755 60.22265065329087, 10.395557408535694 60.22321910326611, 10.396011660988774 60.22335176231887, 10.405862789228879 60.227342188028864, 10.407334324455196 60.22782355702133, 10.41634200988429 60.23055742550191, 10.416728047404227 60.23067277273129, 10.423854853696414 60.23228738331321, 10.425044926531776 60.232495083981455, 10.430882129953872 60.23425748505037, 10.436508552725027 60.23834006774885, 10.438692539479549 60.24114332748106, 10.449426922980043 60.24785011816768, 10.44967217731899 60.24821501977652, 10.455898375965004 60.25343355432445, 10.458266826221731 60.254350331655026, 10.45885573860533 60.254535047604165, 10.477634661260083 60.259699198393726, 10.481844963560544 60.2605297922666, 10.485583677288043 60.26117007764121, 10.486439283007922 60.26131738022031, 10.492787177310108 60.26263295393952, 10.495002863659934 60.26353403684445, 10.497469854691522 60.265130226075875)"/>
    <s v="[1851717, 1851732, 1851739, 1851740, 1851747, 1851748, 1851755, 1851763, 1851770, 1851790, 1851791, 1852793, 1852799, 1852800, 1852807, 1852820, 1852821, 1852831, 1852839, 1852865, 1852876, 1852877, 1852885]"/>
    <s v="[1621348, 1621356, 1621360, 1621361, 1621369, 1621370, 1621375, 1621382, 1621391, 1621413, 1621414, 1622343, 1622354, 1622355, 1622362, 1622378, 1622379, 1622388, 1622395, 1622424, 1622431, 1622432, 1622127]"/>
    <s v="0.023079307631065627"/>
    <s v="[1617561, 1621348, 1621356, 1621360, 1621361, 1621369, 1621370, 1621375, 1621382, 1621391, 1621413, 1621414, 1622343, 1622354, 1622355, 1622362, 1622378, 1622379, 1622388, 1622395, 1622424, 1622431, 1622432]"/>
    <s v="[0.048, 0.007, 0.011, 0.004, 0.043, 0.018, 0.032, 0.099, 0.031, 0.058, 0.003, 0.045, 0.021, 0.001, 0.004, 0.025, 0.009, 0.1, 0.045, 0.023, 0.029, 0.06, 0.131]"/>
    <s v="7778.202610944209"/>
    <s v="[-0.048, 0.007, -0.011, 0.004, 0.043, 0.018, 0.032, -0.099, 0.031, 0.058, -0.003, 0.045, 0.021, -0.001, -0.004, 0.025, 0.009, 0.1, 0.045, 0.023, -0.029, 0.06, 0.131]"/>
  </r>
  <r>
    <x v="5002"/>
    <x v="5368"/>
    <x v="0"/>
    <n v="0"/>
    <s v="LINESTRING (10.381997177344083 60.22263093444213, 10.390165531882737 60.22245303271936, 10.392738003460755 60.22265065329087)"/>
    <s v="[1851705, 1851716]"/>
    <s v="[1621336, 1617561]"/>
    <s v="0.03561993067645925"/>
    <s v="[1620872, 1621336]"/>
    <s v="[0.039, 0.025]"/>
    <s v="598.7868307325515"/>
    <s v="[0.039, 0.025]"/>
  </r>
  <r>
    <x v="5002"/>
    <x v="5369"/>
    <x v="0"/>
    <n v="0"/>
    <s v="LINESTRING (10.384002337476499 60.222050358921244, 10.384002337476499 60.222050358921244, 10.392398411756393 60.222591296010926, 10.392738003460755 60.22265065329087)"/>
    <s v="[1851792, 1851805, 1847289]"/>
    <s v="[1621416, 1617560, 1617561]"/>
    <s v="0.01956073014244917"/>
    <s v="[1621415, 1621416, 1617560]"/>
    <s v="[0.0, 0.021, 0.011]"/>
    <s v="506.12053566394013"/>
    <s v="[0.0, 0.021, -0.011]"/>
  </r>
  <r>
    <x v="5003"/>
    <x v="1254"/>
    <x v="0"/>
    <n v="0"/>
    <s v="LINESTRING (5.804709376198063 58.791106847419535, 5.804925918315102 58.79077691414138, 5.804934415857943 58.79071333724925, 5.804934305115419 58.7907067695762, 5.804932319830402 58.790572532246394, 5.804931906285802 58.79051991638999, 5.805287076932757 58.79009828870331)"/>
    <s v="[1850840, 1850856, 1850857, 1850881, 1850899, 1850907]"/>
    <s v="[1343819, 1620546, 1620547, 1620568, 1620589, 1176971]"/>
    <s v="0.16463893016516032"/>
    <s v="[1620526, 1343819, 1620546, 1620547, 1620568, 1620589]"/>
    <s v="[0.32, 6.01, 0.0, 0.186, 0.17, 0.115]"/>
    <s v="122.29768824370913"/>
    <s v="[-0.32, 6.01, 0.0, -0.186, -0.17, -0.115]"/>
  </r>
  <r>
    <x v="5004"/>
    <x v="5370"/>
    <x v="0"/>
    <n v="0"/>
    <s v="LINESTRING (10.381997177344083 60.22263093444213, 10.38244225129367 60.222637021740304, 10.384014036316117 60.22211913744051, 10.38394145344249 60.22212757049482)"/>
    <s v="[1851193, 1852064, 1852072]"/>
    <s v="[1620873, 1621663, 1621483]"/>
    <s v="0.030454481575694428"/>
    <s v="[1620872, 1620873, 1621663]"/>
    <s v="[0.057, 0.03, 0.093]"/>
    <s v="348.1214505071162"/>
    <s v="[0.057, 0.03, -0.093]"/>
  </r>
  <r>
    <x v="5004"/>
    <x v="5371"/>
    <x v="0"/>
    <s v="[0, 0, 0, 0, 1, 1, 0, 0]"/>
    <s v="LINESTRING (10.345947899040874 60.2205216128002, 10.346018204916556 60.22052048651405, 10.353167550250491 60.21934443272152, 10.35535953123517 60.21892763263034, 10.356450834718231 60.21875489597699, 10.360482366572509 60.218409965784296, 10.367774543167224 60.21889296197841, 10.377915535567345 60.22203211836713, 10.381997177344083 60.22263093444213)"/>
    <s v="[1851227, 1851234, 1851337, 1851345, 1851353, 1851374, 1851395, 1851697]"/>
    <s v="[1620911, 1620917, 1621008, 1621014, 1621020, 1621036, 1621053, 1620872]"/>
    <s v="#FIELD!"/>
    <s v="[1620910, 1620911, 1620917, 1621008, 1621014, 1621020, 1621036, 1621053]"/>
    <s v="[0.02, 0.032, 0.007, 0.031, 0.246, 0.071, 0.031, 0.049]"/>
    <s v="2156.9234845976357"/>
    <s v="[-0.02, -0.032, 0.007, -0.031, -0.246, 0.071, 0.031, 0.049]"/>
  </r>
  <r>
    <x v="5005"/>
    <x v="5372"/>
    <x v="483"/>
    <s v="[0, 0, 0, 0, 1, 1, 0, 0]"/>
    <s v="LINESTRING (10.346007633288362 60.22064711050613, 10.346071810540598 60.2206293096996, 10.352986300523906 60.21943774246684, 10.355318966619286 60.21899177556183, 10.35648039176367 60.218806694506604, 10.360462399038594 60.21846456074739, 10.367740655467479 60.21894431860801, 10.377853868907899 60.22207709330339, 10.380020918006407 60.22249720362508)"/>
    <s v="[1851291, 1851297, 1851314, 1851325, 1851333, 1851396, 1851414, 1851415]"/>
    <s v="[1620968, 1620972, 1620986, 1620997, 1621003, 1621054, 1621067, 1620881]"/>
    <s v="#FIELD!"/>
    <s v="[1620967, 1620968, 1620972, 1620986, 1620997, 1621003, 1621054, 1621067]"/>
    <s v="[0.013, 0.033, 0.008, 0.019, 0.256, 0.071, 0.032, 0.047]"/>
    <s v="2044.1071791290422"/>
    <s v="[-0.013, -0.033, 0.008, -0.019, -0.256, 0.071, 0.032, 0.047]"/>
  </r>
  <r>
    <x v="5005"/>
    <x v="5373"/>
    <x v="0"/>
    <n v="0"/>
    <s v="LINESTRING (10.385851845900751 60.22365825124862, 10.385851845900751 60.22365825124862, 10.380345613793098 60.222558969534035, 10.380020918006407 60.22249720362508)"/>
    <s v="[1852593, 1852603, 1851201]"/>
    <s v="[1622143, 1620880, 1620881]"/>
    <s v="#FIELD!"/>
    <s v="[1622142, 1622143, 1620880]"/>
    <s v="[0.0, 0.012, 0.047]"/>
    <s v="424.1882770587964"/>
    <s v="[0.0, -0.012, -0.047]"/>
  </r>
  <r>
    <x v="5006"/>
    <x v="5372"/>
    <x v="0"/>
    <n v="0"/>
    <s v="LINESTRING (10.345947899040874 60.2205216128002, 10.345994683686875 60.22058171847684, 10.346007633288362 60.22064711050613)"/>
    <s v="[1853020, 1853027]"/>
    <s v="[1622564, 1620967]"/>
    <s v="#FIELD!"/>
    <s v="[1620910, 1622564]"/>
    <s v="[0.009, 0.005]"/>
    <s v="14.508282694027898"/>
    <s v="[-0.009, -0.005]"/>
  </r>
  <r>
    <x v="5006"/>
    <x v="5374"/>
    <x v="0"/>
    <n v="0"/>
    <m/>
    <n v="1853002"/>
    <n v="1620910"/>
    <s v="#FIELD!"/>
    <n v="1620947"/>
    <s v="0.018"/>
    <s v="51.7446470263638"/>
    <s v="#FIELD!"/>
  </r>
  <r>
    <x v="5007"/>
    <x v="5374"/>
    <x v="0"/>
    <n v="0"/>
    <s v="LINESTRING (10.344592662913332 60.22043985316448, 10.345095414502042 60.22050401090045, 10.345160660248826 60.22050859825561)"/>
    <s v="[1851258, 1851269]"/>
    <s v="[1620936, 1620947]"/>
    <s v="#FIELD!"/>
    <s v="[1620935, 1620936]"/>
    <s v="[0.025, 0.023]"/>
    <s v="32.43470442460727"/>
    <s v="[-0.025, -0.023]"/>
  </r>
  <r>
    <x v="5007"/>
    <x v="5375"/>
    <x v="0"/>
    <n v="0"/>
    <s v="LINESTRING (10.344592662913332 60.22043985316448, 10.34503394398547 60.22058191456235, 10.345091037110333 60.22059985925757)"/>
    <s v="[1851270, 1851275]"/>
    <s v="[1620948, 1620951]"/>
    <s v="#FIELD!"/>
    <s v="[1620935, 1620948]"/>
    <s v="[0.026, 0.025]"/>
    <s v="33.00828789725043"/>
    <s v="[-0.026, -0.025]"/>
  </r>
  <r>
    <x v="5008"/>
    <x v="5375"/>
    <x v="0"/>
    <n v="0"/>
    <s v="LINESTRING (10.345091037110333 60.22059985925757, 10.345117038039914 60.22055185487037, 10.345160660248826 60.22050859825561)"/>
    <s v="[1853056, 1853064]"/>
    <s v="[1622608, 1620947]"/>
    <s v="0.004533671382849914"/>
    <s v="[1620951, 1622608]"/>
    <s v="[0.007, 0.002]"/>
    <s v="10.935750913431704"/>
    <s v="[0.007, 0.002]"/>
  </r>
  <r>
    <x v="5009"/>
    <x v="5372"/>
    <x v="0"/>
    <n v="0"/>
    <s v="LINESTRING (10.346007633288362 60.22064711050613, 10.345728725302209 60.22084494242518, 10.345611284698355 60.22086135636965, 10.345497143426835 60.22086256037962, 10.345091037110333 60.22059985925757)"/>
    <s v="[1853028, 1853040, 1853048, 1853049]"/>
    <s v="[1620952, 1622587, 1620978, 1620951]"/>
    <s v="0.011432985144856323"/>
    <s v="[1620967, 1620952, 1622587, 1620978]"/>
    <s v="[0.005, 0.01, 0.012, 0.016]"/>
    <s v="82.22154578996151"/>
    <s v="[0.005, 0.01, 0.012, 0.016]"/>
  </r>
  <r>
    <x v="5010"/>
    <x v="615"/>
    <x v="0"/>
    <s v="[0, 0, 1, 0]"/>
    <s v="LINESTRING (10.495859702468415 60.26411432398313, 10.500211091186463 60.267252439728466, 10.500353590350526 60.26735789108831, 10.500914989152287 60.267776857921355, 10.502614439899647 60.26905772239342)"/>
    <s v="[1851633, 1851641, 1851652, 1851660]"/>
    <s v="[1621277, 1621285, 1621294, 1621301]"/>
    <s v="0.0458899933428301"/>
    <s v="[1621272, 1621277, 1621285, 1621294]"/>
    <s v="[0.074, 0.002, 0.015, 0.0]"/>
    <s v="665.9899991927605"/>
    <s v="[0.074, -0.002, -0.015, 0.0]"/>
  </r>
  <r>
    <x v="5010"/>
    <x v="5376"/>
    <x v="0"/>
    <n v="0"/>
    <s v="LINESTRING (10.498162199850322 60.26713108518985, 10.498162199850322 60.26713108518985, 10.496053918743435 60.26426505546569, 10.495859702468415 60.26411432398313)"/>
    <s v="[1852240, 1852241, 1852618]"/>
    <s v="[1621814, 1621815, 1621272]"/>
    <s v="#FIELD!"/>
    <s v="[1621813, 1621814, 1621815]"/>
    <s v="[0.0, 0.075, 0.143]"/>
    <s v="388.4423277356727"/>
    <s v="[0.0, -0.075, -0.143]"/>
  </r>
  <r>
    <x v="5011"/>
    <x v="5377"/>
    <x v="0"/>
    <s v="[0, 0, 1, 0, 0]"/>
    <s v="LINESTRING (10.502614439899647 60.26905772239342, 10.502390085639515 60.268917472368244, 10.500835193905216 60.2677739425854, 10.500274065113624 60.26735538924121, 10.498319940167603 60.2671555977423, 10.498314994371162 60.26719679767859)"/>
    <s v="[1852293, 1852248, 1852263, 1852269, 1852270]"/>
    <s v="[1621821, 1621822, 1621838, 1621842, 1621843]"/>
    <s v="#FIELD!"/>
    <s v="[1621301, 1621821, 1621822, 1621838, 1621842]"/>
    <s v="[0.02, 0.004, 0.015, 0.008, 0.034]"/>
    <s v="391.7810296075829"/>
    <s v="[-0.02, 0.004, 0.015, -0.008, 0.034]"/>
  </r>
  <r>
    <x v="5012"/>
    <x v="5378"/>
    <x v="0"/>
    <n v="0"/>
    <s v="LINESTRING (5.3120737448202195 60.41929025323389, 5.3120737448202195 60.41929025323389, 5.312041651865171 60.41932950740023)"/>
    <s v="[1940886, 1852148]"/>
    <s v="[1621734, 1621735]"/>
    <s v="0.004622691705597794"/>
    <s v="[1703067, 1621734]"/>
    <s v="[0.0, 0.042]"/>
    <s v="42.993398117042666"/>
    <s v="[0.0, 0.042]"/>
  </r>
  <r>
    <x v="5012"/>
    <x v="5379"/>
    <x v="0"/>
    <n v="0"/>
    <s v="LINESTRING (5.3116946587018985 60.41941891400709, 5.311768057671253 60.419421036982364, 5.312041651865171 60.41932950740023)"/>
    <s v="[2002254, 2002262]"/>
    <s v="[1754466, 1621735]"/>
    <s v="#FIELD!"/>
    <s v="[1754462, 1754466]"/>
    <s v="[0.042, 0.117]"/>
    <s v="23.187066190585195"/>
    <s v="[-0.042, -0.117]"/>
  </r>
  <r>
    <x v="5013"/>
    <x v="616"/>
    <x v="0"/>
    <s v="[0, 0, 1, 0, 0]"/>
    <s v="LINESTRING (10.50186292390171 60.26743649497001, 10.50186292390171 60.26743649497001, 10.500638357513765 60.267367683766686, 10.501200415908219 60.26778780481045, 10.503590645180395 60.26962794674663, 10.503715539455968 60.269789443642935)"/>
    <s v="[1852271, 1852272, 1852273, 1852284, 1852344]"/>
    <s v="[1621845, 1621846, 1621847, 1621861, 1621916]"/>
    <s v="0.015892888188002666"/>
    <s v="[1621844, 1621845, 1621846, 1621847, 1621861]"/>
    <s v="[0.0, 0.019, 0.019, 0.017, 0.065]"/>
    <s v="585.9655090629138"/>
    <s v="[0.0, 0.019, -0.019, 0.017, 0.065]"/>
  </r>
  <r>
    <x v="5014"/>
    <x v="5367"/>
    <x v="0"/>
    <n v="0"/>
    <s v="LINESTRING (10.497469854691522 60.265130226075875, 10.497715025279751 60.265255023188594, 10.502040291917696 60.267448629223104, 10.502050814364889 60.2674892749374)"/>
    <s v="[1852580, 1852296, 1852302]"/>
    <s v="[1621874, 1621875, 1621882]"/>
    <s v="0.013951627174586784"/>
    <s v="[1622127, 1621874, 1621875]"/>
    <s v="[0.098, 0.01, 0.002]"/>
    <s v="423.5892769327468"/>
    <s v="[0.098, 0.01, 0.002]"/>
  </r>
  <r>
    <x v="5015"/>
    <x v="5367"/>
    <x v="0"/>
    <s v="[0, 0, 1, 0]"/>
    <s v="LINESTRING (10.497469854691522 60.265130226075875, 10.50037975896605 60.26725648394238, 10.500524618990926 60.26736385881674, 10.50108634467499 60.26778349245635, 10.503715539455968 60.269789443642935)"/>
    <s v="[1852893, 1852894, 1852901, 1852909]"/>
    <s v="[1622446, 1622447, 1622456, 1621916]"/>
    <s v="0.02518179020626079"/>
    <s v="[1622127, 1622446, 1622447, 1622456]"/>
    <s v="[0.042, 0.008, 0.018, 0.018]"/>
    <s v="623.9518922279676"/>
    <s v="[0.042, -0.008, -0.018, 0.018]"/>
  </r>
  <r>
    <x v="5016"/>
    <x v="5380"/>
    <x v="0"/>
    <n v="0"/>
    <m/>
    <n v="1852779"/>
    <n v="1622331"/>
    <s v="#FIELD!"/>
    <n v="1622330"/>
    <s v="0.02"/>
    <s v="53.901995445284534"/>
    <s v="#FIELD!"/>
  </r>
  <r>
    <x v="5016"/>
    <x v="5381"/>
    <x v="0"/>
    <n v="0"/>
    <s v="LINESTRING (5.289246919029757 60.54722383388725, 5.289158328766442 60.54717290574974, 5.288475430913228 60.546962620524305, 5.286795264459784 60.54649639913582)"/>
    <s v="[1852899, 1852907, 1852908]"/>
    <s v="[1622455, 1622461, 1622330]"/>
    <s v="#FIELD!"/>
    <s v="[1622366, 1622455, 1622461]"/>
    <s v="[0.043, 0.029, 0.024]"/>
    <s v="159.2535028863978"/>
    <s v="[-0.043, -0.029, -0.024]"/>
  </r>
  <r>
    <x v="5016"/>
    <x v="5382"/>
    <x v="0"/>
    <n v="0"/>
    <s v="LINESTRING (5.289393679014114 60.54718376408297, 5.289305643150439 60.54714715184082, 5.286795264459784 60.54649639913582)"/>
    <s v="[1852872, 1852883]"/>
    <s v="[1622429, 1622330]"/>
    <s v="#FIELD!"/>
    <s v="[1622377, 1622429]"/>
    <s v="[0.031, 0.024]"/>
    <s v="163.59002881532004"/>
    <s v="[-0.031, -0.024]"/>
  </r>
  <r>
    <x v="5017"/>
    <x v="5383"/>
    <x v="0"/>
    <n v="0"/>
    <s v="LINESTRING (5.285718453095134 60.546161325031704, 5.28577140667565 60.54618341408459, 5.285921672817768 60.546278505097135)"/>
    <s v="[1957099, 1957114]"/>
    <s v="[1716431, 1622331]"/>
    <s v="0.03364382827495416"/>
    <s v="[1716430, 1716431]"/>
    <s v="[0.025, 0.036]"/>
    <s v="17.833252176292156"/>
    <s v="[0.025, 0.036]"/>
  </r>
  <r>
    <x v="5017"/>
    <x v="5384"/>
    <x v="0"/>
    <n v="0"/>
    <s v="LINESTRING (5.285612792473103 60.54626804946703, 5.285686019022678 60.54627771364017, 5.285921672817768 60.546278505097135)"/>
    <s v="[1957131, 1957132]"/>
    <s v="[1716457, 1622331]"/>
    <s v="#FIELD!"/>
    <s v="[1716456, 1716457]"/>
    <s v="[0.009, 0.003]"/>
    <s v="17.484751025099698"/>
    <s v="[0.009, -0.003]"/>
  </r>
  <r>
    <x v="5018"/>
    <x v="5381"/>
    <x v="0"/>
    <n v="0"/>
    <s v="LINESTRING (5.2896122614297525 60.547336133374465, 5.289502435611087 60.54738768888003, 5.289345395846248 60.54739009542021, 5.289249884887997 60.54735730395492, 5.289246919029757 60.54722383388725)"/>
    <s v="[1852795, 1852803, 1852804, 1852811]"/>
    <s v="[1622347, 1622357, 1622358, 1622366]"/>
    <s v="#FIELD!"/>
    <s v="[1622346, 1622347, 1622357, 1622358]"/>
    <s v="[0.037, 0.002, 0.031, 0.056]"/>
    <s v="39.178327970854994"/>
    <s v="[0.037, -0.002, -0.031, -0.056]"/>
  </r>
  <r>
    <x v="5018"/>
    <x v="5385"/>
    <x v="0"/>
    <n v="0"/>
    <s v="LINESTRING (5.289609242926389 60.54724047315541, 5.289633987784124 60.547288606262605, 5.2896122614297525 60.547336133374465)"/>
    <s v="[1852836, 1852844]"/>
    <s v="[1622394, 1622346]"/>
    <s v="0.058"/>
    <s v="[1622386, 1622394]"/>
    <s v="0.058"/>
    <s v="10.993947213127866"/>
    <s v="0.058"/>
  </r>
  <r>
    <x v="5018"/>
    <x v="5386"/>
    <x v="0"/>
    <n v="0"/>
    <s v="LINESTRING (5.289949860259305 60.54733675442934, 5.289707442521087 60.54734275648556, 5.2896122614297525 60.547336133374465)"/>
    <s v="[1852928, 1852937]"/>
    <s v="[1622479, 1622346]"/>
    <s v="#FIELD!"/>
    <s v="[1622422, 1622479]"/>
    <s v="[0.0, 0.002]"/>
    <s v="19.501742314738262"/>
    <s v="[0.0, -0.002]"/>
  </r>
  <r>
    <x v="5019"/>
    <x v="5382"/>
    <x v="0"/>
    <n v="0"/>
    <s v="LINESTRING (5.289246919029757 60.54722383388725, 5.289302818082663 60.54719934988123, 5.289393679014114 60.54718376408297)"/>
    <s v="[1852818, 1852819]"/>
    <s v="[1622376, 1622377]"/>
    <s v="#FIELD!"/>
    <s v="[1622366, 1622376]"/>
    <s v="[0.03, 0.023]"/>
    <s v="9.413677174240892"/>
    <s v="[-0.03, -0.023]"/>
  </r>
  <r>
    <x v="5020"/>
    <x v="5385"/>
    <x v="0"/>
    <n v="0"/>
    <m/>
    <n v="1852828"/>
    <n v="1622386"/>
    <s v="0.028"/>
    <n v="1622377"/>
    <s v="0.028"/>
    <s v="14.0661419869886"/>
    <s v="0.028"/>
  </r>
  <r>
    <x v="5021"/>
    <x v="5386"/>
    <x v="0"/>
    <n v="0"/>
    <s v="LINESTRING (5.289949860259305 60.54733675442934, 5.28972743555443 60.547265077425436, 5.289609242926389 60.54724047315541)"/>
    <s v="[1852926, 1852927]"/>
    <s v="[1622478, 1622386]"/>
    <s v="#FIELD!"/>
    <s v="[1622422, 1622478]"/>
    <s v="[0.029, 0.028]"/>
    <s v="22.452635901576553"/>
    <s v="[-0.029, -0.028]"/>
  </r>
  <r>
    <x v="5022"/>
    <x v="5386"/>
    <x v="0"/>
    <n v="0"/>
    <m/>
    <n v="1852861"/>
    <n v="1622422"/>
    <s v="0.0"/>
    <n v="1622421"/>
    <s v="0.0"/>
    <s v="34.65963213884264"/>
    <s v="0.0"/>
  </r>
  <r>
    <x v="5022"/>
    <x v="5387"/>
    <x v="0"/>
    <s v="[0, 0, 0, 0, 0, 0, 0, 0, 0, 0, 0, 0, 0, 0, 0, 0, 0, 0, 1, 0, 0, 0, 0, 0, 0, 0, 0, 0, 0, 0, 0, 0, 0, 0, 0, 1, 0, 0, 0]"/>
    <s v="LINESTRING (5.289949860259305 60.54733675442934, 5.291043218933915 60.54759606519437, 5.291195048407814 60.547638451513095, 5.291394129178033 60.54770588904229, 5.294957058275718 60.54862761714496, 5.2976680463089325 60.54933372359504, 5.2979837048232845 60.54942356538051, 5.2990623132558445 60.54974933269215, 5.299163473641463 60.54978086585691, 5.299276353972541 60.54981604432895, 5.300087508173469 60.55006147731701, 5.302279404711195 60.5507185081758, 5.302822973571926 60.55088758394687, 5.305214456637702 60.55206339777662, 5.306190852803239 60.55268811987655, 5.306493810612342 60.55288689109703, 5.3072058858459314 60.55333758143748, 5.308467457502114 60.55491896714829, 5.308560402775041 60.55502467415021, 5.310404583907746 60.55602233863225, 5.3104789989403525 60.556044277686766, 5.316718822330412 60.556828755030644, 5.328407170184878 60.5607027725878, 5.328595871958711 60.56104995240368, 5.328623041017632 60.5611020874359, 5.343800905072384 60.56484241999278, 5.3613389172121675 60.56571162577169, 5.365694692864065 60.56553842183558, 5.365854334468372 60.56551349626948, 5.3671041742759735 60.56541901442591, 5.367911718215566 60.56544671775606, 5.369306271426904 60.56572253651641, 5.370432740493481 60.56631271777811, 5.370441229068102 60.566320679913474, 5.370981932136959 60.56693885526877, 5.373946285516842 60.569730511180055, 5.373980938164112 60.56981712356712, 5.3740235415605895 60.5699005149928, 5.374074639178326 60.5704172997265, 5.363324187232454 60.58251679523136)"/>
    <s v="[2063685, 2063693, 2063701, 2063709, 2063717, 2063725, 2063737, 2063745, 2063754, 2063770, 2063778, 2063794, 2063802, 2063810, 2063818, 2063826, 2063834, 2063842, 2063850, 2063858, 2063866, 2063874, 2063882, 2063890, 2063898, 2063906, 2063914, 2063922, 2063930, 2063938, 2063946, 2063954, 2063962, 2063970, 2063978, 2063986, 2063994, 2064002, 2064010]"/>
    <s v="[1793505, 1793509, 1793515, 1684730, 1793526, 1675062, 1793539, 1793545, 1793550, 1793565, 1793571, 1675235, 1793591, 672995, 1738280, 1793605, 1702319, 1793616, 1793623, 1793628, 1793635, 1702417, 1793647, 1793654, 1793660, 1739921, 1773866, 1739617, 1773907, 1793693, 1773887, 1793704, 1793711, 1758244, 1793724, 1793729, 1740461, 1740453, 1757013]"/>
    <s v="#FIELD!"/>
    <s v="[1622421, 1793505, 1793509, 1793515, 1684730, 1793526, 1675062, 1793539, 1793545, 1793550, 1793565, 1793571, 1675235, 1793591, 672995, 1738280, 1793605, 1702319, 1793616, 1793623, 1793628, 1793635, 1702417, 1793647, 1793654, 1793660, 1739921, 1773866, 1739617, 1773907, 1793693, 1773887, 1793704, 1793711, 1758244, 1793724, 1793729, 1740461, 1740453]"/>
    <s v="[0.029, 0.051, 0.035, 0.011, 0.072, 0.071, 0.01, 0.007, 0.029, 0.007, 0.013, 0.025, 0.011, 0.008, 0.023, 0.038, 0.063, 0.126, 0.024, 0.048, 0.003, 0.004, 0.276, 0.307, 0.015, 0.045, 0.017, 0.055, 0.007, 0.003, 0.01, 0.108, 0.003, 0.037, 0.006, 0.02, 0.021, 0.015, 0.0]"/>
    <s v="7357.758746954593"/>
    <s v="[0.029, 0.051, 0.035, 0.011, 0.072, 0.071, -0.01, -0.007, -0.029, -0.007, 0.013, 0.025, 0.011, -0.008, 0.023, -0.038, -0.063, -0.126, -0.024, 0.048, -0.003, -0.004, 0.276, 0.307, 0.015, -0.045, 0.017, -0.055, -0.007, -0.003, -0.01, 0.108, 0.003, -0.037, -0.006, 0.02, 0.021, 0.015, -0.0]"/>
  </r>
  <r>
    <x v="5023"/>
    <x v="5388"/>
    <x v="0"/>
    <n v="0"/>
    <s v="LINESTRING (5.406278980702067 59.75491596643787, 5.406110614490539 59.75492924328008, 5.406066225992227 59.75493535924474, 5.40535763406371 59.755346247749806)"/>
    <s v="[1861740, 1861749, 1861767]"/>
    <s v="[1633183, 1633194, 1633215]"/>
    <s v="#FIELD!"/>
    <s v="[1633182, 1633183, 1633194]"/>
    <s v="[0.069, 0.065, 0.053]"/>
    <s v="78.35891350714239"/>
    <s v="[-0.069, -0.065, -0.053]"/>
  </r>
  <r>
    <x v="5023"/>
    <x v="5389"/>
    <x v="484"/>
    <n v="0"/>
    <s v="LINESTRING (5.406278980702067 59.75491596643787, 5.406383473792251 59.75512755154545, 5.421892258366924 59.76021033877013, 5.421986600962332 59.76020603731852, 5.426532918186316 59.7603756581173, 5.426597015713442 59.76038335385337, 5.437957944319767 59.760476584282806, 5.438030260002868 59.76046263347338, 5.445654173582818 59.75975000879724, 5.449989775018032 59.761625037872705)"/>
    <s v="[2060735, 2060743, 2060751, 2060759, 2060767, 2060775, 2060783, 2060791, 2060799]"/>
    <s v="[1632981, 1791565, 1791570, 1791576, 1791582, 1791587, 1791593, 1791599, 1754016]"/>
    <s v="0.0059774487446024194"/>
    <s v="[1633182, 1632981, 1791565, 1791570, 1791576, 1791582, 1791587, 1791593, 1791599]"/>
    <s v="[0.038, 0.001, 0.027, 0.01, 0.007, 0.006, 0.012, 0.031, 0.009]"/>
    <s v="2972.0624416331"/>
    <s v="[0.038, 0.001, 0.027, 0.01, -0.007, -0.006, 0.012, 0.031, 0.009]"/>
  </r>
  <r>
    <x v="5024"/>
    <x v="5390"/>
    <x v="0"/>
    <s v="[1, 0, 0, 0]"/>
    <s v="LINESTRING (6.063538982831894 61.9191021356113, 6.063396451668567 61.91919621241956, 6.0632219956167726 61.91939810771645, 6.06320178144759 61.91942118920787, 6.063069749289545 61.919464731996435)"/>
    <s v="[1880355, 1880362, 1880363, 1880379]"/>
    <s v="[1654995, 1655002, 1655003, 1655024]"/>
    <s v="0.2712364076969061"/>
    <s v="[1654994, 1654995, 1655002, 1655003]"/>
    <s v="[0.291, 0.306, 0.264, 0.15]"/>
    <s v="49.09449465301721"/>
    <s v="[0.291, 0.306, 0.264, 0.15]"/>
  </r>
  <r>
    <x v="5024"/>
    <x v="5391"/>
    <x v="0"/>
    <s v="[1, 0, 0]"/>
    <s v="LINESTRING (6.063538982831894 61.9191021356113, 6.063300517600629 61.919189937812604, 6.063055515977083 61.91937094975417, 6.0630285603976235 61.91939087877314)"/>
    <s v="[1900454, 1900462, 1900470]"/>
    <s v="[1668909, 1668913, 1667799]"/>
    <s v="0.24898095051318966"/>
    <s v="[1654994, 1668909, 1668913]"/>
    <s v="[0.206, 0.275, 0.272]"/>
    <s v="42.55727519954378"/>
    <s v="[0.206, 0.275, 0.272]"/>
  </r>
  <r>
    <x v="5024"/>
    <x v="5392"/>
    <x v="0"/>
    <n v="0"/>
    <s v="LINESTRING (6.282876877620102 61.90968223028545, 6.063538982831894 61.9191021356113)"/>
    <m/>
    <m/>
    <s v="0.0"/>
    <m/>
    <n v="0"/>
    <s v="12669.521298782325"/>
    <n v="0"/>
  </r>
  <r>
    <x v="5025"/>
    <x v="5393"/>
    <x v="0"/>
    <n v="0"/>
    <s v="LINESTRING (6.06233995575504 61.91929549325384, 6.062848301080641 61.91942037567708, 6.063069749289545 61.919464731996435)"/>
    <s v="[1881811, 1881827]"/>
    <s v="[1656269, 1655024]"/>
    <s v="0.1582561554032911"/>
    <s v="[1656268, 1656269]"/>
    <s v="[0.165, 0.142]"/>
    <s v="43.21011078099061"/>
    <s v="[0.165, 0.142]"/>
  </r>
  <r>
    <x v="5025"/>
    <x v="5391"/>
    <x v="0"/>
    <n v="0"/>
    <m/>
    <n v="1900478"/>
    <n v="1655024"/>
    <s v="0.316"/>
    <n v="1667799"/>
    <s v="0.316"/>
    <s v="8.529692432604653"/>
    <s v="0.316"/>
  </r>
  <r>
    <x v="5026"/>
    <x v="5394"/>
    <x v="0"/>
    <n v="0"/>
    <s v="LINESTRING (6.492515421107342 61.939220831509, 6.492515421107342 61.939220831509, 6.492496911523568 61.939471029101796)"/>
    <s v="[1880593, 1880607]"/>
    <s v="[1655221, 1655234]"/>
    <s v="#FIELD!"/>
    <s v="[1655220, 1655221]"/>
    <s v="[0.0, 0.04]"/>
    <s v="34.215022150894605"/>
    <s v="[0.0, -0.04]"/>
  </r>
  <r>
    <x v="5027"/>
    <x v="5395"/>
    <x v="1"/>
    <s v="[0, 1, 1, 0, 0, 0, 0, 0, 0, 0, 0]"/>
    <s v="LINESTRING (6.492496911523568 61.939471029101796, 6.492776823635564 61.94007750202313, 6.492786262610187 61.94009842123131, 6.492814324213653 61.94016058488935, 6.493031140087577 61.94072787024069, 6.491666110412645 61.941793443115635, 6.487243988491113 61.94249406247905, 6.473768412840292 61.94474291699466, 6.473636767081052 61.944779633142126, 6.473081063194526 61.94500086446012, 6.472996816087297 61.94504995531899, 6.46997503545153 61.94588718351107)"/>
    <s v="[1886537, 1886552, 1886582, 1886588, 1886608, 1886622, 1886630, 1886638, 1886646, 1886662, 1886670]"/>
    <s v="[1659588, 1659600, 1659617, 1659621, 1659632, 1659642, 1659646, 460883, 460882, 1659659, 1659666]"/>
    <s v="0.0051316796739891285"/>
    <s v="[1655234, 1659588, 1659600, 1659617, 1659621, 1659632, 1659642, 1659646, 460883, 460882, 1659659]"/>
    <s v="[0.043, 0.037, 0.036, 0.028, 0.191, 0.031, 0.009, 0.038, 0.045, 0.066, 0.014]"/>
    <s v="1557.7022271802548"/>
    <s v="[-0.043, -0.037, -0.036, -0.028, 0.191, -0.031, -0.009, 0.038, 0.045, 0.066, -0.014]"/>
  </r>
  <r>
    <x v="5027"/>
    <x v="5396"/>
    <x v="0"/>
    <n v="0"/>
    <s v="LINESTRING (6.49212769836169 61.939241728731005, 6.49220113231591 61.93927278804399, 6.492496911523568 61.939471029101796)"/>
    <s v="[1930535, 1930543]"/>
    <s v="[1693971, 1655234]"/>
    <s v="#FIELD!"/>
    <s v="[1670339, 1693971]"/>
    <s v="0.052"/>
    <s v="32.45029936720009"/>
    <s v="#FIELD!"/>
  </r>
  <r>
    <x v="5028"/>
    <x v="5397"/>
    <x v="485"/>
    <n v="0"/>
    <s v="LINESTRING (7.209450337892191 60.898100129929944, 6.95292923624202 60.886142847056746)"/>
    <m/>
    <m/>
    <s v="0.0"/>
    <m/>
    <n v="0"/>
    <s v="18495.838029223883"/>
    <n v="0"/>
  </r>
  <r>
    <x v="5029"/>
    <x v="5398"/>
    <x v="0"/>
    <n v="0"/>
    <s v="LINESTRING (5.845272852826223 61.45185629510409, 5.843649382682703 61.452316364143755, 5.843514601323935 61.452347370327566, 5.843372294763057 61.452373165324964, 5.843176397353518 61.452407081016965, 5.843100548126184 61.45241956971163, 5.842915544301424 61.45245241521413, 5.842553752970005 61.452506674592065, 5.841233171036665 61.45275931485458)"/>
    <s v="[2017829, 2017837, 2017845, 2017857, 2017865, 2017873, 2017881, 2017889]"/>
    <s v="[1763359, 1763366, 1763372, 1763377, 1171652, 1763385, 1763389, 1662585]"/>
    <s v="0.046760218534692366"/>
    <s v="[1655845, 1763359, 1763366, 1763372, 1763377, 1171652, 1763385, 1763389]"/>
    <s v="[0.057, 0.097, 0.1, 0.092, 0.108, 0.094, 0.099, 0.007]"/>
    <s v="230.04854809432862"/>
    <s v="[0.057, 0.097, 0.1, 0.092, 0.108, 0.094, 0.099, -0.007]"/>
  </r>
  <r>
    <x v="5030"/>
    <x v="5399"/>
    <x v="0"/>
    <n v="0"/>
    <m/>
    <n v="1891411"/>
    <n v="1655940"/>
    <s v="0.032"/>
    <n v="1655933"/>
    <s v="0.032"/>
    <s v="47.758245361309626"/>
    <s v="0.032"/>
  </r>
  <r>
    <x v="5031"/>
    <x v="5400"/>
    <x v="486"/>
    <n v="0"/>
    <s v="LINESTRING (5.854841420831363 61.44958556544624, 5.8556683595595755 61.44958815272152, 5.856511581928875 61.4495618229076, 5.8565380525075605 61.449561019712746, 5.8565777504245835 61.44955980985256, 5.856710590271543 61.44955241850148, 5.857047811842269 61.449537251406724, 5.858204252179429 61.449477439524834, 5.858261867597921 61.44947368977325, 5.859152800378363 61.44939953921423)"/>
    <s v="[1881364, 1881372, 1881387, 1881390, 1881407, 1881408, 1881411, 1881438, 1881456]"/>
    <s v="[1655941, 1655949, 1655965, 1655966, 1655540, 1655982, 1655985, 1655424, 1648617]"/>
    <s v="#FIELD!"/>
    <s v="[1655940, 1655941, 1655949, 1655965, 1655966, 1655540, 1655982, 1655985, 1655424]"/>
    <s v="[0.013, 0.015, 0.036, 0.032, 0.0, 0.02, 0.012, 0.033, 0.003]"/>
    <s v="232.57955458971242"/>
    <s v="[0.013, -0.015, -0.036, -0.032, -0.0, -0.02, -0.012, 0.033, -0.003]"/>
  </r>
  <r>
    <x v="5031"/>
    <x v="5400"/>
    <x v="0"/>
    <n v="0"/>
    <s v="LINESTRING (5.854841420831363 61.44958556544624, 5.855659259202137 61.44953424380064, 5.856529174243795 61.44948921699909, 5.856584609430138 61.449485944192176, 5.856762999024434 61.44947984535666, 5.8570765710624855 61.44946110699481, 5.857094841117131 61.449460508149485, 5.8581897915532295 61.449417364402045, 5.858244536847236 61.44941514716794, 5.859152800378363 61.44939953921423)"/>
    <s v="[1898683, 1898691, 1898699, 1898707, 1898715, 1898723, 1898731, 1898739, 1898747]"/>
    <s v="[1667578, 1667582, 1655539, 1667595, 1667599, 1667603, 1667608, 1655423, 1648617]"/>
    <s v="#FIELD!"/>
    <s v="[1655940, 1667578, 1667582, 1655539, 1667595, 1667599, 1667603, 1667608, 1655423]"/>
    <s v="[1.141, 0.02, 0.017, 0.021, 0.022, 0.01, 0.021, 0.018, 0.934]"/>
    <s v="232.40016005784565"/>
    <s v="[-1.141, 0.02, 0.017, 0.021, 0.022, 0.01, 0.021, 0.018, 0.934]"/>
  </r>
  <r>
    <x v="5032"/>
    <x v="5401"/>
    <x v="0"/>
    <n v="0"/>
    <s v="LINESTRING (5.859152800378363 61.44939953921423, 5.861111474191504 61.44938106603776, 5.862087063175227 61.4495393529733)"/>
    <s v="[1891419, 1891427]"/>
    <s v="[1648638, 1585017]"/>
    <s v="#FIELD!"/>
    <s v="[1648617, 1648638]"/>
    <s v="[0.456, 0.716]"/>
    <s v="160.2969977500853"/>
    <s v="[-0.456, 0.716]"/>
  </r>
  <r>
    <x v="5033"/>
    <x v="5402"/>
    <x v="487"/>
    <n v="0"/>
    <s v="LINESTRING (5.862087063175227 61.4495393529733, 5.862693712112367 61.44963295921122, 5.863577473822715 61.449610710146516, 5.863654495560136 61.44961018692661, 5.864355694166171 61.44954251837387)"/>
    <s v="[1881464, 1881471, 1881479, 1881491]"/>
    <s v="[1656021, 1656028, 1655488, 1589383]"/>
    <s v="#FIELD!"/>
    <s v="[1585017, 1656021, 1656028, 1655488]"/>
    <s v="[0.086, 0.036, 0.039, 0.014]"/>
    <s v="124.98653464144132"/>
    <s v="[-0.086, -0.036, -0.039, -0.014]"/>
  </r>
  <r>
    <x v="5033"/>
    <x v="5402"/>
    <x v="0"/>
    <n v="0"/>
    <s v="LINESTRING (5.862087063175227 61.4495393529733, 5.8627140013853065 61.449570362355885, 5.863574071334868 61.4495549186144, 5.863648139243945 61.44955045299397, 5.864355694166171 61.44954251837387)"/>
    <s v="[1898755, 1898763, 1898771, 1898779]"/>
    <s v="[1667625, 1667631, 1655511, 1589383]"/>
    <s v="#FIELD!"/>
    <s v="[1585017, 1667625, 1667631, 1655511]"/>
    <s v="[1.202, 0.011, 0.013, 0.927]"/>
    <s v="122.32870763939438"/>
    <s v="[-1.202, -0.011, -0.013, 0.927]"/>
  </r>
  <r>
    <x v="5034"/>
    <x v="5403"/>
    <x v="488"/>
    <n v="0"/>
    <s v="LINESTRING (5.864355694166171 61.44954251837387, 5.866572990822465 61.44943351195771, 5.866710030202072 61.44942351998217, 5.8683502238614915 61.449213728212015, 5.868446274518901 61.44919734818851, 5.8689736897824325 61.4491104982441, 5.869483239038416 61.4490355472892, 5.8699431549387295 61.44897839458249)"/>
    <s v="[1891435, 1891443, 1891451, 1891459, 1891466, 1989386, 1989387]"/>
    <s v="[1662604, 1662606, 1648931, 1662618, 1662625, 1747784, 1747695]"/>
    <s v="#FIELD!"/>
    <s v="[1589383, 1662604, 1662606, 1648931, 1662618, 1662625, 1747784]"/>
    <s v="[0.302, 0.008, 0.006, 0.018, 0.004, 0.119, 0.022]"/>
    <s v="306.7064324603587"/>
    <s v="[-0.302, 0.008, -0.006, -0.018, -0.004, 0.119, 0.022]"/>
  </r>
  <r>
    <x v="5035"/>
    <x v="5404"/>
    <x v="0"/>
    <n v="0"/>
    <s v="LINESTRING (6.232561948958634 61.77152782832438, 6.2321645598839845 61.771864492478606, 6.232078189950617 61.77195890454191, 6.232023148621272 61.77202403333315, 6.231995493421387 61.77205227899767, 6.231193105230709 61.77304446660229)"/>
    <s v="[1881496, 1881527, 1881546, 1881554, 1881555]"/>
    <s v="[1656048, 1655316, 1656084, 1656090, 1656091]"/>
    <s v="0.06731122256955192"/>
    <s v="[1656047, 1656048, 1655316, 1656084, 1656090]"/>
    <s v="[0.067, 0.087, 0.066, 0.088, 0.065]"/>
    <s v="184.8779170008932"/>
    <s v="[0.067, 0.087, 0.066, 0.088, 0.065]"/>
  </r>
  <r>
    <x v="5035"/>
    <x v="5404"/>
    <x v="0"/>
    <n v="0"/>
    <s v="LINESTRING (6.232561948958634 61.77152782832438, 6.23253565721526 61.771656187804304, 6.232299521473462 61.77189313107173, 6.232165593312597 61.772037693522776, 6.231193105230709 61.77304446660229)"/>
    <s v="[1898787, 1898795, 1898803, 1898811]"/>
    <s v="[1667650, 1667655, 1655333, 1656091]"/>
    <s v="0.06684981855447561"/>
    <s v="[1656047, 1667650, 1667655, 1655333]"/>
    <s v="[0.631, 0.006, 0.004, 0.179]"/>
    <s v="185.73604446408274"/>
    <s v="[-0.631, -0.006, -0.004, 0.179]"/>
  </r>
  <r>
    <x v="5035"/>
    <x v="4047"/>
    <x v="0"/>
    <n v="0"/>
    <s v="LINESTRING (6.385848772310889 61.74026188862329, 6.232561948958634 61.77152782832438)"/>
    <m/>
    <m/>
    <s v="0.0"/>
    <m/>
    <n v="0"/>
    <s v="15823.00509241764"/>
    <n v="0"/>
  </r>
  <r>
    <x v="5036"/>
    <x v="5405"/>
    <x v="0"/>
    <s v="[0, 1, 0, 1, 0, 0, 0, 0, 0]"/>
    <s v="LINESTRING (6.231193105230709 61.77304446660229, 6.230921290388884 61.773324968274835, 6.2306219461874965 61.773604329808435, 6.229752778990099 61.77423867870031, 6.229526270177161 61.77436986937564, 6.220677054807736 61.77808463902984, 6.214951799684187 61.78046329984472, 6.214331632487587 61.78084827047398, 6.2040898589746325 61.78648034918933, 6.194907617688223 61.78942034387625)"/>
    <s v="[1893972, 1893980, 1893988, 1893996, 1894004, 1894012, 1894020, 1894028, 1894036]"/>
    <s v="[1664305, 1664311, 1664318, 1664323, 1653352, 1664335, 1664341, 1653555, 1656101]"/>
    <s v="#FIELD!"/>
    <s v="[1656091, 1664305, 1664311, 1664318, 1664323, 1653352, 1664335, 1664341, 1653555]"/>
    <s v="[0.634, 0.085, 0.012, 0.039, 0.01, 0.017, 0.016, 0.002, 0.025]"/>
    <s v="2699.170080223093"/>
    <s v="[-0.634, 0.085, -0.012, -0.039, -0.01, 0.017, 0.016, 0.002, 0.025]"/>
  </r>
  <r>
    <x v="5037"/>
    <x v="3394"/>
    <x v="0"/>
    <n v="0"/>
    <s v="LINESTRING (6.194907617688223 61.78942034387625, 6.192017480505072 61.789741838273805, 6.190100844191686 61.79000739350874, 6.188147183250606 61.79049372817652)"/>
    <s v="[1881572, 1881579, 1881593]"/>
    <s v="[1655645, 1656105, 1656115]"/>
    <s v="0.00633265480578641"/>
    <s v="[1656101, 1655645, 1656105]"/>
    <s v="[0.004, 0.001, 0.025]"/>
    <s v="379.82317352824805"/>
    <s v="[-0.004, 0.001, 0.025]"/>
  </r>
  <r>
    <x v="5037"/>
    <x v="3394"/>
    <x v="0"/>
    <n v="0"/>
    <s v="LINESTRING (6.194907617688223 61.78942034387625, 6.192128358512181 61.78979418760204, 6.192054244644861 61.78980231862232, 6.191960897513727 61.789812278646075, 6.1901417696261145 61.79006071569175, 6.188147183250606 61.79049372817652)"/>
    <s v="[1898819, 1898827, 1898835, 1898843, 1898851]"/>
    <s v="[1655646, 1667678, 1667686, 1667695, 1656115]"/>
    <s v="0.006406925220892878"/>
    <s v="[1656101, 1655646, 1667678, 1667686, 1667695]"/>
    <s v="[0.067, 0.063, 0.06, 0.022, 0.133]"/>
    <s v="378.4185028998081"/>
    <s v="[-0.067, -0.063, -0.06, -0.022, 0.133]"/>
  </r>
  <r>
    <x v="5038"/>
    <x v="3580"/>
    <x v="0"/>
    <n v="0"/>
    <s v="LINESTRING (5.985510187327222 61.91204928224253, 5.985630672110076 61.91203992309973, 5.98575009862006 61.91205544290933)"/>
    <s v="[1895064, 1895071]"/>
    <s v="[1665044, 1664980]"/>
    <s v="0.055035982171128484"/>
    <s v="[1656205, 1665044]"/>
    <s v="[0.05, 0.06]"/>
    <s v="12.956651032857053"/>
    <s v="[0.05, 0.06]"/>
  </r>
  <r>
    <x v="5038"/>
    <x v="5406"/>
    <x v="0"/>
    <n v="0"/>
    <s v="LINESTRING (5.985876588291824 61.9122180667355, 5.985726699534614 61.91229464652422, 5.985606733818347 61.91230386830492, 5.985489774069567 61.91228881854832, 5.985394378633551 61.912253433868756, 5.985342352554899 61.91220356462531, 5.985349650016834 61.9121289915918, 5.985510187327222 61.91204928224253)"/>
    <s v="[1895008, 1895016, 1895024, 1895031, 1895039, 1895055, 1895063]"/>
    <s v="[1655635, 1665006, 1665013, 1655028, 1665028, 1665041, 1656205]"/>
    <s v="#FIELD!"/>
    <s v="[1656207, 1655635, 1665006, 1665013, 1655028, 1665028, 1665041]"/>
    <s v="[0.024, 0.055, 0.063, 0.063, 0.042, 0.014, 0.023]"/>
    <s v="58.182550663303005"/>
    <s v="[-0.024, -0.055, -0.063, -0.063, -0.042, -0.014, 0.023]"/>
  </r>
  <r>
    <x v="5039"/>
    <x v="5407"/>
    <x v="0"/>
    <n v="0"/>
    <s v="LINESTRING (5.985876588291824 61.9122180667355, 5.98600512776385 61.91217788996743, 5.986505226164446 61.91203928658986)"/>
    <s v="[1881718, 1881730]"/>
    <s v="[1656208, 1656217]"/>
    <s v="0.033415838313172214"/>
    <s v="[1656207, 1656208]"/>
    <s v="[0.035, 0.033]"/>
    <s v="39.06701793709488"/>
    <s v="[0.035, 0.033]"/>
  </r>
  <r>
    <x v="5039"/>
    <x v="5408"/>
    <x v="0"/>
    <n v="0"/>
    <s v="LINESTRING (5.985847938507435 61.91209860892426, 5.985888736666884 61.912144907633916, 5.985876588291824 61.9122180667355)"/>
    <s v="[1894992, 1895000]"/>
    <s v="[1664986, 1656207]"/>
    <s v="0.02990027642469291"/>
    <s v="[1664981, 1664986]"/>
    <s v="[0.04, 0.023]"/>
    <s v="13.797648766731982"/>
    <s v="[0.04, 0.023]"/>
  </r>
  <r>
    <x v="5040"/>
    <x v="3591"/>
    <x v="489"/>
    <n v="0"/>
    <s v="LINESTRING (5.986505226164446 61.91203928658986, 5.987911311023713 61.91181017032645, 5.9948046722559525 61.91068210669568, 5.996430731934771 61.91051034769492, 5.998166223412777 61.91042008506182)"/>
    <s v="[1894428, 1894436, 1894444, 1894452]"/>
    <s v="[1664609, 1657528, 1664622, 1656222]"/>
    <s v="0.013558901918559211"/>
    <s v="[1656217, 1664609, 1657528, 1664622]"/>
    <s v="[0.035, 0.017, 0.019, 0.012]"/>
    <s v="642.5606014603324"/>
    <s v="[0.035, 0.017, -0.019, 0.012]"/>
  </r>
  <r>
    <x v="5040"/>
    <x v="5408"/>
    <x v="0"/>
    <n v="0"/>
    <s v="LINESTRING (5.985847938507435 61.91209860892426, 5.985951763698448 61.912086215631874, 5.986505226164446 61.91203928658986)"/>
    <s v="[1898922, 1898930]"/>
    <s v="[1667755, 1656217]"/>
    <s v="0.0486820426504014"/>
    <s v="[1664981, 1667755]"/>
    <s v="[0.047, 0.049]"/>
    <s v="35.4838257721423"/>
    <s v="[0.047, 0.049]"/>
  </r>
  <r>
    <x v="5041"/>
    <x v="5393"/>
    <x v="490"/>
    <s v="[0, 0, 0, 0, 0, 0, 0, 0, 0, 0, 0, 0, 0, 0, 0, 0, 0, 0, 0, 0, 0, 0, 0, 0, 0, 0, 0, 0, 0, 0, 0, 0, 0, 1, 0, 0, 0, 0, 0, 0, 0, 0, 0, 0]"/>
    <s v="LINESTRING (6.0005953367258655 61.91044980513177, 6.001037660750139 61.91047549429542, 6.003153196709797 61.91060586925529, 6.003267084461651 61.910612972875846, 6.00335534567462 61.91061851505708, 6.003452282214684 61.91062453818227, 6.007961841768279 61.91116888171416, 6.008201005525339 61.91121120068471, 6.009440558057626 61.911428559786785, 6.011025237000682 61.91170595020327, 6.011562769650382 61.91179980504315, 6.012616864108756 61.9119936305731, 6.012680074718226 61.91200610538413, 6.016634085165268 61.9131639500409, 6.018006026110523 61.91380201883194, 6.021618821668236 61.91479056143012, 6.02198483807861 61.91479600530458, 6.022601520141398 61.9148016328286, 6.024237585546625 61.914858700168, 6.024789757233732 61.91491368893896, 6.02504285203956 61.914944055880206, 6.02780994979753 61.91536019472861, 6.0290542557947076 61.91554874879445, 6.030033964544952 61.915669300461964, 6.031035917392084 61.9157255928268, 6.033689607938413 61.91574513048261, 6.034349522161692 61.915750205893616, 6.036156332771325 61.915968736753676, 6.038734064981626 61.9168161088765, 6.039521477236613 61.917082423904425, 6.039596224520912 61.91710784411397, 6.042904212316602 61.91787855699775, 6.04357062028429 61.917913748382425, 6.043991005437452 61.91793217682917, 6.044368799705306 61.917947450646665, 6.044672769087374 61.91795951142971, 6.04583031476076 61.918007269042455, 6.04851676627449 61.91811714288483, 6.050626642654355 61.91817130118321, 6.051731082959141 61.91808049362486, 6.057746914206581 61.91807839876315, 6.058465876266833 61.91828243168394, 6.059779935614513 61.918658193228175, 6.061757680720909 61.91918084852876, 6.06233995575504 61.91929549325384)"/>
    <s v="[1894460, 1894468, 1894476, 1894484, 1894492, 1894500, 1894508, 1894516, 1894524, 1894532, 1894540, 1894548, 1894564, 1894576, 1894584, 1894585, 1894601, 1894609, 1894610, 1894618, 1894653, 1894654, 1894658, 1894667, 1894668, 1894675, 1894683, 1894691, 1894692, 1894694, 1894712, 1894713, 1894720, 1894728, 1894744, 1894768, 1894769, 1894777, 1894794, 1894795, 1894810, 1894818, 1894826, 1894834]"/>
    <s v="[1664631, 1664637, 1664643, 1664650, 1664656, 1589634, 1664664, 1652617, 1664676, 1664681, 1664685, 1664690, 1652644, 1651588, 1664711, 1664712, 1664724, 1664730, 1664731, 671886, 671913, 1664761, 1662047, 1662053, 1664770, 1664775, 1651992, 1662055, 1662030, 1664791, 1662025, 991392, 1664804, 1664810, 676325, 1664835, 1664836, 1615460, 1664854, 1664855, 1590248, 1662060, 1450055, 1656268]"/>
    <s v="0.008498680913891698"/>
    <s v="[1656258, 1664631, 1664637, 1664643, 1664650, 1664656, 1589634, 1664664, 1652617, 1664676, 1664681, 1664685, 1664690, 1652644, 1651588, 1664711, 1664712, 1664724, 1664730, 1664731, 671886, 671913, 1664761, 1662047, 1662053, 1664770, 1664775, 1651992, 1662055, 1662030, 1664791, 1662025, 991392, 1664804, 1664810, 676325, 1664835, 1664836, 1615460, 1664854, 1664855, 1590248, 1662060, 1450055]"/>
    <s v="[0.029, 0.0, 0.005, 0.004, 0.004, 0.006, 0.016, 0.022, 0.01, 0.022, 0.018, 0.006, 0.004, 0.021, 0.049, 0.011, 0.015, 0.027, 0.028, 0.023, 0.011, 0.022, 0.026, 0.019, 0.028, 0.021, 0.018, 0.008, 0.014, 0.021, 0.015, 0.018, 0.018, 0.018, 0.016, 0.048, 0.054, 0.039, 0.053, 0.007, 0.016, 0.041, 0.013, 0.146]"/>
    <s v="3516.729025818506"/>
    <s v="[-0.029, -0.0, 0.005, 0.004, 0.004, 0.006, 0.016, 0.022, -0.01, -0.022, -0.018, 0.006, -0.004, 0.021, 0.049, -0.011, -0.015, -0.027, -0.028, -0.023, 0.011, 0.022, 0.026, 0.019, 0.028, 0.021, -0.018, 0.008, -0.014, -0.021, -0.015, 0.018, 0.018, 0.018, 0.016, 0.048, 0.054, -0.039, 0.053, 0.007, -0.016, -0.041, 0.013, 0.146]"/>
  </r>
  <r>
    <x v="5042"/>
    <x v="5391"/>
    <x v="0"/>
    <n v="0"/>
    <s v="LINESTRING (6.06233995575504 61.91929549325384, 6.062886505261445 61.91937128347156, 6.0630285603976235 61.91939087877314)"/>
    <s v="[1898986, 1898994]"/>
    <s v="[1667792, 1667799]"/>
    <s v="0.10926848098549542"/>
    <s v="[1656268, 1667792]"/>
    <s v="[0.107, 0.118]"/>
    <s v="37.792721124815465"/>
    <s v="[0.107, 0.118]"/>
  </r>
  <r>
    <x v="5043"/>
    <x v="5409"/>
    <x v="0"/>
    <n v="0"/>
    <m/>
    <n v="1886678"/>
    <n v="1659672"/>
    <s v="#FIELD!"/>
    <n v="1659666"/>
    <s v="0.072"/>
    <s v="70.56132114457188"/>
    <s v="#FIELD!"/>
  </r>
  <r>
    <x v="5043"/>
    <x v="5409"/>
    <x v="0"/>
    <n v="0"/>
    <s v="LINESTRING (6.46997503545153 61.94588718351107, 6.46990542377906 61.94586785806402, 6.468716664957777 61.94605871864869, 6.468712416564268 61.94609457620724)"/>
    <s v="[2117906, 2117914, 2117922]"/>
    <s v="[1825954, 1825958, 1659672]"/>
    <s v="#FIELD!"/>
    <s v="[1659666, 1825954, 1825958]"/>
    <s v="[0.725, 0.065, 0.895]"/>
    <s v="77.65695494028425"/>
    <s v="[0.725, -0.065, -0.895]"/>
  </r>
  <r>
    <x v="5044"/>
    <x v="5410"/>
    <x v="0"/>
    <s v="[0, 0, 0, 0, 0, 0, 0, 0, 0, 0, 0, 0, 0, 0, 0, 0, 0, 1, 1, 0, 0, 0, 0, 0, 0, 0, 0, 0, 0, 0, 0, 0, 0, 0, 0, 1, 0, 0, 0, 0, 0, 0, 0, 0, 0, 0, 0, 0, 0, 0, 0]"/>
    <s v="LINESTRING (6.468712416564268 61.94609457620724, 6.465042976179856 61.94755545711351, 6.464555189258764 61.94824932527359, 6.464302993065346 61.94863710297686, 6.464160608312196 61.94886355570501, 6.464008481181058 61.94919726297212, 6.463963790549724 61.94955036387746, 6.463973105076299 61.9496127844787, 6.468185820688148 61.95632431204554, 6.468376866807649 61.956366310798394, 6.468953216571029 61.95646452161724, 6.469339137039849 61.9564971864178, 6.500331801387289 61.96122871859268, 6.507287281125414 61.96292608778404, 6.51041102195515 61.96342861012418, 6.51916428760456 61.964004313732566, 6.5202194931555315 61.964083972087394, 6.521182816081453 61.96432595710081, 6.521223033139425 61.964341680234085, 6.521265151276917 61.96435815335562, 6.52138005454333 61.96440755886764, 6.522571629314804 61.96507654025278, 6.522921347419588 61.96528783631553, 6.523530551661531 61.96565302957402, 6.523592710593468 61.96569015288065, 6.524962252103789 61.966668062887486, 6.5251127992169655 61.967170664755805, 6.525107164077777 61.967302013772, 6.525102553850289 61.96736891858353, 6.5247195704966225 61.96816340605316, 6.524644598684059 61.96829509628561, 6.524479153405327 61.96865204770527, 6.524346081055649 61.9689451316541, 6.524299395330843 61.96904989585711, 6.524199303635935 61.96926011918158, 6.524018278801993 61.96967201522637, 6.523980596625793 61.96977662329236, 6.523798503165069 61.97038786560919, 6.523690255083203 61.97079929966876, 6.523593609303478 61.97116296735114, 6.523420222664783 61.97179304826626, 6.522876225215625 61.973838055115095, 6.5218734005846795 61.97521432625282, 6.521707592697988 61.975402822711956, 6.521368288532617 61.975833984177314, 6.521043370510121 61.97637235437681, 6.519817830105285 61.978437165980466, 6.517780015512133 61.98031983926748, 6.517347252011788 61.98065632056763, 6.5165764454796244 61.98136123336148, 6.515942639894493 61.982536353056496, 6.515876939252566 61.9829922618871)"/>
    <s v="[1886694, 1886695, 1886704, 1886705, 1886718, 1886726, 1886739, 1886740, 1886747, 1886763, 1886771, 1886772, 1886787, 1886795, 1886803, 1886804, 1886812, 1886820, 1886828, 1886836, 1886846, 1886848, 1886855, 1886877, 1886884, 1886885, 1886892, 1886908, 1886911, 1886912, 1886913, 1886928, 1886952, 1886953, 1886954, 1886961, 1886969, 1886977, 1886978, 1886985, 1886986, 1886987, 1886994, 1887002, 1887009, 1887013, 1887014, 1887015, 1887039, 2107008, 2107039]"/>
    <s v="[1653075, 460969, 1659687, 1659688, 1653047, 1659699, 1659708, 1659709, 1659714, 1659725, 1659733, 1659734, 1659748, 1659752, 1659756, 1653183, 1659761, 1659763, 1659767, 1659771, 1659777, 1659779, 1659782, 1447512, 1447618, 1659796, 1659802, 1659814, 1659816, 1659817, 1659818, 1659828, 1659841, 1659842, 1659843, 1659849, 1659853, 1659858, 1659859, 1447900, 1659862, 1659863, 1659867, 1659870, 933354, 1659876, 1659877, 1659878, 1659886, 1819922, 1819808]"/>
    <s v="0.004167923809357939"/>
    <s v="[1659672, 1653075, 460969, 1659687, 1659688, 1653047, 1659699, 1659708, 1659709, 1659714, 1659725, 1659733, 1659734, 1659748, 1659752, 1659756, 1653183, 1659761, 1659763, 1659767, 1659771, 1659777, 1659779, 1659782, 1447512, 1447618, 1659796, 1659802, 1659814, 1659816, 1659817, 1659818, 1659828, 1659841, 1659842, 1659843, 1659849, 1659853, 1659858, 1659859, 1447900, 1659862, 1659863, 1659867, 1659870, 933354, 1659876, 1659877, 1659878, 1659886, 1819922]"/>
    <s v="[0.021, 0.016, 0.004, 0.001, 0.029, 0.229, 0.237, 0.044, 0.265, 0.179, 0.137, 0.011, 0.037, 0.012, 0.023, 0.035, 0.04, 0.037, 0.085, 0.078, 0.094, 0.1, 0.063, 0.053, 0.045, 0.001, 0.014, 0.022, 0.034, 0.039, 0.001, 0.008, 0.004, 0.005, 0.006, 0.009, 0.011, 0.011, 0.012, 0.037, 0.04, 0.02, 0.015, 0.016, 0.022, 0.05, 0.008, 0.007, 0.005, 0.016, 0.015]"/>
    <s v="6505.137465514545"/>
    <s v="[-0.021, 0.016, 0.004, -0.001, 0.029, 0.229, 0.237, 0.044, -0.265, -0.179, -0.137, -0.011, -0.037, 0.012, 0.023, 0.035, -0.04, -0.037, -0.085, -0.078, -0.094, -0.1, -0.063, 0.053, 0.045, -0.001, -0.014, -0.022, -0.034, -0.039, -0.001, 0.008, 0.004, 0.005, 0.006, 0.009, 0.011, 0.011, 0.012, 0.037, 0.04, 0.02, 0.015, 0.016, 0.022, 0.05, 0.008, -0.007, -0.005, -0.016, 0.015]"/>
  </r>
  <r>
    <x v="5045"/>
    <x v="3560"/>
    <x v="0"/>
    <s v="[0, 0, 0, 1, 0, 0, 0]"/>
    <s v="LINESTRING (5.487668040374084 60.97516832738533, 5.487608384649197 60.97510223313558, 5.4875273188836555 60.97400184550973, 5.48738916917729 60.97338314802756, 5.487431306475533 60.97324468291074, 5.487447484918832 60.973196885904045, 5.487637184714054 60.97258976697655, 5.487731485077704 60.97254728860933)"/>
    <s v="[2095043, 2095051, 1865078, 1865088, 1865090, 2095059, 2095067]"/>
    <s v="[1812541, 1637233, 1637234, 1637249, 1637251, 1812550, 1661302]"/>
    <s v="#FIELD!"/>
    <s v="[1661337, 1812541, 1637233, 1637234, 1637249, 1637251, 1812550]"/>
    <s v="[0.554, 0.042, 0.132, 0.068, 0.124, 0.074, 0.739]"/>
    <s v="299.3495369496739"/>
    <s v="[-0.554, 0.042, 0.132, -0.068, -0.124, -0.074, -0.739]"/>
  </r>
  <r>
    <x v="5045"/>
    <x v="5411"/>
    <x v="491"/>
    <s v="[0, 0, 1, 0, 0, 0, 0, 0, 0, 1, 1, 0, 0, 0, 0, 1, 0, 0, 0, 0, 0, 1, 1, 0, 0, 0, 0, 0, 0, 0, 0, 0, 0, 0, 0, 0, 0, 0, 0, 0, 0, 0, 0, 0, 0, 0, 0, 0, 0, 0, 0, 0, 0, 0, 0, 0, 0, 0, 1, 1, 0, 0, 0, 0, 0, 0, 0, 0, 0, 0, 0, 0, 0, 1, 0, 1, 0, 0, 0, 0, 0]"/>
    <s v="LINESTRING (5.590425114668312 60.83839008113155, 5.590260323057112 60.838380214232295, 5.5901450379032935 60.8383729124591, 5.587621271367426 60.83819812001749, 5.587344023728266 60.83817991533674, 5.589131312045993 60.87098053606624, 5.589137416623965 60.87099757873125, 5.589215416638227 60.871199604244886, 5.589787387129453 60.87199579782607, 5.590293404660398 60.87241608757218, 5.590476334571484 60.872599211962545, 5.59049390122712 60.872621132761736, 5.590727618963993 60.8731609462537, 5.590727987647579 60.87317925691319, 5.590720600372381 60.87334649849603, 5.59066039645806 60.87354168971572, 5.590603357231561 60.87364045430215, 5.58895703917065 60.87440924595254, 5.588477059752062 60.87452963692437, 5.588282727391651 60.8745848077062, 5.586183066225876 60.87650702247685, 5.585665008223054 60.87777304228195, 5.585131574175408 60.878251440044956, 5.585064476656842 60.87829493737123, 5.584493064899105 60.87860367389696, 5.5844499686503735 60.87862265029596, 5.563497958416897 60.8765052313886, 5.563255420016157 60.876444747891505, 5.562074295689657 60.8762754136612, 5.557673184360565 60.876732907997265, 5.557666989557926 60.87673501949051, 5.557416881409009 60.87682892804394, 5.544023482541856 60.87975783085022, 5.54356913851421 60.87975017889111, 5.539890095985607 60.879891180220625, 5.535259794172205 60.8815874395874, 5.522559834748005 60.895573209793625, 5.520449095488277 60.89662448460781, 5.5200968135418575 60.89737174031434, 5.521617745226611 60.899553712637086, 5.5220903112944555 60.9003441116064, 5.525489942920697 60.901949080706295, 5.5258604606595325 60.90262013182452, 5.52592899877552 60.90290814383899, 5.526913177401957 60.90413069206274, 5.526666807731886 60.9056669248802, 5.5263010495630605 60.90733893903727, 5.526393548577648 60.90780763848749, 5.526454443994166 60.908070046634876, 5.526566460912225 60.90856549071496, 5.526841365927064 60.909777386038854, 5.527699044615221 60.91117722090698, 5.527700119234679 60.91117921449201, 5.527750076696348 60.911272268013356, 5.527910099686192 60.91163935859101, 5.531011982194865 60.914215669056, 5.5315625258643735 60.914663010488546, 5.531647476143136 60.91480185558481, 5.53082037733001 60.91665590423756, 5.529646250284011 60.91713401698334, 5.528059603056659 60.91738848743225, 5.527659864295996 60.91740582811838, 5.527592518599114 60.91740708867431, 5.5265122110282325 60.917385915360306, 5.511875824454893 60.92581639805118, 5.511823682716194 60.92586351875562, 5.511806312458603 60.92587923241763, 5.511474994793031 60.92615413164717, 5.500002333196611 60.932843310378686, 5.499484018565172 60.93314929582568, 5.497772002060706 60.93510951430671, 5.4990394874494575 60.93825652659047, 5.498547405820924 60.939278102648466, 5.498930043153682 60.94105434095228, 5.498982625750934 60.94114031402136, 5.492014494207774 60.9585121857916, 5.491985527660717 60.958594779438336, 5.4919675789481115 60.95864017086827, 5.488194259586834 60.96125019781004, 5.486837678147058 60.96368045038469, 5.486465317082121 60.964268838043694, 5.487731485077704 60.97254728860933)"/>
    <s v="[2065508, 2065509, 2065516, 2065517, 2065525, 2065529, 2065535, 2065570, 2065574, 2065582, 2065583, 2065590, 2065595, 2065603, 2065611, 2065616, 2065629, 2065637, 2065645, 2065661, 2065662, 2065669, 2065671, 2065691, 2065733, 2065742, 2065743, 2065749, 2065757, 2065758, 2065769, 2000234, 2000254, 2000262, 2000269, 2000275, 2000278, 2000279, 2000280, 2000292, 2000301, 2000309, 2000317, 2000325, 2000334, 2000342, 2000343, 2000350, 2000351, 2000358, 2000366, 2000367, 2000377, 2000381, 2000393, 2000394, 2000395, 2000402, 2000410, 2000412, 2000413, 2000420, 2000421, 2000430, 2000431, 2000439, 1889288, 1889304, 1889319, 1889328, 1889335, 1889341, 1889346, 1889354, 1889355, 1889388, 1889396, 1889397, 1889403, 1889409, 1889417]"/>
    <s v="[1794629, 1794630, 1794636, 1794637, 1794642, 1794645, 1794648, 1794664, 1794667, 1794670, 1794671, 1794675, 1794678, 1794682, 1794686, 1794689, 1745819, 1794700, 1761821, 1757883, 1794716, 1794720, 1794721, 1794734, 1794761, 1794768, 1794769, 1701734, 1794776, 1794777, 1753423, 1753424, 1753437, 1701689, 1753445, 1753451, 1745785, 1701741, 1539133, 1753460, 1753466, 1753473, 1701763, 1753484, 1745812, 1753493, 1701823, 1742262, 1753496, 1753499, 1753504, 1753505, 1753513, 1753517, 1753525, 1753526, 1753527, 1753534, 1753537, 1753538, 1753539, 1753544, 1753545, 1753553, 1753554, 1661217, 1661218, 1661229, 1661236, 1661241, 1649284, 1637219, 1661250, 1661254, 1661255, 1661284, 1661290, 1661291, 250022, 250042, 1661302]"/>
    <s v="#FIELD!"/>
    <s v="[1757098, 1794629, 1794630, 1794636, 1794637, 1794642, 1794645, 1794648, 1794664, 1794667, 1794670, 1794671, 1794675, 1794678, 1794682, 1794686, 1794689, 1745819, 1794700, 1761821, 1757883, 1794716, 1794720, 1794721, 1794734, 1794761, 1794768, 1794769, 1701734, 1794776, 1794777, 1753423, 1753424, 1753437, 1701689, 1753445, 1753451, 1745785, 1701741, 1539133, 1753460, 1753466, 1753473, 1701763, 1753484, 1745812, 1753493, 1701823, 1742262, 1753496, 1753499, 1753504, 1753505, 1753513, 1753517, 1753525, 1753526, 1753527, 1753534, 1753537, 1753538, 1753539, 1753544, 1753545, 1753553, 1753554, 1661217, 1661218, 1661229, 1661236, 1661241, 1649284, 1637219, 1661250, 1661254, 1661255, 1661284, 1661290, 1661291, 250022, 250042]"/>
    <s v="[0.451, 0.386, 0.363, 0.344, 0.098, 0.28, 0.248, 0.223, 0.258, 0.093, 0.063, 0.069, 0.065, 0.06, 0.052, 0.049, 0.028, 0.024, 0.023, 0.028, 0.066, 0.155, 0.171, 0.166, 0.157, 0.073, 0.266, 0.062, 0.041, 1.797, 1.915, 0.116, 0.049, 0.011, 0.086, 0.044, 0.062, 0.112, 0.017, 0.184, 0.145, 0.287, 0.184, 0.04, 0.011, 0.061, 0.045, 0.043, 0.051, 0.019, 0.157, 0.0, 0.085, 0.084, 0.027, 0.159, 0.27, 0.108, 0.156, 0.281, 0.254, 0.218, 0.403, 0.454, 0.003, 0.13, 0.135, 0.43, 0.366, 0.134, 0.002, 0.03, 0.012, 0.025, 0.026, 0.104, 0.138, 0.054, 0.089, 0.146, 0.041]"/>
    <s v="20016.482615485278"/>
    <s v="[0.451, 0.386, 0.363, 0.344, -0.098, -0.28, -0.248, -0.223, -0.258, -0.093, 0.063, 0.069, 0.065, 0.06, 0.052, 0.049, 0.028, 0.024, 0.023, 0.028, 0.066, 0.155, 0.171, 0.166, 0.157, 0.073, -0.266, -0.062, 0.041, 1.797, -1.915, 0.116, -0.049, 0.011, 0.086, -0.044, -0.062, -0.112, -0.017, -0.184, -0.145, -0.287, -0.184, -0.04, 0.011, -0.061, -0.045, -0.043, -0.051, -0.019, 0.157, 0.0, 0.085, 0.084, -0.027, -0.159, -0.27, -0.108, 0.156, 0.281, 0.254, 0.218, 0.403, 0.454, 0.003, 0.13, -0.135, -0.43, -0.366, -0.134, -0.002, 0.03, 0.012, 0.025, -0.026, -0.104, -0.138, -0.054, -0.089, -0.146, -0.041]"/>
  </r>
  <r>
    <x v="5046"/>
    <x v="5412"/>
    <x v="492"/>
    <s v="[0, 0, 1, 0, 0, 0, 0, 0, 0, 0, 0, 0, 0, 0, 0, 0, 0, 0, 0, 0, 0, 0, 0, 0, 0, 0, 0, 0, 0, 0, 0, 0, 0, 0, 0, 0, 0, 0, 0, 0, 0, 0, 0, 1, 0, 0, 0, 0, 0, 0, 0, 0, 0, 0, 0, 0, 0, 0, 0, 0, 0, 0, 0, 0, 0, 0, 0, 0, 0, 1, 0, 0, 0, 0, 1, 0, 0, 0, 0, 0, 0, 0, 0, 0, 0, 0, 0, 0, 0, 0, 0, 0, 0, 0, 0, 0, 0, 0, 0, 0, 0, 0, 0, 0, 0, 0, 0, 0, 0, 0, 0, 0, 0, 0, 0, 0, 0, 0, 0, 0, 0, 0, 0, 0, 0, 0, 0, 0, 0, 0, 0, 0, 0, 0, 0, 0]"/>
    <s v="LINESTRING (5.778356795911776 61.321743643206716, 5.778043876370864 61.3223628795186, 5.777439189682054 61.32292932050991, 5.776138230090612 61.32359988692039, 5.774685907363175 61.32399589228231, 5.7745950352326 61.32401247996504, 5.774369671986367 61.32405045234783, 5.772669918250562 61.324190169437095, 5.762442132952159 61.327457232532474, 5.761343842998744 61.32831273282505, 5.761334409531728 61.32832954492115, 5.755374219450101 61.33785748966484, 5.755283314698562 61.338047273574865, 5.757936266696438 61.34350629451053, 5.758054475519559 61.343739354518, 5.763164382735625 61.34746432579917, 5.762887043633339 61.34876184583842, 5.763037010447607 61.35025664239572, 5.7641281966554665 61.35103828030433, 5.764962658366008 61.35132420590515, 5.767765543169364 61.352025982221626, 5.769674162349893 61.35253868634109, 5.770461436999472 61.35290515567759, 5.769507230840079 61.3546025240511, 5.769466332247082 61.3549722286268, 5.770306824001198 61.35566945733328, 5.770803317013133 61.35588536321691, 5.772431297182984 61.356598876249045, 5.772944064779175 61.356820317109644, 5.7738003374742455 61.35720414067339, 5.774578138278204 61.35754501194213, 5.775401443413968 61.35781957246889, 5.780606920485719 61.35821978699348, 5.786061317366789 61.36263019918766, 5.786194659093379 61.36279662796813, 5.786330123801026 61.36297495514984, 5.787236263045102 61.36418405286552, 5.787928843339478 61.365729817769726, 5.791886386215804 61.370095034761256, 5.792548180189129 61.37105662856852, 5.792103649877823 61.372288957057236, 5.7914180960876696 61.37364198247654, 5.79135521256227 61.37376634377291, 5.791255230362886 61.373955437809116, 5.791206059553206 61.374052617556295, 5.791120372820038 61.37421701093468, 5.791564360903371 61.37704198282327, 5.795120910420942 61.37935307855452, 5.797706446338987 61.38010438762692, 5.7977969769820135 61.380123221482556, 5.797933442459804 61.38015875065043, 5.7981790955955175 61.3802137531817, 5.799595304058936 61.3805668543219, 5.804146551276338 61.383359861451986, 5.80457700256225 61.38360890027941, 5.805481523403652 61.38399422180471, 5.809538820869296 61.38543245862506, 5.810137157734148 61.38595672661007, 5.81025715611548 61.38610267504294, 5.810581711440759 61.38679544482964, 5.810569865966466 61.38773940966494, 5.810818945391543 61.388504499156504, 5.812611106936513 61.39071364638364, 5.812406004836335 61.39161009418839, 5.812343406920675 61.391738732165656, 5.8123662627216035 61.3931134419767, 5.812390871789814 61.393159200961954, 5.812420276882434 61.39319863244243, 5.8129130327078435 61.39372817552618, 5.813265614124123 61.39642149472751, 5.813228535701122 61.39645947338853, 5.812967709202617 61.39676592076748, 5.812932533567329 61.39681294322872, 5.8128688832719355 61.39688187680629, 5.813319995895256 61.39929793072381, 5.813376006513249 61.399348213808324, 5.813658904287696 61.399609134494476, 5.813712165035843 61.39965660834435, 5.814112595604528 61.40014151464906, 5.817684968685946 61.404139285793555, 5.8196233870617275 61.40717957749984, 5.8198559057824575 61.408318258774486, 5.818161350008798 61.410738671702696, 5.816151031766507 61.41614967357428, 5.816250761775446 61.416821838231655, 5.8167684120069705 61.42137928849527, 5.817434365429638 61.421876625883655, 5.817780056233836 61.42206648804777, 5.8188149938404266 61.42261151261678, 5.8228464938476305 61.4247886775015, 5.822978134059263 61.42488965970035, 5.823334299651327 61.4254350668826, 5.822954784803372 61.42727773273899, 5.822760937114299 61.427862154552976, 5.823512318986 61.42906591763962, 5.817438803459897 61.43431354230589, 5.818391094206558 61.43528960676913, 5.818398670541575 61.435385050939985, 5.822139412371253 61.44197104600543, 5.821062095363937 61.44364968743727, 5.818146659692036 61.445716472352295, 5.818944977293114 61.4454342296818, 5.8273243858652 61.44364255565656, 5.827793441651271 61.4473652939779, 5.827867574839897 61.449370324244455, 5.8278721296941 61.449411045685835, 5.827887557109531 61.44945331893957, 5.82795500539164 61.449571811616934, 5.8281696970579855 61.44978618759094, 5.8283507671154355 61.44992025891875, 5.828192660863052 61.45183710626374, 5.8302437737704365 61.45163451695231, 5.830454312382689 61.4515581092991, 5.831155330944655 61.45148263988811, 5.830981668424904 61.45186548213866, 5.830526749158027 61.45219985446305, 5.830420888783257 61.452278557018445, 5.829668878369387 61.4530775288736, 5.830084529244377 61.45391181143832, 5.832492680206572 61.45414818200196, 5.833106368546075 61.45415727193811, 5.833977119182022 61.454156449664076, 5.834214112594886 61.45415440893797, 5.834469881916125 61.454150775541635, 5.834626362592611 61.454141283645, 5.835116234578291 61.45412438147086, 5.8355084412427685 61.45411285029583, 5.835796006242206 61.45410709474009, 5.837288558922649 61.45401218916579, 5.837516754891732 61.453946442472024, 5.838659698261063 61.45346647899942, 5.838786715412785 61.453434363126306, 5.838964948786483 61.45339992463345, 5.8390695931338925 61.453375937955414, 5.83974837075133 61.45321692564473, 5.840636817988256 61.45293622554315, 5.841233171036665 61.45275931485458)"/>
    <s v="[2092858, 2092866, 2092842, 2093992, 2094000, 2094004, 2094016, 2094017, 2094028, 2094043, 1890483, 1890491, 1890494, 1890495, 1890496, 1890497, 1890515, 1890538, 1890547, 1890548, 1890555, 1890556, 1890561, 1890562, 1890563, 1890564, 1890569, 1890570, 1890578, 1890586, 1890594, 1890602, 1890610, 1890626, 1890627, 1890636, 1890645, 1890646, 1890653, 1890661, 1890669, 1890693, 1890701, 1890709, 1890717, 1890725, 1890726, 1890733, 1890741, 1890742, 1890750, 1890765, 1890773, 1890788, 1890789, 1890797, 1890805, 1890820, 1890844, 1890852, 1890873, 1890880, 1890888, 1890889, 1890896, 1890904, 1890912, 1890920, 1890928, 1890936, 1890944, 1890945, 1890968, 1890976, 1891000, 1891008, 1891009, 1891016, 1891024, 1891026, 1891033, 1891041, 1891049, 1891057, 1891058, 1891073, 1891084, 1891092, 1891100, 1891108, 1891116, 1891123, 1891124, 1891132, 1891140, 1891141, 1891148, 1891149, 1891157, 1891165, 1891166, 1891173, 1891174, 1891181, 1891182, 1891189, 1891197, 1891205, 1891213, 1891221, 1891222, 1891237, 1891238, 1891246, 1891253, 1891261, 1891269, 1891276, 1891277, 1891287, 1891288, 1891295, 1891296, 1891303, 1891311, 1891335, 1891336, 1891347, 1891358, 1891359, 1891363, 1891371, 1891379, 1891387, 1891395, 1891403]"/>
    <s v="[1811276, 1811265, 1811266, 1762094, 1811932, 1762080, 1811946, 1811947, 1811957, 1661974, 1661975, 1573508, 1661984, 1646565, 1653591, 1646580, 1646583, 1662010, 1646582, 1662016, 1646538, 1662019, 1646530, 1653633, 1646521, 1572707, 1646518, 1654462, 1662028, 1646658, 1646660, 1646665, 1654493, 1662064, 1646209, 1662072, 1653918, 1662078, 1662081, 1662086, 1632322, 1653934, 1662114, 1662122, 1632319, 1662129, 1662130, 1655189, 1662139, 1662140, 1632505, 1662151, 1653884, 1296948, 1662163, 1653904, 1662174, 1572752, 1632279, 1632143, 1662210, 1632172, 1662219, 1632183, 1662225, 1662231, 1662234, 1632195, 1662248, 1662254, 1058833, 1662259, 1058831, 1662279, 1662299, 1632248, 1632250, 1662309, 1632273, 1662315, 1662321, 1632310, 1591704, 1591714, 1662339, 1662348, 1646037, 1646079, 1662364, 1662369, 1662375, 1662379, 1662380, 1662386, 1638790, 1662393, 1662400, 1662401, 1662405, 1662411, 1569841, 1662414, 1662415, 1171668, 1662419, 1171659, 1662430, 1584818, 1662443, 1662451, 1662452, 1662462, 1589362, 1662468, 1662471, 1584593, 1662487, 1662494, 1662495, 1662506, 1662507, 1662512, 1572170, 1662516, 1662522, 1662542, 1662543, 1662550, 1662559, 1662560, 1662564, 1662571, 1589507, 1662578, 1655008, 1662585]"/>
    <s v="#FIELD!"/>
    <s v="[1762112, 1811276, 1811265, 1811266, 1762094, 1811932, 1762080, 1811946, 1811947, 1811957, 1661974, 1661975, 1573508, 1661984, 1646565, 1653591, 1646580, 1646583, 1662010, 1646582, 1662016, 1646538, 1662019, 1646530, 1653633, 1646521, 1572707, 1646518, 1654462, 1662028, 1646658, 1646660, 1646665, 1654493, 1662064, 1646209, 1662072, 1653918, 1662078, 1662081, 1662086, 1632322, 1653934, 1662114, 1662122, 1632319, 1662129, 1662130, 1655189, 1662139, 1662140, 1632505, 1662151, 1653884, 1296948, 1662163, 1653904, 1662174, 1572752, 1632279, 1632143, 1662210, 1632172, 1662219, 1632183, 1662225, 1662231, 1662234, 1632195, 1662248, 1662254, 1058833, 1662259, 1058831, 1662279, 1662299, 1632248, 1632250, 1662309, 1632273, 1662315, 1662321, 1632310, 1591704, 1591714, 1662339, 1662348, 1646037, 1646079, 1662364, 1662369, 1662375, 1662379, 1662380, 1662386, 1638790, 1662393, 1662400, 1662401, 1662405, 1662411, 1569841, 1662414, 1662415, 1171668, 1662419, 1171659, 1662430, 1584818, 1662443, 1662451, 1662452, 1662462, 1589362, 1662468, 1662471, 1584593, 1662487, 1662494, 1662495, 1662506, 1662507, 1662512, 1572170, 1662516, 1662522, 1662542, 1662543, 1662550, 1662559, 1662560, 1662564, 1662571, 1589507, 1662578, 1655008]"/>
    <s v="[0.251, 0.021, 0.051, 0.082, 0.084, 0.094, 0.042, 0.029, 0.065, 2.214, 0.015, 0.096, 0.022, 0.003, 0.105, 0.0, 0.008, 0.032, 0.065, 0.068, 0.056, 0.064, 0.065, 0.162, 0.158, 0.052, 0.001, 0.088, 0.097, 0.076, 0.041, 0.02, 0.02, 0.016, 0.052, 0.127, 0.246, 0.01, 0.015, 0.003, 0.046, 0.077, 0.057, 0.053, 0.059, 0.013, 0.019, 0.045, 0.016, 0.021, 0.015, 0.021, 0.027, 0.031, 0.05, 0.07, 0.143, 0.129, 0.101, 0.063, 0.033, 0.002, 0.032, 0.025, 0.008, 0.05, 0.039, 0.034, 0.035, 0.087, 0.083, 0.075, 0.079, 0.009, 0.025, 0.024, 0.024, 0.03, 0.009, 0.003, 0.0, 0.004, 0.002, 0.004, 0.005, 0.068, 0.106, 0.108, 0.015, 0.038, 0.031, 0.007, 0.211, 0.006, 0.087, 0.049, 0.015, 0.064, 0.123, 0.006, 0.104, 0.075, 0.01, 0.033, 0.024, 0.063, 0.076, 0.112, 0.137, 0.075, 0.048, 0.061, 0.137, 0.13, 0.037, 0.055, 0.076, 0.165, 0.126, 0.146, 0.121, 0.111, 0.136, 0.074, 0.085, 0.092, 0.108, 0.064, 0.001, 0.082, 0.051, 0.023, 0.067, 0.071, 0.022, 0.045]"/>
    <s v="19765.974372925673"/>
    <s v="[0.251, 0.021, 0.051, 0.082, 0.084, 0.094, 0.042, 0.029, 0.065, 2.214, -0.015, -0.096, -0.022, 0.003, 0.105, 0.0, 0.008, 0.032, 0.065, 0.068, 0.056, 0.064, 0.065, 0.162, 0.158, 0.052, 0.001, -0.088, -0.097, -0.076, -0.041, 0.02, -0.02, -0.016, 0.052, 0.127, 0.246, -0.01, -0.015, 0.003, -0.046, -0.077, -0.057, -0.053, -0.059, -0.013, 0.019, 0.045, 0.016, 0.021, 0.015, 0.021, 0.027, 0.031, 0.05, 0.07, 0.143, 0.129, 0.101, 0.063, 0.033, -0.002, -0.032, -0.025, 0.008, 0.05, 0.039, 0.034, 0.035, 0.087, 0.083, 0.075, 0.079, 0.009, -0.025, -0.024, -0.024, -0.03, -0.009, -0.003, 0.0, 0.004, -0.002, 0.004, 0.005, 0.068, 0.106, 0.108, 0.015, -0.038, -0.031, 0.007, 0.211, -0.006, -0.087, 0.049, 0.015, -0.064, -0.123, -0.006, -0.104, -0.075, -0.01, -0.033, -0.024, -0.063, -0.076, -0.112, -0.137, -0.075, -0.048, -0.061, -0.137, -0.13, -0.037, -0.055, -0.076, -0.165, -0.126, -0.146, -0.121, -0.111, -0.136, -0.074, -0.085, -0.092, -0.108, -0.064, -0.001, 0.082, 0.051, -0.023, -0.067, -0.071, -0.022, -0.045]"/>
  </r>
  <r>
    <x v="5047"/>
    <x v="5413"/>
    <x v="0"/>
    <n v="0"/>
    <s v="LINESTRING (5.881031279550679 61.447931311189265, 5.8792420018638705 61.448213811938466, 5.8788060982488535 61.44826393761949)"/>
    <s v="[2030680, 2030716]"/>
    <s v="[1772128, 1771994]"/>
    <s v="0.16371818949689707"/>
    <s v="[1662627, 1772128]"/>
    <s v="[0.197, 0.036]"/>
    <s v="115.97139096033496"/>
    <s v="[0.197, 0.036]"/>
  </r>
  <r>
    <x v="5048"/>
    <x v="5408"/>
    <x v="0"/>
    <n v="0"/>
    <m/>
    <n v="1894984"/>
    <n v="1664981"/>
    <s v="0.056"/>
    <n v="1664980"/>
    <s v="0.056"/>
    <s v="7.0574574032021475"/>
    <s v="0.056"/>
  </r>
  <r>
    <x v="5049"/>
    <x v="5396"/>
    <x v="0"/>
    <n v="0"/>
    <s v="LINESTRING (6.49216414493798 61.93923489053172, 6.49216414493798 61.93923489053172, 6.49212769836169 61.939241728731005)"/>
    <s v="[1902413, 1902421]"/>
    <s v="[1670331, 1670339]"/>
    <s v="0.0"/>
    <s v="[1670325, 1670331]"/>
    <s v="0.0"/>
    <s v="11.510506885713236"/>
    <s v="0.0"/>
  </r>
  <r>
    <x v="5050"/>
    <x v="5392"/>
    <x v="493"/>
    <n v="0"/>
    <s v="LINESTRING (6.49212769836169 61.939241728731005, 6.282876877620102 61.90968223028545)"/>
    <m/>
    <m/>
    <s v="0.0"/>
    <m/>
    <n v="0"/>
    <s v="12669.521298782325"/>
    <n v="0"/>
  </r>
  <r>
    <x v="5051"/>
    <x v="2818"/>
    <x v="0"/>
    <n v="0"/>
    <s v="LINESTRING (10.759003151576643 59.90084687466829, 10.759649348299622 59.90198047922189, 10.75886913364309 59.90328015801466, 10.758171517958406 59.90381664002348, 10.75801874280059 59.90387570020286)"/>
    <s v="[1928897, 1928906, 1928914, 1928922]"/>
    <s v="[1692556, 1692564, 1692572, 1692454]"/>
    <s v="#FIELD!"/>
    <s v="[1692549, 1692556, 1692564, 1692572]"/>
    <s v="[0.018, 0.062, 0.009, 0.008]"/>
    <s v="367.60813983734414"/>
    <s v="[-0.018, -0.062, -0.009, 0.008]"/>
  </r>
  <r>
    <x v="5052"/>
    <x v="5414"/>
    <x v="0"/>
    <n v="0"/>
    <s v="LINESTRING (5.87101848306044 60.621614300744476, 5.870983574636043 60.62166902194722, 5.870984854806672 60.62171784545456, 5.872665978781273 60.62192513810668)"/>
    <s v="[1940849, 1940857, 1940865]"/>
    <s v="[1703038, 1703045, 1703051]"/>
    <s v="0.014343977390885712"/>
    <s v="[1703037, 1703038, 1703045]"/>
    <s v="[0.172, 0.162, 0.035]"/>
    <s v="116.22700725635461"/>
    <s v="[-0.172, -0.162, 0.035]"/>
  </r>
  <r>
    <x v="5052"/>
    <x v="5415"/>
    <x v="494"/>
    <s v="[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s v="LINESTRING (5.87101848306044 60.621614300744476, 5.869596059492832 60.62127800418768, 5.8684996191629955 60.6209040396557, 5.868404426952222 60.620873011610904, 5.8673973685718686 60.620591768528065, 5.865844869403383 60.62036338722008, 5.86547939808266 60.62030850614133, 5.837282544179714 60.612715392159636, 5.8371915065058975 60.61271477082956, 5.836683800244013 60.61271910784446, 5.836070623840292 60.61271669865926, 5.835442117138532 60.61269587268599, 5.835337267209055 60.61268953224174, 5.835223146890811 60.61268345507985, 5.834282069412872 60.6125464248799, 5.8332574291382056 60.61230989678289, 5.833061355540375 60.61225267891116, 5.832672942502236 60.61210951232804, 5.832496461346198 60.61203537084161, 5.831931095044237 60.6117906844823, 5.831007896828746 60.61122520587128, 5.830728866681546 60.610987625198916, 5.8259237193946465 60.60258077662118, 5.825903735073804 60.60254653722053, 5.825752215195165 60.60229334784282, 5.825688482080874 60.60218540555383, 5.825534365055418 60.60192800469717, 5.817260662798102 60.591049379247885, 5.817534992907203 60.59068485909978, 5.818160762090273 60.58952386443605, 5.818167990633951 60.58941021919838, 5.8181647404221755 60.58932136562419, 5.818159853347458 60.58923816563498, 5.817569126906833 60.58791953593341, 5.814326786317877 60.58636733167744, 5.813772025970507 60.58619709864593, 5.812791629367407 60.58589537596884, 5.812135740013952 60.58569513982695, 5.812107786250093 60.585686431985735, 5.801165575158089 60.58336464486052, 5.801140658660658 60.583362725873414, 5.798383414999035 60.58315892807786, 5.797543583690186 60.58310185376091, 5.796695627250165 60.58303339870533, 5.796677665279565 60.583031961724416, 5.796528865933817 60.583020066226176, 5.79606166516209 60.582978884549576, 5.7959331031629375 60.582967028646706, 5.795820776870117 60.58295667063429, 5.795701574359517 60.58294216503804, 5.795448932532052 60.58291141459573, 5.7954312667538845 60.58290926581627, 5.795392084388493 60.58290449293141, 5.794972397505692 60.58284200149476, 5.794394217640886 60.58273852654713, 5.794140475648053 60.582690296178164, 5.7939400474197384 60.58265003479348, 5.79371165480685 60.58260151221886, 5.792479898629777 60.58231674167293, 5.791766445489348 60.582126533903846, 5.7900402087789296 60.58166000555627, 5.789470500065424 60.58150717088711, 5.78584955337257 60.58079665154831, 5.777142907178511 60.579586756853544, 5.773700276474604 60.57603886447762, 5.773600873830174 60.575611553695104, 5.763099426387578 60.56422893674601, 5.762904042790081 60.56407137398205, 5.762880236098958 60.56405218599581, 5.762167633121706 60.56346944145751, 5.76066711299396 60.5623323673513, 5.758604818071964 60.560949912613665, 5.758181678207476 60.56068252877548, 5.754290991754078 60.5585464780619, 5.754022928653051 60.55845046814854, 5.753019595247778 60.55809602972517, 5.752224248289897 60.55781716743557, 5.752069838828195 60.55776225481248, 5.751925920574449 60.557711654232826, 5.750884405408263 60.557343756147034, 5.750204271132082 60.55708031005205, 5.749335758277865 60.55666138838251, 5.745454197252928 60.55459590578694, 5.743814967289639 60.55371024981892, 5.741745800441922 60.55260511932091, 5.7402441110737525 60.55180912796228, 5.739820562076043 60.55158193576343, 5.739223381827673 60.55124896428091, 5.739159878255981 60.55121027110378, 5.738820444742894 60.551010499040004, 5.738561035865837 60.55085630617894, 5.737829416083394 60.55046539877483, 5.737660367404943 60.55038308177275, 5.737566033586609 60.55034252084284, 5.736669923799388 60.54995529848786, 5.735900846193481 60.54963744244662, 5.734526811137828 60.54904637420225, 5.733646467509442 60.548563691060814, 5.733634783020102 60.5485567262089, 5.731453450323139 60.54732706269711, 5.7312448163499266 60.54720105863228, 5.727071506699243 60.54455455599914, 5.726978898210927 60.54448497020058, 5.725078315930022 60.5436846411767, 5.725047142639366 60.54367500857955, 5.72389268326743 60.54331680565006, 5.723862692089525 60.54330664080829, 5.7220745729565845 60.54115064509172, 5.721884510024924 60.540797050555675, 5.722017361524582 60.535444920989164, 5.722066727748696 60.53524944882745, 5.724190376328743 60.53240454110124, 5.724795661318696 60.529815858090025, 5.724824603718944 60.52970798369803, 5.724910043542978 60.529320240383115, 5.724934390921383 60.529217034286134, 5.725766611330414 60.524010993285806, 5.72556644581669 60.52129644837854, 5.725902965042234 60.5204098600126, 5.725994525681148 60.52016861917254, 5.726362589733655 60.51918431102112, 5.726416101087178 60.519040587702726, 5.726778654983131 60.51379804848325, 5.726767994523373 60.51372651687458, 5.7266690044415025 60.512803900550345, 5.726656060589648 60.51274378938312, 5.726598780113677 60.51247760121394, 5.726012975340794 60.51084024239954, 5.725891301882829 60.510680554225274, 5.732087338730095 60.500029687800144, 5.732562460473086 60.49747570240635, 5.733055981709287 60.49478108056956, 5.733679027872653 60.494214521753406, 5.734739681379758 60.49071248961798, 5.734336044595654 60.48704564299231, 5.735169517390424 60.48622385684375, 5.735206420546217 60.4862039683935, 5.74374019164286 60.48162595311631, 5.744719398819054 60.480914749673005, 5.744724336917691 60.480907827202635, 5.744877522441869 60.480659202810145, 5.74496511976355 60.480445872282914)"/>
    <s v="[2057515, 2057523, 2057531, 2057539, 2057547, 2057555, 2057563, 2057571, 2057579, 2057587, 2057595, 2057603, 2057619, 2057627, 2057635, 2057643, 2057651, 2057659, 2057667, 2057675, 2057683, 2057691, 2057699, 2057707, 2057715, 2057723, 2057731, 2057739, 2057747, 2057755, 2057763, 2057771, 2057779, 2057787, 2057795, 2057803, 2057811, 2057819, 2057827, 2057835, 2057843, 2057851, 2057859, 2057867, 2057875, 2057883, 2057891, 2057899, 2057907, 2057915, 2057923, 2057931, 2057939, 2057947, 2057955, 2057963, 2057971, 2057979, 2057987, 2057995, 2058003, 2058011, 2058019, 1989567, 1989573, 1989587, 1989588, 1989594, 1989595, 1989605, 1989819, 1989825, 1989831, 1989832, 1989836, 1989840, 1989849, 1989677, 1989678, 1989688, 1989690, 1991416, 1991417, 1991422, 1991439, 1991440, 1991446, 1991447, 1991450, 1991451, 1991452, 1991454, 1991455, 1991457, 1991460, 1991462, 1991466, 1991467, 1991468, 1991470, 1991471, 1991472, 1991473, 1991474, 1991475, 1991480, 1991482, 1991484, 1991488, 1991490, 1991493, 1991494, 1991499, 1991501, 1991503, 1991511, 1991514, 1991532, 1991556, 1991593, 1991601, 1991602, 1991610, 1991615, 1991618, 1991621, 1991629, 1991631, 1991632, 1991639, 1991660, 1991668, 1991675, 1991691, 1991704, 2058027, 2058035, 2058043, 2058051, 2058059, 2058067]"/>
    <s v="[1789360, 1789363, 328820, 1789371, 1789375, 1789378, 1789382, 1789388, 1789396, 1789405, 1789411, 1789416, 1789427, 1789432, 1789436, 1770764, 1789448, 1789455, 1789460, 1789469, 1789475, 1789480, 1173466, 1789492, 1173494, 1789501, 1789508, 1789513, 1789520, 1756405, 1789531, 1789538, 1789543, 1701172, 1789559, 1789564, 1789571, 1789574, 1789579, 1789585, 1789592, 1789597, 1789602, 1789607, 1789613, 1789619, 1789623, 1687342, 1789634, 1789642, 1789649, 1789657, 1789663, 1789668, 1789674, 1687256, 1789685, 1789690, 1789694, 1789697, 1789701, 1789705, 1742281, 1747852, 1747855, 1747864, 1747865, 1747870, 1557673, 1747877, 1748005, 1748008, 1748011, 1748012, 1747908, 1259296, 1747915, 1259306, 1747916, 1747919, 1747920, 1748918, 1748919, 1748924, 1748930, 1748931, 1748934, 1748935, 1748937, 1748938, 1748939, 1748940, 1748941, 1748942, 1748944, 1748945, 1748949, 1748950, 1748951, 1748953, 1748954, 1748955, 1748956, 1748957, 1748958, 1748961, 1748962, 1748964, 1748966, 1748968, 1748970, 1748971, 1748974, 1748975, 1748977, 1742368, 1742377, 1557704, 1749020, 1234224, 1742388, 1749056, 1749060, 1749066, 1749069, 1742390, 1749076, 1742401, 1749078, 1673998, 1749103, 1749107, 1700975, 1749126, 1749135, 1789716, 1789720, 1789725, 1789731, 1789737, 1760981]"/>
    <s v="0.002176373088579319"/>
    <s v="[1703037, 1789360, 1789363, 328820, 1789371, 1789375, 1789378, 1789382, 1789388, 1789396, 1789405, 1789411, 1789416, 1789427, 1789432, 1789436, 1770764, 1789448, 1789455, 1789460, 1789469, 1789475, 1789480, 1173466, 1789492, 1173494, 1789501, 1789508, 1789513, 1789520, 1756405, 1789531, 1789538, 1789543, 1701172, 1789559, 1789564, 1789571, 1789574, 1789579, 1789585, 1789592, 1789597, 1789602, 1789607, 1789613, 1789619, 1789623, 1687342, 1789634, 1789642, 1789649, 1789657, 1789663, 1789668, 1789674, 1687256, 1789685, 1789690, 1789694, 1789697, 1789701, 1789705, 1742281, 1747852, 1747855, 1747864, 1747865, 1747870, 1557673, 1747877, 1748005, 1748008, 1748011, 1748012, 1747908, 1259296, 1747915, 1259306, 1747916, 1747919, 1747920, 1748918, 1748919, 1748924, 1748930, 1748931, 1748934, 1748935, 1748937, 1748938, 1748939, 1748940, 1748941, 1748942, 1748944, 1748945, 1748949, 1748950, 1748951, 1748953, 1748954, 1748955, 1748956, 1748957, 1748958, 1748961, 1748962, 1748964, 1748966, 1748968, 1748970, 1748971, 1748974, 1748975, 1748977, 1742368, 1742377, 1557704, 1749020, 1234224, 1742388, 1749056, 1749060, 1749066, 1749069, 1742390, 1749076, 1742401, 1749078, 1673998, 1749103, 1749107, 1700975, 1749126, 1749135, 1789716, 1789720, 1789725, 1789731, 1789737]"/>
    <s v="[0.041, 0.055, 0.038, 0.047, 0.069, 0.081, 0.031, 0.09, 0.435, 0.617, 0.402, 0.132, 0.164, 0.153, 0.136, 0.149, 0.016, 0.037, 0.056, 0.32, 0.007, 0.018, 0.09, 0.09, 0.063, 0.051, 0.021, 0.092, 0.055, 0.04, 0.02, 0.031, 0.007, 0.042, 0.082, 0.038, 0.145, 0.223, 0.074, 1.377, 0.353, 0.038, 0.073, 0.148, 0.148, 0.145, 0.116, 0.056, 0.044, 0.061, 0.099, 0.049, 0.002, 0.033, 0.011, 0.003, 0.031, 0.029, 0.011, 0.029, 0.029, 0.087, 0.092, 0.085, 0.438, 0.045, 0.202, 0.215, 0.255, 0.307, 0.04, 0.134, 0.047, 0.122, 0.308, 0.339, 0.334, 0.345, 0.159, 0.124, 0.149, 0.025, 0.066, 0.153, 0.085, 0.048, 0.005, 0.006, 0.092, 0.133, 0.094, 0.077, 0.04, 0.044, 0.022, 0.004, 0.022, 0.472, 0.008, 0.011, 0.087, 0.037, 0.046, 0.051, 0.077, 0.069, 0.16, 0.259, 0.118, 0.247, 0.01, 0.025, 0.017, 0.034, 0.021, 0.004, 0.034, 0.019, 0.007, 0.019, 0.022, 0.037, 0.029, 0.046, 0.029, 0.006, 0.034, 0.136, 0.003, 0.009, 0.006, 0.118, 0.003, 0.03, 0.13, 0.755, 0.067, 0.395, 0.0, 0.22, 0.131]"/>
    <s v="20401.388851395568"/>
    <s v="[-0.041, 0.055, 0.038, 0.047, 0.069, 0.081, 0.031, -0.09, -0.435, -0.617, -0.402, -0.132, -0.164, -0.153, -0.136, -0.149, 0.016, -0.037, 0.056, 0.32, -0.007, -0.018, 0.09, 0.09, 0.063, 0.051, 0.021, 0.092, -0.055, -0.04, -0.02, -0.031, 0.007, -0.042, -0.082, 0.038, 0.145, 0.223, 0.074, -1.377, -0.353, -0.038, 0.073, 0.148, 0.148, 0.145, 0.116, 0.056, 0.044, 0.061, 0.099, 0.049, -0.002, -0.033, -0.011, -0.003, -0.031, -0.029, -0.011, -0.029, -0.029, -0.087, 0.092, -0.085, 0.438, 0.045, -0.202, -0.215, -0.255, -0.307, 0.04, 0.134, 0.047, -0.122, -0.308, -0.339, -0.334, -0.345, -0.159, 0.124, 0.149, 0.025, -0.066, 0.153, 0.085, 0.048, -0.005, -0.006, 0.092, 0.133, 0.094, 0.077, 0.04, 0.044, 0.022, 0.004, -0.022, -0.472, -0.008, 0.011, -0.087, -0.037, 0.046, -0.051, 0.077, -0.069, 0.16, 0.259, -0.118, -0.247, -0.01, 0.025, 0.017, 0.034, 0.021, 0.004, -0.034, 0.019, -0.007, -0.019, -0.022, 0.037, 0.029, 0.046, 0.029, -0.006, -0.034, -0.136, -0.003, -0.009, -0.006, 0.118, -0.003, -0.03, 0.13, 0.755, 0.067, -0.395, 0.0, -0.22, 0.131]"/>
  </r>
  <r>
    <x v="5053"/>
    <x v="5416"/>
    <x v="0"/>
    <n v="0"/>
    <m/>
    <n v="2005915"/>
    <n v="1754529"/>
    <s v="#FIELD!"/>
    <n v="1703067"/>
    <s v="0.137"/>
    <s v="42.43142025457635"/>
    <s v="#FIELD!"/>
  </r>
  <r>
    <x v="5054"/>
    <x v="1164"/>
    <x v="0"/>
    <n v="0"/>
    <s v="LINESTRING (5.459406838265624 59.42591236466907, 5.459472593648185 59.425984479764296, 5.459450181793117 59.426054524215715, 5.459371787514323 59.42610326256602, 5.459328925887618 59.426116105199064)"/>
    <s v="[1955102, 1955106, 1955114, 1955122]"/>
    <s v="[1714760, 1714764, 1714771, 1714782]"/>
    <s v="0.07655030705192108"/>
    <s v="[1714759, 1714760, 1714764, 1714771]"/>
    <s v="[0.056, 0.074, 0.187, 0.225]"/>
    <s v="26.69182746013285"/>
    <s v="[-0.056, 0.074, 0.187, 0.225]"/>
  </r>
  <r>
    <x v="5054"/>
    <x v="5417"/>
    <x v="0"/>
    <n v="0"/>
    <s v="LINESTRING (5.4590952379568005 59.42588993137613, 5.459245699032042 59.42587240114299, 5.459406838265624 59.42591236466907)"/>
    <s v="[1955178, 1955186]"/>
    <s v="[1714827, 1714759]"/>
    <s v="#FIELD!"/>
    <s v="[1714821, 1714827]"/>
    <s v="[0.241, 0.194]"/>
    <s v="18.994185714935767"/>
    <s v="[-0.241, -0.194]"/>
  </r>
  <r>
    <x v="5054"/>
    <x v="1160"/>
    <x v="0"/>
    <n v="0"/>
    <s v="LINESTRING (5.459258662753564 59.425620573254285, 5.45937926239844 59.42585551442753, 5.459406838265624 59.42591236466907)"/>
    <s v="[1955298, 1955306]"/>
    <s v="[1714916, 1714759]"/>
    <s v="#FIELD!"/>
    <s v="[1714915, 1714916]"/>
    <s v="[0.019, 0.027]"/>
    <s v="33.99234073808385"/>
    <s v="[-0.019, -0.027]"/>
  </r>
  <r>
    <x v="5055"/>
    <x v="1165"/>
    <x v="0"/>
    <n v="0"/>
    <s v="LINESTRING (5.459328925887618 59.426116105199064, 5.459202421809391 59.426127500010864, 5.45905524426634 59.42609447871217)"/>
    <s v="[1955130, 1955138]"/>
    <s v="[1714791, 1714798]"/>
    <s v="0.21408935809861257"/>
    <s v="[1714782, 1714791]"/>
    <s v="[0.248, 0.187]"/>
    <s v="16.4727127062954"/>
    <s v="[0.248, 0.187]"/>
  </r>
  <r>
    <x v="5056"/>
    <x v="5417"/>
    <x v="0"/>
    <n v="0"/>
    <s v="LINESTRING (5.45905524426634 59.42609447871217, 5.458977710193349 59.42602447845471, 5.458983417613634 59.42596314766747, 5.459062264719184 59.425901694794405, 5.4590952379568005 59.42588993137613)"/>
    <s v="[1955146, 1955154, 1955162, 1955170]"/>
    <s v="[1714802, 1714808, 1714815, 1714821]"/>
    <s v="#FIELD!"/>
    <s v="[1714798, 1714802, 1714808, 1714815]"/>
    <s v="[0.084, 0.042, 0.166, 0.256]"/>
    <s v="26.34200875517017"/>
    <s v="[0.084, -0.042, -0.166, -0.256]"/>
  </r>
  <r>
    <x v="5057"/>
    <x v="1160"/>
    <x v="0"/>
    <n v="0"/>
    <s v="LINESTRING (5.459258662753564 59.425620573254285, 5.4591165846371394 59.42584506962142, 5.4590952379568005 59.42588993137613)"/>
    <s v="[1955322, 1955330]"/>
    <s v="[1714936, 1714821]"/>
    <s v="0.10661567715756122"/>
    <s v="[1714915, 1714936]"/>
    <s v="[0.11, 0.089]"/>
    <s v="32.01107871855385"/>
    <s v="[0.11, 0.089]"/>
  </r>
  <r>
    <x v="5058"/>
    <x v="5384"/>
    <x v="0"/>
    <n v="0"/>
    <s v="LINESTRING (5.285718453095134 60.546161325031704, 5.285686427012678 60.5462196839551, 5.285612792473103 60.54626804946703)"/>
    <s v="[1957236, 1957246]"/>
    <s v="[1716544, 1716456]"/>
    <s v="0.04500603856034636"/>
    <s v="[1716430, 1716544]"/>
    <s v="[0.048, 0.042]"/>
    <s v="13.539926458498197"/>
    <s v="[0.048, 0.042]"/>
  </r>
  <r>
    <x v="5058"/>
    <x v="5418"/>
    <x v="0"/>
    <n v="0"/>
    <s v="LINESTRING (5.285201716761465 60.546020194033744, 5.285435132140862 60.54599050769218, 5.285551782519245 60.54600932173539, 5.285645955527526 60.54604808814944, 5.285718453095134 60.546161325031704)"/>
    <s v="[1957186, 1957198, 1957199, 1957210]"/>
    <s v="[1716374, 1716515, 1716404, 1716430]"/>
    <s v="0.015166281269198934"/>
    <s v="[1716500, 1716374, 1716515, 1716404]"/>
    <s v="[0.016, 0.011, 0.028, 0.042]"/>
    <s v="40.53813238729997"/>
    <s v="[-0.016, 0.011, 0.028, 0.042]"/>
  </r>
  <r>
    <x v="5059"/>
    <x v="5419"/>
    <x v="0"/>
    <n v="0"/>
    <s v="LINESTRING (5.285612792473103 60.54626804946703, 5.285319160902886 60.54630540105867, 5.28524227274528 60.546291206991725, 5.285161786290825 60.54626195784471, 5.285073865232428 60.5461208560587)"/>
    <s v="[1957264, 1957265, 1957266, 1957282]"/>
    <s v="[1716573, 1716574, 1716575, 1716465]"/>
    <s v="#FIELD!"/>
    <s v="[1716456, 1716573, 1716574, 1716575]"/>
    <s v="[0.015, 0.02, 0.026, 0.042]"/>
    <s v="44.19341623578646"/>
    <s v="[0.015, -0.02, -0.026, -0.042]"/>
  </r>
  <r>
    <x v="5060"/>
    <x v="5419"/>
    <x v="0"/>
    <n v="0"/>
    <s v="LINESTRING (5.284823363366557 60.5459889581237, 5.285022397156711 60.54609731978953, 5.285073865232428 60.5461208560587)"/>
    <s v="[1957139, 1957143]"/>
    <s v="[1716463, 1716465]"/>
    <s v="0.03046869528779479"/>
    <s v="[1716462, 1716463]"/>
    <s v="[0.032, 0.024]"/>
    <s v="20.197155899212593"/>
    <s v="[0.032, 0.024]"/>
  </r>
  <r>
    <x v="5060"/>
    <x v="5418"/>
    <x v="0"/>
    <n v="0"/>
    <s v="LINESTRING (5.284823363366557 60.5459889581237, 5.285112637439355 60.54601211569614, 5.285201716761465 60.546020194033744)"/>
    <s v="[1957173, 1957174]"/>
    <s v="[1716499, 1716500]"/>
    <s v="0.0029443754266466576"/>
    <s v="[1716462, 1716499]"/>
    <s v="[0.002, 0.006]"/>
    <s v="21.11829205011772"/>
    <s v="[0.002, 0.006]"/>
  </r>
  <r>
    <x v="5060"/>
    <x v="5420"/>
    <x v="0"/>
    <n v="0"/>
    <m/>
    <n v="1957158"/>
    <n v="1716462"/>
    <s v="0.026"/>
    <n v="1716481"/>
    <s v="0.026"/>
    <s v="52.156576766360224"/>
    <s v="0.026"/>
  </r>
  <r>
    <x v="5061"/>
    <x v="5418"/>
    <x v="0"/>
    <n v="0"/>
    <s v="LINESTRING (5.285073865232428 60.5461208560587, 5.2851129823289815 60.546070264031755, 5.285201716761465 60.546020194033744)"/>
    <s v="[1957283, 1957290]"/>
    <s v="[1716588, 1716500]"/>
    <s v="#FIELD!"/>
    <s v="[1716465, 1716588]"/>
    <s v="[0.044, 0.038]"/>
    <s v="13.478288152476235"/>
    <s v="[-0.044, -0.038]"/>
  </r>
  <r>
    <x v="5062"/>
    <x v="5421"/>
    <x v="0"/>
    <n v="0"/>
    <s v="LINESTRING (5.282314881735491 60.545258705217215, 5.282399915458589 60.54529208982457, 5.283992571885345 60.54576457626159)"/>
    <s v="[1999313, 1999322]"/>
    <s v="[1752943, 1716481]"/>
    <s v="#FIELD!"/>
    <s v="[1752942, 1752943]"/>
    <s v="[0.028, 0.02]"/>
    <s v="108.46612740060915"/>
    <s v="[0.028, -0.02]"/>
  </r>
  <r>
    <x v="5062"/>
    <x v="5422"/>
    <x v="0"/>
    <n v="0"/>
    <s v="LINESTRING (5.2822277974103375 60.54538800554212, 5.282329786909488 60.54540906588869, 5.283992571885345 60.54576457626159)"/>
    <s v="[2021071, 2021079]"/>
    <s v="[1765585, 1716481]"/>
    <s v="0.021549780787404726"/>
    <s v="[1757502, 1765585]"/>
    <s v="[0.117, 0.03]"/>
    <s v="105.90148909670245"/>
    <s v="[-0.117, 0.03]"/>
  </r>
  <r>
    <x v="5063"/>
    <x v="2648"/>
    <x v="0"/>
    <s v="[0, 0, 0, 1, 0]"/>
    <s v="LINESTRING (5.525559206582074 59.475452715169546, 5.52508049965099 59.474543674819294, 5.5250781219649205 59.47454077066939, 5.524323326403493 59.47380572950319, 5.524278187934885 59.47377557712945, 5.522475967361958 59.47280365051089)"/>
    <s v="[1982307, 1982327, 1982328, 1982336, 1982347]"/>
    <s v="[1742479, 1742495, 1742496, 1742501, 1742443]"/>
    <s v="0.007699096673921703"/>
    <s v="[1742442, 1742479, 1742495, 1742496, 1742501]"/>
    <s v="[0.007, 0.0, 0.035, 0.019, 0.009]"/>
    <s v="353.03663559990764"/>
    <s v="[0.007, 0.0, 0.035, 0.019, -0.009]"/>
  </r>
  <r>
    <x v="5063"/>
    <x v="2648"/>
    <x v="0"/>
    <s v="[0, 0, 0, 0, 1, 0]"/>
    <s v="LINESTRING (5.525559206582074 59.475452715169546, 5.524987815517386 59.47457802939956, 5.524975418049076 59.474563046501075, 5.524960614875253 59.47454412678278, 5.524244407095739 59.473834762090696, 5.5242013893586 59.47380087741606, 5.522475967361958 59.47280365051089)"/>
    <s v="[1982488, 1982496, 1982504, 1982514, 1982523, 1982524]"/>
    <s v="[1742511, 1742631, 1742518, 1742639, 1742643, 1742443]"/>
    <s v="0.007676363698173214"/>
    <s v="[1742442, 1742511, 1742631, 1742518, 1742639, 1742643]"/>
    <s v="[0.005, 0.009, 0.001, 0.035, 0.017, 0.007]"/>
    <s v="349.9695359971423"/>
    <s v="[0.005, 0.009, -0.001, 0.035, 0.017, -0.007]"/>
  </r>
  <r>
    <x v="5064"/>
    <x v="5423"/>
    <x v="0"/>
    <n v="0"/>
    <s v="LINESTRING (5.8699431549387295 61.44897839458249, 5.870296849956751 61.44896378378788, 5.87051476880947 61.44895886453112, 5.870631019877341 61.448962226639594)"/>
    <s v="[1989231, 1989236, 1989237]"/>
    <s v="[1747696, 1747698, 1747699]"/>
    <s v="#FIELD!"/>
    <s v="[1747695, 1747696, 1747698]"/>
    <s v="[0.004, 0.021, 0.022]"/>
    <s v="37.13615966861039"/>
    <s v="[-0.004, -0.021, -0.022]"/>
  </r>
  <r>
    <x v="5064"/>
    <x v="5424"/>
    <x v="0"/>
    <n v="0"/>
    <s v="LINESTRING (5.8699431549387295 61.44897839458249, 5.870261688129643 61.44889697855908, 5.870475233006837 61.448848099836674, 5.870561595686535 61.44884733608273)"/>
    <s v="[1989245, 1989253, 1989272]"/>
    <s v="[1747707, 1747713, 1747722]"/>
    <s v="0.03923574083562156"/>
    <s v="[1747695, 1747707, 1747713]"/>
    <s v="[0.051, 0.044, 0.023]"/>
    <s v="36.586557464680155"/>
    <s v="[0.051, 0.044, -0.023]"/>
  </r>
  <r>
    <x v="5065"/>
    <x v="5424"/>
    <x v="0"/>
    <n v="0"/>
    <s v="LINESTRING (5.870631019877341 61.448962226639594, 5.870584914281583 61.44892900756112, 5.870566629794559 61.44890327323892, 5.870562041095554 61.448876565904904, 5.870561595686535 61.44884733608273)"/>
    <s v="[1989365, 1989366, 1989369, 1989310]"/>
    <s v="[1747770, 1747771, 1747739, 1747722]"/>
    <s v="0.13673016842837074"/>
    <s v="[1747699, 1747770, 1747771, 1747739]"/>
    <s v="[0.123, 0.166, 0.113, 0.15]"/>
    <s v="13.751130782426568"/>
    <s v="[0.123, 0.166, 0.113, 0.15]"/>
  </r>
  <r>
    <x v="5065"/>
    <x v="5425"/>
    <x v="0"/>
    <n v="0"/>
    <s v="LINESTRING (5.871136015042222 61.44889500776445, 5.871032238072665 61.44898006090908, 5.870912798300666 61.449005764772316, 5.8707442279943765 61.449000052054224, 5.870631019877341 61.448962226639594)"/>
    <s v="[1989360, 1989361, 1989362, 1989364]"/>
    <s v="[1747723, 1747769, 1747734, 1747699]"/>
    <s v="#FIELD!"/>
    <s v="[1747768, 1747723, 1747769, 1747734]"/>
    <s v="[0.102, 0.049, 0.038, 0.105]"/>
    <s v="34.425924577630404"/>
    <s v="[-0.102, -0.049, 0.038, 0.105]"/>
  </r>
  <r>
    <x v="5066"/>
    <x v="5426"/>
    <x v="0"/>
    <n v="0"/>
    <s v="LINESTRING (5.870561595686535 61.44884733608273, 5.870678567256236 61.44875615964925, 5.870790698398124 61.44873327089668, 5.8709501660313 61.44873865786713, 5.871093584824591 61.448793603235956)"/>
    <s v="[1989318, 1989326, 1989334, 1989342]"/>
    <s v="[1747700, 1747752, 1747705, 1747760]"/>
    <s v="0.0068442613144858964"/>
    <s v="[1747722, 1747700, 1747752, 1747705]"/>
    <s v="[0.107, 0.05, 0.046, 0.1]"/>
    <s v="37.07172108228066"/>
    <s v="[0.107, 0.05, -0.046, -0.1]"/>
  </r>
  <r>
    <x v="5067"/>
    <x v="5425"/>
    <x v="0"/>
    <n v="0"/>
    <s v="LINESTRING (5.871093584824591 61.448793603235956, 5.87111850072538 61.44881734468438, 5.871135437188952 61.44884316863446, 5.871140104789817 61.448869610051695, 5.871136015042222 61.44889500776445)"/>
    <s v="[1989355, 1989357, 1989358, 1989359]"/>
    <s v="[1747764, 1747766, 1747767, 1747768]"/>
    <s v="#FIELD!"/>
    <s v="[1747760, 1747764, 1747766, 1747767]"/>
    <s v="[0.172, 0.112, 0.158, 0.164]"/>
    <s v="11.801940763215594"/>
    <s v="[-0.172, -0.112, -0.158, -0.164]"/>
  </r>
  <r>
    <x v="5067"/>
    <x v="5427"/>
    <x v="0"/>
    <n v="0"/>
    <s v="LINESTRING (5.871093584824591 61.448793603235956, 5.8711927410725915 61.44879332381102, 5.871403977744499 61.448782175039156, 5.871737833994992 61.448784427070976)"/>
    <s v="[1989371, 1989377, 1989378]"/>
    <s v="[1747775, 1747778, 1747779]"/>
    <s v="#FIELD!"/>
    <s v="[1747760, 1747775, 1747778]"/>
    <s v="[0.026, 0.012, 0.026]"/>
    <s v="34.667730785369415"/>
    <s v="[-0.026, -0.012, -0.026]"/>
  </r>
  <r>
    <x v="5068"/>
    <x v="5427"/>
    <x v="0"/>
    <n v="0"/>
    <s v="LINESTRING (5.871136015042222 61.44889500776445, 5.871231276303812 61.44887815669111, 5.871434522127471 61.448852094102456, 5.871737833994992 61.448784427070976)"/>
    <s v="[1989379, 1989384, 1989385]"/>
    <s v="[1747780, 1747783, 1747779]"/>
    <s v="0.02978215333640872"/>
    <s v="[1747768, 1747780, 1747783]"/>
    <s v="[0.037, 0.018, 0.035]"/>
    <s v="34.5773758869058"/>
    <s v="[0.037, 0.018, 0.035]"/>
  </r>
  <r>
    <x v="5069"/>
    <x v="5428"/>
    <x v="495"/>
    <n v="0"/>
    <s v="LINESTRING (5.873434274257529 61.44865774904746, 5.873118342746879 61.44867817325976, 5.873081400947545 61.448680613703374, 5.871737833994992 61.448784427070976)"/>
    <s v="[2030724, 2030725, 2030726]"/>
    <s v="[1772368, 1772369, 1747779]"/>
    <s v="#FIELD!"/>
    <s v="[1772035, 1772368, 1772369]"/>
    <s v="[0.018, 0.011, 0.243]"/>
    <s v="91.81983111603745"/>
    <s v="[-0.018, -0.011, -0.243]"/>
  </r>
  <r>
    <x v="5070"/>
    <x v="5429"/>
    <x v="0"/>
    <n v="0"/>
    <s v="LINESTRING (5.271351559236984 60.3820616414868, 5.271244021115001 60.38204918387697, 5.270469828589114 60.38192511694192, 5.270365499096889 60.38190746763127)"/>
    <s v="[1990357, 1990371, 1990376]"/>
    <s v="[1748296, 1748301, 1748302]"/>
    <s v="#FIELD!"/>
    <s v="[1748295, 1748296, 1748301]"/>
    <s v="[0.218, 0.15, 0.005]"/>
    <s v="57.232797672105846"/>
    <s v="[-0.218, -0.15, -0.005]"/>
  </r>
  <r>
    <x v="5070"/>
    <x v="5430"/>
    <x v="0"/>
    <n v="0"/>
    <s v="LINESTRING (5.271351559236984 60.3820616414868, 5.270424052635408 60.38230167856587, 5.270301500036046 60.38233786627581)"/>
    <s v="[2054616, 2054624]"/>
    <s v="[1787427, 1752121]"/>
    <s v="#FIELD!"/>
    <s v="[1748295, 1787427]"/>
    <s v="[0.178, 3.28]"/>
    <s v="66.51384923723704"/>
    <s v="[0.178, -3.28]"/>
  </r>
  <r>
    <x v="5070"/>
    <x v="5431"/>
    <x v="0"/>
    <n v="0"/>
    <s v="LINESTRING (5.274344503119154 60.38203909395014, 5.274206286414225 60.38206056046266, 5.272004070891181 60.38204931956459, 5.271995390259192 60.38204889623286, 5.271511369283455 60.38204603182251, 5.271351559236984 60.3820616414868)"/>
    <s v="[2018657, 2054584, 2054592, 2054600, 2054608]"/>
    <s v="[1763904, 1787406, 1787411, 1787419, 1748295]"/>
    <s v="#FIELD!"/>
    <s v="[1762143, 1763904, 1787406, 1787411, 1787419]"/>
    <s v="[1.309, 0.045, 0.0, 0.181, 2.421]"/>
    <s v="166.31149476787428"/>
    <s v="[1.309, -0.045, 0.0, -0.181, -2.421]"/>
  </r>
  <r>
    <x v="5071"/>
    <x v="5432"/>
    <x v="0"/>
    <n v="0"/>
    <s v="LINESTRING (5.270365499096889 60.38190746763127, 5.26998218257789 60.381809526204236, 5.269519314532016 60.38165857316, 5.269505625797375 60.38165281371216, 5.269246800209128 60.38154448102992, 5.26519305380572 60.379757142298544, 5.265042030893072 60.37970709269978)"/>
    <s v="[1990537, 1990552, 1990583, 1990621, 1990654, 2018673]"/>
    <s v="[1748382, 1748388, 1748404, 1748427, 1748449, 1762198]"/>
    <s v="#FIELD!"/>
    <s v="[1748302, 1748382, 1748388, 1748404, 1748427, 1748449]"/>
    <s v="[0.01, 0.022, 0.02, 0.035, 0.016, 0.361]"/>
    <s v="391.3726634680531"/>
    <s v="[-0.01, -0.022, -0.02, -0.035, -0.016, -0.361]"/>
  </r>
  <r>
    <x v="5071"/>
    <x v="5433"/>
    <x v="0"/>
    <n v="0"/>
    <s v="LINESTRING (5.270204075543508 60.382236596941816, 5.2703033201802665 60.38221044945801, 5.270365499096889 60.38190746763127)"/>
    <s v="[1990477, 1990485]"/>
    <s v="[1748355, 1748302]"/>
    <s v="0.023305742399097336"/>
    <s v="[1748354, 1748355]"/>
    <s v="[0.012, 0.025]"/>
    <s v="47.72690526328218"/>
    <s v="[0.012, 0.025]"/>
  </r>
  <r>
    <x v="5072"/>
    <x v="5434"/>
    <x v="0"/>
    <n v="0"/>
    <m/>
    <n v="1997123"/>
    <n v="1748456"/>
    <s v="#FIELD!"/>
    <n v="1748306"/>
    <s v="0.048"/>
    <s v="10.736159139663002"/>
    <s v="#FIELD!"/>
  </r>
  <r>
    <x v="5072"/>
    <x v="5435"/>
    <x v="0"/>
    <n v="0"/>
    <s v="LINESTRING (5.268315017808351 60.38004460265386, 5.268220442372061 60.38008013920225, 5.268053773121404 60.38033017716435)"/>
    <s v="[1990381, 1990382]"/>
    <s v="[1748307, 1621513]"/>
    <s v="#FIELD!"/>
    <s v="[1748306, 1748307]"/>
    <s v="[0.044, 0.008]"/>
    <s v="37.94042474263263"/>
    <s v="[-0.044, -0.008]"/>
  </r>
  <r>
    <x v="5072"/>
    <x v="5436"/>
    <x v="0"/>
    <n v="0"/>
    <m/>
    <n v="1997115"/>
    <n v="1748306"/>
    <s v="0.274"/>
    <n v="1752135"/>
    <s v="0.274"/>
    <s v="7.013422844678633"/>
    <s v="0.274"/>
  </r>
  <r>
    <x v="5073"/>
    <x v="5437"/>
    <x v="0"/>
    <n v="0"/>
    <s v="LINESTRING (5.268053773121404 60.38033017716435, 5.268588557119843 60.380733306260005, 5.271152781286467 60.38172040830273, 5.271280229475183 60.38177051974603)"/>
    <s v="[1990422, 1990431, 2018665]"/>
    <s v="[1621515, 1748335, 1763910]"/>
    <s v="0.07684897337890226"/>
    <s v="[1621513, 1621515, 1748335]"/>
    <s v="[0.061, 0.077, 0.169]"/>
    <s v="246.25166243612185"/>
    <s v="[0.061, 0.077, 0.169]"/>
  </r>
  <r>
    <x v="5073"/>
    <x v="5438"/>
    <x v="0"/>
    <n v="0"/>
    <s v="LINESTRING (5.267590663254776 60.38007255221521, 5.267648205547193 60.38011750764356, 5.267983083152722 60.38027972840284, 5.268053773121404 60.38033017716435)"/>
    <s v="[1990655, 1990656, 1990659]"/>
    <s v="[1748451, 1748452, 1621513]"/>
    <s v="0.014436601541502858"/>
    <s v="[1748450, 1748451, 1748452]"/>
    <s v="[0.002, 0.008, 0.053]"/>
    <s v="38.73423515143918"/>
    <s v="[-0.002, 0.008, 0.053]"/>
  </r>
  <r>
    <x v="5074"/>
    <x v="5430"/>
    <x v="0"/>
    <n v="0"/>
    <m/>
    <n v="1997083"/>
    <n v="1752121"/>
    <s v="#FIELD!"/>
    <n v="1748354"/>
    <s v="0.482"/>
    <s v="12.965245100292359"/>
    <s v="#FIELD!"/>
  </r>
  <r>
    <x v="5074"/>
    <x v="5439"/>
    <x v="0"/>
    <n v="0"/>
    <m/>
    <n v="1997075"/>
    <n v="1748354"/>
    <s v="0.455"/>
    <n v="1752111"/>
    <s v="0.455"/>
    <s v="13.106179842973319"/>
    <s v="0.455"/>
  </r>
  <r>
    <x v="5075"/>
    <x v="5434"/>
    <x v="0"/>
    <n v="0"/>
    <s v="LINESTRING (5.267590663254776 60.38007255221521, 5.268117966818852 60.379995682679066, 5.268218805042757 60.37996422695247)"/>
    <s v="[1990661, 1990662]"/>
    <s v="[1748455, 1748456]"/>
    <s v="0.015731738068896457"/>
    <s v="[1748450, 1748455]"/>
    <s v="[0.01, 0.043]"/>
    <s v="37.96840103616589"/>
    <s v="[0.01, 0.043]"/>
  </r>
  <r>
    <x v="5075"/>
    <x v="5440"/>
    <x v="0"/>
    <n v="0"/>
    <s v="LINESTRING (5.26467743805681 60.37955804792438, 5.264819490936773 60.37953597030791, 5.267590663254776 60.38007255221521)"/>
    <s v="[2018681, 1990660]"/>
    <s v="[1748454, 1748450]"/>
    <s v="#FIELD!"/>
    <s v="[1763918, 1748454]"/>
    <s v="[0.031, 0.035]"/>
    <s v="174.49148333148815"/>
    <s v="[-0.031, -0.035]"/>
  </r>
  <r>
    <x v="5076"/>
    <x v="5441"/>
    <x v="0"/>
    <n v="0"/>
    <s v="LINESTRING (5.268218805042757 60.37996422695247, 5.268238637511622 60.37991050895868, 5.268306389348217 60.37986756486012, 5.268407782759556 60.37984700543706, 5.268606316141014 60.38002449041247)"/>
    <s v="[1997131, 1997139, 1997147, 1997155]"/>
    <s v="[1752143, 1752149, 1752153, 1752158]"/>
    <s v="#FIELD!"/>
    <s v="[1748456, 1752143, 1752149, 1752153]"/>
    <s v="[0.316, 0.015, 0.005, 0.021]"/>
    <s v="47.200991445011255"/>
    <s v="[-0.316, -0.015, -0.005, 0.021]"/>
  </r>
  <r>
    <x v="5077"/>
    <x v="5442"/>
    <x v="0"/>
    <n v="0"/>
    <s v="LINESTRING (5.227668929258502 60.370057570253046, 5.22716904177718 60.370042364912976, 5.225781733318675 60.36994297179029, 5.225682110534055 60.369916586075156)"/>
    <s v="[1990767, 1990771, 1990820]"/>
    <s v="[1748512, 1748514, 1748537]"/>
    <s v="0.08665338343177886"/>
    <s v="[1748510, 1748512, 1748514]"/>
    <s v="[0.031, 0.104, 0.11]"/>
    <s v="114.49358922257431"/>
    <s v="[0.031, 0.104, 0.11]"/>
  </r>
  <r>
    <x v="5077"/>
    <x v="5443"/>
    <x v="0"/>
    <n v="0"/>
    <s v="LINESTRING (5.227668929258502 60.370057570253046, 5.2275919978184815 60.370034677753814, 5.226769177883512 60.36980630611996, 5.226660620736353 60.36977925871397)"/>
    <s v="[1990836, 1990849, 1990860]"/>
    <s v="[1748547, 1748553, 1748558]"/>
    <s v="0.012616789441215132"/>
    <s v="[1748510, 1748547, 1748553]"/>
    <s v="[0.031, 0.001, 0.135]"/>
    <s v="63.90298659848682"/>
    <s v="[-0.031, 0.001, 0.135]"/>
  </r>
  <r>
    <x v="5077"/>
    <x v="5444"/>
    <x v="0"/>
    <n v="0"/>
    <s v="LINESTRING (5.230257160959622 60.370578734198766, 5.230079279132869 60.37056283572279, 5.227668929258502 60.370057570253046)"/>
    <s v="[2018721, 1990757]"/>
    <s v="[1748509, 1748510]"/>
    <s v="0.014135230749410805"/>
    <s v="[1762334, 1748509]"/>
    <s v="[0.013, 0.016]"/>
    <s v="155.58518597347793"/>
    <s v="[-0.013, 0.016]"/>
  </r>
  <r>
    <x v="5078"/>
    <x v="5445"/>
    <x v="0"/>
    <n v="0"/>
    <s v="LINESTRING (5.225682110534055 60.369916586075156, 5.225559913805452 60.36994552100746, 5.2254616407871435 60.369938233452466, 5.225391412178959 60.36991674130808, 5.2253177645874676 60.36984614294176, 5.225337392194081 60.36979331777772, 5.225404908786072 60.36975128136977, 5.225477975963707 60.36973317818288)"/>
    <s v="[1996010, 1996017, 1996018, 1996026, 1996027, 1996034, 1996050]"/>
    <s v="[1751439, 1751446, 1751447, 1751451, 1751452, 1751455, 1751465]"/>
    <s v="#FIELD!"/>
    <s v="[1748537, 1751439, 1751446, 1751447, 1751451, 1751452, 1751455]"/>
    <s v="[0.593, 0.041, 0.008, 0.004, 0.108, 0.123, 0.061]"/>
    <s v="43.18947591347312"/>
    <s v="[-0.593, 0.041, -0.008, -0.004, -0.108, -0.123, -0.061]"/>
  </r>
  <r>
    <x v="5078"/>
    <x v="5446"/>
    <x v="0"/>
    <n v="0"/>
    <m/>
    <n v="1995994"/>
    <n v="1748537"/>
    <s v="0.112"/>
    <n v="1748594"/>
    <s v="0.112"/>
    <s v="10.647207012489245"/>
    <s v="0.112"/>
  </r>
  <r>
    <x v="5079"/>
    <x v="5447"/>
    <x v="0"/>
    <n v="0"/>
    <s v="LINESTRING (5.226660620736353 60.36977925871397, 5.225478772304297 60.36936141452758, 5.225274220206735 60.369316237138676, 5.222093516472525 60.3690605703524, 5.221917613342984 60.369044806981464)"/>
    <s v="[1990961, 1990962, 1990973, 2018731]"/>
    <s v="[1748628, 1748629, 1748633, 1762371]"/>
    <s v="0.03285347310084273"/>
    <s v="[1748558, 1748628, 1748629, 1748633]"/>
    <s v="[0.112, 0.096, 0.051, 1.022]"/>
    <s v="283.33900258869545"/>
    <s v="[0.112, 0.096, 0.051, -1.022]"/>
  </r>
  <r>
    <x v="5079"/>
    <x v="5446"/>
    <x v="0"/>
    <n v="0"/>
    <s v="LINESTRING (5.225751837887657 60.369830384222915, 5.225839666807094 60.36985408598026, 5.226660620736353 60.36977925871397)"/>
    <s v="[1990910, 1990951]"/>
    <s v="[1748595, 1748558]"/>
    <s v="#FIELD!"/>
    <s v="[1748594, 1748595]"/>
    <s v="[0.142, 0.097]"/>
    <s v="79.34495711264736"/>
    <s v="[-0.142, -0.097]"/>
  </r>
  <r>
    <x v="5080"/>
    <x v="5448"/>
    <x v="0"/>
    <n v="0"/>
    <m/>
    <n v="1995943"/>
    <n v="1748697"/>
    <s v="#FIELD!"/>
    <n v="1748580"/>
    <s v="0.024"/>
    <s v="16.115314538252704"/>
    <s v="#FIELD!"/>
  </r>
  <r>
    <x v="5080"/>
    <x v="5449"/>
    <x v="0"/>
    <n v="0"/>
    <s v="LINESTRING (5.225857979732691 60.36880873204806, 5.225766512636217 60.36878033650099, 5.225095077673881 60.36898827763392)"/>
    <s v="[1990890, 1990894]"/>
    <s v="[1748581, 1748584]"/>
    <s v="0.046"/>
    <s v="[1748580, 1748581]"/>
    <s v="0.046"/>
    <s v="75.13987680565774"/>
    <s v="0.046"/>
  </r>
  <r>
    <x v="5080"/>
    <x v="5450"/>
    <x v="0"/>
    <n v="0"/>
    <m/>
    <n v="1995933"/>
    <n v="1748580"/>
    <s v="0.481"/>
    <n v="1751388"/>
    <s v="0.481"/>
    <s v="6.551648647788649"/>
    <s v="0.481"/>
  </r>
  <r>
    <x v="5081"/>
    <x v="5451"/>
    <x v="0"/>
    <n v="0"/>
    <s v="LINESTRING (5.225095077673881 60.36898827763392, 5.229091643763235 60.37011328439828, 5.229194509755091 60.37017790403203)"/>
    <s v="[1990901, 2018722]"/>
    <s v="[1748588, 1763940]"/>
    <s v="#FIELD!"/>
    <s v="[1748584, 1748588]"/>
    <s v="[0.052, 0.034]"/>
    <s v="263.9062394158215"/>
    <s v="[-0.052, 0.034]"/>
  </r>
  <r>
    <x v="5081"/>
    <x v="5452"/>
    <x v="0"/>
    <n v="0"/>
    <s v="LINESTRING (5.2241482729551185 60.36887463358727, 5.224273878317143 60.3688821401155, 5.225005375127857 60.36896353160734, 5.225095077673881 60.36898827763392)"/>
    <s v="[1990983, 1990991, 1991018]"/>
    <s v="[1748642, 1748650, 1748584]"/>
    <s v="#FIELD!"/>
    <s v="[1748641, 1748642, 1748650]"/>
    <s v="[0.051, 0.058, 0.042]"/>
    <s v="54.28711819939001"/>
    <s v="[-0.051, -0.058, -0.042]"/>
  </r>
  <r>
    <x v="5082"/>
    <x v="5453"/>
    <x v="0"/>
    <n v="0"/>
    <m/>
    <n v="1995976"/>
    <n v="1748594"/>
    <s v="0.578"/>
    <n v="1751418"/>
    <s v="0.578"/>
    <s v="8.86972942121166"/>
    <s v="0.578"/>
  </r>
  <r>
    <x v="5083"/>
    <x v="5448"/>
    <x v="0"/>
    <n v="0"/>
    <s v="LINESTRING (5.2241482729551185 60.36887463358727, 5.224932000442788 60.36870259063645, 5.225843881764103 60.36866746161171, 5.2259708311359105 60.368683208296794)"/>
    <s v="[1991074, 1991075, 1991095]"/>
    <s v="[1748686, 1748687, 1748697]"/>
    <s v="#FIELD!"/>
    <s v="[1748641, 1748686, 1748687]"/>
    <s v="[0.081, 0.049, 0.048]"/>
    <s v="108.444320146761"/>
    <s v="[-0.081, -0.049, -0.048]"/>
  </r>
  <r>
    <x v="5083"/>
    <x v="5454"/>
    <x v="0"/>
    <n v="0"/>
    <s v="LINESTRING (5.221159432585073 60.369014794621464, 5.221283138844695 60.368961549299556, 5.2241482729551185 60.36887463358727)"/>
    <s v="[2018746, 1991026]"/>
    <s v="[1748665, 1748641]"/>
    <s v="#FIELD!"/>
    <s v="[1763954, 1748665]"/>
    <s v="[0.051, 0.048]"/>
    <s v="168.81371798017727"/>
    <s v="[0.051, -0.048]"/>
  </r>
  <r>
    <x v="5084"/>
    <x v="5455"/>
    <x v="0"/>
    <n v="0"/>
    <s v="LINESTRING (5.2259708311359105 60.368683208296794, 5.226321957516502 60.36877800088076, 5.226286439973844 60.368847741331415, 5.226199539998789 60.36888743602625, 5.226113518990324 60.36890005554108)"/>
    <s v="[1995959, 1995968, 1995971, 1995896]"/>
    <s v="[1751407, 1751412, 1751373, 1751374]"/>
    <s v="#FIELD!"/>
    <s v="[1748697, 1751407, 1751412, 1751373]"/>
    <s v="[0.052, 0.087, 0.152, 0.161]"/>
    <s v="45.820732718977474"/>
    <s v="[0.052, -0.087, -0.152, -0.161]"/>
  </r>
  <r>
    <x v="5085"/>
    <x v="5456"/>
    <x v="0"/>
    <n v="0"/>
    <s v="LINESTRING (5.213304630660862 60.37079847758134, 5.212654937536915 60.37143722716091, 5.212654154931164 60.37144620697104, 5.212701998334217 60.3720465427601, 5.212723268849726 60.372120497888744)"/>
    <s v="[1991168, 1991175, 1991216, 1991233]"/>
    <s v="[1748746, 1748748, 1748781, 1748797]"/>
    <s v="0.04778441588463759"/>
    <s v="[1748745, 1748746, 1748748, 1748781]"/>
    <s v="[0.065, 0.042, 0.031, 0.012]"/>
    <s v="159.87470167346865"/>
    <s v="[0.065, 0.042, 0.031, 0.012]"/>
  </r>
  <r>
    <x v="5085"/>
    <x v="5457"/>
    <x v="0"/>
    <s v="[0, 0, 1, 0, 0]"/>
    <s v="LINESTRING (5.210922946207506 60.371810391641944, 5.211032474966715 60.37176786272101, 5.211864050088831 60.3716379117515, 5.213559483551845 60.371284222823576, 5.2135072432417084 60.3707628583217, 5.213304630660862 60.37079847758134)"/>
    <s v="[1991274, 1991286, 1991307, 1991308, 1991339]"/>
    <s v="[1748829, 1748839, 1748854, 1748855, 1748745]"/>
    <s v="#FIELD!"/>
    <s v="[1748828, 1748829, 1748839, 1748854, 1748855]"/>
    <s v="[0.163, 0.167, 0.111, 0.017, 0.013]"/>
    <s v="287.0190288995484"/>
    <s v="[-0.163, -0.167, -0.111, -0.017, 0.013]"/>
  </r>
  <r>
    <x v="5085"/>
    <x v="5458"/>
    <x v="0"/>
    <n v="0"/>
    <s v="LINESTRING (5.21840571906141 60.369861710815975, 5.218306217378357 60.369924892322, 5.216616231447429 60.37057659336946, 5.215992814560288 60.37073092569723, 5.21594230687399 60.37074007747849, 5.215212868612038 60.370751493016414, 5.215159891673613 60.370747135076286, 5.213304630660862 60.37079847758134)"/>
    <s v="[2018754, 1991096, 1991111, 1991119, 1991124, 1991156, 1991166]"/>
    <s v="[1748698, 1748699, 1748707, 1748712, 1748715, 1748738, 1748745]"/>
    <s v="#FIELD!"/>
    <s v="[1762382, 1748698, 1748699, 1748707, 1748712, 1748715, 1748738]"/>
    <s v="[0.133, 0.022, 0.118, 0.149, 0.043, 0.0, 0.002]"/>
    <s v="320.16737217689763"/>
    <s v="[0.133, 0.022, -0.118, -0.149, -0.043, 0.0, 0.002]"/>
  </r>
  <r>
    <x v="5086"/>
    <x v="5459"/>
    <x v="0"/>
    <n v="0"/>
    <s v="LINESTRING (5.212723268849726 60.372120497888744, 5.2128759618124905 60.37220873473873, 5.2128888331225545 60.37226759102701, 5.212858999069214 60.37232508582284, 5.212722224171508 60.37239544818779, 5.21256855824081 60.372414797896646, 5.212392820458299 60.372386368947595, 5.2122734533358495 60.372308748398524, 5.212254597312414 60.372250352294806, 5.212283181559641 60.37219276478212, 5.21241656132681 60.37212034137673)"/>
    <n v="2024475"/>
    <n v="1748797"/>
    <s v="#FIELD!"/>
    <n v="1748877"/>
    <s v="0.16"/>
    <s v="17.57042574884364"/>
    <s v="#FIELD!"/>
  </r>
  <r>
    <x v="5087"/>
    <x v="5460"/>
    <x v="0"/>
    <n v="0"/>
    <s v="LINESTRING (5.210922946207506 60.371810391641944, 5.210851669180116 60.37181517650184, 5.21084629271493 60.37181555525084, 5.206349737842187 60.37171404069916, 5.206332200731177 60.371711742484216, 5.206325013464538 60.37171080133918, 5.204803268876829 60.371486643678836)"/>
    <s v="[2033480, 2033488, 2033496, 2033504, 2033512, 2033520]"/>
    <s v="[1774491, 1774498, 1774505, 1774511, 1774519, 1774526]"/>
    <s v="0.039446575348458454"/>
    <s v="[1748828, 1774491, 1774498, 1774505, 1774511, 1774519]"/>
    <s v="[0.086, 0.0, 0.071, 0.071, 0.0, 0.051]"/>
    <s v="343.98160791635155"/>
    <s v="[0.086, 0.0, 0.071, -0.071, 0.0, -0.051]"/>
  </r>
  <r>
    <x v="5087"/>
    <x v="5461"/>
    <x v="0"/>
    <n v="0"/>
    <s v="LINESTRING (5.211158087919954 60.371788047743124, 5.211154400878671 60.37178839816953, 5.210922946207506 60.371810391641944)"/>
    <s v="[2033464, 2033472]"/>
    <s v="[1774477, 1748828]"/>
    <s v="0.17117819034824527"/>
    <s v="[1748932, 1774477]"/>
    <s v="[3.07, 0.125]"/>
    <s v="13.251792331868465"/>
    <s v="[3.07, 0.125]"/>
  </r>
  <r>
    <x v="5088"/>
    <x v="5462"/>
    <x v="0"/>
    <n v="0"/>
    <s v="LINESTRING (5.21241656132681 60.37212034137673, 5.212425846092116 60.37204684562916, 5.212456540502564 60.37172424804338, 5.2124559920127105 60.37171525986053, 5.212454971931653 60.37169799486867, 5.217827640203402 60.36989389870994, 5.21798754457638 60.369873197230504)"/>
    <s v="[1991350, 1991370, 1991393, 1991404, 1991418, 2018766]"/>
    <s v="[1748878, 1748890, 1748904, 1748913, 1748920, 1763967]"/>
    <s v="#FIELD!"/>
    <s v="[1748877, 1748878, 1748890, 1748904, 1748913, 1748920]"/>
    <s v="[0.051, 0.049, 0.0, 0.002, 0.016, 0.002]"/>
    <s v="457.6324584958274"/>
    <s v="[-0.051, -0.049, 0.0, -0.002, -0.016, 0.002]"/>
  </r>
  <r>
    <x v="5089"/>
    <x v="5463"/>
    <x v="0"/>
    <n v="0"/>
    <m/>
    <n v="2033456"/>
    <n v="1748932"/>
    <s v="0.621"/>
    <n v="1762413"/>
    <s v="0.621"/>
    <s v="18.7874452759006"/>
    <s v="0.621"/>
  </r>
  <r>
    <x v="5089"/>
    <x v="5464"/>
    <x v="0"/>
    <s v="[0, 0, 1, 0, 0]"/>
    <s v="LINESTRING (5.213828660712619 60.37193930405615, 5.213828660712619 60.37193930405615, 5.213586660525735 60.371423754330415, 5.2118876356847865 60.37175537406705, 5.211305589281104 60.37180714404617, 5.211158087919954 60.371788047743124)"/>
    <s v="[2018774, 1991419, 1991421, 1991436, 1991441]"/>
    <s v="[1748921, 1748922, 1748923, 1748928, 1748932]"/>
    <s v="0.0574428575033762"/>
    <s v="[1763974, 1748921, 1748922, 1748923, 1748928]"/>
    <s v="[0.0, 0.016, 0.11, 0.166, 0.143]"/>
    <s v="275.352639884111"/>
    <s v="[0.0, -0.016, 0.11, 0.166, 0.143]"/>
  </r>
  <r>
    <x v="5090"/>
    <x v="5465"/>
    <x v="0"/>
    <n v="0"/>
    <s v="LINESTRING (5.626885294339402 60.42409288828973, 5.626450634259685 60.424261507872124, 5.626328440790627 60.42432017474796)"/>
    <s v="[2013749, 2013757]"/>
    <s v="[1761016, 1751902]"/>
    <s v="#FIELD!"/>
    <s v="[1750921, 1761016]"/>
    <s v="[0.163, 0.172]"/>
    <s v="40.81287362650716"/>
    <s v="[-0.163, -0.172]"/>
  </r>
  <r>
    <x v="5090"/>
    <x v="5466"/>
    <x v="0"/>
    <n v="0"/>
    <s v="LINESTRING (5.626885294339402 60.42409288828973, 5.626297675811108 60.42414474086669, 5.626179092435482 60.42417435179289)"/>
    <s v="[2017102, 2017110]"/>
    <s v="[1762945, 1751958]"/>
    <s v="#FIELD!"/>
    <s v="[1750921, 1762945]"/>
    <s v="[0.032, 0.104]"/>
    <s v="41.66985305993704"/>
    <s v="[-0.032, -0.104]"/>
  </r>
  <r>
    <x v="5090"/>
    <x v="5467"/>
    <x v="496"/>
    <s v="[1, 1, 0, 0, 0, 0, 0, 0, 0, 0, 0, 0, 0, 0, 0, 0, 0, 0, 0, 0, 0, 0, 0, 0, 0, 0, 0, 0, 0, 0, 0, 0, 0, 0, 0, 0, 0, 0, 0, 0, 0, 0, 0, 0, 0, 0, 0, 0]"/>
    <s v="LINESTRING (5.74429222247675 60.4774138158354, 5.744300832260598 60.47723620656632, 5.744312661707707 60.477131665876826, 5.744314374008019 60.477122709700474, 5.744590077547357 60.47625292716538, 5.740215615420403 60.45988291681804, 5.7401859539017055 60.459855473164, 5.740118303662359 60.45979299660599, 5.73982093123106 60.45951993462706, 5.739367547193148 60.459094006982525, 5.739286801501881 60.45901659156515, 5.739178929689126 60.458912280383075, 5.739027355906672 60.45876352272715, 5.735777383485255 60.45655361327023, 5.727256518863872 60.454340658758014, 5.726457049507835 60.45419434865877, 5.721186457217593 60.45271630280052, 5.713551822256781 60.453888323022994, 5.706730691903884 60.45316456582221, 5.706177178409073 60.4529686493993, 5.706058197342659 60.45293759129169, 5.7053203131675225 60.452786256221025, 5.704490206572036 60.45270534560228, 5.703412471099764 60.45266761753107, 5.687277113328572 60.453842463580735, 5.6872734852876645 60.45384374482989, 5.685935879822058 60.45432428489068, 5.685799050913302 60.454374309839736, 5.68372355439712 60.45512322464479, 5.682710101965286 60.45549359836142, 5.681365757706162 60.45598402047133, 5.677722539960553 60.4565317189171, 5.676377102798646 60.45636086983495, 5.676048689296426 60.45628942387018, 5.672574922883252 60.455206392028444, 5.63561652989469 60.44202492584743, 5.635490693642729 60.44187719600917, 5.635320537558486 60.441588553752815, 5.6343947437202155 60.438988668136666, 5.634394227158768 60.43883276911964, 5.634400715730755 60.438729878409745, 5.634821059428317 60.437374005493155, 5.634892315908731 60.43723504796658, 5.634900802739213 60.43721835370203, 5.6363680880108395 60.434579002463806, 5.634911251900681 60.424585640998906, 5.629778940053917 60.423660909514176, 5.629742875575998 60.42366185865703, 5.626885294339402 60.42409288828973)"/>
    <s v="[2058075, 2058083, 2058091, 2058099, 2058107, 2058115, 2058123, 2058131, 2058139, 2058147, 2058155, 2058163, 2058171, 2058186, 2058194, 2058202, 2058210, 2058218, 2058226, 2058234, 2058242, 2058250, 2058258, 2058267, 2058275, 2058283, 2058291, 2058299, 2058307, 2058315, 2058323, 2058331, 2058332, 2058339, 2058347, 2058355, 1994903, 1994911, 1994919, 1994927, 1994935, 1994936, 1994941, 1994942, 1994943, 1994951, 1994959, 1994967]"/>
    <s v="[1789749, 1789755, 1789760, 1789766, 1789773, 1789779, 1789785, 1789791, 1789799, 1789806, 1789814, 1557738, 1789823, 1734095, 1789842, 1789849, 1789855, 1348863, 1348894, 1700782, 1734132, 1789886, 1789891, 1789897, 1789902, 1789908, 378107, 1734142, 1734172, 1734174, 1734189, 1700669, 1789942, 1789947, 1789952, 1750889, 1750890, 1750894, 1750897, 1750900, 1750903, 1750904, 1750907, 1750908, 1750909, 1750913, 1750917, 1750921]"/>
    <s v="0.00773068435845235"/>
    <s v="[1761012, 1789749, 1789755, 1789760, 1789766, 1789773, 1789779, 1789785, 1789791, 1789799, 1789806, 1789814, 1557738, 1789823, 1734095, 1789842, 1789849, 1789855, 1348863, 1348894, 1700782, 1734132, 1789886, 1789891, 1789897, 1789902, 1789908, 378107, 1734142, 1734172, 1734174, 1734189, 1700669, 1789942, 1789947, 1789952, 1750889, 1750890, 1750894, 1750897, 1750900, 1750903, 1750904, 1750907, 1750908, 1750909, 1750913, 1750917]"/>
    <s v="[0.099, 0.268, 0.263, 0.298, 0.021, 0.187, 0.147, 0.174, 0.173, 0.039, 0.001, 0.0, 0.04, 0.029, 0.144, 0.012, 0.044, 0.065, 0.271, 0.231, 0.116, 0.007, 0.003, 0.049, 0.069, 0.151, 0.163, 0.086, 0.084, 0.114, 0.077, 0.161, 0.358, 0.647, 0.046, 0.939, 0.04, 0.103, 0.004, 0.024, 0.256, 0.338, 0.425, 0.424, 0.008, 0.157, 0.065, 0.144]"/>
    <s v="11391.633711035613"/>
    <s v="[0.099, 0.268, 0.263, 0.298, -0.021, -0.187, -0.147, -0.174, -0.173, -0.039, -0.001, -0.0, 0.04, -0.029, 0.144, 0.012, 0.044, -0.065, 0.271, 0.231, 0.116, -0.007, -0.003, 0.049, 0.069, -0.151, -0.163, -0.086, 0.084, -0.114, -0.077, 0.161, 0.358, 0.647, -0.046, -0.939, 0.04, -0.103, 0.004, 0.024, 0.256, 0.338, 0.425, 0.424, -0.008, -0.157, -0.065, -0.144]"/>
  </r>
  <r>
    <x v="5091"/>
    <x v="5468"/>
    <x v="497"/>
    <s v="[0, 0, 0, 0, 0, 0, 1, 0, 0, 0, 0, 0, 0, 0, 0, 0, 0, 0, 0, 0, 0, 0, 0, 0, 0, 0, 0, 0, 1, 0, 0, 0, 0, 0, 0, 0, 0, 0, 0, 0, 0, 0, 0, 0, 0, 0, 0, 0, 0, 0]"/>
    <s v="LINESTRING (5.457225215209422 60.42494097414334, 5.454817565724876 60.42812032817195, 5.450819359009309 60.44282037696211, 5.4507652073175485 60.44291051708823, 5.450706203797246 60.44299849763926, 5.447417331101818 60.44708723326, 5.447177793193694 60.44741990615067, 5.447022235766757 60.447648317725395, 5.446755008891637 60.44805586056389, 5.446148803029473 60.44895477477545, 5.446135536839833 60.44897241848092, 5.443616824257976 60.45378939356662, 5.4436159537025 60.453791464954584, 5.443608685157709 60.45380899984675, 5.441641122495398 60.455423885855126, 5.440577578941507 60.455842537684234, 5.4390875396119815 60.45620499257974, 5.439070352623231 60.456207682821635, 5.428511884369893 60.4597088914459, 5.424697153399594 60.45985662872165, 5.424440687425424 60.45985070179365, 5.424142198264447 60.45984444162523, 5.423429233013008 60.45985245297077, 5.421963644264665 60.459958373761424, 5.413929531914001 60.45986197657246, 5.4111998115927875 60.460064809525136, 5.411181941223394 60.460066270971225, 5.408108828545853 60.46028485256724, 5.4054634232297 60.46029353774621, 5.405266647327346 60.46029009966004, 5.402432994578723 60.46011254552836, 5.40242647507082 60.46011168296544, 5.402397865160403 60.460107940232035, 5.396428599886947 60.45927582929373, 5.396424504930874 60.45927525121373, 5.396406945176504 60.45927278075613, 5.392655199453884 60.458809136414466, 5.390615529187654 60.45880730199161, 5.390393558829852 60.458814670930515, 5.374207877884302 60.46723808057771, 5.373430379027091 60.46770024006396, 5.371955528357215 60.46849332198274, 5.370141720552253 60.469435883845954, 5.370129196852286 60.46944235175827, 5.366383995955585 60.47128906724222, 5.363205639830646 60.47254617343583, 5.361241179954773 60.473079456678036, 5.361096030237933 60.47311138018686, 5.360928037114727 60.47314615966372, 5.3554713286808004 60.47524085644334, 5.353514884280003 60.47605375148975)"/>
    <s v="[1994970, 1994978, 1994986, 1995001, 1995009, 1995024, 1995032, 1995040, 1995048, 1995061, 1995068, 1995076, 1995084, 1995092, 1995100, 1995108, 1995116, 1995134, 1995158, 1995166, 1995174, 1995180, 1995183, 1995190, 1995198, 1995206, 1995217, 1995225, 1995226, 1995233, 1995241, 1995249, 1995257, 1995270, 1995278, 1995286, 1995301, 1995315, 1995323, 1995346, 1995348, 1995357, 1995369, 1995377, 1995383, 1995390, 1995409, 1995417, 1995419, 1995420]"/>
    <s v="[1750923, 1750927, 1750931, 1750937, 1704710, 1750949, 1750954, 1750959, 1750964, 1750972, 1750975, 1750977, 1750981, 1750983, 1750988, 1750992, 1750998, 1751008, 1751018, 1751021, 1751025, 1751028, 1751031, 1751034, 1751038, 1751042, 1630984, 1751047, 1751048, 1751050, 1751054, 1751057, 1751061, 1751068, 1751073, 1751079, 1751086, 1680255, 1751096, 1751106, 1664809, 1751112, 1751117, 1751121, 1751124, 1751127, 1751136, 1751139, 1751140, 1751141]"/>
    <s v="0.007204618073686413"/>
    <s v="[1750922, 1750923, 1750927, 1750931, 1750937, 1704710, 1750949, 1750954, 1750959, 1750964, 1750972, 1750975, 1750977, 1750981, 1750983, 1750988, 1750992, 1750998, 1751008, 1751018, 1751021, 1751025, 1751028, 1751031, 1751034, 1751038, 1751042, 1630984, 1751047, 1751048, 1751050, 1751054, 1751057, 1751061, 1751068, 1751073, 1751079, 1751086, 1680255, 1751096, 1751106, 1664809, 1751112, 1751117, 1751121, 1751124, 1751127, 1751136, 1751139, 1751140]"/>
    <s v="[0.019, 0.015, 0.053, 0.07, 0.03, 0.091, 0.089, 0.081, 0.123, 0.126, 0.018, 0.0, 0.137, 0.013, 0.079, 0.191, 0.007, 0.044, 0.09, 0.162, 0.039, 0.016, 0.004, 0.028, 0.21, 0.254, 0.078, 0.021, 0.023, 0.066, 0.0, 0.245, 0.055, 0.591, 0.329, 0.132, 0.012, 0.016, 0.049, 0.063, 0.218, 0.14, 0.027, 0.053, 0.025, 0.005, 0.18, 0.169, 0.03, 0.023]"/>
    <s v="9469.632420955395"/>
    <s v="[0.019, 0.015, 0.053, 0.07, 0.03, 0.091, 0.089, 0.081, 0.123, 0.126, -0.018, 0.0, -0.137, -0.013, 0.079, 0.191, 0.007, -0.044, 0.09, 0.162, 0.039, 0.016, -0.004, 0.028, -0.21, -0.254, -0.078, 0.021, 0.023, 0.066, 0.0, 0.245, 0.055, -0.591, -0.329, -0.132, 0.012, 0.016, 0.049, -0.063, -0.218, 0.14, -0.027, -0.053, -0.025, -0.005, 0.18, 0.169, -0.03, -0.023]"/>
  </r>
  <r>
    <x v="5091"/>
    <x v="5469"/>
    <x v="0"/>
    <n v="0"/>
    <s v="LINESTRING (5.460310389439328 60.42211623799591, 5.460211779709979 60.422165182645124, 5.458947254488433 60.423512812928415, 5.4589390672850024 60.42352076747452, 5.457225215209422 60.42494097414334)"/>
    <s v="[2013957, 2013965, 2013973, 2013981]"/>
    <s v="[1761114, 1761118, 1761123, 1750922]"/>
    <s v="0.03542271068880123"/>
    <s v="[1752032, 1761114, 1761118, 1761123]"/>
    <s v="[0.024, 0.039, 0.022, 0.033]"/>
    <s v="360.06135546401975"/>
    <s v="[0.024, 0.039, -0.022, 0.033]"/>
  </r>
  <r>
    <x v="5091"/>
    <x v="5470"/>
    <x v="0"/>
    <n v="0"/>
    <s v="LINESTRING (5.459965905636825 60.422031656464014, 5.4599523168916395 60.42211957328936, 5.458831569162973 60.423486102678254, 5.458823328627102 60.42349399005828, 5.457225215209422 60.42494097414334)"/>
    <s v="[2017272, 2017280, 2017288, 2017296]"/>
    <s v="[1763058, 1763062, 1763068, 1750922]"/>
    <s v="0.02396463868740634"/>
    <s v="[1752040, 1763058, 1763062, 1763068]"/>
    <s v="[0.055, 0.028, 0.129, 0.024]"/>
    <s v="360.57046824138985"/>
    <s v="[-0.055, 0.028, 0.129, 0.024]"/>
  </r>
  <r>
    <x v="5092"/>
    <x v="5328"/>
    <x v="0"/>
    <n v="0"/>
    <s v="LINESTRING (5.353514884280003 60.47605375148975, 5.353143886153524 60.476167446859485, 5.3530457594405165 60.476215495119554)"/>
    <s v="[2155761, 2155769]"/>
    <s v="[1847349, 1847354]"/>
    <s v="0.47845403439941186"/>
    <s v="[1751141, 1847349]"/>
    <s v="[0.63, 0.016]"/>
    <s v="32.50164909528"/>
    <s v="[0.63, -0.016]"/>
  </r>
  <r>
    <x v="5092"/>
    <x v="5471"/>
    <x v="0"/>
    <n v="0"/>
    <s v="LINESTRING (5.353514884280003 60.47605375148975, 5.353364687893136 60.47624884616619, 5.353303398891562 60.47631565733449)"/>
    <s v="[2155777, 2155785]"/>
    <s v="[1847357, 1847362]"/>
    <s v="0.45398679605648823"/>
    <s v="[1751141, 1847357]"/>
    <s v="[0.622, 0.035]"/>
    <s v="32.05142458771543"/>
    <s v="[0.622, -0.035]"/>
  </r>
  <r>
    <x v="5093"/>
    <x v="5472"/>
    <x v="0"/>
    <s v="[1, 1, 0]"/>
    <s v="LINESTRING (5.335362959040048 60.385175649853224, 5.335267571620132 60.38507911131498, 5.335020774387483 60.384914491271836, 5.3347083300880795 60.38464556138456)"/>
    <s v="[1995421, 1995422, 1995423]"/>
    <s v="[1751143, 1751144, 1751145]"/>
    <s v="0.00321999080656325"/>
    <s v="[1751142, 1751143, 1751144]"/>
    <s v="[0.01, 0.0, 0.003]"/>
    <s v="69.7397593941377"/>
    <s v="[0.01, -0.0, 0.003]"/>
  </r>
  <r>
    <x v="5093"/>
    <x v="5473"/>
    <x v="0"/>
    <s v="[1, 0, 1, 0, 0, 1]"/>
    <s v="LINESTRING (5.335362959040048 60.385175649853224, 5.334947618342282 60.38495073817675, 5.334702859983276 60.384804357392525, 5.335413946432237 60.38316681434973, 5.335396447799805 60.38298643569557, 5.335350360403313 60.38267009193473, 5.335364850364448 60.38260331438107)"/>
    <s v="[2063169, 2063180, 2063195, 2063196, 2063207, 2015221]"/>
    <s v="[1793229, 1793237, 1793244, 1793245, 1761804, 1757097]"/>
    <s v="0.00879577125425654"/>
    <s v="[1751142, 1793229, 1793237, 1793244, 1793245, 1761804]"/>
    <s v="[0.001, 0.0, 0.011, 0.02, 0.025, 0.098]"/>
    <s v="324.10729050780947"/>
    <s v="[0.001, 0.0, 0.011, 0.02, 0.025, -0.098]"/>
  </r>
  <r>
    <x v="5093"/>
    <x v="5474"/>
    <x v="0"/>
    <s v="[0, 0, 0, 0, 0, 0, 0, 1, 1, 1]"/>
    <s v="LINESTRING (5.323081007354437 60.41458729942779, 5.323222955036843 60.41457201956104, 5.3232368594903905 60.414570361730796, 5.323240597618197 60.414569912213956, 5.337453039694167 60.40154619569285, 5.337458674895741 60.40153768977892, 5.339672895362464 60.38910448071866, 5.33965163472813 60.389089952656235, 5.338898733321588 60.38851852111246, 5.335622529862004 60.38529421497676, 5.335362959040048 60.385175649853224)"/>
    <s v="[2063084, 2063085, 2063094, 2063102, 2063117, 2063125, 2063135, 2063144, 2063152, 2063160]"/>
    <s v="[1793169, 1793170, 1793177, 1793184, 1793193, 1793199, 1793206, 1793213, 1793219, 1751142]"/>
    <s v="#FIELD!"/>
    <s v="[1754392, 1793169, 1793170, 1793177, 1793184, 1793193, 1793199, 1793206, 1793213, 1793219]"/>
    <s v="[0.157, 0.347, 0.0, 0.139, 0.853, 0.186, 0.097, 0.073, 0.01, 0.01]"/>
    <s v="3722.320844616598"/>
    <s v="[0.157, 0.347, 0.0, 0.139, 0.853, -0.186, -0.097, -0.073, -0.01, 0.01]"/>
  </r>
  <r>
    <x v="5094"/>
    <x v="5475"/>
    <x v="498"/>
    <n v="0"/>
    <s v="LINESTRING (5.3347083300880795 60.38464556138456, 5.33524798218273 60.38397452354533, 5.335263944594757 60.383970275250846, 5.336666979386179 60.384481555705655)"/>
    <s v="[1995430, 1995439, 1995440]"/>
    <s v="[1751147, 1751154, 1751155]"/>
    <s v="0.006433805513316945"/>
    <s v="[1751145, 1751147, 1751154]"/>
    <s v="[0.004, 0.024, 0.008]"/>
    <s v="212.3705297742909"/>
    <s v="[0.004, 0.024, 0.008]"/>
  </r>
  <r>
    <x v="5094"/>
    <x v="5476"/>
    <x v="0"/>
    <n v="0"/>
    <s v="LINESTRING (5.3347083300880795 60.38464556138456, 5.334629442825683 60.38458550809586, 5.33558512439143 60.38333312865757, 5.335499774345261 60.383404663069776)"/>
    <s v="[2001998, 2002006, 2002014]"/>
    <s v="[1754343, 1754348, 1754298]"/>
    <s v="0.004285708250477204"/>
    <s v="[1751145, 1754343, 1754348]"/>
    <s v="[0.007, 0.005, 0.029]"/>
    <s v="419.54357063199205"/>
    <s v="[0.007, 0.005, -0.029]"/>
  </r>
  <r>
    <x v="5095"/>
    <x v="5477"/>
    <x v="0"/>
    <n v="0"/>
    <s v="LINESTRING (5.336666979386179 60.384481555705655, 5.336227779448202 60.38486304865978, 5.336212844541523 60.38487027590884, 5.3357882788403845 60.38503722834118, 5.335495097976955 60.385136488918185, 5.3354796516786305 60.38514120926451, 5.335464202728446 60.3851459384602, 5.335294038765666 60.38519773494052)"/>
    <s v="[1995455, 1995478, 1995484, 1995493, 2013989, 2013997, 2014005]"/>
    <s v="[1751163, 1751177, 1751181, 1751185, 1761129, 1761134, 1757087]"/>
    <s v="#FIELD!"/>
    <s v="[1751155, 1751163, 1751177, 1751181, 1751185, 1761129, 1761134]"/>
    <s v="[0.03, 0.023, 0.005, 0.004, 0.009, 0.003, 0.118]"/>
    <s v="113.50761398971164"/>
    <s v="[-0.03, -0.023, -0.005, 0.004, 0.009, 0.003, 0.118]"/>
  </r>
  <r>
    <x v="5095"/>
    <x v="5478"/>
    <x v="499"/>
    <n v="0"/>
    <s v="LINESTRING (5.336912960577659 60.38287686257542, 5.337013828787282 60.382912293893135, 5.3367323095346375 60.38441036261511, 5.336666979386179 60.384481555705655)"/>
    <s v="[2001974, 2001982, 2001990]"/>
    <s v="[1754331, 1754334, 1751155]"/>
    <s v="0.0018532911290767636"/>
    <s v="[1754321, 1754331, 1754334]"/>
    <s v="[0.0, 0.003, 0.023]"/>
    <s v="216.0430971953039"/>
    <s v="[0.0, 0.003, -0.023]"/>
  </r>
  <r>
    <x v="5096"/>
    <x v="5479"/>
    <x v="0"/>
    <n v="0"/>
    <s v="LINESTRING (5.332505770042856 60.38831752244638, 5.33130866257948 60.38919761909282, 5.331168245152157 60.38930039196608)"/>
    <s v="[1995508, 1995545]"/>
    <s v="[1751191, 1751204]"/>
    <s v="#FIELD!"/>
    <s v="[1751190, 1751191]"/>
    <s v="[0.006, 0.001]"/>
    <s v="132.43687186138214"/>
    <s v="[-0.006, -0.001]"/>
  </r>
  <r>
    <x v="5096"/>
    <x v="5480"/>
    <x v="0"/>
    <n v="0"/>
    <s v="LINESTRING (5.332069594470771 60.38809559794341, 5.3323147334248615 60.38817833195469, 5.332386511277691 60.38828249494738, 5.332505770042856 60.38831752244638)"/>
    <s v="[2145998, 2146006, 2146014]"/>
    <s v="[1841892, 1841897, 1751190]"/>
    <s v="#FIELD!"/>
    <s v="[1751363, 1841892, 1841897]"/>
    <s v="[0.172, 0.005, 0.379]"/>
    <s v="36.38265540179072"/>
    <s v="[0.172, 0.005, -0.379]"/>
  </r>
  <r>
    <x v="5096"/>
    <x v="5477"/>
    <x v="0"/>
    <n v="0"/>
    <s v="LINESTRING (5.335294038765666 60.38519773494052, 5.334751035358338 60.385595098772946, 5.334641092892989 60.38578974609534, 5.334500848390254 60.38606674602054, 5.3343815955975495 60.386251575227746, 5.334271786410389 60.38645266346799, 5.334226432417578 60.38653688883449, 5.334211070207662 60.386565087767444, 5.334194677291045 60.38660149664567, 5.334147137199997 60.38669931967787, 5.3334382392249 60.38763330025949, 5.333261187745658 60.3877597928223, 5.332900084934246 60.388032553013744, 5.332764221812761 60.388138464921234, 5.332594764747299 60.38825891949862, 5.332505770042856 60.38831752244638)"/>
    <s v="[2014013, 2014021, 2014029, 2014037, 2014045, 2014053, 2014061, 2014069, 2014077, 2014085, 2014093, 2014101, 2014109, 2014117, 1995507]"/>
    <s v="[1761143, 1761146, 1761148, 1761152, 1761156, 1753819, 1761166, 1753222, 1761176, 1758041, 1761183, 1761186, 1761191, 1751189, 1751190]"/>
    <s v="#FIELD!"/>
    <s v="[1757087, 1761143, 1761146, 1761148, 1761152, 1761156, 1753819, 1761166, 1753222, 1761176, 1758041, 1761183, 1761186, 1761191, 1751189]"/>
    <s v="[0.031, 0.004, 0.002, 0.0, 0.0, 0.0, 0.0, 0.0, 0.001, 0.002, 0.009, 0.008, 0.005, 0.004, 0.002]"/>
    <s v="386.859183437354"/>
    <s v="[-0.031, -0.004, -0.002, -0.0, 0.0, -0.0, 0.0, 0.0, -0.001, 0.002, 0.009, 0.008, 0.005, 0.004, 0.002]"/>
  </r>
  <r>
    <x v="5097"/>
    <x v="5481"/>
    <x v="0"/>
    <n v="0"/>
    <s v="LINESTRING (5.331168245152157 60.38930039196608, 5.33091601665942 60.38936150000396, 5.330563567468396 60.38932390204975)"/>
    <s v="[1995546, 1995561]"/>
    <s v="[1751205, 1751213]"/>
    <s v="#FIELD!"/>
    <s v="[1751204, 1751205]"/>
    <s v="[0.002, 0.003]"/>
    <s v="36.00568173581425"/>
    <s v="[-0.002, -0.003]"/>
  </r>
  <r>
    <x v="5097"/>
    <x v="5482"/>
    <x v="0"/>
    <n v="0"/>
    <s v="LINESTRING (5.331168245152157 60.38930039196608, 5.33109779398141 60.389419148380526, 5.33111195786003 60.389622802373594, 5.331894962960657 60.39017250280187, 5.332023382900913 60.3902560879481, 5.332040356240739 60.39030643016782)"/>
    <s v="[2014133, 2014141, 2014149, 2014157, 2014165]"/>
    <s v="[1761204, 1761208, 1761212, 1761215, 1698817]"/>
    <s v="0.010398544199619112"/>
    <s v="[1751204, 1761204, 1761208, 1761212, 1761215]"/>
    <s v="[0.001, 0.004, 0.013, 0.017, 0.011]"/>
    <s v="129.60260662763434"/>
    <s v="[0.001, 0.004, 0.013, 0.017, 0.011]"/>
  </r>
  <r>
    <x v="5098"/>
    <x v="5483"/>
    <x v="0"/>
    <n v="0"/>
    <m/>
    <n v="1995573"/>
    <n v="1751216"/>
    <s v="0.001"/>
    <n v="1751213"/>
    <s v="0.001"/>
    <s v="67.78605209337306"/>
    <s v="0.001"/>
  </r>
  <r>
    <x v="5098"/>
    <x v="5482"/>
    <x v="0"/>
    <n v="0"/>
    <s v="LINESTRING (5.330563567468396 60.38932390204975, 5.33076923918699 60.38948551512116, 5.330925904286712 60.389666148429335, 5.331321329986887 60.389913129449006, 5.331789167803663 60.39020898843282, 5.3319174985715465 60.39028859625261, 5.332040356240739 60.39030643016782)"/>
    <s v="[2022360, 2017416, 2017424, 2017432, 2017440, 2017448]"/>
    <s v="[1763132, 1763133, 1763137, 1763143, 1763147, 1698817]"/>
    <s v="0.010416171466204577"/>
    <s v="[1751213, 1763132, 1763133, 1763137, 1763143, 1763147]"/>
    <s v="[0.002, 0.004, 0.01, 0.015, 0.017, 0.02]"/>
    <s v="138.98241291000025"/>
    <s v="[0.002, 0.004, 0.01, 0.015, 0.017, 0.02]"/>
  </r>
  <r>
    <x v="5099"/>
    <x v="5484"/>
    <x v="0"/>
    <n v="0"/>
    <s v="LINESTRING (5.329820393892649 60.38884330605221, 5.329777366990911 60.388857608829035, 5.329762941447959 60.38886300047519, 5.329734069814661 60.38887379130228, 5.328351696179368 60.389153852041716, 5.327946433700938 60.389231501628835, 5.327218129000378 60.389381611106536, 5.325287996895977 60.38976324622744, 5.324267245282792 60.39004347154012)"/>
    <s v="[1995589, 1995600, 1995622, 1995641, 1995649, 1995675, 1995676, 1995711]"/>
    <s v="[1751226, 1751231, 1751246, 1751254, 1677818, 1751272, 1751273, 1751285]"/>
    <s v="0.0021581048199580347"/>
    <s v="[1751216, 1751226, 1751231, 1751246, 1751254, 1677818, 1751272, 1751273]"/>
    <s v="[0.001, 0.002, 0.003, 0.009, 0.005, 0.003, 0.001, 0.006]"/>
    <s v="336.08508303789137"/>
    <s v="[-0.001, -0.002, 0.003, 0.009, 0.005, 0.003, 0.001, -0.006]"/>
  </r>
  <r>
    <x v="5099"/>
    <x v="5480"/>
    <x v="0"/>
    <n v="0"/>
    <s v="LINESTRING (5.329820393892649 60.38884330605221, 5.331049027187869 60.38831406791021, 5.331684335416667 60.388018059155016, 5.332069594470771 60.38809559794341)"/>
    <s v="[1995873, 1995877, 1995878]"/>
    <s v="[1675889, 1751362, 1751363]"/>
    <s v="0.005070941945459077"/>
    <s v="[1751216, 1675889, 1751362]"/>
    <s v="[0.005, 0.007, 0.001]"/>
    <s v="165.00868977579813"/>
    <s v="[0.005, 0.007, 0.001]"/>
  </r>
  <r>
    <x v="5099"/>
    <x v="5485"/>
    <x v="0"/>
    <n v="0"/>
    <s v="LINESTRING (5.323560713972769 60.38941906043876, 5.324132596852141 60.38926051590491, 5.325556948976422 60.38886900751185, 5.3257619096207245 60.38881258314974, 5.326706940219027 60.38854902876614, 5.326927244308061 60.38848468276189, 5.328302624861086 60.38783478423044, 5.329110738290488 60.388377066276234, 5.329772173197375 60.388810300696676, 5.329820393892649 60.38884330605221)"/>
    <s v="[1995807, 1995815, 1995821, 1995824, 1995832, 1995838, 1995841, 1995855, 1995865]"/>
    <s v="[1751332, 1669188, 1695132, 1051370, 1656349, 1699016, 1675694, 1751349, 1751216]"/>
    <s v="#FIELD!"/>
    <s v="[1751327, 1751332, 1669188, 1695132, 1051370, 1656349, 1699016, 1675694, 1751349]"/>
    <s v="[0.029, 0.006, 0.012, 0.004, 0.019, 0.026, 0.004, 0.004, 0.001]"/>
    <s v="459.525708024188"/>
    <s v="[-0.029, 0.006, 0.012, -0.004, -0.019, -0.026, -0.004, -0.004, 0.001]"/>
  </r>
  <r>
    <x v="5100"/>
    <x v="5486"/>
    <x v="0"/>
    <s v="[0, 1]"/>
    <s v="LINESTRING (5.225912314687414 60.36902174172762, 5.225877964323438 60.36910513884404, 5.22563753107924 60.36956136055908)"/>
    <s v="[1995614, 1995617]"/>
    <s v="[1751241, 1751243]"/>
    <s v="#FIELD!"/>
    <s v="[1751240, 1751241]"/>
    <s v="[0.027, 0.005]"/>
    <s v="62.21259945593817"/>
    <s v="[-0.027, -0.005]"/>
  </r>
  <r>
    <x v="5100"/>
    <x v="5455"/>
    <x v="0"/>
    <n v="0"/>
    <s v="LINESTRING (5.226113518990324 60.36890005554108, 5.226039733994139 60.368945553640486, 5.225912314687414 60.36902174172762)"/>
    <s v="[2013046, 2013054]"/>
    <s v="[1760660, 1751240]"/>
    <s v="#FIELD!"/>
    <s v="[1751374, 1760660]"/>
    <s v="[0.131, 0.239]"/>
    <s v="17.57914666097696"/>
    <s v="[0.131, -0.239]"/>
  </r>
  <r>
    <x v="5100"/>
    <x v="5450"/>
    <x v="0"/>
    <n v="0"/>
    <s v="LINESTRING (5.225909819916719 60.368861428836766, 5.22590854374239 60.36893138336935, 5.225912314687414 60.36902174172762)"/>
    <s v="[2020633, 2020641]"/>
    <s v="[1765238, 1751240]"/>
    <s v="#FIELD!"/>
    <s v="[1751388, 1765238]"/>
    <s v="[0.387, 0.315]"/>
    <s v="17.92048435875129"/>
    <s v="[0.387, -0.315]"/>
  </r>
  <r>
    <x v="5101"/>
    <x v="5453"/>
    <x v="0"/>
    <n v="0"/>
    <s v="LINESTRING (5.22563753107924 60.36956136055908, 5.225671003860018 60.3697022313307, 5.225684263781561 60.36975842711513)"/>
    <s v="[2013062, 2013070]"/>
    <s v="[1760666, 1751418]"/>
    <s v="0.017724931740302003"/>
    <s v="[1751243, 1760666]"/>
    <s v="[0.379, 0.888]"/>
    <s v="22.177296173278577"/>
    <s v="[0.379, -0.888]"/>
  </r>
  <r>
    <x v="5101"/>
    <x v="5445"/>
    <x v="0"/>
    <n v="0"/>
    <s v="LINESTRING (5.22563753107924 60.36956136055908, 5.225516187427879 60.36968534984233, 5.225477975963707 60.36973317818288)"/>
    <s v="[2020649, 2020657]"/>
    <s v="[1765249, 1751465]"/>
    <s v="0.03524508139916109"/>
    <s v="[1751243, 1765249]"/>
    <s v="[0.468, 1.124]"/>
    <s v="21.148851253008417"/>
    <s v="[0.468, -1.124]"/>
  </r>
  <r>
    <x v="5102"/>
    <x v="5487"/>
    <x v="500"/>
    <n v="0"/>
    <s v="LINESTRING (5.324267245282792 60.39004347154012, 5.324529370653714 60.39032773247591, 5.324813864951085 60.39064167442911, 5.325421401994911 60.39121901529363, 5.325648846141748 60.39142384311724, 5.326067621126556 60.39183265754135, 5.326111488293223 60.391874770265105)"/>
    <s v="[1995719, 1995727, 1995735, 1995736, 1995744, 1995751]"/>
    <s v="[1677782, 1665879, 1751296, 1710474, 1751300, 1751303]"/>
    <s v="#FIELD!"/>
    <s v="[1751285, 1677782, 1665879, 1751296, 1710474, 1751300]"/>
    <s v="[0.021, 0.004, 0.007, 0.006, 0.003, 0.009]"/>
    <s v="228.8267580131186"/>
    <s v="[-0.021, -0.004, 0.007, 0.006, 0.003, 0.009]"/>
  </r>
  <r>
    <x v="5102"/>
    <x v="5488"/>
    <x v="0"/>
    <n v="0"/>
    <s v="LINESTRING (5.324267245282792 60.39004347154012, 5.324144526597538 60.390076077660865, 5.323093951770321 60.390342727787335, 5.323014460713437 60.39036403185365)"/>
    <s v="[1995963, 1995964, 1996006]"/>
    <s v="[1751410, 1751411, 1751315]"/>
    <s v="0.02627925418848121"/>
    <s v="[1751285, 1751410, 1751411]"/>
    <s v="[0.021, 0.027, 0.025]"/>
    <s v="78.00850785170239"/>
    <s v="[0.021, 0.027, 0.025]"/>
  </r>
  <r>
    <x v="5102"/>
    <x v="5485"/>
    <x v="0"/>
    <n v="0"/>
    <s v="LINESTRING (5.323560713972769 60.38941906043876, 5.323608065304198 60.38946233446986, 5.324225831919088 60.390011487975265, 5.324267245282792 60.39004347154012)"/>
    <s v="[2058872, 2058878, 2058879]"/>
    <s v="[1790285, 1790290, 1751285]"/>
    <s v="#FIELD!"/>
    <s v="[1751327, 1790285, 1790290]"/>
    <s v="[0.045, 0.044, 0.03]"/>
    <s v="79.99026623259078"/>
    <s v="[-0.045, -0.044, -0.03]"/>
  </r>
  <r>
    <x v="5103"/>
    <x v="5488"/>
    <x v="0"/>
    <n v="0"/>
    <s v="LINESTRING (5.32495928741215 60.39208513848874, 5.32495928741215 60.39208513848874, 5.324298975068244 60.39147588334076, 5.323682107221003 60.390935842812, 5.323014460713437 60.39036403185365)"/>
    <s v="[1995758, 1995775, 1995776, 1995780]"/>
    <s v="[1751308, 1751314, 1665870, 1751315]"/>
    <s v="0.0068861275038096656"/>
    <s v="[1751307, 1751308, 1751314, 1665870]"/>
    <s v="[0.0, 0.012, 0.008, 0.026]"/>
    <s v="224.57690105118826"/>
    <s v="[0.0, -0.012, 0.008, 0.026]"/>
  </r>
  <r>
    <x v="5104"/>
    <x v="5485"/>
    <x v="0"/>
    <n v="0"/>
    <s v="LINESTRING (5.323014460713437 60.39036403185365, 5.3223549270482 60.38975301165515, 5.322817206537501 60.3896259222889, 5.323560713972769 60.38941906043876)"/>
    <s v="[1995790, 1995793, 1995799]"/>
    <s v="[1751323, 1655944, 1751327]"/>
    <s v="0.00912628401637623"/>
    <s v="[1751315, 1751323, 1655944]"/>
    <s v="[0.045, 0.026, 0.028]"/>
    <s v="153.89301336847367"/>
    <s v="[0.045, -0.026, -0.028]"/>
  </r>
  <r>
    <x v="5105"/>
    <x v="5489"/>
    <x v="0"/>
    <n v="0"/>
    <s v="LINESTRING (5.334352660277856 60.38574291850721, 5.334198925766048 60.3860290240808, 5.334152853905704 60.38610581582197, 5.334004641772012 60.38643710031126, 5.333985690306934 60.386516512925304, 5.333954022992035 60.38654460224001, 5.333915885545586 60.386630541398084, 5.33365530437625 60.38709654191185, 5.333215903555965 60.387557305065286, 5.333056240805129 60.38769060762656, 5.332555817053211 60.38802812262491, 5.332500473393785 60.38804939277509, 5.332069594470771 60.38809559794341)"/>
    <s v="[2017320, 2017328, 2017336, 2017344, 2017352, 2017360, 2017368, 2017376, 2017384, 2017392, 2017400, 2017408]"/>
    <s v="[1763082, 1585558, 1763090, 1753820, 1763096, 1761976, 1763105, 1758045, 1763115, 1699115, 1763121, 1751363]"/>
    <s v="#FIELD!"/>
    <s v="[1757102, 1763082, 1585558, 1763090, 1753820, 1763096, 1761976, 1763105, 1758045, 1763115, 1699115, 1763121]"/>
    <s v="[0.024, 0.001, 0.001, 0.002, 0.002, 0.001, 0.001, 0.005, 0.008, 0.007, 0.009, 0.004]"/>
    <s v="306.3502288927384"/>
    <s v="[-0.024, 0.001, 0.001, -0.002, 0.002, -0.001, 0.001, 0.005, 0.008, 0.007, 0.009, -0.004]"/>
  </r>
  <r>
    <x v="5106"/>
    <x v="5490"/>
    <x v="0"/>
    <s v="[0, 1, 1]"/>
    <s v="LINESTRING (5.3357020522929925 60.38475004507491, 5.33514686309271 60.384859510358595, 5.336468023586921 60.38563562412909, 5.33657660306125 60.385675238539804)"/>
    <s v="[1995891, 1995892, 1995920]"/>
    <s v="[1751369, 1751370, 1751389]"/>
    <s v="#FIELD!"/>
    <s v="[1751368, 1751369, 1751370]"/>
    <s v="[0.001, 0.008, 0.006]"/>
    <s v="283.3347726997763"/>
    <s v="[-0.001, -0.008, -0.006]"/>
  </r>
  <r>
    <x v="5106"/>
    <x v="5473"/>
    <x v="0"/>
    <s v="[0, 0, 1, 1, 0, 0]"/>
    <s v="LINESTRING (5.3357020522929925 60.38475004507491, 5.335774342978651 60.384698357454184, 5.335977138364131 60.384185879648, 5.335840784704512 60.38380412733183, 5.335548883415743 60.383021124752766, 5.335406389692246 60.38269047963225, 5.335364850364448 60.38260331438107)"/>
    <s v="[2002022, 2002030, 2002038, 2002046, 2002054, 2006967]"/>
    <s v="[1754357, 1754360, 1754363, 1754368, 1754372, 1757097]"/>
    <s v="0.009774690650182799"/>
    <s v="[1751368, 1754357, 1754360, 1754363, 1754368, 1754372]"/>
    <s v="[0.015, 0.022, 0.013, 0.002, 0.021, 0.054]"/>
    <s v="246.80812653109155"/>
    <s v="[0.015, 0.022, 0.013, 0.002, 0.021, -0.054]"/>
  </r>
  <r>
    <x v="5106"/>
    <x v="5491"/>
    <x v="0"/>
    <n v="0"/>
    <s v="LINESTRING (5.335218352427526 60.38501761457067, 5.335218352427526 60.38501761457067, 5.3357020522929925 60.38475004507491)"/>
    <s v="[2014125, 1995890]"/>
    <s v="[1751367, 1751368]"/>
    <s v="0.003190445793634201"/>
    <s v="[1761200, 1751367]"/>
    <s v="[0.0, 0.004]"/>
    <s v="50.4005295941627"/>
    <s v="[0.0, 0.004]"/>
  </r>
  <r>
    <x v="5107"/>
    <x v="5450"/>
    <x v="0"/>
    <n v="0"/>
    <s v="LINESTRING (5.226113518990324 60.36890005554108, 5.226007566967973 60.36889400817386, 5.225909819916719 60.368861428836766)"/>
    <s v="[1995901, 1995917]"/>
    <s v="[1751377, 1751388]"/>
    <s v="#FIELD!"/>
    <s v="[1751374, 1751377]"/>
    <s v="[0.138, 0.126]"/>
    <s v="12.425052755294972"/>
    <s v="[-0.138, -0.126]"/>
  </r>
  <r>
    <x v="5108"/>
    <x v="5492"/>
    <x v="501"/>
    <s v="[1, 1, 1, 0, 0, 0, 0, 0, 0, 0, 0, 0, 0, 0, 0, 0]"/>
    <s v="LINESTRING (5.33657660306125 60.385675238539804, 5.338555597139156 60.38779117701329, 5.339442335885025 60.38866267597667, 5.339910295500653 60.38898036527448, 5.3399294440811556 60.38899339990885, 5.33993175227348 60.388994970974466, 5.339396143156059 60.39928440560819, 5.33939045788146 60.399292898842575, 5.334199887388418 60.40698913415975, 5.334194166090421 60.40699761563931, 5.331007670348676 60.41158629802876, 5.317486912995847 60.41707917897272, 5.316567854819004 60.41726832087547, 5.314980303068892 60.4175946014222, 5.3149767247557484 60.417595370008485, 5.314875170787766 60.41761709803888, 5.312788676543373 60.41826720466414)"/>
    <s v="[2062906, 2062907, 2062915, 2062923, 2062931, 2062955, 2062956, 2062957, 2062958, 2062970, 2062978, 2062986, 2062994, 2063002, 2063010, 2063018]"/>
    <s v="[1793039, 1793040, 1793051, 1793057, 1793064, 1793084, 1793085, 1793086, 1793087, 1793096, 1793099, 1793107, 1793112, 1793117, 1793123, 1621743]"/>
    <s v="0.0066449513453358915"/>
    <s v="[1751389, 1793039, 1793040, 1793051, 1793057, 1793064, 1793084, 1793085, 1793086, 1793087, 1793096, 1793099, 1793107, 1793112, 1793117, 1793123]"/>
    <s v="[0.007, 0.05, 0.097, 0.089, 0.0, 0.251, 0.056, 0.173, 0.025, 0.049, 0.137, 0.135, 0.162, 1.034, 0.179, 0.003]"/>
    <s v="4388.67498036548"/>
    <s v="[0.007, 0.05, 0.097, 0.089, 0.0, 0.251, 0.056, -0.173, -0.025, 0.049, -0.137, -0.135, -0.162, 1.034, -0.179, 0.003]"/>
  </r>
  <r>
    <x v="5108"/>
    <x v="5493"/>
    <x v="0"/>
    <n v="1"/>
    <m/>
    <n v="2062905"/>
    <n v="1751389"/>
    <s v="#FIELD!"/>
    <n v="1754328"/>
    <s v="0.013"/>
    <s v="125.35421404959561"/>
    <s v="#FIELD!"/>
  </r>
  <r>
    <x v="5109"/>
    <x v="5494"/>
    <x v="0"/>
    <s v="[0, 0, 1, 0, 0]"/>
    <s v="LINESTRING (6.698061380878513 60.8398255527946, 6.698079406574531 60.83978258879756, 6.69626073070763 60.838570554170055, 6.695900421890103 60.838667142995526, 6.679945968611113 60.83625339572651, 6.679901359059958 60.836221272638)"/>
    <s v="[1995944, 1995952, 1995953, 1995961, 1995962]"/>
    <s v="[1751400, 1751405, 1751406, 1751409, 1695865]"/>
    <s v="0.11825509301937999"/>
    <s v="[1751399, 1751400, 1751405, 1751406, 1751409]"/>
    <s v="[0.025, 0.058, 0.097, 0.128, 0.12]"/>
    <s v="1905.4845811690764"/>
    <s v="[0.025, 0.058, -0.097, 0.128, 0.12]"/>
  </r>
  <r>
    <x v="5109"/>
    <x v="5495"/>
    <x v="0"/>
    <s v="[0, 1, 0, 0, 0, 0, 0, 0, 0, 0, 0, 0, 0, 0, 0, 0, 0, 0, 0, 0, 0, 0, 0, 0, 0, 0, 0, 0, 0, 0, 0, 0, 0, 0, 0, 0, 0, 0, 0, 0, 1, 0, 0, 0, 0, 0, 0, 0, 0, 0, 0, 0, 0, 0, 0, 0, 0, 0, 0, 0, 0, 0, 0, 0, 0, 0, 0, 0, 0, 0, 1, 0, 0, 0, 0, 0, 1, 0, 0, 0, 0, 0, 0, 0, 0, 0, 0, 0, 0, 0, 0, 0, 0, 0, 0, 0, 0, 0, 0, 0, 0, 0, 0, 0]"/>
    <s v="LINESTRING (6.698061380878513 60.8398255527946, 6.6979573983661425 60.839810383035655, 6.697218536966997 60.83977956332205, 6.696006950659004 60.83994202660732, 6.6948541545529565 60.84045324354458, 6.694124046668834 60.8408512907259, 6.694088031997588 60.840871738146035, 6.6844909373949495 60.836832612557615, 6.684440779182924 60.83671034890205, 6.684102959741866 60.83585090629754, 6.684049490970414 60.83573798820752, 6.684837068497935 60.827922405976885, 6.685471692173566 60.82765627007928, 6.68758713975372 60.82568666620355, 6.688148995859457 60.82399943889514, 6.688175923594547 60.823315566014294, 6.68812656028503 60.82260996804973, 6.688783192599873 60.81719244777051, 6.686426649690488 60.81431040624598, 6.68350256140284 60.813304510219425, 6.681571790178976 60.81221296427076, 6.680561071742157 60.811608858566046, 6.680435246463785 60.811532305788894, 6.679543402753058 60.811001430022124, 6.6788203316135 60.81058461240616, 6.676215589894228 60.80943161330573, 6.674571298294407 60.80878585268171, 6.67416641818313 60.80864493800579, 6.6714851690260275 60.80811760129925, 6.670931931440635 60.80808275298316, 6.668303789107085 60.807941294706545, 6.667516939405356 60.80782690732724, 6.667427195556711 60.8078103770053, 6.666882750482976 60.80770793088459, 6.6632764099036725 60.806923365080124, 6.661897892008608 60.80662142000827, 6.661555136752042 60.80654729444598, 6.661419390589536 60.806517817197346, 6.65922158657587 60.80599611372425, 6.6582360060944685 60.80573581530557, 6.658159293504767 60.80571684287366, 6.65799690984239 60.80567147580363, 6.6579285112111 60.80564969157975, 6.655191748400412 60.80478749382108, 6.655012429198004 60.8047283688165, 6.649580942263216 60.803851306009484, 6.649121685571708 60.80382320345737, 6.644265698046219 60.8032539083004, 6.64327796303988 60.80327754807858, 6.643157344283888 60.80328685673968, 6.642368635515094 60.80337615783775, 6.639646975244208 60.804206137401856, 6.638181686512666 60.804995599455594, 6.636187500018191 60.805780507310395, 6.632792500426671 60.806190583339166, 6.625180785909043 60.804659951973115, 6.623129707035176 60.804078943732435, 6.6172373924708365 60.8018975532716, 6.598758857248852 60.79917378893446, 6.596025291621138 60.798845070624125, 6.593940699602798 60.79864268572065, 6.5894565145013075 60.797631831716785, 6.588581347424826 60.797332219585314, 6.580785825867038 60.79415380843048, 6.578945370489963 60.79359277628835, 6.57672355107345 60.79303798192831, 6.575496193286242 60.792406412960794, 6.574022793492268 60.79172284699678, 6.573676529763028 60.79158079645166, 6.572560962065885 60.791141785387246, 6.571918356311359 60.79088506610699, 6.571819625356313 60.79084487311998, 6.571344801045461 60.79065311576842, 6.570312134508342 60.79023062922048, 6.5695350198430305 60.78990990427935, 6.569300473031797 60.789815285937074, 6.5679683457801525 60.78927236523694, 6.567710471046147 60.78916771708343, 6.5668337811702555 60.78880554117425, 6.564570216835462 60.78676008970054, 6.563380747563694 60.78478336276392, 6.562945398237541 60.78434448290836, 6.562212325851841 60.78390161062676, 6.561779058688748 60.78372103010249, 6.561334256218013 60.783556404902946, 6.5607803091185435 60.78336260063532, 6.558398925131005 60.78269566817846, 6.558314723320685 60.782683744033235, 6.555215023002912 60.78307575385418, 6.536537534388542 60.79232115271618, 6.5255670891808535 60.79262266872653, 6.524785193341489 60.792638092761216, 6.524675331025377 60.792640464208844, 6.5238394433878435 60.79268005615854, 6.5232466938597 60.792735291866435, 6.521761048450603 60.79282414039169, 6.51967308895642 60.792639627842014, 6.519411775745282 60.79259266365504, 6.516535184181532 60.79224728245993, 6.516379965711271 60.79225636923508, 6.514847526934715 60.792407633435246, 6.514457380919937 60.792430934037654, 6.51244785714249 60.79233483832088, 6.511617812476608 60.792234789216124, 6.509508379968354 60.79199122110759)"/>
    <s v="[2054672, 2054680, 2054688, 2054696, 2054704, 2054712, 2054720, 2054728, 2054736, 2054745, 2054753, 2054761, 2054769, 2054777, 2054785, 2054793, 2054801, 2054809, 2054817, 2054825, 2054833, 2054841, 2054849, 2054857, 2054865, 2054873, 2054881, 2054889, 2054897, 2054905, 2054913, 2054921, 2054929, 2054937, 2054945, 2054953, 2054961, 2054969, 2054977, 2054985, 2054993, 2055001, 2055009, 2055017, 2055025, 2055033, 2055041, 2055049, 2055057, 2055065, 2055073, 2055081, 2055089, 2055097, 2055105, 2055113, 2055121, 2055129, 2055137, 2055145, 2055153, 2055161, 2055169, 2055177, 2055185, 2055193, 2055201, 2055209, 2055217, 2055225, 2055233, 2055241, 2055249, 2055257, 2055265, 2055273, 2055281, 2055289, 2055297, 2055305, 2055313, 2055321, 2055329, 2055337, 2055345, 2055353, 2055361, 2055369, 2055377, 2055385, 2055393, 2055401, 2055409, 2055417, 2055425, 2055433, 2055441, 2055449, 2055457, 2055465, 2055473, 2055481, 2055489, 2055497]"/>
    <s v="[1787453, 1787457, 1721836, 1787465, 1787470, 1787477, 1787484, 1787491, 1787498, 1787505, 1787510, 1787518, 1695818, 1787531, 1695732, 1725421, 1777093, 1748328, 1754339, 1787560, 1748312, 1787572, 1787577, 1787581, 1721483, 1787592, 1726487, 1777135, 1058674, 1787615, 1787622, 1695549, 1695502, 1787641, 1721509, 1787654, 1787660, 1787668, 1721616, 1787681, 1787686, 1776901, 1787694, 1058734, 1777048, 1695477, 1759201, 1721444, 1787721, 1787728, 1787735, 688763, 1720142, 1720152, 1720160, 1720164, 1721421, 1721408, 1776916, 1776909, 1720166, 1776899, 1720883, 1787813, 1720180, 1695337, 1720466, 1787835, 1787839, 1787843, 1787849, 1776937, 1779348, 1695370, 1776923, 1787873, 1787877, 1720391, 688804, 1695217, 1779398, 1787904, 1720198, 1787917, 1787922, 1759349, 1787931, 1787937, 1719716, 1779293, 1787952, 1719725, 1787963, 1719727, 1719921, 1719933, 1787983, 1787988, 1719735, 1788000, 1695124, 1788010, 1754520, 1760912]"/>
    <s v="0.005030607639949468"/>
    <s v="[1751399, 1787453, 1787457, 1721836, 1787465, 1787470, 1787477, 1787484, 1787491, 1787498, 1787505, 1787510, 1787518, 1695818, 1787531, 1695732, 1725421, 1777093, 1748328, 1754339, 1787560, 1748312, 1787572, 1787577, 1787581, 1721483, 1787592, 1726487, 1777135, 1058674, 1787615, 1787622, 1695549, 1695502, 1787641, 1721509, 1787654, 1787660, 1787668, 1721616, 1787681, 1787686, 1776901, 1787694, 1058734, 1777048, 1695477, 1759201, 1721444, 1787721, 1787728, 1787735, 688763, 1720142, 1720152, 1720160, 1720164, 1721421, 1721408, 1776916, 1776909, 1720166, 1776899, 1720883, 1787813, 1720180, 1695337, 1720466, 1787835, 1787839, 1787843, 1787849, 1776937, 1779348, 1695370, 1776923, 1787873, 1787877, 1720391, 688804, 1695217, 1779398, 1787904, 1720198, 1787917, 1787922, 1759349, 1787931, 1787937, 1719716, 1779293, 1787952, 1719725, 1787963, 1719727, 1719921, 1719933, 1787983, 1787988, 1719735, 1788000, 1695124, 1788010, 1754520]"/>
    <s v="[18.025, 0.126, 0.137, 0.073, 0.152, 0.162, 0.027, 0.019, 0.023, 0.029, 0.001, 0.0, 0.087, 0.046, 0.042, 0.046, 0.007, 0.02, 0.039, 0.026, 0.0, 0.013, 0.014, 0.005, 0.015, 0.034, 0.052, 0.037, 0.03, 0.034, 0.064, 0.056, 0.056, 0.033, 0.017, 0.02, 0.022, 0.029, 0.038, 0.039, 0.047, 0.043, 0.028, 0.042, 0.02, 0.014, 0.02, 0.047, 0.056, 0.06, 0.011, 0.153, 0.136, 0.108, 0.085, 0.101, 0.028, 0.018, 0.098, 0.078, 0.026, 0.099, 0.02, 0.136, 0.138, 0.079, 0.019, 0.019, 0.016, 0.012, 0.007, 0.009, 0.004, 0.009, 0.023, 0.014, 0.009, 0.002, 0.022, 0.01, 0.024, 0.039, 0.048, 0.051, 0.05, 0.063, 0.128, 0.123, 0.022, 0.092, 0.076, 0.065, 0.08, 0.089, 0.069, 0.036, 0.013, 0.03, 0.042, 0.036, 0.057, 0.062, 0.062, 0.111]"/>
    <s v="16063.623707534434"/>
    <s v="[18.025, -0.126, -0.137, 0.073, 0.152, 0.162, 0.027, -0.019, 0.023, 0.029, 0.001, 0.0, 0.087, 0.046, 0.042, 0.046, -0.007, -0.02, 0.039, 0.026, 0.0, -0.013, -0.014, -0.005, -0.015, 0.034, 0.052, 0.037, 0.03, 0.034, 0.064, 0.056, 0.056, 0.033, -0.017, -0.02, -0.022, -0.029, -0.038, -0.039, -0.047, -0.043, -0.028, -0.042, -0.02, 0.014, 0.02, -0.047, -0.056, -0.06, 0.011, 0.153, 0.136, 0.108, -0.085, -0.101, 0.028, 0.018, -0.098, -0.078, 0.026, 0.099, 0.02, -0.136, -0.138, -0.079, 0.019, 0.019, 0.016, 0.012, 0.007, 0.009, 0.004, 0.009, 0.023, 0.014, 0.009, 0.002, -0.022, 0.01, 0.024, 0.039, 0.048, 0.051, 0.05, 0.063, 0.128, 0.123, -0.022, -0.092, -0.076, -0.065, -0.08, -0.089, -0.069, -0.036, -0.013, -0.03, -0.042, -0.036, -0.057, -0.062, -0.062, -0.111]"/>
  </r>
  <r>
    <x v="5109"/>
    <x v="5397"/>
    <x v="502"/>
    <n v="0"/>
    <s v="LINESTRING (6.95292923624202 60.886142847056746, 6.698061380878513 60.8398255527946)"/>
    <m/>
    <m/>
    <s v="0.0"/>
    <m/>
    <n v="0"/>
    <s v="18495.838029223883"/>
    <n v="0"/>
  </r>
  <r>
    <x v="5110"/>
    <x v="5445"/>
    <x v="0"/>
    <n v="0"/>
    <s v="LINESTRING (5.225477975963707 60.36973317818288, 5.225587590264532 60.36973316467831, 5.225684263781561 60.36975842711513)"/>
    <s v="[1996051, 1996059]"/>
    <s v="[1751466, 1751418]"/>
    <s v="#FIELD!"/>
    <s v="[1751465, 1751466]"/>
    <s v="[0.038, 0.021]"/>
    <s v="12.117256754868245"/>
    <s v="[-0.038, -0.021]"/>
  </r>
  <r>
    <x v="5111"/>
    <x v="5496"/>
    <x v="0"/>
    <n v="0"/>
    <s v="LINESTRING (6.375160869922962 60.61924598204335, 6.375027028744035 60.61921741878215, 6.373412850747901 60.618699806663315, 6.373381933432964 60.61872140764093)"/>
    <s v="[1996014, 1996023, 1996031]"/>
    <s v="[1751444, 1751449, 1696606]"/>
    <s v="0.0019313707585721961"/>
    <s v="[1751443, 1751444, 1751449]"/>
    <s v="[0.029, 0.003, 0.126]"/>
    <s v="129.1187210315852"/>
    <s v="[0.029, -0.003, 0.126]"/>
  </r>
  <r>
    <x v="5111"/>
    <x v="5497"/>
    <x v="0"/>
    <n v="0"/>
    <s v="LINESTRING (6.375160869922962 60.61924598204335, 6.375056958590804 60.61919497656447, 6.374621311164486 60.618983332120855)"/>
    <s v="[2056241, 2056249]"/>
    <s v="[1788546, 1751528]"/>
    <s v="0.007226463856953305"/>
    <s v="[1751443, 1788546]"/>
    <s v="[0.004, 0.008]"/>
    <s v="41.680777735705824"/>
    <s v="[0.004, 0.008]"/>
  </r>
  <r>
    <x v="5111"/>
    <x v="5498"/>
    <x v="0"/>
    <n v="0"/>
    <s v="LINESTRING (6.400091707950826 60.626943005364645, 6.398516299753556 60.62642192220416, 6.392982779610066 60.62528567083747, 6.390050634158975 60.62430218966575, 6.386470505482335 60.62319626379085, 6.375390693038228 60.619360639240156, 6.37537773552305 60.61935435142974, 6.375160869922962 60.61924598204335)"/>
    <s v="[2113110, 2113118, 2113126, 2113134, 2056217, 2056225, 2056233]"/>
    <s v="[1823111, 1823117, 1823123, 1788529, 1788530, 1788536, 1751443]"/>
    <s v="#FIELD!"/>
    <s v="[1823013, 1823111, 1823117, 1823123, 1788529, 1788530, 1788536]"/>
    <s v="[0.045, 0.041, 0.04, 0.137, 0.003, 0.006, 0.015]"/>
    <s v="1635.384352417039"/>
    <s v="[0.045, 0.041, -0.04, -0.137, -0.003, -0.006, 0.015]"/>
  </r>
  <r>
    <x v="5112"/>
    <x v="801"/>
    <x v="0"/>
    <n v="0"/>
    <s v="LINESTRING (6.37268057170518 60.61807418809173, 6.372796581339631 60.618100692325946, 6.374636258103677 60.61872960269755)"/>
    <s v="[1996039, 1996040]"/>
    <s v="[1751460, 1751461]"/>
    <s v="0.013028577579815275"/>
    <s v="[1751459, 1751460]"/>
    <s v="[0.023, 0.015]"/>
    <s v="135.34037171500643"/>
    <s v="[-0.023, 0.015]"/>
  </r>
  <r>
    <x v="5112"/>
    <x v="802"/>
    <x v="503"/>
    <s v="[0, 0, 0, 0, 0, 0, 0, 0, 0, 0, 0, 1, 0, 1, 0, 0, 0, 0, 0, 0, 0, 0]"/>
    <s v="LINESTRING (6.37268057170518 60.61807418809173, 6.363649756422826 60.61512326600307, 6.362251533716666 60.614641097762885, 6.362235116915028 60.61463722982483, 6.3618112813748136 60.61454592612741, 6.357321299895617 60.61364134015146, 6.3448312326980885 60.61612271572086, 6.339426718230904 60.61866532152343, 6.330404854168477 60.62152880837803, 6.327789681976709 60.62231621006981, 6.3255970570227005 60.62300760361095, 6.3146417535796955 60.62674281024628, 6.314384834193519 60.62677225432095, 6.313130393655401 60.6268719408882, 6.3128749108800175 60.626883862312326, 6.3116614625869945 60.62691652030524, 6.3116430604823455 60.626916851915695, 6.309738996432299 60.62695372526833, 6.306549463135752 60.62701333826034, 6.305368424780497 60.62703203653085, 6.30426706541494 60.62705928396518, 6.282362913781071 60.63088037132734, 6.280905766906451 60.63113340822331)"/>
    <s v="[2056273, 2056281, 2056289, 2056297, 2056305, 2056313, 2056321, 2056329, 2056337, 2056345, 2056353, 2056361, 2056369, 2056377, 2056385, 2056393, 2056401, 2056409, 2056417, 2056425, 2056433, 2056441]"/>
    <s v="[1788563, 1788568, 1788574, 1788582, 1788585, 1788592, 1788597, 1788602, 1753760, 1788609, 1788614, 1788621, 1788625, 1788630, 1788636, 1788641, 1786988, 1788649, 1788650, 1788655, 1788660, 1751557]"/>
    <s v="0.005214162168611746"/>
    <s v="[1751459, 1788563, 1788568, 1788574, 1788582, 1788585, 1788592, 1788597, 1788602, 1753760, 1788609, 1788614, 1788621, 1788625, 1788630, 1788636, 1788641, 1786988, 1788649, 1788650, 1788655, 1788660]"/>
    <s v="[0.009, 0.009, 0.025, 0.017, 0.001, 0.007, 0.007, 0.004, 0.057, 0.032, 0.005, 0.016, 0.016, 0.007, 0.004, 0.006, 0.026, 0.017, 0.016, 0.02, 0.001, 0.225]"/>
    <s v="5800.941893907918"/>
    <s v="[0.009, 0.009, 0.025, -0.017, -0.001, 0.007, 0.007, -0.004, -0.057, 0.032, -0.005, 0.016, 0.016, 0.007, 0.004, 0.006, 0.026, 0.017, 0.016, 0.02, -0.001, 0.225]"/>
  </r>
  <r>
    <x v="5112"/>
    <x v="5499"/>
    <x v="0"/>
    <n v="0"/>
    <m/>
    <n v="2056265"/>
    <n v="1751459"/>
    <s v="0.014"/>
    <n v="1751556"/>
    <s v="0.014"/>
    <s v="56.582196846773506"/>
    <s v="0.014"/>
  </r>
  <r>
    <x v="5113"/>
    <x v="5497"/>
    <x v="0"/>
    <n v="0"/>
    <s v="LINESTRING (6.374636258103677 60.61872960269755, 6.374593579990244 60.61875844229084, 6.374539223325412 60.61889219683026, 6.374621311164486 60.618983332120855)"/>
    <s v="[1996133, 1996134, 1996142]"/>
    <s v="[1751521, 1751522, 1751528]"/>
    <s v="0.04639275049416779"/>
    <s v="[1751461, 1751521, 1751522]"/>
    <s v="[0.058, 0.055, 0.03]"/>
    <s v="30.94104885286731"/>
    <s v="[0.058, 0.055, 0.03]"/>
  </r>
  <r>
    <x v="5114"/>
    <x v="5499"/>
    <x v="0"/>
    <n v="0"/>
    <m/>
    <n v="2056257"/>
    <n v="1751556"/>
    <s v="#FIELD!"/>
    <n v="1751528"/>
    <s v="0.044"/>
    <s v="90.6536540907641"/>
    <s v="#FIELD!"/>
  </r>
  <r>
    <x v="5115"/>
    <x v="5499"/>
    <x v="0"/>
    <n v="0"/>
    <s v="LINESTRING (6.3732894167435274 60.61863940257746, 6.3732894167435274 60.61863940257746, 6.373449887624363 60.61846647909489, 6.373456268501607 60.61840791505811)"/>
    <s v="[1996156, 1996170, 1996184]"/>
    <s v="[1751541, 1751551, 1751556]"/>
    <s v="#FIELD!"/>
    <s v="[1696613, 1751541, 1751551]"/>
    <s v="[0.0, 0.123, 0.064]"/>
    <s v="33.0533787724547"/>
    <s v="[0.0, -0.123, -0.064]"/>
  </r>
  <r>
    <x v="5116"/>
    <x v="5500"/>
    <x v="0"/>
    <n v="0"/>
    <s v="LINESTRING (6.280905766906451 60.63113340822331, 6.280857811374234 60.63116097239516, 6.278865820380717 60.631561323873804)"/>
    <s v="[1996185, 1996192]"/>
    <s v="[1751558, 1751560]"/>
    <s v="0.21510303505965112"/>
    <s v="[1751557, 1751558]"/>
    <s v="[0.608, 0.202]"/>
    <s v="125.48044626493052"/>
    <s v="[0.608, 0.202]"/>
  </r>
  <r>
    <x v="5117"/>
    <x v="5501"/>
    <x v="0"/>
    <n v="0"/>
    <m/>
    <n v="2058491"/>
    <n v="1751691"/>
    <s v="#FIELD!"/>
    <n v="1751587"/>
    <s v="0.03"/>
    <s v="181.23088597185813"/>
    <s v="#FIELD!"/>
  </r>
  <r>
    <x v="5117"/>
    <x v="5502"/>
    <x v="0"/>
    <n v="0"/>
    <s v="LINESTRING (5.576912995686478 60.42777550279536, 5.576767304233293 60.427779574255105, 5.57576799289078 60.42770645573529)"/>
    <s v="[1996234, 1996235]"/>
    <s v="[1751588, 1751589]"/>
    <s v="#FIELD!"/>
    <s v="[1751587, 1751588]"/>
    <s v="[0.16, 0.134]"/>
    <s v="63.860755434266444"/>
    <s v="[-0.16, -0.134]"/>
  </r>
  <r>
    <x v="5117"/>
    <x v="5503"/>
    <x v="0"/>
    <n v="0"/>
    <s v="LINESTRING (5.625423679669206 60.42460621519222, 5.6251418115371195 60.42481856945378, 5.624623139387642 60.425312116194114, 5.62377367272298 60.42600134018464, 5.622510946834383 60.42650104058657, 5.622495133023011 60.426505487235346, 5.622486966499617 60.42650671565373, 5.596415047668866 60.4259928171024, 5.591940356877261 60.42683895083509, 5.591887843106234 60.426847615131116, 5.590412802949899 60.427189191396785, 5.587725949895266 60.42776330692628, 5.587719381856659 60.42776462910805, 5.5876354343807035 60.427781531062045, 5.57698973328544 60.427782063367594, 5.57698437853595 60.42778160895049, 5.576912995686478 60.42777550279536)"/>
    <s v="[2058363, 2058371, 2058379, 2058387, 2058395, 2058403, 2058411, 2058419, 2058427, 2058435, 2058443, 2058451, 2058459, 2058467, 2058475, 2058483]"/>
    <s v="[1789962, 1789966, 1789972, 1789977, 1789982, 1789989, 1789996, 1789998, 1790005, 1790008, 1790014, 1790020, 1790027, 1790033, 1790040, 1751587]"/>
    <s v="#FIELD!"/>
    <s v="[1761024, 1789962, 1789966, 1789972, 1789977, 1789982, 1789989, 1789996, 1789998, 1790005, 1790008, 1790014, 1790020, 1790027, 1790033, 1790040]"/>
    <s v="[0.098, 0.071, 0.011, 0.019, 0.396, 0.348, 0.018, 0.376, 0.289, 0.212, 0.068, 0.766, 0.424, 0.003, 0.63, 0.271]"/>
    <s v="2858.760722668585"/>
    <s v="[-0.098, 0.071, -0.011, -0.019, -0.396, 0.348, 0.018, -0.376, -0.289, -0.212, 0.068, 0.766, 0.424, 0.003, -0.63, -0.271]"/>
  </r>
  <r>
    <x v="5118"/>
    <x v="5504"/>
    <x v="0"/>
    <n v="0"/>
    <m/>
    <n v="1996261"/>
    <n v="1751608"/>
    <s v="#FIELD!"/>
    <n v="1751589"/>
    <s v="0.236"/>
    <s v="26.689502679353485"/>
    <s v="#FIELD!"/>
  </r>
  <r>
    <x v="5118"/>
    <x v="5505"/>
    <x v="0"/>
    <n v="0"/>
    <s v="LINESTRING (5.57576799289078 60.42770645573529, 5.575699405944527 60.427697040114474, 5.575367960756244 60.427660727663195, 5.575278351873283 60.42766066200941)"/>
    <s v="[1996339, 1996348, 1996349]"/>
    <s v="[1751660, 1751666, 1751667]"/>
    <s v="#FIELD!"/>
    <s v="[1751589, 1751660, 1751666]"/>
    <s v="[0.094, 0.042, 0.056]"/>
    <s v="27.634001306592467"/>
    <s v="[-0.094, -0.042, -0.056]"/>
  </r>
  <r>
    <x v="5119"/>
    <x v="5506"/>
    <x v="0"/>
    <n v="0"/>
    <s v="LINESTRING (5.575598699305059 60.42789782028037, 5.577136600013838 60.42789280070542, 5.577282995238421 60.427848921801115, 5.577337341395858 60.42782567339684)"/>
    <s v="[1996269, 1996274, 1996282]"/>
    <s v="[1751612, 1751616, 1678317]"/>
    <s v="0.21936497377709605"/>
    <s v="[1751608, 1751612, 1751616]"/>
    <s v="[0.197, 0.356, 0.382]"/>
    <s v="100.06943093642161"/>
    <s v="[0.197, 0.356, 0.382]"/>
  </r>
  <r>
    <x v="5119"/>
    <x v="5505"/>
    <x v="0"/>
    <n v="0"/>
    <s v="LINESTRING (5.575598699305059 60.42789782028037, 5.575532257187239 60.42785600629218, 5.575278351873283 60.42766066200941)"/>
    <s v="[1996369, 1996379]"/>
    <s v="[1751683, 1751667]"/>
    <s v="0.15242543848750473"/>
    <s v="[1751608, 1751683]"/>
    <s v="[0.084, 0.168]"/>
    <s v="32.04430158129297"/>
    <s v="[0.084, 0.168]"/>
  </r>
  <r>
    <x v="5120"/>
    <x v="5501"/>
    <x v="0"/>
    <n v="0"/>
    <s v="LINESTRING (5.575278351873283 60.42766066200941, 5.573884992534552 60.427346013356726, 5.57380017642617 60.42728570690254)"/>
    <s v="[1996380, 1996388]"/>
    <s v="[1751688, 1751691]"/>
    <s v="0.05065198330322733"/>
    <s v="[1751667, 1751688]"/>
    <s v="[0.043, 0.13]"/>
    <s v="93.31388651843363"/>
    <s v="[0.043, 0.13]"/>
  </r>
  <r>
    <x v="5121"/>
    <x v="5507"/>
    <x v="0"/>
    <n v="0"/>
    <s v="LINESTRING (5.568456640970372 60.42449270471014, 5.568442396317464 60.42455453012651, 5.568793496739365 60.424933542859144)"/>
    <s v="[1996356, 1996357]"/>
    <s v="[1751673, 1751674]"/>
    <s v="#FIELD!"/>
    <s v="[1751672, 1751673]"/>
    <s v="[0.491, 0.357]"/>
    <s v="55.325239798190744"/>
    <s v="[-0.491, -0.357]"/>
  </r>
  <r>
    <x v="5121"/>
    <x v="5508"/>
    <x v="0"/>
    <n v="0"/>
    <s v="LINESTRING (5.568456640970372 60.42449270471014, 5.568831478335054 60.42450313754912, 5.569837517485726 60.42467806647469, 5.569975053393662 60.42465804933623)"/>
    <s v="[1996426, 1996434, 1996442]"/>
    <s v="[1091524, 1751724, 1678309]"/>
    <s v="0.021005254986409233"/>
    <s v="[1751672, 1091524, 1751724]"/>
    <s v="[0.064, 0.031, 0.297]"/>
    <s v="87.83962523404183"/>
    <s v="[0.064, -0.031, 0.297]"/>
  </r>
  <r>
    <x v="5121"/>
    <x v="5509"/>
    <x v="0"/>
    <n v="0"/>
    <m/>
    <n v="1996418"/>
    <n v="1751672"/>
    <s v="0.116"/>
    <n v="1751696"/>
    <s v="0.116"/>
    <s v="77.58712757585887"/>
    <s v="0.116"/>
  </r>
  <r>
    <x v="5122"/>
    <x v="5510"/>
    <x v="0"/>
    <n v="0"/>
    <s v="LINESTRING (5.568793496739365 60.424933542859144, 5.569898860597235 60.42543836803104, 5.570013266457045 60.425528821154764)"/>
    <s v="[1996359, 1996368]"/>
    <s v="[1751675, 1751682]"/>
    <s v="#FIELD!"/>
    <s v="[1751674, 1751675]"/>
    <s v="[0.044, 0.082]"/>
    <s v="95.22553131382344"/>
    <s v="[-0.044, -0.082]"/>
  </r>
  <r>
    <x v="5122"/>
    <x v="5509"/>
    <x v="0"/>
    <n v="0"/>
    <s v="LINESTRING (5.567056759959371 60.424542747903146, 5.567134047155084 60.42457249282161, 5.568673240234708 60.42491319918026, 5.568793496739365 60.424933542859144)"/>
    <s v="[1996396, 1996401, 1996404]"/>
    <s v="[1751697, 1751702, 1751674]"/>
    <s v="#FIELD!"/>
    <s v="[1751696, 1751697, 1751702]"/>
    <s v="[0.132, 0.119, 0.029]"/>
    <s v="106.00244736728477"/>
    <s v="[-0.132, -0.119, 0.029]"/>
  </r>
  <r>
    <x v="5123"/>
    <x v="5511"/>
    <x v="0"/>
    <n v="0"/>
    <m/>
    <n v="2058507"/>
    <n v="1751706"/>
    <s v="0.036"/>
    <n v="1751682"/>
    <s v="0.036"/>
    <s v="328.4702428403992"/>
    <s v="0.036"/>
  </r>
  <r>
    <x v="5123"/>
    <x v="5501"/>
    <x v="0"/>
    <n v="0"/>
    <m/>
    <n v="2058499"/>
    <n v="1751682"/>
    <s v="#FIELD!"/>
    <n v="1751691"/>
    <s v="0.044"/>
    <s v="288.7113359091237"/>
    <s v="#FIELD!"/>
  </r>
  <r>
    <x v="5124"/>
    <x v="5511"/>
    <x v="0"/>
    <n v="0"/>
    <s v="LINESTRING (5.564856915667852 60.42409080780122, 5.564994305162251 60.42411509206794, 5.567056759959371 60.424542747903146)"/>
    <s v="[1996407, 1996410]"/>
    <s v="[1751707, 1751696]"/>
    <s v="0.03373163921431628"/>
    <s v="[1751706, 1751707]"/>
    <s v="[0.014, 0.035]"/>
    <s v="133.45440759173403"/>
    <s v="[0.014, 0.035]"/>
  </r>
  <r>
    <x v="5125"/>
    <x v="5512"/>
    <x v="0"/>
    <n v="0"/>
    <s v="LINESTRING (5.564856915667852 60.42409080780122, 5.554317998544228 60.42206274249079, 5.55429732590615 60.42206270135927, 5.548709416743619 60.422108626216925, 5.548673487865285 60.42210859532926, 5.547559549174422 60.422113120459215, 5.547506303171836 60.422113829823665, 5.547495764289096 60.42211390725226, 5.547488138495287 60.422113967166595, 5.542440398734953 60.422144412055516, 5.542429186443736 60.42214454031123, 5.54242166035405 60.422144634201715, 5.542271704188597 60.42214589233552)"/>
    <s v="[2058515, 2058531, 2058539, 2058542, 2058550, 2058558, 2058566, 2058574, 2058582, 2058590, 2058598, 2058611]"/>
    <s v="[1790066, 1790077, 1790084, 1790086, 1790094, 1790099, 1790105, 1790111, 1790116, 1790120, 1790126, 1751748]"/>
    <s v="0.002427863891331632"/>
    <s v="[1751706, 1790066, 1790077, 1790084, 1790086, 1790094, 1790099, 1790105, 1790111, 1790116, 1790120, 1790126]"/>
    <s v="[0.005, 0.338, 0.011, 0.606, 0.085, 0.382, 0.386, 0.534, 0.034, 0.124, 0.188, 0.179]"/>
    <s v="1304.0946542639165"/>
    <s v="[0.005, 0.338, -0.011, -0.606, -0.085, 0.382, 0.386, 0.534, 0.034, -0.124, -0.188, -0.179]"/>
  </r>
  <r>
    <x v="5126"/>
    <x v="5513"/>
    <x v="504"/>
    <n v="0"/>
    <s v="LINESTRING (5.538779432404156 60.422142555074466, 5.538640333297721 60.42216785350403, 5.537604334532804 60.42218313318448, 5.537334604334111 60.42210502587044, 5.537226272269032 60.42205657038147)"/>
    <s v="[1996450, 1996451, 1996469, 1996470]"/>
    <s v="[1751733, 1751734, 1751742, 1751743]"/>
    <s v="#FIELD!"/>
    <s v="[1751732, 1751733, 1751734, 1751742]"/>
    <s v="[0.13, 0.059, 0.07, 0.144]"/>
    <s v="91.46358651097715"/>
    <s v="[-0.13, -0.059, 0.07, 0.144]"/>
  </r>
  <r>
    <x v="5126"/>
    <x v="5513"/>
    <x v="0"/>
    <n v="0"/>
    <s v="LINESTRING (5.538779432404156 60.422142555074466, 5.538731337412887 60.42214184862278, 5.5380729272096305 60.42211313201988, 5.538054830660873 60.42211228730645, 5.537226272269032 60.42205657038147)"/>
    <s v="[2058635, 2058643, 2058651, 2058659]"/>
    <s v="[1790146, 1790150, 1790157, 1751743]"/>
    <s v="#FIELD!"/>
    <s v="[1751732, 1790146, 1790150, 1790157]"/>
    <s v="[0.01, 0.017, 0.071, 0.03]"/>
    <s v="86.3774833794154"/>
    <s v="[-0.01, -0.017, -0.071, -0.03]"/>
  </r>
  <r>
    <x v="5126"/>
    <x v="5514"/>
    <x v="0"/>
    <n v="0"/>
    <m/>
    <n v="2058627"/>
    <n v="1751732"/>
    <s v="0.012"/>
    <n v="1751815"/>
    <s v="0.012"/>
    <s v="150.65371703670033"/>
    <s v="0.012"/>
  </r>
  <r>
    <x v="5127"/>
    <x v="5515"/>
    <x v="505"/>
    <n v="0"/>
    <s v="LINESTRING (5.537226272269032 60.42205657038147, 5.536635337754101 60.421999767390886, 5.534389305756889 60.42167433612075, 5.5343722301634415 60.42167125821576, 5.533355957450511 60.42145269254998)"/>
    <s v="[2058667, 2058675, 2058683, 2058691]"/>
    <s v="[1790164, 1790169, 1790174, 1751774]"/>
    <s v="#FIELD!"/>
    <s v="[1751743, 1790164, 1790169, 1790174]"/>
    <s v="[0.069, 0.014, 0.317, 0.189]"/>
    <s v="224.91071919070902"/>
    <s v="[0.069, 0.014, -0.317, -0.189]"/>
  </r>
  <r>
    <x v="5128"/>
    <x v="5514"/>
    <x v="0"/>
    <n v="0"/>
    <m/>
    <n v="2058619"/>
    <n v="1751815"/>
    <s v="#FIELD!"/>
    <n v="1751748"/>
    <s v="0.14"/>
    <s v="42.31784493561814"/>
    <s v="#FIELD!"/>
  </r>
  <r>
    <x v="5128"/>
    <x v="5516"/>
    <x v="506"/>
    <s v="[0, 0, 1, 1]"/>
    <s v="LINESTRING (5.542271704188597 60.42214589233552, 5.542127701817193 60.42218169408799, 5.5398686369713515 60.42224662367696, 5.537994079423903 60.422394627652096, 5.5379432986023795 60.42241811620748)"/>
    <s v="[1996477, 1996494, 1996502, 1996503]"/>
    <s v="[1751749, 1751763, 1751769, 1751770]"/>
    <s v="#FIELD!"/>
    <s v="[1751748, 1751749, 1751763, 1751769]"/>
    <s v="[0.232, 0.047, 0.056, 0.285]"/>
    <s v="244.0286926726875"/>
    <s v="[-0.232, -0.047, -0.056, -0.285]"/>
  </r>
  <r>
    <x v="5129"/>
    <x v="5517"/>
    <x v="0"/>
    <n v="1"/>
    <m/>
    <n v="1996543"/>
    <n v="1751797"/>
    <s v="#FIELD!"/>
    <n v="1751770"/>
    <s v="0.287"/>
    <s v="22.649724060686864"/>
    <s v="#FIELD!"/>
  </r>
  <r>
    <x v="5129"/>
    <x v="5518"/>
    <x v="0"/>
    <s v="[0, 1]"/>
    <s v="LINESTRING (5.53723234080367 60.421705249871046, 5.537852165252254 60.42198658552992, 5.5379432986023795 60.42241811620748)"/>
    <s v="[1996527, 1996535]"/>
    <s v="[1751786, 1751770]"/>
    <s v="#FIELD!"/>
    <s v="[1751781, 1751786]"/>
    <s v="[0.272, 0.311]"/>
    <s v="96.34083077529668"/>
    <s v="[-0.272, -0.311]"/>
  </r>
  <r>
    <x v="5130"/>
    <x v="5519"/>
    <x v="0"/>
    <n v="0"/>
    <m/>
    <n v="2058699"/>
    <n v="1751838"/>
    <s v="#FIELD!"/>
    <n v="1751774"/>
    <s v="0.171"/>
    <s v="25.14060460683402"/>
    <s v="#FIELD!"/>
  </r>
  <r>
    <x v="5130"/>
    <x v="5518"/>
    <x v="0"/>
    <n v="0"/>
    <s v="LINESTRING (5.533355957450511 60.42145269254998, 5.533518960204619 60.42146437968273, 5.53723234080367 60.421705249871046)"/>
    <s v="[1996511, 1996519]"/>
    <s v="[1751775, 1751781]"/>
    <s v="0.12137038400345482"/>
    <s v="[1751774, 1751775]"/>
    <s v="[0.295, 0.114]"/>
    <s v="223.47546603103297"/>
    <s v="[0.295, 0.114]"/>
  </r>
  <r>
    <x v="5131"/>
    <x v="5514"/>
    <x v="0"/>
    <n v="0"/>
    <s v="LINESTRING (5.53723234080367 60.421705249871046, 5.536994282305868 60.421706273270445, 5.53674775911469 60.42187283759487, 5.54136226330448 60.422135001018745, 5.541505802821557 60.42215070915534)"/>
    <s v="[1996551, 1996559, 1996567, 1996575]"/>
    <s v="[1751801, 1751808, 1751812, 1751815]"/>
    <s v="#FIELD!"/>
    <s v="[1751781, 1751801, 1751808, 1751812]"/>
    <s v="[0.04, 0.32, 0.041, 0.1]"/>
    <s v="308.4485796402935"/>
    <s v="[-0.04, -0.32, -0.041, 0.1]"/>
  </r>
  <r>
    <x v="5132"/>
    <x v="5519"/>
    <x v="0"/>
    <s v="[1, 1, 0, 0, 0]"/>
    <s v="LINESTRING (5.537414759025494 60.42332880261033, 5.537414759025494 60.42332880261033, 5.537264089483364 60.42219582329308, 5.537169195872166 60.42217015056985, 5.533052075199804 60.42140377610722, 5.532948113886186 60.42135291727958)"/>
    <s v="[1996583, 1996591, 1996599, 1996607, 1996615]"/>
    <s v="[1751819, 1751826, 1751829, 1751832, 1751838]"/>
    <s v="0.06482381548214183"/>
    <s v="[1751818, 1751819, 1751826, 1751829, 1751832]"/>
    <s v="[0.0, 0.249, 0.101, 0.035, 0.008]"/>
    <s v="402.68836316763026"/>
    <s v="[0.0, 0.249, 0.101, -0.035, -0.008]"/>
  </r>
  <r>
    <x v="5133"/>
    <x v="5520"/>
    <x v="0"/>
    <n v="0"/>
    <s v="LINESTRING (5.532948113886186 60.42135291727958, 5.532714504993886 60.421292508871154, 5.518090236862083 60.42129587908528)"/>
    <s v="[2058707, 2058715]"/>
    <s v="[1790187, 1761028]"/>
    <s v="0.022264501423246395"/>
    <s v="[1751838, 1790187]"/>
    <s v="[0.083, 0.024]"/>
    <s v="898.0142587265644"/>
    <s v="[-0.083, 0.024]"/>
  </r>
  <r>
    <x v="5134"/>
    <x v="5521"/>
    <x v="0"/>
    <n v="0"/>
    <s v="LINESTRING (6.508640268300583 60.79195417246236, 6.508545564571682 60.79196981367289, 6.508391612851487 60.7919582016224, 6.508271774110936 60.79190180349921, 6.508243643485539 60.79185485900877)"/>
    <s v="[1996623, 1996631, 1996639, 1996647]"/>
    <s v="[1751843, 1751848, 1751852, 1751857]"/>
    <s v="#FIELD!"/>
    <s v="[1751842, 1751843, 1751848, 1751852]"/>
    <s v="[0.037, 0.086, 0.094, 0.074]"/>
    <s v="28.501340110524268"/>
    <s v="[-0.037, -0.086, -0.094, -0.074]"/>
  </r>
  <r>
    <x v="5134"/>
    <x v="5522"/>
    <x v="0"/>
    <n v="0"/>
    <s v="LINESTRING (6.508774755894458 60.791830892713044, 6.508750206202196 60.79189525191627, 6.508640268300583 60.79195417246236)"/>
    <s v="[1996703, 1996711]"/>
    <s v="[1751895, 1751842]"/>
    <s v="0.038166129915496054"/>
    <s v="[1751890, 1751895]"/>
    <s v="[0.081, 0.003]"/>
    <s v="16.216005435358767"/>
    <s v="[0.081, 0.003]"/>
  </r>
  <r>
    <x v="5134"/>
    <x v="5495"/>
    <x v="0"/>
    <n v="0"/>
    <s v="LINESTRING (6.509508379968354 60.79199122110759, 6.509042938568143 60.791970111560616, 6.50879909082948 60.791957217448164, 6.508640268300583 60.79195417246236)"/>
    <s v="[2013565, 2013573, 2013581]"/>
    <s v="[1760913, 1760919, 1751842]"/>
    <s v="#FIELD!"/>
    <s v="[1760912, 1760913, 1760919]"/>
    <s v="[0.086, 0.091, 0.632]"/>
    <s v="47.843301773115854"/>
    <s v="[-0.086, -0.091, -0.632]"/>
  </r>
  <r>
    <x v="5135"/>
    <x v="5523"/>
    <x v="0"/>
    <n v="0"/>
    <s v="LINESTRING (6.508243643485539 60.79185485900877, 6.508279722881276 60.791774979301174, 6.508402774262779 60.791722312645355)"/>
    <s v="[1996655, 1996663]"/>
    <s v="[1751864, 1751871]"/>
    <s v="#FIELD!"/>
    <s v="[1751857, 1751864]"/>
    <s v="[0.038, 0.002]"/>
    <s v="18.2135904777157"/>
    <s v="[-0.038, -0.002]"/>
  </r>
  <r>
    <x v="5135"/>
    <x v="5524"/>
    <x v="0"/>
    <n v="0"/>
    <s v="LINESTRING (6.508243643485539 60.79185485900877, 6.508146671176451 60.791810130797465, 6.507768426829274 60.79167612630614, 6.507483873722071 60.79156534641353)"/>
    <s v="[2013589, 2013597, 2013605]"/>
    <s v="[1760928, 1760932, 1760937]"/>
    <s v="#FIELD!"/>
    <s v="[1751857, 1760928, 1760932]"/>
    <s v="[0.512, 0.091, 0.085]"/>
    <s v="52.63205809669164"/>
    <s v="[0.512, -0.091, -0.085]"/>
  </r>
  <r>
    <x v="5136"/>
    <x v="5525"/>
    <x v="0"/>
    <s v="[0, 0, 0, 1, 0, 0, 0, 0, 0]"/>
    <s v="LINESTRING (5.269613339327609 60.382147773276095, 5.269500693921096 60.3820788509408, 5.269329134839079 60.381782311681455, 5.26933597810475 60.381671358581904, 5.26956579560599 60.38106743364006, 5.269405462175578 60.380702682255745, 5.269367888762642 60.38065693993327, 5.2691675369348445 60.3804666576127, 5.269076461146834 60.3803891766635, 5.268897637386621 60.38026400499262)"/>
    <s v="[1996654, 1996662, 1996670, 1996678, 1996686, 1996694, 1996702, 1996710, 1996718]"/>
    <s v="[1751863, 1751870, 1751875, 1751882, 1751885, 1751889, 1751894, 1751899, 1751901]"/>
    <s v="#FIELD!"/>
    <s v="[1751862, 1751863, 1751870, 1751875, 1751882, 1751885, 1751889, 1751894, 1751899]"/>
    <s v="[0.01, 0.003, 0.001, 0.024, 0.043, 0.092, 0.058, 0.041, 0.038]"/>
    <s v="224.5619499021861"/>
    <s v="[0.01, -0.003, 0.001, 0.024, -0.043, -0.092, -0.058, -0.041, -0.038]"/>
  </r>
  <r>
    <x v="5136"/>
    <x v="5526"/>
    <x v="0"/>
    <n v="0"/>
    <s v="LINESTRING (5.269832690879552 60.38231141324343, 5.269739286993107 60.38225748035865, 5.269613339327609 60.382147773276095)"/>
    <s v="[2079691, 2079699]"/>
    <s v="[1803407, 1751862]"/>
    <s v="0.011974322359822837"/>
    <s v="[1752101, 1803407]"/>
    <s v="[2.417, 1.342]"/>
    <s v="22.042964424713517"/>
    <s v="[2.417, -1.342]"/>
  </r>
  <r>
    <x v="5136"/>
    <x v="5439"/>
    <x v="0"/>
    <n v="0"/>
    <s v="LINESTRING (5.269976596452387 60.38222252455458, 5.269856797812491 60.38220101949564, 5.269613339327609 60.382147773276095)"/>
    <s v="[2064191, 2064199]"/>
    <s v="[1793880, 1751862]"/>
    <s v="0.019266360698880085"/>
    <s v="[1752111, 1793880]"/>
    <s v="[0.024, 0.017]"/>
    <s v="21.776224802686194"/>
    <s v="[0.024, 0.017]"/>
  </r>
  <r>
    <x v="5137"/>
    <x v="5522"/>
    <x v="0"/>
    <n v="0"/>
    <s v="LINESTRING (6.508402774262779 60.791722312645355, 6.508534918866389 60.79171176551888, 6.508660120404269 60.79173418898615, 6.5087301914597635 60.7917693558489, 6.508774755894458 60.791830892713044)"/>
    <s v="[1996671, 1996679, 1996687, 1996695]"/>
    <s v="[1751876, 1751883, 1751886, 1751890]"/>
    <s v="0.07099128141856718"/>
    <s v="[1751871, 1751876, 1751883, 1751886]"/>
    <s v="[0.033, 0.066, 0.099, 0.093]"/>
    <s v="27.35777056225394"/>
    <s v="[0.033, 0.066, 0.099, 0.093]"/>
  </r>
  <r>
    <x v="5137"/>
    <x v="5524"/>
    <x v="0"/>
    <n v="0"/>
    <s v="LINESTRING (6.508402774262779 60.791722312645355, 6.508279519491202 60.7917044378891, 6.507826520605305 60.791630791084806, 6.507483873722071 60.79156534641353)"/>
    <s v="[2016982, 2016990, 2016998]"/>
    <s v="[1762870, 1762875, 1760937]"/>
    <s v="0.0017702871610037227"/>
    <s v="[1751871, 1762870, 1762875]"/>
    <s v="[0.059, 0.046, 0.085]"/>
    <s v="53.154332911173796"/>
    <s v="[-0.059, -0.046, 0.085]"/>
  </r>
  <r>
    <x v="5138"/>
    <x v="5495"/>
    <x v="0"/>
    <n v="0"/>
    <s v="LINESTRING (6.509508379968354 60.79199122110759, 6.50914549247237 60.79191629225811, 6.509103693493641 60.79190785957719, 6.509086306238831 60.79190363664848, 6.508877581991399 60.791855539124775, 6.508774755894458 60.791830892713044)"/>
    <s v="[2016942, 2016950, 2016958, 2016966, 2016974]"/>
    <s v="[1762847, 1762854, 1762859, 1762862, 1751890]"/>
    <s v="#FIELD!"/>
    <s v="[1760912, 1762847, 1762854, 1762859, 1762862]"/>
    <s v="[0.327, 0.125, 0.146, 0.094, 0.105]"/>
    <s v="44.49348998512274"/>
    <s v="[-0.327, -0.125, -0.146, -0.094, -0.105]"/>
  </r>
  <r>
    <x v="5139"/>
    <x v="5441"/>
    <x v="0"/>
    <n v="0"/>
    <s v="LINESTRING (5.268897637386621 60.38026400499262, 5.268661074390543 60.38006109826949, 5.268606316141014 60.38002449041247)"/>
    <s v="[2064207, 2064215]"/>
    <s v="[1793894, 1752158]"/>
    <s v="#FIELD!"/>
    <s v="[1751901, 1793894]"/>
    <s v="[0.033, 0.031]"/>
    <s v="31.275402630799512"/>
    <s v="[-0.033, -0.031]"/>
  </r>
  <r>
    <x v="5139"/>
    <x v="5436"/>
    <x v="0"/>
    <n v="0"/>
    <s v="LINESTRING (5.268897637386621 60.38026400499262, 5.268500989741984 60.38009451382034, 5.268435340474132 60.380064338999496)"/>
    <s v="[2079707, 2079715]"/>
    <s v="[1803418, 1752135]"/>
    <s v="#FIELD!"/>
    <s v="[1751901, 1803418]"/>
    <s v="[0.403, 2.552]"/>
    <s v="33.94799986253327"/>
    <s v="[0.403, -2.552]"/>
  </r>
  <r>
    <x v="5140"/>
    <x v="5527"/>
    <x v="0"/>
    <n v="0"/>
    <s v="LINESTRING (5.626328440790627 60.42432017474796, 5.626306401172492 60.42435450454444, 5.6262535596991 60.42439162080217, 5.626087251064009 60.4244314062218, 5.626023415135416 60.42443144100674)"/>
    <s v="[1996719, 1996727, 1996735, 1996743]"/>
    <s v="[1751903, 1751910, 1751917, 1751923]"/>
    <s v="#FIELD!"/>
    <s v="[1751902, 1751903, 1751910, 1751917]"/>
    <s v="[0.219, 0.209, 0.068, 0.066]"/>
    <s v="22.82843391727254"/>
    <s v="[-0.219, -0.209, -0.068, 0.066]"/>
  </r>
  <r>
    <x v="5140"/>
    <x v="5466"/>
    <x v="0"/>
    <n v="0"/>
    <s v="LINESTRING (5.626179092435482 60.42417435179289, 5.626294165497729 60.4242266051918, 5.626328440790627 60.42432017474796)"/>
    <s v="[1996807, 1996815]"/>
    <s v="[1751961, 1751902]"/>
    <s v="#FIELD!"/>
    <s v="[1751958, 1751961]"/>
    <s v="[0.232, 0.27]"/>
    <s v="19.256490393063466"/>
    <s v="[-0.232, -0.27]"/>
  </r>
  <r>
    <x v="5141"/>
    <x v="5528"/>
    <x v="0"/>
    <n v="0"/>
    <s v="LINESTRING (5.626023415135416 60.42443144100674, 5.62584629644703 60.42438395120211, 5.625781560621915 60.42429898753725)"/>
    <s v="[1996759, 1996767]"/>
    <s v="[1751934, 1751940]"/>
    <s v="0.20029705124367114"/>
    <s v="[1751923, 1751934]"/>
    <s v="[0.171, 0.233]"/>
    <s v="21.468939025620834"/>
    <s v="[0.171, 0.233]"/>
  </r>
  <r>
    <x v="5141"/>
    <x v="5503"/>
    <x v="0"/>
    <n v="0"/>
    <s v="LINESTRING (5.626023415135416 60.42443144100674, 5.625881728017417 60.424470134852946, 5.625423679669206 60.42460621519222)"/>
    <s v="[2013765, 2013773]"/>
    <s v="[1761021, 1761024]"/>
    <s v="#FIELD!"/>
    <s v="[1751923, 1761021]"/>
    <s v="[0.072, 0.059]"/>
    <s v="38.58096981264012"/>
    <s v="[-0.072, -0.059]"/>
  </r>
  <r>
    <x v="5142"/>
    <x v="5466"/>
    <x v="0"/>
    <n v="0"/>
    <s v="LINESTRING (5.625781560621915 60.42429898753725, 5.625800195768815 60.424246785512295, 5.625953502112868 60.424170346157, 5.626131713548423 60.42416507580178, 5.626179092435482 60.42417435179289)"/>
    <s v="[1996775, 1996783, 1996794, 1996799]"/>
    <s v="[1751944, 1751948, 1751954, 1751958]"/>
    <s v="0.09585249297957386"/>
    <s v="[1751940, 1751944, 1751948, 1751954]"/>
    <s v="[0.221, 0.16, 0.025, 0.024]"/>
    <s v="30.884565376361298"/>
    <s v="[0.221, 0.16, -0.025, -0.024]"/>
  </r>
  <r>
    <x v="5142"/>
    <x v="5503"/>
    <x v="0"/>
    <n v="0"/>
    <s v="LINESTRING (5.625781560621915 60.42429898753725, 5.625698525867091 60.42436771176303, 5.625423679669206 60.42460621519222)"/>
    <s v="[2017118, 2017126]"/>
    <s v="[1762955, 1761024]"/>
    <s v="#FIELD!"/>
    <s v="[1751940, 1762955]"/>
    <s v="[0.186, 0.163]"/>
    <s v="39.857461520696845"/>
    <s v="[-0.186, -0.163]"/>
  </r>
  <r>
    <x v="5143"/>
    <x v="5529"/>
    <x v="0"/>
    <n v="0"/>
    <m/>
    <n v="1996823"/>
    <n v="1751968"/>
    <s v="0.123"/>
    <n v="1751967"/>
    <s v="0.123"/>
    <s v="4.875321630286949"/>
    <s v="0.123"/>
  </r>
  <r>
    <x v="5143"/>
    <x v="5530"/>
    <x v="0"/>
    <n v="0"/>
    <s v="LINESTRING (5.4647966334399385 60.41699251026054, 5.464753896647412 60.417112415355646, 5.4645753533928 60.41717819693671)"/>
    <s v="[1996887, 1996895]"/>
    <s v="[1752003, 1751967]"/>
    <s v="#FIELD!"/>
    <s v="[1752000, 1752003]"/>
    <s v="[0.06, 0.049]"/>
    <s v="26.36825963947545"/>
    <s v="[-0.06, 0.049]"/>
  </r>
  <r>
    <x v="5143"/>
    <x v="5531"/>
    <x v="0"/>
    <n v="0"/>
    <s v="LINESTRING (5.465508662985873 60.41730620446566, 5.46476540489324 60.417185079535145, 5.4645753533928 60.41717819693671)"/>
    <s v="[2013861, 2013869]"/>
    <s v="[1761063, 1751967]"/>
    <s v="0.15419545162953996"/>
    <s v="[1761062, 1761063]"/>
    <s v="[0.154, 0.155]"/>
    <s v="53.87647542886735"/>
    <s v="[0.154, 0.155]"/>
  </r>
  <r>
    <x v="5144"/>
    <x v="5532"/>
    <x v="0"/>
    <n v="0"/>
    <s v="LINESTRING (5.464488562877506 60.41718603537823, 5.4642995945126875 60.41715827671303, 5.464170410257701 60.41706936125177)"/>
    <s v="[1996839, 1996847]"/>
    <s v="[1751978, 1751983]"/>
    <s v="0.17080175472624762"/>
    <s v="[1751968, 1751978]"/>
    <s v="[0.174, 0.168]"/>
    <s v="23.32812456725808"/>
    <s v="[0.174, 0.168]"/>
  </r>
  <r>
    <x v="5144"/>
    <x v="5533"/>
    <x v="0"/>
    <n v="0"/>
    <s v="LINESTRING (5.464488562877506 60.41718603537823, 5.464390056362634 60.41723545071661, 5.464094603170012 60.417437383716404, 5.4640177790600415 60.41750650655541, 5.463497368527157 60.418066400923834, 5.463490402981893 60.418074624746595, 5.46340448442203 60.41817612650783, 5.462884818364822 60.41881320604246, 5.460904993263534 60.421209742600325, 5.460477373583491 60.421836919228205, 5.460455589623425 60.42190968361018)"/>
    <s v="[2013877, 2013885, 2013893, 2013901, 2013909, 2013917, 2013925, 2013933, 2013941, 2013949]"/>
    <s v="[1761068, 1761071, 1761074, 1761079, 1761084, 1761091, 1761096, 1761099, 1761106, 1752012]"/>
    <s v="#FIELD!"/>
    <s v="[1751968, 1761068, 1761071, 1761074, 1761079, 1761084, 1761091, 1761096, 1761099, 1761106]"/>
    <s v="[0.02, 0.013, 0.04, 0.037, 0.084, 0.046, 0.044, 0.005, 0.044, 0.094]"/>
    <s v="575.0076716556412"/>
    <s v="[0.02, -0.013, -0.04, -0.037, 0.084, -0.046, -0.044, -0.005, -0.044, -0.094]"/>
  </r>
  <r>
    <x v="5145"/>
    <x v="5530"/>
    <x v="0"/>
    <n v="0"/>
    <s v="LINESTRING (5.464170410257701 60.41706936125177, 5.464359983664183 60.416879576026574, 5.464634030434233 60.41688671159635, 5.464776092105633 60.41696299146173, 5.4647966334399385 60.41699251026054)"/>
    <s v="[1996855, 1996863, 1996871, 1996879]"/>
    <s v="[1751989, 1751991, 1751997, 1752000]"/>
    <s v="#FIELD!"/>
    <s v="[1751983, 1751989, 1751991, 1751997]"/>
    <s v="[0.043, 0.178, 0.19, 0.144]"/>
    <s v="56.171476518651325"/>
    <s v="[0.043, -0.178, -0.19, -0.144]"/>
  </r>
  <r>
    <x v="5145"/>
    <x v="5534"/>
    <x v="507"/>
    <n v="0"/>
    <s v="LINESTRING (5.464170410257701 60.41706936125177, 5.464150415351196 60.4171736269114, 5.46398497169392 60.417412281126815, 5.463902791188831 60.41748015781819, 5.463380756167508 60.41804170698349, 5.46337378275036 60.41804995736321, 5.460779871937427 60.421194434178396, 5.460218647190407 60.421791363505115, 5.460087274628852 60.421868598333646)"/>
    <s v="[2017208, 2017216, 2017224, 2017232, 2017240, 2017248, 2017256, 2017264]"/>
    <s v="[1763014, 1763019, 1763027, 1763030, 1763035, 1763042, 1763048, 1752045]"/>
    <s v="#FIELD!"/>
    <s v="[1751983, 1763014, 1763019, 1763027, 1763030, 1763035, 1763042, 1763048]"/>
    <s v="[0.099, 0.065, 0.03, 0.036, 0.037, 0.013, 0.033, 0.035]"/>
    <s v="583.2462348176753"/>
    <s v="[-0.099, -0.065, -0.03, -0.036, -0.037, -0.013, -0.033, 0.035]"/>
  </r>
  <r>
    <x v="5146"/>
    <x v="5531"/>
    <x v="0"/>
    <n v="0"/>
    <s v="LINESTRING (5.465508662985873 60.41730620446566, 5.465034483527329 60.41712490592868, 5.464916290003326 60.417068365242855, 5.4647966334399385 60.41699251026054)"/>
    <s v="[2017183, 2017192, 2017200]"/>
    <s v="[1762993, 1762998, 1752000]"/>
    <s v="0.16110775566493063"/>
    <s v="[1761062, 1762993, 1762998]"/>
    <s v="[0.158, 0.156, 0.175]"/>
    <s v="52.95985655016177"/>
    <s v="[0.158, 0.156, 0.175]"/>
  </r>
  <r>
    <x v="5147"/>
    <x v="5469"/>
    <x v="0"/>
    <n v="0"/>
    <s v="LINESTRING (5.460455589623425 60.42190968361018, 5.460490415422208 60.421946565904626, 5.460475950620901 60.42204500043564, 5.460360878884271 60.42210632103752, 5.460318307121722 60.422114947159386, 5.460310389439328 60.42211623799591)"/>
    <s v="[1996903, 1996911, 1996919, 1996927, 1996935]"/>
    <s v="[1752013, 1752020, 1752024, 1752029, 1752032]"/>
    <s v="#FIELD!"/>
    <s v="[1752012, 1752013, 1752020, 1752024, 1752029]"/>
    <s v="[0.15, 0.108, 0.017, 0.076, 0.028]"/>
    <s v="28.15309863181287"/>
    <s v="[-0.15, -0.108, 0.017, 0.076, -0.028]"/>
  </r>
  <r>
    <x v="5147"/>
    <x v="5534"/>
    <x v="0"/>
    <n v="0"/>
    <s v="LINESTRING (5.460087274628852 60.421868598333646, 5.460326412152987 60.42185784399905, 5.460455589623425 60.42190968361018)"/>
    <s v="[1996967, 1996975]"/>
    <s v="[1752051, 1752012]"/>
    <s v="#FIELD!"/>
    <s v="[1752045, 1752051]"/>
    <s v="[0.155, 0.159]"/>
    <s v="22.79247073204155"/>
    <s v="[-0.155, -0.159]"/>
  </r>
  <r>
    <x v="5148"/>
    <x v="5470"/>
    <x v="0"/>
    <n v="0"/>
    <s v="LINESTRING (5.460310389439328 60.42211623799591, 5.4601332701365495 60.42211519555068, 5.459965905636825 60.422031656464014)"/>
    <s v="[1996943, 1996951]"/>
    <s v="[1752036, 1752040]"/>
    <s v="0.18432476591779481"/>
    <s v="[1752032, 1752036]"/>
    <s v="[0.149, 0.21]"/>
    <s v="23.251599810716762"/>
    <s v="[0.149, 0.21]"/>
  </r>
  <r>
    <x v="5149"/>
    <x v="5534"/>
    <x v="0"/>
    <n v="0"/>
    <m/>
    <n v="1996959"/>
    <n v="1752045"/>
    <s v="0.041"/>
    <n v="1752040"/>
    <s v="0.041"/>
    <s v="20.833172005718318"/>
    <s v="0.041"/>
  </r>
  <r>
    <x v="5150"/>
    <x v="5439"/>
    <x v="0"/>
    <n v="0"/>
    <s v="LINESTRING (5.269832690879552 60.38231141324343, 5.2698819250973115 60.38225715085436, 5.269976596452387 60.38222252455458)"/>
    <s v="[1997059, 1997067]"/>
    <s v="[1752106, 1752111]"/>
    <s v="#FIELD!"/>
    <s v="[1752101, 1752106]"/>
    <s v="[0.014, 0.008]"/>
    <s v="13.16076534882184"/>
    <s v="[-0.014, -0.008]"/>
  </r>
  <r>
    <x v="5150"/>
    <x v="5430"/>
    <x v="0"/>
    <n v="0"/>
    <s v="LINESTRING (5.270301500036046 60.38233786627581, 5.270179593563434 60.38243380636104, 5.269984146260601 60.38244019009372, 5.269869666793266 60.38239555752096, 5.269832690879552 60.38231141324343)"/>
    <s v="[1997091, 1997099, 1997107, 1997051]"/>
    <s v="[1752125, 1752129, 1752100, 1752101]"/>
    <s v="0.010360313113562445"/>
    <s v="[1752121, 1752125, 1752129, 1752100]"/>
    <s v="[0.013, 0.02, 0.01, 0.004]"/>
    <s v="41.818044722201385"/>
    <s v="[0.013, 0.02, 0.01, -0.004]"/>
  </r>
  <r>
    <x v="5151"/>
    <x v="5441"/>
    <x v="0"/>
    <n v="0"/>
    <s v="LINESTRING (5.268606316141014 60.38002449041247, 5.268543361462154 60.38005150557446, 5.268435340474132 60.380064338999496)"/>
    <s v="[1997163, 1997171]"/>
    <s v="[1752162, 1752135]"/>
    <s v="0.0038570276147221355"/>
    <s v="[1752158, 1752162]"/>
    <s v="[0.013, 0.003]"/>
    <s v="10.75631597282577"/>
    <s v="[0.013, -0.003]"/>
  </r>
  <r>
    <x v="5152"/>
    <x v="5535"/>
    <x v="508"/>
    <n v="0"/>
    <m/>
    <n v="2066043"/>
    <n v="1754161"/>
    <s v="#FIELD!"/>
    <n v="1752379"/>
    <s v="0.087"/>
    <s v="16.99256822959983"/>
    <s v="#FIELD!"/>
  </r>
  <r>
    <x v="5152"/>
    <x v="5536"/>
    <x v="0"/>
    <n v="0"/>
    <s v="LINESTRING (5.337853948275618 60.325110162793436, 5.337926753595686 60.32517537289061, 5.3381921981673965 60.32581064262867)"/>
    <s v="[1997727, 1997735]"/>
    <s v="[1752380, 1752382]"/>
    <s v="#FIELD!"/>
    <s v="[1752379, 1752380]"/>
    <s v="[0.02, 0.039]"/>
    <s v="84.36135268642121"/>
    <s v="[-0.02, -0.039]"/>
  </r>
  <r>
    <x v="5152"/>
    <x v="5537"/>
    <x v="0"/>
    <n v="0"/>
    <s v="LINESTRING (5.337227637309267 60.325113061187984, 5.337190520736042 60.32499181135221, 5.3373230849694835 60.32489839515016, 5.337493212885838 60.32486480902181, 5.337741011205909 60.324895650146615, 5.337854412073218 60.32496185740094, 5.337886521072516 60.3250248148616, 5.337853948275618 60.325110162793436)"/>
    <s v="[2066067, 2066075, 2066083, 2066011, 2066019, 2066027, 2066035]"/>
    <s v="[1570738, 1794991, 1570751, 1793919, 1794957, 1794964, 1752379]"/>
    <s v="0.03184496379677901"/>
    <s v="[1752415, 1570738, 1794991, 1570751, 1793919, 1794957, 1794964]"/>
    <s v="[0.908, 0.004, 0.019, 0.041, 0.039, 0.034, 0.887]"/>
    <s v="77.73074325438715"/>
    <s v="[0.908, 0.004, -0.019, -0.041, -0.039, -0.034, -0.887]"/>
  </r>
  <r>
    <x v="5153"/>
    <x v="5538"/>
    <x v="509"/>
    <n v="0"/>
    <m/>
    <n v="1997743"/>
    <n v="1752383"/>
    <s v="#FIELD!"/>
    <n v="1752382"/>
    <s v="0.08"/>
    <s v="39.19502519453202"/>
    <s v="#FIELD!"/>
  </r>
  <r>
    <x v="5153"/>
    <x v="5539"/>
    <x v="0"/>
    <n v="0"/>
    <s v="LINESTRING (5.3381921981673965 60.32581064262867, 5.338185808918901 60.32586263544829, 5.337947289881485 60.32616081289134, 5.337885364671561 60.326203304904304)"/>
    <s v="[2001638, 2001646, 2001654]"/>
    <s v="[1754200, 1754203, 1754172]"/>
    <s v="#FIELD!"/>
    <s v="[1752382, 1754200, 1754203]"/>
    <s v="[0.051, 0.08, 0.042]"/>
    <s v="47.637912926637455"/>
    <s v="[-0.051, -0.08, -0.042]"/>
  </r>
  <r>
    <x v="5154"/>
    <x v="5539"/>
    <x v="0"/>
    <n v="0"/>
    <m/>
    <n v="2001558"/>
    <n v="1754172"/>
    <s v="#FIELD!"/>
    <n v="1752383"/>
    <s v="0.024"/>
    <s v="11.136426715464932"/>
    <s v="#FIELD!"/>
  </r>
  <r>
    <x v="5154"/>
    <x v="5540"/>
    <x v="0"/>
    <n v="0"/>
    <s v="LINESTRING (5.337820471099278 60.326108998301684, 5.337610937494671 60.32644726386726, 5.337584449141393 60.32653941690215)"/>
    <s v="[1997751, 1997759]"/>
    <s v="[1752385, 1752388]"/>
    <s v="#FIELD!"/>
    <s v="[1752383, 1752385]"/>
    <s v="[0.039, 0.033]"/>
    <s v="50.08161273761468"/>
    <s v="[-0.039, -0.033]"/>
  </r>
  <r>
    <x v="5154"/>
    <x v="5541"/>
    <x v="510"/>
    <n v="0"/>
    <s v="LINESTRING (5.337100347019847 60.325777582806296, 5.337138000560344 60.325821952541475, 5.337820471099278 60.326108998301684)"/>
    <s v="[2001542, 2001550]"/>
    <s v="[1754167, 1752383]"/>
    <s v="#FIELD!"/>
    <s v="[1754151, 1754167]"/>
    <s v="[0.019, 0.0]"/>
    <s v="54.97525516130175"/>
    <s v="[-0.019, -0.0]"/>
  </r>
  <r>
    <x v="5155"/>
    <x v="5542"/>
    <x v="0"/>
    <n v="0"/>
    <s v="LINESTRING (5.337584449141393 60.32653941690215, 5.3378368421845055 60.32788846416322, 5.337844362476498 60.328003888478925)"/>
    <s v="[1997767, 2014445]"/>
    <s v="[1752392, 1753142]"/>
    <s v="#FIELD!"/>
    <s v="[1752388, 1752392]"/>
    <s v="[0.024, 0.011]"/>
    <s v="165.02482567989392"/>
    <s v="[-0.024, -0.011]"/>
  </r>
  <r>
    <x v="5155"/>
    <x v="5539"/>
    <x v="0"/>
    <n v="0"/>
    <s v="LINESTRING (5.337885364671561 60.326203304904304, 5.337717445738732 60.3264405956179, 5.337654530428611 60.32650566385048, 5.337584449141393 60.32653941690215)"/>
    <s v="[2001566, 2001574, 2001582]"/>
    <s v="[1754174, 1754178, 1752388]"/>
    <s v="#FIELD!"/>
    <s v="[1754172, 1754174, 1754178]"/>
    <s v="[0.04, 0.04, 0.03]"/>
    <s v="41.66716067522627"/>
    <s v="[-0.04, -0.04, -0.03]"/>
  </r>
  <r>
    <x v="5156"/>
    <x v="5537"/>
    <x v="0"/>
    <s v="[0, 0, 1, 0, 0]"/>
    <s v="LINESTRING (5.337200103374259 60.32753422319411, 5.336065819840382 60.32611134722705, 5.336441734850843 60.325826952036145, 5.337036189214762 60.32533415264899, 5.337145754521342 60.32515416104493, 5.337227637309267 60.325113061187984)"/>
    <s v="[1997783, 1997791, 1997799, 1997807, 1997815]"/>
    <s v="[1752401, 1752404, 1752407, 1752411, 1752415]"/>
    <s v="0.027021323863193426"/>
    <s v="[1752397, 1752401, 1752404, 1752407, 1752411]"/>
    <s v="[0.038, 0.057, 0.028, 0.059, 0.08]"/>
    <s v="322.7034507370192"/>
    <s v="[0.038, -0.057, 0.028, 0.059, 0.08]"/>
  </r>
  <r>
    <x v="5156"/>
    <x v="5117"/>
    <x v="0"/>
    <n v="0"/>
    <s v="LINESTRING (5.337200103374259 60.32753422319411, 5.337180384136141 60.327490264665364, 5.337034515631699 60.32709876519126, 5.336780884327277 60.32668941018367, 5.336734400683197 60.32666790984147)"/>
    <s v="[2001662, 2001670, 2001678, 2001686]"/>
    <s v="[1754208, 1754211, 1754214, 1754195]"/>
    <s v="0.021237844861920718"/>
    <s v="[1752397, 1754208, 1754211, 1754214]"/>
    <s v="[0.021, 0.025, 0.019, 0.005]"/>
    <s v="101.75614231189475"/>
    <s v="[0.021, 0.025, 0.019, 0.005]"/>
  </r>
  <r>
    <x v="5156"/>
    <x v="5116"/>
    <x v="0"/>
    <n v="0"/>
    <s v="LINESTRING (5.337576017947192 60.32801676706795, 5.337500570931326 60.32793887194885, 5.337200103374259 60.32753422319411)"/>
    <s v="[2014613, 1997775]"/>
    <s v="[1752396, 1752397]"/>
    <s v="0.015665694164486734"/>
    <s v="[1761470, 1752396]"/>
    <s v="[0.009, 0.017]"/>
    <s v="57.90301346438409"/>
    <s v="[0.009, 0.017]"/>
  </r>
  <r>
    <x v="5157"/>
    <x v="5543"/>
    <x v="0"/>
    <n v="0"/>
    <m/>
    <n v="2066059"/>
    <n v="1752415"/>
    <s v="#FIELD!"/>
    <n v="1754182"/>
    <s v="0.021"/>
    <s v="17.05750293964688"/>
    <s v="#FIELD!"/>
  </r>
  <r>
    <x v="5158"/>
    <x v="5544"/>
    <x v="0"/>
    <s v="[0, 1, 0]"/>
    <s v="LINESTRING (5.325343956216292 60.46342911929457, 5.324172347515404 60.463650855759454, 5.3234625068926436 60.46378248480695, 5.323257279314755 60.46382534285447)"/>
    <s v="[1998294, 1998302, 1998310]"/>
    <s v="[1752553, 1752557, 1752561]"/>
    <s v="#FIELD!"/>
    <s v="[1752552, 1752553, 1752557]"/>
    <s v="[0.008, 0.013, 0.013]"/>
    <s v="123.38741202130558"/>
    <s v="[0.008, -0.013, -0.013]"/>
  </r>
  <r>
    <x v="5158"/>
    <x v="5545"/>
    <x v="0"/>
    <n v="0"/>
    <s v="LINESTRING (5.325814856362197 60.46341657032577, 5.325692190046002 60.463415727594615, 5.325343956216292 60.46342911929457)"/>
    <s v="[2062658, 2062670]"/>
    <s v="[1792861, 1752552]"/>
    <s v="#FIELD!"/>
    <s v="[1754976, 1792861]"/>
    <s v="[0.058, 0.001]"/>
    <s v="26.04582726267014"/>
    <s v="[-0.058, -0.001]"/>
  </r>
  <r>
    <x v="5158"/>
    <x v="5546"/>
    <x v="0"/>
    <n v="0"/>
    <s v="LINESTRING (5.325797051177394 60.463316669288126, 5.325666923239512 60.463335180368404, 5.325343956216292 60.46342911929457)"/>
    <s v="[2016717, 2016725]"/>
    <s v="[1762695, 1752552]"/>
    <s v="#FIELD!"/>
    <s v="[1754986, 1762695]"/>
    <s v="[0.062, 0.005]"/>
    <s v="28.311461731063982"/>
    <s v="[-0.062, 0.005]"/>
  </r>
  <r>
    <x v="5159"/>
    <x v="5547"/>
    <x v="0"/>
    <n v="0"/>
    <s v="LINESTRING (5.323257279314755 60.46382534285447, 5.322521487981737 60.46381547373427, 5.3223715454799665 60.46379120957519)"/>
    <s v="[2016733, 2016741]"/>
    <s v="[1762702, 1752887]"/>
    <s v="#FIELD!"/>
    <s v="[1752561, 1762702]"/>
    <s v="[0.002, 0.009]"/>
    <s v="49.7558097048786"/>
    <s v="[-0.002, 0.009]"/>
  </r>
  <r>
    <x v="5159"/>
    <x v="5548"/>
    <x v="0"/>
    <n v="0"/>
    <s v="LINESTRING (5.323257279314755 60.46382534285447, 5.322521576123201 60.4639173613169, 5.322355203353591 60.46391936509013)"/>
    <s v="[2062678, 2062679]"/>
    <s v="[1792871, 1752837]"/>
    <s v="#FIELD!"/>
    <s v="[1752561, 1792871]"/>
    <s v="[0.004, 0.007]"/>
    <s v="51.3237222185024"/>
    <s v="[-0.004, 0.007]"/>
  </r>
  <r>
    <x v="5160"/>
    <x v="5549"/>
    <x v="0"/>
    <n v="0"/>
    <s v="LINESTRING (5.322355203353591 60.46391936509013, 5.322292653019571 60.463944633101484, 5.322184186347708 60.46395749142167, 5.322089434252188 60.463944217493776, 5.322006084192888 60.46391006930004, 5.321972425610745 60.463864184133904, 5.32198836579134 60.463805650684456, 5.322057582476638 60.46376368449184)"/>
    <s v="[1999061, 1999069, 1999077, 1999112, 1999123, 1999129, 1999138]"/>
    <s v="[1752838, 1752843, 1752845, 1752853, 1752856, 1752862, 1752864]"/>
    <s v="0.0053559494344483415"/>
    <s v="[1752837, 1752838, 1752843, 1752845, 1752853, 1752856, 1752862]"/>
    <s v="[0.004, 0.006, 0.009, 0.008, 0.008, 0.003, 0.0]"/>
    <s v="40.13130558335078"/>
    <s v="[0.004, 0.006, 0.009, 0.008, 0.008, 0.003, -0.0]"/>
  </r>
  <r>
    <x v="5160"/>
    <x v="5547"/>
    <x v="0"/>
    <n v="0"/>
    <s v="LINESTRING (5.3223715454799665 60.46379120957519, 5.322403476349734 60.46385686846427, 5.322355203353591 60.46391936509013)"/>
    <s v="[1999196, 1999212]"/>
    <s v="[1752892, 1752837]"/>
    <s v="#FIELD!"/>
    <s v="[1752887, 1752892]"/>
    <s v="[0.007, 0.002]"/>
    <s v="15.022114487495353"/>
    <s v="[-0.007, -0.002]"/>
  </r>
  <r>
    <x v="5161"/>
    <x v="5550"/>
    <x v="0"/>
    <n v="0"/>
    <m/>
    <n v="1999158"/>
    <n v="1752875"/>
    <s v="#FIELD!"/>
    <n v="1752864"/>
    <s v="0.007"/>
    <s v="13.450011150513031"/>
    <s v="#FIELD!"/>
  </r>
  <r>
    <x v="5161"/>
    <x v="5551"/>
    <x v="0"/>
    <n v="0"/>
    <s v="LINESTRING (5.322057582476638 60.46376368449184, 5.322071088075364 60.463700449846655, 5.322182792029537 60.46346892407785, 5.322002732208067 60.462617199888065, 5.319875333578989 60.46103390447196, 5.319839699948033 60.46092817227442)"/>
    <s v="[2002750, 2002758, 2002766, 2002774, 2007143]"/>
    <s v="[1754738, 1627639, 324391, 1754752, 1757199]"/>
    <s v="0.05146661020978384"/>
    <s v="[1752864, 1754738, 1627639, 324391, 1754752]"/>
    <s v="[0.004, 0.003, 0.008, 0.061, 0.383]"/>
    <s v="359.09259108715753"/>
    <s v="[0.004, 0.003, 0.008, 0.061, 0.383]"/>
  </r>
  <r>
    <x v="5162"/>
    <x v="5547"/>
    <x v="0"/>
    <n v="0"/>
    <m/>
    <n v="1999188"/>
    <n v="1752887"/>
    <s v="#FIELD!"/>
    <n v="1752875"/>
    <s v="0.008"/>
    <s v="5.990826320710473"/>
    <s v="#FIELD!"/>
  </r>
  <r>
    <x v="5162"/>
    <x v="5552"/>
    <x v="0"/>
    <n v="0"/>
    <s v="LINESTRING (5.3247413156795345 60.46476443661967, 5.324624993383936 60.46470526127739, 5.32239360549425 60.463435884468225, 5.322271853415863 60.46369073559696, 5.322290699087094 60.46375543585456)"/>
    <s v="[2007159, 2006537, 2006545, 2006553]"/>
    <s v="[1756874, 1756875, 1756879, 1752875]"/>
    <s v="0.0004165601763038101"/>
    <s v="[1757211, 1756874, 1756875, 1756879]"/>
    <s v="[0.001, 0.0, 0.004, 0.003]"/>
    <s v="257.6010106900086"/>
    <s v="[0.001, 0.0, 0.004, -0.003]"/>
  </r>
  <r>
    <x v="5163"/>
    <x v="5553"/>
    <x v="0"/>
    <n v="0"/>
    <s v="LINESTRING (5.335239341770068 60.51300114731776, 5.333503022372884 60.51340611367755, 5.333291370130097 60.5134375883363, 5.332925016912324 60.51348094632337, 5.3329175775451745 60.51348176835717, 5.332907499023038 60.513482885918464, 5.332578885254169 60.513518861787375, 5.330482230091616 60.513579646676085)"/>
    <s v="[1999240, 1999248, 1999256, 1999264, 1999265, 1999267, 1999274]"/>
    <s v="[1752914, 1752915, 1752920, 1752925, 1752926, 1752927, 1752929]"/>
    <s v="0.019544951793255164"/>
    <s v="[1752913, 1752914, 1752915, 1752920, 1752925, 1752926, 1752927]"/>
    <s v="[0.038, 0.044, 0.046, 0.036, 0.026, 0.059, 0.034]"/>
    <s v="274.91295325925694"/>
    <s v="[0.038, -0.044, -0.046, -0.036, -0.026, -0.059, 0.034]"/>
  </r>
  <r>
    <x v="5163"/>
    <x v="5553"/>
    <x v="0"/>
    <n v="0"/>
    <s v="LINESTRING (5.335239341770068 60.51300114731776, 5.333470719649573 60.513354905996785, 5.333257492226547 60.513384908595214, 5.332889981820115 60.51342876078279, 5.332882519187886 60.51342959920448, 5.3325472782481596 60.51346467438681, 5.330482230091616 60.513579646676085)"/>
    <s v="[2021015, 2021023, 2021024, 2021031, 2021039, 2021047]"/>
    <s v="[1764437, 1765549, 1765550, 1765555, 1765561, 1752929]"/>
    <s v="0.019719894614042038"/>
    <s v="[1752913, 1764437, 1765549, 1765550, 1765555, 1765561]"/>
    <s v="[0.021, 0.018, 0.017, 0.012, 0.009, 0.034]"/>
    <s v="272.19636207291524"/>
    <s v="[0.021, -0.018, -0.017, 0.012, -0.009, 0.034]"/>
  </r>
  <r>
    <x v="5164"/>
    <x v="5554"/>
    <x v="0"/>
    <n v="0"/>
    <s v="LINESTRING (5.330482230091616 60.513579646676085, 5.31084138448191 60.51528866428001, 5.3108234533228105 60.515290199889904, 5.3062672836409055 60.5147421935474, 5.306196201254987 60.51471426806032, 5.2928584103985035 60.51325543718784, 5.292841284159405 60.51325837730933, 5.286556090482874 60.514936570512454)"/>
    <s v="[2063590, 2063598, 2063606, 2063614, 2063622, 2063630, 2063638]"/>
    <s v="[1793445, 1793449, 1793455, 1793461, 1793466, 1793471, 1756892]"/>
    <s v="#FIELD!"/>
    <s v="[1752929, 1793445, 1793449, 1793455, 1793461, 1793466, 1793471]"/>
    <s v="[0.035, 0.048, 0.014, 0.23, 0.024, 0.38, 0.054]"/>
    <s v="2606.4884104244566"/>
    <s v="[0.035, 0.048, -0.014, 0.23, -0.024, -0.38, -0.054]"/>
  </r>
  <r>
    <x v="5165"/>
    <x v="5555"/>
    <x v="0"/>
    <n v="0"/>
    <s v="LINESTRING (5.280676347154748 60.54492963157131, 5.2818658494195745 60.54517297514234, 5.281976305833898 60.54519403349412)"/>
    <s v="[1999277, 1999283]"/>
    <s v="[1752931, 1752932]"/>
    <s v="0.033347396488413734"/>
    <s v="[1752930, 1752931]"/>
    <s v="[0.032, 0.048]"/>
    <s v="77.42309758991294"/>
    <s v="[0.032, 0.048]"/>
  </r>
  <r>
    <x v="5165"/>
    <x v="5556"/>
    <x v="0"/>
    <n v="0"/>
    <s v="LINESTRING (5.280676347154748 60.54492963157131, 5.281740223679761 60.54526128653774, 5.281858376280585 60.54530387988379)"/>
    <s v="[2021055, 2021063]"/>
    <s v="[1765569, 1757524]"/>
    <s v="#FIELD!"/>
    <s v="[1752930, 1765569]"/>
    <s v="[0.038, 0.175]"/>
    <s v="77.44762128507074"/>
    <s v="[-0.038, 0.175]"/>
  </r>
  <r>
    <x v="5166"/>
    <x v="5421"/>
    <x v="0"/>
    <n v="0"/>
    <m/>
    <n v="2007600"/>
    <n v="1752942"/>
    <s v="0.037"/>
    <n v="1752932"/>
    <s v="0.037"/>
    <s v="22.73529671412656"/>
    <s v="0.037"/>
  </r>
  <r>
    <x v="5166"/>
    <x v="5556"/>
    <x v="0"/>
    <n v="0"/>
    <s v="LINESTRING (5.281858376280585 60.54530387988379, 5.281885658621394 60.545238035545296, 5.281976305833898 60.54519403349412)"/>
    <s v="[2007656, 2007664]"/>
    <s v="[1757528, 1752932]"/>
    <s v="0.2654318020166386"/>
    <s v="[1757524, 1757528]"/>
    <s v="[0.028, 0.58]"/>
    <s v="14.516663659464015"/>
    <s v="[-0.028, 0.58]"/>
  </r>
  <r>
    <x v="5167"/>
    <x v="5422"/>
    <x v="0"/>
    <n v="0"/>
    <s v="LINESTRING (5.282314881735491 60.545258705217215, 5.28231491717143 60.545330174547765, 5.2822277974103375 60.54538800554212)"/>
    <s v="[2007608, 2007616]"/>
    <s v="[1757496, 1757502]"/>
    <s v="#FIELD!"/>
    <s v="[1752942, 1757496]"/>
    <s v="[0.543, 0.022]"/>
    <s v="16.03587628417427"/>
    <s v="[-0.543, 0.022]"/>
  </r>
  <r>
    <x v="5168"/>
    <x v="4666"/>
    <x v="0"/>
    <n v="0"/>
    <s v="LINESTRING (5.4556477257555445 59.76329843162048, 5.455779944798383 59.763263813869564, 5.4559285044615535 59.76327017856794)"/>
    <s v="[2007888, 2007896]"/>
    <s v="[1757659, 1757665]"/>
    <s v="0.10695548278120726"/>
    <s v="[1752953, 1757659]"/>
    <s v="[0.212, 0.002]"/>
    <s v="16.80264709079628"/>
    <s v="[0.212, 0.002]"/>
  </r>
  <r>
    <x v="5168"/>
    <x v="5557"/>
    <x v="0"/>
    <n v="0"/>
    <m/>
    <n v="2007880"/>
    <n v="1752953"/>
    <s v="0.02"/>
    <n v="1753110"/>
    <s v="0.02"/>
    <s v="5.7199737758299305"/>
    <s v="0.02"/>
  </r>
  <r>
    <x v="5169"/>
    <x v="5558"/>
    <x v="0"/>
    <n v="0"/>
    <s v="LINESTRING (5.480897351224454 59.67882536601355, 5.480704815504222 59.67871723968789, 5.480625636160037 59.67865719409666)"/>
    <s v="[1999542, 1999549]"/>
    <s v="[1753057, 1753059]"/>
    <s v="0.08961512193168307"/>
    <s v="[1753056, 1753057]"/>
    <s v="[0.08, 0.109]"/>
    <s v="24.32617699846718"/>
    <s v="[0.08, 0.109]"/>
  </r>
  <r>
    <x v="5169"/>
    <x v="5559"/>
    <x v="0"/>
    <n v="0"/>
    <s v="LINESTRING (5.480897351224454 59.67882536601355, 5.480874090956025 59.678706123056195, 5.480877263140026 59.67863944773376)"/>
    <s v="[2021223, 2021231]"/>
    <s v="[1765698, 1757592]"/>
    <s v="0.4815428171990805"/>
    <s v="[1753056, 1765698]"/>
    <s v="[0.68, 0.125]"/>
    <s v="20.843776204148497"/>
    <s v="[0.68, 0.125]"/>
  </r>
  <r>
    <x v="5169"/>
    <x v="5560"/>
    <x v="0"/>
    <n v="0"/>
    <s v="LINESTRING (5.477838071986538 59.678595055266214, 5.480926542682672 59.679511044737446, 5.481171273874683 59.67941684364247, 5.480897351224454 59.67882536601355)"/>
    <s v="[2000998, 2001006, 2001014]"/>
    <s v="[1753877, 1753882, 1753056]"/>
    <s v="0.013981217629635195"/>
    <s v="[1753865, 1753877, 1753882]"/>
    <s v="[0.017, 0.097, 0.086]"/>
    <s v="313.10276321807765"/>
    <s v="[-0.017, 0.097, 0.086]"/>
  </r>
  <r>
    <x v="5170"/>
    <x v="5561"/>
    <x v="0"/>
    <n v="0"/>
    <m/>
    <n v="2007800"/>
    <n v="1753914"/>
    <s v="0.072"/>
    <n v="1753059"/>
    <s v="0.072"/>
    <s v="6.221261929565972"/>
    <s v="0.072"/>
  </r>
  <r>
    <x v="5170"/>
    <x v="5559"/>
    <x v="0"/>
    <n v="0"/>
    <s v="LINESTRING (5.480877263140026 59.67863944773376, 5.480765223534315 59.67866922069699, 5.480625636160037 59.67865719409666)"/>
    <s v="[2007784, 2007792]"/>
    <s v="[1757597, 1753059]"/>
    <s v="#FIELD!"/>
    <s v="[1757592, 1757597]"/>
    <s v="[0.127, 0.867]"/>
    <s v="15.155408108950729"/>
    <s v="[-0.127, -0.867]"/>
  </r>
  <r>
    <x v="5171"/>
    <x v="5562"/>
    <x v="0"/>
    <n v="0"/>
    <s v="LINESTRING (5.404774730777268 59.74032390628928, 5.40420288204166 59.740622485018775, 5.404122614666079 59.74067082468096)"/>
    <s v="[1999574, 1999589]"/>
    <s v="[1753069, 1753075]"/>
    <s v="#FIELD!"/>
    <s v="[1753068, 1753069]"/>
    <s v="[0.001, 0.004]"/>
    <s v="53.462391692436995"/>
    <s v="[-0.001, 0.004]"/>
  </r>
  <r>
    <x v="5171"/>
    <x v="2475"/>
    <x v="0"/>
    <n v="0"/>
    <s v="LINESTRING (5.404774730777268 59.74032390628928, 5.404064664955513 59.740555327409055, 5.403962483446627 59.740592104595024)"/>
    <s v="[2021239, 2021247]"/>
    <s v="[1765710, 1757641]"/>
    <s v="#FIELD!"/>
    <s v="[1753068, 1765710]"/>
    <s v="[0.074, 0.006]"/>
    <s v="54.761080529451945"/>
    <s v="[-0.074, 0.006]"/>
  </r>
  <r>
    <x v="5171"/>
    <x v="2468"/>
    <x v="0"/>
    <n v="0"/>
    <m/>
    <n v="2001162"/>
    <n v="1753068"/>
    <s v="#FIELD!"/>
    <n v="1753950"/>
    <s v="0.002"/>
    <s v="17.26901343434766"/>
    <s v="#FIELD!"/>
  </r>
  <r>
    <x v="5172"/>
    <x v="2473"/>
    <x v="0"/>
    <n v="0"/>
    <m/>
    <n v="2007816"/>
    <n v="1753953"/>
    <s v="#FIELD!"/>
    <n v="1753075"/>
    <s v="0.007"/>
    <s v="9.802040603687992"/>
    <s v="#FIELD!"/>
  </r>
  <r>
    <x v="5172"/>
    <x v="2475"/>
    <x v="0"/>
    <n v="0"/>
    <s v="LINESTRING (5.403962483446627 59.740592104595024, 5.404079254001336 59.74062874467894, 5.404122614666079 59.74067082468096)"/>
    <s v="[2007864, 2007872]"/>
    <s v="[1757648, 1753075]"/>
    <s v="0.26330637937610313"/>
    <s v="[1757641, 1757648]"/>
    <s v="[0.025, 0.612]"/>
    <s v="13.057366457462198"/>
    <s v="[0.025, 0.612]"/>
  </r>
  <r>
    <x v="5173"/>
    <x v="5563"/>
    <x v="0"/>
    <n v="0"/>
    <s v="LINESTRING (5.4532998473970435 59.764022258972325, 5.453372156991926 59.76405020935665, 5.453444638957862 59.76407886857244, 5.453675938846405 59.764158510065506)"/>
    <s v="[1999623, 1999631, 1999632]"/>
    <s v="[1753089, 1753091, 1753092]"/>
    <s v="#FIELD!"/>
    <s v="[1753088, 1753089, 1753091]"/>
    <s v="[0.008, 0.012, 0.011]"/>
    <s v="26.113830227019292"/>
    <s v="[-0.008, -0.012, -0.011]"/>
  </r>
  <r>
    <x v="5173"/>
    <x v="5564"/>
    <x v="0"/>
    <n v="0"/>
    <s v="LINESTRING (5.4532998473970435 59.764022258972325, 5.4532566013071015 59.764095224031216, 5.453174975599459 59.764140871881146)"/>
    <s v="[2050424, 2050432]"/>
    <s v="[1784927, 1765725]"/>
    <s v="0.34546514591756294"/>
    <s v="[1753088, 1784927]"/>
    <s v="[0.655, 0.038]"/>
    <s v="15.380787534819095"/>
    <s v="[0.655, -0.038]"/>
  </r>
  <r>
    <x v="5173"/>
    <x v="5565"/>
    <x v="0"/>
    <n v="0"/>
    <m/>
    <n v="2050416"/>
    <n v="1753088"/>
    <s v="#FIELD!"/>
    <n v="1754057"/>
    <s v="0.013"/>
    <s v="13.011328645632698"/>
    <s v="#FIELD!"/>
  </r>
  <r>
    <x v="5174"/>
    <x v="5566"/>
    <x v="0"/>
    <s v="[0, 1, 0]"/>
    <s v="LINESTRING (5.453675938846405 59.764158510065506, 5.454371018778727 59.76403493838234, 5.45486562291064 59.76368689516234, 5.455174500198153 59.763498848991794)"/>
    <s v="[2001279, 2001280, 2001287]"/>
    <s v="[1754020, 1754021, 1753106]"/>
    <s v="0.016761478146851697"/>
    <s v="[1753092, 1754020, 1754021]"/>
    <s v="[0.009, 0.022, 0.02]"/>
    <s v="118.83552648635361"/>
    <s v="[0.009, 0.022, 0.02]"/>
  </r>
  <r>
    <x v="5174"/>
    <x v="5564"/>
    <x v="0"/>
    <n v="0"/>
    <s v="LINESTRING (5.453174975599459 59.764140871881146, 5.453272601219565 59.76414715021959, 5.4533794027991345 59.764156298257234, 5.453675938846405 59.764158510065506)"/>
    <s v="[2021255, 2021263, 2021271]"/>
    <s v="[1765726, 1765732, 1753092]"/>
    <s v="#FIELD!"/>
    <s v="[1765725, 1765726, 1765732]"/>
    <s v="[0.004, 0.003, 0.336]"/>
    <s v="28.37258882851898"/>
    <s v="[0.004, 0.003, -0.336]"/>
  </r>
  <r>
    <x v="5175"/>
    <x v="5557"/>
    <x v="0"/>
    <n v="0"/>
    <s v="LINESTRING (5.455174500198153 59.763498848991794, 5.455445369005122 59.76337312019885, 5.4555892532464 59.763340261632386)"/>
    <s v="[1999656, 1999664]"/>
    <s v="[1753107, 1753110]"/>
    <s v="0.015616118745604493"/>
    <s v="[1753106, 1753107]"/>
    <s v="[0.018, 0.01]"/>
    <s v="29.87951174731851"/>
    <s v="[0.018, 0.01]"/>
  </r>
  <r>
    <x v="5175"/>
    <x v="5567"/>
    <x v="0"/>
    <n v="0"/>
    <s v="LINESTRING (5.455174500198153 59.763498848991794, 5.4554821850356925 59.76346506354278, 5.455612903464141 59.76347039245633)"/>
    <s v="[2021279, 2021287]"/>
    <s v="[1765743, 1757693]"/>
    <s v="0.10545031405986369"/>
    <s v="[1753106, 1765743]"/>
    <s v="[0.149, 0.0]"/>
    <s v="25.294104306986362"/>
    <s v="[0.149, 0.0]"/>
  </r>
  <r>
    <x v="5176"/>
    <x v="5567"/>
    <x v="0"/>
    <n v="0"/>
    <s v="LINESTRING (5.455612903464141 59.76347039245633, 5.4555666163091825 59.763406418604305, 5.4555892532464 59.763340261632386)"/>
    <s v="[2007952, 2007960]"/>
    <s v="[1757700, 1753110]"/>
    <s v="#FIELD!"/>
    <s v="[1757693, 1757700]"/>
    <s v="[0.012, 0.282]"/>
    <s v="15.113323194787839"/>
    <s v="[-0.012, -0.282]"/>
  </r>
  <r>
    <x v="5177"/>
    <x v="5568"/>
    <x v="0"/>
    <n v="0"/>
    <s v="LINESTRING (5.452843880384532 60.181115217023574, 5.4528358157993715 60.18106218063385, 5.452833923504647 60.18082818739613)"/>
    <s v="[1999680, 1999688]"/>
    <s v="[1753119, 1753123]"/>
    <s v="0.030926033380991216"/>
    <s v="[1753118, 1753119]"/>
    <s v="[0.035, 0.03]"/>
    <s v="32.093359502066875"/>
    <s v="[0.035, 0.03]"/>
  </r>
  <r>
    <x v="5177"/>
    <x v="5569"/>
    <x v="0"/>
    <n v="0"/>
    <s v="LINESTRING (5.452843880384532 60.181115217023574, 5.452937992445941 60.18109764078945, 5.453018007501422 60.18110302231997)"/>
    <s v="[2007976, 2007984]"/>
    <s v="[1757711, 1757718]"/>
    <s v="#FIELD!"/>
    <s v="[1753118, 1757711]"/>
    <s v="[0.035, 0.002]"/>
    <s v="10.088896626853085"/>
    <s v="[-0.035, 0.002]"/>
  </r>
  <r>
    <x v="5177"/>
    <x v="5570"/>
    <x v="0"/>
    <n v="0"/>
    <m/>
    <n v="2007968"/>
    <n v="1753118"/>
    <s v="0.034"/>
    <n v="1754071"/>
    <s v="0.034"/>
    <s v="5.024937810402182"/>
    <s v="0.034"/>
  </r>
  <r>
    <x v="5178"/>
    <x v="5571"/>
    <x v="0"/>
    <s v="[0, 1, 0]"/>
    <s v="LINESTRING (5.452833923504647 60.18082818739613, 5.452053286336161 60.18033475216685, 5.451374964580369 60.18036450775199, 5.450786663259478 60.180824603512654)"/>
    <s v="[2001432, 2001446, 2001454]"/>
    <s v="[1754104, 1754114, 1754098]"/>
    <s v="0.10240834236768276"/>
    <s v="[1753123, 1754104, 1754114]"/>
    <s v="[0.006, 0.241, 0.131]"/>
    <s v="176.6744760090442"/>
    <s v="[0.006, 0.241, 0.131]"/>
  </r>
  <r>
    <x v="5178"/>
    <x v="5569"/>
    <x v="0"/>
    <n v="0"/>
    <s v="LINESTRING (5.453018007501422 60.18110302231997, 5.4529911100358355 60.18105266848549, 5.452833923504647 60.18082818739613)"/>
    <s v="[2021295, 2021303]"/>
    <s v="[1765753, 1753123]"/>
    <s v="0.03584774498506671"/>
    <s v="[1757718, 1765753]"/>
    <s v="[0.026, 0.038]"/>
    <s v="32.46593941931667"/>
    <s v="[0.026, 0.038]"/>
  </r>
  <r>
    <x v="5179"/>
    <x v="5542"/>
    <x v="0"/>
    <n v="0"/>
    <s v="LINESTRING (5.336104634025695 60.32440746385419, 5.3362289716239735 60.32459595098632, 5.3366903188930594 60.3253458995978, 5.337844362476498 60.328003888478925)"/>
    <s v="[1999704, 1999712, 1999720]"/>
    <s v="[1753129, 1753136, 1753142]"/>
    <s v="#FIELD!"/>
    <s v="[1753126, 1753129, 1753136]"/>
    <s v="[0.16, 0.08, 0.021]"/>
    <s v="413.9409656997286"/>
    <s v="[-0.16, -0.08, -0.021]"/>
  </r>
  <r>
    <x v="5179"/>
    <x v="5541"/>
    <x v="0"/>
    <n v="0"/>
    <s v="LINESTRING (5.336104634025695 60.32440746385419, 5.336189185587093 60.32446703355132, 5.337100347019847 60.325777582806296)"/>
    <s v="[1999728, 2001518]"/>
    <s v="[1753146, 1754151]"/>
    <s v="#FIELD!"/>
    <s v="[1753126, 1753146]"/>
    <s v="[0.206, 0.061]"/>
    <s v="163.49470575380604"/>
    <s v="[-0.206, -0.061]"/>
  </r>
  <r>
    <x v="5180"/>
    <x v="5572"/>
    <x v="0"/>
    <s v="[0, 1, 0, 1, 0, 0, 0, 0, 0]"/>
    <s v="LINESTRING (5.337844362476498 60.328003888478925, 5.337928885746825 60.32833752072903, 5.338000871228946 60.328615962671684, 5.338364210494331 60.33151442947139, 5.338268761935478 60.33353353122967, 5.339025739734584 60.34224068556824, 5.339173413294628 60.34361973096796, 5.339172087611275 60.34362869697656, 5.339140519468315 60.34377175556149, 5.339036899952989 60.34412379224409)"/>
    <s v="[2014453, 2014461, 2014469, 2014477, 2014485, 2014493, 2014501, 2014509, 2014517]"/>
    <s v="[1761380, 1761385, 1761390, 1761396, 1761399, 1761403, 1761407, 1761411, 1753151]"/>
    <s v="0.003521950600775036"/>
    <s v="[1753142, 1761380, 1761385, 1761390, 1761396, 1761399, 1761403, 1761407, 1761411]"/>
    <s v="[0.009, 0.002, 0.002, 0.007, 0.008, 0.022, 0.019, 0.02, 0.01]"/>
    <s v="1823.7857600419647"/>
    <s v="[-0.009, -0.002, 0.002, 0.007, 0.008, -0.022, -0.019, -0.02, 0.01]"/>
  </r>
  <r>
    <x v="5181"/>
    <x v="5573"/>
    <x v="0"/>
    <n v="0"/>
    <s v="LINESTRING (5.339036899952989 60.34412379224409, 5.3390839581045295 60.344192367270594, 5.338103335233489 60.345976908039496, 5.337371423003562 60.346658330562505, 5.337329861582987 60.34677277041448, 5.337352642740817 60.34684318400374)"/>
    <s v="[1999736, 2001694, 2001702, 2001710, 2001718]"/>
    <s v="[1753152, 1754220, 1754224, 1754226, 1754230]"/>
    <s v="#FIELD!"/>
    <s v="[1753151, 1753152, 1754220, 1754224, 1754226]"/>
    <s v="[0.034, 0.022, 0.034, 0.061, 0.055]"/>
    <s v="323.76012509829536"/>
    <s v="[0.034, -0.022, 0.034, 0.061, 0.055]"/>
  </r>
  <r>
    <x v="5181"/>
    <x v="5574"/>
    <x v="0"/>
    <n v="0"/>
    <s v="LINESTRING (5.339036899952989 60.34412379224409, 5.338056356098222 60.345710050995486, 5.337556266175222 60.34646012850493, 5.33710077252482 60.34768671796673, 5.337099580918318 60.347693703899296, 5.33706716510192 60.34809879303636, 5.337065869048872 60.348197453000736, 5.337542502641309 60.349789542797296)"/>
    <s v="[2014525, 2014533, 2014541, 2014549, 2014557, 2014565, 2014573]"/>
    <s v="[1761419, 1761423, 1761427, 1761430, 1761435, 1761440, 1753161]"/>
    <s v="0.0236016968360978"/>
    <s v="[1753151, 1761419, 1761423, 1761427, 1761430, 1761435, 1761440]"/>
    <s v="[0.025, 0.02, 0.047, 0.0, 0.035, 0.048, 0.053]"/>
    <s v="651.0339237713056"/>
    <s v="[-0.025, 0.02, 0.047, 0.0, 0.035, 0.048, 0.053]"/>
  </r>
  <r>
    <x v="5182"/>
    <x v="5575"/>
    <x v="0"/>
    <n v="0"/>
    <s v="LINESTRING (5.338926153870393 60.34376110391113, 5.338820929047309 60.344107505314945, 5.33784436750348 60.34568528116789, 5.33734429146895 60.34643101743908, 5.336885047839749 60.347681753476564, 5.336883574408204 60.34768882728542, 5.336850229094958 60.34809970960725, 5.336849500455112 60.34819976798381, 5.337257252971048 60.349822356026436, 5.337280048277792 60.34989150430334)"/>
    <s v="[2020019, 2020027, 2020035, 2020043, 2020051, 2020059, 2020067, 2020075, 2020083]"/>
    <s v="[1764825, 1764831, 1764835, 1764838, 1764844, 1764846, 1764852, 1764856, 1753164]"/>
    <s v="0.01893190597300897"/>
    <s v="[1753157, 1764825, 1764831, 1764835, 1764838, 1764844, 1764846, 1764852, 1764856]"/>
    <s v="[0.054, 0.004, 0.009, 0.007, 0.113, 0.026, 0.035, 0.051, 0.088]"/>
    <s v="702.6974869104064"/>
    <s v="[0.054, -0.004, 0.009, 0.007, -0.113, 0.026, 0.035, 0.051, -0.088]"/>
  </r>
  <r>
    <x v="5182"/>
    <x v="5576"/>
    <x v="0"/>
    <n v="0"/>
    <s v="LINESTRING (5.336961125247968 60.346791861882785, 5.337048841108726 60.34673588248294, 5.337126171329926 60.34660587576018, 5.337577781140241 60.34577130845885, 5.338811280997892 60.34380966573537, 5.338926153870393 60.34376110391113)"/>
    <s v="[2001758, 2001766, 2001774, 2001782, 1999744]"/>
    <s v="[1754254, 1754258, 1754263, 1753156, 1753157]"/>
    <s v="#FIELD!"/>
    <s v="[1754253, 1754254, 1754258, 1754263, 1753156]"/>
    <s v="[0.032, 0.045, 0.042, 0.017, 0.04]"/>
    <s v="359.3207376494034"/>
    <s v="[-0.032, -0.045, -0.042, 0.017, 0.04]"/>
  </r>
  <r>
    <x v="5182"/>
    <x v="5116"/>
    <x v="511"/>
    <s v="[0, 1, 0, 1, 0, 0, 0, 0]"/>
    <s v="LINESTRING (5.337576017947192 60.32801676706795, 5.3376781254624515 60.32835259398414, 5.337749822582828 60.328626492471784, 5.3381420018857755 60.331512604179046, 5.338046695959804 60.33352628986591, 5.338813282744196 60.34226219287839, 5.3389541393912 60.3436120751878, 5.338952616456425 60.343620845832554, 5.338926153870393 60.34376110391113)"/>
    <s v="[2019955, 2019963, 2019971, 2019979, 2019987, 2019995, 2020003, 2020011]"/>
    <s v="[1764790, 1764793, 1764797, 1764802, 1764807, 1764813, 1764816, 1753157]"/>
    <s v="0.003021341873841305"/>
    <s v="[1761470, 1764790, 1764793, 1764797, 1764802, 1764807, 1764813, 1764816]"/>
    <s v="[0.076, 0.012, 0.009, 0.009, 0.006, 0.001, 0.006, 0.132]"/>
    <s v="1781.797062547574"/>
    <s v="[0.076, -0.012, -0.009, 0.009, 0.006, -0.001, 0.006, -0.132]"/>
  </r>
  <r>
    <x v="5183"/>
    <x v="5577"/>
    <x v="512"/>
    <n v="0"/>
    <s v="LINESTRING (5.337542502641309 60.349789542797296, 5.337576491995151 60.34985788361801, 5.337585255554938 60.34987566672665, 5.337589629728248 60.34988455320031, 5.337663086163708 60.35004531661525, 5.338046243716916 60.35133457378142, 5.33869266989015 60.3533739581079, 5.338955162164039 60.3538613043458, 5.3403859487875875 60.35588182689961, 5.340440815753649 60.355948277515694)"/>
    <s v="[2014581, 2014589, 2014597, 2014605, 2014621, 2014629, 2014637, 2014645, 2014653]"/>
    <s v="[1761448, 1761453, 1761458, 1761465, 1761472, 1761477, 1761483, 1761488, 1757380]"/>
    <s v="#FIELD!"/>
    <s v="[1753161, 1761448, 1761453, 1761458, 1761465, 1761472, 1761477, 1761483, 1761488]"/>
    <s v="[0.028, 0.044, 0.0, 0.058, 0.044, 0.0, 0.02, 0.004, 0.207]"/>
    <s v="709.9173351030737"/>
    <s v="[-0.028, -0.044, 0.0, -0.058, -0.044, 0.0, 0.02, 0.004, 0.207]"/>
  </r>
  <r>
    <x v="5183"/>
    <x v="5578"/>
    <x v="0"/>
    <n v="0"/>
    <s v="LINESTRING (5.337265636650003 60.347721419768014, 5.337576437446911 60.349724192276085, 5.337542502641309 60.349789542797296)"/>
    <s v="[2001806, 1999752]"/>
    <s v="[1753160, 1753161]"/>
    <s v="0.04336954570554574"/>
    <s v="[1754247, 1753160]"/>
    <s v="[0.049, 0.125]"/>
    <s v="233.05749786395984"/>
    <s v="[0.049, -0.125]"/>
  </r>
  <r>
    <x v="5184"/>
    <x v="5579"/>
    <x v="0"/>
    <n v="0"/>
    <s v="LINESTRING (5.337280048277792 60.34989150430334, 5.33720220616471 60.34982881221269, 5.336688050022185 60.347693538649416)"/>
    <s v="[1999760, 2001814]"/>
    <s v="[1753165, 1754274]"/>
    <s v="#FIELD!"/>
    <s v="[1753164, 1753165]"/>
    <s v="[0.054, 0.049]"/>
    <s v="249.84733269943817"/>
    <s v="[-0.054, -0.049]"/>
  </r>
  <r>
    <x v="5184"/>
    <x v="5580"/>
    <x v="513"/>
    <n v="0"/>
    <s v="LINESTRING (5.337280048277792 60.34989150430334, 5.337285963560554 60.349909105732614, 5.3372889212040135 60.349917906447224, 5.337349537987992 60.350075693519024, 5.337681994329462 60.35135436064462, 5.338215186385708 60.35329326763302, 5.338264855758513 60.353410045635776, 5.33852010158524 60.35389987386326, 5.340165855463043 60.355891800467624, 5.340213004229267 60.35597137985398)"/>
    <s v="[2020091, 2020099, 2020107, 2020115, 2020123, 2020131, 2020139, 2020147, 2020155]"/>
    <s v="[1764866, 1764870, 1764876, 1757988, 1764888, 1764895, 1762185, 1764908, 1757410]"/>
    <s v="#FIELD!"/>
    <s v="[1753164, 1764866, 1764870, 1764876, 1757988, 1764888, 1764895, 1762185, 1764908]"/>
    <s v="[0.565, 0.024, 0.044, 0.023, 0.015, 0.039, 0.006, 0.007, 0.009]"/>
    <s v="703.8636535012597"/>
    <s v="[0.565, 0.024, 0.044, 0.023, -0.015, -0.039, -0.006, -0.007, 0.009]"/>
  </r>
  <r>
    <x v="5185"/>
    <x v="5579"/>
    <x v="0"/>
    <n v="0"/>
    <s v="LINESTRING (5.336688050022185 60.347693538649416, 5.335947164781615 60.34692282974362, 5.33582140047164 60.346885566439205)"/>
    <s v="[2001822, 1999768]"/>
    <s v="[1753171, 1753172]"/>
    <s v="0.014331037142573201"/>
    <s v="[1754274, 1753171]"/>
    <s v="[0.012, 0.046]"/>
    <s v="118.36971082768243"/>
    <s v="[0.012, 0.046]"/>
  </r>
  <r>
    <x v="5186"/>
    <x v="4658"/>
    <x v="0"/>
    <n v="0"/>
    <m/>
    <n v="2000051"/>
    <n v="1753306"/>
    <s v="0.065"/>
    <n v="1753292"/>
    <s v="0.065"/>
    <s v="119.8830560943141"/>
    <s v="0.065"/>
  </r>
  <r>
    <x v="5186"/>
    <x v="5581"/>
    <x v="0"/>
    <s v="[0, 1, 1, 0]"/>
    <s v="LINESTRING (5.2862093036782465 60.515106494857285, 5.2857592279026715 60.51532672660929, 5.284194322644133 60.516096480136135, 5.283830040581664 60.5162823020624, 5.281086398128503 60.51765383529534)"/>
    <s v="[2063661, 2063669, 2063677, 2000034]"/>
    <s v="[1793487, 1793493, 1753291, 1753292]"/>
    <s v="#FIELD!"/>
    <s v="[1756944, 1793487, 1793493, 1753291]"/>
    <s v="[0.176, 0.086, 0.068, 0.055]"/>
    <s v="400.93801565745366"/>
    <s v="[-0.176, -0.086, -0.068, -0.055]"/>
  </r>
  <r>
    <x v="5186"/>
    <x v="5582"/>
    <x v="0"/>
    <n v="0"/>
    <s v="LINESTRING (5.286111318738097 60.51603106469967, 5.286041706211561 60.51609198875822, 5.284962215247023 60.51639715038274, 5.28442057443644 60.51636010482667, 5.284209465587783 60.516368077787696, 5.284049373561296 60.51638617666339, 5.281221421030924 60.51762666905767, 5.281103170331672 60.5176503186772, 5.281086398128503 60.51765383529534)"/>
    <s v="[2006648, 2006656, 2006664, 2006672, 2006680, 2006688, 2006696, 2006704]"/>
    <s v="[1756950, 1756954, 1756959, 1756964, 1756967, 1756969, 1756973, 1753292]"/>
    <s v="#FIELD!"/>
    <s v="[1756949, 1756950, 1756954, 1756959, 1756964, 1756967, 1756969, 1756973]"/>
    <s v="[0.006, 0.011, 0.037, 0.055, 0.066, 0.091, 0.043, 0.233]"/>
    <s v="348.68285167504473"/>
    <s v="[0.006, 0.011, 0.037, -0.055, -0.066, -0.091, 0.043, -0.233]"/>
  </r>
  <r>
    <x v="5187"/>
    <x v="5583"/>
    <x v="0"/>
    <n v="0"/>
    <s v="LINESTRING (5.279372710425012 60.518308574674286, 5.27949689976851 60.518242618756595, 5.281560087668323 60.517168927212474, 5.282121409751065 60.5165581465676, 5.282085658205505 60.5164734506083, 5.282063103093113 60.51640846851422)"/>
    <s v="[2006712, 2006720, 2006728, 2006736, 2006744]"/>
    <s v="[1756980, 1756986, 1756989, 1756992, 1753512]"/>
    <s v="0.023482285753054145"/>
    <s v="[1753306, 1756980, 1756986, 1756989, 1756992]"/>
    <s v="[0.148, 0.034, 0.11, 0.096, 0.168]"/>
    <s v="270.99656369628855"/>
    <s v="[0.148, -0.034, 0.11, 0.096, 0.168]"/>
  </r>
  <r>
    <x v="5188"/>
    <x v="5584"/>
    <x v="0"/>
    <n v="0"/>
    <m/>
    <n v="2082157"/>
    <n v="1762655"/>
    <s v="#FIELD!"/>
    <n v="1675726"/>
    <s v="0.047"/>
    <s v="43.25367822125117"/>
    <s v="#FIELD!"/>
  </r>
  <r>
    <x v="5188"/>
    <x v="5585"/>
    <x v="0"/>
    <n v="0"/>
    <s v="LINESTRING (5.316198871906495 60.38726590275468, 5.316198685448143 60.38723603876481, 5.316077071050803 60.38705705249275)"/>
    <s v="[2000243, 2000259]"/>
    <s v="[1753430, 1753440]"/>
    <s v="#FIELD!"/>
    <s v="[1675726, 1753430]"/>
    <s v="[0.054, 0.093]"/>
    <s v="24.58201088104481"/>
    <s v="[-0.054, -0.093]"/>
  </r>
  <r>
    <x v="5188"/>
    <x v="5586"/>
    <x v="0"/>
    <n v="0"/>
    <s v="LINESTRING (5.3184074596364574 60.38641762736412, 5.316448475612317 60.38716482933224, 5.316198871906495 60.38726590275468)"/>
    <s v="[2053667, 2053675]"/>
    <s v="[1786813, 1675726]"/>
    <s v="#FIELD!"/>
    <s v="[1762650, 1786813]"/>
    <s v="[0.057, 0.269]"/>
    <s v="154.64808610976394"/>
    <s v="[-0.057, 0.269]"/>
  </r>
  <r>
    <x v="5189"/>
    <x v="5587"/>
    <x v="0"/>
    <n v="0"/>
    <m/>
    <n v="2003478"/>
    <n v="1753446"/>
    <s v="#FIELD!"/>
    <n v="1753440"/>
    <s v="0.017"/>
    <s v="78.38210570121687"/>
    <s v="#FIELD!"/>
  </r>
  <r>
    <x v="5189"/>
    <x v="5584"/>
    <x v="0"/>
    <n v="0"/>
    <s v="LINESTRING (5.315670239143714 60.387518152865006, 5.31580475808729 60.387294854572716, 5.316077071050803 60.38705705249275)"/>
    <s v="[2019503, 2019511]"/>
    <s v="[1764458, 1753440]"/>
    <s v="#FIELD!"/>
    <s v="[1762655, 1764458]"/>
    <s v="[0.029, 0.031]"/>
    <s v="59.16231605868835"/>
    <s v="[0.029, -0.031]"/>
  </r>
  <r>
    <x v="5190"/>
    <x v="5588"/>
    <x v="0"/>
    <n v="0"/>
    <s v="LINESTRING (5.316882097144147 60.386480261583024, 5.317176070950369 60.38630361326325, 5.317247138152017 60.386257407327534)"/>
    <s v="[2000270, 2000277]"/>
    <s v="[1753447, 1753452]"/>
    <s v="#FIELD!"/>
    <s v="[1753446, 1753447]"/>
    <s v="[0.054, 0.013]"/>
    <s v="32.06784109772691"/>
    <s v="[-0.054, 0.013]"/>
  </r>
  <r>
    <x v="5190"/>
    <x v="5589"/>
    <x v="0"/>
    <n v="0"/>
    <s v="LINESTRING (5.316882097144147 60.386480261583024, 5.317021868770232 60.38626927043104, 5.317049722067355 60.38621487140238)"/>
    <s v="[2019519, 2019528]"/>
    <s v="[1764472, 1755195]"/>
    <s v="#FIELD!"/>
    <s v="[1753446, 1764472]"/>
    <s v="[0.072, 0.065]"/>
    <s v="31.087864796285785"/>
    <s v="[-0.072, 0.065]"/>
  </r>
  <r>
    <x v="5191"/>
    <x v="5589"/>
    <x v="0"/>
    <n v="0"/>
    <s v="LINESTRING (5.317247138152017 60.386257407327534, 5.3171274174548415 60.386247712619294, 5.317049722067355 60.38621487140238)"/>
    <s v="[2003686, 2003694]"/>
    <s v="[1755224, 1755195]"/>
    <s v="#FIELD!"/>
    <s v="[1753452, 1755224]"/>
    <s v="[0.059, 0.056]"/>
    <s v="12.362656296290993"/>
    <s v="[-0.059, 0.056]"/>
  </r>
  <r>
    <x v="5191"/>
    <x v="5590"/>
    <x v="0"/>
    <n v="0"/>
    <m/>
    <n v="2003678"/>
    <n v="1753452"/>
    <s v="#FIELD!"/>
    <n v="1753470"/>
    <s v="0.03"/>
    <s v="17.31441011171762"/>
    <s v="#FIELD!"/>
  </r>
  <r>
    <x v="5192"/>
    <x v="5591"/>
    <x v="0"/>
    <n v="0"/>
    <s v="LINESTRING (5.317429218647528 60.386148661271065, 5.317525743573714 60.38613239259865, 5.318931527375612 60.38564772084554, 5.319022721662991 60.38561587247112, 5.3190378989326605 60.38561096231437, 5.319476500672453 60.38550114454926)"/>
    <s v="[2000307, 2000308, 2000316, 2000324, 2000332]"/>
    <s v="[1753471, 1753472, 1753479, 1753483, 1753486]"/>
    <s v="0.056768257784019754"/>
    <s v="[1753470, 1753471, 1753472, 1753479, 1753483]"/>
    <s v="[0.115, 0.073, 0.007, 0.005, 0.002]"/>
    <s v="134.99377404120318"/>
    <s v="[0.115, 0.073, 0.007, -0.005, 0.002]"/>
  </r>
  <r>
    <x v="5192"/>
    <x v="5592"/>
    <x v="0"/>
    <n v="0"/>
    <s v="LINESTRING (5.317341009007436 60.38607162974327, 5.3174078204251565 60.386110908100775, 5.317429218647528 60.386148661271065)"/>
    <s v="[2003662, 2003670]"/>
    <s v="[1755212, 1753470]"/>
    <s v="0.08749576425274361"/>
    <s v="[1755208, 1755212]"/>
    <s v="[0.039, 0.151]"/>
    <s v="10.120714975456922"/>
    <s v="[0.039, 0.151]"/>
  </r>
  <r>
    <x v="5193"/>
    <x v="5593"/>
    <x v="0"/>
    <n v="0"/>
    <s v="LINESTRING (5.324854618889361 60.38550143508871, 5.324815799154354 60.385570045924005, 5.324010572211944 60.385858484920156, 5.3201875281189706 60.385586731924995, 5.31995860858919 60.385500884812934, 5.319748774389394 60.38547680778178, 5.319563349452834 60.38549123782239, 5.319559110666124 60.38549172267765, 5.319476500672453 60.38550114454926)"/>
    <s v="[2016806, 2035478, 2035486, 2035494, 2035502, 2035510, 2016814, 2016822]"/>
    <s v="[1762751, 1775874, 1775879, 1775885, 1775891, 1762759, 1762760, 1753486]"/>
    <s v="#FIELD!"/>
    <s v="[1762030, 1762751, 1775874, 1775879, 1775885, 1775891, 1762759, 1762760]"/>
    <s v="[0.026, 0.031, 0.028, 0.055, 0.062, 0.359, 0.0, 0.005]"/>
    <s v="365.8480568379622"/>
    <s v="[0.026, 0.031, -0.028, -0.055, -0.062, -0.359, 0.0, -0.005]"/>
  </r>
  <r>
    <x v="5194"/>
    <x v="5583"/>
    <x v="0"/>
    <n v="0"/>
    <s v="LINESTRING (5.282063103093113 60.51640846851422, 5.2820310733186036 60.5162170457976, 5.282136228543272 60.51620306270019, 5.282214411676379 60.51621152244288, 5.282326054182124 60.51626043576021, 5.282349914566094 60.516302897840816, 5.282340114391242 60.51634198155085, 5.282239261954135 60.51640241742981)"/>
    <s v="[2000379, 2000383, 2000384, 2000338, 2000352, 2000360, 2000368]"/>
    <s v="[1753515, 1753519, 1753489, 1753490, 1753497, 1753501, 1753506]"/>
    <s v="0.002655830535462145"/>
    <s v="[1753512, 1753515, 1753519, 1753489, 1753490, 1753497, 1753501]"/>
    <s v="[0.068, 0.031, 0.021, 0.054, 0.072, 0.082, 0.065]"/>
    <s v="63.22555098791858"/>
    <s v="[0.068, 0.031, -0.021, -0.054, -0.072, -0.082, -0.065]"/>
  </r>
  <r>
    <x v="5194"/>
    <x v="5581"/>
    <x v="0"/>
    <n v="0"/>
    <s v="LINESTRING (5.282239261954135 60.51640241742981, 5.282308458137891 60.51645273446742, 5.282485422727822 60.51652594301823, 5.282810564169658 60.516554197310256, 5.286067752004551 60.51513770896137, 5.286176371651432 60.515111819203796, 5.2862093036782465 60.515106494857285)"/>
    <s v="[2006593, 2006601, 2006616, 2006624, 2006632, 2006640]"/>
    <s v="[1756913, 1756918, 1756926, 1756931, 1756937, 1756944]"/>
    <s v="0.05482899186583697"/>
    <s v="[1753506, 1756913, 1756918, 1756926, 1756931, 1756937]"/>
    <s v="[0.085, 0.029, 0.038, 0.066, 0.045, 0.103]"/>
    <s v="289.00014006311704"/>
    <s v="[-0.085, -0.029, 0.038, 0.066, 0.045, -0.103]"/>
  </r>
  <r>
    <x v="5195"/>
    <x v="5594"/>
    <x v="0"/>
    <n v="0"/>
    <s v="LINESTRING (5.479285202259001 59.678541882729284, 5.479402081112465 59.67858389376882, 5.480120800719612 59.6788905799738, 5.480239519870821 59.67894990385206)"/>
    <s v="[2000890, 2000898, 2000906]"/>
    <s v="[1753814, 1753822, 1753826]"/>
    <s v="#FIELD!"/>
    <s v="[1753813, 1753814, 1753822]"/>
    <s v="[0.04, 0.059, 0.078]"/>
    <s v="70.74286987445555"/>
    <s v="[-0.04, -0.059, -0.078]"/>
  </r>
  <r>
    <x v="5195"/>
    <x v="5595"/>
    <x v="0"/>
    <n v="0"/>
    <s v="LINESTRING (5.479285202259001 59.678541882729284, 5.480404526365272 59.678535221457736, 5.480522146286903 59.678512186415794)"/>
    <s v="[2000930, 2000938]"/>
    <s v="[1753842, 1753845]"/>
    <s v="0.05940780039615891"/>
    <s v="[1753813, 1753842]"/>
    <s v="[0.052, 0.127]"/>
    <s v="72.1712306099301"/>
    <s v="[0.052, 0.127]"/>
  </r>
  <r>
    <x v="5195"/>
    <x v="5596"/>
    <x v="0"/>
    <n v="0"/>
    <s v="LINESTRING (5.476946858476413 59.677636481123656, 5.477092810946343 59.677664348828905, 5.479285202259001 59.678541882729284)"/>
    <s v="[2000914, 2000922]"/>
    <s v="[1753833, 1753813]"/>
    <s v="#FIELD!"/>
    <s v="[1753832, 1753833]"/>
    <s v="[0.017, 0.019]"/>
    <s v="167.41783598524026"/>
    <s v="[0.017, -0.019]"/>
  </r>
  <r>
    <x v="5196"/>
    <x v="2474"/>
    <x v="0"/>
    <s v="[0, 1, 1, 1]"/>
    <s v="LINESTRING (5.480239519870821 59.67894990385206, 5.480580983238847 59.67913674477387, 5.481186277452579 59.67948548230947, 5.481321567538346 59.67957468874344, 5.481316023012715 59.67966071112275)"/>
    <s v="[2001086, 2001093, 2001108, 2001116]"/>
    <s v="[1753920, 1753922, 1753927, 1753932]"/>
    <s v="#FIELD!"/>
    <s v="[1753826, 1753920, 1753922, 1753927]"/>
    <s v="[0.079, 0.013, 0.002, 0.067]"/>
    <s v="102.46962187132543"/>
    <s v="[-0.079, -0.013, -0.002, -0.067]"/>
  </r>
  <r>
    <x v="5196"/>
    <x v="5561"/>
    <x v="0"/>
    <n v="0"/>
    <s v="LINESTRING (5.480543018460841 59.678620404803056, 5.4804233383965055 59.67863876828623, 5.480239519870821 59.67894990385206)"/>
    <s v="[2001073, 2001080]"/>
    <s v="[1753915, 1753826]"/>
    <s v="#FIELD!"/>
    <s v="[1753914, 1753915]"/>
    <s v="[0.1, 0.14]"/>
    <s v="49.05122309503623"/>
    <s v="[-0.1, -0.14]"/>
  </r>
  <r>
    <x v="5197"/>
    <x v="5597"/>
    <x v="0"/>
    <n v="0"/>
    <s v="LINESTRING (5.476946858476413 59.677636481123656, 5.477238388627674 59.67781153809015, 5.4774312635172855 59.67791155774618)"/>
    <s v="[2060265, 2060273]"/>
    <s v="[1791194, 1753909]"/>
    <s v="#FIELD!"/>
    <s v="[1753832, 1791194]"/>
    <s v="[0.077, 0.0]"/>
    <s v="41.190061782858436"/>
    <s v="[-0.077, 0.0]"/>
  </r>
  <r>
    <x v="5197"/>
    <x v="5598"/>
    <x v="514"/>
    <s v="[0, 0, 0, 0, 0, 0, 0, 0, 0, 0, 0, 0, 0, 0, 0, 0, 0, 0, 0, 0, 0, 0, 0, 0, 0, 0, 0, 0, 0, 0, 0, 0, 0, 0, 0, 0, 0, 1, 0, 0, 0, 0, 0, 0, 0, 0, 0, 0, 0, 0, 0, 0, 1, 0, 0, 0, 0, 0, 0, 0, 0, 0, 0, 0, 0, 0, 0, 0, 0, 0, 0, 0, 0, 0, 0, 0, 0, 0, 0, 0, 0, 0, 0, 0, 0, 0, 0, 0, 0, 0, 0, 0, 0, 0]"/>
    <s v="LINESTRING (5.415145749562309 59.5631719227496, 5.415156195124792 59.56339883863242, 5.41516454520554 59.56344196270881, 5.4163208295514265 59.56538948950435, 5.416364898392501 59.56544662705066, 5.416506351317263 59.565622583587604, 5.41653014648269 59.56566684842096, 5.4181792270128595 59.56795174662442, 5.4182890991845145 59.56843869548172, 5.418117658537763 59.56959364338996, 5.41807180515247 59.569789500244106, 5.41772945969792 59.57223884064002, 5.434787571947835 59.581402824434626, 5.435567216083567 59.58184322841925, 5.4382445950387766 59.58290214410814, 5.438474154652601 59.582961951347386, 5.441293072762901 59.58371831114142, 5.442149263267536 59.584084548282526, 5.443332814795592 59.58732685785043, 5.443504075702423 59.589037596106266, 5.443521356319139 59.58911026271734, 5.44352177646164 59.58914211187021, 5.444593426926102 59.59160168307584, 5.444662920849224 59.59175196519618, 5.44610316362023 59.59370853569028, 5.446673229777835 59.59418236261484, 5.446951671831547 59.59437871655639, 5.4499068336540075 59.595812061167805, 5.452307491945818 59.59689625116691, 5.457790269016112 59.600427793922506, 5.4594730037713655 59.60157799211253, 5.459617743473689 59.60167671145802, 5.4626855654823006 59.60432740236382, 5.463425054189871 59.605514820866055, 5.463491204173583 59.605628440748696, 5.464305519604906 59.60656736857394, 5.466949208614314 59.607631092038716, 5.469175286542179 59.60793970429534, 5.469248391019578 59.60794859604187, 5.469916696591685 59.60803043838172, 5.472101332240821 59.60831265625335, 5.47562080471066 59.609121807541094, 5.475977128362944 59.609270886813235, 5.476123437763485 59.60933707742607, 5.476562099714393 59.60955583622105, 5.476813148555344 59.60969860283252, 5.476938013735668 59.60977648358046, 5.477215464698457 59.609958137750425, 5.477724465969873 59.6103636922566, 5.478255302496228 59.61095826497317, 5.478509198128913 59.611347515643004, 5.479262523906278 59.61258853670654, 5.4796737363374035 59.6132645013471, 5.479722547181497 59.61334340349739, 5.479962855530041 59.61374229557377, 5.480296893396635 59.614287909890116, 5.48084064446738 59.615187801923796, 5.482495846707882 59.622068633333235, 5.483017840297526 59.622945287829126, 5.493309019234892 59.62702197465006, 5.494801082296524 59.628754230313916, 5.4780281551807875 59.636221578263594, 5.477687786153091 59.63639536576576, 5.477509465208019 59.636506346233965, 5.477145983628078 59.63680718975319, 5.479315017947254 59.640745664237876, 5.480076474309577 59.641575494139914, 5.4811529060994815 59.64497781443127, 5.4811161874212075 59.64506734787368, 5.480758431657868 59.64839957400512, 5.480228893485226 59.64884306832416, 5.478539292806294 59.652228416345125, 5.478638806983638 59.65357575115285, 5.477493334317578 59.655925184504525, 5.4756085361645175 59.657797960862, 5.472365656404367 59.658898778373484, 5.471485408714743 59.65932713311633, 5.470643473169117 59.660015201083155, 5.466901948103589 59.666511865347466, 5.464385283980079 59.66760299565525, 5.464073706055634 59.66770973733638, 5.4636453663985876 59.66785605195491, 5.462725432396464 59.66816778088597, 5.461145168341399 59.668704751623665, 5.458356897702774 59.67099534525113, 5.458358046574446 59.67102823335629, 5.4602817340947825 59.67290132084699, 5.46685316401573 59.67355683587399, 5.469910788895321 59.674117097706294, 5.470668018518415 59.6745051041649, 5.471891090454708 59.67522933337816, 5.474986517449793 59.67642081708167, 5.47600148967331 59.676993245895666, 5.476348819577993 59.677230819165715, 5.476946858476413 59.677636481123656)"/>
    <s v="[2059508, 2059516, 2059524, 2059532, 2059540, 2059548, 2059556, 2059567, 2059575, 2059582, 2059592, 2059600, 2059608, 2059616, 2059624, 2059632, 2059640, 2059648, 2059656, 2059664, 2059672, 2059680, 2059688, 2059696, 2059704, 2059712, 2059720, 2059728, 2059736, 2059744, 2059752, 2059760, 2059768, 2059776, 2059784, 2059792, 2059800, 2059808, 2059816, 2059824, 2059832, 2059841, 2059849, 2059857, 2059865, 2059873, 2059881, 2059889, 2059897, 2059905, 2059913, 2059921, 2059929, 2059937, 2059945, 2059953, 2059961, 2059969, 2059977, 2059985, 2059993, 2060001, 2060009, 2060017, 2060025, 2060033, 2060041, 2060049, 2060057, 2060065, 2060073, 2060081, 2060089, 2060097, 2060105, 2060113, 2060121, 2060129, 2060137, 2060145, 2060153, 2060161, 2060169, 2060177, 2060185, 2060193, 2060201, 2060209, 2060217, 2060225, 2060233, 2060241, 2060249, 2060257]"/>
    <s v="[1789953, 1662396, 1748155, 1790733, 1790738, 1622676, 1623914, 1622696, 1622713, 1790764, 1624425, 1752556, 1660696, 1790784, 1790791, 1790797, 1660658, 1630355, 1622547, 1622527, 1622517, 1789929, 1630352, 1622511, 1790836, 1789937, 1660640, 1776263, 1790853, 1660613, 1660575, 1790868, 1659473, 1774054, 1622450, 1790883, 1790887, 1790889, 1659432, 1789852, 1790902, 1658705, 1790915, 1790921, 1790925, 1752418, 1790934, 1790939, 1790943, 1632760, 1790953, 1790958, 1790962, 1790969, 1790973, 1660459, 1790986, 1790993, 1748192, 1660281, 1791007, 1791012, 1752702, 1791021, 1634115, 1634118, 1623560, 1791039, 1791043, 1632817, 1622156, 1791060, 1748118, 1747873, 1632806, 1632661, 1660170, 1634284, 377567, 1791105, 377525, 1752814, 461560, 1631318, 1791133, 1632418, 1660129, 1791151, 1791156, 1660077, 1791167, 1791173, 1791180, 1753832]"/>
    <s v="0.0013227144199555437"/>
    <s v="[1790721, 1789953, 1662396, 1748155, 1790733, 1790738, 1622676, 1623914, 1622696, 1622713, 1790764, 1624425, 1752556, 1660696, 1790784, 1790791, 1790797, 1660658, 1630355, 1622547, 1622527, 1622517, 1789929, 1630352, 1622511, 1790836, 1789937, 1660640, 1776263, 1790853, 1660613, 1660575, 1790868, 1659473, 1774054, 1622450, 1790883, 1790887, 1790889, 1659432, 1789852, 1790902, 1658705, 1790915, 1790921, 1790925, 1752418, 1790934, 1790939, 1790943, 1632760, 1790953, 1790958, 1790962, 1790969, 1790973, 1660459, 1790986, 1790993, 1748192, 1660281, 1791007, 1791012, 1752702, 1791021, 1634115, 1634118, 1623560, 1791039, 1791043, 1632817, 1622156, 1791060, 1748118, 1747873, 1632806, 1632661, 1660170, 1634284, 377567, 1791105, 377525, 1752814, 461560, 1631318, 1791133, 1632418, 1660129, 1791151, 1791156, 1660077, 1791167, 1791173, 1791180]"/>
    <s v="[0.024, 0.022, 0.028, 0.019, 0.022, 0.005, 0.039, 0.026, 0.038, 0.056, 0.019, 0.007, 0.048, 0.013, 0.065, 0.043, 0.036, 0.011, 0.045, 0.045, 0.04, 0.014, 0.037, 0.008, 0.023, 0.009, 0.005, 0.032, 0.052, 0.002, 0.048, 0.012, 0.044, 0.035, 0.001, 0.008, 0.027, 0.036, 0.033, 0.002, 0.01, 0.023, 0.041, 0.057, 0.07, 0.067, 0.051, 0.045, 0.021, 0.0, 0.003, 0.043, 0.098, 0.081, 0.106, 0.103, 0.004, 0.002, 0.014, 0.021, 0.003, 0.043, 0.048, 0.0, 0.002, 0.031, 0.004, 0.029, 0.037, 0.044, 0.019, 0.019, 0.012, 0.003, 0.009, 0.057, 0.03, 0.025, 0.03, 0.012, 0.041, 0.064, 0.039, 0.045, 0.012, 0.006, 0.007, 0.01, 0.025, 0.028, 0.027, 0.019, 0.025, 0.055]"/>
    <s v="16685.249190089588"/>
    <s v="[0.024, 0.022, -0.028, -0.019, -0.022, 0.005, -0.039, -0.026, 0.038, 0.056, 0.019, -0.007, 0.048, 0.013, -0.065, -0.043, -0.036, 0.011, 0.045, 0.045, 0.04, -0.014, -0.037, 0.008, 0.023, 0.009, -0.005, 0.032, 0.052, -0.002, 0.048, -0.012, -0.044, -0.035, 0.001, -0.008, -0.027, -0.036, -0.033, 0.002, 0.01, -0.023, -0.041, -0.057, -0.07, -0.067, -0.051, -0.045, -0.021, -0.0, 0.003, 0.043, 0.098, 0.081, 0.106, 0.103, 0.004, 0.002, -0.014, 0.021, 0.003, -0.043, -0.048, 0.0, 0.002, 0.031, -0.004, -0.029, -0.037, 0.044, 0.019, -0.019, 0.012, 0.003, -0.009, -0.057, 0.03, 0.025, 0.03, 0.012, -0.041, -0.064, -0.039, -0.045, -0.012, -0.006, 0.007, -0.01, 0.025, 0.028, 0.027, -0.019, -0.025, -0.055]"/>
  </r>
  <r>
    <x v="5198"/>
    <x v="5559"/>
    <x v="0"/>
    <n v="0"/>
    <s v="LINESTRING (5.480522146286903 59.678512186415794, 5.480896345407892 59.678485329798015, 5.48094593002748 59.678543208835215, 5.480927932966957 59.67860608647661, 5.480877263140026 59.67863944773376)"/>
    <s v="[2007752, 2007760, 2007768, 2007776]"/>
    <s v="[1757576, 1757583, 1757589, 1757592]"/>
    <s v="0.12467688861852404"/>
    <s v="[1753845, 1757576, 1757583, 1757589]"/>
    <s v="[0.297, 0.055, 0.139, 0.132]"/>
    <s v="44.06631353044511"/>
    <s v="[0.297, -0.055, -0.139, -0.132]"/>
  </r>
  <r>
    <x v="5198"/>
    <x v="5561"/>
    <x v="0"/>
    <n v="0"/>
    <m/>
    <n v="2007808"/>
    <n v="1753845"/>
    <s v="0.151"/>
    <n v="1753914"/>
    <s v="0.151"/>
    <s v="12.506346009919495"/>
    <s v="0.151"/>
  </r>
  <r>
    <x v="5199"/>
    <x v="5560"/>
    <x v="0"/>
    <n v="0"/>
    <m/>
    <n v="2000977"/>
    <n v="1753865"/>
    <s v="#FIELD!"/>
    <n v="1753847"/>
    <s v="0.077"/>
    <s v="44.49774924575354"/>
    <s v="#FIELD!"/>
  </r>
  <r>
    <x v="5199"/>
    <x v="5599"/>
    <x v="0"/>
    <n v="0"/>
    <s v="LINESTRING (5.47849267889766 59.67846306018031, 5.478365571961898 59.67841306604983, 5.478025159070264 59.678285065641305, 5.477966349822954 59.678266292767226)"/>
    <s v="[2000946, 2000947, 2000955]"/>
    <s v="[1753848, 1753849, 1753855]"/>
    <s v="0.011968320956410972"/>
    <s v="[1753847, 1753848, 1753849]"/>
    <s v="[0.025, 0.008, 0.006]"/>
    <s v="37.004756710767865"/>
    <s v="[0.025, 0.008, 0.006]"/>
  </r>
  <r>
    <x v="5199"/>
    <x v="5600"/>
    <x v="0"/>
    <s v="[1, 1, 0]"/>
    <s v="LINESTRING (5.480710489734829 59.67928456096572, 5.480608080612989 59.67928068094457, 5.480439031477122 59.67920230244406, 5.47849267889766 59.67846306018031)"/>
    <s v="[2000963, 2000967, 2000968]"/>
    <s v="[1753858, 1753860, 1753847]"/>
    <s v="0.038263067018128094"/>
    <s v="[1753857, 1753858, 1753860]"/>
    <s v="[0.036, 0.021, 0.043]"/>
    <s v="156.9893059978364"/>
    <s v="[-0.036, 0.021, 0.043]"/>
  </r>
  <r>
    <x v="5200"/>
    <x v="5597"/>
    <x v="0"/>
    <s v="[0, 1, 0, 0]"/>
    <s v="LINESTRING (5.477966349822954 59.678266292767226, 5.477552629053675 59.67804341107982, 5.477501609542896 59.6780161667953, 5.477437245134444 59.67798432859934, 5.4774312635172855 59.67791155774618)"/>
    <s v="[2001052, 2001058, 2001059, 2001065]"/>
    <s v="[1753901, 1753905, 1753906, 1753909]"/>
    <s v="0.032700728043284256"/>
    <s v="[1753855, 1753901, 1753905, 1753906]"/>
    <s v="[0.026, 0.002, 0.031, 0.078]"/>
    <s v="51.94231350888268"/>
    <s v="[0.026, 0.002, 0.031, 0.078]"/>
  </r>
  <r>
    <x v="5200"/>
    <x v="5560"/>
    <x v="0"/>
    <n v="0"/>
    <s v="LINESTRING (5.477838071986538 59.678595055266214, 5.477829300336983 59.67853202592277, 5.477966349822954 59.678266292767226)"/>
    <s v="[2001035, 2001051]"/>
    <s v="[1753893, 1753855]"/>
    <s v="0.10163058255292612"/>
    <s v="[1753865, 1753893]"/>
    <s v="[0.1, 0.102]"/>
    <s v="38.228629605605775"/>
    <s v="[0.1, 0.102]"/>
  </r>
  <r>
    <x v="5201"/>
    <x v="2474"/>
    <x v="0"/>
    <n v="1"/>
    <m/>
    <n v="2060321"/>
    <n v="1753932"/>
    <s v="#FIELD!"/>
    <n v="1753857"/>
    <s v="0.01"/>
    <s v="54.204262747625535"/>
    <s v="#FIELD!"/>
  </r>
  <r>
    <x v="5201"/>
    <x v="5597"/>
    <x v="0"/>
    <s v="[0, 1, 0, 0, 1]"/>
    <s v="LINESTRING (5.4774312635172855 59.67791155774618, 5.477562383518775 59.67797812170381, 5.477611343689143 59.678000694361785, 5.479374954349166 59.67867865260076, 5.48050513160475 59.67917187916831, 5.480710489734829 59.67928456096572)"/>
    <s v="[2060281, 2060289, 2060297, 2060305, 2060313]"/>
    <s v="[1791206, 1791213, 1791221, 1791228, 1753857]"/>
    <s v="#FIELD!"/>
    <s v="[1753909, 1791206, 1791213, 1791221, 1791228]"/>
    <s v="[0.058, 0.004, 0.023, 0.054, 0.008]"/>
    <s v="241.05230439913728"/>
    <s v="[-0.058, -0.004, -0.023, -0.054, -0.008]"/>
  </r>
  <r>
    <x v="5202"/>
    <x v="5601"/>
    <x v="0"/>
    <n v="0"/>
    <s v="LINESTRING (5.452437568966685 59.762957286277846, 5.452642001184119 59.76301846776962, 5.455355181187939 59.76393146194725, 5.455746410181864 59.76358443071896, 5.455724567203736 59.7635183600022)"/>
    <s v="[2001217, 2001236, 2001246, 2001247]"/>
    <s v="[1753987, 1753997, 1754003, 1754004]"/>
    <s v="#FIELD!"/>
    <s v="[1753986, 1753987, 1753997, 1754003]"/>
    <s v="[0.011, 0.009, 0.02, 0.023]"/>
    <s v="258.0253419131599"/>
    <s v="[-0.011, -0.009, 0.02, 0.023]"/>
  </r>
  <r>
    <x v="5202"/>
    <x v="5602"/>
    <x v="0"/>
    <n v="0"/>
    <s v="LINESTRING (5.452437568966685 59.762957286277846, 5.454652043989545 59.7638887243049, 5.4565690480034705 59.76449439232326)"/>
    <s v="[2060815, 2060823]"/>
    <s v="[1791613, 1754042]"/>
    <s v="#FIELD!"/>
    <s v="[1753986, 1791613]"/>
    <s v="[0.011, 0.005]"/>
    <s v="290.2514181062808"/>
    <s v="[-0.011, 0.005]"/>
  </r>
  <r>
    <x v="5202"/>
    <x v="5389"/>
    <x v="0"/>
    <n v="0"/>
    <m/>
    <n v="2060807"/>
    <n v="1753986"/>
    <s v="0.007"/>
    <n v="1754016"/>
    <s v="0.007"/>
    <s v="203.05364182979903"/>
    <s v="0.007"/>
  </r>
  <r>
    <x v="5203"/>
    <x v="5567"/>
    <x v="0"/>
    <n v="0"/>
    <m/>
    <n v="2007944"/>
    <n v="1757693"/>
    <s v="0.33"/>
    <n v="1754004"/>
    <s v="0.33"/>
    <s v="8.268010643636005"/>
    <s v="0.33"/>
  </r>
  <r>
    <x v="5203"/>
    <x v="5603"/>
    <x v="0"/>
    <n v="0"/>
    <m/>
    <n v="2007936"/>
    <n v="1754004"/>
    <s v="#FIELD!"/>
    <n v="1754026"/>
    <s v="0.002"/>
    <s v="13.680787967106466"/>
    <s v="#FIELD!"/>
  </r>
  <r>
    <x v="5204"/>
    <x v="5565"/>
    <x v="515"/>
    <n v="0"/>
    <m/>
    <n v="2050408"/>
    <n v="1754057"/>
    <s v="0.001"/>
    <n v="1754009"/>
    <s v="0.001"/>
    <s v="11.668384635554217"/>
    <s v="0.001"/>
  </r>
  <r>
    <x v="5204"/>
    <x v="5389"/>
    <x v="0"/>
    <n v="0"/>
    <s v="LINESTRING (5.453022001125102 59.763875394701266, 5.453064053190827 59.7638361959455, 5.450017119404384 59.76169007581861, 5.449989775018032 59.761625037872705)"/>
    <s v="[2001255, 2001256, 2001271]"/>
    <s v="[1754010, 1754011, 1754016]"/>
    <s v="0.0023494912629413046"/>
    <s v="[1754009, 1754010, 1754011]"/>
    <s v="[0.023, 0.002, 0.003]"/>
    <s v="320.5501078751707"/>
    <s v="[0.023, 0.002, 0.003]"/>
  </r>
  <r>
    <x v="5204"/>
    <x v="5564"/>
    <x v="0"/>
    <n v="0"/>
    <s v="LINESTRING (5.453174975599459 59.764140871881146, 5.452863505655902 59.76414806222471, 5.452776612210763 59.76410764044148, 5.452726824118548 59.76405440396886, 5.4527537502895065 59.76395284512983, 5.452800216278681 59.763920353721794, 5.452865716442833 59.763894592325514, 5.453022001125102 59.763875394701266)"/>
    <s v="[2050440, 2050360, 2050368, 2050376, 2050384, 2050392, 2050400]"/>
    <s v="[1755881, 1784893, 1767210, 1784900, 1784905, 1784911, 1754009]"/>
    <s v="#FIELD!"/>
    <s v="[1765725, 1755881, 1784893, 1767210, 1784900, 1784905, 1784911]"/>
    <s v="[0.009, 0.012, 0.014, 0.01, 0.003, 0.001, 0.554]"/>
    <s v="61.259497641753484"/>
    <s v="[0.009, -0.012, -0.014, -0.01, -0.003, -0.001, -0.554]"/>
  </r>
  <r>
    <x v="5205"/>
    <x v="5604"/>
    <x v="0"/>
    <n v="0"/>
    <s v="LINESTRING (5.455960481211968 59.76351394556491, 5.45593501277189 59.76357736331172, 5.459224800923737 59.765207399038054, 5.459311424908854 59.765252091224646)"/>
    <s v="[2001295, 2001296, 2001311]"/>
    <s v="[1754027, 1754028, 1754035]"/>
    <s v="0.011920419226658102"/>
    <s v="[1754026, 1754027, 1754028]"/>
    <s v="[0.028, 0.013, 0.009]"/>
    <s v="300.5037048864536"/>
    <s v="[-0.028, 0.013, 0.009]"/>
  </r>
  <r>
    <x v="5205"/>
    <x v="4666"/>
    <x v="0"/>
    <n v="0"/>
    <s v="LINESTRING (5.4559285044615535 59.76327017856794, 5.456058633890353 59.76332311573556, 5.456094880832003 59.76342071364292, 5.456039831050091 59.76348178303213, 5.455960481211968 59.76351394556491)"/>
    <s v="[2007904, 2007912, 2007920, 2007928]"/>
    <s v="[1756396, 1757674, 1753350, 1754026]"/>
    <s v="#FIELD!"/>
    <s v="[1757665, 1756396, 1757674, 1753350]"/>
    <s v="[0.008, 0.013, 0.012, 0.473]"/>
    <s v="34.00521142310304"/>
    <s v="[0.008, 0.013, 0.012, -0.473]"/>
  </r>
  <r>
    <x v="5206"/>
    <x v="5605"/>
    <x v="0"/>
    <n v="0"/>
    <s v="LINESTRING (5.459311424908854 59.765252091224646, 5.465545502289684 59.76615263254482, 5.467171953445149 59.76652082154429, 5.468700057701875 59.7668650015856, 5.474514228822105 59.7706966731084)"/>
    <s v="[2060863, 2060871, 2060879, 2060887]"/>
    <s v="[1791641, 1791648, 1791654, 1761221]"/>
    <s v="0.002690990383094722"/>
    <s v="[1754035, 1791641, 1791648, 1791654]"/>
    <s v="[0.002, 0.008, 0.079, 0.005]"/>
    <s v="1135.1247820889919"/>
    <s v="[-0.002, -0.008, 0.079, -0.005]"/>
  </r>
  <r>
    <x v="5206"/>
    <x v="5602"/>
    <x v="0"/>
    <n v="0"/>
    <s v="LINESTRING (5.4565690480034705 59.76449439232326, 5.45810015679215 59.76495658260016, 5.458115454794315 59.764961103075805, 5.459102861607809 59.76521557497594, 5.459311424908854 59.765252091224646)"/>
    <s v="[2060831, 2060839, 2060847, 2060855]"/>
    <s v="[1791623, 1791628, 1637477, 1754035]"/>
    <s v="0.02259062089116393"/>
    <s v="[1754042, 1791623, 1791628, 1637477]"/>
    <s v="[0.015, 0.029, 0.024, 0.081]"/>
    <s v="176.58761214198012"/>
    <s v="[0.015, -0.029, 0.024, 0.081]"/>
  </r>
  <r>
    <x v="5207"/>
    <x v="5565"/>
    <x v="516"/>
    <n v="0"/>
    <s v="LINESTRING (5.4565690480034705 59.76449439232326, 5.456430644345625 59.76447701803381, 5.453243647620232 59.7638710514881, 5.453211864572076 59.763916979811434)"/>
    <s v="[2001324, 2001340, 2001348]"/>
    <s v="[1754043, 1754051, 1754057]"/>
    <s v="#FIELD!"/>
    <s v="[1754042, 1754043, 1754051]"/>
    <s v="[0.018, 0.004, 0.024]"/>
    <s v="223.19091234270186"/>
    <s v="[-0.018, -0.004, -0.024]"/>
  </r>
  <r>
    <x v="5208"/>
    <x v="5570"/>
    <x v="0"/>
    <n v="0"/>
    <s v="LINESTRING (5.451464030855065 60.17935549881249, 5.451554497352139 60.17939372635621, 5.451984520566791 60.18104834076267, 5.452692095259251 60.18117472137347, 5.452786505135072 60.18114993236572)"/>
    <s v="[2001349, 2001372, 2001373, 2001380]"/>
    <s v="[1754059, 1754067, 1754068, 1754071]"/>
    <s v="#FIELD!"/>
    <s v="[1754058, 1754059, 1754067, 1754068]"/>
    <s v="[0.123, 0.017, 0.012, 0.035]"/>
    <s v="245.6531711468154"/>
    <s v="[-0.123, -0.017, 0.012, 0.035]"/>
  </r>
  <r>
    <x v="5208"/>
    <x v="5606"/>
    <x v="0"/>
    <n v="0"/>
    <s v="LINESTRING (5.451464030855065 60.17935549881249, 5.451590893939114 60.18118420479678, 5.4512787747713025 60.18197645890679, 5.4507189316981695 60.18293306950926)"/>
    <s v="[2061936, 2061944, 2061952]"/>
    <s v="[1792401, 1792406, 1754075]"/>
    <s v="#FIELD!"/>
    <s v="[1754058, 1792401, 1792406]"/>
    <s v="[0.009, 0.021, 0.04]"/>
    <s v="406.90213229603427"/>
    <s v="[0.009, 0.021, -0.04]"/>
  </r>
  <r>
    <x v="5208"/>
    <x v="4519"/>
    <x v="0"/>
    <n v="0"/>
    <m/>
    <n v="2061928"/>
    <n v="1754058"/>
    <s v="0.032"/>
    <n v="1754129"/>
    <s v="0.032"/>
    <s v="99.08834442069312"/>
    <s v="0.032"/>
  </r>
  <r>
    <x v="5209"/>
    <x v="5607"/>
    <x v="0"/>
    <n v="0"/>
    <m/>
    <n v="2008048"/>
    <n v="1754071"/>
    <s v="0.024"/>
    <n v="1754133"/>
    <s v="0.024"/>
    <s v="12.132360529997857"/>
    <s v="0.024"/>
  </r>
  <r>
    <x v="5210"/>
    <x v="4454"/>
    <x v="0"/>
    <n v="0"/>
    <m/>
    <n v="2061960"/>
    <n v="1754147"/>
    <s v="#FIELD!"/>
    <n v="1754075"/>
    <s v="0.095"/>
    <s v="7.990619500757605"/>
    <s v="#FIELD!"/>
  </r>
  <r>
    <x v="5210"/>
    <x v="5571"/>
    <x v="0"/>
    <n v="0"/>
    <s v="LINESTRING (5.4507189316981695 60.18293306950926, 5.450668722179443 60.182875160392705, 5.451020495826734 60.18112886793237, 5.450779167095848 60.180887360753275, 5.450786663259478 60.180824603512654)"/>
    <s v="[2001388, 2001404, 2001412, 2001424]"/>
    <s v="[1754076, 1754080, 1754088, 1754098]"/>
    <s v="0.06681860368822122"/>
    <s v="[1754075, 1754076, 1754080, 1754088]"/>
    <s v="[0.142, 0.055, 0.146, 0.007]"/>
    <s v="248.83600859564206"/>
    <s v="[0.142, 0.055, 0.146, -0.007]"/>
  </r>
  <r>
    <x v="5211"/>
    <x v="4519"/>
    <x v="0"/>
    <n v="0"/>
    <s v="LINESTRING (5.450786663259478 60.180824603512654, 5.451445716198333 60.18101121815954, 5.450954398786917 60.178560632528416, 5.450990075264505 60.17850082840596)"/>
    <s v="[2001462, 2001470, 2001478]"/>
    <s v="[1754120, 1754124, 1754129]"/>
    <s v="#FIELD!"/>
    <s v="[1754098, 1754120, 1754124]"/>
    <s v="[0.199, 0.025, 0.136]"/>
    <s v="342.5747619306047"/>
    <s v="[-0.199, -0.025, -0.136]"/>
  </r>
  <r>
    <x v="5212"/>
    <x v="4454"/>
    <x v="0"/>
    <n v="0"/>
    <s v="LINESTRING (5.452827301046133 60.18125237210878, 5.452721156517835 60.18124284860885, 5.451451963812443 60.18179491883131, 5.4507804815191525 60.18296467345808, 5.450677098649641 60.183001469510295)"/>
    <s v="[2001486, 2001494, 2001502, 2001510]"/>
    <s v="[1754134, 1754139, 1754143, 1754147]"/>
    <s v="0.008244965732325403"/>
    <s v="[1754133, 1754134, 1754139, 1754143]"/>
    <s v="[0.02, 0.056, 0.028, 0.003]"/>
    <s v="257.4436463513497"/>
    <s v="[-0.02, 0.056, -0.028, -0.003]"/>
  </r>
  <r>
    <x v="5212"/>
    <x v="5569"/>
    <x v="0"/>
    <n v="0"/>
    <s v="LINESTRING (5.453018007501422 60.18110302231997, 5.453078393247184 60.18111808210984, 5.4531259590610075 60.181152484835955, 5.453141415853732 60.181196526980045, 5.453071963086161 60.181253876813905, 5.453000701648626 60.18127401828418, 5.452899333203381 60.181272980894235, 5.452827301046133 60.18125237210878)"/>
    <s v="[2007992, 2008000, 2008008, 2008016, 2008024, 2008032, 2008040]"/>
    <s v="[1757724, 1757729, 1756484, 1753003, 1757742, 1757747, 1754133]"/>
    <s v="#FIELD!"/>
    <s v="[1757718, 1757724, 1757729, 1756484, 1753003, 1757742, 1757747]"/>
    <s v="[0.015, 0.02, 0.032, 0.021, 0.014, 0.001, 0.056]"/>
    <s v="35.736281612782506"/>
    <s v="[-0.015, -0.02, -0.032, -0.021, -0.014, 0.001, 0.056]"/>
  </r>
  <r>
    <x v="5213"/>
    <x v="5535"/>
    <x v="0"/>
    <n v="0"/>
    <s v="LINESTRING (5.337100347019847 60.325777582806296, 5.337721789690089 60.32523523993602, 5.337623165080388 60.325204487888875)"/>
    <s v="[2001526, 2001534]"/>
    <s v="[1754155, 1754161]"/>
    <s v="0.03437396546098706"/>
    <s v="[1754151, 1754155]"/>
    <s v="[0.037, 0.019]"/>
    <s v="137.6872240517387"/>
    <s v="[0.037, -0.019]"/>
  </r>
  <r>
    <x v="5214"/>
    <x v="5543"/>
    <x v="0"/>
    <n v="0"/>
    <m/>
    <n v="2066051"/>
    <n v="1754182"/>
    <s v="#FIELD!"/>
    <n v="1754161"/>
    <s v="0.074"/>
    <s v="8.900792099642505"/>
    <s v="#FIELD!"/>
  </r>
  <r>
    <x v="5215"/>
    <x v="5117"/>
    <x v="0"/>
    <s v="[0, 0, 1, 0, 0]"/>
    <s v="LINESTRING (5.337462572631223 60.32520537025572, 5.337369576101001 60.32524196456197, 5.337140700717422 60.325367182215, 5.336472868738137 60.32586993917579, 5.336235037929538 60.326048986399314, 5.336734400683197 60.32666790984147)"/>
    <s v="[2001590, 2001598, 2001606, 2001614, 2001622]"/>
    <s v="[1754183, 1754189, 1754190, 1754193, 1754195]"/>
    <s v="#FIELD!"/>
    <s v="[1754182, 1754183, 1754189, 1754190, 1754193]"/>
    <s v="[0.076, 0.078, 0.035, 0.055, 0.03]"/>
    <s v="248.22289432493102"/>
    <s v="[-0.076, -0.078, -0.035, 0.055, -0.03]"/>
  </r>
  <r>
    <x v="5216"/>
    <x v="5608"/>
    <x v="0"/>
    <n v="0"/>
    <s v="LINESTRING (5.337352642740817 60.34684318400374, 5.337412194682787 60.346888253890214, 5.3374473730401775 60.34697766678089, 5.337403304057657 60.34705312816797, 5.337225340351137 60.347135052775265)"/>
    <s v="[2007336, 2007344, 2007352, 2007360]"/>
    <s v="[1757329, 1757334, 1757338, 1754266]"/>
    <s v="0.04265736398601861"/>
    <s v="[1754230, 1757329, 1757334, 1757338]"/>
    <s v="[0.766, 0.093, 0.016, 0.276]"/>
    <s v="38.640748177895816"/>
    <s v="[0.766, 0.093, -0.016, -0.276]"/>
  </r>
  <r>
    <x v="5216"/>
    <x v="5576"/>
    <x v="0"/>
    <n v="0"/>
    <m/>
    <n v="2007408"/>
    <n v="1754230"/>
    <s v="0.001"/>
    <n v="1754253"/>
    <s v="0.001"/>
    <s v="23.4001630953531"/>
    <s v="0.001"/>
  </r>
  <r>
    <x v="5217"/>
    <x v="5578"/>
    <x v="0"/>
    <n v="0"/>
    <m/>
    <n v="2001798"/>
    <n v="1754247"/>
    <s v="0.056"/>
    <n v="1754232"/>
    <s v="0.056"/>
    <s v="60.55771855496954"/>
    <s v="0.056"/>
  </r>
  <r>
    <x v="5217"/>
    <x v="5578"/>
    <x v="0"/>
    <n v="0"/>
    <s v="LINESTRING (5.337155506741826 60.347197770692084, 5.337152902806623 60.347260895810784, 5.337275057064296 60.34755477524227, 5.337270849982599 60.34768562143702, 5.337265636650003 60.347721419768014)"/>
    <s v="[2001726, 2001734, 2001742, 2001750]"/>
    <s v="[1754233, 1754239, 1754244, 1754247]"/>
    <s v="0.05692566128110596"/>
    <s v="[1754232, 1754233, 1754239, 1754244]"/>
    <s v="[0.034, 0.066, 0.051, 0.043]"/>
    <s v="59.22640680016553"/>
    <s v="[0.034, 0.066, 0.051, 0.043]"/>
  </r>
  <r>
    <x v="5217"/>
    <x v="5608"/>
    <x v="0"/>
    <n v="0"/>
    <m/>
    <n v="2001790"/>
    <n v="1754232"/>
    <s v="0.011"/>
    <n v="1754266"/>
    <s v="0.011"/>
    <s v="8.00562302384992"/>
    <s v="0.011"/>
  </r>
  <r>
    <x v="5218"/>
    <x v="5609"/>
    <x v="0"/>
    <n v="0"/>
    <s v="LINESTRING (5.33685223959623 60.347113120920206, 5.336743861770763 60.347048189037714, 5.336710020211065 60.34693535648479, 5.3368541890791015 60.34681929634471, 5.336961125247968 60.346791861882785)"/>
    <s v="[2007376, 2007384, 2007392, 2007400]"/>
    <s v="[1757352, 1757357, 1757363, 1754253]"/>
    <s v="#FIELD!"/>
    <s v="[1754284, 1757352, 1757357, 1757363]"/>
    <s v="[0.259, 0.056, 0.066, 0.229]"/>
    <s v="44.32475698282461"/>
    <s v="[-0.259, -0.056, 0.066, 0.229]"/>
  </r>
  <r>
    <x v="5219"/>
    <x v="5609"/>
    <x v="0"/>
    <n v="0"/>
    <m/>
    <n v="2007368"/>
    <n v="1754284"/>
    <s v="#FIELD!"/>
    <n v="1754266"/>
    <s v="0.05"/>
    <s v="21.559132757072504"/>
    <s v="#FIELD!"/>
  </r>
  <r>
    <x v="5220"/>
    <x v="5609"/>
    <x v="0"/>
    <n v="0"/>
    <s v="LINESTRING (5.336688050022185 60.347693538649416, 5.336718406468222 60.34767134276875, 5.336893495488104 60.34718217583884, 5.33685223959623 60.347113120920206)"/>
    <s v="[2001830, 2001838, 2001846]"/>
    <s v="[1754280, 1754283, 1754284]"/>
    <s v="0.005941632227691603"/>
    <s v="[1754274, 1754280, 1754283]"/>
    <s v="[0.08, 0.007, 0.029]"/>
    <s v="67.08239990947625"/>
    <s v="[0.08, 0.007, -0.029]"/>
  </r>
  <r>
    <x v="5221"/>
    <x v="5610"/>
    <x v="517"/>
    <n v="0"/>
    <s v="LINESTRING (5.335499774345261 60.383404663069776, 5.334470384953042 60.383498366816234, 5.334289456235011 60.3834923421364, 5.333966921388328 60.38348274006865, 5.333959382917757 60.38348246792698, 5.333949005352476 60.383482096231546, 5.333931089317562 60.38348145239207)"/>
    <s v="[2001894, 2006935, 2015598, 2015606, 2015614, 2015622]"/>
    <s v="[1754300, 1757083, 1762006, 1762010, 1762013, 1762019]"/>
    <s v="0.0018356590627395977"/>
    <s v="[1754298, 1754300, 1757083, 1762006, 1762010, 1762013]"/>
    <s v="[0.004, 0.122, 0.048, 0.019, 0.014, 0.015]"/>
    <s v="88.48414866494014"/>
    <s v="[-0.004, 0.122, -0.048, 0.019, 0.014, 0.015]"/>
  </r>
  <r>
    <x v="5221"/>
    <x v="5611"/>
    <x v="0"/>
    <s v="[0, 0, 1, 0, 0]"/>
    <s v="LINESTRING (5.335417601552036 60.38212144974033, 5.335530202655697 60.382233722457144, 5.335818875185543 60.382899804835134, 5.336114484622368 60.38343885633124, 5.335656666847908 60.38335999880947, 5.335499774345261 60.383404663069776)"/>
    <s v="[2006927, 2001862, 2001870, 2001878, 2001886]"/>
    <s v="[1754291, 1754292, 1754294, 1754297, 1754298]"/>
    <s v="#FIELD!"/>
    <s v="[1757079, 1754291, 1754292, 1754294, 1754297]"/>
    <s v="[0.111, 0.017, 0.014, 0.005, 0.037]"/>
    <s v="378.5227692670723"/>
    <s v="[0.111, -0.017, 0.014, -0.005, -0.037]"/>
  </r>
  <r>
    <x v="5222"/>
    <x v="5477"/>
    <x v="0"/>
    <s v="[1, 1, 1, 0, 0]"/>
    <s v="LINESTRING (5.335881729080786 60.383344010516964, 5.335891549107488 60.3834333736861, 5.335987385353743 60.38378502104871, 5.336131405171847 60.38420713402921, 5.335394749718565 60.38507486349726, 5.335294038765666 60.38519773494052)"/>
    <s v="[2001902, 2001910, 2001918, 2001926, 2006943]"/>
    <s v="[1754302, 1754304, 1754309, 1754312, 1757087]"/>
    <s v="#FIELD!"/>
    <s v="[1754301, 1754302, 1754304, 1754309, 1754312]"/>
    <s v="[0.009, 0.001, 0.017, 0.017, 0.082]"/>
    <s v="222.42848369493058"/>
    <s v="[0.009, 0.001, -0.017, -0.017, 0.082]"/>
  </r>
  <r>
    <x v="5222"/>
    <x v="5493"/>
    <x v="518"/>
    <n v="1"/>
    <s v="LINESTRING (5.335881729080786 60.383344010516964, 5.336148532826997 60.38378326205589, 5.336307967758031 60.38460720915772)"/>
    <s v="[2062903, 2062904]"/>
    <s v="[1793038, 1754328]"/>
    <s v="#FIELD!"/>
    <s v="[1754301, 1793038]"/>
    <s v="[0.012, 0.026]"/>
    <s v="144.5405622598461"/>
    <s v="[0.012, -0.026]"/>
  </r>
  <r>
    <x v="5222"/>
    <x v="5611"/>
    <x v="0"/>
    <s v="[0, 0, 0, 1]"/>
    <s v="LINESTRING (5.335417601552036 60.38212144974033, 5.335609231826901 60.38258594768245, 5.335639692769555 60.38267410999659, 5.335745054559298 60.38299389285121, 5.335881729080786 60.383344010516964)"/>
    <s v="[2014957, 2014965, 2062879, 2062885]"/>
    <s v="[1761674, 1761678, 1793018, 1754301]"/>
    <s v="0.003915271786484302"/>
    <s v="[1757079, 1761674, 1761678, 1793018]"/>
    <s v="[0.015, 0.016, 0.008, 0.005]"/>
    <s v="139.0441691486268"/>
    <s v="[0.015, -0.016, -0.008, 0.005]"/>
  </r>
  <r>
    <x v="5223"/>
    <x v="5493"/>
    <x v="519"/>
    <s v="[0, 1, 1]"/>
    <s v="LINESTRING (5.336912960577659 60.38287686257542, 5.337257232614691 60.384084301472605, 5.336351164434833 60.384590474908116, 5.336307967758031 60.38460720915772)"/>
    <s v="[2001950, 2001958, 2001966]"/>
    <s v="[1754323, 1754326, 1754328]"/>
    <s v="#FIELD!"/>
    <s v="[1754321, 1754323, 1754326]"/>
    <s v="[0.005, 0.013, 0.031]"/>
    <s v="255.949445089247"/>
    <s v="[0.005, -0.013, -0.031]"/>
  </r>
  <r>
    <x v="5223"/>
    <x v="5612"/>
    <x v="520"/>
    <n v="0"/>
    <s v="LINESTRING (5.334484005660095 60.38336730404641, 5.334484005660095 60.38336730404641, 5.336912960577659 60.38287686257542)"/>
    <s v="[2006959, 2001942]"/>
    <s v="[1754320, 1754321]"/>
    <s v="#FIELD!"/>
    <s v="[1757094, 1754320]"/>
    <s v="[0.135, 0.004]"/>
    <s v="160.3187668783694"/>
    <s v="[-0.135, -0.004]"/>
  </r>
  <r>
    <x v="5224"/>
    <x v="5474"/>
    <x v="0"/>
    <n v="0"/>
    <s v="LINESTRING (5.321954793843219 60.41385975926691, 5.321954793843219 60.41385975926691, 5.32147058121062 60.414271266181714, 5.321461620539949 60.414279066529716, 5.322939172585152 60.414577802707704, 5.323081007354437 60.41458729942779)"/>
    <s v="[2002062, 2002070, 2002078, 2002086, 2002094]"/>
    <s v="[1754375, 1754381, 1754385, 1754388, 1754392]"/>
    <s v="0.1297857859086144"/>
    <s v="[1752222, 1754375, 1754381, 1754385, 1754388]"/>
    <s v="[0.0, 0.079, 0.086, 0.144, 0.285]"/>
    <s v="229.6371850697855"/>
    <s v="[0.0, 0.079, 0.086, 0.144, 0.285]"/>
  </r>
  <r>
    <x v="5225"/>
    <x v="5613"/>
    <x v="0"/>
    <n v="0"/>
    <s v="LINESTRING (5.319847411183952 60.41541569589231, 5.322025637410695 60.41473328988529, 5.32203766016261 60.41473125898538, 5.322042648647937 60.41473042179013, 5.323081007354437 60.41458729942779)"/>
    <s v="[2063058, 2063061, 2063068, 2063083]"/>
    <s v="[1793152, 1793155, 1793159, 1754392]"/>
    <s v="0.04449754804431468"/>
    <s v="[1754437, 1793152, 1793155, 1793159]"/>
    <s v="[0.011, 0.205, 0.0, 0.176]"/>
    <s v="203.5353384599594"/>
    <s v="[-0.011, 0.205, 0.0, 0.176]"/>
  </r>
  <r>
    <x v="5226"/>
    <x v="5492"/>
    <x v="521"/>
    <n v="0"/>
    <s v="LINESTRING (5.321847253179652 60.41412858374927, 5.321847253179652 60.41412858374927, 5.3217325475682165 60.41432614666556, 5.321729314937217 60.41433168062273, 5.321727697860586 60.41433475509368, 5.321586017762116 60.41458426000361, 5.321527879449372 60.41467827562744, 5.3150818138287175 60.41777548336599, 5.315077825913904 60.41777603193687, 5.31501266147294 60.41778494459206, 5.313052647500486 60.41818617481001, 5.312788676543373 60.41826720466414)"/>
    <s v="[2002102, 2002110, 2002118, 2002126, 2002134, 2002142, 2002150, 2002158, 2002166, 2002174, 2002182]"/>
    <s v="[1754395, 1754398, 1754404, 1754405, 1754408, 1754413, 1754417, 1754422, 1621744, 1754430, 1621743]"/>
    <s v="0.015738711055686774"/>
    <s v="[1752226, 1754395, 1754398, 1754404, 1754405, 1754408, 1754413, 1754417, 1754422, 1621744, 1754430]"/>
    <s v="[0.0, 0.119, 0.0, 0.0, 0.096, 0.075, 0.022, 0.0, 0.292, 0.034, 0.068]"/>
    <s v="749.3624983417899"/>
    <s v="[0.0, 0.119, 0.0, 0.0, 0.096, 0.075, 0.022, 0.0, -0.292, -0.034, -0.068]"/>
  </r>
  <r>
    <x v="5227"/>
    <x v="5614"/>
    <x v="0"/>
    <n v="0"/>
    <s v="LINESTRING (5.312788676543373 60.41826720466414, 5.312637355340055 60.418345920067416, 5.311447726738285 60.41910137317555)"/>
    <s v="[2014973, 2014981]"/>
    <s v="[1761681, 1757107]"/>
    <s v="#FIELD!"/>
    <s v="[1621743, 1761681]"/>
    <s v="[0.034, 0.03]"/>
    <s v="119.19708763767491"/>
    <s v="[-0.034, -0.03]"/>
  </r>
  <r>
    <x v="5228"/>
    <x v="5615"/>
    <x v="522"/>
    <n v="0"/>
    <s v="LINESTRING (5.319847411183952 60.41541569589231, 5.319929718946731 60.415355646823755, 5.320467403571926 60.41501126727996, 5.321163669386831 60.414424066695325, 5.321304684752807 60.41429760508357, 5.321313827776772 60.414289745754864, 5.322128699968973 60.413590293476325, 5.322167334307819 60.413559658543015)"/>
    <s v="[2002190, 2002198, 2002206, 2002214, 2002222, 2002230, 2002238]"/>
    <s v="[1754438, 1754442, 1754446, 1754450, 1754455, 1754460, 1752219]"/>
    <s v="#FIELD!"/>
    <s v="[1754437, 1754438, 1754442, 1754446, 1754450, 1754455, 1754460]"/>
    <s v="[0.406, 0.207, 0.041, 0.051, 0.082, 0.059, 0.022]"/>
    <s v="244.26856131621466"/>
    <s v="[-0.406, -0.207, -0.041, -0.051, -0.082, -0.059, -0.022]"/>
  </r>
  <r>
    <x v="5228"/>
    <x v="5616"/>
    <x v="0"/>
    <n v="0"/>
    <s v="LINESTRING (5.313386889233383 60.41776747200806, 5.314037322100335 60.417350267703775, 5.319847411183952 60.41541569589231)"/>
    <s v="[2063042, 2063050]"/>
    <s v="[1793142, 1754437]"/>
    <s v="0.015283290226077526"/>
    <s v="[1754488, 1793142]"/>
    <s v="[0.135, 0.038]"/>
    <s v="448.3622008630614"/>
    <s v="[-0.135, 0.038]"/>
  </r>
  <r>
    <x v="5229"/>
    <x v="5617"/>
    <x v="0"/>
    <n v="0"/>
    <s v="LINESTRING (5.3116946587018985 60.41941891400709, 5.311405944276475 60.419399527225664, 5.311133253221045 60.419412071567834, 5.310938208004138 60.419477353737065)"/>
    <s v="[2002302, 2002310, 2006991]"/>
    <s v="[1754494, 1754500, 1757112]"/>
    <s v="#FIELD!"/>
    <s v="[1754462, 1754494, 1754500]"/>
    <s v="[0.002, 0.06, 0.439]"/>
    <s v="44.25132678439828"/>
    <s v="[-0.002, 0.06, -0.439]"/>
  </r>
  <r>
    <x v="5229"/>
    <x v="5614"/>
    <x v="0"/>
    <n v="0"/>
    <s v="LINESTRING (5.311447726738285 60.41910137317555, 5.311423212357159 60.41925063648164, 5.3116946587018985 60.41941891400709)"/>
    <s v="[2006983, 2002246]"/>
    <s v="[1754461, 1754462]"/>
    <s v="0.19766072911124982"/>
    <s v="[1757107, 1754461]"/>
    <s v="[0.3, 0.132]"/>
    <s v="42.823017617586636"/>
    <s v="[0.3, 0.132]"/>
  </r>
  <r>
    <x v="5230"/>
    <x v="5416"/>
    <x v="0"/>
    <n v="0"/>
    <s v="LINESTRING (5.311182070229324 60.418774315809365, 5.311502740389306 60.41858478735279, 5.311677485194636 60.41851629565238, 5.313147176776178 60.417785443681986, 5.31324322296572 60.41776531169802, 5.313386889233383 60.41776747200806)"/>
    <s v="[2005923, 2002270, 2002278, 2002286, 2002294]"/>
    <s v="[1754472, 1754473, 1754479, 1754483, 1754488]"/>
    <s v="0.0032850041572542277"/>
    <s v="[1754529, 1754472, 1754473, 1754479, 1754483]"/>
    <s v="[0.047, 0.011, 0.014, 0.021, 0.046]"/>
    <s v="172.24875407178718"/>
    <s v="[-0.047, -0.011, 0.014, 0.021, 0.046]"/>
  </r>
  <r>
    <x v="5230"/>
    <x v="5618"/>
    <x v="0"/>
    <n v="0"/>
    <s v="LINESTRING (5.312614820475154 60.41820650022353, 5.312614820475154 60.41820650022353, 5.312895741608555 60.41805073135895, 5.313386889233383 60.41776747200806)"/>
    <s v="[2015213, 2063026, 2063034]"/>
    <s v="[1761800, 1793132, 1754488]"/>
    <s v="#FIELD!"/>
    <s v="[1761799, 1761800, 1793132]"/>
    <s v="[0.0, 0.028, 0.045]"/>
    <s v="74.9831236229993"/>
    <s v="[0.0, 0.028, -0.045]"/>
  </r>
  <r>
    <x v="5231"/>
    <x v="5619"/>
    <x v="0"/>
    <n v="0"/>
    <s v="LINESTRING (5.309459489674279 60.4203556667001, 5.309511875309723 60.42027810184412, 5.310554589046607 60.419360051690994, 5.310857820520411 60.41902198895177, 5.310865302984991 60.419013763991266, 5.311086906536659 60.418817080311754, 5.311182070229324 60.418774315809365)"/>
    <s v="[2006999, 2002318, 2002326, 2002334, 2002342, 2002350]"/>
    <s v="[1754506, 1754507, 1754511, 1754518, 1754524, 1754529]"/>
    <s v="#FIELD!"/>
    <s v="[1757117, 1754506, 1754507, 1754511, 1754518, 1754524]"/>
    <s v="[0.536, 0.048, 0.143, 0.126, 0.087, 0.066]"/>
    <s v="202.15434730086895"/>
    <s v="[0.536, -0.048, -0.143, -0.126, -0.087, -0.066]"/>
  </r>
  <r>
    <x v="5232"/>
    <x v="5620"/>
    <x v="0"/>
    <n v="0"/>
    <s v="LINESTRING (5.304444665974493 60.42533611314789, 5.304899896271081 60.42516692791711, 5.304356611974652 60.425629060848934)"/>
    <s v="[2002374, 2002422]"/>
    <s v="[1753224, 1754548]"/>
    <s v="0.004269949814161371"/>
    <s v="[1754535, 1753224]"/>
    <s v="[0.006, 0.003]"/>
    <s v="118.91904156059718"/>
    <s v="[0.006, 0.003]"/>
  </r>
  <r>
    <x v="5232"/>
    <x v="5620"/>
    <x v="0"/>
    <n v="0"/>
    <s v="LINESTRING (5.304444665974493 60.42533611314789, 5.304429537932302 60.425399227056474, 5.304375284071995 60.425585203477034, 5.304356611974652 60.425629060848934)"/>
    <s v="[2002382, 2002390, 2002398]"/>
    <s v="[1754541, 1754544, 1754548]"/>
    <s v="0.015634211437199872"/>
    <s v="[1754535, 1754541, 1754544]"/>
    <s v="[0.015, 0.016, 0.015]"/>
    <s v="33.11228972624018"/>
    <s v="[0.015, 0.016, 0.015]"/>
  </r>
  <r>
    <x v="5232"/>
    <x v="5621"/>
    <x v="0"/>
    <n v="0"/>
    <s v="LINESTRING (5.305369914643184 60.423224948213836, 5.305366113459634 60.42330517650254, 5.304427685127839 60.42515281887858, 5.304444665974493 60.42533611314789)"/>
    <s v="[2007007, 2002358, 2002366]"/>
    <s v="[1754530, 1754531, 1754535]"/>
    <s v="0.029624255954650305"/>
    <s v="[1757122, 1754530, 1754531]"/>
    <s v="[0.788, 0.001, 0.018]"/>
    <s v="243.89744996754155"/>
    <s v="[0.788, -0.001, 0.018]"/>
  </r>
  <r>
    <x v="5233"/>
    <x v="5622"/>
    <x v="0"/>
    <n v="0"/>
    <s v="LINESTRING (5.304356611974652 60.425629060848934, 5.304242974724487 60.4266700269698, 5.304246934877873 60.426742684380535)"/>
    <s v="[2002430, 2007039]"/>
    <s v="[1754566, 1757138]"/>
    <s v="0.12506643782095428"/>
    <s v="[1754548, 1754566]"/>
    <s v="[0.067, 0.986]"/>
    <s v="128.56511391503497"/>
    <s v="[0.067, 0.986]"/>
  </r>
  <r>
    <x v="5234"/>
    <x v="5623"/>
    <x v="0"/>
    <n v="0"/>
    <s v="LINESTRING (5.3040044826063975 60.42476735964079, 5.303973963918764 60.424734361827966, 5.303785682806384 60.42428452139353, 5.303723257495744 60.424266366439)"/>
    <s v="[2002438, 2002446, 2007047]"/>
    <s v="[1754572, 1754576, 1757144]"/>
    <s v="#FIELD!"/>
    <s v="[1754571, 1754572, 1754576]"/>
    <s v="[0.019, 0.006, 0.155]"/>
    <s v="61.709366155057076"/>
    <s v="[-0.019, -0.006, -0.155]"/>
  </r>
  <r>
    <x v="5234"/>
    <x v="5624"/>
    <x v="0"/>
    <n v="0"/>
    <s v="LINESTRING (5.3040044826063975 60.42476735964079, 5.304082063742638 60.42424749760187, 5.304087161693041 60.42418183772326, 5.304094538258044 60.42416338344657, 5.304245661851802 60.423928439756345, 5.304809442755263 60.42344610464713, 5.30614621360599 60.42240181623239, 5.306286146734486 60.42236234276972)"/>
    <s v="[2002462, 2007063, 2007015, 2007023, 2002406, 2002414, 2007031]"/>
    <s v="[1754582, 1757127, 1757128, 1754551, 1754552, 1754558, 1757134]"/>
    <s v="#FIELD!"/>
    <s v="[1754571, 1754582, 1757127, 1757128, 1754551, 1754552, 1754558]"/>
    <s v="[0.003, 0.144, 0.013, 0.033, 0.017, 0.037, 0.589]"/>
    <s v="304.6981593701971"/>
    <s v="[-0.003, -0.144, -0.013, 0.033, -0.017, -0.037, -0.589]"/>
  </r>
  <r>
    <x v="5234"/>
    <x v="5625"/>
    <x v="0"/>
    <n v="0"/>
    <s v="LINESTRING (5.303829202471296 60.4260444157796, 5.303785432029404 60.42597697490882, 5.3040044826063975 60.42476735964079)"/>
    <s v="[2007055, 2002454]"/>
    <s v="[1754579, 1754571]"/>
    <s v="#FIELD!"/>
    <s v="[1757151, 1754579]"/>
    <s v="[0.936, 0.026]"/>
    <s v="143.72105803863397"/>
    <s v="[-0.936, -0.026]"/>
  </r>
  <r>
    <x v="5235"/>
    <x v="5626"/>
    <x v="0"/>
    <n v="0"/>
    <s v="LINESTRING (5.319269188731209 60.43570687662145, 5.319729502811291 60.43561851487493, 5.319872492726682 60.435514120480626)"/>
    <s v="[2002486, 2007079]"/>
    <s v="[1754592, 1753373]"/>
    <s v="0.020603479925030557"/>
    <s v="[1754589, 1754592]"/>
    <s v="[0.02, 0.101]"/>
    <s v="41.98579388771951"/>
    <s v="[-0.02, 0.101]"/>
  </r>
  <r>
    <x v="5235"/>
    <x v="5627"/>
    <x v="0"/>
    <n v="0"/>
    <s v="LINESTRING (5.319269188731209 60.43570687662145, 5.319377191242643 60.4357184146655, 5.319788406184368 60.435811887419646, 5.319902591808215 60.43585282435358)"/>
    <s v="[2002494, 2002502, 2002510]"/>
    <s v="[1754596, 1754599, 1754602]"/>
    <s v="#FIELD!"/>
    <s v="[1754589, 1754596, 1754599]"/>
    <s v="[0.071, 0.084, 0.084]"/>
    <s v="38.894662435849376"/>
    <s v="[-0.071, -0.084, -0.084]"/>
  </r>
  <r>
    <x v="5235"/>
    <x v="5628"/>
    <x v="0"/>
    <n v="0"/>
    <s v="LINESTRING (5.314413398248374 60.434348446019854, 5.314560581286297 60.43438185893105, 5.31808400261534 60.43548791299375, 5.319269188731209 60.43570687662145)"/>
    <s v="[2007071, 2002470, 2002478]"/>
    <s v="[1754585, 1754586, 1754589]"/>
    <s v="#FIELD!"/>
    <s v="[1757160, 1754585, 1754586]"/>
    <s v="[0.602, 0.065, 0.045]"/>
    <s v="311.706770500079"/>
    <s v="[-0.602, -0.065, -0.045]"/>
  </r>
  <r>
    <x v="5236"/>
    <x v="5629"/>
    <x v="0"/>
    <n v="0"/>
    <s v="LINESTRING (5.319902591808215 60.43585282435358, 5.321161268529276 60.43628160688961, 5.324503782180101 60.43835382019739, 5.325474509661919 60.43968228751295, 5.3254569048674645 60.43977145295776)"/>
    <s v="[2002558, 2002566, 2002574, 2007103]"/>
    <s v="[1754624, 1754630, 1754635, 1757177]"/>
    <s v="0.03859142727941724"/>
    <s v="[1754602, 1754624, 1754630, 1754635]"/>
    <s v="[0.054, 0.034, 0.058, 0.66]"/>
    <s v="554.3104933455511"/>
    <s v="[-0.054, 0.034, 0.058, 0.66]"/>
  </r>
  <r>
    <x v="5236"/>
    <x v="5630"/>
    <x v="0"/>
    <n v="0"/>
    <s v="LINESTRING (5.3199047619980195 60.43563769786889, 5.3199047619980195 60.43563769786889, 5.319902591808215 60.43585282435358)"/>
    <s v="[2007095, 2002550]"/>
    <s v="[1754620, 1754602]"/>
    <s v="#FIELD!"/>
    <s v="[1753386, 1754620]"/>
    <s v="[0.02, 0.078]"/>
    <s v="34.43292360707146"/>
    <s v="[-0.02, -0.078]"/>
  </r>
  <r>
    <x v="5237"/>
    <x v="5631"/>
    <x v="0"/>
    <n v="0"/>
    <s v="LINESTRING (5.3222577472026265 60.437195992941625, 5.320574171656386 60.43644206172908, 5.3148962504713015 60.43486691125826, 5.314837975312783 60.434782572534)"/>
    <s v="[2002534, 2002542, 2007087]"/>
    <s v="[1754612, 1754616, 1757170]"/>
    <s v="0.0343945871601198"/>
    <s v="[1754609, 1754612, 1754616]"/>
    <s v="[0.048, 0.054, 0.376]"/>
    <s v="497.18091391593225"/>
    <s v="[-0.048, 0.054, 0.376]"/>
  </r>
  <r>
    <x v="5237"/>
    <x v="5632"/>
    <x v="0"/>
    <n v="0"/>
    <s v="LINESTRING (5.322766884970709 60.437463976396614, 5.3226969517923095 60.437433522622975, 5.32230688303287 60.437245727301764, 5.3222577472026265 60.437195992941625)"/>
    <s v="[2002582, 2002590, 2002598]"/>
    <s v="[1754641, 1754648, 1754609]"/>
    <s v="#FIELD!"/>
    <s v="[1754640, 1754641, 1754648]"/>
    <s v="[0.087, 0.091, 0.11]"/>
    <s v="41.41061759793662"/>
    <s v="[-0.087, -0.091, -0.11]"/>
  </r>
  <r>
    <x v="5237"/>
    <x v="5632"/>
    <x v="0"/>
    <n v="0"/>
    <s v="LINESTRING (5.322766884970709 60.437463976396614, 5.321757673703701 60.43747773901065, 5.321709161245263 60.43748141911376, 5.321589406005443 60.43746449893466, 5.321676644325361 60.43739400676318, 5.3217207598034975 60.43738729066427, 5.3222577472026265 60.437195992941625)"/>
    <s v="[2002622, 2002630, 2022480, 2022488, 2002518, 2002526]"/>
    <s v="[1754667, 1754672, 1763128, 1754604, 1754605, 1754609]"/>
    <s v="#FIELD!"/>
    <s v="[1754640, 1754667, 1754672, 1763128, 1754604, 1754605]"/>
    <s v="[0.021, 0.026, 0.33, 0.372, 0.023, 0.037]"/>
    <s v="118.74400830987128"/>
    <s v="[-0.021, -0.026, 0.33, -0.372, 0.023, -0.037]"/>
  </r>
  <r>
    <x v="5238"/>
    <x v="5633"/>
    <x v="0"/>
    <n v="0"/>
    <s v="LINESTRING (5.324601995789682 60.43893092396262, 5.324465438576176 60.43887927067964, 5.322855093615796 60.43748897648639, 5.322766884970709 60.437463976396614)"/>
    <s v="[2007111, 2002606, 2002614]"/>
    <s v="[1754659, 1754660, 1754640]"/>
    <s v="#FIELD!"/>
    <s v="[1757182, 1754659, 1754660]"/>
    <s v="[0.167, 0.019, 0.085]"/>
    <s v="196.69333201671435"/>
    <s v="[-0.167, -0.019, -0.085]"/>
  </r>
  <r>
    <x v="5239"/>
    <x v="5634"/>
    <x v="0"/>
    <n v="0"/>
    <s v="LINESTRING (5.319270671888623 60.45573857259392, 5.319186163269613 60.45589791398006, 5.3190289860991165 60.45590900703055, 5.318907761402042 60.45587298405511, 5.3188638418567455 60.455836295648716, 5.318852693227823 60.455794772872586, 5.318885310580161 60.455741080594755, 5.319021135155145 60.45569133531176)"/>
    <n v="2003118"/>
    <n v="1754699"/>
    <s v="0.044"/>
    <n v="1754702"/>
    <s v="0.044"/>
    <s v="15.484171689009592"/>
    <s v="0.044"/>
  </r>
  <r>
    <x v="5239"/>
    <x v="5635"/>
    <x v="0"/>
    <s v="[0, 0, 0, 1, 0, 0, 0]"/>
    <s v="LINESTRING (5.322956577535299 60.45283277746056, 5.32295789563349 60.45290704807706, 5.3220866159254685 60.454315115483325, 5.321404743428193 60.454578839925894, 5.320414962404888 60.45475776952475, 5.3193786557033365 60.455552910326965, 5.3193096015495405 60.45566996529519, 5.319270671888623 60.45573857259392)"/>
    <s v="[2007119, 2002638, 2002646, 2002654, 2002662, 2002670, 2002678]"/>
    <s v="[1754675, 1754676, 1754682, 1754684, 1754687, 1754694, 1754699]"/>
    <s v="#FIELD!"/>
    <s v="[1757186, 1754675, 1754676, 1754682, 1754684, 1754687, 1754694]"/>
    <s v="[0.656, 0.048, 0.02, 0.028, 0.022, 0.058, 0.07]"/>
    <s v="409.0789910657308"/>
    <s v="[-0.656, 0.048, -0.02, -0.028, -0.022, 0.058, 0.07]"/>
  </r>
  <r>
    <x v="5240"/>
    <x v="5636"/>
    <x v="0"/>
    <n v="0"/>
    <s v="LINESTRING (5.319021135155145 60.45569133531176, 5.319097078381362 60.455628154897205, 5.319161592494581 60.45557680064, 5.3192359614049 60.4555201985744, 5.323279062894834 60.4518876226705, 5.3233969733876485 60.45181756566319)"/>
    <s v="[2002686, 2002694, 2002702, 2002710, 2007127]"/>
    <s v="[1754703, 1754705, 1754709, 1754714, 1757190]"/>
    <s v="0.004816790722010042"/>
    <s v="[1754702, 1754703, 1754705, 1754709, 1754714]"/>
    <s v="[0.068, 0.058, 0.047, 0.008, 0.002]"/>
    <s v="498.38581687084087"/>
    <s v="[-0.068, -0.058, -0.047, 0.008, -0.002]"/>
  </r>
  <r>
    <x v="5241"/>
    <x v="5545"/>
    <x v="0"/>
    <n v="0"/>
    <m/>
    <n v="2003214"/>
    <n v="1754976"/>
    <s v="#FIELD!"/>
    <n v="1754734"/>
    <s v="0.045"/>
    <s v="4.42040722117384"/>
    <s v="#FIELD!"/>
  </r>
  <r>
    <x v="5241"/>
    <x v="5637"/>
    <x v="0"/>
    <n v="0"/>
    <m/>
    <n v="2003206"/>
    <n v="1754734"/>
    <s v="#FIELD!"/>
    <n v="1754757"/>
    <s v="0.056"/>
    <s v="13.866829475407869"/>
    <s v="#FIELD!"/>
  </r>
  <r>
    <x v="5241"/>
    <x v="5638"/>
    <x v="0"/>
    <n v="0"/>
    <s v="LINESTRING (5.323127654105934 60.46306234533337, 5.323257907567848 60.46310987907898, 5.324307421137547 60.46387620740514, 5.325702808239531 60.463948413779534, 5.325903675306753 60.4635044855153, 5.325870414306799 60.463445062328276)"/>
    <s v="[2007135, 2002718, 2002726, 2002734, 2002742]"/>
    <s v="[1754719, 1754720, 1754726, 1754729, 1754734]"/>
    <s v="#FIELD!"/>
    <s v="[1757195, 1754719, 1754720, 1754726, 1754729]"/>
    <s v="[0.237, 0.003, 0.0, 0.005, 0.013]"/>
    <s v="261.1862417310786"/>
    <s v="[-0.237, 0.003, 0.0, 0.005, -0.013]"/>
  </r>
  <r>
    <x v="5242"/>
    <x v="5639"/>
    <x v="0"/>
    <n v="0"/>
    <s v="LINESTRING (5.326110629642045 60.46344365888959, 5.326101248679686 60.46350538648846, 5.325966290161165 60.46387541790177, 5.325849050393972 60.46679670290716, 5.32580495623495 60.46687578885239)"/>
    <s v="[2002782, 2002790, 2002798, 2007151]"/>
    <s v="[1754758, 1754763, 1754770, 1757203]"/>
    <s v="#FIELD!"/>
    <s v="[1754757, 1754758, 1754763, 1754770]"/>
    <s v="[0.014, 0.012, 0.003, 0.007]"/>
    <s v="402.3027463246225"/>
    <s v="[-0.014, -0.012, -0.003, -0.007]"/>
  </r>
  <r>
    <x v="5242"/>
    <x v="5546"/>
    <x v="0"/>
    <n v="0"/>
    <s v="LINESTRING (5.325797051177394 60.463316669288126, 5.325884434192408 60.46326969992327, 5.326012521602709 60.463257371125756, 5.326129449646581 60.46328402557198, 5.326187744774592 60.463327190844495, 5.326192753918746 60.463378213012895, 5.326149008255224 60.463425664660726, 5.326110629642045 60.46344365888959)"/>
    <s v="[2003238, 2003246, 2003254, 2003174, 2003182, 2003190, 2003198]"/>
    <s v="[1754988, 1754991, 1754962, 1754963, 1754964, 1754967, 1754757]"/>
    <s v="0.024907554304960746"/>
    <s v="[1754986, 1754988, 1754991, 1754962, 1754963, 1754964, 1754967]"/>
    <s v="[0.042, 0.071, 0.064, 0.029, 0.011, 0.033, 0.048]"/>
    <s v="41.69185961650771"/>
    <s v="[0.042, 0.071, 0.064, 0.029, -0.011, -0.033, -0.048]"/>
  </r>
  <r>
    <x v="5243"/>
    <x v="5546"/>
    <x v="0"/>
    <n v="0"/>
    <s v="LINESTRING (5.325814856362197 60.46341657032577, 5.325779839340607 60.46336787321859, 5.325797051177394 60.463316669288126)"/>
    <s v="[2003222, 2003230]"/>
    <s v="[1754981, 1754986]"/>
    <s v="#FIELD!"/>
    <s v="[1754976, 1754981]"/>
    <s v="[0.02, 0.009]"/>
    <s v="11.576162862357654"/>
    <s v="[-0.02, 0.009]"/>
  </r>
  <r>
    <x v="5244"/>
    <x v="5592"/>
    <x v="0"/>
    <n v="0"/>
    <s v="LINESTRING (5.317049722067355 60.38621487140238, 5.317021541929879 60.38612596522523, 5.317095381697229 60.38607349540095, 5.317217146473804 60.38605258545737, 5.317341009007436 60.38607162974327)"/>
    <s v="[2003630, 2003638, 2003646, 2003654]"/>
    <s v="[1755196, 1755202, 1755205, 1755208]"/>
    <s v="#FIELD!"/>
    <s v="[1755195, 1755196, 1755202, 1755205]"/>
    <s v="[0.005, 0.016, 0.082, 0.018]"/>
    <s v="31.782329500500065"/>
    <s v="[0.005, 0.016, -0.082, 0.018]"/>
  </r>
  <r>
    <x v="5245"/>
    <x v="5640"/>
    <x v="0"/>
    <n v="0"/>
    <s v="LINESTRING (5.317341009007436 60.38607162974327, 5.317451463528536 60.386063457463294, 5.318845094444565 60.38561714290196, 5.318934860315375 60.38558689028271, 5.318949454771043 60.38558197353405, 5.319417755742274 60.38546427758848, 5.319555319781391 60.38543874536323, 5.319698015925461 60.38543469285359, 5.319791337194457 60.38544215807041, 5.324022164477524 60.38553040738494, 5.324871429133564 60.38524939663856, 5.325034004179755 60.3852197148318)"/>
    <s v="[2019536, 2019544, 2019552, 2019560, 2019568, 2016830, 2035522, 2035530, 2035538, 2035546, 2016838]"/>
    <s v="[1764487, 1764493, 1764498, 1764501, 1762769, 1762770, 1775905, 1775910, 1775915, 1762778, 1762779]"/>
    <s v="0.03967098372479938"/>
    <s v="[1755208, 1764487, 1764493, 1764498, 1764501, 1762769, 1762770, 1775905, 1775910, 1775915, 1762778]"/>
    <s v="[0.06, 0.06, 0.039, 0.05, 0.071, 0.001, 0.485, 0.058, 0.028, 0.025, 0.093]"/>
    <s v="486.25974211073736"/>
    <s v="[0.06, 0.06, 0.039, 0.05, 0.071, 0.001, 0.485, 0.058, 0.028, -0.025, 0.093]"/>
  </r>
  <r>
    <x v="5246"/>
    <x v="5581"/>
    <x v="0"/>
    <n v="0"/>
    <m/>
    <n v="2063646"/>
    <n v="1756944"/>
    <s v="#FIELD!"/>
    <n v="1756892"/>
    <s v="0.117"/>
    <s v="26.94011878266488"/>
    <s v="#FIELD!"/>
  </r>
  <r>
    <x v="5246"/>
    <x v="5641"/>
    <x v="0"/>
    <n v="0"/>
    <s v="LINESTRING (5.286556090482874 60.514936570512454, 5.286488209829463 60.51500938202117, 5.284769682432285 60.51595963735656, 5.285875447201083 60.51606530078781, 5.2859187699166315 60.516006968614036)"/>
    <s v="[2006561, 2006569, 2006577, 2006585]"/>
    <s v="[1756893, 1756900, 1756902, 1756906]"/>
    <s v="#FIELD!"/>
    <s v="[1756892, 1756893, 1756900, 1756902]"/>
    <s v="[0.196, 0.063, 0.037, 0.01]"/>
    <s v="261.86271825629495"/>
    <s v="[-0.196, -0.063, -0.037, 0.01]"/>
  </r>
  <r>
    <x v="5247"/>
    <x v="5582"/>
    <x v="0"/>
    <n v="0"/>
    <s v="LINESTRING (5.2859187699166315 60.516006968614036, 5.285857562473897 60.51595995449128, 5.285847090779407 60.51592842778797, 5.285856721129041 60.51589656860451, 5.286134622611164 60.515827697184804, 5.286262630045994 60.51589472568917, 5.2862737286690535 60.51592539376479, 5.286265626362523 60.51595826983908, 5.286111318738097 60.51603106469967)"/>
    <n v="2008120"/>
    <n v="1756906"/>
    <s v="0.054"/>
    <n v="1756949"/>
    <s v="0.054"/>
    <s v="11.267980398509822"/>
    <s v="0.054"/>
  </r>
  <r>
    <x v="5248"/>
    <x v="5642"/>
    <x v="0"/>
    <n v="0"/>
    <s v="LINESTRING (5.363324187232454 60.58251679523136, 5.363377108191806 60.582524236991134, 5.363856552688003 60.582700591764706, 5.364348672988358 60.582998712668385, 5.364413185099157 60.58303677457681, 5.36445814522618 60.5830633012462)"/>
    <s v="[2006776, 2006784, 2006792, 2006800, 2006808]"/>
    <s v="[1757014, 1561708, 1561715, 1757021, 1757026]"/>
    <s v="#FIELD!"/>
    <s v="[1757013, 1757014, 1561708, 1561715, 1757021]"/>
    <s v="[0.184, 0.164, 0.085, 0.044, 0.036]"/>
    <s v="88.77193529118937"/>
    <s v="[-0.184, -0.164, -0.085, -0.044, -0.036]"/>
  </r>
  <r>
    <x v="5248"/>
    <x v="5643"/>
    <x v="0"/>
    <s v="[0, 0, 0, 0, 0, 0, 0, 0, 0, 0, 0, 0, 1, 0, 0, 0]"/>
    <s v="LINESTRING (5.363324187232454 60.58251679523136, 5.363280480465006 60.58282772428448, 5.363447800965071 60.58349523576142, 5.363452761062672 60.5835038731765, 5.3643007562510245 60.58437951828114, 5.36430454285885 60.58438233551671, 5.364374780666594 60.58443481609626, 5.365719461229479 60.58556239635759, 5.3657217166847815 60.58556529211431, 5.365761073792843 60.585615733467854, 5.363266995827364 60.58957134494107, 5.362932368868489 60.58987281393359, 5.362457332079708 60.59028236206258, 5.362367509025921 60.59036076286717, 5.361718144635637 60.590902143556626, 5.361300518132336 60.59124991640464, 5.359599897174103 60.59350546974454)"/>
    <s v="[2064018, 2064026, 2064034, 2064042, 2064050, 2064058, 2064066, 2064074, 2064082, 2064090, 2064098, 2064106, 2064114, 2064122, 2064130, 2064138]"/>
    <s v="[1793751, 1793758, 1793763, 1793770, 1793777, 1793782, 1793790, 1793797, 1793802, 1793809, 1793816, 1793822, 1793830, 1793836, 1793841, 1757030]"/>
    <s v="#FIELD!"/>
    <s v="[1757013, 1793751, 1793758, 1793763, 1793770, 1793777, 1793782, 1793790, 1793797, 1793802, 1793809, 1793816, 1793822, 1793830, 1793836, 1793841]"/>
    <s v="[0.2, 0.038, 0.0, 0.007, 0.0, 0.137, 0.05, 0.136, 0.131, 0.004, 0.06, 0.009, 0.02, 0.063, 0.005, 0.008]"/>
    <s v="1349.2915011940843"/>
    <s v="[-0.2, -0.038, 0.0, 0.007, 0.0, 0.137, 0.05, -0.136, -0.131, 0.004, -0.06, -0.009, -0.02, -0.063, 0.005, -0.008]"/>
  </r>
  <r>
    <x v="5249"/>
    <x v="5644"/>
    <x v="0"/>
    <n v="0"/>
    <s v="LINESTRING (5.359599897174103 60.59350546974454, 5.3596554903743225 60.59350408832153, 5.361033308619369 60.5935247528022, 5.361273927274184 60.59355474387742, 5.3614085484135545 60.59357367513375, 5.361469550530897 60.59358598327214)"/>
    <s v="[2006816, 2006824, 2006832, 2006840, 2006848]"/>
    <s v="[1757031, 1738906, 1757039, 1757042, 1757048]"/>
    <s v="0.09960895220668478"/>
    <s v="[1757030, 1757031, 1738906, 1757039, 1757042]"/>
    <s v="[0.132, 0.116, 0.113, 0.01, 0.089]"/>
    <s v="103.99185044872883"/>
    <s v="[0.132, 0.116, 0.113, -0.01, -0.089]"/>
  </r>
  <r>
    <x v="5249"/>
    <x v="5645"/>
    <x v="0"/>
    <s v="[0, 0, 0, 0, 0, 0, 0, 0, 0, 1, 0, 0, 0, 0, 0, 0, 0, 0, 0, 0, 0, 0, 0, 0, 0, 0, 0, 0, 0, 0, 0, 0, 1, 0, 0, 0, 0, 0, 0, 0, 0, 0, 0, 0]"/>
    <s v="LINESTRING (5.359599897174103 60.59350546974454, 5.360238428197382 60.594555755231745, 5.360247486224333 60.59456355123006, 5.360655040877074 60.59487153605909, 5.360657487928859 60.59487306189029, 5.360688884907948 60.59489268660672, 5.365260648553649 60.59602582330181, 5.365265870097729 60.59602656487228, 5.3653311500689655 60.596035799079125, 5.3684777957661955 60.596575950030555, 5.369128223129192 60.59672825255311, 5.369420086658758 60.59679909264378, 5.3694862161818655 60.596815604575674, 5.373110847880321 60.59763703876125, 5.373164265837948 60.597643281219916, 5.375727086601969 60.59764385769073, 5.376343749017647 60.597566742593024, 5.378025561072261 60.59718288482606, 5.378133484541182 60.597150408701, 5.378823215695355 60.59691072009198, 5.379769378759425 60.596598148821336, 5.3818073600576035 60.59593169881981, 5.384109422523175 60.595078161930196, 5.385043985033873 60.59465450185658, 5.385207060926376 60.59460942589321, 5.385710105502302 60.59451763013705, 5.388075720646346 60.59494226143994, 5.389417135613743 60.595345003931435, 5.393011515599922 60.59641323936288, 5.393583975150451 60.59658110798918, 5.39782640523998 60.59995135498127, 5.3971827553823815 60.60238745001076, 5.396831700337236 60.603057653784155, 5.397212730110614 60.604087809169876, 5.397479675617274 60.60442960648491, 5.398061158497397 60.60534602676632, 5.396375057117867 60.60848761969105, 5.396117642952613 60.608965533183316, 5.396029352917679 60.609534756392975, 5.399794205109055 60.61204037286697, 5.401641784060788 60.612356449758366, 5.404829015444926 60.6131227777241, 5.407099711896629 60.6138843900576, 5.422063748410577 60.61508798259291, 5.423243065224322 60.61501093739346)"/>
    <s v="[2064146, 2064154, 2064162, 2064170, 2064178, 2064186, 2064194, 2064202, 2064210, 2064218, 2064226, 2064245, 2064253, 2064254, 2064266, 2064267, 2064274, 2064282, 2064283, 2064300, 2064312, 2064324, 2064328, 1764479, 1764487, 2064335, 2064343, 2064351, 2064368, 2064370, 2064374, 2064382, 2064390, 2064398, 2064399, 2064406, 2064414, 2064422, 2064430, 2064438, 2064446, 2064464, 2064470, 2064478]"/>
    <s v="[1793853, 1793859, 1793864, 1793870, 1793875, 1793878, 1793883, 1793889, 1793896, 1793903, 1793909, 1793925, 1793930, 1793931, 1793938, 1691843, 1793944, 1793949, 1793950, 1739769, 1793967, 1761992, 1558912, 1558913, 1558920, 1736701, 1793980, 1746340, 1737670, 1761998, 1793998, 1794004, 1794011, 1701761, 1758662, 1758585, 1794030, 1794036, 1794042, 1794048, 366262, 1794060, 1794064, 1757052]"/>
    <s v="0.0012865928520770173"/>
    <s v="[1757030, 1793853, 1793859, 1793864, 1793870, 1793875, 1793878, 1793883, 1793889, 1793896, 1793903, 1793909, 1793925, 1793930, 1793931, 1793938, 1691843, 1793944, 1793949, 1793950, 1739769, 1793967, 1761992, 1558912, 1558913, 1558920, 1736701, 1793980, 1746340, 1737670, 1761998, 1793998, 1794004, 1794011, 1701761, 1758662, 1758585, 1794030, 1794036, 1794042, 1794048, 366262, 1794060, 1794064]"/>
    <s v="[0.033, 0.058, 0.138, 0.0, 0.164, 0.055, 0.884, 0.462, 0.029, 0.278, 0.308, 0.348, 0.023, 0.237, 0.125, 0.047, 0.012, 0.071, 0.004, 0.014, 0.065, 0.026, 0.05, 0.068, 0.071, 0.112, 0.045, 0.027, 0.103, 0.009, 0.036, 0.128, 0.083, 0.072, 0.02, 0.01, 0.011, 0.013, 0.017, 0.022, 0.017, 0.001, 0.013, 0.064]"/>
    <s v="5560.309542073018"/>
    <s v="[-0.033, 0.058, 0.138, 0.0, 0.164, -0.055, -0.884, -0.462, -0.029, 0.278, 0.308, 0.348, 0.023, -0.237, -0.125, -0.047, 0.012, 0.071, 0.004, -0.014, 0.065, 0.026, -0.05, 0.068, 0.071, 0.112, 0.045, -0.027, 0.103, -0.009, -0.036, -0.128, -0.083, 0.072, 0.02, -0.01, -0.011, 0.013, 0.017, 0.022, 0.017, -0.001, 0.013, 0.064]"/>
  </r>
  <r>
    <x v="5250"/>
    <x v="5646"/>
    <x v="0"/>
    <n v="0"/>
    <s v="LINESTRING (5.423243065224322 60.61501093739346, 5.423231645916215 60.61497793162769, 5.423877486888345 60.614616945703894, 5.4243810390695675 60.61461677681807, 5.424426231163682 60.61461334873943)"/>
    <s v="[2006856, 2006864, 2006872, 2006880]"/>
    <s v="[1757053, 1757055, 1757058, 1757061]"/>
    <s v="0.04656419250086478"/>
    <s v="[1757052, 1757053, 1757055, 1757058]"/>
    <s v="[0.003, 0.04, 0.064, 0.087]"/>
    <s v="94.82575235052371"/>
    <s v="[-0.003, 0.04, 0.064, 0.087]"/>
  </r>
  <r>
    <x v="5250"/>
    <x v="5647"/>
    <x v="523"/>
    <n v="0"/>
    <s v="LINESTRING (5.423243065224322 60.61501093739346, 5.423984263195385 60.61496382313666, 5.431187428244258 60.61351390112902, 5.431201750316213 60.61350834167855, 5.432060337768326 60.61315473080345, 5.432223419737028 60.61308143109489, 5.43235992972105 60.6130180432481, 5.432849394551018 60.61277959026886, 5.445853553415328 60.60906104129776, 5.447545059222034 60.60900918367582, 5.45185170893427 60.60935412003259, 5.451942555743947 60.609358032953104, 5.458136135298183 60.609589208891414, 5.458153792640787 60.60959157444121, 5.462465711539769 60.61091868055816, 5.462786030305094 60.6110972871198, 5.464414082826384 60.613736112360954, 5.464204124039991 60.61492181885477, 5.46458909076438 60.615956853203265, 5.464814706260606 60.61742566037545, 5.466423371955196 60.62428012318593, 5.473117572164756 60.62666867470713)"/>
    <s v="[2064496, 2064497, 2064498, 2064500, 2064505, 2064506, 2064507, 2064515, 2064529, 2064537, 2064547, 2064557, 2064565, 2064575, 2064583, 2064591, 2064612, 2064627, 2064635, 2064643, 2064651]"/>
    <s v="[1794078, 1794079, 1794080, 1794081, 1794085, 1794086, 1794087, 1794090, 1746315, 1794099, 1794104, 1794108, 1794113, 1794119, 1692320, 1794127, 1794143, 1794154, 1794162, 1794165, 1757063]"/>
    <s v="0.012825675352949624"/>
    <s v="[1757052, 1794078, 1794079, 1794080, 1794081, 1794085, 1794086, 1794087, 1794090, 1746315, 1794099, 1794104, 1794108, 1794113, 1794119, 1692320, 1794127, 1794143, 1794154, 1794162, 1794165]"/>
    <s v="[0.022, 0.045, 0.03, 0.023, 0.041, 0.048, 0.049, 0.032, 0.002, 0.007, 0.001, 0.003, 0.01, 0.021, 0.056, 0.007, 0.021, 0.015, 0.023, 0.009, 0.005]"/>
    <s v="4495.952955862779"/>
    <s v="[0.022, 0.045, 0.03, 0.023, 0.041, 0.048, 0.049, 0.032, -0.002, -0.007, 0.001, -0.003, -0.01, -0.021, 0.056, -0.007, 0.021, -0.015, 0.023, 0.009, 0.005]"/>
  </r>
  <r>
    <x v="5251"/>
    <x v="5648"/>
    <x v="0"/>
    <n v="0"/>
    <s v="LINESTRING (5.473117572164756 60.62666867470713, 5.473182098666909 60.62664979686607, 5.473694989037913 60.62660887028, 5.474160356810071 60.626749303688214, 5.474221987512755 60.626767921377464)"/>
    <s v="[2006888, 2006896, 2006904, 2006912]"/>
    <s v="[1757064, 1739127, 1757071, 1757073]"/>
    <s v="0.0148854319648063"/>
    <s v="[1757063, 1757064, 1739127, 1757071]"/>
    <s v="[0.042, 0.034, 0.002, 0.028]"/>
    <s v="67.62896667062455"/>
    <s v="[0.042, 0.034, -0.002, -0.028]"/>
  </r>
  <r>
    <x v="5251"/>
    <x v="2674"/>
    <x v="0"/>
    <n v="0"/>
    <s v="LINESTRING (5.473117572164756 60.62666867470713, 5.546970415649263 60.70107500343034)"/>
    <m/>
    <m/>
    <s v="0.0"/>
    <m/>
    <n v="0"/>
    <s v="14860.883117838539"/>
    <n v="0"/>
  </r>
  <r>
    <x v="5252"/>
    <x v="5648"/>
    <x v="0"/>
    <n v="0"/>
    <s v="LINESTRING (5.474221987512755 60.626767921377464, 5.474448278735434 60.626749811927866, 5.474316343562755 60.62687147006011, 5.474221987512755 60.626767921377464)"/>
    <s v="[2008128, 2008136, 2008144]"/>
    <s v="[1757804, 1757812, 1757073]"/>
    <s v="0.00025282674270425524"/>
    <s v="[1757073, 1757804, 1757812]"/>
    <s v="[0.044, 0.032, 0.002]"/>
    <s v="48.73833230767386"/>
    <s v="[-0.044, 0.032, -0.002]"/>
  </r>
  <r>
    <x v="5253"/>
    <x v="5649"/>
    <x v="0"/>
    <s v="[0, 0, 1, 1, 1]"/>
    <s v="LINESTRING (5.33674387487545 60.37811933997587, 5.336558690197134 60.378284511783534, 5.335882903875043 60.37887302789628, 5.3354684222485504 60.379336521159104, 5.334973217935212 60.38027212133609, 5.335120964243357 60.381983025620244)"/>
    <s v="[2020355, 2020363, 2020371, 2020379, 2020387]"/>
    <s v="[1765046, 1765053, 1765060, 1765067, 1757091]"/>
    <s v="#FIELD!"/>
    <s v="[1757075, 1765046, 1765053, 1765060, 1765067]"/>
    <s v="[0.076, 0.031, 0.019, 0.008, 0.004]"/>
    <s v="454.22208787847273"/>
    <s v="[-0.076, -0.031, -0.019, -0.008, 0.004]"/>
  </r>
  <r>
    <x v="5254"/>
    <x v="5411"/>
    <x v="0"/>
    <n v="0"/>
    <s v="LINESTRING (5.593432490686222 60.83820626685045, 5.593452311849451 60.83824809641391, 5.593440446347445 60.83838744810123, 5.589894615281333 60.837955325496374, 5.5899357706197375 60.837914320732494, 5.590345637479566 60.838156417915016, 5.590429499792952 60.83835398464286, 5.590425114668312 60.83839008113155)"/>
    <s v="[2006920, 2006928, 2006936, 2006944, 2006952, 2006960, 2006968]"/>
    <s v="[1757077, 1757080, 1757084, 1702311, 1757092, 1757095, 1757098]"/>
    <s v="0.1187695028588967"/>
    <s v="[1757076, 1757077, 1757080, 1757084, 1702311, 1757092, 1757095]"/>
    <s v="[0.087, 0.102, 0.139, 0.655, 0.093, 0.246, 0.388]"/>
    <s v="347.3110066830987"/>
    <s v="[-0.087, -0.102, 0.139, -0.655, 0.093, 0.246, 0.388]"/>
  </r>
  <r>
    <x v="5254"/>
    <x v="5411"/>
    <x v="0"/>
    <n v="0"/>
    <s v="LINESTRING (5.593432490686222 60.83820626685045, 5.593209929401664 60.83825452962946, 5.592692310583634 60.83834165783721, 5.592126946681429 60.838401331735895, 5.591458881888003 60.8384266221837, 5.591019173823446 60.838421611660664, 5.590425114668312 60.83839008113155)"/>
    <s v="[2065488, 2065489, 2065490, 2065496, 2065497, 2065498]"/>
    <s v="[1794612, 1794613, 1794614, 1794621, 1794622, 1757098]"/>
    <s v="0.24572178889212087"/>
    <s v="[1757076, 1794612, 1794613, 1794614, 1794621, 1794622]"/>
    <s v="[2.088, 0.023, 0.058, 1.091, 0.49, 0.455]"/>
    <s v="167.79967873059556"/>
    <s v="[-2.088, 0.023, 0.058, 1.091, 0.49, 0.455]"/>
  </r>
  <r>
    <x v="5255"/>
    <x v="122"/>
    <x v="0"/>
    <s v="[0, 0, 0, 0, 0, 1, 1, 1]"/>
    <s v="LINESTRING (5.337453848217863 60.377794823709046, 5.337186744642158 60.37802154296957, 5.336995696682122 60.37817596497848, 5.336786255959142 60.378334212808625, 5.336533807712606 60.37852532677155, 5.336073813493525 60.378914815363835, 5.335668470821915 60.37937017788724, 5.335362897285602 60.38196466609284, 5.335417601552036 60.38212144974033)"/>
    <s v="[2014893, 2014901, 2014909, 2014917, 2014925, 2014933, 2014941, 2014949]"/>
    <s v="[1761642, 1761648, 1761651, 1761654, 1761658, 1761662, 1761666, 1757079]"/>
    <s v="#FIELD!"/>
    <s v="[1761636, 1761642, 1761648, 1761651, 1761654, 1761658, 1761662, 1761666]"/>
    <s v="[0.03, 0.074, 0.107, 0.087, 0.031, 0.003, 0.004, 0.097]"/>
    <s v="514.5383694177358"/>
    <s v="[-0.03, -0.074, -0.107, -0.087, -0.031, -0.003, 0.004, -0.097]"/>
  </r>
  <r>
    <x v="5256"/>
    <x v="5473"/>
    <x v="0"/>
    <n v="0"/>
    <s v="LINESTRING (5.335120964243357 60.381983025620244, 5.335184276399795 60.38214034984115, 5.335364850364448 60.38260331438107)"/>
    <s v="[2020395, 2020403]"/>
    <s v="[1765078, 1757097]"/>
    <s v="0.01074614988859821"/>
    <s v="[1757091, 1765078]"/>
    <s v="[0.01, 0.011]"/>
    <s v="70.62466286538137"/>
    <s v="[0.01, 0.011]"/>
  </r>
  <r>
    <x v="5256"/>
    <x v="5650"/>
    <x v="0"/>
    <n v="0"/>
    <s v="LINESTRING (5.3339445333778475 60.38335037662182, 5.334319688277748 60.383287421034275, 5.3351218419444875 60.382071733556494, 5.335120964243357 60.381983025620244)"/>
    <s v="[2022376, 2001934, 2006951]"/>
    <s v="[1754317, 1754318, 1757091]"/>
    <s v="#FIELD!"/>
    <s v="[1766377, 1754317, 1754318]"/>
    <s v="[0.041, 0.017, 0.229]"/>
    <s v="188.75999747645056"/>
    <s v="[-0.041, 0.017, -0.229]"/>
  </r>
  <r>
    <x v="5257"/>
    <x v="5650"/>
    <x v="0"/>
    <n v="0"/>
    <s v="LINESTRING (5.334484005660095 60.38336730404641, 5.333980279926804 60.383352010799584, 5.333972744786788 60.38335166653903, 5.33396239638744 60.383351197482206, 5.3339445333778475 60.38335037662182)"/>
    <s v="[2081035, 2081043, 2081051, 2081059]"/>
    <s v="[1804186, 1804191, 1804195, 1766377]"/>
    <s v="#FIELD!"/>
    <s v="[1757094, 1804186, 1804191, 1804195]"/>
    <s v="[0.025, 0.021, 0.016, 0.017]"/>
    <s v="19.849704722314815"/>
    <s v="[-0.025, -0.021, -0.016, -0.017]"/>
  </r>
  <r>
    <x v="5258"/>
    <x v="5610"/>
    <x v="0"/>
    <n v="0"/>
    <s v="LINESTRING (5.334352660277856 60.38574291850721, 5.334326619879471 60.38566502958882, 5.334285953026104 60.383534598195276, 5.333931089317562 60.38348145239207)"/>
    <s v="[2006975, 2066003, 2022496]"/>
    <s v="[1757103, 1766479, 1762019]"/>
    <s v="0.006332977971683962"/>
    <s v="[1757102, 1757103, 1766479]"/>
    <s v="[0.01, 0.01, 0.041]"/>
    <s v="285.25594626920986"/>
    <s v="[0.01, 0.01, -0.041]"/>
  </r>
  <r>
    <x v="5258"/>
    <x v="5491"/>
    <x v="0"/>
    <n v="0"/>
    <s v="LINESTRING (5.335218352427526 60.38501761457067, 5.334491835079826 60.38552997143542, 5.334352660277856 60.38574291850721)"/>
    <s v="[2017304, 2017312]"/>
    <s v="[1763074, 1757102]"/>
    <s v="0.0013971611312724003"/>
    <s v="[1761200, 1763074]"/>
    <s v="[0.01, 0.029]"/>
    <s v="85.59317311814497"/>
    <s v="[-0.01, 0.029]"/>
  </r>
  <r>
    <x v="5259"/>
    <x v="5617"/>
    <x v="0"/>
    <n v="0"/>
    <m/>
    <n v="2014989"/>
    <n v="1757112"/>
    <s v="0.072"/>
    <n v="1757107"/>
    <s v="0.072"/>
    <s v="50.5817397883568"/>
    <s v="0.072"/>
  </r>
  <r>
    <x v="5260"/>
    <x v="5621"/>
    <x v="0"/>
    <n v="0"/>
    <s v="LINESTRING (5.310938208004138 60.419477353737065, 5.3096393230474215 60.420408672821225, 5.306455136044589 60.42240153056222, 5.30551591498663 60.42309084076295, 5.305506654961032 60.42309851886591, 5.305369914643184 60.423224948213836)"/>
    <s v="[2014997, 2015005, 2015013, 2015021, 2015029]"/>
    <s v="[1761686, 1761690, 1761692, 1761695, 1757122]"/>
    <s v="0.04572272370592573"/>
    <s v="[1757112, 1761686, 1761690, 1761692, 1761695]"/>
    <s v="[0.139, 0.02, 0.072, 0.025, 0.386]"/>
    <s v="520.3191104397266"/>
    <s v="[0.139, 0.02, 0.072, 0.025, -0.386]"/>
  </r>
  <r>
    <x v="5261"/>
    <x v="5624"/>
    <x v="0"/>
    <n v="0"/>
    <m/>
    <n v="2020435"/>
    <n v="1757134"/>
    <s v="0.04"/>
    <n v="1757117"/>
    <s v="0.04"/>
    <s v="284.7251450851769"/>
    <s v="0.04"/>
  </r>
  <r>
    <x v="5261"/>
    <x v="5618"/>
    <x v="0"/>
    <n v="0"/>
    <s v="LINESTRING (5.312614820475154 60.41820650022353, 5.311292461603463 60.41904637387793, 5.310778681930172 60.41942801120087, 5.309459489674279 60.4203556667001)"/>
    <s v="[2020411, 2020419, 2020427]"/>
    <s v="[1765088, 1765092, 1757117]"/>
    <s v="0.02667684605125553"/>
    <s v="[1761799, 1765088, 1765092]"/>
    <s v="[0.03, 0.05, 0.066]"/>
    <s v="287.0950208117469"/>
    <s v="[-0.03, 0.05, 0.066]"/>
  </r>
  <r>
    <x v="5262"/>
    <x v="5622"/>
    <x v="0"/>
    <n v="0"/>
    <s v="LINESTRING (5.305369914643184 60.423224948213836, 5.304019490229499 60.42603532816113, 5.304134140037513 60.42659197209061, 5.304139020852519 60.42660057137639, 5.304246934877873 60.426742684380535)"/>
    <s v="[2015037, 2015045, 2015053, 2015061]"/>
    <s v="[1761703, 1761707, 1761710, 1757138]"/>
    <s v="0.05858149680021375"/>
    <s v="[1757122, 1761703, 1761707, 1761710]"/>
    <s v="[0.027, 0.096, 0.125, 0.52]"/>
    <s v="405.29263543512053"/>
    <s v="[0.027, 0.096, 0.125, 0.52]"/>
  </r>
  <r>
    <x v="5263"/>
    <x v="5625"/>
    <x v="0"/>
    <n v="0"/>
    <s v="LINESTRING (5.306286146734486 60.42236234276972, 5.305353840238963 60.4230603552866, 5.305345301346738 60.4230683124967, 5.3052094076240675 60.4231958803392, 5.303829202471296 60.4260444157796)"/>
    <s v="[2020443, 2020451, 2020459, 2020467]"/>
    <s v="[1765104, 1765110, 1765116, 1757151]"/>
    <s v="0.05138031149441843"/>
    <s v="[1757134, 1765104, 1765110, 1765116]"/>
    <s v="[0.064, 0.036, 0.048, 0.048]"/>
    <s v="439.53906644189294"/>
    <s v="[0.064, 0.036, 0.048, 0.048]"/>
  </r>
  <r>
    <x v="5264"/>
    <x v="5628"/>
    <x v="0"/>
    <n v="0"/>
    <s v="LINESTRING (5.304246934877873 60.426742684380535, 5.304386202065068 60.426894210426006, 5.304513906181493 60.427000869963905, 5.30473108223058 60.42714676599511, 5.304802435554805 60.42718960164363, 5.304876325172023 60.42723136617929, 5.304938959429103 60.427265709524846, 5.304958154282927 60.42728044392712, 5.304968548608437 60.427288416933045, 5.3133565811884065 60.43360321286375, 5.313417065604763 60.433648130646596, 5.313447306545403 60.43367059395445, 5.313537204308198 60.433738294157344, 5.314413398248374 60.434348446019854)"/>
    <s v="[2015069, 2015077, 2015085, 2015093, 2015101, 2015109, 2015117, 2015125, 2015133, 2015141, 2015149, 2015157, 2015165]"/>
    <s v="[1761722, 1761728, 1761731, 1761737, 1761742, 1761748, 1761751, 1761756, 1761762, 1761766, 1761772, 1761776, 1757160]"/>
    <s v="#FIELD!"/>
    <s v="[1757138, 1761722, 1761728, 1761731, 1761737, 1761742, 1761748, 1761751, 1761756, 1761762, 1761766, 1761772, 1761776]"/>
    <s v="[0.282, 0.091, 0.076, 0.06, 0.055, 0.073, 0.042, 0.099, 0.003, 0.273, 0.245, 0.266, 0.243]"/>
    <s v="1019.3578857794741"/>
    <s v="[-0.282, 0.091, 0.076, 0.06, 0.055, 0.073, 0.042, 0.099, -0.003, -0.273, -0.245, -0.266, -0.243]"/>
  </r>
  <r>
    <x v="5265"/>
    <x v="5631"/>
    <x v="524"/>
    <n v="0"/>
    <s v="LINESTRING (5.303829202471296 60.4260444157796, 5.303940855318237 60.42661759272748, 5.303945958682577 60.42662642547151, 5.304052943314602 60.426773210406196, 5.304195586903983 60.426922632817025, 5.3043192412214335 60.42702949259276, 5.304515280801696 60.42718099159231, 5.304575283799411 60.427227435104356, 5.3046345009365075 60.427274119366324, 5.304705841963467 60.42732728446965, 5.304716747460776 60.427335322183744, 5.313006994983592 60.433705918650716, 5.313066261599407 60.43375141662919, 5.313095905251696 60.43377416184172, 5.313184823632864 60.4338458519635, 5.314142734614251 60.434462282538355, 5.314837975312783 60.434782572534)"/>
    <s v="[2020475, 2020483, 2020491, 2020499, 2020507, 2020515, 2020523, 2020531, 2020539, 2020548, 2020556, 2020564, 2020572, 2020580, 2020588, 2020596]"/>
    <s v="[1765128, 1765135, 1765140, 1765145, 1765153, 1765157, 1765164, 1765168, 1765171, 1765177, 1765183, 1765188, 1765194, 1765199, 1765205, 1757170]"/>
    <s v="#FIELD!"/>
    <s v="[1757151, 1765128, 1765135, 1765140, 1765145, 1765153, 1765157, 1765164, 1765168, 1765171, 1765177, 1765183, 1765188, 1765194, 1765199, 1765205]"/>
    <s v="[0.088, 0.117, 0.091, 0.101, 0.103, 0.104, 0.112, 0.091, 0.121, 0.124, 0.016, 0.201, 0.201, 0.221, 0.216, 0.166]"/>
    <s v="1160.4024092150971"/>
    <s v="[0.088, 0.117, 0.091, 0.101, 0.103, 0.104, 0.112, 0.091, 0.121, 0.124, -0.016, -0.201, -0.201, -0.221, -0.216, -0.166]"/>
  </r>
  <r>
    <x v="5266"/>
    <x v="5629"/>
    <x v="0"/>
    <n v="0"/>
    <s v="LINESTRING (5.314413398248374 60.434348446019854, 5.3150599760179675 60.4346782897328, 5.316880053988453 60.43526625909565, 5.317410772137893 60.435410214809, 5.319367083140957 60.43588760449522, 5.321745037442831 60.43662412999902, 5.322110598533157 60.436776092388975, 5.324807060004507 60.43888336554918, 5.3254569048674645 60.43977145295776)"/>
    <s v="[2015173, 2015181, 2015189, 2015197, 2015205, 2015229, 2015237, 2015245]"/>
    <s v="[1761783, 1761785, 1761787, 1761791, 1761795, 1761808, 1761809, 1757177]"/>
    <s v="#FIELD!"/>
    <s v="[1757160, 1761783, 1761785, 1761787, 1761791, 1761795, 1761808, 1761809]"/>
    <s v="[0.165, 0.059, 0.133, 0.049, 0.023, 0.058, 0.032, 0.129]"/>
    <s v="894.6910088338581"/>
    <s v="[-0.165, -0.059, -0.133, -0.049, -0.023, 0.058, 0.032, 0.129]"/>
  </r>
  <r>
    <x v="5267"/>
    <x v="5633"/>
    <x v="0"/>
    <n v="0"/>
    <s v="LINESTRING (5.314837975312783 60.434782572534, 5.316677761493035 60.435348318018825, 5.317229960304231 60.43548522955151, 5.319196548061157 60.43596753642961, 5.321590163530496 60.436701775740886, 5.3219331916315875 60.436852095760266, 5.324601995789682 60.43893092396262)"/>
    <s v="[2020604, 2020612, 2020620, 2020628, 2020636, 2020644]"/>
    <s v="[1765212, 1765217, 1765226, 1765235, 1765241, 1757182]"/>
    <s v="#FIELD!"/>
    <s v="[1757170, 1765212, 1765217, 1765226, 1765235, 1765241]"/>
    <s v="[0.05, 0.081, 0.077, 0.013, 0.045, 0.026]"/>
    <s v="735.0699932741895"/>
    <s v="[-0.05, -0.081, -0.077, 0.013, 0.045, 0.026]"/>
  </r>
  <r>
    <x v="5268"/>
    <x v="5635"/>
    <x v="0"/>
    <n v="0"/>
    <s v="LINESTRING (5.3254569048674645 60.43977145295776, 5.325829180998155 60.44032980414825, 5.3258441939100845 60.4403651777375, 5.325891642966676 60.44045149349435, 5.326412207368259 60.44140120795619, 5.326431094665128 60.441435752692115, 5.326809799513177 60.44299251904187, 5.326810089908411 60.443001495395926, 5.32604031650943 60.44553368169803, 5.326038711639703 60.44554262776391, 5.326002233623665 60.44564903559779, 5.324268928169057 60.450767037018515, 5.324262084722842 60.45078464488137, 5.324260616793312 60.450788435977834, 5.324258671955361 60.450793449469, 5.3237345712882265 60.45185442330511, 5.322956577535299 60.45283277746056)"/>
    <s v="[2015253, 2015261, 2015269, 2015277, 2015285, 2015293, 2015301, 2015309, 2015317, 2015325, 2015333, 2015341, 2015349, 2015357, 2015365, 2015373]"/>
    <s v="[1761812, 1761818, 1761820, 1761824, 1761828, 1761830, 1761834, 1761840, 1761846, 1761850, 1761856, 1761861, 1761866, 1761871, 1761876, 1757186]"/>
    <s v="0.018875734059905332"/>
    <s v="[1757177, 1761812, 1761818, 1761820, 1761824, 1761828, 1761830, 1761834, 1761840, 1761846, 1761850, 1761856, 1761861, 1761866, 1761871, 1761876]"/>
    <s v="[0.098, 0.205, 0.165, 0.115, 0.109, 0.053, 0.009, 0.031, 0.43, 0.382, 0.007, 0.313, 0.795, 0.0, 0.006, 0.012]"/>
    <s v="1493.028183890513"/>
    <s v="[0.098, 0.205, 0.165, 0.115, -0.109, -0.053, 0.009, 0.031, 0.43, 0.382, 0.007, -0.313, -0.795, 0.0, 0.006, -0.012]"/>
  </r>
  <r>
    <x v="5269"/>
    <x v="5636"/>
    <x v="0"/>
    <n v="0"/>
    <s v="LINESTRING (5.324601995789682 60.43893092396262, 5.325126049328918 60.4398070902583, 5.325463330657977 60.44036857710741, 5.325479373075985 60.44040295882054, 5.325515000499686 60.44048901458314, 5.325540151620663 60.44053104688174, 5.326042149026646 60.44144274124676, 5.326061615750195 60.44147742800983, 5.326545692238896 60.44299852471883, 5.326545461776657 60.443007345325725, 5.325686104909393 60.44548394991349, 5.325681546072062 60.445492489598884, 5.325626316673708 60.44559597676313, 5.325607908560313 60.445630466577185, 5.323860511684385 60.450767867369116, 5.323853829537428 60.45078475434733, 5.323852391481279 60.450788384809805, 5.323850487132191 60.450793202261686, 5.3233969733876485 60.45181756566319)"/>
    <s v="[2020652, 2020660, 2020668, 2020676, 2020684, 2020692, 2020700, 2020708, 2020716, 2020724, 2020732, 2020740, 2020748, 2020756, 2020764, 2020772, 2020780, 2020788]"/>
    <s v="[1765252, 1765257, 1765264, 1765271, 1765275, 1765281, 1765286, 1765292, 1765302, 1765308, 1765314, 1765320, 1765327, 1765335, 1765340, 1765347, 1765352, 1757190]"/>
    <s v="0.027211115486360793"/>
    <s v="[1757182, 1765252, 1765257, 1765264, 1765271, 1765275, 1765281, 1765286, 1765292, 1765302, 1765308, 1765314, 1765320, 1765327, 1765335, 1765340, 1765347, 1765352]"/>
    <s v="[0.103, 0.153, 0.159, 0.182, 0.169, 0.151, 0.021, 0.031, 0.058, 0.089, 0.167, 0.191, 0.116, 0.011, 0.105, 0.339, 0.0, 0.132]"/>
    <s v="1470.65389328254"/>
    <s v="[0.103, 0.153, 0.159, 0.182, 0.169, 0.151, -0.021, -0.031, -0.058, 0.089, 0.167, 0.191, 0.116, -0.011, -0.105, -0.339, 0.0, -0.132]"/>
  </r>
  <r>
    <x v="5270"/>
    <x v="5638"/>
    <x v="0"/>
    <n v="0"/>
    <s v="LINESTRING (5.322956577535299 60.45283277746056, 5.322659984704174 60.45316056685995, 5.321219374451381 60.45458985924025, 5.321211607434807 60.45459797384296, 5.319233258878406 60.4577321294961, 5.319231728211555 60.457741062981896, 5.320036876587659 60.46087975515444, 5.323127654105934 60.46306234533337)"/>
    <s v="[2015381, 2015389, 2015397, 2015405, 2015413, 2015421, 2015429]"/>
    <s v="[1761886, 1761890, 1761898, 1761904, 1761908, 1761914, 1757195]"/>
    <s v="0.016478086053569686"/>
    <s v="[1757186, 1761886, 1761890, 1761898, 1761904, 1761908, 1761914]"/>
    <s v="[0.159, 0.042, 0.022, 0.03, 0.054, 0.063, 0.048]"/>
    <s v="1246.5407763532019"/>
    <s v="[-0.159, 0.042, 0.022, 0.03, 0.054, 0.063, -0.048]"/>
  </r>
  <r>
    <x v="5271"/>
    <x v="5551"/>
    <x v="0"/>
    <n v="0"/>
    <s v="LINESTRING (5.3233969733876485 60.45181756566319, 5.322664619480218 60.45279148343941, 5.322373046285496 60.45312389158547, 5.320975098664657 60.45457975434505, 5.320967512058275 60.45458799975159, 5.31900236809619 60.4577541384046, 5.319000485527681 60.45776314559976, 5.319839699948033 60.46092817227442)"/>
    <s v="[2020796, 2020804, 2020812, 2020820, 2020828, 2020836, 2020844]"/>
    <s v="[1765367, 1765373, 1765382, 1765387, 1765394, 1765401, 1757199]"/>
    <s v="0.03340795369904662"/>
    <s v="[1757190, 1765367, 1765373, 1765382, 1765387, 1765394, 1765401]"/>
    <s v="[0.019, 0.038, 0.018, 0.001, 0.028, 0.037, 0.063]"/>
    <s v="1072.7501921921507"/>
    <s v="[-0.019, 0.038, 0.018, 0.001, 0.028, 0.037, 0.063]"/>
  </r>
  <r>
    <x v="5272"/>
    <x v="5639"/>
    <x v="0"/>
    <n v="0"/>
    <s v="LINESTRING (5.323127654105934 60.46306234533337, 5.323930722851107 60.463655417976746, 5.323940038181522 60.46366319210667, 5.324952674728241 60.46472374379036, 5.32580495623495 60.46687578885239)"/>
    <s v="[2015437, 2015445, 2015453, 2015461]"/>
    <s v="[1761923, 1761929, 1761932, 1757203]"/>
    <s v="#FIELD!"/>
    <s v="[1757195, 1761923, 1761929, 1761932]"/>
    <s v="[0.023, 0.006, 0.0, 0.003]"/>
    <s v="457.61432816303056"/>
    <s v="[-0.023, 0.006, 0.0, -0.003]"/>
  </r>
  <r>
    <x v="5273"/>
    <x v="5552"/>
    <x v="0"/>
    <n v="0"/>
    <s v="LINESTRING (5.319839699948033 60.46092817227442, 5.322944360175257 60.463117573805526, 5.323747032949248 60.46370256806114, 5.323756176978172 60.463710302520575, 5.3247413156795345 60.46476443661967)"/>
    <s v="[2020852, 2020860, 2020871, 2020879]"/>
    <s v="[1765410, 1765415, 1765425, 1757211]"/>
    <s v="#FIELD!"/>
    <s v="[1757199, 1765410, 1765415, 1765425]"/>
    <s v="[0.056, 0.022, 0.001, 0.001]"/>
    <s v="509.1713649661119"/>
    <s v="[-0.056, -0.022, -0.001, -0.001]"/>
  </r>
  <r>
    <x v="5274"/>
    <x v="4274"/>
    <x v="0"/>
    <n v="0"/>
    <s v="LINESTRING (5.32580495623495 60.46687578885239, 5.326425070689311 60.46824131449361, 5.326430212461828 60.46824981395066, 5.330824944647713 60.47214237976102, 5.331024083579253 60.472327634020886, 5.331032799304145 60.472335526394055, 5.331377326081296 60.47266312292471)"/>
    <s v="[2015469, 2015477, 2015485, 2015493, 2015501, 2015509]"/>
    <s v="[1761942, 1761946, 1761951, 1761953, 1761957, 1761962]"/>
    <s v="0.00580717416517929"/>
    <s v="[1757203, 1761942, 1761946, 1761951, 1761953, 1761957]"/>
    <s v="[0.004, 0.014, 0.01, 0.008, 0.015, 0.03]"/>
    <s v="723.2725851046358"/>
    <s v="[0.004, 0.014, 0.01, -0.008, -0.015, -0.03]"/>
  </r>
  <r>
    <x v="5275"/>
    <x v="4272"/>
    <x v="0"/>
    <n v="0"/>
    <s v="LINESTRING (5.3247413156795345 60.46476443661967, 5.325608646307035 60.466905374251425, 5.326213819956289 60.46827614812718, 5.32621904865441 60.46828466300591, 5.330603220127813 60.47219670799811)"/>
    <s v="[2020887, 2020895, 2020903, 2020911]"/>
    <s v="[1765436, 1765442, 1765447, 1765453]"/>
    <s v="0.004260960658320684"/>
    <s v="[1757211, 1765436, 1765442, 1765447]"/>
    <s v="[0.0, 0.001, 0.003, 0.008]"/>
    <s v="903.9075988085606"/>
    <s v="[-0.0, -0.001, -0.003, 0.008]"/>
  </r>
  <r>
    <x v="5276"/>
    <x v="5651"/>
    <x v="0"/>
    <n v="0"/>
    <s v="LINESTRING (6.67725656871896 59.870614058112984, 6.676302899664871 59.87128628339681, 6.6746274743174805 59.87237857211065)"/>
    <s v="[2007167, 2007175]"/>
    <s v="[1151950, 1757223]"/>
    <s v="#FIELD!"/>
    <s v="[1757217, 1151950]"/>
    <s v="[0.031, 0.078]"/>
    <s v="247.07056242827755"/>
    <s v="[0.031, -0.078]"/>
  </r>
  <r>
    <x v="5276"/>
    <x v="5651"/>
    <x v="0"/>
    <n v="0"/>
    <s v="LINESTRING (6.67725656871896 59.870614058112984, 6.676216980937326 59.871254150811716, 6.6746274743174805 59.87237857211065)"/>
    <s v="[2021343, 2021351]"/>
    <s v="[1151957, 1757223]"/>
    <s v="#FIELD!"/>
    <s v="[1757217, 1151957]"/>
    <s v="[0.428, 0.315]"/>
    <s v="246.77430376820624"/>
    <s v="[0.428, -0.315]"/>
  </r>
  <r>
    <x v="5276"/>
    <x v="5652"/>
    <x v="0"/>
    <n v="0"/>
    <s v="LINESTRING (6.895602496925623 59.85981005726673, 6.67725656871896 59.870614058112984)"/>
    <m/>
    <m/>
    <s v="0.0"/>
    <m/>
    <n v="0"/>
    <s v="17366.90531857906"/>
    <n v="0"/>
  </r>
  <r>
    <x v="5277"/>
    <x v="5653"/>
    <x v="0"/>
    <n v="0"/>
    <s v="LINESTRING (6.6746274743174805 59.87237857211065, 6.6733318731774025 59.87323006372931, 6.667385846923363 59.876485383482375, 6.667240324681703 59.87714620409149, 6.666200038924177 59.87909843031294, 6.663941070059065 59.87967819796929, 6.66186737838957 59.8812575902024)"/>
    <s v="[2067083, 2067091, 2067099, 2067107, 2067115, 2067123]"/>
    <s v="[1795557, 1781137, 1781159, 1781164, 1781172, 1757227]"/>
    <s v="#FIELD!"/>
    <s v="[1757223, 1795557, 1781137, 1781159, 1781164, 1781172]"/>
    <s v="[0.023, 0.088, 0.077, 0.079, 0.089, 0.039]"/>
    <s v="1298.204619843276"/>
    <s v="[-0.023, -0.088, -0.077, -0.079, -0.089, -0.039]"/>
  </r>
  <r>
    <x v="5278"/>
    <x v="5654"/>
    <x v="0"/>
    <n v="0"/>
    <s v="LINESTRING (6.66186737838957 59.8812575902024, 6.661662187172231 59.882049746584464, 6.661629743418051 59.88216413086486, 6.661086611954877 59.883526940976914)"/>
    <s v="[2007183, 2007191, 2007199]"/>
    <s v="[1756112, 1725171, 1757237]"/>
    <s v="0.017520742573121532"/>
    <s v="[1757227, 1756112, 1725171]"/>
    <s v="[0.049, 0.035, 0.002]"/>
    <s v="257.96591301653365"/>
    <s v="[0.049, 0.035, -0.002]"/>
  </r>
  <r>
    <x v="5278"/>
    <x v="5654"/>
    <x v="0"/>
    <n v="0"/>
    <s v="LINESTRING (6.66186737838957 59.8812575902024, 6.6615578997675895 59.882043100878484, 6.661524360378811 59.88215470714754, 6.661086611954877 59.883526940976914)"/>
    <s v="[2021359, 2021367, 2021375]"/>
    <s v="[1725175, 1756106, 1757237]"/>
    <s v="0.017234797085961626"/>
    <s v="[1757227, 1725175, 1756106]"/>
    <s v="[0.174, 0.099, 0.08]"/>
    <s v="257.56894603627103"/>
    <s v="[0.174, 0.099, -0.08]"/>
  </r>
  <r>
    <x v="5279"/>
    <x v="5655"/>
    <x v="0"/>
    <n v="0"/>
    <s v="LINESTRING (6.661086611954877 59.883526940976914, 6.659910999579698 59.88448970420995, 6.6551836745548805 59.88624159088575, 6.654680535382736 59.88634280294692, 6.647141877358239 59.89002539148181, 6.646339435354082 59.89037012493761, 6.644532794298481 59.89102203499373, 6.641761076787002 59.89202223010632, 6.640445100063774 59.89254907009508, 6.63921028759485 59.89316892181738, 6.6312925444887965 59.89744570102955, 6.630464668088276 59.897862201825276, 6.629575901140493 59.898308296847034, 6.628573539000984 59.898747301978524, 6.625945783445848 59.90003681888073, 6.624555175864384 59.901163877617684)"/>
    <s v="[2067131, 2067139, 2067147, 2067155, 2067163, 2067171, 2067179, 2067187, 2067195, 2067203, 2067211, 2067219, 2067227, 2067235, 2067243]"/>
    <s v="[1795584, 1780890, 1780855, 1715858, 1716149, 326077, 1717869, 1718379, 1717890, 1795623, 1717940, 1774795, 1774812, 1717925, 1757242]"/>
    <s v="#FIELD!"/>
    <s v="[1757237, 1795584, 1780890, 1780855, 1715858, 1716149, 326077, 1717869, 1718379, 1717890, 1795623, 1717940, 1774795, 1774812, 1717925]"/>
    <s v="[0.023, 0.071, 0.093, 0.009, 0.073, 0.005, 0.16, 0.131, 0.093, 0.076, 0.133, 0.038, 0.026, 0.072, 0.039]"/>
    <s v="2881.1904985050573"/>
    <s v="[0.023, -0.071, -0.093, -0.009, 0.073, -0.005, -0.16, 0.131, 0.093, -0.076, -0.133, 0.038, 0.026, -0.072, -0.039]"/>
  </r>
  <r>
    <x v="5280"/>
    <x v="5656"/>
    <x v="0"/>
    <s v="[0, 1, 1, 1, 1]"/>
    <s v="LINESTRING (6.624555175864384 59.901163877617684, 6.623493604250839 59.902076999552506, 6.62285683542034 59.9025488167657, 6.622779121711946 59.90259573466257, 6.622033311276153 59.90306677223796, 6.621880577549161 59.903126871358964)"/>
    <s v="[2007207, 2007215, 2007223, 2007231, 2007239]"/>
    <s v="[1757243, 1757249, 1757256, 1757260, 1757265]"/>
    <s v="#FIELD!"/>
    <s v="[1757242, 1757243, 1757249, 1757256, 1757260]"/>
    <s v="[0.003, 0.059, 0.088, 0.084, 0.07]"/>
    <s v="266.7418535060154"/>
    <s v="[0.003, -0.059, -0.088, -0.084, 0.07]"/>
  </r>
  <r>
    <x v="5280"/>
    <x v="5656"/>
    <x v="0"/>
    <s v="[0, 0, 0, 0, 1]"/>
    <s v="LINESTRING (6.624555175864384 59.901163877617684, 6.623392500279259 59.902056003758325, 6.622763100179526 59.902521367831895, 6.622692024785688 59.902563582765744, 6.621951121957701 59.90303298397933, 6.621880577549161 59.903126871358964)"/>
    <s v="[2021383, 2021391, 2021399, 2021407, 2021415]"/>
    <s v="[1757824, 1765804, 1765809, 1765814, 1757265]"/>
    <s v="#FIELD!"/>
    <s v="[1757242, 1757824, 1765804, 1765809, 1765814]"/>
    <s v="[0.14, 0.104, 0.097, 0.089, 1.118]"/>
    <s v="266.54991259259253"/>
    <s v="[0.14, -0.104, -0.097, -0.089, -1.118]"/>
  </r>
  <r>
    <x v="5281"/>
    <x v="5657"/>
    <x v="525"/>
    <s v="[1, 0, 0, 0, 0, 0, 0, 0, 0, 0, 0, 0, 0, 0, 0, 0, 0, 0, 0, 0, 0, 0]"/>
    <s v="LINESTRING (6.621880577549161 59.903126871358964, 6.621742828683663 59.90321645719738, 6.62167689332271 59.903270917350724, 6.6206826352261485 59.90412106552427, 6.619342330882621 59.90495564423185, 6.6184065685397675 59.905390725047134, 6.6176649569666015 59.90571454270839, 6.61118313482245 59.91041841074646, 6.611069029735521 59.91051798927381, 6.610983973134478 59.91060165323977, 6.608146451905821 59.91383838297067, 6.608140763434858 59.913850151901364, 6.608136600015979 59.913858750470794, 6.607752944404029 59.91463164178734, 6.606904288821489 59.91543294567162, 6.606890016040852 59.91544311703265, 6.606513057007468 59.915680003676755, 6.606370361910287 59.9157597991067, 6.587694038906713 59.92338407817938, 6.580981437287256 59.92654333491784, 6.5809468217525655 59.926547745180244, 6.5776651529271755 59.92648116855728, 6.57593245777632 59.926060943620634)"/>
    <s v="[2067251, 2067259, 2067267, 2067275, 2067283, 2067291, 2067299, 2067307, 2067315, 2067323, 2067331, 2067339, 2067347, 2067355, 2067363, 2067371, 2067379, 2067387, 2067395, 2067403, 2067411, 2067419]"/>
    <s v="[1795640, 1717811, 1795647, 1795650, 1780720, 1795658, 1794370, 1795670, 1794265, 1781108, 1795684, 1795687, 1795692, 1795697, 1767760, 1767781, 1795713, 1795717, 1795722, 1795729, 1795737, 1757270]"/>
    <s v="#FIELD!"/>
    <s v="[1757265, 1795640, 1717811, 1795647, 1795650, 1780720, 1795658, 1794370, 1795670, 1794265, 1781108, 1795684, 1795687, 1795692, 1795697, 1767760, 1767781, 1795713, 1795717, 1795722, 1795729, 1795737]"/>
    <s v="[0.067, 0.047, 0.01, 0.073, 0.009, 0.033, 0.025, 0.178, 0.154, 0.026, 0.001, 0.129, 0.094, 0.056, 0.068, 0.029, 0.022, 0.052, 0.046, 0.03, 0.004, 0.014]"/>
    <s v="3969.7392830215977"/>
    <s v="[0.067, 0.047, 0.01, -0.073, 0.009, 0.033, -0.025, -0.178, -0.154, -0.026, -0.001, -0.129, -0.094, -0.056, -0.068, -0.029, -0.022, -0.052, -0.046, -0.03, -0.004, -0.014]"/>
  </r>
  <r>
    <x v="5282"/>
    <x v="5315"/>
    <x v="0"/>
    <n v="0"/>
    <s v="LINESTRING (6.57593245777632 59.926060943620634, 6.574697984216602 59.92552107517266, 6.574664301148389 59.92550126651246, 6.5746366854512255 59.9254864346388, 6.574581375744223 59.9254494709217, 6.573973013319688 59.92501265307934, 6.573392492867886 59.924421378564226)"/>
    <s v="[2007247, 2007255, 2007263, 2007271, 2007279, 2007287]"/>
    <s v="[1757271, 1757275, 1757279, 1757285, 1757289, 1757294]"/>
    <s v="0.09712084576515112"/>
    <s v="[1757270, 1757271, 1757275, 1757279, 1757285, 1757289]"/>
    <s v="[0.075, 0.187, 0.118, 0.164, 0.112, 0.104]"/>
    <s v="236.46186556905812"/>
    <s v="[0.075, 0.187, 0.118, 0.164, 0.112, 0.104]"/>
  </r>
  <r>
    <x v="5282"/>
    <x v="5315"/>
    <x v="0"/>
    <n v="0"/>
    <s v="LINESTRING (6.57593245777632 59.926060943620634, 6.574743594306818 59.92546557833526, 6.574717671880592 59.92545101793828, 6.574070694273055 59.924988910368825, 6.573392492867886 59.924421378564226)"/>
    <s v="[2021423, 2021431, 2021439, 2021447]"/>
    <s v="[1765824, 1757523, 1765831, 1757294]"/>
    <s v="0.09850125426335164"/>
    <s v="[1757270, 1765824, 1757523, 1765831]"/>
    <s v="[0.134, 0.161, 0.16, 0.001]"/>
    <s v="233.6787227993139"/>
    <s v="[0.134, 0.161, 0.16, -0.001]"/>
  </r>
  <r>
    <x v="5283"/>
    <x v="3040"/>
    <x v="0"/>
    <n v="0"/>
    <s v="LINESTRING (5.340440815753649 60.355948277515694, 5.340494574267538 60.355969403140534, 5.3405365960095486 60.356024944566514, 5.340508581678641 60.35607535318324, 5.3404414589390035 60.356105709865844)"/>
    <s v="[2007416, 2007424, 2007432, 2007440]"/>
    <s v="[1752977, 1757386, 1757391, 1757396]"/>
    <s v="0.01250193304894134"/>
    <s v="[1757380, 1752977, 1757386, 1757391]"/>
    <s v="[0.023, 0.007, 0.028, 0.047]"/>
    <s v="21.303690251808398"/>
    <s v="[-0.023, -0.007, 0.028, 0.047]"/>
  </r>
  <r>
    <x v="5283"/>
    <x v="5580"/>
    <x v="0"/>
    <n v="0"/>
    <s v="LINESTRING (5.340213004229267 60.35597137985398, 5.3403082552134515 60.355940371271075, 5.340440815753649 60.355948277515694)"/>
    <s v="[2007472, 2007480]"/>
    <s v="[1757414, 1757380]"/>
    <s v="#FIELD!"/>
    <s v="[1757410, 1757414]"/>
    <s v="[0.047, 0.039]"/>
    <s v="13.703339747277184"/>
    <s v="[-0.047, -0.039]"/>
  </r>
  <r>
    <x v="5284"/>
    <x v="3045"/>
    <x v="0"/>
    <n v="0"/>
    <s v="LINESTRING (5.3404414589390035 60.356105709865844, 5.340316289444114 60.35611462657257, 5.340219186419973 60.35608580159072)"/>
    <s v="[2007448, 2007456]"/>
    <s v="[1757401, 1757406]"/>
    <s v="0.04227658257067281"/>
    <s v="[1757396, 1757401]"/>
    <s v="[0.047, 0.037]"/>
    <s v="13.269424145606415"/>
    <s v="[0.047, 0.037]"/>
  </r>
  <r>
    <x v="5285"/>
    <x v="5580"/>
    <x v="0"/>
    <n v="0"/>
    <m/>
    <n v="2007464"/>
    <n v="1757410"/>
    <s v="#FIELD!"/>
    <n v="1757406"/>
    <s v="0.017"/>
    <s v="13.63789890486388"/>
    <s v="#FIELD!"/>
  </r>
  <r>
    <x v="5286"/>
    <x v="5556"/>
    <x v="0"/>
    <n v="0"/>
    <s v="LINESTRING (5.2822277974103375 60.54538800554212, 5.282146896424274 60.545406488979864, 5.28198438493824 60.54539726683423, 5.281880457218979 60.54534621063552, 5.281858376280585 60.54530387988379)"/>
    <s v="[2007624, 2007632, 2007640, 2007648]"/>
    <s v="[1757510, 1757516, 1757521, 1757524]"/>
    <s v="#FIELD!"/>
    <s v="[1757502, 1757510, 1757516, 1757521]"/>
    <s v="[0.006, 0.014, 0.03, 0.041]"/>
    <s v="26.87906636125478"/>
    <s v="[0.006, -0.014, -0.03, -0.041]"/>
  </r>
  <r>
    <x v="5287"/>
    <x v="4456"/>
    <x v="0"/>
    <n v="0"/>
    <s v="LINESTRING (5.4434764290341136 60.20411188607404, 5.443718780930749 60.204261750356615, 5.443677282911005 60.20431027963138, 5.4435916119357195 60.20434836201749, 5.443417115765026 60.20436099397033, 5.443313539716939 60.20433627947822, 5.443261852883147 60.204308103727605, 5.443218947086327 60.204250633102255, 5.4432294804444785 60.20420175122291, 5.443280057554053 60.20414655721812)"/>
    <n v="2007744"/>
    <n v="1757535"/>
    <s v="#FIELD!"/>
    <n v="1757568"/>
    <s v="0.294"/>
    <s v="11.589739988319234"/>
    <s v="#FIELD!"/>
  </r>
  <r>
    <x v="5288"/>
    <x v="5658"/>
    <x v="526"/>
    <s v="[0, 1, 0, 0, 0, 0, 0, 0, 0, 0, 0, 0, 0, 0, 0, 0, 1, 0, 0, 1, 0, 0, 0, 0, 0, 0, 0, 0, 0, 0, 1, 0, 0, 0, 0, 0, 0, 0, 0, 0, 0, 0, 0, 0, 0, 0, 1, 0, 0, 0, 0, 0, 0, 0, 0, 0, 0, 0, 0, 0, 0, 0, 0, 0, 0, 0, 0, 0, 0, 0, 0, 0, 0, 0, 0, 0, 0, 0, 0, 0, 0, 0, 0, 0, 0, 0, 0, 0, 0, 0, 0, 0, 0, 0, 0, 0, 0, 0, 0, 0, 0, 0, 0, 0, 0]"/>
    <s v="LINESTRING (6.507483873722071 60.79156534641353, 6.507275487447396 60.79148073011945, 6.5068894759026685 60.79132059026303, 6.5066279822427395 60.79118391476687, 6.505811757638219 60.79060006461872, 6.505303080326026 60.79018696865044, 6.501519349448431 60.78799211692226, 6.496595509084365 60.78432339952976, 6.4905726063002165 60.78409679086707, 6.489457235714131 60.78386780227096, 6.487871829399543 60.782028184380444, 6.487442760489323 60.78149375706571, 6.4872457723691515 60.78126389486138, 6.486945203492427 60.78090096717982, 6.486101746263306 60.779900680541296, 6.484458252807052 60.77790093563154, 6.4842937784447185 60.77702219502865, 6.484307450010948 60.77689708885395, 6.4855973049839655 60.77402925289681, 6.485720142350845 60.77391561924066, 6.485982612718225 60.7736972906175, 6.4861242889597985 60.773580661039404, 6.487593353305193 60.77162143153783, 6.487635200249957 60.77142298077445, 6.487955200430564 60.77070899653681, 6.488094219486955 60.77049146708821, 6.48841862248041 60.76998439646833, 6.488673427206691 60.76960019527955, 6.488925739182463 60.76929003122215, 6.488987624172485 60.76923721688773, 6.489380579842732 60.76896641515756, 6.49011752740331 60.76856886468469, 6.490207806725857 60.76852040102456, 6.490361847078392 60.76843898348582, 6.491932103742661 60.76756659817753, 6.492826176387379 60.764965882741755, 6.49256152092385 60.76378393524035, 6.492490146507287 60.76346059445149, 6.498492597453995 60.755341253111915, 6.500708214089904 60.75283287046469, 6.5007123627511225 60.752684600454735, 6.499276837763969 60.74862568065474, 6.4991164086786 60.74854048746662, 6.493216620562135 60.745258906172666, 6.48995139535102 60.74211424202843, 6.489960840951691 60.74191770586196, 6.489976286628399 60.74181474976956, 6.490030615870433 60.74137165451472, 6.490453696790698 60.730690397970776, 6.490482011537695 60.73046079715953, 6.490648309338516 60.7284882135336, 6.490332732862845 60.72764809487879, 6.490263933918491 60.72596946816772, 6.491384219991952 60.72442528804085, 6.491403797697639 60.724393189265896, 6.491668886574599 60.72387362302682, 6.491808691591351 60.72325847006838, 6.491809020736097 60.72287494226592, 6.490598449651392 60.72080329737336, 6.489680767984231 60.71974304753333, 6.489560794897098 60.719594841751466, 6.485665019091777 60.71336808794935, 6.48561244341886 60.709842620903665, 6.4836112501777015 60.70762215070104, 6.480724801128031 60.7057191247937, 6.480065659490926 60.705011084857524, 6.479987480253735 60.70491367636429, 6.475684365453543 60.69959102956516, 6.474147784605543 60.69797960171508, 6.472256778870952 60.6945109806662, 6.472026062901314 60.69430302106061, 6.4705738836152715 60.693047016473066, 6.468904113516972 60.691933450996395, 6.468189934492907 60.69156484652174, 6.466437103091527 60.690317442009466, 6.465544275375691 60.68962867386076, 6.464973473780107 60.68918263224533, 6.46435724070801 60.688709442097306, 6.464316000166024 60.68867805919093, 6.462896687204452 60.687600611004775, 6.461737282788759 60.686546060267574, 6.461476879395856 60.685981074359816, 6.461423007970297 60.685756827270254, 6.460403703375724 60.68230286102514, 6.460150983261874 60.682067271192196, 6.459695651550675 60.681717432494004, 6.458961111136356 60.681158203581596, 6.4582936447137165 60.6805292236977, 6.456973924232341 60.67956912173706, 6.456051792919479 60.67851290144577, 6.4526567066502 60.67439204734457, 6.451647908150382 60.67177113819833, 6.451606003311275 60.67174126054476, 6.450908947876775 60.67125663011652, 6.45044532508659 60.670948923801014, 6.4503310884422795 60.670872851557604, 6.449837908533966 60.670198549418934, 6.4487154843686865 60.66897356314453, 6.447390149050255 60.66845527963479, 6.44668547550955 60.668200613975024, 6.44356835717854 60.66666676640541, 6.439661147264105 60.66422981154247, 6.437860032474023 60.663221948436416, 6.436988992918558 60.662689445064004, 6.436123566667373 60.66112009635637, 6.436055698878039 60.65970401722039)"/>
    <s v="[2055505, 2055513, 2055521, 2055529, 2055537, 2055545, 2055553, 2055561, 2055569, 2055577, 2055585, 2055593, 2055601, 2055609, 2055617, 2055625, 2055633, 2055641, 2055649, 2055657, 2055665, 2055673, 2055681, 2055689, 2055697, 2055705, 2055713, 2055721, 2055729, 2055737, 2055745, 2055753, 2055761, 2055769, 2055777, 2055785, 2055793, 2055801, 2055809, 2055817, 2055825, 2055833, 2055841, 2055849, 2055857, 2055865, 2055873, 2055881, 2055889, 2055897, 2055905, 2055913, 2055921, 2055929, 2055937, 2055945, 2055953, 2055961, 2055969, 2055977, 1991032, 1991035, 1991036, 1991037, 1991041, 1991042, 1991043, 1991044, 1991045, 1991046, 1991049, 1991050, 1991051, 1991056, 1991057, 1991058, 1991061, 1991062, 1991063, 1991064, 1991066, 1991079, 1991082, 1991090, 1991098, 1991106, 1991114, 1991128, 1991129, 1991154, 1991176, 1991192, 1991213, 1991221, 1991251, 1991277, 1991315, 1991323, 1991351, 1991377, 1991383, 1991394, 1991397, 1991400, 2061332]"/>
    <s v="[1788024, 1788032, 1720498, 1788044, 1788049, 1717442, 1723240, 1788068, 1788076, 1698611, 1698456, 454017, 1670167, 1698052, 1788110, 1788118, 1788125, 1698223, 1788136, 1788144, 1775058, 1788156, 1788162, 1788168, 1768386, 1788181, 1720658, 1788190, 1788195, 1788201, 1788208, 1788215, 1788222, 1788232, 1723238, 1723226, 1788252, 1698157, 1723258, 1723224, 1788278, 1774906, 1788292, 688882, 1788306, 1745782, 1788318, 1698082, 1788326, 1788331, 1698112, 1788341, 1788348, 1776954, 1788356, 1788363, 1757360, 1788372, 1788379, 1748666, 1714723, 1748669, 1714694, 1723943, 1748672, 1748673, 1714671, 1748674, 1714663, 1714654, 1714632, 1714617, 1714610, 1714558, 1714542, 1714549, 1748675, 1714534, 1723147, 1723192, 1748677, 1748689, 1723098, 1714564, 1723476, 1714596, 1714602, 1748719, 1748720, 1697585, 1748749, 1726045, 1726054, 1722356, 1697554, 1748832, 1748861, 1714485, 1748879, 1714493, 1748896, 1748905, 1748906, 1748907, 1791946]"/>
    <s v="#FIELD!"/>
    <s v="[1760937, 1788024, 1788032, 1720498, 1788044, 1788049, 1717442, 1723240, 1788068, 1788076, 1698611, 1698456, 454017, 1670167, 1698052, 1788110, 1788118, 1788125, 1698223, 1788136, 1788144, 1775058, 1788156, 1788162, 1788168, 1768386, 1788181, 1720658, 1788190, 1788195, 1788201, 1788208, 1788215, 1788222, 1788232, 1723238, 1723226, 1788252, 1698157, 1723258, 1723224, 1788278, 1774906, 1788292, 688882, 1788306, 1745782, 1788318, 1698082, 1788326, 1788331, 1698112, 1788341, 1788348, 1776954, 1788356, 1788363, 1757360, 1788372, 1788379, 1748666, 1714723, 1748669, 1714694, 1723943, 1748672, 1748673, 1714671, 1748674, 1714663, 1714654, 1714632, 1714617, 1714610, 1714558, 1714542, 1714549, 1748675, 1714534, 1723147, 1723192, 1748677, 1748689, 1723098, 1714564, 1723476, 1714596, 1714602, 1748719, 1748720, 1697585, 1748749, 1726045, 1726054, 1722356, 1697554, 1748832, 1748861, 1714485, 1748879, 1714493, 1748896, 1748905, 1748906, 1748907]"/>
    <s v="[2.064, 0.05, 0.023, 0.014, 0.046, 0.037, 0.046, 0.051, 0.085, 0.169, 0.085, 0.007, 0.006, 0.009, 0.016, 0.016, 0.012, 0.005, 0.003, 0.002, 0.0, 0.003, 0.001, 0.023, 0.078, 0.07, 0.058, 0.05, 0.041, 0.034, 0.014, 0.001, 0.003, 0.029, 0.037, 0.022, 0.017, 0.014, 0.012, 0.009, 0.01, 0.007, 0.005, 0.046, 0.053, 0.073, 0.071, 0.031, 0.008, 0.018, 0.028, 0.014, 0.016, 0.022, 0.019, 0.018, 0.019, 0.002, 0.007, 0.05, 0.001, 0.026, 0.034, 0.009, 0.043, 0.036, 0.006, 0.007, 0.008, 0.026, 0.016, 0.011, 0.02, 0.016, 0.011, 0.004, 0.029, 0.049, 0.002, 0.035, 0.059, 0.083, 0.004, 0.011, 0.004, 0.016, 0.006, 0.014, 0.031, 0.006, 0.028, 0.023, 0.024, 0.03, 0.034, 0.059, 0.042, 0.052, 0.027, 0.036, 0.001, 0.008, 0.04, 0.021, 0.009]"/>
    <s v="16848.32462946228"/>
    <s v="[2.064, 0.05, 0.023, -0.014, -0.046, -0.037, 0.046, -0.051, -0.085, -0.169, -0.085, -0.007, -0.006, -0.009, -0.016, -0.016, -0.012, 0.005, 0.003, 0.002, -0.0, -0.003, 0.001, 0.023, 0.078, 0.07, 0.058, 0.05, 0.041, 0.034, 0.014, 0.001, -0.003, -0.029, -0.037, 0.022, 0.017, -0.014, -0.012, -0.009, 0.01, -0.007, -0.005, -0.046, -0.053, -0.073, -0.071, -0.031, -0.008, -0.018, -0.028, -0.014, -0.016, -0.022, -0.019, -0.018, -0.019, 0.002, -0.007, 0.05, -0.001, -0.026, -0.034, 0.009, -0.043, -0.036, 0.006, 0.007, 0.008, 0.026, 0.016, 0.011, -0.02, 0.016, -0.011, 0.004, -0.029, -0.049, -0.002, 0.035, -0.059, -0.083, -0.004, -0.011, 0.004, 0.016, 0.006, 0.014, -0.031, 0.006, 0.028, -0.023, -0.024, -0.03, -0.034, -0.059, -0.042, 0.052, 0.027, -0.036, -0.001, 0.008, 0.04, -0.021, -0.009]"/>
  </r>
  <r>
    <x v="5289"/>
    <x v="5659"/>
    <x v="0"/>
    <n v="0"/>
    <s v="LINESTRING (6.4240697618891724 60.62939519707025, 6.423810277294825 60.62930486575248, 6.423714945929105 60.629189043334506, 6.423741844294047 60.62912629635803, 6.4239457818724235 60.62879492746319, 6.423895504683843 60.62874997471619)"/>
    <s v="[2013613, 2013621, 2013629, 2013637, 2069927]"/>
    <s v="[1760944, 1171697, 1760950, 1760955, 1797356]"/>
    <s v="0.07036920771603065"/>
    <s v="[1760943, 1760944, 1171697, 1760950, 1760955]"/>
    <s v="[0.015, 0.021, 0.022, 0.023, 1.306]"/>
    <s v="83.42097185707395"/>
    <s v="[-0.015, -0.021, -0.022, -0.023, 1.306]"/>
  </r>
  <r>
    <x v="5289"/>
    <x v="5660"/>
    <x v="0"/>
    <n v="0"/>
    <s v="LINESTRING (6.4240697618891724 60.62939519707025, 6.423843452876083 60.62918037949594, 6.424068551534138 60.62884144471577, 6.4240770908423315 60.62878993950195)"/>
    <s v="[2017006, 2017014, 2069911]"/>
    <s v="[1762886, 1762891, 1797345]"/>
    <s v="0.08762306487629547"/>
    <s v="[1760943, 1762886, 1762891]"/>
    <s v="[0.035, 0.019, 1.406]"/>
    <s v="73.02039249753764"/>
    <s v="[-0.035, -0.019, 1.406]"/>
  </r>
  <r>
    <x v="5289"/>
    <x v="5661"/>
    <x v="0"/>
    <n v="0"/>
    <s v="LINESTRING (6.436135129933391 60.64177920979084, 6.436217762143958 60.64120499514001, 6.436175814888411 60.64007809809928, 6.4365880333850045 60.63929437115886, 6.43662847198276 60.63925033148042, 6.436677458873078 60.6391952918715, 6.43752194266922 60.63833827429532, 6.437528680177965 60.63833226025265, 6.437971915302355 60.6379274191271, 6.438635977136942 60.63732891908814, 6.438657768847766 60.637307989299494, 6.438382297058458 60.63718510600383, 6.438287644556546 60.6370418321326, 6.435618414015611 60.63532305613499, 6.434821767931341 60.634827859214845, 6.4343390340627735 60.634521283632154, 6.433827513825409 60.6341993029189, 6.428807366719394 60.63115817419937, 6.428616354701166 60.631058029263514, 6.427751466122721 60.6306282703282, 6.42549110713455 60.629853281970405, 6.424612869564542 60.62958157975174, 6.424417996068212 60.62951395315325, 6.424396902035598 60.62950690160719, 6.424382593293241 60.62950211243875, 6.4240697618891724 60.62939519707025)"/>
    <s v="[2115402, 2115410, 1991401, 1991415, 2055985, 2055993, 2056001, 2056009, 2056017, 2056025, 378600, 2056033, 2056041, 2056049, 2056057, 2056065, 2056073, 2056081, 2056089, 2056097, 2056105, 2056113, 2056121, 2056129, 2056137]"/>
    <s v="[1824436, 1748908, 1748909, 1748917, 1788389, 1788396, 1788400, 1788407, 1788412, 367524, 367525, 1788422, 1775213, 1775208, 1788434, 1788438, 1694890, 1788446, 1678853, 1693529, 1788463, 1279936, 1788473, 1788477, 1760943]"/>
    <s v="#FIELD!"/>
    <s v="[1824435, 1824436, 1748908, 1748909, 1748917, 1788389, 1788396, 1788400, 1788407, 1788412, 367524, 367525, 1788422, 1775213, 1775208, 1788434, 1788438, 1694890, 1788446, 1678853, 1693529, 1788463, 1279936, 1788473, 1788477]"/>
    <s v="[0.014, 0.058, 0.008, 0.014, 0.165, 0.004, 0.009, 0.005, 0.009, 1.411, 0.021, 0.25, 0.001, 0.001, 0.002, 0.0, 0.029, 0.037, 0.043, 0.017, 0.014, 0.016, 0.0, 0.031, 0.01]"/>
    <s v="1741.6321041414915"/>
    <s v="[-0.014, -0.058, -0.008, -0.014, -0.165, 0.004, 0.009, 0.005, 0.009, -1.411, -0.021, 0.25, -0.001, 0.001, 0.002, -0.0, -0.029, -0.037, -0.043, -0.017, -0.014, -0.016, 0.0, -0.031, 0.01]"/>
  </r>
  <r>
    <x v="5290"/>
    <x v="1375"/>
    <x v="0"/>
    <n v="0"/>
    <s v="LINESTRING (6.422357506552807 60.62838087260803, 6.421744544060044 60.62831509726921, 6.41925803478115 60.62822620058967, 6.418116129135039 60.62819632056547, 6.416433342171989 60.628352414360826, 6.415795062779531 60.62848165220801)"/>
    <s v="[2056145, 2056153, 2056161, 2056169, 2056177]"/>
    <s v="[1679165, 1694265, 1695151, 1777671, 1694778]"/>
    <s v="0.02473421167701224"/>
    <s v="[1760961, 1679165, 1694265, 1695151, 1777671]"/>
    <s v="[0.011, 0.004, 0.02, 0.036, 0.112]"/>
    <s v="366.3297651529798"/>
    <s v="[-0.011, 0.004, 0.02, 0.036, 0.112]"/>
  </r>
  <r>
    <x v="5290"/>
    <x v="5662"/>
    <x v="0"/>
    <n v="0"/>
    <s v="LINESTRING (6.424102870539285 60.62871054780531, 6.4239570193047655 60.62868063007033, 6.42375467343395 60.62863972210593, 6.422357506552807 60.62838087260803)"/>
    <s v="[2069895, 2069903, 2017022]"/>
    <s v="[1797330, 1762898, 1760961]"/>
    <s v="#FIELD!"/>
    <s v="[1055039, 1797330, 1762898]"/>
    <s v="[0.046, 0.598, 0.012]"/>
    <s v="103.07557324886477"/>
    <s v="[-0.046, -0.598, -0.012]"/>
  </r>
  <r>
    <x v="5290"/>
    <x v="5659"/>
    <x v="0"/>
    <n v="0"/>
    <s v="LINESTRING (6.423895504683843 60.62874997471619, 6.423696450312035 60.62869483810175, 6.422357506552807 60.62838087260803)"/>
    <s v="[2069959, 2013645]"/>
    <s v="[1760960, 1760961]"/>
    <s v="#FIELD!"/>
    <s v="[1797356, 1760960]"/>
    <s v="[0.622, 0.015]"/>
    <s v="94.05261530943046"/>
    <s v="[-0.622, -0.015]"/>
  </r>
  <r>
    <x v="5291"/>
    <x v="5467"/>
    <x v="0"/>
    <s v="[0, 0, 1, 1, 0, 0, 0, 0, 0, 0, 0, 1]"/>
    <s v="LINESTRING (5.74496511976355 60.480445872282914, 5.744764310421297 60.47932157932118, 5.744710897836703 60.479195043746785, 5.744658040268669 60.4790602664634, 5.744572785620923 60.47881589147484, 5.744531411796572 60.47871343981534, 5.744515730114497 60.47867462797999, 5.744494789869506 60.47862422059441, 5.744484268185963 60.47859887769279, 5.744347126571123 60.47822669033592, 5.744266351809531 60.47779710336309, 5.744256016440197 60.47751433618411, 5.74429222247675 60.4774138158354)"/>
    <s v="[2013685, 2013693, 2013701, 2013709, 2080281, 2080289, 2080297, 2080305, 2013717, 2013725, 2013733, 2013741]"/>
    <s v="[1760982, 1760986, 1760989, 1760994, 1803770, 1803778, 1803784, 1761000, 1761001, 1761004, 1761007, 1761012]"/>
    <s v="#FIELD!"/>
    <s v="[1760981, 1760982, 1760986, 1760989, 1760994, 1803770, 1803778, 1803784, 1761000, 1761001, 1761004, 1761007]"/>
    <s v="[0.071, 0.094, 0.092, 0.074, 0.046, 0.09, 0.088, 0.375, 0.039, 0.179, 0.194, 0.233]"/>
    <s v="342.11897343975346"/>
    <s v="[-0.071, 0.094, 0.092, 0.074, -0.046, 0.09, 0.088, 0.375, 0.039, -0.179, 0.194, 0.233]"/>
  </r>
  <r>
    <x v="5291"/>
    <x v="5467"/>
    <x v="0"/>
    <s v="[0, 0, 1, 1, 0, 0, 0, 0, 0, 1]"/>
    <s v="LINESTRING (5.74496511976355 60.480445872282914, 5.744898823057709 60.479318780240256, 5.744845534699845 60.479191810486356, 5.7447895947637235 60.479055009592116, 5.744694602940249 60.47880652716202, 5.74465230224065 60.47870130777141, 5.744615352000337 60.47861099891831, 5.744605183406164 60.47858653048954, 5.744465983330235 60.478217869439725, 5.74432910612733 60.47751493187925, 5.74429222247675 60.4774138158354)"/>
    <s v="[2017046, 2017054, 2017062, 2017070, 2080313, 2080321, 2080329, 2017078, 2017086, 2017094]"/>
    <s v="[1762911, 1762914, 1762918, 1762924, 1803801, 1803807, 1762931, 1762932, 1762937, 1761012]"/>
    <s v="#FIELD!"/>
    <s v="[1760981, 1762911, 1762914, 1762918, 1762924, 1803801, 1803807, 1762931, 1762932, 1762937]"/>
    <s v="[0.125, 0.015, 0.024, 0.041, 1.086, 0.092, 5.529, 0.029, 0.196, 0.138]"/>
    <s v="342.64126039516356"/>
    <s v="[-0.125, -0.015, -0.024, -0.041, 1.086, 0.092, -5.529, 0.029, 0.196, 0.138]"/>
  </r>
  <r>
    <x v="5292"/>
    <x v="5663"/>
    <x v="0"/>
    <n v="0"/>
    <s v="LINESTRING (5.518090236862083 60.42129587908528, 5.517899271581986 60.421403971067335, 5.517886739320588 60.42141045899797, 5.517201162582668 60.42173214759314, 5.516441299517033 60.42199039714234, 5.516129867222056 60.4220792538157, 5.516052663348881 60.42210110794676, 5.51599043170245 60.422118069251894, 5.515039343730026 60.422360821069, 5.514217907036877 60.422506220950275, 5.513379950268027 60.42260512421179)"/>
    <s v="[2013781, 2013789, 2013797, 2013805, 2013813, 2013821, 2013829, 2013837, 2013845, 2013853]"/>
    <s v="[1761029, 1761033, 1761037, 1761040, 1761043, 1761045, 1753492, 1761051, 1761054, 1761060]"/>
    <s v="0.03667893668520534"/>
    <s v="[1761028, 1761029, 1761033, 1761037, 1761040, 1761043, 1761045, 1753492, 1761051, 1761054]"/>
    <s v="[0.144, 0.038, 0.038, 0.01, 0.083, 0.077, 0.126, 0.081, 0.093, 0.213]"/>
    <s v="304.075584588985"/>
    <s v="[0.144, 0.038, 0.038, -0.01, -0.083, -0.077, -0.126, -0.081, 0.093, 0.213]"/>
  </r>
  <r>
    <x v="5292"/>
    <x v="5663"/>
    <x v="0"/>
    <n v="0"/>
    <s v="LINESTRING (5.518090236862083 60.42129587908528, 5.517873516833906 60.421388231612575, 5.517859667934625 60.421393847298106, 5.517101514810102 60.421662323639566, 5.515968062978227 60.42203236394922, 5.514174820536531 60.422452810808736, 5.513379950268027 60.42260512421179)"/>
    <s v="[2017134, 2017142, 2017150, 2017158, 2017167, 2017175]"/>
    <s v="[1762967, 1762972, 1762977, 1753491, 1762987, 1761060]"/>
    <s v="0.037022294731117976"/>
    <s v="[1761028, 1762967, 1762972, 1762977, 1753491, 1762987]"/>
    <s v="[0.197, 0.161, 0.083, 0.034, 0.006, 0.144]"/>
    <s v="300.4657700791947"/>
    <s v="[0.197, 0.161, 0.083, -0.034, -0.006, 0.144]"/>
  </r>
  <r>
    <x v="5293"/>
    <x v="5531"/>
    <x v="0"/>
    <s v="[0, 0, 0, 0, 0, 0, 0, 0, 0, 0, 0, 0, 0, 0, 0, 0, 0, 1, 0]"/>
    <s v="LINESTRING (5.513379950268027 60.42260512421179, 5.51329630732509 60.422616702688195, 5.51329236005595 60.42261725101215, 5.511445573153366 60.422857678858335, 5.511339644098131 60.4228691556537, 5.5113354254861235 60.42286969346431, 5.505149582070872 60.42364583382325, 5.505131866309102 60.42364767060499, 5.505099943607178 60.42365098157187, 5.504925708472954 60.423668989685105, 5.504612593842851 60.42369810705644, 5.504563807222768 60.423702348271696, 5.504558943899359 60.42370277620828, 5.491045539166525 60.42118331628754, 5.491029642297973 60.42117904234752, 5.469222436595569 60.41771025423542, 5.46913255685096 60.41771802645552, 5.4687040418359 60.41773230408218, 5.4660899043163305 60.41746213427202, 5.465508662985873 60.41730620446566)"/>
    <s v="[2058723, 2058731, 2058739, 2058747, 2058755, 2058763, 2058771, 2058786, 2058794, 2058802, 2058810, 2058818, 2058826, 2058834, 2058842, 2058858, 2058866, 2058870, 2058871]"/>
    <s v="[1790195, 1790199, 1790204, 1790210, 1790218, 1790224, 1790230, 1790236, 1790239, 1790243, 1790250, 1790256, 1790262, 1790267, 1790270, 1790277, 1790281, 1790284, 1761062]"/>
    <s v="#FIELD!"/>
    <s v="[1761060, 1790195, 1790199, 1790204, 1790210, 1790218, 1790224, 1790230, 1790236, 1790239, 1790243, 1790250, 1790256, 1790262, 1790267, 1790270, 1790277, 1790281, 1790284]"/>
    <s v="[0.268, 0.989, 0.005, 0.203, 0.0, 0.008, 0.334, 0.278, 0.24, 0.263, 0.305, 0.0, 0.338, 0.278, 0.248, 0.241, 0.245, 0.007, 0.124]"/>
    <s v="2855.8100902686633"/>
    <s v="[0.268, 0.989, 0.005, -0.203, 0.0, -0.008, 0.334, 0.278, 0.24, 0.263, 0.305, 0.0, 0.338, 0.278, -0.248, -0.241, -0.245, 0.007, 0.124]"/>
  </r>
  <r>
    <x v="5294"/>
    <x v="5358"/>
    <x v="0"/>
    <n v="0"/>
    <s v="LINESTRING (5.474514228822105 59.7706966731084, 5.476291535342757 59.77115109914904, 5.4774796854101435 59.771500825036256, 5.47751328653401 59.77151423072908, 5.477605279342799 59.77154336949033, 5.478617219636548 59.77196686967298, 5.479885235368895 59.772582621720886)"/>
    <s v="[2014173, 2014181, 2014189, 2014197, 2014205, 2014213]"/>
    <s v="[1761222, 1761226, 1761231, 1761236, 1761241, 1761249]"/>
    <s v="#FIELD!"/>
    <s v="[1761221, 1761222, 1761226, 1761231, 1761236, 1761241]"/>
    <s v="[0.06, 0.03, 0.003, 0.001, 0.015, 0.048]"/>
    <s v="372.943983518855"/>
    <s v="[-0.06, -0.03, -0.003, -0.001, 0.015, 0.048]"/>
  </r>
  <r>
    <x v="5294"/>
    <x v="5358"/>
    <x v="0"/>
    <n v="0"/>
    <s v="LINESTRING (5.474514228822105 59.7706966731084, 5.476218481427764 59.77118619371979, 5.47743879964782 59.77157240447113, 5.4785263204287995 59.772011095556415, 5.479885235368895 59.772582621720886)"/>
    <s v="[2017456, 2017464, 2017472, 2017480]"/>
    <s v="[1763155, 1756059, 1763165, 1761249]"/>
    <s v="#FIELD!"/>
    <s v="[1761221, 1763155, 1756059, 1763165]"/>
    <s v="[0.06, 0.018, 0.01, 0.041]"/>
    <s v="370.2233262143498"/>
    <s v="[-0.06, -0.018, 0.01, 0.041]"/>
  </r>
  <r>
    <x v="5295"/>
    <x v="4743"/>
    <x v="0"/>
    <n v="0"/>
    <s v="LINESTRING (5.48326777643822 59.77840092203696, 5.482975646532939 59.77933530009424, 5.48283952156631 59.779704207843594, 5.482589155529725 59.780388421825435, 5.482109968418017 59.781588393083155)"/>
    <s v="[2014221, 2014229, 2014237, 2014245]"/>
    <s v="[1761257, 1753359, 1761267, 1761273]"/>
    <s v="#FIELD!"/>
    <s v="[1761256, 1761257, 1753359, 1761267]"/>
    <s v="[0.021, 0.024, 0.019, 0.026]"/>
    <s v="362.51087827740884"/>
    <s v="[-0.021, -0.024, -0.019, 0.026]"/>
  </r>
  <r>
    <x v="5295"/>
    <x v="4743"/>
    <x v="0"/>
    <n v="0"/>
    <s v="LINESTRING (5.48326777643822 59.77840092203696, 5.482868672951571 59.77932750480475, 5.48272993523972 59.77969801193138, 5.482482635199993 59.78037878783414, 5.482109968418017 59.781588393083155)"/>
    <s v="[2017488, 2017496, 2017504, 2017512]"/>
    <s v="[1763173, 1753358, 1763183, 1761273]"/>
    <s v="#FIELD!"/>
    <s v="[1761256, 1763173, 1753358, 1763183]"/>
    <s v="[0.022, 0.008, 0.01, 0.0]"/>
    <s v="362.76643962155663"/>
    <s v="[-0.022, 0.008, 0.01, -0.0]"/>
  </r>
  <r>
    <x v="5296"/>
    <x v="5664"/>
    <x v="0"/>
    <n v="0"/>
    <s v="LINESTRING (5.331377326081296 60.47266312292471, 5.33152058179508 60.47269802924104, 5.332644340891335 60.473836324916405, 5.333284932894525 60.47426438161689, 5.333780448993544 60.47401306800211, 5.333752943145059 60.47392219256286)"/>
    <s v="[2043150, 2043231, 2043236, 2043238, 2043246]"/>
    <s v="[1780623, 1780675, 1780678, 1780679, 1780685]"/>
    <s v="#FIELD!"/>
    <s v="[1761962, 1780623, 1780675, 1780678, 1780679]"/>
    <s v="[0.125, 0.009, 0.022, 0.024, 0.007]"/>
    <s v="271.87968221740863"/>
    <s v="[-0.125, -0.009, -0.022, -0.024, 0.007]"/>
  </r>
  <r>
    <x v="5297"/>
    <x v="5593"/>
    <x v="0"/>
    <n v="0"/>
    <s v="LINESTRING (5.333931089317562 60.38348145239207, 5.325245694296963 60.385346413029694, 5.324938235557228 60.38546807722676, 5.324854618889361 60.38550143508871)"/>
    <s v="[2015630, 2015638, 2015646]"/>
    <s v="[1762023, 1762026, 1762030]"/>
    <s v="0.03068672741342897"/>
    <s v="[1762019, 1762023, 1762026]"/>
    <s v="[0.035, 0.056, 0.047]"/>
    <s v="572.3547681214689"/>
    <s v="[0.035, -0.056, -0.047]"/>
  </r>
  <r>
    <x v="5298"/>
    <x v="5665"/>
    <x v="0"/>
    <n v="0"/>
    <s v="LINESTRING (5.324854618889361 60.38550143508871, 5.320152983146173 60.38607693107131, 5.320140616561758 60.38607270367557, 5.3200792905005665 60.38605103401502, 5.319727321681646 60.385883275195475, 5.319400853669168 60.38569098336583, 5.319242353277245 60.385593407118925)"/>
    <s v="[2015654, 2015662, 2015678, 2015686, 2015694, 2015702]"/>
    <s v="[1762036, 1762040, 1762050, 1762055, 1762059, 1762062]"/>
    <s v="#FIELD!"/>
    <s v="[1762030, 1762036, 1762040, 1762050, 1762055, 1762059]"/>
    <s v="[0.02, 0.152, 0.086, 0.079, 0.061, 0.049]"/>
    <s v="360.7185755771288"/>
    <s v="[-0.02, -0.152, -0.086, -0.079, -0.061, -0.049]"/>
  </r>
  <r>
    <x v="5299"/>
    <x v="5666"/>
    <x v="0"/>
    <n v="1"/>
    <s v="LINESTRING (5.319242353277245 60.385593407118925, 5.319174026724134 60.3855451539468, 5.3152696180532795 60.38276444063526)"/>
    <s v="[2015710, 2015718]"/>
    <s v="[1762065, 1762071]"/>
    <s v="#FIELD!"/>
    <s v="[1762062, 1762065]"/>
    <s v="[0.038, 0.0]"/>
    <s v="385.05355991439893"/>
    <s v="[-0.038, 0.0]"/>
  </r>
  <r>
    <x v="5299"/>
    <x v="5667"/>
    <x v="0"/>
    <n v="0"/>
    <s v="LINESTRING (5.3189452970341184 60.38633413658872, 5.3189452970341184 60.38633413658872, 5.319097256107113 60.38633443697939, 5.319278161577861 60.385662972387834, 5.319242353277245 60.385593407118925)"/>
    <s v="[2016846, 2016854, 2054296, 2018539]"/>
    <s v="[1762786, 1762792, 1763811, 1762062]"/>
    <s v="#FIELD!"/>
    <s v="[1762785, 1762786, 1762792, 1763811]"/>
    <s v="[0.0, 0.076, 0.027, 0.087]"/>
    <s v="141.19913294100544"/>
    <s v="[0.0, 0.076, -0.027, 0.087]"/>
  </r>
  <r>
    <x v="5300"/>
    <x v="5668"/>
    <x v="0"/>
    <s v="[1, 1, 0, 0, 0, 0, 0, 0, 0, 0]"/>
    <s v="LINESTRING (5.3152696180532795 60.38276444063526, 5.314888000441703 60.38249399237731, 5.314614180921086 60.38233712146197, 5.314372940402856 60.382220073305945, 5.314032292458959 60.38207286475638, 5.313903551255535 60.382025832991914, 5.313886455739225 60.382019710742185, 5.313799646080116 60.38198726485912, 5.309860244261304 60.38105553328342, 5.309487408186464 60.38101564220341, 5.308909257784762 60.38095840839068)"/>
    <s v="[2015726, 2015734, 2015742, 2015750, 2015758, 2015774, 2015782, 2015790, 2015798, 2015806]"/>
    <s v="[1762078, 1762083, 1762088, 1762092, 1762096, 1762102, 1762106, 1762110, 1762114, 1762120]"/>
    <s v="0.15952282541883922"/>
    <s v="[1762071, 1762078, 1762083, 1762088, 1762092, 1762096, 1762102, 1762106, 1762110, 1762114]"/>
    <s v="[0.123, 0.122, 0.084, 0.124, 0.117, 0.206, 0.14, 0.157, 0.265, 0.262]"/>
    <s v="416.5568077676729"/>
    <s v="[0.123, 0.122, 0.084, 0.124, 0.117, 0.206, 0.14, 0.157, 0.265, 0.262]"/>
  </r>
  <r>
    <x v="5300"/>
    <x v="5669"/>
    <x v="0"/>
    <n v="1"/>
    <s v="LINESTRING (5.3152696180532795 60.38276444063526, 5.315091125501447 60.38270700840484, 5.31480977087167 60.382541615486815)"/>
    <s v="[2018571, 2054352]"/>
    <s v="[1763842, 1787249]"/>
    <s v="0.5219757258822083"/>
    <s v="[1762071, 1763842]"/>
    <s v="[0.208, 0.675]"/>
    <s v="35.94320970601548"/>
    <s v="[0.208, 0.675]"/>
  </r>
  <r>
    <x v="5301"/>
    <x v="5670"/>
    <x v="527"/>
    <n v="0"/>
    <s v="LINESTRING (5.778395220808777 61.32162928075431, 5.778333902678172 61.32163434105538, 5.778252124955846 61.32164109272494, 5.77759397296813 61.321654348750954)"/>
    <s v="[2015770, 2015778, 2015786]"/>
    <s v="[1762100, 1762105, 1236298]"/>
    <s v="#FIELD!"/>
    <s v="[1762099, 1762100, 1762105]"/>
    <s v="[0.044, 0.043, 0.039]"/>
    <s v="43.629632729569195"/>
    <s v="[-0.044, -0.043, -0.039]"/>
  </r>
  <r>
    <x v="5301"/>
    <x v="5412"/>
    <x v="0"/>
    <n v="0"/>
    <s v="LINESTRING (5.778395220808777 61.32162928075431, 5.7783845702958185 61.32167854941246, 5.778356795911776 61.321743643206716)"/>
    <s v="[2094046, 2092850]"/>
    <s v="[1811271, 1762112]"/>
    <s v="#FIELD!"/>
    <s v="[1762099, 1811271]"/>
    <s v="[3.143, 2.391]"/>
    <s v="12.957697982556105"/>
    <s v="[3.143, -2.391]"/>
  </r>
  <r>
    <x v="5301"/>
    <x v="1703"/>
    <x v="528"/>
    <n v="0"/>
    <s v="LINESTRING (5.649463606117813 61.14943995314912, 5.778395220808777 61.32162928075431)"/>
    <m/>
    <m/>
    <s v="0.0"/>
    <m/>
    <n v="0"/>
    <s v="19348.654036240307"/>
    <n v="0"/>
  </r>
  <r>
    <x v="5302"/>
    <x v="5671"/>
    <x v="0"/>
    <n v="0"/>
    <s v="LINESTRING (5.77759397296813 61.321654348750954, 5.776496384976458 61.321251904037304, 5.776468827008686 61.32107389404767)"/>
    <s v="[2093042, 2092810]"/>
    <s v="[1811242, 1811243]"/>
    <s v="0.1876362751150569"/>
    <s v="[1236298, 1811242]"/>
    <s v="[0.24, 0.022]"/>
    <s v="99.78157532794798"/>
    <s v="[0.24, -0.022]"/>
  </r>
  <r>
    <x v="5302"/>
    <x v="5412"/>
    <x v="0"/>
    <n v="0"/>
    <s v="LINESTRING (5.778356795911776 61.321743643206716, 5.778313153020111 61.321740411270106, 5.778254968659411 61.321736102420424, 5.77759397296813 61.321654348750954)"/>
    <s v="[2015794, 2015802, 2015810]"/>
    <s v="[1762113, 1762118, 1236298]"/>
    <s v="#FIELD!"/>
    <s v="[1762112, 1762113, 1762118]"/>
    <s v="[0.042, 0.038, 0.032]"/>
    <s v="42.52171720404817"/>
    <s v="[-0.042, -0.038, -0.032]"/>
  </r>
  <r>
    <x v="5303"/>
    <x v="5431"/>
    <x v="0"/>
    <n v="0"/>
    <s v="LINESTRING (5.308909257784762 60.38095840839068, 5.302162352297349 60.38095500104221, 5.293650210751426 60.38129018912653, 5.293632199746335 60.38129089861935, 5.2931461302224365 60.38131002553335, 5.293128101324057 60.381310733640916, 5.274344503119154 60.38203909395014)"/>
    <s v="[2015814, 2015822, 2015830, 2015838, 2015846, 2015854]"/>
    <s v="[1762123, 1762126, 1762131, 1762136, 1762138, 1762143]"/>
    <s v="#FIELD!"/>
    <s v="[1762120, 1762123, 1762126, 1762131, 1762136, 1762138]"/>
    <s v="[0.018, 0.225, 0.356, 0.3, 0.357, 0.126]"/>
    <s v="1918.2576816990113"/>
    <s v="[-0.018, 0.225, 0.356, 0.3, 0.357, -0.126]"/>
  </r>
  <r>
    <x v="5303"/>
    <x v="5672"/>
    <x v="0"/>
    <n v="0"/>
    <s v="LINESTRING (5.3095552698329 60.38088195992481, 5.309732919251746 60.38087511478974, 5.314322246398303 60.38204719786942, 5.314368362426591 60.38257613206178, 5.314381063235012 60.382606915275026, 5.3144584427639465 60.382684058644735, 5.314267459708573 60.38263294423587, 5.31422882213049 60.382596637711956, 5.314221197181266 60.382551908179266, 5.31420335376088 60.382507983925684, 5.314103708995781 60.3823495497144, 5.30907345804249 60.38099580382995, 5.308920991469622 60.38096107987536, 5.308909257784762 60.38095840839068)"/>
    <s v="[2018587, 2054416, 2018593, 2018601, 1847318, 2022408, 2035602, 2035603, 2035608, 2035613, 2035621, 2018579, 2018581]"/>
    <s v="[1763858, 1763861, 1763862, 1617583, 1617584, 1766404, 1775956, 1775957, 1775959, 1775961, 1763850, 1763851, 1762120]"/>
    <s v="0.003697184216167168"/>
    <s v="[1763857, 1763858, 1763861, 1763862, 1617583, 1617584, 1766404, 1775956, 1775957, 1775959, 1775961, 1763850, 1763851]"/>
    <s v="[0.105, 0.164, 0.14, 3.916, 0.092, 1.107, 3.244, 0.09, 0.082, 0.095, 0.124, 0.172, 1.39]"/>
    <s v="754.8496301179384"/>
    <s v="[-0.105, -0.164, -0.14, 3.916, -0.092, -1.107, 3.244, 0.09, 0.082, 0.095, 0.124, 0.172, 1.39]"/>
  </r>
  <r>
    <x v="5304"/>
    <x v="5432"/>
    <x v="0"/>
    <n v="0"/>
    <s v="LINESTRING (5.274344503119154 60.38203909395014, 5.272009162771061 60.38201377295322, 5.271954906219595 60.382012076773755, 5.271807958254071 60.38199619639676, 5.2715646749214855 60.38196627876176, 5.271559742110664 60.38196560724218, 5.271194192278104 60.38191849913582, 5.27079284078547 60.38185192236686, 5.269118540136104 60.381330209538255, 5.268886389279889 60.38121165032041, 5.268873909922486 60.38120484927368, 5.268534253876631 60.381010092391676, 5.267448022624961 60.38036959438946, 5.265042030893072 60.37970709269978)"/>
    <s v="[2015862, 2015870, 2015878, 2015886, 2015894, 2015902, 2015910, 2015918, 2015926, 2015934, 2015942, 2015950, 2015958]"/>
    <s v="[1762147, 1762152, 1762155, 1762158, 1762162, 1762167, 1762172, 1762174, 1762178, 1762182, 1762186, 1762192, 1762198]"/>
    <s v="#FIELD!"/>
    <s v="[1762143, 1762147, 1762152, 1762155, 1762158, 1762162, 1762167, 1762172, 1762174, 1762178, 1762182, 1762186, 1762192]"/>
    <s v="[0.237, 0.071, 0.048, 0.043, 0.0, 0.04, 0.033, 0.025, 0.002, 0.018, 0.028, 0.004, 0.02]"/>
    <s v="606.4489767865595"/>
    <s v="[-0.237, -0.071, -0.048, -0.043, 0.0, -0.04, -0.033, -0.025, -0.002, -0.018, -0.028, 0.004, -0.02]"/>
  </r>
  <r>
    <x v="5305"/>
    <x v="5673"/>
    <x v="0"/>
    <n v="0"/>
    <s v="LINESTRING (5.265042030893072 60.37970709269978, 5.264952050903241 60.37969764462397, 5.264745559769442 60.379681050066466, 5.2646248772020945 60.37967185865032, 5.2574780392479425 60.3771041742986, 5.256900209070199 60.37677171780463, 5.256893725705468 60.376767647262355, 5.256888997097399 60.37676466531501, 5.256832662267786 60.37672952726987, 5.255007642707147 60.375450660922716, 5.254899253469599 60.37535137082429, 5.254895570149379 60.375348013735845, 5.252458373355795 60.373060741457, 5.251875723317023 60.37123931321422)"/>
    <s v="[2015966, 2015974, 2015982, 2015990, 2015998, 2016006, 2016014, 2016022, 2016030, 2016038, 2016046, 2016054, 2016062]"/>
    <s v="[1762201, 1762204, 1762209, 1762214, 1762219, 1762223, 1762225, 1762228, 1762232, 1762236, 1762241, 1762245, 1762250]"/>
    <s v="0.01823418245082046"/>
    <s v="[1762198, 1762201, 1762204, 1762209, 1762214, 1762219, 1762223, 1762225, 1762228, 1762232, 1762236, 1762241, 1762245]"/>
    <s v="[0.005, 0.004, 0.004, 0.035, 0.017, 0.635, 0.243, 0.402, 0.057, 0.172, 0.0, 0.007, 0.029]"/>
    <s v="1277.144457756781"/>
    <s v="[0.005, 0.004, 0.004, 0.035, -0.017, 0.635, -0.243, 0.402, 0.057, -0.172, 0.0, 0.007, -0.029]"/>
  </r>
  <r>
    <x v="5306"/>
    <x v="5674"/>
    <x v="0"/>
    <n v="0"/>
    <s v="LINESTRING (5.251875723317023 60.37123931321422, 5.251917068921578 60.370735292282596, 5.252058076263659 60.3688693415286, 5.251841732176436 60.368102617184626, 5.250445868172838 60.367065389066376)"/>
    <s v="[2016070, 2016078, 2016086, 2016094]"/>
    <s v="[1762253, 1762258, 1762260, 1762265]"/>
    <s v="#FIELD!"/>
    <s v="[1762250, 1762253, 1762258, 1762260]"/>
    <s v="[0.017, 0.013, 0.006, 0.006]"/>
    <s v="492.98389466142396"/>
    <s v="[-0.017, -0.013, 0.006, 0.006]"/>
  </r>
  <r>
    <x v="5306"/>
    <x v="5675"/>
    <x v="0"/>
    <n v="0"/>
    <s v="LINESTRING (5.251875723317023 60.37123931321422, 5.2518142488691275 60.37116510977197, 5.251813686774495 60.37115613034922, 5.251858821138043 60.370204963206106, 5.25150734868186 60.36955800672705, 5.250909877475316 60.368695859728284, 5.250776184894596 60.3685534414723, 5.250483034524189 60.368271674186204, 5.250301183684978 60.368285317393685)"/>
    <s v="[2018689, 1990697, 1990701, 2070467, 2070475, 2070941, 2070948, 2070956]"/>
    <s v="[1748471, 1748472, 1748474, 1797756, 1797763, 1798091, 1798095, 1797910]"/>
    <s v="0.08792193013312978"/>
    <s v="[1762250, 1748471, 1748472, 1748474, 1797756, 1797763, 1798091, 1798095]"/>
    <s v="[0.454, 0.043, 0.04, 0.038, 0.17, 0.176, 0.161, 0.238]"/>
    <s v="358.6737453151452"/>
    <s v="[0.454, -0.043, -0.04, 0.038, 0.17, 0.176, 0.161, 0.238]"/>
  </r>
  <r>
    <x v="5307"/>
    <x v="5444"/>
    <x v="0"/>
    <n v="0"/>
    <s v="LINESTRING (5.250445868172838 60.367065389066376, 5.25024253814654 60.366982500856615, 5.248937170949841 60.366647282672595, 5.248930970335855 60.366646281164016, 5.248583045961845 60.3665973913418, 5.2484735295599645 60.366584774776456, 5.246775729732294 60.3665546755349, 5.231777372109408 60.37080706291079, 5.231746336497909 60.37080536005153, 5.231741536159477 60.37080510382814, 5.231723619523505 60.37080411985892, 5.231691849106778 60.37080176545045, 5.231687739323231 60.37080146088636, 5.230848146537422 60.370699107135344, 5.230257160959622 60.370578734198766)"/>
    <s v="[2016102, 2016110, 2016118, 2016126, 2016134, 2016142, 2016150, 2016158, 2016166, 2016174, 2016182, 2016190, 2016198, 2016206]"/>
    <s v="[1762270, 1762276, 1762280, 1762284, 1762289, 1762294, 1762300, 1762304, 1762307, 1762312, 1762316, 1762321, 1762326, 1762334]"/>
    <s v="0.008090276890082536"/>
    <s v="[1762265, 1762270, 1762276, 1762280, 1762284, 1762289, 1762294, 1762300, 1762304, 1762307, 1762312, 1762316, 1762321, 1762326]"/>
    <s v="[0.089, 0.065, 0.019, 0.159, 0.371, 0.386, 0.037, 0.049, 0.105, 0.222, 0.047, 0.0, 0.073, 0.075]"/>
    <s v="1299.1830673013862"/>
    <s v="[0.089, 0.065, 0.019, 0.159, 0.371, 0.386, -0.037, -0.049, -0.105, -0.222, -0.047, 0.0, -0.073, 0.075]"/>
  </r>
  <r>
    <x v="5307"/>
    <x v="5676"/>
    <x v="0"/>
    <s v="[1, 1, 0, 0, 0, 0]"/>
    <s v="LINESTRING (5.25128740576936 60.36596514237828, 5.25128740576936 60.36596514237828, 5.251927459218246 60.36853012149012, 5.2517431139117825 60.36811096503148, 5.250530827318496 60.36714042606911, 5.250451075862582 60.36707010750317, 5.250445868172838 60.367065389066376)"/>
    <s v="[2071424, 2071432, 1990703, 1990734, 2018697, 2018705]"/>
    <s v="[1798436, 1748475, 1748476, 1748492, 1763927, 1762265]"/>
    <s v="#FIELD!"/>
    <s v="[1798422, 1798436, 1748475, 1748476, 1748492, 1763927]"/>
    <s v="[0.0, 0.097, 0.002, 0.013, 0.141, 4.245]"/>
    <s v="628.0927048616632"/>
    <s v="[0.0, -0.097, -0.002, 0.013, 0.141, -4.245]"/>
  </r>
  <r>
    <x v="5308"/>
    <x v="5447"/>
    <x v="0"/>
    <n v="0"/>
    <s v="LINESTRING (5.230257160959622 60.370578734198766, 5.229094153785209 60.37027359761169, 5.227200831292826 60.369761685023775, 5.225844373794665 60.36939874890064, 5.225828320954212 60.36939456402689, 5.225236713747475 60.36925571006886, 5.221917613342984 60.369044806981464)"/>
    <s v="[2016214, 2016222, 2016230, 2016238, 2016246, 2016254]"/>
    <s v="[1762339, 1762345, 1762351, 1762357, 1762365, 1762371]"/>
    <s v="0.024374566697261325"/>
    <s v="[1762334, 1762339, 1762345, 1762351, 1762357, 1762365]"/>
    <s v="[0.015, 0.003, 0.054, 0.021, 0.016, 0.04]"/>
    <s v="502.4511416568685"/>
    <s v="[0.015, -0.003, 0.054, -0.021, -0.016, 0.04]"/>
  </r>
  <r>
    <x v="5309"/>
    <x v="5458"/>
    <x v="0"/>
    <n v="0"/>
    <s v="LINESTRING (5.221917613342984 60.369044806981464, 5.221231108606845 60.3691198356599, 5.21840571906141 60.369861710815975)"/>
    <s v="[2016262, 2016270]"/>
    <s v="[1762378, 1762382]"/>
    <s v="#FIELD!"/>
    <s v="[1762371, 1762378]"/>
    <s v="[0.088, 0.063]"/>
    <s v="216.88369061505563"/>
    <s v="[-0.088, -0.063]"/>
  </r>
  <r>
    <x v="5310"/>
    <x v="5463"/>
    <x v="0"/>
    <s v="[0, 0, 0, 1, 0]"/>
    <s v="LINESTRING (5.21840571906141 60.369861710815975, 5.218093027135709 60.36995566234255, 5.215224454093094 60.37089077109016, 5.21360249497818 60.37136844079221, 5.211900320101658 60.37173098445281, 5.211490073003215 60.37175299187583)"/>
    <s v="[2016278, 2016286, 2016294, 2016302, 2016310]"/>
    <s v="[1762390, 1762396, 1762402, 1762408, 1762413]"/>
    <s v="0.013044381139759918"/>
    <s v="[1762382, 1762390, 1762396, 1762402, 1762408]"/>
    <s v="[0.07, 0.009, 0.012, 0.017, 0.133]"/>
    <s v="440.67015627311724"/>
    <s v="[0.07, -0.009, 0.012, 0.017, 0.133]"/>
  </r>
  <r>
    <x v="5311"/>
    <x v="5462"/>
    <x v="0"/>
    <s v="[0, 0, 1, 0]"/>
    <s v="LINESTRING (5.21798754457638 60.369873197230504, 5.215161043914158 60.37083566340954, 5.213560283920095 60.37130426697169, 5.211853859081705 60.371673252426135, 5.211490073003215 60.37175299187583)"/>
    <s v="[2081716, 2081724, 2081732, 2081740]"/>
    <s v="[1804617, 1804623, 1804628, 1762413]"/>
    <s v="0.015808589040220075"/>
    <s v="[1763967, 1804617, 1804623, 1804628]"/>
    <s v="[0.009, 0.017, 0.111, 0.222]"/>
    <s v="418.1360392614388"/>
    <s v="[-0.009, 0.017, 0.111, -0.222]"/>
  </r>
  <r>
    <x v="5312"/>
    <x v="5667"/>
    <x v="0"/>
    <n v="0"/>
    <s v="LINESTRING (5.3189452970341184 60.38633413658872, 5.318711639900842 60.38634240183693, 5.3184074596364574 60.38641762736412)"/>
    <s v="[2082141, 2082149]"/>
    <s v="[1804869, 1762650]"/>
    <s v="#FIELD!"/>
    <s v="[1762785, 1804869]"/>
    <s v="[0.454, 0.024]"/>
    <s v="25.18111889303976"/>
    <s v="[-0.454, 0.024]"/>
  </r>
  <r>
    <x v="5312"/>
    <x v="5677"/>
    <x v="0"/>
    <s v="[1, 0, 0, 0, 0, 0]"/>
    <s v="LINESTRING (5.319373190267872 60.385479992696546, 5.319533842606153 60.38554153573325, 5.31910236846614 60.38641983998269, 5.318939026843754 60.386410563089996, 5.31885016617887 60.38640765814161, 5.3187418143427525 60.386403322288096, 5.3184074596364574 60.38641762736412)"/>
    <s v="[2018547, 2054304, 2018555, 2018563, 2016638, 2016646]"/>
    <s v="[1763820, 1763828, 1763829, 1762642, 1762643, 1762650]"/>
    <s v="0.002313069054357977"/>
    <s v="[1763819, 1763820, 1763828, 1763829, 1762642, 1762643]"/>
    <s v="[0.084, 0.009, 0.101, 0.282, 0.099, 0.103]"/>
    <s v="233.0837978821611"/>
    <s v="[0.084, 0.009, -0.101, 0.282, -0.099, -0.103]"/>
  </r>
  <r>
    <x v="5313"/>
    <x v="5678"/>
    <x v="0"/>
    <n v="0"/>
    <s v="LINESTRING (5.315670239143714 60.387518152865006, 5.313873077320258 60.38924523683707, 5.313638030216861 60.38946225469048, 5.313090056856595 60.39006514957889, 5.313066003973709 60.39012037019627, 5.313493736381696 60.39061944266361, 5.313824577048463 60.39089430327331, 5.3138942141997525 60.39094916820657)"/>
    <s v="[2053683, 2053691, 2053699, 2053707, 2053715, 2053723, 2053731]"/>
    <s v="[1786828, 1670794, 1786841, 1676373, 1786853, 1758317, 1762663]"/>
    <s v="#FIELD!"/>
    <s v="[1762655, 1786828, 1670794, 1786841, 1676373, 1786853, 1758317]"/>
    <s v="[0.018, 0.006, 0.006, 0.002, 0.009, 0.013, 0.014]"/>
    <s v="430.0143113259574"/>
    <s v="[-0.018, -0.006, -0.006, -0.002, 0.009, 0.013, 0.014]"/>
  </r>
  <r>
    <x v="5314"/>
    <x v="5677"/>
    <x v="0"/>
    <s v="[0, 0, 0, 0, 0, 0, 0, 1]"/>
    <s v="LINESTRING (5.325034004179755 60.3852197148318, 5.324945260034465 60.38525427044692, 5.320310705085635 60.38596600469858, 5.320297446203728 60.38596249878046, 5.320234365446515 60.38594211149116, 5.3198712548561735 60.38580483263789, 5.319567304373548 60.38562418029444, 5.3194348245787095 60.38552606299847, 5.319373190267872 60.385479992696546)"/>
    <s v="[2081083, 2081091, 2081099, 2081115, 2081123, 2081131, 2081139, 2081147]"/>
    <s v="[1804210, 1804215, 1804218, 1804225, 1804229, 1804233, 1804240, 1763819]"/>
    <s v="#FIELD!"/>
    <s v="[1762779, 1804210, 1804215, 1804218, 1804225, 1804229, 1804233, 1804240]"/>
    <s v="[0.556, 0.005, 0.12, 0.096, 0.096, 0.085, 0.077, 0.077]"/>
    <s v="369.19727472843897"/>
    <s v="[-0.556, -0.005, -0.12, -0.096, -0.096, -0.085, -0.077, -0.077]"/>
  </r>
  <r>
    <x v="5314"/>
    <x v="5650"/>
    <x v="0"/>
    <n v="0"/>
    <s v="LINESTRING (5.3339445333778475 60.38335037662182, 5.325336610061613 60.38509953980912, 5.325034004179755 60.3852197148318)"/>
    <s v="[2081067, 2081075]"/>
    <s v="[1804203, 1762779]"/>
    <s v="0.030148422925915984"/>
    <s v="[1766377, 1804203]"/>
    <s v="[0.022, 0.234]"/>
    <s v="558.3823308754951"/>
    <s v="[0.022, 0.234]"/>
  </r>
  <r>
    <x v="5315"/>
    <x v="5679"/>
    <x v="0"/>
    <n v="1"/>
    <s v="LINESTRING (5.319373190267872 60.385479992696546, 5.31546280901116 60.38270454588258, 5.315098017765066 60.38243343447102)"/>
    <s v="[2081155, 2081163]"/>
    <s v="[1804246, 1763877]"/>
    <s v="0.01727422766609885"/>
    <s v="[1763819, 1804246]"/>
    <s v="[0.007, 0.124]"/>
    <s v="414.5798848719714"/>
    <s v="[0.007, 0.124]"/>
  </r>
  <r>
    <x v="5316"/>
    <x v="5437"/>
    <x v="0"/>
    <n v="0"/>
    <s v="LINESTRING (5.3095552698329 60.38088195992481, 5.30897237564433 60.38082166396983, 5.302215456884829 60.38081835419862, 5.293692168787616 60.381153971686, 5.293674139981294 60.3811546798703, 5.293187407657227 60.38117383040894, 5.293169378835282 60.38117453852391, 5.2743609562052205 60.381903077868174, 5.272139282066448 60.3818612114933, 5.272069198205659 60.381854910114846, 5.2720166225886445 60.38185018085547, 5.271874503510654 60.381836836908136, 5.271637858672324 60.38181388618625, 5.27163304147867 60.38181337698344, 5.271280229475183 60.38177051974603)"/>
    <s v="[2081243, 2081251, 2081259, 2081267, 2081275, 2081283, 2081291, 2081299, 2081307, 2081315, 2081323, 2081331, 2081339, 2081347]"/>
    <s v="[1804293, 1804297, 1804303, 1804307, 1804311, 1804315, 1804321, 1804325, 1804329, 1804334, 1804342, 1804348, 1804355, 1763910]"/>
    <s v="#FIELD!"/>
    <s v="[1763857, 1804293, 1804297, 1804303, 1804307, 1804311, 1804315, 1804321, 1804325, 1804329, 1804334, 1804342, 1804348, 1804355]"/>
    <s v="[0.145, 0.005, 0.215, 0.25, 0.202, 0.251, 0.115, 0.189, 0.217, 0.239, 0.25, 0.221, 0.525, 0.234]"/>
    <s v="2125.515469032723"/>
    <s v="[0.145, 0.005, 0.215, 0.25, 0.202, 0.251, -0.115, -0.189, -0.217, -0.239, -0.25, -0.221, -0.525, -0.234]"/>
  </r>
  <r>
    <x v="5316"/>
    <x v="5679"/>
    <x v="0"/>
    <s v="[1, 0, 0, 0, 0, 0, 0, 0]"/>
    <s v="LINESTRING (5.315098017765066 60.38243343447102, 5.314801621385716 60.38226574268294, 5.31453795260843 60.382144451476115, 5.314190005745194 60.381979773947805, 5.314060359536386 60.381925276587246, 5.314043162521046 60.381918151889664, 5.313958143029842 60.38188259928847, 5.312245164821747 60.38135268755185, 5.3095552698329 60.38088195992481)"/>
    <s v="[2081171, 2081179, 2081187, 2081195, 2081211, 2081219, 2081227, 2081235]"/>
    <s v="[1804258, 1804262, 1804266, 1804269, 1804275, 1804279, 1804283, 1763857]"/>
    <s v="0.1592506435336167"/>
    <s v="[1763877, 1804258, 1804262, 1804266, 1804269, 1804275, 1804279, 1804283]"/>
    <s v="[0.125, 0.141, 0.15, 0.149, 0.205, 0.166, 0.167, 0.163]"/>
    <s v="358.46550403712934"/>
    <s v="[0.125, 0.141, 0.15, 0.149, 0.205, 0.166, 0.167, 0.163]"/>
  </r>
  <r>
    <x v="5317"/>
    <x v="5680"/>
    <x v="0"/>
    <s v="[0, 0, 1, 1]"/>
    <s v="LINESTRING (5.313620454811264 60.381480051451895, 5.314589580630422 60.382051456054704, 5.314879869599295 60.382239088571346, 5.315038781902332 60.38235671953382, 5.315098017765066 60.38243343447102)"/>
    <s v="[2054488, 2054496, 2054504, 2018617]"/>
    <s v="[1787344, 1787353, 1763876, 1763877]"/>
    <s v="#FIELD!"/>
    <s v="[1783321, 1787344, 1787353, 1763876]"/>
    <s v="[0.123, 0.106, 0.839, 0.124]"/>
    <s v="131.10542476448393"/>
    <s v="[-0.123, -0.106, -0.839, -0.124]"/>
  </r>
  <r>
    <x v="5318"/>
    <x v="5440"/>
    <x v="0"/>
    <n v="0"/>
    <s v="LINESTRING (5.271280229475183 60.38177051974603, 5.270889815287361 60.381710774940345, 5.269240156542961 60.38123280172144, 5.269005406479559 60.38111838400819, 5.268992930122864 60.381111755071544, 5.268654152676488 60.38092142360291, 5.267643820743339 60.38026554185007, 5.265099283381742 60.3795940805967, 5.265008151189755 60.37958481885899, 5.264799330532323 60.37956795284046, 5.26467743805681 60.37955804792438)"/>
    <s v="[2081355, 2081363, 2081371, 2081379, 2081387, 2081395, 2081403, 2081411, 2081419, 2081427]"/>
    <s v="[1804366, 1804370, 1804377, 1804381, 1804387, 1804390, 1804397, 1804403, 1804410, 1763918]"/>
    <s v="#FIELD!"/>
    <s v="[1763910, 1804366, 1804370, 1804377, 1804381, 1804387, 1804390, 1804397, 1804403, 1804410]"/>
    <s v="[0.236, 0.058, 0.059, 0.103, 0.073, 0.051, 0.028, 0.06, 0.055, 0.059]"/>
    <s v="454.10291477526584"/>
    <s v="[-0.236, -0.058, -0.059, -0.103, -0.073, -0.051, 0.028, 0.06, 0.055, 0.059]"/>
  </r>
  <r>
    <x v="5319"/>
    <x v="5681"/>
    <x v="0"/>
    <n v="0"/>
    <s v="LINESTRING (5.26467743805681 60.37955804792438, 5.257653879667554 60.37702697635564, 5.257121508460772 60.37668494386612, 5.257115524468355 60.376680792637124, 5.2571111237057515 60.37667775350932, 5.257059233077221 60.376641813205595, 5.255325586210722 60.375357175063336, 5.255207431434652 60.37526269979334, 5.255203444515011 60.37525950120067, 5.25271427267668 60.37302276126691, 5.252097235470788 60.3712256598282)"/>
    <s v="[2081435, 2081443, 2081451, 2081459, 2081467, 2081475, 2081483, 2081491, 2081499, 2081507]"/>
    <s v="[1804420, 1804427, 1804436, 1804442, 1804447, 1804453, 1804459, 1804463, 1804469, 1798465]"/>
    <s v="0.035471030158371365"/>
    <s v="[1763918, 1804420, 1804427, 1804436, 1804442, 1804447, 1804453, 1804459, 1804463, 1804469]"/>
    <s v="[0.038, 0.037, 0.0, 0.108, 0.08, 0.016, 0.043, 0.143, 0.042, 0.056]"/>
    <s v="1236.040863724066"/>
    <s v="[0.038, -0.037, 0.0, -0.108, -0.08, 0.016, 0.043, 0.143, 0.042, 0.056]"/>
  </r>
  <r>
    <x v="5320"/>
    <x v="5454"/>
    <x v="0"/>
    <n v="0"/>
    <s v="LINESTRING (5.229194509755091 60.37017790403203, 5.227265719952032 60.36965703032273, 5.2258845123656545 60.36928714794391, 5.225867967403439 60.36928308037481, 5.221878452593104 60.368938134669186, 5.221159432585073 60.369014794621464)"/>
    <s v="[2081660, 2081668, 2081676, 2081684, 2081692]"/>
    <s v="[1804582, 1804588, 1804594, 1804599, 1763954]"/>
    <s v="0.048422577130706954"/>
    <s v="[1763940, 1804582, 1804588, 1804594, 1804599]"/>
    <s v="[0.015, 0.091, 0.053, 0.054, 0.026]"/>
    <s v="478.27422380849265"/>
    <s v="[0.015, 0.091, 0.053, 0.054, 0.026]"/>
  </r>
  <r>
    <x v="5320"/>
    <x v="5681"/>
    <x v="0"/>
    <n v="0"/>
    <s v="LINESTRING (5.252097235470788 60.3712256598282, 5.252275641182195 60.36883540422364, 5.252073045957323 60.36803251656707, 5.25065793056617 60.36693578919726, 5.250448451560626 60.366850275336404, 5.249044744562055 60.36648053608718, 5.249038104263749 60.36647935731164, 5.248662426098701 60.366425049122554, 5.248550833111506 60.366414413924566, 5.246834644068888 60.366381181386664, 5.231942709732642 60.37065016936704, 5.231911696784331 60.370650024250416, 5.231906880549021 60.37065000206793, 5.231888967294686 60.3706499139905, 5.2318571440352475 60.37064846036847, 5.23185301737554 60.37064827216508, 5.231003708931338 60.37057946816709, 5.2304006626295045 60.370479905008864, 5.229194509755091 60.37017790403203)"/>
    <s v="[2081515, 2081523, 2081531, 2081539, 2081547, 2081555, 2081563, 2081571, 2081580, 2081588, 2081596, 2081604, 2081612, 2081620, 2081628, 2081636, 2081644, 2081652]"/>
    <s v="[1804479, 1804483, 1804488, 1804495, 1804501, 1804508, 1804515, 1804522, 1763936, 1804531, 1804537, 1804543, 1804548, 1804554, 1804560, 1804564, 1804571, 1763940]"/>
    <s v="#FIELD!"/>
    <s v="[1798465, 1804479, 1804483, 1804488, 1804495, 1804501, 1804508, 1804515, 1804522, 1763936, 1804531, 1804537, 1804543, 1804548, 1804554, 1804560, 1804564, 1804571]"/>
    <s v="[0.11, 0.001, 0.037, 0.162, 0.13, 0.0, 0.133, 0.351, 0.292, 0.047, 0.054, 0.0, 0.062, 0.052, 0.131, 0.041, 0.03, 0.021]"/>
    <s v="1882.8826883919905"/>
    <s v="[-0.11, -0.001, 0.037, 0.162, 0.13, 0.0, 0.133, 0.351, 0.292, -0.047, 0.054, 0.0, 0.062, 0.052, 0.131, 0.041, 0.03, 0.021]"/>
  </r>
  <r>
    <x v="5321"/>
    <x v="5462"/>
    <x v="0"/>
    <n v="0"/>
    <s v="LINESTRING (5.221159432585073 60.369014794621464, 5.2182903440953545 60.36977027917999, 5.21798754457638 60.369873197230504)"/>
    <s v="[2081700, 2081708]"/>
    <s v="[1804607, 1763967]"/>
    <s v="#FIELD!"/>
    <s v="[1763954, 1804607]"/>
    <s v="[0.142, 0.027]"/>
    <s v="201.09676029527898"/>
    <s v="[-0.142, -0.027]"/>
  </r>
  <r>
    <x v="5322"/>
    <x v="1492"/>
    <x v="0"/>
    <n v="0"/>
    <s v="LINESTRING (13.411451260878815 65.46385211970225, 13.410265134246925 65.46515246367203, 13.410154853856808 65.4652564513277, 13.409708678772837 65.46565949666638, 13.409628378747204 65.46572903154099, 13.407711981060054 65.46719686957779)"/>
    <s v="[2019886, 2019894, 2019902, 2019910, 2019918]"/>
    <s v="[1764736, 1764743, 1764752, 1764758, 1764767]"/>
    <s v="#FIELD!"/>
    <s v="[1764735, 1764736, 1764743, 1764752, 1764758]"/>
    <s v="[0.066, 0.07, 0.061, 0.06, 0.04]"/>
    <s v="412.405247314332"/>
    <s v="[-0.066, -0.07, -0.061, -0.06, -0.04]"/>
  </r>
  <r>
    <x v="5322"/>
    <x v="1492"/>
    <x v="0"/>
    <n v="0"/>
    <s v="LINESTRING (13.411451260878815 65.46385211970225, 13.410000568743282 65.46522410307624, 13.409546122190067 65.4656310816967, 13.409522919023752 65.4656512729788, 13.40942207167329 65.46573991407868, 13.407711981060054 65.46719686957779)"/>
    <s v="[2019926, 2019934, 2019942, 2019950, 2019958]"/>
    <s v="[1764772, 1764777, 1764782, 1764786, 1764767]"/>
    <s v="#FIELD!"/>
    <s v="[1764735, 1764772, 1764777, 1764782, 1764786]"/>
    <s v="[0.072, 0.061, 0.077, 0.058, 0.034]"/>
    <s v="411.4460320736139"/>
    <s v="[-0.072, -0.061, -0.077, -0.058, -0.034]"/>
  </r>
  <r>
    <x v="5323"/>
    <x v="2969"/>
    <x v="0"/>
    <n v="0"/>
    <s v="LINESTRING (10.391800588030277 63.39792999129686, 10.39197392875969 63.39801688251013, 10.392031998199373 63.39805985343173)"/>
    <s v="[2020334, 2020342]"/>
    <s v="[1765033, 1765038]"/>
    <s v="0.04561542686442126"/>
    <s v="[1765032, 1765033]"/>
    <s v="[0.048, 0.04]"/>
    <s v="18.794168180511647"/>
    <s v="[0.048, 0.04]"/>
  </r>
  <r>
    <x v="5323"/>
    <x v="2968"/>
    <x v="0"/>
    <n v="0"/>
    <s v="LINESTRING (10.391800588030277 63.39792999129686, 10.391775105715682 63.398031139628195, 10.391764213933406 63.398073950323344)"/>
    <s v="[2020350, 2020358]"/>
    <s v="[1765044, 1765050]"/>
    <s v="0.0006207422112301929"/>
    <s v="[1765032, 1765044]"/>
    <s v="[0.003, 0.005]"/>
    <s v="16.15349083155582"/>
    <s v="[0.003, -0.005]"/>
  </r>
  <r>
    <x v="5323"/>
    <x v="2967"/>
    <x v="0"/>
    <n v="0"/>
    <m/>
    <n v="2020446"/>
    <n v="1765032"/>
    <s v="0.031"/>
    <n v="1765105"/>
    <s v="0.031"/>
    <s v="23.052531313703163"/>
    <s v="0.031"/>
  </r>
  <r>
    <x v="5324"/>
    <x v="2968"/>
    <x v="0"/>
    <n v="0"/>
    <s v="LINESTRING (10.391764213933406 63.398073950323344, 10.391893024804329 63.39804735949946, 10.392031998199373 63.39805985343173)"/>
    <s v="[2020422, 2020430]"/>
    <s v="[1765094, 1765038]"/>
    <s v="0.05999905447701361"/>
    <s v="[1765050, 1765094]"/>
    <s v="[0.056, 0.064]"/>
    <s v="14.175577193524155"/>
    <s v="[0.056, 0.064]"/>
  </r>
  <r>
    <x v="5325"/>
    <x v="5682"/>
    <x v="0"/>
    <n v="0"/>
    <s v="LINESTRING (5.331574761363387 60.47436044016786, 5.331574761363387 60.47436044016786, 5.332492422788587 60.47444921527759, 5.332075051385672 60.47368315633532, 5.330848029165646 60.472488650411314, 5.330603220127813 60.47219670799811)"/>
    <s v="[2043375, 2043383, 2043391, 2043399, 2043126]"/>
    <s v="[1780782, 1780789, 1780794, 1780611, 1765453]"/>
    <s v="#FIELD!"/>
    <s v="[1780781, 1780782, 1780789, 1780794, 1780611]"/>
    <s v="[0.0, 0.033, 0.003, 0.007, 0.001]"/>
    <s v="345.54999145958556"/>
    <s v="[0.0, -0.033, 0.003, 0.007, -0.001]"/>
  </r>
  <r>
    <x v="5326"/>
    <x v="2440"/>
    <x v="0"/>
    <n v="0"/>
    <s v="LINESTRING (10.899315633947868 63.54661649527808, 10.899261842595289 63.54666403229779, 10.899135943234025 63.54669314562972)"/>
    <s v="[2028304, 2028312]"/>
    <s v="[1770644, 1770608]"/>
    <s v="#FIELD!"/>
    <s v="[1770592, 1770644]"/>
    <s v="[0.178, 0.197]"/>
    <s v="12.988406112331852"/>
    <s v="[-0.178, -0.197]"/>
  </r>
  <r>
    <x v="5326"/>
    <x v="2437"/>
    <x v="0"/>
    <n v="0"/>
    <s v="LINESTRING (10.899078617052501 63.54650058868478, 10.899262631887117 63.54653111514172, 10.899315633947868 63.54661649527808)"/>
    <s v="[2028296, 2028301]"/>
    <s v="[1770638, 1770592]"/>
    <s v="0.014344371611035564"/>
    <s v="[1770623, 1770638]"/>
    <s v="[0.108, 0.078]"/>
    <s v="20.21325031698397"/>
    <s v="[0.108, -0.078]"/>
  </r>
  <r>
    <x v="5327"/>
    <x v="2438"/>
    <x v="0"/>
    <n v="0"/>
    <m/>
    <n v="2028316"/>
    <n v="1770637"/>
    <s v="#FIELD!"/>
    <n v="1770608"/>
    <s v="0.014"/>
    <s v="21.776660584477057"/>
    <s v="#FIELD!"/>
  </r>
  <r>
    <x v="5328"/>
    <x v="2438"/>
    <x v="0"/>
    <n v="0"/>
    <s v="LINESTRING (10.898895035668016 63.5465678691843, 10.898975852620177 63.54651876913428, 10.899078617052501 63.54650058868478)"/>
    <s v="[2028331, 2028339]"/>
    <s v="[1770666, 1770623]"/>
    <s v="0.19978953205772607"/>
    <s v="[1770637, 1770666]"/>
    <s v="[0.198, 0.202]"/>
    <s v="12.288310260503899"/>
    <s v="[0.198, 0.202]"/>
  </r>
  <r>
    <x v="5329"/>
    <x v="5428"/>
    <x v="0"/>
    <n v="0"/>
    <s v="LINESTRING (5.8788060982488535 61.44826393761949, 5.877873923462184 61.44839599823911, 5.8776383906936776 61.44841598490076, 5.875994033168253 61.44853268949729, 5.874580527849088 61.44862858922675, 5.873434274257529 61.44865774904746)"/>
    <s v="[2030146, 2030154, 2030162, 2030175, 2030193]"/>
    <s v="[1771995, 1772002, 1772007, 1772019, 1772035]"/>
    <s v="#FIELD!"/>
    <s v="[1771994, 1771995, 1772002, 1772007, 1772019]"/>
    <s v="[0.029, 0.024, 0.02, 0.02, 0.013]"/>
    <s v="291.90035517886685"/>
    <s v="[0.029, 0.024, -0.02, -0.02, -0.013]"/>
  </r>
  <r>
    <x v="5329"/>
    <x v="5428"/>
    <x v="0"/>
    <n v="0"/>
    <s v="LINESTRING (5.8788060982488535 61.44826393761949, 5.877715231982397 61.448334659619675, 5.875972207234735 61.44845808129757, 5.874639467606696 61.44855292668994, 5.874561061064046 61.44855822610255, 5.874482231454587 61.44856355113708, 5.873434274257529 61.44865774904746)"/>
    <s v="[2030205, 2030213, 2030221, 2030240, 2030249, 2030270]"/>
    <s v="[1772040, 1772045, 1772049, 1772059, 1772066, 1772035]"/>
    <s v="#FIELD!"/>
    <s v="[1771994, 1772040, 1772045, 1772049, 1772059, 1772066]"/>
    <s v="[0.042, 0.021, 0.02, 0.027, 0.01, 0.022]"/>
    <s v="291.1595045419549"/>
    <s v="[0.042, -0.021, -0.02, -0.027, -0.01, -0.022]"/>
  </r>
  <r>
    <x v="5330"/>
    <x v="5664"/>
    <x v="0"/>
    <n v="0"/>
    <m/>
    <n v="2043319"/>
    <n v="1780685"/>
    <s v="0.025"/>
    <n v="1780661"/>
    <s v="0.025"/>
    <s v="11.653111626980618"/>
    <s v="0.025"/>
  </r>
  <r>
    <x v="5330"/>
    <x v="5683"/>
    <x v="0"/>
    <n v="0"/>
    <s v="LINESTRING (5.333600571429378 60.473768035414516, 5.333691986415549 60.473705009615514, 5.333809358780813 60.473681864912464, 5.333963581121356 60.47369644021856, 5.334055327611041 60.47373936137707, 5.334089718801563 60.47378319723121, 5.3340683501154835 60.473859986156434, 5.333959124824814 60.47391568492936)"/>
    <s v="[2043260, 2043271, 2043279, 2043287, 2043295, 2043303, 2043311]"/>
    <s v="[1780695, 1780707, 1780711, 1780718, 1780725, 1780729, 1780661]"/>
    <s v="#FIELD!"/>
    <s v="[1780694, 1780695, 1780707, 1780711, 1780718, 1780725, 1780729]"/>
    <s v="[0.023, 0.037, 0.016, 0.004, 0.003, 0.0, 0.003]"/>
    <s v="53.85148481011586"/>
    <s v="[-0.023, -0.037, -0.016, -0.004, -0.003, -0.0, 0.003]"/>
  </r>
  <r>
    <x v="5331"/>
    <x v="5684"/>
    <x v="0"/>
    <n v="0"/>
    <m/>
    <n v="2043327"/>
    <n v="1780744"/>
    <s v="0.032"/>
    <n v="1780685"/>
    <s v="0.032"/>
    <s v="3.5140325837050685"/>
    <s v="0.032"/>
  </r>
  <r>
    <x v="5332"/>
    <x v="5684"/>
    <x v="0"/>
    <n v="0"/>
    <s v="LINESTRING (5.3336965754441605 60.47390754877893, 5.333602311743393 60.47384554712447, 5.333600571429378 60.473768035414516)"/>
    <s v="[2043335, 2043343]"/>
    <s v="[1780751, 1780694]"/>
    <s v="0.012500306407030648"/>
    <s v="[1780744, 1780751]"/>
    <s v="[0.026, 0.001]"/>
    <s v="17.326818168362244"/>
    <s v="[0.026, -0.001]"/>
  </r>
  <r>
    <x v="5332"/>
    <x v="5685"/>
    <x v="0"/>
    <s v="[0, 0, 1, 0, 0]"/>
    <s v="LINESTRING (5.331655092627586 60.47408568947731, 5.331655092627586 60.47408568947731, 5.331773439730984 60.474074747843865, 5.333090443924505 60.47388865683129, 5.333420149390984 60.473804649098334, 5.333600571429378 60.473768035414516)"/>
    <s v="[2043463, 2043471, 2043479, 2043487, 2043495]"/>
    <s v="[1780852, 1780860, 1780862, 1780867, 1780694]"/>
    <s v="#FIELD!"/>
    <s v="[1780851, 1780852, 1780860, 1780862, 1780867]"/>
    <s v="[0.0, 0.041, 0.041, 0.037, 0.037]"/>
    <s v="122.21995712236739"/>
    <s v="[0.0, -0.041, -0.041, -0.037, -0.037]"/>
  </r>
  <r>
    <x v="5333"/>
    <x v="5686"/>
    <x v="0"/>
    <s v="[0, 0, 1, 0, 0]"/>
    <s v="LINESTRING (5.331730246861055 60.47421900242777, 5.331730246861055 60.47421900242777, 5.331855404761337 60.474190386582485, 5.33309754866487 60.47396373889476, 5.333462254760616 60.473930631069564, 5.3336965754441605 60.47390754877893)"/>
    <s v="[2043344, 2043351, 2043359, 2043367, 2043368]"/>
    <s v="[1780757, 1780764, 1780768, 1780776, 1780744]"/>
    <s v="#FIELD!"/>
    <s v="[1780756, 1780757, 1780764, 1780768, 1780776]"/>
    <s v="[0.0, 0.044, 0.041, 0.04, 0.041]"/>
    <s v="123.37100405768655"/>
    <s v="[0.0, -0.044, -0.041, -0.04, -0.041]"/>
  </r>
  <r>
    <x v="5334"/>
    <x v="5687"/>
    <x v="0"/>
    <n v="0"/>
    <s v="LINESTRING (5.313620454811264 60.381480051451895, 5.313620454811264 60.381480051451895, 5.313559268844321 60.38143485184065)"/>
    <s v="[2047896, 2047904]"/>
    <s v="[1783322, 1749295]"/>
    <s v="0.07855370331926209"/>
    <s v="[1783321, 1783322]"/>
    <s v="[0.0, 0.129]"/>
    <s v="9.986086932885442"/>
    <s v="[0.0, 0.129]"/>
  </r>
  <r>
    <x v="5335"/>
    <x v="2409"/>
    <x v="0"/>
    <n v="0"/>
    <s v="LINESTRING (10.912007454868718 63.466839069187756, 10.912007851950955 63.466931176230716, 10.911907896153158 63.46702090725677)"/>
    <s v="[2051423, 2051434]"/>
    <s v="[1785508, 1785515]"/>
    <s v="#FIELD!"/>
    <s v="[1785504, 1785508]"/>
    <s v="[0.0, 0.014]"/>
    <s v="21.4445914264703"/>
    <s v="[-0.0, -0.014]"/>
  </r>
  <r>
    <x v="5335"/>
    <x v="2402"/>
    <x v="0"/>
    <n v="0"/>
    <s v="LINESTRING (10.912007454868718 63.466839069187756, 10.912163125483765 63.46687251844224, 10.913515274945075 63.46691307314902)"/>
    <s v="[2135012, 2135020]"/>
    <s v="[1835723, 1835660]"/>
    <s v="0.030549332929681827"/>
    <s v="[1785504, 1835723]"/>
    <s v="[0.027, 0.031]"/>
    <s v="76.43819145132909"/>
    <s v="[0.027, 0.031]"/>
  </r>
  <r>
    <x v="5336"/>
    <x v="2411"/>
    <x v="0"/>
    <n v="0"/>
    <s v="LINESTRING (10.911907896153158 63.46702090725677, 10.912075680695665 63.46699337487556, 10.91350951659401 63.46698922937055)"/>
    <s v="[2134980, 2134988]"/>
    <s v="[1835701, 1835632]"/>
    <s v="0.030889264425191253"/>
    <s v="[1785515, 1835701]"/>
    <s v="[0.03, 0.031]"/>
    <s v="80.48121480682383"/>
    <s v="[0.03, 0.031]"/>
  </r>
  <r>
    <x v="5337"/>
    <x v="5688"/>
    <x v="0"/>
    <n v="0"/>
    <m/>
    <n v="2057673"/>
    <n v="1789467"/>
    <s v="#FIELD!"/>
    <n v="1789466"/>
    <s v="0.066"/>
    <s v="37.431101044482865"/>
    <s v="#FIELD!"/>
  </r>
  <r>
    <x v="5337"/>
    <x v="5689"/>
    <x v="0"/>
    <n v="0"/>
    <s v="LINESTRING (6.400769076856564 60.627269461410314, 6.400689409681125 60.627306029538424, 6.40058882056507 60.6273267021549)"/>
    <s v="[2057729, 2057737]"/>
    <s v="[1789506, 1789466]"/>
    <s v="0.1679995501118739"/>
    <s v="[1789500, 1789506]"/>
    <s v="[0.182, 0.154]"/>
    <s v="11.96439717924789"/>
    <s v="[0.182, 0.154]"/>
  </r>
  <r>
    <x v="5337"/>
    <x v="5690"/>
    <x v="0"/>
    <n v="0"/>
    <s v="LINESTRING (6.400893407989787 60.62749815314325, 6.400633229162653 60.62736421358647, 6.40058882056507 60.6273267021549)"/>
    <s v="[2112894, 2112902]"/>
    <s v="[1822982, 1789466]"/>
    <s v="#FIELD!"/>
    <s v="[1822981, 1822982]"/>
    <s v="[0.021, 2.899]"/>
    <s v="27.092803203196027"/>
    <s v="[0.021, -2.899]"/>
  </r>
  <r>
    <x v="5338"/>
    <x v="5691"/>
    <x v="0"/>
    <n v="0"/>
    <s v="LINESTRING (6.400238521898929 60.62711390628399, 6.400328306991153 60.627058123973356, 6.400459675655996 60.62702824523155)"/>
    <s v="[2057681, 2057689]"/>
    <s v="[1789474, 1789479]"/>
    <s v="#FIELD!"/>
    <s v="[1789467, 1789474]"/>
    <s v="[0.169, 0.127]"/>
    <s v="15.884829229171032"/>
    <s v="[-0.169, -0.127]"/>
  </r>
  <r>
    <x v="5338"/>
    <x v="5498"/>
    <x v="0"/>
    <n v="0"/>
    <s v="LINESTRING (6.400238521898929 60.62711390628399, 6.400173714365677 60.62706718929776, 6.400091707950826 60.626943005364645)"/>
    <s v="[2112950, 2112958]"/>
    <s v="[1823008, 1823013]"/>
    <s v="0.7318347468628489"/>
    <s v="[1789467, 1823008]"/>
    <s v="[2.668, 0.036]"/>
    <s v="22.234633666371963"/>
    <s v="[2.668, -0.036]"/>
  </r>
  <r>
    <x v="5339"/>
    <x v="5692"/>
    <x v="0"/>
    <n v="0"/>
    <m/>
    <n v="2057697"/>
    <n v="1789485"/>
    <s v="#FIELD!"/>
    <n v="1789479"/>
    <s v="0.04"/>
    <s v="10.065697094590227"/>
    <s v="#FIELD!"/>
  </r>
  <r>
    <x v="5339"/>
    <x v="5498"/>
    <x v="0"/>
    <n v="0"/>
    <s v="LINESTRING (6.400459675655996 60.62702824523155, 6.400369450154863 60.6269967175705, 6.400091707950826 60.626943005364645)"/>
    <s v="[2112966, 2112974]"/>
    <s v="[1823017, 1823013]"/>
    <s v="0.8060611069217196"/>
    <s v="[1789479, 1823017]"/>
    <s v="[2.908, 0.056]"/>
    <s v="23.098734301948735"/>
    <s v="[2.908, 0.056]"/>
  </r>
  <r>
    <x v="5340"/>
    <x v="5693"/>
    <x v="0"/>
    <n v="0"/>
    <s v="LINESTRING (6.400642066055008 60.627037949735694, 6.400777967512242 60.62709225879587, 6.400825050251696 60.6271489277424)"/>
    <s v="[2057705, 2057713]"/>
    <s v="[1789490, 1789494]"/>
    <s v="0.06433936623007752"/>
    <s v="[1789485, 1789490]"/>
    <s v="[0.034, 0.107]"/>
    <s v="16.447429823038604"/>
    <s v="[0.034, 0.107]"/>
  </r>
  <r>
    <x v="5340"/>
    <x v="1374"/>
    <x v="0"/>
    <n v="0"/>
    <s v="LINESTRING (6.401297832166051 60.627031481003726, 6.400773766071054 60.62701910168514, 6.400642066055008 60.627037949735694)"/>
    <s v="[2113022, 2113030]"/>
    <s v="[1823053, 1789485]"/>
    <s v="#FIELD!"/>
    <s v="[1822960, 1823053]"/>
    <s v="[0.083, 2.153]"/>
    <s v="39.00634496491374"/>
    <s v="[0.083, -2.153]"/>
  </r>
  <r>
    <x v="5341"/>
    <x v="5689"/>
    <x v="0"/>
    <n v="0"/>
    <m/>
    <n v="2057721"/>
    <n v="1789500"/>
    <s v="0.153"/>
    <n v="1789494"/>
    <s v="0.153"/>
    <s v="14.117024685768223"/>
    <s v="0.153"/>
  </r>
  <r>
    <x v="5341"/>
    <x v="1374"/>
    <x v="0"/>
    <n v="0"/>
    <s v="LINESTRING (6.401297832166051 60.627031481003726, 6.400905420477436 60.62711282052905, 6.400825050251696 60.6271489277424)"/>
    <s v="[2113006, 2113014]"/>
    <s v="[1823044, 1789494]"/>
    <s v="#FIELD!"/>
    <s v="[1822960, 1823044]"/>
    <s v="[0.106, 2.516]"/>
    <s v="29.602390207069707"/>
    <s v="[0.106, -2.516]"/>
  </r>
  <r>
    <x v="5342"/>
    <x v="5690"/>
    <x v="0"/>
    <n v="0"/>
    <s v="LINESTRING (6.400893407989787 60.62749815314325, 6.400812907228387 60.62731892931781, 6.400769076856564 60.627269461410314)"/>
    <s v="[2112934, 2112942]"/>
    <s v="[1823000, 1789500]"/>
    <s v="#FIELD!"/>
    <s v="[1822981, 1823000]"/>
    <s v="[0.034, 2.458]"/>
    <s v="28.390568547302095"/>
    <s v="[-0.034, -2.458]"/>
  </r>
  <r>
    <x v="5343"/>
    <x v="5598"/>
    <x v="0"/>
    <n v="0"/>
    <s v="LINESTRING (5.415145749562309 59.5631719227496, 5.415083041051579 59.56306711158102, 5.415162944621162 59.56135590284925, 5.415157205856533 59.56132025968166, 5.415142857712395 59.5612311561904, 5.415319326168158 59.56124982811362, 5.4165696552942055 59.56067245359111, 5.416862484742675 59.560604343579364)"/>
    <s v="[2085362, 2085376, 2085377, 2085378, 2085381, 2085382, 2085383]"/>
    <s v="[1806797, 1806809, 1806810, 1764646, 1806812, 1806813, 1790694]"/>
    <s v="#FIELD!"/>
    <s v="[1790721, 1806797, 1806809, 1806810, 1764646, 1806812, 1806813]"/>
    <s v="[0.352, 0.022, 0.041, 0.032, 0.036, 0.051, 0.05]"/>
    <s v="347.0230131884737"/>
    <s v="[0.352, -0.022, -0.041, -0.032, -0.036, -0.051, -0.05]"/>
  </r>
  <r>
    <x v="5344"/>
    <x v="5694"/>
    <x v="0"/>
    <n v="0"/>
    <s v="LINESTRING (6.435920880501812 60.65939901651882, 6.435758330447325 60.65933047249922, 6.435722233907706 60.65927486250574, 6.4357222846487865 60.65924027618096, 6.435866094589405 60.659129155847126)"/>
    <s v="[2061084, 2061092, 2061100, 2061108]"/>
    <s v="[1791788, 1791795, 1791801, 1791807]"/>
    <s v="0.0023040078877973333"/>
    <s v="[1791787, 1791788, 1791795, 1791801]"/>
    <s v="[0.02, 0.009, 0.0, 0.014]"/>
    <s v="37.393298591414144"/>
    <s v="[0.02, 0.009, 0.0, -0.014]"/>
  </r>
  <r>
    <x v="5344"/>
    <x v="5695"/>
    <x v="0"/>
    <n v="0"/>
    <s v="LINESTRING (6.436152119979173 60.65939513018811, 6.436043218826731 60.65940807280717, 6.435920880501812 60.65939901651882)"/>
    <s v="[2061164, 2061172]"/>
    <s v="[1791845, 1791787]"/>
    <s v="0.026"/>
    <s v="[1791839, 1791845]"/>
    <s v="0.026"/>
    <s v="12.922662972792615"/>
    <s v="0.026"/>
  </r>
  <r>
    <x v="5344"/>
    <x v="5658"/>
    <x v="0"/>
    <n v="0"/>
    <s v="LINESTRING (6.436055698878039 60.65970401722039, 6.435926348117679 60.659432992042944, 6.435920880501812 60.65939901651882)"/>
    <s v="[2061404, 2061412]"/>
    <s v="[1792007, 1791787]"/>
    <s v="0.004"/>
    <s v="[1791946, 1792007]"/>
    <s v="0.004"/>
    <s v="34.89263461612827"/>
    <s v="0.004"/>
  </r>
  <r>
    <x v="5345"/>
    <x v="5696"/>
    <x v="0"/>
    <n v="0"/>
    <s v="LINESTRING (6.435866094589405 60.659129155847126, 6.43598971781983 60.659107950112556, 6.436113328309654 60.65911293398849)"/>
    <s v="[2061116, 2061124]"/>
    <s v="[1791812, 1791818]"/>
    <s v="#FIELD!"/>
    <s v="[1791807, 1791812]"/>
    <s v="[0.024, 0.026]"/>
    <s v="13.975827453181315"/>
    <s v="[-0.024, -0.026]"/>
  </r>
  <r>
    <x v="5345"/>
    <x v="5697"/>
    <x v="0"/>
    <n v="0"/>
    <s v="LINESTRING (6.435866094589405 60.659129155847126, 6.43587349244757 60.65908581300221, 6.4359562715123815 60.658940614102924)"/>
    <s v="[2061452, 2061460]"/>
    <s v="[1792047, 1791967]"/>
    <s v="#FIELD!"/>
    <s v="[1791807, 1792047]"/>
    <s v="[0.0, 0.007]"/>
    <s v="22.708976242143784"/>
    <s v="[0.0, -0.007]"/>
  </r>
  <r>
    <x v="5346"/>
    <x v="5695"/>
    <x v="0"/>
    <n v="0"/>
    <s v="LINESTRING (6.436113328309654 60.65911293398849, 6.436319333378959 60.65921164188063, 6.436333925309244 60.659253403105716, 6.436323903010877 60.65929637817937, 6.436152119979173 60.65939513018811)"/>
    <s v="[2061132, 2061140, 2061148, 2061156]"/>
    <s v="[1791823, 1791827, 1791832, 1791839]"/>
    <s v="#FIELD!"/>
    <s v="[1791818, 1791823, 1791827, 1791832]"/>
    <s v="[0.019, 0.003, 0.003, 0.017]"/>
    <s v="40.689568484729556"/>
    <s v="[-0.019, -0.003, 0.003, 0.017]"/>
  </r>
  <r>
    <x v="5346"/>
    <x v="5697"/>
    <x v="0"/>
    <n v="0"/>
    <s v="LINESTRING (6.436113328309654 60.65911293398849, 6.436104826051312 60.65907606262572, 6.4359562715123815 60.658940614102924)"/>
    <s v="[2061436, 2061444]"/>
    <s v="[1792034, 1791967]"/>
    <s v="0.009704075380089832"/>
    <s v="[1791818, 1792034]"/>
    <s v="[0.004, 0.011]"/>
    <s v="22.383856354997327"/>
    <s v="[0.004, 0.011]"/>
  </r>
  <r>
    <x v="5347"/>
    <x v="5658"/>
    <x v="0"/>
    <n v="0"/>
    <s v="LINESTRING (6.436055698878039 60.65970401722039, 6.436130623774567 60.65944116815887, 6.436152119979173 60.65939513018811)"/>
    <s v="[2061420, 2061428]"/>
    <s v="[1792019, 1791839]"/>
    <s v="#FIELD!"/>
    <s v="[1791946, 1792019]"/>
    <s v="[0.006, 0.005]"/>
    <s v="35.02570770001454"/>
    <s v="[-0.006, -0.005]"/>
  </r>
  <r>
    <x v="5348"/>
    <x v="5698"/>
    <x v="0"/>
    <n v="0"/>
    <s v="LINESTRING (6.4359562715123815 60.658940614102924, 6.43575359619933 60.65827017264721, 6.435327049635519 60.65607167155578)"/>
    <s v="[2061356, 2061364]"/>
    <s v="[1791968, 1791972]"/>
    <s v="0.0024061681507125676"/>
    <s v="[1791967, 1791968]"/>
    <s v="[0.007, 0.001]"/>
    <s v="322.9736663468754"/>
    <s v="[0.007, 0.001]"/>
  </r>
  <r>
    <x v="5349"/>
    <x v="5699"/>
    <x v="0"/>
    <n v="0"/>
    <s v="LINESTRING (6.435327049635519 60.65607167155578, 6.435248746727341 60.65590937403382, 6.435240416569352 60.65586794384497)"/>
    <s v="[2068293, 2068301]"/>
    <s v="[1796334, 1796340]"/>
    <s v="0.013026813533807254"/>
    <s v="[1791972, 1796334]"/>
    <s v="[0.015, 0.005]"/>
    <s v="23.562296628116464"/>
    <s v="[0.015, 0.005]"/>
  </r>
  <r>
    <x v="5349"/>
    <x v="5700"/>
    <x v="0"/>
    <n v="0"/>
    <s v="LINESTRING (6.435327049635519 60.65607167155578, 6.4354451639602335 60.65591609753045, 6.435474006264754 60.65587306187617)"/>
    <s v="[2068309, 2068317]"/>
    <s v="[1796346, 1796351]"/>
    <s v="#FIELD!"/>
    <s v="[1791972, 1796346]"/>
    <s v="[0.008, 0.012]"/>
    <s v="23.82669821023243"/>
    <s v="[-0.008, -0.012]"/>
  </r>
  <r>
    <x v="5350"/>
    <x v="5701"/>
    <x v="0"/>
    <n v="0"/>
    <s v="LINESTRING (6.435240416569352 60.65586794384497, 6.435082380925518 60.65578740662, 6.435059225633513 60.655723328042605, 6.435091112683062 60.65566189336941, 6.435249613626372 60.65558865882039)"/>
    <s v="[2068573, 2068581, 2068589, 2068597]"/>
    <s v="[1796355, 1796520, 1796371, 1796527]"/>
    <s v="#FIELD!"/>
    <s v="[1796340, 1796355, 1796520, 1796371]"/>
    <s v="[0.134, 0.027, 0.049, 0.14]"/>
    <s v="39.18398983530037"/>
    <s v="[0.134, 0.027, -0.049, -0.14]"/>
  </r>
  <r>
    <x v="5350"/>
    <x v="5700"/>
    <x v="0"/>
    <n v="0"/>
    <s v="LINESTRING (6.435474006264754 60.65587306187617, 6.435349921388104 60.655881593114856, 6.435240416569352 60.65586794384497)"/>
    <s v="[2068653, 2068661]"/>
    <s v="[1796567, 1796340]"/>
    <s v="0.039142267323400225"/>
    <s v="[1796351, 1796567]"/>
    <s v="[1.693, 1.795]"/>
    <s v="13.061455833763521"/>
    <s v="[1.693, -1.795]"/>
  </r>
  <r>
    <x v="5351"/>
    <x v="5702"/>
    <x v="0"/>
    <n v="0"/>
    <s v="LINESTRING (6.43549657832193 60.655589852246074, 6.435673430489823 60.65569634700131, 6.435678478633905 60.65574833086995, 6.435658634556676 60.65578606704676, 6.435474006264754 60.65587306187617)"/>
    <s v="[2068621, 2068629, 2068637, 2068645]"/>
    <s v="[1796545, 1796550, 1796555, 1796351]"/>
    <s v="#FIELD!"/>
    <s v="[1796539, 1796545, 1796550, 1796555]"/>
    <s v="[0.07, 0.011, 0.03, 0.67]"/>
    <s v="40.286472204750375"/>
    <s v="[-0.07, -0.011, 0.03, -0.67]"/>
  </r>
  <r>
    <x v="5352"/>
    <x v="5702"/>
    <x v="0"/>
    <n v="0"/>
    <s v="LINESTRING (6.435249613626372 60.65558865882039, 6.435411263989003 60.65557794250332, 6.43549657832193 60.655589852246074)"/>
    <s v="[2068605, 2068613]"/>
    <s v="[1796533, 1796539]"/>
    <s v="0.7457134220899664"/>
    <s v="[1796527, 1796533]"/>
    <s v="[1.217, 0.121]"/>
    <s v="13.803735064631542"/>
    <s v="[1.217, -0.121]"/>
  </r>
  <r>
    <x v="5352"/>
    <x v="5703"/>
    <x v="0"/>
    <n v="0"/>
    <s v="LINESTRING (6.435249613626372 60.65558865882039, 6.435301325032684 60.65553847208602, 6.435453772089492 60.65540249566666)"/>
    <s v="[2069214, 2069222]"/>
    <s v="[1796910, 1796826]"/>
    <s v="0.4255682507048078"/>
    <s v="[1796527, 1796910]"/>
    <s v="[1.848, 0.051]"/>
    <s v="25.027216883370908"/>
    <s v="[1.848, -0.051]"/>
  </r>
  <r>
    <x v="5353"/>
    <x v="5703"/>
    <x v="0"/>
    <n v="0"/>
    <s v="LINESTRING (6.43549657832193 60.655589852246074, 6.43551361797556 60.65555434671491, 6.435453772089492 60.65540249566666)"/>
    <s v="[2069198, 2069206]"/>
    <s v="[1796904, 1796826]"/>
    <s v="0.016594393950048626"/>
    <s v="[1796539, 1796904]"/>
    <s v="[0.016, 0.024]"/>
    <s v="22.003249505885126"/>
    <s v="[-0.016, 0.024]"/>
  </r>
  <r>
    <x v="5354"/>
    <x v="5704"/>
    <x v="0"/>
    <n v="0"/>
    <s v="LINESTRING (6.435998374933286 60.65206713961986, 6.435919017284138 60.65203023594677, 6.435866321112898 60.65196380231594, 6.435882593204278 60.65189517510566, 6.4359710321281085 60.65183571397193)"/>
    <s v="[2068669, 2068677, 2068685, 2068693]"/>
    <s v="[1791890, 1796583, 1791906, 1796593]"/>
    <s v="0.008468837844142915"/>
    <s v="[1796578, 1791890, 1796583, 1791906]"/>
    <s v="[0.093, 0.045, 0.007, 0.074]"/>
    <s v="29.892437708765627"/>
    <s v="[0.093, 0.045, -0.007, -0.074]"/>
  </r>
  <r>
    <x v="5354"/>
    <x v="5705"/>
    <x v="0"/>
    <n v="0"/>
    <s v="LINESTRING (6.436367778944533 60.65204515517256, 6.4361728492653345 60.65208958127827, 6.435998374933286 60.65206713961986)"/>
    <s v="[2068750, 2068758]"/>
    <s v="[1796634, 1796578]"/>
    <s v="0.11625940430801147"/>
    <s v="[1796629, 1796634]"/>
    <s v="[0.114, 0.119]"/>
    <s v="21.882003188555515"/>
    <s v="[0.114, 0.119]"/>
  </r>
  <r>
    <x v="5354"/>
    <x v="5706"/>
    <x v="0"/>
    <n v="0"/>
    <s v="LINESTRING (6.436217952895964 60.65234816116787, 6.43606576068672 60.65213367986175, 6.435998374933286 60.65206713961986)"/>
    <s v="[2069054, 2069062]"/>
    <s v="[1796816, 1796578]"/>
    <s v="0.046396372760599276"/>
    <s v="[1796815, 1796816]"/>
    <s v="[0.042, 0.06]"/>
    <s v="33.977051500338696"/>
    <s v="[0.042, 0.06]"/>
  </r>
  <r>
    <x v="5355"/>
    <x v="5707"/>
    <x v="0"/>
    <n v="0"/>
    <s v="LINESTRING (6.4359710321281085 60.65183571397193, 6.436139131708711 60.65180355769122, 6.436281541926096 60.65181724998972)"/>
    <s v="[2068701, 2068709]"/>
    <s v="[1796600, 1796607]"/>
    <s v="#FIELD!"/>
    <s v="[1796593, 1796600]"/>
    <s v="[0.118, 0.122]"/>
    <s v="17.846455477779315"/>
    <s v="[-0.118, -0.122]"/>
  </r>
  <r>
    <x v="5355"/>
    <x v="5708"/>
    <x v="0"/>
    <n v="0"/>
    <s v="LINESTRING (6.4359710321281085 60.65183571397193, 6.436008433784308 60.65176938760121, 6.436082743359817 60.651602321224004)"/>
    <s v="[2069118, 2069126]"/>
    <s v="[1796860, 1796779]"/>
    <s v="#FIELD!"/>
    <s v="[1796593, 1796860]"/>
    <s v="[0.034, 0.023]"/>
    <s v="26.981588510358385"/>
    <s v="[-0.034, -0.023]"/>
  </r>
  <r>
    <x v="5356"/>
    <x v="5705"/>
    <x v="0"/>
    <n v="0"/>
    <s v="LINESTRING (6.436281541926096 60.65181724998972, 6.436412432065959 60.65187815550975, 6.4364456832426615 60.651929247233724, 6.436426787071014 60.65199991801931, 6.436367778944533 60.65204515517256)"/>
    <s v="[2068717, 2068725, 2068734, 2068742]"/>
    <s v="[1791886, 1796616, 1791870, 1796629]"/>
    <s v="#FIELD!"/>
    <s v="[1796607, 1791886, 1796616, 1791870]"/>
    <s v="[0.092, 0.047, 0.016, 0.068]"/>
    <s v="29.836018192347716"/>
    <s v="[-0.092, -0.047, 0.016, 0.068]"/>
  </r>
  <r>
    <x v="5356"/>
    <x v="5708"/>
    <x v="0"/>
    <n v="0"/>
    <s v="LINESTRING (6.436281541926096 60.65181724998972, 6.43624085822158 60.65175989929728, 6.436082743359817 60.651602321224004)"/>
    <s v="[2069110, 2069111]"/>
    <s v="[1796851, 1796779]"/>
    <s v="0.053889533694481746"/>
    <s v="[1796607, 1796851]"/>
    <s v="[0.042, 0.058]"/>
    <s v="26.39898032670509"/>
    <s v="[0.042, 0.058]"/>
  </r>
  <r>
    <x v="5357"/>
    <x v="5706"/>
    <x v="0"/>
    <n v="0"/>
    <s v="LINESTRING (6.436217952895964 60.65234816116787, 6.4363175952116505 60.652128187560045, 6.436367778944533 60.65204515517256)"/>
    <s v="[2069094, 2069102]"/>
    <s v="[1796841, 1796629]"/>
    <s v="#FIELD!"/>
    <s v="[1796815, 1796841]"/>
    <s v="[0.025, 0.034]"/>
    <s v="35.378216105917375"/>
    <s v="[-0.025, -0.034]"/>
  </r>
  <r>
    <x v="5358"/>
    <x v="5709"/>
    <x v="0"/>
    <n v="0"/>
    <s v="LINESTRING (6.436082743359817 60.651602321224004, 6.435961929274634 60.6511446010784, 6.435874351446713 60.650832356870986, 6.435746780454242 60.65037694638476, 6.4354312168693 60.6459757048481, 6.435453533773753 60.645475026195506, 6.435586796913958 60.64431288233671, 6.435623697823435 60.64392646748285, 6.4356987556648555 60.642533817410374)"/>
    <s v="[2069006, 2069014, 2069022, 2069030, 2069038, 2115290, 2115298, 2115306]"/>
    <s v="[1796780, 1796787, 1796793, 1796799, 1789518, 1791934, 1824374, 1824379]"/>
    <s v="0.001120424265578676"/>
    <s v="[1796779, 1796780, 1796787, 1796793, 1796799, 1789518, 1791934, 1824374]"/>
    <s v="[0.018, 0.02, 0.018, 0.005, 0.002, 0.01, 0.014, 0.012]"/>
    <s v="1015.9877735504049"/>
    <s v="[0.018, 0.02, 0.018, 0.005, -0.002, -0.01, -0.014, -0.012]"/>
  </r>
  <r>
    <x v="5359"/>
    <x v="5703"/>
    <x v="0"/>
    <n v="0"/>
    <s v="LINESTRING (6.435453772089492 60.65540249566666, 6.43554344362622 60.65517439246791, 6.435619611223925 60.65496884608386, 6.436217952895964 60.65234816116787)"/>
    <s v="[2069070, 2069078, 2069086]"/>
    <s v="[1796827, 1796831, 1796815]"/>
    <s v="#FIELD!"/>
    <s v="[1796826, 1796827, 1796831]"/>
    <s v="[0.021, 0.02, 0.012]"/>
    <s v="344.9066987477589"/>
    <s v="[-0.021, -0.02, -0.012]"/>
  </r>
  <r>
    <x v="5360"/>
    <x v="2139"/>
    <x v="0"/>
    <n v="0"/>
    <m/>
    <n v="2154544"/>
    <n v="1797154"/>
    <s v="0.023"/>
    <n v="1797143"/>
    <s v="0.023"/>
    <s v="6.896327863234339"/>
    <s v="0.023"/>
  </r>
  <r>
    <x v="5361"/>
    <x v="5660"/>
    <x v="0"/>
    <n v="0"/>
    <m/>
    <n v="2069919"/>
    <n v="1055039"/>
    <s v="#FIELD!"/>
    <n v="1797345"/>
    <s v="0.108"/>
    <s v="8.978398186386746"/>
    <s v="#FIELD!"/>
  </r>
  <r>
    <x v="5361"/>
    <x v="5659"/>
    <x v="0"/>
    <n v="0"/>
    <m/>
    <n v="2069935"/>
    <n v="1055039"/>
    <s v="#FIELD!"/>
    <n v="1797356"/>
    <s v="0.036"/>
    <s v="12.19907947357772"/>
    <s v="#FIELD!"/>
  </r>
  <r>
    <x v="5362"/>
    <x v="5659"/>
    <x v="0"/>
    <n v="0"/>
    <m/>
    <n v="2069951"/>
    <n v="1797356"/>
    <s v="#FIELD!"/>
    <n v="1797345"/>
    <s v="0.048"/>
    <s v="10.916446766059147"/>
    <s v="#FIELD!"/>
  </r>
  <r>
    <x v="5363"/>
    <x v="755"/>
    <x v="0"/>
    <n v="0"/>
    <s v="LINESTRING (11.885531807013034 60.2105707910992, 11.89624915951879 60.20719286401171, 11.89673347009207 60.20716847863639)"/>
    <s v="[2069985, 2069993]"/>
    <s v="[1797395, 1797401]"/>
    <s v="0.014964171382442121"/>
    <s v="[1797387, 1797395]"/>
    <s v="[0.015, 0.014]"/>
    <s v="753.3489165956719"/>
    <s v="[0.015, 0.014]"/>
  </r>
  <r>
    <x v="5363"/>
    <x v="5710"/>
    <x v="0"/>
    <n v="0"/>
    <s v="LINESTRING (11.885531807013034 60.2105707910992, 11.885840378694631 60.2103140421277, 11.888966719374926 60.20799134186537, 11.888990832216734 60.20795219116471)"/>
    <s v="[2070066, 2070074, 2070082]"/>
    <s v="[1797453, 1797458, 1797462]"/>
    <s v="#FIELD!"/>
    <s v="[1797387, 1797453, 1797458]"/>
    <s v="[0.012, 0.005, 0.024]"/>
    <s v="350.83554300862875"/>
    <s v="[-0.012, -0.005, -0.024]"/>
  </r>
  <r>
    <x v="5364"/>
    <x v="5711"/>
    <x v="0"/>
    <n v="0"/>
    <s v="LINESTRING (11.889613440882197 60.207789517478375, 11.889670861393167 60.207788888258456, 11.889800934687285 60.20778540832932, 11.896150665118832 60.207168488479724, 11.89673347009207 60.20716847863639)"/>
    <s v="[2070017, 2070025, 2070034, 2070090]"/>
    <s v="[1797418, 1797425, 1797432, 1797401]"/>
    <s v="0.029177531119903424"/>
    <s v="[1797417, 1797418, 1797425, 1797432]"/>
    <s v="[0.059, 0.057, 0.029, 0.022]"/>
    <s v="403.1008814355406"/>
    <s v="[0.059, 0.057, 0.029, 0.022]"/>
  </r>
  <r>
    <x v="5365"/>
    <x v="5712"/>
    <x v="0"/>
    <n v="0"/>
    <m/>
    <n v="2126906"/>
    <n v="1831177"/>
    <s v="0.034"/>
    <n v="1797417"/>
    <s v="0.034"/>
    <s v="20.224906376272905"/>
    <s v="0.034"/>
  </r>
  <r>
    <x v="5365"/>
    <x v="5710"/>
    <x v="0"/>
    <n v="0"/>
    <s v="LINESTRING (11.888990832216734 60.20795219116471, 11.888948350306707 60.20784606138466, 11.8889579525514 60.2078209471568, 11.888976081301486 60.20779540408631, 11.889257898801386 60.20769275337958, 11.889405984983465 60.20770000322989, 11.889542572999359 60.207740948936745, 11.889613440882197 60.207789517478375)"/>
    <s v="[2126938, 2126946, 2126954, 2126874, 2126882, 2126890, 2126898]"/>
    <s v="[1831135, 1831199, 1831121, 1166785, 1831164, 1166748, 1797417]"/>
    <s v="0.02056793705699701"/>
    <s v="[1797462, 1831135, 1831199, 1831121, 1166785, 1831164, 1166748]"/>
    <s v="[0.046, 0.034, 0.008, 0.02, 0.063, 0.066, 0.066]"/>
    <s v="61.73301871381021"/>
    <s v="[-0.046, -0.034, -0.008, 0.02, 0.063, 0.066, 0.066]"/>
  </r>
  <r>
    <x v="5366"/>
    <x v="5713"/>
    <x v="0"/>
    <n v="0"/>
    <m/>
    <n v="2127002"/>
    <n v="1831224"/>
    <s v="#FIELD!"/>
    <n v="1797437"/>
    <s v="0.04"/>
    <s v="17.387188115679805"/>
    <s v="#FIELD!"/>
  </r>
  <r>
    <x v="5366"/>
    <x v="2518"/>
    <x v="0"/>
    <n v="0"/>
    <s v="LINESTRING (11.890843282832007 60.20880051044704, 11.8908629943344 60.208824964635916, 11.890857568799607 60.20890130547253, 11.890771897830376 60.20895940981017, 11.890422801622647 60.20893738146837)"/>
    <s v="[2126970, 2126978, 2126986, 2126994]"/>
    <s v="[1831208, 1831213, 1831217, 1797437]"/>
    <s v="#FIELD!"/>
    <s v="[1797491, 1831208, 1831213, 1831217]"/>
    <s v="[0.052, 0.042, 0.003, 0.058]"/>
    <s v="40.749922545349804"/>
    <s v="[0.052, 0.042, -0.003, -0.058]"/>
  </r>
  <r>
    <x v="5367"/>
    <x v="5714"/>
    <x v="0"/>
    <n v="0"/>
    <m/>
    <n v="2126930"/>
    <n v="1797462"/>
    <s v="#FIELD!"/>
    <n v="1831185"/>
    <s v="0.065"/>
    <s v="24.490352294666934"/>
    <s v="#FIELD!"/>
  </r>
  <r>
    <x v="5368"/>
    <x v="5715"/>
    <x v="0"/>
    <n v="0"/>
    <m/>
    <n v="2126962"/>
    <n v="1797491"/>
    <s v="0.064"/>
    <n v="1831205"/>
    <s v="0.064"/>
    <s v="17.3248737668091"/>
    <s v="0.064"/>
  </r>
  <r>
    <x v="5369"/>
    <x v="5716"/>
    <x v="0"/>
    <n v="0"/>
    <s v="LINESTRING (5.248895620397646 60.36603765391072, 5.248879801390105 60.36610342726037, 5.248832121903396 60.3661494743581)"/>
    <s v="[2070595, 2070603]"/>
    <s v="[1797853, 1797857]"/>
    <s v="0.04064916389023444"/>
    <s v="[1797846, 1797853]"/>
    <s v="[0.031, 0.053]"/>
    <s v="13.18711774783424"/>
    <s v="[0.031, 0.053]"/>
  </r>
  <r>
    <x v="5369"/>
    <x v="5717"/>
    <x v="0"/>
    <s v="[0, 1]"/>
    <s v="LINESTRING (5.248895620397646 60.36603765391072, 5.249062298184556 60.36606489337848, 5.252588740582656 60.36642779218386)"/>
    <s v="[2071306, 2071314]"/>
    <s v="[1798362, 1798359]"/>
    <s v="#FIELD!"/>
    <s v="[1797846, 1798362]"/>
    <s v="[0.042, 0.039]"/>
    <s v="282.3345073624637"/>
    <s v="[-0.042, -0.039]"/>
  </r>
  <r>
    <x v="5369"/>
    <x v="5718"/>
    <x v="0"/>
    <n v="0"/>
    <s v="LINESTRING (5.248290696448582 60.36615139317721, 5.248365514434966 60.36591484567872, 5.2485029708358075 60.36588665847362, 5.248597619160019 60.365885338229354, 5.248895620397646 60.36603765391072)"/>
    <s v="[2070635, 2070643, 2070579, 2070587]"/>
    <s v="[1797881, 1797837, 1797838, 1797846]"/>
    <s v="#FIELD!"/>
    <s v="[1797875, 1797881, 1797837, 1797838]"/>
    <s v="[0.053, 0.045, 0.039, 0.008]"/>
    <s v="68.51161125584902"/>
    <s v="[-0.053, -0.045, -0.039, -0.008]"/>
  </r>
  <r>
    <x v="5370"/>
    <x v="5719"/>
    <x v="0"/>
    <n v="0"/>
    <m/>
    <n v="2070611"/>
    <n v="1797864"/>
    <s v="0.066"/>
    <n v="1797857"/>
    <s v="0.066"/>
    <s v="13.190601967817244"/>
    <s v="0.066"/>
  </r>
  <r>
    <x v="5370"/>
    <x v="5717"/>
    <x v="0"/>
    <s v="[0, 1]"/>
    <s v="LINESTRING (5.248832121903396 60.3661494743581, 5.2490106110549055 60.36616086986935, 5.252588740582656 60.36642779218386)"/>
    <s v="[2071290, 2071298]"/>
    <s v="[1798353, 1798359]"/>
    <s v="#FIELD!"/>
    <s v="[1797857, 1798353]"/>
    <s v="[0.058, 0.042]"/>
    <s v="272.4917755813982"/>
    <s v="[-0.058, -0.042]"/>
  </r>
  <r>
    <x v="5371"/>
    <x v="5718"/>
    <x v="0"/>
    <n v="0"/>
    <s v="LINESTRING (5.248636512194136 60.366213616279424, 5.248502765253615 60.36621557204403, 5.248290696448582 60.36615139317721)"/>
    <s v="[2070619, 2070627]"/>
    <s v="[1797869, 1797875]"/>
    <s v="0.04295438354873897"/>
    <s v="[1797864, 1797869]"/>
    <s v="[0.075, 0.026]"/>
    <s v="21.40635727503254"/>
    <s v="[0.075, 0.026]"/>
  </r>
  <r>
    <x v="5371"/>
    <x v="5720"/>
    <x v="0"/>
    <n v="0"/>
    <s v="LINESTRING (5.248636512194136 60.366213616279424, 5.248565402096991 60.36626219071411, 5.2483776753936 60.36645346629626)"/>
    <s v="[2071176, 2071184]"/>
    <s v="[1798263, 1797893]"/>
    <s v="0.071"/>
    <s v="[1797864, 1798263]"/>
    <s v="0.071"/>
    <s v="31.352761357424534"/>
    <s v="0.071"/>
  </r>
  <r>
    <x v="5372"/>
    <x v="5720"/>
    <x v="0"/>
    <n v="0"/>
    <s v="LINESTRING (5.248290696448582 60.36615139317721, 5.248341700953462 60.36622391978891, 5.2483776753936 60.36645346629626)"/>
    <s v="[2071192, 2071200]"/>
    <s v="[1798278, 1797893]"/>
    <s v="0.036609852109050045"/>
    <s v="[1797875, 1798278]"/>
    <s v="[0.026, 0.04]"/>
    <s v="35.44740888021548"/>
    <s v="[0.026, 0.04]"/>
  </r>
  <r>
    <x v="5373"/>
    <x v="5721"/>
    <x v="0"/>
    <n v="0"/>
    <m/>
    <n v="2070659"/>
    <n v="1797894"/>
    <s v="#FIELD!"/>
    <n v="1797893"/>
    <s v="0.051"/>
    <s v="173.58424192540903"/>
    <s v="#FIELD!"/>
  </r>
  <r>
    <x v="5374"/>
    <x v="5722"/>
    <x v="0"/>
    <n v="0"/>
    <s v="LINESTRING (5.249761706827434 60.3678221753802, 5.249778106247509 60.36802702367876, 5.249780717564378 60.3680861995858)"/>
    <s v="[2071137, 2071145]"/>
    <s v="[1798231, 1797939]"/>
    <s v="#FIELD!"/>
    <s v="[1797894, 1798231]"/>
    <s v="[0.025, 0.015]"/>
    <s v="30.051037689058205"/>
    <s v="[-0.025, -0.015]"/>
  </r>
  <r>
    <x v="5374"/>
    <x v="5723"/>
    <x v="0"/>
    <n v="0"/>
    <s v="LINESTRING (5.249761706827434 60.3678221753802, 5.24996477524825 60.367999218138166, 5.250052644729269 60.368050678570754)"/>
    <s v="[2071153, 2071168]"/>
    <s v="[1798243, 1797899]"/>
    <s v="#FIELD!"/>
    <s v="[1797894, 1798243]"/>
    <s v="[0.118, 0.17]"/>
    <s v="31.27151053193925"/>
    <s v="[-0.118, -0.17]"/>
  </r>
  <r>
    <x v="5375"/>
    <x v="5675"/>
    <x v="0"/>
    <n v="0"/>
    <s v="LINESTRING (5.250052644729269 60.368050678570754, 5.250235228541863 60.36809819859917, 5.250301183684978 60.368285317393685)"/>
    <s v="[2070675, 2070683]"/>
    <s v="[1797905, 1797910]"/>
    <s v="#FIELD!"/>
    <s v="[1797899, 1797905]"/>
    <s v="[0.231, 0.072]"/>
    <s v="33.631413692144264"/>
    <s v="[-0.231, -0.072]"/>
  </r>
  <r>
    <x v="5375"/>
    <x v="5722"/>
    <x v="0"/>
    <n v="0"/>
    <s v="LINESTRING (5.249780717564378 60.3680861995858, 5.249898775682766 60.368055128149116, 5.250052644729269 60.368050678570754)"/>
    <s v="[2070726, 2070667]"/>
    <s v="[1797898, 1797899]"/>
    <s v="#FIELD!"/>
    <s v="[1797939, 1797898]"/>
    <s v="[0.203, 0.223]"/>
    <s v="15.931581460899938"/>
    <s v="[-0.203, -0.223]"/>
  </r>
  <r>
    <x v="5376"/>
    <x v="5722"/>
    <x v="0"/>
    <n v="0"/>
    <s v="LINESTRING (5.250301183684978 60.368285317393685, 5.250223516925771 60.36833751496092, 5.250108991026651 60.368372014251314, 5.250006663443299 60.36838181435418, 5.249780717564378 60.3680861995858)"/>
    <s v="[2070691, 2070699, 2070707, 2070715]"/>
    <s v="[1797918, 1797924, 1797930, 1797939]"/>
    <s v="0.11587567637019268"/>
    <s v="[1797910, 1797918, 1797924, 1797930]"/>
    <s v="[0.128, 0.199, 0.246, 0.084]"/>
    <s v="66.09076739397469"/>
    <s v="[0.128, 0.199, 0.246, 0.084]"/>
  </r>
  <r>
    <x v="5377"/>
    <x v="5681"/>
    <x v="0"/>
    <n v="0"/>
    <s v="LINESTRING (5.252588740582656 60.36642779218386, 5.25242971061887 60.36917925283226, 5.252205699185849 60.371111454516736, 5.252102939123646 60.37121964960871, 5.252097235470788 60.3712256598282)"/>
    <s v="[2071472, 2071416, 2071480, 2071488]"/>
    <s v="[1798429, 1798433, 1798461, 1798465]"/>
    <s v="#FIELD!"/>
    <s v="[1798359, 1798429, 1798433, 1798461]"/>
    <s v="[0.073, 0.061, 0.137, 0.232]"/>
    <s v="540.1267476901554"/>
    <s v="[-0.073, 0.061, 0.137, 0.232]"/>
  </r>
  <r>
    <x v="5378"/>
    <x v="5724"/>
    <x v="0"/>
    <n v="0"/>
    <s v="LINESTRING (5.484490090969233 59.77493054758521, 5.4846717508855765 59.77500538911382, 5.484706345984164 59.77506099069541, 5.484699158186635 59.775115982032254, 5.484568402314073 59.77520851380232)"/>
    <s v="[2077697, 2077705, 2077713, 2077721]"/>
    <s v="[1802109, 1802114, 1802118, 1802122]"/>
    <s v="#FIELD!"/>
    <s v="[1802108, 1802109, 1802114, 1802118]"/>
    <s v="[0.023, 0.009, 0.007, 0.024]"/>
    <s v="39.10598804413253"/>
    <s v="[-0.023, -0.009, 0.007, 0.024]"/>
  </r>
  <r>
    <x v="5378"/>
    <x v="5725"/>
    <x v="0"/>
    <n v="0"/>
    <s v="LINESTRING (5.4841574420841 59.77498247427265, 5.484280798649569 59.77493586801914, 5.484490090969233 59.77493054758521)"/>
    <s v="[2077753, 2077761]"/>
    <s v="[1802142, 1802108]"/>
    <s v="#FIELD!"/>
    <s v="[1802136, 1802142]"/>
    <s v="[0.03, 0.035]"/>
    <s v="20.495106018894294"/>
    <s v="[-0.03, -0.035]"/>
  </r>
  <r>
    <x v="5378"/>
    <x v="5357"/>
    <x v="529"/>
    <n v="0"/>
    <s v="LINESTRING (5.484136135272523 59.774767623291794, 5.484376570829099 59.77488753637067, 5.484490090969233 59.77493054758521)"/>
    <s v="[2077921, 2077929]"/>
    <s v="[1802250, 1802108]"/>
    <s v="#FIELD!"/>
    <s v="[1802249, 1802250]"/>
    <s v="[0.018, 0.023]"/>
    <s v="27.625502643745058"/>
    <s v="[-0.018, -0.023]"/>
  </r>
  <r>
    <x v="5379"/>
    <x v="5726"/>
    <x v="0"/>
    <n v="0"/>
    <s v="LINESTRING (5.484568402314073 59.77520851380232, 5.484422296003183 59.77523337713826, 5.484315936061315 59.77522723666882)"/>
    <s v="[2077729, 2077737]"/>
    <s v="[1802127, 1802132]"/>
    <s v="0.036770694877126094"/>
    <s v="[1802122, 1802127]"/>
    <s v="[0.038, 0.035]"/>
    <s v="14.722185379444143"/>
    <s v="[0.038, 0.035]"/>
  </r>
  <r>
    <x v="5379"/>
    <x v="5356"/>
    <x v="0"/>
    <n v="0"/>
    <s v="LINESTRING (5.484568402314073 59.77520851380232, 5.484575813213155 59.77524576451459, 5.484516600680556 59.775405095555286)"/>
    <s v="[2077985, 2077993]"/>
    <s v="[1802290, 1802282]"/>
    <s v="0.009783743226651749"/>
    <s v="[1802122, 1802290]"/>
    <s v="[0.0, 0.012]"/>
    <s v="22.653019603322747"/>
    <s v="[0.0, 0.012]"/>
  </r>
  <r>
    <x v="5380"/>
    <x v="5725"/>
    <x v="0"/>
    <n v="0"/>
    <m/>
    <n v="2077745"/>
    <n v="1802136"/>
    <s v="0.004"/>
    <n v="1802132"/>
    <s v="0.004"/>
    <s v="33.644521980593396"/>
    <s v="0.004"/>
  </r>
  <r>
    <x v="5380"/>
    <x v="5356"/>
    <x v="0"/>
    <n v="0"/>
    <s v="LINESTRING (5.484315936061315 59.77522723666882, 5.4843473334943385 59.77526587759776, 5.484516600680556 59.775405095555286)"/>
    <s v="[2077969, 2077977]"/>
    <s v="[1802276, 1802282]"/>
    <s v="#FIELD!"/>
    <s v="[1802132, 1802276]"/>
    <s v="[0.008, 0.016]"/>
    <s v="22.915719563323695"/>
    <s v="[-0.008, -0.016]"/>
  </r>
  <r>
    <x v="5381"/>
    <x v="5357"/>
    <x v="0"/>
    <n v="0"/>
    <s v="LINESTRING (5.484136135272523 59.774767623291794, 5.484145422245176 59.77493005842608, 5.4841574420841 59.77498247427265)"/>
    <s v="[2077945, 2077953]"/>
    <s v="[1802264, 1802136]"/>
    <s v="0.005513754142430077"/>
    <s v="[1802249, 1802264]"/>
    <s v="[0.006, 0.004]"/>
    <s v="24.253646927566024"/>
    <s v="[0.006, 0.004]"/>
  </r>
  <r>
    <x v="5382"/>
    <x v="5727"/>
    <x v="0"/>
    <n v="0"/>
    <s v="LINESTRING (10.271109435307789 60.13621384398111, 10.271586756720069 60.13614754269851, 10.271697322711269 60.1361122821951)"/>
    <s v="[2080330, 2080338]"/>
    <s v="[1803816, 1803824]"/>
    <s v="0.048825885682751785"/>
    <s v="[1803815, 1803816]"/>
    <s v="[0.054, 0.029]"/>
    <s v="35.252570399669736"/>
    <s v="[0.054, 0.029]"/>
  </r>
  <r>
    <x v="5382"/>
    <x v="5728"/>
    <x v="0"/>
    <n v="0"/>
    <s v="LINESTRING (10.271109435307789 60.13621384398111, 10.271409705013637 60.13605575991349, 10.271478710640913 60.136021081352844)"/>
    <s v="[2080346, 2080354]"/>
    <s v="[1803830, 1803836]"/>
    <s v="0.014089242609388535"/>
    <s v="[1803815, 1803830]"/>
    <s v="[0.015, 0.01]"/>
    <s v="29.89843668670361"/>
    <s v="[0.015, 0.01]"/>
  </r>
  <r>
    <x v="5383"/>
    <x v="5728"/>
    <x v="0"/>
    <n v="0"/>
    <s v="LINESTRING (10.271697322711269 60.1361122821951, 10.271561820357565 60.136080180830966, 10.271478710640913 60.136021081352844)"/>
    <s v="[2080522, 2080530]"/>
    <s v="[1803936, 1803836]"/>
    <s v="#FIELD!"/>
    <s v="[1803824, 1803936]"/>
    <s v="[0.082, 0.076]"/>
    <s v="16.386257724406605"/>
    <s v="[-0.082, -0.076]"/>
  </r>
  <r>
    <x v="5383"/>
    <x v="5729"/>
    <x v="0"/>
    <n v="0"/>
    <s v="LINESTRING (10.272006584943218 60.13588912824212, 10.272031173432346 60.1359131418474, 10.272048884253486 60.13598247576721, 10.272003800175048 60.136047692387024, 10.271697322711269 60.1361122821951)"/>
    <s v="[2080490, 2080498, 2080506, 2080514]"/>
    <s v="[1803855, 1803926, 1803840, 1803824]"/>
    <s v="#FIELD!"/>
    <s v="[1803881, 1803855, 1803926, 1803840]"/>
    <s v="[0.06, 0.057, 0.023, 0.042]"/>
    <s v="37.84064619639302"/>
    <s v="[0.06, 0.057, 0.023, -0.042]"/>
  </r>
  <r>
    <x v="5384"/>
    <x v="5730"/>
    <x v="0"/>
    <n v="0"/>
    <m/>
    <n v="2080466"/>
    <n v="1803894"/>
    <s v="0.001"/>
    <n v="1803836"/>
    <s v="0.001"/>
    <s v="32.71417132560792"/>
    <s v="0.001"/>
  </r>
  <r>
    <x v="5385"/>
    <x v="4646"/>
    <x v="0"/>
    <n v="0"/>
    <s v="LINESTRING (10.272006584943218 60.13588912824212, 10.2720476530043 60.13583177310118, 10.272183544710131 60.13565724726378)"/>
    <s v="[2080418, 2080426]"/>
    <s v="[1803882, 1803888]"/>
    <s v="#FIELD!"/>
    <s v="[1803881, 1803882]"/>
    <s v="[0.024, 0.019]"/>
    <s v="27.80606153506241"/>
    <s v="[-0.024, -0.019]"/>
  </r>
  <r>
    <x v="5385"/>
    <x v="5730"/>
    <x v="0"/>
    <n v="0"/>
    <s v="LINESTRING (10.271772615709896 60.13581945109141, 10.271904054900029 60.13583841877635, 10.272006584943218 60.13588912824212)"/>
    <s v="[2080474, 2080482]"/>
    <s v="[1803915, 1803881]"/>
    <s v="0.08108065679036507"/>
    <s v="[1803894, 1803915]"/>
    <s v="[0.078, 0.084]"/>
    <s v="15.634682591634856"/>
    <s v="[0.078, 0.084]"/>
  </r>
  <r>
    <x v="5386"/>
    <x v="5730"/>
    <x v="0"/>
    <n v="0"/>
    <s v="LINESTRING (10.271772615709896 60.13581945109141, 10.271831555986706 60.135779519232905, 10.272183544710131 60.13565724726378)"/>
    <s v="[2080434, 2080442]"/>
    <s v="[1803895, 1803888]"/>
    <s v="0.02337468186493188"/>
    <s v="[1803894, 1803895]"/>
    <s v="[0.003, 0.028]"/>
    <s v="29.87413273591902"/>
    <s v="[0.003, 0.028]"/>
  </r>
  <r>
    <x v="5387"/>
    <x v="3484"/>
    <x v="0"/>
    <n v="0"/>
    <s v="LINESTRING (10.325874003465213 59.97688541698654, 10.32509047770881 59.977090693009266, 10.32477010779473 59.977174537532626, 10.320124143564756 59.97765881565173, 10.320116158044078 59.97779180057679, 10.324084245653198 59.9772485034424, 10.324890746018992 59.97706397978698)"/>
    <s v="[2082288, 227727, 227735, 227743, 227751, 2082280]"/>
    <s v="[232449, 232450, 232459, 232466, 232473, 1804949]"/>
    <s v="#FIELD!"/>
    <s v="[1804954, 232449, 232450, 232459, 232466, 232473]"/>
    <s v="[0.131, 0.101, 0.009, 0.123, 0.01, 0.181]"/>
    <s v="995.2162204239862"/>
    <s v="[-0.131, -0.101, -0.009, 0.123, -0.01, 0.181]"/>
  </r>
  <r>
    <x v="5388"/>
    <x v="2883"/>
    <x v="0"/>
    <n v="0"/>
    <s v="LINESTRING (18.357409721165286 68.88742848556741, 18.358351788703402 68.88767416226412, 18.358997083713255 68.88779416525315, 18.35925162773119 68.88783977767989, 18.36074760164729 68.88808376469532)"/>
    <s v="[2084735, 2084736, 2084744, 2084745]"/>
    <s v="[1806462, 1806463, 1806468, 1806469]"/>
    <s v="0.02397819227561845"/>
    <s v="[1806461, 1806462, 1806463, 1806468]"/>
    <s v="[0.039, 0.022, 0.025, 0.014]"/>
    <s v="153.76023777442285"/>
    <s v="[0.039, 0.022, 0.025, 0.014]"/>
  </r>
  <r>
    <x v="5388"/>
    <x v="2883"/>
    <x v="0"/>
    <n v="0"/>
    <s v="LINESTRING (18.357409721165286 68.88742848556741, 18.358213858856935 68.88756204174396, 18.358448321478736 68.88760387599444, 18.359107300857023 68.88772378806233, 18.359364520733774 68.88777127814687, 18.36074760164729 68.88808376469532)"/>
    <s v="[2084747, 2084748, 2084749, 2084760, 2084761]"/>
    <s v="[1806470, 1806471, 1806472, 1806474, 1806469]"/>
    <s v="0.024163557152129776"/>
    <s v="[1806461, 1806470, 1806471, 1806472, 1806474]"/>
    <s v="[0.022, 0.02, 0.022, 0.024, 0.027]"/>
    <s v="153.31803707784502"/>
    <s v="[0.022, 0.02, 0.022, 0.024, 0.027]"/>
  </r>
  <r>
    <x v="5389"/>
    <x v="4225"/>
    <x v="0"/>
    <n v="0"/>
    <s v="LINESTRING (11.15671471679214 60.16299221024363, 11.153761730575747 60.16039712347028, 11.144814247242762 60.16099031004247, 11.144348874387529 60.16111388369796)"/>
    <s v="[2086961, 2086969, 2086970]"/>
    <s v="[1807731, 1807738, 1807739]"/>
    <s v="#FIELD!"/>
    <s v="[1807730, 1807731, 1807738]"/>
    <s v="[0.006, 0.01, 0.02]"/>
    <s v="924.856169742612"/>
    <s v="[-0.006, -0.01, -0.02]"/>
  </r>
  <r>
    <x v="5390"/>
    <x v="4227"/>
    <x v="0"/>
    <n v="0"/>
    <s v="LINESTRING (11.138377053133171 60.16328084024329, 11.144299080329567 60.16113198465416, 11.144348874387529 60.16111388369796)"/>
    <s v="[2109389, 2109397]"/>
    <s v="[1821117, 1807739]"/>
    <s v="#FIELD!"/>
    <s v="[1821039, 1821117]"/>
    <s v="[0.003, 0.019]"/>
    <s v="410.2425518834082"/>
    <s v="[-0.003, 0.019]"/>
  </r>
  <r>
    <x v="5391"/>
    <x v="5303"/>
    <x v="0"/>
    <n v="0"/>
    <s v="LINESTRING (14.464671437178408 66.40605493420159, 14.464626248544205 66.40609184895223, 14.463705384739013 66.4058805503168, 14.463758106002338 66.40584637107756)"/>
    <s v="[2088607, 2088615, 2088623]"/>
    <s v="[1808703, 1808707, 1808622]"/>
    <s v="#FIELD!"/>
    <s v="[1808626, 1808703, 1808707]"/>
    <s v="[0.039, 0.006, 0.03]"/>
    <s v="81.3679568587142"/>
    <s v="[-0.039, -0.006, 0.03]"/>
  </r>
  <r>
    <x v="5392"/>
    <x v="3636"/>
    <x v="0"/>
    <n v="0"/>
    <s v="LINESTRING (20.77779944449483 69.81947796654015, 20.778001332196055 69.81957775382483, 20.778066330797227 69.81960162111379, 20.779592887249475 69.82007133298131, 20.78095219854637 69.82035407724166, 20.78106158332947 69.82037311153246, 20.781162582175213 69.82038990923206, 20.78126953894934 69.82040769971725, 20.781352524806902 69.82042101023261, 20.784688332549475 69.820789956496, 20.78481485194618 69.82080178236363, 20.785737118863807 69.82087449091533)"/>
    <s v="[2088947, 2088955, 2088963, 2088971, 2088979, 2088987, 2089267, 2089275, 2089283, 2089291, 2089299]"/>
    <s v="[1808900, 1808905, 1808909, 1808913, 1808917, 1808923, 1808982, 1809097, 1809101, 1809104, 1808945]"/>
    <s v="0.06957093876750435"/>
    <s v="[1808899, 1808900, 1808905, 1808909, 1808913, 1808917, 1808923, 1808982, 1809097, 1809101, 1809104]"/>
    <s v="[0.005, 0.041, 0.036, 0.061, 0.075, 0.07, 0.077, 0.084, 0.091, 0.091, 0.098]"/>
    <s v="351.09819392091606"/>
    <s v="[0.005, 0.041, 0.036, 0.061, 0.075, 0.07, 0.077, 0.084, 0.091, 0.091, 0.098]"/>
  </r>
  <r>
    <x v="5392"/>
    <x v="3636"/>
    <x v="0"/>
    <n v="0"/>
    <s v="LINESTRING (20.77779944449483 69.81947796654015, 20.778137832216622 69.81957500623194, 20.779627057922756 69.81999651911973, 20.779704371007686 69.8200150937155, 20.781042717073557 69.82029272736195, 20.781143662094077 69.82031037304763, 20.781247334492054 69.82032750608846, 20.781347729181256 69.82034409844279, 20.781432992349664 69.82035782032494, 20.78472149028117 69.82075318251901, 20.785737118863807 69.82087449091533)"/>
    <s v="[2089123, 2089131, 2089139, 2089147, 2089155, 2089163, 2089235, 2089243, 2089251, 2089259]"/>
    <s v="[1809001, 1809005, 1809011, 1809017, 1809022, 1809027, 1808981, 1809075, 1809083, 1808945]"/>
    <s v="0.07050874973229722"/>
    <s v="[1808899, 1809001, 1809005, 1809011, 1809017, 1809022, 1809027, 1808981, 1809075, 1809083]"/>
    <s v="[0.042, 0.042, 0.039, 0.063, 0.07, 0.08, 0.092, 0.057, 0.089, 0.085]"/>
    <s v="347.4022382253974"/>
    <s v="[0.042, 0.042, 0.039, 0.063, 0.07, 0.08, 0.092, 0.057, 0.089, 0.085]"/>
  </r>
  <r>
    <x v="5392"/>
    <x v="5731"/>
    <x v="0"/>
    <n v="0"/>
    <s v="LINESTRING (20.77071994165384 69.6716133949455, 20.77779944449483 69.81947796654015)"/>
    <m/>
    <m/>
    <s v="0.0"/>
    <m/>
    <n v="0"/>
    <s v="12897.273664193312"/>
    <n v="0"/>
  </r>
  <r>
    <x v="5393"/>
    <x v="4461"/>
    <x v="0"/>
    <n v="0"/>
    <m/>
    <n v="2090959"/>
    <n v="1810129"/>
    <s v="#FIELD!"/>
    <n v="1810123"/>
    <s v="0.019"/>
    <s v="323.5279583333391"/>
    <s v="#FIELD!"/>
  </r>
  <r>
    <x v="5394"/>
    <x v="5732"/>
    <x v="0"/>
    <n v="0"/>
    <m/>
    <n v="2091091"/>
    <n v="1810208"/>
    <s v="#FIELD!"/>
    <n v="1810201"/>
    <s v="0.037"/>
    <s v="64.19624808406347"/>
    <s v="#FIELD!"/>
  </r>
  <r>
    <x v="5395"/>
    <x v="5733"/>
    <x v="0"/>
    <n v="0"/>
    <s v="LINESTRING (5.776398275460373 61.32090563386639, 5.776257953589916 61.320841651114826, 5.776230433627238 61.32077647805455, 5.776271283103183 61.32071291278245, 5.776426377040672 61.32065547090512, 5.776512595768882 61.320649277712434, 5.7765999422085335 61.320656922417434, 5.7767586125268595 61.32072449384507, 5.776786816951832 61.32078799578223, 5.776754064283295 61.320845253305926, 5.776745311275565 61.32085314365201, 5.776561376437993 61.32091415329628)"/>
    <s v="[2092680, 2092688, 2092696, 2092704, 2092712, 2092720, 2092728, 2092736, 2092746, 2092754, 2092656]"/>
    <s v="[1811159, 1811164, 1811167, 1811171, 1811178, 1811184, 1811188, 1811195, 1811202, 1811150, 1811151]"/>
    <s v="0.0012222831393689105"/>
    <s v="[1811156, 1811159, 1811164, 1811167, 1811171, 1811178, 1811184, 1811188, 1811195, 1811202, 1811150]"/>
    <s v="[0.028, 0.026, 0.021, 0.003, 0.013, 0.025, 0.025, 0.023, 0.013, 0.0, 0.001]"/>
    <s v="83.97783395488737"/>
    <s v="[-0.028, -0.026, -0.021, 0.003, 0.013, 0.025, 0.025, 0.023, 0.013, 0.0, -0.001]"/>
  </r>
  <r>
    <x v="5395"/>
    <x v="5671"/>
    <x v="0"/>
    <n v="0"/>
    <s v="LINESTRING (5.776468827008686 61.32107389404767, 5.776551507495193 61.32095595315484, 5.776561376437993 61.32091415329628)"/>
    <s v="[2094567, 2094572]"/>
    <s v="[1812248, 1811151]"/>
    <s v="#FIELD!"/>
    <s v="[1811243, 1812248]"/>
    <s v="[0.014, 0.023]"/>
    <s v="20.02633529142047"/>
    <s v="[-0.014, -0.023]"/>
  </r>
  <r>
    <x v="5396"/>
    <x v="5671"/>
    <x v="0"/>
    <n v="0"/>
    <s v="LINESTRING (5.776468827008686 61.32107389404767, 5.776402760527585 61.32095536029373, 5.776398275460373 61.32090563386639)"/>
    <s v="[2094553, 2094557]"/>
    <s v="[1812241, 1811156]"/>
    <s v="#FIELD!"/>
    <s v="[1811243, 1812241]"/>
    <s v="[0.021, 0.023]"/>
    <s v="20.64492177690955"/>
    <s v="[-0.021, -0.023]"/>
  </r>
  <r>
    <x v="5397"/>
    <x v="2652"/>
    <x v="0"/>
    <n v="0"/>
    <m/>
    <n v="2094172"/>
    <n v="1812048"/>
    <s v="#FIELD!"/>
    <n v="1812047"/>
    <s v="0.044"/>
    <s v="119.22602134735759"/>
    <s v="#FIELD!"/>
  </r>
  <r>
    <x v="5397"/>
    <x v="5734"/>
    <x v="0"/>
    <n v="0"/>
    <s v="LINESTRING (5.391706843779123 59.42380765756764, 5.391706843779123 59.42380765756764, 5.3913588346904575 59.423748607920665)"/>
    <s v="[2094341, 2094342]"/>
    <s v="[1812149, 1812047]"/>
    <s v="#FIELD!"/>
    <s v="[1812100, 1812149]"/>
    <s v="[0.0, 0.048]"/>
    <s v="24.729198970295105"/>
    <s v="[0.0, -0.048]"/>
  </r>
  <r>
    <x v="5397"/>
    <x v="5735"/>
    <x v="0"/>
    <n v="0"/>
    <s v="LINESTRING (5.391626201628063 59.423903482471765, 5.391626201628063 59.423903482471765, 5.3913588346904575 59.423748607920665)"/>
    <s v="[2094343, 2094350]"/>
    <s v="[1812150, 1812047]"/>
    <s v="#FIELD!"/>
    <s v="[1812089, 1812150]"/>
    <s v="[0.0, 0.044]"/>
    <s v="27.68162198363248"/>
    <s v="[0.0, -0.044]"/>
  </r>
  <r>
    <x v="5398"/>
    <x v="1105"/>
    <x v="0"/>
    <n v="0"/>
    <s v="LINESTRING (5.390531382220348 59.422774797731215, 5.390443827442263 59.42265472499659, 5.39052746581016 59.42265276365054, 5.392587683172623 59.42221465377606, 5.393222901424389 59.421494958186585, 5.3934518981846225 59.42115261305486, 5.393775446983755 59.420737212387934, 5.393977329097284 59.420553639588405)"/>
    <s v="[2094199, 2094035, 2094058, 2094066, 2094084, 2094119, 2094361]"/>
    <s v="[1811962, 1811963, 1811978, 1811983, 1811995, 1812019, 1812162]"/>
    <s v="0.034155282490196726"/>
    <s v="[1812048, 1811962, 1811963, 1811978, 1811983, 1811995, 1812019]"/>
    <s v="[0.05, 0.029, 0.051, 0.038, 0.022, 0.022, 0.026]"/>
    <s v="351.4075805373211"/>
    <s v="[-0.05, 0.029, 0.051, 0.038, 0.022, 0.022, 0.026]"/>
  </r>
  <r>
    <x v="5399"/>
    <x v="5736"/>
    <x v="0"/>
    <n v="0"/>
    <m/>
    <n v="2094249"/>
    <n v="1812095"/>
    <s v="#FIELD!"/>
    <n v="1812094"/>
    <s v="0.058"/>
    <s v="33.27077596030099"/>
    <s v="#FIELD!"/>
  </r>
  <r>
    <x v="5399"/>
    <x v="1104"/>
    <x v="0"/>
    <n v="0"/>
    <s v="LINESTRING (5.393975133709445 59.420682326123774, 5.393897247676859 59.42083061954089, 5.3934944248161845 59.42154007764598, 5.393627022454613 59.42192057712662, 5.3936588186752825 59.422323484374274)"/>
    <s v="[2094351, 2094280, 2094303, 2094306]"/>
    <s v="[1812110, 1812111, 1812128, 1812094]"/>
    <s v="0.002160427546958208"/>
    <s v="[1812154, 1812110, 1812111, 1812128]"/>
    <s v="[0.009, 0.015, 0.027, 0.013]"/>
    <s v="192.36487588086217"/>
    <s v="[-0.009, -0.015, 0.027, 0.013]"/>
  </r>
  <r>
    <x v="5400"/>
    <x v="5737"/>
    <x v="0"/>
    <n v="0"/>
    <s v="LINESTRING (30.027475156290656 69.70787055761068, 30.027639969368725 69.707907176333, 30.027739358858188 69.7079779716761, 30.027717125626065 69.70805119986575, 30.027601375231136 69.7081059845023)"/>
    <s v="[2095061, 2095069, 2095077, 2095085]"/>
    <s v="[1812552, 1812557, 1812561, 1812565]"/>
    <s v="0.015134539714522572"/>
    <s v="[1812551, 1812552, 1812557, 1812561]"/>
    <s v="[0.011, 0.007, 0.025, 0.04]"/>
    <s v="32.27404503181272"/>
    <s v="[-0.011, 0.007, 0.025, 0.04]"/>
  </r>
  <r>
    <x v="5400"/>
    <x v="5738"/>
    <x v="0"/>
    <n v="0"/>
    <s v="LINESTRING (30.027034352959262 69.70791948946281, 30.027219723982626 69.70787179088146, 30.027475156290656 69.70787055761068)"/>
    <s v="[2095117, 2095125]"/>
    <s v="[1812587, 1812551]"/>
    <s v="#FIELD!"/>
    <s v="[1812580, 1812587]"/>
    <s v="[0.041, 0.031]"/>
    <s v="18.895471574190037"/>
    <s v="[-0.041, -0.031]"/>
  </r>
  <r>
    <x v="5400"/>
    <x v="1732"/>
    <x v="0"/>
    <n v="0"/>
    <s v="LINESTRING (30.026861411685065 69.70750698690699, 30.02739524236863 69.70783099485598, 30.027475156290656 69.70787055761068)"/>
    <s v="[2095180, 2095188]"/>
    <s v="[1812616, 1812551]"/>
    <s v="0.005543184394475711"/>
    <s v="[1812615, 1812616]"/>
    <s v="[0.006, 0.002]"/>
    <s v="47.37118160035742"/>
    <s v="[0.006, 0.002]"/>
  </r>
  <r>
    <x v="5401"/>
    <x v="5739"/>
    <x v="0"/>
    <n v="0"/>
    <s v="LINESTRING (30.027601375231136 69.7081059845023, 30.027359064927428 69.70813664793089, 30.027139280071186 69.70811533242517)"/>
    <s v="[2095093, 2095101]"/>
    <s v="[1812571, 1812577]"/>
    <s v="0.03189725541029735"/>
    <s v="[1812565, 1812571]"/>
    <s v="[0.038, 0.025]"/>
    <s v="18.891546926886054"/>
    <s v="[0.038, 0.025]"/>
  </r>
  <r>
    <x v="5401"/>
    <x v="2567"/>
    <x v="0"/>
    <n v="0"/>
    <s v="LINESTRING (30.027601375231136 69.7081059845023, 30.02755225195689 69.70815809580411, 30.027404048759625 69.70846602435265)"/>
    <s v="[2095260, 2095268]"/>
    <s v="[1812658, 1812596]"/>
    <s v="0.023490431223764683"/>
    <s v="[1812565, 1812658]"/>
    <s v="[0.032, 0.022]"/>
    <s v="41.19036092981418"/>
    <s v="[0.032, 0.022]"/>
  </r>
  <r>
    <x v="5402"/>
    <x v="5738"/>
    <x v="0"/>
    <n v="0"/>
    <m/>
    <n v="2095109"/>
    <n v="1812580"/>
    <s v="#FIELD!"/>
    <n v="1812577"/>
    <s v="0.017"/>
    <s v="24.811702235697624"/>
    <s v="#FIELD!"/>
  </r>
  <r>
    <x v="5402"/>
    <x v="2567"/>
    <x v="0"/>
    <n v="0"/>
    <s v="LINESTRING (30.027139280071186 69.70811533242517, 30.02718680942564 69.70816493698442, 30.027404048759625 69.70846602435265)"/>
    <s v="[2095276, 2095284]"/>
    <s v="[1812665, 1812596]"/>
    <s v="0.00971214127352673"/>
    <s v="[1812577, 1812665]"/>
    <s v="[0.008, 0.01]"/>
    <s v="40.66707808038598"/>
    <s v="[0.008, 0.01]"/>
  </r>
  <r>
    <x v="5403"/>
    <x v="1732"/>
    <x v="0"/>
    <n v="0"/>
    <s v="LINESTRING (30.026861411685065 69.70750698690699, 30.027026294682912 69.7078717679134, 30.027034352959262 69.70791948946281)"/>
    <s v="[2095212, 2095220]"/>
    <s v="[1812631, 1812580]"/>
    <s v="0.020685865589289573"/>
    <s v="[1812615, 1812631]"/>
    <s v="[0.02, 0.026]"/>
    <s v="46.82347833970245"/>
    <s v="[0.02, 0.026]"/>
  </r>
  <r>
    <x v="5404"/>
    <x v="2941"/>
    <x v="0"/>
    <n v="0"/>
    <s v="LINESTRING (5.4526948134209485 59.16995452371332, 5.453621793097128 59.17013788126289, 5.4527011246582395 59.16998780034789, 5.4526948134209485 59.16995452371332)"/>
    <s v="[2096773, 2096782, 2096787]"/>
    <s v="[1813589, 1813596, 1813576]"/>
    <s v="#FIELD!"/>
    <s v="[1813576, 1813589, 1813596]"/>
    <s v="[0.027, 0.028, 0.018]"/>
    <s v="139.67037288749535"/>
    <s v="[-0.027, 0.028, 0.018]"/>
  </r>
  <r>
    <x v="5405"/>
    <x v="5740"/>
    <x v="0"/>
    <n v="0"/>
    <s v="LINESTRING (11.049388476663468 60.84238447059054, 11.04912006279241 60.842591793885774, 11.049071271625944 60.84263034248574)"/>
    <s v="[2096915, 2096923]"/>
    <s v="[1813674, 1813606]"/>
    <s v="0.03415486489056516"/>
    <s v="[1813584, 1813674]"/>
    <s v="[0.034, 0.035]"/>
    <s v="32.605427799451185"/>
    <s v="[0.034, 0.035]"/>
  </r>
  <r>
    <x v="5405"/>
    <x v="5741"/>
    <x v="0"/>
    <n v="0"/>
    <s v="LINESTRING (11.049388476663468 60.84238447059054, 11.049321468279524 60.84261648239357, 11.049317470798036 60.842654938065564)"/>
    <s v="[2096940, 2096947]"/>
    <s v="[1813694, 1813586]"/>
    <s v="0.027729715998143473"/>
    <s v="[1813584, 1813694]"/>
    <s v="[0.029, 0.02]"/>
    <s v="30.40325059665458"/>
    <s v="[0.029, 0.02]"/>
  </r>
  <r>
    <x v="5406"/>
    <x v="1133"/>
    <x v="0"/>
    <n v="0"/>
    <m/>
    <n v="2096768"/>
    <n v="1813587"/>
    <s v="0.016"/>
    <n v="1813586"/>
    <s v="0.016"/>
    <s v="20.270612168195065"/>
    <s v="0.016"/>
  </r>
  <r>
    <x v="5406"/>
    <x v="5740"/>
    <x v="0"/>
    <n v="0"/>
    <s v="LINESTRING (11.049071271625944 60.84263034248574, 11.04919750877382 60.84262992284589, 11.049317470798036 60.842654938065564)"/>
    <s v="[2096800, 2096808]"/>
    <s v="[1813607, 1813586]"/>
    <s v="#FIELD!"/>
    <s v="[1813606, 1813607]"/>
    <s v="[0.024, 0.014]"/>
    <s v="13.960108988305873"/>
    <s v="[-0.024, -0.014]"/>
  </r>
  <r>
    <x v="5407"/>
    <x v="1136"/>
    <x v="0"/>
    <n v="0"/>
    <s v="LINESTRING (11.049439713677558 60.842818006886226, 11.049374537312385 60.84287883442322, 11.049257028267123 60.842920412695264, 11.04912295991878 60.842932018406145, 11.048916576004224 60.8428878290182, 11.048843009175364 60.84283172749604, 11.048828408425042 60.842754618509574, 11.048927185275135 60.84266637385105)"/>
    <s v="[2096769, 2096776, 2096777, 2096778, 2096781, 2096796, 2096797]"/>
    <s v="[1813588, 1813591, 1813592, 1813593, 1813595, 1813603, 1813604]"/>
    <s v="0.0036457614919082645"/>
    <s v="[1813587, 1813588, 1813591, 1813592, 1813593, 1813595, 1813603]"/>
    <s v="[0.034, 0.032, 0.028, 0.012, 0.009, 0.025, 0.032]"/>
    <s v="62.675121476494105"/>
    <s v="[0.034, 0.032, 0.028, 0.012, -0.009, -0.025, -0.032]"/>
  </r>
  <r>
    <x v="5408"/>
    <x v="5740"/>
    <x v="0"/>
    <n v="0"/>
    <m/>
    <n v="2096799"/>
    <n v="1813606"/>
    <s v="#FIELD!"/>
    <n v="1813604"/>
    <s v="0.033"/>
    <s v="8.804930437218259"/>
    <s v="#FIELD!"/>
  </r>
  <r>
    <x v="5409"/>
    <x v="5742"/>
    <x v="0"/>
    <n v="0"/>
    <s v="LINESTRING (10.2565145914809 59.76366146778825, 10.2566444580616 59.76370376235687, 10.25669349411642 59.76375270435414, 10.256695625175416 59.76380797356487, 10.256620001341778 59.76387584814708)"/>
    <s v="[2099077, 2099084, 2099092, 2099100]"/>
    <s v="[1815148, 1815154, 1815161, 1815164]"/>
    <s v="#FIELD!"/>
    <s v="[1815147, 1815148, 1815154, 1815161]"/>
    <s v="[0.01, 0.003, 0.002, 0.01]"/>
    <s v="29.64318157481525"/>
    <s v="[-0.01, -0.003, 0.002, 0.01]"/>
  </r>
  <r>
    <x v="5409"/>
    <x v="4712"/>
    <x v="0"/>
    <n v="0"/>
    <s v="LINESTRING (10.256281309574907 59.76369062978293, 10.256390557971617 59.76366094005617, 10.2565145914809 59.76366146778825)"/>
    <s v="[2099175, 2099198]"/>
    <s v="[1815211, 1815147]"/>
    <s v="#FIELD!"/>
    <s v="[1815206, 1815211]"/>
    <s v="0.013"/>
    <s v="13.950978095753984"/>
    <s v="#FIELD!"/>
  </r>
  <r>
    <x v="5410"/>
    <x v="5743"/>
    <x v="0"/>
    <n v="0"/>
    <s v="LINESTRING (10.256620001341778 59.76387584814708, 10.25649377098986 59.76390708271887, 10.256356586350106 59.76389996292359)"/>
    <s v="[2099101, 2099108]"/>
    <s v="[1815165, 1815168]"/>
    <s v="0.012504831238877986"/>
    <s v="[1815164, 1815165]"/>
    <s v="[0.013, 0.012]"/>
    <s v="15.658732632797639"/>
    <s v="[0.013, 0.012]"/>
  </r>
  <r>
    <x v="5410"/>
    <x v="4585"/>
    <x v="0"/>
    <n v="0"/>
    <s v="LINESTRING (10.256620001341778 59.76387584814708, 10.256628022992281 59.76392480014342, 10.256543958839213 59.76416497987876)"/>
    <s v="[2099349, 2099364]"/>
    <s v="[1815322, 1815310]"/>
    <s v="0.004333285738856264"/>
    <s v="[1815164, 1815322]"/>
    <s v="[0.001, 0.005]"/>
    <s v="32.84660021428365"/>
    <s v="[0.001, 0.005]"/>
  </r>
  <r>
    <x v="5411"/>
    <x v="5744"/>
    <x v="0"/>
    <n v="0"/>
    <m/>
    <n v="2099116"/>
    <n v="1815172"/>
    <s v="0.009"/>
    <n v="1815168"/>
    <s v="0.009"/>
    <s v="6.977083918192014"/>
    <s v="0.009"/>
  </r>
  <r>
    <x v="5411"/>
    <x v="4585"/>
    <x v="0"/>
    <n v="0"/>
    <s v="LINESTRING (10.256356586350106 59.76389996292359, 10.25639999158122 59.76394975379464, 10.256543958839213 59.76416497987876)"/>
    <s v="[2099319, 2099326]"/>
    <s v="[1815305, 1815310]"/>
    <s v="#FIELD!"/>
    <s v="[1815168, 1815305]"/>
    <s v="[0.002, 0.001]"/>
    <s v="31.380564635099244"/>
    <s v="[-0.002, -0.001]"/>
  </r>
  <r>
    <x v="5412"/>
    <x v="5745"/>
    <x v="0"/>
    <n v="0"/>
    <s v="LINESTRING (10.256256850999836 59.76386271548295, 10.256204849304465 59.76380578660317, 10.256213727254877 59.76374332388437)"/>
    <s v="[2099133, 2099158]"/>
    <s v="[1815182, 1815199]"/>
    <s v="1.8640094131403303e-06"/>
    <s v="[1815172, 1815182]"/>
    <s v="0.004"/>
    <s v="13.966508426688083"/>
    <s v="[0.004, -0.004]"/>
  </r>
  <r>
    <x v="5412"/>
    <x v="432"/>
    <x v="0"/>
    <n v="0"/>
    <s v="LINESTRING (10.256256850999836 59.76386271548295, 10.256150364198392 59.76385666066242, 10.255652445725316 59.76378679718769)"/>
    <s v="[2099327, 2099339]"/>
    <s v="[1815311, 1815304]"/>
    <s v="0.013828622339052186"/>
    <s v="[1815172, 1815311]"/>
    <s v="[0.013, 0.014]"/>
    <s v="35.15617711859599"/>
    <s v="[0.013, 0.014]"/>
  </r>
  <r>
    <x v="5413"/>
    <x v="4712"/>
    <x v="0"/>
    <n v="0"/>
    <m/>
    <n v="2099166"/>
    <n v="1815206"/>
    <s v="#FIELD!"/>
    <n v="1815199"/>
    <s v="0.01"/>
    <s v="6.995269830292357"/>
    <s v="#FIELD!"/>
  </r>
  <r>
    <x v="5413"/>
    <x v="432"/>
    <x v="0"/>
    <n v="0"/>
    <s v="LINESTRING (10.256213727254877 59.76374332388437, 10.256121420255885 59.76375041955452, 10.255652445725316 59.76378679718769)"/>
    <s v="[2099311, 2099318]"/>
    <s v="[1815300, 1815304]"/>
    <s v="0.015671141592884928"/>
    <s v="[1815199, 1815300]"/>
    <s v="[0.014, 0.016]"/>
    <s v="31.927186812544697"/>
    <s v="[0.014, 0.016]"/>
  </r>
  <r>
    <x v="5414"/>
    <x v="1690"/>
    <x v="0"/>
    <n v="0"/>
    <m/>
    <n v="2103374"/>
    <n v="1815331"/>
    <s v="#FIELD!"/>
    <n v="1815419"/>
    <s v="0.006"/>
    <s v="13.871952729062754"/>
    <s v="#FIELD!"/>
  </r>
  <r>
    <x v="5415"/>
    <x v="1696"/>
    <x v="0"/>
    <n v="0"/>
    <m/>
    <n v="2103595"/>
    <n v="1815492"/>
    <s v="#FIELD!"/>
    <n v="1815348"/>
    <s v="0.011"/>
    <s v="13.553475573892488"/>
    <s v="#FIELD!"/>
  </r>
  <r>
    <x v="5416"/>
    <x v="4256"/>
    <x v="0"/>
    <n v="0"/>
    <s v="LINESTRING (5.5906732337230505 59.137392741451, 5.590611372639398 59.13735538109794, 5.589711077439967 59.13703008507639, 5.589572708628254 59.137080520156985, 5.590071954961018 59.1373823102809, 5.5906732337230505 59.137392741451)"/>
    <s v="[2103188, 2103190, 2103204, 2103210, 2103218]"/>
    <s v="[1817683, 1817685, 1817694, 1259208, 1817674]"/>
    <s v="0.00015389042095079693"/>
    <s v="[1817674, 1817683, 1817685, 1817694, 1259208]"/>
    <s v="[0.036, 0.067, 0.109, 0.042, 0.098]"/>
    <s v="168.29786102240814"/>
    <s v="[-0.036, -0.067, -0.109, 0.042, 0.098]"/>
  </r>
  <r>
    <x v="5417"/>
    <x v="635"/>
    <x v="0"/>
    <n v="0"/>
    <s v="LINESTRING (11.239837495524604 60.410666268932786, 11.240911087086147 60.417144445481455, 11.24084140639747 60.417600860280906)"/>
    <s v="[2105482, 2105490]"/>
    <s v="[1819057, 1819047]"/>
    <s v="0.006888531331011566"/>
    <s v="[1819007, 1819057]"/>
    <s v="[0.008, 0.009]"/>
    <s v="780.1180493126094"/>
    <s v="[0.008, -0.009]"/>
  </r>
  <r>
    <x v="5418"/>
    <x v="634"/>
    <x v="530"/>
    <n v="0"/>
    <s v="LINESTRING (11.239656115986012 60.41011459720315, 11.240045084054836 60.41068146671756, 11.241100485675062 60.41709104707311)"/>
    <s v="[2105433, 2105441]"/>
    <s v="[1819027, 1819033]"/>
    <s v="0.01045492061207298"/>
    <s v="[1819018, 1819027]"/>
    <s v="[0.037, 0.008]"/>
    <s v="788.0067950103673"/>
    <s v="[0.037, 0.008]"/>
  </r>
  <r>
    <x v="5419"/>
    <x v="645"/>
    <x v="0"/>
    <n v="0"/>
    <s v="LINESTRING (11.243097497457944 60.51058544185445, 11.243102416969528 60.5106038631767, 11.243371262721023 60.51160857346667, 11.243050895105512 60.51773195263954, 11.24304715179056 60.517742219920564)"/>
    <s v="[2105514, 2105522, 2105546, 2105554]"/>
    <s v="[1819079, 1819084, 1819098, 1819103]"/>
    <s v="0.030730757121320083"/>
    <s v="[1819073, 1819079, 1819084, 1819098]"/>
    <s v="[0.01, 0.013, 0.038, 0.051]"/>
    <s v="803.890932633888"/>
    <s v="[-0.01, -0.013, 0.038, 0.051]"/>
  </r>
  <r>
    <x v="5420"/>
    <x v="613"/>
    <x v="531"/>
    <n v="0"/>
    <s v="LINESTRING (11.24304715179056 60.517742219920564, 11.242824365942342 60.518355790959205, 11.242536336019203 60.52523362382563, 11.242874125495105 60.52798677137274, 11.243263397791521 60.53115868543363, 11.24354744880765 60.53347524277773, 11.243582395956825 60.53375958996852, 11.244311023180979 60.53708424949308, 11.245438463298711 60.5394234645051, 11.246212302854362 60.54157492395777, 11.24704078327734 60.54807890710934, 11.253288155233122 60.55931738261262, 11.253456841735092 60.55962356403707)"/>
    <s v="[2105562, 2105610, 2105618, 2105626, 2105634, 2105642, 1104739, 1104751, 1104759, 1104761, 2105706, 2105714]"/>
    <s v="[1819109, 1819134, 1819139, 1819141, 1819144, 1046048, 1046049, 1046062, 1046069, 1046071, 1819175, 1819179]"/>
    <s v="#FIELD!"/>
    <s v="[1819103, 1819109, 1819134, 1819139, 1819141, 1819144, 1046048, 1046049, 1046062, 1046069, 1046071, 1819175]"/>
    <s v="[0.008, 0.004, 0.038, 0.025, 0.016, 0.018, 0.01, 0.036, 0.037, 0.0, 0.003, 0.003]"/>
    <s v="4747.825855343416"/>
    <s v="[0.008, -0.004, -0.038, -0.025, -0.016, -0.018, -0.01, 0.036, 0.037, 0.0, -0.003, -0.003]"/>
  </r>
  <r>
    <x v="5421"/>
    <x v="618"/>
    <x v="0"/>
    <n v="0"/>
    <s v="LINESTRING (11.243003725225385 60.518371451627225, 11.242718769796943 60.52523458464942, 11.243056362456702 60.52798563156593, 11.243445241275971 60.53115511575835, 11.24372953030804 60.533469890455926, 11.243764181970569 60.533751766394154, 11.24449434806806 60.53707495783217, 11.245619825061025 60.539413432666926, 11.246393396363962 60.54156400242132, 11.247222483705615 60.54807738480945, 11.253431779321764 60.55923247442332, 11.253433855259203 60.559236146060336)"/>
    <s v="[2105650, 2105658, 2105666, 2105674, 2105682, 1104763, 1104771, 1104788, 1104798, 2105722, 2105730]"/>
    <s v="[337136, 1819155, 1819158, 1819162, 1046073, 1046074, 1046081, 1046096, 1046103, 1819185, 1819189]"/>
    <s v="#FIELD!"/>
    <s v="[1819130, 337136, 1819155, 1819158, 1819162, 1046073, 1046074, 1046081, 1046096, 1046103, 1819185]"/>
    <s v="[0.004, 0.041, 0.027, 0.017, 0.019, 0.01, 0.044, 0.037, 0.0, 0.003, 0.085]"/>
    <s v="4631.981175908967"/>
    <s v="[-0.004, -0.041, -0.027, -0.017, -0.019, -0.01, 0.044, 0.037, -0.0, -0.003, -0.085]"/>
  </r>
  <r>
    <x v="5422"/>
    <x v="619"/>
    <x v="0"/>
    <n v="0"/>
    <m/>
    <n v="2105802"/>
    <n v="1819224"/>
    <s v="0.01"/>
    <n v="1819179"/>
    <s v="0.01"/>
    <s v="855.4256433916601"/>
    <s v="0.01"/>
  </r>
  <r>
    <x v="5423"/>
    <x v="2832"/>
    <x v="0"/>
    <s v="[0, 0, 0, 0, 0, 0, 0, 0, 0, 1]"/>
    <s v="LINESTRING (6.515876939252566 61.9829922618871, 6.516017633954294 61.98371390640694, 6.516026790338176 61.983750404120975, 6.516009353836289 61.984918212324445, 6.515985964952567 61.984989139321534, 6.515952671791703 61.985071438654415, 6.51593304930992 61.98511752529157, 6.515598875710411 61.985675578277345, 6.515514103450236 61.985775562227346, 6.5148114544718805 61.98640914924245, 6.51468106770761 61.986477945447156)"/>
    <s v="[2106794, 2106900, 2106915, 2106932, 2106828, 2106836, 2107173, 2107181, 2107189, 2107197]"/>
    <s v="[1819809, 1819858, 1819867, 1819826, 1819827, 1819829, 1820021, 1820029, 1820035, 1819833]"/>
    <s v="0.012302050816256191"/>
    <s v="[1819808, 1819809, 1819858, 1819867, 1819826, 1819827, 1819829, 1820021, 1820029, 1820035]"/>
    <s v="[0.023, 0.026, 0.018, 0.008, 0.004, 0.007, 0.004, 0.001, 0.002, 0.009]"/>
    <s v="405.7072062865282"/>
    <s v="[0.023, 0.026, 0.018, 0.008, 0.004, 0.007, 0.004, 0.001, 0.002, 0.009]"/>
  </r>
  <r>
    <x v="5423"/>
    <x v="2832"/>
    <x v="0"/>
    <s v="[0, 0, 0, 0, 0, 0, 0, 0, 1]"/>
    <s v="LINESTRING (6.515876939252566 61.9829922618871, 6.515915970954944 61.983743250026066, 6.515850829951977 61.98493130723689, 6.515825624040495 61.98500330489592, 6.5157833445863815 61.985105424415096, 6.515459194172233 61.98565407221297, 6.5153821056899925 61.9857533579005, 6.515344726072272 61.98579983480079, 6.514752459219298 61.98639319227907, 6.51468106770761 61.986477945447156)"/>
    <s v="[2106801, 2106809, 2106810, 2106842, 2107133, 2107141, 2107149, 2107157, 2107165]"/>
    <s v="[1819812, 1819816, 1819817, 1819832, 1819996, 1820000, 1820005, 1820011, 1819833]"/>
    <s v="0.012039810329705193"/>
    <s v="[1819808, 1819812, 1819816, 1819817, 1819832, 1819996, 1820000, 1820005, 1820011]"/>
    <s v="[0.02, 0.017, 0.008, 0.006, 0.004, 0.003, 0.003, 0.004, 0.015]"/>
    <s v="401.5030722492302"/>
    <s v="[0.02, 0.017, 0.008, 0.006, 0.004, 0.003, 0.003, 0.004, 0.015]"/>
  </r>
  <r>
    <x v="5424"/>
    <x v="4980"/>
    <x v="0"/>
    <n v="0"/>
    <s v="LINESTRING (10.974206327951332 60.25883367483744, 10.974301471959539 60.258821199635605, 10.974383939119043 60.25881132419231)"/>
    <s v="[2107954, 2107955]"/>
    <s v="[1820461, 1820462]"/>
    <s v="#FIELD!"/>
    <s v="[1820460, 1820461]"/>
    <s v="0.027"/>
    <s v="10.146302931948012"/>
    <s v="#FIELD!"/>
  </r>
  <r>
    <x v="5424"/>
    <x v="4978"/>
    <x v="0"/>
    <n v="0"/>
    <m/>
    <n v="2107971"/>
    <n v="1820460"/>
    <s v="#FIELD!"/>
    <n v="1820477"/>
    <s v="0.037"/>
    <s v="8.399392596956774"/>
    <s v="#FIELD!"/>
  </r>
  <r>
    <x v="5425"/>
    <x v="4981"/>
    <x v="0"/>
    <n v="0"/>
    <m/>
    <n v="2107981"/>
    <n v="1820462"/>
    <s v="#FIELD!"/>
    <n v="1820483"/>
    <s v="0.033"/>
    <s v="8.25588868640084"/>
    <s v="#FIELD!"/>
  </r>
  <r>
    <x v="5426"/>
    <x v="4981"/>
    <x v="0"/>
    <n v="0"/>
    <s v="LINESTRING (10.97416063620566 60.25876180428528, 10.974273635478827 60.258748459832205, 10.974337652899608 60.258740901058935)"/>
    <s v="[2108022, 2108028]"/>
    <s v="[1820507, 1820483]"/>
    <s v="#FIELD!"/>
    <s v="[1820477, 1820507]"/>
    <s v="[0.03, 0.031]"/>
    <s v="10.075320989298515"/>
    <s v="[-0.03, -0.031]"/>
  </r>
  <r>
    <x v="5427"/>
    <x v="5746"/>
    <x v="532"/>
    <n v="0"/>
    <s v="LINESTRING (6.434928215515121 60.64215586546621, 6.4337781031628465 60.642161738990914, 6.432242542949265 60.64209002426708, 6.419976570713974 60.6380421306738, 6.401832001169831 60.6287252927243, 6.40115199571655 60.6278226011488, 6.400893407989787 60.62749815314325)"/>
    <s v="[2115346, 2115354, 2115362, 2112910, 2112918, 2112926]"/>
    <s v="[1824400, 1824405, 1822989, 1822990, 1822993, 1822981]"/>
    <s v="#FIELD!"/>
    <s v="[1824399, 1824400, 1824405, 1822989, 1822990, 1822993]"/>
    <s v="[0.126, 0.139, 0.178, 0.098, 0.291, 0.015]"/>
    <s v="2572.668391137842"/>
    <s v="[0.126, 0.139, 0.178, -0.098, -0.291, -0.015]"/>
  </r>
  <r>
    <x v="5428"/>
    <x v="5747"/>
    <x v="0"/>
    <n v="0"/>
    <s v="LINESTRING (6.4356987556648555 60.642533817410374, 6.435577640273268 60.642360803110996, 6.435554868073593 60.642316644816205)"/>
    <s v="[2115314, 2115322]"/>
    <s v="[1824383, 1824388]"/>
    <s v="0.03319768919529742"/>
    <s v="[1824379, 1824383]"/>
    <s v="[0.033, 0.034]"/>
    <s v="25.732987908723153"/>
    <s v="[0.033, 0.034]"/>
  </r>
  <r>
    <x v="5428"/>
    <x v="5748"/>
    <x v="0"/>
    <n v="0"/>
    <s v="LINESTRING (6.4356987556648555 60.642533817410374, 6.435814208444515 60.642370578292805, 6.435840566473329 60.64232322875554)"/>
    <s v="[2115330, 2115338]"/>
    <s v="[1824391, 1824394]"/>
    <s v="#FIELD!"/>
    <s v="[1824379, 1824391]"/>
    <s v="[0.047, 0.046]"/>
    <s v="24.7800779289131"/>
    <s v="[-0.047, -0.046]"/>
  </r>
  <r>
    <x v="5429"/>
    <x v="5749"/>
    <x v="0"/>
    <n v="0"/>
    <m/>
    <n v="2141021"/>
    <n v="1824414"/>
    <s v="0.08"/>
    <n v="1824388"/>
    <s v="0.08"/>
    <s v="16.944030890547104"/>
    <s v="0.08"/>
  </r>
  <r>
    <x v="5429"/>
    <x v="5748"/>
    <x v="0"/>
    <n v="0"/>
    <s v="LINESTRING (6.435840566473329 60.64232322875554, 6.435714912761757 60.642333011541844, 6.435554868073593 60.642316644816205)"/>
    <s v="[2141077, 2141085]"/>
    <s v="[1839031, 1824388]"/>
    <s v="0.1270634932729117"/>
    <s v="[1824394, 1839031]"/>
    <s v="[0.131, 0.124]"/>
    <s v="15.941925701597299"/>
    <s v="[0.131, 0.124]"/>
  </r>
  <r>
    <x v="5430"/>
    <x v="5750"/>
    <x v="0"/>
    <n v="0"/>
    <m/>
    <n v="2141069"/>
    <n v="1824394"/>
    <s v="#FIELD!"/>
    <n v="1824490"/>
    <s v="0.021"/>
    <s v="41.39272490118898"/>
    <s v="#FIELD!"/>
  </r>
  <r>
    <x v="5431"/>
    <x v="5749"/>
    <x v="0"/>
    <n v="0"/>
    <s v="LINESTRING (6.435342960477559 60.64221014505843, 6.435245821424308 60.64220428097909, 6.434928215515121 60.64215586546621)"/>
    <s v="[2115370, 2115378]"/>
    <s v="[1824415, 1824399]"/>
    <s v="0.11555241905882518"/>
    <s v="[1824414, 1824415]"/>
    <s v="[0.114, 0.116]"/>
    <s v="23.98306033475826"/>
    <s v="[0.114, 0.116]"/>
  </r>
  <r>
    <x v="5431"/>
    <x v="5751"/>
    <x v="0"/>
    <n v="0"/>
    <s v="LINESTRING (6.435336173329379 60.64206972393561, 6.435254421127904 60.642080123421344, 6.434928215515121 60.64215586546621)"/>
    <s v="[2115386, 2115394]"/>
    <s v="[1824426, 1824399]"/>
    <s v="0.11473403389091172"/>
    <s v="[1824425, 1824426]"/>
    <s v="[0.136, 0.11]"/>
    <s v="25.435605341283562"/>
    <s v="[0.136, 0.11]"/>
  </r>
  <r>
    <x v="5432"/>
    <x v="5751"/>
    <x v="0"/>
    <n v="0"/>
    <s v="LINESTRING (6.435342960477559 60.64221014505843, 6.435314185886941 60.64214922622985, 6.435336173329379 60.64206972393561)"/>
    <s v="[2141029, 2141037]"/>
    <s v="[1839000, 1824425]"/>
    <s v="#FIELD!"/>
    <s v="[1824414, 1839000]"/>
    <s v="[0.021, 0.032]"/>
    <s v="15.943934930755198"/>
    <s v="[0.021, -0.032]"/>
  </r>
  <r>
    <x v="5433"/>
    <x v="5752"/>
    <x v="0"/>
    <n v="0"/>
    <m/>
    <n v="2141045"/>
    <n v="1824448"/>
    <s v="#FIELD!"/>
    <n v="1824425"/>
    <s v="0.104"/>
    <s v="33.873071207823436"/>
    <s v="#FIELD!"/>
  </r>
  <r>
    <x v="5434"/>
    <x v="5752"/>
    <x v="0"/>
    <n v="0"/>
    <s v="LINESTRING (6.435839934260956 60.64194785150376, 6.435865177831518 60.64192586199587, 6.43587359313819 60.64191852919931, 6.436135129933391 60.64177920979084)"/>
    <s v="[2115418, 2115426, 2115434]"/>
    <s v="[1824449, 1824455, 1824435]"/>
    <s v="#FIELD!"/>
    <s v="[1824448, 1824449, 1824455]"/>
    <s v="[0.901, 0.017, 0.221]"/>
    <s v="24.920095826509808"/>
    <s v="[0.901, -0.017, -0.221]"/>
  </r>
  <r>
    <x v="5434"/>
    <x v="5750"/>
    <x v="0"/>
    <n v="0"/>
    <s v="LINESTRING (6.436037240461131 60.64201746520998, 6.436064586944554 60.64198251597731, 6.4360736963986165 60.64197086584315, 6.436135129933391 60.64177920979084)"/>
    <s v="[2115482, 2115490, 2115498]"/>
    <s v="[1824491, 1824496, 1824435]"/>
    <s v="#FIELD!"/>
    <s v="[1824490, 1824491, 1824496]"/>
    <s v="[0.056, 0.073, 0.139]"/>
    <s v="27.24200169339761"/>
    <s v="[-0.056, -0.073, -0.139]"/>
  </r>
  <r>
    <x v="5435"/>
    <x v="5750"/>
    <x v="0"/>
    <n v="0"/>
    <s v="LINESTRING (6.435839934260956 60.64194785150376, 6.4359348197785575 60.6419703318241, 6.436037240461131 60.64201746520998)"/>
    <s v="[2141053, 2141061]"/>
    <s v="[1839015, 1824490]"/>
    <s v="0.0873685613609734"/>
    <s v="[1824448, 1839015]"/>
    <s v="[0.104, 0.231]"/>
    <s v="13.475207773474345"/>
    <s v="[-0.104, 0.231]"/>
  </r>
  <r>
    <x v="5436"/>
    <x v="5293"/>
    <x v="0"/>
    <n v="0"/>
    <s v="LINESTRING (5.643840715725656 59.00704004858168, 5.643911341076913 59.00709341140727, 5.643911758405894 59.00714141488229, 5.6438579889437985 59.00718831727727, 5.643798397916456 59.00720740167803)"/>
    <s v="[2118445, 2118453, 2118461, 2118480]"/>
    <s v="[1826300, 1826304, 1826309, 1826318]"/>
    <s v="0.0009151710783544511"/>
    <s v="[1825897, 1826300, 1826304, 1826309]"/>
    <s v="[0.007, 0.002, 0.002, 0.007]"/>
    <s v="22.71635435879522"/>
    <s v="[0.007, 0.002, -0.002, -0.007]"/>
  </r>
  <r>
    <x v="5436"/>
    <x v="5294"/>
    <x v="0"/>
    <n v="0"/>
    <s v="LINESTRING (5.643577104645958 59.00717096992969, 5.643549953787522 59.00713761213011, 5.643559755643678 59.00708249026142, 5.643620852655578 59.00704088484396, 5.643840715725656 59.00704004858168)"/>
    <s v="[2118504, 2118519, 2118527, 2118439]"/>
    <s v="[1826092, 1826345, 1826103, 1825897]"/>
    <s v="0.0038409057149444512"/>
    <s v="[1826329, 1826092, 1826345, 1826103]"/>
    <s v="[0.006, 0.001, 0.004, 0.009]"/>
    <s v="29.396128484379645"/>
    <s v="[-0.006, -0.001, 0.004, 0.009]"/>
  </r>
  <r>
    <x v="5437"/>
    <x v="1140"/>
    <x v="0"/>
    <n v="0"/>
    <s v="LINESTRING (5.639244217225327 59.0065678766036, 5.639244217225327 59.0065678766036, 5.639171513798117 59.00665368817889, 5.640524359576818 59.007397517088684, 5.640621135251987 59.00733677715998)"/>
    <s v="[2117828, 2117836, 2117844, 2118113]"/>
    <s v="[1825904, 1825909, 1825916, 1825996]"/>
    <s v="0.0019039397708951896"/>
    <s v="[1300832, 1825904, 1825909, 1825916]"/>
    <s v="[0.0, 0.004, 0.002, 0.006]"/>
    <s v="348.344546184638"/>
    <s v="[0.0, -0.004, 0.002, 0.006]"/>
  </r>
  <r>
    <x v="5438"/>
    <x v="1142"/>
    <x v="0"/>
    <n v="0"/>
    <s v="LINESTRING (5.640621135251987 59.00733677715998, 5.639063402000005 59.0087833888376, 5.638361954304931 59.00944750921532)"/>
    <s v="[2117989, 2117997]"/>
    <s v="[1826003, 1826007]"/>
    <s v="#FIELD!"/>
    <s v="[1825996, 1826003]"/>
    <s v="[0.019, 0.021]"/>
    <s v="269.4242847674815"/>
    <s v="[-0.019, -0.021]"/>
  </r>
  <r>
    <x v="5439"/>
    <x v="5753"/>
    <x v="0"/>
    <n v="0"/>
    <s v="LINESTRING (5.638361954304931 59.00944750921532, 5.638416633553381 59.0093653545816, 5.639020006259035 59.00664093540695, 5.638996957329381 59.006549770521204, 5.638984419850691 59.00652518618558)"/>
    <s v="[2118100, 2118074, 2118082, 2118090]"/>
    <s v="[1826053, 1826054, 1826060, 1300825]"/>
    <s v="0.013603825227722095"/>
    <s v="[1826007, 1826053, 1826054, 1826060]"/>
    <s v="[0.021, 0.014, 0.001, 0.003]"/>
    <s v="339.3657801974463"/>
    <s v="[0.021, 0.014, -0.001, -0.003]"/>
  </r>
  <r>
    <x v="5440"/>
    <x v="5294"/>
    <x v="0"/>
    <n v="0"/>
    <s v="LINESTRING (5.643798397916456 59.00720740167803, 5.643653331752169 59.00720457754097, 5.643577104645958 59.00717096992969)"/>
    <s v="[2118488, 2118496]"/>
    <s v="[1826322, 1826329]"/>
    <s v="#FIELD!"/>
    <s v="[1826318, 1826322]"/>
    <s v="[0.01, 0.008]"/>
    <s v="14.148155075113554"/>
    <s v="[-0.01, -0.008]"/>
  </r>
  <r>
    <x v="5441"/>
    <x v="2536"/>
    <x v="0"/>
    <n v="0"/>
    <m/>
    <n v="2121690"/>
    <n v="1827971"/>
    <s v="#FIELD!"/>
    <n v="1827940"/>
    <s v="0.009"/>
    <s v="53.68039082537907"/>
    <s v="#FIELD!"/>
  </r>
  <r>
    <x v="5441"/>
    <x v="2533"/>
    <x v="0"/>
    <n v="0"/>
    <s v="LINESTRING (10.37327218906683 63.36037264303257, 10.373218347683368 63.360319844603794, 10.373221686458313 63.3602577257615)"/>
    <s v="[2121314, 2121322]"/>
    <s v="[1827943, 1827948]"/>
    <s v="0.02006767565672937"/>
    <s v="[1827940, 1827943]"/>
    <s v="[0.018, 0.022]"/>
    <s v="13.40250354304975"/>
    <s v="[0.018, 0.022]"/>
  </r>
  <r>
    <x v="5442"/>
    <x v="2529"/>
    <x v="0"/>
    <n v="0"/>
    <m/>
    <n v="2121698"/>
    <n v="1827985"/>
    <s v="#FIELD!"/>
    <n v="1827948"/>
    <s v="0.007"/>
    <s v="54.23638898579122"/>
    <s v="#FIELD!"/>
  </r>
  <r>
    <x v="5443"/>
    <x v="2529"/>
    <x v="0"/>
    <n v="0"/>
    <s v="LINESTRING (10.372163391601067 63.360358307652604, 10.372228678518919 63.360416505085134, 10.37222682214231 63.36047786279762)"/>
    <s v="[2121410, 2121370]"/>
    <s v="[1827970, 1827971]"/>
    <s v="#FIELD!"/>
    <s v="[1827985, 1827970]"/>
    <s v="[0.024, 0.027]"/>
    <s v="14.107136962192548"/>
    <s v="[-0.024, -0.027]"/>
  </r>
  <r>
    <x v="5444"/>
    <x v="5714"/>
    <x v="0"/>
    <n v="0"/>
    <s v="LINESTRING (11.889589102570078 60.20796443667691, 11.889490255170337 60.20801297568458, 11.88937017984383 60.20803783330744)"/>
    <s v="[2126914, 2126922]"/>
    <s v="[1831181, 1831185]"/>
    <s v="#FIELD!"/>
    <s v="[1831177, 1831181]"/>
    <s v="[0.013, 0.035]"/>
    <s v="14.91049104731493"/>
    <s v="[-0.013, -0.035]"/>
  </r>
  <r>
    <x v="5444"/>
    <x v="5754"/>
    <x v="0"/>
    <n v="0"/>
    <s v="LINESTRING (11.889589102570078 60.20796443667691, 11.889602170812502 60.208001440919446, 11.889688982490297 60.20816033242865)"/>
    <s v="[2127155, 2127163]"/>
    <s v="[1831299, 1831258]"/>
    <s v="0.05307108096814664"/>
    <s v="[1831177, 1831299]"/>
    <s v="[0.049, 0.054]"/>
    <s v="22.531040851691976"/>
    <s v="[0.049, 0.054]"/>
  </r>
  <r>
    <x v="5445"/>
    <x v="5754"/>
    <x v="0"/>
    <n v="0"/>
    <s v="LINESTRING (11.88937017984383 60.20803783330744, 11.889441762217396 60.20805695464316, 11.889688982490297 60.20816033242865)"/>
    <s v="[2127139, 2127147]"/>
    <s v="[1831292, 1831258]"/>
    <s v="0.069"/>
    <s v="[1831185, 1831292]"/>
    <s v="0.069"/>
    <s v="22.40862854446011"/>
    <s v="0.069"/>
  </r>
  <r>
    <x v="5446"/>
    <x v="5713"/>
    <x v="0"/>
    <n v="0"/>
    <s v="LINESTRING (11.890410307804697 60.2087890941788, 11.890478544188124 60.208754932200904, 11.890576630821247 60.20873539834215)"/>
    <s v="[2127010, 2127018]"/>
    <s v="[1831228, 1831205]"/>
    <s v="0.02935335148452033"/>
    <s v="[1831224, 1831228]"/>
    <s v="[0.009, 0.048]"/>
    <s v="11.224398635051749"/>
    <s v="[0.009, 0.048]"/>
  </r>
  <r>
    <x v="5446"/>
    <x v="5755"/>
    <x v="0"/>
    <n v="0"/>
    <s v="LINESTRING (11.890279479876439 60.20860343544317, 11.890517989642252 60.20871077653844, 11.890576630821247 60.20873539834215)"/>
    <s v="[2127050, 2127058]"/>
    <s v="[1831248, 1831205]"/>
    <s v="0.0713337574638664"/>
    <s v="[1831247, 1831248]"/>
    <s v="[0.07, 0.077]"/>
    <s v="22.326510290587493"/>
    <s v="[0.07, 0.077]"/>
  </r>
  <r>
    <x v="5447"/>
    <x v="5755"/>
    <x v="0"/>
    <n v="0"/>
    <s v="LINESTRING (11.890279479876439 60.20860343544317, 11.890390803332131 60.20875369123052, 11.890410307804697 60.2087890941788)"/>
    <s v="[2127090, 2127098]"/>
    <s v="[1831272, 1831224]"/>
    <s v="0.05655278109636092"/>
    <s v="[1831247, 1831272]"/>
    <s v="[0.056, 0.059]"/>
    <s v="22.196172938798274"/>
    <s v="[0.056, 0.059]"/>
  </r>
  <r>
    <x v="5448"/>
    <x v="5754"/>
    <x v="0"/>
    <s v="[0, 1, 0]"/>
    <s v="LINESTRING (11.889688982490297 60.20816033242865, 11.889728771343702 60.20819011026954, 11.890228555822329 60.20856539924533, 11.890279479876439 60.20860343544317)"/>
    <s v="[2127066, 2127074, 2127082]"/>
    <s v="[1831259, 1831263, 1831247]"/>
    <s v="0.06439826361575375"/>
    <s v="[1831258, 1831259, 1831263]"/>
    <s v="[0.065, 0.065, 0.058]"/>
    <s v="59.23745284638777"/>
    <s v="[0.065, 0.065, 0.058]"/>
  </r>
  <r>
    <x v="5449"/>
    <x v="2522"/>
    <x v="0"/>
    <n v="0"/>
    <s v="LINESTRING (10.885466592895188 63.490351996231055, 10.885447071051502 63.49031020377245, 10.885483368645087 63.49026763532457)"/>
    <s v="[2128219, 2128227]"/>
    <s v="[1831882, 1831888]"/>
    <s v="#FIELD!"/>
    <s v="[1831880, 1831882]"/>
    <s v="[0.023, 0.029]"/>
    <s v="9.838139079802971"/>
    <s v="[-0.023, -0.029]"/>
  </r>
  <r>
    <x v="5449"/>
    <x v="2520"/>
    <x v="0"/>
    <s v="[0, 1, 0, 0]"/>
    <s v="LINESTRING (10.885466592895188 63.490351996231055, 10.885339782286309 63.49032888732512, 10.884449443571507 63.49026885918413, 10.884387715793055 63.4902736534309, 10.884277703763471 63.490282199553754)"/>
    <s v="[2161316, 2161324, 2161332, 2161340]"/>
    <s v="[1850715, 1850721, 1850724, 1831911]"/>
    <s v="0.010175287950210677"/>
    <s v="[1831880, 1850715, 1850721, 1850724]"/>
    <s v="[0.326, 0.004, 0.035, 0.523]"/>
    <s v="60.43242112284427"/>
    <s v="[-0.326, -0.004, 0.035, 0.523]"/>
  </r>
  <r>
    <x v="5450"/>
    <x v="2525"/>
    <x v="0"/>
    <s v="[0, 1, 0, 0]"/>
    <s v="LINESTRING (10.885483368645087 63.49026763532457, 10.885356575044122 63.49027471069652, 10.88445922497023 63.49021910999082, 10.88440821886686 63.49020867146274, 10.884312421954176 63.490185833929125)"/>
    <s v="[2161348, 2161356, 2161364, 2161372]"/>
    <s v="[1850733, 1850737, 1850741, 1831943]"/>
    <s v="0.008997892500888383"/>
    <s v="[1831888, 1850733, 1850737, 1850741]"/>
    <s v="[0.349, 0.004, 0.017, 0.535]"/>
    <s v="59.85999076798525"/>
    <s v="[-0.349, -0.004, 0.017, 0.535]"/>
  </r>
  <r>
    <x v="5451"/>
    <x v="2525"/>
    <x v="0"/>
    <n v="0"/>
    <s v="LINESTRING (10.884312421954176 63.490185833929125, 10.884332341012147 63.490235745752614, 10.884277703763471 63.490282199553754)"/>
    <s v="[2128315, 2128323]"/>
    <s v="[1831948, 1831911]"/>
    <s v="0.028017268461450587"/>
    <s v="[1831943, 1831948]"/>
    <s v="[0.027, 0.029]"/>
    <s v="11.502834590953182"/>
    <s v="[0.027, 0.029]"/>
  </r>
  <r>
    <x v="5452"/>
    <x v="3269"/>
    <x v="0"/>
    <n v="0"/>
    <s v="LINESTRING (8.577221647960387 58.34442074080637, 8.571124180739611 58.3429385482438, 8.570887033564018 58.342874490808164, 8.56980131355329 58.34255946687061, 8.56932798602575 58.34241211969472)"/>
    <s v="[2133620, 2133628, 2133636, 2133644]"/>
    <s v="[1834982, 1834985, 1834989, 1834993]"/>
    <s v="0.022832551662622515"/>
    <s v="[1834979, 1834982, 1834985, 1834989]"/>
    <s v="[0.023, 0.018, 0.022, 0.025]"/>
    <s v="515.8721678216708"/>
    <s v="[0.023, 0.018, 0.022, 0.025]"/>
  </r>
  <r>
    <x v="5453"/>
    <x v="3900"/>
    <x v="0"/>
    <n v="0"/>
    <s v="LINESTRING (8.580198291774987 58.34622722404893, 8.579907708028175 58.34603810530792, 8.57740968618044 58.344440608664804, 8.577284686392362 58.344385600537954, 8.571175104183528 58.342899224073165, 8.570937397963565 58.34283503945394)"/>
    <s v="[2133708, 2133716, 2133724, 2133732, 2133740]"/>
    <s v="[1835029, 1835033, 1835038, 1835042, 1835047]"/>
    <s v="0.017792055754916172"/>
    <s v="[1835024, 1835029, 1835033, 1835038, 1835042]"/>
    <s v="[0.005, 0.01, 0.023, 0.023, 0.02]"/>
    <s v="679.5830406426977"/>
    <s v="[0.005, 0.01, 0.023, 0.023, 0.02]"/>
  </r>
  <r>
    <x v="5454"/>
    <x v="5756"/>
    <x v="0"/>
    <n v="0"/>
    <s v="LINESTRING (10.91350951659401 63.46698922937055, 10.914699231187832 63.467017398236614, 10.914834474178967 63.46703267023077)"/>
    <s v="[2134996, 2135004]"/>
    <s v="[1835713, 1835717]"/>
    <s v="0.030790658484290877"/>
    <s v="[1835632, 1835713]"/>
    <s v="[0.031, 0.029]"/>
    <s v="66.45349175386862"/>
    <s v="[0.031, 0.029]"/>
  </r>
  <r>
    <x v="5455"/>
    <x v="5757"/>
    <x v="0"/>
    <n v="0"/>
    <s v="LINESTRING (10.913515274945075 63.46691307314902, 10.914722733850708 63.46689957549782, 10.91483261447477 63.46688673479996)"/>
    <s v="[2135028, 2135036]"/>
    <s v="[1835736, 1835745]"/>
    <s v="0.030914156795888277"/>
    <s v="[1835660, 1835736]"/>
    <s v="[0.031, 0.03]"/>
    <s v="65.97306617886495"/>
    <s v="[0.031, 0.03]"/>
  </r>
  <r>
    <x v="5456"/>
    <x v="5757"/>
    <x v="0"/>
    <n v="0"/>
    <s v="LINESTRING (10.914834474178967 63.46703267023077, 10.914791377742631 63.466957373718714, 10.91483261447477 63.46688673479996)"/>
    <s v="[2135100, 2135108]"/>
    <s v="[1835786, 1835745]"/>
    <s v="0.00026526959101101926"/>
    <s v="[1835717, 1835786]"/>
    <s v="[0.007, 0.008]"/>
    <s v="16.803827315484536"/>
    <s v="[-0.007, 0.008]"/>
  </r>
  <r>
    <x v="5456"/>
    <x v="2313"/>
    <x v="0"/>
    <n v="0"/>
    <s v="LINESTRING (10.91540204047752 63.4670375662388, 10.91523515989134 63.467097621474856, 10.915088854049365 63.467105915948885, 10.914974153657553 63.46709158189769, 10.914834474178967 63.46703267023077)"/>
    <s v="[2135068, 2135076, 2135084, 2135092]"/>
    <s v="[1835676, 1835772, 1835683, 1835717]"/>
    <s v="#FIELD!"/>
    <s v="[1835761, 1835676, 1835772, 1835683]"/>
    <s v="[0.007, 0.01, 0.009, 0.016]"/>
    <s v="33.54691876132448"/>
    <s v="[-0.007, -0.01, -0.009, -0.016]"/>
  </r>
  <r>
    <x v="5457"/>
    <x v="2310"/>
    <x v="0"/>
    <n v="0"/>
    <m/>
    <n v="2135044"/>
    <n v="1835749"/>
    <s v="0.011"/>
    <n v="1835745"/>
    <s v="0.011"/>
    <s v="34.430209610390506"/>
    <s v="0.011"/>
  </r>
  <r>
    <x v="5458"/>
    <x v="2313"/>
    <x v="0"/>
    <n v="0"/>
    <s v="LINESTRING (10.915408515858893 63.466885307530575, 10.915451669580932 63.46696077624158, 10.91540204047752 63.4670375662388)"/>
    <s v="[2135052, 2135060]"/>
    <s v="[1835755, 1835761]"/>
    <s v="#FIELD!"/>
    <s v="[1835749, 1835755]"/>
    <s v="[0.001, 0.003]"/>
    <s v="17.59536008702197"/>
    <s v="[0.001, -0.003]"/>
  </r>
  <r>
    <x v="5459"/>
    <x v="4502"/>
    <x v="0"/>
    <n v="0"/>
    <s v="LINESTRING (7.092010401239533 58.157521032834055, 7.0917817474352525 58.15762872479873, 7.091659138663504 58.15762365697528, 7.0915600782691195 58.157595053739925, 7.091529554687496 58.15757889781873)"/>
    <s v="[2137659, 2137667, 2137675, 2137683]"/>
    <s v="[1801992, 1837156, 1802011, 1837105]"/>
    <s v="#FIELD!"/>
    <s v="[1837088, 1801992, 1837156, 1802011]"/>
    <s v="[0.012, 0.022, 0.021, 0.02]"/>
    <s v="35.329361901661606"/>
    <s v="[-0.012, -0.022, -0.021, -0.02]"/>
  </r>
  <r>
    <x v="5459"/>
    <x v="4501"/>
    <x v="0"/>
    <n v="0"/>
    <s v="LINESTRING (7.091959437610275 58.157391570679685, 7.092012036754477 58.157449036021525, 7.092010401239533 58.157521032834055)"/>
    <s v="[2137739, 2137747]"/>
    <s v="[1837183, 1837088]"/>
    <s v="0.01028964210711615"/>
    <s v="[1837095, 1837183]"/>
    <s v="[0.014, 0.007]"/>
    <s v="15.163908375372877"/>
    <s v="[0.014, 0.007]"/>
  </r>
  <r>
    <x v="5460"/>
    <x v="4503"/>
    <x v="0"/>
    <n v="0"/>
    <s v="LINESTRING (7.091469295073501 58.15745056940313, 7.091608744779522 58.15735336995582, 7.091728770671216 58.15733583438159, 7.091858763770552 58.157349480982816, 7.091959437610275 58.157391570679685)"/>
    <s v="[2137707, 2137715, 2137723, 2137731]"/>
    <s v="[1837147, 1837172, 1837132, 1837095]"/>
    <s v="0.015414442732613231"/>
    <s v="[1837115, 1837147, 1837172, 1837132]"/>
    <s v="[0.009, 0.019, 0.02, 0.019]"/>
    <s v="36.67313548544273"/>
    <s v="[0.009, 0.019, 0.02, 0.019]"/>
  </r>
  <r>
    <x v="5461"/>
    <x v="4503"/>
    <x v="0"/>
    <n v="0"/>
    <s v="LINESTRING (7.091529554687496 58.15757889781873, 7.091470684940026 58.15751848838457, 7.091469295073501 58.15745056940313)"/>
    <s v="[2137691, 2137699]"/>
    <s v="[1837162, 1837115]"/>
    <s v="#FIELD!"/>
    <s v="[1837105, 1837162]"/>
    <s v="[0.014, 0.005]"/>
    <s v="15.167926324137767"/>
    <s v="[-0.014, -0.005]"/>
  </r>
  <r>
    <x v="5462"/>
    <x v="5758"/>
    <x v="0"/>
    <n v="0"/>
    <m/>
    <n v="2146812"/>
    <n v="1842313"/>
    <s v="0.043"/>
    <n v="1842312"/>
    <s v="0.043"/>
    <s v="38.11542061225189"/>
    <s v="0.043"/>
  </r>
  <r>
    <x v="5462"/>
    <x v="5759"/>
    <x v="0"/>
    <n v="0"/>
    <s v="LINESTRING (6.050032421758024 62.174273468403634, 6.050136239527005 62.1741748146119, 6.050371185191455 62.17411675059784)"/>
    <s v="[2146868, 2146876]"/>
    <s v="[1842344, 1842312]"/>
    <s v="#FIELD!"/>
    <s v="[1842341, 1842344]"/>
    <s v="[0.057, 0.013]"/>
    <s v="26.359716902543937"/>
    <s v="[-0.057, -0.013]"/>
  </r>
  <r>
    <x v="5462"/>
    <x v="685"/>
    <x v="0"/>
    <n v="0"/>
    <s v="LINESTRING (6.047918371009179 62.17320688962094, 6.050214262551682 62.17409212552606, 6.050371185191455 62.17411675059784)"/>
    <s v="[2147004, 2147012]"/>
    <s v="[1842416, 1842312]"/>
    <s v="0.07700603623188089"/>
    <s v="[1842415, 1842416]"/>
    <s v="[0.079, 0.041]"/>
    <s v="164.7189904110385"/>
    <s v="[0.079, 0.041]"/>
  </r>
  <r>
    <x v="5463"/>
    <x v="5760"/>
    <x v="0"/>
    <n v="0"/>
    <s v="LINESTRING (6.050831594130751 62.17432360131014, 6.050724648189683 62.17443139824731, 6.050531332463124 62.174485565754416)"/>
    <s v="[2146820, 2146828]"/>
    <s v="[1842318, 1842323]"/>
    <s v="0.04113298442799329"/>
    <s v="[1842313, 1842318]"/>
    <s v="[0.05, 0.031]"/>
    <s v="25.217331387284496"/>
    <s v="[0.05, 0.031]"/>
  </r>
  <r>
    <x v="5463"/>
    <x v="3309"/>
    <x v="0"/>
    <n v="0"/>
    <s v="LINESTRING (6.050831594130751 62.17432360131014, 6.050896862889748 62.17438814984519, 6.051779814594078 62.17489151495446)"/>
    <s v="[2147252, 2147260]"/>
    <s v="[1842551, 1842526]"/>
    <s v="0.0372589741000488"/>
    <s v="[1842313, 1842551]"/>
    <s v="[0.058, 0.035]"/>
    <s v="81.19741614036401"/>
    <s v="[0.058, 0.035]"/>
  </r>
  <r>
    <x v="5464"/>
    <x v="5759"/>
    <x v="0"/>
    <n v="0"/>
    <s v="LINESTRING (6.050531332463124 62.174485565754416, 6.050346167928232 62.17448738536791, 6.05012404877333 62.174425224766, 6.050029205909308 62.174320994183745, 6.050032421758024 62.174273468403634)"/>
    <s v="[2146836, 2146844, 2146852, 2146860]"/>
    <s v="[1842327, 1842332, 1842337, 1842341]"/>
    <s v="#FIELD!"/>
    <s v="[1842323, 1842327, 1842332, 1842337]"/>
    <s v="[0.003, 0.036, 0.07, 0.074]"/>
    <s v="41.33397184733568"/>
    <s v="[-0.003, -0.036, -0.07, -0.074]"/>
  </r>
  <r>
    <x v="5464"/>
    <x v="3309"/>
    <x v="0"/>
    <n v="0"/>
    <s v="LINESTRING (6.050531332463124 62.174485565754416, 6.050658003050229 62.17451003766765, 6.051779814594078 62.17489151495446)"/>
    <s v="[2147268, 2147276]"/>
    <s v="[1842559, 1842526]"/>
    <s v="0.024642309117727943"/>
    <s v="[1842323, 1842559]"/>
    <s v="[0.021, 0.025]"/>
    <s v="80.03290021068679"/>
    <s v="[0.021, 0.025]"/>
  </r>
  <r>
    <x v="5465"/>
    <x v="685"/>
    <x v="0"/>
    <n v="0"/>
    <s v="LINESTRING (6.047918371009179 62.17320688962094, 6.049973699208153 62.17421946930506, 6.050032421758024 62.174273468403634)"/>
    <s v="[2147044, 2147052]"/>
    <s v="[1842432, 1842341]"/>
    <s v="0.08317044895967468"/>
    <s v="[1842415, 1842432]"/>
    <s v="[0.084, 0.064]"/>
    <s v="163.1315182214693"/>
    <s v="[0.084, 0.064]"/>
  </r>
  <r>
    <x v="5466"/>
    <x v="5471"/>
    <x v="0"/>
    <n v="0"/>
    <s v="LINESTRING (5.3530457594405165 60.476215495119554, 5.353174064647348 60.47624897689115, 5.353303398891562 60.47631565733449)"/>
    <s v="[2156115, 2156123]"/>
    <s v="[1847569, 1847362]"/>
    <s v="#FIELD!"/>
    <s v="[1847354, 1847569]"/>
    <s v="[0.048, 0.06]"/>
    <s v="18.3225933127203"/>
    <s v="[-0.048, -0.06]"/>
  </r>
  <r>
    <x v="5467"/>
    <x v="5333"/>
    <x v="0"/>
    <n v="0"/>
    <s v="LINESTRING (5.353303398891562 60.47631565733449, 5.353388533024928 60.47647003361956, 5.353359711510074 60.47654218193293, 5.353292914332867 60.47660572366714, 5.35315955566763 60.476669824135456)"/>
    <s v="[2156131, 2156139, 2156147, 2156155]"/>
    <s v="[1847377, 1847584, 1847367, 1847592]"/>
    <s v="#FIELD!"/>
    <s v="[1847362, 1847377, 1847584, 1847367]"/>
    <s v="[0.055, 0.042, 0.035, 0.013]"/>
    <s v="44.58076168682976"/>
    <s v="[-0.055, -0.042, -0.035, -0.013]"/>
  </r>
  <r>
    <x v="5468"/>
    <x v="5331"/>
    <x v="0"/>
    <n v="0"/>
    <m/>
    <n v="2156163"/>
    <n v="1847598"/>
    <s v="0.021"/>
    <n v="1847592"/>
    <s v="0.021"/>
    <s v="25.029168856483036"/>
    <s v="0.021"/>
  </r>
  <r>
    <x v="5469"/>
    <x v="5329"/>
    <x v="0"/>
    <n v="0"/>
    <m/>
    <n v="2156171"/>
    <n v="1847604"/>
    <s v="0.05"/>
    <n v="1847598"/>
    <s v="0.05"/>
    <s v="13.68743237424299"/>
    <s v="0.05"/>
  </r>
  <r>
    <x v="5470"/>
    <x v="2431"/>
    <x v="0"/>
    <n v="0"/>
    <s v="LINESTRING (10.885806558239839 63.48788912552291, 10.885046940322987 63.49010608274452, 10.884988238317042 63.490280732394716, 10.8848355343027 63.49073503669247, 10.884776872215577 63.490909669475684, 10.884754820937207 63.49097520917337, 10.884261904531728 63.492441774477705, 10.884061094300078 63.4929771196854)"/>
    <s v="[2161420, 2161428, 2161436, 2161444, 2161452, 2161460, 2161468]"/>
    <s v="[1850775, 1850780, 1850784, 1850790, 1850792, 1850797, 1850801]"/>
    <s v="0.0291331852634614"/>
    <s v="[1850554, 1850775, 1850780, 1850784, 1850790, 1850792, 1850797]"/>
    <s v="[0.016, 0.037, 0.039, 0.038, 0.041, 0.042, 0.033]"/>
    <s v="573.856070453679"/>
    <s v="[0.016, 0.037, 0.039, 0.038, 0.041, 0.042, 0.033]"/>
  </r>
  <r>
    <x v="5471"/>
    <x v="2430"/>
    <x v="0"/>
    <n v="0"/>
    <s v="LINESTRING (10.885609093261538 63.48787314323226, 10.884848906619489 63.49009143165708, 10.884790167938228 63.49026618805978, 10.884637380837166 63.49072076846924, 10.884578682071536 63.490895508004854, 10.88455662519364 63.490961083474986, 10.884063239140694 63.49242860556772)"/>
    <s v="[2161508, 2161516, 2161524, 2161532, 2161540, 2161548]"/>
    <s v="[1850825, 1850834, 1850840, 1850843, 1850850, 1850595]"/>
    <s v="0.02928458557651351"/>
    <s v="[1850591, 1850825, 1850834, 1850840, 1850843, 1850850]"/>
    <s v="[0.016, 0.04, 0.041, 0.046, 0.04, 0.042]"/>
    <s v="513.6609462972152"/>
    <s v="[0.016, 0.04, 0.041, 0.046, 0.04, 0.042]"/>
  </r>
  <r>
    <x v="5472"/>
    <x v="5761"/>
    <x v="0"/>
    <n v="0"/>
    <s v="LINESTRING (7.097950640624595 62.60704778170967, 7.097411518544649 62.60872332558, 7.0973493871508415 62.608784808773834)"/>
    <s v="[2166239, 2166245]"/>
    <s v="[1853622, 1853458]"/>
    <s v="#FIELD!"/>
    <s v="[1853430, 1853622]"/>
    <s v="[0.027, 0.012]"/>
    <s v="197.79563453865944"/>
    <s v="[-0.027, 0.012]"/>
  </r>
  <r>
    <x v="5472"/>
    <x v="5762"/>
    <x v="0"/>
    <n v="0"/>
    <s v="LINESTRING (7.097950640624595 62.60704778170967, 7.0976382368697415 62.608742724380754, 7.097646086008393 62.60879774762977)"/>
    <s v="[2166251, 2166257]"/>
    <s v="[1853626, 1853434]"/>
    <s v="#FIELD!"/>
    <s v="[1853430, 1853626]"/>
    <s v="[0.033, 0.037]"/>
    <s v="197.42186898376693"/>
    <s v="[-0.033, -0.037]"/>
  </r>
  <r>
    <x v="5473"/>
    <x v="5763"/>
    <x v="0"/>
    <n v="0"/>
    <m/>
    <n v="2165913"/>
    <n v="1853435"/>
    <s v="#FIELD!"/>
    <n v="1853434"/>
    <s v="0.068"/>
    <s v="10.052729977404441"/>
    <s v="#FIELD!"/>
  </r>
  <r>
    <x v="5473"/>
    <x v="5761"/>
    <x v="0"/>
    <n v="0"/>
    <s v="LINESTRING (7.0973493871508415 62.608784808773834, 7.097515487966568 62.60877669456557, 7.097646086008393 62.60879774762977)"/>
    <s v="[2165956, 2165962]"/>
    <s v="[1853463, 1853434]"/>
    <s v="#FIELD!"/>
    <s v="[1853458, 1853463]"/>
    <s v="[0.096, 0.098]"/>
    <s v="15.707107299308412"/>
    <s v="[-0.096, -0.098]"/>
  </r>
  <r>
    <x v="5474"/>
    <x v="5764"/>
    <x v="0"/>
    <n v="0"/>
    <s v="LINESTRING (7.097752384823459 62.608873316168896, 7.097757490812886 62.60895170425966, 7.097674778277362 62.6090259003261)"/>
    <s v="[2165919, 2165925]"/>
    <s v="[1853439, 1853443]"/>
    <s v="#FIELD!"/>
    <s v="[1853435, 1853439]"/>
    <s v="[0.032, 0.019]"/>
    <s v="18.066200205492272"/>
    <s v="[-0.032, 0.019]"/>
  </r>
  <r>
    <x v="5474"/>
    <x v="5765"/>
    <x v="0"/>
    <s v="[0, 1, 0]"/>
    <s v="LINESTRING (7.098470547358061 62.60903918515383, 7.098043684933565 62.60894247465849, 7.097868500795399 62.608903104785306, 7.097752384823459 62.608873316168896)"/>
    <s v="[2166221, 2166227, 2166233]"/>
    <s v="[1853614, 1853618, 1853435]"/>
    <s v="0.09022988786974681"/>
    <s v="[1853502, 1853614, 1853618]"/>
    <s v="[0.089, 0.09, 0.095]"/>
    <s v="41.49812679608975"/>
    <s v="[0.089, 0.09, 0.095]"/>
  </r>
  <r>
    <x v="5475"/>
    <x v="5766"/>
    <x v="0"/>
    <n v="0"/>
    <m/>
    <n v="2165931"/>
    <n v="1853446"/>
    <s v="0.065"/>
    <n v="1853443"/>
    <s v="0.065"/>
    <s v="8.321029323654054"/>
    <s v="0.065"/>
  </r>
  <r>
    <x v="5475"/>
    <x v="5765"/>
    <x v="0"/>
    <s v="[0, 1, 0]"/>
    <s v="LINESTRING (7.098470547358061 62.60903918515383, 7.098009246053513 62.60901263352116, 7.097819434415747 62.60901476296739, 7.097674778277362 62.6090259003261)"/>
    <s v="[2166203, 2166209, 2166215]"/>
    <s v="[1853609, 1853610, 1853443]"/>
    <s v="0.08848206048159872"/>
    <s v="[1853502, 1853609, 1853610]"/>
    <s v="[0.09, 0.089, 0.083]"/>
    <s v="41.21841696780628"/>
    <s v="[0.09, 0.089, 0.083]"/>
  </r>
  <r>
    <x v="5476"/>
    <x v="5767"/>
    <x v="0"/>
    <n v="0"/>
    <s v="LINESTRING (7.09752660404199 62.60905582756508, 7.097329699719378 62.60905092886214, 7.097176310586435 62.608992406909934)"/>
    <s v="[2165937, 2165943]"/>
    <s v="[1853450, 1853454]"/>
    <s v="0.08948760263836815"/>
    <s v="[1853446, 1853450]"/>
    <s v="[0.092, 0.087]"/>
    <s v="20.38490778240257"/>
    <s v="[0.092, 0.087]"/>
  </r>
  <r>
    <x v="5476"/>
    <x v="3335"/>
    <x v="0"/>
    <s v="[0, 0, 1, 0]"/>
    <s v="LINESTRING (7.09752660404199 62.60905582756508, 7.097426792594283 62.60910957546501, 7.09722147584545 62.60923542168429, 7.097182720102302 62.60926751818627, 7.096321501611917 62.609652743395124)"/>
    <s v="[2166155, 2166161, 2166167, 2166173]"/>
    <s v="[1853586, 1853589, 1853592, 1853468]"/>
    <s v="0.042160242163112045"/>
    <s v="[1853446, 1853586, 1853589, 1853592]"/>
    <s v="[0.036, 0.027, 0.015, 0.049]"/>
    <s v="91.91977414939619"/>
    <s v="[0.036, 0.027, 0.015, 0.049]"/>
  </r>
  <r>
    <x v="5477"/>
    <x v="5761"/>
    <x v="0"/>
    <n v="0"/>
    <m/>
    <n v="2165949"/>
    <n v="1853458"/>
    <s v="#FIELD!"/>
    <n v="1853454"/>
    <s v="0.002"/>
    <s v="28.10138145784496"/>
    <s v="#FIELD!"/>
  </r>
  <r>
    <x v="5477"/>
    <x v="3335"/>
    <x v="0"/>
    <s v="[0, 0, 1, 0]"/>
    <s v="LINESTRING (7.097176310586435 62.608992406909934, 7.097170839490869 62.60906485134901, 7.097095284498074 62.60922527771333, 7.097055109168285 62.60925828638843, 7.096321501611917 62.609652743395124)"/>
    <s v="[2166179, 2166185, 2166191, 2166197]"/>
    <s v="[1853597, 1853600, 1853602, 1853468]"/>
    <s v="0.02261245444646678"/>
    <s v="[1853454, 1853597, 1853600, 1853602]"/>
    <s v="[0.026, 0.012, 0.027, 0.04]"/>
    <s v="89.07453368834703"/>
    <s v="[-0.026, -0.012, 0.027, 0.04]"/>
  </r>
  <r>
    <x v="5478"/>
    <x v="5765"/>
    <x v="0"/>
    <s v="[0, 1, 1, 0]"/>
    <s v="LINESTRING (7.139782419321816 62.610812380368046, 7.123046634140705 62.61076527279528, 7.099442802165715 62.60927069419027, 7.0989273436000575 62.60913019263092, 7.098470547358061 62.60903918515383)"/>
    <s v="[2165992, 2165998, 2166004, 2166010]"/>
    <s v="[1853487, 1853493, 1853499, 1853502]"/>
    <s v="0.002052635137065249"/>
    <s v="[1853486, 1853487, 1853493, 1853499]"/>
    <s v="[0.003, 0.002, 0.076, 0.086]"/>
    <s v="2199.3151427884272"/>
    <s v="[-0.003, 0.002, 0.076, 0.086]"/>
  </r>
  <r>
    <x v="5479"/>
    <x v="3013"/>
    <x v="0"/>
    <n v="0"/>
    <m/>
    <n v="2166770"/>
    <n v="1853888"/>
    <s v="0.04"/>
    <n v="1853895"/>
    <s v="0.04"/>
    <s v="424.22946626664464"/>
    <s v="0.04"/>
  </r>
  <r>
    <x v="5480"/>
    <x v="1022"/>
    <x v="0"/>
    <n v="0"/>
    <s v="LINESTRING (11.231374304318054 60.72376761467944, 11.231435913076986 60.72380871783569, 11.231468794061119 60.723875708147375, 11.231433049825696 60.72394732875499, 11.230922124321028 60.723974206115585)"/>
    <s v="[2168577, 2168580, 2168559, 2168562]"/>
    <s v="[351869, 1854815, 351237, 1854780]"/>
    <s v="0.012152331956845088"/>
    <s v="[1854774, 351869, 1854815, 351237]"/>
    <s v="[0.006, 0.004, 0.013, 0.017]"/>
    <s v="54.32956824361593"/>
    <s v="[-0.006, 0.004, 0.013, 0.017]"/>
  </r>
  <r>
    <x v="5481"/>
    <x v="1019"/>
    <x v="0"/>
    <n v="0"/>
    <s v="LINESTRING (11.228443849779211 60.7235252967739, 11.2281156889848 60.72338347413607, 11.228129536742534 60.72332804591774, 11.228203401872566 60.723267836526105, 11.228611934320801 60.72325336634214)"/>
    <s v="[2168589, 2168592, 2168595, 2168598]"/>
    <s v="[351750, 1854828, 351769, 1854776]"/>
    <s v="#FIELD!"/>
    <s v="[1854790, 351750, 1854828, 351769]"/>
    <s v="[0.008, 0.023, 0.034, 0.031]"/>
    <s v="64.54376762897766"/>
    <s v="[0.008, -0.023, -0.034, -0.031]"/>
  </r>
  <r>
    <x v="5482"/>
    <x v="3413"/>
    <x v="87"/>
    <n v="0"/>
    <s v="LINESTRING (8.665416418946899 62.16001612324547, 8.436242643914795 62.20870752031382)"/>
    <m/>
    <m/>
    <s v="0.0"/>
    <m/>
    <n v="0"/>
    <s v="13838.274275619538"/>
    <n v="0"/>
  </r>
  <r>
    <x v="5482"/>
    <x v="334"/>
    <x v="533"/>
    <n v="0"/>
    <s v="LINESTRING (8.896900162278033 62.11793348390825, 8.665416418946899 62.16001612324547)"/>
    <m/>
    <m/>
    <s v="0.0"/>
    <m/>
    <n v="0"/>
    <s v="13838.274275619538"/>
    <n v="0"/>
  </r>
  <r>
    <x v="5483"/>
    <x v="3472"/>
    <x v="534"/>
    <n v="0"/>
    <s v="LINESTRING (13.322650874412526 68.07627480325694, 13.182103334875222 67.98930236137221)"/>
    <m/>
    <m/>
    <s v="0.0"/>
    <m/>
    <n v="0"/>
    <s v="14206.539524385877"/>
    <n v="0"/>
  </r>
  <r>
    <x v="5483"/>
    <x v="611"/>
    <x v="0"/>
    <n v="0"/>
    <s v="LINESTRING (13.44341094269305 68.1054782195722, 13.322650874412526 68.07627480325694)"/>
    <m/>
    <m/>
    <s v="0.0"/>
    <m/>
    <n v="0"/>
    <s v="14206.539524385877"/>
    <n v="0"/>
  </r>
  <r>
    <x v="5484"/>
    <x v="5731"/>
    <x v="0"/>
    <n v="0"/>
    <s v="LINESTRING (20.763640438812857 69.52374882335086, 20.77071994165384 69.6716133949455)"/>
    <m/>
    <m/>
    <s v="0.0"/>
    <m/>
    <n v="0"/>
    <s v="12897.273664193312"/>
    <n v="0"/>
  </r>
  <r>
    <x v="5484"/>
    <x v="1361"/>
    <x v="0"/>
    <n v="0"/>
    <s v="LINESTRING (20.794657504185885 69.50943674594288, 20.763640438812857 69.52374882335086)"/>
    <m/>
    <m/>
    <s v="0.0"/>
    <m/>
    <n v="0"/>
    <s v="12897.273664193312"/>
    <n v="0"/>
  </r>
  <r>
    <x v="5485"/>
    <x v="536"/>
    <x v="0"/>
    <n v="0"/>
    <s v="LINESTRING (14.043019720032737 68.25909120699906, 13.831657786259864 68.20441416170827)"/>
    <m/>
    <m/>
    <s v="0.0"/>
    <m/>
    <n v="0"/>
    <s v="16432.770963112045"/>
    <n v="0"/>
  </r>
  <r>
    <x v="5485"/>
    <x v="1854"/>
    <x v="535"/>
    <n v="0"/>
    <s v="LINESTRING (14.287211744316973 68.24488248602316, 14.043019720032737 68.25909120699906)"/>
    <m/>
    <m/>
    <s v="0.0"/>
    <m/>
    <n v="0"/>
    <s v="16432.770963112045"/>
    <n v="0"/>
  </r>
  <r>
    <x v="5486"/>
    <x v="5652"/>
    <x v="0"/>
    <n v="0"/>
    <s v="LINESTRING (7.1139484251322855 59.84900605642048, 6.895602496925623 59.85981005726673)"/>
    <m/>
    <m/>
    <s v="0.0"/>
    <m/>
    <n v="0"/>
    <s v="17366.90531857906"/>
    <n v="0"/>
  </r>
  <r>
    <x v="5486"/>
    <x v="2009"/>
    <x v="0"/>
    <n v="0"/>
    <s v="LINESTRING (7.330717113007725 59.79160262757651, 7.1139484251322855 59.84900605642048)"/>
    <m/>
    <m/>
    <s v="0.0"/>
    <m/>
    <n v="0"/>
    <s v="17366.90531857906"/>
    <n v="0"/>
  </r>
  <r>
    <x v="5487"/>
    <x v="2369"/>
    <x v="0"/>
    <n v="0"/>
    <s v="LINESTRING (11.930686258490752 64.1917537358746, 12.135883887668536 64.28990587025604)"/>
    <m/>
    <m/>
    <s v="0.0"/>
    <m/>
    <n v="0"/>
    <s v="15612.84297523766"/>
    <n v="0"/>
  </r>
  <r>
    <x v="5487"/>
    <x v="2367"/>
    <x v="0"/>
    <n v="0"/>
    <s v="LINESTRING (11.72075273058356 64.13099957582696, 11.930686258490752 64.1917537358746)"/>
    <m/>
    <m/>
    <s v="0.0"/>
    <m/>
    <n v="0"/>
    <s v="15612.84297523766"/>
    <n v="0"/>
  </r>
  <r>
    <x v="5488"/>
    <x v="2463"/>
    <x v="0"/>
    <n v="0"/>
    <s v="LINESTRING (12.739794812948853 64.68717141666168, 12.949163658033704 64.80732800787334)"/>
    <m/>
    <m/>
    <s v="0.0"/>
    <m/>
    <n v="0"/>
    <s v="17988.19476979319"/>
    <n v="0"/>
  </r>
  <r>
    <x v="5488"/>
    <x v="2376"/>
    <x v="536"/>
    <n v="0"/>
    <s v="LINESTRING (12.526239665618132 64.5780260730179, 12.739794812948853 64.68717141666168)"/>
    <m/>
    <m/>
    <s v="0.0"/>
    <m/>
    <n v="0"/>
    <s v="17988.19476979319"/>
    <n v="0"/>
  </r>
  <r>
    <x v="5489"/>
    <x v="5768"/>
    <x v="0"/>
    <n v="0"/>
    <s v="LINESTRING (24.1825791250472 70.30083292243917, 24.404789284637584 70.34407129995954)"/>
    <m/>
    <m/>
    <s v="0.0"/>
    <m/>
    <n v="0"/>
    <s v="12788.33653785324"/>
    <n v="0"/>
  </r>
  <r>
    <x v="5489"/>
    <x v="5769"/>
    <x v="537"/>
    <n v="0"/>
    <s v="LINESTRING (23.985347499774132 70.21627303671912, 24.1825791250472 70.30083292243917)"/>
    <m/>
    <m/>
    <s v="0.0"/>
    <m/>
    <n v="0"/>
    <s v="12788.33653785324"/>
    <n v="0"/>
  </r>
  <r>
    <x v="5490"/>
    <x v="3475"/>
    <x v="0"/>
    <n v="0"/>
    <s v="LINESTRING (25.025676875090795 70.26213028130589, 25.0021546882971 70.15676479521835)"/>
    <m/>
    <m/>
    <s v="0.0"/>
    <m/>
    <n v="0"/>
    <s v="15957.952800708315"/>
    <n v="0"/>
  </r>
  <r>
    <x v="5490"/>
    <x v="3457"/>
    <x v="0"/>
    <n v="0"/>
    <s v="LINESTRING (25.04854831924976 70.36795835691326, 25.025676875090795 70.26213028130589)"/>
    <m/>
    <m/>
    <s v="0.0"/>
    <m/>
    <n v="0"/>
    <s v="15957.952800708315"/>
    <n v="0"/>
  </r>
  <r>
    <x v="5491"/>
    <x v="5770"/>
    <x v="538"/>
    <n v="0"/>
    <s v="LINESTRING (25.528298063350498 70.70042578366468, 25.637681254685262 70.7757493226982)"/>
    <m/>
    <m/>
    <s v="0.0"/>
    <m/>
    <n v="0"/>
    <s v="12188.381781344706"/>
    <n v="0"/>
  </r>
  <r>
    <x v="5491"/>
    <x v="5771"/>
    <x v="0"/>
    <n v="0"/>
    <s v="LINESTRING (25.414078488365057 70.64376594587867, 25.528298063350498 70.70042578366468)"/>
    <m/>
    <m/>
    <s v="0.0"/>
    <m/>
    <n v="0"/>
    <s v="12188.381781344706"/>
    <n v="0"/>
  </r>
  <r>
    <x v="5492"/>
    <x v="5772"/>
    <x v="0"/>
    <n v="0"/>
    <s v="LINESTRING (29.239183851956515 69.9623576862013, 29.39742621388858 69.9013447205116)"/>
    <m/>
    <m/>
    <s v="0.0"/>
    <m/>
    <n v="0"/>
    <s v="13953.288836851356"/>
    <n v="0"/>
  </r>
  <r>
    <x v="5492"/>
    <x v="5773"/>
    <x v="0"/>
    <n v="0"/>
    <s v="LINESTRING (29.068306997624443 70.01488193634793, 29.239183851956515 69.9623576862013)"/>
    <m/>
    <m/>
    <s v="0.0"/>
    <m/>
    <n v="0"/>
    <s v="13953.288836851356"/>
    <n v="0"/>
  </r>
  <r>
    <x v="5493"/>
    <x v="3536"/>
    <x v="0"/>
    <n v="0"/>
    <s v="LINESTRING (25.223759338168247 69.74761862246164, 25.363728536340723 69.61023322558282)"/>
    <m/>
    <m/>
    <s v="0.0"/>
    <m/>
    <n v="0"/>
    <s v="18372.848241192944"/>
    <n v="0"/>
  </r>
  <r>
    <x v="5493"/>
    <x v="3533"/>
    <x v="0"/>
    <n v="0"/>
    <s v="LINESTRING (25.101695603776474 69.89931502723377, 25.223759338168247 69.74761862246164)"/>
    <m/>
    <m/>
    <s v="0.0"/>
    <m/>
    <n v="0"/>
    <s v="18372.848241192944"/>
    <n v="0"/>
  </r>
  <r>
    <x v="5494"/>
    <x v="5774"/>
    <x v="0"/>
    <n v="0"/>
    <s v="LINESTRING (26.23561499014998 69.79636571026857, 26.436572990435245 69.82646732809687)"/>
    <m/>
    <m/>
    <s v="0.0"/>
    <m/>
    <n v="0"/>
    <s v="14074.529799990265"/>
    <n v="0"/>
  </r>
  <r>
    <x v="5494"/>
    <x v="5775"/>
    <x v="539"/>
    <n v="0"/>
    <s v="LINESTRING (26.054767375238633 69.71521099797158, 26.23561499014998 69.79636571026857)"/>
    <m/>
    <m/>
    <s v="0.0"/>
    <m/>
    <n v="0"/>
    <s v="14074.529799990265"/>
    <n v="0"/>
  </r>
  <r>
    <x v="5495"/>
    <x v="2306"/>
    <x v="540"/>
    <n v="0"/>
    <s v="LINESTRING (11.341359729323777 63.46009595018128, 11.541280521751471 63.4373230505893)"/>
    <m/>
    <m/>
    <s v="0.0"/>
    <m/>
    <n v="0"/>
    <s v="11551.631569352941"/>
    <n v="0"/>
  </r>
  <r>
    <x v="5495"/>
    <x v="3567"/>
    <x v="0"/>
    <n v="0"/>
    <s v="LINESTRING (11.143735040789572 63.464208826745086, 11.341359729323777 63.46009595018128)"/>
    <m/>
    <m/>
    <s v="0.0"/>
    <m/>
    <n v="0"/>
    <s v="11551.631569352941"/>
    <n v="0"/>
  </r>
  <r>
    <x v="5496"/>
    <x v="5776"/>
    <x v="541"/>
    <n v="0"/>
    <s v="LINESTRING (22.07217827411219 69.91665483957074, 22.316297324795876 69.92402872969325)"/>
    <m/>
    <m/>
    <s v="0.0"/>
    <m/>
    <n v="0"/>
    <s v="17691.23052826447"/>
    <n v="0"/>
  </r>
  <r>
    <x v="5496"/>
    <x v="5777"/>
    <x v="0"/>
    <n v="0"/>
    <s v="LINESTRING (21.837782600900077 69.88819727564075, 22.07217827411219 69.91665483957074)"/>
    <m/>
    <m/>
    <s v="0.0"/>
    <m/>
    <n v="0"/>
    <s v="17691.23052826447"/>
    <n v="0"/>
  </r>
  <r>
    <x v="5497"/>
    <x v="4629"/>
    <x v="542"/>
    <n v="0"/>
    <s v="LINESTRING (16.181366649375377 68.54108584475676, 15.97414178786607 68.53530252634204)"/>
    <m/>
    <m/>
    <s v="0.0"/>
    <m/>
    <n v="0"/>
    <s v="16283.804932249759"/>
    <n v="0"/>
  </r>
  <r>
    <x v="5497"/>
    <x v="3727"/>
    <x v="0"/>
    <n v="0"/>
    <s v="LINESTRING (16.37452447441072 68.5872042612848, 16.181366649375377 68.54108584475676)"/>
    <m/>
    <m/>
    <s v="0.0"/>
    <m/>
    <n v="0"/>
    <s v="16283.804932249759"/>
    <n v="0"/>
  </r>
  <r>
    <x v="5498"/>
    <x v="5778"/>
    <x v="0"/>
    <n v="0"/>
    <s v="LINESTRING (23.29700919876209 69.1317082265435, 23.30293337060009 69.01502338155424)"/>
    <m/>
    <m/>
    <s v="0.0"/>
    <m/>
    <n v="0"/>
    <s v="21122.366028351324"/>
    <n v="0"/>
  </r>
  <r>
    <x v="5498"/>
    <x v="5779"/>
    <x v="0"/>
    <n v="0"/>
    <s v="LINESTRING (23.287242721738693 69.33132117726834, 23.29700919876209 69.1317082265435)"/>
    <m/>
    <m/>
    <s v="0.0"/>
    <m/>
    <n v="0"/>
    <s v="21122.366028351324"/>
    <n v="0"/>
  </r>
  <r>
    <x v="5499"/>
    <x v="4015"/>
    <x v="0"/>
    <n v="0"/>
    <s v="LINESTRING (29.154634016894853 70.12289950667133, 29.453769833855137 70.09853256948116)"/>
    <m/>
    <m/>
    <s v="0.0"/>
    <m/>
    <n v="0"/>
    <s v="12495.911564780365"/>
    <n v="0"/>
  </r>
  <r>
    <x v="5499"/>
    <x v="4014"/>
    <x v="0"/>
    <n v="0"/>
    <s v="LINESTRING (28.85562545580789 70.14788721920041, 29.154634016894853 70.12289950667133)"/>
    <m/>
    <m/>
    <s v="0.0"/>
    <m/>
    <n v="0"/>
    <s v="12495.911564780365"/>
    <n v="0"/>
  </r>
  <r>
    <x v="5500"/>
    <x v="3436"/>
    <x v="543"/>
    <n v="0"/>
    <s v="LINESTRING (30.4309716954793 70.20643538559018, 30.767245185115 70.29026427562127)"/>
    <m/>
    <m/>
    <s v="0.0"/>
    <m/>
    <n v="0"/>
    <s v="18724.321164133016"/>
    <n v="0"/>
  </r>
  <r>
    <x v="5500"/>
    <x v="4016"/>
    <x v="0"/>
    <n v="0"/>
    <s v="LINESTRING (30.092891951456366 70.1401912043493, 30.4309716954793 70.20643538559018)"/>
    <m/>
    <m/>
    <s v="0.0"/>
    <m/>
    <n v="0"/>
    <s v="18724.321164133016"/>
    <n v="0"/>
  </r>
  <r>
    <x v="5501"/>
    <x v="5780"/>
    <x v="0"/>
    <n v="0"/>
    <s v="LINESTRING (15.731059977857198 67.55413225102376, 15.763179622659852 67.63997931711515)"/>
    <m/>
    <m/>
    <s v="0.0"/>
    <m/>
    <n v="0"/>
    <s v="11667.912640201068"/>
    <n v="0"/>
  </r>
  <r>
    <x v="5501"/>
    <x v="5781"/>
    <x v="0"/>
    <n v="0"/>
    <s v="LINESTRING (15.69444019617616 67.50303484069447, 15.731059977857198 67.55413225102376)"/>
    <m/>
    <m/>
    <s v="0.0"/>
    <m/>
    <n v="0"/>
    <s v="11667.912640201068"/>
    <n v="0"/>
  </r>
  <r>
    <x v="5502"/>
    <x v="2181"/>
    <x v="0"/>
    <n v="0"/>
    <s v="LINESTRING (9.198087480289185 63.21551553314849, 8.981183345112381 63.199839282154436)"/>
    <m/>
    <m/>
    <s v="0.0"/>
    <m/>
    <n v="0"/>
    <s v="12507.47468830385"/>
    <n v="0"/>
  </r>
  <r>
    <x v="5502"/>
    <x v="4307"/>
    <x v="544"/>
    <n v="0"/>
    <s v="LINESTRING (9.41096637996732 63.250988945317495, 9.198087480289185 63.21551553314849)"/>
    <m/>
    <m/>
    <s v="0.0"/>
    <m/>
    <n v="0"/>
    <s v="12507.47468830385"/>
    <n v="0"/>
  </r>
  <r>
    <x v="5503"/>
    <x v="1606"/>
    <x v="545"/>
    <n v="0"/>
    <s v="LINESTRING (9.41154520349861 62.17330886315008, 9.535044916992877 62.37598297377158)"/>
    <m/>
    <m/>
    <s v="0.0"/>
    <m/>
    <n v="0"/>
    <s v="18870.27767173504"/>
    <n v="0"/>
  </r>
  <r>
    <x v="5503"/>
    <x v="4556"/>
    <x v="546"/>
    <n v="0"/>
    <s v="LINESTRING (9.27150322143151 62.12361644675889, 9.41154520349861 62.17330886315008)"/>
    <m/>
    <m/>
    <s v="0.0"/>
    <m/>
    <n v="0"/>
    <s v="18870.27767173504"/>
    <n v="0"/>
  </r>
  <r>
    <x v="5504"/>
    <x v="1484"/>
    <x v="547"/>
    <n v="0"/>
    <s v="LINESTRING (15.980301035084524 68.03820181566877, 16.025461517496144 68.12932875300143)"/>
    <m/>
    <m/>
    <s v="0.0"/>
    <m/>
    <n v="0"/>
    <s v="11535.50774066956"/>
    <n v="0"/>
  </r>
  <r>
    <x v="5504"/>
    <x v="4607"/>
    <x v="0"/>
    <n v="0"/>
    <s v="LINESTRING (15.95599306875907 68.00081564867176, 15.980301035084524 68.03820181566877)"/>
    <m/>
    <m/>
    <s v="0.0"/>
    <m/>
    <n v="0"/>
    <s v="11535.50774066956"/>
    <n v="0"/>
  </r>
  <r>
    <x v="5505"/>
    <x v="5769"/>
    <x v="0"/>
    <n v="0"/>
    <s v="LINESTRING (23.78811587450107 70.13171315099908, 23.985347499774132 70.21627303671912)"/>
    <m/>
    <m/>
    <s v="0.0"/>
    <m/>
    <n v="0"/>
    <s v="12788.33653785324"/>
    <n v="0"/>
  </r>
  <r>
    <x v="5505"/>
    <x v="3452"/>
    <x v="0"/>
    <n v="0"/>
    <s v="LINESTRING (23.590884249228008 70.04715326527904, 23.78811587450107 70.13171315099908)"/>
    <m/>
    <m/>
    <s v="0.0"/>
    <m/>
    <n v="0"/>
    <s v="12788.33653785324"/>
    <n v="0"/>
  </r>
  <r>
    <x v="5506"/>
    <x v="5771"/>
    <x v="0"/>
    <n v="0"/>
    <s v="LINESTRING (25.299858913379612 70.58710610809266, 25.414078488365057 70.64376594587867)"/>
    <m/>
    <m/>
    <s v="0.0"/>
    <m/>
    <n v="0"/>
    <s v="12188.381781344706"/>
    <n v="0"/>
  </r>
  <r>
    <x v="5506"/>
    <x v="3458"/>
    <x v="0"/>
    <n v="0"/>
    <s v="LINESTRING (25.185639338394168 70.53044627030664, 25.299858913379612 70.58710610809266)"/>
    <m/>
    <m/>
    <s v="0.0"/>
    <m/>
    <n v="0"/>
    <s v="12188.381781344706"/>
    <n v="0"/>
  </r>
  <r>
    <x v="5507"/>
    <x v="5773"/>
    <x v="0"/>
    <n v="0"/>
    <s v="LINESTRING (28.897430143292368 70.06740618649458, 29.068306997624443 70.01488193634793)"/>
    <m/>
    <m/>
    <s v="0.0"/>
    <m/>
    <n v="0"/>
    <s v="13953.288836851356"/>
    <n v="0"/>
  </r>
  <r>
    <x v="5507"/>
    <x v="3492"/>
    <x v="548"/>
    <n v="0"/>
    <s v="LINESTRING (28.726553288960293 70.11993043664123, 28.897430143292368 70.06740618649458)"/>
    <m/>
    <m/>
    <s v="0.0"/>
    <m/>
    <n v="0"/>
    <s v="13953.288836851356"/>
    <n v="0"/>
  </r>
  <r>
    <x v="5508"/>
    <x v="5775"/>
    <x v="0"/>
    <n v="0"/>
    <s v="LINESTRING (25.873919760327293 69.6340562856746, 26.054767375238633 69.71521099797158)"/>
    <m/>
    <m/>
    <s v="0.0"/>
    <m/>
    <n v="0"/>
    <s v="14074.529799990265"/>
    <n v="0"/>
  </r>
  <r>
    <x v="5508"/>
    <x v="3546"/>
    <x v="0"/>
    <n v="0"/>
    <s v="LINESTRING (25.693072145415954 69.55290157337762, 25.873919760327293 69.6340562856746)"/>
    <m/>
    <m/>
    <s v="0.0"/>
    <m/>
    <n v="0"/>
    <s v="14074.529799990265"/>
    <n v="0"/>
  </r>
  <r>
    <x v="5509"/>
    <x v="5777"/>
    <x v="549"/>
    <n v="0"/>
    <s v="LINESTRING (21.60338692768796 69.85973971171074, 21.837782600900077 69.88819727564075)"/>
    <m/>
    <m/>
    <s v="0.0"/>
    <m/>
    <n v="0"/>
    <s v="17691.23052826447"/>
    <n v="0"/>
  </r>
  <r>
    <x v="5509"/>
    <x v="3637"/>
    <x v="0"/>
    <n v="0"/>
    <s v="LINESTRING (21.368991254475844 69.83128214778074, 21.60338692768796 69.85973971171074)"/>
    <m/>
    <m/>
    <s v="0.0"/>
    <m/>
    <n v="0"/>
    <s v="17691.23052826447"/>
    <n v="0"/>
  </r>
  <r>
    <x v="5510"/>
    <x v="5779"/>
    <x v="550"/>
    <n v="0"/>
    <s v="LINESTRING (23.277476244715295 69.53093412799316, 23.287242721738693 69.33132117726834)"/>
    <m/>
    <m/>
    <s v="0.0"/>
    <m/>
    <n v="0"/>
    <s v="21122.366028351324"/>
    <n v="0"/>
  </r>
  <r>
    <x v="5510"/>
    <x v="3783"/>
    <x v="0"/>
    <n v="0"/>
    <s v="LINESTRING (23.267709767691898 69.73054707871799, 23.277476244715295 69.53093412799316)"/>
    <m/>
    <m/>
    <s v="0.0"/>
    <m/>
    <n v="0"/>
    <s v="21122.366028351324"/>
    <n v="0"/>
  </r>
  <r>
    <x v="5511"/>
    <x v="5781"/>
    <x v="0"/>
    <n v="0"/>
    <s v="LINESTRING (15.657820414495122 67.45193743036518, 15.69444019617616 67.50303484069447)"/>
    <m/>
    <m/>
    <s v="0.0"/>
    <m/>
    <n v="0"/>
    <s v="11667.912640201068"/>
    <n v="0"/>
  </r>
  <r>
    <x v="5511"/>
    <x v="4031"/>
    <x v="0"/>
    <n v="0"/>
    <s v="LINESTRING (15.621200632814084 67.40084002003589, 15.657820414495122 67.45193743036518)"/>
    <m/>
    <m/>
    <s v="0.0"/>
    <m/>
    <n v="0"/>
    <s v="11667.912640201068"/>
    <n v="0"/>
  </r>
  <r>
    <x v="5512"/>
    <x v="3459"/>
    <x v="0"/>
    <n v="0"/>
    <s v="LINESTRING (24.626999444227966 70.3873096774799, 24.84920960381835 70.43054805500027)"/>
    <m/>
    <m/>
    <s v="0.0"/>
    <m/>
    <n v="0"/>
    <s v="12788.33653785324"/>
    <n v="0"/>
  </r>
  <r>
    <x v="5512"/>
    <x v="5768"/>
    <x v="551"/>
    <n v="0"/>
    <s v="LINESTRING (24.404789284637584 70.34407129995954, 24.626999444227966 70.3873096774799)"/>
    <m/>
    <m/>
    <s v="0.0"/>
    <m/>
    <n v="0"/>
    <s v="12788.33653785324"/>
    <n v="0"/>
  </r>
  <r>
    <x v="5513"/>
    <x v="4036"/>
    <x v="0"/>
    <n v="0"/>
    <s v="LINESTRING (25.747064446020026 70.85107286173172, 25.85644763735479 70.92639640076524)"/>
    <m/>
    <m/>
    <s v="0.0"/>
    <m/>
    <n v="0"/>
    <s v="12188.381781344706"/>
    <n v="0"/>
  </r>
  <r>
    <x v="5513"/>
    <x v="5770"/>
    <x v="0"/>
    <n v="0"/>
    <s v="LINESTRING (25.637681254685262 70.7757493226982, 25.747064446020026 70.85107286173172)"/>
    <m/>
    <m/>
    <s v="0.0"/>
    <m/>
    <n v="0"/>
    <s v="12188.381781344706"/>
    <n v="0"/>
  </r>
  <r>
    <x v="5514"/>
    <x v="4020"/>
    <x v="0"/>
    <n v="0"/>
    <s v="LINESTRING (29.555668575820647 69.8403317548219, 29.71391093775271 69.7793187891322)"/>
    <m/>
    <m/>
    <s v="0.0"/>
    <m/>
    <n v="0"/>
    <s v="13953.288836851356"/>
    <n v="0"/>
  </r>
  <r>
    <x v="5514"/>
    <x v="5772"/>
    <x v="0"/>
    <n v="0"/>
    <s v="LINESTRING (29.39742621388858 69.9013447205116, 29.555668575820647 69.8403317548219)"/>
    <m/>
    <m/>
    <s v="0.0"/>
    <m/>
    <n v="0"/>
    <s v="13953.288836851356"/>
    <n v="0"/>
  </r>
  <r>
    <x v="5515"/>
    <x v="3487"/>
    <x v="0"/>
    <n v="0"/>
    <s v="LINESTRING (26.637530990720506 69.85656894592516, 26.838488991005768 69.88667056375346)"/>
    <m/>
    <m/>
    <s v="0.0"/>
    <m/>
    <n v="0"/>
    <s v="14074.529799990265"/>
    <n v="0"/>
  </r>
  <r>
    <x v="5515"/>
    <x v="5774"/>
    <x v="0"/>
    <n v="0"/>
    <s v="LINESTRING (26.436572990435245 69.82646732809687, 26.637530990720506 69.85656894592516)"/>
    <m/>
    <m/>
    <s v="0.0"/>
    <m/>
    <n v="0"/>
    <s v="14074.529799990265"/>
    <n v="0"/>
  </r>
  <r>
    <x v="5516"/>
    <x v="3329"/>
    <x v="0"/>
    <n v="0"/>
    <s v="LINESTRING (22.560416375479562 69.93140261981577, 22.80453542616325 69.93877650993828)"/>
    <m/>
    <m/>
    <s v="0.0"/>
    <m/>
    <n v="0"/>
    <s v="17691.23052826447"/>
    <n v="0"/>
  </r>
  <r>
    <x v="5516"/>
    <x v="5776"/>
    <x v="0"/>
    <n v="0"/>
    <s v="LINESTRING (22.316297324795876 69.92402872969325, 22.560416375479562 69.93140261981577)"/>
    <m/>
    <m/>
    <s v="0.0"/>
    <m/>
    <n v="0"/>
    <s v="17691.23052826447"/>
    <n v="0"/>
  </r>
  <r>
    <x v="5517"/>
    <x v="5782"/>
    <x v="0"/>
    <n v="0"/>
    <s v="LINESTRING (23.308857542438094 68.89833853656498, 23.314781714276098 68.78165369157571)"/>
    <m/>
    <m/>
    <s v="0.0"/>
    <m/>
    <n v="0"/>
    <s v="21122.366028351324"/>
    <n v="0"/>
  </r>
  <r>
    <x v="5517"/>
    <x v="5778"/>
    <x v="0"/>
    <n v="0"/>
    <s v="LINESTRING (23.30293337060009 69.01502338155424, 23.308857542438094 68.89833853656498)"/>
    <m/>
    <m/>
    <s v="0.0"/>
    <m/>
    <n v="0"/>
    <s v="21122.366028351324"/>
    <n v="0"/>
  </r>
  <r>
    <x v="5518"/>
    <x v="1481"/>
    <x v="0"/>
    <n v="0"/>
    <s v="LINESTRING (15.795299267462507 67.72582638320654, 15.827418912265161 67.81167344929793)"/>
    <m/>
    <m/>
    <s v="0.0"/>
    <m/>
    <n v="0"/>
    <s v="11667.912640201068"/>
    <n v="0"/>
  </r>
  <r>
    <x v="5518"/>
    <x v="5780"/>
    <x v="0"/>
    <n v="0"/>
    <s v="LINESTRING (15.763179622659852 67.63997931711515, 15.795299267462507 67.72582638320654)"/>
    <m/>
    <m/>
    <s v="0.0"/>
    <m/>
    <n v="0"/>
    <s v="11667.912640201068"/>
    <n v="0"/>
  </r>
  <r>
    <x v="5519"/>
    <x v="3456"/>
    <x v="552"/>
    <n v="0"/>
    <s v="LINESTRING (23.314781714276098 68.78165369157571, 23.3177438001951 68.72331126908108)"/>
    <m/>
    <m/>
    <s v="0.0"/>
    <m/>
    <n v="0"/>
    <s v="10561.18301417566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442439-A92C-2045-8A53-F784005E31F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QPA5526" firstHeaderRow="1" firstDataRow="3" firstDataCol="1"/>
  <pivotFields count="12">
    <pivotField axis="axisRow" showAll="0">
      <items count="5521">
        <item x="1251"/>
        <item x="4892"/>
        <item x="137"/>
        <item x="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2303"/>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62"/>
        <item x="342"/>
        <item x="343"/>
        <item x="344"/>
        <item x="345"/>
        <item x="346"/>
        <item x="347"/>
        <item x="348"/>
        <item x="349"/>
        <item x="350"/>
        <item x="351"/>
        <item x="352"/>
        <item x="353"/>
        <item x="354"/>
        <item x="355"/>
        <item x="356"/>
        <item x="357"/>
        <item x="358"/>
        <item x="359"/>
        <item x="360"/>
        <item x="361"/>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2771"/>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5"/>
        <item x="593"/>
        <item x="594"/>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2439"/>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1486"/>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2168"/>
        <item x="958"/>
        <item x="2167"/>
        <item x="959"/>
        <item x="960"/>
        <item x="961"/>
        <item x="962"/>
        <item x="963"/>
        <item x="964"/>
        <item x="965"/>
        <item x="966"/>
        <item x="967"/>
        <item x="3929"/>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4042"/>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347"/>
        <item x="1164"/>
        <item x="1165"/>
        <item x="1166"/>
        <item x="1167"/>
        <item x="1168"/>
        <item x="1169"/>
        <item x="1170"/>
        <item x="1171"/>
        <item x="1172"/>
        <item x="1173"/>
        <item x="1174"/>
        <item x="3558"/>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2301"/>
        <item x="1295"/>
        <item x="1296"/>
        <item x="1297"/>
        <item x="1298"/>
        <item x="1299"/>
        <item x="1300"/>
        <item x="1301"/>
        <item x="1302"/>
        <item x="1303"/>
        <item x="1304"/>
        <item x="1305"/>
        <item x="1306"/>
        <item x="1307"/>
        <item x="1308"/>
        <item x="1309"/>
        <item x="1310"/>
        <item x="4033"/>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8"/>
        <item x="1349"/>
        <item x="1350"/>
        <item x="1351"/>
        <item x="1352"/>
        <item x="1409"/>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4276"/>
        <item x="1395"/>
        <item x="1396"/>
        <item x="1397"/>
        <item x="1398"/>
        <item x="1399"/>
        <item x="1400"/>
        <item x="1401"/>
        <item x="1402"/>
        <item x="1403"/>
        <item x="1404"/>
        <item x="1405"/>
        <item x="1406"/>
        <item x="1407"/>
        <item x="2430"/>
        <item x="1408"/>
        <item x="167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2071"/>
        <item x="1696"/>
        <item x="1525"/>
        <item x="1526"/>
        <item x="1527"/>
        <item x="1528"/>
        <item x="1529"/>
        <item x="1530"/>
        <item x="1531"/>
        <item x="1532"/>
        <item x="1533"/>
        <item x="1534"/>
        <item x="1535"/>
        <item x="1536"/>
        <item x="1537"/>
        <item x="1538"/>
        <item x="1539"/>
        <item x="1582"/>
        <item x="1540"/>
        <item x="1541"/>
        <item x="1542"/>
        <item x="1543"/>
        <item x="1544"/>
        <item x="1545"/>
        <item x="1546"/>
        <item x="1547"/>
        <item x="1548"/>
        <item x="1549"/>
        <item x="1550"/>
        <item x="1575"/>
        <item x="1551"/>
        <item x="1552"/>
        <item x="1820"/>
        <item x="1819"/>
        <item x="1553"/>
        <item x="1554"/>
        <item x="1555"/>
        <item x="1556"/>
        <item x="1557"/>
        <item x="1558"/>
        <item x="1559"/>
        <item x="1560"/>
        <item x="1561"/>
        <item x="1562"/>
        <item x="1563"/>
        <item x="1564"/>
        <item x="1565"/>
        <item x="1566"/>
        <item x="1567"/>
        <item x="1568"/>
        <item x="1569"/>
        <item x="1570"/>
        <item x="1571"/>
        <item x="1572"/>
        <item x="1573"/>
        <item x="1574"/>
        <item x="1576"/>
        <item x="1577"/>
        <item x="1578"/>
        <item x="1579"/>
        <item x="1580"/>
        <item x="1581"/>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80"/>
        <item x="1681"/>
        <item x="1682"/>
        <item x="1683"/>
        <item x="1684"/>
        <item x="1685"/>
        <item x="1686"/>
        <item x="1687"/>
        <item x="1688"/>
        <item x="1689"/>
        <item x="1690"/>
        <item x="1691"/>
        <item x="1692"/>
        <item x="1693"/>
        <item x="1694"/>
        <item x="1695"/>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36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2"/>
        <item x="2073"/>
        <item x="2074"/>
        <item x="2075"/>
        <item x="2076"/>
        <item x="2077"/>
        <item x="2078"/>
        <item x="2165"/>
        <item x="2079"/>
        <item x="2080"/>
        <item x="2123"/>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6"/>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2"/>
        <item x="2304"/>
        <item x="2305"/>
        <item x="2306"/>
        <item x="2307"/>
        <item x="2308"/>
        <item x="2309"/>
        <item x="2310"/>
        <item x="2311"/>
        <item x="2312"/>
        <item x="2313"/>
        <item x="2314"/>
        <item x="2315"/>
        <item x="2316"/>
        <item x="2774"/>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1"/>
        <item x="2432"/>
        <item x="2433"/>
        <item x="2434"/>
        <item x="2435"/>
        <item x="2436"/>
        <item x="2437"/>
        <item x="2438"/>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3080"/>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92"/>
        <item x="2688"/>
        <item x="2689"/>
        <item x="2690"/>
        <item x="2691"/>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2"/>
        <item x="2773"/>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905"/>
        <item x="2960"/>
        <item x="2907"/>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6"/>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3395"/>
        <item x="2952"/>
        <item x="2953"/>
        <item x="2954"/>
        <item x="2955"/>
        <item x="2956"/>
        <item x="2957"/>
        <item x="2958"/>
        <item x="2959"/>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5361"/>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67"/>
        <item x="3749"/>
        <item x="3750"/>
        <item x="3751"/>
        <item x="3752"/>
        <item x="3753"/>
        <item x="3754"/>
        <item x="3755"/>
        <item x="3756"/>
        <item x="3757"/>
        <item x="3758"/>
        <item x="3759"/>
        <item x="3760"/>
        <item x="3761"/>
        <item x="3762"/>
        <item x="3763"/>
        <item x="3764"/>
        <item x="3765"/>
        <item x="3766"/>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5302"/>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3"/>
        <item x="3862"/>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4"/>
        <item x="4035"/>
        <item x="4036"/>
        <item x="4037"/>
        <item x="4038"/>
        <item x="4039"/>
        <item x="4040"/>
        <item x="4041"/>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5437"/>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93"/>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761"/>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5033"/>
        <item x="5034"/>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73"/>
        <item x="5012"/>
        <item x="5227"/>
        <item x="5013"/>
        <item x="5014"/>
        <item x="5015"/>
        <item x="5016"/>
        <item x="5017"/>
        <item x="5018"/>
        <item x="5019"/>
        <item x="5020"/>
        <item x="5021"/>
        <item x="5022"/>
        <item x="5023"/>
        <item x="5032"/>
        <item x="5024"/>
        <item x="5025"/>
        <item x="5026"/>
        <item x="5027"/>
        <item x="5028"/>
        <item x="5029"/>
        <item x="5030"/>
        <item x="5031"/>
        <item x="5035"/>
        <item x="5036"/>
        <item x="5037"/>
        <item x="5038"/>
        <item x="5039"/>
        <item x="5040"/>
        <item x="5041"/>
        <item x="5042"/>
        <item x="5043"/>
        <item x="5044"/>
        <item x="5045"/>
        <item x="5046"/>
        <item x="5047"/>
        <item x="5048"/>
        <item x="5049"/>
        <item x="5050"/>
        <item x="5188"/>
        <item x="5051"/>
        <item x="5115"/>
        <item x="5052"/>
        <item x="5053"/>
        <item x="5054"/>
        <item x="5055"/>
        <item x="5056"/>
        <item x="5057"/>
        <item x="5058"/>
        <item x="5059"/>
        <item x="5060"/>
        <item x="5061"/>
        <item x="5062"/>
        <item x="5063"/>
        <item x="5064"/>
        <item x="5065"/>
        <item x="5066"/>
        <item x="5067"/>
        <item x="5068"/>
        <item x="5069"/>
        <item x="5070"/>
        <item x="5071"/>
        <item x="5072"/>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224"/>
        <item x="5226"/>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5"/>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t="default"/>
      </items>
    </pivotField>
    <pivotField axis="axisCol" showAll="0">
      <items count="5784">
        <item x="1664"/>
        <item x="381"/>
        <item x="382"/>
        <item x="369"/>
        <item x="3757"/>
        <item x="595"/>
        <item x="2"/>
        <item x="0"/>
        <item x="3"/>
        <item x="6"/>
        <item x="11"/>
        <item x="7"/>
        <item x="8"/>
        <item x="10"/>
        <item x="13"/>
        <item x="14"/>
        <item x="9"/>
        <item x="16"/>
        <item x="19"/>
        <item x="21"/>
        <item x="985"/>
        <item x="20"/>
        <item x="23"/>
        <item x="22"/>
        <item x="25"/>
        <item x="28"/>
        <item x="33"/>
        <item x="36"/>
        <item x="31"/>
        <item x="12"/>
        <item x="41"/>
        <item x="42"/>
        <item x="43"/>
        <item x="48"/>
        <item x="49"/>
        <item x="50"/>
        <item x="5"/>
        <item x="15"/>
        <item x="24"/>
        <item x="27"/>
        <item x="26"/>
        <item x="56"/>
        <item x="61"/>
        <item x="63"/>
        <item x="60"/>
        <item x="62"/>
        <item x="57"/>
        <item x="64"/>
        <item x="65"/>
        <item x="59"/>
        <item x="54"/>
        <item x="69"/>
        <item x="74"/>
        <item x="79"/>
        <item x="70"/>
        <item x="71"/>
        <item x="85"/>
        <item x="84"/>
        <item x="72"/>
        <item x="88"/>
        <item x="89"/>
        <item x="73"/>
        <item x="75"/>
        <item x="76"/>
        <item x="92"/>
        <item x="91"/>
        <item x="77"/>
        <item x="94"/>
        <item x="95"/>
        <item x="78"/>
        <item x="80"/>
        <item x="81"/>
        <item x="98"/>
        <item x="82"/>
        <item x="100"/>
        <item x="101"/>
        <item x="83"/>
        <item x="104"/>
        <item x="107"/>
        <item x="105"/>
        <item x="117"/>
        <item x="111"/>
        <item x="112"/>
        <item x="113"/>
        <item x="116"/>
        <item x="120"/>
        <item x="123"/>
        <item x="125"/>
        <item x="132"/>
        <item x="130"/>
        <item x="129"/>
        <item x="140"/>
        <item x="144"/>
        <item x="147"/>
        <item x="145"/>
        <item x="153"/>
        <item x="156"/>
        <item x="160"/>
        <item x="163"/>
        <item x="161"/>
        <item x="165"/>
        <item x="168"/>
        <item x="166"/>
        <item x="171"/>
        <item x="51"/>
        <item x="178"/>
        <item x="183"/>
        <item x="186"/>
        <item x="187"/>
        <item x="17"/>
        <item x="18"/>
        <item x="184"/>
        <item x="196"/>
        <item x="194"/>
        <item x="199"/>
        <item x="201"/>
        <item x="193"/>
        <item x="203"/>
        <item x="209"/>
        <item x="212"/>
        <item x="214"/>
        <item x="216"/>
        <item x="217"/>
        <item x="218"/>
        <item x="220"/>
        <item x="222"/>
        <item x="223"/>
        <item x="225"/>
        <item x="228"/>
        <item x="230"/>
        <item x="231"/>
        <item x="233"/>
        <item x="235"/>
        <item x="237"/>
        <item x="239"/>
        <item x="241"/>
        <item x="246"/>
        <item x="108"/>
        <item x="250"/>
        <item x="109"/>
        <item x="252"/>
        <item x="253"/>
        <item x="254"/>
        <item x="255"/>
        <item x="256"/>
        <item x="257"/>
        <item x="258"/>
        <item x="259"/>
        <item x="261"/>
        <item x="264"/>
        <item x="265"/>
        <item x="266"/>
        <item x="267"/>
        <item x="268"/>
        <item x="157"/>
        <item x="271"/>
        <item x="155"/>
        <item x="154"/>
        <item x="158"/>
        <item x="170"/>
        <item x="277"/>
        <item x="275"/>
        <item x="280"/>
        <item x="282"/>
        <item x="284"/>
        <item x="288"/>
        <item x="172"/>
        <item x="281"/>
        <item x="293"/>
        <item x="295"/>
        <item x="298"/>
        <item x="301"/>
        <item x="303"/>
        <item x="304"/>
        <item x="305"/>
        <item x="306"/>
        <item x="308"/>
        <item x="312"/>
        <item x="313"/>
        <item x="315"/>
        <item x="311"/>
        <item x="189"/>
        <item x="182"/>
        <item x="188"/>
        <item x="191"/>
        <item x="179"/>
        <item x="321"/>
        <item x="317"/>
        <item x="316"/>
        <item x="322"/>
        <item x="318"/>
        <item x="180"/>
        <item x="327"/>
        <item x="330"/>
        <item x="331"/>
        <item x="332"/>
        <item x="328"/>
        <item x="329"/>
        <item x="333"/>
        <item x="278"/>
        <item x="335"/>
        <item x="337"/>
        <item x="341"/>
        <item x="344"/>
        <item x="342"/>
        <item x="346"/>
        <item x="350"/>
        <item x="352"/>
        <item x="351"/>
        <item x="348"/>
        <item x="347"/>
        <item x="67"/>
        <item x="355"/>
        <item x="68"/>
        <item x="359"/>
        <item x="204"/>
        <item x="364"/>
        <item x="367"/>
        <item x="224"/>
        <item x="370"/>
        <item x="373"/>
        <item x="374"/>
        <item x="366"/>
        <item x="368"/>
        <item x="376"/>
        <item x="377"/>
        <item x="383"/>
        <item x="371"/>
        <item x="385"/>
        <item x="336"/>
        <item x="387"/>
        <item x="389"/>
        <item x="393"/>
        <item x="173"/>
        <item x="396"/>
        <item x="399"/>
        <item x="397"/>
        <item x="398"/>
        <item x="400"/>
        <item x="401"/>
        <item x="405"/>
        <item x="408"/>
        <item x="406"/>
        <item x="410"/>
        <item x="411"/>
        <item x="273"/>
        <item x="136"/>
        <item x="414"/>
        <item x="141"/>
        <item x="143"/>
        <item x="417"/>
        <item x="379"/>
        <item x="418"/>
        <item x="424"/>
        <item x="149"/>
        <item x="419"/>
        <item x="380"/>
        <item x="426"/>
        <item x="213"/>
        <item x="215"/>
        <item x="219"/>
        <item x="226"/>
        <item x="229"/>
        <item x="232"/>
        <item x="245"/>
        <item x="251"/>
        <item x="249"/>
        <item x="360"/>
        <item x="205"/>
        <item x="363"/>
        <item x="362"/>
        <item x="372"/>
        <item x="375"/>
        <item x="300"/>
        <item x="86"/>
        <item x="90"/>
        <item x="87"/>
        <item x="103"/>
        <item x="99"/>
        <item x="102"/>
        <item x="97"/>
        <item x="439"/>
        <item x="440"/>
        <item x="442"/>
        <item x="444"/>
        <item x="340"/>
        <item x="388"/>
        <item x="391"/>
        <item x="449"/>
        <item x="452"/>
        <item x="450"/>
        <item x="451"/>
        <item x="453"/>
        <item x="443"/>
        <item x="93"/>
        <item x="96"/>
        <item x="441"/>
        <item x="339"/>
        <item x="338"/>
        <item x="390"/>
        <item x="457"/>
        <item x="392"/>
        <item x="459"/>
        <item x="3750"/>
        <item x="456"/>
        <item x="464"/>
        <item x="470"/>
        <item x="474"/>
        <item x="475"/>
        <item x="469"/>
        <item x="471"/>
        <item x="127"/>
        <item x="128"/>
        <item x="386"/>
        <item x="480"/>
        <item x="485"/>
        <item x="489"/>
        <item x="4154"/>
        <item x="491"/>
        <item x="494"/>
        <item x="492"/>
        <item x="493"/>
        <item x="495"/>
        <item x="420"/>
        <item x="498"/>
        <item x="500"/>
        <item x="433"/>
        <item x="434"/>
        <item x="499"/>
        <item x="242"/>
        <item x="435"/>
        <item x="503"/>
        <item x="506"/>
        <item x="508"/>
        <item x="504"/>
        <item x="507"/>
        <item x="512"/>
        <item x="510"/>
        <item x="511"/>
        <item x="516"/>
        <item x="520"/>
        <item x="524"/>
        <item x="527"/>
        <item x="528"/>
        <item x="530"/>
        <item x="532"/>
        <item x="531"/>
        <item x="534"/>
        <item x="535"/>
        <item x="537"/>
        <item x="539"/>
        <item x="538"/>
        <item x="1168"/>
        <item x="541"/>
        <item x="542"/>
        <item x="540"/>
        <item x="543"/>
        <item x="545"/>
        <item x="546"/>
        <item x="550"/>
        <item x="378"/>
        <item x="556"/>
        <item x="559"/>
        <item x="558"/>
        <item x="560"/>
        <item x="563"/>
        <item x="564"/>
        <item x="561"/>
        <item x="106"/>
        <item x="110"/>
        <item x="384"/>
        <item x="437"/>
        <item x="567"/>
        <item x="247"/>
        <item x="571"/>
        <item x="572"/>
        <item x="570"/>
        <item x="574"/>
        <item x="575"/>
        <item x="248"/>
        <item x="576"/>
        <item x="577"/>
        <item x="573"/>
        <item x="415"/>
        <item x="416"/>
        <item x="458"/>
        <item x="721"/>
        <item x="581"/>
        <item x="583"/>
        <item x="586"/>
        <item x="588"/>
        <item x="584"/>
        <item x="585"/>
        <item x="587"/>
        <item x="593"/>
        <item x="596"/>
        <item x="565"/>
        <item x="566"/>
        <item x="557"/>
        <item x="562"/>
        <item x="601"/>
        <item x="602"/>
        <item x="600"/>
        <item x="605"/>
        <item x="604"/>
        <item x="568"/>
        <item x="533"/>
        <item x="608"/>
        <item x="609"/>
        <item x="610"/>
        <item x="578"/>
        <item x="612"/>
        <item x="614"/>
        <item x="617"/>
        <item x="621"/>
        <item x="623"/>
        <item x="622"/>
        <item x="625"/>
        <item x="626"/>
        <item x="627"/>
        <item x="628"/>
        <item x="519"/>
        <item x="629"/>
        <item x="624"/>
        <item x="636"/>
        <item x="637"/>
        <item x="638"/>
        <item x="640"/>
        <item x="641"/>
        <item x="644"/>
        <item x="639"/>
        <item x="647"/>
        <item x="642"/>
        <item x="643"/>
        <item x="521"/>
        <item x="569"/>
        <item x="526"/>
        <item x="653"/>
        <item x="659"/>
        <item x="662"/>
        <item x="665"/>
        <item x="668"/>
        <item x="666"/>
        <item x="667"/>
        <item x="671"/>
        <item x="672"/>
        <item x="675"/>
        <item x="678"/>
        <item x="676"/>
        <item x="677"/>
        <item x="679"/>
        <item x="488"/>
        <item x="438"/>
        <item x="684"/>
        <item x="687"/>
        <item x="688"/>
        <item x="689"/>
        <item x="686"/>
        <item x="692"/>
        <item x="696"/>
        <item x="695"/>
        <item x="700"/>
        <item x="697"/>
        <item x="701"/>
        <item x="703"/>
        <item x="702"/>
        <item x="234"/>
        <item x="705"/>
        <item x="706"/>
        <item x="238"/>
        <item x="707"/>
        <item x="708"/>
        <item x="709"/>
        <item x="240"/>
        <item x="712"/>
        <item x="236"/>
        <item x="710"/>
        <item x="714"/>
        <item x="716"/>
        <item x="718"/>
        <item x="3313"/>
        <item x="717"/>
        <item x="711"/>
        <item x="719"/>
        <item x="365"/>
        <item x="221"/>
        <item x="722"/>
        <item x="725"/>
        <item x="723"/>
        <item x="731"/>
        <item x="732"/>
        <item x="436"/>
        <item x="734"/>
        <item x="735"/>
        <item x="736"/>
        <item x="733"/>
        <item x="739"/>
        <item x="741"/>
        <item x="44"/>
        <item x="45"/>
        <item x="724"/>
        <item x="746"/>
        <item x="737"/>
        <item x="742"/>
        <item x="743"/>
        <item x="738"/>
        <item x="740"/>
        <item x="47"/>
        <item x="754"/>
        <item x="749"/>
        <item x="753"/>
        <item x="744"/>
        <item x="751"/>
        <item x="745"/>
        <item x="747"/>
        <item x="748"/>
        <item x="730"/>
        <item x="728"/>
        <item x="757"/>
        <item x="759"/>
        <item x="262"/>
        <item x="767"/>
        <item x="758"/>
        <item x="762"/>
        <item x="761"/>
        <item x="764"/>
        <item x="770"/>
        <item x="760"/>
        <item x="263"/>
        <item x="766"/>
        <item x="772"/>
        <item x="775"/>
        <item x="774"/>
        <item x="779"/>
        <item x="776"/>
        <item x="777"/>
        <item x="782"/>
        <item x="783"/>
        <item x="781"/>
        <item x="763"/>
        <item x="778"/>
        <item x="773"/>
        <item x="788"/>
        <item x="786"/>
        <item x="789"/>
        <item x="787"/>
        <item x="768"/>
        <item x="769"/>
        <item x="792"/>
        <item x="791"/>
        <item x="785"/>
        <item x="765"/>
        <item x="784"/>
        <item x="793"/>
        <item x="799"/>
        <item x="795"/>
        <item x="803"/>
        <item x="806"/>
        <item x="808"/>
        <item x="809"/>
        <item x="810"/>
        <item x="812"/>
        <item x="811"/>
        <item x="814"/>
        <item x="818"/>
        <item x="822"/>
        <item x="823"/>
        <item x="826"/>
        <item x="827"/>
        <item x="829"/>
        <item x="830"/>
        <item x="114"/>
        <item x="824"/>
        <item x="831"/>
        <item x="832"/>
        <item x="115"/>
        <item x="833"/>
        <item x="834"/>
        <item x="837"/>
        <item x="836"/>
        <item x="119"/>
        <item x="118"/>
        <item x="422"/>
        <item x="210"/>
        <item x="835"/>
        <item x="423"/>
        <item x="211"/>
        <item x="839"/>
        <item x="2638"/>
        <item x="854"/>
        <item x="862"/>
        <item x="867"/>
        <item x="872"/>
        <item x="877"/>
        <item x="880"/>
        <item x="878"/>
        <item x="875"/>
        <item x="873"/>
        <item x="884"/>
        <item x="889"/>
        <item x="319"/>
        <item x="894"/>
        <item x="895"/>
        <item x="896"/>
        <item x="320"/>
        <item x="899"/>
        <item x="900"/>
        <item x="901"/>
        <item x="904"/>
        <item x="905"/>
        <item x="902"/>
        <item x="907"/>
        <item x="906"/>
        <item x="909"/>
        <item x="910"/>
        <item x="912"/>
        <item x="913"/>
        <item x="916"/>
        <item x="914"/>
        <item x="921"/>
        <item x="923"/>
        <item x="929"/>
        <item x="931"/>
        <item x="932"/>
        <item x="926"/>
        <item x="849"/>
        <item x="936"/>
        <item x="937"/>
        <item x="940"/>
        <item x="943"/>
        <item x="945"/>
        <item x="946"/>
        <item x="948"/>
        <item x="949"/>
        <item x="950"/>
        <item x="951"/>
        <item x="952"/>
        <item x="953"/>
        <item x="956"/>
        <item x="964"/>
        <item x="680"/>
        <item x="968"/>
        <item x="972"/>
        <item x="975"/>
        <item x="980"/>
        <item x="982"/>
        <item x="981"/>
        <item x="53"/>
        <item x="55"/>
        <item x="2921"/>
        <item x="986"/>
        <item x="989"/>
        <item x="992"/>
        <item x="995"/>
        <item x="987"/>
        <item x="988"/>
        <item x="1003"/>
        <item x="1009"/>
        <item x="1012"/>
        <item x="1010"/>
        <item x="52"/>
        <item x="1014"/>
        <item x="1017"/>
        <item x="185"/>
        <item x="1018"/>
        <item x="1"/>
        <item x="1011"/>
        <item x="190"/>
        <item x="1021"/>
        <item x="4"/>
        <item x="1024"/>
        <item x="1025"/>
        <item x="1026"/>
        <item x="1027"/>
        <item x="1028"/>
        <item x="1031"/>
        <item x="1029"/>
        <item x="1034"/>
        <item x="1032"/>
        <item x="1037"/>
        <item x="1040"/>
        <item x="1038"/>
        <item x="1041"/>
        <item x="1042"/>
        <item x="1043"/>
        <item x="1045"/>
        <item x="1048"/>
        <item x="1046"/>
        <item x="1049"/>
        <item x="1051"/>
        <item x="1050"/>
        <item x="1055"/>
        <item x="1059"/>
        <item x="1061"/>
        <item x="1062"/>
        <item x="1065"/>
        <item x="1067"/>
        <item x="1063"/>
        <item x="1056"/>
        <item x="1071"/>
        <item x="1074"/>
        <item x="1072"/>
        <item x="1076"/>
        <item x="1077"/>
        <item x="1081"/>
        <item x="1060"/>
        <item x="1078"/>
        <item x="1085"/>
        <item x="1086"/>
        <item x="1089"/>
        <item x="1083"/>
        <item x="1084"/>
        <item x="1092"/>
        <item x="1094"/>
        <item x="1097"/>
        <item x="1095"/>
        <item x="1053"/>
        <item x="1054"/>
        <item x="1100"/>
        <item x="1103"/>
        <item x="1101"/>
        <item x="1106"/>
        <item x="1108"/>
        <item x="1109"/>
        <item x="1110"/>
        <item x="1111"/>
        <item x="1107"/>
        <item x="1120"/>
        <item x="1075"/>
        <item x="1127"/>
        <item x="1128"/>
        <item x="1130"/>
        <item x="1129"/>
        <item x="1134"/>
        <item x="1119"/>
        <item x="1137"/>
        <item x="1039"/>
        <item x="1143"/>
        <item x="1146"/>
        <item x="1117"/>
        <item x="1148"/>
        <item x="1122"/>
        <item x="1052"/>
        <item x="1154"/>
        <item x="927"/>
        <item x="1121"/>
        <item x="1058"/>
        <item x="1155"/>
        <item x="1156"/>
        <item x="1166"/>
        <item x="1161"/>
        <item x="1977"/>
        <item x="1167"/>
        <item x="1163"/>
        <item x="1169"/>
        <item x="1173"/>
        <item x="1176"/>
        <item x="1179"/>
        <item x="876"/>
        <item x="881"/>
        <item x="1181"/>
        <item x="879"/>
        <item x="1189"/>
        <item x="893"/>
        <item x="874"/>
        <item x="885"/>
        <item x="1194"/>
        <item x="883"/>
        <item x="591"/>
        <item x="1197"/>
        <item x="1204"/>
        <item x="592"/>
        <item x="1206"/>
        <item x="1208"/>
        <item x="1210"/>
        <item x="1212"/>
        <item x="1219"/>
        <item x="1221"/>
        <item x="1220"/>
        <item x="1223"/>
        <item x="133"/>
        <item x="134"/>
        <item x="1230"/>
        <item x="1235"/>
        <item x="1237"/>
        <item x="1238"/>
        <item x="1240"/>
        <item x="1242"/>
        <item x="1243"/>
        <item x="1245"/>
        <item x="1247"/>
        <item x="1249"/>
        <item x="1250"/>
        <item x="1251"/>
        <item x="1253"/>
        <item x="1255"/>
        <item x="1256"/>
        <item x="1257"/>
        <item x="1263"/>
        <item x="1267"/>
        <item x="1270"/>
        <item x="852"/>
        <item x="871"/>
        <item x="860"/>
        <item x="868"/>
        <item x="870"/>
        <item x="1278"/>
        <item x="858"/>
        <item x="855"/>
        <item x="882"/>
        <item x="851"/>
        <item x="853"/>
        <item x="856"/>
        <item x="887"/>
        <item x="1282"/>
        <item x="1283"/>
        <item x="857"/>
        <item x="890"/>
        <item x="886"/>
        <item x="861"/>
        <item x="892"/>
        <item x="863"/>
        <item x="1279"/>
        <item x="1013"/>
        <item x="1281"/>
        <item x="865"/>
        <item x="1285"/>
        <item x="1287"/>
        <item x="864"/>
        <item x="866"/>
        <item x="891"/>
        <item x="888"/>
        <item x="1292"/>
        <item x="1293"/>
        <item x="1295"/>
        <item x="1274"/>
        <item x="1296"/>
        <item x="859"/>
        <item x="1297"/>
        <item x="2802"/>
        <item x="1298"/>
        <item x="2800"/>
        <item x="1291"/>
        <item x="1294"/>
        <item x="1289"/>
        <item x="1280"/>
        <item x="1302"/>
        <item x="1284"/>
        <item x="1301"/>
        <item x="1306"/>
        <item x="1309"/>
        <item x="869"/>
        <item x="1313"/>
        <item x="1069"/>
        <item x="1182"/>
        <item x="1318"/>
        <item x="361"/>
        <item x="1319"/>
        <item x="1321"/>
        <item x="1320"/>
        <item x="1317"/>
        <item x="1322"/>
        <item x="1185"/>
        <item x="1325"/>
        <item x="1327"/>
        <item x="2516"/>
        <item x="1311"/>
        <item x="1330"/>
        <item x="1307"/>
        <item x="1331"/>
        <item x="1332"/>
        <item x="1336"/>
        <item x="1337"/>
        <item x="1335"/>
        <item x="1334"/>
        <item x="1340"/>
        <item x="1305"/>
        <item x="1333"/>
        <item x="1342"/>
        <item x="1343"/>
        <item x="1338"/>
        <item x="1064"/>
        <item x="1347"/>
        <item x="1352"/>
        <item x="1066"/>
        <item x="1350"/>
        <item x="993"/>
        <item x="1349"/>
        <item x="1328"/>
        <item x="1359"/>
        <item x="1362"/>
        <item x="1367"/>
        <item x="1268"/>
        <item x="1370"/>
        <item x="1371"/>
        <item x="1131"/>
        <item x="1099"/>
        <item x="1098"/>
        <item x="1102"/>
        <item x="1379"/>
        <item x="1093"/>
        <item x="1222"/>
        <item x="1273"/>
        <item x="1272"/>
        <item x="1087"/>
        <item x="1090"/>
        <item x="1386"/>
        <item x="1385"/>
        <item x="1388"/>
        <item x="1390"/>
        <item x="1391"/>
        <item x="1393"/>
        <item x="1398"/>
        <item x="1399"/>
        <item x="1380"/>
        <item x="1404"/>
        <item x="1175"/>
        <item x="1408"/>
        <item x="1409"/>
        <item x="1413"/>
        <item x="1412"/>
        <item x="1424"/>
        <item x="1620"/>
        <item x="813"/>
        <item x="807"/>
        <item x="1429"/>
        <item x="1493"/>
        <item x="1433"/>
        <item x="1436"/>
        <item x="1438"/>
        <item x="1441"/>
        <item x="1439"/>
        <item x="4602"/>
        <item x="4601"/>
        <item x="1430"/>
        <item x="1444"/>
        <item x="1449"/>
        <item x="1452"/>
        <item x="1231"/>
        <item x="1232"/>
        <item x="1454"/>
        <item x="1456"/>
        <item x="1455"/>
        <item x="1457"/>
        <item x="1460"/>
        <item x="1458"/>
        <item x="1462"/>
        <item x="1459"/>
        <item x="1461"/>
        <item x="1463"/>
        <item x="1465"/>
        <item x="1471"/>
        <item x="1474"/>
        <item x="1476"/>
        <item x="1477"/>
        <item x="1472"/>
        <item x="1475"/>
        <item x="1473"/>
        <item x="1480"/>
        <item x="1483"/>
        <item x="1486"/>
        <item x="589"/>
        <item x="590"/>
        <item x="1490"/>
        <item x="1496"/>
        <item x="1499"/>
        <item x="1502"/>
        <item x="1500"/>
        <item x="1504"/>
        <item x="1507"/>
        <item x="1505"/>
        <item x="1509"/>
        <item x="1512"/>
        <item x="1510"/>
        <item x="1513"/>
        <item x="1515"/>
        <item x="1516"/>
        <item x="1518"/>
        <item x="1520"/>
        <item x="1514"/>
        <item x="1522"/>
        <item x="1526"/>
        <item x="1523"/>
        <item x="1527"/>
        <item x="1530"/>
        <item x="1528"/>
        <item x="1532"/>
        <item x="1535"/>
        <item x="1536"/>
        <item x="1538"/>
        <item x="1539"/>
        <item x="1540"/>
        <item x="1533"/>
        <item x="1542"/>
        <item x="1546"/>
        <item x="1543"/>
        <item x="1547"/>
        <item x="1550"/>
        <item x="1548"/>
        <item x="1551"/>
        <item x="1554"/>
        <item x="1552"/>
        <item x="1488"/>
        <item x="1556"/>
        <item x="1557"/>
        <item x="1489"/>
        <item x="395"/>
        <item x="1487"/>
        <item x="825"/>
        <item x="1561"/>
        <item x="1562"/>
        <item x="1563"/>
        <item x="658"/>
        <item x="1571"/>
        <item x="660"/>
        <item x="1793"/>
        <item x="1564"/>
        <item x="1574"/>
        <item x="1565"/>
        <item x="1569"/>
        <item x="1566"/>
        <item x="1570"/>
        <item x="1576"/>
        <item x="1579"/>
        <item x="1577"/>
        <item x="1857"/>
        <item x="2345"/>
        <item x="1581"/>
        <item x="1584"/>
        <item x="1582"/>
        <item x="1414"/>
        <item x="1588"/>
        <item x="1586"/>
        <item x="1590"/>
        <item x="1593"/>
        <item x="1591"/>
        <item x="1595"/>
        <item x="1598"/>
        <item x="1596"/>
        <item x="1600"/>
        <item x="1603"/>
        <item x="1601"/>
        <item x="1605"/>
        <item x="1592"/>
        <item x="1597"/>
        <item x="1594"/>
        <item x="1602"/>
        <item x="1599"/>
        <item x="1506"/>
        <item x="1508"/>
        <item x="1611"/>
        <item x="1612"/>
        <item x="1613"/>
        <item x="1614"/>
        <item x="3471"/>
        <item x="1616"/>
        <item x="1445"/>
        <item x="1448"/>
        <item x="1447"/>
        <item x="1529"/>
        <item x="1531"/>
        <item x="1544"/>
        <item x="1545"/>
        <item x="1621"/>
        <item x="1622"/>
        <item x="1623"/>
        <item x="1511"/>
        <item x="1624"/>
        <item x="1428"/>
        <item x="1427"/>
        <item x="1519"/>
        <item x="1521"/>
        <item x="1629"/>
        <item x="1632"/>
        <item x="1631"/>
        <item x="1633"/>
        <item x="1636"/>
        <item x="1637"/>
        <item x="1634"/>
        <item x="1640"/>
        <item x="1643"/>
        <item x="1642"/>
        <item x="1646"/>
        <item x="1649"/>
        <item x="227"/>
        <item x="1652"/>
        <item x="1647"/>
        <item x="1638"/>
        <item x="1630"/>
        <item x="1635"/>
        <item x="1639"/>
        <item x="1648"/>
        <item x="1657"/>
        <item x="1659"/>
        <item x="1660"/>
        <item x="1663"/>
        <item x="1658"/>
        <item x="1656"/>
        <item x="1662"/>
        <item x="2234"/>
        <item x="1665"/>
        <item x="1667"/>
        <item x="2235"/>
        <item x="2240"/>
        <item x="2239"/>
        <item x="159"/>
        <item x="1670"/>
        <item x="1673"/>
        <item x="1674"/>
        <item x="1672"/>
        <item x="1677"/>
        <item x="1678"/>
        <item x="1681"/>
        <item x="1680"/>
        <item x="1679"/>
        <item x="1683"/>
        <item x="1675"/>
        <item x="1682"/>
        <item x="996"/>
        <item x="1685"/>
        <item x="994"/>
        <item x="997"/>
        <item x="1684"/>
        <item x="1691"/>
        <item x="1693"/>
        <item x="1694"/>
        <item x="1687"/>
        <item x="1395"/>
        <item x="1698"/>
        <item x="1701"/>
        <item x="1704"/>
        <item x="1707"/>
        <item x="1711"/>
        <item x="1714"/>
        <item x="1716"/>
        <item x="1715"/>
        <item x="1717"/>
        <item x="1718"/>
        <item x="1713"/>
        <item x="1709"/>
        <item x="509"/>
        <item x="2678"/>
        <item x="1725"/>
        <item x="1726"/>
        <item x="1728"/>
        <item x="1730"/>
        <item x="1731"/>
        <item x="1733"/>
        <item x="1734"/>
        <item x="1729"/>
        <item x="5083"/>
        <item x="5085"/>
        <item x="1737"/>
        <item x="1744"/>
        <item x="1187"/>
        <item x="1188"/>
        <item x="4595"/>
        <item x="1006"/>
        <item x="1112"/>
        <item x="1752"/>
        <item x="1753"/>
        <item x="1002"/>
        <item x="1754"/>
        <item x="1755"/>
        <item x="1756"/>
        <item x="1759"/>
        <item x="1760"/>
        <item x="978"/>
        <item x="1776"/>
        <item x="1779"/>
        <item x="1773"/>
        <item x="1777"/>
        <item x="1615"/>
        <item x="1775"/>
        <item x="1617"/>
        <item x="1778"/>
        <item x="1771"/>
        <item x="1618"/>
        <item x="1783"/>
        <item x="1770"/>
        <item x="1785"/>
        <item x="1787"/>
        <item x="1788"/>
        <item x="1789"/>
        <item x="1790"/>
        <item x="1791"/>
        <item x="1792"/>
        <item x="1794"/>
        <item x="1795"/>
        <item x="1796"/>
        <item x="1797"/>
        <item x="1798"/>
        <item x="1799"/>
        <item x="1800"/>
        <item x="1802"/>
        <item x="1805"/>
        <item x="1804"/>
        <item x="1801"/>
        <item x="1809"/>
        <item x="1806"/>
        <item x="1811"/>
        <item x="1812"/>
        <item x="1807"/>
        <item x="1626"/>
        <item x="1368"/>
        <item x="1815"/>
        <item x="1817"/>
        <item x="1818"/>
        <item x="1819"/>
        <item x="1820"/>
        <item x="1821"/>
        <item x="1822"/>
        <item x="1823"/>
        <item x="1824"/>
        <item x="1827"/>
        <item x="1830"/>
        <item x="1831"/>
        <item x="1832"/>
        <item x="1833"/>
        <item x="1834"/>
        <item x="1835"/>
        <item x="1825"/>
        <item x="1828"/>
        <item x="1494"/>
        <item x="1495"/>
        <item x="1826"/>
        <item x="1839"/>
        <item x="1498"/>
        <item x="1837"/>
        <item x="1840"/>
        <item x="5080"/>
        <item x="5081"/>
        <item x="1485"/>
        <item x="1843"/>
        <item x="1844"/>
        <item x="1845"/>
        <item x="4804"/>
        <item x="580"/>
        <item x="579"/>
        <item x="1847"/>
        <item x="1848"/>
        <item x="1849"/>
        <item x="1850"/>
        <item x="394"/>
        <item x="1558"/>
        <item x="1446"/>
        <item x="1619"/>
        <item x="1852"/>
        <item x="1541"/>
        <item x="1855"/>
        <item x="1443"/>
        <item x="1575"/>
        <item x="1534"/>
        <item x="1537"/>
        <item x="1549"/>
        <item x="1856"/>
        <item x="1859"/>
        <item x="1862"/>
        <item x="1865"/>
        <item x="1863"/>
        <item x="1870"/>
        <item x="1867"/>
        <item x="1873"/>
        <item x="1877"/>
        <item x="1875"/>
        <item x="1878"/>
        <item x="1882"/>
        <item x="1884"/>
        <item x="1886"/>
        <item x="1891"/>
        <item x="1894"/>
        <item x="1897"/>
        <item x="1899"/>
        <item x="1902"/>
        <item x="1907"/>
        <item x="1905"/>
        <item x="1898"/>
        <item x="1114"/>
        <item x="1913"/>
        <item x="1920"/>
        <item x="1921"/>
        <item x="1113"/>
        <item x="1922"/>
        <item x="1924"/>
        <item x="1925"/>
        <item x="1864"/>
        <item x="1927"/>
        <item x="1866"/>
        <item x="1929"/>
        <item x="1931"/>
        <item x="1934"/>
        <item x="1938"/>
        <item x="1943"/>
        <item x="1939"/>
        <item x="1942"/>
        <item x="1935"/>
        <item x="1949"/>
        <item x="1951"/>
        <item x="1952"/>
        <item x="1955"/>
        <item x="1953"/>
        <item x="1956"/>
        <item x="1965"/>
        <item x="1961"/>
        <item x="1971"/>
        <item x="1963"/>
        <item x="1969"/>
        <item x="1972"/>
        <item x="1975"/>
        <item x="1916"/>
        <item x="1917"/>
        <item x="1976"/>
        <item x="1985"/>
        <item x="1162"/>
        <item x="1988"/>
        <item x="1991"/>
        <item x="1993"/>
        <item x="1990"/>
        <item x="1996"/>
        <item x="1999"/>
        <item x="1997"/>
        <item x="1923"/>
        <item x="2002"/>
        <item x="1926"/>
        <item x="1981"/>
        <item x="1982"/>
        <item x="1986"/>
        <item x="2004"/>
        <item x="2007"/>
        <item x="2010"/>
        <item x="2013"/>
        <item x="2012"/>
        <item x="2011"/>
        <item x="2017"/>
        <item x="2018"/>
        <item x="2014"/>
        <item x="2030"/>
        <item x="1829"/>
        <item x="483"/>
        <item x="4847"/>
        <item x="3030"/>
        <item x="3032"/>
        <item x="3031"/>
        <item x="409"/>
        <item x="2035"/>
        <item x="2043"/>
        <item x="2046"/>
        <item x="2049"/>
        <item x="2051"/>
        <item x="2052"/>
        <item x="2054"/>
        <item x="2056"/>
        <item x="2057"/>
        <item x="2059"/>
        <item x="2269"/>
        <item x="2064"/>
        <item x="2066"/>
        <item x="403"/>
        <item x="2071"/>
        <item x="2072"/>
        <item x="2073"/>
        <item x="2075"/>
        <item x="2076"/>
        <item x="2080"/>
        <item x="2082"/>
        <item x="2087"/>
        <item x="2088"/>
        <item x="2441"/>
        <item x="2354"/>
        <item x="2092"/>
        <item x="2174"/>
        <item x="2178"/>
        <item x="2147"/>
        <item x="2094"/>
        <item x="2098"/>
        <item x="478"/>
        <item x="2103"/>
        <item x="1666"/>
        <item x="1668"/>
        <item x="2109"/>
        <item x="407"/>
        <item x="2084"/>
        <item x="2085"/>
        <item x="2393"/>
        <item x="2090"/>
        <item x="2099"/>
        <item x="2131"/>
        <item x="2134"/>
        <item x="2130"/>
        <item x="473"/>
        <item x="472"/>
        <item x="2086"/>
        <item x="2083"/>
        <item x="2116"/>
        <item x="2118"/>
        <item x="2145"/>
        <item x="2148"/>
        <item x="2149"/>
        <item x="2150"/>
        <item x="2151"/>
        <item x="2153"/>
        <item x="2152"/>
        <item x="2156"/>
        <item x="2157"/>
        <item x="2159"/>
        <item x="2160"/>
        <item x="2161"/>
        <item x="2162"/>
        <item x="2163"/>
        <item x="2164"/>
        <item x="2165"/>
        <item x="2166"/>
        <item x="2167"/>
        <item x="2168"/>
        <item x="2169"/>
        <item x="2170"/>
        <item x="2171"/>
        <item x="2172"/>
        <item x="2173"/>
        <item x="2176"/>
        <item x="2175"/>
        <item x="2177"/>
        <item x="2185"/>
        <item x="2187"/>
        <item x="2189"/>
        <item x="2190"/>
        <item x="2192"/>
        <item x="296"/>
        <item x="2186"/>
        <item x="2200"/>
        <item x="2202"/>
        <item x="2203"/>
        <item x="2206"/>
        <item x="1450"/>
        <item x="2212"/>
        <item x="198"/>
        <item x="200"/>
        <item x="2215"/>
        <item x="2211"/>
        <item x="137"/>
        <item x="146"/>
        <item x="2068"/>
        <item x="2067"/>
        <item x="2218"/>
        <item x="2389"/>
        <item x="2069"/>
        <item x="2070"/>
        <item x="1501"/>
        <item x="1503"/>
        <item x="2129"/>
        <item x="150"/>
        <item x="345"/>
        <item x="1365"/>
        <item x="162"/>
        <item x="164"/>
        <item x="343"/>
        <item x="2228"/>
        <item x="404"/>
        <item x="2226"/>
        <item x="2231"/>
        <item x="2236"/>
        <item x="2241"/>
        <item x="2244"/>
        <item x="2242"/>
        <item x="2243"/>
        <item x="2245"/>
        <item x="1553"/>
        <item x="2247"/>
        <item x="1116"/>
        <item x="2248"/>
        <item x="2253"/>
        <item x="2258"/>
        <item x="2095"/>
        <item x="1036"/>
        <item x="428"/>
        <item x="431"/>
        <item x="1432"/>
        <item x="2036"/>
        <item x="413"/>
        <item x="2038"/>
        <item x="2266"/>
        <item x="2272"/>
        <item x="2055"/>
        <item x="2276"/>
        <item x="2267"/>
        <item x="2270"/>
        <item x="2271"/>
        <item x="2268"/>
        <item x="2047"/>
        <item x="2044"/>
        <item x="2216"/>
        <item x="2281"/>
        <item x="2280"/>
        <item x="2284"/>
        <item x="2213"/>
        <item x="2283"/>
        <item x="2249"/>
        <item x="2081"/>
        <item x="2250"/>
        <item x="2286"/>
        <item x="2251"/>
        <item x="2288"/>
        <item x="2289"/>
        <item x="2252"/>
        <item x="2290"/>
        <item x="2254"/>
        <item x="2255"/>
        <item x="2291"/>
        <item x="2292"/>
        <item x="2295"/>
        <item x="2293"/>
        <item x="2061"/>
        <item x="2300"/>
        <item x="2301"/>
        <item x="2302"/>
        <item x="2303"/>
        <item x="2305"/>
        <item x="2307"/>
        <item x="2308"/>
        <item x="2311"/>
        <item x="2309"/>
        <item x="2179"/>
        <item x="402"/>
        <item x="1464"/>
        <item x="1466"/>
        <item x="2124"/>
        <item x="2126"/>
        <item x="2359"/>
        <item x="2078"/>
        <item x="2319"/>
        <item x="2077"/>
        <item x="2074"/>
        <item x="2323"/>
        <item x="32"/>
        <item x="2322"/>
        <item x="2328"/>
        <item x="2331"/>
        <item x="2333"/>
        <item x="2334"/>
        <item x="2337"/>
        <item x="2338"/>
        <item x="2339"/>
        <item x="1583"/>
        <item x="1585"/>
        <item x="3632"/>
        <item x="2341"/>
        <item x="2343"/>
        <item x="1491"/>
        <item x="2346"/>
        <item x="2347"/>
        <item x="2119"/>
        <item x="2122"/>
        <item x="2217"/>
        <item x="2353"/>
        <item x="2093"/>
        <item x="2091"/>
        <item x="2123"/>
        <item x="2357"/>
        <item x="2299"/>
        <item x="2298"/>
        <item x="897"/>
        <item x="2132"/>
        <item x="2136"/>
        <item x="2141"/>
        <item x="2144"/>
        <item x="2285"/>
        <item x="957"/>
        <item x="2287"/>
        <item x="955"/>
        <item x="479"/>
        <item x="2256"/>
        <item x="2259"/>
        <item x="2097"/>
        <item x="2261"/>
        <item x="2363"/>
        <item x="2294"/>
        <item x="2274"/>
        <item x="2100"/>
        <item x="2101"/>
        <item x="2105"/>
        <item x="2296"/>
        <item x="2365"/>
        <item x="2364"/>
        <item x="1276"/>
        <item x="2366"/>
        <item x="2107"/>
        <item x="2368"/>
        <item x="2370"/>
        <item x="2371"/>
        <item x="2372"/>
        <item x="2112"/>
        <item x="2373"/>
        <item x="2374"/>
        <item x="2375"/>
        <item x="2378"/>
        <item x="2058"/>
        <item x="2380"/>
        <item x="1277"/>
        <item x="2312"/>
        <item x="2384"/>
        <item x="2385"/>
        <item x="2120"/>
        <item x="2121"/>
        <item x="2387"/>
        <item x="2388"/>
        <item x="2128"/>
        <item x="2223"/>
        <item x="2089"/>
        <item x="2358"/>
        <item x="2133"/>
        <item x="2135"/>
        <item x="477"/>
        <item x="2142"/>
        <item x="2143"/>
        <item x="2106"/>
        <item x="2395"/>
        <item x="2108"/>
        <item x="2110"/>
        <item x="2113"/>
        <item x="2114"/>
        <item x="2220"/>
        <item x="2390"/>
        <item x="476"/>
        <item x="1661"/>
        <item x="2037"/>
        <item x="2401"/>
        <item x="2404"/>
        <item x="2405"/>
        <item x="2408"/>
        <item x="2406"/>
        <item x="2416"/>
        <item x="2418"/>
        <item x="2419"/>
        <item x="358"/>
        <item x="357"/>
        <item x="2421"/>
        <item x="2422"/>
        <item x="2125"/>
        <item x="2127"/>
        <item x="2429"/>
        <item x="487"/>
        <item x="486"/>
        <item x="2436"/>
        <item x="2040"/>
        <item x="2417"/>
        <item x="2042"/>
        <item x="2048"/>
        <item x="2050"/>
        <item x="2060"/>
        <item x="202"/>
        <item x="1275"/>
        <item x="2443"/>
        <item x="2446"/>
        <item x="2448"/>
        <item x="2450"/>
        <item x="2451"/>
        <item x="2453"/>
        <item x="2455"/>
        <item x="594"/>
        <item x="2457"/>
        <item x="2459"/>
        <item x="169"/>
        <item x="2462"/>
        <item x="2461"/>
        <item x="2233"/>
        <item x="2232"/>
        <item x="2465"/>
        <item x="270"/>
        <item x="274"/>
        <item x="2260"/>
        <item x="2257"/>
        <item x="138"/>
        <item x="2297"/>
        <item x="2262"/>
        <item x="2467"/>
        <item x="2472"/>
        <item x="2471"/>
        <item x="2469"/>
        <item x="2480"/>
        <item x="2487"/>
        <item x="2488"/>
        <item x="490"/>
        <item x="2492"/>
        <item x="2493"/>
        <item x="2892"/>
        <item x="356"/>
        <item x="2497"/>
        <item x="1745"/>
        <item x="2504"/>
        <item x="2505"/>
        <item x="2501"/>
        <item x="2500"/>
        <item x="2507"/>
        <item x="1742"/>
        <item x="2508"/>
        <item x="2509"/>
        <item x="2510"/>
        <item x="1748"/>
        <item x="1750"/>
        <item x="2511"/>
        <item x="1749"/>
        <item x="1747"/>
        <item x="2513"/>
        <item x="2512"/>
        <item x="941"/>
        <item x="942"/>
        <item x="1329"/>
        <item x="2514"/>
        <item x="750"/>
        <item x="756"/>
        <item x="2521"/>
        <item x="2519"/>
        <item x="2528"/>
        <item x="2391"/>
        <item x="2532"/>
        <item x="2356"/>
        <item x="2394"/>
        <item x="2530"/>
        <item x="2531"/>
        <item x="2182"/>
        <item x="2537"/>
        <item x="2538"/>
        <item x="2183"/>
        <item x="2541"/>
        <item x="2544"/>
        <item x="2547"/>
        <item x="2549"/>
        <item x="2545"/>
        <item x="2546"/>
        <item x="2550"/>
        <item x="2551"/>
        <item x="2184"/>
        <item x="2553"/>
        <item x="2554"/>
        <item x="2556"/>
        <item x="2558"/>
        <item x="2557"/>
        <item x="2560"/>
        <item x="2559"/>
        <item x="2561"/>
        <item x="2565"/>
        <item x="2566"/>
        <item x="2569"/>
        <item x="2570"/>
        <item x="2571"/>
        <item x="2572"/>
        <item x="2576"/>
        <item x="2578"/>
        <item x="2579"/>
        <item x="2582"/>
        <item x="2580"/>
        <item x="2581"/>
        <item x="2584"/>
        <item x="2583"/>
        <item x="2158"/>
        <item x="2587"/>
        <item x="2588"/>
        <item x="2590"/>
        <item x="2591"/>
        <item x="2592"/>
        <item x="2593"/>
        <item x="2594"/>
        <item x="2595"/>
        <item x="2596"/>
        <item x="2597"/>
        <item x="2598"/>
        <item x="2599"/>
        <item x="2600"/>
        <item x="2601"/>
        <item x="2602"/>
        <item x="1786"/>
        <item x="1784"/>
        <item x="2603"/>
        <item x="2606"/>
        <item x="2605"/>
        <item x="2604"/>
        <item x="2362"/>
        <item x="2282"/>
        <item x="2611"/>
        <item x="2610"/>
        <item x="2612"/>
        <item x="2608"/>
        <item x="2609"/>
        <item x="2613"/>
        <item x="1153"/>
        <item x="2617"/>
        <item x="2620"/>
        <item x="2619"/>
        <item x="2618"/>
        <item x="2621"/>
        <item x="2624"/>
        <item x="2629"/>
        <item x="2626"/>
        <item x="2625"/>
        <item x="2623"/>
        <item x="2627"/>
        <item x="2628"/>
        <item x="2632"/>
        <item x="2631"/>
        <item x="1177"/>
        <item x="2633"/>
        <item x="2635"/>
        <item x="2639"/>
        <item x="2636"/>
        <item x="1363"/>
        <item x="2641"/>
        <item x="2227"/>
        <item x="1158"/>
        <item x="2644"/>
        <item x="2053"/>
        <item x="2647"/>
        <item x="1171"/>
        <item x="2649"/>
        <item x="1170"/>
        <item x="1377"/>
        <item x="1378"/>
        <item x="1381"/>
        <item x="1384"/>
        <item x="1080"/>
        <item x="1079"/>
        <item x="1236"/>
        <item x="2650"/>
        <item x="2651"/>
        <item x="1858"/>
        <item x="2540"/>
        <item x="2585"/>
        <item x="2548"/>
        <item x="2552"/>
        <item x="2662"/>
        <item x="2539"/>
        <item x="1082"/>
        <item x="2577"/>
        <item x="2661"/>
        <item x="2355"/>
        <item x="2140"/>
        <item x="2399"/>
        <item x="2665"/>
        <item x="1411"/>
        <item x="2562"/>
        <item x="1720"/>
        <item x="1708"/>
        <item x="821"/>
        <item x="2675"/>
        <item x="820"/>
        <item x="1369"/>
        <item x="2666"/>
        <item x="2679"/>
        <item x="2682"/>
        <item x="2684"/>
        <item x="2687"/>
        <item x="2688"/>
        <item x="2691"/>
        <item x="2740"/>
        <item x="2696"/>
        <item x="2700"/>
        <item x="2703"/>
        <item x="1906"/>
        <item x="1903"/>
        <item x="2704"/>
        <item x="2683"/>
        <item x="2022"/>
        <item x="2027"/>
        <item x="2706"/>
        <item x="2709"/>
        <item x="2031"/>
        <item x="2708"/>
        <item x="2713"/>
        <item x="466"/>
        <item x="2718"/>
        <item x="2719"/>
        <item x="2723"/>
        <item x="2720"/>
        <item x="2717"/>
        <item x="1880"/>
        <item x="2726"/>
        <item x="2016"/>
        <item x="2015"/>
        <item x="2729"/>
        <item x="1936"/>
        <item x="1945"/>
        <item x="1944"/>
        <item x="1940"/>
        <item x="1967"/>
        <item x="1968"/>
        <item x="1962"/>
        <item x="1966"/>
        <item x="1115"/>
        <item x="2707"/>
        <item x="2731"/>
        <item x="2734"/>
        <item x="2735"/>
        <item x="2736"/>
        <item x="2737"/>
        <item x="2738"/>
        <item x="2739"/>
        <item x="2741"/>
        <item x="2745"/>
        <item x="2746"/>
        <item x="2744"/>
        <item x="2751"/>
        <item x="2753"/>
        <item x="2721"/>
        <item x="2722"/>
        <item x="2574"/>
        <item x="2716"/>
        <item x="2712"/>
        <item x="467"/>
        <item x="2757"/>
        <item x="2760"/>
        <item x="2761"/>
        <item x="2762"/>
        <item x="2758"/>
        <item x="2765"/>
        <item x="2766"/>
        <item x="2767"/>
        <item x="2768"/>
        <item x="2774"/>
        <item x="2780"/>
        <item x="2779"/>
        <item x="2784"/>
        <item x="2782"/>
        <item x="2783"/>
        <item x="2787"/>
        <item x="2790"/>
        <item x="2792"/>
        <item x="2794"/>
        <item x="2795"/>
        <item x="2791"/>
        <item x="2796"/>
        <item x="2788"/>
        <item x="2798"/>
        <item x="2564"/>
        <item x="2694"/>
        <item x="2695"/>
        <item x="2806"/>
        <item x="2807"/>
        <item x="2805"/>
        <item x="1995"/>
        <item x="2000"/>
        <item x="1989"/>
        <item x="1998"/>
        <item x="1983"/>
        <item x="699"/>
        <item x="698"/>
        <item x="2815"/>
        <item x="2817"/>
        <item x="693"/>
        <item x="691"/>
        <item x="843"/>
        <item x="844"/>
        <item x="694"/>
        <item x="2816"/>
        <item x="2821"/>
        <item x="2748"/>
        <item x="2822"/>
        <item x="2749"/>
        <item x="2823"/>
        <item x="2755"/>
        <item x="2754"/>
        <item x="37"/>
        <item x="2326"/>
        <item x="40"/>
        <item x="2833"/>
        <item x="2686"/>
        <item x="2680"/>
        <item x="2835"/>
        <item x="2685"/>
        <item x="2837"/>
        <item x="2705"/>
        <item x="2838"/>
        <item x="2840"/>
        <item x="2844"/>
        <item x="2847"/>
        <item x="2845"/>
        <item x="2839"/>
        <item x="2023"/>
        <item x="2021"/>
        <item x="2028"/>
        <item x="2024"/>
        <item x="2025"/>
        <item x="2029"/>
        <item x="2575"/>
        <item x="2714"/>
        <item x="2573"/>
        <item x="468"/>
        <item x="2725"/>
        <item x="2724"/>
        <item x="1868"/>
        <item x="2852"/>
        <item x="1608"/>
        <item x="1912"/>
        <item x="1876"/>
        <item x="2853"/>
        <item x="2727"/>
        <item x="2728"/>
        <item x="2020"/>
        <item x="2730"/>
        <item x="2019"/>
        <item x="1890"/>
        <item x="1885"/>
        <item x="1889"/>
        <item x="2856"/>
        <item x="1900"/>
        <item x="1901"/>
        <item x="2690"/>
        <item x="2689"/>
        <item x="2857"/>
        <item x="2858"/>
        <item x="2860"/>
        <item x="2032"/>
        <item x="2033"/>
        <item x="2855"/>
        <item x="2862"/>
        <item x="2750"/>
        <item x="2732"/>
        <item x="2743"/>
        <item x="2747"/>
        <item x="2764"/>
        <item x="2763"/>
        <item x="2769"/>
        <item x="2772"/>
        <item x="2775"/>
        <item x="2781"/>
        <item x="2786"/>
        <item x="2865"/>
        <item x="2866"/>
        <item x="2789"/>
        <item x="2799"/>
        <item x="554"/>
        <item x="2742"/>
        <item x="704"/>
        <item x="1915"/>
        <item x="1919"/>
        <item x="2836"/>
        <item x="1979"/>
        <item x="2005"/>
        <item x="2008"/>
        <item x="1978"/>
        <item x="1930"/>
        <item x="1928"/>
        <item x="1937"/>
        <item x="1948"/>
        <item x="2752"/>
        <item x="1954"/>
        <item x="2733"/>
        <item x="1959"/>
        <item x="2759"/>
        <item x="1964"/>
        <item x="1973"/>
        <item x="2756"/>
        <item x="2834"/>
        <item x="2770"/>
        <item x="2692"/>
        <item x="2693"/>
        <item x="2771"/>
        <item x="2773"/>
        <item x="2777"/>
        <item x="2849"/>
        <item x="2701"/>
        <item x="1879"/>
        <item x="1609"/>
        <item x="2681"/>
        <item x="2808"/>
        <item x="2826"/>
        <item x="1933"/>
        <item x="1941"/>
        <item x="1946"/>
        <item x="1957"/>
        <item x="1958"/>
        <item x="1970"/>
        <item x="1974"/>
        <item x="2874"/>
        <item x="2877"/>
        <item x="2875"/>
        <item x="2478"/>
        <item x="2477"/>
        <item x="2881"/>
        <item x="2879"/>
        <item x="683"/>
        <item x="2699"/>
        <item x="2876"/>
        <item x="2878"/>
        <item x="2880"/>
        <item x="2515"/>
        <item x="2698"/>
        <item x="2697"/>
        <item x="2882"/>
        <item x="2872"/>
        <item x="484"/>
        <item x="2803"/>
        <item x="2804"/>
        <item x="2851"/>
        <item x="2813"/>
        <item x="2814"/>
        <item x="2889"/>
        <item x="2828"/>
        <item x="2827"/>
        <item x="2776"/>
        <item x="2797"/>
        <item x="2793"/>
        <item x="66"/>
        <item x="2854"/>
        <item x="2702"/>
        <item x="2846"/>
        <item x="2026"/>
        <item x="1607"/>
        <item x="2810"/>
        <item x="2809"/>
        <item x="2482"/>
        <item x="2811"/>
        <item x="3380"/>
        <item x="2848"/>
        <item x="2850"/>
        <item x="2871"/>
        <item x="2873"/>
        <item x="1869"/>
        <item x="421"/>
        <item x="2893"/>
        <item x="2895"/>
        <item x="2897"/>
        <item x="2894"/>
        <item x="2898"/>
        <item x="4703"/>
        <item x="4704"/>
        <item x="4702"/>
        <item x="4697"/>
        <item x="4705"/>
        <item x="2154"/>
        <item x="2155"/>
        <item x="805"/>
        <item x="2900"/>
        <item x="2901"/>
        <item x="2903"/>
        <item x="2711"/>
        <item x="2344"/>
        <item x="2908"/>
        <item x="2906"/>
        <item x="1224"/>
        <item x="2914"/>
        <item x="2917"/>
        <item x="2919"/>
        <item x="2915"/>
        <item x="2922"/>
        <item x="2920"/>
        <item x="2918"/>
        <item x="2715"/>
        <item x="1344"/>
        <item x="2926"/>
        <item x="1351"/>
        <item x="1355"/>
        <item x="1315"/>
        <item x="1073"/>
        <item x="1044"/>
        <item x="1719"/>
        <item x="1712"/>
        <item x="2929"/>
        <item x="1047"/>
        <item x="2670"/>
        <item x="2931"/>
        <item x="2933"/>
        <item x="2934"/>
        <item x="2936"/>
        <item x="2935"/>
        <item x="2937"/>
        <item x="2939"/>
        <item x="2940"/>
        <item x="2671"/>
        <item x="2943"/>
        <item x="2946"/>
        <item x="2948"/>
        <item x="2947"/>
        <item x="2950"/>
        <item x="2952"/>
        <item x="2955"/>
        <item x="2957"/>
        <item x="2954"/>
        <item x="2956"/>
        <item x="2959"/>
        <item x="2960"/>
        <item x="2961"/>
        <item x="2962"/>
        <item x="2963"/>
        <item x="2885"/>
        <item x="481"/>
        <item x="2563"/>
        <item x="2801"/>
        <item x="1314"/>
        <item x="1316"/>
        <item x="1068"/>
        <item x="2062"/>
        <item x="2965"/>
        <item x="2966"/>
        <item x="2063"/>
        <item x="2102"/>
        <item x="2973"/>
        <item x="2976"/>
        <item x="2978"/>
        <item x="2977"/>
        <item x="2980"/>
        <item x="2979"/>
        <item x="2971"/>
        <item x="2981"/>
        <item x="2983"/>
        <item x="2984"/>
        <item x="2987"/>
        <item x="2989"/>
        <item x="2988"/>
        <item x="2986"/>
        <item x="2985"/>
        <item x="1655"/>
        <item x="2990"/>
        <item x="1654"/>
        <item x="2991"/>
        <item x="2982"/>
        <item x="2993"/>
        <item x="2997"/>
        <item x="2998"/>
        <item x="3001"/>
        <item x="3003"/>
        <item x="3002"/>
        <item x="2992"/>
        <item x="2996"/>
        <item x="2995"/>
        <item x="3000"/>
        <item x="3008"/>
        <item x="3009"/>
        <item x="3010"/>
        <item x="3005"/>
        <item x="3011"/>
        <item x="3012"/>
        <item x="3016"/>
        <item x="3018"/>
        <item x="2646"/>
        <item x="2382"/>
        <item x="2316"/>
        <item x="1853"/>
        <item x="3020"/>
        <item x="2104"/>
        <item x="1686"/>
        <item x="3025"/>
        <item x="2942"/>
        <item x="2944"/>
        <item x="455"/>
        <item x="2637"/>
        <item x="3027"/>
        <item x="3026"/>
        <item x="2640"/>
        <item x="1387"/>
        <item x="3024"/>
        <item x="3028"/>
        <item x="1000"/>
        <item x="3023"/>
        <item x="2041"/>
        <item x="2275"/>
        <item x="2279"/>
        <item x="2045"/>
        <item x="3029"/>
        <item x="3033"/>
        <item x="3034"/>
        <item x="2668"/>
        <item x="2677"/>
        <item x="2676"/>
        <item x="192"/>
        <item x="195"/>
        <item x="197"/>
        <item x="3038"/>
        <item x="3041"/>
        <item x="3042"/>
        <item x="3044"/>
        <item x="3039"/>
        <item x="3043"/>
        <item x="3049"/>
        <item x="3047"/>
        <item x="3046"/>
        <item x="3052"/>
        <item x="3057"/>
        <item x="3056"/>
        <item x="3060"/>
        <item x="3062"/>
        <item x="3061"/>
        <item x="3065"/>
        <item x="3068"/>
        <item x="3066"/>
        <item x="3058"/>
        <item x="3069"/>
        <item x="3070"/>
        <item x="3059"/>
        <item x="3063"/>
        <item x="3064"/>
        <item x="3067"/>
        <item x="3054"/>
        <item x="3074"/>
        <item x="3075"/>
        <item x="3048"/>
        <item x="3072"/>
        <item x="3076"/>
        <item x="3078"/>
        <item x="3050"/>
        <item x="3194"/>
        <item x="3080"/>
        <item x="1874"/>
        <item x="1871"/>
        <item x="3396"/>
        <item x="1887"/>
        <item x="1892"/>
        <item x="1908"/>
        <item x="1911"/>
        <item x="3084"/>
        <item x="3086"/>
        <item x="3085"/>
        <item x="3089"/>
        <item x="3092"/>
        <item x="3090"/>
        <item x="3095"/>
        <item x="3098"/>
        <item x="3096"/>
        <item x="3101"/>
        <item x="3104"/>
        <item x="3102"/>
        <item x="3107"/>
        <item x="3110"/>
        <item x="3108"/>
        <item x="3113"/>
        <item x="3116"/>
        <item x="3114"/>
        <item x="3119"/>
        <item x="3122"/>
        <item x="3120"/>
        <item x="3125"/>
        <item x="3128"/>
        <item x="3126"/>
        <item x="3131"/>
        <item x="2974"/>
        <item x="3134"/>
        <item x="3133"/>
        <item x="3136"/>
        <item x="3139"/>
        <item x="3141"/>
        <item x="3137"/>
        <item x="2970"/>
        <item x="3142"/>
        <item x="3143"/>
        <item x="3145"/>
        <item x="3148"/>
        <item x="3146"/>
        <item x="3151"/>
        <item x="3140"/>
        <item x="3150"/>
        <item x="3154"/>
        <item x="3152"/>
        <item x="3153"/>
        <item x="1644"/>
        <item x="1872"/>
        <item x="3159"/>
        <item x="3160"/>
        <item x="3082"/>
        <item x="1909"/>
        <item x="1910"/>
        <item x="3083"/>
        <item x="1893"/>
        <item x="3081"/>
        <item x="1860"/>
        <item x="1861"/>
        <item x="3170"/>
        <item x="3174"/>
        <item x="3175"/>
        <item x="3176"/>
        <item x="3178"/>
        <item x="3179"/>
        <item x="3181"/>
        <item x="3182"/>
        <item x="3183"/>
        <item x="3184"/>
        <item x="3071"/>
        <item x="1881"/>
        <item x="1888"/>
        <item x="1904"/>
        <item x="3191"/>
        <item x="3190"/>
        <item x="3164"/>
        <item x="3165"/>
        <item x="3158"/>
        <item x="3157"/>
        <item x="3162"/>
        <item x="3161"/>
        <item x="3193"/>
        <item x="3088"/>
        <item x="3091"/>
        <item x="3100"/>
        <item x="3103"/>
        <item x="3111"/>
        <item x="3115"/>
        <item x="3123"/>
        <item x="3127"/>
        <item x="3135"/>
        <item x="3138"/>
        <item x="3144"/>
        <item x="3687"/>
        <item x="4166"/>
        <item x="3171"/>
        <item x="3172"/>
        <item x="3177"/>
        <item x="3180"/>
        <item x="3185"/>
        <item x="3192"/>
        <item x="3189"/>
        <item x="3202"/>
        <item x="3195"/>
        <item x="3196"/>
        <item x="3204"/>
        <item x="3205"/>
        <item x="838"/>
        <item x="3207"/>
        <item x="3208"/>
        <item x="2925"/>
        <item x="632"/>
        <item x="514"/>
        <item x="518"/>
        <item x="3210"/>
        <item x="3759"/>
        <item x="3218"/>
        <item x="3220"/>
        <item x="3219"/>
        <item x="1016"/>
        <item x="969"/>
        <item x="651"/>
        <item x="2444"/>
        <item x="3225"/>
        <item x="3228"/>
        <item x="3227"/>
        <item x="1738"/>
        <item x="1739"/>
        <item x="3223"/>
        <item x="1001"/>
        <item x="3226"/>
        <item x="3233"/>
        <item x="1740"/>
        <item x="3229"/>
        <item x="3231"/>
        <item x="1736"/>
        <item x="3230"/>
        <item x="1517"/>
        <item x="1524"/>
        <item x="1525"/>
        <item x="3240"/>
        <item x="3243"/>
        <item x="3241"/>
        <item x="3246"/>
        <item x="3249"/>
        <item x="3247"/>
        <item x="2445"/>
        <item x="3221"/>
        <item x="3109"/>
        <item x="3117"/>
        <item x="1651"/>
        <item x="1641"/>
        <item x="1650"/>
        <item x="3252"/>
        <item x="3255"/>
        <item x="3256"/>
        <item x="3259"/>
        <item x="3258"/>
        <item x="2350"/>
        <item x="3261"/>
        <item x="3264"/>
        <item x="3262"/>
        <item x="3253"/>
        <item x="3254"/>
        <item x="3257"/>
        <item x="2222"/>
        <item x="3263"/>
        <item x="1610"/>
        <item x="3260"/>
        <item x="3105"/>
        <item x="3118"/>
        <item x="3129"/>
        <item x="3130"/>
        <item x="3132"/>
        <item x="2972"/>
        <item x="4174"/>
        <item x="4178"/>
        <item x="4177"/>
        <item x="3270"/>
        <item x="3273"/>
        <item x="3274"/>
        <item x="3275"/>
        <item x="3276"/>
        <item x="963"/>
        <item x="4365"/>
        <item x="4162"/>
        <item x="1645"/>
        <item x="3277"/>
        <item x="3265"/>
        <item x="3279"/>
        <item x="3282"/>
        <item x="3281"/>
        <item x="3284"/>
        <item x="3287"/>
        <item x="3285"/>
        <item x="3266"/>
        <item x="3278"/>
        <item x="3280"/>
        <item x="3286"/>
        <item x="3283"/>
        <item x="3288"/>
        <item x="3294"/>
        <item x="3289"/>
        <item x="3290"/>
        <item x="3292"/>
        <item x="3296"/>
        <item x="3147"/>
        <item x="3156"/>
        <item x="3155"/>
        <item x="3149"/>
        <item x="3019"/>
        <item x="3300"/>
        <item x="3304"/>
        <item x="3305"/>
        <item x="3306"/>
        <item x="3303"/>
        <item x="2210"/>
        <item x="3301"/>
        <item x="3302"/>
        <item x="3308"/>
        <item x="3310"/>
        <item x="2498"/>
        <item x="3315"/>
        <item x="3320"/>
        <item x="3323"/>
        <item x="3325"/>
        <item x="3326"/>
        <item x="3330"/>
        <item x="3328"/>
        <item x="3333"/>
        <item x="848"/>
        <item x="3324"/>
        <item x="727"/>
        <item x="3336"/>
        <item x="3311"/>
        <item x="3339"/>
        <item x="3340"/>
        <item x="3312"/>
        <item x="3337"/>
        <item x="3342"/>
        <item x="3343"/>
        <item x="3346"/>
        <item x="3345"/>
        <item x="3316"/>
        <item x="3344"/>
        <item x="3317"/>
        <item x="3348"/>
        <item x="3347"/>
        <item x="729"/>
        <item x="3318"/>
        <item x="3321"/>
        <item x="3322"/>
        <item x="3350"/>
        <item x="3351"/>
        <item x="3319"/>
        <item x="3334"/>
        <item x="930"/>
        <item x="928"/>
        <item x="933"/>
        <item x="850"/>
        <item x="944"/>
        <item x="947"/>
        <item x="1914"/>
        <item x="3354"/>
        <item x="3355"/>
        <item x="1950"/>
        <item x="3352"/>
        <item x="3360"/>
        <item x="501"/>
        <item x="502"/>
        <item x="3365"/>
        <item x="3366"/>
        <item x="3369"/>
        <item x="3372"/>
        <item x="3370"/>
        <item x="3371"/>
        <item x="3373"/>
        <item x="3375"/>
        <item x="3374"/>
        <item x="3055"/>
        <item x="3376"/>
        <item x="726"/>
        <item x="1669"/>
        <item x="3378"/>
        <item x="2146"/>
        <item x="2006"/>
        <item x="3381"/>
        <item x="3382"/>
        <item x="3386"/>
        <item x="3388"/>
        <item x="1178"/>
        <item x="1883"/>
        <item x="3395"/>
        <item x="3167"/>
        <item x="3188"/>
        <item x="3168"/>
        <item x="3186"/>
        <item x="3399"/>
        <item x="3400"/>
        <item x="3402"/>
        <item x="3404"/>
        <item x="3403"/>
        <item x="2138"/>
        <item x="3407"/>
        <item x="2360"/>
        <item x="3291"/>
        <item x="3293"/>
        <item x="3412"/>
        <item x="3234"/>
        <item x="1816"/>
        <item x="3414"/>
        <item x="3417"/>
        <item x="3415"/>
        <item x="3421"/>
        <item x="3416"/>
        <item x="3420"/>
        <item x="3424"/>
        <item x="3425"/>
        <item x="3428"/>
        <item x="3429"/>
        <item x="1360"/>
        <item x="967"/>
        <item x="2180"/>
        <item x="3422"/>
        <item x="3423"/>
        <item x="3419"/>
        <item x="3418"/>
        <item x="3201"/>
        <item x="3199"/>
        <item x="3200"/>
        <item x="3197"/>
        <item x="3198"/>
        <item x="1007"/>
        <item x="1008"/>
        <item x="1751"/>
        <item x="3544"/>
        <item x="3601"/>
        <item x="3547"/>
        <item x="3433"/>
        <item x="3437"/>
        <item x="3438"/>
        <item x="3439"/>
        <item x="3442"/>
        <item x="3443"/>
        <item x="3440"/>
        <item x="3445"/>
        <item x="3448"/>
        <item x="3451"/>
        <item x="544"/>
        <item x="529"/>
        <item x="1124"/>
        <item x="1700"/>
        <item x="1264"/>
        <item x="1265"/>
        <item x="3462"/>
        <item x="3463"/>
        <item x="3465"/>
        <item x="3466"/>
        <item x="1348"/>
        <item x="1356"/>
        <item x="3383"/>
        <item x="3476"/>
        <item x="3479"/>
        <item x="3477"/>
        <item x="3470"/>
        <item x="3478"/>
        <item x="3482"/>
        <item x="2330"/>
        <item x="1300"/>
        <item x="3490"/>
        <item x="3491"/>
        <item x="1431"/>
        <item x="3022"/>
        <item x="3496"/>
        <item x="3498"/>
        <item x="3500"/>
        <item x="3503"/>
        <item x="3504"/>
        <item x="3506"/>
        <item x="3507"/>
        <item x="3509"/>
        <item x="3510"/>
        <item x="3512"/>
        <item x="3513"/>
        <item x="3515"/>
        <item x="3516"/>
        <item x="3518"/>
        <item x="3519"/>
        <item x="3521"/>
        <item x="3522"/>
        <item x="3524"/>
        <item x="3525"/>
        <item x="3527"/>
        <item x="3449"/>
        <item x="3473"/>
        <item x="3530"/>
        <item x="3531"/>
        <item x="3534"/>
        <item x="3537"/>
        <item x="3538"/>
        <item x="3540"/>
        <item x="3541"/>
        <item x="3543"/>
        <item x="2669"/>
        <item x="3548"/>
        <item x="3549"/>
        <item x="3552"/>
        <item x="3553"/>
        <item x="3556"/>
        <item x="3555"/>
        <item x="3557"/>
        <item x="3558"/>
        <item x="3554"/>
        <item x="2630"/>
        <item x="2117"/>
        <item x="2622"/>
        <item x="3502"/>
        <item x="2219"/>
        <item x="3562"/>
        <item x="3564"/>
        <item x="3565"/>
        <item x="2386"/>
        <item x="3568"/>
        <item x="3566"/>
        <item x="3488"/>
        <item x="3571"/>
        <item x="3574"/>
        <item x="3576"/>
        <item x="3017"/>
        <item x="3015"/>
        <item x="3581"/>
        <item x="3584"/>
        <item x="3582"/>
        <item x="3577"/>
        <item x="3578"/>
        <item x="3586"/>
        <item x="3587"/>
        <item x="3590"/>
        <item x="3589"/>
        <item x="3497"/>
        <item x="3501"/>
        <item x="3505"/>
        <item x="663"/>
        <item x="664"/>
        <item x="3592"/>
        <item x="682"/>
        <item x="3593"/>
        <item x="3594"/>
        <item x="3597"/>
        <item x="3596"/>
        <item x="3598"/>
        <item x="3599"/>
        <item x="1559"/>
        <item x="1846"/>
        <item x="3602"/>
        <item x="3607"/>
        <item x="3612"/>
        <item x="3617"/>
        <item x="3619"/>
        <item x="3623"/>
        <item x="3624"/>
        <item x="3625"/>
        <item x="3694"/>
        <item x="3454"/>
        <item x="3627"/>
        <item x="3630"/>
        <item x="3633"/>
        <item x="3634"/>
        <item x="3631"/>
        <item x="3635"/>
        <item x="3605"/>
        <item x="3608"/>
        <item x="3609"/>
        <item x="3604"/>
        <item x="3611"/>
        <item x="3628"/>
        <item x="3629"/>
        <item x="3613"/>
        <item x="3614"/>
        <item x="3610"/>
        <item x="3616"/>
        <item x="3638"/>
        <item x="3639"/>
        <item x="3615"/>
        <item x="2494"/>
        <item x="3641"/>
        <item x="3642"/>
        <item x="3643"/>
        <item x="3644"/>
        <item x="3647"/>
        <item x="3648"/>
        <item x="3650"/>
        <item x="3652"/>
        <item x="3655"/>
        <item x="3657"/>
        <item x="3660"/>
        <item x="3662"/>
        <item x="1004"/>
        <item x="3651"/>
        <item x="3656"/>
        <item x="3654"/>
        <item x="3653"/>
        <item x="3664"/>
        <item x="3667"/>
        <item x="3646"/>
        <item x="3665"/>
        <item x="3668"/>
        <item x="3622"/>
        <item x="3621"/>
        <item x="3671"/>
        <item x="3674"/>
        <item x="3673"/>
        <item x="1568"/>
        <item x="3676"/>
        <item x="3677"/>
        <item x="3678"/>
        <item x="3679"/>
        <item x="3680"/>
        <item x="3681"/>
        <item x="3683"/>
        <item x="3684"/>
        <item x="3685"/>
        <item x="3682"/>
        <item x="3695"/>
        <item x="3697"/>
        <item x="3696"/>
        <item x="3698"/>
        <item x="3701"/>
        <item x="3703"/>
        <item x="3705"/>
        <item x="3700"/>
        <item x="3688"/>
        <item x="3689"/>
        <item x="3707"/>
        <item x="3699"/>
        <item x="3708"/>
        <item x="3640"/>
        <item x="3709"/>
        <item x="3710"/>
        <item x="3618"/>
        <item x="3626"/>
        <item x="3712"/>
        <item x="3713"/>
        <item x="3714"/>
        <item x="2495"/>
        <item x="2496"/>
        <item x="3715"/>
        <item x="3716"/>
        <item x="3717"/>
        <item x="713"/>
        <item x="3691"/>
        <item x="3645"/>
        <item x="3658"/>
        <item x="3690"/>
        <item x="3718"/>
        <item x="1721"/>
        <item x="3719"/>
        <item x="3693"/>
        <item x="3692"/>
        <item x="3720"/>
        <item x="3721"/>
        <item x="3271"/>
        <item x="3272"/>
        <item x="3722"/>
        <item x="3723"/>
        <item x="3724"/>
        <item x="3661"/>
        <item x="1005"/>
        <item x="3669"/>
        <item x="3663"/>
        <item x="3675"/>
        <item x="3672"/>
        <item x="3725"/>
        <item x="3686"/>
        <item x="3702"/>
        <item x="3704"/>
        <item x="3742"/>
        <item x="3728"/>
        <item x="3529"/>
        <item x="3649"/>
        <item x="1479"/>
        <item x="3735"/>
        <item x="3737"/>
        <item x="3736"/>
        <item x="3729"/>
        <item x="3730"/>
        <item x="3731"/>
        <item x="3732"/>
        <item x="3733"/>
        <item x="3734"/>
        <item x="3706"/>
        <item x="3743"/>
        <item x="3480"/>
        <item x="3746"/>
        <item x="126"/>
        <item x="124"/>
        <item x="2466"/>
        <item x="3747"/>
        <item x="497"/>
        <item x="2352"/>
        <item x="2351"/>
        <item x="3748"/>
        <item x="3453"/>
        <item x="3297"/>
        <item x="3753"/>
        <item x="597"/>
        <item x="3758"/>
        <item x="631"/>
        <item x="3659"/>
        <item x="505"/>
        <item x="3760"/>
        <item x="648"/>
        <item x="620"/>
        <item x="3765"/>
        <item x="599"/>
        <item x="598"/>
        <item x="3768"/>
        <item x="3769"/>
        <item x="3772"/>
        <item x="3775"/>
        <item x="3776"/>
        <item x="3773"/>
        <item x="3778"/>
        <item x="3779"/>
        <item x="3781"/>
        <item x="2663"/>
        <item x="2535"/>
        <item x="2586"/>
        <item x="2396"/>
        <item x="2664"/>
        <item x="2534"/>
        <item x="3790"/>
        <item x="2397"/>
        <item x="3792"/>
        <item x="2400"/>
        <item x="3406"/>
        <item x="3405"/>
        <item x="3793"/>
        <item x="3795"/>
        <item x="3408"/>
        <item x="3796"/>
        <item x="260"/>
        <item x="790"/>
        <item x="3794"/>
        <item x="3791"/>
        <item x="2361"/>
        <item x="780"/>
        <item x="771"/>
        <item x="5662"/>
        <item x="1229"/>
        <item x="1174"/>
        <item x="3800"/>
        <item x="1125"/>
        <item x="1697"/>
        <item x="1261"/>
        <item x="1372"/>
        <item x="3802"/>
        <item x="3785"/>
        <item x="3784"/>
        <item x="1345"/>
        <item x="3804"/>
        <item x="1357"/>
        <item x="3805"/>
        <item x="175"/>
        <item x="174"/>
        <item x="3809"/>
        <item x="3810"/>
        <item x="3814"/>
        <item x="3807"/>
        <item x="3819"/>
        <item x="3821"/>
        <item x="3818"/>
        <item x="3825"/>
        <item x="3826"/>
        <item x="3812"/>
        <item x="3833"/>
        <item x="3832"/>
        <item x="3834"/>
        <item x="3815"/>
        <item x="3816"/>
        <item x="3817"/>
        <item x="3838"/>
        <item x="3837"/>
        <item x="3808"/>
        <item x="3828"/>
        <item x="3836"/>
        <item x="3835"/>
        <item x="3827"/>
        <item x="3820"/>
        <item x="3839"/>
        <item x="3847"/>
        <item x="3849"/>
        <item x="3850"/>
        <item x="3848"/>
        <item x="3822"/>
        <item x="3853"/>
        <item x="3852"/>
        <item x="3813"/>
        <item x="3840"/>
        <item x="3854"/>
        <item x="3824"/>
        <item x="3830"/>
        <item x="3845"/>
        <item x="1376"/>
        <item x="1627"/>
        <item x="1625"/>
        <item x="1628"/>
        <item x="3863"/>
        <item x="3867"/>
        <item x="3869"/>
        <item x="3871"/>
        <item x="3866"/>
        <item x="3875"/>
        <item x="3872"/>
        <item x="3870"/>
        <item x="3876"/>
        <item x="3881"/>
        <item x="3883"/>
        <item x="1842"/>
        <item x="3886"/>
        <item x="1841"/>
        <item x="3891"/>
        <item x="3894"/>
        <item x="3892"/>
        <item x="3896"/>
        <item x="3268"/>
        <item x="3897"/>
        <item x="3906"/>
        <item x="3910"/>
        <item x="3907"/>
        <item x="3901"/>
        <item x="3909"/>
        <item x="3915"/>
        <item x="3917"/>
        <item x="3902"/>
        <item x="3916"/>
        <item x="3914"/>
        <item x="3908"/>
        <item x="3918"/>
        <item x="3921"/>
        <item x="3905"/>
        <item x="3904"/>
        <item x="3922"/>
        <item x="3919"/>
        <item x="3925"/>
        <item x="3913"/>
        <item x="3928"/>
        <item x="3929"/>
        <item x="3930"/>
        <item x="3923"/>
        <item x="176"/>
        <item x="3924"/>
        <item x="3811"/>
        <item x="3936"/>
        <item x="3938"/>
        <item x="3912"/>
        <item x="3937"/>
        <item x="3939"/>
        <item x="3940"/>
        <item x="496"/>
        <item x="3942"/>
        <item x="3934"/>
        <item x="3946"/>
        <item x="3947"/>
        <item x="3944"/>
        <item x="3935"/>
        <item x="3943"/>
        <item x="3933"/>
        <item x="3932"/>
        <item x="3927"/>
        <item x="3941"/>
        <item x="3920"/>
        <item x="3931"/>
        <item x="3926"/>
        <item x="3911"/>
        <item x="3948"/>
        <item x="3952"/>
        <item x="3956"/>
        <item x="3958"/>
        <item x="3957"/>
        <item x="1323"/>
        <item x="1768"/>
        <item x="3959"/>
        <item x="3962"/>
        <item x="3960"/>
        <item x="970"/>
        <item x="3963"/>
        <item x="3969"/>
        <item x="3889"/>
        <item x="3967"/>
        <item x="3965"/>
        <item x="3973"/>
        <item x="3885"/>
        <item x="3977"/>
        <item x="3978"/>
        <item x="3979"/>
        <item x="2324"/>
        <item x="3981"/>
        <item x="3986"/>
        <item x="3987"/>
        <item x="3984"/>
        <item x="3982"/>
        <item x="2325"/>
        <item x="2377"/>
        <item x="3985"/>
        <item x="3989"/>
        <item x="3992"/>
        <item x="3990"/>
        <item x="3993"/>
        <item x="3991"/>
        <item x="29"/>
        <item x="30"/>
        <item x="34"/>
        <item x="35"/>
        <item x="2340"/>
        <item x="3996"/>
        <item x="3997"/>
        <item x="3298"/>
        <item x="4000"/>
        <item x="3999"/>
        <item x="3998"/>
        <item x="4001"/>
        <item x="4002"/>
        <item x="181"/>
        <item x="3211"/>
        <item x="3214"/>
        <item x="3216"/>
        <item x="3217"/>
        <item x="3215"/>
        <item x="3209"/>
        <item x="3751"/>
        <item x="3898"/>
        <item x="3953"/>
        <item x="3895"/>
        <item x="4005"/>
        <item x="3508"/>
        <item x="3511"/>
        <item x="3514"/>
        <item x="3517"/>
        <item x="3520"/>
        <item x="3523"/>
        <item x="3526"/>
        <item x="3528"/>
        <item x="3450"/>
        <item x="3474"/>
        <item x="3532"/>
        <item x="3535"/>
        <item x="3539"/>
        <item x="3542"/>
        <item x="3545"/>
        <item x="3550"/>
        <item x="3493"/>
        <item x="4009"/>
        <item x="4011"/>
        <item x="1727"/>
        <item x="4007"/>
        <item x="4013"/>
        <item x="3441"/>
        <item x="3444"/>
        <item x="3499"/>
        <item x="4017"/>
        <item x="4018"/>
        <item x="4019"/>
        <item x="3782"/>
        <item x="3434"/>
        <item x="2819"/>
        <item x="2476"/>
        <item x="2869"/>
        <item x="3744"/>
        <item x="2654"/>
        <item x="4023"/>
        <item x="4021"/>
        <item x="4024"/>
        <item x="1403"/>
        <item x="4026"/>
        <item x="2655"/>
        <item x="4022"/>
        <item x="1402"/>
        <item x="2656"/>
        <item x="1497"/>
        <item x="4030"/>
        <item x="3494"/>
        <item x="4010"/>
        <item x="4012"/>
        <item x="4008"/>
        <item x="2336"/>
        <item x="3435"/>
        <item x="3455"/>
        <item x="2568"/>
        <item x="4032"/>
        <item x="2485"/>
        <item x="3447"/>
        <item x="4034"/>
        <item x="4043"/>
        <item x="3486"/>
        <item x="4037"/>
        <item x="4033"/>
        <item x="4041"/>
        <item x="2486"/>
        <item x="4048"/>
        <item x="4051"/>
        <item x="4052"/>
        <item x="3857"/>
        <item x="3846"/>
        <item x="4055"/>
        <item x="4050"/>
        <item x="4054"/>
        <item x="4061"/>
        <item x="4066"/>
        <item x="4068"/>
        <item x="4065"/>
        <item x="4064"/>
        <item x="4071"/>
        <item x="4072"/>
        <item x="4074"/>
        <item x="4075"/>
        <item x="4077"/>
        <item x="2886"/>
        <item x="4062"/>
        <item x="4073"/>
        <item x="2887"/>
        <item x="4080"/>
        <item x="4079"/>
        <item x="4069"/>
        <item x="4078"/>
        <item x="4083"/>
        <item x="4084"/>
        <item x="4088"/>
        <item x="4081"/>
        <item x="4082"/>
        <item x="4070"/>
        <item x="4067"/>
        <item x="4076"/>
        <item x="4086"/>
        <item x="4085"/>
        <item x="4093"/>
        <item x="4090"/>
        <item x="4089"/>
        <item x="4092"/>
        <item x="3841"/>
        <item x="3855"/>
        <item x="4097"/>
        <item x="3842"/>
        <item x="3844"/>
        <item x="3843"/>
        <item x="4098"/>
        <item x="3856"/>
        <item x="3859"/>
        <item x="4099"/>
        <item x="4040"/>
        <item x="4049"/>
        <item x="4039"/>
        <item x="4091"/>
        <item x="4094"/>
        <item x="4058"/>
        <item x="4059"/>
        <item x="4063"/>
        <item x="3851"/>
        <item x="3755"/>
        <item x="4101"/>
        <item x="4103"/>
        <item x="4102"/>
        <item x="4104"/>
        <item x="4106"/>
        <item x="4105"/>
        <item x="4107"/>
        <item x="286"/>
        <item x="2193"/>
        <item x="2194"/>
        <item x="2842"/>
        <item x="4112"/>
        <item x="4115"/>
        <item x="4114"/>
        <item x="984"/>
        <item x="4095"/>
        <item x="4119"/>
        <item x="3980"/>
        <item x="4108"/>
        <item x="4109"/>
        <item x="4053"/>
        <item x="4121"/>
        <item x="4113"/>
        <item x="4122"/>
        <item x="4116"/>
        <item x="3738"/>
        <item x="3740"/>
        <item x="983"/>
        <item x="4120"/>
        <item x="2327"/>
        <item x="38"/>
        <item x="2096"/>
        <item x="2273"/>
        <item x="2335"/>
        <item x="1587"/>
        <item x="4123"/>
        <item x="4124"/>
        <item x="4125"/>
        <item x="954"/>
        <item x="4044"/>
        <item x="4128"/>
        <item x="4133"/>
        <item x="4514"/>
        <item x="4515"/>
        <item x="3666"/>
        <item x="4117"/>
        <item x="4118"/>
        <item x="4140"/>
        <item x="4139"/>
        <item x="4141"/>
        <item x="4138"/>
        <item x="4143"/>
        <item x="1416"/>
        <item x="4146"/>
        <item x="4147"/>
        <item x="1781"/>
        <item x="4149"/>
        <item x="4150"/>
        <item x="2221"/>
        <item x="4151"/>
        <item x="2452"/>
        <item x="4153"/>
        <item x="3112"/>
        <item x="3121"/>
        <item x="3124"/>
        <item x="2456"/>
        <item x="4158"/>
        <item x="4155"/>
        <item x="2447"/>
        <item x="2454"/>
        <item x="4161"/>
        <item x="3899"/>
        <item x="3094"/>
        <item x="291"/>
        <item x="3093"/>
        <item x="3087"/>
        <item x="4164"/>
        <item x="4163"/>
        <item x="4165"/>
        <item x="3097"/>
        <item x="3106"/>
        <item x="3099"/>
        <item x="4156"/>
        <item x="2975"/>
        <item x="522"/>
        <item x="523"/>
        <item x="4171"/>
        <item x="650"/>
        <item x="661"/>
        <item x="2425"/>
        <item x="515"/>
        <item x="517"/>
        <item x="513"/>
        <item x="2423"/>
        <item x="4176"/>
        <item x="2426"/>
        <item x="2424"/>
        <item x="4167"/>
        <item x="4173"/>
        <item x="4168"/>
        <item x="4169"/>
        <item x="462"/>
        <item x="463"/>
        <item x="2911"/>
        <item x="4179"/>
        <item x="2428"/>
        <item x="4181"/>
        <item x="652"/>
        <item x="525"/>
        <item x="2778"/>
        <item x="2785"/>
        <item x="3037"/>
        <item x="2907"/>
        <item x="2909"/>
        <item x="429"/>
        <item x="4187"/>
        <item x="4188"/>
        <item x="3267"/>
        <item x="548"/>
        <item x="3251"/>
        <item x="3245"/>
        <item x="2449"/>
        <item x="269"/>
        <item x="272"/>
        <item x="549"/>
        <item x="2199"/>
        <item x="4200"/>
        <item x="3766"/>
        <item x="4204"/>
        <item x="4205"/>
        <item x="4206"/>
        <item x="4209"/>
        <item x="2923"/>
        <item x="2924"/>
        <item x="3358"/>
        <item x="3359"/>
        <item x="3356"/>
        <item x="3357"/>
        <item x="4212"/>
        <item x="4213"/>
        <item x="4214"/>
        <item x="4218"/>
        <item x="4217"/>
        <item x="4219"/>
        <item x="4215"/>
        <item x="4216"/>
        <item x="4203"/>
        <item x="4202"/>
        <item x="4207"/>
        <item x="4208"/>
        <item x="4223"/>
        <item x="4222"/>
        <item x="2830"/>
        <item x="4175"/>
        <item x="3767"/>
        <item x="4229"/>
        <item x="4210"/>
        <item x="4230"/>
        <item x="1354"/>
        <item x="4232"/>
        <item x="4233"/>
        <item x="1310"/>
        <item x="1308"/>
        <item x="4244"/>
        <item x="4245"/>
        <item x="4246"/>
        <item x="4247"/>
        <item x="4248"/>
        <item x="4250"/>
        <item x="4252"/>
        <item x="4236"/>
        <item x="4241"/>
        <item x="4251"/>
        <item x="1757"/>
        <item x="4234"/>
        <item x="1758"/>
        <item x="4238"/>
        <item x="4242"/>
        <item x="4253"/>
        <item x="1400"/>
        <item x="4254"/>
        <item x="4239"/>
        <item x="4249"/>
        <item x="4240"/>
        <item x="4237"/>
        <item x="4235"/>
        <item x="1290"/>
        <item x="1710"/>
        <item x="2433"/>
        <item x="2434"/>
        <item x="2435"/>
        <item x="2432"/>
        <item x="828"/>
        <item x="4257"/>
        <item x="3600"/>
        <item x="4259"/>
        <item x="4260"/>
        <item x="4261"/>
        <item x="4258"/>
        <item x="4586"/>
        <item x="962"/>
        <item x="961"/>
        <item x="2672"/>
        <item x="1118"/>
        <item x="1150"/>
        <item x="1151"/>
        <item x="1152"/>
        <item x="1147"/>
        <item x="1144"/>
        <item x="1145"/>
        <item x="1149"/>
        <item x="2843"/>
        <item x="2442"/>
        <item x="1200"/>
        <item x="1202"/>
        <item x="1203"/>
        <item x="1201"/>
        <item x="1254"/>
        <item x="1214"/>
        <item x="4264"/>
        <item x="4265"/>
        <item x="1215"/>
        <item x="1382"/>
        <item x="1271"/>
        <item x="4268"/>
        <item x="1288"/>
        <item x="1304"/>
        <item x="1341"/>
        <item x="1312"/>
        <item x="1339"/>
        <item x="1303"/>
        <item x="1299"/>
        <item x="1286"/>
        <item x="1671"/>
        <item x="4273"/>
        <item x="2277"/>
        <item x="2278"/>
        <item x="4278"/>
        <item x="1410"/>
        <item x="4279"/>
        <item x="4281"/>
        <item x="4283"/>
        <item x="4282"/>
        <item x="1269"/>
        <item x="1091"/>
        <item x="1088"/>
        <item x="4284"/>
        <item x="4287"/>
        <item x="4285"/>
        <item x="2916"/>
        <item x="4286"/>
        <item x="2342"/>
        <item x="4180"/>
        <item x="2912"/>
        <item x="3187"/>
        <item x="4289"/>
        <item x="2079"/>
        <item x="3561"/>
        <item x="3341"/>
        <item x="2111"/>
        <item x="4290"/>
        <item x="4291"/>
        <item x="4292"/>
        <item x="4293"/>
        <item x="4294"/>
        <item x="3349"/>
        <item x="2660"/>
        <item x="4296"/>
        <item x="4299"/>
        <item x="4297"/>
        <item x="2329"/>
        <item x="4302"/>
        <item x="4304"/>
        <item x="4306"/>
        <item x="2820"/>
        <item x="3361"/>
        <item x="4170"/>
        <item x="4309"/>
        <item x="4310"/>
        <item x="3363"/>
        <item x="3367"/>
        <item x="4313"/>
        <item x="4314"/>
        <item x="4316"/>
        <item x="4317"/>
        <item x="3572"/>
        <item x="4319"/>
        <item x="4320"/>
        <item x="4323"/>
        <item x="4326"/>
        <item x="4328"/>
        <item x="4329"/>
        <item x="4322"/>
        <item x="4336"/>
        <item x="4335"/>
        <item x="4332"/>
        <item x="3764"/>
        <item x="3763"/>
        <item x="4337"/>
        <item x="3798"/>
        <item x="4342"/>
        <item x="4340"/>
        <item x="4343"/>
        <item x="4344"/>
        <item x="3761"/>
        <item x="4341"/>
        <item x="4339"/>
        <item x="3762"/>
        <item x="4345"/>
        <item x="4338"/>
        <item x="690"/>
        <item x="4350"/>
        <item x="2831"/>
        <item x="4330"/>
        <item x="4352"/>
        <item x="4351"/>
        <item x="4355"/>
        <item x="4353"/>
        <item x="4356"/>
        <item x="4358"/>
        <item x="4359"/>
        <item x="4354"/>
        <item x="3467"/>
        <item x="4361"/>
        <item x="4360"/>
        <item x="4327"/>
        <item x="4362"/>
        <item x="3468"/>
        <item x="1226"/>
        <item x="4364"/>
        <item x="4363"/>
        <item x="1239"/>
        <item x="1735"/>
        <item x="3446"/>
        <item x="4157"/>
        <item x="966"/>
        <item x="965"/>
        <item x="3575"/>
        <item x="4333"/>
        <item x="4321"/>
        <item x="4300"/>
        <item x="4301"/>
        <item x="4366"/>
        <item x="4367"/>
        <item x="4325"/>
        <item x="3983"/>
        <item x="1183"/>
        <item x="1198"/>
        <item x="1184"/>
        <item x="1199"/>
        <item x="4298"/>
        <item x="4369"/>
        <item x="4368"/>
        <item x="3379"/>
        <item x="1987"/>
        <item x="3362"/>
        <item x="3364"/>
        <item x="4312"/>
        <item x="4315"/>
        <item x="3368"/>
        <item x="3573"/>
        <item x="4318"/>
        <item x="4370"/>
        <item x="4373"/>
        <item x="4371"/>
        <item x="4374"/>
        <item x="4377"/>
        <item x="4378"/>
        <item x="3331"/>
        <item x="4375"/>
        <item x="4379"/>
        <item x="4382"/>
        <item x="4383"/>
        <item x="4380"/>
        <item x="4372"/>
        <item x="4384"/>
        <item x="4388"/>
        <item x="4390"/>
        <item x="4389"/>
        <item x="2499"/>
        <item x="3338"/>
        <item x="1401"/>
        <item x="1560"/>
        <item x="4394"/>
        <item x="3670"/>
        <item x="3620"/>
        <item x="2905"/>
        <item x="1573"/>
        <item x="1572"/>
        <item x="3242"/>
        <item x="3244"/>
        <item x="3250"/>
        <item x="3248"/>
        <item x="2910"/>
        <item x="1578"/>
        <item x="1580"/>
        <item x="4395"/>
        <item x="4396"/>
        <item x="4311"/>
        <item x="4172"/>
        <item x="2607"/>
        <item x="2589"/>
        <item x="5670"/>
        <item x="3353"/>
        <item x="4402"/>
        <item x="4404"/>
        <item x="4407"/>
        <item x="3787"/>
        <item x="3786"/>
        <item x="4408"/>
        <item x="3789"/>
        <item x="4405"/>
        <item x="4406"/>
        <item x="3788"/>
        <item x="4331"/>
        <item x="4409"/>
        <item x="4411"/>
        <item x="4414"/>
        <item x="4415"/>
        <item x="4417"/>
        <item x="4416"/>
        <item x="4412"/>
        <item x="4413"/>
        <item x="845"/>
        <item x="4420"/>
        <item x="4303"/>
        <item x="4305"/>
        <item x="4087"/>
        <item x="4421"/>
        <item x="4424"/>
        <item x="4427"/>
        <item x="4428"/>
        <item x="4430"/>
        <item x="3823"/>
        <item x="3829"/>
        <item x="4426"/>
        <item x="4425"/>
        <item x="4429"/>
        <item x="4269"/>
        <item x="4433"/>
        <item x="4434"/>
        <item x="4422"/>
        <item x="4423"/>
        <item x="4431"/>
        <item x="4042"/>
        <item x="4432"/>
        <item x="4436"/>
        <item x="4437"/>
        <item x="2484"/>
        <item x="4060"/>
        <item x="4438"/>
        <item x="4439"/>
        <item x="4442"/>
        <item x="4443"/>
        <item x="4445"/>
        <item x="4440"/>
        <item x="4028"/>
        <item x="4025"/>
        <item x="4444"/>
        <item x="4441"/>
        <item x="3988"/>
        <item x="4446"/>
        <item x="1763"/>
        <item x="4452"/>
        <item x="4448"/>
        <item x="4449"/>
        <item x="4453"/>
        <item x="4457"/>
        <item x="4465"/>
        <item x="4466"/>
        <item x="1126"/>
        <item x="4459"/>
        <item x="4467"/>
        <item x="4469"/>
        <item x="4468"/>
        <item x="4474"/>
        <item x="4473"/>
        <item x="4475"/>
        <item x="4470"/>
        <item x="4450"/>
        <item x="4476"/>
        <item x="4477"/>
        <item x="4478"/>
        <item x="4479"/>
        <item x="4480"/>
        <item x="2410"/>
        <item x="4481"/>
        <item x="4482"/>
        <item x="2412"/>
        <item x="1218"/>
        <item x="4483"/>
        <item x="4484"/>
        <item x="4266"/>
        <item x="4267"/>
        <item x="4192"/>
        <item x="4193"/>
        <item x="4194"/>
        <item x="4195"/>
        <item x="2945"/>
        <item x="4485"/>
        <item x="1241"/>
        <item x="4488"/>
        <item x="1244"/>
        <item x="1248"/>
        <item x="1246"/>
        <item x="2951"/>
        <item x="4487"/>
        <item x="3831"/>
        <item x="3858"/>
        <item x="4490"/>
        <item x="4489"/>
        <item x="4491"/>
        <item x="4100"/>
        <item x="1190"/>
        <item x="1761"/>
        <item x="2332"/>
        <item x="1207"/>
        <item x="1209"/>
        <item x="1211"/>
        <item x="1213"/>
        <item x="2614"/>
        <item x="4152"/>
        <item x="1191"/>
        <item x="2615"/>
        <item x="1192"/>
        <item x="1195"/>
        <item x="1196"/>
        <item x="1193"/>
        <item x="3754"/>
        <item x="3756"/>
        <item x="4497"/>
        <item x="4504"/>
        <item x="4505"/>
        <item x="4498"/>
        <item x="4506"/>
        <item x="4288"/>
        <item x="1172"/>
        <item x="1262"/>
        <item x="1260"/>
        <item x="1266"/>
        <item x="1373"/>
        <item x="1132"/>
        <item x="3460"/>
        <item x="4509"/>
        <item x="4508"/>
        <item x="3461"/>
        <item x="1417"/>
        <item x="1589"/>
        <item x="4145"/>
        <item x="4144"/>
        <item x="4510"/>
        <item x="4511"/>
        <item x="2949"/>
        <item x="39"/>
        <item x="4512"/>
        <item x="4513"/>
        <item x="4142"/>
        <item x="2317"/>
        <item x="2320"/>
        <item x="4148"/>
        <item x="2321"/>
        <item x="2318"/>
        <item x="4516"/>
        <item x="4517"/>
        <item x="4521"/>
        <item x="4523"/>
        <item x="4524"/>
        <item x="4525"/>
        <item x="4526"/>
        <item x="4528"/>
        <item x="4518"/>
        <item x="4522"/>
        <item x="4520"/>
        <item x="4348"/>
        <item x="4347"/>
        <item x="4349"/>
        <item x="4346"/>
        <item x="2953"/>
        <item x="4530"/>
        <item x="4527"/>
        <item x="4529"/>
        <item x="4231"/>
        <item x="4531"/>
        <item x="4535"/>
        <item x="4536"/>
        <item x="4537"/>
        <item x="4539"/>
        <item x="4540"/>
        <item x="4533"/>
        <item x="4543"/>
        <item x="4545"/>
        <item x="4547"/>
        <item x="4551"/>
        <item x="279"/>
        <item x="4555"/>
        <item x="3949"/>
        <item x="3951"/>
        <item x="3950"/>
        <item x="4557"/>
        <item x="3903"/>
        <item x="3954"/>
        <item x="4559"/>
        <item x="3955"/>
        <item x="1984"/>
        <item x="1980"/>
        <item x="1992"/>
        <item x="2001"/>
        <item x="3236"/>
        <item x="4561"/>
        <item x="4562"/>
        <item x="4564"/>
        <item x="4566"/>
        <item x="4565"/>
        <item x="4567"/>
        <item x="4568"/>
        <item x="3237"/>
        <item x="4570"/>
        <item x="2994"/>
        <item x="4569"/>
        <item x="2999"/>
        <item x="4563"/>
        <item x="3006"/>
        <item x="3004"/>
        <item x="4571"/>
        <item x="4574"/>
        <item x="4573"/>
        <item x="4575"/>
        <item x="4577"/>
        <item x="4578"/>
        <item x="4576"/>
        <item x="4580"/>
        <item x="4581"/>
        <item x="4308"/>
        <item x="4263"/>
        <item x="4582"/>
        <item x="2841"/>
        <item x="4583"/>
        <item x="4584"/>
        <item x="3569"/>
        <item x="131"/>
        <item x="1216"/>
        <item x="4057"/>
        <item x="4045"/>
        <item x="4038"/>
        <item x="4587"/>
        <item x="2490"/>
        <item x="4590"/>
        <item x="5224"/>
        <item x="4579"/>
        <item x="1258"/>
        <item x="1259"/>
        <item x="2932"/>
        <item x="1406"/>
        <item x="1227"/>
        <item x="4596"/>
        <item x="1407"/>
        <item x="1228"/>
        <item x="2483"/>
        <item x="2812"/>
        <item x="2481"/>
        <item x="2479"/>
        <item x="2964"/>
        <item x="2888"/>
        <item x="551"/>
        <item x="4597"/>
        <item x="553"/>
        <item x="1346"/>
        <item x="3469"/>
        <item x="297"/>
        <item x="283"/>
        <item x="2198"/>
        <item x="4603"/>
        <item x="4605"/>
        <item x="4604"/>
        <item x="1482"/>
        <item x="4606"/>
        <item x="4608"/>
        <item x="4612"/>
        <item x="4610"/>
        <item x="4609"/>
        <item x="1555"/>
        <item x="1947"/>
        <item x="4614"/>
        <item x="4615"/>
        <item x="4616"/>
        <item x="4617"/>
        <item x="4618"/>
        <item x="1440"/>
        <item x="1442"/>
        <item x="1896"/>
        <item x="1895"/>
        <item x="4619"/>
        <item x="4621"/>
        <item x="4620"/>
        <item x="2264"/>
        <item x="427"/>
        <item x="2265"/>
        <item x="4623"/>
        <item x="430"/>
        <item x="2115"/>
        <item x="4624"/>
        <item x="4627"/>
        <item x="4625"/>
        <item x="4626"/>
        <item x="4628"/>
        <item x="460"/>
        <item x="461"/>
        <item x="2460"/>
        <item x="3749"/>
        <item x="2214"/>
        <item x="4185"/>
        <item x="4632"/>
        <item x="4630"/>
        <item x="4640"/>
        <item x="323"/>
        <item x="325"/>
        <item x="4641"/>
        <item x="326"/>
        <item x="324"/>
        <item x="4644"/>
        <item x="4639"/>
        <item x="314"/>
        <item x="148"/>
        <item x="4645"/>
        <item x="2229"/>
        <item x="1366"/>
        <item x="1364"/>
        <item x="207"/>
        <item x="167"/>
        <item x="152"/>
        <item x="2224"/>
        <item x="151"/>
        <item x="2225"/>
        <item x="4651"/>
        <item x="4652"/>
        <item x="4653"/>
        <item x="4657"/>
        <item x="4656"/>
        <item x="2542"/>
        <item x="4655"/>
        <item x="4650"/>
        <item x="2238"/>
        <item x="2237"/>
        <item x="4622"/>
        <item x="4659"/>
        <item x="3995"/>
        <item x="3994"/>
        <item x="1015"/>
        <item x="4667"/>
        <item x="4669"/>
        <item x="4668"/>
        <item x="4664"/>
        <item x="454"/>
        <item x="2491"/>
        <item x="4589"/>
        <item x="4672"/>
        <item x="4674"/>
        <item x="4677"/>
        <item x="4679"/>
        <item x="4678"/>
        <item x="1139"/>
        <item x="1135"/>
        <item x="4680"/>
        <item x="4683"/>
        <item x="4681"/>
        <item x="4684"/>
        <item x="4687"/>
        <item x="4685"/>
        <item x="4682"/>
        <item x="4688"/>
        <item x="3806"/>
        <item x="4689"/>
        <item x="4690"/>
        <item x="915"/>
        <item x="917"/>
        <item x="903"/>
        <item x="898"/>
        <item x="925"/>
        <item x="911"/>
        <item x="908"/>
        <item x="4692"/>
        <item x="4691"/>
        <item x="920"/>
        <item x="924"/>
        <item x="4694"/>
        <item x="4693"/>
        <item x="918"/>
        <item x="919"/>
        <item x="3384"/>
        <item x="1688"/>
        <item x="1396"/>
        <item x="1699"/>
        <item x="4699"/>
        <item x="4695"/>
        <item x="4696"/>
        <item x="1397"/>
        <item x="4594"/>
        <item x="4593"/>
        <item x="1689"/>
        <item x="4700"/>
        <item x="4698"/>
        <item x="938"/>
        <item x="4709"/>
        <item x="681"/>
        <item x="2899"/>
        <item x="2896"/>
        <item x="4191"/>
        <item x="4707"/>
        <item x="4129"/>
        <item x="922"/>
        <item x="4130"/>
        <item x="4706"/>
        <item x="4134"/>
        <item x="4135"/>
        <item x="4131"/>
        <item x="4132"/>
        <item x="4137"/>
        <item x="4710"/>
        <item x="4711"/>
        <item x="4136"/>
        <item x="939"/>
        <item x="4701"/>
        <item x="935"/>
        <item x="3206"/>
        <item x="4723"/>
        <item x="4728"/>
        <item x="2197"/>
        <item x="4110"/>
        <item x="4670"/>
        <item x="4111"/>
        <item x="4731"/>
        <item x="1451"/>
        <item x="4588"/>
        <item x="4591"/>
        <item x="4671"/>
        <item x="5753"/>
        <item x="4732"/>
        <item x="4734"/>
        <item x="4733"/>
        <item x="4676"/>
        <item x="4673"/>
        <item x="4717"/>
        <item x="4737"/>
        <item x="4719"/>
        <item x="4721"/>
        <item x="4720"/>
        <item x="139"/>
        <item x="4729"/>
        <item x="4724"/>
        <item x="4730"/>
        <item x="4726"/>
        <item x="1692"/>
        <item x="1695"/>
        <item x="4027"/>
        <item x="1383"/>
        <item x="4029"/>
        <item x="2657"/>
        <item x="2246"/>
        <item x="142"/>
        <item x="3426"/>
        <item x="3430"/>
        <item x="3427"/>
        <item x="3431"/>
        <item x="4255"/>
        <item x="4243"/>
        <item x="1353"/>
        <item x="4736"/>
        <item x="4722"/>
        <item x="4727"/>
        <item x="2414"/>
        <item x="4675"/>
        <item x="4718"/>
        <item x="2616"/>
        <item x="4725"/>
        <item x="2415"/>
        <item x="412"/>
        <item x="1096"/>
        <item x="1326"/>
        <item x="1358"/>
        <item x="4741"/>
        <item x="2913"/>
        <item x="1225"/>
        <item x="2958"/>
        <item x="4742"/>
        <item x="4499"/>
        <item x="4496"/>
        <item x="2065"/>
        <item x="4744"/>
        <item x="58"/>
        <item x="2039"/>
        <item x="4746"/>
        <item x="4745"/>
        <item x="4748"/>
        <item x="1425"/>
        <item x="1702"/>
        <item x="4751"/>
        <item x="3397"/>
        <item x="4754"/>
        <item x="4757"/>
        <item x="4755"/>
        <item x="555"/>
        <item x="552"/>
        <item x="4759"/>
        <item x="4761"/>
        <item x="4762"/>
        <item x="4760"/>
        <item x="4765"/>
        <item x="4768"/>
        <item x="4766"/>
        <item x="4770"/>
        <item x="4771"/>
        <item x="4774"/>
        <item x="990"/>
        <item x="4777"/>
        <item x="4772"/>
        <item x="4779"/>
        <item x="4782"/>
        <item x="4784"/>
        <item x="4786"/>
        <item x="4780"/>
        <item x="4789"/>
        <item x="4792"/>
        <item x="4790"/>
        <item x="1437"/>
        <item x="4795"/>
        <item x="4796"/>
        <item x="4799"/>
        <item x="4802"/>
        <item x="4803"/>
        <item x="4805"/>
        <item x="4159"/>
        <item x="4806"/>
        <item x="4809"/>
        <item x="4808"/>
        <item x="4807"/>
        <item x="4813"/>
        <item x="4814"/>
        <item x="4816"/>
        <item x="4818"/>
        <item x="4810"/>
        <item x="2315"/>
        <item x="2314"/>
        <item x="1469"/>
        <item x="1470"/>
        <item x="4800"/>
        <item x="4801"/>
        <item x="4820"/>
        <item x="3970"/>
        <item x="3975"/>
        <item x="3968"/>
        <item x="4828"/>
        <item x="4826"/>
        <item x="4823"/>
        <item x="4838"/>
        <item x="4835"/>
        <item x="4833"/>
        <item x="973"/>
        <item x="4843"/>
        <item x="1766"/>
        <item x="974"/>
        <item x="4846"/>
        <item x="971"/>
        <item x="3972"/>
        <item x="4849"/>
        <item x="3966"/>
        <item x="3964"/>
        <item x="4851"/>
        <item x="3976"/>
        <item x="4854"/>
        <item x="976"/>
        <item x="1769"/>
        <item x="1767"/>
        <item x="3961"/>
        <item x="4856"/>
        <item x="4860"/>
        <item x="4863"/>
        <item x="4866"/>
        <item x="4867"/>
        <item x="4882"/>
        <item x="4875"/>
        <item x="4749"/>
        <item x="4887"/>
        <item x="4877"/>
        <item x="4892"/>
        <item x="4896"/>
        <item x="4901"/>
        <item x="4893"/>
        <item x="1705"/>
        <item x="4902"/>
        <item x="4905"/>
        <item x="4908"/>
        <item x="4906"/>
        <item x="4915"/>
        <item x="4909"/>
        <item x="4919"/>
        <item x="4920"/>
        <item x="4910"/>
        <item x="4817"/>
        <item x="4921"/>
        <item x="4811"/>
        <item x="4812"/>
        <item x="4924"/>
        <item x="2824"/>
        <item x="4933"/>
        <item x="4925"/>
        <item x="4936"/>
        <item x="4930"/>
        <item x="2829"/>
        <item x="4928"/>
        <item x="4776"/>
        <item x="4775"/>
        <item x="4825"/>
        <item x="4829"/>
        <item x="4830"/>
        <item x="4822"/>
        <item x="4839"/>
        <item x="4836"/>
        <item x="4840"/>
        <item x="4832"/>
        <item x="4858"/>
        <item x="4859"/>
        <item x="4897"/>
        <item x="4898"/>
        <item x="4899"/>
        <item x="4939"/>
        <item x="4912"/>
        <item x="4941"/>
        <item x="4900"/>
        <item x="4750"/>
        <item x="4943"/>
        <item x="1392"/>
        <item x="4788"/>
        <item x="4787"/>
        <item x="4944"/>
        <item x="4947"/>
        <item x="4946"/>
        <item x="4945"/>
        <item x="4951"/>
        <item x="4952"/>
        <item x="4948"/>
        <item x="4953"/>
        <item x="4955"/>
        <item x="4957"/>
        <item x="4956"/>
        <item x="4890"/>
        <item x="4889"/>
        <item x="4871"/>
        <item x="4865"/>
        <item x="4962"/>
        <item x="4960"/>
        <item x="1186"/>
        <item x="4964"/>
        <item x="4872"/>
        <item x="4961"/>
        <item x="4869"/>
        <item x="4756"/>
        <item x="4599"/>
        <item x="1838"/>
        <item x="2034"/>
        <item x="4965"/>
        <item x="4968"/>
        <item x="4708"/>
        <item x="2863"/>
        <item x="2867"/>
        <item x="4845"/>
        <item x="4600"/>
        <item x="4966"/>
        <item x="4969"/>
        <item x="4970"/>
        <item x="4967"/>
        <item x="4763"/>
        <item x="4971"/>
        <item x="4764"/>
        <item x="4972"/>
        <item x="4973"/>
        <item x="1418"/>
        <item x="4976"/>
        <item x="465"/>
        <item x="4979"/>
        <item x="4987"/>
        <item x="4988"/>
        <item x="4767"/>
        <item x="4769"/>
        <item x="4990"/>
        <item x="4991"/>
        <item x="4984"/>
        <item x="4989"/>
        <item x="979"/>
        <item x="4959"/>
        <item x="4954"/>
        <item x="4982"/>
        <item x="4985"/>
        <item x="4993"/>
        <item x="4997"/>
        <item x="4998"/>
        <item x="5000"/>
        <item x="5001"/>
        <item x="1772"/>
        <item x="5003"/>
        <item x="5004"/>
        <item x="5006"/>
        <item x="5007"/>
        <item x="5009"/>
        <item x="5010"/>
        <item x="1782"/>
        <item x="5012"/>
        <item x="5013"/>
        <item x="991"/>
        <item x="5015"/>
        <item x="5018"/>
        <item x="5020"/>
        <item x="5016"/>
        <item x="5021"/>
        <item x="4613"/>
        <item x="998"/>
        <item x="4611"/>
        <item x="5023"/>
        <item x="5025"/>
        <item x="4778"/>
        <item x="4891"/>
        <item x="5026"/>
        <item x="4224"/>
        <item x="999"/>
        <item x="4824"/>
        <item x="5035"/>
        <item x="5037"/>
        <item x="5038"/>
        <item x="4831"/>
        <item x="4834"/>
        <item x="4793"/>
        <item x="4781"/>
        <item x="4842"/>
        <item x="5041"/>
        <item x="1813"/>
        <item x="1814"/>
        <item x="4844"/>
        <item x="5047"/>
        <item x="1765"/>
        <item x="3971"/>
        <item x="5040"/>
        <item x="5046"/>
        <item x="4857"/>
        <item x="5051"/>
        <item x="2870"/>
        <item x="2859"/>
        <item x="4870"/>
        <item x="5054"/>
        <item x="4876"/>
        <item x="1468"/>
        <item x="4885"/>
        <item x="4903"/>
        <item x="4714"/>
        <item x="4907"/>
        <item x="4715"/>
        <item x="5055"/>
        <item x="4752"/>
        <item x="4753"/>
        <item x="4916"/>
        <item x="5056"/>
        <item x="4983"/>
        <item x="4986"/>
        <item x="4994"/>
        <item x="4999"/>
        <item x="5002"/>
        <item x="5005"/>
        <item x="5008"/>
        <item x="5011"/>
        <item x="4914"/>
        <item x="5014"/>
        <item x="4923"/>
        <item x="5061"/>
        <item x="5062"/>
        <item x="4815"/>
        <item x="5057"/>
        <item x="5034"/>
        <item x="5033"/>
        <item x="5060"/>
        <item x="4544"/>
        <item x="1774"/>
        <item x="840"/>
        <item x="1932"/>
        <item x="3974"/>
        <item x="4827"/>
        <item x="2381"/>
        <item x="841"/>
        <item x="4837"/>
        <item x="4841"/>
        <item x="1803"/>
        <item x="1808"/>
        <item x="4853"/>
        <item x="4855"/>
        <item x="4861"/>
        <item x="4862"/>
        <item x="4864"/>
        <item x="4868"/>
        <item x="4873"/>
        <item x="4878"/>
        <item x="4895"/>
        <item x="5039"/>
        <item x="4938"/>
        <item x="4874"/>
        <item x="4879"/>
        <item x="4880"/>
        <item x="5052"/>
        <item x="2383"/>
        <item x="4883"/>
        <item x="4884"/>
        <item x="4888"/>
        <item x="2379"/>
        <item x="1706"/>
        <item x="4911"/>
        <item x="4598"/>
        <item x="4974"/>
        <item x="2825"/>
        <item x="5066"/>
        <item x="5067"/>
        <item x="5053"/>
        <item x="2890"/>
        <item x="5068"/>
        <item x="5065"/>
        <item x="4904"/>
        <item x="4922"/>
        <item x="4937"/>
        <item x="5048"/>
        <item x="5070"/>
        <item x="5049"/>
        <item x="4881"/>
        <item x="5019"/>
        <item x="5024"/>
        <item x="5027"/>
        <item x="4932"/>
        <item x="4935"/>
        <item x="4929"/>
        <item x="4886"/>
        <item x="4894"/>
        <item x="4848"/>
        <item x="5079"/>
        <item x="5078"/>
        <item x="5050"/>
        <item x="5071"/>
        <item x="5072"/>
        <item x="4975"/>
        <item x="5029"/>
        <item x="4228"/>
        <item x="5074"/>
        <item x="5077"/>
        <item x="5036"/>
        <item x="5075"/>
        <item x="654"/>
        <item x="657"/>
        <item x="5073"/>
        <item x="5076"/>
        <item x="656"/>
        <item x="4226"/>
        <item x="655"/>
        <item x="5044"/>
        <item x="2348"/>
        <item x="4852"/>
        <item x="5069"/>
        <item x="4850"/>
        <item x="1389"/>
        <item x="4758"/>
        <item x="5082"/>
        <item x="5084"/>
        <item x="3890"/>
        <item x="5063"/>
        <item x="4821"/>
        <item x="4798"/>
        <item x="5086"/>
        <item x="5087"/>
        <item x="4797"/>
        <item x="5028"/>
        <item x="4785"/>
        <item x="4940"/>
        <item x="4783"/>
        <item x="4791"/>
        <item x="4794"/>
        <item x="5042"/>
        <item x="5058"/>
        <item x="5043"/>
        <item x="5045"/>
        <item x="3398"/>
        <item x="4716"/>
        <item x="1994"/>
        <item x="2003"/>
        <item x="294"/>
        <item x="276"/>
        <item x="4819"/>
        <item x="4963"/>
        <item x="5089"/>
        <item x="5059"/>
        <item x="2868"/>
        <item x="2891"/>
        <item x="5090"/>
        <item x="1420"/>
        <item x="1419"/>
        <item x="4995"/>
        <item x="4949"/>
        <item x="4950"/>
        <item x="4773"/>
        <item x="5256"/>
        <item x="4410"/>
        <item x="4913"/>
        <item x="4918"/>
        <item x="4917"/>
        <item x="4926"/>
        <item x="4927"/>
        <item x="5088"/>
        <item x="5031"/>
        <item x="4532"/>
        <item x="2864"/>
        <item x="1422"/>
        <item x="1421"/>
        <item x="4295"/>
        <item x="5091"/>
        <item x="5092"/>
        <item x="4996"/>
        <item x="4958"/>
        <item x="5017"/>
        <item x="5022"/>
        <item x="977"/>
        <item x="2861"/>
        <item x="5064"/>
        <item x="5030"/>
        <item x="4592"/>
        <item x="4738"/>
        <item x="4739"/>
        <item x="2208"/>
        <item x="4127"/>
        <item x="959"/>
        <item x="960"/>
        <item x="4126"/>
        <item x="674"/>
        <item x="673"/>
        <item x="5096"/>
        <item x="5099"/>
        <item x="5097"/>
        <item x="3410"/>
        <item x="5104"/>
        <item x="5103"/>
        <item x="3411"/>
        <item x="5100"/>
        <item x="5101"/>
        <item x="5102"/>
        <item x="5098"/>
        <item x="3409"/>
        <item x="5106"/>
        <item x="5105"/>
        <item x="5109"/>
        <item x="5107"/>
        <item x="5110"/>
        <item x="4471"/>
        <item x="4472"/>
        <item x="1764"/>
        <item x="5114"/>
        <item x="3882"/>
        <item x="3887"/>
        <item x="3888"/>
        <item x="1415"/>
        <item x="5121"/>
        <item x="5120"/>
        <item x="5119"/>
        <item x="3884"/>
        <item x="3880"/>
        <item x="3879"/>
        <item x="5122"/>
        <item x="5123"/>
        <item x="5124"/>
        <item x="4197"/>
        <item x="5125"/>
        <item x="4198"/>
        <item x="3389"/>
        <item x="3387"/>
        <item x="4636"/>
        <item x="3868"/>
        <item x="4637"/>
        <item x="3865"/>
        <item x="4560"/>
        <item x="4558"/>
        <item x="4554"/>
        <item x="5133"/>
        <item x="5134"/>
        <item x="4549"/>
        <item x="4546"/>
        <item x="5137"/>
        <item x="5138"/>
        <item x="5140"/>
        <item x="4096"/>
        <item x="1478"/>
        <item x="5142"/>
        <item x="4056"/>
        <item x="3741"/>
        <item x="3739"/>
        <item x="4633"/>
        <item x="3583"/>
        <item x="3585"/>
        <item x="4004"/>
        <item x="4006"/>
        <item x="5144"/>
        <item x="5145"/>
        <item x="3893"/>
        <item x="5132"/>
        <item x="5146"/>
        <item x="5148"/>
        <item x="5147"/>
        <item x="5131"/>
        <item x="5129"/>
        <item x="5149"/>
        <item x="5150"/>
        <item x="5130"/>
        <item x="2191"/>
        <item x="2196"/>
        <item x="2188"/>
        <item x="290"/>
        <item x="2195"/>
        <item x="4686"/>
        <item x="4660"/>
        <item x="4662"/>
        <item x="4661"/>
        <item x="4663"/>
        <item x="1453"/>
        <item x="285"/>
        <item x="287"/>
        <item x="292"/>
        <item x="2205"/>
        <item x="289"/>
        <item x="2209"/>
        <item x="5183"/>
        <item x="1810"/>
        <item x="4419"/>
        <item x="4418"/>
        <item x="5151"/>
        <item x="5113"/>
        <item x="5154"/>
        <item x="5156"/>
        <item x="5112"/>
        <item x="5158"/>
        <item x="797"/>
        <item x="796"/>
        <item x="1723"/>
        <item x="3393"/>
        <item x="5161"/>
        <item x="5163"/>
        <item x="815"/>
        <item x="847"/>
        <item x="846"/>
        <item x="5155"/>
        <item x="5157"/>
        <item x="5159"/>
        <item x="5160"/>
        <item x="3878"/>
        <item x="3877"/>
        <item x="798"/>
        <item x="5169"/>
        <item x="4631"/>
        <item x="4634"/>
        <item x="4638"/>
        <item x="4635"/>
        <item x="5177"/>
        <item x="5179"/>
        <item x="5180"/>
        <item x="4196"/>
        <item x="4199"/>
        <item x="5128"/>
        <item x="5127"/>
        <item x="3390"/>
        <item x="3385"/>
        <item x="3392"/>
        <item x="5164"/>
        <item x="5185"/>
        <item x="5186"/>
        <item x="5162"/>
        <item x="4642"/>
        <item x="5165"/>
        <item x="4643"/>
        <item x="5166"/>
        <item x="817"/>
        <item x="816"/>
        <item x="3036"/>
        <item x="3035"/>
        <item x="4184"/>
        <item x="4183"/>
        <item x="3873"/>
        <item x="5193"/>
        <item x="3874"/>
        <item x="5195"/>
        <item x="5197"/>
        <item x="5108"/>
        <item x="5178"/>
        <item x="5181"/>
        <item x="5111"/>
        <item x="5196"/>
        <item x="5194"/>
        <item x="5198"/>
        <item x="5200"/>
        <item x="5199"/>
        <item x="5202"/>
        <item x="5207"/>
        <item x="5201"/>
        <item x="5205"/>
        <item x="5210"/>
        <item x="5211"/>
        <item x="5182"/>
        <item x="5184"/>
        <item x="4435"/>
        <item x="5206"/>
        <item x="5209"/>
        <item x="243"/>
        <item x="244"/>
        <item x="5139"/>
        <item x="5141"/>
        <item x="5171"/>
        <item x="4186"/>
        <item x="3391"/>
        <item x="5187"/>
        <item x="5188"/>
        <item x="819"/>
        <item x="5213"/>
        <item x="5214"/>
        <item x="5170"/>
        <item x="5168"/>
        <item x="5172"/>
        <item x="5174"/>
        <item x="5176"/>
        <item x="5173"/>
        <item x="5175"/>
        <item x="5190"/>
        <item x="5192"/>
        <item x="5189"/>
        <item x="5191"/>
        <item x="5203"/>
        <item x="5204"/>
        <item x="5215"/>
        <item x="5217"/>
        <item x="5216"/>
        <item x="3238"/>
        <item x="3239"/>
        <item x="3232"/>
        <item x="3299"/>
        <item x="3235"/>
        <item x="607"/>
        <item x="606"/>
        <item x="5218"/>
        <item x="3173"/>
        <item x="5220"/>
        <item x="5221"/>
        <item x="3222"/>
        <item x="5223"/>
        <item x="5219"/>
        <item x="5222"/>
        <item x="3224"/>
        <item x="603"/>
        <item x="2643"/>
        <item x="2230"/>
        <item x="5225"/>
        <item x="4648"/>
        <item x="5226"/>
        <item x="2642"/>
        <item x="5227"/>
        <item x="5228"/>
        <item x="4649"/>
        <item x="1234"/>
        <item x="2658"/>
        <item x="2659"/>
        <item x="1233"/>
        <item x="2201"/>
        <item x="2204"/>
        <item x="2489"/>
        <item x="4735"/>
        <item x="5093"/>
        <item x="5229"/>
        <item x="4942"/>
        <item x="5230"/>
        <item x="5167"/>
        <item x="5153"/>
        <item x="1743"/>
        <item x="5233"/>
        <item x="5232"/>
        <item x="5152"/>
        <item x="1746"/>
        <item x="5236"/>
        <item x="5231"/>
        <item x="5237"/>
        <item x="5238"/>
        <item x="5234"/>
        <item x="5235"/>
        <item x="354"/>
        <item x="353"/>
        <item x="349"/>
        <item x="1467"/>
        <item x="5239"/>
        <item x="5240"/>
        <item x="1434"/>
        <item x="1435"/>
        <item x="3077"/>
        <item x="3053"/>
        <item x="3073"/>
        <item x="1030"/>
        <item x="1033"/>
        <item x="2263"/>
        <item x="5245"/>
        <item x="5246"/>
        <item x="5248"/>
        <item x="5252"/>
        <item x="5243"/>
        <item x="5250"/>
        <item x="5253"/>
        <item x="4534"/>
        <item x="4538"/>
        <item x="4541"/>
        <item x="4542"/>
        <item x="4552"/>
        <item x="4550"/>
        <item x="4548"/>
        <item x="5263"/>
        <item x="5262"/>
        <item x="5264"/>
        <item x="5265"/>
        <item x="5266"/>
        <item x="5261"/>
        <item x="5136"/>
        <item x="5241"/>
        <item x="5244"/>
        <item x="5255"/>
        <item x="5259"/>
        <item x="5135"/>
        <item x="4553"/>
        <item x="5274"/>
        <item x="5267"/>
        <item x="5242"/>
        <item x="1035"/>
        <item x="5277"/>
        <item x="5254"/>
        <item x="5273"/>
        <item x="5272"/>
        <item x="5268"/>
        <item x="5257"/>
        <item x="5281"/>
        <item x="5275"/>
        <item x="5282"/>
        <item x="5283"/>
        <item x="5276"/>
        <item x="5258"/>
        <item x="5271"/>
        <item x="5269"/>
        <item x="5260"/>
        <item x="5284"/>
        <item x="5285"/>
        <item x="5270"/>
        <item x="4740"/>
        <item x="3752"/>
        <item x="4003"/>
        <item x="2407"/>
        <item x="2458"/>
        <item x="5286"/>
        <item x="5288"/>
        <item x="5287"/>
        <item x="5290"/>
        <item x="3327"/>
        <item x="5292"/>
        <item x="5291"/>
        <item x="4381"/>
        <item x="5289"/>
        <item x="547"/>
        <item x="302"/>
        <item x="5295"/>
        <item x="5296"/>
        <item x="934"/>
        <item x="5297"/>
        <item x="5298"/>
        <item x="3777"/>
        <item x="3770"/>
        <item x="5299"/>
        <item x="5300"/>
        <item x="5301"/>
        <item x="5302"/>
        <item x="3780"/>
        <item x="3771"/>
        <item x="3774"/>
        <item x="5126"/>
        <item x="1070"/>
        <item x="307"/>
        <item x="309"/>
        <item x="3864"/>
        <item x="3862"/>
        <item x="1426"/>
        <item x="2667"/>
        <item x="5304"/>
        <item x="447"/>
        <item x="448"/>
        <item x="445"/>
        <item x="446"/>
        <item x="1851"/>
        <item x="3595"/>
        <item x="1057"/>
        <item x="1394"/>
        <item x="5306"/>
        <item x="1405"/>
        <item x="5308"/>
        <item x="5307"/>
        <item x="5309"/>
        <item x="3745"/>
        <item x="5310"/>
        <item x="5312"/>
        <item x="3603"/>
        <item x="5313"/>
        <item x="5311"/>
        <item x="4190"/>
        <item x="4189"/>
        <item x="3203"/>
        <item x="5314"/>
        <item x="3166"/>
        <item x="3163"/>
        <item x="1676"/>
        <item x="3432"/>
        <item x="5316"/>
        <item x="5319"/>
        <item x="5317"/>
        <item x="5322"/>
        <item x="5325"/>
        <item x="5324"/>
        <item x="5326"/>
        <item x="5318"/>
        <item x="670"/>
        <item x="5094"/>
        <item x="5321"/>
        <item x="5327"/>
        <item x="5323"/>
        <item x="5320"/>
        <item x="5095"/>
        <item x="669"/>
        <item x="4494"/>
        <item x="4493"/>
        <item x="4492"/>
        <item x="4495"/>
        <item x="5401"/>
        <item x="3401"/>
        <item x="5402"/>
        <item x="4276"/>
        <item x="5330"/>
        <item x="4277"/>
        <item x="5332"/>
        <item x="5334"/>
        <item x="804"/>
        <item x="4271"/>
        <item x="2304"/>
        <item x="2137"/>
        <item x="1157"/>
        <item x="5336"/>
        <item x="1123"/>
        <item x="5337"/>
        <item x="177"/>
        <item x="5339"/>
        <item x="4160"/>
        <item x="5340"/>
        <item x="5341"/>
        <item x="2503"/>
        <item x="2502"/>
        <item x="2506"/>
        <item x="1741"/>
        <item x="2543"/>
        <item x="5212"/>
        <item x="1722"/>
        <item x="1724"/>
        <item x="5343"/>
        <item x="5346"/>
        <item x="5344"/>
        <item x="2413"/>
        <item x="5351"/>
        <item x="5350"/>
        <item x="5353"/>
        <item x="5352"/>
        <item x="5349"/>
        <item x="5348"/>
        <item x="5345"/>
        <item x="5347"/>
        <item x="4387"/>
        <item x="4376"/>
        <item x="4201"/>
        <item x="4220"/>
        <item x="4221"/>
        <item x="4211"/>
        <item x="5354"/>
        <item x="1918"/>
        <item x="1159"/>
        <item x="3860"/>
        <item x="3861"/>
        <item x="5360"/>
        <item x="5359"/>
        <item x="5278"/>
        <item x="5247"/>
        <item x="5279"/>
        <item x="5249"/>
        <item x="5280"/>
        <item x="5251"/>
        <item x="2349"/>
        <item x="4386"/>
        <item x="4486"/>
        <item x="3799"/>
        <item x="3801"/>
        <item x="4401"/>
        <item x="4400"/>
        <item x="4403"/>
        <item x="4392"/>
        <item x="4398"/>
        <item x="4391"/>
        <item x="4399"/>
        <item x="4393"/>
        <item x="4385"/>
        <item x="5361"/>
        <item x="5363"/>
        <item x="5362"/>
        <item x="2884"/>
        <item x="3606"/>
        <item x="1252"/>
        <item x="5368"/>
        <item x="5366"/>
        <item x="5371"/>
        <item x="1653"/>
        <item x="5374"/>
        <item x="5375"/>
        <item x="5372"/>
        <item x="5365"/>
        <item x="615"/>
        <item x="5369"/>
        <item x="5370"/>
        <item x="4572"/>
        <item x="5435"/>
        <item x="5492"/>
        <item x="5376"/>
        <item x="5377"/>
        <item x="616"/>
        <item x="5367"/>
        <item x="5373"/>
        <item x="5364"/>
        <item x="5380"/>
        <item x="5381"/>
        <item x="5382"/>
        <item x="5385"/>
        <item x="5386"/>
        <item x="2470"/>
        <item x="5388"/>
        <item x="5400"/>
        <item x="5390"/>
        <item x="5394"/>
        <item x="2207"/>
        <item x="3559"/>
        <item x="3563"/>
        <item x="3014"/>
        <item x="5399"/>
        <item x="5404"/>
        <item x="5405"/>
        <item x="3394"/>
        <item x="2634"/>
        <item x="3579"/>
        <item x="5406"/>
        <item x="5407"/>
        <item x="3591"/>
        <item x="3588"/>
        <item x="5393"/>
        <item x="5395"/>
        <item x="5409"/>
        <item x="3560"/>
        <item x="5398"/>
        <item x="5143"/>
        <item x="4046"/>
        <item x="3580"/>
        <item x="5408"/>
        <item x="5391"/>
        <item x="5396"/>
        <item x="5508"/>
        <item x="5506"/>
        <item x="482"/>
        <item x="2818"/>
        <item x="1375"/>
        <item x="5494"/>
        <item x="800"/>
        <item x="5496"/>
        <item x="5482"/>
        <item x="794"/>
        <item x="5414"/>
        <item x="5378"/>
        <item x="1164"/>
        <item x="1165"/>
        <item x="5417"/>
        <item x="1160"/>
        <item x="4182"/>
        <item x="5383"/>
        <item x="5384"/>
        <item x="5419"/>
        <item x="5420"/>
        <item x="5418"/>
        <item x="2928"/>
        <item x="2927"/>
        <item x="2930"/>
        <item x="1205"/>
        <item x="2648"/>
        <item x="5403"/>
        <item x="5423"/>
        <item x="5424"/>
        <item x="5426"/>
        <item x="5425"/>
        <item x="5427"/>
        <item x="5429"/>
        <item x="5433"/>
        <item x="5438"/>
        <item x="5434"/>
        <item x="5442"/>
        <item x="5443"/>
        <item x="5449"/>
        <item x="5446"/>
        <item x="5452"/>
        <item x="5448"/>
        <item x="5456"/>
        <item x="5457"/>
        <item x="5459"/>
        <item x="5461"/>
        <item x="5687"/>
        <item x="5468"/>
        <item x="5472"/>
        <item x="5475"/>
        <item x="5479"/>
        <item x="5481"/>
        <item x="5483"/>
        <item x="5486"/>
        <item x="5484"/>
        <item x="5487"/>
        <item x="5488"/>
        <item x="5485"/>
        <item x="5480"/>
        <item x="5455"/>
        <item x="5450"/>
        <item x="5490"/>
        <item x="5453"/>
        <item x="801"/>
        <item x="5445"/>
        <item x="5497"/>
        <item x="5499"/>
        <item x="802"/>
        <item x="5500"/>
        <item x="5502"/>
        <item x="5504"/>
        <item x="5505"/>
        <item x="5507"/>
        <item x="5510"/>
        <item x="5501"/>
        <item x="5509"/>
        <item x="5511"/>
        <item x="5513"/>
        <item x="5512"/>
        <item x="5516"/>
        <item x="5515"/>
        <item x="5518"/>
        <item x="5517"/>
        <item x="5514"/>
        <item x="5519"/>
        <item x="5521"/>
        <item x="5523"/>
        <item x="5522"/>
        <item x="5525"/>
        <item x="5465"/>
        <item x="5527"/>
        <item x="5528"/>
        <item x="5466"/>
        <item x="5529"/>
        <item x="5532"/>
        <item x="5530"/>
        <item x="5533"/>
        <item x="5469"/>
        <item x="5470"/>
        <item x="5534"/>
        <item x="5526"/>
        <item x="5439"/>
        <item x="5430"/>
        <item x="5436"/>
        <item x="5441"/>
        <item x="5615"/>
        <item x="5536"/>
        <item x="5538"/>
        <item x="5540"/>
        <item x="5537"/>
        <item x="5544"/>
        <item x="5548"/>
        <item x="5549"/>
        <item x="5550"/>
        <item x="5547"/>
        <item x="2902"/>
        <item x="5553"/>
        <item x="5342"/>
        <item x="5555"/>
        <item x="5421"/>
        <item x="4665"/>
        <item x="5558"/>
        <item x="5562"/>
        <item x="5563"/>
        <item x="5566"/>
        <item x="5557"/>
        <item x="5568"/>
        <item x="5118"/>
        <item x="5542"/>
        <item x="5572"/>
        <item x="5574"/>
        <item x="5575"/>
        <item x="4658"/>
        <item x="5626"/>
        <item x="5630"/>
        <item x="5585"/>
        <item x="5587"/>
        <item x="5588"/>
        <item x="5590"/>
        <item x="5591"/>
        <item x="5583"/>
        <item x="5594"/>
        <item x="5596"/>
        <item x="5595"/>
        <item x="5599"/>
        <item x="5600"/>
        <item x="5560"/>
        <item x="5597"/>
        <item x="5561"/>
        <item x="2474"/>
        <item x="2468"/>
        <item x="2473"/>
        <item x="5601"/>
        <item x="5389"/>
        <item x="5603"/>
        <item x="5604"/>
        <item x="5602"/>
        <item x="5565"/>
        <item x="5570"/>
        <item x="5606"/>
        <item x="5571"/>
        <item x="4519"/>
        <item x="5607"/>
        <item x="4454"/>
        <item x="5541"/>
        <item x="5535"/>
        <item x="5539"/>
        <item x="5543"/>
        <item x="5117"/>
        <item x="5573"/>
        <item x="5578"/>
        <item x="5576"/>
        <item x="5608"/>
        <item x="5579"/>
        <item x="5609"/>
        <item x="5476"/>
        <item x="5478"/>
        <item x="5493"/>
        <item x="5474"/>
        <item x="5613"/>
        <item x="5379"/>
        <item x="5616"/>
        <item x="5416"/>
        <item x="5620"/>
        <item x="5627"/>
        <item x="5632"/>
        <item x="5634"/>
        <item x="5637"/>
        <item x="5545"/>
        <item x="5546"/>
        <item x="5589"/>
        <item x="5592"/>
        <item x="5554"/>
        <item x="5641"/>
        <item x="5581"/>
        <item x="5582"/>
        <item x="4654"/>
        <item x="5387"/>
        <item x="5642"/>
        <item x="5643"/>
        <item x="5644"/>
        <item x="5645"/>
        <item x="5646"/>
        <item x="5647"/>
        <item x="5648"/>
        <item x="121"/>
        <item x="2673"/>
        <item x="5611"/>
        <item x="5477"/>
        <item x="5649"/>
        <item x="5612"/>
        <item x="5473"/>
        <item x="5411"/>
        <item x="5489"/>
        <item x="5614"/>
        <item x="5617"/>
        <item x="5619"/>
        <item x="5621"/>
        <item x="5624"/>
        <item x="5622"/>
        <item x="5623"/>
        <item x="5625"/>
        <item x="5628"/>
        <item x="5631"/>
        <item x="5629"/>
        <item x="5633"/>
        <item x="5635"/>
        <item x="5636"/>
        <item x="5638"/>
        <item x="5551"/>
        <item x="5639"/>
        <item x="5552"/>
        <item x="5651"/>
        <item x="5653"/>
        <item x="5654"/>
        <item x="5655"/>
        <item x="425"/>
        <item x="5656"/>
        <item x="5657"/>
        <item x="5315"/>
        <item x="3945"/>
        <item x="5577"/>
        <item x="3040"/>
        <item x="3045"/>
        <item x="5580"/>
        <item x="5422"/>
        <item x="5556"/>
        <item x="4455"/>
        <item x="4456"/>
        <item x="5559"/>
        <item x="2475"/>
        <item x="4666"/>
        <item x="5567"/>
        <item x="5569"/>
        <item x="5495"/>
        <item x="5524"/>
        <item x="5415"/>
        <item x="5467"/>
        <item x="5503"/>
        <item x="5520"/>
        <item x="5663"/>
        <item x="5531"/>
        <item x="5491"/>
        <item x="5605"/>
        <item x="5358"/>
        <item x="5355"/>
        <item x="4743"/>
        <item x="5116"/>
        <item x="122"/>
        <item x="5618"/>
        <item x="4274"/>
        <item x="5610"/>
        <item x="5593"/>
        <item x="5665"/>
        <item x="5666"/>
        <item x="5412"/>
        <item x="5668"/>
        <item x="5431"/>
        <item x="5432"/>
        <item x="5673"/>
        <item x="5674"/>
        <item x="5444"/>
        <item x="5447"/>
        <item x="5458"/>
        <item x="5463"/>
        <item x="5586"/>
        <item x="5584"/>
        <item x="5678"/>
        <item x="5640"/>
        <item x="5667"/>
        <item x="5677"/>
        <item x="5672"/>
        <item x="5679"/>
        <item x="5437"/>
        <item x="5440"/>
        <item x="5451"/>
        <item x="5454"/>
        <item x="5462"/>
        <item x="5464"/>
        <item x="4280"/>
        <item x="1492"/>
        <item x="2969"/>
        <item x="2968"/>
        <item x="2967"/>
        <item x="4272"/>
        <item x="5564"/>
        <item x="5650"/>
        <item x="1217"/>
        <item x="2439"/>
        <item x="2440"/>
        <item x="2437"/>
        <item x="2438"/>
        <item x="5413"/>
        <item x="5428"/>
        <item x="5460"/>
        <item x="4275"/>
        <item x="5664"/>
        <item x="5683"/>
        <item x="5684"/>
        <item x="5686"/>
        <item x="5682"/>
        <item x="4270"/>
        <item x="5685"/>
        <item x="3481"/>
        <item x="5680"/>
        <item x="4324"/>
        <item x="2403"/>
        <item x="2409"/>
        <item x="5208"/>
        <item x="5669"/>
        <item x="5688"/>
        <item x="5691"/>
        <item x="5692"/>
        <item x="5693"/>
        <item x="5689"/>
        <item x="4507"/>
        <item x="5598"/>
        <item x="5694"/>
        <item x="5696"/>
        <item x="5695"/>
        <item x="5658"/>
        <item x="5697"/>
        <item x="5698"/>
        <item x="4357"/>
        <item x="5699"/>
        <item x="5700"/>
        <item x="5701"/>
        <item x="5702"/>
        <item x="5704"/>
        <item x="5707"/>
        <item x="5705"/>
        <item x="5708"/>
        <item x="5706"/>
        <item x="5703"/>
        <item x="2398"/>
        <item x="2139"/>
        <item x="5660"/>
        <item x="5659"/>
        <item x="752"/>
        <item x="755"/>
        <item x="5711"/>
        <item x="2517"/>
        <item x="5710"/>
        <item x="2518"/>
        <item x="5716"/>
        <item x="5719"/>
        <item x="5718"/>
        <item x="5720"/>
        <item x="5721"/>
        <item x="5723"/>
        <item x="5675"/>
        <item x="5722"/>
        <item x="5717"/>
        <item x="5676"/>
        <item x="5681"/>
        <item x="4262"/>
        <item x="5724"/>
        <item x="5726"/>
        <item x="5725"/>
        <item x="5357"/>
        <item x="5356"/>
        <item x="4647"/>
        <item x="5727"/>
        <item x="5728"/>
        <item x="5729"/>
        <item x="4646"/>
        <item x="5730"/>
        <item x="135"/>
        <item x="5115"/>
        <item x="3483"/>
        <item x="3484"/>
        <item x="1324"/>
        <item x="2883"/>
        <item x="4992"/>
        <item x="4931"/>
        <item x="4934"/>
        <item x="4225"/>
        <item x="5305"/>
        <item x="5303"/>
        <item x="3636"/>
        <item x="4460"/>
        <item x="4462"/>
        <item x="4447"/>
        <item x="4463"/>
        <item x="4461"/>
        <item x="1762"/>
        <item x="5732"/>
        <item x="4451"/>
        <item x="4458"/>
        <item x="4464"/>
        <item x="5733"/>
        <item x="5671"/>
        <item x="2652"/>
        <item x="5735"/>
        <item x="2653"/>
        <item x="5736"/>
        <item x="5734"/>
        <item x="1104"/>
        <item x="1105"/>
        <item x="5737"/>
        <item x="5739"/>
        <item x="5738"/>
        <item x="2567"/>
        <item x="1732"/>
        <item x="2938"/>
        <item x="2941"/>
        <item x="5338"/>
        <item x="5741"/>
        <item x="1133"/>
        <item x="1136"/>
        <item x="5740"/>
        <item x="1423"/>
        <item x="4747"/>
        <item x="4713"/>
        <item x="5742"/>
        <item x="5743"/>
        <item x="5744"/>
        <item x="5745"/>
        <item x="4712"/>
        <item x="432"/>
        <item x="4585"/>
        <item x="3803"/>
        <item x="3464"/>
        <item x="1690"/>
        <item x="1696"/>
        <item x="2645"/>
        <item x="4256"/>
        <item x="630"/>
        <item x="633"/>
        <item x="634"/>
        <item x="635"/>
        <item x="646"/>
        <item x="645"/>
        <item x="649"/>
        <item x="613"/>
        <item x="618"/>
        <item x="619"/>
        <item x="5410"/>
        <item x="2832"/>
        <item x="4977"/>
        <item x="4980"/>
        <item x="4978"/>
        <item x="4981"/>
        <item x="5032"/>
        <item x="4227"/>
        <item x="1374"/>
        <item x="5690"/>
        <item x="5498"/>
        <item x="2710"/>
        <item x="2904"/>
        <item x="5709"/>
        <item x="5747"/>
        <item x="5748"/>
        <item x="5746"/>
        <item x="5749"/>
        <item x="5751"/>
        <item x="5661"/>
        <item x="5752"/>
        <item x="5750"/>
        <item x="3021"/>
        <item x="1138"/>
        <item x="1141"/>
        <item x="1140"/>
        <item x="1142"/>
        <item x="5293"/>
        <item x="5294"/>
        <item x="2527"/>
        <item x="2533"/>
        <item x="2536"/>
        <item x="2529"/>
        <item x="2392"/>
        <item x="5712"/>
        <item x="5714"/>
        <item x="5715"/>
        <item x="5713"/>
        <item x="5755"/>
        <item x="5754"/>
        <item x="2524"/>
        <item x="2522"/>
        <item x="2520"/>
        <item x="2525"/>
        <item x="3213"/>
        <item x="3212"/>
        <item x="1604"/>
        <item x="2427"/>
        <item x="3269"/>
        <item x="2420"/>
        <item x="3900"/>
        <item x="2411"/>
        <item x="2402"/>
        <item x="5756"/>
        <item x="5757"/>
        <item x="2310"/>
        <item x="2313"/>
        <item x="4500"/>
        <item x="4501"/>
        <item x="4502"/>
        <item x="4503"/>
        <item x="5758"/>
        <item x="5760"/>
        <item x="5759"/>
        <item x="685"/>
        <item x="3309"/>
        <item x="3797"/>
        <item x="5328"/>
        <item x="5471"/>
        <item x="5335"/>
        <item x="5333"/>
        <item x="5331"/>
        <item x="5329"/>
        <item x="206"/>
        <item x="208"/>
        <item x="4334"/>
        <item x="2523"/>
        <item x="2526"/>
        <item x="2430"/>
        <item x="2431"/>
        <item x="3332"/>
        <item x="5762"/>
        <item x="5763"/>
        <item x="5764"/>
        <item x="5766"/>
        <item x="5767"/>
        <item x="5761"/>
        <item x="3335"/>
        <item x="4397"/>
        <item x="5765"/>
        <item x="3377"/>
        <item x="3013"/>
        <item x="3007"/>
        <item x="3051"/>
        <item x="3079"/>
        <item x="1023"/>
        <item x="1020"/>
        <item x="1022"/>
        <item x="1019"/>
        <item x="46"/>
        <item x="310"/>
        <item x="720"/>
        <item x="842"/>
        <item x="958"/>
        <item x="1180"/>
        <item x="1567"/>
        <item x="1703"/>
        <item x="1836"/>
        <item x="1960"/>
        <item x="1780"/>
        <item x="2464"/>
        <item x="3295"/>
        <item x="3169"/>
        <item x="3485"/>
        <item x="3551"/>
        <item x="3307"/>
        <item x="3495"/>
        <item x="2555"/>
        <item x="715"/>
        <item x="3711"/>
        <item x="3726"/>
        <item x="299"/>
        <item x="4035"/>
        <item x="4047"/>
        <item x="3314"/>
        <item x="3489"/>
        <item x="3570"/>
        <item x="582"/>
        <item x="5397"/>
        <item x="5392"/>
        <item x="2674"/>
        <item x="334"/>
        <item x="611"/>
        <item x="1361"/>
        <item x="1854"/>
        <item x="2009"/>
        <item x="2367"/>
        <item x="2376"/>
        <item x="3457"/>
        <item x="3533"/>
        <item x="3567"/>
        <item x="3727"/>
        <item x="4014"/>
        <item x="4016"/>
        <item x="4307"/>
        <item x="4556"/>
        <item x="4607"/>
        <item x="3413"/>
        <item x="3472"/>
        <item x="5731"/>
        <item x="536"/>
        <item x="5652"/>
        <item x="2369"/>
        <item x="2463"/>
        <item x="3475"/>
        <item x="3536"/>
        <item x="2306"/>
        <item x="4629"/>
        <item x="4015"/>
        <item x="3436"/>
        <item x="2181"/>
        <item x="1606"/>
        <item x="1484"/>
        <item x="3452"/>
        <item x="3458"/>
        <item x="3492"/>
        <item x="3546"/>
        <item x="3637"/>
        <item x="3783"/>
        <item x="4031"/>
        <item x="5768"/>
        <item x="5770"/>
        <item x="5772"/>
        <item x="5774"/>
        <item x="5776"/>
        <item x="5778"/>
        <item x="5780"/>
        <item x="5769"/>
        <item x="5771"/>
        <item x="5773"/>
        <item x="5775"/>
        <item x="5777"/>
        <item x="5779"/>
        <item x="5781"/>
        <item x="3459"/>
        <item x="4036"/>
        <item x="4020"/>
        <item x="3487"/>
        <item x="3329"/>
        <item x="5782"/>
        <item x="1481"/>
        <item x="3456"/>
        <item t="default"/>
      </items>
    </pivotField>
    <pivotField axis="axisCol" showAll="0">
      <items count="554">
        <item x="393"/>
        <item x="306"/>
        <item x="119"/>
        <item x="114"/>
        <item x="537"/>
        <item x="211"/>
        <item x="141"/>
        <item x="512"/>
        <item x="47"/>
        <item x="268"/>
        <item x="400"/>
        <item x="104"/>
        <item x="531"/>
        <item x="6"/>
        <item x="96"/>
        <item x="298"/>
        <item x="149"/>
        <item x="511"/>
        <item x="23"/>
        <item x="66"/>
        <item x="153"/>
        <item x="429"/>
        <item x="210"/>
        <item x="112"/>
        <item x="312"/>
        <item x="29"/>
        <item x="51"/>
        <item x="174"/>
        <item x="291"/>
        <item x="545"/>
        <item x="290"/>
        <item x="25"/>
        <item x="150"/>
        <item x="266"/>
        <item x="459"/>
        <item x="276"/>
        <item x="402"/>
        <item x="242"/>
        <item x="30"/>
        <item x="434"/>
        <item x="55"/>
        <item x="82"/>
        <item x="547"/>
        <item x="520"/>
        <item x="460"/>
        <item x="540"/>
        <item x="474"/>
        <item x="546"/>
        <item x="44"/>
        <item x="287"/>
        <item x="194"/>
        <item x="62"/>
        <item x="155"/>
        <item x="48"/>
        <item x="439"/>
        <item x="42"/>
        <item x="509"/>
        <item x="305"/>
        <item x="78"/>
        <item x="164"/>
        <item x="7"/>
        <item x="264"/>
        <item x="203"/>
        <item x="477"/>
        <item x="328"/>
        <item x="430"/>
        <item x="313"/>
        <item x="350"/>
        <item x="113"/>
        <item x="365"/>
        <item x="269"/>
        <item x="331"/>
        <item x="253"/>
        <item x="318"/>
        <item x="107"/>
        <item x="337"/>
        <item x="18"/>
        <item x="493"/>
        <item x="10"/>
        <item x="105"/>
        <item x="535"/>
        <item x="163"/>
        <item x="307"/>
        <item x="120"/>
        <item x="551"/>
        <item x="525"/>
        <item x="414"/>
        <item x="304"/>
        <item x="303"/>
        <item x="133"/>
        <item x="310"/>
        <item x="479"/>
        <item x="321"/>
        <item x="267"/>
        <item x="273"/>
        <item x="279"/>
        <item x="366"/>
        <item x="478"/>
        <item x="232"/>
        <item x="84"/>
        <item x="21"/>
        <item x="142"/>
        <item x="288"/>
        <item x="123"/>
        <item x="401"/>
        <item x="27"/>
        <item x="292"/>
        <item x="79"/>
        <item x="436"/>
        <item x="69"/>
        <item x="495"/>
        <item x="370"/>
        <item x="61"/>
        <item x="437"/>
        <item x="360"/>
        <item x="361"/>
        <item x="168"/>
        <item x="412"/>
        <item x="502"/>
        <item x="488"/>
        <item x="486"/>
        <item x="308"/>
        <item x="106"/>
        <item x="91"/>
        <item x="100"/>
        <item x="358"/>
        <item x="534"/>
        <item x="384"/>
        <item x="162"/>
        <item x="115"/>
        <item x="480"/>
        <item x="357"/>
        <item x="9"/>
        <item x="169"/>
        <item x="28"/>
        <item x="454"/>
        <item x="542"/>
        <item x="507"/>
        <item x="409"/>
        <item x="528"/>
        <item x="284"/>
        <item x="171"/>
        <item x="54"/>
        <item x="491"/>
        <item x="515"/>
        <item x="356"/>
        <item x="8"/>
        <item x="181"/>
        <item x="156"/>
        <item x="195"/>
        <item x="197"/>
        <item x="109"/>
        <item x="85"/>
        <item x="124"/>
        <item x="332"/>
        <item x="35"/>
        <item x="422"/>
        <item x="282"/>
        <item x="73"/>
        <item x="102"/>
        <item x="207"/>
        <item x="227"/>
        <item x="86"/>
        <item x="490"/>
        <item x="46"/>
        <item x="188"/>
        <item x="77"/>
        <item x="497"/>
        <item x="302"/>
        <item x="137"/>
        <item x="476"/>
        <item x="247"/>
        <item x="179"/>
        <item x="420"/>
        <item x="348"/>
        <item x="355"/>
        <item x="101"/>
        <item x="222"/>
        <item x="32"/>
        <item x="176"/>
        <item x="132"/>
        <item x="136"/>
        <item x="329"/>
        <item x="67"/>
        <item x="159"/>
        <item x="539"/>
        <item x="166"/>
        <item x="427"/>
        <item x="463"/>
        <item x="265"/>
        <item x="250"/>
        <item x="431"/>
        <item x="128"/>
        <item x="408"/>
        <item x="129"/>
        <item x="95"/>
        <item x="93"/>
        <item x="375"/>
        <item x="198"/>
        <item x="161"/>
        <item x="127"/>
        <item x="87"/>
        <item x="65"/>
        <item x="110"/>
        <item x="68"/>
        <item x="367"/>
        <item x="333"/>
        <item x="143"/>
        <item x="544"/>
        <item x="278"/>
        <item x="160"/>
        <item x="52"/>
        <item x="475"/>
        <item x="217"/>
        <item x="527"/>
        <item x="126"/>
        <item x="505"/>
        <item x="506"/>
        <item x="371"/>
        <item x="145"/>
        <item x="117"/>
        <item x="448"/>
        <item x="550"/>
        <item x="435"/>
        <item x="259"/>
        <item x="322"/>
        <item x="92"/>
        <item x="94"/>
        <item x="167"/>
        <item x="146"/>
        <item x="212"/>
        <item x="228"/>
        <item x="440"/>
        <item x="326"/>
        <item x="378"/>
        <item x="135"/>
        <item x="241"/>
        <item x="428"/>
        <item x="339"/>
        <item x="388"/>
        <item x="466"/>
        <item x="324"/>
        <item x="209"/>
        <item x="24"/>
        <item x="399"/>
        <item x="257"/>
        <item x="487"/>
        <item x="421"/>
        <item x="237"/>
        <item x="177"/>
        <item x="372"/>
        <item x="63"/>
        <item x="501"/>
        <item x="363"/>
        <item x="140"/>
        <item x="122"/>
        <item x="185"/>
        <item x="320"/>
        <item x="533"/>
        <item x="314"/>
        <item x="134"/>
        <item x="529"/>
        <item x="256"/>
        <item x="327"/>
        <item x="202"/>
        <item x="41"/>
        <item x="404"/>
        <item x="354"/>
        <item x="239"/>
        <item x="352"/>
        <item x="76"/>
        <item x="204"/>
        <item x="425"/>
        <item x="389"/>
        <item x="473"/>
        <item x="426"/>
        <item x="498"/>
        <item x="368"/>
        <item x="552"/>
        <item x="261"/>
        <item x="336"/>
        <item x="481"/>
        <item x="236"/>
        <item x="403"/>
        <item x="139"/>
        <item x="484"/>
        <item x="238"/>
        <item x="148"/>
        <item x="262"/>
        <item x="229"/>
        <item x="489"/>
        <item x="200"/>
        <item x="311"/>
        <item x="387"/>
        <item x="58"/>
        <item x="319"/>
        <item x="536"/>
        <item x="494"/>
        <item x="508"/>
        <item x="419"/>
        <item x="20"/>
        <item x="451"/>
        <item x="254"/>
        <item x="64"/>
        <item x="538"/>
        <item x="263"/>
        <item x="532"/>
        <item x="16"/>
        <item x="252"/>
        <item x="543"/>
        <item x="341"/>
        <item x="151"/>
        <item x="57"/>
        <item x="397"/>
        <item x="523"/>
        <item x="258"/>
        <item x="316"/>
        <item x="260"/>
        <item x="1"/>
        <item x="152"/>
        <item x="391"/>
        <item x="390"/>
        <item x="416"/>
        <item x="325"/>
        <item x="147"/>
        <item x="230"/>
        <item x="71"/>
        <item x="461"/>
        <item x="60"/>
        <item x="214"/>
        <item x="189"/>
        <item x="98"/>
        <item x="158"/>
        <item x="246"/>
        <item x="157"/>
        <item x="300"/>
        <item x="80"/>
        <item x="442"/>
        <item x="517"/>
        <item x="281"/>
        <item x="178"/>
        <item x="342"/>
        <item x="186"/>
        <item x="432"/>
        <item x="382"/>
        <item x="234"/>
        <item x="39"/>
        <item x="99"/>
        <item x="526"/>
        <item x="271"/>
        <item x="411"/>
        <item x="468"/>
        <item x="33"/>
        <item x="172"/>
        <item x="196"/>
        <item x="226"/>
        <item x="130"/>
        <item x="235"/>
        <item x="111"/>
        <item x="450"/>
        <item x="369"/>
        <item x="83"/>
        <item x="447"/>
        <item x="34"/>
        <item x="353"/>
        <item x="351"/>
        <item x="513"/>
        <item x="510"/>
        <item x="272"/>
        <item x="395"/>
        <item x="240"/>
        <item x="349"/>
        <item x="274"/>
        <item x="131"/>
        <item x="496"/>
        <item x="441"/>
        <item x="184"/>
        <item x="315"/>
        <item x="362"/>
        <item x="377"/>
        <item x="22"/>
        <item x="118"/>
        <item x="415"/>
        <item x="335"/>
        <item x="330"/>
        <item x="53"/>
        <item x="90"/>
        <item x="521"/>
        <item x="492"/>
        <item x="364"/>
        <item x="219"/>
        <item x="503"/>
        <item x="170"/>
        <item x="471"/>
        <item x="144"/>
        <item x="4"/>
        <item x="383"/>
        <item x="14"/>
        <item x="396"/>
        <item x="190"/>
        <item x="5"/>
        <item x="345"/>
        <item x="183"/>
        <item x="374"/>
        <item x="549"/>
        <item x="343"/>
        <item x="443"/>
        <item x="433"/>
        <item x="524"/>
        <item x="201"/>
        <item x="208"/>
        <item x="173"/>
        <item x="346"/>
        <item x="36"/>
        <item x="26"/>
        <item x="206"/>
        <item x="514"/>
        <item x="455"/>
        <item x="17"/>
        <item x="499"/>
        <item x="224"/>
        <item x="75"/>
        <item x="225"/>
        <item x="548"/>
        <item x="280"/>
        <item x="295"/>
        <item x="182"/>
        <item x="233"/>
        <item x="59"/>
        <item x="249"/>
        <item x="483"/>
        <item x="13"/>
        <item x="410"/>
        <item x="81"/>
        <item x="381"/>
        <item x="418"/>
        <item x="286"/>
        <item x="297"/>
        <item x="541"/>
        <item x="469"/>
        <item x="485"/>
        <item x="465"/>
        <item x="213"/>
        <item x="340"/>
        <item x="40"/>
        <item x="317"/>
        <item x="380"/>
        <item x="294"/>
        <item x="359"/>
        <item x="467"/>
        <item x="385"/>
        <item x="338"/>
        <item x="446"/>
        <item x="347"/>
        <item x="413"/>
        <item x="205"/>
        <item x="218"/>
        <item x="12"/>
        <item x="376"/>
        <item x="334"/>
        <item x="344"/>
        <item x="138"/>
        <item x="56"/>
        <item x="251"/>
        <item x="244"/>
        <item x="243"/>
        <item x="74"/>
        <item x="191"/>
        <item x="522"/>
        <item x="293"/>
        <item x="445"/>
        <item x="283"/>
        <item x="516"/>
        <item x="70"/>
        <item x="97"/>
        <item x="15"/>
        <item x="518"/>
        <item x="424"/>
        <item x="423"/>
        <item x="255"/>
        <item x="407"/>
        <item x="285"/>
        <item x="38"/>
        <item x="187"/>
        <item x="379"/>
        <item x="270"/>
        <item x="192"/>
        <item x="299"/>
        <item x="43"/>
        <item x="296"/>
        <item x="449"/>
        <item x="45"/>
        <item x="125"/>
        <item x="216"/>
        <item x="438"/>
        <item x="444"/>
        <item x="2"/>
        <item x="248"/>
        <item x="405"/>
        <item x="394"/>
        <item x="464"/>
        <item x="275"/>
        <item x="373"/>
        <item x="220"/>
        <item x="19"/>
        <item x="470"/>
        <item x="154"/>
        <item x="406"/>
        <item x="89"/>
        <item x="519"/>
        <item x="323"/>
        <item x="245"/>
        <item x="504"/>
        <item x="215"/>
        <item x="417"/>
        <item x="199"/>
        <item x="289"/>
        <item x="458"/>
        <item x="452"/>
        <item x="3"/>
        <item x="221"/>
        <item x="301"/>
        <item x="223"/>
        <item x="193"/>
        <item x="482"/>
        <item x="456"/>
        <item x="50"/>
        <item x="49"/>
        <item x="398"/>
        <item x="88"/>
        <item x="277"/>
        <item x="457"/>
        <item x="309"/>
        <item x="31"/>
        <item x="121"/>
        <item x="116"/>
        <item x="530"/>
        <item x="392"/>
        <item x="108"/>
        <item x="453"/>
        <item x="11"/>
        <item x="386"/>
        <item x="37"/>
        <item x="472"/>
        <item x="175"/>
        <item x="500"/>
        <item x="462"/>
        <item x="231"/>
        <item x="103"/>
        <item x="165"/>
        <item x="72"/>
        <item x="180"/>
        <item x="0"/>
        <item t="default"/>
      </items>
    </pivotField>
    <pivotField showAll="0"/>
    <pivotField showAll="0"/>
    <pivotField showAll="0"/>
    <pivotField showAll="0"/>
    <pivotField showAll="0"/>
    <pivotField showAll="0"/>
    <pivotField showAll="0"/>
    <pivotField showAll="0"/>
    <pivotField showAll="0"/>
  </pivotFields>
  <rowFields count="1">
    <field x="0"/>
  </rowFields>
  <rowItems count="55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t="grand">
      <x/>
    </i>
  </rowItems>
  <colFields count="2">
    <field x="1"/>
    <field x="2"/>
  </colFields>
  <colItems count="11908">
    <i>
      <x/>
      <x v="552"/>
    </i>
    <i t="default">
      <x/>
    </i>
    <i>
      <x v="1"/>
      <x v="552"/>
    </i>
    <i t="default">
      <x v="1"/>
    </i>
    <i>
      <x v="2"/>
      <x v="552"/>
    </i>
    <i t="default">
      <x v="2"/>
    </i>
    <i>
      <x v="3"/>
      <x v="552"/>
    </i>
    <i t="default">
      <x v="3"/>
    </i>
    <i>
      <x v="4"/>
      <x v="552"/>
    </i>
    <i t="default">
      <x v="4"/>
    </i>
    <i>
      <x v="5"/>
      <x v="552"/>
    </i>
    <i t="default">
      <x v="5"/>
    </i>
    <i>
      <x v="6"/>
      <x v="552"/>
    </i>
    <i t="default">
      <x v="6"/>
    </i>
    <i>
      <x v="7"/>
      <x v="552"/>
    </i>
    <i t="default">
      <x v="7"/>
    </i>
    <i>
      <x v="8"/>
      <x v="552"/>
    </i>
    <i t="default">
      <x v="8"/>
    </i>
    <i>
      <x v="9"/>
      <x v="552"/>
    </i>
    <i t="default">
      <x v="9"/>
    </i>
    <i>
      <x v="10"/>
      <x v="552"/>
    </i>
    <i t="default">
      <x v="10"/>
    </i>
    <i>
      <x v="11"/>
      <x v="552"/>
    </i>
    <i t="default">
      <x v="11"/>
    </i>
    <i>
      <x v="12"/>
      <x v="552"/>
    </i>
    <i t="default">
      <x v="12"/>
    </i>
    <i>
      <x v="13"/>
      <x v="552"/>
    </i>
    <i t="default">
      <x v="13"/>
    </i>
    <i>
      <x v="14"/>
      <x v="552"/>
    </i>
    <i t="default">
      <x v="14"/>
    </i>
    <i>
      <x v="15"/>
      <x v="552"/>
    </i>
    <i t="default">
      <x v="15"/>
    </i>
    <i>
      <x v="16"/>
      <x v="552"/>
    </i>
    <i t="default">
      <x v="16"/>
    </i>
    <i>
      <x v="17"/>
      <x v="552"/>
    </i>
    <i t="default">
      <x v="17"/>
    </i>
    <i>
      <x v="18"/>
      <x v="552"/>
    </i>
    <i t="default">
      <x v="18"/>
    </i>
    <i>
      <x v="19"/>
      <x v="552"/>
    </i>
    <i t="default">
      <x v="19"/>
    </i>
    <i>
      <x v="20"/>
      <x v="552"/>
    </i>
    <i t="default">
      <x v="20"/>
    </i>
    <i>
      <x v="21"/>
      <x v="552"/>
    </i>
    <i t="default">
      <x v="21"/>
    </i>
    <i>
      <x v="22"/>
      <x v="552"/>
    </i>
    <i t="default">
      <x v="22"/>
    </i>
    <i>
      <x v="23"/>
      <x v="552"/>
    </i>
    <i t="default">
      <x v="23"/>
    </i>
    <i>
      <x v="24"/>
      <x v="552"/>
    </i>
    <i t="default">
      <x v="24"/>
    </i>
    <i>
      <x v="25"/>
      <x v="552"/>
    </i>
    <i t="default">
      <x v="25"/>
    </i>
    <i>
      <x v="26"/>
      <x v="552"/>
    </i>
    <i t="default">
      <x v="26"/>
    </i>
    <i>
      <x v="27"/>
      <x v="552"/>
    </i>
    <i t="default">
      <x v="27"/>
    </i>
    <i>
      <x v="28"/>
      <x v="552"/>
    </i>
    <i t="default">
      <x v="28"/>
    </i>
    <i>
      <x v="29"/>
      <x v="552"/>
    </i>
    <i t="default">
      <x v="29"/>
    </i>
    <i>
      <x v="30"/>
      <x v="552"/>
    </i>
    <i t="default">
      <x v="30"/>
    </i>
    <i>
      <x v="31"/>
      <x v="552"/>
    </i>
    <i t="default">
      <x v="31"/>
    </i>
    <i>
      <x v="32"/>
      <x v="552"/>
    </i>
    <i t="default">
      <x v="32"/>
    </i>
    <i>
      <x v="33"/>
      <x v="552"/>
    </i>
    <i t="default">
      <x v="33"/>
    </i>
    <i>
      <x v="34"/>
      <x v="552"/>
    </i>
    <i t="default">
      <x v="34"/>
    </i>
    <i>
      <x v="35"/>
      <x v="552"/>
    </i>
    <i t="default">
      <x v="35"/>
    </i>
    <i>
      <x v="36"/>
      <x v="552"/>
    </i>
    <i t="default">
      <x v="36"/>
    </i>
    <i>
      <x v="37"/>
      <x v="552"/>
    </i>
    <i t="default">
      <x v="37"/>
    </i>
    <i>
      <x v="38"/>
      <x v="552"/>
    </i>
    <i t="default">
      <x v="38"/>
    </i>
    <i>
      <x v="39"/>
      <x v="552"/>
    </i>
    <i t="default">
      <x v="39"/>
    </i>
    <i>
      <x v="40"/>
      <x v="552"/>
    </i>
    <i t="default">
      <x v="40"/>
    </i>
    <i>
      <x v="41"/>
      <x v="552"/>
    </i>
    <i t="default">
      <x v="41"/>
    </i>
    <i>
      <x v="42"/>
      <x v="552"/>
    </i>
    <i t="default">
      <x v="42"/>
    </i>
    <i>
      <x v="43"/>
      <x v="552"/>
    </i>
    <i t="default">
      <x v="43"/>
    </i>
    <i>
      <x v="44"/>
      <x v="552"/>
    </i>
    <i t="default">
      <x v="44"/>
    </i>
    <i>
      <x v="45"/>
      <x v="552"/>
    </i>
    <i t="default">
      <x v="45"/>
    </i>
    <i>
      <x v="46"/>
      <x v="552"/>
    </i>
    <i t="default">
      <x v="46"/>
    </i>
    <i>
      <x v="47"/>
      <x v="552"/>
    </i>
    <i t="default">
      <x v="47"/>
    </i>
    <i>
      <x v="48"/>
      <x v="552"/>
    </i>
    <i t="default">
      <x v="48"/>
    </i>
    <i>
      <x v="49"/>
      <x v="519"/>
    </i>
    <i t="default">
      <x v="49"/>
    </i>
    <i>
      <x v="50"/>
      <x v="552"/>
    </i>
    <i t="default">
      <x v="50"/>
    </i>
    <i>
      <x v="51"/>
      <x v="552"/>
    </i>
    <i t="default">
      <x v="51"/>
    </i>
    <i>
      <x v="52"/>
      <x v="552"/>
    </i>
    <i t="default">
      <x v="52"/>
    </i>
    <i>
      <x v="53"/>
      <x v="552"/>
    </i>
    <i t="default">
      <x v="53"/>
    </i>
    <i>
      <x v="54"/>
      <x v="552"/>
    </i>
    <i t="default">
      <x v="54"/>
    </i>
    <i>
      <x v="55"/>
      <x v="552"/>
    </i>
    <i t="default">
      <x v="55"/>
    </i>
    <i>
      <x v="56"/>
      <x v="552"/>
    </i>
    <i t="default">
      <x v="56"/>
    </i>
    <i>
      <x v="57"/>
      <x v="552"/>
    </i>
    <i t="default">
      <x v="57"/>
    </i>
    <i>
      <x v="58"/>
      <x v="552"/>
    </i>
    <i t="default">
      <x v="58"/>
    </i>
    <i>
      <x v="59"/>
      <x v="552"/>
    </i>
    <i t="default">
      <x v="59"/>
    </i>
    <i>
      <x v="60"/>
      <x v="552"/>
    </i>
    <i t="default">
      <x v="60"/>
    </i>
    <i>
      <x v="61"/>
      <x v="552"/>
    </i>
    <i t="default">
      <x v="61"/>
    </i>
    <i>
      <x v="62"/>
      <x v="552"/>
    </i>
    <i t="default">
      <x v="62"/>
    </i>
    <i>
      <x v="63"/>
      <x v="552"/>
    </i>
    <i t="default">
      <x v="63"/>
    </i>
    <i>
      <x v="64"/>
      <x v="552"/>
    </i>
    <i t="default">
      <x v="64"/>
    </i>
    <i>
      <x v="65"/>
      <x v="552"/>
    </i>
    <i t="default">
      <x v="65"/>
    </i>
    <i>
      <x v="66"/>
      <x v="552"/>
    </i>
    <i t="default">
      <x v="66"/>
    </i>
    <i>
      <x v="67"/>
      <x v="552"/>
    </i>
    <i t="default">
      <x v="67"/>
    </i>
    <i>
      <x v="68"/>
      <x v="552"/>
    </i>
    <i t="default">
      <x v="68"/>
    </i>
    <i>
      <x v="69"/>
      <x v="552"/>
    </i>
    <i t="default">
      <x v="69"/>
    </i>
    <i>
      <x v="70"/>
      <x v="552"/>
    </i>
    <i t="default">
      <x v="70"/>
    </i>
    <i>
      <x v="71"/>
      <x v="552"/>
    </i>
    <i t="default">
      <x v="71"/>
    </i>
    <i>
      <x v="72"/>
      <x v="552"/>
    </i>
    <i t="default">
      <x v="72"/>
    </i>
    <i>
      <x v="73"/>
      <x v="552"/>
    </i>
    <i t="default">
      <x v="73"/>
    </i>
    <i>
      <x v="74"/>
      <x v="552"/>
    </i>
    <i t="default">
      <x v="74"/>
    </i>
    <i>
      <x v="75"/>
      <x v="552"/>
    </i>
    <i t="default">
      <x v="75"/>
    </i>
    <i>
      <x v="76"/>
      <x v="552"/>
    </i>
    <i t="default">
      <x v="76"/>
    </i>
    <i>
      <x v="77"/>
      <x v="552"/>
    </i>
    <i t="default">
      <x v="77"/>
    </i>
    <i>
      <x v="78"/>
      <x v="552"/>
    </i>
    <i t="default">
      <x v="78"/>
    </i>
    <i>
      <x v="79"/>
      <x v="552"/>
    </i>
    <i t="default">
      <x v="79"/>
    </i>
    <i>
      <x v="80"/>
      <x v="552"/>
    </i>
    <i t="default">
      <x v="80"/>
    </i>
    <i>
      <x v="81"/>
      <x v="552"/>
    </i>
    <i t="default">
      <x v="81"/>
    </i>
    <i>
      <x v="82"/>
      <x v="552"/>
    </i>
    <i t="default">
      <x v="82"/>
    </i>
    <i>
      <x v="83"/>
      <x v="552"/>
    </i>
    <i t="default">
      <x v="83"/>
    </i>
    <i>
      <x v="84"/>
      <x v="552"/>
    </i>
    <i t="default">
      <x v="84"/>
    </i>
    <i>
      <x v="85"/>
      <x v="552"/>
    </i>
    <i t="default">
      <x v="85"/>
    </i>
    <i>
      <x v="86"/>
      <x v="552"/>
    </i>
    <i t="default">
      <x v="86"/>
    </i>
    <i>
      <x v="87"/>
      <x v="552"/>
    </i>
    <i t="default">
      <x v="87"/>
    </i>
    <i>
      <x v="88"/>
      <x v="552"/>
    </i>
    <i t="default">
      <x v="88"/>
    </i>
    <i>
      <x v="89"/>
      <x v="552"/>
    </i>
    <i t="default">
      <x v="89"/>
    </i>
    <i>
      <x v="90"/>
      <x v="552"/>
    </i>
    <i t="default">
      <x v="90"/>
    </i>
    <i>
      <x v="91"/>
      <x v="552"/>
    </i>
    <i t="default">
      <x v="91"/>
    </i>
    <i>
      <x v="92"/>
      <x v="552"/>
    </i>
    <i t="default">
      <x v="92"/>
    </i>
    <i>
      <x v="93"/>
      <x v="552"/>
    </i>
    <i t="default">
      <x v="93"/>
    </i>
    <i>
      <x v="94"/>
      <x v="552"/>
    </i>
    <i t="default">
      <x v="94"/>
    </i>
    <i>
      <x v="95"/>
      <x v="552"/>
    </i>
    <i t="default">
      <x v="95"/>
    </i>
    <i>
      <x v="96"/>
      <x v="552"/>
    </i>
    <i t="default">
      <x v="96"/>
    </i>
    <i>
      <x v="97"/>
      <x v="552"/>
    </i>
    <i t="default">
      <x v="97"/>
    </i>
    <i>
      <x v="98"/>
      <x v="552"/>
    </i>
    <i t="default">
      <x v="98"/>
    </i>
    <i>
      <x v="99"/>
      <x v="552"/>
    </i>
    <i t="default">
      <x v="99"/>
    </i>
    <i>
      <x v="100"/>
      <x v="552"/>
    </i>
    <i t="default">
      <x v="100"/>
    </i>
    <i>
      <x v="101"/>
      <x v="552"/>
    </i>
    <i t="default">
      <x v="101"/>
    </i>
    <i>
      <x v="102"/>
      <x v="552"/>
    </i>
    <i t="default">
      <x v="102"/>
    </i>
    <i>
      <x v="103"/>
      <x v="400"/>
    </i>
    <i t="default">
      <x v="103"/>
    </i>
    <i>
      <x v="104"/>
      <x v="552"/>
    </i>
    <i t="default">
      <x v="104"/>
    </i>
    <i>
      <x v="105"/>
      <x v="552"/>
    </i>
    <i t="default">
      <x v="105"/>
    </i>
    <i>
      <x v="106"/>
      <x v="552"/>
    </i>
    <i t="default">
      <x v="106"/>
    </i>
    <i>
      <x v="107"/>
      <x v="552"/>
    </i>
    <i t="default">
      <x v="107"/>
    </i>
    <i>
      <x v="108"/>
      <x v="552"/>
    </i>
    <i t="default">
      <x v="108"/>
    </i>
    <i>
      <x v="109"/>
      <x v="552"/>
    </i>
    <i t="default">
      <x v="109"/>
    </i>
    <i>
      <x v="110"/>
      <x v="552"/>
    </i>
    <i t="default">
      <x v="110"/>
    </i>
    <i>
      <x v="111"/>
      <x v="552"/>
    </i>
    <i t="default">
      <x v="111"/>
    </i>
    <i>
      <x v="112"/>
      <x v="552"/>
    </i>
    <i t="default">
      <x v="112"/>
    </i>
    <i>
      <x v="113"/>
      <x v="552"/>
    </i>
    <i t="default">
      <x v="113"/>
    </i>
    <i>
      <x v="114"/>
      <x v="552"/>
    </i>
    <i t="default">
      <x v="114"/>
    </i>
    <i>
      <x v="115"/>
      <x v="552"/>
    </i>
    <i t="default">
      <x v="115"/>
    </i>
    <i>
      <x v="116"/>
      <x v="552"/>
    </i>
    <i t="default">
      <x v="116"/>
    </i>
    <i>
      <x v="117"/>
      <x v="552"/>
    </i>
    <i t="default">
      <x v="117"/>
    </i>
    <i>
      <x v="118"/>
      <x v="552"/>
    </i>
    <i t="default">
      <x v="118"/>
    </i>
    <i>
      <x v="119"/>
      <x v="552"/>
    </i>
    <i t="default">
      <x v="119"/>
    </i>
    <i>
      <x v="120"/>
      <x v="552"/>
    </i>
    <i t="default">
      <x v="120"/>
    </i>
    <i>
      <x v="121"/>
      <x v="552"/>
    </i>
    <i t="default">
      <x v="121"/>
    </i>
    <i>
      <x v="122"/>
      <x v="146"/>
    </i>
    <i t="default">
      <x v="122"/>
    </i>
    <i>
      <x v="123"/>
      <x v="552"/>
    </i>
    <i t="default">
      <x v="123"/>
    </i>
    <i>
      <x v="124"/>
      <x v="552"/>
    </i>
    <i t="default">
      <x v="124"/>
    </i>
    <i>
      <x v="125"/>
      <x v="552"/>
    </i>
    <i t="default">
      <x v="125"/>
    </i>
    <i>
      <x v="126"/>
      <x v="132"/>
    </i>
    <i t="default">
      <x v="126"/>
    </i>
    <i>
      <x v="127"/>
      <x v="552"/>
    </i>
    <i t="default">
      <x v="127"/>
    </i>
    <i>
      <x v="128"/>
      <x v="552"/>
    </i>
    <i t="default">
      <x v="128"/>
    </i>
    <i>
      <x v="129"/>
      <x v="552"/>
    </i>
    <i t="default">
      <x v="129"/>
    </i>
    <i>
      <x v="130"/>
      <x v="78"/>
    </i>
    <i t="default">
      <x v="130"/>
    </i>
    <i>
      <x v="131"/>
      <x v="552"/>
    </i>
    <i t="default">
      <x v="131"/>
    </i>
    <i>
      <x v="132"/>
      <x v="552"/>
    </i>
    <i t="default">
      <x v="132"/>
    </i>
    <i>
      <x v="133"/>
      <x v="552"/>
    </i>
    <i t="default">
      <x v="133"/>
    </i>
    <i>
      <x v="134"/>
      <x v="540"/>
    </i>
    <i t="default">
      <x v="134"/>
    </i>
    <i>
      <x v="135"/>
      <x v="552"/>
    </i>
    <i t="default">
      <x v="135"/>
    </i>
    <i>
      <x v="136"/>
      <x v="457"/>
    </i>
    <i t="default">
      <x v="136"/>
    </i>
    <i>
      <x v="137"/>
      <x v="552"/>
    </i>
    <i t="default">
      <x v="137"/>
    </i>
    <i>
      <x v="138"/>
      <x v="552"/>
    </i>
    <i t="default">
      <x v="138"/>
    </i>
    <i>
      <x v="139"/>
      <x v="552"/>
    </i>
    <i t="default">
      <x v="139"/>
    </i>
    <i>
      <x v="140"/>
      <x v="552"/>
    </i>
    <i t="default">
      <x v="140"/>
    </i>
    <i>
      <x v="141"/>
      <x v="552"/>
    </i>
    <i t="default">
      <x v="141"/>
    </i>
    <i>
      <x v="142"/>
      <x v="552"/>
    </i>
    <i t="default">
      <x v="142"/>
    </i>
    <i>
      <x v="143"/>
      <x v="552"/>
    </i>
    <i t="default">
      <x v="143"/>
    </i>
    <i>
      <x v="144"/>
      <x v="552"/>
    </i>
    <i t="default">
      <x v="144"/>
    </i>
    <i>
      <x v="145"/>
      <x v="552"/>
    </i>
    <i t="default">
      <x v="145"/>
    </i>
    <i>
      <x v="146"/>
      <x v="552"/>
    </i>
    <i t="default">
      <x v="146"/>
    </i>
    <i>
      <x v="147"/>
      <x v="552"/>
    </i>
    <i t="default">
      <x v="147"/>
    </i>
    <i>
      <x v="148"/>
      <x v="397"/>
    </i>
    <i t="default">
      <x v="148"/>
    </i>
    <i>
      <x v="149"/>
      <x v="552"/>
    </i>
    <i t="default">
      <x v="149"/>
    </i>
    <i>
      <x v="150"/>
      <x v="552"/>
    </i>
    <i t="default">
      <x v="150"/>
    </i>
    <i>
      <x v="151"/>
      <x v="552"/>
    </i>
    <i t="default">
      <x v="151"/>
    </i>
    <i>
      <x v="152"/>
      <x v="552"/>
    </i>
    <i t="default">
      <x v="152"/>
    </i>
    <i>
      <x v="153"/>
      <x v="552"/>
    </i>
    <i t="default">
      <x v="153"/>
    </i>
    <i>
      <x v="154"/>
      <x v="552"/>
    </i>
    <i t="default">
      <x v="154"/>
    </i>
    <i>
      <x v="155"/>
      <x v="552"/>
    </i>
    <i t="default">
      <x v="155"/>
    </i>
    <i>
      <x v="156"/>
      <x v="552"/>
    </i>
    <i t="default">
      <x v="156"/>
    </i>
    <i>
      <x v="157"/>
      <x v="552"/>
    </i>
    <i t="default">
      <x v="157"/>
    </i>
    <i>
      <x v="158"/>
      <x v="552"/>
    </i>
    <i t="default">
      <x v="158"/>
    </i>
    <i>
      <x v="159"/>
      <x v="552"/>
    </i>
    <i t="default">
      <x v="159"/>
    </i>
    <i>
      <x v="160"/>
      <x v="552"/>
    </i>
    <i t="default">
      <x v="160"/>
    </i>
    <i>
      <x v="161"/>
      <x v="552"/>
    </i>
    <i t="default">
      <x v="161"/>
    </i>
    <i>
      <x v="162"/>
      <x v="552"/>
    </i>
    <i t="default">
      <x v="162"/>
    </i>
    <i>
      <x v="163"/>
      <x v="552"/>
    </i>
    <i t="default">
      <x v="163"/>
    </i>
    <i>
      <x v="164"/>
      <x v="552"/>
    </i>
    <i t="default">
      <x v="164"/>
    </i>
    <i>
      <x v="165"/>
      <x v="552"/>
    </i>
    <i t="default">
      <x v="165"/>
    </i>
    <i>
      <x v="166"/>
      <x v="552"/>
    </i>
    <i t="default">
      <x v="166"/>
    </i>
    <i>
      <x v="167"/>
      <x v="552"/>
    </i>
    <i t="default">
      <x v="167"/>
    </i>
    <i>
      <x v="168"/>
      <x v="552"/>
    </i>
    <i t="default">
      <x v="168"/>
    </i>
    <i>
      <x v="169"/>
      <x v="552"/>
    </i>
    <i t="default">
      <x v="169"/>
    </i>
    <i>
      <x v="170"/>
      <x v="552"/>
    </i>
    <i t="default">
      <x v="170"/>
    </i>
    <i>
      <x v="171"/>
      <x v="552"/>
    </i>
    <i t="default">
      <x v="171"/>
    </i>
    <i>
      <x v="172"/>
      <x v="552"/>
    </i>
    <i t="default">
      <x v="172"/>
    </i>
    <i>
      <x v="173"/>
      <x v="552"/>
    </i>
    <i t="default">
      <x v="173"/>
    </i>
    <i>
      <x v="174"/>
      <x v="300"/>
    </i>
    <i t="default">
      <x v="174"/>
    </i>
    <i>
      <x v="175"/>
      <x v="552"/>
    </i>
    <i t="default">
      <x v="175"/>
    </i>
    <i>
      <x v="176"/>
      <x v="552"/>
    </i>
    <i t="default">
      <x v="176"/>
    </i>
    <i>
      <x v="177"/>
      <x v="552"/>
    </i>
    <i t="default">
      <x v="177"/>
    </i>
    <i>
      <x v="178"/>
      <x v="552"/>
    </i>
    <i t="default">
      <x v="178"/>
    </i>
    <i>
      <x v="179"/>
      <x v="552"/>
    </i>
    <i t="default">
      <x v="179"/>
    </i>
    <i>
      <x v="180"/>
      <x v="552"/>
    </i>
    <i t="default">
      <x v="180"/>
    </i>
    <i>
      <x v="181"/>
      <x v="552"/>
    </i>
    <i t="default">
      <x v="181"/>
    </i>
    <i>
      <x v="182"/>
      <x v="552"/>
    </i>
    <i t="default">
      <x v="182"/>
    </i>
    <i>
      <x v="183"/>
      <x v="552"/>
    </i>
    <i t="default">
      <x v="183"/>
    </i>
    <i>
      <x v="184"/>
      <x v="552"/>
    </i>
    <i t="default">
      <x v="184"/>
    </i>
    <i>
      <x v="185"/>
      <x v="552"/>
    </i>
    <i t="default">
      <x v="185"/>
    </i>
    <i>
      <x v="186"/>
      <x v="552"/>
    </i>
    <i t="default">
      <x v="186"/>
    </i>
    <i>
      <x v="187"/>
      <x v="552"/>
    </i>
    <i t="default">
      <x v="187"/>
    </i>
    <i>
      <x v="188"/>
      <x v="552"/>
    </i>
    <i t="default">
      <x v="188"/>
    </i>
    <i>
      <x v="189"/>
      <x v="552"/>
    </i>
    <i t="default">
      <x v="189"/>
    </i>
    <i>
      <x v="190"/>
      <x v="18"/>
    </i>
    <i r="1">
      <x v="552"/>
    </i>
    <i t="default">
      <x v="190"/>
    </i>
    <i>
      <x v="191"/>
      <x v="552"/>
    </i>
    <i t="default">
      <x v="191"/>
    </i>
    <i>
      <x v="192"/>
      <x v="552"/>
    </i>
    <i t="default">
      <x v="192"/>
    </i>
    <i>
      <x v="193"/>
      <x v="552"/>
    </i>
    <i t="default">
      <x v="193"/>
    </i>
    <i>
      <x v="194"/>
      <x v="552"/>
    </i>
    <i t="default">
      <x v="194"/>
    </i>
    <i>
      <x v="195"/>
      <x v="552"/>
    </i>
    <i t="default">
      <x v="195"/>
    </i>
    <i>
      <x v="196"/>
      <x v="552"/>
    </i>
    <i t="default">
      <x v="196"/>
    </i>
    <i>
      <x v="197"/>
      <x v="552"/>
    </i>
    <i t="default">
      <x v="197"/>
    </i>
    <i>
      <x v="198"/>
      <x v="552"/>
    </i>
    <i t="default">
      <x v="198"/>
    </i>
    <i>
      <x v="199"/>
      <x v="552"/>
    </i>
    <i t="default">
      <x v="199"/>
    </i>
    <i>
      <x v="200"/>
      <x v="552"/>
    </i>
    <i t="default">
      <x v="200"/>
    </i>
    <i>
      <x v="201"/>
      <x v="552"/>
    </i>
    <i t="default">
      <x v="201"/>
    </i>
    <i>
      <x v="202"/>
      <x v="552"/>
    </i>
    <i t="default">
      <x v="202"/>
    </i>
    <i>
      <x v="203"/>
      <x v="552"/>
    </i>
    <i t="default">
      <x v="203"/>
    </i>
    <i>
      <x v="204"/>
      <x v="552"/>
    </i>
    <i t="default">
      <x v="204"/>
    </i>
    <i>
      <x v="205"/>
      <x v="552"/>
    </i>
    <i t="default">
      <x v="205"/>
    </i>
    <i>
      <x v="206"/>
      <x v="552"/>
    </i>
    <i t="default">
      <x v="206"/>
    </i>
    <i>
      <x v="207"/>
      <x v="552"/>
    </i>
    <i t="default">
      <x v="207"/>
    </i>
    <i>
      <x v="208"/>
      <x v="552"/>
    </i>
    <i t="default">
      <x v="208"/>
    </i>
    <i>
      <x v="209"/>
      <x v="552"/>
    </i>
    <i t="default">
      <x v="209"/>
    </i>
    <i>
      <x v="210"/>
      <x v="552"/>
    </i>
    <i t="default">
      <x v="210"/>
    </i>
    <i>
      <x v="211"/>
      <x v="552"/>
    </i>
    <i t="default">
      <x v="211"/>
    </i>
    <i>
      <x v="212"/>
      <x v="552"/>
    </i>
    <i t="default">
      <x v="212"/>
    </i>
    <i>
      <x v="213"/>
      <x v="552"/>
    </i>
    <i t="default">
      <x v="213"/>
    </i>
    <i>
      <x v="214"/>
      <x v="552"/>
    </i>
    <i t="default">
      <x v="214"/>
    </i>
    <i>
      <x v="215"/>
      <x v="552"/>
    </i>
    <i t="default">
      <x v="215"/>
    </i>
    <i>
      <x v="216"/>
      <x v="552"/>
    </i>
    <i t="default">
      <x v="216"/>
    </i>
    <i>
      <x v="217"/>
      <x v="552"/>
    </i>
    <i t="default">
      <x v="217"/>
    </i>
    <i>
      <x v="218"/>
      <x v="552"/>
    </i>
    <i t="default">
      <x v="218"/>
    </i>
    <i>
      <x v="219"/>
      <x v="552"/>
    </i>
    <i t="default">
      <x v="219"/>
    </i>
    <i>
      <x v="220"/>
      <x v="552"/>
    </i>
    <i t="default">
      <x v="220"/>
    </i>
    <i>
      <x v="221"/>
      <x v="552"/>
    </i>
    <i t="default">
      <x v="221"/>
    </i>
    <i>
      <x v="222"/>
      <x v="134"/>
    </i>
    <i r="1">
      <x v="552"/>
    </i>
    <i t="default">
      <x v="222"/>
    </i>
    <i>
      <x v="223"/>
      <x v="552"/>
    </i>
    <i t="default">
      <x v="223"/>
    </i>
    <i>
      <x v="224"/>
      <x v="552"/>
    </i>
    <i t="default">
      <x v="224"/>
    </i>
    <i>
      <x v="225"/>
      <x v="552"/>
    </i>
    <i t="default">
      <x v="225"/>
    </i>
    <i>
      <x v="226"/>
      <x v="552"/>
    </i>
    <i t="default">
      <x v="226"/>
    </i>
    <i>
      <x v="227"/>
      <x v="552"/>
    </i>
    <i t="default">
      <x v="227"/>
    </i>
    <i>
      <x v="228"/>
      <x v="552"/>
    </i>
    <i t="default">
      <x v="228"/>
    </i>
    <i>
      <x v="229"/>
      <x v="31"/>
    </i>
    <i t="default">
      <x v="229"/>
    </i>
    <i>
      <x v="230"/>
      <x v="552"/>
    </i>
    <i t="default">
      <x v="230"/>
    </i>
    <i>
      <x v="231"/>
      <x v="552"/>
    </i>
    <i t="default">
      <x v="231"/>
    </i>
    <i>
      <x v="232"/>
      <x v="552"/>
    </i>
    <i t="default">
      <x v="232"/>
    </i>
    <i>
      <x v="233"/>
      <x v="552"/>
    </i>
    <i t="default">
      <x v="233"/>
    </i>
    <i>
      <x v="234"/>
      <x v="552"/>
    </i>
    <i t="default">
      <x v="234"/>
    </i>
    <i>
      <x v="235"/>
      <x v="552"/>
    </i>
    <i t="default">
      <x v="235"/>
    </i>
    <i>
      <x v="236"/>
      <x v="552"/>
    </i>
    <i t="default">
      <x v="236"/>
    </i>
    <i>
      <x v="237"/>
      <x v="552"/>
    </i>
    <i t="default">
      <x v="237"/>
    </i>
    <i>
      <x v="238"/>
      <x v="38"/>
    </i>
    <i t="default">
      <x v="238"/>
    </i>
    <i>
      <x v="239"/>
      <x v="552"/>
    </i>
    <i t="default">
      <x v="239"/>
    </i>
    <i>
      <x v="240"/>
      <x v="552"/>
    </i>
    <i t="default">
      <x v="240"/>
    </i>
    <i>
      <x v="241"/>
      <x v="552"/>
    </i>
    <i t="default">
      <x v="241"/>
    </i>
    <i>
      <x v="242"/>
      <x v="552"/>
    </i>
    <i t="default">
      <x v="242"/>
    </i>
    <i>
      <x v="243"/>
      <x v="552"/>
    </i>
    <i t="default">
      <x v="243"/>
    </i>
    <i>
      <x v="244"/>
      <x v="552"/>
    </i>
    <i t="default">
      <x v="244"/>
    </i>
    <i>
      <x v="245"/>
      <x v="307"/>
    </i>
    <i r="1">
      <x v="552"/>
    </i>
    <i t="default">
      <x v="245"/>
    </i>
    <i>
      <x v="246"/>
      <x v="552"/>
    </i>
    <i t="default">
      <x v="246"/>
    </i>
    <i>
      <x v="247"/>
      <x v="552"/>
    </i>
    <i t="default">
      <x v="247"/>
    </i>
    <i>
      <x v="248"/>
      <x v="552"/>
    </i>
    <i t="default">
      <x v="248"/>
    </i>
    <i>
      <x v="249"/>
      <x v="552"/>
    </i>
    <i t="default">
      <x v="249"/>
    </i>
    <i>
      <x v="250"/>
      <x v="552"/>
    </i>
    <i t="default">
      <x v="250"/>
    </i>
    <i>
      <x v="251"/>
      <x v="552"/>
    </i>
    <i t="default">
      <x v="251"/>
    </i>
    <i>
      <x v="252"/>
      <x v="552"/>
    </i>
    <i t="default">
      <x v="252"/>
    </i>
    <i>
      <x v="253"/>
      <x v="552"/>
    </i>
    <i t="default">
      <x v="253"/>
    </i>
    <i>
      <x v="254"/>
      <x v="552"/>
    </i>
    <i t="default">
      <x v="254"/>
    </i>
    <i>
      <x v="255"/>
      <x v="552"/>
    </i>
    <i t="default">
      <x v="255"/>
    </i>
    <i>
      <x v="256"/>
      <x v="552"/>
    </i>
    <i t="default">
      <x v="256"/>
    </i>
    <i>
      <x v="257"/>
      <x v="552"/>
    </i>
    <i t="default">
      <x v="257"/>
    </i>
    <i>
      <x v="258"/>
      <x v="552"/>
    </i>
    <i t="default">
      <x v="258"/>
    </i>
    <i>
      <x v="259"/>
      <x v="552"/>
    </i>
    <i t="default">
      <x v="259"/>
    </i>
    <i>
      <x v="260"/>
      <x v="552"/>
    </i>
    <i t="default">
      <x v="260"/>
    </i>
    <i>
      <x v="261"/>
      <x v="552"/>
    </i>
    <i t="default">
      <x v="261"/>
    </i>
    <i>
      <x v="262"/>
      <x v="552"/>
    </i>
    <i t="default">
      <x v="262"/>
    </i>
    <i>
      <x v="263"/>
      <x v="552"/>
    </i>
    <i t="default">
      <x v="263"/>
    </i>
    <i>
      <x v="264"/>
      <x v="552"/>
    </i>
    <i t="default">
      <x v="264"/>
    </i>
    <i>
      <x v="265"/>
      <x v="552"/>
    </i>
    <i t="default">
      <x v="265"/>
    </i>
    <i>
      <x v="266"/>
      <x v="552"/>
    </i>
    <i t="default">
      <x v="266"/>
    </i>
    <i>
      <x v="267"/>
      <x v="552"/>
    </i>
    <i t="default">
      <x v="267"/>
    </i>
    <i>
      <x v="268"/>
      <x v="552"/>
    </i>
    <i t="default">
      <x v="268"/>
    </i>
    <i>
      <x v="269"/>
      <x v="552"/>
    </i>
    <i t="default">
      <x v="269"/>
    </i>
    <i>
      <x v="270"/>
      <x v="552"/>
    </i>
    <i t="default">
      <x v="270"/>
    </i>
    <i>
      <x v="271"/>
      <x v="552"/>
    </i>
    <i t="default">
      <x v="271"/>
    </i>
    <i>
      <x v="272"/>
      <x v="552"/>
    </i>
    <i t="default">
      <x v="272"/>
    </i>
    <i>
      <x v="273"/>
      <x v="552"/>
    </i>
    <i t="default">
      <x v="273"/>
    </i>
    <i>
      <x v="274"/>
      <x v="552"/>
    </i>
    <i t="default">
      <x v="274"/>
    </i>
    <i>
      <x v="275"/>
      <x v="552"/>
    </i>
    <i t="default">
      <x v="275"/>
    </i>
    <i>
      <x v="276"/>
      <x v="552"/>
    </i>
    <i t="default">
      <x v="276"/>
    </i>
    <i>
      <x v="277"/>
      <x v="552"/>
    </i>
    <i t="default">
      <x v="277"/>
    </i>
    <i>
      <x v="278"/>
      <x v="552"/>
    </i>
    <i t="default">
      <x v="278"/>
    </i>
    <i>
      <x v="279"/>
      <x v="552"/>
    </i>
    <i t="default">
      <x v="279"/>
    </i>
    <i>
      <x v="280"/>
      <x v="552"/>
    </i>
    <i t="default">
      <x v="280"/>
    </i>
    <i>
      <x v="281"/>
      <x v="552"/>
    </i>
    <i t="default">
      <x v="281"/>
    </i>
    <i>
      <x v="282"/>
      <x v="552"/>
    </i>
    <i t="default">
      <x v="282"/>
    </i>
    <i>
      <x v="283"/>
      <x v="552"/>
    </i>
    <i t="default">
      <x v="283"/>
    </i>
    <i>
      <x v="284"/>
      <x v="552"/>
    </i>
    <i t="default">
      <x v="284"/>
    </i>
    <i>
      <x v="285"/>
      <x v="552"/>
    </i>
    <i t="default">
      <x v="285"/>
    </i>
    <i>
      <x v="286"/>
      <x v="552"/>
    </i>
    <i t="default">
      <x v="286"/>
    </i>
    <i>
      <x v="287"/>
      <x v="552"/>
    </i>
    <i t="default">
      <x v="287"/>
    </i>
    <i>
      <x v="288"/>
      <x v="552"/>
    </i>
    <i t="default">
      <x v="288"/>
    </i>
    <i>
      <x v="289"/>
      <x v="552"/>
    </i>
    <i t="default">
      <x v="289"/>
    </i>
    <i>
      <x v="290"/>
      <x v="552"/>
    </i>
    <i t="default">
      <x v="290"/>
    </i>
    <i>
      <x v="291"/>
      <x v="552"/>
    </i>
    <i t="default">
      <x v="291"/>
    </i>
    <i>
      <x v="292"/>
      <x v="552"/>
    </i>
    <i t="default">
      <x v="292"/>
    </i>
    <i>
      <x v="293"/>
      <x v="552"/>
    </i>
    <i t="default">
      <x v="293"/>
    </i>
    <i>
      <x v="294"/>
      <x v="552"/>
    </i>
    <i t="default">
      <x v="294"/>
    </i>
    <i>
      <x v="295"/>
      <x v="552"/>
    </i>
    <i t="default">
      <x v="295"/>
    </i>
    <i>
      <x v="296"/>
      <x v="552"/>
    </i>
    <i t="default">
      <x v="296"/>
    </i>
    <i>
      <x v="297"/>
      <x v="552"/>
    </i>
    <i t="default">
      <x v="297"/>
    </i>
    <i>
      <x v="298"/>
      <x v="552"/>
    </i>
    <i t="default">
      <x v="298"/>
    </i>
    <i>
      <x v="299"/>
      <x v="552"/>
    </i>
    <i t="default">
      <x v="299"/>
    </i>
    <i>
      <x v="300"/>
      <x v="552"/>
    </i>
    <i t="default">
      <x v="300"/>
    </i>
    <i>
      <x v="301"/>
      <x v="552"/>
    </i>
    <i t="default">
      <x v="301"/>
    </i>
    <i>
      <x v="302"/>
      <x v="552"/>
    </i>
    <i t="default">
      <x v="302"/>
    </i>
    <i>
      <x v="303"/>
      <x v="552"/>
    </i>
    <i t="default">
      <x v="303"/>
    </i>
    <i>
      <x v="304"/>
      <x v="552"/>
    </i>
    <i t="default">
      <x v="304"/>
    </i>
    <i>
      <x v="305"/>
      <x v="552"/>
    </i>
    <i t="default">
      <x v="305"/>
    </i>
    <i>
      <x v="306"/>
      <x v="552"/>
    </i>
    <i t="default">
      <x v="306"/>
    </i>
    <i>
      <x v="307"/>
      <x v="552"/>
    </i>
    <i t="default">
      <x v="307"/>
    </i>
    <i>
      <x v="308"/>
      <x v="552"/>
    </i>
    <i t="default">
      <x v="308"/>
    </i>
    <i>
      <x v="309"/>
      <x v="552"/>
    </i>
    <i t="default">
      <x v="309"/>
    </i>
    <i>
      <x v="310"/>
      <x v="552"/>
    </i>
    <i t="default">
      <x v="310"/>
    </i>
    <i>
      <x v="311"/>
      <x v="552"/>
    </i>
    <i t="default">
      <x v="311"/>
    </i>
    <i>
      <x v="312"/>
      <x v="552"/>
    </i>
    <i t="default">
      <x v="312"/>
    </i>
    <i>
      <x v="313"/>
      <x v="552"/>
    </i>
    <i t="default">
      <x v="313"/>
    </i>
    <i>
      <x v="314"/>
      <x v="552"/>
    </i>
    <i t="default">
      <x v="314"/>
    </i>
    <i>
      <x v="315"/>
      <x v="552"/>
    </i>
    <i t="default">
      <x v="315"/>
    </i>
    <i>
      <x v="316"/>
      <x v="552"/>
    </i>
    <i t="default">
      <x v="316"/>
    </i>
    <i>
      <x v="317"/>
      <x v="552"/>
    </i>
    <i t="default">
      <x v="317"/>
    </i>
    <i>
      <x v="318"/>
      <x v="552"/>
    </i>
    <i t="default">
      <x v="318"/>
    </i>
    <i>
      <x v="319"/>
      <x v="552"/>
    </i>
    <i t="default">
      <x v="319"/>
    </i>
    <i>
      <x v="320"/>
      <x v="552"/>
    </i>
    <i t="default">
      <x v="320"/>
    </i>
    <i>
      <x v="321"/>
      <x v="552"/>
    </i>
    <i t="default">
      <x v="321"/>
    </i>
    <i>
      <x v="322"/>
      <x v="552"/>
    </i>
    <i t="default">
      <x v="322"/>
    </i>
    <i>
      <x v="323"/>
      <x v="552"/>
    </i>
    <i t="default">
      <x v="323"/>
    </i>
    <i>
      <x v="324"/>
      <x v="552"/>
    </i>
    <i t="default">
      <x v="324"/>
    </i>
    <i>
      <x v="325"/>
      <x v="552"/>
    </i>
    <i t="default">
      <x v="325"/>
    </i>
    <i>
      <x v="326"/>
      <x v="552"/>
    </i>
    <i t="default">
      <x v="326"/>
    </i>
    <i>
      <x v="327"/>
      <x v="552"/>
    </i>
    <i t="default">
      <x v="327"/>
    </i>
    <i>
      <x v="328"/>
      <x v="552"/>
    </i>
    <i t="default">
      <x v="328"/>
    </i>
    <i>
      <x v="329"/>
      <x v="552"/>
    </i>
    <i t="default">
      <x v="329"/>
    </i>
    <i>
      <x v="330"/>
      <x v="552"/>
    </i>
    <i t="default">
      <x v="330"/>
    </i>
    <i>
      <x v="331"/>
      <x v="552"/>
    </i>
    <i t="default">
      <x v="331"/>
    </i>
    <i>
      <x v="332"/>
      <x v="552"/>
    </i>
    <i t="default">
      <x v="332"/>
    </i>
    <i>
      <x v="333"/>
      <x v="552"/>
    </i>
    <i t="default">
      <x v="333"/>
    </i>
    <i>
      <x v="334"/>
      <x v="552"/>
    </i>
    <i t="default">
      <x v="334"/>
    </i>
    <i>
      <x v="335"/>
      <x v="413"/>
    </i>
    <i r="1">
      <x v="552"/>
    </i>
    <i t="default">
      <x v="335"/>
    </i>
    <i>
      <x v="336"/>
      <x v="552"/>
    </i>
    <i t="default">
      <x v="336"/>
    </i>
    <i>
      <x v="337"/>
      <x v="552"/>
    </i>
    <i t="default">
      <x v="337"/>
    </i>
    <i>
      <x v="338"/>
      <x v="552"/>
    </i>
    <i t="default">
      <x v="338"/>
    </i>
    <i>
      <x v="339"/>
      <x v="552"/>
    </i>
    <i t="default">
      <x v="339"/>
    </i>
    <i>
      <x v="340"/>
      <x v="552"/>
    </i>
    <i t="default">
      <x v="340"/>
    </i>
    <i>
      <x v="341"/>
      <x v="552"/>
    </i>
    <i t="default">
      <x v="341"/>
    </i>
    <i>
      <x v="342"/>
      <x v="552"/>
    </i>
    <i t="default">
      <x v="342"/>
    </i>
    <i>
      <x v="343"/>
      <x v="552"/>
    </i>
    <i t="default">
      <x v="343"/>
    </i>
    <i>
      <x v="344"/>
      <x v="552"/>
    </i>
    <i t="default">
      <x v="344"/>
    </i>
    <i>
      <x v="345"/>
      <x v="552"/>
    </i>
    <i t="default">
      <x v="345"/>
    </i>
    <i>
      <x v="346"/>
      <x v="552"/>
    </i>
    <i t="default">
      <x v="346"/>
    </i>
    <i>
      <x v="347"/>
      <x v="552"/>
    </i>
    <i t="default">
      <x v="347"/>
    </i>
    <i>
      <x v="348"/>
      <x v="552"/>
    </i>
    <i t="default">
      <x v="348"/>
    </i>
    <i>
      <x v="349"/>
      <x v="552"/>
    </i>
    <i t="default">
      <x v="349"/>
    </i>
    <i>
      <x v="350"/>
      <x v="552"/>
    </i>
    <i t="default">
      <x v="350"/>
    </i>
    <i>
      <x v="351"/>
      <x v="552"/>
    </i>
    <i t="default">
      <x v="351"/>
    </i>
    <i>
      <x v="352"/>
      <x v="552"/>
    </i>
    <i t="default">
      <x v="352"/>
    </i>
    <i>
      <x v="353"/>
      <x v="552"/>
    </i>
    <i t="default">
      <x v="353"/>
    </i>
    <i>
      <x v="354"/>
      <x v="552"/>
    </i>
    <i t="default">
      <x v="354"/>
    </i>
    <i>
      <x v="355"/>
      <x v="552"/>
    </i>
    <i t="default">
      <x v="355"/>
    </i>
    <i>
      <x v="356"/>
      <x v="552"/>
    </i>
    <i t="default">
      <x v="356"/>
    </i>
    <i>
      <x v="357"/>
      <x v="552"/>
    </i>
    <i t="default">
      <x v="357"/>
    </i>
    <i>
      <x v="358"/>
      <x v="552"/>
    </i>
    <i t="default">
      <x v="358"/>
    </i>
    <i>
      <x v="359"/>
      <x v="552"/>
    </i>
    <i t="default">
      <x v="359"/>
    </i>
    <i>
      <x v="360"/>
      <x v="552"/>
    </i>
    <i t="default">
      <x v="360"/>
    </i>
    <i>
      <x v="361"/>
      <x v="552"/>
    </i>
    <i t="default">
      <x v="361"/>
    </i>
    <i>
      <x v="362"/>
      <x v="552"/>
    </i>
    <i t="default">
      <x v="362"/>
    </i>
    <i>
      <x v="363"/>
      <x v="552"/>
    </i>
    <i t="default">
      <x v="363"/>
    </i>
    <i>
      <x v="364"/>
      <x v="552"/>
    </i>
    <i t="default">
      <x v="364"/>
    </i>
    <i>
      <x v="365"/>
      <x v="552"/>
    </i>
    <i t="default">
      <x v="365"/>
    </i>
    <i>
      <x v="366"/>
      <x v="552"/>
    </i>
    <i t="default">
      <x v="366"/>
    </i>
    <i>
      <x v="367"/>
      <x v="552"/>
    </i>
    <i t="default">
      <x v="367"/>
    </i>
    <i>
      <x v="368"/>
      <x v="552"/>
    </i>
    <i t="default">
      <x v="368"/>
    </i>
    <i>
      <x v="369"/>
      <x v="552"/>
    </i>
    <i t="default">
      <x v="369"/>
    </i>
    <i>
      <x v="370"/>
      <x v="552"/>
    </i>
    <i t="default">
      <x v="370"/>
    </i>
    <i>
      <x v="371"/>
      <x v="552"/>
    </i>
    <i t="default">
      <x v="371"/>
    </i>
    <i>
      <x v="372"/>
      <x v="552"/>
    </i>
    <i t="default">
      <x v="372"/>
    </i>
    <i>
      <x v="373"/>
      <x v="552"/>
    </i>
    <i t="default">
      <x v="373"/>
    </i>
    <i>
      <x v="374"/>
      <x v="552"/>
    </i>
    <i t="default">
      <x v="374"/>
    </i>
    <i>
      <x v="375"/>
      <x v="552"/>
    </i>
    <i t="default">
      <x v="375"/>
    </i>
    <i>
      <x v="376"/>
      <x v="552"/>
    </i>
    <i t="default">
      <x v="376"/>
    </i>
    <i>
      <x v="377"/>
      <x v="552"/>
    </i>
    <i t="default">
      <x v="377"/>
    </i>
    <i>
      <x v="378"/>
      <x v="552"/>
    </i>
    <i t="default">
      <x v="378"/>
    </i>
    <i>
      <x v="379"/>
      <x v="552"/>
    </i>
    <i t="default">
      <x v="379"/>
    </i>
    <i>
      <x v="380"/>
      <x v="552"/>
    </i>
    <i t="default">
      <x v="380"/>
    </i>
    <i>
      <x v="381"/>
      <x v="552"/>
    </i>
    <i t="default">
      <x v="381"/>
    </i>
    <i>
      <x v="382"/>
      <x v="552"/>
    </i>
    <i t="default">
      <x v="382"/>
    </i>
    <i>
      <x v="383"/>
      <x v="552"/>
    </i>
    <i t="default">
      <x v="383"/>
    </i>
    <i>
      <x v="384"/>
      <x v="552"/>
    </i>
    <i t="default">
      <x v="384"/>
    </i>
    <i>
      <x v="385"/>
      <x v="552"/>
    </i>
    <i t="default">
      <x v="385"/>
    </i>
    <i>
      <x v="386"/>
      <x v="552"/>
    </i>
    <i t="default">
      <x v="386"/>
    </i>
    <i>
      <x v="387"/>
      <x v="552"/>
    </i>
    <i t="default">
      <x v="387"/>
    </i>
    <i>
      <x v="388"/>
      <x v="552"/>
    </i>
    <i t="default">
      <x v="388"/>
    </i>
    <i>
      <x v="389"/>
      <x v="552"/>
    </i>
    <i t="default">
      <x v="389"/>
    </i>
    <i>
      <x v="390"/>
      <x v="552"/>
    </i>
    <i t="default">
      <x v="390"/>
    </i>
    <i>
      <x v="391"/>
      <x v="552"/>
    </i>
    <i t="default">
      <x v="391"/>
    </i>
    <i>
      <x v="392"/>
      <x v="552"/>
    </i>
    <i t="default">
      <x v="392"/>
    </i>
    <i>
      <x v="393"/>
      <x v="552"/>
    </i>
    <i t="default">
      <x v="393"/>
    </i>
    <i>
      <x v="394"/>
      <x v="552"/>
    </i>
    <i t="default">
      <x v="394"/>
    </i>
    <i>
      <x v="395"/>
      <x v="552"/>
    </i>
    <i t="default">
      <x v="395"/>
    </i>
    <i>
      <x v="396"/>
      <x v="552"/>
    </i>
    <i t="default">
      <x v="396"/>
    </i>
    <i>
      <x v="397"/>
      <x v="552"/>
    </i>
    <i t="default">
      <x v="397"/>
    </i>
    <i>
      <x v="398"/>
      <x v="552"/>
    </i>
    <i t="default">
      <x v="398"/>
    </i>
    <i>
      <x v="399"/>
      <x v="552"/>
    </i>
    <i t="default">
      <x v="399"/>
    </i>
    <i>
      <x v="400"/>
      <x v="552"/>
    </i>
    <i t="default">
      <x v="400"/>
    </i>
    <i>
      <x v="401"/>
      <x v="552"/>
    </i>
    <i t="default">
      <x v="401"/>
    </i>
    <i>
      <x v="402"/>
      <x v="488"/>
    </i>
    <i t="default">
      <x v="402"/>
    </i>
    <i>
      <x v="403"/>
      <x v="552"/>
    </i>
    <i t="default">
      <x v="403"/>
    </i>
    <i>
      <x v="404"/>
      <x v="552"/>
    </i>
    <i t="default">
      <x v="404"/>
    </i>
    <i>
      <x v="405"/>
      <x v="491"/>
    </i>
    <i r="1">
      <x v="552"/>
    </i>
    <i t="default">
      <x v="405"/>
    </i>
    <i>
      <x v="406"/>
      <x v="542"/>
    </i>
    <i t="default">
      <x v="406"/>
    </i>
    <i>
      <x v="407"/>
      <x v="552"/>
    </i>
    <i t="default">
      <x v="407"/>
    </i>
    <i>
      <x v="408"/>
      <x v="552"/>
    </i>
    <i t="default">
      <x v="408"/>
    </i>
    <i>
      <x v="409"/>
      <x v="552"/>
    </i>
    <i t="default">
      <x v="409"/>
    </i>
    <i>
      <x v="410"/>
      <x v="444"/>
    </i>
    <i t="default">
      <x v="410"/>
    </i>
    <i>
      <x v="411"/>
      <x v="552"/>
    </i>
    <i t="default">
      <x v="411"/>
    </i>
    <i>
      <x v="412"/>
      <x v="552"/>
    </i>
    <i t="default">
      <x v="412"/>
    </i>
    <i>
      <x v="413"/>
      <x v="552"/>
    </i>
    <i t="default">
      <x v="413"/>
    </i>
    <i>
      <x v="414"/>
      <x v="552"/>
    </i>
    <i t="default">
      <x v="414"/>
    </i>
    <i>
      <x v="415"/>
      <x v="8"/>
    </i>
    <i t="default">
      <x v="415"/>
    </i>
    <i>
      <x v="416"/>
      <x v="552"/>
    </i>
    <i t="default">
      <x v="416"/>
    </i>
    <i>
      <x v="417"/>
      <x v="552"/>
    </i>
    <i t="default">
      <x v="417"/>
    </i>
    <i>
      <x v="418"/>
      <x v="552"/>
    </i>
    <i t="default">
      <x v="418"/>
    </i>
    <i>
      <x v="419"/>
      <x v="552"/>
    </i>
    <i t="default">
      <x v="419"/>
    </i>
    <i>
      <x v="420"/>
      <x v="552"/>
    </i>
    <i t="default">
      <x v="420"/>
    </i>
    <i>
      <x v="421"/>
      <x v="552"/>
    </i>
    <i t="default">
      <x v="421"/>
    </i>
    <i>
      <x v="422"/>
      <x v="552"/>
    </i>
    <i t="default">
      <x v="422"/>
    </i>
    <i>
      <x v="423"/>
      <x v="552"/>
    </i>
    <i t="default">
      <x v="423"/>
    </i>
    <i>
      <x v="424"/>
      <x v="552"/>
    </i>
    <i t="default">
      <x v="424"/>
    </i>
    <i>
      <x v="425"/>
      <x v="552"/>
    </i>
    <i t="default">
      <x v="425"/>
    </i>
    <i>
      <x v="426"/>
      <x v="552"/>
    </i>
    <i t="default">
      <x v="426"/>
    </i>
    <i>
      <x v="427"/>
      <x v="552"/>
    </i>
    <i t="default">
      <x v="427"/>
    </i>
    <i>
      <x v="428"/>
      <x v="552"/>
    </i>
    <i t="default">
      <x v="428"/>
    </i>
    <i>
      <x v="429"/>
      <x v="552"/>
    </i>
    <i t="default">
      <x v="429"/>
    </i>
    <i>
      <x v="430"/>
      <x v="552"/>
    </i>
    <i t="default">
      <x v="430"/>
    </i>
    <i>
      <x v="431"/>
      <x v="552"/>
    </i>
    <i t="default">
      <x v="431"/>
    </i>
    <i>
      <x v="432"/>
      <x v="552"/>
    </i>
    <i t="default">
      <x v="432"/>
    </i>
    <i>
      <x v="433"/>
      <x v="552"/>
    </i>
    <i t="default">
      <x v="433"/>
    </i>
    <i>
      <x v="434"/>
      <x v="552"/>
    </i>
    <i t="default">
      <x v="434"/>
    </i>
    <i>
      <x v="435"/>
      <x v="552"/>
    </i>
    <i t="default">
      <x v="435"/>
    </i>
    <i>
      <x v="436"/>
      <x v="552"/>
    </i>
    <i t="default">
      <x v="436"/>
    </i>
    <i>
      <x v="437"/>
      <x v="552"/>
    </i>
    <i t="default">
      <x v="437"/>
    </i>
    <i>
      <x v="438"/>
      <x v="552"/>
    </i>
    <i t="default">
      <x v="438"/>
    </i>
    <i>
      <x v="439"/>
      <x v="552"/>
    </i>
    <i t="default">
      <x v="439"/>
    </i>
    <i>
      <x v="440"/>
      <x v="552"/>
    </i>
    <i t="default">
      <x v="440"/>
    </i>
    <i>
      <x v="441"/>
      <x v="552"/>
    </i>
    <i t="default">
      <x v="441"/>
    </i>
    <i>
      <x v="442"/>
      <x v="552"/>
    </i>
    <i t="default">
      <x v="442"/>
    </i>
    <i>
      <x v="443"/>
      <x v="552"/>
    </i>
    <i t="default">
      <x v="443"/>
    </i>
    <i>
      <x v="444"/>
      <x v="552"/>
    </i>
    <i t="default">
      <x v="444"/>
    </i>
    <i>
      <x v="445"/>
      <x v="552"/>
    </i>
    <i t="default">
      <x v="445"/>
    </i>
    <i>
      <x v="446"/>
      <x v="552"/>
    </i>
    <i t="default">
      <x v="446"/>
    </i>
    <i>
      <x v="447"/>
      <x v="552"/>
    </i>
    <i t="default">
      <x v="447"/>
    </i>
    <i>
      <x v="448"/>
      <x v="552"/>
    </i>
    <i t="default">
      <x v="448"/>
    </i>
    <i>
      <x v="449"/>
      <x v="552"/>
    </i>
    <i t="default">
      <x v="449"/>
    </i>
    <i>
      <x v="450"/>
      <x v="552"/>
    </i>
    <i t="default">
      <x v="450"/>
    </i>
    <i>
      <x v="451"/>
      <x v="552"/>
    </i>
    <i t="default">
      <x v="451"/>
    </i>
    <i>
      <x v="452"/>
      <x v="552"/>
    </i>
    <i t="default">
      <x v="452"/>
    </i>
    <i>
      <x v="453"/>
      <x v="526"/>
    </i>
    <i t="default">
      <x v="453"/>
    </i>
    <i>
      <x v="454"/>
      <x v="552"/>
    </i>
    <i t="default">
      <x v="454"/>
    </i>
    <i>
      <x v="455"/>
      <x v="552"/>
    </i>
    <i t="default">
      <x v="455"/>
    </i>
    <i>
      <x v="456"/>
      <x v="552"/>
    </i>
    <i t="default">
      <x v="456"/>
    </i>
    <i>
      <x v="457"/>
      <x v="552"/>
    </i>
    <i t="default">
      <x v="457"/>
    </i>
    <i>
      <x v="458"/>
      <x v="211"/>
    </i>
    <i t="default">
      <x v="458"/>
    </i>
    <i>
      <x v="459"/>
      <x v="552"/>
    </i>
    <i t="default">
      <x v="459"/>
    </i>
    <i>
      <x v="460"/>
      <x v="552"/>
    </i>
    <i t="default">
      <x v="460"/>
    </i>
    <i>
      <x v="461"/>
      <x v="552"/>
    </i>
    <i t="default">
      <x v="461"/>
    </i>
    <i>
      <x v="462"/>
      <x v="552"/>
    </i>
    <i t="default">
      <x v="462"/>
    </i>
    <i>
      <x v="463"/>
      <x v="552"/>
    </i>
    <i t="default">
      <x v="463"/>
    </i>
    <i>
      <x v="464"/>
      <x v="552"/>
    </i>
    <i t="default">
      <x v="464"/>
    </i>
    <i>
      <x v="465"/>
      <x v="552"/>
    </i>
    <i t="default">
      <x v="465"/>
    </i>
    <i>
      <x v="466"/>
      <x v="552"/>
    </i>
    <i t="default">
      <x v="466"/>
    </i>
    <i>
      <x v="467"/>
      <x v="552"/>
    </i>
    <i t="default">
      <x v="467"/>
    </i>
    <i>
      <x v="468"/>
      <x v="552"/>
    </i>
    <i t="default">
      <x v="468"/>
    </i>
    <i>
      <x v="469"/>
      <x v="552"/>
    </i>
    <i t="default">
      <x v="469"/>
    </i>
    <i>
      <x v="470"/>
      <x v="552"/>
    </i>
    <i t="default">
      <x v="470"/>
    </i>
    <i>
      <x v="471"/>
      <x v="552"/>
    </i>
    <i t="default">
      <x v="471"/>
    </i>
    <i>
      <x v="472"/>
      <x v="552"/>
    </i>
    <i t="default">
      <x v="472"/>
    </i>
    <i>
      <x v="473"/>
      <x v="552"/>
    </i>
    <i t="default">
      <x v="473"/>
    </i>
    <i>
      <x v="474"/>
      <x v="552"/>
    </i>
    <i t="default">
      <x v="474"/>
    </i>
    <i>
      <x v="475"/>
      <x v="552"/>
    </i>
    <i t="default">
      <x v="475"/>
    </i>
    <i>
      <x v="476"/>
      <x v="552"/>
    </i>
    <i t="default">
      <x v="476"/>
    </i>
    <i>
      <x v="477"/>
      <x v="552"/>
    </i>
    <i t="default">
      <x v="477"/>
    </i>
    <i>
      <x v="478"/>
      <x v="552"/>
    </i>
    <i t="default">
      <x v="478"/>
    </i>
    <i>
      <x v="479"/>
      <x v="552"/>
    </i>
    <i t="default">
      <x v="479"/>
    </i>
    <i>
      <x v="480"/>
      <x v="552"/>
    </i>
    <i t="default">
      <x v="480"/>
    </i>
    <i>
      <x v="481"/>
      <x v="552"/>
    </i>
    <i t="default">
      <x v="481"/>
    </i>
    <i>
      <x v="482"/>
      <x v="552"/>
    </i>
    <i t="default">
      <x v="482"/>
    </i>
    <i>
      <x v="483"/>
      <x v="142"/>
    </i>
    <i r="1">
      <x v="552"/>
    </i>
    <i t="default">
      <x v="483"/>
    </i>
    <i>
      <x v="484"/>
      <x v="552"/>
    </i>
    <i t="default">
      <x v="484"/>
    </i>
    <i>
      <x v="485"/>
      <x v="552"/>
    </i>
    <i t="default">
      <x v="485"/>
    </i>
    <i>
      <x v="486"/>
      <x v="552"/>
    </i>
    <i t="default">
      <x v="486"/>
    </i>
    <i>
      <x v="487"/>
      <x v="552"/>
    </i>
    <i t="default">
      <x v="487"/>
    </i>
    <i>
      <x v="488"/>
      <x v="552"/>
    </i>
    <i t="default">
      <x v="488"/>
    </i>
    <i>
      <x v="489"/>
      <x v="552"/>
    </i>
    <i t="default">
      <x v="489"/>
    </i>
    <i>
      <x v="490"/>
      <x v="552"/>
    </i>
    <i t="default">
      <x v="490"/>
    </i>
    <i>
      <x v="491"/>
      <x v="552"/>
    </i>
    <i t="default">
      <x v="491"/>
    </i>
    <i>
      <x v="492"/>
      <x v="552"/>
    </i>
    <i t="default">
      <x v="492"/>
    </i>
    <i>
      <x v="493"/>
      <x v="552"/>
    </i>
    <i t="default">
      <x v="493"/>
    </i>
    <i>
      <x v="494"/>
      <x v="552"/>
    </i>
    <i t="default">
      <x v="494"/>
    </i>
    <i>
      <x v="495"/>
      <x v="552"/>
    </i>
    <i t="default">
      <x v="495"/>
    </i>
    <i>
      <x v="496"/>
      <x v="552"/>
    </i>
    <i t="default">
      <x v="496"/>
    </i>
    <i>
      <x v="497"/>
      <x v="552"/>
    </i>
    <i t="default">
      <x v="497"/>
    </i>
    <i>
      <x v="498"/>
      <x v="552"/>
    </i>
    <i t="default">
      <x v="498"/>
    </i>
    <i>
      <x v="499"/>
      <x v="552"/>
    </i>
    <i t="default">
      <x v="499"/>
    </i>
    <i>
      <x v="500"/>
      <x v="552"/>
    </i>
    <i t="default">
      <x v="500"/>
    </i>
    <i>
      <x v="501"/>
      <x v="552"/>
    </i>
    <i t="default">
      <x v="501"/>
    </i>
    <i>
      <x v="502"/>
      <x v="552"/>
    </i>
    <i t="default">
      <x v="502"/>
    </i>
    <i>
      <x v="503"/>
      <x v="552"/>
    </i>
    <i t="default">
      <x v="503"/>
    </i>
    <i>
      <x v="504"/>
      <x v="552"/>
    </i>
    <i t="default">
      <x v="504"/>
    </i>
    <i>
      <x v="505"/>
      <x v="552"/>
    </i>
    <i t="default">
      <x v="505"/>
    </i>
    <i>
      <x v="506"/>
      <x v="552"/>
    </i>
    <i t="default">
      <x v="506"/>
    </i>
    <i>
      <x v="507"/>
      <x v="552"/>
    </i>
    <i t="default">
      <x v="507"/>
    </i>
    <i>
      <x v="508"/>
      <x v="552"/>
    </i>
    <i t="default">
      <x v="508"/>
    </i>
    <i>
      <x v="509"/>
      <x v="40"/>
    </i>
    <i r="1">
      <x v="552"/>
    </i>
    <i t="default">
      <x v="509"/>
    </i>
    <i>
      <x v="510"/>
      <x v="552"/>
    </i>
    <i t="default">
      <x v="510"/>
    </i>
    <i>
      <x v="511"/>
      <x v="552"/>
    </i>
    <i t="default">
      <x v="511"/>
    </i>
    <i>
      <x v="512"/>
      <x v="552"/>
    </i>
    <i t="default">
      <x v="512"/>
    </i>
    <i>
      <x v="513"/>
      <x v="552"/>
    </i>
    <i t="default">
      <x v="513"/>
    </i>
    <i>
      <x v="514"/>
      <x v="552"/>
    </i>
    <i t="default">
      <x v="514"/>
    </i>
    <i>
      <x v="515"/>
      <x v="552"/>
    </i>
    <i t="default">
      <x v="515"/>
    </i>
    <i>
      <x v="516"/>
      <x v="552"/>
    </i>
    <i t="default">
      <x v="516"/>
    </i>
    <i>
      <x v="517"/>
      <x v="552"/>
    </i>
    <i t="default">
      <x v="517"/>
    </i>
    <i>
      <x v="518"/>
      <x v="552"/>
    </i>
    <i t="default">
      <x v="518"/>
    </i>
    <i>
      <x v="519"/>
      <x v="552"/>
    </i>
    <i t="default">
      <x v="519"/>
    </i>
    <i>
      <x v="520"/>
      <x v="552"/>
    </i>
    <i t="default">
      <x v="520"/>
    </i>
    <i>
      <x v="521"/>
      <x v="552"/>
    </i>
    <i t="default">
      <x v="521"/>
    </i>
    <i>
      <x v="522"/>
      <x v="552"/>
    </i>
    <i t="default">
      <x v="522"/>
    </i>
    <i>
      <x v="523"/>
      <x v="552"/>
    </i>
    <i t="default">
      <x v="523"/>
    </i>
    <i>
      <x v="524"/>
      <x v="552"/>
    </i>
    <i t="default">
      <x v="524"/>
    </i>
    <i>
      <x v="525"/>
      <x v="552"/>
    </i>
    <i t="default">
      <x v="525"/>
    </i>
    <i>
      <x v="526"/>
      <x v="552"/>
    </i>
    <i t="default">
      <x v="526"/>
    </i>
    <i>
      <x v="527"/>
      <x v="312"/>
    </i>
    <i r="1">
      <x v="552"/>
    </i>
    <i t="default">
      <x v="527"/>
    </i>
    <i>
      <x v="528"/>
      <x v="552"/>
    </i>
    <i t="default">
      <x v="528"/>
    </i>
    <i>
      <x v="529"/>
      <x v="552"/>
    </i>
    <i t="default">
      <x v="529"/>
    </i>
    <i>
      <x v="530"/>
      <x v="552"/>
    </i>
    <i t="default">
      <x v="530"/>
    </i>
    <i>
      <x v="531"/>
      <x v="552"/>
    </i>
    <i t="default">
      <x v="531"/>
    </i>
    <i>
      <x v="532"/>
      <x v="552"/>
    </i>
    <i t="default">
      <x v="532"/>
    </i>
    <i>
      <x v="533"/>
      <x v="552"/>
    </i>
    <i t="default">
      <x v="533"/>
    </i>
    <i>
      <x v="534"/>
      <x v="552"/>
    </i>
    <i t="default">
      <x v="534"/>
    </i>
    <i>
      <x v="535"/>
      <x v="552"/>
    </i>
    <i t="default">
      <x v="535"/>
    </i>
    <i>
      <x v="536"/>
      <x v="552"/>
    </i>
    <i t="default">
      <x v="536"/>
    </i>
    <i>
      <x v="537"/>
      <x v="552"/>
    </i>
    <i t="default">
      <x v="537"/>
    </i>
    <i>
      <x v="538"/>
      <x v="552"/>
    </i>
    <i t="default">
      <x v="538"/>
    </i>
    <i>
      <x v="539"/>
      <x v="294"/>
    </i>
    <i t="default">
      <x v="539"/>
    </i>
    <i>
      <x v="540"/>
      <x v="552"/>
    </i>
    <i t="default">
      <x v="540"/>
    </i>
    <i>
      <x v="541"/>
      <x v="552"/>
    </i>
    <i t="default">
      <x v="541"/>
    </i>
    <i>
      <x v="542"/>
      <x v="552"/>
    </i>
    <i t="default">
      <x v="542"/>
    </i>
    <i>
      <x v="543"/>
      <x v="552"/>
    </i>
    <i t="default">
      <x v="543"/>
    </i>
    <i>
      <x v="544"/>
      <x v="552"/>
    </i>
    <i t="default">
      <x v="544"/>
    </i>
    <i>
      <x v="545"/>
      <x v="552"/>
    </i>
    <i t="default">
      <x v="545"/>
    </i>
    <i>
      <x v="546"/>
      <x v="552"/>
    </i>
    <i t="default">
      <x v="546"/>
    </i>
    <i>
      <x v="547"/>
      <x v="552"/>
    </i>
    <i t="default">
      <x v="547"/>
    </i>
    <i>
      <x v="548"/>
      <x v="552"/>
    </i>
    <i t="default">
      <x v="548"/>
    </i>
    <i>
      <x v="549"/>
      <x v="552"/>
    </i>
    <i t="default">
      <x v="549"/>
    </i>
    <i>
      <x v="550"/>
      <x v="552"/>
    </i>
    <i t="default">
      <x v="550"/>
    </i>
    <i>
      <x v="551"/>
      <x v="552"/>
    </i>
    <i t="default">
      <x v="551"/>
    </i>
    <i>
      <x v="552"/>
      <x v="428"/>
    </i>
    <i r="1">
      <x v="552"/>
    </i>
    <i t="default">
      <x v="552"/>
    </i>
    <i>
      <x v="553"/>
      <x v="552"/>
    </i>
    <i t="default">
      <x v="553"/>
    </i>
    <i>
      <x v="554"/>
      <x v="552"/>
    </i>
    <i t="default">
      <x v="554"/>
    </i>
    <i>
      <x v="555"/>
      <x v="328"/>
    </i>
    <i r="1">
      <x v="552"/>
    </i>
    <i t="default">
      <x v="555"/>
    </i>
    <i>
      <x v="556"/>
      <x v="552"/>
    </i>
    <i t="default">
      <x v="556"/>
    </i>
    <i>
      <x v="557"/>
      <x v="552"/>
    </i>
    <i t="default">
      <x v="557"/>
    </i>
    <i>
      <x v="558"/>
      <x v="552"/>
    </i>
    <i t="default">
      <x v="558"/>
    </i>
    <i>
      <x v="559"/>
      <x v="552"/>
    </i>
    <i t="default">
      <x v="559"/>
    </i>
    <i>
      <x v="560"/>
      <x v="552"/>
    </i>
    <i t="default">
      <x v="560"/>
    </i>
    <i>
      <x v="561"/>
      <x v="552"/>
    </i>
    <i t="default">
      <x v="561"/>
    </i>
    <i>
      <x v="562"/>
      <x v="552"/>
    </i>
    <i t="default">
      <x v="562"/>
    </i>
    <i>
      <x v="563"/>
      <x v="552"/>
    </i>
    <i t="default">
      <x v="563"/>
    </i>
    <i>
      <x v="564"/>
      <x v="552"/>
    </i>
    <i t="default">
      <x v="564"/>
    </i>
    <i>
      <x v="565"/>
      <x v="552"/>
    </i>
    <i t="default">
      <x v="565"/>
    </i>
    <i>
      <x v="566"/>
      <x v="552"/>
    </i>
    <i t="default">
      <x v="566"/>
    </i>
    <i>
      <x v="567"/>
      <x v="552"/>
    </i>
    <i t="default">
      <x v="567"/>
    </i>
    <i>
      <x v="568"/>
      <x v="552"/>
    </i>
    <i t="default">
      <x v="568"/>
    </i>
    <i>
      <x v="569"/>
      <x v="552"/>
    </i>
    <i t="default">
      <x v="569"/>
    </i>
    <i>
      <x v="570"/>
      <x v="552"/>
    </i>
    <i t="default">
      <x v="570"/>
    </i>
    <i>
      <x v="571"/>
      <x v="552"/>
    </i>
    <i t="default">
      <x v="571"/>
    </i>
    <i>
      <x v="572"/>
      <x v="552"/>
    </i>
    <i t="default">
      <x v="572"/>
    </i>
    <i>
      <x v="573"/>
      <x v="552"/>
    </i>
    <i t="default">
      <x v="573"/>
    </i>
    <i>
      <x v="574"/>
      <x v="552"/>
    </i>
    <i t="default">
      <x v="574"/>
    </i>
    <i>
      <x v="575"/>
      <x v="552"/>
    </i>
    <i t="default">
      <x v="575"/>
    </i>
    <i>
      <x v="576"/>
      <x v="552"/>
    </i>
    <i t="default">
      <x v="576"/>
    </i>
    <i>
      <x v="577"/>
      <x v="552"/>
    </i>
    <i t="default">
      <x v="577"/>
    </i>
    <i>
      <x v="578"/>
      <x v="552"/>
    </i>
    <i t="default">
      <x v="578"/>
    </i>
    <i>
      <x v="579"/>
      <x v="552"/>
    </i>
    <i t="default">
      <x v="579"/>
    </i>
    <i>
      <x v="580"/>
      <x v="60"/>
    </i>
    <i r="1">
      <x v="552"/>
    </i>
    <i t="default">
      <x v="580"/>
    </i>
    <i>
      <x v="581"/>
      <x v="552"/>
    </i>
    <i t="default">
      <x v="581"/>
    </i>
    <i>
      <x v="582"/>
      <x v="19"/>
    </i>
    <i r="1">
      <x v="552"/>
    </i>
    <i t="default">
      <x v="582"/>
    </i>
    <i>
      <x v="583"/>
      <x v="552"/>
    </i>
    <i t="default">
      <x v="583"/>
    </i>
    <i>
      <x v="584"/>
      <x v="552"/>
    </i>
    <i t="default">
      <x v="584"/>
    </i>
    <i>
      <x v="585"/>
      <x v="552"/>
    </i>
    <i t="default">
      <x v="585"/>
    </i>
    <i>
      <x v="586"/>
      <x v="552"/>
    </i>
    <i t="default">
      <x v="586"/>
    </i>
    <i>
      <x v="587"/>
      <x v="183"/>
    </i>
    <i t="default">
      <x v="587"/>
    </i>
    <i>
      <x v="588"/>
      <x v="552"/>
    </i>
    <i t="default">
      <x v="588"/>
    </i>
    <i>
      <x v="589"/>
      <x v="552"/>
    </i>
    <i t="default">
      <x v="589"/>
    </i>
    <i>
      <x v="590"/>
      <x v="552"/>
    </i>
    <i t="default">
      <x v="590"/>
    </i>
    <i>
      <x v="591"/>
      <x v="552"/>
    </i>
    <i t="default">
      <x v="591"/>
    </i>
    <i>
      <x v="592"/>
      <x v="552"/>
    </i>
    <i t="default">
      <x v="592"/>
    </i>
    <i>
      <x v="593"/>
      <x v="552"/>
    </i>
    <i t="default">
      <x v="593"/>
    </i>
    <i>
      <x v="594"/>
      <x v="552"/>
    </i>
    <i t="default">
      <x v="594"/>
    </i>
    <i>
      <x v="595"/>
      <x v="552"/>
    </i>
    <i t="default">
      <x v="595"/>
    </i>
    <i>
      <x v="596"/>
      <x v="552"/>
    </i>
    <i t="default">
      <x v="596"/>
    </i>
    <i>
      <x v="597"/>
      <x v="552"/>
    </i>
    <i t="default">
      <x v="597"/>
    </i>
    <i>
      <x v="598"/>
      <x v="552"/>
    </i>
    <i t="default">
      <x v="598"/>
    </i>
    <i>
      <x v="599"/>
      <x v="552"/>
    </i>
    <i t="default">
      <x v="599"/>
    </i>
    <i>
      <x v="600"/>
      <x v="552"/>
    </i>
    <i t="default">
      <x v="600"/>
    </i>
    <i>
      <x v="601"/>
      <x v="552"/>
    </i>
    <i t="default">
      <x v="601"/>
    </i>
    <i>
      <x v="602"/>
      <x v="552"/>
    </i>
    <i t="default">
      <x v="602"/>
    </i>
    <i>
      <x v="603"/>
      <x v="552"/>
    </i>
    <i t="default">
      <x v="603"/>
    </i>
    <i>
      <x v="604"/>
      <x v="380"/>
    </i>
    <i r="1">
      <x v="552"/>
    </i>
    <i t="default">
      <x v="604"/>
    </i>
    <i>
      <x v="605"/>
      <x v="552"/>
    </i>
    <i t="default">
      <x v="605"/>
    </i>
    <i>
      <x v="606"/>
      <x v="552"/>
    </i>
    <i t="default">
      <x v="606"/>
    </i>
    <i>
      <x v="607"/>
      <x v="552"/>
    </i>
    <i t="default">
      <x v="607"/>
    </i>
    <i>
      <x v="608"/>
      <x v="552"/>
    </i>
    <i t="default">
      <x v="608"/>
    </i>
    <i>
      <x v="609"/>
      <x v="552"/>
    </i>
    <i t="default">
      <x v="609"/>
    </i>
    <i>
      <x v="610"/>
      <x v="552"/>
    </i>
    <i t="default">
      <x v="610"/>
    </i>
    <i>
      <x v="611"/>
      <x v="552"/>
    </i>
    <i t="default">
      <x v="611"/>
    </i>
    <i>
      <x v="612"/>
      <x v="552"/>
    </i>
    <i t="default">
      <x v="612"/>
    </i>
    <i>
      <x v="613"/>
      <x v="552"/>
    </i>
    <i t="default">
      <x v="613"/>
    </i>
    <i>
      <x v="614"/>
      <x v="552"/>
    </i>
    <i t="default">
      <x v="614"/>
    </i>
    <i>
      <x v="615"/>
      <x v="552"/>
    </i>
    <i t="default">
      <x v="615"/>
    </i>
    <i>
      <x v="616"/>
      <x v="552"/>
    </i>
    <i t="default">
      <x v="616"/>
    </i>
    <i>
      <x v="617"/>
      <x v="552"/>
    </i>
    <i t="default">
      <x v="617"/>
    </i>
    <i>
      <x v="618"/>
      <x v="552"/>
    </i>
    <i t="default">
      <x v="618"/>
    </i>
    <i>
      <x v="619"/>
      <x v="552"/>
    </i>
    <i t="default">
      <x v="619"/>
    </i>
    <i>
      <x v="620"/>
      <x v="552"/>
    </i>
    <i t="default">
      <x v="620"/>
    </i>
    <i>
      <x v="621"/>
      <x v="552"/>
    </i>
    <i t="default">
      <x v="621"/>
    </i>
    <i>
      <x v="622"/>
      <x v="473"/>
    </i>
    <i t="default">
      <x v="622"/>
    </i>
    <i>
      <x v="623"/>
      <x v="552"/>
    </i>
    <i t="default">
      <x v="623"/>
    </i>
    <i>
      <x v="624"/>
      <x v="552"/>
    </i>
    <i t="default">
      <x v="624"/>
    </i>
    <i>
      <x v="625"/>
      <x v="552"/>
    </i>
    <i t="default">
      <x v="625"/>
    </i>
    <i>
      <x v="626"/>
      <x v="552"/>
    </i>
    <i t="default">
      <x v="626"/>
    </i>
    <i>
      <x v="627"/>
      <x v="552"/>
    </i>
    <i t="default">
      <x v="627"/>
    </i>
    <i>
      <x v="628"/>
      <x v="550"/>
    </i>
    <i t="default">
      <x v="628"/>
    </i>
    <i>
      <x v="629"/>
      <x v="552"/>
    </i>
    <i t="default">
      <x v="629"/>
    </i>
    <i>
      <x v="630"/>
      <x v="552"/>
    </i>
    <i t="default">
      <x v="630"/>
    </i>
    <i>
      <x v="631"/>
      <x v="552"/>
    </i>
    <i t="default">
      <x v="631"/>
    </i>
    <i>
      <x v="632"/>
      <x v="158"/>
    </i>
    <i t="default">
      <x v="632"/>
    </i>
    <i>
      <x v="633"/>
      <x v="552"/>
    </i>
    <i t="default">
      <x v="633"/>
    </i>
    <i>
      <x v="634"/>
      <x v="466"/>
    </i>
    <i t="default">
      <x v="634"/>
    </i>
    <i>
      <x v="635"/>
      <x v="552"/>
    </i>
    <i t="default">
      <x v="635"/>
    </i>
    <i>
      <x v="636"/>
      <x v="552"/>
    </i>
    <i t="default">
      <x v="636"/>
    </i>
    <i>
      <x v="637"/>
      <x v="552"/>
    </i>
    <i t="default">
      <x v="637"/>
    </i>
    <i>
      <x v="638"/>
      <x v="552"/>
    </i>
    <i t="default">
      <x v="638"/>
    </i>
    <i>
      <x v="639"/>
      <x v="166"/>
    </i>
    <i t="default">
      <x v="639"/>
    </i>
    <i>
      <x v="640"/>
      <x v="552"/>
    </i>
    <i t="default">
      <x v="640"/>
    </i>
    <i>
      <x v="641"/>
      <x v="552"/>
    </i>
    <i t="default">
      <x v="641"/>
    </i>
    <i>
      <x v="642"/>
      <x v="552"/>
    </i>
    <i t="default">
      <x v="642"/>
    </i>
    <i>
      <x v="643"/>
      <x v="552"/>
    </i>
    <i t="default">
      <x v="643"/>
    </i>
    <i>
      <x v="644"/>
      <x v="552"/>
    </i>
    <i t="default">
      <x v="644"/>
    </i>
    <i>
      <x v="645"/>
      <x v="552"/>
    </i>
    <i t="default">
      <x v="645"/>
    </i>
    <i>
      <x v="646"/>
      <x v="552"/>
    </i>
    <i t="default">
      <x v="646"/>
    </i>
    <i>
      <x v="647"/>
      <x v="552"/>
    </i>
    <i t="default">
      <x v="647"/>
    </i>
    <i>
      <x v="648"/>
      <x v="496"/>
    </i>
    <i r="1">
      <x v="552"/>
    </i>
    <i t="default">
      <x v="648"/>
    </i>
    <i>
      <x v="649"/>
      <x v="281"/>
    </i>
    <i r="1">
      <x v="552"/>
    </i>
    <i t="default">
      <x v="649"/>
    </i>
    <i>
      <x v="650"/>
      <x v="552"/>
    </i>
    <i t="default">
      <x v="650"/>
    </i>
    <i>
      <x v="651"/>
      <x v="433"/>
    </i>
    <i t="default">
      <x v="651"/>
    </i>
    <i>
      <x v="652"/>
      <x v="552"/>
    </i>
    <i t="default">
      <x v="652"/>
    </i>
    <i>
      <x v="653"/>
      <x v="552"/>
    </i>
    <i t="default">
      <x v="653"/>
    </i>
    <i>
      <x v="654"/>
      <x v="552"/>
    </i>
    <i t="default">
      <x v="654"/>
    </i>
    <i>
      <x v="655"/>
      <x v="552"/>
    </i>
    <i t="default">
      <x v="655"/>
    </i>
    <i>
      <x v="656"/>
      <x v="552"/>
    </i>
    <i t="default">
      <x v="656"/>
    </i>
    <i>
      <x v="657"/>
      <x v="552"/>
    </i>
    <i t="default">
      <x v="657"/>
    </i>
    <i>
      <x v="658"/>
      <x v="552"/>
    </i>
    <i t="default">
      <x v="658"/>
    </i>
    <i>
      <x v="659"/>
      <x v="552"/>
    </i>
    <i t="default">
      <x v="659"/>
    </i>
    <i>
      <x v="660"/>
      <x v="552"/>
    </i>
    <i t="default">
      <x v="660"/>
    </i>
    <i>
      <x v="661"/>
      <x v="552"/>
    </i>
    <i t="default">
      <x v="661"/>
    </i>
    <i>
      <x v="662"/>
      <x v="552"/>
    </i>
    <i t="default">
      <x v="662"/>
    </i>
    <i>
      <x v="663"/>
      <x v="552"/>
    </i>
    <i t="default">
      <x v="663"/>
    </i>
    <i>
      <x v="664"/>
      <x v="552"/>
    </i>
    <i t="default">
      <x v="664"/>
    </i>
    <i>
      <x v="665"/>
      <x v="552"/>
    </i>
    <i t="default">
      <x v="665"/>
    </i>
    <i>
      <x v="666"/>
      <x v="552"/>
    </i>
    <i t="default">
      <x v="666"/>
    </i>
    <i>
      <x v="667"/>
      <x v="552"/>
    </i>
    <i t="default">
      <x v="667"/>
    </i>
    <i>
      <x v="668"/>
      <x v="552"/>
    </i>
    <i t="default">
      <x v="668"/>
    </i>
    <i>
      <x v="669"/>
      <x v="552"/>
    </i>
    <i t="default">
      <x v="669"/>
    </i>
    <i>
      <x v="670"/>
      <x v="552"/>
    </i>
    <i t="default">
      <x v="670"/>
    </i>
    <i>
      <x v="671"/>
      <x v="552"/>
    </i>
    <i t="default">
      <x v="671"/>
    </i>
    <i>
      <x v="672"/>
      <x v="552"/>
    </i>
    <i t="default">
      <x v="672"/>
    </i>
    <i>
      <x v="673"/>
      <x v="552"/>
    </i>
    <i t="default">
      <x v="673"/>
    </i>
    <i>
      <x v="674"/>
      <x v="552"/>
    </i>
    <i t="default">
      <x v="674"/>
    </i>
    <i>
      <x v="675"/>
      <x v="552"/>
    </i>
    <i t="default">
      <x v="675"/>
    </i>
    <i>
      <x v="676"/>
      <x v="552"/>
    </i>
    <i t="default">
      <x v="676"/>
    </i>
    <i>
      <x v="677"/>
      <x v="552"/>
    </i>
    <i t="default">
      <x v="677"/>
    </i>
    <i>
      <x v="678"/>
      <x v="552"/>
    </i>
    <i t="default">
      <x v="678"/>
    </i>
    <i>
      <x v="679"/>
      <x v="552"/>
    </i>
    <i t="default">
      <x v="679"/>
    </i>
    <i>
      <x v="680"/>
      <x v="552"/>
    </i>
    <i t="default">
      <x v="680"/>
    </i>
    <i>
      <x v="681"/>
      <x v="552"/>
    </i>
    <i t="default">
      <x v="681"/>
    </i>
    <i>
      <x v="682"/>
      <x v="552"/>
    </i>
    <i t="default">
      <x v="682"/>
    </i>
    <i>
      <x v="683"/>
      <x v="552"/>
    </i>
    <i t="default">
      <x v="683"/>
    </i>
    <i>
      <x v="684"/>
      <x v="552"/>
    </i>
    <i t="default">
      <x v="684"/>
    </i>
    <i>
      <x v="685"/>
      <x v="552"/>
    </i>
    <i t="default">
      <x v="685"/>
    </i>
    <i>
      <x v="686"/>
      <x v="552"/>
    </i>
    <i t="default">
      <x v="686"/>
    </i>
    <i>
      <x v="687"/>
      <x v="552"/>
    </i>
    <i t="default">
      <x v="687"/>
    </i>
    <i>
      <x v="688"/>
      <x v="552"/>
    </i>
    <i t="default">
      <x v="688"/>
    </i>
    <i>
      <x v="689"/>
      <x v="552"/>
    </i>
    <i t="default">
      <x v="689"/>
    </i>
    <i>
      <x v="690"/>
      <x v="552"/>
    </i>
    <i t="default">
      <x v="690"/>
    </i>
    <i>
      <x v="691"/>
      <x v="552"/>
    </i>
    <i t="default">
      <x v="691"/>
    </i>
    <i>
      <x v="692"/>
      <x v="552"/>
    </i>
    <i t="default">
      <x v="692"/>
    </i>
    <i>
      <x v="693"/>
      <x v="552"/>
    </i>
    <i t="default">
      <x v="693"/>
    </i>
    <i>
      <x v="694"/>
      <x v="552"/>
    </i>
    <i t="default">
      <x v="694"/>
    </i>
    <i>
      <x v="695"/>
      <x v="552"/>
    </i>
    <i t="default">
      <x v="695"/>
    </i>
    <i>
      <x v="696"/>
      <x v="552"/>
    </i>
    <i t="default">
      <x v="696"/>
    </i>
    <i>
      <x v="697"/>
      <x v="552"/>
    </i>
    <i t="default">
      <x v="697"/>
    </i>
    <i>
      <x v="698"/>
      <x v="552"/>
    </i>
    <i t="default">
      <x v="698"/>
    </i>
    <i>
      <x v="699"/>
      <x v="552"/>
    </i>
    <i t="default">
      <x v="699"/>
    </i>
    <i>
      <x v="700"/>
      <x v="552"/>
    </i>
    <i t="default">
      <x v="700"/>
    </i>
    <i>
      <x v="701"/>
      <x v="552"/>
    </i>
    <i t="default">
      <x v="701"/>
    </i>
    <i>
      <x v="702"/>
      <x v="552"/>
    </i>
    <i t="default">
      <x v="702"/>
    </i>
    <i>
      <x v="703"/>
      <x v="552"/>
    </i>
    <i t="default">
      <x v="703"/>
    </i>
    <i>
      <x v="704"/>
      <x v="552"/>
    </i>
    <i t="default">
      <x v="704"/>
    </i>
    <i>
      <x v="705"/>
      <x v="552"/>
    </i>
    <i t="default">
      <x v="705"/>
    </i>
    <i>
      <x v="706"/>
      <x v="552"/>
    </i>
    <i t="default">
      <x v="706"/>
    </i>
    <i>
      <x v="707"/>
      <x v="552"/>
    </i>
    <i t="default">
      <x v="707"/>
    </i>
    <i>
      <x v="708"/>
      <x v="552"/>
    </i>
    <i t="default">
      <x v="708"/>
    </i>
    <i>
      <x v="709"/>
      <x v="552"/>
    </i>
    <i t="default">
      <x v="709"/>
    </i>
    <i>
      <x v="710"/>
      <x v="552"/>
    </i>
    <i t="default">
      <x v="710"/>
    </i>
    <i>
      <x v="711"/>
      <x v="552"/>
    </i>
    <i t="default">
      <x v="711"/>
    </i>
    <i>
      <x v="712"/>
      <x v="552"/>
    </i>
    <i t="default">
      <x v="712"/>
    </i>
    <i>
      <x v="713"/>
      <x v="552"/>
    </i>
    <i t="default">
      <x v="713"/>
    </i>
    <i>
      <x v="714"/>
      <x v="552"/>
    </i>
    <i t="default">
      <x v="714"/>
    </i>
    <i>
      <x v="715"/>
      <x v="552"/>
    </i>
    <i t="default">
      <x v="715"/>
    </i>
    <i>
      <x v="716"/>
      <x v="552"/>
    </i>
    <i t="default">
      <x v="716"/>
    </i>
    <i>
      <x v="717"/>
      <x v="552"/>
    </i>
    <i t="default">
      <x v="717"/>
    </i>
    <i>
      <x v="718"/>
      <x v="552"/>
    </i>
    <i t="default">
      <x v="718"/>
    </i>
    <i>
      <x v="719"/>
      <x v="552"/>
    </i>
    <i t="default">
      <x v="719"/>
    </i>
    <i>
      <x v="720"/>
      <x v="552"/>
    </i>
    <i t="default">
      <x v="720"/>
    </i>
    <i>
      <x v="721"/>
      <x v="552"/>
    </i>
    <i t="default">
      <x v="721"/>
    </i>
    <i>
      <x v="722"/>
      <x v="552"/>
    </i>
    <i t="default">
      <x v="722"/>
    </i>
    <i>
      <x v="723"/>
      <x v="552"/>
    </i>
    <i t="default">
      <x v="723"/>
    </i>
    <i>
      <x v="724"/>
      <x v="552"/>
    </i>
    <i t="default">
      <x v="724"/>
    </i>
    <i>
      <x v="725"/>
      <x v="552"/>
    </i>
    <i t="default">
      <x v="725"/>
    </i>
    <i>
      <x v="726"/>
      <x v="552"/>
    </i>
    <i t="default">
      <x v="726"/>
    </i>
    <i>
      <x v="727"/>
      <x v="552"/>
    </i>
    <i t="default">
      <x v="727"/>
    </i>
    <i>
      <x v="728"/>
      <x v="552"/>
    </i>
    <i t="default">
      <x v="728"/>
    </i>
    <i>
      <x v="729"/>
      <x v="552"/>
    </i>
    <i t="default">
      <x v="729"/>
    </i>
    <i>
      <x v="730"/>
      <x v="552"/>
    </i>
    <i t="default">
      <x v="730"/>
    </i>
    <i>
      <x v="731"/>
      <x v="552"/>
    </i>
    <i t="default">
      <x v="731"/>
    </i>
    <i>
      <x v="732"/>
      <x v="552"/>
    </i>
    <i t="default">
      <x v="732"/>
    </i>
    <i>
      <x v="733"/>
      <x v="152"/>
    </i>
    <i r="1">
      <x v="552"/>
    </i>
    <i t="default">
      <x v="733"/>
    </i>
    <i>
      <x v="734"/>
      <x v="552"/>
    </i>
    <i t="default">
      <x v="734"/>
    </i>
    <i>
      <x v="735"/>
      <x v="552"/>
    </i>
    <i t="default">
      <x v="735"/>
    </i>
    <i>
      <x v="736"/>
      <x v="552"/>
    </i>
    <i t="default">
      <x v="736"/>
    </i>
    <i>
      <x v="737"/>
      <x v="552"/>
    </i>
    <i t="default">
      <x v="737"/>
    </i>
    <i>
      <x v="738"/>
      <x v="552"/>
    </i>
    <i t="default">
      <x v="738"/>
    </i>
    <i>
      <x v="739"/>
      <x v="552"/>
    </i>
    <i t="default">
      <x v="739"/>
    </i>
    <i>
      <x v="740"/>
      <x v="552"/>
    </i>
    <i t="default">
      <x v="740"/>
    </i>
    <i>
      <x v="741"/>
      <x v="552"/>
    </i>
    <i t="default">
      <x v="741"/>
    </i>
    <i>
      <x v="742"/>
      <x v="361"/>
    </i>
    <i r="1">
      <x v="552"/>
    </i>
    <i t="default">
      <x v="742"/>
    </i>
    <i>
      <x v="743"/>
      <x v="552"/>
    </i>
    <i t="default">
      <x v="743"/>
    </i>
    <i>
      <x v="744"/>
      <x v="109"/>
    </i>
    <i r="1">
      <x v="552"/>
    </i>
    <i t="default">
      <x v="744"/>
    </i>
    <i>
      <x v="745"/>
      <x v="552"/>
    </i>
    <i t="default">
      <x v="745"/>
    </i>
    <i>
      <x v="746"/>
      <x v="552"/>
    </i>
    <i t="default">
      <x v="746"/>
    </i>
    <i>
      <x v="747"/>
      <x v="552"/>
    </i>
    <i t="default">
      <x v="747"/>
    </i>
    <i>
      <x v="748"/>
      <x v="552"/>
    </i>
    <i t="default">
      <x v="748"/>
    </i>
    <i>
      <x v="749"/>
      <x v="552"/>
    </i>
    <i t="default">
      <x v="749"/>
    </i>
    <i>
      <x v="750"/>
      <x v="552"/>
    </i>
    <i t="default">
      <x v="750"/>
    </i>
    <i>
      <x v="751"/>
      <x v="552"/>
    </i>
    <i t="default">
      <x v="751"/>
    </i>
    <i>
      <x v="752"/>
      <x v="552"/>
    </i>
    <i t="default">
      <x v="752"/>
    </i>
    <i>
      <x v="753"/>
      <x v="529"/>
    </i>
    <i t="default">
      <x v="753"/>
    </i>
    <i>
      <x v="754"/>
      <x v="552"/>
    </i>
    <i t="default">
      <x v="754"/>
    </i>
    <i>
      <x v="755"/>
      <x v="552"/>
    </i>
    <i t="default">
      <x v="755"/>
    </i>
    <i>
      <x v="756"/>
      <x v="552"/>
    </i>
    <i t="default">
      <x v="756"/>
    </i>
    <i>
      <x v="757"/>
      <x v="552"/>
    </i>
    <i t="default">
      <x v="757"/>
    </i>
    <i>
      <x v="758"/>
      <x v="552"/>
    </i>
    <i t="default">
      <x v="758"/>
    </i>
    <i>
      <x v="759"/>
      <x v="552"/>
    </i>
    <i t="default">
      <x v="759"/>
    </i>
    <i>
      <x v="760"/>
      <x v="552"/>
    </i>
    <i t="default">
      <x v="760"/>
    </i>
    <i>
      <x v="761"/>
      <x v="552"/>
    </i>
    <i t="default">
      <x v="761"/>
    </i>
    <i>
      <x v="762"/>
      <x v="552"/>
    </i>
    <i t="default">
      <x v="762"/>
    </i>
    <i>
      <x v="763"/>
      <x v="552"/>
    </i>
    <i t="default">
      <x v="763"/>
    </i>
    <i>
      <x v="764"/>
      <x v="552"/>
    </i>
    <i t="default">
      <x v="764"/>
    </i>
    <i>
      <x v="765"/>
      <x v="552"/>
    </i>
    <i t="default">
      <x v="765"/>
    </i>
    <i>
      <x v="766"/>
      <x v="552"/>
    </i>
    <i t="default">
      <x v="766"/>
    </i>
    <i>
      <x v="767"/>
      <x v="552"/>
    </i>
    <i t="default">
      <x v="767"/>
    </i>
    <i>
      <x v="768"/>
      <x v="552"/>
    </i>
    <i t="default">
      <x v="768"/>
    </i>
    <i>
      <x v="769"/>
      <x v="552"/>
    </i>
    <i t="default">
      <x v="769"/>
    </i>
    <i>
      <x v="770"/>
      <x v="552"/>
    </i>
    <i t="default">
      <x v="770"/>
    </i>
    <i>
      <x v="771"/>
      <x v="55"/>
    </i>
    <i t="default">
      <x v="771"/>
    </i>
    <i>
      <x v="772"/>
      <x v="552"/>
    </i>
    <i t="default">
      <x v="772"/>
    </i>
    <i>
      <x v="773"/>
      <x v="552"/>
    </i>
    <i t="default">
      <x v="773"/>
    </i>
    <i>
      <x v="774"/>
      <x v="552"/>
    </i>
    <i t="default">
      <x v="774"/>
    </i>
    <i>
      <x v="775"/>
      <x v="226"/>
    </i>
    <i t="default">
      <x v="775"/>
    </i>
    <i>
      <x v="776"/>
      <x v="552"/>
    </i>
    <i t="default">
      <x v="776"/>
    </i>
    <i>
      <x v="777"/>
      <x v="552"/>
    </i>
    <i t="default">
      <x v="777"/>
    </i>
    <i>
      <x v="778"/>
      <x v="552"/>
    </i>
    <i t="default">
      <x v="778"/>
    </i>
    <i>
      <x v="779"/>
      <x v="552"/>
    </i>
    <i t="default">
      <x v="779"/>
    </i>
    <i>
      <x v="780"/>
      <x v="552"/>
    </i>
    <i t="default">
      <x v="780"/>
    </i>
    <i>
      <x v="781"/>
      <x v="552"/>
    </i>
    <i t="default">
      <x v="781"/>
    </i>
    <i>
      <x v="782"/>
      <x v="552"/>
    </i>
    <i t="default">
      <x v="782"/>
    </i>
    <i>
      <x v="783"/>
      <x v="552"/>
    </i>
    <i t="default">
      <x v="783"/>
    </i>
    <i>
      <x v="784"/>
      <x v="552"/>
    </i>
    <i t="default">
      <x v="784"/>
    </i>
    <i>
      <x v="785"/>
      <x v="552"/>
    </i>
    <i t="default">
      <x v="785"/>
    </i>
    <i>
      <x v="786"/>
      <x v="552"/>
    </i>
    <i t="default">
      <x v="786"/>
    </i>
    <i>
      <x v="787"/>
      <x v="552"/>
    </i>
    <i t="default">
      <x v="787"/>
    </i>
    <i>
      <x v="788"/>
      <x v="552"/>
    </i>
    <i t="default">
      <x v="788"/>
    </i>
    <i>
      <x v="789"/>
      <x v="552"/>
    </i>
    <i t="default">
      <x v="789"/>
    </i>
    <i>
      <x v="790"/>
      <x v="552"/>
    </i>
    <i t="default">
      <x v="790"/>
    </i>
    <i>
      <x v="791"/>
      <x v="552"/>
    </i>
    <i t="default">
      <x v="791"/>
    </i>
    <i>
      <x v="792"/>
      <x v="552"/>
    </i>
    <i t="default">
      <x v="792"/>
    </i>
    <i>
      <x v="793"/>
      <x v="552"/>
    </i>
    <i t="default">
      <x v="793"/>
    </i>
    <i>
      <x v="794"/>
      <x v="552"/>
    </i>
    <i t="default">
      <x v="794"/>
    </i>
    <i>
      <x v="795"/>
      <x v="552"/>
    </i>
    <i t="default">
      <x v="795"/>
    </i>
    <i>
      <x v="796"/>
      <x v="552"/>
    </i>
    <i t="default">
      <x v="796"/>
    </i>
    <i>
      <x v="797"/>
      <x v="196"/>
    </i>
    <i t="default">
      <x v="797"/>
    </i>
    <i>
      <x v="798"/>
      <x v="552"/>
    </i>
    <i t="default">
      <x v="798"/>
    </i>
    <i>
      <x v="799"/>
      <x v="552"/>
    </i>
    <i t="default">
      <x v="799"/>
    </i>
    <i>
      <x v="800"/>
      <x v="552"/>
    </i>
    <i t="default">
      <x v="800"/>
    </i>
    <i>
      <x v="801"/>
      <x v="552"/>
    </i>
    <i t="default">
      <x v="801"/>
    </i>
    <i>
      <x v="802"/>
      <x v="552"/>
    </i>
    <i t="default">
      <x v="802"/>
    </i>
    <i>
      <x v="803"/>
      <x v="552"/>
    </i>
    <i t="default">
      <x v="803"/>
    </i>
    <i>
      <x v="804"/>
      <x v="552"/>
    </i>
    <i t="default">
      <x v="804"/>
    </i>
    <i>
      <x v="805"/>
      <x v="552"/>
    </i>
    <i t="default">
      <x v="805"/>
    </i>
    <i>
      <x v="806"/>
      <x v="552"/>
    </i>
    <i t="default">
      <x v="806"/>
    </i>
    <i>
      <x v="807"/>
      <x v="552"/>
    </i>
    <i t="default">
      <x v="807"/>
    </i>
    <i>
      <x v="808"/>
      <x v="552"/>
    </i>
    <i t="default">
      <x v="808"/>
    </i>
    <i>
      <x v="809"/>
      <x v="552"/>
    </i>
    <i t="default">
      <x v="809"/>
    </i>
    <i>
      <x v="810"/>
      <x v="552"/>
    </i>
    <i t="default">
      <x v="810"/>
    </i>
    <i>
      <x v="811"/>
      <x v="552"/>
    </i>
    <i t="default">
      <x v="811"/>
    </i>
    <i>
      <x v="812"/>
      <x v="552"/>
    </i>
    <i t="default">
      <x v="812"/>
    </i>
    <i>
      <x v="813"/>
      <x v="552"/>
    </i>
    <i t="default">
      <x v="813"/>
    </i>
    <i>
      <x v="814"/>
      <x v="552"/>
    </i>
    <i t="default">
      <x v="814"/>
    </i>
    <i>
      <x v="815"/>
      <x v="552"/>
    </i>
    <i t="default">
      <x v="815"/>
    </i>
    <i>
      <x v="816"/>
      <x v="552"/>
    </i>
    <i t="default">
      <x v="816"/>
    </i>
    <i>
      <x v="817"/>
      <x v="552"/>
    </i>
    <i t="default">
      <x v="817"/>
    </i>
    <i>
      <x v="818"/>
      <x v="552"/>
    </i>
    <i t="default">
      <x v="818"/>
    </i>
    <i>
      <x v="819"/>
      <x v="552"/>
    </i>
    <i t="default">
      <x v="819"/>
    </i>
    <i>
      <x v="820"/>
      <x v="552"/>
    </i>
    <i t="default">
      <x v="820"/>
    </i>
    <i>
      <x v="821"/>
      <x v="552"/>
    </i>
    <i t="default">
      <x v="821"/>
    </i>
    <i>
      <x v="822"/>
      <x v="552"/>
    </i>
    <i t="default">
      <x v="822"/>
    </i>
    <i>
      <x v="823"/>
      <x v="552"/>
    </i>
    <i t="default">
      <x v="823"/>
    </i>
    <i>
      <x v="824"/>
      <x v="552"/>
    </i>
    <i t="default">
      <x v="824"/>
    </i>
    <i>
      <x v="825"/>
      <x v="552"/>
    </i>
    <i t="default">
      <x v="825"/>
    </i>
    <i>
      <x v="826"/>
      <x v="552"/>
    </i>
    <i t="default">
      <x v="826"/>
    </i>
    <i>
      <x v="827"/>
      <x v="552"/>
    </i>
    <i t="default">
      <x v="827"/>
    </i>
    <i>
      <x v="828"/>
      <x v="552"/>
    </i>
    <i t="default">
      <x v="828"/>
    </i>
    <i>
      <x v="829"/>
      <x v="552"/>
    </i>
    <i t="default">
      <x v="829"/>
    </i>
    <i>
      <x v="830"/>
      <x v="552"/>
    </i>
    <i t="default">
      <x v="830"/>
    </i>
    <i>
      <x v="831"/>
      <x v="552"/>
    </i>
    <i t="default">
      <x v="831"/>
    </i>
    <i>
      <x v="832"/>
      <x v="552"/>
    </i>
    <i t="default">
      <x v="832"/>
    </i>
    <i>
      <x v="833"/>
      <x v="552"/>
    </i>
    <i t="default">
      <x v="833"/>
    </i>
    <i>
      <x v="834"/>
      <x v="552"/>
    </i>
    <i t="default">
      <x v="834"/>
    </i>
    <i>
      <x v="835"/>
      <x v="552"/>
    </i>
    <i t="default">
      <x v="835"/>
    </i>
    <i>
      <x v="836"/>
      <x v="552"/>
    </i>
    <i t="default">
      <x v="836"/>
    </i>
    <i>
      <x v="837"/>
      <x v="552"/>
    </i>
    <i t="default">
      <x v="837"/>
    </i>
    <i>
      <x v="838"/>
      <x v="552"/>
    </i>
    <i t="default">
      <x v="838"/>
    </i>
    <i>
      <x v="839"/>
      <x v="552"/>
    </i>
    <i t="default">
      <x v="839"/>
    </i>
    <i>
      <x v="840"/>
      <x v="552"/>
    </i>
    <i t="default">
      <x v="840"/>
    </i>
    <i>
      <x v="841"/>
      <x v="552"/>
    </i>
    <i t="default">
      <x v="841"/>
    </i>
    <i>
      <x v="842"/>
      <x v="552"/>
    </i>
    <i t="default">
      <x v="842"/>
    </i>
    <i>
      <x v="843"/>
      <x v="227"/>
    </i>
    <i r="1">
      <x v="552"/>
    </i>
    <i t="default">
      <x v="843"/>
    </i>
    <i>
      <x v="844"/>
      <x v="552"/>
    </i>
    <i t="default">
      <x v="844"/>
    </i>
    <i>
      <x v="845"/>
      <x v="552"/>
    </i>
    <i t="default">
      <x v="845"/>
    </i>
    <i>
      <x v="846"/>
      <x v="552"/>
    </i>
    <i t="default">
      <x v="846"/>
    </i>
    <i>
      <x v="847"/>
      <x v="552"/>
    </i>
    <i t="default">
      <x v="847"/>
    </i>
    <i>
      <x v="848"/>
      <x v="552"/>
    </i>
    <i t="default">
      <x v="848"/>
    </i>
    <i>
      <x v="849"/>
      <x v="552"/>
    </i>
    <i t="default">
      <x v="849"/>
    </i>
    <i>
      <x v="850"/>
      <x v="14"/>
    </i>
    <i r="1">
      <x v="552"/>
    </i>
    <i t="default">
      <x v="850"/>
    </i>
    <i>
      <x v="851"/>
      <x v="552"/>
    </i>
    <i t="default">
      <x v="851"/>
    </i>
    <i>
      <x v="852"/>
      <x v="552"/>
    </i>
    <i t="default">
      <x v="852"/>
    </i>
    <i>
      <x v="853"/>
      <x v="552"/>
    </i>
    <i t="default">
      <x v="853"/>
    </i>
    <i>
      <x v="854"/>
      <x v="552"/>
    </i>
    <i t="default">
      <x v="854"/>
    </i>
    <i>
      <x v="855"/>
      <x v="552"/>
    </i>
    <i t="default">
      <x v="855"/>
    </i>
    <i>
      <x v="856"/>
      <x v="105"/>
    </i>
    <i r="1">
      <x v="552"/>
    </i>
    <i t="default">
      <x v="856"/>
    </i>
    <i>
      <x v="857"/>
      <x v="552"/>
    </i>
    <i t="default">
      <x v="857"/>
    </i>
    <i>
      <x v="858"/>
      <x v="552"/>
    </i>
    <i t="default">
      <x v="858"/>
    </i>
    <i>
      <x v="859"/>
      <x v="552"/>
    </i>
    <i t="default">
      <x v="859"/>
    </i>
    <i>
      <x v="860"/>
      <x v="552"/>
    </i>
    <i t="default">
      <x v="860"/>
    </i>
    <i>
      <x v="861"/>
      <x v="552"/>
    </i>
    <i t="default">
      <x v="861"/>
    </i>
    <i>
      <x v="862"/>
      <x v="552"/>
    </i>
    <i t="default">
      <x v="862"/>
    </i>
    <i>
      <x v="863"/>
      <x v="552"/>
    </i>
    <i t="default">
      <x v="863"/>
    </i>
    <i>
      <x v="864"/>
      <x v="552"/>
    </i>
    <i t="default">
      <x v="864"/>
    </i>
    <i>
      <x v="865"/>
      <x v="515"/>
    </i>
    <i t="default">
      <x v="865"/>
    </i>
    <i>
      <x v="866"/>
      <x v="552"/>
    </i>
    <i t="default">
      <x v="866"/>
    </i>
    <i>
      <x v="867"/>
      <x v="552"/>
    </i>
    <i t="default">
      <x v="867"/>
    </i>
    <i>
      <x v="868"/>
      <x v="552"/>
    </i>
    <i t="default">
      <x v="868"/>
    </i>
    <i>
      <x v="869"/>
      <x v="552"/>
    </i>
    <i t="default">
      <x v="869"/>
    </i>
    <i>
      <x v="870"/>
      <x v="552"/>
    </i>
    <i t="default">
      <x v="870"/>
    </i>
    <i>
      <x v="871"/>
      <x v="552"/>
    </i>
    <i t="default">
      <x v="871"/>
    </i>
    <i>
      <x v="872"/>
      <x v="552"/>
    </i>
    <i t="default">
      <x v="872"/>
    </i>
    <i>
      <x v="873"/>
      <x v="552"/>
    </i>
    <i t="default">
      <x v="873"/>
    </i>
    <i>
      <x v="874"/>
      <x v="552"/>
    </i>
    <i t="default">
      <x v="874"/>
    </i>
    <i>
      <x v="875"/>
      <x v="552"/>
    </i>
    <i t="default">
      <x v="875"/>
    </i>
    <i>
      <x v="876"/>
      <x v="552"/>
    </i>
    <i t="default">
      <x v="876"/>
    </i>
    <i>
      <x v="877"/>
      <x v="552"/>
    </i>
    <i t="default">
      <x v="877"/>
    </i>
    <i>
      <x v="878"/>
      <x v="552"/>
    </i>
    <i t="default">
      <x v="878"/>
    </i>
    <i>
      <x v="879"/>
      <x v="552"/>
    </i>
    <i t="default">
      <x v="879"/>
    </i>
    <i>
      <x v="880"/>
      <x v="552"/>
    </i>
    <i t="default">
      <x v="880"/>
    </i>
    <i>
      <x v="881"/>
      <x v="552"/>
    </i>
    <i t="default">
      <x v="881"/>
    </i>
    <i>
      <x v="882"/>
      <x v="552"/>
    </i>
    <i t="default">
      <x v="882"/>
    </i>
    <i>
      <x v="883"/>
      <x v="552"/>
    </i>
    <i t="default">
      <x v="883"/>
    </i>
    <i>
      <x v="884"/>
      <x v="552"/>
    </i>
    <i t="default">
      <x v="884"/>
    </i>
    <i>
      <x v="885"/>
      <x v="552"/>
    </i>
    <i t="default">
      <x v="885"/>
    </i>
    <i>
      <x v="886"/>
      <x v="552"/>
    </i>
    <i t="default">
      <x v="886"/>
    </i>
    <i>
      <x v="887"/>
      <x v="552"/>
    </i>
    <i t="default">
      <x v="887"/>
    </i>
    <i>
      <x v="888"/>
      <x v="474"/>
    </i>
    <i r="1">
      <x v="552"/>
    </i>
    <i t="default">
      <x v="888"/>
    </i>
    <i>
      <x v="889"/>
      <x v="552"/>
    </i>
    <i t="default">
      <x v="889"/>
    </i>
    <i>
      <x v="890"/>
      <x v="552"/>
    </i>
    <i t="default">
      <x v="890"/>
    </i>
    <i>
      <x v="891"/>
      <x v="552"/>
    </i>
    <i t="default">
      <x v="891"/>
    </i>
    <i>
      <x v="892"/>
      <x v="552"/>
    </i>
    <i t="default">
      <x v="892"/>
    </i>
    <i>
      <x v="893"/>
      <x v="552"/>
    </i>
    <i t="default">
      <x v="893"/>
    </i>
    <i>
      <x v="894"/>
      <x v="552"/>
    </i>
    <i t="default">
      <x v="894"/>
    </i>
    <i>
      <x v="895"/>
      <x v="552"/>
    </i>
    <i t="default">
      <x v="895"/>
    </i>
    <i>
      <x v="896"/>
      <x v="552"/>
    </i>
    <i t="default">
      <x v="896"/>
    </i>
    <i>
      <x v="897"/>
      <x v="552"/>
    </i>
    <i t="default">
      <x v="897"/>
    </i>
    <i>
      <x v="898"/>
      <x v="552"/>
    </i>
    <i t="default">
      <x v="898"/>
    </i>
    <i>
      <x v="899"/>
      <x v="552"/>
    </i>
    <i t="default">
      <x v="899"/>
    </i>
    <i>
      <x v="900"/>
      <x v="552"/>
    </i>
    <i t="default">
      <x v="900"/>
    </i>
    <i>
      <x v="901"/>
      <x v="552"/>
    </i>
    <i t="default">
      <x v="901"/>
    </i>
    <i>
      <x v="902"/>
      <x v="159"/>
    </i>
    <i r="1">
      <x v="552"/>
    </i>
    <i t="default">
      <x v="902"/>
    </i>
    <i>
      <x v="903"/>
      <x v="552"/>
    </i>
    <i t="default">
      <x v="903"/>
    </i>
    <i>
      <x v="904"/>
      <x v="552"/>
    </i>
    <i t="default">
      <x v="904"/>
    </i>
    <i>
      <x v="905"/>
      <x v="552"/>
    </i>
    <i t="default">
      <x v="905"/>
    </i>
    <i>
      <x v="906"/>
      <x v="552"/>
    </i>
    <i t="default">
      <x v="906"/>
    </i>
    <i>
      <x v="907"/>
      <x v="552"/>
    </i>
    <i t="default">
      <x v="907"/>
    </i>
    <i>
      <x v="908"/>
      <x v="552"/>
    </i>
    <i t="default">
      <x v="908"/>
    </i>
    <i>
      <x v="909"/>
      <x v="552"/>
    </i>
    <i t="default">
      <x v="909"/>
    </i>
    <i>
      <x v="910"/>
      <x v="552"/>
    </i>
    <i t="default">
      <x v="910"/>
    </i>
    <i>
      <x v="911"/>
      <x v="552"/>
    </i>
    <i t="default">
      <x v="911"/>
    </i>
    <i>
      <x v="912"/>
      <x v="552"/>
    </i>
    <i t="default">
      <x v="912"/>
    </i>
    <i>
      <x v="913"/>
      <x v="552"/>
    </i>
    <i t="default">
      <x v="913"/>
    </i>
    <i>
      <x v="914"/>
      <x v="552"/>
    </i>
    <i t="default">
      <x v="914"/>
    </i>
    <i>
      <x v="915"/>
      <x v="552"/>
    </i>
    <i t="default">
      <x v="915"/>
    </i>
    <i>
      <x v="916"/>
      <x v="508"/>
    </i>
    <i t="default">
      <x v="916"/>
    </i>
    <i>
      <x v="917"/>
      <x v="552"/>
    </i>
    <i t="default">
      <x v="917"/>
    </i>
    <i>
      <x v="918"/>
      <x v="552"/>
    </i>
    <i t="default">
      <x v="918"/>
    </i>
    <i>
      <x v="919"/>
      <x v="552"/>
    </i>
    <i t="default">
      <x v="919"/>
    </i>
    <i>
      <x v="920"/>
      <x v="552"/>
    </i>
    <i t="default">
      <x v="920"/>
    </i>
    <i>
      <x v="921"/>
      <x v="552"/>
    </i>
    <i t="default">
      <x v="921"/>
    </i>
    <i>
      <x v="922"/>
      <x v="552"/>
    </i>
    <i t="default">
      <x v="922"/>
    </i>
    <i>
      <x v="923"/>
      <x v="552"/>
    </i>
    <i t="default">
      <x v="923"/>
    </i>
    <i>
      <x v="924"/>
      <x v="552"/>
    </i>
    <i t="default">
      <x v="924"/>
    </i>
    <i>
      <x v="925"/>
      <x v="552"/>
    </i>
    <i t="default">
      <x v="925"/>
    </i>
    <i>
      <x v="926"/>
      <x v="552"/>
    </i>
    <i t="default">
      <x v="926"/>
    </i>
    <i>
      <x v="927"/>
      <x v="552"/>
    </i>
    <i t="default">
      <x v="927"/>
    </i>
    <i>
      <x v="928"/>
      <x v="552"/>
    </i>
    <i t="default">
      <x v="928"/>
    </i>
    <i>
      <x v="929"/>
      <x v="552"/>
    </i>
    <i t="default">
      <x v="929"/>
    </i>
    <i>
      <x v="930"/>
      <x v="552"/>
    </i>
    <i t="default">
      <x v="930"/>
    </i>
    <i>
      <x v="931"/>
      <x v="552"/>
    </i>
    <i t="default">
      <x v="931"/>
    </i>
    <i>
      <x v="932"/>
      <x v="552"/>
    </i>
    <i t="default">
      <x v="932"/>
    </i>
    <i>
      <x v="933"/>
      <x v="552"/>
    </i>
    <i t="default">
      <x v="933"/>
    </i>
    <i>
      <x v="934"/>
      <x v="552"/>
    </i>
    <i t="default">
      <x v="934"/>
    </i>
    <i>
      <x v="935"/>
      <x v="552"/>
    </i>
    <i t="default">
      <x v="935"/>
    </i>
    <i>
      <x v="936"/>
      <x v="552"/>
    </i>
    <i t="default">
      <x v="936"/>
    </i>
    <i>
      <x v="937"/>
      <x v="552"/>
    </i>
    <i t="default">
      <x v="937"/>
    </i>
    <i>
      <x v="938"/>
      <x v="552"/>
    </i>
    <i t="default">
      <x v="938"/>
    </i>
    <i>
      <x v="939"/>
      <x v="552"/>
    </i>
    <i t="default">
      <x v="939"/>
    </i>
    <i>
      <x v="940"/>
      <x v="552"/>
    </i>
    <i t="default">
      <x v="940"/>
    </i>
    <i>
      <x v="941"/>
      <x v="552"/>
    </i>
    <i t="default">
      <x v="941"/>
    </i>
    <i>
      <x v="942"/>
      <x v="552"/>
    </i>
    <i t="default">
      <x v="942"/>
    </i>
    <i>
      <x v="943"/>
      <x v="552"/>
    </i>
    <i t="default">
      <x v="943"/>
    </i>
    <i>
      <x v="944"/>
      <x v="552"/>
    </i>
    <i t="default">
      <x v="944"/>
    </i>
    <i>
      <x v="945"/>
      <x v="552"/>
    </i>
    <i t="default">
      <x v="945"/>
    </i>
    <i>
      <x v="946"/>
      <x v="79"/>
    </i>
    <i r="1">
      <x v="122"/>
    </i>
    <i t="default">
      <x v="946"/>
    </i>
    <i>
      <x v="947"/>
      <x v="74"/>
    </i>
    <i r="1">
      <x v="552"/>
    </i>
    <i t="default">
      <x v="947"/>
    </i>
    <i>
      <x v="948"/>
      <x v="552"/>
    </i>
    <i t="default">
      <x v="948"/>
    </i>
    <i>
      <x v="949"/>
      <x v="552"/>
    </i>
    <i t="default">
      <x v="949"/>
    </i>
    <i>
      <x v="950"/>
      <x v="552"/>
    </i>
    <i t="default">
      <x v="950"/>
    </i>
    <i>
      <x v="951"/>
      <x v="552"/>
    </i>
    <i t="default">
      <x v="951"/>
    </i>
    <i>
      <x v="952"/>
      <x v="552"/>
    </i>
    <i t="default">
      <x v="952"/>
    </i>
    <i>
      <x v="953"/>
      <x v="552"/>
    </i>
    <i t="default">
      <x v="953"/>
    </i>
    <i>
      <x v="954"/>
      <x v="552"/>
    </i>
    <i t="default">
      <x v="954"/>
    </i>
    <i>
      <x v="955"/>
      <x v="552"/>
    </i>
    <i t="default">
      <x v="955"/>
    </i>
    <i>
      <x v="956"/>
      <x v="552"/>
    </i>
    <i t="default">
      <x v="956"/>
    </i>
    <i>
      <x v="957"/>
      <x v="552"/>
    </i>
    <i t="default">
      <x v="957"/>
    </i>
    <i>
      <x v="958"/>
      <x v="552"/>
    </i>
    <i t="default">
      <x v="958"/>
    </i>
    <i>
      <x v="959"/>
      <x v="552"/>
    </i>
    <i t="default">
      <x v="959"/>
    </i>
    <i>
      <x v="960"/>
      <x v="552"/>
    </i>
    <i t="default">
      <x v="960"/>
    </i>
    <i>
      <x v="961"/>
      <x v="552"/>
    </i>
    <i t="default">
      <x v="961"/>
    </i>
    <i>
      <x v="962"/>
      <x v="552"/>
    </i>
    <i t="default">
      <x v="962"/>
    </i>
    <i>
      <x v="963"/>
      <x v="552"/>
    </i>
    <i t="default">
      <x v="963"/>
    </i>
    <i>
      <x v="964"/>
      <x v="552"/>
    </i>
    <i t="default">
      <x v="964"/>
    </i>
    <i>
      <x v="965"/>
      <x v="552"/>
    </i>
    <i t="default">
      <x v="965"/>
    </i>
    <i>
      <x v="966"/>
      <x v="552"/>
    </i>
    <i t="default">
      <x v="966"/>
    </i>
    <i>
      <x v="967"/>
      <x v="552"/>
    </i>
    <i t="default">
      <x v="967"/>
    </i>
    <i>
      <x v="968"/>
      <x v="552"/>
    </i>
    <i t="default">
      <x v="968"/>
    </i>
    <i>
      <x v="969"/>
      <x v="552"/>
    </i>
    <i t="default">
      <x v="969"/>
    </i>
    <i>
      <x v="970"/>
      <x v="552"/>
    </i>
    <i t="default">
      <x v="970"/>
    </i>
    <i>
      <x v="971"/>
      <x v="552"/>
    </i>
    <i t="default">
      <x v="971"/>
    </i>
    <i>
      <x v="972"/>
      <x v="552"/>
    </i>
    <i t="default">
      <x v="972"/>
    </i>
    <i>
      <x v="973"/>
      <x v="552"/>
    </i>
    <i t="default">
      <x v="973"/>
    </i>
    <i>
      <x v="974"/>
      <x v="552"/>
    </i>
    <i t="default">
      <x v="974"/>
    </i>
    <i>
      <x v="975"/>
      <x v="552"/>
    </i>
    <i t="default">
      <x v="975"/>
    </i>
    <i>
      <x v="976"/>
      <x v="552"/>
    </i>
    <i t="default">
      <x v="976"/>
    </i>
    <i>
      <x v="977"/>
      <x v="552"/>
    </i>
    <i t="default">
      <x v="977"/>
    </i>
    <i>
      <x v="978"/>
      <x v="552"/>
    </i>
    <i t="default">
      <x v="978"/>
    </i>
    <i>
      <x v="979"/>
      <x v="552"/>
    </i>
    <i t="default">
      <x v="979"/>
    </i>
    <i>
      <x v="980"/>
      <x v="552"/>
    </i>
    <i t="default">
      <x v="980"/>
    </i>
    <i>
      <x v="981"/>
      <x v="552"/>
    </i>
    <i t="default">
      <x v="981"/>
    </i>
    <i>
      <x v="982"/>
      <x v="552"/>
    </i>
    <i t="default">
      <x v="982"/>
    </i>
    <i>
      <x v="983"/>
      <x v="552"/>
    </i>
    <i t="default">
      <x v="983"/>
    </i>
    <i>
      <x v="984"/>
      <x v="552"/>
    </i>
    <i t="default">
      <x v="984"/>
    </i>
    <i>
      <x v="985"/>
      <x v="552"/>
    </i>
    <i t="default">
      <x v="985"/>
    </i>
    <i>
      <x v="986"/>
      <x v="552"/>
    </i>
    <i t="default">
      <x v="986"/>
    </i>
    <i>
      <x v="987"/>
      <x v="552"/>
    </i>
    <i t="default">
      <x v="987"/>
    </i>
    <i>
      <x v="988"/>
      <x v="552"/>
    </i>
    <i t="default">
      <x v="988"/>
    </i>
    <i>
      <x v="989"/>
      <x v="552"/>
    </i>
    <i t="default">
      <x v="989"/>
    </i>
    <i>
      <x v="990"/>
      <x v="552"/>
    </i>
    <i t="default">
      <x v="990"/>
    </i>
    <i>
      <x v="991"/>
      <x v="552"/>
    </i>
    <i t="default">
      <x v="991"/>
    </i>
    <i>
      <x v="992"/>
      <x v="552"/>
    </i>
    <i t="default">
      <x v="992"/>
    </i>
    <i>
      <x v="993"/>
      <x v="552"/>
    </i>
    <i t="default">
      <x v="993"/>
    </i>
    <i>
      <x v="994"/>
      <x v="552"/>
    </i>
    <i t="default">
      <x v="994"/>
    </i>
    <i>
      <x v="995"/>
      <x v="552"/>
    </i>
    <i t="default">
      <x v="995"/>
    </i>
    <i>
      <x v="996"/>
      <x v="552"/>
    </i>
    <i t="default">
      <x v="996"/>
    </i>
    <i>
      <x v="997"/>
      <x v="552"/>
    </i>
    <i t="default">
      <x v="997"/>
    </i>
    <i>
      <x v="998"/>
      <x v="552"/>
    </i>
    <i t="default">
      <x v="998"/>
    </i>
    <i>
      <x v="999"/>
      <x v="552"/>
    </i>
    <i t="default">
      <x v="999"/>
    </i>
    <i>
      <x v="1000"/>
      <x v="552"/>
    </i>
    <i t="default">
      <x v="1000"/>
    </i>
    <i>
      <x v="1001"/>
      <x v="552"/>
    </i>
    <i t="default">
      <x v="1001"/>
    </i>
    <i>
      <x v="1002"/>
      <x v="552"/>
    </i>
    <i t="default">
      <x v="1002"/>
    </i>
    <i>
      <x v="1003"/>
      <x v="552"/>
    </i>
    <i t="default">
      <x v="1003"/>
    </i>
    <i>
      <x v="1004"/>
      <x v="552"/>
    </i>
    <i t="default">
      <x v="1004"/>
    </i>
    <i>
      <x v="1005"/>
      <x v="151"/>
    </i>
    <i r="1">
      <x v="552"/>
    </i>
    <i t="default">
      <x v="1005"/>
    </i>
    <i>
      <x v="1006"/>
      <x v="25"/>
    </i>
    <i r="1">
      <x v="552"/>
    </i>
    <i t="default">
      <x v="1006"/>
    </i>
    <i>
      <x v="1007"/>
      <x v="552"/>
    </i>
    <i t="default">
      <x v="1007"/>
    </i>
    <i>
      <x v="1008"/>
      <x v="251"/>
    </i>
    <i t="default">
      <x v="1008"/>
    </i>
    <i>
      <x v="1009"/>
      <x v="552"/>
    </i>
    <i t="default">
      <x v="1009"/>
    </i>
    <i>
      <x v="1010"/>
      <x v="552"/>
    </i>
    <i t="default">
      <x v="1010"/>
    </i>
    <i>
      <x v="1011"/>
      <x v="552"/>
    </i>
    <i t="default">
      <x v="1011"/>
    </i>
    <i>
      <x v="1012"/>
      <x v="552"/>
    </i>
    <i t="default">
      <x v="1012"/>
    </i>
    <i>
      <x v="1013"/>
      <x v="552"/>
    </i>
    <i t="default">
      <x v="1013"/>
    </i>
    <i>
      <x v="1014"/>
      <x v="552"/>
    </i>
    <i t="default">
      <x v="1014"/>
    </i>
    <i>
      <x v="1015"/>
      <x v="552"/>
    </i>
    <i t="default">
      <x v="1015"/>
    </i>
    <i>
      <x v="1016"/>
      <x v="552"/>
    </i>
    <i t="default">
      <x v="1016"/>
    </i>
    <i>
      <x v="1017"/>
      <x v="552"/>
    </i>
    <i t="default">
      <x v="1017"/>
    </i>
    <i>
      <x v="1018"/>
      <x v="552"/>
    </i>
    <i t="default">
      <x v="1018"/>
    </i>
    <i>
      <x v="1019"/>
      <x v="552"/>
    </i>
    <i t="default">
      <x v="1019"/>
    </i>
    <i>
      <x v="1020"/>
      <x v="552"/>
    </i>
    <i t="default">
      <x v="1020"/>
    </i>
    <i>
      <x v="1021"/>
      <x v="552"/>
    </i>
    <i t="default">
      <x v="1021"/>
    </i>
    <i>
      <x v="1022"/>
      <x v="552"/>
    </i>
    <i t="default">
      <x v="1022"/>
    </i>
    <i>
      <x v="1023"/>
      <x v="552"/>
    </i>
    <i t="default">
      <x v="1023"/>
    </i>
    <i>
      <x v="1024"/>
      <x v="552"/>
    </i>
    <i t="default">
      <x v="1024"/>
    </i>
    <i>
      <x v="1025"/>
      <x v="181"/>
    </i>
    <i t="default">
      <x v="1025"/>
    </i>
    <i>
      <x v="1026"/>
      <x v="552"/>
    </i>
    <i t="default">
      <x v="1026"/>
    </i>
    <i>
      <x v="1027"/>
      <x v="552"/>
    </i>
    <i t="default">
      <x v="1027"/>
    </i>
    <i>
      <x v="1028"/>
      <x v="552"/>
    </i>
    <i t="default">
      <x v="1028"/>
    </i>
    <i>
      <x v="1029"/>
      <x v="552"/>
    </i>
    <i t="default">
      <x v="1029"/>
    </i>
    <i>
      <x v="1030"/>
      <x v="552"/>
    </i>
    <i t="default">
      <x v="1030"/>
    </i>
    <i>
      <x v="1031"/>
      <x v="552"/>
    </i>
    <i t="default">
      <x v="1031"/>
    </i>
    <i>
      <x v="1032"/>
      <x v="552"/>
    </i>
    <i t="default">
      <x v="1032"/>
    </i>
    <i>
      <x v="1033"/>
      <x v="552"/>
    </i>
    <i t="default">
      <x v="1033"/>
    </i>
    <i>
      <x v="1034"/>
      <x v="552"/>
    </i>
    <i t="default">
      <x v="1034"/>
    </i>
    <i>
      <x v="1035"/>
      <x v="552"/>
    </i>
    <i t="default">
      <x v="1035"/>
    </i>
    <i>
      <x v="1036"/>
      <x v="552"/>
    </i>
    <i t="default">
      <x v="1036"/>
    </i>
    <i>
      <x v="1037"/>
      <x v="552"/>
    </i>
    <i t="default">
      <x v="1037"/>
    </i>
    <i>
      <x v="1038"/>
      <x v="552"/>
    </i>
    <i t="default">
      <x v="1038"/>
    </i>
    <i>
      <x v="1039"/>
      <x v="552"/>
    </i>
    <i t="default">
      <x v="1039"/>
    </i>
    <i>
      <x v="1040"/>
      <x v="552"/>
    </i>
    <i t="default">
      <x v="1040"/>
    </i>
    <i>
      <x v="1041"/>
      <x v="552"/>
    </i>
    <i t="default">
      <x v="1041"/>
    </i>
    <i>
      <x v="1042"/>
      <x v="68"/>
    </i>
    <i r="1">
      <x v="552"/>
    </i>
    <i t="default">
      <x v="1042"/>
    </i>
    <i>
      <x v="1043"/>
      <x v="552"/>
    </i>
    <i t="default">
      <x v="1043"/>
    </i>
    <i>
      <x v="1044"/>
      <x v="552"/>
    </i>
    <i t="default">
      <x v="1044"/>
    </i>
    <i>
      <x v="1045"/>
      <x v="552"/>
    </i>
    <i t="default">
      <x v="1045"/>
    </i>
    <i>
      <x v="1046"/>
      <x v="552"/>
    </i>
    <i t="default">
      <x v="1046"/>
    </i>
    <i>
      <x v="1047"/>
      <x v="552"/>
    </i>
    <i t="default">
      <x v="1047"/>
    </i>
    <i>
      <x v="1048"/>
      <x v="552"/>
    </i>
    <i t="default">
      <x v="1048"/>
    </i>
    <i>
      <x v="1049"/>
      <x v="552"/>
    </i>
    <i t="default">
      <x v="1049"/>
    </i>
    <i>
      <x v="1050"/>
      <x v="3"/>
    </i>
    <i t="default">
      <x v="1050"/>
    </i>
    <i>
      <x v="1051"/>
      <x v="552"/>
    </i>
    <i t="default">
      <x v="1051"/>
    </i>
    <i>
      <x v="1052"/>
      <x v="552"/>
    </i>
    <i t="default">
      <x v="1052"/>
    </i>
    <i>
      <x v="1053"/>
      <x v="552"/>
    </i>
    <i t="default">
      <x v="1053"/>
    </i>
    <i>
      <x v="1054"/>
      <x v="552"/>
    </i>
    <i t="default">
      <x v="1054"/>
    </i>
    <i>
      <x v="1055"/>
      <x v="552"/>
    </i>
    <i t="default">
      <x v="1055"/>
    </i>
    <i>
      <x v="1056"/>
      <x v="552"/>
    </i>
    <i t="default">
      <x v="1056"/>
    </i>
    <i>
      <x v="1057"/>
      <x v="552"/>
    </i>
    <i t="default">
      <x v="1057"/>
    </i>
    <i>
      <x v="1058"/>
      <x v="552"/>
    </i>
    <i t="default">
      <x v="1058"/>
    </i>
    <i>
      <x v="1059"/>
      <x v="552"/>
    </i>
    <i t="default">
      <x v="1059"/>
    </i>
    <i>
      <x v="1060"/>
      <x v="552"/>
    </i>
    <i t="default">
      <x v="1060"/>
    </i>
    <i>
      <x v="1061"/>
      <x v="552"/>
    </i>
    <i t="default">
      <x v="1061"/>
    </i>
    <i>
      <x v="1062"/>
      <x v="552"/>
    </i>
    <i t="default">
      <x v="1062"/>
    </i>
    <i>
      <x v="1063"/>
      <x v="129"/>
    </i>
    <i t="default">
      <x v="1063"/>
    </i>
    <i>
      <x v="1064"/>
      <x v="552"/>
    </i>
    <i t="default">
      <x v="1064"/>
    </i>
    <i>
      <x v="1065"/>
      <x v="552"/>
    </i>
    <i t="default">
      <x v="1065"/>
    </i>
    <i>
      <x v="1066"/>
      <x v="552"/>
    </i>
    <i t="default">
      <x v="1066"/>
    </i>
    <i>
      <x v="1067"/>
      <x v="552"/>
    </i>
    <i t="default">
      <x v="1067"/>
    </i>
    <i>
      <x v="1068"/>
      <x v="552"/>
    </i>
    <i t="default">
      <x v="1068"/>
    </i>
    <i>
      <x v="1069"/>
      <x v="552"/>
    </i>
    <i t="default">
      <x v="1069"/>
    </i>
    <i>
      <x v="1070"/>
      <x v="552"/>
    </i>
    <i t="default">
      <x v="1070"/>
    </i>
    <i>
      <x v="1071"/>
      <x v="552"/>
    </i>
    <i t="default">
      <x v="1071"/>
    </i>
    <i>
      <x v="1072"/>
      <x v="552"/>
    </i>
    <i t="default">
      <x v="1072"/>
    </i>
    <i>
      <x v="1073"/>
      <x v="552"/>
    </i>
    <i t="default">
      <x v="1073"/>
    </i>
    <i>
      <x v="1074"/>
      <x v="552"/>
    </i>
    <i t="default">
      <x v="1074"/>
    </i>
    <i>
      <x v="1075"/>
      <x v="552"/>
    </i>
    <i t="default">
      <x v="1075"/>
    </i>
    <i>
      <x v="1076"/>
      <x v="552"/>
    </i>
    <i t="default">
      <x v="1076"/>
    </i>
    <i>
      <x v="1077"/>
      <x v="552"/>
    </i>
    <i t="default">
      <x v="1077"/>
    </i>
    <i>
      <x v="1078"/>
      <x v="552"/>
    </i>
    <i t="default">
      <x v="1078"/>
    </i>
    <i>
      <x v="1079"/>
      <x v="552"/>
    </i>
    <i t="default">
      <x v="1079"/>
    </i>
    <i>
      <x v="1080"/>
      <x v="552"/>
    </i>
    <i t="default">
      <x v="1080"/>
    </i>
    <i>
      <x v="1081"/>
      <x v="552"/>
    </i>
    <i t="default">
      <x v="1081"/>
    </i>
    <i>
      <x v="1082"/>
      <x v="552"/>
    </i>
    <i t="default">
      <x v="1082"/>
    </i>
    <i>
      <x v="1083"/>
      <x v="552"/>
    </i>
    <i t="default">
      <x v="1083"/>
    </i>
    <i>
      <x v="1084"/>
      <x v="552"/>
    </i>
    <i t="default">
      <x v="1084"/>
    </i>
    <i>
      <x v="1085"/>
      <x v="552"/>
    </i>
    <i t="default">
      <x v="1085"/>
    </i>
    <i>
      <x v="1086"/>
      <x v="552"/>
    </i>
    <i t="default">
      <x v="1086"/>
    </i>
    <i>
      <x v="1087"/>
      <x v="552"/>
    </i>
    <i t="default">
      <x v="1087"/>
    </i>
    <i>
      <x v="1088"/>
      <x v="552"/>
    </i>
    <i t="default">
      <x v="1088"/>
    </i>
    <i>
      <x v="1089"/>
      <x v="552"/>
    </i>
    <i t="default">
      <x v="1089"/>
    </i>
    <i>
      <x v="1090"/>
      <x v="552"/>
    </i>
    <i t="default">
      <x v="1090"/>
    </i>
    <i>
      <x v="1091"/>
      <x v="552"/>
    </i>
    <i t="default">
      <x v="1091"/>
    </i>
    <i>
      <x v="1092"/>
      <x v="552"/>
    </i>
    <i t="default">
      <x v="1092"/>
    </i>
    <i>
      <x v="1093"/>
      <x v="552"/>
    </i>
    <i t="default">
      <x v="1093"/>
    </i>
    <i>
      <x v="1094"/>
      <x v="552"/>
    </i>
    <i t="default">
      <x v="1094"/>
    </i>
    <i>
      <x v="1095"/>
      <x v="552"/>
    </i>
    <i t="default">
      <x v="1095"/>
    </i>
    <i>
      <x v="1096"/>
      <x v="552"/>
    </i>
    <i t="default">
      <x v="1096"/>
    </i>
    <i>
      <x v="1097"/>
      <x v="552"/>
    </i>
    <i t="default">
      <x v="1097"/>
    </i>
    <i>
      <x v="1098"/>
      <x v="552"/>
    </i>
    <i t="default">
      <x v="1098"/>
    </i>
    <i>
      <x v="1099"/>
      <x v="552"/>
    </i>
    <i t="default">
      <x v="1099"/>
    </i>
    <i>
      <x v="1100"/>
      <x v="552"/>
    </i>
    <i t="default">
      <x v="1100"/>
    </i>
    <i>
      <x v="1101"/>
      <x v="552"/>
    </i>
    <i t="default">
      <x v="1101"/>
    </i>
    <i>
      <x v="1102"/>
      <x v="552"/>
    </i>
    <i t="default">
      <x v="1102"/>
    </i>
    <i>
      <x v="1103"/>
      <x v="552"/>
    </i>
    <i t="default">
      <x v="1103"/>
    </i>
    <i>
      <x v="1104"/>
      <x v="552"/>
    </i>
    <i t="default">
      <x v="1104"/>
    </i>
    <i>
      <x v="1105"/>
      <x v="552"/>
    </i>
    <i t="default">
      <x v="1105"/>
    </i>
    <i>
      <x v="1106"/>
      <x v="552"/>
    </i>
    <i t="default">
      <x v="1106"/>
    </i>
    <i>
      <x v="1107"/>
      <x v="552"/>
    </i>
    <i t="default">
      <x v="1107"/>
    </i>
    <i>
      <x v="1108"/>
      <x v="552"/>
    </i>
    <i t="default">
      <x v="1108"/>
    </i>
    <i>
      <x v="1109"/>
      <x v="552"/>
    </i>
    <i t="default">
      <x v="1109"/>
    </i>
    <i>
      <x v="1110"/>
      <x v="552"/>
    </i>
    <i t="default">
      <x v="1110"/>
    </i>
    <i>
      <x v="1111"/>
      <x v="552"/>
    </i>
    <i t="default">
      <x v="1111"/>
    </i>
    <i>
      <x v="1112"/>
      <x v="552"/>
    </i>
    <i t="default">
      <x v="1112"/>
    </i>
    <i>
      <x v="1113"/>
      <x v="552"/>
    </i>
    <i t="default">
      <x v="1113"/>
    </i>
    <i>
      <x v="1114"/>
      <x v="552"/>
    </i>
    <i t="default">
      <x v="1114"/>
    </i>
    <i>
      <x v="1115"/>
      <x v="552"/>
    </i>
    <i t="default">
      <x v="1115"/>
    </i>
    <i>
      <x v="1116"/>
      <x v="552"/>
    </i>
    <i t="default">
      <x v="1116"/>
    </i>
    <i>
      <x v="1117"/>
      <x v="552"/>
    </i>
    <i t="default">
      <x v="1117"/>
    </i>
    <i>
      <x v="1118"/>
      <x v="552"/>
    </i>
    <i t="default">
      <x v="1118"/>
    </i>
    <i>
      <x v="1119"/>
      <x v="552"/>
    </i>
    <i t="default">
      <x v="1119"/>
    </i>
    <i>
      <x v="1120"/>
      <x v="552"/>
    </i>
    <i t="default">
      <x v="1120"/>
    </i>
    <i>
      <x v="1121"/>
      <x v="552"/>
    </i>
    <i t="default">
      <x v="1121"/>
    </i>
    <i>
      <x v="1122"/>
      <x v="552"/>
    </i>
    <i t="default">
      <x v="1122"/>
    </i>
    <i>
      <x v="1123"/>
      <x v="552"/>
    </i>
    <i t="default">
      <x v="1123"/>
    </i>
    <i>
      <x v="1124"/>
      <x v="552"/>
    </i>
    <i t="default">
      <x v="1124"/>
    </i>
    <i>
      <x v="1125"/>
      <x v="552"/>
    </i>
    <i t="default">
      <x v="1125"/>
    </i>
    <i>
      <x v="1126"/>
      <x v="552"/>
    </i>
    <i t="default">
      <x v="1126"/>
    </i>
    <i>
      <x v="1127"/>
      <x v="552"/>
    </i>
    <i t="default">
      <x v="1127"/>
    </i>
    <i>
      <x v="1128"/>
      <x v="381"/>
    </i>
    <i t="default">
      <x v="1128"/>
    </i>
    <i>
      <x v="1129"/>
      <x v="552"/>
    </i>
    <i t="default">
      <x v="1129"/>
    </i>
    <i>
      <x v="1130"/>
      <x v="552"/>
    </i>
    <i t="default">
      <x v="1130"/>
    </i>
    <i>
      <x v="1131"/>
      <x v="552"/>
    </i>
    <i t="default">
      <x v="1131"/>
    </i>
    <i>
      <x v="1132"/>
      <x v="552"/>
    </i>
    <i t="default">
      <x v="1132"/>
    </i>
    <i>
      <x v="1133"/>
      <x v="552"/>
    </i>
    <i t="default">
      <x v="1133"/>
    </i>
    <i>
      <x v="1134"/>
      <x v="552"/>
    </i>
    <i t="default">
      <x v="1134"/>
    </i>
    <i>
      <x v="1135"/>
      <x v="552"/>
    </i>
    <i t="default">
      <x v="1135"/>
    </i>
    <i>
      <x v="1136"/>
      <x v="552"/>
    </i>
    <i t="default">
      <x v="1136"/>
    </i>
    <i>
      <x v="1137"/>
      <x v="552"/>
    </i>
    <i t="default">
      <x v="1137"/>
    </i>
    <i>
      <x v="1138"/>
      <x v="552"/>
    </i>
    <i t="default">
      <x v="1138"/>
    </i>
    <i>
      <x v="1139"/>
      <x v="552"/>
    </i>
    <i t="default">
      <x v="1139"/>
    </i>
    <i>
      <x v="1140"/>
      <x v="552"/>
    </i>
    <i t="default">
      <x v="1140"/>
    </i>
    <i>
      <x v="1141"/>
      <x v="552"/>
    </i>
    <i t="default">
      <x v="1141"/>
    </i>
    <i>
      <x v="1142"/>
      <x v="552"/>
    </i>
    <i t="default">
      <x v="1142"/>
    </i>
    <i>
      <x v="1143"/>
      <x v="83"/>
    </i>
    <i r="1">
      <x v="552"/>
    </i>
    <i t="default">
      <x v="1143"/>
    </i>
    <i>
      <x v="1144"/>
      <x v="552"/>
    </i>
    <i t="default">
      <x v="1144"/>
    </i>
    <i>
      <x v="1145"/>
      <x v="552"/>
    </i>
    <i t="default">
      <x v="1145"/>
    </i>
    <i>
      <x v="1146"/>
      <x v="552"/>
    </i>
    <i t="default">
      <x v="1146"/>
    </i>
    <i>
      <x v="1147"/>
      <x v="552"/>
    </i>
    <i t="default">
      <x v="1147"/>
    </i>
    <i>
      <x v="1148"/>
      <x v="552"/>
    </i>
    <i t="default">
      <x v="1148"/>
    </i>
    <i>
      <x v="1149"/>
      <x v="552"/>
    </i>
    <i t="default">
      <x v="1149"/>
    </i>
    <i>
      <x v="1150"/>
      <x v="552"/>
    </i>
    <i t="default">
      <x v="1150"/>
    </i>
    <i>
      <x v="1151"/>
      <x v="552"/>
    </i>
    <i t="default">
      <x v="1151"/>
    </i>
    <i>
      <x v="1152"/>
      <x v="552"/>
    </i>
    <i t="default">
      <x v="1152"/>
    </i>
    <i>
      <x v="1153"/>
      <x v="153"/>
    </i>
    <i t="default">
      <x v="1153"/>
    </i>
    <i>
      <x v="1154"/>
      <x v="123"/>
    </i>
    <i r="1">
      <x v="552"/>
    </i>
    <i t="default">
      <x v="1154"/>
    </i>
    <i>
      <x v="1155"/>
      <x v="552"/>
    </i>
    <i t="default">
      <x v="1155"/>
    </i>
    <i>
      <x v="1156"/>
      <x v="552"/>
    </i>
    <i t="default">
      <x v="1156"/>
    </i>
    <i>
      <x v="1157"/>
      <x v="552"/>
    </i>
    <i t="default">
      <x v="1157"/>
    </i>
    <i>
      <x v="1158"/>
      <x v="552"/>
    </i>
    <i t="default">
      <x v="1158"/>
    </i>
    <i>
      <x v="1159"/>
      <x v="552"/>
    </i>
    <i t="default">
      <x v="1159"/>
    </i>
    <i>
      <x v="1160"/>
      <x v="552"/>
    </i>
    <i t="default">
      <x v="1160"/>
    </i>
    <i>
      <x v="1161"/>
      <x v="552"/>
    </i>
    <i t="default">
      <x v="1161"/>
    </i>
    <i>
      <x v="1162"/>
      <x v="552"/>
    </i>
    <i t="default">
      <x v="1162"/>
    </i>
    <i>
      <x v="1163"/>
      <x v="552"/>
    </i>
    <i t="default">
      <x v="1163"/>
    </i>
    <i>
      <x v="1164"/>
      <x v="552"/>
    </i>
    <i t="default">
      <x v="1164"/>
    </i>
    <i>
      <x v="1165"/>
      <x v="552"/>
    </i>
    <i t="default">
      <x v="1165"/>
    </i>
    <i>
      <x v="1166"/>
      <x v="552"/>
    </i>
    <i t="default">
      <x v="1166"/>
    </i>
    <i>
      <x v="1167"/>
      <x v="552"/>
    </i>
    <i t="default">
      <x v="1167"/>
    </i>
    <i>
      <x v="1168"/>
      <x v="552"/>
    </i>
    <i t="default">
      <x v="1168"/>
    </i>
    <i>
      <x v="1169"/>
      <x v="552"/>
    </i>
    <i t="default">
      <x v="1169"/>
    </i>
    <i>
      <x v="1170"/>
      <x v="552"/>
    </i>
    <i t="default">
      <x v="1170"/>
    </i>
    <i>
      <x v="1171"/>
      <x v="552"/>
    </i>
    <i t="default">
      <x v="1171"/>
    </i>
    <i>
      <x v="1172"/>
      <x v="552"/>
    </i>
    <i t="default">
      <x v="1172"/>
    </i>
    <i>
      <x v="1173"/>
      <x v="552"/>
    </i>
    <i t="default">
      <x v="1173"/>
    </i>
    <i>
      <x v="1174"/>
      <x v="552"/>
    </i>
    <i t="default">
      <x v="1174"/>
    </i>
    <i>
      <x v="1175"/>
      <x v="552"/>
    </i>
    <i t="default">
      <x v="1175"/>
    </i>
    <i>
      <x v="1176"/>
      <x v="552"/>
    </i>
    <i t="default">
      <x v="1176"/>
    </i>
    <i>
      <x v="1177"/>
      <x v="552"/>
    </i>
    <i t="default">
      <x v="1177"/>
    </i>
    <i>
      <x v="1178"/>
      <x v="552"/>
    </i>
    <i t="default">
      <x v="1178"/>
    </i>
    <i>
      <x v="1179"/>
      <x v="552"/>
    </i>
    <i t="default">
      <x v="1179"/>
    </i>
    <i>
      <x v="1180"/>
      <x v="552"/>
    </i>
    <i t="default">
      <x v="1180"/>
    </i>
    <i>
      <x v="1181"/>
      <x v="192"/>
    </i>
    <i t="default">
      <x v="1181"/>
    </i>
    <i>
      <x v="1182"/>
      <x v="552"/>
    </i>
    <i t="default">
      <x v="1182"/>
    </i>
    <i>
      <x v="1183"/>
      <x v="194"/>
    </i>
    <i t="default">
      <x v="1183"/>
    </i>
    <i>
      <x v="1184"/>
      <x v="552"/>
    </i>
    <i t="default">
      <x v="1184"/>
    </i>
    <i>
      <x v="1185"/>
      <x v="552"/>
    </i>
    <i t="default">
      <x v="1185"/>
    </i>
    <i>
      <x v="1186"/>
      <x v="552"/>
    </i>
    <i t="default">
      <x v="1186"/>
    </i>
    <i>
      <x v="1187"/>
      <x v="552"/>
    </i>
    <i t="default">
      <x v="1187"/>
    </i>
    <i>
      <x v="1188"/>
      <x v="552"/>
    </i>
    <i t="default">
      <x v="1188"/>
    </i>
    <i>
      <x v="1189"/>
      <x v="552"/>
    </i>
    <i t="default">
      <x v="1189"/>
    </i>
    <i>
      <x v="1190"/>
      <x v="552"/>
    </i>
    <i t="default">
      <x v="1190"/>
    </i>
    <i>
      <x v="1191"/>
      <x v="552"/>
    </i>
    <i t="default">
      <x v="1191"/>
    </i>
    <i>
      <x v="1192"/>
      <x v="356"/>
    </i>
    <i t="default">
      <x v="1192"/>
    </i>
    <i>
      <x v="1193"/>
      <x v="552"/>
    </i>
    <i t="default">
      <x v="1193"/>
    </i>
    <i>
      <x v="1194"/>
      <x v="552"/>
    </i>
    <i t="default">
      <x v="1194"/>
    </i>
    <i>
      <x v="1195"/>
      <x v="552"/>
    </i>
    <i t="default">
      <x v="1195"/>
    </i>
    <i>
      <x v="1196"/>
      <x v="552"/>
    </i>
    <i t="default">
      <x v="1196"/>
    </i>
    <i>
      <x v="1197"/>
      <x v="552"/>
    </i>
    <i t="default">
      <x v="1197"/>
    </i>
    <i>
      <x v="1198"/>
      <x v="552"/>
    </i>
    <i t="default">
      <x v="1198"/>
    </i>
    <i>
      <x v="1199"/>
      <x v="552"/>
    </i>
    <i t="default">
      <x v="1199"/>
    </i>
    <i>
      <x v="1200"/>
      <x v="552"/>
    </i>
    <i t="default">
      <x v="1200"/>
    </i>
    <i>
      <x v="1201"/>
      <x v="552"/>
    </i>
    <i t="default">
      <x v="1201"/>
    </i>
    <i>
      <x v="1202"/>
      <x v="552"/>
    </i>
    <i t="default">
      <x v="1202"/>
    </i>
    <i>
      <x v="1203"/>
      <x v="552"/>
    </i>
    <i t="default">
      <x v="1203"/>
    </i>
    <i>
      <x v="1204"/>
      <x v="347"/>
    </i>
    <i r="1">
      <x v="552"/>
    </i>
    <i t="default">
      <x v="1204"/>
    </i>
    <i>
      <x v="1205"/>
      <x v="552"/>
    </i>
    <i t="default">
      <x v="1205"/>
    </i>
    <i>
      <x v="1206"/>
      <x v="552"/>
    </i>
    <i t="default">
      <x v="1206"/>
    </i>
    <i>
      <x v="1207"/>
      <x v="552"/>
    </i>
    <i t="default">
      <x v="1207"/>
    </i>
    <i>
      <x v="1208"/>
      <x v="552"/>
    </i>
    <i t="default">
      <x v="1208"/>
    </i>
    <i>
      <x v="1209"/>
      <x v="552"/>
    </i>
    <i t="default">
      <x v="1209"/>
    </i>
    <i>
      <x v="1210"/>
      <x v="552"/>
    </i>
    <i t="default">
      <x v="1210"/>
    </i>
    <i>
      <x v="1211"/>
      <x v="552"/>
    </i>
    <i t="default">
      <x v="1211"/>
    </i>
    <i>
      <x v="1212"/>
      <x v="552"/>
    </i>
    <i t="default">
      <x v="1212"/>
    </i>
    <i>
      <x v="1213"/>
      <x v="552"/>
    </i>
    <i t="default">
      <x v="1213"/>
    </i>
    <i>
      <x v="1214"/>
      <x v="552"/>
    </i>
    <i t="default">
      <x v="1214"/>
    </i>
    <i>
      <x v="1215"/>
      <x v="180"/>
    </i>
    <i t="default">
      <x v="1215"/>
    </i>
    <i>
      <x v="1216"/>
      <x v="552"/>
    </i>
    <i t="default">
      <x v="1216"/>
    </i>
    <i>
      <x v="1217"/>
      <x v="552"/>
    </i>
    <i t="default">
      <x v="1217"/>
    </i>
    <i>
      <x v="1218"/>
      <x v="552"/>
    </i>
    <i t="default">
      <x v="1218"/>
    </i>
    <i>
      <x v="1219"/>
      <x v="552"/>
    </i>
    <i t="default">
      <x v="1219"/>
    </i>
    <i>
      <x v="1220"/>
      <x v="552"/>
    </i>
    <i t="default">
      <x v="1220"/>
    </i>
    <i>
      <x v="1221"/>
      <x v="552"/>
    </i>
    <i t="default">
      <x v="1221"/>
    </i>
    <i>
      <x v="1222"/>
      <x v="552"/>
    </i>
    <i t="default">
      <x v="1222"/>
    </i>
    <i>
      <x v="1223"/>
      <x v="552"/>
    </i>
    <i t="default">
      <x v="1223"/>
    </i>
    <i>
      <x v="1224"/>
      <x v="552"/>
    </i>
    <i t="default">
      <x v="1224"/>
    </i>
    <i>
      <x v="1225"/>
      <x v="552"/>
    </i>
    <i t="default">
      <x v="1225"/>
    </i>
    <i>
      <x v="1226"/>
      <x v="552"/>
    </i>
    <i t="default">
      <x v="1226"/>
    </i>
    <i>
      <x v="1227"/>
      <x v="552"/>
    </i>
    <i t="default">
      <x v="1227"/>
    </i>
    <i>
      <x v="1228"/>
      <x v="552"/>
    </i>
    <i t="default">
      <x v="1228"/>
    </i>
    <i>
      <x v="1229"/>
      <x v="552"/>
    </i>
    <i t="default">
      <x v="1229"/>
    </i>
    <i>
      <x v="1230"/>
      <x v="359"/>
    </i>
    <i t="default">
      <x v="1230"/>
    </i>
    <i>
      <x v="1231"/>
      <x v="301"/>
    </i>
    <i t="default">
      <x v="1231"/>
    </i>
    <i>
      <x v="1232"/>
      <x v="552"/>
    </i>
    <i t="default">
      <x v="1232"/>
    </i>
    <i>
      <x v="1233"/>
      <x v="552"/>
    </i>
    <i t="default">
      <x v="1233"/>
    </i>
    <i>
      <x v="1234"/>
      <x v="260"/>
    </i>
    <i t="default">
      <x v="1234"/>
    </i>
    <i>
      <x v="1235"/>
      <x v="552"/>
    </i>
    <i t="default">
      <x v="1235"/>
    </i>
    <i>
      <x v="1236"/>
      <x v="552"/>
    </i>
    <i t="default">
      <x v="1236"/>
    </i>
    <i>
      <x v="1237"/>
      <x v="552"/>
    </i>
    <i t="default">
      <x v="1237"/>
    </i>
    <i>
      <x v="1238"/>
      <x v="552"/>
    </i>
    <i t="default">
      <x v="1238"/>
    </i>
    <i>
      <x v="1239"/>
      <x v="552"/>
    </i>
    <i t="default">
      <x v="1239"/>
    </i>
    <i>
      <x v="1240"/>
      <x v="552"/>
    </i>
    <i t="default">
      <x v="1240"/>
    </i>
    <i>
      <x v="1241"/>
      <x v="552"/>
    </i>
    <i t="default">
      <x v="1241"/>
    </i>
    <i>
      <x v="1242"/>
      <x v="552"/>
    </i>
    <i t="default">
      <x v="1242"/>
    </i>
    <i>
      <x v="1243"/>
      <x v="552"/>
    </i>
    <i t="default">
      <x v="1243"/>
    </i>
    <i>
      <x v="1244"/>
      <x v="552"/>
    </i>
    <i t="default">
      <x v="1244"/>
    </i>
    <i>
      <x v="1245"/>
      <x v="552"/>
    </i>
    <i t="default">
      <x v="1245"/>
    </i>
    <i>
      <x v="1246"/>
      <x v="552"/>
    </i>
    <i t="default">
      <x v="1246"/>
    </i>
    <i>
      <x v="1247"/>
      <x v="552"/>
    </i>
    <i t="default">
      <x v="1247"/>
    </i>
    <i>
      <x v="1248"/>
      <x v="552"/>
    </i>
    <i t="default">
      <x v="1248"/>
    </i>
    <i>
      <x v="1249"/>
      <x v="552"/>
    </i>
    <i t="default">
      <x v="1249"/>
    </i>
    <i>
      <x v="1250"/>
      <x v="552"/>
    </i>
    <i t="default">
      <x v="1250"/>
    </i>
    <i>
      <x v="1251"/>
      <x v="552"/>
    </i>
    <i t="default">
      <x v="1251"/>
    </i>
    <i>
      <x v="1252"/>
      <x v="552"/>
    </i>
    <i t="default">
      <x v="1252"/>
    </i>
    <i>
      <x v="1253"/>
      <x v="552"/>
    </i>
    <i t="default">
      <x v="1253"/>
    </i>
    <i>
      <x v="1254"/>
      <x v="552"/>
    </i>
    <i t="default">
      <x v="1254"/>
    </i>
    <i>
      <x v="1255"/>
      <x v="552"/>
    </i>
    <i t="default">
      <x v="1255"/>
    </i>
    <i>
      <x v="1256"/>
      <x v="552"/>
    </i>
    <i t="default">
      <x v="1256"/>
    </i>
    <i>
      <x v="1257"/>
      <x v="552"/>
    </i>
    <i t="default">
      <x v="1257"/>
    </i>
    <i>
      <x v="1258"/>
      <x v="552"/>
    </i>
    <i t="default">
      <x v="1258"/>
    </i>
    <i>
      <x v="1259"/>
      <x v="552"/>
    </i>
    <i t="default">
      <x v="1259"/>
    </i>
    <i>
      <x v="1260"/>
      <x v="552"/>
    </i>
    <i t="default">
      <x v="1260"/>
    </i>
    <i>
      <x v="1261"/>
      <x v="552"/>
    </i>
    <i t="default">
      <x v="1261"/>
    </i>
    <i>
      <x v="1262"/>
      <x v="552"/>
    </i>
    <i t="default">
      <x v="1262"/>
    </i>
    <i>
      <x v="1263"/>
      <x v="552"/>
    </i>
    <i t="default">
      <x v="1263"/>
    </i>
    <i>
      <x v="1264"/>
      <x v="552"/>
    </i>
    <i t="default">
      <x v="1264"/>
    </i>
    <i>
      <x v="1265"/>
      <x v="552"/>
    </i>
    <i t="default">
      <x v="1265"/>
    </i>
    <i>
      <x v="1266"/>
      <x v="552"/>
    </i>
    <i t="default">
      <x v="1266"/>
    </i>
    <i>
      <x v="1267"/>
      <x v="552"/>
    </i>
    <i t="default">
      <x v="1267"/>
    </i>
    <i>
      <x v="1268"/>
      <x v="552"/>
    </i>
    <i t="default">
      <x v="1268"/>
    </i>
    <i>
      <x v="1269"/>
      <x v="552"/>
    </i>
    <i t="default">
      <x v="1269"/>
    </i>
    <i>
      <x v="1270"/>
      <x v="552"/>
    </i>
    <i t="default">
      <x v="1270"/>
    </i>
    <i>
      <x v="1271"/>
      <x v="552"/>
    </i>
    <i t="default">
      <x v="1271"/>
    </i>
    <i>
      <x v="1272"/>
      <x v="552"/>
    </i>
    <i t="default">
      <x v="1272"/>
    </i>
    <i>
      <x v="1273"/>
      <x v="552"/>
    </i>
    <i t="default">
      <x v="1273"/>
    </i>
    <i>
      <x v="1274"/>
      <x v="552"/>
    </i>
    <i t="default">
      <x v="1274"/>
    </i>
    <i>
      <x v="1275"/>
      <x v="552"/>
    </i>
    <i t="default">
      <x v="1275"/>
    </i>
    <i>
      <x v="1276"/>
      <x v="552"/>
    </i>
    <i t="default">
      <x v="1276"/>
    </i>
    <i>
      <x v="1277"/>
      <x v="552"/>
    </i>
    <i t="default">
      <x v="1277"/>
    </i>
    <i>
      <x v="1278"/>
      <x v="552"/>
    </i>
    <i t="default">
      <x v="1278"/>
    </i>
    <i>
      <x v="1279"/>
      <x v="6"/>
    </i>
    <i t="default">
      <x v="1279"/>
    </i>
    <i>
      <x v="1280"/>
      <x v="552"/>
    </i>
    <i t="default">
      <x v="1280"/>
    </i>
    <i>
      <x v="1281"/>
      <x v="552"/>
    </i>
    <i t="default">
      <x v="1281"/>
    </i>
    <i>
      <x v="1282"/>
      <x v="552"/>
    </i>
    <i t="default">
      <x v="1282"/>
    </i>
    <i>
      <x v="1283"/>
      <x v="552"/>
    </i>
    <i t="default">
      <x v="1283"/>
    </i>
    <i>
      <x v="1284"/>
      <x v="552"/>
    </i>
    <i t="default">
      <x v="1284"/>
    </i>
    <i>
      <x v="1285"/>
      <x v="552"/>
    </i>
    <i t="default">
      <x v="1285"/>
    </i>
    <i>
      <x v="1286"/>
      <x v="552"/>
    </i>
    <i t="default">
      <x v="1286"/>
    </i>
    <i>
      <x v="1287"/>
      <x v="552"/>
    </i>
    <i t="default">
      <x v="1287"/>
    </i>
    <i>
      <x v="1288"/>
      <x v="552"/>
    </i>
    <i t="default">
      <x v="1288"/>
    </i>
    <i>
      <x v="1289"/>
      <x v="552"/>
    </i>
    <i t="default">
      <x v="1289"/>
    </i>
    <i>
      <x v="1290"/>
      <x v="552"/>
    </i>
    <i t="default">
      <x v="1290"/>
    </i>
    <i>
      <x v="1291"/>
      <x v="101"/>
    </i>
    <i t="default">
      <x v="1291"/>
    </i>
    <i>
      <x v="1292"/>
      <x v="207"/>
    </i>
    <i t="default">
      <x v="1292"/>
    </i>
    <i>
      <x v="1293"/>
      <x v="552"/>
    </i>
    <i t="default">
      <x v="1293"/>
    </i>
    <i>
      <x v="1294"/>
      <x v="552"/>
    </i>
    <i t="default">
      <x v="1294"/>
    </i>
    <i>
      <x v="1295"/>
      <x v="552"/>
    </i>
    <i t="default">
      <x v="1295"/>
    </i>
    <i>
      <x v="1296"/>
      <x v="552"/>
    </i>
    <i t="default">
      <x v="1296"/>
    </i>
    <i>
      <x v="1297"/>
      <x v="552"/>
    </i>
    <i t="default">
      <x v="1297"/>
    </i>
    <i>
      <x v="1298"/>
      <x v="552"/>
    </i>
    <i t="default">
      <x v="1298"/>
    </i>
    <i>
      <x v="1299"/>
      <x v="552"/>
    </i>
    <i t="default">
      <x v="1299"/>
    </i>
    <i>
      <x v="1300"/>
      <x v="552"/>
    </i>
    <i t="default">
      <x v="1300"/>
    </i>
    <i>
      <x v="1301"/>
      <x v="552"/>
    </i>
    <i t="default">
      <x v="1301"/>
    </i>
    <i>
      <x v="1302"/>
      <x v="324"/>
    </i>
    <i t="default">
      <x v="1302"/>
    </i>
    <i>
      <x v="1303"/>
      <x v="552"/>
    </i>
    <i t="default">
      <x v="1303"/>
    </i>
    <i>
      <x v="1304"/>
      <x v="552"/>
    </i>
    <i t="default">
      <x v="1304"/>
    </i>
    <i>
      <x v="1305"/>
      <x v="552"/>
    </i>
    <i t="default">
      <x v="1305"/>
    </i>
    <i>
      <x v="1306"/>
      <x v="552"/>
    </i>
    <i t="default">
      <x v="1306"/>
    </i>
    <i>
      <x v="1307"/>
      <x v="552"/>
    </i>
    <i t="default">
      <x v="1307"/>
    </i>
    <i>
      <x v="1308"/>
      <x v="552"/>
    </i>
    <i t="default">
      <x v="1308"/>
    </i>
    <i>
      <x v="1309"/>
      <x v="552"/>
    </i>
    <i t="default">
      <x v="1309"/>
    </i>
    <i>
      <x v="1310"/>
      <x v="287"/>
    </i>
    <i r="1">
      <x v="552"/>
    </i>
    <i t="default">
      <x v="1310"/>
    </i>
    <i>
      <x v="1311"/>
      <x v="552"/>
    </i>
    <i t="default">
      <x v="1311"/>
    </i>
    <i>
      <x v="1312"/>
      <x v="311"/>
    </i>
    <i t="default">
      <x v="1312"/>
    </i>
    <i>
      <x v="1313"/>
      <x v="201"/>
    </i>
    <i r="1">
      <x v="552"/>
    </i>
    <i t="default">
      <x v="1313"/>
    </i>
    <i>
      <x v="1314"/>
      <x v="552"/>
    </i>
    <i t="default">
      <x v="1314"/>
    </i>
    <i>
      <x v="1315"/>
      <x v="552"/>
    </i>
    <i t="default">
      <x v="1315"/>
    </i>
    <i>
      <x v="1316"/>
      <x v="552"/>
    </i>
    <i t="default">
      <x v="1316"/>
    </i>
    <i>
      <x v="1317"/>
      <x v="552"/>
    </i>
    <i t="default">
      <x v="1317"/>
    </i>
    <i>
      <x v="1318"/>
      <x v="552"/>
    </i>
    <i t="default">
      <x v="1318"/>
    </i>
    <i>
      <x v="1319"/>
      <x v="552"/>
    </i>
    <i t="default">
      <x v="1319"/>
    </i>
    <i>
      <x v="1320"/>
      <x v="552"/>
    </i>
    <i t="default">
      <x v="1320"/>
    </i>
    <i>
      <x v="1321"/>
      <x v="552"/>
    </i>
    <i t="default">
      <x v="1321"/>
    </i>
    <i>
      <x v="1322"/>
      <x v="552"/>
    </i>
    <i t="default">
      <x v="1322"/>
    </i>
    <i>
      <x v="1323"/>
      <x v="552"/>
    </i>
    <i t="default">
      <x v="1323"/>
    </i>
    <i>
      <x v="1324"/>
      <x v="552"/>
    </i>
    <i t="default">
      <x v="1324"/>
    </i>
    <i>
      <x v="1325"/>
      <x v="552"/>
    </i>
    <i t="default">
      <x v="1325"/>
    </i>
    <i>
      <x v="1326"/>
      <x v="552"/>
    </i>
    <i t="default">
      <x v="1326"/>
    </i>
    <i>
      <x v="1327"/>
      <x v="552"/>
    </i>
    <i t="default">
      <x v="1327"/>
    </i>
    <i>
      <x v="1328"/>
      <x v="552"/>
    </i>
    <i t="default">
      <x v="1328"/>
    </i>
    <i>
      <x v="1329"/>
      <x v="552"/>
    </i>
    <i t="default">
      <x v="1329"/>
    </i>
    <i>
      <x v="1330"/>
      <x v="552"/>
    </i>
    <i t="default">
      <x v="1330"/>
    </i>
    <i>
      <x v="1331"/>
      <x v="552"/>
    </i>
    <i t="default">
      <x v="1331"/>
    </i>
    <i>
      <x v="1332"/>
      <x v="552"/>
    </i>
    <i t="default">
      <x v="1332"/>
    </i>
    <i>
      <x v="1333"/>
      <x v="552"/>
    </i>
    <i t="default">
      <x v="1333"/>
    </i>
    <i>
      <x v="1334"/>
      <x v="552"/>
    </i>
    <i t="default">
      <x v="1334"/>
    </i>
    <i>
      <x v="1335"/>
      <x v="552"/>
    </i>
    <i t="default">
      <x v="1335"/>
    </i>
    <i>
      <x v="1336"/>
      <x v="552"/>
    </i>
    <i t="default">
      <x v="1336"/>
    </i>
    <i>
      <x v="1337"/>
      <x v="552"/>
    </i>
    <i t="default">
      <x v="1337"/>
    </i>
    <i>
      <x v="1338"/>
      <x v="552"/>
    </i>
    <i t="default">
      <x v="1338"/>
    </i>
    <i>
      <x v="1339"/>
      <x v="552"/>
    </i>
    <i t="default">
      <x v="1339"/>
    </i>
    <i>
      <x v="1340"/>
      <x v="552"/>
    </i>
    <i t="default">
      <x v="1340"/>
    </i>
    <i>
      <x v="1341"/>
      <x v="552"/>
    </i>
    <i t="default">
      <x v="1341"/>
    </i>
    <i>
      <x v="1342"/>
      <x v="552"/>
    </i>
    <i t="default">
      <x v="1342"/>
    </i>
    <i>
      <x v="1343"/>
      <x v="552"/>
    </i>
    <i t="default">
      <x v="1343"/>
    </i>
    <i>
      <x v="1344"/>
      <x v="552"/>
    </i>
    <i t="default">
      <x v="1344"/>
    </i>
    <i>
      <x v="1345"/>
      <x v="552"/>
    </i>
    <i t="default">
      <x v="1345"/>
    </i>
    <i>
      <x v="1346"/>
      <x v="552"/>
    </i>
    <i t="default">
      <x v="1346"/>
    </i>
    <i>
      <x v="1347"/>
      <x v="552"/>
    </i>
    <i t="default">
      <x v="1347"/>
    </i>
    <i>
      <x v="1348"/>
      <x v="552"/>
    </i>
    <i t="default">
      <x v="1348"/>
    </i>
    <i>
      <x v="1349"/>
      <x v="552"/>
    </i>
    <i t="default">
      <x v="1349"/>
    </i>
    <i>
      <x v="1350"/>
      <x v="334"/>
    </i>
    <i t="default">
      <x v="1350"/>
    </i>
    <i>
      <x v="1351"/>
      <x v="552"/>
    </i>
    <i t="default">
      <x v="1351"/>
    </i>
    <i>
      <x v="1352"/>
      <x v="552"/>
    </i>
    <i t="default">
      <x v="1352"/>
    </i>
    <i>
      <x v="1353"/>
      <x v="552"/>
    </i>
    <i t="default">
      <x v="1353"/>
    </i>
    <i>
      <x v="1354"/>
      <x v="552"/>
    </i>
    <i t="default">
      <x v="1354"/>
    </i>
    <i>
      <x v="1355"/>
      <x v="552"/>
    </i>
    <i t="default">
      <x v="1355"/>
    </i>
    <i>
      <x v="1356"/>
      <x v="552"/>
    </i>
    <i t="default">
      <x v="1356"/>
    </i>
    <i>
      <x v="1357"/>
      <x v="552"/>
    </i>
    <i t="default">
      <x v="1357"/>
    </i>
    <i>
      <x v="1358"/>
      <x v="552"/>
    </i>
    <i t="default">
      <x v="1358"/>
    </i>
    <i>
      <x v="1359"/>
      <x v="552"/>
    </i>
    <i t="default">
      <x v="1359"/>
    </i>
    <i>
      <x v="1360"/>
      <x v="552"/>
    </i>
    <i t="default">
      <x v="1360"/>
    </i>
    <i>
      <x v="1361"/>
      <x v="552"/>
    </i>
    <i t="default">
      <x v="1361"/>
    </i>
    <i>
      <x v="1362"/>
      <x v="552"/>
    </i>
    <i t="default">
      <x v="1362"/>
    </i>
    <i>
      <x v="1363"/>
      <x v="552"/>
    </i>
    <i t="default">
      <x v="1363"/>
    </i>
    <i>
      <x v="1364"/>
      <x v="552"/>
    </i>
    <i t="default">
      <x v="1364"/>
    </i>
    <i>
      <x v="1365"/>
      <x v="552"/>
    </i>
    <i t="default">
      <x v="1365"/>
    </i>
    <i>
      <x v="1366"/>
      <x v="552"/>
    </i>
    <i t="default">
      <x v="1366"/>
    </i>
    <i>
      <x v="1367"/>
      <x v="552"/>
    </i>
    <i t="default">
      <x v="1367"/>
    </i>
    <i>
      <x v="1368"/>
      <x v="552"/>
    </i>
    <i t="default">
      <x v="1368"/>
    </i>
    <i>
      <x v="1369"/>
      <x v="552"/>
    </i>
    <i t="default">
      <x v="1369"/>
    </i>
    <i>
      <x v="1370"/>
      <x v="552"/>
    </i>
    <i t="default">
      <x v="1370"/>
    </i>
    <i>
      <x v="1371"/>
      <x v="552"/>
    </i>
    <i t="default">
      <x v="1371"/>
    </i>
    <i>
      <x v="1372"/>
      <x v="552"/>
    </i>
    <i t="default">
      <x v="1372"/>
    </i>
    <i>
      <x v="1373"/>
      <x v="552"/>
    </i>
    <i t="default">
      <x v="1373"/>
    </i>
    <i>
      <x v="1374"/>
      <x v="552"/>
    </i>
    <i t="default">
      <x v="1374"/>
    </i>
    <i>
      <x v="1375"/>
      <x v="552"/>
    </i>
    <i t="default">
      <x v="1375"/>
    </i>
    <i>
      <x v="1376"/>
      <x v="210"/>
    </i>
    <i t="default">
      <x v="1376"/>
    </i>
    <i>
      <x v="1377"/>
      <x v="552"/>
    </i>
    <i t="default">
      <x v="1377"/>
    </i>
    <i>
      <x v="1378"/>
      <x v="552"/>
    </i>
    <i t="default">
      <x v="1378"/>
    </i>
    <i>
      <x v="1379"/>
      <x v="199"/>
    </i>
    <i t="default">
      <x v="1379"/>
    </i>
    <i>
      <x v="1380"/>
      <x v="533"/>
    </i>
    <i t="default">
      <x v="1380"/>
    </i>
    <i>
      <x v="1381"/>
      <x v="552"/>
    </i>
    <i t="default">
      <x v="1381"/>
    </i>
    <i>
      <x v="1382"/>
      <x v="552"/>
    </i>
    <i t="default">
      <x v="1382"/>
    </i>
    <i>
      <x v="1383"/>
      <x v="552"/>
    </i>
    <i t="default">
      <x v="1383"/>
    </i>
    <i>
      <x v="1384"/>
      <x v="552"/>
    </i>
    <i t="default">
      <x v="1384"/>
    </i>
    <i>
      <x v="1385"/>
      <x v="552"/>
    </i>
    <i t="default">
      <x v="1385"/>
    </i>
    <i>
      <x v="1386"/>
      <x v="552"/>
    </i>
    <i t="default">
      <x v="1386"/>
    </i>
    <i>
      <x v="1387"/>
      <x v="552"/>
    </i>
    <i t="default">
      <x v="1387"/>
    </i>
    <i>
      <x v="1388"/>
      <x v="552"/>
    </i>
    <i t="default">
      <x v="1388"/>
    </i>
    <i>
      <x v="1389"/>
      <x v="552"/>
    </i>
    <i t="default">
      <x v="1389"/>
    </i>
    <i>
      <x v="1390"/>
      <x v="552"/>
    </i>
    <i t="default">
      <x v="1390"/>
    </i>
    <i>
      <x v="1391"/>
      <x v="552"/>
    </i>
    <i t="default">
      <x v="1391"/>
    </i>
    <i>
      <x v="1392"/>
      <x v="552"/>
    </i>
    <i t="default">
      <x v="1392"/>
    </i>
    <i>
      <x v="1393"/>
      <x v="552"/>
    </i>
    <i t="default">
      <x v="1393"/>
    </i>
    <i>
      <x v="1394"/>
      <x v="552"/>
    </i>
    <i t="default">
      <x v="1394"/>
    </i>
    <i>
      <x v="1395"/>
      <x v="552"/>
    </i>
    <i t="default">
      <x v="1395"/>
    </i>
    <i>
      <x v="1396"/>
      <x v="552"/>
    </i>
    <i t="default">
      <x v="1396"/>
    </i>
    <i>
      <x v="1397"/>
      <x v="552"/>
    </i>
    <i t="default">
      <x v="1397"/>
    </i>
    <i>
      <x v="1398"/>
      <x v="552"/>
    </i>
    <i t="default">
      <x v="1398"/>
    </i>
    <i>
      <x v="1399"/>
      <x v="552"/>
    </i>
    <i t="default">
      <x v="1399"/>
    </i>
    <i>
      <x v="1400"/>
      <x v="552"/>
    </i>
    <i t="default">
      <x v="1400"/>
    </i>
    <i>
      <x v="1401"/>
      <x v="552"/>
    </i>
    <i t="default">
      <x v="1401"/>
    </i>
    <i>
      <x v="1402"/>
      <x v="552"/>
    </i>
    <i t="default">
      <x v="1402"/>
    </i>
    <i>
      <x v="1403"/>
      <x v="552"/>
    </i>
    <i t="default">
      <x v="1403"/>
    </i>
    <i>
      <x v="1404"/>
      <x v="552"/>
    </i>
    <i t="default">
      <x v="1404"/>
    </i>
    <i>
      <x v="1405"/>
      <x v="128"/>
    </i>
    <i t="default">
      <x v="1405"/>
    </i>
    <i>
      <x v="1406"/>
      <x v="552"/>
    </i>
    <i t="default">
      <x v="1406"/>
    </i>
    <i>
      <x v="1407"/>
      <x v="552"/>
    </i>
    <i t="default">
      <x v="1407"/>
    </i>
    <i>
      <x v="1408"/>
      <x v="552"/>
    </i>
    <i t="default">
      <x v="1408"/>
    </i>
    <i>
      <x v="1409"/>
      <x v="81"/>
    </i>
    <i t="default">
      <x v="1409"/>
    </i>
    <i>
      <x v="1410"/>
      <x v="552"/>
    </i>
    <i t="default">
      <x v="1410"/>
    </i>
    <i>
      <x v="1411"/>
      <x v="552"/>
    </i>
    <i t="default">
      <x v="1411"/>
    </i>
    <i>
      <x v="1412"/>
      <x v="552"/>
    </i>
    <i t="default">
      <x v="1412"/>
    </i>
    <i>
      <x v="1413"/>
      <x v="59"/>
    </i>
    <i t="default">
      <x v="1413"/>
    </i>
    <i>
      <x v="1414"/>
      <x v="552"/>
    </i>
    <i t="default">
      <x v="1414"/>
    </i>
    <i>
      <x v="1415"/>
      <x v="552"/>
    </i>
    <i t="default">
      <x v="1415"/>
    </i>
    <i>
      <x v="1416"/>
      <x v="552"/>
    </i>
    <i t="default">
      <x v="1416"/>
    </i>
    <i>
      <x v="1417"/>
      <x v="549"/>
    </i>
    <i t="default">
      <x v="1417"/>
    </i>
    <i>
      <x v="1418"/>
      <x v="552"/>
    </i>
    <i t="default">
      <x v="1418"/>
    </i>
    <i>
      <x v="1419"/>
      <x v="552"/>
    </i>
    <i t="default">
      <x v="1419"/>
    </i>
    <i>
      <x v="1420"/>
      <x v="552"/>
    </i>
    <i t="default">
      <x v="1420"/>
    </i>
    <i>
      <x v="1421"/>
      <x v="552"/>
    </i>
    <i t="default">
      <x v="1421"/>
    </i>
    <i>
      <x v="1422"/>
      <x v="552"/>
    </i>
    <i t="default">
      <x v="1422"/>
    </i>
    <i>
      <x v="1423"/>
      <x v="552"/>
    </i>
    <i t="default">
      <x v="1423"/>
    </i>
    <i>
      <x v="1424"/>
      <x v="552"/>
    </i>
    <i t="default">
      <x v="1424"/>
    </i>
    <i>
      <x v="1425"/>
      <x v="552"/>
    </i>
    <i t="default">
      <x v="1425"/>
    </i>
    <i>
      <x v="1426"/>
      <x v="552"/>
    </i>
    <i t="default">
      <x v="1426"/>
    </i>
    <i>
      <x v="1427"/>
      <x v="552"/>
    </i>
    <i t="default">
      <x v="1427"/>
    </i>
    <i>
      <x v="1428"/>
      <x v="552"/>
    </i>
    <i t="default">
      <x v="1428"/>
    </i>
    <i>
      <x v="1429"/>
      <x v="552"/>
    </i>
    <i t="default">
      <x v="1429"/>
    </i>
    <i>
      <x v="1430"/>
      <x v="552"/>
    </i>
    <i t="default">
      <x v="1430"/>
    </i>
    <i>
      <x v="1431"/>
      <x v="552"/>
    </i>
    <i t="default">
      <x v="1431"/>
    </i>
    <i>
      <x v="1432"/>
      <x v="552"/>
    </i>
    <i t="default">
      <x v="1432"/>
    </i>
    <i>
      <x v="1433"/>
      <x v="552"/>
    </i>
    <i t="default">
      <x v="1433"/>
    </i>
    <i>
      <x v="1434"/>
      <x v="552"/>
    </i>
    <i t="default">
      <x v="1434"/>
    </i>
    <i>
      <x v="1435"/>
      <x v="552"/>
    </i>
    <i t="default">
      <x v="1435"/>
    </i>
    <i>
      <x v="1436"/>
      <x v="552"/>
    </i>
    <i t="default">
      <x v="1436"/>
    </i>
    <i>
      <x v="1437"/>
      <x v="552"/>
    </i>
    <i t="default">
      <x v="1437"/>
    </i>
    <i>
      <x v="1438"/>
      <x v="552"/>
    </i>
    <i t="default">
      <x v="1438"/>
    </i>
    <i>
      <x v="1439"/>
      <x v="552"/>
    </i>
    <i t="default">
      <x v="1439"/>
    </i>
    <i>
      <x v="1440"/>
      <x v="552"/>
    </i>
    <i t="default">
      <x v="1440"/>
    </i>
    <i>
      <x v="1441"/>
      <x v="552"/>
    </i>
    <i t="default">
      <x v="1441"/>
    </i>
    <i>
      <x v="1442"/>
      <x v="552"/>
    </i>
    <i t="default">
      <x v="1442"/>
    </i>
    <i>
      <x v="1443"/>
      <x v="552"/>
    </i>
    <i t="default">
      <x v="1443"/>
    </i>
    <i>
      <x v="1444"/>
      <x v="552"/>
    </i>
    <i t="default">
      <x v="1444"/>
    </i>
    <i>
      <x v="1445"/>
      <x v="552"/>
    </i>
    <i t="default">
      <x v="1445"/>
    </i>
    <i>
      <x v="1446"/>
      <x v="552"/>
    </i>
    <i t="default">
      <x v="1446"/>
    </i>
    <i>
      <x v="1447"/>
      <x v="552"/>
    </i>
    <i t="default">
      <x v="1447"/>
    </i>
    <i>
      <x v="1448"/>
      <x v="552"/>
    </i>
    <i t="default">
      <x v="1448"/>
    </i>
    <i>
      <x v="1449"/>
      <x v="552"/>
    </i>
    <i t="default">
      <x v="1449"/>
    </i>
    <i>
      <x v="1450"/>
      <x v="552"/>
    </i>
    <i t="default">
      <x v="1450"/>
    </i>
    <i>
      <x v="1451"/>
      <x v="552"/>
    </i>
    <i t="default">
      <x v="1451"/>
    </i>
    <i>
      <x v="1452"/>
      <x v="552"/>
    </i>
    <i t="default">
      <x v="1452"/>
    </i>
    <i>
      <x v="1453"/>
      <x v="552"/>
    </i>
    <i t="default">
      <x v="1453"/>
    </i>
    <i>
      <x v="1454"/>
      <x v="552"/>
    </i>
    <i t="default">
      <x v="1454"/>
    </i>
    <i>
      <x v="1455"/>
      <x v="552"/>
    </i>
    <i t="default">
      <x v="1455"/>
    </i>
    <i>
      <x v="1456"/>
      <x v="552"/>
    </i>
    <i t="default">
      <x v="1456"/>
    </i>
    <i>
      <x v="1457"/>
      <x v="552"/>
    </i>
    <i t="default">
      <x v="1457"/>
    </i>
    <i>
      <x v="1458"/>
      <x v="552"/>
    </i>
    <i t="default">
      <x v="1458"/>
    </i>
    <i>
      <x v="1459"/>
      <x v="552"/>
    </i>
    <i t="default">
      <x v="1459"/>
    </i>
    <i>
      <x v="1460"/>
      <x v="552"/>
    </i>
    <i t="default">
      <x v="1460"/>
    </i>
    <i>
      <x v="1461"/>
      <x v="552"/>
    </i>
    <i t="default">
      <x v="1461"/>
    </i>
    <i>
      <x v="1462"/>
      <x v="552"/>
    </i>
    <i t="default">
      <x v="1462"/>
    </i>
    <i>
      <x v="1463"/>
      <x v="552"/>
    </i>
    <i t="default">
      <x v="1463"/>
    </i>
    <i>
      <x v="1464"/>
      <x v="552"/>
    </i>
    <i t="default">
      <x v="1464"/>
    </i>
    <i>
      <x v="1465"/>
      <x v="552"/>
    </i>
    <i t="default">
      <x v="1465"/>
    </i>
    <i>
      <x v="1466"/>
      <x v="552"/>
    </i>
    <i t="default">
      <x v="1466"/>
    </i>
    <i>
      <x v="1467"/>
      <x v="552"/>
    </i>
    <i t="default">
      <x v="1467"/>
    </i>
    <i>
      <x v="1468"/>
      <x v="552"/>
    </i>
    <i t="default">
      <x v="1468"/>
    </i>
    <i>
      <x v="1469"/>
      <x v="552"/>
    </i>
    <i t="default">
      <x v="1469"/>
    </i>
    <i>
      <x v="1470"/>
      <x v="552"/>
    </i>
    <i t="default">
      <x v="1470"/>
    </i>
    <i>
      <x v="1471"/>
      <x v="552"/>
    </i>
    <i t="default">
      <x v="1471"/>
    </i>
    <i>
      <x v="1472"/>
      <x v="552"/>
    </i>
    <i t="default">
      <x v="1472"/>
    </i>
    <i>
      <x v="1473"/>
      <x v="552"/>
    </i>
    <i t="default">
      <x v="1473"/>
    </i>
    <i>
      <x v="1474"/>
      <x v="552"/>
    </i>
    <i t="default">
      <x v="1474"/>
    </i>
    <i>
      <x v="1475"/>
      <x v="552"/>
    </i>
    <i t="default">
      <x v="1475"/>
    </i>
    <i>
      <x v="1476"/>
      <x v="552"/>
    </i>
    <i t="default">
      <x v="1476"/>
    </i>
    <i>
      <x v="1477"/>
      <x v="552"/>
    </i>
    <i t="default">
      <x v="1477"/>
    </i>
    <i>
      <x v="1478"/>
      <x v="552"/>
    </i>
    <i t="default">
      <x v="1478"/>
    </i>
    <i>
      <x v="1479"/>
      <x v="552"/>
    </i>
    <i t="default">
      <x v="1479"/>
    </i>
    <i>
      <x v="1480"/>
      <x v="141"/>
    </i>
    <i t="default">
      <x v="1480"/>
    </i>
    <i>
      <x v="1481"/>
      <x v="552"/>
    </i>
    <i t="default">
      <x v="1481"/>
    </i>
    <i>
      <x v="1482"/>
      <x v="184"/>
    </i>
    <i r="1">
      <x v="332"/>
    </i>
    <i t="default">
      <x v="1482"/>
    </i>
    <i>
      <x v="1483"/>
      <x v="552"/>
    </i>
    <i t="default">
      <x v="1483"/>
    </i>
    <i>
      <x v="1484"/>
      <x v="552"/>
    </i>
    <i t="default">
      <x v="1484"/>
    </i>
    <i>
      <x v="1485"/>
      <x v="552"/>
    </i>
    <i t="default">
      <x v="1485"/>
    </i>
    <i>
      <x v="1486"/>
      <x v="552"/>
    </i>
    <i t="default">
      <x v="1486"/>
    </i>
    <i>
      <x v="1487"/>
      <x v="552"/>
    </i>
    <i t="default">
      <x v="1487"/>
    </i>
    <i>
      <x v="1488"/>
      <x v="552"/>
    </i>
    <i t="default">
      <x v="1488"/>
    </i>
    <i>
      <x v="1489"/>
      <x v="552"/>
    </i>
    <i t="default">
      <x v="1489"/>
    </i>
    <i>
      <x v="1490"/>
      <x v="552"/>
    </i>
    <i t="default">
      <x v="1490"/>
    </i>
    <i>
      <x v="1491"/>
      <x v="552"/>
    </i>
    <i t="default">
      <x v="1491"/>
    </i>
    <i>
      <x v="1492"/>
      <x v="552"/>
    </i>
    <i t="default">
      <x v="1492"/>
    </i>
    <i>
      <x v="1493"/>
      <x v="552"/>
    </i>
    <i t="default">
      <x v="1493"/>
    </i>
    <i>
      <x v="1494"/>
      <x v="116"/>
    </i>
    <i r="1">
      <x v="552"/>
    </i>
    <i t="default">
      <x v="1494"/>
    </i>
    <i>
      <x v="1495"/>
      <x v="552"/>
    </i>
    <i t="default">
      <x v="1495"/>
    </i>
    <i>
      <x v="1496"/>
      <x v="552"/>
    </i>
    <i t="default">
      <x v="1496"/>
    </i>
    <i>
      <x v="1497"/>
      <x v="552"/>
    </i>
    <i t="default">
      <x v="1497"/>
    </i>
    <i>
      <x v="1498"/>
      <x v="552"/>
    </i>
    <i t="default">
      <x v="1498"/>
    </i>
    <i>
      <x v="1499"/>
      <x v="552"/>
    </i>
    <i t="default">
      <x v="1499"/>
    </i>
    <i>
      <x v="1500"/>
      <x v="552"/>
    </i>
    <i t="default">
      <x v="1500"/>
    </i>
    <i>
      <x v="1501"/>
      <x v="552"/>
    </i>
    <i t="default">
      <x v="1501"/>
    </i>
    <i>
      <x v="1502"/>
      <x v="552"/>
    </i>
    <i t="default">
      <x v="1502"/>
    </i>
    <i>
      <x v="1503"/>
      <x v="552"/>
    </i>
    <i t="default">
      <x v="1503"/>
    </i>
    <i>
      <x v="1504"/>
      <x v="552"/>
    </i>
    <i t="default">
      <x v="1504"/>
    </i>
    <i>
      <x v="1505"/>
      <x v="552"/>
    </i>
    <i t="default">
      <x v="1505"/>
    </i>
    <i>
      <x v="1506"/>
      <x v="552"/>
    </i>
    <i t="default">
      <x v="1506"/>
    </i>
    <i>
      <x v="1507"/>
      <x v="552"/>
    </i>
    <i t="default">
      <x v="1507"/>
    </i>
    <i>
      <x v="1508"/>
      <x v="552"/>
    </i>
    <i t="default">
      <x v="1508"/>
    </i>
    <i>
      <x v="1509"/>
      <x v="552"/>
    </i>
    <i t="default">
      <x v="1509"/>
    </i>
    <i>
      <x v="1510"/>
      <x v="552"/>
    </i>
    <i t="default">
      <x v="1510"/>
    </i>
    <i>
      <x v="1511"/>
      <x v="552"/>
    </i>
    <i t="default">
      <x v="1511"/>
    </i>
    <i>
      <x v="1512"/>
      <x v="552"/>
    </i>
    <i t="default">
      <x v="1512"/>
    </i>
    <i>
      <x v="1513"/>
      <x v="552"/>
    </i>
    <i t="default">
      <x v="1513"/>
    </i>
    <i>
      <x v="1514"/>
      <x v="552"/>
    </i>
    <i t="default">
      <x v="1514"/>
    </i>
    <i>
      <x v="1515"/>
      <x v="552"/>
    </i>
    <i t="default">
      <x v="1515"/>
    </i>
    <i>
      <x v="1516"/>
      <x v="552"/>
    </i>
    <i t="default">
      <x v="1516"/>
    </i>
    <i>
      <x v="1517"/>
      <x v="179"/>
    </i>
    <i t="default">
      <x v="1517"/>
    </i>
    <i>
      <x v="1518"/>
      <x v="552"/>
    </i>
    <i t="default">
      <x v="1518"/>
    </i>
    <i>
      <x v="1519"/>
      <x v="552"/>
    </i>
    <i t="default">
      <x v="1519"/>
    </i>
    <i>
      <x v="1520"/>
      <x v="552"/>
    </i>
    <i t="default">
      <x v="1520"/>
    </i>
    <i>
      <x v="1521"/>
      <x v="552"/>
    </i>
    <i t="default">
      <x v="1521"/>
    </i>
    <i>
      <x v="1522"/>
      <x v="552"/>
    </i>
    <i t="default">
      <x v="1522"/>
    </i>
    <i>
      <x v="1523"/>
      <x v="552"/>
    </i>
    <i t="default">
      <x v="1523"/>
    </i>
    <i>
      <x v="1524"/>
      <x v="552"/>
    </i>
    <i t="default">
      <x v="1524"/>
    </i>
    <i>
      <x v="1525"/>
      <x v="552"/>
    </i>
    <i t="default">
      <x v="1525"/>
    </i>
    <i>
      <x v="1526"/>
      <x v="552"/>
    </i>
    <i t="default">
      <x v="1526"/>
    </i>
    <i>
      <x v="1527"/>
      <x v="552"/>
    </i>
    <i t="default">
      <x v="1527"/>
    </i>
    <i>
      <x v="1528"/>
      <x v="552"/>
    </i>
    <i t="default">
      <x v="1528"/>
    </i>
    <i>
      <x v="1529"/>
      <x v="552"/>
    </i>
    <i t="default">
      <x v="1529"/>
    </i>
    <i>
      <x v="1530"/>
      <x v="552"/>
    </i>
    <i t="default">
      <x v="1530"/>
    </i>
    <i>
      <x v="1531"/>
      <x v="552"/>
    </i>
    <i t="default">
      <x v="1531"/>
    </i>
    <i>
      <x v="1532"/>
      <x v="552"/>
    </i>
    <i t="default">
      <x v="1532"/>
    </i>
    <i>
      <x v="1533"/>
      <x v="552"/>
    </i>
    <i t="default">
      <x v="1533"/>
    </i>
    <i>
      <x v="1534"/>
      <x v="552"/>
    </i>
    <i t="default">
      <x v="1534"/>
    </i>
    <i>
      <x v="1535"/>
      <x v="249"/>
    </i>
    <i t="default">
      <x v="1535"/>
    </i>
    <i>
      <x v="1536"/>
      <x v="552"/>
    </i>
    <i t="default">
      <x v="1536"/>
    </i>
    <i>
      <x v="1537"/>
      <x v="172"/>
    </i>
    <i t="default">
      <x v="1537"/>
    </i>
    <i>
      <x v="1538"/>
      <x v="552"/>
    </i>
    <i t="default">
      <x v="1538"/>
    </i>
    <i>
      <x v="1539"/>
      <x v="552"/>
    </i>
    <i t="default">
      <x v="1539"/>
    </i>
    <i>
      <x v="1540"/>
      <x v="552"/>
    </i>
    <i t="default">
      <x v="1540"/>
    </i>
    <i>
      <x v="1541"/>
      <x v="552"/>
    </i>
    <i t="default">
      <x v="1541"/>
    </i>
    <i>
      <x v="1542"/>
      <x v="551"/>
    </i>
    <i r="1">
      <x v="552"/>
    </i>
    <i t="default">
      <x v="1542"/>
    </i>
    <i>
      <x v="1543"/>
      <x v="552"/>
    </i>
    <i t="default">
      <x v="1543"/>
    </i>
    <i>
      <x v="1544"/>
      <x v="552"/>
    </i>
    <i t="default">
      <x v="1544"/>
    </i>
    <i>
      <x v="1545"/>
      <x v="552"/>
    </i>
    <i t="default">
      <x v="1545"/>
    </i>
    <i>
      <x v="1546"/>
      <x v="552"/>
    </i>
    <i t="default">
      <x v="1546"/>
    </i>
    <i>
      <x v="1547"/>
      <x v="203"/>
    </i>
    <i t="default">
      <x v="1547"/>
    </i>
    <i>
      <x v="1548"/>
      <x v="552"/>
    </i>
    <i t="default">
      <x v="1548"/>
    </i>
    <i>
      <x v="1549"/>
      <x v="552"/>
    </i>
    <i t="default">
      <x v="1549"/>
    </i>
    <i>
      <x v="1550"/>
      <x v="552"/>
    </i>
    <i t="default">
      <x v="1550"/>
    </i>
    <i>
      <x v="1551"/>
      <x v="552"/>
    </i>
    <i t="default">
      <x v="1551"/>
    </i>
    <i>
      <x v="1552"/>
      <x v="552"/>
    </i>
    <i t="default">
      <x v="1552"/>
    </i>
    <i>
      <x v="1553"/>
      <x v="147"/>
    </i>
    <i t="default">
      <x v="1553"/>
    </i>
    <i>
      <x v="1554"/>
      <x v="552"/>
    </i>
    <i t="default">
      <x v="1554"/>
    </i>
    <i>
      <x v="1555"/>
      <x v="552"/>
    </i>
    <i t="default">
      <x v="1555"/>
    </i>
    <i>
      <x v="1556"/>
      <x v="552"/>
    </i>
    <i t="default">
      <x v="1556"/>
    </i>
    <i>
      <x v="1557"/>
      <x v="552"/>
    </i>
    <i t="default">
      <x v="1557"/>
    </i>
    <i>
      <x v="1558"/>
      <x v="426"/>
    </i>
    <i r="1">
      <x v="552"/>
    </i>
    <i t="default">
      <x v="1558"/>
    </i>
    <i>
      <x v="1559"/>
      <x v="552"/>
    </i>
    <i t="default">
      <x v="1559"/>
    </i>
    <i>
      <x v="1560"/>
      <x v="552"/>
    </i>
    <i t="default">
      <x v="1560"/>
    </i>
    <i>
      <x v="1561"/>
      <x v="402"/>
    </i>
    <i r="1">
      <x v="552"/>
    </i>
    <i t="default">
      <x v="1561"/>
    </i>
    <i>
      <x v="1562"/>
      <x v="552"/>
    </i>
    <i t="default">
      <x v="1562"/>
    </i>
    <i>
      <x v="1563"/>
      <x v="376"/>
    </i>
    <i r="1">
      <x v="552"/>
    </i>
    <i t="default">
      <x v="1563"/>
    </i>
    <i>
      <x v="1564"/>
      <x v="552"/>
    </i>
    <i t="default">
      <x v="1564"/>
    </i>
    <i>
      <x v="1565"/>
      <x v="552"/>
    </i>
    <i t="default">
      <x v="1565"/>
    </i>
    <i>
      <x v="1566"/>
      <x v="552"/>
    </i>
    <i t="default">
      <x v="1566"/>
    </i>
    <i>
      <x v="1567"/>
      <x v="552"/>
    </i>
    <i t="default">
      <x v="1567"/>
    </i>
    <i>
      <x v="1568"/>
      <x v="552"/>
    </i>
    <i t="default">
      <x v="1568"/>
    </i>
    <i>
      <x v="1569"/>
      <x v="552"/>
    </i>
    <i t="default">
      <x v="1569"/>
    </i>
    <i>
      <x v="1570"/>
      <x v="552"/>
    </i>
    <i t="default">
      <x v="1570"/>
    </i>
    <i>
      <x v="1571"/>
      <x v="552"/>
    </i>
    <i t="default">
      <x v="1571"/>
    </i>
    <i>
      <x v="1572"/>
      <x v="552"/>
    </i>
    <i t="default">
      <x v="1572"/>
    </i>
    <i>
      <x v="1573"/>
      <x v="552"/>
    </i>
    <i t="default">
      <x v="1573"/>
    </i>
    <i>
      <x v="1574"/>
      <x v="552"/>
    </i>
    <i t="default">
      <x v="1574"/>
    </i>
    <i>
      <x v="1575"/>
      <x v="27"/>
    </i>
    <i r="1">
      <x v="552"/>
    </i>
    <i t="default">
      <x v="1575"/>
    </i>
    <i>
      <x v="1576"/>
      <x v="552"/>
    </i>
    <i t="default">
      <x v="1576"/>
    </i>
    <i>
      <x v="1577"/>
      <x v="552"/>
    </i>
    <i t="default">
      <x v="1577"/>
    </i>
    <i>
      <x v="1578"/>
      <x v="552"/>
    </i>
    <i t="default">
      <x v="1578"/>
    </i>
    <i>
      <x v="1579"/>
      <x v="552"/>
    </i>
    <i t="default">
      <x v="1579"/>
    </i>
    <i>
      <x v="1580"/>
      <x v="552"/>
    </i>
    <i t="default">
      <x v="1580"/>
    </i>
    <i>
      <x v="1581"/>
      <x v="552"/>
    </i>
    <i t="default">
      <x v="1581"/>
    </i>
    <i>
      <x v="1582"/>
      <x v="552"/>
    </i>
    <i t="default">
      <x v="1582"/>
    </i>
    <i>
      <x v="1583"/>
      <x v="552"/>
    </i>
    <i t="default">
      <x v="1583"/>
    </i>
    <i>
      <x v="1584"/>
      <x v="552"/>
    </i>
    <i t="default">
      <x v="1584"/>
    </i>
    <i>
      <x v="1585"/>
      <x v="552"/>
    </i>
    <i t="default">
      <x v="1585"/>
    </i>
    <i>
      <x v="1586"/>
      <x v="552"/>
    </i>
    <i t="default">
      <x v="1586"/>
    </i>
    <i>
      <x v="1587"/>
      <x v="552"/>
    </i>
    <i t="default">
      <x v="1587"/>
    </i>
    <i>
      <x v="1588"/>
      <x v="552"/>
    </i>
    <i t="default">
      <x v="1588"/>
    </i>
    <i>
      <x v="1589"/>
      <x v="552"/>
    </i>
    <i t="default">
      <x v="1589"/>
    </i>
    <i>
      <x v="1590"/>
      <x v="552"/>
    </i>
    <i t="default">
      <x v="1590"/>
    </i>
    <i>
      <x v="1591"/>
      <x v="552"/>
    </i>
    <i t="default">
      <x v="1591"/>
    </i>
    <i>
      <x v="1592"/>
      <x v="552"/>
    </i>
    <i t="default">
      <x v="1592"/>
    </i>
    <i>
      <x v="1593"/>
      <x v="552"/>
    </i>
    <i t="default">
      <x v="1593"/>
    </i>
    <i>
      <x v="1594"/>
      <x v="552"/>
    </i>
    <i t="default">
      <x v="1594"/>
    </i>
    <i>
      <x v="1595"/>
      <x v="552"/>
    </i>
    <i t="default">
      <x v="1595"/>
    </i>
    <i>
      <x v="1596"/>
      <x v="552"/>
    </i>
    <i t="default">
      <x v="1596"/>
    </i>
    <i>
      <x v="1597"/>
      <x v="552"/>
    </i>
    <i t="default">
      <x v="1597"/>
    </i>
    <i>
      <x v="1598"/>
      <x v="552"/>
    </i>
    <i t="default">
      <x v="1598"/>
    </i>
    <i>
      <x v="1599"/>
      <x v="552"/>
    </i>
    <i t="default">
      <x v="1599"/>
    </i>
    <i>
      <x v="1600"/>
      <x v="552"/>
    </i>
    <i t="default">
      <x v="1600"/>
    </i>
    <i>
      <x v="1601"/>
      <x v="552"/>
    </i>
    <i t="default">
      <x v="1601"/>
    </i>
    <i>
      <x v="1602"/>
      <x v="552"/>
    </i>
    <i t="default">
      <x v="1602"/>
    </i>
    <i>
      <x v="1603"/>
      <x v="552"/>
    </i>
    <i t="default">
      <x v="1603"/>
    </i>
    <i>
      <x v="1604"/>
      <x v="552"/>
    </i>
    <i t="default">
      <x v="1604"/>
    </i>
    <i>
      <x v="1605"/>
      <x v="552"/>
    </i>
    <i t="default">
      <x v="1605"/>
    </i>
    <i>
      <x v="1606"/>
      <x v="552"/>
    </i>
    <i t="default">
      <x v="1606"/>
    </i>
    <i>
      <x v="1607"/>
      <x v="552"/>
    </i>
    <i t="default">
      <x v="1607"/>
    </i>
    <i>
      <x v="1608"/>
      <x v="552"/>
    </i>
    <i t="default">
      <x v="1608"/>
    </i>
    <i>
      <x v="1609"/>
      <x v="552"/>
    </i>
    <i t="default">
      <x v="1609"/>
    </i>
    <i>
      <x v="1610"/>
      <x v="552"/>
    </i>
    <i t="default">
      <x v="1610"/>
    </i>
    <i>
      <x v="1611"/>
      <x v="552"/>
    </i>
    <i t="default">
      <x v="1611"/>
    </i>
    <i>
      <x v="1612"/>
      <x v="552"/>
    </i>
    <i t="default">
      <x v="1612"/>
    </i>
    <i>
      <x v="1613"/>
      <x v="399"/>
    </i>
    <i r="1">
      <x v="552"/>
    </i>
    <i t="default">
      <x v="1613"/>
    </i>
    <i>
      <x v="1614"/>
      <x v="552"/>
    </i>
    <i t="default">
      <x v="1614"/>
    </i>
    <i>
      <x v="1615"/>
      <x v="552"/>
    </i>
    <i t="default">
      <x v="1615"/>
    </i>
    <i>
      <x v="1616"/>
      <x v="552"/>
    </i>
    <i t="default">
      <x v="1616"/>
    </i>
    <i>
      <x v="1617"/>
      <x v="552"/>
    </i>
    <i t="default">
      <x v="1617"/>
    </i>
    <i>
      <x v="1618"/>
      <x v="552"/>
    </i>
    <i t="default">
      <x v="1618"/>
    </i>
    <i>
      <x v="1619"/>
      <x v="552"/>
    </i>
    <i t="default">
      <x v="1619"/>
    </i>
    <i>
      <x v="1620"/>
      <x v="552"/>
    </i>
    <i t="default">
      <x v="1620"/>
    </i>
    <i>
      <x v="1621"/>
      <x v="552"/>
    </i>
    <i t="default">
      <x v="1621"/>
    </i>
    <i>
      <x v="1622"/>
      <x v="552"/>
    </i>
    <i t="default">
      <x v="1622"/>
    </i>
    <i>
      <x v="1623"/>
      <x v="552"/>
    </i>
    <i t="default">
      <x v="1623"/>
    </i>
    <i>
      <x v="1624"/>
      <x v="20"/>
    </i>
    <i t="default">
      <x v="1624"/>
    </i>
    <i>
      <x v="1625"/>
      <x v="552"/>
    </i>
    <i t="default">
      <x v="1625"/>
    </i>
    <i>
      <x v="1626"/>
      <x v="552"/>
    </i>
    <i t="default">
      <x v="1626"/>
    </i>
    <i>
      <x v="1627"/>
      <x v="552"/>
    </i>
    <i t="default">
      <x v="1627"/>
    </i>
    <i>
      <x v="1628"/>
      <x v="552"/>
    </i>
    <i t="default">
      <x v="1628"/>
    </i>
    <i>
      <x v="1629"/>
      <x v="552"/>
    </i>
    <i t="default">
      <x v="1629"/>
    </i>
    <i>
      <x v="1630"/>
      <x v="552"/>
    </i>
    <i t="default">
      <x v="1630"/>
    </i>
    <i>
      <x v="1631"/>
      <x v="552"/>
    </i>
    <i t="default">
      <x v="1631"/>
    </i>
    <i>
      <x v="1632"/>
      <x v="552"/>
    </i>
    <i t="default">
      <x v="1632"/>
    </i>
    <i>
      <x v="1633"/>
      <x v="552"/>
    </i>
    <i t="default">
      <x v="1633"/>
    </i>
    <i>
      <x v="1634"/>
      <x v="414"/>
    </i>
    <i r="1">
      <x v="552"/>
    </i>
    <i t="default">
      <x v="1634"/>
    </i>
    <i>
      <x v="1635"/>
      <x v="552"/>
    </i>
    <i t="default">
      <x v="1635"/>
    </i>
    <i>
      <x v="1636"/>
      <x v="552"/>
    </i>
    <i t="default">
      <x v="1636"/>
    </i>
    <i>
      <x v="1637"/>
      <x v="552"/>
    </i>
    <i t="default">
      <x v="1637"/>
    </i>
    <i>
      <x v="1638"/>
      <x v="552"/>
    </i>
    <i t="default">
      <x v="1638"/>
    </i>
    <i>
      <x v="1639"/>
      <x v="552"/>
    </i>
    <i t="default">
      <x v="1639"/>
    </i>
    <i>
      <x v="1640"/>
      <x v="552"/>
    </i>
    <i t="default">
      <x v="1640"/>
    </i>
    <i>
      <x v="1641"/>
      <x v="552"/>
    </i>
    <i t="default">
      <x v="1641"/>
    </i>
    <i>
      <x v="1642"/>
      <x v="486"/>
    </i>
    <i t="default">
      <x v="1642"/>
    </i>
    <i>
      <x v="1643"/>
      <x v="506"/>
    </i>
    <i t="default">
      <x v="1643"/>
    </i>
    <i>
      <x v="1644"/>
      <x v="552"/>
    </i>
    <i t="default">
      <x v="1644"/>
    </i>
    <i>
      <x v="1645"/>
      <x v="552"/>
    </i>
    <i t="default">
      <x v="1645"/>
    </i>
    <i>
      <x v="1646"/>
      <x v="552"/>
    </i>
    <i t="default">
      <x v="1646"/>
    </i>
    <i>
      <x v="1647"/>
      <x v="148"/>
    </i>
    <i r="1">
      <x v="552"/>
    </i>
    <i t="default">
      <x v="1647"/>
    </i>
    <i>
      <x v="1648"/>
      <x v="552"/>
    </i>
    <i t="default">
      <x v="1648"/>
    </i>
    <i>
      <x v="1649"/>
      <x v="13"/>
    </i>
    <i r="1">
      <x v="552"/>
    </i>
    <i t="default">
      <x v="1649"/>
    </i>
    <i>
      <x v="1650"/>
      <x v="552"/>
    </i>
    <i t="default">
      <x v="1650"/>
    </i>
    <i>
      <x v="1651"/>
      <x v="552"/>
    </i>
    <i t="default">
      <x v="1651"/>
    </i>
    <i>
      <x v="1652"/>
      <x v="552"/>
    </i>
    <i t="default">
      <x v="1652"/>
    </i>
    <i>
      <x v="1653"/>
      <x v="552"/>
    </i>
    <i t="default">
      <x v="1653"/>
    </i>
    <i>
      <x v="1654"/>
      <x v="552"/>
    </i>
    <i t="default">
      <x v="1654"/>
    </i>
    <i>
      <x v="1655"/>
      <x v="523"/>
    </i>
    <i t="default">
      <x v="1655"/>
    </i>
    <i>
      <x v="1656"/>
      <x v="552"/>
    </i>
    <i t="default">
      <x v="1656"/>
    </i>
    <i>
      <x v="1657"/>
      <x v="552"/>
    </i>
    <i t="default">
      <x v="1657"/>
    </i>
    <i>
      <x v="1658"/>
      <x v="552"/>
    </i>
    <i t="default">
      <x v="1658"/>
    </i>
    <i>
      <x v="1659"/>
      <x v="552"/>
    </i>
    <i t="default">
      <x v="1659"/>
    </i>
    <i>
      <x v="1660"/>
      <x v="552"/>
    </i>
    <i t="default">
      <x v="1660"/>
    </i>
    <i>
      <x v="1661"/>
      <x v="552"/>
    </i>
    <i t="default">
      <x v="1661"/>
    </i>
    <i>
      <x v="1662"/>
      <x v="552"/>
    </i>
    <i t="default">
      <x v="1662"/>
    </i>
    <i>
      <x v="1663"/>
      <x v="552"/>
    </i>
    <i t="default">
      <x v="1663"/>
    </i>
    <i>
      <x v="1664"/>
      <x v="552"/>
    </i>
    <i t="default">
      <x v="1664"/>
    </i>
    <i>
      <x v="1665"/>
      <x v="552"/>
    </i>
    <i t="default">
      <x v="1665"/>
    </i>
    <i>
      <x v="1666"/>
      <x v="552"/>
    </i>
    <i t="default">
      <x v="1666"/>
    </i>
    <i>
      <x v="1667"/>
      <x v="552"/>
    </i>
    <i t="default">
      <x v="1667"/>
    </i>
    <i>
      <x v="1668"/>
      <x v="552"/>
    </i>
    <i t="default">
      <x v="1668"/>
    </i>
    <i>
      <x v="1669"/>
      <x v="552"/>
    </i>
    <i t="default">
      <x v="1669"/>
    </i>
    <i>
      <x v="1670"/>
      <x v="133"/>
    </i>
    <i r="1">
      <x v="552"/>
    </i>
    <i t="default">
      <x v="1670"/>
    </i>
    <i>
      <x v="1671"/>
      <x v="552"/>
    </i>
    <i t="default">
      <x v="1671"/>
    </i>
    <i>
      <x v="1672"/>
      <x v="552"/>
    </i>
    <i t="default">
      <x v="1672"/>
    </i>
    <i>
      <x v="1673"/>
      <x v="552"/>
    </i>
    <i t="default">
      <x v="1673"/>
    </i>
    <i>
      <x v="1674"/>
      <x v="149"/>
    </i>
    <i t="default">
      <x v="1674"/>
    </i>
    <i>
      <x v="1675"/>
      <x v="150"/>
    </i>
    <i t="default">
      <x v="1675"/>
    </i>
    <i>
      <x v="1676"/>
      <x v="552"/>
    </i>
    <i t="default">
      <x v="1676"/>
    </i>
    <i>
      <x v="1677"/>
      <x v="354"/>
    </i>
    <i r="1">
      <x v="552"/>
    </i>
    <i t="default">
      <x v="1677"/>
    </i>
    <i>
      <x v="1678"/>
      <x v="552"/>
    </i>
    <i t="default">
      <x v="1678"/>
    </i>
    <i>
      <x v="1679"/>
      <x v="552"/>
    </i>
    <i t="default">
      <x v="1679"/>
    </i>
    <i>
      <x v="1680"/>
      <x v="552"/>
    </i>
    <i t="default">
      <x v="1680"/>
    </i>
    <i>
      <x v="1681"/>
      <x v="552"/>
    </i>
    <i t="default">
      <x v="1681"/>
    </i>
    <i>
      <x v="1682"/>
      <x v="552"/>
    </i>
    <i t="default">
      <x v="1682"/>
    </i>
    <i>
      <x v="1683"/>
      <x v="552"/>
    </i>
    <i t="default">
      <x v="1683"/>
    </i>
    <i>
      <x v="1684"/>
      <x v="552"/>
    </i>
    <i t="default">
      <x v="1684"/>
    </i>
    <i>
      <x v="1685"/>
      <x v="552"/>
    </i>
    <i t="default">
      <x v="1685"/>
    </i>
    <i>
      <x v="1686"/>
      <x v="552"/>
    </i>
    <i t="default">
      <x v="1686"/>
    </i>
    <i>
      <x v="1687"/>
      <x v="552"/>
    </i>
    <i t="default">
      <x v="1687"/>
    </i>
    <i>
      <x v="1688"/>
      <x v="552"/>
    </i>
    <i t="default">
      <x v="1688"/>
    </i>
    <i>
      <x v="1689"/>
      <x v="552"/>
    </i>
    <i t="default">
      <x v="1689"/>
    </i>
    <i>
      <x v="1690"/>
      <x v="552"/>
    </i>
    <i t="default">
      <x v="1690"/>
    </i>
    <i>
      <x v="1691"/>
      <x v="552"/>
    </i>
    <i t="default">
      <x v="1691"/>
    </i>
    <i>
      <x v="1692"/>
      <x v="552"/>
    </i>
    <i t="default">
      <x v="1692"/>
    </i>
    <i>
      <x v="1693"/>
      <x v="552"/>
    </i>
    <i t="default">
      <x v="1693"/>
    </i>
    <i>
      <x v="1694"/>
      <x v="552"/>
    </i>
    <i t="default">
      <x v="1694"/>
    </i>
    <i>
      <x v="1695"/>
      <x v="552"/>
    </i>
    <i t="default">
      <x v="1695"/>
    </i>
    <i>
      <x v="1696"/>
      <x v="552"/>
    </i>
    <i t="default">
      <x v="1696"/>
    </i>
    <i>
      <x v="1697"/>
      <x v="552"/>
    </i>
    <i t="default">
      <x v="1697"/>
    </i>
    <i>
      <x v="1698"/>
      <x v="552"/>
    </i>
    <i t="default">
      <x v="1698"/>
    </i>
    <i>
      <x v="1699"/>
      <x v="552"/>
    </i>
    <i t="default">
      <x v="1699"/>
    </i>
    <i>
      <x v="1700"/>
      <x v="552"/>
    </i>
    <i t="default">
      <x v="1700"/>
    </i>
    <i>
      <x v="1701"/>
      <x v="552"/>
    </i>
    <i t="default">
      <x v="1701"/>
    </i>
    <i>
      <x v="1702"/>
      <x v="552"/>
    </i>
    <i t="default">
      <x v="1702"/>
    </i>
    <i>
      <x v="1703"/>
      <x v="552"/>
    </i>
    <i t="default">
      <x v="1703"/>
    </i>
    <i>
      <x v="1704"/>
      <x v="552"/>
    </i>
    <i t="default">
      <x v="1704"/>
    </i>
    <i>
      <x v="1705"/>
      <x v="552"/>
    </i>
    <i t="default">
      <x v="1705"/>
    </i>
    <i>
      <x v="1706"/>
      <x v="552"/>
    </i>
    <i t="default">
      <x v="1706"/>
    </i>
    <i>
      <x v="1707"/>
      <x v="552"/>
    </i>
    <i t="default">
      <x v="1707"/>
    </i>
    <i>
      <x v="1708"/>
      <x v="552"/>
    </i>
    <i t="default">
      <x v="1708"/>
    </i>
    <i>
      <x v="1709"/>
      <x v="462"/>
    </i>
    <i r="1">
      <x v="552"/>
    </i>
    <i t="default">
      <x v="1709"/>
    </i>
    <i>
      <x v="1710"/>
      <x v="552"/>
    </i>
    <i t="default">
      <x v="1710"/>
    </i>
    <i>
      <x v="1711"/>
      <x v="552"/>
    </i>
    <i t="default">
      <x v="1711"/>
    </i>
    <i>
      <x v="1712"/>
      <x v="552"/>
    </i>
    <i t="default">
      <x v="1712"/>
    </i>
    <i>
      <x v="1713"/>
      <x v="552"/>
    </i>
    <i t="default">
      <x v="1713"/>
    </i>
    <i>
      <x v="1714"/>
      <x v="552"/>
    </i>
    <i t="default">
      <x v="1714"/>
    </i>
    <i>
      <x v="1715"/>
      <x v="552"/>
    </i>
    <i t="default">
      <x v="1715"/>
    </i>
    <i>
      <x v="1716"/>
      <x v="552"/>
    </i>
    <i t="default">
      <x v="1716"/>
    </i>
    <i>
      <x v="1717"/>
      <x v="552"/>
    </i>
    <i t="default">
      <x v="1717"/>
    </i>
    <i>
      <x v="1718"/>
      <x v="552"/>
    </i>
    <i t="default">
      <x v="1718"/>
    </i>
    <i>
      <x v="1719"/>
      <x v="552"/>
    </i>
    <i t="default">
      <x v="1719"/>
    </i>
    <i>
      <x v="1720"/>
      <x v="552"/>
    </i>
    <i t="default">
      <x v="1720"/>
    </i>
    <i>
      <x v="1721"/>
      <x v="552"/>
    </i>
    <i t="default">
      <x v="1721"/>
    </i>
    <i>
      <x v="1722"/>
      <x v="552"/>
    </i>
    <i t="default">
      <x v="1722"/>
    </i>
    <i>
      <x v="1723"/>
      <x v="552"/>
    </i>
    <i t="default">
      <x v="1723"/>
    </i>
    <i>
      <x v="1724"/>
      <x v="552"/>
    </i>
    <i t="default">
      <x v="1724"/>
    </i>
    <i>
      <x v="1725"/>
      <x v="552"/>
    </i>
    <i t="default">
      <x v="1725"/>
    </i>
    <i>
      <x v="1726"/>
      <x v="552"/>
    </i>
    <i t="default">
      <x v="1726"/>
    </i>
    <i>
      <x v="1727"/>
      <x v="552"/>
    </i>
    <i t="default">
      <x v="1727"/>
    </i>
    <i>
      <x v="1728"/>
      <x v="552"/>
    </i>
    <i t="default">
      <x v="1728"/>
    </i>
    <i>
      <x v="1729"/>
      <x v="552"/>
    </i>
    <i t="default">
      <x v="1729"/>
    </i>
    <i>
      <x v="1730"/>
      <x v="552"/>
    </i>
    <i t="default">
      <x v="1730"/>
    </i>
    <i>
      <x v="1731"/>
      <x v="552"/>
    </i>
    <i t="default">
      <x v="1731"/>
    </i>
    <i>
      <x v="1732"/>
      <x v="552"/>
    </i>
    <i t="default">
      <x v="1732"/>
    </i>
    <i>
      <x v="1733"/>
      <x v="552"/>
    </i>
    <i t="default">
      <x v="1733"/>
    </i>
    <i>
      <x v="1734"/>
      <x v="552"/>
    </i>
    <i t="default">
      <x v="1734"/>
    </i>
    <i>
      <x v="1735"/>
      <x v="552"/>
    </i>
    <i t="default">
      <x v="1735"/>
    </i>
    <i>
      <x v="1736"/>
      <x v="552"/>
    </i>
    <i t="default">
      <x v="1736"/>
    </i>
    <i>
      <x v="1737"/>
      <x v="552"/>
    </i>
    <i t="default">
      <x v="1737"/>
    </i>
    <i>
      <x v="1738"/>
      <x v="552"/>
    </i>
    <i t="default">
      <x v="1738"/>
    </i>
    <i>
      <x v="1739"/>
      <x v="552"/>
    </i>
    <i t="default">
      <x v="1739"/>
    </i>
    <i>
      <x v="1740"/>
      <x v="552"/>
    </i>
    <i t="default">
      <x v="1740"/>
    </i>
    <i>
      <x v="1741"/>
      <x v="552"/>
    </i>
    <i t="default">
      <x v="1741"/>
    </i>
    <i>
      <x v="1742"/>
      <x v="552"/>
    </i>
    <i t="default">
      <x v="1742"/>
    </i>
    <i>
      <x v="1743"/>
      <x v="409"/>
    </i>
    <i r="1">
      <x v="552"/>
    </i>
    <i t="default">
      <x v="1743"/>
    </i>
    <i>
      <x v="1744"/>
      <x v="552"/>
    </i>
    <i t="default">
      <x v="1744"/>
    </i>
    <i>
      <x v="1745"/>
      <x v="552"/>
    </i>
    <i t="default">
      <x v="1745"/>
    </i>
    <i>
      <x v="1746"/>
      <x v="552"/>
    </i>
    <i t="default">
      <x v="1746"/>
    </i>
    <i>
      <x v="1747"/>
      <x v="552"/>
    </i>
    <i t="default">
      <x v="1747"/>
    </i>
    <i>
      <x v="1748"/>
      <x v="552"/>
    </i>
    <i t="default">
      <x v="1748"/>
    </i>
    <i>
      <x v="1749"/>
      <x v="552"/>
    </i>
    <i t="default">
      <x v="1749"/>
    </i>
    <i>
      <x v="1750"/>
      <x v="552"/>
    </i>
    <i t="default">
      <x v="1750"/>
    </i>
    <i>
      <x v="1751"/>
      <x v="552"/>
    </i>
    <i t="default">
      <x v="1751"/>
    </i>
    <i>
      <x v="1752"/>
      <x v="552"/>
    </i>
    <i t="default">
      <x v="1752"/>
    </i>
    <i>
      <x v="1753"/>
      <x v="552"/>
    </i>
    <i t="default">
      <x v="1753"/>
    </i>
    <i>
      <x v="1754"/>
      <x v="552"/>
    </i>
    <i t="default">
      <x v="1754"/>
    </i>
    <i>
      <x v="1755"/>
      <x v="552"/>
    </i>
    <i t="default">
      <x v="1755"/>
    </i>
    <i>
      <x v="1756"/>
      <x v="552"/>
    </i>
    <i t="default">
      <x v="1756"/>
    </i>
    <i>
      <x v="1757"/>
      <x v="552"/>
    </i>
    <i t="default">
      <x v="1757"/>
    </i>
    <i>
      <x v="1758"/>
      <x v="552"/>
    </i>
    <i t="default">
      <x v="1758"/>
    </i>
    <i>
      <x v="1759"/>
      <x v="552"/>
    </i>
    <i t="default">
      <x v="1759"/>
    </i>
    <i>
      <x v="1760"/>
      <x v="552"/>
    </i>
    <i t="default">
      <x v="1760"/>
    </i>
    <i>
      <x v="1761"/>
      <x v="552"/>
    </i>
    <i t="default">
      <x v="1761"/>
    </i>
    <i>
      <x v="1762"/>
      <x v="552"/>
    </i>
    <i t="default">
      <x v="1762"/>
    </i>
    <i>
      <x v="1763"/>
      <x v="552"/>
    </i>
    <i t="default">
      <x v="1763"/>
    </i>
    <i>
      <x v="1764"/>
      <x v="552"/>
    </i>
    <i t="default">
      <x v="1764"/>
    </i>
    <i>
      <x v="1765"/>
      <x v="552"/>
    </i>
    <i t="default">
      <x v="1765"/>
    </i>
    <i>
      <x v="1766"/>
      <x v="552"/>
    </i>
    <i t="default">
      <x v="1766"/>
    </i>
    <i>
      <x v="1767"/>
      <x v="552"/>
    </i>
    <i t="default">
      <x v="1767"/>
    </i>
    <i>
      <x v="1768"/>
      <x v="552"/>
    </i>
    <i t="default">
      <x v="1768"/>
    </i>
    <i>
      <x v="1769"/>
      <x v="552"/>
    </i>
    <i t="default">
      <x v="1769"/>
    </i>
    <i>
      <x v="1770"/>
      <x v="552"/>
    </i>
    <i t="default">
      <x v="1770"/>
    </i>
    <i>
      <x v="1771"/>
      <x v="552"/>
    </i>
    <i t="default">
      <x v="1771"/>
    </i>
    <i>
      <x v="1772"/>
      <x v="552"/>
    </i>
    <i t="default">
      <x v="1772"/>
    </i>
    <i>
      <x v="1773"/>
      <x v="552"/>
    </i>
    <i t="default">
      <x v="1773"/>
    </i>
    <i>
      <x v="1774"/>
      <x v="552"/>
    </i>
    <i t="default">
      <x v="1774"/>
    </i>
    <i>
      <x v="1775"/>
      <x v="552"/>
    </i>
    <i t="default">
      <x v="1775"/>
    </i>
    <i>
      <x v="1776"/>
      <x v="552"/>
    </i>
    <i t="default">
      <x v="1776"/>
    </i>
    <i>
      <x v="1777"/>
      <x v="411"/>
    </i>
    <i r="1">
      <x v="552"/>
    </i>
    <i t="default">
      <x v="1777"/>
    </i>
    <i>
      <x v="1778"/>
      <x v="552"/>
    </i>
    <i t="default">
      <x v="1778"/>
    </i>
    <i>
      <x v="1779"/>
      <x v="552"/>
    </i>
    <i t="default">
      <x v="1779"/>
    </i>
    <i>
      <x v="1780"/>
      <x v="552"/>
    </i>
    <i t="default">
      <x v="1780"/>
    </i>
    <i>
      <x v="1781"/>
      <x v="552"/>
    </i>
    <i t="default">
      <x v="1781"/>
    </i>
    <i>
      <x v="1782"/>
      <x v="552"/>
    </i>
    <i t="default">
      <x v="1782"/>
    </i>
    <i>
      <x v="1783"/>
      <x v="552"/>
    </i>
    <i t="default">
      <x v="1783"/>
    </i>
    <i>
      <x v="1784"/>
      <x v="552"/>
    </i>
    <i t="default">
      <x v="1784"/>
    </i>
    <i>
      <x v="1785"/>
      <x v="552"/>
    </i>
    <i t="default">
      <x v="1785"/>
    </i>
    <i>
      <x v="1786"/>
      <x v="552"/>
    </i>
    <i t="default">
      <x v="1786"/>
    </i>
    <i>
      <x v="1787"/>
      <x v="552"/>
    </i>
    <i t="default">
      <x v="1787"/>
    </i>
    <i>
      <x v="1788"/>
      <x v="62"/>
    </i>
    <i t="default">
      <x v="1788"/>
    </i>
    <i>
      <x v="1789"/>
      <x v="552"/>
    </i>
    <i t="default">
      <x v="1789"/>
    </i>
    <i>
      <x v="1790"/>
      <x v="552"/>
    </i>
    <i t="default">
      <x v="1790"/>
    </i>
    <i>
      <x v="1791"/>
      <x v="552"/>
    </i>
    <i t="default">
      <x v="1791"/>
    </i>
    <i>
      <x v="1792"/>
      <x v="552"/>
    </i>
    <i t="default">
      <x v="1792"/>
    </i>
    <i>
      <x v="1793"/>
      <x v="552"/>
    </i>
    <i t="default">
      <x v="1793"/>
    </i>
    <i>
      <x v="1794"/>
      <x v="552"/>
    </i>
    <i t="default">
      <x v="1794"/>
    </i>
    <i>
      <x v="1795"/>
      <x v="552"/>
    </i>
    <i t="default">
      <x v="1795"/>
    </i>
    <i>
      <x v="1796"/>
      <x v="552"/>
    </i>
    <i t="default">
      <x v="1796"/>
    </i>
    <i>
      <x v="1797"/>
      <x v="552"/>
    </i>
    <i t="default">
      <x v="1797"/>
    </i>
    <i>
      <x v="1798"/>
      <x v="552"/>
    </i>
    <i t="default">
      <x v="1798"/>
    </i>
    <i>
      <x v="1799"/>
      <x v="552"/>
    </i>
    <i t="default">
      <x v="1799"/>
    </i>
    <i>
      <x v="1800"/>
      <x v="552"/>
    </i>
    <i t="default">
      <x v="1800"/>
    </i>
    <i>
      <x v="1801"/>
      <x v="552"/>
    </i>
    <i t="default">
      <x v="1801"/>
    </i>
    <i>
      <x v="1802"/>
      <x v="552"/>
    </i>
    <i t="default">
      <x v="1802"/>
    </i>
    <i>
      <x v="1803"/>
      <x v="552"/>
    </i>
    <i t="default">
      <x v="1803"/>
    </i>
    <i>
      <x v="1804"/>
      <x v="552"/>
    </i>
    <i t="default">
      <x v="1804"/>
    </i>
    <i>
      <x v="1805"/>
      <x v="552"/>
    </i>
    <i t="default">
      <x v="1805"/>
    </i>
    <i>
      <x v="1806"/>
      <x v="552"/>
    </i>
    <i t="default">
      <x v="1806"/>
    </i>
    <i>
      <x v="1807"/>
      <x v="552"/>
    </i>
    <i t="default">
      <x v="1807"/>
    </i>
    <i>
      <x v="1808"/>
      <x v="552"/>
    </i>
    <i t="default">
      <x v="1808"/>
    </i>
    <i>
      <x v="1809"/>
      <x v="330"/>
    </i>
    <i r="1">
      <x v="552"/>
    </i>
    <i t="default">
      <x v="1809"/>
    </i>
    <i>
      <x v="1810"/>
      <x v="552"/>
    </i>
    <i t="default">
      <x v="1810"/>
    </i>
    <i>
      <x v="1811"/>
      <x v="552"/>
    </i>
    <i t="default">
      <x v="1811"/>
    </i>
    <i>
      <x v="1812"/>
      <x v="552"/>
    </i>
    <i t="default">
      <x v="1812"/>
    </i>
    <i>
      <x v="1813"/>
      <x v="552"/>
    </i>
    <i t="default">
      <x v="1813"/>
    </i>
    <i>
      <x v="1814"/>
      <x v="552"/>
    </i>
    <i t="default">
      <x v="1814"/>
    </i>
    <i>
      <x v="1815"/>
      <x v="124"/>
    </i>
    <i r="1">
      <x v="552"/>
    </i>
    <i t="default">
      <x v="1815"/>
    </i>
    <i>
      <x v="1816"/>
      <x v="176"/>
    </i>
    <i r="1">
      <x v="552"/>
    </i>
    <i t="default">
      <x v="1816"/>
    </i>
    <i>
      <x v="1817"/>
      <x v="552"/>
    </i>
    <i t="default">
      <x v="1817"/>
    </i>
    <i>
      <x v="1818"/>
      <x v="552"/>
    </i>
    <i t="default">
      <x v="1818"/>
    </i>
    <i>
      <x v="1819"/>
      <x v="552"/>
    </i>
    <i t="default">
      <x v="1819"/>
    </i>
    <i>
      <x v="1820"/>
      <x v="552"/>
    </i>
    <i t="default">
      <x v="1820"/>
    </i>
    <i>
      <x v="1821"/>
      <x v="552"/>
    </i>
    <i t="default">
      <x v="1821"/>
    </i>
    <i>
      <x v="1822"/>
      <x v="552"/>
    </i>
    <i t="default">
      <x v="1822"/>
    </i>
    <i>
      <x v="1823"/>
      <x v="552"/>
    </i>
    <i t="default">
      <x v="1823"/>
    </i>
    <i>
      <x v="1824"/>
      <x v="552"/>
    </i>
    <i t="default">
      <x v="1824"/>
    </i>
    <i>
      <x v="1825"/>
      <x v="552"/>
    </i>
    <i t="default">
      <x v="1825"/>
    </i>
    <i>
      <x v="1826"/>
      <x v="552"/>
    </i>
    <i t="default">
      <x v="1826"/>
    </i>
    <i>
      <x v="1827"/>
      <x v="552"/>
    </i>
    <i t="default">
      <x v="1827"/>
    </i>
    <i>
      <x v="1828"/>
      <x v="552"/>
    </i>
    <i t="default">
      <x v="1828"/>
    </i>
    <i>
      <x v="1829"/>
      <x v="552"/>
    </i>
    <i t="default">
      <x v="1829"/>
    </i>
    <i>
      <x v="1830"/>
      <x v="552"/>
    </i>
    <i t="default">
      <x v="1830"/>
    </i>
    <i>
      <x v="1831"/>
      <x v="552"/>
    </i>
    <i t="default">
      <x v="1831"/>
    </i>
    <i>
      <x v="1832"/>
      <x v="415"/>
    </i>
    <i r="1">
      <x v="552"/>
    </i>
    <i t="default">
      <x v="1832"/>
    </i>
    <i>
      <x v="1833"/>
      <x v="552"/>
    </i>
    <i t="default">
      <x v="1833"/>
    </i>
    <i>
      <x v="1834"/>
      <x v="552"/>
    </i>
    <i t="default">
      <x v="1834"/>
    </i>
    <i>
      <x v="1835"/>
      <x v="552"/>
    </i>
    <i t="default">
      <x v="1835"/>
    </i>
    <i>
      <x v="1836"/>
      <x v="552"/>
    </i>
    <i t="default">
      <x v="1836"/>
    </i>
    <i>
      <x v="1837"/>
      <x v="552"/>
    </i>
    <i t="default">
      <x v="1837"/>
    </i>
    <i>
      <x v="1838"/>
      <x v="552"/>
    </i>
    <i t="default">
      <x v="1838"/>
    </i>
    <i>
      <x v="1839"/>
      <x v="552"/>
    </i>
    <i t="default">
      <x v="1839"/>
    </i>
    <i>
      <x v="1840"/>
      <x v="552"/>
    </i>
    <i t="default">
      <x v="1840"/>
    </i>
    <i>
      <x v="1841"/>
      <x v="552"/>
    </i>
    <i t="default">
      <x v="1841"/>
    </i>
    <i>
      <x v="1842"/>
      <x v="552"/>
    </i>
    <i t="default">
      <x v="1842"/>
    </i>
    <i>
      <x v="1843"/>
      <x v="552"/>
    </i>
    <i t="default">
      <x v="1843"/>
    </i>
    <i>
      <x v="1844"/>
      <x v="552"/>
    </i>
    <i t="default">
      <x v="1844"/>
    </i>
    <i>
      <x v="1845"/>
      <x v="552"/>
    </i>
    <i t="default">
      <x v="1845"/>
    </i>
    <i>
      <x v="1846"/>
      <x v="552"/>
    </i>
    <i t="default">
      <x v="1846"/>
    </i>
    <i>
      <x v="1847"/>
      <x v="552"/>
    </i>
    <i t="default">
      <x v="1847"/>
    </i>
    <i>
      <x v="1848"/>
      <x v="552"/>
    </i>
    <i t="default">
      <x v="1848"/>
    </i>
    <i>
      <x v="1849"/>
      <x v="552"/>
    </i>
    <i t="default">
      <x v="1849"/>
    </i>
    <i>
      <x v="1850"/>
      <x v="552"/>
    </i>
    <i t="default">
      <x v="1850"/>
    </i>
    <i>
      <x v="1851"/>
      <x v="552"/>
    </i>
    <i t="default">
      <x v="1851"/>
    </i>
    <i>
      <x v="1852"/>
      <x v="552"/>
    </i>
    <i t="default">
      <x v="1852"/>
    </i>
    <i>
      <x v="1853"/>
      <x v="552"/>
    </i>
    <i t="default">
      <x v="1853"/>
    </i>
    <i>
      <x v="1854"/>
      <x v="552"/>
    </i>
    <i t="default">
      <x v="1854"/>
    </i>
    <i>
      <x v="1855"/>
      <x v="552"/>
    </i>
    <i t="default">
      <x v="1855"/>
    </i>
    <i>
      <x v="1856"/>
      <x v="552"/>
    </i>
    <i t="default">
      <x v="1856"/>
    </i>
    <i>
      <x v="1857"/>
      <x v="552"/>
    </i>
    <i t="default">
      <x v="1857"/>
    </i>
    <i>
      <x v="1858"/>
      <x v="552"/>
    </i>
    <i t="default">
      <x v="1858"/>
    </i>
    <i>
      <x v="1859"/>
      <x v="552"/>
    </i>
    <i t="default">
      <x v="1859"/>
    </i>
    <i>
      <x v="1860"/>
      <x v="552"/>
    </i>
    <i t="default">
      <x v="1860"/>
    </i>
    <i>
      <x v="1861"/>
      <x v="552"/>
    </i>
    <i t="default">
      <x v="1861"/>
    </i>
    <i>
      <x v="1862"/>
      <x v="552"/>
    </i>
    <i t="default">
      <x v="1862"/>
    </i>
    <i>
      <x v="1863"/>
      <x v="552"/>
    </i>
    <i t="default">
      <x v="1863"/>
    </i>
    <i>
      <x v="1864"/>
      <x v="552"/>
    </i>
    <i t="default">
      <x v="1864"/>
    </i>
    <i>
      <x v="1865"/>
      <x v="552"/>
    </i>
    <i t="default">
      <x v="1865"/>
    </i>
    <i>
      <x v="1866"/>
      <x v="552"/>
    </i>
    <i t="default">
      <x v="1866"/>
    </i>
    <i>
      <x v="1867"/>
      <x v="552"/>
    </i>
    <i t="default">
      <x v="1867"/>
    </i>
    <i>
      <x v="1868"/>
      <x v="552"/>
    </i>
    <i t="default">
      <x v="1868"/>
    </i>
    <i>
      <x v="1869"/>
      <x v="552"/>
    </i>
    <i t="default">
      <x v="1869"/>
    </i>
    <i>
      <x v="1870"/>
      <x v="552"/>
    </i>
    <i t="default">
      <x v="1870"/>
    </i>
    <i>
      <x v="1871"/>
      <x v="552"/>
    </i>
    <i t="default">
      <x v="1871"/>
    </i>
    <i>
      <x v="1872"/>
      <x v="552"/>
    </i>
    <i t="default">
      <x v="1872"/>
    </i>
    <i>
      <x v="1873"/>
      <x v="552"/>
    </i>
    <i t="default">
      <x v="1873"/>
    </i>
    <i>
      <x v="1874"/>
      <x v="552"/>
    </i>
    <i t="default">
      <x v="1874"/>
    </i>
    <i>
      <x v="1875"/>
      <x v="552"/>
    </i>
    <i t="default">
      <x v="1875"/>
    </i>
    <i>
      <x v="1876"/>
      <x v="552"/>
    </i>
    <i t="default">
      <x v="1876"/>
    </i>
    <i>
      <x v="1877"/>
      <x v="552"/>
    </i>
    <i t="default">
      <x v="1877"/>
    </i>
    <i>
      <x v="1878"/>
      <x v="552"/>
    </i>
    <i t="default">
      <x v="1878"/>
    </i>
    <i>
      <x v="1879"/>
      <x v="552"/>
    </i>
    <i t="default">
      <x v="1879"/>
    </i>
    <i>
      <x v="1880"/>
      <x v="552"/>
    </i>
    <i t="default">
      <x v="1880"/>
    </i>
    <i>
      <x v="1881"/>
      <x v="552"/>
    </i>
    <i t="default">
      <x v="1881"/>
    </i>
    <i>
      <x v="1882"/>
      <x v="552"/>
    </i>
    <i t="default">
      <x v="1882"/>
    </i>
    <i>
      <x v="1883"/>
      <x v="552"/>
    </i>
    <i t="default">
      <x v="1883"/>
    </i>
    <i>
      <x v="1884"/>
      <x v="552"/>
    </i>
    <i t="default">
      <x v="1884"/>
    </i>
    <i>
      <x v="1885"/>
      <x v="552"/>
    </i>
    <i t="default">
      <x v="1885"/>
    </i>
    <i>
      <x v="1886"/>
      <x v="552"/>
    </i>
    <i t="default">
      <x v="1886"/>
    </i>
    <i>
      <x v="1887"/>
      <x v="552"/>
    </i>
    <i t="default">
      <x v="1887"/>
    </i>
    <i>
      <x v="1888"/>
      <x v="552"/>
    </i>
    <i t="default">
      <x v="1888"/>
    </i>
    <i>
      <x v="1889"/>
      <x v="552"/>
    </i>
    <i t="default">
      <x v="1889"/>
    </i>
    <i>
      <x v="1890"/>
      <x v="552"/>
    </i>
    <i t="default">
      <x v="1890"/>
    </i>
    <i>
      <x v="1891"/>
      <x v="552"/>
    </i>
    <i t="default">
      <x v="1891"/>
    </i>
    <i>
      <x v="1892"/>
      <x v="552"/>
    </i>
    <i t="default">
      <x v="1892"/>
    </i>
    <i>
      <x v="1893"/>
      <x v="552"/>
    </i>
    <i t="default">
      <x v="1893"/>
    </i>
    <i>
      <x v="1894"/>
      <x v="552"/>
    </i>
    <i t="default">
      <x v="1894"/>
    </i>
    <i>
      <x v="1895"/>
      <x v="552"/>
    </i>
    <i t="default">
      <x v="1895"/>
    </i>
    <i>
      <x v="1896"/>
      <x v="552"/>
    </i>
    <i t="default">
      <x v="1896"/>
    </i>
    <i>
      <x v="1897"/>
      <x v="552"/>
    </i>
    <i t="default">
      <x v="1897"/>
    </i>
    <i>
      <x v="1898"/>
      <x v="552"/>
    </i>
    <i t="default">
      <x v="1898"/>
    </i>
    <i>
      <x v="1899"/>
      <x v="552"/>
    </i>
    <i t="default">
      <x v="1899"/>
    </i>
    <i>
      <x v="1900"/>
      <x v="552"/>
    </i>
    <i t="default">
      <x v="1900"/>
    </i>
    <i>
      <x v="1901"/>
      <x v="552"/>
    </i>
    <i t="default">
      <x v="1901"/>
    </i>
    <i>
      <x v="1902"/>
      <x v="552"/>
    </i>
    <i t="default">
      <x v="1902"/>
    </i>
    <i>
      <x v="1903"/>
      <x v="552"/>
    </i>
    <i t="default">
      <x v="1903"/>
    </i>
    <i>
      <x v="1904"/>
      <x v="552"/>
    </i>
    <i t="default">
      <x v="1904"/>
    </i>
    <i>
      <x v="1905"/>
      <x v="552"/>
    </i>
    <i t="default">
      <x v="1905"/>
    </i>
    <i>
      <x v="1906"/>
      <x v="552"/>
    </i>
    <i t="default">
      <x v="1906"/>
    </i>
    <i>
      <x v="1907"/>
      <x v="552"/>
    </i>
    <i t="default">
      <x v="1907"/>
    </i>
    <i>
      <x v="1908"/>
      <x v="552"/>
    </i>
    <i t="default">
      <x v="1908"/>
    </i>
    <i>
      <x v="1909"/>
      <x v="552"/>
    </i>
    <i t="default">
      <x v="1909"/>
    </i>
    <i>
      <x v="1910"/>
      <x v="552"/>
    </i>
    <i t="default">
      <x v="1910"/>
    </i>
    <i>
      <x v="1911"/>
      <x v="552"/>
    </i>
    <i t="default">
      <x v="1911"/>
    </i>
    <i>
      <x v="1912"/>
      <x v="552"/>
    </i>
    <i t="default">
      <x v="1912"/>
    </i>
    <i>
      <x v="1913"/>
      <x v="552"/>
    </i>
    <i t="default">
      <x v="1913"/>
    </i>
    <i>
      <x v="1914"/>
      <x v="552"/>
    </i>
    <i t="default">
      <x v="1914"/>
    </i>
    <i>
      <x v="1915"/>
      <x v="552"/>
    </i>
    <i t="default">
      <x v="1915"/>
    </i>
    <i>
      <x v="1916"/>
      <x v="552"/>
    </i>
    <i t="default">
      <x v="1916"/>
    </i>
    <i>
      <x v="1917"/>
      <x v="552"/>
    </i>
    <i t="default">
      <x v="1917"/>
    </i>
    <i>
      <x v="1918"/>
      <x v="552"/>
    </i>
    <i t="default">
      <x v="1918"/>
    </i>
    <i>
      <x v="1919"/>
      <x v="552"/>
    </i>
    <i t="default">
      <x v="1919"/>
    </i>
    <i>
      <x v="1920"/>
      <x v="552"/>
    </i>
    <i t="default">
      <x v="1920"/>
    </i>
    <i>
      <x v="1921"/>
      <x v="552"/>
    </i>
    <i t="default">
      <x v="1921"/>
    </i>
    <i>
      <x v="1922"/>
      <x v="552"/>
    </i>
    <i t="default">
      <x v="1922"/>
    </i>
    <i>
      <x v="1923"/>
      <x v="552"/>
    </i>
    <i t="default">
      <x v="1923"/>
    </i>
    <i>
      <x v="1924"/>
      <x v="552"/>
    </i>
    <i t="default">
      <x v="1924"/>
    </i>
    <i>
      <x v="1925"/>
      <x v="552"/>
    </i>
    <i t="default">
      <x v="1925"/>
    </i>
    <i>
      <x v="1926"/>
      <x v="552"/>
    </i>
    <i t="default">
      <x v="1926"/>
    </i>
    <i>
      <x v="1927"/>
      <x v="552"/>
    </i>
    <i t="default">
      <x v="1927"/>
    </i>
    <i>
      <x v="1928"/>
      <x v="552"/>
    </i>
    <i t="default">
      <x v="1928"/>
    </i>
    <i>
      <x v="1929"/>
      <x v="552"/>
    </i>
    <i t="default">
      <x v="1929"/>
    </i>
    <i>
      <x v="1930"/>
      <x v="552"/>
    </i>
    <i t="default">
      <x v="1930"/>
    </i>
    <i>
      <x v="1931"/>
      <x v="552"/>
    </i>
    <i t="default">
      <x v="1931"/>
    </i>
    <i>
      <x v="1932"/>
      <x v="552"/>
    </i>
    <i t="default">
      <x v="1932"/>
    </i>
    <i>
      <x v="1933"/>
      <x v="552"/>
    </i>
    <i t="default">
      <x v="1933"/>
    </i>
    <i>
      <x v="1934"/>
      <x v="552"/>
    </i>
    <i t="default">
      <x v="1934"/>
    </i>
    <i>
      <x v="1935"/>
      <x v="552"/>
    </i>
    <i t="default">
      <x v="1935"/>
    </i>
    <i>
      <x v="1936"/>
      <x v="22"/>
    </i>
    <i r="1">
      <x v="552"/>
    </i>
    <i t="default">
      <x v="1936"/>
    </i>
    <i>
      <x v="1937"/>
      <x v="552"/>
    </i>
    <i t="default">
      <x v="1937"/>
    </i>
    <i>
      <x v="1938"/>
      <x v="552"/>
    </i>
    <i t="default">
      <x v="1938"/>
    </i>
    <i>
      <x v="1939"/>
      <x v="552"/>
    </i>
    <i t="default">
      <x v="1939"/>
    </i>
    <i>
      <x v="1940"/>
      <x v="552"/>
    </i>
    <i t="default">
      <x v="1940"/>
    </i>
    <i>
      <x v="1941"/>
      <x v="552"/>
    </i>
    <i t="default">
      <x v="1941"/>
    </i>
    <i>
      <x v="1942"/>
      <x v="552"/>
    </i>
    <i t="default">
      <x v="1942"/>
    </i>
    <i>
      <x v="1943"/>
      <x v="552"/>
    </i>
    <i t="default">
      <x v="1943"/>
    </i>
    <i>
      <x v="1944"/>
      <x v="552"/>
    </i>
    <i t="default">
      <x v="1944"/>
    </i>
    <i>
      <x v="1945"/>
      <x v="552"/>
    </i>
    <i t="default">
      <x v="1945"/>
    </i>
    <i>
      <x v="1946"/>
      <x v="552"/>
    </i>
    <i t="default">
      <x v="1946"/>
    </i>
    <i>
      <x v="1947"/>
      <x v="552"/>
    </i>
    <i t="default">
      <x v="1947"/>
    </i>
    <i>
      <x v="1948"/>
      <x v="552"/>
    </i>
    <i t="default">
      <x v="1948"/>
    </i>
    <i>
      <x v="1949"/>
      <x v="552"/>
    </i>
    <i t="default">
      <x v="1949"/>
    </i>
    <i>
      <x v="1950"/>
      <x v="552"/>
    </i>
    <i t="default">
      <x v="1950"/>
    </i>
    <i>
      <x v="1951"/>
      <x v="552"/>
    </i>
    <i t="default">
      <x v="1951"/>
    </i>
    <i>
      <x v="1952"/>
      <x v="552"/>
    </i>
    <i t="default">
      <x v="1952"/>
    </i>
    <i>
      <x v="1953"/>
      <x v="552"/>
    </i>
    <i t="default">
      <x v="1953"/>
    </i>
    <i>
      <x v="1954"/>
      <x v="552"/>
    </i>
    <i t="default">
      <x v="1954"/>
    </i>
    <i>
      <x v="1955"/>
      <x v="552"/>
    </i>
    <i t="default">
      <x v="1955"/>
    </i>
    <i>
      <x v="1956"/>
      <x v="552"/>
    </i>
    <i t="default">
      <x v="1956"/>
    </i>
    <i>
      <x v="1957"/>
      <x v="552"/>
    </i>
    <i t="default">
      <x v="1957"/>
    </i>
    <i>
      <x v="1958"/>
      <x v="552"/>
    </i>
    <i t="default">
      <x v="1958"/>
    </i>
    <i>
      <x v="1959"/>
      <x v="552"/>
    </i>
    <i t="default">
      <x v="1959"/>
    </i>
    <i>
      <x v="1960"/>
      <x v="552"/>
    </i>
    <i t="default">
      <x v="1960"/>
    </i>
    <i>
      <x v="1961"/>
      <x v="552"/>
    </i>
    <i t="default">
      <x v="1961"/>
    </i>
    <i>
      <x v="1962"/>
      <x v="552"/>
    </i>
    <i t="default">
      <x v="1962"/>
    </i>
    <i>
      <x v="1963"/>
      <x v="552"/>
    </i>
    <i t="default">
      <x v="1963"/>
    </i>
    <i>
      <x v="1964"/>
      <x v="552"/>
    </i>
    <i t="default">
      <x v="1964"/>
    </i>
    <i>
      <x v="1965"/>
      <x v="552"/>
    </i>
    <i t="default">
      <x v="1965"/>
    </i>
    <i>
      <x v="1966"/>
      <x v="552"/>
    </i>
    <i t="default">
      <x v="1966"/>
    </i>
    <i>
      <x v="1967"/>
      <x v="552"/>
    </i>
    <i t="default">
      <x v="1967"/>
    </i>
    <i>
      <x v="1968"/>
      <x v="552"/>
    </i>
    <i t="default">
      <x v="1968"/>
    </i>
    <i>
      <x v="1969"/>
      <x v="552"/>
    </i>
    <i t="default">
      <x v="1969"/>
    </i>
    <i>
      <x v="1970"/>
      <x v="552"/>
    </i>
    <i t="default">
      <x v="1970"/>
    </i>
    <i>
      <x v="1971"/>
      <x v="552"/>
    </i>
    <i t="default">
      <x v="1971"/>
    </i>
    <i>
      <x v="1972"/>
      <x v="329"/>
    </i>
    <i t="default">
      <x v="1972"/>
    </i>
    <i>
      <x v="1973"/>
      <x v="552"/>
    </i>
    <i t="default">
      <x v="1973"/>
    </i>
    <i>
      <x v="1974"/>
      <x v="552"/>
    </i>
    <i t="default">
      <x v="1974"/>
    </i>
    <i>
      <x v="1975"/>
      <x v="552"/>
    </i>
    <i t="default">
      <x v="1975"/>
    </i>
    <i>
      <x v="1976"/>
      <x v="552"/>
    </i>
    <i t="default">
      <x v="1976"/>
    </i>
    <i>
      <x v="1977"/>
      <x v="552"/>
    </i>
    <i t="default">
      <x v="1977"/>
    </i>
    <i>
      <x v="1978"/>
      <x v="552"/>
    </i>
    <i t="default">
      <x v="1978"/>
    </i>
    <i>
      <x v="1979"/>
      <x v="552"/>
    </i>
    <i t="default">
      <x v="1979"/>
    </i>
    <i>
      <x v="1980"/>
      <x v="552"/>
    </i>
    <i t="default">
      <x v="1980"/>
    </i>
    <i>
      <x v="1981"/>
      <x v="552"/>
    </i>
    <i t="default">
      <x v="1981"/>
    </i>
    <i>
      <x v="1982"/>
      <x v="552"/>
    </i>
    <i t="default">
      <x v="1982"/>
    </i>
    <i>
      <x v="1983"/>
      <x v="552"/>
    </i>
    <i t="default">
      <x v="1983"/>
    </i>
    <i>
      <x v="1984"/>
      <x v="552"/>
    </i>
    <i t="default">
      <x v="1984"/>
    </i>
    <i>
      <x v="1985"/>
      <x v="552"/>
    </i>
    <i t="default">
      <x v="1985"/>
    </i>
    <i>
      <x v="1986"/>
      <x v="552"/>
    </i>
    <i t="default">
      <x v="1986"/>
    </i>
    <i>
      <x v="1987"/>
      <x v="552"/>
    </i>
    <i t="default">
      <x v="1987"/>
    </i>
    <i>
      <x v="1988"/>
      <x v="552"/>
    </i>
    <i t="default">
      <x v="1988"/>
    </i>
    <i>
      <x v="1989"/>
      <x v="552"/>
    </i>
    <i t="default">
      <x v="1989"/>
    </i>
    <i>
      <x v="1990"/>
      <x v="552"/>
    </i>
    <i t="default">
      <x v="1990"/>
    </i>
    <i>
      <x v="1991"/>
      <x v="552"/>
    </i>
    <i t="default">
      <x v="1991"/>
    </i>
    <i>
      <x v="1992"/>
      <x v="552"/>
    </i>
    <i t="default">
      <x v="1992"/>
    </i>
    <i>
      <x v="1993"/>
      <x v="552"/>
    </i>
    <i t="default">
      <x v="1993"/>
    </i>
    <i>
      <x v="1994"/>
      <x v="552"/>
    </i>
    <i t="default">
      <x v="1994"/>
    </i>
    <i>
      <x v="1995"/>
      <x v="552"/>
    </i>
    <i t="default">
      <x v="1995"/>
    </i>
    <i>
      <x v="1996"/>
      <x v="552"/>
    </i>
    <i t="default">
      <x v="1996"/>
    </i>
    <i>
      <x v="1997"/>
      <x v="552"/>
    </i>
    <i t="default">
      <x v="1997"/>
    </i>
    <i>
      <x v="1998"/>
      <x v="552"/>
    </i>
    <i t="default">
      <x v="1998"/>
    </i>
    <i>
      <x v="1999"/>
      <x v="552"/>
    </i>
    <i t="default">
      <x v="1999"/>
    </i>
    <i>
      <x v="2000"/>
      <x v="552"/>
    </i>
    <i t="default">
      <x v="2000"/>
    </i>
    <i>
      <x v="2001"/>
      <x v="456"/>
    </i>
    <i r="1">
      <x v="552"/>
    </i>
    <i t="default">
      <x v="2001"/>
    </i>
    <i>
      <x v="2002"/>
      <x v="552"/>
    </i>
    <i t="default">
      <x v="2002"/>
    </i>
    <i>
      <x v="2003"/>
      <x v="390"/>
    </i>
    <i r="1">
      <x v="552"/>
    </i>
    <i t="default">
      <x v="2003"/>
    </i>
    <i>
      <x v="2004"/>
      <x v="552"/>
    </i>
    <i t="default">
      <x v="2004"/>
    </i>
    <i>
      <x v="2005"/>
      <x v="410"/>
    </i>
    <i r="1">
      <x v="552"/>
    </i>
    <i t="default">
      <x v="2005"/>
    </i>
    <i>
      <x v="2006"/>
      <x v="503"/>
    </i>
    <i r="1">
      <x v="552"/>
    </i>
    <i t="default">
      <x v="2006"/>
    </i>
    <i>
      <x v="2007"/>
      <x v="552"/>
    </i>
    <i t="default">
      <x v="2007"/>
    </i>
    <i>
      <x v="2008"/>
      <x v="552"/>
    </i>
    <i t="default">
      <x v="2008"/>
    </i>
    <i>
      <x v="2009"/>
      <x v="552"/>
    </i>
    <i t="default">
      <x v="2009"/>
    </i>
    <i>
      <x v="2010"/>
      <x v="513"/>
    </i>
    <i r="1">
      <x v="552"/>
    </i>
    <i t="default">
      <x v="2010"/>
    </i>
    <i>
      <x v="2011"/>
      <x v="552"/>
    </i>
    <i t="default">
      <x v="2011"/>
    </i>
    <i>
      <x v="2012"/>
      <x v="552"/>
    </i>
    <i t="default">
      <x v="2012"/>
    </i>
    <i>
      <x v="2013"/>
      <x v="177"/>
    </i>
    <i r="1">
      <x v="552"/>
    </i>
    <i t="default">
      <x v="2013"/>
    </i>
    <i>
      <x v="2014"/>
      <x v="552"/>
    </i>
    <i t="default">
      <x v="2014"/>
    </i>
    <i>
      <x v="2015"/>
      <x v="552"/>
    </i>
    <i t="default">
      <x v="2015"/>
    </i>
    <i>
      <x v="2016"/>
      <x v="552"/>
    </i>
    <i t="default">
      <x v="2016"/>
    </i>
    <i>
      <x v="2017"/>
      <x v="552"/>
    </i>
    <i t="default">
      <x v="2017"/>
    </i>
    <i>
      <x v="2018"/>
      <x v="552"/>
    </i>
    <i t="default">
      <x v="2018"/>
    </i>
    <i>
      <x v="2019"/>
      <x v="552"/>
    </i>
    <i t="default">
      <x v="2019"/>
    </i>
    <i>
      <x v="2020"/>
      <x v="522"/>
    </i>
    <i r="1">
      <x v="552"/>
    </i>
    <i t="default">
      <x v="2020"/>
    </i>
    <i>
      <x v="2021"/>
      <x v="552"/>
    </i>
    <i t="default">
      <x v="2021"/>
    </i>
    <i>
      <x v="2022"/>
      <x v="552"/>
    </i>
    <i t="default">
      <x v="2022"/>
    </i>
    <i>
      <x v="2023"/>
      <x v="552"/>
    </i>
    <i t="default">
      <x v="2023"/>
    </i>
    <i>
      <x v="2024"/>
      <x v="552"/>
    </i>
    <i t="default">
      <x v="2024"/>
    </i>
    <i>
      <x v="2025"/>
      <x v="552"/>
    </i>
    <i t="default">
      <x v="2025"/>
    </i>
    <i>
      <x v="2026"/>
      <x v="552"/>
    </i>
    <i t="default">
      <x v="2026"/>
    </i>
    <i>
      <x v="2027"/>
      <x v="552"/>
    </i>
    <i t="default">
      <x v="2027"/>
    </i>
    <i>
      <x v="2028"/>
      <x v="552"/>
    </i>
    <i t="default">
      <x v="2028"/>
    </i>
    <i>
      <x v="2029"/>
      <x v="552"/>
    </i>
    <i t="default">
      <x v="2029"/>
    </i>
    <i>
      <x v="2030"/>
      <x v="552"/>
    </i>
    <i t="default">
      <x v="2030"/>
    </i>
    <i>
      <x v="2031"/>
      <x v="552"/>
    </i>
    <i t="default">
      <x v="2031"/>
    </i>
    <i>
      <x v="2032"/>
      <x v="552"/>
    </i>
    <i t="default">
      <x v="2032"/>
    </i>
    <i>
      <x v="2033"/>
      <x v="552"/>
    </i>
    <i t="default">
      <x v="2033"/>
    </i>
    <i>
      <x v="2034"/>
      <x v="552"/>
    </i>
    <i t="default">
      <x v="2034"/>
    </i>
    <i>
      <x v="2035"/>
      <x v="552"/>
    </i>
    <i t="default">
      <x v="2035"/>
    </i>
    <i>
      <x v="2036"/>
      <x v="552"/>
    </i>
    <i t="default">
      <x v="2036"/>
    </i>
    <i>
      <x v="2037"/>
      <x v="552"/>
    </i>
    <i t="default">
      <x v="2037"/>
    </i>
    <i>
      <x v="2038"/>
      <x v="552"/>
    </i>
    <i t="default">
      <x v="2038"/>
    </i>
    <i>
      <x v="2039"/>
      <x v="552"/>
    </i>
    <i t="default">
      <x v="2039"/>
    </i>
    <i>
      <x v="2040"/>
      <x v="422"/>
    </i>
    <i r="1">
      <x v="552"/>
    </i>
    <i t="default">
      <x v="2040"/>
    </i>
    <i>
      <x v="2041"/>
      <x v="355"/>
    </i>
    <i r="1">
      <x v="394"/>
    </i>
    <i t="default">
      <x v="2041"/>
    </i>
    <i>
      <x v="2042"/>
      <x v="552"/>
    </i>
    <i t="default">
      <x v="2042"/>
    </i>
    <i>
      <x v="2043"/>
      <x v="552"/>
    </i>
    <i t="default">
      <x v="2043"/>
    </i>
    <i>
      <x v="2044"/>
      <x v="552"/>
    </i>
    <i t="default">
      <x v="2044"/>
    </i>
    <i>
      <x v="2045"/>
      <x v="552"/>
    </i>
    <i t="default">
      <x v="2045"/>
    </i>
    <i>
      <x v="2046"/>
      <x v="552"/>
    </i>
    <i t="default">
      <x v="2046"/>
    </i>
    <i>
      <x v="2047"/>
      <x v="552"/>
    </i>
    <i t="default">
      <x v="2047"/>
    </i>
    <i>
      <x v="2048"/>
      <x v="552"/>
    </i>
    <i t="default">
      <x v="2048"/>
    </i>
    <i>
      <x v="2049"/>
      <x v="552"/>
    </i>
    <i t="default">
      <x v="2049"/>
    </i>
    <i>
      <x v="2050"/>
      <x v="161"/>
    </i>
    <i r="1">
      <x v="552"/>
    </i>
    <i t="default">
      <x v="2050"/>
    </i>
    <i>
      <x v="2051"/>
      <x v="242"/>
    </i>
    <i r="1">
      <x v="552"/>
    </i>
    <i t="default">
      <x v="2051"/>
    </i>
    <i>
      <x v="2052"/>
      <x v="552"/>
    </i>
    <i t="default">
      <x v="2052"/>
    </i>
    <i>
      <x v="2053"/>
      <x v="552"/>
    </i>
    <i t="default">
      <x v="2053"/>
    </i>
    <i>
      <x v="2054"/>
      <x v="552"/>
    </i>
    <i t="default">
      <x v="2054"/>
    </i>
    <i>
      <x v="2055"/>
      <x v="552"/>
    </i>
    <i t="default">
      <x v="2055"/>
    </i>
    <i>
      <x v="2056"/>
      <x v="552"/>
    </i>
    <i t="default">
      <x v="2056"/>
    </i>
    <i>
      <x v="2057"/>
      <x v="213"/>
    </i>
    <i r="1">
      <x v="493"/>
    </i>
    <i r="1">
      <x v="552"/>
    </i>
    <i t="default">
      <x v="2057"/>
    </i>
    <i>
      <x v="2058"/>
      <x v="552"/>
    </i>
    <i t="default">
      <x v="2058"/>
    </i>
    <i>
      <x v="2059"/>
      <x v="284"/>
    </i>
    <i r="1">
      <x v="552"/>
    </i>
    <i t="default">
      <x v="2059"/>
    </i>
    <i>
      <x v="2060"/>
      <x v="254"/>
    </i>
    <i r="1">
      <x v="552"/>
    </i>
    <i t="default">
      <x v="2060"/>
    </i>
    <i>
      <x v="2061"/>
      <x v="552"/>
    </i>
    <i t="default">
      <x v="2061"/>
    </i>
    <i>
      <x v="2062"/>
      <x v="552"/>
    </i>
    <i t="default">
      <x v="2062"/>
    </i>
    <i>
      <x v="2063"/>
      <x v="552"/>
    </i>
    <i t="default">
      <x v="2063"/>
    </i>
    <i>
      <x v="2064"/>
      <x v="552"/>
    </i>
    <i t="default">
      <x v="2064"/>
    </i>
    <i>
      <x v="2065"/>
      <x v="552"/>
    </i>
    <i t="default">
      <x v="2065"/>
    </i>
    <i>
      <x v="2066"/>
      <x v="552"/>
    </i>
    <i t="default">
      <x v="2066"/>
    </i>
    <i>
      <x v="2067"/>
      <x v="552"/>
    </i>
    <i t="default">
      <x v="2067"/>
    </i>
    <i>
      <x v="2068"/>
      <x v="552"/>
    </i>
    <i t="default">
      <x v="2068"/>
    </i>
    <i>
      <x v="2069"/>
      <x v="552"/>
    </i>
    <i t="default">
      <x v="2069"/>
    </i>
    <i>
      <x v="2070"/>
      <x v="231"/>
    </i>
    <i r="1">
      <x v="552"/>
    </i>
    <i t="default">
      <x v="2070"/>
    </i>
    <i>
      <x v="2071"/>
      <x v="552"/>
    </i>
    <i t="default">
      <x v="2071"/>
    </i>
    <i>
      <x v="2072"/>
      <x v="552"/>
    </i>
    <i t="default">
      <x v="2072"/>
    </i>
    <i>
      <x v="2073"/>
      <x v="552"/>
    </i>
    <i t="default">
      <x v="2073"/>
    </i>
    <i>
      <x v="2074"/>
      <x v="552"/>
    </i>
    <i t="default">
      <x v="2074"/>
    </i>
    <i>
      <x v="2075"/>
      <x v="552"/>
    </i>
    <i t="default">
      <x v="2075"/>
    </i>
    <i>
      <x v="2076"/>
      <x v="552"/>
    </i>
    <i t="default">
      <x v="2076"/>
    </i>
    <i>
      <x v="2077"/>
      <x v="552"/>
    </i>
    <i t="default">
      <x v="2077"/>
    </i>
    <i>
      <x v="2078"/>
      <x v="162"/>
    </i>
    <i r="1">
      <x v="552"/>
    </i>
    <i t="default">
      <x v="2078"/>
    </i>
    <i>
      <x v="2079"/>
      <x v="552"/>
    </i>
    <i t="default">
      <x v="2079"/>
    </i>
    <i>
      <x v="2080"/>
      <x v="552"/>
    </i>
    <i t="default">
      <x v="2080"/>
    </i>
    <i>
      <x v="2081"/>
      <x v="552"/>
    </i>
    <i t="default">
      <x v="2081"/>
    </i>
    <i>
      <x v="2082"/>
      <x v="552"/>
    </i>
    <i t="default">
      <x v="2082"/>
    </i>
    <i>
      <x v="2083"/>
      <x v="552"/>
    </i>
    <i t="default">
      <x v="2083"/>
    </i>
    <i>
      <x v="2084"/>
      <x v="552"/>
    </i>
    <i t="default">
      <x v="2084"/>
    </i>
    <i>
      <x v="2085"/>
      <x v="552"/>
    </i>
    <i t="default">
      <x v="2085"/>
    </i>
    <i>
      <x v="2086"/>
      <x v="552"/>
    </i>
    <i t="default">
      <x v="2086"/>
    </i>
    <i>
      <x v="2087"/>
      <x v="552"/>
    </i>
    <i t="default">
      <x v="2087"/>
    </i>
    <i>
      <x v="2088"/>
      <x v="552"/>
    </i>
    <i t="default">
      <x v="2088"/>
    </i>
    <i>
      <x v="2089"/>
      <x v="552"/>
    </i>
    <i t="default">
      <x v="2089"/>
    </i>
    <i>
      <x v="2090"/>
      <x v="552"/>
    </i>
    <i t="default">
      <x v="2090"/>
    </i>
    <i>
      <x v="2091"/>
      <x v="552"/>
    </i>
    <i t="default">
      <x v="2091"/>
    </i>
    <i>
      <x v="2092"/>
      <x v="552"/>
    </i>
    <i t="default">
      <x v="2092"/>
    </i>
    <i>
      <x v="2093"/>
      <x v="552"/>
    </i>
    <i t="default">
      <x v="2093"/>
    </i>
    <i>
      <x v="2094"/>
      <x v="552"/>
    </i>
    <i t="default">
      <x v="2094"/>
    </i>
    <i>
      <x v="2095"/>
      <x v="552"/>
    </i>
    <i t="default">
      <x v="2095"/>
    </i>
    <i>
      <x v="2096"/>
      <x v="552"/>
    </i>
    <i t="default">
      <x v="2096"/>
    </i>
    <i>
      <x v="2097"/>
      <x v="552"/>
    </i>
    <i t="default">
      <x v="2097"/>
    </i>
    <i>
      <x v="2098"/>
      <x v="552"/>
    </i>
    <i t="default">
      <x v="2098"/>
    </i>
    <i>
      <x v="2099"/>
      <x v="552"/>
    </i>
    <i t="default">
      <x v="2099"/>
    </i>
    <i>
      <x v="2100"/>
      <x v="552"/>
    </i>
    <i t="default">
      <x v="2100"/>
    </i>
    <i>
      <x v="2101"/>
      <x v="552"/>
    </i>
    <i t="default">
      <x v="2101"/>
    </i>
    <i>
      <x v="2102"/>
      <x v="552"/>
    </i>
    <i t="default">
      <x v="2102"/>
    </i>
    <i>
      <x v="2103"/>
      <x v="552"/>
    </i>
    <i t="default">
      <x v="2103"/>
    </i>
    <i>
      <x v="2104"/>
      <x v="319"/>
    </i>
    <i r="1">
      <x v="552"/>
    </i>
    <i t="default">
      <x v="2104"/>
    </i>
    <i>
      <x v="2105"/>
      <x v="552"/>
    </i>
    <i t="default">
      <x v="2105"/>
    </i>
    <i>
      <x v="2106"/>
      <x v="427"/>
    </i>
    <i r="1">
      <x v="552"/>
    </i>
    <i t="default">
      <x v="2106"/>
    </i>
    <i>
      <x v="2107"/>
      <x v="552"/>
    </i>
    <i t="default">
      <x v="2107"/>
    </i>
    <i>
      <x v="2108"/>
      <x v="552"/>
    </i>
    <i t="default">
      <x v="2108"/>
    </i>
    <i>
      <x v="2109"/>
      <x v="552"/>
    </i>
    <i t="default">
      <x v="2109"/>
    </i>
    <i>
      <x v="2110"/>
      <x v="552"/>
    </i>
    <i t="default">
      <x v="2110"/>
    </i>
    <i>
      <x v="2111"/>
      <x v="552"/>
    </i>
    <i t="default">
      <x v="2111"/>
    </i>
    <i>
      <x v="2112"/>
      <x v="552"/>
    </i>
    <i t="default">
      <x v="2112"/>
    </i>
    <i>
      <x v="2113"/>
      <x v="552"/>
    </i>
    <i t="default">
      <x v="2113"/>
    </i>
    <i>
      <x v="2114"/>
      <x v="547"/>
    </i>
    <i r="1">
      <x v="552"/>
    </i>
    <i t="default">
      <x v="2114"/>
    </i>
    <i>
      <x v="2115"/>
      <x v="169"/>
    </i>
    <i t="default">
      <x v="2115"/>
    </i>
    <i>
      <x v="2116"/>
      <x v="552"/>
    </i>
    <i t="default">
      <x v="2116"/>
    </i>
    <i>
      <x v="2117"/>
      <x v="552"/>
    </i>
    <i t="default">
      <x v="2117"/>
    </i>
    <i>
      <x v="2118"/>
      <x v="552"/>
    </i>
    <i t="default">
      <x v="2118"/>
    </i>
    <i>
      <x v="2119"/>
      <x v="552"/>
    </i>
    <i t="default">
      <x v="2119"/>
    </i>
    <i>
      <x v="2120"/>
      <x v="552"/>
    </i>
    <i t="default">
      <x v="2120"/>
    </i>
    <i>
      <x v="2121"/>
      <x v="552"/>
    </i>
    <i t="default">
      <x v="2121"/>
    </i>
    <i>
      <x v="2122"/>
      <x v="552"/>
    </i>
    <i t="default">
      <x v="2122"/>
    </i>
    <i>
      <x v="2123"/>
      <x v="552"/>
    </i>
    <i t="default">
      <x v="2123"/>
    </i>
    <i>
      <x v="2124"/>
      <x v="552"/>
    </i>
    <i t="default">
      <x v="2124"/>
    </i>
    <i>
      <x v="2125"/>
      <x v="552"/>
    </i>
    <i t="default">
      <x v="2125"/>
    </i>
    <i>
      <x v="2126"/>
      <x v="552"/>
    </i>
    <i t="default">
      <x v="2126"/>
    </i>
    <i>
      <x v="2127"/>
      <x v="552"/>
    </i>
    <i t="default">
      <x v="2127"/>
    </i>
    <i>
      <x v="2128"/>
      <x v="552"/>
    </i>
    <i t="default">
      <x v="2128"/>
    </i>
    <i>
      <x v="2129"/>
      <x v="552"/>
    </i>
    <i t="default">
      <x v="2129"/>
    </i>
    <i>
      <x v="2130"/>
      <x v="552"/>
    </i>
    <i t="default">
      <x v="2130"/>
    </i>
    <i>
      <x v="2131"/>
      <x v="552"/>
    </i>
    <i t="default">
      <x v="2131"/>
    </i>
    <i>
      <x v="2132"/>
      <x v="552"/>
    </i>
    <i t="default">
      <x v="2132"/>
    </i>
    <i>
      <x v="2133"/>
      <x v="552"/>
    </i>
    <i t="default">
      <x v="2133"/>
    </i>
    <i>
      <x v="2134"/>
      <x v="552"/>
    </i>
    <i t="default">
      <x v="2134"/>
    </i>
    <i>
      <x v="2135"/>
      <x v="552"/>
    </i>
    <i t="default">
      <x v="2135"/>
    </i>
    <i>
      <x v="2136"/>
      <x v="552"/>
    </i>
    <i t="default">
      <x v="2136"/>
    </i>
    <i>
      <x v="2137"/>
      <x v="552"/>
    </i>
    <i t="default">
      <x v="2137"/>
    </i>
    <i>
      <x v="2138"/>
      <x v="552"/>
    </i>
    <i t="default">
      <x v="2138"/>
    </i>
    <i>
      <x v="2139"/>
      <x v="552"/>
    </i>
    <i t="default">
      <x v="2139"/>
    </i>
    <i>
      <x v="2140"/>
      <x v="552"/>
    </i>
    <i t="default">
      <x v="2140"/>
    </i>
    <i>
      <x v="2141"/>
      <x v="552"/>
    </i>
    <i t="default">
      <x v="2141"/>
    </i>
    <i>
      <x v="2142"/>
      <x v="552"/>
    </i>
    <i t="default">
      <x v="2142"/>
    </i>
    <i>
      <x v="2143"/>
      <x v="552"/>
    </i>
    <i t="default">
      <x v="2143"/>
    </i>
    <i>
      <x v="2144"/>
      <x v="552"/>
    </i>
    <i t="default">
      <x v="2144"/>
    </i>
    <i>
      <x v="2145"/>
      <x v="552"/>
    </i>
    <i t="default">
      <x v="2145"/>
    </i>
    <i>
      <x v="2146"/>
      <x v="552"/>
    </i>
    <i t="default">
      <x v="2146"/>
    </i>
    <i>
      <x v="2147"/>
      <x v="552"/>
    </i>
    <i t="default">
      <x v="2147"/>
    </i>
    <i>
      <x v="2148"/>
      <x v="552"/>
    </i>
    <i t="default">
      <x v="2148"/>
    </i>
    <i>
      <x v="2149"/>
      <x v="552"/>
    </i>
    <i t="default">
      <x v="2149"/>
    </i>
    <i>
      <x v="2150"/>
      <x v="552"/>
    </i>
    <i t="default">
      <x v="2150"/>
    </i>
    <i>
      <x v="2151"/>
      <x v="552"/>
    </i>
    <i t="default">
      <x v="2151"/>
    </i>
    <i>
      <x v="2152"/>
      <x v="2"/>
    </i>
    <i r="1">
      <x v="552"/>
    </i>
    <i t="default">
      <x v="2152"/>
    </i>
    <i>
      <x v="2153"/>
      <x v="552"/>
    </i>
    <i t="default">
      <x v="2153"/>
    </i>
    <i>
      <x v="2154"/>
      <x v="552"/>
    </i>
    <i t="default">
      <x v="2154"/>
    </i>
    <i>
      <x v="2155"/>
      <x v="552"/>
    </i>
    <i t="default">
      <x v="2155"/>
    </i>
    <i>
      <x v="2156"/>
      <x v="552"/>
    </i>
    <i t="default">
      <x v="2156"/>
    </i>
    <i>
      <x v="2157"/>
      <x v="552"/>
    </i>
    <i t="default">
      <x v="2157"/>
    </i>
    <i>
      <x v="2158"/>
      <x v="552"/>
    </i>
    <i t="default">
      <x v="2158"/>
    </i>
    <i>
      <x v="2159"/>
      <x v="552"/>
    </i>
    <i t="default">
      <x v="2159"/>
    </i>
    <i>
      <x v="2160"/>
      <x v="552"/>
    </i>
    <i t="default">
      <x v="2160"/>
    </i>
    <i>
      <x v="2161"/>
      <x v="552"/>
    </i>
    <i t="default">
      <x v="2161"/>
    </i>
    <i>
      <x v="2162"/>
      <x v="552"/>
    </i>
    <i t="default">
      <x v="2162"/>
    </i>
    <i>
      <x v="2163"/>
      <x v="552"/>
    </i>
    <i t="default">
      <x v="2163"/>
    </i>
    <i>
      <x v="2164"/>
      <x v="552"/>
    </i>
    <i t="default">
      <x v="2164"/>
    </i>
    <i>
      <x v="2165"/>
      <x v="552"/>
    </i>
    <i t="default">
      <x v="2165"/>
    </i>
    <i>
      <x v="2166"/>
      <x v="552"/>
    </i>
    <i t="default">
      <x v="2166"/>
    </i>
    <i>
      <x v="2167"/>
      <x v="552"/>
    </i>
    <i t="default">
      <x v="2167"/>
    </i>
    <i>
      <x v="2168"/>
      <x v="552"/>
    </i>
    <i t="default">
      <x v="2168"/>
    </i>
    <i>
      <x v="2169"/>
      <x v="552"/>
    </i>
    <i t="default">
      <x v="2169"/>
    </i>
    <i>
      <x v="2170"/>
      <x v="552"/>
    </i>
    <i t="default">
      <x v="2170"/>
    </i>
    <i>
      <x v="2171"/>
      <x v="552"/>
    </i>
    <i t="default">
      <x v="2171"/>
    </i>
    <i>
      <x v="2172"/>
      <x v="552"/>
    </i>
    <i t="default">
      <x v="2172"/>
    </i>
    <i>
      <x v="2173"/>
      <x v="552"/>
    </i>
    <i t="default">
      <x v="2173"/>
    </i>
    <i>
      <x v="2174"/>
      <x v="552"/>
    </i>
    <i t="default">
      <x v="2174"/>
    </i>
    <i>
      <x v="2175"/>
      <x v="552"/>
    </i>
    <i t="default">
      <x v="2175"/>
    </i>
    <i>
      <x v="2176"/>
      <x v="552"/>
    </i>
    <i t="default">
      <x v="2176"/>
    </i>
    <i>
      <x v="2177"/>
      <x v="552"/>
    </i>
    <i t="default">
      <x v="2177"/>
    </i>
    <i>
      <x v="2178"/>
      <x v="552"/>
    </i>
    <i t="default">
      <x v="2178"/>
    </i>
    <i>
      <x v="2179"/>
      <x v="552"/>
    </i>
    <i t="default">
      <x v="2179"/>
    </i>
    <i>
      <x v="2180"/>
      <x v="552"/>
    </i>
    <i t="default">
      <x v="2180"/>
    </i>
    <i>
      <x v="2181"/>
      <x v="552"/>
    </i>
    <i t="default">
      <x v="2181"/>
    </i>
    <i>
      <x v="2182"/>
      <x v="552"/>
    </i>
    <i t="default">
      <x v="2182"/>
    </i>
    <i>
      <x v="2183"/>
      <x v="552"/>
    </i>
    <i t="default">
      <x v="2183"/>
    </i>
    <i>
      <x v="2184"/>
      <x v="552"/>
    </i>
    <i t="default">
      <x v="2184"/>
    </i>
    <i>
      <x v="2185"/>
      <x v="552"/>
    </i>
    <i t="default">
      <x v="2185"/>
    </i>
    <i>
      <x v="2186"/>
      <x v="552"/>
    </i>
    <i t="default">
      <x v="2186"/>
    </i>
    <i>
      <x v="2187"/>
      <x v="552"/>
    </i>
    <i t="default">
      <x v="2187"/>
    </i>
    <i>
      <x v="2188"/>
      <x v="552"/>
    </i>
    <i t="default">
      <x v="2188"/>
    </i>
    <i>
      <x v="2189"/>
      <x v="552"/>
    </i>
    <i t="default">
      <x v="2189"/>
    </i>
    <i>
      <x v="2190"/>
      <x v="552"/>
    </i>
    <i t="default">
      <x v="2190"/>
    </i>
    <i>
      <x v="2191"/>
      <x v="552"/>
    </i>
    <i t="default">
      <x v="2191"/>
    </i>
    <i>
      <x v="2192"/>
      <x v="552"/>
    </i>
    <i t="default">
      <x v="2192"/>
    </i>
    <i>
      <x v="2193"/>
      <x v="552"/>
    </i>
    <i t="default">
      <x v="2193"/>
    </i>
    <i>
      <x v="2194"/>
      <x v="248"/>
    </i>
    <i t="default">
      <x v="2194"/>
    </i>
    <i>
      <x v="2195"/>
      <x v="552"/>
    </i>
    <i t="default">
      <x v="2195"/>
    </i>
    <i>
      <x v="2196"/>
      <x v="552"/>
    </i>
    <i t="default">
      <x v="2196"/>
    </i>
    <i>
      <x v="2197"/>
      <x v="552"/>
    </i>
    <i t="default">
      <x v="2197"/>
    </i>
    <i>
      <x v="2198"/>
      <x v="552"/>
    </i>
    <i t="default">
      <x v="2198"/>
    </i>
    <i>
      <x v="2199"/>
      <x v="552"/>
    </i>
    <i t="default">
      <x v="2199"/>
    </i>
    <i>
      <x v="2200"/>
      <x v="552"/>
    </i>
    <i t="default">
      <x v="2200"/>
    </i>
    <i>
      <x v="2201"/>
      <x v="552"/>
    </i>
    <i t="default">
      <x v="2201"/>
    </i>
    <i>
      <x v="2202"/>
      <x v="552"/>
    </i>
    <i t="default">
      <x v="2202"/>
    </i>
    <i>
      <x v="2203"/>
      <x v="552"/>
    </i>
    <i t="default">
      <x v="2203"/>
    </i>
    <i>
      <x v="2204"/>
      <x v="552"/>
    </i>
    <i t="default">
      <x v="2204"/>
    </i>
    <i>
      <x v="2205"/>
      <x v="552"/>
    </i>
    <i t="default">
      <x v="2205"/>
    </i>
    <i>
      <x v="2206"/>
      <x v="552"/>
    </i>
    <i t="default">
      <x v="2206"/>
    </i>
    <i>
      <x v="2207"/>
      <x v="552"/>
    </i>
    <i t="default">
      <x v="2207"/>
    </i>
    <i>
      <x v="2208"/>
      <x v="552"/>
    </i>
    <i t="default">
      <x v="2208"/>
    </i>
    <i>
      <x v="2209"/>
      <x v="220"/>
    </i>
    <i t="default">
      <x v="2209"/>
    </i>
    <i>
      <x v="2210"/>
      <x v="552"/>
    </i>
    <i t="default">
      <x v="2210"/>
    </i>
    <i>
      <x v="2211"/>
      <x v="552"/>
    </i>
    <i t="default">
      <x v="2211"/>
    </i>
    <i>
      <x v="2212"/>
      <x v="552"/>
    </i>
    <i t="default">
      <x v="2212"/>
    </i>
    <i>
      <x v="2213"/>
      <x v="286"/>
    </i>
    <i r="1">
      <x v="552"/>
    </i>
    <i t="default">
      <x v="2213"/>
    </i>
    <i>
      <x v="2214"/>
      <x v="552"/>
    </i>
    <i t="default">
      <x v="2214"/>
    </i>
    <i>
      <x v="2215"/>
      <x v="552"/>
    </i>
    <i t="default">
      <x v="2215"/>
    </i>
    <i>
      <x v="2216"/>
      <x v="552"/>
    </i>
    <i t="default">
      <x v="2216"/>
    </i>
    <i>
      <x v="2217"/>
      <x v="552"/>
    </i>
    <i t="default">
      <x v="2217"/>
    </i>
    <i>
      <x v="2218"/>
      <x v="552"/>
    </i>
    <i t="default">
      <x v="2218"/>
    </i>
    <i>
      <x v="2219"/>
      <x v="552"/>
    </i>
    <i t="default">
      <x v="2219"/>
    </i>
    <i>
      <x v="2220"/>
      <x v="552"/>
    </i>
    <i t="default">
      <x v="2220"/>
    </i>
    <i>
      <x v="2221"/>
      <x v="552"/>
    </i>
    <i t="default">
      <x v="2221"/>
    </i>
    <i>
      <x v="2222"/>
      <x v="552"/>
    </i>
    <i t="default">
      <x v="2222"/>
    </i>
    <i>
      <x v="2223"/>
      <x v="552"/>
    </i>
    <i t="default">
      <x v="2223"/>
    </i>
    <i>
      <x v="2224"/>
      <x v="552"/>
    </i>
    <i t="default">
      <x v="2224"/>
    </i>
    <i>
      <x v="2225"/>
      <x v="552"/>
    </i>
    <i t="default">
      <x v="2225"/>
    </i>
    <i>
      <x v="2226"/>
      <x v="552"/>
    </i>
    <i t="default">
      <x v="2226"/>
    </i>
    <i>
      <x v="2227"/>
      <x v="268"/>
    </i>
    <i t="default">
      <x v="2227"/>
    </i>
    <i>
      <x v="2228"/>
      <x v="552"/>
    </i>
    <i t="default">
      <x v="2228"/>
    </i>
    <i>
      <x v="2229"/>
      <x v="552"/>
    </i>
    <i t="default">
      <x v="2229"/>
    </i>
    <i>
      <x v="2230"/>
      <x v="552"/>
    </i>
    <i t="default">
      <x v="2230"/>
    </i>
    <i>
      <x v="2231"/>
      <x v="552"/>
    </i>
    <i t="default">
      <x v="2231"/>
    </i>
    <i>
      <x v="2232"/>
      <x v="552"/>
    </i>
    <i t="default">
      <x v="2232"/>
    </i>
    <i>
      <x v="2233"/>
      <x v="165"/>
    </i>
    <i r="1">
      <x v="552"/>
    </i>
    <i t="default">
      <x v="2233"/>
    </i>
    <i>
      <x v="2234"/>
      <x v="552"/>
    </i>
    <i t="default">
      <x v="2234"/>
    </i>
    <i>
      <x v="2235"/>
      <x v="552"/>
    </i>
    <i t="default">
      <x v="2235"/>
    </i>
    <i>
      <x v="2236"/>
      <x v="552"/>
    </i>
    <i t="default">
      <x v="2236"/>
    </i>
    <i>
      <x v="2237"/>
      <x v="552"/>
    </i>
    <i t="default">
      <x v="2237"/>
    </i>
    <i>
      <x v="2238"/>
      <x v="552"/>
    </i>
    <i t="default">
      <x v="2238"/>
    </i>
    <i>
      <x v="2239"/>
      <x v="552"/>
    </i>
    <i t="default">
      <x v="2239"/>
    </i>
    <i>
      <x v="2240"/>
      <x v="552"/>
    </i>
    <i t="default">
      <x v="2240"/>
    </i>
    <i>
      <x v="2241"/>
      <x v="552"/>
    </i>
    <i t="default">
      <x v="2241"/>
    </i>
    <i>
      <x v="2242"/>
      <x v="552"/>
    </i>
    <i t="default">
      <x v="2242"/>
    </i>
    <i>
      <x v="2243"/>
      <x v="465"/>
    </i>
    <i r="1">
      <x v="552"/>
    </i>
    <i t="default">
      <x v="2243"/>
    </i>
    <i>
      <x v="2244"/>
      <x v="552"/>
    </i>
    <i t="default">
      <x v="2244"/>
    </i>
    <i>
      <x v="2245"/>
      <x v="552"/>
    </i>
    <i t="default">
      <x v="2245"/>
    </i>
    <i>
      <x v="2246"/>
      <x v="552"/>
    </i>
    <i t="default">
      <x v="2246"/>
    </i>
    <i>
      <x v="2247"/>
      <x v="552"/>
    </i>
    <i t="default">
      <x v="2247"/>
    </i>
    <i>
      <x v="2248"/>
      <x v="552"/>
    </i>
    <i t="default">
      <x v="2248"/>
    </i>
    <i>
      <x v="2249"/>
      <x v="552"/>
    </i>
    <i t="default">
      <x v="2249"/>
    </i>
    <i>
      <x v="2250"/>
      <x v="464"/>
    </i>
    <i r="1">
      <x v="552"/>
    </i>
    <i t="default">
      <x v="2250"/>
    </i>
    <i>
      <x v="2251"/>
      <x v="37"/>
    </i>
    <i r="1">
      <x v="552"/>
    </i>
    <i t="default">
      <x v="2251"/>
    </i>
    <i>
      <x v="2252"/>
      <x v="52"/>
    </i>
    <i r="1">
      <x v="552"/>
    </i>
    <i t="default">
      <x v="2252"/>
    </i>
    <i>
      <x v="2253"/>
      <x v="552"/>
    </i>
    <i t="default">
      <x v="2253"/>
    </i>
    <i>
      <x v="2254"/>
      <x v="552"/>
    </i>
    <i t="default">
      <x v="2254"/>
    </i>
    <i>
      <x v="2255"/>
      <x v="552"/>
    </i>
    <i t="default">
      <x v="2255"/>
    </i>
    <i>
      <x v="2256"/>
      <x v="552"/>
    </i>
    <i t="default">
      <x v="2256"/>
    </i>
    <i>
      <x v="2257"/>
      <x v="552"/>
    </i>
    <i t="default">
      <x v="2257"/>
    </i>
    <i>
      <x v="2258"/>
      <x v="552"/>
    </i>
    <i t="default">
      <x v="2258"/>
    </i>
    <i>
      <x v="2259"/>
      <x v="552"/>
    </i>
    <i t="default">
      <x v="2259"/>
    </i>
    <i>
      <x v="2260"/>
      <x v="552"/>
    </i>
    <i t="default">
      <x v="2260"/>
    </i>
    <i>
      <x v="2261"/>
      <x v="552"/>
    </i>
    <i t="default">
      <x v="2261"/>
    </i>
    <i>
      <x v="2262"/>
      <x v="552"/>
    </i>
    <i t="default">
      <x v="2262"/>
    </i>
    <i>
      <x v="2263"/>
      <x v="552"/>
    </i>
    <i t="default">
      <x v="2263"/>
    </i>
    <i>
      <x v="2264"/>
      <x v="552"/>
    </i>
    <i t="default">
      <x v="2264"/>
    </i>
    <i>
      <x v="2265"/>
      <x v="552"/>
    </i>
    <i t="default">
      <x v="2265"/>
    </i>
    <i>
      <x v="2266"/>
      <x v="552"/>
    </i>
    <i t="default">
      <x v="2266"/>
    </i>
    <i>
      <x v="2267"/>
      <x v="552"/>
    </i>
    <i t="default">
      <x v="2267"/>
    </i>
    <i>
      <x v="2268"/>
      <x v="552"/>
    </i>
    <i t="default">
      <x v="2268"/>
    </i>
    <i>
      <x v="2269"/>
      <x v="552"/>
    </i>
    <i t="default">
      <x v="2269"/>
    </i>
    <i>
      <x v="2270"/>
      <x v="552"/>
    </i>
    <i t="default">
      <x v="2270"/>
    </i>
    <i>
      <x v="2271"/>
      <x v="552"/>
    </i>
    <i t="default">
      <x v="2271"/>
    </i>
    <i>
      <x v="2272"/>
      <x v="552"/>
    </i>
    <i t="default">
      <x v="2272"/>
    </i>
    <i>
      <x v="2273"/>
      <x v="171"/>
    </i>
    <i t="default">
      <x v="2273"/>
    </i>
    <i>
      <x v="2274"/>
      <x v="552"/>
    </i>
    <i t="default">
      <x v="2274"/>
    </i>
    <i>
      <x v="2275"/>
      <x v="552"/>
    </i>
    <i t="default">
      <x v="2275"/>
    </i>
    <i>
      <x v="2276"/>
      <x v="552"/>
    </i>
    <i t="default">
      <x v="2276"/>
    </i>
    <i>
      <x v="2277"/>
      <x v="552"/>
    </i>
    <i t="default">
      <x v="2277"/>
    </i>
    <i>
      <x v="2278"/>
      <x v="552"/>
    </i>
    <i t="default">
      <x v="2278"/>
    </i>
    <i>
      <x v="2279"/>
      <x v="552"/>
    </i>
    <i t="default">
      <x v="2279"/>
    </i>
    <i>
      <x v="2280"/>
      <x v="552"/>
    </i>
    <i t="default">
      <x v="2280"/>
    </i>
    <i>
      <x v="2281"/>
      <x v="552"/>
    </i>
    <i t="default">
      <x v="2281"/>
    </i>
    <i>
      <x v="2282"/>
      <x v="552"/>
    </i>
    <i t="default">
      <x v="2282"/>
    </i>
    <i>
      <x v="2283"/>
      <x v="552"/>
    </i>
    <i t="default">
      <x v="2283"/>
    </i>
    <i>
      <x v="2284"/>
      <x v="552"/>
    </i>
    <i t="default">
      <x v="2284"/>
    </i>
    <i>
      <x v="2285"/>
      <x v="552"/>
    </i>
    <i t="default">
      <x v="2285"/>
    </i>
    <i>
      <x v="2286"/>
      <x v="552"/>
    </i>
    <i t="default">
      <x v="2286"/>
    </i>
    <i>
      <x v="2287"/>
      <x v="552"/>
    </i>
    <i t="default">
      <x v="2287"/>
    </i>
    <i>
      <x v="2288"/>
      <x v="552"/>
    </i>
    <i t="default">
      <x v="2288"/>
    </i>
    <i>
      <x v="2289"/>
      <x v="552"/>
    </i>
    <i t="default">
      <x v="2289"/>
    </i>
    <i>
      <x v="2290"/>
      <x v="552"/>
    </i>
    <i t="default">
      <x v="2290"/>
    </i>
    <i>
      <x v="2291"/>
      <x v="552"/>
    </i>
    <i t="default">
      <x v="2291"/>
    </i>
    <i>
      <x v="2292"/>
      <x v="552"/>
    </i>
    <i t="default">
      <x v="2292"/>
    </i>
    <i>
      <x v="2293"/>
      <x v="552"/>
    </i>
    <i t="default">
      <x v="2293"/>
    </i>
    <i>
      <x v="2294"/>
      <x v="552"/>
    </i>
    <i t="default">
      <x v="2294"/>
    </i>
    <i>
      <x v="2295"/>
      <x v="552"/>
    </i>
    <i t="default">
      <x v="2295"/>
    </i>
    <i>
      <x v="2296"/>
      <x v="552"/>
    </i>
    <i t="default">
      <x v="2296"/>
    </i>
    <i>
      <x v="2297"/>
      <x v="552"/>
    </i>
    <i t="default">
      <x v="2297"/>
    </i>
    <i>
      <x v="2298"/>
      <x v="552"/>
    </i>
    <i t="default">
      <x v="2298"/>
    </i>
    <i>
      <x v="2299"/>
      <x v="552"/>
    </i>
    <i t="default">
      <x v="2299"/>
    </i>
    <i>
      <x v="2300"/>
      <x v="552"/>
    </i>
    <i t="default">
      <x v="2300"/>
    </i>
    <i>
      <x v="2301"/>
      <x v="552"/>
    </i>
    <i t="default">
      <x v="2301"/>
    </i>
    <i>
      <x v="2302"/>
      <x v="552"/>
    </i>
    <i t="default">
      <x v="2302"/>
    </i>
    <i>
      <x v="2303"/>
      <x v="552"/>
    </i>
    <i t="default">
      <x v="2303"/>
    </i>
    <i>
      <x v="2304"/>
      <x v="552"/>
    </i>
    <i t="default">
      <x v="2304"/>
    </i>
    <i>
      <x v="2305"/>
      <x v="552"/>
    </i>
    <i t="default">
      <x v="2305"/>
    </i>
    <i>
      <x v="2306"/>
      <x v="552"/>
    </i>
    <i t="default">
      <x v="2306"/>
    </i>
    <i>
      <x v="2307"/>
      <x v="552"/>
    </i>
    <i t="default">
      <x v="2307"/>
    </i>
    <i>
      <x v="2308"/>
      <x v="552"/>
    </i>
    <i t="default">
      <x v="2308"/>
    </i>
    <i>
      <x v="2309"/>
      <x v="552"/>
    </i>
    <i t="default">
      <x v="2309"/>
    </i>
    <i>
      <x v="2310"/>
      <x v="552"/>
    </i>
    <i t="default">
      <x v="2310"/>
    </i>
    <i>
      <x v="2311"/>
      <x v="552"/>
    </i>
    <i t="default">
      <x v="2311"/>
    </i>
    <i>
      <x v="2312"/>
      <x v="552"/>
    </i>
    <i t="default">
      <x v="2312"/>
    </i>
    <i>
      <x v="2313"/>
      <x v="552"/>
    </i>
    <i t="default">
      <x v="2313"/>
    </i>
    <i>
      <x v="2314"/>
      <x v="552"/>
    </i>
    <i t="default">
      <x v="2314"/>
    </i>
    <i>
      <x v="2315"/>
      <x v="552"/>
    </i>
    <i t="default">
      <x v="2315"/>
    </i>
    <i>
      <x v="2316"/>
      <x v="552"/>
    </i>
    <i t="default">
      <x v="2316"/>
    </i>
    <i>
      <x v="2317"/>
      <x v="552"/>
    </i>
    <i t="default">
      <x v="2317"/>
    </i>
    <i>
      <x v="2318"/>
      <x v="552"/>
    </i>
    <i t="default">
      <x v="2318"/>
    </i>
    <i>
      <x v="2319"/>
      <x v="552"/>
    </i>
    <i t="default">
      <x v="2319"/>
    </i>
    <i>
      <x v="2320"/>
      <x v="552"/>
    </i>
    <i t="default">
      <x v="2320"/>
    </i>
    <i>
      <x v="2321"/>
      <x v="552"/>
    </i>
    <i t="default">
      <x v="2321"/>
    </i>
    <i>
      <x v="2322"/>
      <x v="552"/>
    </i>
    <i t="default">
      <x v="2322"/>
    </i>
    <i>
      <x v="2323"/>
      <x v="552"/>
    </i>
    <i t="default">
      <x v="2323"/>
    </i>
    <i>
      <x v="2324"/>
      <x v="552"/>
    </i>
    <i t="default">
      <x v="2324"/>
    </i>
    <i>
      <x v="2325"/>
      <x v="552"/>
    </i>
    <i t="default">
      <x v="2325"/>
    </i>
    <i>
      <x v="2326"/>
      <x v="552"/>
    </i>
    <i t="default">
      <x v="2326"/>
    </i>
    <i>
      <x v="2327"/>
      <x v="552"/>
    </i>
    <i t="default">
      <x v="2327"/>
    </i>
    <i>
      <x v="2328"/>
      <x v="552"/>
    </i>
    <i t="default">
      <x v="2328"/>
    </i>
    <i>
      <x v="2329"/>
      <x v="552"/>
    </i>
    <i t="default">
      <x v="2329"/>
    </i>
    <i>
      <x v="2330"/>
      <x v="552"/>
    </i>
    <i t="default">
      <x v="2330"/>
    </i>
    <i>
      <x v="2331"/>
      <x v="552"/>
    </i>
    <i t="default">
      <x v="2331"/>
    </i>
    <i>
      <x v="2332"/>
      <x v="552"/>
    </i>
    <i t="default">
      <x v="2332"/>
    </i>
    <i>
      <x v="2333"/>
      <x v="552"/>
    </i>
    <i t="default">
      <x v="2333"/>
    </i>
    <i>
      <x v="2334"/>
      <x v="552"/>
    </i>
    <i t="default">
      <x v="2334"/>
    </i>
    <i>
      <x v="2335"/>
      <x v="552"/>
    </i>
    <i t="default">
      <x v="2335"/>
    </i>
    <i>
      <x v="2336"/>
      <x v="552"/>
    </i>
    <i t="default">
      <x v="2336"/>
    </i>
    <i>
      <x v="2337"/>
      <x v="552"/>
    </i>
    <i t="default">
      <x v="2337"/>
    </i>
    <i>
      <x v="2338"/>
      <x v="552"/>
    </i>
    <i t="default">
      <x v="2338"/>
    </i>
    <i>
      <x v="2339"/>
      <x v="552"/>
    </i>
    <i t="default">
      <x v="2339"/>
    </i>
    <i>
      <x v="2340"/>
      <x v="552"/>
    </i>
    <i t="default">
      <x v="2340"/>
    </i>
    <i>
      <x v="2341"/>
      <x v="552"/>
    </i>
    <i t="default">
      <x v="2341"/>
    </i>
    <i>
      <x v="2342"/>
      <x v="552"/>
    </i>
    <i t="default">
      <x v="2342"/>
    </i>
    <i>
      <x v="2343"/>
      <x v="552"/>
    </i>
    <i t="default">
      <x v="2343"/>
    </i>
    <i>
      <x v="2344"/>
      <x v="552"/>
    </i>
    <i t="default">
      <x v="2344"/>
    </i>
    <i>
      <x v="2345"/>
      <x v="552"/>
    </i>
    <i t="default">
      <x v="2345"/>
    </i>
    <i>
      <x v="2346"/>
      <x v="552"/>
    </i>
    <i t="default">
      <x v="2346"/>
    </i>
    <i>
      <x v="2347"/>
      <x v="552"/>
    </i>
    <i t="default">
      <x v="2347"/>
    </i>
    <i>
      <x v="2348"/>
      <x v="552"/>
    </i>
    <i t="default">
      <x v="2348"/>
    </i>
    <i>
      <x v="2349"/>
      <x v="552"/>
    </i>
    <i t="default">
      <x v="2349"/>
    </i>
    <i>
      <x v="2350"/>
      <x v="552"/>
    </i>
    <i t="default">
      <x v="2350"/>
    </i>
    <i>
      <x v="2351"/>
      <x v="552"/>
    </i>
    <i t="default">
      <x v="2351"/>
    </i>
    <i>
      <x v="2352"/>
      <x v="461"/>
    </i>
    <i r="1">
      <x v="552"/>
    </i>
    <i t="default">
      <x v="2352"/>
    </i>
    <i>
      <x v="2353"/>
      <x v="552"/>
    </i>
    <i t="default">
      <x v="2353"/>
    </i>
    <i>
      <x v="2354"/>
      <x v="552"/>
    </i>
    <i t="default">
      <x v="2354"/>
    </i>
    <i>
      <x v="2355"/>
      <x v="552"/>
    </i>
    <i t="default">
      <x v="2355"/>
    </i>
    <i>
      <x v="2356"/>
      <x v="552"/>
    </i>
    <i t="default">
      <x v="2356"/>
    </i>
    <i>
      <x v="2357"/>
      <x v="552"/>
    </i>
    <i t="default">
      <x v="2357"/>
    </i>
    <i>
      <x v="2358"/>
      <x v="552"/>
    </i>
    <i t="default">
      <x v="2358"/>
    </i>
    <i>
      <x v="2359"/>
      <x v="552"/>
    </i>
    <i t="default">
      <x v="2359"/>
    </i>
    <i>
      <x v="2360"/>
      <x v="552"/>
    </i>
    <i t="default">
      <x v="2360"/>
    </i>
    <i>
      <x v="2361"/>
      <x v="552"/>
    </i>
    <i t="default">
      <x v="2361"/>
    </i>
    <i>
      <x v="2362"/>
      <x v="552"/>
    </i>
    <i t="default">
      <x v="2362"/>
    </i>
    <i>
      <x v="2363"/>
      <x v="552"/>
    </i>
    <i t="default">
      <x v="2363"/>
    </i>
    <i>
      <x v="2364"/>
      <x v="552"/>
    </i>
    <i t="default">
      <x v="2364"/>
    </i>
    <i>
      <x v="2365"/>
      <x v="552"/>
    </i>
    <i t="default">
      <x v="2365"/>
    </i>
    <i>
      <x v="2366"/>
      <x v="552"/>
    </i>
    <i t="default">
      <x v="2366"/>
    </i>
    <i>
      <x v="2367"/>
      <x v="552"/>
    </i>
    <i t="default">
      <x v="2367"/>
    </i>
    <i>
      <x v="2368"/>
      <x v="552"/>
    </i>
    <i t="default">
      <x v="2368"/>
    </i>
    <i>
      <x v="2369"/>
      <x v="429"/>
    </i>
    <i t="default">
      <x v="2369"/>
    </i>
    <i>
      <x v="2370"/>
      <x v="552"/>
    </i>
    <i t="default">
      <x v="2370"/>
    </i>
    <i>
      <x v="2371"/>
      <x v="552"/>
    </i>
    <i t="default">
      <x v="2371"/>
    </i>
    <i>
      <x v="2372"/>
      <x v="552"/>
    </i>
    <i t="default">
      <x v="2372"/>
    </i>
    <i>
      <x v="2373"/>
      <x v="552"/>
    </i>
    <i t="default">
      <x v="2373"/>
    </i>
    <i>
      <x v="2374"/>
      <x v="552"/>
    </i>
    <i t="default">
      <x v="2374"/>
    </i>
    <i>
      <x v="2375"/>
      <x v="552"/>
    </i>
    <i t="default">
      <x v="2375"/>
    </i>
    <i>
      <x v="2376"/>
      <x v="552"/>
    </i>
    <i t="default">
      <x v="2376"/>
    </i>
    <i>
      <x v="2377"/>
      <x v="552"/>
    </i>
    <i t="default">
      <x v="2377"/>
    </i>
    <i>
      <x v="2378"/>
      <x v="308"/>
    </i>
    <i t="default">
      <x v="2378"/>
    </i>
    <i>
      <x v="2379"/>
      <x v="552"/>
    </i>
    <i t="default">
      <x v="2379"/>
    </i>
    <i>
      <x v="2380"/>
      <x v="552"/>
    </i>
    <i t="default">
      <x v="2380"/>
    </i>
    <i>
      <x v="2381"/>
      <x v="552"/>
    </i>
    <i t="default">
      <x v="2381"/>
    </i>
    <i>
      <x v="2382"/>
      <x v="552"/>
    </i>
    <i t="default">
      <x v="2382"/>
    </i>
    <i>
      <x v="2383"/>
      <x v="552"/>
    </i>
    <i t="default">
      <x v="2383"/>
    </i>
    <i>
      <x v="2384"/>
      <x v="552"/>
    </i>
    <i t="default">
      <x v="2384"/>
    </i>
    <i>
      <x v="2385"/>
      <x v="552"/>
    </i>
    <i t="default">
      <x v="2385"/>
    </i>
    <i>
      <x v="2386"/>
      <x v="552"/>
    </i>
    <i t="default">
      <x v="2386"/>
    </i>
    <i>
      <x v="2387"/>
      <x v="552"/>
    </i>
    <i t="default">
      <x v="2387"/>
    </i>
    <i>
      <x v="2388"/>
      <x v="552"/>
    </i>
    <i t="default">
      <x v="2388"/>
    </i>
    <i>
      <x v="2389"/>
      <x v="552"/>
    </i>
    <i t="default">
      <x v="2389"/>
    </i>
    <i>
      <x v="2390"/>
      <x v="552"/>
    </i>
    <i t="default">
      <x v="2390"/>
    </i>
    <i>
      <x v="2391"/>
      <x v="552"/>
    </i>
    <i t="default">
      <x v="2391"/>
    </i>
    <i>
      <x v="2392"/>
      <x v="552"/>
    </i>
    <i t="default">
      <x v="2392"/>
    </i>
    <i>
      <x v="2393"/>
      <x v="552"/>
    </i>
    <i t="default">
      <x v="2393"/>
    </i>
    <i>
      <x v="2394"/>
      <x v="552"/>
    </i>
    <i t="default">
      <x v="2394"/>
    </i>
    <i>
      <x v="2395"/>
      <x v="552"/>
    </i>
    <i t="default">
      <x v="2395"/>
    </i>
    <i>
      <x v="2396"/>
      <x v="552"/>
    </i>
    <i t="default">
      <x v="2396"/>
    </i>
    <i>
      <x v="2397"/>
      <x v="552"/>
    </i>
    <i t="default">
      <x v="2397"/>
    </i>
    <i>
      <x v="2398"/>
      <x v="552"/>
    </i>
    <i t="default">
      <x v="2398"/>
    </i>
    <i>
      <x v="2399"/>
      <x v="552"/>
    </i>
    <i t="default">
      <x v="2399"/>
    </i>
    <i>
      <x v="2400"/>
      <x v="552"/>
    </i>
    <i t="default">
      <x v="2400"/>
    </i>
    <i>
      <x v="2401"/>
      <x v="552"/>
    </i>
    <i t="default">
      <x v="2401"/>
    </i>
    <i>
      <x v="2402"/>
      <x v="552"/>
    </i>
    <i t="default">
      <x v="2402"/>
    </i>
    <i>
      <x v="2403"/>
      <x v="552"/>
    </i>
    <i t="default">
      <x v="2403"/>
    </i>
    <i>
      <x v="2404"/>
      <x v="552"/>
    </i>
    <i t="default">
      <x v="2404"/>
    </i>
    <i>
      <x v="2405"/>
      <x v="552"/>
    </i>
    <i t="default">
      <x v="2405"/>
    </i>
    <i>
      <x v="2406"/>
      <x v="552"/>
    </i>
    <i t="default">
      <x v="2406"/>
    </i>
    <i>
      <x v="2407"/>
      <x v="552"/>
    </i>
    <i t="default">
      <x v="2407"/>
    </i>
    <i>
      <x v="2408"/>
      <x v="552"/>
    </i>
    <i t="default">
      <x v="2408"/>
    </i>
    <i>
      <x v="2409"/>
      <x v="552"/>
    </i>
    <i t="default">
      <x v="2409"/>
    </i>
    <i>
      <x v="2410"/>
      <x v="552"/>
    </i>
    <i t="default">
      <x v="2410"/>
    </i>
    <i>
      <x v="2411"/>
      <x v="202"/>
    </i>
    <i t="default">
      <x v="2411"/>
    </i>
    <i>
      <x v="2412"/>
      <x v="552"/>
    </i>
    <i t="default">
      <x v="2412"/>
    </i>
    <i>
      <x v="2413"/>
      <x v="552"/>
    </i>
    <i t="default">
      <x v="2413"/>
    </i>
    <i>
      <x v="2414"/>
      <x v="552"/>
    </i>
    <i t="default">
      <x v="2414"/>
    </i>
    <i>
      <x v="2415"/>
      <x v="552"/>
    </i>
    <i t="default">
      <x v="2415"/>
    </i>
    <i>
      <x v="2416"/>
      <x v="552"/>
    </i>
    <i t="default">
      <x v="2416"/>
    </i>
    <i>
      <x v="2417"/>
      <x v="552"/>
    </i>
    <i t="default">
      <x v="2417"/>
    </i>
    <i>
      <x v="2418"/>
      <x v="552"/>
    </i>
    <i t="default">
      <x v="2418"/>
    </i>
    <i>
      <x v="2419"/>
      <x v="280"/>
    </i>
    <i r="1">
      <x v="552"/>
    </i>
    <i t="default">
      <x v="2419"/>
    </i>
    <i>
      <x v="2420"/>
      <x v="552"/>
    </i>
    <i t="default">
      <x v="2420"/>
    </i>
    <i>
      <x v="2421"/>
      <x v="552"/>
    </i>
    <i t="default">
      <x v="2421"/>
    </i>
    <i>
      <x v="2422"/>
      <x v="552"/>
    </i>
    <i t="default">
      <x v="2422"/>
    </i>
    <i>
      <x v="2423"/>
      <x v="552"/>
    </i>
    <i t="default">
      <x v="2423"/>
    </i>
    <i>
      <x v="2424"/>
      <x v="552"/>
    </i>
    <i t="default">
      <x v="2424"/>
    </i>
    <i>
      <x v="2425"/>
      <x v="552"/>
    </i>
    <i t="default">
      <x v="2425"/>
    </i>
    <i>
      <x v="2426"/>
      <x v="552"/>
    </i>
    <i t="default">
      <x v="2426"/>
    </i>
    <i>
      <x v="2427"/>
      <x v="552"/>
    </i>
    <i t="default">
      <x v="2427"/>
    </i>
    <i>
      <x v="2428"/>
      <x v="552"/>
    </i>
    <i t="default">
      <x v="2428"/>
    </i>
    <i>
      <x v="2429"/>
      <x v="552"/>
    </i>
    <i t="default">
      <x v="2429"/>
    </i>
    <i>
      <x v="2430"/>
      <x v="552"/>
    </i>
    <i t="default">
      <x v="2430"/>
    </i>
    <i>
      <x v="2431"/>
      <x v="552"/>
    </i>
    <i t="default">
      <x v="2431"/>
    </i>
    <i>
      <x v="2432"/>
      <x v="552"/>
    </i>
    <i t="default">
      <x v="2432"/>
    </i>
    <i>
      <x v="2433"/>
      <x v="552"/>
    </i>
    <i t="default">
      <x v="2433"/>
    </i>
    <i>
      <x v="2434"/>
      <x v="302"/>
    </i>
    <i r="1">
      <x v="552"/>
    </i>
    <i t="default">
      <x v="2434"/>
    </i>
    <i>
      <x v="2435"/>
      <x v="552"/>
    </i>
    <i t="default">
      <x v="2435"/>
    </i>
    <i>
      <x v="2436"/>
      <x v="552"/>
    </i>
    <i t="default">
      <x v="2436"/>
    </i>
    <i>
      <x v="2437"/>
      <x v="552"/>
    </i>
    <i t="default">
      <x v="2437"/>
    </i>
    <i>
      <x v="2438"/>
      <x v="552"/>
    </i>
    <i t="default">
      <x v="2438"/>
    </i>
    <i>
      <x v="2439"/>
      <x v="552"/>
    </i>
    <i t="default">
      <x v="2439"/>
    </i>
    <i>
      <x v="2440"/>
      <x v="552"/>
    </i>
    <i t="default">
      <x v="2440"/>
    </i>
    <i>
      <x v="2441"/>
      <x v="552"/>
    </i>
    <i t="default">
      <x v="2441"/>
    </i>
    <i>
      <x v="2442"/>
      <x v="552"/>
    </i>
    <i t="default">
      <x v="2442"/>
    </i>
    <i>
      <x v="2443"/>
      <x v="552"/>
    </i>
    <i t="default">
      <x v="2443"/>
    </i>
    <i>
      <x v="2444"/>
      <x v="552"/>
    </i>
    <i t="default">
      <x v="2444"/>
    </i>
    <i>
      <x v="2445"/>
      <x v="552"/>
    </i>
    <i t="default">
      <x v="2445"/>
    </i>
    <i>
      <x v="2446"/>
      <x v="552"/>
    </i>
    <i t="default">
      <x v="2446"/>
    </i>
    <i>
      <x v="2447"/>
      <x v="552"/>
    </i>
    <i t="default">
      <x v="2447"/>
    </i>
    <i>
      <x v="2448"/>
      <x v="552"/>
    </i>
    <i t="default">
      <x v="2448"/>
    </i>
    <i>
      <x v="2449"/>
      <x v="552"/>
    </i>
    <i t="default">
      <x v="2449"/>
    </i>
    <i>
      <x v="2450"/>
      <x v="552"/>
    </i>
    <i t="default">
      <x v="2450"/>
    </i>
    <i>
      <x v="2451"/>
      <x v="552"/>
    </i>
    <i t="default">
      <x v="2451"/>
    </i>
    <i>
      <x v="2452"/>
      <x v="552"/>
    </i>
    <i t="default">
      <x v="2452"/>
    </i>
    <i>
      <x v="2453"/>
      <x v="552"/>
    </i>
    <i t="default">
      <x v="2453"/>
    </i>
    <i>
      <x v="2454"/>
      <x v="552"/>
    </i>
    <i t="default">
      <x v="2454"/>
    </i>
    <i>
      <x v="2455"/>
      <x v="552"/>
    </i>
    <i t="default">
      <x v="2455"/>
    </i>
    <i>
      <x v="2456"/>
      <x v="552"/>
    </i>
    <i t="default">
      <x v="2456"/>
    </i>
    <i>
      <x v="2457"/>
      <x v="552"/>
    </i>
    <i t="default">
      <x v="2457"/>
    </i>
    <i>
      <x v="2458"/>
      <x v="552"/>
    </i>
    <i t="default">
      <x v="2458"/>
    </i>
    <i>
      <x v="2459"/>
      <x v="552"/>
    </i>
    <i t="default">
      <x v="2459"/>
    </i>
    <i>
      <x v="2460"/>
      <x v="552"/>
    </i>
    <i t="default">
      <x v="2460"/>
    </i>
    <i>
      <x v="2461"/>
      <x v="552"/>
    </i>
    <i t="default">
      <x v="2461"/>
    </i>
    <i>
      <x v="2462"/>
      <x v="552"/>
    </i>
    <i t="default">
      <x v="2462"/>
    </i>
    <i>
      <x v="2463"/>
      <x v="552"/>
    </i>
    <i t="default">
      <x v="2463"/>
    </i>
    <i>
      <x v="2464"/>
      <x v="552"/>
    </i>
    <i t="default">
      <x v="2464"/>
    </i>
    <i>
      <x v="2465"/>
      <x v="552"/>
    </i>
    <i t="default">
      <x v="2465"/>
    </i>
    <i>
      <x v="2466"/>
      <x v="552"/>
    </i>
    <i t="default">
      <x v="2466"/>
    </i>
    <i>
      <x v="2467"/>
      <x v="552"/>
    </i>
    <i t="default">
      <x v="2467"/>
    </i>
    <i>
      <x v="2468"/>
      <x v="552"/>
    </i>
    <i t="default">
      <x v="2468"/>
    </i>
    <i>
      <x v="2469"/>
      <x v="552"/>
    </i>
    <i t="default">
      <x v="2469"/>
    </i>
    <i>
      <x v="2470"/>
      <x v="552"/>
    </i>
    <i t="default">
      <x v="2470"/>
    </i>
    <i>
      <x v="2471"/>
      <x v="552"/>
    </i>
    <i t="default">
      <x v="2471"/>
    </i>
    <i>
      <x v="2472"/>
      <x v="552"/>
    </i>
    <i t="default">
      <x v="2472"/>
    </i>
    <i>
      <x v="2473"/>
      <x v="552"/>
    </i>
    <i t="default">
      <x v="2473"/>
    </i>
    <i>
      <x v="2474"/>
      <x v="552"/>
    </i>
    <i t="default">
      <x v="2474"/>
    </i>
    <i>
      <x v="2475"/>
      <x v="224"/>
    </i>
    <i r="1">
      <x v="552"/>
    </i>
    <i t="default">
      <x v="2475"/>
    </i>
    <i>
      <x v="2476"/>
      <x v="552"/>
    </i>
    <i t="default">
      <x v="2476"/>
    </i>
    <i>
      <x v="2477"/>
      <x v="552"/>
    </i>
    <i t="default">
      <x v="2477"/>
    </i>
    <i>
      <x v="2478"/>
      <x v="552"/>
    </i>
    <i t="default">
      <x v="2478"/>
    </i>
    <i>
      <x v="2479"/>
      <x v="552"/>
    </i>
    <i t="default">
      <x v="2479"/>
    </i>
    <i>
      <x v="2480"/>
      <x v="552"/>
    </i>
    <i t="default">
      <x v="2480"/>
    </i>
    <i>
      <x v="2481"/>
      <x v="552"/>
    </i>
    <i t="default">
      <x v="2481"/>
    </i>
    <i>
      <x v="2482"/>
      <x v="552"/>
    </i>
    <i t="default">
      <x v="2482"/>
    </i>
    <i>
      <x v="2483"/>
      <x v="317"/>
    </i>
    <i t="default">
      <x v="2483"/>
    </i>
    <i>
      <x v="2484"/>
      <x v="552"/>
    </i>
    <i t="default">
      <x v="2484"/>
    </i>
    <i>
      <x v="2485"/>
      <x v="552"/>
    </i>
    <i t="default">
      <x v="2485"/>
    </i>
    <i>
      <x v="2486"/>
      <x v="552"/>
    </i>
    <i t="default">
      <x v="2486"/>
    </i>
    <i>
      <x v="2487"/>
      <x v="270"/>
    </i>
    <i r="1">
      <x v="288"/>
    </i>
    <i r="1">
      <x v="552"/>
    </i>
    <i t="default">
      <x v="2487"/>
    </i>
    <i>
      <x v="2488"/>
      <x v="552"/>
    </i>
    <i t="default">
      <x v="2488"/>
    </i>
    <i>
      <x v="2489"/>
      <x v="552"/>
    </i>
    <i t="default">
      <x v="2489"/>
    </i>
    <i>
      <x v="2490"/>
      <x v="552"/>
    </i>
    <i t="default">
      <x v="2490"/>
    </i>
    <i>
      <x v="2491"/>
      <x v="552"/>
    </i>
    <i t="default">
      <x v="2491"/>
    </i>
    <i>
      <x v="2492"/>
      <x v="552"/>
    </i>
    <i t="default">
      <x v="2492"/>
    </i>
    <i>
      <x v="2493"/>
      <x v="552"/>
    </i>
    <i t="default">
      <x v="2493"/>
    </i>
    <i>
      <x v="2494"/>
      <x v="552"/>
    </i>
    <i t="default">
      <x v="2494"/>
    </i>
    <i>
      <x v="2495"/>
      <x v="552"/>
    </i>
    <i t="default">
      <x v="2495"/>
    </i>
    <i>
      <x v="2496"/>
      <x v="552"/>
    </i>
    <i t="default">
      <x v="2496"/>
    </i>
    <i>
      <x v="2497"/>
      <x v="552"/>
    </i>
    <i t="default">
      <x v="2497"/>
    </i>
    <i>
      <x v="2498"/>
      <x v="552"/>
    </i>
    <i t="default">
      <x v="2498"/>
    </i>
    <i>
      <x v="2499"/>
      <x v="315"/>
    </i>
    <i r="1">
      <x v="552"/>
    </i>
    <i t="default">
      <x v="2499"/>
    </i>
    <i>
      <x v="2500"/>
      <x v="552"/>
    </i>
    <i t="default">
      <x v="2500"/>
    </i>
    <i>
      <x v="2501"/>
      <x v="552"/>
    </i>
    <i t="default">
      <x v="2501"/>
    </i>
    <i>
      <x v="2502"/>
      <x v="552"/>
    </i>
    <i t="default">
      <x v="2502"/>
    </i>
    <i>
      <x v="2503"/>
      <x v="552"/>
    </i>
    <i t="default">
      <x v="2503"/>
    </i>
    <i>
      <x v="2504"/>
      <x v="552"/>
    </i>
    <i t="default">
      <x v="2504"/>
    </i>
    <i>
      <x v="2505"/>
      <x v="552"/>
    </i>
    <i t="default">
      <x v="2505"/>
    </i>
    <i>
      <x v="2506"/>
      <x v="552"/>
    </i>
    <i t="default">
      <x v="2506"/>
    </i>
    <i>
      <x v="2507"/>
      <x v="552"/>
    </i>
    <i t="default">
      <x v="2507"/>
    </i>
    <i>
      <x v="2508"/>
      <x v="552"/>
    </i>
    <i t="default">
      <x v="2508"/>
    </i>
    <i>
      <x v="2509"/>
      <x v="552"/>
    </i>
    <i t="default">
      <x v="2509"/>
    </i>
    <i>
      <x v="2510"/>
      <x v="305"/>
    </i>
    <i r="1">
      <x v="552"/>
    </i>
    <i t="default">
      <x v="2510"/>
    </i>
    <i>
      <x v="2511"/>
      <x v="552"/>
    </i>
    <i t="default">
      <x v="2511"/>
    </i>
    <i>
      <x v="2512"/>
      <x v="552"/>
    </i>
    <i t="default">
      <x v="2512"/>
    </i>
    <i>
      <x v="2513"/>
      <x v="552"/>
    </i>
    <i t="default">
      <x v="2513"/>
    </i>
    <i>
      <x v="2514"/>
      <x v="370"/>
    </i>
    <i r="1">
      <x v="552"/>
    </i>
    <i t="default">
      <x v="2514"/>
    </i>
    <i>
      <x v="2515"/>
      <x v="552"/>
    </i>
    <i t="default">
      <x v="2515"/>
    </i>
    <i>
      <x v="2516"/>
      <x v="552"/>
    </i>
    <i t="default">
      <x v="2516"/>
    </i>
    <i>
      <x v="2517"/>
      <x v="552"/>
    </i>
    <i t="default">
      <x v="2517"/>
    </i>
    <i>
      <x v="2518"/>
      <x v="552"/>
    </i>
    <i t="default">
      <x v="2518"/>
    </i>
    <i>
      <x v="2519"/>
      <x v="552"/>
    </i>
    <i t="default">
      <x v="2519"/>
    </i>
    <i>
      <x v="2520"/>
      <x v="228"/>
    </i>
    <i r="1">
      <x v="552"/>
    </i>
    <i t="default">
      <x v="2520"/>
    </i>
    <i>
      <x v="2521"/>
      <x v="552"/>
    </i>
    <i t="default">
      <x v="2521"/>
    </i>
    <i>
      <x v="2522"/>
      <x v="552"/>
    </i>
    <i t="default">
      <x v="2522"/>
    </i>
    <i>
      <x v="2523"/>
      <x v="552"/>
    </i>
    <i t="default">
      <x v="2523"/>
    </i>
    <i>
      <x v="2524"/>
      <x v="93"/>
    </i>
    <i t="default">
      <x v="2524"/>
    </i>
    <i>
      <x v="2525"/>
      <x v="552"/>
    </i>
    <i t="default">
      <x v="2525"/>
    </i>
    <i>
      <x v="2526"/>
      <x v="552"/>
    </i>
    <i t="default">
      <x v="2526"/>
    </i>
    <i>
      <x v="2527"/>
      <x v="9"/>
    </i>
    <i t="default">
      <x v="2527"/>
    </i>
    <i>
      <x v="2528"/>
      <x v="552"/>
    </i>
    <i t="default">
      <x v="2528"/>
    </i>
    <i>
      <x v="2529"/>
      <x v="552"/>
    </i>
    <i t="default">
      <x v="2529"/>
    </i>
    <i>
      <x v="2530"/>
      <x v="552"/>
    </i>
    <i t="default">
      <x v="2530"/>
    </i>
    <i>
      <x v="2531"/>
      <x v="552"/>
    </i>
    <i t="default">
      <x v="2531"/>
    </i>
    <i>
      <x v="2532"/>
      <x v="552"/>
    </i>
    <i t="default">
      <x v="2532"/>
    </i>
    <i>
      <x v="2533"/>
      <x v="552"/>
    </i>
    <i t="default">
      <x v="2533"/>
    </i>
    <i>
      <x v="2534"/>
      <x v="552"/>
    </i>
    <i t="default">
      <x v="2534"/>
    </i>
    <i>
      <x v="2535"/>
      <x v="552"/>
    </i>
    <i t="default">
      <x v="2535"/>
    </i>
    <i>
      <x v="2536"/>
      <x v="552"/>
    </i>
    <i t="default">
      <x v="2536"/>
    </i>
    <i>
      <x v="2537"/>
      <x v="552"/>
    </i>
    <i t="default">
      <x v="2537"/>
    </i>
    <i>
      <x v="2538"/>
      <x v="552"/>
    </i>
    <i t="default">
      <x v="2538"/>
    </i>
    <i>
      <x v="2539"/>
      <x v="552"/>
    </i>
    <i t="default">
      <x v="2539"/>
    </i>
    <i>
      <x v="2540"/>
      <x v="552"/>
    </i>
    <i t="default">
      <x v="2540"/>
    </i>
    <i>
      <x v="2541"/>
      <x v="552"/>
    </i>
    <i t="default">
      <x v="2541"/>
    </i>
    <i>
      <x v="2542"/>
      <x v="552"/>
    </i>
    <i t="default">
      <x v="2542"/>
    </i>
    <i>
      <x v="2543"/>
      <x v="552"/>
    </i>
    <i t="default">
      <x v="2543"/>
    </i>
    <i>
      <x v="2544"/>
      <x v="552"/>
    </i>
    <i t="default">
      <x v="2544"/>
    </i>
    <i>
      <x v="2545"/>
      <x v="552"/>
    </i>
    <i t="default">
      <x v="2545"/>
    </i>
    <i>
      <x v="2546"/>
      <x v="552"/>
    </i>
    <i t="default">
      <x v="2546"/>
    </i>
    <i>
      <x v="2547"/>
      <x v="552"/>
    </i>
    <i t="default">
      <x v="2547"/>
    </i>
    <i>
      <x v="2548"/>
      <x v="552"/>
    </i>
    <i t="default">
      <x v="2548"/>
    </i>
    <i>
      <x v="2549"/>
      <x v="552"/>
    </i>
    <i t="default">
      <x v="2549"/>
    </i>
    <i>
      <x v="2550"/>
      <x v="552"/>
    </i>
    <i t="default">
      <x v="2550"/>
    </i>
    <i>
      <x v="2551"/>
      <x v="552"/>
    </i>
    <i t="default">
      <x v="2551"/>
    </i>
    <i>
      <x v="2552"/>
      <x v="552"/>
    </i>
    <i t="default">
      <x v="2552"/>
    </i>
    <i>
      <x v="2553"/>
      <x v="552"/>
    </i>
    <i t="default">
      <x v="2553"/>
    </i>
    <i>
      <x v="2554"/>
      <x v="552"/>
    </i>
    <i t="default">
      <x v="2554"/>
    </i>
    <i>
      <x v="2555"/>
      <x v="552"/>
    </i>
    <i t="default">
      <x v="2555"/>
    </i>
    <i>
      <x v="2556"/>
      <x v="552"/>
    </i>
    <i t="default">
      <x v="2556"/>
    </i>
    <i>
      <x v="2557"/>
      <x v="552"/>
    </i>
    <i t="default">
      <x v="2557"/>
    </i>
    <i>
      <x v="2558"/>
      <x v="552"/>
    </i>
    <i t="default">
      <x v="2558"/>
    </i>
    <i>
      <x v="2559"/>
      <x v="552"/>
    </i>
    <i t="default">
      <x v="2559"/>
    </i>
    <i>
      <x v="2560"/>
      <x v="552"/>
    </i>
    <i t="default">
      <x v="2560"/>
    </i>
    <i>
      <x v="2561"/>
      <x v="552"/>
    </i>
    <i t="default">
      <x v="2561"/>
    </i>
    <i>
      <x v="2562"/>
      <x v="552"/>
    </i>
    <i t="default">
      <x v="2562"/>
    </i>
    <i>
      <x v="2563"/>
      <x v="552"/>
    </i>
    <i t="default">
      <x v="2563"/>
    </i>
    <i>
      <x v="2564"/>
      <x v="552"/>
    </i>
    <i t="default">
      <x v="2564"/>
    </i>
    <i>
      <x v="2565"/>
      <x v="552"/>
    </i>
    <i t="default">
      <x v="2565"/>
    </i>
    <i>
      <x v="2566"/>
      <x v="552"/>
    </i>
    <i t="default">
      <x v="2566"/>
    </i>
    <i>
      <x v="2567"/>
      <x v="552"/>
    </i>
    <i t="default">
      <x v="2567"/>
    </i>
    <i>
      <x v="2568"/>
      <x v="552"/>
    </i>
    <i t="default">
      <x v="2568"/>
    </i>
    <i>
      <x v="2569"/>
      <x v="552"/>
    </i>
    <i t="default">
      <x v="2569"/>
    </i>
    <i>
      <x v="2570"/>
      <x v="552"/>
    </i>
    <i t="default">
      <x v="2570"/>
    </i>
    <i>
      <x v="2571"/>
      <x v="35"/>
    </i>
    <i t="default">
      <x v="2571"/>
    </i>
    <i>
      <x v="2572"/>
      <x v="155"/>
    </i>
    <i t="default">
      <x v="2572"/>
    </i>
    <i>
      <x v="2573"/>
      <x v="552"/>
    </i>
    <i t="default">
      <x v="2573"/>
    </i>
    <i>
      <x v="2574"/>
      <x v="552"/>
    </i>
    <i t="default">
      <x v="2574"/>
    </i>
    <i>
      <x v="2575"/>
      <x v="530"/>
    </i>
    <i t="default">
      <x v="2575"/>
    </i>
    <i>
      <x v="2576"/>
      <x v="552"/>
    </i>
    <i t="default">
      <x v="2576"/>
    </i>
    <i>
      <x v="2577"/>
      <x v="552"/>
    </i>
    <i t="default">
      <x v="2577"/>
    </i>
    <i>
      <x v="2578"/>
      <x v="552"/>
    </i>
    <i t="default">
      <x v="2578"/>
    </i>
    <i>
      <x v="2579"/>
      <x v="552"/>
    </i>
    <i t="default">
      <x v="2579"/>
    </i>
    <i>
      <x v="2580"/>
      <x v="552"/>
    </i>
    <i t="default">
      <x v="2580"/>
    </i>
    <i>
      <x v="2581"/>
      <x v="552"/>
    </i>
    <i t="default">
      <x v="2581"/>
    </i>
    <i>
      <x v="2582"/>
      <x v="552"/>
    </i>
    <i t="default">
      <x v="2582"/>
    </i>
    <i>
      <x v="2583"/>
      <x v="497"/>
    </i>
    <i r="1">
      <x v="552"/>
    </i>
    <i t="default">
      <x v="2583"/>
    </i>
    <i>
      <x v="2584"/>
      <x v="552"/>
    </i>
    <i t="default">
      <x v="2584"/>
    </i>
    <i>
      <x v="2585"/>
      <x v="552"/>
    </i>
    <i t="default">
      <x v="2585"/>
    </i>
    <i>
      <x v="2586"/>
      <x v="552"/>
    </i>
    <i t="default">
      <x v="2586"/>
    </i>
    <i>
      <x v="2587"/>
      <x v="552"/>
    </i>
    <i t="default">
      <x v="2587"/>
    </i>
    <i>
      <x v="2588"/>
      <x v="552"/>
    </i>
    <i t="default">
      <x v="2588"/>
    </i>
    <i>
      <x v="2589"/>
      <x v="552"/>
    </i>
    <i t="default">
      <x v="2589"/>
    </i>
    <i>
      <x v="2590"/>
      <x v="552"/>
    </i>
    <i t="default">
      <x v="2590"/>
    </i>
    <i>
      <x v="2591"/>
      <x v="552"/>
    </i>
    <i t="default">
      <x v="2591"/>
    </i>
    <i>
      <x v="2592"/>
      <x v="552"/>
    </i>
    <i t="default">
      <x v="2592"/>
    </i>
    <i>
      <x v="2593"/>
      <x v="552"/>
    </i>
    <i t="default">
      <x v="2593"/>
    </i>
    <i>
      <x v="2594"/>
      <x v="552"/>
    </i>
    <i t="default">
      <x v="2594"/>
    </i>
    <i>
      <x v="2595"/>
      <x v="552"/>
    </i>
    <i t="default">
      <x v="2595"/>
    </i>
    <i>
      <x v="2596"/>
      <x v="552"/>
    </i>
    <i t="default">
      <x v="2596"/>
    </i>
    <i>
      <x v="2597"/>
      <x v="140"/>
    </i>
    <i r="1">
      <x v="552"/>
    </i>
    <i t="default">
      <x v="2597"/>
    </i>
    <i>
      <x v="2598"/>
      <x v="552"/>
    </i>
    <i t="default">
      <x v="2598"/>
    </i>
    <i>
      <x v="2599"/>
      <x v="552"/>
    </i>
    <i t="default">
      <x v="2599"/>
    </i>
    <i>
      <x v="2600"/>
      <x v="190"/>
    </i>
    <i r="1">
      <x v="552"/>
    </i>
    <i t="default">
      <x v="2600"/>
    </i>
    <i>
      <x v="2601"/>
      <x v="552"/>
    </i>
    <i t="default">
      <x v="2601"/>
    </i>
    <i>
      <x v="2602"/>
      <x v="552"/>
    </i>
    <i t="default">
      <x v="2602"/>
    </i>
    <i>
      <x v="2603"/>
      <x v="552"/>
    </i>
    <i t="default">
      <x v="2603"/>
    </i>
    <i>
      <x v="2604"/>
      <x v="552"/>
    </i>
    <i t="default">
      <x v="2604"/>
    </i>
    <i>
      <x v="2605"/>
      <x v="436"/>
    </i>
    <i t="default">
      <x v="2605"/>
    </i>
    <i>
      <x v="2606"/>
      <x v="552"/>
    </i>
    <i t="default">
      <x v="2606"/>
    </i>
    <i>
      <x v="2607"/>
      <x v="552"/>
    </i>
    <i t="default">
      <x v="2607"/>
    </i>
    <i>
      <x v="2608"/>
      <x v="552"/>
    </i>
    <i t="default">
      <x v="2608"/>
    </i>
    <i>
      <x v="2609"/>
      <x v="552"/>
    </i>
    <i t="default">
      <x v="2609"/>
    </i>
    <i>
      <x v="2610"/>
      <x v="552"/>
    </i>
    <i t="default">
      <x v="2610"/>
    </i>
    <i>
      <x v="2611"/>
      <x v="552"/>
    </i>
    <i t="default">
      <x v="2611"/>
    </i>
    <i>
      <x v="2612"/>
      <x v="479"/>
    </i>
    <i t="default">
      <x v="2612"/>
    </i>
    <i>
      <x v="2613"/>
      <x v="552"/>
    </i>
    <i t="default">
      <x v="2613"/>
    </i>
    <i>
      <x v="2614"/>
      <x v="552"/>
    </i>
    <i t="default">
      <x v="2614"/>
    </i>
    <i>
      <x v="2615"/>
      <x v="552"/>
    </i>
    <i t="default">
      <x v="2615"/>
    </i>
    <i>
      <x v="2616"/>
      <x v="552"/>
    </i>
    <i t="default">
      <x v="2616"/>
    </i>
    <i>
      <x v="2617"/>
      <x v="552"/>
    </i>
    <i t="default">
      <x v="2617"/>
    </i>
    <i>
      <x v="2618"/>
      <x v="552"/>
    </i>
    <i t="default">
      <x v="2618"/>
    </i>
    <i>
      <x v="2619"/>
      <x v="552"/>
    </i>
    <i t="default">
      <x v="2619"/>
    </i>
    <i>
      <x v="2620"/>
      <x v="552"/>
    </i>
    <i t="default">
      <x v="2620"/>
    </i>
    <i>
      <x v="2621"/>
      <x v="552"/>
    </i>
    <i t="default">
      <x v="2621"/>
    </i>
    <i>
      <x v="2622"/>
      <x v="552"/>
    </i>
    <i t="default">
      <x v="2622"/>
    </i>
    <i>
      <x v="2623"/>
      <x v="552"/>
    </i>
    <i t="default">
      <x v="2623"/>
    </i>
    <i>
      <x v="2624"/>
      <x v="552"/>
    </i>
    <i t="default">
      <x v="2624"/>
    </i>
    <i>
      <x v="2625"/>
      <x v="58"/>
    </i>
    <i t="default">
      <x v="2625"/>
    </i>
    <i>
      <x v="2626"/>
      <x v="552"/>
    </i>
    <i t="default">
      <x v="2626"/>
    </i>
    <i>
      <x v="2627"/>
      <x v="552"/>
    </i>
    <i t="default">
      <x v="2627"/>
    </i>
    <i>
      <x v="2628"/>
      <x v="552"/>
    </i>
    <i t="default">
      <x v="2628"/>
    </i>
    <i>
      <x v="2629"/>
      <x v="552"/>
    </i>
    <i t="default">
      <x v="2629"/>
    </i>
    <i>
      <x v="2630"/>
      <x v="552"/>
    </i>
    <i t="default">
      <x v="2630"/>
    </i>
    <i>
      <x v="2631"/>
      <x v="552"/>
    </i>
    <i t="default">
      <x v="2631"/>
    </i>
    <i>
      <x v="2632"/>
      <x v="552"/>
    </i>
    <i t="default">
      <x v="2632"/>
    </i>
    <i>
      <x v="2633"/>
      <x v="552"/>
    </i>
    <i t="default">
      <x v="2633"/>
    </i>
    <i>
      <x v="2634"/>
      <x v="552"/>
    </i>
    <i t="default">
      <x v="2634"/>
    </i>
    <i>
      <x v="2635"/>
      <x v="552"/>
    </i>
    <i t="default">
      <x v="2635"/>
    </i>
    <i>
      <x v="2636"/>
      <x v="552"/>
    </i>
    <i t="default">
      <x v="2636"/>
    </i>
    <i>
      <x v="2637"/>
      <x v="552"/>
    </i>
    <i t="default">
      <x v="2637"/>
    </i>
    <i>
      <x v="2638"/>
      <x v="552"/>
    </i>
    <i t="default">
      <x v="2638"/>
    </i>
    <i>
      <x v="2639"/>
      <x v="552"/>
    </i>
    <i t="default">
      <x v="2639"/>
    </i>
    <i>
      <x v="2640"/>
      <x v="552"/>
    </i>
    <i t="default">
      <x v="2640"/>
    </i>
    <i>
      <x v="2641"/>
      <x v="552"/>
    </i>
    <i t="default">
      <x v="2641"/>
    </i>
    <i>
      <x v="2642"/>
      <x v="102"/>
    </i>
    <i t="default">
      <x v="2642"/>
    </i>
    <i>
      <x v="2643"/>
      <x v="30"/>
    </i>
    <i t="default">
      <x v="2643"/>
    </i>
    <i>
      <x v="2644"/>
      <x v="552"/>
    </i>
    <i t="default">
      <x v="2644"/>
    </i>
    <i>
      <x v="2645"/>
      <x v="552"/>
    </i>
    <i t="default">
      <x v="2645"/>
    </i>
    <i>
      <x v="2646"/>
      <x v="552"/>
    </i>
    <i t="default">
      <x v="2646"/>
    </i>
    <i>
      <x v="2647"/>
      <x v="552"/>
    </i>
    <i t="default">
      <x v="2647"/>
    </i>
    <i>
      <x v="2648"/>
      <x v="552"/>
    </i>
    <i t="default">
      <x v="2648"/>
    </i>
    <i>
      <x v="2649"/>
      <x v="552"/>
    </i>
    <i t="default">
      <x v="2649"/>
    </i>
    <i>
      <x v="2650"/>
      <x v="106"/>
    </i>
    <i t="default">
      <x v="2650"/>
    </i>
    <i>
      <x v="2651"/>
      <x v="552"/>
    </i>
    <i t="default">
      <x v="2651"/>
    </i>
    <i>
      <x v="2652"/>
      <x v="552"/>
    </i>
    <i t="default">
      <x v="2652"/>
    </i>
    <i>
      <x v="2653"/>
      <x v="552"/>
    </i>
    <i t="default">
      <x v="2653"/>
    </i>
    <i>
      <x v="2654"/>
      <x v="552"/>
    </i>
    <i t="default">
      <x v="2654"/>
    </i>
    <i>
      <x v="2655"/>
      <x v="552"/>
    </i>
    <i t="default">
      <x v="2655"/>
    </i>
    <i>
      <x v="2656"/>
      <x v="552"/>
    </i>
    <i t="default">
      <x v="2656"/>
    </i>
    <i>
      <x v="2657"/>
      <x v="552"/>
    </i>
    <i t="default">
      <x v="2657"/>
    </i>
    <i>
      <x v="2658"/>
      <x v="552"/>
    </i>
    <i t="default">
      <x v="2658"/>
    </i>
    <i>
      <x v="2659"/>
      <x v="437"/>
    </i>
    <i t="default">
      <x v="2659"/>
    </i>
    <i>
      <x v="2660"/>
      <x v="552"/>
    </i>
    <i t="default">
      <x v="2660"/>
    </i>
    <i>
      <x v="2661"/>
      <x v="552"/>
    </i>
    <i t="default">
      <x v="2661"/>
    </i>
    <i>
      <x v="2662"/>
      <x v="552"/>
    </i>
    <i t="default">
      <x v="2662"/>
    </i>
    <i>
      <x v="2663"/>
      <x v="552"/>
    </i>
    <i t="default">
      <x v="2663"/>
    </i>
    <i>
      <x v="2664"/>
      <x v="424"/>
    </i>
    <i r="1">
      <x v="552"/>
    </i>
    <i t="default">
      <x v="2664"/>
    </i>
    <i>
      <x v="2665"/>
      <x v="552"/>
    </i>
    <i t="default">
      <x v="2665"/>
    </i>
    <i>
      <x v="2666"/>
      <x v="552"/>
    </i>
    <i t="default">
      <x v="2666"/>
    </i>
    <i>
      <x v="2667"/>
      <x v="552"/>
    </i>
    <i t="default">
      <x v="2667"/>
    </i>
    <i>
      <x v="2668"/>
      <x v="15"/>
    </i>
    <i t="default">
      <x v="2668"/>
    </i>
    <i>
      <x v="2669"/>
      <x v="552"/>
    </i>
    <i t="default">
      <x v="2669"/>
    </i>
    <i>
      <x v="2670"/>
      <x v="552"/>
    </i>
    <i t="default">
      <x v="2670"/>
    </i>
    <i>
      <x v="2671"/>
      <x v="552"/>
    </i>
    <i t="default">
      <x v="2671"/>
    </i>
    <i>
      <x v="2672"/>
      <x v="552"/>
    </i>
    <i t="default">
      <x v="2672"/>
    </i>
    <i>
      <x v="2673"/>
      <x v="552"/>
    </i>
    <i t="default">
      <x v="2673"/>
    </i>
    <i>
      <x v="2674"/>
      <x v="552"/>
    </i>
    <i t="default">
      <x v="2674"/>
    </i>
    <i>
      <x v="2675"/>
      <x v="552"/>
    </i>
    <i t="default">
      <x v="2675"/>
    </i>
    <i>
      <x v="2676"/>
      <x v="552"/>
    </i>
    <i t="default">
      <x v="2676"/>
    </i>
    <i>
      <x v="2677"/>
      <x v="552"/>
    </i>
    <i t="default">
      <x v="2677"/>
    </i>
    <i>
      <x v="2678"/>
      <x v="552"/>
    </i>
    <i t="default">
      <x v="2678"/>
    </i>
    <i>
      <x v="2679"/>
      <x v="552"/>
    </i>
    <i t="default">
      <x v="2679"/>
    </i>
    <i>
      <x v="2680"/>
      <x v="552"/>
    </i>
    <i t="default">
      <x v="2680"/>
    </i>
    <i>
      <x v="2681"/>
      <x v="552"/>
    </i>
    <i t="default">
      <x v="2681"/>
    </i>
    <i>
      <x v="2682"/>
      <x v="552"/>
    </i>
    <i t="default">
      <x v="2682"/>
    </i>
    <i>
      <x v="2683"/>
      <x v="552"/>
    </i>
    <i t="default">
      <x v="2683"/>
    </i>
    <i>
      <x v="2684"/>
      <x v="552"/>
    </i>
    <i t="default">
      <x v="2684"/>
    </i>
    <i>
      <x v="2685"/>
      <x v="552"/>
    </i>
    <i t="default">
      <x v="2685"/>
    </i>
    <i>
      <x v="2686"/>
      <x v="552"/>
    </i>
    <i t="default">
      <x v="2686"/>
    </i>
    <i>
      <x v="2687"/>
      <x v="552"/>
    </i>
    <i t="default">
      <x v="2687"/>
    </i>
    <i>
      <x v="2688"/>
      <x v="87"/>
    </i>
    <i t="default">
      <x v="2688"/>
    </i>
    <i>
      <x v="2689"/>
      <x v="552"/>
    </i>
    <i t="default">
      <x v="2689"/>
    </i>
    <i>
      <x v="2690"/>
      <x v="552"/>
    </i>
    <i t="default">
      <x v="2690"/>
    </i>
    <i>
      <x v="2691"/>
      <x v="552"/>
    </i>
    <i t="default">
      <x v="2691"/>
    </i>
    <i>
      <x v="2692"/>
      <x v="552"/>
    </i>
    <i t="default">
      <x v="2692"/>
    </i>
    <i>
      <x v="2693"/>
      <x v="552"/>
    </i>
    <i t="default">
      <x v="2693"/>
    </i>
    <i>
      <x v="2694"/>
      <x v="552"/>
    </i>
    <i t="default">
      <x v="2694"/>
    </i>
    <i>
      <x v="2695"/>
      <x v="552"/>
    </i>
    <i t="default">
      <x v="2695"/>
    </i>
    <i>
      <x v="2696"/>
      <x v="552"/>
    </i>
    <i t="default">
      <x v="2696"/>
    </i>
    <i>
      <x v="2697"/>
      <x v="552"/>
    </i>
    <i t="default">
      <x v="2697"/>
    </i>
    <i>
      <x v="2698"/>
      <x v="335"/>
    </i>
    <i t="default">
      <x v="2698"/>
    </i>
    <i>
      <x v="2699"/>
      <x v="552"/>
    </i>
    <i t="default">
      <x v="2699"/>
    </i>
    <i>
      <x v="2700"/>
      <x v="552"/>
    </i>
    <i t="default">
      <x v="2700"/>
    </i>
    <i>
      <x v="2701"/>
      <x v="552"/>
    </i>
    <i t="default">
      <x v="2701"/>
    </i>
    <i>
      <x v="2702"/>
      <x v="552"/>
    </i>
    <i t="default">
      <x v="2702"/>
    </i>
    <i>
      <x v="2703"/>
      <x v="552"/>
    </i>
    <i t="default">
      <x v="2703"/>
    </i>
    <i>
      <x v="2704"/>
      <x v="552"/>
    </i>
    <i t="default">
      <x v="2704"/>
    </i>
    <i>
      <x v="2705"/>
      <x v="552"/>
    </i>
    <i t="default">
      <x v="2705"/>
    </i>
    <i>
      <x v="2706"/>
      <x v="552"/>
    </i>
    <i t="default">
      <x v="2706"/>
    </i>
    <i>
      <x v="2707"/>
      <x v="552"/>
    </i>
    <i t="default">
      <x v="2707"/>
    </i>
    <i>
      <x v="2708"/>
      <x v="82"/>
    </i>
    <i t="default">
      <x v="2708"/>
    </i>
    <i>
      <x v="2709"/>
      <x v="552"/>
    </i>
    <i t="default">
      <x v="2709"/>
    </i>
    <i>
      <x v="2710"/>
      <x v="552"/>
    </i>
    <i t="default">
      <x v="2710"/>
    </i>
    <i>
      <x v="2711"/>
      <x v="552"/>
    </i>
    <i t="default">
      <x v="2711"/>
    </i>
    <i>
      <x v="2712"/>
      <x v="552"/>
    </i>
    <i t="default">
      <x v="2712"/>
    </i>
    <i>
      <x v="2713"/>
      <x v="552"/>
    </i>
    <i t="default">
      <x v="2713"/>
    </i>
    <i>
      <x v="2714"/>
      <x v="552"/>
    </i>
    <i t="default">
      <x v="2714"/>
    </i>
    <i>
      <x v="2715"/>
      <x v="552"/>
    </i>
    <i t="default">
      <x v="2715"/>
    </i>
    <i>
      <x v="2716"/>
      <x v="552"/>
    </i>
    <i t="default">
      <x v="2716"/>
    </i>
    <i>
      <x v="2717"/>
      <x v="552"/>
    </i>
    <i t="default">
      <x v="2717"/>
    </i>
    <i>
      <x v="2718"/>
      <x v="552"/>
    </i>
    <i t="default">
      <x v="2718"/>
    </i>
    <i>
      <x v="2719"/>
      <x v="552"/>
    </i>
    <i t="default">
      <x v="2719"/>
    </i>
    <i>
      <x v="2720"/>
      <x v="552"/>
    </i>
    <i t="default">
      <x v="2720"/>
    </i>
    <i>
      <x v="2721"/>
      <x v="552"/>
    </i>
    <i t="default">
      <x v="2721"/>
    </i>
    <i>
      <x v="2722"/>
      <x v="90"/>
    </i>
    <i t="default">
      <x v="2722"/>
    </i>
    <i>
      <x v="2723"/>
      <x v="552"/>
    </i>
    <i t="default">
      <x v="2723"/>
    </i>
    <i>
      <x v="2724"/>
      <x v="552"/>
    </i>
    <i t="default">
      <x v="2724"/>
    </i>
    <i>
      <x v="2725"/>
      <x v="552"/>
    </i>
    <i t="default">
      <x v="2725"/>
    </i>
    <i>
      <x v="2726"/>
      <x v="552"/>
    </i>
    <i t="default">
      <x v="2726"/>
    </i>
    <i>
      <x v="2727"/>
      <x v="552"/>
    </i>
    <i t="default">
      <x v="2727"/>
    </i>
    <i>
      <x v="2728"/>
      <x v="552"/>
    </i>
    <i t="default">
      <x v="2728"/>
    </i>
    <i>
      <x v="2729"/>
      <x v="552"/>
    </i>
    <i t="default">
      <x v="2729"/>
    </i>
    <i>
      <x v="2730"/>
      <x v="552"/>
    </i>
    <i t="default">
      <x v="2730"/>
    </i>
    <i>
      <x v="2731"/>
      <x v="552"/>
    </i>
    <i t="default">
      <x v="2731"/>
    </i>
    <i>
      <x v="2732"/>
      <x v="552"/>
    </i>
    <i t="default">
      <x v="2732"/>
    </i>
    <i>
      <x v="2733"/>
      <x v="552"/>
    </i>
    <i t="default">
      <x v="2733"/>
    </i>
    <i>
      <x v="2734"/>
      <x v="552"/>
    </i>
    <i t="default">
      <x v="2734"/>
    </i>
    <i>
      <x v="2735"/>
      <x v="552"/>
    </i>
    <i t="default">
      <x v="2735"/>
    </i>
    <i>
      <x v="2736"/>
      <x v="552"/>
    </i>
    <i t="default">
      <x v="2736"/>
    </i>
    <i>
      <x v="2737"/>
      <x v="552"/>
    </i>
    <i t="default">
      <x v="2737"/>
    </i>
    <i>
      <x v="2738"/>
      <x v="552"/>
    </i>
    <i t="default">
      <x v="2738"/>
    </i>
    <i>
      <x v="2739"/>
      <x v="552"/>
    </i>
    <i t="default">
      <x v="2739"/>
    </i>
    <i>
      <x v="2740"/>
      <x v="552"/>
    </i>
    <i t="default">
      <x v="2740"/>
    </i>
    <i>
      <x v="2741"/>
      <x v="552"/>
    </i>
    <i t="default">
      <x v="2741"/>
    </i>
    <i>
      <x v="2742"/>
      <x v="552"/>
    </i>
    <i t="default">
      <x v="2742"/>
    </i>
    <i>
      <x v="2743"/>
      <x v="552"/>
    </i>
    <i t="default">
      <x v="2743"/>
    </i>
    <i>
      <x v="2744"/>
      <x v="552"/>
    </i>
    <i t="default">
      <x v="2744"/>
    </i>
    <i>
      <x v="2745"/>
      <x v="552"/>
    </i>
    <i t="default">
      <x v="2745"/>
    </i>
    <i>
      <x v="2746"/>
      <x v="552"/>
    </i>
    <i t="default">
      <x v="2746"/>
    </i>
    <i>
      <x v="2747"/>
      <x v="552"/>
    </i>
    <i t="default">
      <x v="2747"/>
    </i>
    <i>
      <x v="2748"/>
      <x v="552"/>
    </i>
    <i t="default">
      <x v="2748"/>
    </i>
    <i>
      <x v="2749"/>
      <x v="552"/>
    </i>
    <i t="default">
      <x v="2749"/>
    </i>
    <i>
      <x v="2750"/>
      <x v="552"/>
    </i>
    <i t="default">
      <x v="2750"/>
    </i>
    <i>
      <x v="2751"/>
      <x v="552"/>
    </i>
    <i t="default">
      <x v="2751"/>
    </i>
    <i>
      <x v="2752"/>
      <x v="552"/>
    </i>
    <i t="default">
      <x v="2752"/>
    </i>
    <i>
      <x v="2753"/>
      <x v="552"/>
    </i>
    <i t="default">
      <x v="2753"/>
    </i>
    <i>
      <x v="2754"/>
      <x v="66"/>
    </i>
    <i t="default">
      <x v="2754"/>
    </i>
    <i>
      <x v="2755"/>
      <x v="552"/>
    </i>
    <i t="default">
      <x v="2755"/>
    </i>
    <i>
      <x v="2756"/>
      <x v="552"/>
    </i>
    <i t="default">
      <x v="2756"/>
    </i>
    <i>
      <x v="2757"/>
      <x v="552"/>
    </i>
    <i t="default">
      <x v="2757"/>
    </i>
    <i>
      <x v="2758"/>
      <x v="552"/>
    </i>
    <i t="default">
      <x v="2758"/>
    </i>
    <i>
      <x v="2759"/>
      <x v="552"/>
    </i>
    <i t="default">
      <x v="2759"/>
    </i>
    <i>
      <x v="2760"/>
      <x v="552"/>
    </i>
    <i t="default">
      <x v="2760"/>
    </i>
    <i>
      <x v="2761"/>
      <x v="552"/>
    </i>
    <i t="default">
      <x v="2761"/>
    </i>
    <i>
      <x v="2762"/>
      <x v="552"/>
    </i>
    <i t="default">
      <x v="2762"/>
    </i>
    <i>
      <x v="2763"/>
      <x v="552"/>
    </i>
    <i t="default">
      <x v="2763"/>
    </i>
    <i>
      <x v="2764"/>
      <x v="552"/>
    </i>
    <i t="default">
      <x v="2764"/>
    </i>
    <i>
      <x v="2765"/>
      <x v="552"/>
    </i>
    <i t="default">
      <x v="2765"/>
    </i>
    <i>
      <x v="2766"/>
      <x v="552"/>
    </i>
    <i t="default">
      <x v="2766"/>
    </i>
    <i>
      <x v="2767"/>
      <x v="552"/>
    </i>
    <i t="default">
      <x v="2767"/>
    </i>
    <i>
      <x v="2768"/>
      <x v="552"/>
    </i>
    <i t="default">
      <x v="2768"/>
    </i>
    <i>
      <x v="2769"/>
      <x v="552"/>
    </i>
    <i t="default">
      <x v="2769"/>
    </i>
    <i>
      <x v="2770"/>
      <x v="552"/>
    </i>
    <i t="default">
      <x v="2770"/>
    </i>
    <i>
      <x v="2771"/>
      <x v="552"/>
    </i>
    <i t="default">
      <x v="2771"/>
    </i>
    <i>
      <x v="2772"/>
      <x v="552"/>
    </i>
    <i t="default">
      <x v="2772"/>
    </i>
    <i>
      <x v="2773"/>
      <x v="552"/>
    </i>
    <i t="default">
      <x v="2773"/>
    </i>
    <i>
      <x v="2774"/>
      <x v="552"/>
    </i>
    <i t="default">
      <x v="2774"/>
    </i>
    <i>
      <x v="2775"/>
      <x v="552"/>
    </i>
    <i t="default">
      <x v="2775"/>
    </i>
    <i>
      <x v="2776"/>
      <x v="552"/>
    </i>
    <i t="default">
      <x v="2776"/>
    </i>
    <i>
      <x v="2777"/>
      <x v="552"/>
    </i>
    <i t="default">
      <x v="2777"/>
    </i>
    <i>
      <x v="2778"/>
      <x v="552"/>
    </i>
    <i t="default">
      <x v="2778"/>
    </i>
    <i>
      <x v="2779"/>
      <x v="552"/>
    </i>
    <i t="default">
      <x v="2779"/>
    </i>
    <i>
      <x v="2780"/>
      <x v="552"/>
    </i>
    <i t="default">
      <x v="2780"/>
    </i>
    <i>
      <x v="2781"/>
      <x v="552"/>
    </i>
    <i t="default">
      <x v="2781"/>
    </i>
    <i>
      <x v="2782"/>
      <x v="552"/>
    </i>
    <i t="default">
      <x v="2782"/>
    </i>
    <i>
      <x v="2783"/>
      <x v="552"/>
    </i>
    <i t="default">
      <x v="2783"/>
    </i>
    <i>
      <x v="2784"/>
      <x v="552"/>
    </i>
    <i t="default">
      <x v="2784"/>
    </i>
    <i>
      <x v="2785"/>
      <x v="552"/>
    </i>
    <i t="default">
      <x v="2785"/>
    </i>
    <i>
      <x v="2786"/>
      <x v="552"/>
    </i>
    <i t="default">
      <x v="2786"/>
    </i>
    <i>
      <x v="2787"/>
      <x v="552"/>
    </i>
    <i t="default">
      <x v="2787"/>
    </i>
    <i>
      <x v="2788"/>
      <x v="552"/>
    </i>
    <i t="default">
      <x v="2788"/>
    </i>
    <i>
      <x v="2789"/>
      <x v="316"/>
    </i>
    <i t="default">
      <x v="2789"/>
    </i>
    <i>
      <x v="2790"/>
      <x v="552"/>
    </i>
    <i t="default">
      <x v="2790"/>
    </i>
    <i>
      <x v="2791"/>
      <x v="552"/>
    </i>
    <i t="default">
      <x v="2791"/>
    </i>
    <i>
      <x v="2792"/>
      <x v="552"/>
    </i>
    <i t="default">
      <x v="2792"/>
    </i>
    <i>
      <x v="2793"/>
      <x v="552"/>
    </i>
    <i t="default">
      <x v="2793"/>
    </i>
    <i>
      <x v="2794"/>
      <x v="552"/>
    </i>
    <i t="default">
      <x v="2794"/>
    </i>
    <i>
      <x v="2795"/>
      <x v="552"/>
    </i>
    <i t="default">
      <x v="2795"/>
    </i>
    <i>
      <x v="2796"/>
      <x v="552"/>
    </i>
    <i t="default">
      <x v="2796"/>
    </i>
    <i>
      <x v="2797"/>
      <x v="552"/>
    </i>
    <i t="default">
      <x v="2797"/>
    </i>
    <i>
      <x v="2798"/>
      <x v="295"/>
    </i>
    <i r="1">
      <x v="552"/>
    </i>
    <i t="default">
      <x v="2798"/>
    </i>
    <i>
      <x v="2799"/>
      <x v="552"/>
    </i>
    <i t="default">
      <x v="2799"/>
    </i>
    <i>
      <x v="2800"/>
      <x v="552"/>
    </i>
    <i t="default">
      <x v="2800"/>
    </i>
    <i>
      <x v="2801"/>
      <x v="552"/>
    </i>
    <i t="default">
      <x v="2801"/>
    </i>
    <i>
      <x v="2802"/>
      <x v="445"/>
    </i>
    <i t="default">
      <x v="2802"/>
    </i>
    <i>
      <x v="2803"/>
      <x v="73"/>
    </i>
    <i t="default">
      <x v="2803"/>
    </i>
    <i>
      <x v="2804"/>
      <x v="552"/>
    </i>
    <i t="default">
      <x v="2804"/>
    </i>
    <i>
      <x v="2805"/>
      <x v="552"/>
    </i>
    <i t="default">
      <x v="2805"/>
    </i>
    <i>
      <x v="2806"/>
      <x v="552"/>
    </i>
    <i t="default">
      <x v="2806"/>
    </i>
    <i>
      <x v="2807"/>
      <x v="552"/>
    </i>
    <i t="default">
      <x v="2807"/>
    </i>
    <i>
      <x v="2808"/>
      <x v="552"/>
    </i>
    <i t="default">
      <x v="2808"/>
    </i>
    <i>
      <x v="2809"/>
      <x v="552"/>
    </i>
    <i t="default">
      <x v="2809"/>
    </i>
    <i>
      <x v="2810"/>
      <x v="552"/>
    </i>
    <i t="default">
      <x v="2810"/>
    </i>
    <i>
      <x v="2811"/>
      <x v="552"/>
    </i>
    <i t="default">
      <x v="2811"/>
    </i>
    <i>
      <x v="2812"/>
      <x v="552"/>
    </i>
    <i t="default">
      <x v="2812"/>
    </i>
    <i>
      <x v="2813"/>
      <x v="552"/>
    </i>
    <i t="default">
      <x v="2813"/>
    </i>
    <i>
      <x v="2814"/>
      <x v="552"/>
    </i>
    <i t="default">
      <x v="2814"/>
    </i>
    <i>
      <x v="2815"/>
      <x v="552"/>
    </i>
    <i t="default">
      <x v="2815"/>
    </i>
    <i>
      <x v="2816"/>
      <x v="552"/>
    </i>
    <i t="default">
      <x v="2816"/>
    </i>
    <i>
      <x v="2817"/>
      <x v="552"/>
    </i>
    <i t="default">
      <x v="2817"/>
    </i>
    <i>
      <x v="2818"/>
      <x v="552"/>
    </i>
    <i t="default">
      <x v="2818"/>
    </i>
    <i>
      <x v="2819"/>
      <x v="552"/>
    </i>
    <i t="default">
      <x v="2819"/>
    </i>
    <i>
      <x v="2820"/>
      <x v="552"/>
    </i>
    <i t="default">
      <x v="2820"/>
    </i>
    <i>
      <x v="2821"/>
      <x v="552"/>
    </i>
    <i t="default">
      <x v="2821"/>
    </i>
    <i>
      <x v="2822"/>
      <x v="552"/>
    </i>
    <i t="default">
      <x v="2822"/>
    </i>
    <i>
      <x v="2823"/>
      <x v="552"/>
    </i>
    <i t="default">
      <x v="2823"/>
    </i>
    <i>
      <x v="2824"/>
      <x v="552"/>
    </i>
    <i t="default">
      <x v="2824"/>
    </i>
    <i>
      <x v="2825"/>
      <x v="552"/>
    </i>
    <i t="default">
      <x v="2825"/>
    </i>
    <i>
      <x v="2826"/>
      <x v="552"/>
    </i>
    <i t="default">
      <x v="2826"/>
    </i>
    <i>
      <x v="2827"/>
      <x v="552"/>
    </i>
    <i t="default">
      <x v="2827"/>
    </i>
    <i>
      <x v="2828"/>
      <x v="552"/>
    </i>
    <i t="default">
      <x v="2828"/>
    </i>
    <i>
      <x v="2829"/>
      <x v="552"/>
    </i>
    <i t="default">
      <x v="2829"/>
    </i>
    <i>
      <x v="2830"/>
      <x v="552"/>
    </i>
    <i t="default">
      <x v="2830"/>
    </i>
    <i>
      <x v="2831"/>
      <x v="552"/>
    </i>
    <i t="default">
      <x v="2831"/>
    </i>
    <i>
      <x v="2832"/>
      <x v="552"/>
    </i>
    <i t="default">
      <x v="2832"/>
    </i>
    <i>
      <x v="2833"/>
      <x v="552"/>
    </i>
    <i t="default">
      <x v="2833"/>
    </i>
    <i>
      <x v="2834"/>
      <x v="552"/>
    </i>
    <i t="default">
      <x v="2834"/>
    </i>
    <i>
      <x v="2835"/>
      <x v="552"/>
    </i>
    <i t="default">
      <x v="2835"/>
    </i>
    <i>
      <x v="2836"/>
      <x v="552"/>
    </i>
    <i t="default">
      <x v="2836"/>
    </i>
    <i>
      <x v="2837"/>
      <x v="552"/>
    </i>
    <i t="default">
      <x v="2837"/>
    </i>
    <i>
      <x v="2838"/>
      <x v="552"/>
    </i>
    <i t="default">
      <x v="2838"/>
    </i>
    <i>
      <x v="2839"/>
      <x v="552"/>
    </i>
    <i t="default">
      <x v="2839"/>
    </i>
    <i>
      <x v="2840"/>
      <x v="552"/>
    </i>
    <i t="default">
      <x v="2840"/>
    </i>
    <i>
      <x v="2841"/>
      <x v="510"/>
    </i>
    <i t="default">
      <x v="2841"/>
    </i>
    <i>
      <x v="2842"/>
      <x v="552"/>
    </i>
    <i t="default">
      <x v="2842"/>
    </i>
    <i>
      <x v="2843"/>
      <x v="552"/>
    </i>
    <i t="default">
      <x v="2843"/>
    </i>
    <i>
      <x v="2844"/>
      <x v="552"/>
    </i>
    <i t="default">
      <x v="2844"/>
    </i>
    <i>
      <x v="2845"/>
      <x v="552"/>
    </i>
    <i t="default">
      <x v="2845"/>
    </i>
    <i>
      <x v="2846"/>
      <x v="323"/>
    </i>
    <i t="default">
      <x v="2846"/>
    </i>
    <i>
      <x v="2847"/>
      <x v="552"/>
    </i>
    <i t="default">
      <x v="2847"/>
    </i>
    <i>
      <x v="2848"/>
      <x v="552"/>
    </i>
    <i t="default">
      <x v="2848"/>
    </i>
    <i>
      <x v="2849"/>
      <x v="552"/>
    </i>
    <i t="default">
      <x v="2849"/>
    </i>
    <i>
      <x v="2850"/>
      <x v="233"/>
    </i>
    <i t="default">
      <x v="2850"/>
    </i>
    <i>
      <x v="2851"/>
      <x v="552"/>
    </i>
    <i t="default">
      <x v="2851"/>
    </i>
    <i>
      <x v="2852"/>
      <x v="552"/>
    </i>
    <i t="default">
      <x v="2852"/>
    </i>
    <i>
      <x v="2853"/>
      <x v="552"/>
    </i>
    <i t="default">
      <x v="2853"/>
    </i>
    <i>
      <x v="2854"/>
      <x v="552"/>
    </i>
    <i t="default">
      <x v="2854"/>
    </i>
    <i>
      <x v="2855"/>
      <x v="552"/>
    </i>
    <i t="default">
      <x v="2855"/>
    </i>
    <i>
      <x v="2856"/>
      <x v="552"/>
    </i>
    <i t="default">
      <x v="2856"/>
    </i>
    <i>
      <x v="2857"/>
      <x v="552"/>
    </i>
    <i t="default">
      <x v="2857"/>
    </i>
    <i>
      <x v="2858"/>
      <x v="552"/>
    </i>
    <i t="default">
      <x v="2858"/>
    </i>
    <i>
      <x v="2859"/>
      <x v="552"/>
    </i>
    <i t="default">
      <x v="2859"/>
    </i>
    <i>
      <x v="2860"/>
      <x v="263"/>
    </i>
    <i t="default">
      <x v="2860"/>
    </i>
    <i>
      <x v="2861"/>
      <x v="552"/>
    </i>
    <i t="default">
      <x v="2861"/>
    </i>
    <i>
      <x v="2862"/>
      <x v="552"/>
    </i>
    <i t="default">
      <x v="2862"/>
    </i>
    <i>
      <x v="2863"/>
      <x v="552"/>
    </i>
    <i t="default">
      <x v="2863"/>
    </i>
    <i>
      <x v="2864"/>
      <x v="552"/>
    </i>
    <i t="default">
      <x v="2864"/>
    </i>
    <i>
      <x v="2865"/>
      <x v="552"/>
    </i>
    <i t="default">
      <x v="2865"/>
    </i>
    <i>
      <x v="2866"/>
      <x v="552"/>
    </i>
    <i t="default">
      <x v="2866"/>
    </i>
    <i>
      <x v="2867"/>
      <x v="552"/>
    </i>
    <i t="default">
      <x v="2867"/>
    </i>
    <i>
      <x v="2868"/>
      <x v="64"/>
    </i>
    <i t="default">
      <x v="2868"/>
    </i>
    <i>
      <x v="2869"/>
      <x v="552"/>
    </i>
    <i t="default">
      <x v="2869"/>
    </i>
    <i>
      <x v="2870"/>
      <x v="552"/>
    </i>
    <i t="default">
      <x v="2870"/>
    </i>
    <i>
      <x v="2871"/>
      <x v="552"/>
    </i>
    <i t="default">
      <x v="2871"/>
    </i>
    <i>
      <x v="2872"/>
      <x v="552"/>
    </i>
    <i t="default">
      <x v="2872"/>
    </i>
    <i>
      <x v="2873"/>
      <x v="552"/>
    </i>
    <i t="default">
      <x v="2873"/>
    </i>
    <i>
      <x v="2874"/>
      <x v="552"/>
    </i>
    <i t="default">
      <x v="2874"/>
    </i>
    <i>
      <x v="2875"/>
      <x v="92"/>
    </i>
    <i r="1">
      <x v="257"/>
    </i>
    <i r="1">
      <x v="552"/>
    </i>
    <i t="default">
      <x v="2875"/>
    </i>
    <i>
      <x v="2876"/>
      <x v="552"/>
    </i>
    <i t="default">
      <x v="2876"/>
    </i>
    <i>
      <x v="2877"/>
      <x v="552"/>
    </i>
    <i t="default">
      <x v="2877"/>
    </i>
    <i>
      <x v="2878"/>
      <x v="225"/>
    </i>
    <i r="1">
      <x v="552"/>
    </i>
    <i t="default">
      <x v="2878"/>
    </i>
    <i>
      <x v="2879"/>
      <x v="552"/>
    </i>
    <i t="default">
      <x v="2879"/>
    </i>
    <i>
      <x v="2880"/>
      <x v="552"/>
    </i>
    <i t="default">
      <x v="2880"/>
    </i>
    <i>
      <x v="2881"/>
      <x v="552"/>
    </i>
    <i t="default">
      <x v="2881"/>
    </i>
    <i>
      <x v="2882"/>
      <x v="57"/>
    </i>
    <i t="default">
      <x v="2882"/>
    </i>
    <i>
      <x v="2883"/>
      <x v="552"/>
    </i>
    <i t="default">
      <x v="2883"/>
    </i>
    <i>
      <x v="2884"/>
      <x v="552"/>
    </i>
    <i t="default">
      <x v="2884"/>
    </i>
    <i>
      <x v="2885"/>
      <x v="552"/>
    </i>
    <i t="default">
      <x v="2885"/>
    </i>
    <i>
      <x v="2886"/>
      <x v="552"/>
    </i>
    <i t="default">
      <x v="2886"/>
    </i>
    <i>
      <x v="2887"/>
      <x v="552"/>
    </i>
    <i t="default">
      <x v="2887"/>
    </i>
    <i>
      <x v="2888"/>
      <x v="552"/>
    </i>
    <i t="default">
      <x v="2888"/>
    </i>
    <i>
      <x v="2889"/>
      <x v="552"/>
    </i>
    <i t="default">
      <x v="2889"/>
    </i>
    <i>
      <x v="2890"/>
      <x v="552"/>
    </i>
    <i t="default">
      <x v="2890"/>
    </i>
    <i>
      <x v="2891"/>
      <x v="552"/>
    </i>
    <i t="default">
      <x v="2891"/>
    </i>
    <i>
      <x v="2892"/>
      <x v="552"/>
    </i>
    <i t="default">
      <x v="2892"/>
    </i>
    <i>
      <x v="2893"/>
      <x v="552"/>
    </i>
    <i t="default">
      <x v="2893"/>
    </i>
    <i>
      <x v="2894"/>
      <x v="552"/>
    </i>
    <i t="default">
      <x v="2894"/>
    </i>
    <i>
      <x v="2895"/>
      <x v="552"/>
    </i>
    <i t="default">
      <x v="2895"/>
    </i>
    <i>
      <x v="2896"/>
      <x v="552"/>
    </i>
    <i t="default">
      <x v="2896"/>
    </i>
    <i>
      <x v="2897"/>
      <x v="552"/>
    </i>
    <i t="default">
      <x v="2897"/>
    </i>
    <i>
      <x v="2898"/>
      <x v="552"/>
    </i>
    <i t="default">
      <x v="2898"/>
    </i>
    <i>
      <x v="2899"/>
      <x v="552"/>
    </i>
    <i t="default">
      <x v="2899"/>
    </i>
    <i>
      <x v="2900"/>
      <x v="552"/>
    </i>
    <i t="default">
      <x v="2900"/>
    </i>
    <i>
      <x v="2901"/>
      <x v="552"/>
    </i>
    <i t="default">
      <x v="2901"/>
    </i>
    <i>
      <x v="2902"/>
      <x v="552"/>
    </i>
    <i t="default">
      <x v="2902"/>
    </i>
    <i>
      <x v="2903"/>
      <x v="206"/>
    </i>
    <i r="1">
      <x v="552"/>
    </i>
    <i t="default">
      <x v="2903"/>
    </i>
    <i>
      <x v="2904"/>
      <x v="552"/>
    </i>
    <i t="default">
      <x v="2904"/>
    </i>
    <i>
      <x v="2905"/>
      <x v="552"/>
    </i>
    <i t="default">
      <x v="2905"/>
    </i>
    <i>
      <x v="2906"/>
      <x v="447"/>
    </i>
    <i t="default">
      <x v="2906"/>
    </i>
    <i>
      <x v="2907"/>
      <x v="552"/>
    </i>
    <i t="default">
      <x v="2907"/>
    </i>
    <i>
      <x v="2908"/>
      <x v="459"/>
    </i>
    <i r="1">
      <x v="552"/>
    </i>
    <i t="default">
      <x v="2908"/>
    </i>
    <i>
      <x v="2909"/>
      <x v="552"/>
    </i>
    <i t="default">
      <x v="2909"/>
    </i>
    <i>
      <x v="2910"/>
      <x v="552"/>
    </i>
    <i t="default">
      <x v="2910"/>
    </i>
    <i>
      <x v="2911"/>
      <x v="552"/>
    </i>
    <i t="default">
      <x v="2911"/>
    </i>
    <i>
      <x v="2912"/>
      <x v="552"/>
    </i>
    <i t="default">
      <x v="2912"/>
    </i>
    <i>
      <x v="2913"/>
      <x v="552"/>
    </i>
    <i t="default">
      <x v="2913"/>
    </i>
    <i>
      <x v="2914"/>
      <x v="552"/>
    </i>
    <i t="default">
      <x v="2914"/>
    </i>
    <i>
      <x v="2915"/>
      <x v="552"/>
    </i>
    <i t="default">
      <x v="2915"/>
    </i>
    <i>
      <x v="2916"/>
      <x v="552"/>
    </i>
    <i t="default">
      <x v="2916"/>
    </i>
    <i>
      <x v="2917"/>
      <x v="552"/>
    </i>
    <i t="default">
      <x v="2917"/>
    </i>
    <i>
      <x v="2918"/>
      <x v="552"/>
    </i>
    <i t="default">
      <x v="2918"/>
    </i>
    <i>
      <x v="2919"/>
      <x v="552"/>
    </i>
    <i t="default">
      <x v="2919"/>
    </i>
    <i>
      <x v="2920"/>
      <x v="552"/>
    </i>
    <i t="default">
      <x v="2920"/>
    </i>
    <i>
      <x v="2921"/>
      <x v="552"/>
    </i>
    <i t="default">
      <x v="2921"/>
    </i>
    <i>
      <x v="2922"/>
      <x v="552"/>
    </i>
    <i t="default">
      <x v="2922"/>
    </i>
    <i>
      <x v="2923"/>
      <x v="552"/>
    </i>
    <i t="default">
      <x v="2923"/>
    </i>
    <i>
      <x v="2924"/>
      <x v="552"/>
    </i>
    <i t="default">
      <x v="2924"/>
    </i>
    <i>
      <x v="2925"/>
      <x v="552"/>
    </i>
    <i t="default">
      <x v="2925"/>
    </i>
    <i>
      <x v="2926"/>
      <x v="552"/>
    </i>
    <i t="default">
      <x v="2926"/>
    </i>
    <i>
      <x v="2927"/>
      <x v="552"/>
    </i>
    <i t="default">
      <x v="2927"/>
    </i>
    <i>
      <x v="2928"/>
      <x v="552"/>
    </i>
    <i t="default">
      <x v="2928"/>
    </i>
    <i>
      <x v="2929"/>
      <x v="552"/>
    </i>
    <i t="default">
      <x v="2929"/>
    </i>
    <i>
      <x v="2930"/>
      <x v="552"/>
    </i>
    <i t="default">
      <x v="2930"/>
    </i>
    <i>
      <x v="2931"/>
      <x v="552"/>
    </i>
    <i t="default">
      <x v="2931"/>
    </i>
    <i>
      <x v="2932"/>
      <x v="552"/>
    </i>
    <i t="default">
      <x v="2932"/>
    </i>
    <i>
      <x v="2933"/>
      <x v="552"/>
    </i>
    <i t="default">
      <x v="2933"/>
    </i>
    <i>
      <x v="2934"/>
      <x v="75"/>
    </i>
    <i r="1">
      <x v="552"/>
    </i>
    <i t="default">
      <x v="2934"/>
    </i>
    <i>
      <x v="2935"/>
      <x v="552"/>
    </i>
    <i t="default">
      <x v="2935"/>
    </i>
    <i>
      <x v="2936"/>
      <x v="552"/>
    </i>
    <i t="default">
      <x v="2936"/>
    </i>
    <i>
      <x v="2937"/>
      <x v="552"/>
    </i>
    <i t="default">
      <x v="2937"/>
    </i>
    <i>
      <x v="2938"/>
      <x v="238"/>
    </i>
    <i r="1">
      <x v="552"/>
    </i>
    <i t="default">
      <x v="2938"/>
    </i>
    <i>
      <x v="2939"/>
      <x v="443"/>
    </i>
    <i r="1">
      <x v="552"/>
    </i>
    <i t="default">
      <x v="2939"/>
    </i>
    <i>
      <x v="2940"/>
      <x v="552"/>
    </i>
    <i t="default">
      <x v="2940"/>
    </i>
    <i>
      <x v="2941"/>
      <x v="552"/>
    </i>
    <i t="default">
      <x v="2941"/>
    </i>
    <i>
      <x v="2942"/>
      <x v="552"/>
    </i>
    <i t="default">
      <x v="2942"/>
    </i>
    <i>
      <x v="2943"/>
      <x v="552"/>
    </i>
    <i t="default">
      <x v="2943"/>
    </i>
    <i>
      <x v="2944"/>
      <x v="552"/>
    </i>
    <i t="default">
      <x v="2944"/>
    </i>
    <i>
      <x v="2945"/>
      <x v="431"/>
    </i>
    <i r="1">
      <x v="552"/>
    </i>
    <i t="default">
      <x v="2945"/>
    </i>
    <i>
      <x v="2946"/>
      <x v="552"/>
    </i>
    <i t="default">
      <x v="2946"/>
    </i>
    <i>
      <x v="2947"/>
      <x v="552"/>
    </i>
    <i t="default">
      <x v="2947"/>
    </i>
    <i>
      <x v="2948"/>
      <x v="552"/>
    </i>
    <i t="default">
      <x v="2948"/>
    </i>
    <i>
      <x v="2949"/>
      <x v="552"/>
    </i>
    <i t="default">
      <x v="2949"/>
    </i>
    <i>
      <x v="2950"/>
      <x v="310"/>
    </i>
    <i r="1">
      <x v="552"/>
    </i>
    <i t="default">
      <x v="2950"/>
    </i>
    <i>
      <x v="2951"/>
      <x v="552"/>
    </i>
    <i t="default">
      <x v="2951"/>
    </i>
    <i>
      <x v="2952"/>
      <x v="552"/>
    </i>
    <i t="default">
      <x v="2952"/>
    </i>
    <i>
      <x v="2953"/>
      <x v="552"/>
    </i>
    <i t="default">
      <x v="2953"/>
    </i>
    <i>
      <x v="2954"/>
      <x v="552"/>
    </i>
    <i t="default">
      <x v="2954"/>
    </i>
    <i>
      <x v="2955"/>
      <x v="552"/>
    </i>
    <i t="default">
      <x v="2955"/>
    </i>
    <i>
      <x v="2956"/>
      <x v="552"/>
    </i>
    <i t="default">
      <x v="2956"/>
    </i>
    <i>
      <x v="2957"/>
      <x v="552"/>
    </i>
    <i t="default">
      <x v="2957"/>
    </i>
    <i>
      <x v="2958"/>
      <x v="460"/>
    </i>
    <i r="1">
      <x v="552"/>
    </i>
    <i t="default">
      <x v="2958"/>
    </i>
    <i>
      <x v="2959"/>
      <x v="552"/>
    </i>
    <i t="default">
      <x v="2959"/>
    </i>
    <i>
      <x v="2960"/>
      <x v="552"/>
    </i>
    <i t="default">
      <x v="2960"/>
    </i>
    <i>
      <x v="2961"/>
      <x v="401"/>
    </i>
    <i r="1">
      <x v="552"/>
    </i>
    <i t="default">
      <x v="2961"/>
    </i>
    <i>
      <x v="2962"/>
      <x v="552"/>
    </i>
    <i t="default">
      <x v="2962"/>
    </i>
    <i>
      <x v="2963"/>
      <x v="453"/>
    </i>
    <i r="1">
      <x v="552"/>
    </i>
    <i t="default">
      <x v="2963"/>
    </i>
    <i>
      <x v="2964"/>
      <x v="552"/>
    </i>
    <i t="default">
      <x v="2964"/>
    </i>
    <i>
      <x v="2965"/>
      <x v="552"/>
    </i>
    <i t="default">
      <x v="2965"/>
    </i>
    <i>
      <x v="2966"/>
      <x v="552"/>
    </i>
    <i t="default">
      <x v="2966"/>
    </i>
    <i>
      <x v="2967"/>
      <x v="552"/>
    </i>
    <i t="default">
      <x v="2967"/>
    </i>
    <i>
      <x v="2968"/>
      <x v="552"/>
    </i>
    <i t="default">
      <x v="2968"/>
    </i>
    <i>
      <x v="2969"/>
      <x v="552"/>
    </i>
    <i t="default">
      <x v="2969"/>
    </i>
    <i>
      <x v="2970"/>
      <x v="552"/>
    </i>
    <i t="default">
      <x v="2970"/>
    </i>
    <i>
      <x v="2971"/>
      <x v="552"/>
    </i>
    <i t="default">
      <x v="2971"/>
    </i>
    <i>
      <x v="2972"/>
      <x v="552"/>
    </i>
    <i t="default">
      <x v="2972"/>
    </i>
    <i>
      <x v="2973"/>
      <x v="552"/>
    </i>
    <i t="default">
      <x v="2973"/>
    </i>
    <i>
      <x v="2974"/>
      <x v="552"/>
    </i>
    <i t="default">
      <x v="2974"/>
    </i>
    <i>
      <x v="2975"/>
      <x v="552"/>
    </i>
    <i t="default">
      <x v="2975"/>
    </i>
    <i>
      <x v="2976"/>
      <x v="552"/>
    </i>
    <i t="default">
      <x v="2976"/>
    </i>
    <i>
      <x v="2977"/>
      <x v="371"/>
    </i>
    <i t="default">
      <x v="2977"/>
    </i>
    <i>
      <x v="2978"/>
      <x v="552"/>
    </i>
    <i t="default">
      <x v="2978"/>
    </i>
    <i>
      <x v="2979"/>
      <x v="552"/>
    </i>
    <i t="default">
      <x v="2979"/>
    </i>
    <i>
      <x v="2980"/>
      <x v="552"/>
    </i>
    <i t="default">
      <x v="2980"/>
    </i>
    <i>
      <x v="2981"/>
      <x v="552"/>
    </i>
    <i t="default">
      <x v="2981"/>
    </i>
    <i>
      <x v="2982"/>
      <x v="552"/>
    </i>
    <i t="default">
      <x v="2982"/>
    </i>
    <i>
      <x v="2983"/>
      <x v="552"/>
    </i>
    <i t="default">
      <x v="2983"/>
    </i>
    <i>
      <x v="2984"/>
      <x v="552"/>
    </i>
    <i t="default">
      <x v="2984"/>
    </i>
    <i>
      <x v="2985"/>
      <x v="552"/>
    </i>
    <i t="default">
      <x v="2985"/>
    </i>
    <i>
      <x v="2986"/>
      <x v="552"/>
    </i>
    <i t="default">
      <x v="2986"/>
    </i>
    <i>
      <x v="2987"/>
      <x v="552"/>
    </i>
    <i t="default">
      <x v="2987"/>
    </i>
    <i>
      <x v="2988"/>
      <x v="552"/>
    </i>
    <i t="default">
      <x v="2988"/>
    </i>
    <i>
      <x v="2989"/>
      <x v="552"/>
    </i>
    <i t="default">
      <x v="2989"/>
    </i>
    <i>
      <x v="2990"/>
      <x v="552"/>
    </i>
    <i t="default">
      <x v="2990"/>
    </i>
    <i>
      <x v="2991"/>
      <x v="552"/>
    </i>
    <i t="default">
      <x v="2991"/>
    </i>
    <i>
      <x v="2992"/>
      <x v="552"/>
    </i>
    <i t="default">
      <x v="2992"/>
    </i>
    <i>
      <x v="2993"/>
      <x v="67"/>
    </i>
    <i t="default">
      <x v="2993"/>
    </i>
    <i>
      <x v="2994"/>
      <x v="552"/>
    </i>
    <i t="default">
      <x v="2994"/>
    </i>
    <i>
      <x v="2995"/>
      <x v="552"/>
    </i>
    <i t="default">
      <x v="2995"/>
    </i>
    <i>
      <x v="2996"/>
      <x v="552"/>
    </i>
    <i t="default">
      <x v="2996"/>
    </i>
    <i>
      <x v="2997"/>
      <x v="552"/>
    </i>
    <i t="default">
      <x v="2997"/>
    </i>
    <i>
      <x v="2998"/>
      <x v="552"/>
    </i>
    <i t="default">
      <x v="2998"/>
    </i>
    <i>
      <x v="2999"/>
      <x v="552"/>
    </i>
    <i t="default">
      <x v="2999"/>
    </i>
    <i>
      <x v="3000"/>
      <x v="552"/>
    </i>
    <i t="default">
      <x v="3000"/>
    </i>
    <i>
      <x v="3001"/>
      <x v="552"/>
    </i>
    <i t="default">
      <x v="3001"/>
    </i>
    <i>
      <x v="3002"/>
      <x v="552"/>
    </i>
    <i t="default">
      <x v="3002"/>
    </i>
    <i>
      <x v="3003"/>
      <x v="552"/>
    </i>
    <i t="default">
      <x v="3003"/>
    </i>
    <i>
      <x v="3004"/>
      <x v="552"/>
    </i>
    <i t="default">
      <x v="3004"/>
    </i>
    <i>
      <x v="3005"/>
      <x v="552"/>
    </i>
    <i t="default">
      <x v="3005"/>
    </i>
    <i>
      <x v="3006"/>
      <x v="552"/>
    </i>
    <i t="default">
      <x v="3006"/>
    </i>
    <i>
      <x v="3007"/>
      <x v="552"/>
    </i>
    <i t="default">
      <x v="3007"/>
    </i>
    <i>
      <x v="3008"/>
      <x v="552"/>
    </i>
    <i t="default">
      <x v="3008"/>
    </i>
    <i>
      <x v="3009"/>
      <x v="552"/>
    </i>
    <i t="default">
      <x v="3009"/>
    </i>
    <i>
      <x v="3010"/>
      <x v="552"/>
    </i>
    <i t="default">
      <x v="3010"/>
    </i>
    <i>
      <x v="3011"/>
      <x v="552"/>
    </i>
    <i t="default">
      <x v="3011"/>
    </i>
    <i>
      <x v="3012"/>
      <x v="552"/>
    </i>
    <i t="default">
      <x v="3012"/>
    </i>
    <i>
      <x v="3013"/>
      <x v="364"/>
    </i>
    <i t="default">
      <x v="3013"/>
    </i>
    <i>
      <x v="3014"/>
      <x v="552"/>
    </i>
    <i t="default">
      <x v="3014"/>
    </i>
    <i>
      <x v="3015"/>
      <x v="552"/>
    </i>
    <i t="default">
      <x v="3015"/>
    </i>
    <i>
      <x v="3016"/>
      <x v="552"/>
    </i>
    <i t="default">
      <x v="3016"/>
    </i>
    <i>
      <x v="3017"/>
      <x v="552"/>
    </i>
    <i t="default">
      <x v="3017"/>
    </i>
    <i>
      <x v="3018"/>
      <x v="552"/>
    </i>
    <i t="default">
      <x v="3018"/>
    </i>
    <i>
      <x v="3019"/>
      <x v="552"/>
    </i>
    <i t="default">
      <x v="3019"/>
    </i>
    <i>
      <x v="3020"/>
      <x v="552"/>
    </i>
    <i t="default">
      <x v="3020"/>
    </i>
    <i>
      <x v="3021"/>
      <x v="552"/>
    </i>
    <i t="default">
      <x v="3021"/>
    </i>
    <i>
      <x v="3022"/>
      <x v="552"/>
    </i>
    <i t="default">
      <x v="3022"/>
    </i>
    <i>
      <x v="3023"/>
      <x v="552"/>
    </i>
    <i t="default">
      <x v="3023"/>
    </i>
    <i>
      <x v="3024"/>
      <x v="552"/>
    </i>
    <i t="default">
      <x v="3024"/>
    </i>
    <i>
      <x v="3025"/>
      <x v="552"/>
    </i>
    <i t="default">
      <x v="3025"/>
    </i>
    <i>
      <x v="3026"/>
      <x v="552"/>
    </i>
    <i t="default">
      <x v="3026"/>
    </i>
    <i>
      <x v="3027"/>
      <x v="552"/>
    </i>
    <i t="default">
      <x v="3027"/>
    </i>
    <i>
      <x v="3028"/>
      <x v="552"/>
    </i>
    <i t="default">
      <x v="3028"/>
    </i>
    <i>
      <x v="3029"/>
      <x v="552"/>
    </i>
    <i t="default">
      <x v="3029"/>
    </i>
    <i>
      <x v="3030"/>
      <x v="175"/>
    </i>
    <i t="default">
      <x v="3030"/>
    </i>
    <i>
      <x v="3031"/>
      <x v="552"/>
    </i>
    <i t="default">
      <x v="3031"/>
    </i>
    <i>
      <x v="3032"/>
      <x v="552"/>
    </i>
    <i t="default">
      <x v="3032"/>
    </i>
    <i>
      <x v="3033"/>
      <x v="552"/>
    </i>
    <i t="default">
      <x v="3033"/>
    </i>
    <i>
      <x v="3034"/>
      <x v="131"/>
    </i>
    <i r="1">
      <x v="552"/>
    </i>
    <i t="default">
      <x v="3034"/>
    </i>
    <i>
      <x v="3035"/>
      <x v="552"/>
    </i>
    <i t="default">
      <x v="3035"/>
    </i>
    <i>
      <x v="3036"/>
      <x v="552"/>
    </i>
    <i t="default">
      <x v="3036"/>
    </i>
    <i>
      <x v="3037"/>
      <x v="552"/>
    </i>
    <i t="default">
      <x v="3037"/>
    </i>
    <i>
      <x v="3038"/>
      <x v="552"/>
    </i>
    <i t="default">
      <x v="3038"/>
    </i>
    <i>
      <x v="3039"/>
      <x v="552"/>
    </i>
    <i t="default">
      <x v="3039"/>
    </i>
    <i>
      <x v="3040"/>
      <x v="552"/>
    </i>
    <i t="default">
      <x v="3040"/>
    </i>
    <i>
      <x v="3041"/>
      <x v="552"/>
    </i>
    <i t="default">
      <x v="3041"/>
    </i>
    <i>
      <x v="3042"/>
      <x v="552"/>
    </i>
    <i t="default">
      <x v="3042"/>
    </i>
    <i>
      <x v="3043"/>
      <x v="552"/>
    </i>
    <i t="default">
      <x v="3043"/>
    </i>
    <i>
      <x v="3044"/>
      <x v="552"/>
    </i>
    <i t="default">
      <x v="3044"/>
    </i>
    <i>
      <x v="3045"/>
      <x v="552"/>
    </i>
    <i t="default">
      <x v="3045"/>
    </i>
    <i>
      <x v="3046"/>
      <x v="552"/>
    </i>
    <i t="default">
      <x v="3046"/>
    </i>
    <i>
      <x v="3047"/>
      <x v="552"/>
    </i>
    <i t="default">
      <x v="3047"/>
    </i>
    <i>
      <x v="3048"/>
      <x v="552"/>
    </i>
    <i t="default">
      <x v="3048"/>
    </i>
    <i>
      <x v="3049"/>
      <x v="552"/>
    </i>
    <i t="default">
      <x v="3049"/>
    </i>
    <i>
      <x v="3050"/>
      <x v="552"/>
    </i>
    <i t="default">
      <x v="3050"/>
    </i>
    <i>
      <x v="3051"/>
      <x v="552"/>
    </i>
    <i t="default">
      <x v="3051"/>
    </i>
    <i>
      <x v="3052"/>
      <x v="552"/>
    </i>
    <i t="default">
      <x v="3052"/>
    </i>
    <i>
      <x v="3053"/>
      <x v="125"/>
    </i>
    <i t="default">
      <x v="3053"/>
    </i>
    <i>
      <x v="3054"/>
      <x v="552"/>
    </i>
    <i t="default">
      <x v="3054"/>
    </i>
    <i>
      <x v="3055"/>
      <x v="552"/>
    </i>
    <i t="default">
      <x v="3055"/>
    </i>
    <i>
      <x v="3056"/>
      <x v="174"/>
    </i>
    <i r="1">
      <x v="552"/>
    </i>
    <i t="default">
      <x v="3056"/>
    </i>
    <i>
      <x v="3057"/>
      <x v="552"/>
    </i>
    <i t="default">
      <x v="3057"/>
    </i>
    <i>
      <x v="3058"/>
      <x v="552"/>
    </i>
    <i t="default">
      <x v="3058"/>
    </i>
    <i>
      <x v="3059"/>
      <x v="552"/>
    </i>
    <i t="default">
      <x v="3059"/>
    </i>
    <i>
      <x v="3060"/>
      <x v="552"/>
    </i>
    <i t="default">
      <x v="3060"/>
    </i>
    <i>
      <x v="3061"/>
      <x v="552"/>
    </i>
    <i t="default">
      <x v="3061"/>
    </i>
    <i>
      <x v="3062"/>
      <x v="552"/>
    </i>
    <i t="default">
      <x v="3062"/>
    </i>
    <i>
      <x v="3063"/>
      <x v="552"/>
    </i>
    <i t="default">
      <x v="3063"/>
    </i>
    <i>
      <x v="3064"/>
      <x v="552"/>
    </i>
    <i t="default">
      <x v="3064"/>
    </i>
    <i>
      <x v="3065"/>
      <x v="552"/>
    </i>
    <i t="default">
      <x v="3065"/>
    </i>
    <i>
      <x v="3066"/>
      <x v="552"/>
    </i>
    <i t="default">
      <x v="3066"/>
    </i>
    <i>
      <x v="3067"/>
      <x v="552"/>
    </i>
    <i t="default">
      <x v="3067"/>
    </i>
    <i>
      <x v="3068"/>
      <x v="552"/>
    </i>
    <i t="default">
      <x v="3068"/>
    </i>
    <i>
      <x v="3069"/>
      <x v="552"/>
    </i>
    <i t="default">
      <x v="3069"/>
    </i>
    <i>
      <x v="3070"/>
      <x v="552"/>
    </i>
    <i t="default">
      <x v="3070"/>
    </i>
    <i>
      <x v="3071"/>
      <x v="552"/>
    </i>
    <i t="default">
      <x v="3071"/>
    </i>
    <i>
      <x v="3072"/>
      <x v="552"/>
    </i>
    <i t="default">
      <x v="3072"/>
    </i>
    <i>
      <x v="3073"/>
      <x v="552"/>
    </i>
    <i t="default">
      <x v="3073"/>
    </i>
    <i>
      <x v="3074"/>
      <x v="552"/>
    </i>
    <i t="default">
      <x v="3074"/>
    </i>
    <i>
      <x v="3075"/>
      <x v="552"/>
    </i>
    <i t="default">
      <x v="3075"/>
    </i>
    <i>
      <x v="3076"/>
      <x v="552"/>
    </i>
    <i t="default">
      <x v="3076"/>
    </i>
    <i>
      <x v="3077"/>
      <x v="448"/>
    </i>
    <i r="1">
      <x v="552"/>
    </i>
    <i t="default">
      <x v="3077"/>
    </i>
    <i>
      <x v="3078"/>
      <x v="552"/>
    </i>
    <i t="default">
      <x v="3078"/>
    </i>
    <i>
      <x v="3079"/>
      <x v="552"/>
    </i>
    <i t="default">
      <x v="3079"/>
    </i>
    <i>
      <x v="3080"/>
      <x v="552"/>
    </i>
    <i t="default">
      <x v="3080"/>
    </i>
    <i>
      <x v="3081"/>
      <x v="552"/>
    </i>
    <i t="default">
      <x v="3081"/>
    </i>
    <i>
      <x v="3082"/>
      <x v="552"/>
    </i>
    <i t="default">
      <x v="3082"/>
    </i>
    <i>
      <x v="3083"/>
      <x v="552"/>
    </i>
    <i t="default">
      <x v="3083"/>
    </i>
    <i>
      <x v="3084"/>
      <x v="552"/>
    </i>
    <i t="default">
      <x v="3084"/>
    </i>
    <i>
      <x v="3085"/>
      <x v="552"/>
    </i>
    <i t="default">
      <x v="3085"/>
    </i>
    <i>
      <x v="3086"/>
      <x v="552"/>
    </i>
    <i t="default">
      <x v="3086"/>
    </i>
    <i>
      <x v="3087"/>
      <x v="552"/>
    </i>
    <i t="default">
      <x v="3087"/>
    </i>
    <i>
      <x v="3088"/>
      <x v="552"/>
    </i>
    <i t="default">
      <x v="3088"/>
    </i>
    <i>
      <x v="3089"/>
      <x v="336"/>
    </i>
    <i t="default">
      <x v="3089"/>
    </i>
    <i>
      <x v="3090"/>
      <x v="552"/>
    </i>
    <i t="default">
      <x v="3090"/>
    </i>
    <i>
      <x v="3091"/>
      <x v="552"/>
    </i>
    <i t="default">
      <x v="3091"/>
    </i>
    <i>
      <x v="3092"/>
      <x v="552"/>
    </i>
    <i t="default">
      <x v="3092"/>
    </i>
    <i>
      <x v="3093"/>
      <x v="253"/>
    </i>
    <i r="1">
      <x v="378"/>
    </i>
    <i t="default">
      <x v="3093"/>
    </i>
    <i>
      <x v="3094"/>
      <x v="389"/>
    </i>
    <i r="1">
      <x v="552"/>
    </i>
    <i t="default">
      <x v="3094"/>
    </i>
    <i>
      <x v="3095"/>
      <x v="552"/>
    </i>
    <i t="default">
      <x v="3095"/>
    </i>
    <i>
      <x v="3096"/>
      <x v="267"/>
    </i>
    <i t="default">
      <x v="3096"/>
    </i>
    <i>
      <x v="3097"/>
      <x v="552"/>
    </i>
    <i t="default">
      <x v="3097"/>
    </i>
    <i>
      <x v="3098"/>
      <x v="552"/>
    </i>
    <i t="default">
      <x v="3098"/>
    </i>
    <i>
      <x v="3099"/>
      <x v="552"/>
    </i>
    <i t="default">
      <x v="3099"/>
    </i>
    <i>
      <x v="3100"/>
      <x v="552"/>
    </i>
    <i t="default">
      <x v="3100"/>
    </i>
    <i>
      <x v="3101"/>
      <x v="552"/>
    </i>
    <i t="default">
      <x v="3101"/>
    </i>
    <i>
      <x v="3102"/>
      <x v="552"/>
    </i>
    <i t="default">
      <x v="3102"/>
    </i>
    <i>
      <x v="3103"/>
      <x v="552"/>
    </i>
    <i t="default">
      <x v="3103"/>
    </i>
    <i>
      <x v="3104"/>
      <x v="552"/>
    </i>
    <i t="default">
      <x v="3104"/>
    </i>
    <i>
      <x v="3105"/>
      <x v="552"/>
    </i>
    <i t="default">
      <x v="3105"/>
    </i>
    <i>
      <x v="3106"/>
      <x v="552"/>
    </i>
    <i t="default">
      <x v="3106"/>
    </i>
    <i>
      <x v="3107"/>
      <x v="483"/>
    </i>
    <i r="1">
      <x v="552"/>
    </i>
    <i t="default">
      <x v="3107"/>
    </i>
    <i>
      <x v="3108"/>
      <x v="552"/>
    </i>
    <i t="default">
      <x v="3108"/>
    </i>
    <i>
      <x v="3109"/>
      <x v="552"/>
    </i>
    <i t="default">
      <x v="3109"/>
    </i>
    <i>
      <x v="3110"/>
      <x v="552"/>
    </i>
    <i t="default">
      <x v="3110"/>
    </i>
    <i>
      <x v="3111"/>
      <x v="552"/>
    </i>
    <i t="default">
      <x v="3111"/>
    </i>
    <i>
      <x v="3112"/>
      <x v="552"/>
    </i>
    <i t="default">
      <x v="3112"/>
    </i>
    <i>
      <x v="3113"/>
      <x v="552"/>
    </i>
    <i t="default">
      <x v="3113"/>
    </i>
    <i>
      <x v="3114"/>
      <x v="552"/>
    </i>
    <i t="default">
      <x v="3114"/>
    </i>
    <i>
      <x v="3115"/>
      <x v="552"/>
    </i>
    <i t="default">
      <x v="3115"/>
    </i>
    <i>
      <x v="3116"/>
      <x v="552"/>
    </i>
    <i t="default">
      <x v="3116"/>
    </i>
    <i>
      <x v="3117"/>
      <x v="552"/>
    </i>
    <i t="default">
      <x v="3117"/>
    </i>
    <i>
      <x v="3118"/>
      <x v="552"/>
    </i>
    <i t="default">
      <x v="3118"/>
    </i>
    <i>
      <x v="3119"/>
      <x v="552"/>
    </i>
    <i t="default">
      <x v="3119"/>
    </i>
    <i>
      <x v="3120"/>
      <x v="552"/>
    </i>
    <i t="default">
      <x v="3120"/>
    </i>
    <i>
      <x v="3121"/>
      <x v="552"/>
    </i>
    <i t="default">
      <x v="3121"/>
    </i>
    <i>
      <x v="3122"/>
      <x v="552"/>
    </i>
    <i t="default">
      <x v="3122"/>
    </i>
    <i>
      <x v="3123"/>
      <x v="552"/>
    </i>
    <i t="default">
      <x v="3123"/>
    </i>
    <i>
      <x v="3124"/>
      <x v="552"/>
    </i>
    <i t="default">
      <x v="3124"/>
    </i>
    <i>
      <x v="3125"/>
      <x v="552"/>
    </i>
    <i t="default">
      <x v="3125"/>
    </i>
    <i>
      <x v="3126"/>
      <x v="552"/>
    </i>
    <i t="default">
      <x v="3126"/>
    </i>
    <i>
      <x v="3127"/>
      <x v="552"/>
    </i>
    <i t="default">
      <x v="3127"/>
    </i>
    <i>
      <x v="3128"/>
      <x v="552"/>
    </i>
    <i t="default">
      <x v="3128"/>
    </i>
    <i>
      <x v="3129"/>
      <x v="552"/>
    </i>
    <i t="default">
      <x v="3129"/>
    </i>
    <i>
      <x v="3130"/>
      <x v="552"/>
    </i>
    <i t="default">
      <x v="3130"/>
    </i>
    <i>
      <x v="3131"/>
      <x v="552"/>
    </i>
    <i t="default">
      <x v="3131"/>
    </i>
    <i>
      <x v="3132"/>
      <x v="552"/>
    </i>
    <i t="default">
      <x v="3132"/>
    </i>
    <i>
      <x v="3133"/>
      <x v="552"/>
    </i>
    <i t="default">
      <x v="3133"/>
    </i>
    <i>
      <x v="3134"/>
      <x v="552"/>
    </i>
    <i t="default">
      <x v="3134"/>
    </i>
    <i>
      <x v="3135"/>
      <x v="552"/>
    </i>
    <i t="default">
      <x v="3135"/>
    </i>
    <i>
      <x v="3136"/>
      <x v="552"/>
    </i>
    <i t="default">
      <x v="3136"/>
    </i>
    <i>
      <x v="3137"/>
      <x v="552"/>
    </i>
    <i t="default">
      <x v="3137"/>
    </i>
    <i>
      <x v="3138"/>
      <x v="552"/>
    </i>
    <i t="default">
      <x v="3138"/>
    </i>
    <i>
      <x v="3139"/>
      <x v="552"/>
    </i>
    <i t="default">
      <x v="3139"/>
    </i>
    <i>
      <x v="3140"/>
      <x v="552"/>
    </i>
    <i t="default">
      <x v="3140"/>
    </i>
    <i>
      <x v="3141"/>
      <x v="552"/>
    </i>
    <i t="default">
      <x v="3141"/>
    </i>
    <i>
      <x v="3142"/>
      <x v="552"/>
    </i>
    <i t="default">
      <x v="3142"/>
    </i>
    <i>
      <x v="3143"/>
      <x v="552"/>
    </i>
    <i t="default">
      <x v="3143"/>
    </i>
    <i>
      <x v="3144"/>
      <x v="552"/>
    </i>
    <i t="default">
      <x v="3144"/>
    </i>
    <i>
      <x v="3145"/>
      <x v="552"/>
    </i>
    <i t="default">
      <x v="3145"/>
    </i>
    <i>
      <x v="3146"/>
      <x v="552"/>
    </i>
    <i t="default">
      <x v="3146"/>
    </i>
    <i>
      <x v="3147"/>
      <x v="552"/>
    </i>
    <i t="default">
      <x v="3147"/>
    </i>
    <i>
      <x v="3148"/>
      <x v="552"/>
    </i>
    <i t="default">
      <x v="3148"/>
    </i>
    <i>
      <x v="3149"/>
      <x v="552"/>
    </i>
    <i t="default">
      <x v="3149"/>
    </i>
    <i>
      <x v="3150"/>
      <x v="552"/>
    </i>
    <i t="default">
      <x v="3150"/>
    </i>
    <i>
      <x v="3151"/>
      <x v="552"/>
    </i>
    <i t="default">
      <x v="3151"/>
    </i>
    <i>
      <x v="3152"/>
      <x v="552"/>
    </i>
    <i t="default">
      <x v="3152"/>
    </i>
    <i>
      <x v="3153"/>
      <x v="552"/>
    </i>
    <i t="default">
      <x v="3153"/>
    </i>
    <i>
      <x v="3154"/>
      <x v="552"/>
    </i>
    <i t="default">
      <x v="3154"/>
    </i>
    <i>
      <x v="3155"/>
      <x v="552"/>
    </i>
    <i t="default">
      <x v="3155"/>
    </i>
    <i>
      <x v="3156"/>
      <x v="552"/>
    </i>
    <i t="default">
      <x v="3156"/>
    </i>
    <i>
      <x v="3157"/>
      <x v="552"/>
    </i>
    <i t="default">
      <x v="3157"/>
    </i>
    <i>
      <x v="3158"/>
      <x v="534"/>
    </i>
    <i r="1">
      <x v="552"/>
    </i>
    <i t="default">
      <x v="3158"/>
    </i>
    <i>
      <x v="3159"/>
      <x v="552"/>
    </i>
    <i t="default">
      <x v="3159"/>
    </i>
    <i>
      <x v="3160"/>
      <x v="552"/>
    </i>
    <i t="default">
      <x v="3160"/>
    </i>
    <i>
      <x v="3161"/>
      <x v="552"/>
    </i>
    <i t="default">
      <x v="3161"/>
    </i>
    <i>
      <x v="3162"/>
      <x v="552"/>
    </i>
    <i t="default">
      <x v="3162"/>
    </i>
    <i>
      <x v="3163"/>
      <x v="552"/>
    </i>
    <i t="default">
      <x v="3163"/>
    </i>
    <i>
      <x v="3164"/>
      <x v="552"/>
    </i>
    <i t="default">
      <x v="3164"/>
    </i>
    <i>
      <x v="3165"/>
      <x v="552"/>
    </i>
    <i t="default">
      <x v="3165"/>
    </i>
    <i>
      <x v="3166"/>
      <x v="360"/>
    </i>
    <i t="default">
      <x v="3166"/>
    </i>
    <i>
      <x v="3167"/>
      <x v="552"/>
    </i>
    <i t="default">
      <x v="3167"/>
    </i>
    <i>
      <x v="3168"/>
      <x v="552"/>
    </i>
    <i t="default">
      <x v="3168"/>
    </i>
    <i>
      <x v="3169"/>
      <x v="552"/>
    </i>
    <i t="default">
      <x v="3169"/>
    </i>
    <i>
      <x v="3170"/>
      <x v="552"/>
    </i>
    <i t="default">
      <x v="3170"/>
    </i>
    <i>
      <x v="3171"/>
      <x v="552"/>
    </i>
    <i t="default">
      <x v="3171"/>
    </i>
    <i>
      <x v="3172"/>
      <x v="552"/>
    </i>
    <i t="default">
      <x v="3172"/>
    </i>
    <i>
      <x v="3173"/>
      <x v="552"/>
    </i>
    <i t="default">
      <x v="3173"/>
    </i>
    <i>
      <x v="3174"/>
      <x v="552"/>
    </i>
    <i t="default">
      <x v="3174"/>
    </i>
    <i>
      <x v="3175"/>
      <x v="552"/>
    </i>
    <i t="default">
      <x v="3175"/>
    </i>
    <i>
      <x v="3176"/>
      <x v="552"/>
    </i>
    <i t="default">
      <x v="3176"/>
    </i>
    <i>
      <x v="3177"/>
      <x v="552"/>
    </i>
    <i t="default">
      <x v="3177"/>
    </i>
    <i>
      <x v="3178"/>
      <x v="552"/>
    </i>
    <i t="default">
      <x v="3178"/>
    </i>
    <i>
      <x v="3179"/>
      <x v="552"/>
    </i>
    <i t="default">
      <x v="3179"/>
    </i>
    <i>
      <x v="3180"/>
      <x v="552"/>
    </i>
    <i t="default">
      <x v="3180"/>
    </i>
    <i>
      <x v="3181"/>
      <x v="552"/>
    </i>
    <i t="default">
      <x v="3181"/>
    </i>
    <i>
      <x v="3182"/>
      <x v="552"/>
    </i>
    <i t="default">
      <x v="3182"/>
    </i>
    <i>
      <x v="3183"/>
      <x v="358"/>
    </i>
    <i t="default">
      <x v="3183"/>
    </i>
    <i>
      <x v="3184"/>
      <x v="552"/>
    </i>
    <i t="default">
      <x v="3184"/>
    </i>
    <i>
      <x v="3185"/>
      <x v="552"/>
    </i>
    <i t="default">
      <x v="3185"/>
    </i>
    <i>
      <x v="3186"/>
      <x v="552"/>
    </i>
    <i t="default">
      <x v="3186"/>
    </i>
    <i>
      <x v="3187"/>
      <x v="552"/>
    </i>
    <i t="default">
      <x v="3187"/>
    </i>
    <i>
      <x v="3188"/>
      <x v="552"/>
    </i>
    <i t="default">
      <x v="3188"/>
    </i>
    <i>
      <x v="3189"/>
      <x v="552"/>
    </i>
    <i t="default">
      <x v="3189"/>
    </i>
    <i>
      <x v="3190"/>
      <x v="552"/>
    </i>
    <i t="default">
      <x v="3190"/>
    </i>
    <i>
      <x v="3191"/>
      <x v="552"/>
    </i>
    <i t="default">
      <x v="3191"/>
    </i>
    <i>
      <x v="3192"/>
      <x v="291"/>
    </i>
    <i t="default">
      <x v="3192"/>
    </i>
    <i>
      <x v="3193"/>
      <x v="552"/>
    </i>
    <i t="default">
      <x v="3193"/>
    </i>
    <i>
      <x v="3194"/>
      <x v="552"/>
    </i>
    <i t="default">
      <x v="3194"/>
    </i>
    <i>
      <x v="3195"/>
      <x v="552"/>
    </i>
    <i t="default">
      <x v="3195"/>
    </i>
    <i>
      <x v="3196"/>
      <x v="218"/>
    </i>
    <i t="default">
      <x v="3196"/>
    </i>
    <i>
      <x v="3197"/>
      <x v="552"/>
    </i>
    <i t="default">
      <x v="3197"/>
    </i>
    <i>
      <x v="3198"/>
      <x v="552"/>
    </i>
    <i t="default">
      <x v="3198"/>
    </i>
    <i>
      <x v="3199"/>
      <x v="552"/>
    </i>
    <i t="default">
      <x v="3199"/>
    </i>
    <i>
      <x v="3200"/>
      <x v="552"/>
    </i>
    <i t="default">
      <x v="3200"/>
    </i>
    <i>
      <x v="3201"/>
      <x v="502"/>
    </i>
    <i t="default">
      <x v="3201"/>
    </i>
    <i>
      <x v="3202"/>
      <x v="552"/>
    </i>
    <i t="default">
      <x v="3202"/>
    </i>
    <i>
      <x v="3203"/>
      <x v="552"/>
    </i>
    <i t="default">
      <x v="3203"/>
    </i>
    <i>
      <x v="3204"/>
      <x v="552"/>
    </i>
    <i t="default">
      <x v="3204"/>
    </i>
    <i>
      <x v="3205"/>
      <x v="552"/>
    </i>
    <i t="default">
      <x v="3205"/>
    </i>
    <i>
      <x v="3206"/>
      <x v="552"/>
    </i>
    <i t="default">
      <x v="3206"/>
    </i>
    <i>
      <x v="3207"/>
      <x v="552"/>
    </i>
    <i t="default">
      <x v="3207"/>
    </i>
    <i>
      <x v="3208"/>
      <x v="552"/>
    </i>
    <i t="default">
      <x v="3208"/>
    </i>
    <i>
      <x v="3209"/>
      <x v="552"/>
    </i>
    <i t="default">
      <x v="3209"/>
    </i>
    <i>
      <x v="3210"/>
      <x v="552"/>
    </i>
    <i t="default">
      <x v="3210"/>
    </i>
    <i>
      <x v="3211"/>
      <x v="552"/>
    </i>
    <i t="default">
      <x v="3211"/>
    </i>
    <i>
      <x v="3212"/>
      <x v="552"/>
    </i>
    <i t="default">
      <x v="3212"/>
    </i>
    <i>
      <x v="3213"/>
      <x v="552"/>
    </i>
    <i t="default">
      <x v="3213"/>
    </i>
    <i>
      <x v="3214"/>
      <x v="552"/>
    </i>
    <i t="default">
      <x v="3214"/>
    </i>
    <i>
      <x v="3215"/>
      <x v="552"/>
    </i>
    <i t="default">
      <x v="3215"/>
    </i>
    <i>
      <x v="3216"/>
      <x v="552"/>
    </i>
    <i t="default">
      <x v="3216"/>
    </i>
    <i>
      <x v="3217"/>
      <x v="552"/>
    </i>
    <i t="default">
      <x v="3217"/>
    </i>
    <i>
      <x v="3218"/>
      <x v="234"/>
    </i>
    <i t="default">
      <x v="3218"/>
    </i>
    <i>
      <x v="3219"/>
      <x v="552"/>
    </i>
    <i t="default">
      <x v="3219"/>
    </i>
    <i>
      <x v="3220"/>
      <x v="552"/>
    </i>
    <i t="default">
      <x v="3220"/>
    </i>
    <i>
      <x v="3221"/>
      <x v="552"/>
    </i>
    <i t="default">
      <x v="3221"/>
    </i>
    <i>
      <x v="3222"/>
      <x v="552"/>
    </i>
    <i t="default">
      <x v="3222"/>
    </i>
    <i>
      <x v="3223"/>
      <x v="552"/>
    </i>
    <i t="default">
      <x v="3223"/>
    </i>
    <i>
      <x v="3224"/>
      <x v="552"/>
    </i>
    <i t="default">
      <x v="3224"/>
    </i>
    <i>
      <x v="3225"/>
      <x v="552"/>
    </i>
    <i t="default">
      <x v="3225"/>
    </i>
    <i>
      <x v="3226"/>
      <x v="552"/>
    </i>
    <i t="default">
      <x v="3226"/>
    </i>
    <i>
      <x v="3227"/>
      <x v="552"/>
    </i>
    <i t="default">
      <x v="3227"/>
    </i>
    <i>
      <x v="3228"/>
      <x v="552"/>
    </i>
    <i t="default">
      <x v="3228"/>
    </i>
    <i>
      <x v="3229"/>
      <x v="552"/>
    </i>
    <i t="default">
      <x v="3229"/>
    </i>
    <i>
      <x v="3230"/>
      <x v="552"/>
    </i>
    <i t="default">
      <x v="3230"/>
    </i>
    <i>
      <x v="3231"/>
      <x v="552"/>
    </i>
    <i t="default">
      <x v="3231"/>
    </i>
    <i>
      <x v="3232"/>
      <x v="552"/>
    </i>
    <i t="default">
      <x v="3232"/>
    </i>
    <i>
      <x v="3233"/>
      <x v="552"/>
    </i>
    <i t="default">
      <x v="3233"/>
    </i>
    <i>
      <x v="3234"/>
      <x v="552"/>
    </i>
    <i t="default">
      <x v="3234"/>
    </i>
    <i>
      <x v="3235"/>
      <x v="552"/>
    </i>
    <i t="default">
      <x v="3235"/>
    </i>
    <i>
      <x v="3236"/>
      <x v="552"/>
    </i>
    <i t="default">
      <x v="3236"/>
    </i>
    <i>
      <x v="3237"/>
      <x v="552"/>
    </i>
    <i t="default">
      <x v="3237"/>
    </i>
    <i>
      <x v="3238"/>
      <x v="552"/>
    </i>
    <i t="default">
      <x v="3238"/>
    </i>
    <i>
      <x v="3239"/>
      <x v="552"/>
    </i>
    <i t="default">
      <x v="3239"/>
    </i>
    <i>
      <x v="3240"/>
      <x v="552"/>
    </i>
    <i t="default">
      <x v="3240"/>
    </i>
    <i>
      <x v="3241"/>
      <x v="552"/>
    </i>
    <i t="default">
      <x v="3241"/>
    </i>
    <i>
      <x v="3242"/>
      <x v="552"/>
    </i>
    <i t="default">
      <x v="3242"/>
    </i>
    <i>
      <x v="3243"/>
      <x v="552"/>
    </i>
    <i t="default">
      <x v="3243"/>
    </i>
    <i>
      <x v="3244"/>
      <x v="552"/>
    </i>
    <i t="default">
      <x v="3244"/>
    </i>
    <i>
      <x v="3245"/>
      <x v="552"/>
    </i>
    <i t="default">
      <x v="3245"/>
    </i>
    <i>
      <x v="3246"/>
      <x v="552"/>
    </i>
    <i t="default">
      <x v="3246"/>
    </i>
    <i>
      <x v="3247"/>
      <x v="552"/>
    </i>
    <i t="default">
      <x v="3247"/>
    </i>
    <i>
      <x v="3248"/>
      <x v="552"/>
    </i>
    <i t="default">
      <x v="3248"/>
    </i>
    <i>
      <x v="3249"/>
      <x v="552"/>
    </i>
    <i t="default">
      <x v="3249"/>
    </i>
    <i>
      <x v="3250"/>
      <x v="552"/>
    </i>
    <i t="default">
      <x v="3250"/>
    </i>
    <i>
      <x v="3251"/>
      <x v="552"/>
    </i>
    <i t="default">
      <x v="3251"/>
    </i>
    <i>
      <x v="3252"/>
      <x v="552"/>
    </i>
    <i t="default">
      <x v="3252"/>
    </i>
    <i>
      <x v="3253"/>
      <x v="552"/>
    </i>
    <i t="default">
      <x v="3253"/>
    </i>
    <i>
      <x v="3254"/>
      <x v="552"/>
    </i>
    <i t="default">
      <x v="3254"/>
    </i>
    <i>
      <x v="3255"/>
      <x v="552"/>
    </i>
    <i t="default">
      <x v="3255"/>
    </i>
    <i>
      <x v="3256"/>
      <x v="552"/>
    </i>
    <i t="default">
      <x v="3256"/>
    </i>
    <i>
      <x v="3257"/>
      <x v="552"/>
    </i>
    <i t="default">
      <x v="3257"/>
    </i>
    <i>
      <x v="3258"/>
      <x v="552"/>
    </i>
    <i t="default">
      <x v="3258"/>
    </i>
    <i>
      <x v="3259"/>
      <x v="484"/>
    </i>
    <i r="1">
      <x v="552"/>
    </i>
    <i t="default">
      <x v="3259"/>
    </i>
    <i>
      <x v="3260"/>
      <x v="552"/>
    </i>
    <i t="default">
      <x v="3260"/>
    </i>
    <i>
      <x v="3261"/>
      <x v="365"/>
    </i>
    <i r="1">
      <x v="552"/>
    </i>
    <i t="default">
      <x v="3261"/>
    </i>
    <i>
      <x v="3262"/>
      <x v="552"/>
    </i>
    <i t="default">
      <x v="3262"/>
    </i>
    <i>
      <x v="3263"/>
      <x v="552"/>
    </i>
    <i t="default">
      <x v="3263"/>
    </i>
    <i>
      <x v="3264"/>
      <x v="552"/>
    </i>
    <i t="default">
      <x v="3264"/>
    </i>
    <i>
      <x v="3265"/>
      <x v="552"/>
    </i>
    <i t="default">
      <x v="3265"/>
    </i>
    <i>
      <x v="3266"/>
      <x v="552"/>
    </i>
    <i t="default">
      <x v="3266"/>
    </i>
    <i>
      <x v="3267"/>
      <x v="552"/>
    </i>
    <i t="default">
      <x v="3267"/>
    </i>
    <i>
      <x v="3268"/>
      <x v="552"/>
    </i>
    <i t="default">
      <x v="3268"/>
    </i>
    <i>
      <x v="3269"/>
      <x v="344"/>
    </i>
    <i t="default">
      <x v="3269"/>
    </i>
    <i>
      <x v="3270"/>
      <x v="552"/>
    </i>
    <i t="default">
      <x v="3270"/>
    </i>
    <i>
      <x v="3271"/>
      <x v="552"/>
    </i>
    <i t="default">
      <x v="3271"/>
    </i>
    <i>
      <x v="3272"/>
      <x v="552"/>
    </i>
    <i t="default">
      <x v="3272"/>
    </i>
    <i>
      <x v="3273"/>
      <x v="442"/>
    </i>
    <i r="1">
      <x v="552"/>
    </i>
    <i t="default">
      <x v="3273"/>
    </i>
    <i>
      <x v="3274"/>
      <x v="552"/>
    </i>
    <i t="default">
      <x v="3274"/>
    </i>
    <i>
      <x v="3275"/>
      <x v="552"/>
    </i>
    <i t="default">
      <x v="3275"/>
    </i>
    <i>
      <x v="3276"/>
      <x v="552"/>
    </i>
    <i t="default">
      <x v="3276"/>
    </i>
    <i>
      <x v="3277"/>
      <x v="552"/>
    </i>
    <i t="default">
      <x v="3277"/>
    </i>
    <i>
      <x v="3278"/>
      <x v="552"/>
    </i>
    <i t="default">
      <x v="3278"/>
    </i>
    <i>
      <x v="3279"/>
      <x v="552"/>
    </i>
    <i t="default">
      <x v="3279"/>
    </i>
    <i>
      <x v="3280"/>
      <x v="434"/>
    </i>
    <i r="1">
      <x v="552"/>
    </i>
    <i t="default">
      <x v="3280"/>
    </i>
    <i>
      <x v="3281"/>
      <x v="552"/>
    </i>
    <i t="default">
      <x v="3281"/>
    </i>
    <i>
      <x v="3282"/>
      <x v="552"/>
    </i>
    <i t="default">
      <x v="3282"/>
    </i>
    <i>
      <x v="3283"/>
      <x v="552"/>
    </i>
    <i t="default">
      <x v="3283"/>
    </i>
    <i>
      <x v="3284"/>
      <x v="552"/>
    </i>
    <i t="default">
      <x v="3284"/>
    </i>
    <i>
      <x v="3285"/>
      <x v="552"/>
    </i>
    <i t="default">
      <x v="3285"/>
    </i>
    <i>
      <x v="3286"/>
      <x v="552"/>
    </i>
    <i t="default">
      <x v="3286"/>
    </i>
    <i>
      <x v="3287"/>
      <x v="552"/>
    </i>
    <i t="default">
      <x v="3287"/>
    </i>
    <i>
      <x v="3288"/>
      <x v="552"/>
    </i>
    <i t="default">
      <x v="3288"/>
    </i>
    <i>
      <x v="3289"/>
      <x v="552"/>
    </i>
    <i t="default">
      <x v="3289"/>
    </i>
    <i>
      <x v="3290"/>
      <x v="552"/>
    </i>
    <i t="default">
      <x v="3290"/>
    </i>
    <i>
      <x v="3291"/>
      <x v="552"/>
    </i>
    <i t="default">
      <x v="3291"/>
    </i>
    <i>
      <x v="3292"/>
      <x v="552"/>
    </i>
    <i t="default">
      <x v="3292"/>
    </i>
    <i>
      <x v="3293"/>
      <x v="552"/>
    </i>
    <i t="default">
      <x v="3293"/>
    </i>
    <i>
      <x v="3294"/>
      <x v="552"/>
    </i>
    <i t="default">
      <x v="3294"/>
    </i>
    <i>
      <x v="3295"/>
      <x v="353"/>
    </i>
    <i r="1">
      <x v="552"/>
    </i>
    <i t="default">
      <x v="3295"/>
    </i>
    <i>
      <x v="3296"/>
      <x v="552"/>
    </i>
    <i t="default">
      <x v="3296"/>
    </i>
    <i>
      <x v="3297"/>
      <x v="552"/>
    </i>
    <i t="default">
      <x v="3297"/>
    </i>
    <i>
      <x v="3298"/>
      <x v="552"/>
    </i>
    <i t="default">
      <x v="3298"/>
    </i>
    <i>
      <x v="3299"/>
      <x v="552"/>
    </i>
    <i t="default">
      <x v="3299"/>
    </i>
    <i>
      <x v="3300"/>
      <x v="552"/>
    </i>
    <i t="default">
      <x v="3300"/>
    </i>
    <i>
      <x v="3301"/>
      <x v="552"/>
    </i>
    <i t="default">
      <x v="3301"/>
    </i>
    <i>
      <x v="3302"/>
      <x v="552"/>
    </i>
    <i t="default">
      <x v="3302"/>
    </i>
    <i>
      <x v="3303"/>
      <x v="552"/>
    </i>
    <i t="default">
      <x v="3303"/>
    </i>
    <i>
      <x v="3304"/>
      <x v="552"/>
    </i>
    <i t="default">
      <x v="3304"/>
    </i>
    <i>
      <x v="3305"/>
      <x v="552"/>
    </i>
    <i t="default">
      <x v="3305"/>
    </i>
    <i>
      <x v="3306"/>
      <x v="552"/>
    </i>
    <i t="default">
      <x v="3306"/>
    </i>
    <i>
      <x v="3307"/>
      <x v="552"/>
    </i>
    <i t="default">
      <x v="3307"/>
    </i>
    <i>
      <x v="3308"/>
      <x v="396"/>
    </i>
    <i t="default">
      <x v="3308"/>
    </i>
    <i>
      <x v="3309"/>
      <x v="552"/>
    </i>
    <i t="default">
      <x v="3309"/>
    </i>
    <i>
      <x v="3310"/>
      <x v="552"/>
    </i>
    <i t="default">
      <x v="3310"/>
    </i>
    <i>
      <x v="3311"/>
      <x v="552"/>
    </i>
    <i t="default">
      <x v="3311"/>
    </i>
    <i>
      <x v="3312"/>
      <x v="552"/>
    </i>
    <i t="default">
      <x v="3312"/>
    </i>
    <i>
      <x v="3313"/>
      <x v="552"/>
    </i>
    <i t="default">
      <x v="3313"/>
    </i>
    <i>
      <x v="3314"/>
      <x v="552"/>
    </i>
    <i t="default">
      <x v="3314"/>
    </i>
    <i>
      <x v="3315"/>
      <x v="552"/>
    </i>
    <i t="default">
      <x v="3315"/>
    </i>
    <i>
      <x v="3316"/>
      <x v="552"/>
    </i>
    <i t="default">
      <x v="3316"/>
    </i>
    <i>
      <x v="3317"/>
      <x v="450"/>
    </i>
    <i r="1">
      <x v="552"/>
    </i>
    <i t="default">
      <x v="3317"/>
    </i>
    <i>
      <x v="3318"/>
      <x v="552"/>
    </i>
    <i t="default">
      <x v="3318"/>
    </i>
    <i>
      <x v="3319"/>
      <x v="552"/>
    </i>
    <i t="default">
      <x v="3319"/>
    </i>
    <i>
      <x v="3320"/>
      <x v="552"/>
    </i>
    <i t="default">
      <x v="3320"/>
    </i>
    <i>
      <x v="3321"/>
      <x v="552"/>
    </i>
    <i t="default">
      <x v="3321"/>
    </i>
    <i>
      <x v="3322"/>
      <x v="552"/>
    </i>
    <i t="default">
      <x v="3322"/>
    </i>
    <i>
      <x v="3323"/>
      <x v="552"/>
    </i>
    <i t="default">
      <x v="3323"/>
    </i>
    <i>
      <x v="3324"/>
      <x v="552"/>
    </i>
    <i t="default">
      <x v="3324"/>
    </i>
    <i>
      <x v="3325"/>
      <x v="552"/>
    </i>
    <i t="default">
      <x v="3325"/>
    </i>
    <i>
      <x v="3326"/>
      <x v="552"/>
    </i>
    <i t="default">
      <x v="3326"/>
    </i>
    <i>
      <x v="3327"/>
      <x v="552"/>
    </i>
    <i t="default">
      <x v="3327"/>
    </i>
    <i>
      <x v="3328"/>
      <x v="552"/>
    </i>
    <i t="default">
      <x v="3328"/>
    </i>
    <i>
      <x v="3329"/>
      <x v="552"/>
    </i>
    <i t="default">
      <x v="3329"/>
    </i>
    <i>
      <x v="3330"/>
      <x v="552"/>
    </i>
    <i t="default">
      <x v="3330"/>
    </i>
    <i>
      <x v="3331"/>
      <x v="552"/>
    </i>
    <i t="default">
      <x v="3331"/>
    </i>
    <i>
      <x v="3332"/>
      <x v="552"/>
    </i>
    <i t="default">
      <x v="3332"/>
    </i>
    <i>
      <x v="3333"/>
      <x v="552"/>
    </i>
    <i t="default">
      <x v="3333"/>
    </i>
    <i>
      <x v="3334"/>
      <x v="552"/>
    </i>
    <i t="default">
      <x v="3334"/>
    </i>
    <i>
      <x v="3335"/>
      <x v="552"/>
    </i>
    <i t="default">
      <x v="3335"/>
    </i>
    <i>
      <x v="3336"/>
      <x v="552"/>
    </i>
    <i t="default">
      <x v="3336"/>
    </i>
    <i>
      <x v="3337"/>
      <x v="552"/>
    </i>
    <i t="default">
      <x v="3337"/>
    </i>
    <i>
      <x v="3338"/>
      <x v="552"/>
    </i>
    <i t="default">
      <x v="3338"/>
    </i>
    <i>
      <x v="3339"/>
      <x v="552"/>
    </i>
    <i t="default">
      <x v="3339"/>
    </i>
    <i>
      <x v="3340"/>
      <x v="552"/>
    </i>
    <i t="default">
      <x v="3340"/>
    </i>
    <i>
      <x v="3341"/>
      <x v="552"/>
    </i>
    <i t="default">
      <x v="3341"/>
    </i>
    <i>
      <x v="3342"/>
      <x v="239"/>
    </i>
    <i r="1">
      <x v="552"/>
    </i>
    <i t="default">
      <x v="3342"/>
    </i>
    <i>
      <x v="3343"/>
      <x v="552"/>
    </i>
    <i t="default">
      <x v="3343"/>
    </i>
    <i>
      <x v="3344"/>
      <x v="245"/>
    </i>
    <i r="1">
      <x v="552"/>
    </i>
    <i t="default">
      <x v="3344"/>
    </i>
    <i>
      <x v="3345"/>
      <x v="552"/>
    </i>
    <i t="default">
      <x v="3345"/>
    </i>
    <i>
      <x v="3346"/>
      <x v="273"/>
    </i>
    <i r="1">
      <x v="552"/>
    </i>
    <i t="default">
      <x v="3346"/>
    </i>
    <i>
      <x v="3347"/>
      <x v="552"/>
    </i>
    <i t="default">
      <x v="3347"/>
    </i>
    <i>
      <x v="3348"/>
      <x v="552"/>
    </i>
    <i t="default">
      <x v="3348"/>
    </i>
    <i>
      <x v="3349"/>
      <x v="552"/>
    </i>
    <i t="default">
      <x v="3349"/>
    </i>
    <i>
      <x v="3350"/>
      <x v="552"/>
    </i>
    <i t="default">
      <x v="3350"/>
    </i>
    <i>
      <x v="3351"/>
      <x v="552"/>
    </i>
    <i t="default">
      <x v="3351"/>
    </i>
    <i>
      <x v="3352"/>
      <x v="552"/>
    </i>
    <i t="default">
      <x v="3352"/>
    </i>
    <i>
      <x v="3353"/>
      <x v="552"/>
    </i>
    <i t="default">
      <x v="3353"/>
    </i>
    <i>
      <x v="3354"/>
      <x v="552"/>
    </i>
    <i t="default">
      <x v="3354"/>
    </i>
    <i>
      <x v="3355"/>
      <x v="552"/>
    </i>
    <i t="default">
      <x v="3355"/>
    </i>
    <i>
      <x v="3356"/>
      <x v="552"/>
    </i>
    <i t="default">
      <x v="3356"/>
    </i>
    <i>
      <x v="3357"/>
      <x v="552"/>
    </i>
    <i t="default">
      <x v="3357"/>
    </i>
    <i>
      <x v="3358"/>
      <x v="552"/>
    </i>
    <i t="default">
      <x v="3358"/>
    </i>
    <i>
      <x v="3359"/>
      <x v="552"/>
    </i>
    <i t="default">
      <x v="3359"/>
    </i>
    <i>
      <x v="3360"/>
      <x v="552"/>
    </i>
    <i t="default">
      <x v="3360"/>
    </i>
    <i>
      <x v="3361"/>
      <x v="552"/>
    </i>
    <i t="default">
      <x v="3361"/>
    </i>
    <i>
      <x v="3362"/>
      <x v="552"/>
    </i>
    <i t="default">
      <x v="3362"/>
    </i>
    <i>
      <x v="3363"/>
      <x v="552"/>
    </i>
    <i t="default">
      <x v="3363"/>
    </i>
    <i>
      <x v="3364"/>
      <x v="552"/>
    </i>
    <i t="default">
      <x v="3364"/>
    </i>
    <i>
      <x v="3365"/>
      <x v="552"/>
    </i>
    <i t="default">
      <x v="3365"/>
    </i>
    <i>
      <x v="3366"/>
      <x v="552"/>
    </i>
    <i t="default">
      <x v="3366"/>
    </i>
    <i>
      <x v="3367"/>
      <x v="552"/>
    </i>
    <i t="default">
      <x v="3367"/>
    </i>
    <i>
      <x v="3368"/>
      <x v="552"/>
    </i>
    <i t="default">
      <x v="3368"/>
    </i>
    <i>
      <x v="3369"/>
      <x v="552"/>
    </i>
    <i t="default">
      <x v="3369"/>
    </i>
    <i>
      <x v="3370"/>
      <x v="552"/>
    </i>
    <i t="default">
      <x v="3370"/>
    </i>
    <i>
      <x v="3371"/>
      <x v="552"/>
    </i>
    <i t="default">
      <x v="3371"/>
    </i>
    <i>
      <x v="3372"/>
      <x v="552"/>
    </i>
    <i t="default">
      <x v="3372"/>
    </i>
    <i>
      <x v="3373"/>
      <x v="552"/>
    </i>
    <i t="default">
      <x v="3373"/>
    </i>
    <i>
      <x v="3374"/>
      <x v="552"/>
    </i>
    <i t="default">
      <x v="3374"/>
    </i>
    <i>
      <x v="3375"/>
      <x v="552"/>
    </i>
    <i t="default">
      <x v="3375"/>
    </i>
    <i>
      <x v="3376"/>
      <x v="552"/>
    </i>
    <i t="default">
      <x v="3376"/>
    </i>
    <i>
      <x v="3377"/>
      <x v="552"/>
    </i>
    <i t="default">
      <x v="3377"/>
    </i>
    <i>
      <x v="3378"/>
      <x v="552"/>
    </i>
    <i t="default">
      <x v="3378"/>
    </i>
    <i>
      <x v="3379"/>
      <x v="552"/>
    </i>
    <i t="default">
      <x v="3379"/>
    </i>
    <i>
      <x v="3380"/>
      <x v="552"/>
    </i>
    <i t="default">
      <x v="3380"/>
    </i>
    <i>
      <x v="3381"/>
      <x v="552"/>
    </i>
    <i t="default">
      <x v="3381"/>
    </i>
    <i>
      <x v="3382"/>
      <x v="552"/>
    </i>
    <i t="default">
      <x v="3382"/>
    </i>
    <i>
      <x v="3383"/>
      <x v="552"/>
    </i>
    <i t="default">
      <x v="3383"/>
    </i>
    <i>
      <x v="3384"/>
      <x v="552"/>
    </i>
    <i t="default">
      <x v="3384"/>
    </i>
    <i>
      <x v="3385"/>
      <x v="552"/>
    </i>
    <i t="default">
      <x v="3385"/>
    </i>
    <i>
      <x v="3386"/>
      <x v="475"/>
    </i>
    <i r="1">
      <x v="552"/>
    </i>
    <i t="default">
      <x v="3386"/>
    </i>
    <i>
      <x v="3387"/>
      <x v="552"/>
    </i>
    <i t="default">
      <x v="3387"/>
    </i>
    <i>
      <x v="3388"/>
      <x v="552"/>
    </i>
    <i t="default">
      <x v="3388"/>
    </i>
    <i>
      <x v="3389"/>
      <x v="552"/>
    </i>
    <i t="default">
      <x v="3389"/>
    </i>
    <i>
      <x v="3390"/>
      <x v="552"/>
    </i>
    <i t="default">
      <x v="3390"/>
    </i>
    <i>
      <x v="3391"/>
      <x v="552"/>
    </i>
    <i t="default">
      <x v="3391"/>
    </i>
    <i>
      <x v="3392"/>
      <x v="552"/>
    </i>
    <i t="default">
      <x v="3392"/>
    </i>
    <i>
      <x v="3393"/>
      <x v="552"/>
    </i>
    <i t="default">
      <x v="3393"/>
    </i>
    <i>
      <x v="3394"/>
      <x v="552"/>
    </i>
    <i t="default">
      <x v="3394"/>
    </i>
    <i>
      <x v="3395"/>
      <x v="552"/>
    </i>
    <i t="default">
      <x v="3395"/>
    </i>
    <i>
      <x v="3396"/>
      <x v="552"/>
    </i>
    <i t="default">
      <x v="3396"/>
    </i>
    <i>
      <x v="3397"/>
      <x v="552"/>
    </i>
    <i t="default">
      <x v="3397"/>
    </i>
    <i>
      <x v="3398"/>
      <x v="552"/>
    </i>
    <i t="default">
      <x v="3398"/>
    </i>
    <i>
      <x v="3399"/>
      <x v="552"/>
    </i>
    <i t="default">
      <x v="3399"/>
    </i>
    <i>
      <x v="3400"/>
      <x v="552"/>
    </i>
    <i t="default">
      <x v="3400"/>
    </i>
    <i>
      <x v="3401"/>
      <x v="552"/>
    </i>
    <i t="default">
      <x v="3401"/>
    </i>
    <i>
      <x v="3402"/>
      <x v="552"/>
    </i>
    <i t="default">
      <x v="3402"/>
    </i>
    <i>
      <x v="3403"/>
      <x v="552"/>
    </i>
    <i t="default">
      <x v="3403"/>
    </i>
    <i>
      <x v="3404"/>
      <x v="552"/>
    </i>
    <i t="default">
      <x v="3404"/>
    </i>
    <i>
      <x v="3405"/>
      <x v="552"/>
    </i>
    <i t="default">
      <x v="3405"/>
    </i>
    <i>
      <x v="3406"/>
      <x v="552"/>
    </i>
    <i t="default">
      <x v="3406"/>
    </i>
    <i>
      <x v="3407"/>
      <x v="552"/>
    </i>
    <i t="default">
      <x v="3407"/>
    </i>
    <i>
      <x v="3408"/>
      <x v="552"/>
    </i>
    <i t="default">
      <x v="3408"/>
    </i>
    <i>
      <x v="3409"/>
      <x v="552"/>
    </i>
    <i t="default">
      <x v="3409"/>
    </i>
    <i>
      <x v="3410"/>
      <x v="552"/>
    </i>
    <i t="default">
      <x v="3410"/>
    </i>
    <i>
      <x v="3411"/>
      <x v="552"/>
    </i>
    <i t="default">
      <x v="3411"/>
    </i>
    <i>
      <x v="3412"/>
      <x v="552"/>
    </i>
    <i t="default">
      <x v="3412"/>
    </i>
    <i>
      <x v="3413"/>
      <x v="552"/>
    </i>
    <i t="default">
      <x v="3413"/>
    </i>
    <i>
      <x v="3414"/>
      <x v="552"/>
    </i>
    <i t="default">
      <x v="3414"/>
    </i>
    <i>
      <x v="3415"/>
      <x v="552"/>
    </i>
    <i t="default">
      <x v="3415"/>
    </i>
    <i>
      <x v="3416"/>
      <x v="552"/>
    </i>
    <i t="default">
      <x v="3416"/>
    </i>
    <i>
      <x v="3417"/>
      <x v="552"/>
    </i>
    <i t="default">
      <x v="3417"/>
    </i>
    <i>
      <x v="3418"/>
      <x v="552"/>
    </i>
    <i t="default">
      <x v="3418"/>
    </i>
    <i>
      <x v="3419"/>
      <x v="552"/>
    </i>
    <i t="default">
      <x v="3419"/>
    </i>
    <i>
      <x v="3420"/>
      <x v="552"/>
    </i>
    <i t="default">
      <x v="3420"/>
    </i>
    <i>
      <x v="3421"/>
      <x v="552"/>
    </i>
    <i t="default">
      <x v="3421"/>
    </i>
    <i>
      <x v="3422"/>
      <x v="552"/>
    </i>
    <i t="default">
      <x v="3422"/>
    </i>
    <i>
      <x v="3423"/>
      <x v="552"/>
    </i>
    <i t="default">
      <x v="3423"/>
    </i>
    <i>
      <x v="3424"/>
      <x v="552"/>
    </i>
    <i t="default">
      <x v="3424"/>
    </i>
    <i>
      <x v="3425"/>
      <x v="552"/>
    </i>
    <i t="default">
      <x v="3425"/>
    </i>
    <i>
      <x v="3426"/>
      <x v="552"/>
    </i>
    <i t="default">
      <x v="3426"/>
    </i>
    <i>
      <x v="3427"/>
      <x v="552"/>
    </i>
    <i t="default">
      <x v="3427"/>
    </i>
    <i>
      <x v="3428"/>
      <x v="552"/>
    </i>
    <i t="default">
      <x v="3428"/>
    </i>
    <i>
      <x v="3429"/>
      <x v="552"/>
    </i>
    <i t="default">
      <x v="3429"/>
    </i>
    <i>
      <x v="3430"/>
      <x v="552"/>
    </i>
    <i t="default">
      <x v="3430"/>
    </i>
    <i>
      <x v="3431"/>
      <x v="552"/>
    </i>
    <i t="default">
      <x v="3431"/>
    </i>
    <i>
      <x v="3432"/>
      <x v="552"/>
    </i>
    <i t="default">
      <x v="3432"/>
    </i>
    <i>
      <x v="3433"/>
      <x v="552"/>
    </i>
    <i t="default">
      <x v="3433"/>
    </i>
    <i>
      <x v="3434"/>
      <x v="552"/>
    </i>
    <i t="default">
      <x v="3434"/>
    </i>
    <i>
      <x v="3435"/>
      <x v="552"/>
    </i>
    <i t="default">
      <x v="3435"/>
    </i>
    <i>
      <x v="3436"/>
      <x v="552"/>
    </i>
    <i t="default">
      <x v="3436"/>
    </i>
    <i>
      <x v="3437"/>
      <x v="552"/>
    </i>
    <i t="default">
      <x v="3437"/>
    </i>
    <i>
      <x v="3438"/>
      <x v="552"/>
    </i>
    <i t="default">
      <x v="3438"/>
    </i>
    <i>
      <x v="3439"/>
      <x v="552"/>
    </i>
    <i t="default">
      <x v="3439"/>
    </i>
    <i>
      <x v="3440"/>
      <x v="552"/>
    </i>
    <i t="default">
      <x v="3440"/>
    </i>
    <i>
      <x v="3441"/>
      <x v="552"/>
    </i>
    <i t="default">
      <x v="3441"/>
    </i>
    <i>
      <x v="3442"/>
      <x v="552"/>
    </i>
    <i t="default">
      <x v="3442"/>
    </i>
    <i>
      <x v="3443"/>
      <x v="552"/>
    </i>
    <i t="default">
      <x v="3443"/>
    </i>
    <i>
      <x v="3444"/>
      <x v="552"/>
    </i>
    <i t="default">
      <x v="3444"/>
    </i>
    <i>
      <x v="3445"/>
      <x v="552"/>
    </i>
    <i t="default">
      <x v="3445"/>
    </i>
    <i>
      <x v="3446"/>
      <x v="552"/>
    </i>
    <i t="default">
      <x v="3446"/>
    </i>
    <i>
      <x v="3447"/>
      <x v="552"/>
    </i>
    <i t="default">
      <x v="3447"/>
    </i>
    <i>
      <x v="3448"/>
      <x v="552"/>
    </i>
    <i t="default">
      <x v="3448"/>
    </i>
    <i>
      <x v="3449"/>
      <x v="552"/>
    </i>
    <i t="default">
      <x v="3449"/>
    </i>
    <i>
      <x v="3450"/>
      <x v="552"/>
    </i>
    <i t="default">
      <x v="3450"/>
    </i>
    <i>
      <x v="3451"/>
      <x v="552"/>
    </i>
    <i t="default">
      <x v="3451"/>
    </i>
    <i>
      <x v="3452"/>
      <x v="552"/>
    </i>
    <i t="default">
      <x v="3452"/>
    </i>
    <i>
      <x v="3453"/>
      <x v="552"/>
    </i>
    <i t="default">
      <x v="3453"/>
    </i>
    <i>
      <x v="3454"/>
      <x v="552"/>
    </i>
    <i t="default">
      <x v="3454"/>
    </i>
    <i>
      <x v="3455"/>
      <x v="303"/>
    </i>
    <i r="1">
      <x v="552"/>
    </i>
    <i t="default">
      <x v="3455"/>
    </i>
    <i>
      <x v="3456"/>
      <x v="552"/>
    </i>
    <i t="default">
      <x v="3456"/>
    </i>
    <i>
      <x v="3457"/>
      <x v="552"/>
    </i>
    <i t="default">
      <x v="3457"/>
    </i>
    <i>
      <x v="3458"/>
      <x v="552"/>
    </i>
    <i t="default">
      <x v="3458"/>
    </i>
    <i>
      <x v="3459"/>
      <x v="552"/>
    </i>
    <i t="default">
      <x v="3459"/>
    </i>
    <i>
      <x v="3460"/>
      <x v="552"/>
    </i>
    <i t="default">
      <x v="3460"/>
    </i>
    <i>
      <x v="3461"/>
      <x v="552"/>
    </i>
    <i t="default">
      <x v="3461"/>
    </i>
    <i>
      <x v="3462"/>
      <x v="552"/>
    </i>
    <i t="default">
      <x v="3462"/>
    </i>
    <i>
      <x v="3463"/>
      <x v="552"/>
    </i>
    <i t="default">
      <x v="3463"/>
    </i>
    <i>
      <x v="3464"/>
      <x v="552"/>
    </i>
    <i t="default">
      <x v="3464"/>
    </i>
    <i>
      <x v="3465"/>
      <x v="552"/>
    </i>
    <i t="default">
      <x v="3465"/>
    </i>
    <i>
      <x v="3466"/>
      <x v="552"/>
    </i>
    <i t="default">
      <x v="3466"/>
    </i>
    <i>
      <x v="3467"/>
      <x v="552"/>
    </i>
    <i t="default">
      <x v="3467"/>
    </i>
    <i>
      <x v="3468"/>
      <x v="552"/>
    </i>
    <i t="default">
      <x v="3468"/>
    </i>
    <i>
      <x v="3469"/>
      <x v="552"/>
    </i>
    <i t="default">
      <x v="3469"/>
    </i>
    <i>
      <x v="3470"/>
      <x v="552"/>
    </i>
    <i t="default">
      <x v="3470"/>
    </i>
    <i>
      <x v="3471"/>
      <x v="552"/>
    </i>
    <i t="default">
      <x v="3471"/>
    </i>
    <i>
      <x v="3472"/>
      <x v="552"/>
    </i>
    <i t="default">
      <x v="3472"/>
    </i>
    <i>
      <x v="3473"/>
      <x v="552"/>
    </i>
    <i t="default">
      <x v="3473"/>
    </i>
    <i>
      <x v="3474"/>
      <x v="552"/>
    </i>
    <i t="default">
      <x v="3474"/>
    </i>
    <i>
      <x v="3475"/>
      <x v="552"/>
    </i>
    <i t="default">
      <x v="3475"/>
    </i>
    <i>
      <x v="3476"/>
      <x v="552"/>
    </i>
    <i t="default">
      <x v="3476"/>
    </i>
    <i>
      <x v="3477"/>
      <x v="552"/>
    </i>
    <i t="default">
      <x v="3477"/>
    </i>
    <i>
      <x v="3478"/>
      <x v="552"/>
    </i>
    <i t="default">
      <x v="3478"/>
    </i>
    <i>
      <x v="3479"/>
      <x v="552"/>
    </i>
    <i t="default">
      <x v="3479"/>
    </i>
    <i>
      <x v="3480"/>
      <x v="552"/>
    </i>
    <i t="default">
      <x v="3480"/>
    </i>
    <i>
      <x v="3481"/>
      <x v="552"/>
    </i>
    <i t="default">
      <x v="3481"/>
    </i>
    <i>
      <x v="3482"/>
      <x v="552"/>
    </i>
    <i t="default">
      <x v="3482"/>
    </i>
    <i>
      <x v="3483"/>
      <x v="552"/>
    </i>
    <i t="default">
      <x v="3483"/>
    </i>
    <i>
      <x v="3484"/>
      <x v="552"/>
    </i>
    <i t="default">
      <x v="3484"/>
    </i>
    <i>
      <x v="3485"/>
      <x v="552"/>
    </i>
    <i t="default">
      <x v="3485"/>
    </i>
    <i>
      <x v="3486"/>
      <x v="552"/>
    </i>
    <i t="default">
      <x v="3486"/>
    </i>
    <i>
      <x v="3487"/>
      <x v="552"/>
    </i>
    <i t="default">
      <x v="3487"/>
    </i>
    <i>
      <x v="3488"/>
      <x v="552"/>
    </i>
    <i t="default">
      <x v="3488"/>
    </i>
    <i>
      <x v="3489"/>
      <x v="552"/>
    </i>
    <i t="default">
      <x v="3489"/>
    </i>
    <i>
      <x v="3490"/>
      <x v="552"/>
    </i>
    <i t="default">
      <x v="3490"/>
    </i>
    <i>
      <x v="3491"/>
      <x v="552"/>
    </i>
    <i t="default">
      <x v="3491"/>
    </i>
    <i>
      <x v="3492"/>
      <x v="552"/>
    </i>
    <i t="default">
      <x v="3492"/>
    </i>
    <i>
      <x v="3493"/>
      <x v="552"/>
    </i>
    <i t="default">
      <x v="3493"/>
    </i>
    <i>
      <x v="3494"/>
      <x v="195"/>
    </i>
    <i r="1">
      <x v="552"/>
    </i>
    <i t="default">
      <x v="3494"/>
    </i>
    <i>
      <x v="3495"/>
      <x v="552"/>
    </i>
    <i t="default">
      <x v="3495"/>
    </i>
    <i>
      <x v="3496"/>
      <x v="552"/>
    </i>
    <i t="default">
      <x v="3496"/>
    </i>
    <i>
      <x v="3497"/>
      <x v="552"/>
    </i>
    <i t="default">
      <x v="3497"/>
    </i>
    <i>
      <x v="3498"/>
      <x v="552"/>
    </i>
    <i t="default">
      <x v="3498"/>
    </i>
    <i>
      <x v="3499"/>
      <x v="552"/>
    </i>
    <i t="default">
      <x v="3499"/>
    </i>
    <i>
      <x v="3500"/>
      <x v="552"/>
    </i>
    <i t="default">
      <x v="3500"/>
    </i>
    <i>
      <x v="3501"/>
      <x v="552"/>
    </i>
    <i t="default">
      <x v="3501"/>
    </i>
    <i>
      <x v="3502"/>
      <x v="552"/>
    </i>
    <i t="default">
      <x v="3502"/>
    </i>
    <i>
      <x v="3503"/>
      <x v="552"/>
    </i>
    <i t="default">
      <x v="3503"/>
    </i>
    <i>
      <x v="3504"/>
      <x v="552"/>
    </i>
    <i t="default">
      <x v="3504"/>
    </i>
    <i>
      <x v="3505"/>
      <x v="552"/>
    </i>
    <i t="default">
      <x v="3505"/>
    </i>
    <i>
      <x v="3506"/>
      <x v="552"/>
    </i>
    <i t="default">
      <x v="3506"/>
    </i>
    <i>
      <x v="3507"/>
      <x v="552"/>
    </i>
    <i t="default">
      <x v="3507"/>
    </i>
    <i>
      <x v="3508"/>
      <x v="552"/>
    </i>
    <i t="default">
      <x v="3508"/>
    </i>
    <i>
      <x v="3509"/>
      <x v="552"/>
    </i>
    <i t="default">
      <x v="3509"/>
    </i>
    <i>
      <x v="3510"/>
      <x v="552"/>
    </i>
    <i t="default">
      <x v="3510"/>
    </i>
    <i>
      <x v="3511"/>
      <x v="552"/>
    </i>
    <i t="default">
      <x v="3511"/>
    </i>
    <i>
      <x v="3512"/>
      <x v="345"/>
    </i>
    <i r="1">
      <x v="552"/>
    </i>
    <i t="default">
      <x v="3512"/>
    </i>
    <i>
      <x v="3513"/>
      <x v="552"/>
    </i>
    <i t="default">
      <x v="3513"/>
    </i>
    <i>
      <x v="3514"/>
      <x v="552"/>
    </i>
    <i t="default">
      <x v="3514"/>
    </i>
    <i>
      <x v="3515"/>
      <x v="552"/>
    </i>
    <i t="default">
      <x v="3515"/>
    </i>
    <i>
      <x v="3516"/>
      <x v="552"/>
    </i>
    <i t="default">
      <x v="3516"/>
    </i>
    <i>
      <x v="3517"/>
      <x v="463"/>
    </i>
    <i t="default">
      <x v="3517"/>
    </i>
    <i>
      <x v="3518"/>
      <x v="552"/>
    </i>
    <i t="default">
      <x v="3518"/>
    </i>
    <i>
      <x v="3519"/>
      <x v="552"/>
    </i>
    <i t="default">
      <x v="3519"/>
    </i>
    <i>
      <x v="3520"/>
      <x v="532"/>
    </i>
    <i r="1">
      <x v="552"/>
    </i>
    <i t="default">
      <x v="3520"/>
    </i>
    <i>
      <x v="3521"/>
      <x v="552"/>
    </i>
    <i t="default">
      <x v="3521"/>
    </i>
    <i>
      <x v="3522"/>
      <x v="552"/>
    </i>
    <i t="default">
      <x v="3522"/>
    </i>
    <i>
      <x v="3523"/>
      <x v="528"/>
    </i>
    <i t="default">
      <x v="3523"/>
    </i>
    <i>
      <x v="3524"/>
      <x v="552"/>
    </i>
    <i t="default">
      <x v="3524"/>
    </i>
    <i>
      <x v="3525"/>
      <x v="552"/>
    </i>
    <i t="default">
      <x v="3525"/>
    </i>
    <i>
      <x v="3526"/>
      <x v="552"/>
    </i>
    <i t="default">
      <x v="3526"/>
    </i>
    <i>
      <x v="3527"/>
      <x v="552"/>
    </i>
    <i t="default">
      <x v="3527"/>
    </i>
    <i>
      <x v="3528"/>
      <x v="94"/>
    </i>
    <i r="1">
      <x v="552"/>
    </i>
    <i t="default">
      <x v="3528"/>
    </i>
    <i>
      <x v="3529"/>
      <x v="552"/>
    </i>
    <i t="default">
      <x v="3529"/>
    </i>
    <i>
      <x v="3530"/>
      <x v="552"/>
    </i>
    <i t="default">
      <x v="3530"/>
    </i>
    <i>
      <x v="3531"/>
      <x v="552"/>
    </i>
    <i t="default">
      <x v="3531"/>
    </i>
    <i>
      <x v="3532"/>
      <x v="552"/>
    </i>
    <i t="default">
      <x v="3532"/>
    </i>
    <i>
      <x v="3533"/>
      <x v="340"/>
    </i>
    <i t="default">
      <x v="3533"/>
    </i>
    <i>
      <x v="3534"/>
      <x v="552"/>
    </i>
    <i t="default">
      <x v="3534"/>
    </i>
    <i>
      <x v="3535"/>
      <x v="552"/>
    </i>
    <i t="default">
      <x v="3535"/>
    </i>
    <i>
      <x v="3536"/>
      <x v="552"/>
    </i>
    <i t="default">
      <x v="3536"/>
    </i>
    <i>
      <x v="3537"/>
      <x v="552"/>
    </i>
    <i t="default">
      <x v="3537"/>
    </i>
    <i>
      <x v="3538"/>
      <x v="552"/>
    </i>
    <i t="default">
      <x v="3538"/>
    </i>
    <i>
      <x v="3539"/>
      <x v="552"/>
    </i>
    <i t="default">
      <x v="3539"/>
    </i>
    <i>
      <x v="3540"/>
      <x v="552"/>
    </i>
    <i t="default">
      <x v="3540"/>
    </i>
    <i>
      <x v="3541"/>
      <x v="552"/>
    </i>
    <i t="default">
      <x v="3541"/>
    </i>
    <i>
      <x v="3542"/>
      <x v="552"/>
    </i>
    <i t="default">
      <x v="3542"/>
    </i>
    <i>
      <x v="3543"/>
      <x v="552"/>
    </i>
    <i t="default">
      <x v="3543"/>
    </i>
    <i>
      <x v="3544"/>
      <x v="552"/>
    </i>
    <i t="default">
      <x v="3544"/>
    </i>
    <i>
      <x v="3545"/>
      <x v="552"/>
    </i>
    <i t="default">
      <x v="3545"/>
    </i>
    <i>
      <x v="3546"/>
      <x v="104"/>
    </i>
    <i t="default">
      <x v="3546"/>
    </i>
    <i>
      <x v="3547"/>
      <x v="552"/>
    </i>
    <i t="default">
      <x v="3547"/>
    </i>
    <i>
      <x v="3548"/>
      <x v="552"/>
    </i>
    <i t="default">
      <x v="3548"/>
    </i>
    <i>
      <x v="3549"/>
      <x v="552"/>
    </i>
    <i t="default">
      <x v="3549"/>
    </i>
    <i>
      <x v="3550"/>
      <x v="552"/>
    </i>
    <i t="default">
      <x v="3550"/>
    </i>
    <i>
      <x v="3551"/>
      <x v="552"/>
    </i>
    <i t="default">
      <x v="3551"/>
    </i>
    <i>
      <x v="3552"/>
      <x v="552"/>
    </i>
    <i t="default">
      <x v="3552"/>
    </i>
    <i>
      <x v="3553"/>
      <x v="552"/>
    </i>
    <i t="default">
      <x v="3553"/>
    </i>
    <i>
      <x v="3554"/>
      <x v="552"/>
    </i>
    <i t="default">
      <x v="3554"/>
    </i>
    <i>
      <x v="3555"/>
      <x v="552"/>
    </i>
    <i t="default">
      <x v="3555"/>
    </i>
    <i>
      <x v="3556"/>
      <x v="552"/>
    </i>
    <i t="default">
      <x v="3556"/>
    </i>
    <i>
      <x v="3557"/>
      <x v="552"/>
    </i>
    <i t="default">
      <x v="3557"/>
    </i>
    <i>
      <x v="3558"/>
      <x v="552"/>
    </i>
    <i t="default">
      <x v="3558"/>
    </i>
    <i>
      <x v="3559"/>
      <x v="552"/>
    </i>
    <i t="default">
      <x v="3559"/>
    </i>
    <i>
      <x v="3560"/>
      <x v="552"/>
    </i>
    <i t="default">
      <x v="3560"/>
    </i>
    <i>
      <x v="3561"/>
      <x v="552"/>
    </i>
    <i t="default">
      <x v="3561"/>
    </i>
    <i>
      <x v="3562"/>
      <x v="552"/>
    </i>
    <i t="default">
      <x v="3562"/>
    </i>
    <i>
      <x v="3563"/>
      <x v="552"/>
    </i>
    <i t="default">
      <x v="3563"/>
    </i>
    <i>
      <x v="3564"/>
      <x v="552"/>
    </i>
    <i t="default">
      <x v="3564"/>
    </i>
    <i>
      <x v="3565"/>
      <x v="552"/>
    </i>
    <i t="default">
      <x v="3565"/>
    </i>
    <i>
      <x v="3566"/>
      <x v="552"/>
    </i>
    <i t="default">
      <x v="3566"/>
    </i>
    <i>
      <x v="3567"/>
      <x v="552"/>
    </i>
    <i t="default">
      <x v="3567"/>
    </i>
    <i>
      <x v="3568"/>
      <x v="552"/>
    </i>
    <i t="default">
      <x v="3568"/>
    </i>
    <i>
      <x v="3569"/>
      <x v="552"/>
    </i>
    <i t="default">
      <x v="3569"/>
    </i>
    <i>
      <x v="3570"/>
      <x v="552"/>
    </i>
    <i t="default">
      <x v="3570"/>
    </i>
    <i>
      <x v="3571"/>
      <x v="552"/>
    </i>
    <i t="default">
      <x v="3571"/>
    </i>
    <i>
      <x v="3572"/>
      <x v="552"/>
    </i>
    <i t="default">
      <x v="3572"/>
    </i>
    <i>
      <x v="3573"/>
      <x v="552"/>
    </i>
    <i t="default">
      <x v="3573"/>
    </i>
    <i>
      <x v="3574"/>
      <x v="283"/>
    </i>
    <i t="default">
      <x v="3574"/>
    </i>
    <i>
      <x v="3575"/>
      <x v="552"/>
    </i>
    <i t="default">
      <x v="3575"/>
    </i>
    <i>
      <x v="3576"/>
      <x v="36"/>
    </i>
    <i t="default">
      <x v="3576"/>
    </i>
    <i>
      <x v="3577"/>
      <x v="552"/>
    </i>
    <i t="default">
      <x v="3577"/>
    </i>
    <i>
      <x v="3578"/>
      <x v="552"/>
    </i>
    <i t="default">
      <x v="3578"/>
    </i>
    <i>
      <x v="3579"/>
      <x v="552"/>
    </i>
    <i t="default">
      <x v="3579"/>
    </i>
    <i>
      <x v="3580"/>
      <x v="552"/>
    </i>
    <i t="default">
      <x v="3580"/>
    </i>
    <i>
      <x v="3581"/>
      <x v="552"/>
    </i>
    <i t="default">
      <x v="3581"/>
    </i>
    <i>
      <x v="3582"/>
      <x v="552"/>
    </i>
    <i t="default">
      <x v="3582"/>
    </i>
    <i>
      <x v="3583"/>
      <x v="552"/>
    </i>
    <i t="default">
      <x v="3583"/>
    </i>
    <i>
      <x v="3584"/>
      <x v="552"/>
    </i>
    <i t="default">
      <x v="3584"/>
    </i>
    <i>
      <x v="3585"/>
      <x v="552"/>
    </i>
    <i t="default">
      <x v="3585"/>
    </i>
    <i>
      <x v="3586"/>
      <x v="552"/>
    </i>
    <i t="default">
      <x v="3586"/>
    </i>
    <i>
      <x v="3587"/>
      <x v="552"/>
    </i>
    <i t="default">
      <x v="3587"/>
    </i>
    <i>
      <x v="3588"/>
      <x v="552"/>
    </i>
    <i t="default">
      <x v="3588"/>
    </i>
    <i>
      <x v="3589"/>
      <x v="552"/>
    </i>
    <i t="default">
      <x v="3589"/>
    </i>
    <i>
      <x v="3590"/>
      <x v="552"/>
    </i>
    <i t="default">
      <x v="3590"/>
    </i>
    <i>
      <x v="3591"/>
      <x v="552"/>
    </i>
    <i t="default">
      <x v="3591"/>
    </i>
    <i>
      <x v="3592"/>
      <x v="552"/>
    </i>
    <i t="default">
      <x v="3592"/>
    </i>
    <i>
      <x v="3593"/>
      <x v="552"/>
    </i>
    <i t="default">
      <x v="3593"/>
    </i>
    <i>
      <x v="3594"/>
      <x v="552"/>
    </i>
    <i t="default">
      <x v="3594"/>
    </i>
    <i>
      <x v="3595"/>
      <x v="255"/>
    </i>
    <i t="default">
      <x v="3595"/>
    </i>
    <i>
      <x v="3596"/>
      <x v="28"/>
    </i>
    <i r="1">
      <x v="552"/>
    </i>
    <i t="default">
      <x v="3596"/>
    </i>
    <i>
      <x v="3597"/>
      <x v="552"/>
    </i>
    <i t="default">
      <x v="3597"/>
    </i>
    <i>
      <x v="3598"/>
      <x v="107"/>
    </i>
    <i r="1">
      <x v="552"/>
    </i>
    <i t="default">
      <x v="3598"/>
    </i>
    <i>
      <x v="3599"/>
      <x v="552"/>
    </i>
    <i t="default">
      <x v="3599"/>
    </i>
    <i>
      <x v="3600"/>
      <x v="552"/>
    </i>
    <i t="default">
      <x v="3600"/>
    </i>
    <i>
      <x v="3601"/>
      <x v="552"/>
    </i>
    <i t="default">
      <x v="3601"/>
    </i>
    <i>
      <x v="3602"/>
      <x v="552"/>
    </i>
    <i t="default">
      <x v="3602"/>
    </i>
    <i>
      <x v="3603"/>
      <x v="552"/>
    </i>
    <i t="default">
      <x v="3603"/>
    </i>
    <i>
      <x v="3604"/>
      <x v="552"/>
    </i>
    <i t="default">
      <x v="3604"/>
    </i>
    <i>
      <x v="3605"/>
      <x v="552"/>
    </i>
    <i t="default">
      <x v="3605"/>
    </i>
    <i>
      <x v="3606"/>
      <x v="266"/>
    </i>
    <i t="default">
      <x v="3606"/>
    </i>
    <i>
      <x v="3607"/>
      <x v="552"/>
    </i>
    <i t="default">
      <x v="3607"/>
    </i>
    <i>
      <x v="3608"/>
      <x v="69"/>
    </i>
    <i r="1">
      <x v="446"/>
    </i>
    <i r="1">
      <x v="552"/>
    </i>
    <i t="default">
      <x v="3608"/>
    </i>
    <i>
      <x v="3609"/>
      <x v="552"/>
    </i>
    <i t="default">
      <x v="3609"/>
    </i>
    <i>
      <x v="3610"/>
      <x v="552"/>
    </i>
    <i t="default">
      <x v="3610"/>
    </i>
    <i>
      <x v="3611"/>
      <x v="552"/>
    </i>
    <i t="default">
      <x v="3611"/>
    </i>
    <i>
      <x v="3612"/>
      <x v="552"/>
    </i>
    <i t="default">
      <x v="3612"/>
    </i>
    <i>
      <x v="3613"/>
      <x v="552"/>
    </i>
    <i t="default">
      <x v="3613"/>
    </i>
    <i>
      <x v="3614"/>
      <x v="552"/>
    </i>
    <i t="default">
      <x v="3614"/>
    </i>
    <i>
      <x v="3615"/>
      <x v="552"/>
    </i>
    <i t="default">
      <x v="3615"/>
    </i>
    <i>
      <x v="3616"/>
      <x v="552"/>
    </i>
    <i t="default">
      <x v="3616"/>
    </i>
    <i>
      <x v="3617"/>
      <x v="109"/>
    </i>
    <i r="1">
      <x v="552"/>
    </i>
    <i t="default">
      <x v="3617"/>
    </i>
    <i>
      <x v="3618"/>
      <x v="552"/>
    </i>
    <i t="default">
      <x v="3618"/>
    </i>
    <i>
      <x v="3619"/>
      <x v="552"/>
    </i>
    <i t="default">
      <x v="3619"/>
    </i>
    <i>
      <x v="3620"/>
      <x v="552"/>
    </i>
    <i t="default">
      <x v="3620"/>
    </i>
    <i>
      <x v="3621"/>
      <x v="552"/>
    </i>
    <i t="default">
      <x v="3621"/>
    </i>
    <i>
      <x v="3622"/>
      <x v="552"/>
    </i>
    <i t="default">
      <x v="3622"/>
    </i>
    <i>
      <x v="3623"/>
      <x v="552"/>
    </i>
    <i t="default">
      <x v="3623"/>
    </i>
    <i>
      <x v="3624"/>
      <x v="552"/>
    </i>
    <i t="default">
      <x v="3624"/>
    </i>
    <i>
      <x v="3625"/>
      <x v="552"/>
    </i>
    <i t="default">
      <x v="3625"/>
    </i>
    <i>
      <x v="3626"/>
      <x v="552"/>
    </i>
    <i t="default">
      <x v="3626"/>
    </i>
    <i>
      <x v="3627"/>
      <x v="552"/>
    </i>
    <i t="default">
      <x v="3627"/>
    </i>
    <i>
      <x v="3628"/>
      <x v="552"/>
    </i>
    <i t="default">
      <x v="3628"/>
    </i>
    <i>
      <x v="3629"/>
      <x v="552"/>
    </i>
    <i t="default">
      <x v="3629"/>
    </i>
    <i>
      <x v="3630"/>
      <x v="552"/>
    </i>
    <i t="default">
      <x v="3630"/>
    </i>
    <i>
      <x v="3631"/>
      <x v="485"/>
    </i>
    <i r="1">
      <x v="552"/>
    </i>
    <i t="default">
      <x v="3631"/>
    </i>
    <i>
      <x v="3632"/>
      <x v="552"/>
    </i>
    <i t="default">
      <x v="3632"/>
    </i>
    <i>
      <x v="3633"/>
      <x v="552"/>
    </i>
    <i t="default">
      <x v="3633"/>
    </i>
    <i>
      <x v="3634"/>
      <x v="552"/>
    </i>
    <i t="default">
      <x v="3634"/>
    </i>
    <i>
      <x v="3635"/>
      <x v="552"/>
    </i>
    <i t="default">
      <x v="3635"/>
    </i>
    <i>
      <x v="3636"/>
      <x v="552"/>
    </i>
    <i t="default">
      <x v="3636"/>
    </i>
    <i>
      <x v="3637"/>
      <x v="552"/>
    </i>
    <i t="default">
      <x v="3637"/>
    </i>
    <i>
      <x v="3638"/>
      <x v="552"/>
    </i>
    <i t="default">
      <x v="3638"/>
    </i>
    <i>
      <x v="3639"/>
      <x v="552"/>
    </i>
    <i t="default">
      <x v="3639"/>
    </i>
    <i>
      <x v="3640"/>
      <x v="552"/>
    </i>
    <i t="default">
      <x v="3640"/>
    </i>
    <i>
      <x v="3641"/>
      <x v="552"/>
    </i>
    <i t="default">
      <x v="3641"/>
    </i>
    <i>
      <x v="3642"/>
      <x v="552"/>
    </i>
    <i t="default">
      <x v="3642"/>
    </i>
    <i>
      <x v="3643"/>
      <x v="552"/>
    </i>
    <i t="default">
      <x v="3643"/>
    </i>
    <i>
      <x v="3644"/>
      <x v="552"/>
    </i>
    <i t="default">
      <x v="3644"/>
    </i>
    <i>
      <x v="3645"/>
      <x v="23"/>
    </i>
    <i t="default">
      <x v="3645"/>
    </i>
    <i>
      <x v="3646"/>
      <x v="552"/>
    </i>
    <i t="default">
      <x v="3646"/>
    </i>
    <i>
      <x v="3647"/>
      <x v="552"/>
    </i>
    <i t="default">
      <x v="3647"/>
    </i>
    <i>
      <x v="3648"/>
      <x v="552"/>
    </i>
    <i t="default">
      <x v="3648"/>
    </i>
    <i>
      <x v="3649"/>
      <x v="552"/>
    </i>
    <i t="default">
      <x v="3649"/>
    </i>
    <i>
      <x v="3650"/>
      <x v="552"/>
    </i>
    <i t="default">
      <x v="3650"/>
    </i>
    <i>
      <x v="3651"/>
      <x v="552"/>
    </i>
    <i t="default">
      <x v="3651"/>
    </i>
    <i>
      <x v="3652"/>
      <x v="552"/>
    </i>
    <i t="default">
      <x v="3652"/>
    </i>
    <i>
      <x v="3653"/>
      <x v="552"/>
    </i>
    <i t="default">
      <x v="3653"/>
    </i>
    <i>
      <x v="3654"/>
      <x v="552"/>
    </i>
    <i t="default">
      <x v="3654"/>
    </i>
    <i>
      <x v="3655"/>
      <x v="552"/>
    </i>
    <i t="default">
      <x v="3655"/>
    </i>
    <i>
      <x v="3656"/>
      <x v="552"/>
    </i>
    <i t="default">
      <x v="3656"/>
    </i>
    <i>
      <x v="3657"/>
      <x v="552"/>
    </i>
    <i t="default">
      <x v="3657"/>
    </i>
    <i>
      <x v="3658"/>
      <x v="552"/>
    </i>
    <i t="default">
      <x v="3658"/>
    </i>
    <i>
      <x v="3659"/>
      <x v="552"/>
    </i>
    <i t="default">
      <x v="3659"/>
    </i>
    <i>
      <x v="3660"/>
      <x v="480"/>
    </i>
    <i r="1">
      <x v="552"/>
    </i>
    <i t="default">
      <x v="3660"/>
    </i>
    <i>
      <x v="3661"/>
      <x v="552"/>
    </i>
    <i t="default">
      <x v="3661"/>
    </i>
    <i>
      <x v="3662"/>
      <x v="552"/>
    </i>
    <i t="default">
      <x v="3662"/>
    </i>
    <i>
      <x v="3663"/>
      <x v="264"/>
    </i>
    <i t="default">
      <x v="3663"/>
    </i>
    <i>
      <x v="3664"/>
      <x v="552"/>
    </i>
    <i t="default">
      <x v="3664"/>
    </i>
    <i>
      <x v="3665"/>
      <x v="214"/>
    </i>
    <i t="default">
      <x v="3665"/>
    </i>
    <i>
      <x v="3666"/>
      <x v="372"/>
    </i>
    <i t="default">
      <x v="3666"/>
    </i>
    <i>
      <x v="3667"/>
      <x v="552"/>
    </i>
    <i t="default">
      <x v="3667"/>
    </i>
    <i>
      <x v="3668"/>
      <x v="552"/>
    </i>
    <i t="default">
      <x v="3668"/>
    </i>
    <i>
      <x v="3669"/>
      <x v="552"/>
    </i>
    <i t="default">
      <x v="3669"/>
    </i>
    <i>
      <x v="3670"/>
      <x v="552"/>
    </i>
    <i t="default">
      <x v="3670"/>
    </i>
    <i>
      <x v="3671"/>
      <x v="552"/>
    </i>
    <i t="default">
      <x v="3671"/>
    </i>
    <i>
      <x v="3672"/>
      <x v="552"/>
    </i>
    <i t="default">
      <x v="3672"/>
    </i>
    <i>
      <x v="3673"/>
      <x v="451"/>
    </i>
    <i t="default">
      <x v="3673"/>
    </i>
    <i>
      <x v="3674"/>
      <x v="552"/>
    </i>
    <i t="default">
      <x v="3674"/>
    </i>
    <i>
      <x v="3675"/>
      <x v="552"/>
    </i>
    <i t="default">
      <x v="3675"/>
    </i>
    <i>
      <x v="3676"/>
      <x v="552"/>
    </i>
    <i t="default">
      <x v="3676"/>
    </i>
    <i>
      <x v="3677"/>
      <x v="552"/>
    </i>
    <i t="default">
      <x v="3677"/>
    </i>
    <i>
      <x v="3678"/>
      <x v="552"/>
    </i>
    <i t="default">
      <x v="3678"/>
    </i>
    <i>
      <x v="3679"/>
      <x v="552"/>
    </i>
    <i t="default">
      <x v="3679"/>
    </i>
    <i>
      <x v="3680"/>
      <x v="552"/>
    </i>
    <i t="default">
      <x v="3680"/>
    </i>
    <i>
      <x v="3681"/>
      <x v="552"/>
    </i>
    <i t="default">
      <x v="3681"/>
    </i>
    <i>
      <x v="3682"/>
      <x v="552"/>
    </i>
    <i t="default">
      <x v="3682"/>
    </i>
    <i>
      <x v="3683"/>
      <x v="552"/>
    </i>
    <i t="default">
      <x v="3683"/>
    </i>
    <i>
      <x v="3684"/>
      <x v="552"/>
    </i>
    <i t="default">
      <x v="3684"/>
    </i>
    <i>
      <x v="3685"/>
      <x v="552"/>
    </i>
    <i t="default">
      <x v="3685"/>
    </i>
    <i>
      <x v="3686"/>
      <x v="552"/>
    </i>
    <i t="default">
      <x v="3686"/>
    </i>
    <i>
      <x v="3687"/>
      <x v="552"/>
    </i>
    <i t="default">
      <x v="3687"/>
    </i>
    <i>
      <x v="3688"/>
      <x v="552"/>
    </i>
    <i t="default">
      <x v="3688"/>
    </i>
    <i>
      <x v="3689"/>
      <x v="552"/>
    </i>
    <i t="default">
      <x v="3689"/>
    </i>
    <i>
      <x v="3690"/>
      <x v="552"/>
    </i>
    <i t="default">
      <x v="3690"/>
    </i>
    <i>
      <x v="3691"/>
      <x v="552"/>
    </i>
    <i t="default">
      <x v="3691"/>
    </i>
    <i>
      <x v="3692"/>
      <x v="552"/>
    </i>
    <i t="default">
      <x v="3692"/>
    </i>
    <i>
      <x v="3693"/>
      <x v="552"/>
    </i>
    <i t="default">
      <x v="3693"/>
    </i>
    <i>
      <x v="3694"/>
      <x v="552"/>
    </i>
    <i t="default">
      <x v="3694"/>
    </i>
    <i>
      <x v="3695"/>
      <x v="552"/>
    </i>
    <i t="default">
      <x v="3695"/>
    </i>
    <i>
      <x v="3696"/>
      <x v="552"/>
    </i>
    <i t="default">
      <x v="3696"/>
    </i>
    <i>
      <x v="3697"/>
      <x v="552"/>
    </i>
    <i t="default">
      <x v="3697"/>
    </i>
    <i>
      <x v="3698"/>
      <x v="552"/>
    </i>
    <i t="default">
      <x v="3698"/>
    </i>
    <i>
      <x v="3699"/>
      <x v="552"/>
    </i>
    <i t="default">
      <x v="3699"/>
    </i>
    <i>
      <x v="3700"/>
      <x v="552"/>
    </i>
    <i t="default">
      <x v="3700"/>
    </i>
    <i>
      <x v="3701"/>
      <x v="552"/>
    </i>
    <i t="default">
      <x v="3701"/>
    </i>
    <i>
      <x v="3702"/>
      <x v="552"/>
    </i>
    <i t="default">
      <x v="3702"/>
    </i>
    <i>
      <x v="3703"/>
      <x v="552"/>
    </i>
    <i t="default">
      <x v="3703"/>
    </i>
    <i>
      <x v="3704"/>
      <x v="432"/>
    </i>
    <i r="1">
      <x v="552"/>
    </i>
    <i t="default">
      <x v="3704"/>
    </i>
    <i>
      <x v="3705"/>
      <x v="552"/>
    </i>
    <i t="default">
      <x v="3705"/>
    </i>
    <i>
      <x v="3706"/>
      <x v="552"/>
    </i>
    <i t="default">
      <x v="3706"/>
    </i>
    <i>
      <x v="3707"/>
      <x v="552"/>
    </i>
    <i t="default">
      <x v="3707"/>
    </i>
    <i>
      <x v="3708"/>
      <x v="552"/>
    </i>
    <i t="default">
      <x v="3708"/>
    </i>
    <i>
      <x v="3709"/>
      <x v="552"/>
    </i>
    <i t="default">
      <x v="3709"/>
    </i>
    <i>
      <x v="3710"/>
      <x v="552"/>
    </i>
    <i t="default">
      <x v="3710"/>
    </i>
    <i>
      <x v="3711"/>
      <x v="458"/>
    </i>
    <i r="1">
      <x v="552"/>
    </i>
    <i t="default">
      <x v="3711"/>
    </i>
    <i>
      <x v="3712"/>
      <x v="350"/>
    </i>
    <i r="1">
      <x v="379"/>
    </i>
    <i r="1">
      <x v="552"/>
    </i>
    <i t="default">
      <x v="3712"/>
    </i>
    <i>
      <x v="3713"/>
      <x v="552"/>
    </i>
    <i t="default">
      <x v="3713"/>
    </i>
    <i>
      <x v="3714"/>
      <x v="552"/>
    </i>
    <i t="default">
      <x v="3714"/>
    </i>
    <i>
      <x v="3715"/>
      <x v="552"/>
    </i>
    <i t="default">
      <x v="3715"/>
    </i>
    <i>
      <x v="3716"/>
      <x v="552"/>
    </i>
    <i t="default">
      <x v="3716"/>
    </i>
    <i>
      <x v="3717"/>
      <x v="552"/>
    </i>
    <i t="default">
      <x v="3717"/>
    </i>
    <i>
      <x v="3718"/>
      <x v="552"/>
    </i>
    <i t="default">
      <x v="3718"/>
    </i>
    <i>
      <x v="3719"/>
      <x v="552"/>
    </i>
    <i t="default">
      <x v="3719"/>
    </i>
    <i>
      <x v="3720"/>
      <x v="552"/>
    </i>
    <i t="default">
      <x v="3720"/>
    </i>
    <i>
      <x v="3721"/>
      <x v="552"/>
    </i>
    <i t="default">
      <x v="3721"/>
    </i>
    <i>
      <x v="3722"/>
      <x v="552"/>
    </i>
    <i t="default">
      <x v="3722"/>
    </i>
    <i>
      <x v="3723"/>
      <x v="552"/>
    </i>
    <i t="default">
      <x v="3723"/>
    </i>
    <i>
      <x v="3724"/>
      <x v="552"/>
    </i>
    <i t="default">
      <x v="3724"/>
    </i>
    <i>
      <x v="3725"/>
      <x v="552"/>
    </i>
    <i t="default">
      <x v="3725"/>
    </i>
    <i>
      <x v="3726"/>
      <x v="552"/>
    </i>
    <i t="default">
      <x v="3726"/>
    </i>
    <i>
      <x v="3727"/>
      <x v="552"/>
    </i>
    <i t="default">
      <x v="3727"/>
    </i>
    <i>
      <x v="3728"/>
      <x v="117"/>
    </i>
    <i r="1">
      <x v="552"/>
    </i>
    <i t="default">
      <x v="3728"/>
    </i>
    <i>
      <x v="3729"/>
      <x v="552"/>
    </i>
    <i t="default">
      <x v="3729"/>
    </i>
    <i>
      <x v="3730"/>
      <x v="552"/>
    </i>
    <i t="default">
      <x v="3730"/>
    </i>
    <i>
      <x v="3731"/>
      <x v="552"/>
    </i>
    <i t="default">
      <x v="3731"/>
    </i>
    <i>
      <x v="3732"/>
      <x v="552"/>
    </i>
    <i t="default">
      <x v="3732"/>
    </i>
    <i>
      <x v="3733"/>
      <x v="99"/>
    </i>
    <i r="1">
      <x v="552"/>
    </i>
    <i t="default">
      <x v="3733"/>
    </i>
    <i>
      <x v="3734"/>
      <x v="552"/>
    </i>
    <i t="default">
      <x v="3734"/>
    </i>
    <i>
      <x v="3735"/>
      <x v="552"/>
    </i>
    <i t="default">
      <x v="3735"/>
    </i>
    <i>
      <x v="3736"/>
      <x v="552"/>
    </i>
    <i t="default">
      <x v="3736"/>
    </i>
    <i>
      <x v="3737"/>
      <x v="552"/>
    </i>
    <i t="default">
      <x v="3737"/>
    </i>
    <i>
      <x v="3738"/>
      <x v="552"/>
    </i>
    <i t="default">
      <x v="3738"/>
    </i>
    <i>
      <x v="3739"/>
      <x v="552"/>
    </i>
    <i t="default">
      <x v="3739"/>
    </i>
    <i>
      <x v="3740"/>
      <x v="552"/>
    </i>
    <i t="default">
      <x v="3740"/>
    </i>
    <i>
      <x v="3741"/>
      <x v="552"/>
    </i>
    <i t="default">
      <x v="3741"/>
    </i>
    <i>
      <x v="3742"/>
      <x v="552"/>
    </i>
    <i t="default">
      <x v="3742"/>
    </i>
    <i>
      <x v="3743"/>
      <x v="552"/>
    </i>
    <i t="default">
      <x v="3743"/>
    </i>
    <i>
      <x v="3744"/>
      <x v="552"/>
    </i>
    <i t="default">
      <x v="3744"/>
    </i>
    <i>
      <x v="3745"/>
      <x v="552"/>
    </i>
    <i t="default">
      <x v="3745"/>
    </i>
    <i>
      <x v="3746"/>
      <x v="552"/>
    </i>
    <i t="default">
      <x v="3746"/>
    </i>
    <i>
      <x v="3747"/>
      <x v="552"/>
    </i>
    <i t="default">
      <x v="3747"/>
    </i>
    <i>
      <x v="3748"/>
      <x v="467"/>
    </i>
    <i t="default">
      <x v="3748"/>
    </i>
    <i>
      <x v="3749"/>
      <x v="552"/>
    </i>
    <i t="default">
      <x v="3749"/>
    </i>
    <i>
      <x v="3750"/>
      <x v="552"/>
    </i>
    <i t="default">
      <x v="3750"/>
    </i>
    <i>
      <x v="3751"/>
      <x v="552"/>
    </i>
    <i t="default">
      <x v="3751"/>
    </i>
    <i>
      <x v="3752"/>
      <x v="552"/>
    </i>
    <i t="default">
      <x v="3752"/>
    </i>
    <i>
      <x v="3753"/>
      <x v="552"/>
    </i>
    <i t="default">
      <x v="3753"/>
    </i>
    <i>
      <x v="3754"/>
      <x v="552"/>
    </i>
    <i t="default">
      <x v="3754"/>
    </i>
    <i>
      <x v="3755"/>
      <x v="552"/>
    </i>
    <i t="default">
      <x v="3755"/>
    </i>
    <i>
      <x v="3756"/>
      <x v="552"/>
    </i>
    <i t="default">
      <x v="3756"/>
    </i>
    <i>
      <x v="3757"/>
      <x v="552"/>
    </i>
    <i t="default">
      <x v="3757"/>
    </i>
    <i>
      <x v="3758"/>
      <x v="552"/>
    </i>
    <i t="default">
      <x v="3758"/>
    </i>
    <i>
      <x v="3759"/>
      <x v="552"/>
    </i>
    <i t="default">
      <x v="3759"/>
    </i>
    <i>
      <x v="3760"/>
      <x v="552"/>
    </i>
    <i t="default">
      <x v="3760"/>
    </i>
    <i>
      <x v="3761"/>
      <x v="552"/>
    </i>
    <i t="default">
      <x v="3761"/>
    </i>
    <i>
      <x v="3762"/>
      <x v="552"/>
    </i>
    <i t="default">
      <x v="3762"/>
    </i>
    <i>
      <x v="3763"/>
      <x v="552"/>
    </i>
    <i t="default">
      <x v="3763"/>
    </i>
    <i>
      <x v="3764"/>
      <x v="552"/>
    </i>
    <i t="default">
      <x v="3764"/>
    </i>
    <i>
      <x v="3765"/>
      <x v="552"/>
    </i>
    <i t="default">
      <x v="3765"/>
    </i>
    <i>
      <x v="3766"/>
      <x v="552"/>
    </i>
    <i t="default">
      <x v="3766"/>
    </i>
    <i>
      <x v="3767"/>
      <x v="552"/>
    </i>
    <i t="default">
      <x v="3767"/>
    </i>
    <i>
      <x v="3768"/>
      <x v="552"/>
    </i>
    <i t="default">
      <x v="3768"/>
    </i>
    <i>
      <x v="3769"/>
      <x v="552"/>
    </i>
    <i t="default">
      <x v="3769"/>
    </i>
    <i>
      <x v="3770"/>
      <x v="552"/>
    </i>
    <i t="default">
      <x v="3770"/>
    </i>
    <i>
      <x v="3771"/>
      <x v="552"/>
    </i>
    <i t="default">
      <x v="3771"/>
    </i>
    <i>
      <x v="3772"/>
      <x v="552"/>
    </i>
    <i t="default">
      <x v="3772"/>
    </i>
    <i>
      <x v="3773"/>
      <x v="552"/>
    </i>
    <i t="default">
      <x v="3773"/>
    </i>
    <i>
      <x v="3774"/>
      <x v="552"/>
    </i>
    <i t="default">
      <x v="3774"/>
    </i>
    <i>
      <x v="3775"/>
      <x v="552"/>
    </i>
    <i t="default">
      <x v="3775"/>
    </i>
    <i>
      <x v="3776"/>
      <x v="552"/>
    </i>
    <i t="default">
      <x v="3776"/>
    </i>
    <i>
      <x v="3777"/>
      <x v="552"/>
    </i>
    <i t="default">
      <x v="3777"/>
    </i>
    <i>
      <x v="3778"/>
      <x v="552"/>
    </i>
    <i t="default">
      <x v="3778"/>
    </i>
    <i>
      <x v="3779"/>
      <x v="552"/>
    </i>
    <i t="default">
      <x v="3779"/>
    </i>
    <i>
      <x v="3780"/>
      <x v="552"/>
    </i>
    <i t="default">
      <x v="3780"/>
    </i>
    <i>
      <x v="3781"/>
      <x v="552"/>
    </i>
    <i t="default">
      <x v="3781"/>
    </i>
    <i>
      <x v="3782"/>
      <x v="552"/>
    </i>
    <i t="default">
      <x v="3782"/>
    </i>
    <i>
      <x v="3783"/>
      <x v="552"/>
    </i>
    <i t="default">
      <x v="3783"/>
    </i>
    <i>
      <x v="3784"/>
      <x v="552"/>
    </i>
    <i t="default">
      <x v="3784"/>
    </i>
    <i>
      <x v="3785"/>
      <x v="552"/>
    </i>
    <i t="default">
      <x v="3785"/>
    </i>
    <i>
      <x v="3786"/>
      <x v="552"/>
    </i>
    <i t="default">
      <x v="3786"/>
    </i>
    <i>
      <x v="3787"/>
      <x v="552"/>
    </i>
    <i t="default">
      <x v="3787"/>
    </i>
    <i>
      <x v="3788"/>
      <x v="552"/>
    </i>
    <i t="default">
      <x v="3788"/>
    </i>
    <i>
      <x v="3789"/>
      <x v="552"/>
    </i>
    <i t="default">
      <x v="3789"/>
    </i>
    <i>
      <x v="3790"/>
      <x v="552"/>
    </i>
    <i t="default">
      <x v="3790"/>
    </i>
    <i>
      <x v="3791"/>
      <x v="552"/>
    </i>
    <i t="default">
      <x v="3791"/>
    </i>
    <i>
      <x v="3792"/>
      <x v="552"/>
    </i>
    <i t="default">
      <x v="3792"/>
    </i>
    <i>
      <x v="3793"/>
      <x v="552"/>
    </i>
    <i t="default">
      <x v="3793"/>
    </i>
    <i>
      <x v="3794"/>
      <x v="552"/>
    </i>
    <i t="default">
      <x v="3794"/>
    </i>
    <i>
      <x v="3795"/>
      <x v="552"/>
    </i>
    <i t="default">
      <x v="3795"/>
    </i>
    <i>
      <x v="3796"/>
      <x v="552"/>
    </i>
    <i t="default">
      <x v="3796"/>
    </i>
    <i>
      <x v="3797"/>
      <x v="382"/>
    </i>
    <i t="default">
      <x v="3797"/>
    </i>
    <i>
      <x v="3798"/>
      <x v="552"/>
    </i>
    <i t="default">
      <x v="3798"/>
    </i>
    <i>
      <x v="3799"/>
      <x v="552"/>
    </i>
    <i t="default">
      <x v="3799"/>
    </i>
    <i>
      <x v="3800"/>
      <x v="552"/>
    </i>
    <i t="default">
      <x v="3800"/>
    </i>
    <i>
      <x v="3801"/>
      <x v="552"/>
    </i>
    <i t="default">
      <x v="3801"/>
    </i>
    <i>
      <x v="3802"/>
      <x v="552"/>
    </i>
    <i t="default">
      <x v="3802"/>
    </i>
    <i>
      <x v="3803"/>
      <x v="552"/>
    </i>
    <i t="default">
      <x v="3803"/>
    </i>
    <i>
      <x v="3804"/>
      <x v="552"/>
    </i>
    <i t="default">
      <x v="3804"/>
    </i>
    <i>
      <x v="3805"/>
      <x v="552"/>
    </i>
    <i t="default">
      <x v="3805"/>
    </i>
    <i>
      <x v="3806"/>
      <x v="552"/>
    </i>
    <i t="default">
      <x v="3806"/>
    </i>
    <i>
      <x v="3807"/>
      <x v="552"/>
    </i>
    <i t="default">
      <x v="3807"/>
    </i>
    <i>
      <x v="3808"/>
      <x v="552"/>
    </i>
    <i t="default">
      <x v="3808"/>
    </i>
    <i>
      <x v="3809"/>
      <x v="552"/>
    </i>
    <i t="default">
      <x v="3809"/>
    </i>
    <i>
      <x v="3810"/>
      <x v="552"/>
    </i>
    <i t="default">
      <x v="3810"/>
    </i>
    <i>
      <x v="3811"/>
      <x v="552"/>
    </i>
    <i t="default">
      <x v="3811"/>
    </i>
    <i>
      <x v="3812"/>
      <x v="552"/>
    </i>
    <i t="default">
      <x v="3812"/>
    </i>
    <i>
      <x v="3813"/>
      <x v="552"/>
    </i>
    <i t="default">
      <x v="3813"/>
    </i>
    <i>
      <x v="3814"/>
      <x v="552"/>
    </i>
    <i t="default">
      <x v="3814"/>
    </i>
    <i>
      <x v="3815"/>
      <x v="357"/>
    </i>
    <i r="1">
      <x v="552"/>
    </i>
    <i t="default">
      <x v="3815"/>
    </i>
    <i>
      <x v="3816"/>
      <x v="552"/>
    </i>
    <i t="default">
      <x v="3816"/>
    </i>
    <i>
      <x v="3817"/>
      <x v="552"/>
    </i>
    <i t="default">
      <x v="3817"/>
    </i>
    <i>
      <x v="3818"/>
      <x v="552"/>
    </i>
    <i t="default">
      <x v="3818"/>
    </i>
    <i>
      <x v="3819"/>
      <x v="552"/>
    </i>
    <i t="default">
      <x v="3819"/>
    </i>
    <i>
      <x v="3820"/>
      <x v="552"/>
    </i>
    <i t="default">
      <x v="3820"/>
    </i>
    <i>
      <x v="3821"/>
      <x v="552"/>
    </i>
    <i t="default">
      <x v="3821"/>
    </i>
    <i>
      <x v="3822"/>
      <x v="552"/>
    </i>
    <i t="default">
      <x v="3822"/>
    </i>
    <i>
      <x v="3823"/>
      <x v="552"/>
    </i>
    <i t="default">
      <x v="3823"/>
    </i>
    <i>
      <x v="3824"/>
      <x v="552"/>
    </i>
    <i t="default">
      <x v="3824"/>
    </i>
    <i>
      <x v="3825"/>
      <x v="552"/>
    </i>
    <i t="default">
      <x v="3825"/>
    </i>
    <i>
      <x v="3826"/>
      <x v="552"/>
    </i>
    <i t="default">
      <x v="3826"/>
    </i>
    <i>
      <x v="3827"/>
      <x v="552"/>
    </i>
    <i t="default">
      <x v="3827"/>
    </i>
    <i>
      <x v="3828"/>
      <x v="552"/>
    </i>
    <i t="default">
      <x v="3828"/>
    </i>
    <i>
      <x v="3829"/>
      <x v="552"/>
    </i>
    <i t="default">
      <x v="3829"/>
    </i>
    <i>
      <x v="3830"/>
      <x v="552"/>
    </i>
    <i t="default">
      <x v="3830"/>
    </i>
    <i>
      <x v="3831"/>
      <x v="552"/>
    </i>
    <i t="default">
      <x v="3831"/>
    </i>
    <i>
      <x v="3832"/>
      <x v="552"/>
    </i>
    <i t="default">
      <x v="3832"/>
    </i>
    <i>
      <x v="3833"/>
      <x v="552"/>
    </i>
    <i t="default">
      <x v="3833"/>
    </i>
    <i>
      <x v="3834"/>
      <x v="552"/>
    </i>
    <i t="default">
      <x v="3834"/>
    </i>
    <i>
      <x v="3835"/>
      <x v="552"/>
    </i>
    <i t="default">
      <x v="3835"/>
    </i>
    <i>
      <x v="3836"/>
      <x v="552"/>
    </i>
    <i t="default">
      <x v="3836"/>
    </i>
    <i>
      <x v="3837"/>
      <x v="552"/>
    </i>
    <i t="default">
      <x v="3837"/>
    </i>
    <i>
      <x v="3838"/>
      <x v="552"/>
    </i>
    <i t="default">
      <x v="3838"/>
    </i>
    <i>
      <x v="3839"/>
      <x v="552"/>
    </i>
    <i t="default">
      <x v="3839"/>
    </i>
    <i>
      <x v="3840"/>
      <x v="552"/>
    </i>
    <i t="default">
      <x v="3840"/>
    </i>
    <i>
      <x v="3841"/>
      <x v="552"/>
    </i>
    <i t="default">
      <x v="3841"/>
    </i>
    <i>
      <x v="3842"/>
      <x v="552"/>
    </i>
    <i t="default">
      <x v="3842"/>
    </i>
    <i>
      <x v="3843"/>
      <x v="552"/>
    </i>
    <i t="default">
      <x v="3843"/>
    </i>
    <i>
      <x v="3844"/>
      <x v="552"/>
    </i>
    <i t="default">
      <x v="3844"/>
    </i>
    <i>
      <x v="3845"/>
      <x v="552"/>
    </i>
    <i t="default">
      <x v="3845"/>
    </i>
    <i>
      <x v="3846"/>
      <x v="552"/>
    </i>
    <i t="default">
      <x v="3846"/>
    </i>
    <i>
      <x v="3847"/>
      <x v="552"/>
    </i>
    <i t="default">
      <x v="3847"/>
    </i>
    <i>
      <x v="3848"/>
      <x v="552"/>
    </i>
    <i t="default">
      <x v="3848"/>
    </i>
    <i>
      <x v="3849"/>
      <x v="552"/>
    </i>
    <i t="default">
      <x v="3849"/>
    </i>
    <i>
      <x v="3850"/>
      <x v="552"/>
    </i>
    <i t="default">
      <x v="3850"/>
    </i>
    <i>
      <x v="3851"/>
      <x v="552"/>
    </i>
    <i t="default">
      <x v="3851"/>
    </i>
    <i>
      <x v="3852"/>
      <x v="552"/>
    </i>
    <i t="default">
      <x v="3852"/>
    </i>
    <i>
      <x v="3853"/>
      <x v="552"/>
    </i>
    <i t="default">
      <x v="3853"/>
    </i>
    <i>
      <x v="3854"/>
      <x v="435"/>
    </i>
    <i t="default">
      <x v="3854"/>
    </i>
    <i>
      <x v="3855"/>
      <x v="552"/>
    </i>
    <i t="default">
      <x v="3855"/>
    </i>
    <i>
      <x v="3856"/>
      <x v="552"/>
    </i>
    <i t="default">
      <x v="3856"/>
    </i>
    <i>
      <x v="3857"/>
      <x v="552"/>
    </i>
    <i t="default">
      <x v="3857"/>
    </i>
    <i>
      <x v="3858"/>
      <x v="552"/>
    </i>
    <i t="default">
      <x v="3858"/>
    </i>
    <i>
      <x v="3859"/>
      <x v="552"/>
    </i>
    <i t="default">
      <x v="3859"/>
    </i>
    <i>
      <x v="3860"/>
      <x v="552"/>
    </i>
    <i t="default">
      <x v="3860"/>
    </i>
    <i>
      <x v="3861"/>
      <x v="552"/>
    </i>
    <i t="default">
      <x v="3861"/>
    </i>
    <i>
      <x v="3862"/>
      <x v="145"/>
    </i>
    <i r="1">
      <x v="552"/>
    </i>
    <i t="default">
      <x v="3862"/>
    </i>
    <i>
      <x v="3863"/>
      <x v="552"/>
    </i>
    <i t="default">
      <x v="3863"/>
    </i>
    <i>
      <x v="3864"/>
      <x v="552"/>
    </i>
    <i t="default">
      <x v="3864"/>
    </i>
    <i>
      <x v="3865"/>
      <x v="552"/>
    </i>
    <i t="default">
      <x v="3865"/>
    </i>
    <i>
      <x v="3866"/>
      <x v="16"/>
    </i>
    <i r="1">
      <x v="552"/>
    </i>
    <i t="default">
      <x v="3866"/>
    </i>
    <i>
      <x v="3867"/>
      <x v="32"/>
    </i>
    <i r="1">
      <x v="552"/>
    </i>
    <i t="default">
      <x v="3867"/>
    </i>
    <i>
      <x v="3868"/>
      <x v="552"/>
    </i>
    <i t="default">
      <x v="3868"/>
    </i>
    <i>
      <x v="3869"/>
      <x v="552"/>
    </i>
    <i t="default">
      <x v="3869"/>
    </i>
    <i>
      <x v="3870"/>
      <x v="552"/>
    </i>
    <i t="default">
      <x v="3870"/>
    </i>
    <i>
      <x v="3871"/>
      <x v="552"/>
    </i>
    <i t="default">
      <x v="3871"/>
    </i>
    <i>
      <x v="3872"/>
      <x v="552"/>
    </i>
    <i t="default">
      <x v="3872"/>
    </i>
    <i>
      <x v="3873"/>
      <x v="552"/>
    </i>
    <i t="default">
      <x v="3873"/>
    </i>
    <i>
      <x v="3874"/>
      <x v="552"/>
    </i>
    <i t="default">
      <x v="3874"/>
    </i>
    <i>
      <x v="3875"/>
      <x v="552"/>
    </i>
    <i t="default">
      <x v="3875"/>
    </i>
    <i>
      <x v="3876"/>
      <x v="552"/>
    </i>
    <i t="default">
      <x v="3876"/>
    </i>
    <i>
      <x v="3877"/>
      <x v="552"/>
    </i>
    <i t="default">
      <x v="3877"/>
    </i>
    <i>
      <x v="3878"/>
      <x v="262"/>
    </i>
    <i t="default">
      <x v="3878"/>
    </i>
    <i>
      <x v="3879"/>
      <x v="552"/>
    </i>
    <i t="default">
      <x v="3879"/>
    </i>
    <i>
      <x v="3880"/>
      <x v="552"/>
    </i>
    <i t="default">
      <x v="3880"/>
    </i>
    <i>
      <x v="3881"/>
      <x v="552"/>
    </i>
    <i t="default">
      <x v="3881"/>
    </i>
    <i>
      <x v="3882"/>
      <x v="552"/>
    </i>
    <i t="default">
      <x v="3882"/>
    </i>
    <i>
      <x v="3883"/>
      <x v="552"/>
    </i>
    <i t="default">
      <x v="3883"/>
    </i>
    <i>
      <x v="3884"/>
      <x v="552"/>
    </i>
    <i t="default">
      <x v="3884"/>
    </i>
    <i>
      <x v="3885"/>
      <x v="552"/>
    </i>
    <i t="default">
      <x v="3885"/>
    </i>
    <i>
      <x v="3886"/>
      <x v="552"/>
    </i>
    <i t="default">
      <x v="3886"/>
    </i>
    <i>
      <x v="3887"/>
      <x v="552"/>
    </i>
    <i t="default">
      <x v="3887"/>
    </i>
    <i>
      <x v="3888"/>
      <x v="552"/>
    </i>
    <i t="default">
      <x v="3888"/>
    </i>
    <i>
      <x v="3889"/>
      <x v="552"/>
    </i>
    <i t="default">
      <x v="3889"/>
    </i>
    <i>
      <x v="3890"/>
      <x v="552"/>
    </i>
    <i t="default">
      <x v="3890"/>
    </i>
    <i>
      <x v="3891"/>
      <x v="552"/>
    </i>
    <i t="default">
      <x v="3891"/>
    </i>
    <i>
      <x v="3892"/>
      <x v="552"/>
    </i>
    <i t="default">
      <x v="3892"/>
    </i>
    <i>
      <x v="3893"/>
      <x v="552"/>
    </i>
    <i t="default">
      <x v="3893"/>
    </i>
    <i>
      <x v="3894"/>
      <x v="552"/>
    </i>
    <i t="default">
      <x v="3894"/>
    </i>
    <i>
      <x v="3895"/>
      <x v="552"/>
    </i>
    <i t="default">
      <x v="3895"/>
    </i>
    <i>
      <x v="3896"/>
      <x v="552"/>
    </i>
    <i t="default">
      <x v="3896"/>
    </i>
    <i>
      <x v="3897"/>
      <x v="552"/>
    </i>
    <i t="default">
      <x v="3897"/>
    </i>
    <i>
      <x v="3898"/>
      <x v="552"/>
    </i>
    <i t="default">
      <x v="3898"/>
    </i>
    <i>
      <x v="3899"/>
      <x v="552"/>
    </i>
    <i t="default">
      <x v="3899"/>
    </i>
    <i>
      <x v="3900"/>
      <x v="552"/>
    </i>
    <i t="default">
      <x v="3900"/>
    </i>
    <i>
      <x v="3901"/>
      <x v="552"/>
    </i>
    <i t="default">
      <x v="3901"/>
    </i>
    <i>
      <x v="3902"/>
      <x v="552"/>
    </i>
    <i t="default">
      <x v="3902"/>
    </i>
    <i>
      <x v="3903"/>
      <x v="552"/>
    </i>
    <i t="default">
      <x v="3903"/>
    </i>
    <i>
      <x v="3904"/>
      <x v="552"/>
    </i>
    <i t="default">
      <x v="3904"/>
    </i>
    <i>
      <x v="3905"/>
      <x v="552"/>
    </i>
    <i t="default">
      <x v="3905"/>
    </i>
    <i>
      <x v="3906"/>
      <x v="552"/>
    </i>
    <i t="default">
      <x v="3906"/>
    </i>
    <i>
      <x v="3907"/>
      <x v="552"/>
    </i>
    <i t="default">
      <x v="3907"/>
    </i>
    <i>
      <x v="3908"/>
      <x v="552"/>
    </i>
    <i t="default">
      <x v="3908"/>
    </i>
    <i>
      <x v="3909"/>
      <x v="552"/>
    </i>
    <i t="default">
      <x v="3909"/>
    </i>
    <i>
      <x v="3910"/>
      <x v="552"/>
    </i>
    <i t="default">
      <x v="3910"/>
    </i>
    <i>
      <x v="3911"/>
      <x v="552"/>
    </i>
    <i t="default">
      <x v="3911"/>
    </i>
    <i>
      <x v="3912"/>
      <x v="552"/>
    </i>
    <i t="default">
      <x v="3912"/>
    </i>
    <i>
      <x v="3913"/>
      <x v="552"/>
    </i>
    <i t="default">
      <x v="3913"/>
    </i>
    <i>
      <x v="3914"/>
      <x v="552"/>
    </i>
    <i t="default">
      <x v="3914"/>
    </i>
    <i>
      <x v="3915"/>
      <x v="552"/>
    </i>
    <i t="default">
      <x v="3915"/>
    </i>
    <i>
      <x v="3916"/>
      <x v="552"/>
    </i>
    <i t="default">
      <x v="3916"/>
    </i>
    <i>
      <x v="3917"/>
      <x v="552"/>
    </i>
    <i t="default">
      <x v="3917"/>
    </i>
    <i>
      <x v="3918"/>
      <x v="552"/>
    </i>
    <i t="default">
      <x v="3918"/>
    </i>
    <i>
      <x v="3919"/>
      <x v="552"/>
    </i>
    <i t="default">
      <x v="3919"/>
    </i>
    <i>
      <x v="3920"/>
      <x v="5"/>
    </i>
    <i r="1">
      <x v="552"/>
    </i>
    <i t="default">
      <x v="3920"/>
    </i>
    <i>
      <x v="3921"/>
      <x v="552"/>
    </i>
    <i t="default">
      <x v="3921"/>
    </i>
    <i>
      <x v="3922"/>
      <x v="552"/>
    </i>
    <i t="default">
      <x v="3922"/>
    </i>
    <i>
      <x v="3923"/>
      <x v="552"/>
    </i>
    <i t="default">
      <x v="3923"/>
    </i>
    <i>
      <x v="3924"/>
      <x v="552"/>
    </i>
    <i t="default">
      <x v="3924"/>
    </i>
    <i>
      <x v="3925"/>
      <x v="552"/>
    </i>
    <i t="default">
      <x v="3925"/>
    </i>
    <i>
      <x v="3926"/>
      <x v="552"/>
    </i>
    <i t="default">
      <x v="3926"/>
    </i>
    <i>
      <x v="3927"/>
      <x v="552"/>
    </i>
    <i t="default">
      <x v="3927"/>
    </i>
    <i>
      <x v="3928"/>
      <x v="346"/>
    </i>
    <i r="1">
      <x v="552"/>
    </i>
    <i t="default">
      <x v="3928"/>
    </i>
    <i>
      <x v="3929"/>
      <x v="552"/>
    </i>
    <i t="default">
      <x v="3929"/>
    </i>
    <i>
      <x v="3930"/>
      <x v="552"/>
    </i>
    <i t="default">
      <x v="3930"/>
    </i>
    <i>
      <x v="3931"/>
      <x v="552"/>
    </i>
    <i t="default">
      <x v="3931"/>
    </i>
    <i>
      <x v="3932"/>
      <x v="552"/>
    </i>
    <i t="default">
      <x v="3932"/>
    </i>
    <i>
      <x v="3933"/>
      <x v="552"/>
    </i>
    <i t="default">
      <x v="3933"/>
    </i>
    <i>
      <x v="3934"/>
      <x v="552"/>
    </i>
    <i t="default">
      <x v="3934"/>
    </i>
    <i>
      <x v="3935"/>
      <x v="552"/>
    </i>
    <i t="default">
      <x v="3935"/>
    </i>
    <i>
      <x v="3936"/>
      <x v="552"/>
    </i>
    <i t="default">
      <x v="3936"/>
    </i>
    <i>
      <x v="3937"/>
      <x v="552"/>
    </i>
    <i t="default">
      <x v="3937"/>
    </i>
    <i>
      <x v="3938"/>
      <x v="552"/>
    </i>
    <i t="default">
      <x v="3938"/>
    </i>
    <i>
      <x v="3939"/>
      <x v="552"/>
    </i>
    <i t="default">
      <x v="3939"/>
    </i>
    <i>
      <x v="3940"/>
      <x v="552"/>
    </i>
    <i t="default">
      <x v="3940"/>
    </i>
    <i>
      <x v="3941"/>
      <x v="552"/>
    </i>
    <i t="default">
      <x v="3941"/>
    </i>
    <i>
      <x v="3942"/>
      <x v="552"/>
    </i>
    <i t="default">
      <x v="3942"/>
    </i>
    <i>
      <x v="3943"/>
      <x v="552"/>
    </i>
    <i t="default">
      <x v="3943"/>
    </i>
    <i>
      <x v="3944"/>
      <x v="552"/>
    </i>
    <i t="default">
      <x v="3944"/>
    </i>
    <i>
      <x v="3945"/>
      <x v="552"/>
    </i>
    <i t="default">
      <x v="3945"/>
    </i>
    <i>
      <x v="3946"/>
      <x v="552"/>
    </i>
    <i t="default">
      <x v="3946"/>
    </i>
    <i>
      <x v="3947"/>
      <x v="552"/>
    </i>
    <i t="default">
      <x v="3947"/>
    </i>
    <i>
      <x v="3948"/>
      <x v="552"/>
    </i>
    <i t="default">
      <x v="3948"/>
    </i>
    <i>
      <x v="3949"/>
      <x v="552"/>
    </i>
    <i t="default">
      <x v="3949"/>
    </i>
    <i>
      <x v="3950"/>
      <x v="552"/>
    </i>
    <i t="default">
      <x v="3950"/>
    </i>
    <i>
      <x v="3951"/>
      <x v="501"/>
    </i>
    <i r="1">
      <x v="552"/>
    </i>
    <i t="default">
      <x v="3951"/>
    </i>
    <i>
      <x v="3952"/>
      <x v="552"/>
    </i>
    <i t="default">
      <x v="3952"/>
    </i>
    <i>
      <x v="3953"/>
      <x v="552"/>
    </i>
    <i t="default">
      <x v="3953"/>
    </i>
    <i>
      <x v="3954"/>
      <x v="552"/>
    </i>
    <i t="default">
      <x v="3954"/>
    </i>
    <i>
      <x v="3955"/>
      <x v="552"/>
    </i>
    <i t="default">
      <x v="3955"/>
    </i>
    <i>
      <x v="3956"/>
      <x v="552"/>
    </i>
    <i t="default">
      <x v="3956"/>
    </i>
    <i>
      <x v="3957"/>
      <x v="552"/>
    </i>
    <i t="default">
      <x v="3957"/>
    </i>
    <i>
      <x v="3958"/>
      <x v="552"/>
    </i>
    <i t="default">
      <x v="3958"/>
    </i>
    <i>
      <x v="3959"/>
      <x v="552"/>
    </i>
    <i t="default">
      <x v="3959"/>
    </i>
    <i>
      <x v="3960"/>
      <x v="552"/>
    </i>
    <i t="default">
      <x v="3960"/>
    </i>
    <i>
      <x v="3961"/>
      <x v="552"/>
    </i>
    <i t="default">
      <x v="3961"/>
    </i>
    <i>
      <x v="3962"/>
      <x v="552"/>
    </i>
    <i t="default">
      <x v="3962"/>
    </i>
    <i>
      <x v="3963"/>
      <x v="552"/>
    </i>
    <i t="default">
      <x v="3963"/>
    </i>
    <i>
      <x v="3964"/>
      <x v="552"/>
    </i>
    <i t="default">
      <x v="3964"/>
    </i>
    <i>
      <x v="3965"/>
      <x v="552"/>
    </i>
    <i t="default">
      <x v="3965"/>
    </i>
    <i>
      <x v="3966"/>
      <x v="552"/>
    </i>
    <i t="default">
      <x v="3966"/>
    </i>
    <i>
      <x v="3967"/>
      <x v="552"/>
    </i>
    <i t="default">
      <x v="3967"/>
    </i>
    <i>
      <x v="3968"/>
      <x v="552"/>
    </i>
    <i t="default">
      <x v="3968"/>
    </i>
    <i>
      <x v="3969"/>
      <x v="552"/>
    </i>
    <i t="default">
      <x v="3969"/>
    </i>
    <i>
      <x v="3970"/>
      <x v="552"/>
    </i>
    <i t="default">
      <x v="3970"/>
    </i>
    <i>
      <x v="3971"/>
      <x v="552"/>
    </i>
    <i t="default">
      <x v="3971"/>
    </i>
    <i>
      <x v="3972"/>
      <x v="552"/>
    </i>
    <i t="default">
      <x v="3972"/>
    </i>
    <i>
      <x v="3973"/>
      <x v="552"/>
    </i>
    <i t="default">
      <x v="3973"/>
    </i>
    <i>
      <x v="3974"/>
      <x v="552"/>
    </i>
    <i t="default">
      <x v="3974"/>
    </i>
    <i>
      <x v="3975"/>
      <x v="552"/>
    </i>
    <i t="default">
      <x v="3975"/>
    </i>
    <i>
      <x v="3976"/>
      <x v="552"/>
    </i>
    <i t="default">
      <x v="3976"/>
    </i>
    <i>
      <x v="3977"/>
      <x v="552"/>
    </i>
    <i t="default">
      <x v="3977"/>
    </i>
    <i>
      <x v="3978"/>
      <x v="552"/>
    </i>
    <i t="default">
      <x v="3978"/>
    </i>
    <i>
      <x v="3979"/>
      <x v="552"/>
    </i>
    <i t="default">
      <x v="3979"/>
    </i>
    <i>
      <x v="3980"/>
      <x v="552"/>
    </i>
    <i t="default">
      <x v="3980"/>
    </i>
    <i>
      <x v="3981"/>
      <x v="552"/>
    </i>
    <i t="default">
      <x v="3981"/>
    </i>
    <i>
      <x v="3982"/>
      <x v="552"/>
    </i>
    <i t="default">
      <x v="3982"/>
    </i>
    <i>
      <x v="3983"/>
      <x v="552"/>
    </i>
    <i t="default">
      <x v="3983"/>
    </i>
    <i>
      <x v="3984"/>
      <x v="552"/>
    </i>
    <i t="default">
      <x v="3984"/>
    </i>
    <i>
      <x v="3985"/>
      <x v="552"/>
    </i>
    <i t="default">
      <x v="3985"/>
    </i>
    <i>
      <x v="3986"/>
      <x v="552"/>
    </i>
    <i t="default">
      <x v="3986"/>
    </i>
    <i>
      <x v="3987"/>
      <x v="552"/>
    </i>
    <i t="default">
      <x v="3987"/>
    </i>
    <i>
      <x v="3988"/>
      <x v="552"/>
    </i>
    <i t="default">
      <x v="3988"/>
    </i>
    <i>
      <x v="3989"/>
      <x v="552"/>
    </i>
    <i t="default">
      <x v="3989"/>
    </i>
    <i>
      <x v="3990"/>
      <x v="552"/>
    </i>
    <i t="default">
      <x v="3990"/>
    </i>
    <i>
      <x v="3991"/>
      <x v="552"/>
    </i>
    <i t="default">
      <x v="3991"/>
    </i>
    <i>
      <x v="3992"/>
      <x v="552"/>
    </i>
    <i t="default">
      <x v="3992"/>
    </i>
    <i>
      <x v="3993"/>
      <x v="552"/>
    </i>
    <i t="default">
      <x v="3993"/>
    </i>
    <i>
      <x v="3994"/>
      <x v="552"/>
    </i>
    <i t="default">
      <x v="3994"/>
    </i>
    <i>
      <x v="3995"/>
      <x v="552"/>
    </i>
    <i t="default">
      <x v="3995"/>
    </i>
    <i>
      <x v="3996"/>
      <x v="552"/>
    </i>
    <i t="default">
      <x v="3996"/>
    </i>
    <i>
      <x v="3997"/>
      <x v="552"/>
    </i>
    <i t="default">
      <x v="3997"/>
    </i>
    <i>
      <x v="3998"/>
      <x v="552"/>
    </i>
    <i t="default">
      <x v="3998"/>
    </i>
    <i>
      <x v="3999"/>
      <x v="552"/>
    </i>
    <i t="default">
      <x v="3999"/>
    </i>
    <i>
      <x v="4000"/>
      <x v="552"/>
    </i>
    <i t="default">
      <x v="4000"/>
    </i>
    <i>
      <x v="4001"/>
      <x v="552"/>
    </i>
    <i t="default">
      <x v="4001"/>
    </i>
    <i>
      <x v="4002"/>
      <x v="552"/>
    </i>
    <i t="default">
      <x v="4002"/>
    </i>
    <i>
      <x v="4003"/>
      <x v="552"/>
    </i>
    <i t="default">
      <x v="4003"/>
    </i>
    <i>
      <x v="4004"/>
      <x v="552"/>
    </i>
    <i t="default">
      <x v="4004"/>
    </i>
    <i>
      <x v="4005"/>
      <x v="552"/>
    </i>
    <i t="default">
      <x v="4005"/>
    </i>
    <i>
      <x v="4006"/>
      <x v="552"/>
    </i>
    <i t="default">
      <x v="4006"/>
    </i>
    <i>
      <x v="4007"/>
      <x v="552"/>
    </i>
    <i t="default">
      <x v="4007"/>
    </i>
    <i>
      <x v="4008"/>
      <x v="96"/>
    </i>
    <i t="default">
      <x v="4008"/>
    </i>
    <i>
      <x v="4009"/>
      <x v="552"/>
    </i>
    <i t="default">
      <x v="4009"/>
    </i>
    <i>
      <x v="4010"/>
      <x v="552"/>
    </i>
    <i t="default">
      <x v="4010"/>
    </i>
    <i>
      <x v="4011"/>
      <x v="552"/>
    </i>
    <i t="default">
      <x v="4011"/>
    </i>
    <i>
      <x v="4012"/>
      <x v="552"/>
    </i>
    <i t="default">
      <x v="4012"/>
    </i>
    <i>
      <x v="4013"/>
      <x v="552"/>
    </i>
    <i t="default">
      <x v="4013"/>
    </i>
    <i>
      <x v="4014"/>
      <x v="552"/>
    </i>
    <i t="default">
      <x v="4014"/>
    </i>
    <i>
      <x v="4015"/>
      <x v="552"/>
    </i>
    <i t="default">
      <x v="4015"/>
    </i>
    <i>
      <x v="4016"/>
      <x v="198"/>
    </i>
    <i r="1">
      <x v="552"/>
    </i>
    <i t="default">
      <x v="4016"/>
    </i>
    <i>
      <x v="4017"/>
      <x v="552"/>
    </i>
    <i t="default">
      <x v="4017"/>
    </i>
    <i>
      <x v="4018"/>
      <x v="552"/>
    </i>
    <i t="default">
      <x v="4018"/>
    </i>
    <i>
      <x v="4019"/>
      <x v="552"/>
    </i>
    <i t="default">
      <x v="4019"/>
    </i>
    <i>
      <x v="4020"/>
      <x v="552"/>
    </i>
    <i t="default">
      <x v="4020"/>
    </i>
    <i>
      <x v="4021"/>
      <x v="552"/>
    </i>
    <i t="default">
      <x v="4021"/>
    </i>
    <i>
      <x v="4022"/>
      <x v="552"/>
    </i>
    <i t="default">
      <x v="4022"/>
    </i>
    <i>
      <x v="4023"/>
      <x v="552"/>
    </i>
    <i t="default">
      <x v="4023"/>
    </i>
    <i>
      <x v="4024"/>
      <x v="552"/>
    </i>
    <i t="default">
      <x v="4024"/>
    </i>
    <i>
      <x v="4025"/>
      <x v="552"/>
    </i>
    <i t="default">
      <x v="4025"/>
    </i>
    <i>
      <x v="4026"/>
      <x v="552"/>
    </i>
    <i t="default">
      <x v="4026"/>
    </i>
    <i>
      <x v="4027"/>
      <x v="552"/>
    </i>
    <i t="default">
      <x v="4027"/>
    </i>
    <i>
      <x v="4028"/>
      <x v="552"/>
    </i>
    <i t="default">
      <x v="4028"/>
    </i>
    <i>
      <x v="4029"/>
      <x v="552"/>
    </i>
    <i t="default">
      <x v="4029"/>
    </i>
    <i>
      <x v="4030"/>
      <x v="552"/>
    </i>
    <i t="default">
      <x v="4030"/>
    </i>
    <i>
      <x v="4031"/>
      <x v="552"/>
    </i>
    <i t="default">
      <x v="4031"/>
    </i>
    <i>
      <x v="4032"/>
      <x v="552"/>
    </i>
    <i t="default">
      <x v="4032"/>
    </i>
    <i>
      <x v="4033"/>
      <x v="552"/>
    </i>
    <i t="default">
      <x v="4033"/>
    </i>
    <i>
      <x v="4034"/>
      <x v="552"/>
    </i>
    <i t="default">
      <x v="4034"/>
    </i>
    <i>
      <x v="4035"/>
      <x v="552"/>
    </i>
    <i t="default">
      <x v="4035"/>
    </i>
    <i>
      <x v="4036"/>
      <x v="552"/>
    </i>
    <i t="default">
      <x v="4036"/>
    </i>
    <i>
      <x v="4037"/>
      <x v="552"/>
    </i>
    <i t="default">
      <x v="4037"/>
    </i>
    <i>
      <x v="4038"/>
      <x v="552"/>
    </i>
    <i t="default">
      <x v="4038"/>
    </i>
    <i>
      <x v="4039"/>
      <x v="552"/>
    </i>
    <i t="default">
      <x v="4039"/>
    </i>
    <i>
      <x v="4040"/>
      <x v="552"/>
    </i>
    <i t="default">
      <x v="4040"/>
    </i>
    <i>
      <x v="4041"/>
      <x v="552"/>
    </i>
    <i t="default">
      <x v="4041"/>
    </i>
    <i>
      <x v="4042"/>
      <x v="552"/>
    </i>
    <i t="default">
      <x v="4042"/>
    </i>
    <i>
      <x v="4043"/>
      <x v="552"/>
    </i>
    <i t="default">
      <x v="4043"/>
    </i>
    <i>
      <x v="4044"/>
      <x v="552"/>
    </i>
    <i t="default">
      <x v="4044"/>
    </i>
    <i>
      <x v="4045"/>
      <x v="552"/>
    </i>
    <i t="default">
      <x v="4045"/>
    </i>
    <i>
      <x v="4046"/>
      <x v="552"/>
    </i>
    <i t="default">
      <x v="4046"/>
    </i>
    <i>
      <x v="4047"/>
      <x v="552"/>
    </i>
    <i t="default">
      <x v="4047"/>
    </i>
    <i>
      <x v="4048"/>
      <x v="552"/>
    </i>
    <i t="default">
      <x v="4048"/>
    </i>
    <i>
      <x v="4049"/>
      <x v="552"/>
    </i>
    <i t="default">
      <x v="4049"/>
    </i>
    <i>
      <x v="4050"/>
      <x v="237"/>
    </i>
    <i r="1">
      <x v="552"/>
    </i>
    <i t="default">
      <x v="4050"/>
    </i>
    <i>
      <x v="4051"/>
      <x v="552"/>
    </i>
    <i t="default">
      <x v="4051"/>
    </i>
    <i>
      <x v="4052"/>
      <x v="552"/>
    </i>
    <i t="default">
      <x v="4052"/>
    </i>
    <i>
      <x v="4053"/>
      <x v="552"/>
    </i>
    <i t="default">
      <x v="4053"/>
    </i>
    <i>
      <x v="4054"/>
      <x v="552"/>
    </i>
    <i t="default">
      <x v="4054"/>
    </i>
    <i>
      <x v="4055"/>
      <x v="552"/>
    </i>
    <i t="default">
      <x v="4055"/>
    </i>
    <i>
      <x v="4056"/>
      <x v="552"/>
    </i>
    <i t="default">
      <x v="4056"/>
    </i>
    <i>
      <x v="4057"/>
      <x v="552"/>
    </i>
    <i t="default">
      <x v="4057"/>
    </i>
    <i>
      <x v="4058"/>
      <x v="552"/>
    </i>
    <i t="default">
      <x v="4058"/>
    </i>
    <i>
      <x v="4059"/>
      <x v="552"/>
    </i>
    <i t="default">
      <x v="4059"/>
    </i>
    <i>
      <x v="4060"/>
      <x v="552"/>
    </i>
    <i t="default">
      <x v="4060"/>
    </i>
    <i>
      <x v="4061"/>
      <x v="552"/>
    </i>
    <i t="default">
      <x v="4061"/>
    </i>
    <i>
      <x v="4062"/>
      <x v="552"/>
    </i>
    <i t="default">
      <x v="4062"/>
    </i>
    <i>
      <x v="4063"/>
      <x v="552"/>
    </i>
    <i t="default">
      <x v="4063"/>
    </i>
    <i>
      <x v="4064"/>
      <x v="552"/>
    </i>
    <i t="default">
      <x v="4064"/>
    </i>
    <i>
      <x v="4065"/>
      <x v="65"/>
    </i>
    <i t="default">
      <x v="4065"/>
    </i>
    <i>
      <x v="4066"/>
      <x v="552"/>
    </i>
    <i t="default">
      <x v="4066"/>
    </i>
    <i>
      <x v="4067"/>
      <x v="552"/>
    </i>
    <i t="default">
      <x v="4067"/>
    </i>
    <i>
      <x v="4068"/>
      <x v="552"/>
    </i>
    <i t="default">
      <x v="4068"/>
    </i>
    <i>
      <x v="4069"/>
      <x v="552"/>
    </i>
    <i t="default">
      <x v="4069"/>
    </i>
    <i>
      <x v="4070"/>
      <x v="552"/>
    </i>
    <i t="default">
      <x v="4070"/>
    </i>
    <i>
      <x v="4071"/>
      <x v="552"/>
    </i>
    <i t="default">
      <x v="4071"/>
    </i>
    <i>
      <x v="4072"/>
      <x v="552"/>
    </i>
    <i t="default">
      <x v="4072"/>
    </i>
    <i>
      <x v="4073"/>
      <x v="552"/>
    </i>
    <i t="default">
      <x v="4073"/>
    </i>
    <i>
      <x v="4074"/>
      <x v="552"/>
    </i>
    <i t="default">
      <x v="4074"/>
    </i>
    <i>
      <x v="4075"/>
      <x v="552"/>
    </i>
    <i t="default">
      <x v="4075"/>
    </i>
    <i>
      <x v="4076"/>
      <x v="552"/>
    </i>
    <i t="default">
      <x v="4076"/>
    </i>
    <i>
      <x v="4077"/>
      <x v="552"/>
    </i>
    <i t="default">
      <x v="4077"/>
    </i>
    <i>
      <x v="4078"/>
      <x v="552"/>
    </i>
    <i t="default">
      <x v="4078"/>
    </i>
    <i>
      <x v="4079"/>
      <x v="552"/>
    </i>
    <i t="default">
      <x v="4079"/>
    </i>
    <i>
      <x v="4080"/>
      <x v="552"/>
    </i>
    <i t="default">
      <x v="4080"/>
    </i>
    <i>
      <x v="4081"/>
      <x v="552"/>
    </i>
    <i t="default">
      <x v="4081"/>
    </i>
    <i>
      <x v="4082"/>
      <x v="552"/>
    </i>
    <i t="default">
      <x v="4082"/>
    </i>
    <i>
      <x v="4083"/>
      <x v="552"/>
    </i>
    <i t="default">
      <x v="4083"/>
    </i>
    <i>
      <x v="4084"/>
      <x v="552"/>
    </i>
    <i t="default">
      <x v="4084"/>
    </i>
    <i>
      <x v="4085"/>
      <x v="552"/>
    </i>
    <i t="default">
      <x v="4085"/>
    </i>
    <i>
      <x v="4086"/>
      <x v="72"/>
    </i>
    <i r="1">
      <x v="552"/>
    </i>
    <i t="default">
      <x v="4086"/>
    </i>
    <i>
      <x v="4087"/>
      <x v="552"/>
    </i>
    <i t="default">
      <x v="4087"/>
    </i>
    <i>
      <x v="4088"/>
      <x v="552"/>
    </i>
    <i t="default">
      <x v="4088"/>
    </i>
    <i>
      <x v="4089"/>
      <x v="552"/>
    </i>
    <i t="default">
      <x v="4089"/>
    </i>
    <i>
      <x v="4090"/>
      <x v="552"/>
    </i>
    <i t="default">
      <x v="4090"/>
    </i>
    <i>
      <x v="4091"/>
      <x v="552"/>
    </i>
    <i t="default">
      <x v="4091"/>
    </i>
    <i>
      <x v="4092"/>
      <x v="552"/>
    </i>
    <i t="default">
      <x v="4092"/>
    </i>
    <i>
      <x v="4093"/>
      <x v="552"/>
    </i>
    <i t="default">
      <x v="4093"/>
    </i>
    <i>
      <x v="4094"/>
      <x v="552"/>
    </i>
    <i t="default">
      <x v="4094"/>
    </i>
    <i>
      <x v="4095"/>
      <x v="552"/>
    </i>
    <i t="default">
      <x v="4095"/>
    </i>
    <i>
      <x v="4096"/>
      <x v="552"/>
    </i>
    <i t="default">
      <x v="4096"/>
    </i>
    <i>
      <x v="4097"/>
      <x v="552"/>
    </i>
    <i t="default">
      <x v="4097"/>
    </i>
    <i>
      <x v="4098"/>
      <x v="552"/>
    </i>
    <i t="default">
      <x v="4098"/>
    </i>
    <i>
      <x v="4099"/>
      <x v="552"/>
    </i>
    <i t="default">
      <x v="4099"/>
    </i>
    <i>
      <x v="4100"/>
      <x v="552"/>
    </i>
    <i t="default">
      <x v="4100"/>
    </i>
    <i>
      <x v="4101"/>
      <x v="552"/>
    </i>
    <i t="default">
      <x v="4101"/>
    </i>
    <i>
      <x v="4102"/>
      <x v="552"/>
    </i>
    <i t="default">
      <x v="4102"/>
    </i>
    <i>
      <x v="4103"/>
      <x v="552"/>
    </i>
    <i t="default">
      <x v="4103"/>
    </i>
    <i>
      <x v="4104"/>
      <x v="552"/>
    </i>
    <i t="default">
      <x v="4104"/>
    </i>
    <i>
      <x v="4105"/>
      <x v="552"/>
    </i>
    <i t="default">
      <x v="4105"/>
    </i>
    <i>
      <x v="4106"/>
      <x v="552"/>
    </i>
    <i t="default">
      <x v="4106"/>
    </i>
    <i>
      <x v="4107"/>
      <x v="552"/>
    </i>
    <i t="default">
      <x v="4107"/>
    </i>
    <i>
      <x v="4108"/>
      <x v="552"/>
    </i>
    <i t="default">
      <x v="4108"/>
    </i>
    <i>
      <x v="4109"/>
      <x v="552"/>
    </i>
    <i t="default">
      <x v="4109"/>
    </i>
    <i>
      <x v="4110"/>
      <x v="552"/>
    </i>
    <i t="default">
      <x v="4110"/>
    </i>
    <i>
      <x v="4111"/>
      <x v="552"/>
    </i>
    <i t="default">
      <x v="4111"/>
    </i>
    <i>
      <x v="4112"/>
      <x v="552"/>
    </i>
    <i t="default">
      <x v="4112"/>
    </i>
    <i>
      <x v="4113"/>
      <x v="552"/>
    </i>
    <i t="default">
      <x v="4113"/>
    </i>
    <i>
      <x v="4114"/>
      <x v="552"/>
    </i>
    <i t="default">
      <x v="4114"/>
    </i>
    <i>
      <x v="4115"/>
      <x v="552"/>
    </i>
    <i t="default">
      <x v="4115"/>
    </i>
    <i>
      <x v="4116"/>
      <x v="552"/>
    </i>
    <i t="default">
      <x v="4116"/>
    </i>
    <i>
      <x v="4117"/>
      <x v="552"/>
    </i>
    <i t="default">
      <x v="4117"/>
    </i>
    <i>
      <x v="4118"/>
      <x v="552"/>
    </i>
    <i t="default">
      <x v="4118"/>
    </i>
    <i>
      <x v="4119"/>
      <x v="552"/>
    </i>
    <i t="default">
      <x v="4119"/>
    </i>
    <i>
      <x v="4120"/>
      <x v="552"/>
    </i>
    <i t="default">
      <x v="4120"/>
    </i>
    <i>
      <x v="4121"/>
      <x v="552"/>
    </i>
    <i t="default">
      <x v="4121"/>
    </i>
    <i>
      <x v="4122"/>
      <x v="552"/>
    </i>
    <i t="default">
      <x v="4122"/>
    </i>
    <i>
      <x v="4123"/>
      <x v="552"/>
    </i>
    <i t="default">
      <x v="4123"/>
    </i>
    <i>
      <x v="4124"/>
      <x v="552"/>
    </i>
    <i t="default">
      <x v="4124"/>
    </i>
    <i>
      <x v="4125"/>
      <x v="552"/>
    </i>
    <i t="default">
      <x v="4125"/>
    </i>
    <i>
      <x v="4126"/>
      <x v="552"/>
    </i>
    <i t="default">
      <x v="4126"/>
    </i>
    <i>
      <x v="4127"/>
      <x v="552"/>
    </i>
    <i t="default">
      <x v="4127"/>
    </i>
    <i>
      <x v="4128"/>
      <x v="552"/>
    </i>
    <i t="default">
      <x v="4128"/>
    </i>
    <i>
      <x v="4129"/>
      <x v="552"/>
    </i>
    <i t="default">
      <x v="4129"/>
    </i>
    <i>
      <x v="4130"/>
      <x v="552"/>
    </i>
    <i t="default">
      <x v="4130"/>
    </i>
    <i>
      <x v="4131"/>
      <x v="552"/>
    </i>
    <i t="default">
      <x v="4131"/>
    </i>
    <i>
      <x v="4132"/>
      <x v="552"/>
    </i>
    <i t="default">
      <x v="4132"/>
    </i>
    <i>
      <x v="4133"/>
      <x v="552"/>
    </i>
    <i t="default">
      <x v="4133"/>
    </i>
    <i>
      <x v="4134"/>
      <x v="552"/>
    </i>
    <i t="default">
      <x v="4134"/>
    </i>
    <i>
      <x v="4135"/>
      <x v="552"/>
    </i>
    <i t="default">
      <x v="4135"/>
    </i>
    <i>
      <x v="4136"/>
      <x v="552"/>
    </i>
    <i t="default">
      <x v="4136"/>
    </i>
    <i>
      <x v="4137"/>
      <x v="552"/>
    </i>
    <i t="default">
      <x v="4137"/>
    </i>
    <i>
      <x v="4138"/>
      <x v="552"/>
    </i>
    <i t="default">
      <x v="4138"/>
    </i>
    <i>
      <x v="4139"/>
      <x v="552"/>
    </i>
    <i t="default">
      <x v="4139"/>
    </i>
    <i>
      <x v="4140"/>
      <x v="552"/>
    </i>
    <i t="default">
      <x v="4140"/>
    </i>
    <i>
      <x v="4141"/>
      <x v="552"/>
    </i>
    <i t="default">
      <x v="4141"/>
    </i>
    <i>
      <x v="4142"/>
      <x v="552"/>
    </i>
    <i t="default">
      <x v="4142"/>
    </i>
    <i>
      <x v="4143"/>
      <x v="552"/>
    </i>
    <i t="default">
      <x v="4143"/>
    </i>
    <i>
      <x v="4144"/>
      <x v="552"/>
    </i>
    <i t="default">
      <x v="4144"/>
    </i>
    <i>
      <x v="4145"/>
      <x v="282"/>
    </i>
    <i t="default">
      <x v="4145"/>
    </i>
    <i>
      <x v="4146"/>
      <x v="552"/>
    </i>
    <i t="default">
      <x v="4146"/>
    </i>
    <i>
      <x v="4147"/>
      <x v="552"/>
    </i>
    <i t="default">
      <x v="4147"/>
    </i>
    <i>
      <x v="4148"/>
      <x v="552"/>
    </i>
    <i t="default">
      <x v="4148"/>
    </i>
    <i>
      <x v="4149"/>
      <x v="552"/>
    </i>
    <i t="default">
      <x v="4149"/>
    </i>
    <i>
      <x v="4150"/>
      <x v="552"/>
    </i>
    <i t="default">
      <x v="4150"/>
    </i>
    <i>
      <x v="4151"/>
      <x v="552"/>
    </i>
    <i t="default">
      <x v="4151"/>
    </i>
    <i>
      <x v="4152"/>
      <x v="552"/>
    </i>
    <i t="default">
      <x v="4152"/>
    </i>
    <i>
      <x v="4153"/>
      <x v="552"/>
    </i>
    <i t="default">
      <x v="4153"/>
    </i>
    <i>
      <x v="4154"/>
      <x v="552"/>
    </i>
    <i t="default">
      <x v="4154"/>
    </i>
    <i>
      <x v="4155"/>
      <x v="552"/>
    </i>
    <i t="default">
      <x v="4155"/>
    </i>
    <i>
      <x v="4156"/>
      <x v="552"/>
    </i>
    <i t="default">
      <x v="4156"/>
    </i>
    <i>
      <x v="4157"/>
      <x v="552"/>
    </i>
    <i t="default">
      <x v="4157"/>
    </i>
    <i>
      <x v="4158"/>
      <x v="552"/>
    </i>
    <i t="default">
      <x v="4158"/>
    </i>
    <i>
      <x v="4159"/>
      <x v="407"/>
    </i>
    <i r="1">
      <x v="552"/>
    </i>
    <i t="default">
      <x v="4159"/>
    </i>
    <i>
      <x v="4160"/>
      <x v="552"/>
    </i>
    <i t="default">
      <x v="4160"/>
    </i>
    <i>
      <x v="4161"/>
      <x v="552"/>
    </i>
    <i t="default">
      <x v="4161"/>
    </i>
    <i>
      <x v="4162"/>
      <x v="552"/>
    </i>
    <i t="default">
      <x v="4162"/>
    </i>
    <i>
      <x v="4163"/>
      <x v="552"/>
    </i>
    <i t="default">
      <x v="4163"/>
    </i>
    <i>
      <x v="4164"/>
      <x v="552"/>
    </i>
    <i t="default">
      <x v="4164"/>
    </i>
    <i>
      <x v="4165"/>
      <x v="552"/>
    </i>
    <i t="default">
      <x v="4165"/>
    </i>
    <i>
      <x v="4166"/>
      <x v="552"/>
    </i>
    <i t="default">
      <x v="4166"/>
    </i>
    <i>
      <x v="4167"/>
      <x v="552"/>
    </i>
    <i t="default">
      <x v="4167"/>
    </i>
    <i>
      <x v="4168"/>
      <x v="552"/>
    </i>
    <i t="default">
      <x v="4168"/>
    </i>
    <i>
      <x v="4169"/>
      <x v="552"/>
    </i>
    <i t="default">
      <x v="4169"/>
    </i>
    <i>
      <x v="4170"/>
      <x v="552"/>
    </i>
    <i t="default">
      <x v="4170"/>
    </i>
    <i>
      <x v="4171"/>
      <x v="552"/>
    </i>
    <i t="default">
      <x v="4171"/>
    </i>
    <i>
      <x v="4172"/>
      <x v="552"/>
    </i>
    <i t="default">
      <x v="4172"/>
    </i>
    <i>
      <x v="4173"/>
      <x v="552"/>
    </i>
    <i t="default">
      <x v="4173"/>
    </i>
    <i>
      <x v="4174"/>
      <x v="552"/>
    </i>
    <i t="default">
      <x v="4174"/>
    </i>
    <i>
      <x v="4175"/>
      <x v="552"/>
    </i>
    <i t="default">
      <x v="4175"/>
    </i>
    <i>
      <x v="4176"/>
      <x v="552"/>
    </i>
    <i t="default">
      <x v="4176"/>
    </i>
    <i>
      <x v="4177"/>
      <x v="552"/>
    </i>
    <i t="default">
      <x v="4177"/>
    </i>
    <i>
      <x v="4178"/>
      <x v="552"/>
    </i>
    <i t="default">
      <x v="4178"/>
    </i>
    <i>
      <x v="4179"/>
      <x v="552"/>
    </i>
    <i t="default">
      <x v="4179"/>
    </i>
    <i>
      <x v="4180"/>
      <x v="552"/>
    </i>
    <i t="default">
      <x v="4180"/>
    </i>
    <i>
      <x v="4181"/>
      <x v="552"/>
    </i>
    <i t="default">
      <x v="4181"/>
    </i>
    <i>
      <x v="4182"/>
      <x v="552"/>
    </i>
    <i t="default">
      <x v="4182"/>
    </i>
    <i>
      <x v="4183"/>
      <x v="552"/>
    </i>
    <i t="default">
      <x v="4183"/>
    </i>
    <i>
      <x v="4184"/>
      <x v="552"/>
    </i>
    <i t="default">
      <x v="4184"/>
    </i>
    <i>
      <x v="4185"/>
      <x v="552"/>
    </i>
    <i t="default">
      <x v="4185"/>
    </i>
    <i>
      <x v="4186"/>
      <x v="552"/>
    </i>
    <i t="default">
      <x v="4186"/>
    </i>
    <i>
      <x v="4187"/>
      <x v="552"/>
    </i>
    <i t="default">
      <x v="4187"/>
    </i>
    <i>
      <x v="4188"/>
      <x v="552"/>
    </i>
    <i t="default">
      <x v="4188"/>
    </i>
    <i>
      <x v="4189"/>
      <x v="39"/>
    </i>
    <i t="default">
      <x v="4189"/>
    </i>
    <i>
      <x v="4190"/>
      <x v="552"/>
    </i>
    <i t="default">
      <x v="4190"/>
    </i>
    <i>
      <x v="4191"/>
      <x v="552"/>
    </i>
    <i t="default">
      <x v="4191"/>
    </i>
    <i>
      <x v="4192"/>
      <x v="552"/>
    </i>
    <i t="default">
      <x v="4192"/>
    </i>
    <i>
      <x v="4193"/>
      <x v="552"/>
    </i>
    <i t="default">
      <x v="4193"/>
    </i>
    <i>
      <x v="4194"/>
      <x v="552"/>
    </i>
    <i t="default">
      <x v="4194"/>
    </i>
    <i>
      <x v="4195"/>
      <x v="552"/>
    </i>
    <i t="default">
      <x v="4195"/>
    </i>
    <i>
      <x v="4196"/>
      <x v="552"/>
    </i>
    <i t="default">
      <x v="4196"/>
    </i>
    <i>
      <x v="4197"/>
      <x v="552"/>
    </i>
    <i t="default">
      <x v="4197"/>
    </i>
    <i>
      <x v="4198"/>
      <x v="552"/>
    </i>
    <i t="default">
      <x v="4198"/>
    </i>
    <i>
      <x v="4199"/>
      <x v="552"/>
    </i>
    <i t="default">
      <x v="4199"/>
    </i>
    <i>
      <x v="4200"/>
      <x v="552"/>
    </i>
    <i t="default">
      <x v="4200"/>
    </i>
    <i>
      <x v="4201"/>
      <x v="552"/>
    </i>
    <i t="default">
      <x v="4201"/>
    </i>
    <i>
      <x v="4202"/>
      <x v="552"/>
    </i>
    <i t="default">
      <x v="4202"/>
    </i>
    <i>
      <x v="4203"/>
      <x v="552"/>
    </i>
    <i t="default">
      <x v="4203"/>
    </i>
    <i>
      <x v="4204"/>
      <x v="552"/>
    </i>
    <i t="default">
      <x v="4204"/>
    </i>
    <i>
      <x v="4205"/>
      <x v="552"/>
    </i>
    <i t="default">
      <x v="4205"/>
    </i>
    <i>
      <x v="4206"/>
      <x v="552"/>
    </i>
    <i t="default">
      <x v="4206"/>
    </i>
    <i>
      <x v="4207"/>
      <x v="552"/>
    </i>
    <i t="default">
      <x v="4207"/>
    </i>
    <i>
      <x v="4208"/>
      <x v="552"/>
    </i>
    <i t="default">
      <x v="4208"/>
    </i>
    <i>
      <x v="4209"/>
      <x v="552"/>
    </i>
    <i t="default">
      <x v="4209"/>
    </i>
    <i>
      <x v="4210"/>
      <x v="552"/>
    </i>
    <i t="default">
      <x v="4210"/>
    </i>
    <i>
      <x v="4211"/>
      <x v="552"/>
    </i>
    <i t="default">
      <x v="4211"/>
    </i>
    <i>
      <x v="4212"/>
      <x v="552"/>
    </i>
    <i t="default">
      <x v="4212"/>
    </i>
    <i>
      <x v="4213"/>
      <x v="552"/>
    </i>
    <i t="default">
      <x v="4213"/>
    </i>
    <i>
      <x v="4214"/>
      <x v="552"/>
    </i>
    <i t="default">
      <x v="4214"/>
    </i>
    <i>
      <x v="4215"/>
      <x v="552"/>
    </i>
    <i t="default">
      <x v="4215"/>
    </i>
    <i>
      <x v="4216"/>
      <x v="552"/>
    </i>
    <i t="default">
      <x v="4216"/>
    </i>
    <i>
      <x v="4217"/>
      <x v="552"/>
    </i>
    <i t="default">
      <x v="4217"/>
    </i>
    <i>
      <x v="4218"/>
      <x v="552"/>
    </i>
    <i t="default">
      <x v="4218"/>
    </i>
    <i>
      <x v="4219"/>
      <x v="552"/>
    </i>
    <i t="default">
      <x v="4219"/>
    </i>
    <i>
      <x v="4220"/>
      <x v="552"/>
    </i>
    <i t="default">
      <x v="4220"/>
    </i>
    <i>
      <x v="4221"/>
      <x v="552"/>
    </i>
    <i t="default">
      <x v="4221"/>
    </i>
    <i>
      <x v="4222"/>
      <x v="552"/>
    </i>
    <i t="default">
      <x v="4222"/>
    </i>
    <i>
      <x v="4223"/>
      <x v="552"/>
    </i>
    <i t="default">
      <x v="4223"/>
    </i>
    <i>
      <x v="4224"/>
      <x v="552"/>
    </i>
    <i t="default">
      <x v="4224"/>
    </i>
    <i>
      <x v="4225"/>
      <x v="552"/>
    </i>
    <i t="default">
      <x v="4225"/>
    </i>
    <i>
      <x v="4226"/>
      <x v="552"/>
    </i>
    <i t="default">
      <x v="4226"/>
    </i>
    <i>
      <x v="4227"/>
      <x v="115"/>
    </i>
    <i r="1">
      <x v="552"/>
    </i>
    <i t="default">
      <x v="4227"/>
    </i>
    <i>
      <x v="4228"/>
      <x v="114"/>
    </i>
    <i r="1">
      <x v="552"/>
    </i>
    <i t="default">
      <x v="4228"/>
    </i>
    <i>
      <x v="4229"/>
      <x v="552"/>
    </i>
    <i t="default">
      <x v="4229"/>
    </i>
    <i>
      <x v="4230"/>
      <x v="552"/>
    </i>
    <i t="default">
      <x v="4230"/>
    </i>
    <i>
      <x v="4231"/>
      <x v="552"/>
    </i>
    <i t="default">
      <x v="4231"/>
    </i>
    <i>
      <x v="4232"/>
      <x v="552"/>
    </i>
    <i t="default">
      <x v="4232"/>
    </i>
    <i>
      <x v="4233"/>
      <x v="552"/>
    </i>
    <i t="default">
      <x v="4233"/>
    </i>
    <i>
      <x v="4234"/>
      <x v="552"/>
    </i>
    <i t="default">
      <x v="4234"/>
    </i>
    <i>
      <x v="4235"/>
      <x v="552"/>
    </i>
    <i t="default">
      <x v="4235"/>
    </i>
    <i>
      <x v="4236"/>
      <x v="552"/>
    </i>
    <i t="default">
      <x v="4236"/>
    </i>
    <i>
      <x v="4237"/>
      <x v="552"/>
    </i>
    <i t="default">
      <x v="4237"/>
    </i>
    <i>
      <x v="4238"/>
      <x v="552"/>
    </i>
    <i t="default">
      <x v="4238"/>
    </i>
    <i>
      <x v="4239"/>
      <x v="552"/>
    </i>
    <i t="default">
      <x v="4239"/>
    </i>
    <i>
      <x v="4240"/>
      <x v="552"/>
    </i>
    <i t="default">
      <x v="4240"/>
    </i>
    <i>
      <x v="4241"/>
      <x v="552"/>
    </i>
    <i t="default">
      <x v="4241"/>
    </i>
    <i>
      <x v="4242"/>
      <x v="552"/>
    </i>
    <i t="default">
      <x v="4242"/>
    </i>
    <i>
      <x v="4243"/>
      <x v="552"/>
    </i>
    <i t="default">
      <x v="4243"/>
    </i>
    <i>
      <x v="4244"/>
      <x v="552"/>
    </i>
    <i t="default">
      <x v="4244"/>
    </i>
    <i>
      <x v="4245"/>
      <x v="552"/>
    </i>
    <i t="default">
      <x v="4245"/>
    </i>
    <i>
      <x v="4246"/>
      <x v="552"/>
    </i>
    <i t="default">
      <x v="4246"/>
    </i>
    <i>
      <x v="4247"/>
      <x v="552"/>
    </i>
    <i t="default">
      <x v="4247"/>
    </i>
    <i>
      <x v="4248"/>
      <x v="552"/>
    </i>
    <i t="default">
      <x v="4248"/>
    </i>
    <i>
      <x v="4249"/>
      <x v="552"/>
    </i>
    <i t="default">
      <x v="4249"/>
    </i>
    <i>
      <x v="4250"/>
      <x v="552"/>
    </i>
    <i t="default">
      <x v="4250"/>
    </i>
    <i>
      <x v="4251"/>
      <x v="552"/>
    </i>
    <i t="default">
      <x v="4251"/>
    </i>
    <i>
      <x v="4252"/>
      <x v="552"/>
    </i>
    <i t="default">
      <x v="4252"/>
    </i>
    <i>
      <x v="4253"/>
      <x v="552"/>
    </i>
    <i t="default">
      <x v="4253"/>
    </i>
    <i>
      <x v="4254"/>
      <x v="552"/>
    </i>
    <i t="default">
      <x v="4254"/>
    </i>
    <i>
      <x v="4255"/>
      <x v="552"/>
    </i>
    <i t="default">
      <x v="4255"/>
    </i>
    <i>
      <x v="4256"/>
      <x v="552"/>
    </i>
    <i t="default">
      <x v="4256"/>
    </i>
    <i>
      <x v="4257"/>
      <x v="552"/>
    </i>
    <i t="default">
      <x v="4257"/>
    </i>
    <i>
      <x v="4258"/>
      <x v="552"/>
    </i>
    <i t="default">
      <x v="4258"/>
    </i>
    <i>
      <x v="4259"/>
      <x v="552"/>
    </i>
    <i t="default">
      <x v="4259"/>
    </i>
    <i>
      <x v="4260"/>
      <x v="552"/>
    </i>
    <i t="default">
      <x v="4260"/>
    </i>
    <i>
      <x v="4261"/>
      <x v="552"/>
    </i>
    <i t="default">
      <x v="4261"/>
    </i>
    <i>
      <x v="4262"/>
      <x v="552"/>
    </i>
    <i t="default">
      <x v="4262"/>
    </i>
    <i>
      <x v="4263"/>
      <x v="552"/>
    </i>
    <i t="default">
      <x v="4263"/>
    </i>
    <i>
      <x v="4264"/>
      <x v="552"/>
    </i>
    <i t="default">
      <x v="4264"/>
    </i>
    <i>
      <x v="4265"/>
      <x v="552"/>
    </i>
    <i t="default">
      <x v="4265"/>
    </i>
    <i>
      <x v="4266"/>
      <x v="552"/>
    </i>
    <i t="default">
      <x v="4266"/>
    </i>
    <i>
      <x v="4267"/>
      <x v="552"/>
    </i>
    <i t="default">
      <x v="4267"/>
    </i>
    <i>
      <x v="4268"/>
      <x v="552"/>
    </i>
    <i t="default">
      <x v="4268"/>
    </i>
    <i>
      <x v="4269"/>
      <x v="552"/>
    </i>
    <i t="default">
      <x v="4269"/>
    </i>
    <i>
      <x v="4270"/>
      <x v="552"/>
    </i>
    <i t="default">
      <x v="4270"/>
    </i>
    <i>
      <x v="4271"/>
      <x v="552"/>
    </i>
    <i t="default">
      <x v="4271"/>
    </i>
    <i>
      <x v="4272"/>
      <x v="552"/>
    </i>
    <i t="default">
      <x v="4272"/>
    </i>
    <i>
      <x v="4273"/>
      <x v="552"/>
    </i>
    <i t="default">
      <x v="4273"/>
    </i>
    <i>
      <x v="4274"/>
      <x v="552"/>
    </i>
    <i t="default">
      <x v="4274"/>
    </i>
    <i>
      <x v="4275"/>
      <x v="552"/>
    </i>
    <i t="default">
      <x v="4275"/>
    </i>
    <i>
      <x v="4276"/>
      <x v="552"/>
    </i>
    <i t="default">
      <x v="4276"/>
    </i>
    <i>
      <x v="4277"/>
      <x v="552"/>
    </i>
    <i t="default">
      <x v="4277"/>
    </i>
    <i>
      <x v="4278"/>
      <x v="552"/>
    </i>
    <i t="default">
      <x v="4278"/>
    </i>
    <i>
      <x v="4279"/>
      <x v="552"/>
    </i>
    <i t="default">
      <x v="4279"/>
    </i>
    <i>
      <x v="4280"/>
      <x v="552"/>
    </i>
    <i t="default">
      <x v="4280"/>
    </i>
    <i>
      <x v="4281"/>
      <x v="552"/>
    </i>
    <i t="default">
      <x v="4281"/>
    </i>
    <i>
      <x v="4282"/>
      <x v="552"/>
    </i>
    <i t="default">
      <x v="4282"/>
    </i>
    <i>
      <x v="4283"/>
      <x v="552"/>
    </i>
    <i t="default">
      <x v="4283"/>
    </i>
    <i>
      <x v="4284"/>
      <x v="552"/>
    </i>
    <i t="default">
      <x v="4284"/>
    </i>
    <i>
      <x v="4285"/>
      <x v="552"/>
    </i>
    <i t="default">
      <x v="4285"/>
    </i>
    <i>
      <x v="4286"/>
      <x v="552"/>
    </i>
    <i t="default">
      <x v="4286"/>
    </i>
    <i>
      <x v="4287"/>
      <x v="552"/>
    </i>
    <i t="default">
      <x v="4287"/>
    </i>
    <i>
      <x v="4288"/>
      <x v="552"/>
    </i>
    <i t="default">
      <x v="4288"/>
    </i>
    <i>
      <x v="4289"/>
      <x v="552"/>
    </i>
    <i t="default">
      <x v="4289"/>
    </i>
    <i>
      <x v="4290"/>
      <x v="552"/>
    </i>
    <i t="default">
      <x v="4290"/>
    </i>
    <i>
      <x v="4291"/>
      <x v="552"/>
    </i>
    <i t="default">
      <x v="4291"/>
    </i>
    <i>
      <x v="4292"/>
      <x v="552"/>
    </i>
    <i t="default">
      <x v="4292"/>
    </i>
    <i>
      <x v="4293"/>
      <x v="552"/>
    </i>
    <i t="default">
      <x v="4293"/>
    </i>
    <i>
      <x v="4294"/>
      <x v="552"/>
    </i>
    <i t="default">
      <x v="4294"/>
    </i>
    <i>
      <x v="4295"/>
      <x v="552"/>
    </i>
    <i t="default">
      <x v="4295"/>
    </i>
    <i>
      <x v="4296"/>
      <x v="552"/>
    </i>
    <i t="default">
      <x v="4296"/>
    </i>
    <i>
      <x v="4297"/>
      <x v="552"/>
    </i>
    <i t="default">
      <x v="4297"/>
    </i>
    <i>
      <x v="4298"/>
      <x v="552"/>
    </i>
    <i t="default">
      <x v="4298"/>
    </i>
    <i>
      <x v="4299"/>
      <x v="552"/>
    </i>
    <i t="default">
      <x v="4299"/>
    </i>
    <i>
      <x v="4300"/>
      <x v="552"/>
    </i>
    <i t="default">
      <x v="4300"/>
    </i>
    <i>
      <x v="4301"/>
      <x v="552"/>
    </i>
    <i t="default">
      <x v="4301"/>
    </i>
    <i>
      <x v="4302"/>
      <x v="552"/>
    </i>
    <i t="default">
      <x v="4302"/>
    </i>
    <i>
      <x v="4303"/>
      <x v="552"/>
    </i>
    <i t="default">
      <x v="4303"/>
    </i>
    <i>
      <x v="4304"/>
      <x v="552"/>
    </i>
    <i t="default">
      <x v="4304"/>
    </i>
    <i>
      <x v="4305"/>
      <x v="552"/>
    </i>
    <i t="default">
      <x v="4305"/>
    </i>
    <i>
      <x v="4306"/>
      <x v="552"/>
    </i>
    <i t="default">
      <x v="4306"/>
    </i>
    <i>
      <x v="4307"/>
      <x v="552"/>
    </i>
    <i t="default">
      <x v="4307"/>
    </i>
    <i>
      <x v="4308"/>
      <x v="552"/>
    </i>
    <i t="default">
      <x v="4308"/>
    </i>
    <i>
      <x v="4309"/>
      <x v="552"/>
    </i>
    <i t="default">
      <x v="4309"/>
    </i>
    <i>
      <x v="4310"/>
      <x v="552"/>
    </i>
    <i t="default">
      <x v="4310"/>
    </i>
    <i>
      <x v="4311"/>
      <x v="552"/>
    </i>
    <i t="default">
      <x v="4311"/>
    </i>
    <i>
      <x v="4312"/>
      <x v="552"/>
    </i>
    <i t="default">
      <x v="4312"/>
    </i>
    <i>
      <x v="4313"/>
      <x v="552"/>
    </i>
    <i t="default">
      <x v="4313"/>
    </i>
    <i>
      <x v="4314"/>
      <x v="552"/>
    </i>
    <i t="default">
      <x v="4314"/>
    </i>
    <i>
      <x v="4315"/>
      <x v="552"/>
    </i>
    <i t="default">
      <x v="4315"/>
    </i>
    <i>
      <x v="4316"/>
      <x v="552"/>
    </i>
    <i t="default">
      <x v="4316"/>
    </i>
    <i>
      <x v="4317"/>
      <x v="552"/>
    </i>
    <i t="default">
      <x v="4317"/>
    </i>
    <i>
      <x v="4318"/>
      <x v="108"/>
    </i>
    <i r="1">
      <x v="552"/>
    </i>
    <i t="default">
      <x v="4318"/>
    </i>
    <i>
      <x v="4319"/>
      <x v="552"/>
    </i>
    <i t="default">
      <x v="4319"/>
    </i>
    <i>
      <x v="4320"/>
      <x v="552"/>
    </i>
    <i t="default">
      <x v="4320"/>
    </i>
    <i>
      <x v="4321"/>
      <x v="552"/>
    </i>
    <i t="default">
      <x v="4321"/>
    </i>
    <i>
      <x v="4322"/>
      <x v="113"/>
    </i>
    <i t="default">
      <x v="4322"/>
    </i>
    <i>
      <x v="4323"/>
      <x v="552"/>
    </i>
    <i t="default">
      <x v="4323"/>
    </i>
    <i>
      <x v="4324"/>
      <x v="21"/>
    </i>
    <i r="1">
      <x v="552"/>
    </i>
    <i t="default">
      <x v="4324"/>
    </i>
    <i>
      <x v="4325"/>
      <x v="552"/>
    </i>
    <i t="default">
      <x v="4325"/>
    </i>
    <i>
      <x v="4326"/>
      <x v="552"/>
    </i>
    <i t="default">
      <x v="4326"/>
    </i>
    <i>
      <x v="4327"/>
      <x v="552"/>
    </i>
    <i t="default">
      <x v="4327"/>
    </i>
    <i>
      <x v="4328"/>
      <x v="552"/>
    </i>
    <i t="default">
      <x v="4328"/>
    </i>
    <i>
      <x v="4329"/>
      <x v="552"/>
    </i>
    <i t="default">
      <x v="4329"/>
    </i>
    <i>
      <x v="4330"/>
      <x v="552"/>
    </i>
    <i t="default">
      <x v="4330"/>
    </i>
    <i>
      <x v="4331"/>
      <x v="552"/>
    </i>
    <i t="default">
      <x v="4331"/>
    </i>
    <i>
      <x v="4332"/>
      <x v="552"/>
    </i>
    <i t="default">
      <x v="4332"/>
    </i>
    <i>
      <x v="4333"/>
      <x v="552"/>
    </i>
    <i t="default">
      <x v="4333"/>
    </i>
    <i>
      <x v="4334"/>
      <x v="552"/>
    </i>
    <i t="default">
      <x v="4334"/>
    </i>
    <i>
      <x v="4335"/>
      <x v="552"/>
    </i>
    <i t="default">
      <x v="4335"/>
    </i>
    <i>
      <x v="4336"/>
      <x v="552"/>
    </i>
    <i t="default">
      <x v="4336"/>
    </i>
    <i>
      <x v="4337"/>
      <x v="552"/>
    </i>
    <i t="default">
      <x v="4337"/>
    </i>
    <i>
      <x v="4338"/>
      <x v="552"/>
    </i>
    <i t="default">
      <x v="4338"/>
    </i>
    <i>
      <x v="4339"/>
      <x v="552"/>
    </i>
    <i t="default">
      <x v="4339"/>
    </i>
    <i>
      <x v="4340"/>
      <x v="352"/>
    </i>
    <i t="default">
      <x v="4340"/>
    </i>
    <i>
      <x v="4341"/>
      <x v="552"/>
    </i>
    <i t="default">
      <x v="4341"/>
    </i>
    <i>
      <x v="4342"/>
      <x v="552"/>
    </i>
    <i t="default">
      <x v="4342"/>
    </i>
    <i>
      <x v="4343"/>
      <x v="552"/>
    </i>
    <i t="default">
      <x v="4343"/>
    </i>
    <i>
      <x v="4344"/>
      <x v="552"/>
    </i>
    <i t="default">
      <x v="4344"/>
    </i>
    <i>
      <x v="4345"/>
      <x v="552"/>
    </i>
    <i t="default">
      <x v="4345"/>
    </i>
    <i>
      <x v="4346"/>
      <x v="552"/>
    </i>
    <i t="default">
      <x v="4346"/>
    </i>
    <i>
      <x v="4347"/>
      <x v="552"/>
    </i>
    <i t="default">
      <x v="4347"/>
    </i>
    <i>
      <x v="4348"/>
      <x v="494"/>
    </i>
    <i t="default">
      <x v="4348"/>
    </i>
    <i>
      <x v="4349"/>
      <x v="552"/>
    </i>
    <i t="default">
      <x v="4349"/>
    </i>
    <i>
      <x v="4350"/>
      <x v="552"/>
    </i>
    <i t="default">
      <x v="4350"/>
    </i>
    <i>
      <x v="4351"/>
      <x v="552"/>
    </i>
    <i t="default">
      <x v="4351"/>
    </i>
    <i>
      <x v="4352"/>
      <x v="552"/>
    </i>
    <i t="default">
      <x v="4352"/>
    </i>
    <i>
      <x v="4353"/>
      <x v="552"/>
    </i>
    <i t="default">
      <x v="4353"/>
    </i>
    <i>
      <x v="4354"/>
      <x v="552"/>
    </i>
    <i t="default">
      <x v="4354"/>
    </i>
    <i>
      <x v="4355"/>
      <x v="552"/>
    </i>
    <i t="default">
      <x v="4355"/>
    </i>
    <i>
      <x v="4356"/>
      <x v="552"/>
    </i>
    <i t="default">
      <x v="4356"/>
    </i>
    <i>
      <x v="4357"/>
      <x v="552"/>
    </i>
    <i t="default">
      <x v="4357"/>
    </i>
    <i>
      <x v="4358"/>
      <x v="552"/>
    </i>
    <i t="default">
      <x v="4358"/>
    </i>
    <i>
      <x v="4359"/>
      <x v="552"/>
    </i>
    <i t="default">
      <x v="4359"/>
    </i>
    <i>
      <x v="4360"/>
      <x v="321"/>
    </i>
    <i r="1">
      <x v="552"/>
    </i>
    <i t="default">
      <x v="4360"/>
    </i>
    <i>
      <x v="4361"/>
      <x v="552"/>
    </i>
    <i t="default">
      <x v="4361"/>
    </i>
    <i>
      <x v="4362"/>
      <x v="552"/>
    </i>
    <i t="default">
      <x v="4362"/>
    </i>
    <i>
      <x v="4363"/>
      <x v="54"/>
    </i>
    <i t="default">
      <x v="4363"/>
    </i>
    <i>
      <x v="4364"/>
      <x v="552"/>
    </i>
    <i t="default">
      <x v="4364"/>
    </i>
    <i>
      <x v="4365"/>
      <x v="552"/>
    </i>
    <i t="default">
      <x v="4365"/>
    </i>
    <i>
      <x v="4366"/>
      <x v="552"/>
    </i>
    <i t="default">
      <x v="4366"/>
    </i>
    <i>
      <x v="4367"/>
      <x v="552"/>
    </i>
    <i t="default">
      <x v="4367"/>
    </i>
    <i>
      <x v="4368"/>
      <x v="552"/>
    </i>
    <i t="default">
      <x v="4368"/>
    </i>
    <i>
      <x v="4369"/>
      <x v="552"/>
    </i>
    <i t="default">
      <x v="4369"/>
    </i>
    <i>
      <x v="4370"/>
      <x v="552"/>
    </i>
    <i t="default">
      <x v="4370"/>
    </i>
    <i>
      <x v="4371"/>
      <x v="552"/>
    </i>
    <i t="default">
      <x v="4371"/>
    </i>
    <i>
      <x v="4372"/>
      <x v="552"/>
    </i>
    <i t="default">
      <x v="4372"/>
    </i>
    <i>
      <x v="4373"/>
      <x v="552"/>
    </i>
    <i t="default">
      <x v="4373"/>
    </i>
    <i>
      <x v="4374"/>
      <x v="552"/>
    </i>
    <i t="default">
      <x v="4374"/>
    </i>
    <i>
      <x v="4375"/>
      <x v="552"/>
    </i>
    <i t="default">
      <x v="4375"/>
    </i>
    <i>
      <x v="4376"/>
      <x v="552"/>
    </i>
    <i t="default">
      <x v="4376"/>
    </i>
    <i>
      <x v="4377"/>
      <x v="552"/>
    </i>
    <i t="default">
      <x v="4377"/>
    </i>
    <i>
      <x v="4378"/>
      <x v="156"/>
    </i>
    <i t="default">
      <x v="4378"/>
    </i>
    <i>
      <x v="4379"/>
      <x v="552"/>
    </i>
    <i t="default">
      <x v="4379"/>
    </i>
    <i>
      <x v="4380"/>
      <x v="552"/>
    </i>
    <i t="default">
      <x v="4380"/>
    </i>
    <i>
      <x v="4381"/>
      <x v="552"/>
    </i>
    <i t="default">
      <x v="4381"/>
    </i>
    <i>
      <x v="4382"/>
      <x v="552"/>
    </i>
    <i t="default">
      <x v="4382"/>
    </i>
    <i>
      <x v="4383"/>
      <x v="552"/>
    </i>
    <i t="default">
      <x v="4383"/>
    </i>
    <i>
      <x v="4384"/>
      <x v="552"/>
    </i>
    <i t="default">
      <x v="4384"/>
    </i>
    <i>
      <x v="4385"/>
      <x v="552"/>
    </i>
    <i t="default">
      <x v="4385"/>
    </i>
    <i>
      <x v="4386"/>
      <x v="552"/>
    </i>
    <i t="default">
      <x v="4386"/>
    </i>
    <i>
      <x v="4387"/>
      <x v="552"/>
    </i>
    <i t="default">
      <x v="4387"/>
    </i>
    <i>
      <x v="4388"/>
      <x v="552"/>
    </i>
    <i t="default">
      <x v="4388"/>
    </i>
    <i>
      <x v="4389"/>
      <x v="552"/>
    </i>
    <i t="default">
      <x v="4389"/>
    </i>
    <i>
      <x v="4390"/>
      <x v="552"/>
    </i>
    <i t="default">
      <x v="4390"/>
    </i>
    <i>
      <x v="4391"/>
      <x v="552"/>
    </i>
    <i t="default">
      <x v="4391"/>
    </i>
    <i>
      <x v="4392"/>
      <x v="552"/>
    </i>
    <i t="default">
      <x v="4392"/>
    </i>
    <i>
      <x v="4393"/>
      <x v="552"/>
    </i>
    <i t="default">
      <x v="4393"/>
    </i>
    <i>
      <x v="4394"/>
      <x v="552"/>
    </i>
    <i t="default">
      <x v="4394"/>
    </i>
    <i>
      <x v="4395"/>
      <x v="552"/>
    </i>
    <i t="default">
      <x v="4395"/>
    </i>
    <i>
      <x v="4396"/>
      <x v="552"/>
    </i>
    <i t="default">
      <x v="4396"/>
    </i>
    <i>
      <x v="4397"/>
      <x v="552"/>
    </i>
    <i t="default">
      <x v="4397"/>
    </i>
    <i>
      <x v="4398"/>
      <x v="223"/>
    </i>
    <i r="1">
      <x v="337"/>
    </i>
    <i t="default">
      <x v="4398"/>
    </i>
    <i>
      <x v="4399"/>
      <x v="552"/>
    </i>
    <i t="default">
      <x v="4399"/>
    </i>
    <i>
      <x v="4400"/>
      <x v="215"/>
    </i>
    <i r="1">
      <x v="552"/>
    </i>
    <i t="default">
      <x v="4400"/>
    </i>
    <i>
      <x v="4401"/>
      <x v="552"/>
    </i>
    <i t="default">
      <x v="4401"/>
    </i>
    <i>
      <x v="4402"/>
      <x v="552"/>
    </i>
    <i t="default">
      <x v="4402"/>
    </i>
    <i>
      <x v="4403"/>
      <x v="552"/>
    </i>
    <i t="default">
      <x v="4403"/>
    </i>
    <i>
      <x v="4404"/>
      <x v="552"/>
    </i>
    <i t="default">
      <x v="4404"/>
    </i>
    <i>
      <x v="4405"/>
      <x v="552"/>
    </i>
    <i t="default">
      <x v="4405"/>
    </i>
    <i>
      <x v="4406"/>
      <x v="406"/>
    </i>
    <i r="1">
      <x v="420"/>
    </i>
    <i r="1">
      <x v="552"/>
    </i>
    <i t="default">
      <x v="4406"/>
    </i>
    <i>
      <x v="4407"/>
      <x v="520"/>
    </i>
    <i r="1">
      <x v="552"/>
    </i>
    <i t="default">
      <x v="4407"/>
    </i>
    <i>
      <x v="4408"/>
      <x v="552"/>
    </i>
    <i t="default">
      <x v="4408"/>
    </i>
    <i>
      <x v="4409"/>
      <x v="552"/>
    </i>
    <i t="default">
      <x v="4409"/>
    </i>
    <i>
      <x v="4410"/>
      <x v="495"/>
    </i>
    <i r="1">
      <x v="552"/>
    </i>
    <i t="default">
      <x v="4410"/>
    </i>
    <i>
      <x v="4411"/>
      <x v="552"/>
    </i>
    <i t="default">
      <x v="4411"/>
    </i>
    <i>
      <x v="4412"/>
      <x v="552"/>
    </i>
    <i t="default">
      <x v="4412"/>
    </i>
    <i>
      <x v="4413"/>
      <x v="552"/>
    </i>
    <i t="default">
      <x v="4413"/>
    </i>
    <i>
      <x v="4414"/>
      <x v="552"/>
    </i>
    <i t="default">
      <x v="4414"/>
    </i>
    <i>
      <x v="4415"/>
      <x v="552"/>
    </i>
    <i t="default">
      <x v="4415"/>
    </i>
    <i>
      <x v="4416"/>
      <x v="552"/>
    </i>
    <i t="default">
      <x v="4416"/>
    </i>
    <i>
      <x v="4417"/>
      <x v="552"/>
    </i>
    <i t="default">
      <x v="4417"/>
    </i>
    <i>
      <x v="4418"/>
      <x v="552"/>
    </i>
    <i t="default">
      <x v="4418"/>
    </i>
    <i>
      <x v="4419"/>
      <x v="552"/>
    </i>
    <i t="default">
      <x v="4419"/>
    </i>
    <i>
      <x v="4420"/>
      <x v="470"/>
    </i>
    <i r="1">
      <x v="552"/>
    </i>
    <i t="default">
      <x v="4420"/>
    </i>
    <i>
      <x v="4421"/>
      <x v="552"/>
    </i>
    <i t="default">
      <x v="4421"/>
    </i>
    <i>
      <x v="4422"/>
      <x v="552"/>
    </i>
    <i t="default">
      <x v="4422"/>
    </i>
    <i>
      <x v="4423"/>
      <x v="552"/>
    </i>
    <i t="default">
      <x v="4423"/>
    </i>
    <i>
      <x v="4424"/>
      <x v="552"/>
    </i>
    <i t="default">
      <x v="4424"/>
    </i>
    <i>
      <x v="4425"/>
      <x v="552"/>
    </i>
    <i t="default">
      <x v="4425"/>
    </i>
    <i>
      <x v="4426"/>
      <x v="552"/>
    </i>
    <i t="default">
      <x v="4426"/>
    </i>
    <i>
      <x v="4427"/>
      <x v="552"/>
    </i>
    <i t="default">
      <x v="4427"/>
    </i>
    <i>
      <x v="4428"/>
      <x v="552"/>
    </i>
    <i t="default">
      <x v="4428"/>
    </i>
    <i>
      <x v="4429"/>
      <x v="552"/>
    </i>
    <i t="default">
      <x v="4429"/>
    </i>
    <i>
      <x v="4430"/>
      <x v="552"/>
    </i>
    <i t="default">
      <x v="4430"/>
    </i>
    <i>
      <x v="4431"/>
      <x v="552"/>
    </i>
    <i t="default">
      <x v="4431"/>
    </i>
    <i>
      <x v="4432"/>
      <x v="452"/>
    </i>
    <i r="1">
      <x v="552"/>
    </i>
    <i t="default">
      <x v="4432"/>
    </i>
    <i>
      <x v="4433"/>
      <x v="552"/>
    </i>
    <i t="default">
      <x v="4433"/>
    </i>
    <i>
      <x v="4434"/>
      <x v="552"/>
    </i>
    <i t="default">
      <x v="4434"/>
    </i>
    <i>
      <x v="4435"/>
      <x v="552"/>
    </i>
    <i t="default">
      <x v="4435"/>
    </i>
    <i>
      <x v="4436"/>
      <x v="552"/>
    </i>
    <i t="default">
      <x v="4436"/>
    </i>
    <i>
      <x v="4437"/>
      <x v="552"/>
    </i>
    <i t="default">
      <x v="4437"/>
    </i>
    <i>
      <x v="4438"/>
      <x v="552"/>
    </i>
    <i t="default">
      <x v="4438"/>
    </i>
    <i>
      <x v="4439"/>
      <x v="552"/>
    </i>
    <i t="default">
      <x v="4439"/>
    </i>
    <i>
      <x v="4440"/>
      <x v="552"/>
    </i>
    <i t="default">
      <x v="4440"/>
    </i>
    <i>
      <x v="4441"/>
      <x v="552"/>
    </i>
    <i t="default">
      <x v="4441"/>
    </i>
    <i>
      <x v="4442"/>
      <x v="552"/>
    </i>
    <i t="default">
      <x v="4442"/>
    </i>
    <i>
      <x v="4443"/>
      <x v="552"/>
    </i>
    <i t="default">
      <x v="4443"/>
    </i>
    <i>
      <x v="4444"/>
      <x v="552"/>
    </i>
    <i t="default">
      <x v="4444"/>
    </i>
    <i>
      <x v="4445"/>
      <x v="552"/>
    </i>
    <i t="default">
      <x v="4445"/>
    </i>
    <i>
      <x v="4446"/>
      <x v="552"/>
    </i>
    <i t="default">
      <x v="4446"/>
    </i>
    <i>
      <x v="4447"/>
      <x v="552"/>
    </i>
    <i t="default">
      <x v="4447"/>
    </i>
    <i>
      <x v="4448"/>
      <x v="552"/>
    </i>
    <i t="default">
      <x v="4448"/>
    </i>
    <i>
      <x v="4449"/>
      <x v="362"/>
    </i>
    <i r="1">
      <x v="552"/>
    </i>
    <i t="default">
      <x v="4449"/>
    </i>
    <i>
      <x v="4450"/>
      <x v="552"/>
    </i>
    <i t="default">
      <x v="4450"/>
    </i>
    <i>
      <x v="4451"/>
      <x v="552"/>
    </i>
    <i t="default">
      <x v="4451"/>
    </i>
    <i>
      <x v="4452"/>
      <x v="552"/>
    </i>
    <i t="default">
      <x v="4452"/>
    </i>
    <i>
      <x v="4453"/>
      <x v="552"/>
    </i>
    <i t="default">
      <x v="4453"/>
    </i>
    <i>
      <x v="4454"/>
      <x v="552"/>
    </i>
    <i t="default">
      <x v="4454"/>
    </i>
    <i>
      <x v="4455"/>
      <x v="221"/>
    </i>
    <i r="1">
      <x v="552"/>
    </i>
    <i t="default">
      <x v="4455"/>
    </i>
    <i>
      <x v="4456"/>
      <x v="552"/>
    </i>
    <i t="default">
      <x v="4456"/>
    </i>
    <i>
      <x v="4457"/>
      <x v="552"/>
    </i>
    <i t="default">
      <x v="4457"/>
    </i>
    <i>
      <x v="4458"/>
      <x v="552"/>
    </i>
    <i t="default">
      <x v="4458"/>
    </i>
    <i>
      <x v="4459"/>
      <x v="552"/>
    </i>
    <i t="default">
      <x v="4459"/>
    </i>
    <i>
      <x v="4460"/>
      <x v="552"/>
    </i>
    <i t="default">
      <x v="4460"/>
    </i>
    <i>
      <x v="4461"/>
      <x v="552"/>
    </i>
    <i t="default">
      <x v="4461"/>
    </i>
    <i>
      <x v="4462"/>
      <x v="552"/>
    </i>
    <i t="default">
      <x v="4462"/>
    </i>
    <i>
      <x v="4463"/>
      <x v="552"/>
    </i>
    <i t="default">
      <x v="4463"/>
    </i>
    <i>
      <x v="4464"/>
      <x v="552"/>
    </i>
    <i t="default">
      <x v="4464"/>
    </i>
    <i>
      <x v="4465"/>
      <x v="552"/>
    </i>
    <i t="default">
      <x v="4465"/>
    </i>
    <i>
      <x v="4466"/>
      <x v="552"/>
    </i>
    <i t="default">
      <x v="4466"/>
    </i>
    <i>
      <x v="4467"/>
      <x v="552"/>
    </i>
    <i t="default">
      <x v="4467"/>
    </i>
    <i>
      <x v="4468"/>
      <x v="552"/>
    </i>
    <i t="default">
      <x v="4468"/>
    </i>
    <i>
      <x v="4469"/>
      <x v="552"/>
    </i>
    <i t="default">
      <x v="4469"/>
    </i>
    <i>
      <x v="4470"/>
      <x v="552"/>
    </i>
    <i t="default">
      <x v="4470"/>
    </i>
    <i>
      <x v="4471"/>
      <x v="552"/>
    </i>
    <i t="default">
      <x v="4471"/>
    </i>
    <i>
      <x v="4472"/>
      <x v="552"/>
    </i>
    <i t="default">
      <x v="4472"/>
    </i>
    <i>
      <x v="4473"/>
      <x v="552"/>
    </i>
    <i t="default">
      <x v="4473"/>
    </i>
    <i>
      <x v="4474"/>
      <x v="552"/>
    </i>
    <i t="default">
      <x v="4474"/>
    </i>
    <i>
      <x v="4475"/>
      <x v="552"/>
    </i>
    <i t="default">
      <x v="4475"/>
    </i>
    <i>
      <x v="4476"/>
      <x v="552"/>
    </i>
    <i t="default">
      <x v="4476"/>
    </i>
    <i>
      <x v="4477"/>
      <x v="552"/>
    </i>
    <i t="default">
      <x v="4477"/>
    </i>
    <i>
      <x v="4478"/>
      <x v="552"/>
    </i>
    <i t="default">
      <x v="4478"/>
    </i>
    <i>
      <x v="4479"/>
      <x v="552"/>
    </i>
    <i t="default">
      <x v="4479"/>
    </i>
    <i>
      <x v="4480"/>
      <x v="552"/>
    </i>
    <i t="default">
      <x v="4480"/>
    </i>
    <i>
      <x v="4481"/>
      <x v="552"/>
    </i>
    <i t="default">
      <x v="4481"/>
    </i>
    <i>
      <x v="4482"/>
      <x v="552"/>
    </i>
    <i t="default">
      <x v="4482"/>
    </i>
    <i>
      <x v="4483"/>
      <x v="552"/>
    </i>
    <i t="default">
      <x v="4483"/>
    </i>
    <i>
      <x v="4484"/>
      <x v="552"/>
    </i>
    <i t="default">
      <x v="4484"/>
    </i>
    <i>
      <x v="4485"/>
      <x v="552"/>
    </i>
    <i t="default">
      <x v="4485"/>
    </i>
    <i>
      <x v="4486"/>
      <x v="552"/>
    </i>
    <i t="default">
      <x v="4486"/>
    </i>
    <i>
      <x v="4487"/>
      <x v="552"/>
    </i>
    <i t="default">
      <x v="4487"/>
    </i>
    <i>
      <x v="4488"/>
      <x v="552"/>
    </i>
    <i t="default">
      <x v="4488"/>
    </i>
    <i>
      <x v="4489"/>
      <x v="552"/>
    </i>
    <i t="default">
      <x v="4489"/>
    </i>
    <i>
      <x v="4490"/>
      <x v="552"/>
    </i>
    <i t="default">
      <x v="4490"/>
    </i>
    <i>
      <x v="4491"/>
      <x v="552"/>
    </i>
    <i t="default">
      <x v="4491"/>
    </i>
    <i>
      <x v="4492"/>
      <x v="552"/>
    </i>
    <i t="default">
      <x v="4492"/>
    </i>
    <i>
      <x v="4493"/>
      <x v="552"/>
    </i>
    <i t="default">
      <x v="4493"/>
    </i>
    <i>
      <x v="4494"/>
      <x v="552"/>
    </i>
    <i t="default">
      <x v="4494"/>
    </i>
    <i>
      <x v="4495"/>
      <x v="552"/>
    </i>
    <i t="default">
      <x v="4495"/>
    </i>
    <i>
      <x v="4496"/>
      <x v="552"/>
    </i>
    <i t="default">
      <x v="4496"/>
    </i>
    <i>
      <x v="4497"/>
      <x v="552"/>
    </i>
    <i t="default">
      <x v="4497"/>
    </i>
    <i>
      <x v="4498"/>
      <x v="552"/>
    </i>
    <i t="default">
      <x v="4498"/>
    </i>
    <i>
      <x v="4499"/>
      <x v="552"/>
    </i>
    <i t="default">
      <x v="4499"/>
    </i>
    <i>
      <x v="4500"/>
      <x v="552"/>
    </i>
    <i t="default">
      <x v="4500"/>
    </i>
    <i>
      <x v="4501"/>
      <x v="552"/>
    </i>
    <i t="default">
      <x v="4501"/>
    </i>
    <i>
      <x v="4502"/>
      <x v="552"/>
    </i>
    <i t="default">
      <x v="4502"/>
    </i>
    <i>
      <x v="4503"/>
      <x v="552"/>
    </i>
    <i t="default">
      <x v="4503"/>
    </i>
    <i>
      <x v="4504"/>
      <x v="552"/>
    </i>
    <i t="default">
      <x v="4504"/>
    </i>
    <i>
      <x v="4505"/>
      <x v="552"/>
    </i>
    <i t="default">
      <x v="4505"/>
    </i>
    <i>
      <x v="4506"/>
      <x v="552"/>
    </i>
    <i t="default">
      <x v="4506"/>
    </i>
    <i>
      <x v="4507"/>
      <x v="552"/>
    </i>
    <i t="default">
      <x v="4507"/>
    </i>
    <i>
      <x v="4508"/>
      <x v="552"/>
    </i>
    <i t="default">
      <x v="4508"/>
    </i>
    <i>
      <x v="4509"/>
      <x v="552"/>
    </i>
    <i t="default">
      <x v="4509"/>
    </i>
    <i>
      <x v="4510"/>
      <x v="552"/>
    </i>
    <i t="default">
      <x v="4510"/>
    </i>
    <i>
      <x v="4511"/>
      <x v="552"/>
    </i>
    <i t="default">
      <x v="4511"/>
    </i>
    <i>
      <x v="4512"/>
      <x v="527"/>
    </i>
    <i t="default">
      <x v="4512"/>
    </i>
    <i>
      <x v="4513"/>
      <x v="552"/>
    </i>
    <i t="default">
      <x v="4513"/>
    </i>
    <i>
      <x v="4514"/>
      <x v="552"/>
    </i>
    <i t="default">
      <x v="4514"/>
    </i>
    <i>
      <x v="4515"/>
      <x v="552"/>
    </i>
    <i t="default">
      <x v="4515"/>
    </i>
    <i>
      <x v="4516"/>
      <x v="552"/>
    </i>
    <i t="default">
      <x v="4516"/>
    </i>
    <i>
      <x v="4517"/>
      <x v="552"/>
    </i>
    <i t="default">
      <x v="4517"/>
    </i>
    <i>
      <x v="4518"/>
      <x v="552"/>
    </i>
    <i t="default">
      <x v="4518"/>
    </i>
    <i>
      <x v="4519"/>
      <x v="552"/>
    </i>
    <i t="default">
      <x v="4519"/>
    </i>
    <i>
      <x v="4520"/>
      <x v="552"/>
    </i>
    <i t="default">
      <x v="4520"/>
    </i>
    <i>
      <x v="4521"/>
      <x v="552"/>
    </i>
    <i t="default">
      <x v="4521"/>
    </i>
    <i>
      <x v="4522"/>
      <x v="552"/>
    </i>
    <i t="default">
      <x v="4522"/>
    </i>
    <i>
      <x v="4523"/>
      <x v="552"/>
    </i>
    <i t="default">
      <x v="4523"/>
    </i>
    <i>
      <x v="4524"/>
      <x v="552"/>
    </i>
    <i t="default">
      <x v="4524"/>
    </i>
    <i>
      <x v="4525"/>
      <x v="552"/>
    </i>
    <i t="default">
      <x v="4525"/>
    </i>
    <i>
      <x v="4526"/>
      <x v="552"/>
    </i>
    <i t="default">
      <x v="4526"/>
    </i>
    <i>
      <x v="4527"/>
      <x v="552"/>
    </i>
    <i t="default">
      <x v="4527"/>
    </i>
    <i>
      <x v="4528"/>
      <x v="552"/>
    </i>
    <i t="default">
      <x v="4528"/>
    </i>
    <i>
      <x v="4529"/>
      <x v="552"/>
    </i>
    <i t="default">
      <x v="4529"/>
    </i>
    <i>
      <x v="4530"/>
      <x v="552"/>
    </i>
    <i t="default">
      <x v="4530"/>
    </i>
    <i>
      <x v="4531"/>
      <x v="552"/>
    </i>
    <i t="default">
      <x v="4531"/>
    </i>
    <i>
      <x v="4532"/>
      <x v="552"/>
    </i>
    <i t="default">
      <x v="4532"/>
    </i>
    <i>
      <x v="4533"/>
      <x v="552"/>
    </i>
    <i t="default">
      <x v="4533"/>
    </i>
    <i>
      <x v="4534"/>
      <x v="552"/>
    </i>
    <i t="default">
      <x v="4534"/>
    </i>
    <i>
      <x v="4535"/>
      <x v="552"/>
    </i>
    <i t="default">
      <x v="4535"/>
    </i>
    <i>
      <x v="4536"/>
      <x v="552"/>
    </i>
    <i t="default">
      <x v="4536"/>
    </i>
    <i>
      <x v="4537"/>
      <x v="552"/>
    </i>
    <i t="default">
      <x v="4537"/>
    </i>
    <i>
      <x v="4538"/>
      <x v="552"/>
    </i>
    <i t="default">
      <x v="4538"/>
    </i>
    <i>
      <x v="4539"/>
      <x v="552"/>
    </i>
    <i t="default">
      <x v="4539"/>
    </i>
    <i>
      <x v="4540"/>
      <x v="518"/>
    </i>
    <i r="1">
      <x v="552"/>
    </i>
    <i t="default">
      <x v="4540"/>
    </i>
    <i>
      <x v="4541"/>
      <x v="552"/>
    </i>
    <i t="default">
      <x v="4541"/>
    </i>
    <i>
      <x v="4542"/>
      <x v="552"/>
    </i>
    <i t="default">
      <x v="4542"/>
    </i>
    <i>
      <x v="4543"/>
      <x v="552"/>
    </i>
    <i t="default">
      <x v="4543"/>
    </i>
    <i>
      <x v="4544"/>
      <x v="481"/>
    </i>
    <i r="1">
      <x v="552"/>
    </i>
    <i t="default">
      <x v="4544"/>
    </i>
    <i>
      <x v="4545"/>
      <x v="552"/>
    </i>
    <i t="default">
      <x v="4545"/>
    </i>
    <i>
      <x v="4546"/>
      <x v="552"/>
    </i>
    <i t="default">
      <x v="4546"/>
    </i>
    <i>
      <x v="4547"/>
      <x v="552"/>
    </i>
    <i t="default">
      <x v="4547"/>
    </i>
    <i>
      <x v="4548"/>
      <x v="552"/>
    </i>
    <i t="default">
      <x v="4548"/>
    </i>
    <i>
      <x v="4549"/>
      <x v="418"/>
    </i>
    <i r="1">
      <x v="552"/>
    </i>
    <i t="default">
      <x v="4549"/>
    </i>
    <i>
      <x v="4550"/>
      <x v="552"/>
    </i>
    <i t="default">
      <x v="4550"/>
    </i>
    <i>
      <x v="4551"/>
      <x v="552"/>
    </i>
    <i t="default">
      <x v="4551"/>
    </i>
    <i>
      <x v="4552"/>
      <x v="552"/>
    </i>
    <i t="default">
      <x v="4552"/>
    </i>
    <i>
      <x v="4553"/>
      <x v="552"/>
    </i>
    <i t="default">
      <x v="4553"/>
    </i>
    <i>
      <x v="4554"/>
      <x v="552"/>
    </i>
    <i t="default">
      <x v="4554"/>
    </i>
    <i>
      <x v="4555"/>
      <x v="98"/>
    </i>
    <i r="1">
      <x v="552"/>
    </i>
    <i t="default">
      <x v="4555"/>
    </i>
    <i>
      <x v="4556"/>
      <x v="417"/>
    </i>
    <i t="default">
      <x v="4556"/>
    </i>
    <i>
      <x v="4557"/>
      <x v="552"/>
    </i>
    <i t="default">
      <x v="4557"/>
    </i>
    <i>
      <x v="4558"/>
      <x v="548"/>
    </i>
    <i r="1">
      <x v="552"/>
    </i>
    <i t="default">
      <x v="4558"/>
    </i>
    <i>
      <x v="4559"/>
      <x v="552"/>
    </i>
    <i t="default">
      <x v="4559"/>
    </i>
    <i>
      <x v="4560"/>
      <x v="525"/>
    </i>
    <i r="1">
      <x v="552"/>
    </i>
    <i t="default">
      <x v="4560"/>
    </i>
    <i>
      <x v="4561"/>
      <x v="552"/>
    </i>
    <i t="default">
      <x v="4561"/>
    </i>
    <i>
      <x v="4562"/>
      <x v="539"/>
    </i>
    <i r="1">
      <x v="552"/>
    </i>
    <i t="default">
      <x v="4562"/>
    </i>
    <i>
      <x v="4563"/>
      <x v="552"/>
    </i>
    <i t="default">
      <x v="4563"/>
    </i>
    <i>
      <x v="4564"/>
      <x v="552"/>
    </i>
    <i t="default">
      <x v="4564"/>
    </i>
    <i>
      <x v="4565"/>
      <x v="552"/>
    </i>
    <i t="default">
      <x v="4565"/>
    </i>
    <i>
      <x v="4566"/>
      <x v="552"/>
    </i>
    <i t="default">
      <x v="4566"/>
    </i>
    <i>
      <x v="4567"/>
      <x v="552"/>
    </i>
    <i t="default">
      <x v="4567"/>
    </i>
    <i>
      <x v="4568"/>
      <x v="552"/>
    </i>
    <i t="default">
      <x v="4568"/>
    </i>
    <i>
      <x v="4569"/>
      <x v="552"/>
    </i>
    <i t="default">
      <x v="4569"/>
    </i>
    <i>
      <x v="4570"/>
      <x v="552"/>
    </i>
    <i t="default">
      <x v="4570"/>
    </i>
    <i>
      <x v="4571"/>
      <x v="375"/>
    </i>
    <i r="1">
      <x v="552"/>
    </i>
    <i t="default">
      <x v="4571"/>
    </i>
    <i>
      <x v="4572"/>
      <x v="552"/>
    </i>
    <i t="default">
      <x v="4572"/>
    </i>
    <i>
      <x v="4573"/>
      <x v="552"/>
    </i>
    <i t="default">
      <x v="4573"/>
    </i>
    <i>
      <x v="4574"/>
      <x v="552"/>
    </i>
    <i t="default">
      <x v="4574"/>
    </i>
    <i>
      <x v="4575"/>
      <x v="10"/>
    </i>
    <i r="1">
      <x v="11"/>
    </i>
    <i r="1">
      <x v="552"/>
    </i>
    <i t="default">
      <x v="4575"/>
    </i>
    <i>
      <x v="4576"/>
      <x v="552"/>
    </i>
    <i t="default">
      <x v="4576"/>
    </i>
    <i>
      <x v="4577"/>
      <x v="552"/>
    </i>
    <i t="default">
      <x v="4577"/>
    </i>
    <i>
      <x v="4578"/>
      <x v="531"/>
    </i>
    <i r="1">
      <x v="552"/>
    </i>
    <i t="default">
      <x v="4578"/>
    </i>
    <i>
      <x v="4579"/>
      <x v="552"/>
    </i>
    <i t="default">
      <x v="4579"/>
    </i>
    <i>
      <x v="4580"/>
      <x v="552"/>
    </i>
    <i t="default">
      <x v="4580"/>
    </i>
    <i>
      <x v="4581"/>
      <x v="517"/>
    </i>
    <i r="1">
      <x v="552"/>
    </i>
    <i t="default">
      <x v="4581"/>
    </i>
    <i>
      <x v="4582"/>
      <x v="552"/>
    </i>
    <i t="default">
      <x v="4582"/>
    </i>
    <i>
      <x v="4583"/>
      <x v="552"/>
    </i>
    <i t="default">
      <x v="4583"/>
    </i>
    <i>
      <x v="4584"/>
      <x v="552"/>
    </i>
    <i t="default">
      <x v="4584"/>
    </i>
    <i>
      <x v="4585"/>
      <x v="490"/>
    </i>
    <i r="1">
      <x v="552"/>
    </i>
    <i t="default">
      <x v="4585"/>
    </i>
    <i>
      <x v="4586"/>
      <x v="232"/>
    </i>
    <i r="1">
      <x v="552"/>
    </i>
    <i t="default">
      <x v="4586"/>
    </i>
    <i>
      <x v="4587"/>
      <x v="552"/>
    </i>
    <i t="default">
      <x v="4587"/>
    </i>
    <i>
      <x v="4588"/>
      <x v="552"/>
    </i>
    <i t="default">
      <x v="4588"/>
    </i>
    <i>
      <x v="4589"/>
      <x v="552"/>
    </i>
    <i t="default">
      <x v="4589"/>
    </i>
    <i>
      <x v="4590"/>
      <x v="293"/>
    </i>
    <i r="1">
      <x v="552"/>
    </i>
    <i t="default">
      <x v="4590"/>
    </i>
    <i>
      <x v="4591"/>
      <x v="552"/>
    </i>
    <i t="default">
      <x v="4591"/>
    </i>
    <i>
      <x v="4592"/>
      <x v="552"/>
    </i>
    <i t="default">
      <x v="4592"/>
    </i>
    <i>
      <x v="4593"/>
      <x v="552"/>
    </i>
    <i t="default">
      <x v="4593"/>
    </i>
    <i>
      <x v="4594"/>
      <x v="127"/>
    </i>
    <i r="1">
      <x v="552"/>
    </i>
    <i t="default">
      <x v="4594"/>
    </i>
    <i>
      <x v="4595"/>
      <x v="552"/>
    </i>
    <i t="default">
      <x v="4595"/>
    </i>
    <i>
      <x v="4596"/>
      <x v="552"/>
    </i>
    <i t="default">
      <x v="4596"/>
    </i>
    <i>
      <x v="4597"/>
      <x v="552"/>
    </i>
    <i t="default">
      <x v="4597"/>
    </i>
    <i>
      <x v="4598"/>
      <x v="552"/>
    </i>
    <i t="default">
      <x v="4598"/>
    </i>
    <i>
      <x v="4599"/>
      <x v="552"/>
    </i>
    <i t="default">
      <x v="4599"/>
    </i>
    <i>
      <x v="4600"/>
      <x v="552"/>
    </i>
    <i t="default">
      <x v="4600"/>
    </i>
    <i>
      <x v="4601"/>
      <x v="552"/>
    </i>
    <i t="default">
      <x v="4601"/>
    </i>
    <i>
      <x v="4602"/>
      <x v="552"/>
    </i>
    <i t="default">
      <x v="4602"/>
    </i>
    <i>
      <x v="4603"/>
      <x v="49"/>
    </i>
    <i r="1">
      <x v="552"/>
    </i>
    <i t="default">
      <x v="4603"/>
    </i>
    <i>
      <x v="4604"/>
      <x v="552"/>
    </i>
    <i t="default">
      <x v="4604"/>
    </i>
    <i>
      <x v="4605"/>
      <x v="552"/>
    </i>
    <i t="default">
      <x v="4605"/>
    </i>
    <i>
      <x v="4606"/>
      <x v="552"/>
    </i>
    <i t="default">
      <x v="4606"/>
    </i>
    <i>
      <x v="4607"/>
      <x v="552"/>
    </i>
    <i t="default">
      <x v="4607"/>
    </i>
    <i>
      <x v="4608"/>
      <x v="552"/>
    </i>
    <i t="default">
      <x v="4608"/>
    </i>
    <i>
      <x v="4609"/>
      <x v="552"/>
    </i>
    <i t="default">
      <x v="4609"/>
    </i>
    <i>
      <x v="4610"/>
      <x v="552"/>
    </i>
    <i t="default">
      <x v="4610"/>
    </i>
    <i>
      <x v="4611"/>
      <x v="552"/>
    </i>
    <i t="default">
      <x v="4611"/>
    </i>
    <i>
      <x v="4612"/>
      <x v="552"/>
    </i>
    <i t="default">
      <x v="4612"/>
    </i>
    <i>
      <x v="4613"/>
      <x v="552"/>
    </i>
    <i t="default">
      <x v="4613"/>
    </i>
    <i>
      <x v="4614"/>
      <x v="552"/>
    </i>
    <i t="default">
      <x v="4614"/>
    </i>
    <i>
      <x v="4615"/>
      <x v="552"/>
    </i>
    <i t="default">
      <x v="4615"/>
    </i>
    <i>
      <x v="4616"/>
      <x v="492"/>
    </i>
    <i t="default">
      <x v="4616"/>
    </i>
    <i>
      <x v="4617"/>
      <x v="34"/>
    </i>
    <i t="default">
      <x v="4617"/>
    </i>
    <i>
      <x v="4618"/>
      <x v="552"/>
    </i>
    <i t="default">
      <x v="4618"/>
    </i>
    <i>
      <x v="4619"/>
      <x v="552"/>
    </i>
    <i t="default">
      <x v="4619"/>
    </i>
    <i>
      <x v="4620"/>
      <x v="552"/>
    </i>
    <i t="default">
      <x v="4620"/>
    </i>
    <i>
      <x v="4621"/>
      <x v="552"/>
    </i>
    <i t="default">
      <x v="4621"/>
    </i>
    <i>
      <x v="4622"/>
      <x v="552"/>
    </i>
    <i t="default">
      <x v="4622"/>
    </i>
    <i>
      <x v="4623"/>
      <x v="552"/>
    </i>
    <i t="default">
      <x v="4623"/>
    </i>
    <i>
      <x v="4624"/>
      <x v="552"/>
    </i>
    <i t="default">
      <x v="4624"/>
    </i>
    <i>
      <x v="4625"/>
      <x v="552"/>
    </i>
    <i t="default">
      <x v="4625"/>
    </i>
    <i>
      <x v="4626"/>
      <x v="552"/>
    </i>
    <i t="default">
      <x v="4626"/>
    </i>
    <i>
      <x v="4627"/>
      <x v="552"/>
    </i>
    <i t="default">
      <x v="4627"/>
    </i>
    <i>
      <x v="4628"/>
      <x v="552"/>
    </i>
    <i t="default">
      <x v="4628"/>
    </i>
    <i>
      <x v="4629"/>
      <x v="552"/>
    </i>
    <i t="default">
      <x v="4629"/>
    </i>
    <i>
      <x v="4630"/>
      <x v="552"/>
    </i>
    <i t="default">
      <x v="4630"/>
    </i>
    <i>
      <x v="4631"/>
      <x v="320"/>
    </i>
    <i r="1">
      <x v="552"/>
    </i>
    <i t="default">
      <x v="4631"/>
    </i>
    <i>
      <x v="4632"/>
      <x v="327"/>
    </i>
    <i t="default">
      <x v="4632"/>
    </i>
    <i>
      <x v="4633"/>
      <x v="552"/>
    </i>
    <i t="default">
      <x v="4633"/>
    </i>
    <i>
      <x v="4634"/>
      <x v="339"/>
    </i>
    <i r="1">
      <x v="552"/>
    </i>
    <i t="default">
      <x v="4634"/>
    </i>
    <i>
      <x v="4635"/>
      <x v="552"/>
    </i>
    <i t="default">
      <x v="4635"/>
    </i>
    <i>
      <x v="4636"/>
      <x v="275"/>
    </i>
    <i t="default">
      <x v="4636"/>
    </i>
    <i>
      <x v="4637"/>
      <x v="552"/>
    </i>
    <i t="default">
      <x v="4637"/>
    </i>
    <i>
      <x v="4638"/>
      <x v="552"/>
    </i>
    <i t="default">
      <x v="4638"/>
    </i>
    <i>
      <x v="4639"/>
      <x v="269"/>
    </i>
    <i r="1">
      <x v="552"/>
    </i>
    <i t="default">
      <x v="4639"/>
    </i>
    <i>
      <x v="4640"/>
      <x v="552"/>
    </i>
    <i t="default">
      <x v="4640"/>
    </i>
    <i>
      <x v="4641"/>
      <x v="552"/>
    </i>
    <i t="default">
      <x v="4641"/>
    </i>
    <i>
      <x v="4642"/>
      <x v="552"/>
    </i>
    <i t="default">
      <x v="4642"/>
    </i>
    <i>
      <x v="4643"/>
      <x v="552"/>
    </i>
    <i t="default">
      <x v="4643"/>
    </i>
    <i>
      <x v="4644"/>
      <x v="552"/>
    </i>
    <i t="default">
      <x v="4644"/>
    </i>
    <i>
      <x v="4645"/>
      <x v="552"/>
    </i>
    <i t="default">
      <x v="4645"/>
    </i>
    <i>
      <x v="4646"/>
      <x v="552"/>
    </i>
    <i t="default">
      <x v="4646"/>
    </i>
    <i>
      <x v="4647"/>
      <x v="552"/>
    </i>
    <i t="default">
      <x v="4647"/>
    </i>
    <i>
      <x v="4648"/>
      <x v="552"/>
    </i>
    <i t="default">
      <x v="4648"/>
    </i>
    <i>
      <x v="4649"/>
      <x v="552"/>
    </i>
    <i t="default">
      <x v="4649"/>
    </i>
    <i>
      <x v="4650"/>
      <x v="552"/>
    </i>
    <i t="default">
      <x v="4650"/>
    </i>
    <i>
      <x v="4651"/>
      <x v="552"/>
    </i>
    <i t="default">
      <x v="4651"/>
    </i>
    <i>
      <x v="4652"/>
      <x v="188"/>
    </i>
    <i t="default">
      <x v="4652"/>
    </i>
    <i>
      <x v="4653"/>
      <x v="552"/>
    </i>
    <i t="default">
      <x v="4653"/>
    </i>
    <i>
      <x v="4654"/>
      <x v="552"/>
    </i>
    <i t="default">
      <x v="4654"/>
    </i>
    <i>
      <x v="4655"/>
      <x v="552"/>
    </i>
    <i t="default">
      <x v="4655"/>
    </i>
    <i>
      <x v="4656"/>
      <x v="272"/>
    </i>
    <i t="default">
      <x v="4656"/>
    </i>
    <i>
      <x v="4657"/>
      <x v="552"/>
    </i>
    <i t="default">
      <x v="4657"/>
    </i>
    <i>
      <x v="4658"/>
      <x v="552"/>
    </i>
    <i t="default">
      <x v="4658"/>
    </i>
    <i>
      <x v="4659"/>
      <x v="552"/>
    </i>
    <i t="default">
      <x v="4659"/>
    </i>
    <i>
      <x v="4660"/>
      <x v="552"/>
    </i>
    <i t="default">
      <x v="4660"/>
    </i>
    <i>
      <x v="4661"/>
      <x v="552"/>
    </i>
    <i t="default">
      <x v="4661"/>
    </i>
    <i>
      <x v="4662"/>
      <x v="552"/>
    </i>
    <i t="default">
      <x v="4662"/>
    </i>
    <i>
      <x v="4663"/>
      <x v="552"/>
    </i>
    <i t="default">
      <x v="4663"/>
    </i>
    <i>
      <x v="4664"/>
      <x v="552"/>
    </i>
    <i t="default">
      <x v="4664"/>
    </i>
    <i>
      <x v="4665"/>
      <x v="552"/>
    </i>
    <i t="default">
      <x v="4665"/>
    </i>
    <i>
      <x v="4666"/>
      <x v="552"/>
    </i>
    <i t="default">
      <x v="4666"/>
    </i>
    <i>
      <x v="4667"/>
      <x v="552"/>
    </i>
    <i t="default">
      <x v="4667"/>
    </i>
    <i>
      <x v="4668"/>
      <x v="552"/>
    </i>
    <i t="default">
      <x v="4668"/>
    </i>
    <i>
      <x v="4669"/>
      <x v="552"/>
    </i>
    <i t="default">
      <x v="4669"/>
    </i>
    <i>
      <x v="4670"/>
      <x v="552"/>
    </i>
    <i t="default">
      <x v="4670"/>
    </i>
    <i>
      <x v="4671"/>
      <x v="552"/>
    </i>
    <i t="default">
      <x v="4671"/>
    </i>
    <i>
      <x v="4672"/>
      <x v="552"/>
    </i>
    <i t="default">
      <x v="4672"/>
    </i>
    <i>
      <x v="4673"/>
      <x v="552"/>
    </i>
    <i t="default">
      <x v="4673"/>
    </i>
    <i>
      <x v="4674"/>
      <x v="552"/>
    </i>
    <i t="default">
      <x v="4674"/>
    </i>
    <i>
      <x v="4675"/>
      <x v="552"/>
    </i>
    <i t="default">
      <x v="4675"/>
    </i>
    <i>
      <x v="4676"/>
      <x v="552"/>
    </i>
    <i t="default">
      <x v="4676"/>
    </i>
    <i>
      <x v="4677"/>
      <x v="552"/>
    </i>
    <i t="default">
      <x v="4677"/>
    </i>
    <i>
      <x v="4678"/>
      <x v="552"/>
    </i>
    <i t="default">
      <x v="4678"/>
    </i>
    <i>
      <x v="4679"/>
      <x v="552"/>
    </i>
    <i t="default">
      <x v="4679"/>
    </i>
    <i>
      <x v="4680"/>
      <x v="552"/>
    </i>
    <i t="default">
      <x v="4680"/>
    </i>
    <i>
      <x v="4681"/>
      <x v="552"/>
    </i>
    <i t="default">
      <x v="4681"/>
    </i>
    <i>
      <x v="4682"/>
      <x v="552"/>
    </i>
    <i t="default">
      <x v="4682"/>
    </i>
    <i>
      <x v="4683"/>
      <x v="552"/>
    </i>
    <i t="default">
      <x v="4683"/>
    </i>
    <i>
      <x v="4684"/>
      <x v="552"/>
    </i>
    <i t="default">
      <x v="4684"/>
    </i>
    <i>
      <x v="4685"/>
      <x v="552"/>
    </i>
    <i t="default">
      <x v="4685"/>
    </i>
    <i>
      <x v="4686"/>
      <x v="552"/>
    </i>
    <i t="default">
      <x v="4686"/>
    </i>
    <i>
      <x v="4687"/>
      <x v="552"/>
    </i>
    <i t="default">
      <x v="4687"/>
    </i>
    <i>
      <x v="4688"/>
      <x v="552"/>
    </i>
    <i t="default">
      <x v="4688"/>
    </i>
    <i>
      <x v="4689"/>
      <x v="552"/>
    </i>
    <i t="default">
      <x v="4689"/>
    </i>
    <i>
      <x v="4690"/>
      <x v="552"/>
    </i>
    <i t="default">
      <x v="4690"/>
    </i>
    <i>
      <x v="4691"/>
      <x v="373"/>
    </i>
    <i r="1">
      <x v="552"/>
    </i>
    <i t="default">
      <x v="4691"/>
    </i>
    <i>
      <x v="4692"/>
      <x v="552"/>
    </i>
    <i t="default">
      <x v="4692"/>
    </i>
    <i>
      <x v="4693"/>
      <x v="552"/>
    </i>
    <i t="default">
      <x v="4693"/>
    </i>
    <i>
      <x v="4694"/>
      <x v="552"/>
    </i>
    <i t="default">
      <x v="4694"/>
    </i>
    <i>
      <x v="4695"/>
      <x v="552"/>
    </i>
    <i t="default">
      <x v="4695"/>
    </i>
    <i>
      <x v="4696"/>
      <x v="552"/>
    </i>
    <i t="default">
      <x v="4696"/>
    </i>
    <i>
      <x v="4697"/>
      <x v="552"/>
    </i>
    <i t="default">
      <x v="4697"/>
    </i>
    <i>
      <x v="4698"/>
      <x v="552"/>
    </i>
    <i t="default">
      <x v="4698"/>
    </i>
    <i>
      <x v="4699"/>
      <x v="552"/>
    </i>
    <i t="default">
      <x v="4699"/>
    </i>
    <i>
      <x v="4700"/>
      <x v="112"/>
    </i>
    <i t="default">
      <x v="4700"/>
    </i>
    <i>
      <x v="4701"/>
      <x v="552"/>
    </i>
    <i t="default">
      <x v="4701"/>
    </i>
    <i>
      <x v="4702"/>
      <x v="552"/>
    </i>
    <i t="default">
      <x v="4702"/>
    </i>
    <i>
      <x v="4703"/>
      <x v="157"/>
    </i>
    <i t="default">
      <x v="4703"/>
    </i>
    <i>
      <x v="4704"/>
      <x v="552"/>
    </i>
    <i t="default">
      <x v="4704"/>
    </i>
    <i>
      <x v="4705"/>
      <x v="552"/>
    </i>
    <i t="default">
      <x v="4705"/>
    </i>
    <i>
      <x v="4706"/>
      <x v="552"/>
    </i>
    <i t="default">
      <x v="4706"/>
    </i>
    <i>
      <x v="4707"/>
      <x v="552"/>
    </i>
    <i t="default">
      <x v="4707"/>
    </i>
    <i>
      <x v="4708"/>
      <x v="552"/>
    </i>
    <i t="default">
      <x v="4708"/>
    </i>
    <i>
      <x v="4709"/>
      <x v="552"/>
    </i>
    <i t="default">
      <x v="4709"/>
    </i>
    <i>
      <x v="4710"/>
      <x v="552"/>
    </i>
    <i t="default">
      <x v="4710"/>
    </i>
    <i>
      <x v="4711"/>
      <x v="552"/>
    </i>
    <i t="default">
      <x v="4711"/>
    </i>
    <i>
      <x v="4712"/>
      <x v="552"/>
    </i>
    <i t="default">
      <x v="4712"/>
    </i>
    <i>
      <x v="4713"/>
      <x v="552"/>
    </i>
    <i t="default">
      <x v="4713"/>
    </i>
    <i>
      <x v="4714"/>
      <x v="552"/>
    </i>
    <i t="default">
      <x v="4714"/>
    </i>
    <i>
      <x v="4715"/>
      <x v="552"/>
    </i>
    <i t="default">
      <x v="4715"/>
    </i>
    <i>
      <x v="4716"/>
      <x v="552"/>
    </i>
    <i t="default">
      <x v="4716"/>
    </i>
    <i>
      <x v="4717"/>
      <x v="552"/>
    </i>
    <i t="default">
      <x v="4717"/>
    </i>
    <i>
      <x v="4718"/>
      <x v="552"/>
    </i>
    <i t="default">
      <x v="4718"/>
    </i>
    <i>
      <x v="4719"/>
      <x v="552"/>
    </i>
    <i t="default">
      <x v="4719"/>
    </i>
    <i>
      <x v="4720"/>
      <x v="552"/>
    </i>
    <i t="default">
      <x v="4720"/>
    </i>
    <i>
      <x v="4721"/>
      <x v="552"/>
    </i>
    <i t="default">
      <x v="4721"/>
    </i>
    <i>
      <x v="4722"/>
      <x v="552"/>
    </i>
    <i t="default">
      <x v="4722"/>
    </i>
    <i>
      <x v="4723"/>
      <x v="552"/>
    </i>
    <i t="default">
      <x v="4723"/>
    </i>
    <i>
      <x v="4724"/>
      <x v="552"/>
    </i>
    <i t="default">
      <x v="4724"/>
    </i>
    <i>
      <x v="4725"/>
      <x v="552"/>
    </i>
    <i t="default">
      <x v="4725"/>
    </i>
    <i>
      <x v="4726"/>
      <x v="552"/>
    </i>
    <i t="default">
      <x v="4726"/>
    </i>
    <i>
      <x v="4727"/>
      <x v="552"/>
    </i>
    <i t="default">
      <x v="4727"/>
    </i>
    <i>
      <x v="4728"/>
      <x v="552"/>
    </i>
    <i t="default">
      <x v="4728"/>
    </i>
    <i>
      <x v="4729"/>
      <x v="552"/>
    </i>
    <i t="default">
      <x v="4729"/>
    </i>
    <i>
      <x v="4730"/>
      <x v="552"/>
    </i>
    <i t="default">
      <x v="4730"/>
    </i>
    <i>
      <x v="4731"/>
      <x v="552"/>
    </i>
    <i t="default">
      <x v="4731"/>
    </i>
    <i>
      <x v="4732"/>
      <x v="552"/>
    </i>
    <i t="default">
      <x v="4732"/>
    </i>
    <i>
      <x v="4733"/>
      <x v="552"/>
    </i>
    <i t="default">
      <x v="4733"/>
    </i>
    <i>
      <x v="4734"/>
      <x v="552"/>
    </i>
    <i t="default">
      <x v="4734"/>
    </i>
    <i>
      <x v="4735"/>
      <x v="552"/>
    </i>
    <i t="default">
      <x v="4735"/>
    </i>
    <i>
      <x v="4736"/>
      <x v="552"/>
    </i>
    <i t="default">
      <x v="4736"/>
    </i>
    <i>
      <x v="4737"/>
      <x v="552"/>
    </i>
    <i t="default">
      <x v="4737"/>
    </i>
    <i>
      <x v="4738"/>
      <x v="552"/>
    </i>
    <i t="default">
      <x v="4738"/>
    </i>
    <i>
      <x v="4739"/>
      <x v="552"/>
    </i>
    <i t="default">
      <x v="4739"/>
    </i>
    <i>
      <x v="4740"/>
      <x v="552"/>
    </i>
    <i t="default">
      <x v="4740"/>
    </i>
    <i>
      <x v="4741"/>
      <x v="552"/>
    </i>
    <i t="default">
      <x v="4741"/>
    </i>
    <i>
      <x v="4742"/>
      <x v="552"/>
    </i>
    <i t="default">
      <x v="4742"/>
    </i>
    <i>
      <x v="4743"/>
      <x v="552"/>
    </i>
    <i t="default">
      <x v="4743"/>
    </i>
    <i>
      <x v="4744"/>
      <x v="552"/>
    </i>
    <i t="default">
      <x v="4744"/>
    </i>
    <i>
      <x v="4745"/>
      <x v="552"/>
    </i>
    <i t="default">
      <x v="4745"/>
    </i>
    <i>
      <x v="4746"/>
      <x v="552"/>
    </i>
    <i t="default">
      <x v="4746"/>
    </i>
    <i>
      <x v="4747"/>
      <x v="552"/>
    </i>
    <i t="default">
      <x v="4747"/>
    </i>
    <i>
      <x v="4748"/>
      <x v="552"/>
    </i>
    <i t="default">
      <x v="4748"/>
    </i>
    <i>
      <x v="4749"/>
      <x v="552"/>
    </i>
    <i t="default">
      <x v="4749"/>
    </i>
    <i>
      <x v="4750"/>
      <x v="552"/>
    </i>
    <i t="default">
      <x v="4750"/>
    </i>
    <i>
      <x v="4751"/>
      <x v="552"/>
    </i>
    <i t="default">
      <x v="4751"/>
    </i>
    <i>
      <x v="4752"/>
      <x v="552"/>
    </i>
    <i t="default">
      <x v="4752"/>
    </i>
    <i>
      <x v="4753"/>
      <x v="552"/>
    </i>
    <i t="default">
      <x v="4753"/>
    </i>
    <i>
      <x v="4754"/>
      <x v="552"/>
    </i>
    <i t="default">
      <x v="4754"/>
    </i>
    <i>
      <x v="4755"/>
      <x v="552"/>
    </i>
    <i t="default">
      <x v="4755"/>
    </i>
    <i>
      <x v="4756"/>
      <x v="552"/>
    </i>
    <i t="default">
      <x v="4756"/>
    </i>
    <i>
      <x v="4757"/>
      <x v="552"/>
    </i>
    <i t="default">
      <x v="4757"/>
    </i>
    <i>
      <x v="4758"/>
      <x v="240"/>
    </i>
    <i r="1">
      <x v="552"/>
    </i>
    <i t="default">
      <x v="4758"/>
    </i>
    <i>
      <x v="4759"/>
      <x v="552"/>
    </i>
    <i t="default">
      <x v="4759"/>
    </i>
    <i>
      <x v="4760"/>
      <x v="552"/>
    </i>
    <i t="default">
      <x v="4760"/>
    </i>
    <i>
      <x v="4761"/>
      <x v="552"/>
    </i>
    <i t="default">
      <x v="4761"/>
    </i>
    <i>
      <x v="4762"/>
      <x v="552"/>
    </i>
    <i t="default">
      <x v="4762"/>
    </i>
    <i>
      <x v="4763"/>
      <x v="552"/>
    </i>
    <i t="default">
      <x v="4763"/>
    </i>
    <i>
      <x v="4764"/>
      <x v="552"/>
    </i>
    <i t="default">
      <x v="4764"/>
    </i>
    <i>
      <x v="4765"/>
      <x v="552"/>
    </i>
    <i t="default">
      <x v="4765"/>
    </i>
    <i>
      <x v="4766"/>
      <x v="552"/>
    </i>
    <i t="default">
      <x v="4766"/>
    </i>
    <i>
      <x v="4767"/>
      <x v="441"/>
    </i>
    <i r="1">
      <x v="552"/>
    </i>
    <i t="default">
      <x v="4767"/>
    </i>
    <i>
      <x v="4768"/>
      <x v="552"/>
    </i>
    <i t="default">
      <x v="4768"/>
    </i>
    <i>
      <x v="4769"/>
      <x v="552"/>
    </i>
    <i t="default">
      <x v="4769"/>
    </i>
    <i>
      <x v="4770"/>
      <x v="48"/>
    </i>
    <i r="1">
      <x v="552"/>
    </i>
    <i t="default">
      <x v="4770"/>
    </i>
    <i>
      <x v="4771"/>
      <x v="552"/>
    </i>
    <i t="default">
      <x v="4771"/>
    </i>
    <i>
      <x v="4772"/>
      <x v="552"/>
    </i>
    <i t="default">
      <x v="4772"/>
    </i>
    <i>
      <x v="4773"/>
      <x v="552"/>
    </i>
    <i t="default">
      <x v="4773"/>
    </i>
    <i>
      <x v="4774"/>
      <x v="552"/>
    </i>
    <i t="default">
      <x v="4774"/>
    </i>
    <i>
      <x v="4775"/>
      <x v="552"/>
    </i>
    <i t="default">
      <x v="4775"/>
    </i>
    <i>
      <x v="4776"/>
      <x v="552"/>
    </i>
    <i t="default">
      <x v="4776"/>
    </i>
    <i>
      <x v="4777"/>
      <x v="552"/>
    </i>
    <i t="default">
      <x v="4777"/>
    </i>
    <i>
      <x v="4778"/>
      <x v="351"/>
    </i>
    <i r="1">
      <x v="552"/>
    </i>
    <i t="default">
      <x v="4778"/>
    </i>
    <i>
      <x v="4779"/>
      <x v="51"/>
    </i>
    <i r="1">
      <x v="552"/>
    </i>
    <i t="default">
      <x v="4779"/>
    </i>
    <i>
      <x v="4780"/>
      <x v="552"/>
    </i>
    <i t="default">
      <x v="4780"/>
    </i>
    <i>
      <x v="4781"/>
      <x v="552"/>
    </i>
    <i t="default">
      <x v="4781"/>
    </i>
    <i>
      <x v="4782"/>
      <x v="552"/>
    </i>
    <i t="default">
      <x v="4782"/>
    </i>
    <i>
      <x v="4783"/>
      <x v="552"/>
    </i>
    <i t="default">
      <x v="4783"/>
    </i>
    <i>
      <x v="4784"/>
      <x v="552"/>
    </i>
    <i t="default">
      <x v="4784"/>
    </i>
    <i>
      <x v="4785"/>
      <x v="552"/>
    </i>
    <i t="default">
      <x v="4785"/>
    </i>
    <i>
      <x v="4786"/>
      <x v="552"/>
    </i>
    <i t="default">
      <x v="4786"/>
    </i>
    <i>
      <x v="4787"/>
      <x v="552"/>
    </i>
    <i t="default">
      <x v="4787"/>
    </i>
    <i>
      <x v="4788"/>
      <x v="552"/>
    </i>
    <i t="default">
      <x v="4788"/>
    </i>
    <i>
      <x v="4789"/>
      <x v="552"/>
    </i>
    <i t="default">
      <x v="4789"/>
    </i>
    <i>
      <x v="4790"/>
      <x v="552"/>
    </i>
    <i t="default">
      <x v="4790"/>
    </i>
    <i>
      <x v="4791"/>
      <x v="552"/>
    </i>
    <i t="default">
      <x v="4791"/>
    </i>
    <i>
      <x v="4792"/>
      <x v="552"/>
    </i>
    <i t="default">
      <x v="4792"/>
    </i>
    <i>
      <x v="4793"/>
      <x v="552"/>
    </i>
    <i t="default">
      <x v="4793"/>
    </i>
    <i>
      <x v="4794"/>
      <x v="552"/>
    </i>
    <i t="default">
      <x v="4794"/>
    </i>
    <i>
      <x v="4795"/>
      <x v="552"/>
    </i>
    <i t="default">
      <x v="4795"/>
    </i>
    <i>
      <x v="4796"/>
      <x v="552"/>
    </i>
    <i t="default">
      <x v="4796"/>
    </i>
    <i>
      <x v="4797"/>
      <x v="552"/>
    </i>
    <i t="default">
      <x v="4797"/>
    </i>
    <i>
      <x v="4798"/>
      <x v="552"/>
    </i>
    <i t="default">
      <x v="4798"/>
    </i>
    <i>
      <x v="4799"/>
      <x v="552"/>
    </i>
    <i t="default">
      <x v="4799"/>
    </i>
    <i>
      <x v="4800"/>
      <x v="552"/>
    </i>
    <i t="default">
      <x v="4800"/>
    </i>
    <i>
      <x v="4801"/>
      <x v="552"/>
    </i>
    <i t="default">
      <x v="4801"/>
    </i>
    <i>
      <x v="4802"/>
      <x v="552"/>
    </i>
    <i t="default">
      <x v="4802"/>
    </i>
    <i>
      <x v="4803"/>
      <x v="552"/>
    </i>
    <i t="default">
      <x v="4803"/>
    </i>
    <i>
      <x v="4804"/>
      <x v="552"/>
    </i>
    <i t="default">
      <x v="4804"/>
    </i>
    <i>
      <x v="4805"/>
      <x v="552"/>
    </i>
    <i t="default">
      <x v="4805"/>
    </i>
    <i>
      <x v="4806"/>
      <x v="552"/>
    </i>
    <i t="default">
      <x v="4806"/>
    </i>
    <i>
      <x v="4807"/>
      <x v="552"/>
    </i>
    <i t="default">
      <x v="4807"/>
    </i>
    <i>
      <x v="4808"/>
      <x v="552"/>
    </i>
    <i t="default">
      <x v="4808"/>
    </i>
    <i>
      <x v="4809"/>
      <x v="552"/>
    </i>
    <i t="default">
      <x v="4809"/>
    </i>
    <i>
      <x v="4810"/>
      <x v="552"/>
    </i>
    <i t="default">
      <x v="4810"/>
    </i>
    <i>
      <x v="4811"/>
      <x v="552"/>
    </i>
    <i t="default">
      <x v="4811"/>
    </i>
    <i>
      <x v="4812"/>
      <x v="552"/>
    </i>
    <i t="default">
      <x v="4812"/>
    </i>
    <i>
      <x v="4813"/>
      <x v="552"/>
    </i>
    <i t="default">
      <x v="4813"/>
    </i>
    <i>
      <x v="4814"/>
      <x v="552"/>
    </i>
    <i t="default">
      <x v="4814"/>
    </i>
    <i>
      <x v="4815"/>
      <x v="552"/>
    </i>
    <i t="default">
      <x v="4815"/>
    </i>
    <i>
      <x v="4816"/>
      <x v="552"/>
    </i>
    <i t="default">
      <x v="4816"/>
    </i>
    <i>
      <x v="4817"/>
      <x v="552"/>
    </i>
    <i t="default">
      <x v="4817"/>
    </i>
    <i>
      <x v="4818"/>
      <x v="552"/>
    </i>
    <i t="default">
      <x v="4818"/>
    </i>
    <i>
      <x v="4819"/>
      <x v="552"/>
    </i>
    <i t="default">
      <x v="4819"/>
    </i>
    <i>
      <x v="4820"/>
      <x v="552"/>
    </i>
    <i t="default">
      <x v="4820"/>
    </i>
    <i>
      <x v="4821"/>
      <x v="552"/>
    </i>
    <i t="default">
      <x v="4821"/>
    </i>
    <i>
      <x v="4822"/>
      <x v="552"/>
    </i>
    <i t="default">
      <x v="4822"/>
    </i>
    <i>
      <x v="4823"/>
      <x v="552"/>
    </i>
    <i t="default">
      <x v="4823"/>
    </i>
    <i>
      <x v="4824"/>
      <x v="552"/>
    </i>
    <i t="default">
      <x v="4824"/>
    </i>
    <i>
      <x v="4825"/>
      <x v="552"/>
    </i>
    <i t="default">
      <x v="4825"/>
    </i>
    <i>
      <x v="4826"/>
      <x v="552"/>
    </i>
    <i t="default">
      <x v="4826"/>
    </i>
    <i>
      <x v="4827"/>
      <x v="552"/>
    </i>
    <i t="default">
      <x v="4827"/>
    </i>
    <i>
      <x v="4828"/>
      <x v="552"/>
    </i>
    <i t="default">
      <x v="4828"/>
    </i>
    <i>
      <x v="4829"/>
      <x v="552"/>
    </i>
    <i t="default">
      <x v="4829"/>
    </i>
    <i>
      <x v="4830"/>
      <x v="552"/>
    </i>
    <i t="default">
      <x v="4830"/>
    </i>
    <i>
      <x v="4831"/>
      <x v="552"/>
    </i>
    <i t="default">
      <x v="4831"/>
    </i>
    <i>
      <x v="4832"/>
      <x v="552"/>
    </i>
    <i t="default">
      <x v="4832"/>
    </i>
    <i>
      <x v="4833"/>
      <x v="552"/>
    </i>
    <i t="default">
      <x v="4833"/>
    </i>
    <i>
      <x v="4834"/>
      <x v="552"/>
    </i>
    <i t="default">
      <x v="4834"/>
    </i>
    <i>
      <x v="4835"/>
      <x v="552"/>
    </i>
    <i t="default">
      <x v="4835"/>
    </i>
    <i>
      <x v="4836"/>
      <x v="552"/>
    </i>
    <i t="default">
      <x v="4836"/>
    </i>
    <i>
      <x v="4837"/>
      <x v="552"/>
    </i>
    <i t="default">
      <x v="4837"/>
    </i>
    <i>
      <x v="4838"/>
      <x v="103"/>
    </i>
    <i r="1">
      <x v="552"/>
    </i>
    <i t="default">
      <x v="4838"/>
    </i>
    <i>
      <x v="4839"/>
      <x v="552"/>
    </i>
    <i t="default">
      <x v="4839"/>
    </i>
    <i>
      <x v="4840"/>
      <x v="552"/>
    </i>
    <i t="default">
      <x v="4840"/>
    </i>
    <i>
      <x v="4841"/>
      <x v="552"/>
    </i>
    <i t="default">
      <x v="4841"/>
    </i>
    <i>
      <x v="4842"/>
      <x v="552"/>
    </i>
    <i t="default">
      <x v="4842"/>
    </i>
    <i>
      <x v="4843"/>
      <x v="552"/>
    </i>
    <i t="default">
      <x v="4843"/>
    </i>
    <i>
      <x v="4844"/>
      <x v="552"/>
    </i>
    <i t="default">
      <x v="4844"/>
    </i>
    <i>
      <x v="4845"/>
      <x v="552"/>
    </i>
    <i t="default">
      <x v="4845"/>
    </i>
    <i>
      <x v="4846"/>
      <x v="552"/>
    </i>
    <i t="default">
      <x v="4846"/>
    </i>
    <i>
      <x v="4847"/>
      <x v="552"/>
    </i>
    <i t="default">
      <x v="4847"/>
    </i>
    <i>
      <x v="4848"/>
      <x v="552"/>
    </i>
    <i t="default">
      <x v="4848"/>
    </i>
    <i>
      <x v="4849"/>
      <x v="552"/>
    </i>
    <i t="default">
      <x v="4849"/>
    </i>
    <i>
      <x v="4850"/>
      <x v="552"/>
    </i>
    <i t="default">
      <x v="4850"/>
    </i>
    <i>
      <x v="4851"/>
      <x v="552"/>
    </i>
    <i t="default">
      <x v="4851"/>
    </i>
    <i>
      <x v="4852"/>
      <x v="552"/>
    </i>
    <i t="default">
      <x v="4852"/>
    </i>
    <i>
      <x v="4853"/>
      <x v="552"/>
    </i>
    <i t="default">
      <x v="4853"/>
    </i>
    <i>
      <x v="4854"/>
      <x v="552"/>
    </i>
    <i t="default">
      <x v="4854"/>
    </i>
    <i>
      <x v="4855"/>
      <x v="552"/>
    </i>
    <i t="default">
      <x v="4855"/>
    </i>
    <i>
      <x v="4856"/>
      <x v="552"/>
    </i>
    <i t="default">
      <x v="4856"/>
    </i>
    <i>
      <x v="4857"/>
      <x v="552"/>
    </i>
    <i t="default">
      <x v="4857"/>
    </i>
    <i>
      <x v="4858"/>
      <x v="552"/>
    </i>
    <i t="default">
      <x v="4858"/>
    </i>
    <i>
      <x v="4859"/>
      <x v="552"/>
    </i>
    <i t="default">
      <x v="4859"/>
    </i>
    <i>
      <x v="4860"/>
      <x v="552"/>
    </i>
    <i t="default">
      <x v="4860"/>
    </i>
    <i>
      <x v="4861"/>
      <x v="552"/>
    </i>
    <i t="default">
      <x v="4861"/>
    </i>
    <i>
      <x v="4862"/>
      <x v="552"/>
    </i>
    <i t="default">
      <x v="4862"/>
    </i>
    <i>
      <x v="4863"/>
      <x v="552"/>
    </i>
    <i t="default">
      <x v="4863"/>
    </i>
    <i>
      <x v="4864"/>
      <x v="552"/>
    </i>
    <i t="default">
      <x v="4864"/>
    </i>
    <i>
      <x v="4865"/>
      <x v="552"/>
    </i>
    <i t="default">
      <x v="4865"/>
    </i>
    <i>
      <x v="4866"/>
      <x v="552"/>
    </i>
    <i t="default">
      <x v="4866"/>
    </i>
    <i>
      <x v="4867"/>
      <x v="552"/>
    </i>
    <i t="default">
      <x v="4867"/>
    </i>
    <i>
      <x v="4868"/>
      <x v="552"/>
    </i>
    <i t="default">
      <x v="4868"/>
    </i>
    <i>
      <x v="4869"/>
      <x v="552"/>
    </i>
    <i t="default">
      <x v="4869"/>
    </i>
    <i>
      <x v="4870"/>
      <x v="552"/>
    </i>
    <i t="default">
      <x v="4870"/>
    </i>
    <i>
      <x v="4871"/>
      <x v="552"/>
    </i>
    <i t="default">
      <x v="4871"/>
    </i>
    <i>
      <x v="4872"/>
      <x v="552"/>
    </i>
    <i t="default">
      <x v="4872"/>
    </i>
    <i>
      <x v="4873"/>
      <x v="552"/>
    </i>
    <i t="default">
      <x v="4873"/>
    </i>
    <i>
      <x v="4874"/>
      <x v="552"/>
    </i>
    <i t="default">
      <x v="4874"/>
    </i>
    <i>
      <x v="4875"/>
      <x v="299"/>
    </i>
    <i t="default">
      <x v="4875"/>
    </i>
    <i>
      <x v="4876"/>
      <x v="552"/>
    </i>
    <i t="default">
      <x v="4876"/>
    </i>
    <i>
      <x v="4877"/>
      <x v="552"/>
    </i>
    <i t="default">
      <x v="4877"/>
    </i>
    <i>
      <x v="4878"/>
      <x v="552"/>
    </i>
    <i t="default">
      <x v="4878"/>
    </i>
    <i>
      <x v="4879"/>
      <x v="552"/>
    </i>
    <i t="default">
      <x v="4879"/>
    </i>
    <i>
      <x v="4880"/>
      <x v="552"/>
    </i>
    <i t="default">
      <x v="4880"/>
    </i>
    <i>
      <x v="4881"/>
      <x v="552"/>
    </i>
    <i t="default">
      <x v="4881"/>
    </i>
    <i>
      <x v="4882"/>
      <x v="552"/>
    </i>
    <i t="default">
      <x v="4882"/>
    </i>
    <i>
      <x v="4883"/>
      <x v="552"/>
    </i>
    <i t="default">
      <x v="4883"/>
    </i>
    <i>
      <x v="4884"/>
      <x v="552"/>
    </i>
    <i t="default">
      <x v="4884"/>
    </i>
    <i>
      <x v="4885"/>
      <x v="505"/>
    </i>
    <i r="1">
      <x v="552"/>
    </i>
    <i t="default">
      <x v="4885"/>
    </i>
    <i>
      <x v="4886"/>
      <x v="552"/>
    </i>
    <i t="default">
      <x v="4886"/>
    </i>
    <i>
      <x v="4887"/>
      <x v="552"/>
    </i>
    <i t="default">
      <x v="4887"/>
    </i>
    <i>
      <x v="4888"/>
      <x v="552"/>
    </i>
    <i t="default">
      <x v="4888"/>
    </i>
    <i>
      <x v="4889"/>
      <x v="173"/>
    </i>
    <i r="1">
      <x v="546"/>
    </i>
    <i t="default">
      <x v="4889"/>
    </i>
    <i>
      <x v="4890"/>
      <x v="552"/>
    </i>
    <i t="default">
      <x v="4890"/>
    </i>
    <i>
      <x v="4891"/>
      <x v="552"/>
    </i>
    <i t="default">
      <x v="4891"/>
    </i>
    <i>
      <x v="4892"/>
      <x v="552"/>
    </i>
    <i t="default">
      <x v="4892"/>
    </i>
    <i>
      <x v="4893"/>
      <x v="41"/>
    </i>
    <i t="default">
      <x v="4893"/>
    </i>
    <i>
      <x v="4894"/>
      <x v="552"/>
    </i>
    <i t="default">
      <x v="4894"/>
    </i>
    <i>
      <x v="4895"/>
      <x v="552"/>
    </i>
    <i t="default">
      <x v="4895"/>
    </i>
    <i>
      <x v="4896"/>
      <x v="552"/>
    </i>
    <i t="default">
      <x v="4896"/>
    </i>
    <i>
      <x v="4897"/>
      <x v="543"/>
    </i>
    <i r="1">
      <x v="552"/>
    </i>
    <i t="default">
      <x v="4897"/>
    </i>
    <i>
      <x v="4898"/>
      <x v="552"/>
    </i>
    <i t="default">
      <x v="4898"/>
    </i>
    <i>
      <x v="4899"/>
      <x v="552"/>
    </i>
    <i t="default">
      <x v="4899"/>
    </i>
    <i>
      <x v="4900"/>
      <x v="552"/>
    </i>
    <i t="default">
      <x v="4900"/>
    </i>
    <i>
      <x v="4901"/>
      <x v="552"/>
    </i>
    <i t="default">
      <x v="4901"/>
    </i>
    <i>
      <x v="4902"/>
      <x v="552"/>
    </i>
    <i t="default">
      <x v="4902"/>
    </i>
    <i>
      <x v="4903"/>
      <x v="552"/>
    </i>
    <i t="default">
      <x v="4903"/>
    </i>
    <i>
      <x v="4904"/>
      <x v="393"/>
    </i>
    <i r="1">
      <x v="552"/>
    </i>
    <i t="default">
      <x v="4904"/>
    </i>
    <i>
      <x v="4905"/>
      <x v="439"/>
    </i>
    <i t="default">
      <x v="4905"/>
    </i>
    <i>
      <x v="4906"/>
      <x v="274"/>
    </i>
    <i r="1">
      <x v="552"/>
    </i>
    <i t="default">
      <x v="4906"/>
    </i>
    <i>
      <x v="4907"/>
      <x v="552"/>
    </i>
    <i t="default">
      <x v="4907"/>
    </i>
    <i>
      <x v="4908"/>
      <x v="552"/>
    </i>
    <i t="default">
      <x v="4908"/>
    </i>
    <i>
      <x v="4909"/>
      <x v="552"/>
    </i>
    <i t="default">
      <x v="4909"/>
    </i>
    <i>
      <x v="4910"/>
      <x v="552"/>
    </i>
    <i t="default">
      <x v="4910"/>
    </i>
    <i>
      <x v="4911"/>
      <x v="552"/>
    </i>
    <i t="default">
      <x v="4911"/>
    </i>
    <i>
      <x v="4912"/>
      <x v="552"/>
    </i>
    <i t="default">
      <x v="4912"/>
    </i>
    <i>
      <x v="4913"/>
      <x v="552"/>
    </i>
    <i t="default">
      <x v="4913"/>
    </i>
    <i>
      <x v="4914"/>
      <x v="552"/>
    </i>
    <i t="default">
      <x v="4914"/>
    </i>
    <i>
      <x v="4915"/>
      <x v="46"/>
    </i>
    <i r="1">
      <x v="552"/>
    </i>
    <i t="default">
      <x v="4915"/>
    </i>
    <i>
      <x v="4916"/>
      <x v="552"/>
    </i>
    <i t="default">
      <x v="4916"/>
    </i>
    <i>
      <x v="4917"/>
      <x v="552"/>
    </i>
    <i t="default">
      <x v="4917"/>
    </i>
    <i>
      <x v="4918"/>
      <x v="552"/>
    </i>
    <i t="default">
      <x v="4918"/>
    </i>
    <i>
      <x v="4919"/>
      <x v="552"/>
    </i>
    <i t="default">
      <x v="4919"/>
    </i>
    <i>
      <x v="4920"/>
      <x v="552"/>
    </i>
    <i t="default">
      <x v="4920"/>
    </i>
    <i>
      <x v="4921"/>
      <x v="70"/>
    </i>
    <i r="1">
      <x v="552"/>
    </i>
    <i t="default">
      <x v="4921"/>
    </i>
    <i>
      <x v="4922"/>
      <x v="552"/>
    </i>
    <i t="default">
      <x v="4922"/>
    </i>
    <i>
      <x v="4923"/>
      <x v="552"/>
    </i>
    <i t="default">
      <x v="4923"/>
    </i>
    <i>
      <x v="4924"/>
      <x v="498"/>
    </i>
    <i r="1">
      <x v="552"/>
    </i>
    <i t="default">
      <x v="4924"/>
    </i>
    <i>
      <x v="4925"/>
      <x v="552"/>
    </i>
    <i t="default">
      <x v="4925"/>
    </i>
    <i>
      <x v="4926"/>
      <x v="552"/>
    </i>
    <i t="default">
      <x v="4926"/>
    </i>
    <i>
      <x v="4927"/>
      <x v="504"/>
    </i>
    <i t="default">
      <x v="4927"/>
    </i>
    <i>
      <x v="4928"/>
      <x v="552"/>
    </i>
    <i t="default">
      <x v="4928"/>
    </i>
    <i>
      <x v="4929"/>
      <x v="552"/>
    </i>
    <i t="default">
      <x v="4929"/>
    </i>
    <i>
      <x v="4930"/>
      <x v="326"/>
    </i>
    <i t="default">
      <x v="4930"/>
    </i>
    <i>
      <x v="4931"/>
      <x v="552"/>
    </i>
    <i t="default">
      <x v="4931"/>
    </i>
    <i>
      <x v="4932"/>
      <x v="552"/>
    </i>
    <i t="default">
      <x v="4932"/>
    </i>
    <i>
      <x v="4933"/>
      <x v="552"/>
    </i>
    <i t="default">
      <x v="4933"/>
    </i>
    <i>
      <x v="4934"/>
      <x v="552"/>
    </i>
    <i t="default">
      <x v="4934"/>
    </i>
    <i>
      <x v="4935"/>
      <x v="552"/>
    </i>
    <i t="default">
      <x v="4935"/>
    </i>
    <i>
      <x v="4936"/>
      <x v="552"/>
    </i>
    <i t="default">
      <x v="4936"/>
    </i>
    <i>
      <x v="4937"/>
      <x v="552"/>
    </i>
    <i t="default">
      <x v="4937"/>
    </i>
    <i>
      <x v="4938"/>
      <x v="552"/>
    </i>
    <i t="default">
      <x v="4938"/>
    </i>
    <i>
      <x v="4939"/>
      <x v="552"/>
    </i>
    <i t="default">
      <x v="4939"/>
    </i>
    <i>
      <x v="4940"/>
      <x v="552"/>
    </i>
    <i t="default">
      <x v="4940"/>
    </i>
    <i>
      <x v="4941"/>
      <x v="552"/>
    </i>
    <i t="default">
      <x v="4941"/>
    </i>
    <i>
      <x v="4942"/>
      <x v="552"/>
    </i>
    <i t="default">
      <x v="4942"/>
    </i>
    <i>
      <x v="4943"/>
      <x v="552"/>
    </i>
    <i t="default">
      <x v="4943"/>
    </i>
    <i>
      <x v="4944"/>
      <x v="552"/>
    </i>
    <i t="default">
      <x v="4944"/>
    </i>
    <i>
      <x v="4945"/>
      <x v="100"/>
    </i>
    <i r="1">
      <x v="552"/>
    </i>
    <i t="default">
      <x v="4945"/>
    </i>
    <i>
      <x v="4946"/>
      <x v="552"/>
    </i>
    <i t="default">
      <x v="4946"/>
    </i>
    <i>
      <x v="4947"/>
      <x v="552"/>
    </i>
    <i t="default">
      <x v="4947"/>
    </i>
    <i>
      <x v="4948"/>
      <x v="552"/>
    </i>
    <i t="default">
      <x v="4948"/>
    </i>
    <i>
      <x v="4949"/>
      <x v="552"/>
    </i>
    <i t="default">
      <x v="4949"/>
    </i>
    <i>
      <x v="4950"/>
      <x v="552"/>
    </i>
    <i t="default">
      <x v="4950"/>
    </i>
    <i>
      <x v="4951"/>
      <x v="552"/>
    </i>
    <i t="default">
      <x v="4951"/>
    </i>
    <i>
      <x v="4952"/>
      <x v="552"/>
    </i>
    <i t="default">
      <x v="4952"/>
    </i>
    <i>
      <x v="4953"/>
      <x v="552"/>
    </i>
    <i t="default">
      <x v="4953"/>
    </i>
    <i>
      <x v="4954"/>
      <x v="552"/>
    </i>
    <i t="default">
      <x v="4954"/>
    </i>
    <i>
      <x v="4955"/>
      <x v="552"/>
    </i>
    <i t="default">
      <x v="4955"/>
    </i>
    <i>
      <x v="4956"/>
      <x v="552"/>
    </i>
    <i t="default">
      <x v="4956"/>
    </i>
    <i>
      <x v="4957"/>
      <x v="552"/>
    </i>
    <i t="default">
      <x v="4957"/>
    </i>
    <i>
      <x v="4958"/>
      <x v="552"/>
    </i>
    <i t="default">
      <x v="4958"/>
    </i>
    <i>
      <x v="4959"/>
      <x v="552"/>
    </i>
    <i t="default">
      <x v="4959"/>
    </i>
    <i>
      <x v="4960"/>
      <x v="552"/>
    </i>
    <i t="default">
      <x v="4960"/>
    </i>
    <i>
      <x v="4961"/>
      <x v="552"/>
    </i>
    <i t="default">
      <x v="4961"/>
    </i>
    <i>
      <x v="4962"/>
      <x v="552"/>
    </i>
    <i t="default">
      <x v="4962"/>
    </i>
    <i>
      <x v="4963"/>
      <x v="552"/>
    </i>
    <i t="default">
      <x v="4963"/>
    </i>
    <i>
      <x v="4964"/>
      <x v="552"/>
    </i>
    <i t="default">
      <x v="4964"/>
    </i>
    <i>
      <x v="4965"/>
      <x v="552"/>
    </i>
    <i t="default">
      <x v="4965"/>
    </i>
    <i>
      <x v="4966"/>
      <x v="552"/>
    </i>
    <i t="default">
      <x v="4966"/>
    </i>
    <i>
      <x v="4967"/>
      <x v="552"/>
    </i>
    <i t="default">
      <x v="4967"/>
    </i>
    <i>
      <x v="4968"/>
      <x v="552"/>
    </i>
    <i t="default">
      <x v="4968"/>
    </i>
    <i>
      <x v="4969"/>
      <x v="552"/>
    </i>
    <i t="default">
      <x v="4969"/>
    </i>
    <i>
      <x v="4970"/>
      <x v="552"/>
    </i>
    <i t="default">
      <x v="4970"/>
    </i>
    <i>
      <x v="4971"/>
      <x v="552"/>
    </i>
    <i t="default">
      <x v="4971"/>
    </i>
    <i>
      <x v="4972"/>
      <x v="552"/>
    </i>
    <i t="default">
      <x v="4972"/>
    </i>
    <i>
      <x v="4973"/>
      <x v="552"/>
    </i>
    <i t="default">
      <x v="4973"/>
    </i>
    <i>
      <x v="4974"/>
      <x v="170"/>
    </i>
    <i r="1">
      <x v="552"/>
    </i>
    <i t="default">
      <x v="4974"/>
    </i>
    <i>
      <x v="4975"/>
      <x v="552"/>
    </i>
    <i t="default">
      <x v="4975"/>
    </i>
    <i>
      <x v="4976"/>
      <x v="552"/>
    </i>
    <i t="default">
      <x v="4976"/>
    </i>
    <i>
      <x v="4977"/>
      <x v="552"/>
    </i>
    <i t="default">
      <x v="4977"/>
    </i>
    <i>
      <x v="4978"/>
      <x v="552"/>
    </i>
    <i t="default">
      <x v="4978"/>
    </i>
    <i>
      <x v="4979"/>
      <x v="552"/>
    </i>
    <i t="default">
      <x v="4979"/>
    </i>
    <i>
      <x v="4980"/>
      <x v="552"/>
    </i>
    <i t="default">
      <x v="4980"/>
    </i>
    <i>
      <x v="4981"/>
      <x v="552"/>
    </i>
    <i t="default">
      <x v="4981"/>
    </i>
    <i>
      <x v="4982"/>
      <x v="552"/>
    </i>
    <i t="default">
      <x v="4982"/>
    </i>
    <i>
      <x v="4983"/>
      <x v="552"/>
    </i>
    <i t="default">
      <x v="4983"/>
    </i>
    <i>
      <x v="4984"/>
      <x v="552"/>
    </i>
    <i t="default">
      <x v="4984"/>
    </i>
    <i>
      <x v="4985"/>
      <x v="552"/>
    </i>
    <i t="default">
      <x v="4985"/>
    </i>
    <i>
      <x v="4986"/>
      <x v="552"/>
    </i>
    <i t="default">
      <x v="4986"/>
    </i>
    <i>
      <x v="4987"/>
      <x v="552"/>
    </i>
    <i t="default">
      <x v="4987"/>
    </i>
    <i>
      <x v="4988"/>
      <x v="552"/>
    </i>
    <i t="default">
      <x v="4988"/>
    </i>
    <i>
      <x v="4989"/>
      <x v="552"/>
    </i>
    <i t="default">
      <x v="4989"/>
    </i>
    <i>
      <x v="4990"/>
      <x v="552"/>
    </i>
    <i t="default">
      <x v="4990"/>
    </i>
    <i>
      <x v="4991"/>
      <x v="552"/>
    </i>
    <i t="default">
      <x v="4991"/>
    </i>
    <i>
      <x v="4992"/>
      <x v="552"/>
    </i>
    <i t="default">
      <x v="4992"/>
    </i>
    <i>
      <x v="4993"/>
      <x v="552"/>
    </i>
    <i t="default">
      <x v="4993"/>
    </i>
    <i>
      <x v="4994"/>
      <x v="552"/>
    </i>
    <i t="default">
      <x v="4994"/>
    </i>
    <i>
      <x v="4995"/>
      <x v="552"/>
    </i>
    <i t="default">
      <x v="4995"/>
    </i>
    <i>
      <x v="4996"/>
      <x v="552"/>
    </i>
    <i t="default">
      <x v="4996"/>
    </i>
    <i>
      <x v="4997"/>
      <x v="552"/>
    </i>
    <i t="default">
      <x v="4997"/>
    </i>
    <i>
      <x v="4998"/>
      <x v="552"/>
    </i>
    <i t="default">
      <x v="4998"/>
    </i>
    <i>
      <x v="4999"/>
      <x v="552"/>
    </i>
    <i t="default">
      <x v="4999"/>
    </i>
    <i>
      <x v="5000"/>
      <x v="246"/>
    </i>
    <i r="1">
      <x v="552"/>
    </i>
    <i t="default">
      <x v="5000"/>
    </i>
    <i>
      <x v="5001"/>
      <x v="313"/>
    </i>
    <i t="default">
      <x v="5001"/>
    </i>
    <i>
      <x v="5002"/>
      <x v="552"/>
    </i>
    <i t="default">
      <x v="5002"/>
    </i>
    <i>
      <x v="5003"/>
      <x v="552"/>
    </i>
    <i t="default">
      <x v="5003"/>
    </i>
    <i>
      <x v="5004"/>
      <x v="97"/>
    </i>
    <i t="default">
      <x v="5004"/>
    </i>
    <i>
      <x v="5005"/>
      <x v="552"/>
    </i>
    <i t="default">
      <x v="5005"/>
    </i>
    <i>
      <x v="5006"/>
      <x v="91"/>
    </i>
    <i r="1">
      <x v="552"/>
    </i>
    <i t="default">
      <x v="5006"/>
    </i>
    <i>
      <x v="5007"/>
      <x v="552"/>
    </i>
    <i t="default">
      <x v="5007"/>
    </i>
    <i>
      <x v="5008"/>
      <x v="544"/>
    </i>
    <i t="default">
      <x v="5008"/>
    </i>
    <i>
      <x v="5009"/>
      <x v="552"/>
    </i>
    <i t="default">
      <x v="5009"/>
    </i>
    <i>
      <x v="5010"/>
      <x v="552"/>
    </i>
    <i t="default">
      <x v="5010"/>
    </i>
    <i>
      <x v="5011"/>
      <x v="552"/>
    </i>
    <i t="default">
      <x v="5011"/>
    </i>
    <i>
      <x v="5012"/>
      <x v="552"/>
    </i>
    <i t="default">
      <x v="5012"/>
    </i>
    <i>
      <x v="5013"/>
      <x v="552"/>
    </i>
    <i t="default">
      <x v="5013"/>
    </i>
    <i>
      <x v="5014"/>
      <x v="552"/>
    </i>
    <i t="default">
      <x v="5014"/>
    </i>
    <i>
      <x v="5015"/>
      <x v="552"/>
    </i>
    <i t="default">
      <x v="5015"/>
    </i>
    <i>
      <x v="5016"/>
      <x v="541"/>
    </i>
    <i t="default">
      <x v="5016"/>
    </i>
    <i>
      <x v="5017"/>
      <x v="552"/>
    </i>
    <i t="default">
      <x v="5017"/>
    </i>
    <i>
      <x v="5018"/>
      <x v="552"/>
    </i>
    <i t="default">
      <x v="5018"/>
    </i>
    <i>
      <x v="5019"/>
      <x v="552"/>
    </i>
    <i t="default">
      <x v="5019"/>
    </i>
    <i>
      <x v="5020"/>
      <x v="552"/>
    </i>
    <i t="default">
      <x v="5020"/>
    </i>
    <i>
      <x v="5021"/>
      <x v="552"/>
    </i>
    <i t="default">
      <x v="5021"/>
    </i>
    <i>
      <x v="5022"/>
      <x v="552"/>
    </i>
    <i t="default">
      <x v="5022"/>
    </i>
    <i>
      <x v="5023"/>
      <x v="552"/>
    </i>
    <i t="default">
      <x v="5023"/>
    </i>
    <i>
      <x v="5024"/>
      <x v="552"/>
    </i>
    <i t="default">
      <x v="5024"/>
    </i>
    <i>
      <x v="5025"/>
      <x v="552"/>
    </i>
    <i t="default">
      <x v="5025"/>
    </i>
    <i>
      <x v="5026"/>
      <x v="552"/>
    </i>
    <i t="default">
      <x v="5026"/>
    </i>
    <i>
      <x v="5027"/>
      <x v="552"/>
    </i>
    <i t="default">
      <x v="5027"/>
    </i>
    <i>
      <x v="5028"/>
      <x v="552"/>
    </i>
    <i t="default">
      <x v="5028"/>
    </i>
    <i>
      <x v="5029"/>
      <x v="552"/>
    </i>
    <i t="default">
      <x v="5029"/>
    </i>
    <i>
      <x v="5030"/>
      <x v="552"/>
    </i>
    <i t="default">
      <x v="5030"/>
    </i>
    <i>
      <x v="5031"/>
      <x v="552"/>
    </i>
    <i t="default">
      <x v="5031"/>
    </i>
    <i>
      <x v="5032"/>
      <x v="552"/>
    </i>
    <i t="default">
      <x v="5032"/>
    </i>
    <i>
      <x v="5033"/>
      <x v="552"/>
    </i>
    <i t="default">
      <x v="5033"/>
    </i>
    <i>
      <x v="5034"/>
      <x v="552"/>
    </i>
    <i t="default">
      <x v="5034"/>
    </i>
    <i>
      <x v="5035"/>
      <x v="552"/>
    </i>
    <i t="default">
      <x v="5035"/>
    </i>
    <i>
      <x v="5036"/>
      <x v="552"/>
    </i>
    <i t="default">
      <x v="5036"/>
    </i>
    <i>
      <x v="5037"/>
      <x v="552"/>
    </i>
    <i t="default">
      <x v="5037"/>
    </i>
    <i>
      <x v="5038"/>
      <x v="552"/>
    </i>
    <i t="default">
      <x v="5038"/>
    </i>
    <i>
      <x v="5039"/>
      <x v="552"/>
    </i>
    <i t="default">
      <x v="5039"/>
    </i>
    <i>
      <x v="5040"/>
      <x v="552"/>
    </i>
    <i t="default">
      <x v="5040"/>
    </i>
    <i>
      <x v="5041"/>
      <x v="552"/>
    </i>
    <i t="default">
      <x v="5041"/>
    </i>
    <i>
      <x v="5042"/>
      <x v="552"/>
    </i>
    <i t="default">
      <x v="5042"/>
    </i>
    <i>
      <x v="5043"/>
      <x v="499"/>
    </i>
    <i r="1">
      <x v="552"/>
    </i>
    <i t="default">
      <x v="5043"/>
    </i>
    <i>
      <x v="5044"/>
      <x v="537"/>
    </i>
    <i r="1">
      <x v="552"/>
    </i>
    <i t="default">
      <x v="5044"/>
    </i>
    <i>
      <x v="5045"/>
      <x v="552"/>
    </i>
    <i t="default">
      <x v="5045"/>
    </i>
    <i>
      <x v="5046"/>
      <x v="552"/>
    </i>
    <i t="default">
      <x v="5046"/>
    </i>
    <i>
      <x v="5047"/>
      <x v="552"/>
    </i>
    <i t="default">
      <x v="5047"/>
    </i>
    <i>
      <x v="5048"/>
      <x v="552"/>
    </i>
    <i t="default">
      <x v="5048"/>
    </i>
    <i>
      <x v="5049"/>
      <x v="552"/>
    </i>
    <i t="default">
      <x v="5049"/>
    </i>
    <i>
      <x v="5050"/>
      <x v="552"/>
    </i>
    <i t="default">
      <x v="5050"/>
    </i>
    <i>
      <x v="5051"/>
      <x v="552"/>
    </i>
    <i t="default">
      <x v="5051"/>
    </i>
    <i>
      <x v="5052"/>
      <x v="552"/>
    </i>
    <i t="default">
      <x v="5052"/>
    </i>
    <i>
      <x v="5053"/>
      <x v="552"/>
    </i>
    <i t="default">
      <x v="5053"/>
    </i>
    <i>
      <x v="5054"/>
      <x v="552"/>
    </i>
    <i t="default">
      <x v="5054"/>
    </i>
    <i>
      <x v="5055"/>
      <x v="552"/>
    </i>
    <i t="default">
      <x v="5055"/>
    </i>
    <i>
      <x v="5056"/>
      <x v="552"/>
    </i>
    <i t="default">
      <x v="5056"/>
    </i>
    <i>
      <x v="5057"/>
      <x v="552"/>
    </i>
    <i t="default">
      <x v="5057"/>
    </i>
    <i>
      <x v="5058"/>
      <x v="135"/>
    </i>
    <i r="1">
      <x v="552"/>
    </i>
    <i t="default">
      <x v="5058"/>
    </i>
    <i>
      <x v="5059"/>
      <x v="552"/>
    </i>
    <i t="default">
      <x v="5059"/>
    </i>
    <i>
      <x v="5060"/>
      <x v="552"/>
    </i>
    <i t="default">
      <x v="5060"/>
    </i>
    <i>
      <x v="5061"/>
      <x v="307"/>
    </i>
    <i r="1">
      <x v="341"/>
    </i>
    <i r="1">
      <x v="552"/>
    </i>
    <i t="default">
      <x v="5061"/>
    </i>
    <i>
      <x v="5062"/>
      <x v="405"/>
    </i>
    <i r="1">
      <x v="454"/>
    </i>
    <i r="1">
      <x v="552"/>
    </i>
    <i t="default">
      <x v="5062"/>
    </i>
    <i>
      <x v="5063"/>
      <x v="552"/>
    </i>
    <i t="default">
      <x v="5063"/>
    </i>
    <i>
      <x v="5064"/>
      <x v="552"/>
    </i>
    <i t="default">
      <x v="5064"/>
    </i>
    <i>
      <x v="5065"/>
      <x v="552"/>
    </i>
    <i t="default">
      <x v="5065"/>
    </i>
    <i>
      <x v="5066"/>
      <x v="552"/>
    </i>
    <i t="default">
      <x v="5066"/>
    </i>
    <i>
      <x v="5067"/>
      <x v="552"/>
    </i>
    <i t="default">
      <x v="5067"/>
    </i>
    <i>
      <x v="5068"/>
      <x v="552"/>
    </i>
    <i t="default">
      <x v="5068"/>
    </i>
    <i>
      <x v="5069"/>
      <x v="552"/>
    </i>
    <i t="default">
      <x v="5069"/>
    </i>
    <i>
      <x v="5070"/>
      <x v="552"/>
    </i>
    <i t="default">
      <x v="5070"/>
    </i>
    <i>
      <x v="5071"/>
      <x v="552"/>
    </i>
    <i t="default">
      <x v="5071"/>
    </i>
    <i>
      <x v="5072"/>
      <x v="552"/>
    </i>
    <i t="default">
      <x v="5072"/>
    </i>
    <i>
      <x v="5073"/>
      <x v="552"/>
    </i>
    <i t="default">
      <x v="5073"/>
    </i>
    <i>
      <x v="5074"/>
      <x v="552"/>
    </i>
    <i t="default">
      <x v="5074"/>
    </i>
    <i>
      <x v="5075"/>
      <x v="325"/>
    </i>
    <i r="1">
      <x v="552"/>
    </i>
    <i t="default">
      <x v="5075"/>
    </i>
    <i>
      <x v="5076"/>
      <x v="552"/>
    </i>
    <i t="default">
      <x v="5076"/>
    </i>
    <i>
      <x v="5077"/>
      <x v="552"/>
    </i>
    <i t="default">
      <x v="5077"/>
    </i>
    <i>
      <x v="5078"/>
      <x v="552"/>
    </i>
    <i t="default">
      <x v="5078"/>
    </i>
    <i>
      <x v="5079"/>
      <x v="552"/>
    </i>
    <i t="default">
      <x v="5079"/>
    </i>
    <i>
      <x v="5080"/>
      <x v="552"/>
    </i>
    <i t="default">
      <x v="5080"/>
    </i>
    <i>
      <x v="5081"/>
      <x v="535"/>
    </i>
    <i t="default">
      <x v="5081"/>
    </i>
    <i>
      <x v="5082"/>
      <x v="552"/>
    </i>
    <i t="default">
      <x v="5082"/>
    </i>
    <i>
      <x v="5083"/>
      <x v="552"/>
    </i>
    <i t="default">
      <x v="5083"/>
    </i>
    <i>
      <x v="5084"/>
      <x v="430"/>
    </i>
    <i r="1">
      <x v="552"/>
    </i>
    <i t="default">
      <x v="5084"/>
    </i>
    <i>
      <x v="5085"/>
      <x v="524"/>
    </i>
    <i t="default">
      <x v="5085"/>
    </i>
    <i>
      <x v="5086"/>
      <x v="552"/>
    </i>
    <i t="default">
      <x v="5086"/>
    </i>
    <i>
      <x v="5087"/>
      <x v="552"/>
    </i>
    <i t="default">
      <x v="5087"/>
    </i>
    <i>
      <x v="5088"/>
      <x v="552"/>
    </i>
    <i t="default">
      <x v="5088"/>
    </i>
    <i>
      <x v="5089"/>
      <x v="552"/>
    </i>
    <i t="default">
      <x v="5089"/>
    </i>
    <i>
      <x v="5090"/>
      <x v="552"/>
    </i>
    <i t="default">
      <x v="5090"/>
    </i>
    <i>
      <x v="5091"/>
      <x v="252"/>
    </i>
    <i r="1">
      <x v="387"/>
    </i>
    <i t="default">
      <x v="5091"/>
    </i>
    <i>
      <x v="5092"/>
      <x v="552"/>
    </i>
    <i t="default">
      <x v="5092"/>
    </i>
    <i>
      <x v="5093"/>
      <x v="552"/>
    </i>
    <i t="default">
      <x v="5093"/>
    </i>
    <i>
      <x v="5094"/>
      <x v="552"/>
    </i>
    <i t="default">
      <x v="5094"/>
    </i>
    <i>
      <x v="5095"/>
      <x v="552"/>
    </i>
    <i t="default">
      <x v="5095"/>
    </i>
    <i>
      <x v="5096"/>
      <x v="552"/>
    </i>
    <i t="default">
      <x v="5096"/>
    </i>
    <i>
      <x v="5097"/>
      <x v="552"/>
    </i>
    <i t="default">
      <x v="5097"/>
    </i>
    <i>
      <x v="5098"/>
      <x v="552"/>
    </i>
    <i t="default">
      <x v="5098"/>
    </i>
    <i>
      <x v="5099"/>
      <x v="552"/>
    </i>
    <i t="default">
      <x v="5099"/>
    </i>
    <i>
      <x v="5100"/>
      <x v="552"/>
    </i>
    <i t="default">
      <x v="5100"/>
    </i>
    <i>
      <x v="5101"/>
      <x v="552"/>
    </i>
    <i t="default">
      <x v="5101"/>
    </i>
    <i>
      <x v="5102"/>
      <x v="552"/>
    </i>
    <i t="default">
      <x v="5102"/>
    </i>
    <i>
      <x v="5103"/>
      <x v="552"/>
    </i>
    <i t="default">
      <x v="5103"/>
    </i>
    <i>
      <x v="5104"/>
      <x v="552"/>
    </i>
    <i t="default">
      <x v="5104"/>
    </i>
    <i>
      <x v="5105"/>
      <x v="120"/>
    </i>
    <i r="1">
      <x v="552"/>
    </i>
    <i t="default">
      <x v="5105"/>
    </i>
    <i>
      <x v="5106"/>
      <x v="552"/>
    </i>
    <i t="default">
      <x v="5106"/>
    </i>
    <i>
      <x v="5107"/>
      <x v="552"/>
    </i>
    <i t="default">
      <x v="5107"/>
    </i>
    <i>
      <x v="5108"/>
      <x v="186"/>
    </i>
    <i r="1">
      <x v="552"/>
    </i>
    <i t="default">
      <x v="5108"/>
    </i>
    <i>
      <x v="5109"/>
      <x v="552"/>
    </i>
    <i t="default">
      <x v="5109"/>
    </i>
    <i>
      <x v="5110"/>
      <x v="552"/>
    </i>
    <i t="default">
      <x v="5110"/>
    </i>
    <i>
      <x v="5111"/>
      <x v="552"/>
    </i>
    <i t="default">
      <x v="5111"/>
    </i>
    <i>
      <x v="5112"/>
      <x v="552"/>
    </i>
    <i t="default">
      <x v="5112"/>
    </i>
    <i>
      <x v="5113"/>
      <x v="552"/>
    </i>
    <i t="default">
      <x v="5113"/>
    </i>
    <i>
      <x v="5114"/>
      <x v="552"/>
    </i>
    <i t="default">
      <x v="5114"/>
    </i>
    <i>
      <x v="5115"/>
      <x v="471"/>
    </i>
    <i r="1">
      <x v="552"/>
    </i>
    <i t="default">
      <x v="5115"/>
    </i>
    <i>
      <x v="5116"/>
      <x v="552"/>
    </i>
    <i t="default">
      <x v="5116"/>
    </i>
    <i>
      <x v="5117"/>
      <x v="552"/>
    </i>
    <i t="default">
      <x v="5117"/>
    </i>
    <i>
      <x v="5118"/>
      <x v="552"/>
    </i>
    <i t="default">
      <x v="5118"/>
    </i>
    <i>
      <x v="5119"/>
      <x v="552"/>
    </i>
    <i t="default">
      <x v="5119"/>
    </i>
    <i>
      <x v="5120"/>
      <x v="290"/>
    </i>
    <i r="1">
      <x v="552"/>
    </i>
    <i t="default">
      <x v="5120"/>
    </i>
    <i>
      <x v="5121"/>
      <x v="552"/>
    </i>
    <i t="default">
      <x v="5121"/>
    </i>
    <i>
      <x v="5122"/>
      <x v="163"/>
    </i>
    <i r="1">
      <x v="552"/>
    </i>
    <i t="default">
      <x v="5122"/>
    </i>
    <i>
      <x v="5123"/>
      <x v="318"/>
    </i>
    <i t="default">
      <x v="5123"/>
    </i>
    <i>
      <x v="5124"/>
      <x v="552"/>
    </i>
    <i t="default">
      <x v="5124"/>
    </i>
    <i>
      <x v="5125"/>
      <x v="552"/>
    </i>
    <i t="default">
      <x v="5125"/>
    </i>
    <i>
      <x v="5126"/>
      <x v="552"/>
    </i>
    <i t="default">
      <x v="5126"/>
    </i>
    <i>
      <x v="5127"/>
      <x v="552"/>
    </i>
    <i t="default">
      <x v="5127"/>
    </i>
    <i>
      <x v="5128"/>
      <x v="552"/>
    </i>
    <i t="default">
      <x v="5128"/>
    </i>
    <i>
      <x v="5129"/>
      <x v="552"/>
    </i>
    <i t="default">
      <x v="5129"/>
    </i>
    <i>
      <x v="5130"/>
      <x v="552"/>
    </i>
    <i t="default">
      <x v="5130"/>
    </i>
    <i>
      <x v="5131"/>
      <x v="552"/>
    </i>
    <i t="default">
      <x v="5131"/>
    </i>
    <i>
      <x v="5132"/>
      <x v="552"/>
    </i>
    <i t="default">
      <x v="5132"/>
    </i>
    <i>
      <x v="5133"/>
      <x v="552"/>
    </i>
    <i t="default">
      <x v="5133"/>
    </i>
    <i>
      <x v="5134"/>
      <x v="552"/>
    </i>
    <i t="default">
      <x v="5134"/>
    </i>
    <i>
      <x v="5135"/>
      <x v="363"/>
    </i>
    <i r="1">
      <x v="552"/>
    </i>
    <i t="default">
      <x v="5135"/>
    </i>
    <i>
      <x v="5136"/>
      <x v="552"/>
    </i>
    <i t="default">
      <x v="5136"/>
    </i>
    <i>
      <x v="5137"/>
      <x v="552"/>
    </i>
    <i t="default">
      <x v="5137"/>
    </i>
    <i>
      <x v="5138"/>
      <x v="552"/>
    </i>
    <i t="default">
      <x v="5138"/>
    </i>
    <i>
      <x v="5139"/>
      <x v="552"/>
    </i>
    <i t="default">
      <x v="5139"/>
    </i>
    <i>
      <x v="5140"/>
      <x v="552"/>
    </i>
    <i t="default">
      <x v="5140"/>
    </i>
    <i>
      <x v="5141"/>
      <x v="552"/>
    </i>
    <i t="default">
      <x v="5141"/>
    </i>
    <i>
      <x v="5142"/>
      <x v="552"/>
    </i>
    <i t="default">
      <x v="5142"/>
    </i>
    <i>
      <x v="5143"/>
      <x v="552"/>
    </i>
    <i t="default">
      <x v="5143"/>
    </i>
    <i>
      <x v="5144"/>
      <x v="552"/>
    </i>
    <i t="default">
      <x v="5144"/>
    </i>
    <i>
      <x v="5145"/>
      <x v="552"/>
    </i>
    <i t="default">
      <x v="5145"/>
    </i>
    <i>
      <x v="5146"/>
      <x v="552"/>
    </i>
    <i t="default">
      <x v="5146"/>
    </i>
    <i>
      <x v="5147"/>
      <x v="552"/>
    </i>
    <i t="default">
      <x v="5147"/>
    </i>
    <i>
      <x v="5148"/>
      <x v="552"/>
    </i>
    <i t="default">
      <x v="5148"/>
    </i>
    <i>
      <x v="5149"/>
      <x v="552"/>
    </i>
    <i t="default">
      <x v="5149"/>
    </i>
    <i>
      <x v="5150"/>
      <x v="552"/>
    </i>
    <i t="default">
      <x v="5150"/>
    </i>
    <i>
      <x v="5151"/>
      <x v="552"/>
    </i>
    <i t="default">
      <x v="5151"/>
    </i>
    <i>
      <x v="5152"/>
      <x v="552"/>
    </i>
    <i t="default">
      <x v="5152"/>
    </i>
    <i>
      <x v="5153"/>
      <x v="552"/>
    </i>
    <i t="default">
      <x v="5153"/>
    </i>
    <i>
      <x v="5154"/>
      <x v="552"/>
    </i>
    <i t="default">
      <x v="5154"/>
    </i>
    <i>
      <x v="5155"/>
      <x v="552"/>
    </i>
    <i t="default">
      <x v="5155"/>
    </i>
    <i>
      <x v="5156"/>
      <x v="552"/>
    </i>
    <i t="default">
      <x v="5156"/>
    </i>
    <i>
      <x v="5157"/>
      <x v="552"/>
    </i>
    <i t="default">
      <x v="5157"/>
    </i>
    <i>
      <x v="5158"/>
      <x v="552"/>
    </i>
    <i t="default">
      <x v="5158"/>
    </i>
    <i>
      <x v="5159"/>
      <x v="455"/>
    </i>
    <i r="1">
      <x v="552"/>
    </i>
    <i t="default">
      <x v="5159"/>
    </i>
    <i>
      <x v="5160"/>
      <x v="119"/>
    </i>
    <i t="default">
      <x v="5160"/>
    </i>
    <i>
      <x v="5161"/>
      <x v="552"/>
    </i>
    <i t="default">
      <x v="5161"/>
    </i>
    <i>
      <x v="5162"/>
      <x v="552"/>
    </i>
    <i t="default">
      <x v="5162"/>
    </i>
    <i>
      <x v="5163"/>
      <x v="552"/>
    </i>
    <i t="default">
      <x v="5163"/>
    </i>
    <i>
      <x v="5164"/>
      <x v="552"/>
    </i>
    <i t="default">
      <x v="5164"/>
    </i>
    <i>
      <x v="5165"/>
      <x v="552"/>
    </i>
    <i t="default">
      <x v="5165"/>
    </i>
    <i>
      <x v="5166"/>
      <x v="552"/>
    </i>
    <i t="default">
      <x v="5166"/>
    </i>
    <i>
      <x v="5167"/>
      <x v="552"/>
    </i>
    <i t="default">
      <x v="5167"/>
    </i>
    <i>
      <x v="5168"/>
      <x v="552"/>
    </i>
    <i t="default">
      <x v="5168"/>
    </i>
    <i>
      <x v="5169"/>
      <x v="552"/>
    </i>
    <i t="default">
      <x v="5169"/>
    </i>
    <i>
      <x v="5170"/>
      <x v="552"/>
    </i>
    <i t="default">
      <x v="5170"/>
    </i>
    <i>
      <x v="5171"/>
      <x v="552"/>
    </i>
    <i t="default">
      <x v="5171"/>
    </i>
    <i>
      <x v="5172"/>
      <x v="552"/>
    </i>
    <i t="default">
      <x v="5172"/>
    </i>
    <i>
      <x v="5173"/>
      <x v="552"/>
    </i>
    <i t="default">
      <x v="5173"/>
    </i>
    <i>
      <x v="5174"/>
      <x v="552"/>
    </i>
    <i t="default">
      <x v="5174"/>
    </i>
    <i>
      <x v="5175"/>
      <x v="552"/>
    </i>
    <i t="default">
      <x v="5175"/>
    </i>
    <i>
      <x v="5176"/>
      <x v="552"/>
    </i>
    <i t="default">
      <x v="5176"/>
    </i>
    <i>
      <x v="5177"/>
      <x v="552"/>
    </i>
    <i t="default">
      <x v="5177"/>
    </i>
    <i>
      <x v="5178"/>
      <x v="552"/>
    </i>
    <i t="default">
      <x v="5178"/>
    </i>
    <i>
      <x v="5179"/>
      <x v="552"/>
    </i>
    <i t="default">
      <x v="5179"/>
    </i>
    <i>
      <x v="5180"/>
      <x v="552"/>
    </i>
    <i t="default">
      <x v="5180"/>
    </i>
    <i>
      <x v="5181"/>
      <x v="167"/>
    </i>
    <i t="default">
      <x v="5181"/>
    </i>
    <i>
      <x v="5182"/>
      <x v="552"/>
    </i>
    <i t="default">
      <x v="5182"/>
    </i>
    <i>
      <x v="5183"/>
      <x v="276"/>
    </i>
    <i t="default">
      <x v="5183"/>
    </i>
    <i>
      <x v="5184"/>
      <x v="552"/>
    </i>
    <i t="default">
      <x v="5184"/>
    </i>
    <i>
      <x v="5185"/>
      <x v="552"/>
    </i>
    <i t="default">
      <x v="5185"/>
    </i>
    <i>
      <x v="5186"/>
      <x v="552"/>
    </i>
    <i t="default">
      <x v="5186"/>
    </i>
    <i>
      <x v="5187"/>
      <x v="552"/>
    </i>
    <i t="default">
      <x v="5187"/>
    </i>
    <i>
      <x v="5188"/>
      <x v="552"/>
    </i>
    <i t="default">
      <x v="5188"/>
    </i>
    <i>
      <x v="5189"/>
      <x v="545"/>
    </i>
    <i t="default">
      <x v="5189"/>
    </i>
    <i>
      <x v="5190"/>
      <x v="552"/>
    </i>
    <i t="default">
      <x v="5190"/>
    </i>
    <i>
      <x v="5191"/>
      <x v="552"/>
    </i>
    <i t="default">
      <x v="5191"/>
    </i>
    <i>
      <x v="5192"/>
      <x v="552"/>
    </i>
    <i t="default">
      <x v="5192"/>
    </i>
    <i>
      <x v="5193"/>
      <x v="552"/>
    </i>
    <i t="default">
      <x v="5193"/>
    </i>
    <i>
      <x v="5194"/>
      <x v="552"/>
    </i>
    <i t="default">
      <x v="5194"/>
    </i>
    <i>
      <x v="5195"/>
      <x v="552"/>
    </i>
    <i t="default">
      <x v="5195"/>
    </i>
    <i>
      <x v="5196"/>
      <x v="552"/>
    </i>
    <i t="default">
      <x v="5196"/>
    </i>
    <i>
      <x v="5197"/>
      <x v="552"/>
    </i>
    <i t="default">
      <x v="5197"/>
    </i>
    <i>
      <x v="5198"/>
      <x v="552"/>
    </i>
    <i t="default">
      <x v="5198"/>
    </i>
    <i>
      <x v="5199"/>
      <x v="552"/>
    </i>
    <i t="default">
      <x v="5199"/>
    </i>
    <i>
      <x v="5200"/>
      <x v="552"/>
    </i>
    <i t="default">
      <x v="5200"/>
    </i>
    <i>
      <x v="5201"/>
      <x v="391"/>
    </i>
    <i r="1">
      <x v="552"/>
    </i>
    <i t="default">
      <x v="5201"/>
    </i>
    <i>
      <x v="5202"/>
      <x v="552"/>
    </i>
    <i t="default">
      <x v="5202"/>
    </i>
    <i>
      <x v="5203"/>
      <x v="552"/>
    </i>
    <i t="default">
      <x v="5203"/>
    </i>
    <i>
      <x v="5204"/>
      <x v="552"/>
    </i>
    <i t="default">
      <x v="5204"/>
    </i>
    <i>
      <x v="5205"/>
      <x v="552"/>
    </i>
    <i t="default">
      <x v="5205"/>
    </i>
    <i>
      <x v="5206"/>
      <x v="552"/>
    </i>
    <i t="default">
      <x v="5206"/>
    </i>
    <i>
      <x v="5207"/>
      <x v="552"/>
    </i>
    <i t="default">
      <x v="5207"/>
    </i>
    <i>
      <x v="5208"/>
      <x v="552"/>
    </i>
    <i t="default">
      <x v="5208"/>
    </i>
    <i>
      <x v="5209"/>
      <x v="552"/>
    </i>
    <i t="default">
      <x v="5209"/>
    </i>
    <i>
      <x v="5210"/>
      <x v="552"/>
    </i>
    <i t="default">
      <x v="5210"/>
    </i>
    <i>
      <x v="5211"/>
      <x v="512"/>
    </i>
    <i r="1">
      <x v="552"/>
    </i>
    <i t="default">
      <x v="5211"/>
    </i>
    <i>
      <x v="5212"/>
      <x v="552"/>
    </i>
    <i t="default">
      <x v="5212"/>
    </i>
    <i>
      <x v="5213"/>
      <x v="217"/>
    </i>
    <i t="default">
      <x v="5213"/>
    </i>
    <i>
      <x v="5214"/>
      <x v="216"/>
    </i>
    <i t="default">
      <x v="5214"/>
    </i>
    <i>
      <x v="5215"/>
      <x v="552"/>
    </i>
    <i t="default">
      <x v="5215"/>
    </i>
    <i>
      <x v="5216"/>
      <x v="552"/>
    </i>
    <i t="default">
      <x v="5216"/>
    </i>
    <i>
      <x v="5217"/>
      <x v="552"/>
    </i>
    <i t="default">
      <x v="5217"/>
    </i>
    <i>
      <x v="5218"/>
      <x v="552"/>
    </i>
    <i t="default">
      <x v="5218"/>
    </i>
    <i>
      <x v="5219"/>
      <x v="552"/>
    </i>
    <i t="default">
      <x v="5219"/>
    </i>
    <i>
      <x v="5220"/>
      <x v="552"/>
    </i>
    <i t="default">
      <x v="5220"/>
    </i>
    <i>
      <x v="5221"/>
      <x v="552"/>
    </i>
    <i t="default">
      <x v="5221"/>
    </i>
    <i>
      <x v="5222"/>
      <x v="552"/>
    </i>
    <i t="default">
      <x v="5222"/>
    </i>
    <i>
      <x v="5223"/>
      <x v="552"/>
    </i>
    <i t="default">
      <x v="5223"/>
    </i>
    <i>
      <x v="5224"/>
      <x v="552"/>
    </i>
    <i t="default">
      <x v="5224"/>
    </i>
    <i>
      <x v="5225"/>
      <x v="552"/>
    </i>
    <i t="default">
      <x v="5225"/>
    </i>
    <i>
      <x v="5226"/>
      <x v="552"/>
    </i>
    <i t="default">
      <x v="5226"/>
    </i>
    <i>
      <x v="5227"/>
      <x v="552"/>
    </i>
    <i t="default">
      <x v="5227"/>
    </i>
    <i>
      <x v="5228"/>
      <x v="552"/>
    </i>
    <i t="default">
      <x v="5228"/>
    </i>
    <i>
      <x v="5229"/>
      <x v="552"/>
    </i>
    <i t="default">
      <x v="5229"/>
    </i>
    <i>
      <x v="5230"/>
      <x v="552"/>
    </i>
    <i t="default">
      <x v="5230"/>
    </i>
    <i>
      <x v="5231"/>
      <x v="552"/>
    </i>
    <i t="default">
      <x v="5231"/>
    </i>
    <i>
      <x v="5232"/>
      <x v="552"/>
    </i>
    <i t="default">
      <x v="5232"/>
    </i>
    <i>
      <x v="5233"/>
      <x v="137"/>
    </i>
    <i r="1">
      <x v="552"/>
    </i>
    <i t="default">
      <x v="5233"/>
    </i>
    <i>
      <x v="5234"/>
      <x v="552"/>
    </i>
    <i t="default">
      <x v="5234"/>
    </i>
    <i>
      <x v="5235"/>
      <x v="552"/>
    </i>
    <i t="default">
      <x v="5235"/>
    </i>
    <i>
      <x v="5236"/>
      <x v="552"/>
    </i>
    <i t="default">
      <x v="5236"/>
    </i>
    <i>
      <x v="5237"/>
      <x v="552"/>
    </i>
    <i t="default">
      <x v="5237"/>
    </i>
    <i>
      <x v="5238"/>
      <x v="552"/>
    </i>
    <i t="default">
      <x v="5238"/>
    </i>
    <i>
      <x v="5239"/>
      <x v="468"/>
    </i>
    <i t="default">
      <x v="5239"/>
    </i>
    <i>
      <x v="5240"/>
      <x v="552"/>
    </i>
    <i t="default">
      <x v="5240"/>
    </i>
    <i>
      <x v="5241"/>
      <x v="56"/>
    </i>
    <i t="default">
      <x v="5241"/>
    </i>
    <i>
      <x v="5242"/>
      <x v="552"/>
    </i>
    <i t="default">
      <x v="5242"/>
    </i>
    <i>
      <x v="5243"/>
      <x v="552"/>
    </i>
    <i t="default">
      <x v="5243"/>
    </i>
    <i>
      <x v="5244"/>
      <x v="552"/>
    </i>
    <i t="default">
      <x v="5244"/>
    </i>
    <i>
      <x v="5245"/>
      <x v="552"/>
    </i>
    <i t="default">
      <x v="5245"/>
    </i>
    <i>
      <x v="5246"/>
      <x v="552"/>
    </i>
    <i t="default">
      <x v="5246"/>
    </i>
    <i>
      <x v="5247"/>
      <x v="552"/>
    </i>
    <i t="default">
      <x v="5247"/>
    </i>
    <i>
      <x v="5248"/>
      <x v="552"/>
    </i>
    <i t="default">
      <x v="5248"/>
    </i>
    <i>
      <x v="5249"/>
      <x v="552"/>
    </i>
    <i t="default">
      <x v="5249"/>
    </i>
    <i>
      <x v="5250"/>
      <x v="552"/>
    </i>
    <i t="default">
      <x v="5250"/>
    </i>
    <i>
      <x v="5251"/>
      <x v="552"/>
    </i>
    <i t="default">
      <x v="5251"/>
    </i>
    <i>
      <x v="5252"/>
      <x v="552"/>
    </i>
    <i t="default">
      <x v="5252"/>
    </i>
    <i>
      <x v="5253"/>
      <x v="552"/>
    </i>
    <i t="default">
      <x v="5253"/>
    </i>
    <i>
      <x v="5254"/>
      <x v="552"/>
    </i>
    <i t="default">
      <x v="5254"/>
    </i>
    <i>
      <x v="5255"/>
      <x v="552"/>
    </i>
    <i t="default">
      <x v="5255"/>
    </i>
    <i>
      <x v="5256"/>
      <x v="552"/>
    </i>
    <i t="default">
      <x v="5256"/>
    </i>
    <i>
      <x v="5257"/>
      <x v="552"/>
    </i>
    <i t="default">
      <x v="5257"/>
    </i>
    <i>
      <x v="5258"/>
      <x v="552"/>
    </i>
    <i t="default">
      <x v="5258"/>
    </i>
    <i>
      <x v="5259"/>
      <x v="552"/>
    </i>
    <i t="default">
      <x v="5259"/>
    </i>
    <i>
      <x v="5260"/>
      <x v="552"/>
    </i>
    <i t="default">
      <x v="5260"/>
    </i>
    <i>
      <x v="5261"/>
      <x v="552"/>
    </i>
    <i t="default">
      <x v="5261"/>
    </i>
    <i>
      <x v="5262"/>
      <x v="552"/>
    </i>
    <i t="default">
      <x v="5262"/>
    </i>
    <i>
      <x v="5263"/>
      <x v="552"/>
    </i>
    <i t="default">
      <x v="5263"/>
    </i>
    <i>
      <x v="5264"/>
      <x v="552"/>
    </i>
    <i t="default">
      <x v="5264"/>
    </i>
    <i>
      <x v="5265"/>
      <x v="552"/>
    </i>
    <i t="default">
      <x v="5265"/>
    </i>
    <i>
      <x v="5266"/>
      <x v="187"/>
    </i>
    <i r="1">
      <x v="552"/>
    </i>
    <i t="default">
      <x v="5266"/>
    </i>
    <i>
      <x v="5267"/>
      <x v="552"/>
    </i>
    <i t="default">
      <x v="5267"/>
    </i>
    <i>
      <x v="5268"/>
      <x v="552"/>
    </i>
    <i t="default">
      <x v="5268"/>
    </i>
    <i>
      <x v="5269"/>
      <x v="552"/>
    </i>
    <i t="default">
      <x v="5269"/>
    </i>
    <i>
      <x v="5270"/>
      <x v="552"/>
    </i>
    <i t="default">
      <x v="5270"/>
    </i>
    <i>
      <x v="5271"/>
      <x v="552"/>
    </i>
    <i t="default">
      <x v="5271"/>
    </i>
    <i>
      <x v="5272"/>
      <x v="552"/>
    </i>
    <i t="default">
      <x v="5272"/>
    </i>
    <i>
      <x v="5273"/>
      <x v="552"/>
    </i>
    <i t="default">
      <x v="5273"/>
    </i>
    <i>
      <x v="5274"/>
      <x v="552"/>
    </i>
    <i t="default">
      <x v="5274"/>
    </i>
    <i>
      <x v="5275"/>
      <x v="552"/>
    </i>
    <i t="default">
      <x v="5275"/>
    </i>
    <i>
      <x v="5276"/>
      <x v="552"/>
    </i>
    <i t="default">
      <x v="5276"/>
    </i>
    <i>
      <x v="5277"/>
      <x v="552"/>
    </i>
    <i t="default">
      <x v="5277"/>
    </i>
    <i>
      <x v="5278"/>
      <x v="552"/>
    </i>
    <i t="default">
      <x v="5278"/>
    </i>
    <i>
      <x v="5279"/>
      <x v="552"/>
    </i>
    <i t="default">
      <x v="5279"/>
    </i>
    <i>
      <x v="5280"/>
      <x v="552"/>
    </i>
    <i t="default">
      <x v="5280"/>
    </i>
    <i>
      <x v="5281"/>
      <x v="552"/>
    </i>
    <i t="default">
      <x v="5281"/>
    </i>
    <i>
      <x v="5282"/>
      <x v="552"/>
    </i>
    <i t="default">
      <x v="5282"/>
    </i>
    <i>
      <x v="5283"/>
      <x v="552"/>
    </i>
    <i t="default">
      <x v="5283"/>
    </i>
    <i>
      <x v="5284"/>
      <x v="552"/>
    </i>
    <i t="default">
      <x v="5284"/>
    </i>
    <i>
      <x v="5285"/>
      <x v="552"/>
    </i>
    <i t="default">
      <x v="5285"/>
    </i>
    <i>
      <x v="5286"/>
      <x v="552"/>
    </i>
    <i t="default">
      <x v="5286"/>
    </i>
    <i>
      <x v="5287"/>
      <x v="285"/>
    </i>
    <i r="1">
      <x v="552"/>
    </i>
    <i t="default">
      <x v="5287"/>
    </i>
    <i>
      <x v="5288"/>
      <x v="552"/>
    </i>
    <i t="default">
      <x v="5288"/>
    </i>
    <i>
      <x v="5289"/>
      <x v="552"/>
    </i>
    <i t="default">
      <x v="5289"/>
    </i>
    <i>
      <x v="5290"/>
      <x v="552"/>
    </i>
    <i t="default">
      <x v="5290"/>
    </i>
    <i>
      <x v="5291"/>
      <x v="144"/>
    </i>
    <i r="1">
      <x v="472"/>
    </i>
    <i r="1">
      <x v="552"/>
    </i>
    <i t="default">
      <x v="5291"/>
    </i>
    <i>
      <x v="5292"/>
      <x v="552"/>
    </i>
    <i t="default">
      <x v="5292"/>
    </i>
    <i>
      <x v="5293"/>
      <x v="552"/>
    </i>
    <i t="default">
      <x v="5293"/>
    </i>
    <i>
      <x v="5294"/>
      <x v="552"/>
    </i>
    <i t="default">
      <x v="5294"/>
    </i>
    <i>
      <x v="5295"/>
      <x v="514"/>
    </i>
    <i r="1">
      <x v="552"/>
    </i>
    <i t="default">
      <x v="5295"/>
    </i>
    <i>
      <x v="5296"/>
      <x v="552"/>
    </i>
    <i t="default">
      <x v="5296"/>
    </i>
    <i>
      <x v="5297"/>
      <x v="552"/>
    </i>
    <i t="default">
      <x v="5297"/>
    </i>
    <i>
      <x v="5298"/>
      <x v="367"/>
    </i>
    <i r="1">
      <x v="552"/>
    </i>
    <i t="default">
      <x v="5298"/>
    </i>
    <i>
      <x v="5299"/>
      <x v="298"/>
    </i>
    <i r="1">
      <x v="552"/>
    </i>
    <i t="default">
      <x v="5299"/>
    </i>
    <i>
      <x v="5300"/>
      <x v="552"/>
    </i>
    <i t="default">
      <x v="5300"/>
    </i>
    <i>
      <x v="5301"/>
      <x v="552"/>
    </i>
    <i t="default">
      <x v="5301"/>
    </i>
    <i>
      <x v="5302"/>
      <x v="44"/>
    </i>
    <i r="1">
      <x v="552"/>
    </i>
    <i t="default">
      <x v="5302"/>
    </i>
    <i>
      <x v="5303"/>
      <x v="552"/>
    </i>
    <i t="default">
      <x v="5303"/>
    </i>
    <i>
      <x v="5304"/>
      <x v="552"/>
    </i>
    <i t="default">
      <x v="5304"/>
    </i>
    <i>
      <x v="5305"/>
      <x v="552"/>
    </i>
    <i t="default">
      <x v="5305"/>
    </i>
    <i>
      <x v="5306"/>
      <x v="552"/>
    </i>
    <i t="default">
      <x v="5306"/>
    </i>
    <i>
      <x v="5307"/>
      <x v="552"/>
    </i>
    <i t="default">
      <x v="5307"/>
    </i>
    <i>
      <x v="5308"/>
      <x v="552"/>
    </i>
    <i t="default">
      <x v="5308"/>
    </i>
    <i>
      <x v="5309"/>
      <x v="552"/>
    </i>
    <i t="default">
      <x v="5309"/>
    </i>
    <i>
      <x v="5310"/>
      <x v="419"/>
    </i>
    <i t="default">
      <x v="5310"/>
    </i>
    <i>
      <x v="5311"/>
      <x v="476"/>
    </i>
    <i r="1">
      <x v="509"/>
    </i>
    <i r="1">
      <x v="552"/>
    </i>
    <i t="default">
      <x v="5311"/>
    </i>
    <i>
      <x v="5312"/>
      <x v="552"/>
    </i>
    <i t="default">
      <x v="5312"/>
    </i>
    <i>
      <x v="5313"/>
      <x v="552"/>
    </i>
    <i t="default">
      <x v="5313"/>
    </i>
    <i>
      <x v="5314"/>
      <x v="552"/>
    </i>
    <i t="default">
      <x v="5314"/>
    </i>
    <i>
      <x v="5315"/>
      <x v="552"/>
    </i>
    <i t="default">
      <x v="5315"/>
    </i>
    <i>
      <x v="5316"/>
      <x v="552"/>
    </i>
    <i t="default">
      <x v="5316"/>
    </i>
    <i>
      <x v="5317"/>
      <x v="552"/>
    </i>
    <i t="default">
      <x v="5317"/>
    </i>
    <i>
      <x v="5318"/>
      <x v="552"/>
    </i>
    <i t="default">
      <x v="5318"/>
    </i>
    <i>
      <x v="5319"/>
      <x v="552"/>
    </i>
    <i t="default">
      <x v="5319"/>
    </i>
    <i>
      <x v="5320"/>
      <x v="552"/>
    </i>
    <i t="default">
      <x v="5320"/>
    </i>
    <i>
      <x v="5321"/>
      <x v="552"/>
    </i>
    <i t="default">
      <x v="5321"/>
    </i>
    <i>
      <x v="5322"/>
      <x v="552"/>
    </i>
    <i t="default">
      <x v="5322"/>
    </i>
    <i>
      <x v="5323"/>
      <x v="552"/>
    </i>
    <i t="default">
      <x v="5323"/>
    </i>
    <i>
      <x v="5324"/>
      <x v="552"/>
    </i>
    <i t="default">
      <x v="5324"/>
    </i>
    <i>
      <x v="5325"/>
      <x v="552"/>
    </i>
    <i t="default">
      <x v="5325"/>
    </i>
    <i>
      <x v="5326"/>
      <x v="552"/>
    </i>
    <i t="default">
      <x v="5326"/>
    </i>
    <i>
      <x v="5327"/>
      <x v="552"/>
    </i>
    <i t="default">
      <x v="5327"/>
    </i>
    <i>
      <x v="5328"/>
      <x v="552"/>
    </i>
    <i t="default">
      <x v="5328"/>
    </i>
    <i>
      <x v="5329"/>
      <x v="552"/>
    </i>
    <i t="default">
      <x v="5329"/>
    </i>
    <i>
      <x v="5330"/>
      <x v="552"/>
    </i>
    <i t="default">
      <x v="5330"/>
    </i>
    <i>
      <x v="5331"/>
      <x v="552"/>
    </i>
    <i t="default">
      <x v="5331"/>
    </i>
    <i>
      <x v="5332"/>
      <x v="552"/>
    </i>
    <i t="default">
      <x v="5332"/>
    </i>
    <i>
      <x v="5333"/>
      <x v="552"/>
    </i>
    <i t="default">
      <x v="5333"/>
    </i>
    <i>
      <x v="5334"/>
      <x v="552"/>
    </i>
    <i t="default">
      <x v="5334"/>
    </i>
    <i>
      <x v="5335"/>
      <x v="552"/>
    </i>
    <i t="default">
      <x v="5335"/>
    </i>
    <i>
      <x v="5336"/>
      <x v="552"/>
    </i>
    <i t="default">
      <x v="5336"/>
    </i>
    <i>
      <x v="5337"/>
      <x v="314"/>
    </i>
    <i t="default">
      <x v="5337"/>
    </i>
    <i>
      <x v="5338"/>
      <x v="552"/>
    </i>
    <i t="default">
      <x v="5338"/>
    </i>
    <i>
      <x v="5339"/>
      <x v="552"/>
    </i>
    <i t="default">
      <x v="5339"/>
    </i>
    <i>
      <x v="5340"/>
      <x v="552"/>
    </i>
    <i t="default">
      <x v="5340"/>
    </i>
    <i>
      <x v="5341"/>
      <x v="552"/>
    </i>
    <i t="default">
      <x v="5341"/>
    </i>
    <i>
      <x v="5342"/>
      <x v="552"/>
    </i>
    <i t="default">
      <x v="5342"/>
    </i>
    <i>
      <x v="5343"/>
      <x v="552"/>
    </i>
    <i t="default">
      <x v="5343"/>
    </i>
    <i>
      <x v="5344"/>
      <x v="43"/>
    </i>
    <i t="default">
      <x v="5344"/>
    </i>
    <i>
      <x v="5345"/>
      <x v="552"/>
    </i>
    <i t="default">
      <x v="5345"/>
    </i>
    <i>
      <x v="5346"/>
      <x v="143"/>
    </i>
    <i r="1">
      <x v="552"/>
    </i>
    <i t="default">
      <x v="5346"/>
    </i>
    <i>
      <x v="5347"/>
      <x v="552"/>
    </i>
    <i t="default">
      <x v="5347"/>
    </i>
    <i>
      <x v="5348"/>
      <x v="552"/>
    </i>
    <i t="default">
      <x v="5348"/>
    </i>
    <i>
      <x v="5349"/>
      <x v="552"/>
    </i>
    <i t="default">
      <x v="5349"/>
    </i>
    <i>
      <x v="5350"/>
      <x v="552"/>
    </i>
    <i t="default">
      <x v="5350"/>
    </i>
    <i>
      <x v="5351"/>
      <x v="552"/>
    </i>
    <i t="default">
      <x v="5351"/>
    </i>
    <i>
      <x v="5352"/>
      <x v="552"/>
    </i>
    <i t="default">
      <x v="5352"/>
    </i>
    <i>
      <x v="5353"/>
      <x v="552"/>
    </i>
    <i t="default">
      <x v="5353"/>
    </i>
    <i>
      <x v="5354"/>
      <x v="552"/>
    </i>
    <i t="default">
      <x v="5354"/>
    </i>
    <i>
      <x v="5355"/>
      <x v="552"/>
    </i>
    <i t="default">
      <x v="5355"/>
    </i>
    <i>
      <x v="5356"/>
      <x v="552"/>
    </i>
    <i t="default">
      <x v="5356"/>
    </i>
    <i>
      <x v="5357"/>
      <x v="408"/>
    </i>
    <i r="1">
      <x v="552"/>
    </i>
    <i t="default">
      <x v="5357"/>
    </i>
    <i>
      <x v="5358"/>
      <x v="552"/>
    </i>
    <i t="default">
      <x v="5358"/>
    </i>
    <i>
      <x v="5359"/>
      <x v="552"/>
    </i>
    <i t="default">
      <x v="5359"/>
    </i>
    <i>
      <x v="5360"/>
      <x v="552"/>
    </i>
    <i t="default">
      <x v="5360"/>
    </i>
    <i>
      <x v="5361"/>
      <x v="552"/>
    </i>
    <i t="default">
      <x v="5361"/>
    </i>
    <i>
      <x v="5362"/>
      <x v="552"/>
    </i>
    <i t="default">
      <x v="5362"/>
    </i>
    <i>
      <x v="5363"/>
      <x v="552"/>
    </i>
    <i t="default">
      <x v="5363"/>
    </i>
    <i>
      <x v="5364"/>
      <x v="552"/>
    </i>
    <i t="default">
      <x v="5364"/>
    </i>
    <i>
      <x v="5365"/>
      <x v="552"/>
    </i>
    <i t="default">
      <x v="5365"/>
    </i>
    <i>
      <x v="5366"/>
      <x v="552"/>
    </i>
    <i t="default">
      <x v="5366"/>
    </i>
    <i>
      <x v="5367"/>
      <x v="552"/>
    </i>
    <i t="default">
      <x v="5367"/>
    </i>
    <i>
      <x v="5368"/>
      <x v="552"/>
    </i>
    <i t="default">
      <x v="5368"/>
    </i>
    <i>
      <x v="5369"/>
      <x v="552"/>
    </i>
    <i t="default">
      <x v="5369"/>
    </i>
    <i>
      <x v="5370"/>
      <x v="178"/>
    </i>
    <i r="1">
      <x v="552"/>
    </i>
    <i t="default">
      <x v="5370"/>
    </i>
    <i>
      <x v="5371"/>
      <x v="552"/>
    </i>
    <i t="default">
      <x v="5371"/>
    </i>
    <i>
      <x v="5372"/>
      <x v="85"/>
    </i>
    <i t="default">
      <x v="5372"/>
    </i>
    <i>
      <x v="5373"/>
      <x v="63"/>
    </i>
    <i r="1">
      <x v="552"/>
    </i>
    <i t="default">
      <x v="5373"/>
    </i>
    <i>
      <x v="5374"/>
      <x/>
    </i>
    <i r="1">
      <x v="552"/>
    </i>
    <i t="default">
      <x v="5374"/>
    </i>
    <i>
      <x v="5375"/>
      <x v="7"/>
    </i>
    <i t="default">
      <x v="5375"/>
    </i>
    <i>
      <x v="5376"/>
      <x v="552"/>
    </i>
    <i t="default">
      <x v="5376"/>
    </i>
    <i>
      <x v="5377"/>
      <x v="552"/>
    </i>
    <i t="default">
      <x v="5377"/>
    </i>
    <i>
      <x v="5378"/>
      <x v="366"/>
    </i>
    <i r="1">
      <x v="552"/>
    </i>
    <i t="default">
      <x v="5378"/>
    </i>
    <i>
      <x v="5379"/>
      <x v="552"/>
    </i>
    <i t="default">
      <x v="5379"/>
    </i>
    <i>
      <x v="5380"/>
      <x v="552"/>
    </i>
    <i t="default">
      <x v="5380"/>
    </i>
    <i>
      <x v="5381"/>
      <x v="552"/>
    </i>
    <i t="default">
      <x v="5381"/>
    </i>
    <i>
      <x v="5382"/>
      <x v="552"/>
    </i>
    <i t="default">
      <x v="5382"/>
    </i>
    <i>
      <x v="5383"/>
      <x v="552"/>
    </i>
    <i t="default">
      <x v="5383"/>
    </i>
    <i>
      <x v="5384"/>
      <x v="552"/>
    </i>
    <i t="default">
      <x v="5384"/>
    </i>
    <i>
      <x v="5385"/>
      <x v="552"/>
    </i>
    <i t="default">
      <x v="5385"/>
    </i>
    <i>
      <x v="5386"/>
      <x v="552"/>
    </i>
    <i t="default">
      <x v="5386"/>
    </i>
    <i>
      <x v="5387"/>
      <x v="552"/>
    </i>
    <i t="default">
      <x v="5387"/>
    </i>
    <i>
      <x v="5388"/>
      <x v="552"/>
    </i>
    <i t="default">
      <x v="5388"/>
    </i>
    <i>
      <x v="5389"/>
      <x v="552"/>
    </i>
    <i t="default">
      <x v="5389"/>
    </i>
    <i>
      <x v="5390"/>
      <x v="297"/>
    </i>
    <i t="default">
      <x v="5390"/>
    </i>
    <i>
      <x v="5391"/>
      <x v="374"/>
    </i>
    <i r="1">
      <x v="552"/>
    </i>
    <i t="default">
      <x v="5391"/>
    </i>
    <i>
      <x v="5392"/>
      <x v="552"/>
    </i>
    <i t="default">
      <x v="5392"/>
    </i>
    <i>
      <x v="5393"/>
      <x v="552"/>
    </i>
    <i t="default">
      <x v="5393"/>
    </i>
    <i>
      <x v="5394"/>
      <x v="552"/>
    </i>
    <i t="default">
      <x v="5394"/>
    </i>
    <i>
      <x v="5395"/>
      <x v="552"/>
    </i>
    <i t="default">
      <x v="5395"/>
    </i>
    <i>
      <x v="5396"/>
      <x v="552"/>
    </i>
    <i t="default">
      <x v="5396"/>
    </i>
    <i>
      <x v="5397"/>
      <x v="552"/>
    </i>
    <i t="default">
      <x v="5397"/>
    </i>
    <i>
      <x v="5398"/>
      <x v="552"/>
    </i>
    <i t="default">
      <x v="5398"/>
    </i>
    <i>
      <x v="5399"/>
      <x v="552"/>
    </i>
    <i t="default">
      <x v="5399"/>
    </i>
    <i>
      <x v="5400"/>
      <x v="343"/>
    </i>
    <i r="1">
      <x v="552"/>
    </i>
    <i t="default">
      <x v="5400"/>
    </i>
    <i>
      <x v="5401"/>
      <x v="17"/>
    </i>
    <i r="1">
      <x v="552"/>
    </i>
    <i t="default">
      <x v="5401"/>
    </i>
    <i>
      <x v="5402"/>
      <x v="333"/>
    </i>
    <i r="1">
      <x v="552"/>
    </i>
    <i t="default">
      <x v="5402"/>
    </i>
    <i>
      <x v="5403"/>
      <x v="552"/>
    </i>
    <i t="default">
      <x v="5403"/>
    </i>
    <i>
      <x v="5404"/>
      <x v="398"/>
    </i>
    <i r="1">
      <x v="552"/>
    </i>
    <i t="default">
      <x v="5404"/>
    </i>
    <i>
      <x v="5405"/>
      <x v="338"/>
    </i>
    <i r="1">
      <x v="552"/>
    </i>
    <i t="default">
      <x v="5405"/>
    </i>
    <i>
      <x v="5406"/>
      <x v="552"/>
    </i>
    <i t="default">
      <x v="5406"/>
    </i>
    <i>
      <x v="5407"/>
      <x v="552"/>
    </i>
    <i t="default">
      <x v="5407"/>
    </i>
    <i>
      <x v="5408"/>
      <x v="552"/>
    </i>
    <i t="default">
      <x v="5408"/>
    </i>
    <i>
      <x v="5409"/>
      <x v="388"/>
    </i>
    <i r="1">
      <x v="552"/>
    </i>
    <i t="default">
      <x v="5409"/>
    </i>
    <i>
      <x v="5410"/>
      <x v="552"/>
    </i>
    <i t="default">
      <x v="5410"/>
    </i>
    <i>
      <x v="5411"/>
      <x v="552"/>
    </i>
    <i t="default">
      <x v="5411"/>
    </i>
    <i>
      <x v="5412"/>
      <x v="552"/>
    </i>
    <i t="default">
      <x v="5412"/>
    </i>
    <i>
      <x v="5413"/>
      <x v="552"/>
    </i>
    <i t="default">
      <x v="5413"/>
    </i>
    <i>
      <x v="5414"/>
      <x v="552"/>
    </i>
    <i t="default">
      <x v="5414"/>
    </i>
    <i>
      <x v="5415"/>
      <x v="552"/>
    </i>
    <i t="default">
      <x v="5415"/>
    </i>
    <i>
      <x v="5416"/>
      <x v="552"/>
    </i>
    <i t="default">
      <x v="5416"/>
    </i>
    <i>
      <x v="5417"/>
      <x v="552"/>
    </i>
    <i t="default">
      <x v="5417"/>
    </i>
    <i>
      <x v="5418"/>
      <x v="552"/>
    </i>
    <i t="default">
      <x v="5418"/>
    </i>
    <i>
      <x v="5419"/>
      <x v="552"/>
    </i>
    <i t="default">
      <x v="5419"/>
    </i>
    <i>
      <x v="5420"/>
      <x v="552"/>
    </i>
    <i t="default">
      <x v="5420"/>
    </i>
    <i>
      <x v="5421"/>
      <x v="552"/>
    </i>
    <i t="default">
      <x v="5421"/>
    </i>
    <i>
      <x v="5422"/>
      <x v="552"/>
    </i>
    <i t="default">
      <x v="5422"/>
    </i>
    <i>
      <x v="5423"/>
      <x v="552"/>
    </i>
    <i t="default">
      <x v="5423"/>
    </i>
    <i>
      <x v="5424"/>
      <x v="552"/>
    </i>
    <i t="default">
      <x v="5424"/>
    </i>
    <i>
      <x v="5425"/>
      <x v="552"/>
    </i>
    <i t="default">
      <x v="5425"/>
    </i>
    <i>
      <x v="5426"/>
      <x v="552"/>
    </i>
    <i t="default">
      <x v="5426"/>
    </i>
    <i>
      <x v="5427"/>
      <x v="552"/>
    </i>
    <i t="default">
      <x v="5427"/>
    </i>
    <i>
      <x v="5428"/>
      <x v="552"/>
    </i>
    <i t="default">
      <x v="5428"/>
    </i>
    <i>
      <x v="5429"/>
      <x v="552"/>
    </i>
    <i t="default">
      <x v="5429"/>
    </i>
    <i>
      <x v="5430"/>
      <x v="552"/>
    </i>
    <i t="default">
      <x v="5430"/>
    </i>
    <i>
      <x v="5431"/>
      <x v="552"/>
    </i>
    <i t="default">
      <x v="5431"/>
    </i>
    <i>
      <x v="5432"/>
      <x v="552"/>
    </i>
    <i t="default">
      <x v="5432"/>
    </i>
    <i>
      <x v="5433"/>
      <x v="552"/>
    </i>
    <i t="default">
      <x v="5433"/>
    </i>
    <i>
      <x v="5434"/>
      <x v="552"/>
    </i>
    <i t="default">
      <x v="5434"/>
    </i>
    <i>
      <x v="5435"/>
      <x v="552"/>
    </i>
    <i t="default">
      <x v="5435"/>
    </i>
    <i>
      <x v="5436"/>
      <x v="552"/>
    </i>
    <i t="default">
      <x v="5436"/>
    </i>
    <i>
      <x v="5437"/>
      <x v="552"/>
    </i>
    <i t="default">
      <x v="5437"/>
    </i>
    <i>
      <x v="5438"/>
      <x v="369"/>
    </i>
    <i r="1">
      <x v="552"/>
    </i>
    <i t="default">
      <x v="5438"/>
    </i>
    <i>
      <x v="5439"/>
      <x v="552"/>
    </i>
    <i t="default">
      <x v="5439"/>
    </i>
    <i>
      <x v="5440"/>
      <x v="552"/>
    </i>
    <i t="default">
      <x v="5440"/>
    </i>
    <i>
      <x v="5441"/>
      <x v="552"/>
    </i>
    <i t="default">
      <x v="5441"/>
    </i>
    <i>
      <x v="5442"/>
      <x v="552"/>
    </i>
    <i t="default">
      <x v="5442"/>
    </i>
    <i>
      <x v="5443"/>
      <x v="552"/>
    </i>
    <i t="default">
      <x v="5443"/>
    </i>
    <i>
      <x v="5444"/>
      <x v="552"/>
    </i>
    <i t="default">
      <x v="5444"/>
    </i>
    <i>
      <x v="5445"/>
      <x v="552"/>
    </i>
    <i t="default">
      <x v="5445"/>
    </i>
    <i>
      <x v="5446"/>
      <x v="552"/>
    </i>
    <i t="default">
      <x v="5446"/>
    </i>
    <i>
      <x v="5447"/>
      <x v="110"/>
    </i>
    <i r="1">
      <x v="552"/>
    </i>
    <i t="default">
      <x v="5447"/>
    </i>
    <i>
      <x v="5448"/>
      <x v="552"/>
    </i>
    <i t="default">
      <x v="5448"/>
    </i>
    <i>
      <x v="5449"/>
      <x v="552"/>
    </i>
    <i t="default">
      <x v="5449"/>
    </i>
    <i>
      <x v="5450"/>
      <x v="552"/>
    </i>
    <i t="default">
      <x v="5450"/>
    </i>
    <i>
      <x v="5451"/>
      <x v="552"/>
    </i>
    <i t="default">
      <x v="5451"/>
    </i>
    <i>
      <x v="5452"/>
      <x v="552"/>
    </i>
    <i t="default">
      <x v="5452"/>
    </i>
    <i>
      <x v="5453"/>
      <x v="552"/>
    </i>
    <i t="default">
      <x v="5453"/>
    </i>
    <i>
      <x v="5454"/>
      <x v="552"/>
    </i>
    <i t="default">
      <x v="5454"/>
    </i>
    <i>
      <x v="5455"/>
      <x v="552"/>
    </i>
    <i t="default">
      <x v="5455"/>
    </i>
    <i>
      <x v="5456"/>
      <x v="552"/>
    </i>
    <i t="default">
      <x v="5456"/>
    </i>
    <i>
      <x v="5457"/>
      <x v="552"/>
    </i>
    <i t="default">
      <x v="5457"/>
    </i>
    <i>
      <x v="5458"/>
      <x v="552"/>
    </i>
    <i t="default">
      <x v="5458"/>
    </i>
    <i>
      <x v="5459"/>
      <x v="552"/>
    </i>
    <i t="default">
      <x v="5459"/>
    </i>
    <i>
      <x v="5460"/>
      <x v="552"/>
    </i>
    <i t="default">
      <x v="5460"/>
    </i>
    <i>
      <x v="5461"/>
      <x v="552"/>
    </i>
    <i t="default">
      <x v="5461"/>
    </i>
    <i>
      <x v="5462"/>
      <x v="449"/>
    </i>
    <i r="1">
      <x v="552"/>
    </i>
    <i t="default">
      <x v="5462"/>
    </i>
    <i>
      <x v="5463"/>
      <x v="552"/>
    </i>
    <i t="default">
      <x v="5463"/>
    </i>
    <i>
      <x v="5464"/>
      <x v="552"/>
    </i>
    <i t="default">
      <x v="5464"/>
    </i>
    <i>
      <x v="5465"/>
      <x v="552"/>
    </i>
    <i t="default">
      <x v="5465"/>
    </i>
    <i>
      <x v="5466"/>
      <x v="552"/>
    </i>
    <i t="default">
      <x v="5466"/>
    </i>
    <i>
      <x v="5467"/>
      <x v="552"/>
    </i>
    <i t="default">
      <x v="5467"/>
    </i>
    <i>
      <x v="5468"/>
      <x v="552"/>
    </i>
    <i t="default">
      <x v="5468"/>
    </i>
    <i>
      <x v="5469"/>
      <x v="322"/>
    </i>
    <i t="default">
      <x v="5469"/>
    </i>
    <i>
      <x v="5470"/>
      <x v="416"/>
    </i>
    <i r="1">
      <x v="552"/>
    </i>
    <i t="default">
      <x v="5470"/>
    </i>
    <i>
      <x v="5471"/>
      <x v="552"/>
    </i>
    <i t="default">
      <x v="5471"/>
    </i>
    <i>
      <x v="5472"/>
      <x v="552"/>
    </i>
    <i t="default">
      <x v="5472"/>
    </i>
    <i>
      <x v="5473"/>
      <x v="552"/>
    </i>
    <i t="default">
      <x v="5473"/>
    </i>
    <i>
      <x v="5474"/>
      <x v="348"/>
    </i>
    <i r="1">
      <x v="552"/>
    </i>
    <i t="default">
      <x v="5474"/>
    </i>
    <i>
      <x v="5475"/>
      <x v="552"/>
    </i>
    <i t="default">
      <x v="5475"/>
    </i>
    <i>
      <x v="5476"/>
      <x v="552"/>
    </i>
    <i t="default">
      <x v="5476"/>
    </i>
    <i>
      <x v="5477"/>
      <x v="552"/>
    </i>
    <i t="default">
      <x v="5477"/>
    </i>
    <i>
      <x v="5478"/>
      <x v="552"/>
    </i>
    <i t="default">
      <x v="5478"/>
    </i>
    <i>
      <x v="5479"/>
      <x v="552"/>
    </i>
    <i t="default">
      <x v="5479"/>
    </i>
    <i>
      <x v="5480"/>
      <x v="552"/>
    </i>
    <i t="default">
      <x v="5480"/>
    </i>
    <i>
      <x v="5481"/>
      <x v="552"/>
    </i>
    <i t="default">
      <x v="5481"/>
    </i>
    <i>
      <x v="5482"/>
      <x v="552"/>
    </i>
    <i t="default">
      <x v="5482"/>
    </i>
    <i>
      <x v="5483"/>
      <x v="552"/>
    </i>
    <i t="default">
      <x v="5483"/>
    </i>
    <i>
      <x v="5484"/>
      <x v="552"/>
    </i>
    <i t="default">
      <x v="5484"/>
    </i>
    <i>
      <x v="5485"/>
      <x v="552"/>
    </i>
    <i t="default">
      <x v="5485"/>
    </i>
    <i>
      <x v="5486"/>
      <x v="552"/>
    </i>
    <i t="default">
      <x v="5486"/>
    </i>
    <i>
      <x v="5487"/>
      <x v="552"/>
    </i>
    <i t="default">
      <x v="5487"/>
    </i>
    <i>
      <x v="5488"/>
      <x v="552"/>
    </i>
    <i t="default">
      <x v="5488"/>
    </i>
    <i>
      <x v="5489"/>
      <x v="552"/>
    </i>
    <i t="default">
      <x v="5489"/>
    </i>
    <i>
      <x v="5490"/>
      <x v="552"/>
    </i>
    <i t="default">
      <x v="5490"/>
    </i>
    <i>
      <x v="5491"/>
      <x v="552"/>
    </i>
    <i t="default">
      <x v="5491"/>
    </i>
    <i>
      <x v="5492"/>
      <x v="552"/>
    </i>
    <i t="default">
      <x v="5492"/>
    </i>
    <i>
      <x v="5493"/>
      <x v="552"/>
    </i>
    <i t="default">
      <x v="5493"/>
    </i>
    <i>
      <x v="5494"/>
      <x v="552"/>
    </i>
    <i t="default">
      <x v="5494"/>
    </i>
    <i>
      <x v="5495"/>
      <x v="552"/>
    </i>
    <i t="default">
      <x v="5495"/>
    </i>
    <i>
      <x v="5496"/>
      <x v="552"/>
    </i>
    <i t="default">
      <x v="5496"/>
    </i>
    <i>
      <x v="5497"/>
      <x v="552"/>
    </i>
    <i t="default">
      <x v="5497"/>
    </i>
    <i>
      <x v="5498"/>
      <x v="552"/>
    </i>
    <i t="default">
      <x v="5498"/>
    </i>
    <i>
      <x v="5499"/>
      <x v="552"/>
    </i>
    <i t="default">
      <x v="5499"/>
    </i>
    <i>
      <x v="5500"/>
      <x v="552"/>
    </i>
    <i t="default">
      <x v="5500"/>
    </i>
    <i>
      <x v="5501"/>
      <x v="552"/>
    </i>
    <i t="default">
      <x v="5501"/>
    </i>
    <i>
      <x v="5502"/>
      <x v="552"/>
    </i>
    <i t="default">
      <x v="5502"/>
    </i>
    <i>
      <x v="5503"/>
      <x v="552"/>
    </i>
    <i t="default">
      <x v="5503"/>
    </i>
    <i>
      <x v="5504"/>
      <x v="552"/>
    </i>
    <i t="default">
      <x v="5504"/>
    </i>
    <i>
      <x v="5505"/>
      <x v="552"/>
    </i>
    <i t="default">
      <x v="5505"/>
    </i>
    <i>
      <x v="5506"/>
      <x v="552"/>
    </i>
    <i t="default">
      <x v="5506"/>
    </i>
    <i>
      <x v="5507"/>
      <x v="552"/>
    </i>
    <i t="default">
      <x v="5507"/>
    </i>
    <i>
      <x v="5508"/>
      <x v="552"/>
    </i>
    <i t="default">
      <x v="5508"/>
    </i>
    <i>
      <x v="5509"/>
      <x v="507"/>
    </i>
    <i r="1">
      <x v="552"/>
    </i>
    <i t="default">
      <x v="5509"/>
    </i>
    <i>
      <x v="5510"/>
      <x v="552"/>
    </i>
    <i t="default">
      <x v="5510"/>
    </i>
    <i>
      <x v="5511"/>
      <x v="552"/>
    </i>
    <i t="default">
      <x v="5511"/>
    </i>
    <i>
      <x v="5512"/>
      <x v="552"/>
    </i>
    <i t="default">
      <x v="5512"/>
    </i>
    <i>
      <x v="5513"/>
      <x v="130"/>
    </i>
    <i r="1">
      <x v="261"/>
    </i>
    <i r="1">
      <x v="552"/>
    </i>
    <i t="default">
      <x v="5513"/>
    </i>
    <i>
      <x v="5514"/>
      <x v="552"/>
    </i>
    <i t="default">
      <x v="5514"/>
    </i>
    <i>
      <x v="5515"/>
      <x v="552"/>
    </i>
    <i t="default">
      <x v="5515"/>
    </i>
    <i>
      <x v="5516"/>
      <x v="552"/>
    </i>
    <i t="default">
      <x v="5516"/>
    </i>
    <i>
      <x v="5517"/>
      <x v="552"/>
    </i>
    <i t="default">
      <x v="5517"/>
    </i>
    <i>
      <x v="5518"/>
      <x v="552"/>
    </i>
    <i t="default">
      <x v="5518"/>
    </i>
    <i>
      <x v="5519"/>
      <x v="552"/>
    </i>
    <i t="default">
      <x v="5519"/>
    </i>
    <i>
      <x v="5520"/>
      <x v="552"/>
    </i>
    <i t="default">
      <x v="5520"/>
    </i>
    <i>
      <x v="5521"/>
      <x v="71"/>
    </i>
    <i r="1">
      <x v="552"/>
    </i>
    <i t="default">
      <x v="5521"/>
    </i>
    <i>
      <x v="5522"/>
      <x v="552"/>
    </i>
    <i t="default">
      <x v="5522"/>
    </i>
    <i>
      <x v="5523"/>
      <x v="552"/>
    </i>
    <i t="default">
      <x v="5523"/>
    </i>
    <i>
      <x v="5524"/>
      <x v="552"/>
    </i>
    <i t="default">
      <x v="5524"/>
    </i>
    <i>
      <x v="5525"/>
      <x v="552"/>
    </i>
    <i t="default">
      <x v="5525"/>
    </i>
    <i>
      <x v="5526"/>
      <x v="289"/>
    </i>
    <i r="1">
      <x v="552"/>
    </i>
    <i t="default">
      <x v="5526"/>
    </i>
    <i>
      <x v="5527"/>
      <x v="552"/>
    </i>
    <i t="default">
      <x v="5527"/>
    </i>
    <i>
      <x v="5528"/>
      <x v="552"/>
    </i>
    <i t="default">
      <x v="5528"/>
    </i>
    <i>
      <x v="5529"/>
      <x v="552"/>
    </i>
    <i t="default">
      <x v="5529"/>
    </i>
    <i>
      <x v="5530"/>
      <x v="552"/>
    </i>
    <i t="default">
      <x v="5530"/>
    </i>
    <i>
      <x v="5531"/>
      <x v="552"/>
    </i>
    <i t="default">
      <x v="5531"/>
    </i>
    <i>
      <x v="5532"/>
      <x v="552"/>
    </i>
    <i t="default">
      <x v="5532"/>
    </i>
    <i>
      <x v="5533"/>
      <x v="259"/>
    </i>
    <i r="1">
      <x v="552"/>
    </i>
    <i t="default">
      <x v="5533"/>
    </i>
    <i>
      <x v="5534"/>
      <x v="552"/>
    </i>
    <i t="default">
      <x v="5534"/>
    </i>
    <i>
      <x v="5535"/>
      <x v="552"/>
    </i>
    <i t="default">
      <x v="5535"/>
    </i>
    <i>
      <x v="5536"/>
      <x v="552"/>
    </i>
    <i t="default">
      <x v="5536"/>
    </i>
    <i>
      <x v="5537"/>
      <x v="552"/>
    </i>
    <i t="default">
      <x v="5537"/>
    </i>
    <i>
      <x v="5538"/>
      <x v="552"/>
    </i>
    <i t="default">
      <x v="5538"/>
    </i>
    <i>
      <x v="5539"/>
      <x v="552"/>
    </i>
    <i t="default">
      <x v="5539"/>
    </i>
    <i>
      <x v="5540"/>
      <x v="552"/>
    </i>
    <i t="default">
      <x v="5540"/>
    </i>
    <i>
      <x v="5541"/>
      <x v="552"/>
    </i>
    <i t="default">
      <x v="5541"/>
    </i>
    <i>
      <x v="5542"/>
      <x v="552"/>
    </i>
    <i t="default">
      <x v="5542"/>
    </i>
    <i>
      <x v="5543"/>
      <x v="552"/>
    </i>
    <i t="default">
      <x v="5543"/>
    </i>
    <i>
      <x v="5544"/>
      <x v="552"/>
    </i>
    <i t="default">
      <x v="5544"/>
    </i>
    <i>
      <x v="5545"/>
      <x v="552"/>
    </i>
    <i t="default">
      <x v="5545"/>
    </i>
    <i>
      <x v="5546"/>
      <x v="552"/>
    </i>
    <i t="default">
      <x v="5546"/>
    </i>
    <i>
      <x v="5547"/>
      <x v="552"/>
    </i>
    <i t="default">
      <x v="5547"/>
    </i>
    <i>
      <x v="5548"/>
      <x v="552"/>
    </i>
    <i t="default">
      <x v="5548"/>
    </i>
    <i>
      <x v="5549"/>
      <x v="552"/>
    </i>
    <i t="default">
      <x v="5549"/>
    </i>
    <i>
      <x v="5550"/>
      <x v="552"/>
    </i>
    <i t="default">
      <x v="5550"/>
    </i>
    <i>
      <x v="5551"/>
      <x v="552"/>
    </i>
    <i t="default">
      <x v="5551"/>
    </i>
    <i>
      <x v="5552"/>
      <x v="552"/>
    </i>
    <i t="default">
      <x v="5552"/>
    </i>
    <i>
      <x v="5553"/>
      <x v="552"/>
    </i>
    <i t="default">
      <x v="5553"/>
    </i>
    <i>
      <x v="5554"/>
      <x v="552"/>
    </i>
    <i t="default">
      <x v="5554"/>
    </i>
    <i>
      <x v="5555"/>
      <x v="552"/>
    </i>
    <i t="default">
      <x v="5555"/>
    </i>
    <i>
      <x v="5556"/>
      <x v="552"/>
    </i>
    <i t="default">
      <x v="5556"/>
    </i>
    <i>
      <x v="5557"/>
      <x v="552"/>
    </i>
    <i t="default">
      <x v="5557"/>
    </i>
    <i>
      <x v="5558"/>
      <x v="552"/>
    </i>
    <i t="default">
      <x v="5558"/>
    </i>
    <i>
      <x v="5559"/>
      <x v="552"/>
    </i>
    <i t="default">
      <x v="5559"/>
    </i>
    <i>
      <x v="5560"/>
      <x v="552"/>
    </i>
    <i t="default">
      <x v="5560"/>
    </i>
    <i>
      <x v="5561"/>
      <x v="552"/>
    </i>
    <i t="default">
      <x v="5561"/>
    </i>
    <i>
      <x v="5562"/>
      <x v="552"/>
    </i>
    <i t="default">
      <x v="5562"/>
    </i>
    <i>
      <x v="5563"/>
      <x v="552"/>
    </i>
    <i t="default">
      <x v="5563"/>
    </i>
    <i>
      <x v="5564"/>
      <x v="552"/>
    </i>
    <i t="default">
      <x v="5564"/>
    </i>
    <i>
      <x v="5565"/>
      <x v="552"/>
    </i>
    <i t="default">
      <x v="5565"/>
    </i>
    <i>
      <x v="5566"/>
      <x v="552"/>
    </i>
    <i t="default">
      <x v="5566"/>
    </i>
    <i>
      <x v="5567"/>
      <x v="552"/>
    </i>
    <i t="default">
      <x v="5567"/>
    </i>
    <i>
      <x v="5568"/>
      <x v="552"/>
    </i>
    <i t="default">
      <x v="5568"/>
    </i>
    <i>
      <x v="5569"/>
      <x v="552"/>
    </i>
    <i t="default">
      <x v="5569"/>
    </i>
    <i>
      <x v="5570"/>
      <x v="552"/>
    </i>
    <i t="default">
      <x v="5570"/>
    </i>
    <i>
      <x v="5571"/>
      <x v="552"/>
    </i>
    <i t="default">
      <x v="5571"/>
    </i>
    <i>
      <x v="5572"/>
      <x v="552"/>
    </i>
    <i t="default">
      <x v="5572"/>
    </i>
    <i>
      <x v="5573"/>
      <x v="552"/>
    </i>
    <i t="default">
      <x v="5573"/>
    </i>
    <i>
      <x v="5574"/>
      <x v="552"/>
    </i>
    <i t="default">
      <x v="5574"/>
    </i>
    <i>
      <x v="5575"/>
      <x v="412"/>
    </i>
    <i r="1">
      <x v="552"/>
    </i>
    <i t="default">
      <x v="5575"/>
    </i>
    <i>
      <x v="5576"/>
      <x v="552"/>
    </i>
    <i t="default">
      <x v="5576"/>
    </i>
    <i>
      <x v="5577"/>
      <x v="552"/>
    </i>
    <i t="default">
      <x v="5577"/>
    </i>
    <i>
      <x v="5578"/>
      <x v="552"/>
    </i>
    <i t="default">
      <x v="5578"/>
    </i>
    <i>
      <x v="5579"/>
      <x v="552"/>
    </i>
    <i t="default">
      <x v="5579"/>
    </i>
    <i>
      <x v="5580"/>
      <x v="552"/>
    </i>
    <i t="default">
      <x v="5580"/>
    </i>
    <i>
      <x v="5581"/>
      <x v="552"/>
    </i>
    <i t="default">
      <x v="5581"/>
    </i>
    <i>
      <x v="5582"/>
      <x v="552"/>
    </i>
    <i t="default">
      <x v="5582"/>
    </i>
    <i>
      <x v="5583"/>
      <x v="53"/>
    </i>
    <i r="1">
      <x v="536"/>
    </i>
    <i r="1">
      <x v="552"/>
    </i>
    <i t="default">
      <x v="5583"/>
    </i>
    <i>
      <x v="5584"/>
      <x v="552"/>
    </i>
    <i t="default">
      <x v="5584"/>
    </i>
    <i>
      <x v="5585"/>
      <x v="552"/>
    </i>
    <i t="default">
      <x v="5585"/>
    </i>
    <i>
      <x v="5586"/>
      <x v="552"/>
    </i>
    <i t="default">
      <x v="5586"/>
    </i>
    <i>
      <x v="5587"/>
      <x v="552"/>
    </i>
    <i t="default">
      <x v="5587"/>
    </i>
    <i>
      <x v="5588"/>
      <x v="12"/>
    </i>
    <i r="1">
      <x v="552"/>
    </i>
    <i t="default">
      <x v="5588"/>
    </i>
    <i>
      <x v="5589"/>
      <x v="552"/>
    </i>
    <i t="default">
      <x v="5589"/>
    </i>
    <i>
      <x v="5590"/>
      <x v="552"/>
    </i>
    <i t="default">
      <x v="5590"/>
    </i>
    <i>
      <x v="5591"/>
      <x v="552"/>
    </i>
    <i t="default">
      <x v="5591"/>
    </i>
    <i>
      <x v="5592"/>
      <x v="230"/>
    </i>
    <i r="1">
      <x v="552"/>
    </i>
    <i t="default">
      <x v="5592"/>
    </i>
    <i>
      <x v="5593"/>
      <x v="552"/>
    </i>
    <i t="default">
      <x v="5593"/>
    </i>
    <i>
      <x v="5594"/>
      <x v="552"/>
    </i>
    <i t="default">
      <x v="5594"/>
    </i>
    <i>
      <x v="5595"/>
      <x v="552"/>
    </i>
    <i t="default">
      <x v="5595"/>
    </i>
    <i>
      <x v="5596"/>
      <x v="552"/>
    </i>
    <i t="default">
      <x v="5596"/>
    </i>
    <i>
      <x v="5597"/>
      <x v="552"/>
    </i>
    <i t="default">
      <x v="5597"/>
    </i>
    <i>
      <x v="5598"/>
      <x/>
    </i>
    <i r="1">
      <x v="552"/>
    </i>
    <i t="default">
      <x v="5598"/>
    </i>
    <i>
      <x v="5599"/>
      <x v="552"/>
    </i>
    <i t="default">
      <x v="5599"/>
    </i>
    <i>
      <x v="5600"/>
      <x v="552"/>
    </i>
    <i t="default">
      <x v="5600"/>
    </i>
    <i>
      <x v="5601"/>
      <x v="552"/>
    </i>
    <i t="default">
      <x v="5601"/>
    </i>
    <i>
      <x v="5602"/>
      <x v="552"/>
    </i>
    <i t="default">
      <x v="5602"/>
    </i>
    <i>
      <x v="5603"/>
      <x v="552"/>
    </i>
    <i t="default">
      <x v="5603"/>
    </i>
    <i>
      <x v="5604"/>
      <x v="552"/>
    </i>
    <i t="default">
      <x v="5604"/>
    </i>
    <i>
      <x v="5605"/>
      <x v="552"/>
    </i>
    <i t="default">
      <x v="5605"/>
    </i>
    <i>
      <x v="5606"/>
      <x v="552"/>
    </i>
    <i t="default">
      <x v="5606"/>
    </i>
    <i>
      <x v="5607"/>
      <x v="306"/>
    </i>
    <i t="default">
      <x v="5607"/>
    </i>
    <i>
      <x v="5608"/>
      <x v="552"/>
    </i>
    <i t="default">
      <x v="5608"/>
    </i>
    <i>
      <x v="5609"/>
      <x v="552"/>
    </i>
    <i t="default">
      <x v="5609"/>
    </i>
    <i>
      <x v="5610"/>
      <x v="552"/>
    </i>
    <i t="default">
      <x v="5610"/>
    </i>
    <i>
      <x v="5611"/>
      <x v="552"/>
    </i>
    <i t="default">
      <x v="5611"/>
    </i>
    <i>
      <x v="5612"/>
      <x v="552"/>
    </i>
    <i t="default">
      <x v="5612"/>
    </i>
    <i>
      <x v="5613"/>
      <x v="236"/>
    </i>
    <i r="1">
      <x v="552"/>
    </i>
    <i t="default">
      <x v="5613"/>
    </i>
    <i>
      <x v="5614"/>
      <x v="552"/>
    </i>
    <i t="default">
      <x v="5614"/>
    </i>
    <i>
      <x v="5615"/>
      <x v="552"/>
    </i>
    <i t="default">
      <x v="5615"/>
    </i>
    <i>
      <x v="5616"/>
      <x v="552"/>
    </i>
    <i t="default">
      <x v="5616"/>
    </i>
    <i>
      <x v="5617"/>
      <x v="552"/>
    </i>
    <i t="default">
      <x v="5617"/>
    </i>
    <i>
      <x v="5618"/>
      <x v="552"/>
    </i>
    <i t="default">
      <x v="5618"/>
    </i>
    <i>
      <x v="5619"/>
      <x v="552"/>
    </i>
    <i t="default">
      <x v="5619"/>
    </i>
    <i>
      <x v="5620"/>
      <x v="552"/>
    </i>
    <i t="default">
      <x v="5620"/>
    </i>
    <i>
      <x v="5621"/>
      <x v="552"/>
    </i>
    <i t="default">
      <x v="5621"/>
    </i>
    <i>
      <x v="5622"/>
      <x v="552"/>
    </i>
    <i t="default">
      <x v="5622"/>
    </i>
    <i>
      <x v="5623"/>
      <x v="552"/>
    </i>
    <i t="default">
      <x v="5623"/>
    </i>
    <i>
      <x v="5624"/>
      <x v="552"/>
    </i>
    <i t="default">
      <x v="5624"/>
    </i>
    <i>
      <x v="5625"/>
      <x v="552"/>
    </i>
    <i t="default">
      <x v="5625"/>
    </i>
    <i>
      <x v="5626"/>
      <x v="552"/>
    </i>
    <i t="default">
      <x v="5626"/>
    </i>
    <i>
      <x v="5627"/>
      <x v="552"/>
    </i>
    <i t="default">
      <x v="5627"/>
    </i>
    <i>
      <x v="5628"/>
      <x v="552"/>
    </i>
    <i t="default">
      <x v="5628"/>
    </i>
    <i>
      <x v="5629"/>
      <x v="552"/>
    </i>
    <i t="default">
      <x v="5629"/>
    </i>
    <i>
      <x v="5630"/>
      <x v="552"/>
    </i>
    <i t="default">
      <x v="5630"/>
    </i>
    <i>
      <x v="5631"/>
      <x v="552"/>
    </i>
    <i t="default">
      <x v="5631"/>
    </i>
    <i>
      <x v="5632"/>
      <x v="552"/>
    </i>
    <i t="default">
      <x v="5632"/>
    </i>
    <i>
      <x v="5633"/>
      <x v="552"/>
    </i>
    <i t="default">
      <x v="5633"/>
    </i>
    <i>
      <x v="5634"/>
      <x v="552"/>
    </i>
    <i t="default">
      <x v="5634"/>
    </i>
    <i>
      <x v="5635"/>
      <x v="552"/>
    </i>
    <i t="default">
      <x v="5635"/>
    </i>
    <i>
      <x v="5636"/>
      <x v="552"/>
    </i>
    <i t="default">
      <x v="5636"/>
    </i>
    <i>
      <x v="5637"/>
      <x v="392"/>
    </i>
    <i r="1">
      <x v="552"/>
    </i>
    <i t="default">
      <x v="5637"/>
    </i>
    <i>
      <x v="5638"/>
      <x v="552"/>
    </i>
    <i t="default">
      <x v="5638"/>
    </i>
    <i>
      <x v="5639"/>
      <x v="552"/>
    </i>
    <i t="default">
      <x v="5639"/>
    </i>
    <i>
      <x v="5640"/>
      <x v="552"/>
    </i>
    <i t="default">
      <x v="5640"/>
    </i>
    <i>
      <x v="5641"/>
      <x v="552"/>
    </i>
    <i t="default">
      <x v="5641"/>
    </i>
    <i>
      <x v="5642"/>
      <x v="552"/>
    </i>
    <i t="default">
      <x v="5642"/>
    </i>
    <i>
      <x v="5643"/>
      <x v="552"/>
    </i>
    <i t="default">
      <x v="5643"/>
    </i>
    <i>
      <x v="5644"/>
      <x v="552"/>
    </i>
    <i t="default">
      <x v="5644"/>
    </i>
    <i>
      <x v="5645"/>
      <x v="552"/>
    </i>
    <i t="default">
      <x v="5645"/>
    </i>
    <i>
      <x v="5646"/>
      <x v="552"/>
    </i>
    <i t="default">
      <x v="5646"/>
    </i>
    <i>
      <x v="5647"/>
      <x v="552"/>
    </i>
    <i t="default">
      <x v="5647"/>
    </i>
    <i>
      <x v="5648"/>
      <x v="552"/>
    </i>
    <i t="default">
      <x v="5648"/>
    </i>
    <i>
      <x v="5649"/>
      <x v="552"/>
    </i>
    <i t="default">
      <x v="5649"/>
    </i>
    <i>
      <x v="5650"/>
      <x v="552"/>
    </i>
    <i t="default">
      <x v="5650"/>
    </i>
    <i>
      <x v="5651"/>
      <x v="552"/>
    </i>
    <i t="default">
      <x v="5651"/>
    </i>
    <i>
      <x v="5652"/>
      <x v="552"/>
    </i>
    <i t="default">
      <x v="5652"/>
    </i>
    <i>
      <x v="5653"/>
      <x v="552"/>
    </i>
    <i t="default">
      <x v="5653"/>
    </i>
    <i>
      <x v="5654"/>
      <x v="552"/>
    </i>
    <i t="default">
      <x v="5654"/>
    </i>
    <i>
      <x v="5655"/>
      <x v="26"/>
    </i>
    <i r="1">
      <x v="552"/>
    </i>
    <i t="default">
      <x v="5655"/>
    </i>
    <i>
      <x v="5656"/>
      <x v="33"/>
    </i>
    <i r="1">
      <x v="552"/>
    </i>
    <i t="default">
      <x v="5656"/>
    </i>
    <i>
      <x v="5657"/>
      <x v="552"/>
    </i>
    <i t="default">
      <x v="5657"/>
    </i>
    <i>
      <x v="5658"/>
      <x v="552"/>
    </i>
    <i t="default">
      <x v="5658"/>
    </i>
    <i>
      <x v="5659"/>
      <x v="552"/>
    </i>
    <i t="default">
      <x v="5659"/>
    </i>
    <i>
      <x v="5660"/>
      <x v="552"/>
    </i>
    <i t="default">
      <x v="5660"/>
    </i>
    <i>
      <x v="5661"/>
      <x v="552"/>
    </i>
    <i t="default">
      <x v="5661"/>
    </i>
    <i>
      <x v="5662"/>
      <x v="552"/>
    </i>
    <i t="default">
      <x v="5662"/>
    </i>
    <i>
      <x v="5663"/>
      <x v="552"/>
    </i>
    <i t="default">
      <x v="5663"/>
    </i>
    <i>
      <x v="5664"/>
      <x v="552"/>
    </i>
    <i t="default">
      <x v="5664"/>
    </i>
    <i>
      <x v="5665"/>
      <x v="552"/>
    </i>
    <i t="default">
      <x v="5665"/>
    </i>
    <i>
      <x v="5666"/>
      <x v="552"/>
    </i>
    <i t="default">
      <x v="5666"/>
    </i>
    <i>
      <x v="5667"/>
      <x v="86"/>
    </i>
    <i r="1">
      <x v="552"/>
    </i>
    <i t="default">
      <x v="5667"/>
    </i>
    <i>
      <x v="5668"/>
      <x v="552"/>
    </i>
    <i t="default">
      <x v="5668"/>
    </i>
    <i>
      <x v="5669"/>
      <x v="552"/>
    </i>
    <i t="default">
      <x v="5669"/>
    </i>
    <i>
      <x v="5670"/>
      <x v="552"/>
    </i>
    <i t="default">
      <x v="5670"/>
    </i>
    <i>
      <x v="5671"/>
      <x v="349"/>
    </i>
    <i t="default">
      <x v="5671"/>
    </i>
    <i>
      <x v="5672"/>
      <x v="552"/>
    </i>
    <i t="default">
      <x v="5672"/>
    </i>
    <i>
      <x v="5673"/>
      <x v="552"/>
    </i>
    <i t="default">
      <x v="5673"/>
    </i>
    <i>
      <x v="5674"/>
      <x v="552"/>
    </i>
    <i t="default">
      <x v="5674"/>
    </i>
    <i>
      <x v="5675"/>
      <x v="552"/>
    </i>
    <i t="default">
      <x v="5675"/>
    </i>
    <i>
      <x v="5676"/>
      <x v="552"/>
    </i>
    <i t="default">
      <x v="5676"/>
    </i>
    <i>
      <x v="5677"/>
      <x v="552"/>
    </i>
    <i t="default">
      <x v="5677"/>
    </i>
    <i>
      <x v="5678"/>
      <x v="368"/>
    </i>
    <i r="1">
      <x v="552"/>
    </i>
    <i t="default">
      <x v="5678"/>
    </i>
    <i>
      <x v="5679"/>
      <x v="193"/>
    </i>
    <i r="1">
      <x v="552"/>
    </i>
    <i t="default">
      <x v="5679"/>
    </i>
    <i>
      <x v="5680"/>
      <x v="552"/>
    </i>
    <i t="default">
      <x v="5680"/>
    </i>
    <i>
      <x v="5681"/>
      <x v="552"/>
    </i>
    <i t="default">
      <x v="5681"/>
    </i>
    <i>
      <x v="5682"/>
      <x v="552"/>
    </i>
    <i t="default">
      <x v="5682"/>
    </i>
    <i>
      <x v="5683"/>
      <x v="209"/>
    </i>
    <i r="1">
      <x v="552"/>
    </i>
    <i t="default">
      <x v="5683"/>
    </i>
    <i>
      <x v="5684"/>
      <x v="552"/>
    </i>
    <i t="default">
      <x v="5684"/>
    </i>
    <i>
      <x v="5685"/>
      <x v="552"/>
    </i>
    <i t="default">
      <x v="5685"/>
    </i>
    <i>
      <x v="5686"/>
      <x v="552"/>
    </i>
    <i t="default">
      <x v="5686"/>
    </i>
    <i>
      <x v="5687"/>
      <x v="552"/>
    </i>
    <i t="default">
      <x v="5687"/>
    </i>
    <i>
      <x v="5688"/>
      <x v="552"/>
    </i>
    <i t="default">
      <x v="5688"/>
    </i>
    <i>
      <x v="5689"/>
      <x v="552"/>
    </i>
    <i t="default">
      <x v="5689"/>
    </i>
    <i>
      <x v="5690"/>
      <x v="318"/>
    </i>
    <i r="1">
      <x v="395"/>
    </i>
    <i t="default">
      <x v="5690"/>
    </i>
    <i>
      <x v="5691"/>
      <x v="552"/>
    </i>
    <i t="default">
      <x v="5691"/>
    </i>
    <i>
      <x v="5692"/>
      <x v="271"/>
    </i>
    <i r="1">
      <x v="552"/>
    </i>
    <i t="default">
      <x v="5692"/>
    </i>
    <i>
      <x v="5693"/>
      <x v="138"/>
    </i>
    <i r="1">
      <x v="204"/>
    </i>
    <i t="default">
      <x v="5693"/>
    </i>
    <i>
      <x v="5694"/>
      <x v="279"/>
    </i>
    <i r="1">
      <x v="421"/>
    </i>
    <i t="default">
      <x v="5694"/>
    </i>
    <i>
      <x v="5695"/>
      <x v="331"/>
    </i>
    <i r="1">
      <x v="386"/>
    </i>
    <i t="default">
      <x v="5695"/>
    </i>
    <i>
      <x v="5696"/>
      <x v="552"/>
    </i>
    <i t="default">
      <x v="5696"/>
    </i>
    <i>
      <x v="5697"/>
      <x v="139"/>
    </i>
    <i r="1">
      <x v="552"/>
    </i>
    <i t="default">
      <x v="5697"/>
    </i>
    <i>
      <x v="5698"/>
      <x v="89"/>
    </i>
    <i r="1">
      <x v="191"/>
    </i>
    <i t="default">
      <x v="5698"/>
    </i>
    <i>
      <x v="5699"/>
      <x v="219"/>
    </i>
    <i r="1">
      <x v="229"/>
    </i>
    <i t="default">
      <x v="5699"/>
    </i>
    <i>
      <x v="5700"/>
      <x v="200"/>
    </i>
    <i r="1">
      <x v="552"/>
    </i>
    <i t="default">
      <x v="5700"/>
    </i>
    <i>
      <x v="5701"/>
      <x v="511"/>
    </i>
    <i r="1">
      <x v="552"/>
    </i>
    <i t="default">
      <x v="5701"/>
    </i>
    <i>
      <x v="5702"/>
      <x v="61"/>
    </i>
    <i r="1">
      <x v="247"/>
    </i>
    <i t="default">
      <x v="5702"/>
    </i>
    <i>
      <x v="5703"/>
      <x v="95"/>
    </i>
    <i r="1">
      <x v="552"/>
    </i>
    <i t="default">
      <x v="5703"/>
    </i>
    <i>
      <x v="5704"/>
      <x v="521"/>
    </i>
    <i r="1">
      <x v="552"/>
    </i>
    <i t="default">
      <x v="5704"/>
    </i>
    <i>
      <x v="5705"/>
      <x v="121"/>
    </i>
    <i r="1">
      <x v="552"/>
    </i>
    <i t="default">
      <x v="5705"/>
    </i>
    <i>
      <x v="5706"/>
      <x v="24"/>
    </i>
    <i r="1">
      <x v="189"/>
    </i>
    <i t="default">
      <x v="5706"/>
    </i>
    <i>
      <x v="5707"/>
      <x v="88"/>
    </i>
    <i r="1">
      <x v="552"/>
    </i>
    <i t="default">
      <x v="5707"/>
    </i>
    <i>
      <x v="5708"/>
      <x v="552"/>
    </i>
    <i t="default">
      <x v="5708"/>
    </i>
    <i>
      <x v="5709"/>
      <x v="377"/>
    </i>
    <i r="1">
      <x v="385"/>
    </i>
    <i t="default">
      <x v="5709"/>
    </i>
    <i>
      <x v="5710"/>
      <x v="241"/>
    </i>
    <i r="1">
      <x v="552"/>
    </i>
    <i t="default">
      <x v="5710"/>
    </i>
    <i>
      <x v="5711"/>
      <x v="182"/>
    </i>
    <i r="1">
      <x v="383"/>
    </i>
    <i t="default">
      <x v="5711"/>
    </i>
    <i>
      <x v="5712"/>
      <x v="76"/>
    </i>
    <i r="1">
      <x v="154"/>
    </i>
    <i t="default">
      <x v="5712"/>
    </i>
    <i>
      <x v="5713"/>
      <x v="250"/>
    </i>
    <i r="1">
      <x v="403"/>
    </i>
    <i t="default">
      <x v="5713"/>
    </i>
    <i>
      <x v="5714"/>
      <x v="197"/>
    </i>
    <i r="1">
      <x v="552"/>
    </i>
    <i t="default">
      <x v="5714"/>
    </i>
    <i>
      <x v="5715"/>
      <x v="244"/>
    </i>
    <i r="1">
      <x v="552"/>
    </i>
    <i t="default">
      <x v="5715"/>
    </i>
    <i>
      <x v="5716"/>
      <x v="477"/>
    </i>
    <i r="1">
      <x v="552"/>
    </i>
    <i t="default">
      <x v="5716"/>
    </i>
    <i>
      <x v="5717"/>
      <x v="292"/>
    </i>
    <i r="1">
      <x v="500"/>
    </i>
    <i t="default">
      <x v="5717"/>
    </i>
    <i>
      <x v="5718"/>
      <x v="212"/>
    </i>
    <i r="1">
      <x v="265"/>
    </i>
    <i t="default">
      <x v="5718"/>
    </i>
    <i>
      <x v="5719"/>
      <x v="118"/>
    </i>
    <i r="1">
      <x v="440"/>
    </i>
    <i t="default">
      <x v="5719"/>
    </i>
    <i>
      <x v="5720"/>
      <x v="77"/>
    </i>
    <i r="1">
      <x v="552"/>
    </i>
    <i t="default">
      <x v="5720"/>
    </i>
    <i>
      <x v="5721"/>
      <x v="160"/>
    </i>
    <i r="1">
      <x v="552"/>
    </i>
    <i t="default">
      <x v="5721"/>
    </i>
    <i>
      <x v="5722"/>
      <x v="243"/>
    </i>
    <i r="1">
      <x v="258"/>
    </i>
    <i t="default">
      <x v="5722"/>
    </i>
    <i>
      <x v="5723"/>
      <x v="164"/>
    </i>
    <i r="1">
      <x v="552"/>
    </i>
    <i t="default">
      <x v="5723"/>
    </i>
    <i>
      <x v="5724"/>
      <x v="552"/>
    </i>
    <i t="default">
      <x v="5724"/>
    </i>
    <i>
      <x v="5725"/>
      <x v="80"/>
    </i>
    <i r="1">
      <x v="235"/>
    </i>
    <i t="default">
      <x v="5725"/>
    </i>
    <i>
      <x v="5726"/>
      <x v="552"/>
    </i>
    <i t="default">
      <x v="5726"/>
    </i>
    <i>
      <x v="5727"/>
      <x v="256"/>
    </i>
    <i r="1">
      <x v="552"/>
    </i>
    <i t="default">
      <x v="5727"/>
    </i>
    <i>
      <x v="5728"/>
      <x v="296"/>
    </i>
    <i r="1">
      <x v="342"/>
    </i>
    <i t="default">
      <x v="5728"/>
    </i>
    <i>
      <x v="5729"/>
      <x v="552"/>
    </i>
    <i t="default">
      <x v="5729"/>
    </i>
    <i>
      <x v="5730"/>
      <x v="1"/>
    </i>
    <i r="1">
      <x v="552"/>
    </i>
    <i t="default">
      <x v="5730"/>
    </i>
    <i>
      <x v="5731"/>
      <x v="552"/>
    </i>
    <i t="default">
      <x v="5731"/>
    </i>
    <i>
      <x v="5732"/>
      <x v="384"/>
    </i>
    <i r="1">
      <x v="552"/>
    </i>
    <i t="default">
      <x v="5732"/>
    </i>
    <i>
      <x v="5733"/>
      <x v="552"/>
    </i>
    <i t="default">
      <x v="5733"/>
    </i>
    <i>
      <x v="5734"/>
      <x v="277"/>
    </i>
    <i r="1">
      <x v="552"/>
    </i>
    <i t="default">
      <x v="5734"/>
    </i>
    <i>
      <x v="5735"/>
      <x v="208"/>
    </i>
    <i r="1">
      <x v="552"/>
    </i>
    <i t="default">
      <x v="5735"/>
    </i>
    <i>
      <x v="5736"/>
      <x v="47"/>
    </i>
    <i r="1">
      <x v="552"/>
    </i>
    <i t="default">
      <x v="5736"/>
    </i>
    <i>
      <x v="5737"/>
      <x v="552"/>
    </i>
    <i t="default">
      <x v="5737"/>
    </i>
    <i>
      <x v="5738"/>
      <x v="201"/>
    </i>
    <i r="1">
      <x v="552"/>
    </i>
    <i t="default">
      <x v="5738"/>
    </i>
    <i>
      <x v="5739"/>
      <x v="126"/>
    </i>
    <i r="1">
      <x v="487"/>
    </i>
    <i t="default">
      <x v="5739"/>
    </i>
    <i>
      <x v="5740"/>
      <x v="552"/>
    </i>
    <i t="default">
      <x v="5740"/>
    </i>
    <i>
      <x v="5741"/>
      <x v="482"/>
    </i>
    <i r="1">
      <x v="552"/>
    </i>
    <i t="default">
      <x v="5741"/>
    </i>
    <i>
      <x v="5742"/>
      <x v="552"/>
    </i>
    <i t="default">
      <x v="5742"/>
    </i>
    <i>
      <x v="5743"/>
      <x v="552"/>
    </i>
    <i t="default">
      <x v="5743"/>
    </i>
    <i>
      <x v="5744"/>
      <x v="50"/>
    </i>
    <i r="1">
      <x v="552"/>
    </i>
    <i t="default">
      <x v="5744"/>
    </i>
    <i>
      <x v="5745"/>
      <x v="552"/>
    </i>
    <i t="default">
      <x v="5745"/>
    </i>
    <i>
      <x v="5746"/>
      <x v="552"/>
    </i>
    <i t="default">
      <x v="5746"/>
    </i>
    <i>
      <x v="5747"/>
      <x v="45"/>
    </i>
    <i r="1">
      <x v="552"/>
    </i>
    <i t="default">
      <x v="5747"/>
    </i>
    <i>
      <x v="5748"/>
      <x v="136"/>
    </i>
    <i r="1">
      <x v="478"/>
    </i>
    <i t="default">
      <x v="5748"/>
    </i>
    <i>
      <x v="5749"/>
      <x v="205"/>
    </i>
    <i r="1">
      <x v="552"/>
    </i>
    <i t="default">
      <x v="5749"/>
    </i>
    <i>
      <x v="5750"/>
      <x v="309"/>
    </i>
    <i r="1">
      <x v="516"/>
    </i>
    <i t="default">
      <x v="5750"/>
    </i>
    <i>
      <x v="5751"/>
      <x v="552"/>
    </i>
    <i t="default">
      <x v="5751"/>
    </i>
    <i>
      <x v="5752"/>
      <x v="29"/>
    </i>
    <i r="1">
      <x v="552"/>
    </i>
    <i t="default">
      <x v="5752"/>
    </i>
    <i>
      <x v="5753"/>
      <x v="42"/>
    </i>
    <i r="1">
      <x v="552"/>
    </i>
    <i t="default">
      <x v="5753"/>
    </i>
    <i>
      <x v="5754"/>
      <x v="469"/>
    </i>
    <i r="1">
      <x v="552"/>
    </i>
    <i t="default">
      <x v="5754"/>
    </i>
    <i>
      <x v="5755"/>
      <x v="425"/>
    </i>
    <i r="1">
      <x v="552"/>
    </i>
    <i t="default">
      <x v="5755"/>
    </i>
    <i>
      <x v="5756"/>
      <x v="423"/>
    </i>
    <i r="1">
      <x v="552"/>
    </i>
    <i t="default">
      <x v="5756"/>
    </i>
    <i>
      <x v="5757"/>
      <x v="552"/>
    </i>
    <i t="default">
      <x v="5757"/>
    </i>
    <i>
      <x v="5758"/>
      <x v="552"/>
    </i>
    <i t="default">
      <x v="5758"/>
    </i>
    <i>
      <x v="5759"/>
      <x v="552"/>
    </i>
    <i t="default">
      <x v="5759"/>
    </i>
    <i>
      <x v="5760"/>
      <x v="552"/>
    </i>
    <i t="default">
      <x v="5760"/>
    </i>
    <i>
      <x v="5761"/>
      <x v="84"/>
    </i>
    <i r="1">
      <x v="552"/>
    </i>
    <i t="default">
      <x v="5761"/>
    </i>
    <i>
      <x v="5762"/>
      <x v="304"/>
    </i>
    <i r="1">
      <x v="552"/>
    </i>
    <i t="default">
      <x v="5762"/>
    </i>
    <i>
      <x v="5763"/>
      <x v="552"/>
    </i>
    <i t="default">
      <x v="5763"/>
    </i>
    <i>
      <x v="5764"/>
      <x v="552"/>
    </i>
    <i t="default">
      <x v="5764"/>
    </i>
    <i>
      <x v="5765"/>
      <x v="438"/>
    </i>
    <i r="1">
      <x v="552"/>
    </i>
    <i t="default">
      <x v="5765"/>
    </i>
    <i>
      <x v="5766"/>
      <x v="552"/>
    </i>
    <i t="default">
      <x v="5766"/>
    </i>
    <i>
      <x v="5767"/>
      <x v="552"/>
    </i>
    <i t="default">
      <x v="5767"/>
    </i>
    <i>
      <x v="5768"/>
      <x v="4"/>
    </i>
    <i r="1">
      <x v="552"/>
    </i>
    <i t="default">
      <x v="5768"/>
    </i>
    <i>
      <x v="5769"/>
      <x v="552"/>
    </i>
    <i t="default">
      <x v="5769"/>
    </i>
    <i>
      <x v="5770"/>
      <x v="552"/>
    </i>
    <i t="default">
      <x v="5770"/>
    </i>
    <i>
      <x v="5771"/>
      <x v="185"/>
    </i>
    <i r="1">
      <x v="552"/>
    </i>
    <i t="default">
      <x v="5771"/>
    </i>
    <i>
      <x v="5772"/>
      <x v="404"/>
    </i>
    <i r="1">
      <x v="552"/>
    </i>
    <i t="default">
      <x v="5772"/>
    </i>
    <i>
      <x v="5773"/>
      <x v="222"/>
    </i>
    <i r="1">
      <x v="552"/>
    </i>
    <i t="default">
      <x v="5773"/>
    </i>
    <i>
      <x v="5774"/>
      <x v="552"/>
    </i>
    <i t="default">
      <x v="5774"/>
    </i>
    <i>
      <x v="5775"/>
      <x v="489"/>
    </i>
    <i r="1">
      <x v="552"/>
    </i>
    <i t="default">
      <x v="5775"/>
    </i>
    <i>
      <x v="5776"/>
      <x v="552"/>
    </i>
    <i t="default">
      <x v="5776"/>
    </i>
    <i>
      <x v="5777"/>
      <x v="111"/>
    </i>
    <i r="1">
      <x v="552"/>
    </i>
    <i t="default">
      <x v="5777"/>
    </i>
    <i>
      <x v="5778"/>
      <x v="168"/>
    </i>
    <i r="1">
      <x v="552"/>
    </i>
    <i t="default">
      <x v="5778"/>
    </i>
    <i>
      <x v="5779"/>
      <x v="552"/>
    </i>
    <i t="default">
      <x v="5779"/>
    </i>
    <i>
      <x v="5780"/>
      <x v="552"/>
    </i>
    <i t="default">
      <x v="5780"/>
    </i>
    <i>
      <x v="5781"/>
      <x v="538"/>
    </i>
    <i r="1">
      <x v="552"/>
    </i>
    <i t="default">
      <x v="5781"/>
    </i>
    <i>
      <x v="5782"/>
      <x v="278"/>
    </i>
    <i r="1">
      <x v="552"/>
    </i>
    <i t="default">
      <x v="5782"/>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oad_network_with_volume" connectionId="1" xr16:uid="{7EE1C034-1423-1045-8137-91E84C610B8D}" autoFormatId="16" applyNumberFormats="0" applyBorderFormats="0" applyFontFormats="1" applyPatternFormats="1" applyAlignmentFormats="0" applyWidthHeightFormats="0"/>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181">
  <rv s="0">
    <v>12</v>
    <v>03</v>
    <v>0</v>
  </rv>
  <rv s="0">
    <v>12</v>
    <v>013852984397214746</v>
    <v>0</v>
  </rv>
  <rv s="0">
    <v>12</v>
    <v>031030820352777287</v>
    <v>0</v>
  </rv>
  <rv s="0">
    <v>12</v>
    <v>02311100976146582</v>
    <v>0</v>
  </rv>
  <rv s="0">
    <v>12</v>
    <v>002289479080480611</v>
    <v>0</v>
  </rv>
  <rv s="0">
    <v>12</v>
    <v>02451559938819785</v>
    <v>0</v>
  </rv>
  <rv s="0">
    <v>12</v>
    <v>028263656316475105</v>
    <v>0</v>
  </rv>
  <rv s="0">
    <v>12</v>
    <v>04990197683287662</v>
    <v>0</v>
  </rv>
  <rv s="0">
    <v>12</v>
    <v>04437988778967036</v>
    <v>0</v>
  </rv>
  <rv s="0">
    <v>12</v>
    <v>057</v>
    <v>0</v>
  </rv>
  <rv s="0">
    <v>12</v>
    <v>0024703000713530744</v>
    <v>0</v>
  </rv>
  <rv s="0">
    <v>12</v>
    <v>005</v>
    <v>0</v>
  </rv>
  <rv s="0">
    <v>12</v>
    <v>0069380735156029175</v>
    <v>0</v>
  </rv>
  <rv s="0">
    <v>12</v>
    <v>007101068518965912</v>
    <v>0</v>
  </rv>
  <rv s="0">
    <v>12</v>
    <v>0008517064489053782</v>
    <v>0</v>
  </rv>
  <rv s="0">
    <v>12</v>
    <v>007</v>
    <v>0</v>
  </rv>
  <rv s="0">
    <v>12</v>
    <v>002369208120172308</v>
    <v>0</v>
  </rv>
  <rv s="0">
    <v>12</v>
    <v>004</v>
    <v>0</v>
  </rv>
  <rv s="0">
    <v>12</v>
    <v>036</v>
    <v>0</v>
  </rv>
  <rv s="0">
    <v>12</v>
    <v>06001698536508546</v>
    <v>0</v>
  </rv>
  <rv s="0">
    <v>12</v>
    <v>13889867689156335</v>
    <v>0</v>
  </rv>
  <rv s="0">
    <v>12</v>
    <v>03071512680022659</v>
    <v>0</v>
  </rv>
  <rv s="0">
    <v>12</v>
    <v>06938497074352719</v>
    <v>0</v>
  </rv>
  <rv s="0">
    <v>12</v>
    <v>03942263884935451</v>
    <v>0</v>
  </rv>
  <rv s="0">
    <v>12</v>
    <v>056685516505488996</v>
    <v>0</v>
  </rv>
  <rv s="0">
    <v>12</v>
    <v>0007184336121390515</v>
    <v>0</v>
  </rv>
  <rv s="0">
    <v>12</v>
    <v>07317138876231304</v>
    <v>0</v>
  </rv>
  <rv s="0">
    <v>12</v>
    <v>001082427157477869</v>
    <v>0</v>
  </rv>
  <rv s="0">
    <v>12</v>
    <v>023165554082555523</v>
    <v>0</v>
  </rv>
  <rv s="0">
    <v>12</v>
    <v>027</v>
    <v>0</v>
  </rv>
  <rv s="0">
    <v>12</v>
    <v>009494006728531302</v>
    <v>0</v>
  </rv>
  <rv s="0">
    <v>12</v>
    <v>005963203514542024</v>
    <v>0</v>
  </rv>
  <rv s="0">
    <v>12</v>
    <v>004225563944373766</v>
    <v>0</v>
  </rv>
  <rv s="0">
    <v>12</v>
    <v>008837198651423296</v>
    <v>0</v>
  </rv>
  <rv s="0">
    <v>12</v>
    <v>0032221365186138446</v>
    <v>0</v>
  </rv>
  <rv s="0">
    <v>12</v>
    <v>014079889271034951</v>
    <v>0</v>
  </rv>
  <rv s="0">
    <v>12</v>
    <v>013291499730480777</v>
    <v>0</v>
  </rv>
  <rv s="0">
    <v>12</v>
    <v>03104998149985928</v>
    <v>0</v>
  </rv>
  <rv s="0">
    <v>12</v>
    <v>012906626431416669</v>
    <v>0</v>
  </rv>
  <rv s="0">
    <v>12</v>
    <v>007717009185175016</v>
    <v>0</v>
  </rv>
  <rv s="0">
    <v>12</v>
    <v>058</v>
    <v>0</v>
  </rv>
  <rv s="0">
    <v>12</v>
    <v>046267461899984444</v>
    <v>0</v>
  </rv>
  <rv s="0">
    <v>12</v>
    <v>0182155868988528</v>
    <v>0</v>
  </rv>
  <rv s="0">
    <v>12</v>
    <v>053</v>
    <v>0</v>
  </rv>
  <rv s="0">
    <v>12</v>
    <v>05376564013863207</v>
    <v>0</v>
  </rv>
  <rv s="0">
    <v>12</v>
    <v>014338624687749227</v>
    <v>0</v>
  </rv>
  <rv s="0">
    <v>12</v>
    <v>016</v>
    <v>0</v>
  </rv>
  <rv s="0">
    <v>12</v>
    <v>00607430967514598</v>
    <v>0</v>
  </rv>
  <rv s="0">
    <v>12</v>
    <v>007298435577741683</v>
    <v>0</v>
  </rv>
  <rv s="0">
    <v>12</v>
    <v>006809709816793432</v>
    <v>0</v>
  </rv>
  <rv s="0">
    <v>12</v>
    <v>058528640466317894</v>
    <v>0</v>
  </rv>
  <rv s="0">
    <v>12</v>
    <v>021465200015738383</v>
    <v>0</v>
  </rv>
  <rv s="0">
    <v>12</v>
    <v>01819718400141914</v>
    <v>0</v>
  </rv>
  <rv s="0">
    <v>12</v>
    <v>01914549669497625</v>
    <v>0</v>
  </rv>
  <rv s="0">
    <v>12</v>
    <v>017183897396651274</v>
    <v>0</v>
  </rv>
  <rv s="0">
    <v>12</v>
    <v>023</v>
    <v>0</v>
  </rv>
  <rv s="0">
    <v>12</v>
    <v>010509803335718918</v>
    <v>0</v>
  </rv>
  <rv s="0">
    <v>12</v>
    <v>01924496685863681</v>
    <v>0</v>
  </rv>
  <rv s="0">
    <v>12</v>
    <v>014</v>
    <v>0</v>
  </rv>
  <rv s="0">
    <v>12</v>
    <v>011445488422992572</v>
    <v>0</v>
  </rv>
  <rv s="0">
    <v>12</v>
    <v>011573676954466223</v>
    <v>0</v>
  </rv>
  <rv s="0">
    <v>12</v>
    <v>008</v>
    <v>0</v>
  </rv>
  <rv s="0">
    <v>12</v>
    <v>004662078847772927</v>
    <v>0</v>
  </rv>
  <rv s="0">
    <v>12</v>
    <v>02625987284509735</v>
    <v>0</v>
  </rv>
  <rv s="0">
    <v>12</v>
    <v>00013927453344956203</v>
    <v>0</v>
  </rv>
  <rv s="0">
    <v>12</v>
    <v>014869010667893732</v>
    <v>0</v>
  </rv>
  <rv s="0">
    <v>12</v>
    <v>0006176691558767818</v>
    <v>0</v>
  </rv>
  <rv s="0">
    <v>12</v>
    <v>04184510129257541</v>
    <v>0</v>
  </rv>
  <rv s="0">
    <v>12</v>
    <v>009785644783709425</v>
    <v>0</v>
  </rv>
  <rv s="0">
    <v>12</v>
    <v>04580855410304073</v>
    <v>0</v>
  </rv>
  <rv s="0">
    <v>12</v>
    <v>004734776791779899</v>
    <v>0</v>
  </rv>
  <rv s="0">
    <v>12</v>
    <v>0777812301289305</v>
    <v>0</v>
  </rv>
  <rv s="0">
    <v>12</v>
    <v>05564739281116077</v>
    <v>0</v>
  </rv>
  <rv s="0">
    <v>12</v>
    <v>0431653081219805</v>
    <v>0</v>
  </rv>
  <rv s="0">
    <v>12</v>
    <v>004305589466704129</v>
    <v>0</v>
  </rv>
  <rv s="0">
    <v>12</v>
    <v>00648451514473071</v>
    <v>0</v>
  </rv>
  <rv s="0">
    <v>12</v>
    <v>056</v>
    <v>0</v>
  </rv>
  <rv s="0">
    <v>12</v>
    <v>01265018044888089</v>
    <v>0</v>
  </rv>
  <rv s="0">
    <v>12</v>
    <v>011971183754955273</v>
    <v>0</v>
  </rv>
  <rv s="0">
    <v>12</v>
    <v>008441579551518088</v>
    <v>0</v>
  </rv>
  <rv s="0">
    <v>12</v>
    <v>04307925851832455</v>
    <v>0</v>
  </rv>
  <rv s="0">
    <v>12</v>
    <v>008107178660262124</v>
    <v>0</v>
  </rv>
  <rv s="0">
    <v>12</v>
    <v>010816811878621851</v>
    <v>0</v>
  </rv>
  <rv s="0">
    <v>12</v>
    <v>05748117881938396</v>
    <v>0</v>
  </rv>
  <rv s="0">
    <v>12</v>
    <v>025642646675025624</v>
    <v>0</v>
  </rv>
  <rv s="0">
    <v>12</v>
    <v>05102073894195458</v>
    <v>0</v>
  </rv>
  <rv s="0">
    <v>12</v>
    <v>001</v>
    <v>0</v>
  </rv>
  <rv s="0">
    <v>12</v>
    <v>081</v>
    <v>0</v>
  </rv>
  <rv s="0">
    <v>12</v>
    <v>021458052024624013</v>
    <v>0</v>
  </rv>
  <rv s="0">
    <v>12</v>
    <v>057182506306229515</v>
    <v>0</v>
  </rv>
  <rv s="0">
    <v>12</v>
    <v>08377862576498414</v>
    <v>0</v>
  </rv>
  <rv s="0">
    <v>12</v>
    <v>04361021306220924</v>
    <v>0</v>
  </rv>
  <rv s="0">
    <v>12</v>
    <v>004875608771707399</v>
    <v>0</v>
  </rv>
  <rv s="0">
    <v>12</v>
    <v>049563311980249276</v>
    <v>0</v>
  </rv>
  <rv s="0">
    <v>12</v>
    <v>03219892797822438</v>
    <v>0</v>
  </rv>
  <rv s="0">
    <v>12</v>
    <v>006447958894850373</v>
    <v>0</v>
  </rv>
  <rv s="0">
    <v>12</v>
    <v>0017937749733862687</v>
    <v>0</v>
  </rv>
  <rv s="0">
    <v>12</v>
    <v>01106917625807102</v>
    <v>0</v>
  </rv>
  <rv s="0">
    <v>12</v>
    <v>0012490907807875338</v>
    <v>0</v>
  </rv>
  <rv s="0">
    <v>12</v>
    <v>0035118869239145777</v>
    <v>0</v>
  </rv>
  <rv s="0">
    <v>12</v>
    <v>0004976043935602402</v>
    <v>0</v>
  </rv>
  <rv s="0">
    <v>12</v>
    <v>034</v>
    <v>0</v>
  </rv>
  <rv s="0">
    <v>12</v>
    <v>0004616263141585945</v>
    <v>0</v>
  </rv>
  <rv s="0">
    <v>12</v>
    <v>007592714002371412</v>
    <v>0</v>
  </rv>
  <rv s="0">
    <v>12</v>
    <v>000630207843185628</v>
    <v>0</v>
  </rv>
  <rv s="0">
    <v>12</v>
    <v>019</v>
    <v>0</v>
  </rv>
  <rv s="0">
    <v>12</v>
    <v>00817493654116793</v>
    <v>0</v>
  </rv>
  <rv s="0">
    <v>12</v>
    <v>0023437146658114374</v>
    <v>0</v>
  </rv>
  <rv s="0">
    <v>12</v>
    <v>01</v>
    <v>0</v>
  </rv>
  <rv s="0">
    <v>12</v>
    <v>0033004143906402634</v>
    <v>0</v>
  </rv>
  <rv s="0">
    <v>12</v>
    <v>0028359343258954027</v>
    <v>0</v>
  </rv>
  <rv s="0">
    <v>12</v>
    <v>010070289341924924</v>
    <v>0</v>
  </rv>
  <rv s="0">
    <v>12</v>
    <v>032</v>
    <v>0</v>
  </rv>
  <rv s="0">
    <v>12</v>
    <v>011157492946831594</v>
    <v>0</v>
  </rv>
  <rv s="0">
    <v>12</v>
    <v>012744395482175437</v>
    <v>0</v>
  </rv>
  <rv s="0">
    <v>12</v>
    <v>10223646474460484</v>
    <v>0</v>
  </rv>
  <rv s="0">
    <v>12</v>
    <v>007474961812396547</v>
    <v>0</v>
  </rv>
  <rv s="0">
    <v>12</v>
    <v>004593102919482663</v>
    <v>0</v>
  </rv>
  <rv s="0">
    <v>12</v>
    <v>03065649586975939</v>
    <v>0</v>
  </rv>
  <rv s="0">
    <v>12</v>
    <v>035418240463044065</v>
    <v>0</v>
  </rv>
  <rv s="0">
    <v>12</v>
    <v>015244333978710696</v>
    <v>0</v>
  </rv>
  <rv s="0">
    <v>12</v>
    <v>017</v>
    <v>0</v>
  </rv>
  <rv s="0">
    <v>12</v>
    <v>005266462320484316</v>
    <v>0</v>
  </rv>
  <rv s="0">
    <v>12</v>
    <v>002066201066305444</v>
    <v>0</v>
  </rv>
  <rv s="0">
    <v>12</v>
    <v>00899590337505762</v>
    <v>0</v>
  </rv>
  <rv s="0">
    <v>12</v>
    <v>0028645755846311727</v>
    <v>0</v>
  </rv>
  <rv s="0">
    <v>12</v>
    <v>015211506120947921</v>
    <v>0</v>
  </rv>
  <rv s="0">
    <v>12</v>
    <v>07442270561551208</v>
    <v>0</v>
  </rv>
  <rv s="0">
    <v>12</v>
    <v>09262638370589593</v>
    <v>0</v>
  </rv>
  <rv s="0">
    <v>12</v>
    <v>008637878291155957</v>
    <v>0</v>
  </rv>
  <rv s="0">
    <v>12</v>
    <v>012</v>
    <v>0</v>
  </rv>
  <rv s="0">
    <v>12</v>
    <v>05685284462607367</v>
    <v>0</v>
  </rv>
  <rv s="0">
    <v>12</v>
    <v>0002778681949829312</v>
    <v>0</v>
  </rv>
  <rv s="0">
    <v>12</v>
    <v>012025586729003834</v>
    <v>0</v>
  </rv>
  <rv s="0">
    <v>12</v>
    <v>025537750044913852</v>
    <v>0</v>
  </rv>
  <rv s="0">
    <v>12</v>
    <v>03082916376275911</v>
    <v>0</v>
  </rv>
  <rv s="0">
    <v>12</v>
    <v>04233839700268167</v>
    <v>0</v>
  </rv>
  <rv s="0">
    <v>12</v>
    <v>015959221780845138</v>
    <v>0</v>
  </rv>
  <rv s="0">
    <v>12</v>
    <v>014465447659971573</v>
    <v>0</v>
  </rv>
  <rv s="0">
    <v>12</v>
    <v>00046673866852374387</v>
    <v>0</v>
  </rv>
  <rv s="0">
    <v>12</v>
    <v>011801625015387866</v>
    <v>0</v>
  </rv>
  <rv s="0">
    <v>12</v>
    <v>002755338787823994</v>
    <v>0</v>
  </rv>
  <rv s="0">
    <v>12</v>
    <v>0006915644599085925</v>
    <v>0</v>
  </rv>
  <rv s="0">
    <v>12</v>
    <v>003</v>
    <v>0</v>
  </rv>
  <rv s="0">
    <v>12</v>
    <v>0010255341576716189</v>
    <v>0</v>
  </rv>
  <rv s="0">
    <v>12</v>
    <v>016340539102854327</v>
    <v>0</v>
  </rv>
  <rv s="0">
    <v>12</v>
    <v>009064420397566351</v>
    <v>0</v>
  </rv>
  <rv s="0">
    <v>12</v>
    <v>008880698428088706</v>
    <v>0</v>
  </rv>
  <rv s="0">
    <v>12</v>
    <v>010228000568185458</v>
    <v>0</v>
  </rv>
  <rv s="0">
    <v>12</v>
    <v>009713547945218885</v>
    <v>0</v>
  </rv>
  <rv s="0">
    <v>12</v>
    <v>0022401175582248815</v>
    <v>0</v>
  </rv>
  <rv s="0">
    <v>12</v>
    <v>0032110852827038727</v>
    <v>0</v>
  </rv>
  <rv s="0">
    <v>12</v>
    <v>005846666820348184</v>
    <v>0</v>
  </rv>
  <rv s="0">
    <v>12</v>
    <v>002044573480820681</v>
    <v>0</v>
  </rv>
  <rv s="0">
    <v>12</v>
    <v>015389476125931906</v>
    <v>0</v>
  </rv>
  <rv s="0">
    <v>12</v>
    <v>015618466289475864</v>
    <v>0</v>
  </rv>
  <rv s="0">
    <v>12</v>
    <v>0020451472118452863</v>
    <v>0</v>
  </rv>
  <rv s="0">
    <v>12</v>
    <v>002226089797813039</v>
    <v>0</v>
  </rv>
  <rv s="0">
    <v>12</v>
    <v>009866078534045294</v>
    <v>0</v>
  </rv>
  <rv s="0">
    <v>12</v>
    <v>01074864510639962</v>
    <v>0</v>
  </rv>
  <rv s="0">
    <v>12</v>
    <v>015304482764018511</v>
    <v>0</v>
  </rv>
  <rv s="0">
    <v>12</v>
    <v>04718463296665228</v>
    <v>0</v>
  </rv>
  <rv s="0">
    <v>12</v>
    <v>010248038110007514</v>
    <v>0</v>
  </rv>
  <rv s="0">
    <v>12</v>
    <v>005727092742265672</v>
    <v>0</v>
  </rv>
  <rv s="0">
    <v>12</v>
    <v>0010654891129878688</v>
    <v>0</v>
  </rv>
  <rv s="0">
    <v>12</v>
    <v>0139470811297244</v>
    <v>0</v>
  </rv>
  <rv s="0">
    <v>12</v>
    <v>02441041940090236</v>
    <v>0</v>
  </rv>
  <rv s="0">
    <v>12</v>
    <v>023562909724013054</v>
    <v>0</v>
  </rv>
  <rv s="0">
    <v>12</v>
    <v>006786640286729226</v>
    <v>0</v>
  </rv>
  <rv s="0">
    <v>12</v>
    <v>005911722340245832</v>
    <v>0</v>
  </rv>
  <rv s="0">
    <v>12</v>
    <v>04</v>
    <v>0</v>
  </rv>
  <rv s="0">
    <v>12</v>
    <v>031247659692862376</v>
    <v>0</v>
  </rv>
  <rv s="0">
    <v>12</v>
    <v>012398777575332908</v>
    <v>0</v>
  </rv>
  <rv s="0">
    <v>12</v>
    <v>00233135537014234</v>
    <v>0</v>
  </rv>
  <rv s="0">
    <v>12</v>
    <v>015844094243286755</v>
    <v>0</v>
  </rv>
  <rv s="0">
    <v>12</v>
    <v>0008220013218928394</v>
    <v>0</v>
  </rv>
  <rv s="0">
    <v>12</v>
    <v>0017726987656340944</v>
    <v>0</v>
  </rv>
  <rv s="0">
    <v>12</v>
    <v>01197002681128785</v>
    <v>0</v>
  </rv>
  <rv s="0">
    <v>12</v>
    <v>03035138762144203</v>
    <v>0</v>
  </rv>
  <rv s="0">
    <v>12</v>
    <v>011083735881388739</v>
    <v>0</v>
  </rv>
  <rv s="0">
    <v>12</v>
    <v>0010996855586332057</v>
    <v>0</v>
  </rv>
  <rv s="0">
    <v>12</v>
    <v>004549597174351258</v>
    <v>0</v>
  </rv>
  <rv s="0">
    <v>12</v>
    <v>007719929358991172</v>
    <v>0</v>
  </rv>
  <rv s="0">
    <v>12</v>
    <v>031</v>
    <v>0</v>
  </rv>
  <rv s="0">
    <v>12</v>
    <v>033</v>
    <v>0</v>
  </rv>
  <rv s="0">
    <v>12</v>
    <v>018456431563345414</v>
    <v>0</v>
  </rv>
  <rv s="0">
    <v>12</v>
    <v>0006609617831550911</v>
    <v>0</v>
  </rv>
  <rv s="0">
    <v>12</v>
    <v>018270098308682696</v>
    <v>0</v>
  </rv>
  <rv s="0">
    <v>12</v>
    <v>03372874631086721</v>
    <v>0</v>
  </rv>
  <rv s="0">
    <v>12</v>
    <v>09748873684316677</v>
    <v>0</v>
  </rv>
  <rv s="0">
    <v>12</v>
    <v>042000140301576484</v>
    <v>0</v>
  </rv>
  <rv s="0">
    <v>12</v>
    <v>166</v>
    <v>0</v>
  </rv>
  <rv s="0">
    <v>12</v>
    <v>06649832022115836</v>
    <v>0</v>
  </rv>
  <rv s="0">
    <v>12</v>
    <v>11116149568423561</v>
    <v>0</v>
  </rv>
  <rv s="0">
    <v>12</v>
    <v>09847399881886328</v>
    <v>0</v>
  </rv>
  <rv s="0">
    <v>12</v>
    <v>08342488732459477</v>
    <v>0</v>
  </rv>
  <rv s="0">
    <v>12</v>
    <v>04314886925972429</v>
    <v>0</v>
  </rv>
  <rv s="0">
    <v>12</v>
    <v>087</v>
    <v>0</v>
  </rv>
  <rv s="0">
    <v>12</v>
    <v>027282283165337234</v>
    <v>0</v>
  </rv>
  <rv s="0">
    <v>12</v>
    <v>053147153561003004</v>
    <v>0</v>
  </rv>
  <rv s="0">
    <v>12</v>
    <v>002</v>
    <v>0</v>
  </rv>
  <rv s="0">
    <v>12</v>
    <v>14239715830887276</v>
    <v>0</v>
  </rv>
  <rv s="0">
    <v>12</v>
    <v>02717169357805121</v>
    <v>0</v>
  </rv>
  <rv s="0">
    <v>12</v>
    <v>011111097765211587</v>
    <v>0</v>
  </rv>
  <rv s="0">
    <v>12</v>
    <v>0161439449122708</v>
    <v>0</v>
  </rv>
  <rv s="0">
    <v>12</v>
    <v>17235837385174135</v>
    <v>0</v>
  </rv>
  <rv s="0">
    <v>12</v>
    <v>013628319834872088</v>
    <v>0</v>
  </rv>
  <rv s="0">
    <v>12</v>
    <v>011111520796989233</v>
    <v>0</v>
  </rv>
  <rv s="0">
    <v>12</v>
    <v>006645510829413702</v>
    <v>0</v>
  </rv>
  <rv s="0">
    <v>12</v>
    <v>02026195407625209</v>
    <v>0</v>
  </rv>
  <rv s="0">
    <v>12</v>
    <v>111</v>
    <v>0</v>
  </rv>
  <rv s="0">
    <v>12</v>
    <v>024295900584700887</v>
    <v>0</v>
  </rv>
  <rv s="0">
    <v>12</v>
    <v>14154205518247925</v>
    <v>0</v>
  </rv>
  <rv s="0">
    <v>12</v>
    <v>039</v>
    <v>0</v>
  </rv>
  <rv s="0">
    <v>12</v>
    <v>02</v>
    <v>0</v>
  </rv>
  <rv s="0">
    <v>12</v>
    <v>006617316607620334</v>
    <v>0</v>
  </rv>
  <rv s="0">
    <v>12</v>
    <v>0422617708836998</v>
    <v>0</v>
  </rv>
  <rv s="0">
    <v>12</v>
    <v>034086392075345626</v>
    <v>0</v>
  </rv>
  <rv s="0">
    <v>12</v>
    <v>026</v>
    <v>0</v>
  </rv>
  <rv s="0">
    <v>12</v>
    <v>10342573472719659</v>
    <v>0</v>
  </rv>
  <rv s="0">
    <v>12</v>
    <v>052</v>
    <v>0</v>
  </rv>
  <rv s="0">
    <v>12</v>
    <v>06597123074537843</v>
    <v>0</v>
  </rv>
  <rv s="0">
    <v>12</v>
    <v>04475872986752524</v>
    <v>0</v>
  </rv>
  <rv s="0">
    <v>12</v>
    <v>084</v>
    <v>0</v>
  </rv>
  <rv s="0">
    <v>12</v>
    <v>01914443029926014</v>
    <v>0</v>
  </rv>
  <rv s="0">
    <v>12</v>
    <v>019250074040424302</v>
    <v>0</v>
  </rv>
  <rv s="0">
    <v>12</v>
    <v>0409266291843375</v>
    <v>0</v>
  </rv>
  <rv s="0">
    <v>12</v>
    <v>003496728572208679</v>
    <v>0</v>
  </rv>
  <rv s="0">
    <v>12</v>
    <v>02730070207664867</v>
    <v>0</v>
  </rv>
  <rv s="0">
    <v>12</v>
    <v>027820786835357342</v>
    <v>0</v>
  </rv>
  <rv s="0">
    <v>12</v>
    <v>025489074690077447</v>
    <v>0</v>
  </rv>
  <rv s="0">
    <v>12</v>
    <v>127</v>
    <v>0</v>
  </rv>
  <rv s="0">
    <v>12</v>
    <v>2404226359901649</v>
    <v>0</v>
  </rv>
  <rv s="0">
    <v>12</v>
    <v>974792689717282e</v>
    <v>0</v>
  </rv>
  <rv s="0">
    <v>12</v>
    <v>21920706199731438</v>
    <v>0</v>
  </rv>
  <rv s="0">
    <v>12</v>
    <v>22725376145309711</v>
    <v>0</v>
  </rv>
  <rv s="0">
    <v>12</v>
    <v>02014387468123665</v>
    <v>0</v>
  </rv>
  <rv s="0">
    <v>12</v>
    <v>0005964228687773941</v>
    <v>0</v>
  </rv>
  <rv s="0">
    <v>12</v>
    <v>053266588232562036</v>
    <v>0</v>
  </rv>
  <rv s="0">
    <v>12</v>
    <v>060757848970951975</v>
    <v>0</v>
  </rv>
  <rv s="0">
    <v>12</v>
    <v>0033708377117629153</v>
    <v>0</v>
  </rv>
  <rv s="0">
    <v>12</v>
    <v>04550310529481909</v>
    <v>0</v>
  </rv>
  <rv s="0">
    <v>12</v>
    <v>00526225426132935</v>
    <v>0</v>
  </rv>
  <rv s="0">
    <v>12</v>
    <v>11685454666263362</v>
    <v>0</v>
  </rv>
  <rv s="0">
    <v>12</v>
    <v>004682262005107376</v>
    <v>0</v>
  </rv>
  <rv s="0">
    <v>12</v>
    <v>016507330659942667</v>
    <v>0</v>
  </rv>
  <rv s="0">
    <v>12</v>
    <v>05301173040118997</v>
    <v>0</v>
  </rv>
  <rv s="0">
    <v>12</v>
    <v>05079085818400705</v>
    <v>0</v>
  </rv>
  <rv s="0">
    <v>12</v>
    <v>013583243050131377</v>
    <v>0</v>
  </rv>
  <rv s="0">
    <v>12</v>
    <v>018901324218174184</v>
    <v>0</v>
  </rv>
  <rv s="0">
    <v>12</v>
    <v>00022520336633467353</v>
    <v>0</v>
  </rv>
  <rv s="0">
    <v>12</v>
    <v>00255641689986972</v>
    <v>0</v>
  </rv>
  <rv s="0">
    <v>12</v>
    <v>031974737805338334</v>
    <v>0</v>
  </rv>
  <rv s="0">
    <v>12</v>
    <v>024059835972510372</v>
    <v>0</v>
  </rv>
  <rv s="0">
    <v>12</v>
    <v>168</v>
    <v>0</v>
  </rv>
  <rv s="0">
    <v>12</v>
    <v>03039754697988512</v>
    <v>0</v>
  </rv>
  <rv s="0">
    <v>12</v>
    <v>0005676206938936413</v>
    <v>0</v>
  </rv>
  <rv s="0">
    <v>12</v>
    <v>0005793461802545394</v>
    <v>0</v>
  </rv>
  <rv s="0">
    <v>12</v>
    <v>010487381546883974</v>
    <v>0</v>
  </rv>
  <rv s="0">
    <v>12</v>
    <v>899148199680172e</v>
    <v>0</v>
  </rv>
  <rv s="0">
    <v>12</v>
    <v>002991324066499556</v>
    <v>0</v>
  </rv>
  <rv s="0">
    <v>12</v>
    <v>014872148477527347</v>
    <v>0</v>
  </rv>
  <rv s="0">
    <v>12</v>
    <v>024</v>
    <v>0</v>
  </rv>
  <rv s="0">
    <v>12</v>
    <v>0009600690903071304</v>
    <v>0</v>
  </rv>
  <rv s="0">
    <v>12</v>
    <v>115</v>
    <v>0</v>
  </rv>
  <rv s="0">
    <v>12</v>
    <v>02607036830651842</v>
    <v>0</v>
  </rv>
  <rv s="0">
    <v>12</v>
    <v>0009254445377723359</v>
    <v>0</v>
  </rv>
  <rv s="0">
    <v>12</v>
    <v>022</v>
    <v>0</v>
  </rv>
  <rv s="0">
    <v>12</v>
    <v>14677453354065437</v>
    <v>0</v>
  </rv>
  <rv s="0">
    <v>12</v>
    <v>0001604239228083632</v>
    <v>0</v>
  </rv>
  <rv s="0">
    <v>12</v>
    <v>0089598568535941</v>
    <v>0</v>
  </rv>
  <rv s="0">
    <v>12</v>
    <v>00034194758918872385</v>
    <v>0</v>
  </rv>
  <rv s="0">
    <v>12</v>
    <v>014293385752096958</v>
    <v>0</v>
  </rv>
  <rv s="0">
    <v>12</v>
    <v>03772539862784576</v>
    <v>0</v>
  </rv>
  <rv s="0">
    <v>12</v>
    <v>09945669227157254</v>
    <v>0</v>
  </rv>
  <rv s="0">
    <v>12</v>
    <v>08660257892851687</v>
    <v>0</v>
  </rv>
  <rv s="0">
    <v>12</v>
    <v>10870353255285886</v>
    <v>0</v>
  </rv>
  <rv s="0">
    <v>12</v>
    <v>007099202862698323</v>
    <v>0</v>
  </rv>
  <rv s="0">
    <v>12</v>
    <v>02047254292390493</v>
    <v>0</v>
  </rv>
  <rv s="0">
    <v>12</v>
    <v>011597302637494915</v>
    <v>0</v>
  </rv>
  <rv s="0">
    <v>12</v>
    <v>007353108553530858</v>
    <v>0</v>
  </rv>
  <rv s="0">
    <v>12</v>
    <v>014681579115804245</v>
    <v>0</v>
  </rv>
  <rv s="0">
    <v>12</v>
    <v>003089483834409846</v>
    <v>0</v>
  </rv>
  <rv s="0">
    <v>12</v>
    <v>010524376279615826</v>
    <v>0</v>
  </rv>
  <rv s="0">
    <v>12</v>
    <v>0174916717720595</v>
    <v>0</v>
  </rv>
  <rv s="0">
    <v>12</v>
    <v>015356849278249207</v>
    <v>0</v>
  </rv>
  <rv s="0">
    <v>12</v>
    <v>017158540667559265</v>
    <v>0</v>
  </rv>
  <rv s="0">
    <v>12</v>
    <v>005474158835753482</v>
    <v>0</v>
  </rv>
  <rv s="0">
    <v>12</v>
    <v>016003513456629103</v>
    <v>0</v>
  </rv>
  <rv s="0">
    <v>12</v>
    <v>03344470060328079</v>
    <v>0</v>
  </rv>
  <rv s="0">
    <v>12</v>
    <v>033021712364774594</v>
    <v>0</v>
  </rv>
  <rv s="0">
    <v>12</v>
    <v>016137700280590892</v>
    <v>0</v>
  </rv>
  <rv s="0">
    <v>12</v>
    <v>007646548091348292</v>
    <v>0</v>
  </rv>
  <rv s="0">
    <v>12</v>
    <v>0150354680830785</v>
    <v>0</v>
  </rv>
  <rv s="0">
    <v>12</v>
    <v>0008528506698947529</v>
    <v>0</v>
  </rv>
  <rv s="0">
    <v>12</v>
    <v>00714890344523385</v>
    <v>0</v>
  </rv>
  <rv s="0">
    <v>12</v>
    <v>008833276369195894</v>
    <v>0</v>
  </rv>
  <rv s="0">
    <v>12</v>
    <v>044</v>
    <v>0</v>
  </rv>
  <rv s="0">
    <v>12</v>
    <v>007245640430863964</v>
    <v>0</v>
  </rv>
  <rv s="0">
    <v>12</v>
    <v>005028064130978592</v>
    <v>0</v>
  </rv>
  <rv s="0">
    <v>12</v>
    <v>0024962720269895906</v>
    <v>0</v>
  </rv>
  <rv s="0">
    <v>12</v>
    <v>02809429371474351</v>
    <v>0</v>
  </rv>
  <rv s="0">
    <v>12</v>
    <v>005210333591467267</v>
    <v>0</v>
  </rv>
  <rv s="0">
    <v>12</v>
    <v>029160765927272455</v>
    <v>0</v>
  </rv>
  <rv s="0">
    <v>12</v>
    <v>03740713058704881</v>
    <v>0</v>
  </rv>
  <rv s="0">
    <v>12</v>
    <v>03761455839649033</v>
    <v>0</v>
  </rv>
  <rv s="0">
    <v>12</v>
    <v>01753027304988824</v>
    <v>0</v>
  </rv>
  <rv s="0">
    <v>12</v>
    <v>012875974158852872</v>
    <v>0</v>
  </rv>
  <rv s="0">
    <v>12</v>
    <v>028686537081679116</v>
    <v>0</v>
  </rv>
  <rv s="0">
    <v>12</v>
    <v>021755160321239697</v>
    <v>0</v>
  </rv>
  <rv s="0">
    <v>12</v>
    <v>011922816375409739</v>
    <v>0</v>
  </rv>
  <rv s="0">
    <v>12</v>
    <v>020733967726850783</v>
    <v>0</v>
  </rv>
  <rv s="0">
    <v>12</v>
    <v>020865945403683948</v>
    <v>0</v>
  </rv>
  <rv s="0">
    <v>12</v>
    <v>014093279341958241</v>
    <v>0</v>
  </rv>
  <rv s="0">
    <v>12</v>
    <v>051868974208060116</v>
    <v>0</v>
  </rv>
  <rv s="0">
    <v>12</v>
    <v>0462416937107223</v>
    <v>0</v>
  </rv>
  <rv s="0">
    <v>12</v>
    <v>05625023813267793</v>
    <v>0</v>
  </rv>
  <rv s="0">
    <v>12</v>
    <v>355</v>
    <v>0</v>
  </rv>
  <rv s="0">
    <v>12</v>
    <v>1301328051932916</v>
    <v>0</v>
  </rv>
  <rv s="0">
    <v>12</v>
    <v>339</v>
    <v>0</v>
  </rv>
  <rv s="0">
    <v>12</v>
    <v>06059007527760244</v>
    <v>0</v>
  </rv>
  <rv s="0">
    <v>12</v>
    <v>012261884360567838</v>
    <v>0</v>
  </rv>
  <rv s="0">
    <v>12</v>
    <v>04443809728619519</v>
    <v>0</v>
  </rv>
  <rv s="0">
    <v>12</v>
    <v>291</v>
    <v>0</v>
  </rv>
  <rv s="0">
    <v>12</v>
    <v>10233306804214998</v>
    <v>0</v>
  </rv>
  <rv s="0">
    <v>12</v>
    <v>433</v>
    <v>0</v>
  </rv>
  <rv s="0">
    <v>12</v>
    <v>396</v>
    <v>0</v>
  </rv>
  <rv s="0">
    <v>12</v>
    <v>3569929614629585</v>
    <v>0</v>
  </rv>
  <rv s="0">
    <v>12</v>
    <v>03406803528406569</v>
    <v>0</v>
  </rv>
  <rv s="0">
    <v>12</v>
    <v>01400639128427768</v>
    <v>0</v>
  </rv>
  <rv s="0">
    <v>12</v>
    <v>01875248263879717</v>
    <v>0</v>
  </rv>
  <rv s="0">
    <v>12</v>
    <v>019556396848215057</v>
    <v>0</v>
  </rv>
  <rv s="0">
    <v>12</v>
    <v>00889152548780464</v>
    <v>0</v>
  </rv>
  <rv s="0">
    <v>12</v>
    <v>102</v>
    <v>0</v>
  </rv>
  <rv s="0">
    <v>12</v>
    <v>0008332380481521601</v>
    <v>0</v>
  </rv>
  <rv s="0">
    <v>12</v>
    <v>0009670724033373712</v>
    <v>0</v>
  </rv>
  <rv s="0">
    <v>12</v>
    <v>0011316651980780895</v>
    <v>0</v>
  </rv>
  <rv s="0">
    <v>12</v>
    <v>0015359663764209631</v>
    <v>0</v>
  </rv>
  <rv s="0">
    <v>12</v>
    <v>0</v>
    <v>0</v>
  </rv>
  <rv s="0">
    <v>12</v>
    <v>003981938319870948</v>
    <v>0</v>
  </rv>
  <rv s="0">
    <v>12</v>
    <v>0024077626517187496</v>
    <v>0</v>
  </rv>
  <rv s="0">
    <v>12</v>
    <v>011</v>
    <v>0</v>
  </rv>
  <rv s="0">
    <v>12</v>
    <v>00931650571296831</v>
    <v>0</v>
  </rv>
  <rv s="0">
    <v>12</v>
    <v>010977230394698086</v>
    <v>0</v>
  </rv>
  <rv s="0">
    <v>12</v>
    <v>0045832444087718</v>
    <v>0</v>
  </rv>
  <rv s="0">
    <v>12</v>
    <v>007863851087417034</v>
    <v>0</v>
  </rv>
  <rv s="0">
    <v>12</v>
    <v>00417068446619805</v>
    <v>0</v>
  </rv>
  <rv s="0">
    <v>12</v>
    <v>0022342027953634563</v>
    <v>0</v>
  </rv>
  <rv s="0">
    <v>12</v>
    <v>00868584892500836</v>
    <v>0</v>
  </rv>
  <rv s="0">
    <v>12</v>
    <v>009</v>
    <v>0</v>
  </rv>
  <rv s="0">
    <v>12</v>
    <v>0001887050142932115</v>
    <v>0</v>
  </rv>
  <rv s="0">
    <v>12</v>
    <v>01971702188823029</v>
    <v>0</v>
  </rv>
  <rv s="0">
    <v>12</v>
    <v>045</v>
    <v>0</v>
  </rv>
  <rv s="0">
    <v>12</v>
    <v>0019373737211252468</v>
    <v>0</v>
  </rv>
  <rv s="0">
    <v>12</v>
    <v>048</v>
    <v>0</v>
  </rv>
  <rv s="0">
    <v>12</v>
    <v>009229757017014478</v>
    <v>0</v>
  </rv>
  <rv s="0">
    <v>12</v>
    <v>008907671679117319</v>
    <v>0</v>
  </rv>
  <rv s="0">
    <v>12</v>
    <v>08828032490564318</v>
    <v>0</v>
  </rv>
  <rv s="0">
    <v>12</v>
    <v>0022489914561706114</v>
    <v>0</v>
  </rv>
  <rv s="0">
    <v>12</v>
    <v>004926546574349798</v>
    <v>0</v>
  </rv>
  <rv s="0">
    <v>12</v>
    <v>060738709274572776</v>
    <v>0</v>
  </rv>
  <rv s="0">
    <v>12</v>
    <v>02906005412663297</v>
    <v>0</v>
  </rv>
  <rv s="0">
    <v>12</v>
    <v>002848134000991885</v>
    <v>0</v>
  </rv>
  <rv s="0">
    <v>12</v>
    <v>043744745410063915</v>
    <v>0</v>
  </rv>
  <rv s="0">
    <v>12</v>
    <v>03556797161864738</v>
    <v>0</v>
  </rv>
  <rv s="0">
    <v>12</v>
    <v>17405540608707804</v>
    <v>0</v>
  </rv>
  <rv s="0">
    <v>12</v>
    <v>04272444646546749</v>
    <v>0</v>
  </rv>
  <rv s="0">
    <v>12</v>
    <v>02144736875200914</v>
    <v>0</v>
  </rv>
  <rv s="0">
    <v>12</v>
    <v>572</v>
    <v>0</v>
  </rv>
  <rv s="0">
    <v>12</v>
    <v>0533819244894559</v>
    <v>0</v>
  </rv>
  <rv s="0">
    <v>12</v>
    <v>575</v>
    <v>0</v>
  </rv>
  <rv s="0">
    <v>12</v>
    <v>025326170793820227</v>
    <v>0</v>
  </rv>
  <rv s="0">
    <v>12</v>
    <v>1082405608450301</v>
    <v>0</v>
  </rv>
  <rv s="0">
    <v>12</v>
    <v>043060255478654885</v>
    <v>0</v>
  </rv>
  <rv s="0">
    <v>12</v>
    <v>04316952453025493</v>
    <v>0</v>
  </rv>
  <rv s="0">
    <v>12</v>
    <v>014104166207104914</v>
    <v>0</v>
  </rv>
  <rv s="0">
    <v>12</v>
    <v>03597384027964877</v>
    <v>0</v>
  </rv>
  <rv s="0">
    <v>12</v>
    <v>0011095229510863069</v>
    <v>0</v>
  </rv>
  <rv s="0">
    <v>12</v>
    <v>00349797209574249</v>
    <v>0</v>
  </rv>
  <rv s="0">
    <v>12</v>
    <v>023916935786305663</v>
    <v>0</v>
  </rv>
  <rv s="0">
    <v>12</v>
    <v>07442005573242806</v>
    <v>0</v>
  </rv>
  <rv s="0">
    <v>12</v>
    <v>085</v>
    <v>0</v>
  </rv>
  <rv s="0">
    <v>12</v>
    <v>08997136772838696</v>
    <v>0</v>
  </rv>
  <rv s="0">
    <v>12</v>
    <v>015591942187828235</v>
    <v>0</v>
  </rv>
  <rv s="0">
    <v>12</v>
    <v>005130082307063543</v>
    <v>0</v>
  </rv>
  <rv s="0">
    <v>12</v>
    <v>0013479789407363837</v>
    <v>0</v>
  </rv>
  <rv s="0">
    <v>12</v>
    <v>014564313394501522</v>
    <v>0</v>
  </rv>
  <rv s="0">
    <v>12</v>
    <v>007444177328032896</v>
    <v>0</v>
  </rv>
  <rv s="0">
    <v>12</v>
    <v>006185724852922</v>
    <v>0</v>
  </rv>
  <rv s="0">
    <v>12</v>
    <v>007177089063573108</v>
    <v>0</v>
  </rv>
  <rv s="0">
    <v>12</v>
    <v>010147137848610181</v>
    <v>0</v>
  </rv>
  <rv s="0">
    <v>12</v>
    <v>17</v>
    <v>0</v>
  </rv>
  <rv s="0">
    <v>12</v>
    <v>0345467498410043</v>
    <v>0</v>
  </rv>
  <rv s="0">
    <v>12</v>
    <v>12446664293108524</v>
    <v>0</v>
  </rv>
  <rv s="0">
    <v>12</v>
    <v>14484748329630026</v>
    <v>0</v>
  </rv>
  <rv s="0">
    <v>12</v>
    <v>145</v>
    <v>0</v>
  </rv>
  <rv s="0">
    <v>12</v>
    <v>145442642450169</v>
    <v>0</v>
  </rv>
  <rv s="0">
    <v>12</v>
    <v>15560149738062373</v>
    <v>0</v>
  </rv>
  <rv s="0">
    <v>12</v>
    <v>021692893129712593</v>
    <v>0</v>
  </rv>
  <rv s="0">
    <v>12</v>
    <v>143</v>
    <v>0</v>
  </rv>
  <rv s="0">
    <v>12</v>
    <v>050064845932125554</v>
    <v>0</v>
  </rv>
  <rv s="0">
    <v>12</v>
    <v>06949117544327828</v>
    <v>0</v>
  </rv>
  <rv s="0">
    <v>12</v>
    <v>019160134163244972</v>
    <v>0</v>
  </rv>
  <rv s="0">
    <v>12</v>
    <v>13217975709665652</v>
    <v>0</v>
  </rv>
  <rv s="0">
    <v>12</v>
    <v>013834389974242727</v>
    <v>0</v>
  </rv>
  <rv s="0">
    <v>12</v>
    <v>01641368669778265</v>
    <v>0</v>
  </rv>
  <rv s="0">
    <v>12</v>
    <v>094</v>
    <v>0</v>
  </rv>
  <rv s="0">
    <v>12</v>
    <v>08724695261639544</v>
    <v>0</v>
  </rv>
  <rv s="0">
    <v>12</v>
    <v>06506417279267739</v>
    <v>0</v>
  </rv>
  <rv s="0">
    <v>12</v>
    <v>10573227299848942</v>
    <v>0</v>
  </rv>
  <rv s="0">
    <v>12</v>
    <v>096</v>
    <v>0</v>
  </rv>
  <rv s="0">
    <v>12</v>
    <v>046</v>
    <v>0</v>
  </rv>
  <rv s="0">
    <v>12</v>
    <v>16564256307412237</v>
    <v>0</v>
  </rv>
  <rv s="0">
    <v>12</v>
    <v>1268494285693302</v>
    <v>0</v>
  </rv>
  <rv s="0">
    <v>12</v>
    <v>053478822353982575</v>
    <v>0</v>
  </rv>
  <rv s="0">
    <v>12</v>
    <v>04797694501499313</v>
    <v>0</v>
  </rv>
  <rv s="0">
    <v>12</v>
    <v>014467227296690111</v>
    <v>0</v>
  </rv>
  <rv s="0">
    <v>12</v>
    <v>283</v>
    <v>0</v>
  </rv>
  <rv s="0">
    <v>12</v>
    <v>039431739038713526</v>
    <v>0</v>
  </rv>
  <rv s="0">
    <v>12</v>
    <v>122</v>
    <v>0</v>
  </rv>
  <rv s="0">
    <v>12</v>
    <v>04480699902012468</v>
    <v>0</v>
  </rv>
  <rv s="0">
    <v>12</v>
    <v>0033913971571581532</v>
    <v>0</v>
  </rv>
  <rv s="0">
    <v>12</v>
    <v>006899581016008195</v>
    <v>0</v>
  </rv>
  <rv s="0">
    <v>12</v>
    <v>00034856494850731576</v>
    <v>0</v>
  </rv>
  <rv s="0">
    <v>12</v>
    <v>02107951758023726</v>
    <v>0</v>
  </rv>
  <rv s="0">
    <v>12</v>
    <v>008521270056834515</v>
    <v>0</v>
  </rv>
  <rv s="0">
    <v>12</v>
    <v>02268296550840906</v>
    <v>0</v>
  </rv>
  <rv s="0">
    <v>12</v>
    <v>04660556292808439</v>
    <v>0</v>
  </rv>
  <rv s="0">
    <v>12</v>
    <v>023702984946497856</v>
    <v>0</v>
  </rv>
  <rv s="0">
    <v>12</v>
    <v>01686820963598715</v>
    <v>0</v>
  </rv>
  <rv s="0">
    <v>12</v>
    <v>0091220151489373</v>
    <v>0</v>
  </rv>
  <rv s="0">
    <v>12</v>
    <v>022333999748220708</v>
    <v>0</v>
  </rv>
  <rv s="0">
    <v>12</v>
    <v>022246665267729768</v>
    <v>0</v>
  </rv>
  <rv s="0">
    <v>12</v>
    <v>2860170077954936</v>
    <v>0</v>
  </rv>
  <rv s="0">
    <v>12</v>
    <v>007921298318583559</v>
    <v>0</v>
  </rv>
  <rv s="0">
    <v>12</v>
    <v>002782251900383496</v>
    <v>0</v>
  </rv>
  <rv s="0">
    <v>12</v>
    <v>01922724326178846</v>
    <v>0</v>
  </rv>
  <rv s="0">
    <v>12</v>
    <v>018210989171671188</v>
    <v>0</v>
  </rv>
  <rv s="0">
    <v>12</v>
    <v>0014269000565836191</v>
    <v>0</v>
  </rv>
  <rv s="0">
    <v>12</v>
    <v>032861922008109924</v>
    <v>0</v>
  </rv>
  <rv s="0">
    <v>12</v>
    <v>033404422087311134</v>
    <v>0</v>
  </rv>
  <rv s="0">
    <v>12</v>
    <v>04210956314414549</v>
    <v>0</v>
  </rv>
  <rv s="0">
    <v>12</v>
    <v>051039983568446974</v>
    <v>0</v>
  </rv>
  <rv s="0">
    <v>12</v>
    <v>0984180615453575</v>
    <v>0</v>
  </rv>
  <rv s="0">
    <v>12</v>
    <v>09825424514987606</v>
    <v>0</v>
  </rv>
  <rv s="0">
    <v>12</v>
    <v>02201919598335327</v>
    <v>0</v>
  </rv>
  <rv s="0">
    <v>12</v>
    <v>20316108639541566</v>
    <v>0</v>
  </rv>
  <rv s="0">
    <v>12</v>
    <v>223415784951488</v>
    <v>0</v>
  </rv>
  <rv s="0">
    <v>12</v>
    <v>198</v>
    <v>0</v>
  </rv>
  <rv s="0">
    <v>12</v>
    <v>05074577738839815</v>
    <v>0</v>
  </rv>
  <rv s="0">
    <v>12</v>
    <v>064</v>
    <v>0</v>
  </rv>
  <rv s="0">
    <v>12</v>
    <v>16</v>
    <v>0</v>
  </rv>
  <rv s="0">
    <v>12</v>
    <v>03682779766567695</v>
    <v>0</v>
  </rv>
  <rv s="0">
    <v>12</v>
    <v>037494026006179994</v>
    <v>0</v>
  </rv>
  <rv s="0">
    <v>12</v>
    <v>14838509550307258</v>
    <v>0</v>
  </rv>
  <rv s="0">
    <v>12</v>
    <v>17248348825575902</v>
    <v>0</v>
  </rv>
  <rv s="0">
    <v>12</v>
    <v>06405021176028092</v>
    <v>0</v>
  </rv>
  <rv s="0">
    <v>12</v>
    <v>036421448472402036</v>
    <v>0</v>
  </rv>
  <rv s="0">
    <v>12</v>
    <v>007467789802945943</v>
    <v>0</v>
  </rv>
  <rv s="0">
    <v>12</v>
    <v>012356935970690578</v>
    <v>0</v>
  </rv>
  <rv s="0">
    <v>12</v>
    <v>031512265469968624</v>
    <v>0</v>
  </rv>
  <rv s="0">
    <v>12</v>
    <v>0422537148784705</v>
    <v>0</v>
  </rv>
  <rv s="0">
    <v>12</v>
    <v>03053583619880511</v>
    <v>0</v>
  </rv>
  <rv s="0">
    <v>12</v>
    <v>05</v>
    <v>0</v>
  </rv>
  <rv s="0">
    <v>12</v>
    <v>029731816432979</v>
    <v>0</v>
  </rv>
  <rv s="0">
    <v>12</v>
    <v>07380152762509976</v>
    <v>0</v>
  </rv>
  <rv s="0">
    <v>12</v>
    <v>10731062926227486</v>
    <v>0</v>
  </rv>
  <rv s="0">
    <v>12</v>
    <v>10911930696439763</v>
    <v>0</v>
  </rv>
  <rv s="0">
    <v>12</v>
    <v>082</v>
    <v>0</v>
  </rv>
  <rv s="0">
    <v>12</v>
    <v>03735612155780731</v>
    <v>0</v>
  </rv>
  <rv s="0">
    <v>12</v>
    <v>0489367971563424</v>
    <v>0</v>
  </rv>
  <rv s="0">
    <v>12</v>
    <v>007979209135352284</v>
    <v>0</v>
  </rv>
  <rv s="0">
    <v>12</v>
    <v>20371061207864552</v>
    <v>0</v>
  </rv>
  <rv s="0">
    <v>12</v>
    <v>023595720196491792</v>
    <v>0</v>
  </rv>
  <rv s="0">
    <v>12</v>
    <v>015940820928410784</v>
    <v>0</v>
  </rv>
  <rv s="0">
    <v>12</v>
    <v>0170056873801634</v>
    <v>0</v>
  </rv>
  <rv s="0">
    <v>12</v>
    <v>014052770831404614</v>
    <v>0</v>
  </rv>
  <rv s="0">
    <v>12</v>
    <v>10934609243330036</v>
    <v>0</v>
  </rv>
  <rv s="0">
    <v>12</v>
    <v>0316759264026097</v>
    <v>0</v>
  </rv>
  <rv s="0">
    <v>12</v>
    <v>017664395725147008</v>
    <v>0</v>
  </rv>
  <rv s="0">
    <v>12</v>
    <v>029</v>
    <v>0</v>
  </rv>
  <rv s="0">
    <v>12</v>
    <v>0034935265618713076</v>
    <v>0</v>
  </rv>
  <rv s="0">
    <v>12</v>
    <v>009922708489609683</v>
    <v>0</v>
  </rv>
  <rv s="0">
    <v>12</v>
    <v>012852989537745602</v>
    <v>0</v>
  </rv>
  <rv s="0">
    <v>12</v>
    <v>021092161757253796</v>
    <v>0</v>
  </rv>
  <rv s="0">
    <v>12</v>
    <v>008610369959879342</v>
    <v>0</v>
  </rv>
  <rv s="0">
    <v>12</v>
    <v>000660416296490495</v>
    <v>0</v>
  </rv>
  <rv s="0">
    <v>12</v>
    <v>047</v>
    <v>0</v>
  </rv>
  <rv s="0">
    <v>12</v>
    <v>0028949228251643993</v>
    <v>0</v>
  </rv>
  <rv s="0">
    <v>12</v>
    <v>0032013934697060617</v>
    <v>0</v>
  </rv>
  <rv s="0">
    <v>12</v>
    <v>025456014046076142</v>
    <v>0</v>
  </rv>
  <rv s="0">
    <v>12</v>
    <v>004845987894988095</v>
    <v>0</v>
  </rv>
  <rv s="0">
    <v>12</v>
    <v>025</v>
    <v>0</v>
  </rv>
  <rv s="0">
    <v>12</v>
    <v>009530111734250299</v>
    <v>0</v>
  </rv>
  <rv s="0">
    <v>12</v>
    <v>012419101269734051</v>
    <v>0</v>
  </rv>
  <rv s="0">
    <v>12</v>
    <v>03575625810407733</v>
    <v>0</v>
  </rv>
  <rv s="0">
    <v>12</v>
    <v>028190393213027586</v>
    <v>0</v>
  </rv>
  <rv s="0">
    <v>12</v>
    <v>037</v>
    <v>0</v>
  </rv>
  <rv s="0">
    <v>12</v>
    <v>023267942540581028</v>
    <v>0</v>
  </rv>
  <rv s="0">
    <v>12</v>
    <v>003768968413843329</v>
    <v>0</v>
  </rv>
  <rv s="0">
    <v>12</v>
    <v>02195150703983148</v>
    <v>0</v>
  </rv>
  <rv s="0">
    <v>12</v>
    <v>014268040937977969</v>
    <v>0</v>
  </rv>
  <rv s="0">
    <v>12</v>
    <v>006936936449948819</v>
    <v>0</v>
  </rv>
  <rv s="0">
    <v>12</v>
    <v>0016007410117579073</v>
    <v>0</v>
  </rv>
  <rv s="0">
    <v>12</v>
    <v>0009444516337006708</v>
    <v>0</v>
  </rv>
  <rv s="0">
    <v>12</v>
    <v>2419563711412156</v>
    <v>0</v>
  </rv>
  <rv s="0">
    <v>12</v>
    <v>0238243411463873</v>
    <v>0</v>
  </rv>
  <rv s="0">
    <v>12</v>
    <v>7030300125311012</v>
    <v>0</v>
  </rv>
  <rv s="0">
    <v>12</v>
    <v>0609227460296409</v>
    <v>0</v>
  </rv>
  <rv s="0">
    <v>12</v>
    <v>016673113826375006</v>
    <v>0</v>
  </rv>
  <rv s="0">
    <v>12</v>
    <v>01030300839026555</v>
    <v>0</v>
  </rv>
  <rv s="0">
    <v>12</v>
    <v>004201342449171735</v>
    <v>0</v>
  </rv>
  <rv s="0">
    <v>12</v>
    <v>0037286886940684216</v>
    <v>0</v>
  </rv>
  <rv s="0">
    <v>12</v>
    <v>0006684153212363129</v>
    <v>0</v>
  </rv>
  <rv s="0">
    <v>12</v>
    <v>012126308688380777</v>
    <v>0</v>
  </rv>
  <rv s="0">
    <v>12</v>
    <v>200673494064326</v>
    <v>0</v>
  </rv>
  <rv s="0">
    <v>12</v>
    <v>018840116840155324</v>
    <v>0</v>
  </rv>
  <rv s="0">
    <v>12</v>
    <v>017582734549521792</v>
    <v>0</v>
  </rv>
  <rv s="0">
    <v>12</v>
    <v>05692576450640643</v>
    <v>0</v>
  </rv>
  <rv s="0">
    <v>12</v>
    <v>055438157622603346</v>
    <v>0</v>
  </rv>
  <rv s="0">
    <v>12</v>
    <v>0004330084599471693</v>
    <v>0</v>
  </rv>
  <rv s="0">
    <v>12</v>
    <v>054586875275763044</v>
    <v>0</v>
  </rv>
  <rv s="0">
    <v>12</v>
    <v>0023397993838118678</v>
    <v>0</v>
  </rv>
  <rv s="0">
    <v>12</v>
    <v>007922708517319566</v>
    <v>0</v>
  </rv>
  <rv s="0">
    <v>12</v>
    <v>0034701121584236184</v>
    <v>0</v>
  </rv>
  <rv s="0">
    <v>12</v>
    <v>002305740920017143</v>
    <v>0</v>
  </rv>
  <rv s="0">
    <v>12</v>
    <v>07082086091844403</v>
    <v>0</v>
  </rv>
  <rv s="0">
    <v>12</v>
    <v>05977830159184644</v>
    <v>0</v>
  </rv>
  <rv s="0">
    <v>12</v>
    <v>089</v>
    <v>0</v>
  </rv>
  <rv s="0">
    <v>12</v>
    <v>044270968095716255</v>
    <v>0</v>
  </rv>
  <rv s="0">
    <v>12</v>
    <v>0736037491263843</v>
    <v>0</v>
  </rv>
  <rv s="0">
    <v>12</v>
    <v>04846894726170554</v>
    <v>0</v>
  </rv>
  <rv s="0">
    <v>12</v>
    <v>00504853650002678</v>
    <v>0</v>
  </rv>
  <rv s="0">
    <v>12</v>
    <v>057200866580821116</v>
    <v>0</v>
  </rv>
  <rv s="0">
    <v>12</v>
    <v>005849805097245759</v>
    <v>0</v>
  </rv>
  <rv s="0">
    <v>12</v>
    <v>08418169404402463</v>
    <v>0</v>
  </rv>
  <rv s="0">
    <v>12</v>
    <v>0034521207147448657</v>
    <v>0</v>
  </rv>
  <rv s="0">
    <v>12</v>
    <v>916235220720764e</v>
    <v>0</v>
  </rv>
  <rv s="0">
    <v>12</v>
    <v>0075432140919446215</v>
    <v>0</v>
  </rv>
  <rv s="0">
    <v>12</v>
    <v>003695210773223967</v>
    <v>0</v>
  </rv>
  <rv s="0">
    <v>12</v>
    <v>011108020710681565</v>
    <v>0</v>
  </rv>
  <rv s="0">
    <v>12</v>
    <v>005443004003628599</v>
    <v>0</v>
  </rv>
  <rv s="0">
    <v>12</v>
    <v>007895309729207371</v>
    <v>0</v>
  </rv>
  <rv s="0">
    <v>12</v>
    <v>012982131091270985</v>
    <v>0</v>
  </rv>
  <rv s="0">
    <v>12</v>
    <v>001229462124515986</v>
    <v>0</v>
  </rv>
  <rv s="0">
    <v>12</v>
    <v>0035695195533883327</v>
    <v>0</v>
  </rv>
  <rv s="0">
    <v>12</v>
    <v>006782310145637606</v>
    <v>0</v>
  </rv>
  <rv s="0">
    <v>12</v>
    <v>011976337892893962</v>
    <v>0</v>
  </rv>
  <rv s="0">
    <v>12</v>
    <v>019908237879019065</v>
    <v>0</v>
  </rv>
  <rv s="0">
    <v>12</v>
    <v>011578767858967883</v>
    <v>0</v>
  </rv>
  <rv s="0">
    <v>12</v>
    <v>020411496785081782</v>
    <v>0</v>
  </rv>
  <rv s="0">
    <v>12</v>
    <v>016520658910606705</v>
    <v>0</v>
  </rv>
  <rv s="0">
    <v>12</v>
    <v>0021800644382022616</v>
    <v>0</v>
  </rv>
  <rv s="0">
    <v>12</v>
    <v>0239678471125594</v>
    <v>0</v>
  </rv>
  <rv s="0">
    <v>12</v>
    <v>02450475465162993</v>
    <v>0</v>
  </rv>
  <rv s="0">
    <v>12</v>
    <v>023465445132160076</v>
    <v>0</v>
  </rv>
  <rv s="0">
    <v>12</v>
    <v>108</v>
    <v>0</v>
  </rv>
  <rv s="0">
    <v>12</v>
    <v>002754524684091206</v>
    <v>0</v>
  </rv>
  <rv s="0">
    <v>12</v>
    <v>026444980286255273</v>
    <v>0</v>
  </rv>
  <rv s="0">
    <v>12</v>
    <v>0029355032578571505</v>
    <v>0</v>
  </rv>
  <rv s="0">
    <v>12</v>
    <v>022629606840354644</v>
    <v>0</v>
  </rv>
  <rv s="0">
    <v>12</v>
    <v>08573014894379707</v>
    <v>0</v>
  </rv>
  <rv s="0">
    <v>12</v>
    <v>08686055877342017</v>
    <v>0</v>
  </rv>
  <rv s="0">
    <v>12</v>
    <v>011620173940345304</v>
    <v>0</v>
  </rv>
  <rv s="0">
    <v>12</v>
    <v>409</v>
    <v>0</v>
  </rv>
  <rv s="0">
    <v>12</v>
    <v>00420670851210285</v>
    <v>0</v>
  </rv>
  <rv s="0">
    <v>12</v>
    <v>053128023942947154</v>
    <v>0</v>
  </rv>
  <rv s="0">
    <v>12</v>
    <v>006636100622726911</v>
    <v>0</v>
  </rv>
  <rv s="0">
    <v>12</v>
    <v>02279187754683879</v>
    <v>0</v>
  </rv>
  <rv s="0">
    <v>12</v>
    <v>024693179053983657</v>
    <v>0</v>
  </rv>
  <rv s="0">
    <v>12</v>
    <v>005944206499701584</v>
    <v>0</v>
  </rv>
  <rv s="0">
    <v>12</v>
    <v>021</v>
    <v>0</v>
  </rv>
  <rv s="0">
    <v>12</v>
    <v>024911840416685534</v>
    <v>0</v>
  </rv>
  <rv s="0">
    <v>12</v>
    <v>0050828836199641935</v>
    <v>0</v>
  </rv>
  <rv s="0">
    <v>12</v>
    <v>0038563422589038727</v>
    <v>0</v>
  </rv>
  <rv s="0">
    <v>12</v>
    <v>005183815081548553</v>
    <v>0</v>
  </rv>
  <rv s="0">
    <v>12</v>
    <v>004624894641888361</v>
    <v>0</v>
  </rv>
  <rv s="0">
    <v>12</v>
    <v>03229120823714503</v>
    <v>0</v>
  </rv>
  <rv s="0">
    <v>12</v>
    <v>0113858967979268</v>
    <v>0</v>
  </rv>
  <rv s="0">
    <v>12</v>
    <v>009752418173402567</v>
    <v>0</v>
  </rv>
  <rv s="0">
    <v>12</v>
    <v>012006714438357066</v>
    <v>0</v>
  </rv>
  <rv s="0">
    <v>12</v>
    <v>017232307842560968</v>
    <v>0</v>
  </rv>
  <rv s="0">
    <v>12</v>
    <v>02283540866868697</v>
    <v>0</v>
  </rv>
  <rv s="0">
    <v>12</v>
    <v>463</v>
    <v>0</v>
  </rv>
  <rv s="0">
    <v>12</v>
    <v>218</v>
    <v>0</v>
  </rv>
  <rv s="0">
    <v>12</v>
    <v>03221421243792978</v>
    <v>0</v>
  </rv>
  <rv s="0">
    <v>12</v>
    <v>008591612393931199</v>
    <v>0</v>
  </rv>
  <rv s="0">
    <v>12</v>
    <v>037704424256673516</v>
    <v>0</v>
  </rv>
  <rv s="0">
    <v>12</v>
    <v>0364449519215689</v>
    <v>0</v>
  </rv>
  <rv s="0">
    <v>12</v>
    <v>15316510949581164</v>
    <v>0</v>
  </rv>
  <rv s="0">
    <v>12</v>
    <v>049408169906064225</v>
    <v>0</v>
  </rv>
  <rv s="0">
    <v>12</v>
    <v>553961997971409e</v>
    <v>0</v>
  </rv>
  <rv s="0">
    <v>12</v>
    <v>020734248572955083</v>
    <v>0</v>
  </rv>
  <rv s="0">
    <v>12</v>
    <v>006762257159703523</v>
    <v>0</v>
  </rv>
  <rv s="0">
    <v>12</v>
    <v>006858766754272482</v>
    <v>0</v>
  </rv>
  <rv s="0">
    <v>12</v>
    <v>0054635182844200774</v>
    <v>0</v>
  </rv>
  <rv s="0">
    <v>12</v>
    <v>0035519447406686462</v>
    <v>0</v>
  </rv>
  <rv s="0">
    <v>12</v>
    <v>03221571811289862</v>
    <v>0</v>
  </rv>
  <rv s="0">
    <v>12</v>
    <v>007581413994622806</v>
    <v>0</v>
  </rv>
  <rv s="0">
    <v>12</v>
    <v>012772910409277777</v>
    <v>0</v>
  </rv>
  <rv s="0">
    <v>12</v>
    <v>05956075633771116</v>
    <v>0</v>
  </rv>
  <rv s="0">
    <v>12</v>
    <v>08084021713316954</v>
    <v>0</v>
  </rv>
  <rv s="0">
    <v>12</v>
    <v>001914427975198362</v>
    <v>0</v>
  </rv>
  <rv s="0">
    <v>12</v>
    <v>04690292777372434</v>
    <v>0</v>
  </rv>
  <rv s="0">
    <v>12</v>
    <v>04663288583520412</v>
    <v>0</v>
  </rv>
  <rv s="0">
    <v>12</v>
    <v>024739506477510543</v>
    <v>0</v>
  </rv>
  <rv s="0">
    <v>12</v>
    <v>03835605428319474</v>
    <v>0</v>
  </rv>
  <rv s="0">
    <v>12</v>
    <v>0006240376773686061</v>
    <v>0</v>
  </rv>
  <rv s="0">
    <v>12</v>
    <v>018002473652324547</v>
    <v>0</v>
  </rv>
  <rv s="0">
    <v>12</v>
    <v>03568885055077721</v>
    <v>0</v>
  </rv>
  <rv s="0">
    <v>12</v>
    <v>01882119639354403</v>
    <v>0</v>
  </rv>
  <rv s="0">
    <v>12</v>
    <v>007731749075970163</v>
    <v>0</v>
  </rv>
  <rv s="0">
    <v>12</v>
    <v>0404433116811602</v>
    <v>0</v>
  </rv>
  <rv s="0">
    <v>12</v>
    <v>04028797956527618</v>
    <v>0</v>
  </rv>
  <rv s="0">
    <v>12</v>
    <v>0189354580825417</v>
    <v>0</v>
  </rv>
  <rv s="0">
    <v>12</v>
    <v>012875923769234767</v>
    <v>0</v>
  </rv>
  <rv s="0">
    <v>12</v>
    <v>024303332116634203</v>
    <v>0</v>
  </rv>
  <rv s="0">
    <v>12</v>
    <v>008318541540152706</v>
    <v>0</v>
  </rv>
  <rv s="0">
    <v>12</v>
    <v>02549327236911861</v>
    <v>0</v>
  </rv>
  <rv s="0">
    <v>12</v>
    <v>007196960262934664</v>
    <v>0</v>
  </rv>
  <rv s="0">
    <v>12</v>
    <v>04426684724038575</v>
    <v>0</v>
  </rv>
  <rv s="0">
    <v>12</v>
    <v>1133262423848895</v>
    <v>0</v>
  </rv>
  <rv s="0">
    <v>12</v>
    <v>017744527325946387</v>
    <v>0</v>
  </rv>
  <rv s="0">
    <v>12</v>
    <v>010971651810052422</v>
    <v>0</v>
  </rv>
  <rv s="0">
    <v>12</v>
    <v>015</v>
    <v>0</v>
  </rv>
  <rv s="0">
    <v>12</v>
    <v>010118253298016966</v>
    <v>0</v>
  </rv>
  <rv s="0">
    <v>12</v>
    <v>023150052381497005</v>
    <v>0</v>
  </rv>
  <rv s="0">
    <v>12</v>
    <v>032243121790335</v>
    <v>0</v>
  </rv>
  <rv s="0">
    <v>12</v>
    <v>02583398830502032</v>
    <v>0</v>
  </rv>
  <rv s="0">
    <v>12</v>
    <v>07967647337419574</v>
    <v>0</v>
  </rv>
  <rv s="0">
    <v>12</v>
    <v>05812814760899181</v>
    <v>0</v>
  </rv>
  <rv s="0">
    <v>12</v>
    <v>035</v>
    <v>0</v>
  </rv>
  <rv s="0">
    <v>12</v>
    <v>03476524346248557</v>
    <v>0</v>
  </rv>
  <rv s="0">
    <v>12</v>
    <v>028132254573694244</v>
    <v>0</v>
  </rv>
  <rv s="0">
    <v>12</v>
    <v>018030750655257548</v>
    <v>0</v>
  </rv>
  <rv s="0">
    <v>12</v>
    <v>011337853975791335</v>
    <v>0</v>
  </rv>
  <rv s="0">
    <v>12</v>
    <v>0079459782572473</v>
    <v>0</v>
  </rv>
  <rv s="0">
    <v>12</v>
    <v>030463393494704904</v>
    <v>0</v>
  </rv>
  <rv s="0">
    <v>12</v>
    <v>00822531983845284</v>
    <v>0</v>
  </rv>
  <rv s="0">
    <v>12</v>
    <v>0277491350609564</v>
    <v>0</v>
  </rv>
  <rv s="0">
    <v>12</v>
    <v>0009982548650091987</v>
    <v>0</v>
  </rv>
  <rv s="0">
    <v>12</v>
    <v>014434788199998692</v>
    <v>0</v>
  </rv>
  <rv s="0">
    <v>12</v>
    <v>069</v>
    <v>0</v>
  </rv>
  <rv s="0">
    <v>12</v>
    <v>05952638136912584</v>
    <v>0</v>
  </rv>
  <rv s="0">
    <v>12</v>
    <v>00850324839020403</v>
    <v>0</v>
  </rv>
  <rv s="0">
    <v>12</v>
    <v>016846990767554283</v>
    <v>0</v>
  </rv>
  <rv s="0">
    <v>12</v>
    <v>08979962768875338</v>
    <v>0</v>
  </rv>
  <rv s="0">
    <v>12</v>
    <v>0021150833312160804</v>
    <v>0</v>
  </rv>
  <rv s="0">
    <v>12</v>
    <v>01618056681594174</v>
    <v>0</v>
  </rv>
  <rv s="0">
    <v>12</v>
    <v>034427829452646684</v>
    <v>0</v>
  </rv>
  <rv s="0">
    <v>12</v>
    <v>03863096584829205</v>
    <v>0</v>
  </rv>
  <rv s="0">
    <v>12</v>
    <v>008342761167318812</v>
    <v>0</v>
  </rv>
  <rv s="0">
    <v>12</v>
    <v>0009959095860947833</v>
    <v>0</v>
  </rv>
  <rv s="0">
    <v>12</v>
    <v>008295886784129215</v>
    <v>0</v>
  </rv>
  <rv s="0">
    <v>12</v>
    <v>1</v>
    <v>0</v>
  </rv>
  <rv s="0">
    <v>12</v>
    <v>0018757746688095292</v>
    <v>0</v>
  </rv>
  <rv s="0">
    <v>12</v>
    <v>008288417900827185</v>
    <v>0</v>
  </rv>
  <rv s="0">
    <v>12</v>
    <v>029638508143608883</v>
    <v>0</v>
  </rv>
  <rv s="0">
    <v>12</v>
    <v>08618545860979027</v>
    <v>0</v>
  </rv>
  <rv s="0">
    <v>12</v>
    <v>08276895691466143</v>
    <v>0</v>
  </rv>
  <rv s="0">
    <v>12</v>
    <v>07162407310173352</v>
    <v>0</v>
  </rv>
  <rv s="0">
    <v>12</v>
    <v>014118306020682208</v>
    <v>0</v>
  </rv>
  <rv s="0">
    <v>12</v>
    <v>027897193571427344</v>
    <v>0</v>
  </rv>
  <rv s="0">
    <v>12</v>
    <v>019186969775519706</v>
    <v>0</v>
  </rv>
  <rv s="0">
    <v>12</v>
    <v>06432756792379037</v>
    <v>0</v>
  </rv>
  <rv s="0">
    <v>12</v>
    <v>059</v>
    <v>0</v>
  </rv>
  <rv s="0">
    <v>12</v>
    <v>008614101805892577</v>
    <v>0</v>
  </rv>
  <rv s="0">
    <v>12</v>
    <v>041400317279547384</v>
    <v>0</v>
  </rv>
  <rv s="0">
    <v>12</v>
    <v>03858267952856631</v>
    <v>0</v>
  </rv>
  <rv s="0">
    <v>12</v>
    <v>029501102089023908</v>
    <v>0</v>
  </rv>
  <rv s="0">
    <v>12</v>
    <v>012078576391504956</v>
    <v>0</v>
  </rv>
  <rv s="0">
    <v>12</v>
    <v>04386502300052215</v>
    <v>0</v>
  </rv>
  <rv s="0">
    <v>12</v>
    <v>004025148503320914</v>
    <v>0</v>
  </rv>
  <rv s="0">
    <v>12</v>
    <v>003449352328105715</v>
    <v>0</v>
  </rv>
  <rv s="0">
    <v>12</v>
    <v>007495271313801695</v>
    <v>0</v>
  </rv>
  <rv s="0">
    <v>12</v>
    <v>01602138177330298</v>
    <v>0</v>
  </rv>
  <rv s="0">
    <v>12</v>
    <v>0005695915148702848</v>
    <v>0</v>
  </rv>
  <rv s="0">
    <v>12</v>
    <v>7249506510794755e</v>
    <v>0</v>
  </rv>
  <rv s="0">
    <v>12</v>
    <v>06317183203207039</v>
    <v>0</v>
  </rv>
  <rv s="0">
    <v>12</v>
    <v>06274815593299131</v>
    <v>0</v>
  </rv>
  <rv s="0">
    <v>12</v>
    <v>026713410346349397</v>
    <v>0</v>
  </rv>
  <rv s="0">
    <v>12</v>
    <v>0949820172612182</v>
    <v>0</v>
  </rv>
  <rv s="0">
    <v>12</v>
    <v>04594593829262675</v>
    <v>0</v>
  </rv>
  <rv s="0">
    <v>12</v>
    <v>004040806090405187</v>
    <v>0</v>
  </rv>
  <rv s="0">
    <v>12</v>
    <v>02134674884797402</v>
    <v>0</v>
  </rv>
  <rv s="0">
    <v>12</v>
    <v>027866334604938363</v>
    <v>0</v>
  </rv>
  <rv s="0">
    <v>12</v>
    <v>020252789314450285</v>
    <v>0</v>
  </rv>
  <rv s="0">
    <v>12</v>
    <v>011539129872797893</v>
    <v>0</v>
  </rv>
  <rv s="0">
    <v>12</v>
    <v>00018561544532492877</v>
    <v>0</v>
  </rv>
  <rv s="0">
    <v>12</v>
    <v>00021981880523663986</v>
    <v>0</v>
  </rv>
  <rv s="0">
    <v>12</v>
    <v>02115781974154355</v>
    <v>0</v>
  </rv>
  <rv s="0">
    <v>12</v>
    <v>020753356094938606</v>
    <v>0</v>
  </rv>
  <rv s="0">
    <v>12</v>
    <v>010328101456495768</v>
    <v>0</v>
  </rv>
  <rv s="0">
    <v>12</v>
    <v>0030524968216310722</v>
    <v>0</v>
  </rv>
  <rv s="0">
    <v>12</v>
    <v>0046542441876576265</v>
    <v>0</v>
  </rv>
  <rv s="0">
    <v>12</v>
    <v>02342331401237667</v>
    <v>0</v>
  </rv>
  <rv s="0">
    <v>12</v>
    <v>0019581027836842466</v>
    <v>0</v>
  </rv>
  <rv s="0">
    <v>12</v>
    <v>0017367570395036005</v>
    <v>0</v>
  </rv>
  <rv s="0">
    <v>12</v>
    <v>019357986029464473</v>
    <v>0</v>
  </rv>
  <rv s="0">
    <v>12</v>
    <v>023504605976436374</v>
    <v>0</v>
  </rv>
  <rv s="0">
    <v>12</v>
    <v>005472191937827036</v>
    <v>0</v>
  </rv>
  <rv s="0">
    <v>12</v>
    <v>04431797722873443</v>
    <v>0</v>
  </rv>
  <rv s="0">
    <v>12</v>
    <v>0005645743229255477</v>
    <v>0</v>
  </rv>
  <rv s="0">
    <v>12</v>
    <v>0014328825264327797</v>
    <v>0</v>
  </rv>
  <rv s="0">
    <v>12</v>
    <v>0072002925067053795</v>
    <v>0</v>
  </rv>
  <rv s="0">
    <v>12</v>
    <v>007379035520338303</v>
    <v>0</v>
  </rv>
  <rv s="0">
    <v>12</v>
    <v>05481611904481073</v>
    <v>0</v>
  </rv>
  <rv s="0">
    <v>12</v>
    <v>004921142280883713</v>
    <v>0</v>
  </rv>
  <rv s="0">
    <v>12</v>
    <v>002709811661802867</v>
    <v>0</v>
  </rv>
  <rv s="0">
    <v>12</v>
    <v>02231531141864921</v>
    <v>0</v>
  </rv>
  <rv s="0">
    <v>12</v>
    <v>12052666200040205</v>
    <v>0</v>
  </rv>
  <rv s="0">
    <v>12</v>
    <v>24681964550832092</v>
    <v>0</v>
  </rv>
  <rv s="0">
    <v>12</v>
    <v>227</v>
    <v>0</v>
  </rv>
  <rv s="0">
    <v>12</v>
    <v>05883708351702366</v>
    <v>0</v>
  </rv>
  <rv s="0">
    <v>12</v>
    <v>08067902371294183</v>
    <v>0</v>
  </rv>
  <rv s="0">
    <v>12</v>
    <v>129</v>
    <v>0</v>
  </rv>
  <rv s="0">
    <v>12</v>
    <v>22591150666433607</v>
    <v>0</v>
  </rv>
  <rv s="0">
    <v>12</v>
    <v>11</v>
    <v>0</v>
  </rv>
  <rv s="0">
    <v>12</v>
    <v>015937282741946168</v>
    <v>0</v>
  </rv>
  <rv s="0">
    <v>12</v>
    <v>015852536686872764</v>
    <v>0</v>
  </rv>
  <rv s="0">
    <v>12</v>
    <v>007117023865388537</v>
    <v>0</v>
  </rv>
  <rv s="0">
    <v>12</v>
    <v>00690969594419227</v>
    <v>0</v>
  </rv>
  <rv s="0">
    <v>12</v>
    <v>01978688541762106</v>
    <v>0</v>
  </rv>
  <rv s="0">
    <v>12</v>
    <v>00025792187506659935</v>
    <v>0</v>
  </rv>
  <rv s="0">
    <v>12</v>
    <v>0068110542567474345</v>
    <v>0</v>
  </rv>
  <rv s="0">
    <v>12</v>
    <v>001138589887339991</v>
    <v>0</v>
  </rv>
  <rv s="0">
    <v>12</v>
    <v>018158692577459834</v>
    <v>0</v>
  </rv>
  <rv s="0">
    <v>12</v>
    <v>013316239533402875</v>
    <v>0</v>
  </rv>
  <rv s="0">
    <v>12</v>
    <v>10608538157878568</v>
    <v>0</v>
  </rv>
  <rv s="0">
    <v>12</v>
    <v>09664578123513988</v>
    <v>0</v>
  </rv>
  <rv s="0">
    <v>12</v>
    <v>026966496717702883</v>
    <v>0</v>
  </rv>
  <rv s="0">
    <v>12</v>
    <v>02527287591983107</v>
    <v>0</v>
  </rv>
  <rv s="0">
    <v>12</v>
    <v>025531220274884005</v>
    <v>0</v>
  </rv>
  <rv s="0">
    <v>12</v>
    <v>01617180425450318</v>
    <v>0</v>
  </rv>
  <rv s="0">
    <v>12</v>
    <v>0066117342006283145</v>
    <v>0</v>
  </rv>
  <rv s="0">
    <v>12</v>
    <v>013673482302339068</v>
    <v>0</v>
  </rv>
  <rv s="0">
    <v>12</v>
    <v>01463907626397774</v>
    <v>0</v>
  </rv>
  <rv s="0">
    <v>12</v>
    <v>002740363369188542</v>
    <v>0</v>
  </rv>
  <rv s="0">
    <v>12</v>
    <v>0024422202482937386</v>
    <v>0</v>
  </rv>
  <rv s="0">
    <v>12</v>
    <v>01569084593684197</v>
    <v>0</v>
  </rv>
  <rv s="0">
    <v>12</v>
    <v>017930859290274746</v>
    <v>0</v>
  </rv>
  <rv s="0">
    <v>12</v>
    <v>020445920047352354</v>
    <v>0</v>
  </rv>
  <rv s="0">
    <v>12</v>
    <v>005721770193637074</v>
    <v>0</v>
  </rv>
  <rv s="0">
    <v>12</v>
    <v>027399893092669273</v>
    <v>0</v>
  </rv>
  <rv s="0">
    <v>12</v>
    <v>01299308056528563</v>
    <v>0</v>
  </rv>
  <rv s="0">
    <v>12</v>
    <v>007706264468874662</v>
    <v>0</v>
  </rv>
  <rv s="0">
    <v>12</v>
    <v>004345757644010316</v>
    <v>0</v>
  </rv>
  <rv s="0">
    <v>12</v>
    <v>008296396931484751</v>
    <v>0</v>
  </rv>
  <rv s="0">
    <v>12</v>
    <v>06540317529773781</v>
    <v>0</v>
  </rv>
  <rv s="0">
    <v>12</v>
    <v>03429234163645256</v>
    <v>0</v>
  </rv>
  <rv s="0">
    <v>12</v>
    <v>03190521163737265</v>
    <v>0</v>
  </rv>
  <rv s="0">
    <v>12</v>
    <v>0038411962511062394</v>
    <v>0</v>
  </rv>
  <rv s="0">
    <v>12</v>
    <v>06670818404009046</v>
    <v>0</v>
  </rv>
  <rv s="0">
    <v>12</v>
    <v>16258155532341348</v>
    <v>0</v>
  </rv>
  <rv s="0">
    <v>12</v>
    <v>1424564244466124</v>
    <v>0</v>
  </rv>
  <rv s="0">
    <v>12</v>
    <v>01794728087804029</v>
    <v>0</v>
  </rv>
  <rv s="0">
    <v>12</v>
    <v>01796118572552284</v>
    <v>0</v>
  </rv>
  <rv s="0">
    <v>12</v>
    <v>006300373300276569</v>
    <v>0</v>
  </rv>
  <rv s="0">
    <v>12</v>
    <v>079</v>
    <v>0</v>
  </rv>
  <rv s="0">
    <v>12</v>
    <v>009836219219994275</v>
    <v>0</v>
  </rv>
  <rv s="0">
    <v>12</v>
    <v>020417549782405012</v>
    <v>0</v>
  </rv>
  <rv s="0">
    <v>12</v>
    <v>0044334166035229165</v>
    <v>0</v>
  </rv>
  <rv s="0">
    <v>12</v>
    <v>032872499882143705</v>
    <v>0</v>
  </rv>
  <rv s="0">
    <v>12</v>
    <v>007906678265961798</v>
    <v>0</v>
  </rv>
  <rv s="0">
    <v>12</v>
    <v>317</v>
    <v>0</v>
  </rv>
  <rv s="0">
    <v>12</v>
    <v>006909240448278987</v>
    <v>0</v>
  </rv>
  <rv s="0">
    <v>12</v>
    <v>20727622701975237</v>
    <v>0</v>
  </rv>
  <rv s="0">
    <v>12</v>
    <v>013943535343835954</v>
    <v>0</v>
  </rv>
  <rv s="0">
    <v>12</v>
    <v>01379994465988785</v>
    <v>0</v>
  </rv>
  <rv s="0">
    <v>12</v>
    <v>005698148964832875</v>
    <v>0</v>
  </rv>
  <rv s="0">
    <v>12</v>
    <v>003658779947007991</v>
    <v>0</v>
  </rv>
  <rv s="0">
    <v>12</v>
    <v>0022895581720808974</v>
    <v>0</v>
  </rv>
  <rv s="0">
    <v>12</v>
    <v>0009047946793241898</v>
    <v>0</v>
  </rv>
  <rv s="0">
    <v>12</v>
    <v>021080745741678748</v>
    <v>0</v>
  </rv>
  <rv s="0">
    <v>12</v>
    <v>003959398655672704</v>
    <v>0</v>
  </rv>
  <rv s="0">
    <v>12</v>
    <v>0027347513898033126</v>
    <v>0</v>
  </rv>
  <rv s="0">
    <v>12</v>
    <v>006926938944746202</v>
    <v>0</v>
  </rv>
  <rv s="0">
    <v>12</v>
    <v>0030567485265792266</v>
    <v>0</v>
  </rv>
  <rv s="0">
    <v>12</v>
    <v>02181543663972047</v>
    <v>0</v>
  </rv>
  <rv s="0">
    <v>12</v>
    <v>026990617248850723</v>
    <v>0</v>
  </rv>
  <rv s="0">
    <v>12</v>
    <v>002491781739305734</v>
    <v>0</v>
  </rv>
  <rv s="0">
    <v>12</v>
    <v>0959649441522264</v>
    <v>0</v>
  </rv>
  <rv s="0">
    <v>12</v>
    <v>06088176408230832</v>
    <v>0</v>
  </rv>
  <rv s="0">
    <v>12</v>
    <v>06391509338378128</v>
    <v>0</v>
  </rv>
  <rv s="0">
    <v>12</v>
    <v>06483371979384599</v>
    <v>0</v>
  </rv>
  <rv s="0">
    <v>12</v>
    <v>03225124947453251</v>
    <v>0</v>
  </rv>
  <rv s="0">
    <v>12</v>
    <v>05551843976695225</v>
    <v>0</v>
  </rv>
  <rv s="0">
    <v>12</v>
    <v>004358764608166217</v>
    <v>0</v>
  </rv>
  <rv s="0">
    <v>12</v>
    <v>0027288930153920588</v>
    <v>0</v>
  </rv>
  <rv s="0">
    <v>12</v>
    <v>018361258062444236</v>
    <v>0</v>
  </rv>
  <rv s="0">
    <v>12</v>
    <v>0013344876579683628</v>
    <v>0</v>
  </rv>
  <rv s="0">
    <v>12</v>
    <v>016779085992425922</v>
    <v>0</v>
  </rv>
  <rv s="0">
    <v>12</v>
    <v>00013029052267890295</v>
    <v>0</v>
  </rv>
  <rv s="0">
    <v>12</v>
    <v>007242307047045454</v>
    <v>0</v>
  </rv>
  <rv s="0">
    <v>12</v>
    <v>007145527799328579</v>
    <v>0</v>
  </rv>
  <rv s="0">
    <v>12</v>
    <v>01702064660034847</v>
    <v>0</v>
  </rv>
  <rv s="0">
    <v>12</v>
    <v>11501030912337039</v>
    <v>0</v>
  </rv>
  <rv s="0">
    <v>12</v>
    <v>0009259541723991385</v>
    <v>0</v>
  </rv>
  <rv s="0">
    <v>12</v>
    <v>009152739361725368</v>
    <v>0</v>
  </rv>
  <rv s="0">
    <v>12</v>
    <v>11055034520880137</v>
    <v>0</v>
  </rv>
  <rv s="0">
    <v>12</v>
    <v>05980753544643632</v>
    <v>0</v>
  </rv>
  <rv s="0">
    <v>12</v>
    <v>08336163775725555</v>
    <v>0</v>
  </rv>
  <rv s="0">
    <v>12</v>
    <v>06711292171095791</v>
    <v>0</v>
  </rv>
  <rv s="0">
    <v>12</v>
    <v>02187876167029179</v>
    <v>0</v>
  </rv>
  <rv s="0">
    <v>12</v>
    <v>08194147730796186</v>
    <v>0</v>
  </rv>
  <rv s="0">
    <v>12</v>
    <v>164</v>
    <v>0</v>
  </rv>
  <rv s="0">
    <v>12</v>
    <v>0002965286603087912</v>
    <v>0</v>
  </rv>
  <rv s="0">
    <v>12</v>
    <v>029709537971614554</v>
    <v>0</v>
  </rv>
  <rv s="0">
    <v>12</v>
    <v>02641182663269567</v>
    <v>0</v>
  </rv>
  <rv s="0">
    <v>12</v>
    <v>005226201473761366</v>
    <v>0</v>
  </rv>
  <rv s="0">
    <v>12</v>
    <v>003895691418027859</v>
    <v>0</v>
  </rv>
  <rv s="0">
    <v>12</v>
    <v>009787112696768649</v>
    <v>0</v>
  </rv>
  <rv s="0">
    <v>12</v>
    <v>039770644651701256</v>
    <v>0</v>
  </rv>
  <rv s="0">
    <v>12</v>
    <v>0026615071208647566</v>
    <v>0</v>
  </rv>
  <rv s="0">
    <v>12</v>
    <v>026383743936091022</v>
    <v>0</v>
  </rv>
  <rv s="0">
    <v>12</v>
    <v>008994571848854252</v>
    <v>0</v>
  </rv>
  <rv s="0">
    <v>12</v>
    <v>08438051791669968</v>
    <v>0</v>
  </rv>
  <rv s="0">
    <v>12</v>
    <v>0001665038902049386</v>
    <v>0</v>
  </rv>
  <rv s="0">
    <v>12</v>
    <v>017518343299653332</v>
    <v>0</v>
  </rv>
  <rv s="0">
    <v>12</v>
    <v>011135864108768026</v>
    <v>0</v>
  </rv>
  <rv s="0">
    <v>12</v>
    <v>006425077029179697</v>
    <v>0</v>
  </rv>
  <rv s="0">
    <v>12</v>
    <v>004294518298099984</v>
    <v>0</v>
  </rv>
  <rv s="0">
    <v>12</v>
    <v>018630210625548805</v>
    <v>0</v>
  </rv>
  <rv s="0">
    <v>12</v>
    <v>027044566784903634</v>
    <v>0</v>
  </rv>
  <rv s="0">
    <v>12</v>
    <v>00826403568743375</v>
    <v>0</v>
  </rv>
  <rv s="0">
    <v>12</v>
    <v>008348506332077406</v>
    <v>0</v>
  </rv>
  <rv s="0">
    <v>12</v>
    <v>294</v>
    <v>0</v>
  </rv>
  <rv s="0">
    <v>12</v>
    <v>012528495586272453</v>
    <v>0</v>
  </rv>
  <rv s="0">
    <v>12</v>
    <v>026809709859667696</v>
    <v>0</v>
  </rv>
  <rv s="0">
    <v>12</v>
    <v>006412314567433201</v>
    <v>0</v>
  </rv>
  <rv s="0">
    <v>12</v>
    <v>04596404573779162</v>
    <v>0</v>
  </rv>
  <rv s="0">
    <v>12</v>
    <v>08919252916293843</v>
    <v>0</v>
  </rv>
  <rv s="0">
    <v>12</v>
    <v>03208377484607801</v>
    <v>0</v>
  </rv>
  <rv s="0">
    <v>12</v>
    <v>09377087878699704</v>
    <v>0</v>
  </rv>
  <rv s="0">
    <v>12</v>
    <v>08088275768425801</v>
    <v>0</v>
  </rv>
  <rv s="0">
    <v>12</v>
    <v>083</v>
    <v>0</v>
  </rv>
  <rv s="0">
    <v>12</v>
    <v>0737371137476682</v>
    <v>0</v>
  </rv>
  <rv s="0">
    <v>12</v>
    <v>06679987314659773</v>
    <v>0</v>
  </rv>
  <rv s="0">
    <v>12</v>
    <v>011210522270784378</v>
    <v>0</v>
  </rv>
  <rv s="0">
    <v>12</v>
    <v>0053944740737220135</v>
    <v>0</v>
  </rv>
  <rv s="0">
    <v>12</v>
    <v>0071013706272559434</v>
    <v>0</v>
  </rv>
  <rv s="0">
    <v>12</v>
    <v>011134985415695197</v>
    <v>0</v>
  </rv>
  <rv s="0">
    <v>12</v>
    <v>0068847542478069745</v>
    <v>0</v>
  </rv>
  <rv s="0">
    <v>12</v>
    <v>016610178657119234</v>
    <v>0</v>
  </rv>
  <rv s="0">
    <v>12</v>
    <v>04428480141066089</v>
    <v>0</v>
  </rv>
  <rv s="0">
    <v>12</v>
    <v>11723154523744761</v>
    <v>0</v>
  </rv>
  <rv s="0">
    <v>12</v>
    <v>03475226914048029</v>
    <v>0</v>
  </rv>
  <rv s="0">
    <v>12</v>
    <v>04078923657471138</v>
    <v>0</v>
  </rv>
  <rv s="0">
    <v>12</v>
    <v>01679151069235308</v>
    <v>0</v>
  </rv>
  <rv s="0">
    <v>12</v>
    <v>000500268836860961</v>
    <v>0</v>
  </rv>
  <rv s="0">
    <v>12</v>
    <v>005845676534316258</v>
    <v>0</v>
  </rv>
  <rv s="0">
    <v>12</v>
    <v>005601016927890387</v>
    <v>0</v>
  </rv>
  <rv s="0">
    <v>12</v>
    <v>011468486526499452</v>
    <v>0</v>
  </rv>
  <rv s="0">
    <v>12</v>
    <v>0005087546375056163</v>
    <v>0</v>
  </rv>
  <rv s="0">
    <v>12</v>
    <v>02586973479944885</v>
    <v>0</v>
  </rv>
  <rv s="0">
    <v>12</v>
    <v>017894638733409293</v>
    <v>0</v>
  </rv>
  <rv s="0">
    <v>12</v>
    <v>08690422143207603</v>
    <v>0</v>
  </rv>
  <rv s="0">
    <v>12</v>
    <v>0025065989912539666</v>
    <v>0</v>
  </rv>
  <rv s="0">
    <v>12</v>
    <v>0017261223778711147</v>
    <v>0</v>
  </rv>
  <rv s="0">
    <v>12</v>
    <v>021769378898326853</v>
    <v>0</v>
  </rv>
  <rv s="0">
    <v>12</v>
    <v>0002301420362501129</v>
    <v>0</v>
  </rv>
  <rv s="0">
    <v>12</v>
    <v>021730912668517992</v>
    <v>0</v>
  </rv>
  <rv s="0">
    <v>12</v>
    <v>0011216958175829842</v>
    <v>0</v>
  </rv>
  <rv s="0">
    <v>12</v>
    <v>031272219717554596</v>
    <v>0</v>
  </rv>
  <rv s="0">
    <v>12</v>
    <v>01352722377973164</v>
    <v>0</v>
  </rv>
  <rv s="0">
    <v>12</v>
    <v>10277768664703767</v>
    <v>0</v>
  </rv>
  <rv s="0">
    <v>12</v>
    <v>029089632698636268</v>
    <v>0</v>
  </rv>
  <rv s="0">
    <v>12</v>
    <v>051997899605317345</v>
    <v>0</v>
  </rv>
  <rv s="0">
    <v>12</v>
    <v>021715858897149488</v>
    <v>0</v>
  </rv>
  <rv s="0">
    <v>12</v>
    <v>019524056609802616</v>
    <v>0</v>
  </rv>
  <rv s="0">
    <v>12</v>
    <v>0212950851078272</v>
    <v>0</v>
  </rv>
  <rv s="0">
    <v>12</v>
    <v>045473075403297425</v>
    <v>0</v>
  </rv>
  <rv s="0">
    <v>12</v>
    <v>015624249592415259</v>
    <v>0</v>
  </rv>
  <rv s="0">
    <v>12</v>
    <v>026801352826768293</v>
    <v>0</v>
  </rv>
  <rv s="0">
    <v>12</v>
    <v>04305411104732653</v>
    <v>0</v>
  </rv>
  <rv s="0">
    <v>12</v>
    <v>007497742613976657</v>
    <v>0</v>
  </rv>
  <rv s="0">
    <v>12</v>
    <v>027581401815691763</v>
    <v>0</v>
  </rv>
  <rv s="0">
    <v>12</v>
    <v>04539644720495436</v>
    <v>0</v>
  </rv>
  <rv s="0">
    <v>12</v>
    <v>692</v>
    <v>0</v>
  </rv>
  <rv s="0">
    <v>12</v>
    <v>011564242794088493</v>
    <v>0</v>
  </rv>
  <rv s="0">
    <v>12</v>
    <v>06304409478914552</v>
    <v>0</v>
  </rv>
  <rv s="0">
    <v>12</v>
    <v>012367236447222749</v>
    <v>0</v>
  </rv>
  <rv s="0">
    <v>12</v>
    <v>012042966238217118</v>
    <v>0</v>
  </rv>
  <rv s="0">
    <v>12</v>
    <v>05619642814914771</v>
    <v>0</v>
  </rv>
  <rv s="0">
    <v>12</v>
    <v>06515010466307139</v>
    <v>0</v>
  </rv>
  <rv s="0">
    <v>12</v>
    <v>017437869427076497</v>
    <v>0</v>
  </rv>
  <rv s="0">
    <v>12</v>
    <v>017016847483673464</v>
    <v>0</v>
  </rv>
  <rv s="0">
    <v>12</v>
    <v>004451596837907752</v>
    <v>0</v>
  </rv>
  <rv s="0">
    <v>12</v>
    <v>0058474321811700525</v>
    <v>0</v>
  </rv>
  <rv s="0">
    <v>12</v>
    <v>006204736984074751</v>
    <v>0</v>
  </rv>
  <rv s="0">
    <v>12</v>
    <v>0077363087379868425</v>
    <v>0</v>
  </rv>
  <rv s="0">
    <v>12</v>
    <v>15263166764399846</v>
    <v>0</v>
  </rv>
  <rv s="0">
    <v>12</v>
    <v>04206595816804259</v>
    <v>0</v>
  </rv>
  <rv s="0">
    <v>12</v>
    <v>08023545802266814</v>
    <v>0</v>
  </rv>
  <rv s="0">
    <v>12</v>
    <v>15419884131408587</v>
    <v>0</v>
  </rv>
  <rv s="0">
    <v>12</v>
    <v>04817898641650246</v>
    <v>0</v>
  </rv>
  <rv s="0">
    <v>12</v>
    <v>009448487417093405</v>
    <v>0</v>
  </rv>
  <rv s="0">
    <v>12</v>
    <v>015617720098292893</v>
    <v>0</v>
  </rv>
  <rv s="0">
    <v>12</v>
    <v>011773361391993342</v>
    <v>0</v>
  </rv>
  <rv s="0">
    <v>12</v>
    <v>00695773150162518</v>
    <v>0</v>
  </rv>
  <rv s="0">
    <v>12</v>
    <v>001080151594059694</v>
    <v>0</v>
  </rv>
  <rv s="0">
    <v>12</v>
    <v>0017824022641425546</v>
    <v>0</v>
  </rv>
  <rv s="0">
    <v>12</v>
    <v>0014750433843689719</v>
    <v>0</v>
  </rv>
  <rv s="0">
    <v>12</v>
    <v>0008128569843493115</v>
    <v>0</v>
  </rv>
  <rv s="0">
    <v>12</v>
    <v>011862535306004177</v>
    <v>0</v>
  </rv>
  <rv s="0">
    <v>12</v>
    <v>03769830299632579</v>
    <v>0</v>
  </rv>
  <rv s="0">
    <v>12</v>
    <v>01740167765773352</v>
    <v>0</v>
  </rv>
  <rv s="0">
    <v>12</v>
    <v>04194427320281629</v>
    <v>0</v>
  </rv>
  <rv s="0">
    <v>12</v>
    <v>0026349822767403764</v>
    <v>0</v>
  </rv>
  <rv s="0">
    <v>12</v>
    <v>021970695971115346</v>
    <v>0</v>
  </rv>
  <rv s="0">
    <v>12</v>
    <v>018464436053378906</v>
    <v>0</v>
  </rv>
  <rv s="0">
    <v>12</v>
    <v>08666146497106528</v>
    <v>0</v>
  </rv>
  <rv s="0">
    <v>12</v>
    <v>6346331784661432</v>
    <v>0</v>
  </rv>
  <rv s="0">
    <v>12</v>
    <v>04778066169949113</v>
    <v>0</v>
  </rv>
  <rv s="0">
    <v>12</v>
    <v>3511220878866106e</v>
    <v>0</v>
  </rv>
  <rv s="0">
    <v>12</v>
    <v>020634454093583e</v>
    <v>0</v>
  </rv>
  <rv s="0">
    <v>12</v>
    <v>010206325165984841</v>
    <v>0</v>
  </rv>
  <rv s="0">
    <v>12</v>
    <v>01272095979953117</v>
    <v>0</v>
  </rv>
  <rv s="0">
    <v>12</v>
    <v>01831129655522197</v>
    <v>0</v>
  </rv>
  <rv s="0">
    <v>12</v>
    <v>0006490231112247961</v>
    <v>0</v>
  </rv>
  <rv s="0">
    <v>12</v>
    <v>015921259218712284</v>
    <v>0</v>
  </rv>
  <rv s="0">
    <v>12</v>
    <v>023484598099734664</v>
    <v>0</v>
  </rv>
  <rv s="0">
    <v>12</v>
    <v>02401924199703099</v>
    <v>0</v>
  </rv>
  <rv s="0">
    <v>12</v>
    <v>011549988864034555</v>
    <v>0</v>
  </rv>
  <rv s="0">
    <v>12</v>
    <v>07050201993498777</v>
    <v>0</v>
  </rv>
  <rv s="0">
    <v>12</v>
    <v>04127548447148002</v>
    <v>0</v>
  </rv>
  <rv s="0">
    <v>12</v>
    <v>00268152549593416</v>
    <v>0</v>
  </rv>
  <rv s="0">
    <v>12</v>
    <v>04737608555002321</v>
    <v>0</v>
  </rv>
  <rv s="0">
    <v>12</v>
    <v>07072717567971328</v>
    <v>0</v>
  </rv>
  <rv s="0">
    <v>12</v>
    <v>0442092501846036</v>
    <v>0</v>
  </rv>
  <rv s="0">
    <v>12</v>
    <v>017399753662910387</v>
    <v>0</v>
  </rv>
  <rv s="0">
    <v>12</v>
    <v>001507284813050905</v>
    <v>0</v>
  </rv>
  <rv s="0">
    <v>12</v>
    <v>026268038848519963</v>
    <v>0</v>
  </rv>
  <rv s="0">
    <v>12</v>
    <v>025915425769483087</v>
    <v>0</v>
  </rv>
  <rv s="0">
    <v>12</v>
    <v>0032924784789368647</v>
    <v>0</v>
  </rv>
  <rv s="0">
    <v>12</v>
    <v>026374301623045496</v>
    <v>0</v>
  </rv>
  <rv s="0">
    <v>12</v>
    <v>026551227252299085</v>
    <v>0</v>
  </rv>
  <rv s="0">
    <v>12</v>
    <v>01657249871202207</v>
    <v>0</v>
  </rv>
  <rv s="0">
    <v>12</v>
    <v>043</v>
    <v>0</v>
  </rv>
  <rv s="0">
    <v>12</v>
    <v>009325677690696366</v>
    <v>0</v>
  </rv>
  <rv s="0">
    <v>12</v>
    <v>00038768962326421436</v>
    <v>0</v>
  </rv>
  <rv s="0">
    <v>12</v>
    <v>00431078720671933</v>
    <v>0</v>
  </rv>
  <rv s="0">
    <v>12</v>
    <v>032500035056710286</v>
    <v>0</v>
  </rv>
  <rv s="0">
    <v>12</v>
    <v>006435552940519178</v>
    <v>0</v>
  </rv>
  <rv s="0">
    <v>12</v>
    <v>049</v>
    <v>0</v>
  </rv>
  <rv s="0">
    <v>12</v>
    <v>11512741124466261</v>
    <v>0</v>
  </rv>
  <rv s="0">
    <v>12</v>
    <v>04933650154728595</v>
    <v>0</v>
  </rv>
  <rv s="0">
    <v>12</v>
    <v>007921347999914237</v>
    <v>0</v>
  </rv>
  <rv s="0">
    <v>12</v>
    <v>13169109540388868</v>
    <v>0</v>
  </rv>
  <rv s="0">
    <v>12</v>
    <v>08258033985575669</v>
    <v>0</v>
  </rv>
  <rv s="0">
    <v>12</v>
    <v>022728970528509022</v>
    <v>0</v>
  </rv>
  <rv s="0">
    <v>12</v>
    <v>066</v>
    <v>0</v>
  </rv>
  <rv s="0">
    <v>12</v>
    <v>489</v>
    <v>0</v>
  </rv>
  <rv s="0">
    <v>12</v>
    <v>05465349046504789</v>
    <v>0</v>
  </rv>
  <rv s="0">
    <v>12</v>
    <v>297</v>
    <v>0</v>
  </rv>
  <rv s="0">
    <v>12</v>
    <v>0004966191183673063</v>
    <v>0</v>
  </rv>
  <rv s="0">
    <v>12</v>
    <v>0045069047757655</v>
    <v>0</v>
  </rv>
  <rv s="0">
    <v>12</v>
    <v>00858411431389536</v>
    <v>0</v>
  </rv>
  <rv s="0">
    <v>12</v>
    <v>051335167786341736</v>
    <v>0</v>
  </rv>
  <rv s="0">
    <v>12</v>
    <v>007730916196016187</v>
    <v>0</v>
  </rv>
  <rv s="0">
    <v>12</v>
    <v>04457643157695171</v>
    <v>0</v>
  </rv>
  <rv s="0">
    <v>12</v>
    <v>030666800816958526</v>
    <v>0</v>
  </rv>
  <rv s="0">
    <v>12</v>
    <v>0008508496312380873</v>
    <v>0</v>
  </rv>
  <rv s="0">
    <v>12</v>
    <v>014003181211902171</v>
    <v>0</v>
  </rv>
  <rv s="0">
    <v>12</v>
    <v>013036315581315005</v>
    <v>0</v>
  </rv>
  <rv s="0">
    <v>12</v>
    <v>004132663529600389</v>
    <v>0</v>
  </rv>
  <rv s="0">
    <v>12</v>
    <v>028</v>
    <v>0</v>
  </rv>
  <rv s="0">
    <v>12</v>
    <v>03280486980233839</v>
    <v>0</v>
  </rv>
  <rv s="0">
    <v>12</v>
    <v>032731329820470466</v>
    <v>0</v>
  </rv>
  <rv s="0">
    <v>12</v>
    <v>031660801560619116</v>
    <v>0</v>
  </rv>
  <rv s="0">
    <v>12</v>
    <v>05076156163238329</v>
    <v>0</v>
  </rv>
  <rv s="0">
    <v>12</v>
    <v>010240726009802898</v>
    <v>0</v>
  </rv>
  <rv s="0">
    <v>12</v>
    <v>14</v>
    <v>0</v>
  </rv>
  <rv s="0">
    <v>12</v>
    <v>013495991562924433</v>
    <v>0</v>
  </rv>
  <rv s="0">
    <v>12</v>
    <v>135</v>
    <v>0</v>
  </rv>
  <rv s="0">
    <v>12</v>
    <v>02956598946532359</v>
    <v>0</v>
  </rv>
  <rv s="0">
    <v>12</v>
    <v>035451758370647735</v>
    <v>0</v>
  </rv>
  <rv s="0">
    <v>12</v>
    <v>08589150431202634</v>
    <v>0</v>
  </rv>
  <rv s="0">
    <v>12</v>
    <v>045175086719213005</v>
    <v>0</v>
  </rv>
  <rv s="0">
    <v>12</v>
    <v>008065723196728027</v>
    <v>0</v>
  </rv>
  <rv s="0">
    <v>12</v>
    <v>015242732159970877</v>
    <v>0</v>
  </rv>
  <rv s="0">
    <v>12</v>
    <v>003997263655220416</v>
    <v>0</v>
  </rv>
  <rv s="0">
    <v>12</v>
    <v>004720829111307927</v>
    <v>0</v>
  </rv>
  <rv s="0">
    <v>12</v>
    <v>00498162309777296</v>
    <v>0</v>
  </rv>
  <rv s="0">
    <v>12</v>
    <v>00034919472303486325</v>
    <v>0</v>
  </rv>
  <rv s="0">
    <v>12</v>
    <v>001228263840157262</v>
    <v>0</v>
  </rv>
  <rv s="0">
    <v>12</v>
    <v>0006216724667633854</v>
    <v>0</v>
  </rv>
  <rv s="0">
    <v>12</v>
    <v>5177585380188345e</v>
    <v>0</v>
  </rv>
  <rv s="0">
    <v>12</v>
    <v>0026603174317260353</v>
    <v>0</v>
  </rv>
  <rv s="0">
    <v>12</v>
    <v>001371224050054069</v>
    <v>0</v>
  </rv>
  <rv s="0">
    <v>12</v>
    <v>0339878324168716</v>
    <v>0</v>
  </rv>
  <rv s="0">
    <v>12</v>
    <v>03372763261221358</v>
    <v>0</v>
  </rv>
  <rv s="0">
    <v>12</v>
    <v>0014969244625048176</v>
    <v>0</v>
  </rv>
  <rv s="0">
    <v>12</v>
    <v>003221277332570464</v>
    <v>0</v>
  </rv>
  <rv s="0">
    <v>12</v>
    <v>005088085030033511</v>
    <v>0</v>
  </rv>
  <rv s="0">
    <v>12</v>
    <v>019319750879353843</v>
    <v>0</v>
  </rv>
  <rv s="0">
    <v>12</v>
    <v>022240805667181066</v>
    <v>0</v>
  </rv>
  <rv s="0">
    <v>12</v>
    <v>006803733869138288</v>
    <v>0</v>
  </rv>
  <rv s="0">
    <v>12</v>
    <v>05206894959034428</v>
    <v>0</v>
  </rv>
  <rv s="0">
    <v>12</v>
    <v>039729744046532164</v>
    <v>0</v>
  </rv>
  <rv s="0">
    <v>12</v>
    <v>036767630025906585</v>
    <v>0</v>
  </rv>
  <rv s="0">
    <v>12</v>
    <v>10449668795278373</v>
    <v>0</v>
  </rv>
  <rv s="0">
    <v>12</v>
    <v>03230425605470784</v>
    <v>0</v>
  </rv>
  <rv s="0">
    <v>12</v>
    <v>05476247678036964</v>
    <v>0</v>
  </rv>
  <rv s="0">
    <v>12</v>
    <v>0039699792430285645</v>
    <v>0</v>
  </rv>
  <rv s="0">
    <v>12</v>
    <v>006</v>
    <v>0</v>
  </rv>
  <rv s="0">
    <v>12</v>
    <v>017750399820463735</v>
    <v>0</v>
  </rv>
  <rv s="0">
    <v>12</v>
    <v>011129711869857983</v>
    <v>0</v>
  </rv>
  <rv s="0">
    <v>12</v>
    <v>024045740846535216</v>
    <v>0</v>
  </rv>
  <rv s="0">
    <v>12</v>
    <v>008252750477227927</v>
    <v>0</v>
  </rv>
  <rv s="0">
    <v>12</v>
    <v>0031370561929519184</v>
    <v>0</v>
  </rv>
  <rv s="0">
    <v>12</v>
    <v>03296817918112556</v>
    <v>0</v>
  </rv>
  <rv s="0">
    <v>12</v>
    <v>0050426110447002875</v>
    <v>0</v>
  </rv>
  <rv s="0">
    <v>12</v>
    <v>003816654266948671</v>
    <v>0</v>
  </rv>
  <rv s="0">
    <v>12</v>
    <v>019108769964698902</v>
    <v>0</v>
  </rv>
  <rv s="0">
    <v>12</v>
    <v>015206764030035937</v>
    <v>0</v>
  </rv>
  <rv s="0">
    <v>12</v>
    <v>035671996060056804</v>
    <v>0</v>
  </rv>
  <rv s="0">
    <v>12</v>
    <v>03547626164746282</v>
    <v>0</v>
  </rv>
  <rv s="0">
    <v>12</v>
    <v>00489944747059785</v>
    <v>0</v>
  </rv>
  <rv s="0">
    <v>12</v>
    <v>004866037236415241</v>
    <v>0</v>
  </rv>
  <rv s="0">
    <v>12</v>
    <v>043027939173361465</v>
    <v>0</v>
  </rv>
  <rv s="0">
    <v>12</v>
    <v>007462072849901225</v>
    <v>0</v>
  </rv>
  <rv s="0">
    <v>12</v>
    <v>04352435785306257</v>
    <v>0</v>
  </rv>
  <rv s="0">
    <v>12</v>
    <v>05527051005105914</v>
    <v>0</v>
  </rv>
  <rv s="0">
    <v>12</v>
    <v>015346340503789984</v>
    <v>0</v>
  </rv>
  <rv s="0">
    <v>12</v>
    <v>001117104646259221</v>
    <v>0</v>
  </rv>
  <rv s="0">
    <v>12</v>
    <v>019397723282674268</v>
    <v>0</v>
  </rv>
  <rv s="0">
    <v>12</v>
    <v>026991640997920154</v>
    <v>0</v>
  </rv>
  <rv s="0">
    <v>12</v>
    <v>02692872197662019</v>
    <v>0</v>
  </rv>
  <rv s="0">
    <v>12</v>
    <v>005899614736000797</v>
    <v>0</v>
  </rv>
  <rv s="0">
    <v>12</v>
    <v>031599917483689094</v>
    <v>0</v>
  </rv>
  <rv s="0">
    <v>12</v>
    <v>0036397463034731035</v>
    <v>0</v>
  </rv>
  <rv s="0">
    <v>12</v>
    <v>013223835372967088</v>
    <v>0</v>
  </rv>
  <rv s="0">
    <v>12</v>
    <v>036463655694476335</v>
    <v>0</v>
  </rv>
  <rv s="0">
    <v>12</v>
    <v>02528064464402229</v>
    <v>0</v>
  </rv>
  <rv s="0">
    <v>12</v>
    <v>020883667663036426</v>
    <v>0</v>
  </rv>
  <rv s="0">
    <v>12</v>
    <v>004584160403692901</v>
    <v>0</v>
  </rv>
  <rv s="0">
    <v>12</v>
    <v>01184410428974703</v>
    <v>0</v>
  </rv>
  <rv s="0">
    <v>12</v>
    <v>013981754872884361</v>
    <v>0</v>
  </rv>
  <rv s="0">
    <v>12</v>
    <v>00424600901004161</v>
    <v>0</v>
  </rv>
  <rv s="0">
    <v>12</v>
    <v>01137749368161064</v>
    <v>0</v>
  </rv>
  <rv s="0">
    <v>12</v>
    <v>012609795728282192</v>
    <v>0</v>
  </rv>
  <rv s="0">
    <v>12</v>
    <v>0064094597813587695</v>
    <v>0</v>
  </rv>
  <rv s="0">
    <v>12</v>
    <v>012773618691841787</v>
    <v>0</v>
  </rv>
  <rv s="0">
    <v>12</v>
    <v>012417355808978195</v>
    <v>0</v>
  </rv>
  <rv s="0">
    <v>12</v>
    <v>01719852145311626</v>
    <v>0</v>
  </rv>
  <rv s="0">
    <v>12</v>
    <v>011261927082252762</v>
    <v>0</v>
  </rv>
  <rv s="0">
    <v>12</v>
    <v>02587327804512385</v>
    <v>0</v>
  </rv>
  <rv s="0">
    <v>12</v>
    <v>078</v>
    <v>0</v>
  </rv>
  <rv s="0">
    <v>12</v>
    <v>02050943634782166</v>
    <v>0</v>
  </rv>
  <rv s="0">
    <v>12</v>
    <v>017998271213276715</v>
    <v>0</v>
  </rv>
  <rv s="0">
    <v>12</v>
    <v>05947587382746886</v>
    <v>0</v>
  </rv>
  <rv s="0">
    <v>12</v>
    <v>07492946261423998</v>
    <v>0</v>
  </rv>
  <rv s="0">
    <v>12</v>
    <v>005478055390762563</v>
    <v>0</v>
  </rv>
  <rv s="0">
    <v>12</v>
    <v>0572190865232978</v>
    <v>0</v>
  </rv>
  <rv s="0">
    <v>12</v>
    <v>03757839003402524</v>
    <v>0</v>
  </rv>
  <rv s="0">
    <v>12</v>
    <v>16726537269459624</v>
    <v>0</v>
  </rv>
  <rv s="0">
    <v>12</v>
    <v>15760474463055502</v>
    <v>0</v>
  </rv>
  <rv s="0">
    <v>12</v>
    <v>00042682149275509977</v>
    <v>0</v>
  </rv>
  <rv s="0">
    <v>12</v>
    <v>10744637017727288</v>
    <v>0</v>
  </rv>
  <rv s="0">
    <v>12</v>
    <v>1087693740603762</v>
    <v>0</v>
  </rv>
  <rv s="0">
    <v>12</v>
    <v>0031314389032863744</v>
    <v>0</v>
  </rv>
  <rv s="0">
    <v>12</v>
    <v>015998564408670313</v>
    <v>0</v>
  </rv>
  <rv s="0">
    <v>12</v>
    <v>011724886415794085</v>
    <v>0</v>
  </rv>
  <rv s="0">
    <v>12</v>
    <v>012419499701716135</v>
    <v>0</v>
  </rv>
  <rv s="0">
    <v>12</v>
    <v>022697890650824063</v>
    <v>0</v>
  </rv>
  <rv s="0">
    <v>12</v>
    <v>0017244948924462448</v>
    <v>0</v>
  </rv>
  <rv s="0">
    <v>12</v>
    <v>003192940580968692</v>
    <v>0</v>
  </rv>
  <rv s="0">
    <v>12</v>
    <v>015424880378276669</v>
    <v>0</v>
  </rv>
  <rv s="0">
    <v>12</v>
    <v>01610549240598104</v>
    <v>0</v>
  </rv>
  <rv s="0">
    <v>12</v>
    <v>01084780890065969</v>
    <v>0</v>
  </rv>
  <rv s="0">
    <v>12</v>
    <v>007621514782907295</v>
    <v>0</v>
  </rv>
  <rv s="0">
    <v>12</v>
    <v>007834018417552439</v>
    <v>0</v>
  </rv>
  <rv s="0">
    <v>12</v>
    <v>0423066168100586</v>
    <v>0</v>
  </rv>
  <rv s="0">
    <v>12</v>
    <v>0008208916764408994</v>
    <v>0</v>
  </rv>
  <rv s="0">
    <v>12</v>
    <v>04900409731715248</v>
    <v>0</v>
  </rv>
  <rv s="0">
    <v>12</v>
    <v>02232127573996252</v>
    <v>0</v>
  </rv>
  <rv s="0">
    <v>12</v>
    <v>10234004097406448</v>
    <v>0</v>
  </rv>
  <rv s="0">
    <v>12</v>
    <v>030145076170501668</v>
    <v>0</v>
  </rv>
  <rv s="0">
    <v>12</v>
    <v>0034438729142655324</v>
    <v>0</v>
  </rv>
  <rv s="0">
    <v>12</v>
    <v>030786541621177086</v>
    <v>0</v>
  </rv>
  <rv s="0">
    <v>12</v>
    <v>002730141305915222</v>
    <v>0</v>
  </rv>
  <rv s="0">
    <v>12</v>
    <v>0025576055632540546</v>
    <v>0</v>
  </rv>
  <rv s="0">
    <v>12</v>
    <v>018</v>
    <v>0</v>
  </rv>
  <rv s="0">
    <v>12</v>
    <v>00021765617527043235</v>
    <v>0</v>
  </rv>
  <rv s="0">
    <v>12</v>
    <v>009799489579258708</v>
    <v>0</v>
  </rv>
  <rv s="0">
    <v>12</v>
    <v>0008566229703964893</v>
    <v>0</v>
  </rv>
  <rv s="0">
    <v>12</v>
    <v>006351714386260485</v>
    <v>0</v>
  </rv>
  <rv s="0">
    <v>12</v>
    <v>0018202493046344376</v>
    <v>0</v>
  </rv>
  <rv s="0">
    <v>12</v>
    <v>0042345273634198455</v>
    <v>0</v>
  </rv>
  <rv s="0">
    <v>12</v>
    <v>0004428929146508659</v>
    <v>0</v>
  </rv>
  <rv s="0">
    <v>12</v>
    <v>00028723416347241435</v>
    <v>0</v>
  </rv>
  <rv s="0">
    <v>12</v>
    <v>004548475410314644</v>
    <v>0</v>
  </rv>
  <rv s="0">
    <v>12</v>
    <v>019437769552881425</v>
    <v>0</v>
  </rv>
  <rv s="0">
    <v>12</v>
    <v>00126393884444876</v>
    <v>0</v>
  </rv>
  <rv s="0">
    <v>12</v>
    <v>0016923056874461437</v>
    <v>0</v>
  </rv>
  <rv s="0">
    <v>12</v>
    <v>01263850086692457</v>
    <v>0</v>
  </rv>
  <rv s="0">
    <v>12</v>
    <v>023519991627614617</v>
    <v>0</v>
  </rv>
  <rv s="0">
    <v>12</v>
    <v>02029462931676729</v>
    <v>0</v>
  </rv>
  <rv s="0">
    <v>12</v>
    <v>018574043070642247</v>
    <v>0</v>
  </rv>
  <rv s="0">
    <v>12</v>
    <v>005895814119107548</v>
    <v>0</v>
  </rv>
  <rv s="0">
    <v>12</v>
    <v>019749309816464472</v>
    <v>0</v>
  </rv>
  <rv s="0">
    <v>12</v>
    <v>06358664968751877</v>
    <v>0</v>
  </rv>
  <rv s="0">
    <v>12</v>
    <v>03637003573631595</v>
    <v>0</v>
  </rv>
  <rv s="0">
    <v>12</v>
    <v>01507089927212113</v>
    <v>0</v>
  </rv>
  <rv s="0">
    <v>12</v>
    <v>0554071093447018</v>
    <v>0</v>
  </rv>
  <rv s="0">
    <v>12</v>
    <v>052735150533383804</v>
    <v>0</v>
  </rv>
  <rv s="0">
    <v>12</v>
    <v>0030323056474844796</v>
    <v>0</v>
  </rv>
  <rv s="0">
    <v>12</v>
    <v>2501097494631688</v>
    <v>0</v>
  </rv>
  <rv s="0">
    <v>12</v>
    <v>01491044707184211</v>
    <v>0</v>
  </rv>
  <rv s="0">
    <v>12</v>
    <v>004854099418256964</v>
    <v>0</v>
  </rv>
  <rv s="0">
    <v>12</v>
    <v>009428941699248275</v>
    <v>0</v>
  </rv>
  <rv s="0">
    <v>12</v>
    <v>565</v>
    <v>0</v>
  </rv>
  <rv s="0">
    <v>12</v>
    <v>0037725558745604812</v>
    <v>0</v>
  </rv>
  <rv s="0">
    <v>12</v>
    <v>02981736678060659</v>
    <v>0</v>
  </rv>
  <rv s="0">
    <v>12</v>
    <v>051579955571163856</v>
    <v>0</v>
  </rv>
  <rv s="0">
    <v>12</v>
    <v>07297276328185305</v>
    <v>0</v>
  </rv>
  <rv s="0">
    <v>12</v>
    <v>004591792046639298</v>
    <v>0</v>
  </rv>
  <rv s="0">
    <v>12</v>
    <v>004479080759318157</v>
    <v>0</v>
  </rv>
  <rv s="0">
    <v>12</v>
    <v>004249886994331287</v>
    <v>0</v>
  </rv>
  <rv s="0">
    <v>12</v>
    <v>001633914420988252</v>
    <v>0</v>
  </rv>
  <rv s="0">
    <v>12</v>
    <v>0034658601693126553</v>
    <v>0</v>
  </rv>
  <rv s="0">
    <v>12</v>
    <v>0035747046841559686</v>
    <v>0</v>
  </rv>
  <rv s="0">
    <v>12</v>
    <v>0046234517572524385</v>
    <v>0</v>
  </rv>
  <rv s="0">
    <v>12</v>
    <v>01204114225873395</v>
    <v>0</v>
  </rv>
  <rv s="0">
    <v>12</v>
    <v>006355773915093921</v>
    <v>0</v>
  </rv>
  <rv s="0">
    <v>12</v>
    <v>0010042297220965999</v>
    <v>0</v>
  </rv>
  <rv s="0">
    <v>12</v>
    <v>0009984774969593049</v>
    <v>0</v>
  </rv>
  <rv s="0">
    <v>12</v>
    <v>015156440912128656</v>
    <v>0</v>
  </rv>
  <rv s="0">
    <v>12</v>
    <v>01528491541423062</v>
    <v>0</v>
  </rv>
  <rv s="0">
    <v>12</v>
    <v>0546012757605927</v>
    <v>0</v>
  </rv>
  <rv s="0">
    <v>12</v>
    <v>05433300061638968</v>
    <v>0</v>
  </rv>
  <rv s="0">
    <v>12</v>
    <v>00142551606658685</v>
    <v>0</v>
  </rv>
  <rv s="0">
    <v>12</v>
    <v>00425252074698952</v>
    <v>0</v>
  </rv>
  <rv s="0">
    <v>12</v>
    <v>003984664554333692</v>
    <v>0</v>
  </rv>
  <rv s="0">
    <v>12</v>
    <v>011769285073992022</v>
    <v>0</v>
  </rv>
  <rv s="0">
    <v>12</v>
    <v>003263796564069022</v>
    <v>0</v>
  </rv>
  <rv s="0">
    <v>12</v>
    <v>005626252686906055</v>
    <v>0</v>
  </rv>
  <rv s="0">
    <v>12</v>
    <v>0008036696606902756</v>
    <v>0</v>
  </rv>
  <rv s="0">
    <v>12</v>
    <v>0011358742804029678</v>
    <v>0</v>
  </rv>
  <rv s="0">
    <v>12</v>
    <v>0005663134178881613</v>
    <v>0</v>
  </rv>
  <rv s="0">
    <v>12</v>
    <v>0207546514387407</v>
    <v>0</v>
  </rv>
  <rv s="0">
    <v>12</v>
    <v>09779304619430744</v>
    <v>0</v>
  </rv>
  <rv s="0">
    <v>12</v>
    <v>09748280403247246</v>
    <v>0</v>
  </rv>
  <rv s="0">
    <v>12</v>
    <v>04562961231447337</v>
    <v>0</v>
  </rv>
  <rv s="0">
    <v>12</v>
    <v>00411832839563624</v>
    <v>0</v>
  </rv>
  <rv s="0">
    <v>12</v>
    <v>0065572202688774055</v>
    <v>0</v>
  </rv>
  <rv s="0">
    <v>12</v>
    <v>006553776146466986</v>
    <v>0</v>
  </rv>
  <rv s="0">
    <v>12</v>
    <v>00011225340230474044</v>
    <v>0</v>
  </rv>
  <rv s="0">
    <v>12</v>
    <v>00013349117822381067</v>
    <v>0</v>
  </rv>
  <rv s="0">
    <v>12</v>
    <v>006532271030827358</v>
    <v>0</v>
  </rv>
  <rv s="0">
    <v>12</v>
    <v>03948340219262305</v>
    <v>0</v>
  </rv>
  <rv s="0">
    <v>12</v>
    <v>051229577716843604</v>
    <v>0</v>
  </rv>
  <rv s="0">
    <v>12</v>
    <v>0013887524320465197</v>
    <v>0</v>
  </rv>
  <rv s="0">
    <v>12</v>
    <v>0012919787414587723</v>
    <v>0</v>
  </rv>
  <rv s="0">
    <v>12</v>
    <v>0016040023776963915</v>
    <v>0</v>
  </rv>
  <rv s="0">
    <v>12</v>
    <v>005730383184401391</v>
    <v>0</v>
  </rv>
  <rv s="0">
    <v>12</v>
    <v>005872580236121177</v>
    <v>0</v>
  </rv>
  <rv s="0">
    <v>12</v>
    <v>0002624658117026861</v>
    <v>0</v>
  </rv>
  <rv s="0">
    <v>12</v>
    <v>0034041774960545754</v>
    <v>0</v>
  </rv>
  <rv s="0">
    <v>12</v>
    <v>0032789743323510616</v>
    <v>0</v>
  </rv>
  <rv s="0">
    <v>12</v>
    <v>0002574014623990543</v>
    <v>0</v>
  </rv>
  <rv s="0">
    <v>12</v>
    <v>019001045700945254</v>
    <v>0</v>
  </rv>
  <rv s="0">
    <v>12</v>
    <v>014977477506442299</v>
    <v>0</v>
  </rv>
  <rv s="0">
    <v>12</v>
    <v>00976756217874547</v>
    <v>0</v>
  </rv>
  <rv s="0">
    <v>12</v>
    <v>023658645653174583</v>
    <v>0</v>
  </rv>
  <rv s="0">
    <v>12</v>
    <v>02432329243867594</v>
    <v>0</v>
  </rv>
  <rv s="0">
    <v>12</v>
    <v>0009028624294983547</v>
    <v>0</v>
  </rv>
  <rv s="0">
    <v>12</v>
    <v>02594443271339634</v>
    <v>0</v>
  </rv>
  <rv s="0">
    <v>12</v>
    <v>026738572364163535</v>
    <v>0</v>
  </rv>
  <rv s="0">
    <v>12</v>
    <v>00996876624819745</v>
    <v>0</v>
  </rv>
  <rv s="0">
    <v>12</v>
    <v>010002854496579982</v>
    <v>0</v>
  </rv>
  <rv s="0">
    <v>12</v>
    <v>01066469547571325</v>
    <v>0</v>
  </rv>
  <rv s="0">
    <v>12</v>
    <v>000864980817785457</v>
    <v>0</v>
  </rv>
  <rv s="0">
    <v>12</v>
    <v>0005706645405814623</v>
    <v>0</v>
  </rv>
  <rv s="0">
    <v>12</v>
    <v>00920781189206088</v>
    <v>0</v>
  </rv>
  <rv s="0">
    <v>12</v>
    <v>05085366527390367</v>
    <v>0</v>
  </rv>
  <rv s="0">
    <v>12</v>
    <v>06281454844144692</v>
    <v>0</v>
  </rv>
  <rv s="0">
    <v>12</v>
    <v>020564446688064657</v>
    <v>0</v>
  </rv>
  <rv s="0">
    <v>12</v>
    <v>035760975389659326</v>
    <v>0</v>
  </rv>
  <rv s="0">
    <v>12</v>
    <v>014368416926286626</v>
    <v>0</v>
  </rv>
  <rv s="0">
    <v>12</v>
    <v>03578891322036211</v>
    <v>0</v>
  </rv>
  <rv s="0">
    <v>12</v>
    <v>0021113222790571</v>
    <v>0</v>
  </rv>
  <rv s="0">
    <v>12</v>
    <v>04947450292336973</v>
    <v>0</v>
  </rv>
  <rv s="0">
    <v>12</v>
    <v>04114278424548648</v>
    <v>0</v>
  </rv>
  <rv s="0">
    <v>12</v>
    <v>01412815010511003</v>
    <v>0</v>
  </rv>
  <rv s="0">
    <v>12</v>
    <v>041</v>
    <v>0</v>
  </rv>
  <rv s="0">
    <v>12</v>
    <v>007173750543252653</v>
    <v>0</v>
  </rv>
  <rv s="0">
    <v>12</v>
    <v>01329602543150763</v>
    <v>0</v>
  </rv>
  <rv s="0">
    <v>12</v>
    <v>02034734233159713</v>
    <v>0</v>
  </rv>
  <rv s="0">
    <v>12</v>
    <v>025672101169114652</v>
    <v>0</v>
  </rv>
  <rv s="0">
    <v>12</v>
    <v>04234263666433126</v>
    <v>0</v>
  </rv>
  <rv s="0">
    <v>12</v>
    <v>0499485453564691</v>
    <v>0</v>
  </rv>
  <rv s="0">
    <v>12</v>
    <v>121</v>
    <v>0</v>
  </rv>
  <rv s="0">
    <v>12</v>
    <v>04335232794253359</v>
    <v>0</v>
  </rv>
  <rv s="0">
    <v>12</v>
    <v>4214316377854575</v>
    <v>0</v>
  </rv>
  <rv s="0">
    <v>12</v>
    <v>0164484763911409</v>
    <v>0</v>
  </rv>
  <rv s="0">
    <v>12</v>
    <v>0018339152534516217</v>
    <v>0</v>
  </rv>
  <rv s="0">
    <v>12</v>
    <v>03176405695368338</v>
    <v>0</v>
  </rv>
  <rv s="0">
    <v>12</v>
    <v>1926778235890202</v>
    <v>0</v>
  </rv>
  <rv s="0">
    <v>12</v>
    <v>349</v>
    <v>0</v>
  </rv>
  <rv s="0">
    <v>12</v>
    <v>0024041789645383714</v>
    <v>0</v>
  </rv>
  <rv s="0">
    <v>12</v>
    <v>019169006496601873</v>
    <v>0</v>
  </rv>
  <rv s="0">
    <v>12</v>
    <v>07492964202767669</v>
    <v>0</v>
  </rv>
  <rv s="0">
    <v>12</v>
    <v>07701693916566311</v>
    <v>0</v>
  </rv>
  <rv s="0">
    <v>12</v>
    <v>04790760788749084</v>
    <v>0</v>
  </rv>
  <rv s="0">
    <v>12</v>
    <v>184</v>
    <v>0</v>
  </rv>
  <rv s="0">
    <v>12</v>
    <v>10844410477604541</v>
    <v>0</v>
  </rv>
  <rv s="0">
    <v>12</v>
    <v>042</v>
    <v>0</v>
  </rv>
  <rv s="0">
    <v>12</v>
    <v>04287550288745099</v>
    <v>0</v>
  </rv>
  <rv s="0">
    <v>12</v>
    <v>042098575198958564</v>
    <v>0</v>
  </rv>
  <rv s="0">
    <v>12</v>
    <v>054</v>
    <v>0</v>
  </rv>
  <rv s="0">
    <v>12</v>
    <v>1616801762435231</v>
    <v>0</v>
  </rv>
  <rv s="0">
    <v>12</v>
    <v>03616945203296349</v>
    <v>0</v>
  </rv>
  <rv s="0">
    <v>12</v>
    <v>03543701885491749</v>
    <v>0</v>
  </rv>
  <rv s="0">
    <v>12</v>
    <v>0273858729111034</v>
    <v>0</v>
  </rv>
  <rv s="0">
    <v>12</v>
    <v>08816734735294154</v>
    <v>0</v>
  </rv>
  <rv s="0">
    <v>12</v>
    <v>030266231903014557</v>
    <v>0</v>
  </rv>
  <rv s="0">
    <v>12</v>
    <v>01752097319900431</v>
    <v>0</v>
  </rv>
  <rv s="0">
    <v>12</v>
    <v>044199593268253574</v>
    <v>0</v>
  </rv>
  <rv s="0">
    <v>12</v>
    <v>011621708370462176</v>
    <v>0</v>
  </rv>
  <rv s="0">
    <v>12</v>
    <v>341</v>
    <v>0</v>
  </rv>
  <rv s="0">
    <v>12</v>
    <v>002815908686025463</v>
    <v>0</v>
  </rv>
  <rv s="0">
    <v>12</v>
    <v>012913791453433535</v>
    <v>0</v>
  </rv>
  <rv s="0">
    <v>12</v>
    <v>025899708124622167</v>
    <v>0</v>
  </rv>
  <rv s="0">
    <v>12</v>
    <v>04069240481141521</v>
    <v>0</v>
  </rv>
  <rv s="0">
    <v>12</v>
    <v>1582078202198601</v>
    <v>0</v>
  </rv>
  <rv s="0">
    <v>12</v>
    <v>1524997631012301</v>
    <v>0</v>
  </rv>
  <rv s="0">
    <v>12</v>
    <v>04383680242963602</v>
    <v>0</v>
  </rv>
  <rv s="0">
    <v>12</v>
    <v>006913220079736993</v>
    <v>0</v>
  </rv>
  <rv s="0">
    <v>12</v>
    <v>0069328858487911985</v>
    <v>0</v>
  </rv>
  <rv s="0">
    <v>12</v>
    <v>007994504574383068</v>
    <v>0</v>
  </rv>
  <rv s="0">
    <v>12</v>
    <v>008096291349385033</v>
    <v>0</v>
  </rv>
  <rv s="0">
    <v>12</v>
    <v>01551804824121281</v>
    <v>0</v>
  </rv>
  <rv s="0">
    <v>12</v>
    <v>0032600462074684816</v>
    <v>0</v>
  </rv>
  <rv s="0">
    <v>12</v>
    <v>0032321333833572226</v>
    <v>0</v>
  </rv>
  <rv s="0">
    <v>12</v>
    <v>019050794770957096</v>
    <v>0</v>
  </rv>
  <rv s="0">
    <v>12</v>
    <v>06342022097747975</v>
    <v>0</v>
  </rv>
  <rv s="0">
    <v>12</v>
    <v>030471812211717006</v>
    <v>0</v>
  </rv>
  <rv s="0">
    <v>12</v>
    <v>02993515019571114</v>
    <v>0</v>
  </rv>
  <rv s="0">
    <v>12</v>
    <v>272</v>
    <v>0</v>
  </rv>
  <rv s="0">
    <v>12</v>
    <v>044122621006422</v>
    <v>0</v>
  </rv>
  <rv s="0">
    <v>12</v>
    <v>04403730414477797</v>
    <v>0</v>
  </rv>
  <rv s="0">
    <v>12</v>
    <v>06033629172959242</v>
    <v>0</v>
  </rv>
  <rv s="0">
    <v>12</v>
    <v>010684855788536226</v>
    <v>0</v>
  </rv>
  <rv s="0">
    <v>12</v>
    <v>511126297595276e</v>
    <v>0</v>
  </rv>
  <rv s="0">
    <v>12</v>
    <v>26735224285551057</v>
    <v>0</v>
  </rv>
  <rv s="0">
    <v>12</v>
    <v>03695533991444872</v>
    <v>0</v>
  </rv>
  <rv s="0">
    <v>12</v>
    <v>07814479048071278</v>
    <v>0</v>
  </rv>
  <rv s="0">
    <v>12</v>
    <v>02936853843175643</v>
    <v>0</v>
  </rv>
  <rv s="0">
    <v>12</v>
    <v>13268944537957883</v>
    <v>0</v>
  </rv>
  <rv s="0">
    <v>12</v>
    <v>03135070141018833</v>
    <v>0</v>
  </rv>
  <rv s="0">
    <v>12</v>
    <v>0318140529565538</v>
    <v>0</v>
  </rv>
  <rv s="0">
    <v>12</v>
    <v>026099991987176982</v>
    <v>0</v>
  </rv>
  <rv s="0">
    <v>12</v>
    <v>00031141652724786973</v>
    <v>0</v>
  </rv>
  <rv s="0">
    <v>12</v>
    <v>0073748295984714255</v>
    <v>0</v>
  </rv>
  <rv s="0">
    <v>12</v>
    <v>014356266480830614</v>
    <v>0</v>
  </rv>
  <rv s="0">
    <v>12</v>
    <v>019199706178125345</v>
    <v>0</v>
  </rv>
  <rv s="0">
    <v>12</v>
    <v>07102452758092098</v>
    <v>0</v>
  </rv>
  <rv s="0">
    <v>12</v>
    <v>002625952579088326</v>
    <v>0</v>
  </rv>
  <rv s="0">
    <v>12</v>
    <v>972587710187782e</v>
    <v>0</v>
  </rv>
  <rv s="0">
    <v>12</v>
    <v>03888161504018509</v>
    <v>0</v>
  </rv>
  <rv s="0">
    <v>12</v>
    <v>003918406926166513</v>
    <v>0</v>
  </rv>
  <rv s="0">
    <v>12</v>
    <v>009951302898255554</v>
    <v>0</v>
  </rv>
  <rv s="0">
    <v>12</v>
    <v>01944424405531351</v>
    <v>0</v>
  </rv>
  <rv s="0">
    <v>12</v>
    <v>043588747840041436</v>
    <v>0</v>
  </rv>
  <rv s="0">
    <v>12</v>
    <v>04291497821800662</v>
    <v>0</v>
  </rv>
  <rv s="0">
    <v>12</v>
    <v>029974738208763434</v>
    <v>0</v>
  </rv>
  <rv s="0">
    <v>12</v>
    <v>08787995151543283</v>
    <v>0</v>
  </rv>
  <rv s="0">
    <v>12</v>
    <v>043409232242405935</v>
    <v>0</v>
  </rv>
  <rv s="0">
    <v>12</v>
    <v>02525183357105725</v>
    <v>0</v>
  </rv>
  <rv s="0">
    <v>12</v>
    <v>07613270777107987</v>
    <v>0</v>
  </rv>
  <rv s="0">
    <v>12</v>
    <v>031878058047754516</v>
    <v>0</v>
  </rv>
  <rv s="0">
    <v>12</v>
    <v>07415376457038757</v>
    <v>0</v>
  </rv>
  <rv s="0">
    <v>12</v>
    <v>10138399845200191</v>
    <v>0</v>
  </rv>
  <rv s="0">
    <v>12</v>
    <v>012413640154152276</v>
    <v>0</v>
  </rv>
  <rv s="0">
    <v>12</v>
    <v>021120887069394755</v>
    <v>0</v>
  </rv>
  <rv s="0">
    <v>12</v>
    <v>732</v>
    <v>0</v>
  </rv>
  <rv s="0">
    <v>12</v>
    <v>010938776898506633</v>
    <v>0</v>
  </rv>
  <rv s="0">
    <v>12</v>
    <v>0018968113157632526</v>
    <v>0</v>
  </rv>
  <rv s="0">
    <v>12</v>
    <v>77</v>
    <v>0</v>
  </rv>
  <rv s="0">
    <v>12</v>
    <v>092</v>
    <v>0</v>
  </rv>
  <rv s="0">
    <v>12</v>
    <v>004643424393430152</v>
    <v>0</v>
  </rv>
  <rv s="0">
    <v>12</v>
    <v>0046596243744349095</v>
    <v>0</v>
  </rv>
  <rv s="0">
    <v>12</v>
    <v>011153012166635657</v>
    <v>0</v>
  </rv>
  <rv s="0">
    <v>12</v>
    <v>011527796097793332</v>
    <v>0</v>
  </rv>
  <rv s="0">
    <v>12</v>
    <v>004390915360591034</v>
    <v>0</v>
  </rv>
  <rv s="0">
    <v>12</v>
    <v>008999349346492526</v>
    <v>0</v>
  </rv>
  <rv s="0">
    <v>12</v>
    <v>011071911760807617</v>
    <v>0</v>
  </rv>
  <rv s="0">
    <v>12</v>
    <v>006733069111112099</v>
    <v>0</v>
  </rv>
  <rv s="0">
    <v>12</v>
    <v>04150199408042772</v>
    <v>0</v>
  </rv>
  <rv s="0">
    <v>12</v>
    <v>008026339849776916</v>
    <v>0</v>
  </rv>
  <rv s="0">
    <v>12</v>
    <v>003613842229071276</v>
    <v>0</v>
  </rv>
  <rv s="0">
    <v>12</v>
    <v>008073397676602503</v>
    <v>0</v>
  </rv>
  <rv s="0">
    <v>12</v>
    <v>00037144024600177343</v>
    <v>0</v>
  </rv>
  <rv s="0">
    <v>12</v>
    <v>0026754259053459076</v>
    <v>0</v>
  </rv>
  <rv s="0">
    <v>12</v>
    <v>43298005024396974</v>
    <v>0</v>
  </rv>
  <rv s="0">
    <v>12</v>
    <v>007936596005382626</v>
    <v>0</v>
  </rv>
  <rv s="0">
    <v>12</v>
    <v>004494426017086148</v>
    <v>0</v>
  </rv>
  <rv s="0">
    <v>12</v>
    <v>013</v>
    <v>0</v>
  </rv>
  <rv s="0">
    <v>12</v>
    <v>02491019503298656</v>
    <v>0</v>
  </rv>
  <rv s="0">
    <v>12</v>
    <v>0007622308717118399</v>
    <v>0</v>
  </rv>
  <rv s="0">
    <v>12</v>
    <v>024909859430872247</v>
    <v>0</v>
  </rv>
  <rv s="0">
    <v>12</v>
    <v>024665259655580554</v>
    <v>0</v>
  </rv>
  <rv s="0">
    <v>12</v>
    <v>02817059339049716</v>
    <v>0</v>
  </rv>
  <rv s="0">
    <v>12</v>
    <v>03813158857636334</v>
    <v>0</v>
  </rv>
  <rv s="0">
    <v>12</v>
    <v>07720809552018575</v>
    <v>0</v>
  </rv>
  <rv s="0">
    <v>12</v>
    <v>001513333898898376</v>
    <v>0</v>
  </rv>
  <rv s="0">
    <v>12</v>
    <v>014856588995785387</v>
    <v>0</v>
  </rv>
  <rv s="0">
    <v>12</v>
    <v>07247826881694852</v>
    <v>0</v>
  </rv>
  <rv s="0">
    <v>12</v>
    <v>015192776484013168</v>
    <v>0</v>
  </rv>
  <rv s="0">
    <v>12</v>
    <v>23418581491410345</v>
    <v>0</v>
  </rv>
  <rv s="0">
    <v>12</v>
    <v>16417368322462078</v>
    <v>0</v>
  </rv>
  <rv s="0">
    <v>12</v>
    <v>0025938415170487445</v>
    <v>0</v>
  </rv>
  <rv s="0">
    <v>12</v>
    <v>853371688109691e</v>
    <v>0</v>
  </rv>
  <rv s="0">
    <v>12</v>
    <v>0056634413217358</v>
    <v>0</v>
  </rv>
  <rv s="0">
    <v>12</v>
    <v>042325126426220834</v>
    <v>0</v>
  </rv>
  <rv s="0">
    <v>12</v>
    <v>04283451859358114</v>
    <v>0</v>
  </rv>
  <rv s="0">
    <v>12</v>
    <v>006707933111494279</v>
    <v>0</v>
  </rv>
  <rv s="0">
    <v>12</v>
    <v>03844397330342683</v>
    <v>0</v>
  </rv>
  <rv s="0">
    <v>12</v>
    <v>02724569358395464</v>
    <v>0</v>
  </rv>
  <rv s="0">
    <v>12</v>
    <v>015137885179123253</v>
    <v>0</v>
  </rv>
  <rv s="0">
    <v>12</v>
    <v>04685856597153876</v>
    <v>0</v>
  </rv>
  <rv s="0">
    <v>12</v>
    <v>542980104548808e</v>
    <v>0</v>
  </rv>
  <rv s="0">
    <v>12</v>
    <v>0024961617003920887</v>
    <v>0</v>
  </rv>
  <rv s="0">
    <v>12</v>
    <v>009781482127315813</v>
    <v>0</v>
  </rv>
  <rv s="0">
    <v>12</v>
    <v>012797331230510524</v>
    <v>0</v>
  </rv>
  <rv s="0">
    <v>12</v>
    <v>02759857877285273</v>
    <v>0</v>
  </rv>
  <rv s="0">
    <v>12</v>
    <v>04192315857677194</v>
    <v>0</v>
  </rv>
  <rv s="0">
    <v>12</v>
    <v>02547826345181172</v>
    <v>0</v>
  </rv>
  <rv s="0">
    <v>12</v>
    <v>016192269951212007</v>
    <v>0</v>
  </rv>
  <rv s="0">
    <v>12</v>
    <v>1764617212535558</v>
    <v>0</v>
  </rv>
  <rv s="0">
    <v>12</v>
    <v>7593131909156499</v>
    <v>0</v>
  </rv>
  <rv s="0">
    <v>12</v>
    <v>074</v>
    <v>0</v>
  </rv>
  <rv s="0">
    <v>12</v>
    <v>004846815613340421</v>
    <v>0</v>
  </rv>
  <rv s="0">
    <v>12</v>
    <v>02172719928231729</v>
    <v>0</v>
  </rv>
  <rv s="0">
    <v>12</v>
    <v>004931577400974931</v>
    <v>0</v>
  </rv>
  <rv s="0">
    <v>12</v>
    <v>005572352111254794</v>
    <v>0</v>
  </rv>
  <rv s="0">
    <v>12</v>
    <v>1028722999869915</v>
    <v>0</v>
  </rv>
  <rv s="0">
    <v>12</v>
    <v>03189328630900486</v>
    <v>0</v>
  </rv>
  <rv s="0">
    <v>12</v>
    <v>00015146064923538086</v>
    <v>0</v>
  </rv>
  <rv s="0">
    <v>12</v>
    <v>01709738349881908</v>
    <v>0</v>
  </rv>
  <rv s="0">
    <v>12</v>
    <v>04059084890979525</v>
    <v>0</v>
  </rv>
  <rv s="0">
    <v>12</v>
    <v>024784711022972562</v>
    <v>0</v>
  </rv>
  <rv s="0">
    <v>12</v>
    <v>01737532087767235</v>
    <v>0</v>
  </rv>
  <rv s="0">
    <v>12</v>
    <v>292</v>
    <v>0</v>
  </rv>
  <rv s="0">
    <v>12</v>
    <v>013978623931807072</v>
    <v>0</v>
  </rv>
  <rv s="0">
    <v>12</v>
    <v>012513257840360819</v>
    <v>0</v>
  </rv>
  <rv s="0">
    <v>12</v>
    <v>0423592834190709</v>
    <v>0</v>
  </rv>
  <rv s="0">
    <v>12</v>
    <v>030696519197572828</v>
    <v>0</v>
  </rv>
  <rv s="0">
    <v>12</v>
    <v>012858350858910543</v>
    <v>0</v>
  </rv>
  <rv s="0">
    <v>12</v>
    <v>055</v>
    <v>0</v>
  </rv>
  <rv s="0">
    <v>12</v>
    <v>031024466193221082</v>
    <v>0</v>
  </rv>
  <rv s="0">
    <v>12</v>
    <v>06720137303819598</v>
    <v>0</v>
  </rv>
  <rv s="0">
    <v>12</v>
    <v>05873364433690237</v>
    <v>0</v>
  </rv>
  <rv s="0">
    <v>12</v>
    <v>32598939498593765</v>
    <v>0</v>
  </rv>
  <rv s="0">
    <v>12</v>
    <v>268</v>
    <v>0</v>
  </rv>
  <rv s="0">
    <v>12</v>
    <v>022103515921989995</v>
    <v>0</v>
  </rv>
  <rv s="0">
    <v>12</v>
    <v>23458632065408228</v>
    <v>0</v>
  </rv>
  <rv s="0">
    <v>12</v>
    <v>012032555642367368</v>
    <v>0</v>
  </rv>
  <rv s="0">
    <v>12</v>
    <v>05470822226533282</v>
    <v>0</v>
  </rv>
  <rv s="0">
    <v>12</v>
    <v>023203166078551125</v>
    <v>0</v>
  </rv>
  <rv s="0">
    <v>12</v>
    <v>025861492162571973</v>
    <v>0</v>
  </rv>
  <rv s="0">
    <v>12</v>
    <v>011396158797867496</v>
    <v>0</v>
  </rv>
  <rv s="0">
    <v>12</v>
    <v>015648271712651016</v>
    <v>0</v>
  </rv>
  <rv s="0">
    <v>12</v>
    <v>0014323616132170512</v>
    <v>0</v>
  </rv>
  <rv s="0">
    <v>12</v>
    <v>003613806079435753</v>
    <v>0</v>
  </rv>
  <rv s="0">
    <v>12</v>
    <v>06856704160837795</v>
    <v>0</v>
  </rv>
  <rv s="0">
    <v>12</v>
    <v>005054514092154554</v>
    <v>0</v>
  </rv>
  <rv s="0">
    <v>12</v>
    <v>03276642584697033</v>
    <v>0</v>
  </rv>
  <rv s="0">
    <v>12</v>
    <v>017227010771585442</v>
    <v>0</v>
  </rv>
  <rv s="0">
    <v>12</v>
    <v>0004688218840596102</v>
    <v>0</v>
  </rv>
  <rv s="0">
    <v>12</v>
    <v>009919790365429247</v>
    <v>0</v>
  </rv>
  <rv s="0">
    <v>12</v>
    <v>173</v>
    <v>0</v>
  </rv>
  <rv s="0">
    <v>12</v>
    <v>02462375535438545</v>
    <v>0</v>
  </rv>
  <rv s="0">
    <v>12</v>
    <v>15772330035037924</v>
    <v>0</v>
  </rv>
  <rv s="0">
    <v>12</v>
    <v>0035164174230138566</v>
    <v>0</v>
  </rv>
  <rv s="0">
    <v>12</v>
    <v>0048186682185946215</v>
    <v>0</v>
  </rv>
  <rv s="0">
    <v>12</v>
    <v>0004522580093628927</v>
    <v>0</v>
  </rv>
  <rv s="0">
    <v>12</v>
    <v>07464727885799531</v>
    <v>0</v>
  </rv>
  <rv s="0">
    <v>12</v>
    <v>06260170453890658</v>
    <v>0</v>
  </rv>
  <rv s="0">
    <v>12</v>
    <v>12186176794567709</v>
    <v>0</v>
  </rv>
  <rv s="0">
    <v>12</v>
    <v>013089990414810017</v>
    <v>0</v>
  </rv>
  <rv s="0">
    <v>12</v>
    <v>1429442352830259</v>
    <v>0</v>
  </rv>
  <rv s="0">
    <v>12</v>
    <v>05486295607056963</v>
    <v>0</v>
  </rv>
  <rv s="0">
    <v>12</v>
    <v>0504042033054887</v>
    <v>0</v>
  </rv>
  <rv s="0">
    <v>12</v>
    <v>148</v>
    <v>0</v>
  </rv>
  <rv s="0">
    <v>12</v>
    <v>0015221003635398145</v>
    <v>0</v>
  </rv>
  <rv s="0">
    <v>12</v>
    <v>006790614755750062</v>
    <v>0</v>
  </rv>
  <rv s="0">
    <v>12</v>
    <v>036576933972583235</v>
    <v>0</v>
  </rv>
  <rv s="0">
    <v>12</v>
    <v>392</v>
    <v>0</v>
  </rv>
  <rv s="0">
    <v>12</v>
    <v>020288689379776455</v>
    <v>0</v>
  </rv>
  <rv s="0">
    <v>12</v>
    <v>011029525596206591</v>
    <v>0</v>
  </rv>
  <rv s="0">
    <v>12</v>
    <v>005696408577849977</v>
    <v>0</v>
  </rv>
  <rv s="0">
    <v>12</v>
    <v>0021570796365708053</v>
    <v>0</v>
  </rv>
  <rv s="0">
    <v>12</v>
    <v>003775440216219353</v>
    <v>0</v>
  </rv>
  <rv s="0">
    <v>12</v>
    <v>262</v>
    <v>0</v>
  </rv>
  <rv s="0">
    <v>12</v>
    <v>007072990157612838</v>
    <v>0</v>
  </rv>
  <rv s="0">
    <v>12</v>
    <v>008213152871706335</v>
    <v>0</v>
  </rv>
  <rv s="0">
    <v>12</v>
    <v>008184094662972196</v>
    <v>0</v>
  </rv>
  <rv s="0">
    <v>12</v>
    <v>00026220166075909625</v>
    <v>0</v>
  </rv>
  <rv s="0">
    <v>12</v>
    <v>0323658147232331</v>
    <v>0</v>
  </rv>
  <rv s="0">
    <v>12</v>
    <v>04110929359410053</v>
    <v>0</v>
  </rv>
  <rv s="0">
    <v>12</v>
    <v>018998976997499743</v>
    <v>0</v>
  </rv>
  <rv s="0">
    <v>12</v>
    <v>014516523457054533</v>
    <v>0</v>
  </rv>
  <rv s="0">
    <v>12</v>
    <v>05038027189910452</v>
    <v>0</v>
  </rv>
  <rv s="0">
    <v>12</v>
    <v>04461345623802666</v>
    <v>0</v>
  </rv>
  <rv s="0">
    <v>12</v>
    <v>031183426737453016</v>
    <v>0</v>
  </rv>
  <rv s="0">
    <v>12</v>
    <v>05072578943204543</v>
    <v>0</v>
  </rv>
  <rv s="0">
    <v>12</v>
    <v>183</v>
    <v>0</v>
  </rv>
  <rv s="0">
    <v>12</v>
    <v>00836327373002191</v>
    <v>0</v>
  </rv>
  <rv s="0">
    <v>12</v>
    <v>09647081494545423</v>
    <v>0</v>
  </rv>
  <rv s="0">
    <v>12</v>
    <v>025896431783106726</v>
    <v>0</v>
  </rv>
  <rv s="0">
    <v>12</v>
    <v>005492288017631921</v>
    <v>0</v>
  </rv>
  <rv s="0">
    <v>12</v>
    <v>565703782216446e</v>
    <v>0</v>
  </rv>
  <rv s="0">
    <v>12</v>
    <v>07369671261019148</v>
    <v>0</v>
  </rv>
  <rv s="0">
    <v>12</v>
    <v>013650450683490422</v>
    <v>0</v>
  </rv>
  <rv s="0">
    <v>12</v>
    <v>002956210244872577</v>
    <v>0</v>
  </rv>
  <rv s="0">
    <v>12</v>
    <v>009222492903872236</v>
    <v>0</v>
  </rv>
  <rv s="0">
    <v>12</v>
    <v>021459676873001432</v>
    <v>0</v>
  </rv>
  <rv s="0">
    <v>12</v>
    <v>012310774728952032</v>
    <v>0</v>
  </rv>
  <rv s="0">
    <v>12</v>
    <v>01108393207667087</v>
    <v>0</v>
  </rv>
  <rv s="0">
    <v>12</v>
    <v>04645923199556855</v>
    <v>0</v>
  </rv>
  <rv s="0">
    <v>12</v>
    <v>269</v>
    <v>0</v>
  </rv>
  <rv s="0">
    <v>12</v>
    <v>0075717769341230624</v>
    <v>0</v>
  </rv>
  <rv s="0">
    <v>12</v>
    <v>01261462146464934</v>
    <v>0</v>
  </rv>
  <rv s="0">
    <v>12</v>
    <v>01172830540041692</v>
    <v>0</v>
  </rv>
  <rv s="0">
    <v>12</v>
    <v>0033808602092053742</v>
    <v>0</v>
  </rv>
  <rv s="0">
    <v>12</v>
    <v>02075807065768329</v>
    <v>0</v>
  </rv>
  <rv s="0">
    <v>12</v>
    <v>008424346652735098</v>
    <v>0</v>
  </rv>
  <rv s="0">
    <v>12</v>
    <v>008754551121491042</v>
    <v>0</v>
  </rv>
  <rv s="0">
    <v>12</v>
    <v>04057452311585494</v>
    <v>0</v>
  </rv>
  <rv s="0">
    <v>12</v>
    <v>07641825791273547</v>
    <v>0</v>
  </rv>
  <rv s="0">
    <v>12</v>
    <v>014229951622884218</v>
    <v>0</v>
  </rv>
  <rv s="0">
    <v>12</v>
    <v>010122285867021383</v>
    <v>0</v>
  </rv>
  <rv s="0">
    <v>12</v>
    <v>01034532147023892</v>
    <v>0</v>
  </rv>
  <rv s="0">
    <v>12</v>
    <v>013473090182632215</v>
    <v>0</v>
  </rv>
  <rv s="0">
    <v>12</v>
    <v>006428572274849779</v>
    <v>0</v>
  </rv>
  <rv s="0">
    <v>12</v>
    <v>059623598208331186</v>
    <v>0</v>
  </rv>
  <rv s="0">
    <v>12</v>
    <v>06863619373216294</v>
    <v>0</v>
  </rv>
  <rv s="0">
    <v>12</v>
    <v>022396571900370674</v>
    <v>0</v>
  </rv>
  <rv s="0">
    <v>12</v>
    <v>01353085168028634</v>
    <v>0</v>
  </rv>
  <rv s="0">
    <v>12</v>
    <v>022281798607649953</v>
    <v>0</v>
  </rv>
  <rv s="0">
    <v>12</v>
    <v>010236711290979346</v>
    <v>0</v>
  </rv>
  <rv s="0">
    <v>12</v>
    <v>016834672020783613</v>
    <v>0</v>
  </rv>
  <rv s="0">
    <v>12</v>
    <v>01630608193772061</v>
    <v>0</v>
  </rv>
  <rv s="0">
    <v>12</v>
    <v>010878778355015613</v>
    <v>0</v>
  </rv>
  <rv s="0">
    <v>12</v>
    <v>00010617499577100248</v>
    <v>0</v>
  </rv>
  <rv s="0">
    <v>12</v>
    <v>099</v>
    <v>0</v>
  </rv>
  <rv s="0">
    <v>12</v>
    <v>0350373242309137</v>
    <v>0</v>
  </rv>
  <rv s="0">
    <v>12</v>
    <v>07083356531174625</v>
    <v>0</v>
  </rv>
  <rv s="0">
    <v>12</v>
    <v>07890344557600365</v>
    <v>0</v>
  </rv>
  <rv s="0">
    <v>12</v>
    <v>010573534339714311</v>
    <v>0</v>
  </rv>
  <rv s="0">
    <v>12</v>
    <v>0038297935030326535</v>
    <v>0</v>
  </rv>
  <rv s="0">
    <v>12</v>
    <v>0029762225016228805</v>
    <v>0</v>
  </rv>
  <rv s="0">
    <v>12</v>
    <v>03887940963640195</v>
    <v>0</v>
  </rv>
  <rv s="0">
    <v>12</v>
    <v>038540819254105144</v>
    <v>0</v>
  </rv>
  <rv s="0">
    <v>12</v>
    <v>003938394201527749</v>
    <v>0</v>
  </rv>
  <rv s="0">
    <v>12</v>
    <v>011399074329727537</v>
    <v>0</v>
  </rv>
  <rv s="0">
    <v>12</v>
    <v>005998173407549689</v>
    <v>0</v>
  </rv>
  <rv s="0">
    <v>12</v>
    <v>010202160909673581</v>
    <v>0</v>
  </rv>
  <rv s="0">
    <v>12</v>
    <v>007372234709394863</v>
    <v>0</v>
  </rv>
  <rv s="0">
    <v>12</v>
    <v>003067036811099393</v>
    <v>0</v>
  </rv>
  <rv s="0">
    <v>12</v>
    <v>013484387958368082</v>
    <v>0</v>
  </rv>
  <rv s="0">
    <v>12</v>
    <v>013502535901201066</v>
    <v>0</v>
  </rv>
  <rv s="0">
    <v>12</v>
    <v>01723550105155079</v>
    <v>0</v>
  </rv>
  <rv s="0">
    <v>12</v>
    <v>07062477421253596</v>
    <v>0</v>
  </rv>
  <rv s="0">
    <v>12</v>
    <v>013790159569029396</v>
    <v>0</v>
  </rv>
  <rv s="0">
    <v>12</v>
    <v>06347140311534684</v>
    <v>0</v>
  </rv>
  <rv s="0">
    <v>12</v>
    <v>024597914333486858</v>
    <v>0</v>
  </rv>
  <rv s="0">
    <v>12</v>
    <v>010107666619337458</v>
    <v>0</v>
  </rv>
  <rv s="0">
    <v>12</v>
    <v>44</v>
    <v>0</v>
  </rv>
  <rv s="0">
    <v>12</v>
    <v>02640650284210205</v>
    <v>0</v>
  </rv>
  <rv s="0">
    <v>12</v>
    <v>026099829118644124</v>
    <v>0</v>
  </rv>
  <rv s="0">
    <v>12</v>
    <v>002243129343777346</v>
    <v>0</v>
  </rv>
  <rv s="0">
    <v>12</v>
    <v>003130557154010031</v>
    <v>0</v>
  </rv>
  <rv s="0">
    <v>12</v>
    <v>0029186794852157</v>
    <v>0</v>
  </rv>
  <rv s="0">
    <v>12</v>
    <v>0008126243499506669</v>
    <v>0</v>
  </rv>
  <rv s="0">
    <v>12</v>
    <v>04058102393559219</v>
    <v>0</v>
  </rv>
  <rv s="0">
    <v>12</v>
    <v>039067068000133556</v>
    <v>0</v>
  </rv>
  <rv s="0">
    <v>12</v>
    <v>03341844007146852</v>
    <v>0</v>
  </rv>
  <rv s="0">
    <v>12</v>
    <v>0016187617769793307</v>
    <v>0</v>
  </rv>
  <rv s="0">
    <v>12</v>
    <v>030843890221014972</v>
    <v>0</v>
  </rv>
  <rv s="0">
    <v>12</v>
    <v>14674081488681068</v>
    <v>0</v>
  </rv>
  <rv s="0">
    <v>12</v>
    <v>13279257903937255</v>
    <v>0</v>
  </rv>
  <rv s="0">
    <v>12</v>
    <v>01825560515701082</v>
    <v>0</v>
  </rv>
  <rv s="0">
    <v>12</v>
    <v>284</v>
    <v>0</v>
  </rv>
  <rv s="0">
    <v>12</v>
    <v>0182496779229798</v>
    <v>0</v>
  </rv>
  <rv s="0">
    <v>12</v>
    <v>003289186980891181</v>
    <v>0</v>
  </rv>
  <rv s="0">
    <v>12</v>
    <v>012115172192797433</v>
    <v>0</v>
  </rv>
  <rv s="0">
    <v>12</v>
    <v>054382212981860266</v>
    <v>0</v>
  </rv>
  <rv s="0">
    <v>12</v>
    <v>06</v>
    <v>0</v>
  </rv>
  <rv s="0">
    <v>12</v>
    <v>020986582051346646</v>
    <v>0</v>
  </rv>
  <rv s="0">
    <v>12</v>
    <v>024604490035766053</v>
    <v>0</v>
  </rv>
  <rv s="0">
    <v>12</v>
    <v>021064850093489816</v>
    <v>0</v>
  </rv>
  <rv s="0">
    <v>12</v>
    <v>010138702996941477</v>
    <v>0</v>
  </rv>
  <rv s="0">
    <v>12</v>
    <v>026175237518362978</v>
    <v>0</v>
  </rv>
  <rv s="0">
    <v>12</v>
    <v>045284174257661895</v>
    <v>0</v>
  </rv>
  <rv s="0">
    <v>12</v>
    <v>1234860619142939</v>
    <v>0</v>
  </rv>
  <rv s="0">
    <v>12</v>
    <v>02549252919865189</v>
    <v>0</v>
  </rv>
  <rv s="0">
    <v>12</v>
    <v>08542932157666465</v>
    <v>0</v>
  </rv>
  <rv s="0">
    <v>12</v>
    <v>1559877129954401</v>
    <v>0</v>
  </rv>
  <rv s="0">
    <v>12</v>
    <v>012257522313921592</v>
    <v>0</v>
  </rv>
  <rv s="0">
    <v>12</v>
    <v>012490391272175756</v>
    <v>0</v>
  </rv>
  <rv s="0">
    <v>12</v>
    <v>015520783822334424</v>
    <v>0</v>
  </rv>
  <rv s="0">
    <v>12</v>
    <v>0018152932412905123</v>
    <v>0</v>
  </rv>
  <rv s="0">
    <v>12</v>
    <v>015567771783551327</v>
    <v>0</v>
  </rv>
  <rv s="0">
    <v>12</v>
    <v>015472215005979595</v>
    <v>0</v>
  </rv>
  <rv s="0">
    <v>12</v>
    <v>014658529185218906</v>
    <v>0</v>
  </rv>
  <rv s="0">
    <v>12</v>
    <v>01808774229709662</v>
    <v>0</v>
  </rv>
  <rv s="0">
    <v>12</v>
    <v>017884003795694898</v>
    <v>0</v>
  </rv>
  <rv s="0">
    <v>12</v>
    <v>07718567944690906</v>
    <v>0</v>
  </rv>
  <rv s="0">
    <v>12</v>
    <v>07739345973091755</v>
    <v>0</v>
  </rv>
  <rv s="0">
    <v>12</v>
    <v>010764923391079326</v>
    <v>0</v>
  </rv>
  <rv s="0">
    <v>12</v>
    <v>07051449815778446</v>
    <v>0</v>
  </rv>
  <rv s="0">
    <v>12</v>
    <v>06968347279307556</v>
    <v>0</v>
  </rv>
  <rv s="0">
    <v>12</v>
    <v>0004261196868507747</v>
    <v>0</v>
  </rv>
  <rv s="0">
    <v>12</v>
    <v>013693811153386535</v>
    <v>0</v>
  </rv>
  <rv s="0">
    <v>12</v>
    <v>0015234773735811993</v>
    <v>0</v>
  </rv>
  <rv s="0">
    <v>12</v>
    <v>013327381523336358</v>
    <v>0</v>
  </rv>
  <rv s="0">
    <v>12</v>
    <v>01711781223768407</v>
    <v>0</v>
  </rv>
  <rv s="0">
    <v>12</v>
    <v>01948577976233409</v>
    <v>0</v>
  </rv>
  <rv s="0">
    <v>12</v>
    <v>01705382678075079</v>
    <v>0</v>
  </rv>
  <rv s="0">
    <v>12</v>
    <v>00974004995595796</v>
    <v>0</v>
  </rv>
  <rv s="0">
    <v>12</v>
    <v>0232747191414161</v>
    <v>0</v>
  </rv>
  <rv s="0">
    <v>12</v>
    <v>015812254202310555</v>
    <v>0</v>
  </rv>
  <rv s="0">
    <v>12</v>
    <v>019266176947858128</v>
    <v>0</v>
  </rv>
  <rv s="0">
    <v>12</v>
    <v>012312284256279922</v>
    <v>0</v>
  </rv>
  <rv s="0">
    <v>12</v>
    <v>026518738567877946</v>
    <v>0</v>
  </rv>
  <rv s="0">
    <v>12</v>
    <v>005806385711005982</v>
    <v>0</v>
  </rv>
  <rv s="0">
    <v>12</v>
    <v>003827476134409208</v>
    <v>0</v>
  </rv>
  <rv s="0">
    <v>12</v>
    <v>022008383116815255</v>
    <v>0</v>
  </rv>
  <rv s="0">
    <v>12</v>
    <v>011242013920639355</v>
    <v>0</v>
  </rv>
  <rv s="0">
    <v>12</v>
    <v>009962032048928053</v>
    <v>0</v>
  </rv>
  <rv s="0">
    <v>12</v>
    <v>18</v>
    <v>0</v>
  </rv>
  <rv s="0">
    <v>12</v>
    <v>0001570977935634475</v>
    <v>0</v>
  </rv>
  <rv s="0">
    <v>12</v>
    <v>00500543598582914</v>
    <v>0</v>
  </rv>
  <rv s="0">
    <v>12</v>
    <v>005428285959723597</v>
    <v>0</v>
  </rv>
  <rv s="0">
    <v>12</v>
    <v>0007875018919286074</v>
    <v>0</v>
  </rv>
  <rv s="0">
    <v>12</v>
    <v>02511807999428269</v>
    <v>0</v>
  </rv>
  <rv s="0">
    <v>12</v>
    <v>014153257966369303</v>
    <v>0</v>
  </rv>
  <rv s="0">
    <v>12</v>
    <v>02298823349088958</v>
    <v>0</v>
  </rv>
  <rv s="0">
    <v>12</v>
    <v>013639943236814906</v>
    <v>0</v>
  </rv>
  <rv s="0">
    <v>12</v>
    <v>028470076694195212</v>
    <v>0</v>
  </rv>
  <rv s="0">
    <v>12</v>
    <v>025604684959142778</v>
    <v>0</v>
  </rv>
  <rv s="0">
    <v>12</v>
    <v>013193671572096196</v>
    <v>0</v>
  </rv>
  <rv s="0">
    <v>12</v>
    <v>001942264190298227</v>
    <v>0</v>
  </rv>
  <rv s="0">
    <v>12</v>
    <v>007030068831038121</v>
    <v>0</v>
  </rv>
  <rv s="0">
    <v>12</v>
    <v>017154095071564353</v>
    <v>0</v>
  </rv>
  <rv s="0">
    <v>12</v>
    <v>009252018879058802</v>
    <v>0</v>
  </rv>
  <rv s="0">
    <v>12</v>
    <v>031096092383971877</v>
    <v>0</v>
  </rv>
  <rv s="0">
    <v>12</v>
    <v>008905279007498709</v>
    <v>0</v>
  </rv>
  <rv s="0">
    <v>12</v>
    <v>02847883965121879</v>
    <v>0</v>
  </rv>
  <rv s="0">
    <v>12</v>
    <v>03607852543442525</v>
    <v>0</v>
  </rv>
  <rv s="0">
    <v>12</v>
    <v>015724185513945464</v>
    <v>0</v>
  </rv>
  <rv s="0">
    <v>12</v>
    <v>5699073456952273</v>
    <v>0</v>
  </rv>
  <rv s="0">
    <v>12</v>
    <v>4598837519751822</v>
    <v>0</v>
  </rv>
  <rv s="0">
    <v>12</v>
    <v>009709579045291624</v>
    <v>0</v>
  </rv>
  <rv s="0">
    <v>12</v>
    <v>012314953320245276</v>
    <v>0</v>
  </rv>
  <rv s="0">
    <v>12</v>
    <v>22680113353129966</v>
    <v>0</v>
  </rv>
  <rv s="0">
    <v>12</v>
    <v>21129206661793842</v>
    <v>0</v>
  </rv>
  <rv s="0">
    <v>12</v>
    <v>10583376894276453</v>
    <v>0</v>
  </rv>
  <rv s="0">
    <v>12</v>
    <v>01693355488778085</v>
    <v>0</v>
  </rv>
  <rv s="0">
    <v>12</v>
    <v>0005764556386451943</v>
    <v>0</v>
  </rv>
  <rv s="0">
    <v>12</v>
    <v>009279658536996574</v>
    <v>0</v>
  </rv>
  <rv s="0">
    <v>12</v>
    <v>1495651486172529</v>
    <v>0</v>
  </rv>
  <rv s="0">
    <v>12</v>
    <v>14016441102117988</v>
    <v>0</v>
  </rv>
  <rv s="0">
    <v>12</v>
    <v>00749729390878274</v>
    <v>0</v>
  </rv>
  <rv s="0">
    <v>12</v>
    <v>06789755384433702</v>
    <v>0</v>
  </rv>
  <rv s="0">
    <v>12</v>
    <v>012583677228674425</v>
    <v>0</v>
  </rv>
  <rv s="0">
    <v>12</v>
    <v>012717592647182781</v>
    <v>0</v>
  </rv>
  <rv s="0">
    <v>12</v>
    <v>0026055599410771554</v>
    <v>0</v>
  </rv>
  <rv s="0">
    <v>12</v>
    <v>04262654578793375</v>
    <v>0</v>
  </rv>
  <rv s="0">
    <v>12</v>
    <v>0038682066593107006</v>
    <v>0</v>
  </rv>
  <rv s="0">
    <v>12</v>
    <v>042973936409210045</v>
    <v>0</v>
  </rv>
  <rv s="0">
    <v>12</v>
    <v>006208099755102608</v>
    <v>0</v>
  </rv>
  <rv s="0">
    <v>12</v>
    <v>029871095297128968</v>
    <v>0</v>
  </rv>
  <rv s="0">
    <v>12</v>
    <v>8898238720986542</v>
    <v>0</v>
  </rv>
  <rv s="0">
    <v>12</v>
    <v>07987379562318864</v>
    <v>0</v>
  </rv>
  <rv s="0">
    <v>12</v>
    <v>0033604877140056433</v>
    <v>0</v>
  </rv>
  <rv s="0">
    <v>12</v>
    <v>862</v>
    <v>0</v>
  </rv>
  <rv s="0">
    <v>12</v>
    <v>004362302090556648</v>
    <v>0</v>
  </rv>
  <rv s="0">
    <v>12</v>
    <v>0008278393167618033</v>
    <v>0</v>
  </rv>
  <rv s="0">
    <v>12</v>
    <v>03521307959181564</v>
    <v>0</v>
  </rv>
  <rv s="0">
    <v>12</v>
    <v>009722443530997472</v>
    <v>0</v>
  </rv>
  <rv s="0">
    <v>12</v>
    <v>018089625149662395</v>
    <v>0</v>
  </rv>
  <rv s="0">
    <v>12</v>
    <v>027064141895136676</v>
    <v>0</v>
  </rv>
  <rv s="0">
    <v>12</v>
    <v>0019864468462773223</v>
    <v>0</v>
  </rv>
  <rv s="0">
    <v>12</v>
    <v>0016858607854669271</v>
    <v>0</v>
  </rv>
  <rv s="0">
    <v>12</v>
    <v>002392197553749287</v>
    <v>0</v>
  </rv>
  <rv s="0">
    <v>12</v>
    <v>04859290414865331</v>
    <v>0</v>
  </rv>
  <rv s="0">
    <v>12</v>
    <v>0017167790415275525</v>
    <v>0</v>
  </rv>
  <rv s="0">
    <v>12</v>
    <v>009516226505248812</v>
    <v>0</v>
  </rv>
  <rv s="0">
    <v>12</v>
    <v>04736562594213026</v>
    <v>0</v>
  </rv>
  <rv s="0">
    <v>12</v>
    <v>05289077614770492</v>
    <v>0</v>
  </rv>
  <rv s="0">
    <v>12</v>
    <v>043970106413385994</v>
    <v>0</v>
  </rv>
  <rv s="0">
    <v>12</v>
    <v>04741068619041666</v>
    <v>0</v>
  </rv>
  <rv s="0">
    <v>12</v>
    <v>04341979804257361</v>
    <v>0</v>
  </rv>
  <rv s="0">
    <v>12</v>
    <v>0026159629015037413</v>
    <v>0</v>
  </rv>
  <rv s="0">
    <v>12</v>
    <v>04920762876398803</v>
    <v>0</v>
  </rv>
  <rv s="0">
    <v>12</v>
    <v>048359156455989</v>
    <v>0</v>
  </rv>
  <rv s="0">
    <v>12</v>
    <v>005245600756168019</v>
    <v>0</v>
  </rv>
  <rv s="0">
    <v>12</v>
    <v>02756442229247366</v>
    <v>0</v>
  </rv>
  <rv s="0">
    <v>12</v>
    <v>0693089953461521</v>
    <v>0</v>
  </rv>
  <rv s="0">
    <v>12</v>
    <v>002093435892533774</v>
    <v>0</v>
  </rv>
  <rv s="0">
    <v>12</v>
    <v>017136256762991676</v>
    <v>0</v>
  </rv>
  <rv s="0">
    <v>12</v>
    <v>010010740911311785</v>
    <v>0</v>
  </rv>
  <rv s="0">
    <v>12</v>
    <v>024879430977301616</v>
    <v>0</v>
  </rv>
  <rv s="0">
    <v>12</v>
    <v>338</v>
    <v>0</v>
  </rv>
  <rv s="0">
    <v>12</v>
    <v>03895820087407763</v>
    <v>0</v>
  </rv>
  <rv s="0">
    <v>12</v>
    <v>241</v>
    <v>0</v>
  </rv>
  <rv s="0">
    <v>12</v>
    <v>018950550456057532</v>
    <v>0</v>
  </rv>
  <rv s="0">
    <v>12</v>
    <v>086</v>
    <v>0</v>
  </rv>
  <rv s="0">
    <v>12</v>
    <v>01286569112990924</v>
    <v>0</v>
  </rv>
  <rv s="0">
    <v>12</v>
    <v>008562227728252329</v>
    <v>0</v>
  </rv>
  <rv s="0">
    <v>12</v>
    <v>013096027829038757</v>
    <v>0</v>
  </rv>
  <rv s="0">
    <v>12</v>
    <v>013243675931973328</v>
    <v>0</v>
  </rv>
  <rv s="0">
    <v>12</v>
    <v>003796084225894226</v>
    <v>0</v>
  </rv>
  <rv s="0">
    <v>12</v>
    <v>01391450809827205</v>
    <v>0</v>
  </rv>
  <rv s="0">
    <v>12</v>
    <v>011710763729499148</v>
    <v>0</v>
  </rv>
  <rv s="0">
    <v>12</v>
    <v>004580987746495928</v>
    <v>0</v>
  </rv>
  <rv s="0">
    <v>12</v>
    <v>00966798482312685</v>
    <v>0</v>
  </rv>
  <rv s="0">
    <v>12</v>
    <v>003949753171794952</v>
    <v>0</v>
  </rv>
  <rv s="0">
    <v>12</v>
    <v>019700582896943427</v>
    <v>0</v>
  </rv>
  <rv s="0">
    <v>12</v>
    <v>09525672851846949</v>
    <v>0</v>
  </rv>
  <rv s="0">
    <v>12</v>
    <v>006830068299555654</v>
    <v>0</v>
  </rv>
  <rv s="0">
    <v>12</v>
    <v>037279961767055385</v>
    <v>0</v>
  </rv>
  <rv s="0">
    <v>12</v>
    <v>0017996570524884516</v>
    <v>0</v>
  </rv>
  <rv s="0">
    <v>12</v>
    <v>020057439013701002</v>
    <v>0</v>
  </rv>
  <rv s="0">
    <v>12</v>
    <v>0767008171683055</v>
    <v>0</v>
  </rv>
  <rv s="0">
    <v>12</v>
    <v>050296137180145306</v>
    <v>0</v>
  </rv>
  <rv s="0">
    <v>12</v>
    <v>071</v>
    <v>0</v>
  </rv>
  <rv s="0">
    <v>12</v>
    <v>042332374300597934</v>
    <v>0</v>
  </rv>
  <rv s="0">
    <v>12</v>
    <v>021523615101061138</v>
    <v>0</v>
  </rv>
  <rv s="0">
    <v>12</v>
    <v>025286996826977527</v>
    <v>0</v>
  </rv>
  <rv s="0">
    <v>12</v>
    <v>08528508091626624</v>
    <v>0</v>
  </rv>
  <rv s="0">
    <v>12</v>
    <v>05774329120116853</v>
    <v>0</v>
  </rv>
  <rv s="0">
    <v>12</v>
    <v>011092435752403006</v>
    <v>0</v>
  </rv>
  <rv s="0">
    <v>12</v>
    <v>04221496532211226</v>
    <v>0</v>
  </rv>
  <rv s="0">
    <v>12</v>
    <v>012537258824807962</v>
    <v>0</v>
  </rv>
  <rv s="0">
    <v>12</v>
    <v>017508094959652745</v>
    <v>0</v>
  </rv>
  <rv s="0">
    <v>12</v>
    <v>011627992105866382</v>
    <v>0</v>
  </rv>
  <rv s="0">
    <v>12</v>
    <v>013664274396699568</v>
    <v>0</v>
  </rv>
  <rv s="0">
    <v>12</v>
    <v>02144259179778444</v>
    <v>0</v>
  </rv>
  <rv s="0">
    <v>12</v>
    <v>0002457194673064008</v>
    <v>0</v>
  </rv>
  <rv s="0">
    <v>12</v>
    <v>01870799842372993</v>
    <v>0</v>
  </rv>
  <rv s="0">
    <v>12</v>
    <v>037527605594534545</v>
    <v>0</v>
  </rv>
  <rv s="0">
    <v>12</v>
    <v>03140985518326037</v>
    <v>0</v>
  </rv>
  <rv s="0">
    <v>12</v>
    <v>011096505422157739</v>
    <v>0</v>
  </rv>
  <rv s="0">
    <v>12</v>
    <v>048107493582319645</v>
    <v>0</v>
  </rv>
  <rv s="0">
    <v>12</v>
    <v>007161910039929176</v>
    <v>0</v>
  </rv>
  <rv s="0">
    <v>12</v>
    <v>010239617731456287</v>
    <v>0</v>
  </rv>
  <rv s="0">
    <v>12</v>
    <v>001185912813222265</v>
    <v>0</v>
  </rv>
  <rv s="0">
    <v>12</v>
    <v>003130398021024893</v>
    <v>0</v>
  </rv>
  <rv s="0">
    <v>12</v>
    <v>018034711689087376</v>
    <v>0</v>
  </rv>
  <rv s="0">
    <v>12</v>
    <v>011880097643467424</v>
    <v>0</v>
  </rv>
  <rv s="0">
    <v>12</v>
    <v>013651956496794165</v>
    <v>0</v>
  </rv>
  <rv s="0">
    <v>12</v>
    <v>00012261745873710488</v>
    <v>0</v>
  </rv>
  <rv s="0">
    <v>12</v>
    <v>009211696273062297</v>
    <v>0</v>
  </rv>
  <rv s="0">
    <v>12</v>
    <v>0052496349111905245</v>
    <v>0</v>
  </rv>
  <rv s="0">
    <v>12</v>
    <v>011796193466759204</v>
    <v>0</v>
  </rv>
  <rv s="0">
    <v>12</v>
    <v>011714741357762352</v>
    <v>0</v>
  </rv>
  <rv s="0">
    <v>12</v>
    <v>003717118062640698</v>
    <v>0</v>
  </rv>
  <rv s="0">
    <v>12</v>
    <v>6152741162187675e</v>
    <v>0</v>
  </rv>
  <rv s="0">
    <v>12</v>
    <v>0002269410888573097</v>
    <v>0</v>
  </rv>
  <rv s="0">
    <v>12</v>
    <v>005515071078254072</v>
    <v>0</v>
  </rv>
  <rv s="0">
    <v>12</v>
    <v>005646935015507505</v>
    <v>0</v>
  </rv>
  <rv s="0">
    <v>12</v>
    <v>014960976102043664</v>
    <v>0</v>
  </rv>
  <rv s="0">
    <v>12</v>
    <v>014801566626410195</v>
    <v>0</v>
  </rv>
  <rv s="0">
    <v>12</v>
    <v>01580680307230924</v>
    <v>0</v>
  </rv>
  <rv s="0">
    <v>12</v>
    <v>012543670196104008</v>
    <v>0</v>
  </rv>
  <rv s="0">
    <v>12</v>
    <v>01555990240350581</v>
    <v>0</v>
  </rv>
  <rv s="0">
    <v>12</v>
    <v>055965859787237546</v>
    <v>0</v>
  </rv>
  <rv s="0">
    <v>12</v>
    <v>05683057724955781</v>
    <v>0</v>
  </rv>
  <rv s="0">
    <v>12</v>
    <v>038</v>
    <v>0</v>
  </rv>
  <rv s="0">
    <v>12</v>
    <v>0102874162230504</v>
    <v>0</v>
  </rv>
  <rv s="0">
    <v>12</v>
    <v>00827903754871194</v>
    <v>0</v>
  </rv>
  <rv s="0">
    <v>12</v>
    <v>026993315258911212</v>
    <v>0</v>
  </rv>
  <rv s="0">
    <v>12</v>
    <v>11045120494696602</v>
    <v>0</v>
  </rv>
  <rv s="0">
    <v>12</v>
    <v>01102332614384036</v>
    <v>0</v>
  </rv>
  <rv s="0">
    <v>12</v>
    <v>018949349920398883</v>
    <v>0</v>
  </rv>
  <rv s="0">
    <v>12</v>
    <v>0037337747896425493</v>
    <v>0</v>
  </rv>
  <rv s="0">
    <v>12</v>
    <v>015977729376920817</v>
    <v>0</v>
  </rv>
  <rv s="0">
    <v>12</v>
    <v>0010422680515788862</v>
    <v>0</v>
  </rv>
  <rv s="0">
    <v>12</v>
    <v>0022516902677321674</v>
    <v>0</v>
  </rv>
  <rv s="0">
    <v>12</v>
    <v>02254678690050478</v>
    <v>0</v>
  </rv>
  <rv s="0">
    <v>12</v>
    <v>03593877381805128</v>
    <v>0</v>
  </rv>
  <rv s="0">
    <v>12</v>
    <v>0007992516747792024</v>
    <v>0</v>
  </rv>
  <rv s="0">
    <v>12</v>
    <v>0013548444173038796</v>
    <v>0</v>
  </rv>
  <rv s="0">
    <v>12</v>
    <v>04151260381074688</v>
    <v>0</v>
  </rv>
  <rv s="0">
    <v>12</v>
    <v>03886788601851076</v>
    <v>0</v>
  </rv>
  <rv s="0">
    <v>12</v>
    <v>03891725761460432</v>
    <v>0</v>
  </rv>
  <rv s="0">
    <v>12</v>
    <v>02668878628855407</v>
    <v>0</v>
  </rv>
  <rv s="0">
    <v>12</v>
    <v>023758787838813057</v>
    <v>0</v>
  </rv>
  <rv s="0">
    <v>12</v>
    <v>0005010912756627759</v>
    <v>0</v>
  </rv>
  <rv s="0">
    <v>12</v>
    <v>03884102957940283</v>
    <v>0</v>
  </rv>
  <rv s="0">
    <v>12</v>
    <v>063</v>
    <v>0</v>
  </rv>
  <rv s="0">
    <v>12</v>
    <v>06680642297591767</v>
    <v>0</v>
  </rv>
  <rv s="0">
    <v>12</v>
    <v>007454497914053183</v>
    <v>0</v>
  </rv>
  <rv s="0">
    <v>12</v>
    <v>211</v>
    <v>0</v>
  </rv>
  <rv s="0">
    <v>12</v>
    <v>0044709442683427926</v>
    <v>0</v>
  </rv>
  <rv s="0">
    <v>12</v>
    <v>136</v>
    <v>0</v>
  </rv>
  <rv s="0">
    <v>12</v>
    <v>133</v>
    <v>0</v>
  </rv>
  <rv s="0">
    <v>12</v>
    <v>06333303703636978</v>
    <v>0</v>
  </rv>
  <rv s="0">
    <v>12</v>
    <v>017066712278623115</v>
    <v>0</v>
  </rv>
  <rv s="0">
    <v>12</v>
    <v>06098241858378833</v>
    <v>0</v>
  </rv>
  <rv s="0">
    <v>12</v>
    <v>04543843303704558</v>
    <v>0</v>
  </rv>
  <rv s="0">
    <v>12</v>
    <v>008245336783438549</v>
    <v>0</v>
  </rv>
  <rv s="0">
    <v>12</v>
    <v>004768362345915707</v>
    <v>0</v>
  </rv>
  <rv s="0">
    <v>12</v>
    <v>0043388727774474</v>
    <v>0</v>
  </rv>
  <rv s="0">
    <v>12</v>
    <v>011016203238570775</v>
    <v>0</v>
  </rv>
  <rv s="0">
    <v>12</v>
    <v>2015562259752355</v>
    <v>0</v>
  </rv>
  <rv s="0">
    <v>12</v>
    <v>11533383402230281</v>
    <v>0</v>
  </rv>
  <rv s="0">
    <v>12</v>
    <v>009278752609684086</v>
    <v>0</v>
  </rv>
  <rv s="0">
    <v>12</v>
    <v>00887368815769836</v>
    <v>0</v>
  </rv>
  <rv s="0">
    <v>12</v>
    <v>0073926115808569046</v>
    <v>0</v>
  </rv>
  <rv s="0">
    <v>12</v>
    <v>05365864410429438</v>
    <v>0</v>
  </rv>
  <rv s="0">
    <v>12</v>
    <v>08265886437277366</v>
    <v>0</v>
  </rv>
  <rv s="0">
    <v>12</v>
    <v>0852589337003685</v>
    <v>0</v>
  </rv>
  <rv s="0">
    <v>12</v>
    <v>00693686361288736</v>
    <v>0</v>
  </rv>
  <rv s="0">
    <v>12</v>
    <v>007848402068086888</v>
    <v>0</v>
  </rv>
  <rv s="0">
    <v>12</v>
    <v>007106480684128765</v>
    <v>0</v>
  </rv>
  <rv s="0">
    <v>12</v>
    <v>0002798024524832058</v>
    <v>0</v>
  </rv>
  <rv s="0">
    <v>12</v>
    <v>00017516786603740897</v>
    <v>0</v>
  </rv>
  <rv s="0">
    <v>12</v>
    <v>179</v>
    <v>0</v>
  </rv>
  <rv s="0">
    <v>12</v>
    <v>08374430215843855</v>
    <v>0</v>
  </rv>
  <rv s="0">
    <v>12</v>
    <v>025822447147382896</v>
    <v>0</v>
  </rv>
  <rv s="0">
    <v>12</v>
    <v>16999638637263229</v>
    <v>0</v>
  </rv>
  <rv s="0">
    <v>12</v>
    <v>027326175007719593</v>
    <v>0</v>
  </rv>
  <rv s="0">
    <v>12</v>
    <v>09</v>
    <v>0</v>
  </rv>
  <rv s="0">
    <v>12</v>
    <v>1283500216070849</v>
    <v>0</v>
  </rv>
  <rv s="0">
    <v>12</v>
    <v>02476497849761204</v>
    <v>0</v>
  </rv>
  <rv s="0">
    <v>12</v>
    <v>08816055925055206</v>
    <v>0</v>
  </rv>
  <rv s="0">
    <v>12</v>
    <v>0065035996392510875</v>
    <v>0</v>
  </rv>
  <rv s="0">
    <v>12</v>
    <v>022678588724090454</v>
    <v>0</v>
  </rv>
  <rv s="0">
    <v>12</v>
    <v>005838702463008633</v>
    <v>0</v>
  </rv>
  <rv s="0">
    <v>12</v>
    <v>03164055148088431</v>
    <v>0</v>
  </rv>
  <rv s="0">
    <v>12</v>
    <v>025008477868080355</v>
    <v>0</v>
  </rv>
  <rv s="0">
    <v>12</v>
    <v>30204455196540114</v>
    <v>0</v>
  </rv>
  <rv s="0">
    <v>12</v>
    <v>018632528581892297</v>
    <v>0</v>
  </rv>
  <rv s="0">
    <v>12</v>
    <v>05555638467101244</v>
    <v>0</v>
  </rv>
  <rv s="0">
    <v>12</v>
    <v>314</v>
    <v>0</v>
  </rv>
  <rv s="0">
    <v>12</v>
    <v>022595392569660422</v>
    <v>0</v>
  </rv>
  <rv s="0">
    <v>12</v>
    <v>009596730130460317</v>
    <v>0</v>
  </rv>
  <rv s="0">
    <v>12</v>
    <v>011326251029631423</v>
    <v>0</v>
  </rv>
  <rv s="0">
    <v>12</v>
    <v>03811352145950693</v>
    <v>0</v>
  </rv>
  <rv s="0">
    <v>12</v>
    <v>024896469453925995</v>
    <v>0</v>
  </rv>
  <rv s="0">
    <v>12</v>
    <v>025239223921607445</v>
    <v>0</v>
  </rv>
  <rv s="0">
    <v>12</v>
    <v>0033528064236181374</v>
    <v>0</v>
  </rv>
  <rv s="0">
    <v>12</v>
    <v>03871905759077662</v>
    <v>0</v>
  </rv>
  <rv s="0">
    <v>12</v>
    <v>01358203092461544</v>
    <v>0</v>
  </rv>
  <rv s="0">
    <v>12</v>
    <v>05677521915066399</v>
    <v>0</v>
  </rv>
  <rv s="0">
    <v>12</v>
    <v>017981819263161395</v>
    <v>0</v>
  </rv>
  <rv s="0">
    <v>12</v>
    <v>04915646355856505</v>
    <v>0</v>
  </rv>
  <rv s="0">
    <v>12</v>
    <v>013482841113407138</v>
    <v>0</v>
  </rv>
  <rv s="0">
    <v>12</v>
    <v>0014075226267003548</v>
    <v>0</v>
  </rv>
  <rv s="0">
    <v>12</v>
    <v>011286193852542533</v>
    <v>0</v>
  </rv>
  <rv s="0">
    <v>12</v>
    <v>009987507346573714</v>
    <v>0</v>
  </rv>
  <rv s="0">
    <v>12</v>
    <v>001358898783833627</v>
    <v>0</v>
  </rv>
  <rv s="0">
    <v>12</v>
    <v>0015187702864195662</v>
    <v>0</v>
  </rv>
  <rv s="0">
    <v>12</v>
    <v>01194607201144266</v>
    <v>0</v>
  </rv>
  <rv s="0">
    <v>12</v>
    <v>012231415912889714</v>
    <v>0</v>
  </rv>
  <rv s="0">
    <v>12</v>
    <v>016506861143917622</v>
    <v>0</v>
  </rv>
  <rv s="0">
    <v>12</v>
    <v>2308699360525527</v>
    <v>0</v>
  </rv>
  <rv s="0">
    <v>12</v>
    <v>5064629468435696</v>
    <v>0</v>
  </rv>
  <rv s="0">
    <v>12</v>
    <v>23291272670329585</v>
    <v>0</v>
  </rv>
  <rv s="0">
    <v>12</v>
    <v>15111955286900935</v>
    <v>0</v>
  </rv>
  <rv s="0">
    <v>12</v>
    <v>008020681700986068</v>
    <v>0</v>
  </rv>
  <rv s="0">
    <v>12</v>
    <v>012328875354040808</v>
    <v>0</v>
  </rv>
  <rv s="0">
    <v>12</v>
    <v>0001241625096219917</v>
    <v>0</v>
  </rv>
  <rv s="0">
    <v>12</v>
    <v>04076566912711498</v>
    <v>0</v>
  </rv>
  <rv s="0">
    <v>12</v>
    <v>008160467526279743</v>
    <v>0</v>
  </rv>
  <rv s="0">
    <v>12</v>
    <v>00477047836226216</v>
    <v>0</v>
  </rv>
  <rv s="0">
    <v>12</v>
    <v>0014467460216363833</v>
    <v>0</v>
  </rv>
  <rv s="0">
    <v>12</v>
    <v>004755213472009073</v>
    <v>0</v>
  </rv>
  <rv s="0">
    <v>12</v>
    <v>0038316269563665895</v>
    <v>0</v>
  </rv>
  <rv s="0">
    <v>12</v>
    <v>006654239689466142</v>
    <v>0</v>
  </rv>
  <rv s="0">
    <v>12</v>
    <v>0007901373156493977</v>
    <v>0</v>
  </rv>
  <rv s="0">
    <v>12</v>
    <v>00269280549601853</v>
    <v>0</v>
  </rv>
  <rv s="0">
    <v>12</v>
    <v>009824215530784029</v>
    <v>0</v>
  </rv>
  <rv s="0">
    <v>12</v>
    <v>0011224355754008584</v>
    <v>0</v>
  </rv>
  <rv s="0">
    <v>12</v>
    <v>0029946611233183746</v>
    <v>0</v>
  </rv>
  <rv s="0">
    <v>12</v>
    <v>856</v>
    <v>0</v>
  </rv>
  <rv s="0">
    <v>12</v>
    <v>6680263469498567e</v>
    <v>0</v>
  </rv>
  <rv s="0">
    <v>12</v>
    <v>011945766589375847</v>
    <v>0</v>
  </rv>
  <rv s="0">
    <v>12</v>
    <v>033255224297891975</v>
    <v>0</v>
  </rv>
  <rv s="0">
    <v>12</v>
    <v>025419039700420476</v>
    <v>0</v>
  </rv>
  <rv s="0">
    <v>12</v>
    <v>014504204108245461</v>
    <v>0</v>
  </rv>
  <rv s="0">
    <v>12</v>
    <v>0038614465216085174</v>
    <v>0</v>
  </rv>
  <rv s="0">
    <v>12</v>
    <v>0006470676981394394</v>
    <v>0</v>
  </rv>
  <rv s="0">
    <v>12</v>
    <v>018716476533980706</v>
    <v>0</v>
  </rv>
  <rv s="0">
    <v>12</v>
    <v>003708351668915524</v>
    <v>0</v>
  </rv>
  <rv s="0">
    <v>12</v>
    <v>0005322352438752587</v>
    <v>0</v>
  </rv>
  <rv s="0">
    <v>12</v>
    <v>00817542259964924</v>
    <v>0</v>
  </rv>
  <rv s="0">
    <v>12</v>
    <v>001372885429069274</v>
    <v>0</v>
  </rv>
  <rv s="0">
    <v>12</v>
    <v>03759373630266708</v>
    <v>0</v>
  </rv>
  <rv s="0">
    <v>12</v>
    <v>012528540942997218</v>
    <v>0</v>
  </rv>
  <rv s="0">
    <v>12</v>
    <v>02110383487875445</v>
    <v>0</v>
  </rv>
  <rv s="0">
    <v>12</v>
    <v>03682433812614281</v>
    <v>0</v>
  </rv>
  <rv s="0">
    <v>12</v>
    <v>01776095188112298</v>
    <v>0</v>
  </rv>
  <rv s="0">
    <v>12</v>
    <v>03846215231038787</v>
    <v>0</v>
  </rv>
  <rv s="0">
    <v>12</v>
    <v>007513988624745384</v>
    <v>0</v>
  </rv>
  <rv s="0">
    <v>12</v>
    <v>472</v>
    <v>0</v>
  </rv>
  <rv s="0">
    <v>12</v>
    <v>0068297264997477306</v>
    <v>0</v>
  </rv>
  <rv s="0">
    <v>12</v>
    <v>239</v>
    <v>0</v>
  </rv>
  <rv s="0">
    <v>12</v>
    <v>014976711042381675</v>
    <v>0</v>
  </rv>
  <rv s="0">
    <v>12</v>
    <v>060464851794904406</v>
    <v>0</v>
  </rv>
  <rv s="0">
    <v>12</v>
    <v>07490174969781778</v>
    <v>0</v>
  </rv>
  <rv s="0">
    <v>12</v>
    <v>1564874868361157</v>
    <v>0</v>
  </rv>
  <rv s="0">
    <v>12</v>
    <v>16060527176312697</v>
    <v>0</v>
  </rv>
  <rv s="0">
    <v>12</v>
    <v>031085189563456992</v>
    <v>0</v>
  </rv>
  <rv s="0">
    <v>12</v>
    <v>03281822666486653</v>
    <v>0</v>
  </rv>
  <rv s="0">
    <v>12</v>
    <v>05030160128407293</v>
    <v>0</v>
  </rv>
  <rv s="0">
    <v>12</v>
    <v>05627171259157979</v>
    <v>0</v>
  </rv>
  <rv s="0">
    <v>12</v>
    <v>001410904282767394</v>
    <v>0</v>
  </rv>
  <rv s="0">
    <v>12</v>
    <v>02237086753730714</v>
    <v>0</v>
  </rv>
  <rv s="0">
    <v>12</v>
    <v>00017431462621085375</v>
    <v>0</v>
  </rv>
  <rv s="0">
    <v>12</v>
    <v>05353911671378222</v>
    <v>0</v>
  </rv>
  <rv s="0">
    <v>12</v>
    <v>014505963339020819</v>
    <v>0</v>
  </rv>
  <rv s="0">
    <v>12</v>
    <v>004953069029824773</v>
    <v>0</v>
  </rv>
  <rv s="0">
    <v>12</v>
    <v>029259628813158835</v>
    <v>0</v>
  </rv>
  <rv s="0">
    <v>12</v>
    <v>03765739802743831</v>
    <v>0</v>
  </rv>
  <rv s="0">
    <v>12</v>
    <v>001170821328134703</v>
    <v>0</v>
  </rv>
  <rv s="0">
    <v>12</v>
    <v>007718271483202677</v>
    <v>0</v>
  </rv>
  <rv s="0">
    <v>12</v>
    <v>006000211845331644</v>
    <v>0</v>
  </rv>
  <rv s="0">
    <v>12</v>
    <v>015968725233710783</v>
    <v>0</v>
  </rv>
  <rv s="0">
    <v>12</v>
    <v>010611799973805909</v>
    <v>0</v>
  </rv>
  <rv s="0">
    <v>12</v>
    <v>006645340815563673</v>
    <v>0</v>
  </rv>
  <rv s="0">
    <v>12</v>
    <v>030540744660609388</v>
    <v>0</v>
  </rv>
  <rv s="0">
    <v>12</v>
    <v>03109504515544949</v>
    <v>0</v>
  </rv>
  <rv s="0">
    <v>12</v>
    <v>012580700777417176</v>
    <v>0</v>
  </rv>
  <rv s="0">
    <v>12</v>
    <v>011388211305343718</v>
    <v>0</v>
  </rv>
  <rv s="0">
    <v>12</v>
    <v>0003628925884697597</v>
    <v>0</v>
  </rv>
  <rv s="0">
    <v>12</v>
    <v>00978992759186183</v>
    <v>0</v>
  </rv>
  <rv s="0">
    <v>12</v>
    <v>015992816535640848</v>
    <v>0</v>
  </rv>
  <rv s="0">
    <v>12</v>
    <v>04304603301487202</v>
    <v>0</v>
  </rv>
  <rv s="0">
    <v>12</v>
    <v>10346934139667295</v>
    <v>0</v>
  </rv>
  <rv s="0">
    <v>12</v>
    <v>02717374547730092</v>
    <v>0</v>
  </rv>
  <rv s="0">
    <v>12</v>
    <v>0038727947424556557</v>
    <v>0</v>
  </rv>
  <rv s="0">
    <v>12</v>
    <v>025677268548723386</v>
    <v>0</v>
  </rv>
  <rv s="0">
    <v>12</v>
    <v>002661907826894607</v>
    <v>0</v>
  </rv>
  <rv s="0">
    <v>12</v>
    <v>0025697204946143475</v>
    <v>0</v>
  </rv>
  <rv s="0">
    <v>12</v>
    <v>03116163673922405</v>
    <v>0</v>
  </rv>
  <rv s="0">
    <v>12</v>
    <v>017338955584433553</v>
    <v>0</v>
  </rv>
  <rv s="0">
    <v>12</v>
    <v>016692494535520238</v>
    <v>0</v>
  </rv>
  <rv s="0">
    <v>12</v>
    <v>010329409122728164</v>
    <v>0</v>
  </rv>
  <rv s="0">
    <v>12</v>
    <v>017019404028992807</v>
    <v>0</v>
  </rv>
  <rv s="0">
    <v>12</v>
    <v>03160426841437747</v>
    <v>0</v>
  </rv>
  <rv s="0">
    <v>12</v>
    <v>00916170404588709</v>
    <v>0</v>
  </rv>
  <rv s="0">
    <v>12</v>
    <v>031075157579543003</v>
    <v>0</v>
  </rv>
  <rv s="0">
    <v>12</v>
    <v>051</v>
    <v>0</v>
  </rv>
  <rv s="0">
    <v>12</v>
    <v>0033414460710393386</v>
    <v>0</v>
  </rv>
  <rv s="0">
    <v>12</v>
    <v>0018957586744028762</v>
    <v>0</v>
  </rv>
  <rv s="0">
    <v>12</v>
    <v>0069569485882421764</v>
    <v>0</v>
  </rv>
  <rv s="0">
    <v>12</v>
    <v>022179294423613796</v>
    <v>0</v>
  </rv>
  <rv s="0">
    <v>12</v>
    <v>006393700122133339</v>
    <v>0</v>
  </rv>
  <rv s="0">
    <v>12</v>
    <v>028420268048173117</v>
    <v>0</v>
  </rv>
  <rv s="0">
    <v>12</v>
    <v>0034303599251607406</v>
    <v>0</v>
  </rv>
  <rv s="0">
    <v>12</v>
    <v>13117022120330887</v>
    <v>0</v>
  </rv>
  <rv s="0">
    <v>12</v>
    <v>926</v>
    <v>0</v>
  </rv>
  <rv s="0">
    <v>12</v>
    <v>09876445665648767</v>
    <v>0</v>
  </rv>
  <rv s="0">
    <v>12</v>
    <v>04318515858510517</v>
    <v>0</v>
  </rv>
  <rv s="0">
    <v>12</v>
    <v>01863870120135464</v>
    <v>0</v>
  </rv>
  <rv s="0">
    <v>12</v>
    <v>020828811959975293</v>
    <v>0</v>
  </rv>
  <rv s="0">
    <v>12</v>
    <v>04184145035815434</v>
    <v>0</v>
  </rv>
  <rv s="0">
    <v>12</v>
    <v>0015197423004985739</v>
    <v>0</v>
  </rv>
  <rv s="0">
    <v>12</v>
    <v>74350944562505e</v>
    <v>0</v>
  </rv>
  <rv s="0">
    <v>12</v>
    <v>1031239046024674e</v>
    <v>0</v>
  </rv>
  <rv s="0">
    <v>12</v>
    <v>16208910746249777</v>
    <v>0</v>
  </rv>
  <rv s="0">
    <v>12</v>
    <v>01910690179571565</v>
    <v>0</v>
  </rv>
  <rv s="0">
    <v>12</v>
    <v>019158772169880364</v>
    <v>0</v>
  </rv>
  <rv s="0">
    <v>12</v>
    <v>054187132616676056</v>
    <v>0</v>
  </rv>
  <rv s="0">
    <v>12</v>
    <v>0019984905412161412</v>
    <v>0</v>
  </rv>
  <rv s="0">
    <v>12</v>
    <v>002709767459816871</v>
    <v>0</v>
  </rv>
  <rv s="0">
    <v>12</v>
    <v>006597105655815956</v>
    <v>0</v>
  </rv>
  <rv s="0">
    <v>12</v>
    <v>0007517027324687963</v>
    <v>0</v>
  </rv>
  <rv s="0">
    <v>12</v>
    <v>009396930177375397</v>
    <v>0</v>
  </rv>
  <rv s="0">
    <v>12</v>
    <v>006081321521946699</v>
    <v>0</v>
  </rv>
  <rv s="0">
    <v>12</v>
    <v>005890864409061578</v>
    <v>0</v>
  </rv>
  <rv s="0">
    <v>12</v>
    <v>007790262209264285</v>
    <v>0</v>
  </rv>
  <rv s="0">
    <v>12</v>
    <v>010669490113813716</v>
    <v>0</v>
  </rv>
  <rv s="0">
    <v>12</v>
    <v>038097484838428466</v>
    <v>0</v>
  </rv>
  <rv s="0">
    <v>12</v>
    <v>026192372170724666</v>
    <v>0</v>
  </rv>
  <rv s="0">
    <v>12</v>
    <v>044342936621716955</v>
    <v>0</v>
  </rv>
  <rv s="0">
    <v>12</v>
    <v>012047951902837695</v>
    <v>0</v>
  </rv>
  <rv s="0">
    <v>12</v>
    <v>035407350845565726</v>
    <v>0</v>
  </rv>
  <rv s="0">
    <v>12</v>
    <v>06576199028539542</v>
    <v>0</v>
  </rv>
  <rv s="0">
    <v>12</v>
    <v>029945992431223516</v>
    <v>0</v>
  </rv>
  <rv s="0">
    <v>12</v>
    <v>02731459018401773</v>
    <v>0</v>
  </rv>
  <rv s="0">
    <v>12</v>
    <v>92795767593358e</v>
    <v>0</v>
  </rv>
  <rv s="0">
    <v>12</v>
    <v>0055033619936455174</v>
    <v>0</v>
  </rv>
  <rv s="0">
    <v>12</v>
    <v>004505802605485053</v>
    <v>0</v>
  </rv>
  <rv s="0">
    <v>12</v>
    <v>0021576470129712443</v>
    <v>0</v>
  </rv>
  <rv s="0">
    <v>12</v>
    <v>0014784196449347047</v>
    <v>0</v>
  </rv>
  <rv s="0">
    <v>12</v>
    <v>03171056556491787</v>
    <v>0</v>
  </rv>
  <rv s="0">
    <v>12</v>
    <v>06913321759847625</v>
    <v>0</v>
  </rv>
  <rv s="0">
    <v>12</v>
    <v>030159657774892663</v>
    <v>0</v>
  </rv>
  <rv s="0">
    <v>12</v>
    <v>0314918380498543</v>
    <v>0</v>
  </rv>
  <rv s="0">
    <v>12</v>
    <v>005824608237369389</v>
    <v>0</v>
  </rv>
  <rv s="0">
    <v>12</v>
    <v>020787883510155848</v>
    <v>0</v>
  </rv>
  <rv s="0">
    <v>12</v>
    <v>025982705575720005</v>
    <v>0</v>
  </rv>
  <rv s="0">
    <v>12</v>
    <v>04123077019289593</v>
    <v>0</v>
  </rv>
  <rv s="0">
    <v>12</v>
    <v>029825332400622538</v>
    <v>0</v>
  </rv>
  <rv s="0">
    <v>12</v>
    <v>01898764306856908</v>
    <v>0</v>
  </rv>
  <rv s="0">
    <v>12</v>
    <v>08183118867577638</v>
    <v>0</v>
  </rv>
  <rv s="0">
    <v>12</v>
    <v>12113571388144895</v>
    <v>0</v>
  </rv>
  <rv s="0">
    <v>12</v>
    <v>03972134658839328</v>
    <v>0</v>
  </rv>
  <rv s="0">
    <v>12</v>
    <v>0057353719764368</v>
    <v>0</v>
  </rv>
  <rv s="0">
    <v>12</v>
    <v>008513436400141173</v>
    <v>0</v>
  </rv>
  <rv s="0">
    <v>12</v>
    <v>008061518308927129</v>
    <v>0</v>
  </rv>
  <rv s="0">
    <v>12</v>
    <v>0032373162075880497</v>
    <v>0</v>
  </rv>
  <rv s="0">
    <v>12</v>
    <v>007256108051326375</v>
    <v>0</v>
  </rv>
  <rv s="0">
    <v>12</v>
    <v>24453515506887377</v>
    <v>0</v>
  </rv>
  <rv s="0">
    <v>12</v>
    <v>022813358721051676</v>
    <v>0</v>
  </rv>
  <rv s="0">
    <v>12</v>
    <v>034152724379557964</v>
    <v>0</v>
  </rv>
  <rv s="0">
    <v>12</v>
    <v>05854929238003316</v>
    <v>0</v>
  </rv>
  <rv s="0">
    <v>12</v>
    <v>031093326993172472</v>
    <v>0</v>
  </rv>
  <rv s="0">
    <v>12</v>
    <v>199</v>
    <v>0</v>
  </rv>
  <rv s="0">
    <v>12</v>
    <v>013288240485997254</v>
    <v>0</v>
  </rv>
  <rv s="0">
    <v>12</v>
    <v>005230544325225645</v>
    <v>0</v>
  </rv>
  <rv s="0">
    <v>12</v>
    <v>024580054250444894</v>
    <v>0</v>
  </rv>
  <rv s="0">
    <v>12</v>
    <v>009721946533445321</v>
    <v>0</v>
  </rv>
  <rv s="0">
    <v>12</v>
    <v>07206354888991381</v>
    <v>0</v>
  </rv>
  <rv s="0">
    <v>12</v>
    <v>06575375684843965</v>
    <v>0</v>
  </rv>
  <rv s="0">
    <v>12</v>
    <v>09332353803212003</v>
    <v>0</v>
  </rv>
  <rv s="0">
    <v>12</v>
    <v>0855557742553052</v>
    <v>0</v>
  </rv>
  <rv s="0">
    <v>12</v>
    <v>11209480020432547</v>
    <v>0</v>
  </rv>
  <rv s="0">
    <v>12</v>
    <v>0832183427888594</v>
    <v>0</v>
  </rv>
  <rv s="0">
    <v>12</v>
    <v>10750868106233488</v>
    <v>0</v>
  </rv>
  <rv s="0">
    <v>12</v>
    <v>023463105610709262</v>
    <v>0</v>
  </rv>
  <rv s="0">
    <v>12</v>
    <v>01154923530621807</v>
    <v>0</v>
  </rv>
  <rv s="0">
    <v>12</v>
    <v>0034610714356744024</v>
    <v>0</v>
  </rv>
  <rv s="0">
    <v>12</v>
    <v>018298256146754188</v>
    <v>0</v>
  </rv>
  <rv s="0">
    <v>12</v>
    <v>06451436583253592</v>
    <v>0</v>
  </rv>
  <rv s="0">
    <v>12</v>
    <v>031067775347482316</v>
    <v>0</v>
  </rv>
  <rv s="0">
    <v>12</v>
    <v>004662062266940025</v>
    <v>0</v>
  </rv>
  <rv s="0">
    <v>12</v>
    <v>0058204515207122285</v>
    <v>0</v>
  </rv>
  <rv s="0">
    <v>12</v>
    <v>00710300814311309</v>
    <v>0</v>
  </rv>
  <rv s="0">
    <v>12</v>
    <v>03266203509716512</v>
    <v>0</v>
  </rv>
  <rv s="0">
    <v>12</v>
    <v>0009704237382732458</v>
    <v>0</v>
  </rv>
  <rv s="0">
    <v>12</v>
    <v>09128851969388294</v>
    <v>0</v>
  </rv>
  <rv s="0">
    <v>12</v>
    <v>0038870253150682338</v>
    <v>0</v>
  </rv>
  <rv s="0">
    <v>12</v>
    <v>016094898813766106</v>
    <v>0</v>
  </rv>
  <rv s="0">
    <v>12</v>
    <v>0040195884132546225</v>
    <v>0</v>
  </rv>
  <rv s="0">
    <v>12</v>
    <v>005918224924797462</v>
    <v>0</v>
  </rv>
  <rv s="0">
    <v>12</v>
    <v>012497187154015496</v>
    <v>0</v>
  </rv>
  <rv s="0">
    <v>12</v>
    <v>013387144871207363</v>
    <v>0</v>
  </rv>
  <rv s="0">
    <v>12</v>
    <v>04076042178689828</v>
    <v>0</v>
  </rv>
  <rv s="0">
    <v>12</v>
    <v>034776398409668625</v>
    <v>0</v>
  </rv>
  <rv s="0">
    <v>12</v>
    <v>01955767970693114</v>
    <v>0</v>
  </rv>
  <rv s="0">
    <v>12</v>
    <v>015554152557197283</v>
    <v>0</v>
  </rv>
  <rv s="0">
    <v>12</v>
    <v>042632527180590137</v>
    <v>0</v>
  </rv>
  <rv s="0">
    <v>12</v>
    <v>009016828889685488</v>
    <v>0</v>
  </rv>
  <rv s="0">
    <v>12</v>
    <v>03540814154642376</v>
    <v>0</v>
  </rv>
  <rv s="0">
    <v>12</v>
    <v>0034591609869545664</v>
    <v>0</v>
  </rv>
  <rv s="0">
    <v>12</v>
    <v>03292542441993474</v>
    <v>0</v>
  </rv>
  <rv s="0">
    <v>12</v>
    <v>0029992398938935854</v>
    <v>0</v>
  </rv>
  <rv s="0">
    <v>12</v>
    <v>018838095952892608</v>
    <v>0</v>
  </rv>
  <rv s="0">
    <v>12</v>
    <v>00963034317184038</v>
    <v>0</v>
  </rv>
  <rv s="0">
    <v>12</v>
    <v>028675002154901544</v>
    <v>0</v>
  </rv>
  <rv s="0">
    <v>12</v>
    <v>019689069494461562</v>
    <v>0</v>
  </rv>
  <rv s="0">
    <v>12</v>
    <v>06795163259311725</v>
    <v>0</v>
  </rv>
  <rv s="0">
    <v>12</v>
    <v>10787387336017104</v>
    <v>0</v>
  </rv>
  <rv s="0">
    <v>12</v>
    <v>11332488704255197</v>
    <v>0</v>
  </rv>
  <rv s="0">
    <v>12</v>
    <v>028083593275068045</v>
    <v>0</v>
  </rv>
  <rv s="0">
    <v>12</v>
    <v>009904363753566583</v>
    <v>0</v>
  </rv>
  <rv s="0">
    <v>12</v>
    <v>02799878480663626</v>
    <v>0</v>
  </rv>
  <rv s="0">
    <v>12</v>
    <v>05234483457278042</v>
    <v>0</v>
  </rv>
  <rv s="0">
    <v>12</v>
    <v>5719448473209454</v>
    <v>0</v>
  </rv>
  <rv s="0">
    <v>12</v>
    <v>15733020485867605</v>
    <v>0</v>
  </rv>
  <rv s="0">
    <v>12</v>
    <v>014820018795578179</v>
    <v>0</v>
  </rv>
  <rv s="0">
    <v>12</v>
    <v>007291880758127572</v>
    <v>0</v>
  </rv>
  <rv s="0">
    <v>12</v>
    <v>017855611635468685</v>
    <v>0</v>
  </rv>
  <rv s="0">
    <v>12</v>
    <v>018132330550290406</v>
    <v>0</v>
  </rv>
  <rv s="0">
    <v>12</v>
    <v>016898064008297128</v>
    <v>0</v>
  </rv>
  <rv s="0">
    <v>12</v>
    <v>004121564363692825</v>
    <v>0</v>
  </rv>
  <rv s="0">
    <v>12</v>
    <v>008661061801937198</v>
    <v>0</v>
  </rv>
  <rv s="0">
    <v>12</v>
    <v>004062625401893729</v>
    <v>0</v>
  </rv>
  <rv s="0">
    <v>12</v>
    <v>0049459192722385165</v>
    <v>0</v>
  </rv>
  <rv s="0">
    <v>12</v>
    <v>009002276640570725</v>
    <v>0</v>
  </rv>
  <rv s="0">
    <v>12</v>
    <v>08</v>
    <v>0</v>
  </rv>
  <rv s="0">
    <v>12</v>
    <v>016897237904026034</v>
    <v>0</v>
  </rv>
  <rv s="0">
    <v>12</v>
    <v>01842734925196939</v>
    <v>0</v>
  </rv>
  <rv s="0">
    <v>12</v>
    <v>017946260842890905</v>
    <v>0</v>
  </rv>
  <rv s="0">
    <v>12</v>
    <v>009362184196310786</v>
    <v>0</v>
  </rv>
  <rv s="0">
    <v>12</v>
    <v>014179056050981957</v>
    <v>0</v>
  </rv>
  <rv s="0">
    <v>12</v>
    <v>04538266519573313</v>
    <v>0</v>
  </rv>
  <rv s="0">
    <v>12</v>
    <v>001854842600829892</v>
    <v>0</v>
  </rv>
  <rv s="0">
    <v>12</v>
    <v>03901187539945629</v>
    <v>0</v>
  </rv>
  <rv s="0">
    <v>12</v>
    <v>02415416948532854</v>
    <v>0</v>
  </rv>
  <rv s="0">
    <v>12</v>
    <v>004894914160055307</v>
    <v>0</v>
  </rv>
  <rv s="0">
    <v>12</v>
    <v>01014327433819152</v>
    <v>0</v>
  </rv>
  <rv s="0">
    <v>12</v>
    <v>006331142369037559</v>
    <v>0</v>
  </rv>
  <rv s="0">
    <v>12</v>
    <v>010887134337291505</v>
    <v>0</v>
  </rv>
  <rv s="0">
    <v>12</v>
    <v>0014190838940434099</v>
    <v>0</v>
  </rv>
  <rv s="0">
    <v>12</v>
    <v>013078217257784531</v>
    <v>0</v>
  </rv>
  <rv s="0">
    <v>12</v>
    <v>10901122697167592</v>
    <v>0</v>
  </rv>
  <rv s="0">
    <v>12</v>
    <v>013020626285601971</v>
    <v>0</v>
  </rv>
  <rv s="0">
    <v>12</v>
    <v>06927213043051546</v>
    <v>0</v>
  </rv>
  <rv s="0">
    <v>12</v>
    <v>004812857499730406</v>
    <v>0</v>
  </rv>
  <rv s="0">
    <v>12</v>
    <v>046941136683041375</v>
    <v>0</v>
  </rv>
  <rv s="0">
    <v>12</v>
    <v>00833416083761871</v>
    <v>0</v>
  </rv>
  <rv s="0">
    <v>12</v>
    <v>0024371752129330026</v>
    <v>0</v>
  </rv>
  <rv s="0">
    <v>12</v>
    <v>03545976367707468</v>
    <v>0</v>
  </rv>
  <rv s="0">
    <v>12</v>
    <v>0071180800994797054</v>
    <v>0</v>
  </rv>
  <rv s="0">
    <v>12</v>
    <v>009431504362382766</v>
    <v>0</v>
  </rv>
  <rv s="0">
    <v>12</v>
    <v>025192260590520786</v>
    <v>0</v>
  </rv>
  <rv s="0">
    <v>12</v>
    <v>058014977617191245</v>
    <v>0</v>
  </rv>
  <rv s="0">
    <v>12</v>
    <v>020646981617387417</v>
    <v>0</v>
  </rv>
  <rv s="0">
    <v>12</v>
    <v>0012498060606442537</v>
    <v>0</v>
  </rv>
  <rv s="0">
    <v>12</v>
    <v>016458134425375564</v>
    <v>0</v>
  </rv>
  <rv s="0">
    <v>12</v>
    <v>020829564851881675</v>
    <v>0</v>
  </rv>
  <rv s="0">
    <v>12</v>
    <v>018351213072804566</v>
    <v>0</v>
  </rv>
  <rv s="0">
    <v>12</v>
    <v>0005815818093474702</v>
    <v>0</v>
  </rv>
  <rv s="0">
    <v>12</v>
    <v>001776527472969465</v>
    <v>0</v>
  </rv>
  <rv s="0">
    <v>12</v>
    <v>962368635495186e</v>
    <v>0</v>
  </rv>
  <rv s="0">
    <v>12</v>
    <v>059699996549745886</v>
    <v>0</v>
  </rv>
  <rv s="0">
    <v>12</v>
    <v>020224371228056266</v>
    <v>0</v>
  </rv>
  <rv s="0">
    <v>12</v>
    <v>0575102058577473</v>
    <v>0</v>
  </rv>
  <rv s="0">
    <v>12</v>
    <v>03428869444786858</v>
    <v>0</v>
  </rv>
  <rv s="0">
    <v>12</v>
    <v>06803318581812992</v>
    <v>0</v>
  </rv>
  <rv s="0">
    <v>12</v>
    <v>061</v>
    <v>0</v>
  </rv>
  <rv s="0">
    <v>12</v>
    <v>017394602391167913</v>
    <v>0</v>
  </rv>
  <rv s="0">
    <v>12</v>
    <v>02102244548071488</v>
    <v>0</v>
  </rv>
  <rv s="0">
    <v>12</v>
    <v>02153122677807946</v>
    <v>0</v>
  </rv>
  <rv s="0">
    <v>12</v>
    <v>055547453965101884</v>
    <v>0</v>
  </rv>
  <rv s="0">
    <v>12</v>
    <v>42345290414015624</v>
    <v>0</v>
  </rv>
  <rv s="0">
    <v>12</v>
    <v>010627138104756259</v>
    <v>0</v>
  </rv>
  <rv s="0">
    <v>12</v>
    <v>154</v>
    <v>0</v>
  </rv>
  <rv s="0">
    <v>12</v>
    <v>044364720535370536</v>
    <v>0</v>
  </rv>
  <rv s="0">
    <v>12</v>
    <v>038342933782147794</v>
    <v>0</v>
  </rv>
  <rv s="0">
    <v>12</v>
    <v>005779126109327175</v>
    <v>0</v>
  </rv>
  <rv s="0">
    <v>12</v>
    <v>039708558962053185</v>
    <v>0</v>
  </rv>
  <rv s="0">
    <v>12</v>
    <v>02618554514662324</v>
    <v>0</v>
  </rv>
  <rv s="0">
    <v>12</v>
    <v>005740468554977045</v>
    <v>0</v>
  </rv>
  <rv s="0">
    <v>12</v>
    <v>379</v>
    <v>0</v>
  </rv>
  <rv s="0">
    <v>12</v>
    <v>2565685205801678</v>
    <v>0</v>
  </rv>
  <rv s="0">
    <v>12</v>
    <v>3168574400821598</v>
    <v>0</v>
  </rv>
  <rv s="0">
    <v>12</v>
    <v>17861555071679705</v>
    <v>0</v>
  </rv>
  <rv s="0">
    <v>12</v>
    <v>06512130333880017</v>
    <v>0</v>
  </rv>
  <rv s="0">
    <v>12</v>
    <v>1840139893673437</v>
    <v>0</v>
  </rv>
  <rv s="0">
    <v>12</v>
    <v>0062871265541140356</v>
    <v>0</v>
  </rv>
  <rv s="0">
    <v>12</v>
    <v>022706476674343563</v>
    <v>0</v>
  </rv>
  <rv s="0">
    <v>12</v>
    <v>06726981444932785</v>
    <v>0</v>
  </rv>
  <rv s="0">
    <v>12</v>
    <v>0067316102933488815</v>
    <v>0</v>
  </rv>
  <rv s="0">
    <v>12</v>
    <v>0056771708164882325</v>
    <v>0</v>
  </rv>
  <rv s="0">
    <v>12</v>
    <v>005081320848217567</v>
    <v>0</v>
  </rv>
  <rv s="0">
    <v>12</v>
    <v>02891621979166239</v>
    <v>0</v>
  </rv>
  <rv s="0">
    <v>12</v>
    <v>02379207360122159</v>
    <v>0</v>
  </rv>
  <rv s="0">
    <v>12</v>
    <v>02383684145278502</v>
    <v>0</v>
  </rv>
  <rv s="0">
    <v>12</v>
    <v>0494887914910192</v>
    <v>0</v>
  </rv>
  <rv s="0">
    <v>12</v>
    <v>0120606687393276</v>
    <v>0</v>
  </rv>
  <rv s="0">
    <v>12</v>
    <v>0004866306213198093</v>
    <v>0</v>
  </rv>
  <rv s="0">
    <v>12</v>
    <v>0776337304021915e</v>
    <v>0</v>
  </rv>
  <rv s="0">
    <v>12</v>
    <v>005477674183684596</v>
    <v>0</v>
  </rv>
  <rv s="0">
    <v>12</v>
    <v>031756640771884816</v>
    <v>0</v>
  </rv>
  <rv s="0">
    <v>12</v>
    <v>04128604438537986</v>
    <v>0</v>
  </rv>
  <rv s="0">
    <v>12</v>
    <v>0029126452576213194</v>
    <v>0</v>
  </rv>
  <rv s="0">
    <v>12</v>
    <v>006873022528275186</v>
    <v>0</v>
  </rv>
  <rv s="0">
    <v>12</v>
    <v>00468297565457376</v>
    <v>0</v>
  </rv>
  <rv s="0">
    <v>12</v>
    <v>004763999946180866</v>
    <v>0</v>
  </rv>
  <rv s="0">
    <v>12</v>
    <v>000605002917323336</v>
    <v>0</v>
  </rv>
  <rv s="0">
    <v>12</v>
    <v>0018532232330313683</v>
    <v>0</v>
  </rv>
  <rv s="0">
    <v>12</v>
    <v>0014530717343638761</v>
    <v>0</v>
  </rv>
  <rv s="0">
    <v>12</v>
    <v>072</v>
    <v>0</v>
  </rv>
  <rv s="0">
    <v>12</v>
    <v>01605191424781688</v>
    <v>0</v>
  </rv>
  <rv s="0">
    <v>12</v>
    <v>0166456876497025</v>
    <v>0</v>
  </rv>
  <rv s="0">
    <v>12</v>
    <v>004507555197313543</v>
    <v>0</v>
  </rv>
  <rv s="0">
    <v>12</v>
    <v>010401162146755826</v>
    <v>0</v>
  </rv>
  <rv s="0">
    <v>12</v>
    <v>04058738676305204</v>
    <v>0</v>
  </rv>
  <rv s="0">
    <v>12</v>
    <v>03128696634573271</v>
    <v>0</v>
  </rv>
  <rv s="0">
    <v>12</v>
    <v>00915494068401531</v>
    <v>0</v>
  </rv>
  <rv s="0">
    <v>12</v>
    <v>050190011212184985</v>
    <v>0</v>
  </rv>
  <rv s="0">
    <v>12</v>
    <v>08611551309545835</v>
    <v>0</v>
  </rv>
  <rv s="0">
    <v>12</v>
    <v>017022938285473993</v>
    <v>0</v>
  </rv>
  <rv s="0">
    <v>12</v>
    <v>027862032188878023</v>
    <v>0</v>
  </rv>
  <rv s="0">
    <v>12</v>
    <v>019503281891180897</v>
    <v>0</v>
  </rv>
  <rv s="0">
    <v>12</v>
    <v>0468616317086862</v>
    <v>0</v>
  </rv>
  <rv s="0">
    <v>12</v>
    <v>00695609026520521</v>
    <v>0</v>
  </rv>
  <rv s="0">
    <v>12</v>
    <v>02509047934123666</v>
    <v>0</v>
  </rv>
  <rv s="0">
    <v>12</v>
    <v>10250572255472862</v>
    <v>0</v>
  </rv>
  <rv s="0">
    <v>12</v>
    <v>009323633144729204</v>
    <v>0</v>
  </rv>
  <rv s="0">
    <v>12</v>
    <v>03766177302369091</v>
    <v>0</v>
  </rv>
  <rv s="0">
    <v>12</v>
    <v>035830409959761354</v>
    <v>0</v>
  </rv>
  <rv s="0">
    <v>12</v>
    <v>01721165869258841</v>
    <v>0</v>
  </rv>
  <rv s="0">
    <v>12</v>
    <v>01995714827459017</v>
    <v>0</v>
  </rv>
  <rv s="0">
    <v>12</v>
    <v>041081066069951336</v>
    <v>0</v>
  </rv>
  <rv s="0">
    <v>12</v>
    <v>016995576608933548</v>
    <v>0</v>
  </rv>
  <rv s="0">
    <v>12</v>
    <v>01039259405945465</v>
    <v>0</v>
  </rv>
  <rv s="0">
    <v>12</v>
    <v>03495436107477708</v>
    <v>0</v>
  </rv>
  <rv s="0">
    <v>12</v>
    <v>007247298955465448</v>
    <v>0</v>
  </rv>
  <rv s="0">
    <v>12</v>
    <v>007344566587154541</v>
    <v>0</v>
  </rv>
  <rv s="0">
    <v>12</v>
    <v>007120656926984989</v>
    <v>0</v>
  </rv>
  <rv s="0">
    <v>12</v>
    <v>006499628561070636</v>
    <v>0</v>
  </rv>
  <rv s="0">
    <v>12</v>
    <v>008360812144576334</v>
    <v>0</v>
  </rv>
  <rv s="0">
    <v>12</v>
    <v>010865014037481666</v>
    <v>0</v>
  </rv>
  <rv s="0">
    <v>12</v>
    <v>007049789486402189</v>
    <v>0</v>
  </rv>
  <rv s="0">
    <v>12</v>
    <v>1004355745885356</v>
    <v>0</v>
  </rv>
  <rv s="0">
    <v>12</v>
    <v>06358779093960408</v>
    <v>0</v>
  </rv>
  <rv s="0">
    <v>12</v>
    <v>004923758553135538</v>
    <v>0</v>
  </rv>
  <rv s="0">
    <v>12</v>
    <v>08073116973799681</v>
    <v>0</v>
  </rv>
  <rv s="0">
    <v>12</v>
    <v>01637087769109816</v>
    <v>0</v>
  </rv>
  <rv s="0">
    <v>12</v>
    <v>01099842865443318</v>
    <v>0</v>
  </rv>
  <rv s="0">
    <v>12</v>
    <v>016976547752682505</v>
    <v>0</v>
  </rv>
  <rv s="0">
    <v>12</v>
    <v>087387383093676</v>
    <v>0</v>
  </rv>
  <rv s="0">
    <v>12</v>
    <v>016288771978877212</v>
    <v>0</v>
  </rv>
  <rv s="0">
    <v>12</v>
    <v>014674762354929994</v>
    <v>0</v>
  </rv>
  <rv s="0">
    <v>12</v>
    <v>008045207565366957</v>
    <v>0</v>
  </rv>
  <rv s="0">
    <v>12</v>
    <v>0394621965873025</v>
    <v>0</v>
  </rv>
  <rv s="0">
    <v>12</v>
    <v>019790206733578113</v>
    <v>0</v>
  </rv>
  <rv s="0">
    <v>12</v>
    <v>0015224518427586573</v>
    <v>0</v>
  </rv>
  <rv s="0">
    <v>12</v>
    <v>009869237833296787</v>
    <v>0</v>
  </rv>
  <rv s="0">
    <v>12</v>
    <v>03705361955366412</v>
    <v>0</v>
  </rv>
  <rv s="0">
    <v>12</v>
    <v>14561751480160667</v>
    <v>0</v>
  </rv>
  <rv s="0">
    <v>12</v>
    <v>06864539628647547</v>
    <v>0</v>
  </rv>
  <rv s="0">
    <v>12</v>
    <v>0160492772474118</v>
    <v>0</v>
  </rv>
  <rv s="0">
    <v>12</v>
    <v>02006271119134083</v>
    <v>0</v>
  </rv>
  <rv s="0">
    <v>12</v>
    <v>07214779197931159</v>
    <v>0</v>
  </rv>
  <rv s="0">
    <v>12</v>
    <v>08782654191535537</v>
    <v>0</v>
  </rv>
  <rv s="0">
    <v>12</v>
    <v>05136577996956157</v>
    <v>0</v>
  </rv>
  <rv s="0">
    <v>12</v>
    <v>054997695489385184</v>
    <v>0</v>
  </rv>
  <rv s="0">
    <v>12</v>
    <v>02020791140131902</v>
    <v>0</v>
  </rv>
  <rv s="0">
    <v>12</v>
    <v>023819497123308803</v>
    <v>0</v>
  </rv>
  <rv s="0">
    <v>12</v>
    <v>015481629857761367</v>
    <v>0</v>
  </rv>
  <rv s="0">
    <v>12</v>
    <v>024455053329617144</v>
    <v>0</v>
  </rv>
  <rv s="0">
    <v>12</v>
    <v>06813936541469431</v>
    <v>0</v>
  </rv>
  <rv s="0">
    <v>12</v>
    <v>0061654271548896265</v>
    <v>0</v>
  </rv>
  <rv s="0">
    <v>12</v>
    <v>014168019355021133</v>
    <v>0</v>
  </rv>
  <rv s="0">
    <v>12</v>
    <v>012601097691663675</v>
    <v>0</v>
  </rv>
  <rv s="0">
    <v>12</v>
    <v>03498796313996596</v>
    <v>0</v>
  </rv>
  <rv s="0">
    <v>12</v>
    <v>12696574003283662</v>
    <v>0</v>
  </rv>
  <rv s="0">
    <v>12</v>
    <v>10644409230054887</v>
    <v>0</v>
  </rv>
  <rv s="0">
    <v>12</v>
    <v>038923154014247834</v>
    <v>0</v>
  </rv>
  <rv s="0">
    <v>12</v>
    <v>141</v>
    <v>0</v>
  </rv>
  <rv s="0">
    <v>12</v>
    <v>02939362895563508</v>
    <v>0</v>
  </rv>
  <rv s="0">
    <v>12</v>
    <v>14708085893000486</v>
    <v>0</v>
  </rv>
  <rv s="0">
    <v>12</v>
    <v>16074678319333444</v>
    <v>0</v>
  </rv>
  <rv s="0">
    <v>12</v>
    <v>0037335740798660933</v>
    <v>0</v>
  </rv>
  <rv s="0">
    <v>12</v>
    <v>029559702673509953</v>
    <v>0</v>
  </rv>
  <rv s="0">
    <v>12</v>
    <v>029670948851519816</v>
    <v>0</v>
  </rv>
  <rv s="0">
    <v>12</v>
    <v>006207791845028763</v>
    <v>0</v>
  </rv>
  <rv s="0">
    <v>12</v>
    <v>00806730524091468</v>
    <v>0</v>
  </rv>
  <rv s="0">
    <v>12</v>
    <v>00726533054245691</v>
    <v>0</v>
  </rv>
  <rv s="0">
    <v>12</v>
    <v>006024505936815961</v>
    <v>0</v>
  </rv>
  <rv s="0">
    <v>12</v>
    <v>006097059830978518</v>
    <v>0</v>
  </rv>
  <rv s="0">
    <v>12</v>
    <v>0020284203084628112</v>
    <v>0</v>
  </rv>
  <rv s="0">
    <v>12</v>
    <v>0024322681439810953</v>
    <v>0</v>
  </rv>
  <rv s="0">
    <v>12</v>
    <v>0052673250434116985</v>
    <v>0</v>
  </rv>
  <rv s="0">
    <v>12</v>
    <v>002286925462535486</v>
    <v>0</v>
  </rv>
  <rv s="0">
    <v>12</v>
    <v>0013185525446766976</v>
    <v>0</v>
  </rv>
  <rv s="0">
    <v>12</v>
    <v>024963846227615476</v>
    <v>0</v>
  </rv>
  <rv s="0">
    <v>12</v>
    <v>024938007271661327</v>
    <v>0</v>
  </rv>
  <rv s="0">
    <v>12</v>
    <v>0006474072024310275</v>
    <v>0</v>
  </rv>
  <rv s="0">
    <v>12</v>
    <v>005121738839427688</v>
    <v>0</v>
  </rv>
  <rv s="0">
    <v>12</v>
    <v>016881815150201367</v>
    <v>0</v>
  </rv>
  <rv s="0">
    <v>12</v>
    <v>023471692617844382</v>
    <v>0</v>
  </rv>
  <rv s="0">
    <v>12</v>
    <v>022051183544862938</v>
    <v>0</v>
  </rv>
  <rv s="0">
    <v>12</v>
    <v>002448471040339347</v>
    <v>0</v>
  </rv>
  <rv s="0">
    <v>12</v>
    <v>025537542097771586</v>
    <v>0</v>
  </rv>
  <rv s="0">
    <v>12</v>
    <v>017021354209813072</v>
    <v>0</v>
  </rv>
  <rv s="0">
    <v>12</v>
    <v>0395232109646302</v>
    <v>0</v>
  </rv>
  <rv s="0">
    <v>12</v>
    <v>014410732002544347</v>
    <v>0</v>
  </rv>
  <rv s="0">
    <v>12</v>
    <v>010421611553091905</v>
    <v>0</v>
  </rv>
  <rv s="0">
    <v>12</v>
    <v>02300875302144433</v>
    <v>0</v>
  </rv>
  <rv s="0">
    <v>12</v>
    <v>00015467748765477226</v>
    <v>0</v>
  </rv>
  <rv s="0">
    <v>12</v>
    <v>041448404851451355</v>
    <v>0</v>
  </rv>
  <rv s="0">
    <v>12</v>
    <v>005505739225320417</v>
    <v>0</v>
  </rv>
  <rv s="0">
    <v>12</v>
    <v>0010929732289201599</v>
    <v>0</v>
  </rv>
  <rv s="0">
    <v>12</v>
    <v>0015014559233777884</v>
    <v>0</v>
  </rv>
  <rv s="0">
    <v>12</v>
    <v>005795241760282024</v>
    <v>0</v>
  </rv>
  <rv s="0">
    <v>12</v>
    <v>005600639674630819</v>
    <v>0</v>
  </rv>
  <rv s="0">
    <v>12</v>
    <v>04915574937715491</v>
    <v>0</v>
  </rv>
  <rv s="0">
    <v>12</v>
    <v>011282513170322864</v>
    <v>0</v>
  </rv>
  <rv s="0">
    <v>12</v>
    <v>01833827875652996</v>
    <v>0</v>
  </rv>
  <rv s="0">
    <v>12</v>
    <v>005510194683612658</v>
    <v>0</v>
  </rv>
  <rv s="0">
    <v>12</v>
    <v>12615134882906792</v>
    <v>0</v>
  </rv>
  <rv s="0">
    <v>12</v>
    <v>06432837980035899</v>
    <v>0</v>
  </rv>
  <rv s="0">
    <v>12</v>
    <v>02432408615870113</v>
    <v>0</v>
  </rv>
  <rv s="0">
    <v>12</v>
    <v>19166068731340252</v>
    <v>0</v>
  </rv>
  <rv s="0">
    <v>12</v>
    <v>11154928848021262</v>
    <v>0</v>
  </rv>
  <rv s="0">
    <v>12</v>
    <v>032290270193612886</v>
    <v>0</v>
  </rv>
  <rv s="0">
    <v>12</v>
    <v>021297606353962863</v>
    <v>0</v>
  </rv>
  <rv s="0">
    <v>12</v>
    <v>01959712098872095</v>
    <v>0</v>
  </rv>
  <rv s="0">
    <v>12</v>
    <v>01198676347445764</v>
    <v>0</v>
  </rv>
  <rv s="0">
    <v>12</v>
    <v>03404029172740252</v>
    <v>0</v>
  </rv>
  <rv s="0">
    <v>12</v>
    <v>034238800113067513</v>
    <v>0</v>
  </rv>
  <rv s="0">
    <v>12</v>
    <v>02116791778496039</v>
    <v>0</v>
  </rv>
  <rv s="0">
    <v>12</v>
    <v>019968190036398503</v>
    <v>0</v>
  </rv>
  <rv s="0">
    <v>12</v>
    <v>0006074992354688461</v>
    <v>0</v>
  </rv>
  <rv s="0">
    <v>12</v>
    <v>37415457617256026</v>
    <v>0</v>
  </rv>
  <rv s="0">
    <v>12</v>
    <v>1156660954669532</v>
    <v>0</v>
  </rv>
  <rv s="0">
    <v>12</v>
    <v>08514846383002928</v>
    <v>0</v>
  </rv>
  <rv s="0">
    <v>12</v>
    <v>015212272491780754</v>
    <v>0</v>
  </rv>
  <rv s="0">
    <v>12</v>
    <v>03729287084014772</v>
    <v>0</v>
  </rv>
  <rv s="0">
    <v>12</v>
    <v>06669754949701402</v>
    <v>0</v>
  </rv>
  <rv s="0">
    <v>12</v>
    <v>06689580729294915</v>
    <v>0</v>
  </rv>
  <rv s="0">
    <v>12</v>
    <v>043883458733323055</v>
    <v>0</v>
  </rv>
  <rv s="0">
    <v>12</v>
    <v>015522106400174698</v>
    <v>0</v>
  </rv>
  <rv s="0">
    <v>12</v>
    <v>0470456864591818</v>
    <v>0</v>
  </rv>
  <rv s="0">
    <v>12</v>
    <v>04609710186667604</v>
    <v>0</v>
  </rv>
  <rv s="0">
    <v>12</v>
    <v>003485693487122233</v>
    <v>0</v>
  </rv>
  <rv s="0">
    <v>12</v>
    <v>0397498843712065e</v>
    <v>0</v>
  </rv>
  <rv s="0">
    <v>12</v>
    <v>02905888511080698</v>
    <v>0</v>
  </rv>
  <rv s="0">
    <v>12</v>
    <v>000954854550269506</v>
    <v>0</v>
  </rv>
  <rv s="0">
    <v>12</v>
    <v>02544005632262557</v>
    <v>0</v>
  </rv>
  <rv s="0">
    <v>12</v>
    <v>04936278904012825</v>
    <v>0</v>
  </rv>
  <rv s="0">
    <v>12</v>
    <v>009878768114661152</v>
    <v>0</v>
  </rv>
  <rv s="0">
    <v>12</v>
    <v>03292460434182279</v>
    <v>0</v>
  </rv>
  <rv s="0">
    <v>12</v>
    <v>05014043251398852</v>
    <v>0</v>
  </rv>
  <rv s="0">
    <v>12</v>
    <v>027528693820918115</v>
    <v>0</v>
  </rv>
  <rv s="0">
    <v>12</v>
    <v>03573405266604328</v>
    <v>0</v>
  </rv>
  <rv s="0">
    <v>12</v>
    <v>016007741336280464</v>
    <v>0</v>
  </rv>
  <rv s="0">
    <v>12</v>
    <v>05946586749643973</v>
    <v>0</v>
  </rv>
  <rv s="0">
    <v>12</v>
    <v>008669330902035699</v>
    <v>0</v>
  </rv>
  <rv s="0">
    <v>12</v>
    <v>04207822289123757</v>
    <v>0</v>
  </rv>
  <rv s="0">
    <v>12</v>
    <v>005082625160372593</v>
    <v>0</v>
  </rv>
  <rv s="0">
    <v>12</v>
    <v>030616432079741827</v>
    <v>0</v>
  </rv>
  <rv s="0">
    <v>12</v>
    <v>029968414238064137</v>
    <v>0</v>
  </rv>
  <rv s="0">
    <v>12</v>
    <v>006716050467800449</v>
    <v>0</v>
  </rv>
  <rv s="0">
    <v>12</v>
    <v>0034534851444556337</v>
    <v>0</v>
  </rv>
  <rv s="0">
    <v>12</v>
    <v>003637515770772017</v>
    <v>0</v>
  </rv>
  <rv s="0">
    <v>12</v>
    <v>00860092943453763</v>
    <v>0</v>
  </rv>
  <rv s="0">
    <v>12</v>
    <v>0032531524717225838</v>
    <v>0</v>
  </rv>
  <rv s="0">
    <v>12</v>
    <v>0023073139082158464</v>
    <v>0</v>
  </rv>
  <rv s="0">
    <v>12</v>
    <v>01939585777345943</v>
    <v>0</v>
  </rv>
  <rv s="0">
    <v>12</v>
    <v>01371292787887101</v>
    <v>0</v>
  </rv>
  <rv s="0">
    <v>12</v>
    <v>01707933737682508</v>
    <v>0</v>
  </rv>
  <rv s="0">
    <v>12</v>
    <v>04936804790360817</v>
    <v>0</v>
  </rv>
  <rv s="0">
    <v>12</v>
    <v>049332403554312725</v>
    <v>0</v>
  </rv>
  <rv s="0">
    <v>12</v>
    <v>004558458527886792</v>
    <v>0</v>
  </rv>
  <rv s="0">
    <v>12</v>
    <v>05045797056687385</v>
    <v>0</v>
  </rv>
  <rv s="0">
    <v>12</v>
    <v>0599134134860054</v>
    <v>0</v>
  </rv>
  <rv s="0">
    <v>12</v>
    <v>046343874202117406</v>
    <v>0</v>
  </rv>
  <rv s="0">
    <v>12</v>
    <v>09507755345007032</v>
    <v>0</v>
  </rv>
  <rv s="0">
    <v>12</v>
    <v>030847792453563755</v>
    <v>0</v>
  </rv>
  <rv s="0">
    <v>12</v>
    <v>02098459442288634</v>
    <v>0</v>
  </rv>
  <rv s="0">
    <v>12</v>
    <v>004157930706955502</v>
    <v>0</v>
  </rv>
  <rv s="0">
    <v>12</v>
    <v>023770215931770033</v>
    <v>0</v>
  </rv>
  <rv s="0">
    <v>12</v>
    <v>012101483007776605</v>
    <v>0</v>
  </rv>
  <rv s="0">
    <v>12</v>
    <v>039804287682685256</v>
    <v>0</v>
  </rv>
  <rv s="0">
    <v>12</v>
    <v>02666915226858031</v>
    <v>0</v>
  </rv>
  <rv s="0">
    <v>12</v>
    <v>011099943994663951</v>
    <v>0</v>
  </rv>
  <rv s="0">
    <v>12</v>
    <v>003461607066175313</v>
    <v>0</v>
  </rv>
  <rv s="0">
    <v>12</v>
    <v>004071583741911731</v>
    <v>0</v>
  </rv>
  <rv s="0">
    <v>12</v>
    <v>010163816172512104</v>
    <v>0</v>
  </rv>
  <rv s="0">
    <v>12</v>
    <v>01777828937976833</v>
    <v>0</v>
  </rv>
  <rv s="0">
    <v>12</v>
    <v>015623626608308117</v>
    <v>0</v>
  </rv>
  <rv s="0">
    <v>12</v>
    <v>05103937671206473</v>
    <v>0</v>
  </rv>
  <rv s="0">
    <v>12</v>
    <v>07025861399249846</v>
    <v>0</v>
  </rv>
  <rv s="0">
    <v>12</v>
    <v>05501519042922807</v>
    <v>0</v>
  </rv>
  <rv s="0">
    <v>12</v>
    <v>016770551980776302</v>
    <v>0</v>
  </rv>
  <rv s="0">
    <v>12</v>
    <v>025685499424184088</v>
    <v>0</v>
  </rv>
  <rv s="0">
    <v>12</v>
    <v>01889171412813785</v>
    <v>0</v>
  </rv>
  <rv s="0">
    <v>12</v>
    <v>076</v>
    <v>0</v>
  </rv>
  <rv s="0">
    <v>12</v>
    <v>011523481542964068</v>
    <v>0</v>
  </rv>
  <rv s="0">
    <v>12</v>
    <v>0033306743671503106</v>
    <v>0</v>
  </rv>
  <rv s="0">
    <v>12</v>
    <v>0037151553011212624</v>
    <v>0</v>
  </rv>
  <rv s="0">
    <v>12</v>
    <v>005500195113605885</v>
    <v>0</v>
  </rv>
  <rv s="0">
    <v>12</v>
    <v>056891166356894306</v>
    <v>0</v>
  </rv>
  <rv s="0">
    <v>12</v>
    <v>057104357320326066</v>
    <v>0</v>
  </rv>
  <rv s="0">
    <v>12</v>
    <v>06433976522098955</v>
    <v>0</v>
  </rv>
  <rv s="0">
    <v>12</v>
    <v>022508556229914073</v>
    <v>0</v>
  </rv>
  <rv s="0">
    <v>12</v>
    <v>02911275335060154</v>
    <v>0</v>
  </rv>
  <rv s="0">
    <v>12</v>
    <v>020387352587568134</v>
    <v>0</v>
  </rv>
  <rv s="0">
    <v>12</v>
    <v>06416803004288664</v>
    <v>0</v>
  </rv>
  <rv s="0">
    <v>12</v>
    <v>062</v>
    <v>0</v>
  </rv>
  <rv s="0">
    <v>12</v>
    <v>02717029546678793</v>
    <v>0</v>
  </rv>
  <rv s="0">
    <v>12</v>
    <v>00396160820579352</v>
    <v>0</v>
  </rv>
  <rv s="0">
    <v>12</v>
    <v>008457769492385567</v>
    <v>0</v>
  </rv>
  <rv s="0">
    <v>12</v>
    <v>01027522482062689</v>
    <v>0</v>
  </rv>
  <rv s="0">
    <v>12</v>
    <v>010232004276823997</v>
    <v>0</v>
  </rv>
  <rv s="0">
    <v>12</v>
    <v>015792333037292293</v>
    <v>0</v>
  </rv>
  <rv s="0">
    <v>12</v>
    <v>007599320097917727</v>
    <v>0</v>
  </rv>
  <rv s="0">
    <v>12</v>
    <v>005607510362192126</v>
    <v>0</v>
  </rv>
  <rv s="0">
    <v>12</v>
    <v>006284762954946324</v>
    <v>0</v>
  </rv>
  <rv s="0">
    <v>12</v>
    <v>030356343599899416</v>
    <v>0</v>
  </rv>
  <rv s="0">
    <v>12</v>
    <v>08092948709303982</v>
    <v>0</v>
  </rv>
  <rv s="0">
    <v>12</v>
    <v>007307082930538108</v>
    <v>0</v>
  </rv>
  <rv s="0">
    <v>12</v>
    <v>030592584082533684</v>
    <v>0</v>
  </rv>
  <rv s="0">
    <v>12</v>
    <v>0261716571261037</v>
    <v>0</v>
  </rv>
  <rv s="0">
    <v>12</v>
    <v>020996477656857422</v>
    <v>0</v>
  </rv>
  <rv s="0">
    <v>12</v>
    <v>0125021414314474</v>
    <v>0</v>
  </rv>
  <rv s="0">
    <v>12</v>
    <v>0038009841046321236</v>
    <v>0</v>
  </rv>
  <rv s="0">
    <v>12</v>
    <v>3756820245279616</v>
    <v>0</v>
  </rv>
  <rv s="0">
    <v>12</v>
    <v>020027937096289635</v>
    <v>0</v>
  </rv>
  <rv s="0">
    <v>12</v>
    <v>21916246900326544</v>
    <v>0</v>
  </rv>
  <rv s="0">
    <v>12</v>
    <v>018363309211194865</v>
    <v>0</v>
  </rv>
  <rv s="0">
    <v>12</v>
    <v>09667597890664804</v>
    <v>0</v>
  </rv>
  <rv s="0">
    <v>12</v>
    <v>043881424803853264</v>
    <v>0</v>
  </rv>
  <rv s="0">
    <v>12</v>
    <v>006387007069010108</v>
    <v>0</v>
  </rv>
  <rv s="0">
    <v>12</v>
    <v>01814300315699694</v>
    <v>0</v>
  </rv>
  <rv s="0">
    <v>12</v>
    <v>012091266180252181</v>
    <v>0</v>
  </rv>
  <rv s="0">
    <v>12</v>
    <v>013678849552550823</v>
    <v>0</v>
  </rv>
  <rv s="0">
    <v>12</v>
    <v>00519144955165809</v>
    <v>0</v>
  </rv>
  <rv s="0">
    <v>12</v>
    <v>006189731839903239</v>
    <v>0</v>
  </rv>
  <rv s="0">
    <v>12</v>
    <v>006663012764458176</v>
    <v>0</v>
  </rv>
  <rv s="0">
    <v>12</v>
    <v>005259728790739979</v>
    <v>0</v>
  </rv>
  <rv s="0">
    <v>12</v>
    <v>003599497725098863</v>
    <v>0</v>
  </rv>
  <rv s="0">
    <v>12</v>
    <v>003185467707865325</v>
    <v>0</v>
  </rv>
  <rv s="0">
    <v>12</v>
    <v>0018438851500130278</v>
    <v>0</v>
  </rv>
  <rv s="0">
    <v>12</v>
    <v>0030935756826021986</v>
    <v>0</v>
  </rv>
  <rv s="0">
    <v>12</v>
    <v>05606917426799997</v>
    <v>0</v>
  </rv>
  <rv s="0">
    <v>12</v>
    <v>007954796667021886</v>
    <v>0</v>
  </rv>
  <rv s="0">
    <v>12</v>
    <v>16499798681295355</v>
    <v>0</v>
  </rv>
  <rv s="0">
    <v>12</v>
    <v>10731602652532204</v>
    <v>0</v>
  </rv>
  <rv s="0">
    <v>12</v>
    <v>036328039087590976</v>
    <v>0</v>
  </rv>
  <rv s="0">
    <v>12</v>
    <v>03311222665812568</v>
    <v>0</v>
  </rv>
  <rv s="0">
    <v>12</v>
    <v>0208039142425506</v>
    <v>0</v>
  </rv>
  <rv s="0">
    <v>12</v>
    <v>0032376165119387293</v>
    <v>0</v>
  </rv>
  <rv s="0">
    <v>12</v>
    <v>0033333902782985334</v>
    <v>0</v>
  </rv>
  <rv s="0">
    <v>12</v>
    <v>06450868011293057</v>
    <v>0</v>
  </rv>
  <rv s="0">
    <v>12</v>
    <v>05873459058638669</v>
    <v>0</v>
  </rv>
  <rv s="0">
    <v>12</v>
    <v>028388805504046315</v>
    <v>0</v>
  </rv>
  <rv s="0">
    <v>12</v>
    <v>005813131268778166</v>
    <v>0</v>
  </rv>
  <rv s="0">
    <v>12</v>
    <v>149657067444483</v>
    <v>0</v>
  </rv>
  <rv s="0">
    <v>12</v>
    <v>04352186454706708</v>
    <v>0</v>
  </rv>
  <rv s="0">
    <v>12</v>
    <v>045396007176417515</v>
    <v>0</v>
  </rv>
  <rv s="0">
    <v>12</v>
    <v>020325408945509306</v>
    <v>0</v>
  </rv>
  <rv s="0">
    <v>12</v>
    <v>75</v>
    <v>0</v>
  </rv>
  <rv s="0">
    <v>12</v>
    <v>5923615809026898</v>
    <v>0</v>
  </rv>
  <rv s="0">
    <v>12</v>
    <v>06585402168047165</v>
    <v>0</v>
  </rv>
  <rv s="0">
    <v>12</v>
    <v>06619363072232592</v>
    <v>0</v>
  </rv>
  <rv s="0">
    <v>12</v>
    <v>02485369661742102</v>
    <v>0</v>
  </rv>
  <rv s="0">
    <v>12</v>
    <v>143133952057501</v>
    <v>0</v>
  </rv>
  <rv s="0">
    <v>12</v>
    <v>07620917416532619</v>
    <v>0</v>
  </rv>
  <rv s="0">
    <v>12</v>
    <v>13891526700555526</v>
    <v>0</v>
  </rv>
  <rv s="0">
    <v>12</v>
    <v>012891001426152859</v>
    <v>0</v>
  </rv>
  <rv s="0">
    <v>12</v>
    <v>16550145228814864</v>
    <v>0</v>
  </rv>
  <rv s="0">
    <v>12</v>
    <v>04659079506926337</v>
    <v>0</v>
  </rv>
  <rv s="0">
    <v>12</v>
    <v>034693935886471794</v>
    <v>0</v>
  </rv>
  <rv s="0">
    <v>12</v>
    <v>23094789369282875</v>
    <v>0</v>
  </rv>
  <rv s="0">
    <v>12</v>
    <v>08632800906355133</v>
    <v>0</v>
  </rv>
  <rv s="0">
    <v>12</v>
    <v>013175641619218184</v>
    <v>0</v>
  </rv>
  <rv s="0">
    <v>12</v>
    <v>09276199240908815</v>
    <v>0</v>
  </rv>
  <rv s="0">
    <v>12</v>
    <v>017209140522994354</v>
    <v>0</v>
  </rv>
  <rv s="0">
    <v>12</v>
    <v>061617031635212316</v>
    <v>0</v>
  </rv>
  <rv s="0">
    <v>12</v>
    <v>01674412140253998</v>
    <v>0</v>
  </rv>
  <rv s="0">
    <v>12</v>
    <v>019335311933379853</v>
    <v>0</v>
  </rv>
  <rv s="0">
    <v>12</v>
    <v>10310399859305922</v>
    <v>0</v>
  </rv>
  <rv s="0">
    <v>12</v>
    <v>01723838515104226</v>
    <v>0</v>
  </rv>
  <rv s="0">
    <v>12</v>
    <v>044829337782674616</v>
    <v>0</v>
  </rv>
  <rv s="0">
    <v>12</v>
    <v>10579947134200181</v>
    <v>0</v>
  </rv>
  <rv s="0">
    <v>12</v>
    <v>09110597241597436</v>
    <v>0</v>
  </rv>
  <rv s="0">
    <v>12</v>
    <v>07439599937739731</v>
    <v>0</v>
  </rv>
  <rv s="0">
    <v>12</v>
    <v>027867748290643427</v>
    <v>0</v>
  </rv>
  <rv s="0">
    <v>12</v>
    <v>109593200246948</v>
    <v>0</v>
  </rv>
  <rv s="0">
    <v>12</v>
    <v>0215562179770278</v>
    <v>0</v>
  </rv>
  <rv s="0">
    <v>12</v>
    <v>00012142390657885709</v>
    <v>0</v>
  </rv>
  <rv s="0">
    <v>12</v>
    <v>007105495628663562</v>
    <v>0</v>
  </rv>
  <rv s="0">
    <v>12</v>
    <v>045975248291880766</v>
    <v>0</v>
  </rv>
  <rv s="0">
    <v>12</v>
    <v>0017637302415525055</v>
    <v>0</v>
  </rv>
  <rv s="0">
    <v>12</v>
    <v>018487194210020826</v>
    <v>0</v>
  </rv>
  <rv s="0">
    <v>12</v>
    <v>0023416064944628253</v>
    <v>0</v>
  </rv>
  <rv s="0">
    <v>12</v>
    <v>01650170149589717</v>
    <v>0</v>
  </rv>
  <rv s="0">
    <v>12</v>
    <v>006614806823967902</v>
    <v>0</v>
  </rv>
  <rv s="0">
    <v>12</v>
    <v>101</v>
    <v>0</v>
  </rv>
  <rv s="0">
    <v>12</v>
    <v>0224101682604961</v>
    <v>0</v>
  </rv>
  <rv s="0">
    <v>12</v>
    <v>11774798463730217</v>
    <v>0</v>
  </rv>
  <rv s="0">
    <v>12</v>
    <v>10197967308877538</v>
    <v>0</v>
  </rv>
  <rv s="0">
    <v>12</v>
    <v>10658699425880289</v>
    <v>0</v>
  </rv>
  <rv s="0">
    <v>12</v>
    <v>01884246413474455</v>
    <v>0</v>
  </rv>
  <rv s="0">
    <v>12</v>
    <v>113</v>
    <v>0</v>
  </rv>
  <rv s="0">
    <v>12</v>
    <v>104834952856092</v>
    <v>0</v>
  </rv>
  <rv s="0">
    <v>12</v>
    <v>023865738386663365</v>
    <v>0</v>
  </rv>
  <rv s="0">
    <v>12</v>
    <v>0536683688833279</v>
    <v>0</v>
  </rv>
  <rv s="0">
    <v>12</v>
    <v>043811659885286354</v>
    <v>0</v>
  </rv>
  <rv s="0">
    <v>12</v>
    <v>005827727711464504</v>
    <v>0</v>
  </rv>
  <rv s="0">
    <v>12</v>
    <v>001232974623946864</v>
    <v>0</v>
  </rv>
  <rv s="0">
    <v>12</v>
    <v>02972175297952239</v>
    <v>0</v>
  </rv>
  <rv s="0">
    <v>12</v>
    <v>006259315690675881</v>
    <v>0</v>
  </rv>
  <rv s="0">
    <v>12</v>
    <v>006610465792489751</v>
    <v>0</v>
  </rv>
  <rv s="0">
    <v>12</v>
    <v>12232050114314603</v>
    <v>0</v>
  </rv>
  <rv s="0">
    <v>12</v>
    <v>09834356438676993</v>
    <v>0</v>
  </rv>
  <rv s="0">
    <v>12</v>
    <v>01436079770276074</v>
    <v>0</v>
  </rv>
  <rv s="0">
    <v>12</v>
    <v>016569965927926943</v>
    <v>0</v>
  </rv>
  <rv s="0">
    <v>12</v>
    <v>016470984611066032</v>
    <v>0</v>
  </rv>
  <rv s="0">
    <v>12</v>
    <v>000640946858309654</v>
    <v>0</v>
  </rv>
  <rv s="0">
    <v>12</v>
    <v>0056769527360776</v>
    <v>0</v>
  </rv>
  <rv s="0">
    <v>12</v>
    <v>005869649833485978</v>
    <v>0</v>
  </rv>
  <rv s="0">
    <v>12</v>
    <v>05459388119219365</v>
    <v>0</v>
  </rv>
  <rv s="0">
    <v>12</v>
    <v>05707690452642392</v>
    <v>0</v>
  </rv>
  <rv s="0">
    <v>12</v>
    <v>022073288978662703</v>
    <v>0</v>
  </rv>
  <rv s="0">
    <v>12</v>
    <v>02249277007574414</v>
    <v>0</v>
  </rv>
  <rv s="0">
    <v>12</v>
    <v>006546934303680909</v>
    <v>0</v>
  </rv>
  <rv s="0">
    <v>12</v>
    <v>007405450039775178</v>
    <v>0</v>
  </rv>
  <rv s="0">
    <v>12</v>
    <v>0034824876869385905</v>
    <v>0</v>
  </rv>
  <rv s="0">
    <v>12</v>
    <v>15550228280035044</v>
    <v>0</v>
  </rv>
  <rv s="0">
    <v>12</v>
    <v>0901676616213361</v>
    <v>0</v>
  </rv>
  <rv s="0">
    <v>12</v>
    <v>17737781316622153</v>
    <v>0</v>
  </rv>
  <rv s="0">
    <v>12</v>
    <v>015515824723659505</v>
    <v>0</v>
  </rv>
  <rv s="0">
    <v>12</v>
    <v>028097061053616413</v>
    <v>0</v>
  </rv>
  <rv s="0">
    <v>12</v>
    <v>023365748925735803</v>
    <v>0</v>
  </rv>
  <rv s="0">
    <v>12</v>
    <v>02885416470914527</v>
    <v>0</v>
  </rv>
  <rv s="0">
    <v>12</v>
    <v>004625924593346147</v>
    <v>0</v>
  </rv>
  <rv s="0">
    <v>12</v>
    <v>01141544125747578</v>
    <v>0</v>
  </rv>
  <rv s="0">
    <v>12</v>
    <v>012582669792695143</v>
    <v>0</v>
  </rv>
  <rv s="0">
    <v>12</v>
    <v>03869181862013705</v>
    <v>0</v>
  </rv>
  <rv s="0">
    <v>12</v>
    <v>027516658090072012</v>
    <v>0</v>
  </rv>
  <rv s="0">
    <v>12</v>
    <v>01089778902350279</v>
    <v>0</v>
  </rv>
  <rv s="0">
    <v>12</v>
    <v>06309404001579806</v>
    <v>0</v>
  </rv>
  <rv s="0">
    <v>12</v>
    <v>0007092354996996531</v>
    <v>0</v>
  </rv>
  <rv s="0">
    <v>12</v>
    <v>001843894350683949</v>
    <v>0</v>
  </rv>
  <rv s="0">
    <v>12</v>
    <v>12668801614120742</v>
    <v>0</v>
  </rv>
  <rv s="0">
    <v>12</v>
    <v>014315023298649282</v>
    <v>0</v>
  </rv>
  <rv s="0">
    <v>12</v>
    <v>014211836454538739</v>
    <v>0</v>
  </rv>
  <rv s="0">
    <v>12</v>
    <v>0030264022065704093</v>
    <v>0</v>
  </rv>
  <rv s="0">
    <v>12</v>
    <v>011633125652878048</v>
    <v>0</v>
  </rv>
  <rv s="0">
    <v>12</v>
    <v>011188759480680382</v>
    <v>0</v>
  </rv>
  <rv s="0">
    <v>12</v>
    <v>07872064133234054</v>
    <v>0</v>
  </rv>
  <rv s="0">
    <v>12</v>
    <v>0494956207824263</v>
    <v>0</v>
  </rv>
  <rv s="0">
    <v>12</v>
    <v>09262888523722275</v>
    <v>0</v>
  </rv>
  <rv s="0">
    <v>12</v>
    <v>02122745135100907</v>
    <v>0</v>
  </rv>
  <rv s="0">
    <v>12</v>
    <v>14159808833085524</v>
    <v>0</v>
  </rv>
  <rv s="0">
    <v>12</v>
    <v>18821995277383333</v>
    <v>0</v>
  </rv>
  <rv s="0">
    <v>12</v>
    <v>008280839295362333</v>
    <v>0</v>
  </rv>
  <rv s="0">
    <v>12</v>
    <v>03719739999597808</v>
    <v>0</v>
  </rv>
  <rv s="0">
    <v>12</v>
    <v>03711469857046387</v>
    <v>0</v>
  </rv>
  <rv s="0">
    <v>12</v>
    <v>01135637389104777</v>
    <v>0</v>
  </rv>
  <rv s="0">
    <v>12</v>
    <v>007296994210919493</v>
    <v>0</v>
  </rv>
  <rv s="0">
    <v>12</v>
    <v>01819255161669676</v>
    <v>0</v>
  </rv>
  <rv s="0">
    <v>12</v>
    <v>197</v>
    <v>0</v>
  </rv>
  <rv s="0">
    <v>12</v>
    <v>003303220812361617</v>
    <v>0</v>
  </rv>
  <rv s="0">
    <v>12</v>
    <v>0032235370357820356</v>
    <v>0</v>
  </rv>
  <rv s="0">
    <v>12</v>
    <v>0006220090797434888</v>
    <v>0</v>
  </rv>
  <rv s="0">
    <v>12</v>
    <v>036489625370037075</v>
    <v>0</v>
  </rv>
  <rv s="0">
    <v>12</v>
    <v>055836533047501934</v>
    <v>0</v>
  </rv>
  <rv s="0">
    <v>12</v>
    <v>06525000886256861</v>
    <v>0</v>
  </rv>
  <rv s="0">
    <v>12</v>
    <v>02688562978451127</v>
    <v>0</v>
  </rv>
  <rv s="0">
    <v>12</v>
    <v>04266231250155639</v>
    <v>0</v>
  </rv>
  <rv s="0">
    <v>12</v>
    <v>004004119904916285</v>
    <v>0</v>
  </rv>
  <rv s="0">
    <v>12</v>
    <v>014001811258228431</v>
    <v>0</v>
  </rv>
  <rv s="0">
    <v>12</v>
    <v>027852532870206042</v>
    <v>0</v>
  </rv>
  <rv s="0">
    <v>12</v>
    <v>026380616882238507</v>
    <v>0</v>
  </rv>
  <rv s="0">
    <v>12</v>
    <v>014503999836250876</v>
    <v>0</v>
  </rv>
  <rv s="0">
    <v>12</v>
    <v>014395271495830623</v>
    <v>0</v>
  </rv>
  <rv s="0">
    <v>12</v>
    <v>003721030758868863</v>
    <v>0</v>
  </rv>
  <rv s="0">
    <v>12</v>
    <v>07712917061237694</v>
    <v>0</v>
  </rv>
  <rv s="0">
    <v>12</v>
    <v>00500123763463136</v>
    <v>0</v>
  </rv>
  <rv s="0">
    <v>12</v>
    <v>08900123583372882</v>
    <v>0</v>
  </rv>
  <rv s="0">
    <v>12</v>
    <v>007649291292020245</v>
    <v>0</v>
  </rv>
  <rv s="0">
    <v>12</v>
    <v>03410180747972774</v>
    <v>0</v>
  </rv>
  <rv s="0">
    <v>12</v>
    <v>02154914877790027</v>
    <v>0</v>
  </rv>
  <rv s="0">
    <v>12</v>
    <v>04460809584661912</v>
    <v>0</v>
  </rv>
  <rv s="0">
    <v>12</v>
    <v>0322631491710416</v>
    <v>0</v>
  </rv>
  <rv s="0">
    <v>12</v>
    <v>032210239176539236</v>
    <v>0</v>
  </rv>
  <rv s="0">
    <v>12</v>
    <v>00801423113351379</v>
    <v>0</v>
  </rv>
  <rv s="0">
    <v>12</v>
    <v>007289738706163101</v>
    <v>0</v>
  </rv>
  <rv s="0">
    <v>12</v>
    <v>0019033170285203446</v>
    <v>0</v>
  </rv>
  <rv s="0">
    <v>12</v>
    <v>08542843634051045</v>
    <v>0</v>
  </rv>
  <rv s="0">
    <v>12</v>
    <v>026506504255591597</v>
    <v>0</v>
  </rv>
  <rv s="0">
    <v>12</v>
    <v>022889016327625123</v>
    <v>0</v>
  </rv>
  <rv s="0">
    <v>12</v>
    <v>0008864516362422028</v>
    <v>0</v>
  </rv>
  <rv s="0">
    <v>12</v>
    <v>0010370187157087698</v>
    <v>0</v>
  </rv>
  <rv s="0">
    <v>12</v>
    <v>011651820714235591</v>
    <v>0</v>
  </rv>
  <rv s="0">
    <v>12</v>
    <v>07664552625226177</v>
    <v>0</v>
  </rv>
  <rv s="0">
    <v>12</v>
    <v>019926696847928013</v>
    <v>0</v>
  </rv>
  <rv s="0">
    <v>12</v>
    <v>048776835920232964</v>
    <v>0</v>
  </rv>
  <rv s="0">
    <v>12</v>
    <v>0009584019098499328</v>
    <v>0</v>
  </rv>
  <rv s="0">
    <v>12</v>
    <v>024865594196898964</v>
    <v>0</v>
  </rv>
  <rv s="0">
    <v>12</v>
    <v>009151237878564583</v>
    <v>0</v>
  </rv>
  <rv s="0">
    <v>12</v>
    <v>009545943286758004</v>
    <v>0</v>
  </rv>
  <rv s="0">
    <v>12</v>
    <v>05153839013541376</v>
    <v>0</v>
  </rv>
  <rv s="0">
    <v>12</v>
    <v>00850388982783853</v>
    <v>0</v>
  </rv>
  <rv s="0">
    <v>12</v>
    <v>0024975641310303674</v>
    <v>0</v>
  </rv>
  <rv s="0">
    <v>12</v>
    <v>050749209089577335</v>
    <v>0</v>
  </rv>
  <rv s="0">
    <v>12</v>
    <v>008449776692179124</v>
    <v>0</v>
  </rv>
  <rv s="0">
    <v>12</v>
    <v>007355216485605543</v>
    <v>0</v>
  </rv>
  <rv s="0">
    <v>12</v>
    <v>00559941619867001</v>
    <v>0</v>
  </rv>
  <rv s="0">
    <v>12</v>
    <v>0823646230862151</v>
    <v>0</v>
  </rv>
  <rv s="0">
    <v>12</v>
    <v>0833552341171054</v>
    <v>0</v>
  </rv>
  <rv s="0">
    <v>12</v>
    <v>010800043728799613</v>
    <v>0</v>
  </rv>
  <rv s="0">
    <v>12</v>
    <v>0016015034920049884</v>
    <v>0</v>
  </rv>
  <rv s="0">
    <v>12</v>
    <v>36824250560958466</v>
    <v>0</v>
  </rv>
  <rv s="0">
    <v>12</v>
    <v>20549918440889728</v>
    <v>0</v>
  </rv>
  <rv s="0">
    <v>12</v>
    <v>344</v>
    <v>0</v>
  </rv>
  <rv s="0">
    <v>12</v>
    <v>032571982990544764</v>
    <v>0</v>
  </rv>
  <rv s="0">
    <v>12</v>
    <v>06096291979479496</v>
    <v>0</v>
  </rv>
  <rv s="0">
    <v>12</v>
    <v>04175536082740275</v>
    <v>0</v>
  </rv>
  <rv s="0">
    <v>12</v>
    <v>07499325125922356</v>
    <v>0</v>
  </rv>
  <rv s="0">
    <v>12</v>
    <v>011022233872923231</v>
    <v>0</v>
  </rv>
  <rv s="0">
    <v>12</v>
    <v>0029297511437831863</v>
    <v>0</v>
  </rv>
  <rv s="0">
    <v>12</v>
    <v>02365552872941707</v>
    <v>0</v>
  </rv>
  <rv s="0">
    <v>12</v>
    <v>023535876172571187</v>
    <v>0</v>
  </rv>
  <rv s="0">
    <v>12</v>
    <v>012153525890442171</v>
    <v>0</v>
  </rv>
  <rv s="0">
    <v>12</v>
    <v>008373117846827515</v>
    <v>0</v>
  </rv>
  <rv s="0">
    <v>12</v>
    <v>0649450207708967</v>
    <v>0</v>
  </rv>
  <rv s="0">
    <v>12</v>
    <v>05650633909148559</v>
    <v>0</v>
  </rv>
  <rv s="0">
    <v>12</v>
    <v>0007016516574655534</v>
    <v>0</v>
  </rv>
  <rv s="0">
    <v>12</v>
    <v>009766018069620887</v>
    <v>0</v>
  </rv>
  <rv s="0">
    <v>12</v>
    <v>008304902224380678</v>
    <v>0</v>
  </rv>
  <rv s="0">
    <v>12</v>
    <v>02701897911092796</v>
    <v>0</v>
  </rv>
  <rv s="0">
    <v>12</v>
    <v>02713381888325155</v>
    <v>0</v>
  </rv>
  <rv s="0">
    <v>12</v>
    <v>009771140723897752</v>
    <v>0</v>
  </rv>
  <rv s="0">
    <v>12</v>
    <v>009912067383176132</v>
    <v>0</v>
  </rv>
  <rv s="0">
    <v>12</v>
    <v>0207310561234942</v>
    <v>0</v>
  </rv>
  <rv s="0">
    <v>12</v>
    <v>0026420480909748237</v>
    <v>0</v>
  </rv>
  <rv s="0">
    <v>12</v>
    <v>0026797919412754195</v>
    <v>0</v>
  </rv>
  <rv s="0">
    <v>12</v>
    <v>024626236747597535</v>
    <v>0</v>
  </rv>
  <rv s="0">
    <v>12</v>
    <v>024480654166082576</v>
    <v>0</v>
  </rv>
  <rv s="0">
    <v>12</v>
    <v>005125848968283386</v>
    <v>0</v>
  </rv>
  <rv s="0">
    <v>12</v>
    <v>06235830369280251</v>
    <v>0</v>
  </rv>
  <rv s="0">
    <v>12</v>
    <v>06286973793437296</v>
    <v>0</v>
  </rv>
  <rv s="0">
    <v>12</v>
    <v>06975087624314677</v>
    <v>0</v>
  </rv>
  <rv s="0">
    <v>12</v>
    <v>03234052450085714</v>
    <v>0</v>
  </rv>
  <rv s="0">
    <v>12</v>
    <v>03260800793031125</v>
    <v>0</v>
  </rv>
  <rv s="0">
    <v>12</v>
    <v>011877367748875906</v>
    <v>0</v>
  </rv>
  <rv s="0">
    <v>12</v>
    <v>011954460183633782</v>
    <v>0</v>
  </rv>
  <rv s="0">
    <v>12</v>
    <v>0026568842546912277</v>
    <v>0</v>
  </rv>
  <rv s="0">
    <v>12</v>
    <v>0030227594828603007</v>
    <v>0</v>
  </rv>
  <rv s="0">
    <v>12</v>
    <v>012828767770797864</v>
    <v>0</v>
  </rv>
  <rv s="0">
    <v>12</v>
    <v>015943621152390876</v>
    <v>0</v>
  </rv>
  <rv s="0">
    <v>12</v>
    <v>01095545066258815</v>
    <v>0</v>
  </rv>
  <rv s="0">
    <v>12</v>
    <v>016373001283219783</v>
    <v>0</v>
  </rv>
  <rv s="0">
    <v>12</v>
    <v>013628670258749035</v>
    <v>0</v>
  </rv>
  <rv s="0">
    <v>12</v>
    <v>028261883493654487</v>
    <v>0</v>
  </rv>
  <rv s="0">
    <v>12</v>
    <v>0016654849767722521</v>
    <v>0</v>
  </rv>
  <rv s="0">
    <v>12</v>
    <v>015410099881401724</v>
    <v>0</v>
  </rv>
  <rv s="0">
    <v>12</v>
    <v>004235557288083465</v>
    <v>0</v>
  </rv>
  <rv s="0">
    <v>12</v>
    <v>009993366675847963</v>
    <v>0</v>
  </rv>
  <rv s="0">
    <v>12</v>
    <v>011103332458946073</v>
    <v>0</v>
  </rv>
  <rv s="0">
    <v>12</v>
    <v>025403611442471045</v>
    <v>0</v>
  </rv>
  <rv s="0">
    <v>12</v>
    <v>0016311859422129746</v>
    <v>0</v>
  </rv>
  <rv s="0">
    <v>12</v>
    <v>03977017182505774</v>
    <v>0</v>
  </rv>
  <rv s="0">
    <v>12</v>
    <v>013181722528055754</v>
    <v>0</v>
  </rv>
  <rv s="0">
    <v>12</v>
    <v>026276323448580666</v>
    <v>0</v>
  </rv>
  <rv s="0">
    <v>12</v>
    <v>06129343821253406</v>
    <v>0</v>
  </rv>
  <rv s="0">
    <v>12</v>
    <v>04668066719698812</v>
    <v>0</v>
  </rv>
  <rv s="0">
    <v>12</v>
    <v>0541213904194783</v>
    <v>0</v>
  </rv>
  <rv s="0">
    <v>12</v>
    <v>12916830673270135</v>
    <v>0</v>
  </rv>
  <rv s="0">
    <v>12</v>
    <v>13821869208035154</v>
    <v>0</v>
  </rv>
  <rv s="0">
    <v>12</v>
    <v>030296081736083634</v>
    <v>0</v>
  </rv>
  <rv s="0">
    <v>12</v>
    <v>038723442172135566</v>
    <v>0</v>
  </rv>
  <rv s="0">
    <v>12</v>
    <v>019525950929963478</v>
    <v>0</v>
  </rv>
  <rv s="0">
    <v>12</v>
    <v>019684228669783605</v>
    <v>0</v>
  </rv>
  <rv s="0">
    <v>12</v>
    <v>03853222383932143</v>
    <v>0</v>
  </rv>
  <rv s="0">
    <v>12</v>
    <v>03776240986397278</v>
    <v>0</v>
  </rv>
  <rv s="0">
    <v>12</v>
    <v>012296193933961244</v>
    <v>0</v>
  </rv>
  <rv s="0">
    <v>12</v>
    <v>007166803450101371</v>
    <v>0</v>
  </rv>
  <rv s="0">
    <v>12</v>
    <v>019235757414515327</v>
    <v>0</v>
  </rv>
  <rv s="0">
    <v>12</v>
    <v>00021196525410274573</v>
    <v>0</v>
  </rv>
  <rv s="0">
    <v>12</v>
    <v>029381395431458332</v>
    <v>0</v>
  </rv>
  <rv s="0">
    <v>12</v>
    <v>004434733167335959</v>
    <v>0</v>
  </rv>
  <rv s="0">
    <v>12</v>
    <v>04838487559640178</v>
    <v>0</v>
  </rv>
  <rv s="0">
    <v>12</v>
    <v>01665345947007416</v>
    <v>0</v>
  </rv>
  <rv s="0">
    <v>12</v>
    <v>016833559120014604</v>
    <v>0</v>
  </rv>
  <rv s="0">
    <v>12</v>
    <v>011084719858374571</v>
    <v>0</v>
  </rv>
  <rv s="0">
    <v>12</v>
    <v>01749590631852481</v>
    <v>0</v>
  </rv>
  <rv s="0">
    <v>12</v>
    <v>019528159509140885</v>
    <v>0</v>
  </rv>
  <rv s="0">
    <v>12</v>
    <v>07081560449564801</v>
    <v>0</v>
  </rv>
  <rv s="0">
    <v>12</v>
    <v>012162862430630778</v>
    <v>0</v>
  </rv>
  <rv s="0">
    <v>12</v>
    <v>0032344935397199803</v>
    <v>0</v>
  </rv>
  <rv s="0">
    <v>12</v>
    <v>004468898715235994</v>
    <v>0</v>
  </rv>
  <rv s="0">
    <v>12</v>
    <v>037984558550138686</v>
    <v>0</v>
  </rv>
  <rv s="0">
    <v>12</v>
    <v>004729394869125339</v>
    <v>0</v>
  </rv>
  <rv s="0">
    <v>12</v>
    <v>026915132817208424</v>
    <v>0</v>
  </rv>
  <rv s="0">
    <v>12</v>
    <v>010436217931711227</v>
    <v>0</v>
  </rv>
  <rv s="0">
    <v>12</v>
    <v>023079733869909157</v>
    <v>0</v>
  </rv>
  <rv s="0">
    <v>12</v>
    <v>00538780956287277</v>
    <v>0</v>
  </rv>
  <rv s="0">
    <v>12</v>
    <v>007521819178433138</v>
    <v>0</v>
  </rv>
  <rv s="0">
    <v>12</v>
    <v>003643576217178175</v>
    <v>0</v>
  </rv>
  <rv s="0">
    <v>12</v>
    <v>008274691687966348</v>
    <v>0</v>
  </rv>
  <rv s="0">
    <v>12</v>
    <v>025866612698942505</v>
    <v>0</v>
  </rv>
  <rv s="0">
    <v>12</v>
    <v>007992573869772895</v>
    <v>0</v>
  </rv>
  <rv s="0">
    <v>12</v>
    <v>010592641631492213</v>
    <v>0</v>
  </rv>
  <rv s="0">
    <v>12</v>
    <v>004432319759231993</v>
    <v>0</v>
  </rv>
  <rv s="0">
    <v>12</v>
    <v>01363447838043222</v>
    <v>0</v>
  </rv>
  <rv s="0">
    <v>12</v>
    <v>011979195005529696</v>
    <v>0</v>
  </rv>
  <rv s="0">
    <v>12</v>
    <v>002550881498832736</v>
    <v>0</v>
  </rv>
  <rv s="0">
    <v>12</v>
    <v>002275046359318295</v>
    <v>0</v>
  </rv>
  <rv s="0">
    <v>12</v>
    <v>0003418342586848153</v>
    <v>0</v>
  </rv>
  <rv s="0">
    <v>12</v>
    <v>010555856055908917</v>
    <v>0</v>
  </rv>
  <rv s="0">
    <v>12</v>
    <v>005405555161982652</v>
    <v>0</v>
  </rv>
  <rv s="0">
    <v>12</v>
    <v>006267065666512417</v>
    <v>0</v>
  </rv>
  <rv s="0">
    <v>12</v>
    <v>005810087212746533</v>
    <v>0</v>
  </rv>
  <rv s="0">
    <v>12</v>
    <v>01019520520821857</v>
    <v>0</v>
  </rv>
  <rv s="0">
    <v>12</v>
    <v>004573888153754796</v>
    <v>0</v>
  </rv>
  <rv s="0">
    <v>12</v>
    <v>03097408420846528</v>
    <v>0</v>
  </rv>
  <rv s="0">
    <v>12</v>
    <v>003943779478178081</v>
    <v>0</v>
  </rv>
  <rv s="0">
    <v>12</v>
    <v>0008407559157050674</v>
    <v>0</v>
  </rv>
  <rv s="0">
    <v>12</v>
    <v>0211746614768879</v>
    <v>0</v>
  </rv>
  <rv s="0">
    <v>12</v>
    <v>0004048175414597668</v>
    <v>0</v>
  </rv>
  <rv s="0">
    <v>12</v>
    <v>005570807621420402</v>
    <v>0</v>
  </rv>
  <rv s="0">
    <v>12</v>
    <v>018871585064313443</v>
    <v>0</v>
  </rv>
  <rv s="0">
    <v>12</v>
    <v>01336012370773846</v>
    <v>0</v>
  </rv>
  <rv s="0">
    <v>12</v>
    <v>06632570944360225</v>
    <v>0</v>
  </rv>
  <rv s="0">
    <v>12</v>
    <v>045402701800919994</v>
    <v>0</v>
  </rv>
  <rv s="0">
    <v>12</v>
    <v>0020028660828311363</v>
    <v>0</v>
  </rv>
  <rv s="0">
    <v>12</v>
    <v>029577581407372548</v>
    <v>0</v>
  </rv>
  <rv s="0">
    <v>12</v>
    <v>02255679840990823</v>
    <v>0</v>
  </rv>
  <rv s="0">
    <v>12</v>
    <v>769</v>
    <v>0</v>
  </rv>
  <rv s="0">
    <v>12</v>
    <v>05173600089363147</v>
    <v>0</v>
  </rv>
  <rv s="0">
    <v>12</v>
    <v>012302424157815253</v>
    <v>0</v>
  </rv>
  <rv s="0">
    <v>12</v>
    <v>00588731106115045</v>
    <v>0</v>
  </rv>
  <rv s="0">
    <v>12</v>
    <v>07</v>
    <v>0</v>
  </rv>
  <rv s="0">
    <v>12</v>
    <v>018698362244781344</v>
    <v>0</v>
  </rv>
  <rv s="0">
    <v>12</v>
    <v>012991750814044953</v>
    <v>0</v>
  </rv>
  <rv s="0">
    <v>12</v>
    <v>01343998801519545</v>
    <v>0</v>
  </rv>
  <rv s="0">
    <v>12</v>
    <v>003543617184866742</v>
    <v>0</v>
  </rv>
  <rv s="0">
    <v>12</v>
    <v>06790187363217956</v>
    <v>0</v>
  </rv>
  <rv s="0">
    <v>12</v>
    <v>03358056029181439</v>
    <v>0</v>
  </rv>
  <rv s="0">
    <v>12</v>
    <v>029188907746392555</v>
    <v>0</v>
  </rv>
  <rv s="0">
    <v>12</v>
    <v>03550186784170236</v>
    <v>0</v>
  </rv>
  <rv s="0">
    <v>12</v>
    <v>034458311181765774</v>
    <v>0</v>
  </rv>
  <rv s="0">
    <v>12</v>
    <v>04699599388405829</v>
    <v>0</v>
  </rv>
  <rv s="0">
    <v>12</v>
    <v>08480164315423036</v>
    <v>0</v>
  </rv>
  <rv s="0">
    <v>12</v>
    <v>09682567237328904</v>
    <v>0</v>
  </rv>
  <rv s="0">
    <v>12</v>
    <v>09442753820408342</v>
    <v>0</v>
  </rv>
  <rv s="0">
    <v>12</v>
    <v>0014740598181133837</v>
    <v>0</v>
  </rv>
  <rv s="0">
    <v>12</v>
    <v>005499607885567133</v>
    <v>0</v>
  </rv>
  <rv s="0">
    <v>12</v>
    <v>0056054566780501325</v>
    <v>0</v>
  </rv>
  <rv s="0">
    <v>12</v>
    <v>028198073154963824</v>
    <v>0</v>
  </rv>
  <rv s="0">
    <v>12</v>
    <v>023461297428829585</v>
    <v>0</v>
  </rv>
  <rv s="0">
    <v>12</v>
    <v>0004615467116395839</v>
    <v>0</v>
  </rv>
  <rv s="0">
    <v>12</v>
    <v>03179755125451308</v>
    <v>0</v>
  </rv>
  <rv s="0">
    <v>12</v>
    <v>025320839176936807</v>
    <v>0</v>
  </rv>
  <rv s="0">
    <v>12</v>
    <v>012394104444659307</v>
    <v>0</v>
  </rv>
  <rv s="0">
    <v>12</v>
    <v>0008220297745329781</v>
    <v>0</v>
  </rv>
  <rv s="0">
    <v>12</v>
    <v>0032716111996981146</v>
    <v>0</v>
  </rv>
  <rv s="0">
    <v>12</v>
    <v>0007701980220855391</v>
    <v>0</v>
  </rv>
  <rv s="0">
    <v>12</v>
    <v>02420616780046635</v>
    <v>0</v>
  </rv>
  <rv s="0">
    <v>12</v>
    <v>01184513541866839</v>
    <v>0</v>
  </rv>
  <rv s="0">
    <v>12</v>
    <v>04876706407821657</v>
    <v>0</v>
  </rv>
  <rv s="0">
    <v>12</v>
    <v>013762871185913586</v>
    <v>0</v>
  </rv>
  <rv s="0">
    <v>12</v>
    <v>024815043668280194</v>
    <v>0</v>
  </rv>
  <rv s="0">
    <v>12</v>
    <v>013168176750623864</v>
    <v>0</v>
  </rv>
  <rv s="0">
    <v>12</v>
    <v>004191801913153557</v>
    <v>0</v>
  </rv>
  <rv s="0">
    <v>12</v>
    <v>015189616098790047</v>
    <v>0</v>
  </rv>
  <rv s="0">
    <v>12</v>
    <v>024971749817221632</v>
    <v>0</v>
  </rv>
  <rv s="0">
    <v>12</v>
    <v>009496904314343893</v>
    <v>0</v>
  </rv>
  <rv s="0">
    <v>12</v>
    <v>01936300175444072</v>
    <v>0</v>
  </rv>
  <rv s="0">
    <v>12</v>
    <v>0037673729966938275</v>
    <v>0</v>
  </rv>
  <rv s="0">
    <v>12</v>
    <v>008029032714839063</v>
    <v>0</v>
  </rv>
  <rv s="0">
    <v>12</v>
    <v>009986073828588172</v>
    <v>0</v>
  </rv>
  <rv s="0">
    <v>12</v>
    <v>07668823591408958</v>
    <v>0</v>
  </rv>
  <rv s="0">
    <v>12</v>
    <v>12590156464319419</v>
    <v>0</v>
  </rv>
  <rv s="0">
    <v>12</v>
    <v>02986771214501561</v>
    <v>0</v>
  </rv>
  <rv s="0">
    <v>12</v>
    <v>022515054903385255</v>
    <v>0</v>
  </rv>
  <rv s="0">
    <v>12</v>
    <v>028839480418617957</v>
    <v>0</v>
  </rv>
  <rv s="0">
    <v>12</v>
    <v>029327112381115752</v>
    <v>0</v>
  </rv>
  <rv s="0">
    <v>12</v>
    <v>023497138037201905</v>
    <v>0</v>
  </rv>
  <rv s="0">
    <v>12</v>
    <v>0002610061368368653</v>
    <v>0</v>
  </rv>
  <rv s="0">
    <v>12</v>
    <v>012474209579432852</v>
    <v>0</v>
  </rv>
  <rv s="0">
    <v>12</v>
    <v>009823525178056984</v>
    <v>0</v>
  </rv>
  <rv s="0">
    <v>12</v>
    <v>015505088537073988</v>
    <v>0</v>
  </rv>
  <rv s="0">
    <v>12</v>
    <v>0018412430772509548</v>
    <v>0</v>
  </rv>
  <rv s="0">
    <v>12</v>
    <v>0064515402041316686</v>
    <v>0</v>
  </rv>
  <rv s="0">
    <v>12</v>
    <v>005661065409280841</v>
    <v>0</v>
  </rv>
  <rv s="0">
    <v>12</v>
    <v>0022545426662892577</v>
    <v>0</v>
  </rv>
  <rv s="0">
    <v>12</v>
    <v>009004241550320796</v>
    <v>0</v>
  </rv>
  <rv s="0">
    <v>12</v>
    <v>0027874221467344296</v>
    <v>0</v>
  </rv>
  <rv s="0">
    <v>12</v>
    <v>0022054275708298715</v>
    <v>0</v>
  </rv>
  <rv s="0">
    <v>12</v>
    <v>01392980023589823</v>
    <v>0</v>
  </rv>
  <rv s="0">
    <v>12</v>
    <v>008716993195776967</v>
    <v>0</v>
  </rv>
  <rv s="0">
    <v>12</v>
    <v>00850409019326183</v>
    <v>0</v>
  </rv>
  <rv s="0">
    <v>12</v>
    <v>03973411938858406</v>
    <v>0</v>
  </rv>
  <rv s="0">
    <v>12</v>
    <v>027764145388460525</v>
    <v>0</v>
  </rv>
  <rv s="0">
    <v>12</v>
    <v>06918104450094856</v>
    <v>0</v>
  </rv>
  <rv s="0">
    <v>12</v>
    <v>0019246472086272418</v>
    <v>0</v>
  </rv>
  <rv s="0">
    <v>12</v>
    <v>0550631100505035</v>
    <v>0</v>
  </rv>
  <rv s="0">
    <v>12</v>
    <v>019030667172568166</v>
    <v>0</v>
  </rv>
  <rv s="0">
    <v>12</v>
    <v>055428297905825374</v>
    <v>0</v>
  </rv>
  <rv s="0">
    <v>12</v>
    <v>03898809430137282</v>
    <v>0</v>
  </rv>
  <rv s="0">
    <v>12</v>
    <v>039470878345204026</v>
    <v>0</v>
  </rv>
  <rv s="0">
    <v>12</v>
    <v>008768191934549337</v>
    <v>0</v>
  </rv>
  <rv s="0">
    <v>12</v>
    <v>0007321501323878133</v>
    <v>0</v>
  </rv>
  <rv s="0">
    <v>12</v>
    <v>039945759593810935</v>
    <v>0</v>
  </rv>
  <rv s="0">
    <v>12</v>
    <v>00845747077661516</v>
    <v>0</v>
  </rv>
  <rv s="0">
    <v>12</v>
    <v>04843161061739834</v>
    <v>0</v>
  </rv>
  <rv s="0">
    <v>12</v>
    <v>04985252086999953</v>
    <v>0</v>
  </rv>
  <rv s="0">
    <v>12</v>
    <v>03484972467561384</v>
    <v>0</v>
  </rv>
  <rv s="0">
    <v>12</v>
    <v>007329763876017466</v>
    <v>0</v>
  </rv>
  <rv s="0">
    <v>12</v>
    <v>01616762339464814</v>
    <v>0</v>
  </rv>
  <rv s="0">
    <v>12</v>
    <v>004164384182563836</v>
    <v>0</v>
  </rv>
  <rv s="0">
    <v>12</v>
    <v>0030177637721793874</v>
    <v>0</v>
  </rv>
  <rv s="0">
    <v>12</v>
    <v>047280822506293556</v>
    <v>0</v>
  </rv>
  <rv s="0">
    <v>12</v>
    <v>000455391506719221</v>
    <v>0</v>
  </rv>
  <rv s="0">
    <v>12</v>
    <v>046580498360937</v>
    <v>0</v>
  </rv>
  <rv s="0">
    <v>12</v>
    <v>05447541717629455</v>
    <v>0</v>
  </rv>
  <rv s="0">
    <v>12</v>
    <v>021630772531696426</v>
    <v>0</v>
  </rv>
  <rv s="0">
    <v>12</v>
    <v>07608846493141455</v>
    <v>0</v>
  </rv>
  <rv s="0">
    <v>12</v>
    <v>05423030363792507</v>
    <v>0</v>
  </rv>
  <rv s="0">
    <v>12</v>
    <v>018712996911798053</v>
    <v>0</v>
  </rv>
  <rv s="0">
    <v>12</v>
    <v>04440216128983696</v>
    <v>0</v>
  </rv>
  <rv s="0">
    <v>12</v>
    <v>0022682818177533126</v>
    <v>0</v>
  </rv>
  <rv s="0">
    <v>12</v>
    <v>06415500863411396</v>
    <v>0</v>
  </rv>
  <rv s="0">
    <v>12</v>
    <v>025249015917283086</v>
    <v>0</v>
  </rv>
  <rv s="0">
    <v>12</v>
    <v>08361853671010697</v>
    <v>0</v>
  </rv>
  <rv s="0">
    <v>12</v>
    <v>029626692266986308</v>
    <v>0</v>
  </rv>
  <rv s="0">
    <v>12</v>
    <v>06649974930150461</v>
    <v>0</v>
  </rv>
  <rv s="0">
    <v>12</v>
    <v>07554507325222319</v>
    <v>0</v>
  </rv>
  <rv s="0">
    <v>12</v>
    <v>08634212137092198</v>
    <v>0</v>
  </rv>
  <rv s="0">
    <v>12</v>
    <v>05471528890594339</v>
    <v>0</v>
  </rv>
  <rv s="0">
    <v>12</v>
    <v>0015112197120263405</v>
    <v>0</v>
  </rv>
  <rv s="0">
    <v>12</v>
    <v>012764618133777812</v>
    <v>0</v>
  </rv>
  <rv s="0">
    <v>12</v>
    <v>0700564558118237</v>
    <v>0</v>
  </rv>
  <rv s="0">
    <v>12</v>
    <v>04442552171800291</v>
    <v>0</v>
  </rv>
  <rv s="0">
    <v>12</v>
    <v>0006600086785664468</v>
    <v>0</v>
  </rv>
  <rv s="0">
    <v>12</v>
    <v>016876741300390703</v>
    <v>0</v>
  </rv>
  <rv s="0">
    <v>12</v>
    <v>02164597443009411</v>
    <v>0</v>
  </rv>
  <rv s="0">
    <v>12</v>
    <v>03279402612376172</v>
    <v>0</v>
  </rv>
  <rv s="0">
    <v>12</v>
    <v>007882119574432474</v>
    <v>0</v>
  </rv>
  <rv s="0">
    <v>12</v>
    <v>02564280142461916</v>
    <v>0</v>
  </rv>
  <rv s="0">
    <v>12</v>
    <v>951805782522935e</v>
    <v>0</v>
  </rv>
  <rv s="0">
    <v>12</v>
    <v>029698543954360435</v>
    <v>0</v>
  </rv>
  <rv s="0">
    <v>12</v>
    <v>004010474557825692</v>
    <v>0</v>
  </rv>
  <rv s="0">
    <v>12</v>
    <v>0992760278810935</v>
    <v>0</v>
  </rv>
  <rv s="0">
    <v>12</v>
    <v>008500024531493382</v>
    <v>0</v>
  </rv>
  <rv s="0">
    <v>12</v>
    <v>01085474571163671</v>
    <v>0</v>
  </rv>
  <rv s="0">
    <v>12</v>
    <v>008530264846983321</v>
    <v>0</v>
  </rv>
  <rv s="0">
    <v>12</v>
    <v>05447889516631283</v>
    <v>0</v>
  </rv>
  <rv s="0">
    <v>12</v>
    <v>0049820765115308864</v>
    <v>0</v>
  </rv>
  <rv s="0">
    <v>12</v>
    <v>004458855475909452</v>
    <v>0</v>
  </rv>
  <rv s="0">
    <v>12</v>
    <v>045067752919681285</v>
    <v>0</v>
  </rv>
  <rv s="0">
    <v>12</v>
    <v>06343108993193532</v>
    <v>0</v>
  </rv>
  <rv s="0">
    <v>12</v>
    <v>05184718303023674</v>
    <v>0</v>
  </rv>
  <rv s="0">
    <v>12</v>
    <v>11029965983483386</v>
    <v>0</v>
  </rv>
  <rv s="0">
    <v>12</v>
    <v>011033184922803248</v>
    <v>0</v>
  </rv>
  <rv s="0">
    <v>12</v>
    <v>0012690272912416495</v>
    <v>0</v>
  </rv>
  <rv s="0">
    <v>12</v>
    <v>005815765022203952</v>
    <v>0</v>
  </rv>
  <rv s="0">
    <v>12</v>
    <v>007583437859629645</v>
    <v>0</v>
  </rv>
  <rv s="0">
    <v>12</v>
    <v>004057238969427655</v>
    <v>0</v>
  </rv>
  <rv s="0">
    <v>12</v>
    <v>020615658146192286</v>
    <v>0</v>
  </rv>
  <rv s="0">
    <v>12</v>
    <v>842</v>
    <v>0</v>
  </rv>
  <rv s="0">
    <v>12</v>
    <v>019941457255285663</v>
    <v>0</v>
  </rv>
  <rv s="0">
    <v>12</v>
    <v>023324716793381665</v>
    <v>0</v>
  </rv>
  <rv s="0">
    <v>12</v>
    <v>07033685130571182</v>
    <v>0</v>
  </rv>
  <rv s="0">
    <v>12</v>
    <v>564</v>
    <v>0</v>
  </rv>
  <rv s="0">
    <v>12</v>
    <v>860209810460398e</v>
    <v>0</v>
  </rv>
  <rv s="0">
    <v>12</v>
    <v>016224075988609497</v>
    <v>0</v>
  </rv>
  <rv s="0">
    <v>12</v>
    <v>0052889987838234615</v>
    <v>0</v>
  </rv>
  <rv s="0">
    <v>12</v>
    <v>056608098365143536</v>
    <v>0</v>
  </rv>
  <rv s="0">
    <v>12</v>
    <v>0013678960979285055</v>
    <v>0</v>
  </rv>
  <rv s="0">
    <v>12</v>
    <v>00722151052003941</v>
    <v>0</v>
  </rv>
  <rv s="0">
    <v>12</v>
    <v>02121362615827644</v>
    <v>0</v>
  </rv>
  <rv s="0">
    <v>12</v>
    <v>021100769583602148</v>
    <v>0</v>
  </rv>
  <rv s="0">
    <v>12</v>
    <v>8718579429982678</v>
    <v>0</v>
  </rv>
  <rv s="0">
    <v>12</v>
    <v>006914964568164339</v>
    <v>0</v>
  </rv>
  <rv s="0">
    <v>12</v>
    <v>00953705619680699</v>
    <v>0</v>
  </rv>
  <rv s="0">
    <v>12</v>
    <v>012069379594769076</v>
    <v>0</v>
  </rv>
  <rv s="0">
    <v>12</v>
    <v>015399437024080304</v>
    <v>0</v>
  </rv>
  <rv s="0">
    <v>12</v>
    <v>004871703350819718</v>
    <v>0</v>
  </rv>
  <rv s="0">
    <v>12</v>
    <v>006714998734535437</v>
    <v>0</v>
  </rv>
  <rv s="0">
    <v>12</v>
    <v>02073298596908017</v>
    <v>0</v>
  </rv>
  <rv s="0">
    <v>12</v>
    <v>012565029875920857</v>
    <v>0</v>
  </rv>
  <rv s="0">
    <v>12</v>
    <v>004484602890799047</v>
    <v>0</v>
  </rv>
  <rv s="0">
    <v>12</v>
    <v>10431412931576466</v>
    <v>0</v>
  </rv>
  <rv s="0">
    <v>12</v>
    <v>10602444424555445</v>
    <v>0</v>
  </rv>
  <rv s="0">
    <v>12</v>
    <v>00019194343961023054</v>
    <v>0</v>
  </rv>
  <rv s="0">
    <v>12</v>
    <v>20720039078375413</v>
    <v>0</v>
  </rv>
  <rv s="0">
    <v>12</v>
    <v>08228056539581662</v>
    <v>0</v>
  </rv>
  <rv s="0">
    <v>12</v>
    <v>05302637943321862</v>
    <v>0</v>
  </rv>
  <rv s="0">
    <v>12</v>
    <v>01140987316348642</v>
    <v>0</v>
  </rv>
  <rv s="0">
    <v>12</v>
    <v>009844699742045436</v>
    <v>0</v>
  </rv>
  <rv s="0">
    <v>12</v>
    <v>009128382355116359</v>
    <v>0</v>
  </rv>
  <rv s="0">
    <v>12</v>
    <v>16000567353337325</v>
    <v>0</v>
  </rv>
  <rv s="0">
    <v>12</v>
    <v>012427172295287817</v>
    <v>0</v>
  </rv>
  <rv s="0">
    <v>12</v>
    <v>051808979218591476</v>
    <v>0</v>
  </rv>
  <rv s="0">
    <v>12</v>
    <v>045423183410534196</v>
    <v>0</v>
  </rv>
  <rv s="0">
    <v>12</v>
    <v>02617235928513291</v>
    <v>0</v>
  </rv>
  <rv s="0">
    <v>12</v>
    <v>012061633922681688</v>
    <v>0</v>
  </rv>
  <rv s="0">
    <v>12</v>
    <v>014634535480299048</v>
    <v>0</v>
  </rv>
  <rv s="0">
    <v>12</v>
    <v>026865993633583742</v>
    <v>0</v>
  </rv>
  <rv s="0">
    <v>12</v>
    <v>09745305995984017</v>
    <v>0</v>
  </rv>
  <rv s="0">
    <v>12</v>
    <v>0518746393441094</v>
    <v>0</v>
  </rv>
  <rv s="0">
    <v>12</v>
    <v>024618697252303732</v>
    <v>0</v>
  </rv>
  <rv s="0">
    <v>12</v>
    <v>013715082806415863</v>
    <v>0</v>
  </rv>
  <rv s="0">
    <v>12</v>
    <v>05441434790794907</v>
    <v>0</v>
  </rv>
  <rv s="0">
    <v>12</v>
    <v>03375013814603451</v>
    <v>0</v>
  </rv>
  <rv s="0">
    <v>12</v>
    <v>05293833879621264</v>
    <v>0</v>
  </rv>
  <rv s="0">
    <v>12</v>
    <v>075</v>
    <v>0</v>
  </rv>
  <rv s="0">
    <v>12</v>
    <v>045527516673459036</v>
    <v>0</v>
  </rv>
  <rv s="0">
    <v>12</v>
    <v>013179853393464367</v>
    <v>0</v>
  </rv>
  <rv s="0">
    <v>12</v>
    <v>010465525891625178</v>
    <v>0</v>
  </rv>
  <rv s="0">
    <v>12</v>
    <v>002311994474516381</v>
    <v>0</v>
  </rv>
  <rv s="0">
    <v>12</v>
    <v>019315195662255227</v>
    <v>0</v>
  </rv>
  <rv s="0">
    <v>12</v>
    <v>00015254985096327644</v>
    <v>0</v>
  </rv>
  <rv s="0">
    <v>12</v>
    <v>008587385887863442</v>
    <v>0</v>
  </rv>
  <rv s="0">
    <v>12</v>
    <v>008294790624375908</v>
    <v>0</v>
  </rv>
  <rv s="0">
    <v>12</v>
    <v>02917725311898041</v>
    <v>0</v>
  </rv>
  <rv s="0">
    <v>12</v>
    <v>03181815110487005</v>
    <v>0</v>
  </rv>
  <rv s="0">
    <v>12</v>
    <v>14948264029340758</v>
    <v>0</v>
  </rv>
  <rv s="0">
    <v>12</v>
    <v>056986610852156123</v>
    <v>0</v>
  </rv>
  <rv s="0">
    <v>12</v>
    <v>07467264408443049</v>
    <v>0</v>
  </rv>
  <rv s="0">
    <v>12</v>
    <v>005874821798651858</v>
    <v>0</v>
  </rv>
  <rv s="0">
    <v>12</v>
    <v>03660774473871421</v>
    <v>0</v>
  </rv>
  <rv s="0">
    <v>12</v>
    <v>03446386557625292</v>
    <v>0</v>
  </rv>
  <rv s="0">
    <v>12</v>
    <v>004938438796070076</v>
    <v>0</v>
  </rv>
  <rv s="0">
    <v>12</v>
    <v>118</v>
    <v>0</v>
  </rv>
  <rv s="0">
    <v>12</v>
    <v>08696773168781775</v>
    <v>0</v>
  </rv>
  <rv s="0">
    <v>12</v>
    <v>009063456529751969</v>
    <v>0</v>
  </rv>
  <rv s="0">
    <v>12</v>
    <v>016130789500960863</v>
    <v>0</v>
  </rv>
  <rv s="0">
    <v>12</v>
    <v>04462571846333155</v>
    <v>0</v>
  </rv>
  <rv s="0">
    <v>12</v>
    <v>04529614839340715</v>
    <v>0</v>
  </rv>
  <rv s="0">
    <v>12</v>
    <v>005883291651878082</v>
    <v>0</v>
  </rv>
  <rv s="0">
    <v>12</v>
    <v>0006363268732486341</v>
    <v>0</v>
  </rv>
  <rv s="0">
    <v>12</v>
    <v>02446477638859681</v>
    <v>0</v>
  </rv>
  <rv s="0">
    <v>12</v>
    <v>06480415705096483</v>
    <v>0</v>
  </rv>
  <rv s="0">
    <v>12</v>
    <v>03989515851563874</v>
    <v>0</v>
  </rv>
  <rv s="0">
    <v>12</v>
    <v>02272186976784389</v>
    <v>0</v>
  </rv>
  <rv s="0">
    <v>12</v>
    <v>062225098728214155</v>
    <v>0</v>
  </rv>
  <rv s="0">
    <v>12</v>
    <v>0036747298933573055</v>
    <v>0</v>
  </rv>
  <rv s="0">
    <v>12</v>
    <v>08944800195998223</v>
    <v>0</v>
  </rv>
  <rv s="0">
    <v>12</v>
    <v>026444663282538507</v>
    <v>0</v>
  </rv>
  <rv s="0">
    <v>12</v>
    <v>030153821574278476</v>
    <v>0</v>
  </rv>
  <rv s="0">
    <v>12</v>
    <v>08769671344948768</v>
    <v>0</v>
  </rv>
  <rv s="0">
    <v>12</v>
    <v>003084526744854334</v>
    <v>0</v>
  </rv>
  <rv s="0">
    <v>12</v>
    <v>0006582875537884083</v>
    <v>0</v>
  </rv>
  <rv s="0">
    <v>12</v>
    <v>02290416142112635</v>
    <v>0</v>
  </rv>
  <rv s="0">
    <v>12</v>
    <v>10858261270840891</v>
    <v>0</v>
  </rv>
  <rv s="0">
    <v>12</v>
    <v>0017808472972872884</v>
    <v>0</v>
  </rv>
  <rv s="0">
    <v>12</v>
    <v>16965109071045784</v>
    <v>0</v>
  </rv>
  <rv s="0">
    <v>12</v>
    <v>3766825516946019</v>
    <v>0</v>
  </rv>
  <rv s="0">
    <v>12</v>
    <v>054487789076878346</v>
    <v>0</v>
  </rv>
  <rv s="0">
    <v>12</v>
    <v>1562090686216263</v>
    <v>0</v>
  </rv>
  <rv s="0">
    <v>12</v>
    <v>16518875892588283</v>
    <v>0</v>
  </rv>
  <rv s="0">
    <v>12</v>
    <v>14989447847243756</v>
    <v>0</v>
  </rv>
  <rv s="0">
    <v>12</v>
    <v>28437976498977974</v>
    <v>0</v>
  </rv>
  <rv s="0">
    <v>12</v>
    <v>29262597117258604</v>
    <v>0</v>
  </rv>
  <rv s="0">
    <v>12</v>
    <v>02016197827785335</v>
    <v>0</v>
  </rv>
  <rv s="0">
    <v>12</v>
    <v>020091127342737332</v>
    <v>0</v>
  </rv>
  <rv s="0">
    <v>12</v>
    <v>0010720326504853979</v>
    <v>0</v>
  </rv>
  <rv s="0">
    <v>12</v>
    <v>031721191104841125</v>
    <v>0</v>
  </rv>
  <rv s="0">
    <v>12</v>
    <v>023639476520072113</v>
    <v>0</v>
  </rv>
  <rv s="0">
    <v>12</v>
    <v>012297936581307574</v>
    <v>0</v>
  </rv>
  <rv s="0">
    <v>12</v>
    <v>011876606909479014</v>
    <v>0</v>
  </rv>
  <rv s="0">
    <v>12</v>
    <v>03964597047721457</v>
    <v>0</v>
  </rv>
  <rv s="0">
    <v>12</v>
    <v>0019254204044899645</v>
    <v>0</v>
  </rv>
  <rv s="0">
    <v>12</v>
    <v>027522973750385437</v>
    <v>0</v>
  </rv>
  <rv s="0">
    <v>12</v>
    <v>05902952859521836</v>
    <v>0</v>
  </rv>
  <rv s="0">
    <v>12</v>
    <v>012018314977883846</v>
    <v>0</v>
  </rv>
  <rv s="0">
    <v>12</v>
    <v>01478305330265345</v>
    <v>0</v>
  </rv>
  <rv s="0">
    <v>12</v>
    <v>004919499175960581</v>
    <v>0</v>
  </rv>
  <rv s="0">
    <v>12</v>
    <v>005135273939851507</v>
    <v>0</v>
  </rv>
  <rv s="0">
    <v>12</v>
    <v>0033893733340243978</v>
    <v>0</v>
  </rv>
  <rv s="0">
    <v>12</v>
    <v>019593436212499295</v>
    <v>0</v>
  </rv>
  <rv s="0">
    <v>12</v>
    <v>012362808198498403</v>
    <v>0</v>
  </rv>
  <rv s="0">
    <v>12</v>
    <v>018580479370971317</v>
    <v>0</v>
  </rv>
  <rv s="0">
    <v>12</v>
    <v>11522221638766768</v>
    <v>0</v>
  </rv>
  <rv s="0">
    <v>12</v>
    <v>009623756229739377</v>
    <v>0</v>
  </rv>
  <rv s="0">
    <v>12</v>
    <v>011902564939028299</v>
    <v>0</v>
  </rv>
  <rv s="0">
    <v>12</v>
    <v>04841638402365979</v>
    <v>0</v>
  </rv>
  <rv s="0">
    <v>12</v>
    <v>007302374417245186</v>
    <v>0</v>
  </rv>
  <rv s="0">
    <v>12</v>
    <v>02344052548955099</v>
    <v>0</v>
  </rv>
  <rv s="0">
    <v>12</v>
    <v>008711671439776499</v>
    <v>0</v>
  </rv>
  <rv s="0">
    <v>12</v>
    <v>00909514051815293</v>
    <v>0</v>
  </rv>
  <rv s="0">
    <v>12</v>
    <v>09197084461702766</v>
    <v>0</v>
  </rv>
  <rv s="0">
    <v>12</v>
    <v>03150292871665544</v>
    <v>0</v>
  </rv>
  <rv s="0">
    <v>12</v>
    <v>04266597924502377</v>
    <v>0</v>
  </rv>
  <rv s="0">
    <v>12</v>
    <v>014006976430225122</v>
    <v>0</v>
  </rv>
  <rv s="0">
    <v>12</v>
    <v>0007976214317250269</v>
    <v>0</v>
  </rv>
  <rv s="0">
    <v>12</v>
    <v>09248222700016334</v>
    <v>0</v>
  </rv>
  <rv s="0">
    <v>12</v>
    <v>730780260987883e</v>
    <v>0</v>
  </rv>
  <rv s="0">
    <v>12</v>
    <v>004926993292558857</v>
    <v>0</v>
  </rv>
  <rv s="0">
    <v>12</v>
    <v>030059727390785013</v>
    <v>0</v>
  </rv>
  <rv s="0">
    <v>12</v>
    <v>037374275266842796</v>
    <v>0</v>
  </rv>
  <rv s="0">
    <v>12</v>
    <v>0025526241558880896</v>
    <v>0</v>
  </rv>
  <rv s="0">
    <v>12</v>
    <v>009836216506784167</v>
    <v>0</v>
  </rv>
  <rv s="0">
    <v>12</v>
    <v>007888562473545122</v>
    <v>0</v>
  </rv>
  <rv s="0">
    <v>12</v>
    <v>008228576781180828</v>
    <v>0</v>
  </rv>
  <rv s="0">
    <v>12</v>
    <v>0007522187027767188</v>
    <v>0</v>
  </rv>
  <rv s="0">
    <v>12</v>
    <v>02063121969999994</v>
    <v>0</v>
  </rv>
  <rv s="0">
    <v>12</v>
    <v>00488052184103318</v>
    <v>0</v>
  </rv>
  <rv s="0">
    <v>12</v>
    <v>018070780322944426</v>
    <v>0</v>
  </rv>
  <rv s="0">
    <v>12</v>
    <v>03438720347603291</v>
    <v>0</v>
  </rv>
  <rv s="0">
    <v>12</v>
    <v>002349915910929803</v>
    <v>0</v>
  </rv>
  <rv s="0">
    <v>12</v>
    <v>02866655435974311</v>
    <v>0</v>
  </rv>
  <rv s="0">
    <v>12</v>
    <v>020167469461092692</v>
    <v>0</v>
  </rv>
  <rv s="0">
    <v>12</v>
    <v>03879968631540094</v>
    <v>0</v>
  </rv>
  <rv s="0">
    <v>12</v>
    <v>2057247179369769</v>
    <v>0</v>
  </rv>
  <rv s="0">
    <v>12</v>
    <v>07685638357830639</v>
    <v>0</v>
  </rv>
  <rv s="0">
    <v>12</v>
    <v>231</v>
    <v>0</v>
  </rv>
  <rv s="0">
    <v>12</v>
    <v>19274832554802854</v>
    <v>0</v>
  </rv>
  <rv s="0">
    <v>12</v>
    <v>077</v>
    <v>0</v>
  </rv>
  <rv s="0">
    <v>12</v>
    <v>07532763964043906</v>
    <v>0</v>
  </rv>
  <rv s="0">
    <v>12</v>
    <v>119</v>
    <v>0</v>
  </rv>
  <rv s="0">
    <v>12</v>
    <v>05097297598214552</v>
    <v>0</v>
  </rv>
  <rv s="0">
    <v>12</v>
    <v>008498154088031767</v>
    <v>0</v>
  </rv>
  <rv s="0">
    <v>12</v>
    <v>06368415731278058</v>
    <v>0</v>
  </rv>
  <rv s="0">
    <v>12</v>
    <v>0014517356201921713</v>
    <v>0</v>
  </rv>
  <rv s="0">
    <v>12</v>
    <v>005945690372409966</v>
    <v>0</v>
  </rv>
  <rv s="0">
    <v>12</v>
    <v>02657708789975279</v>
    <v>0</v>
  </rv>
  <rv s="0">
    <v>12</v>
    <v>0018514831532470831</v>
    <v>0</v>
  </rv>
  <rv s="0">
    <v>12</v>
    <v>0061800229299368474</v>
    <v>0</v>
  </rv>
  <rv s="0">
    <v>12</v>
    <v>0008851919749490447</v>
    <v>0</v>
  </rv>
  <rv s="0">
    <v>12</v>
    <v>0009483784331374677</v>
    <v>0</v>
  </rv>
  <rv s="0">
    <v>12</v>
    <v>002089037483458397</v>
    <v>0</v>
  </rv>
  <rv s="0">
    <v>12</v>
    <v>006395701291958043</v>
    <v>0</v>
  </rv>
  <rv s="0">
    <v>12</v>
    <v>03878313280654382</v>
    <v>0</v>
  </rv>
  <rv s="0">
    <v>12</v>
    <v>0670919367304902e</v>
    <v>0</v>
  </rv>
  <rv s="0">
    <v>12</v>
    <v>08771702118791451</v>
    <v>0</v>
  </rv>
  <rv s="0">
    <v>12</v>
    <v>012686654327639178</v>
    <v>0</v>
  </rv>
  <rv s="0">
    <v>12</v>
    <v>0016959095668804835</v>
    <v>0</v>
  </rv>
  <rv s="0">
    <v>12</v>
    <v>0406653218901887</v>
    <v>0</v>
  </rv>
  <rv s="0">
    <v>12</v>
    <v>050970379029577434</v>
    <v>0</v>
  </rv>
  <rv s="0">
    <v>12</v>
    <v>006003569757757401</v>
    <v>0</v>
  </rv>
  <rv s="0">
    <v>12</v>
    <v>07822327655167023</v>
    <v>0</v>
  </rv>
  <rv s="0">
    <v>12</v>
    <v>07696018087177238</v>
    <v>0</v>
  </rv>
  <rv s="0">
    <v>12</v>
    <v>0641228546303219</v>
    <v>0</v>
  </rv>
  <rv s="0">
    <v>12</v>
    <v>0671795719780993</v>
    <v>0</v>
  </rv>
  <rv s="0">
    <v>12</v>
    <v>07853656306423508</v>
    <v>0</v>
  </rv>
  <rv s="0">
    <v>12</v>
    <v>018064723827087504</v>
    <v>0</v>
  </rv>
  <rv s="0">
    <v>12</v>
    <v>446</v>
    <v>0</v>
  </rv>
  <rv s="0">
    <v>12</v>
    <v>026460063447690703</v>
    <v>0</v>
  </rv>
  <rv s="0">
    <v>12</v>
    <v>02248963243680418</v>
    <v>0</v>
  </rv>
  <rv s="0">
    <v>12</v>
    <v>1113011138353908</v>
    <v>0</v>
  </rv>
  <rv s="0">
    <v>12</v>
    <v>08481697439904094</v>
    <v>0</v>
  </rv>
  <rv s="0">
    <v>12</v>
    <v>11266766493899516</v>
    <v>0</v>
  </rv>
  <rv s="0">
    <v>12</v>
    <v>023745966621802218</v>
    <v>0</v>
  </rv>
  <rv s="0">
    <v>12</v>
    <v>023928526737891104</v>
    <v>0</v>
  </rv>
  <rv s="0">
    <v>12</v>
    <v>030848073378172962</v>
    <v>0</v>
  </rv>
  <rv s="0">
    <v>12</v>
    <v>015474478112853502</v>
    <v>0</v>
  </rv>
  <rv s="0">
    <v>12</v>
    <v>032214509214332165</v>
    <v>0</v>
  </rv>
  <rv s="0">
    <v>12</v>
    <v>036887566212536124</v>
    <v>0</v>
  </rv>
  <rv s="0">
    <v>12</v>
    <v>04199589121373387</v>
    <v>0</v>
  </rv>
  <rv s="0">
    <v>12</v>
    <v>04025676187085562</v>
    <v>0</v>
  </rv>
  <rv s="0">
    <v>12</v>
    <v>022459620628083803</v>
    <v>0</v>
  </rv>
  <rv s="0">
    <v>12</v>
    <v>0066079561757105085</v>
    <v>0</v>
  </rv>
  <rv s="0">
    <v>12</v>
    <v>0037315216350310224</v>
    <v>0</v>
  </rv>
  <rv s="0">
    <v>12</v>
    <v>011297100756361391</v>
    <v>0</v>
  </rv>
  <rv s="0">
    <v>12</v>
    <v>022665875170389142</v>
    <v>0</v>
  </rv>
  <rv s="0">
    <v>12</v>
    <v>031685838612400596</v>
    <v>0</v>
  </rv>
  <rv s="0">
    <v>12</v>
    <v>0004975279402498196</v>
    <v>0</v>
  </rv>
  <rv s="0">
    <v>12</v>
    <v>001780627108906208</v>
    <v>0</v>
  </rv>
  <rv s="0">
    <v>12</v>
    <v>0042115419586544476</v>
    <v>0</v>
  </rv>
  <rv s="0">
    <v>12</v>
    <v>001368010704850415</v>
    <v>0</v>
  </rv>
  <rv s="0">
    <v>12</v>
    <v>010647460124435177</v>
    <v>0</v>
  </rv>
  <rv s="0">
    <v>12</v>
    <v>0040045504582863056</v>
    <v>0</v>
  </rv>
  <rv s="0">
    <v>12</v>
    <v>006002411231019192</v>
    <v>0</v>
  </rv>
  <rv s="0">
    <v>12</v>
    <v>022583045044298426</v>
    <v>0</v>
  </rv>
  <rv s="0">
    <v>12</v>
    <v>022577930167497554</v>
    <v>0</v>
  </rv>
  <rv s="0">
    <v>12</v>
    <v>04413589632313014</v>
    <v>0</v>
  </rv>
  <rv s="0">
    <v>12</v>
    <v>05530496389886411</v>
    <v>0</v>
  </rv>
  <rv s="0">
    <v>12</v>
    <v>0413783702894213</v>
    <v>0</v>
  </rv>
  <rv s="0">
    <v>12</v>
    <v>9751279349299439</v>
    <v>0</v>
  </rv>
  <rv s="0">
    <v>12</v>
    <v>016573536733002266</v>
    <v>0</v>
  </rv>
  <rv s="0">
    <v>12</v>
    <v>010191060121838336</v>
    <v>0</v>
  </rv>
  <rv s="0">
    <v>12</v>
    <v>0006228866326398147</v>
    <v>0</v>
  </rv>
  <rv s="0">
    <v>12</v>
    <v>007083824745152542</v>
    <v>0</v>
  </rv>
  <rv s="0">
    <v>12</v>
    <v>02531996105254845</v>
    <v>0</v>
  </rv>
  <rv s="0">
    <v>12</v>
    <v>025311046385182095</v>
    <v>0</v>
  </rv>
  <rv s="0">
    <v>12</v>
    <v>2276412785948644</v>
    <v>0</v>
  </rv>
  <rv s="0">
    <v>12</v>
    <v>2281156225474605</v>
    <v>0</v>
  </rv>
  <rv s="0">
    <v>12</v>
    <v>05957013913603778</v>
    <v>0</v>
  </rv>
  <rv s="0">
    <v>12</v>
    <v>059972259557220874</v>
    <v>0</v>
  </rv>
  <rv s="0">
    <v>12</v>
    <v>012425325983108292</v>
    <v>0</v>
  </rv>
  <rv s="0">
    <v>12</v>
    <v>07457671525432415</v>
    <v>0</v>
  </rv>
  <rv s="0">
    <v>12</v>
    <v>0611471192443649</v>
    <v>0</v>
  </rv>
  <rv s="0">
    <v>12</v>
    <v>009845180363891017</v>
    <v>0</v>
  </rv>
  <rv s="0">
    <v>12</v>
    <v>019938389349300065</v>
    <v>0</v>
  </rv>
  <rv s="0">
    <v>12</v>
    <v>031125035335784795</v>
    <v>0</v>
  </rv>
  <rv s="0">
    <v>12</v>
    <v>003383119173021849</v>
    <v>0</v>
  </rv>
  <rv s="0">
    <v>12</v>
    <v>003838760128591532</v>
    <v>0</v>
  </rv>
  <rv s="0">
    <v>12</v>
    <v>022527295457154515</v>
    <v>0</v>
  </rv>
  <rv s="0">
    <v>12</v>
    <v>025359998442953488</v>
    <v>0</v>
  </rv>
  <rv s="0">
    <v>12</v>
    <v>08224629261385531</v>
    <v>0</v>
  </rv>
  <rv s="0">
    <v>12</v>
    <v>08347150230657961</v>
    <v>0</v>
  </rv>
  <rv s="0">
    <v>12</v>
    <v>03871026024823466</v>
    <v>0</v>
  </rv>
  <rv s="0">
    <v>12</v>
    <v>017849456547618357</v>
    <v>0</v>
  </rv>
  <rv s="0">
    <v>12</v>
    <v>016566718901468616</v>
    <v>0</v>
  </rv>
  <rv s="0">
    <v>12</v>
    <v>019708185445545267</v>
    <v>0</v>
  </rv>
  <rv s="0">
    <v>12</v>
    <v>005696516285212715</v>
    <v>0</v>
  </rv>
  <rv s="0">
    <v>12</v>
    <v>018296381070047687</v>
    <v>0</v>
  </rv>
  <rv s="0">
    <v>12</v>
    <v>0017537506439324437</v>
    <v>0</v>
  </rv>
  <rv s="0">
    <v>12</v>
    <v>06466347065032728</v>
    <v>0</v>
  </rv>
  <rv s="0">
    <v>12</v>
    <v>015010221853525003</v>
    <v>0</v>
  </rv>
  <rv s="0">
    <v>12</v>
    <v>017796581672278107</v>
    <v>0</v>
  </rv>
  <rv s="0">
    <v>12</v>
    <v>019963739238576073</v>
    <v>0</v>
  </rv>
  <rv s="0">
    <v>12</v>
    <v>016521271717245118</v>
    <v>0</v>
  </rv>
  <rv s="0">
    <v>12</v>
    <v>00650660727518</v>
    <v>0</v>
  </rv>
  <rv s="0">
    <v>12</v>
    <v>011998072077665277</v>
    <v>0</v>
  </rv>
  <rv s="0">
    <v>12</v>
    <v>0008191333764796816</v>
    <v>0</v>
  </rv>
  <rv s="0">
    <v>12</v>
    <v>106</v>
    <v>0</v>
  </rv>
  <rv s="0">
    <v>12</v>
    <v>018416156688148454</v>
    <v>0</v>
  </rv>
  <rv s="0">
    <v>12</v>
    <v>013243421234008113</v>
    <v>0</v>
  </rv>
  <rv s="0">
    <v>12</v>
    <v>091</v>
    <v>0</v>
  </rv>
  <rv s="0">
    <v>12</v>
    <v>455</v>
    <v>0</v>
  </rv>
  <rv s="0">
    <v>12</v>
    <v>0005174472888372013</v>
    <v>0</v>
  </rv>
  <rv s="0">
    <v>12</v>
    <v>07785314319007938</v>
    <v>0</v>
  </rv>
  <rv s="0">
    <v>12</v>
    <v>06825572143470986</v>
    <v>0</v>
  </rv>
  <rv s="0">
    <v>12</v>
    <v>012592717749554734</v>
    <v>0</v>
  </rv>
  <rv s="0">
    <v>12</v>
    <v>025159151084924728</v>
    <v>0</v>
  </rv>
  <rv s="0">
    <v>12</v>
    <v>0019369564551083801</v>
    <v>0</v>
  </rv>
  <rv s="0">
    <v>12</v>
    <v>012120683023557836</v>
    <v>0</v>
  </rv>
  <rv s="0">
    <v>12</v>
    <v>0046691544425169085</v>
    <v>0</v>
  </rv>
  <rv s="0">
    <v>12</v>
    <v>03414253718827491</v>
    <v>0</v>
  </rv>
  <rv s="0">
    <v>12</v>
    <v>0014656226450697753</v>
    <v>0</v>
  </rv>
  <rv s="0">
    <v>12</v>
    <v>029200207551763484</v>
    <v>0</v>
  </rv>
  <rv s="0">
    <v>12</v>
    <v>13718977318382156</v>
    <v>0</v>
  </rv>
  <rv s="0">
    <v>12</v>
    <v>05526499308357449</v>
    <v>0</v>
  </rv>
  <rv s="0">
    <v>12</v>
    <v>004024982262079842</v>
    <v>0</v>
  </rv>
  <rv s="0">
    <v>12</v>
    <v>0014747721337846295</v>
    <v>0</v>
  </rv>
  <rv s="0">
    <v>12</v>
    <v>01995509566172791</v>
    <v>0</v>
  </rv>
  <rv s="0">
    <v>12</v>
    <v>05174311105807907</v>
    <v>0</v>
  </rv>
  <rv s="0">
    <v>12</v>
    <v>05396755339833576</v>
    <v>0</v>
  </rv>
  <rv s="0">
    <v>12</v>
    <v>015846892966767154</v>
    <v>0</v>
  </rv>
  <rv s="0">
    <v>12</v>
    <v>03144681522927918</v>
    <v>0</v>
  </rv>
  <rv s="0">
    <v>12</v>
    <v>11695443909777553</v>
    <v>0</v>
  </rv>
  <rv s="0">
    <v>12</v>
    <v>011723596191732901</v>
    <v>0</v>
  </rv>
  <rv s="0">
    <v>12</v>
    <v>011945701196113928</v>
    <v>0</v>
  </rv>
  <rv s="0">
    <v>12</v>
    <v>03353685837777225</v>
    <v>0</v>
  </rv>
  <rv s="0">
    <v>12</v>
    <v>0701967848897984</v>
    <v>0</v>
  </rv>
  <rv s="0">
    <v>12</v>
    <v>201</v>
    <v>0</v>
  </rv>
  <rv s="0">
    <v>12</v>
    <v>01407678231206713</v>
    <v>0</v>
  </rv>
  <rv s="0">
    <v>12</v>
    <v>023235998043632328</v>
    <v>0</v>
  </rv>
  <rv s="0">
    <v>12</v>
    <v>02003292105283248</v>
    <v>0</v>
  </rv>
  <rv s="0">
    <v>12</v>
    <v>109</v>
    <v>0</v>
  </rv>
  <rv s="0">
    <v>12</v>
    <v>2289372692848237</v>
    <v>0</v>
  </rv>
  <rv s="0">
    <v>12</v>
    <v>008870849055560388</v>
    <v>0</v>
  </rv>
  <rv s="0">
    <v>12</v>
    <v>010654208280558892</v>
    <v>0</v>
  </rv>
  <rv s="0">
    <v>12</v>
    <v>009043898725014113</v>
    <v>0</v>
  </rv>
  <rv s="0">
    <v>12</v>
    <v>1382753948786289</v>
    <v>0</v>
  </rv>
  <rv s="0">
    <v>12</v>
    <v>03171147908425838</v>
    <v>0</v>
  </rv>
  <rv s="0">
    <v>12</v>
    <v>23660455380823525</v>
    <v>0</v>
  </rv>
  <rv s="0">
    <v>12</v>
    <v>02493268525330246</v>
    <v>0</v>
  </rv>
  <rv s="0">
    <v>12</v>
    <v>01632730609759098</v>
    <v>0</v>
  </rv>
  <rv s="0">
    <v>12</v>
    <v>043965934530983276</v>
    <v>0</v>
  </rv>
  <rv s="0">
    <v>12</v>
    <v>0029886508757672593</v>
    <v>0</v>
  </rv>
  <rv s="0">
    <v>12</v>
    <v>042596902665701195</v>
    <v>0</v>
  </rv>
  <rv s="0">
    <v>12</v>
    <v>007771740573360238</v>
    <v>0</v>
  </rv>
  <rv s="0">
    <v>12</v>
    <v>016864861261032392</v>
    <v>0</v>
  </rv>
  <rv s="0">
    <v>12</v>
    <v>01651658603183956</v>
    <v>0</v>
  </rv>
  <rv s="0">
    <v>12</v>
    <v>016600519961709744</v>
    <v>0</v>
  </rv>
  <rv s="0">
    <v>12</v>
    <v>0003298013453372593</v>
    <v>0</v>
  </rv>
  <rv s="0">
    <v>12</v>
    <v>06097753011449195</v>
    <v>0</v>
  </rv>
  <rv s="0">
    <v>12</v>
    <v>061651602576136166</v>
    <v>0</v>
  </rv>
  <rv s="0">
    <v>12</v>
    <v>02721224895501084</v>
    <v>0</v>
  </rv>
  <rv s="0">
    <v>12</v>
    <v>0337675199167083</v>
    <v>0</v>
  </rv>
  <rv s="0">
    <v>12</v>
    <v>0014389033330632285</v>
    <v>0</v>
  </rv>
  <rv s="0">
    <v>12</v>
    <v>0019466352641578373</v>
    <v>0</v>
  </rv>
  <rv s="0">
    <v>12</v>
    <v>0021864301533415743</v>
    <v>0</v>
  </rv>
  <rv s="0">
    <v>12</v>
    <v>005490115143548823</v>
    <v>0</v>
  </rv>
  <rv s="0">
    <v>12</v>
    <v>002203096558448264</v>
    <v>0</v>
  </rv>
  <rv s="0">
    <v>12</v>
    <v>0016426401501283933</v>
    <v>0</v>
  </rv>
  <rv s="0">
    <v>12</v>
    <v>02279274579494364</v>
    <v>0</v>
  </rv>
  <rv s="0">
    <v>12</v>
    <v>01254995530838257</v>
    <v>0</v>
  </rv>
  <rv s="0">
    <v>12</v>
    <v>08504280671306189</v>
    <v>0</v>
  </rv>
  <rv s="0">
    <v>12</v>
    <v>009559477646333435</v>
    <v>0</v>
  </rv>
  <rv s="0">
    <v>12</v>
    <v>04932465179041811</v>
    <v>0</v>
  </rv>
  <rv s="0">
    <v>12</v>
    <v>0101950676947546</v>
    <v>0</v>
  </rv>
  <rv s="0">
    <v>12</v>
    <v>006602722380887373</v>
    <v>0</v>
  </rv>
  <rv s="0">
    <v>12</v>
    <v>01046599171437453</v>
    <v>0</v>
  </rv>
  <rv s="0">
    <v>12</v>
    <v>0038711154221682123</v>
    <v>0</v>
  </rv>
  <rv s="0">
    <v>12</v>
    <v>029192929045658008</v>
    <v>0</v>
  </rv>
  <rv s="0">
    <v>12</v>
    <v>08934498381353596</v>
    <v>0</v>
  </rv>
  <rv s="0">
    <v>12</v>
    <v>025330666909956466</v>
    <v>0</v>
  </rv>
  <rv s="0">
    <v>12</v>
    <v>026391725839371067</v>
    <v>0</v>
  </rv>
  <rv s="0">
    <v>12</v>
    <v>0018086726416742937</v>
    <v>0</v>
  </rv>
  <rv s="0">
    <v>12</v>
    <v>026481225720591455</v>
    <v>0</v>
  </rv>
  <rv s="0">
    <v>12</v>
    <v>019378966404093975</v>
    <v>0</v>
  </rv>
  <rv s="0">
    <v>12</v>
    <v>026258099368359815</v>
    <v>0</v>
  </rv>
  <rv s="0">
    <v>12</v>
    <v>0073690478463623536</v>
    <v>0</v>
  </rv>
  <rv s="0">
    <v>12</v>
    <v>004771493477330398</v>
    <v>0</v>
  </rv>
  <rv s="0">
    <v>12</v>
    <v>06554834505561188</v>
    <v>0</v>
  </rv>
  <rv s="0">
    <v>12</v>
    <v>07648488073275038</v>
    <v>0</v>
  </rv>
  <rv s="0">
    <v>12</v>
    <v>020035538213350308</v>
    <v>0</v>
  </rv>
  <rv s="0">
    <v>12</v>
    <v>02377134070670074</v>
    <v>0</v>
  </rv>
  <rv s="0">
    <v>12</v>
    <v>004327066751824263</v>
    <v>0</v>
  </rv>
  <rv s="0">
    <v>12</v>
    <v>0492205222670958</v>
    <v>0</v>
  </rv>
  <rv s="0">
    <v>12</v>
    <v>030471384208369943</v>
    <v>0</v>
  </rv>
  <rv s="0">
    <v>12</v>
    <v>0026345007791676997</v>
    <v>0</v>
  </rv>
  <rv s="0">
    <v>12</v>
    <v>03105243280817953</v>
    <v>0</v>
  </rv>
  <rv s="0">
    <v>12</v>
    <v>07106636931744632</v>
    <v>0</v>
  </rv>
  <rv s="0">
    <v>12</v>
    <v>014309833662562256</v>
    <v>0</v>
  </rv>
  <rv s="0">
    <v>12</v>
    <v>011778753264450718</v>
    <v>0</v>
  </rv>
  <rv s="0">
    <v>12</v>
    <v>002686774290621155</v>
    <v>0</v>
  </rv>
  <rv s="0">
    <v>12</v>
    <v>020600583587785784</v>
    <v>0</v>
  </rv>
  <rv s="0">
    <v>12</v>
    <v>17620784296914593</v>
    <v>0</v>
  </rv>
  <rv s="0">
    <v>12</v>
    <v>005737036497848681</v>
    <v>0</v>
  </rv>
  <rv s="0">
    <v>12</v>
    <v>005735135620404763</v>
    <v>0</v>
  </rv>
  <rv s="0">
    <v>12</v>
    <v>06429262977153494</v>
    <v>0</v>
  </rv>
  <rv s="0">
    <v>12</v>
    <v>0016297778052544684</v>
    <v>0</v>
  </rv>
  <rv s="0">
    <v>12</v>
    <v>016124094902584252</v>
    <v>0</v>
  </rv>
  <rv s="0">
    <v>12</v>
    <v>0037527286396131553</v>
    <v>0</v>
  </rv>
  <rv s="0">
    <v>12</v>
    <v>008764414394506462</v>
    <v>0</v>
  </rv>
  <rv s="0">
    <v>12</v>
    <v>029606931549583593</v>
    <v>0</v>
  </rv>
  <rv s="0">
    <v>12</v>
    <v>0175691253048213</v>
    <v>0</v>
  </rv>
  <rv s="0">
    <v>12</v>
    <v>0076574791147814535</v>
    <v>0</v>
  </rv>
  <rv s="0">
    <v>12</v>
    <v>0018589807343165057</v>
    <v>0</v>
  </rv>
  <rv s="0">
    <v>12</v>
    <v>004447269232156236</v>
    <v>0</v>
  </rv>
  <rv s="0">
    <v>12</v>
    <v>00689375965180503</v>
    <v>0</v>
  </rv>
  <rv s="0">
    <v>12</v>
    <v>0024943265837933048</v>
    <v>0</v>
  </rv>
  <rv s="0">
    <v>12</v>
    <v>000956117924375717</v>
    <v>0</v>
  </rv>
  <rv s="0">
    <v>12</v>
    <v>002504442296928896</v>
    <v>0</v>
  </rv>
  <rv s="0">
    <v>12</v>
    <v>03667800931534052</v>
    <v>0</v>
  </rv>
  <rv s="0">
    <v>12</v>
    <v>03983667510158825</v>
    <v>0</v>
  </rv>
  <rv s="0">
    <v>12</v>
    <v>04119020253578005</v>
    <v>0</v>
  </rv>
  <rv s="0">
    <v>12</v>
    <v>06561940151670893</v>
    <v>0</v>
  </rv>
  <rv s="0">
    <v>12</v>
    <v>004016116384409257</v>
    <v>0</v>
  </rv>
  <rv s="0">
    <v>12</v>
    <v>04433157498404462</v>
    <v>0</v>
  </rv>
  <rv s="0">
    <v>12</v>
    <v>01621359942225356</v>
    <v>0</v>
  </rv>
  <rv s="0">
    <v>12</v>
    <v>005644228863760449</v>
    <v>0</v>
  </rv>
  <rv s="0">
    <v>12</v>
    <v>010450217671973336</v>
    <v>0</v>
  </rv>
  <rv s="0">
    <v>12</v>
    <v>9320114911092434</v>
    <v>0</v>
  </rv>
  <rv s="0">
    <v>12</v>
    <v>9266900910193019</v>
    <v>0</v>
  </rv>
  <rv s="0">
    <v>12</v>
    <v>023037707897724517</v>
    <v>0</v>
  </rv>
  <rv s="0">
    <v>12</v>
    <v>02647691358885379</v>
    <v>0</v>
  </rv>
  <rv s="0">
    <v>12</v>
    <v>0004957909583825279</v>
    <v>0</v>
  </rv>
  <rv s="0">
    <v>12</v>
    <v>0012742047010642424</v>
    <v>0</v>
  </rv>
  <rv s="0">
    <v>12</v>
    <v>11730895643542726</v>
    <v>0</v>
  </rv>
  <rv s="0">
    <v>12</v>
    <v>12551105529736536</v>
    <v>0</v>
  </rv>
  <rv s="0">
    <v>12</v>
    <v>046408134062658916</v>
    <v>0</v>
  </rv>
  <rv s="0">
    <v>12</v>
    <v>04004515660643583</v>
    <v>0</v>
  </rv>
  <rv s="0">
    <v>12</v>
    <v>01830636293722608</v>
    <v>0</v>
  </rv>
  <rv s="0">
    <v>12</v>
    <v>026780171868818092</v>
    <v>0</v>
  </rv>
  <rv s="0">
    <v>12</v>
    <v>02983777479196244</v>
    <v>0</v>
  </rv>
  <rv s="0">
    <v>12</v>
    <v>03244859600994143</v>
    <v>0</v>
  </rv>
  <rv s="0">
    <v>12</v>
    <v>026116948101025158</v>
    <v>0</v>
  </rv>
  <rv s="0">
    <v>12</v>
    <v>02970979586957224</v>
    <v>0</v>
  </rv>
  <rv s="0">
    <v>12</v>
    <v>015240195254380782</v>
    <v>0</v>
  </rv>
  <rv s="0">
    <v>12</v>
    <v>007098222132192545</v>
    <v>0</v>
  </rv>
  <rv s="0">
    <v>12</v>
    <v>00888262606705659</v>
    <v>0</v>
  </rv>
  <rv s="0">
    <v>12</v>
    <v>0028842008993873974</v>
    <v>0</v>
  </rv>
  <rv s="0">
    <v>12</v>
    <v>015156033804698321</v>
    <v>0</v>
  </rv>
  <rv s="0">
    <v>12</v>
    <v>0024703871027516814</v>
    <v>0</v>
  </rv>
  <rv s="0">
    <v>12</v>
    <v>009102706098422283</v>
    <v>0</v>
  </rv>
  <rv s="0">
    <v>12</v>
    <v>004230671526817728</v>
    <v>0</v>
  </rv>
  <rv s="0">
    <v>12</v>
    <v>007853668347281169</v>
    <v>0</v>
  </rv>
  <rv s="0">
    <v>12</v>
    <v>011785977220288192</v>
    <v>0</v>
  </rv>
  <rv s="0">
    <v>12</v>
    <v>012166307920901577</v>
    <v>0</v>
  </rv>
  <rv s="0">
    <v>12</v>
    <v>00524474603001283</v>
    <v>0</v>
  </rv>
  <rv s="0">
    <v>12</v>
    <v>05614096481082148</v>
    <v>0</v>
  </rv>
  <rv s="0">
    <v>12</v>
    <v>3842948483735464</v>
    <v>0</v>
  </rv>
  <rv s="0">
    <v>12</v>
    <v>14469827542398792</v>
    <v>0</v>
  </rv>
  <rv s="0">
    <v>12</v>
    <v>002162482979018952</v>
    <v>0</v>
  </rv>
  <rv s="0">
    <v>12</v>
    <v>05115838327149146</v>
    <v>0</v>
  </rv>
  <rv s="0">
    <v>12</v>
    <v>073</v>
    <v>0</v>
  </rv>
  <rv s="0">
    <v>12</v>
    <v>08387162058466138</v>
    <v>0</v>
  </rv>
  <rv s="0">
    <v>12</v>
    <v>02775268748711645</v>
    <v>0</v>
  </rv>
  <rv s="0">
    <v>12</v>
    <v>07069225249067947</v>
    <v>0</v>
  </rv>
  <rv s="0">
    <v>12</v>
    <v>043404776303244</v>
    <v>0</v>
  </rv>
  <rv s="0">
    <v>12</v>
    <v>018389276050081532</v>
    <v>0</v>
  </rv>
  <rv s="0">
    <v>12</v>
    <v>0702954017608283</v>
    <v>0</v>
  </rv>
  <rv s="0">
    <v>12</v>
    <v>05572016080022583</v>
    <v>0</v>
  </rv>
  <rv s="0">
    <v>12</v>
    <v>028826539544056916</v>
    <v>0</v>
  </rv>
  <rv s="0">
    <v>12</v>
    <v>0014949883399808018</v>
    <v>0</v>
  </rv>
  <rv s="0">
    <v>12</v>
    <v>02854921866435644</v>
    <v>0</v>
  </rv>
  <rv s="0">
    <v>12</v>
    <v>006220342973319622</v>
    <v>0</v>
  </rv>
  <rv s="0">
    <v>12</v>
    <v>098</v>
    <v>0</v>
  </rv>
  <rv s="0">
    <v>12</v>
    <v>003407669124062507</v>
    <v>0</v>
  </rv>
  <rv s="0">
    <v>12</v>
    <v>007879047935160826</v>
    <v>0</v>
  </rv>
  <rv s="0">
    <v>12</v>
    <v>004820207213521055</v>
    <v>0</v>
  </rv>
  <rv s="0">
    <v>12</v>
    <v>004263132924508562</v>
    <v>0</v>
  </rv>
  <rv s="0">
    <v>12</v>
    <v>011985376511785351</v>
    <v>0</v>
  </rv>
  <rv s="0">
    <v>12</v>
    <v>004809340287933917</v>
    <v>0</v>
  </rv>
  <rv s="0">
    <v>12</v>
    <v>0004547066993362669</v>
    <v>0</v>
  </rv>
  <rv s="0">
    <v>12</v>
    <v>004620210816884608</v>
    <v>0</v>
  </rv>
  <rv s="0">
    <v>12</v>
    <v>0038057174398511565</v>
    <v>0</v>
  </rv>
  <rv s="0">
    <v>12</v>
    <v>0033576059701089767</v>
    <v>0</v>
  </rv>
  <rv s="0">
    <v>12</v>
    <v>2543863228743483</v>
    <v>0</v>
  </rv>
  <rv s="0">
    <v>12</v>
    <v>25658556887974626</v>
    <v>0</v>
  </rv>
  <rv s="0">
    <v>12</v>
    <v>02978927739272818</v>
    <v>0</v>
  </rv>
  <rv s="0">
    <v>12</v>
    <v>03550363420905957</v>
    <v>0</v>
  </rv>
  <rv s="0">
    <v>12</v>
    <v>0020738855760049964</v>
    <v>0</v>
  </rv>
  <rv s="0">
    <v>12</v>
    <v>01655501956729665</v>
    <v>0</v>
  </rv>
  <rv s="0">
    <v>12</v>
    <v>02001006252414555</v>
    <v>0</v>
  </rv>
  <rv s="0">
    <v>12</v>
    <v>0054422562013603775</v>
    <v>0</v>
  </rv>
  <rv s="0">
    <v>12</v>
    <v>00883022689911496</v>
    <v>0</v>
  </rv>
  <rv s="0">
    <v>12</v>
    <v>026358235961085524</v>
    <v>0</v>
  </rv>
  <rv s="0">
    <v>12</v>
    <v>02316318415865083</v>
    <v>0</v>
  </rv>
  <rv s="0">
    <v>12</v>
    <v>0017184164561199478</v>
    <v>0</v>
  </rv>
  <rv s="0">
    <v>12</v>
    <v>008102280883104454</v>
    <v>0</v>
  </rv>
  <rv s="0">
    <v>12</v>
    <v>08028539504413296</v>
    <v>0</v>
  </rv>
  <rv s="0">
    <v>12</v>
    <v>056100573668092346</v>
    <v>0</v>
  </rv>
  <rv s="0">
    <v>12</v>
    <v>04564905745124581</v>
    <v>0</v>
  </rv>
  <rv s="0">
    <v>12</v>
    <v>040033993873525256</v>
    <v>0</v>
  </rv>
  <rv s="0">
    <v>12</v>
    <v>01845115120933432</v>
    <v>0</v>
  </rv>
  <rv s="0">
    <v>12</v>
    <v>018199672343557488</v>
    <v>0</v>
  </rv>
  <rv s="0">
    <v>12</v>
    <v>012292606886366783</v>
    <v>0</v>
  </rv>
  <rv s="0">
    <v>12</v>
    <v>07704108015948058</v>
    <v>0</v>
  </rv>
  <rv s="0">
    <v>12</v>
    <v>06739394848162142</v>
    <v>0</v>
  </rv>
  <rv s="0">
    <v>12</v>
    <v>0702427505767602</v>
    <v>0</v>
  </rv>
  <rv s="0">
    <v>12</v>
    <v>0005430903661394384</v>
    <v>0</v>
  </rv>
  <rv s="0">
    <v>12</v>
    <v>003502031113176072</v>
    <v>0</v>
  </rv>
  <rv s="0">
    <v>12</v>
    <v>0015672880786130664</v>
    <v>0</v>
  </rv>
  <rv s="0">
    <v>12</v>
    <v>02676748041509521</v>
    <v>0</v>
  </rv>
  <rv s="0">
    <v>12</v>
    <v>0037200915554200836</v>
    <v>0</v>
  </rv>
  <rv s="0">
    <v>12</v>
    <v>0013226799870461054</v>
    <v>0</v>
  </rv>
  <rv s="0">
    <v>12</v>
    <v>0009311602892338608</v>
    <v>0</v>
  </rv>
  <rv s="0">
    <v>12</v>
    <v>0010931849338796662</v>
    <v>0</v>
  </rv>
  <rv s="0">
    <v>12</v>
    <v>015421933598662892</v>
    <v>0</v>
  </rv>
  <rv s="0">
    <v>12</v>
    <v>0035561072975781125</v>
    <v>0</v>
  </rv>
  <rv s="0">
    <v>12</v>
    <v>23218061594791867</v>
    <v>0</v>
  </rv>
  <rv s="0">
    <v>12</v>
    <v>2147992593718544</v>
    <v>0</v>
  </rv>
  <rv s="0">
    <v>12</v>
    <v>2412112502218242</v>
    <v>0</v>
  </rv>
  <rv s="0">
    <v>12</v>
    <v>20820065470874574</v>
    <v>0</v>
  </rv>
  <rv s="0">
    <v>12</v>
    <v>09761162205472575</v>
    <v>0</v>
  </rv>
  <rv s="0">
    <v>12</v>
    <v>0666523354909663</v>
    <v>0</v>
  </rv>
  <rv s="0">
    <v>12</v>
    <v>005002684650293079</v>
    <v>0</v>
  </rv>
  <rv s="0">
    <v>12</v>
    <v>004333535790321957</v>
    <v>0</v>
  </rv>
  <rv s="0">
    <v>12</v>
    <v>04723561220719468</v>
    <v>0</v>
  </rv>
  <rv s="0">
    <v>12</v>
    <v>017083978312867714</v>
    <v>0</v>
  </rv>
  <rv s="0">
    <v>12</v>
    <v>01568716860354076</v>
    <v>0</v>
  </rv>
  <rv s="0">
    <v>12</v>
    <v>005342744601205781</v>
    <v>0</v>
  </rv>
  <rv s="0">
    <v>12</v>
    <v>007182565883781116</v>
    <v>0</v>
  </rv>
  <rv s="0">
    <v>12</v>
    <v>32653843229487e</v>
    <v>0</v>
  </rv>
  <rv s="0">
    <v>12</v>
    <v>0041559393442822294</v>
    <v>0</v>
  </rv>
  <rv s="0">
    <v>12</v>
    <v>10793544100891951</v>
    <v>0</v>
  </rv>
  <rv s="0">
    <v>12</v>
    <v>12151855088987785</v>
    <v>0</v>
  </rv>
  <rv s="0">
    <v>12</v>
    <v>11988175150594481</v>
    <v>0</v>
  </rv>
  <rv s="0">
    <v>12</v>
    <v>09555028233960383</v>
    <v>0</v>
  </rv>
  <rv s="0">
    <v>12</v>
    <v>055391480306100895</v>
    <v>0</v>
  </rv>
  <rv s="0">
    <v>12</v>
    <v>04247286444773468</v>
    <v>0</v>
  </rv>
  <rv s="0">
    <v>12</v>
    <v>05323138145526896</v>
    <v>0</v>
  </rv>
  <rv s="0">
    <v>12</v>
    <v>008685513295772582</v>
    <v>0</v>
  </rv>
  <rv s="0">
    <v>12</v>
    <v>024545429852357872</v>
    <v>0</v>
  </rv>
  <rv s="0">
    <v>12</v>
    <v>03535883153682029</v>
    <v>0</v>
  </rv>
  <rv s="0">
    <v>12</v>
    <v>05409213826790051</v>
    <v>0</v>
  </rv>
  <rv s="0">
    <v>12</v>
    <v>01596331617201389</v>
    <v>0</v>
  </rv>
  <rv s="0">
    <v>12</v>
    <v>011198247952134274</v>
    <v>0</v>
  </rv>
  <rv s="0">
    <v>12</v>
    <v>01449010051809487</v>
    <v>0</v>
  </rv>
  <rv s="0">
    <v>12</v>
    <v>0075948526273205185</v>
    <v>0</v>
  </rv>
  <rv s="0">
    <v>12</v>
    <v>019418455982293234</v>
    <v>0</v>
  </rv>
  <rv s="0">
    <v>12</v>
    <v>000839654584335284</v>
    <v>0</v>
  </rv>
  <rv s="0">
    <v>12</v>
    <v>008926936389533997</v>
    <v>0</v>
  </rv>
  <rv s="0">
    <v>12</v>
    <v>02229095791696687</v>
    <v>0</v>
  </rv>
  <rv s="0">
    <v>12</v>
    <v>021531787119690445</v>
    <v>0</v>
  </rv>
  <rv s="0">
    <v>12</v>
    <v>06597042695231402</v>
    <v>0</v>
  </rv>
  <rv s="0">
    <v>12</v>
    <v>021009066314675702</v>
    <v>0</v>
  </rv>
  <rv s="0">
    <v>12</v>
    <v>03919513661740405</v>
    <v>0</v>
  </rv>
  <rv s="0">
    <v>12</v>
    <v>011818277982302956</v>
    <v>0</v>
  </rv>
  <rv s="0">
    <v>12</v>
    <v>03687670395877375</v>
    <v>0</v>
  </rv>
  <rv s="0">
    <v>12</v>
    <v>01394877220910361</v>
    <v>0</v>
  </rv>
  <rv s="0">
    <v>12</v>
    <v>048124641021727074</v>
    <v>0</v>
  </rv>
  <rv s="0">
    <v>12</v>
    <v>008075606504027638</v>
    <v>0</v>
  </rv>
  <rv s="0">
    <v>12</v>
    <v>017763666149244992</v>
    <v>0</v>
  </rv>
  <rv s="0">
    <v>12</v>
    <v>004086818957302021</v>
    <v>0</v>
  </rv>
  <rv s="0">
    <v>12</v>
    <v>005274660761210849</v>
    <v>0</v>
  </rv>
  <rv s="0">
    <v>12</v>
    <v>024846614579196544</v>
    <v>0</v>
  </rv>
  <rv s="0">
    <v>12</v>
    <v>04073781891485055</v>
    <v>0</v>
  </rv>
  <rv s="0">
    <v>12</v>
    <v>0400759623977543</v>
    <v>0</v>
  </rv>
  <rv s="0">
    <v>12</v>
    <v>0002854570712497351</v>
    <v>0</v>
  </rv>
  <rv s="0">
    <v>12</v>
    <v>0117277156940121</v>
    <v>0</v>
  </rv>
  <rv s="0">
    <v>12</v>
    <v>013044504983825606</v>
    <v>0</v>
  </rv>
  <rv s="0">
    <v>12</v>
    <v>004851782609203819</v>
    <v>0</v>
  </rv>
  <rv s="0">
    <v>12</v>
    <v>469</v>
    <v>0</v>
  </rv>
  <rv s="0">
    <v>12</v>
    <v>00023080606339496984</v>
    <v>0</v>
  </rv>
  <rv s="0">
    <v>12</v>
    <v>0368319815995198</v>
    <v>0</v>
  </rv>
  <rv s="0">
    <v>12</v>
    <v>08688651859760746</v>
    <v>0</v>
  </rv>
  <rv s="0">
    <v>12</v>
    <v>01267610858892817</v>
    <v>0</v>
  </rv>
  <rv s="0">
    <v>12</v>
    <v>019010530592535043</v>
    <v>0</v>
  </rv>
  <rv s="0">
    <v>12</v>
    <v>021789914977756182</v>
    <v>0</v>
  </rv>
  <rv s="0">
    <v>12</v>
    <v>012735445229752071</v>
    <v>0</v>
  </rv>
  <rv s="0">
    <v>12</v>
    <v>01630377700554682</v>
    <v>0</v>
  </rv>
  <rv s="0">
    <v>12</v>
    <v>01096666216577829</v>
    <v>0</v>
  </rv>
  <rv s="0">
    <v>12</v>
    <v>011995775364479292</v>
    <v>0</v>
  </rv>
  <rv s="0">
    <v>12</v>
    <v>07343428740847818</v>
    <v>0</v>
  </rv>
  <rv s="0">
    <v>12</v>
    <v>0774079660574802</v>
    <v>0</v>
  </rv>
  <rv s="0">
    <v>12</v>
    <v>007291706436768414</v>
    <v>0</v>
  </rv>
  <rv s="0">
    <v>12</v>
    <v>04651450622580162</v>
    <v>0</v>
  </rv>
  <rv s="0">
    <v>12</v>
    <v>027783295501826608</v>
    <v>0</v>
  </rv>
  <rv s="0">
    <v>12</v>
    <v>012663147416874508</v>
    <v>0</v>
  </rv>
  <rv s="0">
    <v>12</v>
    <v>04207112036278631</v>
    <v>0</v>
  </rv>
  <rv s="0">
    <v>12</v>
    <v>013028266961406137</v>
    <v>0</v>
  </rv>
  <rv s="0">
    <v>12</v>
    <v>020519206841907105</v>
    <v>0</v>
  </rv>
  <rv s="0">
    <v>12</v>
    <v>040943956538493385</v>
    <v>0</v>
  </rv>
  <rv s="0">
    <v>12</v>
    <v>004803032977985112</v>
    <v>0</v>
  </rv>
  <rv s="0">
    <v>12</v>
    <v>018084005797578722</v>
    <v>0</v>
  </rv>
  <rv s="0">
    <v>12</v>
    <v>005668898606553794</v>
    <v>0</v>
  </rv>
  <rv s="0">
    <v>12</v>
    <v>011754821594979918</v>
    <v>0</v>
  </rv>
  <rv s="0">
    <v>12</v>
    <v>03628323185335965</v>
    <v>0</v>
  </rv>
  <rv s="0">
    <v>12</v>
    <v>020023826753061927</v>
    <v>0</v>
  </rv>
  <rv s="0">
    <v>12</v>
    <v>0001232552706532698</v>
    <v>0</v>
  </rv>
  <rv s="0">
    <v>12</v>
    <v>05105460651310112</v>
    <v>0</v>
  </rv>
  <rv s="0">
    <v>12</v>
    <v>009867547772765632</v>
    <v>0</v>
  </rv>
  <rv s="0">
    <v>12</v>
    <v>003874367747475968</v>
    <v>0</v>
  </rv>
  <rv s="0">
    <v>12</v>
    <v>014381930733601849</v>
    <v>0</v>
  </rv>
  <rv s="0">
    <v>12</v>
    <v>007145919417095266</v>
    <v>0</v>
  </rv>
  <rv s="0">
    <v>12</v>
    <v>0781343476656278</v>
    <v>0</v>
  </rv>
  <rv s="0">
    <v>12</v>
    <v>0054117447961031665</v>
    <v>0</v>
  </rv>
  <rv s="0">
    <v>12</v>
    <v>02016834020387261</v>
    <v>0</v>
  </rv>
  <rv s="0">
    <v>12</v>
    <v>00962306756668845</v>
    <v>0</v>
  </rv>
  <rv s="0">
    <v>12</v>
    <v>009438190656643333</v>
    <v>0</v>
  </rv>
  <rv s="0">
    <v>12</v>
    <v>005515404874223366</v>
    <v>0</v>
  </rv>
  <rv s="0">
    <v>12</v>
    <v>0748840161422206</v>
    <v>0</v>
  </rv>
  <rv s="0">
    <v>12</v>
    <v>058757028181105314</v>
    <v>0</v>
  </rv>
  <rv s="0">
    <v>12</v>
    <v>02016901414223595</v>
    <v>0</v>
  </rv>
  <rv s="0">
    <v>12</v>
    <v>07050839570252421</v>
    <v>0</v>
  </rv>
  <rv s="0">
    <v>12</v>
    <v>004501731139360977</v>
    <v>0</v>
  </rv>
  <rv s="0">
    <v>12</v>
    <v>014813733884355614</v>
    <v>0</v>
  </rv>
  <rv s="0">
    <v>12</v>
    <v>08941737039470143</v>
    <v>0</v>
  </rv>
  <rv s="0">
    <v>12</v>
    <v>11592599591200503</v>
    <v>0</v>
  </rv>
  <rv s="0">
    <v>12</v>
    <v>004466678839133872</v>
    <v>0</v>
  </rv>
  <rv s="0">
    <v>12</v>
    <v>0050897569019402195</v>
    <v>0</v>
  </rv>
  <rv s="0">
    <v>12</v>
    <v>013489389991706556</v>
    <v>0</v>
  </rv>
  <rv s="0">
    <v>12</v>
    <v>02040040013500842</v>
    <v>0</v>
  </rv>
  <rv s="0">
    <v>12</v>
    <v>15015203194300003</v>
    <v>0</v>
  </rv>
  <rv s="0">
    <v>12</v>
    <v>017044214083863484</v>
    <v>0</v>
  </rv>
  <rv s="0">
    <v>12</v>
    <v>0009804274080439852</v>
    <v>0</v>
  </rv>
  <rv s="0">
    <v>12</v>
    <v>23151361524586872</v>
    <v>0</v>
  </rv>
  <rv s="0">
    <v>12</v>
    <v>42710066933222585</v>
    <v>0</v>
  </rv>
  <rv s="0">
    <v>12</v>
    <v>007938644005764463</v>
    <v>0</v>
  </rv>
  <rv s="0">
    <v>12</v>
    <v>06221821017845088</v>
    <v>0</v>
  </rv>
  <rv s="0">
    <v>12</v>
    <v>008593092573900186</v>
    <v>0</v>
  </rv>
  <rv s="0">
    <v>12</v>
    <v>04449398369855536</v>
    <v>0</v>
  </rv>
  <rv s="0">
    <v>12</v>
    <v>02374385438750644</v>
    <v>0</v>
  </rv>
  <rv s="0">
    <v>12</v>
    <v>025001090706407422</v>
    <v>0</v>
  </rv>
  <rv s="0">
    <v>12</v>
    <v>009588753229433752</v>
    <v>0</v>
  </rv>
  <rv s="0">
    <v>12</v>
    <v>0030180943086170376</v>
    <v>0</v>
  </rv>
  <rv s="0">
    <v>12</v>
    <v>004223108869611852</v>
    <v>0</v>
  </rv>
  <rv s="0">
    <v>12</v>
    <v>0021892056537253673</v>
    <v>0</v>
  </rv>
  <rv s="0">
    <v>12</v>
    <v>0445822382426041</v>
    <v>0</v>
  </rv>
  <rv s="0">
    <v>12</v>
    <v>0035020105214382206</v>
    <v>0</v>
  </rv>
  <rv s="0">
    <v>12</v>
    <v>0061557857297729</v>
    <v>0</v>
  </rv>
  <rv s="0">
    <v>12</v>
    <v>011612117571589744</v>
    <v>0</v>
  </rv>
  <rv s="0">
    <v>12</v>
    <v>09407534720504115</v>
    <v>0</v>
  </rv>
  <rv s="0">
    <v>12</v>
    <v>10381675101339391</v>
    <v>0</v>
  </rv>
  <rv s="0">
    <v>12</v>
    <v>058807962488318516</v>
    <v>0</v>
  </rv>
  <rv s="0">
    <v>12</v>
    <v>0008444891879375377</v>
    <v>0</v>
  </rv>
  <rv s="0">
    <v>12</v>
    <v>03405415932511583</v>
    <v>0</v>
  </rv>
  <rv s="0">
    <v>12</v>
    <v>03417433252891294</v>
    <v>0</v>
  </rv>
  <rv s="0">
    <v>12</v>
    <v>00386090775508409</v>
    <v>0</v>
  </rv>
  <rv s="0">
    <v>12</v>
    <v>0418647697802161</v>
    <v>0</v>
  </rv>
  <rv s="0">
    <v>12</v>
    <v>006643734030609389</v>
    <v>0</v>
  </rv>
  <rv s="0">
    <v>12</v>
    <v>013023893680259704</v>
    <v>0</v>
  </rv>
  <rv s="0">
    <v>12</v>
    <v>009690725987535953</v>
    <v>0</v>
  </rv>
  <rv s="0">
    <v>12</v>
    <v>02627661689939646</v>
    <v>0</v>
  </rv>
  <rv s="0">
    <v>12</v>
    <v>01009449284835567</v>
    <v>0</v>
  </rv>
  <rv s="0">
    <v>12</v>
    <v>022719749408912145</v>
    <v>0</v>
  </rv>
  <rv s="0">
    <v>12</v>
    <v>0030458025826886454</v>
    <v>0</v>
  </rv>
  <rv s="0">
    <v>12</v>
    <v>0009374962590254947</v>
    <v>0</v>
  </rv>
  <rv s="0">
    <v>12</v>
    <v>05548406882549416</v>
    <v>0</v>
  </rv>
  <rv s="0">
    <v>12</v>
    <v>012716940205949146</v>
    <v>0</v>
  </rv>
  <rv s="0">
    <v>12</v>
    <v>04150030917551044</v>
    <v>0</v>
  </rv>
  <rv s="0">
    <v>12</v>
    <v>02917018538262742</v>
    <v>0</v>
  </rv>
  <rv s="0">
    <v>12</v>
    <v>022281841933842306</v>
    <v>0</v>
  </rv>
  <rv s="0">
    <v>12</v>
    <v>010212390654979938</v>
    <v>0</v>
  </rv>
  <rv s="0">
    <v>12</v>
    <v>19139803783836334</v>
    <v>0</v>
  </rv>
  <rv s="0">
    <v>12</v>
    <v>18294325897068384</v>
    <v>0</v>
  </rv>
  <rv s="0">
    <v>12</v>
    <v>5940640135619233e</v>
    <v>0</v>
  </rv>
  <rv s="0">
    <v>12</v>
    <v>0031293544977644286</v>
    <v>0</v>
  </rv>
  <rv s="0">
    <v>12</v>
    <v>0051238024343073715</v>
    <v>0</v>
  </rv>
  <rv s="0">
    <v>12</v>
    <v>008331248370946074</v>
    <v>0</v>
  </rv>
  <rv s="0">
    <v>12</v>
    <v>004099662024762517</v>
    <v>0</v>
  </rv>
  <rv s="0">
    <v>12</v>
    <v>018478523439759927</v>
    <v>0</v>
  </rv>
  <rv s="0">
    <v>12</v>
    <v>011901408071346856</v>
    <v>0</v>
  </rv>
  <rv s="0">
    <v>12</v>
    <v>04421179940654537</v>
    <v>0</v>
  </rv>
  <rv s="0">
    <v>12</v>
    <v>030912834438415086</v>
    <v>0</v>
  </rv>
  <rv s="0">
    <v>12</v>
    <v>017393817647850418</v>
    <v>0</v>
  </rv>
  <rv s="0">
    <v>12</v>
    <v>022216796023475944</v>
    <v>0</v>
  </rv>
  <rv s="0">
    <v>12</v>
    <v>007239813330455419</v>
    <v>0</v>
  </rv>
  <rv s="0">
    <v>12</v>
    <v>05020541570365533</v>
    <v>0</v>
  </rv>
  <rv s="0">
    <v>12</v>
    <v>04982721162737252</v>
    <v>0</v>
  </rv>
  <rv s="0">
    <v>12</v>
    <v>027875328003898716</v>
    <v>0</v>
  </rv>
  <rv s="0">
    <v>12</v>
    <v>022703438794985053</v>
    <v>0</v>
  </rv>
  <rv s="0">
    <v>12</v>
    <v>007368132813608992</v>
    <v>0</v>
  </rv>
  <rv s="0">
    <v>12</v>
    <v>015745143768106925</v>
    <v>0</v>
  </rv>
  <rv s="0">
    <v>12</v>
    <v>01859419211254277</v>
    <v>0</v>
  </rv>
  <rv s="0">
    <v>12</v>
    <v>018822890606986834</v>
    <v>0</v>
  </rv>
  <rv s="0">
    <v>12</v>
    <v>025971121833338932</v>
    <v>0</v>
  </rv>
  <rv s="0">
    <v>12</v>
    <v>03059783931516584</v>
    <v>0</v>
  </rv>
  <rv s="0">
    <v>12</v>
    <v>027721653551612133</v>
    <v>0</v>
  </rv>
  <rv s="0">
    <v>12</v>
    <v>030079841929765004</v>
    <v>0</v>
  </rv>
  <rv s="0">
    <v>12</v>
    <v>0026490080528422024</v>
    <v>0</v>
  </rv>
  <rv s="0">
    <v>12</v>
    <v>02174034960054238</v>
    <v>0</v>
  </rv>
  <rv s="0">
    <v>12</v>
    <v>016570419873769136</v>
    <v>0</v>
  </rv>
  <rv s="0">
    <v>12</v>
    <v>01432289843641821</v>
    <v>0</v>
  </rv>
  <rv s="0">
    <v>12</v>
    <v>005688398520899426</v>
    <v>0</v>
  </rv>
  <rv s="0">
    <v>12</v>
    <v>029325879846188813</v>
    <v>0</v>
  </rv>
  <rv s="0">
    <v>12</v>
    <v>04267484232327053</v>
    <v>0</v>
  </rv>
  <rv s="0">
    <v>12</v>
    <v>00402870903436406</v>
    <v>0</v>
  </rv>
  <rv s="0">
    <v>12</v>
    <v>013500330965825702</v>
    <v>0</v>
  </rv>
  <rv s="0">
    <v>12</v>
    <v>008670412153031144</v>
    <v>0</v>
  </rv>
  <rv s="0">
    <v>12</v>
    <v>002728932846815193</v>
    <v>0</v>
  </rv>
  <rv s="0">
    <v>12</v>
    <v>015894436189693703</v>
    <v>0</v>
  </rv>
  <rv s="0">
    <v>12</v>
    <v>011317065650812676</v>
    <v>0</v>
  </rv>
  <rv s="0">
    <v>12</v>
    <v>05512999150013556</v>
    <v>0</v>
  </rv>
  <rv s="0">
    <v>12</v>
    <v>03509302605849312</v>
    <v>0</v>
  </rv>
  <rv s="0">
    <v>12</v>
    <v>0034571885547030642</v>
    <v>0</v>
  </rv>
  <rv s="0">
    <v>12</v>
    <v>03792402021783397</v>
    <v>0</v>
  </rv>
  <rv s="0">
    <v>12</v>
    <v>10227544204160549</v>
    <v>0</v>
  </rv>
  <rv s="0">
    <v>12</v>
    <v>10329483168587497</v>
    <v>0</v>
  </rv>
  <rv s="0">
    <v>12</v>
    <v>014214102951710049</v>
    <v>0</v>
  </rv>
  <rv s="0">
    <v>12</v>
    <v>014963314137606104</v>
    <v>0</v>
  </rv>
  <rv s="0">
    <v>12</v>
    <v>0027239740905928163</v>
    <v>0</v>
  </rv>
  <rv s="0">
    <v>12</v>
    <v>008109277134300555</v>
    <v>0</v>
  </rv>
  <rv s="0">
    <v>12</v>
    <v>029534134055153392</v>
    <v>0</v>
  </rv>
  <rv s="0">
    <v>12</v>
    <v>15125809917552868</v>
    <v>0</v>
  </rv>
  <rv s="0">
    <v>12</v>
    <v>3778335538353356</v>
    <v>0</v>
  </rv>
  <rv s="0">
    <v>12</v>
    <v>027239001466452</v>
    <v>0</v>
  </rv>
  <rv s="0">
    <v>12</v>
    <v>027565846680764776</v>
    <v>0</v>
  </rv>
  <rv s="0">
    <v>12</v>
    <v>07921830995471375</v>
    <v>0</v>
  </rv>
  <rv s="0">
    <v>12</v>
    <v>08080887787467005</v>
    <v>0</v>
  </rv>
  <rv s="0">
    <v>12</v>
    <v>02499127133204981</v>
    <v>0</v>
  </rv>
  <rv s="0">
    <v>12</v>
    <v>012327613198185039</v>
    <v>0</v>
  </rv>
  <rv s="0">
    <v>12</v>
    <v>03475802511953494</v>
    <v>0</v>
  </rv>
  <rv s="0">
    <v>12</v>
    <v>025889844434152706</v>
    <v>0</v>
  </rv>
  <rv s="0">
    <v>12</v>
    <v>012516150595286659</v>
    <v>0</v>
  </rv>
  <rv s="0">
    <v>12</v>
    <v>020344889570552617</v>
    <v>0</v>
  </rv>
  <rv s="0">
    <v>12</v>
    <v>012266420090825255</v>
    <v>0</v>
  </rv>
  <rv s="0">
    <v>12</v>
    <v>018751224604445577</v>
    <v>0</v>
  </rv>
  <rv s="0">
    <v>12</v>
    <v>012906161482897308</v>
    <v>0</v>
  </rv>
  <rv s="0">
    <v>12</v>
    <v>029167563872743083</v>
    <v>0</v>
  </rv>
  <rv s="0">
    <v>12</v>
    <v>04391471054134424</v>
    <v>0</v>
  </rv>
  <rv s="0">
    <v>12</v>
    <v>003665357715362308</v>
    <v>0</v>
  </rv>
  <rv s="0">
    <v>12</v>
    <v>596155568669754e</v>
    <v>0</v>
  </rv>
  <rv s="0">
    <v>12</v>
    <v>000857018259105082</v>
    <v>0</v>
  </rv>
  <rv s="0">
    <v>12</v>
    <v>012060359079824067</v>
    <v>0</v>
  </rv>
  <rv s="0">
    <v>12</v>
    <v>011277869943571913</v>
    <v>0</v>
  </rv>
  <rv s="0">
    <v>12</v>
    <v>019599647474643253</v>
    <v>0</v>
  </rv>
  <rv s="0">
    <v>12</v>
    <v>001017964851837334</v>
    <v>0</v>
  </rv>
  <rv s="0">
    <v>12</v>
    <v>018090511314309898</v>
    <v>0</v>
  </rv>
  <rv s="0">
    <v>12</v>
    <v>0330249396458544</v>
    <v>0</v>
  </rv>
  <rv s="0">
    <v>12</v>
    <v>020928912977962993</v>
    <v>0</v>
  </rv>
  <rv s="0">
    <v>12</v>
    <v>389112100067809e</v>
    <v>0</v>
  </rv>
  <rv s="0">
    <v>12</v>
    <v>021942786980338466</v>
    <v>0</v>
  </rv>
  <rv s="0">
    <v>12</v>
    <v>010776555276948688</v>
    <v>0</v>
  </rv>
  <rv s="0">
    <v>12</v>
    <v>07539198786348696</v>
    <v>0</v>
  </rv>
  <rv s="0">
    <v>12</v>
    <v>0058814681474970145</v>
    <v>0</v>
  </rv>
  <rv s="0">
    <v>12</v>
    <v>003160308934610317</v>
    <v>0</v>
  </rv>
  <rv s="0">
    <v>12</v>
    <v>03227201366202818</v>
    <v>0</v>
  </rv>
  <rv s="0">
    <v>12</v>
    <v>07359156353003243</v>
    <v>0</v>
  </rv>
  <rv s="0">
    <v>12</v>
    <v>0024812760668075397</v>
    <v>0</v>
  </rv>
  <rv s="0">
    <v>12</v>
    <v>02307475601435451</v>
    <v>0</v>
  </rv>
  <rv s="0">
    <v>12</v>
    <v>004357642414931529</v>
    <v>0</v>
  </rv>
  <rv s="0">
    <v>12</v>
    <v>013838424348444745</v>
    <v>0</v>
  </rv>
  <rv s="0">
    <v>12</v>
    <v>012045106273353517</v>
    <v>0</v>
  </rv>
  <rv s="0">
    <v>12</v>
    <v>019686848023959556</v>
    <v>0</v>
  </rv>
  <rv s="0">
    <v>12</v>
    <v>005755245092646854</v>
    <v>0</v>
  </rv>
  <rv s="0">
    <v>12</v>
    <v>02935142230550076</v>
    <v>0</v>
  </rv>
  <rv s="0">
    <v>12</v>
    <v>0006529777793840808</v>
    <v>0</v>
  </rv>
  <rv s="0">
    <v>12</v>
    <v>001230833031321784</v>
    <v>0</v>
  </rv>
  <rv s="0">
    <v>12</v>
    <v>0027672675092954182</v>
    <v>0</v>
  </rv>
  <rv s="0">
    <v>12</v>
    <v>01657543393838599</v>
    <v>0</v>
  </rv>
  <rv s="0">
    <v>12</v>
    <v>05110958929652768</v>
    <v>0</v>
  </rv>
  <rv s="0">
    <v>12</v>
    <v>01122766034794574</v>
    <v>0</v>
  </rv>
  <rv s="0">
    <v>12</v>
    <v>00395652979806394</v>
    <v>0</v>
  </rv>
  <rv s="0">
    <v>12</v>
    <v>0015130146853244188</v>
    <v>0</v>
  </rv>
  <rv s="0">
    <v>12</v>
    <v>001301009724809089</v>
    <v>0</v>
  </rv>
  <rv s="0">
    <v>12</v>
    <v>0437732742209422</v>
    <v>0</v>
  </rv>
  <rv s="0">
    <v>12</v>
    <v>03614807725519457</v>
    <v>0</v>
  </rv>
  <rv s="0">
    <v>12</v>
    <v>014583647384964593</v>
    <v>0</v>
  </rv>
  <rv s="0">
    <v>12</v>
    <v>012491566538621818</v>
    <v>0</v>
  </rv>
  <rv s="0">
    <v>12</v>
    <v>007895087190526711</v>
    <v>0</v>
  </rv>
  <rv s="0">
    <v>12</v>
    <v>017715343806506415</v>
    <v>0</v>
  </rv>
  <rv s="0">
    <v>12</v>
    <v>03620661342617851</v>
    <v>0</v>
  </rv>
  <rv s="0">
    <v>12</v>
    <v>08764804403860152</v>
    <v>0</v>
  </rv>
  <rv s="0">
    <v>12</v>
    <v>027768883176675606</v>
    <v>0</v>
  </rv>
  <rv s="0">
    <v>12</v>
    <v>01473856149434294</v>
    <v>0</v>
  </rv>
  <rv s="0">
    <v>12</v>
    <v>0020260164280488154</v>
    <v>0</v>
  </rv>
  <rv s="0">
    <v>12</v>
    <v>00593656365121353</v>
    <v>0</v>
  </rv>
  <rv s="0">
    <v>12</v>
    <v>021515955070558607</v>
    <v>0</v>
  </rv>
  <rv s="0">
    <v>12</v>
    <v>023494336211177563</v>
    <v>0</v>
  </rv>
  <rv s="0">
    <v>12</v>
    <v>006021335399289873</v>
    <v>0</v>
  </rv>
  <rv s="0">
    <v>12</v>
    <v>0019085328577662006</v>
    <v>0</v>
  </rv>
  <rv s="0">
    <v>12</v>
    <v>004414202607019506</v>
    <v>0</v>
  </rv>
  <rv s="0">
    <v>12</v>
    <v>001236536705672468</v>
    <v>0</v>
  </rv>
  <rv s="0">
    <v>12</v>
    <v>0008751767289074149</v>
    <v>0</v>
  </rv>
  <rv s="0">
    <v>12</v>
    <v>014189647584330969</v>
    <v>0</v>
  </rv>
  <rv s="0">
    <v>12</v>
    <v>005082341191261499</v>
    <v>0</v>
  </rv>
  <rv s="0">
    <v>12</v>
    <v>0051011390191391314</v>
    <v>0</v>
  </rv>
  <rv s="0">
    <v>12</v>
    <v>021212745410899115</v>
    <v>0</v>
  </rv>
  <rv s="0">
    <v>12</v>
    <v>09172217823662258</v>
    <v>0</v>
  </rv>
  <rv s="0">
    <v>12</v>
    <v>0054055131630825785</v>
    <v>0</v>
  </rv>
  <rv s="0">
    <v>12</v>
    <v>019983615323837724</v>
    <v>0</v>
  </rv>
  <rv s="0">
    <v>12</v>
    <v>062033342242804754</v>
    <v>0</v>
  </rv>
  <rv s="0">
    <v>12</v>
    <v>012861988627905422</v>
    <v>0</v>
  </rv>
  <rv s="0">
    <v>12</v>
    <v>07225174802737427</v>
    <v>0</v>
  </rv>
  <rv s="0">
    <v>12</v>
    <v>00921105840959558</v>
    <v>0</v>
  </rv>
  <rv s="0">
    <v>12</v>
    <v>004005795414700995</v>
    <v>0</v>
  </rv>
  <rv s="0">
    <v>12</v>
    <v>01841997898642349</v>
    <v>0</v>
  </rv>
  <rv s="0">
    <v>12</v>
    <v>015262968387262653</v>
    <v>0</v>
  </rv>
  <rv s="0">
    <v>12</v>
    <v>005314904417628079</v>
    <v>0</v>
  </rv>
  <rv s="0">
    <v>12</v>
    <v>018037478033405947</v>
    <v>0</v>
  </rv>
  <rv s="0">
    <v>12</v>
    <v>020468260448839034</v>
    <v>0</v>
  </rv>
  <rv s="0">
    <v>12</v>
    <v>01884111801586251</v>
    <v>0</v>
  </rv>
  <rv s="0">
    <v>12</v>
    <v>004153094634667722</v>
    <v>0</v>
  </rv>
  <rv s="0">
    <v>12</v>
    <v>001250246774174415</v>
    <v>0</v>
  </rv>
  <rv s="0">
    <v>12</v>
    <v>007540249381920798</v>
    <v>0</v>
  </rv>
  <rv s="0">
    <v>12</v>
    <v>014124533204893612</v>
    <v>0</v>
  </rv>
  <rv s="0">
    <v>12</v>
    <v>004469655356643506</v>
    <v>0</v>
  </rv>
  <rv s="0">
    <v>12</v>
    <v>002576036299775276</v>
    <v>0</v>
  </rv>
  <rv s="0">
    <v>12</v>
    <v>007895812365553768</v>
    <v>0</v>
  </rv>
  <rv s="0">
    <v>12</v>
    <v>02879774178564018</v>
    <v>0</v>
  </rv>
  <rv s="0">
    <v>12</v>
    <v>015754404862043495</v>
    <v>0</v>
  </rv>
  <rv s="0">
    <v>12</v>
    <v>01629263533515476</v>
    <v>0</v>
  </rv>
  <rv s="0">
    <v>12</v>
    <v>0049096706423043</v>
    <v>0</v>
  </rv>
  <rv s="0">
    <v>12</v>
    <v>005993695190732509</v>
    <v>0</v>
  </rv>
  <rv s="0">
    <v>12</v>
    <v>002724670360811972</v>
    <v>0</v>
  </rv>
  <rv s="0">
    <v>12</v>
    <v>0024867754750457194</v>
    <v>0</v>
  </rv>
  <rv s="0">
    <v>12</v>
    <v>00037448346276243904</v>
    <v>0</v>
  </rv>
  <rv s="0">
    <v>12</v>
    <v>0047532238459129725</v>
    <v>0</v>
  </rv>
  <rv s="0">
    <v>12</v>
    <v>005470449125105471</v>
    <v>0</v>
  </rv>
  <rv s="0">
    <v>12</v>
    <v>011174699334619407</v>
    <v>0</v>
  </rv>
  <rv s="0">
    <v>12</v>
    <v>010598383648889848</v>
    <v>0</v>
  </rv>
  <rv s="0">
    <v>12</v>
    <v>002280207527785066</v>
    <v>0</v>
  </rv>
  <rv s="0">
    <v>12</v>
    <v>0016132955380902551</v>
    <v>0</v>
  </rv>
  <rv s="0">
    <v>12</v>
    <v>004123855179286425</v>
    <v>0</v>
  </rv>
  <rv s="0">
    <v>12</v>
    <v>004135096481987583</v>
    <v>0</v>
  </rv>
  <rv s="0">
    <v>12</v>
    <v>006018197191259563</v>
    <v>0</v>
  </rv>
  <rv s="0">
    <v>12</v>
    <v>0003320589506823895</v>
    <v>0</v>
  </rv>
  <rv s="0">
    <v>12</v>
    <v>016967044055681335</v>
    <v>0</v>
  </rv>
  <rv s="0">
    <v>12</v>
    <v>0016347083559941624</v>
    <v>0</v>
  </rv>
  <rv s="0">
    <v>12</v>
    <v>003220447103915274</v>
    <v>0</v>
  </rv>
  <rv s="0">
    <v>12</v>
    <v>016958864086870334</v>
    <v>0</v>
  </rv>
  <rv s="0">
    <v>12</v>
    <v>0031204067289587133</v>
    <v>0</v>
  </rv>
  <rv s="0">
    <v>12</v>
    <v>028306530361022486</v>
    <v>0</v>
  </rv>
  <rv s="0">
    <v>12</v>
    <v>029205814355841513</v>
    <v>0</v>
  </rv>
  <rv s="0">
    <v>12</v>
    <v>03178649094677302</v>
    <v>0</v>
  </rv>
  <rv s="0">
    <v>12</v>
    <v>11458147240103522</v>
    <v>0</v>
  </rv>
  <rv s="0">
    <v>12</v>
    <v>009791412237905231</v>
    <v>0</v>
  </rv>
  <rv s="0">
    <v>12</v>
    <v>0025191474014986614</v>
    <v>0</v>
  </rv>
  <rv s="0">
    <v>12</v>
    <v>01118899371196291</v>
    <v>0</v>
  </rv>
  <rv s="0">
    <v>12</v>
    <v>005849044692314052</v>
    <v>0</v>
  </rv>
  <rv s="0">
    <v>12</v>
    <v>011928167193153837</v>
    <v>0</v>
  </rv>
  <rv s="0">
    <v>12</v>
    <v>012945552827587118</v>
    <v>0</v>
  </rv>
  <rv s="0">
    <v>12</v>
    <v>02506636741143609</v>
    <v>0</v>
  </rv>
  <rv s="0">
    <v>12</v>
    <v>028457478778473873</v>
    <v>0</v>
  </rv>
  <rv s="0">
    <v>12</v>
    <v>0164376822701103</v>
    <v>0</v>
  </rv>
  <rv s="0">
    <v>12</v>
    <v>0029383641728558795</v>
    <v>0</v>
  </rv>
  <rv s="0">
    <v>12</v>
    <v>012871978182757416</v>
    <v>0</v>
  </rv>
  <rv s="0">
    <v>12</v>
    <v>00045632288285601665</v>
    <v>0</v>
  </rv>
  <rv s="0">
    <v>12</v>
    <v>006732264408101595</v>
    <v>0</v>
  </rv>
  <rv s="0">
    <v>12</v>
    <v>0059189733530855375</v>
    <v>0</v>
  </rv>
  <rv s="0">
    <v>12</v>
    <v>002660218949447988</v>
    <v>0</v>
  </rv>
  <rv s="0">
    <v>12</v>
    <v>019314569250965127</v>
    <v>0</v>
  </rv>
  <rv s="0">
    <v>12</v>
    <v>022993775629677735</v>
    <v>0</v>
  </rv>
  <rv s="0">
    <v>12</v>
    <v>010345797167672758</v>
    <v>0</v>
  </rv>
  <rv s="0">
    <v>12</v>
    <v>007003804042727312</v>
    <v>0</v>
  </rv>
  <rv s="0">
    <v>12</v>
    <v>009833843179786273</v>
    <v>0</v>
  </rv>
  <rv s="0">
    <v>12</v>
    <v>015416120786796977</v>
    <v>0</v>
  </rv>
  <rv s="0">
    <v>12</v>
    <v>006259692535608715</v>
    <v>0</v>
  </rv>
  <rv s="0">
    <v>12</v>
    <v>00610473072868903</v>
    <v>0</v>
  </rv>
  <rv s="0">
    <v>12</v>
    <v>00972047242363306</v>
    <v>0</v>
  </rv>
  <rv s="0">
    <v>12</v>
    <v>022705904913090203</v>
    <v>0</v>
  </rv>
  <rv s="0">
    <v>12</v>
    <v>449</v>
    <v>0</v>
  </rv>
  <rv s="0">
    <v>12</v>
    <v>009653203596605195</v>
    <v>0</v>
  </rv>
  <rv s="0">
    <v>12</v>
    <v>0027218948284118715</v>
    <v>0</v>
  </rv>
  <rv s="0">
    <v>12</v>
    <v>5565259343052764e</v>
    <v>0</v>
  </rv>
  <rv s="0">
    <v>12</v>
    <v>009101914797199588</v>
    <v>0</v>
  </rv>
  <rv s="0">
    <v>12</v>
    <v>004724683698678801</v>
    <v>0</v>
  </rv>
  <rv s="0">
    <v>12</v>
    <v>00256731590671436</v>
    <v>0</v>
  </rv>
  <rv s="0">
    <v>12</v>
    <v>006973089354854495</v>
    <v>0</v>
  </rv>
  <rv s="0">
    <v>12</v>
    <v>01170313440653507</v>
    <v>0</v>
  </rv>
  <rv s="0">
    <v>12</v>
    <v>005980566614589465</v>
    <v>0</v>
  </rv>
  <rv s="0">
    <v>12</v>
    <v>006173431493995416</v>
    <v>0</v>
  </rv>
  <rv s="0">
    <v>12</v>
    <v>007630392655718678</v>
    <v>0</v>
  </rv>
  <rv s="0">
    <v>12</v>
    <v>01384423322393389</v>
    <v>0</v>
  </rv>
  <rv s="0">
    <v>12</v>
    <v>0015352444831330265</v>
    <v>0</v>
  </rv>
  <rv s="0">
    <v>12</v>
    <v>0009002422570162399</v>
    <v>0</v>
  </rv>
  <rv s="0">
    <v>12</v>
    <v>004780083704208754</v>
    <v>0</v>
  </rv>
  <rv s="0">
    <v>12</v>
    <v>065</v>
    <v>0</v>
  </rv>
  <rv s="0">
    <v>12</v>
    <v>0360335964717032</v>
    <v>0</v>
  </rv>
  <rv s="0">
    <v>12</v>
    <v>009176300857810356</v>
    <v>0</v>
  </rv>
  <rv s="0">
    <v>12</v>
    <v>010254133650722091</v>
    <v>0</v>
  </rv>
  <rv s="0">
    <v>12</v>
    <v>020140278181874294</v>
    <v>0</v>
  </rv>
  <rv s="0">
    <v>12</v>
    <v>0206374366913453</v>
    <v>0</v>
  </rv>
  <rv s="0">
    <v>12</v>
    <v>0013843090073166783</v>
    <v>0</v>
  </rv>
  <rv s="0">
    <v>12</v>
    <v>666399505979445e</v>
    <v>0</v>
  </rv>
  <rv s="0">
    <v>12</v>
    <v>0023122295983819016</v>
    <v>0</v>
  </rv>
  <rv s="0">
    <v>12</v>
    <v>02436545124964638</v>
    <v>0</v>
  </rv>
  <rv s="0">
    <v>12</v>
    <v>010985793377635621</v>
    <v>0</v>
  </rv>
  <rv s="0">
    <v>12</v>
    <v>0903137012901961</v>
    <v>0</v>
  </rv>
  <rv s="0">
    <v>12</v>
    <v>03299709783299402</v>
    <v>0</v>
  </rv>
  <rv s="0">
    <v>12</v>
    <v>014588862222671872</v>
    <v>0</v>
  </rv>
  <rv s="0">
    <v>12</v>
    <v>0036965677912198388</v>
    <v>0</v>
  </rv>
  <rv s="0">
    <v>12</v>
    <v>001293993351625256</v>
    <v>0</v>
  </rv>
  <rv s="0">
    <v>12</v>
    <v>1632289534143342</v>
    <v>0</v>
  </rv>
  <rv s="0">
    <v>12</v>
    <v>15852828171250902</v>
    <v>0</v>
  </rv>
  <rv s="0">
    <v>12</v>
    <v>06002844316177518</v>
    <v>0</v>
  </rv>
  <rv s="0">
    <v>12</v>
    <v>062475913389766144</v>
    <v>0</v>
  </rv>
  <rv s="0">
    <v>12</v>
    <v>021127780351066692</v>
    <v>0</v>
  </rv>
  <rv s="0">
    <v>12</v>
    <v>005674490686793177</v>
    <v>0</v>
  </rv>
  <rv s="0">
    <v>12</v>
    <v>008193934037691952</v>
    <v>0</v>
  </rv>
  <rv s="0">
    <v>12</v>
    <v>07334094065878076</v>
    <v>0</v>
  </rv>
  <rv s="0">
    <v>12</v>
    <v>06615880521293248</v>
    <v>0</v>
  </rv>
  <rv s="0">
    <v>12</v>
    <v>03225115163791952</v>
    <v>0</v>
  </rv>
  <rv s="0">
    <v>12</v>
    <v>009503229979742015</v>
    <v>0</v>
  </rv>
  <rv s="0">
    <v>12</v>
    <v>004750283360539548</v>
    <v>0</v>
  </rv>
  <rv s="0">
    <v>12</v>
    <v>002011806450897112</v>
    <v>0</v>
  </rv>
  <rv s="0">
    <v>12</v>
    <v>0021648898917587312</v>
    <v>0</v>
  </rv>
  <rv s="0">
    <v>12</v>
    <v>0009171500447812021</v>
    <v>0</v>
  </rv>
  <rv s="0">
    <v>12</v>
    <v>015906189071633006</v>
    <v>0</v>
  </rv>
  <rv s="0">
    <v>12</v>
    <v>012131031620321347</v>
    <v>0</v>
  </rv>
  <rv s="0">
    <v>12</v>
    <v>0013329786824280616</v>
    <v>0</v>
  </rv>
  <rv s="0">
    <v>12</v>
    <v>007894201043002248</v>
    <v>0</v>
  </rv>
  <rv s="0">
    <v>12</v>
    <v>028405376984170755</v>
    <v>0</v>
  </rv>
  <rv s="0">
    <v>12</v>
    <v>026846132812880577</v>
    <v>0</v>
  </rv>
  <rv s="0">
    <v>12</v>
    <v>006816998033753099</v>
    <v>0</v>
  </rv>
  <rv s="0">
    <v>12</v>
    <v>023057239910005904</v>
    <v>0</v>
  </rv>
  <rv s="0">
    <v>12</v>
    <v>004888224884974002</v>
    <v>0</v>
  </rv>
  <rv s="0">
    <v>12</v>
    <v>003736791605938295</v>
    <v>0</v>
  </rv>
  <rv s="0">
    <v>12</v>
    <v>009487147073455073</v>
    <v>0</v>
  </rv>
  <rv s="0">
    <v>12</v>
    <v>004822136313092107</v>
    <v>0</v>
  </rv>
  <rv s="0">
    <v>12</v>
    <v>02648467755848502</v>
    <v>0</v>
  </rv>
  <rv s="0">
    <v>12</v>
    <v>028373581716627485</v>
    <v>0</v>
  </rv>
  <rv s="0">
    <v>12</v>
    <v>011376053445718166</v>
    <v>0</v>
  </rv>
  <rv s="0">
    <v>12</v>
    <v>010881102002765158</v>
    <v>0</v>
  </rv>
  <rv s="0">
    <v>12</v>
    <v>001377863841732664</v>
    <v>0</v>
  </rv>
  <rv s="0">
    <v>12</v>
    <v>013650937113599984</v>
    <v>0</v>
  </rv>
  <rv s="0">
    <v>12</v>
    <v>03501619631686873</v>
    <v>0</v>
  </rv>
  <rv s="0">
    <v>12</v>
    <v>007291079844795427</v>
    <v>0</v>
  </rv>
  <rv s="0">
    <v>12</v>
    <v>02996028634442371</v>
    <v>0</v>
  </rv>
  <rv s="0">
    <v>12</v>
    <v>04237539445322832</v>
    <v>0</v>
  </rv>
  <rv s="0">
    <v>12</v>
    <v>04792257206353274</v>
    <v>0</v>
  </rv>
  <rv s="0">
    <v>12</v>
    <v>04513402643045144</v>
    <v>0</v>
  </rv>
  <rv s="0">
    <v>12</v>
    <v>007143546501456297</v>
    <v>0</v>
  </rv>
  <rv s="0">
    <v>12</v>
    <v>0019440337480977274</v>
    <v>0</v>
  </rv>
  <rv s="0">
    <v>12</v>
    <v>06150071496899003</v>
    <v>0</v>
  </rv>
  <rv s="0">
    <v>12</v>
    <v>6324495404357846e</v>
    <v>0</v>
  </rv>
  <rv s="0">
    <v>12</v>
    <v>022487237208498833</v>
    <v>0</v>
  </rv>
  <rv s="0">
    <v>12</v>
    <v>06397440512665048</v>
    <v>0</v>
  </rv>
  <rv s="0">
    <v>12</v>
    <v>011203716771815413</v>
    <v>0</v>
  </rv>
  <rv s="0">
    <v>12</v>
    <v>04916688050999548</v>
    <v>0</v>
  </rv>
  <rv s="0">
    <v>12</v>
    <v>014793962592893724</v>
    <v>0</v>
  </rv>
  <rv s="0">
    <v>12</v>
    <v>03580039741882704</v>
    <v>0</v>
  </rv>
  <rv s="0">
    <v>12</v>
    <v>016397573502797035</v>
    <v>0</v>
  </rv>
  <rv s="0">
    <v>12</v>
    <v>00380407061514583</v>
    <v>0</v>
  </rv>
  <rv s="0">
    <v>12</v>
    <v>009581446573688956</v>
    <v>0</v>
  </rv>
  <rv s="0">
    <v>12</v>
    <v>053081599453930914</v>
    <v>0</v>
  </rv>
  <rv s="0">
    <v>12</v>
    <v>13823253435933705</v>
    <v>0</v>
  </rv>
  <rv s="0">
    <v>12</v>
    <v>004562767265819142</v>
    <v>0</v>
  </rv>
  <rv s="0">
    <v>12</v>
    <v>01803018717919621</v>
    <v>0</v>
  </rv>
  <rv s="0">
    <v>12</v>
    <v>008821764661033163</v>
    <v>0</v>
  </rv>
  <rv s="0">
    <v>12</v>
    <v>00150160516910269</v>
    <v>0</v>
  </rv>
  <rv s="0">
    <v>12</v>
    <v>014453720899580897</v>
    <v>0</v>
  </rv>
  <rv s="0">
    <v>12</v>
    <v>012626445916555732</v>
    <v>0</v>
  </rv>
  <rv s="0">
    <v>12</v>
    <v>005658615201465826</v>
    <v>0</v>
  </rv>
  <rv s="0">
    <v>12</v>
    <v>0012843013030545659</v>
    <v>0</v>
  </rv>
  <rv s="0">
    <v>12</v>
    <v>01378689455956534</v>
    <v>0</v>
  </rv>
  <rv s="0">
    <v>12</v>
    <v>014496816976764039</v>
    <v>0</v>
  </rv>
  <rv s="0">
    <v>12</v>
    <v>02908320704164889</v>
    <v>0</v>
  </rv>
  <rv s="0">
    <v>12</v>
    <v>04205681647230908</v>
    <v>0</v>
  </rv>
  <rv s="0">
    <v>12</v>
    <v>04294054288555499</v>
    <v>0</v>
  </rv>
  <rv s="0">
    <v>12</v>
    <v>005597819969947221</v>
    <v>0</v>
  </rv>
  <rv s="0">
    <v>12</v>
    <v>005527404156914877</v>
    <v>0</v>
  </rv>
  <rv s="0">
    <v>12</v>
    <v>001663922119226541</v>
    <v>0</v>
  </rv>
  <rv s="0">
    <v>12</v>
    <v>06520362552371747</v>
    <v>0</v>
  </rv>
  <rv s="0">
    <v>12</v>
    <v>03226967622027544</v>
    <v>0</v>
  </rv>
  <rv s="0">
    <v>12</v>
    <v>03730013557475149</v>
    <v>0</v>
  </rv>
  <rv s="0">
    <v>12</v>
    <v>005963148429327047</v>
    <v>0</v>
  </rv>
  <rv s="0">
    <v>12</v>
    <v>024027634415020798</v>
    <v>0</v>
  </rv>
  <rv s="0">
    <v>12</v>
    <v>018295375273493064</v>
    <v>0</v>
  </rv>
  <rv s="0">
    <v>12</v>
    <v>0019077757017250088</v>
    <v>0</v>
  </rv>
  <rv s="0">
    <v>12</v>
    <v>01171689215708341</v>
    <v>0</v>
  </rv>
  <rv s="0">
    <v>12</v>
    <v>0043747914913036074</v>
    <v>0</v>
  </rv>
  <rv s="0">
    <v>12</v>
    <v>011436290924160191</v>
    <v>0</v>
  </rv>
  <rv s="0">
    <v>12</v>
    <v>003494657040871462</v>
    <v>0</v>
  </rv>
  <rv s="0">
    <v>12</v>
    <v>010089024992912348</v>
    <v>0</v>
  </rv>
  <rv s="0">
    <v>12</v>
    <v>013972489637471986</v>
    <v>0</v>
  </rv>
  <rv s="0">
    <v>12</v>
    <v>009384667386672454</v>
    <v>0</v>
  </rv>
  <rv s="0">
    <v>12</v>
    <v>02005763972967133</v>
    <v>0</v>
  </rv>
  <rv s="0">
    <v>12</v>
    <v>033091827938875114</v>
    <v>0</v>
  </rv>
  <rv s="0">
    <v>12</v>
    <v>02271504784380512</v>
    <v>0</v>
  </rv>
  <rv s="0">
    <v>12</v>
    <v>011390292266288009</v>
    <v>0</v>
  </rv>
  <rv s="0">
    <v>12</v>
    <v>01115879228003666</v>
    <v>0</v>
  </rv>
  <rv s="0">
    <v>12</v>
    <v>010900421459808709</v>
    <v>0</v>
  </rv>
  <rv s="0">
    <v>12</v>
    <v>006752909074445795</v>
    <v>0</v>
  </rv>
  <rv s="0">
    <v>12</v>
    <v>021654944975378804</v>
    <v>0</v>
  </rv>
  <rv s="0">
    <v>12</v>
    <v>023570626688445742</v>
    <v>0</v>
  </rv>
  <rv s="0">
    <v>12</v>
    <v>0825249007137863</v>
    <v>0</v>
  </rv>
  <rv s="0">
    <v>12</v>
    <v>0043572688650862865</v>
    <v>0</v>
  </rv>
  <rv s="0">
    <v>12</v>
    <v>023616576322985756</v>
    <v>0</v>
  </rv>
  <rv s="0">
    <v>12</v>
    <v>048722295011583476</v>
    <v>0</v>
  </rv>
  <rv s="0">
    <v>12</v>
    <v>067</v>
    <v>0</v>
  </rv>
  <rv s="0">
    <v>12</v>
    <v>00724511326757628</v>
    <v>0</v>
  </rv>
  <rv s="0">
    <v>12</v>
    <v>013506023110494949</v>
    <v>0</v>
  </rv>
  <rv s="0">
    <v>12</v>
    <v>009333483842001708</v>
    <v>0</v>
  </rv>
  <rv s="0">
    <v>12</v>
    <v>132</v>
    <v>0</v>
  </rv>
  <rv s="0">
    <v>12</v>
    <v>013119700527589942</v>
    <v>0</v>
  </rv>
  <rv s="0">
    <v>12</v>
    <v>05476413656653297</v>
    <v>0</v>
  </rv>
  <rv s="0">
    <v>12</v>
    <v>031440277750840386</v>
    <v>0</v>
  </rv>
  <rv s="0">
    <v>12</v>
    <v>013222639842944606</v>
    <v>0</v>
  </rv>
  <rv s="0">
    <v>12</v>
    <v>02174474432225681</v>
    <v>0</v>
  </rv>
  <rv s="0">
    <v>12</v>
    <v>004817883617708965</v>
    <v>0</v>
  </rv>
  <rv s="0">
    <v>12</v>
    <v>0016214590164392243</v>
    <v>0</v>
  </rv>
  <rv s="0">
    <v>12</v>
    <v>03992483611832884</v>
    <v>0</v>
  </rv>
  <rv s="0">
    <v>12</v>
    <v>02173065399343258</v>
    <v>0</v>
  </rv>
  <rv s="0">
    <v>12</v>
    <v>003949926597608866</v>
    <v>0</v>
  </rv>
  <rv s="0">
    <v>12</v>
    <v>0020107217695570323</v>
    <v>0</v>
  </rv>
  <rv s="0">
    <v>12</v>
    <v>0005534777351963251</v>
    <v>0</v>
  </rv>
  <rv s="0">
    <v>12</v>
    <v>0004417350892515993</v>
    <v>0</v>
  </rv>
  <rv s="0">
    <v>12</v>
    <v>02920195785475652</v>
    <v>0</v>
  </rv>
  <rv s="0">
    <v>12</v>
    <v>007781048964759093</v>
    <v>0</v>
  </rv>
  <rv s="0">
    <v>12</v>
    <v>062381826640605084</v>
    <v>0</v>
  </rv>
  <rv s="0">
    <v>12</v>
    <v>40862126036918356</v>
    <v>0</v>
  </rv>
  <rv s="0">
    <v>12</v>
    <v>009395402515083305</v>
    <v>0</v>
  </rv>
  <rv s="0">
    <v>12</v>
    <v>04042639196099022</v>
    <v>0</v>
  </rv>
  <rv s="0">
    <v>12</v>
    <v>012997855548743992</v>
    <v>0</v>
  </rv>
  <rv s="0">
    <v>12</v>
    <v>011119820469848728</v>
    <v>0</v>
  </rv>
  <rv s="0">
    <v>12</v>
    <v>010372034173684038</v>
    <v>0</v>
  </rv>
  <rv s="0">
    <v>12</v>
    <v>03982273365140654</v>
    <v>0</v>
  </rv>
  <rv s="0">
    <v>12</v>
    <v>03985184552221772</v>
    <v>0</v>
  </rv>
  <rv s="0">
    <v>12</v>
    <v>010298474626725687</v>
    <v>0</v>
  </rv>
  <rv s="0">
    <v>12</v>
    <v>0010624219107318463</v>
    <v>0</v>
  </rv>
  <rv s="0">
    <v>12</v>
    <v>012467488349778923</v>
    <v>0</v>
  </rv>
  <rv s="0">
    <v>12</v>
    <v>0023913389072863244</v>
    <v>0</v>
  </rv>
  <rv s="0">
    <v>12</v>
    <v>02062759941055433</v>
    <v>0</v>
  </rv>
  <rv s="0">
    <v>12</v>
    <v>02379517475247162</v>
    <v>0</v>
  </rv>
  <rv s="0">
    <v>12</v>
    <v>000862111114114169</v>
    <v>0</v>
  </rv>
  <rv s="0">
    <v>12</v>
    <v>02909252440607367</v>
    <v>0</v>
  </rv>
  <rv s="0">
    <v>12</v>
    <v>011664400810176343</v>
    <v>0</v>
  </rv>
  <rv s="0">
    <v>12</v>
    <v>009613226428900515</v>
    <v>0</v>
  </rv>
  <rv s="0">
    <v>12</v>
    <v>024531666276379243</v>
    <v>0</v>
  </rv>
  <rv s="0">
    <v>12</v>
    <v>0013271303106232428</v>
    <v>0</v>
  </rv>
  <rv s="0">
    <v>12</v>
    <v>004426692487819169</v>
    <v>0</v>
  </rv>
  <rv s="0">
    <v>12</v>
    <v>019645058113008543</v>
    <v>0</v>
  </rv>
  <rv s="0">
    <v>12</v>
    <v>01362047826764544</v>
    <v>0</v>
  </rv>
  <rv s="0">
    <v>12</v>
    <v>02287930650344356</v>
    <v>0</v>
  </rv>
  <rv s="0">
    <v>12</v>
    <v>041361496954670486</v>
    <v>0</v>
  </rv>
  <rv s="0">
    <v>12</v>
    <v>22103391243098836</v>
    <v>0</v>
  </rv>
  <rv s="0">
    <v>12</v>
    <v>015607872626374213</v>
    <v>0</v>
  </rv>
  <rv s="0">
    <v>12</v>
    <v>0012988939796643964</v>
    <v>0</v>
  </rv>
  <rv s="0">
    <v>12</v>
    <v>03528182525557967</v>
    <v>0</v>
  </rv>
  <rv s="0">
    <v>12</v>
    <v>012155750431094306</v>
    <v>0</v>
  </rv>
  <rv s="0">
    <v>12</v>
    <v>018880672465530206</v>
    <v>0</v>
  </rv>
  <rv s="0">
    <v>12</v>
    <v>031631478997677084</v>
    <v>0</v>
  </rv>
  <rv s="0">
    <v>12</v>
    <v>047168130996273865</v>
    <v>0</v>
  </rv>
  <rv s="0">
    <v>12</v>
    <v>07947455875978106</v>
    <v>0</v>
  </rv>
  <rv s="0">
    <v>12</v>
    <v>012693244514622698</v>
    <v>0</v>
  </rv>
  <rv s="0">
    <v>12</v>
    <v>0033730191114267217</v>
    <v>0</v>
  </rv>
  <rv s="0">
    <v>12</v>
    <v>010503343870009904</v>
    <v>0</v>
  </rv>
  <rv s="0">
    <v>12</v>
    <v>012049307899081436</v>
    <v>0</v>
  </rv>
  <rv s="0">
    <v>12</v>
    <v>015445046843225734</v>
    <v>0</v>
  </rv>
  <rv s="0">
    <v>12</v>
    <v>633</v>
    <v>0</v>
  </rv>
  <rv s="0">
    <v>12</v>
    <v>411885430073439</v>
    <v>0</v>
  </rv>
  <rv s="0">
    <v>12</v>
    <v>006811319564717416</v>
    <v>0</v>
  </rv>
  <rv s="0">
    <v>12</v>
    <v>3</v>
    <v>0</v>
  </rv>
  <rv s="0">
    <v>12</v>
    <v>019704192046974125</v>
    <v>0</v>
  </rv>
  <rv s="0">
    <v>12</v>
    <v>006040890792915817</v>
    <v>0</v>
  </rv>
  <rv s="0">
    <v>12</v>
    <v>016622961477574603</v>
    <v>0</v>
  </rv>
  <rv s="0">
    <v>12</v>
    <v>03363058950378429</v>
    <v>0</v>
  </rv>
  <rv s="0">
    <v>12</v>
    <v>006998040962270612</v>
    <v>0</v>
  </rv>
  <rv s="0">
    <v>12</v>
    <v>017561180822728152</v>
    <v>0</v>
  </rv>
  <rv s="0">
    <v>12</v>
    <v>021060830772071413</v>
    <v>0</v>
  </rv>
  <rv s="0">
    <v>12</v>
    <v>00015228992394941638</v>
    <v>0</v>
  </rv>
  <rv s="0">
    <v>12</v>
    <v>009296918556598926</v>
    <v>0</v>
  </rv>
  <rv s="0">
    <v>12</v>
    <v>0024707052933160404</v>
    <v>0</v>
  </rv>
  <rv s="0">
    <v>12</v>
    <v>01746259844098189</v>
    <v>0</v>
  </rv>
  <rv s="0">
    <v>12</v>
    <v>006684915259827973</v>
    <v>0</v>
  </rv>
  <rv s="0">
    <v>12</v>
    <v>03067880618253528</v>
    <v>0</v>
  </rv>
  <rv s="0">
    <v>12</v>
    <v>001316265057014678</v>
    <v>0</v>
  </rv>
  <rv s="0">
    <v>12</v>
    <v>00133760854411581</v>
    <v>0</v>
  </rv>
  <rv s="0">
    <v>12</v>
    <v>0010958610617670583</v>
    <v>0</v>
  </rv>
  <rv s="0">
    <v>12</v>
    <v>005734093702660649</v>
    <v>0</v>
  </rv>
  <rv s="0">
    <v>12</v>
    <v>0002468668645755657</v>
    <v>0</v>
  </rv>
  <rv s="0">
    <v>12</v>
    <v>017814925019802853</v>
    <v>0</v>
  </rv>
  <rv s="0">
    <v>12</v>
    <v>002137238788152808</v>
    <v>0</v>
  </rv>
  <rv s="0">
    <v>12</v>
    <v>011936462276494801</v>
    <v>0</v>
  </rv>
  <rv s="0">
    <v>12</v>
    <v>0025008738090209967</v>
    <v>0</v>
  </rv>
  <rv s="0">
    <v>12</v>
    <v>002873799380925687</v>
    <v>0</v>
  </rv>
  <rv s="0">
    <v>12</v>
    <v>015972392834751895</v>
    <v>0</v>
  </rv>
  <rv s="0">
    <v>12</v>
    <v>012080791109219693</v>
    <v>0</v>
  </rv>
  <rv s="0">
    <v>12</v>
    <v>02573533607150682</v>
    <v>0</v>
  </rv>
  <rv s="0">
    <v>12</v>
    <v>004803850938822829</v>
    <v>0</v>
  </rv>
  <rv s="0">
    <v>12</v>
    <v>026201832703080085</v>
    <v>0</v>
  </rv>
  <rv s="0">
    <v>12</v>
    <v>007207402796213104</v>
    <v>0</v>
  </rv>
  <rv s="0">
    <v>12</v>
    <v>034702571489542006</v>
    <v>0</v>
  </rv>
  <rv s="0">
    <v>12</v>
    <v>043514798159604434</v>
    <v>0</v>
  </rv>
  <rv s="0">
    <v>12</v>
    <v>0539110065334219</v>
    <v>0</v>
  </rv>
  <rv s="0">
    <v>12</v>
    <v>09971271569937173</v>
    <v>0</v>
  </rv>
  <rv s="0">
    <v>12</v>
    <v>04134986958693878</v>
    <v>0</v>
  </rv>
  <rv s="0">
    <v>12</v>
    <v>0544104595001746</v>
    <v>0</v>
  </rv>
  <rv s="0">
    <v>12</v>
    <v>03953453477268493</v>
    <v>0</v>
  </rv>
  <rv s="0">
    <v>12</v>
    <v>011337121373741437</v>
    <v>0</v>
  </rv>
  <rv s="0">
    <v>12</v>
    <v>04815100604635991</v>
    <v>0</v>
  </rv>
  <rv s="0">
    <v>12</v>
    <v>05393904518339221</v>
    <v>0</v>
  </rv>
  <rv s="0">
    <v>12</v>
    <v>006382288058788737</v>
    <v>0</v>
  </rv>
  <rv s="0">
    <v>12</v>
    <v>09710153355176175</v>
    <v>0</v>
  </rv>
  <rv s="0">
    <v>12</v>
    <v>031627295829111016</v>
    <v>0</v>
  </rv>
  <rv s="0">
    <v>12</v>
    <v>01569842188965657</v>
    <v>0</v>
  </rv>
  <rv s="0">
    <v>12</v>
    <v>03876130075207164</v>
    <v>0</v>
  </rv>
  <rv s="0">
    <v>12</v>
    <v>02995064070279495</v>
    <v>0</v>
  </rv>
  <rv s="0">
    <v>12</v>
    <v>018730106221504353</v>
    <v>0</v>
  </rv>
  <rv s="0">
    <v>12</v>
    <v>026207353093538707</v>
    <v>0</v>
  </rv>
  <rv s="0">
    <v>12</v>
    <v>015669599180873767</v>
    <v>0</v>
  </rv>
  <rv s="0">
    <v>12</v>
    <v>0015190703923089193</v>
    <v>0</v>
  </rv>
  <rv s="0">
    <v>12</v>
    <v>020766248762345833</v>
    <v>0</v>
  </rv>
  <rv s="0">
    <v>12</v>
    <v>019786905209441156</v>
    <v>0</v>
  </rv>
  <rv s="0">
    <v>12</v>
    <v>05443968596334749</v>
    <v>0</v>
  </rv>
  <rv s="0">
    <v>12</v>
    <v>05447731779121306</v>
    <v>0</v>
  </rv>
  <rv s="0">
    <v>12</v>
    <v>06290806566922279</v>
    <v>0</v>
  </rv>
  <rv s="0">
    <v>12</v>
    <v>022666551074141193</v>
    <v>0</v>
  </rv>
  <rv s="0">
    <v>12</v>
    <v>02875835367199102</v>
    <v>0</v>
  </rv>
  <rv s="0">
    <v>12</v>
    <v>028383559965497303</v>
    <v>0</v>
  </rv>
  <rv s="0">
    <v>12</v>
    <v>02713514707813729</v>
    <v>0</v>
  </rv>
  <rv s="0">
    <v>12</v>
    <v>018899642558599068</v>
    <v>0</v>
  </rv>
  <rv s="0">
    <v>12</v>
    <v>0011036260634186004</v>
    <v>0</v>
  </rv>
  <rv s="0">
    <v>12</v>
    <v>105</v>
    <v>0</v>
  </rv>
  <rv s="0">
    <v>12</v>
    <v>0010682896642811189</v>
    <v>0</v>
  </rv>
  <rv s="0">
    <v>12</v>
    <v>0253695364648914</v>
    <v>0</v>
  </rv>
  <rv s="0">
    <v>12</v>
    <v>024837802236202636</v>
    <v>0</v>
  </rv>
  <rv s="0">
    <v>12</v>
    <v>021481646362703964</v>
    <v>0</v>
  </rv>
  <rv s="0">
    <v>12</v>
    <v>03923650189279959</v>
    <v>0</v>
  </rv>
  <rv s="0">
    <v>12</v>
    <v>028893777796158166</v>
    <v>0</v>
  </rv>
  <rv s="0">
    <v>12</v>
    <v>026329320140541748</v>
    <v>0</v>
  </rv>
  <rv s="0">
    <v>12</v>
    <v>00799965946750088</v>
    <v>0</v>
  </rv>
  <rv s="0">
    <v>12</v>
    <v>03948808767705079</v>
    <v>0</v>
  </rv>
  <rv s="0">
    <v>12</v>
    <v>003042021722650436</v>
    <v>0</v>
  </rv>
  <rv s="0">
    <v>12</v>
    <v>009912036362517425</v>
    <v>0</v>
  </rv>
  <rv s="0">
    <v>12</v>
    <v>051147575064047136</v>
    <v>0</v>
  </rv>
  <rv s="0">
    <v>12</v>
    <v>0085603549253876</v>
    <v>0</v>
  </rv>
  <rv s="0">
    <v>12</v>
    <v>007273211102380195</v>
    <v>0</v>
  </rv>
  <rv s="0">
    <v>12</v>
    <v>0016175667499424998</v>
    <v>0</v>
  </rv>
  <rv s="0">
    <v>12</v>
    <v>004132873704504614</v>
    <v>0</v>
  </rv>
  <rv s="0">
    <v>12</v>
    <v>03048535499403088</v>
    <v>0</v>
  </rv>
  <rv s="0">
    <v>12</v>
    <v>010067266440893652</v>
    <v>0</v>
  </rv>
  <rv s="0">
    <v>12</v>
    <v>030519843585469074</v>
    <v>0</v>
  </rv>
  <rv s="0">
    <v>12</v>
    <v>047067078725403</v>
    <v>0</v>
  </rv>
  <rv s="0">
    <v>12</v>
    <v>013408650764259109</v>
    <v>0</v>
  </rv>
  <rv s="0">
    <v>12</v>
    <v>01826182231488364</v>
    <v>0</v>
  </rv>
  <rv s="0">
    <v>12</v>
    <v>007479228515584842</v>
    <v>0</v>
  </rv>
  <rv s="0">
    <v>12</v>
    <v>01250981511616721</v>
    <v>0</v>
  </rv>
  <rv s="0">
    <v>12</v>
    <v>012537997648028853</v>
    <v>0</v>
  </rv>
  <rv s="0">
    <v>12</v>
    <v>004386386458540961</v>
    <v>0</v>
  </rv>
  <rv s="0">
    <v>12</v>
    <v>017653698639830698</v>
    <v>0</v>
  </rv>
  <rv s="0">
    <v>12</v>
    <v>09319710747613691</v>
    <v>0</v>
  </rv>
  <rv s="0">
    <v>12</v>
    <v>06942117990709433</v>
    <v>0</v>
  </rv>
  <rv s="0">
    <v>12</v>
    <v>025934589053489537</v>
    <v>0</v>
  </rv>
  <rv s="0">
    <v>12</v>
    <v>1159550173921117</v>
    <v>0</v>
  </rv>
  <rv s="0">
    <v>12</v>
    <v>03140187268909026</v>
    <v>0</v>
  </rv>
  <rv s="0">
    <v>12</v>
    <v>04248569949774522</v>
    <v>0</v>
  </rv>
  <rv s="0">
    <v>12</v>
    <v>003979708643585937</v>
    <v>0</v>
  </rv>
  <rv s="0">
    <v>12</v>
    <v>027628984881185592</v>
    <v>0</v>
  </rv>
  <rv s="0">
    <v>12</v>
    <v>04002023803148099</v>
    <v>0</v>
  </rv>
  <rv s="0">
    <v>12</v>
    <v>026717232242254085</v>
    <v>0</v>
  </rv>
  <rv s="0">
    <v>12</v>
    <v>00044908958855552003</v>
    <v>0</v>
  </rv>
  <rv s="0">
    <v>12</v>
    <v>006662833605940185</v>
    <v>0</v>
  </rv>
  <rv s="0">
    <v>12</v>
    <v>012748512592278632</v>
    <v>0</v>
  </rv>
  <rv s="0">
    <v>12</v>
    <v>0013277226939987393</v>
    <v>0</v>
  </rv>
  <rv s="0">
    <v>12</v>
    <v>021549098370036875</v>
    <v>0</v>
  </rv>
  <rv s="0">
    <v>12</v>
    <v>01995240988766524</v>
    <v>0</v>
  </rv>
  <rv s="0">
    <v>12</v>
    <v>0048096703953457885</v>
    <v>0</v>
  </rv>
  <rv s="0">
    <v>12</v>
    <v>008103079725215062</v>
    <v>0</v>
  </rv>
  <rv s="0">
    <v>12</v>
    <v>017210295086067966</v>
    <v>0</v>
  </rv>
  <rv s="0">
    <v>12</v>
    <v>05528248071837951</v>
    <v>0</v>
  </rv>
  <rv s="0">
    <v>12</v>
    <v>06799356141974158</v>
    <v>0</v>
  </rv>
  <rv s="0">
    <v>12</v>
    <v>019092631168771343</v>
    <v>0</v>
  </rv>
  <rv s="0">
    <v>12</v>
    <v>0018468286743722083</v>
    <v>0</v>
  </rv>
  <rv s="0">
    <v>12</v>
    <v>0048934188324857445</v>
    <v>0</v>
  </rv>
  <rv s="0">
    <v>12</v>
    <v>0022773456251043243</v>
    <v>0</v>
  </rv>
  <rv s="0">
    <v>12</v>
    <v>0071679974801653595</v>
    <v>0</v>
  </rv>
  <rv s="0">
    <v>12</v>
    <v>007364500208631679</v>
    <v>0</v>
  </rv>
  <rv s="0">
    <v>12</v>
    <v>024239885400244614</v>
    <v>0</v>
  </rv>
  <rv s="0">
    <v>12</v>
    <v>01622351823236755</v>
    <v>0</v>
  </rv>
  <rv s="0">
    <v>12</v>
    <v>017359055631263293</v>
    <v>0</v>
  </rv>
  <rv s="0">
    <v>12</v>
    <v>021540316593315588</v>
    <v>0</v>
  </rv>
  <rv s="0">
    <v>12</v>
    <v>02950850251430268</v>
    <v>0</v>
  </rv>
  <rv s="0">
    <v>12</v>
    <v>015755683867259673</v>
    <v>0</v>
  </rv>
  <rv s="0">
    <v>12</v>
    <v>009163698891496565</v>
    <v>0</v>
  </rv>
  <rv s="0">
    <v>12</v>
    <v>05166432193947708</v>
    <v>0</v>
  </rv>
  <rv s="0">
    <v>12</v>
    <v>03309160229709233</v>
    <v>0</v>
  </rv>
  <rv s="0">
    <v>12</v>
    <v>0019543082799716523</v>
    <v>0</v>
  </rv>
  <rv s="0">
    <v>12</v>
    <v>0060370846761958336</v>
    <v>0</v>
  </rv>
  <rv s="0">
    <v>12</v>
    <v>009822667504047412</v>
    <v>0</v>
  </rv>
  <rv s="0">
    <v>12</v>
    <v>06282081946532764</v>
    <v>0</v>
  </rv>
  <rv s="0">
    <v>12</v>
    <v>004182476406829831</v>
    <v>0</v>
  </rv>
  <rv s="0">
    <v>12</v>
    <v>007182006239403613</v>
    <v>0</v>
  </rv>
  <rv s="0">
    <v>12</v>
    <v>013476850766656763</v>
    <v>0</v>
  </rv>
  <rv s="0">
    <v>12</v>
    <v>006980733550855105</v>
    <v>0</v>
  </rv>
  <rv s="0">
    <v>12</v>
    <v>0247746914035037</v>
    <v>0</v>
  </rv>
  <rv s="0">
    <v>12</v>
    <v>02588655027953625</v>
    <v>0</v>
  </rv>
  <rv s="0">
    <v>12</v>
    <v>0776562058321345</v>
    <v>0</v>
  </rv>
  <rv s="0">
    <v>12</v>
    <v>00011968866156980933</v>
    <v>0</v>
  </rv>
  <rv s="0">
    <v>12</v>
    <v>10385775184868788</v>
    <v>0</v>
  </rv>
  <rv s="0">
    <v>12</v>
    <v>026296546775458007</v>
    <v>0</v>
  </rv>
  <rv s="0">
    <v>12</v>
    <v>024271389501502108</v>
    <v>0</v>
  </rv>
  <rv s="0">
    <v>12</v>
    <v>0001360135177433064</v>
    <v>0</v>
  </rv>
  <rv s="0">
    <v>12</v>
    <v>02016656584913314</v>
    <v>0</v>
  </rv>
  <rv s="0">
    <v>12</v>
    <v>00054263369011767</v>
    <v>0</v>
  </rv>
  <rv s="0">
    <v>12</v>
    <v>0260618943238391</v>
    <v>0</v>
  </rv>
  <rv s="0">
    <v>12</v>
    <v>028685424318734092</v>
    <v>0</v>
  </rv>
  <rv s="0">
    <v>12</v>
    <v>0012311903791880601</v>
    <v>0</v>
  </rv>
  <rv s="0">
    <v>12</v>
    <v>05535945509654834</v>
    <v>0</v>
  </rv>
  <rv s="0">
    <v>12</v>
    <v>03268367114098477</v>
    <v>0</v>
  </rv>
  <rv s="0">
    <v>12</v>
    <v>0059136246060336</v>
    <v>0</v>
  </rv>
  <rv s="0">
    <v>12</v>
    <v>005782812935869432</v>
    <v>0</v>
  </rv>
  <rv s="0">
    <v>12</v>
    <v>053253705459692255</v>
    <v>0</v>
  </rv>
  <rv s="0">
    <v>12</v>
    <v>043294713186804</v>
    <v>0</v>
  </rv>
  <rv s="0">
    <v>12</v>
    <v>04411131741343078</v>
    <v>0</v>
  </rv>
  <rv s="0">
    <v>12</v>
    <v>10677451125834268</v>
    <v>0</v>
  </rv>
  <rv s="0">
    <v>12</v>
    <v>0009787088209190005</v>
    <v>0</v>
  </rv>
  <rv s="0">
    <v>12</v>
    <v>026304663011792382</v>
    <v>0</v>
  </rv>
  <rv s="0">
    <v>12</v>
    <v>06462812440226012</v>
    <v>0</v>
  </rv>
  <rv s="0">
    <v>12</v>
    <v>0064861310408437555</v>
    <v>0</v>
  </rv>
  <rv s="0">
    <v>12</v>
    <v>015736492279688614</v>
    <v>0</v>
  </rv>
  <rv s="0">
    <v>12</v>
    <v>0017111856316637285</v>
    <v>0</v>
  </rv>
  <rv s="0">
    <v>12</v>
    <v>03378083999577063</v>
    <v>0</v>
  </rv>
  <rv s="0">
    <v>12</v>
    <v>137</v>
    <v>0</v>
  </rv>
  <rv s="0">
    <v>12</v>
    <v>21574795522873436</v>
    <v>0</v>
  </rv>
  <rv s="0">
    <v>12</v>
    <v>0205402434342847</v>
    <v>0</v>
  </rv>
  <rv s="0">
    <v>12</v>
    <v>05627809350118681</v>
    <v>0</v>
  </rv>
  <rv s="0">
    <v>12</v>
    <v>015578039467393773</v>
    <v>0</v>
  </rv>
  <rv s="0">
    <v>12</v>
    <v>04069341224525974</v>
    <v>0</v>
  </rv>
  <rv s="0">
    <v>12</v>
    <v>017350981133067656</v>
    <v>0</v>
  </rv>
  <rv s="0">
    <v>12</v>
    <v>012359138674948648</v>
    <v>0</v>
  </rv>
  <rv s="0">
    <v>12</v>
    <v>010077111116285136</v>
    <v>0</v>
  </rv>
  <rv s="0">
    <v>12</v>
    <v>1511821834779145</v>
    <v>0</v>
  </rv>
  <rv s="0">
    <v>12</v>
    <v>021410673815968954</v>
    <v>0</v>
  </rv>
  <rv s="0">
    <v>12</v>
    <v>19618611662558796</v>
    <v>0</v>
  </rv>
  <rv s="0">
    <v>12</v>
    <v>14180563186593745</v>
    <v>0</v>
  </rv>
  <rv s="0">
    <v>12</v>
    <v>23245805853048485</v>
    <v>0</v>
  </rv>
  <rv s="0">
    <v>12</v>
    <v>13027309348179664</v>
    <v>0</v>
  </rv>
  <rv s="0">
    <v>12</v>
    <v>025889089660769443</v>
    <v>0</v>
  </rv>
  <rv s="0">
    <v>12</v>
    <v>014233492922502842</v>
    <v>0</v>
  </rv>
  <rv s="0">
    <v>12</v>
    <v>482</v>
    <v>0</v>
  </rv>
  <rv s="0">
    <v>12</v>
    <v>034811149298532365</v>
    <v>0</v>
  </rv>
  <rv s="0">
    <v>12</v>
    <v>030559841812169662</v>
    <v>0</v>
  </rv>
  <rv s="0">
    <v>12</v>
    <v>1378979394122488</v>
    <v>0</v>
  </rv>
  <rv s="0">
    <v>12</v>
    <v>10013984654726761</v>
    <v>0</v>
  </rv>
  <rv s="0">
    <v>12</v>
    <v>04900302835870649</v>
    <v>0</v>
  </rv>
  <rv s="0">
    <v>12</v>
    <v>05542192400077904</v>
    <v>0</v>
  </rv>
  <rv s="0">
    <v>12</v>
    <v>06313570251007894</v>
    <v>0</v>
  </rv>
  <rv s="0">
    <v>12</v>
    <v>04267973924882431</v>
    <v>0</v>
  </rv>
  <rv s="0">
    <v>12</v>
    <v>02460411267547828</v>
    <v>0</v>
  </rv>
  <rv s="0">
    <v>12</v>
    <v>07833363939109518</v>
    <v>0</v>
  </rv>
  <rv s="0">
    <v>12</v>
    <v>008550455768695998</v>
    <v>0</v>
  </rv>
  <rv s="0">
    <v>12</v>
    <v>018784918784213525</v>
    <v>0</v>
  </rv>
  <rv s="0">
    <v>12</v>
    <v>16507492943263646</v>
    <v>0</v>
  </rv>
  <rv s="0">
    <v>12</v>
    <v>044680552793392544</v>
    <v>0</v>
  </rv>
  <rv s="0">
    <v>12</v>
    <v>0112051522849122</v>
    <v>0</v>
  </rv>
  <rv s="0">
    <v>12</v>
    <v>002390231374220076</v>
    <v>0</v>
  </rv>
  <rv s="0">
    <v>12</v>
    <v>005476527026462292</v>
    <v>0</v>
  </rv>
  <rv s="0">
    <v>12</v>
    <v>0006274313263703832</v>
    <v>0</v>
  </rv>
  <rv s="0">
    <v>12</v>
    <v>0026758900933587554</v>
    <v>0</v>
  </rv>
  <rv s="0">
    <v>12</v>
    <v>00256859058009166</v>
    <v>0</v>
  </rv>
  <rv s="0">
    <v>12</v>
    <v>009018993438784954</v>
    <v>0</v>
  </rv>
  <rv s="0">
    <v>12</v>
    <v>008364097872860516</v>
    <v>0</v>
  </rv>
  <rv s="0">
    <v>12</v>
    <v>10172185200495633</v>
    <v>0</v>
  </rv>
  <rv s="0">
    <v>12</v>
    <v>008703349925068665</v>
    <v>0</v>
  </rv>
  <rv s="0">
    <v>12</v>
    <v>786764623910096e</v>
    <v>0</v>
  </rv>
  <rv s="0">
    <v>12</v>
    <v>04332570896657144</v>
    <v>0</v>
  </rv>
  <rv s="0">
    <v>12</v>
    <v>73930472805951e</v>
    <v>0</v>
  </rv>
  <rv s="0">
    <v>12</v>
    <v>003937690632647926</v>
    <v>0</v>
  </rv>
  <rv s="0">
    <v>12</v>
    <v>13170143786769156</v>
    <v>0</v>
  </rv>
  <rv s="0">
    <v>12</v>
    <v>02951191973644533</v>
    <v>0</v>
  </rv>
  <rv s="0">
    <v>12</v>
    <v>014469109030506529</v>
    <v>0</v>
  </rv>
  <rv s="0">
    <v>12</v>
    <v>09613251830331197</v>
    <v>0</v>
  </rv>
  <rv s="0">
    <v>12</v>
    <v>137281676217253</v>
    <v>0</v>
  </rv>
  <rv s="0">
    <v>12</v>
    <v>028277101434960764</v>
    <v>0</v>
  </rv>
  <rv s="0">
    <v>12</v>
    <v>236</v>
    <v>0</v>
  </rv>
  <rv s="0">
    <v>12</v>
    <v>05190650377885931</v>
    <v>0</v>
  </rv>
  <rv s="0">
    <v>12</v>
    <v>3738407946477012</v>
    <v>0</v>
  </rv>
  <rv s="0">
    <v>12</v>
    <v>0487569351527904</v>
    <v>0</v>
  </rv>
  <rv s="0">
    <v>12</v>
    <v>10990502247330818</v>
    <v>0</v>
  </rv>
  <rv s="0">
    <v>12</v>
    <v>023085792546860155</v>
    <v>0</v>
  </rv>
  <rv s="0">
    <v>12</v>
    <v>024365253507036715</v>
    <v>0</v>
  </rv>
  <rv s="0">
    <v>12</v>
    <v>03460961630045188</v>
    <v>0</v>
  </rv>
  <rv s="0">
    <v>12</v>
    <v>06141439021179431</v>
    <v>0</v>
  </rv>
  <rv s="0">
    <v>12</v>
    <v>287</v>
    <v>0</v>
  </rv>
  <rv s="0">
    <v>12</v>
    <v>29182644791975804</v>
    <v>0</v>
  </rv>
  <rv s="0">
    <v>12</v>
    <v>171</v>
    <v>0</v>
  </rv>
  <rv s="0">
    <v>12</v>
    <v>06209386952332197</v>
    <v>0</v>
  </rv>
  <rv s="0">
    <v>12</v>
    <v>07686839837617909</v>
    <v>0</v>
  </rv>
  <rv s="0">
    <v>12</v>
    <v>18640503150123425</v>
    <v>0</v>
  </rv>
  <rv s="0">
    <v>12</v>
    <v>02035441366101266</v>
    <v>0</v>
  </rv>
  <rv s="0">
    <v>12</v>
    <v>005357606315147096</v>
    <v>0</v>
  </rv>
  <rv s="0">
    <v>12</v>
    <v>01386991957100871</v>
    <v>0</v>
  </rv>
  <rv s="0">
    <v>12</v>
    <v>21433738265650398</v>
    <v>0</v>
  </rv>
  <rv s="0">
    <v>12</v>
    <v>03267442984603315</v>
    <v>0</v>
  </rv>
  <rv s="0">
    <v>12</v>
    <v>028448614894529368</v>
    <v>0</v>
  </rv>
  <rv s="0">
    <v>12</v>
    <v>1052453313963441</v>
    <v>0</v>
  </rv>
  <rv s="0">
    <v>12</v>
    <v>252967455824578</v>
    <v>0</v>
  </rv>
  <rv s="0">
    <v>12</v>
    <v>06201292660723542</v>
    <v>0</v>
  </rv>
  <rv s="0">
    <v>12</v>
    <v>1681615940984</v>
    <v>0</v>
  </rv>
  <rv s="0">
    <v>12</v>
    <v>008281376832181957</v>
    <v>0</v>
  </rv>
  <rv s="0">
    <v>12</v>
    <v>02164293811964958</v>
    <v>0</v>
  </rv>
  <rv s="0">
    <v>12</v>
    <v>07789447136654633</v>
    <v>0</v>
  </rv>
  <rv s="0">
    <v>12</v>
    <v>021859578839910913</v>
    <v>0</v>
  </rv>
  <rv s="0">
    <v>12</v>
    <v>05535916730488477</v>
    <v>0</v>
  </rv>
  <rv s="0">
    <v>12</v>
    <v>15661323241584263</v>
    <v>0</v>
  </rv>
  <rv s="0">
    <v>12</v>
    <v>011030967217493574</v>
    <v>0</v>
  </rv>
  <rv s="0">
    <v>12</v>
    <v>03712382791533021</v>
    <v>0</v>
  </rv>
  <rv s="0">
    <v>12</v>
    <v>07178232859926093</v>
    <v>0</v>
  </rv>
  <rv s="0">
    <v>12</v>
    <v>03775365690268323</v>
    <v>0</v>
  </rv>
  <rv s="0">
    <v>12</v>
    <v>0018593723661312132</v>
    <v>0</v>
  </rv>
  <rv s="0">
    <v>12</v>
    <v>02296635864162302</v>
    <v>0</v>
  </rv>
  <rv s="0">
    <v>12</v>
    <v>03870059547374131</v>
    <v>0</v>
  </rv>
  <rv s="0">
    <v>12</v>
    <v>0012145148243184328</v>
    <v>0</v>
  </rv>
  <rv s="0">
    <v>12</v>
    <v>015816002877415143</v>
    <v>0</v>
  </rv>
  <rv s="0">
    <v>12</v>
    <v>012685775126662082</v>
    <v>0</v>
  </rv>
  <rv s="0">
    <v>12</v>
    <v>491850355576056e</v>
    <v>0</v>
  </rv>
  <rv s="0">
    <v>12</v>
    <v>002031627892780925</v>
    <v>0</v>
  </rv>
  <rv s="0">
    <v>12</v>
    <v>004511857234258846</v>
    <v>0</v>
  </rv>
  <rv s="0">
    <v>12</v>
    <v>0015583616016136214</v>
    <v>0</v>
  </rv>
  <rv s="0">
    <v>12</v>
    <v>01583308215696139</v>
    <v>0</v>
  </rv>
  <rv s="0">
    <v>12</v>
    <v>2594325064593225</v>
    <v>0</v>
  </rv>
  <rv s="0">
    <v>12</v>
    <v>5177416856385292</v>
    <v>0</v>
  </rv>
  <rv s="0">
    <v>12</v>
    <v>00034074092120849585</v>
    <v>0</v>
  </rv>
  <rv s="0">
    <v>12</v>
    <v>06365733144345616</v>
    <v>0</v>
  </rv>
  <rv s="0">
    <v>12</v>
    <v>010608843609725643</v>
    <v>0</v>
  </rv>
  <rv s="0">
    <v>12</v>
    <v>19655361049719905</v>
    <v>0</v>
  </rv>
  <rv s="0">
    <v>12</v>
    <v>14603537037731606</v>
    <v>0</v>
  </rv>
  <rv s="0">
    <v>12</v>
    <v>018517773000730365</v>
    <v>0</v>
  </rv>
  <rv s="0">
    <v>12</v>
    <v>04093237710877223</v>
    <v>0</v>
  </rv>
  <rv s="0">
    <v>12</v>
    <v>06822041962613874</v>
    <v>0</v>
  </rv>
  <rv s="0">
    <v>12</v>
    <v>00016205246295481168</v>
    <v>0</v>
  </rv>
  <rv s="0">
    <v>12</v>
    <v>0021215325211903307</v>
    <v>0</v>
  </rv>
  <rv s="0">
    <v>12</v>
    <v>0056984644132175395</v>
    <v>0</v>
  </rv>
  <rv s="0">
    <v>12</v>
    <v>049164629072459415</v>
    <v>0</v>
  </rv>
  <rv s="0">
    <v>12</v>
    <v>000694455602421015</v>
    <v>0</v>
  </rv>
  <rv s="0">
    <v>12</v>
    <v>0758986402034227</v>
    <v>0</v>
  </rv>
  <rv s="0">
    <v>12</v>
    <v>052574164904498795</v>
    <v>0</v>
  </rv>
  <rv s="0">
    <v>12</v>
    <v>0877047094350705</v>
    <v>0</v>
  </rv>
  <rv s="0">
    <v>12</v>
    <v>019394580881730336</v>
    <v>0</v>
  </rv>
  <rv s="0">
    <v>12</v>
    <v>0019816884556809983</v>
    <v>0</v>
  </rv>
  <rv s="0">
    <v>12</v>
    <v>040439941549647064</v>
    <v>0</v>
  </rv>
  <rv s="0">
    <v>12</v>
    <v>04436048468506084</v>
    <v>0</v>
  </rv>
  <rv s="0">
    <v>12</v>
    <v>0064247467325188636</v>
    <v>0</v>
  </rv>
  <rv s="0">
    <v>12</v>
    <v>029318417149732764</v>
    <v>0</v>
  </rv>
  <rv s="0">
    <v>12</v>
    <v>059356761816053594</v>
    <v>0</v>
  </rv>
  <rv s="0">
    <v>12</v>
    <v>017104041134717436</v>
    <v>0</v>
  </rv>
  <rv s="0">
    <v>12</v>
    <v>03503292153136329</v>
    <v>0</v>
  </rv>
  <rv s="0">
    <v>12</v>
    <v>13423603459988837</v>
    <v>0</v>
  </rv>
  <rv s="0">
    <v>12</v>
    <v>047813543350841814</v>
    <v>0</v>
  </rv>
  <rv s="0">
    <v>12</v>
    <v>03402190579865467</v>
    <v>0</v>
  </rv>
  <rv s="0">
    <v>12</v>
    <v>002498737556180464</v>
    <v>0</v>
  </rv>
  <rv s="0">
    <v>12</v>
    <v>0039692112632427655</v>
    <v>0</v>
  </rv>
  <rv s="0">
    <v>12</v>
    <v>08428125955048102</v>
    <v>0</v>
  </rv>
  <rv s="0">
    <v>12</v>
    <v>07061752591261203</v>
    <v>0</v>
  </rv>
  <rv s="0">
    <v>12</v>
    <v>004991470695109962</v>
    <v>0</v>
  </rv>
  <rv s="0">
    <v>12</v>
    <v>013163769580853947</v>
    <v>0</v>
  </rv>
  <rv s="0">
    <v>12</v>
    <v>0017469925472137552</v>
    <v>0</v>
  </rv>
  <rv s="0">
    <v>12</v>
    <v>095</v>
    <v>0</v>
  </rv>
  <rv s="0">
    <v>12</v>
    <v>056241143849950735</v>
    <v>0</v>
  </rv>
  <rv s="0">
    <v>12</v>
    <v>0074456642880715235</v>
    <v>0</v>
  </rv>
  <rv s="0">
    <v>12</v>
    <v>02802179433550115</v>
    <v>0</v>
  </rv>
  <rv s="0">
    <v>12</v>
    <v>01361613745960604</v>
    <v>0</v>
  </rv>
  <rv s="0">
    <v>12</v>
    <v>0008231427711898029</v>
    <v>0</v>
  </rv>
  <rv s="0">
    <v>12</v>
    <v>006025830767120229</v>
    <v>0</v>
  </rv>
  <rv s="0">
    <v>12</v>
    <v>012523191899630616</v>
    <v>0</v>
  </rv>
  <rv s="0">
    <v>12</v>
    <v>0008097276933225529</v>
    <v>0</v>
  </rv>
  <rv s="0">
    <v>12</v>
    <v>01222050777321584</v>
    <v>0</v>
  </rv>
  <rv s="0">
    <v>12</v>
    <v>030407317447958226</v>
    <v>0</v>
  </rv>
  <rv s="0">
    <v>12</v>
    <v>09336055738474217</v>
    <v>0</v>
  </rv>
  <rv s="0">
    <v>12</v>
    <v>10933062165984385</v>
    <v>0</v>
  </rv>
  <rv s="0">
    <v>12</v>
    <v>016315684002587618</v>
    <v>0</v>
  </rv>
  <rv s="0">
    <v>12</v>
    <v>04689696699731784</v>
    <v>0</v>
  </rv>
  <rv s="0">
    <v>12</v>
    <v>01651670626764906</v>
    <v>0</v>
  </rv>
  <rv s="0">
    <v>12</v>
    <v>0386199657631746</v>
    <v>0</v>
  </rv>
  <rv s="0">
    <v>12</v>
    <v>0761205908323273</v>
    <v>0</v>
  </rv>
  <rv s="0">
    <v>12</v>
    <v>08196011629861036</v>
    <v>0</v>
  </rv>
  <rv s="0">
    <v>12</v>
    <v>07591697867020639</v>
    <v>0</v>
  </rv>
  <rv s="0">
    <v>12</v>
    <v>061207752188567936</v>
    <v>0</v>
  </rv>
  <rv s="0">
    <v>12</v>
    <v>09334074454421974</v>
    <v>0</v>
  </rv>
  <rv s="0">
    <v>12</v>
    <v>03257533608022247</v>
    <v>0</v>
  </rv>
  <rv s="0">
    <v>12</v>
    <v>028030801803910706</v>
    <v>0</v>
  </rv>
  <rv s="0">
    <v>12</v>
    <v>002720005735824167</v>
    <v>0</v>
  </rv>
  <rv s="0">
    <v>12</v>
    <v>006250220267849826</v>
    <v>0</v>
  </rv>
  <rv s="0">
    <v>12</v>
    <v>0042276747608630694</v>
    <v>0</v>
  </rv>
  <rv s="0">
    <v>12</v>
    <v>0054679827731185056</v>
    <v>0</v>
  </rv>
  <rv s="0">
    <v>12</v>
    <v>009108417710361812</v>
    <v>0</v>
  </rv>
  <rv s="0">
    <v>12</v>
    <v>117</v>
    <v>0</v>
  </rv>
  <rv s="0">
    <v>12</v>
    <v>055342280790723626</v>
    <v>0</v>
  </rv>
  <rv s="0">
    <v>12</v>
    <v>1134345156059513</v>
    <v>0</v>
  </rv>
  <rv s="0">
    <v>12</v>
    <v>006724035475985289</v>
    <v>0</v>
  </rv>
  <rv s="0">
    <v>12</v>
    <v>011282673901425006</v>
    <v>0</v>
  </rv>
  <rv s="0">
    <v>12</v>
    <v>017759053988031313</v>
    <v>0</v>
  </rv>
  <rv s="0">
    <v>12</v>
    <v>0026541828905839245</v>
    <v>0</v>
  </rv>
  <rv s="0">
    <v>12</v>
    <v>024254985792151375</v>
    <v>0</v>
  </rv>
  <rv s="0">
    <v>12</v>
    <v>02828458624732373</v>
    <v>0</v>
  </rv>
  <rv s="0">
    <v>12</v>
    <v>025788099982555008</v>
    <v>0</v>
  </rv>
  <rv s="0">
    <v>12</v>
    <v>005973367274502396</v>
    <v>0</v>
  </rv>
  <rv s="0">
    <v>12</v>
    <v>01046630739432652</v>
    <v>0</v>
  </rv>
  <rv s="0">
    <v>12</v>
    <v>005606000705566759</v>
    <v>0</v>
  </rv>
  <rv s="0">
    <v>12</v>
    <v>03658242241257845</v>
    <v>0</v>
  </rv>
  <rv s="0">
    <v>12</v>
    <v>03709693360924324</v>
    <v>0</v>
  </rv>
  <rv s="0">
    <v>12</v>
    <v>03682993029175639</v>
    <v>0</v>
  </rv>
  <rv s="0">
    <v>12</v>
    <v>07154217410379057</v>
    <v>0</v>
  </rv>
  <rv s="0">
    <v>12</v>
    <v>03777214733158508</v>
    <v>0</v>
  </rv>
  <rv s="0">
    <v>12</v>
    <v>03331310888703811</v>
    <v>0</v>
  </rv>
  <rv s="0">
    <v>12</v>
    <v>03337110412834764</v>
    <v>0</v>
  </rv>
  <rv s="0">
    <v>12</v>
    <v>03842595614591207</v>
    <v>0</v>
  </rv>
  <rv s="0">
    <v>12</v>
    <v>042684143573224836</v>
    <v>0</v>
  </rv>
  <rv s="0">
    <v>12</v>
    <v>02006368344999681</v>
    <v>0</v>
  </rv>
  <rv s="0">
    <v>12</v>
    <v>008495253189080803</v>
    <v>0</v>
  </rv>
  <rv s="0">
    <v>12</v>
    <v>01632740355606297</v>
    <v>0</v>
  </rv>
  <rv s="0">
    <v>12</v>
    <v>08310845003330952</v>
    <v>0</v>
  </rv>
  <rv s="0">
    <v>12</v>
    <v>09591214730896476</v>
    <v>0</v>
  </rv>
  <rv s="0">
    <v>12</v>
    <v>00262748427907918</v>
    <v>0</v>
  </rv>
  <rv s="0">
    <v>12</v>
    <v>0023626092060234074</v>
    <v>0</v>
  </rv>
  <rv s="0">
    <v>12</v>
    <v>016499940745878357</v>
    <v>0</v>
  </rv>
  <rv s="0">
    <v>12</v>
    <v>008477684327782231</v>
    <v>0</v>
  </rv>
  <rv s="0">
    <v>12</v>
    <v>008676896605581927</v>
    <v>0</v>
  </rv>
  <rv s="0">
    <v>12</v>
    <v>0031494003778635314</v>
    <v>0</v>
  </rv>
  <rv s="0">
    <v>12</v>
    <v>0033870678295085084</v>
    <v>0</v>
  </rv>
  <rv s="0">
    <v>12</v>
    <v>017846056692300105</v>
    <v>0</v>
  </rv>
  <rv s="0">
    <v>12</v>
    <v>02980359126938528</v>
    <v>0</v>
  </rv>
  <rv s="0">
    <v>12</v>
    <v>0006499106593107785</v>
    <v>0</v>
  </rv>
  <rv s="0">
    <v>12</v>
    <v>013089123418909668</v>
    <v>0</v>
  </rv>
  <rv s="0">
    <v>12</v>
    <v>03979134916391114</v>
    <v>0</v>
  </rv>
  <rv s="0">
    <v>12</v>
    <v>027534047747462913</v>
    <v>0</v>
  </rv>
  <rv s="0">
    <v>12</v>
    <v>033003693407347816</v>
    <v>0</v>
  </rv>
  <rv s="0">
    <v>12</v>
    <v>011979713548171629</v>
    <v>0</v>
  </rv>
  <rv s="0">
    <v>12</v>
    <v>06565393056209472</v>
    <v>0</v>
  </rv>
  <rv s="0">
    <v>12</v>
    <v>0046737281570180525</v>
    <v>0</v>
  </rv>
  <rv s="0">
    <v>12</v>
    <v>06526890505980935</v>
    <v>0</v>
  </rv>
  <rv s="0">
    <v>12</v>
    <v>06748547745481634</v>
    <v>0</v>
  </rv>
  <rv s="0">
    <v>12</v>
    <v>09289414635163436</v>
    <v>0</v>
  </rv>
  <rv s="0">
    <v>12</v>
    <v>007943183348359239</v>
    <v>0</v>
  </rv>
  <rv s="0">
    <v>12</v>
    <v>031330307582832874</v>
    <v>0</v>
  </rv>
  <rv s="0">
    <v>12</v>
    <v>018986405800497323</v>
    <v>0</v>
  </rv>
  <rv s="0">
    <v>12</v>
    <v>20601744382687773</v>
    <v>0</v>
  </rv>
  <rv s="0">
    <v>12</v>
    <v>02989457694566412</v>
    <v>0</v>
  </rv>
  <rv s="0">
    <v>12</v>
    <v>009961203908982206</v>
    <v>0</v>
  </rv>
  <rv s="0">
    <v>12</v>
    <v>13037530428641023</v>
    <v>0</v>
  </rv>
  <rv s="0">
    <v>12</v>
    <v>05364553616873974</v>
    <v>0</v>
  </rv>
  <rv s="0">
    <v>12</v>
    <v>053618743951378604</v>
    <v>0</v>
  </rv>
  <rv s="0">
    <v>12</v>
    <v>0023779110713801985</v>
    <v>0</v>
  </rv>
  <rv s="0">
    <v>12</v>
    <v>18831602084321003</v>
    <v>0</v>
  </rv>
  <rv s="0">
    <v>12</v>
    <v>007804245173803171</v>
    <v>0</v>
  </rv>
  <rv s="0">
    <v>12</v>
    <v>008079506908679566</v>
    <v>0</v>
  </rv>
  <rv s="0">
    <v>12</v>
    <v>01139255037784423</v>
    <v>0</v>
  </rv>
  <rv s="0">
    <v>12</v>
    <v>037047302556028325</v>
    <v>0</v>
  </rv>
  <rv s="0">
    <v>12</v>
    <v>038067515614210755</v>
    <v>0</v>
  </rv>
  <rv s="0">
    <v>12</v>
    <v>0072964475684461245</v>
    <v>0</v>
  </rv>
  <rv s="0">
    <v>12</v>
    <v>5013227345411579</v>
    <v>0</v>
  </rv>
  <rv s="0">
    <v>12</v>
    <v>1479992260060862</v>
    <v>0</v>
  </rv>
  <rv s="0">
    <v>12</v>
    <v>3484380193961048</v>
    <v>0</v>
  </rv>
  <rv s="0">
    <v>12</v>
    <v>4232653639683649</v>
    <v>0</v>
  </rv>
  <rv s="0">
    <v>12</v>
    <v>5484398449644767</v>
    <v>0</v>
  </rv>
  <rv s="0">
    <v>12</v>
    <v>019545613382749242</v>
    <v>0</v>
  </rv>
  <rv s="0">
    <v>12</v>
    <v>024972824605736365</v>
    <v>0</v>
  </rv>
  <rv s="0">
    <v>12</v>
    <v>005502729593679125</v>
    <v>0</v>
  </rv>
  <rv s="0">
    <v>12</v>
    <v>0013748616731327475</v>
    <v>0</v>
  </rv>
  <rv s="0">
    <v>12</v>
    <v>0058494061384330226</v>
    <v>0</v>
  </rv>
  <rv s="0">
    <v>12</v>
    <v>008849377756888693</v>
    <v>0</v>
  </rv>
  <rv s="0">
    <v>12</v>
    <v>0037075413187562405</v>
    <v>0</v>
  </rv>
  <rv s="0">
    <v>12</v>
    <v>2643884979991238</v>
    <v>0</v>
  </rv>
  <rv s="0">
    <v>12</v>
    <v>11978315016256186</v>
    <v>0</v>
  </rv>
  <rv s="0">
    <v>12</v>
    <v>026133350348975834</v>
    <v>0</v>
  </rv>
  <rv s="0">
    <v>12</v>
    <v>021982028291136626</v>
    <v>0</v>
  </rv>
  <rv s="0">
    <v>12</v>
    <v>027460583435342273</v>
    <v>0</v>
  </rv>
  <rv s="0">
    <v>12</v>
    <v>013220628754208995</v>
    <v>0</v>
  </rv>
  <rv s="0">
    <v>12</v>
    <v>0059120956078536095</v>
    <v>0</v>
  </rv>
  <rv s="0">
    <v>12</v>
    <v>018353838435910323</v>
    <v>0</v>
  </rv>
  <rv s="0">
    <v>12</v>
    <v>039103236983394005</v>
    <v>0</v>
  </rv>
  <rv s="0">
    <v>12</v>
    <v>03428972600838477</v>
    <v>0</v>
  </rv>
  <rv s="0">
    <v>12</v>
    <v>04258494288473831</v>
    <v>0</v>
  </rv>
  <rv s="0">
    <v>12</v>
    <v>02279857952796466</v>
    <v>0</v>
  </rv>
  <rv s="0">
    <v>12</v>
    <v>1305252312958028</v>
    <v>0</v>
  </rv>
  <rv s="0">
    <v>12</v>
    <v>12597601964886007</v>
    <v>0</v>
  </rv>
  <rv s="0">
    <v>12</v>
    <v>21371006361192185</v>
    <v>0</v>
  </rv>
  <rv s="0">
    <v>12</v>
    <v>013700003040597802</v>
    <v>0</v>
  </rv>
  <rv s="0">
    <v>12</v>
    <v>0003915690422755052</v>
    <v>0</v>
  </rv>
  <rv s="0">
    <v>12</v>
    <v>03288093093613584</v>
    <v>0</v>
  </rv>
  <rv s="0">
    <v>12</v>
    <v>019448231537822384</v>
    <v>0</v>
  </rv>
  <rv s="0">
    <v>12</v>
    <v>014370859631920158</v>
    <v>0</v>
  </rv>
  <rv s="0">
    <v>12</v>
    <v>0790537388924341</v>
    <v>0</v>
  </rv>
  <rv s="0">
    <v>12</v>
    <v>00030807573518673326</v>
    <v>0</v>
  </rv>
  <rv s="0">
    <v>12</v>
    <v>020220690623931132</v>
    <v>0</v>
  </rv>
  <rv s="0">
    <v>12</v>
    <v>005697564140338424</v>
    <v>0</v>
  </rv>
  <rv s="0">
    <v>12</v>
    <v>008875754261199497</v>
    <v>0</v>
  </rv>
  <rv s="0">
    <v>12</v>
    <v>0028164421217998416</v>
    <v>0</v>
  </rv>
  <rv s="0">
    <v>12</v>
    <v>005877163080346185</v>
    <v>0</v>
  </rv>
  <rv s="0">
    <v>12</v>
    <v>016112178544912457</v>
    <v>0</v>
  </rv>
  <rv s="0">
    <v>12</v>
    <v>021538701287869458</v>
    <v>0</v>
  </rv>
  <rv s="0">
    <v>12</v>
    <v>04054660451437375</v>
    <v>0</v>
  </rv>
  <rv s="0">
    <v>12</v>
    <v>03764430818304602</v>
    <v>0</v>
  </rv>
  <rv s="0">
    <v>12</v>
    <v>03574597722076</v>
    <v>0</v>
  </rv>
  <rv s="0">
    <v>12</v>
    <v>00025677572782754963</v>
    <v>0</v>
  </rv>
  <rv s="0">
    <v>12</v>
    <v>01891788988722728</v>
    <v>0</v>
  </rv>
  <rv s="0">
    <v>12</v>
    <v>00020722365804355525</v>
    <v>0</v>
  </rv>
  <rv s="0">
    <v>12</v>
    <v>0011931953916264374</v>
    <v>0</v>
  </rv>
  <rv s="0">
    <v>12</v>
    <v>0035529820789379136</v>
    <v>0</v>
  </rv>
  <rv s="0">
    <v>12</v>
    <v>003686889891108972</v>
    <v>0</v>
  </rv>
  <rv s="0">
    <v>12</v>
    <v>030361644252613208</v>
    <v>0</v>
  </rv>
  <rv s="0">
    <v>12</v>
    <v>0030646222517970874</v>
    <v>0</v>
  </rv>
  <rv s="0">
    <v>12</v>
    <v>04677877956088245</v>
    <v>0</v>
  </rv>
  <rv s="0">
    <v>12</v>
    <v>008784663207654735</v>
    <v>0</v>
  </rv>
  <rv s="0">
    <v>12</v>
    <v>104</v>
    <v>0</v>
  </rv>
  <rv s="0">
    <v>12</v>
    <v>08638050558866979</v>
    <v>0</v>
  </rv>
  <rv s="0">
    <v>12</v>
    <v>1228843056998162</v>
    <v>0</v>
  </rv>
  <rv s="0">
    <v>12</v>
    <v>01962734224480732</v>
    <v>0</v>
  </rv>
  <rv s="0">
    <v>12</v>
    <v>00918291042405312</v>
    <v>0</v>
  </rv>
  <rv s="0">
    <v>12</v>
    <v>025454957492718935</v>
    <v>0</v>
  </rv>
  <rv s="0">
    <v>12</v>
    <v>02363944669428369</v>
    <v>0</v>
  </rv>
  <rv s="0">
    <v>12</v>
    <v>026097276621131416</v>
    <v>0</v>
  </rv>
  <rv s="0">
    <v>12</v>
    <v>010580066200773437</v>
    <v>0</v>
  </rv>
  <rv s="0">
    <v>12</v>
    <v>0010258028591701581</v>
    <v>0</v>
  </rv>
  <rv s="0">
    <v>12</v>
    <v>016327843336443864</v>
    <v>0</v>
  </rv>
  <rv s="0">
    <v>12</v>
    <v>009500985803987175</v>
    <v>0</v>
  </rv>
  <rv s="0">
    <v>12</v>
    <v>03349921112737024</v>
    <v>0</v>
  </rv>
  <rv s="0">
    <v>12</v>
    <v>0435691797774267</v>
    <v>0</v>
  </rv>
  <rv s="0">
    <v>12</v>
    <v>05475668156171014</v>
    <v>0</v>
  </rv>
  <rv s="0">
    <v>12</v>
    <v>039340590441858725</v>
    <v>0</v>
  </rv>
  <rv s="0">
    <v>12</v>
    <v>02550718350828527</v>
    <v>0</v>
  </rv>
  <rv s="0">
    <v>12</v>
    <v>033124722848471164</v>
    <v>0</v>
  </rv>
  <rv s="0">
    <v>12</v>
    <v>068</v>
    <v>0</v>
  </rv>
  <rv s="0">
    <v>12</v>
    <v>09690612046235304</v>
    <v>0</v>
  </rv>
  <rv s="0">
    <v>12</v>
    <v>005714283251721375</v>
    <v>0</v>
  </rv>
  <rv s="0">
    <v>12</v>
    <v>014662556424615981</v>
    <v>0</v>
  </rv>
</rvData>
</file>

<file path=xl/richData/rdrichvaluestructure.xml><?xml version="1.0" encoding="utf-8"?>
<rvStructures xmlns="http://schemas.microsoft.com/office/spreadsheetml/2017/richdata" count="1">
  <s t="_error">
    <k n="errorType" t="i"/>
    <k n="field" t="s"/>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5C1C4-814A-CA48-9392-D25B1CF92FA9}">
  <dimension ref="A3:QPA5526"/>
  <sheetViews>
    <sheetView workbookViewId="0">
      <selection activeCell="A3" sqref="A3"/>
    </sheetView>
  </sheetViews>
  <sheetFormatPr defaultColWidth="11" defaultRowHeight="15.75" x14ac:dyDescent="0.25"/>
  <cols>
    <col min="1" max="1" width="13" bestFit="1" customWidth="1"/>
    <col min="2" max="2" width="15.5" bestFit="1" customWidth="1"/>
    <col min="3" max="3" width="10.875" bestFit="1" customWidth="1"/>
    <col min="4" max="4" width="8.375" bestFit="1" customWidth="1"/>
    <col min="5" max="5" width="10.875" bestFit="1" customWidth="1"/>
    <col min="6" max="6" width="8.375" bestFit="1" customWidth="1"/>
    <col min="7" max="7" width="10.875" bestFit="1" customWidth="1"/>
    <col min="8" max="8" width="9.375" bestFit="1" customWidth="1"/>
    <col min="9" max="9" width="11.875" bestFit="1" customWidth="1"/>
    <col min="10" max="10" width="9.375" bestFit="1" customWidth="1"/>
    <col min="11" max="11" width="11.875" bestFit="1" customWidth="1"/>
    <col min="12" max="12" width="9.375" bestFit="1" customWidth="1"/>
    <col min="13" max="13" width="11.875" bestFit="1" customWidth="1"/>
    <col min="14" max="14" width="9.375" bestFit="1" customWidth="1"/>
    <col min="15" max="15" width="11.875" bestFit="1" customWidth="1"/>
    <col min="16" max="16" width="9.375" bestFit="1" customWidth="1"/>
    <col min="17" max="17" width="11.875" bestFit="1" customWidth="1"/>
    <col min="18" max="18" width="9.375" bestFit="1" customWidth="1"/>
    <col min="19" max="19" width="11.875" bestFit="1" customWidth="1"/>
    <col min="20" max="20" width="9.375" bestFit="1" customWidth="1"/>
    <col min="21" max="21" width="11.875" bestFit="1" customWidth="1"/>
    <col min="22" max="22" width="9.375" bestFit="1" customWidth="1"/>
    <col min="23" max="23" width="11.875" bestFit="1" customWidth="1"/>
    <col min="24" max="24" width="9.375" bestFit="1" customWidth="1"/>
    <col min="25" max="25" width="11.875" bestFit="1" customWidth="1"/>
    <col min="26" max="26" width="9.375" bestFit="1" customWidth="1"/>
    <col min="27" max="27" width="11.875" bestFit="1" customWidth="1"/>
    <col min="28" max="28" width="9.375" bestFit="1" customWidth="1"/>
    <col min="29" max="29" width="11.875" bestFit="1" customWidth="1"/>
    <col min="30" max="30" width="9.375" bestFit="1" customWidth="1"/>
    <col min="31" max="31" width="11.875" bestFit="1" customWidth="1"/>
    <col min="32" max="32" width="9.375" bestFit="1" customWidth="1"/>
    <col min="33" max="33" width="11.875" bestFit="1" customWidth="1"/>
    <col min="34" max="34" width="9.375" bestFit="1" customWidth="1"/>
    <col min="35" max="35" width="11.875" bestFit="1" customWidth="1"/>
    <col min="36" max="36" width="9.375" bestFit="1" customWidth="1"/>
    <col min="37" max="37" width="11.875" bestFit="1" customWidth="1"/>
    <col min="38" max="38" width="9.375" bestFit="1" customWidth="1"/>
    <col min="39" max="39" width="11.875" bestFit="1" customWidth="1"/>
    <col min="40" max="40" width="9.375" bestFit="1" customWidth="1"/>
    <col min="41" max="41" width="11.875" bestFit="1" customWidth="1"/>
    <col min="42" max="42" width="9.375" bestFit="1" customWidth="1"/>
    <col min="43" max="43" width="11.875" bestFit="1" customWidth="1"/>
    <col min="44" max="44" width="9.375" bestFit="1" customWidth="1"/>
    <col min="45" max="45" width="11.875" bestFit="1" customWidth="1"/>
    <col min="46" max="46" width="9.375" bestFit="1" customWidth="1"/>
    <col min="47" max="47" width="11.875" bestFit="1" customWidth="1"/>
    <col min="48" max="48" width="9.375" bestFit="1" customWidth="1"/>
    <col min="49" max="49" width="11.875" bestFit="1" customWidth="1"/>
    <col min="50" max="50" width="9.375" bestFit="1" customWidth="1"/>
    <col min="51" max="51" width="11.875" bestFit="1" customWidth="1"/>
    <col min="52" max="52" width="9.375" bestFit="1" customWidth="1"/>
    <col min="53" max="53" width="11.875" bestFit="1" customWidth="1"/>
    <col min="54" max="54" width="9.375" bestFit="1" customWidth="1"/>
    <col min="55" max="55" width="11.875" bestFit="1" customWidth="1"/>
    <col min="56" max="56" width="9.375" bestFit="1" customWidth="1"/>
    <col min="57" max="57" width="11.875" bestFit="1" customWidth="1"/>
    <col min="58" max="58" width="9.375" bestFit="1" customWidth="1"/>
    <col min="59" max="59" width="11.875" bestFit="1" customWidth="1"/>
    <col min="60" max="60" width="9.375" bestFit="1" customWidth="1"/>
    <col min="61" max="61" width="11.875" bestFit="1" customWidth="1"/>
    <col min="62" max="62" width="9.375" bestFit="1" customWidth="1"/>
    <col min="63" max="63" width="11.875" bestFit="1" customWidth="1"/>
    <col min="64" max="64" width="9.375" bestFit="1" customWidth="1"/>
    <col min="65" max="65" width="11.875" bestFit="1" customWidth="1"/>
    <col min="66" max="66" width="9.375" bestFit="1" customWidth="1"/>
    <col min="67" max="67" width="11.875" bestFit="1" customWidth="1"/>
    <col min="68" max="68" width="9.375" bestFit="1" customWidth="1"/>
    <col min="69" max="69" width="11.875" bestFit="1" customWidth="1"/>
    <col min="70" max="70" width="9.375" bestFit="1" customWidth="1"/>
    <col min="71" max="71" width="11.875" bestFit="1" customWidth="1"/>
    <col min="72" max="72" width="9.375" bestFit="1" customWidth="1"/>
    <col min="73" max="73" width="11.875" bestFit="1" customWidth="1"/>
    <col min="74" max="74" width="9.375" bestFit="1" customWidth="1"/>
    <col min="75" max="75" width="11.875" bestFit="1" customWidth="1"/>
    <col min="76" max="76" width="9.375" bestFit="1" customWidth="1"/>
    <col min="77" max="77" width="11.875" bestFit="1" customWidth="1"/>
    <col min="78" max="78" width="9.375" bestFit="1" customWidth="1"/>
    <col min="79" max="79" width="11.875" bestFit="1" customWidth="1"/>
    <col min="80" max="80" width="9.375" bestFit="1" customWidth="1"/>
    <col min="81" max="81" width="11.875" bestFit="1" customWidth="1"/>
    <col min="82" max="82" width="9.375" bestFit="1" customWidth="1"/>
    <col min="83" max="83" width="11.875" bestFit="1" customWidth="1"/>
    <col min="84" max="84" width="9.375" bestFit="1" customWidth="1"/>
    <col min="85" max="85" width="11.875" bestFit="1" customWidth="1"/>
    <col min="86" max="86" width="9.375" bestFit="1" customWidth="1"/>
    <col min="87" max="87" width="11.875" bestFit="1" customWidth="1"/>
    <col min="88" max="88" width="9.375" bestFit="1" customWidth="1"/>
    <col min="89" max="89" width="11.875" bestFit="1" customWidth="1"/>
    <col min="90" max="90" width="9.375" bestFit="1" customWidth="1"/>
    <col min="91" max="91" width="11.875" bestFit="1" customWidth="1"/>
    <col min="92" max="92" width="9.375" bestFit="1" customWidth="1"/>
    <col min="93" max="93" width="11.875" bestFit="1" customWidth="1"/>
    <col min="94" max="94" width="9.375" bestFit="1" customWidth="1"/>
    <col min="95" max="95" width="11.875" bestFit="1" customWidth="1"/>
    <col min="96" max="96" width="9.375" bestFit="1" customWidth="1"/>
    <col min="97" max="97" width="11.875" bestFit="1" customWidth="1"/>
    <col min="98" max="98" width="9.375" bestFit="1" customWidth="1"/>
    <col min="99" max="99" width="11.875" bestFit="1" customWidth="1"/>
    <col min="100" max="100" width="9.375" bestFit="1" customWidth="1"/>
    <col min="101" max="101" width="11.875" bestFit="1" customWidth="1"/>
    <col min="102" max="102" width="9.375" bestFit="1" customWidth="1"/>
    <col min="103" max="103" width="11.875" bestFit="1" customWidth="1"/>
    <col min="104" max="104" width="9.375" bestFit="1" customWidth="1"/>
    <col min="105" max="105" width="11.875" bestFit="1" customWidth="1"/>
    <col min="106" max="106" width="9.375" bestFit="1" customWidth="1"/>
    <col min="107" max="107" width="11.875" bestFit="1" customWidth="1"/>
    <col min="108" max="108" width="9.375" bestFit="1" customWidth="1"/>
    <col min="109" max="109" width="11.875" bestFit="1" customWidth="1"/>
    <col min="110" max="110" width="9.375" bestFit="1" customWidth="1"/>
    <col min="111" max="111" width="11.875" bestFit="1" customWidth="1"/>
    <col min="112" max="112" width="9.375" bestFit="1" customWidth="1"/>
    <col min="113" max="113" width="11.875" bestFit="1" customWidth="1"/>
    <col min="114" max="114" width="9.375" bestFit="1" customWidth="1"/>
    <col min="115" max="115" width="11.875" bestFit="1" customWidth="1"/>
    <col min="116" max="116" width="9.375" bestFit="1" customWidth="1"/>
    <col min="117" max="117" width="11.875" bestFit="1" customWidth="1"/>
    <col min="118" max="118" width="9.375" bestFit="1" customWidth="1"/>
    <col min="119" max="119" width="11.875" bestFit="1" customWidth="1"/>
    <col min="120" max="120" width="9.375" bestFit="1" customWidth="1"/>
    <col min="121" max="121" width="11.875" bestFit="1" customWidth="1"/>
    <col min="122" max="122" width="9.375" bestFit="1" customWidth="1"/>
    <col min="123" max="123" width="11.875" bestFit="1" customWidth="1"/>
    <col min="124" max="124" width="9.375" bestFit="1" customWidth="1"/>
    <col min="125" max="125" width="11.875" bestFit="1" customWidth="1"/>
    <col min="126" max="126" width="9.375" bestFit="1" customWidth="1"/>
    <col min="127" max="127" width="11.875" bestFit="1" customWidth="1"/>
    <col min="128" max="128" width="9.375" bestFit="1" customWidth="1"/>
    <col min="129" max="129" width="11.875" bestFit="1" customWidth="1"/>
    <col min="130" max="130" width="9.375" bestFit="1" customWidth="1"/>
    <col min="131" max="131" width="11.875" bestFit="1" customWidth="1"/>
    <col min="132" max="132" width="9.375" bestFit="1" customWidth="1"/>
    <col min="133" max="133" width="11.875" bestFit="1" customWidth="1"/>
    <col min="134" max="134" width="9.375" bestFit="1" customWidth="1"/>
    <col min="135" max="135" width="11.875" bestFit="1" customWidth="1"/>
    <col min="136" max="136" width="9.375" bestFit="1" customWidth="1"/>
    <col min="137" max="137" width="11.875" bestFit="1" customWidth="1"/>
    <col min="138" max="138" width="9.375" bestFit="1" customWidth="1"/>
    <col min="139" max="139" width="11.875" bestFit="1" customWidth="1"/>
    <col min="140" max="140" width="9.375" bestFit="1" customWidth="1"/>
    <col min="141" max="141" width="11.875" bestFit="1" customWidth="1"/>
    <col min="142" max="142" width="9.375" bestFit="1" customWidth="1"/>
    <col min="143" max="143" width="11.875" bestFit="1" customWidth="1"/>
    <col min="144" max="144" width="9.375" bestFit="1" customWidth="1"/>
    <col min="145" max="145" width="11.875" bestFit="1" customWidth="1"/>
    <col min="146" max="146" width="9.375" bestFit="1" customWidth="1"/>
    <col min="147" max="147" width="11.875" bestFit="1" customWidth="1"/>
    <col min="148" max="148" width="9.375" bestFit="1" customWidth="1"/>
    <col min="149" max="149" width="11.875" bestFit="1" customWidth="1"/>
    <col min="150" max="150" width="9.375" bestFit="1" customWidth="1"/>
    <col min="151" max="151" width="11.875" bestFit="1" customWidth="1"/>
    <col min="152" max="152" width="9.375" bestFit="1" customWidth="1"/>
    <col min="153" max="153" width="11.875" bestFit="1" customWidth="1"/>
    <col min="154" max="154" width="9.375" bestFit="1" customWidth="1"/>
    <col min="155" max="155" width="11.875" bestFit="1" customWidth="1"/>
    <col min="156" max="156" width="9.375" bestFit="1" customWidth="1"/>
    <col min="157" max="157" width="11.875" bestFit="1" customWidth="1"/>
    <col min="158" max="158" width="9.375" bestFit="1" customWidth="1"/>
    <col min="159" max="159" width="11.875" bestFit="1" customWidth="1"/>
    <col min="160" max="160" width="9.375" bestFit="1" customWidth="1"/>
    <col min="161" max="161" width="11.875" bestFit="1" customWidth="1"/>
    <col min="162" max="162" width="9.375" bestFit="1" customWidth="1"/>
    <col min="163" max="163" width="11.875" bestFit="1" customWidth="1"/>
    <col min="164" max="164" width="9.375" bestFit="1" customWidth="1"/>
    <col min="165" max="165" width="11.875" bestFit="1" customWidth="1"/>
    <col min="166" max="166" width="9.375" bestFit="1" customWidth="1"/>
    <col min="167" max="167" width="11.875" bestFit="1" customWidth="1"/>
    <col min="168" max="168" width="9.375" bestFit="1" customWidth="1"/>
    <col min="169" max="169" width="11.875" bestFit="1" customWidth="1"/>
    <col min="170" max="170" width="9.375" bestFit="1" customWidth="1"/>
    <col min="171" max="171" width="11.875" bestFit="1" customWidth="1"/>
    <col min="172" max="172" width="9.375" bestFit="1" customWidth="1"/>
    <col min="173" max="173" width="11.875" bestFit="1" customWidth="1"/>
    <col min="174" max="174" width="9.375" bestFit="1" customWidth="1"/>
    <col min="175" max="175" width="11.875" bestFit="1" customWidth="1"/>
    <col min="176" max="176" width="9.375" bestFit="1" customWidth="1"/>
    <col min="177" max="177" width="11.875" bestFit="1" customWidth="1"/>
    <col min="178" max="178" width="9.375" bestFit="1" customWidth="1"/>
    <col min="179" max="179" width="11.875" bestFit="1" customWidth="1"/>
    <col min="180" max="180" width="9.375" bestFit="1" customWidth="1"/>
    <col min="181" max="181" width="11.875" bestFit="1" customWidth="1"/>
    <col min="182" max="182" width="9.375" bestFit="1" customWidth="1"/>
    <col min="183" max="183" width="11.875" bestFit="1" customWidth="1"/>
    <col min="184" max="184" width="9.375" bestFit="1" customWidth="1"/>
    <col min="185" max="185" width="11.875" bestFit="1" customWidth="1"/>
    <col min="186" max="186" width="9.375" bestFit="1" customWidth="1"/>
    <col min="187" max="187" width="11.875" bestFit="1" customWidth="1"/>
    <col min="188" max="188" width="9.375" bestFit="1" customWidth="1"/>
    <col min="189" max="189" width="11.875" bestFit="1" customWidth="1"/>
    <col min="190" max="190" width="9.375" bestFit="1" customWidth="1"/>
    <col min="191" max="191" width="11.875" bestFit="1" customWidth="1"/>
    <col min="192" max="192" width="9.375" bestFit="1" customWidth="1"/>
    <col min="193" max="193" width="11.875" bestFit="1" customWidth="1"/>
    <col min="194" max="194" width="9.375" bestFit="1" customWidth="1"/>
    <col min="195" max="195" width="11.875" bestFit="1" customWidth="1"/>
    <col min="196" max="196" width="9.375" bestFit="1" customWidth="1"/>
    <col min="197" max="197" width="11.875" bestFit="1" customWidth="1"/>
    <col min="198" max="198" width="9.375" bestFit="1" customWidth="1"/>
    <col min="199" max="199" width="11.875" bestFit="1" customWidth="1"/>
    <col min="200" max="200" width="9.375" bestFit="1" customWidth="1"/>
    <col min="201" max="201" width="11.875" bestFit="1" customWidth="1"/>
    <col min="202" max="202" width="9.375" bestFit="1" customWidth="1"/>
    <col min="203" max="203" width="11.875" bestFit="1" customWidth="1"/>
    <col min="204" max="204" width="9.375" bestFit="1" customWidth="1"/>
    <col min="205" max="205" width="11.875" bestFit="1" customWidth="1"/>
    <col min="206" max="206" width="9.375" bestFit="1" customWidth="1"/>
    <col min="207" max="207" width="11.875" bestFit="1" customWidth="1"/>
    <col min="208" max="208" width="9.375" bestFit="1" customWidth="1"/>
    <col min="209" max="209" width="11.875" bestFit="1" customWidth="1"/>
    <col min="210" max="210" width="9.375" bestFit="1" customWidth="1"/>
    <col min="211" max="211" width="11.875" bestFit="1" customWidth="1"/>
    <col min="212" max="212" width="9.375" bestFit="1" customWidth="1"/>
    <col min="213" max="213" width="11.875" bestFit="1" customWidth="1"/>
    <col min="214" max="214" width="9.375" bestFit="1" customWidth="1"/>
    <col min="215" max="215" width="11.875" bestFit="1" customWidth="1"/>
    <col min="216" max="216" width="9.375" bestFit="1" customWidth="1"/>
    <col min="217" max="217" width="11.875" bestFit="1" customWidth="1"/>
    <col min="218" max="218" width="9.375" bestFit="1" customWidth="1"/>
    <col min="219" max="219" width="11.875" bestFit="1" customWidth="1"/>
    <col min="220" max="220" width="9.375" bestFit="1" customWidth="1"/>
    <col min="221" max="221" width="11.875" bestFit="1" customWidth="1"/>
    <col min="222" max="222" width="9.375" bestFit="1" customWidth="1"/>
    <col min="223" max="223" width="11.875" bestFit="1" customWidth="1"/>
    <col min="224" max="224" width="9.375" bestFit="1" customWidth="1"/>
    <col min="225" max="225" width="11.875" bestFit="1" customWidth="1"/>
    <col min="226" max="226" width="9.375" bestFit="1" customWidth="1"/>
    <col min="227" max="227" width="11.875" bestFit="1" customWidth="1"/>
    <col min="228" max="228" width="9.375" bestFit="1" customWidth="1"/>
    <col min="229" max="229" width="11.875" bestFit="1" customWidth="1"/>
    <col min="230" max="230" width="9.375" bestFit="1" customWidth="1"/>
    <col min="231" max="231" width="11.875" bestFit="1" customWidth="1"/>
    <col min="232" max="232" width="9.375" bestFit="1" customWidth="1"/>
    <col min="233" max="233" width="11.875" bestFit="1" customWidth="1"/>
    <col min="234" max="234" width="9.375" bestFit="1" customWidth="1"/>
    <col min="235" max="235" width="11.875" bestFit="1" customWidth="1"/>
    <col min="236" max="236" width="9.375" bestFit="1" customWidth="1"/>
    <col min="237" max="237" width="11.875" bestFit="1" customWidth="1"/>
    <col min="238" max="238" width="9.375" bestFit="1" customWidth="1"/>
    <col min="239" max="239" width="11.875" bestFit="1" customWidth="1"/>
    <col min="240" max="240" width="9.375" bestFit="1" customWidth="1"/>
    <col min="241" max="241" width="11.875" bestFit="1" customWidth="1"/>
    <col min="242" max="242" width="9.375" bestFit="1" customWidth="1"/>
    <col min="243" max="243" width="11.875" bestFit="1" customWidth="1"/>
    <col min="244" max="244" width="9.375" bestFit="1" customWidth="1"/>
    <col min="245" max="245" width="11.875" bestFit="1" customWidth="1"/>
    <col min="246" max="246" width="9.375" bestFit="1" customWidth="1"/>
    <col min="247" max="247" width="11.875" bestFit="1" customWidth="1"/>
    <col min="248" max="248" width="9.375" bestFit="1" customWidth="1"/>
    <col min="249" max="249" width="11.875" bestFit="1" customWidth="1"/>
    <col min="250" max="250" width="9.375" bestFit="1" customWidth="1"/>
    <col min="251" max="251" width="11.875" bestFit="1" customWidth="1"/>
    <col min="252" max="252" width="9.375" bestFit="1" customWidth="1"/>
    <col min="253" max="253" width="11.875" bestFit="1" customWidth="1"/>
    <col min="254" max="254" width="9.375" bestFit="1" customWidth="1"/>
    <col min="255" max="255" width="11.875" bestFit="1" customWidth="1"/>
    <col min="256" max="256" width="9.375" bestFit="1" customWidth="1"/>
    <col min="257" max="257" width="11.875" bestFit="1" customWidth="1"/>
    <col min="258" max="258" width="9.375" bestFit="1" customWidth="1"/>
    <col min="259" max="259" width="11.875" bestFit="1" customWidth="1"/>
    <col min="260" max="260" width="9.375" bestFit="1" customWidth="1"/>
    <col min="261" max="261" width="11.875" bestFit="1" customWidth="1"/>
    <col min="262" max="262" width="9.375" bestFit="1" customWidth="1"/>
    <col min="263" max="263" width="11.875" bestFit="1" customWidth="1"/>
    <col min="264" max="264" width="9.375" bestFit="1" customWidth="1"/>
    <col min="265" max="265" width="11.875" bestFit="1" customWidth="1"/>
    <col min="266" max="266" width="9.375" bestFit="1" customWidth="1"/>
    <col min="267" max="267" width="11.875" bestFit="1" customWidth="1"/>
    <col min="268" max="268" width="9.375" bestFit="1" customWidth="1"/>
    <col min="269" max="269" width="11.875" bestFit="1" customWidth="1"/>
    <col min="270" max="270" width="9.375" bestFit="1" customWidth="1"/>
    <col min="271" max="271" width="11.875" bestFit="1" customWidth="1"/>
    <col min="272" max="272" width="9.375" bestFit="1" customWidth="1"/>
    <col min="273" max="273" width="11.875" bestFit="1" customWidth="1"/>
    <col min="274" max="274" width="9.375" bestFit="1" customWidth="1"/>
    <col min="275" max="275" width="11.875" bestFit="1" customWidth="1"/>
    <col min="276" max="276" width="9.375" bestFit="1" customWidth="1"/>
    <col min="277" max="277" width="11.875" bestFit="1" customWidth="1"/>
    <col min="278" max="278" width="9.375" bestFit="1" customWidth="1"/>
    <col min="279" max="279" width="11.875" bestFit="1" customWidth="1"/>
    <col min="280" max="280" width="9.375" bestFit="1" customWidth="1"/>
    <col min="281" max="281" width="11.875" bestFit="1" customWidth="1"/>
    <col min="282" max="282" width="9.375" bestFit="1" customWidth="1"/>
    <col min="283" max="283" width="11.875" bestFit="1" customWidth="1"/>
    <col min="284" max="284" width="9.375" bestFit="1" customWidth="1"/>
    <col min="285" max="285" width="11.875" bestFit="1" customWidth="1"/>
    <col min="286" max="286" width="9.375" bestFit="1" customWidth="1"/>
    <col min="287" max="287" width="11.875" bestFit="1" customWidth="1"/>
    <col min="288" max="288" width="9.375" bestFit="1" customWidth="1"/>
    <col min="289" max="289" width="11.875" bestFit="1" customWidth="1"/>
    <col min="290" max="290" width="9.375" bestFit="1" customWidth="1"/>
    <col min="291" max="291" width="11.875" bestFit="1" customWidth="1"/>
    <col min="292" max="292" width="9.375" bestFit="1" customWidth="1"/>
    <col min="293" max="293" width="11.875" bestFit="1" customWidth="1"/>
    <col min="294" max="294" width="9.375" bestFit="1" customWidth="1"/>
    <col min="295" max="295" width="11.875" bestFit="1" customWidth="1"/>
    <col min="296" max="296" width="9.375" bestFit="1" customWidth="1"/>
    <col min="297" max="297" width="11.875" bestFit="1" customWidth="1"/>
    <col min="298" max="298" width="9.375" bestFit="1" customWidth="1"/>
    <col min="299" max="299" width="11.875" bestFit="1" customWidth="1"/>
    <col min="300" max="300" width="9.375" bestFit="1" customWidth="1"/>
    <col min="301" max="301" width="11.875" bestFit="1" customWidth="1"/>
    <col min="302" max="302" width="9.375" bestFit="1" customWidth="1"/>
    <col min="303" max="303" width="11.875" bestFit="1" customWidth="1"/>
    <col min="304" max="304" width="9.375" bestFit="1" customWidth="1"/>
    <col min="305" max="305" width="11.875" bestFit="1" customWidth="1"/>
    <col min="306" max="306" width="9.375" bestFit="1" customWidth="1"/>
    <col min="307" max="307" width="11.875" bestFit="1" customWidth="1"/>
    <col min="308" max="308" width="9.375" bestFit="1" customWidth="1"/>
    <col min="309" max="309" width="11.875" bestFit="1" customWidth="1"/>
    <col min="310" max="310" width="9.375" bestFit="1" customWidth="1"/>
    <col min="311" max="311" width="11.875" bestFit="1" customWidth="1"/>
    <col min="312" max="312" width="9.375" bestFit="1" customWidth="1"/>
    <col min="313" max="313" width="11.875" bestFit="1" customWidth="1"/>
    <col min="314" max="314" width="9.375" bestFit="1" customWidth="1"/>
    <col min="315" max="315" width="11.875" bestFit="1" customWidth="1"/>
    <col min="316" max="316" width="9.375" bestFit="1" customWidth="1"/>
    <col min="317" max="317" width="11.875" bestFit="1" customWidth="1"/>
    <col min="318" max="318" width="9.375" bestFit="1" customWidth="1"/>
    <col min="319" max="319" width="11.875" bestFit="1" customWidth="1"/>
    <col min="320" max="320" width="9.375" bestFit="1" customWidth="1"/>
    <col min="321" max="321" width="11.875" bestFit="1" customWidth="1"/>
    <col min="322" max="322" width="9.375" bestFit="1" customWidth="1"/>
    <col min="323" max="323" width="11.875" bestFit="1" customWidth="1"/>
    <col min="324" max="324" width="9.375" bestFit="1" customWidth="1"/>
    <col min="325" max="325" width="11.875" bestFit="1" customWidth="1"/>
    <col min="326" max="326" width="9.375" bestFit="1" customWidth="1"/>
    <col min="327" max="327" width="11.875" bestFit="1" customWidth="1"/>
    <col min="328" max="328" width="9.375" bestFit="1" customWidth="1"/>
    <col min="329" max="329" width="11.875" bestFit="1" customWidth="1"/>
    <col min="330" max="330" width="9.375" bestFit="1" customWidth="1"/>
    <col min="331" max="331" width="11.875" bestFit="1" customWidth="1"/>
    <col min="332" max="332" width="9.375" bestFit="1" customWidth="1"/>
    <col min="333" max="333" width="11.875" bestFit="1" customWidth="1"/>
    <col min="334" max="334" width="9.375" bestFit="1" customWidth="1"/>
    <col min="335" max="335" width="11.875" bestFit="1" customWidth="1"/>
    <col min="336" max="336" width="9.375" bestFit="1" customWidth="1"/>
    <col min="337" max="337" width="11.875" bestFit="1" customWidth="1"/>
    <col min="338" max="338" width="9.375" bestFit="1" customWidth="1"/>
    <col min="339" max="339" width="11.875" bestFit="1" customWidth="1"/>
    <col min="340" max="340" width="9.375" bestFit="1" customWidth="1"/>
    <col min="341" max="341" width="11.875" bestFit="1" customWidth="1"/>
    <col min="342" max="342" width="9.375" bestFit="1" customWidth="1"/>
    <col min="343" max="343" width="11.875" bestFit="1" customWidth="1"/>
    <col min="344" max="344" width="9.375" bestFit="1" customWidth="1"/>
    <col min="345" max="345" width="11.875" bestFit="1" customWidth="1"/>
    <col min="346" max="346" width="9.375" bestFit="1" customWidth="1"/>
    <col min="347" max="347" width="11.875" bestFit="1" customWidth="1"/>
    <col min="348" max="348" width="9.375" bestFit="1" customWidth="1"/>
    <col min="349" max="349" width="11.875" bestFit="1" customWidth="1"/>
    <col min="350" max="350" width="9.375" bestFit="1" customWidth="1"/>
    <col min="351" max="351" width="11.875" bestFit="1" customWidth="1"/>
    <col min="352" max="352" width="9.375" bestFit="1" customWidth="1"/>
    <col min="353" max="353" width="11.875" bestFit="1" customWidth="1"/>
    <col min="354" max="354" width="9.375" bestFit="1" customWidth="1"/>
    <col min="355" max="355" width="11.875" bestFit="1" customWidth="1"/>
    <col min="356" max="356" width="9.375" bestFit="1" customWidth="1"/>
    <col min="357" max="357" width="11.875" bestFit="1" customWidth="1"/>
    <col min="358" max="358" width="9.375" bestFit="1" customWidth="1"/>
    <col min="359" max="359" width="11.875" bestFit="1" customWidth="1"/>
    <col min="360" max="360" width="9.375" bestFit="1" customWidth="1"/>
    <col min="361" max="361" width="11.875" bestFit="1" customWidth="1"/>
    <col min="362" max="362" width="9.375" bestFit="1" customWidth="1"/>
    <col min="363" max="363" width="11.875" bestFit="1" customWidth="1"/>
    <col min="364" max="364" width="9.375" bestFit="1" customWidth="1"/>
    <col min="365" max="365" width="11.875" bestFit="1" customWidth="1"/>
    <col min="366" max="366" width="9.375" bestFit="1" customWidth="1"/>
    <col min="367" max="367" width="11.875" bestFit="1" customWidth="1"/>
    <col min="368" max="368" width="9.375" bestFit="1" customWidth="1"/>
    <col min="369" max="369" width="11.875" bestFit="1" customWidth="1"/>
    <col min="370" max="370" width="9.375" bestFit="1" customWidth="1"/>
    <col min="371" max="371" width="11.875" bestFit="1" customWidth="1"/>
    <col min="372" max="372" width="9.375" bestFit="1" customWidth="1"/>
    <col min="373" max="373" width="11.875" bestFit="1" customWidth="1"/>
    <col min="374" max="374" width="9.375" bestFit="1" customWidth="1"/>
    <col min="375" max="375" width="11.875" bestFit="1" customWidth="1"/>
    <col min="376" max="376" width="9.375" bestFit="1" customWidth="1"/>
    <col min="377" max="377" width="11.875" bestFit="1" customWidth="1"/>
    <col min="378" max="378" width="9.375" bestFit="1" customWidth="1"/>
    <col min="379" max="379" width="11.875" bestFit="1" customWidth="1"/>
    <col min="380" max="380" width="9.375" bestFit="1" customWidth="1"/>
    <col min="381" max="381" width="11.875" bestFit="1" customWidth="1"/>
    <col min="382" max="382" width="9.375" bestFit="1" customWidth="1"/>
    <col min="383" max="383" width="7" bestFit="1" customWidth="1"/>
    <col min="384" max="384" width="11.875" bestFit="1" customWidth="1"/>
    <col min="385" max="385" width="9.375" bestFit="1" customWidth="1"/>
    <col min="386" max="386" width="11.875" bestFit="1" customWidth="1"/>
    <col min="387" max="387" width="9.375" bestFit="1" customWidth="1"/>
    <col min="388" max="388" width="11.875" bestFit="1" customWidth="1"/>
    <col min="389" max="389" width="9.375" bestFit="1" customWidth="1"/>
    <col min="390" max="390" width="11.875" bestFit="1" customWidth="1"/>
    <col min="391" max="391" width="9.375" bestFit="1" customWidth="1"/>
    <col min="392" max="392" width="11.875" bestFit="1" customWidth="1"/>
    <col min="393" max="393" width="9.375" bestFit="1" customWidth="1"/>
    <col min="394" max="394" width="11.875" bestFit="1" customWidth="1"/>
    <col min="395" max="395" width="9.375" bestFit="1" customWidth="1"/>
    <col min="396" max="396" width="11.875" bestFit="1" customWidth="1"/>
    <col min="397" max="397" width="9.375" bestFit="1" customWidth="1"/>
    <col min="398" max="398" width="11.875" bestFit="1" customWidth="1"/>
    <col min="399" max="399" width="9.375" bestFit="1" customWidth="1"/>
    <col min="400" max="400" width="11.875" bestFit="1" customWidth="1"/>
    <col min="401" max="401" width="9.375" bestFit="1" customWidth="1"/>
    <col min="402" max="402" width="11.875" bestFit="1" customWidth="1"/>
    <col min="403" max="403" width="9.375" bestFit="1" customWidth="1"/>
    <col min="404" max="404" width="11.875" bestFit="1" customWidth="1"/>
    <col min="405" max="405" width="9.375" bestFit="1" customWidth="1"/>
    <col min="406" max="406" width="11.875" bestFit="1" customWidth="1"/>
    <col min="407" max="407" width="9.375" bestFit="1" customWidth="1"/>
    <col min="408" max="408" width="11.875" bestFit="1" customWidth="1"/>
    <col min="409" max="409" width="9.375" bestFit="1" customWidth="1"/>
    <col min="410" max="410" width="11.875" bestFit="1" customWidth="1"/>
    <col min="411" max="411" width="9.375" bestFit="1" customWidth="1"/>
    <col min="412" max="412" width="11.875" bestFit="1" customWidth="1"/>
    <col min="413" max="413" width="9.375" bestFit="1" customWidth="1"/>
    <col min="414" max="414" width="11.875" bestFit="1" customWidth="1"/>
    <col min="415" max="415" width="9.375" bestFit="1" customWidth="1"/>
    <col min="416" max="416" width="11.875" bestFit="1" customWidth="1"/>
    <col min="417" max="417" width="9.375" bestFit="1" customWidth="1"/>
    <col min="418" max="418" width="11.875" bestFit="1" customWidth="1"/>
    <col min="419" max="419" width="9.375" bestFit="1" customWidth="1"/>
    <col min="420" max="420" width="11.875" bestFit="1" customWidth="1"/>
    <col min="421" max="421" width="9.375" bestFit="1" customWidth="1"/>
    <col min="422" max="422" width="11.875" bestFit="1" customWidth="1"/>
    <col min="423" max="423" width="9.375" bestFit="1" customWidth="1"/>
    <col min="424" max="424" width="11.875" bestFit="1" customWidth="1"/>
    <col min="425" max="425" width="9.375" bestFit="1" customWidth="1"/>
    <col min="426" max="426" width="11.875" bestFit="1" customWidth="1"/>
    <col min="427" max="427" width="9.375" bestFit="1" customWidth="1"/>
    <col min="428" max="428" width="11.875" bestFit="1" customWidth="1"/>
    <col min="429" max="429" width="9.375" bestFit="1" customWidth="1"/>
    <col min="430" max="430" width="11.875" bestFit="1" customWidth="1"/>
    <col min="431" max="431" width="9.375" bestFit="1" customWidth="1"/>
    <col min="432" max="432" width="11.875" bestFit="1" customWidth="1"/>
    <col min="433" max="433" width="9.375" bestFit="1" customWidth="1"/>
    <col min="434" max="434" width="11.875" bestFit="1" customWidth="1"/>
    <col min="435" max="435" width="9.375" bestFit="1" customWidth="1"/>
    <col min="436" max="436" width="11.875" bestFit="1" customWidth="1"/>
    <col min="437" max="437" width="9.375" bestFit="1" customWidth="1"/>
    <col min="438" max="438" width="11.875" bestFit="1" customWidth="1"/>
    <col min="439" max="439" width="9.375" bestFit="1" customWidth="1"/>
    <col min="440" max="440" width="11.875" bestFit="1" customWidth="1"/>
    <col min="441" max="441" width="9.375" bestFit="1" customWidth="1"/>
    <col min="442" max="442" width="11.875" bestFit="1" customWidth="1"/>
    <col min="443" max="443" width="9.375" bestFit="1" customWidth="1"/>
    <col min="444" max="444" width="11.875" bestFit="1" customWidth="1"/>
    <col min="445" max="445" width="9.375" bestFit="1" customWidth="1"/>
    <col min="446" max="446" width="11.875" bestFit="1" customWidth="1"/>
    <col min="447" max="447" width="9.375" bestFit="1" customWidth="1"/>
    <col min="448" max="448" width="7" bestFit="1" customWidth="1"/>
    <col min="449" max="449" width="11.875" bestFit="1" customWidth="1"/>
    <col min="450" max="450" width="9.375" bestFit="1" customWidth="1"/>
    <col min="451" max="451" width="11.875" bestFit="1" customWidth="1"/>
    <col min="452" max="452" width="9.375" bestFit="1" customWidth="1"/>
    <col min="453" max="453" width="11.875" bestFit="1" customWidth="1"/>
    <col min="454" max="454" width="9.375" bestFit="1" customWidth="1"/>
    <col min="455" max="455" width="11.875" bestFit="1" customWidth="1"/>
    <col min="456" max="456" width="9.375" bestFit="1" customWidth="1"/>
    <col min="457" max="457" width="11.875" bestFit="1" customWidth="1"/>
    <col min="458" max="458" width="9.375" bestFit="1" customWidth="1"/>
    <col min="459" max="459" width="11.875" bestFit="1" customWidth="1"/>
    <col min="460" max="460" width="9.375" bestFit="1" customWidth="1"/>
    <col min="461" max="461" width="11.875" bestFit="1" customWidth="1"/>
    <col min="462" max="462" width="9.375" bestFit="1" customWidth="1"/>
    <col min="463" max="463" width="11.875" bestFit="1" customWidth="1"/>
    <col min="464" max="464" width="9.375" bestFit="1" customWidth="1"/>
    <col min="465" max="465" width="11.875" bestFit="1" customWidth="1"/>
    <col min="466" max="466" width="9.375" bestFit="1" customWidth="1"/>
    <col min="467" max="467" width="11.875" bestFit="1" customWidth="1"/>
    <col min="468" max="468" width="9.375" bestFit="1" customWidth="1"/>
    <col min="469" max="469" width="11.875" bestFit="1" customWidth="1"/>
    <col min="470" max="470" width="9.375" bestFit="1" customWidth="1"/>
    <col min="471" max="471" width="11.875" bestFit="1" customWidth="1"/>
    <col min="472" max="472" width="9.375" bestFit="1" customWidth="1"/>
    <col min="473" max="473" width="11.875" bestFit="1" customWidth="1"/>
    <col min="474" max="474" width="9.375" bestFit="1" customWidth="1"/>
    <col min="475" max="475" width="11.875" bestFit="1" customWidth="1"/>
    <col min="476" max="476" width="9.375" bestFit="1" customWidth="1"/>
    <col min="477" max="477" width="11.875" bestFit="1" customWidth="1"/>
    <col min="478" max="478" width="9.375" bestFit="1" customWidth="1"/>
    <col min="479" max="479" width="11.875" bestFit="1" customWidth="1"/>
    <col min="480" max="480" width="9.375" bestFit="1" customWidth="1"/>
    <col min="481" max="481" width="11.875" bestFit="1" customWidth="1"/>
    <col min="482" max="482" width="9.375" bestFit="1" customWidth="1"/>
    <col min="483" max="483" width="11.875" bestFit="1" customWidth="1"/>
    <col min="484" max="484" width="9.375" bestFit="1" customWidth="1"/>
    <col min="485" max="485" width="11.875" bestFit="1" customWidth="1"/>
    <col min="486" max="486" width="9.375" bestFit="1" customWidth="1"/>
    <col min="487" max="487" width="11.875" bestFit="1" customWidth="1"/>
    <col min="488" max="488" width="9.375" bestFit="1" customWidth="1"/>
    <col min="489" max="489" width="11.875" bestFit="1" customWidth="1"/>
    <col min="490" max="490" width="9.375" bestFit="1" customWidth="1"/>
    <col min="491" max="491" width="11.875" bestFit="1" customWidth="1"/>
    <col min="492" max="492" width="9.375" bestFit="1" customWidth="1"/>
    <col min="493" max="493" width="11.875" bestFit="1" customWidth="1"/>
    <col min="494" max="494" width="9.375" bestFit="1" customWidth="1"/>
    <col min="495" max="495" width="7" bestFit="1" customWidth="1"/>
    <col min="496" max="496" width="11.875" bestFit="1" customWidth="1"/>
    <col min="497" max="497" width="9.375" bestFit="1" customWidth="1"/>
    <col min="498" max="498" width="11.875" bestFit="1" customWidth="1"/>
    <col min="499" max="499" width="9.375" bestFit="1" customWidth="1"/>
    <col min="500" max="500" width="11.875" bestFit="1" customWidth="1"/>
    <col min="501" max="501" width="9.375" bestFit="1" customWidth="1"/>
    <col min="502" max="502" width="11.875" bestFit="1" customWidth="1"/>
    <col min="503" max="503" width="9.375" bestFit="1" customWidth="1"/>
    <col min="504" max="504" width="11.875" bestFit="1" customWidth="1"/>
    <col min="505" max="505" width="9.375" bestFit="1" customWidth="1"/>
    <col min="506" max="506" width="11.875" bestFit="1" customWidth="1"/>
    <col min="507" max="507" width="9.375" bestFit="1" customWidth="1"/>
    <col min="508" max="508" width="11.875" bestFit="1" customWidth="1"/>
    <col min="509" max="509" width="9.375" bestFit="1" customWidth="1"/>
    <col min="510" max="510" width="11.875" bestFit="1" customWidth="1"/>
    <col min="511" max="511" width="9.375" bestFit="1" customWidth="1"/>
    <col min="512" max="512" width="11.875" bestFit="1" customWidth="1"/>
    <col min="513" max="513" width="9.375" bestFit="1" customWidth="1"/>
    <col min="514" max="514" width="11.875" bestFit="1" customWidth="1"/>
    <col min="515" max="515" width="9.375" bestFit="1" customWidth="1"/>
    <col min="516" max="516" width="11.875" bestFit="1" customWidth="1"/>
    <col min="517" max="517" width="9.375" bestFit="1" customWidth="1"/>
    <col min="518" max="518" width="11.875" bestFit="1" customWidth="1"/>
    <col min="519" max="519" width="9.375" bestFit="1" customWidth="1"/>
    <col min="520" max="520" width="11.875" bestFit="1" customWidth="1"/>
    <col min="521" max="521" width="9.375" bestFit="1" customWidth="1"/>
    <col min="522" max="522" width="11.875" bestFit="1" customWidth="1"/>
    <col min="523" max="523" width="9.375" bestFit="1" customWidth="1"/>
    <col min="524" max="524" width="11.875" bestFit="1" customWidth="1"/>
    <col min="525" max="525" width="9.375" bestFit="1" customWidth="1"/>
    <col min="526" max="526" width="11.875" bestFit="1" customWidth="1"/>
    <col min="527" max="527" width="9.375" bestFit="1" customWidth="1"/>
    <col min="528" max="528" width="11.875" bestFit="1" customWidth="1"/>
    <col min="529" max="529" width="9.375" bestFit="1" customWidth="1"/>
    <col min="530" max="530" width="11.875" bestFit="1" customWidth="1"/>
    <col min="531" max="531" width="9.375" bestFit="1" customWidth="1"/>
    <col min="532" max="532" width="11.875" bestFit="1" customWidth="1"/>
    <col min="533" max="533" width="9.375" bestFit="1" customWidth="1"/>
    <col min="534" max="534" width="11.875" bestFit="1" customWidth="1"/>
    <col min="535" max="535" width="9.375" bestFit="1" customWidth="1"/>
    <col min="536" max="536" width="11.875" bestFit="1" customWidth="1"/>
    <col min="537" max="537" width="9.375" bestFit="1" customWidth="1"/>
    <col min="538" max="538" width="11.875" bestFit="1" customWidth="1"/>
    <col min="539" max="539" width="9.375" bestFit="1" customWidth="1"/>
    <col min="540" max="540" width="11.875" bestFit="1" customWidth="1"/>
    <col min="541" max="541" width="9.375" bestFit="1" customWidth="1"/>
    <col min="542" max="542" width="11.875" bestFit="1" customWidth="1"/>
    <col min="543" max="543" width="9.375" bestFit="1" customWidth="1"/>
    <col min="544" max="544" width="11.875" bestFit="1" customWidth="1"/>
    <col min="545" max="545" width="9.375" bestFit="1" customWidth="1"/>
    <col min="546" max="546" width="11.875" bestFit="1" customWidth="1"/>
    <col min="547" max="547" width="9.375" bestFit="1" customWidth="1"/>
    <col min="548" max="548" width="11.875" bestFit="1" customWidth="1"/>
    <col min="549" max="549" width="9.375" bestFit="1" customWidth="1"/>
    <col min="550" max="550" width="11.875" bestFit="1" customWidth="1"/>
    <col min="551" max="551" width="9.375" bestFit="1" customWidth="1"/>
    <col min="552" max="552" width="11.875" bestFit="1" customWidth="1"/>
    <col min="553" max="553" width="9.375" bestFit="1" customWidth="1"/>
    <col min="554" max="554" width="11.875" bestFit="1" customWidth="1"/>
    <col min="555" max="555" width="9.375" bestFit="1" customWidth="1"/>
    <col min="556" max="556" width="11.875" bestFit="1" customWidth="1"/>
    <col min="557" max="557" width="9.375" bestFit="1" customWidth="1"/>
    <col min="558" max="558" width="11.875" bestFit="1" customWidth="1"/>
    <col min="559" max="559" width="9.375" bestFit="1" customWidth="1"/>
    <col min="560" max="560" width="11.875" bestFit="1" customWidth="1"/>
    <col min="561" max="561" width="9.375" bestFit="1" customWidth="1"/>
    <col min="562" max="562" width="11.875" bestFit="1" customWidth="1"/>
    <col min="563" max="563" width="9.375" bestFit="1" customWidth="1"/>
    <col min="564" max="564" width="11.875" bestFit="1" customWidth="1"/>
    <col min="565" max="565" width="9.375" bestFit="1" customWidth="1"/>
    <col min="566" max="566" width="11.875" bestFit="1" customWidth="1"/>
    <col min="567" max="567" width="9.375" bestFit="1" customWidth="1"/>
    <col min="568" max="568" width="11.875" bestFit="1" customWidth="1"/>
    <col min="569" max="569" width="9.375" bestFit="1" customWidth="1"/>
    <col min="570" max="570" width="11.875" bestFit="1" customWidth="1"/>
    <col min="571" max="571" width="9.375" bestFit="1" customWidth="1"/>
    <col min="572" max="572" width="11.875" bestFit="1" customWidth="1"/>
    <col min="573" max="573" width="9.375" bestFit="1" customWidth="1"/>
    <col min="574" max="574" width="11.875" bestFit="1" customWidth="1"/>
    <col min="575" max="575" width="9.375" bestFit="1" customWidth="1"/>
    <col min="576" max="576" width="11.875" bestFit="1" customWidth="1"/>
    <col min="577" max="577" width="9.375" bestFit="1" customWidth="1"/>
    <col min="578" max="578" width="11.875" bestFit="1" customWidth="1"/>
    <col min="579" max="579" width="9.375" bestFit="1" customWidth="1"/>
    <col min="580" max="580" width="11.875" bestFit="1" customWidth="1"/>
    <col min="581" max="581" width="9.375" bestFit="1" customWidth="1"/>
    <col min="582" max="582" width="11.875" bestFit="1" customWidth="1"/>
    <col min="583" max="583" width="9.375" bestFit="1" customWidth="1"/>
    <col min="584" max="584" width="11.875" bestFit="1" customWidth="1"/>
    <col min="585" max="585" width="9.375" bestFit="1" customWidth="1"/>
    <col min="586" max="586" width="11.875" bestFit="1" customWidth="1"/>
    <col min="587" max="587" width="9.375" bestFit="1" customWidth="1"/>
    <col min="588" max="588" width="11.875" bestFit="1" customWidth="1"/>
    <col min="589" max="589" width="9.375" bestFit="1" customWidth="1"/>
    <col min="590" max="590" width="11.875" bestFit="1" customWidth="1"/>
    <col min="591" max="591" width="9.375" bestFit="1" customWidth="1"/>
    <col min="592" max="592" width="11.875" bestFit="1" customWidth="1"/>
    <col min="593" max="593" width="9.375" bestFit="1" customWidth="1"/>
    <col min="594" max="594" width="11.875" bestFit="1" customWidth="1"/>
    <col min="595" max="595" width="9.375" bestFit="1" customWidth="1"/>
    <col min="596" max="596" width="11.875" bestFit="1" customWidth="1"/>
    <col min="597" max="597" width="9.375" bestFit="1" customWidth="1"/>
    <col min="598" max="598" width="11.875" bestFit="1" customWidth="1"/>
    <col min="599" max="599" width="9.375" bestFit="1" customWidth="1"/>
    <col min="600" max="600" width="11.875" bestFit="1" customWidth="1"/>
    <col min="601" max="601" width="9.375" bestFit="1" customWidth="1"/>
    <col min="602" max="602" width="11.875" bestFit="1" customWidth="1"/>
    <col min="603" max="603" width="9.375" bestFit="1" customWidth="1"/>
    <col min="604" max="604" width="11.875" bestFit="1" customWidth="1"/>
    <col min="605" max="605" width="9.375" bestFit="1" customWidth="1"/>
    <col min="606" max="606" width="11.875" bestFit="1" customWidth="1"/>
    <col min="607" max="607" width="9.375" bestFit="1" customWidth="1"/>
    <col min="608" max="608" width="11.875" bestFit="1" customWidth="1"/>
    <col min="609" max="609" width="9.375" bestFit="1" customWidth="1"/>
    <col min="610" max="610" width="11.875" bestFit="1" customWidth="1"/>
    <col min="611" max="611" width="9.375" bestFit="1" customWidth="1"/>
    <col min="612" max="612" width="11.875" bestFit="1" customWidth="1"/>
    <col min="613" max="613" width="9.375" bestFit="1" customWidth="1"/>
    <col min="614" max="614" width="11.875" bestFit="1" customWidth="1"/>
    <col min="615" max="615" width="9.375" bestFit="1" customWidth="1"/>
    <col min="616" max="616" width="11.875" bestFit="1" customWidth="1"/>
    <col min="617" max="617" width="9.375" bestFit="1" customWidth="1"/>
    <col min="618" max="618" width="11.875" bestFit="1" customWidth="1"/>
    <col min="619" max="619" width="9.375" bestFit="1" customWidth="1"/>
    <col min="620" max="620" width="11.875" bestFit="1" customWidth="1"/>
    <col min="621" max="621" width="9.375" bestFit="1" customWidth="1"/>
    <col min="622" max="622" width="11.875" bestFit="1" customWidth="1"/>
    <col min="623" max="623" width="9.375" bestFit="1" customWidth="1"/>
    <col min="624" max="624" width="11.875" bestFit="1" customWidth="1"/>
    <col min="625" max="625" width="9.375" bestFit="1" customWidth="1"/>
    <col min="626" max="626" width="11.875" bestFit="1" customWidth="1"/>
    <col min="627" max="627" width="9.375" bestFit="1" customWidth="1"/>
    <col min="628" max="628" width="11.875" bestFit="1" customWidth="1"/>
    <col min="629" max="629" width="9.375" bestFit="1" customWidth="1"/>
    <col min="630" max="630" width="11.875" bestFit="1" customWidth="1"/>
    <col min="631" max="631" width="9.375" bestFit="1" customWidth="1"/>
    <col min="632" max="632" width="11.875" bestFit="1" customWidth="1"/>
    <col min="633" max="633" width="9.375" bestFit="1" customWidth="1"/>
    <col min="634" max="634" width="11.875" bestFit="1" customWidth="1"/>
    <col min="635" max="635" width="9.375" bestFit="1" customWidth="1"/>
    <col min="636" max="636" width="11.875" bestFit="1" customWidth="1"/>
    <col min="637" max="637" width="9.375" bestFit="1" customWidth="1"/>
    <col min="638" max="638" width="11.875" bestFit="1" customWidth="1"/>
    <col min="639" max="639" width="9.375" bestFit="1" customWidth="1"/>
    <col min="640" max="640" width="11.875" bestFit="1" customWidth="1"/>
    <col min="641" max="641" width="9.375" bestFit="1" customWidth="1"/>
    <col min="642" max="642" width="11.875" bestFit="1" customWidth="1"/>
    <col min="643" max="643" width="9.375" bestFit="1" customWidth="1"/>
    <col min="644" max="644" width="11.875" bestFit="1" customWidth="1"/>
    <col min="645" max="645" width="9.375" bestFit="1" customWidth="1"/>
    <col min="646" max="646" width="11.875" bestFit="1" customWidth="1"/>
    <col min="647" max="647" width="9.375" bestFit="1" customWidth="1"/>
    <col min="648" max="648" width="11.875" bestFit="1" customWidth="1"/>
    <col min="649" max="649" width="9.375" bestFit="1" customWidth="1"/>
    <col min="650" max="650" width="11.875" bestFit="1" customWidth="1"/>
    <col min="651" max="651" width="9.375" bestFit="1" customWidth="1"/>
    <col min="652" max="652" width="11.875" bestFit="1" customWidth="1"/>
    <col min="653" max="653" width="9.375" bestFit="1" customWidth="1"/>
    <col min="654" max="654" width="11.875" bestFit="1" customWidth="1"/>
    <col min="655" max="655" width="9.375" bestFit="1" customWidth="1"/>
    <col min="656" max="656" width="11.875" bestFit="1" customWidth="1"/>
    <col min="657" max="657" width="9.375" bestFit="1" customWidth="1"/>
    <col min="658" max="658" width="11.875" bestFit="1" customWidth="1"/>
    <col min="659" max="659" width="9.375" bestFit="1" customWidth="1"/>
    <col min="660" max="660" width="11.875" bestFit="1" customWidth="1"/>
    <col min="661" max="661" width="9.375" bestFit="1" customWidth="1"/>
    <col min="662" max="662" width="11.875" bestFit="1" customWidth="1"/>
    <col min="663" max="663" width="9.375" bestFit="1" customWidth="1"/>
    <col min="664" max="664" width="11.875" bestFit="1" customWidth="1"/>
    <col min="665" max="665" width="9.375" bestFit="1" customWidth="1"/>
    <col min="666" max="666" width="11.875" bestFit="1" customWidth="1"/>
    <col min="667" max="667" width="9.375" bestFit="1" customWidth="1"/>
    <col min="668" max="668" width="11.875" bestFit="1" customWidth="1"/>
    <col min="669" max="669" width="9.375" bestFit="1" customWidth="1"/>
    <col min="670" max="670" width="11.875" bestFit="1" customWidth="1"/>
    <col min="671" max="671" width="9.375" bestFit="1" customWidth="1"/>
    <col min="672" max="672" width="11.875" bestFit="1" customWidth="1"/>
    <col min="673" max="673" width="9.375" bestFit="1" customWidth="1"/>
    <col min="674" max="674" width="11.875" bestFit="1" customWidth="1"/>
    <col min="675" max="675" width="9.375" bestFit="1" customWidth="1"/>
    <col min="676" max="676" width="7" bestFit="1" customWidth="1"/>
    <col min="677" max="677" width="11.875" bestFit="1" customWidth="1"/>
    <col min="678" max="678" width="9.375" bestFit="1" customWidth="1"/>
    <col min="679" max="679" width="11.875" bestFit="1" customWidth="1"/>
    <col min="680" max="680" width="9.375" bestFit="1" customWidth="1"/>
    <col min="681" max="681" width="11.875" bestFit="1" customWidth="1"/>
    <col min="682" max="682" width="9.375" bestFit="1" customWidth="1"/>
    <col min="683" max="683" width="11.875" bestFit="1" customWidth="1"/>
    <col min="684" max="684" width="9.375" bestFit="1" customWidth="1"/>
    <col min="685" max="685" width="11.875" bestFit="1" customWidth="1"/>
    <col min="686" max="686" width="9.375" bestFit="1" customWidth="1"/>
    <col min="687" max="687" width="11.875" bestFit="1" customWidth="1"/>
    <col min="688" max="688" width="9.375" bestFit="1" customWidth="1"/>
    <col min="689" max="689" width="11.875" bestFit="1" customWidth="1"/>
    <col min="690" max="690" width="9.375" bestFit="1" customWidth="1"/>
    <col min="691" max="691" width="11.875" bestFit="1" customWidth="1"/>
    <col min="692" max="692" width="9.375" bestFit="1" customWidth="1"/>
    <col min="693" max="693" width="11.875" bestFit="1" customWidth="1"/>
    <col min="694" max="694" width="9.375" bestFit="1" customWidth="1"/>
    <col min="695" max="695" width="11.875" bestFit="1" customWidth="1"/>
    <col min="696" max="696" width="9.375" bestFit="1" customWidth="1"/>
    <col min="697" max="697" width="11.875" bestFit="1" customWidth="1"/>
    <col min="698" max="698" width="9.375" bestFit="1" customWidth="1"/>
    <col min="699" max="699" width="11.875" bestFit="1" customWidth="1"/>
    <col min="700" max="700" width="9.375" bestFit="1" customWidth="1"/>
    <col min="701" max="701" width="11.875" bestFit="1" customWidth="1"/>
    <col min="702" max="702" width="9.375" bestFit="1" customWidth="1"/>
    <col min="703" max="703" width="11.875" bestFit="1" customWidth="1"/>
    <col min="704" max="704" width="9.375" bestFit="1" customWidth="1"/>
    <col min="705" max="705" width="11.875" bestFit="1" customWidth="1"/>
    <col min="706" max="706" width="9.375" bestFit="1" customWidth="1"/>
    <col min="707" max="707" width="11.875" bestFit="1" customWidth="1"/>
    <col min="708" max="708" width="9.375" bestFit="1" customWidth="1"/>
    <col min="709" max="709" width="11.875" bestFit="1" customWidth="1"/>
    <col min="710" max="710" width="9.375" bestFit="1" customWidth="1"/>
    <col min="711" max="711" width="11.875" bestFit="1" customWidth="1"/>
    <col min="712" max="712" width="9.375" bestFit="1" customWidth="1"/>
    <col min="713" max="713" width="11.875" bestFit="1" customWidth="1"/>
    <col min="714" max="714" width="9.375" bestFit="1" customWidth="1"/>
    <col min="715" max="715" width="11.875" bestFit="1" customWidth="1"/>
    <col min="716" max="716" width="9.375" bestFit="1" customWidth="1"/>
    <col min="717" max="717" width="11.875" bestFit="1" customWidth="1"/>
    <col min="718" max="718" width="9.375" bestFit="1" customWidth="1"/>
    <col min="719" max="719" width="11.875" bestFit="1" customWidth="1"/>
    <col min="720" max="720" width="9.375" bestFit="1" customWidth="1"/>
    <col min="721" max="721" width="11.875" bestFit="1" customWidth="1"/>
    <col min="722" max="722" width="9.375" bestFit="1" customWidth="1"/>
    <col min="723" max="723" width="11.875" bestFit="1" customWidth="1"/>
    <col min="724" max="724" width="9.375" bestFit="1" customWidth="1"/>
    <col min="725" max="725" width="11.875" bestFit="1" customWidth="1"/>
    <col min="726" max="726" width="9.375" bestFit="1" customWidth="1"/>
    <col min="727" max="727" width="11.875" bestFit="1" customWidth="1"/>
    <col min="728" max="728" width="9.375" bestFit="1" customWidth="1"/>
    <col min="729" max="729" width="11.875" bestFit="1" customWidth="1"/>
    <col min="730" max="730" width="9.375" bestFit="1" customWidth="1"/>
    <col min="731" max="731" width="11.875" bestFit="1" customWidth="1"/>
    <col min="732" max="732" width="9.375" bestFit="1" customWidth="1"/>
    <col min="733" max="733" width="11.875" bestFit="1" customWidth="1"/>
    <col min="734" max="734" width="9.375" bestFit="1" customWidth="1"/>
    <col min="735" max="735" width="11.875" bestFit="1" customWidth="1"/>
    <col min="736" max="736" width="9.375" bestFit="1" customWidth="1"/>
    <col min="737" max="737" width="11.875" bestFit="1" customWidth="1"/>
    <col min="738" max="738" width="9.375" bestFit="1" customWidth="1"/>
    <col min="739" max="739" width="11.875" bestFit="1" customWidth="1"/>
    <col min="740" max="740" width="9.375" bestFit="1" customWidth="1"/>
    <col min="741" max="741" width="11.875" bestFit="1" customWidth="1"/>
    <col min="742" max="742" width="9.375" bestFit="1" customWidth="1"/>
    <col min="743" max="743" width="11.875" bestFit="1" customWidth="1"/>
    <col min="744" max="744" width="9.375" bestFit="1" customWidth="1"/>
    <col min="745" max="745" width="11.875" bestFit="1" customWidth="1"/>
    <col min="746" max="746" width="9.375" bestFit="1" customWidth="1"/>
    <col min="747" max="747" width="11.875" bestFit="1" customWidth="1"/>
    <col min="748" max="748" width="9.375" bestFit="1" customWidth="1"/>
    <col min="749" max="749" width="11.875" bestFit="1" customWidth="1"/>
    <col min="750" max="750" width="9.375" bestFit="1" customWidth="1"/>
    <col min="751" max="751" width="11.875" bestFit="1" customWidth="1"/>
    <col min="752" max="752" width="9.375" bestFit="1" customWidth="1"/>
    <col min="753" max="753" width="11.875" bestFit="1" customWidth="1"/>
    <col min="754" max="754" width="9.375" bestFit="1" customWidth="1"/>
    <col min="755" max="755" width="11.875" bestFit="1" customWidth="1"/>
    <col min="756" max="756" width="9.375" bestFit="1" customWidth="1"/>
    <col min="757" max="757" width="11.875" bestFit="1" customWidth="1"/>
    <col min="758" max="758" width="9.375" bestFit="1" customWidth="1"/>
    <col min="759" max="759" width="11.875" bestFit="1" customWidth="1"/>
    <col min="760" max="760" width="9.375" bestFit="1" customWidth="1"/>
    <col min="761" max="761" width="11.875" bestFit="1" customWidth="1"/>
    <col min="762" max="762" width="9.375" bestFit="1" customWidth="1"/>
    <col min="763" max="763" width="11.875" bestFit="1" customWidth="1"/>
    <col min="764" max="764" width="9.375" bestFit="1" customWidth="1"/>
    <col min="765" max="765" width="11.875" bestFit="1" customWidth="1"/>
    <col min="766" max="766" width="9.375" bestFit="1" customWidth="1"/>
    <col min="767" max="767" width="11.875" bestFit="1" customWidth="1"/>
    <col min="768" max="768" width="9.375" bestFit="1" customWidth="1"/>
    <col min="769" max="769" width="11.875" bestFit="1" customWidth="1"/>
    <col min="770" max="770" width="9.375" bestFit="1" customWidth="1"/>
    <col min="771" max="771" width="11.875" bestFit="1" customWidth="1"/>
    <col min="772" max="772" width="9.375" bestFit="1" customWidth="1"/>
    <col min="773" max="773" width="11.875" bestFit="1" customWidth="1"/>
    <col min="774" max="774" width="9.375" bestFit="1" customWidth="1"/>
    <col min="775" max="775" width="11.875" bestFit="1" customWidth="1"/>
    <col min="776" max="776" width="9.375" bestFit="1" customWidth="1"/>
    <col min="777" max="777" width="11.875" bestFit="1" customWidth="1"/>
    <col min="778" max="778" width="9.375" bestFit="1" customWidth="1"/>
    <col min="779" max="779" width="11.875" bestFit="1" customWidth="1"/>
    <col min="780" max="780" width="9.375" bestFit="1" customWidth="1"/>
    <col min="781" max="781" width="11.875" bestFit="1" customWidth="1"/>
    <col min="782" max="782" width="9.375" bestFit="1" customWidth="1"/>
    <col min="783" max="783" width="11.875" bestFit="1" customWidth="1"/>
    <col min="784" max="784" width="9.375" bestFit="1" customWidth="1"/>
    <col min="785" max="785" width="11.875" bestFit="1" customWidth="1"/>
    <col min="786" max="786" width="9.375" bestFit="1" customWidth="1"/>
    <col min="787" max="787" width="11.875" bestFit="1" customWidth="1"/>
    <col min="788" max="788" width="9.375" bestFit="1" customWidth="1"/>
    <col min="789" max="789" width="11.875" bestFit="1" customWidth="1"/>
    <col min="790" max="790" width="9.375" bestFit="1" customWidth="1"/>
    <col min="791" max="791" width="11.875" bestFit="1" customWidth="1"/>
    <col min="792" max="792" width="9.375" bestFit="1" customWidth="1"/>
    <col min="793" max="793" width="11.875" bestFit="1" customWidth="1"/>
    <col min="794" max="794" width="9.375" bestFit="1" customWidth="1"/>
    <col min="795" max="795" width="11.875" bestFit="1" customWidth="1"/>
    <col min="796" max="796" width="9.375" bestFit="1" customWidth="1"/>
    <col min="797" max="797" width="11.875" bestFit="1" customWidth="1"/>
    <col min="798" max="798" width="9.375" bestFit="1" customWidth="1"/>
    <col min="799" max="799" width="11.875" bestFit="1" customWidth="1"/>
    <col min="800" max="800" width="9.375" bestFit="1" customWidth="1"/>
    <col min="801" max="801" width="11.875" bestFit="1" customWidth="1"/>
    <col min="802" max="802" width="9.375" bestFit="1" customWidth="1"/>
    <col min="803" max="803" width="11.875" bestFit="1" customWidth="1"/>
    <col min="804" max="804" width="9.375" bestFit="1" customWidth="1"/>
    <col min="805" max="805" width="11.875" bestFit="1" customWidth="1"/>
    <col min="806" max="806" width="9.375" bestFit="1" customWidth="1"/>
    <col min="807" max="807" width="11.875" bestFit="1" customWidth="1"/>
    <col min="808" max="808" width="9.375" bestFit="1" customWidth="1"/>
    <col min="809" max="809" width="11.875" bestFit="1" customWidth="1"/>
    <col min="810" max="810" width="9.375" bestFit="1" customWidth="1"/>
    <col min="811" max="811" width="11.875" bestFit="1" customWidth="1"/>
    <col min="812" max="812" width="9.375" bestFit="1" customWidth="1"/>
    <col min="813" max="813" width="11.875" bestFit="1" customWidth="1"/>
    <col min="814" max="814" width="9.375" bestFit="1" customWidth="1"/>
    <col min="815" max="815" width="11.875" bestFit="1" customWidth="1"/>
    <col min="816" max="816" width="9.375" bestFit="1" customWidth="1"/>
    <col min="817" max="817" width="7" bestFit="1" customWidth="1"/>
    <col min="818" max="818" width="11.875" bestFit="1" customWidth="1"/>
    <col min="819" max="819" width="9.375" bestFit="1" customWidth="1"/>
    <col min="820" max="820" width="11.875" bestFit="1" customWidth="1"/>
    <col min="821" max="821" width="9.375" bestFit="1" customWidth="1"/>
    <col min="822" max="822" width="11.875" bestFit="1" customWidth="1"/>
    <col min="823" max="823" width="9.375" bestFit="1" customWidth="1"/>
    <col min="824" max="824" width="11.875" bestFit="1" customWidth="1"/>
    <col min="825" max="825" width="9.375" bestFit="1" customWidth="1"/>
    <col min="826" max="826" width="11.875" bestFit="1" customWidth="1"/>
    <col min="827" max="827" width="9.375" bestFit="1" customWidth="1"/>
    <col min="828" max="828" width="11.875" bestFit="1" customWidth="1"/>
    <col min="829" max="829" width="9.375" bestFit="1" customWidth="1"/>
    <col min="830" max="830" width="11.875" bestFit="1" customWidth="1"/>
    <col min="831" max="831" width="9.375" bestFit="1" customWidth="1"/>
    <col min="832" max="832" width="11.875" bestFit="1" customWidth="1"/>
    <col min="833" max="833" width="9.375" bestFit="1" customWidth="1"/>
    <col min="834" max="834" width="11.875" bestFit="1" customWidth="1"/>
    <col min="835" max="835" width="9.375" bestFit="1" customWidth="1"/>
    <col min="836" max="836" width="11.875" bestFit="1" customWidth="1"/>
    <col min="837" max="837" width="9.375" bestFit="1" customWidth="1"/>
    <col min="838" max="838" width="11.875" bestFit="1" customWidth="1"/>
    <col min="839" max="839" width="9.375" bestFit="1" customWidth="1"/>
    <col min="840" max="840" width="11.875" bestFit="1" customWidth="1"/>
    <col min="841" max="841" width="9.375" bestFit="1" customWidth="1"/>
    <col min="842" max="842" width="11.875" bestFit="1" customWidth="1"/>
    <col min="843" max="843" width="9.375" bestFit="1" customWidth="1"/>
    <col min="844" max="844" width="11.875" bestFit="1" customWidth="1"/>
    <col min="845" max="845" width="9.375" bestFit="1" customWidth="1"/>
    <col min="846" max="846" width="11.875" bestFit="1" customWidth="1"/>
    <col min="847" max="847" width="9.375" bestFit="1" customWidth="1"/>
    <col min="848" max="848" width="11.875" bestFit="1" customWidth="1"/>
    <col min="849" max="849" width="9.375" bestFit="1" customWidth="1"/>
    <col min="850" max="850" width="11.875" bestFit="1" customWidth="1"/>
    <col min="851" max="851" width="9.375" bestFit="1" customWidth="1"/>
    <col min="852" max="852" width="11.875" bestFit="1" customWidth="1"/>
    <col min="853" max="853" width="9.375" bestFit="1" customWidth="1"/>
    <col min="854" max="854" width="11.875" bestFit="1" customWidth="1"/>
    <col min="855" max="855" width="9.375" bestFit="1" customWidth="1"/>
    <col min="856" max="856" width="11.875" bestFit="1" customWidth="1"/>
    <col min="857" max="857" width="9.375" bestFit="1" customWidth="1"/>
    <col min="858" max="858" width="11.875" bestFit="1" customWidth="1"/>
    <col min="859" max="859" width="9.375" bestFit="1" customWidth="1"/>
    <col min="860" max="860" width="11.875" bestFit="1" customWidth="1"/>
    <col min="861" max="861" width="9.375" bestFit="1" customWidth="1"/>
    <col min="862" max="862" width="11.875" bestFit="1" customWidth="1"/>
    <col min="863" max="863" width="9.375" bestFit="1" customWidth="1"/>
    <col min="864" max="864" width="11.875" bestFit="1" customWidth="1"/>
    <col min="865" max="865" width="9.375" bestFit="1" customWidth="1"/>
    <col min="866" max="866" width="11.875" bestFit="1" customWidth="1"/>
    <col min="867" max="867" width="9.375" bestFit="1" customWidth="1"/>
    <col min="868" max="868" width="11.875" bestFit="1" customWidth="1"/>
    <col min="869" max="869" width="9.375" bestFit="1" customWidth="1"/>
    <col min="870" max="870" width="11.875" bestFit="1" customWidth="1"/>
    <col min="871" max="871" width="9.375" bestFit="1" customWidth="1"/>
    <col min="872" max="872" width="11.875" bestFit="1" customWidth="1"/>
    <col min="873" max="873" width="9.375" bestFit="1" customWidth="1"/>
    <col min="874" max="874" width="11.875" bestFit="1" customWidth="1"/>
    <col min="875" max="875" width="9.375" bestFit="1" customWidth="1"/>
    <col min="876" max="876" width="11.875" bestFit="1" customWidth="1"/>
    <col min="877" max="877" width="9.375" bestFit="1" customWidth="1"/>
    <col min="878" max="878" width="11.875" bestFit="1" customWidth="1"/>
    <col min="879" max="879" width="9.375" bestFit="1" customWidth="1"/>
    <col min="880" max="880" width="11.875" bestFit="1" customWidth="1"/>
    <col min="881" max="881" width="9.375" bestFit="1" customWidth="1"/>
    <col min="882" max="882" width="11.875" bestFit="1" customWidth="1"/>
    <col min="883" max="883" width="9.375" bestFit="1" customWidth="1"/>
    <col min="884" max="884" width="11.875" bestFit="1" customWidth="1"/>
    <col min="885" max="885" width="9.375" bestFit="1" customWidth="1"/>
    <col min="886" max="886" width="11.875" bestFit="1" customWidth="1"/>
    <col min="887" max="887" width="9.375" bestFit="1" customWidth="1"/>
    <col min="888" max="888" width="11.875" bestFit="1" customWidth="1"/>
    <col min="889" max="889" width="9.375" bestFit="1" customWidth="1"/>
    <col min="890" max="890" width="11.875" bestFit="1" customWidth="1"/>
    <col min="891" max="891" width="9.375" bestFit="1" customWidth="1"/>
    <col min="892" max="892" width="11.875" bestFit="1" customWidth="1"/>
    <col min="893" max="893" width="9.375" bestFit="1" customWidth="1"/>
    <col min="894" max="894" width="11.875" bestFit="1" customWidth="1"/>
    <col min="895" max="895" width="9.375" bestFit="1" customWidth="1"/>
    <col min="896" max="896" width="11.875" bestFit="1" customWidth="1"/>
    <col min="897" max="897" width="9.375" bestFit="1" customWidth="1"/>
    <col min="898" max="898" width="11.875" bestFit="1" customWidth="1"/>
    <col min="899" max="899" width="9.375" bestFit="1" customWidth="1"/>
    <col min="900" max="900" width="11.875" bestFit="1" customWidth="1"/>
    <col min="901" max="901" width="9.375" bestFit="1" customWidth="1"/>
    <col min="902" max="902" width="11.875" bestFit="1" customWidth="1"/>
    <col min="903" max="903" width="9.375" bestFit="1" customWidth="1"/>
    <col min="904" max="904" width="11.875" bestFit="1" customWidth="1"/>
    <col min="905" max="905" width="9.375" bestFit="1" customWidth="1"/>
    <col min="906" max="906" width="11.875" bestFit="1" customWidth="1"/>
    <col min="907" max="907" width="9.375" bestFit="1" customWidth="1"/>
    <col min="908" max="908" width="11.875" bestFit="1" customWidth="1"/>
    <col min="909" max="909" width="9.375" bestFit="1" customWidth="1"/>
    <col min="910" max="910" width="11.875" bestFit="1" customWidth="1"/>
    <col min="911" max="911" width="9.375" bestFit="1" customWidth="1"/>
    <col min="912" max="912" width="11.875" bestFit="1" customWidth="1"/>
    <col min="913" max="913" width="9.375" bestFit="1" customWidth="1"/>
    <col min="914" max="914" width="11.875" bestFit="1" customWidth="1"/>
    <col min="915" max="915" width="9.375" bestFit="1" customWidth="1"/>
    <col min="916" max="916" width="11.875" bestFit="1" customWidth="1"/>
    <col min="917" max="917" width="9.375" bestFit="1" customWidth="1"/>
    <col min="918" max="918" width="11.875" bestFit="1" customWidth="1"/>
    <col min="919" max="919" width="9.375" bestFit="1" customWidth="1"/>
    <col min="920" max="920" width="11.875" bestFit="1" customWidth="1"/>
    <col min="921" max="921" width="9.375" bestFit="1" customWidth="1"/>
    <col min="922" max="922" width="11.875" bestFit="1" customWidth="1"/>
    <col min="923" max="923" width="9.375" bestFit="1" customWidth="1"/>
    <col min="924" max="924" width="11.875" bestFit="1" customWidth="1"/>
    <col min="925" max="925" width="9.375" bestFit="1" customWidth="1"/>
    <col min="926" max="926" width="11.875" bestFit="1" customWidth="1"/>
    <col min="927" max="927" width="9.375" bestFit="1" customWidth="1"/>
    <col min="928" max="928" width="11.875" bestFit="1" customWidth="1"/>
    <col min="929" max="929" width="9.375" bestFit="1" customWidth="1"/>
    <col min="930" max="930" width="11.875" bestFit="1" customWidth="1"/>
    <col min="931" max="931" width="9.375" bestFit="1" customWidth="1"/>
    <col min="932" max="932" width="11.875" bestFit="1" customWidth="1"/>
    <col min="933" max="933" width="9.375" bestFit="1" customWidth="1"/>
    <col min="934" max="934" width="11.875" bestFit="1" customWidth="1"/>
    <col min="935" max="935" width="9.375" bestFit="1" customWidth="1"/>
    <col min="936" max="936" width="11.875" bestFit="1" customWidth="1"/>
    <col min="937" max="937" width="9.375" bestFit="1" customWidth="1"/>
    <col min="938" max="938" width="11.875" bestFit="1" customWidth="1"/>
    <col min="939" max="939" width="9.375" bestFit="1" customWidth="1"/>
    <col min="940" max="940" width="11.875" bestFit="1" customWidth="1"/>
    <col min="941" max="941" width="9.375" bestFit="1" customWidth="1"/>
    <col min="942" max="942" width="11.875" bestFit="1" customWidth="1"/>
    <col min="943" max="943" width="9.375" bestFit="1" customWidth="1"/>
    <col min="944" max="944" width="11.875" bestFit="1" customWidth="1"/>
    <col min="945" max="945" width="9.375" bestFit="1" customWidth="1"/>
    <col min="946" max="946" width="11.875" bestFit="1" customWidth="1"/>
    <col min="947" max="947" width="9.375" bestFit="1" customWidth="1"/>
    <col min="948" max="948" width="11.875" bestFit="1" customWidth="1"/>
    <col min="949" max="949" width="9.375" bestFit="1" customWidth="1"/>
    <col min="950" max="950" width="11.875" bestFit="1" customWidth="1"/>
    <col min="951" max="951" width="9.375" bestFit="1" customWidth="1"/>
    <col min="952" max="952" width="11.875" bestFit="1" customWidth="1"/>
    <col min="953" max="953" width="9.375" bestFit="1" customWidth="1"/>
    <col min="954" max="954" width="11.875" bestFit="1" customWidth="1"/>
    <col min="955" max="955" width="9.375" bestFit="1" customWidth="1"/>
    <col min="956" max="956" width="11.875" bestFit="1" customWidth="1"/>
    <col min="957" max="957" width="9.375" bestFit="1" customWidth="1"/>
    <col min="958" max="958" width="11.875" bestFit="1" customWidth="1"/>
    <col min="959" max="959" width="9.375" bestFit="1" customWidth="1"/>
    <col min="960" max="960" width="11.875" bestFit="1" customWidth="1"/>
    <col min="961" max="961" width="9.375" bestFit="1" customWidth="1"/>
    <col min="962" max="962" width="11.875" bestFit="1" customWidth="1"/>
    <col min="963" max="963" width="9.375" bestFit="1" customWidth="1"/>
    <col min="964" max="964" width="11.875" bestFit="1" customWidth="1"/>
    <col min="965" max="965" width="9.375" bestFit="1" customWidth="1"/>
    <col min="966" max="966" width="11.875" bestFit="1" customWidth="1"/>
    <col min="967" max="967" width="9.375" bestFit="1" customWidth="1"/>
    <col min="968" max="968" width="11.875" bestFit="1" customWidth="1"/>
    <col min="969" max="969" width="9.375" bestFit="1" customWidth="1"/>
    <col min="970" max="970" width="11.875" bestFit="1" customWidth="1"/>
    <col min="971" max="971" width="9.375" bestFit="1" customWidth="1"/>
    <col min="972" max="972" width="11.875" bestFit="1" customWidth="1"/>
    <col min="973" max="973" width="9.375" bestFit="1" customWidth="1"/>
    <col min="974" max="974" width="7" bestFit="1" customWidth="1"/>
    <col min="975" max="975" width="11.875" bestFit="1" customWidth="1"/>
    <col min="976" max="976" width="9.375" bestFit="1" customWidth="1"/>
    <col min="977" max="977" width="11.875" bestFit="1" customWidth="1"/>
    <col min="978" max="978" width="9.375" bestFit="1" customWidth="1"/>
    <col min="979" max="979" width="11.875" bestFit="1" customWidth="1"/>
    <col min="980" max="980" width="9.375" bestFit="1" customWidth="1"/>
    <col min="981" max="981" width="11.875" bestFit="1" customWidth="1"/>
    <col min="982" max="982" width="9.375" bestFit="1" customWidth="1"/>
    <col min="983" max="983" width="11.875" bestFit="1" customWidth="1"/>
    <col min="984" max="984" width="9.375" bestFit="1" customWidth="1"/>
    <col min="985" max="985" width="11.875" bestFit="1" customWidth="1"/>
    <col min="986" max="986" width="9.375" bestFit="1" customWidth="1"/>
    <col min="987" max="987" width="11.875" bestFit="1" customWidth="1"/>
    <col min="988" max="988" width="9.375" bestFit="1" customWidth="1"/>
    <col min="989" max="989" width="11.875" bestFit="1" customWidth="1"/>
    <col min="990" max="990" width="9.375" bestFit="1" customWidth="1"/>
    <col min="991" max="991" width="11.875" bestFit="1" customWidth="1"/>
    <col min="992" max="992" width="9.375" bestFit="1" customWidth="1"/>
    <col min="993" max="993" width="11.875" bestFit="1" customWidth="1"/>
    <col min="994" max="994" width="9.375" bestFit="1" customWidth="1"/>
    <col min="995" max="995" width="11.875" bestFit="1" customWidth="1"/>
    <col min="996" max="996" width="9.375" bestFit="1" customWidth="1"/>
    <col min="997" max="997" width="11.875" bestFit="1" customWidth="1"/>
    <col min="998" max="998" width="9.375" bestFit="1" customWidth="1"/>
    <col min="999" max="999" width="11.875" bestFit="1" customWidth="1"/>
    <col min="1000" max="1000" width="9.375" bestFit="1" customWidth="1"/>
    <col min="1001" max="1001" width="11.875" bestFit="1" customWidth="1"/>
    <col min="1002" max="1002" width="9.375" bestFit="1" customWidth="1"/>
    <col min="1003" max="1003" width="11.875" bestFit="1" customWidth="1"/>
    <col min="1004" max="1004" width="9.375" bestFit="1" customWidth="1"/>
    <col min="1005" max="1005" width="11.875" bestFit="1" customWidth="1"/>
    <col min="1006" max="1006" width="9.375" bestFit="1" customWidth="1"/>
    <col min="1007" max="1007" width="11.875" bestFit="1" customWidth="1"/>
    <col min="1008" max="1008" width="9.375" bestFit="1" customWidth="1"/>
    <col min="1009" max="1009" width="11.875" bestFit="1" customWidth="1"/>
    <col min="1010" max="1010" width="9.375" bestFit="1" customWidth="1"/>
    <col min="1011" max="1011" width="11.875" bestFit="1" customWidth="1"/>
    <col min="1012" max="1012" width="9.375" bestFit="1" customWidth="1"/>
    <col min="1013" max="1013" width="11.875" bestFit="1" customWidth="1"/>
    <col min="1014" max="1014" width="9.375" bestFit="1" customWidth="1"/>
    <col min="1015" max="1015" width="11.875" bestFit="1" customWidth="1"/>
    <col min="1016" max="1016" width="9.375" bestFit="1" customWidth="1"/>
    <col min="1017" max="1017" width="11.875" bestFit="1" customWidth="1"/>
    <col min="1018" max="1018" width="9.375" bestFit="1" customWidth="1"/>
    <col min="1019" max="1019" width="11.875" bestFit="1" customWidth="1"/>
    <col min="1020" max="1020" width="9.375" bestFit="1" customWidth="1"/>
    <col min="1021" max="1021" width="11.875" bestFit="1" customWidth="1"/>
    <col min="1022" max="1022" width="9.375" bestFit="1" customWidth="1"/>
    <col min="1023" max="1023" width="11.875" bestFit="1" customWidth="1"/>
    <col min="1024" max="1024" width="9.375" bestFit="1" customWidth="1"/>
    <col min="1025" max="1025" width="11.875" bestFit="1" customWidth="1"/>
    <col min="1026" max="1026" width="9.375" bestFit="1" customWidth="1"/>
    <col min="1027" max="1027" width="7" bestFit="1" customWidth="1"/>
    <col min="1028" max="1028" width="11.875" bestFit="1" customWidth="1"/>
    <col min="1029" max="1029" width="9.375" bestFit="1" customWidth="1"/>
    <col min="1030" max="1030" width="11.875" bestFit="1" customWidth="1"/>
    <col min="1031" max="1031" width="9.375" bestFit="1" customWidth="1"/>
    <col min="1032" max="1032" width="11.875" bestFit="1" customWidth="1"/>
    <col min="1033" max="1033" width="9.375" bestFit="1" customWidth="1"/>
    <col min="1034" max="1034" width="11.875" bestFit="1" customWidth="1"/>
    <col min="1035" max="1035" width="9.375" bestFit="1" customWidth="1"/>
    <col min="1036" max="1036" width="11.875" bestFit="1" customWidth="1"/>
    <col min="1037" max="1037" width="9.375" bestFit="1" customWidth="1"/>
    <col min="1038" max="1038" width="11.875" bestFit="1" customWidth="1"/>
    <col min="1039" max="1039" width="9.375" bestFit="1" customWidth="1"/>
    <col min="1040" max="1040" width="11.875" bestFit="1" customWidth="1"/>
    <col min="1041" max="1041" width="9.375" bestFit="1" customWidth="1"/>
    <col min="1042" max="1042" width="11.875" bestFit="1" customWidth="1"/>
    <col min="1043" max="1043" width="9.375" bestFit="1" customWidth="1"/>
    <col min="1044" max="1044" width="11.875" bestFit="1" customWidth="1"/>
    <col min="1045" max="1045" width="9.375" bestFit="1" customWidth="1"/>
    <col min="1046" max="1046" width="11.875" bestFit="1" customWidth="1"/>
    <col min="1047" max="1047" width="9.375" bestFit="1" customWidth="1"/>
    <col min="1048" max="1048" width="11.875" bestFit="1" customWidth="1"/>
    <col min="1049" max="1049" width="9.375" bestFit="1" customWidth="1"/>
    <col min="1050" max="1050" width="11.875" bestFit="1" customWidth="1"/>
    <col min="1051" max="1051" width="9.375" bestFit="1" customWidth="1"/>
    <col min="1052" max="1052" width="11.875" bestFit="1" customWidth="1"/>
    <col min="1053" max="1053" width="9.375" bestFit="1" customWidth="1"/>
    <col min="1054" max="1054" width="11.875" bestFit="1" customWidth="1"/>
    <col min="1055" max="1055" width="9.375" bestFit="1" customWidth="1"/>
    <col min="1056" max="1056" width="11.875" bestFit="1" customWidth="1"/>
    <col min="1057" max="1057" width="9.375" bestFit="1" customWidth="1"/>
    <col min="1058" max="1058" width="11.875" bestFit="1" customWidth="1"/>
    <col min="1059" max="1059" width="9.375" bestFit="1" customWidth="1"/>
    <col min="1060" max="1060" width="11.875" bestFit="1" customWidth="1"/>
    <col min="1061" max="1061" width="9.375" bestFit="1" customWidth="1"/>
    <col min="1062" max="1062" width="11.875" bestFit="1" customWidth="1"/>
    <col min="1063" max="1063" width="9.375" bestFit="1" customWidth="1"/>
    <col min="1064" max="1064" width="7" bestFit="1" customWidth="1"/>
    <col min="1065" max="1065" width="11.875" bestFit="1" customWidth="1"/>
    <col min="1066" max="1066" width="9.375" bestFit="1" customWidth="1"/>
    <col min="1067" max="1067" width="11.875" bestFit="1" customWidth="1"/>
    <col min="1068" max="1068" width="9.375" bestFit="1" customWidth="1"/>
    <col min="1069" max="1069" width="11.875" bestFit="1" customWidth="1"/>
    <col min="1070" max="1070" width="9.375" bestFit="1" customWidth="1"/>
    <col min="1071" max="1071" width="11.875" bestFit="1" customWidth="1"/>
    <col min="1072" max="1072" width="9.375" bestFit="1" customWidth="1"/>
    <col min="1073" max="1073" width="11.875" bestFit="1" customWidth="1"/>
    <col min="1074" max="1074" width="9.375" bestFit="1" customWidth="1"/>
    <col min="1075" max="1075" width="11.875" bestFit="1" customWidth="1"/>
    <col min="1076" max="1076" width="9.375" bestFit="1" customWidth="1"/>
    <col min="1077" max="1077" width="11.875" bestFit="1" customWidth="1"/>
    <col min="1078" max="1078" width="9.375" bestFit="1" customWidth="1"/>
    <col min="1079" max="1079" width="11.875" bestFit="1" customWidth="1"/>
    <col min="1080" max="1080" width="9.375" bestFit="1" customWidth="1"/>
    <col min="1081" max="1081" width="11.875" bestFit="1" customWidth="1"/>
    <col min="1082" max="1082" width="9.375" bestFit="1" customWidth="1"/>
    <col min="1083" max="1083" width="11.875" bestFit="1" customWidth="1"/>
    <col min="1084" max="1084" width="9.375" bestFit="1" customWidth="1"/>
    <col min="1085" max="1085" width="11.875" bestFit="1" customWidth="1"/>
    <col min="1086" max="1086" width="9.375" bestFit="1" customWidth="1"/>
    <col min="1087" max="1087" width="11.875" bestFit="1" customWidth="1"/>
    <col min="1088" max="1088" width="9.375" bestFit="1" customWidth="1"/>
    <col min="1089" max="1089" width="11.875" bestFit="1" customWidth="1"/>
    <col min="1090" max="1090" width="9.375" bestFit="1" customWidth="1"/>
    <col min="1091" max="1091" width="11.875" bestFit="1" customWidth="1"/>
    <col min="1092" max="1092" width="9.375" bestFit="1" customWidth="1"/>
    <col min="1093" max="1093" width="11.875" bestFit="1" customWidth="1"/>
    <col min="1094" max="1094" width="9.375" bestFit="1" customWidth="1"/>
    <col min="1095" max="1095" width="11.875" bestFit="1" customWidth="1"/>
    <col min="1096" max="1096" width="9.375" bestFit="1" customWidth="1"/>
    <col min="1097" max="1097" width="11.875" bestFit="1" customWidth="1"/>
    <col min="1098" max="1098" width="9.375" bestFit="1" customWidth="1"/>
    <col min="1099" max="1099" width="11.875" bestFit="1" customWidth="1"/>
    <col min="1100" max="1100" width="9.375" bestFit="1" customWidth="1"/>
    <col min="1101" max="1101" width="11.875" bestFit="1" customWidth="1"/>
    <col min="1102" max="1102" width="9.375" bestFit="1" customWidth="1"/>
    <col min="1103" max="1103" width="11.875" bestFit="1" customWidth="1"/>
    <col min="1104" max="1104" width="9.375" bestFit="1" customWidth="1"/>
    <col min="1105" max="1105" width="11.875" bestFit="1" customWidth="1"/>
    <col min="1106" max="1106" width="9.375" bestFit="1" customWidth="1"/>
    <col min="1107" max="1107" width="11.875" bestFit="1" customWidth="1"/>
    <col min="1108" max="1108" width="9.375" bestFit="1" customWidth="1"/>
    <col min="1109" max="1109" width="11.875" bestFit="1" customWidth="1"/>
    <col min="1110" max="1110" width="9.375" bestFit="1" customWidth="1"/>
    <col min="1111" max="1111" width="11.875" bestFit="1" customWidth="1"/>
    <col min="1112" max="1112" width="9.375" bestFit="1" customWidth="1"/>
    <col min="1113" max="1113" width="11.875" bestFit="1" customWidth="1"/>
    <col min="1114" max="1114" width="9.375" bestFit="1" customWidth="1"/>
    <col min="1115" max="1115" width="7" bestFit="1" customWidth="1"/>
    <col min="1116" max="1116" width="11.875" bestFit="1" customWidth="1"/>
    <col min="1117" max="1117" width="9.375" bestFit="1" customWidth="1"/>
    <col min="1118" max="1118" width="11.875" bestFit="1" customWidth="1"/>
    <col min="1119" max="1119" width="9.375" bestFit="1" customWidth="1"/>
    <col min="1120" max="1120" width="11.875" bestFit="1" customWidth="1"/>
    <col min="1121" max="1121" width="9.375" bestFit="1" customWidth="1"/>
    <col min="1122" max="1122" width="7" bestFit="1" customWidth="1"/>
    <col min="1123" max="1123" width="11.875" bestFit="1" customWidth="1"/>
    <col min="1124" max="1124" width="9.375" bestFit="1" customWidth="1"/>
    <col min="1125" max="1125" width="11.875" bestFit="1" customWidth="1"/>
    <col min="1126" max="1126" width="9.375" bestFit="1" customWidth="1"/>
    <col min="1127" max="1127" width="11.875" bestFit="1" customWidth="1"/>
    <col min="1128" max="1128" width="9.375" bestFit="1" customWidth="1"/>
    <col min="1129" max="1129" width="11.875" bestFit="1" customWidth="1"/>
    <col min="1130" max="1130" width="9.375" bestFit="1" customWidth="1"/>
    <col min="1131" max="1131" width="11.875" bestFit="1" customWidth="1"/>
    <col min="1132" max="1132" width="9.375" bestFit="1" customWidth="1"/>
    <col min="1133" max="1133" width="11.875" bestFit="1" customWidth="1"/>
    <col min="1134" max="1134" width="9.375" bestFit="1" customWidth="1"/>
    <col min="1135" max="1135" width="11.875" bestFit="1" customWidth="1"/>
    <col min="1136" max="1136" width="9.375" bestFit="1" customWidth="1"/>
    <col min="1137" max="1137" width="11.875" bestFit="1" customWidth="1"/>
    <col min="1138" max="1138" width="9.375" bestFit="1" customWidth="1"/>
    <col min="1139" max="1139" width="11.875" bestFit="1" customWidth="1"/>
    <col min="1140" max="1140" width="9.375" bestFit="1" customWidth="1"/>
    <col min="1141" max="1141" width="11.875" bestFit="1" customWidth="1"/>
    <col min="1142" max="1142" width="9.375" bestFit="1" customWidth="1"/>
    <col min="1143" max="1143" width="11.875" bestFit="1" customWidth="1"/>
    <col min="1144" max="1144" width="9.375" bestFit="1" customWidth="1"/>
    <col min="1145" max="1145" width="11.875" bestFit="1" customWidth="1"/>
    <col min="1146" max="1146" width="9.375" bestFit="1" customWidth="1"/>
    <col min="1147" max="1147" width="11.875" bestFit="1" customWidth="1"/>
    <col min="1148" max="1148" width="9.375" bestFit="1" customWidth="1"/>
    <col min="1149" max="1149" width="11.875" bestFit="1" customWidth="1"/>
    <col min="1150" max="1150" width="9.375" bestFit="1" customWidth="1"/>
    <col min="1151" max="1151" width="11.875" bestFit="1" customWidth="1"/>
    <col min="1152" max="1152" width="9.375" bestFit="1" customWidth="1"/>
    <col min="1153" max="1153" width="11.875" bestFit="1" customWidth="1"/>
    <col min="1154" max="1154" width="9.375" bestFit="1" customWidth="1"/>
    <col min="1155" max="1155" width="11.875" bestFit="1" customWidth="1"/>
    <col min="1156" max="1156" width="9.375" bestFit="1" customWidth="1"/>
    <col min="1157" max="1157" width="11.875" bestFit="1" customWidth="1"/>
    <col min="1158" max="1158" width="9.375" bestFit="1" customWidth="1"/>
    <col min="1159" max="1159" width="11.875" bestFit="1" customWidth="1"/>
    <col min="1160" max="1160" width="9.375" bestFit="1" customWidth="1"/>
    <col min="1161" max="1161" width="11.875" bestFit="1" customWidth="1"/>
    <col min="1162" max="1162" width="9.375" bestFit="1" customWidth="1"/>
    <col min="1163" max="1163" width="11.875" bestFit="1" customWidth="1"/>
    <col min="1164" max="1164" width="9.375" bestFit="1" customWidth="1"/>
    <col min="1165" max="1165" width="11.875" bestFit="1" customWidth="1"/>
    <col min="1166" max="1166" width="9.375" bestFit="1" customWidth="1"/>
    <col min="1167" max="1167" width="11.875" bestFit="1" customWidth="1"/>
    <col min="1168" max="1168" width="9.375" bestFit="1" customWidth="1"/>
    <col min="1169" max="1169" width="11.875" bestFit="1" customWidth="1"/>
    <col min="1170" max="1170" width="9.375" bestFit="1" customWidth="1"/>
    <col min="1171" max="1171" width="11.875" bestFit="1" customWidth="1"/>
    <col min="1172" max="1172" width="9.375" bestFit="1" customWidth="1"/>
    <col min="1173" max="1173" width="7" bestFit="1" customWidth="1"/>
    <col min="1174" max="1174" width="11.875" bestFit="1" customWidth="1"/>
    <col min="1175" max="1175" width="9.375" bestFit="1" customWidth="1"/>
    <col min="1176" max="1176" width="11.875" bestFit="1" customWidth="1"/>
    <col min="1177" max="1177" width="9.375" bestFit="1" customWidth="1"/>
    <col min="1178" max="1178" width="7" bestFit="1" customWidth="1"/>
    <col min="1179" max="1179" width="11.875" bestFit="1" customWidth="1"/>
    <col min="1180" max="1180" width="9.375" bestFit="1" customWidth="1"/>
    <col min="1181" max="1181" width="11.875" bestFit="1" customWidth="1"/>
    <col min="1182" max="1182" width="9.375" bestFit="1" customWidth="1"/>
    <col min="1183" max="1183" width="11.875" bestFit="1" customWidth="1"/>
    <col min="1184" max="1184" width="9.375" bestFit="1" customWidth="1"/>
    <col min="1185" max="1185" width="11.875" bestFit="1" customWidth="1"/>
    <col min="1186" max="1186" width="9.375" bestFit="1" customWidth="1"/>
    <col min="1187" max="1187" width="11.875" bestFit="1" customWidth="1"/>
    <col min="1188" max="1188" width="9.375" bestFit="1" customWidth="1"/>
    <col min="1189" max="1189" width="11.875" bestFit="1" customWidth="1"/>
    <col min="1190" max="1190" width="9.375" bestFit="1" customWidth="1"/>
    <col min="1191" max="1191" width="11.875" bestFit="1" customWidth="1"/>
    <col min="1192" max="1192" width="9.375" bestFit="1" customWidth="1"/>
    <col min="1193" max="1193" width="11.875" bestFit="1" customWidth="1"/>
    <col min="1194" max="1194" width="9.375" bestFit="1" customWidth="1"/>
    <col min="1195" max="1195" width="11.875" bestFit="1" customWidth="1"/>
    <col min="1196" max="1196" width="9.375" bestFit="1" customWidth="1"/>
    <col min="1197" max="1197" width="11.875" bestFit="1" customWidth="1"/>
    <col min="1198" max="1198" width="9.375" bestFit="1" customWidth="1"/>
    <col min="1199" max="1199" width="11.875" bestFit="1" customWidth="1"/>
    <col min="1200" max="1200" width="9.375" bestFit="1" customWidth="1"/>
    <col min="1201" max="1201" width="11.875" bestFit="1" customWidth="1"/>
    <col min="1202" max="1202" width="9.375" bestFit="1" customWidth="1"/>
    <col min="1203" max="1203" width="11.875" bestFit="1" customWidth="1"/>
    <col min="1204" max="1204" width="9.375" bestFit="1" customWidth="1"/>
    <col min="1205" max="1205" width="11.875" bestFit="1" customWidth="1"/>
    <col min="1206" max="1206" width="9.375" bestFit="1" customWidth="1"/>
    <col min="1207" max="1207" width="11.875" bestFit="1" customWidth="1"/>
    <col min="1208" max="1208" width="9.375" bestFit="1" customWidth="1"/>
    <col min="1209" max="1209" width="11.875" bestFit="1" customWidth="1"/>
    <col min="1210" max="1210" width="9.375" bestFit="1" customWidth="1"/>
    <col min="1211" max="1211" width="11.875" bestFit="1" customWidth="1"/>
    <col min="1212" max="1212" width="9.375" bestFit="1" customWidth="1"/>
    <col min="1213" max="1213" width="11.875" bestFit="1" customWidth="1"/>
    <col min="1214" max="1214" width="9.375" bestFit="1" customWidth="1"/>
    <col min="1215" max="1215" width="11.875" bestFit="1" customWidth="1"/>
    <col min="1216" max="1216" width="9.375" bestFit="1" customWidth="1"/>
    <col min="1217" max="1217" width="11.875" bestFit="1" customWidth="1"/>
    <col min="1218" max="1218" width="9.375" bestFit="1" customWidth="1"/>
    <col min="1219" max="1219" width="11.875" bestFit="1" customWidth="1"/>
    <col min="1220" max="1220" width="9.375" bestFit="1" customWidth="1"/>
    <col min="1221" max="1221" width="11.875" bestFit="1" customWidth="1"/>
    <col min="1222" max="1222" width="9.375" bestFit="1" customWidth="1"/>
    <col min="1223" max="1223" width="7" bestFit="1" customWidth="1"/>
    <col min="1224" max="1224" width="11.875" bestFit="1" customWidth="1"/>
    <col min="1225" max="1225" width="9.375" bestFit="1" customWidth="1"/>
    <col min="1226" max="1226" width="11.875" bestFit="1" customWidth="1"/>
    <col min="1227" max="1227" width="9.375" bestFit="1" customWidth="1"/>
    <col min="1228" max="1228" width="11.875" bestFit="1" customWidth="1"/>
    <col min="1229" max="1229" width="9.375" bestFit="1" customWidth="1"/>
    <col min="1230" max="1230" width="11.875" bestFit="1" customWidth="1"/>
    <col min="1231" max="1231" width="9.375" bestFit="1" customWidth="1"/>
    <col min="1232" max="1232" width="11.875" bestFit="1" customWidth="1"/>
    <col min="1233" max="1233" width="9.375" bestFit="1" customWidth="1"/>
    <col min="1234" max="1234" width="11.875" bestFit="1" customWidth="1"/>
    <col min="1235" max="1235" width="9.375" bestFit="1" customWidth="1"/>
    <col min="1236" max="1236" width="11.875" bestFit="1" customWidth="1"/>
    <col min="1237" max="1237" width="9.375" bestFit="1" customWidth="1"/>
    <col min="1238" max="1238" width="11.875" bestFit="1" customWidth="1"/>
    <col min="1239" max="1239" width="9.375" bestFit="1" customWidth="1"/>
    <col min="1240" max="1240" width="11.875" bestFit="1" customWidth="1"/>
    <col min="1241" max="1241" width="9.375" bestFit="1" customWidth="1"/>
    <col min="1242" max="1242" width="11.875" bestFit="1" customWidth="1"/>
    <col min="1243" max="1243" width="9.375" bestFit="1" customWidth="1"/>
    <col min="1244" max="1244" width="11.875" bestFit="1" customWidth="1"/>
    <col min="1245" max="1245" width="9.375" bestFit="1" customWidth="1"/>
    <col min="1246" max="1246" width="11.875" bestFit="1" customWidth="1"/>
    <col min="1247" max="1247" width="9.375" bestFit="1" customWidth="1"/>
    <col min="1248" max="1248" width="11.875" bestFit="1" customWidth="1"/>
    <col min="1249" max="1249" width="9.375" bestFit="1" customWidth="1"/>
    <col min="1250" max="1250" width="11.875" bestFit="1" customWidth="1"/>
    <col min="1251" max="1251" width="9.375" bestFit="1" customWidth="1"/>
    <col min="1252" max="1252" width="11.875" bestFit="1" customWidth="1"/>
    <col min="1253" max="1253" width="9.375" bestFit="1" customWidth="1"/>
    <col min="1254" max="1254" width="11.875" bestFit="1" customWidth="1"/>
    <col min="1255" max="1255" width="9.375" bestFit="1" customWidth="1"/>
    <col min="1256" max="1256" width="11.875" bestFit="1" customWidth="1"/>
    <col min="1257" max="1257" width="9.375" bestFit="1" customWidth="1"/>
    <col min="1258" max="1258" width="11.875" bestFit="1" customWidth="1"/>
    <col min="1259" max="1259" width="9.375" bestFit="1" customWidth="1"/>
    <col min="1260" max="1260" width="11.875" bestFit="1" customWidth="1"/>
    <col min="1261" max="1261" width="9.375" bestFit="1" customWidth="1"/>
    <col min="1262" max="1262" width="11.875" bestFit="1" customWidth="1"/>
    <col min="1263" max="1263" width="9.375" bestFit="1" customWidth="1"/>
    <col min="1264" max="1264" width="11.875" bestFit="1" customWidth="1"/>
    <col min="1265" max="1265" width="9.375" bestFit="1" customWidth="1"/>
    <col min="1266" max="1266" width="11.875" bestFit="1" customWidth="1"/>
    <col min="1267" max="1267" width="9.375" bestFit="1" customWidth="1"/>
    <col min="1268" max="1268" width="11.875" bestFit="1" customWidth="1"/>
    <col min="1269" max="1269" width="9.375" bestFit="1" customWidth="1"/>
    <col min="1270" max="1270" width="11.875" bestFit="1" customWidth="1"/>
    <col min="1271" max="1271" width="9.375" bestFit="1" customWidth="1"/>
    <col min="1272" max="1272" width="11.875" bestFit="1" customWidth="1"/>
    <col min="1273" max="1273" width="9.375" bestFit="1" customWidth="1"/>
    <col min="1274" max="1274" width="11.875" bestFit="1" customWidth="1"/>
    <col min="1275" max="1275" width="9.375" bestFit="1" customWidth="1"/>
    <col min="1276" max="1276" width="11.875" bestFit="1" customWidth="1"/>
    <col min="1277" max="1277" width="9.375" bestFit="1" customWidth="1"/>
    <col min="1278" max="1278" width="11.875" bestFit="1" customWidth="1"/>
    <col min="1279" max="1279" width="9.375" bestFit="1" customWidth="1"/>
    <col min="1280" max="1280" width="11.875" bestFit="1" customWidth="1"/>
    <col min="1281" max="1281" width="9.375" bestFit="1" customWidth="1"/>
    <col min="1282" max="1282" width="11.875" bestFit="1" customWidth="1"/>
    <col min="1283" max="1283" width="9.375" bestFit="1" customWidth="1"/>
    <col min="1284" max="1284" width="11.875" bestFit="1" customWidth="1"/>
    <col min="1285" max="1285" width="9.375" bestFit="1" customWidth="1"/>
    <col min="1286" max="1286" width="11.875" bestFit="1" customWidth="1"/>
    <col min="1287" max="1287" width="9.375" bestFit="1" customWidth="1"/>
    <col min="1288" max="1288" width="11.875" bestFit="1" customWidth="1"/>
    <col min="1289" max="1289" width="9.375" bestFit="1" customWidth="1"/>
    <col min="1290" max="1290" width="11.875" bestFit="1" customWidth="1"/>
    <col min="1291" max="1291" width="9.375" bestFit="1" customWidth="1"/>
    <col min="1292" max="1292" width="11.875" bestFit="1" customWidth="1"/>
    <col min="1293" max="1293" width="9.375" bestFit="1" customWidth="1"/>
    <col min="1294" max="1294" width="11.875" bestFit="1" customWidth="1"/>
    <col min="1295" max="1295" width="9.375" bestFit="1" customWidth="1"/>
    <col min="1296" max="1296" width="11.875" bestFit="1" customWidth="1"/>
    <col min="1297" max="1297" width="9.375" bestFit="1" customWidth="1"/>
    <col min="1298" max="1298" width="11.875" bestFit="1" customWidth="1"/>
    <col min="1299" max="1299" width="9.375" bestFit="1" customWidth="1"/>
    <col min="1300" max="1300" width="11.875" bestFit="1" customWidth="1"/>
    <col min="1301" max="1301" width="9.375" bestFit="1" customWidth="1"/>
    <col min="1302" max="1302" width="11.875" bestFit="1" customWidth="1"/>
    <col min="1303" max="1303" width="9.375" bestFit="1" customWidth="1"/>
    <col min="1304" max="1304" width="11.875" bestFit="1" customWidth="1"/>
    <col min="1305" max="1305" width="9.375" bestFit="1" customWidth="1"/>
    <col min="1306" max="1306" width="11.875" bestFit="1" customWidth="1"/>
    <col min="1307" max="1307" width="9.375" bestFit="1" customWidth="1"/>
    <col min="1308" max="1308" width="11.875" bestFit="1" customWidth="1"/>
    <col min="1309" max="1309" width="9.375" bestFit="1" customWidth="1"/>
    <col min="1310" max="1310" width="11.875" bestFit="1" customWidth="1"/>
    <col min="1311" max="1311" width="9.375" bestFit="1" customWidth="1"/>
    <col min="1312" max="1312" width="7" bestFit="1" customWidth="1"/>
    <col min="1313" max="1313" width="11.875" bestFit="1" customWidth="1"/>
    <col min="1314" max="1314" width="9.375" bestFit="1" customWidth="1"/>
    <col min="1315" max="1315" width="7" bestFit="1" customWidth="1"/>
    <col min="1316" max="1316" width="11.875" bestFit="1" customWidth="1"/>
    <col min="1317" max="1317" width="9.375" bestFit="1" customWidth="1"/>
    <col min="1318" max="1318" width="11.875" bestFit="1" customWidth="1"/>
    <col min="1319" max="1319" width="9.375" bestFit="1" customWidth="1"/>
    <col min="1320" max="1320" width="11.875" bestFit="1" customWidth="1"/>
    <col min="1321" max="1321" width="9.375" bestFit="1" customWidth="1"/>
    <col min="1322" max="1322" width="11.875" bestFit="1" customWidth="1"/>
    <col min="1323" max="1323" width="9.375" bestFit="1" customWidth="1"/>
    <col min="1324" max="1324" width="11.875" bestFit="1" customWidth="1"/>
    <col min="1325" max="1325" width="9.375" bestFit="1" customWidth="1"/>
    <col min="1326" max="1326" width="11.875" bestFit="1" customWidth="1"/>
    <col min="1327" max="1327" width="9.375" bestFit="1" customWidth="1"/>
    <col min="1328" max="1328" width="11.875" bestFit="1" customWidth="1"/>
    <col min="1329" max="1329" width="9.375" bestFit="1" customWidth="1"/>
    <col min="1330" max="1330" width="11.875" bestFit="1" customWidth="1"/>
    <col min="1331" max="1331" width="9.375" bestFit="1" customWidth="1"/>
    <col min="1332" max="1332" width="11.875" bestFit="1" customWidth="1"/>
    <col min="1333" max="1333" width="9.375" bestFit="1" customWidth="1"/>
    <col min="1334" max="1334" width="11.875" bestFit="1" customWidth="1"/>
    <col min="1335" max="1335" width="9.375" bestFit="1" customWidth="1"/>
    <col min="1336" max="1336" width="11.875" bestFit="1" customWidth="1"/>
    <col min="1337" max="1337" width="9.375" bestFit="1" customWidth="1"/>
    <col min="1338" max="1338" width="11.875" bestFit="1" customWidth="1"/>
    <col min="1339" max="1339" width="9.375" bestFit="1" customWidth="1"/>
    <col min="1340" max="1340" width="11.875" bestFit="1" customWidth="1"/>
    <col min="1341" max="1341" width="9.375" bestFit="1" customWidth="1"/>
    <col min="1342" max="1342" width="11.875" bestFit="1" customWidth="1"/>
    <col min="1343" max="1343" width="9.375" bestFit="1" customWidth="1"/>
    <col min="1344" max="1344" width="11.875" bestFit="1" customWidth="1"/>
    <col min="1345" max="1345" width="9.375" bestFit="1" customWidth="1"/>
    <col min="1346" max="1346" width="11.875" bestFit="1" customWidth="1"/>
    <col min="1347" max="1347" width="9.375" bestFit="1" customWidth="1"/>
    <col min="1348" max="1348" width="11.875" bestFit="1" customWidth="1"/>
    <col min="1349" max="1349" width="9.375" bestFit="1" customWidth="1"/>
    <col min="1350" max="1350" width="11.875" bestFit="1" customWidth="1"/>
    <col min="1351" max="1351" width="9.375" bestFit="1" customWidth="1"/>
    <col min="1352" max="1352" width="11.875" bestFit="1" customWidth="1"/>
    <col min="1353" max="1353" width="9.375" bestFit="1" customWidth="1"/>
    <col min="1354" max="1354" width="11.875" bestFit="1" customWidth="1"/>
    <col min="1355" max="1355" width="9.375" bestFit="1" customWidth="1"/>
    <col min="1356" max="1356" width="11.875" bestFit="1" customWidth="1"/>
    <col min="1357" max="1357" width="9.375" bestFit="1" customWidth="1"/>
    <col min="1358" max="1358" width="11.875" bestFit="1" customWidth="1"/>
    <col min="1359" max="1359" width="9.375" bestFit="1" customWidth="1"/>
    <col min="1360" max="1360" width="11.875" bestFit="1" customWidth="1"/>
    <col min="1361" max="1361" width="9.375" bestFit="1" customWidth="1"/>
    <col min="1362" max="1362" width="11.875" bestFit="1" customWidth="1"/>
    <col min="1363" max="1363" width="9.375" bestFit="1" customWidth="1"/>
    <col min="1364" max="1364" width="11.875" bestFit="1" customWidth="1"/>
    <col min="1365" max="1365" width="9.375" bestFit="1" customWidth="1"/>
    <col min="1366" max="1366" width="11.875" bestFit="1" customWidth="1"/>
    <col min="1367" max="1367" width="9.375" bestFit="1" customWidth="1"/>
    <col min="1368" max="1368" width="11.875" bestFit="1" customWidth="1"/>
    <col min="1369" max="1369" width="9.375" bestFit="1" customWidth="1"/>
    <col min="1370" max="1370" width="11.875" bestFit="1" customWidth="1"/>
    <col min="1371" max="1371" width="9.375" bestFit="1" customWidth="1"/>
    <col min="1372" max="1372" width="11.875" bestFit="1" customWidth="1"/>
    <col min="1373" max="1373" width="9.375" bestFit="1" customWidth="1"/>
    <col min="1374" max="1374" width="11.875" bestFit="1" customWidth="1"/>
    <col min="1375" max="1375" width="9.375" bestFit="1" customWidth="1"/>
    <col min="1376" max="1376" width="11.875" bestFit="1" customWidth="1"/>
    <col min="1377" max="1377" width="9.375" bestFit="1" customWidth="1"/>
    <col min="1378" max="1378" width="11.875" bestFit="1" customWidth="1"/>
    <col min="1379" max="1379" width="9.375" bestFit="1" customWidth="1"/>
    <col min="1380" max="1380" width="11.875" bestFit="1" customWidth="1"/>
    <col min="1381" max="1381" width="9.375" bestFit="1" customWidth="1"/>
    <col min="1382" max="1382" width="11.875" bestFit="1" customWidth="1"/>
    <col min="1383" max="1383" width="9.375" bestFit="1" customWidth="1"/>
    <col min="1384" max="1384" width="11.875" bestFit="1" customWidth="1"/>
    <col min="1385" max="1385" width="9.375" bestFit="1" customWidth="1"/>
    <col min="1386" max="1386" width="11.875" bestFit="1" customWidth="1"/>
    <col min="1387" max="1387" width="9.375" bestFit="1" customWidth="1"/>
    <col min="1388" max="1388" width="11.875" bestFit="1" customWidth="1"/>
    <col min="1389" max="1389" width="9.375" bestFit="1" customWidth="1"/>
    <col min="1390" max="1390" width="11.875" bestFit="1" customWidth="1"/>
    <col min="1391" max="1391" width="9.375" bestFit="1" customWidth="1"/>
    <col min="1392" max="1392" width="11.875" bestFit="1" customWidth="1"/>
    <col min="1393" max="1393" width="9.375" bestFit="1" customWidth="1"/>
    <col min="1394" max="1394" width="11.875" bestFit="1" customWidth="1"/>
    <col min="1395" max="1395" width="9.375" bestFit="1" customWidth="1"/>
    <col min="1396" max="1396" width="11.875" bestFit="1" customWidth="1"/>
    <col min="1397" max="1397" width="9.375" bestFit="1" customWidth="1"/>
    <col min="1398" max="1398" width="11.875" bestFit="1" customWidth="1"/>
    <col min="1399" max="1399" width="9.375" bestFit="1" customWidth="1"/>
    <col min="1400" max="1400" width="11.875" bestFit="1" customWidth="1"/>
    <col min="1401" max="1401" width="9.375" bestFit="1" customWidth="1"/>
    <col min="1402" max="1402" width="11.875" bestFit="1" customWidth="1"/>
    <col min="1403" max="1403" width="9.375" bestFit="1" customWidth="1"/>
    <col min="1404" max="1404" width="11.875" bestFit="1" customWidth="1"/>
    <col min="1405" max="1405" width="9.375" bestFit="1" customWidth="1"/>
    <col min="1406" max="1406" width="11.875" bestFit="1" customWidth="1"/>
    <col min="1407" max="1407" width="9.375" bestFit="1" customWidth="1"/>
    <col min="1408" max="1408" width="11.875" bestFit="1" customWidth="1"/>
    <col min="1409" max="1409" width="9.375" bestFit="1" customWidth="1"/>
    <col min="1410" max="1410" width="11.875" bestFit="1" customWidth="1"/>
    <col min="1411" max="1411" width="9.375" bestFit="1" customWidth="1"/>
    <col min="1412" max="1412" width="11.875" bestFit="1" customWidth="1"/>
    <col min="1413" max="1413" width="9.375" bestFit="1" customWidth="1"/>
    <col min="1414" max="1414" width="11.875" bestFit="1" customWidth="1"/>
    <col min="1415" max="1415" width="9.375" bestFit="1" customWidth="1"/>
    <col min="1416" max="1416" width="11.875" bestFit="1" customWidth="1"/>
    <col min="1417" max="1417" width="9.375" bestFit="1" customWidth="1"/>
    <col min="1418" max="1418" width="11.875" bestFit="1" customWidth="1"/>
    <col min="1419" max="1419" width="9.375" bestFit="1" customWidth="1"/>
    <col min="1420" max="1420" width="11.875" bestFit="1" customWidth="1"/>
    <col min="1421" max="1421" width="9.375" bestFit="1" customWidth="1"/>
    <col min="1422" max="1422" width="11.875" bestFit="1" customWidth="1"/>
    <col min="1423" max="1423" width="9.375" bestFit="1" customWidth="1"/>
    <col min="1424" max="1424" width="11.875" bestFit="1" customWidth="1"/>
    <col min="1425" max="1425" width="9.375" bestFit="1" customWidth="1"/>
    <col min="1426" max="1426" width="11.875" bestFit="1" customWidth="1"/>
    <col min="1427" max="1427" width="9.375" bestFit="1" customWidth="1"/>
    <col min="1428" max="1428" width="11.875" bestFit="1" customWidth="1"/>
    <col min="1429" max="1429" width="9.375" bestFit="1" customWidth="1"/>
    <col min="1430" max="1430" width="11.875" bestFit="1" customWidth="1"/>
    <col min="1431" max="1431" width="9.375" bestFit="1" customWidth="1"/>
    <col min="1432" max="1432" width="11.875" bestFit="1" customWidth="1"/>
    <col min="1433" max="1433" width="9.375" bestFit="1" customWidth="1"/>
    <col min="1434" max="1434" width="11.875" bestFit="1" customWidth="1"/>
    <col min="1435" max="1435" width="9.375" bestFit="1" customWidth="1"/>
    <col min="1436" max="1436" width="11.875" bestFit="1" customWidth="1"/>
    <col min="1437" max="1437" width="9.375" bestFit="1" customWidth="1"/>
    <col min="1438" max="1438" width="11.875" bestFit="1" customWidth="1"/>
    <col min="1439" max="1439" width="9.375" bestFit="1" customWidth="1"/>
    <col min="1440" max="1440" width="11.875" bestFit="1" customWidth="1"/>
    <col min="1441" max="1441" width="9.375" bestFit="1" customWidth="1"/>
    <col min="1442" max="1442" width="11.875" bestFit="1" customWidth="1"/>
    <col min="1443" max="1443" width="9.375" bestFit="1" customWidth="1"/>
    <col min="1444" max="1444" width="11.875" bestFit="1" customWidth="1"/>
    <col min="1445" max="1445" width="9.375" bestFit="1" customWidth="1"/>
    <col min="1446" max="1446" width="11.875" bestFit="1" customWidth="1"/>
    <col min="1447" max="1447" width="9.375" bestFit="1" customWidth="1"/>
    <col min="1448" max="1448" width="11.875" bestFit="1" customWidth="1"/>
    <col min="1449" max="1449" width="9.375" bestFit="1" customWidth="1"/>
    <col min="1450" max="1450" width="11.875" bestFit="1" customWidth="1"/>
    <col min="1451" max="1451" width="9.375" bestFit="1" customWidth="1"/>
    <col min="1452" max="1452" width="11.875" bestFit="1" customWidth="1"/>
    <col min="1453" max="1453" width="9.375" bestFit="1" customWidth="1"/>
    <col min="1454" max="1454" width="11.875" bestFit="1" customWidth="1"/>
    <col min="1455" max="1455" width="9.375" bestFit="1" customWidth="1"/>
    <col min="1456" max="1456" width="11.875" bestFit="1" customWidth="1"/>
    <col min="1457" max="1457" width="9.375" bestFit="1" customWidth="1"/>
    <col min="1458" max="1458" width="11.875" bestFit="1" customWidth="1"/>
    <col min="1459" max="1459" width="9.375" bestFit="1" customWidth="1"/>
    <col min="1460" max="1460" width="11.875" bestFit="1" customWidth="1"/>
    <col min="1461" max="1461" width="9.375" bestFit="1" customWidth="1"/>
    <col min="1462" max="1462" width="11.875" bestFit="1" customWidth="1"/>
    <col min="1463" max="1463" width="9.375" bestFit="1" customWidth="1"/>
    <col min="1464" max="1464" width="11.875" bestFit="1" customWidth="1"/>
    <col min="1465" max="1465" width="9.375" bestFit="1" customWidth="1"/>
    <col min="1466" max="1466" width="11.875" bestFit="1" customWidth="1"/>
    <col min="1467" max="1467" width="9.375" bestFit="1" customWidth="1"/>
    <col min="1468" max="1468" width="11.875" bestFit="1" customWidth="1"/>
    <col min="1469" max="1469" width="9.375" bestFit="1" customWidth="1"/>
    <col min="1470" max="1470" width="11.875" bestFit="1" customWidth="1"/>
    <col min="1471" max="1471" width="9.375" bestFit="1" customWidth="1"/>
    <col min="1472" max="1472" width="11.875" bestFit="1" customWidth="1"/>
    <col min="1473" max="1473" width="9.375" bestFit="1" customWidth="1"/>
    <col min="1474" max="1474" width="11.875" bestFit="1" customWidth="1"/>
    <col min="1475" max="1475" width="9.375" bestFit="1" customWidth="1"/>
    <col min="1476" max="1476" width="11.875" bestFit="1" customWidth="1"/>
    <col min="1477" max="1477" width="9.375" bestFit="1" customWidth="1"/>
    <col min="1478" max="1478" width="11.875" bestFit="1" customWidth="1"/>
    <col min="1479" max="1479" width="9.375" bestFit="1" customWidth="1"/>
    <col min="1480" max="1480" width="11.875" bestFit="1" customWidth="1"/>
    <col min="1481" max="1481" width="9.375" bestFit="1" customWidth="1"/>
    <col min="1482" max="1482" width="11.875" bestFit="1" customWidth="1"/>
    <col min="1483" max="1483" width="9.375" bestFit="1" customWidth="1"/>
    <col min="1484" max="1484" width="7" bestFit="1" customWidth="1"/>
    <col min="1485" max="1485" width="11.875" bestFit="1" customWidth="1"/>
    <col min="1486" max="1486" width="9.375" bestFit="1" customWidth="1"/>
    <col min="1487" max="1487" width="11.875" bestFit="1" customWidth="1"/>
    <col min="1488" max="1488" width="9.375" bestFit="1" customWidth="1"/>
    <col min="1489" max="1489" width="11.875" bestFit="1" customWidth="1"/>
    <col min="1490" max="1490" width="9.375" bestFit="1" customWidth="1"/>
    <col min="1491" max="1491" width="11.875" bestFit="1" customWidth="1"/>
    <col min="1492" max="1492" width="9.375" bestFit="1" customWidth="1"/>
    <col min="1493" max="1493" width="11.875" bestFit="1" customWidth="1"/>
    <col min="1494" max="1494" width="9.375" bestFit="1" customWidth="1"/>
    <col min="1495" max="1495" width="11.875" bestFit="1" customWidth="1"/>
    <col min="1496" max="1496" width="9.375" bestFit="1" customWidth="1"/>
    <col min="1497" max="1497" width="11.875" bestFit="1" customWidth="1"/>
    <col min="1498" max="1498" width="9.375" bestFit="1" customWidth="1"/>
    <col min="1499" max="1499" width="11.875" bestFit="1" customWidth="1"/>
    <col min="1500" max="1500" width="9.375" bestFit="1" customWidth="1"/>
    <col min="1501" max="1501" width="11.875" bestFit="1" customWidth="1"/>
    <col min="1502" max="1502" width="9.375" bestFit="1" customWidth="1"/>
    <col min="1503" max="1503" width="7" bestFit="1" customWidth="1"/>
    <col min="1504" max="1504" width="11.875" bestFit="1" customWidth="1"/>
    <col min="1505" max="1505" width="9.375" bestFit="1" customWidth="1"/>
    <col min="1506" max="1506" width="11.875" bestFit="1" customWidth="1"/>
    <col min="1507" max="1507" width="9.375" bestFit="1" customWidth="1"/>
    <col min="1508" max="1508" width="7" bestFit="1" customWidth="1"/>
    <col min="1509" max="1509" width="11.875" bestFit="1" customWidth="1"/>
    <col min="1510" max="1510" width="9.375" bestFit="1" customWidth="1"/>
    <col min="1511" max="1511" width="11.875" bestFit="1" customWidth="1"/>
    <col min="1512" max="1512" width="9.375" bestFit="1" customWidth="1"/>
    <col min="1513" max="1513" width="11.875" bestFit="1" customWidth="1"/>
    <col min="1514" max="1514" width="9.375" bestFit="1" customWidth="1"/>
    <col min="1515" max="1515" width="11.875" bestFit="1" customWidth="1"/>
    <col min="1516" max="1516" width="9.375" bestFit="1" customWidth="1"/>
    <col min="1517" max="1517" width="11.875" bestFit="1" customWidth="1"/>
    <col min="1518" max="1518" width="9.375" bestFit="1" customWidth="1"/>
    <col min="1519" max="1519" width="11.875" bestFit="1" customWidth="1"/>
    <col min="1520" max="1520" width="9.375" bestFit="1" customWidth="1"/>
    <col min="1521" max="1521" width="11.875" bestFit="1" customWidth="1"/>
    <col min="1522" max="1522" width="9.375" bestFit="1" customWidth="1"/>
    <col min="1523" max="1523" width="11.875" bestFit="1" customWidth="1"/>
    <col min="1524" max="1524" width="9.375" bestFit="1" customWidth="1"/>
    <col min="1525" max="1525" width="11.875" bestFit="1" customWidth="1"/>
    <col min="1526" max="1526" width="9.375" bestFit="1" customWidth="1"/>
    <col min="1527" max="1527" width="11.875" bestFit="1" customWidth="1"/>
    <col min="1528" max="1528" width="9.375" bestFit="1" customWidth="1"/>
    <col min="1529" max="1529" width="11.875" bestFit="1" customWidth="1"/>
    <col min="1530" max="1530" width="9.375" bestFit="1" customWidth="1"/>
    <col min="1531" max="1531" width="11.875" bestFit="1" customWidth="1"/>
    <col min="1532" max="1532" width="9.375" bestFit="1" customWidth="1"/>
    <col min="1533" max="1533" width="11.875" bestFit="1" customWidth="1"/>
    <col min="1534" max="1534" width="9.375" bestFit="1" customWidth="1"/>
    <col min="1535" max="1535" width="11.875" bestFit="1" customWidth="1"/>
    <col min="1536" max="1536" width="9.375" bestFit="1" customWidth="1"/>
    <col min="1537" max="1537" width="11.875" bestFit="1" customWidth="1"/>
    <col min="1538" max="1538" width="9.375" bestFit="1" customWidth="1"/>
    <col min="1539" max="1539" width="11.875" bestFit="1" customWidth="1"/>
    <col min="1540" max="1540" width="9.375" bestFit="1" customWidth="1"/>
    <col min="1541" max="1541" width="11.875" bestFit="1" customWidth="1"/>
    <col min="1542" max="1542" width="9.375" bestFit="1" customWidth="1"/>
    <col min="1543" max="1543" width="11.875" bestFit="1" customWidth="1"/>
    <col min="1544" max="1544" width="9.375" bestFit="1" customWidth="1"/>
    <col min="1545" max="1545" width="11.875" bestFit="1" customWidth="1"/>
    <col min="1546" max="1546" width="9.375" bestFit="1" customWidth="1"/>
    <col min="1547" max="1547" width="11.875" bestFit="1" customWidth="1"/>
    <col min="1548" max="1548" width="9.375" bestFit="1" customWidth="1"/>
    <col min="1549" max="1549" width="11.875" bestFit="1" customWidth="1"/>
    <col min="1550" max="1550" width="9.375" bestFit="1" customWidth="1"/>
    <col min="1551" max="1551" width="11.875" bestFit="1" customWidth="1"/>
    <col min="1552" max="1552" width="9.375" bestFit="1" customWidth="1"/>
    <col min="1553" max="1553" width="11.875" bestFit="1" customWidth="1"/>
    <col min="1554" max="1554" width="9.375" bestFit="1" customWidth="1"/>
    <col min="1555" max="1555" width="11.875" bestFit="1" customWidth="1"/>
    <col min="1556" max="1556" width="9.375" bestFit="1" customWidth="1"/>
    <col min="1557" max="1557" width="11.875" bestFit="1" customWidth="1"/>
    <col min="1558" max="1558" width="9.375" bestFit="1" customWidth="1"/>
    <col min="1559" max="1559" width="11.875" bestFit="1" customWidth="1"/>
    <col min="1560" max="1560" width="9.375" bestFit="1" customWidth="1"/>
    <col min="1561" max="1561" width="11.875" bestFit="1" customWidth="1"/>
    <col min="1562" max="1562" width="9.375" bestFit="1" customWidth="1"/>
    <col min="1563" max="1563" width="11.875" bestFit="1" customWidth="1"/>
    <col min="1564" max="1564" width="9.375" bestFit="1" customWidth="1"/>
    <col min="1565" max="1565" width="11.875" bestFit="1" customWidth="1"/>
    <col min="1566" max="1566" width="9.375" bestFit="1" customWidth="1"/>
    <col min="1567" max="1567" width="11.875" bestFit="1" customWidth="1"/>
    <col min="1568" max="1568" width="9.375" bestFit="1" customWidth="1"/>
    <col min="1569" max="1569" width="11.875" bestFit="1" customWidth="1"/>
    <col min="1570" max="1570" width="9.375" bestFit="1" customWidth="1"/>
    <col min="1571" max="1571" width="11.875" bestFit="1" customWidth="1"/>
    <col min="1572" max="1572" width="9.375" bestFit="1" customWidth="1"/>
    <col min="1573" max="1573" width="11.875" bestFit="1" customWidth="1"/>
    <col min="1574" max="1574" width="9.375" bestFit="1" customWidth="1"/>
    <col min="1575" max="1575" width="11.875" bestFit="1" customWidth="1"/>
    <col min="1576" max="1576" width="9.375" bestFit="1" customWidth="1"/>
    <col min="1577" max="1577" width="11.875" bestFit="1" customWidth="1"/>
    <col min="1578" max="1578" width="9.375" bestFit="1" customWidth="1"/>
    <col min="1579" max="1579" width="11.875" bestFit="1" customWidth="1"/>
    <col min="1580" max="1580" width="9.375" bestFit="1" customWidth="1"/>
    <col min="1581" max="1581" width="11.875" bestFit="1" customWidth="1"/>
    <col min="1582" max="1582" width="9.375" bestFit="1" customWidth="1"/>
    <col min="1583" max="1583" width="11.875" bestFit="1" customWidth="1"/>
    <col min="1584" max="1584" width="9.375" bestFit="1" customWidth="1"/>
    <col min="1585" max="1585" width="11.875" bestFit="1" customWidth="1"/>
    <col min="1586" max="1586" width="9.375" bestFit="1" customWidth="1"/>
    <col min="1587" max="1587" width="11.875" bestFit="1" customWidth="1"/>
    <col min="1588" max="1588" width="9.375" bestFit="1" customWidth="1"/>
    <col min="1589" max="1589" width="11.875" bestFit="1" customWidth="1"/>
    <col min="1590" max="1590" width="9.375" bestFit="1" customWidth="1"/>
    <col min="1591" max="1591" width="11.875" bestFit="1" customWidth="1"/>
    <col min="1592" max="1592" width="9.375" bestFit="1" customWidth="1"/>
    <col min="1593" max="1593" width="11.875" bestFit="1" customWidth="1"/>
    <col min="1594" max="1594" width="9.375" bestFit="1" customWidth="1"/>
    <col min="1595" max="1595" width="11.875" bestFit="1" customWidth="1"/>
    <col min="1596" max="1596" width="9.375" bestFit="1" customWidth="1"/>
    <col min="1597" max="1597" width="11.875" bestFit="1" customWidth="1"/>
    <col min="1598" max="1598" width="9.375" bestFit="1" customWidth="1"/>
    <col min="1599" max="1599" width="11.875" bestFit="1" customWidth="1"/>
    <col min="1600" max="1600" width="9.375" bestFit="1" customWidth="1"/>
    <col min="1601" max="1601" width="11.875" bestFit="1" customWidth="1"/>
    <col min="1602" max="1602" width="9.375" bestFit="1" customWidth="1"/>
    <col min="1603" max="1603" width="11.875" bestFit="1" customWidth="1"/>
    <col min="1604" max="1604" width="9.375" bestFit="1" customWidth="1"/>
    <col min="1605" max="1605" width="11.875" bestFit="1" customWidth="1"/>
    <col min="1606" max="1606" width="9.375" bestFit="1" customWidth="1"/>
    <col min="1607" max="1607" width="11.875" bestFit="1" customWidth="1"/>
    <col min="1608" max="1608" width="9.375" bestFit="1" customWidth="1"/>
    <col min="1609" max="1609" width="11.875" bestFit="1" customWidth="1"/>
    <col min="1610" max="1610" width="9.375" bestFit="1" customWidth="1"/>
    <col min="1611" max="1611" width="11.875" bestFit="1" customWidth="1"/>
    <col min="1612" max="1612" width="9.375" bestFit="1" customWidth="1"/>
    <col min="1613" max="1613" width="11.875" bestFit="1" customWidth="1"/>
    <col min="1614" max="1614" width="9.375" bestFit="1" customWidth="1"/>
    <col min="1615" max="1615" width="11.875" bestFit="1" customWidth="1"/>
    <col min="1616" max="1616" width="9.375" bestFit="1" customWidth="1"/>
    <col min="1617" max="1617" width="11.875" bestFit="1" customWidth="1"/>
    <col min="1618" max="1618" width="9.375" bestFit="1" customWidth="1"/>
    <col min="1619" max="1619" width="11.875" bestFit="1" customWidth="1"/>
    <col min="1620" max="1620" width="9.375" bestFit="1" customWidth="1"/>
    <col min="1621" max="1621" width="11.875" bestFit="1" customWidth="1"/>
    <col min="1622" max="1622" width="9.375" bestFit="1" customWidth="1"/>
    <col min="1623" max="1623" width="11.875" bestFit="1" customWidth="1"/>
    <col min="1624" max="1624" width="9.375" bestFit="1" customWidth="1"/>
    <col min="1625" max="1625" width="11.875" bestFit="1" customWidth="1"/>
    <col min="1626" max="1626" width="9.375" bestFit="1" customWidth="1"/>
    <col min="1627" max="1627" width="11.875" bestFit="1" customWidth="1"/>
    <col min="1628" max="1628" width="9.375" bestFit="1" customWidth="1"/>
    <col min="1629" max="1629" width="11.875" bestFit="1" customWidth="1"/>
    <col min="1630" max="1630" width="9.375" bestFit="1" customWidth="1"/>
    <col min="1631" max="1631" width="11.875" bestFit="1" customWidth="1"/>
    <col min="1632" max="1632" width="9.375" bestFit="1" customWidth="1"/>
    <col min="1633" max="1633" width="11.875" bestFit="1" customWidth="1"/>
    <col min="1634" max="1634" width="9.375" bestFit="1" customWidth="1"/>
    <col min="1635" max="1635" width="11.875" bestFit="1" customWidth="1"/>
    <col min="1636" max="1636" width="9.375" bestFit="1" customWidth="1"/>
    <col min="1637" max="1637" width="11.875" bestFit="1" customWidth="1"/>
    <col min="1638" max="1638" width="9.375" bestFit="1" customWidth="1"/>
    <col min="1639" max="1639" width="11.875" bestFit="1" customWidth="1"/>
    <col min="1640" max="1640" width="9.375" bestFit="1" customWidth="1"/>
    <col min="1641" max="1641" width="11.875" bestFit="1" customWidth="1"/>
    <col min="1642" max="1642" width="9.375" bestFit="1" customWidth="1"/>
    <col min="1643" max="1643" width="11.875" bestFit="1" customWidth="1"/>
    <col min="1644" max="1644" width="9.375" bestFit="1" customWidth="1"/>
    <col min="1645" max="1645" width="11.875" bestFit="1" customWidth="1"/>
    <col min="1646" max="1646" width="9.375" bestFit="1" customWidth="1"/>
    <col min="1647" max="1647" width="11.875" bestFit="1" customWidth="1"/>
    <col min="1648" max="1648" width="9.375" bestFit="1" customWidth="1"/>
    <col min="1649" max="1649" width="11.875" bestFit="1" customWidth="1"/>
    <col min="1650" max="1650" width="9.375" bestFit="1" customWidth="1"/>
    <col min="1651" max="1651" width="11.875" bestFit="1" customWidth="1"/>
    <col min="1652" max="1652" width="9.375" bestFit="1" customWidth="1"/>
    <col min="1653" max="1653" width="11.875" bestFit="1" customWidth="1"/>
    <col min="1654" max="1654" width="9.375" bestFit="1" customWidth="1"/>
    <col min="1655" max="1655" width="11.875" bestFit="1" customWidth="1"/>
    <col min="1656" max="1656" width="9.375" bestFit="1" customWidth="1"/>
    <col min="1657" max="1657" width="11.875" bestFit="1" customWidth="1"/>
    <col min="1658" max="1658" width="9.375" bestFit="1" customWidth="1"/>
    <col min="1659" max="1659" width="11.875" bestFit="1" customWidth="1"/>
    <col min="1660" max="1660" width="9.375" bestFit="1" customWidth="1"/>
    <col min="1661" max="1661" width="11.875" bestFit="1" customWidth="1"/>
    <col min="1662" max="1662" width="9.375" bestFit="1" customWidth="1"/>
    <col min="1663" max="1663" width="11.875" bestFit="1" customWidth="1"/>
    <col min="1664" max="1664" width="9.375" bestFit="1" customWidth="1"/>
    <col min="1665" max="1665" width="11.875" bestFit="1" customWidth="1"/>
    <col min="1666" max="1666" width="9.375" bestFit="1" customWidth="1"/>
    <col min="1667" max="1667" width="11.875" bestFit="1" customWidth="1"/>
    <col min="1668" max="1668" width="9.375" bestFit="1" customWidth="1"/>
    <col min="1669" max="1669" width="11.875" bestFit="1" customWidth="1"/>
    <col min="1670" max="1670" width="9.375" bestFit="1" customWidth="1"/>
    <col min="1671" max="1671" width="11.875" bestFit="1" customWidth="1"/>
    <col min="1672" max="1672" width="9.375" bestFit="1" customWidth="1"/>
    <col min="1673" max="1673" width="11.875" bestFit="1" customWidth="1"/>
    <col min="1674" max="1674" width="9.375" bestFit="1" customWidth="1"/>
    <col min="1675" max="1675" width="11.875" bestFit="1" customWidth="1"/>
    <col min="1676" max="1676" width="9.375" bestFit="1" customWidth="1"/>
    <col min="1677" max="1677" width="11.875" bestFit="1" customWidth="1"/>
    <col min="1678" max="1678" width="9.375" bestFit="1" customWidth="1"/>
    <col min="1679" max="1679" width="11.875" bestFit="1" customWidth="1"/>
    <col min="1680" max="1680" width="9.375" bestFit="1" customWidth="1"/>
    <col min="1681" max="1681" width="11.875" bestFit="1" customWidth="1"/>
    <col min="1682" max="1682" width="9.375" bestFit="1" customWidth="1"/>
    <col min="1683" max="1683" width="11.875" bestFit="1" customWidth="1"/>
    <col min="1684" max="1684" width="9.375" bestFit="1" customWidth="1"/>
    <col min="1685" max="1685" width="11.875" bestFit="1" customWidth="1"/>
    <col min="1686" max="1686" width="9.375" bestFit="1" customWidth="1"/>
    <col min="1687" max="1687" width="11.875" bestFit="1" customWidth="1"/>
    <col min="1688" max="1688" width="9.375" bestFit="1" customWidth="1"/>
    <col min="1689" max="1689" width="11.875" bestFit="1" customWidth="1"/>
    <col min="1690" max="1690" width="9.375" bestFit="1" customWidth="1"/>
    <col min="1691" max="1691" width="11.875" bestFit="1" customWidth="1"/>
    <col min="1692" max="1692" width="9.375" bestFit="1" customWidth="1"/>
    <col min="1693" max="1693" width="11.875" bestFit="1" customWidth="1"/>
    <col min="1694" max="1694" width="9.375" bestFit="1" customWidth="1"/>
    <col min="1695" max="1695" width="11.875" bestFit="1" customWidth="1"/>
    <col min="1696" max="1696" width="9.375" bestFit="1" customWidth="1"/>
    <col min="1697" max="1697" width="11.875" bestFit="1" customWidth="1"/>
    <col min="1698" max="1698" width="9.375" bestFit="1" customWidth="1"/>
    <col min="1699" max="1699" width="11.875" bestFit="1" customWidth="1"/>
    <col min="1700" max="1700" width="9.375" bestFit="1" customWidth="1"/>
    <col min="1701" max="1701" width="11.875" bestFit="1" customWidth="1"/>
    <col min="1702" max="1702" width="9.375" bestFit="1" customWidth="1"/>
    <col min="1703" max="1703" width="11.875" bestFit="1" customWidth="1"/>
    <col min="1704" max="1704" width="9.375" bestFit="1" customWidth="1"/>
    <col min="1705" max="1705" width="11.875" bestFit="1" customWidth="1"/>
    <col min="1706" max="1706" width="9.375" bestFit="1" customWidth="1"/>
    <col min="1707" max="1707" width="7" bestFit="1" customWidth="1"/>
    <col min="1708" max="1708" width="11.875" bestFit="1" customWidth="1"/>
    <col min="1709" max="1709" width="9.375" bestFit="1" customWidth="1"/>
    <col min="1710" max="1710" width="11.875" bestFit="1" customWidth="1"/>
    <col min="1711" max="1711" width="9.375" bestFit="1" customWidth="1"/>
    <col min="1712" max="1712" width="11.875" bestFit="1" customWidth="1"/>
    <col min="1713" max="1713" width="9.375" bestFit="1" customWidth="1"/>
    <col min="1714" max="1714" width="11.875" bestFit="1" customWidth="1"/>
    <col min="1715" max="1715" width="9.375" bestFit="1" customWidth="1"/>
    <col min="1716" max="1716" width="11.875" bestFit="1" customWidth="1"/>
    <col min="1717" max="1717" width="9.375" bestFit="1" customWidth="1"/>
    <col min="1718" max="1718" width="11.875" bestFit="1" customWidth="1"/>
    <col min="1719" max="1719" width="9.375" bestFit="1" customWidth="1"/>
    <col min="1720" max="1720" width="11.875" bestFit="1" customWidth="1"/>
    <col min="1721" max="1721" width="9.375" bestFit="1" customWidth="1"/>
    <col min="1722" max="1722" width="7" bestFit="1" customWidth="1"/>
    <col min="1723" max="1723" width="11.875" bestFit="1" customWidth="1"/>
    <col min="1724" max="1724" width="9.375" bestFit="1" customWidth="1"/>
    <col min="1725" max="1725" width="11.875" bestFit="1" customWidth="1"/>
    <col min="1726" max="1726" width="9.375" bestFit="1" customWidth="1"/>
    <col min="1727" max="1727" width="11.875" bestFit="1" customWidth="1"/>
    <col min="1728" max="1728" width="9.375" bestFit="1" customWidth="1"/>
    <col min="1729" max="1729" width="11.875" bestFit="1" customWidth="1"/>
    <col min="1730" max="1730" width="9.375" bestFit="1" customWidth="1"/>
    <col min="1731" max="1731" width="11.875" bestFit="1" customWidth="1"/>
    <col min="1732" max="1732" width="9.375" bestFit="1" customWidth="1"/>
    <col min="1733" max="1733" width="11.875" bestFit="1" customWidth="1"/>
    <col min="1734" max="1734" width="9.375" bestFit="1" customWidth="1"/>
    <col min="1735" max="1735" width="7" bestFit="1" customWidth="1"/>
    <col min="1736" max="1736" width="11.875" bestFit="1" customWidth="1"/>
    <col min="1737" max="1737" width="9.375" bestFit="1" customWidth="1"/>
    <col min="1738" max="1738" width="11.875" bestFit="1" customWidth="1"/>
    <col min="1739" max="1739" width="9.375" bestFit="1" customWidth="1"/>
    <col min="1740" max="1740" width="11.875" bestFit="1" customWidth="1"/>
    <col min="1741" max="1741" width="9.375" bestFit="1" customWidth="1"/>
    <col min="1742" max="1742" width="11.875" bestFit="1" customWidth="1"/>
    <col min="1743" max="1743" width="9.375" bestFit="1" customWidth="1"/>
    <col min="1744" max="1744" width="11.875" bestFit="1" customWidth="1"/>
    <col min="1745" max="1745" width="9.375" bestFit="1" customWidth="1"/>
    <col min="1746" max="1746" width="11.875" bestFit="1" customWidth="1"/>
    <col min="1747" max="1747" width="9.375" bestFit="1" customWidth="1"/>
    <col min="1748" max="1748" width="11.875" bestFit="1" customWidth="1"/>
    <col min="1749" max="1749" width="9.375" bestFit="1" customWidth="1"/>
    <col min="1750" max="1750" width="11.875" bestFit="1" customWidth="1"/>
    <col min="1751" max="1751" width="9.375" bestFit="1" customWidth="1"/>
    <col min="1752" max="1752" width="11.875" bestFit="1" customWidth="1"/>
    <col min="1753" max="1753" width="9.375" bestFit="1" customWidth="1"/>
    <col min="1754" max="1754" width="11.875" bestFit="1" customWidth="1"/>
    <col min="1755" max="1755" width="9.375" bestFit="1" customWidth="1"/>
    <col min="1756" max="1756" width="11.875" bestFit="1" customWidth="1"/>
    <col min="1757" max="1757" width="9.375" bestFit="1" customWidth="1"/>
    <col min="1758" max="1758" width="11.875" bestFit="1" customWidth="1"/>
    <col min="1759" max="1759" width="9.375" bestFit="1" customWidth="1"/>
    <col min="1760" max="1760" width="11.875" bestFit="1" customWidth="1"/>
    <col min="1761" max="1761" width="9.375" bestFit="1" customWidth="1"/>
    <col min="1762" max="1762" width="11.875" bestFit="1" customWidth="1"/>
    <col min="1763" max="1763" width="9.375" bestFit="1" customWidth="1"/>
    <col min="1764" max="1764" width="11.875" bestFit="1" customWidth="1"/>
    <col min="1765" max="1765" width="9.375" bestFit="1" customWidth="1"/>
    <col min="1766" max="1766" width="11.875" bestFit="1" customWidth="1"/>
    <col min="1767" max="1767" width="9.375" bestFit="1" customWidth="1"/>
    <col min="1768" max="1768" width="11.875" bestFit="1" customWidth="1"/>
    <col min="1769" max="1769" width="9.375" bestFit="1" customWidth="1"/>
    <col min="1770" max="1770" width="11.875" bestFit="1" customWidth="1"/>
    <col min="1771" max="1771" width="9.375" bestFit="1" customWidth="1"/>
    <col min="1772" max="1772" width="11.875" bestFit="1" customWidth="1"/>
    <col min="1773" max="1773" width="9.375" bestFit="1" customWidth="1"/>
    <col min="1774" max="1774" width="11.875" bestFit="1" customWidth="1"/>
    <col min="1775" max="1775" width="9.375" bestFit="1" customWidth="1"/>
    <col min="1776" max="1776" width="11.875" bestFit="1" customWidth="1"/>
    <col min="1777" max="1777" width="9.375" bestFit="1" customWidth="1"/>
    <col min="1778" max="1778" width="11.875" bestFit="1" customWidth="1"/>
    <col min="1779" max="1779" width="9.375" bestFit="1" customWidth="1"/>
    <col min="1780" max="1780" width="11.875" bestFit="1" customWidth="1"/>
    <col min="1781" max="1781" width="9.375" bestFit="1" customWidth="1"/>
    <col min="1782" max="1782" width="11.875" bestFit="1" customWidth="1"/>
    <col min="1783" max="1783" width="9.375" bestFit="1" customWidth="1"/>
    <col min="1784" max="1784" width="11.875" bestFit="1" customWidth="1"/>
    <col min="1785" max="1785" width="9.375" bestFit="1" customWidth="1"/>
    <col min="1786" max="1786" width="11.875" bestFit="1" customWidth="1"/>
    <col min="1787" max="1787" width="9.375" bestFit="1" customWidth="1"/>
    <col min="1788" max="1788" width="11.875" bestFit="1" customWidth="1"/>
    <col min="1789" max="1789" width="9.375" bestFit="1" customWidth="1"/>
    <col min="1790" max="1790" width="11.875" bestFit="1" customWidth="1"/>
    <col min="1791" max="1791" width="9.375" bestFit="1" customWidth="1"/>
    <col min="1792" max="1792" width="11.875" bestFit="1" customWidth="1"/>
    <col min="1793" max="1793" width="9.375" bestFit="1" customWidth="1"/>
    <col min="1794" max="1794" width="11.875" bestFit="1" customWidth="1"/>
    <col min="1795" max="1795" width="9.375" bestFit="1" customWidth="1"/>
    <col min="1796" max="1796" width="11.875" bestFit="1" customWidth="1"/>
    <col min="1797" max="1797" width="9.375" bestFit="1" customWidth="1"/>
    <col min="1798" max="1798" width="11.875" bestFit="1" customWidth="1"/>
    <col min="1799" max="1799" width="9.375" bestFit="1" customWidth="1"/>
    <col min="1800" max="1800" width="7" bestFit="1" customWidth="1"/>
    <col min="1801" max="1801" width="11.875" bestFit="1" customWidth="1"/>
    <col min="1802" max="1802" width="9.375" bestFit="1" customWidth="1"/>
    <col min="1803" max="1803" width="11.875" bestFit="1" customWidth="1"/>
    <col min="1804" max="1804" width="9.375" bestFit="1" customWidth="1"/>
    <col min="1805" max="1805" width="11.875" bestFit="1" customWidth="1"/>
    <col min="1806" max="1806" width="9.375" bestFit="1" customWidth="1"/>
    <col min="1807" max="1807" width="11.875" bestFit="1" customWidth="1"/>
    <col min="1808" max="1808" width="9.375" bestFit="1" customWidth="1"/>
    <col min="1809" max="1809" width="11.875" bestFit="1" customWidth="1"/>
    <col min="1810" max="1810" width="9.375" bestFit="1" customWidth="1"/>
    <col min="1811" max="1811" width="11.875" bestFit="1" customWidth="1"/>
    <col min="1812" max="1812" width="9.375" bestFit="1" customWidth="1"/>
    <col min="1813" max="1813" width="11.875" bestFit="1" customWidth="1"/>
    <col min="1814" max="1814" width="9.375" bestFit="1" customWidth="1"/>
    <col min="1815" max="1815" width="11.875" bestFit="1" customWidth="1"/>
    <col min="1816" max="1816" width="9.375" bestFit="1" customWidth="1"/>
    <col min="1817" max="1817" width="11.875" bestFit="1" customWidth="1"/>
    <col min="1818" max="1818" width="9.375" bestFit="1" customWidth="1"/>
    <col min="1819" max="1819" width="11.875" bestFit="1" customWidth="1"/>
    <col min="1820" max="1820" width="9.375" bestFit="1" customWidth="1"/>
    <col min="1821" max="1821" width="11.875" bestFit="1" customWidth="1"/>
    <col min="1822" max="1822" width="9.375" bestFit="1" customWidth="1"/>
    <col min="1823" max="1823" width="11.875" bestFit="1" customWidth="1"/>
    <col min="1824" max="1824" width="9.375" bestFit="1" customWidth="1"/>
    <col min="1825" max="1825" width="11.875" bestFit="1" customWidth="1"/>
    <col min="1826" max="1826" width="9.375" bestFit="1" customWidth="1"/>
    <col min="1827" max="1827" width="11.875" bestFit="1" customWidth="1"/>
    <col min="1828" max="1828" width="9.375" bestFit="1" customWidth="1"/>
    <col min="1829" max="1829" width="7" bestFit="1" customWidth="1"/>
    <col min="1830" max="1830" width="11.875" bestFit="1" customWidth="1"/>
    <col min="1831" max="1831" width="9.375" bestFit="1" customWidth="1"/>
    <col min="1832" max="1832" width="11.875" bestFit="1" customWidth="1"/>
    <col min="1833" max="1833" width="9.375" bestFit="1" customWidth="1"/>
    <col min="1834" max="1834" width="11.875" bestFit="1" customWidth="1"/>
    <col min="1835" max="1835" width="9.375" bestFit="1" customWidth="1"/>
    <col min="1836" max="1836" width="11.875" bestFit="1" customWidth="1"/>
    <col min="1837" max="1837" width="9.375" bestFit="1" customWidth="1"/>
    <col min="1838" max="1838" width="11.875" bestFit="1" customWidth="1"/>
    <col min="1839" max="1839" width="9.375" bestFit="1" customWidth="1"/>
    <col min="1840" max="1840" width="11.875" bestFit="1" customWidth="1"/>
    <col min="1841" max="1841" width="9.375" bestFit="1" customWidth="1"/>
    <col min="1842" max="1842" width="11.875" bestFit="1" customWidth="1"/>
    <col min="1843" max="1843" width="9.375" bestFit="1" customWidth="1"/>
    <col min="1844" max="1844" width="11.875" bestFit="1" customWidth="1"/>
    <col min="1845" max="1845" width="9.375" bestFit="1" customWidth="1"/>
    <col min="1846" max="1846" width="11.875" bestFit="1" customWidth="1"/>
    <col min="1847" max="1847" width="9.375" bestFit="1" customWidth="1"/>
    <col min="1848" max="1848" width="11.875" bestFit="1" customWidth="1"/>
    <col min="1849" max="1849" width="9.375" bestFit="1" customWidth="1"/>
    <col min="1850" max="1850" width="11.875" bestFit="1" customWidth="1"/>
    <col min="1851" max="1851" width="9.375" bestFit="1" customWidth="1"/>
    <col min="1852" max="1852" width="11.875" bestFit="1" customWidth="1"/>
    <col min="1853" max="1853" width="9.375" bestFit="1" customWidth="1"/>
    <col min="1854" max="1854" width="11.875" bestFit="1" customWidth="1"/>
    <col min="1855" max="1855" width="9.375" bestFit="1" customWidth="1"/>
    <col min="1856" max="1856" width="11.875" bestFit="1" customWidth="1"/>
    <col min="1857" max="1857" width="9.375" bestFit="1" customWidth="1"/>
    <col min="1858" max="1858" width="11.875" bestFit="1" customWidth="1"/>
    <col min="1859" max="1859" width="9.375" bestFit="1" customWidth="1"/>
    <col min="1860" max="1860" width="11.875" bestFit="1" customWidth="1"/>
    <col min="1861" max="1861" width="9.375" bestFit="1" customWidth="1"/>
    <col min="1862" max="1862" width="11.875" bestFit="1" customWidth="1"/>
    <col min="1863" max="1863" width="9.375" bestFit="1" customWidth="1"/>
    <col min="1864" max="1864" width="11.875" bestFit="1" customWidth="1"/>
    <col min="1865" max="1865" width="9.375" bestFit="1" customWidth="1"/>
    <col min="1866" max="1866" width="11.875" bestFit="1" customWidth="1"/>
    <col min="1867" max="1867" width="9.375" bestFit="1" customWidth="1"/>
    <col min="1868" max="1868" width="11.875" bestFit="1" customWidth="1"/>
    <col min="1869" max="1869" width="9.375" bestFit="1" customWidth="1"/>
    <col min="1870" max="1870" width="11.875" bestFit="1" customWidth="1"/>
    <col min="1871" max="1871" width="9.375" bestFit="1" customWidth="1"/>
    <col min="1872" max="1872" width="11.875" bestFit="1" customWidth="1"/>
    <col min="1873" max="1873" width="9.375" bestFit="1" customWidth="1"/>
    <col min="1874" max="1874" width="11.875" bestFit="1" customWidth="1"/>
    <col min="1875" max="1875" width="9.375" bestFit="1" customWidth="1"/>
    <col min="1876" max="1876" width="11.875" bestFit="1" customWidth="1"/>
    <col min="1877" max="1877" width="9.375" bestFit="1" customWidth="1"/>
    <col min="1878" max="1878" width="11.875" bestFit="1" customWidth="1"/>
    <col min="1879" max="1879" width="9.375" bestFit="1" customWidth="1"/>
    <col min="1880" max="1880" width="11.875" bestFit="1" customWidth="1"/>
    <col min="1881" max="1881" width="9.375" bestFit="1" customWidth="1"/>
    <col min="1882" max="1882" width="11.875" bestFit="1" customWidth="1"/>
    <col min="1883" max="1883" width="9.375" bestFit="1" customWidth="1"/>
    <col min="1884" max="1884" width="11.875" bestFit="1" customWidth="1"/>
    <col min="1885" max="1885" width="9.375" bestFit="1" customWidth="1"/>
    <col min="1886" max="1886" width="11.875" bestFit="1" customWidth="1"/>
    <col min="1887" max="1887" width="9.375" bestFit="1" customWidth="1"/>
    <col min="1888" max="1888" width="11.875" bestFit="1" customWidth="1"/>
    <col min="1889" max="1889" width="9.375" bestFit="1" customWidth="1"/>
    <col min="1890" max="1890" width="11.875" bestFit="1" customWidth="1"/>
    <col min="1891" max="1891" width="9.375" bestFit="1" customWidth="1"/>
    <col min="1892" max="1892" width="11.875" bestFit="1" customWidth="1"/>
    <col min="1893" max="1893" width="9.375" bestFit="1" customWidth="1"/>
    <col min="1894" max="1894" width="11.875" bestFit="1" customWidth="1"/>
    <col min="1895" max="1895" width="9.375" bestFit="1" customWidth="1"/>
    <col min="1896" max="1896" width="11.875" bestFit="1" customWidth="1"/>
    <col min="1897" max="1897" width="9.375" bestFit="1" customWidth="1"/>
    <col min="1898" max="1898" width="11.875" bestFit="1" customWidth="1"/>
    <col min="1899" max="1899" width="9.375" bestFit="1" customWidth="1"/>
    <col min="1900" max="1900" width="11.875" bestFit="1" customWidth="1"/>
    <col min="1901" max="1901" width="9.375" bestFit="1" customWidth="1"/>
    <col min="1902" max="1902" width="11.875" bestFit="1" customWidth="1"/>
    <col min="1903" max="1903" width="9.375" bestFit="1" customWidth="1"/>
    <col min="1904" max="1904" width="11.875" bestFit="1" customWidth="1"/>
    <col min="1905" max="1905" width="9.375" bestFit="1" customWidth="1"/>
    <col min="1906" max="1906" width="11.875" bestFit="1" customWidth="1"/>
    <col min="1907" max="1907" width="9.375" bestFit="1" customWidth="1"/>
    <col min="1908" max="1908" width="11.875" bestFit="1" customWidth="1"/>
    <col min="1909" max="1909" width="9.375" bestFit="1" customWidth="1"/>
    <col min="1910" max="1910" width="11.875" bestFit="1" customWidth="1"/>
    <col min="1911" max="1911" width="9.375" bestFit="1" customWidth="1"/>
    <col min="1912" max="1912" width="11.875" bestFit="1" customWidth="1"/>
    <col min="1913" max="1913" width="9.375" bestFit="1" customWidth="1"/>
    <col min="1914" max="1914" width="11.875" bestFit="1" customWidth="1"/>
    <col min="1915" max="1915" width="9.375" bestFit="1" customWidth="1"/>
    <col min="1916" max="1916" width="11.875" bestFit="1" customWidth="1"/>
    <col min="1917" max="1917" width="9.375" bestFit="1" customWidth="1"/>
    <col min="1918" max="1918" width="6.625" bestFit="1" customWidth="1"/>
    <col min="1919" max="1919" width="11.875" bestFit="1" customWidth="1"/>
    <col min="1920" max="1920" width="9.375" bestFit="1" customWidth="1"/>
    <col min="1921" max="1921" width="7" bestFit="1" customWidth="1"/>
    <col min="1922" max="1922" width="11.875" bestFit="1" customWidth="1"/>
    <col min="1923" max="1923" width="9.375" bestFit="1" customWidth="1"/>
    <col min="1924" max="1924" width="11.875" bestFit="1" customWidth="1"/>
    <col min="1925" max="1925" width="9.375" bestFit="1" customWidth="1"/>
    <col min="1926" max="1926" width="11.875" bestFit="1" customWidth="1"/>
    <col min="1927" max="1927" width="9.375" bestFit="1" customWidth="1"/>
    <col min="1928" max="1928" width="11.875" bestFit="1" customWidth="1"/>
    <col min="1929" max="1929" width="9.375" bestFit="1" customWidth="1"/>
    <col min="1930" max="1930" width="11.875" bestFit="1" customWidth="1"/>
    <col min="1931" max="1931" width="9.375" bestFit="1" customWidth="1"/>
    <col min="1932" max="1932" width="11.875" bestFit="1" customWidth="1"/>
    <col min="1933" max="1933" width="9.375" bestFit="1" customWidth="1"/>
    <col min="1934" max="1934" width="11.875" bestFit="1" customWidth="1"/>
    <col min="1935" max="1935" width="9.375" bestFit="1" customWidth="1"/>
    <col min="1936" max="1936" width="11.875" bestFit="1" customWidth="1"/>
    <col min="1937" max="1937" width="9.375" bestFit="1" customWidth="1"/>
    <col min="1938" max="1938" width="11.875" bestFit="1" customWidth="1"/>
    <col min="1939" max="1939" width="9.375" bestFit="1" customWidth="1"/>
    <col min="1940" max="1940" width="11.875" bestFit="1" customWidth="1"/>
    <col min="1941" max="1941" width="9.375" bestFit="1" customWidth="1"/>
    <col min="1942" max="1942" width="11.875" bestFit="1" customWidth="1"/>
    <col min="1943" max="1943" width="9.375" bestFit="1" customWidth="1"/>
    <col min="1944" max="1944" width="11.875" bestFit="1" customWidth="1"/>
    <col min="1945" max="1945" width="9.375" bestFit="1" customWidth="1"/>
    <col min="1946" max="1946" width="11.875" bestFit="1" customWidth="1"/>
    <col min="1947" max="1947" width="9.375" bestFit="1" customWidth="1"/>
    <col min="1948" max="1948" width="11.875" bestFit="1" customWidth="1"/>
    <col min="1949" max="1949" width="9.375" bestFit="1" customWidth="1"/>
    <col min="1950" max="1950" width="11.875" bestFit="1" customWidth="1"/>
    <col min="1951" max="1951" width="9.375" bestFit="1" customWidth="1"/>
    <col min="1952" max="1952" width="11.875" bestFit="1" customWidth="1"/>
    <col min="1953" max="1953" width="9.375" bestFit="1" customWidth="1"/>
    <col min="1954" max="1954" width="11.875" bestFit="1" customWidth="1"/>
    <col min="1955" max="1955" width="9.375" bestFit="1" customWidth="1"/>
    <col min="1956" max="1956" width="11.875" bestFit="1" customWidth="1"/>
    <col min="1957" max="1957" width="9.375" bestFit="1" customWidth="1"/>
    <col min="1958" max="1958" width="11.875" bestFit="1" customWidth="1"/>
    <col min="1959" max="1959" width="9.375" bestFit="1" customWidth="1"/>
    <col min="1960" max="1960" width="11.875" bestFit="1" customWidth="1"/>
    <col min="1961" max="1961" width="9.375" bestFit="1" customWidth="1"/>
    <col min="1962" max="1962" width="11.875" bestFit="1" customWidth="1"/>
    <col min="1963" max="1963" width="9.375" bestFit="1" customWidth="1"/>
    <col min="1964" max="1964" width="11.875" bestFit="1" customWidth="1"/>
    <col min="1965" max="1965" width="9.375" bestFit="1" customWidth="1"/>
    <col min="1966" max="1966" width="11.875" bestFit="1" customWidth="1"/>
    <col min="1967" max="1967" width="9.375" bestFit="1" customWidth="1"/>
    <col min="1968" max="1968" width="11.875" bestFit="1" customWidth="1"/>
    <col min="1969" max="1969" width="9.375" bestFit="1" customWidth="1"/>
    <col min="1970" max="1970" width="11.875" bestFit="1" customWidth="1"/>
    <col min="1971" max="1971" width="9.375" bestFit="1" customWidth="1"/>
    <col min="1972" max="1972" width="11.875" bestFit="1" customWidth="1"/>
    <col min="1973" max="1973" width="9.375" bestFit="1" customWidth="1"/>
    <col min="1974" max="1974" width="11.875" bestFit="1" customWidth="1"/>
    <col min="1975" max="1975" width="9.375" bestFit="1" customWidth="1"/>
    <col min="1976" max="1976" width="11.875" bestFit="1" customWidth="1"/>
    <col min="1977" max="1977" width="9.375" bestFit="1" customWidth="1"/>
    <col min="1978" max="1978" width="11.875" bestFit="1" customWidth="1"/>
    <col min="1979" max="1979" width="9.375" bestFit="1" customWidth="1"/>
    <col min="1980" max="1980" width="11.875" bestFit="1" customWidth="1"/>
    <col min="1981" max="1981" width="9.375" bestFit="1" customWidth="1"/>
    <col min="1982" max="1982" width="11.875" bestFit="1" customWidth="1"/>
    <col min="1983" max="1983" width="9.375" bestFit="1" customWidth="1"/>
    <col min="1984" max="1984" width="11.875" bestFit="1" customWidth="1"/>
    <col min="1985" max="1985" width="9.375" bestFit="1" customWidth="1"/>
    <col min="1986" max="1986" width="11.875" bestFit="1" customWidth="1"/>
    <col min="1987" max="1987" width="9.375" bestFit="1" customWidth="1"/>
    <col min="1988" max="1988" width="11.875" bestFit="1" customWidth="1"/>
    <col min="1989" max="1989" width="9.375" bestFit="1" customWidth="1"/>
    <col min="1990" max="1990" width="11.875" bestFit="1" customWidth="1"/>
    <col min="1991" max="1991" width="9.375" bestFit="1" customWidth="1"/>
    <col min="1992" max="1992" width="11.875" bestFit="1" customWidth="1"/>
    <col min="1993" max="1993" width="9.375" bestFit="1" customWidth="1"/>
    <col min="1994" max="1994" width="11.875" bestFit="1" customWidth="1"/>
    <col min="1995" max="1995" width="9.375" bestFit="1" customWidth="1"/>
    <col min="1996" max="1996" width="11.875" bestFit="1" customWidth="1"/>
    <col min="1997" max="1997" width="9.375" bestFit="1" customWidth="1"/>
    <col min="1998" max="1998" width="11.875" bestFit="1" customWidth="1"/>
    <col min="1999" max="1999" width="9.375" bestFit="1" customWidth="1"/>
    <col min="2000" max="2000" width="11.875" bestFit="1" customWidth="1"/>
    <col min="2001" max="2001" width="9.375" bestFit="1" customWidth="1"/>
    <col min="2002" max="2002" width="11.875" bestFit="1" customWidth="1"/>
    <col min="2003" max="2003" width="9.375" bestFit="1" customWidth="1"/>
    <col min="2004" max="2004" width="11.875" bestFit="1" customWidth="1"/>
    <col min="2005" max="2005" width="9.375" bestFit="1" customWidth="1"/>
    <col min="2006" max="2006" width="11.875" bestFit="1" customWidth="1"/>
    <col min="2007" max="2007" width="9.375" bestFit="1" customWidth="1"/>
    <col min="2008" max="2008" width="11.875" bestFit="1" customWidth="1"/>
    <col min="2009" max="2009" width="9.375" bestFit="1" customWidth="1"/>
    <col min="2010" max="2010" width="11.875" bestFit="1" customWidth="1"/>
    <col min="2011" max="2011" width="9.375" bestFit="1" customWidth="1"/>
    <col min="2012" max="2012" width="11.875" bestFit="1" customWidth="1"/>
    <col min="2013" max="2013" width="9.375" bestFit="1" customWidth="1"/>
    <col min="2014" max="2014" width="11.875" bestFit="1" customWidth="1"/>
    <col min="2015" max="2015" width="9.375" bestFit="1" customWidth="1"/>
    <col min="2016" max="2016" width="11.875" bestFit="1" customWidth="1"/>
    <col min="2017" max="2017" width="9.375" bestFit="1" customWidth="1"/>
    <col min="2018" max="2018" width="11.875" bestFit="1" customWidth="1"/>
    <col min="2019" max="2019" width="9.375" bestFit="1" customWidth="1"/>
    <col min="2020" max="2020" width="11.875" bestFit="1" customWidth="1"/>
    <col min="2021" max="2021" width="9.375" bestFit="1" customWidth="1"/>
    <col min="2022" max="2022" width="11.875" bestFit="1" customWidth="1"/>
    <col min="2023" max="2023" width="9.375" bestFit="1" customWidth="1"/>
    <col min="2024" max="2024" width="11.875" bestFit="1" customWidth="1"/>
    <col min="2025" max="2025" width="9.375" bestFit="1" customWidth="1"/>
    <col min="2026" max="2026" width="11.875" bestFit="1" customWidth="1"/>
    <col min="2027" max="2027" width="9.375" bestFit="1" customWidth="1"/>
    <col min="2028" max="2028" width="11.875" bestFit="1" customWidth="1"/>
    <col min="2029" max="2029" width="9.375" bestFit="1" customWidth="1"/>
    <col min="2030" max="2030" width="11.875" bestFit="1" customWidth="1"/>
    <col min="2031" max="2031" width="9.375" bestFit="1" customWidth="1"/>
    <col min="2032" max="2032" width="11.875" bestFit="1" customWidth="1"/>
    <col min="2033" max="2033" width="9.375" bestFit="1" customWidth="1"/>
    <col min="2034" max="2034" width="11.875" bestFit="1" customWidth="1"/>
    <col min="2035" max="2035" width="9.375" bestFit="1" customWidth="1"/>
    <col min="2036" max="2036" width="11.875" bestFit="1" customWidth="1"/>
    <col min="2037" max="2037" width="9.375" bestFit="1" customWidth="1"/>
    <col min="2038" max="2038" width="7" bestFit="1" customWidth="1"/>
    <col min="2039" max="2039" width="11.875" bestFit="1" customWidth="1"/>
    <col min="2040" max="2040" width="9.375" bestFit="1" customWidth="1"/>
    <col min="2041" max="2041" width="7" bestFit="1" customWidth="1"/>
    <col min="2042" max="2042" width="11.875" bestFit="1" customWidth="1"/>
    <col min="2043" max="2043" width="9.375" bestFit="1" customWidth="1"/>
    <col min="2044" max="2044" width="11.875" bestFit="1" customWidth="1"/>
    <col min="2045" max="2045" width="9.375" bestFit="1" customWidth="1"/>
    <col min="2046" max="2046" width="11.875" bestFit="1" customWidth="1"/>
    <col min="2047" max="2047" width="9.375" bestFit="1" customWidth="1"/>
    <col min="2048" max="2048" width="11.875" bestFit="1" customWidth="1"/>
    <col min="2049" max="2049" width="9.375" bestFit="1" customWidth="1"/>
    <col min="2050" max="2050" width="11.875" bestFit="1" customWidth="1"/>
    <col min="2051" max="2051" width="9.375" bestFit="1" customWidth="1"/>
    <col min="2052" max="2052" width="11.875" bestFit="1" customWidth="1"/>
    <col min="2053" max="2053" width="9.375" bestFit="1" customWidth="1"/>
    <col min="2054" max="2054" width="11.875" bestFit="1" customWidth="1"/>
    <col min="2055" max="2055" width="9.375" bestFit="1" customWidth="1"/>
    <col min="2056" max="2056" width="11.875" bestFit="1" customWidth="1"/>
    <col min="2057" max="2057" width="9.375" bestFit="1" customWidth="1"/>
    <col min="2058" max="2058" width="11.875" bestFit="1" customWidth="1"/>
    <col min="2059" max="2059" width="9.375" bestFit="1" customWidth="1"/>
    <col min="2060" max="2060" width="11.875" bestFit="1" customWidth="1"/>
    <col min="2061" max="2061" width="9.375" bestFit="1" customWidth="1"/>
    <col min="2062" max="2062" width="11.875" bestFit="1" customWidth="1"/>
    <col min="2063" max="2063" width="9.375" bestFit="1" customWidth="1"/>
    <col min="2064" max="2064" width="11.875" bestFit="1" customWidth="1"/>
    <col min="2065" max="2065" width="9.375" bestFit="1" customWidth="1"/>
    <col min="2066" max="2066" width="11.875" bestFit="1" customWidth="1"/>
    <col min="2067" max="2067" width="9.375" bestFit="1" customWidth="1"/>
    <col min="2068" max="2068" width="11.875" bestFit="1" customWidth="1"/>
    <col min="2069" max="2069" width="9.375" bestFit="1" customWidth="1"/>
    <col min="2070" max="2070" width="11.875" bestFit="1" customWidth="1"/>
    <col min="2071" max="2071" width="9.375" bestFit="1" customWidth="1"/>
    <col min="2072" max="2072" width="11.875" bestFit="1" customWidth="1"/>
    <col min="2073" max="2073" width="9.375" bestFit="1" customWidth="1"/>
    <col min="2074" max="2074" width="11.875" bestFit="1" customWidth="1"/>
    <col min="2075" max="2075" width="9.375" bestFit="1" customWidth="1"/>
    <col min="2076" max="2076" width="11.875" bestFit="1" customWidth="1"/>
    <col min="2077" max="2077" width="9.375" bestFit="1" customWidth="1"/>
    <col min="2078" max="2078" width="11.875" bestFit="1" customWidth="1"/>
    <col min="2079" max="2079" width="9.375" bestFit="1" customWidth="1"/>
    <col min="2080" max="2080" width="11.875" bestFit="1" customWidth="1"/>
    <col min="2081" max="2081" width="9.375" bestFit="1" customWidth="1"/>
    <col min="2082" max="2082" width="11.875" bestFit="1" customWidth="1"/>
    <col min="2083" max="2083" width="9.375" bestFit="1" customWidth="1"/>
    <col min="2084" max="2084" width="11.875" bestFit="1" customWidth="1"/>
    <col min="2085" max="2085" width="9.375" bestFit="1" customWidth="1"/>
    <col min="2086" max="2086" width="11.875" bestFit="1" customWidth="1"/>
    <col min="2087" max="2087" width="9.375" bestFit="1" customWidth="1"/>
    <col min="2088" max="2088" width="11.875" bestFit="1" customWidth="1"/>
    <col min="2089" max="2089" width="9.375" bestFit="1" customWidth="1"/>
    <col min="2090" max="2090" width="11.875" bestFit="1" customWidth="1"/>
    <col min="2091" max="2091" width="9.375" bestFit="1" customWidth="1"/>
    <col min="2092" max="2092" width="11.875" bestFit="1" customWidth="1"/>
    <col min="2093" max="2093" width="9.375" bestFit="1" customWidth="1"/>
    <col min="2094" max="2094" width="11.875" bestFit="1" customWidth="1"/>
    <col min="2095" max="2095" width="9.375" bestFit="1" customWidth="1"/>
    <col min="2096" max="2096" width="11.875" bestFit="1" customWidth="1"/>
    <col min="2097" max="2097" width="9.375" bestFit="1" customWidth="1"/>
    <col min="2098" max="2098" width="11.875" bestFit="1" customWidth="1"/>
    <col min="2099" max="2099" width="9.375" bestFit="1" customWidth="1"/>
    <col min="2100" max="2100" width="11.875" bestFit="1" customWidth="1"/>
    <col min="2101" max="2101" width="9.375" bestFit="1" customWidth="1"/>
    <col min="2102" max="2102" width="11.875" bestFit="1" customWidth="1"/>
    <col min="2103" max="2103" width="9.375" bestFit="1" customWidth="1"/>
    <col min="2104" max="2104" width="11.875" bestFit="1" customWidth="1"/>
    <col min="2105" max="2105" width="9.375" bestFit="1" customWidth="1"/>
    <col min="2106" max="2106" width="11.875" bestFit="1" customWidth="1"/>
    <col min="2107" max="2107" width="9.375" bestFit="1" customWidth="1"/>
    <col min="2108" max="2108" width="11.875" bestFit="1" customWidth="1"/>
    <col min="2109" max="2109" width="9.375" bestFit="1" customWidth="1"/>
    <col min="2110" max="2110" width="11.875" bestFit="1" customWidth="1"/>
    <col min="2111" max="2111" width="9.375" bestFit="1" customWidth="1"/>
    <col min="2112" max="2112" width="11.875" bestFit="1" customWidth="1"/>
    <col min="2113" max="2113" width="9.375" bestFit="1" customWidth="1"/>
    <col min="2114" max="2114" width="7" bestFit="1" customWidth="1"/>
    <col min="2115" max="2115" width="11.875" bestFit="1" customWidth="1"/>
    <col min="2116" max="2116" width="9.375" bestFit="1" customWidth="1"/>
    <col min="2117" max="2117" width="11.875" bestFit="1" customWidth="1"/>
    <col min="2118" max="2118" width="9.375" bestFit="1" customWidth="1"/>
    <col min="2119" max="2119" width="11.875" bestFit="1" customWidth="1"/>
    <col min="2120" max="2120" width="9.375" bestFit="1" customWidth="1"/>
    <col min="2121" max="2121" width="11.875" bestFit="1" customWidth="1"/>
    <col min="2122" max="2122" width="9.375" bestFit="1" customWidth="1"/>
    <col min="2123" max="2123" width="11.875" bestFit="1" customWidth="1"/>
    <col min="2124" max="2124" width="9.375" bestFit="1" customWidth="1"/>
    <col min="2125" max="2125" width="11.875" bestFit="1" customWidth="1"/>
    <col min="2126" max="2126" width="9.375" bestFit="1" customWidth="1"/>
    <col min="2127" max="2127" width="11.875" bestFit="1" customWidth="1"/>
    <col min="2128" max="2128" width="9.375" bestFit="1" customWidth="1"/>
    <col min="2129" max="2129" width="11.875" bestFit="1" customWidth="1"/>
    <col min="2130" max="2130" width="9.375" bestFit="1" customWidth="1"/>
    <col min="2131" max="2131" width="11.875" bestFit="1" customWidth="1"/>
    <col min="2132" max="2132" width="9.375" bestFit="1" customWidth="1"/>
    <col min="2133" max="2133" width="11.875" bestFit="1" customWidth="1"/>
    <col min="2134" max="2134" width="9.375" bestFit="1" customWidth="1"/>
    <col min="2135" max="2135" width="11.875" bestFit="1" customWidth="1"/>
    <col min="2136" max="2136" width="9.375" bestFit="1" customWidth="1"/>
    <col min="2137" max="2137" width="11.875" bestFit="1" customWidth="1"/>
    <col min="2138" max="2138" width="9.375" bestFit="1" customWidth="1"/>
    <col min="2139" max="2139" width="11.875" bestFit="1" customWidth="1"/>
    <col min="2140" max="2140" width="9.375" bestFit="1" customWidth="1"/>
    <col min="2141" max="2141" width="11.875" bestFit="1" customWidth="1"/>
    <col min="2142" max="2142" width="9.375" bestFit="1" customWidth="1"/>
    <col min="2143" max="2143" width="11.875" bestFit="1" customWidth="1"/>
    <col min="2144" max="2144" width="9.375" bestFit="1" customWidth="1"/>
    <col min="2145" max="2145" width="11.875" bestFit="1" customWidth="1"/>
    <col min="2146" max="2146" width="9.375" bestFit="1" customWidth="1"/>
    <col min="2147" max="2147" width="11.875" bestFit="1" customWidth="1"/>
    <col min="2148" max="2148" width="9.375" bestFit="1" customWidth="1"/>
    <col min="2149" max="2149" width="11.875" bestFit="1" customWidth="1"/>
    <col min="2150" max="2150" width="9.375" bestFit="1" customWidth="1"/>
    <col min="2151" max="2151" width="11.875" bestFit="1" customWidth="1"/>
    <col min="2152" max="2152" width="9.375" bestFit="1" customWidth="1"/>
    <col min="2153" max="2153" width="11.875" bestFit="1" customWidth="1"/>
    <col min="2154" max="2154" width="9.375" bestFit="1" customWidth="1"/>
    <col min="2155" max="2155" width="11.875" bestFit="1" customWidth="1"/>
    <col min="2156" max="2156" width="9.375" bestFit="1" customWidth="1"/>
    <col min="2157" max="2157" width="11.875" bestFit="1" customWidth="1"/>
    <col min="2158" max="2158" width="9.375" bestFit="1" customWidth="1"/>
    <col min="2159" max="2159" width="11.875" bestFit="1" customWidth="1"/>
    <col min="2160" max="2160" width="9.375" bestFit="1" customWidth="1"/>
    <col min="2161" max="2161" width="11.875" bestFit="1" customWidth="1"/>
    <col min="2162" max="2162" width="9.375" bestFit="1" customWidth="1"/>
    <col min="2163" max="2163" width="11.875" bestFit="1" customWidth="1"/>
    <col min="2164" max="2164" width="9.375" bestFit="1" customWidth="1"/>
    <col min="2165" max="2165" width="11.875" bestFit="1" customWidth="1"/>
    <col min="2166" max="2166" width="9.375" bestFit="1" customWidth="1"/>
    <col min="2167" max="2167" width="11.875" bestFit="1" customWidth="1"/>
    <col min="2168" max="2168" width="9.375" bestFit="1" customWidth="1"/>
    <col min="2169" max="2169" width="11.875" bestFit="1" customWidth="1"/>
    <col min="2170" max="2170" width="9.375" bestFit="1" customWidth="1"/>
    <col min="2171" max="2171" width="11.875" bestFit="1" customWidth="1"/>
    <col min="2172" max="2172" width="9.375" bestFit="1" customWidth="1"/>
    <col min="2173" max="2173" width="11.875" bestFit="1" customWidth="1"/>
    <col min="2174" max="2174" width="9.375" bestFit="1" customWidth="1"/>
    <col min="2175" max="2175" width="11.875" bestFit="1" customWidth="1"/>
    <col min="2176" max="2176" width="9.375" bestFit="1" customWidth="1"/>
    <col min="2177" max="2177" width="11.875" bestFit="1" customWidth="1"/>
    <col min="2178" max="2178" width="9.375" bestFit="1" customWidth="1"/>
    <col min="2179" max="2179" width="11.875" bestFit="1" customWidth="1"/>
    <col min="2180" max="2180" width="9.375" bestFit="1" customWidth="1"/>
    <col min="2181" max="2181" width="11.875" bestFit="1" customWidth="1"/>
    <col min="2182" max="2182" width="9.375" bestFit="1" customWidth="1"/>
    <col min="2183" max="2183" width="11.875" bestFit="1" customWidth="1"/>
    <col min="2184" max="2184" width="9.375" bestFit="1" customWidth="1"/>
    <col min="2185" max="2185" width="11.875" bestFit="1" customWidth="1"/>
    <col min="2186" max="2186" width="9.375" bestFit="1" customWidth="1"/>
    <col min="2187" max="2187" width="11.875" bestFit="1" customWidth="1"/>
    <col min="2188" max="2188" width="9.375" bestFit="1" customWidth="1"/>
    <col min="2189" max="2189" width="11.875" bestFit="1" customWidth="1"/>
    <col min="2190" max="2190" width="9.375" bestFit="1" customWidth="1"/>
    <col min="2191" max="2191" width="11.875" bestFit="1" customWidth="1"/>
    <col min="2192" max="2192" width="9.375" bestFit="1" customWidth="1"/>
    <col min="2193" max="2193" width="11.875" bestFit="1" customWidth="1"/>
    <col min="2194" max="2194" width="9.375" bestFit="1" customWidth="1"/>
    <col min="2195" max="2195" width="11.875" bestFit="1" customWidth="1"/>
    <col min="2196" max="2196" width="9.375" bestFit="1" customWidth="1"/>
    <col min="2197" max="2197" width="11.875" bestFit="1" customWidth="1"/>
    <col min="2198" max="2198" width="9.375" bestFit="1" customWidth="1"/>
    <col min="2199" max="2199" width="11.875" bestFit="1" customWidth="1"/>
    <col min="2200" max="2200" width="9.375" bestFit="1" customWidth="1"/>
    <col min="2201" max="2201" width="11.875" bestFit="1" customWidth="1"/>
    <col min="2202" max="2202" width="9.375" bestFit="1" customWidth="1"/>
    <col min="2203" max="2203" width="11.875" bestFit="1" customWidth="1"/>
    <col min="2204" max="2204" width="9.375" bestFit="1" customWidth="1"/>
    <col min="2205" max="2205" width="11.875" bestFit="1" customWidth="1"/>
    <col min="2206" max="2206" width="9.375" bestFit="1" customWidth="1"/>
    <col min="2207" max="2207" width="11.875" bestFit="1" customWidth="1"/>
    <col min="2208" max="2208" width="9.375" bestFit="1" customWidth="1"/>
    <col min="2209" max="2209" width="11.875" bestFit="1" customWidth="1"/>
    <col min="2210" max="2210" width="9.375" bestFit="1" customWidth="1"/>
    <col min="2211" max="2211" width="11.875" bestFit="1" customWidth="1"/>
    <col min="2212" max="2212" width="9.375" bestFit="1" customWidth="1"/>
    <col min="2213" max="2213" width="11.875" bestFit="1" customWidth="1"/>
    <col min="2214" max="2214" width="9.375" bestFit="1" customWidth="1"/>
    <col min="2215" max="2215" width="11.875" bestFit="1" customWidth="1"/>
    <col min="2216" max="2216" width="9.375" bestFit="1" customWidth="1"/>
    <col min="2217" max="2217" width="11.875" bestFit="1" customWidth="1"/>
    <col min="2218" max="2218" width="9.375" bestFit="1" customWidth="1"/>
    <col min="2219" max="2219" width="11.875" bestFit="1" customWidth="1"/>
    <col min="2220" max="2220" width="9.375" bestFit="1" customWidth="1"/>
    <col min="2221" max="2221" width="11.875" bestFit="1" customWidth="1"/>
    <col min="2222" max="2222" width="9.375" bestFit="1" customWidth="1"/>
    <col min="2223" max="2223" width="11.875" bestFit="1" customWidth="1"/>
    <col min="2224" max="2224" width="9.375" bestFit="1" customWidth="1"/>
    <col min="2225" max="2225" width="11.875" bestFit="1" customWidth="1"/>
    <col min="2226" max="2226" width="9.375" bestFit="1" customWidth="1"/>
    <col min="2227" max="2227" width="11.875" bestFit="1" customWidth="1"/>
    <col min="2228" max="2228" width="9.375" bestFit="1" customWidth="1"/>
    <col min="2229" max="2229" width="11.875" bestFit="1" customWidth="1"/>
    <col min="2230" max="2230" width="9.375" bestFit="1" customWidth="1"/>
    <col min="2231" max="2231" width="11.875" bestFit="1" customWidth="1"/>
    <col min="2232" max="2232" width="9.375" bestFit="1" customWidth="1"/>
    <col min="2233" max="2233" width="11.875" bestFit="1" customWidth="1"/>
    <col min="2234" max="2234" width="9.375" bestFit="1" customWidth="1"/>
    <col min="2235" max="2235" width="11.875" bestFit="1" customWidth="1"/>
    <col min="2236" max="2236" width="9.375" bestFit="1" customWidth="1"/>
    <col min="2237" max="2237" width="11.875" bestFit="1" customWidth="1"/>
    <col min="2238" max="2238" width="9.375" bestFit="1" customWidth="1"/>
    <col min="2239" max="2239" width="11.875" bestFit="1" customWidth="1"/>
    <col min="2240" max="2240" width="9.375" bestFit="1" customWidth="1"/>
    <col min="2241" max="2241" width="11.875" bestFit="1" customWidth="1"/>
    <col min="2242" max="2242" width="9.375" bestFit="1" customWidth="1"/>
    <col min="2243" max="2243" width="11.875" bestFit="1" customWidth="1"/>
    <col min="2244" max="2244" width="9.375" bestFit="1" customWidth="1"/>
    <col min="2245" max="2245" width="11.875" bestFit="1" customWidth="1"/>
    <col min="2246" max="2246" width="9.375" bestFit="1" customWidth="1"/>
    <col min="2247" max="2247" width="11.875" bestFit="1" customWidth="1"/>
    <col min="2248" max="2248" width="9.375" bestFit="1" customWidth="1"/>
    <col min="2249" max="2249" width="11.875" bestFit="1" customWidth="1"/>
    <col min="2250" max="2250" width="9.375" bestFit="1" customWidth="1"/>
    <col min="2251" max="2251" width="11.875" bestFit="1" customWidth="1"/>
    <col min="2252" max="2252" width="9.375" bestFit="1" customWidth="1"/>
    <col min="2253" max="2253" width="11.875" bestFit="1" customWidth="1"/>
    <col min="2254" max="2254" width="9.375" bestFit="1" customWidth="1"/>
    <col min="2255" max="2255" width="11.875" bestFit="1" customWidth="1"/>
    <col min="2256" max="2256" width="9.375" bestFit="1" customWidth="1"/>
    <col min="2257" max="2257" width="11.875" bestFit="1" customWidth="1"/>
    <col min="2258" max="2258" width="9.375" bestFit="1" customWidth="1"/>
    <col min="2259" max="2259" width="11.875" bestFit="1" customWidth="1"/>
    <col min="2260" max="2260" width="9.375" bestFit="1" customWidth="1"/>
    <col min="2261" max="2261" width="11.875" bestFit="1" customWidth="1"/>
    <col min="2262" max="2262" width="9.375" bestFit="1" customWidth="1"/>
    <col min="2263" max="2263" width="11.875" bestFit="1" customWidth="1"/>
    <col min="2264" max="2264" width="9.375" bestFit="1" customWidth="1"/>
    <col min="2265" max="2265" width="11.875" bestFit="1" customWidth="1"/>
    <col min="2266" max="2266" width="9.375" bestFit="1" customWidth="1"/>
    <col min="2267" max="2267" width="11.875" bestFit="1" customWidth="1"/>
    <col min="2268" max="2268" width="9.375" bestFit="1" customWidth="1"/>
    <col min="2269" max="2269" width="11.875" bestFit="1" customWidth="1"/>
    <col min="2270" max="2270" width="9.375" bestFit="1" customWidth="1"/>
    <col min="2271" max="2271" width="11.875" bestFit="1" customWidth="1"/>
    <col min="2272" max="2272" width="9.375" bestFit="1" customWidth="1"/>
    <col min="2273" max="2273" width="11.875" bestFit="1" customWidth="1"/>
    <col min="2274" max="2274" width="9.375" bestFit="1" customWidth="1"/>
    <col min="2275" max="2275" width="11.875" bestFit="1" customWidth="1"/>
    <col min="2276" max="2276" width="9.375" bestFit="1" customWidth="1"/>
    <col min="2277" max="2277" width="11.875" bestFit="1" customWidth="1"/>
    <col min="2278" max="2278" width="9.375" bestFit="1" customWidth="1"/>
    <col min="2279" max="2279" width="11.875" bestFit="1" customWidth="1"/>
    <col min="2280" max="2280" width="9.375" bestFit="1" customWidth="1"/>
    <col min="2281" max="2281" width="11.875" bestFit="1" customWidth="1"/>
    <col min="2282" max="2282" width="9.375" bestFit="1" customWidth="1"/>
    <col min="2283" max="2283" width="11.875" bestFit="1" customWidth="1"/>
    <col min="2284" max="2284" width="9.375" bestFit="1" customWidth="1"/>
    <col min="2285" max="2285" width="11.875" bestFit="1" customWidth="1"/>
    <col min="2286" max="2286" width="9.375" bestFit="1" customWidth="1"/>
    <col min="2287" max="2287" width="11.875" bestFit="1" customWidth="1"/>
    <col min="2288" max="2288" width="9.375" bestFit="1" customWidth="1"/>
    <col min="2289" max="2289" width="11.875" bestFit="1" customWidth="1"/>
    <col min="2290" max="2290" width="9.375" bestFit="1" customWidth="1"/>
    <col min="2291" max="2291" width="11.875" bestFit="1" customWidth="1"/>
    <col min="2292" max="2292" width="9.375" bestFit="1" customWidth="1"/>
    <col min="2293" max="2293" width="11.875" bestFit="1" customWidth="1"/>
    <col min="2294" max="2294" width="9.375" bestFit="1" customWidth="1"/>
    <col min="2295" max="2295" width="11.875" bestFit="1" customWidth="1"/>
    <col min="2296" max="2296" width="9.375" bestFit="1" customWidth="1"/>
    <col min="2297" max="2297" width="11.875" bestFit="1" customWidth="1"/>
    <col min="2298" max="2298" width="9.375" bestFit="1" customWidth="1"/>
    <col min="2299" max="2299" width="11.875" bestFit="1" customWidth="1"/>
    <col min="2300" max="2300" width="9.375" bestFit="1" customWidth="1"/>
    <col min="2301" max="2301" width="11.875" bestFit="1" customWidth="1"/>
    <col min="2302" max="2302" width="9.375" bestFit="1" customWidth="1"/>
    <col min="2303" max="2303" width="11.875" bestFit="1" customWidth="1"/>
    <col min="2304" max="2304" width="9.375" bestFit="1" customWidth="1"/>
    <col min="2305" max="2305" width="11.875" bestFit="1" customWidth="1"/>
    <col min="2306" max="2306" width="9.375" bestFit="1" customWidth="1"/>
    <col min="2307" max="2307" width="11.875" bestFit="1" customWidth="1"/>
    <col min="2308" max="2308" width="9.375" bestFit="1" customWidth="1"/>
    <col min="2309" max="2309" width="11.875" bestFit="1" customWidth="1"/>
    <col min="2310" max="2310" width="9.375" bestFit="1" customWidth="1"/>
    <col min="2311" max="2311" width="11.875" bestFit="1" customWidth="1"/>
    <col min="2312" max="2312" width="9.375" bestFit="1" customWidth="1"/>
    <col min="2313" max="2313" width="11.875" bestFit="1" customWidth="1"/>
    <col min="2314" max="2314" width="9.375" bestFit="1" customWidth="1"/>
    <col min="2315" max="2315" width="11.875" bestFit="1" customWidth="1"/>
    <col min="2316" max="2316" width="9.375" bestFit="1" customWidth="1"/>
    <col min="2317" max="2317" width="7" bestFit="1" customWidth="1"/>
    <col min="2318" max="2318" width="11.875" bestFit="1" customWidth="1"/>
    <col min="2319" max="2319" width="9.375" bestFit="1" customWidth="1"/>
    <col min="2320" max="2320" width="11.875" bestFit="1" customWidth="1"/>
    <col min="2321" max="2321" width="9.375" bestFit="1" customWidth="1"/>
    <col min="2322" max="2322" width="11.875" bestFit="1" customWidth="1"/>
    <col min="2323" max="2323" width="9.375" bestFit="1" customWidth="1"/>
    <col min="2324" max="2324" width="11.875" bestFit="1" customWidth="1"/>
    <col min="2325" max="2325" width="9.375" bestFit="1" customWidth="1"/>
    <col min="2326" max="2326" width="11.875" bestFit="1" customWidth="1"/>
    <col min="2327" max="2327" width="9.375" bestFit="1" customWidth="1"/>
    <col min="2328" max="2328" width="11.875" bestFit="1" customWidth="1"/>
    <col min="2329" max="2329" width="9.375" bestFit="1" customWidth="1"/>
    <col min="2330" max="2330" width="11.875" bestFit="1" customWidth="1"/>
    <col min="2331" max="2331" width="9.375" bestFit="1" customWidth="1"/>
    <col min="2332" max="2332" width="11.875" bestFit="1" customWidth="1"/>
    <col min="2333" max="2333" width="9.375" bestFit="1" customWidth="1"/>
    <col min="2334" max="2334" width="11.875" bestFit="1" customWidth="1"/>
    <col min="2335" max="2335" width="9.375" bestFit="1" customWidth="1"/>
    <col min="2336" max="2336" width="11.875" bestFit="1" customWidth="1"/>
    <col min="2337" max="2337" width="9.375" bestFit="1" customWidth="1"/>
    <col min="2338" max="2338" width="11.875" bestFit="1" customWidth="1"/>
    <col min="2339" max="2339" width="9.375" bestFit="1" customWidth="1"/>
    <col min="2340" max="2340" width="7" bestFit="1" customWidth="1"/>
    <col min="2341" max="2341" width="11.875" bestFit="1" customWidth="1"/>
    <col min="2342" max="2342" width="9.375" bestFit="1" customWidth="1"/>
    <col min="2343" max="2343" width="11.875" bestFit="1" customWidth="1"/>
    <col min="2344" max="2344" width="9.375" bestFit="1" customWidth="1"/>
    <col min="2345" max="2345" width="11.875" bestFit="1" customWidth="1"/>
    <col min="2346" max="2346" width="9.375" bestFit="1" customWidth="1"/>
    <col min="2347" max="2347" width="11.875" bestFit="1" customWidth="1"/>
    <col min="2348" max="2348" width="9.375" bestFit="1" customWidth="1"/>
    <col min="2349" max="2349" width="11.875" bestFit="1" customWidth="1"/>
    <col min="2350" max="2350" width="9.375" bestFit="1" customWidth="1"/>
    <col min="2351" max="2351" width="11.875" bestFit="1" customWidth="1"/>
    <col min="2352" max="2352" width="9.375" bestFit="1" customWidth="1"/>
    <col min="2353" max="2353" width="11.875" bestFit="1" customWidth="1"/>
    <col min="2354" max="2354" width="9.375" bestFit="1" customWidth="1"/>
    <col min="2355" max="2355" width="11.875" bestFit="1" customWidth="1"/>
    <col min="2356" max="2356" width="9.375" bestFit="1" customWidth="1"/>
    <col min="2357" max="2357" width="11.875" bestFit="1" customWidth="1"/>
    <col min="2358" max="2358" width="9.375" bestFit="1" customWidth="1"/>
    <col min="2359" max="2359" width="11.875" bestFit="1" customWidth="1"/>
    <col min="2360" max="2360" width="9.375" bestFit="1" customWidth="1"/>
    <col min="2361" max="2361" width="11.875" bestFit="1" customWidth="1"/>
    <col min="2362" max="2362" width="9.375" bestFit="1" customWidth="1"/>
    <col min="2363" max="2363" width="11.875" bestFit="1" customWidth="1"/>
    <col min="2364" max="2364" width="9.375" bestFit="1" customWidth="1"/>
    <col min="2365" max="2365" width="11.875" bestFit="1" customWidth="1"/>
    <col min="2366" max="2366" width="9.375" bestFit="1" customWidth="1"/>
    <col min="2367" max="2367" width="11.875" bestFit="1" customWidth="1"/>
    <col min="2368" max="2368" width="9.375" bestFit="1" customWidth="1"/>
    <col min="2369" max="2369" width="11.875" bestFit="1" customWidth="1"/>
    <col min="2370" max="2370" width="9.375" bestFit="1" customWidth="1"/>
    <col min="2371" max="2371" width="11.875" bestFit="1" customWidth="1"/>
    <col min="2372" max="2372" width="9.375" bestFit="1" customWidth="1"/>
    <col min="2373" max="2373" width="11.875" bestFit="1" customWidth="1"/>
    <col min="2374" max="2374" width="9.375" bestFit="1" customWidth="1"/>
    <col min="2375" max="2375" width="11.875" bestFit="1" customWidth="1"/>
    <col min="2376" max="2376" width="9.375" bestFit="1" customWidth="1"/>
    <col min="2377" max="2377" width="11.875" bestFit="1" customWidth="1"/>
    <col min="2378" max="2378" width="9.375" bestFit="1" customWidth="1"/>
    <col min="2379" max="2379" width="11.875" bestFit="1" customWidth="1"/>
    <col min="2380" max="2380" width="9.375" bestFit="1" customWidth="1"/>
    <col min="2381" max="2381" width="11.875" bestFit="1" customWidth="1"/>
    <col min="2382" max="2382" width="9.375" bestFit="1" customWidth="1"/>
    <col min="2383" max="2383" width="11.875" bestFit="1" customWidth="1"/>
    <col min="2384" max="2384" width="9.375" bestFit="1" customWidth="1"/>
    <col min="2385" max="2385" width="11.875" bestFit="1" customWidth="1"/>
    <col min="2386" max="2386" width="9.375" bestFit="1" customWidth="1"/>
    <col min="2387" max="2387" width="11.875" bestFit="1" customWidth="1"/>
    <col min="2388" max="2388" width="9.375" bestFit="1" customWidth="1"/>
    <col min="2389" max="2389" width="11.875" bestFit="1" customWidth="1"/>
    <col min="2390" max="2390" width="9.375" bestFit="1" customWidth="1"/>
    <col min="2391" max="2391" width="11.875" bestFit="1" customWidth="1"/>
    <col min="2392" max="2392" width="9.375" bestFit="1" customWidth="1"/>
    <col min="2393" max="2393" width="11.875" bestFit="1" customWidth="1"/>
    <col min="2394" max="2394" width="9.375" bestFit="1" customWidth="1"/>
    <col min="2395" max="2395" width="11.875" bestFit="1" customWidth="1"/>
    <col min="2396" max="2396" width="9.375" bestFit="1" customWidth="1"/>
    <col min="2397" max="2397" width="11.875" bestFit="1" customWidth="1"/>
    <col min="2398" max="2398" width="9.375" bestFit="1" customWidth="1"/>
    <col min="2399" max="2399" width="11.875" bestFit="1" customWidth="1"/>
    <col min="2400" max="2400" width="9.375" bestFit="1" customWidth="1"/>
    <col min="2401" max="2401" width="11.875" bestFit="1" customWidth="1"/>
    <col min="2402" max="2402" width="9.375" bestFit="1" customWidth="1"/>
    <col min="2403" max="2403" width="11.875" bestFit="1" customWidth="1"/>
    <col min="2404" max="2404" width="9.375" bestFit="1" customWidth="1"/>
    <col min="2405" max="2405" width="11.875" bestFit="1" customWidth="1"/>
    <col min="2406" max="2406" width="9.375" bestFit="1" customWidth="1"/>
    <col min="2407" max="2407" width="11.875" bestFit="1" customWidth="1"/>
    <col min="2408" max="2408" width="9.375" bestFit="1" customWidth="1"/>
    <col min="2409" max="2409" width="11.875" bestFit="1" customWidth="1"/>
    <col min="2410" max="2410" width="9.375" bestFit="1" customWidth="1"/>
    <col min="2411" max="2411" width="11.875" bestFit="1" customWidth="1"/>
    <col min="2412" max="2412" width="9.375" bestFit="1" customWidth="1"/>
    <col min="2413" max="2413" width="11.875" bestFit="1" customWidth="1"/>
    <col min="2414" max="2414" width="9.375" bestFit="1" customWidth="1"/>
    <col min="2415" max="2415" width="11.875" bestFit="1" customWidth="1"/>
    <col min="2416" max="2416" width="9.375" bestFit="1" customWidth="1"/>
    <col min="2417" max="2417" width="11.875" bestFit="1" customWidth="1"/>
    <col min="2418" max="2418" width="9.375" bestFit="1" customWidth="1"/>
    <col min="2419" max="2419" width="11.875" bestFit="1" customWidth="1"/>
    <col min="2420" max="2420" width="9.375" bestFit="1" customWidth="1"/>
    <col min="2421" max="2421" width="11.875" bestFit="1" customWidth="1"/>
    <col min="2422" max="2422" width="9.375" bestFit="1" customWidth="1"/>
    <col min="2423" max="2423" width="11.875" bestFit="1" customWidth="1"/>
    <col min="2424" max="2424" width="9.375" bestFit="1" customWidth="1"/>
    <col min="2425" max="2425" width="11.875" bestFit="1" customWidth="1"/>
    <col min="2426" max="2426" width="9.375" bestFit="1" customWidth="1"/>
    <col min="2427" max="2427" width="11.875" bestFit="1" customWidth="1"/>
    <col min="2428" max="2428" width="9.375" bestFit="1" customWidth="1"/>
    <col min="2429" max="2429" width="11.875" bestFit="1" customWidth="1"/>
    <col min="2430" max="2430" width="9.375" bestFit="1" customWidth="1"/>
    <col min="2431" max="2431" width="11.875" bestFit="1" customWidth="1"/>
    <col min="2432" max="2432" width="9.375" bestFit="1" customWidth="1"/>
    <col min="2433" max="2433" width="11.875" bestFit="1" customWidth="1"/>
    <col min="2434" max="2434" width="9.375" bestFit="1" customWidth="1"/>
    <col min="2435" max="2435" width="11.875" bestFit="1" customWidth="1"/>
    <col min="2436" max="2436" width="9.375" bestFit="1" customWidth="1"/>
    <col min="2437" max="2437" width="11.875" bestFit="1" customWidth="1"/>
    <col min="2438" max="2438" width="9.375" bestFit="1" customWidth="1"/>
    <col min="2439" max="2439" width="11.875" bestFit="1" customWidth="1"/>
    <col min="2440" max="2440" width="9.375" bestFit="1" customWidth="1"/>
    <col min="2441" max="2441" width="7" bestFit="1" customWidth="1"/>
    <col min="2442" max="2442" width="11.875" bestFit="1" customWidth="1"/>
    <col min="2443" max="2443" width="9.375" bestFit="1" customWidth="1"/>
    <col min="2444" max="2444" width="11.875" bestFit="1" customWidth="1"/>
    <col min="2445" max="2445" width="9.375" bestFit="1" customWidth="1"/>
    <col min="2446" max="2446" width="11.875" bestFit="1" customWidth="1"/>
    <col min="2447" max="2447" width="9.375" bestFit="1" customWidth="1"/>
    <col min="2448" max="2448" width="11.875" bestFit="1" customWidth="1"/>
    <col min="2449" max="2449" width="9.375" bestFit="1" customWidth="1"/>
    <col min="2450" max="2450" width="11.875" bestFit="1" customWidth="1"/>
    <col min="2451" max="2451" width="9.375" bestFit="1" customWidth="1"/>
    <col min="2452" max="2452" width="11.875" bestFit="1" customWidth="1"/>
    <col min="2453" max="2453" width="9.375" bestFit="1" customWidth="1"/>
    <col min="2454" max="2454" width="11.875" bestFit="1" customWidth="1"/>
    <col min="2455" max="2455" width="9.375" bestFit="1" customWidth="1"/>
    <col min="2456" max="2456" width="11.875" bestFit="1" customWidth="1"/>
    <col min="2457" max="2457" width="9.375" bestFit="1" customWidth="1"/>
    <col min="2458" max="2458" width="11.875" bestFit="1" customWidth="1"/>
    <col min="2459" max="2459" width="9.375" bestFit="1" customWidth="1"/>
    <col min="2460" max="2460" width="11.875" bestFit="1" customWidth="1"/>
    <col min="2461" max="2461" width="9.375" bestFit="1" customWidth="1"/>
    <col min="2462" max="2462" width="11.875" bestFit="1" customWidth="1"/>
    <col min="2463" max="2463" width="9.375" bestFit="1" customWidth="1"/>
    <col min="2464" max="2464" width="11.875" bestFit="1" customWidth="1"/>
    <col min="2465" max="2465" width="9.375" bestFit="1" customWidth="1"/>
    <col min="2466" max="2466" width="11.875" bestFit="1" customWidth="1"/>
    <col min="2467" max="2467" width="9.375" bestFit="1" customWidth="1"/>
    <col min="2468" max="2468" width="11.875" bestFit="1" customWidth="1"/>
    <col min="2469" max="2469" width="9.375" bestFit="1" customWidth="1"/>
    <col min="2470" max="2470" width="11.875" bestFit="1" customWidth="1"/>
    <col min="2471" max="2471" width="9.375" bestFit="1" customWidth="1"/>
    <col min="2472" max="2472" width="11.875" bestFit="1" customWidth="1"/>
    <col min="2473" max="2473" width="9.375" bestFit="1" customWidth="1"/>
    <col min="2474" max="2474" width="11.875" bestFit="1" customWidth="1"/>
    <col min="2475" max="2475" width="9.375" bestFit="1" customWidth="1"/>
    <col min="2476" max="2476" width="11.875" bestFit="1" customWidth="1"/>
    <col min="2477" max="2477" width="9.375" bestFit="1" customWidth="1"/>
    <col min="2478" max="2478" width="11.875" bestFit="1" customWidth="1"/>
    <col min="2479" max="2479" width="9.375" bestFit="1" customWidth="1"/>
    <col min="2480" max="2480" width="11.875" bestFit="1" customWidth="1"/>
    <col min="2481" max="2481" width="9.375" bestFit="1" customWidth="1"/>
    <col min="2482" max="2482" width="11.875" bestFit="1" customWidth="1"/>
    <col min="2483" max="2483" width="9.375" bestFit="1" customWidth="1"/>
    <col min="2484" max="2484" width="11.875" bestFit="1" customWidth="1"/>
    <col min="2485" max="2485" width="9.375" bestFit="1" customWidth="1"/>
    <col min="2486" max="2486" width="11.875" bestFit="1" customWidth="1"/>
    <col min="2487" max="2487" width="9.375" bestFit="1" customWidth="1"/>
    <col min="2488" max="2488" width="11.875" bestFit="1" customWidth="1"/>
    <col min="2489" max="2489" width="9.375" bestFit="1" customWidth="1"/>
    <col min="2490" max="2490" width="11.875" bestFit="1" customWidth="1"/>
    <col min="2491" max="2491" width="9.375" bestFit="1" customWidth="1"/>
    <col min="2492" max="2492" width="11.875" bestFit="1" customWidth="1"/>
    <col min="2493" max="2493" width="9.375" bestFit="1" customWidth="1"/>
    <col min="2494" max="2494" width="11.875" bestFit="1" customWidth="1"/>
    <col min="2495" max="2495" width="9.375" bestFit="1" customWidth="1"/>
    <col min="2496" max="2496" width="11.875" bestFit="1" customWidth="1"/>
    <col min="2497" max="2497" width="9.375" bestFit="1" customWidth="1"/>
    <col min="2498" max="2498" width="11.875" bestFit="1" customWidth="1"/>
    <col min="2499" max="2499" width="9.375" bestFit="1" customWidth="1"/>
    <col min="2500" max="2500" width="11.875" bestFit="1" customWidth="1"/>
    <col min="2501" max="2501" width="9.375" bestFit="1" customWidth="1"/>
    <col min="2502" max="2502" width="11.875" bestFit="1" customWidth="1"/>
    <col min="2503" max="2503" width="9.375" bestFit="1" customWidth="1"/>
    <col min="2504" max="2504" width="11.875" bestFit="1" customWidth="1"/>
    <col min="2505" max="2505" width="9.375" bestFit="1" customWidth="1"/>
    <col min="2506" max="2506" width="11.875" bestFit="1" customWidth="1"/>
    <col min="2507" max="2507" width="9.375" bestFit="1" customWidth="1"/>
    <col min="2508" max="2508" width="11.875" bestFit="1" customWidth="1"/>
    <col min="2509" max="2509" width="9.375" bestFit="1" customWidth="1"/>
    <col min="2510" max="2510" width="11.875" bestFit="1" customWidth="1"/>
    <col min="2511" max="2511" width="9.375" bestFit="1" customWidth="1"/>
    <col min="2512" max="2512" width="11.875" bestFit="1" customWidth="1"/>
    <col min="2513" max="2513" width="9.375" bestFit="1" customWidth="1"/>
    <col min="2514" max="2514" width="11.875" bestFit="1" customWidth="1"/>
    <col min="2515" max="2515" width="9.375" bestFit="1" customWidth="1"/>
    <col min="2516" max="2516" width="11.875" bestFit="1" customWidth="1"/>
    <col min="2517" max="2517" width="9.375" bestFit="1" customWidth="1"/>
    <col min="2518" max="2518" width="11.875" bestFit="1" customWidth="1"/>
    <col min="2519" max="2519" width="9.375" bestFit="1" customWidth="1"/>
    <col min="2520" max="2520" width="11.875" bestFit="1" customWidth="1"/>
    <col min="2521" max="2521" width="9.375" bestFit="1" customWidth="1"/>
    <col min="2522" max="2522" width="11.875" bestFit="1" customWidth="1"/>
    <col min="2523" max="2523" width="9.375" bestFit="1" customWidth="1"/>
    <col min="2524" max="2524" width="11.875" bestFit="1" customWidth="1"/>
    <col min="2525" max="2525" width="9.375" bestFit="1" customWidth="1"/>
    <col min="2526" max="2526" width="11.875" bestFit="1" customWidth="1"/>
    <col min="2527" max="2527" width="9.375" bestFit="1" customWidth="1"/>
    <col min="2528" max="2528" width="11.875" bestFit="1" customWidth="1"/>
    <col min="2529" max="2529" width="9.375" bestFit="1" customWidth="1"/>
    <col min="2530" max="2530" width="11.875" bestFit="1" customWidth="1"/>
    <col min="2531" max="2531" width="9.375" bestFit="1" customWidth="1"/>
    <col min="2532" max="2532" width="11.875" bestFit="1" customWidth="1"/>
    <col min="2533" max="2533" width="9.375" bestFit="1" customWidth="1"/>
    <col min="2534" max="2534" width="11.875" bestFit="1" customWidth="1"/>
    <col min="2535" max="2535" width="9.375" bestFit="1" customWidth="1"/>
    <col min="2536" max="2536" width="11.875" bestFit="1" customWidth="1"/>
    <col min="2537" max="2537" width="9.375" bestFit="1" customWidth="1"/>
    <col min="2538" max="2538" width="11.875" bestFit="1" customWidth="1"/>
    <col min="2539" max="2539" width="9.375" bestFit="1" customWidth="1"/>
    <col min="2540" max="2540" width="11.875" bestFit="1" customWidth="1"/>
    <col min="2541" max="2541" width="9.375" bestFit="1" customWidth="1"/>
    <col min="2542" max="2542" width="11.875" bestFit="1" customWidth="1"/>
    <col min="2543" max="2543" width="9.375" bestFit="1" customWidth="1"/>
    <col min="2544" max="2544" width="11.875" bestFit="1" customWidth="1"/>
    <col min="2545" max="2545" width="9.375" bestFit="1" customWidth="1"/>
    <col min="2546" max="2546" width="11.875" bestFit="1" customWidth="1"/>
    <col min="2547" max="2547" width="9.375" bestFit="1" customWidth="1"/>
    <col min="2548" max="2548" width="11.875" bestFit="1" customWidth="1"/>
    <col min="2549" max="2549" width="9.375" bestFit="1" customWidth="1"/>
    <col min="2550" max="2550" width="11.875" bestFit="1" customWidth="1"/>
    <col min="2551" max="2551" width="9.375" bestFit="1" customWidth="1"/>
    <col min="2552" max="2552" width="11.875" bestFit="1" customWidth="1"/>
    <col min="2553" max="2553" width="9.375" bestFit="1" customWidth="1"/>
    <col min="2554" max="2554" width="11.875" bestFit="1" customWidth="1"/>
    <col min="2555" max="2555" width="9.375" bestFit="1" customWidth="1"/>
    <col min="2556" max="2556" width="11.875" bestFit="1" customWidth="1"/>
    <col min="2557" max="2557" width="9.375" bestFit="1" customWidth="1"/>
    <col min="2558" max="2558" width="11.875" bestFit="1" customWidth="1"/>
    <col min="2559" max="2559" width="9.375" bestFit="1" customWidth="1"/>
    <col min="2560" max="2560" width="11.875" bestFit="1" customWidth="1"/>
    <col min="2561" max="2561" width="9.375" bestFit="1" customWidth="1"/>
    <col min="2562" max="2562" width="11.875" bestFit="1" customWidth="1"/>
    <col min="2563" max="2563" width="9.375" bestFit="1" customWidth="1"/>
    <col min="2564" max="2564" width="11.875" bestFit="1" customWidth="1"/>
    <col min="2565" max="2565" width="9.375" bestFit="1" customWidth="1"/>
    <col min="2566" max="2566" width="11.875" bestFit="1" customWidth="1"/>
    <col min="2567" max="2567" width="9.375" bestFit="1" customWidth="1"/>
    <col min="2568" max="2568" width="11.875" bestFit="1" customWidth="1"/>
    <col min="2569" max="2569" width="9.375" bestFit="1" customWidth="1"/>
    <col min="2570" max="2570" width="11.875" bestFit="1" customWidth="1"/>
    <col min="2571" max="2571" width="9.375" bestFit="1" customWidth="1"/>
    <col min="2572" max="2572" width="11.875" bestFit="1" customWidth="1"/>
    <col min="2573" max="2573" width="9.375" bestFit="1" customWidth="1"/>
    <col min="2574" max="2574" width="11.875" bestFit="1" customWidth="1"/>
    <col min="2575" max="2575" width="9.375" bestFit="1" customWidth="1"/>
    <col min="2576" max="2576" width="11.875" bestFit="1" customWidth="1"/>
    <col min="2577" max="2577" width="9.375" bestFit="1" customWidth="1"/>
    <col min="2578" max="2578" width="11.875" bestFit="1" customWidth="1"/>
    <col min="2579" max="2579" width="9.375" bestFit="1" customWidth="1"/>
    <col min="2580" max="2580" width="11.875" bestFit="1" customWidth="1"/>
    <col min="2581" max="2581" width="9.375" bestFit="1" customWidth="1"/>
    <col min="2582" max="2582" width="11.875" bestFit="1" customWidth="1"/>
    <col min="2583" max="2583" width="9.375" bestFit="1" customWidth="1"/>
    <col min="2584" max="2584" width="11.875" bestFit="1" customWidth="1"/>
    <col min="2585" max="2585" width="9.375" bestFit="1" customWidth="1"/>
    <col min="2586" max="2586" width="11.875" bestFit="1" customWidth="1"/>
    <col min="2587" max="2587" width="9.375" bestFit="1" customWidth="1"/>
    <col min="2588" max="2588" width="11.875" bestFit="1" customWidth="1"/>
    <col min="2589" max="2589" width="9.375" bestFit="1" customWidth="1"/>
    <col min="2590" max="2590" width="11.875" bestFit="1" customWidth="1"/>
    <col min="2591" max="2591" width="9.375" bestFit="1" customWidth="1"/>
    <col min="2592" max="2592" width="11.875" bestFit="1" customWidth="1"/>
    <col min="2593" max="2593" width="9.375" bestFit="1" customWidth="1"/>
    <col min="2594" max="2594" width="11.875" bestFit="1" customWidth="1"/>
    <col min="2595" max="2595" width="9.375" bestFit="1" customWidth="1"/>
    <col min="2596" max="2596" width="11.875" bestFit="1" customWidth="1"/>
    <col min="2597" max="2597" width="9.375" bestFit="1" customWidth="1"/>
    <col min="2598" max="2598" width="11.875" bestFit="1" customWidth="1"/>
    <col min="2599" max="2599" width="9.375" bestFit="1" customWidth="1"/>
    <col min="2600" max="2600" width="11.875" bestFit="1" customWidth="1"/>
    <col min="2601" max="2601" width="9.375" bestFit="1" customWidth="1"/>
    <col min="2602" max="2602" width="11.875" bestFit="1" customWidth="1"/>
    <col min="2603" max="2603" width="9.375" bestFit="1" customWidth="1"/>
    <col min="2604" max="2604" width="11.875" bestFit="1" customWidth="1"/>
    <col min="2605" max="2605" width="9.375" bestFit="1" customWidth="1"/>
    <col min="2606" max="2606" width="11.875" bestFit="1" customWidth="1"/>
    <col min="2607" max="2607" width="9.375" bestFit="1" customWidth="1"/>
    <col min="2608" max="2608" width="11.875" bestFit="1" customWidth="1"/>
    <col min="2609" max="2609" width="9.375" bestFit="1" customWidth="1"/>
    <col min="2610" max="2610" width="11.875" bestFit="1" customWidth="1"/>
    <col min="2611" max="2611" width="9.375" bestFit="1" customWidth="1"/>
    <col min="2612" max="2612" width="11.875" bestFit="1" customWidth="1"/>
    <col min="2613" max="2613" width="9.375" bestFit="1" customWidth="1"/>
    <col min="2614" max="2614" width="11.875" bestFit="1" customWidth="1"/>
    <col min="2615" max="2615" width="9.375" bestFit="1" customWidth="1"/>
    <col min="2616" max="2616" width="11.875" bestFit="1" customWidth="1"/>
    <col min="2617" max="2617" width="9.375" bestFit="1" customWidth="1"/>
    <col min="2618" max="2618" width="11.875" bestFit="1" customWidth="1"/>
    <col min="2619" max="2619" width="9.375" bestFit="1" customWidth="1"/>
    <col min="2620" max="2620" width="11.875" bestFit="1" customWidth="1"/>
    <col min="2621" max="2621" width="9.375" bestFit="1" customWidth="1"/>
    <col min="2622" max="2622" width="11.875" bestFit="1" customWidth="1"/>
    <col min="2623" max="2623" width="9.375" bestFit="1" customWidth="1"/>
    <col min="2624" max="2624" width="11.875" bestFit="1" customWidth="1"/>
    <col min="2625" max="2625" width="9.375" bestFit="1" customWidth="1"/>
    <col min="2626" max="2626" width="11.875" bestFit="1" customWidth="1"/>
    <col min="2627" max="2627" width="9.375" bestFit="1" customWidth="1"/>
    <col min="2628" max="2628" width="11.875" bestFit="1" customWidth="1"/>
    <col min="2629" max="2629" width="9.375" bestFit="1" customWidth="1"/>
    <col min="2630" max="2630" width="11.875" bestFit="1" customWidth="1"/>
    <col min="2631" max="2631" width="9.375" bestFit="1" customWidth="1"/>
    <col min="2632" max="2632" width="11.875" bestFit="1" customWidth="1"/>
    <col min="2633" max="2633" width="9.375" bestFit="1" customWidth="1"/>
    <col min="2634" max="2634" width="11.875" bestFit="1" customWidth="1"/>
    <col min="2635" max="2635" width="9.375" bestFit="1" customWidth="1"/>
    <col min="2636" max="2636" width="11.875" bestFit="1" customWidth="1"/>
    <col min="2637" max="2637" width="9.375" bestFit="1" customWidth="1"/>
    <col min="2638" max="2638" width="11.875" bestFit="1" customWidth="1"/>
    <col min="2639" max="2639" width="9.375" bestFit="1" customWidth="1"/>
    <col min="2640" max="2640" width="11.875" bestFit="1" customWidth="1"/>
    <col min="2641" max="2641" width="9.375" bestFit="1" customWidth="1"/>
    <col min="2642" max="2642" width="11.875" bestFit="1" customWidth="1"/>
    <col min="2643" max="2643" width="9.375" bestFit="1" customWidth="1"/>
    <col min="2644" max="2644" width="11.875" bestFit="1" customWidth="1"/>
    <col min="2645" max="2645" width="9.375" bestFit="1" customWidth="1"/>
    <col min="2646" max="2646" width="11.875" bestFit="1" customWidth="1"/>
    <col min="2647" max="2647" width="9.375" bestFit="1" customWidth="1"/>
    <col min="2648" max="2648" width="11.875" bestFit="1" customWidth="1"/>
    <col min="2649" max="2649" width="9.375" bestFit="1" customWidth="1"/>
    <col min="2650" max="2650" width="11.875" bestFit="1" customWidth="1"/>
    <col min="2651" max="2651" width="9.375" bestFit="1" customWidth="1"/>
    <col min="2652" max="2652" width="11.875" bestFit="1" customWidth="1"/>
    <col min="2653" max="2653" width="9.375" bestFit="1" customWidth="1"/>
    <col min="2654" max="2654" width="7" bestFit="1" customWidth="1"/>
    <col min="2655" max="2655" width="11.875" bestFit="1" customWidth="1"/>
    <col min="2656" max="2656" width="9.375" bestFit="1" customWidth="1"/>
    <col min="2657" max="2657" width="11.875" bestFit="1" customWidth="1"/>
    <col min="2658" max="2658" width="9.375" bestFit="1" customWidth="1"/>
    <col min="2659" max="2659" width="11.875" bestFit="1" customWidth="1"/>
    <col min="2660" max="2660" width="9.375" bestFit="1" customWidth="1"/>
    <col min="2661" max="2661" width="7" bestFit="1" customWidth="1"/>
    <col min="2662" max="2662" width="11.875" bestFit="1" customWidth="1"/>
    <col min="2663" max="2663" width="9.375" bestFit="1" customWidth="1"/>
    <col min="2664" max="2664" width="11.875" bestFit="1" customWidth="1"/>
    <col min="2665" max="2665" width="9.375" bestFit="1" customWidth="1"/>
    <col min="2666" max="2666" width="11.875" bestFit="1" customWidth="1"/>
    <col min="2667" max="2667" width="9.375" bestFit="1" customWidth="1"/>
    <col min="2668" max="2668" width="11.875" bestFit="1" customWidth="1"/>
    <col min="2669" max="2669" width="9.375" bestFit="1" customWidth="1"/>
    <col min="2670" max="2670" width="11.875" bestFit="1" customWidth="1"/>
    <col min="2671" max="2671" width="9.375" bestFit="1" customWidth="1"/>
    <col min="2672" max="2672" width="11.875" bestFit="1" customWidth="1"/>
    <col min="2673" max="2673" width="9.375" bestFit="1" customWidth="1"/>
    <col min="2674" max="2674" width="11.875" bestFit="1" customWidth="1"/>
    <col min="2675" max="2675" width="9.375" bestFit="1" customWidth="1"/>
    <col min="2676" max="2676" width="11.875" bestFit="1" customWidth="1"/>
    <col min="2677" max="2677" width="9.375" bestFit="1" customWidth="1"/>
    <col min="2678" max="2678" width="11.875" bestFit="1" customWidth="1"/>
    <col min="2679" max="2679" width="9.375" bestFit="1" customWidth="1"/>
    <col min="2680" max="2680" width="11.875" bestFit="1" customWidth="1"/>
    <col min="2681" max="2681" width="9.375" bestFit="1" customWidth="1"/>
    <col min="2682" max="2682" width="11.875" bestFit="1" customWidth="1"/>
    <col min="2683" max="2683" width="9.375" bestFit="1" customWidth="1"/>
    <col min="2684" max="2684" width="11.875" bestFit="1" customWidth="1"/>
    <col min="2685" max="2685" width="9.375" bestFit="1" customWidth="1"/>
    <col min="2686" max="2686" width="11.875" bestFit="1" customWidth="1"/>
    <col min="2687" max="2687" width="9.375" bestFit="1" customWidth="1"/>
    <col min="2688" max="2688" width="11.875" bestFit="1" customWidth="1"/>
    <col min="2689" max="2689" width="9.375" bestFit="1" customWidth="1"/>
    <col min="2690" max="2690" width="11.875" bestFit="1" customWidth="1"/>
    <col min="2691" max="2691" width="9.375" bestFit="1" customWidth="1"/>
    <col min="2692" max="2692" width="11.875" bestFit="1" customWidth="1"/>
    <col min="2693" max="2693" width="9.375" bestFit="1" customWidth="1"/>
    <col min="2694" max="2694" width="11.875" bestFit="1" customWidth="1"/>
    <col min="2695" max="2695" width="9.375" bestFit="1" customWidth="1"/>
    <col min="2696" max="2696" width="11.875" bestFit="1" customWidth="1"/>
    <col min="2697" max="2697" width="9.375" bestFit="1" customWidth="1"/>
    <col min="2698" max="2698" width="11.875" bestFit="1" customWidth="1"/>
    <col min="2699" max="2699" width="9.375" bestFit="1" customWidth="1"/>
    <col min="2700" max="2700" width="11.875" bestFit="1" customWidth="1"/>
    <col min="2701" max="2701" width="9.375" bestFit="1" customWidth="1"/>
    <col min="2702" max="2702" width="11.875" bestFit="1" customWidth="1"/>
    <col min="2703" max="2703" width="9.375" bestFit="1" customWidth="1"/>
    <col min="2704" max="2704" width="11.875" bestFit="1" customWidth="1"/>
    <col min="2705" max="2705" width="9.375" bestFit="1" customWidth="1"/>
    <col min="2706" max="2706" width="11.875" bestFit="1" customWidth="1"/>
    <col min="2707" max="2707" width="9.375" bestFit="1" customWidth="1"/>
    <col min="2708" max="2708" width="11.875" bestFit="1" customWidth="1"/>
    <col min="2709" max="2709" width="9.375" bestFit="1" customWidth="1"/>
    <col min="2710" max="2710" width="11.875" bestFit="1" customWidth="1"/>
    <col min="2711" max="2711" width="9.375" bestFit="1" customWidth="1"/>
    <col min="2712" max="2712" width="11.875" bestFit="1" customWidth="1"/>
    <col min="2713" max="2713" width="9.375" bestFit="1" customWidth="1"/>
    <col min="2714" max="2714" width="11.875" bestFit="1" customWidth="1"/>
    <col min="2715" max="2715" width="9.375" bestFit="1" customWidth="1"/>
    <col min="2716" max="2716" width="11.875" bestFit="1" customWidth="1"/>
    <col min="2717" max="2717" width="9.375" bestFit="1" customWidth="1"/>
    <col min="2718" max="2718" width="11.875" bestFit="1" customWidth="1"/>
    <col min="2719" max="2719" width="9.375" bestFit="1" customWidth="1"/>
    <col min="2720" max="2720" width="11.875" bestFit="1" customWidth="1"/>
    <col min="2721" max="2721" width="9.375" bestFit="1" customWidth="1"/>
    <col min="2722" max="2722" width="11.875" bestFit="1" customWidth="1"/>
    <col min="2723" max="2723" width="9.375" bestFit="1" customWidth="1"/>
    <col min="2724" max="2724" width="11.875" bestFit="1" customWidth="1"/>
    <col min="2725" max="2725" width="9.375" bestFit="1" customWidth="1"/>
    <col min="2726" max="2726" width="11.875" bestFit="1" customWidth="1"/>
    <col min="2727" max="2727" width="9.375" bestFit="1" customWidth="1"/>
    <col min="2728" max="2728" width="11.875" bestFit="1" customWidth="1"/>
    <col min="2729" max="2729" width="9.375" bestFit="1" customWidth="1"/>
    <col min="2730" max="2730" width="11.875" bestFit="1" customWidth="1"/>
    <col min="2731" max="2731" width="9.375" bestFit="1" customWidth="1"/>
    <col min="2732" max="2732" width="11.875" bestFit="1" customWidth="1"/>
    <col min="2733" max="2733" width="9.375" bestFit="1" customWidth="1"/>
    <col min="2734" max="2734" width="11.875" bestFit="1" customWidth="1"/>
    <col min="2735" max="2735" width="9.375" bestFit="1" customWidth="1"/>
    <col min="2736" max="2736" width="11.875" bestFit="1" customWidth="1"/>
    <col min="2737" max="2737" width="9.375" bestFit="1" customWidth="1"/>
    <col min="2738" max="2738" width="11.875" bestFit="1" customWidth="1"/>
    <col min="2739" max="2739" width="9.375" bestFit="1" customWidth="1"/>
    <col min="2740" max="2740" width="11.875" bestFit="1" customWidth="1"/>
    <col min="2741" max="2741" width="9.375" bestFit="1" customWidth="1"/>
    <col min="2742" max="2742" width="11.875" bestFit="1" customWidth="1"/>
    <col min="2743" max="2743" width="9.375" bestFit="1" customWidth="1"/>
    <col min="2744" max="2744" width="11.875" bestFit="1" customWidth="1"/>
    <col min="2745" max="2745" width="9.375" bestFit="1" customWidth="1"/>
    <col min="2746" max="2746" width="11.875" bestFit="1" customWidth="1"/>
    <col min="2747" max="2747" width="9.375" bestFit="1" customWidth="1"/>
    <col min="2748" max="2748" width="11.875" bestFit="1" customWidth="1"/>
    <col min="2749" max="2749" width="9.375" bestFit="1" customWidth="1"/>
    <col min="2750" max="2750" width="11.875" bestFit="1" customWidth="1"/>
    <col min="2751" max="2751" width="9.375" bestFit="1" customWidth="1"/>
    <col min="2752" max="2752" width="11.875" bestFit="1" customWidth="1"/>
    <col min="2753" max="2753" width="9.375" bestFit="1" customWidth="1"/>
    <col min="2754" max="2754" width="11.875" bestFit="1" customWidth="1"/>
    <col min="2755" max="2755" width="9.375" bestFit="1" customWidth="1"/>
    <col min="2756" max="2756" width="11.875" bestFit="1" customWidth="1"/>
    <col min="2757" max="2757" width="9.375" bestFit="1" customWidth="1"/>
    <col min="2758" max="2758" width="11.875" bestFit="1" customWidth="1"/>
    <col min="2759" max="2759" width="9.375" bestFit="1" customWidth="1"/>
    <col min="2760" max="2760" width="11.875" bestFit="1" customWidth="1"/>
    <col min="2761" max="2761" width="9.375" bestFit="1" customWidth="1"/>
    <col min="2762" max="2762" width="11.875" bestFit="1" customWidth="1"/>
    <col min="2763" max="2763" width="9.375" bestFit="1" customWidth="1"/>
    <col min="2764" max="2764" width="11.875" bestFit="1" customWidth="1"/>
    <col min="2765" max="2765" width="9.375" bestFit="1" customWidth="1"/>
    <col min="2766" max="2766" width="11.875" bestFit="1" customWidth="1"/>
    <col min="2767" max="2767" width="9.375" bestFit="1" customWidth="1"/>
    <col min="2768" max="2768" width="11.875" bestFit="1" customWidth="1"/>
    <col min="2769" max="2769" width="9.375" bestFit="1" customWidth="1"/>
    <col min="2770" max="2770" width="11.875" bestFit="1" customWidth="1"/>
    <col min="2771" max="2771" width="9.375" bestFit="1" customWidth="1"/>
    <col min="2772" max="2772" width="11.875" bestFit="1" customWidth="1"/>
    <col min="2773" max="2773" width="9.375" bestFit="1" customWidth="1"/>
    <col min="2774" max="2774" width="11.875" bestFit="1" customWidth="1"/>
    <col min="2775" max="2775" width="9.375" bestFit="1" customWidth="1"/>
    <col min="2776" max="2776" width="11.875" bestFit="1" customWidth="1"/>
    <col min="2777" max="2777" width="9.375" bestFit="1" customWidth="1"/>
    <col min="2778" max="2778" width="11.875" bestFit="1" customWidth="1"/>
    <col min="2779" max="2779" width="9.375" bestFit="1" customWidth="1"/>
    <col min="2780" max="2780" width="11.875" bestFit="1" customWidth="1"/>
    <col min="2781" max="2781" width="9.375" bestFit="1" customWidth="1"/>
    <col min="2782" max="2782" width="11.875" bestFit="1" customWidth="1"/>
    <col min="2783" max="2783" width="9.375" bestFit="1" customWidth="1"/>
    <col min="2784" max="2784" width="11.875" bestFit="1" customWidth="1"/>
    <col min="2785" max="2785" width="9.375" bestFit="1" customWidth="1"/>
    <col min="2786" max="2786" width="11.875" bestFit="1" customWidth="1"/>
    <col min="2787" max="2787" width="9.375" bestFit="1" customWidth="1"/>
    <col min="2788" max="2788" width="11.875" bestFit="1" customWidth="1"/>
    <col min="2789" max="2789" width="9.375" bestFit="1" customWidth="1"/>
    <col min="2790" max="2790" width="11.875" bestFit="1" customWidth="1"/>
    <col min="2791" max="2791" width="9.375" bestFit="1" customWidth="1"/>
    <col min="2792" max="2792" width="11.875" bestFit="1" customWidth="1"/>
    <col min="2793" max="2793" width="9.375" bestFit="1" customWidth="1"/>
    <col min="2794" max="2794" width="11.875" bestFit="1" customWidth="1"/>
    <col min="2795" max="2795" width="9.375" bestFit="1" customWidth="1"/>
    <col min="2796" max="2796" width="11.875" bestFit="1" customWidth="1"/>
    <col min="2797" max="2797" width="9.375" bestFit="1" customWidth="1"/>
    <col min="2798" max="2798" width="11.875" bestFit="1" customWidth="1"/>
    <col min="2799" max="2799" width="9.375" bestFit="1" customWidth="1"/>
    <col min="2800" max="2800" width="11.875" bestFit="1" customWidth="1"/>
    <col min="2801" max="2801" width="9.375" bestFit="1" customWidth="1"/>
    <col min="2802" max="2802" width="11.875" bestFit="1" customWidth="1"/>
    <col min="2803" max="2803" width="9.375" bestFit="1" customWidth="1"/>
    <col min="2804" max="2804" width="11.875" bestFit="1" customWidth="1"/>
    <col min="2805" max="2805" width="9.375" bestFit="1" customWidth="1"/>
    <col min="2806" max="2806" width="11.875" bestFit="1" customWidth="1"/>
    <col min="2807" max="2807" width="9.375" bestFit="1" customWidth="1"/>
    <col min="2808" max="2808" width="11.875" bestFit="1" customWidth="1"/>
    <col min="2809" max="2809" width="9.375" bestFit="1" customWidth="1"/>
    <col min="2810" max="2810" width="11.875" bestFit="1" customWidth="1"/>
    <col min="2811" max="2811" width="9.375" bestFit="1" customWidth="1"/>
    <col min="2812" max="2812" width="11.875" bestFit="1" customWidth="1"/>
    <col min="2813" max="2813" width="9.375" bestFit="1" customWidth="1"/>
    <col min="2814" max="2814" width="11.875" bestFit="1" customWidth="1"/>
    <col min="2815" max="2815" width="9.375" bestFit="1" customWidth="1"/>
    <col min="2816" max="2816" width="11.875" bestFit="1" customWidth="1"/>
    <col min="2817" max="2817" width="9.375" bestFit="1" customWidth="1"/>
    <col min="2818" max="2818" width="11.875" bestFit="1" customWidth="1"/>
    <col min="2819" max="2819" width="9.375" bestFit="1" customWidth="1"/>
    <col min="2820" max="2820" width="11.875" bestFit="1" customWidth="1"/>
    <col min="2821" max="2821" width="9.375" bestFit="1" customWidth="1"/>
    <col min="2822" max="2822" width="11.875" bestFit="1" customWidth="1"/>
    <col min="2823" max="2823" width="9.375" bestFit="1" customWidth="1"/>
    <col min="2824" max="2824" width="11.875" bestFit="1" customWidth="1"/>
    <col min="2825" max="2825" width="9.375" bestFit="1" customWidth="1"/>
    <col min="2826" max="2826" width="11.875" bestFit="1" customWidth="1"/>
    <col min="2827" max="2827" width="9.375" bestFit="1" customWidth="1"/>
    <col min="2828" max="2828" width="11.875" bestFit="1" customWidth="1"/>
    <col min="2829" max="2829" width="9.375" bestFit="1" customWidth="1"/>
    <col min="2830" max="2830" width="11.875" bestFit="1" customWidth="1"/>
    <col min="2831" max="2831" width="9.375" bestFit="1" customWidth="1"/>
    <col min="2832" max="2832" width="11.875" bestFit="1" customWidth="1"/>
    <col min="2833" max="2833" width="9.375" bestFit="1" customWidth="1"/>
    <col min="2834" max="2834" width="11.875" bestFit="1" customWidth="1"/>
    <col min="2835" max="2835" width="9.375" bestFit="1" customWidth="1"/>
    <col min="2836" max="2836" width="11.875" bestFit="1" customWidth="1"/>
    <col min="2837" max="2837" width="9.375" bestFit="1" customWidth="1"/>
    <col min="2838" max="2838" width="11.875" bestFit="1" customWidth="1"/>
    <col min="2839" max="2839" width="9.375" bestFit="1" customWidth="1"/>
    <col min="2840" max="2840" width="11.875" bestFit="1" customWidth="1"/>
    <col min="2841" max="2841" width="9.375" bestFit="1" customWidth="1"/>
    <col min="2842" max="2842" width="11.875" bestFit="1" customWidth="1"/>
    <col min="2843" max="2843" width="9.375" bestFit="1" customWidth="1"/>
    <col min="2844" max="2844" width="11.875" bestFit="1" customWidth="1"/>
    <col min="2845" max="2845" width="9.375" bestFit="1" customWidth="1"/>
    <col min="2846" max="2846" width="11.875" bestFit="1" customWidth="1"/>
    <col min="2847" max="2847" width="9.375" bestFit="1" customWidth="1"/>
    <col min="2848" max="2848" width="11.875" bestFit="1" customWidth="1"/>
    <col min="2849" max="2849" width="9.375" bestFit="1" customWidth="1"/>
    <col min="2850" max="2850" width="11.875" bestFit="1" customWidth="1"/>
    <col min="2851" max="2851" width="9.375" bestFit="1" customWidth="1"/>
    <col min="2852" max="2852" width="11.875" bestFit="1" customWidth="1"/>
    <col min="2853" max="2853" width="9.375" bestFit="1" customWidth="1"/>
    <col min="2854" max="2854" width="11.875" bestFit="1" customWidth="1"/>
    <col min="2855" max="2855" width="9.375" bestFit="1" customWidth="1"/>
    <col min="2856" max="2856" width="11.875" bestFit="1" customWidth="1"/>
    <col min="2857" max="2857" width="9.375" bestFit="1" customWidth="1"/>
    <col min="2858" max="2858" width="11.875" bestFit="1" customWidth="1"/>
    <col min="2859" max="2859" width="9.375" bestFit="1" customWidth="1"/>
    <col min="2860" max="2860" width="11.875" bestFit="1" customWidth="1"/>
    <col min="2861" max="2861" width="9.375" bestFit="1" customWidth="1"/>
    <col min="2862" max="2862" width="11.875" bestFit="1" customWidth="1"/>
    <col min="2863" max="2863" width="9.375" bestFit="1" customWidth="1"/>
    <col min="2864" max="2864" width="11.875" bestFit="1" customWidth="1"/>
    <col min="2865" max="2865" width="9.375" bestFit="1" customWidth="1"/>
    <col min="2866" max="2866" width="11.875" bestFit="1" customWidth="1"/>
    <col min="2867" max="2867" width="9.375" bestFit="1" customWidth="1"/>
    <col min="2868" max="2868" width="11.875" bestFit="1" customWidth="1"/>
    <col min="2869" max="2869" width="9.375" bestFit="1" customWidth="1"/>
    <col min="2870" max="2870" width="11.875" bestFit="1" customWidth="1"/>
    <col min="2871" max="2871" width="9.375" bestFit="1" customWidth="1"/>
    <col min="2872" max="2872" width="11.875" bestFit="1" customWidth="1"/>
    <col min="2873" max="2873" width="9.375" bestFit="1" customWidth="1"/>
    <col min="2874" max="2874" width="11.875" bestFit="1" customWidth="1"/>
    <col min="2875" max="2875" width="9.375" bestFit="1" customWidth="1"/>
    <col min="2876" max="2876" width="11.875" bestFit="1" customWidth="1"/>
    <col min="2877" max="2877" width="9.375" bestFit="1" customWidth="1"/>
    <col min="2878" max="2878" width="11.875" bestFit="1" customWidth="1"/>
    <col min="2879" max="2879" width="9.375" bestFit="1" customWidth="1"/>
    <col min="2880" max="2880" width="11.875" bestFit="1" customWidth="1"/>
    <col min="2881" max="2881" width="9.375" bestFit="1" customWidth="1"/>
    <col min="2882" max="2882" width="11.875" bestFit="1" customWidth="1"/>
    <col min="2883" max="2883" width="9.375" bestFit="1" customWidth="1"/>
    <col min="2884" max="2884" width="11.875" bestFit="1" customWidth="1"/>
    <col min="2885" max="2885" width="9.375" bestFit="1" customWidth="1"/>
    <col min="2886" max="2886" width="11.875" bestFit="1" customWidth="1"/>
    <col min="2887" max="2887" width="9.375" bestFit="1" customWidth="1"/>
    <col min="2888" max="2888" width="11.875" bestFit="1" customWidth="1"/>
    <col min="2889" max="2889" width="9.375" bestFit="1" customWidth="1"/>
    <col min="2890" max="2890" width="11.875" bestFit="1" customWidth="1"/>
    <col min="2891" max="2891" width="9.375" bestFit="1" customWidth="1"/>
    <col min="2892" max="2892" width="11.875" bestFit="1" customWidth="1"/>
    <col min="2893" max="2893" width="9.375" bestFit="1" customWidth="1"/>
    <col min="2894" max="2894" width="11.875" bestFit="1" customWidth="1"/>
    <col min="2895" max="2895" width="9.375" bestFit="1" customWidth="1"/>
    <col min="2896" max="2896" width="11.875" bestFit="1" customWidth="1"/>
    <col min="2897" max="2897" width="9.375" bestFit="1" customWidth="1"/>
    <col min="2898" max="2898" width="11.875" bestFit="1" customWidth="1"/>
    <col min="2899" max="2899" width="9.375" bestFit="1" customWidth="1"/>
    <col min="2900" max="2900" width="11.875" bestFit="1" customWidth="1"/>
    <col min="2901" max="2901" width="9.375" bestFit="1" customWidth="1"/>
    <col min="2902" max="2902" width="11.875" bestFit="1" customWidth="1"/>
    <col min="2903" max="2903" width="9.375" bestFit="1" customWidth="1"/>
    <col min="2904" max="2904" width="11.875" bestFit="1" customWidth="1"/>
    <col min="2905" max="2905" width="9.375" bestFit="1" customWidth="1"/>
    <col min="2906" max="2906" width="11.875" bestFit="1" customWidth="1"/>
    <col min="2907" max="2907" width="9.375" bestFit="1" customWidth="1"/>
    <col min="2908" max="2908" width="11.875" bestFit="1" customWidth="1"/>
    <col min="2909" max="2909" width="9.375" bestFit="1" customWidth="1"/>
    <col min="2910" max="2910" width="11.875" bestFit="1" customWidth="1"/>
    <col min="2911" max="2911" width="9.375" bestFit="1" customWidth="1"/>
    <col min="2912" max="2912" width="11.875" bestFit="1" customWidth="1"/>
    <col min="2913" max="2913" width="9.375" bestFit="1" customWidth="1"/>
    <col min="2914" max="2914" width="11.875" bestFit="1" customWidth="1"/>
    <col min="2915" max="2915" width="9.375" bestFit="1" customWidth="1"/>
    <col min="2916" max="2916" width="11.875" bestFit="1" customWidth="1"/>
    <col min="2917" max="2917" width="9.375" bestFit="1" customWidth="1"/>
    <col min="2918" max="2918" width="11.875" bestFit="1" customWidth="1"/>
    <col min="2919" max="2919" width="9.375" bestFit="1" customWidth="1"/>
    <col min="2920" max="2920" width="11.875" bestFit="1" customWidth="1"/>
    <col min="2921" max="2921" width="9.375" bestFit="1" customWidth="1"/>
    <col min="2922" max="2922" width="11.875" bestFit="1" customWidth="1"/>
    <col min="2923" max="2923" width="9.375" bestFit="1" customWidth="1"/>
    <col min="2924" max="2924" width="11.875" bestFit="1" customWidth="1"/>
    <col min="2925" max="2925" width="9.375" bestFit="1" customWidth="1"/>
    <col min="2926" max="2926" width="11.875" bestFit="1" customWidth="1"/>
    <col min="2927" max="2927" width="9.375" bestFit="1" customWidth="1"/>
    <col min="2928" max="2928" width="11.875" bestFit="1" customWidth="1"/>
    <col min="2929" max="2929" width="9.375" bestFit="1" customWidth="1"/>
    <col min="2930" max="2930" width="11.875" bestFit="1" customWidth="1"/>
    <col min="2931" max="2931" width="9.375" bestFit="1" customWidth="1"/>
    <col min="2932" max="2932" width="11.875" bestFit="1" customWidth="1"/>
    <col min="2933" max="2933" width="9.375" bestFit="1" customWidth="1"/>
    <col min="2934" max="2934" width="11.875" bestFit="1" customWidth="1"/>
    <col min="2935" max="2935" width="9.375" bestFit="1" customWidth="1"/>
    <col min="2936" max="2936" width="11.875" bestFit="1" customWidth="1"/>
    <col min="2937" max="2937" width="9.375" bestFit="1" customWidth="1"/>
    <col min="2938" max="2938" width="11.875" bestFit="1" customWidth="1"/>
    <col min="2939" max="2939" width="9.375" bestFit="1" customWidth="1"/>
    <col min="2940" max="2940" width="11.875" bestFit="1" customWidth="1"/>
    <col min="2941" max="2941" width="9.375" bestFit="1" customWidth="1"/>
    <col min="2942" max="2942" width="11.875" bestFit="1" customWidth="1"/>
    <col min="2943" max="2943" width="9.375" bestFit="1" customWidth="1"/>
    <col min="2944" max="2944" width="11.875" bestFit="1" customWidth="1"/>
    <col min="2945" max="2945" width="9.375" bestFit="1" customWidth="1"/>
    <col min="2946" max="2946" width="11.875" bestFit="1" customWidth="1"/>
    <col min="2947" max="2947" width="9.375" bestFit="1" customWidth="1"/>
    <col min="2948" max="2948" width="11.875" bestFit="1" customWidth="1"/>
    <col min="2949" max="2949" width="9.375" bestFit="1" customWidth="1"/>
    <col min="2950" max="2950" width="11.875" bestFit="1" customWidth="1"/>
    <col min="2951" max="2951" width="9.375" bestFit="1" customWidth="1"/>
    <col min="2952" max="2952" width="11.875" bestFit="1" customWidth="1"/>
    <col min="2953" max="2953" width="9.375" bestFit="1" customWidth="1"/>
    <col min="2954" max="2954" width="11.875" bestFit="1" customWidth="1"/>
    <col min="2955" max="2955" width="9.375" bestFit="1" customWidth="1"/>
    <col min="2956" max="2956" width="11.875" bestFit="1" customWidth="1"/>
    <col min="2957" max="2957" width="9.375" bestFit="1" customWidth="1"/>
    <col min="2958" max="2958" width="11.875" bestFit="1" customWidth="1"/>
    <col min="2959" max="2959" width="9.375" bestFit="1" customWidth="1"/>
    <col min="2960" max="2960" width="11.875" bestFit="1" customWidth="1"/>
    <col min="2961" max="2961" width="9.375" bestFit="1" customWidth="1"/>
    <col min="2962" max="2962" width="11.875" bestFit="1" customWidth="1"/>
    <col min="2963" max="2963" width="9.375" bestFit="1" customWidth="1"/>
    <col min="2964" max="2964" width="11.875" bestFit="1" customWidth="1"/>
    <col min="2965" max="2965" width="9.375" bestFit="1" customWidth="1"/>
    <col min="2966" max="2966" width="11.875" bestFit="1" customWidth="1"/>
    <col min="2967" max="2967" width="9.375" bestFit="1" customWidth="1"/>
    <col min="2968" max="2968" width="11.875" bestFit="1" customWidth="1"/>
    <col min="2969" max="2969" width="9.375" bestFit="1" customWidth="1"/>
    <col min="2970" max="2970" width="11.875" bestFit="1" customWidth="1"/>
    <col min="2971" max="2971" width="9.375" bestFit="1" customWidth="1"/>
    <col min="2972" max="2972" width="11.875" bestFit="1" customWidth="1"/>
    <col min="2973" max="2973" width="9.375" bestFit="1" customWidth="1"/>
    <col min="2974" max="2974" width="11.875" bestFit="1" customWidth="1"/>
    <col min="2975" max="2975" width="9.375" bestFit="1" customWidth="1"/>
    <col min="2976" max="2976" width="11.875" bestFit="1" customWidth="1"/>
    <col min="2977" max="2977" width="9.375" bestFit="1" customWidth="1"/>
    <col min="2978" max="2978" width="11.875" bestFit="1" customWidth="1"/>
    <col min="2979" max="2979" width="9.375" bestFit="1" customWidth="1"/>
    <col min="2980" max="2980" width="11.875" bestFit="1" customWidth="1"/>
    <col min="2981" max="2981" width="9.375" bestFit="1" customWidth="1"/>
    <col min="2982" max="2982" width="11.875" bestFit="1" customWidth="1"/>
    <col min="2983" max="2983" width="9.375" bestFit="1" customWidth="1"/>
    <col min="2984" max="2984" width="11.875" bestFit="1" customWidth="1"/>
    <col min="2985" max="2985" width="9.375" bestFit="1" customWidth="1"/>
    <col min="2986" max="2986" width="11.875" bestFit="1" customWidth="1"/>
    <col min="2987" max="2987" width="9.375" bestFit="1" customWidth="1"/>
    <col min="2988" max="2988" width="11.875" bestFit="1" customWidth="1"/>
    <col min="2989" max="2989" width="9.375" bestFit="1" customWidth="1"/>
    <col min="2990" max="2990" width="11.875" bestFit="1" customWidth="1"/>
    <col min="2991" max="2991" width="9.375" bestFit="1" customWidth="1"/>
    <col min="2992" max="2992" width="11.875" bestFit="1" customWidth="1"/>
    <col min="2993" max="2993" width="9.375" bestFit="1" customWidth="1"/>
    <col min="2994" max="2994" width="11.875" bestFit="1" customWidth="1"/>
    <col min="2995" max="2995" width="9.375" bestFit="1" customWidth="1"/>
    <col min="2996" max="2996" width="11.875" bestFit="1" customWidth="1"/>
    <col min="2997" max="2997" width="9.375" bestFit="1" customWidth="1"/>
    <col min="2998" max="2998" width="11.875" bestFit="1" customWidth="1"/>
    <col min="2999" max="2999" width="9.375" bestFit="1" customWidth="1"/>
    <col min="3000" max="3000" width="6.625" bestFit="1" customWidth="1"/>
    <col min="3001" max="3001" width="11.875" bestFit="1" customWidth="1"/>
    <col min="3002" max="3002" width="9.375" bestFit="1" customWidth="1"/>
    <col min="3003" max="3003" width="11.875" bestFit="1" customWidth="1"/>
    <col min="3004" max="3004" width="9.375" bestFit="1" customWidth="1"/>
    <col min="3005" max="3005" width="11.875" bestFit="1" customWidth="1"/>
    <col min="3006" max="3006" width="9.375" bestFit="1" customWidth="1"/>
    <col min="3007" max="3007" width="11.875" bestFit="1" customWidth="1"/>
    <col min="3008" max="3008" width="9.375" bestFit="1" customWidth="1"/>
    <col min="3009" max="3009" width="11.875" bestFit="1" customWidth="1"/>
    <col min="3010" max="3010" width="9.375" bestFit="1" customWidth="1"/>
    <col min="3011" max="3011" width="11.875" bestFit="1" customWidth="1"/>
    <col min="3012" max="3012" width="9.375" bestFit="1" customWidth="1"/>
    <col min="3013" max="3013" width="11.875" bestFit="1" customWidth="1"/>
    <col min="3014" max="3014" width="9.375" bestFit="1" customWidth="1"/>
    <col min="3015" max="3015" width="11.875" bestFit="1" customWidth="1"/>
    <col min="3016" max="3016" width="9.375" bestFit="1" customWidth="1"/>
    <col min="3017" max="3017" width="11.875" bestFit="1" customWidth="1"/>
    <col min="3018" max="3018" width="9.375" bestFit="1" customWidth="1"/>
    <col min="3019" max="3019" width="11.875" bestFit="1" customWidth="1"/>
    <col min="3020" max="3020" width="9.375" bestFit="1" customWidth="1"/>
    <col min="3021" max="3021" width="11.875" bestFit="1" customWidth="1"/>
    <col min="3022" max="3022" width="9.375" bestFit="1" customWidth="1"/>
    <col min="3023" max="3023" width="11.875" bestFit="1" customWidth="1"/>
    <col min="3024" max="3024" width="9.375" bestFit="1" customWidth="1"/>
    <col min="3025" max="3025" width="7" bestFit="1" customWidth="1"/>
    <col min="3026" max="3026" width="11.875" bestFit="1" customWidth="1"/>
    <col min="3027" max="3027" width="9.375" bestFit="1" customWidth="1"/>
    <col min="3028" max="3028" width="11.875" bestFit="1" customWidth="1"/>
    <col min="3029" max="3029" width="9.375" bestFit="1" customWidth="1"/>
    <col min="3030" max="3030" width="11.875" bestFit="1" customWidth="1"/>
    <col min="3031" max="3031" width="9.375" bestFit="1" customWidth="1"/>
    <col min="3032" max="3032" width="11.875" bestFit="1" customWidth="1"/>
    <col min="3033" max="3033" width="9.375" bestFit="1" customWidth="1"/>
    <col min="3034" max="3034" width="11.875" bestFit="1" customWidth="1"/>
    <col min="3035" max="3035" width="9.375" bestFit="1" customWidth="1"/>
    <col min="3036" max="3036" width="11.875" bestFit="1" customWidth="1"/>
    <col min="3037" max="3037" width="9.375" bestFit="1" customWidth="1"/>
    <col min="3038" max="3038" width="11.875" bestFit="1" customWidth="1"/>
    <col min="3039" max="3039" width="9.375" bestFit="1" customWidth="1"/>
    <col min="3040" max="3040" width="11.875" bestFit="1" customWidth="1"/>
    <col min="3041" max="3041" width="9.375" bestFit="1" customWidth="1"/>
    <col min="3042" max="3042" width="11.875" bestFit="1" customWidth="1"/>
    <col min="3043" max="3043" width="9.375" bestFit="1" customWidth="1"/>
    <col min="3044" max="3044" width="11.875" bestFit="1" customWidth="1"/>
    <col min="3045" max="3045" width="9.375" bestFit="1" customWidth="1"/>
    <col min="3046" max="3046" width="11.875" bestFit="1" customWidth="1"/>
    <col min="3047" max="3047" width="9.375" bestFit="1" customWidth="1"/>
    <col min="3048" max="3048" width="11.875" bestFit="1" customWidth="1"/>
    <col min="3049" max="3049" width="9.375" bestFit="1" customWidth="1"/>
    <col min="3050" max="3050" width="11.875" bestFit="1" customWidth="1"/>
    <col min="3051" max="3051" width="9.375" bestFit="1" customWidth="1"/>
    <col min="3052" max="3052" width="11.875" bestFit="1" customWidth="1"/>
    <col min="3053" max="3053" width="9.375" bestFit="1" customWidth="1"/>
    <col min="3054" max="3054" width="11.875" bestFit="1" customWidth="1"/>
    <col min="3055" max="3055" width="9.375" bestFit="1" customWidth="1"/>
    <col min="3056" max="3056" width="11.875" bestFit="1" customWidth="1"/>
    <col min="3057" max="3057" width="9.375" bestFit="1" customWidth="1"/>
    <col min="3058" max="3058" width="11.875" bestFit="1" customWidth="1"/>
    <col min="3059" max="3059" width="9.375" bestFit="1" customWidth="1"/>
    <col min="3060" max="3060" width="11.875" bestFit="1" customWidth="1"/>
    <col min="3061" max="3061" width="9.375" bestFit="1" customWidth="1"/>
    <col min="3062" max="3062" width="11.875" bestFit="1" customWidth="1"/>
    <col min="3063" max="3063" width="9.375" bestFit="1" customWidth="1"/>
    <col min="3064" max="3064" width="11.875" bestFit="1" customWidth="1"/>
    <col min="3065" max="3065" width="9.375" bestFit="1" customWidth="1"/>
    <col min="3066" max="3066" width="11.875" bestFit="1" customWidth="1"/>
    <col min="3067" max="3067" width="9.375" bestFit="1" customWidth="1"/>
    <col min="3068" max="3068" width="11.875" bestFit="1" customWidth="1"/>
    <col min="3069" max="3069" width="9.375" bestFit="1" customWidth="1"/>
    <col min="3070" max="3070" width="11.875" bestFit="1" customWidth="1"/>
    <col min="3071" max="3071" width="9.375" bestFit="1" customWidth="1"/>
    <col min="3072" max="3072" width="11.875" bestFit="1" customWidth="1"/>
    <col min="3073" max="3073" width="9.375" bestFit="1" customWidth="1"/>
    <col min="3074" max="3074" width="11.875" bestFit="1" customWidth="1"/>
    <col min="3075" max="3075" width="9.375" bestFit="1" customWidth="1"/>
    <col min="3076" max="3076" width="11.875" bestFit="1" customWidth="1"/>
    <col min="3077" max="3077" width="9.375" bestFit="1" customWidth="1"/>
    <col min="3078" max="3078" width="11.875" bestFit="1" customWidth="1"/>
    <col min="3079" max="3079" width="9.375" bestFit="1" customWidth="1"/>
    <col min="3080" max="3080" width="11.875" bestFit="1" customWidth="1"/>
    <col min="3081" max="3081" width="9.375" bestFit="1" customWidth="1"/>
    <col min="3082" max="3082" width="11.875" bestFit="1" customWidth="1"/>
    <col min="3083" max="3083" width="9.375" bestFit="1" customWidth="1"/>
    <col min="3084" max="3084" width="11.875" bestFit="1" customWidth="1"/>
    <col min="3085" max="3085" width="9.375" bestFit="1" customWidth="1"/>
    <col min="3086" max="3086" width="11.875" bestFit="1" customWidth="1"/>
    <col min="3087" max="3087" width="9.375" bestFit="1" customWidth="1"/>
    <col min="3088" max="3088" width="11.875" bestFit="1" customWidth="1"/>
    <col min="3089" max="3089" width="9.375" bestFit="1" customWidth="1"/>
    <col min="3090" max="3090" width="11.875" bestFit="1" customWidth="1"/>
    <col min="3091" max="3091" width="9.375" bestFit="1" customWidth="1"/>
    <col min="3092" max="3092" width="11.875" bestFit="1" customWidth="1"/>
    <col min="3093" max="3093" width="9.375" bestFit="1" customWidth="1"/>
    <col min="3094" max="3094" width="11.875" bestFit="1" customWidth="1"/>
    <col min="3095" max="3095" width="9.375" bestFit="1" customWidth="1"/>
    <col min="3096" max="3096" width="11.875" bestFit="1" customWidth="1"/>
    <col min="3097" max="3097" width="9.375" bestFit="1" customWidth="1"/>
    <col min="3098" max="3098" width="11.875" bestFit="1" customWidth="1"/>
    <col min="3099" max="3099" width="9.375" bestFit="1" customWidth="1"/>
    <col min="3100" max="3100" width="11.875" bestFit="1" customWidth="1"/>
    <col min="3101" max="3101" width="9.375" bestFit="1" customWidth="1"/>
    <col min="3102" max="3102" width="11.875" bestFit="1" customWidth="1"/>
    <col min="3103" max="3103" width="9.375" bestFit="1" customWidth="1"/>
    <col min="3104" max="3104" width="11.875" bestFit="1" customWidth="1"/>
    <col min="3105" max="3105" width="9.375" bestFit="1" customWidth="1"/>
    <col min="3106" max="3106" width="11.875" bestFit="1" customWidth="1"/>
    <col min="3107" max="3107" width="9.375" bestFit="1" customWidth="1"/>
    <col min="3108" max="3108" width="11.875" bestFit="1" customWidth="1"/>
    <col min="3109" max="3109" width="9.375" bestFit="1" customWidth="1"/>
    <col min="3110" max="3110" width="11.875" bestFit="1" customWidth="1"/>
    <col min="3111" max="3111" width="9.375" bestFit="1" customWidth="1"/>
    <col min="3112" max="3112" width="11.875" bestFit="1" customWidth="1"/>
    <col min="3113" max="3113" width="9.375" bestFit="1" customWidth="1"/>
    <col min="3114" max="3114" width="11.875" bestFit="1" customWidth="1"/>
    <col min="3115" max="3115" width="9.375" bestFit="1" customWidth="1"/>
    <col min="3116" max="3116" width="11.875" bestFit="1" customWidth="1"/>
    <col min="3117" max="3117" width="9.375" bestFit="1" customWidth="1"/>
    <col min="3118" max="3118" width="11.875" bestFit="1" customWidth="1"/>
    <col min="3119" max="3119" width="9.375" bestFit="1" customWidth="1"/>
    <col min="3120" max="3120" width="11.875" bestFit="1" customWidth="1"/>
    <col min="3121" max="3121" width="9.375" bestFit="1" customWidth="1"/>
    <col min="3122" max="3122" width="7" bestFit="1" customWidth="1"/>
    <col min="3123" max="3123" width="11.875" bestFit="1" customWidth="1"/>
    <col min="3124" max="3124" width="9.375" bestFit="1" customWidth="1"/>
    <col min="3125" max="3125" width="11.875" bestFit="1" customWidth="1"/>
    <col min="3126" max="3126" width="9.375" bestFit="1" customWidth="1"/>
    <col min="3127" max="3127" width="11.875" bestFit="1" customWidth="1"/>
    <col min="3128" max="3128" width="9.375" bestFit="1" customWidth="1"/>
    <col min="3129" max="3129" width="11.875" bestFit="1" customWidth="1"/>
    <col min="3130" max="3130" width="9.375" bestFit="1" customWidth="1"/>
    <col min="3131" max="3131" width="11.875" bestFit="1" customWidth="1"/>
    <col min="3132" max="3132" width="9.375" bestFit="1" customWidth="1"/>
    <col min="3133" max="3133" width="11.875" bestFit="1" customWidth="1"/>
    <col min="3134" max="3134" width="9.375" bestFit="1" customWidth="1"/>
    <col min="3135" max="3135" width="11.875" bestFit="1" customWidth="1"/>
    <col min="3136" max="3136" width="9.375" bestFit="1" customWidth="1"/>
    <col min="3137" max="3137" width="11.875" bestFit="1" customWidth="1"/>
    <col min="3138" max="3138" width="9.375" bestFit="1" customWidth="1"/>
    <col min="3139" max="3139" width="11.875" bestFit="1" customWidth="1"/>
    <col min="3140" max="3140" width="9.375" bestFit="1" customWidth="1"/>
    <col min="3141" max="3141" width="11.875" bestFit="1" customWidth="1"/>
    <col min="3142" max="3142" width="9.375" bestFit="1" customWidth="1"/>
    <col min="3143" max="3143" width="11.875" bestFit="1" customWidth="1"/>
    <col min="3144" max="3144" width="9.375" bestFit="1" customWidth="1"/>
    <col min="3145" max="3145" width="11.875" bestFit="1" customWidth="1"/>
    <col min="3146" max="3146" width="9.375" bestFit="1" customWidth="1"/>
    <col min="3147" max="3147" width="11.875" bestFit="1" customWidth="1"/>
    <col min="3148" max="3148" width="9.375" bestFit="1" customWidth="1"/>
    <col min="3149" max="3149" width="11.875" bestFit="1" customWidth="1"/>
    <col min="3150" max="3150" width="9.375" bestFit="1" customWidth="1"/>
    <col min="3151" max="3151" width="11.875" bestFit="1" customWidth="1"/>
    <col min="3152" max="3152" width="9.375" bestFit="1" customWidth="1"/>
    <col min="3153" max="3153" width="11.875" bestFit="1" customWidth="1"/>
    <col min="3154" max="3154" width="9.375" bestFit="1" customWidth="1"/>
    <col min="3155" max="3155" width="7" bestFit="1" customWidth="1"/>
    <col min="3156" max="3156" width="11.875" bestFit="1" customWidth="1"/>
    <col min="3157" max="3157" width="9.375" bestFit="1" customWidth="1"/>
    <col min="3158" max="3158" width="11.875" bestFit="1" customWidth="1"/>
    <col min="3159" max="3159" width="9.375" bestFit="1" customWidth="1"/>
    <col min="3160" max="3160" width="11.875" bestFit="1" customWidth="1"/>
    <col min="3161" max="3161" width="9.375" bestFit="1" customWidth="1"/>
    <col min="3162" max="3162" width="7" bestFit="1" customWidth="1"/>
    <col min="3163" max="3163" width="11.875" bestFit="1" customWidth="1"/>
    <col min="3164" max="3164" width="9.375" bestFit="1" customWidth="1"/>
    <col min="3165" max="3165" width="11.875" bestFit="1" customWidth="1"/>
    <col min="3166" max="3166" width="9.375" bestFit="1" customWidth="1"/>
    <col min="3167" max="3167" width="7" bestFit="1" customWidth="1"/>
    <col min="3168" max="3168" width="11.875" bestFit="1" customWidth="1"/>
    <col min="3169" max="3169" width="9.375" bestFit="1" customWidth="1"/>
    <col min="3170" max="3170" width="11.875" bestFit="1" customWidth="1"/>
    <col min="3171" max="3171" width="9.375" bestFit="1" customWidth="1"/>
    <col min="3172" max="3172" width="11.875" bestFit="1" customWidth="1"/>
    <col min="3173" max="3173" width="9.375" bestFit="1" customWidth="1"/>
    <col min="3174" max="3174" width="11.875" bestFit="1" customWidth="1"/>
    <col min="3175" max="3175" width="9.375" bestFit="1" customWidth="1"/>
    <col min="3176" max="3176" width="11.875" bestFit="1" customWidth="1"/>
    <col min="3177" max="3177" width="9.375" bestFit="1" customWidth="1"/>
    <col min="3178" max="3178" width="11.875" bestFit="1" customWidth="1"/>
    <col min="3179" max="3179" width="9.375" bestFit="1" customWidth="1"/>
    <col min="3180" max="3180" width="11.875" bestFit="1" customWidth="1"/>
    <col min="3181" max="3181" width="9.375" bestFit="1" customWidth="1"/>
    <col min="3182" max="3182" width="11.875" bestFit="1" customWidth="1"/>
    <col min="3183" max="3183" width="9.375" bestFit="1" customWidth="1"/>
    <col min="3184" max="3184" width="11.875" bestFit="1" customWidth="1"/>
    <col min="3185" max="3185" width="9.375" bestFit="1" customWidth="1"/>
    <col min="3186" max="3186" width="11.875" bestFit="1" customWidth="1"/>
    <col min="3187" max="3187" width="9.375" bestFit="1" customWidth="1"/>
    <col min="3188" max="3188" width="11.875" bestFit="1" customWidth="1"/>
    <col min="3189" max="3189" width="9.375" bestFit="1" customWidth="1"/>
    <col min="3190" max="3190" width="11.875" bestFit="1" customWidth="1"/>
    <col min="3191" max="3191" width="9.375" bestFit="1" customWidth="1"/>
    <col min="3192" max="3192" width="7" bestFit="1" customWidth="1"/>
    <col min="3193" max="3193" width="11.875" bestFit="1" customWidth="1"/>
    <col min="3194" max="3194" width="9.375" bestFit="1" customWidth="1"/>
    <col min="3195" max="3195" width="11.875" bestFit="1" customWidth="1"/>
    <col min="3196" max="3196" width="9.375" bestFit="1" customWidth="1"/>
    <col min="3197" max="3197" width="11.875" bestFit="1" customWidth="1"/>
    <col min="3198" max="3198" width="9.375" bestFit="1" customWidth="1"/>
    <col min="3199" max="3199" width="11.875" bestFit="1" customWidth="1"/>
    <col min="3200" max="3200" width="9.375" bestFit="1" customWidth="1"/>
    <col min="3201" max="3201" width="11.875" bestFit="1" customWidth="1"/>
    <col min="3202" max="3202" width="9.375" bestFit="1" customWidth="1"/>
    <col min="3203" max="3203" width="11.875" bestFit="1" customWidth="1"/>
    <col min="3204" max="3204" width="9.375" bestFit="1" customWidth="1"/>
    <col min="3205" max="3205" width="11.875" bestFit="1" customWidth="1"/>
    <col min="3206" max="3206" width="9.375" bestFit="1" customWidth="1"/>
    <col min="3207" max="3207" width="11.875" bestFit="1" customWidth="1"/>
    <col min="3208" max="3208" width="9.375" bestFit="1" customWidth="1"/>
    <col min="3209" max="3209" width="11.875" bestFit="1" customWidth="1"/>
    <col min="3210" max="3210" width="9.375" bestFit="1" customWidth="1"/>
    <col min="3211" max="3211" width="11.875" bestFit="1" customWidth="1"/>
    <col min="3212" max="3212" width="9.375" bestFit="1" customWidth="1"/>
    <col min="3213" max="3213" width="11.875" bestFit="1" customWidth="1"/>
    <col min="3214" max="3214" width="9.375" bestFit="1" customWidth="1"/>
    <col min="3215" max="3215" width="11.875" bestFit="1" customWidth="1"/>
    <col min="3216" max="3216" width="9.375" bestFit="1" customWidth="1"/>
    <col min="3217" max="3217" width="11.875" bestFit="1" customWidth="1"/>
    <col min="3218" max="3218" width="9.375" bestFit="1" customWidth="1"/>
    <col min="3219" max="3219" width="11.875" bestFit="1" customWidth="1"/>
    <col min="3220" max="3220" width="9.375" bestFit="1" customWidth="1"/>
    <col min="3221" max="3221" width="11.875" bestFit="1" customWidth="1"/>
    <col min="3222" max="3222" width="9.375" bestFit="1" customWidth="1"/>
    <col min="3223" max="3223" width="11.875" bestFit="1" customWidth="1"/>
    <col min="3224" max="3224" width="9.375" bestFit="1" customWidth="1"/>
    <col min="3225" max="3225" width="11.875" bestFit="1" customWidth="1"/>
    <col min="3226" max="3226" width="9.375" bestFit="1" customWidth="1"/>
    <col min="3227" max="3227" width="11.875" bestFit="1" customWidth="1"/>
    <col min="3228" max="3228" width="9.375" bestFit="1" customWidth="1"/>
    <col min="3229" max="3229" width="11.875" bestFit="1" customWidth="1"/>
    <col min="3230" max="3230" width="9.375" bestFit="1" customWidth="1"/>
    <col min="3231" max="3231" width="11.875" bestFit="1" customWidth="1"/>
    <col min="3232" max="3232" width="9.375" bestFit="1" customWidth="1"/>
    <col min="3233" max="3233" width="11.875" bestFit="1" customWidth="1"/>
    <col min="3234" max="3234" width="9.375" bestFit="1" customWidth="1"/>
    <col min="3235" max="3235" width="11.875" bestFit="1" customWidth="1"/>
    <col min="3236" max="3236" width="9.375" bestFit="1" customWidth="1"/>
    <col min="3237" max="3237" width="11.875" bestFit="1" customWidth="1"/>
    <col min="3238" max="3238" width="9.375" bestFit="1" customWidth="1"/>
    <col min="3239" max="3239" width="11.875" bestFit="1" customWidth="1"/>
    <col min="3240" max="3240" width="9.375" bestFit="1" customWidth="1"/>
    <col min="3241" max="3241" width="11.875" bestFit="1" customWidth="1"/>
    <col min="3242" max="3242" width="9.375" bestFit="1" customWidth="1"/>
    <col min="3243" max="3243" width="11.875" bestFit="1" customWidth="1"/>
    <col min="3244" max="3244" width="9.375" bestFit="1" customWidth="1"/>
    <col min="3245" max="3245" width="11.875" bestFit="1" customWidth="1"/>
    <col min="3246" max="3246" width="9.375" bestFit="1" customWidth="1"/>
    <col min="3247" max="3247" width="11.875" bestFit="1" customWidth="1"/>
    <col min="3248" max="3248" width="9.375" bestFit="1" customWidth="1"/>
    <col min="3249" max="3249" width="11.875" bestFit="1" customWidth="1"/>
    <col min="3250" max="3250" width="9.375" bestFit="1" customWidth="1"/>
    <col min="3251" max="3251" width="11.875" bestFit="1" customWidth="1"/>
    <col min="3252" max="3252" width="9.375" bestFit="1" customWidth="1"/>
    <col min="3253" max="3253" width="11.875" bestFit="1" customWidth="1"/>
    <col min="3254" max="3254" width="9.375" bestFit="1" customWidth="1"/>
    <col min="3255" max="3255" width="11.875" bestFit="1" customWidth="1"/>
    <col min="3256" max="3256" width="9.375" bestFit="1" customWidth="1"/>
    <col min="3257" max="3257" width="11.875" bestFit="1" customWidth="1"/>
    <col min="3258" max="3258" width="9.375" bestFit="1" customWidth="1"/>
    <col min="3259" max="3259" width="11.875" bestFit="1" customWidth="1"/>
    <col min="3260" max="3260" width="9.375" bestFit="1" customWidth="1"/>
    <col min="3261" max="3261" width="11.875" bestFit="1" customWidth="1"/>
    <col min="3262" max="3262" width="9.375" bestFit="1" customWidth="1"/>
    <col min="3263" max="3263" width="11.875" bestFit="1" customWidth="1"/>
    <col min="3264" max="3264" width="9.375" bestFit="1" customWidth="1"/>
    <col min="3265" max="3265" width="11.875" bestFit="1" customWidth="1"/>
    <col min="3266" max="3266" width="9.375" bestFit="1" customWidth="1"/>
    <col min="3267" max="3267" width="11.875" bestFit="1" customWidth="1"/>
    <col min="3268" max="3268" width="9.375" bestFit="1" customWidth="1"/>
    <col min="3269" max="3269" width="7" bestFit="1" customWidth="1"/>
    <col min="3270" max="3270" width="11.875" bestFit="1" customWidth="1"/>
    <col min="3271" max="3271" width="9.375" bestFit="1" customWidth="1"/>
    <col min="3272" max="3272" width="11.875" bestFit="1" customWidth="1"/>
    <col min="3273" max="3273" width="9.375" bestFit="1" customWidth="1"/>
    <col min="3274" max="3274" width="11.875" bestFit="1" customWidth="1"/>
    <col min="3275" max="3275" width="9.375" bestFit="1" customWidth="1"/>
    <col min="3276" max="3276" width="11.875" bestFit="1" customWidth="1"/>
    <col min="3277" max="3277" width="9.375" bestFit="1" customWidth="1"/>
    <col min="3278" max="3278" width="11.875" bestFit="1" customWidth="1"/>
    <col min="3279" max="3279" width="9.375" bestFit="1" customWidth="1"/>
    <col min="3280" max="3280" width="11.875" bestFit="1" customWidth="1"/>
    <col min="3281" max="3281" width="9.375" bestFit="1" customWidth="1"/>
    <col min="3282" max="3282" width="11.875" bestFit="1" customWidth="1"/>
    <col min="3283" max="3283" width="9.375" bestFit="1" customWidth="1"/>
    <col min="3284" max="3284" width="11.875" bestFit="1" customWidth="1"/>
    <col min="3285" max="3285" width="9.375" bestFit="1" customWidth="1"/>
    <col min="3286" max="3286" width="11.875" bestFit="1" customWidth="1"/>
    <col min="3287" max="3287" width="9.375" bestFit="1" customWidth="1"/>
    <col min="3288" max="3288" width="11.875" bestFit="1" customWidth="1"/>
    <col min="3289" max="3289" width="9.375" bestFit="1" customWidth="1"/>
    <col min="3290" max="3290" width="11.875" bestFit="1" customWidth="1"/>
    <col min="3291" max="3291" width="9.375" bestFit="1" customWidth="1"/>
    <col min="3292" max="3292" width="11.875" bestFit="1" customWidth="1"/>
    <col min="3293" max="3293" width="9.375" bestFit="1" customWidth="1"/>
    <col min="3294" max="3294" width="11.875" bestFit="1" customWidth="1"/>
    <col min="3295" max="3295" width="9.375" bestFit="1" customWidth="1"/>
    <col min="3296" max="3296" width="11.875" bestFit="1" customWidth="1"/>
    <col min="3297" max="3297" width="9.375" bestFit="1" customWidth="1"/>
    <col min="3298" max="3298" width="11.875" bestFit="1" customWidth="1"/>
    <col min="3299" max="3299" width="9.375" bestFit="1" customWidth="1"/>
    <col min="3300" max="3300" width="11.875" bestFit="1" customWidth="1"/>
    <col min="3301" max="3301" width="9.375" bestFit="1" customWidth="1"/>
    <col min="3302" max="3302" width="11.875" bestFit="1" customWidth="1"/>
    <col min="3303" max="3303" width="9.375" bestFit="1" customWidth="1"/>
    <col min="3304" max="3304" width="11.875" bestFit="1" customWidth="1"/>
    <col min="3305" max="3305" width="9.375" bestFit="1" customWidth="1"/>
    <col min="3306" max="3306" width="11.875" bestFit="1" customWidth="1"/>
    <col min="3307" max="3307" width="9.375" bestFit="1" customWidth="1"/>
    <col min="3308" max="3308" width="11.875" bestFit="1" customWidth="1"/>
    <col min="3309" max="3309" width="9.375" bestFit="1" customWidth="1"/>
    <col min="3310" max="3310" width="11.875" bestFit="1" customWidth="1"/>
    <col min="3311" max="3311" width="9.375" bestFit="1" customWidth="1"/>
    <col min="3312" max="3312" width="7" bestFit="1" customWidth="1"/>
    <col min="3313" max="3313" width="11.875" bestFit="1" customWidth="1"/>
    <col min="3314" max="3314" width="9.375" bestFit="1" customWidth="1"/>
    <col min="3315" max="3315" width="11.875" bestFit="1" customWidth="1"/>
    <col min="3316" max="3316" width="9.375" bestFit="1" customWidth="1"/>
    <col min="3317" max="3317" width="11.875" bestFit="1" customWidth="1"/>
    <col min="3318" max="3318" width="9.375" bestFit="1" customWidth="1"/>
    <col min="3319" max="3319" width="11.875" bestFit="1" customWidth="1"/>
    <col min="3320" max="3320" width="9.375" bestFit="1" customWidth="1"/>
    <col min="3321" max="3321" width="11.875" bestFit="1" customWidth="1"/>
    <col min="3322" max="3322" width="9.375" bestFit="1" customWidth="1"/>
    <col min="3323" max="3323" width="11.875" bestFit="1" customWidth="1"/>
    <col min="3324" max="3324" width="9.375" bestFit="1" customWidth="1"/>
    <col min="3325" max="3325" width="11.875" bestFit="1" customWidth="1"/>
    <col min="3326" max="3326" width="9.375" bestFit="1" customWidth="1"/>
    <col min="3327" max="3327" width="11.875" bestFit="1" customWidth="1"/>
    <col min="3328" max="3328" width="9.375" bestFit="1" customWidth="1"/>
    <col min="3329" max="3329" width="11.875" bestFit="1" customWidth="1"/>
    <col min="3330" max="3330" width="9.375" bestFit="1" customWidth="1"/>
    <col min="3331" max="3331" width="11.875" bestFit="1" customWidth="1"/>
    <col min="3332" max="3332" width="9.375" bestFit="1" customWidth="1"/>
    <col min="3333" max="3333" width="11.875" bestFit="1" customWidth="1"/>
    <col min="3334" max="3334" width="9.375" bestFit="1" customWidth="1"/>
    <col min="3335" max="3335" width="11.875" bestFit="1" customWidth="1"/>
    <col min="3336" max="3336" width="9.375" bestFit="1" customWidth="1"/>
    <col min="3337" max="3337" width="11.875" bestFit="1" customWidth="1"/>
    <col min="3338" max="3338" width="9.375" bestFit="1" customWidth="1"/>
    <col min="3339" max="3339" width="7" bestFit="1" customWidth="1"/>
    <col min="3340" max="3340" width="11.875" bestFit="1" customWidth="1"/>
    <col min="3341" max="3341" width="9.375" bestFit="1" customWidth="1"/>
    <col min="3342" max="3342" width="11.875" bestFit="1" customWidth="1"/>
    <col min="3343" max="3343" width="9.375" bestFit="1" customWidth="1"/>
    <col min="3344" max="3344" width="7" bestFit="1" customWidth="1"/>
    <col min="3345" max="3345" width="11.875" bestFit="1" customWidth="1"/>
    <col min="3346" max="3346" width="9.375" bestFit="1" customWidth="1"/>
    <col min="3347" max="3347" width="11.875" bestFit="1" customWidth="1"/>
    <col min="3348" max="3348" width="9.375" bestFit="1" customWidth="1"/>
    <col min="3349" max="3349" width="11.875" bestFit="1" customWidth="1"/>
    <col min="3350" max="3350" width="9.375" bestFit="1" customWidth="1"/>
    <col min="3351" max="3351" width="11.875" bestFit="1" customWidth="1"/>
    <col min="3352" max="3352" width="9.375" bestFit="1" customWidth="1"/>
    <col min="3353" max="3353" width="11.875" bestFit="1" customWidth="1"/>
    <col min="3354" max="3354" width="9.375" bestFit="1" customWidth="1"/>
    <col min="3355" max="3355" width="11.875" bestFit="1" customWidth="1"/>
    <col min="3356" max="3356" width="9.375" bestFit="1" customWidth="1"/>
    <col min="3357" max="3357" width="11.875" bestFit="1" customWidth="1"/>
    <col min="3358" max="3358" width="9.375" bestFit="1" customWidth="1"/>
    <col min="3359" max="3359" width="11.875" bestFit="1" customWidth="1"/>
    <col min="3360" max="3360" width="9.375" bestFit="1" customWidth="1"/>
    <col min="3361" max="3361" width="11.875" bestFit="1" customWidth="1"/>
    <col min="3362" max="3362" width="9.375" bestFit="1" customWidth="1"/>
    <col min="3363" max="3363" width="11.875" bestFit="1" customWidth="1"/>
    <col min="3364" max="3364" width="9.375" bestFit="1" customWidth="1"/>
    <col min="3365" max="3365" width="11.875" bestFit="1" customWidth="1"/>
    <col min="3366" max="3366" width="9.375" bestFit="1" customWidth="1"/>
    <col min="3367" max="3367" width="11.875" bestFit="1" customWidth="1"/>
    <col min="3368" max="3368" width="9.375" bestFit="1" customWidth="1"/>
    <col min="3369" max="3369" width="11.875" bestFit="1" customWidth="1"/>
    <col min="3370" max="3370" width="9.375" bestFit="1" customWidth="1"/>
    <col min="3371" max="3371" width="11.875" bestFit="1" customWidth="1"/>
    <col min="3372" max="3372" width="9.375" bestFit="1" customWidth="1"/>
    <col min="3373" max="3373" width="11.875" bestFit="1" customWidth="1"/>
    <col min="3374" max="3374" width="9.375" bestFit="1" customWidth="1"/>
    <col min="3375" max="3375" width="11.875" bestFit="1" customWidth="1"/>
    <col min="3376" max="3376" width="9.375" bestFit="1" customWidth="1"/>
    <col min="3377" max="3377" width="11.875" bestFit="1" customWidth="1"/>
    <col min="3378" max="3378" width="9.375" bestFit="1" customWidth="1"/>
    <col min="3379" max="3379" width="11.875" bestFit="1" customWidth="1"/>
    <col min="3380" max="3380" width="9.375" bestFit="1" customWidth="1"/>
    <col min="3381" max="3381" width="11.875" bestFit="1" customWidth="1"/>
    <col min="3382" max="3382" width="9.375" bestFit="1" customWidth="1"/>
    <col min="3383" max="3383" width="11.875" bestFit="1" customWidth="1"/>
    <col min="3384" max="3384" width="9.375" bestFit="1" customWidth="1"/>
    <col min="3385" max="3385" width="11.875" bestFit="1" customWidth="1"/>
    <col min="3386" max="3386" width="9.375" bestFit="1" customWidth="1"/>
    <col min="3387" max="3387" width="7" bestFit="1" customWidth="1"/>
    <col min="3388" max="3388" width="11.875" bestFit="1" customWidth="1"/>
    <col min="3389" max="3389" width="9.375" bestFit="1" customWidth="1"/>
    <col min="3390" max="3390" width="11.875" bestFit="1" customWidth="1"/>
    <col min="3391" max="3391" width="9.375" bestFit="1" customWidth="1"/>
    <col min="3392" max="3392" width="11.875" bestFit="1" customWidth="1"/>
    <col min="3393" max="3393" width="9.375" bestFit="1" customWidth="1"/>
    <col min="3394" max="3394" width="11.875" bestFit="1" customWidth="1"/>
    <col min="3395" max="3395" width="9.375" bestFit="1" customWidth="1"/>
    <col min="3396" max="3396" width="11.875" bestFit="1" customWidth="1"/>
    <col min="3397" max="3397" width="9.375" bestFit="1" customWidth="1"/>
    <col min="3398" max="3398" width="11.875" bestFit="1" customWidth="1"/>
    <col min="3399" max="3399" width="9.375" bestFit="1" customWidth="1"/>
    <col min="3400" max="3400" width="11.875" bestFit="1" customWidth="1"/>
    <col min="3401" max="3401" width="9.375" bestFit="1" customWidth="1"/>
    <col min="3402" max="3402" width="7" bestFit="1" customWidth="1"/>
    <col min="3403" max="3403" width="11.875" bestFit="1" customWidth="1"/>
    <col min="3404" max="3404" width="9.375" bestFit="1" customWidth="1"/>
    <col min="3405" max="3405" width="11.875" bestFit="1" customWidth="1"/>
    <col min="3406" max="3406" width="9.375" bestFit="1" customWidth="1"/>
    <col min="3407" max="3407" width="11.875" bestFit="1" customWidth="1"/>
    <col min="3408" max="3408" width="9.375" bestFit="1" customWidth="1"/>
    <col min="3409" max="3409" width="11.875" bestFit="1" customWidth="1"/>
    <col min="3410" max="3410" width="9.375" bestFit="1" customWidth="1"/>
    <col min="3411" max="3411" width="11.875" bestFit="1" customWidth="1"/>
    <col min="3412" max="3412" width="9.375" bestFit="1" customWidth="1"/>
    <col min="3413" max="3413" width="11.875" bestFit="1" customWidth="1"/>
    <col min="3414" max="3414" width="9.375" bestFit="1" customWidth="1"/>
    <col min="3415" max="3415" width="11.875" bestFit="1" customWidth="1"/>
    <col min="3416" max="3416" width="9.375" bestFit="1" customWidth="1"/>
    <col min="3417" max="3417" width="11.875" bestFit="1" customWidth="1"/>
    <col min="3418" max="3418" width="9.375" bestFit="1" customWidth="1"/>
    <col min="3419" max="3419" width="11.875" bestFit="1" customWidth="1"/>
    <col min="3420" max="3420" width="9.375" bestFit="1" customWidth="1"/>
    <col min="3421" max="3421" width="11.875" bestFit="1" customWidth="1"/>
    <col min="3422" max="3422" width="9.375" bestFit="1" customWidth="1"/>
    <col min="3423" max="3423" width="11.875" bestFit="1" customWidth="1"/>
    <col min="3424" max="3424" width="9.375" bestFit="1" customWidth="1"/>
    <col min="3425" max="3425" width="11.875" bestFit="1" customWidth="1"/>
    <col min="3426" max="3426" width="9.375" bestFit="1" customWidth="1"/>
    <col min="3427" max="3427" width="11.875" bestFit="1" customWidth="1"/>
    <col min="3428" max="3428" width="9.375" bestFit="1" customWidth="1"/>
    <col min="3429" max="3429" width="11.875" bestFit="1" customWidth="1"/>
    <col min="3430" max="3430" width="9.375" bestFit="1" customWidth="1"/>
    <col min="3431" max="3431" width="11.875" bestFit="1" customWidth="1"/>
    <col min="3432" max="3432" width="9.375" bestFit="1" customWidth="1"/>
    <col min="3433" max="3433" width="11.875" bestFit="1" customWidth="1"/>
    <col min="3434" max="3434" width="9.375" bestFit="1" customWidth="1"/>
    <col min="3435" max="3435" width="11.875" bestFit="1" customWidth="1"/>
    <col min="3436" max="3436" width="9.375" bestFit="1" customWidth="1"/>
    <col min="3437" max="3437" width="11.875" bestFit="1" customWidth="1"/>
    <col min="3438" max="3438" width="9.375" bestFit="1" customWidth="1"/>
    <col min="3439" max="3439" width="11.875" bestFit="1" customWidth="1"/>
    <col min="3440" max="3440" width="9.375" bestFit="1" customWidth="1"/>
    <col min="3441" max="3441" width="11.875" bestFit="1" customWidth="1"/>
    <col min="3442" max="3442" width="9.375" bestFit="1" customWidth="1"/>
    <col min="3443" max="3443" width="11.875" bestFit="1" customWidth="1"/>
    <col min="3444" max="3444" width="9.375" bestFit="1" customWidth="1"/>
    <col min="3445" max="3445" width="11.875" bestFit="1" customWidth="1"/>
    <col min="3446" max="3446" width="9.375" bestFit="1" customWidth="1"/>
    <col min="3447" max="3447" width="11.875" bestFit="1" customWidth="1"/>
    <col min="3448" max="3448" width="9.375" bestFit="1" customWidth="1"/>
    <col min="3449" max="3449" width="11.875" bestFit="1" customWidth="1"/>
    <col min="3450" max="3450" width="9.375" bestFit="1" customWidth="1"/>
    <col min="3451" max="3451" width="11.875" bestFit="1" customWidth="1"/>
    <col min="3452" max="3452" width="9.375" bestFit="1" customWidth="1"/>
    <col min="3453" max="3453" width="11.875" bestFit="1" customWidth="1"/>
    <col min="3454" max="3454" width="9.375" bestFit="1" customWidth="1"/>
    <col min="3455" max="3455" width="11.875" bestFit="1" customWidth="1"/>
    <col min="3456" max="3456" width="9.375" bestFit="1" customWidth="1"/>
    <col min="3457" max="3457" width="11.875" bestFit="1" customWidth="1"/>
    <col min="3458" max="3458" width="9.375" bestFit="1" customWidth="1"/>
    <col min="3459" max="3459" width="11.875" bestFit="1" customWidth="1"/>
    <col min="3460" max="3460" width="9.375" bestFit="1" customWidth="1"/>
    <col min="3461" max="3461" width="11.875" bestFit="1" customWidth="1"/>
    <col min="3462" max="3462" width="9.375" bestFit="1" customWidth="1"/>
    <col min="3463" max="3463" width="11.875" bestFit="1" customWidth="1"/>
    <col min="3464" max="3464" width="9.375" bestFit="1" customWidth="1"/>
    <col min="3465" max="3465" width="11.875" bestFit="1" customWidth="1"/>
    <col min="3466" max="3466" width="9.375" bestFit="1" customWidth="1"/>
    <col min="3467" max="3467" width="7" bestFit="1" customWidth="1"/>
    <col min="3468" max="3468" width="11.875" bestFit="1" customWidth="1"/>
    <col min="3469" max="3469" width="9.375" bestFit="1" customWidth="1"/>
    <col min="3470" max="3470" width="11.875" bestFit="1" customWidth="1"/>
    <col min="3471" max="3471" width="9.375" bestFit="1" customWidth="1"/>
    <col min="3472" max="3472" width="11.875" bestFit="1" customWidth="1"/>
    <col min="3473" max="3473" width="9.375" bestFit="1" customWidth="1"/>
    <col min="3474" max="3474" width="11.875" bestFit="1" customWidth="1"/>
    <col min="3475" max="3475" width="9.375" bestFit="1" customWidth="1"/>
    <col min="3476" max="3476" width="11.875" bestFit="1" customWidth="1"/>
    <col min="3477" max="3477" width="9.375" bestFit="1" customWidth="1"/>
    <col min="3478" max="3478" width="11.875" bestFit="1" customWidth="1"/>
    <col min="3479" max="3479" width="9.375" bestFit="1" customWidth="1"/>
    <col min="3480" max="3480" width="11.875" bestFit="1" customWidth="1"/>
    <col min="3481" max="3481" width="9.375" bestFit="1" customWidth="1"/>
    <col min="3482" max="3482" width="11.875" bestFit="1" customWidth="1"/>
    <col min="3483" max="3483" width="9.375" bestFit="1" customWidth="1"/>
    <col min="3484" max="3484" width="11.875" bestFit="1" customWidth="1"/>
    <col min="3485" max="3485" width="9.375" bestFit="1" customWidth="1"/>
    <col min="3486" max="3486" width="11.875" bestFit="1" customWidth="1"/>
    <col min="3487" max="3487" width="9.375" bestFit="1" customWidth="1"/>
    <col min="3488" max="3488" width="11.875" bestFit="1" customWidth="1"/>
    <col min="3489" max="3489" width="9.375" bestFit="1" customWidth="1"/>
    <col min="3490" max="3490" width="11.875" bestFit="1" customWidth="1"/>
    <col min="3491" max="3491" width="9.375" bestFit="1" customWidth="1"/>
    <col min="3492" max="3492" width="11.875" bestFit="1" customWidth="1"/>
    <col min="3493" max="3493" width="9.375" bestFit="1" customWidth="1"/>
    <col min="3494" max="3494" width="11.875" bestFit="1" customWidth="1"/>
    <col min="3495" max="3495" width="9.375" bestFit="1" customWidth="1"/>
    <col min="3496" max="3496" width="11.875" bestFit="1" customWidth="1"/>
    <col min="3497" max="3497" width="9.375" bestFit="1" customWidth="1"/>
    <col min="3498" max="3498" width="11.875" bestFit="1" customWidth="1"/>
    <col min="3499" max="3499" width="9.375" bestFit="1" customWidth="1"/>
    <col min="3500" max="3500" width="11.875" bestFit="1" customWidth="1"/>
    <col min="3501" max="3501" width="9.375" bestFit="1" customWidth="1"/>
    <col min="3502" max="3502" width="11.875" bestFit="1" customWidth="1"/>
    <col min="3503" max="3503" width="9.375" bestFit="1" customWidth="1"/>
    <col min="3504" max="3504" width="11.875" bestFit="1" customWidth="1"/>
    <col min="3505" max="3505" width="9.375" bestFit="1" customWidth="1"/>
    <col min="3506" max="3506" width="11.875" bestFit="1" customWidth="1"/>
    <col min="3507" max="3507" width="9.375" bestFit="1" customWidth="1"/>
    <col min="3508" max="3508" width="11.875" bestFit="1" customWidth="1"/>
    <col min="3509" max="3509" width="9.375" bestFit="1" customWidth="1"/>
    <col min="3510" max="3510" width="11.875" bestFit="1" customWidth="1"/>
    <col min="3511" max="3511" width="9.375" bestFit="1" customWidth="1"/>
    <col min="3512" max="3512" width="11.875" bestFit="1" customWidth="1"/>
    <col min="3513" max="3513" width="9.375" bestFit="1" customWidth="1"/>
    <col min="3514" max="3514" width="11.875" bestFit="1" customWidth="1"/>
    <col min="3515" max="3515" width="9.375" bestFit="1" customWidth="1"/>
    <col min="3516" max="3516" width="11.875" bestFit="1" customWidth="1"/>
    <col min="3517" max="3517" width="9.375" bestFit="1" customWidth="1"/>
    <col min="3518" max="3518" width="11.875" bestFit="1" customWidth="1"/>
    <col min="3519" max="3519" width="9.375" bestFit="1" customWidth="1"/>
    <col min="3520" max="3520" width="11.875" bestFit="1" customWidth="1"/>
    <col min="3521" max="3521" width="9.375" bestFit="1" customWidth="1"/>
    <col min="3522" max="3522" width="11.875" bestFit="1" customWidth="1"/>
    <col min="3523" max="3523" width="9.375" bestFit="1" customWidth="1"/>
    <col min="3524" max="3524" width="11.875" bestFit="1" customWidth="1"/>
    <col min="3525" max="3525" width="9.375" bestFit="1" customWidth="1"/>
    <col min="3526" max="3526" width="11.875" bestFit="1" customWidth="1"/>
    <col min="3527" max="3527" width="9.375" bestFit="1" customWidth="1"/>
    <col min="3528" max="3528" width="11.875" bestFit="1" customWidth="1"/>
    <col min="3529" max="3529" width="9.375" bestFit="1" customWidth="1"/>
    <col min="3530" max="3530" width="11.875" bestFit="1" customWidth="1"/>
    <col min="3531" max="3531" width="9.375" bestFit="1" customWidth="1"/>
    <col min="3532" max="3532" width="11.875" bestFit="1" customWidth="1"/>
    <col min="3533" max="3533" width="9.375" bestFit="1" customWidth="1"/>
    <col min="3534" max="3534" width="11.875" bestFit="1" customWidth="1"/>
    <col min="3535" max="3535" width="9.375" bestFit="1" customWidth="1"/>
    <col min="3536" max="3536" width="7" bestFit="1" customWidth="1"/>
    <col min="3537" max="3537" width="11.875" bestFit="1" customWidth="1"/>
    <col min="3538" max="3538" width="9.375" bestFit="1" customWidth="1"/>
    <col min="3539" max="3539" width="11.875" bestFit="1" customWidth="1"/>
    <col min="3540" max="3540" width="9.375" bestFit="1" customWidth="1"/>
    <col min="3541" max="3541" width="11.875" bestFit="1" customWidth="1"/>
    <col min="3542" max="3542" width="9.375" bestFit="1" customWidth="1"/>
    <col min="3543" max="3543" width="11.875" bestFit="1" customWidth="1"/>
    <col min="3544" max="3544" width="9.375" bestFit="1" customWidth="1"/>
    <col min="3545" max="3545" width="11.875" bestFit="1" customWidth="1"/>
    <col min="3546" max="3546" width="9.375" bestFit="1" customWidth="1"/>
    <col min="3547" max="3547" width="11.875" bestFit="1" customWidth="1"/>
    <col min="3548" max="3548" width="9.375" bestFit="1" customWidth="1"/>
    <col min="3549" max="3549" width="11.875" bestFit="1" customWidth="1"/>
    <col min="3550" max="3550" width="9.375" bestFit="1" customWidth="1"/>
    <col min="3551" max="3551" width="11.875" bestFit="1" customWidth="1"/>
    <col min="3552" max="3552" width="9.375" bestFit="1" customWidth="1"/>
    <col min="3553" max="3553" width="11.875" bestFit="1" customWidth="1"/>
    <col min="3554" max="3554" width="9.375" bestFit="1" customWidth="1"/>
    <col min="3555" max="3555" width="11.875" bestFit="1" customWidth="1"/>
    <col min="3556" max="3556" width="9.375" bestFit="1" customWidth="1"/>
    <col min="3557" max="3557" width="11.875" bestFit="1" customWidth="1"/>
    <col min="3558" max="3558" width="9.375" bestFit="1" customWidth="1"/>
    <col min="3559" max="3559" width="11.875" bestFit="1" customWidth="1"/>
    <col min="3560" max="3560" width="9.375" bestFit="1" customWidth="1"/>
    <col min="3561" max="3561" width="11.875" bestFit="1" customWidth="1"/>
    <col min="3562" max="3562" width="9.375" bestFit="1" customWidth="1"/>
    <col min="3563" max="3563" width="11.875" bestFit="1" customWidth="1"/>
    <col min="3564" max="3564" width="9.375" bestFit="1" customWidth="1"/>
    <col min="3565" max="3565" width="11.875" bestFit="1" customWidth="1"/>
    <col min="3566" max="3566" width="9.375" bestFit="1" customWidth="1"/>
    <col min="3567" max="3567" width="11.875" bestFit="1" customWidth="1"/>
    <col min="3568" max="3568" width="9.375" bestFit="1" customWidth="1"/>
    <col min="3569" max="3569" width="11.875" bestFit="1" customWidth="1"/>
    <col min="3570" max="3570" width="9.375" bestFit="1" customWidth="1"/>
    <col min="3571" max="3571" width="11.875" bestFit="1" customWidth="1"/>
    <col min="3572" max="3572" width="9.375" bestFit="1" customWidth="1"/>
    <col min="3573" max="3573" width="11.875" bestFit="1" customWidth="1"/>
    <col min="3574" max="3574" width="9.375" bestFit="1" customWidth="1"/>
    <col min="3575" max="3575" width="11.875" bestFit="1" customWidth="1"/>
    <col min="3576" max="3576" width="9.375" bestFit="1" customWidth="1"/>
    <col min="3577" max="3577" width="11.875" bestFit="1" customWidth="1"/>
    <col min="3578" max="3578" width="9.375" bestFit="1" customWidth="1"/>
    <col min="3579" max="3579" width="11.875" bestFit="1" customWidth="1"/>
    <col min="3580" max="3580" width="9.375" bestFit="1" customWidth="1"/>
    <col min="3581" max="3581" width="11.875" bestFit="1" customWidth="1"/>
    <col min="3582" max="3582" width="9.375" bestFit="1" customWidth="1"/>
    <col min="3583" max="3583" width="11.875" bestFit="1" customWidth="1"/>
    <col min="3584" max="3584" width="9.375" bestFit="1" customWidth="1"/>
    <col min="3585" max="3585" width="11.875" bestFit="1" customWidth="1"/>
    <col min="3586" max="3586" width="9.375" bestFit="1" customWidth="1"/>
    <col min="3587" max="3587" width="11.875" bestFit="1" customWidth="1"/>
    <col min="3588" max="3588" width="9.375" bestFit="1" customWidth="1"/>
    <col min="3589" max="3589" width="11.875" bestFit="1" customWidth="1"/>
    <col min="3590" max="3590" width="9.375" bestFit="1" customWidth="1"/>
    <col min="3591" max="3591" width="11.875" bestFit="1" customWidth="1"/>
    <col min="3592" max="3592" width="9.375" bestFit="1" customWidth="1"/>
    <col min="3593" max="3593" width="11.875" bestFit="1" customWidth="1"/>
    <col min="3594" max="3594" width="9.375" bestFit="1" customWidth="1"/>
    <col min="3595" max="3595" width="11.875" bestFit="1" customWidth="1"/>
    <col min="3596" max="3596" width="9.375" bestFit="1" customWidth="1"/>
    <col min="3597" max="3597" width="11.875" bestFit="1" customWidth="1"/>
    <col min="3598" max="3598" width="9.375" bestFit="1" customWidth="1"/>
    <col min="3599" max="3599" width="11.875" bestFit="1" customWidth="1"/>
    <col min="3600" max="3600" width="9.375" bestFit="1" customWidth="1"/>
    <col min="3601" max="3601" width="11.875" bestFit="1" customWidth="1"/>
    <col min="3602" max="3602" width="9.375" bestFit="1" customWidth="1"/>
    <col min="3603" max="3603" width="11.875" bestFit="1" customWidth="1"/>
    <col min="3604" max="3604" width="9.375" bestFit="1" customWidth="1"/>
    <col min="3605" max="3605" width="7" bestFit="1" customWidth="1"/>
    <col min="3606" max="3606" width="11.875" bestFit="1" customWidth="1"/>
    <col min="3607" max="3607" width="9.375" bestFit="1" customWidth="1"/>
    <col min="3608" max="3608" width="11.875" bestFit="1" customWidth="1"/>
    <col min="3609" max="3609" width="9.375" bestFit="1" customWidth="1"/>
    <col min="3610" max="3610" width="11.875" bestFit="1" customWidth="1"/>
    <col min="3611" max="3611" width="9.375" bestFit="1" customWidth="1"/>
    <col min="3612" max="3612" width="11.875" bestFit="1" customWidth="1"/>
    <col min="3613" max="3613" width="9.375" bestFit="1" customWidth="1"/>
    <col min="3614" max="3614" width="11.875" bestFit="1" customWidth="1"/>
    <col min="3615" max="3615" width="9.375" bestFit="1" customWidth="1"/>
    <col min="3616" max="3616" width="11.875" bestFit="1" customWidth="1"/>
    <col min="3617" max="3617" width="9.375" bestFit="1" customWidth="1"/>
    <col min="3618" max="3618" width="11.875" bestFit="1" customWidth="1"/>
    <col min="3619" max="3619" width="9.375" bestFit="1" customWidth="1"/>
    <col min="3620" max="3620" width="11.875" bestFit="1" customWidth="1"/>
    <col min="3621" max="3621" width="9.375" bestFit="1" customWidth="1"/>
    <col min="3622" max="3622" width="11.875" bestFit="1" customWidth="1"/>
    <col min="3623" max="3623" width="9.375" bestFit="1" customWidth="1"/>
    <col min="3624" max="3624" width="11.875" bestFit="1" customWidth="1"/>
    <col min="3625" max="3625" width="9.375" bestFit="1" customWidth="1"/>
    <col min="3626" max="3626" width="11.875" bestFit="1" customWidth="1"/>
    <col min="3627" max="3627" width="9.375" bestFit="1" customWidth="1"/>
    <col min="3628" max="3628" width="11.875" bestFit="1" customWidth="1"/>
    <col min="3629" max="3629" width="9.375" bestFit="1" customWidth="1"/>
    <col min="3630" max="3630" width="11.875" bestFit="1" customWidth="1"/>
    <col min="3631" max="3631" width="9.375" bestFit="1" customWidth="1"/>
    <col min="3632" max="3632" width="11.875" bestFit="1" customWidth="1"/>
    <col min="3633" max="3633" width="9.375" bestFit="1" customWidth="1"/>
    <col min="3634" max="3634" width="11.875" bestFit="1" customWidth="1"/>
    <col min="3635" max="3635" width="9.375" bestFit="1" customWidth="1"/>
    <col min="3636" max="3636" width="11.875" bestFit="1" customWidth="1"/>
    <col min="3637" max="3637" width="9.375" bestFit="1" customWidth="1"/>
    <col min="3638" max="3638" width="11.875" bestFit="1" customWidth="1"/>
    <col min="3639" max="3639" width="9.375" bestFit="1" customWidth="1"/>
    <col min="3640" max="3640" width="11.875" bestFit="1" customWidth="1"/>
    <col min="3641" max="3641" width="9.375" bestFit="1" customWidth="1"/>
    <col min="3642" max="3642" width="11.875" bestFit="1" customWidth="1"/>
    <col min="3643" max="3643" width="9.375" bestFit="1" customWidth="1"/>
    <col min="3644" max="3644" width="11.875" bestFit="1" customWidth="1"/>
    <col min="3645" max="3645" width="9.375" bestFit="1" customWidth="1"/>
    <col min="3646" max="3646" width="11.875" bestFit="1" customWidth="1"/>
    <col min="3647" max="3647" width="9.375" bestFit="1" customWidth="1"/>
    <col min="3648" max="3648" width="11.875" bestFit="1" customWidth="1"/>
    <col min="3649" max="3649" width="9.375" bestFit="1" customWidth="1"/>
    <col min="3650" max="3650" width="11.875" bestFit="1" customWidth="1"/>
    <col min="3651" max="3651" width="9.375" bestFit="1" customWidth="1"/>
    <col min="3652" max="3652" width="11.875" bestFit="1" customWidth="1"/>
    <col min="3653" max="3653" width="9.375" bestFit="1" customWidth="1"/>
    <col min="3654" max="3654" width="11.875" bestFit="1" customWidth="1"/>
    <col min="3655" max="3655" width="9.375" bestFit="1" customWidth="1"/>
    <col min="3656" max="3656" width="11.875" bestFit="1" customWidth="1"/>
    <col min="3657" max="3657" width="9.375" bestFit="1" customWidth="1"/>
    <col min="3658" max="3658" width="11.875" bestFit="1" customWidth="1"/>
    <col min="3659" max="3659" width="9.375" bestFit="1" customWidth="1"/>
    <col min="3660" max="3660" width="11.875" bestFit="1" customWidth="1"/>
    <col min="3661" max="3661" width="9.375" bestFit="1" customWidth="1"/>
    <col min="3662" max="3662" width="11.875" bestFit="1" customWidth="1"/>
    <col min="3663" max="3663" width="9.375" bestFit="1" customWidth="1"/>
    <col min="3664" max="3664" width="11.875" bestFit="1" customWidth="1"/>
    <col min="3665" max="3665" width="9.375" bestFit="1" customWidth="1"/>
    <col min="3666" max="3666" width="11.875" bestFit="1" customWidth="1"/>
    <col min="3667" max="3667" width="9.375" bestFit="1" customWidth="1"/>
    <col min="3668" max="3668" width="11.875" bestFit="1" customWidth="1"/>
    <col min="3669" max="3669" width="9.375" bestFit="1" customWidth="1"/>
    <col min="3670" max="3670" width="7" bestFit="1" customWidth="1"/>
    <col min="3671" max="3671" width="11.875" bestFit="1" customWidth="1"/>
    <col min="3672" max="3672" width="9.375" bestFit="1" customWidth="1"/>
    <col min="3673" max="3673" width="11.875" bestFit="1" customWidth="1"/>
    <col min="3674" max="3674" width="9.375" bestFit="1" customWidth="1"/>
    <col min="3675" max="3675" width="11.875" bestFit="1" customWidth="1"/>
    <col min="3676" max="3676" width="9.375" bestFit="1" customWidth="1"/>
    <col min="3677" max="3677" width="11.875" bestFit="1" customWidth="1"/>
    <col min="3678" max="3678" width="9.375" bestFit="1" customWidth="1"/>
    <col min="3679" max="3679" width="11.875" bestFit="1" customWidth="1"/>
    <col min="3680" max="3680" width="9.375" bestFit="1" customWidth="1"/>
    <col min="3681" max="3681" width="11.875" bestFit="1" customWidth="1"/>
    <col min="3682" max="3682" width="9.375" bestFit="1" customWidth="1"/>
    <col min="3683" max="3683" width="7" bestFit="1" customWidth="1"/>
    <col min="3684" max="3684" width="11.875" bestFit="1" customWidth="1"/>
    <col min="3685" max="3685" width="9.375" bestFit="1" customWidth="1"/>
    <col min="3686" max="3686" width="7" bestFit="1" customWidth="1"/>
    <col min="3687" max="3687" width="11.875" bestFit="1" customWidth="1"/>
    <col min="3688" max="3688" width="9.375" bestFit="1" customWidth="1"/>
    <col min="3689" max="3689" width="11.875" bestFit="1" customWidth="1"/>
    <col min="3690" max="3690" width="9.375" bestFit="1" customWidth="1"/>
    <col min="3691" max="3691" width="11.875" bestFit="1" customWidth="1"/>
    <col min="3692" max="3692" width="9.375" bestFit="1" customWidth="1"/>
    <col min="3693" max="3693" width="11.875" bestFit="1" customWidth="1"/>
    <col min="3694" max="3694" width="9.375" bestFit="1" customWidth="1"/>
    <col min="3695" max="3695" width="11.875" bestFit="1" customWidth="1"/>
    <col min="3696" max="3696" width="9.375" bestFit="1" customWidth="1"/>
    <col min="3697" max="3697" width="11.875" bestFit="1" customWidth="1"/>
    <col min="3698" max="3698" width="9.375" bestFit="1" customWidth="1"/>
    <col min="3699" max="3699" width="11.875" bestFit="1" customWidth="1"/>
    <col min="3700" max="3700" width="9.375" bestFit="1" customWidth="1"/>
    <col min="3701" max="3701" width="11.875" bestFit="1" customWidth="1"/>
    <col min="3702" max="3702" width="9.375" bestFit="1" customWidth="1"/>
    <col min="3703" max="3703" width="11.875" bestFit="1" customWidth="1"/>
    <col min="3704" max="3704" width="9.375" bestFit="1" customWidth="1"/>
    <col min="3705" max="3705" width="11.875" bestFit="1" customWidth="1"/>
    <col min="3706" max="3706" width="9.375" bestFit="1" customWidth="1"/>
    <col min="3707" max="3707" width="11.875" bestFit="1" customWidth="1"/>
    <col min="3708" max="3708" width="9.375" bestFit="1" customWidth="1"/>
    <col min="3709" max="3709" width="11.875" bestFit="1" customWidth="1"/>
    <col min="3710" max="3710" width="9.375" bestFit="1" customWidth="1"/>
    <col min="3711" max="3711" width="11.875" bestFit="1" customWidth="1"/>
    <col min="3712" max="3712" width="9.375" bestFit="1" customWidth="1"/>
    <col min="3713" max="3713" width="11.875" bestFit="1" customWidth="1"/>
    <col min="3714" max="3714" width="9.375" bestFit="1" customWidth="1"/>
    <col min="3715" max="3715" width="11.875" bestFit="1" customWidth="1"/>
    <col min="3716" max="3716" width="9.375" bestFit="1" customWidth="1"/>
    <col min="3717" max="3717" width="11.875" bestFit="1" customWidth="1"/>
    <col min="3718" max="3718" width="9.375" bestFit="1" customWidth="1"/>
    <col min="3719" max="3719" width="7" bestFit="1" customWidth="1"/>
    <col min="3720" max="3720" width="11.875" bestFit="1" customWidth="1"/>
    <col min="3721" max="3721" width="9.375" bestFit="1" customWidth="1"/>
    <col min="3722" max="3722" width="11.875" bestFit="1" customWidth="1"/>
    <col min="3723" max="3723" width="9.375" bestFit="1" customWidth="1"/>
    <col min="3724" max="3724" width="11.875" bestFit="1" customWidth="1"/>
    <col min="3725" max="3725" width="9.375" bestFit="1" customWidth="1"/>
    <col min="3726" max="3726" width="11.875" bestFit="1" customWidth="1"/>
    <col min="3727" max="3727" width="9.375" bestFit="1" customWidth="1"/>
    <col min="3728" max="3728" width="11.875" bestFit="1" customWidth="1"/>
    <col min="3729" max="3729" width="9.375" bestFit="1" customWidth="1"/>
    <col min="3730" max="3730" width="11.875" bestFit="1" customWidth="1"/>
    <col min="3731" max="3731" width="9.375" bestFit="1" customWidth="1"/>
    <col min="3732" max="3732" width="11.875" bestFit="1" customWidth="1"/>
    <col min="3733" max="3733" width="9.375" bestFit="1" customWidth="1"/>
    <col min="3734" max="3734" width="11.875" bestFit="1" customWidth="1"/>
    <col min="3735" max="3735" width="9.375" bestFit="1" customWidth="1"/>
    <col min="3736" max="3736" width="11.875" bestFit="1" customWidth="1"/>
    <col min="3737" max="3737" width="9.375" bestFit="1" customWidth="1"/>
    <col min="3738" max="3738" width="11.875" bestFit="1" customWidth="1"/>
    <col min="3739" max="3739" width="9.375" bestFit="1" customWidth="1"/>
    <col min="3740" max="3740" width="11.875" bestFit="1" customWidth="1"/>
    <col min="3741" max="3741" width="9.375" bestFit="1" customWidth="1"/>
    <col min="3742" max="3742" width="11.875" bestFit="1" customWidth="1"/>
    <col min="3743" max="3743" width="9.375" bestFit="1" customWidth="1"/>
    <col min="3744" max="3744" width="11.875" bestFit="1" customWidth="1"/>
    <col min="3745" max="3745" width="9.375" bestFit="1" customWidth="1"/>
    <col min="3746" max="3746" width="11.875" bestFit="1" customWidth="1"/>
    <col min="3747" max="3747" width="9.375" bestFit="1" customWidth="1"/>
    <col min="3748" max="3748" width="11.875" bestFit="1" customWidth="1"/>
    <col min="3749" max="3749" width="9.375" bestFit="1" customWidth="1"/>
    <col min="3750" max="3750" width="11.875" bestFit="1" customWidth="1"/>
    <col min="3751" max="3751" width="9.375" bestFit="1" customWidth="1"/>
    <col min="3752" max="3752" width="11.875" bestFit="1" customWidth="1"/>
    <col min="3753" max="3753" width="9.375" bestFit="1" customWidth="1"/>
    <col min="3754" max="3754" width="11.875" bestFit="1" customWidth="1"/>
    <col min="3755" max="3755" width="9.375" bestFit="1" customWidth="1"/>
    <col min="3756" max="3756" width="11.875" bestFit="1" customWidth="1"/>
    <col min="3757" max="3757" width="9.375" bestFit="1" customWidth="1"/>
    <col min="3758" max="3758" width="11.875" bestFit="1" customWidth="1"/>
    <col min="3759" max="3759" width="9.375" bestFit="1" customWidth="1"/>
    <col min="3760" max="3760" width="11.875" bestFit="1" customWidth="1"/>
    <col min="3761" max="3761" width="9.375" bestFit="1" customWidth="1"/>
    <col min="3762" max="3762" width="11.875" bestFit="1" customWidth="1"/>
    <col min="3763" max="3763" width="9.375" bestFit="1" customWidth="1"/>
    <col min="3764" max="3764" width="11.875" bestFit="1" customWidth="1"/>
    <col min="3765" max="3765" width="9.375" bestFit="1" customWidth="1"/>
    <col min="3766" max="3766" width="11.875" bestFit="1" customWidth="1"/>
    <col min="3767" max="3767" width="9.375" bestFit="1" customWidth="1"/>
    <col min="3768" max="3768" width="11.875" bestFit="1" customWidth="1"/>
    <col min="3769" max="3769" width="9.375" bestFit="1" customWidth="1"/>
    <col min="3770" max="3770" width="11.875" bestFit="1" customWidth="1"/>
    <col min="3771" max="3771" width="9.375" bestFit="1" customWidth="1"/>
    <col min="3772" max="3772" width="11.875" bestFit="1" customWidth="1"/>
    <col min="3773" max="3773" width="9.375" bestFit="1" customWidth="1"/>
    <col min="3774" max="3774" width="11.875" bestFit="1" customWidth="1"/>
    <col min="3775" max="3775" width="9.375" bestFit="1" customWidth="1"/>
    <col min="3776" max="3776" width="11.875" bestFit="1" customWidth="1"/>
    <col min="3777" max="3777" width="9.375" bestFit="1" customWidth="1"/>
    <col min="3778" max="3778" width="11.875" bestFit="1" customWidth="1"/>
    <col min="3779" max="3779" width="9.375" bestFit="1" customWidth="1"/>
    <col min="3780" max="3780" width="11.875" bestFit="1" customWidth="1"/>
    <col min="3781" max="3781" width="9.375" bestFit="1" customWidth="1"/>
    <col min="3782" max="3782" width="11.875" bestFit="1" customWidth="1"/>
    <col min="3783" max="3783" width="9.375" bestFit="1" customWidth="1"/>
    <col min="3784" max="3784" width="11.875" bestFit="1" customWidth="1"/>
    <col min="3785" max="3785" width="9.375" bestFit="1" customWidth="1"/>
    <col min="3786" max="3786" width="11.875" bestFit="1" customWidth="1"/>
    <col min="3787" max="3787" width="9.375" bestFit="1" customWidth="1"/>
    <col min="3788" max="3788" width="11.875" bestFit="1" customWidth="1"/>
    <col min="3789" max="3789" width="9.375" bestFit="1" customWidth="1"/>
    <col min="3790" max="3790" width="11.875" bestFit="1" customWidth="1"/>
    <col min="3791" max="3791" width="9.375" bestFit="1" customWidth="1"/>
    <col min="3792" max="3792" width="11.875" bestFit="1" customWidth="1"/>
    <col min="3793" max="3793" width="9.375" bestFit="1" customWidth="1"/>
    <col min="3794" max="3794" width="11.875" bestFit="1" customWidth="1"/>
    <col min="3795" max="3795" width="9.375" bestFit="1" customWidth="1"/>
    <col min="3796" max="3796" width="11.875" bestFit="1" customWidth="1"/>
    <col min="3797" max="3797" width="9.375" bestFit="1" customWidth="1"/>
    <col min="3798" max="3798" width="11.875" bestFit="1" customWidth="1"/>
    <col min="3799" max="3799" width="9.375" bestFit="1" customWidth="1"/>
    <col min="3800" max="3800" width="11.875" bestFit="1" customWidth="1"/>
    <col min="3801" max="3801" width="9.375" bestFit="1" customWidth="1"/>
    <col min="3802" max="3802" width="11.875" bestFit="1" customWidth="1"/>
    <col min="3803" max="3803" width="9.375" bestFit="1" customWidth="1"/>
    <col min="3804" max="3804" width="11.875" bestFit="1" customWidth="1"/>
    <col min="3805" max="3805" width="9.375" bestFit="1" customWidth="1"/>
    <col min="3806" max="3806" width="11.875" bestFit="1" customWidth="1"/>
    <col min="3807" max="3807" width="9.375" bestFit="1" customWidth="1"/>
    <col min="3808" max="3808" width="11.875" bestFit="1" customWidth="1"/>
    <col min="3809" max="3809" width="9.375" bestFit="1" customWidth="1"/>
    <col min="3810" max="3810" width="11.875" bestFit="1" customWidth="1"/>
    <col min="3811" max="3811" width="9.375" bestFit="1" customWidth="1"/>
    <col min="3812" max="3812" width="11.875" bestFit="1" customWidth="1"/>
    <col min="3813" max="3813" width="9.375" bestFit="1" customWidth="1"/>
    <col min="3814" max="3814" width="11.875" bestFit="1" customWidth="1"/>
    <col min="3815" max="3815" width="9.375" bestFit="1" customWidth="1"/>
    <col min="3816" max="3816" width="11.875" bestFit="1" customWidth="1"/>
    <col min="3817" max="3817" width="9.375" bestFit="1" customWidth="1"/>
    <col min="3818" max="3818" width="11.875" bestFit="1" customWidth="1"/>
    <col min="3819" max="3819" width="9.375" bestFit="1" customWidth="1"/>
    <col min="3820" max="3820" width="11.875" bestFit="1" customWidth="1"/>
    <col min="3821" max="3821" width="9.375" bestFit="1" customWidth="1"/>
    <col min="3822" max="3822" width="11.875" bestFit="1" customWidth="1"/>
    <col min="3823" max="3823" width="9.375" bestFit="1" customWidth="1"/>
    <col min="3824" max="3824" width="11.875" bestFit="1" customWidth="1"/>
    <col min="3825" max="3825" width="9.375" bestFit="1" customWidth="1"/>
    <col min="3826" max="3826" width="11.875" bestFit="1" customWidth="1"/>
    <col min="3827" max="3827" width="9.375" bestFit="1" customWidth="1"/>
    <col min="3828" max="3828" width="11.875" bestFit="1" customWidth="1"/>
    <col min="3829" max="3829" width="9.375" bestFit="1" customWidth="1"/>
    <col min="3830" max="3830" width="11.875" bestFit="1" customWidth="1"/>
    <col min="3831" max="3831" width="9.375" bestFit="1" customWidth="1"/>
    <col min="3832" max="3832" width="11.875" bestFit="1" customWidth="1"/>
    <col min="3833" max="3833" width="9.375" bestFit="1" customWidth="1"/>
    <col min="3834" max="3834" width="11.875" bestFit="1" customWidth="1"/>
    <col min="3835" max="3835" width="9.375" bestFit="1" customWidth="1"/>
    <col min="3836" max="3836" width="11.875" bestFit="1" customWidth="1"/>
    <col min="3837" max="3837" width="9.375" bestFit="1" customWidth="1"/>
    <col min="3838" max="3838" width="11.875" bestFit="1" customWidth="1"/>
    <col min="3839" max="3839" width="9.375" bestFit="1" customWidth="1"/>
    <col min="3840" max="3840" width="11.875" bestFit="1" customWidth="1"/>
    <col min="3841" max="3841" width="9.375" bestFit="1" customWidth="1"/>
    <col min="3842" max="3842" width="11.875" bestFit="1" customWidth="1"/>
    <col min="3843" max="3843" width="9.375" bestFit="1" customWidth="1"/>
    <col min="3844" max="3844" width="11.875" bestFit="1" customWidth="1"/>
    <col min="3845" max="3845" width="9.375" bestFit="1" customWidth="1"/>
    <col min="3846" max="3846" width="11.875" bestFit="1" customWidth="1"/>
    <col min="3847" max="3847" width="9.375" bestFit="1" customWidth="1"/>
    <col min="3848" max="3848" width="11.875" bestFit="1" customWidth="1"/>
    <col min="3849" max="3849" width="9.375" bestFit="1" customWidth="1"/>
    <col min="3850" max="3850" width="11.875" bestFit="1" customWidth="1"/>
    <col min="3851" max="3851" width="9.375" bestFit="1" customWidth="1"/>
    <col min="3852" max="3852" width="11.875" bestFit="1" customWidth="1"/>
    <col min="3853" max="3853" width="9.375" bestFit="1" customWidth="1"/>
    <col min="3854" max="3854" width="11.875" bestFit="1" customWidth="1"/>
    <col min="3855" max="3855" width="9.375" bestFit="1" customWidth="1"/>
    <col min="3856" max="3856" width="11.875" bestFit="1" customWidth="1"/>
    <col min="3857" max="3857" width="9.375" bestFit="1" customWidth="1"/>
    <col min="3858" max="3858" width="11.875" bestFit="1" customWidth="1"/>
    <col min="3859" max="3859" width="9.375" bestFit="1" customWidth="1"/>
    <col min="3860" max="3860" width="11.875" bestFit="1" customWidth="1"/>
    <col min="3861" max="3861" width="9.375" bestFit="1" customWidth="1"/>
    <col min="3862" max="3862" width="11.875" bestFit="1" customWidth="1"/>
    <col min="3863" max="3863" width="9.375" bestFit="1" customWidth="1"/>
    <col min="3864" max="3864" width="11.875" bestFit="1" customWidth="1"/>
    <col min="3865" max="3865" width="9.375" bestFit="1" customWidth="1"/>
    <col min="3866" max="3866" width="11.875" bestFit="1" customWidth="1"/>
    <col min="3867" max="3867" width="9.375" bestFit="1" customWidth="1"/>
    <col min="3868" max="3868" width="11.875" bestFit="1" customWidth="1"/>
    <col min="3869" max="3869" width="9.375" bestFit="1" customWidth="1"/>
    <col min="3870" max="3870" width="11.875" bestFit="1" customWidth="1"/>
    <col min="3871" max="3871" width="9.375" bestFit="1" customWidth="1"/>
    <col min="3872" max="3872" width="11.875" bestFit="1" customWidth="1"/>
    <col min="3873" max="3873" width="9.375" bestFit="1" customWidth="1"/>
    <col min="3874" max="3874" width="11.875" bestFit="1" customWidth="1"/>
    <col min="3875" max="3875" width="9.375" bestFit="1" customWidth="1"/>
    <col min="3876" max="3876" width="11.875" bestFit="1" customWidth="1"/>
    <col min="3877" max="3877" width="9.375" bestFit="1" customWidth="1"/>
    <col min="3878" max="3878" width="11.875" bestFit="1" customWidth="1"/>
    <col min="3879" max="3879" width="9.375" bestFit="1" customWidth="1"/>
    <col min="3880" max="3880" width="11.875" bestFit="1" customWidth="1"/>
    <col min="3881" max="3881" width="9.375" bestFit="1" customWidth="1"/>
    <col min="3882" max="3882" width="11.875" bestFit="1" customWidth="1"/>
    <col min="3883" max="3883" width="9.375" bestFit="1" customWidth="1"/>
    <col min="3884" max="3884" width="11.875" bestFit="1" customWidth="1"/>
    <col min="3885" max="3885" width="9.375" bestFit="1" customWidth="1"/>
    <col min="3886" max="3886" width="11.875" bestFit="1" customWidth="1"/>
    <col min="3887" max="3887" width="9.375" bestFit="1" customWidth="1"/>
    <col min="3888" max="3888" width="11.875" bestFit="1" customWidth="1"/>
    <col min="3889" max="3889" width="9.375" bestFit="1" customWidth="1"/>
    <col min="3890" max="3890" width="11.875" bestFit="1" customWidth="1"/>
    <col min="3891" max="3891" width="9.375" bestFit="1" customWidth="1"/>
    <col min="3892" max="3892" width="11.875" bestFit="1" customWidth="1"/>
    <col min="3893" max="3893" width="9.375" bestFit="1" customWidth="1"/>
    <col min="3894" max="3894" width="11.875" bestFit="1" customWidth="1"/>
    <col min="3895" max="3895" width="9.375" bestFit="1" customWidth="1"/>
    <col min="3896" max="3896" width="11.875" bestFit="1" customWidth="1"/>
    <col min="3897" max="3897" width="9.375" bestFit="1" customWidth="1"/>
    <col min="3898" max="3898" width="11.875" bestFit="1" customWidth="1"/>
    <col min="3899" max="3899" width="9.375" bestFit="1" customWidth="1"/>
    <col min="3900" max="3900" width="11.875" bestFit="1" customWidth="1"/>
    <col min="3901" max="3901" width="9.375" bestFit="1" customWidth="1"/>
    <col min="3902" max="3902" width="11.875" bestFit="1" customWidth="1"/>
    <col min="3903" max="3903" width="9.375" bestFit="1" customWidth="1"/>
    <col min="3904" max="3904" width="11.875" bestFit="1" customWidth="1"/>
    <col min="3905" max="3905" width="9.375" bestFit="1" customWidth="1"/>
    <col min="3906" max="3906" width="11.875" bestFit="1" customWidth="1"/>
    <col min="3907" max="3907" width="9.375" bestFit="1" customWidth="1"/>
    <col min="3908" max="3908" width="11.875" bestFit="1" customWidth="1"/>
    <col min="3909" max="3909" width="9.375" bestFit="1" customWidth="1"/>
    <col min="3910" max="3910" width="11.875" bestFit="1" customWidth="1"/>
    <col min="3911" max="3911" width="9.375" bestFit="1" customWidth="1"/>
    <col min="3912" max="3912" width="11.875" bestFit="1" customWidth="1"/>
    <col min="3913" max="3913" width="9.375" bestFit="1" customWidth="1"/>
    <col min="3914" max="3914" width="11.875" bestFit="1" customWidth="1"/>
    <col min="3915" max="3915" width="9.375" bestFit="1" customWidth="1"/>
    <col min="3916" max="3916" width="11.875" bestFit="1" customWidth="1"/>
    <col min="3917" max="3917" width="9.375" bestFit="1" customWidth="1"/>
    <col min="3918" max="3918" width="11.875" bestFit="1" customWidth="1"/>
    <col min="3919" max="3919" width="9.375" bestFit="1" customWidth="1"/>
    <col min="3920" max="3920" width="11.875" bestFit="1" customWidth="1"/>
    <col min="3921" max="3921" width="9.375" bestFit="1" customWidth="1"/>
    <col min="3922" max="3922" width="11.875" bestFit="1" customWidth="1"/>
    <col min="3923" max="3923" width="9.375" bestFit="1" customWidth="1"/>
    <col min="3924" max="3924" width="11.875" bestFit="1" customWidth="1"/>
    <col min="3925" max="3925" width="9.375" bestFit="1" customWidth="1"/>
    <col min="3926" max="3926" width="11.875" bestFit="1" customWidth="1"/>
    <col min="3927" max="3927" width="9.375" bestFit="1" customWidth="1"/>
    <col min="3928" max="3928" width="7" bestFit="1" customWidth="1"/>
    <col min="3929" max="3929" width="11.875" bestFit="1" customWidth="1"/>
    <col min="3930" max="3930" width="9.375" bestFit="1" customWidth="1"/>
    <col min="3931" max="3931" width="11.875" bestFit="1" customWidth="1"/>
    <col min="3932" max="3932" width="9.375" bestFit="1" customWidth="1"/>
    <col min="3933" max="3933" width="11.875" bestFit="1" customWidth="1"/>
    <col min="3934" max="3934" width="9.375" bestFit="1" customWidth="1"/>
    <col min="3935" max="3935" width="11.875" bestFit="1" customWidth="1"/>
    <col min="3936" max="3936" width="9.375" bestFit="1" customWidth="1"/>
    <col min="3937" max="3937" width="11.875" bestFit="1" customWidth="1"/>
    <col min="3938" max="3938" width="9.375" bestFit="1" customWidth="1"/>
    <col min="3939" max="3939" width="11.875" bestFit="1" customWidth="1"/>
    <col min="3940" max="3940" width="9.375" bestFit="1" customWidth="1"/>
    <col min="3941" max="3941" width="11.875" bestFit="1" customWidth="1"/>
    <col min="3942" max="3942" width="9.375" bestFit="1" customWidth="1"/>
    <col min="3943" max="3943" width="11.875" bestFit="1" customWidth="1"/>
    <col min="3944" max="3944" width="9.375" bestFit="1" customWidth="1"/>
    <col min="3945" max="3945" width="11.875" bestFit="1" customWidth="1"/>
    <col min="3946" max="3946" width="9.375" bestFit="1" customWidth="1"/>
    <col min="3947" max="3947" width="11.875" bestFit="1" customWidth="1"/>
    <col min="3948" max="3948" width="9.375" bestFit="1" customWidth="1"/>
    <col min="3949" max="3949" width="11.875" bestFit="1" customWidth="1"/>
    <col min="3950" max="3950" width="9.375" bestFit="1" customWidth="1"/>
    <col min="3951" max="3951" width="11.875" bestFit="1" customWidth="1"/>
    <col min="3952" max="3952" width="9.375" bestFit="1" customWidth="1"/>
    <col min="3953" max="3953" width="11.875" bestFit="1" customWidth="1"/>
    <col min="3954" max="3954" width="9.375" bestFit="1" customWidth="1"/>
    <col min="3955" max="3955" width="11.875" bestFit="1" customWidth="1"/>
    <col min="3956" max="3956" width="9.375" bestFit="1" customWidth="1"/>
    <col min="3957" max="3957" width="11.875" bestFit="1" customWidth="1"/>
    <col min="3958" max="3958" width="9.375" bestFit="1" customWidth="1"/>
    <col min="3959" max="3959" width="11.875" bestFit="1" customWidth="1"/>
    <col min="3960" max="3960" width="9.375" bestFit="1" customWidth="1"/>
    <col min="3961" max="3961" width="11.875" bestFit="1" customWidth="1"/>
    <col min="3962" max="3962" width="9.375" bestFit="1" customWidth="1"/>
    <col min="3963" max="3963" width="11.875" bestFit="1" customWidth="1"/>
    <col min="3964" max="3964" width="9.375" bestFit="1" customWidth="1"/>
    <col min="3965" max="3965" width="11.875" bestFit="1" customWidth="1"/>
    <col min="3966" max="3966" width="9.375" bestFit="1" customWidth="1"/>
    <col min="3967" max="3967" width="11.875" bestFit="1" customWidth="1"/>
    <col min="3968" max="3968" width="9.375" bestFit="1" customWidth="1"/>
    <col min="3969" max="3969" width="11.875" bestFit="1" customWidth="1"/>
    <col min="3970" max="3970" width="9.375" bestFit="1" customWidth="1"/>
    <col min="3971" max="3971" width="11.875" bestFit="1" customWidth="1"/>
    <col min="3972" max="3972" width="9.375" bestFit="1" customWidth="1"/>
    <col min="3973" max="3973" width="11.875" bestFit="1" customWidth="1"/>
    <col min="3974" max="3974" width="9.375" bestFit="1" customWidth="1"/>
    <col min="3975" max="3975" width="11.875" bestFit="1" customWidth="1"/>
    <col min="3976" max="3976" width="9.375" bestFit="1" customWidth="1"/>
    <col min="3977" max="3977" width="11.875" bestFit="1" customWidth="1"/>
    <col min="3978" max="3978" width="9.375" bestFit="1" customWidth="1"/>
    <col min="3979" max="3979" width="11.875" bestFit="1" customWidth="1"/>
    <col min="3980" max="3980" width="9.375" bestFit="1" customWidth="1"/>
    <col min="3981" max="3981" width="11.875" bestFit="1" customWidth="1"/>
    <col min="3982" max="3982" width="9.375" bestFit="1" customWidth="1"/>
    <col min="3983" max="3983" width="11.875" bestFit="1" customWidth="1"/>
    <col min="3984" max="3984" width="9.375" bestFit="1" customWidth="1"/>
    <col min="3985" max="3985" width="11.875" bestFit="1" customWidth="1"/>
    <col min="3986" max="3986" width="9.375" bestFit="1" customWidth="1"/>
    <col min="3987" max="3987" width="11.875" bestFit="1" customWidth="1"/>
    <col min="3988" max="3988" width="9.375" bestFit="1" customWidth="1"/>
    <col min="3989" max="3989" width="11.875" bestFit="1" customWidth="1"/>
    <col min="3990" max="3990" width="9.375" bestFit="1" customWidth="1"/>
    <col min="3991" max="3991" width="11.875" bestFit="1" customWidth="1"/>
    <col min="3992" max="3992" width="9.375" bestFit="1" customWidth="1"/>
    <col min="3993" max="3993" width="11.875" bestFit="1" customWidth="1"/>
    <col min="3994" max="3994" width="9.375" bestFit="1" customWidth="1"/>
    <col min="3995" max="3995" width="11.875" bestFit="1" customWidth="1"/>
    <col min="3996" max="3996" width="9.375" bestFit="1" customWidth="1"/>
    <col min="3997" max="3997" width="11.875" bestFit="1" customWidth="1"/>
    <col min="3998" max="3998" width="9.375" bestFit="1" customWidth="1"/>
    <col min="3999" max="3999" width="11.875" bestFit="1" customWidth="1"/>
    <col min="4000" max="4000" width="9.375" bestFit="1" customWidth="1"/>
    <col min="4001" max="4001" width="11.875" bestFit="1" customWidth="1"/>
    <col min="4002" max="4002" width="9.375" bestFit="1" customWidth="1"/>
    <col min="4003" max="4003" width="11.875" bestFit="1" customWidth="1"/>
    <col min="4004" max="4004" width="9.375" bestFit="1" customWidth="1"/>
    <col min="4005" max="4005" width="11.875" bestFit="1" customWidth="1"/>
    <col min="4006" max="4006" width="9.375" bestFit="1" customWidth="1"/>
    <col min="4007" max="4007" width="11.875" bestFit="1" customWidth="1"/>
    <col min="4008" max="4008" width="9.375" bestFit="1" customWidth="1"/>
    <col min="4009" max="4009" width="11.875" bestFit="1" customWidth="1"/>
    <col min="4010" max="4010" width="9.375" bestFit="1" customWidth="1"/>
    <col min="4011" max="4011" width="11.875" bestFit="1" customWidth="1"/>
    <col min="4012" max="4012" width="9.375" bestFit="1" customWidth="1"/>
    <col min="4013" max="4013" width="11.875" bestFit="1" customWidth="1"/>
    <col min="4014" max="4014" width="9.375" bestFit="1" customWidth="1"/>
    <col min="4015" max="4015" width="11.875" bestFit="1" customWidth="1"/>
    <col min="4016" max="4016" width="9.375" bestFit="1" customWidth="1"/>
    <col min="4017" max="4017" width="11.875" bestFit="1" customWidth="1"/>
    <col min="4018" max="4018" width="9.375" bestFit="1" customWidth="1"/>
    <col min="4019" max="4019" width="11.875" bestFit="1" customWidth="1"/>
    <col min="4020" max="4020" width="9.375" bestFit="1" customWidth="1"/>
    <col min="4021" max="4021" width="11.875" bestFit="1" customWidth="1"/>
    <col min="4022" max="4022" width="9.375" bestFit="1" customWidth="1"/>
    <col min="4023" max="4023" width="11.875" bestFit="1" customWidth="1"/>
    <col min="4024" max="4024" width="9.375" bestFit="1" customWidth="1"/>
    <col min="4025" max="4025" width="11.875" bestFit="1" customWidth="1"/>
    <col min="4026" max="4026" width="9.375" bestFit="1" customWidth="1"/>
    <col min="4027" max="4027" width="11.875" bestFit="1" customWidth="1"/>
    <col min="4028" max="4028" width="9.375" bestFit="1" customWidth="1"/>
    <col min="4029" max="4029" width="11.875" bestFit="1" customWidth="1"/>
    <col min="4030" max="4030" width="9.375" bestFit="1" customWidth="1"/>
    <col min="4031" max="4031" width="11.875" bestFit="1" customWidth="1"/>
    <col min="4032" max="4032" width="9.375" bestFit="1" customWidth="1"/>
    <col min="4033" max="4033" width="11.875" bestFit="1" customWidth="1"/>
    <col min="4034" max="4034" width="9.375" bestFit="1" customWidth="1"/>
    <col min="4035" max="4035" width="11.875" bestFit="1" customWidth="1"/>
    <col min="4036" max="4036" width="9.375" bestFit="1" customWidth="1"/>
    <col min="4037" max="4037" width="11.875" bestFit="1" customWidth="1"/>
    <col min="4038" max="4038" width="9.375" bestFit="1" customWidth="1"/>
    <col min="4039" max="4039" width="11.875" bestFit="1" customWidth="1"/>
    <col min="4040" max="4040" width="9.375" bestFit="1" customWidth="1"/>
    <col min="4041" max="4041" width="11.875" bestFit="1" customWidth="1"/>
    <col min="4042" max="4042" width="9.375" bestFit="1" customWidth="1"/>
    <col min="4043" max="4043" width="11.875" bestFit="1" customWidth="1"/>
    <col min="4044" max="4044" width="9.375" bestFit="1" customWidth="1"/>
    <col min="4045" max="4045" width="11.875" bestFit="1" customWidth="1"/>
    <col min="4046" max="4046" width="9.375" bestFit="1" customWidth="1"/>
    <col min="4047" max="4047" width="11.875" bestFit="1" customWidth="1"/>
    <col min="4048" max="4048" width="9.375" bestFit="1" customWidth="1"/>
    <col min="4049" max="4049" width="11.875" bestFit="1" customWidth="1"/>
    <col min="4050" max="4050" width="9.375" bestFit="1" customWidth="1"/>
    <col min="4051" max="4051" width="11.875" bestFit="1" customWidth="1"/>
    <col min="4052" max="4052" width="9.375" bestFit="1" customWidth="1"/>
    <col min="4053" max="4053" width="11.875" bestFit="1" customWidth="1"/>
    <col min="4054" max="4054" width="9.375" bestFit="1" customWidth="1"/>
    <col min="4055" max="4055" width="11.875" bestFit="1" customWidth="1"/>
    <col min="4056" max="4056" width="9.375" bestFit="1" customWidth="1"/>
    <col min="4057" max="4057" width="11.875" bestFit="1" customWidth="1"/>
    <col min="4058" max="4058" width="9.375" bestFit="1" customWidth="1"/>
    <col min="4059" max="4059" width="7" bestFit="1" customWidth="1"/>
    <col min="4060" max="4060" width="11.875" bestFit="1" customWidth="1"/>
    <col min="4061" max="4061" width="9.375" bestFit="1" customWidth="1"/>
    <col min="4062" max="4062" width="11.875" bestFit="1" customWidth="1"/>
    <col min="4063" max="4063" width="9.375" bestFit="1" customWidth="1"/>
    <col min="4064" max="4064" width="7" bestFit="1" customWidth="1"/>
    <col min="4065" max="4065" width="11.875" bestFit="1" customWidth="1"/>
    <col min="4066" max="4066" width="9.375" bestFit="1" customWidth="1"/>
    <col min="4067" max="4067" width="11.875" bestFit="1" customWidth="1"/>
    <col min="4068" max="4068" width="9.375" bestFit="1" customWidth="1"/>
    <col min="4069" max="4069" width="7" bestFit="1" customWidth="1"/>
    <col min="4070" max="4070" width="11.875" bestFit="1" customWidth="1"/>
    <col min="4071" max="4071" width="9.375" bestFit="1" customWidth="1"/>
    <col min="4072" max="4072" width="7" bestFit="1" customWidth="1"/>
    <col min="4073" max="4073" width="11.875" bestFit="1" customWidth="1"/>
    <col min="4074" max="4074" width="9.375" bestFit="1" customWidth="1"/>
    <col min="4075" max="4075" width="11.875" bestFit="1" customWidth="1"/>
    <col min="4076" max="4076" width="9.375" bestFit="1" customWidth="1"/>
    <col min="4077" max="4077" width="11.875" bestFit="1" customWidth="1"/>
    <col min="4078" max="4078" width="9.375" bestFit="1" customWidth="1"/>
    <col min="4079" max="4079" width="11.875" bestFit="1" customWidth="1"/>
    <col min="4080" max="4080" width="9.375" bestFit="1" customWidth="1"/>
    <col min="4081" max="4081" width="7" bestFit="1" customWidth="1"/>
    <col min="4082" max="4082" width="11.875" bestFit="1" customWidth="1"/>
    <col min="4083" max="4083" width="9.375" bestFit="1" customWidth="1"/>
    <col min="4084" max="4084" width="11.875" bestFit="1" customWidth="1"/>
    <col min="4085" max="4085" width="9.375" bestFit="1" customWidth="1"/>
    <col min="4086" max="4086" width="11.875" bestFit="1" customWidth="1"/>
    <col min="4087" max="4087" width="9.375" bestFit="1" customWidth="1"/>
    <col min="4088" max="4088" width="7" bestFit="1" customWidth="1"/>
    <col min="4089" max="4089" width="11.875" bestFit="1" customWidth="1"/>
    <col min="4090" max="4090" width="9.375" bestFit="1" customWidth="1"/>
    <col min="4091" max="4091" width="11.875" bestFit="1" customWidth="1"/>
    <col min="4092" max="4092" width="9.375" bestFit="1" customWidth="1"/>
    <col min="4093" max="4093" width="11.875" bestFit="1" customWidth="1"/>
    <col min="4094" max="4094" width="9.375" bestFit="1" customWidth="1"/>
    <col min="4095" max="4095" width="11.875" bestFit="1" customWidth="1"/>
    <col min="4096" max="4096" width="9.375" bestFit="1" customWidth="1"/>
    <col min="4097" max="4097" width="11.875" bestFit="1" customWidth="1"/>
    <col min="4098" max="4098" width="9.375" bestFit="1" customWidth="1"/>
    <col min="4099" max="4099" width="11.875" bestFit="1" customWidth="1"/>
    <col min="4100" max="4100" width="9.375" bestFit="1" customWidth="1"/>
    <col min="4101" max="4101" width="11.875" bestFit="1" customWidth="1"/>
    <col min="4102" max="4102" width="9.375" bestFit="1" customWidth="1"/>
    <col min="4103" max="4103" width="7" bestFit="1" customWidth="1"/>
    <col min="4104" max="4104" width="11.875" bestFit="1" customWidth="1"/>
    <col min="4105" max="4105" width="9.375" bestFit="1" customWidth="1"/>
    <col min="4106" max="4106" width="11.875" bestFit="1" customWidth="1"/>
    <col min="4107" max="4107" width="9.375" bestFit="1" customWidth="1"/>
    <col min="4108" max="4108" width="11.875" bestFit="1" customWidth="1"/>
    <col min="4109" max="4109" width="9.375" bestFit="1" customWidth="1"/>
    <col min="4110" max="4110" width="11.875" bestFit="1" customWidth="1"/>
    <col min="4111" max="4111" width="9.375" bestFit="1" customWidth="1"/>
    <col min="4112" max="4112" width="11.875" bestFit="1" customWidth="1"/>
    <col min="4113" max="4113" width="9.375" bestFit="1" customWidth="1"/>
    <col min="4114" max="4114" width="11.875" bestFit="1" customWidth="1"/>
    <col min="4115" max="4115" width="9.375" bestFit="1" customWidth="1"/>
    <col min="4116" max="4116" width="11.875" bestFit="1" customWidth="1"/>
    <col min="4117" max="4117" width="9.375" bestFit="1" customWidth="1"/>
    <col min="4118" max="4118" width="11.875" bestFit="1" customWidth="1"/>
    <col min="4119" max="4119" width="9.375" bestFit="1" customWidth="1"/>
    <col min="4120" max="4120" width="11.875" bestFit="1" customWidth="1"/>
    <col min="4121" max="4121" width="9.375" bestFit="1" customWidth="1"/>
    <col min="4122" max="4122" width="11.875" bestFit="1" customWidth="1"/>
    <col min="4123" max="4123" width="9.375" bestFit="1" customWidth="1"/>
    <col min="4124" max="4124" width="11.875" bestFit="1" customWidth="1"/>
    <col min="4125" max="4125" width="9.375" bestFit="1" customWidth="1"/>
    <col min="4126" max="4126" width="11.875" bestFit="1" customWidth="1"/>
    <col min="4127" max="4127" width="9.375" bestFit="1" customWidth="1"/>
    <col min="4128" max="4128" width="11.875" bestFit="1" customWidth="1"/>
    <col min="4129" max="4129" width="9.375" bestFit="1" customWidth="1"/>
    <col min="4130" max="4130" width="11.875" bestFit="1" customWidth="1"/>
    <col min="4131" max="4131" width="9.375" bestFit="1" customWidth="1"/>
    <col min="4132" max="4132" width="11.875" bestFit="1" customWidth="1"/>
    <col min="4133" max="4133" width="9.375" bestFit="1" customWidth="1"/>
    <col min="4134" max="4134" width="11.875" bestFit="1" customWidth="1"/>
    <col min="4135" max="4135" width="9.375" bestFit="1" customWidth="1"/>
    <col min="4136" max="4136" width="11.875" bestFit="1" customWidth="1"/>
    <col min="4137" max="4137" width="9.375" bestFit="1" customWidth="1"/>
    <col min="4138" max="4138" width="11.875" bestFit="1" customWidth="1"/>
    <col min="4139" max="4139" width="9.375" bestFit="1" customWidth="1"/>
    <col min="4140" max="4140" width="11.875" bestFit="1" customWidth="1"/>
    <col min="4141" max="4141" width="9.375" bestFit="1" customWidth="1"/>
    <col min="4142" max="4142" width="11.875" bestFit="1" customWidth="1"/>
    <col min="4143" max="4143" width="9.375" bestFit="1" customWidth="1"/>
    <col min="4144" max="4144" width="7" bestFit="1" customWidth="1"/>
    <col min="4145" max="4145" width="11.875" bestFit="1" customWidth="1"/>
    <col min="4146" max="4146" width="9.375" bestFit="1" customWidth="1"/>
    <col min="4147" max="4147" width="6.625" bestFit="1" customWidth="1"/>
    <col min="4148" max="4148" width="11.875" bestFit="1" customWidth="1"/>
    <col min="4149" max="4149" width="9.375" bestFit="1" customWidth="1"/>
    <col min="4150" max="4150" width="11.875" bestFit="1" customWidth="1"/>
    <col min="4151" max="4151" width="9.375" bestFit="1" customWidth="1"/>
    <col min="4152" max="4152" width="11.875" bestFit="1" customWidth="1"/>
    <col min="4153" max="4153" width="9.375" bestFit="1" customWidth="1"/>
    <col min="4154" max="4154" width="11.875" bestFit="1" customWidth="1"/>
    <col min="4155" max="4155" width="9.375" bestFit="1" customWidth="1"/>
    <col min="4156" max="4156" width="11.875" bestFit="1" customWidth="1"/>
    <col min="4157" max="4157" width="9.375" bestFit="1" customWidth="1"/>
    <col min="4158" max="4158" width="11.875" bestFit="1" customWidth="1"/>
    <col min="4159" max="4159" width="9.375" bestFit="1" customWidth="1"/>
    <col min="4160" max="4160" width="11.875" bestFit="1" customWidth="1"/>
    <col min="4161" max="4161" width="9.375" bestFit="1" customWidth="1"/>
    <col min="4162" max="4162" width="11.875" bestFit="1" customWidth="1"/>
    <col min="4163" max="4163" width="9.375" bestFit="1" customWidth="1"/>
    <col min="4164" max="4164" width="11.875" bestFit="1" customWidth="1"/>
    <col min="4165" max="4165" width="9.375" bestFit="1" customWidth="1"/>
    <col min="4166" max="4166" width="7" bestFit="1" customWidth="1"/>
    <col min="4167" max="4167" width="11.875" bestFit="1" customWidth="1"/>
    <col min="4168" max="4168" width="9.375" bestFit="1" customWidth="1"/>
    <col min="4169" max="4169" width="7" bestFit="1" customWidth="1"/>
    <col min="4170" max="4170" width="11.875" bestFit="1" customWidth="1"/>
    <col min="4171" max="4171" width="9.375" bestFit="1" customWidth="1"/>
    <col min="4172" max="4172" width="11.875" bestFit="1" customWidth="1"/>
    <col min="4173" max="4173" width="9.375" bestFit="1" customWidth="1"/>
    <col min="4174" max="4174" width="11.875" bestFit="1" customWidth="1"/>
    <col min="4175" max="4175" width="9.375" bestFit="1" customWidth="1"/>
    <col min="4176" max="4176" width="11.875" bestFit="1" customWidth="1"/>
    <col min="4177" max="4177" width="9.375" bestFit="1" customWidth="1"/>
    <col min="4178" max="4178" width="11.875" bestFit="1" customWidth="1"/>
    <col min="4179" max="4179" width="9.375" bestFit="1" customWidth="1"/>
    <col min="4180" max="4180" width="11.875" bestFit="1" customWidth="1"/>
    <col min="4181" max="4181" width="9.375" bestFit="1" customWidth="1"/>
    <col min="4182" max="4182" width="7.625" bestFit="1" customWidth="1"/>
    <col min="4183" max="4183" width="7" bestFit="1" customWidth="1"/>
    <col min="4184" max="4184" width="11.875" bestFit="1" customWidth="1"/>
    <col min="4185" max="4185" width="9.375" bestFit="1" customWidth="1"/>
    <col min="4186" max="4186" width="11.875" bestFit="1" customWidth="1"/>
    <col min="4187" max="4187" width="9.375" bestFit="1" customWidth="1"/>
    <col min="4188" max="4188" width="7" bestFit="1" customWidth="1"/>
    <col min="4189" max="4189" width="11.875" bestFit="1" customWidth="1"/>
    <col min="4190" max="4190" width="9.375" bestFit="1" customWidth="1"/>
    <col min="4191" max="4191" width="7" bestFit="1" customWidth="1"/>
    <col min="4192" max="4192" width="11.875" bestFit="1" customWidth="1"/>
    <col min="4193" max="4193" width="9.375" bestFit="1" customWidth="1"/>
    <col min="4194" max="4194" width="11.875" bestFit="1" customWidth="1"/>
    <col min="4195" max="4195" width="9.375" bestFit="1" customWidth="1"/>
    <col min="4196" max="4196" width="11.875" bestFit="1" customWidth="1"/>
    <col min="4197" max="4197" width="9.375" bestFit="1" customWidth="1"/>
    <col min="4198" max="4198" width="11.875" bestFit="1" customWidth="1"/>
    <col min="4199" max="4199" width="9.375" bestFit="1" customWidth="1"/>
    <col min="4200" max="4200" width="11.875" bestFit="1" customWidth="1"/>
    <col min="4201" max="4201" width="9.375" bestFit="1" customWidth="1"/>
    <col min="4202" max="4202" width="11.875" bestFit="1" customWidth="1"/>
    <col min="4203" max="4203" width="9.375" bestFit="1" customWidth="1"/>
    <col min="4204" max="4204" width="11.875" bestFit="1" customWidth="1"/>
    <col min="4205" max="4205" width="9.375" bestFit="1" customWidth="1"/>
    <col min="4206" max="4206" width="11.875" bestFit="1" customWidth="1"/>
    <col min="4207" max="4207" width="9.375" bestFit="1" customWidth="1"/>
    <col min="4208" max="4208" width="11.875" bestFit="1" customWidth="1"/>
    <col min="4209" max="4209" width="9.375" bestFit="1" customWidth="1"/>
    <col min="4210" max="4210" width="11.875" bestFit="1" customWidth="1"/>
    <col min="4211" max="4211" width="9.375" bestFit="1" customWidth="1"/>
    <col min="4212" max="4212" width="7" bestFit="1" customWidth="1"/>
    <col min="4213" max="4213" width="11.875" bestFit="1" customWidth="1"/>
    <col min="4214" max="4214" width="9.375" bestFit="1" customWidth="1"/>
    <col min="4215" max="4215" width="11.875" bestFit="1" customWidth="1"/>
    <col min="4216" max="4216" width="9.375" bestFit="1" customWidth="1"/>
    <col min="4217" max="4217" width="11.875" bestFit="1" customWidth="1"/>
    <col min="4218" max="4218" width="9.375" bestFit="1" customWidth="1"/>
    <col min="4219" max="4219" width="11.875" bestFit="1" customWidth="1"/>
    <col min="4220" max="4220" width="9.375" bestFit="1" customWidth="1"/>
    <col min="4221" max="4221" width="11.875" bestFit="1" customWidth="1"/>
    <col min="4222" max="4222" width="9.375" bestFit="1" customWidth="1"/>
    <col min="4223" max="4223" width="11.875" bestFit="1" customWidth="1"/>
    <col min="4224" max="4224" width="9.375" bestFit="1" customWidth="1"/>
    <col min="4225" max="4225" width="11.875" bestFit="1" customWidth="1"/>
    <col min="4226" max="4226" width="9.375" bestFit="1" customWidth="1"/>
    <col min="4227" max="4227" width="11.875" bestFit="1" customWidth="1"/>
    <col min="4228" max="4228" width="9.375" bestFit="1" customWidth="1"/>
    <col min="4229" max="4229" width="7" bestFit="1" customWidth="1"/>
    <col min="4230" max="4230" width="11.875" bestFit="1" customWidth="1"/>
    <col min="4231" max="4231" width="9.375" bestFit="1" customWidth="1"/>
    <col min="4232" max="4232" width="11.875" bestFit="1" customWidth="1"/>
    <col min="4233" max="4233" width="9.375" bestFit="1" customWidth="1"/>
    <col min="4234" max="4234" width="11.875" bestFit="1" customWidth="1"/>
    <col min="4235" max="4235" width="9.375" bestFit="1" customWidth="1"/>
    <col min="4236" max="4236" width="11.875" bestFit="1" customWidth="1"/>
    <col min="4237" max="4237" width="9.375" bestFit="1" customWidth="1"/>
    <col min="4238" max="4238" width="11.875" bestFit="1" customWidth="1"/>
    <col min="4239" max="4239" width="9.375" bestFit="1" customWidth="1"/>
    <col min="4240" max="4240" width="11.875" bestFit="1" customWidth="1"/>
    <col min="4241" max="4241" width="9.375" bestFit="1" customWidth="1"/>
    <col min="4242" max="4242" width="11.875" bestFit="1" customWidth="1"/>
    <col min="4243" max="4243" width="9.375" bestFit="1" customWidth="1"/>
    <col min="4244" max="4244" width="11.875" bestFit="1" customWidth="1"/>
    <col min="4245" max="4245" width="9.375" bestFit="1" customWidth="1"/>
    <col min="4246" max="4246" width="11.875" bestFit="1" customWidth="1"/>
    <col min="4247" max="4247" width="9.375" bestFit="1" customWidth="1"/>
    <col min="4248" max="4248" width="11.875" bestFit="1" customWidth="1"/>
    <col min="4249" max="4249" width="9.375" bestFit="1" customWidth="1"/>
    <col min="4250" max="4250" width="11.875" bestFit="1" customWidth="1"/>
    <col min="4251" max="4251" width="9.375" bestFit="1" customWidth="1"/>
    <col min="4252" max="4252" width="11.875" bestFit="1" customWidth="1"/>
    <col min="4253" max="4253" width="9.375" bestFit="1" customWidth="1"/>
    <col min="4254" max="4254" width="11.875" bestFit="1" customWidth="1"/>
    <col min="4255" max="4255" width="9.375" bestFit="1" customWidth="1"/>
    <col min="4256" max="4256" width="11.875" bestFit="1" customWidth="1"/>
    <col min="4257" max="4257" width="9.375" bestFit="1" customWidth="1"/>
    <col min="4258" max="4258" width="11.875" bestFit="1" customWidth="1"/>
    <col min="4259" max="4259" width="9.375" bestFit="1" customWidth="1"/>
    <col min="4260" max="4260" width="11.875" bestFit="1" customWidth="1"/>
    <col min="4261" max="4261" width="9.375" bestFit="1" customWidth="1"/>
    <col min="4262" max="4262" width="11.875" bestFit="1" customWidth="1"/>
    <col min="4263" max="4263" width="9.375" bestFit="1" customWidth="1"/>
    <col min="4264" max="4264" width="11.875" bestFit="1" customWidth="1"/>
    <col min="4265" max="4265" width="9.375" bestFit="1" customWidth="1"/>
    <col min="4266" max="4266" width="11.875" bestFit="1" customWidth="1"/>
    <col min="4267" max="4267" width="9.375" bestFit="1" customWidth="1"/>
    <col min="4268" max="4268" width="11.875" bestFit="1" customWidth="1"/>
    <col min="4269" max="4269" width="9.375" bestFit="1" customWidth="1"/>
    <col min="4270" max="4270" width="11.875" bestFit="1" customWidth="1"/>
    <col min="4271" max="4271" width="9.375" bestFit="1" customWidth="1"/>
    <col min="4272" max="4272" width="11.875" bestFit="1" customWidth="1"/>
    <col min="4273" max="4273" width="9.375" bestFit="1" customWidth="1"/>
    <col min="4274" max="4274" width="11.875" bestFit="1" customWidth="1"/>
    <col min="4275" max="4275" width="9.375" bestFit="1" customWidth="1"/>
    <col min="4276" max="4276" width="11.875" bestFit="1" customWidth="1"/>
    <col min="4277" max="4277" width="9.375" bestFit="1" customWidth="1"/>
    <col min="4278" max="4278" width="11.875" bestFit="1" customWidth="1"/>
    <col min="4279" max="4279" width="9.375" bestFit="1" customWidth="1"/>
    <col min="4280" max="4280" width="11.875" bestFit="1" customWidth="1"/>
    <col min="4281" max="4281" width="9.375" bestFit="1" customWidth="1"/>
    <col min="4282" max="4282" width="7" bestFit="1" customWidth="1"/>
    <col min="4283" max="4283" width="11.875" bestFit="1" customWidth="1"/>
    <col min="4284" max="4284" width="9.375" bestFit="1" customWidth="1"/>
    <col min="4285" max="4285" width="11.875" bestFit="1" customWidth="1"/>
    <col min="4286" max="4286" width="9.375" bestFit="1" customWidth="1"/>
    <col min="4287" max="4287" width="7" bestFit="1" customWidth="1"/>
    <col min="4288" max="4288" width="11.875" bestFit="1" customWidth="1"/>
    <col min="4289" max="4289" width="9.375" bestFit="1" customWidth="1"/>
    <col min="4290" max="4290" width="11.875" bestFit="1" customWidth="1"/>
    <col min="4291" max="4291" width="9.375" bestFit="1" customWidth="1"/>
    <col min="4292" max="4292" width="11.875" bestFit="1" customWidth="1"/>
    <col min="4293" max="4293" width="9.375" bestFit="1" customWidth="1"/>
    <col min="4294" max="4294" width="11.875" bestFit="1" customWidth="1"/>
    <col min="4295" max="4295" width="9.375" bestFit="1" customWidth="1"/>
    <col min="4296" max="4296" width="11.875" bestFit="1" customWidth="1"/>
    <col min="4297" max="4297" width="9.375" bestFit="1" customWidth="1"/>
    <col min="4298" max="4298" width="11.875" bestFit="1" customWidth="1"/>
    <col min="4299" max="4299" width="9.375" bestFit="1" customWidth="1"/>
    <col min="4300" max="4300" width="11.875" bestFit="1" customWidth="1"/>
    <col min="4301" max="4301" width="9.375" bestFit="1" customWidth="1"/>
    <col min="4302" max="4302" width="11.875" bestFit="1" customWidth="1"/>
    <col min="4303" max="4303" width="9.375" bestFit="1" customWidth="1"/>
    <col min="4304" max="4304" width="7" bestFit="1" customWidth="1"/>
    <col min="4305" max="4305" width="11.875" bestFit="1" customWidth="1"/>
    <col min="4306" max="4306" width="9.375" bestFit="1" customWidth="1"/>
    <col min="4307" max="4307" width="11.875" bestFit="1" customWidth="1"/>
    <col min="4308" max="4308" width="9.375" bestFit="1" customWidth="1"/>
    <col min="4309" max="4309" width="11.875" bestFit="1" customWidth="1"/>
    <col min="4310" max="4310" width="9.375" bestFit="1" customWidth="1"/>
    <col min="4311" max="4311" width="11.875" bestFit="1" customWidth="1"/>
    <col min="4312" max="4312" width="9.375" bestFit="1" customWidth="1"/>
    <col min="4313" max="4313" width="11.875" bestFit="1" customWidth="1"/>
    <col min="4314" max="4314" width="9.375" bestFit="1" customWidth="1"/>
    <col min="4315" max="4315" width="11.875" bestFit="1" customWidth="1"/>
    <col min="4316" max="4316" width="9.375" bestFit="1" customWidth="1"/>
    <col min="4317" max="4317" width="11.875" bestFit="1" customWidth="1"/>
    <col min="4318" max="4318" width="9.375" bestFit="1" customWidth="1"/>
    <col min="4319" max="4319" width="11.875" bestFit="1" customWidth="1"/>
    <col min="4320" max="4320" width="9.375" bestFit="1" customWidth="1"/>
    <col min="4321" max="4321" width="11.875" bestFit="1" customWidth="1"/>
    <col min="4322" max="4322" width="9.375" bestFit="1" customWidth="1"/>
    <col min="4323" max="4323" width="11.875" bestFit="1" customWidth="1"/>
    <col min="4324" max="4324" width="9.375" bestFit="1" customWidth="1"/>
    <col min="4325" max="4325" width="11.875" bestFit="1" customWidth="1"/>
    <col min="4326" max="4326" width="9.375" bestFit="1" customWidth="1"/>
    <col min="4327" max="4327" width="11.875" bestFit="1" customWidth="1"/>
    <col min="4328" max="4328" width="9.375" bestFit="1" customWidth="1"/>
    <col min="4329" max="4329" width="11.875" bestFit="1" customWidth="1"/>
    <col min="4330" max="4330" width="9.375" bestFit="1" customWidth="1"/>
    <col min="4331" max="4331" width="11.875" bestFit="1" customWidth="1"/>
    <col min="4332" max="4332" width="9.375" bestFit="1" customWidth="1"/>
    <col min="4333" max="4333" width="11.875" bestFit="1" customWidth="1"/>
    <col min="4334" max="4334" width="9.375" bestFit="1" customWidth="1"/>
    <col min="4335" max="4335" width="11.875" bestFit="1" customWidth="1"/>
    <col min="4336" max="4336" width="9.375" bestFit="1" customWidth="1"/>
    <col min="4337" max="4337" width="11.875" bestFit="1" customWidth="1"/>
    <col min="4338" max="4338" width="9.375" bestFit="1" customWidth="1"/>
    <col min="4339" max="4339" width="11.875" bestFit="1" customWidth="1"/>
    <col min="4340" max="4340" width="9.375" bestFit="1" customWidth="1"/>
    <col min="4341" max="4341" width="11.875" bestFit="1" customWidth="1"/>
    <col min="4342" max="4342" width="9.375" bestFit="1" customWidth="1"/>
    <col min="4343" max="4343" width="11.875" bestFit="1" customWidth="1"/>
    <col min="4344" max="4344" width="9.375" bestFit="1" customWidth="1"/>
    <col min="4345" max="4345" width="11.875" bestFit="1" customWidth="1"/>
    <col min="4346" max="4346" width="9.375" bestFit="1" customWidth="1"/>
    <col min="4347" max="4347" width="11.875" bestFit="1" customWidth="1"/>
    <col min="4348" max="4348" width="9.375" bestFit="1" customWidth="1"/>
    <col min="4349" max="4349" width="11.875" bestFit="1" customWidth="1"/>
    <col min="4350" max="4350" width="9.375" bestFit="1" customWidth="1"/>
    <col min="4351" max="4351" width="11.875" bestFit="1" customWidth="1"/>
    <col min="4352" max="4352" width="9.375" bestFit="1" customWidth="1"/>
    <col min="4353" max="4353" width="11.875" bestFit="1" customWidth="1"/>
    <col min="4354" max="4354" width="9.375" bestFit="1" customWidth="1"/>
    <col min="4355" max="4355" width="11.875" bestFit="1" customWidth="1"/>
    <col min="4356" max="4356" width="9.375" bestFit="1" customWidth="1"/>
    <col min="4357" max="4357" width="11.875" bestFit="1" customWidth="1"/>
    <col min="4358" max="4358" width="9.375" bestFit="1" customWidth="1"/>
    <col min="4359" max="4359" width="11.875" bestFit="1" customWidth="1"/>
    <col min="4360" max="4360" width="9.375" bestFit="1" customWidth="1"/>
    <col min="4361" max="4361" width="11.875" bestFit="1" customWidth="1"/>
    <col min="4362" max="4362" width="9.375" bestFit="1" customWidth="1"/>
    <col min="4363" max="4363" width="11.875" bestFit="1" customWidth="1"/>
    <col min="4364" max="4364" width="9.375" bestFit="1" customWidth="1"/>
    <col min="4365" max="4365" width="11.875" bestFit="1" customWidth="1"/>
    <col min="4366" max="4366" width="9.375" bestFit="1" customWidth="1"/>
    <col min="4367" max="4367" width="11.875" bestFit="1" customWidth="1"/>
    <col min="4368" max="4368" width="9.375" bestFit="1" customWidth="1"/>
    <col min="4369" max="4369" width="11.875" bestFit="1" customWidth="1"/>
    <col min="4370" max="4370" width="9.375" bestFit="1" customWidth="1"/>
    <col min="4371" max="4371" width="11.875" bestFit="1" customWidth="1"/>
    <col min="4372" max="4372" width="9.375" bestFit="1" customWidth="1"/>
    <col min="4373" max="4373" width="11.875" bestFit="1" customWidth="1"/>
    <col min="4374" max="4374" width="9.375" bestFit="1" customWidth="1"/>
    <col min="4375" max="4375" width="11.875" bestFit="1" customWidth="1"/>
    <col min="4376" max="4376" width="9.375" bestFit="1" customWidth="1"/>
    <col min="4377" max="4377" width="11.875" bestFit="1" customWidth="1"/>
    <col min="4378" max="4378" width="9.375" bestFit="1" customWidth="1"/>
    <col min="4379" max="4379" width="11.875" bestFit="1" customWidth="1"/>
    <col min="4380" max="4380" width="9.375" bestFit="1" customWidth="1"/>
    <col min="4381" max="4381" width="7" bestFit="1" customWidth="1"/>
    <col min="4382" max="4382" width="11.875" bestFit="1" customWidth="1"/>
    <col min="4383" max="4383" width="9.375" bestFit="1" customWidth="1"/>
    <col min="4384" max="4384" width="11.875" bestFit="1" customWidth="1"/>
    <col min="4385" max="4385" width="9.375" bestFit="1" customWidth="1"/>
    <col min="4386" max="4386" width="11.875" bestFit="1" customWidth="1"/>
    <col min="4387" max="4387" width="9.375" bestFit="1" customWidth="1"/>
    <col min="4388" max="4388" width="11.875" bestFit="1" customWidth="1"/>
    <col min="4389" max="4389" width="9.375" bestFit="1" customWidth="1"/>
    <col min="4390" max="4390" width="11.875" bestFit="1" customWidth="1"/>
    <col min="4391" max="4391" width="9.375" bestFit="1" customWidth="1"/>
    <col min="4392" max="4392" width="11.875" bestFit="1" customWidth="1"/>
    <col min="4393" max="4393" width="9.375" bestFit="1" customWidth="1"/>
    <col min="4394" max="4394" width="11.875" bestFit="1" customWidth="1"/>
    <col min="4395" max="4395" width="9.375" bestFit="1" customWidth="1"/>
    <col min="4396" max="4396" width="11.875" bestFit="1" customWidth="1"/>
    <col min="4397" max="4397" width="9.375" bestFit="1" customWidth="1"/>
    <col min="4398" max="4398" width="11.875" bestFit="1" customWidth="1"/>
    <col min="4399" max="4399" width="9.375" bestFit="1" customWidth="1"/>
    <col min="4400" max="4400" width="11.875" bestFit="1" customWidth="1"/>
    <col min="4401" max="4401" width="9.375" bestFit="1" customWidth="1"/>
    <col min="4402" max="4402" width="11.875" bestFit="1" customWidth="1"/>
    <col min="4403" max="4403" width="9.375" bestFit="1" customWidth="1"/>
    <col min="4404" max="4404" width="11.875" bestFit="1" customWidth="1"/>
    <col min="4405" max="4405" width="9.375" bestFit="1" customWidth="1"/>
    <col min="4406" max="4406" width="11.875" bestFit="1" customWidth="1"/>
    <col min="4407" max="4407" width="9.375" bestFit="1" customWidth="1"/>
    <col min="4408" max="4408" width="11.875" bestFit="1" customWidth="1"/>
    <col min="4409" max="4409" width="9.375" bestFit="1" customWidth="1"/>
    <col min="4410" max="4410" width="11.875" bestFit="1" customWidth="1"/>
    <col min="4411" max="4411" width="9.375" bestFit="1" customWidth="1"/>
    <col min="4412" max="4412" width="11.875" bestFit="1" customWidth="1"/>
    <col min="4413" max="4413" width="9.375" bestFit="1" customWidth="1"/>
    <col min="4414" max="4414" width="11.875" bestFit="1" customWidth="1"/>
    <col min="4415" max="4415" width="9.375" bestFit="1" customWidth="1"/>
    <col min="4416" max="4416" width="11.875" bestFit="1" customWidth="1"/>
    <col min="4417" max="4417" width="9.375" bestFit="1" customWidth="1"/>
    <col min="4418" max="4418" width="11.875" bestFit="1" customWidth="1"/>
    <col min="4419" max="4419" width="9.375" bestFit="1" customWidth="1"/>
    <col min="4420" max="4420" width="11.875" bestFit="1" customWidth="1"/>
    <col min="4421" max="4421" width="9.375" bestFit="1" customWidth="1"/>
    <col min="4422" max="4422" width="11.875" bestFit="1" customWidth="1"/>
    <col min="4423" max="4423" width="9.375" bestFit="1" customWidth="1"/>
    <col min="4424" max="4424" width="11.875" bestFit="1" customWidth="1"/>
    <col min="4425" max="4425" width="9.375" bestFit="1" customWidth="1"/>
    <col min="4426" max="4426" width="11.875" bestFit="1" customWidth="1"/>
    <col min="4427" max="4427" width="9.375" bestFit="1" customWidth="1"/>
    <col min="4428" max="4428" width="11.875" bestFit="1" customWidth="1"/>
    <col min="4429" max="4429" width="9.375" bestFit="1" customWidth="1"/>
    <col min="4430" max="4430" width="11.875" bestFit="1" customWidth="1"/>
    <col min="4431" max="4431" width="9.375" bestFit="1" customWidth="1"/>
    <col min="4432" max="4432" width="11.875" bestFit="1" customWidth="1"/>
    <col min="4433" max="4433" width="9.375" bestFit="1" customWidth="1"/>
    <col min="4434" max="4434" width="11.875" bestFit="1" customWidth="1"/>
    <col min="4435" max="4435" width="9.375" bestFit="1" customWidth="1"/>
    <col min="4436" max="4436" width="11.875" bestFit="1" customWidth="1"/>
    <col min="4437" max="4437" width="9.375" bestFit="1" customWidth="1"/>
    <col min="4438" max="4438" width="11.875" bestFit="1" customWidth="1"/>
    <col min="4439" max="4439" width="9.375" bestFit="1" customWidth="1"/>
    <col min="4440" max="4440" width="11.875" bestFit="1" customWidth="1"/>
    <col min="4441" max="4441" width="9.375" bestFit="1" customWidth="1"/>
    <col min="4442" max="4442" width="11.875" bestFit="1" customWidth="1"/>
    <col min="4443" max="4443" width="9.375" bestFit="1" customWidth="1"/>
    <col min="4444" max="4444" width="11.875" bestFit="1" customWidth="1"/>
    <col min="4445" max="4445" width="9.375" bestFit="1" customWidth="1"/>
    <col min="4446" max="4446" width="11.875" bestFit="1" customWidth="1"/>
    <col min="4447" max="4447" width="9.375" bestFit="1" customWidth="1"/>
    <col min="4448" max="4448" width="11.875" bestFit="1" customWidth="1"/>
    <col min="4449" max="4449" width="9.375" bestFit="1" customWidth="1"/>
    <col min="4450" max="4450" width="11.875" bestFit="1" customWidth="1"/>
    <col min="4451" max="4451" width="9.375" bestFit="1" customWidth="1"/>
    <col min="4452" max="4452" width="11.875" bestFit="1" customWidth="1"/>
    <col min="4453" max="4453" width="9.375" bestFit="1" customWidth="1"/>
    <col min="4454" max="4454" width="11.875" bestFit="1" customWidth="1"/>
    <col min="4455" max="4455" width="9.375" bestFit="1" customWidth="1"/>
    <col min="4456" max="4456" width="11.875" bestFit="1" customWidth="1"/>
    <col min="4457" max="4457" width="9.375" bestFit="1" customWidth="1"/>
    <col min="4458" max="4458" width="11.875" bestFit="1" customWidth="1"/>
    <col min="4459" max="4459" width="9.375" bestFit="1" customWidth="1"/>
    <col min="4460" max="4460" width="11.875" bestFit="1" customWidth="1"/>
    <col min="4461" max="4461" width="9.375" bestFit="1" customWidth="1"/>
    <col min="4462" max="4462" width="11.875" bestFit="1" customWidth="1"/>
    <col min="4463" max="4463" width="9.375" bestFit="1" customWidth="1"/>
    <col min="4464" max="4464" width="11.875" bestFit="1" customWidth="1"/>
    <col min="4465" max="4465" width="9.375" bestFit="1" customWidth="1"/>
    <col min="4466" max="4466" width="11.875" bestFit="1" customWidth="1"/>
    <col min="4467" max="4467" width="9.375" bestFit="1" customWidth="1"/>
    <col min="4468" max="4468" width="11.875" bestFit="1" customWidth="1"/>
    <col min="4469" max="4469" width="9.375" bestFit="1" customWidth="1"/>
    <col min="4470" max="4470" width="11.875" bestFit="1" customWidth="1"/>
    <col min="4471" max="4471" width="9.375" bestFit="1" customWidth="1"/>
    <col min="4472" max="4472" width="11.875" bestFit="1" customWidth="1"/>
    <col min="4473" max="4473" width="9.375" bestFit="1" customWidth="1"/>
    <col min="4474" max="4474" width="11.875" bestFit="1" customWidth="1"/>
    <col min="4475" max="4475" width="9.375" bestFit="1" customWidth="1"/>
    <col min="4476" max="4476" width="11.875" bestFit="1" customWidth="1"/>
    <col min="4477" max="4477" width="9.375" bestFit="1" customWidth="1"/>
    <col min="4478" max="4478" width="11.875" bestFit="1" customWidth="1"/>
    <col min="4479" max="4479" width="9.375" bestFit="1" customWidth="1"/>
    <col min="4480" max="4480" width="11.875" bestFit="1" customWidth="1"/>
    <col min="4481" max="4481" width="9.375" bestFit="1" customWidth="1"/>
    <col min="4482" max="4482" width="11.875" bestFit="1" customWidth="1"/>
    <col min="4483" max="4483" width="9.375" bestFit="1" customWidth="1"/>
    <col min="4484" max="4484" width="11.875" bestFit="1" customWidth="1"/>
    <col min="4485" max="4485" width="9.375" bestFit="1" customWidth="1"/>
    <col min="4486" max="4486" width="11.875" bestFit="1" customWidth="1"/>
    <col min="4487" max="4487" width="9.375" bestFit="1" customWidth="1"/>
    <col min="4488" max="4488" width="11.875" bestFit="1" customWidth="1"/>
    <col min="4489" max="4489" width="9.375" bestFit="1" customWidth="1"/>
    <col min="4490" max="4490" width="11.875" bestFit="1" customWidth="1"/>
    <col min="4491" max="4491" width="9.375" bestFit="1" customWidth="1"/>
    <col min="4492" max="4492" width="11.875" bestFit="1" customWidth="1"/>
    <col min="4493" max="4493" width="9.375" bestFit="1" customWidth="1"/>
    <col min="4494" max="4494" width="11.875" bestFit="1" customWidth="1"/>
    <col min="4495" max="4495" width="9.375" bestFit="1" customWidth="1"/>
    <col min="4496" max="4496" width="11.875" bestFit="1" customWidth="1"/>
    <col min="4497" max="4497" width="9.375" bestFit="1" customWidth="1"/>
    <col min="4498" max="4498" width="11.875" bestFit="1" customWidth="1"/>
    <col min="4499" max="4499" width="9.375" bestFit="1" customWidth="1"/>
    <col min="4500" max="4500" width="11.875" bestFit="1" customWidth="1"/>
    <col min="4501" max="4501" width="9.375" bestFit="1" customWidth="1"/>
    <col min="4502" max="4502" width="11.875" bestFit="1" customWidth="1"/>
    <col min="4503" max="4503" width="9.375" bestFit="1" customWidth="1"/>
    <col min="4504" max="4504" width="7" bestFit="1" customWidth="1"/>
    <col min="4505" max="4505" width="11.875" bestFit="1" customWidth="1"/>
    <col min="4506" max="4506" width="9.375" bestFit="1" customWidth="1"/>
    <col min="4507" max="4507" width="11.875" bestFit="1" customWidth="1"/>
    <col min="4508" max="4508" width="9.375" bestFit="1" customWidth="1"/>
    <col min="4509" max="4509" width="11.875" bestFit="1" customWidth="1"/>
    <col min="4510" max="4510" width="9.375" bestFit="1" customWidth="1"/>
    <col min="4511" max="4511" width="11.875" bestFit="1" customWidth="1"/>
    <col min="4512" max="4512" width="9.375" bestFit="1" customWidth="1"/>
    <col min="4513" max="4513" width="11.875" bestFit="1" customWidth="1"/>
    <col min="4514" max="4514" width="9.375" bestFit="1" customWidth="1"/>
    <col min="4515" max="4515" width="11.875" bestFit="1" customWidth="1"/>
    <col min="4516" max="4516" width="9.375" bestFit="1" customWidth="1"/>
    <col min="4517" max="4517" width="11.875" bestFit="1" customWidth="1"/>
    <col min="4518" max="4518" width="9.375" bestFit="1" customWidth="1"/>
    <col min="4519" max="4519" width="11.875" bestFit="1" customWidth="1"/>
    <col min="4520" max="4520" width="9.375" bestFit="1" customWidth="1"/>
    <col min="4521" max="4521" width="11.875" bestFit="1" customWidth="1"/>
    <col min="4522" max="4522" width="9.375" bestFit="1" customWidth="1"/>
    <col min="4523" max="4523" width="11.875" bestFit="1" customWidth="1"/>
    <col min="4524" max="4524" width="9.375" bestFit="1" customWidth="1"/>
    <col min="4525" max="4525" width="11.875" bestFit="1" customWidth="1"/>
    <col min="4526" max="4526" width="9.375" bestFit="1" customWidth="1"/>
    <col min="4527" max="4527" width="11.875" bestFit="1" customWidth="1"/>
    <col min="4528" max="4528" width="9.375" bestFit="1" customWidth="1"/>
    <col min="4529" max="4529" width="11.875" bestFit="1" customWidth="1"/>
    <col min="4530" max="4530" width="9.375" bestFit="1" customWidth="1"/>
    <col min="4531" max="4531" width="11.875" bestFit="1" customWidth="1"/>
    <col min="4532" max="4532" width="9.375" bestFit="1" customWidth="1"/>
    <col min="4533" max="4533" width="11.875" bestFit="1" customWidth="1"/>
    <col min="4534" max="4534" width="9.375" bestFit="1" customWidth="1"/>
    <col min="4535" max="4535" width="11.875" bestFit="1" customWidth="1"/>
    <col min="4536" max="4536" width="9.375" bestFit="1" customWidth="1"/>
    <col min="4537" max="4537" width="11.875" bestFit="1" customWidth="1"/>
    <col min="4538" max="4538" width="9.375" bestFit="1" customWidth="1"/>
    <col min="4539" max="4539" width="11.875" bestFit="1" customWidth="1"/>
    <col min="4540" max="4540" width="9.375" bestFit="1" customWidth="1"/>
    <col min="4541" max="4541" width="11.875" bestFit="1" customWidth="1"/>
    <col min="4542" max="4542" width="9.375" bestFit="1" customWidth="1"/>
    <col min="4543" max="4543" width="11.875" bestFit="1" customWidth="1"/>
    <col min="4544" max="4544" width="9.375" bestFit="1" customWidth="1"/>
    <col min="4545" max="4545" width="7" bestFit="1" customWidth="1"/>
    <col min="4546" max="4546" width="11.875" bestFit="1" customWidth="1"/>
    <col min="4547" max="4547" width="9.375" bestFit="1" customWidth="1"/>
    <col min="4548" max="4548" width="11.875" bestFit="1" customWidth="1"/>
    <col min="4549" max="4549" width="9.375" bestFit="1" customWidth="1"/>
    <col min="4550" max="4550" width="11.875" bestFit="1" customWidth="1"/>
    <col min="4551" max="4551" width="9.375" bestFit="1" customWidth="1"/>
    <col min="4552" max="4552" width="11.875" bestFit="1" customWidth="1"/>
    <col min="4553" max="4553" width="9.375" bestFit="1" customWidth="1"/>
    <col min="4554" max="4554" width="11.875" bestFit="1" customWidth="1"/>
    <col min="4555" max="4555" width="9.375" bestFit="1" customWidth="1"/>
    <col min="4556" max="4556" width="11.875" bestFit="1" customWidth="1"/>
    <col min="4557" max="4557" width="9.375" bestFit="1" customWidth="1"/>
    <col min="4558" max="4558" width="11.875" bestFit="1" customWidth="1"/>
    <col min="4559" max="4559" width="9.375" bestFit="1" customWidth="1"/>
    <col min="4560" max="4560" width="11.875" bestFit="1" customWidth="1"/>
    <col min="4561" max="4561" width="9.375" bestFit="1" customWidth="1"/>
    <col min="4562" max="4562" width="11.875" bestFit="1" customWidth="1"/>
    <col min="4563" max="4563" width="9.375" bestFit="1" customWidth="1"/>
    <col min="4564" max="4564" width="11.875" bestFit="1" customWidth="1"/>
    <col min="4565" max="4565" width="9.375" bestFit="1" customWidth="1"/>
    <col min="4566" max="4566" width="7" bestFit="1" customWidth="1"/>
    <col min="4567" max="4567" width="11.875" bestFit="1" customWidth="1"/>
    <col min="4568" max="4568" width="9.375" bestFit="1" customWidth="1"/>
    <col min="4569" max="4569" width="11.875" bestFit="1" customWidth="1"/>
    <col min="4570" max="4570" width="9.375" bestFit="1" customWidth="1"/>
    <col min="4571" max="4571" width="11.875" bestFit="1" customWidth="1"/>
    <col min="4572" max="4572" width="9.375" bestFit="1" customWidth="1"/>
    <col min="4573" max="4573" width="11.875" bestFit="1" customWidth="1"/>
    <col min="4574" max="4574" width="9.375" bestFit="1" customWidth="1"/>
    <col min="4575" max="4575" width="11.875" bestFit="1" customWidth="1"/>
    <col min="4576" max="4576" width="9.375" bestFit="1" customWidth="1"/>
    <col min="4577" max="4577" width="11.875" bestFit="1" customWidth="1"/>
    <col min="4578" max="4578" width="9.375" bestFit="1" customWidth="1"/>
    <col min="4579" max="4579" width="11.875" bestFit="1" customWidth="1"/>
    <col min="4580" max="4580" width="9.375" bestFit="1" customWidth="1"/>
    <col min="4581" max="4581" width="7" bestFit="1" customWidth="1"/>
    <col min="4582" max="4582" width="11.875" bestFit="1" customWidth="1"/>
    <col min="4583" max="4583" width="9.375" bestFit="1" customWidth="1"/>
    <col min="4584" max="4584" width="7" bestFit="1" customWidth="1"/>
    <col min="4585" max="4585" width="11.875" bestFit="1" customWidth="1"/>
    <col min="4586" max="4586" width="9.375" bestFit="1" customWidth="1"/>
    <col min="4587" max="4587" width="7" bestFit="1" customWidth="1"/>
    <col min="4588" max="4588" width="11.875" bestFit="1" customWidth="1"/>
    <col min="4589" max="4589" width="9.375" bestFit="1" customWidth="1"/>
    <col min="4590" max="4590" width="11.875" bestFit="1" customWidth="1"/>
    <col min="4591" max="4591" width="9.375" bestFit="1" customWidth="1"/>
    <col min="4592" max="4592" width="11.875" bestFit="1" customWidth="1"/>
    <col min="4593" max="4593" width="9.375" bestFit="1" customWidth="1"/>
    <col min="4594" max="4594" width="11.875" bestFit="1" customWidth="1"/>
    <col min="4595" max="4595" width="9.375" bestFit="1" customWidth="1"/>
    <col min="4596" max="4596" width="11.875" bestFit="1" customWidth="1"/>
    <col min="4597" max="4597" width="9.375" bestFit="1" customWidth="1"/>
    <col min="4598" max="4598" width="11.875" bestFit="1" customWidth="1"/>
    <col min="4599" max="4599" width="9.375" bestFit="1" customWidth="1"/>
    <col min="4600" max="4600" width="11.875" bestFit="1" customWidth="1"/>
    <col min="4601" max="4601" width="9.375" bestFit="1" customWidth="1"/>
    <col min="4602" max="4602" width="11.875" bestFit="1" customWidth="1"/>
    <col min="4603" max="4603" width="9.375" bestFit="1" customWidth="1"/>
    <col min="4604" max="4604" width="11.875" bestFit="1" customWidth="1"/>
    <col min="4605" max="4605" width="9.375" bestFit="1" customWidth="1"/>
    <col min="4606" max="4606" width="11.875" bestFit="1" customWidth="1"/>
    <col min="4607" max="4607" width="9.375" bestFit="1" customWidth="1"/>
    <col min="4608" max="4608" width="11.875" bestFit="1" customWidth="1"/>
    <col min="4609" max="4609" width="9.375" bestFit="1" customWidth="1"/>
    <col min="4610" max="4610" width="11.875" bestFit="1" customWidth="1"/>
    <col min="4611" max="4611" width="9.375" bestFit="1" customWidth="1"/>
    <col min="4612" max="4612" width="11.875" bestFit="1" customWidth="1"/>
    <col min="4613" max="4613" width="9.375" bestFit="1" customWidth="1"/>
    <col min="4614" max="4614" width="11.875" bestFit="1" customWidth="1"/>
    <col min="4615" max="4615" width="9.375" bestFit="1" customWidth="1"/>
    <col min="4616" max="4616" width="11.875" bestFit="1" customWidth="1"/>
    <col min="4617" max="4617" width="9.375" bestFit="1" customWidth="1"/>
    <col min="4618" max="4618" width="11.875" bestFit="1" customWidth="1"/>
    <col min="4619" max="4619" width="9.375" bestFit="1" customWidth="1"/>
    <col min="4620" max="4620" width="11.875" bestFit="1" customWidth="1"/>
    <col min="4621" max="4621" width="9.375" bestFit="1" customWidth="1"/>
    <col min="4622" max="4622" width="11.875" bestFit="1" customWidth="1"/>
    <col min="4623" max="4623" width="9.375" bestFit="1" customWidth="1"/>
    <col min="4624" max="4624" width="11.875" bestFit="1" customWidth="1"/>
    <col min="4625" max="4625" width="9.375" bestFit="1" customWidth="1"/>
    <col min="4626" max="4626" width="11.875" bestFit="1" customWidth="1"/>
    <col min="4627" max="4627" width="9.375" bestFit="1" customWidth="1"/>
    <col min="4628" max="4628" width="11.875" bestFit="1" customWidth="1"/>
    <col min="4629" max="4629" width="9.375" bestFit="1" customWidth="1"/>
    <col min="4630" max="4630" width="11.875" bestFit="1" customWidth="1"/>
    <col min="4631" max="4631" width="9.375" bestFit="1" customWidth="1"/>
    <col min="4632" max="4632" width="11.875" bestFit="1" customWidth="1"/>
    <col min="4633" max="4633" width="9.375" bestFit="1" customWidth="1"/>
    <col min="4634" max="4634" width="11.875" bestFit="1" customWidth="1"/>
    <col min="4635" max="4635" width="9.375" bestFit="1" customWidth="1"/>
    <col min="4636" max="4636" width="11.875" bestFit="1" customWidth="1"/>
    <col min="4637" max="4637" width="9.375" bestFit="1" customWidth="1"/>
    <col min="4638" max="4638" width="11.875" bestFit="1" customWidth="1"/>
    <col min="4639" max="4639" width="9.375" bestFit="1" customWidth="1"/>
    <col min="4640" max="4640" width="11.875" bestFit="1" customWidth="1"/>
    <col min="4641" max="4641" width="9.375" bestFit="1" customWidth="1"/>
    <col min="4642" max="4642" width="11.875" bestFit="1" customWidth="1"/>
    <col min="4643" max="4643" width="9.375" bestFit="1" customWidth="1"/>
    <col min="4644" max="4644" width="11.875" bestFit="1" customWidth="1"/>
    <col min="4645" max="4645" width="9.375" bestFit="1" customWidth="1"/>
    <col min="4646" max="4646" width="11.875" bestFit="1" customWidth="1"/>
    <col min="4647" max="4647" width="9.375" bestFit="1" customWidth="1"/>
    <col min="4648" max="4648" width="11.875" bestFit="1" customWidth="1"/>
    <col min="4649" max="4649" width="9.375" bestFit="1" customWidth="1"/>
    <col min="4650" max="4650" width="11.875" bestFit="1" customWidth="1"/>
    <col min="4651" max="4651" width="9.375" bestFit="1" customWidth="1"/>
    <col min="4652" max="4652" width="11.875" bestFit="1" customWidth="1"/>
    <col min="4653" max="4653" width="9.375" bestFit="1" customWidth="1"/>
    <col min="4654" max="4654" width="11.875" bestFit="1" customWidth="1"/>
    <col min="4655" max="4655" width="9.375" bestFit="1" customWidth="1"/>
    <col min="4656" max="4656" width="11.875" bestFit="1" customWidth="1"/>
    <col min="4657" max="4657" width="9.375" bestFit="1" customWidth="1"/>
    <col min="4658" max="4658" width="11.875" bestFit="1" customWidth="1"/>
    <col min="4659" max="4659" width="9.375" bestFit="1" customWidth="1"/>
    <col min="4660" max="4660" width="11.875" bestFit="1" customWidth="1"/>
    <col min="4661" max="4661" width="9.375" bestFit="1" customWidth="1"/>
    <col min="4662" max="4662" width="11.875" bestFit="1" customWidth="1"/>
    <col min="4663" max="4663" width="9.375" bestFit="1" customWidth="1"/>
    <col min="4664" max="4664" width="11.875" bestFit="1" customWidth="1"/>
    <col min="4665" max="4665" width="9.375" bestFit="1" customWidth="1"/>
    <col min="4666" max="4666" width="11.875" bestFit="1" customWidth="1"/>
    <col min="4667" max="4667" width="9.375" bestFit="1" customWidth="1"/>
    <col min="4668" max="4668" width="11.875" bestFit="1" customWidth="1"/>
    <col min="4669" max="4669" width="9.375" bestFit="1" customWidth="1"/>
    <col min="4670" max="4670" width="11.875" bestFit="1" customWidth="1"/>
    <col min="4671" max="4671" width="9.375" bestFit="1" customWidth="1"/>
    <col min="4672" max="4672" width="11.875" bestFit="1" customWidth="1"/>
    <col min="4673" max="4673" width="9.375" bestFit="1" customWidth="1"/>
    <col min="4674" max="4674" width="11.875" bestFit="1" customWidth="1"/>
    <col min="4675" max="4675" width="9.375" bestFit="1" customWidth="1"/>
    <col min="4676" max="4676" width="11.875" bestFit="1" customWidth="1"/>
    <col min="4677" max="4677" width="9.375" bestFit="1" customWidth="1"/>
    <col min="4678" max="4678" width="11.875" bestFit="1" customWidth="1"/>
    <col min="4679" max="4679" width="9.375" bestFit="1" customWidth="1"/>
    <col min="4680" max="4680" width="11.875" bestFit="1" customWidth="1"/>
    <col min="4681" max="4681" width="9.375" bestFit="1" customWidth="1"/>
    <col min="4682" max="4682" width="11.875" bestFit="1" customWidth="1"/>
    <col min="4683" max="4683" width="9.375" bestFit="1" customWidth="1"/>
    <col min="4684" max="4684" width="11.875" bestFit="1" customWidth="1"/>
    <col min="4685" max="4685" width="9.375" bestFit="1" customWidth="1"/>
    <col min="4686" max="4686" width="11.875" bestFit="1" customWidth="1"/>
    <col min="4687" max="4687" width="9.375" bestFit="1" customWidth="1"/>
    <col min="4688" max="4688" width="11.875" bestFit="1" customWidth="1"/>
    <col min="4689" max="4689" width="9.375" bestFit="1" customWidth="1"/>
    <col min="4690" max="4690" width="11.875" bestFit="1" customWidth="1"/>
    <col min="4691" max="4691" width="9.375" bestFit="1" customWidth="1"/>
    <col min="4692" max="4692" width="11.875" bestFit="1" customWidth="1"/>
    <col min="4693" max="4693" width="9.375" bestFit="1" customWidth="1"/>
    <col min="4694" max="4694" width="11.875" bestFit="1" customWidth="1"/>
    <col min="4695" max="4695" width="9.375" bestFit="1" customWidth="1"/>
    <col min="4696" max="4696" width="11.875" bestFit="1" customWidth="1"/>
    <col min="4697" max="4697" width="9.375" bestFit="1" customWidth="1"/>
    <col min="4698" max="4698" width="11.875" bestFit="1" customWidth="1"/>
    <col min="4699" max="4699" width="9.375" bestFit="1" customWidth="1"/>
    <col min="4700" max="4700" width="11.875" bestFit="1" customWidth="1"/>
    <col min="4701" max="4701" width="9.375" bestFit="1" customWidth="1"/>
    <col min="4702" max="4702" width="11.875" bestFit="1" customWidth="1"/>
    <col min="4703" max="4703" width="9.375" bestFit="1" customWidth="1"/>
    <col min="4704" max="4704" width="11.875" bestFit="1" customWidth="1"/>
    <col min="4705" max="4705" width="9.375" bestFit="1" customWidth="1"/>
    <col min="4706" max="4706" width="11.875" bestFit="1" customWidth="1"/>
    <col min="4707" max="4707" width="9.375" bestFit="1" customWidth="1"/>
    <col min="4708" max="4708" width="11.875" bestFit="1" customWidth="1"/>
    <col min="4709" max="4709" width="9.375" bestFit="1" customWidth="1"/>
    <col min="4710" max="4710" width="11.875" bestFit="1" customWidth="1"/>
    <col min="4711" max="4711" width="9.375" bestFit="1" customWidth="1"/>
    <col min="4712" max="4712" width="11.875" bestFit="1" customWidth="1"/>
    <col min="4713" max="4713" width="9.375" bestFit="1" customWidth="1"/>
    <col min="4714" max="4714" width="11.875" bestFit="1" customWidth="1"/>
    <col min="4715" max="4715" width="9.375" bestFit="1" customWidth="1"/>
    <col min="4716" max="4716" width="11.875" bestFit="1" customWidth="1"/>
    <col min="4717" max="4717" width="9.375" bestFit="1" customWidth="1"/>
    <col min="4718" max="4718" width="11.875" bestFit="1" customWidth="1"/>
    <col min="4719" max="4719" width="9.375" bestFit="1" customWidth="1"/>
    <col min="4720" max="4720" width="11.875" bestFit="1" customWidth="1"/>
    <col min="4721" max="4721" width="9.375" bestFit="1" customWidth="1"/>
    <col min="4722" max="4722" width="11.875" bestFit="1" customWidth="1"/>
    <col min="4723" max="4723" width="9.375" bestFit="1" customWidth="1"/>
    <col min="4724" max="4724" width="11.875" bestFit="1" customWidth="1"/>
    <col min="4725" max="4725" width="9.375" bestFit="1" customWidth="1"/>
    <col min="4726" max="4726" width="11.875" bestFit="1" customWidth="1"/>
    <col min="4727" max="4727" width="9.375" bestFit="1" customWidth="1"/>
    <col min="4728" max="4728" width="11.875" bestFit="1" customWidth="1"/>
    <col min="4729" max="4729" width="9.375" bestFit="1" customWidth="1"/>
    <col min="4730" max="4730" width="11.875" bestFit="1" customWidth="1"/>
    <col min="4731" max="4731" width="9.375" bestFit="1" customWidth="1"/>
    <col min="4732" max="4732" width="11.875" bestFit="1" customWidth="1"/>
    <col min="4733" max="4733" width="9.375" bestFit="1" customWidth="1"/>
    <col min="4734" max="4734" width="11.875" bestFit="1" customWidth="1"/>
    <col min="4735" max="4735" width="9.375" bestFit="1" customWidth="1"/>
    <col min="4736" max="4736" width="11.875" bestFit="1" customWidth="1"/>
    <col min="4737" max="4737" width="9.375" bestFit="1" customWidth="1"/>
    <col min="4738" max="4738" width="11.875" bestFit="1" customWidth="1"/>
    <col min="4739" max="4739" width="9.375" bestFit="1" customWidth="1"/>
    <col min="4740" max="4740" width="11.875" bestFit="1" customWidth="1"/>
    <col min="4741" max="4741" width="9.375" bestFit="1" customWidth="1"/>
    <col min="4742" max="4742" width="11.875" bestFit="1" customWidth="1"/>
    <col min="4743" max="4743" width="9.375" bestFit="1" customWidth="1"/>
    <col min="4744" max="4744" width="11.875" bestFit="1" customWidth="1"/>
    <col min="4745" max="4745" width="9.375" bestFit="1" customWidth="1"/>
    <col min="4746" max="4746" width="11.875" bestFit="1" customWidth="1"/>
    <col min="4747" max="4747" width="9.375" bestFit="1" customWidth="1"/>
    <col min="4748" max="4748" width="11.875" bestFit="1" customWidth="1"/>
    <col min="4749" max="4749" width="9.375" bestFit="1" customWidth="1"/>
    <col min="4750" max="4750" width="11.875" bestFit="1" customWidth="1"/>
    <col min="4751" max="4751" width="9.375" bestFit="1" customWidth="1"/>
    <col min="4752" max="4752" width="11.875" bestFit="1" customWidth="1"/>
    <col min="4753" max="4753" width="9.375" bestFit="1" customWidth="1"/>
    <col min="4754" max="4754" width="11.875" bestFit="1" customWidth="1"/>
    <col min="4755" max="4755" width="9.375" bestFit="1" customWidth="1"/>
    <col min="4756" max="4756" width="11.875" bestFit="1" customWidth="1"/>
    <col min="4757" max="4757" width="9.375" bestFit="1" customWidth="1"/>
    <col min="4758" max="4758" width="11.875" bestFit="1" customWidth="1"/>
    <col min="4759" max="4759" width="9.375" bestFit="1" customWidth="1"/>
    <col min="4760" max="4760" width="11.875" bestFit="1" customWidth="1"/>
    <col min="4761" max="4761" width="9.375" bestFit="1" customWidth="1"/>
    <col min="4762" max="4762" width="11.875" bestFit="1" customWidth="1"/>
    <col min="4763" max="4763" width="9.375" bestFit="1" customWidth="1"/>
    <col min="4764" max="4764" width="11.875" bestFit="1" customWidth="1"/>
    <col min="4765" max="4765" width="9.375" bestFit="1" customWidth="1"/>
    <col min="4766" max="4766" width="11.875" bestFit="1" customWidth="1"/>
    <col min="4767" max="4767" width="9.375" bestFit="1" customWidth="1"/>
    <col min="4768" max="4768" width="11.875" bestFit="1" customWidth="1"/>
    <col min="4769" max="4769" width="9.375" bestFit="1" customWidth="1"/>
    <col min="4770" max="4770" width="11.875" bestFit="1" customWidth="1"/>
    <col min="4771" max="4771" width="9.375" bestFit="1" customWidth="1"/>
    <col min="4772" max="4772" width="11.875" bestFit="1" customWidth="1"/>
    <col min="4773" max="4773" width="9.375" bestFit="1" customWidth="1"/>
    <col min="4774" max="4774" width="11.875" bestFit="1" customWidth="1"/>
    <col min="4775" max="4775" width="9.375" bestFit="1" customWidth="1"/>
    <col min="4776" max="4776" width="11.875" bestFit="1" customWidth="1"/>
    <col min="4777" max="4777" width="9.375" bestFit="1" customWidth="1"/>
    <col min="4778" max="4778" width="11.875" bestFit="1" customWidth="1"/>
    <col min="4779" max="4779" width="9.375" bestFit="1" customWidth="1"/>
    <col min="4780" max="4780" width="11.875" bestFit="1" customWidth="1"/>
    <col min="4781" max="4781" width="9.375" bestFit="1" customWidth="1"/>
    <col min="4782" max="4782" width="11.875" bestFit="1" customWidth="1"/>
    <col min="4783" max="4783" width="9.375" bestFit="1" customWidth="1"/>
    <col min="4784" max="4784" width="11.875" bestFit="1" customWidth="1"/>
    <col min="4785" max="4785" width="9.375" bestFit="1" customWidth="1"/>
    <col min="4786" max="4786" width="11.875" bestFit="1" customWidth="1"/>
    <col min="4787" max="4787" width="9.375" bestFit="1" customWidth="1"/>
    <col min="4788" max="4788" width="7" bestFit="1" customWidth="1"/>
    <col min="4789" max="4789" width="11.875" bestFit="1" customWidth="1"/>
    <col min="4790" max="4790" width="9.375" bestFit="1" customWidth="1"/>
    <col min="4791" max="4791" width="11.875" bestFit="1" customWidth="1"/>
    <col min="4792" max="4792" width="9.375" bestFit="1" customWidth="1"/>
    <col min="4793" max="4793" width="11.875" bestFit="1" customWidth="1"/>
    <col min="4794" max="4794" width="9.375" bestFit="1" customWidth="1"/>
    <col min="4795" max="4795" width="11.875" bestFit="1" customWidth="1"/>
    <col min="4796" max="4796" width="9.375" bestFit="1" customWidth="1"/>
    <col min="4797" max="4797" width="11.875" bestFit="1" customWidth="1"/>
    <col min="4798" max="4798" width="9.375" bestFit="1" customWidth="1"/>
    <col min="4799" max="4799" width="11.875" bestFit="1" customWidth="1"/>
    <col min="4800" max="4800" width="9.375" bestFit="1" customWidth="1"/>
    <col min="4801" max="4801" width="11.875" bestFit="1" customWidth="1"/>
    <col min="4802" max="4802" width="9.375" bestFit="1" customWidth="1"/>
    <col min="4803" max="4803" width="11.875" bestFit="1" customWidth="1"/>
    <col min="4804" max="4804" width="9.375" bestFit="1" customWidth="1"/>
    <col min="4805" max="4805" width="11.875" bestFit="1" customWidth="1"/>
    <col min="4806" max="4806" width="9.375" bestFit="1" customWidth="1"/>
    <col min="4807" max="4807" width="11.875" bestFit="1" customWidth="1"/>
    <col min="4808" max="4808" width="9.375" bestFit="1" customWidth="1"/>
    <col min="4809" max="4809" width="11.875" bestFit="1" customWidth="1"/>
    <col min="4810" max="4810" width="9.375" bestFit="1" customWidth="1"/>
    <col min="4811" max="4811" width="11.875" bestFit="1" customWidth="1"/>
    <col min="4812" max="4812" width="9.375" bestFit="1" customWidth="1"/>
    <col min="4813" max="4813" width="11.875" bestFit="1" customWidth="1"/>
    <col min="4814" max="4814" width="9.375" bestFit="1" customWidth="1"/>
    <col min="4815" max="4815" width="11.875" bestFit="1" customWidth="1"/>
    <col min="4816" max="4816" width="9.375" bestFit="1" customWidth="1"/>
    <col min="4817" max="4817" width="11.875" bestFit="1" customWidth="1"/>
    <col min="4818" max="4818" width="9.375" bestFit="1" customWidth="1"/>
    <col min="4819" max="4819" width="11.875" bestFit="1" customWidth="1"/>
    <col min="4820" max="4820" width="9.375" bestFit="1" customWidth="1"/>
    <col min="4821" max="4821" width="11.875" bestFit="1" customWidth="1"/>
    <col min="4822" max="4822" width="9.375" bestFit="1" customWidth="1"/>
    <col min="4823" max="4823" width="11.875" bestFit="1" customWidth="1"/>
    <col min="4824" max="4824" width="9.375" bestFit="1" customWidth="1"/>
    <col min="4825" max="4825" width="11.875" bestFit="1" customWidth="1"/>
    <col min="4826" max="4826" width="9.375" bestFit="1" customWidth="1"/>
    <col min="4827" max="4827" width="11.875" bestFit="1" customWidth="1"/>
    <col min="4828" max="4828" width="9.375" bestFit="1" customWidth="1"/>
    <col min="4829" max="4829" width="11.875" bestFit="1" customWidth="1"/>
    <col min="4830" max="4830" width="9.375" bestFit="1" customWidth="1"/>
    <col min="4831" max="4831" width="11.875" bestFit="1" customWidth="1"/>
    <col min="4832" max="4832" width="9.375" bestFit="1" customWidth="1"/>
    <col min="4833" max="4833" width="11.875" bestFit="1" customWidth="1"/>
    <col min="4834" max="4834" width="9.375" bestFit="1" customWidth="1"/>
    <col min="4835" max="4835" width="11.875" bestFit="1" customWidth="1"/>
    <col min="4836" max="4836" width="9.375" bestFit="1" customWidth="1"/>
    <col min="4837" max="4837" width="11.875" bestFit="1" customWidth="1"/>
    <col min="4838" max="4838" width="9.375" bestFit="1" customWidth="1"/>
    <col min="4839" max="4839" width="11.875" bestFit="1" customWidth="1"/>
    <col min="4840" max="4840" width="9.375" bestFit="1" customWidth="1"/>
    <col min="4841" max="4841" width="11.875" bestFit="1" customWidth="1"/>
    <col min="4842" max="4842" width="9.375" bestFit="1" customWidth="1"/>
    <col min="4843" max="4843" width="11.875" bestFit="1" customWidth="1"/>
    <col min="4844" max="4844" width="9.375" bestFit="1" customWidth="1"/>
    <col min="4845" max="4845" width="11.875" bestFit="1" customWidth="1"/>
    <col min="4846" max="4846" width="9.375" bestFit="1" customWidth="1"/>
    <col min="4847" max="4847" width="11.875" bestFit="1" customWidth="1"/>
    <col min="4848" max="4848" width="9.375" bestFit="1" customWidth="1"/>
    <col min="4849" max="4849" width="11.875" bestFit="1" customWidth="1"/>
    <col min="4850" max="4850" width="9.375" bestFit="1" customWidth="1"/>
    <col min="4851" max="4851" width="11.875" bestFit="1" customWidth="1"/>
    <col min="4852" max="4852" width="9.375" bestFit="1" customWidth="1"/>
    <col min="4853" max="4853" width="11.875" bestFit="1" customWidth="1"/>
    <col min="4854" max="4854" width="9.375" bestFit="1" customWidth="1"/>
    <col min="4855" max="4855" width="11.875" bestFit="1" customWidth="1"/>
    <col min="4856" max="4856" width="9.375" bestFit="1" customWidth="1"/>
    <col min="4857" max="4857" width="11.875" bestFit="1" customWidth="1"/>
    <col min="4858" max="4858" width="9.375" bestFit="1" customWidth="1"/>
    <col min="4859" max="4859" width="11.875" bestFit="1" customWidth="1"/>
    <col min="4860" max="4860" width="9.375" bestFit="1" customWidth="1"/>
    <col min="4861" max="4861" width="11.875" bestFit="1" customWidth="1"/>
    <col min="4862" max="4862" width="9.375" bestFit="1" customWidth="1"/>
    <col min="4863" max="4863" width="11.875" bestFit="1" customWidth="1"/>
    <col min="4864" max="4864" width="9.375" bestFit="1" customWidth="1"/>
    <col min="4865" max="4865" width="11.875" bestFit="1" customWidth="1"/>
    <col min="4866" max="4866" width="9.375" bestFit="1" customWidth="1"/>
    <col min="4867" max="4867" width="11.875" bestFit="1" customWidth="1"/>
    <col min="4868" max="4868" width="9.375" bestFit="1" customWidth="1"/>
    <col min="4869" max="4869" width="11.875" bestFit="1" customWidth="1"/>
    <col min="4870" max="4870" width="9.375" bestFit="1" customWidth="1"/>
    <col min="4871" max="4871" width="11.875" bestFit="1" customWidth="1"/>
    <col min="4872" max="4872" width="9.375" bestFit="1" customWidth="1"/>
    <col min="4873" max="4873" width="11.875" bestFit="1" customWidth="1"/>
    <col min="4874" max="4874" width="9.375" bestFit="1" customWidth="1"/>
    <col min="4875" max="4875" width="11.875" bestFit="1" customWidth="1"/>
    <col min="4876" max="4876" width="9.375" bestFit="1" customWidth="1"/>
    <col min="4877" max="4877" width="11.875" bestFit="1" customWidth="1"/>
    <col min="4878" max="4878" width="9.375" bestFit="1" customWidth="1"/>
    <col min="4879" max="4879" width="11.875" bestFit="1" customWidth="1"/>
    <col min="4880" max="4880" width="9.375" bestFit="1" customWidth="1"/>
    <col min="4881" max="4881" width="11.875" bestFit="1" customWidth="1"/>
    <col min="4882" max="4882" width="9.375" bestFit="1" customWidth="1"/>
    <col min="4883" max="4883" width="11.875" bestFit="1" customWidth="1"/>
    <col min="4884" max="4884" width="9.375" bestFit="1" customWidth="1"/>
    <col min="4885" max="4885" width="11.875" bestFit="1" customWidth="1"/>
    <col min="4886" max="4886" width="9.375" bestFit="1" customWidth="1"/>
    <col min="4887" max="4887" width="11.875" bestFit="1" customWidth="1"/>
    <col min="4888" max="4888" width="9.375" bestFit="1" customWidth="1"/>
    <col min="4889" max="4889" width="11.875" bestFit="1" customWidth="1"/>
    <col min="4890" max="4890" width="9.375" bestFit="1" customWidth="1"/>
    <col min="4891" max="4891" width="11.875" bestFit="1" customWidth="1"/>
    <col min="4892" max="4892" width="9.375" bestFit="1" customWidth="1"/>
    <col min="4893" max="4893" width="11.875" bestFit="1" customWidth="1"/>
    <col min="4894" max="4894" width="9.375" bestFit="1" customWidth="1"/>
    <col min="4895" max="4895" width="11.875" bestFit="1" customWidth="1"/>
    <col min="4896" max="4896" width="9.375" bestFit="1" customWidth="1"/>
    <col min="4897" max="4897" width="11.875" bestFit="1" customWidth="1"/>
    <col min="4898" max="4898" width="9.375" bestFit="1" customWidth="1"/>
    <col min="4899" max="4899" width="11.875" bestFit="1" customWidth="1"/>
    <col min="4900" max="4900" width="9.375" bestFit="1" customWidth="1"/>
    <col min="4901" max="4901" width="11.875" bestFit="1" customWidth="1"/>
    <col min="4902" max="4902" width="9.375" bestFit="1" customWidth="1"/>
    <col min="4903" max="4903" width="11.875" bestFit="1" customWidth="1"/>
    <col min="4904" max="4904" width="9.375" bestFit="1" customWidth="1"/>
    <col min="4905" max="4905" width="11.875" bestFit="1" customWidth="1"/>
    <col min="4906" max="4906" width="9.375" bestFit="1" customWidth="1"/>
    <col min="4907" max="4907" width="11.875" bestFit="1" customWidth="1"/>
    <col min="4908" max="4908" width="9.375" bestFit="1" customWidth="1"/>
    <col min="4909" max="4909" width="11.875" bestFit="1" customWidth="1"/>
    <col min="4910" max="4910" width="9.375" bestFit="1" customWidth="1"/>
    <col min="4911" max="4911" width="11.875" bestFit="1" customWidth="1"/>
    <col min="4912" max="4912" width="9.375" bestFit="1" customWidth="1"/>
    <col min="4913" max="4913" width="11.875" bestFit="1" customWidth="1"/>
    <col min="4914" max="4914" width="9.375" bestFit="1" customWidth="1"/>
    <col min="4915" max="4915" width="11.875" bestFit="1" customWidth="1"/>
    <col min="4916" max="4916" width="9.375" bestFit="1" customWidth="1"/>
    <col min="4917" max="4917" width="11.875" bestFit="1" customWidth="1"/>
    <col min="4918" max="4918" width="9.375" bestFit="1" customWidth="1"/>
    <col min="4919" max="4919" width="11.875" bestFit="1" customWidth="1"/>
    <col min="4920" max="4920" width="9.375" bestFit="1" customWidth="1"/>
    <col min="4921" max="4921" width="11.875" bestFit="1" customWidth="1"/>
    <col min="4922" max="4922" width="9.375" bestFit="1" customWidth="1"/>
    <col min="4923" max="4923" width="7" bestFit="1" customWidth="1"/>
    <col min="4924" max="4924" width="11.875" bestFit="1" customWidth="1"/>
    <col min="4925" max="4925" width="9.375" bestFit="1" customWidth="1"/>
    <col min="4926" max="4926" width="11.875" bestFit="1" customWidth="1"/>
    <col min="4927" max="4927" width="9.375" bestFit="1" customWidth="1"/>
    <col min="4928" max="4928" width="11.875" bestFit="1" customWidth="1"/>
    <col min="4929" max="4929" width="9.375" bestFit="1" customWidth="1"/>
    <col min="4930" max="4930" width="11.875" bestFit="1" customWidth="1"/>
    <col min="4931" max="4931" width="9.375" bestFit="1" customWidth="1"/>
    <col min="4932" max="4932" width="11.875" bestFit="1" customWidth="1"/>
    <col min="4933" max="4933" width="9.375" bestFit="1" customWidth="1"/>
    <col min="4934" max="4934" width="11.875" bestFit="1" customWidth="1"/>
    <col min="4935" max="4935" width="9.375" bestFit="1" customWidth="1"/>
    <col min="4936" max="4936" width="11.875" bestFit="1" customWidth="1"/>
    <col min="4937" max="4937" width="9.375" bestFit="1" customWidth="1"/>
    <col min="4938" max="4938" width="11.875" bestFit="1" customWidth="1"/>
    <col min="4939" max="4939" width="9.375" bestFit="1" customWidth="1"/>
    <col min="4940" max="4940" width="11.875" bestFit="1" customWidth="1"/>
    <col min="4941" max="4941" width="9.375" bestFit="1" customWidth="1"/>
    <col min="4942" max="4942" width="11.875" bestFit="1" customWidth="1"/>
    <col min="4943" max="4943" width="9.375" bestFit="1" customWidth="1"/>
    <col min="4944" max="4944" width="11.875" bestFit="1" customWidth="1"/>
    <col min="4945" max="4945" width="9.375" bestFit="1" customWidth="1"/>
    <col min="4946" max="4946" width="11.875" bestFit="1" customWidth="1"/>
    <col min="4947" max="4947" width="9.375" bestFit="1" customWidth="1"/>
    <col min="4948" max="4948" width="11.875" bestFit="1" customWidth="1"/>
    <col min="4949" max="4949" width="9.375" bestFit="1" customWidth="1"/>
    <col min="4950" max="4950" width="11.875" bestFit="1" customWidth="1"/>
    <col min="4951" max="4951" width="9.375" bestFit="1" customWidth="1"/>
    <col min="4952" max="4952" width="11.875" bestFit="1" customWidth="1"/>
    <col min="4953" max="4953" width="9.375" bestFit="1" customWidth="1"/>
    <col min="4954" max="4954" width="7" bestFit="1" customWidth="1"/>
    <col min="4955" max="4955" width="11.875" bestFit="1" customWidth="1"/>
    <col min="4956" max="4956" width="9.375" bestFit="1" customWidth="1"/>
    <col min="4957" max="4957" width="11.875" bestFit="1" customWidth="1"/>
    <col min="4958" max="4958" width="9.375" bestFit="1" customWidth="1"/>
    <col min="4959" max="4959" width="11.875" bestFit="1" customWidth="1"/>
    <col min="4960" max="4960" width="9.375" bestFit="1" customWidth="1"/>
    <col min="4961" max="4961" width="11.875" bestFit="1" customWidth="1"/>
    <col min="4962" max="4962" width="9.375" bestFit="1" customWidth="1"/>
    <col min="4963" max="4963" width="11.875" bestFit="1" customWidth="1"/>
    <col min="4964" max="4964" width="9.375" bestFit="1" customWidth="1"/>
    <col min="4965" max="4965" width="11.875" bestFit="1" customWidth="1"/>
    <col min="4966" max="4966" width="9.375" bestFit="1" customWidth="1"/>
    <col min="4967" max="4967" width="11.875" bestFit="1" customWidth="1"/>
    <col min="4968" max="4968" width="9.375" bestFit="1" customWidth="1"/>
    <col min="4969" max="4969" width="11.875" bestFit="1" customWidth="1"/>
    <col min="4970" max="4970" width="9.375" bestFit="1" customWidth="1"/>
    <col min="4971" max="4971" width="11.875" bestFit="1" customWidth="1"/>
    <col min="4972" max="4972" width="9.375" bestFit="1" customWidth="1"/>
    <col min="4973" max="4973" width="11.875" bestFit="1" customWidth="1"/>
    <col min="4974" max="4974" width="9.375" bestFit="1" customWidth="1"/>
    <col min="4975" max="4975" width="11.875" bestFit="1" customWidth="1"/>
    <col min="4976" max="4976" width="9.375" bestFit="1" customWidth="1"/>
    <col min="4977" max="4977" width="11.875" bestFit="1" customWidth="1"/>
    <col min="4978" max="4978" width="9.375" bestFit="1" customWidth="1"/>
    <col min="4979" max="4979" width="11.875" bestFit="1" customWidth="1"/>
    <col min="4980" max="4980" width="9.375" bestFit="1" customWidth="1"/>
    <col min="4981" max="4981" width="11.875" bestFit="1" customWidth="1"/>
    <col min="4982" max="4982" width="9.375" bestFit="1" customWidth="1"/>
    <col min="4983" max="4983" width="11.875" bestFit="1" customWidth="1"/>
    <col min="4984" max="4984" width="9.375" bestFit="1" customWidth="1"/>
    <col min="4985" max="4985" width="11.875" bestFit="1" customWidth="1"/>
    <col min="4986" max="4986" width="9.375" bestFit="1" customWidth="1"/>
    <col min="4987" max="4987" width="11.875" bestFit="1" customWidth="1"/>
    <col min="4988" max="4988" width="9.375" bestFit="1" customWidth="1"/>
    <col min="4989" max="4989" width="11.875" bestFit="1" customWidth="1"/>
    <col min="4990" max="4990" width="9.375" bestFit="1" customWidth="1"/>
    <col min="4991" max="4991" width="11.875" bestFit="1" customWidth="1"/>
    <col min="4992" max="4992" width="9.375" bestFit="1" customWidth="1"/>
    <col min="4993" max="4993" width="11.875" bestFit="1" customWidth="1"/>
    <col min="4994" max="4994" width="9.375" bestFit="1" customWidth="1"/>
    <col min="4995" max="4995" width="11.875" bestFit="1" customWidth="1"/>
    <col min="4996" max="4996" width="9.375" bestFit="1" customWidth="1"/>
    <col min="4997" max="4997" width="11.875" bestFit="1" customWidth="1"/>
    <col min="4998" max="4998" width="9.375" bestFit="1" customWidth="1"/>
    <col min="4999" max="4999" width="11.875" bestFit="1" customWidth="1"/>
    <col min="5000" max="5000" width="9.375" bestFit="1" customWidth="1"/>
    <col min="5001" max="5001" width="11.875" bestFit="1" customWidth="1"/>
    <col min="5002" max="5002" width="9.375" bestFit="1" customWidth="1"/>
    <col min="5003" max="5003" width="11.875" bestFit="1" customWidth="1"/>
    <col min="5004" max="5004" width="9.375" bestFit="1" customWidth="1"/>
    <col min="5005" max="5005" width="11.875" bestFit="1" customWidth="1"/>
    <col min="5006" max="5006" width="9.375" bestFit="1" customWidth="1"/>
    <col min="5007" max="5007" width="11.875" bestFit="1" customWidth="1"/>
    <col min="5008" max="5008" width="9.375" bestFit="1" customWidth="1"/>
    <col min="5009" max="5009" width="11.875" bestFit="1" customWidth="1"/>
    <col min="5010" max="5010" width="9.375" bestFit="1" customWidth="1"/>
    <col min="5011" max="5011" width="11.875" bestFit="1" customWidth="1"/>
    <col min="5012" max="5012" width="9.375" bestFit="1" customWidth="1"/>
    <col min="5013" max="5013" width="11.875" bestFit="1" customWidth="1"/>
    <col min="5014" max="5014" width="9.375" bestFit="1" customWidth="1"/>
    <col min="5015" max="5015" width="11.875" bestFit="1" customWidth="1"/>
    <col min="5016" max="5016" width="9.375" bestFit="1" customWidth="1"/>
    <col min="5017" max="5017" width="11.875" bestFit="1" customWidth="1"/>
    <col min="5018" max="5018" width="9.375" bestFit="1" customWidth="1"/>
    <col min="5019" max="5019" width="11.875" bestFit="1" customWidth="1"/>
    <col min="5020" max="5020" width="9.375" bestFit="1" customWidth="1"/>
    <col min="5021" max="5021" width="11.875" bestFit="1" customWidth="1"/>
    <col min="5022" max="5022" width="9.375" bestFit="1" customWidth="1"/>
    <col min="5023" max="5023" width="11.875" bestFit="1" customWidth="1"/>
    <col min="5024" max="5024" width="9.375" bestFit="1" customWidth="1"/>
    <col min="5025" max="5025" width="11.875" bestFit="1" customWidth="1"/>
    <col min="5026" max="5026" width="9.375" bestFit="1" customWidth="1"/>
    <col min="5027" max="5027" width="11.875" bestFit="1" customWidth="1"/>
    <col min="5028" max="5028" width="9.375" bestFit="1" customWidth="1"/>
    <col min="5029" max="5029" width="11.875" bestFit="1" customWidth="1"/>
    <col min="5030" max="5030" width="9.375" bestFit="1" customWidth="1"/>
    <col min="5031" max="5031" width="11.875" bestFit="1" customWidth="1"/>
    <col min="5032" max="5032" width="9.375" bestFit="1" customWidth="1"/>
    <col min="5033" max="5033" width="11.875" bestFit="1" customWidth="1"/>
    <col min="5034" max="5034" width="9.375" bestFit="1" customWidth="1"/>
    <col min="5035" max="5035" width="11.875" bestFit="1" customWidth="1"/>
    <col min="5036" max="5036" width="9.375" bestFit="1" customWidth="1"/>
    <col min="5037" max="5037" width="7" bestFit="1" customWidth="1"/>
    <col min="5038" max="5038" width="11.875" bestFit="1" customWidth="1"/>
    <col min="5039" max="5039" width="9.375" bestFit="1" customWidth="1"/>
    <col min="5040" max="5040" width="11.875" bestFit="1" customWidth="1"/>
    <col min="5041" max="5041" width="9.375" bestFit="1" customWidth="1"/>
    <col min="5042" max="5042" width="11.875" bestFit="1" customWidth="1"/>
    <col min="5043" max="5043" width="9.375" bestFit="1" customWidth="1"/>
    <col min="5044" max="5044" width="11.875" bestFit="1" customWidth="1"/>
    <col min="5045" max="5045" width="9.375" bestFit="1" customWidth="1"/>
    <col min="5046" max="5046" width="11.875" bestFit="1" customWidth="1"/>
    <col min="5047" max="5047" width="9.375" bestFit="1" customWidth="1"/>
    <col min="5048" max="5048" width="11.875" bestFit="1" customWidth="1"/>
    <col min="5049" max="5049" width="9.375" bestFit="1" customWidth="1"/>
    <col min="5050" max="5050" width="11.875" bestFit="1" customWidth="1"/>
    <col min="5051" max="5051" width="9.375" bestFit="1" customWidth="1"/>
    <col min="5052" max="5052" width="11.875" bestFit="1" customWidth="1"/>
    <col min="5053" max="5053" width="9.375" bestFit="1" customWidth="1"/>
    <col min="5054" max="5054" width="11.875" bestFit="1" customWidth="1"/>
    <col min="5055" max="5055" width="9.375" bestFit="1" customWidth="1"/>
    <col min="5056" max="5056" width="11.875" bestFit="1" customWidth="1"/>
    <col min="5057" max="5057" width="9.375" bestFit="1" customWidth="1"/>
    <col min="5058" max="5058" width="11.875" bestFit="1" customWidth="1"/>
    <col min="5059" max="5059" width="9.375" bestFit="1" customWidth="1"/>
    <col min="5060" max="5060" width="11.875" bestFit="1" customWidth="1"/>
    <col min="5061" max="5061" width="9.375" bestFit="1" customWidth="1"/>
    <col min="5062" max="5062" width="6.625" bestFit="1" customWidth="1"/>
    <col min="5063" max="5063" width="7" bestFit="1" customWidth="1"/>
    <col min="5064" max="5064" width="11.875" bestFit="1" customWidth="1"/>
    <col min="5065" max="5065" width="9.375" bestFit="1" customWidth="1"/>
    <col min="5066" max="5066" width="11.875" bestFit="1" customWidth="1"/>
    <col min="5067" max="5067" width="9.375" bestFit="1" customWidth="1"/>
    <col min="5068" max="5068" width="11.875" bestFit="1" customWidth="1"/>
    <col min="5069" max="5069" width="9.375" bestFit="1" customWidth="1"/>
    <col min="5070" max="5070" width="11.875" bestFit="1" customWidth="1"/>
    <col min="5071" max="5071" width="9.375" bestFit="1" customWidth="1"/>
    <col min="5072" max="5072" width="11.875" bestFit="1" customWidth="1"/>
    <col min="5073" max="5073" width="9.375" bestFit="1" customWidth="1"/>
    <col min="5074" max="5074" width="11.875" bestFit="1" customWidth="1"/>
    <col min="5075" max="5075" width="9.375" bestFit="1" customWidth="1"/>
    <col min="5076" max="5076" width="11.875" bestFit="1" customWidth="1"/>
    <col min="5077" max="5077" width="9.375" bestFit="1" customWidth="1"/>
    <col min="5078" max="5078" width="11.875" bestFit="1" customWidth="1"/>
    <col min="5079" max="5079" width="9.375" bestFit="1" customWidth="1"/>
    <col min="5080" max="5080" width="11.875" bestFit="1" customWidth="1"/>
    <col min="5081" max="5081" width="9.375" bestFit="1" customWidth="1"/>
    <col min="5082" max="5082" width="11.875" bestFit="1" customWidth="1"/>
    <col min="5083" max="5083" width="9.375" bestFit="1" customWidth="1"/>
    <col min="5084" max="5084" width="11.875" bestFit="1" customWidth="1"/>
    <col min="5085" max="5085" width="9.375" bestFit="1" customWidth="1"/>
    <col min="5086" max="5086" width="11.875" bestFit="1" customWidth="1"/>
    <col min="5087" max="5087" width="9.375" bestFit="1" customWidth="1"/>
    <col min="5088" max="5088" width="7" bestFit="1" customWidth="1"/>
    <col min="5089" max="5089" width="11.875" bestFit="1" customWidth="1"/>
    <col min="5090" max="5090" width="9.375" bestFit="1" customWidth="1"/>
    <col min="5091" max="5091" width="11.875" bestFit="1" customWidth="1"/>
    <col min="5092" max="5092" width="9.375" bestFit="1" customWidth="1"/>
    <col min="5093" max="5093" width="11.875" bestFit="1" customWidth="1"/>
    <col min="5094" max="5094" width="9.375" bestFit="1" customWidth="1"/>
    <col min="5095" max="5095" width="11.875" bestFit="1" customWidth="1"/>
    <col min="5096" max="5096" width="9.375" bestFit="1" customWidth="1"/>
    <col min="5097" max="5097" width="11.875" bestFit="1" customWidth="1"/>
    <col min="5098" max="5098" width="9.375" bestFit="1" customWidth="1"/>
    <col min="5099" max="5099" width="11.875" bestFit="1" customWidth="1"/>
    <col min="5100" max="5100" width="9.375" bestFit="1" customWidth="1"/>
    <col min="5101" max="5101" width="11.875" bestFit="1" customWidth="1"/>
    <col min="5102" max="5102" width="9.375" bestFit="1" customWidth="1"/>
    <col min="5103" max="5103" width="11.875" bestFit="1" customWidth="1"/>
    <col min="5104" max="5104" width="9.375" bestFit="1" customWidth="1"/>
    <col min="5105" max="5105" width="11.875" bestFit="1" customWidth="1"/>
    <col min="5106" max="5106" width="9.375" bestFit="1" customWidth="1"/>
    <col min="5107" max="5107" width="11.875" bestFit="1" customWidth="1"/>
    <col min="5108" max="5108" width="9.375" bestFit="1" customWidth="1"/>
    <col min="5109" max="5109" width="11.875" bestFit="1" customWidth="1"/>
    <col min="5110" max="5110" width="9.375" bestFit="1" customWidth="1"/>
    <col min="5111" max="5111" width="7" bestFit="1" customWidth="1"/>
    <col min="5112" max="5112" width="11.875" bestFit="1" customWidth="1"/>
    <col min="5113" max="5113" width="9.375" bestFit="1" customWidth="1"/>
    <col min="5114" max="5114" width="11.875" bestFit="1" customWidth="1"/>
    <col min="5115" max="5115" width="9.375" bestFit="1" customWidth="1"/>
    <col min="5116" max="5116" width="11.875" bestFit="1" customWidth="1"/>
    <col min="5117" max="5117" width="9.375" bestFit="1" customWidth="1"/>
    <col min="5118" max="5118" width="11.875" bestFit="1" customWidth="1"/>
    <col min="5119" max="5119" width="9.375" bestFit="1" customWidth="1"/>
    <col min="5120" max="5120" width="7" bestFit="1" customWidth="1"/>
    <col min="5121" max="5121" width="11.875" bestFit="1" customWidth="1"/>
    <col min="5122" max="5122" width="9.375" bestFit="1" customWidth="1"/>
    <col min="5123" max="5123" width="11.875" bestFit="1" customWidth="1"/>
    <col min="5124" max="5124" width="9.375" bestFit="1" customWidth="1"/>
    <col min="5125" max="5125" width="11.875" bestFit="1" customWidth="1"/>
    <col min="5126" max="5126" width="9.375" bestFit="1" customWidth="1"/>
    <col min="5127" max="5127" width="11.875" bestFit="1" customWidth="1"/>
    <col min="5128" max="5128" width="9.375" bestFit="1" customWidth="1"/>
    <col min="5129" max="5129" width="11.875" bestFit="1" customWidth="1"/>
    <col min="5130" max="5130" width="9.375" bestFit="1" customWidth="1"/>
    <col min="5131" max="5131" width="11.875" bestFit="1" customWidth="1"/>
    <col min="5132" max="5132" width="9.375" bestFit="1" customWidth="1"/>
    <col min="5133" max="5133" width="7" bestFit="1" customWidth="1"/>
    <col min="5134" max="5134" width="11.875" bestFit="1" customWidth="1"/>
    <col min="5135" max="5135" width="9.375" bestFit="1" customWidth="1"/>
    <col min="5136" max="5136" width="11.875" bestFit="1" customWidth="1"/>
    <col min="5137" max="5137" width="9.375" bestFit="1" customWidth="1"/>
    <col min="5138" max="5138" width="11.875" bestFit="1" customWidth="1"/>
    <col min="5139" max="5139" width="9.375" bestFit="1" customWidth="1"/>
    <col min="5140" max="5140" width="11.875" bestFit="1" customWidth="1"/>
    <col min="5141" max="5141" width="9.375" bestFit="1" customWidth="1"/>
    <col min="5142" max="5142" width="11.875" bestFit="1" customWidth="1"/>
    <col min="5143" max="5143" width="9.375" bestFit="1" customWidth="1"/>
    <col min="5144" max="5144" width="11.875" bestFit="1" customWidth="1"/>
    <col min="5145" max="5145" width="9.375" bestFit="1" customWidth="1"/>
    <col min="5146" max="5146" width="11.875" bestFit="1" customWidth="1"/>
    <col min="5147" max="5147" width="9.375" bestFit="1" customWidth="1"/>
    <col min="5148" max="5148" width="11.875" bestFit="1" customWidth="1"/>
    <col min="5149" max="5149" width="9.375" bestFit="1" customWidth="1"/>
    <col min="5150" max="5150" width="11.875" bestFit="1" customWidth="1"/>
    <col min="5151" max="5151" width="9.375" bestFit="1" customWidth="1"/>
    <col min="5152" max="5152" width="11.875" bestFit="1" customWidth="1"/>
    <col min="5153" max="5153" width="9.375" bestFit="1" customWidth="1"/>
    <col min="5154" max="5154" width="11.875" bestFit="1" customWidth="1"/>
    <col min="5155" max="5155" width="9.375" bestFit="1" customWidth="1"/>
    <col min="5156" max="5156" width="11.875" bestFit="1" customWidth="1"/>
    <col min="5157" max="5157" width="9.375" bestFit="1" customWidth="1"/>
    <col min="5158" max="5158" width="11.875" bestFit="1" customWidth="1"/>
    <col min="5159" max="5159" width="9.375" bestFit="1" customWidth="1"/>
    <col min="5160" max="5160" width="11.875" bestFit="1" customWidth="1"/>
    <col min="5161" max="5161" width="9.375" bestFit="1" customWidth="1"/>
    <col min="5162" max="5162" width="11.875" bestFit="1" customWidth="1"/>
    <col min="5163" max="5163" width="9.375" bestFit="1" customWidth="1"/>
    <col min="5164" max="5164" width="11.875" bestFit="1" customWidth="1"/>
    <col min="5165" max="5165" width="9.375" bestFit="1" customWidth="1"/>
    <col min="5166" max="5166" width="11.875" bestFit="1" customWidth="1"/>
    <col min="5167" max="5167" width="9.375" bestFit="1" customWidth="1"/>
    <col min="5168" max="5168" width="11.875" bestFit="1" customWidth="1"/>
    <col min="5169" max="5169" width="9.375" bestFit="1" customWidth="1"/>
    <col min="5170" max="5170" width="11.875" bestFit="1" customWidth="1"/>
    <col min="5171" max="5171" width="9.375" bestFit="1" customWidth="1"/>
    <col min="5172" max="5172" width="11.875" bestFit="1" customWidth="1"/>
    <col min="5173" max="5173" width="9.375" bestFit="1" customWidth="1"/>
    <col min="5174" max="5174" width="11.875" bestFit="1" customWidth="1"/>
    <col min="5175" max="5175" width="9.375" bestFit="1" customWidth="1"/>
    <col min="5176" max="5176" width="11.875" bestFit="1" customWidth="1"/>
    <col min="5177" max="5177" width="9.375" bestFit="1" customWidth="1"/>
    <col min="5178" max="5178" width="11.875" bestFit="1" customWidth="1"/>
    <col min="5179" max="5179" width="9.375" bestFit="1" customWidth="1"/>
    <col min="5180" max="5180" width="11.875" bestFit="1" customWidth="1"/>
    <col min="5181" max="5181" width="9.375" bestFit="1" customWidth="1"/>
    <col min="5182" max="5182" width="11.875" bestFit="1" customWidth="1"/>
    <col min="5183" max="5183" width="9.375" bestFit="1" customWidth="1"/>
    <col min="5184" max="5184" width="11.875" bestFit="1" customWidth="1"/>
    <col min="5185" max="5185" width="9.375" bestFit="1" customWidth="1"/>
    <col min="5186" max="5186" width="11.875" bestFit="1" customWidth="1"/>
    <col min="5187" max="5187" width="9.375" bestFit="1" customWidth="1"/>
    <col min="5188" max="5188" width="11.875" bestFit="1" customWidth="1"/>
    <col min="5189" max="5189" width="9.375" bestFit="1" customWidth="1"/>
    <col min="5190" max="5190" width="11.875" bestFit="1" customWidth="1"/>
    <col min="5191" max="5191" width="9.375" bestFit="1" customWidth="1"/>
    <col min="5192" max="5192" width="11.875" bestFit="1" customWidth="1"/>
    <col min="5193" max="5193" width="9.375" bestFit="1" customWidth="1"/>
    <col min="5194" max="5194" width="11.875" bestFit="1" customWidth="1"/>
    <col min="5195" max="5195" width="9.375" bestFit="1" customWidth="1"/>
    <col min="5196" max="5196" width="11.875" bestFit="1" customWidth="1"/>
    <col min="5197" max="5197" width="9.375" bestFit="1" customWidth="1"/>
    <col min="5198" max="5198" width="11.875" bestFit="1" customWidth="1"/>
    <col min="5199" max="5199" width="9.375" bestFit="1" customWidth="1"/>
    <col min="5200" max="5200" width="11.875" bestFit="1" customWidth="1"/>
    <col min="5201" max="5201" width="9.375" bestFit="1" customWidth="1"/>
    <col min="5202" max="5202" width="11.875" bestFit="1" customWidth="1"/>
    <col min="5203" max="5203" width="9.375" bestFit="1" customWidth="1"/>
    <col min="5204" max="5204" width="11.875" bestFit="1" customWidth="1"/>
    <col min="5205" max="5205" width="9.375" bestFit="1" customWidth="1"/>
    <col min="5206" max="5206" width="11.875" bestFit="1" customWidth="1"/>
    <col min="5207" max="5207" width="9.375" bestFit="1" customWidth="1"/>
    <col min="5208" max="5208" width="11.875" bestFit="1" customWidth="1"/>
    <col min="5209" max="5209" width="9.375" bestFit="1" customWidth="1"/>
    <col min="5210" max="5210" width="11.875" bestFit="1" customWidth="1"/>
    <col min="5211" max="5211" width="9.375" bestFit="1" customWidth="1"/>
    <col min="5212" max="5212" width="11.875" bestFit="1" customWidth="1"/>
    <col min="5213" max="5213" width="9.375" bestFit="1" customWidth="1"/>
    <col min="5214" max="5214" width="11.875" bestFit="1" customWidth="1"/>
    <col min="5215" max="5215" width="9.375" bestFit="1" customWidth="1"/>
    <col min="5216" max="5216" width="11.875" bestFit="1" customWidth="1"/>
    <col min="5217" max="5217" width="9.375" bestFit="1" customWidth="1"/>
    <col min="5218" max="5218" width="11.875" bestFit="1" customWidth="1"/>
    <col min="5219" max="5219" width="9.375" bestFit="1" customWidth="1"/>
    <col min="5220" max="5220" width="11.875" bestFit="1" customWidth="1"/>
    <col min="5221" max="5221" width="9.375" bestFit="1" customWidth="1"/>
    <col min="5222" max="5222" width="11.875" bestFit="1" customWidth="1"/>
    <col min="5223" max="5223" width="9.375" bestFit="1" customWidth="1"/>
    <col min="5224" max="5224" width="11.875" bestFit="1" customWidth="1"/>
    <col min="5225" max="5225" width="9.375" bestFit="1" customWidth="1"/>
    <col min="5226" max="5226" width="11.875" bestFit="1" customWidth="1"/>
    <col min="5227" max="5227" width="9.375" bestFit="1" customWidth="1"/>
    <col min="5228" max="5228" width="11.875" bestFit="1" customWidth="1"/>
    <col min="5229" max="5229" width="9.375" bestFit="1" customWidth="1"/>
    <col min="5230" max="5230" width="11.875" bestFit="1" customWidth="1"/>
    <col min="5231" max="5231" width="9.375" bestFit="1" customWidth="1"/>
    <col min="5232" max="5232" width="11.875" bestFit="1" customWidth="1"/>
    <col min="5233" max="5233" width="9.375" bestFit="1" customWidth="1"/>
    <col min="5234" max="5234" width="11.875" bestFit="1" customWidth="1"/>
    <col min="5235" max="5235" width="9.375" bestFit="1" customWidth="1"/>
    <col min="5236" max="5236" width="11.875" bestFit="1" customWidth="1"/>
    <col min="5237" max="5237" width="9.375" bestFit="1" customWidth="1"/>
    <col min="5238" max="5238" width="11.875" bestFit="1" customWidth="1"/>
    <col min="5239" max="5239" width="9.375" bestFit="1" customWidth="1"/>
    <col min="5240" max="5240" width="11.875" bestFit="1" customWidth="1"/>
    <col min="5241" max="5241" width="9.375" bestFit="1" customWidth="1"/>
    <col min="5242" max="5242" width="11.875" bestFit="1" customWidth="1"/>
    <col min="5243" max="5243" width="9.375" bestFit="1" customWidth="1"/>
    <col min="5244" max="5244" width="11.875" bestFit="1" customWidth="1"/>
    <col min="5245" max="5245" width="9.375" bestFit="1" customWidth="1"/>
    <col min="5246" max="5246" width="11.875" bestFit="1" customWidth="1"/>
    <col min="5247" max="5247" width="9.375" bestFit="1" customWidth="1"/>
    <col min="5248" max="5248" width="11.875" bestFit="1" customWidth="1"/>
    <col min="5249" max="5249" width="9.375" bestFit="1" customWidth="1"/>
    <col min="5250" max="5250" width="11.875" bestFit="1" customWidth="1"/>
    <col min="5251" max="5251" width="9.375" bestFit="1" customWidth="1"/>
    <col min="5252" max="5252" width="11.875" bestFit="1" customWidth="1"/>
    <col min="5253" max="5253" width="9.375" bestFit="1" customWidth="1"/>
    <col min="5254" max="5254" width="11.875" bestFit="1" customWidth="1"/>
    <col min="5255" max="5255" width="9.375" bestFit="1" customWidth="1"/>
    <col min="5256" max="5256" width="11.875" bestFit="1" customWidth="1"/>
    <col min="5257" max="5257" width="9.375" bestFit="1" customWidth="1"/>
    <col min="5258" max="5258" width="11.875" bestFit="1" customWidth="1"/>
    <col min="5259" max="5259" width="9.375" bestFit="1" customWidth="1"/>
    <col min="5260" max="5260" width="7" bestFit="1" customWidth="1"/>
    <col min="5261" max="5261" width="11.875" bestFit="1" customWidth="1"/>
    <col min="5262" max="5262" width="9.375" bestFit="1" customWidth="1"/>
    <col min="5263" max="5263" width="11.875" bestFit="1" customWidth="1"/>
    <col min="5264" max="5264" width="9.375" bestFit="1" customWidth="1"/>
    <col min="5265" max="5265" width="11.875" bestFit="1" customWidth="1"/>
    <col min="5266" max="5266" width="9.375" bestFit="1" customWidth="1"/>
    <col min="5267" max="5267" width="11.875" bestFit="1" customWidth="1"/>
    <col min="5268" max="5268" width="9.375" bestFit="1" customWidth="1"/>
    <col min="5269" max="5269" width="11.875" bestFit="1" customWidth="1"/>
    <col min="5270" max="5270" width="9.375" bestFit="1" customWidth="1"/>
    <col min="5271" max="5271" width="11.875" bestFit="1" customWidth="1"/>
    <col min="5272" max="5272" width="9.375" bestFit="1" customWidth="1"/>
    <col min="5273" max="5273" width="11.875" bestFit="1" customWidth="1"/>
    <col min="5274" max="5274" width="9.375" bestFit="1" customWidth="1"/>
    <col min="5275" max="5275" width="11.875" bestFit="1" customWidth="1"/>
    <col min="5276" max="5276" width="9.375" bestFit="1" customWidth="1"/>
    <col min="5277" max="5277" width="11.875" bestFit="1" customWidth="1"/>
    <col min="5278" max="5278" width="9.375" bestFit="1" customWidth="1"/>
    <col min="5279" max="5279" width="11.875" bestFit="1" customWidth="1"/>
    <col min="5280" max="5280" width="9.375" bestFit="1" customWidth="1"/>
    <col min="5281" max="5281" width="11.875" bestFit="1" customWidth="1"/>
    <col min="5282" max="5282" width="9.375" bestFit="1" customWidth="1"/>
    <col min="5283" max="5283" width="11.875" bestFit="1" customWidth="1"/>
    <col min="5284" max="5284" width="9.375" bestFit="1" customWidth="1"/>
    <col min="5285" max="5285" width="11.875" bestFit="1" customWidth="1"/>
    <col min="5286" max="5286" width="9.375" bestFit="1" customWidth="1"/>
    <col min="5287" max="5287" width="11.875" bestFit="1" customWidth="1"/>
    <col min="5288" max="5288" width="9.375" bestFit="1" customWidth="1"/>
    <col min="5289" max="5289" width="7" bestFit="1" customWidth="1"/>
    <col min="5290" max="5290" width="11.875" bestFit="1" customWidth="1"/>
    <col min="5291" max="5291" width="9.375" bestFit="1" customWidth="1"/>
    <col min="5292" max="5292" width="11.875" bestFit="1" customWidth="1"/>
    <col min="5293" max="5293" width="9.375" bestFit="1" customWidth="1"/>
    <col min="5294" max="5294" width="11.875" bestFit="1" customWidth="1"/>
    <col min="5295" max="5295" width="9.375" bestFit="1" customWidth="1"/>
    <col min="5296" max="5296" width="7" bestFit="1" customWidth="1"/>
    <col min="5297" max="5297" width="11.875" bestFit="1" customWidth="1"/>
    <col min="5298" max="5298" width="9.375" bestFit="1" customWidth="1"/>
    <col min="5299" max="5299" width="11.875" bestFit="1" customWidth="1"/>
    <col min="5300" max="5300" width="9.375" bestFit="1" customWidth="1"/>
    <col min="5301" max="5301" width="11.875" bestFit="1" customWidth="1"/>
    <col min="5302" max="5302" width="9.375" bestFit="1" customWidth="1"/>
    <col min="5303" max="5303" width="11.875" bestFit="1" customWidth="1"/>
    <col min="5304" max="5304" width="9.375" bestFit="1" customWidth="1"/>
    <col min="5305" max="5305" width="11.875" bestFit="1" customWidth="1"/>
    <col min="5306" max="5306" width="9.375" bestFit="1" customWidth="1"/>
    <col min="5307" max="5307" width="11.875" bestFit="1" customWidth="1"/>
    <col min="5308" max="5308" width="9.375" bestFit="1" customWidth="1"/>
    <col min="5309" max="5309" width="11.875" bestFit="1" customWidth="1"/>
    <col min="5310" max="5310" width="9.375" bestFit="1" customWidth="1"/>
    <col min="5311" max="5311" width="11.875" bestFit="1" customWidth="1"/>
    <col min="5312" max="5312" width="9.375" bestFit="1" customWidth="1"/>
    <col min="5313" max="5313" width="11.875" bestFit="1" customWidth="1"/>
    <col min="5314" max="5314" width="9.375" bestFit="1" customWidth="1"/>
    <col min="5315" max="5315" width="11.875" bestFit="1" customWidth="1"/>
    <col min="5316" max="5316" width="9.375" bestFit="1" customWidth="1"/>
    <col min="5317" max="5317" width="11.875" bestFit="1" customWidth="1"/>
    <col min="5318" max="5318" width="9.375" bestFit="1" customWidth="1"/>
    <col min="5319" max="5319" width="11.875" bestFit="1" customWidth="1"/>
    <col min="5320" max="5320" width="9.375" bestFit="1" customWidth="1"/>
    <col min="5321" max="5321" width="11.875" bestFit="1" customWidth="1"/>
    <col min="5322" max="5322" width="9.375" bestFit="1" customWidth="1"/>
    <col min="5323" max="5323" width="11.875" bestFit="1" customWidth="1"/>
    <col min="5324" max="5324" width="9.375" bestFit="1" customWidth="1"/>
    <col min="5325" max="5325" width="11.875" bestFit="1" customWidth="1"/>
    <col min="5326" max="5326" width="9.375" bestFit="1" customWidth="1"/>
    <col min="5327" max="5327" width="11.875" bestFit="1" customWidth="1"/>
    <col min="5328" max="5328" width="9.375" bestFit="1" customWidth="1"/>
    <col min="5329" max="5329" width="11.875" bestFit="1" customWidth="1"/>
    <col min="5330" max="5330" width="9.375" bestFit="1" customWidth="1"/>
    <col min="5331" max="5331" width="11.875" bestFit="1" customWidth="1"/>
    <col min="5332" max="5332" width="9.375" bestFit="1" customWidth="1"/>
    <col min="5333" max="5333" width="11.875" bestFit="1" customWidth="1"/>
    <col min="5334" max="5334" width="9.375" bestFit="1" customWidth="1"/>
    <col min="5335" max="5335" width="11.875" bestFit="1" customWidth="1"/>
    <col min="5336" max="5336" width="9.375" bestFit="1" customWidth="1"/>
    <col min="5337" max="5337" width="11.875" bestFit="1" customWidth="1"/>
    <col min="5338" max="5338" width="9.375" bestFit="1" customWidth="1"/>
    <col min="5339" max="5339" width="11.875" bestFit="1" customWidth="1"/>
    <col min="5340" max="5340" width="9.375" bestFit="1" customWidth="1"/>
    <col min="5341" max="5341" width="11.875" bestFit="1" customWidth="1"/>
    <col min="5342" max="5342" width="9.375" bestFit="1" customWidth="1"/>
    <col min="5343" max="5343" width="11.875" bestFit="1" customWidth="1"/>
    <col min="5344" max="5344" width="9.375" bestFit="1" customWidth="1"/>
    <col min="5345" max="5345" width="11.875" bestFit="1" customWidth="1"/>
    <col min="5346" max="5346" width="9.375" bestFit="1" customWidth="1"/>
    <col min="5347" max="5347" width="11.875" bestFit="1" customWidth="1"/>
    <col min="5348" max="5348" width="9.375" bestFit="1" customWidth="1"/>
    <col min="5349" max="5349" width="11.875" bestFit="1" customWidth="1"/>
    <col min="5350" max="5350" width="9.375" bestFit="1" customWidth="1"/>
    <col min="5351" max="5351" width="11.875" bestFit="1" customWidth="1"/>
    <col min="5352" max="5352" width="9.375" bestFit="1" customWidth="1"/>
    <col min="5353" max="5353" width="11.875" bestFit="1" customWidth="1"/>
    <col min="5354" max="5354" width="9.375" bestFit="1" customWidth="1"/>
    <col min="5355" max="5355" width="11.875" bestFit="1" customWidth="1"/>
    <col min="5356" max="5356" width="9.375" bestFit="1" customWidth="1"/>
    <col min="5357" max="5357" width="11.875" bestFit="1" customWidth="1"/>
    <col min="5358" max="5358" width="9.375" bestFit="1" customWidth="1"/>
    <col min="5359" max="5359" width="11.875" bestFit="1" customWidth="1"/>
    <col min="5360" max="5360" width="9.375" bestFit="1" customWidth="1"/>
    <col min="5361" max="5361" width="11.875" bestFit="1" customWidth="1"/>
    <col min="5362" max="5362" width="9.375" bestFit="1" customWidth="1"/>
    <col min="5363" max="5363" width="11.875" bestFit="1" customWidth="1"/>
    <col min="5364" max="5364" width="9.375" bestFit="1" customWidth="1"/>
    <col min="5365" max="5365" width="11.875" bestFit="1" customWidth="1"/>
    <col min="5366" max="5366" width="9.375" bestFit="1" customWidth="1"/>
    <col min="5367" max="5367" width="11.875" bestFit="1" customWidth="1"/>
    <col min="5368" max="5368" width="9.375" bestFit="1" customWidth="1"/>
    <col min="5369" max="5369" width="11.875" bestFit="1" customWidth="1"/>
    <col min="5370" max="5370" width="9.375" bestFit="1" customWidth="1"/>
    <col min="5371" max="5371" width="11.875" bestFit="1" customWidth="1"/>
    <col min="5372" max="5372" width="9.375" bestFit="1" customWidth="1"/>
    <col min="5373" max="5373" width="11.875" bestFit="1" customWidth="1"/>
    <col min="5374" max="5374" width="9.375" bestFit="1" customWidth="1"/>
    <col min="5375" max="5375" width="11.875" bestFit="1" customWidth="1"/>
    <col min="5376" max="5376" width="9.375" bestFit="1" customWidth="1"/>
    <col min="5377" max="5377" width="11.875" bestFit="1" customWidth="1"/>
    <col min="5378" max="5378" width="9.375" bestFit="1" customWidth="1"/>
    <col min="5379" max="5379" width="11.875" bestFit="1" customWidth="1"/>
    <col min="5380" max="5380" width="9.375" bestFit="1" customWidth="1"/>
    <col min="5381" max="5381" width="11.875" bestFit="1" customWidth="1"/>
    <col min="5382" max="5382" width="9.375" bestFit="1" customWidth="1"/>
    <col min="5383" max="5383" width="11.875" bestFit="1" customWidth="1"/>
    <col min="5384" max="5384" width="9.375" bestFit="1" customWidth="1"/>
    <col min="5385" max="5385" width="11.875" bestFit="1" customWidth="1"/>
    <col min="5386" max="5386" width="9.375" bestFit="1" customWidth="1"/>
    <col min="5387" max="5387" width="11.875" bestFit="1" customWidth="1"/>
    <col min="5388" max="5388" width="9.375" bestFit="1" customWidth="1"/>
    <col min="5389" max="5389" width="11.875" bestFit="1" customWidth="1"/>
    <col min="5390" max="5390" width="9.375" bestFit="1" customWidth="1"/>
    <col min="5391" max="5391" width="11.875" bestFit="1" customWidth="1"/>
    <col min="5392" max="5392" width="9.375" bestFit="1" customWidth="1"/>
    <col min="5393" max="5393" width="11.875" bestFit="1" customWidth="1"/>
    <col min="5394" max="5394" width="9.375" bestFit="1" customWidth="1"/>
    <col min="5395" max="5395" width="11.875" bestFit="1" customWidth="1"/>
    <col min="5396" max="5396" width="9.375" bestFit="1" customWidth="1"/>
    <col min="5397" max="5397" width="11.875" bestFit="1" customWidth="1"/>
    <col min="5398" max="5398" width="9.375" bestFit="1" customWidth="1"/>
    <col min="5399" max="5399" width="11.875" bestFit="1" customWidth="1"/>
    <col min="5400" max="5400" width="9.375" bestFit="1" customWidth="1"/>
    <col min="5401" max="5401" width="11.875" bestFit="1" customWidth="1"/>
    <col min="5402" max="5402" width="9.375" bestFit="1" customWidth="1"/>
    <col min="5403" max="5403" width="11.875" bestFit="1" customWidth="1"/>
    <col min="5404" max="5404" width="9.375" bestFit="1" customWidth="1"/>
    <col min="5405" max="5405" width="11.875" bestFit="1" customWidth="1"/>
    <col min="5406" max="5406" width="9.375" bestFit="1" customWidth="1"/>
    <col min="5407" max="5407" width="11.875" bestFit="1" customWidth="1"/>
    <col min="5408" max="5408" width="9.375" bestFit="1" customWidth="1"/>
    <col min="5409" max="5409" width="11.875" bestFit="1" customWidth="1"/>
    <col min="5410" max="5410" width="9.375" bestFit="1" customWidth="1"/>
    <col min="5411" max="5411" width="11.875" bestFit="1" customWidth="1"/>
    <col min="5412" max="5412" width="9.375" bestFit="1" customWidth="1"/>
    <col min="5413" max="5413" width="11.875" bestFit="1" customWidth="1"/>
    <col min="5414" max="5414" width="9.375" bestFit="1" customWidth="1"/>
    <col min="5415" max="5415" width="11.875" bestFit="1" customWidth="1"/>
    <col min="5416" max="5416" width="9.375" bestFit="1" customWidth="1"/>
    <col min="5417" max="5417" width="11.875" bestFit="1" customWidth="1"/>
    <col min="5418" max="5418" width="9.375" bestFit="1" customWidth="1"/>
    <col min="5419" max="5419" width="11.875" bestFit="1" customWidth="1"/>
    <col min="5420" max="5420" width="9.375" bestFit="1" customWidth="1"/>
    <col min="5421" max="5421" width="11.875" bestFit="1" customWidth="1"/>
    <col min="5422" max="5422" width="9.375" bestFit="1" customWidth="1"/>
    <col min="5423" max="5423" width="11.875" bestFit="1" customWidth="1"/>
    <col min="5424" max="5424" width="9.375" bestFit="1" customWidth="1"/>
    <col min="5425" max="5425" width="7" bestFit="1" customWidth="1"/>
    <col min="5426" max="5426" width="11.875" bestFit="1" customWidth="1"/>
    <col min="5427" max="5427" width="9.375" bestFit="1" customWidth="1"/>
    <col min="5428" max="5428" width="11.875" bestFit="1" customWidth="1"/>
    <col min="5429" max="5429" width="9.375" bestFit="1" customWidth="1"/>
    <col min="5430" max="5430" width="11.875" bestFit="1" customWidth="1"/>
    <col min="5431" max="5431" width="9.375" bestFit="1" customWidth="1"/>
    <col min="5432" max="5432" width="11.875" bestFit="1" customWidth="1"/>
    <col min="5433" max="5433" width="9.375" bestFit="1" customWidth="1"/>
    <col min="5434" max="5434" width="11.875" bestFit="1" customWidth="1"/>
    <col min="5435" max="5435" width="9.375" bestFit="1" customWidth="1"/>
    <col min="5436" max="5436" width="11.875" bestFit="1" customWidth="1"/>
    <col min="5437" max="5437" width="9.375" bestFit="1" customWidth="1"/>
    <col min="5438" max="5438" width="11.875" bestFit="1" customWidth="1"/>
    <col min="5439" max="5439" width="9.375" bestFit="1" customWidth="1"/>
    <col min="5440" max="5440" width="11.875" bestFit="1" customWidth="1"/>
    <col min="5441" max="5441" width="9.375" bestFit="1" customWidth="1"/>
    <col min="5442" max="5442" width="11.875" bestFit="1" customWidth="1"/>
    <col min="5443" max="5443" width="9.375" bestFit="1" customWidth="1"/>
    <col min="5444" max="5444" width="11.875" bestFit="1" customWidth="1"/>
    <col min="5445" max="5445" width="9.375" bestFit="1" customWidth="1"/>
    <col min="5446" max="5446" width="11.875" bestFit="1" customWidth="1"/>
    <col min="5447" max="5447" width="9.375" bestFit="1" customWidth="1"/>
    <col min="5448" max="5448" width="11.875" bestFit="1" customWidth="1"/>
    <col min="5449" max="5449" width="9.375" bestFit="1" customWidth="1"/>
    <col min="5450" max="5450" width="11.875" bestFit="1" customWidth="1"/>
    <col min="5451" max="5451" width="9.375" bestFit="1" customWidth="1"/>
    <col min="5452" max="5452" width="11.875" bestFit="1" customWidth="1"/>
    <col min="5453" max="5453" width="9.375" bestFit="1" customWidth="1"/>
    <col min="5454" max="5454" width="11.875" bestFit="1" customWidth="1"/>
    <col min="5455" max="5455" width="9.375" bestFit="1" customWidth="1"/>
    <col min="5456" max="5456" width="11.875" bestFit="1" customWidth="1"/>
    <col min="5457" max="5457" width="9.375" bestFit="1" customWidth="1"/>
    <col min="5458" max="5458" width="11.875" bestFit="1" customWidth="1"/>
    <col min="5459" max="5459" width="9.375" bestFit="1" customWidth="1"/>
    <col min="5460" max="5460" width="11.875" bestFit="1" customWidth="1"/>
    <col min="5461" max="5461" width="9.375" bestFit="1" customWidth="1"/>
    <col min="5462" max="5462" width="11.875" bestFit="1" customWidth="1"/>
    <col min="5463" max="5463" width="9.375" bestFit="1" customWidth="1"/>
    <col min="5464" max="5464" width="11.875" bestFit="1" customWidth="1"/>
    <col min="5465" max="5465" width="9.375" bestFit="1" customWidth="1"/>
    <col min="5466" max="5466" width="11.875" bestFit="1" customWidth="1"/>
    <col min="5467" max="5467" width="9.375" bestFit="1" customWidth="1"/>
    <col min="5468" max="5468" width="11.875" bestFit="1" customWidth="1"/>
    <col min="5469" max="5469" width="9.375" bestFit="1" customWidth="1"/>
    <col min="5470" max="5470" width="11.875" bestFit="1" customWidth="1"/>
    <col min="5471" max="5471" width="9.375" bestFit="1" customWidth="1"/>
    <col min="5472" max="5472" width="11.875" bestFit="1" customWidth="1"/>
    <col min="5473" max="5473" width="9.375" bestFit="1" customWidth="1"/>
    <col min="5474" max="5474" width="11.875" bestFit="1" customWidth="1"/>
    <col min="5475" max="5475" width="9.375" bestFit="1" customWidth="1"/>
    <col min="5476" max="5476" width="11.875" bestFit="1" customWidth="1"/>
    <col min="5477" max="5477" width="9.375" bestFit="1" customWidth="1"/>
    <col min="5478" max="5478" width="11.875" bestFit="1" customWidth="1"/>
    <col min="5479" max="5479" width="9.375" bestFit="1" customWidth="1"/>
    <col min="5480" max="5480" width="11.875" bestFit="1" customWidth="1"/>
    <col min="5481" max="5481" width="9.375" bestFit="1" customWidth="1"/>
    <col min="5482" max="5482" width="11.875" bestFit="1" customWidth="1"/>
    <col min="5483" max="5483" width="9.375" bestFit="1" customWidth="1"/>
    <col min="5484" max="5484" width="11.875" bestFit="1" customWidth="1"/>
    <col min="5485" max="5485" width="9.375" bestFit="1" customWidth="1"/>
    <col min="5486" max="5486" width="11.875" bestFit="1" customWidth="1"/>
    <col min="5487" max="5487" width="9.375" bestFit="1" customWidth="1"/>
    <col min="5488" max="5488" width="11.875" bestFit="1" customWidth="1"/>
    <col min="5489" max="5489" width="9.375" bestFit="1" customWidth="1"/>
    <col min="5490" max="5490" width="11.875" bestFit="1" customWidth="1"/>
    <col min="5491" max="5491" width="9.375" bestFit="1" customWidth="1"/>
    <col min="5492" max="5492" width="11.875" bestFit="1" customWidth="1"/>
    <col min="5493" max="5493" width="9.375" bestFit="1" customWidth="1"/>
    <col min="5494" max="5494" width="11.875" bestFit="1" customWidth="1"/>
    <col min="5495" max="5495" width="9.375" bestFit="1" customWidth="1"/>
    <col min="5496" max="5496" width="11.875" bestFit="1" customWidth="1"/>
    <col min="5497" max="5497" width="9.375" bestFit="1" customWidth="1"/>
    <col min="5498" max="5498" width="11.875" bestFit="1" customWidth="1"/>
    <col min="5499" max="5499" width="9.375" bestFit="1" customWidth="1"/>
    <col min="5500" max="5500" width="11.875" bestFit="1" customWidth="1"/>
    <col min="5501" max="5501" width="9.375" bestFit="1" customWidth="1"/>
    <col min="5502" max="5502" width="11.875" bestFit="1" customWidth="1"/>
    <col min="5503" max="5503" width="9.375" bestFit="1" customWidth="1"/>
    <col min="5504" max="5504" width="11.875" bestFit="1" customWidth="1"/>
    <col min="5505" max="5505" width="9.375" bestFit="1" customWidth="1"/>
    <col min="5506" max="5506" width="11.875" bestFit="1" customWidth="1"/>
    <col min="5507" max="5507" width="9.375" bestFit="1" customWidth="1"/>
    <col min="5508" max="5508" width="11.875" bestFit="1" customWidth="1"/>
    <col min="5509" max="5509" width="9.375" bestFit="1" customWidth="1"/>
    <col min="5510" max="5510" width="11.875" bestFit="1" customWidth="1"/>
    <col min="5511" max="5511" width="9.375" bestFit="1" customWidth="1"/>
    <col min="5512" max="5512" width="11.875" bestFit="1" customWidth="1"/>
    <col min="5513" max="5513" width="9.375" bestFit="1" customWidth="1"/>
    <col min="5514" max="5514" width="11.875" bestFit="1" customWidth="1"/>
    <col min="5515" max="5515" width="9.375" bestFit="1" customWidth="1"/>
    <col min="5516" max="5516" width="11.875" bestFit="1" customWidth="1"/>
    <col min="5517" max="5517" width="9.375" bestFit="1" customWidth="1"/>
    <col min="5518" max="5518" width="11.875" bestFit="1" customWidth="1"/>
    <col min="5519" max="5519" width="9.375" bestFit="1" customWidth="1"/>
    <col min="5520" max="5520" width="11.875" bestFit="1" customWidth="1"/>
    <col min="5521" max="5521" width="9.375" bestFit="1" customWidth="1"/>
    <col min="5522" max="5522" width="11.875" bestFit="1" customWidth="1"/>
    <col min="5523" max="5523" width="9.375" bestFit="1" customWidth="1"/>
    <col min="5524" max="5524" width="11.875" bestFit="1" customWidth="1"/>
    <col min="5525" max="5525" width="9.375" bestFit="1" customWidth="1"/>
    <col min="5526" max="5526" width="11.875" bestFit="1" customWidth="1"/>
    <col min="5527" max="5527" width="9.375" bestFit="1" customWidth="1"/>
    <col min="5528" max="5528" width="11.875" bestFit="1" customWidth="1"/>
    <col min="5529" max="5529" width="9.375" bestFit="1" customWidth="1"/>
    <col min="5530" max="5530" width="11.875" bestFit="1" customWidth="1"/>
    <col min="5531" max="5531" width="9.375" bestFit="1" customWidth="1"/>
    <col min="5532" max="5532" width="11.875" bestFit="1" customWidth="1"/>
    <col min="5533" max="5533" width="9.375" bestFit="1" customWidth="1"/>
    <col min="5534" max="5534" width="11.875" bestFit="1" customWidth="1"/>
    <col min="5535" max="5535" width="9.375" bestFit="1" customWidth="1"/>
    <col min="5536" max="5536" width="11.875" bestFit="1" customWidth="1"/>
    <col min="5537" max="5537" width="9.375" bestFit="1" customWidth="1"/>
    <col min="5538" max="5538" width="11.875" bestFit="1" customWidth="1"/>
    <col min="5539" max="5539" width="9.375" bestFit="1" customWidth="1"/>
    <col min="5540" max="5540" width="11.875" bestFit="1" customWidth="1"/>
    <col min="5541" max="5541" width="9.375" bestFit="1" customWidth="1"/>
    <col min="5542" max="5542" width="11.875" bestFit="1" customWidth="1"/>
    <col min="5543" max="5543" width="9.375" bestFit="1" customWidth="1"/>
    <col min="5544" max="5544" width="11.875" bestFit="1" customWidth="1"/>
    <col min="5545" max="5545" width="9.375" bestFit="1" customWidth="1"/>
    <col min="5546" max="5546" width="11.875" bestFit="1" customWidth="1"/>
    <col min="5547" max="5547" width="9.375" bestFit="1" customWidth="1"/>
    <col min="5548" max="5548" width="11.875" bestFit="1" customWidth="1"/>
    <col min="5549" max="5549" width="9.375" bestFit="1" customWidth="1"/>
    <col min="5550" max="5550" width="11.875" bestFit="1" customWidth="1"/>
    <col min="5551" max="5551" width="9.375" bestFit="1" customWidth="1"/>
    <col min="5552" max="5552" width="11.875" bestFit="1" customWidth="1"/>
    <col min="5553" max="5553" width="9.375" bestFit="1" customWidth="1"/>
    <col min="5554" max="5554" width="11.875" bestFit="1" customWidth="1"/>
    <col min="5555" max="5555" width="9.375" bestFit="1" customWidth="1"/>
    <col min="5556" max="5556" width="11.875" bestFit="1" customWidth="1"/>
    <col min="5557" max="5557" width="9.375" bestFit="1" customWidth="1"/>
    <col min="5558" max="5558" width="11.875" bestFit="1" customWidth="1"/>
    <col min="5559" max="5559" width="9.375" bestFit="1" customWidth="1"/>
    <col min="5560" max="5560" width="11.875" bestFit="1" customWidth="1"/>
    <col min="5561" max="5561" width="9.375" bestFit="1" customWidth="1"/>
    <col min="5562" max="5562" width="11.875" bestFit="1" customWidth="1"/>
    <col min="5563" max="5563" width="9.375" bestFit="1" customWidth="1"/>
    <col min="5564" max="5564" width="11.875" bestFit="1" customWidth="1"/>
    <col min="5565" max="5565" width="9.375" bestFit="1" customWidth="1"/>
    <col min="5566" max="5566" width="11.875" bestFit="1" customWidth="1"/>
    <col min="5567" max="5567" width="9.375" bestFit="1" customWidth="1"/>
    <col min="5568" max="5568" width="11.875" bestFit="1" customWidth="1"/>
    <col min="5569" max="5569" width="9.375" bestFit="1" customWidth="1"/>
    <col min="5570" max="5570" width="11.875" bestFit="1" customWidth="1"/>
    <col min="5571" max="5571" width="9.375" bestFit="1" customWidth="1"/>
    <col min="5572" max="5572" width="11.875" bestFit="1" customWidth="1"/>
    <col min="5573" max="5573" width="9.375" bestFit="1" customWidth="1"/>
    <col min="5574" max="5574" width="11.875" bestFit="1" customWidth="1"/>
    <col min="5575" max="5575" width="9.375" bestFit="1" customWidth="1"/>
    <col min="5576" max="5576" width="11.875" bestFit="1" customWidth="1"/>
    <col min="5577" max="5577" width="9.375" bestFit="1" customWidth="1"/>
    <col min="5578" max="5578" width="11.875" bestFit="1" customWidth="1"/>
    <col min="5579" max="5579" width="9.375" bestFit="1" customWidth="1"/>
    <col min="5580" max="5580" width="11.875" bestFit="1" customWidth="1"/>
    <col min="5581" max="5581" width="9.375" bestFit="1" customWidth="1"/>
    <col min="5582" max="5582" width="11.875" bestFit="1" customWidth="1"/>
    <col min="5583" max="5583" width="9.375" bestFit="1" customWidth="1"/>
    <col min="5584" max="5584" width="11.875" bestFit="1" customWidth="1"/>
    <col min="5585" max="5585" width="9.375" bestFit="1" customWidth="1"/>
    <col min="5586" max="5586" width="11.875" bestFit="1" customWidth="1"/>
    <col min="5587" max="5587" width="9.375" bestFit="1" customWidth="1"/>
    <col min="5588" max="5588" width="11.875" bestFit="1" customWidth="1"/>
    <col min="5589" max="5589" width="9.375" bestFit="1" customWidth="1"/>
    <col min="5590" max="5590" width="11.875" bestFit="1" customWidth="1"/>
    <col min="5591" max="5591" width="9.375" bestFit="1" customWidth="1"/>
    <col min="5592" max="5592" width="11.875" bestFit="1" customWidth="1"/>
    <col min="5593" max="5593" width="9.375" bestFit="1" customWidth="1"/>
    <col min="5594" max="5594" width="11.875" bestFit="1" customWidth="1"/>
    <col min="5595" max="5595" width="9.375" bestFit="1" customWidth="1"/>
    <col min="5596" max="5596" width="11.875" bestFit="1" customWidth="1"/>
    <col min="5597" max="5597" width="9.375" bestFit="1" customWidth="1"/>
    <col min="5598" max="5598" width="11.875" bestFit="1" customWidth="1"/>
    <col min="5599" max="5599" width="9.375" bestFit="1" customWidth="1"/>
    <col min="5600" max="5600" width="11.875" bestFit="1" customWidth="1"/>
    <col min="5601" max="5601" width="9.375" bestFit="1" customWidth="1"/>
    <col min="5602" max="5602" width="11.875" bestFit="1" customWidth="1"/>
    <col min="5603" max="5603" width="9.375" bestFit="1" customWidth="1"/>
    <col min="5604" max="5604" width="11.875" bestFit="1" customWidth="1"/>
    <col min="5605" max="5605" width="9.375" bestFit="1" customWidth="1"/>
    <col min="5606" max="5606" width="11.875" bestFit="1" customWidth="1"/>
    <col min="5607" max="5607" width="9.375" bestFit="1" customWidth="1"/>
    <col min="5608" max="5608" width="11.875" bestFit="1" customWidth="1"/>
    <col min="5609" max="5609" width="9.375" bestFit="1" customWidth="1"/>
    <col min="5610" max="5610" width="11.875" bestFit="1" customWidth="1"/>
    <col min="5611" max="5611" width="10.375" bestFit="1" customWidth="1"/>
    <col min="5612" max="5612" width="12.875" bestFit="1" customWidth="1"/>
    <col min="5613" max="5613" width="10.375" bestFit="1" customWidth="1"/>
    <col min="5614" max="5614" width="12.875" bestFit="1" customWidth="1"/>
    <col min="5615" max="5615" width="10.375" bestFit="1" customWidth="1"/>
    <col min="5616" max="5616" width="12.875" bestFit="1" customWidth="1"/>
    <col min="5617" max="5617" width="10.375" bestFit="1" customWidth="1"/>
    <col min="5618" max="5618" width="12.875" bestFit="1" customWidth="1"/>
    <col min="5619" max="5619" width="10.375" bestFit="1" customWidth="1"/>
    <col min="5620" max="5620" width="12.875" bestFit="1" customWidth="1"/>
    <col min="5621" max="5621" width="10.375" bestFit="1" customWidth="1"/>
    <col min="5622" max="5622" width="12.875" bestFit="1" customWidth="1"/>
    <col min="5623" max="5623" width="10.375" bestFit="1" customWidth="1"/>
    <col min="5624" max="5624" width="12.875" bestFit="1" customWidth="1"/>
    <col min="5625" max="5625" width="10.375" bestFit="1" customWidth="1"/>
    <col min="5626" max="5626" width="12.875" bestFit="1" customWidth="1"/>
    <col min="5627" max="5627" width="10.375" bestFit="1" customWidth="1"/>
    <col min="5628" max="5628" width="12.875" bestFit="1" customWidth="1"/>
    <col min="5629" max="5629" width="10.375" bestFit="1" customWidth="1"/>
    <col min="5630" max="5630" width="12.875" bestFit="1" customWidth="1"/>
    <col min="5631" max="5631" width="10.375" bestFit="1" customWidth="1"/>
    <col min="5632" max="5632" width="12.875" bestFit="1" customWidth="1"/>
    <col min="5633" max="5633" width="10.375" bestFit="1" customWidth="1"/>
    <col min="5634" max="5634" width="12.875" bestFit="1" customWidth="1"/>
    <col min="5635" max="5635" width="10.375" bestFit="1" customWidth="1"/>
    <col min="5636" max="5636" width="12.875" bestFit="1" customWidth="1"/>
    <col min="5637" max="5637" width="10.375" bestFit="1" customWidth="1"/>
    <col min="5638" max="5638" width="12.875" bestFit="1" customWidth="1"/>
    <col min="5639" max="5639" width="10.375" bestFit="1" customWidth="1"/>
    <col min="5640" max="5640" width="12.875" bestFit="1" customWidth="1"/>
    <col min="5641" max="5641" width="10.375" bestFit="1" customWidth="1"/>
    <col min="5642" max="5642" width="12.875" bestFit="1" customWidth="1"/>
    <col min="5643" max="5643" width="10.375" bestFit="1" customWidth="1"/>
    <col min="5644" max="5644" width="12.875" bestFit="1" customWidth="1"/>
    <col min="5645" max="5645" width="10.375" bestFit="1" customWidth="1"/>
    <col min="5646" max="5646" width="12.875" bestFit="1" customWidth="1"/>
    <col min="5647" max="5647" width="10.375" bestFit="1" customWidth="1"/>
    <col min="5648" max="5648" width="12.875" bestFit="1" customWidth="1"/>
    <col min="5649" max="5649" width="10.375" bestFit="1" customWidth="1"/>
    <col min="5650" max="5650" width="12.875" bestFit="1" customWidth="1"/>
    <col min="5651" max="5651" width="10.375" bestFit="1" customWidth="1"/>
    <col min="5652" max="5652" width="12.875" bestFit="1" customWidth="1"/>
    <col min="5653" max="5653" width="10.375" bestFit="1" customWidth="1"/>
    <col min="5654" max="5654" width="12.875" bestFit="1" customWidth="1"/>
    <col min="5655" max="5655" width="10.375" bestFit="1" customWidth="1"/>
    <col min="5656" max="5656" width="12.875" bestFit="1" customWidth="1"/>
    <col min="5657" max="5657" width="10.375" bestFit="1" customWidth="1"/>
    <col min="5658" max="5658" width="12.875" bestFit="1" customWidth="1"/>
    <col min="5659" max="5659" width="10.375" bestFit="1" customWidth="1"/>
    <col min="5660" max="5660" width="12.875" bestFit="1" customWidth="1"/>
    <col min="5661" max="5661" width="10.375" bestFit="1" customWidth="1"/>
    <col min="5662" max="5662" width="12.875" bestFit="1" customWidth="1"/>
    <col min="5663" max="5663" width="10.375" bestFit="1" customWidth="1"/>
    <col min="5664" max="5664" width="12.875" bestFit="1" customWidth="1"/>
    <col min="5665" max="5665" width="10.375" bestFit="1" customWidth="1"/>
    <col min="5666" max="5666" width="12.875" bestFit="1" customWidth="1"/>
    <col min="5667" max="5667" width="10.375" bestFit="1" customWidth="1"/>
    <col min="5668" max="5668" width="12.875" bestFit="1" customWidth="1"/>
    <col min="5669" max="5669" width="10.375" bestFit="1" customWidth="1"/>
    <col min="5670" max="5670" width="12.875" bestFit="1" customWidth="1"/>
    <col min="5671" max="5671" width="10.375" bestFit="1" customWidth="1"/>
    <col min="5672" max="5672" width="12.875" bestFit="1" customWidth="1"/>
    <col min="5673" max="5673" width="10.375" bestFit="1" customWidth="1"/>
    <col min="5674" max="5674" width="12.875" bestFit="1" customWidth="1"/>
    <col min="5675" max="5675" width="10.375" bestFit="1" customWidth="1"/>
    <col min="5676" max="5676" width="12.875" bestFit="1" customWidth="1"/>
    <col min="5677" max="5677" width="10.375" bestFit="1" customWidth="1"/>
    <col min="5678" max="5678" width="12.875" bestFit="1" customWidth="1"/>
    <col min="5679" max="5679" width="10.375" bestFit="1" customWidth="1"/>
    <col min="5680" max="5680" width="12.875" bestFit="1" customWidth="1"/>
    <col min="5681" max="5681" width="10.375" bestFit="1" customWidth="1"/>
    <col min="5682" max="5682" width="12.875" bestFit="1" customWidth="1"/>
    <col min="5683" max="5683" width="10.375" bestFit="1" customWidth="1"/>
    <col min="5684" max="5684" width="12.875" bestFit="1" customWidth="1"/>
    <col min="5685" max="5685" width="10.375" bestFit="1" customWidth="1"/>
    <col min="5686" max="5686" width="12.875" bestFit="1" customWidth="1"/>
    <col min="5687" max="5687" width="10.375" bestFit="1" customWidth="1"/>
    <col min="5688" max="5688" width="12.875" bestFit="1" customWidth="1"/>
    <col min="5689" max="5689" width="10.375" bestFit="1" customWidth="1"/>
    <col min="5690" max="5690" width="12.875" bestFit="1" customWidth="1"/>
    <col min="5691" max="5691" width="10.375" bestFit="1" customWidth="1"/>
    <col min="5692" max="5692" width="12.875" bestFit="1" customWidth="1"/>
    <col min="5693" max="5693" width="10.375" bestFit="1" customWidth="1"/>
    <col min="5694" max="5694" width="7" bestFit="1" customWidth="1"/>
    <col min="5695" max="5695" width="12.875" bestFit="1" customWidth="1"/>
    <col min="5696" max="5696" width="10.375" bestFit="1" customWidth="1"/>
    <col min="5697" max="5697" width="12.875" bestFit="1" customWidth="1"/>
    <col min="5698" max="5698" width="10.375" bestFit="1" customWidth="1"/>
    <col min="5699" max="5699" width="12.875" bestFit="1" customWidth="1"/>
    <col min="5700" max="5700" width="10.375" bestFit="1" customWidth="1"/>
    <col min="5701" max="5701" width="12.875" bestFit="1" customWidth="1"/>
    <col min="5702" max="5702" width="10.375" bestFit="1" customWidth="1"/>
    <col min="5703" max="5703" width="12.875" bestFit="1" customWidth="1"/>
    <col min="5704" max="5704" width="10.375" bestFit="1" customWidth="1"/>
    <col min="5705" max="5705" width="12.875" bestFit="1" customWidth="1"/>
    <col min="5706" max="5706" width="10.375" bestFit="1" customWidth="1"/>
    <col min="5707" max="5707" width="12.875" bestFit="1" customWidth="1"/>
    <col min="5708" max="5708" width="10.375" bestFit="1" customWidth="1"/>
    <col min="5709" max="5709" width="12.875" bestFit="1" customWidth="1"/>
    <col min="5710" max="5710" width="10.375" bestFit="1" customWidth="1"/>
    <col min="5711" max="5711" width="12.875" bestFit="1" customWidth="1"/>
    <col min="5712" max="5712" width="10.375" bestFit="1" customWidth="1"/>
    <col min="5713" max="5713" width="12.875" bestFit="1" customWidth="1"/>
    <col min="5714" max="5714" width="10.375" bestFit="1" customWidth="1"/>
    <col min="5715" max="5715" width="12.875" bestFit="1" customWidth="1"/>
    <col min="5716" max="5716" width="10.375" bestFit="1" customWidth="1"/>
    <col min="5717" max="5717" width="12.875" bestFit="1" customWidth="1"/>
    <col min="5718" max="5718" width="10.375" bestFit="1" customWidth="1"/>
    <col min="5719" max="5719" width="12.875" bestFit="1" customWidth="1"/>
    <col min="5720" max="5720" width="10.375" bestFit="1" customWidth="1"/>
    <col min="5721" max="5721" width="12.875" bestFit="1" customWidth="1"/>
    <col min="5722" max="5722" width="10.375" bestFit="1" customWidth="1"/>
    <col min="5723" max="5723" width="12.875" bestFit="1" customWidth="1"/>
    <col min="5724" max="5724" width="10.375" bestFit="1" customWidth="1"/>
    <col min="5725" max="5725" width="12.875" bestFit="1" customWidth="1"/>
    <col min="5726" max="5726" width="10.375" bestFit="1" customWidth="1"/>
    <col min="5727" max="5727" width="12.875" bestFit="1" customWidth="1"/>
    <col min="5728" max="5728" width="10.375" bestFit="1" customWidth="1"/>
    <col min="5729" max="5729" width="12.875" bestFit="1" customWidth="1"/>
    <col min="5730" max="5730" width="10.375" bestFit="1" customWidth="1"/>
    <col min="5731" max="5731" width="12.875" bestFit="1" customWidth="1"/>
    <col min="5732" max="5732" width="10.375" bestFit="1" customWidth="1"/>
    <col min="5733" max="5733" width="12.875" bestFit="1" customWidth="1"/>
    <col min="5734" max="5734" width="10.375" bestFit="1" customWidth="1"/>
    <col min="5735" max="5735" width="12.875" bestFit="1" customWidth="1"/>
    <col min="5736" max="5736" width="10.375" bestFit="1" customWidth="1"/>
    <col min="5737" max="5737" width="12.875" bestFit="1" customWidth="1"/>
    <col min="5738" max="5738" width="10.375" bestFit="1" customWidth="1"/>
    <col min="5739" max="5739" width="12.875" bestFit="1" customWidth="1"/>
    <col min="5740" max="5740" width="10.375" bestFit="1" customWidth="1"/>
    <col min="5741" max="5741" width="12.875" bestFit="1" customWidth="1"/>
    <col min="5742" max="5742" width="10.375" bestFit="1" customWidth="1"/>
    <col min="5743" max="5743" width="12.875" bestFit="1" customWidth="1"/>
    <col min="5744" max="5744" width="10.375" bestFit="1" customWidth="1"/>
    <col min="5745" max="5745" width="12.875" bestFit="1" customWidth="1"/>
    <col min="5746" max="5746" width="10.375" bestFit="1" customWidth="1"/>
    <col min="5747" max="5747" width="12.875" bestFit="1" customWidth="1"/>
    <col min="5748" max="5748" width="10.375" bestFit="1" customWidth="1"/>
    <col min="5749" max="5749" width="12.875" bestFit="1" customWidth="1"/>
    <col min="5750" max="5750" width="10.375" bestFit="1" customWidth="1"/>
    <col min="5751" max="5751" width="12.875" bestFit="1" customWidth="1"/>
    <col min="5752" max="5752" width="10.375" bestFit="1" customWidth="1"/>
    <col min="5753" max="5753" width="12.875" bestFit="1" customWidth="1"/>
    <col min="5754" max="5754" width="10.375" bestFit="1" customWidth="1"/>
    <col min="5755" max="5755" width="12.875" bestFit="1" customWidth="1"/>
    <col min="5756" max="5756" width="10.375" bestFit="1" customWidth="1"/>
    <col min="5757" max="5757" width="12.875" bestFit="1" customWidth="1"/>
    <col min="5758" max="5758" width="10.375" bestFit="1" customWidth="1"/>
    <col min="5759" max="5759" width="12.875" bestFit="1" customWidth="1"/>
    <col min="5760" max="5760" width="10.375" bestFit="1" customWidth="1"/>
    <col min="5761" max="5761" width="12.875" bestFit="1" customWidth="1"/>
    <col min="5762" max="5762" width="10.375" bestFit="1" customWidth="1"/>
    <col min="5763" max="5763" width="12.875" bestFit="1" customWidth="1"/>
    <col min="5764" max="5764" width="10.375" bestFit="1" customWidth="1"/>
    <col min="5765" max="5765" width="12.875" bestFit="1" customWidth="1"/>
    <col min="5766" max="5766" width="10.375" bestFit="1" customWidth="1"/>
    <col min="5767" max="5767" width="12.875" bestFit="1" customWidth="1"/>
    <col min="5768" max="5768" width="10.375" bestFit="1" customWidth="1"/>
    <col min="5769" max="5769" width="12.875" bestFit="1" customWidth="1"/>
    <col min="5770" max="5770" width="10.375" bestFit="1" customWidth="1"/>
    <col min="5771" max="5771" width="12.875" bestFit="1" customWidth="1"/>
    <col min="5772" max="5772" width="10.375" bestFit="1" customWidth="1"/>
    <col min="5773" max="5773" width="12.875" bestFit="1" customWidth="1"/>
    <col min="5774" max="5774" width="10.375" bestFit="1" customWidth="1"/>
    <col min="5775" max="5775" width="12.875" bestFit="1" customWidth="1"/>
    <col min="5776" max="5776" width="10.375" bestFit="1" customWidth="1"/>
    <col min="5777" max="5777" width="12.875" bestFit="1" customWidth="1"/>
    <col min="5778" max="5778" width="10.375" bestFit="1" customWidth="1"/>
    <col min="5779" max="5779" width="12.875" bestFit="1" customWidth="1"/>
    <col min="5780" max="5780" width="10.375" bestFit="1" customWidth="1"/>
    <col min="5781" max="5781" width="12.875" bestFit="1" customWidth="1"/>
    <col min="5782" max="5782" width="10.375" bestFit="1" customWidth="1"/>
    <col min="5783" max="5783" width="12.875" bestFit="1" customWidth="1"/>
    <col min="5784" max="5784" width="10.375" bestFit="1" customWidth="1"/>
    <col min="5785" max="5785" width="12.875" bestFit="1" customWidth="1"/>
    <col min="5786" max="5786" width="10.375" bestFit="1" customWidth="1"/>
    <col min="5787" max="5787" width="12.875" bestFit="1" customWidth="1"/>
    <col min="5788" max="5788" width="10.375" bestFit="1" customWidth="1"/>
    <col min="5789" max="5789" width="12.875" bestFit="1" customWidth="1"/>
    <col min="5790" max="5790" width="10.375" bestFit="1" customWidth="1"/>
    <col min="5791" max="5791" width="12.875" bestFit="1" customWidth="1"/>
    <col min="5792" max="5792" width="10.375" bestFit="1" customWidth="1"/>
    <col min="5793" max="5793" width="12.875" bestFit="1" customWidth="1"/>
    <col min="5794" max="5794" width="10.375" bestFit="1" customWidth="1"/>
    <col min="5795" max="5795" width="12.875" bestFit="1" customWidth="1"/>
    <col min="5796" max="5796" width="10.375" bestFit="1" customWidth="1"/>
    <col min="5797" max="5797" width="12.875" bestFit="1" customWidth="1"/>
    <col min="5798" max="5798" width="10.375" bestFit="1" customWidth="1"/>
    <col min="5799" max="5799" width="12.875" bestFit="1" customWidth="1"/>
    <col min="5800" max="5800" width="10.375" bestFit="1" customWidth="1"/>
    <col min="5801" max="5801" width="12.875" bestFit="1" customWidth="1"/>
    <col min="5802" max="5802" width="10.375" bestFit="1" customWidth="1"/>
    <col min="5803" max="5803" width="12.875" bestFit="1" customWidth="1"/>
    <col min="5804" max="5804" width="10.375" bestFit="1" customWidth="1"/>
    <col min="5805" max="5805" width="12.875" bestFit="1" customWidth="1"/>
    <col min="5806" max="5806" width="10.375" bestFit="1" customWidth="1"/>
    <col min="5807" max="5807" width="12.875" bestFit="1" customWidth="1"/>
    <col min="5808" max="5808" width="10.375" bestFit="1" customWidth="1"/>
    <col min="5809" max="5809" width="12.875" bestFit="1" customWidth="1"/>
    <col min="5810" max="5810" width="10.375" bestFit="1" customWidth="1"/>
    <col min="5811" max="5811" width="12.875" bestFit="1" customWidth="1"/>
    <col min="5812" max="5812" width="10.375" bestFit="1" customWidth="1"/>
    <col min="5813" max="5813" width="12.875" bestFit="1" customWidth="1"/>
    <col min="5814" max="5814" width="10.375" bestFit="1" customWidth="1"/>
    <col min="5815" max="5815" width="12.875" bestFit="1" customWidth="1"/>
    <col min="5816" max="5816" width="10.375" bestFit="1" customWidth="1"/>
    <col min="5817" max="5817" width="12.875" bestFit="1" customWidth="1"/>
    <col min="5818" max="5818" width="10.375" bestFit="1" customWidth="1"/>
    <col min="5819" max="5819" width="12.875" bestFit="1" customWidth="1"/>
    <col min="5820" max="5820" width="10.375" bestFit="1" customWidth="1"/>
    <col min="5821" max="5821" width="12.875" bestFit="1" customWidth="1"/>
    <col min="5822" max="5822" width="10.375" bestFit="1" customWidth="1"/>
    <col min="5823" max="5823" width="12.875" bestFit="1" customWidth="1"/>
    <col min="5824" max="5824" width="10.375" bestFit="1" customWidth="1"/>
    <col min="5825" max="5825" width="12.875" bestFit="1" customWidth="1"/>
    <col min="5826" max="5826" width="10.375" bestFit="1" customWidth="1"/>
    <col min="5827" max="5827" width="12.875" bestFit="1" customWidth="1"/>
    <col min="5828" max="5828" width="10.375" bestFit="1" customWidth="1"/>
    <col min="5829" max="5829" width="12.875" bestFit="1" customWidth="1"/>
    <col min="5830" max="5830" width="10.375" bestFit="1" customWidth="1"/>
    <col min="5831" max="5831" width="12.875" bestFit="1" customWidth="1"/>
    <col min="5832" max="5832" width="10.375" bestFit="1" customWidth="1"/>
    <col min="5833" max="5833" width="12.875" bestFit="1" customWidth="1"/>
    <col min="5834" max="5834" width="10.375" bestFit="1" customWidth="1"/>
    <col min="5835" max="5835" width="12.875" bestFit="1" customWidth="1"/>
    <col min="5836" max="5836" width="10.375" bestFit="1" customWidth="1"/>
    <col min="5837" max="5837" width="12.875" bestFit="1" customWidth="1"/>
    <col min="5838" max="5838" width="10.375" bestFit="1" customWidth="1"/>
    <col min="5839" max="5839" width="12.875" bestFit="1" customWidth="1"/>
    <col min="5840" max="5840" width="10.375" bestFit="1" customWidth="1"/>
    <col min="5841" max="5841" width="12.875" bestFit="1" customWidth="1"/>
    <col min="5842" max="5842" width="10.375" bestFit="1" customWidth="1"/>
    <col min="5843" max="5843" width="12.875" bestFit="1" customWidth="1"/>
    <col min="5844" max="5844" width="10.375" bestFit="1" customWidth="1"/>
    <col min="5845" max="5845" width="12.875" bestFit="1" customWidth="1"/>
    <col min="5846" max="5846" width="10.375" bestFit="1" customWidth="1"/>
    <col min="5847" max="5847" width="12.875" bestFit="1" customWidth="1"/>
    <col min="5848" max="5848" width="10.375" bestFit="1" customWidth="1"/>
    <col min="5849" max="5849" width="7.625" bestFit="1" customWidth="1"/>
    <col min="5850" max="5850" width="7" bestFit="1" customWidth="1"/>
    <col min="5851" max="5851" width="12.875" bestFit="1" customWidth="1"/>
    <col min="5852" max="5852" width="10.375" bestFit="1" customWidth="1"/>
    <col min="5853" max="5853" width="12.875" bestFit="1" customWidth="1"/>
    <col min="5854" max="5854" width="10.375" bestFit="1" customWidth="1"/>
    <col min="5855" max="5855" width="12.875" bestFit="1" customWidth="1"/>
    <col min="5856" max="5856" width="10.375" bestFit="1" customWidth="1"/>
    <col min="5857" max="5857" width="7" bestFit="1" customWidth="1"/>
    <col min="5858" max="5858" width="12.875" bestFit="1" customWidth="1"/>
    <col min="5859" max="5859" width="10.375" bestFit="1" customWidth="1"/>
    <col min="5860" max="5860" width="12.875" bestFit="1" customWidth="1"/>
    <col min="5861" max="5861" width="10.375" bestFit="1" customWidth="1"/>
    <col min="5862" max="5862" width="12.875" bestFit="1" customWidth="1"/>
    <col min="5863" max="5863" width="10.375" bestFit="1" customWidth="1"/>
    <col min="5864" max="5864" width="12.875" bestFit="1" customWidth="1"/>
    <col min="5865" max="5865" width="10.375" bestFit="1" customWidth="1"/>
    <col min="5866" max="5866" width="12.875" bestFit="1" customWidth="1"/>
    <col min="5867" max="5867" width="10.375" bestFit="1" customWidth="1"/>
    <col min="5868" max="5868" width="12.875" bestFit="1" customWidth="1"/>
    <col min="5869" max="5869" width="10.375" bestFit="1" customWidth="1"/>
    <col min="5870" max="5870" width="12.875" bestFit="1" customWidth="1"/>
    <col min="5871" max="5871" width="10.375" bestFit="1" customWidth="1"/>
    <col min="5872" max="5872" width="12.875" bestFit="1" customWidth="1"/>
    <col min="5873" max="5873" width="10.375" bestFit="1" customWidth="1"/>
    <col min="5874" max="5874" width="12.875" bestFit="1" customWidth="1"/>
    <col min="5875" max="5875" width="10.375" bestFit="1" customWidth="1"/>
    <col min="5876" max="5876" width="12.875" bestFit="1" customWidth="1"/>
    <col min="5877" max="5877" width="10.375" bestFit="1" customWidth="1"/>
    <col min="5878" max="5878" width="12.875" bestFit="1" customWidth="1"/>
    <col min="5879" max="5879" width="10.375" bestFit="1" customWidth="1"/>
    <col min="5880" max="5880" width="12.875" bestFit="1" customWidth="1"/>
    <col min="5881" max="5881" width="10.375" bestFit="1" customWidth="1"/>
    <col min="5882" max="5882" width="12.875" bestFit="1" customWidth="1"/>
    <col min="5883" max="5883" width="10.375" bestFit="1" customWidth="1"/>
    <col min="5884" max="5884" width="12.875" bestFit="1" customWidth="1"/>
    <col min="5885" max="5885" width="10.375" bestFit="1" customWidth="1"/>
    <col min="5886" max="5886" width="12.875" bestFit="1" customWidth="1"/>
    <col min="5887" max="5887" width="10.375" bestFit="1" customWidth="1"/>
    <col min="5888" max="5888" width="12.875" bestFit="1" customWidth="1"/>
    <col min="5889" max="5889" width="10.375" bestFit="1" customWidth="1"/>
    <col min="5890" max="5890" width="12.875" bestFit="1" customWidth="1"/>
    <col min="5891" max="5891" width="10.375" bestFit="1" customWidth="1"/>
    <col min="5892" max="5892" width="12.875" bestFit="1" customWidth="1"/>
    <col min="5893" max="5893" width="10.375" bestFit="1" customWidth="1"/>
    <col min="5894" max="5894" width="12.875" bestFit="1" customWidth="1"/>
    <col min="5895" max="5895" width="10.375" bestFit="1" customWidth="1"/>
    <col min="5896" max="5896" width="12.875" bestFit="1" customWidth="1"/>
    <col min="5897" max="5897" width="10.375" bestFit="1" customWidth="1"/>
    <col min="5898" max="5898" width="12.875" bestFit="1" customWidth="1"/>
    <col min="5899" max="5899" width="10.375" bestFit="1" customWidth="1"/>
    <col min="5900" max="5900" width="12.875" bestFit="1" customWidth="1"/>
    <col min="5901" max="5901" width="10.375" bestFit="1" customWidth="1"/>
    <col min="5902" max="5902" width="12.875" bestFit="1" customWidth="1"/>
    <col min="5903" max="5903" width="10.375" bestFit="1" customWidth="1"/>
    <col min="5904" max="5904" width="12.875" bestFit="1" customWidth="1"/>
    <col min="5905" max="5905" width="10.375" bestFit="1" customWidth="1"/>
    <col min="5906" max="5906" width="12.875" bestFit="1" customWidth="1"/>
    <col min="5907" max="5907" width="10.375" bestFit="1" customWidth="1"/>
    <col min="5908" max="5908" width="7" bestFit="1" customWidth="1"/>
    <col min="5909" max="5909" width="12.875" bestFit="1" customWidth="1"/>
    <col min="5910" max="5910" width="10.375" bestFit="1" customWidth="1"/>
    <col min="5911" max="5911" width="12.875" bestFit="1" customWidth="1"/>
    <col min="5912" max="5912" width="10.375" bestFit="1" customWidth="1"/>
    <col min="5913" max="5913" width="12.875" bestFit="1" customWidth="1"/>
    <col min="5914" max="5914" width="10.375" bestFit="1" customWidth="1"/>
    <col min="5915" max="5915" width="12.875" bestFit="1" customWidth="1"/>
    <col min="5916" max="5916" width="10.375" bestFit="1" customWidth="1"/>
    <col min="5917" max="5917" width="12.875" bestFit="1" customWidth="1"/>
    <col min="5918" max="5918" width="10.375" bestFit="1" customWidth="1"/>
    <col min="5919" max="5919" width="7" bestFit="1" customWidth="1"/>
    <col min="5920" max="5920" width="12.875" bestFit="1" customWidth="1"/>
    <col min="5921" max="5921" width="10.375" bestFit="1" customWidth="1"/>
    <col min="5922" max="5922" width="12.875" bestFit="1" customWidth="1"/>
    <col min="5923" max="5923" width="10.375" bestFit="1" customWidth="1"/>
    <col min="5924" max="5924" width="12.875" bestFit="1" customWidth="1"/>
    <col min="5925" max="5925" width="10.375" bestFit="1" customWidth="1"/>
    <col min="5926" max="5926" width="12.875" bestFit="1" customWidth="1"/>
    <col min="5927" max="5927" width="10.375" bestFit="1" customWidth="1"/>
    <col min="5928" max="5928" width="12.875" bestFit="1" customWidth="1"/>
    <col min="5929" max="5929" width="10.375" bestFit="1" customWidth="1"/>
    <col min="5930" max="5930" width="12.875" bestFit="1" customWidth="1"/>
    <col min="5931" max="5931" width="10.375" bestFit="1" customWidth="1"/>
    <col min="5932" max="5932" width="12.875" bestFit="1" customWidth="1"/>
    <col min="5933" max="5933" width="10.375" bestFit="1" customWidth="1"/>
    <col min="5934" max="5934" width="12.875" bestFit="1" customWidth="1"/>
    <col min="5935" max="5935" width="10.375" bestFit="1" customWidth="1"/>
    <col min="5936" max="5936" width="12.875" bestFit="1" customWidth="1"/>
    <col min="5937" max="5937" width="10.375" bestFit="1" customWidth="1"/>
    <col min="5938" max="5938" width="12.875" bestFit="1" customWidth="1"/>
    <col min="5939" max="5939" width="10.375" bestFit="1" customWidth="1"/>
    <col min="5940" max="5940" width="12.875" bestFit="1" customWidth="1"/>
    <col min="5941" max="5941" width="10.375" bestFit="1" customWidth="1"/>
    <col min="5942" max="5942" width="12.875" bestFit="1" customWidth="1"/>
    <col min="5943" max="5943" width="10.375" bestFit="1" customWidth="1"/>
    <col min="5944" max="5944" width="12.875" bestFit="1" customWidth="1"/>
    <col min="5945" max="5945" width="10.375" bestFit="1" customWidth="1"/>
    <col min="5946" max="5946" width="12.875" bestFit="1" customWidth="1"/>
    <col min="5947" max="5947" width="10.375" bestFit="1" customWidth="1"/>
    <col min="5948" max="5948" width="12.875" bestFit="1" customWidth="1"/>
    <col min="5949" max="5949" width="10.375" bestFit="1" customWidth="1"/>
    <col min="5950" max="5950" width="12.875" bestFit="1" customWidth="1"/>
    <col min="5951" max="5951" width="10.375" bestFit="1" customWidth="1"/>
    <col min="5952" max="5952" width="12.875" bestFit="1" customWidth="1"/>
    <col min="5953" max="5953" width="10.375" bestFit="1" customWidth="1"/>
    <col min="5954" max="5954" width="12.875" bestFit="1" customWidth="1"/>
    <col min="5955" max="5955" width="10.375" bestFit="1" customWidth="1"/>
    <col min="5956" max="5956" width="12.875" bestFit="1" customWidth="1"/>
    <col min="5957" max="5957" width="10.375" bestFit="1" customWidth="1"/>
    <col min="5958" max="5958" width="12.875" bestFit="1" customWidth="1"/>
    <col min="5959" max="5959" width="10.375" bestFit="1" customWidth="1"/>
    <col min="5960" max="5960" width="12.875" bestFit="1" customWidth="1"/>
    <col min="5961" max="5961" width="10.375" bestFit="1" customWidth="1"/>
    <col min="5962" max="5962" width="12.875" bestFit="1" customWidth="1"/>
    <col min="5963" max="5963" width="10.375" bestFit="1" customWidth="1"/>
    <col min="5964" max="5964" width="12.875" bestFit="1" customWidth="1"/>
    <col min="5965" max="5965" width="10.375" bestFit="1" customWidth="1"/>
    <col min="5966" max="5966" width="12.875" bestFit="1" customWidth="1"/>
    <col min="5967" max="5967" width="10.375" bestFit="1" customWidth="1"/>
    <col min="5968" max="5968" width="12.875" bestFit="1" customWidth="1"/>
    <col min="5969" max="5969" width="10.375" bestFit="1" customWidth="1"/>
    <col min="5970" max="5970" width="12.875" bestFit="1" customWidth="1"/>
    <col min="5971" max="5971" width="10.375" bestFit="1" customWidth="1"/>
    <col min="5972" max="5972" width="7" bestFit="1" customWidth="1"/>
    <col min="5973" max="5973" width="12.875" bestFit="1" customWidth="1"/>
    <col min="5974" max="5974" width="10.375" bestFit="1" customWidth="1"/>
    <col min="5975" max="5975" width="12.875" bestFit="1" customWidth="1"/>
    <col min="5976" max="5976" width="10.375" bestFit="1" customWidth="1"/>
    <col min="5977" max="5977" width="12.875" bestFit="1" customWidth="1"/>
    <col min="5978" max="5978" width="10.375" bestFit="1" customWidth="1"/>
    <col min="5979" max="5979" width="12.875" bestFit="1" customWidth="1"/>
    <col min="5980" max="5980" width="10.375" bestFit="1" customWidth="1"/>
    <col min="5981" max="5981" width="7" bestFit="1" customWidth="1"/>
    <col min="5982" max="5982" width="12.875" bestFit="1" customWidth="1"/>
    <col min="5983" max="5983" width="10.375" bestFit="1" customWidth="1"/>
    <col min="5984" max="5984" width="7" bestFit="1" customWidth="1"/>
    <col min="5985" max="5985" width="12.875" bestFit="1" customWidth="1"/>
    <col min="5986" max="5986" width="10.375" bestFit="1" customWidth="1"/>
    <col min="5987" max="5987" width="12.875" bestFit="1" customWidth="1"/>
    <col min="5988" max="5988" width="10.375" bestFit="1" customWidth="1"/>
    <col min="5989" max="5989" width="12.875" bestFit="1" customWidth="1"/>
    <col min="5990" max="5990" width="10.375" bestFit="1" customWidth="1"/>
    <col min="5991" max="5991" width="12.875" bestFit="1" customWidth="1"/>
    <col min="5992" max="5992" width="10.375" bestFit="1" customWidth="1"/>
    <col min="5993" max="5993" width="12.875" bestFit="1" customWidth="1"/>
    <col min="5994" max="5994" width="10.375" bestFit="1" customWidth="1"/>
    <col min="5995" max="5995" width="12.875" bestFit="1" customWidth="1"/>
    <col min="5996" max="5996" width="10.375" bestFit="1" customWidth="1"/>
    <col min="5997" max="5997" width="7" bestFit="1" customWidth="1"/>
    <col min="5998" max="5998" width="12.875" bestFit="1" customWidth="1"/>
    <col min="5999" max="5999" width="10.375" bestFit="1" customWidth="1"/>
    <col min="6000" max="6000" width="12.875" bestFit="1" customWidth="1"/>
    <col min="6001" max="6001" width="10.375" bestFit="1" customWidth="1"/>
    <col min="6002" max="6002" width="12.875" bestFit="1" customWidth="1"/>
    <col min="6003" max="6003" width="10.375" bestFit="1" customWidth="1"/>
    <col min="6004" max="6004" width="12.875" bestFit="1" customWidth="1"/>
    <col min="6005" max="6005" width="10.375" bestFit="1" customWidth="1"/>
    <col min="6006" max="6006" width="12.875" bestFit="1" customWidth="1"/>
    <col min="6007" max="6007" width="10.375" bestFit="1" customWidth="1"/>
    <col min="6008" max="6008" width="7" bestFit="1" customWidth="1"/>
    <col min="6009" max="6009" width="12.875" bestFit="1" customWidth="1"/>
    <col min="6010" max="6010" width="10.375" bestFit="1" customWidth="1"/>
    <col min="6011" max="6011" width="12.875" bestFit="1" customWidth="1"/>
    <col min="6012" max="6012" width="10.375" bestFit="1" customWidth="1"/>
    <col min="6013" max="6013" width="12.875" bestFit="1" customWidth="1"/>
    <col min="6014" max="6014" width="10.375" bestFit="1" customWidth="1"/>
    <col min="6015" max="6015" width="12.875" bestFit="1" customWidth="1"/>
    <col min="6016" max="6016" width="10.375" bestFit="1" customWidth="1"/>
    <col min="6017" max="6017" width="12.875" bestFit="1" customWidth="1"/>
    <col min="6018" max="6018" width="10.375" bestFit="1" customWidth="1"/>
    <col min="6019" max="6019" width="12.875" bestFit="1" customWidth="1"/>
    <col min="6020" max="6020" width="10.375" bestFit="1" customWidth="1"/>
    <col min="6021" max="6021" width="12.875" bestFit="1" customWidth="1"/>
    <col min="6022" max="6022" width="10.375" bestFit="1" customWidth="1"/>
    <col min="6023" max="6023" width="12.875" bestFit="1" customWidth="1"/>
    <col min="6024" max="6024" width="10.375" bestFit="1" customWidth="1"/>
    <col min="6025" max="6025" width="7" bestFit="1" customWidth="1"/>
    <col min="6026" max="6026" width="12.875" bestFit="1" customWidth="1"/>
    <col min="6027" max="6027" width="10.375" bestFit="1" customWidth="1"/>
    <col min="6028" max="6028" width="12.875" bestFit="1" customWidth="1"/>
    <col min="6029" max="6029" width="10.375" bestFit="1" customWidth="1"/>
    <col min="6030" max="6030" width="12.875" bestFit="1" customWidth="1"/>
    <col min="6031" max="6031" width="10.375" bestFit="1" customWidth="1"/>
    <col min="6032" max="6032" width="7" bestFit="1" customWidth="1"/>
    <col min="6033" max="6033" width="12.875" bestFit="1" customWidth="1"/>
    <col min="6034" max="6034" width="10.375" bestFit="1" customWidth="1"/>
    <col min="6035" max="6035" width="12.875" bestFit="1" customWidth="1"/>
    <col min="6036" max="6036" width="10.375" bestFit="1" customWidth="1"/>
    <col min="6037" max="6037" width="7" bestFit="1" customWidth="1"/>
    <col min="6038" max="6038" width="12.875" bestFit="1" customWidth="1"/>
    <col min="6039" max="6039" width="10.375" bestFit="1" customWidth="1"/>
    <col min="6040" max="6040" width="12.875" bestFit="1" customWidth="1"/>
    <col min="6041" max="6041" width="10.375" bestFit="1" customWidth="1"/>
    <col min="6042" max="6042" width="12.875" bestFit="1" customWidth="1"/>
    <col min="6043" max="6043" width="10.375" bestFit="1" customWidth="1"/>
    <col min="6044" max="6044" width="12.875" bestFit="1" customWidth="1"/>
    <col min="6045" max="6045" width="10.375" bestFit="1" customWidth="1"/>
    <col min="6046" max="6046" width="12.875" bestFit="1" customWidth="1"/>
    <col min="6047" max="6047" width="10.375" bestFit="1" customWidth="1"/>
    <col min="6048" max="6048" width="12.875" bestFit="1" customWidth="1"/>
    <col min="6049" max="6049" width="10.375" bestFit="1" customWidth="1"/>
    <col min="6050" max="6050" width="12.875" bestFit="1" customWidth="1"/>
    <col min="6051" max="6051" width="10.375" bestFit="1" customWidth="1"/>
    <col min="6052" max="6052" width="12.875" bestFit="1" customWidth="1"/>
    <col min="6053" max="6053" width="10.375" bestFit="1" customWidth="1"/>
    <col min="6054" max="6054" width="12.875" bestFit="1" customWidth="1"/>
    <col min="6055" max="6055" width="10.375" bestFit="1" customWidth="1"/>
    <col min="6056" max="6056" width="12.875" bestFit="1" customWidth="1"/>
    <col min="6057" max="6057" width="10.375" bestFit="1" customWidth="1"/>
    <col min="6058" max="6058" width="12.875" bestFit="1" customWidth="1"/>
    <col min="6059" max="6059" width="10.375" bestFit="1" customWidth="1"/>
    <col min="6060" max="6060" width="12.875" bestFit="1" customWidth="1"/>
    <col min="6061" max="6061" width="10.375" bestFit="1" customWidth="1"/>
    <col min="6062" max="6062" width="12.875" bestFit="1" customWidth="1"/>
    <col min="6063" max="6063" width="10.375" bestFit="1" customWidth="1"/>
    <col min="6064" max="6064" width="12.875" bestFit="1" customWidth="1"/>
    <col min="6065" max="6065" width="10.375" bestFit="1" customWidth="1"/>
    <col min="6066" max="6066" width="12.875" bestFit="1" customWidth="1"/>
    <col min="6067" max="6067" width="10.375" bestFit="1" customWidth="1"/>
    <col min="6068" max="6068" width="12.875" bestFit="1" customWidth="1"/>
    <col min="6069" max="6069" width="10.375" bestFit="1" customWidth="1"/>
    <col min="6070" max="6070" width="12.875" bestFit="1" customWidth="1"/>
    <col min="6071" max="6071" width="10.375" bestFit="1" customWidth="1"/>
    <col min="6072" max="6072" width="12.875" bestFit="1" customWidth="1"/>
    <col min="6073" max="6073" width="10.375" bestFit="1" customWidth="1"/>
    <col min="6074" max="6074" width="12.875" bestFit="1" customWidth="1"/>
    <col min="6075" max="6075" width="10.375" bestFit="1" customWidth="1"/>
    <col min="6076" max="6076" width="12.875" bestFit="1" customWidth="1"/>
    <col min="6077" max="6077" width="10.375" bestFit="1" customWidth="1"/>
    <col min="6078" max="6078" width="12.875" bestFit="1" customWidth="1"/>
    <col min="6079" max="6079" width="10.375" bestFit="1" customWidth="1"/>
    <col min="6080" max="6080" width="12.875" bestFit="1" customWidth="1"/>
    <col min="6081" max="6081" width="10.375" bestFit="1" customWidth="1"/>
    <col min="6082" max="6082" width="12.875" bestFit="1" customWidth="1"/>
    <col min="6083" max="6083" width="10.375" bestFit="1" customWidth="1"/>
    <col min="6084" max="6084" width="12.875" bestFit="1" customWidth="1"/>
    <col min="6085" max="6085" width="10.375" bestFit="1" customWidth="1"/>
    <col min="6086" max="6086" width="12.875" bestFit="1" customWidth="1"/>
    <col min="6087" max="6087" width="10.375" bestFit="1" customWidth="1"/>
    <col min="6088" max="6088" width="12.875" bestFit="1" customWidth="1"/>
    <col min="6089" max="6089" width="10.375" bestFit="1" customWidth="1"/>
    <col min="6090" max="6090" width="12.875" bestFit="1" customWidth="1"/>
    <col min="6091" max="6091" width="10.375" bestFit="1" customWidth="1"/>
    <col min="6092" max="6092" width="12.875" bestFit="1" customWidth="1"/>
    <col min="6093" max="6093" width="10.375" bestFit="1" customWidth="1"/>
    <col min="6094" max="6094" width="12.875" bestFit="1" customWidth="1"/>
    <col min="6095" max="6095" width="10.375" bestFit="1" customWidth="1"/>
    <col min="6096" max="6096" width="12.875" bestFit="1" customWidth="1"/>
    <col min="6097" max="6097" width="10.375" bestFit="1" customWidth="1"/>
    <col min="6098" max="6098" width="12.875" bestFit="1" customWidth="1"/>
    <col min="6099" max="6099" width="10.375" bestFit="1" customWidth="1"/>
    <col min="6100" max="6100" width="12.875" bestFit="1" customWidth="1"/>
    <col min="6101" max="6101" width="10.375" bestFit="1" customWidth="1"/>
    <col min="6102" max="6102" width="12.875" bestFit="1" customWidth="1"/>
    <col min="6103" max="6103" width="10.375" bestFit="1" customWidth="1"/>
    <col min="6104" max="6104" width="12.875" bestFit="1" customWidth="1"/>
    <col min="6105" max="6105" width="10.375" bestFit="1" customWidth="1"/>
    <col min="6106" max="6106" width="12.875" bestFit="1" customWidth="1"/>
    <col min="6107" max="6107" width="10.375" bestFit="1" customWidth="1"/>
    <col min="6108" max="6108" width="12.875" bestFit="1" customWidth="1"/>
    <col min="6109" max="6109" width="10.375" bestFit="1" customWidth="1"/>
    <col min="6110" max="6110" width="12.875" bestFit="1" customWidth="1"/>
    <col min="6111" max="6111" width="10.375" bestFit="1" customWidth="1"/>
    <col min="6112" max="6112" width="12.875" bestFit="1" customWidth="1"/>
    <col min="6113" max="6113" width="10.375" bestFit="1" customWidth="1"/>
    <col min="6114" max="6114" width="12.875" bestFit="1" customWidth="1"/>
    <col min="6115" max="6115" width="10.375" bestFit="1" customWidth="1"/>
    <col min="6116" max="6116" width="12.875" bestFit="1" customWidth="1"/>
    <col min="6117" max="6117" width="10.375" bestFit="1" customWidth="1"/>
    <col min="6118" max="6118" width="12.875" bestFit="1" customWidth="1"/>
    <col min="6119" max="6119" width="10.375" bestFit="1" customWidth="1"/>
    <col min="6120" max="6120" width="12.875" bestFit="1" customWidth="1"/>
    <col min="6121" max="6121" width="10.375" bestFit="1" customWidth="1"/>
    <col min="6122" max="6122" width="12.875" bestFit="1" customWidth="1"/>
    <col min="6123" max="6123" width="10.375" bestFit="1" customWidth="1"/>
    <col min="6124" max="6124" width="12.875" bestFit="1" customWidth="1"/>
    <col min="6125" max="6125" width="10.375" bestFit="1" customWidth="1"/>
    <col min="6126" max="6126" width="12.875" bestFit="1" customWidth="1"/>
    <col min="6127" max="6127" width="10.375" bestFit="1" customWidth="1"/>
    <col min="6128" max="6128" width="12.875" bestFit="1" customWidth="1"/>
    <col min="6129" max="6129" width="10.375" bestFit="1" customWidth="1"/>
    <col min="6130" max="6130" width="12.875" bestFit="1" customWidth="1"/>
    <col min="6131" max="6131" width="10.375" bestFit="1" customWidth="1"/>
    <col min="6132" max="6132" width="12.875" bestFit="1" customWidth="1"/>
    <col min="6133" max="6133" width="10.375" bestFit="1" customWidth="1"/>
    <col min="6134" max="6134" width="12.875" bestFit="1" customWidth="1"/>
    <col min="6135" max="6135" width="10.375" bestFit="1" customWidth="1"/>
    <col min="6136" max="6136" width="12.875" bestFit="1" customWidth="1"/>
    <col min="6137" max="6137" width="10.375" bestFit="1" customWidth="1"/>
    <col min="6138" max="6138" width="12.875" bestFit="1" customWidth="1"/>
    <col min="6139" max="6139" width="10.375" bestFit="1" customWidth="1"/>
    <col min="6140" max="6140" width="12.875" bestFit="1" customWidth="1"/>
    <col min="6141" max="6141" width="10.375" bestFit="1" customWidth="1"/>
    <col min="6142" max="6142" width="12.875" bestFit="1" customWidth="1"/>
    <col min="6143" max="6143" width="10.375" bestFit="1" customWidth="1"/>
    <col min="6144" max="6144" width="12.875" bestFit="1" customWidth="1"/>
    <col min="6145" max="6145" width="10.375" bestFit="1" customWidth="1"/>
    <col min="6146" max="6146" width="12.875" bestFit="1" customWidth="1"/>
    <col min="6147" max="6147" width="10.375" bestFit="1" customWidth="1"/>
    <col min="6148" max="6148" width="12.875" bestFit="1" customWidth="1"/>
    <col min="6149" max="6149" width="10.375" bestFit="1" customWidth="1"/>
    <col min="6150" max="6150" width="12.875" bestFit="1" customWidth="1"/>
    <col min="6151" max="6151" width="10.375" bestFit="1" customWidth="1"/>
    <col min="6152" max="6152" width="12.875" bestFit="1" customWidth="1"/>
    <col min="6153" max="6153" width="10.375" bestFit="1" customWidth="1"/>
    <col min="6154" max="6154" width="12.875" bestFit="1" customWidth="1"/>
    <col min="6155" max="6155" width="10.375" bestFit="1" customWidth="1"/>
    <col min="6156" max="6156" width="12.875" bestFit="1" customWidth="1"/>
    <col min="6157" max="6157" width="10.375" bestFit="1" customWidth="1"/>
    <col min="6158" max="6158" width="12.875" bestFit="1" customWidth="1"/>
    <col min="6159" max="6159" width="10.375" bestFit="1" customWidth="1"/>
    <col min="6160" max="6160" width="12.875" bestFit="1" customWidth="1"/>
    <col min="6161" max="6161" width="10.375" bestFit="1" customWidth="1"/>
    <col min="6162" max="6162" width="12.875" bestFit="1" customWidth="1"/>
    <col min="6163" max="6163" width="10.375" bestFit="1" customWidth="1"/>
    <col min="6164" max="6164" width="12.875" bestFit="1" customWidth="1"/>
    <col min="6165" max="6165" width="10.375" bestFit="1" customWidth="1"/>
    <col min="6166" max="6166" width="12.875" bestFit="1" customWidth="1"/>
    <col min="6167" max="6167" width="10.375" bestFit="1" customWidth="1"/>
    <col min="6168" max="6168" width="12.875" bestFit="1" customWidth="1"/>
    <col min="6169" max="6169" width="10.375" bestFit="1" customWidth="1"/>
    <col min="6170" max="6170" width="12.875" bestFit="1" customWidth="1"/>
    <col min="6171" max="6171" width="10.375" bestFit="1" customWidth="1"/>
    <col min="6172" max="6172" width="12.875" bestFit="1" customWidth="1"/>
    <col min="6173" max="6173" width="10.375" bestFit="1" customWidth="1"/>
    <col min="6174" max="6174" width="12.875" bestFit="1" customWidth="1"/>
    <col min="6175" max="6175" width="10.375" bestFit="1" customWidth="1"/>
    <col min="6176" max="6176" width="12.875" bestFit="1" customWidth="1"/>
    <col min="6177" max="6177" width="10.375" bestFit="1" customWidth="1"/>
    <col min="6178" max="6178" width="12.875" bestFit="1" customWidth="1"/>
    <col min="6179" max="6179" width="10.375" bestFit="1" customWidth="1"/>
    <col min="6180" max="6180" width="7" bestFit="1" customWidth="1"/>
    <col min="6181" max="6181" width="12.875" bestFit="1" customWidth="1"/>
    <col min="6182" max="6182" width="10.375" bestFit="1" customWidth="1"/>
    <col min="6183" max="6183" width="12.875" bestFit="1" customWidth="1"/>
    <col min="6184" max="6184" width="10.375" bestFit="1" customWidth="1"/>
    <col min="6185" max="6185" width="12.875" bestFit="1" customWidth="1"/>
    <col min="6186" max="6186" width="10.375" bestFit="1" customWidth="1"/>
    <col min="6187" max="6187" width="12.875" bestFit="1" customWidth="1"/>
    <col min="6188" max="6188" width="10.375" bestFit="1" customWidth="1"/>
    <col min="6189" max="6189" width="12.875" bestFit="1" customWidth="1"/>
    <col min="6190" max="6190" width="10.375" bestFit="1" customWidth="1"/>
    <col min="6191" max="6191" width="12.875" bestFit="1" customWidth="1"/>
    <col min="6192" max="6192" width="10.375" bestFit="1" customWidth="1"/>
    <col min="6193" max="6193" width="12.875" bestFit="1" customWidth="1"/>
    <col min="6194" max="6194" width="10.375" bestFit="1" customWidth="1"/>
    <col min="6195" max="6195" width="12.875" bestFit="1" customWidth="1"/>
    <col min="6196" max="6196" width="10.375" bestFit="1" customWidth="1"/>
    <col min="6197" max="6197" width="12.875" bestFit="1" customWidth="1"/>
    <col min="6198" max="6198" width="10.375" bestFit="1" customWidth="1"/>
    <col min="6199" max="6199" width="12.875" bestFit="1" customWidth="1"/>
    <col min="6200" max="6200" width="10.375" bestFit="1" customWidth="1"/>
    <col min="6201" max="6201" width="12.875" bestFit="1" customWidth="1"/>
    <col min="6202" max="6202" width="10.375" bestFit="1" customWidth="1"/>
    <col min="6203" max="6203" width="12.875" bestFit="1" customWidth="1"/>
    <col min="6204" max="6204" width="10.375" bestFit="1" customWidth="1"/>
    <col min="6205" max="6205" width="12.875" bestFit="1" customWidth="1"/>
    <col min="6206" max="6206" width="10.375" bestFit="1" customWidth="1"/>
    <col min="6207" max="6207" width="12.875" bestFit="1" customWidth="1"/>
    <col min="6208" max="6208" width="10.375" bestFit="1" customWidth="1"/>
    <col min="6209" max="6209" width="12.875" bestFit="1" customWidth="1"/>
    <col min="6210" max="6210" width="10.375" bestFit="1" customWidth="1"/>
    <col min="6211" max="6211" width="12.875" bestFit="1" customWidth="1"/>
    <col min="6212" max="6212" width="10.375" bestFit="1" customWidth="1"/>
    <col min="6213" max="6213" width="12.875" bestFit="1" customWidth="1"/>
    <col min="6214" max="6214" width="10.375" bestFit="1" customWidth="1"/>
    <col min="6215" max="6215" width="12.875" bestFit="1" customWidth="1"/>
    <col min="6216" max="6216" width="10.375" bestFit="1" customWidth="1"/>
    <col min="6217" max="6217" width="12.875" bestFit="1" customWidth="1"/>
    <col min="6218" max="6218" width="10.375" bestFit="1" customWidth="1"/>
    <col min="6219" max="6219" width="12.875" bestFit="1" customWidth="1"/>
    <col min="6220" max="6220" width="10.375" bestFit="1" customWidth="1"/>
    <col min="6221" max="6221" width="12.875" bestFit="1" customWidth="1"/>
    <col min="6222" max="6222" width="10.375" bestFit="1" customWidth="1"/>
    <col min="6223" max="6223" width="12.875" bestFit="1" customWidth="1"/>
    <col min="6224" max="6224" width="10.375" bestFit="1" customWidth="1"/>
    <col min="6225" max="6225" width="7" bestFit="1" customWidth="1"/>
    <col min="6226" max="6226" width="12.875" bestFit="1" customWidth="1"/>
    <col min="6227" max="6227" width="10.375" bestFit="1" customWidth="1"/>
    <col min="6228" max="6228" width="12.875" bestFit="1" customWidth="1"/>
    <col min="6229" max="6229" width="10.375" bestFit="1" customWidth="1"/>
    <col min="6230" max="6230" width="12.875" bestFit="1" customWidth="1"/>
    <col min="6231" max="6231" width="10.375" bestFit="1" customWidth="1"/>
    <col min="6232" max="6232" width="12.875" bestFit="1" customWidth="1"/>
    <col min="6233" max="6233" width="10.375" bestFit="1" customWidth="1"/>
    <col min="6234" max="6234" width="12.875" bestFit="1" customWidth="1"/>
    <col min="6235" max="6235" width="10.375" bestFit="1" customWidth="1"/>
    <col min="6236" max="6236" width="12.875" bestFit="1" customWidth="1"/>
    <col min="6237" max="6237" width="10.375" bestFit="1" customWidth="1"/>
    <col min="6238" max="6238" width="12.875" bestFit="1" customWidth="1"/>
    <col min="6239" max="6239" width="10.375" bestFit="1" customWidth="1"/>
    <col min="6240" max="6240" width="12.875" bestFit="1" customWidth="1"/>
    <col min="6241" max="6241" width="10.375" bestFit="1" customWidth="1"/>
    <col min="6242" max="6242" width="12.875" bestFit="1" customWidth="1"/>
    <col min="6243" max="6243" width="10.375" bestFit="1" customWidth="1"/>
    <col min="6244" max="6244" width="12.875" bestFit="1" customWidth="1"/>
    <col min="6245" max="6245" width="10.375" bestFit="1" customWidth="1"/>
    <col min="6246" max="6246" width="12.875" bestFit="1" customWidth="1"/>
    <col min="6247" max="6247" width="10.375" bestFit="1" customWidth="1"/>
    <col min="6248" max="6248" width="12.875" bestFit="1" customWidth="1"/>
    <col min="6249" max="6249" width="10.375" bestFit="1" customWidth="1"/>
    <col min="6250" max="6250" width="12.875" bestFit="1" customWidth="1"/>
    <col min="6251" max="6251" width="10.375" bestFit="1" customWidth="1"/>
    <col min="6252" max="6252" width="12.875" bestFit="1" customWidth="1"/>
    <col min="6253" max="6253" width="10.375" bestFit="1" customWidth="1"/>
    <col min="6254" max="6254" width="12.875" bestFit="1" customWidth="1"/>
    <col min="6255" max="6255" width="10.375" bestFit="1" customWidth="1"/>
    <col min="6256" max="6256" width="12.875" bestFit="1" customWidth="1"/>
    <col min="6257" max="6257" width="10.375" bestFit="1" customWidth="1"/>
    <col min="6258" max="6258" width="12.875" bestFit="1" customWidth="1"/>
    <col min="6259" max="6259" width="10.375" bestFit="1" customWidth="1"/>
    <col min="6260" max="6260" width="12.875" bestFit="1" customWidth="1"/>
    <col min="6261" max="6261" width="10.375" bestFit="1" customWidth="1"/>
    <col min="6262" max="6262" width="12.875" bestFit="1" customWidth="1"/>
    <col min="6263" max="6263" width="10.375" bestFit="1" customWidth="1"/>
    <col min="6264" max="6264" width="12.875" bestFit="1" customWidth="1"/>
    <col min="6265" max="6265" width="10.375" bestFit="1" customWidth="1"/>
    <col min="6266" max="6266" width="12.875" bestFit="1" customWidth="1"/>
    <col min="6267" max="6267" width="10.375" bestFit="1" customWidth="1"/>
    <col min="6268" max="6268" width="7" bestFit="1" customWidth="1"/>
    <col min="6269" max="6269" width="12.875" bestFit="1" customWidth="1"/>
    <col min="6270" max="6270" width="10.375" bestFit="1" customWidth="1"/>
    <col min="6271" max="6271" width="12.875" bestFit="1" customWidth="1"/>
    <col min="6272" max="6272" width="10.375" bestFit="1" customWidth="1"/>
    <col min="6273" max="6273" width="12.875" bestFit="1" customWidth="1"/>
    <col min="6274" max="6274" width="10.375" bestFit="1" customWidth="1"/>
    <col min="6275" max="6275" width="12.875" bestFit="1" customWidth="1"/>
    <col min="6276" max="6276" width="10.375" bestFit="1" customWidth="1"/>
    <col min="6277" max="6277" width="12.875" bestFit="1" customWidth="1"/>
    <col min="6278" max="6278" width="10.375" bestFit="1" customWidth="1"/>
    <col min="6279" max="6279" width="12.875" bestFit="1" customWidth="1"/>
    <col min="6280" max="6280" width="10.375" bestFit="1" customWidth="1"/>
    <col min="6281" max="6281" width="12.875" bestFit="1" customWidth="1"/>
    <col min="6282" max="6282" width="10.375" bestFit="1" customWidth="1"/>
    <col min="6283" max="6283" width="12.875" bestFit="1" customWidth="1"/>
    <col min="6284" max="6284" width="10.375" bestFit="1" customWidth="1"/>
    <col min="6285" max="6285" width="12.875" bestFit="1" customWidth="1"/>
    <col min="6286" max="6286" width="10.375" bestFit="1" customWidth="1"/>
    <col min="6287" max="6287" width="12.875" bestFit="1" customWidth="1"/>
    <col min="6288" max="6288" width="10.375" bestFit="1" customWidth="1"/>
    <col min="6289" max="6289" width="12.875" bestFit="1" customWidth="1"/>
    <col min="6290" max="6290" width="10.375" bestFit="1" customWidth="1"/>
    <col min="6291" max="6291" width="12.875" bestFit="1" customWidth="1"/>
    <col min="6292" max="6292" width="10.375" bestFit="1" customWidth="1"/>
    <col min="6293" max="6293" width="12.875" bestFit="1" customWidth="1"/>
    <col min="6294" max="6294" width="10.375" bestFit="1" customWidth="1"/>
    <col min="6295" max="6295" width="12.875" bestFit="1" customWidth="1"/>
    <col min="6296" max="6296" width="10.375" bestFit="1" customWidth="1"/>
    <col min="6297" max="6297" width="12.875" bestFit="1" customWidth="1"/>
    <col min="6298" max="6298" width="10.375" bestFit="1" customWidth="1"/>
    <col min="6299" max="6299" width="12.875" bestFit="1" customWidth="1"/>
    <col min="6300" max="6300" width="10.375" bestFit="1" customWidth="1"/>
    <col min="6301" max="6301" width="7.625" bestFit="1" customWidth="1"/>
    <col min="6302" max="6302" width="12.875" bestFit="1" customWidth="1"/>
    <col min="6303" max="6303" width="10.375" bestFit="1" customWidth="1"/>
    <col min="6304" max="6304" width="7" bestFit="1" customWidth="1"/>
    <col min="6305" max="6305" width="12.875" bestFit="1" customWidth="1"/>
    <col min="6306" max="6306" width="10.375" bestFit="1" customWidth="1"/>
    <col min="6307" max="6307" width="12.875" bestFit="1" customWidth="1"/>
    <col min="6308" max="6308" width="10.375" bestFit="1" customWidth="1"/>
    <col min="6309" max="6309" width="12.875" bestFit="1" customWidth="1"/>
    <col min="6310" max="6310" width="10.375" bestFit="1" customWidth="1"/>
    <col min="6311" max="6311" width="12.875" bestFit="1" customWidth="1"/>
    <col min="6312" max="6312" width="10.375" bestFit="1" customWidth="1"/>
    <col min="6313" max="6313" width="12.875" bestFit="1" customWidth="1"/>
    <col min="6314" max="6314" width="10.375" bestFit="1" customWidth="1"/>
    <col min="6315" max="6315" width="12.875" bestFit="1" customWidth="1"/>
    <col min="6316" max="6316" width="10.375" bestFit="1" customWidth="1"/>
    <col min="6317" max="6317" width="12.875" bestFit="1" customWidth="1"/>
    <col min="6318" max="6318" width="10.375" bestFit="1" customWidth="1"/>
    <col min="6319" max="6319" width="12.875" bestFit="1" customWidth="1"/>
    <col min="6320" max="6320" width="10.375" bestFit="1" customWidth="1"/>
    <col min="6321" max="6321" width="12.875" bestFit="1" customWidth="1"/>
    <col min="6322" max="6322" width="10.375" bestFit="1" customWidth="1"/>
    <col min="6323" max="6323" width="12.875" bestFit="1" customWidth="1"/>
    <col min="6324" max="6324" width="10.375" bestFit="1" customWidth="1"/>
    <col min="6325" max="6325" width="12.875" bestFit="1" customWidth="1"/>
    <col min="6326" max="6326" width="10.375" bestFit="1" customWidth="1"/>
    <col min="6327" max="6327" width="12.875" bestFit="1" customWidth="1"/>
    <col min="6328" max="6328" width="10.375" bestFit="1" customWidth="1"/>
    <col min="6329" max="6329" width="12.875" bestFit="1" customWidth="1"/>
    <col min="6330" max="6330" width="10.375" bestFit="1" customWidth="1"/>
    <col min="6331" max="6331" width="7" bestFit="1" customWidth="1"/>
    <col min="6332" max="6332" width="12.875" bestFit="1" customWidth="1"/>
    <col min="6333" max="6333" width="10.375" bestFit="1" customWidth="1"/>
    <col min="6334" max="6334" width="12.875" bestFit="1" customWidth="1"/>
    <col min="6335" max="6335" width="10.375" bestFit="1" customWidth="1"/>
    <col min="6336" max="6336" width="12.875" bestFit="1" customWidth="1"/>
    <col min="6337" max="6337" width="10.375" bestFit="1" customWidth="1"/>
    <col min="6338" max="6338" width="12.875" bestFit="1" customWidth="1"/>
    <col min="6339" max="6339" width="10.375" bestFit="1" customWidth="1"/>
    <col min="6340" max="6340" width="12.875" bestFit="1" customWidth="1"/>
    <col min="6341" max="6341" width="10.375" bestFit="1" customWidth="1"/>
    <col min="6342" max="6342" width="12.875" bestFit="1" customWidth="1"/>
    <col min="6343" max="6343" width="10.375" bestFit="1" customWidth="1"/>
    <col min="6344" max="6344" width="12.875" bestFit="1" customWidth="1"/>
    <col min="6345" max="6345" width="10.375" bestFit="1" customWidth="1"/>
    <col min="6346" max="6346" width="12.875" bestFit="1" customWidth="1"/>
    <col min="6347" max="6347" width="10.375" bestFit="1" customWidth="1"/>
    <col min="6348" max="6348" width="12.875" bestFit="1" customWidth="1"/>
    <col min="6349" max="6349" width="10.375" bestFit="1" customWidth="1"/>
    <col min="6350" max="6350" width="12.875" bestFit="1" customWidth="1"/>
    <col min="6351" max="6351" width="10.375" bestFit="1" customWidth="1"/>
    <col min="6352" max="6352" width="12.875" bestFit="1" customWidth="1"/>
    <col min="6353" max="6353" width="10.375" bestFit="1" customWidth="1"/>
    <col min="6354" max="6354" width="12.875" bestFit="1" customWidth="1"/>
    <col min="6355" max="6355" width="10.375" bestFit="1" customWidth="1"/>
    <col min="6356" max="6356" width="12.875" bestFit="1" customWidth="1"/>
    <col min="6357" max="6357" width="10.375" bestFit="1" customWidth="1"/>
    <col min="6358" max="6358" width="12.875" bestFit="1" customWidth="1"/>
    <col min="6359" max="6359" width="10.375" bestFit="1" customWidth="1"/>
    <col min="6360" max="6360" width="12.875" bestFit="1" customWidth="1"/>
    <col min="6361" max="6361" width="10.375" bestFit="1" customWidth="1"/>
    <col min="6362" max="6362" width="12.875" bestFit="1" customWidth="1"/>
    <col min="6363" max="6363" width="10.375" bestFit="1" customWidth="1"/>
    <col min="6364" max="6364" width="12.875" bestFit="1" customWidth="1"/>
    <col min="6365" max="6365" width="10.375" bestFit="1" customWidth="1"/>
    <col min="6366" max="6366" width="12.875" bestFit="1" customWidth="1"/>
    <col min="6367" max="6367" width="10.375" bestFit="1" customWidth="1"/>
    <col min="6368" max="6368" width="12.875" bestFit="1" customWidth="1"/>
    <col min="6369" max="6369" width="10.375" bestFit="1" customWidth="1"/>
    <col min="6370" max="6370" width="12.875" bestFit="1" customWidth="1"/>
    <col min="6371" max="6371" width="10.375" bestFit="1" customWidth="1"/>
    <col min="6372" max="6372" width="12.875" bestFit="1" customWidth="1"/>
    <col min="6373" max="6373" width="10.375" bestFit="1" customWidth="1"/>
    <col min="6374" max="6374" width="12.875" bestFit="1" customWidth="1"/>
    <col min="6375" max="6375" width="10.375" bestFit="1" customWidth="1"/>
    <col min="6376" max="6376" width="12.875" bestFit="1" customWidth="1"/>
    <col min="6377" max="6377" width="10.375" bestFit="1" customWidth="1"/>
    <col min="6378" max="6378" width="12.875" bestFit="1" customWidth="1"/>
    <col min="6379" max="6379" width="10.375" bestFit="1" customWidth="1"/>
    <col min="6380" max="6380" width="12.875" bestFit="1" customWidth="1"/>
    <col min="6381" max="6381" width="10.375" bestFit="1" customWidth="1"/>
    <col min="6382" max="6382" width="12.875" bestFit="1" customWidth="1"/>
    <col min="6383" max="6383" width="10.375" bestFit="1" customWidth="1"/>
    <col min="6384" max="6384" width="12.875" bestFit="1" customWidth="1"/>
    <col min="6385" max="6385" width="10.375" bestFit="1" customWidth="1"/>
    <col min="6386" max="6386" width="12.875" bestFit="1" customWidth="1"/>
    <col min="6387" max="6387" width="10.375" bestFit="1" customWidth="1"/>
    <col min="6388" max="6388" width="12.875" bestFit="1" customWidth="1"/>
    <col min="6389" max="6389" width="10.375" bestFit="1" customWidth="1"/>
    <col min="6390" max="6390" width="12.875" bestFit="1" customWidth="1"/>
    <col min="6391" max="6391" width="10.375" bestFit="1" customWidth="1"/>
    <col min="6392" max="6392" width="12.875" bestFit="1" customWidth="1"/>
    <col min="6393" max="6393" width="10.375" bestFit="1" customWidth="1"/>
    <col min="6394" max="6394" width="12.875" bestFit="1" customWidth="1"/>
    <col min="6395" max="6395" width="10.375" bestFit="1" customWidth="1"/>
    <col min="6396" max="6396" width="12.875" bestFit="1" customWidth="1"/>
    <col min="6397" max="6397" width="10.375" bestFit="1" customWidth="1"/>
    <col min="6398" max="6398" width="12.875" bestFit="1" customWidth="1"/>
    <col min="6399" max="6399" width="10.375" bestFit="1" customWidth="1"/>
    <col min="6400" max="6400" width="12.875" bestFit="1" customWidth="1"/>
    <col min="6401" max="6401" width="10.375" bestFit="1" customWidth="1"/>
    <col min="6402" max="6402" width="12.875" bestFit="1" customWidth="1"/>
    <col min="6403" max="6403" width="10.375" bestFit="1" customWidth="1"/>
    <col min="6404" max="6404" width="12.875" bestFit="1" customWidth="1"/>
    <col min="6405" max="6405" width="10.375" bestFit="1" customWidth="1"/>
    <col min="6406" max="6406" width="12.875" bestFit="1" customWidth="1"/>
    <col min="6407" max="6407" width="10.375" bestFit="1" customWidth="1"/>
    <col min="6408" max="6408" width="12.875" bestFit="1" customWidth="1"/>
    <col min="6409" max="6409" width="10.375" bestFit="1" customWidth="1"/>
    <col min="6410" max="6410" width="12.875" bestFit="1" customWidth="1"/>
    <col min="6411" max="6411" width="10.375" bestFit="1" customWidth="1"/>
    <col min="6412" max="6412" width="12.875" bestFit="1" customWidth="1"/>
    <col min="6413" max="6413" width="10.375" bestFit="1" customWidth="1"/>
    <col min="6414" max="6414" width="12.875" bestFit="1" customWidth="1"/>
    <col min="6415" max="6415" width="10.375" bestFit="1" customWidth="1"/>
    <col min="6416" max="6416" width="12.875" bestFit="1" customWidth="1"/>
    <col min="6417" max="6417" width="10.375" bestFit="1" customWidth="1"/>
    <col min="6418" max="6418" width="12.875" bestFit="1" customWidth="1"/>
    <col min="6419" max="6419" width="10.375" bestFit="1" customWidth="1"/>
    <col min="6420" max="6420" width="12.875" bestFit="1" customWidth="1"/>
    <col min="6421" max="6421" width="10.375" bestFit="1" customWidth="1"/>
    <col min="6422" max="6422" width="12.875" bestFit="1" customWidth="1"/>
    <col min="6423" max="6423" width="10.375" bestFit="1" customWidth="1"/>
    <col min="6424" max="6424" width="12.875" bestFit="1" customWidth="1"/>
    <col min="6425" max="6425" width="10.375" bestFit="1" customWidth="1"/>
    <col min="6426" max="6426" width="12.875" bestFit="1" customWidth="1"/>
    <col min="6427" max="6427" width="10.375" bestFit="1" customWidth="1"/>
    <col min="6428" max="6428" width="12.875" bestFit="1" customWidth="1"/>
    <col min="6429" max="6429" width="10.375" bestFit="1" customWidth="1"/>
    <col min="6430" max="6430" width="12.875" bestFit="1" customWidth="1"/>
    <col min="6431" max="6431" width="10.375" bestFit="1" customWidth="1"/>
    <col min="6432" max="6432" width="12.875" bestFit="1" customWidth="1"/>
    <col min="6433" max="6433" width="10.375" bestFit="1" customWidth="1"/>
    <col min="6434" max="6434" width="7" bestFit="1" customWidth="1"/>
    <col min="6435" max="6435" width="12.875" bestFit="1" customWidth="1"/>
    <col min="6436" max="6436" width="10.375" bestFit="1" customWidth="1"/>
    <col min="6437" max="6437" width="12.875" bestFit="1" customWidth="1"/>
    <col min="6438" max="6438" width="10.375" bestFit="1" customWidth="1"/>
    <col min="6439" max="6439" width="12.875" bestFit="1" customWidth="1"/>
    <col min="6440" max="6440" width="10.375" bestFit="1" customWidth="1"/>
    <col min="6441" max="6441" width="12.875" bestFit="1" customWidth="1"/>
    <col min="6442" max="6442" width="10.375" bestFit="1" customWidth="1"/>
    <col min="6443" max="6443" width="12.875" bestFit="1" customWidth="1"/>
    <col min="6444" max="6444" width="10.375" bestFit="1" customWidth="1"/>
    <col min="6445" max="6445" width="12.875" bestFit="1" customWidth="1"/>
    <col min="6446" max="6446" width="10.375" bestFit="1" customWidth="1"/>
    <col min="6447" max="6447" width="12.875" bestFit="1" customWidth="1"/>
    <col min="6448" max="6448" width="10.375" bestFit="1" customWidth="1"/>
    <col min="6449" max="6449" width="12.875" bestFit="1" customWidth="1"/>
    <col min="6450" max="6450" width="10.375" bestFit="1" customWidth="1"/>
    <col min="6451" max="6451" width="12.875" bestFit="1" customWidth="1"/>
    <col min="6452" max="6452" width="10.375" bestFit="1" customWidth="1"/>
    <col min="6453" max="6453" width="12.875" bestFit="1" customWidth="1"/>
    <col min="6454" max="6454" width="10.375" bestFit="1" customWidth="1"/>
    <col min="6455" max="6455" width="12.875" bestFit="1" customWidth="1"/>
    <col min="6456" max="6456" width="10.375" bestFit="1" customWidth="1"/>
    <col min="6457" max="6457" width="12.875" bestFit="1" customWidth="1"/>
    <col min="6458" max="6458" width="10.375" bestFit="1" customWidth="1"/>
    <col min="6459" max="6459" width="12.875" bestFit="1" customWidth="1"/>
    <col min="6460" max="6460" width="10.375" bestFit="1" customWidth="1"/>
    <col min="6461" max="6461" width="12.875" bestFit="1" customWidth="1"/>
    <col min="6462" max="6462" width="10.375" bestFit="1" customWidth="1"/>
    <col min="6463" max="6463" width="12.875" bestFit="1" customWidth="1"/>
    <col min="6464" max="6464" width="10.375" bestFit="1" customWidth="1"/>
    <col min="6465" max="6465" width="12.875" bestFit="1" customWidth="1"/>
    <col min="6466" max="6466" width="10.375" bestFit="1" customWidth="1"/>
    <col min="6467" max="6467" width="12.875" bestFit="1" customWidth="1"/>
    <col min="6468" max="6468" width="10.375" bestFit="1" customWidth="1"/>
    <col min="6469" max="6469" width="12.875" bestFit="1" customWidth="1"/>
    <col min="6470" max="6470" width="10.375" bestFit="1" customWidth="1"/>
    <col min="6471" max="6471" width="12.875" bestFit="1" customWidth="1"/>
    <col min="6472" max="6472" width="10.375" bestFit="1" customWidth="1"/>
    <col min="6473" max="6473" width="12.875" bestFit="1" customWidth="1"/>
    <col min="6474" max="6474" width="10.375" bestFit="1" customWidth="1"/>
    <col min="6475" max="6475" width="12.875" bestFit="1" customWidth="1"/>
    <col min="6476" max="6476" width="10.375" bestFit="1" customWidth="1"/>
    <col min="6477" max="6477" width="12.875" bestFit="1" customWidth="1"/>
    <col min="6478" max="6478" width="10.375" bestFit="1" customWidth="1"/>
    <col min="6479" max="6479" width="12.875" bestFit="1" customWidth="1"/>
    <col min="6480" max="6480" width="10.375" bestFit="1" customWidth="1"/>
    <col min="6481" max="6481" width="12.875" bestFit="1" customWidth="1"/>
    <col min="6482" max="6482" width="10.375" bestFit="1" customWidth="1"/>
    <col min="6483" max="6483" width="12.875" bestFit="1" customWidth="1"/>
    <col min="6484" max="6484" width="10.375" bestFit="1" customWidth="1"/>
    <col min="6485" max="6485" width="12.875" bestFit="1" customWidth="1"/>
    <col min="6486" max="6486" width="10.375" bestFit="1" customWidth="1"/>
    <col min="6487" max="6487" width="12.875" bestFit="1" customWidth="1"/>
    <col min="6488" max="6488" width="10.375" bestFit="1" customWidth="1"/>
    <col min="6489" max="6489" width="12.875" bestFit="1" customWidth="1"/>
    <col min="6490" max="6490" width="10.375" bestFit="1" customWidth="1"/>
    <col min="6491" max="6491" width="12.875" bestFit="1" customWidth="1"/>
    <col min="6492" max="6492" width="10.375" bestFit="1" customWidth="1"/>
    <col min="6493" max="6493" width="12.875" bestFit="1" customWidth="1"/>
    <col min="6494" max="6494" width="10.375" bestFit="1" customWidth="1"/>
    <col min="6495" max="6495" width="12.875" bestFit="1" customWidth="1"/>
    <col min="6496" max="6496" width="10.375" bestFit="1" customWidth="1"/>
    <col min="6497" max="6497" width="12.875" bestFit="1" customWidth="1"/>
    <col min="6498" max="6498" width="10.375" bestFit="1" customWidth="1"/>
    <col min="6499" max="6499" width="12.875" bestFit="1" customWidth="1"/>
    <col min="6500" max="6500" width="10.375" bestFit="1" customWidth="1"/>
    <col min="6501" max="6501" width="12.875" bestFit="1" customWidth="1"/>
    <col min="6502" max="6502" width="10.375" bestFit="1" customWidth="1"/>
    <col min="6503" max="6503" width="12.875" bestFit="1" customWidth="1"/>
    <col min="6504" max="6504" width="10.375" bestFit="1" customWidth="1"/>
    <col min="6505" max="6505" width="12.875" bestFit="1" customWidth="1"/>
    <col min="6506" max="6506" width="10.375" bestFit="1" customWidth="1"/>
    <col min="6507" max="6507" width="12.875" bestFit="1" customWidth="1"/>
    <col min="6508" max="6508" width="10.375" bestFit="1" customWidth="1"/>
    <col min="6509" max="6509" width="12.875" bestFit="1" customWidth="1"/>
    <col min="6510" max="6510" width="10.375" bestFit="1" customWidth="1"/>
    <col min="6511" max="6511" width="12.875" bestFit="1" customWidth="1"/>
    <col min="6512" max="6512" width="10.375" bestFit="1" customWidth="1"/>
    <col min="6513" max="6513" width="12.875" bestFit="1" customWidth="1"/>
    <col min="6514" max="6514" width="10.375" bestFit="1" customWidth="1"/>
    <col min="6515" max="6515" width="12.875" bestFit="1" customWidth="1"/>
    <col min="6516" max="6516" width="10.375" bestFit="1" customWidth="1"/>
    <col min="6517" max="6517" width="12.875" bestFit="1" customWidth="1"/>
    <col min="6518" max="6518" width="10.375" bestFit="1" customWidth="1"/>
    <col min="6519" max="6519" width="12.875" bestFit="1" customWidth="1"/>
    <col min="6520" max="6520" width="10.375" bestFit="1" customWidth="1"/>
    <col min="6521" max="6521" width="12.875" bestFit="1" customWidth="1"/>
    <col min="6522" max="6522" width="10.375" bestFit="1" customWidth="1"/>
    <col min="6523" max="6523" width="12.875" bestFit="1" customWidth="1"/>
    <col min="6524" max="6524" width="10.375" bestFit="1" customWidth="1"/>
    <col min="6525" max="6525" width="12.875" bestFit="1" customWidth="1"/>
    <col min="6526" max="6526" width="10.375" bestFit="1" customWidth="1"/>
    <col min="6527" max="6527" width="12.875" bestFit="1" customWidth="1"/>
    <col min="6528" max="6528" width="10.375" bestFit="1" customWidth="1"/>
    <col min="6529" max="6529" width="12.875" bestFit="1" customWidth="1"/>
    <col min="6530" max="6530" width="10.375" bestFit="1" customWidth="1"/>
    <col min="6531" max="6531" width="12.875" bestFit="1" customWidth="1"/>
    <col min="6532" max="6532" width="10.375" bestFit="1" customWidth="1"/>
    <col min="6533" max="6533" width="12.875" bestFit="1" customWidth="1"/>
    <col min="6534" max="6534" width="10.375" bestFit="1" customWidth="1"/>
    <col min="6535" max="6535" width="12.875" bestFit="1" customWidth="1"/>
    <col min="6536" max="6536" width="10.375" bestFit="1" customWidth="1"/>
    <col min="6537" max="6537" width="12.875" bestFit="1" customWidth="1"/>
    <col min="6538" max="6538" width="10.375" bestFit="1" customWidth="1"/>
    <col min="6539" max="6539" width="12.875" bestFit="1" customWidth="1"/>
    <col min="6540" max="6540" width="10.375" bestFit="1" customWidth="1"/>
    <col min="6541" max="6541" width="12.875" bestFit="1" customWidth="1"/>
    <col min="6542" max="6542" width="10.375" bestFit="1" customWidth="1"/>
    <col min="6543" max="6543" width="12.875" bestFit="1" customWidth="1"/>
    <col min="6544" max="6544" width="10.375" bestFit="1" customWidth="1"/>
    <col min="6545" max="6545" width="12.875" bestFit="1" customWidth="1"/>
    <col min="6546" max="6546" width="10.375" bestFit="1" customWidth="1"/>
    <col min="6547" max="6547" width="12.875" bestFit="1" customWidth="1"/>
    <col min="6548" max="6548" width="10.375" bestFit="1" customWidth="1"/>
    <col min="6549" max="6549" width="12.875" bestFit="1" customWidth="1"/>
    <col min="6550" max="6550" width="10.375" bestFit="1" customWidth="1"/>
    <col min="6551" max="6551" width="12.875" bestFit="1" customWidth="1"/>
    <col min="6552" max="6552" width="10.375" bestFit="1" customWidth="1"/>
    <col min="6553" max="6553" width="12.875" bestFit="1" customWidth="1"/>
    <col min="6554" max="6554" width="10.375" bestFit="1" customWidth="1"/>
    <col min="6555" max="6555" width="12.875" bestFit="1" customWidth="1"/>
    <col min="6556" max="6556" width="10.375" bestFit="1" customWidth="1"/>
    <col min="6557" max="6557" width="12.875" bestFit="1" customWidth="1"/>
    <col min="6558" max="6558" width="10.375" bestFit="1" customWidth="1"/>
    <col min="6559" max="6559" width="12.875" bestFit="1" customWidth="1"/>
    <col min="6560" max="6560" width="10.375" bestFit="1" customWidth="1"/>
    <col min="6561" max="6561" width="12.875" bestFit="1" customWidth="1"/>
    <col min="6562" max="6562" width="10.375" bestFit="1" customWidth="1"/>
    <col min="6563" max="6563" width="12.875" bestFit="1" customWidth="1"/>
    <col min="6564" max="6564" width="10.375" bestFit="1" customWidth="1"/>
    <col min="6565" max="6565" width="12.875" bestFit="1" customWidth="1"/>
    <col min="6566" max="6566" width="10.375" bestFit="1" customWidth="1"/>
    <col min="6567" max="6567" width="12.875" bestFit="1" customWidth="1"/>
    <col min="6568" max="6568" width="10.375" bestFit="1" customWidth="1"/>
    <col min="6569" max="6569" width="12.875" bestFit="1" customWidth="1"/>
    <col min="6570" max="6570" width="10.375" bestFit="1" customWidth="1"/>
    <col min="6571" max="6571" width="12.875" bestFit="1" customWidth="1"/>
    <col min="6572" max="6572" width="10.375" bestFit="1" customWidth="1"/>
    <col min="6573" max="6573" width="12.875" bestFit="1" customWidth="1"/>
    <col min="6574" max="6574" width="10.375" bestFit="1" customWidth="1"/>
    <col min="6575" max="6575" width="12.875" bestFit="1" customWidth="1"/>
    <col min="6576" max="6576" width="10.375" bestFit="1" customWidth="1"/>
    <col min="6577" max="6577" width="12.875" bestFit="1" customWidth="1"/>
    <col min="6578" max="6578" width="10.375" bestFit="1" customWidth="1"/>
    <col min="6579" max="6579" width="12.875" bestFit="1" customWidth="1"/>
    <col min="6580" max="6580" width="10.375" bestFit="1" customWidth="1"/>
    <col min="6581" max="6581" width="12.875" bestFit="1" customWidth="1"/>
    <col min="6582" max="6582" width="10.375" bestFit="1" customWidth="1"/>
    <col min="6583" max="6583" width="12.875" bestFit="1" customWidth="1"/>
    <col min="6584" max="6584" width="10.375" bestFit="1" customWidth="1"/>
    <col min="6585" max="6585" width="12.875" bestFit="1" customWidth="1"/>
    <col min="6586" max="6586" width="10.375" bestFit="1" customWidth="1"/>
    <col min="6587" max="6587" width="12.875" bestFit="1" customWidth="1"/>
    <col min="6588" max="6588" width="10.375" bestFit="1" customWidth="1"/>
    <col min="6589" max="6589" width="12.875" bestFit="1" customWidth="1"/>
    <col min="6590" max="6590" width="10.375" bestFit="1" customWidth="1"/>
    <col min="6591" max="6591" width="12.875" bestFit="1" customWidth="1"/>
    <col min="6592" max="6592" width="10.375" bestFit="1" customWidth="1"/>
    <col min="6593" max="6593" width="12.875" bestFit="1" customWidth="1"/>
    <col min="6594" max="6594" width="10.375" bestFit="1" customWidth="1"/>
    <col min="6595" max="6595" width="12.875" bestFit="1" customWidth="1"/>
    <col min="6596" max="6596" width="10.375" bestFit="1" customWidth="1"/>
    <col min="6597" max="6597" width="12.875" bestFit="1" customWidth="1"/>
    <col min="6598" max="6598" width="10.375" bestFit="1" customWidth="1"/>
    <col min="6599" max="6599" width="12.875" bestFit="1" customWidth="1"/>
    <col min="6600" max="6600" width="10.375" bestFit="1" customWidth="1"/>
    <col min="6601" max="6601" width="12.875" bestFit="1" customWidth="1"/>
    <col min="6602" max="6602" width="10.375" bestFit="1" customWidth="1"/>
    <col min="6603" max="6603" width="12.875" bestFit="1" customWidth="1"/>
    <col min="6604" max="6604" width="10.375" bestFit="1" customWidth="1"/>
    <col min="6605" max="6605" width="12.875" bestFit="1" customWidth="1"/>
    <col min="6606" max="6606" width="10.375" bestFit="1" customWidth="1"/>
    <col min="6607" max="6607" width="12.875" bestFit="1" customWidth="1"/>
    <col min="6608" max="6608" width="10.375" bestFit="1" customWidth="1"/>
    <col min="6609" max="6609" width="12.875" bestFit="1" customWidth="1"/>
    <col min="6610" max="6610" width="10.375" bestFit="1" customWidth="1"/>
    <col min="6611" max="6611" width="12.875" bestFit="1" customWidth="1"/>
    <col min="6612" max="6612" width="10.375" bestFit="1" customWidth="1"/>
    <col min="6613" max="6613" width="12.875" bestFit="1" customWidth="1"/>
    <col min="6614" max="6614" width="10.375" bestFit="1" customWidth="1"/>
    <col min="6615" max="6615" width="12.875" bestFit="1" customWidth="1"/>
    <col min="6616" max="6616" width="10.375" bestFit="1" customWidth="1"/>
    <col min="6617" max="6617" width="12.875" bestFit="1" customWidth="1"/>
    <col min="6618" max="6618" width="10.375" bestFit="1" customWidth="1"/>
    <col min="6619" max="6619" width="12.875" bestFit="1" customWidth="1"/>
    <col min="6620" max="6620" width="10.375" bestFit="1" customWidth="1"/>
    <col min="6621" max="6621" width="12.875" bestFit="1" customWidth="1"/>
    <col min="6622" max="6622" width="10.375" bestFit="1" customWidth="1"/>
    <col min="6623" max="6623" width="12.875" bestFit="1" customWidth="1"/>
    <col min="6624" max="6624" width="10.375" bestFit="1" customWidth="1"/>
    <col min="6625" max="6625" width="12.875" bestFit="1" customWidth="1"/>
    <col min="6626" max="6626" width="10.375" bestFit="1" customWidth="1"/>
    <col min="6627" max="6627" width="12.875" bestFit="1" customWidth="1"/>
    <col min="6628" max="6628" width="10.375" bestFit="1" customWidth="1"/>
    <col min="6629" max="6629" width="12.875" bestFit="1" customWidth="1"/>
    <col min="6630" max="6630" width="10.375" bestFit="1" customWidth="1"/>
    <col min="6631" max="6631" width="12.875" bestFit="1" customWidth="1"/>
    <col min="6632" max="6632" width="10.375" bestFit="1" customWidth="1"/>
    <col min="6633" max="6633" width="12.875" bestFit="1" customWidth="1"/>
    <col min="6634" max="6634" width="10.375" bestFit="1" customWidth="1"/>
    <col min="6635" max="6635" width="12.875" bestFit="1" customWidth="1"/>
    <col min="6636" max="6636" width="10.375" bestFit="1" customWidth="1"/>
    <col min="6637" max="6637" width="7" bestFit="1" customWidth="1"/>
    <col min="6638" max="6638" width="12.875" bestFit="1" customWidth="1"/>
    <col min="6639" max="6639" width="10.375" bestFit="1" customWidth="1"/>
    <col min="6640" max="6640" width="12.875" bestFit="1" customWidth="1"/>
    <col min="6641" max="6641" width="10.375" bestFit="1" customWidth="1"/>
    <col min="6642" max="6642" width="7" bestFit="1" customWidth="1"/>
    <col min="6643" max="6643" width="12.875" bestFit="1" customWidth="1"/>
    <col min="6644" max="6644" width="10.375" bestFit="1" customWidth="1"/>
    <col min="6645" max="6645" width="12.875" bestFit="1" customWidth="1"/>
    <col min="6646" max="6646" width="10.375" bestFit="1" customWidth="1"/>
    <col min="6647" max="6647" width="12.875" bestFit="1" customWidth="1"/>
    <col min="6648" max="6648" width="10.375" bestFit="1" customWidth="1"/>
    <col min="6649" max="6649" width="12.875" bestFit="1" customWidth="1"/>
    <col min="6650" max="6650" width="10.375" bestFit="1" customWidth="1"/>
    <col min="6651" max="6651" width="12.875" bestFit="1" customWidth="1"/>
    <col min="6652" max="6652" width="10.375" bestFit="1" customWidth="1"/>
    <col min="6653" max="6653" width="12.875" bestFit="1" customWidth="1"/>
    <col min="6654" max="6654" width="10.375" bestFit="1" customWidth="1"/>
    <col min="6655" max="6655" width="12.875" bestFit="1" customWidth="1"/>
    <col min="6656" max="6656" width="10.375" bestFit="1" customWidth="1"/>
    <col min="6657" max="6657" width="12.875" bestFit="1" customWidth="1"/>
    <col min="6658" max="6658" width="10.375" bestFit="1" customWidth="1"/>
    <col min="6659" max="6659" width="12.875" bestFit="1" customWidth="1"/>
    <col min="6660" max="6660" width="10.375" bestFit="1" customWidth="1"/>
    <col min="6661" max="6661" width="12.875" bestFit="1" customWidth="1"/>
    <col min="6662" max="6662" width="10.375" bestFit="1" customWidth="1"/>
    <col min="6663" max="6663" width="12.875" bestFit="1" customWidth="1"/>
    <col min="6664" max="6664" width="10.375" bestFit="1" customWidth="1"/>
    <col min="6665" max="6665" width="12.875" bestFit="1" customWidth="1"/>
    <col min="6666" max="6666" width="10.375" bestFit="1" customWidth="1"/>
    <col min="6667" max="6667" width="7" bestFit="1" customWidth="1"/>
    <col min="6668" max="6668" width="12.875" bestFit="1" customWidth="1"/>
    <col min="6669" max="6669" width="10.375" bestFit="1" customWidth="1"/>
    <col min="6670" max="6670" width="12.875" bestFit="1" customWidth="1"/>
    <col min="6671" max="6671" width="10.375" bestFit="1" customWidth="1"/>
    <col min="6672" max="6672" width="12.875" bestFit="1" customWidth="1"/>
    <col min="6673" max="6673" width="10.375" bestFit="1" customWidth="1"/>
    <col min="6674" max="6674" width="12.875" bestFit="1" customWidth="1"/>
    <col min="6675" max="6675" width="10.375" bestFit="1" customWidth="1"/>
    <col min="6676" max="6676" width="12.875" bestFit="1" customWidth="1"/>
    <col min="6677" max="6677" width="10.375" bestFit="1" customWidth="1"/>
    <col min="6678" max="6678" width="12.875" bestFit="1" customWidth="1"/>
    <col min="6679" max="6679" width="10.375" bestFit="1" customWidth="1"/>
    <col min="6680" max="6680" width="12.875" bestFit="1" customWidth="1"/>
    <col min="6681" max="6681" width="10.375" bestFit="1" customWidth="1"/>
    <col min="6682" max="6682" width="7" bestFit="1" customWidth="1"/>
    <col min="6683" max="6683" width="12.875" bestFit="1" customWidth="1"/>
    <col min="6684" max="6684" width="10.375" bestFit="1" customWidth="1"/>
    <col min="6685" max="6685" width="12.875" bestFit="1" customWidth="1"/>
    <col min="6686" max="6686" width="10.375" bestFit="1" customWidth="1"/>
    <col min="6687" max="6687" width="12.875" bestFit="1" customWidth="1"/>
    <col min="6688" max="6688" width="10.375" bestFit="1" customWidth="1"/>
    <col min="6689" max="6689" width="12.875" bestFit="1" customWidth="1"/>
    <col min="6690" max="6690" width="10.375" bestFit="1" customWidth="1"/>
    <col min="6691" max="6691" width="12.875" bestFit="1" customWidth="1"/>
    <col min="6692" max="6692" width="10.375" bestFit="1" customWidth="1"/>
    <col min="6693" max="6693" width="12.875" bestFit="1" customWidth="1"/>
    <col min="6694" max="6694" width="10.375" bestFit="1" customWidth="1"/>
    <col min="6695" max="6695" width="12.875" bestFit="1" customWidth="1"/>
    <col min="6696" max="6696" width="10.375" bestFit="1" customWidth="1"/>
    <col min="6697" max="6697" width="12.875" bestFit="1" customWidth="1"/>
    <col min="6698" max="6698" width="10.375" bestFit="1" customWidth="1"/>
    <col min="6699" max="6699" width="12.875" bestFit="1" customWidth="1"/>
    <col min="6700" max="6700" width="10.375" bestFit="1" customWidth="1"/>
    <col min="6701" max="6701" width="12.875" bestFit="1" customWidth="1"/>
    <col min="6702" max="6702" width="10.375" bestFit="1" customWidth="1"/>
    <col min="6703" max="6703" width="12.875" bestFit="1" customWidth="1"/>
    <col min="6704" max="6704" width="10.375" bestFit="1" customWidth="1"/>
    <col min="6705" max="6705" width="12.875" bestFit="1" customWidth="1"/>
    <col min="6706" max="6706" width="10.375" bestFit="1" customWidth="1"/>
    <col min="6707" max="6707" width="12.875" bestFit="1" customWidth="1"/>
    <col min="6708" max="6708" width="10.375" bestFit="1" customWidth="1"/>
    <col min="6709" max="6709" width="12.875" bestFit="1" customWidth="1"/>
    <col min="6710" max="6710" width="10.375" bestFit="1" customWidth="1"/>
    <col min="6711" max="6711" width="12.875" bestFit="1" customWidth="1"/>
    <col min="6712" max="6712" width="10.375" bestFit="1" customWidth="1"/>
    <col min="6713" max="6713" width="7" bestFit="1" customWidth="1"/>
    <col min="6714" max="6714" width="12.875" bestFit="1" customWidth="1"/>
    <col min="6715" max="6715" width="10.375" bestFit="1" customWidth="1"/>
    <col min="6716" max="6716" width="12.875" bestFit="1" customWidth="1"/>
    <col min="6717" max="6717" width="10.375" bestFit="1" customWidth="1"/>
    <col min="6718" max="6718" width="12.875" bestFit="1" customWidth="1"/>
    <col min="6719" max="6719" width="10.375" bestFit="1" customWidth="1"/>
    <col min="6720" max="6720" width="12.875" bestFit="1" customWidth="1"/>
    <col min="6721" max="6721" width="10.375" bestFit="1" customWidth="1"/>
    <col min="6722" max="6722" width="12.875" bestFit="1" customWidth="1"/>
    <col min="6723" max="6723" width="10.375" bestFit="1" customWidth="1"/>
    <col min="6724" max="6724" width="12.875" bestFit="1" customWidth="1"/>
    <col min="6725" max="6725" width="10.375" bestFit="1" customWidth="1"/>
    <col min="6726" max="6726" width="12.875" bestFit="1" customWidth="1"/>
    <col min="6727" max="6727" width="10.375" bestFit="1" customWidth="1"/>
    <col min="6728" max="6728" width="12.875" bestFit="1" customWidth="1"/>
    <col min="6729" max="6729" width="10.375" bestFit="1" customWidth="1"/>
    <col min="6730" max="6730" width="12.875" bestFit="1" customWidth="1"/>
    <col min="6731" max="6731" width="10.375" bestFit="1" customWidth="1"/>
    <col min="6732" max="6732" width="12.875" bestFit="1" customWidth="1"/>
    <col min="6733" max="6733" width="10.375" bestFit="1" customWidth="1"/>
    <col min="6734" max="6734" width="12.875" bestFit="1" customWidth="1"/>
    <col min="6735" max="6735" width="10.375" bestFit="1" customWidth="1"/>
    <col min="6736" max="6736" width="12.875" bestFit="1" customWidth="1"/>
    <col min="6737" max="6737" width="10.375" bestFit="1" customWidth="1"/>
    <col min="6738" max="6738" width="12.875" bestFit="1" customWidth="1"/>
    <col min="6739" max="6739" width="10.375" bestFit="1" customWidth="1"/>
    <col min="6740" max="6740" width="12.875" bestFit="1" customWidth="1"/>
    <col min="6741" max="6741" width="10.375" bestFit="1" customWidth="1"/>
    <col min="6742" max="6742" width="12.875" bestFit="1" customWidth="1"/>
    <col min="6743" max="6743" width="10.375" bestFit="1" customWidth="1"/>
    <col min="6744" max="6744" width="12.875" bestFit="1" customWidth="1"/>
    <col min="6745" max="6745" width="10.375" bestFit="1" customWidth="1"/>
    <col min="6746" max="6746" width="12.875" bestFit="1" customWidth="1"/>
    <col min="6747" max="6747" width="10.375" bestFit="1" customWidth="1"/>
    <col min="6748" max="6748" width="12.875" bestFit="1" customWidth="1"/>
    <col min="6749" max="6749" width="10.375" bestFit="1" customWidth="1"/>
    <col min="6750" max="6750" width="12.875" bestFit="1" customWidth="1"/>
    <col min="6751" max="6751" width="10.375" bestFit="1" customWidth="1"/>
    <col min="6752" max="6752" width="12.875" bestFit="1" customWidth="1"/>
    <col min="6753" max="6753" width="10.375" bestFit="1" customWidth="1"/>
    <col min="6754" max="6754" width="12.875" bestFit="1" customWidth="1"/>
    <col min="6755" max="6755" width="10.375" bestFit="1" customWidth="1"/>
    <col min="6756" max="6756" width="12.875" bestFit="1" customWidth="1"/>
    <col min="6757" max="6757" width="10.375" bestFit="1" customWidth="1"/>
    <col min="6758" max="6758" width="7" bestFit="1" customWidth="1"/>
    <col min="6759" max="6759" width="12.875" bestFit="1" customWidth="1"/>
    <col min="6760" max="6760" width="10.375" bestFit="1" customWidth="1"/>
    <col min="6761" max="6761" width="12.875" bestFit="1" customWidth="1"/>
    <col min="6762" max="6762" width="10.375" bestFit="1" customWidth="1"/>
    <col min="6763" max="6763" width="12.875" bestFit="1" customWidth="1"/>
    <col min="6764" max="6764" width="10.375" bestFit="1" customWidth="1"/>
    <col min="6765" max="6765" width="12.875" bestFit="1" customWidth="1"/>
    <col min="6766" max="6766" width="10.375" bestFit="1" customWidth="1"/>
    <col min="6767" max="6767" width="12.875" bestFit="1" customWidth="1"/>
    <col min="6768" max="6768" width="10.375" bestFit="1" customWidth="1"/>
    <col min="6769" max="6769" width="12.875" bestFit="1" customWidth="1"/>
    <col min="6770" max="6770" width="10.375" bestFit="1" customWidth="1"/>
    <col min="6771" max="6771" width="12.875" bestFit="1" customWidth="1"/>
    <col min="6772" max="6772" width="10.375" bestFit="1" customWidth="1"/>
    <col min="6773" max="6773" width="12.875" bestFit="1" customWidth="1"/>
    <col min="6774" max="6774" width="10.375" bestFit="1" customWidth="1"/>
    <col min="6775" max="6775" width="12.875" bestFit="1" customWidth="1"/>
    <col min="6776" max="6776" width="10.375" bestFit="1" customWidth="1"/>
    <col min="6777" max="6777" width="12.875" bestFit="1" customWidth="1"/>
    <col min="6778" max="6778" width="10.375" bestFit="1" customWidth="1"/>
    <col min="6779" max="6779" width="12.875" bestFit="1" customWidth="1"/>
    <col min="6780" max="6780" width="10.375" bestFit="1" customWidth="1"/>
    <col min="6781" max="6781" width="12.875" bestFit="1" customWidth="1"/>
    <col min="6782" max="6782" width="10.375" bestFit="1" customWidth="1"/>
    <col min="6783" max="6783" width="12.875" bestFit="1" customWidth="1"/>
    <col min="6784" max="6784" width="10.375" bestFit="1" customWidth="1"/>
    <col min="6785" max="6785" width="12.875" bestFit="1" customWidth="1"/>
    <col min="6786" max="6786" width="10.375" bestFit="1" customWidth="1"/>
    <col min="6787" max="6787" width="12.875" bestFit="1" customWidth="1"/>
    <col min="6788" max="6788" width="10.375" bestFit="1" customWidth="1"/>
    <col min="6789" max="6789" width="12.875" bestFit="1" customWidth="1"/>
    <col min="6790" max="6790" width="10.375" bestFit="1" customWidth="1"/>
    <col min="6791" max="6791" width="12.875" bestFit="1" customWidth="1"/>
    <col min="6792" max="6792" width="10.375" bestFit="1" customWidth="1"/>
    <col min="6793" max="6793" width="12.875" bestFit="1" customWidth="1"/>
    <col min="6794" max="6794" width="10.375" bestFit="1" customWidth="1"/>
    <col min="6795" max="6795" width="12.875" bestFit="1" customWidth="1"/>
    <col min="6796" max="6796" width="10.375" bestFit="1" customWidth="1"/>
    <col min="6797" max="6797" width="12.875" bestFit="1" customWidth="1"/>
    <col min="6798" max="6798" width="10.375" bestFit="1" customWidth="1"/>
    <col min="6799" max="6799" width="12.875" bestFit="1" customWidth="1"/>
    <col min="6800" max="6800" width="10.375" bestFit="1" customWidth="1"/>
    <col min="6801" max="6801" width="12.875" bestFit="1" customWidth="1"/>
    <col min="6802" max="6802" width="10.375" bestFit="1" customWidth="1"/>
    <col min="6803" max="6803" width="12.875" bestFit="1" customWidth="1"/>
    <col min="6804" max="6804" width="10.375" bestFit="1" customWidth="1"/>
    <col min="6805" max="6805" width="12.875" bestFit="1" customWidth="1"/>
    <col min="6806" max="6806" width="10.375" bestFit="1" customWidth="1"/>
    <col min="6807" max="6807" width="12.875" bestFit="1" customWidth="1"/>
    <col min="6808" max="6808" width="10.375" bestFit="1" customWidth="1"/>
    <col min="6809" max="6809" width="7" bestFit="1" customWidth="1"/>
    <col min="6810" max="6810" width="12.875" bestFit="1" customWidth="1"/>
    <col min="6811" max="6811" width="10.375" bestFit="1" customWidth="1"/>
    <col min="6812" max="6812" width="12.875" bestFit="1" customWidth="1"/>
    <col min="6813" max="6813" width="10.375" bestFit="1" customWidth="1"/>
    <col min="6814" max="6814" width="7" bestFit="1" customWidth="1"/>
    <col min="6815" max="6815" width="12.875" bestFit="1" customWidth="1"/>
    <col min="6816" max="6816" width="10.375" bestFit="1" customWidth="1"/>
    <col min="6817" max="6817" width="12.875" bestFit="1" customWidth="1"/>
    <col min="6818" max="6818" width="10.375" bestFit="1" customWidth="1"/>
    <col min="6819" max="6819" width="7" bestFit="1" customWidth="1"/>
    <col min="6820" max="6820" width="12.875" bestFit="1" customWidth="1"/>
    <col min="6821" max="6821" width="10.375" bestFit="1" customWidth="1"/>
    <col min="6822" max="6822" width="12.875" bestFit="1" customWidth="1"/>
    <col min="6823" max="6823" width="10.375" bestFit="1" customWidth="1"/>
    <col min="6824" max="6824" width="12.875" bestFit="1" customWidth="1"/>
    <col min="6825" max="6825" width="10.375" bestFit="1" customWidth="1"/>
    <col min="6826" max="6826" width="12.875" bestFit="1" customWidth="1"/>
    <col min="6827" max="6827" width="10.375" bestFit="1" customWidth="1"/>
    <col min="6828" max="6828" width="12.875" bestFit="1" customWidth="1"/>
    <col min="6829" max="6829" width="10.375" bestFit="1" customWidth="1"/>
    <col min="6830" max="6830" width="12.875" bestFit="1" customWidth="1"/>
    <col min="6831" max="6831" width="10.375" bestFit="1" customWidth="1"/>
    <col min="6832" max="6832" width="12.875" bestFit="1" customWidth="1"/>
    <col min="6833" max="6833" width="10.375" bestFit="1" customWidth="1"/>
    <col min="6834" max="6834" width="12.875" bestFit="1" customWidth="1"/>
    <col min="6835" max="6835" width="10.375" bestFit="1" customWidth="1"/>
    <col min="6836" max="6836" width="12.875" bestFit="1" customWidth="1"/>
    <col min="6837" max="6837" width="10.375" bestFit="1" customWidth="1"/>
    <col min="6838" max="6838" width="12.875" bestFit="1" customWidth="1"/>
    <col min="6839" max="6839" width="10.375" bestFit="1" customWidth="1"/>
    <col min="6840" max="6840" width="12.875" bestFit="1" customWidth="1"/>
    <col min="6841" max="6841" width="10.375" bestFit="1" customWidth="1"/>
    <col min="6842" max="6842" width="12.875" bestFit="1" customWidth="1"/>
    <col min="6843" max="6843" width="10.375" bestFit="1" customWidth="1"/>
    <col min="6844" max="6844" width="12.875" bestFit="1" customWidth="1"/>
    <col min="6845" max="6845" width="10.375" bestFit="1" customWidth="1"/>
    <col min="6846" max="6846" width="12.875" bestFit="1" customWidth="1"/>
    <col min="6847" max="6847" width="10.375" bestFit="1" customWidth="1"/>
    <col min="6848" max="6848" width="12.875" bestFit="1" customWidth="1"/>
    <col min="6849" max="6849" width="10.375" bestFit="1" customWidth="1"/>
    <col min="6850" max="6850" width="12.875" bestFit="1" customWidth="1"/>
    <col min="6851" max="6851" width="10.375" bestFit="1" customWidth="1"/>
    <col min="6852" max="6852" width="12.875" bestFit="1" customWidth="1"/>
    <col min="6853" max="6853" width="10.375" bestFit="1" customWidth="1"/>
    <col min="6854" max="6854" width="12.875" bestFit="1" customWidth="1"/>
    <col min="6855" max="6855" width="10.375" bestFit="1" customWidth="1"/>
    <col min="6856" max="6856" width="12.875" bestFit="1" customWidth="1"/>
    <col min="6857" max="6857" width="10.375" bestFit="1" customWidth="1"/>
    <col min="6858" max="6858" width="12.875" bestFit="1" customWidth="1"/>
    <col min="6859" max="6859" width="10.375" bestFit="1" customWidth="1"/>
    <col min="6860" max="6860" width="12.875" bestFit="1" customWidth="1"/>
    <col min="6861" max="6861" width="10.375" bestFit="1" customWidth="1"/>
    <col min="6862" max="6862" width="12.875" bestFit="1" customWidth="1"/>
    <col min="6863" max="6863" width="10.375" bestFit="1" customWidth="1"/>
    <col min="6864" max="6864" width="12.875" bestFit="1" customWidth="1"/>
    <col min="6865" max="6865" width="10.375" bestFit="1" customWidth="1"/>
    <col min="6866" max="6866" width="12.875" bestFit="1" customWidth="1"/>
    <col min="6867" max="6867" width="10.375" bestFit="1" customWidth="1"/>
    <col min="6868" max="6868" width="12.875" bestFit="1" customWidth="1"/>
    <col min="6869" max="6869" width="10.375" bestFit="1" customWidth="1"/>
    <col min="6870" max="6870" width="12.875" bestFit="1" customWidth="1"/>
    <col min="6871" max="6871" width="10.375" bestFit="1" customWidth="1"/>
    <col min="6872" max="6872" width="12.875" bestFit="1" customWidth="1"/>
    <col min="6873" max="6873" width="10.375" bestFit="1" customWidth="1"/>
    <col min="6874" max="6874" width="12.875" bestFit="1" customWidth="1"/>
    <col min="6875" max="6875" width="10.375" bestFit="1" customWidth="1"/>
    <col min="6876" max="6876" width="12.875" bestFit="1" customWidth="1"/>
    <col min="6877" max="6877" width="10.375" bestFit="1" customWidth="1"/>
    <col min="6878" max="6878" width="12.875" bestFit="1" customWidth="1"/>
    <col min="6879" max="6879" width="10.375" bestFit="1" customWidth="1"/>
    <col min="6880" max="6880" width="12.875" bestFit="1" customWidth="1"/>
    <col min="6881" max="6881" width="10.375" bestFit="1" customWidth="1"/>
    <col min="6882" max="6882" width="12.875" bestFit="1" customWidth="1"/>
    <col min="6883" max="6883" width="10.375" bestFit="1" customWidth="1"/>
    <col min="6884" max="6884" width="12.875" bestFit="1" customWidth="1"/>
    <col min="6885" max="6885" width="10.375" bestFit="1" customWidth="1"/>
    <col min="6886" max="6886" width="12.875" bestFit="1" customWidth="1"/>
    <col min="6887" max="6887" width="10.375" bestFit="1" customWidth="1"/>
    <col min="6888" max="6888" width="12.875" bestFit="1" customWidth="1"/>
    <col min="6889" max="6889" width="10.375" bestFit="1" customWidth="1"/>
    <col min="6890" max="6890" width="12.875" bestFit="1" customWidth="1"/>
    <col min="6891" max="6891" width="10.375" bestFit="1" customWidth="1"/>
    <col min="6892" max="6892" width="12.875" bestFit="1" customWidth="1"/>
    <col min="6893" max="6893" width="10.375" bestFit="1" customWidth="1"/>
    <col min="6894" max="6894" width="12.875" bestFit="1" customWidth="1"/>
    <col min="6895" max="6895" width="10.375" bestFit="1" customWidth="1"/>
    <col min="6896" max="6896" width="12.875" bestFit="1" customWidth="1"/>
    <col min="6897" max="6897" width="10.375" bestFit="1" customWidth="1"/>
    <col min="6898" max="6898" width="12.875" bestFit="1" customWidth="1"/>
    <col min="6899" max="6899" width="10.375" bestFit="1" customWidth="1"/>
    <col min="6900" max="6900" width="7" bestFit="1" customWidth="1"/>
    <col min="6901" max="6901" width="12.875" bestFit="1" customWidth="1"/>
    <col min="6902" max="6902" width="10.375" bestFit="1" customWidth="1"/>
    <col min="6903" max="6903" width="12.875" bestFit="1" customWidth="1"/>
    <col min="6904" max="6904" width="10.375" bestFit="1" customWidth="1"/>
    <col min="6905" max="6905" width="12.875" bestFit="1" customWidth="1"/>
    <col min="6906" max="6906" width="10.375" bestFit="1" customWidth="1"/>
    <col min="6907" max="6907" width="12.875" bestFit="1" customWidth="1"/>
    <col min="6908" max="6908" width="10.375" bestFit="1" customWidth="1"/>
    <col min="6909" max="6909" width="12.875" bestFit="1" customWidth="1"/>
    <col min="6910" max="6910" width="10.375" bestFit="1" customWidth="1"/>
    <col min="6911" max="6911" width="12.875" bestFit="1" customWidth="1"/>
    <col min="6912" max="6912" width="10.375" bestFit="1" customWidth="1"/>
    <col min="6913" max="6913" width="12.875" bestFit="1" customWidth="1"/>
    <col min="6914" max="6914" width="10.375" bestFit="1" customWidth="1"/>
    <col min="6915" max="6915" width="12.875" bestFit="1" customWidth="1"/>
    <col min="6916" max="6916" width="10.375" bestFit="1" customWidth="1"/>
    <col min="6917" max="6917" width="12.875" bestFit="1" customWidth="1"/>
    <col min="6918" max="6918" width="10.375" bestFit="1" customWidth="1"/>
    <col min="6919" max="6919" width="12.875" bestFit="1" customWidth="1"/>
    <col min="6920" max="6920" width="10.375" bestFit="1" customWidth="1"/>
    <col min="6921" max="6921" width="12.875" bestFit="1" customWidth="1"/>
    <col min="6922" max="6922" width="10.375" bestFit="1" customWidth="1"/>
    <col min="6923" max="6923" width="12.875" bestFit="1" customWidth="1"/>
    <col min="6924" max="6924" width="10.375" bestFit="1" customWidth="1"/>
    <col min="6925" max="6925" width="12.875" bestFit="1" customWidth="1"/>
    <col min="6926" max="6926" width="10.375" bestFit="1" customWidth="1"/>
    <col min="6927" max="6927" width="12.875" bestFit="1" customWidth="1"/>
    <col min="6928" max="6928" width="10.375" bestFit="1" customWidth="1"/>
    <col min="6929" max="6929" width="12.875" bestFit="1" customWidth="1"/>
    <col min="6930" max="6930" width="10.375" bestFit="1" customWidth="1"/>
    <col min="6931" max="6931" width="12.875" bestFit="1" customWidth="1"/>
    <col min="6932" max="6932" width="10.375" bestFit="1" customWidth="1"/>
    <col min="6933" max="6933" width="12.875" bestFit="1" customWidth="1"/>
    <col min="6934" max="6934" width="10.375" bestFit="1" customWidth="1"/>
    <col min="6935" max="6935" width="12.875" bestFit="1" customWidth="1"/>
    <col min="6936" max="6936" width="10.375" bestFit="1" customWidth="1"/>
    <col min="6937" max="6937" width="12.875" bestFit="1" customWidth="1"/>
    <col min="6938" max="6938" width="10.375" bestFit="1" customWidth="1"/>
    <col min="6939" max="6939" width="12.875" bestFit="1" customWidth="1"/>
    <col min="6940" max="6940" width="10.375" bestFit="1" customWidth="1"/>
    <col min="6941" max="6941" width="12.875" bestFit="1" customWidth="1"/>
    <col min="6942" max="6942" width="10.375" bestFit="1" customWidth="1"/>
    <col min="6943" max="6943" width="12.875" bestFit="1" customWidth="1"/>
    <col min="6944" max="6944" width="10.375" bestFit="1" customWidth="1"/>
    <col min="6945" max="6945" width="12.875" bestFit="1" customWidth="1"/>
    <col min="6946" max="6946" width="10.375" bestFit="1" customWidth="1"/>
    <col min="6947" max="6947" width="12.875" bestFit="1" customWidth="1"/>
    <col min="6948" max="6948" width="10.375" bestFit="1" customWidth="1"/>
    <col min="6949" max="6949" width="12.875" bestFit="1" customWidth="1"/>
    <col min="6950" max="6950" width="10.375" bestFit="1" customWidth="1"/>
    <col min="6951" max="6951" width="12.875" bestFit="1" customWidth="1"/>
    <col min="6952" max="6952" width="10.375" bestFit="1" customWidth="1"/>
    <col min="6953" max="6953" width="12.875" bestFit="1" customWidth="1"/>
    <col min="6954" max="6954" width="10.375" bestFit="1" customWidth="1"/>
    <col min="6955" max="6955" width="12.875" bestFit="1" customWidth="1"/>
    <col min="6956" max="6956" width="10.375" bestFit="1" customWidth="1"/>
    <col min="6957" max="6957" width="12.875" bestFit="1" customWidth="1"/>
    <col min="6958" max="6958" width="10.375" bestFit="1" customWidth="1"/>
    <col min="6959" max="6959" width="12.875" bestFit="1" customWidth="1"/>
    <col min="6960" max="6960" width="10.375" bestFit="1" customWidth="1"/>
    <col min="6961" max="6961" width="12.875" bestFit="1" customWidth="1"/>
    <col min="6962" max="6962" width="10.375" bestFit="1" customWidth="1"/>
    <col min="6963" max="6963" width="12.875" bestFit="1" customWidth="1"/>
    <col min="6964" max="6964" width="10.375" bestFit="1" customWidth="1"/>
    <col min="6965" max="6965" width="12.875" bestFit="1" customWidth="1"/>
    <col min="6966" max="6966" width="10.375" bestFit="1" customWidth="1"/>
    <col min="6967" max="6967" width="12.875" bestFit="1" customWidth="1"/>
    <col min="6968" max="6968" width="10.375" bestFit="1" customWidth="1"/>
    <col min="6969" max="6969" width="12.875" bestFit="1" customWidth="1"/>
    <col min="6970" max="6970" width="10.375" bestFit="1" customWidth="1"/>
    <col min="6971" max="6971" width="12.875" bestFit="1" customWidth="1"/>
    <col min="6972" max="6972" width="10.375" bestFit="1" customWidth="1"/>
    <col min="6973" max="6973" width="12.875" bestFit="1" customWidth="1"/>
    <col min="6974" max="6974" width="10.375" bestFit="1" customWidth="1"/>
    <col min="6975" max="6975" width="12.875" bestFit="1" customWidth="1"/>
    <col min="6976" max="6976" width="10.375" bestFit="1" customWidth="1"/>
    <col min="6977" max="6977" width="12.875" bestFit="1" customWidth="1"/>
    <col min="6978" max="6978" width="10.375" bestFit="1" customWidth="1"/>
    <col min="6979" max="6979" width="12.875" bestFit="1" customWidth="1"/>
    <col min="6980" max="6980" width="10.375" bestFit="1" customWidth="1"/>
    <col min="6981" max="6981" width="12.875" bestFit="1" customWidth="1"/>
    <col min="6982" max="6982" width="10.375" bestFit="1" customWidth="1"/>
    <col min="6983" max="6983" width="12.875" bestFit="1" customWidth="1"/>
    <col min="6984" max="6984" width="10.375" bestFit="1" customWidth="1"/>
    <col min="6985" max="6985" width="12.875" bestFit="1" customWidth="1"/>
    <col min="6986" max="6986" width="10.375" bestFit="1" customWidth="1"/>
    <col min="6987" max="6987" width="12.875" bestFit="1" customWidth="1"/>
    <col min="6988" max="6988" width="10.375" bestFit="1" customWidth="1"/>
    <col min="6989" max="6989" width="12.875" bestFit="1" customWidth="1"/>
    <col min="6990" max="6990" width="10.375" bestFit="1" customWidth="1"/>
    <col min="6991" max="6991" width="12.875" bestFit="1" customWidth="1"/>
    <col min="6992" max="6992" width="10.375" bestFit="1" customWidth="1"/>
    <col min="6993" max="6993" width="12.875" bestFit="1" customWidth="1"/>
    <col min="6994" max="6994" width="10.375" bestFit="1" customWidth="1"/>
    <col min="6995" max="6995" width="12.875" bestFit="1" customWidth="1"/>
    <col min="6996" max="6996" width="10.375" bestFit="1" customWidth="1"/>
    <col min="6997" max="6997" width="12.875" bestFit="1" customWidth="1"/>
    <col min="6998" max="6998" width="10.375" bestFit="1" customWidth="1"/>
    <col min="6999" max="6999" width="12.875" bestFit="1" customWidth="1"/>
    <col min="7000" max="7000" width="10.375" bestFit="1" customWidth="1"/>
    <col min="7001" max="7001" width="12.875" bestFit="1" customWidth="1"/>
    <col min="7002" max="7002" width="10.375" bestFit="1" customWidth="1"/>
    <col min="7003" max="7003" width="12.875" bestFit="1" customWidth="1"/>
    <col min="7004" max="7004" width="10.375" bestFit="1" customWidth="1"/>
    <col min="7005" max="7005" width="12.875" bestFit="1" customWidth="1"/>
    <col min="7006" max="7006" width="10.375" bestFit="1" customWidth="1"/>
    <col min="7007" max="7007" width="12.875" bestFit="1" customWidth="1"/>
    <col min="7008" max="7008" width="10.375" bestFit="1" customWidth="1"/>
    <col min="7009" max="7009" width="12.875" bestFit="1" customWidth="1"/>
    <col min="7010" max="7010" width="10.375" bestFit="1" customWidth="1"/>
    <col min="7011" max="7011" width="12.875" bestFit="1" customWidth="1"/>
    <col min="7012" max="7012" width="10.375" bestFit="1" customWidth="1"/>
    <col min="7013" max="7013" width="12.875" bestFit="1" customWidth="1"/>
    <col min="7014" max="7014" width="10.375" bestFit="1" customWidth="1"/>
    <col min="7015" max="7015" width="12.875" bestFit="1" customWidth="1"/>
    <col min="7016" max="7016" width="10.375" bestFit="1" customWidth="1"/>
    <col min="7017" max="7017" width="12.875" bestFit="1" customWidth="1"/>
    <col min="7018" max="7018" width="10.375" bestFit="1" customWidth="1"/>
    <col min="7019" max="7019" width="12.875" bestFit="1" customWidth="1"/>
    <col min="7020" max="7020" width="10.375" bestFit="1" customWidth="1"/>
    <col min="7021" max="7021" width="12.875" bestFit="1" customWidth="1"/>
    <col min="7022" max="7022" width="10.375" bestFit="1" customWidth="1"/>
    <col min="7023" max="7023" width="12.875" bestFit="1" customWidth="1"/>
    <col min="7024" max="7024" width="10.375" bestFit="1" customWidth="1"/>
    <col min="7025" max="7025" width="12.875" bestFit="1" customWidth="1"/>
    <col min="7026" max="7026" width="10.375" bestFit="1" customWidth="1"/>
    <col min="7027" max="7027" width="12.875" bestFit="1" customWidth="1"/>
    <col min="7028" max="7028" width="10.375" bestFit="1" customWidth="1"/>
    <col min="7029" max="7029" width="12.875" bestFit="1" customWidth="1"/>
    <col min="7030" max="7030" width="10.375" bestFit="1" customWidth="1"/>
    <col min="7031" max="7031" width="12.875" bestFit="1" customWidth="1"/>
    <col min="7032" max="7032" width="10.375" bestFit="1" customWidth="1"/>
    <col min="7033" max="7033" width="12.875" bestFit="1" customWidth="1"/>
    <col min="7034" max="7034" width="10.375" bestFit="1" customWidth="1"/>
    <col min="7035" max="7035" width="12.875" bestFit="1" customWidth="1"/>
    <col min="7036" max="7036" width="10.375" bestFit="1" customWidth="1"/>
    <col min="7037" max="7037" width="12.875" bestFit="1" customWidth="1"/>
    <col min="7038" max="7038" width="10.375" bestFit="1" customWidth="1"/>
    <col min="7039" max="7039" width="7" bestFit="1" customWidth="1"/>
    <col min="7040" max="7040" width="12.875" bestFit="1" customWidth="1"/>
    <col min="7041" max="7041" width="10.375" bestFit="1" customWidth="1"/>
    <col min="7042" max="7042" width="12.875" bestFit="1" customWidth="1"/>
    <col min="7043" max="7043" width="10.375" bestFit="1" customWidth="1"/>
    <col min="7044" max="7044" width="12.875" bestFit="1" customWidth="1"/>
    <col min="7045" max="7045" width="10.375" bestFit="1" customWidth="1"/>
    <col min="7046" max="7046" width="12.875" bestFit="1" customWidth="1"/>
    <col min="7047" max="7047" width="10.375" bestFit="1" customWidth="1"/>
    <col min="7048" max="7048" width="12.875" bestFit="1" customWidth="1"/>
    <col min="7049" max="7049" width="10.375" bestFit="1" customWidth="1"/>
    <col min="7050" max="7050" width="12.875" bestFit="1" customWidth="1"/>
    <col min="7051" max="7051" width="10.375" bestFit="1" customWidth="1"/>
    <col min="7052" max="7052" width="12.875" bestFit="1" customWidth="1"/>
    <col min="7053" max="7053" width="10.375" bestFit="1" customWidth="1"/>
    <col min="7054" max="7054" width="12.875" bestFit="1" customWidth="1"/>
    <col min="7055" max="7055" width="10.375" bestFit="1" customWidth="1"/>
    <col min="7056" max="7056" width="12.875" bestFit="1" customWidth="1"/>
    <col min="7057" max="7057" width="10.375" bestFit="1" customWidth="1"/>
    <col min="7058" max="7058" width="12.875" bestFit="1" customWidth="1"/>
    <col min="7059" max="7059" width="10.375" bestFit="1" customWidth="1"/>
    <col min="7060" max="7060" width="12.875" bestFit="1" customWidth="1"/>
    <col min="7061" max="7061" width="10.375" bestFit="1" customWidth="1"/>
    <col min="7062" max="7062" width="12.875" bestFit="1" customWidth="1"/>
    <col min="7063" max="7063" width="10.375" bestFit="1" customWidth="1"/>
    <col min="7064" max="7064" width="12.875" bestFit="1" customWidth="1"/>
    <col min="7065" max="7065" width="10.375" bestFit="1" customWidth="1"/>
    <col min="7066" max="7066" width="12.875" bestFit="1" customWidth="1"/>
    <col min="7067" max="7067" width="10.375" bestFit="1" customWidth="1"/>
    <col min="7068" max="7068" width="12.875" bestFit="1" customWidth="1"/>
    <col min="7069" max="7069" width="10.375" bestFit="1" customWidth="1"/>
    <col min="7070" max="7070" width="12.875" bestFit="1" customWidth="1"/>
    <col min="7071" max="7071" width="10.375" bestFit="1" customWidth="1"/>
    <col min="7072" max="7072" width="12.875" bestFit="1" customWidth="1"/>
    <col min="7073" max="7073" width="10.375" bestFit="1" customWidth="1"/>
    <col min="7074" max="7074" width="12.875" bestFit="1" customWidth="1"/>
    <col min="7075" max="7075" width="10.375" bestFit="1" customWidth="1"/>
    <col min="7076" max="7076" width="12.875" bestFit="1" customWidth="1"/>
    <col min="7077" max="7077" width="10.375" bestFit="1" customWidth="1"/>
    <col min="7078" max="7078" width="12.875" bestFit="1" customWidth="1"/>
    <col min="7079" max="7079" width="10.375" bestFit="1" customWidth="1"/>
    <col min="7080" max="7080" width="12.875" bestFit="1" customWidth="1"/>
    <col min="7081" max="7081" width="10.375" bestFit="1" customWidth="1"/>
    <col min="7082" max="7082" width="12.875" bestFit="1" customWidth="1"/>
    <col min="7083" max="7083" width="10.375" bestFit="1" customWidth="1"/>
    <col min="7084" max="7084" width="12.875" bestFit="1" customWidth="1"/>
    <col min="7085" max="7085" width="10.375" bestFit="1" customWidth="1"/>
    <col min="7086" max="7086" width="12.875" bestFit="1" customWidth="1"/>
    <col min="7087" max="7087" width="10.375" bestFit="1" customWidth="1"/>
    <col min="7088" max="7088" width="12.875" bestFit="1" customWidth="1"/>
    <col min="7089" max="7089" width="10.375" bestFit="1" customWidth="1"/>
    <col min="7090" max="7090" width="12.875" bestFit="1" customWidth="1"/>
    <col min="7091" max="7091" width="10.375" bestFit="1" customWidth="1"/>
    <col min="7092" max="7092" width="12.875" bestFit="1" customWidth="1"/>
    <col min="7093" max="7093" width="10.375" bestFit="1" customWidth="1"/>
    <col min="7094" max="7094" width="12.875" bestFit="1" customWidth="1"/>
    <col min="7095" max="7095" width="10.375" bestFit="1" customWidth="1"/>
    <col min="7096" max="7096" width="12.875" bestFit="1" customWidth="1"/>
    <col min="7097" max="7097" width="10.375" bestFit="1" customWidth="1"/>
    <col min="7098" max="7098" width="12.875" bestFit="1" customWidth="1"/>
    <col min="7099" max="7099" width="10.375" bestFit="1" customWidth="1"/>
    <col min="7100" max="7100" width="12.875" bestFit="1" customWidth="1"/>
    <col min="7101" max="7101" width="10.375" bestFit="1" customWidth="1"/>
    <col min="7102" max="7102" width="12.875" bestFit="1" customWidth="1"/>
    <col min="7103" max="7103" width="10.375" bestFit="1" customWidth="1"/>
    <col min="7104" max="7104" width="12.875" bestFit="1" customWidth="1"/>
    <col min="7105" max="7105" width="10.375" bestFit="1" customWidth="1"/>
    <col min="7106" max="7106" width="12.875" bestFit="1" customWidth="1"/>
    <col min="7107" max="7107" width="10.375" bestFit="1" customWidth="1"/>
    <col min="7108" max="7108" width="12.875" bestFit="1" customWidth="1"/>
    <col min="7109" max="7109" width="10.375" bestFit="1" customWidth="1"/>
    <col min="7110" max="7110" width="12.875" bestFit="1" customWidth="1"/>
    <col min="7111" max="7111" width="10.375" bestFit="1" customWidth="1"/>
    <col min="7112" max="7112" width="12.875" bestFit="1" customWidth="1"/>
    <col min="7113" max="7113" width="10.375" bestFit="1" customWidth="1"/>
    <col min="7114" max="7114" width="12.875" bestFit="1" customWidth="1"/>
    <col min="7115" max="7115" width="10.375" bestFit="1" customWidth="1"/>
    <col min="7116" max="7116" width="12.875" bestFit="1" customWidth="1"/>
    <col min="7117" max="7117" width="10.375" bestFit="1" customWidth="1"/>
    <col min="7118" max="7118" width="7" bestFit="1" customWidth="1"/>
    <col min="7119" max="7119" width="12.875" bestFit="1" customWidth="1"/>
    <col min="7120" max="7120" width="10.375" bestFit="1" customWidth="1"/>
    <col min="7121" max="7121" width="12.875" bestFit="1" customWidth="1"/>
    <col min="7122" max="7122" width="10.375" bestFit="1" customWidth="1"/>
    <col min="7123" max="7123" width="12.875" bestFit="1" customWidth="1"/>
    <col min="7124" max="7124" width="10.375" bestFit="1" customWidth="1"/>
    <col min="7125" max="7125" width="12.875" bestFit="1" customWidth="1"/>
    <col min="7126" max="7126" width="10.375" bestFit="1" customWidth="1"/>
    <col min="7127" max="7127" width="12.875" bestFit="1" customWidth="1"/>
    <col min="7128" max="7128" width="10.375" bestFit="1" customWidth="1"/>
    <col min="7129" max="7129" width="12.875" bestFit="1" customWidth="1"/>
    <col min="7130" max="7130" width="10.375" bestFit="1" customWidth="1"/>
    <col min="7131" max="7131" width="12.875" bestFit="1" customWidth="1"/>
    <col min="7132" max="7132" width="10.375" bestFit="1" customWidth="1"/>
    <col min="7133" max="7133" width="12.875" bestFit="1" customWidth="1"/>
    <col min="7134" max="7134" width="10.375" bestFit="1" customWidth="1"/>
    <col min="7135" max="7135" width="12.875" bestFit="1" customWidth="1"/>
    <col min="7136" max="7136" width="10.375" bestFit="1" customWidth="1"/>
    <col min="7137" max="7137" width="12.875" bestFit="1" customWidth="1"/>
    <col min="7138" max="7138" width="10.375" bestFit="1" customWidth="1"/>
    <col min="7139" max="7139" width="12.875" bestFit="1" customWidth="1"/>
    <col min="7140" max="7140" width="10.375" bestFit="1" customWidth="1"/>
    <col min="7141" max="7141" width="12.875" bestFit="1" customWidth="1"/>
    <col min="7142" max="7142" width="10.375" bestFit="1" customWidth="1"/>
    <col min="7143" max="7143" width="12.875" bestFit="1" customWidth="1"/>
    <col min="7144" max="7144" width="10.375" bestFit="1" customWidth="1"/>
    <col min="7145" max="7145" width="12.875" bestFit="1" customWidth="1"/>
    <col min="7146" max="7146" width="10.375" bestFit="1" customWidth="1"/>
    <col min="7147" max="7147" width="12.875" bestFit="1" customWidth="1"/>
    <col min="7148" max="7148" width="10.375" bestFit="1" customWidth="1"/>
    <col min="7149" max="7149" width="12.875" bestFit="1" customWidth="1"/>
    <col min="7150" max="7150" width="10.375" bestFit="1" customWidth="1"/>
    <col min="7151" max="7151" width="12.875" bestFit="1" customWidth="1"/>
    <col min="7152" max="7152" width="10.375" bestFit="1" customWidth="1"/>
    <col min="7153" max="7153" width="12.875" bestFit="1" customWidth="1"/>
    <col min="7154" max="7154" width="10.375" bestFit="1" customWidth="1"/>
    <col min="7155" max="7155" width="7" bestFit="1" customWidth="1"/>
    <col min="7156" max="7156" width="12.875" bestFit="1" customWidth="1"/>
    <col min="7157" max="7157" width="10.375" bestFit="1" customWidth="1"/>
    <col min="7158" max="7158" width="12.875" bestFit="1" customWidth="1"/>
    <col min="7159" max="7159" width="10.375" bestFit="1" customWidth="1"/>
    <col min="7160" max="7160" width="12.875" bestFit="1" customWidth="1"/>
    <col min="7161" max="7161" width="10.375" bestFit="1" customWidth="1"/>
    <col min="7162" max="7162" width="12.875" bestFit="1" customWidth="1"/>
    <col min="7163" max="7163" width="10.375" bestFit="1" customWidth="1"/>
    <col min="7164" max="7164" width="12.875" bestFit="1" customWidth="1"/>
    <col min="7165" max="7165" width="10.375" bestFit="1" customWidth="1"/>
    <col min="7166" max="7166" width="12.875" bestFit="1" customWidth="1"/>
    <col min="7167" max="7167" width="10.375" bestFit="1" customWidth="1"/>
    <col min="7168" max="7168" width="12.875" bestFit="1" customWidth="1"/>
    <col min="7169" max="7169" width="10.375" bestFit="1" customWidth="1"/>
    <col min="7170" max="7170" width="12.875" bestFit="1" customWidth="1"/>
    <col min="7171" max="7171" width="10.375" bestFit="1" customWidth="1"/>
    <col min="7172" max="7172" width="7" bestFit="1" customWidth="1"/>
    <col min="7173" max="7173" width="12.875" bestFit="1" customWidth="1"/>
    <col min="7174" max="7174" width="10.375" bestFit="1" customWidth="1"/>
    <col min="7175" max="7175" width="12.875" bestFit="1" customWidth="1"/>
    <col min="7176" max="7176" width="10.375" bestFit="1" customWidth="1"/>
    <col min="7177" max="7177" width="12.875" bestFit="1" customWidth="1"/>
    <col min="7178" max="7178" width="10.375" bestFit="1" customWidth="1"/>
    <col min="7179" max="7179" width="12.875" bestFit="1" customWidth="1"/>
    <col min="7180" max="7180" width="10.375" bestFit="1" customWidth="1"/>
    <col min="7181" max="7181" width="12.875" bestFit="1" customWidth="1"/>
    <col min="7182" max="7182" width="10.375" bestFit="1" customWidth="1"/>
    <col min="7183" max="7183" width="12.875" bestFit="1" customWidth="1"/>
    <col min="7184" max="7184" width="10.375" bestFit="1" customWidth="1"/>
    <col min="7185" max="7185" width="12.875" bestFit="1" customWidth="1"/>
    <col min="7186" max="7186" width="10.375" bestFit="1" customWidth="1"/>
    <col min="7187" max="7187" width="12.875" bestFit="1" customWidth="1"/>
    <col min="7188" max="7188" width="10.375" bestFit="1" customWidth="1"/>
    <col min="7189" max="7189" width="7" bestFit="1" customWidth="1"/>
    <col min="7190" max="7190" width="12.875" bestFit="1" customWidth="1"/>
    <col min="7191" max="7191" width="10.375" bestFit="1" customWidth="1"/>
    <col min="7192" max="7192" width="12.875" bestFit="1" customWidth="1"/>
    <col min="7193" max="7193" width="10.375" bestFit="1" customWidth="1"/>
    <col min="7194" max="7194" width="12.875" bestFit="1" customWidth="1"/>
    <col min="7195" max="7195" width="10.375" bestFit="1" customWidth="1"/>
    <col min="7196" max="7196" width="12.875" bestFit="1" customWidth="1"/>
    <col min="7197" max="7197" width="10.375" bestFit="1" customWidth="1"/>
    <col min="7198" max="7198" width="12.875" bestFit="1" customWidth="1"/>
    <col min="7199" max="7199" width="10.375" bestFit="1" customWidth="1"/>
    <col min="7200" max="7200" width="12.875" bestFit="1" customWidth="1"/>
    <col min="7201" max="7201" width="10.375" bestFit="1" customWidth="1"/>
    <col min="7202" max="7202" width="12.875" bestFit="1" customWidth="1"/>
    <col min="7203" max="7203" width="10.375" bestFit="1" customWidth="1"/>
    <col min="7204" max="7204" width="12.875" bestFit="1" customWidth="1"/>
    <col min="7205" max="7205" width="10.375" bestFit="1" customWidth="1"/>
    <col min="7206" max="7206" width="12.875" bestFit="1" customWidth="1"/>
    <col min="7207" max="7207" width="10.375" bestFit="1" customWidth="1"/>
    <col min="7208" max="7208" width="12.875" bestFit="1" customWidth="1"/>
    <col min="7209" max="7209" width="10.375" bestFit="1" customWidth="1"/>
    <col min="7210" max="7210" width="12.875" bestFit="1" customWidth="1"/>
    <col min="7211" max="7211" width="10.375" bestFit="1" customWidth="1"/>
    <col min="7212" max="7212" width="12.875" bestFit="1" customWidth="1"/>
    <col min="7213" max="7213" width="10.375" bestFit="1" customWidth="1"/>
    <col min="7214" max="7214" width="12.875" bestFit="1" customWidth="1"/>
    <col min="7215" max="7215" width="10.375" bestFit="1" customWidth="1"/>
    <col min="7216" max="7216" width="12.875" bestFit="1" customWidth="1"/>
    <col min="7217" max="7217" width="10.375" bestFit="1" customWidth="1"/>
    <col min="7218" max="7218" width="12.875" bestFit="1" customWidth="1"/>
    <col min="7219" max="7219" width="10.375" bestFit="1" customWidth="1"/>
    <col min="7220" max="7220" width="12.875" bestFit="1" customWidth="1"/>
    <col min="7221" max="7221" width="10.375" bestFit="1" customWidth="1"/>
    <col min="7222" max="7222" width="12.875" bestFit="1" customWidth="1"/>
    <col min="7223" max="7223" width="10.375" bestFit="1" customWidth="1"/>
    <col min="7224" max="7224" width="12.875" bestFit="1" customWidth="1"/>
    <col min="7225" max="7225" width="10.375" bestFit="1" customWidth="1"/>
    <col min="7226" max="7226" width="12.875" bestFit="1" customWidth="1"/>
    <col min="7227" max="7227" width="10.375" bestFit="1" customWidth="1"/>
    <col min="7228" max="7228" width="12.875" bestFit="1" customWidth="1"/>
    <col min="7229" max="7229" width="10.375" bestFit="1" customWidth="1"/>
    <col min="7230" max="7230" width="12.875" bestFit="1" customWidth="1"/>
    <col min="7231" max="7231" width="10.375" bestFit="1" customWidth="1"/>
    <col min="7232" max="7232" width="12.875" bestFit="1" customWidth="1"/>
    <col min="7233" max="7233" width="10.375" bestFit="1" customWidth="1"/>
    <col min="7234" max="7234" width="12.875" bestFit="1" customWidth="1"/>
    <col min="7235" max="7235" width="10.375" bestFit="1" customWidth="1"/>
    <col min="7236" max="7236" width="12.875" bestFit="1" customWidth="1"/>
    <col min="7237" max="7237" width="10.375" bestFit="1" customWidth="1"/>
    <col min="7238" max="7238" width="12.875" bestFit="1" customWidth="1"/>
    <col min="7239" max="7239" width="10.375" bestFit="1" customWidth="1"/>
    <col min="7240" max="7240" width="12.875" bestFit="1" customWidth="1"/>
    <col min="7241" max="7241" width="10.375" bestFit="1" customWidth="1"/>
    <col min="7242" max="7242" width="12.875" bestFit="1" customWidth="1"/>
    <col min="7243" max="7243" width="10.375" bestFit="1" customWidth="1"/>
    <col min="7244" max="7244" width="12.875" bestFit="1" customWidth="1"/>
    <col min="7245" max="7245" width="10.375" bestFit="1" customWidth="1"/>
    <col min="7246" max="7246" width="12.875" bestFit="1" customWidth="1"/>
    <col min="7247" max="7247" width="10.375" bestFit="1" customWidth="1"/>
    <col min="7248" max="7248" width="12.875" bestFit="1" customWidth="1"/>
    <col min="7249" max="7249" width="10.375" bestFit="1" customWidth="1"/>
    <col min="7250" max="7250" width="12.875" bestFit="1" customWidth="1"/>
    <col min="7251" max="7251" width="10.375" bestFit="1" customWidth="1"/>
    <col min="7252" max="7252" width="12.875" bestFit="1" customWidth="1"/>
    <col min="7253" max="7253" width="10.375" bestFit="1" customWidth="1"/>
    <col min="7254" max="7254" width="12.875" bestFit="1" customWidth="1"/>
    <col min="7255" max="7255" width="10.375" bestFit="1" customWidth="1"/>
    <col min="7256" max="7256" width="12.875" bestFit="1" customWidth="1"/>
    <col min="7257" max="7257" width="10.375" bestFit="1" customWidth="1"/>
    <col min="7258" max="7258" width="12.875" bestFit="1" customWidth="1"/>
    <col min="7259" max="7259" width="10.375" bestFit="1" customWidth="1"/>
    <col min="7260" max="7260" width="12.875" bestFit="1" customWidth="1"/>
    <col min="7261" max="7261" width="10.375" bestFit="1" customWidth="1"/>
    <col min="7262" max="7262" width="12.875" bestFit="1" customWidth="1"/>
    <col min="7263" max="7263" width="10.375" bestFit="1" customWidth="1"/>
    <col min="7264" max="7264" width="12.875" bestFit="1" customWidth="1"/>
    <col min="7265" max="7265" width="10.375" bestFit="1" customWidth="1"/>
    <col min="7266" max="7266" width="12.875" bestFit="1" customWidth="1"/>
    <col min="7267" max="7267" width="10.375" bestFit="1" customWidth="1"/>
    <col min="7268" max="7268" width="12.875" bestFit="1" customWidth="1"/>
    <col min="7269" max="7269" width="10.375" bestFit="1" customWidth="1"/>
    <col min="7270" max="7270" width="12.875" bestFit="1" customWidth="1"/>
    <col min="7271" max="7271" width="10.375" bestFit="1" customWidth="1"/>
    <col min="7272" max="7272" width="12.875" bestFit="1" customWidth="1"/>
    <col min="7273" max="7273" width="10.375" bestFit="1" customWidth="1"/>
    <col min="7274" max="7274" width="12.875" bestFit="1" customWidth="1"/>
    <col min="7275" max="7275" width="10.375" bestFit="1" customWidth="1"/>
    <col min="7276" max="7276" width="12.875" bestFit="1" customWidth="1"/>
    <col min="7277" max="7277" width="10.375" bestFit="1" customWidth="1"/>
    <col min="7278" max="7278" width="12.875" bestFit="1" customWidth="1"/>
    <col min="7279" max="7279" width="10.375" bestFit="1" customWidth="1"/>
    <col min="7280" max="7280" width="12.875" bestFit="1" customWidth="1"/>
    <col min="7281" max="7281" width="10.375" bestFit="1" customWidth="1"/>
    <col min="7282" max="7282" width="12.875" bestFit="1" customWidth="1"/>
    <col min="7283" max="7283" width="10.375" bestFit="1" customWidth="1"/>
    <col min="7284" max="7284" width="12.875" bestFit="1" customWidth="1"/>
    <col min="7285" max="7285" width="10.375" bestFit="1" customWidth="1"/>
    <col min="7286" max="7286" width="12.875" bestFit="1" customWidth="1"/>
    <col min="7287" max="7287" width="10.375" bestFit="1" customWidth="1"/>
    <col min="7288" max="7288" width="12.875" bestFit="1" customWidth="1"/>
    <col min="7289" max="7289" width="10.375" bestFit="1" customWidth="1"/>
    <col min="7290" max="7290" width="12.875" bestFit="1" customWidth="1"/>
    <col min="7291" max="7291" width="10.375" bestFit="1" customWidth="1"/>
    <col min="7292" max="7292" width="12.875" bestFit="1" customWidth="1"/>
    <col min="7293" max="7293" width="10.375" bestFit="1" customWidth="1"/>
    <col min="7294" max="7294" width="12.875" bestFit="1" customWidth="1"/>
    <col min="7295" max="7295" width="10.375" bestFit="1" customWidth="1"/>
    <col min="7296" max="7296" width="12.875" bestFit="1" customWidth="1"/>
    <col min="7297" max="7297" width="10.375" bestFit="1" customWidth="1"/>
    <col min="7298" max="7298" width="12.875" bestFit="1" customWidth="1"/>
    <col min="7299" max="7299" width="10.375" bestFit="1" customWidth="1"/>
    <col min="7300" max="7300" width="12.875" bestFit="1" customWidth="1"/>
    <col min="7301" max="7301" width="10.375" bestFit="1" customWidth="1"/>
    <col min="7302" max="7302" width="12.875" bestFit="1" customWidth="1"/>
    <col min="7303" max="7303" width="10.375" bestFit="1" customWidth="1"/>
    <col min="7304" max="7304" width="12.875" bestFit="1" customWidth="1"/>
    <col min="7305" max="7305" width="10.375" bestFit="1" customWidth="1"/>
    <col min="7306" max="7306" width="12.875" bestFit="1" customWidth="1"/>
    <col min="7307" max="7307" width="10.375" bestFit="1" customWidth="1"/>
    <col min="7308" max="7308" width="12.875" bestFit="1" customWidth="1"/>
    <col min="7309" max="7309" width="10.375" bestFit="1" customWidth="1"/>
    <col min="7310" max="7310" width="12.875" bestFit="1" customWidth="1"/>
    <col min="7311" max="7311" width="10.375" bestFit="1" customWidth="1"/>
    <col min="7312" max="7312" width="12.875" bestFit="1" customWidth="1"/>
    <col min="7313" max="7313" width="10.375" bestFit="1" customWidth="1"/>
    <col min="7314" max="7314" width="12.875" bestFit="1" customWidth="1"/>
    <col min="7315" max="7315" width="10.375" bestFit="1" customWidth="1"/>
    <col min="7316" max="7316" width="12.875" bestFit="1" customWidth="1"/>
    <col min="7317" max="7317" width="10.375" bestFit="1" customWidth="1"/>
    <col min="7318" max="7318" width="12.875" bestFit="1" customWidth="1"/>
    <col min="7319" max="7319" width="10.375" bestFit="1" customWidth="1"/>
    <col min="7320" max="7320" width="12.875" bestFit="1" customWidth="1"/>
    <col min="7321" max="7321" width="10.375" bestFit="1" customWidth="1"/>
    <col min="7322" max="7322" width="12.875" bestFit="1" customWidth="1"/>
    <col min="7323" max="7323" width="10.375" bestFit="1" customWidth="1"/>
    <col min="7324" max="7324" width="12.875" bestFit="1" customWidth="1"/>
    <col min="7325" max="7325" width="10.375" bestFit="1" customWidth="1"/>
    <col min="7326" max="7326" width="7" bestFit="1" customWidth="1"/>
    <col min="7327" max="7327" width="12.875" bestFit="1" customWidth="1"/>
    <col min="7328" max="7328" width="10.375" bestFit="1" customWidth="1"/>
    <col min="7329" max="7329" width="12.875" bestFit="1" customWidth="1"/>
    <col min="7330" max="7330" width="10.375" bestFit="1" customWidth="1"/>
    <col min="7331" max="7331" width="7" bestFit="1" customWidth="1"/>
    <col min="7332" max="7332" width="12.875" bestFit="1" customWidth="1"/>
    <col min="7333" max="7333" width="10.375" bestFit="1" customWidth="1"/>
    <col min="7334" max="7334" width="12.875" bestFit="1" customWidth="1"/>
    <col min="7335" max="7335" width="10.375" bestFit="1" customWidth="1"/>
    <col min="7336" max="7336" width="12.875" bestFit="1" customWidth="1"/>
    <col min="7337" max="7337" width="10.375" bestFit="1" customWidth="1"/>
    <col min="7338" max="7338" width="12.875" bestFit="1" customWidth="1"/>
    <col min="7339" max="7339" width="10.375" bestFit="1" customWidth="1"/>
    <col min="7340" max="7340" width="12.875" bestFit="1" customWidth="1"/>
    <col min="7341" max="7341" width="10.375" bestFit="1" customWidth="1"/>
    <col min="7342" max="7342" width="12.875" bestFit="1" customWidth="1"/>
    <col min="7343" max="7343" width="10.375" bestFit="1" customWidth="1"/>
    <col min="7344" max="7344" width="12.875" bestFit="1" customWidth="1"/>
    <col min="7345" max="7345" width="10.375" bestFit="1" customWidth="1"/>
    <col min="7346" max="7346" width="12.875" bestFit="1" customWidth="1"/>
    <col min="7347" max="7347" width="10.375" bestFit="1" customWidth="1"/>
    <col min="7348" max="7348" width="12.875" bestFit="1" customWidth="1"/>
    <col min="7349" max="7349" width="10.375" bestFit="1" customWidth="1"/>
    <col min="7350" max="7350" width="12.875" bestFit="1" customWidth="1"/>
    <col min="7351" max="7351" width="10.375" bestFit="1" customWidth="1"/>
    <col min="7352" max="7352" width="6.625" bestFit="1" customWidth="1"/>
    <col min="7353" max="7353" width="7" bestFit="1" customWidth="1"/>
    <col min="7354" max="7354" width="12.875" bestFit="1" customWidth="1"/>
    <col min="7355" max="7355" width="10.375" bestFit="1" customWidth="1"/>
    <col min="7356" max="7356" width="12.875" bestFit="1" customWidth="1"/>
    <col min="7357" max="7357" width="10.375" bestFit="1" customWidth="1"/>
    <col min="7358" max="7358" width="12.875" bestFit="1" customWidth="1"/>
    <col min="7359" max="7359" width="10.375" bestFit="1" customWidth="1"/>
    <col min="7360" max="7360" width="12.875" bestFit="1" customWidth="1"/>
    <col min="7361" max="7361" width="10.375" bestFit="1" customWidth="1"/>
    <col min="7362" max="7362" width="12.875" bestFit="1" customWidth="1"/>
    <col min="7363" max="7363" width="10.375" bestFit="1" customWidth="1"/>
    <col min="7364" max="7364" width="12.875" bestFit="1" customWidth="1"/>
    <col min="7365" max="7365" width="10.375" bestFit="1" customWidth="1"/>
    <col min="7366" max="7366" width="12.875" bestFit="1" customWidth="1"/>
    <col min="7367" max="7367" width="10.375" bestFit="1" customWidth="1"/>
    <col min="7368" max="7368" width="12.875" bestFit="1" customWidth="1"/>
    <col min="7369" max="7369" width="10.375" bestFit="1" customWidth="1"/>
    <col min="7370" max="7370" width="12.875" bestFit="1" customWidth="1"/>
    <col min="7371" max="7371" width="10.375" bestFit="1" customWidth="1"/>
    <col min="7372" max="7372" width="7" bestFit="1" customWidth="1"/>
    <col min="7373" max="7373" width="12.875" bestFit="1" customWidth="1"/>
    <col min="7374" max="7374" width="10.375" bestFit="1" customWidth="1"/>
    <col min="7375" max="7375" width="12.875" bestFit="1" customWidth="1"/>
    <col min="7376" max="7376" width="10.375" bestFit="1" customWidth="1"/>
    <col min="7377" max="7377" width="12.875" bestFit="1" customWidth="1"/>
    <col min="7378" max="7378" width="10.375" bestFit="1" customWidth="1"/>
    <col min="7379" max="7379" width="12.875" bestFit="1" customWidth="1"/>
    <col min="7380" max="7380" width="10.375" bestFit="1" customWidth="1"/>
    <col min="7381" max="7381" width="12.875" bestFit="1" customWidth="1"/>
    <col min="7382" max="7382" width="10.375" bestFit="1" customWidth="1"/>
    <col min="7383" max="7383" width="12.875" bestFit="1" customWidth="1"/>
    <col min="7384" max="7384" width="10.375" bestFit="1" customWidth="1"/>
    <col min="7385" max="7385" width="12.875" bestFit="1" customWidth="1"/>
    <col min="7386" max="7386" width="10.375" bestFit="1" customWidth="1"/>
    <col min="7387" max="7387" width="12.875" bestFit="1" customWidth="1"/>
    <col min="7388" max="7388" width="10.375" bestFit="1" customWidth="1"/>
    <col min="7389" max="7389" width="12.875" bestFit="1" customWidth="1"/>
    <col min="7390" max="7390" width="10.375" bestFit="1" customWidth="1"/>
    <col min="7391" max="7391" width="12.875" bestFit="1" customWidth="1"/>
    <col min="7392" max="7392" width="10.375" bestFit="1" customWidth="1"/>
    <col min="7393" max="7393" width="12.875" bestFit="1" customWidth="1"/>
    <col min="7394" max="7394" width="10.375" bestFit="1" customWidth="1"/>
    <col min="7395" max="7395" width="12.875" bestFit="1" customWidth="1"/>
    <col min="7396" max="7396" width="10.375" bestFit="1" customWidth="1"/>
    <col min="7397" max="7397" width="12.875" bestFit="1" customWidth="1"/>
    <col min="7398" max="7398" width="10.375" bestFit="1" customWidth="1"/>
    <col min="7399" max="7399" width="12.875" bestFit="1" customWidth="1"/>
    <col min="7400" max="7400" width="10.375" bestFit="1" customWidth="1"/>
    <col min="7401" max="7401" width="7" bestFit="1" customWidth="1"/>
    <col min="7402" max="7402" width="12.875" bestFit="1" customWidth="1"/>
    <col min="7403" max="7403" width="10.375" bestFit="1" customWidth="1"/>
    <col min="7404" max="7404" width="12.875" bestFit="1" customWidth="1"/>
    <col min="7405" max="7405" width="10.375" bestFit="1" customWidth="1"/>
    <col min="7406" max="7406" width="12.875" bestFit="1" customWidth="1"/>
    <col min="7407" max="7407" width="10.375" bestFit="1" customWidth="1"/>
    <col min="7408" max="7408" width="12.875" bestFit="1" customWidth="1"/>
    <col min="7409" max="7409" width="10.375" bestFit="1" customWidth="1"/>
    <col min="7410" max="7410" width="12.875" bestFit="1" customWidth="1"/>
    <col min="7411" max="7411" width="10.375" bestFit="1" customWidth="1"/>
    <col min="7412" max="7412" width="12.875" bestFit="1" customWidth="1"/>
    <col min="7413" max="7413" width="10.375" bestFit="1" customWidth="1"/>
    <col min="7414" max="7414" width="12.875" bestFit="1" customWidth="1"/>
    <col min="7415" max="7415" width="10.375" bestFit="1" customWidth="1"/>
    <col min="7416" max="7416" width="12.875" bestFit="1" customWidth="1"/>
    <col min="7417" max="7417" width="10.375" bestFit="1" customWidth="1"/>
    <col min="7418" max="7418" width="12.875" bestFit="1" customWidth="1"/>
    <col min="7419" max="7419" width="10.375" bestFit="1" customWidth="1"/>
    <col min="7420" max="7420" width="12.875" bestFit="1" customWidth="1"/>
    <col min="7421" max="7421" width="10.375" bestFit="1" customWidth="1"/>
    <col min="7422" max="7422" width="12.875" bestFit="1" customWidth="1"/>
    <col min="7423" max="7423" width="10.375" bestFit="1" customWidth="1"/>
    <col min="7424" max="7424" width="12.875" bestFit="1" customWidth="1"/>
    <col min="7425" max="7425" width="10.375" bestFit="1" customWidth="1"/>
    <col min="7426" max="7426" width="12.875" bestFit="1" customWidth="1"/>
    <col min="7427" max="7427" width="10.375" bestFit="1" customWidth="1"/>
    <col min="7428" max="7428" width="12.875" bestFit="1" customWidth="1"/>
    <col min="7429" max="7429" width="10.375" bestFit="1" customWidth="1"/>
    <col min="7430" max="7430" width="12.875" bestFit="1" customWidth="1"/>
    <col min="7431" max="7431" width="10.375" bestFit="1" customWidth="1"/>
    <col min="7432" max="7432" width="12.875" bestFit="1" customWidth="1"/>
    <col min="7433" max="7433" width="10.375" bestFit="1" customWidth="1"/>
    <col min="7434" max="7434" width="12.875" bestFit="1" customWidth="1"/>
    <col min="7435" max="7435" width="10.375" bestFit="1" customWidth="1"/>
    <col min="7436" max="7436" width="12.875" bestFit="1" customWidth="1"/>
    <col min="7437" max="7437" width="10.375" bestFit="1" customWidth="1"/>
    <col min="7438" max="7438" width="12.875" bestFit="1" customWidth="1"/>
    <col min="7439" max="7439" width="10.375" bestFit="1" customWidth="1"/>
    <col min="7440" max="7440" width="12.875" bestFit="1" customWidth="1"/>
    <col min="7441" max="7441" width="10.375" bestFit="1" customWidth="1"/>
    <col min="7442" max="7442" width="12.875" bestFit="1" customWidth="1"/>
    <col min="7443" max="7443" width="10.375" bestFit="1" customWidth="1"/>
    <col min="7444" max="7444" width="12.875" bestFit="1" customWidth="1"/>
    <col min="7445" max="7445" width="10.375" bestFit="1" customWidth="1"/>
    <col min="7446" max="7446" width="12.875" bestFit="1" customWidth="1"/>
    <col min="7447" max="7447" width="10.375" bestFit="1" customWidth="1"/>
    <col min="7448" max="7448" width="12.875" bestFit="1" customWidth="1"/>
    <col min="7449" max="7449" width="10.375" bestFit="1" customWidth="1"/>
    <col min="7450" max="7450" width="12.875" bestFit="1" customWidth="1"/>
    <col min="7451" max="7451" width="10.375" bestFit="1" customWidth="1"/>
    <col min="7452" max="7452" width="12.875" bestFit="1" customWidth="1"/>
    <col min="7453" max="7453" width="10.375" bestFit="1" customWidth="1"/>
    <col min="7454" max="7454" width="12.875" bestFit="1" customWidth="1"/>
    <col min="7455" max="7455" width="10.375" bestFit="1" customWidth="1"/>
    <col min="7456" max="7456" width="12.875" bestFit="1" customWidth="1"/>
    <col min="7457" max="7457" width="10.375" bestFit="1" customWidth="1"/>
    <col min="7458" max="7458" width="12.875" bestFit="1" customWidth="1"/>
    <col min="7459" max="7459" width="10.375" bestFit="1" customWidth="1"/>
    <col min="7460" max="7460" width="7" bestFit="1" customWidth="1"/>
    <col min="7461" max="7461" width="12.875" bestFit="1" customWidth="1"/>
    <col min="7462" max="7462" width="10.375" bestFit="1" customWidth="1"/>
    <col min="7463" max="7463" width="12.875" bestFit="1" customWidth="1"/>
    <col min="7464" max="7464" width="10.375" bestFit="1" customWidth="1"/>
    <col min="7465" max="7465" width="12.875" bestFit="1" customWidth="1"/>
    <col min="7466" max="7466" width="10.375" bestFit="1" customWidth="1"/>
    <col min="7467" max="7467" width="12.875" bestFit="1" customWidth="1"/>
    <col min="7468" max="7468" width="10.375" bestFit="1" customWidth="1"/>
    <col min="7469" max="7469" width="12.875" bestFit="1" customWidth="1"/>
    <col min="7470" max="7470" width="10.375" bestFit="1" customWidth="1"/>
    <col min="7471" max="7471" width="12.875" bestFit="1" customWidth="1"/>
    <col min="7472" max="7472" width="10.375" bestFit="1" customWidth="1"/>
    <col min="7473" max="7473" width="12.875" bestFit="1" customWidth="1"/>
    <col min="7474" max="7474" width="10.375" bestFit="1" customWidth="1"/>
    <col min="7475" max="7475" width="12.875" bestFit="1" customWidth="1"/>
    <col min="7476" max="7476" width="10.375" bestFit="1" customWidth="1"/>
    <col min="7477" max="7477" width="12.875" bestFit="1" customWidth="1"/>
    <col min="7478" max="7478" width="10.375" bestFit="1" customWidth="1"/>
    <col min="7479" max="7479" width="12.875" bestFit="1" customWidth="1"/>
    <col min="7480" max="7480" width="10.375" bestFit="1" customWidth="1"/>
    <col min="7481" max="7481" width="12.875" bestFit="1" customWidth="1"/>
    <col min="7482" max="7482" width="10.375" bestFit="1" customWidth="1"/>
    <col min="7483" max="7483" width="12.875" bestFit="1" customWidth="1"/>
    <col min="7484" max="7484" width="10.375" bestFit="1" customWidth="1"/>
    <col min="7485" max="7485" width="12.875" bestFit="1" customWidth="1"/>
    <col min="7486" max="7486" width="10.375" bestFit="1" customWidth="1"/>
    <col min="7487" max="7487" width="12.875" bestFit="1" customWidth="1"/>
    <col min="7488" max="7488" width="10.375" bestFit="1" customWidth="1"/>
    <col min="7489" max="7489" width="12.875" bestFit="1" customWidth="1"/>
    <col min="7490" max="7490" width="10.375" bestFit="1" customWidth="1"/>
    <col min="7491" max="7491" width="12.875" bestFit="1" customWidth="1"/>
    <col min="7492" max="7492" width="10.375" bestFit="1" customWidth="1"/>
    <col min="7493" max="7493" width="12.875" bestFit="1" customWidth="1"/>
    <col min="7494" max="7494" width="10.375" bestFit="1" customWidth="1"/>
    <col min="7495" max="7495" width="12.875" bestFit="1" customWidth="1"/>
    <col min="7496" max="7496" width="10.375" bestFit="1" customWidth="1"/>
    <col min="7497" max="7497" width="12.875" bestFit="1" customWidth="1"/>
    <col min="7498" max="7498" width="10.375" bestFit="1" customWidth="1"/>
    <col min="7499" max="7499" width="12.875" bestFit="1" customWidth="1"/>
    <col min="7500" max="7500" width="10.375" bestFit="1" customWidth="1"/>
    <col min="7501" max="7501" width="12.875" bestFit="1" customWidth="1"/>
    <col min="7502" max="7502" width="10.375" bestFit="1" customWidth="1"/>
    <col min="7503" max="7503" width="12.875" bestFit="1" customWidth="1"/>
    <col min="7504" max="7504" width="10.375" bestFit="1" customWidth="1"/>
    <col min="7505" max="7505" width="12.875" bestFit="1" customWidth="1"/>
    <col min="7506" max="7506" width="10.375" bestFit="1" customWidth="1"/>
    <col min="7507" max="7507" width="12.875" bestFit="1" customWidth="1"/>
    <col min="7508" max="7508" width="10.375" bestFit="1" customWidth="1"/>
    <col min="7509" max="7509" width="12.875" bestFit="1" customWidth="1"/>
    <col min="7510" max="7510" width="10.375" bestFit="1" customWidth="1"/>
    <col min="7511" max="7511" width="12.875" bestFit="1" customWidth="1"/>
    <col min="7512" max="7512" width="10.375" bestFit="1" customWidth="1"/>
    <col min="7513" max="7513" width="12.875" bestFit="1" customWidth="1"/>
    <col min="7514" max="7514" width="10.375" bestFit="1" customWidth="1"/>
    <col min="7515" max="7515" width="12.875" bestFit="1" customWidth="1"/>
    <col min="7516" max="7516" width="10.375" bestFit="1" customWidth="1"/>
    <col min="7517" max="7517" width="12.875" bestFit="1" customWidth="1"/>
    <col min="7518" max="7518" width="10.375" bestFit="1" customWidth="1"/>
    <col min="7519" max="7519" width="12.875" bestFit="1" customWidth="1"/>
    <col min="7520" max="7520" width="10.375" bestFit="1" customWidth="1"/>
    <col min="7521" max="7521" width="12.875" bestFit="1" customWidth="1"/>
    <col min="7522" max="7522" width="10.375" bestFit="1" customWidth="1"/>
    <col min="7523" max="7523" width="12.875" bestFit="1" customWidth="1"/>
    <col min="7524" max="7524" width="10.375" bestFit="1" customWidth="1"/>
    <col min="7525" max="7525" width="12.875" bestFit="1" customWidth="1"/>
    <col min="7526" max="7526" width="10.375" bestFit="1" customWidth="1"/>
    <col min="7527" max="7527" width="12.875" bestFit="1" customWidth="1"/>
    <col min="7528" max="7528" width="10.375" bestFit="1" customWidth="1"/>
    <col min="7529" max="7529" width="12.875" bestFit="1" customWidth="1"/>
    <col min="7530" max="7530" width="10.375" bestFit="1" customWidth="1"/>
    <col min="7531" max="7531" width="12.875" bestFit="1" customWidth="1"/>
    <col min="7532" max="7532" width="10.375" bestFit="1" customWidth="1"/>
    <col min="7533" max="7533" width="12.875" bestFit="1" customWidth="1"/>
    <col min="7534" max="7534" width="10.375" bestFit="1" customWidth="1"/>
    <col min="7535" max="7535" width="12.875" bestFit="1" customWidth="1"/>
    <col min="7536" max="7536" width="10.375" bestFit="1" customWidth="1"/>
    <col min="7537" max="7537" width="12.875" bestFit="1" customWidth="1"/>
    <col min="7538" max="7538" width="10.375" bestFit="1" customWidth="1"/>
    <col min="7539" max="7539" width="12.875" bestFit="1" customWidth="1"/>
    <col min="7540" max="7540" width="10.375" bestFit="1" customWidth="1"/>
    <col min="7541" max="7541" width="12.875" bestFit="1" customWidth="1"/>
    <col min="7542" max="7542" width="10.375" bestFit="1" customWidth="1"/>
    <col min="7543" max="7543" width="12.875" bestFit="1" customWidth="1"/>
    <col min="7544" max="7544" width="10.375" bestFit="1" customWidth="1"/>
    <col min="7545" max="7545" width="12.875" bestFit="1" customWidth="1"/>
    <col min="7546" max="7546" width="10.375" bestFit="1" customWidth="1"/>
    <col min="7547" max="7547" width="12.875" bestFit="1" customWidth="1"/>
    <col min="7548" max="7548" width="10.375" bestFit="1" customWidth="1"/>
    <col min="7549" max="7549" width="7" bestFit="1" customWidth="1"/>
    <col min="7550" max="7550" width="12.875" bestFit="1" customWidth="1"/>
    <col min="7551" max="7551" width="10.375" bestFit="1" customWidth="1"/>
    <col min="7552" max="7552" width="12.875" bestFit="1" customWidth="1"/>
    <col min="7553" max="7553" width="10.375" bestFit="1" customWidth="1"/>
    <col min="7554" max="7554" width="12.875" bestFit="1" customWidth="1"/>
    <col min="7555" max="7555" width="10.375" bestFit="1" customWidth="1"/>
    <col min="7556" max="7556" width="12.875" bestFit="1" customWidth="1"/>
    <col min="7557" max="7557" width="10.375" bestFit="1" customWidth="1"/>
    <col min="7558" max="7558" width="12.875" bestFit="1" customWidth="1"/>
    <col min="7559" max="7559" width="10.375" bestFit="1" customWidth="1"/>
    <col min="7560" max="7560" width="12.875" bestFit="1" customWidth="1"/>
    <col min="7561" max="7561" width="10.375" bestFit="1" customWidth="1"/>
    <col min="7562" max="7562" width="12.875" bestFit="1" customWidth="1"/>
    <col min="7563" max="7563" width="10.375" bestFit="1" customWidth="1"/>
    <col min="7564" max="7564" width="7" bestFit="1" customWidth="1"/>
    <col min="7565" max="7565" width="12.875" bestFit="1" customWidth="1"/>
    <col min="7566" max="7566" width="10.375" bestFit="1" customWidth="1"/>
    <col min="7567" max="7567" width="6.625" bestFit="1" customWidth="1"/>
    <col min="7568" max="7568" width="7" bestFit="1" customWidth="1"/>
    <col min="7569" max="7569" width="12.875" bestFit="1" customWidth="1"/>
    <col min="7570" max="7570" width="10.375" bestFit="1" customWidth="1"/>
    <col min="7571" max="7571" width="12.875" bestFit="1" customWidth="1"/>
    <col min="7572" max="7572" width="10.375" bestFit="1" customWidth="1"/>
    <col min="7573" max="7573" width="12.875" bestFit="1" customWidth="1"/>
    <col min="7574" max="7574" width="10.375" bestFit="1" customWidth="1"/>
    <col min="7575" max="7575" width="12.875" bestFit="1" customWidth="1"/>
    <col min="7576" max="7576" width="10.375" bestFit="1" customWidth="1"/>
    <col min="7577" max="7577" width="12.875" bestFit="1" customWidth="1"/>
    <col min="7578" max="7578" width="10.375" bestFit="1" customWidth="1"/>
    <col min="7579" max="7579" width="12.875" bestFit="1" customWidth="1"/>
    <col min="7580" max="7580" width="10.375" bestFit="1" customWidth="1"/>
    <col min="7581" max="7581" width="12.875" bestFit="1" customWidth="1"/>
    <col min="7582" max="7582" width="10.375" bestFit="1" customWidth="1"/>
    <col min="7583" max="7583" width="12.875" bestFit="1" customWidth="1"/>
    <col min="7584" max="7584" width="10.375" bestFit="1" customWidth="1"/>
    <col min="7585" max="7585" width="12.875" bestFit="1" customWidth="1"/>
    <col min="7586" max="7586" width="10.375" bestFit="1" customWidth="1"/>
    <col min="7587" max="7587" width="12.875" bestFit="1" customWidth="1"/>
    <col min="7588" max="7588" width="10.375" bestFit="1" customWidth="1"/>
    <col min="7589" max="7589" width="12.875" bestFit="1" customWidth="1"/>
    <col min="7590" max="7590" width="10.375" bestFit="1" customWidth="1"/>
    <col min="7591" max="7591" width="12.875" bestFit="1" customWidth="1"/>
    <col min="7592" max="7592" width="10.375" bestFit="1" customWidth="1"/>
    <col min="7593" max="7593" width="12.875" bestFit="1" customWidth="1"/>
    <col min="7594" max="7594" width="10.375" bestFit="1" customWidth="1"/>
    <col min="7595" max="7595" width="12.875" bestFit="1" customWidth="1"/>
    <col min="7596" max="7596" width="10.375" bestFit="1" customWidth="1"/>
    <col min="7597" max="7597" width="12.875" bestFit="1" customWidth="1"/>
    <col min="7598" max="7598" width="10.375" bestFit="1" customWidth="1"/>
    <col min="7599" max="7599" width="12.875" bestFit="1" customWidth="1"/>
    <col min="7600" max="7600" width="10.375" bestFit="1" customWidth="1"/>
    <col min="7601" max="7601" width="7" bestFit="1" customWidth="1"/>
    <col min="7602" max="7602" width="12.875" bestFit="1" customWidth="1"/>
    <col min="7603" max="7603" width="10.375" bestFit="1" customWidth="1"/>
    <col min="7604" max="7604" width="12.875" bestFit="1" customWidth="1"/>
    <col min="7605" max="7605" width="10.375" bestFit="1" customWidth="1"/>
    <col min="7606" max="7606" width="12.875" bestFit="1" customWidth="1"/>
    <col min="7607" max="7607" width="10.375" bestFit="1" customWidth="1"/>
    <col min="7608" max="7608" width="12.875" bestFit="1" customWidth="1"/>
    <col min="7609" max="7609" width="10.375" bestFit="1" customWidth="1"/>
    <col min="7610" max="7610" width="12.875" bestFit="1" customWidth="1"/>
    <col min="7611" max="7611" width="10.375" bestFit="1" customWidth="1"/>
    <col min="7612" max="7612" width="7" bestFit="1" customWidth="1"/>
    <col min="7613" max="7613" width="12.875" bestFit="1" customWidth="1"/>
    <col min="7614" max="7614" width="10.375" bestFit="1" customWidth="1"/>
    <col min="7615" max="7615" width="12.875" bestFit="1" customWidth="1"/>
    <col min="7616" max="7616" width="10.375" bestFit="1" customWidth="1"/>
    <col min="7617" max="7617" width="12.875" bestFit="1" customWidth="1"/>
    <col min="7618" max="7618" width="10.375" bestFit="1" customWidth="1"/>
    <col min="7619" max="7619" width="12.875" bestFit="1" customWidth="1"/>
    <col min="7620" max="7620" width="10.375" bestFit="1" customWidth="1"/>
    <col min="7621" max="7621" width="12.875" bestFit="1" customWidth="1"/>
    <col min="7622" max="7622" width="10.375" bestFit="1" customWidth="1"/>
    <col min="7623" max="7623" width="12.875" bestFit="1" customWidth="1"/>
    <col min="7624" max="7624" width="10.375" bestFit="1" customWidth="1"/>
    <col min="7625" max="7625" width="12.875" bestFit="1" customWidth="1"/>
    <col min="7626" max="7626" width="10.375" bestFit="1" customWidth="1"/>
    <col min="7627" max="7627" width="12.875" bestFit="1" customWidth="1"/>
    <col min="7628" max="7628" width="10.375" bestFit="1" customWidth="1"/>
    <col min="7629" max="7629" width="12.875" bestFit="1" customWidth="1"/>
    <col min="7630" max="7630" width="10.375" bestFit="1" customWidth="1"/>
    <col min="7631" max="7631" width="12.875" bestFit="1" customWidth="1"/>
    <col min="7632" max="7632" width="10.375" bestFit="1" customWidth="1"/>
    <col min="7633" max="7633" width="12.875" bestFit="1" customWidth="1"/>
    <col min="7634" max="7634" width="10.375" bestFit="1" customWidth="1"/>
    <col min="7635" max="7635" width="12.875" bestFit="1" customWidth="1"/>
    <col min="7636" max="7636" width="10.375" bestFit="1" customWidth="1"/>
    <col min="7637" max="7637" width="12.875" bestFit="1" customWidth="1"/>
    <col min="7638" max="7638" width="10.375" bestFit="1" customWidth="1"/>
    <col min="7639" max="7639" width="12.875" bestFit="1" customWidth="1"/>
    <col min="7640" max="7640" width="10.375" bestFit="1" customWidth="1"/>
    <col min="7641" max="7641" width="12.875" bestFit="1" customWidth="1"/>
    <col min="7642" max="7642" width="10.375" bestFit="1" customWidth="1"/>
    <col min="7643" max="7643" width="12.875" bestFit="1" customWidth="1"/>
    <col min="7644" max="7644" width="10.375" bestFit="1" customWidth="1"/>
    <col min="7645" max="7645" width="12.875" bestFit="1" customWidth="1"/>
    <col min="7646" max="7646" width="10.375" bestFit="1" customWidth="1"/>
    <col min="7647" max="7647" width="12.875" bestFit="1" customWidth="1"/>
    <col min="7648" max="7648" width="10.375" bestFit="1" customWidth="1"/>
    <col min="7649" max="7649" width="12.875" bestFit="1" customWidth="1"/>
    <col min="7650" max="7650" width="10.375" bestFit="1" customWidth="1"/>
    <col min="7651" max="7651" width="12.875" bestFit="1" customWidth="1"/>
    <col min="7652" max="7652" width="10.375" bestFit="1" customWidth="1"/>
    <col min="7653" max="7653" width="12.875" bestFit="1" customWidth="1"/>
    <col min="7654" max="7654" width="10.375" bestFit="1" customWidth="1"/>
    <col min="7655" max="7655" width="12.875" bestFit="1" customWidth="1"/>
    <col min="7656" max="7656" width="10.375" bestFit="1" customWidth="1"/>
    <col min="7657" max="7657" width="12.875" bestFit="1" customWidth="1"/>
    <col min="7658" max="7658" width="10.375" bestFit="1" customWidth="1"/>
    <col min="7659" max="7659" width="12.875" bestFit="1" customWidth="1"/>
    <col min="7660" max="7660" width="10.375" bestFit="1" customWidth="1"/>
    <col min="7661" max="7661" width="12.875" bestFit="1" customWidth="1"/>
    <col min="7662" max="7662" width="10.375" bestFit="1" customWidth="1"/>
    <col min="7663" max="7663" width="12.875" bestFit="1" customWidth="1"/>
    <col min="7664" max="7664" width="10.375" bestFit="1" customWidth="1"/>
    <col min="7665" max="7665" width="12.875" bestFit="1" customWidth="1"/>
    <col min="7666" max="7666" width="10.375" bestFit="1" customWidth="1"/>
    <col min="7667" max="7667" width="12.875" bestFit="1" customWidth="1"/>
    <col min="7668" max="7668" width="10.375" bestFit="1" customWidth="1"/>
    <col min="7669" max="7669" width="12.875" bestFit="1" customWidth="1"/>
    <col min="7670" max="7670" width="10.375" bestFit="1" customWidth="1"/>
    <col min="7671" max="7671" width="12.875" bestFit="1" customWidth="1"/>
    <col min="7672" max="7672" width="10.375" bestFit="1" customWidth="1"/>
    <col min="7673" max="7673" width="12.875" bestFit="1" customWidth="1"/>
    <col min="7674" max="7674" width="10.375" bestFit="1" customWidth="1"/>
    <col min="7675" max="7675" width="12.875" bestFit="1" customWidth="1"/>
    <col min="7676" max="7676" width="10.375" bestFit="1" customWidth="1"/>
    <col min="7677" max="7677" width="12.875" bestFit="1" customWidth="1"/>
    <col min="7678" max="7678" width="10.375" bestFit="1" customWidth="1"/>
    <col min="7679" max="7679" width="12.875" bestFit="1" customWidth="1"/>
    <col min="7680" max="7680" width="10.375" bestFit="1" customWidth="1"/>
    <col min="7681" max="7681" width="12.875" bestFit="1" customWidth="1"/>
    <col min="7682" max="7682" width="10.375" bestFit="1" customWidth="1"/>
    <col min="7683" max="7683" width="12.875" bestFit="1" customWidth="1"/>
    <col min="7684" max="7684" width="10.375" bestFit="1" customWidth="1"/>
    <col min="7685" max="7685" width="12.875" bestFit="1" customWidth="1"/>
    <col min="7686" max="7686" width="10.375" bestFit="1" customWidth="1"/>
    <col min="7687" max="7687" width="12.875" bestFit="1" customWidth="1"/>
    <col min="7688" max="7688" width="10.375" bestFit="1" customWidth="1"/>
    <col min="7689" max="7689" width="12.875" bestFit="1" customWidth="1"/>
    <col min="7690" max="7690" width="10.375" bestFit="1" customWidth="1"/>
    <col min="7691" max="7691" width="12.875" bestFit="1" customWidth="1"/>
    <col min="7692" max="7692" width="10.375" bestFit="1" customWidth="1"/>
    <col min="7693" max="7693" width="12.875" bestFit="1" customWidth="1"/>
    <col min="7694" max="7694" width="10.375" bestFit="1" customWidth="1"/>
    <col min="7695" max="7695" width="12.875" bestFit="1" customWidth="1"/>
    <col min="7696" max="7696" width="10.375" bestFit="1" customWidth="1"/>
    <col min="7697" max="7697" width="12.875" bestFit="1" customWidth="1"/>
    <col min="7698" max="7698" width="10.375" bestFit="1" customWidth="1"/>
    <col min="7699" max="7699" width="12.875" bestFit="1" customWidth="1"/>
    <col min="7700" max="7700" width="10.375" bestFit="1" customWidth="1"/>
    <col min="7701" max="7701" width="12.875" bestFit="1" customWidth="1"/>
    <col min="7702" max="7702" width="10.375" bestFit="1" customWidth="1"/>
    <col min="7703" max="7703" width="12.875" bestFit="1" customWidth="1"/>
    <col min="7704" max="7704" width="10.375" bestFit="1" customWidth="1"/>
    <col min="7705" max="7705" width="12.875" bestFit="1" customWidth="1"/>
    <col min="7706" max="7706" width="10.375" bestFit="1" customWidth="1"/>
    <col min="7707" max="7707" width="12.875" bestFit="1" customWidth="1"/>
    <col min="7708" max="7708" width="10.375" bestFit="1" customWidth="1"/>
    <col min="7709" max="7709" width="12.875" bestFit="1" customWidth="1"/>
    <col min="7710" max="7710" width="10.375" bestFit="1" customWidth="1"/>
    <col min="7711" max="7711" width="12.875" bestFit="1" customWidth="1"/>
    <col min="7712" max="7712" width="10.375" bestFit="1" customWidth="1"/>
    <col min="7713" max="7713" width="12.875" bestFit="1" customWidth="1"/>
    <col min="7714" max="7714" width="10.375" bestFit="1" customWidth="1"/>
    <col min="7715" max="7715" width="12.875" bestFit="1" customWidth="1"/>
    <col min="7716" max="7716" width="10.375" bestFit="1" customWidth="1"/>
    <col min="7717" max="7717" width="12.875" bestFit="1" customWidth="1"/>
    <col min="7718" max="7718" width="10.375" bestFit="1" customWidth="1"/>
    <col min="7719" max="7719" width="12.875" bestFit="1" customWidth="1"/>
    <col min="7720" max="7720" width="10.375" bestFit="1" customWidth="1"/>
    <col min="7721" max="7721" width="12.875" bestFit="1" customWidth="1"/>
    <col min="7722" max="7722" width="10.375" bestFit="1" customWidth="1"/>
    <col min="7723" max="7723" width="12.875" bestFit="1" customWidth="1"/>
    <col min="7724" max="7724" width="10.375" bestFit="1" customWidth="1"/>
    <col min="7725" max="7725" width="12.875" bestFit="1" customWidth="1"/>
    <col min="7726" max="7726" width="10.375" bestFit="1" customWidth="1"/>
    <col min="7727" max="7727" width="12.875" bestFit="1" customWidth="1"/>
    <col min="7728" max="7728" width="10.375" bestFit="1" customWidth="1"/>
    <col min="7729" max="7729" width="12.875" bestFit="1" customWidth="1"/>
    <col min="7730" max="7730" width="10.375" bestFit="1" customWidth="1"/>
    <col min="7731" max="7731" width="12.875" bestFit="1" customWidth="1"/>
    <col min="7732" max="7732" width="10.375" bestFit="1" customWidth="1"/>
    <col min="7733" max="7733" width="12.875" bestFit="1" customWidth="1"/>
    <col min="7734" max="7734" width="10.375" bestFit="1" customWidth="1"/>
    <col min="7735" max="7735" width="12.875" bestFit="1" customWidth="1"/>
    <col min="7736" max="7736" width="10.375" bestFit="1" customWidth="1"/>
    <col min="7737" max="7737" width="12.875" bestFit="1" customWidth="1"/>
    <col min="7738" max="7738" width="10.375" bestFit="1" customWidth="1"/>
    <col min="7739" max="7739" width="12.875" bestFit="1" customWidth="1"/>
    <col min="7740" max="7740" width="10.375" bestFit="1" customWidth="1"/>
    <col min="7741" max="7741" width="12.875" bestFit="1" customWidth="1"/>
    <col min="7742" max="7742" width="10.375" bestFit="1" customWidth="1"/>
    <col min="7743" max="7743" width="12.875" bestFit="1" customWidth="1"/>
    <col min="7744" max="7744" width="10.375" bestFit="1" customWidth="1"/>
    <col min="7745" max="7745" width="12.875" bestFit="1" customWidth="1"/>
    <col min="7746" max="7746" width="10.375" bestFit="1" customWidth="1"/>
    <col min="7747" max="7747" width="12.875" bestFit="1" customWidth="1"/>
    <col min="7748" max="7748" width="10.375" bestFit="1" customWidth="1"/>
    <col min="7749" max="7749" width="12.875" bestFit="1" customWidth="1"/>
    <col min="7750" max="7750" width="10.375" bestFit="1" customWidth="1"/>
    <col min="7751" max="7751" width="12.875" bestFit="1" customWidth="1"/>
    <col min="7752" max="7752" width="10.375" bestFit="1" customWidth="1"/>
    <col min="7753" max="7753" width="12.875" bestFit="1" customWidth="1"/>
    <col min="7754" max="7754" width="10.375" bestFit="1" customWidth="1"/>
    <col min="7755" max="7755" width="12.875" bestFit="1" customWidth="1"/>
    <col min="7756" max="7756" width="10.375" bestFit="1" customWidth="1"/>
    <col min="7757" max="7757" width="12.875" bestFit="1" customWidth="1"/>
    <col min="7758" max="7758" width="10.375" bestFit="1" customWidth="1"/>
    <col min="7759" max="7759" width="12.875" bestFit="1" customWidth="1"/>
    <col min="7760" max="7760" width="10.375" bestFit="1" customWidth="1"/>
    <col min="7761" max="7761" width="12.875" bestFit="1" customWidth="1"/>
    <col min="7762" max="7762" width="10.375" bestFit="1" customWidth="1"/>
    <col min="7763" max="7763" width="12.875" bestFit="1" customWidth="1"/>
    <col min="7764" max="7764" width="10.375" bestFit="1" customWidth="1"/>
    <col min="7765" max="7765" width="12.875" bestFit="1" customWidth="1"/>
    <col min="7766" max="7766" width="10.375" bestFit="1" customWidth="1"/>
    <col min="7767" max="7767" width="12.875" bestFit="1" customWidth="1"/>
    <col min="7768" max="7768" width="10.375" bestFit="1" customWidth="1"/>
    <col min="7769" max="7769" width="12.875" bestFit="1" customWidth="1"/>
    <col min="7770" max="7770" width="10.375" bestFit="1" customWidth="1"/>
    <col min="7771" max="7771" width="12.875" bestFit="1" customWidth="1"/>
    <col min="7772" max="7772" width="10.375" bestFit="1" customWidth="1"/>
    <col min="7773" max="7773" width="12.875" bestFit="1" customWidth="1"/>
    <col min="7774" max="7774" width="10.375" bestFit="1" customWidth="1"/>
    <col min="7775" max="7775" width="12.875" bestFit="1" customWidth="1"/>
    <col min="7776" max="7776" width="10.375" bestFit="1" customWidth="1"/>
    <col min="7777" max="7777" width="7" bestFit="1" customWidth="1"/>
    <col min="7778" max="7778" width="12.875" bestFit="1" customWidth="1"/>
    <col min="7779" max="7779" width="10.375" bestFit="1" customWidth="1"/>
    <col min="7780" max="7780" width="12.875" bestFit="1" customWidth="1"/>
    <col min="7781" max="7781" width="10.375" bestFit="1" customWidth="1"/>
    <col min="7782" max="7782" width="12.875" bestFit="1" customWidth="1"/>
    <col min="7783" max="7783" width="10.375" bestFit="1" customWidth="1"/>
    <col min="7784" max="7784" width="12.875" bestFit="1" customWidth="1"/>
    <col min="7785" max="7785" width="10.375" bestFit="1" customWidth="1"/>
    <col min="7786" max="7786" width="12.875" bestFit="1" customWidth="1"/>
    <col min="7787" max="7787" width="10.375" bestFit="1" customWidth="1"/>
    <col min="7788" max="7788" width="12.875" bestFit="1" customWidth="1"/>
    <col min="7789" max="7789" width="10.375" bestFit="1" customWidth="1"/>
    <col min="7790" max="7790" width="12.875" bestFit="1" customWidth="1"/>
    <col min="7791" max="7791" width="10.375" bestFit="1" customWidth="1"/>
    <col min="7792" max="7792" width="12.875" bestFit="1" customWidth="1"/>
    <col min="7793" max="7793" width="10.375" bestFit="1" customWidth="1"/>
    <col min="7794" max="7794" width="12.875" bestFit="1" customWidth="1"/>
    <col min="7795" max="7795" width="10.375" bestFit="1" customWidth="1"/>
    <col min="7796" max="7796" width="12.875" bestFit="1" customWidth="1"/>
    <col min="7797" max="7797" width="10.375" bestFit="1" customWidth="1"/>
    <col min="7798" max="7798" width="12.875" bestFit="1" customWidth="1"/>
    <col min="7799" max="7799" width="10.375" bestFit="1" customWidth="1"/>
    <col min="7800" max="7800" width="12.875" bestFit="1" customWidth="1"/>
    <col min="7801" max="7801" width="10.375" bestFit="1" customWidth="1"/>
    <col min="7802" max="7802" width="12.875" bestFit="1" customWidth="1"/>
    <col min="7803" max="7803" width="10.375" bestFit="1" customWidth="1"/>
    <col min="7804" max="7804" width="12.875" bestFit="1" customWidth="1"/>
    <col min="7805" max="7805" width="10.375" bestFit="1" customWidth="1"/>
    <col min="7806" max="7806" width="12.875" bestFit="1" customWidth="1"/>
    <col min="7807" max="7807" width="10.375" bestFit="1" customWidth="1"/>
    <col min="7808" max="7808" width="12.875" bestFit="1" customWidth="1"/>
    <col min="7809" max="7809" width="10.375" bestFit="1" customWidth="1"/>
    <col min="7810" max="7810" width="12.875" bestFit="1" customWidth="1"/>
    <col min="7811" max="7811" width="10.375" bestFit="1" customWidth="1"/>
    <col min="7812" max="7812" width="12.875" bestFit="1" customWidth="1"/>
    <col min="7813" max="7813" width="10.375" bestFit="1" customWidth="1"/>
    <col min="7814" max="7814" width="12.875" bestFit="1" customWidth="1"/>
    <col min="7815" max="7815" width="10.375" bestFit="1" customWidth="1"/>
    <col min="7816" max="7816" width="12.875" bestFit="1" customWidth="1"/>
    <col min="7817" max="7817" width="10.375" bestFit="1" customWidth="1"/>
    <col min="7818" max="7818" width="12.875" bestFit="1" customWidth="1"/>
    <col min="7819" max="7819" width="10.375" bestFit="1" customWidth="1"/>
    <col min="7820" max="7820" width="12.875" bestFit="1" customWidth="1"/>
    <col min="7821" max="7821" width="10.375" bestFit="1" customWidth="1"/>
    <col min="7822" max="7822" width="12.875" bestFit="1" customWidth="1"/>
    <col min="7823" max="7823" width="10.375" bestFit="1" customWidth="1"/>
    <col min="7824" max="7824" width="12.875" bestFit="1" customWidth="1"/>
    <col min="7825" max="7825" width="10.375" bestFit="1" customWidth="1"/>
    <col min="7826" max="7826" width="12.875" bestFit="1" customWidth="1"/>
    <col min="7827" max="7827" width="10.375" bestFit="1" customWidth="1"/>
    <col min="7828" max="7828" width="12.875" bestFit="1" customWidth="1"/>
    <col min="7829" max="7829" width="10.375" bestFit="1" customWidth="1"/>
    <col min="7830" max="7830" width="12.875" bestFit="1" customWidth="1"/>
    <col min="7831" max="7831" width="10.375" bestFit="1" customWidth="1"/>
    <col min="7832" max="7832" width="12.875" bestFit="1" customWidth="1"/>
    <col min="7833" max="7833" width="10.375" bestFit="1" customWidth="1"/>
    <col min="7834" max="7834" width="12.875" bestFit="1" customWidth="1"/>
    <col min="7835" max="7835" width="10.375" bestFit="1" customWidth="1"/>
    <col min="7836" max="7836" width="12.875" bestFit="1" customWidth="1"/>
    <col min="7837" max="7837" width="10.375" bestFit="1" customWidth="1"/>
    <col min="7838" max="7838" width="12.875" bestFit="1" customWidth="1"/>
    <col min="7839" max="7839" width="10.375" bestFit="1" customWidth="1"/>
    <col min="7840" max="7840" width="12.875" bestFit="1" customWidth="1"/>
    <col min="7841" max="7841" width="10.375" bestFit="1" customWidth="1"/>
    <col min="7842" max="7842" width="12.875" bestFit="1" customWidth="1"/>
    <col min="7843" max="7843" width="10.375" bestFit="1" customWidth="1"/>
    <col min="7844" max="7844" width="12.875" bestFit="1" customWidth="1"/>
    <col min="7845" max="7845" width="10.375" bestFit="1" customWidth="1"/>
    <col min="7846" max="7846" width="12.875" bestFit="1" customWidth="1"/>
    <col min="7847" max="7847" width="10.375" bestFit="1" customWidth="1"/>
    <col min="7848" max="7848" width="12.875" bestFit="1" customWidth="1"/>
    <col min="7849" max="7849" width="10.375" bestFit="1" customWidth="1"/>
    <col min="7850" max="7850" width="12.875" bestFit="1" customWidth="1"/>
    <col min="7851" max="7851" width="10.375" bestFit="1" customWidth="1"/>
    <col min="7852" max="7852" width="12.875" bestFit="1" customWidth="1"/>
    <col min="7853" max="7853" width="10.375" bestFit="1" customWidth="1"/>
    <col min="7854" max="7854" width="12.875" bestFit="1" customWidth="1"/>
    <col min="7855" max="7855" width="10.375" bestFit="1" customWidth="1"/>
    <col min="7856" max="7856" width="12.875" bestFit="1" customWidth="1"/>
    <col min="7857" max="7857" width="10.375" bestFit="1" customWidth="1"/>
    <col min="7858" max="7858" width="12.875" bestFit="1" customWidth="1"/>
    <col min="7859" max="7859" width="10.375" bestFit="1" customWidth="1"/>
    <col min="7860" max="7860" width="12.875" bestFit="1" customWidth="1"/>
    <col min="7861" max="7861" width="10.375" bestFit="1" customWidth="1"/>
    <col min="7862" max="7862" width="12.875" bestFit="1" customWidth="1"/>
    <col min="7863" max="7863" width="10.375" bestFit="1" customWidth="1"/>
    <col min="7864" max="7864" width="12.875" bestFit="1" customWidth="1"/>
    <col min="7865" max="7865" width="10.375" bestFit="1" customWidth="1"/>
    <col min="7866" max="7866" width="12.875" bestFit="1" customWidth="1"/>
    <col min="7867" max="7867" width="10.375" bestFit="1" customWidth="1"/>
    <col min="7868" max="7868" width="12.875" bestFit="1" customWidth="1"/>
    <col min="7869" max="7869" width="10.375" bestFit="1" customWidth="1"/>
    <col min="7870" max="7870" width="12.875" bestFit="1" customWidth="1"/>
    <col min="7871" max="7871" width="10.375" bestFit="1" customWidth="1"/>
    <col min="7872" max="7872" width="7" bestFit="1" customWidth="1"/>
    <col min="7873" max="7873" width="12.875" bestFit="1" customWidth="1"/>
    <col min="7874" max="7874" width="10.375" bestFit="1" customWidth="1"/>
    <col min="7875" max="7875" width="12.875" bestFit="1" customWidth="1"/>
    <col min="7876" max="7876" width="10.375" bestFit="1" customWidth="1"/>
    <col min="7877" max="7877" width="12.875" bestFit="1" customWidth="1"/>
    <col min="7878" max="7878" width="10.375" bestFit="1" customWidth="1"/>
    <col min="7879" max="7879" width="12.875" bestFit="1" customWidth="1"/>
    <col min="7880" max="7880" width="10.375" bestFit="1" customWidth="1"/>
    <col min="7881" max="7881" width="7" bestFit="1" customWidth="1"/>
    <col min="7882" max="7882" width="12.875" bestFit="1" customWidth="1"/>
    <col min="7883" max="7883" width="10.375" bestFit="1" customWidth="1"/>
    <col min="7884" max="7884" width="7" bestFit="1" customWidth="1"/>
    <col min="7885" max="7885" width="12.875" bestFit="1" customWidth="1"/>
    <col min="7886" max="7886" width="10.375" bestFit="1" customWidth="1"/>
    <col min="7887" max="7887" width="12.875" bestFit="1" customWidth="1"/>
    <col min="7888" max="7888" width="10.375" bestFit="1" customWidth="1"/>
    <col min="7889" max="7889" width="12.875" bestFit="1" customWidth="1"/>
    <col min="7890" max="7890" width="10.375" bestFit="1" customWidth="1"/>
    <col min="7891" max="7891" width="12.875" bestFit="1" customWidth="1"/>
    <col min="7892" max="7892" width="10.375" bestFit="1" customWidth="1"/>
    <col min="7893" max="7893" width="12.875" bestFit="1" customWidth="1"/>
    <col min="7894" max="7894" width="10.375" bestFit="1" customWidth="1"/>
    <col min="7895" max="7895" width="12.875" bestFit="1" customWidth="1"/>
    <col min="7896" max="7896" width="10.375" bestFit="1" customWidth="1"/>
    <col min="7897" max="7897" width="12.875" bestFit="1" customWidth="1"/>
    <col min="7898" max="7898" width="10.375" bestFit="1" customWidth="1"/>
    <col min="7899" max="7899" width="12.875" bestFit="1" customWidth="1"/>
    <col min="7900" max="7900" width="10.375" bestFit="1" customWidth="1"/>
    <col min="7901" max="7901" width="12.875" bestFit="1" customWidth="1"/>
    <col min="7902" max="7902" width="10.375" bestFit="1" customWidth="1"/>
    <col min="7903" max="7903" width="12.875" bestFit="1" customWidth="1"/>
    <col min="7904" max="7904" width="10.375" bestFit="1" customWidth="1"/>
    <col min="7905" max="7905" width="12.875" bestFit="1" customWidth="1"/>
    <col min="7906" max="7906" width="10.375" bestFit="1" customWidth="1"/>
    <col min="7907" max="7907" width="12.875" bestFit="1" customWidth="1"/>
    <col min="7908" max="7908" width="10.375" bestFit="1" customWidth="1"/>
    <col min="7909" max="7909" width="12.875" bestFit="1" customWidth="1"/>
    <col min="7910" max="7910" width="10.375" bestFit="1" customWidth="1"/>
    <col min="7911" max="7911" width="12.875" bestFit="1" customWidth="1"/>
    <col min="7912" max="7912" width="10.375" bestFit="1" customWidth="1"/>
    <col min="7913" max="7913" width="12.875" bestFit="1" customWidth="1"/>
    <col min="7914" max="7914" width="10.375" bestFit="1" customWidth="1"/>
    <col min="7915" max="7915" width="12.875" bestFit="1" customWidth="1"/>
    <col min="7916" max="7916" width="10.375" bestFit="1" customWidth="1"/>
    <col min="7917" max="7917" width="12.875" bestFit="1" customWidth="1"/>
    <col min="7918" max="7918" width="10.375" bestFit="1" customWidth="1"/>
    <col min="7919" max="7919" width="12.875" bestFit="1" customWidth="1"/>
    <col min="7920" max="7920" width="10.375" bestFit="1" customWidth="1"/>
    <col min="7921" max="7921" width="12.875" bestFit="1" customWidth="1"/>
    <col min="7922" max="7922" width="10.375" bestFit="1" customWidth="1"/>
    <col min="7923" max="7923" width="12.875" bestFit="1" customWidth="1"/>
    <col min="7924" max="7924" width="10.375" bestFit="1" customWidth="1"/>
    <col min="7925" max="7925" width="12.875" bestFit="1" customWidth="1"/>
    <col min="7926" max="7926" width="10.375" bestFit="1" customWidth="1"/>
    <col min="7927" max="7927" width="12.875" bestFit="1" customWidth="1"/>
    <col min="7928" max="7928" width="10.375" bestFit="1" customWidth="1"/>
    <col min="7929" max="7929" width="12.875" bestFit="1" customWidth="1"/>
    <col min="7930" max="7930" width="10.375" bestFit="1" customWidth="1"/>
    <col min="7931" max="7931" width="12.875" bestFit="1" customWidth="1"/>
    <col min="7932" max="7932" width="10.375" bestFit="1" customWidth="1"/>
    <col min="7933" max="7933" width="12.875" bestFit="1" customWidth="1"/>
    <col min="7934" max="7934" width="10.375" bestFit="1" customWidth="1"/>
    <col min="7935" max="7935" width="12.875" bestFit="1" customWidth="1"/>
    <col min="7936" max="7936" width="10.375" bestFit="1" customWidth="1"/>
    <col min="7937" max="7937" width="12.875" bestFit="1" customWidth="1"/>
    <col min="7938" max="7938" width="10.375" bestFit="1" customWidth="1"/>
    <col min="7939" max="7939" width="12.875" bestFit="1" customWidth="1"/>
    <col min="7940" max="7940" width="10.375" bestFit="1" customWidth="1"/>
    <col min="7941" max="7941" width="12.875" bestFit="1" customWidth="1"/>
    <col min="7942" max="7942" width="10.375" bestFit="1" customWidth="1"/>
    <col min="7943" max="7943" width="12.875" bestFit="1" customWidth="1"/>
    <col min="7944" max="7944" width="10.375" bestFit="1" customWidth="1"/>
    <col min="7945" max="7945" width="12.875" bestFit="1" customWidth="1"/>
    <col min="7946" max="7946" width="10.375" bestFit="1" customWidth="1"/>
    <col min="7947" max="7947" width="12.875" bestFit="1" customWidth="1"/>
    <col min="7948" max="7948" width="10.375" bestFit="1" customWidth="1"/>
    <col min="7949" max="7949" width="12.875" bestFit="1" customWidth="1"/>
    <col min="7950" max="7950" width="10.375" bestFit="1" customWidth="1"/>
    <col min="7951" max="7951" width="12.875" bestFit="1" customWidth="1"/>
    <col min="7952" max="7952" width="10.375" bestFit="1" customWidth="1"/>
    <col min="7953" max="7953" width="12.875" bestFit="1" customWidth="1"/>
    <col min="7954" max="7954" width="10.375" bestFit="1" customWidth="1"/>
    <col min="7955" max="7955" width="12.875" bestFit="1" customWidth="1"/>
    <col min="7956" max="7956" width="10.375" bestFit="1" customWidth="1"/>
    <col min="7957" max="7957" width="12.875" bestFit="1" customWidth="1"/>
    <col min="7958" max="7958" width="10.375" bestFit="1" customWidth="1"/>
    <col min="7959" max="7959" width="12.875" bestFit="1" customWidth="1"/>
    <col min="7960" max="7960" width="10.375" bestFit="1" customWidth="1"/>
    <col min="7961" max="7961" width="12.875" bestFit="1" customWidth="1"/>
    <col min="7962" max="7962" width="10.375" bestFit="1" customWidth="1"/>
    <col min="7963" max="7963" width="12.875" bestFit="1" customWidth="1"/>
    <col min="7964" max="7964" width="10.375" bestFit="1" customWidth="1"/>
    <col min="7965" max="7965" width="12.875" bestFit="1" customWidth="1"/>
    <col min="7966" max="7966" width="10.375" bestFit="1" customWidth="1"/>
    <col min="7967" max="7967" width="12.875" bestFit="1" customWidth="1"/>
    <col min="7968" max="7968" width="10.375" bestFit="1" customWidth="1"/>
    <col min="7969" max="7969" width="12.875" bestFit="1" customWidth="1"/>
    <col min="7970" max="7970" width="10.375" bestFit="1" customWidth="1"/>
    <col min="7971" max="7971" width="12.875" bestFit="1" customWidth="1"/>
    <col min="7972" max="7972" width="10.375" bestFit="1" customWidth="1"/>
    <col min="7973" max="7973" width="12.875" bestFit="1" customWidth="1"/>
    <col min="7974" max="7974" width="10.375" bestFit="1" customWidth="1"/>
    <col min="7975" max="7975" width="12.875" bestFit="1" customWidth="1"/>
    <col min="7976" max="7976" width="10.375" bestFit="1" customWidth="1"/>
    <col min="7977" max="7977" width="12.875" bestFit="1" customWidth="1"/>
    <col min="7978" max="7978" width="10.375" bestFit="1" customWidth="1"/>
    <col min="7979" max="7979" width="12.875" bestFit="1" customWidth="1"/>
    <col min="7980" max="7980" width="10.375" bestFit="1" customWidth="1"/>
    <col min="7981" max="7981" width="12.875" bestFit="1" customWidth="1"/>
    <col min="7982" max="7982" width="10.375" bestFit="1" customWidth="1"/>
    <col min="7983" max="7983" width="12.875" bestFit="1" customWidth="1"/>
    <col min="7984" max="7984" width="10.375" bestFit="1" customWidth="1"/>
    <col min="7985" max="7985" width="12.875" bestFit="1" customWidth="1"/>
    <col min="7986" max="7986" width="10.375" bestFit="1" customWidth="1"/>
    <col min="7987" max="7987" width="12.875" bestFit="1" customWidth="1"/>
    <col min="7988" max="7988" width="10.375" bestFit="1" customWidth="1"/>
    <col min="7989" max="7989" width="12.875" bestFit="1" customWidth="1"/>
    <col min="7990" max="7990" width="10.375" bestFit="1" customWidth="1"/>
    <col min="7991" max="7991" width="7" bestFit="1" customWidth="1"/>
    <col min="7992" max="7992" width="12.875" bestFit="1" customWidth="1"/>
    <col min="7993" max="7993" width="10.375" bestFit="1" customWidth="1"/>
    <col min="7994" max="7994" width="12.875" bestFit="1" customWidth="1"/>
    <col min="7995" max="7995" width="10.375" bestFit="1" customWidth="1"/>
    <col min="7996" max="7996" width="12.875" bestFit="1" customWidth="1"/>
    <col min="7997" max="7997" width="10.375" bestFit="1" customWidth="1"/>
    <col min="7998" max="7998" width="12.875" bestFit="1" customWidth="1"/>
    <col min="7999" max="7999" width="10.375" bestFit="1" customWidth="1"/>
    <col min="8000" max="8000" width="12.875" bestFit="1" customWidth="1"/>
    <col min="8001" max="8001" width="10.375" bestFit="1" customWidth="1"/>
    <col min="8002" max="8002" width="12.875" bestFit="1" customWidth="1"/>
    <col min="8003" max="8003" width="10.375" bestFit="1" customWidth="1"/>
    <col min="8004" max="8004" width="12.875" bestFit="1" customWidth="1"/>
    <col min="8005" max="8005" width="10.375" bestFit="1" customWidth="1"/>
    <col min="8006" max="8006" width="12.875" bestFit="1" customWidth="1"/>
    <col min="8007" max="8007" width="10.375" bestFit="1" customWidth="1"/>
    <col min="8008" max="8008" width="7" bestFit="1" customWidth="1"/>
    <col min="8009" max="8009" width="12.875" bestFit="1" customWidth="1"/>
    <col min="8010" max="8010" width="10.375" bestFit="1" customWidth="1"/>
    <col min="8011" max="8011" width="12.875" bestFit="1" customWidth="1"/>
    <col min="8012" max="8012" width="10.375" bestFit="1" customWidth="1"/>
    <col min="8013" max="8013" width="12.875" bestFit="1" customWidth="1"/>
    <col min="8014" max="8014" width="10.375" bestFit="1" customWidth="1"/>
    <col min="8015" max="8015" width="12.875" bestFit="1" customWidth="1"/>
    <col min="8016" max="8016" width="10.375" bestFit="1" customWidth="1"/>
    <col min="8017" max="8017" width="12.875" bestFit="1" customWidth="1"/>
    <col min="8018" max="8018" width="10.375" bestFit="1" customWidth="1"/>
    <col min="8019" max="8019" width="12.875" bestFit="1" customWidth="1"/>
    <col min="8020" max="8020" width="10.375" bestFit="1" customWidth="1"/>
    <col min="8021" max="8021" width="12.875" bestFit="1" customWidth="1"/>
    <col min="8022" max="8022" width="10.375" bestFit="1" customWidth="1"/>
    <col min="8023" max="8023" width="12.875" bestFit="1" customWidth="1"/>
    <col min="8024" max="8024" width="10.375" bestFit="1" customWidth="1"/>
    <col min="8025" max="8025" width="12.875" bestFit="1" customWidth="1"/>
    <col min="8026" max="8026" width="10.375" bestFit="1" customWidth="1"/>
    <col min="8027" max="8027" width="12.875" bestFit="1" customWidth="1"/>
    <col min="8028" max="8028" width="10.375" bestFit="1" customWidth="1"/>
    <col min="8029" max="8029" width="12.875" bestFit="1" customWidth="1"/>
    <col min="8030" max="8030" width="10.375" bestFit="1" customWidth="1"/>
    <col min="8031" max="8031" width="12.875" bestFit="1" customWidth="1"/>
    <col min="8032" max="8032" width="10.375" bestFit="1" customWidth="1"/>
    <col min="8033" max="8033" width="12.875" bestFit="1" customWidth="1"/>
    <col min="8034" max="8034" width="10.375" bestFit="1" customWidth="1"/>
    <col min="8035" max="8035" width="12.875" bestFit="1" customWidth="1"/>
    <col min="8036" max="8036" width="10.375" bestFit="1" customWidth="1"/>
    <col min="8037" max="8037" width="12.875" bestFit="1" customWidth="1"/>
    <col min="8038" max="8038" width="10.375" bestFit="1" customWidth="1"/>
    <col min="8039" max="8039" width="12.875" bestFit="1" customWidth="1"/>
    <col min="8040" max="8040" width="10.375" bestFit="1" customWidth="1"/>
    <col min="8041" max="8041" width="12.875" bestFit="1" customWidth="1"/>
    <col min="8042" max="8042" width="10.375" bestFit="1" customWidth="1"/>
    <col min="8043" max="8043" width="12.875" bestFit="1" customWidth="1"/>
    <col min="8044" max="8044" width="10.375" bestFit="1" customWidth="1"/>
    <col min="8045" max="8045" width="12.875" bestFit="1" customWidth="1"/>
    <col min="8046" max="8046" width="10.375" bestFit="1" customWidth="1"/>
    <col min="8047" max="8047" width="12.875" bestFit="1" customWidth="1"/>
    <col min="8048" max="8048" width="10.375" bestFit="1" customWidth="1"/>
    <col min="8049" max="8049" width="12.875" bestFit="1" customWidth="1"/>
    <col min="8050" max="8050" width="10.375" bestFit="1" customWidth="1"/>
    <col min="8051" max="8051" width="12.875" bestFit="1" customWidth="1"/>
    <col min="8052" max="8052" width="10.375" bestFit="1" customWidth="1"/>
    <col min="8053" max="8053" width="12.875" bestFit="1" customWidth="1"/>
    <col min="8054" max="8054" width="10.375" bestFit="1" customWidth="1"/>
    <col min="8055" max="8055" width="7" bestFit="1" customWidth="1"/>
    <col min="8056" max="8056" width="12.875" bestFit="1" customWidth="1"/>
    <col min="8057" max="8057" width="10.375" bestFit="1" customWidth="1"/>
    <col min="8058" max="8058" width="12.875" bestFit="1" customWidth="1"/>
    <col min="8059" max="8059" width="10.375" bestFit="1" customWidth="1"/>
    <col min="8060" max="8060" width="12.875" bestFit="1" customWidth="1"/>
    <col min="8061" max="8061" width="10.375" bestFit="1" customWidth="1"/>
    <col min="8062" max="8062" width="12.875" bestFit="1" customWidth="1"/>
    <col min="8063" max="8063" width="10.375" bestFit="1" customWidth="1"/>
    <col min="8064" max="8064" width="12.875" bestFit="1" customWidth="1"/>
    <col min="8065" max="8065" width="10.375" bestFit="1" customWidth="1"/>
    <col min="8066" max="8066" width="12.875" bestFit="1" customWidth="1"/>
    <col min="8067" max="8067" width="10.375" bestFit="1" customWidth="1"/>
    <col min="8068" max="8068" width="12.875" bestFit="1" customWidth="1"/>
    <col min="8069" max="8069" width="10.375" bestFit="1" customWidth="1"/>
    <col min="8070" max="8070" width="12.875" bestFit="1" customWidth="1"/>
    <col min="8071" max="8071" width="10.375" bestFit="1" customWidth="1"/>
    <col min="8072" max="8072" width="12.875" bestFit="1" customWidth="1"/>
    <col min="8073" max="8073" width="10.375" bestFit="1" customWidth="1"/>
    <col min="8074" max="8074" width="12.875" bestFit="1" customWidth="1"/>
    <col min="8075" max="8075" width="10.375" bestFit="1" customWidth="1"/>
    <col min="8076" max="8076" width="12.875" bestFit="1" customWidth="1"/>
    <col min="8077" max="8077" width="10.375" bestFit="1" customWidth="1"/>
    <col min="8078" max="8078" width="12.875" bestFit="1" customWidth="1"/>
    <col min="8079" max="8079" width="10.375" bestFit="1" customWidth="1"/>
    <col min="8080" max="8080" width="12.875" bestFit="1" customWidth="1"/>
    <col min="8081" max="8081" width="10.375" bestFit="1" customWidth="1"/>
    <col min="8082" max="8082" width="12.875" bestFit="1" customWidth="1"/>
    <col min="8083" max="8083" width="10.375" bestFit="1" customWidth="1"/>
    <col min="8084" max="8084" width="12.875" bestFit="1" customWidth="1"/>
    <col min="8085" max="8085" width="10.375" bestFit="1" customWidth="1"/>
    <col min="8086" max="8086" width="12.875" bestFit="1" customWidth="1"/>
    <col min="8087" max="8087" width="10.375" bestFit="1" customWidth="1"/>
    <col min="8088" max="8088" width="12.875" bestFit="1" customWidth="1"/>
    <col min="8089" max="8089" width="10.375" bestFit="1" customWidth="1"/>
    <col min="8090" max="8090" width="12.875" bestFit="1" customWidth="1"/>
    <col min="8091" max="8091" width="10.375" bestFit="1" customWidth="1"/>
    <col min="8092" max="8092" width="12.875" bestFit="1" customWidth="1"/>
    <col min="8093" max="8093" width="10.375" bestFit="1" customWidth="1"/>
    <col min="8094" max="8094" width="12.875" bestFit="1" customWidth="1"/>
    <col min="8095" max="8095" width="10.375" bestFit="1" customWidth="1"/>
    <col min="8096" max="8096" width="12.875" bestFit="1" customWidth="1"/>
    <col min="8097" max="8097" width="10.375" bestFit="1" customWidth="1"/>
    <col min="8098" max="8098" width="12.875" bestFit="1" customWidth="1"/>
    <col min="8099" max="8099" width="10.375" bestFit="1" customWidth="1"/>
    <col min="8100" max="8100" width="12.875" bestFit="1" customWidth="1"/>
    <col min="8101" max="8101" width="10.375" bestFit="1" customWidth="1"/>
    <col min="8102" max="8102" width="12.875" bestFit="1" customWidth="1"/>
    <col min="8103" max="8103" width="10.375" bestFit="1" customWidth="1"/>
    <col min="8104" max="8104" width="12.875" bestFit="1" customWidth="1"/>
    <col min="8105" max="8105" width="10.375" bestFit="1" customWidth="1"/>
    <col min="8106" max="8106" width="12.875" bestFit="1" customWidth="1"/>
    <col min="8107" max="8107" width="10.375" bestFit="1" customWidth="1"/>
    <col min="8108" max="8108" width="12.875" bestFit="1" customWidth="1"/>
    <col min="8109" max="8109" width="10.375" bestFit="1" customWidth="1"/>
    <col min="8110" max="8110" width="12.875" bestFit="1" customWidth="1"/>
    <col min="8111" max="8111" width="10.375" bestFit="1" customWidth="1"/>
    <col min="8112" max="8112" width="12.875" bestFit="1" customWidth="1"/>
    <col min="8113" max="8113" width="10.375" bestFit="1" customWidth="1"/>
    <col min="8114" max="8114" width="12.875" bestFit="1" customWidth="1"/>
    <col min="8115" max="8115" width="10.375" bestFit="1" customWidth="1"/>
    <col min="8116" max="8116" width="12.875" bestFit="1" customWidth="1"/>
    <col min="8117" max="8117" width="10.375" bestFit="1" customWidth="1"/>
    <col min="8118" max="8118" width="12.875" bestFit="1" customWidth="1"/>
    <col min="8119" max="8119" width="10.375" bestFit="1" customWidth="1"/>
    <col min="8120" max="8120" width="12.875" bestFit="1" customWidth="1"/>
    <col min="8121" max="8121" width="10.375" bestFit="1" customWidth="1"/>
    <col min="8122" max="8122" width="12.875" bestFit="1" customWidth="1"/>
    <col min="8123" max="8123" width="10.375" bestFit="1" customWidth="1"/>
    <col min="8124" max="8124" width="12.875" bestFit="1" customWidth="1"/>
    <col min="8125" max="8125" width="10.375" bestFit="1" customWidth="1"/>
    <col min="8126" max="8126" width="12.875" bestFit="1" customWidth="1"/>
    <col min="8127" max="8127" width="10.375" bestFit="1" customWidth="1"/>
    <col min="8128" max="8128" width="12.875" bestFit="1" customWidth="1"/>
    <col min="8129" max="8129" width="10.375" bestFit="1" customWidth="1"/>
    <col min="8130" max="8130" width="12.875" bestFit="1" customWidth="1"/>
    <col min="8131" max="8131" width="10.375" bestFit="1" customWidth="1"/>
    <col min="8132" max="8132" width="12.875" bestFit="1" customWidth="1"/>
    <col min="8133" max="8133" width="10.375" bestFit="1" customWidth="1"/>
    <col min="8134" max="8134" width="12.875" bestFit="1" customWidth="1"/>
    <col min="8135" max="8135" width="10.375" bestFit="1" customWidth="1"/>
    <col min="8136" max="8136" width="12.875" bestFit="1" customWidth="1"/>
    <col min="8137" max="8137" width="10.375" bestFit="1" customWidth="1"/>
    <col min="8138" max="8138" width="12.875" bestFit="1" customWidth="1"/>
    <col min="8139" max="8139" width="10.375" bestFit="1" customWidth="1"/>
    <col min="8140" max="8140" width="12.875" bestFit="1" customWidth="1"/>
    <col min="8141" max="8141" width="10.375" bestFit="1" customWidth="1"/>
    <col min="8142" max="8142" width="12.875" bestFit="1" customWidth="1"/>
    <col min="8143" max="8143" width="10.375" bestFit="1" customWidth="1"/>
    <col min="8144" max="8144" width="12.875" bestFit="1" customWidth="1"/>
    <col min="8145" max="8145" width="10.375" bestFit="1" customWidth="1"/>
    <col min="8146" max="8146" width="12.875" bestFit="1" customWidth="1"/>
    <col min="8147" max="8147" width="10.375" bestFit="1" customWidth="1"/>
    <col min="8148" max="8148" width="12.875" bestFit="1" customWidth="1"/>
    <col min="8149" max="8149" width="10.375" bestFit="1" customWidth="1"/>
    <col min="8150" max="8150" width="12.875" bestFit="1" customWidth="1"/>
    <col min="8151" max="8151" width="10.375" bestFit="1" customWidth="1"/>
    <col min="8152" max="8152" width="12.875" bestFit="1" customWidth="1"/>
    <col min="8153" max="8153" width="10.375" bestFit="1" customWidth="1"/>
    <col min="8154" max="8154" width="12.875" bestFit="1" customWidth="1"/>
    <col min="8155" max="8155" width="10.375" bestFit="1" customWidth="1"/>
    <col min="8156" max="8156" width="12.875" bestFit="1" customWidth="1"/>
    <col min="8157" max="8157" width="10.375" bestFit="1" customWidth="1"/>
    <col min="8158" max="8158" width="12.875" bestFit="1" customWidth="1"/>
    <col min="8159" max="8159" width="10.375" bestFit="1" customWidth="1"/>
    <col min="8160" max="8160" width="12.875" bestFit="1" customWidth="1"/>
    <col min="8161" max="8161" width="10.375" bestFit="1" customWidth="1"/>
    <col min="8162" max="8162" width="12.875" bestFit="1" customWidth="1"/>
    <col min="8163" max="8163" width="10.375" bestFit="1" customWidth="1"/>
    <col min="8164" max="8164" width="12.875" bestFit="1" customWidth="1"/>
    <col min="8165" max="8165" width="10.375" bestFit="1" customWidth="1"/>
    <col min="8166" max="8166" width="12.875" bestFit="1" customWidth="1"/>
    <col min="8167" max="8167" width="10.375" bestFit="1" customWidth="1"/>
    <col min="8168" max="8168" width="12.875" bestFit="1" customWidth="1"/>
    <col min="8169" max="8169" width="10.375" bestFit="1" customWidth="1"/>
    <col min="8170" max="8170" width="12.875" bestFit="1" customWidth="1"/>
    <col min="8171" max="8171" width="10.375" bestFit="1" customWidth="1"/>
    <col min="8172" max="8172" width="12.875" bestFit="1" customWidth="1"/>
    <col min="8173" max="8173" width="10.375" bestFit="1" customWidth="1"/>
    <col min="8174" max="8174" width="12.875" bestFit="1" customWidth="1"/>
    <col min="8175" max="8175" width="10.375" bestFit="1" customWidth="1"/>
    <col min="8176" max="8176" width="12.875" bestFit="1" customWidth="1"/>
    <col min="8177" max="8177" width="10.375" bestFit="1" customWidth="1"/>
    <col min="8178" max="8178" width="12.875" bestFit="1" customWidth="1"/>
    <col min="8179" max="8179" width="10.375" bestFit="1" customWidth="1"/>
    <col min="8180" max="8180" width="12.875" bestFit="1" customWidth="1"/>
    <col min="8181" max="8181" width="10.375" bestFit="1" customWidth="1"/>
    <col min="8182" max="8182" width="12.875" bestFit="1" customWidth="1"/>
    <col min="8183" max="8183" width="10.375" bestFit="1" customWidth="1"/>
    <col min="8184" max="8184" width="12.875" bestFit="1" customWidth="1"/>
    <col min="8185" max="8185" width="10.375" bestFit="1" customWidth="1"/>
    <col min="8186" max="8186" width="7" bestFit="1" customWidth="1"/>
    <col min="8187" max="8187" width="12.875" bestFit="1" customWidth="1"/>
    <col min="8188" max="8188" width="10.375" bestFit="1" customWidth="1"/>
    <col min="8189" max="8189" width="12.875" bestFit="1" customWidth="1"/>
    <col min="8190" max="8190" width="10.375" bestFit="1" customWidth="1"/>
    <col min="8191" max="8191" width="12.875" bestFit="1" customWidth="1"/>
    <col min="8192" max="8192" width="10.375" bestFit="1" customWidth="1"/>
    <col min="8193" max="8193" width="12.875" bestFit="1" customWidth="1"/>
    <col min="8194" max="8194" width="10.375" bestFit="1" customWidth="1"/>
    <col min="8195" max="8195" width="12.875" bestFit="1" customWidth="1"/>
    <col min="8196" max="8196" width="10.375" bestFit="1" customWidth="1"/>
    <col min="8197" max="8197" width="12.875" bestFit="1" customWidth="1"/>
    <col min="8198" max="8198" width="10.375" bestFit="1" customWidth="1"/>
    <col min="8199" max="8199" width="12.875" bestFit="1" customWidth="1"/>
    <col min="8200" max="8200" width="10.375" bestFit="1" customWidth="1"/>
    <col min="8201" max="8201" width="12.875" bestFit="1" customWidth="1"/>
    <col min="8202" max="8202" width="10.375" bestFit="1" customWidth="1"/>
    <col min="8203" max="8203" width="12.875" bestFit="1" customWidth="1"/>
    <col min="8204" max="8204" width="10.375" bestFit="1" customWidth="1"/>
    <col min="8205" max="8205" width="12.875" bestFit="1" customWidth="1"/>
    <col min="8206" max="8206" width="10.375" bestFit="1" customWidth="1"/>
    <col min="8207" max="8207" width="12.875" bestFit="1" customWidth="1"/>
    <col min="8208" max="8208" width="10.375" bestFit="1" customWidth="1"/>
    <col min="8209" max="8209" width="12.875" bestFit="1" customWidth="1"/>
    <col min="8210" max="8210" width="10.375" bestFit="1" customWidth="1"/>
    <col min="8211" max="8211" width="12.875" bestFit="1" customWidth="1"/>
    <col min="8212" max="8212" width="10.375" bestFit="1" customWidth="1"/>
    <col min="8213" max="8213" width="12.875" bestFit="1" customWidth="1"/>
    <col min="8214" max="8214" width="10.375" bestFit="1" customWidth="1"/>
    <col min="8215" max="8215" width="12.875" bestFit="1" customWidth="1"/>
    <col min="8216" max="8216" width="10.375" bestFit="1" customWidth="1"/>
    <col min="8217" max="8217" width="12.875" bestFit="1" customWidth="1"/>
    <col min="8218" max="8218" width="10.375" bestFit="1" customWidth="1"/>
    <col min="8219" max="8219" width="12.875" bestFit="1" customWidth="1"/>
    <col min="8220" max="8220" width="10.375" bestFit="1" customWidth="1"/>
    <col min="8221" max="8221" width="12.875" bestFit="1" customWidth="1"/>
    <col min="8222" max="8222" width="10.375" bestFit="1" customWidth="1"/>
    <col min="8223" max="8223" width="12.875" bestFit="1" customWidth="1"/>
    <col min="8224" max="8224" width="10.375" bestFit="1" customWidth="1"/>
    <col min="8225" max="8225" width="12.875" bestFit="1" customWidth="1"/>
    <col min="8226" max="8226" width="10.375" bestFit="1" customWidth="1"/>
    <col min="8227" max="8227" width="12.875" bestFit="1" customWidth="1"/>
    <col min="8228" max="8228" width="10.375" bestFit="1" customWidth="1"/>
    <col min="8229" max="8229" width="12.875" bestFit="1" customWidth="1"/>
    <col min="8230" max="8230" width="10.375" bestFit="1" customWidth="1"/>
    <col min="8231" max="8231" width="12.875" bestFit="1" customWidth="1"/>
    <col min="8232" max="8232" width="10.375" bestFit="1" customWidth="1"/>
    <col min="8233" max="8233" width="12.875" bestFit="1" customWidth="1"/>
    <col min="8234" max="8234" width="10.375" bestFit="1" customWidth="1"/>
    <col min="8235" max="8235" width="12.875" bestFit="1" customWidth="1"/>
    <col min="8236" max="8236" width="10.375" bestFit="1" customWidth="1"/>
    <col min="8237" max="8237" width="12.875" bestFit="1" customWidth="1"/>
    <col min="8238" max="8238" width="10.375" bestFit="1" customWidth="1"/>
    <col min="8239" max="8239" width="12.875" bestFit="1" customWidth="1"/>
    <col min="8240" max="8240" width="10.375" bestFit="1" customWidth="1"/>
    <col min="8241" max="8241" width="12.875" bestFit="1" customWidth="1"/>
    <col min="8242" max="8242" width="10.375" bestFit="1" customWidth="1"/>
    <col min="8243" max="8243" width="12.875" bestFit="1" customWidth="1"/>
    <col min="8244" max="8244" width="10.375" bestFit="1" customWidth="1"/>
    <col min="8245" max="8245" width="12.875" bestFit="1" customWidth="1"/>
    <col min="8246" max="8246" width="10.375" bestFit="1" customWidth="1"/>
    <col min="8247" max="8247" width="12.875" bestFit="1" customWidth="1"/>
    <col min="8248" max="8248" width="10.375" bestFit="1" customWidth="1"/>
    <col min="8249" max="8249" width="12.875" bestFit="1" customWidth="1"/>
    <col min="8250" max="8250" width="10.375" bestFit="1" customWidth="1"/>
    <col min="8251" max="8251" width="12.875" bestFit="1" customWidth="1"/>
    <col min="8252" max="8252" width="10.375" bestFit="1" customWidth="1"/>
    <col min="8253" max="8253" width="12.875" bestFit="1" customWidth="1"/>
    <col min="8254" max="8254" width="10.375" bestFit="1" customWidth="1"/>
    <col min="8255" max="8255" width="7" bestFit="1" customWidth="1"/>
    <col min="8256" max="8256" width="12.875" bestFit="1" customWidth="1"/>
    <col min="8257" max="8257" width="10.375" bestFit="1" customWidth="1"/>
    <col min="8258" max="8258" width="12.875" bestFit="1" customWidth="1"/>
    <col min="8259" max="8259" width="10.375" bestFit="1" customWidth="1"/>
    <col min="8260" max="8260" width="12.875" bestFit="1" customWidth="1"/>
    <col min="8261" max="8261" width="10.375" bestFit="1" customWidth="1"/>
    <col min="8262" max="8262" width="12.875" bestFit="1" customWidth="1"/>
    <col min="8263" max="8263" width="10.375" bestFit="1" customWidth="1"/>
    <col min="8264" max="8264" width="12.875" bestFit="1" customWidth="1"/>
    <col min="8265" max="8265" width="10.375" bestFit="1" customWidth="1"/>
    <col min="8266" max="8266" width="12.875" bestFit="1" customWidth="1"/>
    <col min="8267" max="8267" width="10.375" bestFit="1" customWidth="1"/>
    <col min="8268" max="8268" width="12.875" bestFit="1" customWidth="1"/>
    <col min="8269" max="8269" width="10.375" bestFit="1" customWidth="1"/>
    <col min="8270" max="8270" width="12.875" bestFit="1" customWidth="1"/>
    <col min="8271" max="8271" width="10.375" bestFit="1" customWidth="1"/>
    <col min="8272" max="8272" width="12.875" bestFit="1" customWidth="1"/>
    <col min="8273" max="8273" width="10.375" bestFit="1" customWidth="1"/>
    <col min="8274" max="8274" width="12.875" bestFit="1" customWidth="1"/>
    <col min="8275" max="8275" width="10.375" bestFit="1" customWidth="1"/>
    <col min="8276" max="8276" width="12.875" bestFit="1" customWidth="1"/>
    <col min="8277" max="8277" width="10.375" bestFit="1" customWidth="1"/>
    <col min="8278" max="8278" width="12.875" bestFit="1" customWidth="1"/>
    <col min="8279" max="8279" width="10.375" bestFit="1" customWidth="1"/>
    <col min="8280" max="8280" width="12.875" bestFit="1" customWidth="1"/>
    <col min="8281" max="8281" width="10.375" bestFit="1" customWidth="1"/>
    <col min="8282" max="8282" width="12.875" bestFit="1" customWidth="1"/>
    <col min="8283" max="8283" width="10.375" bestFit="1" customWidth="1"/>
    <col min="8284" max="8284" width="12.875" bestFit="1" customWidth="1"/>
    <col min="8285" max="8285" width="10.375" bestFit="1" customWidth="1"/>
    <col min="8286" max="8286" width="12.875" bestFit="1" customWidth="1"/>
    <col min="8287" max="8287" width="10.375" bestFit="1" customWidth="1"/>
    <col min="8288" max="8288" width="12.875" bestFit="1" customWidth="1"/>
    <col min="8289" max="8289" width="10.375" bestFit="1" customWidth="1"/>
    <col min="8290" max="8290" width="12.875" bestFit="1" customWidth="1"/>
    <col min="8291" max="8291" width="10.375" bestFit="1" customWidth="1"/>
    <col min="8292" max="8292" width="12.875" bestFit="1" customWidth="1"/>
    <col min="8293" max="8293" width="10.375" bestFit="1" customWidth="1"/>
    <col min="8294" max="8294" width="12.875" bestFit="1" customWidth="1"/>
    <col min="8295" max="8295" width="10.375" bestFit="1" customWidth="1"/>
    <col min="8296" max="8296" width="12.875" bestFit="1" customWidth="1"/>
    <col min="8297" max="8297" width="10.375" bestFit="1" customWidth="1"/>
    <col min="8298" max="8298" width="12.875" bestFit="1" customWidth="1"/>
    <col min="8299" max="8299" width="10.375" bestFit="1" customWidth="1"/>
    <col min="8300" max="8300" width="12.875" bestFit="1" customWidth="1"/>
    <col min="8301" max="8301" width="10.375" bestFit="1" customWidth="1"/>
    <col min="8302" max="8302" width="12.875" bestFit="1" customWidth="1"/>
    <col min="8303" max="8303" width="10.375" bestFit="1" customWidth="1"/>
    <col min="8304" max="8304" width="12.875" bestFit="1" customWidth="1"/>
    <col min="8305" max="8305" width="10.375" bestFit="1" customWidth="1"/>
    <col min="8306" max="8306" width="12.875" bestFit="1" customWidth="1"/>
    <col min="8307" max="8307" width="10.375" bestFit="1" customWidth="1"/>
    <col min="8308" max="8308" width="12.875" bestFit="1" customWidth="1"/>
    <col min="8309" max="8309" width="10.375" bestFit="1" customWidth="1"/>
    <col min="8310" max="8310" width="12.875" bestFit="1" customWidth="1"/>
    <col min="8311" max="8311" width="10.375" bestFit="1" customWidth="1"/>
    <col min="8312" max="8312" width="12.875" bestFit="1" customWidth="1"/>
    <col min="8313" max="8313" width="10.375" bestFit="1" customWidth="1"/>
    <col min="8314" max="8314" width="12.875" bestFit="1" customWidth="1"/>
    <col min="8315" max="8315" width="10.375" bestFit="1" customWidth="1"/>
    <col min="8316" max="8316" width="12.875" bestFit="1" customWidth="1"/>
    <col min="8317" max="8317" width="10.375" bestFit="1" customWidth="1"/>
    <col min="8318" max="8318" width="12.875" bestFit="1" customWidth="1"/>
    <col min="8319" max="8319" width="10.375" bestFit="1" customWidth="1"/>
    <col min="8320" max="8320" width="12.875" bestFit="1" customWidth="1"/>
    <col min="8321" max="8321" width="10.375" bestFit="1" customWidth="1"/>
    <col min="8322" max="8322" width="12.875" bestFit="1" customWidth="1"/>
    <col min="8323" max="8323" width="10.375" bestFit="1" customWidth="1"/>
    <col min="8324" max="8324" width="12.875" bestFit="1" customWidth="1"/>
    <col min="8325" max="8325" width="10.375" bestFit="1" customWidth="1"/>
    <col min="8326" max="8326" width="12.875" bestFit="1" customWidth="1"/>
    <col min="8327" max="8327" width="10.375" bestFit="1" customWidth="1"/>
    <col min="8328" max="8328" width="7" bestFit="1" customWidth="1"/>
    <col min="8329" max="8329" width="12.875" bestFit="1" customWidth="1"/>
    <col min="8330" max="8330" width="10.375" bestFit="1" customWidth="1"/>
    <col min="8331" max="8331" width="12.875" bestFit="1" customWidth="1"/>
    <col min="8332" max="8332" width="10.375" bestFit="1" customWidth="1"/>
    <col min="8333" max="8333" width="12.875" bestFit="1" customWidth="1"/>
    <col min="8334" max="8334" width="10.375" bestFit="1" customWidth="1"/>
    <col min="8335" max="8335" width="12.875" bestFit="1" customWidth="1"/>
    <col min="8336" max="8336" width="10.375" bestFit="1" customWidth="1"/>
    <col min="8337" max="8337" width="12.875" bestFit="1" customWidth="1"/>
    <col min="8338" max="8338" width="10.375" bestFit="1" customWidth="1"/>
    <col min="8339" max="8339" width="12.875" bestFit="1" customWidth="1"/>
    <col min="8340" max="8340" width="10.375" bestFit="1" customWidth="1"/>
    <col min="8341" max="8341" width="12.875" bestFit="1" customWidth="1"/>
    <col min="8342" max="8342" width="10.375" bestFit="1" customWidth="1"/>
    <col min="8343" max="8343" width="12.875" bestFit="1" customWidth="1"/>
    <col min="8344" max="8344" width="10.375" bestFit="1" customWidth="1"/>
    <col min="8345" max="8345" width="12.875" bestFit="1" customWidth="1"/>
    <col min="8346" max="8346" width="10.375" bestFit="1" customWidth="1"/>
    <col min="8347" max="8347" width="12.875" bestFit="1" customWidth="1"/>
    <col min="8348" max="8348" width="10.375" bestFit="1" customWidth="1"/>
    <col min="8349" max="8349" width="12.875" bestFit="1" customWidth="1"/>
    <col min="8350" max="8350" width="10.375" bestFit="1" customWidth="1"/>
    <col min="8351" max="8351" width="12.875" bestFit="1" customWidth="1"/>
    <col min="8352" max="8352" width="10.375" bestFit="1" customWidth="1"/>
    <col min="8353" max="8353" width="12.875" bestFit="1" customWidth="1"/>
    <col min="8354" max="8354" width="10.375" bestFit="1" customWidth="1"/>
    <col min="8355" max="8355" width="12.875" bestFit="1" customWidth="1"/>
    <col min="8356" max="8356" width="10.375" bestFit="1" customWidth="1"/>
    <col min="8357" max="8357" width="12.875" bestFit="1" customWidth="1"/>
    <col min="8358" max="8358" width="10.375" bestFit="1" customWidth="1"/>
    <col min="8359" max="8359" width="12.875" bestFit="1" customWidth="1"/>
    <col min="8360" max="8360" width="10.375" bestFit="1" customWidth="1"/>
    <col min="8361" max="8361" width="12.875" bestFit="1" customWidth="1"/>
    <col min="8362" max="8362" width="10.375" bestFit="1" customWidth="1"/>
    <col min="8363" max="8363" width="12.875" bestFit="1" customWidth="1"/>
    <col min="8364" max="8364" width="10.375" bestFit="1" customWidth="1"/>
    <col min="8365" max="8365" width="12.875" bestFit="1" customWidth="1"/>
    <col min="8366" max="8366" width="10.375" bestFit="1" customWidth="1"/>
    <col min="8367" max="8367" width="12.875" bestFit="1" customWidth="1"/>
    <col min="8368" max="8368" width="10.375" bestFit="1" customWidth="1"/>
    <col min="8369" max="8369" width="12.875" bestFit="1" customWidth="1"/>
    <col min="8370" max="8370" width="10.375" bestFit="1" customWidth="1"/>
    <col min="8371" max="8371" width="12.875" bestFit="1" customWidth="1"/>
    <col min="8372" max="8372" width="10.375" bestFit="1" customWidth="1"/>
    <col min="8373" max="8373" width="12.875" bestFit="1" customWidth="1"/>
    <col min="8374" max="8374" width="10.375" bestFit="1" customWidth="1"/>
    <col min="8375" max="8375" width="12.875" bestFit="1" customWidth="1"/>
    <col min="8376" max="8376" width="10.375" bestFit="1" customWidth="1"/>
    <col min="8377" max="8377" width="12.875" bestFit="1" customWidth="1"/>
    <col min="8378" max="8378" width="10.375" bestFit="1" customWidth="1"/>
    <col min="8379" max="8379" width="12.875" bestFit="1" customWidth="1"/>
    <col min="8380" max="8380" width="10.375" bestFit="1" customWidth="1"/>
    <col min="8381" max="8381" width="12.875" bestFit="1" customWidth="1"/>
    <col min="8382" max="8382" width="10.375" bestFit="1" customWidth="1"/>
    <col min="8383" max="8383" width="12.875" bestFit="1" customWidth="1"/>
    <col min="8384" max="8384" width="10.375" bestFit="1" customWidth="1"/>
    <col min="8385" max="8385" width="12.875" bestFit="1" customWidth="1"/>
    <col min="8386" max="8386" width="10.375" bestFit="1" customWidth="1"/>
    <col min="8387" max="8387" width="12.875" bestFit="1" customWidth="1"/>
    <col min="8388" max="8388" width="10.375" bestFit="1" customWidth="1"/>
    <col min="8389" max="8389" width="12.875" bestFit="1" customWidth="1"/>
    <col min="8390" max="8390" width="10.375" bestFit="1" customWidth="1"/>
    <col min="8391" max="8391" width="12.875" bestFit="1" customWidth="1"/>
    <col min="8392" max="8392" width="10.375" bestFit="1" customWidth="1"/>
    <col min="8393" max="8393" width="12.875" bestFit="1" customWidth="1"/>
    <col min="8394" max="8394" width="10.375" bestFit="1" customWidth="1"/>
    <col min="8395" max="8395" width="12.875" bestFit="1" customWidth="1"/>
    <col min="8396" max="8396" width="10.375" bestFit="1" customWidth="1"/>
    <col min="8397" max="8397" width="12.875" bestFit="1" customWidth="1"/>
    <col min="8398" max="8398" width="10.375" bestFit="1" customWidth="1"/>
    <col min="8399" max="8399" width="12.875" bestFit="1" customWidth="1"/>
    <col min="8400" max="8400" width="10.375" bestFit="1" customWidth="1"/>
    <col min="8401" max="8401" width="12.875" bestFit="1" customWidth="1"/>
    <col min="8402" max="8402" width="10.375" bestFit="1" customWidth="1"/>
    <col min="8403" max="8403" width="12.875" bestFit="1" customWidth="1"/>
    <col min="8404" max="8404" width="10.375" bestFit="1" customWidth="1"/>
    <col min="8405" max="8405" width="12.875" bestFit="1" customWidth="1"/>
    <col min="8406" max="8406" width="10.375" bestFit="1" customWidth="1"/>
    <col min="8407" max="8407" width="12.875" bestFit="1" customWidth="1"/>
    <col min="8408" max="8408" width="10.375" bestFit="1" customWidth="1"/>
    <col min="8409" max="8409" width="12.875" bestFit="1" customWidth="1"/>
    <col min="8410" max="8410" width="10.375" bestFit="1" customWidth="1"/>
    <col min="8411" max="8411" width="12.875" bestFit="1" customWidth="1"/>
    <col min="8412" max="8412" width="10.375" bestFit="1" customWidth="1"/>
    <col min="8413" max="8413" width="12.875" bestFit="1" customWidth="1"/>
    <col min="8414" max="8414" width="10.375" bestFit="1" customWidth="1"/>
    <col min="8415" max="8415" width="12.875" bestFit="1" customWidth="1"/>
    <col min="8416" max="8416" width="10.375" bestFit="1" customWidth="1"/>
    <col min="8417" max="8417" width="12.875" bestFit="1" customWidth="1"/>
    <col min="8418" max="8418" width="10.375" bestFit="1" customWidth="1"/>
    <col min="8419" max="8419" width="12.875" bestFit="1" customWidth="1"/>
    <col min="8420" max="8420" width="10.375" bestFit="1" customWidth="1"/>
    <col min="8421" max="8421" width="12.875" bestFit="1" customWidth="1"/>
    <col min="8422" max="8422" width="10.375" bestFit="1" customWidth="1"/>
    <col min="8423" max="8423" width="12.875" bestFit="1" customWidth="1"/>
    <col min="8424" max="8424" width="10.375" bestFit="1" customWidth="1"/>
    <col min="8425" max="8425" width="12.875" bestFit="1" customWidth="1"/>
    <col min="8426" max="8426" width="10.375" bestFit="1" customWidth="1"/>
    <col min="8427" max="8427" width="12.875" bestFit="1" customWidth="1"/>
    <col min="8428" max="8428" width="10.375" bestFit="1" customWidth="1"/>
    <col min="8429" max="8429" width="12.875" bestFit="1" customWidth="1"/>
    <col min="8430" max="8430" width="10.375" bestFit="1" customWidth="1"/>
    <col min="8431" max="8431" width="12.875" bestFit="1" customWidth="1"/>
    <col min="8432" max="8432" width="10.375" bestFit="1" customWidth="1"/>
    <col min="8433" max="8433" width="12.875" bestFit="1" customWidth="1"/>
    <col min="8434" max="8434" width="10.375" bestFit="1" customWidth="1"/>
    <col min="8435" max="8435" width="12.875" bestFit="1" customWidth="1"/>
    <col min="8436" max="8436" width="10.375" bestFit="1" customWidth="1"/>
    <col min="8437" max="8437" width="12.875" bestFit="1" customWidth="1"/>
    <col min="8438" max="8438" width="10.375" bestFit="1" customWidth="1"/>
    <col min="8439" max="8439" width="12.875" bestFit="1" customWidth="1"/>
    <col min="8440" max="8440" width="10.375" bestFit="1" customWidth="1"/>
    <col min="8441" max="8441" width="12.875" bestFit="1" customWidth="1"/>
    <col min="8442" max="8442" width="10.375" bestFit="1" customWidth="1"/>
    <col min="8443" max="8443" width="12.875" bestFit="1" customWidth="1"/>
    <col min="8444" max="8444" width="10.375" bestFit="1" customWidth="1"/>
    <col min="8445" max="8445" width="12.875" bestFit="1" customWidth="1"/>
    <col min="8446" max="8446" width="10.375" bestFit="1" customWidth="1"/>
    <col min="8447" max="8447" width="12.875" bestFit="1" customWidth="1"/>
    <col min="8448" max="8448" width="10.375" bestFit="1" customWidth="1"/>
    <col min="8449" max="8449" width="12.875" bestFit="1" customWidth="1"/>
    <col min="8450" max="8450" width="10.375" bestFit="1" customWidth="1"/>
    <col min="8451" max="8451" width="12.875" bestFit="1" customWidth="1"/>
    <col min="8452" max="8452" width="10.375" bestFit="1" customWidth="1"/>
    <col min="8453" max="8453" width="12.875" bestFit="1" customWidth="1"/>
    <col min="8454" max="8454" width="10.375" bestFit="1" customWidth="1"/>
    <col min="8455" max="8455" width="12.875" bestFit="1" customWidth="1"/>
    <col min="8456" max="8456" width="10.375" bestFit="1" customWidth="1"/>
    <col min="8457" max="8457" width="12.875" bestFit="1" customWidth="1"/>
    <col min="8458" max="8458" width="10.375" bestFit="1" customWidth="1"/>
    <col min="8459" max="8459" width="12.875" bestFit="1" customWidth="1"/>
    <col min="8460" max="8460" width="10.375" bestFit="1" customWidth="1"/>
    <col min="8461" max="8461" width="12.875" bestFit="1" customWidth="1"/>
    <col min="8462" max="8462" width="10.375" bestFit="1" customWidth="1"/>
    <col min="8463" max="8463" width="12.875" bestFit="1" customWidth="1"/>
    <col min="8464" max="8464" width="10.375" bestFit="1" customWidth="1"/>
    <col min="8465" max="8465" width="12.875" bestFit="1" customWidth="1"/>
    <col min="8466" max="8466" width="10.375" bestFit="1" customWidth="1"/>
    <col min="8467" max="8467" width="12.875" bestFit="1" customWidth="1"/>
    <col min="8468" max="8468" width="10.375" bestFit="1" customWidth="1"/>
    <col min="8469" max="8469" width="12.875" bestFit="1" customWidth="1"/>
    <col min="8470" max="8470" width="10.375" bestFit="1" customWidth="1"/>
    <col min="8471" max="8471" width="12.875" bestFit="1" customWidth="1"/>
    <col min="8472" max="8472" width="10.375" bestFit="1" customWidth="1"/>
    <col min="8473" max="8473" width="12.875" bestFit="1" customWidth="1"/>
    <col min="8474" max="8474" width="10.375" bestFit="1" customWidth="1"/>
    <col min="8475" max="8475" width="7" bestFit="1" customWidth="1"/>
    <col min="8476" max="8476" width="12.875" bestFit="1" customWidth="1"/>
    <col min="8477" max="8477" width="10.375" bestFit="1" customWidth="1"/>
    <col min="8478" max="8478" width="12.875" bestFit="1" customWidth="1"/>
    <col min="8479" max="8479" width="10.375" bestFit="1" customWidth="1"/>
    <col min="8480" max="8480" width="12.875" bestFit="1" customWidth="1"/>
    <col min="8481" max="8481" width="10.375" bestFit="1" customWidth="1"/>
    <col min="8482" max="8482" width="12.875" bestFit="1" customWidth="1"/>
    <col min="8483" max="8483" width="10.375" bestFit="1" customWidth="1"/>
    <col min="8484" max="8484" width="12.875" bestFit="1" customWidth="1"/>
    <col min="8485" max="8485" width="10.375" bestFit="1" customWidth="1"/>
    <col min="8486" max="8486" width="12.875" bestFit="1" customWidth="1"/>
    <col min="8487" max="8487" width="10.375" bestFit="1" customWidth="1"/>
    <col min="8488" max="8488" width="12.875" bestFit="1" customWidth="1"/>
    <col min="8489" max="8489" width="10.375" bestFit="1" customWidth="1"/>
    <col min="8490" max="8490" width="12.875" bestFit="1" customWidth="1"/>
    <col min="8491" max="8491" width="10.375" bestFit="1" customWidth="1"/>
    <col min="8492" max="8492" width="12.875" bestFit="1" customWidth="1"/>
    <col min="8493" max="8493" width="10.375" bestFit="1" customWidth="1"/>
    <col min="8494" max="8494" width="12.875" bestFit="1" customWidth="1"/>
    <col min="8495" max="8495" width="10.375" bestFit="1" customWidth="1"/>
    <col min="8496" max="8496" width="12.875" bestFit="1" customWidth="1"/>
    <col min="8497" max="8497" width="10.375" bestFit="1" customWidth="1"/>
    <col min="8498" max="8498" width="12.875" bestFit="1" customWidth="1"/>
    <col min="8499" max="8499" width="10.375" bestFit="1" customWidth="1"/>
    <col min="8500" max="8500" width="12.875" bestFit="1" customWidth="1"/>
    <col min="8501" max="8501" width="10.375" bestFit="1" customWidth="1"/>
    <col min="8502" max="8502" width="12.875" bestFit="1" customWidth="1"/>
    <col min="8503" max="8503" width="10.375" bestFit="1" customWidth="1"/>
    <col min="8504" max="8504" width="12.875" bestFit="1" customWidth="1"/>
    <col min="8505" max="8505" width="10.375" bestFit="1" customWidth="1"/>
    <col min="8506" max="8506" width="12.875" bestFit="1" customWidth="1"/>
    <col min="8507" max="8507" width="10.375" bestFit="1" customWidth="1"/>
    <col min="8508" max="8508" width="12.875" bestFit="1" customWidth="1"/>
    <col min="8509" max="8509" width="10.375" bestFit="1" customWidth="1"/>
    <col min="8510" max="8510" width="12.875" bestFit="1" customWidth="1"/>
    <col min="8511" max="8511" width="10.375" bestFit="1" customWidth="1"/>
    <col min="8512" max="8512" width="12.875" bestFit="1" customWidth="1"/>
    <col min="8513" max="8513" width="10.375" bestFit="1" customWidth="1"/>
    <col min="8514" max="8514" width="12.875" bestFit="1" customWidth="1"/>
    <col min="8515" max="8515" width="10.375" bestFit="1" customWidth="1"/>
    <col min="8516" max="8516" width="12.875" bestFit="1" customWidth="1"/>
    <col min="8517" max="8517" width="10.375" bestFit="1" customWidth="1"/>
    <col min="8518" max="8518" width="12.875" bestFit="1" customWidth="1"/>
    <col min="8519" max="8519" width="10.375" bestFit="1" customWidth="1"/>
    <col min="8520" max="8520" width="12.875" bestFit="1" customWidth="1"/>
    <col min="8521" max="8521" width="10.375" bestFit="1" customWidth="1"/>
    <col min="8522" max="8522" width="12.875" bestFit="1" customWidth="1"/>
    <col min="8523" max="8523" width="10.375" bestFit="1" customWidth="1"/>
    <col min="8524" max="8524" width="12.875" bestFit="1" customWidth="1"/>
    <col min="8525" max="8525" width="10.375" bestFit="1" customWidth="1"/>
    <col min="8526" max="8526" width="12.875" bestFit="1" customWidth="1"/>
    <col min="8527" max="8527" width="10.375" bestFit="1" customWidth="1"/>
    <col min="8528" max="8528" width="12.875" bestFit="1" customWidth="1"/>
    <col min="8529" max="8529" width="10.375" bestFit="1" customWidth="1"/>
    <col min="8530" max="8530" width="12.875" bestFit="1" customWidth="1"/>
    <col min="8531" max="8531" width="10.375" bestFit="1" customWidth="1"/>
    <col min="8532" max="8532" width="12.875" bestFit="1" customWidth="1"/>
    <col min="8533" max="8533" width="10.375" bestFit="1" customWidth="1"/>
    <col min="8534" max="8534" width="12.875" bestFit="1" customWidth="1"/>
    <col min="8535" max="8535" width="10.375" bestFit="1" customWidth="1"/>
    <col min="8536" max="8536" width="12.875" bestFit="1" customWidth="1"/>
    <col min="8537" max="8537" width="10.375" bestFit="1" customWidth="1"/>
    <col min="8538" max="8538" width="12.875" bestFit="1" customWidth="1"/>
    <col min="8539" max="8539" width="10.375" bestFit="1" customWidth="1"/>
    <col min="8540" max="8540" width="12.875" bestFit="1" customWidth="1"/>
    <col min="8541" max="8541" width="10.375" bestFit="1" customWidth="1"/>
    <col min="8542" max="8542" width="12.875" bestFit="1" customWidth="1"/>
    <col min="8543" max="8543" width="10.375" bestFit="1" customWidth="1"/>
    <col min="8544" max="8544" width="12.875" bestFit="1" customWidth="1"/>
    <col min="8545" max="8545" width="10.375" bestFit="1" customWidth="1"/>
    <col min="8546" max="8546" width="12.875" bestFit="1" customWidth="1"/>
    <col min="8547" max="8547" width="10.375" bestFit="1" customWidth="1"/>
    <col min="8548" max="8548" width="12.875" bestFit="1" customWidth="1"/>
    <col min="8549" max="8549" width="10.375" bestFit="1" customWidth="1"/>
    <col min="8550" max="8550" width="12.875" bestFit="1" customWidth="1"/>
    <col min="8551" max="8551" width="10.375" bestFit="1" customWidth="1"/>
    <col min="8552" max="8552" width="12.875" bestFit="1" customWidth="1"/>
    <col min="8553" max="8553" width="10.375" bestFit="1" customWidth="1"/>
    <col min="8554" max="8554" width="12.875" bestFit="1" customWidth="1"/>
    <col min="8555" max="8555" width="10.375" bestFit="1" customWidth="1"/>
    <col min="8556" max="8556" width="12.875" bestFit="1" customWidth="1"/>
    <col min="8557" max="8557" width="10.375" bestFit="1" customWidth="1"/>
    <col min="8558" max="8558" width="12.875" bestFit="1" customWidth="1"/>
    <col min="8559" max="8559" width="10.375" bestFit="1" customWidth="1"/>
    <col min="8560" max="8560" width="12.875" bestFit="1" customWidth="1"/>
    <col min="8561" max="8561" width="10.375" bestFit="1" customWidth="1"/>
    <col min="8562" max="8562" width="12.875" bestFit="1" customWidth="1"/>
    <col min="8563" max="8563" width="10.375" bestFit="1" customWidth="1"/>
    <col min="8564" max="8564" width="12.875" bestFit="1" customWidth="1"/>
    <col min="8565" max="8565" width="10.375" bestFit="1" customWidth="1"/>
    <col min="8566" max="8566" width="12.875" bestFit="1" customWidth="1"/>
    <col min="8567" max="8567" width="10.375" bestFit="1" customWidth="1"/>
    <col min="8568" max="8568" width="12.875" bestFit="1" customWidth="1"/>
    <col min="8569" max="8569" width="10.375" bestFit="1" customWidth="1"/>
    <col min="8570" max="8570" width="12.875" bestFit="1" customWidth="1"/>
    <col min="8571" max="8571" width="10.375" bestFit="1" customWidth="1"/>
    <col min="8572" max="8572" width="12.875" bestFit="1" customWidth="1"/>
    <col min="8573" max="8573" width="10.375" bestFit="1" customWidth="1"/>
    <col min="8574" max="8574" width="12.875" bestFit="1" customWidth="1"/>
    <col min="8575" max="8575" width="10.375" bestFit="1" customWidth="1"/>
    <col min="8576" max="8576" width="12.875" bestFit="1" customWidth="1"/>
    <col min="8577" max="8577" width="10.375" bestFit="1" customWidth="1"/>
    <col min="8578" max="8578" width="12.875" bestFit="1" customWidth="1"/>
    <col min="8579" max="8579" width="10.375" bestFit="1" customWidth="1"/>
    <col min="8580" max="8580" width="12.875" bestFit="1" customWidth="1"/>
    <col min="8581" max="8581" width="10.375" bestFit="1" customWidth="1"/>
    <col min="8582" max="8582" width="12.875" bestFit="1" customWidth="1"/>
    <col min="8583" max="8583" width="10.375" bestFit="1" customWidth="1"/>
    <col min="8584" max="8584" width="12.875" bestFit="1" customWidth="1"/>
    <col min="8585" max="8585" width="10.375" bestFit="1" customWidth="1"/>
    <col min="8586" max="8586" width="12.875" bestFit="1" customWidth="1"/>
    <col min="8587" max="8587" width="10.375" bestFit="1" customWidth="1"/>
    <col min="8588" max="8588" width="12.875" bestFit="1" customWidth="1"/>
    <col min="8589" max="8589" width="10.375" bestFit="1" customWidth="1"/>
    <col min="8590" max="8590" width="12.875" bestFit="1" customWidth="1"/>
    <col min="8591" max="8591" width="10.375" bestFit="1" customWidth="1"/>
    <col min="8592" max="8592" width="12.875" bestFit="1" customWidth="1"/>
    <col min="8593" max="8593" width="10.375" bestFit="1" customWidth="1"/>
    <col min="8594" max="8594" width="12.875" bestFit="1" customWidth="1"/>
    <col min="8595" max="8595" width="10.375" bestFit="1" customWidth="1"/>
    <col min="8596" max="8596" width="12.875" bestFit="1" customWidth="1"/>
    <col min="8597" max="8597" width="10.375" bestFit="1" customWidth="1"/>
    <col min="8598" max="8598" width="12.875" bestFit="1" customWidth="1"/>
    <col min="8599" max="8599" width="10.375" bestFit="1" customWidth="1"/>
    <col min="8600" max="8600" width="12.875" bestFit="1" customWidth="1"/>
    <col min="8601" max="8601" width="10.375" bestFit="1" customWidth="1"/>
    <col min="8602" max="8602" width="12.875" bestFit="1" customWidth="1"/>
    <col min="8603" max="8603" width="10.375" bestFit="1" customWidth="1"/>
    <col min="8604" max="8604" width="12.875" bestFit="1" customWidth="1"/>
    <col min="8605" max="8605" width="10.375" bestFit="1" customWidth="1"/>
    <col min="8606" max="8606" width="12.875" bestFit="1" customWidth="1"/>
    <col min="8607" max="8607" width="10.375" bestFit="1" customWidth="1"/>
    <col min="8608" max="8608" width="12.875" bestFit="1" customWidth="1"/>
    <col min="8609" max="8609" width="10.375" bestFit="1" customWidth="1"/>
    <col min="8610" max="8610" width="12.875" bestFit="1" customWidth="1"/>
    <col min="8611" max="8611" width="10.375" bestFit="1" customWidth="1"/>
    <col min="8612" max="8612" width="7" bestFit="1" customWidth="1"/>
    <col min="8613" max="8613" width="12.875" bestFit="1" customWidth="1"/>
    <col min="8614" max="8614" width="10.375" bestFit="1" customWidth="1"/>
    <col min="8615" max="8615" width="7" bestFit="1" customWidth="1"/>
    <col min="8616" max="8616" width="12.875" bestFit="1" customWidth="1"/>
    <col min="8617" max="8617" width="10.375" bestFit="1" customWidth="1"/>
    <col min="8618" max="8618" width="12.875" bestFit="1" customWidth="1"/>
    <col min="8619" max="8619" width="10.375" bestFit="1" customWidth="1"/>
    <col min="8620" max="8620" width="12.875" bestFit="1" customWidth="1"/>
    <col min="8621" max="8621" width="10.375" bestFit="1" customWidth="1"/>
    <col min="8622" max="8622" width="12.875" bestFit="1" customWidth="1"/>
    <col min="8623" max="8623" width="10.375" bestFit="1" customWidth="1"/>
    <col min="8624" max="8624" width="12.875" bestFit="1" customWidth="1"/>
    <col min="8625" max="8625" width="10.375" bestFit="1" customWidth="1"/>
    <col min="8626" max="8626" width="12.875" bestFit="1" customWidth="1"/>
    <col min="8627" max="8627" width="10.375" bestFit="1" customWidth="1"/>
    <col min="8628" max="8628" width="12.875" bestFit="1" customWidth="1"/>
    <col min="8629" max="8629" width="10.375" bestFit="1" customWidth="1"/>
    <col min="8630" max="8630" width="12.875" bestFit="1" customWidth="1"/>
    <col min="8631" max="8631" width="10.375" bestFit="1" customWidth="1"/>
    <col min="8632" max="8632" width="12.875" bestFit="1" customWidth="1"/>
    <col min="8633" max="8633" width="10.375" bestFit="1" customWidth="1"/>
    <col min="8634" max="8634" width="12.875" bestFit="1" customWidth="1"/>
    <col min="8635" max="8635" width="10.375" bestFit="1" customWidth="1"/>
    <col min="8636" max="8636" width="12.875" bestFit="1" customWidth="1"/>
    <col min="8637" max="8637" width="10.375" bestFit="1" customWidth="1"/>
    <col min="8638" max="8638" width="12.875" bestFit="1" customWidth="1"/>
    <col min="8639" max="8639" width="10.375" bestFit="1" customWidth="1"/>
    <col min="8640" max="8640" width="12.875" bestFit="1" customWidth="1"/>
    <col min="8641" max="8641" width="10.375" bestFit="1" customWidth="1"/>
    <col min="8642" max="8642" width="12.875" bestFit="1" customWidth="1"/>
    <col min="8643" max="8643" width="10.375" bestFit="1" customWidth="1"/>
    <col min="8644" max="8644" width="12.875" bestFit="1" customWidth="1"/>
    <col min="8645" max="8645" width="10.375" bestFit="1" customWidth="1"/>
    <col min="8646" max="8646" width="12.875" bestFit="1" customWidth="1"/>
    <col min="8647" max="8647" width="10.375" bestFit="1" customWidth="1"/>
    <col min="8648" max="8648" width="12.875" bestFit="1" customWidth="1"/>
    <col min="8649" max="8649" width="10.375" bestFit="1" customWidth="1"/>
    <col min="8650" max="8650" width="12.875" bestFit="1" customWidth="1"/>
    <col min="8651" max="8651" width="10.375" bestFit="1" customWidth="1"/>
    <col min="8652" max="8652" width="12.875" bestFit="1" customWidth="1"/>
    <col min="8653" max="8653" width="10.375" bestFit="1" customWidth="1"/>
    <col min="8654" max="8654" width="12.875" bestFit="1" customWidth="1"/>
    <col min="8655" max="8655" width="10.375" bestFit="1" customWidth="1"/>
    <col min="8656" max="8656" width="12.875" bestFit="1" customWidth="1"/>
    <col min="8657" max="8657" width="10.375" bestFit="1" customWidth="1"/>
    <col min="8658" max="8658" width="12.875" bestFit="1" customWidth="1"/>
    <col min="8659" max="8659" width="10.375" bestFit="1" customWidth="1"/>
    <col min="8660" max="8660" width="12.875" bestFit="1" customWidth="1"/>
    <col min="8661" max="8661" width="10.375" bestFit="1" customWidth="1"/>
    <col min="8662" max="8662" width="12.875" bestFit="1" customWidth="1"/>
    <col min="8663" max="8663" width="10.375" bestFit="1" customWidth="1"/>
    <col min="8664" max="8664" width="12.875" bestFit="1" customWidth="1"/>
    <col min="8665" max="8665" width="10.375" bestFit="1" customWidth="1"/>
    <col min="8666" max="8666" width="12.875" bestFit="1" customWidth="1"/>
    <col min="8667" max="8667" width="10.375" bestFit="1" customWidth="1"/>
    <col min="8668" max="8668" width="12.875" bestFit="1" customWidth="1"/>
    <col min="8669" max="8669" width="10.375" bestFit="1" customWidth="1"/>
    <col min="8670" max="8670" width="12.875" bestFit="1" customWidth="1"/>
    <col min="8671" max="8671" width="10.375" bestFit="1" customWidth="1"/>
    <col min="8672" max="8672" width="12.875" bestFit="1" customWidth="1"/>
    <col min="8673" max="8673" width="10.375" bestFit="1" customWidth="1"/>
    <col min="8674" max="8674" width="12.875" bestFit="1" customWidth="1"/>
    <col min="8675" max="8675" width="10.375" bestFit="1" customWidth="1"/>
    <col min="8676" max="8676" width="12.875" bestFit="1" customWidth="1"/>
    <col min="8677" max="8677" width="10.375" bestFit="1" customWidth="1"/>
    <col min="8678" max="8678" width="12.875" bestFit="1" customWidth="1"/>
    <col min="8679" max="8679" width="10.375" bestFit="1" customWidth="1"/>
    <col min="8680" max="8680" width="12.875" bestFit="1" customWidth="1"/>
    <col min="8681" max="8681" width="10.375" bestFit="1" customWidth="1"/>
    <col min="8682" max="8682" width="12.875" bestFit="1" customWidth="1"/>
    <col min="8683" max="8683" width="10.375" bestFit="1" customWidth="1"/>
    <col min="8684" max="8684" width="12.875" bestFit="1" customWidth="1"/>
    <col min="8685" max="8685" width="10.375" bestFit="1" customWidth="1"/>
    <col min="8686" max="8686" width="12.875" bestFit="1" customWidth="1"/>
    <col min="8687" max="8687" width="10.375" bestFit="1" customWidth="1"/>
    <col min="8688" max="8688" width="12.875" bestFit="1" customWidth="1"/>
    <col min="8689" max="8689" width="10.375" bestFit="1" customWidth="1"/>
    <col min="8690" max="8690" width="12.875" bestFit="1" customWidth="1"/>
    <col min="8691" max="8691" width="10.375" bestFit="1" customWidth="1"/>
    <col min="8692" max="8692" width="12.875" bestFit="1" customWidth="1"/>
    <col min="8693" max="8693" width="10.375" bestFit="1" customWidth="1"/>
    <col min="8694" max="8694" width="12.875" bestFit="1" customWidth="1"/>
    <col min="8695" max="8695" width="10.375" bestFit="1" customWidth="1"/>
    <col min="8696" max="8696" width="12.875" bestFit="1" customWidth="1"/>
    <col min="8697" max="8697" width="10.375" bestFit="1" customWidth="1"/>
    <col min="8698" max="8698" width="12.875" bestFit="1" customWidth="1"/>
    <col min="8699" max="8699" width="10.375" bestFit="1" customWidth="1"/>
    <col min="8700" max="8700" width="12.875" bestFit="1" customWidth="1"/>
    <col min="8701" max="8701" width="10.375" bestFit="1" customWidth="1"/>
    <col min="8702" max="8702" width="12.875" bestFit="1" customWidth="1"/>
    <col min="8703" max="8703" width="10.375" bestFit="1" customWidth="1"/>
    <col min="8704" max="8704" width="12.875" bestFit="1" customWidth="1"/>
    <col min="8705" max="8705" width="10.375" bestFit="1" customWidth="1"/>
    <col min="8706" max="8706" width="12.875" bestFit="1" customWidth="1"/>
    <col min="8707" max="8707" width="10.375" bestFit="1" customWidth="1"/>
    <col min="8708" max="8708" width="12.875" bestFit="1" customWidth="1"/>
    <col min="8709" max="8709" width="10.375" bestFit="1" customWidth="1"/>
    <col min="8710" max="8710" width="12.875" bestFit="1" customWidth="1"/>
    <col min="8711" max="8711" width="10.375" bestFit="1" customWidth="1"/>
    <col min="8712" max="8712" width="12.875" bestFit="1" customWidth="1"/>
    <col min="8713" max="8713" width="10.375" bestFit="1" customWidth="1"/>
    <col min="8714" max="8714" width="12.875" bestFit="1" customWidth="1"/>
    <col min="8715" max="8715" width="10.375" bestFit="1" customWidth="1"/>
    <col min="8716" max="8716" width="12.875" bestFit="1" customWidth="1"/>
    <col min="8717" max="8717" width="10.375" bestFit="1" customWidth="1"/>
    <col min="8718" max="8718" width="12.875" bestFit="1" customWidth="1"/>
    <col min="8719" max="8719" width="10.375" bestFit="1" customWidth="1"/>
    <col min="8720" max="8720" width="12.875" bestFit="1" customWidth="1"/>
    <col min="8721" max="8721" width="10.375" bestFit="1" customWidth="1"/>
    <col min="8722" max="8722" width="12.875" bestFit="1" customWidth="1"/>
    <col min="8723" max="8723" width="10.375" bestFit="1" customWidth="1"/>
    <col min="8724" max="8724" width="12.875" bestFit="1" customWidth="1"/>
    <col min="8725" max="8725" width="10.375" bestFit="1" customWidth="1"/>
    <col min="8726" max="8726" width="12.875" bestFit="1" customWidth="1"/>
    <col min="8727" max="8727" width="10.375" bestFit="1" customWidth="1"/>
    <col min="8728" max="8728" width="12.875" bestFit="1" customWidth="1"/>
    <col min="8729" max="8729" width="10.375" bestFit="1" customWidth="1"/>
    <col min="8730" max="8730" width="12.875" bestFit="1" customWidth="1"/>
    <col min="8731" max="8731" width="10.375" bestFit="1" customWidth="1"/>
    <col min="8732" max="8732" width="12.875" bestFit="1" customWidth="1"/>
    <col min="8733" max="8733" width="10.375" bestFit="1" customWidth="1"/>
    <col min="8734" max="8734" width="12.875" bestFit="1" customWidth="1"/>
    <col min="8735" max="8735" width="10.375" bestFit="1" customWidth="1"/>
    <col min="8736" max="8736" width="12.875" bestFit="1" customWidth="1"/>
    <col min="8737" max="8737" width="10.375" bestFit="1" customWidth="1"/>
    <col min="8738" max="8738" width="12.875" bestFit="1" customWidth="1"/>
    <col min="8739" max="8739" width="10.375" bestFit="1" customWidth="1"/>
    <col min="8740" max="8740" width="12.875" bestFit="1" customWidth="1"/>
    <col min="8741" max="8741" width="10.375" bestFit="1" customWidth="1"/>
    <col min="8742" max="8742" width="12.875" bestFit="1" customWidth="1"/>
    <col min="8743" max="8743" width="10.375" bestFit="1" customWidth="1"/>
    <col min="8744" max="8744" width="12.875" bestFit="1" customWidth="1"/>
    <col min="8745" max="8745" width="10.375" bestFit="1" customWidth="1"/>
    <col min="8746" max="8746" width="12.875" bestFit="1" customWidth="1"/>
    <col min="8747" max="8747" width="10.375" bestFit="1" customWidth="1"/>
    <col min="8748" max="8748" width="12.875" bestFit="1" customWidth="1"/>
    <col min="8749" max="8749" width="10.375" bestFit="1" customWidth="1"/>
    <col min="8750" max="8750" width="12.875" bestFit="1" customWidth="1"/>
    <col min="8751" max="8751" width="10.375" bestFit="1" customWidth="1"/>
    <col min="8752" max="8752" width="12.875" bestFit="1" customWidth="1"/>
    <col min="8753" max="8753" width="10.375" bestFit="1" customWidth="1"/>
    <col min="8754" max="8754" width="12.875" bestFit="1" customWidth="1"/>
    <col min="8755" max="8755" width="10.375" bestFit="1" customWidth="1"/>
    <col min="8756" max="8756" width="12.875" bestFit="1" customWidth="1"/>
    <col min="8757" max="8757" width="10.375" bestFit="1" customWidth="1"/>
    <col min="8758" max="8758" width="12.875" bestFit="1" customWidth="1"/>
    <col min="8759" max="8759" width="10.375" bestFit="1" customWidth="1"/>
    <col min="8760" max="8760" width="12.875" bestFit="1" customWidth="1"/>
    <col min="8761" max="8761" width="10.375" bestFit="1" customWidth="1"/>
    <col min="8762" max="8762" width="12.875" bestFit="1" customWidth="1"/>
    <col min="8763" max="8763" width="10.375" bestFit="1" customWidth="1"/>
    <col min="8764" max="8764" width="12.875" bestFit="1" customWidth="1"/>
    <col min="8765" max="8765" width="10.375" bestFit="1" customWidth="1"/>
    <col min="8766" max="8766" width="12.875" bestFit="1" customWidth="1"/>
    <col min="8767" max="8767" width="10.375" bestFit="1" customWidth="1"/>
    <col min="8768" max="8768" width="12.875" bestFit="1" customWidth="1"/>
    <col min="8769" max="8769" width="10.375" bestFit="1" customWidth="1"/>
    <col min="8770" max="8770" width="12.875" bestFit="1" customWidth="1"/>
    <col min="8771" max="8771" width="10.375" bestFit="1" customWidth="1"/>
    <col min="8772" max="8772" width="12.875" bestFit="1" customWidth="1"/>
    <col min="8773" max="8773" width="10.375" bestFit="1" customWidth="1"/>
    <col min="8774" max="8774" width="12.875" bestFit="1" customWidth="1"/>
    <col min="8775" max="8775" width="10.375" bestFit="1" customWidth="1"/>
    <col min="8776" max="8776" width="12.875" bestFit="1" customWidth="1"/>
    <col min="8777" max="8777" width="10.375" bestFit="1" customWidth="1"/>
    <col min="8778" max="8778" width="12.875" bestFit="1" customWidth="1"/>
    <col min="8779" max="8779" width="10.375" bestFit="1" customWidth="1"/>
    <col min="8780" max="8780" width="12.875" bestFit="1" customWidth="1"/>
    <col min="8781" max="8781" width="10.375" bestFit="1" customWidth="1"/>
    <col min="8782" max="8782" width="12.875" bestFit="1" customWidth="1"/>
    <col min="8783" max="8783" width="10.375" bestFit="1" customWidth="1"/>
    <col min="8784" max="8784" width="12.875" bestFit="1" customWidth="1"/>
    <col min="8785" max="8785" width="10.375" bestFit="1" customWidth="1"/>
    <col min="8786" max="8786" width="12.875" bestFit="1" customWidth="1"/>
    <col min="8787" max="8787" width="10.375" bestFit="1" customWidth="1"/>
    <col min="8788" max="8788" width="12.875" bestFit="1" customWidth="1"/>
    <col min="8789" max="8789" width="10.375" bestFit="1" customWidth="1"/>
    <col min="8790" max="8790" width="12.875" bestFit="1" customWidth="1"/>
    <col min="8791" max="8791" width="10.375" bestFit="1" customWidth="1"/>
    <col min="8792" max="8792" width="12.875" bestFit="1" customWidth="1"/>
    <col min="8793" max="8793" width="10.375" bestFit="1" customWidth="1"/>
    <col min="8794" max="8794" width="12.875" bestFit="1" customWidth="1"/>
    <col min="8795" max="8795" width="10.375" bestFit="1" customWidth="1"/>
    <col min="8796" max="8796" width="7" bestFit="1" customWidth="1"/>
    <col min="8797" max="8797" width="12.875" bestFit="1" customWidth="1"/>
    <col min="8798" max="8798" width="10.375" bestFit="1" customWidth="1"/>
    <col min="8799" max="8799" width="12.875" bestFit="1" customWidth="1"/>
    <col min="8800" max="8800" width="10.375" bestFit="1" customWidth="1"/>
    <col min="8801" max="8801" width="12.875" bestFit="1" customWidth="1"/>
    <col min="8802" max="8802" width="10.375" bestFit="1" customWidth="1"/>
    <col min="8803" max="8803" width="12.875" bestFit="1" customWidth="1"/>
    <col min="8804" max="8804" width="10.375" bestFit="1" customWidth="1"/>
    <col min="8805" max="8805" width="12.875" bestFit="1" customWidth="1"/>
    <col min="8806" max="8806" width="10.375" bestFit="1" customWidth="1"/>
    <col min="8807" max="8807" width="12.875" bestFit="1" customWidth="1"/>
    <col min="8808" max="8808" width="10.375" bestFit="1" customWidth="1"/>
    <col min="8809" max="8809" width="7" bestFit="1" customWidth="1"/>
    <col min="8810" max="8810" width="12.875" bestFit="1" customWidth="1"/>
    <col min="8811" max="8811" width="10.375" bestFit="1" customWidth="1"/>
    <col min="8812" max="8812" width="12.875" bestFit="1" customWidth="1"/>
    <col min="8813" max="8813" width="10.375" bestFit="1" customWidth="1"/>
    <col min="8814" max="8814" width="12.875" bestFit="1" customWidth="1"/>
    <col min="8815" max="8815" width="10.375" bestFit="1" customWidth="1"/>
    <col min="8816" max="8816" width="12.875" bestFit="1" customWidth="1"/>
    <col min="8817" max="8817" width="10.375" bestFit="1" customWidth="1"/>
    <col min="8818" max="8818" width="12.875" bestFit="1" customWidth="1"/>
    <col min="8819" max="8819" width="10.375" bestFit="1" customWidth="1"/>
    <col min="8820" max="8820" width="12.875" bestFit="1" customWidth="1"/>
    <col min="8821" max="8821" width="10.375" bestFit="1" customWidth="1"/>
    <col min="8822" max="8822" width="12.875" bestFit="1" customWidth="1"/>
    <col min="8823" max="8823" width="10.375" bestFit="1" customWidth="1"/>
    <col min="8824" max="8824" width="12.875" bestFit="1" customWidth="1"/>
    <col min="8825" max="8825" width="10.375" bestFit="1" customWidth="1"/>
    <col min="8826" max="8826" width="12.875" bestFit="1" customWidth="1"/>
    <col min="8827" max="8827" width="10.375" bestFit="1" customWidth="1"/>
    <col min="8828" max="8828" width="12.875" bestFit="1" customWidth="1"/>
    <col min="8829" max="8829" width="10.375" bestFit="1" customWidth="1"/>
    <col min="8830" max="8830" width="12.875" bestFit="1" customWidth="1"/>
    <col min="8831" max="8831" width="10.375" bestFit="1" customWidth="1"/>
    <col min="8832" max="8832" width="12.875" bestFit="1" customWidth="1"/>
    <col min="8833" max="8833" width="10.375" bestFit="1" customWidth="1"/>
    <col min="8834" max="8834" width="12.875" bestFit="1" customWidth="1"/>
    <col min="8835" max="8835" width="10.375" bestFit="1" customWidth="1"/>
    <col min="8836" max="8836" width="12.875" bestFit="1" customWidth="1"/>
    <col min="8837" max="8837" width="10.375" bestFit="1" customWidth="1"/>
    <col min="8838" max="8838" width="12.875" bestFit="1" customWidth="1"/>
    <col min="8839" max="8839" width="10.375" bestFit="1" customWidth="1"/>
    <col min="8840" max="8840" width="12.875" bestFit="1" customWidth="1"/>
    <col min="8841" max="8841" width="10.375" bestFit="1" customWidth="1"/>
    <col min="8842" max="8842" width="12.875" bestFit="1" customWidth="1"/>
    <col min="8843" max="8843" width="10.375" bestFit="1" customWidth="1"/>
    <col min="8844" max="8844" width="12.875" bestFit="1" customWidth="1"/>
    <col min="8845" max="8845" width="10.375" bestFit="1" customWidth="1"/>
    <col min="8846" max="8846" width="12.875" bestFit="1" customWidth="1"/>
    <col min="8847" max="8847" width="10.375" bestFit="1" customWidth="1"/>
    <col min="8848" max="8848" width="12.875" bestFit="1" customWidth="1"/>
    <col min="8849" max="8849" width="10.375" bestFit="1" customWidth="1"/>
    <col min="8850" max="8850" width="12.875" bestFit="1" customWidth="1"/>
    <col min="8851" max="8851" width="10.375" bestFit="1" customWidth="1"/>
    <col min="8852" max="8852" width="12.875" bestFit="1" customWidth="1"/>
    <col min="8853" max="8853" width="10.375" bestFit="1" customWidth="1"/>
    <col min="8854" max="8854" width="12.875" bestFit="1" customWidth="1"/>
    <col min="8855" max="8855" width="10.375" bestFit="1" customWidth="1"/>
    <col min="8856" max="8856" width="12.875" bestFit="1" customWidth="1"/>
    <col min="8857" max="8857" width="10.375" bestFit="1" customWidth="1"/>
    <col min="8858" max="8858" width="12.875" bestFit="1" customWidth="1"/>
    <col min="8859" max="8859" width="10.375" bestFit="1" customWidth="1"/>
    <col min="8860" max="8860" width="12.875" bestFit="1" customWidth="1"/>
    <col min="8861" max="8861" width="10.375" bestFit="1" customWidth="1"/>
    <col min="8862" max="8862" width="12.875" bestFit="1" customWidth="1"/>
    <col min="8863" max="8863" width="10.375" bestFit="1" customWidth="1"/>
    <col min="8864" max="8864" width="12.875" bestFit="1" customWidth="1"/>
    <col min="8865" max="8865" width="10.375" bestFit="1" customWidth="1"/>
    <col min="8866" max="8866" width="12.875" bestFit="1" customWidth="1"/>
    <col min="8867" max="8867" width="10.375" bestFit="1" customWidth="1"/>
    <col min="8868" max="8868" width="12.875" bestFit="1" customWidth="1"/>
    <col min="8869" max="8869" width="10.375" bestFit="1" customWidth="1"/>
    <col min="8870" max="8870" width="12.875" bestFit="1" customWidth="1"/>
    <col min="8871" max="8871" width="10.375" bestFit="1" customWidth="1"/>
    <col min="8872" max="8872" width="12.875" bestFit="1" customWidth="1"/>
    <col min="8873" max="8873" width="10.375" bestFit="1" customWidth="1"/>
    <col min="8874" max="8874" width="12.875" bestFit="1" customWidth="1"/>
    <col min="8875" max="8875" width="10.375" bestFit="1" customWidth="1"/>
    <col min="8876" max="8876" width="12.875" bestFit="1" customWidth="1"/>
    <col min="8877" max="8877" width="10.375" bestFit="1" customWidth="1"/>
    <col min="8878" max="8878" width="12.875" bestFit="1" customWidth="1"/>
    <col min="8879" max="8879" width="10.375" bestFit="1" customWidth="1"/>
    <col min="8880" max="8880" width="12.875" bestFit="1" customWidth="1"/>
    <col min="8881" max="8881" width="10.375" bestFit="1" customWidth="1"/>
    <col min="8882" max="8882" width="7" bestFit="1" customWidth="1"/>
    <col min="8883" max="8883" width="12.875" bestFit="1" customWidth="1"/>
    <col min="8884" max="8884" width="10.375" bestFit="1" customWidth="1"/>
    <col min="8885" max="8885" width="12.875" bestFit="1" customWidth="1"/>
    <col min="8886" max="8886" width="10.375" bestFit="1" customWidth="1"/>
    <col min="8887" max="8887" width="12.875" bestFit="1" customWidth="1"/>
    <col min="8888" max="8888" width="10.375" bestFit="1" customWidth="1"/>
    <col min="8889" max="8889" width="12.875" bestFit="1" customWidth="1"/>
    <col min="8890" max="8890" width="10.375" bestFit="1" customWidth="1"/>
    <col min="8891" max="8891" width="12.875" bestFit="1" customWidth="1"/>
    <col min="8892" max="8892" width="10.375" bestFit="1" customWidth="1"/>
    <col min="8893" max="8893" width="12.875" bestFit="1" customWidth="1"/>
    <col min="8894" max="8894" width="10.375" bestFit="1" customWidth="1"/>
    <col min="8895" max="8895" width="12.875" bestFit="1" customWidth="1"/>
    <col min="8896" max="8896" width="10.375" bestFit="1" customWidth="1"/>
    <col min="8897" max="8897" width="12.875" bestFit="1" customWidth="1"/>
    <col min="8898" max="8898" width="10.375" bestFit="1" customWidth="1"/>
    <col min="8899" max="8899" width="12.875" bestFit="1" customWidth="1"/>
    <col min="8900" max="8900" width="10.375" bestFit="1" customWidth="1"/>
    <col min="8901" max="8901" width="12.875" bestFit="1" customWidth="1"/>
    <col min="8902" max="8902" width="10.375" bestFit="1" customWidth="1"/>
    <col min="8903" max="8903" width="12.875" bestFit="1" customWidth="1"/>
    <col min="8904" max="8904" width="10.375" bestFit="1" customWidth="1"/>
    <col min="8905" max="8905" width="12.875" bestFit="1" customWidth="1"/>
    <col min="8906" max="8906" width="10.375" bestFit="1" customWidth="1"/>
    <col min="8907" max="8907" width="12.875" bestFit="1" customWidth="1"/>
    <col min="8908" max="8908" width="10.375" bestFit="1" customWidth="1"/>
    <col min="8909" max="8909" width="12.875" bestFit="1" customWidth="1"/>
    <col min="8910" max="8910" width="10.375" bestFit="1" customWidth="1"/>
    <col min="8911" max="8911" width="12.875" bestFit="1" customWidth="1"/>
    <col min="8912" max="8912" width="10.375" bestFit="1" customWidth="1"/>
    <col min="8913" max="8913" width="12.875" bestFit="1" customWidth="1"/>
    <col min="8914" max="8914" width="10.375" bestFit="1" customWidth="1"/>
    <col min="8915" max="8915" width="12.875" bestFit="1" customWidth="1"/>
    <col min="8916" max="8916" width="10.375" bestFit="1" customWidth="1"/>
    <col min="8917" max="8917" width="12.875" bestFit="1" customWidth="1"/>
    <col min="8918" max="8918" width="10.375" bestFit="1" customWidth="1"/>
    <col min="8919" max="8919" width="12.875" bestFit="1" customWidth="1"/>
    <col min="8920" max="8920" width="10.375" bestFit="1" customWidth="1"/>
    <col min="8921" max="8921" width="12.875" bestFit="1" customWidth="1"/>
    <col min="8922" max="8922" width="10.375" bestFit="1" customWidth="1"/>
    <col min="8923" max="8923" width="12.875" bestFit="1" customWidth="1"/>
    <col min="8924" max="8924" width="10.375" bestFit="1" customWidth="1"/>
    <col min="8925" max="8925" width="12.875" bestFit="1" customWidth="1"/>
    <col min="8926" max="8926" width="10.375" bestFit="1" customWidth="1"/>
    <col min="8927" max="8927" width="12.875" bestFit="1" customWidth="1"/>
    <col min="8928" max="8928" width="10.375" bestFit="1" customWidth="1"/>
    <col min="8929" max="8929" width="12.875" bestFit="1" customWidth="1"/>
    <col min="8930" max="8930" width="10.375" bestFit="1" customWidth="1"/>
    <col min="8931" max="8931" width="12.875" bestFit="1" customWidth="1"/>
    <col min="8932" max="8932" width="10.375" bestFit="1" customWidth="1"/>
    <col min="8933" max="8933" width="12.875" bestFit="1" customWidth="1"/>
    <col min="8934" max="8934" width="10.375" bestFit="1" customWidth="1"/>
    <col min="8935" max="8935" width="12.875" bestFit="1" customWidth="1"/>
    <col min="8936" max="8936" width="10.375" bestFit="1" customWidth="1"/>
    <col min="8937" max="8937" width="12.875" bestFit="1" customWidth="1"/>
    <col min="8938" max="8938" width="10.375" bestFit="1" customWidth="1"/>
    <col min="8939" max="8939" width="12.875" bestFit="1" customWidth="1"/>
    <col min="8940" max="8940" width="10.375" bestFit="1" customWidth="1"/>
    <col min="8941" max="8941" width="12.875" bestFit="1" customWidth="1"/>
    <col min="8942" max="8942" width="10.375" bestFit="1" customWidth="1"/>
    <col min="8943" max="8943" width="12.875" bestFit="1" customWidth="1"/>
    <col min="8944" max="8944" width="10.375" bestFit="1" customWidth="1"/>
    <col min="8945" max="8945" width="12.875" bestFit="1" customWidth="1"/>
    <col min="8946" max="8946" width="10.375" bestFit="1" customWidth="1"/>
    <col min="8947" max="8947" width="12.875" bestFit="1" customWidth="1"/>
    <col min="8948" max="8948" width="10.375" bestFit="1" customWidth="1"/>
    <col min="8949" max="8949" width="12.875" bestFit="1" customWidth="1"/>
    <col min="8950" max="8950" width="10.375" bestFit="1" customWidth="1"/>
    <col min="8951" max="8951" width="12.875" bestFit="1" customWidth="1"/>
    <col min="8952" max="8952" width="10.375" bestFit="1" customWidth="1"/>
    <col min="8953" max="8953" width="12.875" bestFit="1" customWidth="1"/>
    <col min="8954" max="8954" width="10.375" bestFit="1" customWidth="1"/>
    <col min="8955" max="8955" width="12.875" bestFit="1" customWidth="1"/>
    <col min="8956" max="8956" width="10.375" bestFit="1" customWidth="1"/>
    <col min="8957" max="8957" width="12.875" bestFit="1" customWidth="1"/>
    <col min="8958" max="8958" width="10.375" bestFit="1" customWidth="1"/>
    <col min="8959" max="8959" width="7.625" bestFit="1" customWidth="1"/>
    <col min="8960" max="8960" width="12.875" bestFit="1" customWidth="1"/>
    <col min="8961" max="8961" width="10.375" bestFit="1" customWidth="1"/>
    <col min="8962" max="8962" width="12.875" bestFit="1" customWidth="1"/>
    <col min="8963" max="8963" width="10.375" bestFit="1" customWidth="1"/>
    <col min="8964" max="8964" width="7" bestFit="1" customWidth="1"/>
    <col min="8965" max="8965" width="12.875" bestFit="1" customWidth="1"/>
    <col min="8966" max="8966" width="10.375" bestFit="1" customWidth="1"/>
    <col min="8967" max="8967" width="12.875" bestFit="1" customWidth="1"/>
    <col min="8968" max="8968" width="10.375" bestFit="1" customWidth="1"/>
    <col min="8969" max="8969" width="12.875" bestFit="1" customWidth="1"/>
    <col min="8970" max="8970" width="10.375" bestFit="1" customWidth="1"/>
    <col min="8971" max="8971" width="12.875" bestFit="1" customWidth="1"/>
    <col min="8972" max="8972" width="10.375" bestFit="1" customWidth="1"/>
    <col min="8973" max="8973" width="12.875" bestFit="1" customWidth="1"/>
    <col min="8974" max="8974" width="10.375" bestFit="1" customWidth="1"/>
    <col min="8975" max="8975" width="12.875" bestFit="1" customWidth="1"/>
    <col min="8976" max="8976" width="10.375" bestFit="1" customWidth="1"/>
    <col min="8977" max="8977" width="7.625" bestFit="1" customWidth="1"/>
    <col min="8978" max="8978" width="7" bestFit="1" customWidth="1"/>
    <col min="8979" max="8979" width="12.875" bestFit="1" customWidth="1"/>
    <col min="8980" max="8980" width="10.375" bestFit="1" customWidth="1"/>
    <col min="8981" max="8981" width="7" bestFit="1" customWidth="1"/>
    <col min="8982" max="8982" width="12.875" bestFit="1" customWidth="1"/>
    <col min="8983" max="8983" width="10.375" bestFit="1" customWidth="1"/>
    <col min="8984" max="8984" width="12.875" bestFit="1" customWidth="1"/>
    <col min="8985" max="8985" width="10.375" bestFit="1" customWidth="1"/>
    <col min="8986" max="8986" width="12.875" bestFit="1" customWidth="1"/>
    <col min="8987" max="8987" width="10.375" bestFit="1" customWidth="1"/>
    <col min="8988" max="8988" width="7" bestFit="1" customWidth="1"/>
    <col min="8989" max="8989" width="12.875" bestFit="1" customWidth="1"/>
    <col min="8990" max="8990" width="10.375" bestFit="1" customWidth="1"/>
    <col min="8991" max="8991" width="12.875" bestFit="1" customWidth="1"/>
    <col min="8992" max="8992" width="10.375" bestFit="1" customWidth="1"/>
    <col min="8993" max="8993" width="12.875" bestFit="1" customWidth="1"/>
    <col min="8994" max="8994" width="10.375" bestFit="1" customWidth="1"/>
    <col min="8995" max="8995" width="12.875" bestFit="1" customWidth="1"/>
    <col min="8996" max="8996" width="10.375" bestFit="1" customWidth="1"/>
    <col min="8997" max="8997" width="12.875" bestFit="1" customWidth="1"/>
    <col min="8998" max="8998" width="10.375" bestFit="1" customWidth="1"/>
    <col min="8999" max="8999" width="12.875" bestFit="1" customWidth="1"/>
    <col min="9000" max="9000" width="10.375" bestFit="1" customWidth="1"/>
    <col min="9001" max="9001" width="12.875" bestFit="1" customWidth="1"/>
    <col min="9002" max="9002" width="10.375" bestFit="1" customWidth="1"/>
    <col min="9003" max="9003" width="12.875" bestFit="1" customWidth="1"/>
    <col min="9004" max="9004" width="10.375" bestFit="1" customWidth="1"/>
    <col min="9005" max="9005" width="12.875" bestFit="1" customWidth="1"/>
    <col min="9006" max="9006" width="10.375" bestFit="1" customWidth="1"/>
    <col min="9007" max="9007" width="12.875" bestFit="1" customWidth="1"/>
    <col min="9008" max="9008" width="10.375" bestFit="1" customWidth="1"/>
    <col min="9009" max="9009" width="7" bestFit="1" customWidth="1"/>
    <col min="9010" max="9010" width="12.875" bestFit="1" customWidth="1"/>
    <col min="9011" max="9011" width="10.375" bestFit="1" customWidth="1"/>
    <col min="9012" max="9012" width="12.875" bestFit="1" customWidth="1"/>
    <col min="9013" max="9013" width="10.375" bestFit="1" customWidth="1"/>
    <col min="9014" max="9014" width="12.875" bestFit="1" customWidth="1"/>
    <col min="9015" max="9015" width="10.375" bestFit="1" customWidth="1"/>
    <col min="9016" max="9016" width="12.875" bestFit="1" customWidth="1"/>
    <col min="9017" max="9017" width="10.375" bestFit="1" customWidth="1"/>
    <col min="9018" max="9018" width="12.875" bestFit="1" customWidth="1"/>
    <col min="9019" max="9019" width="10.375" bestFit="1" customWidth="1"/>
    <col min="9020" max="9020" width="12.875" bestFit="1" customWidth="1"/>
    <col min="9021" max="9021" width="10.375" bestFit="1" customWidth="1"/>
    <col min="9022" max="9022" width="12.875" bestFit="1" customWidth="1"/>
    <col min="9023" max="9023" width="10.375" bestFit="1" customWidth="1"/>
    <col min="9024" max="9024" width="12.875" bestFit="1" customWidth="1"/>
    <col min="9025" max="9025" width="10.375" bestFit="1" customWidth="1"/>
    <col min="9026" max="9026" width="12.875" bestFit="1" customWidth="1"/>
    <col min="9027" max="9027" width="10.375" bestFit="1" customWidth="1"/>
    <col min="9028" max="9028" width="12.875" bestFit="1" customWidth="1"/>
    <col min="9029" max="9029" width="10.375" bestFit="1" customWidth="1"/>
    <col min="9030" max="9030" width="12.875" bestFit="1" customWidth="1"/>
    <col min="9031" max="9031" width="10.375" bestFit="1" customWidth="1"/>
    <col min="9032" max="9032" width="12.875" bestFit="1" customWidth="1"/>
    <col min="9033" max="9033" width="10.375" bestFit="1" customWidth="1"/>
    <col min="9034" max="9034" width="7" bestFit="1" customWidth="1"/>
    <col min="9035" max="9035" width="12.875" bestFit="1" customWidth="1"/>
    <col min="9036" max="9036" width="10.375" bestFit="1" customWidth="1"/>
    <col min="9037" max="9037" width="12.875" bestFit="1" customWidth="1"/>
    <col min="9038" max="9038" width="10.375" bestFit="1" customWidth="1"/>
    <col min="9039" max="9039" width="12.875" bestFit="1" customWidth="1"/>
    <col min="9040" max="9040" width="10.375" bestFit="1" customWidth="1"/>
    <col min="9041" max="9041" width="12.875" bestFit="1" customWidth="1"/>
    <col min="9042" max="9042" width="10.375" bestFit="1" customWidth="1"/>
    <col min="9043" max="9043" width="12.875" bestFit="1" customWidth="1"/>
    <col min="9044" max="9044" width="10.375" bestFit="1" customWidth="1"/>
    <col min="9045" max="9045" width="12.875" bestFit="1" customWidth="1"/>
    <col min="9046" max="9046" width="10.375" bestFit="1" customWidth="1"/>
    <col min="9047" max="9047" width="12.875" bestFit="1" customWidth="1"/>
    <col min="9048" max="9048" width="10.375" bestFit="1" customWidth="1"/>
    <col min="9049" max="9049" width="12.875" bestFit="1" customWidth="1"/>
    <col min="9050" max="9050" width="10.375" bestFit="1" customWidth="1"/>
    <col min="9051" max="9051" width="12.875" bestFit="1" customWidth="1"/>
    <col min="9052" max="9052" width="10.375" bestFit="1" customWidth="1"/>
    <col min="9053" max="9053" width="12.875" bestFit="1" customWidth="1"/>
    <col min="9054" max="9054" width="10.375" bestFit="1" customWidth="1"/>
    <col min="9055" max="9055" width="12.875" bestFit="1" customWidth="1"/>
    <col min="9056" max="9056" width="10.375" bestFit="1" customWidth="1"/>
    <col min="9057" max="9057" width="12.875" bestFit="1" customWidth="1"/>
    <col min="9058" max="9058" width="10.375" bestFit="1" customWidth="1"/>
    <col min="9059" max="9059" width="12.875" bestFit="1" customWidth="1"/>
    <col min="9060" max="9060" width="10.375" bestFit="1" customWidth="1"/>
    <col min="9061" max="9061" width="12.875" bestFit="1" customWidth="1"/>
    <col min="9062" max="9062" width="10.375" bestFit="1" customWidth="1"/>
    <col min="9063" max="9063" width="12.875" bestFit="1" customWidth="1"/>
    <col min="9064" max="9064" width="10.375" bestFit="1" customWidth="1"/>
    <col min="9065" max="9065" width="12.875" bestFit="1" customWidth="1"/>
    <col min="9066" max="9066" width="10.375" bestFit="1" customWidth="1"/>
    <col min="9067" max="9067" width="12.875" bestFit="1" customWidth="1"/>
    <col min="9068" max="9068" width="10.375" bestFit="1" customWidth="1"/>
    <col min="9069" max="9069" width="7" bestFit="1" customWidth="1"/>
    <col min="9070" max="9070" width="12.875" bestFit="1" customWidth="1"/>
    <col min="9071" max="9071" width="10.375" bestFit="1" customWidth="1"/>
    <col min="9072" max="9072" width="12.875" bestFit="1" customWidth="1"/>
    <col min="9073" max="9073" width="10.375" bestFit="1" customWidth="1"/>
    <col min="9074" max="9074" width="12.875" bestFit="1" customWidth="1"/>
    <col min="9075" max="9075" width="10.375" bestFit="1" customWidth="1"/>
    <col min="9076" max="9076" width="12.875" bestFit="1" customWidth="1"/>
    <col min="9077" max="9077" width="10.375" bestFit="1" customWidth="1"/>
    <col min="9078" max="9078" width="12.875" bestFit="1" customWidth="1"/>
    <col min="9079" max="9079" width="10.375" bestFit="1" customWidth="1"/>
    <col min="9080" max="9080" width="12.875" bestFit="1" customWidth="1"/>
    <col min="9081" max="9081" width="10.375" bestFit="1" customWidth="1"/>
    <col min="9082" max="9082" width="7" bestFit="1" customWidth="1"/>
    <col min="9083" max="9083" width="12.875" bestFit="1" customWidth="1"/>
    <col min="9084" max="9084" width="10.375" bestFit="1" customWidth="1"/>
    <col min="9085" max="9085" width="12.875" bestFit="1" customWidth="1"/>
    <col min="9086" max="9086" width="10.375" bestFit="1" customWidth="1"/>
    <col min="9087" max="9087" width="12.875" bestFit="1" customWidth="1"/>
    <col min="9088" max="9088" width="10.375" bestFit="1" customWidth="1"/>
    <col min="9089" max="9089" width="12.875" bestFit="1" customWidth="1"/>
    <col min="9090" max="9090" width="10.375" bestFit="1" customWidth="1"/>
    <col min="9091" max="9091" width="12.875" bestFit="1" customWidth="1"/>
    <col min="9092" max="9092" width="10.375" bestFit="1" customWidth="1"/>
    <col min="9093" max="9093" width="12.875" bestFit="1" customWidth="1"/>
    <col min="9094" max="9094" width="10.375" bestFit="1" customWidth="1"/>
    <col min="9095" max="9095" width="12.875" bestFit="1" customWidth="1"/>
    <col min="9096" max="9096" width="10.375" bestFit="1" customWidth="1"/>
    <col min="9097" max="9097" width="12.875" bestFit="1" customWidth="1"/>
    <col min="9098" max="9098" width="10.375" bestFit="1" customWidth="1"/>
    <col min="9099" max="9099" width="12.875" bestFit="1" customWidth="1"/>
    <col min="9100" max="9100" width="10.375" bestFit="1" customWidth="1"/>
    <col min="9101" max="9101" width="12.875" bestFit="1" customWidth="1"/>
    <col min="9102" max="9102" width="10.375" bestFit="1" customWidth="1"/>
    <col min="9103" max="9103" width="12.875" bestFit="1" customWidth="1"/>
    <col min="9104" max="9104" width="10.375" bestFit="1" customWidth="1"/>
    <col min="9105" max="9105" width="12.875" bestFit="1" customWidth="1"/>
    <col min="9106" max="9106" width="10.375" bestFit="1" customWidth="1"/>
    <col min="9107" max="9107" width="12.875" bestFit="1" customWidth="1"/>
    <col min="9108" max="9108" width="10.375" bestFit="1" customWidth="1"/>
    <col min="9109" max="9109" width="12.875" bestFit="1" customWidth="1"/>
    <col min="9110" max="9110" width="10.375" bestFit="1" customWidth="1"/>
    <col min="9111" max="9111" width="12.875" bestFit="1" customWidth="1"/>
    <col min="9112" max="9112" width="10.375" bestFit="1" customWidth="1"/>
    <col min="9113" max="9113" width="12.875" bestFit="1" customWidth="1"/>
    <col min="9114" max="9114" width="10.375" bestFit="1" customWidth="1"/>
    <col min="9115" max="9115" width="12.875" bestFit="1" customWidth="1"/>
    <col min="9116" max="9116" width="10.375" bestFit="1" customWidth="1"/>
    <col min="9117" max="9117" width="12.875" bestFit="1" customWidth="1"/>
    <col min="9118" max="9118" width="10.375" bestFit="1" customWidth="1"/>
    <col min="9119" max="9119" width="12.875" bestFit="1" customWidth="1"/>
    <col min="9120" max="9120" width="10.375" bestFit="1" customWidth="1"/>
    <col min="9121" max="9121" width="12.875" bestFit="1" customWidth="1"/>
    <col min="9122" max="9122" width="10.375" bestFit="1" customWidth="1"/>
    <col min="9123" max="9123" width="12.875" bestFit="1" customWidth="1"/>
    <col min="9124" max="9124" width="10.375" bestFit="1" customWidth="1"/>
    <col min="9125" max="9125" width="12.875" bestFit="1" customWidth="1"/>
    <col min="9126" max="9126" width="10.375" bestFit="1" customWidth="1"/>
    <col min="9127" max="9127" width="12.875" bestFit="1" customWidth="1"/>
    <col min="9128" max="9128" width="10.375" bestFit="1" customWidth="1"/>
    <col min="9129" max="9129" width="12.875" bestFit="1" customWidth="1"/>
    <col min="9130" max="9130" width="10.375" bestFit="1" customWidth="1"/>
    <col min="9131" max="9131" width="12.875" bestFit="1" customWidth="1"/>
    <col min="9132" max="9132" width="10.375" bestFit="1" customWidth="1"/>
    <col min="9133" max="9133" width="12.875" bestFit="1" customWidth="1"/>
    <col min="9134" max="9134" width="10.375" bestFit="1" customWidth="1"/>
    <col min="9135" max="9135" width="12.875" bestFit="1" customWidth="1"/>
    <col min="9136" max="9136" width="10.375" bestFit="1" customWidth="1"/>
    <col min="9137" max="9137" width="12.875" bestFit="1" customWidth="1"/>
    <col min="9138" max="9138" width="10.375" bestFit="1" customWidth="1"/>
    <col min="9139" max="9139" width="12.875" bestFit="1" customWidth="1"/>
    <col min="9140" max="9140" width="10.375" bestFit="1" customWidth="1"/>
    <col min="9141" max="9141" width="12.875" bestFit="1" customWidth="1"/>
    <col min="9142" max="9142" width="10.375" bestFit="1" customWidth="1"/>
    <col min="9143" max="9143" width="12.875" bestFit="1" customWidth="1"/>
    <col min="9144" max="9144" width="10.375" bestFit="1" customWidth="1"/>
    <col min="9145" max="9145" width="12.875" bestFit="1" customWidth="1"/>
    <col min="9146" max="9146" width="10.375" bestFit="1" customWidth="1"/>
    <col min="9147" max="9147" width="12.875" bestFit="1" customWidth="1"/>
    <col min="9148" max="9148" width="10.375" bestFit="1" customWidth="1"/>
    <col min="9149" max="9149" width="12.875" bestFit="1" customWidth="1"/>
    <col min="9150" max="9150" width="10.375" bestFit="1" customWidth="1"/>
    <col min="9151" max="9151" width="12.875" bestFit="1" customWidth="1"/>
    <col min="9152" max="9152" width="10.375" bestFit="1" customWidth="1"/>
    <col min="9153" max="9153" width="12.875" bestFit="1" customWidth="1"/>
    <col min="9154" max="9154" width="10.375" bestFit="1" customWidth="1"/>
    <col min="9155" max="9155" width="12.875" bestFit="1" customWidth="1"/>
    <col min="9156" max="9156" width="10.375" bestFit="1" customWidth="1"/>
    <col min="9157" max="9157" width="12.875" bestFit="1" customWidth="1"/>
    <col min="9158" max="9158" width="10.375" bestFit="1" customWidth="1"/>
    <col min="9159" max="9159" width="12.875" bestFit="1" customWidth="1"/>
    <col min="9160" max="9160" width="10.375" bestFit="1" customWidth="1"/>
    <col min="9161" max="9161" width="12.875" bestFit="1" customWidth="1"/>
    <col min="9162" max="9162" width="10.375" bestFit="1" customWidth="1"/>
    <col min="9163" max="9163" width="12.875" bestFit="1" customWidth="1"/>
    <col min="9164" max="9164" width="10.375" bestFit="1" customWidth="1"/>
    <col min="9165" max="9165" width="12.875" bestFit="1" customWidth="1"/>
    <col min="9166" max="9166" width="10.375" bestFit="1" customWidth="1"/>
    <col min="9167" max="9167" width="12.875" bestFit="1" customWidth="1"/>
    <col min="9168" max="9168" width="10.375" bestFit="1" customWidth="1"/>
    <col min="9169" max="9169" width="12.875" bestFit="1" customWidth="1"/>
    <col min="9170" max="9170" width="10.375" bestFit="1" customWidth="1"/>
    <col min="9171" max="9171" width="12.875" bestFit="1" customWidth="1"/>
    <col min="9172" max="9172" width="10.375" bestFit="1" customWidth="1"/>
    <col min="9173" max="9173" width="12.875" bestFit="1" customWidth="1"/>
    <col min="9174" max="9174" width="10.375" bestFit="1" customWidth="1"/>
    <col min="9175" max="9175" width="12.875" bestFit="1" customWidth="1"/>
    <col min="9176" max="9176" width="10.375" bestFit="1" customWidth="1"/>
    <col min="9177" max="9177" width="12.875" bestFit="1" customWidth="1"/>
    <col min="9178" max="9178" width="10.375" bestFit="1" customWidth="1"/>
    <col min="9179" max="9179" width="12.875" bestFit="1" customWidth="1"/>
    <col min="9180" max="9180" width="10.375" bestFit="1" customWidth="1"/>
    <col min="9181" max="9181" width="12.875" bestFit="1" customWidth="1"/>
    <col min="9182" max="9182" width="10.375" bestFit="1" customWidth="1"/>
    <col min="9183" max="9183" width="12.875" bestFit="1" customWidth="1"/>
    <col min="9184" max="9184" width="10.375" bestFit="1" customWidth="1"/>
    <col min="9185" max="9185" width="12.875" bestFit="1" customWidth="1"/>
    <col min="9186" max="9186" width="10.375" bestFit="1" customWidth="1"/>
    <col min="9187" max="9187" width="12.875" bestFit="1" customWidth="1"/>
    <col min="9188" max="9188" width="10.375" bestFit="1" customWidth="1"/>
    <col min="9189" max="9189" width="12.875" bestFit="1" customWidth="1"/>
    <col min="9190" max="9190" width="10.375" bestFit="1" customWidth="1"/>
    <col min="9191" max="9191" width="12.875" bestFit="1" customWidth="1"/>
    <col min="9192" max="9192" width="10.375" bestFit="1" customWidth="1"/>
    <col min="9193" max="9193" width="12.875" bestFit="1" customWidth="1"/>
    <col min="9194" max="9194" width="10.375" bestFit="1" customWidth="1"/>
    <col min="9195" max="9195" width="12.875" bestFit="1" customWidth="1"/>
    <col min="9196" max="9196" width="10.375" bestFit="1" customWidth="1"/>
    <col min="9197" max="9197" width="12.875" bestFit="1" customWidth="1"/>
    <col min="9198" max="9198" width="10.375" bestFit="1" customWidth="1"/>
    <col min="9199" max="9199" width="12.875" bestFit="1" customWidth="1"/>
    <col min="9200" max="9200" width="10.375" bestFit="1" customWidth="1"/>
    <col min="9201" max="9201" width="12.875" bestFit="1" customWidth="1"/>
    <col min="9202" max="9202" width="10.375" bestFit="1" customWidth="1"/>
    <col min="9203" max="9203" width="12.875" bestFit="1" customWidth="1"/>
    <col min="9204" max="9204" width="10.375" bestFit="1" customWidth="1"/>
    <col min="9205" max="9205" width="12.875" bestFit="1" customWidth="1"/>
    <col min="9206" max="9206" width="10.375" bestFit="1" customWidth="1"/>
    <col min="9207" max="9207" width="12.875" bestFit="1" customWidth="1"/>
    <col min="9208" max="9208" width="10.375" bestFit="1" customWidth="1"/>
    <col min="9209" max="9209" width="12.875" bestFit="1" customWidth="1"/>
    <col min="9210" max="9210" width="10.375" bestFit="1" customWidth="1"/>
    <col min="9211" max="9211" width="12.875" bestFit="1" customWidth="1"/>
    <col min="9212" max="9212" width="10.375" bestFit="1" customWidth="1"/>
    <col min="9213" max="9213" width="12.875" bestFit="1" customWidth="1"/>
    <col min="9214" max="9214" width="10.375" bestFit="1" customWidth="1"/>
    <col min="9215" max="9215" width="12.875" bestFit="1" customWidth="1"/>
    <col min="9216" max="9216" width="10.375" bestFit="1" customWidth="1"/>
    <col min="9217" max="9217" width="12.875" bestFit="1" customWidth="1"/>
    <col min="9218" max="9218" width="10.375" bestFit="1" customWidth="1"/>
    <col min="9219" max="9219" width="12.875" bestFit="1" customWidth="1"/>
    <col min="9220" max="9220" width="10.375" bestFit="1" customWidth="1"/>
    <col min="9221" max="9221" width="12.875" bestFit="1" customWidth="1"/>
    <col min="9222" max="9222" width="10.375" bestFit="1" customWidth="1"/>
    <col min="9223" max="9223" width="12.875" bestFit="1" customWidth="1"/>
    <col min="9224" max="9224" width="10.375" bestFit="1" customWidth="1"/>
    <col min="9225" max="9225" width="12.875" bestFit="1" customWidth="1"/>
    <col min="9226" max="9226" width="10.375" bestFit="1" customWidth="1"/>
    <col min="9227" max="9227" width="12.875" bestFit="1" customWidth="1"/>
    <col min="9228" max="9228" width="10.375" bestFit="1" customWidth="1"/>
    <col min="9229" max="9229" width="12.875" bestFit="1" customWidth="1"/>
    <col min="9230" max="9230" width="10.375" bestFit="1" customWidth="1"/>
    <col min="9231" max="9231" width="12.875" bestFit="1" customWidth="1"/>
    <col min="9232" max="9232" width="10.375" bestFit="1" customWidth="1"/>
    <col min="9233" max="9233" width="12.875" bestFit="1" customWidth="1"/>
    <col min="9234" max="9234" width="10.375" bestFit="1" customWidth="1"/>
    <col min="9235" max="9235" width="12.875" bestFit="1" customWidth="1"/>
    <col min="9236" max="9236" width="10.375" bestFit="1" customWidth="1"/>
    <col min="9237" max="9237" width="12.875" bestFit="1" customWidth="1"/>
    <col min="9238" max="9238" width="10.375" bestFit="1" customWidth="1"/>
    <col min="9239" max="9239" width="12.875" bestFit="1" customWidth="1"/>
    <col min="9240" max="9240" width="10.375" bestFit="1" customWidth="1"/>
    <col min="9241" max="9241" width="12.875" bestFit="1" customWidth="1"/>
    <col min="9242" max="9242" width="10.375" bestFit="1" customWidth="1"/>
    <col min="9243" max="9243" width="12.875" bestFit="1" customWidth="1"/>
    <col min="9244" max="9244" width="10.375" bestFit="1" customWidth="1"/>
    <col min="9245" max="9245" width="12.875" bestFit="1" customWidth="1"/>
    <col min="9246" max="9246" width="10.375" bestFit="1" customWidth="1"/>
    <col min="9247" max="9247" width="12.875" bestFit="1" customWidth="1"/>
    <col min="9248" max="9248" width="10.375" bestFit="1" customWidth="1"/>
    <col min="9249" max="9249" width="12.875" bestFit="1" customWidth="1"/>
    <col min="9250" max="9250" width="10.375" bestFit="1" customWidth="1"/>
    <col min="9251" max="9251" width="12.875" bestFit="1" customWidth="1"/>
    <col min="9252" max="9252" width="10.375" bestFit="1" customWidth="1"/>
    <col min="9253" max="9253" width="7" bestFit="1" customWidth="1"/>
    <col min="9254" max="9254" width="12.875" bestFit="1" customWidth="1"/>
    <col min="9255" max="9255" width="10.375" bestFit="1" customWidth="1"/>
    <col min="9256" max="9256" width="12.875" bestFit="1" customWidth="1"/>
    <col min="9257" max="9257" width="10.375" bestFit="1" customWidth="1"/>
    <col min="9258" max="9258" width="12.875" bestFit="1" customWidth="1"/>
    <col min="9259" max="9259" width="10.375" bestFit="1" customWidth="1"/>
    <col min="9260" max="9260" width="12.875" bestFit="1" customWidth="1"/>
    <col min="9261" max="9261" width="10.375" bestFit="1" customWidth="1"/>
    <col min="9262" max="9262" width="7" bestFit="1" customWidth="1"/>
    <col min="9263" max="9263" width="12.875" bestFit="1" customWidth="1"/>
    <col min="9264" max="9264" width="10.375" bestFit="1" customWidth="1"/>
    <col min="9265" max="9265" width="12.875" bestFit="1" customWidth="1"/>
    <col min="9266" max="9266" width="10.375" bestFit="1" customWidth="1"/>
    <col min="9267" max="9267" width="12.875" bestFit="1" customWidth="1"/>
    <col min="9268" max="9268" width="10.375" bestFit="1" customWidth="1"/>
    <col min="9269" max="9269" width="12.875" bestFit="1" customWidth="1"/>
    <col min="9270" max="9270" width="10.375" bestFit="1" customWidth="1"/>
    <col min="9271" max="9271" width="12.875" bestFit="1" customWidth="1"/>
    <col min="9272" max="9272" width="10.375" bestFit="1" customWidth="1"/>
    <col min="9273" max="9273" width="7" bestFit="1" customWidth="1"/>
    <col min="9274" max="9274" width="12.875" bestFit="1" customWidth="1"/>
    <col min="9275" max="9275" width="10.375" bestFit="1" customWidth="1"/>
    <col min="9276" max="9276" width="12.875" bestFit="1" customWidth="1"/>
    <col min="9277" max="9277" width="10.375" bestFit="1" customWidth="1"/>
    <col min="9278" max="9278" width="12.875" bestFit="1" customWidth="1"/>
    <col min="9279" max="9279" width="10.375" bestFit="1" customWidth="1"/>
    <col min="9280" max="9280" width="12.875" bestFit="1" customWidth="1"/>
    <col min="9281" max="9281" width="10.375" bestFit="1" customWidth="1"/>
    <col min="9282" max="9282" width="12.875" bestFit="1" customWidth="1"/>
    <col min="9283" max="9283" width="10.375" bestFit="1" customWidth="1"/>
    <col min="9284" max="9284" width="12.875" bestFit="1" customWidth="1"/>
    <col min="9285" max="9285" width="10.375" bestFit="1" customWidth="1"/>
    <col min="9286" max="9286" width="7" bestFit="1" customWidth="1"/>
    <col min="9287" max="9287" width="12.875" bestFit="1" customWidth="1"/>
    <col min="9288" max="9288" width="10.375" bestFit="1" customWidth="1"/>
    <col min="9289" max="9289" width="12.875" bestFit="1" customWidth="1"/>
    <col min="9290" max="9290" width="10.375" bestFit="1" customWidth="1"/>
    <col min="9291" max="9291" width="12.875" bestFit="1" customWidth="1"/>
    <col min="9292" max="9292" width="10.375" bestFit="1" customWidth="1"/>
    <col min="9293" max="9293" width="7" bestFit="1" customWidth="1"/>
    <col min="9294" max="9294" width="12.875" bestFit="1" customWidth="1"/>
    <col min="9295" max="9295" width="10.375" bestFit="1" customWidth="1"/>
    <col min="9296" max="9296" width="12.875" bestFit="1" customWidth="1"/>
    <col min="9297" max="9297" width="10.375" bestFit="1" customWidth="1"/>
    <col min="9298" max="9298" width="7" bestFit="1" customWidth="1"/>
    <col min="9299" max="9299" width="12.875" bestFit="1" customWidth="1"/>
    <col min="9300" max="9300" width="10.375" bestFit="1" customWidth="1"/>
    <col min="9301" max="9301" width="12.875" bestFit="1" customWidth="1"/>
    <col min="9302" max="9302" width="10.375" bestFit="1" customWidth="1"/>
    <col min="9303" max="9303" width="7" bestFit="1" customWidth="1"/>
    <col min="9304" max="9304" width="12.875" bestFit="1" customWidth="1"/>
    <col min="9305" max="9305" width="10.375" bestFit="1" customWidth="1"/>
    <col min="9306" max="9306" width="12.875" bestFit="1" customWidth="1"/>
    <col min="9307" max="9307" width="10.375" bestFit="1" customWidth="1"/>
    <col min="9308" max="9308" width="12.875" bestFit="1" customWidth="1"/>
    <col min="9309" max="9309" width="10.375" bestFit="1" customWidth="1"/>
    <col min="9310" max="9310" width="12.875" bestFit="1" customWidth="1"/>
    <col min="9311" max="9311" width="10.375" bestFit="1" customWidth="1"/>
    <col min="9312" max="9312" width="12.875" bestFit="1" customWidth="1"/>
    <col min="9313" max="9313" width="10.375" bestFit="1" customWidth="1"/>
    <col min="9314" max="9314" width="12.875" bestFit="1" customWidth="1"/>
    <col min="9315" max="9315" width="10.375" bestFit="1" customWidth="1"/>
    <col min="9316" max="9316" width="12.875" bestFit="1" customWidth="1"/>
    <col min="9317" max="9317" width="10.375" bestFit="1" customWidth="1"/>
    <col min="9318" max="9318" width="12.875" bestFit="1" customWidth="1"/>
    <col min="9319" max="9319" width="10.375" bestFit="1" customWidth="1"/>
    <col min="9320" max="9320" width="12.875" bestFit="1" customWidth="1"/>
    <col min="9321" max="9321" width="10.375" bestFit="1" customWidth="1"/>
    <col min="9322" max="9322" width="7" bestFit="1" customWidth="1"/>
    <col min="9323" max="9323" width="12.875" bestFit="1" customWidth="1"/>
    <col min="9324" max="9324" width="10.375" bestFit="1" customWidth="1"/>
    <col min="9325" max="9325" width="12.875" bestFit="1" customWidth="1"/>
    <col min="9326" max="9326" width="10.375" bestFit="1" customWidth="1"/>
    <col min="9327" max="9327" width="12.875" bestFit="1" customWidth="1"/>
    <col min="9328" max="9328" width="10.375" bestFit="1" customWidth="1"/>
    <col min="9329" max="9329" width="12.875" bestFit="1" customWidth="1"/>
    <col min="9330" max="9330" width="10.375" bestFit="1" customWidth="1"/>
    <col min="9331" max="9331" width="8.625" bestFit="1" customWidth="1"/>
    <col min="9332" max="9332" width="7" bestFit="1" customWidth="1"/>
    <col min="9333" max="9333" width="12.875" bestFit="1" customWidth="1"/>
    <col min="9334" max="9334" width="10.375" bestFit="1" customWidth="1"/>
    <col min="9335" max="9335" width="12.875" bestFit="1" customWidth="1"/>
    <col min="9336" max="9336" width="10.375" bestFit="1" customWidth="1"/>
    <col min="9337" max="9337" width="12.875" bestFit="1" customWidth="1"/>
    <col min="9338" max="9338" width="10.375" bestFit="1" customWidth="1"/>
    <col min="9339" max="9339" width="7" bestFit="1" customWidth="1"/>
    <col min="9340" max="9340" width="12.875" bestFit="1" customWidth="1"/>
    <col min="9341" max="9341" width="10.375" bestFit="1" customWidth="1"/>
    <col min="9342" max="9342" width="12.875" bestFit="1" customWidth="1"/>
    <col min="9343" max="9343" width="10.375" bestFit="1" customWidth="1"/>
    <col min="9344" max="9344" width="12.875" bestFit="1" customWidth="1"/>
    <col min="9345" max="9345" width="10.375" bestFit="1" customWidth="1"/>
    <col min="9346" max="9346" width="7" bestFit="1" customWidth="1"/>
    <col min="9347" max="9347" width="12.875" bestFit="1" customWidth="1"/>
    <col min="9348" max="9348" width="10.375" bestFit="1" customWidth="1"/>
    <col min="9349" max="9349" width="12.875" bestFit="1" customWidth="1"/>
    <col min="9350" max="9350" width="10.375" bestFit="1" customWidth="1"/>
    <col min="9351" max="9351" width="12.875" bestFit="1" customWidth="1"/>
    <col min="9352" max="9352" width="10.375" bestFit="1" customWidth="1"/>
    <col min="9353" max="9353" width="12.875" bestFit="1" customWidth="1"/>
    <col min="9354" max="9354" width="10.375" bestFit="1" customWidth="1"/>
    <col min="9355" max="9355" width="7" bestFit="1" customWidth="1"/>
    <col min="9356" max="9356" width="12.875" bestFit="1" customWidth="1"/>
    <col min="9357" max="9357" width="10.375" bestFit="1" customWidth="1"/>
    <col min="9358" max="9358" width="7" bestFit="1" customWidth="1"/>
    <col min="9359" max="9359" width="12.875" bestFit="1" customWidth="1"/>
    <col min="9360" max="9360" width="10.375" bestFit="1" customWidth="1"/>
    <col min="9361" max="9361" width="12.875" bestFit="1" customWidth="1"/>
    <col min="9362" max="9362" width="10.375" bestFit="1" customWidth="1"/>
    <col min="9363" max="9363" width="12.875" bestFit="1" customWidth="1"/>
    <col min="9364" max="9364" width="10.375" bestFit="1" customWidth="1"/>
    <col min="9365" max="9365" width="12.875" bestFit="1" customWidth="1"/>
    <col min="9366" max="9366" width="10.375" bestFit="1" customWidth="1"/>
    <col min="9367" max="9367" width="7" bestFit="1" customWidth="1"/>
    <col min="9368" max="9368" width="12.875" bestFit="1" customWidth="1"/>
    <col min="9369" max="9369" width="10.375" bestFit="1" customWidth="1"/>
    <col min="9370" max="9370" width="12.875" bestFit="1" customWidth="1"/>
    <col min="9371" max="9371" width="10.375" bestFit="1" customWidth="1"/>
    <col min="9372" max="9372" width="12.875" bestFit="1" customWidth="1"/>
    <col min="9373" max="9373" width="10.375" bestFit="1" customWidth="1"/>
    <col min="9374" max="9374" width="12.875" bestFit="1" customWidth="1"/>
    <col min="9375" max="9375" width="10.375" bestFit="1" customWidth="1"/>
    <col min="9376" max="9376" width="7" bestFit="1" customWidth="1"/>
    <col min="9377" max="9377" width="12.875" bestFit="1" customWidth="1"/>
    <col min="9378" max="9378" width="10.375" bestFit="1" customWidth="1"/>
    <col min="9379" max="9379" width="12.875" bestFit="1" customWidth="1"/>
    <col min="9380" max="9380" width="10.375" bestFit="1" customWidth="1"/>
    <col min="9381" max="9381" width="12.875" bestFit="1" customWidth="1"/>
    <col min="9382" max="9382" width="10.375" bestFit="1" customWidth="1"/>
    <col min="9383" max="9383" width="12.875" bestFit="1" customWidth="1"/>
    <col min="9384" max="9384" width="10.375" bestFit="1" customWidth="1"/>
    <col min="9385" max="9385" width="12.875" bestFit="1" customWidth="1"/>
    <col min="9386" max="9386" width="10.375" bestFit="1" customWidth="1"/>
    <col min="9387" max="9387" width="12.875" bestFit="1" customWidth="1"/>
    <col min="9388" max="9388" width="10.375" bestFit="1" customWidth="1"/>
    <col min="9389" max="9389" width="12.875" bestFit="1" customWidth="1"/>
    <col min="9390" max="9390" width="10.375" bestFit="1" customWidth="1"/>
    <col min="9391" max="9391" width="12.875" bestFit="1" customWidth="1"/>
    <col min="9392" max="9392" width="10.375" bestFit="1" customWidth="1"/>
    <col min="9393" max="9393" width="12.875" bestFit="1" customWidth="1"/>
    <col min="9394" max="9394" width="10.375" bestFit="1" customWidth="1"/>
    <col min="9395" max="9395" width="7" bestFit="1" customWidth="1"/>
    <col min="9396" max="9396" width="12.875" bestFit="1" customWidth="1"/>
    <col min="9397" max="9397" width="10.375" bestFit="1" customWidth="1"/>
    <col min="9398" max="9398" width="12.875" bestFit="1" customWidth="1"/>
    <col min="9399" max="9399" width="10.375" bestFit="1" customWidth="1"/>
    <col min="9400" max="9400" width="12.875" bestFit="1" customWidth="1"/>
    <col min="9401" max="9401" width="10.375" bestFit="1" customWidth="1"/>
    <col min="9402" max="9402" width="12.875" bestFit="1" customWidth="1"/>
    <col min="9403" max="9403" width="10.375" bestFit="1" customWidth="1"/>
    <col min="9404" max="9404" width="12.875" bestFit="1" customWidth="1"/>
    <col min="9405" max="9405" width="10.375" bestFit="1" customWidth="1"/>
    <col min="9406" max="9406" width="12.875" bestFit="1" customWidth="1"/>
    <col min="9407" max="9407" width="10.375" bestFit="1" customWidth="1"/>
    <col min="9408" max="9408" width="12.875" bestFit="1" customWidth="1"/>
    <col min="9409" max="9409" width="10.375" bestFit="1" customWidth="1"/>
    <col min="9410" max="9410" width="12.875" bestFit="1" customWidth="1"/>
    <col min="9411" max="9411" width="10.375" bestFit="1" customWidth="1"/>
    <col min="9412" max="9412" width="12.875" bestFit="1" customWidth="1"/>
    <col min="9413" max="9413" width="10.375" bestFit="1" customWidth="1"/>
    <col min="9414" max="9414" width="12.875" bestFit="1" customWidth="1"/>
    <col min="9415" max="9415" width="10.375" bestFit="1" customWidth="1"/>
    <col min="9416" max="9416" width="12.875" bestFit="1" customWidth="1"/>
    <col min="9417" max="9417" width="10.375" bestFit="1" customWidth="1"/>
    <col min="9418" max="9418" width="12.875" bestFit="1" customWidth="1"/>
    <col min="9419" max="9419" width="10.375" bestFit="1" customWidth="1"/>
    <col min="9420" max="9420" width="12.875" bestFit="1" customWidth="1"/>
    <col min="9421" max="9421" width="10.375" bestFit="1" customWidth="1"/>
    <col min="9422" max="9422" width="12.875" bestFit="1" customWidth="1"/>
    <col min="9423" max="9423" width="10.375" bestFit="1" customWidth="1"/>
    <col min="9424" max="9424" width="12.875" bestFit="1" customWidth="1"/>
    <col min="9425" max="9425" width="10.375" bestFit="1" customWidth="1"/>
    <col min="9426" max="9426" width="12.875" bestFit="1" customWidth="1"/>
    <col min="9427" max="9427" width="10.375" bestFit="1" customWidth="1"/>
    <col min="9428" max="9428" width="12.875" bestFit="1" customWidth="1"/>
    <col min="9429" max="9429" width="10.375" bestFit="1" customWidth="1"/>
    <col min="9430" max="9430" width="12.875" bestFit="1" customWidth="1"/>
    <col min="9431" max="9431" width="10.375" bestFit="1" customWidth="1"/>
    <col min="9432" max="9432" width="12.875" bestFit="1" customWidth="1"/>
    <col min="9433" max="9433" width="10.375" bestFit="1" customWidth="1"/>
    <col min="9434" max="9434" width="12.875" bestFit="1" customWidth="1"/>
    <col min="9435" max="9435" width="10.375" bestFit="1" customWidth="1"/>
    <col min="9436" max="9436" width="12.875" bestFit="1" customWidth="1"/>
    <col min="9437" max="9437" width="10.375" bestFit="1" customWidth="1"/>
    <col min="9438" max="9438" width="12.875" bestFit="1" customWidth="1"/>
    <col min="9439" max="9439" width="10.375" bestFit="1" customWidth="1"/>
    <col min="9440" max="9440" width="12.875" bestFit="1" customWidth="1"/>
    <col min="9441" max="9441" width="10.375" bestFit="1" customWidth="1"/>
    <col min="9442" max="9442" width="12.875" bestFit="1" customWidth="1"/>
    <col min="9443" max="9443" width="10.375" bestFit="1" customWidth="1"/>
    <col min="9444" max="9444" width="12.875" bestFit="1" customWidth="1"/>
    <col min="9445" max="9445" width="10.375" bestFit="1" customWidth="1"/>
    <col min="9446" max="9446" width="12.875" bestFit="1" customWidth="1"/>
    <col min="9447" max="9447" width="10.375" bestFit="1" customWidth="1"/>
    <col min="9448" max="9448" width="12.875" bestFit="1" customWidth="1"/>
    <col min="9449" max="9449" width="10.375" bestFit="1" customWidth="1"/>
    <col min="9450" max="9450" width="12.875" bestFit="1" customWidth="1"/>
    <col min="9451" max="9451" width="10.375" bestFit="1" customWidth="1"/>
    <col min="9452" max="9452" width="7" bestFit="1" customWidth="1"/>
    <col min="9453" max="9453" width="12.875" bestFit="1" customWidth="1"/>
    <col min="9454" max="9454" width="10.375" bestFit="1" customWidth="1"/>
    <col min="9455" max="9455" width="12.875" bestFit="1" customWidth="1"/>
    <col min="9456" max="9456" width="10.375" bestFit="1" customWidth="1"/>
    <col min="9457" max="9457" width="12.875" bestFit="1" customWidth="1"/>
    <col min="9458" max="9458" width="10.375" bestFit="1" customWidth="1"/>
    <col min="9459" max="9459" width="7" bestFit="1" customWidth="1"/>
    <col min="9460" max="9460" width="12.875" bestFit="1" customWidth="1"/>
    <col min="9461" max="9461" width="10.375" bestFit="1" customWidth="1"/>
    <col min="9462" max="9462" width="12.875" bestFit="1" customWidth="1"/>
    <col min="9463" max="9463" width="10.375" bestFit="1" customWidth="1"/>
    <col min="9464" max="9464" width="12.875" bestFit="1" customWidth="1"/>
    <col min="9465" max="9465" width="10.375" bestFit="1" customWidth="1"/>
    <col min="9466" max="9466" width="12.875" bestFit="1" customWidth="1"/>
    <col min="9467" max="9467" width="10.375" bestFit="1" customWidth="1"/>
    <col min="9468" max="9468" width="12.875" bestFit="1" customWidth="1"/>
    <col min="9469" max="9469" width="10.375" bestFit="1" customWidth="1"/>
    <col min="9470" max="9470" width="7" bestFit="1" customWidth="1"/>
    <col min="9471" max="9471" width="12.875" bestFit="1" customWidth="1"/>
    <col min="9472" max="9472" width="10.375" bestFit="1" customWidth="1"/>
    <col min="9473" max="9473" width="12.875" bestFit="1" customWidth="1"/>
    <col min="9474" max="9474" width="10.375" bestFit="1" customWidth="1"/>
    <col min="9475" max="9475" width="12.875" bestFit="1" customWidth="1"/>
    <col min="9476" max="9476" width="10.375" bestFit="1" customWidth="1"/>
    <col min="9477" max="9477" width="12.875" bestFit="1" customWidth="1"/>
    <col min="9478" max="9478" width="10.375" bestFit="1" customWidth="1"/>
    <col min="9479" max="9479" width="12.875" bestFit="1" customWidth="1"/>
    <col min="9480" max="9480" width="10.375" bestFit="1" customWidth="1"/>
    <col min="9481" max="9481" width="12.875" bestFit="1" customWidth="1"/>
    <col min="9482" max="9482" width="10.375" bestFit="1" customWidth="1"/>
    <col min="9483" max="9483" width="12.875" bestFit="1" customWidth="1"/>
    <col min="9484" max="9484" width="10.375" bestFit="1" customWidth="1"/>
    <col min="9485" max="9485" width="12.875" bestFit="1" customWidth="1"/>
    <col min="9486" max="9486" width="10.375" bestFit="1" customWidth="1"/>
    <col min="9487" max="9487" width="12.875" bestFit="1" customWidth="1"/>
    <col min="9488" max="9488" width="10.375" bestFit="1" customWidth="1"/>
    <col min="9489" max="9489" width="12.875" bestFit="1" customWidth="1"/>
    <col min="9490" max="9490" width="10.375" bestFit="1" customWidth="1"/>
    <col min="9491" max="9491" width="12.875" bestFit="1" customWidth="1"/>
    <col min="9492" max="9492" width="10.375" bestFit="1" customWidth="1"/>
    <col min="9493" max="9493" width="12.875" bestFit="1" customWidth="1"/>
    <col min="9494" max="9494" width="10.375" bestFit="1" customWidth="1"/>
    <col min="9495" max="9495" width="12.875" bestFit="1" customWidth="1"/>
    <col min="9496" max="9496" width="10.375" bestFit="1" customWidth="1"/>
    <col min="9497" max="9497" width="12.875" bestFit="1" customWidth="1"/>
    <col min="9498" max="9498" width="10.375" bestFit="1" customWidth="1"/>
    <col min="9499" max="9499" width="12.875" bestFit="1" customWidth="1"/>
    <col min="9500" max="9500" width="10.375" bestFit="1" customWidth="1"/>
    <col min="9501" max="9501" width="12.875" bestFit="1" customWidth="1"/>
    <col min="9502" max="9502" width="10.375" bestFit="1" customWidth="1"/>
    <col min="9503" max="9503" width="12.875" bestFit="1" customWidth="1"/>
    <col min="9504" max="9504" width="10.375" bestFit="1" customWidth="1"/>
    <col min="9505" max="9505" width="12.875" bestFit="1" customWidth="1"/>
    <col min="9506" max="9506" width="10.375" bestFit="1" customWidth="1"/>
    <col min="9507" max="9507" width="12.875" bestFit="1" customWidth="1"/>
    <col min="9508" max="9508" width="10.375" bestFit="1" customWidth="1"/>
    <col min="9509" max="9509" width="12.875" bestFit="1" customWidth="1"/>
    <col min="9510" max="9510" width="10.375" bestFit="1" customWidth="1"/>
    <col min="9511" max="9511" width="12.875" bestFit="1" customWidth="1"/>
    <col min="9512" max="9512" width="10.375" bestFit="1" customWidth="1"/>
    <col min="9513" max="9513" width="12.875" bestFit="1" customWidth="1"/>
    <col min="9514" max="9514" width="10.375" bestFit="1" customWidth="1"/>
    <col min="9515" max="9515" width="12.875" bestFit="1" customWidth="1"/>
    <col min="9516" max="9516" width="10.375" bestFit="1" customWidth="1"/>
    <col min="9517" max="9517" width="12.875" bestFit="1" customWidth="1"/>
    <col min="9518" max="9518" width="10.375" bestFit="1" customWidth="1"/>
    <col min="9519" max="9519" width="12.875" bestFit="1" customWidth="1"/>
    <col min="9520" max="9520" width="10.375" bestFit="1" customWidth="1"/>
    <col min="9521" max="9521" width="12.875" bestFit="1" customWidth="1"/>
    <col min="9522" max="9522" width="10.375" bestFit="1" customWidth="1"/>
    <col min="9523" max="9523" width="12.875" bestFit="1" customWidth="1"/>
    <col min="9524" max="9524" width="10.375" bestFit="1" customWidth="1"/>
    <col min="9525" max="9525" width="12.875" bestFit="1" customWidth="1"/>
    <col min="9526" max="9526" width="10.375" bestFit="1" customWidth="1"/>
    <col min="9527" max="9527" width="12.875" bestFit="1" customWidth="1"/>
    <col min="9528" max="9528" width="10.375" bestFit="1" customWidth="1"/>
    <col min="9529" max="9529" width="12.875" bestFit="1" customWidth="1"/>
    <col min="9530" max="9530" width="10.375" bestFit="1" customWidth="1"/>
    <col min="9531" max="9531" width="12.875" bestFit="1" customWidth="1"/>
    <col min="9532" max="9532" width="10.375" bestFit="1" customWidth="1"/>
    <col min="9533" max="9533" width="12.875" bestFit="1" customWidth="1"/>
    <col min="9534" max="9534" width="10.375" bestFit="1" customWidth="1"/>
    <col min="9535" max="9535" width="12.875" bestFit="1" customWidth="1"/>
    <col min="9536" max="9536" width="10.375" bestFit="1" customWidth="1"/>
    <col min="9537" max="9537" width="12.875" bestFit="1" customWidth="1"/>
    <col min="9538" max="9538" width="10.375" bestFit="1" customWidth="1"/>
    <col min="9539" max="9539" width="12.875" bestFit="1" customWidth="1"/>
    <col min="9540" max="9540" width="10.375" bestFit="1" customWidth="1"/>
    <col min="9541" max="9541" width="12.875" bestFit="1" customWidth="1"/>
    <col min="9542" max="9542" width="10.375" bestFit="1" customWidth="1"/>
    <col min="9543" max="9543" width="12.875" bestFit="1" customWidth="1"/>
    <col min="9544" max="9544" width="10.375" bestFit="1" customWidth="1"/>
    <col min="9545" max="9545" width="12.875" bestFit="1" customWidth="1"/>
    <col min="9546" max="9546" width="10.375" bestFit="1" customWidth="1"/>
    <col min="9547" max="9547" width="12.875" bestFit="1" customWidth="1"/>
    <col min="9548" max="9548" width="10.375" bestFit="1" customWidth="1"/>
    <col min="9549" max="9549" width="12.875" bestFit="1" customWidth="1"/>
    <col min="9550" max="9550" width="10.375" bestFit="1" customWidth="1"/>
    <col min="9551" max="9551" width="12.875" bestFit="1" customWidth="1"/>
    <col min="9552" max="9552" width="10.375" bestFit="1" customWidth="1"/>
    <col min="9553" max="9553" width="12.875" bestFit="1" customWidth="1"/>
    <col min="9554" max="9554" width="10.375" bestFit="1" customWidth="1"/>
    <col min="9555" max="9555" width="12.875" bestFit="1" customWidth="1"/>
    <col min="9556" max="9556" width="10.375" bestFit="1" customWidth="1"/>
    <col min="9557" max="9557" width="12.875" bestFit="1" customWidth="1"/>
    <col min="9558" max="9558" width="10.375" bestFit="1" customWidth="1"/>
    <col min="9559" max="9559" width="12.875" bestFit="1" customWidth="1"/>
    <col min="9560" max="9560" width="10.375" bestFit="1" customWidth="1"/>
    <col min="9561" max="9561" width="12.875" bestFit="1" customWidth="1"/>
    <col min="9562" max="9562" width="10.375" bestFit="1" customWidth="1"/>
    <col min="9563" max="9563" width="12.875" bestFit="1" customWidth="1"/>
    <col min="9564" max="9564" width="10.375" bestFit="1" customWidth="1"/>
    <col min="9565" max="9565" width="12.875" bestFit="1" customWidth="1"/>
    <col min="9566" max="9566" width="10.375" bestFit="1" customWidth="1"/>
    <col min="9567" max="9567" width="12.875" bestFit="1" customWidth="1"/>
    <col min="9568" max="9568" width="10.375" bestFit="1" customWidth="1"/>
    <col min="9569" max="9569" width="12.875" bestFit="1" customWidth="1"/>
    <col min="9570" max="9570" width="10.375" bestFit="1" customWidth="1"/>
    <col min="9571" max="9571" width="12.875" bestFit="1" customWidth="1"/>
    <col min="9572" max="9572" width="10.375" bestFit="1" customWidth="1"/>
    <col min="9573" max="9573" width="12.875" bestFit="1" customWidth="1"/>
    <col min="9574" max="9574" width="10.375" bestFit="1" customWidth="1"/>
    <col min="9575" max="9575" width="7" bestFit="1" customWidth="1"/>
    <col min="9576" max="9576" width="12.875" bestFit="1" customWidth="1"/>
    <col min="9577" max="9577" width="10.375" bestFit="1" customWidth="1"/>
    <col min="9578" max="9578" width="12.875" bestFit="1" customWidth="1"/>
    <col min="9579" max="9579" width="10.375" bestFit="1" customWidth="1"/>
    <col min="9580" max="9580" width="12.875" bestFit="1" customWidth="1"/>
    <col min="9581" max="9581" width="10.375" bestFit="1" customWidth="1"/>
    <col min="9582" max="9582" width="12.875" bestFit="1" customWidth="1"/>
    <col min="9583" max="9583" width="10.375" bestFit="1" customWidth="1"/>
    <col min="9584" max="9584" width="12.875" bestFit="1" customWidth="1"/>
    <col min="9585" max="9585" width="10.375" bestFit="1" customWidth="1"/>
    <col min="9586" max="9586" width="12.875" bestFit="1" customWidth="1"/>
    <col min="9587" max="9587" width="10.375" bestFit="1" customWidth="1"/>
    <col min="9588" max="9588" width="12.875" bestFit="1" customWidth="1"/>
    <col min="9589" max="9589" width="10.375" bestFit="1" customWidth="1"/>
    <col min="9590" max="9590" width="12.875" bestFit="1" customWidth="1"/>
    <col min="9591" max="9591" width="10.375" bestFit="1" customWidth="1"/>
    <col min="9592" max="9592" width="12.875" bestFit="1" customWidth="1"/>
    <col min="9593" max="9593" width="10.375" bestFit="1" customWidth="1"/>
    <col min="9594" max="9594" width="12.875" bestFit="1" customWidth="1"/>
    <col min="9595" max="9595" width="10.375" bestFit="1" customWidth="1"/>
    <col min="9596" max="9596" width="12.875" bestFit="1" customWidth="1"/>
    <col min="9597" max="9597" width="10.375" bestFit="1" customWidth="1"/>
    <col min="9598" max="9598" width="12.875" bestFit="1" customWidth="1"/>
    <col min="9599" max="9599" width="10.375" bestFit="1" customWidth="1"/>
    <col min="9600" max="9600" width="12.875" bestFit="1" customWidth="1"/>
    <col min="9601" max="9601" width="10.375" bestFit="1" customWidth="1"/>
    <col min="9602" max="9602" width="12.875" bestFit="1" customWidth="1"/>
    <col min="9603" max="9603" width="10.375" bestFit="1" customWidth="1"/>
    <col min="9604" max="9604" width="12.875" bestFit="1" customWidth="1"/>
    <col min="9605" max="9605" width="10.375" bestFit="1" customWidth="1"/>
    <col min="9606" max="9606" width="12.875" bestFit="1" customWidth="1"/>
    <col min="9607" max="9607" width="10.375" bestFit="1" customWidth="1"/>
    <col min="9608" max="9608" width="12.875" bestFit="1" customWidth="1"/>
    <col min="9609" max="9609" width="10.375" bestFit="1" customWidth="1"/>
    <col min="9610" max="9610" width="12.875" bestFit="1" customWidth="1"/>
    <col min="9611" max="9611" width="10.375" bestFit="1" customWidth="1"/>
    <col min="9612" max="9612" width="12.875" bestFit="1" customWidth="1"/>
    <col min="9613" max="9613" width="10.375" bestFit="1" customWidth="1"/>
    <col min="9614" max="9614" width="12.875" bestFit="1" customWidth="1"/>
    <col min="9615" max="9615" width="10.375" bestFit="1" customWidth="1"/>
    <col min="9616" max="9616" width="12.875" bestFit="1" customWidth="1"/>
    <col min="9617" max="9617" width="10.375" bestFit="1" customWidth="1"/>
    <col min="9618" max="9618" width="12.875" bestFit="1" customWidth="1"/>
    <col min="9619" max="9619" width="10.375" bestFit="1" customWidth="1"/>
    <col min="9620" max="9620" width="12.875" bestFit="1" customWidth="1"/>
    <col min="9621" max="9621" width="10.375" bestFit="1" customWidth="1"/>
    <col min="9622" max="9622" width="12.875" bestFit="1" customWidth="1"/>
    <col min="9623" max="9623" width="10.375" bestFit="1" customWidth="1"/>
    <col min="9624" max="9624" width="12.875" bestFit="1" customWidth="1"/>
    <col min="9625" max="9625" width="10.375" bestFit="1" customWidth="1"/>
    <col min="9626" max="9626" width="12.875" bestFit="1" customWidth="1"/>
    <col min="9627" max="9627" width="10.375" bestFit="1" customWidth="1"/>
    <col min="9628" max="9628" width="12.875" bestFit="1" customWidth="1"/>
    <col min="9629" max="9629" width="10.375" bestFit="1" customWidth="1"/>
    <col min="9630" max="9630" width="12.875" bestFit="1" customWidth="1"/>
    <col min="9631" max="9631" width="10.375" bestFit="1" customWidth="1"/>
    <col min="9632" max="9632" width="12.875" bestFit="1" customWidth="1"/>
    <col min="9633" max="9633" width="10.375" bestFit="1" customWidth="1"/>
    <col min="9634" max="9634" width="12.875" bestFit="1" customWidth="1"/>
    <col min="9635" max="9635" width="10.375" bestFit="1" customWidth="1"/>
    <col min="9636" max="9636" width="12.875" bestFit="1" customWidth="1"/>
    <col min="9637" max="9637" width="10.375" bestFit="1" customWidth="1"/>
    <col min="9638" max="9638" width="12.875" bestFit="1" customWidth="1"/>
    <col min="9639" max="9639" width="10.375" bestFit="1" customWidth="1"/>
    <col min="9640" max="9640" width="12.875" bestFit="1" customWidth="1"/>
    <col min="9641" max="9641" width="10.375" bestFit="1" customWidth="1"/>
    <col min="9642" max="9642" width="12.875" bestFit="1" customWidth="1"/>
    <col min="9643" max="9643" width="10.375" bestFit="1" customWidth="1"/>
    <col min="9644" max="9644" width="12.875" bestFit="1" customWidth="1"/>
    <col min="9645" max="9645" width="10.375" bestFit="1" customWidth="1"/>
    <col min="9646" max="9646" width="12.875" bestFit="1" customWidth="1"/>
    <col min="9647" max="9647" width="10.375" bestFit="1" customWidth="1"/>
    <col min="9648" max="9648" width="12.875" bestFit="1" customWidth="1"/>
    <col min="9649" max="9649" width="10.375" bestFit="1" customWidth="1"/>
    <col min="9650" max="9650" width="12.875" bestFit="1" customWidth="1"/>
    <col min="9651" max="9651" width="10.375" bestFit="1" customWidth="1"/>
    <col min="9652" max="9652" width="12.875" bestFit="1" customWidth="1"/>
    <col min="9653" max="9653" width="10.375" bestFit="1" customWidth="1"/>
    <col min="9654" max="9654" width="12.875" bestFit="1" customWidth="1"/>
    <col min="9655" max="9655" width="10.375" bestFit="1" customWidth="1"/>
    <col min="9656" max="9656" width="12.875" bestFit="1" customWidth="1"/>
    <col min="9657" max="9657" width="10.375" bestFit="1" customWidth="1"/>
    <col min="9658" max="9658" width="12.875" bestFit="1" customWidth="1"/>
    <col min="9659" max="9659" width="10.375" bestFit="1" customWidth="1"/>
    <col min="9660" max="9660" width="12.875" bestFit="1" customWidth="1"/>
    <col min="9661" max="9661" width="10.375" bestFit="1" customWidth="1"/>
    <col min="9662" max="9662" width="12.875" bestFit="1" customWidth="1"/>
    <col min="9663" max="9663" width="10.375" bestFit="1" customWidth="1"/>
    <col min="9664" max="9664" width="12.875" bestFit="1" customWidth="1"/>
    <col min="9665" max="9665" width="10.375" bestFit="1" customWidth="1"/>
    <col min="9666" max="9666" width="12.875" bestFit="1" customWidth="1"/>
    <col min="9667" max="9667" width="10.375" bestFit="1" customWidth="1"/>
    <col min="9668" max="9668" width="12.875" bestFit="1" customWidth="1"/>
    <col min="9669" max="9669" width="10.375" bestFit="1" customWidth="1"/>
    <col min="9670" max="9670" width="12.875" bestFit="1" customWidth="1"/>
    <col min="9671" max="9671" width="10.375" bestFit="1" customWidth="1"/>
    <col min="9672" max="9672" width="12.875" bestFit="1" customWidth="1"/>
    <col min="9673" max="9673" width="10.375" bestFit="1" customWidth="1"/>
    <col min="9674" max="9674" width="12.875" bestFit="1" customWidth="1"/>
    <col min="9675" max="9675" width="10.375" bestFit="1" customWidth="1"/>
    <col min="9676" max="9676" width="12.875" bestFit="1" customWidth="1"/>
    <col min="9677" max="9677" width="10.375" bestFit="1" customWidth="1"/>
    <col min="9678" max="9678" width="12.875" bestFit="1" customWidth="1"/>
    <col min="9679" max="9679" width="10.375" bestFit="1" customWidth="1"/>
    <col min="9680" max="9680" width="12.875" bestFit="1" customWidth="1"/>
    <col min="9681" max="9681" width="10.375" bestFit="1" customWidth="1"/>
    <col min="9682" max="9682" width="12.875" bestFit="1" customWidth="1"/>
    <col min="9683" max="9683" width="10.375" bestFit="1" customWidth="1"/>
    <col min="9684" max="9684" width="12.875" bestFit="1" customWidth="1"/>
    <col min="9685" max="9685" width="10.375" bestFit="1" customWidth="1"/>
    <col min="9686" max="9686" width="12.875" bestFit="1" customWidth="1"/>
    <col min="9687" max="9687" width="10.375" bestFit="1" customWidth="1"/>
    <col min="9688" max="9688" width="12.875" bestFit="1" customWidth="1"/>
    <col min="9689" max="9689" width="10.375" bestFit="1" customWidth="1"/>
    <col min="9690" max="9690" width="12.875" bestFit="1" customWidth="1"/>
    <col min="9691" max="9691" width="10.375" bestFit="1" customWidth="1"/>
    <col min="9692" max="9692" width="12.875" bestFit="1" customWidth="1"/>
    <col min="9693" max="9693" width="10.375" bestFit="1" customWidth="1"/>
    <col min="9694" max="9694" width="12.875" bestFit="1" customWidth="1"/>
    <col min="9695" max="9695" width="10.375" bestFit="1" customWidth="1"/>
    <col min="9696" max="9696" width="12.875" bestFit="1" customWidth="1"/>
    <col min="9697" max="9697" width="10.375" bestFit="1" customWidth="1"/>
    <col min="9698" max="9698" width="12.875" bestFit="1" customWidth="1"/>
    <col min="9699" max="9699" width="10.375" bestFit="1" customWidth="1"/>
    <col min="9700" max="9700" width="12.875" bestFit="1" customWidth="1"/>
    <col min="9701" max="9701" width="10.375" bestFit="1" customWidth="1"/>
    <col min="9702" max="9702" width="12.875" bestFit="1" customWidth="1"/>
    <col min="9703" max="9703" width="10.375" bestFit="1" customWidth="1"/>
    <col min="9704" max="9704" width="12.875" bestFit="1" customWidth="1"/>
    <col min="9705" max="9705" width="10.375" bestFit="1" customWidth="1"/>
    <col min="9706" max="9706" width="12.875" bestFit="1" customWidth="1"/>
    <col min="9707" max="9707" width="10.375" bestFit="1" customWidth="1"/>
    <col min="9708" max="9708" width="12.875" bestFit="1" customWidth="1"/>
    <col min="9709" max="9709" width="10.375" bestFit="1" customWidth="1"/>
    <col min="9710" max="9710" width="7" bestFit="1" customWidth="1"/>
    <col min="9711" max="9711" width="12.875" bestFit="1" customWidth="1"/>
    <col min="9712" max="9712" width="10.375" bestFit="1" customWidth="1"/>
    <col min="9713" max="9713" width="12.875" bestFit="1" customWidth="1"/>
    <col min="9714" max="9714" width="10.375" bestFit="1" customWidth="1"/>
    <col min="9715" max="9715" width="12.875" bestFit="1" customWidth="1"/>
    <col min="9716" max="9716" width="10.375" bestFit="1" customWidth="1"/>
    <col min="9717" max="9717" width="12.875" bestFit="1" customWidth="1"/>
    <col min="9718" max="9718" width="10.375" bestFit="1" customWidth="1"/>
    <col min="9719" max="9719" width="12.875" bestFit="1" customWidth="1"/>
    <col min="9720" max="9720" width="10.375" bestFit="1" customWidth="1"/>
    <col min="9721" max="9721" width="12.875" bestFit="1" customWidth="1"/>
    <col min="9722" max="9722" width="10.375" bestFit="1" customWidth="1"/>
    <col min="9723" max="9723" width="12.875" bestFit="1" customWidth="1"/>
    <col min="9724" max="9724" width="10.375" bestFit="1" customWidth="1"/>
    <col min="9725" max="9725" width="12.875" bestFit="1" customWidth="1"/>
    <col min="9726" max="9726" width="10.375" bestFit="1" customWidth="1"/>
    <col min="9727" max="9727" width="12.875" bestFit="1" customWidth="1"/>
    <col min="9728" max="9728" width="10.375" bestFit="1" customWidth="1"/>
    <col min="9729" max="9729" width="7" bestFit="1" customWidth="1"/>
    <col min="9730" max="9730" width="12.875" bestFit="1" customWidth="1"/>
    <col min="9731" max="9731" width="10.375" bestFit="1" customWidth="1"/>
    <col min="9732" max="9732" width="12.875" bestFit="1" customWidth="1"/>
    <col min="9733" max="9733" width="10.375" bestFit="1" customWidth="1"/>
    <col min="9734" max="9734" width="12.875" bestFit="1" customWidth="1"/>
    <col min="9735" max="9735" width="10.375" bestFit="1" customWidth="1"/>
    <col min="9736" max="9736" width="7" bestFit="1" customWidth="1"/>
    <col min="9737" max="9737" width="12.875" bestFit="1" customWidth="1"/>
    <col min="9738" max="9738" width="10.375" bestFit="1" customWidth="1"/>
    <col min="9739" max="9739" width="12.875" bestFit="1" customWidth="1"/>
    <col min="9740" max="9740" width="10.375" bestFit="1" customWidth="1"/>
    <col min="9741" max="9741" width="12.875" bestFit="1" customWidth="1"/>
    <col min="9742" max="9742" width="10.375" bestFit="1" customWidth="1"/>
    <col min="9743" max="9743" width="12.875" bestFit="1" customWidth="1"/>
    <col min="9744" max="9744" width="10.375" bestFit="1" customWidth="1"/>
    <col min="9745" max="9745" width="12.875" bestFit="1" customWidth="1"/>
    <col min="9746" max="9746" width="10.375" bestFit="1" customWidth="1"/>
    <col min="9747" max="9747" width="12.875" bestFit="1" customWidth="1"/>
    <col min="9748" max="9748" width="10.375" bestFit="1" customWidth="1"/>
    <col min="9749" max="9749" width="12.875" bestFit="1" customWidth="1"/>
    <col min="9750" max="9750" width="10.375" bestFit="1" customWidth="1"/>
    <col min="9751" max="9751" width="12.875" bestFit="1" customWidth="1"/>
    <col min="9752" max="9752" width="10.375" bestFit="1" customWidth="1"/>
    <col min="9753" max="9753" width="7" bestFit="1" customWidth="1"/>
    <col min="9754" max="9754" width="12.875" bestFit="1" customWidth="1"/>
    <col min="9755" max="9755" width="10.375" bestFit="1" customWidth="1"/>
    <col min="9756" max="9756" width="7" bestFit="1" customWidth="1"/>
    <col min="9757" max="9757" width="12.875" bestFit="1" customWidth="1"/>
    <col min="9758" max="9758" width="10.375" bestFit="1" customWidth="1"/>
    <col min="9759" max="9759" width="12.875" bestFit="1" customWidth="1"/>
    <col min="9760" max="9760" width="10.375" bestFit="1" customWidth="1"/>
    <col min="9761" max="9761" width="12.875" bestFit="1" customWidth="1"/>
    <col min="9762" max="9762" width="10.375" bestFit="1" customWidth="1"/>
    <col min="9763" max="9763" width="12.875" bestFit="1" customWidth="1"/>
    <col min="9764" max="9764" width="10.375" bestFit="1" customWidth="1"/>
    <col min="9765" max="9765" width="12.875" bestFit="1" customWidth="1"/>
    <col min="9766" max="9766" width="10.375" bestFit="1" customWidth="1"/>
    <col min="9767" max="9767" width="12.875" bestFit="1" customWidth="1"/>
    <col min="9768" max="9768" width="10.375" bestFit="1" customWidth="1"/>
    <col min="9769" max="9769" width="12.875" bestFit="1" customWidth="1"/>
    <col min="9770" max="9770" width="10.375" bestFit="1" customWidth="1"/>
    <col min="9771" max="9771" width="12.875" bestFit="1" customWidth="1"/>
    <col min="9772" max="9772" width="10.375" bestFit="1" customWidth="1"/>
    <col min="9773" max="9773" width="12.875" bestFit="1" customWidth="1"/>
    <col min="9774" max="9774" width="10.375" bestFit="1" customWidth="1"/>
    <col min="9775" max="9775" width="12.875" bestFit="1" customWidth="1"/>
    <col min="9776" max="9776" width="10.375" bestFit="1" customWidth="1"/>
    <col min="9777" max="9777" width="12.875" bestFit="1" customWidth="1"/>
    <col min="9778" max="9778" width="10.375" bestFit="1" customWidth="1"/>
    <col min="9779" max="9779" width="12.875" bestFit="1" customWidth="1"/>
    <col min="9780" max="9780" width="10.375" bestFit="1" customWidth="1"/>
    <col min="9781" max="9781" width="12.875" bestFit="1" customWidth="1"/>
    <col min="9782" max="9782" width="10.375" bestFit="1" customWidth="1"/>
    <col min="9783" max="9783" width="12.875" bestFit="1" customWidth="1"/>
    <col min="9784" max="9784" width="10.375" bestFit="1" customWidth="1"/>
    <col min="9785" max="9785" width="12.875" bestFit="1" customWidth="1"/>
    <col min="9786" max="9786" width="10.375" bestFit="1" customWidth="1"/>
    <col min="9787" max="9787" width="12.875" bestFit="1" customWidth="1"/>
    <col min="9788" max="9788" width="10.375" bestFit="1" customWidth="1"/>
    <col min="9789" max="9789" width="12.875" bestFit="1" customWidth="1"/>
    <col min="9790" max="9790" width="10.375" bestFit="1" customWidth="1"/>
    <col min="9791" max="9791" width="12.875" bestFit="1" customWidth="1"/>
    <col min="9792" max="9792" width="10.375" bestFit="1" customWidth="1"/>
    <col min="9793" max="9793" width="12.875" bestFit="1" customWidth="1"/>
    <col min="9794" max="9794" width="10.375" bestFit="1" customWidth="1"/>
    <col min="9795" max="9795" width="12.875" bestFit="1" customWidth="1"/>
    <col min="9796" max="9796" width="10.375" bestFit="1" customWidth="1"/>
    <col min="9797" max="9797" width="12.875" bestFit="1" customWidth="1"/>
    <col min="9798" max="9798" width="10.375" bestFit="1" customWidth="1"/>
    <col min="9799" max="9799" width="12.875" bestFit="1" customWidth="1"/>
    <col min="9800" max="9800" width="10.375" bestFit="1" customWidth="1"/>
    <col min="9801" max="9801" width="12.875" bestFit="1" customWidth="1"/>
    <col min="9802" max="9802" width="10.375" bestFit="1" customWidth="1"/>
    <col min="9803" max="9803" width="12.875" bestFit="1" customWidth="1"/>
    <col min="9804" max="9804" width="10.375" bestFit="1" customWidth="1"/>
    <col min="9805" max="9805" width="12.875" bestFit="1" customWidth="1"/>
    <col min="9806" max="9806" width="10.375" bestFit="1" customWidth="1"/>
    <col min="9807" max="9807" width="12.875" bestFit="1" customWidth="1"/>
    <col min="9808" max="9808" width="10.375" bestFit="1" customWidth="1"/>
    <col min="9809" max="9809" width="12.875" bestFit="1" customWidth="1"/>
    <col min="9810" max="9810" width="10.375" bestFit="1" customWidth="1"/>
    <col min="9811" max="9811" width="12.875" bestFit="1" customWidth="1"/>
    <col min="9812" max="9812" width="10.375" bestFit="1" customWidth="1"/>
    <col min="9813" max="9813" width="12.875" bestFit="1" customWidth="1"/>
    <col min="9814" max="9814" width="10.375" bestFit="1" customWidth="1"/>
    <col min="9815" max="9815" width="12.875" bestFit="1" customWidth="1"/>
    <col min="9816" max="9816" width="10.375" bestFit="1" customWidth="1"/>
    <col min="9817" max="9817" width="12.875" bestFit="1" customWidth="1"/>
    <col min="9818" max="9818" width="10.375" bestFit="1" customWidth="1"/>
    <col min="9819" max="9819" width="12.875" bestFit="1" customWidth="1"/>
    <col min="9820" max="9820" width="10.375" bestFit="1" customWidth="1"/>
    <col min="9821" max="9821" width="12.875" bestFit="1" customWidth="1"/>
    <col min="9822" max="9822" width="10.375" bestFit="1" customWidth="1"/>
    <col min="9823" max="9823" width="12.875" bestFit="1" customWidth="1"/>
    <col min="9824" max="9824" width="10.375" bestFit="1" customWidth="1"/>
    <col min="9825" max="9825" width="12.875" bestFit="1" customWidth="1"/>
    <col min="9826" max="9826" width="10.375" bestFit="1" customWidth="1"/>
    <col min="9827" max="9827" width="12.875" bestFit="1" customWidth="1"/>
    <col min="9828" max="9828" width="10.375" bestFit="1" customWidth="1"/>
    <col min="9829" max="9829" width="12.875" bestFit="1" customWidth="1"/>
    <col min="9830" max="9830" width="10.375" bestFit="1" customWidth="1"/>
    <col min="9831" max="9831" width="12.875" bestFit="1" customWidth="1"/>
    <col min="9832" max="9832" width="10.375" bestFit="1" customWidth="1"/>
    <col min="9833" max="9833" width="12.875" bestFit="1" customWidth="1"/>
    <col min="9834" max="9834" width="10.375" bestFit="1" customWidth="1"/>
    <col min="9835" max="9835" width="12.875" bestFit="1" customWidth="1"/>
    <col min="9836" max="9836" width="10.375" bestFit="1" customWidth="1"/>
    <col min="9837" max="9837" width="12.875" bestFit="1" customWidth="1"/>
    <col min="9838" max="9838" width="10.375" bestFit="1" customWidth="1"/>
    <col min="9839" max="9839" width="12.875" bestFit="1" customWidth="1"/>
    <col min="9840" max="9840" width="10.375" bestFit="1" customWidth="1"/>
    <col min="9841" max="9841" width="12.875" bestFit="1" customWidth="1"/>
    <col min="9842" max="9842" width="10.375" bestFit="1" customWidth="1"/>
    <col min="9843" max="9843" width="12.875" bestFit="1" customWidth="1"/>
    <col min="9844" max="9844" width="10.375" bestFit="1" customWidth="1"/>
    <col min="9845" max="9845" width="12.875" bestFit="1" customWidth="1"/>
    <col min="9846" max="9846" width="10.375" bestFit="1" customWidth="1"/>
    <col min="9847" max="9847" width="12.875" bestFit="1" customWidth="1"/>
    <col min="9848" max="9848" width="10.375" bestFit="1" customWidth="1"/>
    <col min="9849" max="9849" width="12.875" bestFit="1" customWidth="1"/>
    <col min="9850" max="9850" width="10.375" bestFit="1" customWidth="1"/>
    <col min="9851" max="9851" width="12.875" bestFit="1" customWidth="1"/>
    <col min="9852" max="9852" width="10.375" bestFit="1" customWidth="1"/>
    <col min="9853" max="9853" width="12.875" bestFit="1" customWidth="1"/>
    <col min="9854" max="9854" width="10.375" bestFit="1" customWidth="1"/>
    <col min="9855" max="9855" width="12.875" bestFit="1" customWidth="1"/>
    <col min="9856" max="9856" width="10.375" bestFit="1" customWidth="1"/>
    <col min="9857" max="9857" width="12.875" bestFit="1" customWidth="1"/>
    <col min="9858" max="9858" width="10.375" bestFit="1" customWidth="1"/>
    <col min="9859" max="9859" width="12.875" bestFit="1" customWidth="1"/>
    <col min="9860" max="9860" width="10.375" bestFit="1" customWidth="1"/>
    <col min="9861" max="9861" width="12.875" bestFit="1" customWidth="1"/>
    <col min="9862" max="9862" width="10.375" bestFit="1" customWidth="1"/>
    <col min="9863" max="9863" width="12.875" bestFit="1" customWidth="1"/>
    <col min="9864" max="9864" width="10.375" bestFit="1" customWidth="1"/>
    <col min="9865" max="9865" width="12.875" bestFit="1" customWidth="1"/>
    <col min="9866" max="9866" width="10.375" bestFit="1" customWidth="1"/>
    <col min="9867" max="9867" width="12.875" bestFit="1" customWidth="1"/>
    <col min="9868" max="9868" width="10.375" bestFit="1" customWidth="1"/>
    <col min="9869" max="9869" width="12.875" bestFit="1" customWidth="1"/>
    <col min="9870" max="9870" width="10.375" bestFit="1" customWidth="1"/>
    <col min="9871" max="9871" width="12.875" bestFit="1" customWidth="1"/>
    <col min="9872" max="9872" width="10.375" bestFit="1" customWidth="1"/>
    <col min="9873" max="9873" width="12.875" bestFit="1" customWidth="1"/>
    <col min="9874" max="9874" width="10.375" bestFit="1" customWidth="1"/>
    <col min="9875" max="9875" width="7" bestFit="1" customWidth="1"/>
    <col min="9876" max="9876" width="12.875" bestFit="1" customWidth="1"/>
    <col min="9877" max="9877" width="10.375" bestFit="1" customWidth="1"/>
    <col min="9878" max="9878" width="12.875" bestFit="1" customWidth="1"/>
    <col min="9879" max="9879" width="10.375" bestFit="1" customWidth="1"/>
    <col min="9880" max="9880" width="12.875" bestFit="1" customWidth="1"/>
    <col min="9881" max="9881" width="10.375" bestFit="1" customWidth="1"/>
    <col min="9882" max="9882" width="12.875" bestFit="1" customWidth="1"/>
    <col min="9883" max="9883" width="10.375" bestFit="1" customWidth="1"/>
    <col min="9884" max="9884" width="12.875" bestFit="1" customWidth="1"/>
    <col min="9885" max="9885" width="10.375" bestFit="1" customWidth="1"/>
    <col min="9886" max="9886" width="12.875" bestFit="1" customWidth="1"/>
    <col min="9887" max="9887" width="10.375" bestFit="1" customWidth="1"/>
    <col min="9888" max="9888" width="12.875" bestFit="1" customWidth="1"/>
    <col min="9889" max="9889" width="10.375" bestFit="1" customWidth="1"/>
    <col min="9890" max="9890" width="12.875" bestFit="1" customWidth="1"/>
    <col min="9891" max="9891" width="10.375" bestFit="1" customWidth="1"/>
    <col min="9892" max="9892" width="12.875" bestFit="1" customWidth="1"/>
    <col min="9893" max="9893" width="10.375" bestFit="1" customWidth="1"/>
    <col min="9894" max="9894" width="12.875" bestFit="1" customWidth="1"/>
    <col min="9895" max="9895" width="10.375" bestFit="1" customWidth="1"/>
    <col min="9896" max="9896" width="12.875" bestFit="1" customWidth="1"/>
    <col min="9897" max="9897" width="10.375" bestFit="1" customWidth="1"/>
    <col min="9898" max="9898" width="12.875" bestFit="1" customWidth="1"/>
    <col min="9899" max="9899" width="10.375" bestFit="1" customWidth="1"/>
    <col min="9900" max="9900" width="12.875" bestFit="1" customWidth="1"/>
    <col min="9901" max="9901" width="10.375" bestFit="1" customWidth="1"/>
    <col min="9902" max="9902" width="12.875" bestFit="1" customWidth="1"/>
    <col min="9903" max="9903" width="10.375" bestFit="1" customWidth="1"/>
    <col min="9904" max="9904" width="12.875" bestFit="1" customWidth="1"/>
    <col min="9905" max="9905" width="10.375" bestFit="1" customWidth="1"/>
    <col min="9906" max="9906" width="12.875" bestFit="1" customWidth="1"/>
    <col min="9907" max="9907" width="10.375" bestFit="1" customWidth="1"/>
    <col min="9908" max="9908" width="12.875" bestFit="1" customWidth="1"/>
    <col min="9909" max="9909" width="10.375" bestFit="1" customWidth="1"/>
    <col min="9910" max="9910" width="12.875" bestFit="1" customWidth="1"/>
    <col min="9911" max="9911" width="10.375" bestFit="1" customWidth="1"/>
    <col min="9912" max="9912" width="12.875" bestFit="1" customWidth="1"/>
    <col min="9913" max="9913" width="10.375" bestFit="1" customWidth="1"/>
    <col min="9914" max="9914" width="12.875" bestFit="1" customWidth="1"/>
    <col min="9915" max="9915" width="10.375" bestFit="1" customWidth="1"/>
    <col min="9916" max="9916" width="12.875" bestFit="1" customWidth="1"/>
    <col min="9917" max="9917" width="10.375" bestFit="1" customWidth="1"/>
    <col min="9918" max="9918" width="12.875" bestFit="1" customWidth="1"/>
    <col min="9919" max="9919" width="10.375" bestFit="1" customWidth="1"/>
    <col min="9920" max="9920" width="12.875" bestFit="1" customWidth="1"/>
    <col min="9921" max="9921" width="10.375" bestFit="1" customWidth="1"/>
    <col min="9922" max="9922" width="12.875" bestFit="1" customWidth="1"/>
    <col min="9923" max="9923" width="10.375" bestFit="1" customWidth="1"/>
    <col min="9924" max="9924" width="12.875" bestFit="1" customWidth="1"/>
    <col min="9925" max="9925" width="10.375" bestFit="1" customWidth="1"/>
    <col min="9926" max="9926" width="12.875" bestFit="1" customWidth="1"/>
    <col min="9927" max="9927" width="10.375" bestFit="1" customWidth="1"/>
    <col min="9928" max="9928" width="12.875" bestFit="1" customWidth="1"/>
    <col min="9929" max="9929" width="10.375" bestFit="1" customWidth="1"/>
    <col min="9930" max="9930" width="12.875" bestFit="1" customWidth="1"/>
    <col min="9931" max="9931" width="10.375" bestFit="1" customWidth="1"/>
    <col min="9932" max="9932" width="12.875" bestFit="1" customWidth="1"/>
    <col min="9933" max="9933" width="10.375" bestFit="1" customWidth="1"/>
    <col min="9934" max="9934" width="12.875" bestFit="1" customWidth="1"/>
    <col min="9935" max="9935" width="10.375" bestFit="1" customWidth="1"/>
    <col min="9936" max="9936" width="12.875" bestFit="1" customWidth="1"/>
    <col min="9937" max="9937" width="10.375" bestFit="1" customWidth="1"/>
    <col min="9938" max="9938" width="12.875" bestFit="1" customWidth="1"/>
    <col min="9939" max="9939" width="10.375" bestFit="1" customWidth="1"/>
    <col min="9940" max="9940" width="12.875" bestFit="1" customWidth="1"/>
    <col min="9941" max="9941" width="10.375" bestFit="1" customWidth="1"/>
    <col min="9942" max="9942" width="12.875" bestFit="1" customWidth="1"/>
    <col min="9943" max="9943" width="10.375" bestFit="1" customWidth="1"/>
    <col min="9944" max="9944" width="12.875" bestFit="1" customWidth="1"/>
    <col min="9945" max="9945" width="10.375" bestFit="1" customWidth="1"/>
    <col min="9946" max="9946" width="12.875" bestFit="1" customWidth="1"/>
    <col min="9947" max="9947" width="10.375" bestFit="1" customWidth="1"/>
    <col min="9948" max="9948" width="12.875" bestFit="1" customWidth="1"/>
    <col min="9949" max="9949" width="10.375" bestFit="1" customWidth="1"/>
    <col min="9950" max="9950" width="12.875" bestFit="1" customWidth="1"/>
    <col min="9951" max="9951" width="10.375" bestFit="1" customWidth="1"/>
    <col min="9952" max="9952" width="12.875" bestFit="1" customWidth="1"/>
    <col min="9953" max="9953" width="10.375" bestFit="1" customWidth="1"/>
    <col min="9954" max="9954" width="12.875" bestFit="1" customWidth="1"/>
    <col min="9955" max="9955" width="10.375" bestFit="1" customWidth="1"/>
    <col min="9956" max="9956" width="12.875" bestFit="1" customWidth="1"/>
    <col min="9957" max="9957" width="10.375" bestFit="1" customWidth="1"/>
    <col min="9958" max="9958" width="12.875" bestFit="1" customWidth="1"/>
    <col min="9959" max="9959" width="10.375" bestFit="1" customWidth="1"/>
    <col min="9960" max="9960" width="12.875" bestFit="1" customWidth="1"/>
    <col min="9961" max="9961" width="10.375" bestFit="1" customWidth="1"/>
    <col min="9962" max="9962" width="12.875" bestFit="1" customWidth="1"/>
    <col min="9963" max="9963" width="10.375" bestFit="1" customWidth="1"/>
    <col min="9964" max="9964" width="12.875" bestFit="1" customWidth="1"/>
    <col min="9965" max="9965" width="10.375" bestFit="1" customWidth="1"/>
    <col min="9966" max="9966" width="12.875" bestFit="1" customWidth="1"/>
    <col min="9967" max="9967" width="10.375" bestFit="1" customWidth="1"/>
    <col min="9968" max="9968" width="12.875" bestFit="1" customWidth="1"/>
    <col min="9969" max="9969" width="10.375" bestFit="1" customWidth="1"/>
    <col min="9970" max="9970" width="7" bestFit="1" customWidth="1"/>
    <col min="9971" max="9971" width="12.875" bestFit="1" customWidth="1"/>
    <col min="9972" max="9972" width="10.375" bestFit="1" customWidth="1"/>
    <col min="9973" max="9973" width="12.875" bestFit="1" customWidth="1"/>
    <col min="9974" max="9974" width="10.375" bestFit="1" customWidth="1"/>
    <col min="9975" max="9975" width="12.875" bestFit="1" customWidth="1"/>
    <col min="9976" max="9976" width="10.375" bestFit="1" customWidth="1"/>
    <col min="9977" max="9977" width="12.875" bestFit="1" customWidth="1"/>
    <col min="9978" max="9978" width="10.375" bestFit="1" customWidth="1"/>
    <col min="9979" max="9979" width="5.625" bestFit="1" customWidth="1"/>
    <col min="9980" max="9980" width="12.875" bestFit="1" customWidth="1"/>
    <col min="9981" max="9981" width="10.375" bestFit="1" customWidth="1"/>
    <col min="9982" max="9982" width="12.875" bestFit="1" customWidth="1"/>
    <col min="9983" max="9983" width="10.375" bestFit="1" customWidth="1"/>
    <col min="9984" max="9984" width="12.875" bestFit="1" customWidth="1"/>
    <col min="9985" max="9985" width="10.375" bestFit="1" customWidth="1"/>
    <col min="9986" max="9986" width="12.875" bestFit="1" customWidth="1"/>
    <col min="9987" max="9987" width="10.375" bestFit="1" customWidth="1"/>
    <col min="9988" max="9988" width="12.875" bestFit="1" customWidth="1"/>
    <col min="9989" max="9989" width="10.375" bestFit="1" customWidth="1"/>
    <col min="9990" max="9990" width="12.875" bestFit="1" customWidth="1"/>
    <col min="9991" max="9991" width="10.375" bestFit="1" customWidth="1"/>
    <col min="9992" max="9992" width="12.875" bestFit="1" customWidth="1"/>
    <col min="9993" max="9993" width="10.375" bestFit="1" customWidth="1"/>
    <col min="9994" max="9994" width="12.875" bestFit="1" customWidth="1"/>
    <col min="9995" max="9995" width="10.375" bestFit="1" customWidth="1"/>
    <col min="9996" max="9996" width="7" bestFit="1" customWidth="1"/>
    <col min="9997" max="9997" width="12.875" bestFit="1" customWidth="1"/>
    <col min="9998" max="9998" width="10.375" bestFit="1" customWidth="1"/>
    <col min="9999" max="9999" width="12.875" bestFit="1" customWidth="1"/>
    <col min="10000" max="10000" width="10.375" bestFit="1" customWidth="1"/>
    <col min="10001" max="10001" width="12.875" bestFit="1" customWidth="1"/>
    <col min="10002" max="10002" width="10.375" bestFit="1" customWidth="1"/>
    <col min="10003" max="10003" width="12.875" bestFit="1" customWidth="1"/>
    <col min="10004" max="10004" width="10.375" bestFit="1" customWidth="1"/>
    <col min="10005" max="10005" width="12.875" bestFit="1" customWidth="1"/>
    <col min="10006" max="10006" width="10.375" bestFit="1" customWidth="1"/>
    <col min="10007" max="10007" width="12.875" bestFit="1" customWidth="1"/>
    <col min="10008" max="10008" width="10.375" bestFit="1" customWidth="1"/>
    <col min="10009" max="10009" width="12.875" bestFit="1" customWidth="1"/>
    <col min="10010" max="10010" width="10.375" bestFit="1" customWidth="1"/>
    <col min="10011" max="10011" width="7" bestFit="1" customWidth="1"/>
    <col min="10012" max="10012" width="12.875" bestFit="1" customWidth="1"/>
    <col min="10013" max="10013" width="10.375" bestFit="1" customWidth="1"/>
    <col min="10014" max="10014" width="12.875" bestFit="1" customWidth="1"/>
    <col min="10015" max="10015" width="10.375" bestFit="1" customWidth="1"/>
    <col min="10016" max="10016" width="7" bestFit="1" customWidth="1"/>
    <col min="10017" max="10017" width="12.875" bestFit="1" customWidth="1"/>
    <col min="10018" max="10018" width="10.375" bestFit="1" customWidth="1"/>
    <col min="10019" max="10019" width="12.875" bestFit="1" customWidth="1"/>
    <col min="10020" max="10020" width="10.375" bestFit="1" customWidth="1"/>
    <col min="10021" max="10021" width="12.875" bestFit="1" customWidth="1"/>
    <col min="10022" max="10022" width="10.375" bestFit="1" customWidth="1"/>
    <col min="10023" max="10023" width="12.875" bestFit="1" customWidth="1"/>
    <col min="10024" max="10024" width="10.375" bestFit="1" customWidth="1"/>
    <col min="10025" max="10025" width="12.875" bestFit="1" customWidth="1"/>
    <col min="10026" max="10026" width="10.375" bestFit="1" customWidth="1"/>
    <col min="10027" max="10027" width="12.875" bestFit="1" customWidth="1"/>
    <col min="10028" max="10028" width="10.375" bestFit="1" customWidth="1"/>
    <col min="10029" max="10029" width="12.875" bestFit="1" customWidth="1"/>
    <col min="10030" max="10030" width="10.375" bestFit="1" customWidth="1"/>
    <col min="10031" max="10031" width="12.875" bestFit="1" customWidth="1"/>
    <col min="10032" max="10032" width="10.375" bestFit="1" customWidth="1"/>
    <col min="10033" max="10033" width="12.875" bestFit="1" customWidth="1"/>
    <col min="10034" max="10034" width="10.375" bestFit="1" customWidth="1"/>
    <col min="10035" max="10035" width="7" bestFit="1" customWidth="1"/>
    <col min="10036" max="10036" width="12.875" bestFit="1" customWidth="1"/>
    <col min="10037" max="10037" width="10.375" bestFit="1" customWidth="1"/>
    <col min="10038" max="10038" width="12.875" bestFit="1" customWidth="1"/>
    <col min="10039" max="10039" width="10.375" bestFit="1" customWidth="1"/>
    <col min="10040" max="10040" width="12.875" bestFit="1" customWidth="1"/>
    <col min="10041" max="10041" width="10.375" bestFit="1" customWidth="1"/>
    <col min="10042" max="10042" width="12.875" bestFit="1" customWidth="1"/>
    <col min="10043" max="10043" width="10.375" bestFit="1" customWidth="1"/>
    <col min="10044" max="10044" width="12.875" bestFit="1" customWidth="1"/>
    <col min="10045" max="10045" width="10.375" bestFit="1" customWidth="1"/>
    <col min="10046" max="10046" width="12.875" bestFit="1" customWidth="1"/>
    <col min="10047" max="10047" width="10.375" bestFit="1" customWidth="1"/>
    <col min="10048" max="10048" width="7" bestFit="1" customWidth="1"/>
    <col min="10049" max="10049" width="12.875" bestFit="1" customWidth="1"/>
    <col min="10050" max="10050" width="10.375" bestFit="1" customWidth="1"/>
    <col min="10051" max="10051" width="12.875" bestFit="1" customWidth="1"/>
    <col min="10052" max="10052" width="10.375" bestFit="1" customWidth="1"/>
    <col min="10053" max="10053" width="12.875" bestFit="1" customWidth="1"/>
    <col min="10054" max="10054" width="10.375" bestFit="1" customWidth="1"/>
    <col min="10055" max="10055" width="7" bestFit="1" customWidth="1"/>
    <col min="10056" max="10056" width="12.875" bestFit="1" customWidth="1"/>
    <col min="10057" max="10057" width="10.375" bestFit="1" customWidth="1"/>
    <col min="10058" max="10058" width="12.875" bestFit="1" customWidth="1"/>
    <col min="10059" max="10059" width="10.375" bestFit="1" customWidth="1"/>
    <col min="10060" max="10060" width="12.875" bestFit="1" customWidth="1"/>
    <col min="10061" max="10061" width="10.375" bestFit="1" customWidth="1"/>
    <col min="10062" max="10062" width="12.875" bestFit="1" customWidth="1"/>
    <col min="10063" max="10063" width="10.375" bestFit="1" customWidth="1"/>
    <col min="10064" max="10064" width="12.875" bestFit="1" customWidth="1"/>
    <col min="10065" max="10065" width="10.375" bestFit="1" customWidth="1"/>
    <col min="10066" max="10066" width="12.875" bestFit="1" customWidth="1"/>
    <col min="10067" max="10067" width="10.375" bestFit="1" customWidth="1"/>
    <col min="10068" max="10068" width="12.875" bestFit="1" customWidth="1"/>
    <col min="10069" max="10069" width="10.375" bestFit="1" customWidth="1"/>
    <col min="10070" max="10070" width="12.875" bestFit="1" customWidth="1"/>
    <col min="10071" max="10071" width="10.375" bestFit="1" customWidth="1"/>
    <col min="10072" max="10072" width="12.875" bestFit="1" customWidth="1"/>
    <col min="10073" max="10073" width="10.375" bestFit="1" customWidth="1"/>
    <col min="10074" max="10074" width="12.875" bestFit="1" customWidth="1"/>
    <col min="10075" max="10075" width="10.375" bestFit="1" customWidth="1"/>
    <col min="10076" max="10076" width="12.875" bestFit="1" customWidth="1"/>
    <col min="10077" max="10077" width="10.375" bestFit="1" customWidth="1"/>
    <col min="10078" max="10078" width="12.875" bestFit="1" customWidth="1"/>
    <col min="10079" max="10079" width="10.375" bestFit="1" customWidth="1"/>
    <col min="10080" max="10080" width="12.875" bestFit="1" customWidth="1"/>
    <col min="10081" max="10081" width="10.375" bestFit="1" customWidth="1"/>
    <col min="10082" max="10082" width="12.875" bestFit="1" customWidth="1"/>
    <col min="10083" max="10083" width="10.375" bestFit="1" customWidth="1"/>
    <col min="10084" max="10084" width="12.875" bestFit="1" customWidth="1"/>
    <col min="10085" max="10085" width="10.375" bestFit="1" customWidth="1"/>
    <col min="10086" max="10086" width="12.875" bestFit="1" customWidth="1"/>
    <col min="10087" max="10087" width="10.375" bestFit="1" customWidth="1"/>
    <col min="10088" max="10088" width="12.875" bestFit="1" customWidth="1"/>
    <col min="10089" max="10089" width="10.375" bestFit="1" customWidth="1"/>
    <col min="10090" max="10090" width="12.875" bestFit="1" customWidth="1"/>
    <col min="10091" max="10091" width="10.375" bestFit="1" customWidth="1"/>
    <col min="10092" max="10092" width="12.875" bestFit="1" customWidth="1"/>
    <col min="10093" max="10093" width="10.375" bestFit="1" customWidth="1"/>
    <col min="10094" max="10094" width="12.875" bestFit="1" customWidth="1"/>
    <col min="10095" max="10095" width="10.375" bestFit="1" customWidth="1"/>
    <col min="10096" max="10096" width="12.875" bestFit="1" customWidth="1"/>
    <col min="10097" max="10097" width="10.375" bestFit="1" customWidth="1"/>
    <col min="10098" max="10098" width="7" bestFit="1" customWidth="1"/>
    <col min="10099" max="10099" width="12.875" bestFit="1" customWidth="1"/>
    <col min="10100" max="10100" width="10.375" bestFit="1" customWidth="1"/>
    <col min="10101" max="10101" width="12.875" bestFit="1" customWidth="1"/>
    <col min="10102" max="10102" width="10.375" bestFit="1" customWidth="1"/>
    <col min="10103" max="10103" width="12.875" bestFit="1" customWidth="1"/>
    <col min="10104" max="10104" width="10.375" bestFit="1" customWidth="1"/>
    <col min="10105" max="10105" width="12.875" bestFit="1" customWidth="1"/>
    <col min="10106" max="10106" width="10.375" bestFit="1" customWidth="1"/>
    <col min="10107" max="10107" width="12.875" bestFit="1" customWidth="1"/>
    <col min="10108" max="10108" width="10.375" bestFit="1" customWidth="1"/>
    <col min="10109" max="10109" width="12.875" bestFit="1" customWidth="1"/>
    <col min="10110" max="10110" width="10.375" bestFit="1" customWidth="1"/>
    <col min="10111" max="10111" width="12.875" bestFit="1" customWidth="1"/>
    <col min="10112" max="10112" width="10.375" bestFit="1" customWidth="1"/>
    <col min="10113" max="10113" width="12.875" bestFit="1" customWidth="1"/>
    <col min="10114" max="10114" width="10.375" bestFit="1" customWidth="1"/>
    <col min="10115" max="10115" width="12.875" bestFit="1" customWidth="1"/>
    <col min="10116" max="10116" width="10.375" bestFit="1" customWidth="1"/>
    <col min="10117" max="10117" width="12.875" bestFit="1" customWidth="1"/>
    <col min="10118" max="10118" width="10.375" bestFit="1" customWidth="1"/>
    <col min="10119" max="10119" width="12.875" bestFit="1" customWidth="1"/>
    <col min="10120" max="10120" width="10.375" bestFit="1" customWidth="1"/>
    <col min="10121" max="10121" width="12.875" bestFit="1" customWidth="1"/>
    <col min="10122" max="10122" width="10.375" bestFit="1" customWidth="1"/>
    <col min="10123" max="10123" width="12.875" bestFit="1" customWidth="1"/>
    <col min="10124" max="10124" width="10.375" bestFit="1" customWidth="1"/>
    <col min="10125" max="10125" width="12.875" bestFit="1" customWidth="1"/>
    <col min="10126" max="10126" width="10.375" bestFit="1" customWidth="1"/>
    <col min="10127" max="10127" width="12.875" bestFit="1" customWidth="1"/>
    <col min="10128" max="10128" width="10.375" bestFit="1" customWidth="1"/>
    <col min="10129" max="10129" width="12.875" bestFit="1" customWidth="1"/>
    <col min="10130" max="10130" width="10.375" bestFit="1" customWidth="1"/>
    <col min="10131" max="10131" width="12.875" bestFit="1" customWidth="1"/>
    <col min="10132" max="10132" width="10.375" bestFit="1" customWidth="1"/>
    <col min="10133" max="10133" width="12.875" bestFit="1" customWidth="1"/>
    <col min="10134" max="10134" width="10.375" bestFit="1" customWidth="1"/>
    <col min="10135" max="10135" width="12.875" bestFit="1" customWidth="1"/>
    <col min="10136" max="10136" width="10.375" bestFit="1" customWidth="1"/>
    <col min="10137" max="10137" width="12.875" bestFit="1" customWidth="1"/>
    <col min="10138" max="10138" width="10.375" bestFit="1" customWidth="1"/>
    <col min="10139" max="10139" width="12.875" bestFit="1" customWidth="1"/>
    <col min="10140" max="10140" width="10.375" bestFit="1" customWidth="1"/>
    <col min="10141" max="10141" width="12.875" bestFit="1" customWidth="1"/>
    <col min="10142" max="10142" width="10.375" bestFit="1" customWidth="1"/>
    <col min="10143" max="10143" width="12.875" bestFit="1" customWidth="1"/>
    <col min="10144" max="10144" width="10.375" bestFit="1" customWidth="1"/>
    <col min="10145" max="10145" width="12.875" bestFit="1" customWidth="1"/>
    <col min="10146" max="10146" width="10.375" bestFit="1" customWidth="1"/>
    <col min="10147" max="10147" width="12.875" bestFit="1" customWidth="1"/>
    <col min="10148" max="10148" width="10.375" bestFit="1" customWidth="1"/>
    <col min="10149" max="10149" width="12.875" bestFit="1" customWidth="1"/>
    <col min="10150" max="10150" width="10.375" bestFit="1" customWidth="1"/>
    <col min="10151" max="10151" width="12.875" bestFit="1" customWidth="1"/>
    <col min="10152" max="10152" width="10.375" bestFit="1" customWidth="1"/>
    <col min="10153" max="10153" width="12.875" bestFit="1" customWidth="1"/>
    <col min="10154" max="10154" width="10.375" bestFit="1" customWidth="1"/>
    <col min="10155" max="10155" width="12.875" bestFit="1" customWidth="1"/>
    <col min="10156" max="10156" width="10.375" bestFit="1" customWidth="1"/>
    <col min="10157" max="10157" width="7" bestFit="1" customWidth="1"/>
    <col min="10158" max="10158" width="12.875" bestFit="1" customWidth="1"/>
    <col min="10159" max="10159" width="10.375" bestFit="1" customWidth="1"/>
    <col min="10160" max="10160" width="12.875" bestFit="1" customWidth="1"/>
    <col min="10161" max="10161" width="10.375" bestFit="1" customWidth="1"/>
    <col min="10162" max="10162" width="12.875" bestFit="1" customWidth="1"/>
    <col min="10163" max="10163" width="10.375" bestFit="1" customWidth="1"/>
    <col min="10164" max="10164" width="12.875" bestFit="1" customWidth="1"/>
    <col min="10165" max="10165" width="10.375" bestFit="1" customWidth="1"/>
    <col min="10166" max="10166" width="12.875" bestFit="1" customWidth="1"/>
    <col min="10167" max="10167" width="10.375" bestFit="1" customWidth="1"/>
    <col min="10168" max="10168" width="12.875" bestFit="1" customWidth="1"/>
    <col min="10169" max="10169" width="10.375" bestFit="1" customWidth="1"/>
    <col min="10170" max="10170" width="12.875" bestFit="1" customWidth="1"/>
    <col min="10171" max="10171" width="10.375" bestFit="1" customWidth="1"/>
    <col min="10172" max="10172" width="12.875" bestFit="1" customWidth="1"/>
    <col min="10173" max="10173" width="10.375" bestFit="1" customWidth="1"/>
    <col min="10174" max="10174" width="12.875" bestFit="1" customWidth="1"/>
    <col min="10175" max="10175" width="10.375" bestFit="1" customWidth="1"/>
    <col min="10176" max="10176" width="12.875" bestFit="1" customWidth="1"/>
    <col min="10177" max="10177" width="10.375" bestFit="1" customWidth="1"/>
    <col min="10178" max="10178" width="12.875" bestFit="1" customWidth="1"/>
    <col min="10179" max="10179" width="10.375" bestFit="1" customWidth="1"/>
    <col min="10180" max="10180" width="12.875" bestFit="1" customWidth="1"/>
    <col min="10181" max="10181" width="10.375" bestFit="1" customWidth="1"/>
    <col min="10182" max="10182" width="12.875" bestFit="1" customWidth="1"/>
    <col min="10183" max="10183" width="10.375" bestFit="1" customWidth="1"/>
    <col min="10184" max="10184" width="12.875" bestFit="1" customWidth="1"/>
    <col min="10185" max="10185" width="10.375" bestFit="1" customWidth="1"/>
    <col min="10186" max="10186" width="12.875" bestFit="1" customWidth="1"/>
    <col min="10187" max="10187" width="10.375" bestFit="1" customWidth="1"/>
    <col min="10188" max="10188" width="12.875" bestFit="1" customWidth="1"/>
    <col min="10189" max="10189" width="10.375" bestFit="1" customWidth="1"/>
    <col min="10190" max="10190" width="12.875" bestFit="1" customWidth="1"/>
    <col min="10191" max="10191" width="10.375" bestFit="1" customWidth="1"/>
    <col min="10192" max="10192" width="12.875" bestFit="1" customWidth="1"/>
    <col min="10193" max="10193" width="10.375" bestFit="1" customWidth="1"/>
    <col min="10194" max="10194" width="12.875" bestFit="1" customWidth="1"/>
    <col min="10195" max="10195" width="10.375" bestFit="1" customWidth="1"/>
    <col min="10196" max="10196" width="12.875" bestFit="1" customWidth="1"/>
    <col min="10197" max="10197" width="10.375" bestFit="1" customWidth="1"/>
    <col min="10198" max="10198" width="12.875" bestFit="1" customWidth="1"/>
    <col min="10199" max="10199" width="10.375" bestFit="1" customWidth="1"/>
    <col min="10200" max="10200" width="12.875" bestFit="1" customWidth="1"/>
    <col min="10201" max="10201" width="10.375" bestFit="1" customWidth="1"/>
    <col min="10202" max="10202" width="12.875" bestFit="1" customWidth="1"/>
    <col min="10203" max="10203" width="10.375" bestFit="1" customWidth="1"/>
    <col min="10204" max="10204" width="12.875" bestFit="1" customWidth="1"/>
    <col min="10205" max="10205" width="10.375" bestFit="1" customWidth="1"/>
    <col min="10206" max="10206" width="12.875" bestFit="1" customWidth="1"/>
    <col min="10207" max="10207" width="10.375" bestFit="1" customWidth="1"/>
    <col min="10208" max="10208" width="12.875" bestFit="1" customWidth="1"/>
    <col min="10209" max="10209" width="10.375" bestFit="1" customWidth="1"/>
    <col min="10210" max="10210" width="7" bestFit="1" customWidth="1"/>
    <col min="10211" max="10211" width="12.875" bestFit="1" customWidth="1"/>
    <col min="10212" max="10212" width="10.375" bestFit="1" customWidth="1"/>
    <col min="10213" max="10213" width="12.875" bestFit="1" customWidth="1"/>
    <col min="10214" max="10214" width="10.375" bestFit="1" customWidth="1"/>
    <col min="10215" max="10215" width="12.875" bestFit="1" customWidth="1"/>
    <col min="10216" max="10216" width="10.375" bestFit="1" customWidth="1"/>
    <col min="10217" max="10217" width="12.875" bestFit="1" customWidth="1"/>
    <col min="10218" max="10218" width="10.375" bestFit="1" customWidth="1"/>
    <col min="10219" max="10219" width="12.875" bestFit="1" customWidth="1"/>
    <col min="10220" max="10220" width="10.375" bestFit="1" customWidth="1"/>
    <col min="10221" max="10221" width="12.875" bestFit="1" customWidth="1"/>
    <col min="10222" max="10222" width="10.375" bestFit="1" customWidth="1"/>
    <col min="10223" max="10223" width="7" bestFit="1" customWidth="1"/>
    <col min="10224" max="10224" width="12.875" bestFit="1" customWidth="1"/>
    <col min="10225" max="10225" width="10.375" bestFit="1" customWidth="1"/>
    <col min="10226" max="10226" width="12.875" bestFit="1" customWidth="1"/>
    <col min="10227" max="10227" width="10.375" bestFit="1" customWidth="1"/>
    <col min="10228" max="10228" width="12.875" bestFit="1" customWidth="1"/>
    <col min="10229" max="10229" width="10.375" bestFit="1" customWidth="1"/>
    <col min="10230" max="10230" width="12.875" bestFit="1" customWidth="1"/>
    <col min="10231" max="10231" width="10.375" bestFit="1" customWidth="1"/>
    <col min="10232" max="10232" width="12.875" bestFit="1" customWidth="1"/>
    <col min="10233" max="10233" width="10.375" bestFit="1" customWidth="1"/>
    <col min="10234" max="10234" width="12.875" bestFit="1" customWidth="1"/>
    <col min="10235" max="10235" width="10.375" bestFit="1" customWidth="1"/>
    <col min="10236" max="10236" width="12.875" bestFit="1" customWidth="1"/>
    <col min="10237" max="10237" width="10.375" bestFit="1" customWidth="1"/>
    <col min="10238" max="10238" width="12.875" bestFit="1" customWidth="1"/>
    <col min="10239" max="10239" width="10.375" bestFit="1" customWidth="1"/>
    <col min="10240" max="10240" width="12.875" bestFit="1" customWidth="1"/>
    <col min="10241" max="10241" width="10.375" bestFit="1" customWidth="1"/>
    <col min="10242" max="10242" width="12.875" bestFit="1" customWidth="1"/>
    <col min="10243" max="10243" width="10.375" bestFit="1" customWidth="1"/>
    <col min="10244" max="10244" width="12.875" bestFit="1" customWidth="1"/>
    <col min="10245" max="10245" width="10.375" bestFit="1" customWidth="1"/>
    <col min="10246" max="10246" width="12.875" bestFit="1" customWidth="1"/>
    <col min="10247" max="10247" width="10.375" bestFit="1" customWidth="1"/>
    <col min="10248" max="10248" width="12.875" bestFit="1" customWidth="1"/>
    <col min="10249" max="10249" width="10.375" bestFit="1" customWidth="1"/>
    <col min="10250" max="10250" width="12.875" bestFit="1" customWidth="1"/>
    <col min="10251" max="10251" width="10.375" bestFit="1" customWidth="1"/>
    <col min="10252" max="10252" width="12.875" bestFit="1" customWidth="1"/>
    <col min="10253" max="10253" width="10.375" bestFit="1" customWidth="1"/>
    <col min="10254" max="10254" width="12.875" bestFit="1" customWidth="1"/>
    <col min="10255" max="10255" width="10.375" bestFit="1" customWidth="1"/>
    <col min="10256" max="10256" width="12.875" bestFit="1" customWidth="1"/>
    <col min="10257" max="10257" width="10.375" bestFit="1" customWidth="1"/>
    <col min="10258" max="10258" width="12.875" bestFit="1" customWidth="1"/>
    <col min="10259" max="10259" width="10.375" bestFit="1" customWidth="1"/>
    <col min="10260" max="10260" width="12.875" bestFit="1" customWidth="1"/>
    <col min="10261" max="10261" width="10.375" bestFit="1" customWidth="1"/>
    <col min="10262" max="10262" width="12.875" bestFit="1" customWidth="1"/>
    <col min="10263" max="10263" width="10.375" bestFit="1" customWidth="1"/>
    <col min="10264" max="10264" width="12.875" bestFit="1" customWidth="1"/>
    <col min="10265" max="10265" width="10.375" bestFit="1" customWidth="1"/>
    <col min="10266" max="10266" width="12.875" bestFit="1" customWidth="1"/>
    <col min="10267" max="10267" width="10.375" bestFit="1" customWidth="1"/>
    <col min="10268" max="10268" width="12.875" bestFit="1" customWidth="1"/>
    <col min="10269" max="10269" width="10.375" bestFit="1" customWidth="1"/>
    <col min="10270" max="10270" width="12.875" bestFit="1" customWidth="1"/>
    <col min="10271" max="10271" width="10.375" bestFit="1" customWidth="1"/>
    <col min="10272" max="10272" width="12.875" bestFit="1" customWidth="1"/>
    <col min="10273" max="10273" width="10.375" bestFit="1" customWidth="1"/>
    <col min="10274" max="10274" width="12.875" bestFit="1" customWidth="1"/>
    <col min="10275" max="10275" width="10.375" bestFit="1" customWidth="1"/>
    <col min="10276" max="10276" width="12.875" bestFit="1" customWidth="1"/>
    <col min="10277" max="10277" width="10.375" bestFit="1" customWidth="1"/>
    <col min="10278" max="10278" width="12.875" bestFit="1" customWidth="1"/>
    <col min="10279" max="10279" width="10.375" bestFit="1" customWidth="1"/>
    <col min="10280" max="10280" width="12.875" bestFit="1" customWidth="1"/>
    <col min="10281" max="10281" width="10.375" bestFit="1" customWidth="1"/>
    <col min="10282" max="10282" width="12.875" bestFit="1" customWidth="1"/>
    <col min="10283" max="10283" width="10.375" bestFit="1" customWidth="1"/>
    <col min="10284" max="10284" width="12.875" bestFit="1" customWidth="1"/>
    <col min="10285" max="10285" width="10.375" bestFit="1" customWidth="1"/>
    <col min="10286" max="10286" width="12.875" bestFit="1" customWidth="1"/>
    <col min="10287" max="10287" width="10.375" bestFit="1" customWidth="1"/>
    <col min="10288" max="10288" width="12.875" bestFit="1" customWidth="1"/>
    <col min="10289" max="10289" width="10.375" bestFit="1" customWidth="1"/>
    <col min="10290" max="10290" width="12.875" bestFit="1" customWidth="1"/>
    <col min="10291" max="10291" width="10.375" bestFit="1" customWidth="1"/>
    <col min="10292" max="10292" width="12.875" bestFit="1" customWidth="1"/>
    <col min="10293" max="10293" width="10.375" bestFit="1" customWidth="1"/>
    <col min="10294" max="10294" width="12.875" bestFit="1" customWidth="1"/>
    <col min="10295" max="10295" width="10.375" bestFit="1" customWidth="1"/>
    <col min="10296" max="10296" width="12.875" bestFit="1" customWidth="1"/>
    <col min="10297" max="10297" width="10.375" bestFit="1" customWidth="1"/>
    <col min="10298" max="10298" width="7" bestFit="1" customWidth="1"/>
    <col min="10299" max="10299" width="12.875" bestFit="1" customWidth="1"/>
    <col min="10300" max="10300" width="10.375" bestFit="1" customWidth="1"/>
    <col min="10301" max="10301" width="7" bestFit="1" customWidth="1"/>
    <col min="10302" max="10302" width="12.875" bestFit="1" customWidth="1"/>
    <col min="10303" max="10303" width="10.375" bestFit="1" customWidth="1"/>
    <col min="10304" max="10304" width="12.875" bestFit="1" customWidth="1"/>
    <col min="10305" max="10305" width="10.375" bestFit="1" customWidth="1"/>
    <col min="10306" max="10306" width="12.875" bestFit="1" customWidth="1"/>
    <col min="10307" max="10307" width="10.375" bestFit="1" customWidth="1"/>
    <col min="10308" max="10308" width="12.875" bestFit="1" customWidth="1"/>
    <col min="10309" max="10309" width="10.375" bestFit="1" customWidth="1"/>
    <col min="10310" max="10310" width="12.875" bestFit="1" customWidth="1"/>
    <col min="10311" max="10311" width="10.375" bestFit="1" customWidth="1"/>
    <col min="10312" max="10312" width="12.875" bestFit="1" customWidth="1"/>
    <col min="10313" max="10313" width="10.375" bestFit="1" customWidth="1"/>
    <col min="10314" max="10314" width="12.875" bestFit="1" customWidth="1"/>
    <col min="10315" max="10315" width="10.375" bestFit="1" customWidth="1"/>
    <col min="10316" max="10316" width="12.875" bestFit="1" customWidth="1"/>
    <col min="10317" max="10317" width="10.375" bestFit="1" customWidth="1"/>
    <col min="10318" max="10318" width="12.875" bestFit="1" customWidth="1"/>
    <col min="10319" max="10319" width="10.375" bestFit="1" customWidth="1"/>
    <col min="10320" max="10320" width="12.875" bestFit="1" customWidth="1"/>
    <col min="10321" max="10321" width="10.375" bestFit="1" customWidth="1"/>
    <col min="10322" max="10322" width="12.875" bestFit="1" customWidth="1"/>
    <col min="10323" max="10323" width="10.375" bestFit="1" customWidth="1"/>
    <col min="10324" max="10324" width="12.875" bestFit="1" customWidth="1"/>
    <col min="10325" max="10325" width="10.375" bestFit="1" customWidth="1"/>
    <col min="10326" max="10326" width="12.875" bestFit="1" customWidth="1"/>
    <col min="10327" max="10327" width="10.375" bestFit="1" customWidth="1"/>
    <col min="10328" max="10328" width="12.875" bestFit="1" customWidth="1"/>
    <col min="10329" max="10329" width="10.375" bestFit="1" customWidth="1"/>
    <col min="10330" max="10330" width="7" bestFit="1" customWidth="1"/>
    <col min="10331" max="10331" width="12.875" bestFit="1" customWidth="1"/>
    <col min="10332" max="10332" width="10.375" bestFit="1" customWidth="1"/>
    <col min="10333" max="10333" width="12.875" bestFit="1" customWidth="1"/>
    <col min="10334" max="10334" width="10.375" bestFit="1" customWidth="1"/>
    <col min="10335" max="10335" width="12.875" bestFit="1" customWidth="1"/>
    <col min="10336" max="10336" width="10.375" bestFit="1" customWidth="1"/>
    <col min="10337" max="10337" width="6.625" bestFit="1" customWidth="1"/>
    <col min="10338" max="10338" width="7" bestFit="1" customWidth="1"/>
    <col min="10339" max="10339" width="12.875" bestFit="1" customWidth="1"/>
    <col min="10340" max="10340" width="10.375" bestFit="1" customWidth="1"/>
    <col min="10341" max="10341" width="6.625" bestFit="1" customWidth="1"/>
    <col min="10342" max="10342" width="7" bestFit="1" customWidth="1"/>
    <col min="10343" max="10343" width="12.875" bestFit="1" customWidth="1"/>
    <col min="10344" max="10344" width="10.375" bestFit="1" customWidth="1"/>
    <col min="10345" max="10345" width="12.875" bestFit="1" customWidth="1"/>
    <col min="10346" max="10346" width="10.375" bestFit="1" customWidth="1"/>
    <col min="10347" max="10347" width="12.875" bestFit="1" customWidth="1"/>
    <col min="10348" max="10348" width="10.375" bestFit="1" customWidth="1"/>
    <col min="10349" max="10349" width="12.875" bestFit="1" customWidth="1"/>
    <col min="10350" max="10350" width="10.375" bestFit="1" customWidth="1"/>
    <col min="10351" max="10351" width="12.875" bestFit="1" customWidth="1"/>
    <col min="10352" max="10352" width="10.375" bestFit="1" customWidth="1"/>
    <col min="10353" max="10353" width="12.875" bestFit="1" customWidth="1"/>
    <col min="10354" max="10354" width="10.375" bestFit="1" customWidth="1"/>
    <col min="10355" max="10355" width="12.875" bestFit="1" customWidth="1"/>
    <col min="10356" max="10356" width="10.375" bestFit="1" customWidth="1"/>
    <col min="10357" max="10357" width="12.875" bestFit="1" customWidth="1"/>
    <col min="10358" max="10358" width="10.375" bestFit="1" customWidth="1"/>
    <col min="10359" max="10359" width="12.875" bestFit="1" customWidth="1"/>
    <col min="10360" max="10360" width="10.375" bestFit="1" customWidth="1"/>
    <col min="10361" max="10361" width="12.875" bestFit="1" customWidth="1"/>
    <col min="10362" max="10362" width="10.375" bestFit="1" customWidth="1"/>
    <col min="10363" max="10363" width="12.875" bestFit="1" customWidth="1"/>
    <col min="10364" max="10364" width="10.375" bestFit="1" customWidth="1"/>
    <col min="10365" max="10365" width="12.875" bestFit="1" customWidth="1"/>
    <col min="10366" max="10366" width="10.375" bestFit="1" customWidth="1"/>
    <col min="10367" max="10367" width="12.875" bestFit="1" customWidth="1"/>
    <col min="10368" max="10368" width="10.375" bestFit="1" customWidth="1"/>
    <col min="10369" max="10369" width="7" bestFit="1" customWidth="1"/>
    <col min="10370" max="10370" width="12.875" bestFit="1" customWidth="1"/>
    <col min="10371" max="10371" width="10.375" bestFit="1" customWidth="1"/>
    <col min="10372" max="10372" width="12.875" bestFit="1" customWidth="1"/>
    <col min="10373" max="10373" width="10.375" bestFit="1" customWidth="1"/>
    <col min="10374" max="10374" width="12.875" bestFit="1" customWidth="1"/>
    <col min="10375" max="10375" width="10.375" bestFit="1" customWidth="1"/>
    <col min="10376" max="10376" width="12.875" bestFit="1" customWidth="1"/>
    <col min="10377" max="10377" width="10.375" bestFit="1" customWidth="1"/>
    <col min="10378" max="10378" width="12.875" bestFit="1" customWidth="1"/>
    <col min="10379" max="10379" width="10.375" bestFit="1" customWidth="1"/>
    <col min="10380" max="10380" width="12.875" bestFit="1" customWidth="1"/>
    <col min="10381" max="10381" width="10.375" bestFit="1" customWidth="1"/>
    <col min="10382" max="10382" width="12.875" bestFit="1" customWidth="1"/>
    <col min="10383" max="10383" width="10.375" bestFit="1" customWidth="1"/>
    <col min="10384" max="10384" width="12.875" bestFit="1" customWidth="1"/>
    <col min="10385" max="10385" width="10.375" bestFit="1" customWidth="1"/>
    <col min="10386" max="10386" width="12.875" bestFit="1" customWidth="1"/>
    <col min="10387" max="10387" width="10.375" bestFit="1" customWidth="1"/>
    <col min="10388" max="10388" width="7" bestFit="1" customWidth="1"/>
    <col min="10389" max="10389" width="12.875" bestFit="1" customWidth="1"/>
    <col min="10390" max="10390" width="10.375" bestFit="1" customWidth="1"/>
    <col min="10391" max="10391" width="12.875" bestFit="1" customWidth="1"/>
    <col min="10392" max="10392" width="10.375" bestFit="1" customWidth="1"/>
    <col min="10393" max="10393" width="12.875" bestFit="1" customWidth="1"/>
    <col min="10394" max="10394" width="10.375" bestFit="1" customWidth="1"/>
    <col min="10395" max="10395" width="12.875" bestFit="1" customWidth="1"/>
    <col min="10396" max="10396" width="10.375" bestFit="1" customWidth="1"/>
    <col min="10397" max="10397" width="12.875" bestFit="1" customWidth="1"/>
    <col min="10398" max="10398" width="10.375" bestFit="1" customWidth="1"/>
    <col min="10399" max="10399" width="12.875" bestFit="1" customWidth="1"/>
    <col min="10400" max="10400" width="10.375" bestFit="1" customWidth="1"/>
    <col min="10401" max="10401" width="12.875" bestFit="1" customWidth="1"/>
    <col min="10402" max="10402" width="10.375" bestFit="1" customWidth="1"/>
    <col min="10403" max="10403" width="6.625" bestFit="1" customWidth="1"/>
    <col min="10404" max="10404" width="12.875" bestFit="1" customWidth="1"/>
    <col min="10405" max="10405" width="10.375" bestFit="1" customWidth="1"/>
    <col min="10406" max="10406" width="12.875" bestFit="1" customWidth="1"/>
    <col min="10407" max="10407" width="10.375" bestFit="1" customWidth="1"/>
    <col min="10408" max="10408" width="12.875" bestFit="1" customWidth="1"/>
    <col min="10409" max="10409" width="10.375" bestFit="1" customWidth="1"/>
    <col min="10410" max="10410" width="12.875" bestFit="1" customWidth="1"/>
    <col min="10411" max="10411" width="10.375" bestFit="1" customWidth="1"/>
    <col min="10412" max="10412" width="12.875" bestFit="1" customWidth="1"/>
    <col min="10413" max="10413" width="10.375" bestFit="1" customWidth="1"/>
    <col min="10414" max="10414" width="12.875" bestFit="1" customWidth="1"/>
    <col min="10415" max="10415" width="10.375" bestFit="1" customWidth="1"/>
    <col min="10416" max="10416" width="12.875" bestFit="1" customWidth="1"/>
    <col min="10417" max="10417" width="10.375" bestFit="1" customWidth="1"/>
    <col min="10418" max="10418" width="12.875" bestFit="1" customWidth="1"/>
    <col min="10419" max="10419" width="10.375" bestFit="1" customWidth="1"/>
    <col min="10420" max="10420" width="12.875" bestFit="1" customWidth="1"/>
    <col min="10421" max="10421" width="10.375" bestFit="1" customWidth="1"/>
    <col min="10422" max="10422" width="12.875" bestFit="1" customWidth="1"/>
    <col min="10423" max="10423" width="10.375" bestFit="1" customWidth="1"/>
    <col min="10424" max="10424" width="12.875" bestFit="1" customWidth="1"/>
    <col min="10425" max="10425" width="10.375" bestFit="1" customWidth="1"/>
    <col min="10426" max="10426" width="12.875" bestFit="1" customWidth="1"/>
    <col min="10427" max="10427" width="10.375" bestFit="1" customWidth="1"/>
    <col min="10428" max="10428" width="12.875" bestFit="1" customWidth="1"/>
    <col min="10429" max="10429" width="10.375" bestFit="1" customWidth="1"/>
    <col min="10430" max="10430" width="12.875" bestFit="1" customWidth="1"/>
    <col min="10431" max="10431" width="10.375" bestFit="1" customWidth="1"/>
    <col min="10432" max="10432" width="7" bestFit="1" customWidth="1"/>
    <col min="10433" max="10433" width="12.875" bestFit="1" customWidth="1"/>
    <col min="10434" max="10434" width="10.375" bestFit="1" customWidth="1"/>
    <col min="10435" max="10435" width="12.875" bestFit="1" customWidth="1"/>
    <col min="10436" max="10436" width="10.375" bestFit="1" customWidth="1"/>
    <col min="10437" max="10437" width="12.875" bestFit="1" customWidth="1"/>
    <col min="10438" max="10438" width="10.375" bestFit="1" customWidth="1"/>
    <col min="10439" max="10439" width="7" bestFit="1" customWidth="1"/>
    <col min="10440" max="10440" width="12.875" bestFit="1" customWidth="1"/>
    <col min="10441" max="10441" width="10.375" bestFit="1" customWidth="1"/>
    <col min="10442" max="10442" width="12.875" bestFit="1" customWidth="1"/>
    <col min="10443" max="10443" width="10.375" bestFit="1" customWidth="1"/>
    <col min="10444" max="10444" width="12.875" bestFit="1" customWidth="1"/>
    <col min="10445" max="10445" width="10.375" bestFit="1" customWidth="1"/>
    <col min="10446" max="10446" width="12.875" bestFit="1" customWidth="1"/>
    <col min="10447" max="10447" width="10.375" bestFit="1" customWidth="1"/>
    <col min="10448" max="10448" width="12.875" bestFit="1" customWidth="1"/>
    <col min="10449" max="10449" width="10.375" bestFit="1" customWidth="1"/>
    <col min="10450" max="10450" width="12.875" bestFit="1" customWidth="1"/>
    <col min="10451" max="10451" width="10.375" bestFit="1" customWidth="1"/>
    <col min="10452" max="10452" width="12.875" bestFit="1" customWidth="1"/>
    <col min="10453" max="10453" width="10.375" bestFit="1" customWidth="1"/>
    <col min="10454" max="10454" width="7" bestFit="1" customWidth="1"/>
    <col min="10455" max="10455" width="12.875" bestFit="1" customWidth="1"/>
    <col min="10456" max="10456" width="10.375" bestFit="1" customWidth="1"/>
    <col min="10457" max="10457" width="12.875" bestFit="1" customWidth="1"/>
    <col min="10458" max="10458" width="10.375" bestFit="1" customWidth="1"/>
    <col min="10459" max="10459" width="12.875" bestFit="1" customWidth="1"/>
    <col min="10460" max="10460" width="10.375" bestFit="1" customWidth="1"/>
    <col min="10461" max="10461" width="12.875" bestFit="1" customWidth="1"/>
    <col min="10462" max="10462" width="10.375" bestFit="1" customWidth="1"/>
    <col min="10463" max="10463" width="12.875" bestFit="1" customWidth="1"/>
    <col min="10464" max="10464" width="10.375" bestFit="1" customWidth="1"/>
    <col min="10465" max="10465" width="7" bestFit="1" customWidth="1"/>
    <col min="10466" max="10466" width="12.875" bestFit="1" customWidth="1"/>
    <col min="10467" max="10467" width="10.375" bestFit="1" customWidth="1"/>
    <col min="10468" max="10468" width="12.875" bestFit="1" customWidth="1"/>
    <col min="10469" max="10469" width="10.375" bestFit="1" customWidth="1"/>
    <col min="10470" max="10470" width="7" bestFit="1" customWidth="1"/>
    <col min="10471" max="10471" width="12.875" bestFit="1" customWidth="1"/>
    <col min="10472" max="10472" width="10.375" bestFit="1" customWidth="1"/>
    <col min="10473" max="10473" width="12.875" bestFit="1" customWidth="1"/>
    <col min="10474" max="10474" width="10.375" bestFit="1" customWidth="1"/>
    <col min="10475" max="10475" width="12.875" bestFit="1" customWidth="1"/>
    <col min="10476" max="10476" width="10.375" bestFit="1" customWidth="1"/>
    <col min="10477" max="10477" width="12.875" bestFit="1" customWidth="1"/>
    <col min="10478" max="10478" width="10.375" bestFit="1" customWidth="1"/>
    <col min="10479" max="10479" width="12.875" bestFit="1" customWidth="1"/>
    <col min="10480" max="10480" width="10.375" bestFit="1" customWidth="1"/>
    <col min="10481" max="10481" width="12.875" bestFit="1" customWidth="1"/>
    <col min="10482" max="10482" width="10.375" bestFit="1" customWidth="1"/>
    <col min="10483" max="10483" width="12.875" bestFit="1" customWidth="1"/>
    <col min="10484" max="10484" width="10.375" bestFit="1" customWidth="1"/>
    <col min="10485" max="10485" width="12.875" bestFit="1" customWidth="1"/>
    <col min="10486" max="10486" width="10.375" bestFit="1" customWidth="1"/>
    <col min="10487" max="10487" width="12.875" bestFit="1" customWidth="1"/>
    <col min="10488" max="10488" width="10.375" bestFit="1" customWidth="1"/>
    <col min="10489" max="10489" width="12.875" bestFit="1" customWidth="1"/>
    <col min="10490" max="10490" width="10.375" bestFit="1" customWidth="1"/>
    <col min="10491" max="10491" width="12.875" bestFit="1" customWidth="1"/>
    <col min="10492" max="10492" width="10.375" bestFit="1" customWidth="1"/>
    <col min="10493" max="10493" width="12.875" bestFit="1" customWidth="1"/>
    <col min="10494" max="10494" width="10.375" bestFit="1" customWidth="1"/>
    <col min="10495" max="10495" width="12.875" bestFit="1" customWidth="1"/>
    <col min="10496" max="10496" width="10.375" bestFit="1" customWidth="1"/>
    <col min="10497" max="10497" width="7" bestFit="1" customWidth="1"/>
    <col min="10498" max="10498" width="12.875" bestFit="1" customWidth="1"/>
    <col min="10499" max="10499" width="10.375" bestFit="1" customWidth="1"/>
    <col min="10500" max="10500" width="12.875" bestFit="1" customWidth="1"/>
    <col min="10501" max="10501" width="10.375" bestFit="1" customWidth="1"/>
    <col min="10502" max="10502" width="12.875" bestFit="1" customWidth="1"/>
    <col min="10503" max="10503" width="10.375" bestFit="1" customWidth="1"/>
    <col min="10504" max="10504" width="12.875" bestFit="1" customWidth="1"/>
    <col min="10505" max="10505" width="10.375" bestFit="1" customWidth="1"/>
    <col min="10506" max="10506" width="12.875" bestFit="1" customWidth="1"/>
    <col min="10507" max="10507" width="10.375" bestFit="1" customWidth="1"/>
    <col min="10508" max="10508" width="12.875" bestFit="1" customWidth="1"/>
    <col min="10509" max="10509" width="10.375" bestFit="1" customWidth="1"/>
    <col min="10510" max="10510" width="12.875" bestFit="1" customWidth="1"/>
    <col min="10511" max="10511" width="10.375" bestFit="1" customWidth="1"/>
    <col min="10512" max="10512" width="12.875" bestFit="1" customWidth="1"/>
    <col min="10513" max="10513" width="10.375" bestFit="1" customWidth="1"/>
    <col min="10514" max="10514" width="12.875" bestFit="1" customWidth="1"/>
    <col min="10515" max="10515" width="10.375" bestFit="1" customWidth="1"/>
    <col min="10516" max="10516" width="12.875" bestFit="1" customWidth="1"/>
    <col min="10517" max="10517" width="10.375" bestFit="1" customWidth="1"/>
    <col min="10518" max="10518" width="12.875" bestFit="1" customWidth="1"/>
    <col min="10519" max="10519" width="10.375" bestFit="1" customWidth="1"/>
    <col min="10520" max="10520" width="12.875" bestFit="1" customWidth="1"/>
    <col min="10521" max="10521" width="10.375" bestFit="1" customWidth="1"/>
    <col min="10522" max="10522" width="12.875" bestFit="1" customWidth="1"/>
    <col min="10523" max="10523" width="10.375" bestFit="1" customWidth="1"/>
    <col min="10524" max="10524" width="12.875" bestFit="1" customWidth="1"/>
    <col min="10525" max="10525" width="10.375" bestFit="1" customWidth="1"/>
    <col min="10526" max="10526" width="12.875" bestFit="1" customWidth="1"/>
    <col min="10527" max="10527" width="10.375" bestFit="1" customWidth="1"/>
    <col min="10528" max="10528" width="12.875" bestFit="1" customWidth="1"/>
    <col min="10529" max="10529" width="10.375" bestFit="1" customWidth="1"/>
    <col min="10530" max="10530" width="12.875" bestFit="1" customWidth="1"/>
    <col min="10531" max="10531" width="10.375" bestFit="1" customWidth="1"/>
    <col min="10532" max="10532" width="12.875" bestFit="1" customWidth="1"/>
    <col min="10533" max="10533" width="10.375" bestFit="1" customWidth="1"/>
    <col min="10534" max="10534" width="12.875" bestFit="1" customWidth="1"/>
    <col min="10535" max="10535" width="10.375" bestFit="1" customWidth="1"/>
    <col min="10536" max="10536" width="12.875" bestFit="1" customWidth="1"/>
    <col min="10537" max="10537" width="10.375" bestFit="1" customWidth="1"/>
    <col min="10538" max="10538" width="12.875" bestFit="1" customWidth="1"/>
    <col min="10539" max="10539" width="10.375" bestFit="1" customWidth="1"/>
    <col min="10540" max="10540" width="12.875" bestFit="1" customWidth="1"/>
    <col min="10541" max="10541" width="10.375" bestFit="1" customWidth="1"/>
    <col min="10542" max="10542" width="12.875" bestFit="1" customWidth="1"/>
    <col min="10543" max="10543" width="10.375" bestFit="1" customWidth="1"/>
    <col min="10544" max="10544" width="12.875" bestFit="1" customWidth="1"/>
    <col min="10545" max="10545" width="10.375" bestFit="1" customWidth="1"/>
    <col min="10546" max="10546" width="7" bestFit="1" customWidth="1"/>
    <col min="10547" max="10547" width="12.875" bestFit="1" customWidth="1"/>
    <col min="10548" max="10548" width="10.375" bestFit="1" customWidth="1"/>
    <col min="10549" max="10549" width="12.875" bestFit="1" customWidth="1"/>
    <col min="10550" max="10550" width="10.375" bestFit="1" customWidth="1"/>
    <col min="10551" max="10551" width="12.875" bestFit="1" customWidth="1"/>
    <col min="10552" max="10552" width="10.375" bestFit="1" customWidth="1"/>
    <col min="10553" max="10553" width="12.875" bestFit="1" customWidth="1"/>
    <col min="10554" max="10554" width="10.375" bestFit="1" customWidth="1"/>
    <col min="10555" max="10555" width="12.875" bestFit="1" customWidth="1"/>
    <col min="10556" max="10556" width="10.375" bestFit="1" customWidth="1"/>
    <col min="10557" max="10557" width="12.875" bestFit="1" customWidth="1"/>
    <col min="10558" max="10558" width="10.375" bestFit="1" customWidth="1"/>
    <col min="10559" max="10559" width="12.875" bestFit="1" customWidth="1"/>
    <col min="10560" max="10560" width="10.375" bestFit="1" customWidth="1"/>
    <col min="10561" max="10561" width="12.875" bestFit="1" customWidth="1"/>
    <col min="10562" max="10562" width="10.375" bestFit="1" customWidth="1"/>
    <col min="10563" max="10563" width="12.875" bestFit="1" customWidth="1"/>
    <col min="10564" max="10564" width="10.375" bestFit="1" customWidth="1"/>
    <col min="10565" max="10565" width="12.875" bestFit="1" customWidth="1"/>
    <col min="10566" max="10566" width="10.375" bestFit="1" customWidth="1"/>
    <col min="10567" max="10567" width="12.875" bestFit="1" customWidth="1"/>
    <col min="10568" max="10568" width="10.375" bestFit="1" customWidth="1"/>
    <col min="10569" max="10569" width="12.875" bestFit="1" customWidth="1"/>
    <col min="10570" max="10570" width="10.375" bestFit="1" customWidth="1"/>
    <col min="10571" max="10571" width="12.875" bestFit="1" customWidth="1"/>
    <col min="10572" max="10572" width="10.375" bestFit="1" customWidth="1"/>
    <col min="10573" max="10573" width="12.875" bestFit="1" customWidth="1"/>
    <col min="10574" max="10574" width="10.375" bestFit="1" customWidth="1"/>
    <col min="10575" max="10575" width="12.875" bestFit="1" customWidth="1"/>
    <col min="10576" max="10576" width="10.375" bestFit="1" customWidth="1"/>
    <col min="10577" max="10577" width="12.875" bestFit="1" customWidth="1"/>
    <col min="10578" max="10578" width="10.375" bestFit="1" customWidth="1"/>
    <col min="10579" max="10579" width="12.875" bestFit="1" customWidth="1"/>
    <col min="10580" max="10580" width="10.375" bestFit="1" customWidth="1"/>
    <col min="10581" max="10581" width="12.875" bestFit="1" customWidth="1"/>
    <col min="10582" max="10582" width="10.375" bestFit="1" customWidth="1"/>
    <col min="10583" max="10583" width="12.875" bestFit="1" customWidth="1"/>
    <col min="10584" max="10584" width="10.375" bestFit="1" customWidth="1"/>
    <col min="10585" max="10585" width="12.875" bestFit="1" customWidth="1"/>
    <col min="10586" max="10586" width="10.375" bestFit="1" customWidth="1"/>
    <col min="10587" max="10587" width="12.875" bestFit="1" customWidth="1"/>
    <col min="10588" max="10588" width="10.375" bestFit="1" customWidth="1"/>
    <col min="10589" max="10589" width="12.875" bestFit="1" customWidth="1"/>
    <col min="10590" max="10590" width="10.375" bestFit="1" customWidth="1"/>
    <col min="10591" max="10591" width="12.875" bestFit="1" customWidth="1"/>
    <col min="10592" max="10592" width="10.375" bestFit="1" customWidth="1"/>
    <col min="10593" max="10593" width="12.875" bestFit="1" customWidth="1"/>
    <col min="10594" max="10594" width="10.375" bestFit="1" customWidth="1"/>
    <col min="10595" max="10595" width="12.875" bestFit="1" customWidth="1"/>
    <col min="10596" max="10596" width="10.375" bestFit="1" customWidth="1"/>
    <col min="10597" max="10597" width="12.875" bestFit="1" customWidth="1"/>
    <col min="10598" max="10598" width="10.375" bestFit="1" customWidth="1"/>
    <col min="10599" max="10599" width="12.875" bestFit="1" customWidth="1"/>
    <col min="10600" max="10600" width="10.375" bestFit="1" customWidth="1"/>
    <col min="10601" max="10601" width="12.875" bestFit="1" customWidth="1"/>
    <col min="10602" max="10602" width="10.375" bestFit="1" customWidth="1"/>
    <col min="10603" max="10603" width="12.875" bestFit="1" customWidth="1"/>
    <col min="10604" max="10604" width="10.375" bestFit="1" customWidth="1"/>
    <col min="10605" max="10605" width="12.875" bestFit="1" customWidth="1"/>
    <col min="10606" max="10606" width="10.375" bestFit="1" customWidth="1"/>
    <col min="10607" max="10607" width="12.875" bestFit="1" customWidth="1"/>
    <col min="10608" max="10608" width="10.375" bestFit="1" customWidth="1"/>
    <col min="10609" max="10609" width="12.875" bestFit="1" customWidth="1"/>
    <col min="10610" max="10610" width="10.375" bestFit="1" customWidth="1"/>
    <col min="10611" max="10611" width="12.875" bestFit="1" customWidth="1"/>
    <col min="10612" max="10612" width="10.375" bestFit="1" customWidth="1"/>
    <col min="10613" max="10613" width="12.875" bestFit="1" customWidth="1"/>
    <col min="10614" max="10614" width="10.375" bestFit="1" customWidth="1"/>
    <col min="10615" max="10615" width="12.875" bestFit="1" customWidth="1"/>
    <col min="10616" max="10616" width="10.375" bestFit="1" customWidth="1"/>
    <col min="10617" max="10617" width="12.875" bestFit="1" customWidth="1"/>
    <col min="10618" max="10618" width="10.375" bestFit="1" customWidth="1"/>
    <col min="10619" max="10619" width="12.875" bestFit="1" customWidth="1"/>
    <col min="10620" max="10620" width="10.375" bestFit="1" customWidth="1"/>
    <col min="10621" max="10621" width="12.875" bestFit="1" customWidth="1"/>
    <col min="10622" max="10622" width="10.375" bestFit="1" customWidth="1"/>
    <col min="10623" max="10623" width="12.875" bestFit="1" customWidth="1"/>
    <col min="10624" max="10624" width="10.375" bestFit="1" customWidth="1"/>
    <col min="10625" max="10625" width="12.875" bestFit="1" customWidth="1"/>
    <col min="10626" max="10626" width="10.375" bestFit="1" customWidth="1"/>
    <col min="10627" max="10627" width="12.875" bestFit="1" customWidth="1"/>
    <col min="10628" max="10628" width="10.375" bestFit="1" customWidth="1"/>
    <col min="10629" max="10629" width="12.875" bestFit="1" customWidth="1"/>
    <col min="10630" max="10630" width="10.375" bestFit="1" customWidth="1"/>
    <col min="10631" max="10631" width="7" bestFit="1" customWidth="1"/>
    <col min="10632" max="10632" width="12.875" bestFit="1" customWidth="1"/>
    <col min="10633" max="10633" width="10.375" bestFit="1" customWidth="1"/>
    <col min="10634" max="10634" width="12.875" bestFit="1" customWidth="1"/>
    <col min="10635" max="10635" width="10.375" bestFit="1" customWidth="1"/>
    <col min="10636" max="10636" width="12.875" bestFit="1" customWidth="1"/>
    <col min="10637" max="10637" width="10.375" bestFit="1" customWidth="1"/>
    <col min="10638" max="10638" width="12.875" bestFit="1" customWidth="1"/>
    <col min="10639" max="10639" width="10.375" bestFit="1" customWidth="1"/>
    <col min="10640" max="10640" width="12.875" bestFit="1" customWidth="1"/>
    <col min="10641" max="10641" width="10.375" bestFit="1" customWidth="1"/>
    <col min="10642" max="10642" width="12.875" bestFit="1" customWidth="1"/>
    <col min="10643" max="10643" width="10.375" bestFit="1" customWidth="1"/>
    <col min="10644" max="10644" width="12.875" bestFit="1" customWidth="1"/>
    <col min="10645" max="10645" width="10.375" bestFit="1" customWidth="1"/>
    <col min="10646" max="10646" width="12.875" bestFit="1" customWidth="1"/>
    <col min="10647" max="10647" width="10.375" bestFit="1" customWidth="1"/>
    <col min="10648" max="10648" width="12.875" bestFit="1" customWidth="1"/>
    <col min="10649" max="10649" width="10.375" bestFit="1" customWidth="1"/>
    <col min="10650" max="10650" width="12.875" bestFit="1" customWidth="1"/>
    <col min="10651" max="10651" width="10.375" bestFit="1" customWidth="1"/>
    <col min="10652" max="10652" width="7" bestFit="1" customWidth="1"/>
    <col min="10653" max="10653" width="12.875" bestFit="1" customWidth="1"/>
    <col min="10654" max="10654" width="10.375" bestFit="1" customWidth="1"/>
    <col min="10655" max="10655" width="12.875" bestFit="1" customWidth="1"/>
    <col min="10656" max="10656" width="10.375" bestFit="1" customWidth="1"/>
    <col min="10657" max="10657" width="12.875" bestFit="1" customWidth="1"/>
    <col min="10658" max="10658" width="10.375" bestFit="1" customWidth="1"/>
    <col min="10659" max="10659" width="12.875" bestFit="1" customWidth="1"/>
    <col min="10660" max="10660" width="10.375" bestFit="1" customWidth="1"/>
    <col min="10661" max="10661" width="12.875" bestFit="1" customWidth="1"/>
    <col min="10662" max="10662" width="10.375" bestFit="1" customWidth="1"/>
    <col min="10663" max="10663" width="12.875" bestFit="1" customWidth="1"/>
    <col min="10664" max="10664" width="10.375" bestFit="1" customWidth="1"/>
    <col min="10665" max="10665" width="12.875" bestFit="1" customWidth="1"/>
    <col min="10666" max="10666" width="10.375" bestFit="1" customWidth="1"/>
    <col min="10667" max="10667" width="12.875" bestFit="1" customWidth="1"/>
    <col min="10668" max="10668" width="10.375" bestFit="1" customWidth="1"/>
    <col min="10669" max="10669" width="12.875" bestFit="1" customWidth="1"/>
    <col min="10670" max="10670" width="10.375" bestFit="1" customWidth="1"/>
    <col min="10671" max="10671" width="12.875" bestFit="1" customWidth="1"/>
    <col min="10672" max="10672" width="10.375" bestFit="1" customWidth="1"/>
    <col min="10673" max="10673" width="12.875" bestFit="1" customWidth="1"/>
    <col min="10674" max="10674" width="10.375" bestFit="1" customWidth="1"/>
    <col min="10675" max="10675" width="12.875" bestFit="1" customWidth="1"/>
    <col min="10676" max="10676" width="10.375" bestFit="1" customWidth="1"/>
    <col min="10677" max="10677" width="12.875" bestFit="1" customWidth="1"/>
    <col min="10678" max="10678" width="10.375" bestFit="1" customWidth="1"/>
    <col min="10679" max="10679" width="12.875" bestFit="1" customWidth="1"/>
    <col min="10680" max="10680" width="10.375" bestFit="1" customWidth="1"/>
    <col min="10681" max="10681" width="12.875" bestFit="1" customWidth="1"/>
    <col min="10682" max="10682" width="10.375" bestFit="1" customWidth="1"/>
    <col min="10683" max="10683" width="12.875" bestFit="1" customWidth="1"/>
    <col min="10684" max="10684" width="10.375" bestFit="1" customWidth="1"/>
    <col min="10685" max="10685" width="12.875" bestFit="1" customWidth="1"/>
    <col min="10686" max="10686" width="10.375" bestFit="1" customWidth="1"/>
    <col min="10687" max="10687" width="12.875" bestFit="1" customWidth="1"/>
    <col min="10688" max="10688" width="10.375" bestFit="1" customWidth="1"/>
    <col min="10689" max="10689" width="12.875" bestFit="1" customWidth="1"/>
    <col min="10690" max="10690" width="10.375" bestFit="1" customWidth="1"/>
    <col min="10691" max="10691" width="12.875" bestFit="1" customWidth="1"/>
    <col min="10692" max="10692" width="10.375" bestFit="1" customWidth="1"/>
    <col min="10693" max="10693" width="12.875" bestFit="1" customWidth="1"/>
    <col min="10694" max="10694" width="10.375" bestFit="1" customWidth="1"/>
    <col min="10695" max="10695" width="12.875" bestFit="1" customWidth="1"/>
    <col min="10696" max="10696" width="10.375" bestFit="1" customWidth="1"/>
    <col min="10697" max="10697" width="7" bestFit="1" customWidth="1"/>
    <col min="10698" max="10698" width="12.875" bestFit="1" customWidth="1"/>
    <col min="10699" max="10699" width="10.375" bestFit="1" customWidth="1"/>
    <col min="10700" max="10700" width="12.875" bestFit="1" customWidth="1"/>
    <col min="10701" max="10701" width="10.375" bestFit="1" customWidth="1"/>
    <col min="10702" max="10702" width="12.875" bestFit="1" customWidth="1"/>
    <col min="10703" max="10703" width="10.375" bestFit="1" customWidth="1"/>
    <col min="10704" max="10704" width="12.875" bestFit="1" customWidth="1"/>
    <col min="10705" max="10705" width="10.375" bestFit="1" customWidth="1"/>
    <col min="10706" max="10706" width="12.875" bestFit="1" customWidth="1"/>
    <col min="10707" max="10707" width="10.375" bestFit="1" customWidth="1"/>
    <col min="10708" max="10708" width="12.875" bestFit="1" customWidth="1"/>
    <col min="10709" max="10709" width="10.375" bestFit="1" customWidth="1"/>
    <col min="10710" max="10710" width="12.875" bestFit="1" customWidth="1"/>
    <col min="10711" max="10711" width="10.375" bestFit="1" customWidth="1"/>
    <col min="10712" max="10712" width="12.875" bestFit="1" customWidth="1"/>
    <col min="10713" max="10713" width="10.375" bestFit="1" customWidth="1"/>
    <col min="10714" max="10714" width="12.875" bestFit="1" customWidth="1"/>
    <col min="10715" max="10715" width="10.375" bestFit="1" customWidth="1"/>
    <col min="10716" max="10716" width="12.875" bestFit="1" customWidth="1"/>
    <col min="10717" max="10717" width="10.375" bestFit="1" customWidth="1"/>
    <col min="10718" max="10718" width="12.875" bestFit="1" customWidth="1"/>
    <col min="10719" max="10719" width="10.375" bestFit="1" customWidth="1"/>
    <col min="10720" max="10720" width="12.875" bestFit="1" customWidth="1"/>
    <col min="10721" max="10721" width="10.375" bestFit="1" customWidth="1"/>
    <col min="10722" max="10722" width="12.875" bestFit="1" customWidth="1"/>
    <col min="10723" max="10723" width="10.375" bestFit="1" customWidth="1"/>
    <col min="10724" max="10724" width="12.875" bestFit="1" customWidth="1"/>
    <col min="10725" max="10725" width="10.375" bestFit="1" customWidth="1"/>
    <col min="10726" max="10726" width="12.875" bestFit="1" customWidth="1"/>
    <col min="10727" max="10727" width="10.375" bestFit="1" customWidth="1"/>
    <col min="10728" max="10728" width="12.875" bestFit="1" customWidth="1"/>
    <col min="10729" max="10729" width="10.375" bestFit="1" customWidth="1"/>
    <col min="10730" max="10730" width="12.875" bestFit="1" customWidth="1"/>
    <col min="10731" max="10731" width="10.375" bestFit="1" customWidth="1"/>
    <col min="10732" max="10732" width="12.875" bestFit="1" customWidth="1"/>
    <col min="10733" max="10733" width="10.375" bestFit="1" customWidth="1"/>
    <col min="10734" max="10734" width="12.875" bestFit="1" customWidth="1"/>
    <col min="10735" max="10735" width="10.375" bestFit="1" customWidth="1"/>
    <col min="10736" max="10736" width="12.875" bestFit="1" customWidth="1"/>
    <col min="10737" max="10737" width="10.375" bestFit="1" customWidth="1"/>
    <col min="10738" max="10738" width="12.875" bestFit="1" customWidth="1"/>
    <col min="10739" max="10739" width="10.375" bestFit="1" customWidth="1"/>
    <col min="10740" max="10740" width="12.875" bestFit="1" customWidth="1"/>
    <col min="10741" max="10741" width="10.375" bestFit="1" customWidth="1"/>
    <col min="10742" max="10742" width="12.875" bestFit="1" customWidth="1"/>
    <col min="10743" max="10743" width="10.375" bestFit="1" customWidth="1"/>
    <col min="10744" max="10744" width="12.875" bestFit="1" customWidth="1"/>
    <col min="10745" max="10745" width="10.375" bestFit="1" customWidth="1"/>
    <col min="10746" max="10746" width="12.875" bestFit="1" customWidth="1"/>
    <col min="10747" max="10747" width="10.375" bestFit="1" customWidth="1"/>
    <col min="10748" max="10748" width="12.875" bestFit="1" customWidth="1"/>
    <col min="10749" max="10749" width="10.375" bestFit="1" customWidth="1"/>
    <col min="10750" max="10750" width="12.875" bestFit="1" customWidth="1"/>
    <col min="10751" max="10751" width="10.375" bestFit="1" customWidth="1"/>
    <col min="10752" max="10752" width="12.875" bestFit="1" customWidth="1"/>
    <col min="10753" max="10753" width="10.375" bestFit="1" customWidth="1"/>
    <col min="10754" max="10754" width="12.875" bestFit="1" customWidth="1"/>
    <col min="10755" max="10755" width="10.375" bestFit="1" customWidth="1"/>
    <col min="10756" max="10756" width="12.875" bestFit="1" customWidth="1"/>
    <col min="10757" max="10757" width="10.375" bestFit="1" customWidth="1"/>
    <col min="10758" max="10758" width="12.875" bestFit="1" customWidth="1"/>
    <col min="10759" max="10759" width="10.375" bestFit="1" customWidth="1"/>
    <col min="10760" max="10760" width="12.875" bestFit="1" customWidth="1"/>
    <col min="10761" max="10761" width="10.375" bestFit="1" customWidth="1"/>
    <col min="10762" max="10762" width="12.875" bestFit="1" customWidth="1"/>
    <col min="10763" max="10763" width="10.375" bestFit="1" customWidth="1"/>
    <col min="10764" max="10764" width="7" bestFit="1" customWidth="1"/>
    <col min="10765" max="10765" width="12.875" bestFit="1" customWidth="1"/>
    <col min="10766" max="10766" width="10.375" bestFit="1" customWidth="1"/>
    <col min="10767" max="10767" width="12.875" bestFit="1" customWidth="1"/>
    <col min="10768" max="10768" width="10.375" bestFit="1" customWidth="1"/>
    <col min="10769" max="10769" width="12.875" bestFit="1" customWidth="1"/>
    <col min="10770" max="10770" width="10.375" bestFit="1" customWidth="1"/>
    <col min="10771" max="10771" width="12.875" bestFit="1" customWidth="1"/>
    <col min="10772" max="10772" width="10.375" bestFit="1" customWidth="1"/>
    <col min="10773" max="10773" width="12.875" bestFit="1" customWidth="1"/>
    <col min="10774" max="10774" width="10.375" bestFit="1" customWidth="1"/>
    <col min="10775" max="10775" width="12.875" bestFit="1" customWidth="1"/>
    <col min="10776" max="10776" width="10.375" bestFit="1" customWidth="1"/>
    <col min="10777" max="10777" width="12.875" bestFit="1" customWidth="1"/>
    <col min="10778" max="10778" width="10.375" bestFit="1" customWidth="1"/>
    <col min="10779" max="10779" width="12.875" bestFit="1" customWidth="1"/>
    <col min="10780" max="10780" width="10.375" bestFit="1" customWidth="1"/>
    <col min="10781" max="10781" width="12.875" bestFit="1" customWidth="1"/>
    <col min="10782" max="10782" width="10.375" bestFit="1" customWidth="1"/>
    <col min="10783" max="10783" width="12.875" bestFit="1" customWidth="1"/>
    <col min="10784" max="10784" width="10.375" bestFit="1" customWidth="1"/>
    <col min="10785" max="10785" width="12.875" bestFit="1" customWidth="1"/>
    <col min="10786" max="10786" width="10.375" bestFit="1" customWidth="1"/>
    <col min="10787" max="10787" width="12.875" bestFit="1" customWidth="1"/>
    <col min="10788" max="10788" width="10.375" bestFit="1" customWidth="1"/>
    <col min="10789" max="10789" width="12.875" bestFit="1" customWidth="1"/>
    <col min="10790" max="10790" width="10.375" bestFit="1" customWidth="1"/>
    <col min="10791" max="10791" width="12.875" bestFit="1" customWidth="1"/>
    <col min="10792" max="10792" width="10.375" bestFit="1" customWidth="1"/>
    <col min="10793" max="10793" width="12.875" bestFit="1" customWidth="1"/>
    <col min="10794" max="10794" width="10.375" bestFit="1" customWidth="1"/>
    <col min="10795" max="10795" width="12.875" bestFit="1" customWidth="1"/>
    <col min="10796" max="10796" width="10.375" bestFit="1" customWidth="1"/>
    <col min="10797" max="10797" width="12.875" bestFit="1" customWidth="1"/>
    <col min="10798" max="10798" width="10.375" bestFit="1" customWidth="1"/>
    <col min="10799" max="10799" width="12.875" bestFit="1" customWidth="1"/>
    <col min="10800" max="10800" width="10.375" bestFit="1" customWidth="1"/>
    <col min="10801" max="10801" width="12.875" bestFit="1" customWidth="1"/>
    <col min="10802" max="10802" width="10.375" bestFit="1" customWidth="1"/>
    <col min="10803" max="10803" width="12.875" bestFit="1" customWidth="1"/>
    <col min="10804" max="10804" width="10.375" bestFit="1" customWidth="1"/>
    <col min="10805" max="10805" width="12.875" bestFit="1" customWidth="1"/>
    <col min="10806" max="10806" width="10.375" bestFit="1" customWidth="1"/>
    <col min="10807" max="10807" width="7" bestFit="1" customWidth="1"/>
    <col min="10808" max="10808" width="12.875" bestFit="1" customWidth="1"/>
    <col min="10809" max="10809" width="10.375" bestFit="1" customWidth="1"/>
    <col min="10810" max="10810" width="12.875" bestFit="1" customWidth="1"/>
    <col min="10811" max="10811" width="10.375" bestFit="1" customWidth="1"/>
    <col min="10812" max="10812" width="12.875" bestFit="1" customWidth="1"/>
    <col min="10813" max="10813" width="10.375" bestFit="1" customWidth="1"/>
    <col min="10814" max="10814" width="12.875" bestFit="1" customWidth="1"/>
    <col min="10815" max="10815" width="10.375" bestFit="1" customWidth="1"/>
    <col min="10816" max="10816" width="6.625" bestFit="1" customWidth="1"/>
    <col min="10817" max="10817" width="7" bestFit="1" customWidth="1"/>
    <col min="10818" max="10818" width="12.875" bestFit="1" customWidth="1"/>
    <col min="10819" max="10819" width="10.375" bestFit="1" customWidth="1"/>
    <col min="10820" max="10820" width="12.875" bestFit="1" customWidth="1"/>
    <col min="10821" max="10821" width="10.375" bestFit="1" customWidth="1"/>
    <col min="10822" max="10822" width="12.875" bestFit="1" customWidth="1"/>
    <col min="10823" max="10823" width="10.375" bestFit="1" customWidth="1"/>
    <col min="10824" max="10824" width="12.875" bestFit="1" customWidth="1"/>
    <col min="10825" max="10825" width="10.375" bestFit="1" customWidth="1"/>
    <col min="10826" max="10826" width="7" bestFit="1" customWidth="1"/>
    <col min="10827" max="10827" width="12.875" bestFit="1" customWidth="1"/>
    <col min="10828" max="10828" width="10.375" bestFit="1" customWidth="1"/>
    <col min="10829" max="10829" width="12.875" bestFit="1" customWidth="1"/>
    <col min="10830" max="10830" width="10.375" bestFit="1" customWidth="1"/>
    <col min="10831" max="10831" width="12.875" bestFit="1" customWidth="1"/>
    <col min="10832" max="10832" width="10.375" bestFit="1" customWidth="1"/>
    <col min="10833" max="10833" width="7" bestFit="1" customWidth="1"/>
    <col min="10834" max="10834" width="12.875" bestFit="1" customWidth="1"/>
    <col min="10835" max="10835" width="10.375" bestFit="1" customWidth="1"/>
    <col min="10836" max="10836" width="7" bestFit="1" customWidth="1"/>
    <col min="10837" max="10837" width="12.875" bestFit="1" customWidth="1"/>
    <col min="10838" max="10838" width="10.375" bestFit="1" customWidth="1"/>
    <col min="10839" max="10839" width="12.875" bestFit="1" customWidth="1"/>
    <col min="10840" max="10840" width="10.375" bestFit="1" customWidth="1"/>
    <col min="10841" max="10841" width="12.875" bestFit="1" customWidth="1"/>
    <col min="10842" max="10842" width="10.375" bestFit="1" customWidth="1"/>
    <col min="10843" max="10843" width="7" bestFit="1" customWidth="1"/>
    <col min="10844" max="10844" width="12.875" bestFit="1" customWidth="1"/>
    <col min="10845" max="10845" width="10.375" bestFit="1" customWidth="1"/>
    <col min="10846" max="10846" width="12.875" bestFit="1" customWidth="1"/>
    <col min="10847" max="10847" width="10.375" bestFit="1" customWidth="1"/>
    <col min="10848" max="10848" width="12.875" bestFit="1" customWidth="1"/>
    <col min="10849" max="10849" width="10.375" bestFit="1" customWidth="1"/>
    <col min="10850" max="10850" width="12.875" bestFit="1" customWidth="1"/>
    <col min="10851" max="10851" width="10.375" bestFit="1" customWidth="1"/>
    <col min="10852" max="10852" width="12.875" bestFit="1" customWidth="1"/>
    <col min="10853" max="10853" width="10.375" bestFit="1" customWidth="1"/>
    <col min="10854" max="10854" width="12.875" bestFit="1" customWidth="1"/>
    <col min="10855" max="10855" width="10.375" bestFit="1" customWidth="1"/>
    <col min="10856" max="10856" width="12.875" bestFit="1" customWidth="1"/>
    <col min="10857" max="10857" width="10.375" bestFit="1" customWidth="1"/>
    <col min="10858" max="10858" width="12.875" bestFit="1" customWidth="1"/>
    <col min="10859" max="10859" width="10.375" bestFit="1" customWidth="1"/>
    <col min="10860" max="10860" width="12.875" bestFit="1" customWidth="1"/>
    <col min="10861" max="10861" width="10.375" bestFit="1" customWidth="1"/>
    <col min="10862" max="10862" width="6.625" bestFit="1" customWidth="1"/>
    <col min="10863" max="10863" width="7" bestFit="1" customWidth="1"/>
    <col min="10864" max="10864" width="12.875" bestFit="1" customWidth="1"/>
    <col min="10865" max="10865" width="10.375" bestFit="1" customWidth="1"/>
    <col min="10866" max="10866" width="12.875" bestFit="1" customWidth="1"/>
    <col min="10867" max="10867" width="10.375" bestFit="1" customWidth="1"/>
    <col min="10868" max="10868" width="12.875" bestFit="1" customWidth="1"/>
    <col min="10869" max="10869" width="10.375" bestFit="1" customWidth="1"/>
    <col min="10870" max="10870" width="12.875" bestFit="1" customWidth="1"/>
    <col min="10871" max="10871" width="10.375" bestFit="1" customWidth="1"/>
    <col min="10872" max="10872" width="12.875" bestFit="1" customWidth="1"/>
    <col min="10873" max="10873" width="10.375" bestFit="1" customWidth="1"/>
    <col min="10874" max="10874" width="12.875" bestFit="1" customWidth="1"/>
    <col min="10875" max="10875" width="10.375" bestFit="1" customWidth="1"/>
    <col min="10876" max="10876" width="12.875" bestFit="1" customWidth="1"/>
    <col min="10877" max="10877" width="10.375" bestFit="1" customWidth="1"/>
    <col min="10878" max="10878" width="12.875" bestFit="1" customWidth="1"/>
    <col min="10879" max="10879" width="10.375" bestFit="1" customWidth="1"/>
    <col min="10880" max="10880" width="12.875" bestFit="1" customWidth="1"/>
    <col min="10881" max="10881" width="10.375" bestFit="1" customWidth="1"/>
    <col min="10882" max="10882" width="12.875" bestFit="1" customWidth="1"/>
    <col min="10883" max="10883" width="10.375" bestFit="1" customWidth="1"/>
    <col min="10884" max="10884" width="12.875" bestFit="1" customWidth="1"/>
    <col min="10885" max="10885" width="10.375" bestFit="1" customWidth="1"/>
    <col min="10886" max="10886" width="12.875" bestFit="1" customWidth="1"/>
    <col min="10887" max="10887" width="10.375" bestFit="1" customWidth="1"/>
    <col min="10888" max="10888" width="12.875" bestFit="1" customWidth="1"/>
    <col min="10889" max="10889" width="10.375" bestFit="1" customWidth="1"/>
    <col min="10890" max="10890" width="12.875" bestFit="1" customWidth="1"/>
    <col min="10891" max="10891" width="10.375" bestFit="1" customWidth="1"/>
    <col min="10892" max="10892" width="12.875" bestFit="1" customWidth="1"/>
    <col min="10893" max="10893" width="10.375" bestFit="1" customWidth="1"/>
    <col min="10894" max="10894" width="12.875" bestFit="1" customWidth="1"/>
    <col min="10895" max="10895" width="10.375" bestFit="1" customWidth="1"/>
    <col min="10896" max="10896" width="12.875" bestFit="1" customWidth="1"/>
    <col min="10897" max="10897" width="10.375" bestFit="1" customWidth="1"/>
    <col min="10898" max="10898" width="12.875" bestFit="1" customWidth="1"/>
    <col min="10899" max="10899" width="10.375" bestFit="1" customWidth="1"/>
    <col min="10900" max="10900" width="12.875" bestFit="1" customWidth="1"/>
    <col min="10901" max="10901" width="10.375" bestFit="1" customWidth="1"/>
    <col min="10902" max="10902" width="12.875" bestFit="1" customWidth="1"/>
    <col min="10903" max="10903" width="10.375" bestFit="1" customWidth="1"/>
    <col min="10904" max="10904" width="12.875" bestFit="1" customWidth="1"/>
    <col min="10905" max="10905" width="10.375" bestFit="1" customWidth="1"/>
    <col min="10906" max="10906" width="12.875" bestFit="1" customWidth="1"/>
    <col min="10907" max="10907" width="10.375" bestFit="1" customWidth="1"/>
    <col min="10908" max="10908" width="12.875" bestFit="1" customWidth="1"/>
    <col min="10909" max="10909" width="10.375" bestFit="1" customWidth="1"/>
    <col min="10910" max="10910" width="12.875" bestFit="1" customWidth="1"/>
    <col min="10911" max="10911" width="10.375" bestFit="1" customWidth="1"/>
    <col min="10912" max="10912" width="12.875" bestFit="1" customWidth="1"/>
    <col min="10913" max="10913" width="10.375" bestFit="1" customWidth="1"/>
    <col min="10914" max="10914" width="12.875" bestFit="1" customWidth="1"/>
    <col min="10915" max="10915" width="10.375" bestFit="1" customWidth="1"/>
    <col min="10916" max="10916" width="12.875" bestFit="1" customWidth="1"/>
    <col min="10917" max="10917" width="10.375" bestFit="1" customWidth="1"/>
    <col min="10918" max="10918" width="12.875" bestFit="1" customWidth="1"/>
    <col min="10919" max="10919" width="10.375" bestFit="1" customWidth="1"/>
    <col min="10920" max="10920" width="12.875" bestFit="1" customWidth="1"/>
    <col min="10921" max="10921" width="10.375" bestFit="1" customWidth="1"/>
    <col min="10922" max="10922" width="12.875" bestFit="1" customWidth="1"/>
    <col min="10923" max="10923" width="10.375" bestFit="1" customWidth="1"/>
    <col min="10924" max="10924" width="12.875" bestFit="1" customWidth="1"/>
    <col min="10925" max="10925" width="10.375" bestFit="1" customWidth="1"/>
    <col min="10926" max="10926" width="12.875" bestFit="1" customWidth="1"/>
    <col min="10927" max="10927" width="10.375" bestFit="1" customWidth="1"/>
    <col min="10928" max="10928" width="12.875" bestFit="1" customWidth="1"/>
    <col min="10929" max="10929" width="10.375" bestFit="1" customWidth="1"/>
    <col min="10930" max="10930" width="12.875" bestFit="1" customWidth="1"/>
    <col min="10931" max="10931" width="10.375" bestFit="1" customWidth="1"/>
    <col min="10932" max="10932" width="12.875" bestFit="1" customWidth="1"/>
    <col min="10933" max="10933" width="10.375" bestFit="1" customWidth="1"/>
    <col min="10934" max="10934" width="7" bestFit="1" customWidth="1"/>
    <col min="10935" max="10935" width="12.875" bestFit="1" customWidth="1"/>
    <col min="10936" max="10936" width="10.375" bestFit="1" customWidth="1"/>
    <col min="10937" max="10937" width="12.875" bestFit="1" customWidth="1"/>
    <col min="10938" max="10938" width="10.375" bestFit="1" customWidth="1"/>
    <col min="10939" max="10939" width="12.875" bestFit="1" customWidth="1"/>
    <col min="10940" max="10940" width="10.375" bestFit="1" customWidth="1"/>
    <col min="10941" max="10941" width="12.875" bestFit="1" customWidth="1"/>
    <col min="10942" max="10942" width="10.375" bestFit="1" customWidth="1"/>
    <col min="10943" max="10943" width="12.875" bestFit="1" customWidth="1"/>
    <col min="10944" max="10944" width="10.375" bestFit="1" customWidth="1"/>
    <col min="10945" max="10945" width="12.875" bestFit="1" customWidth="1"/>
    <col min="10946" max="10946" width="10.375" bestFit="1" customWidth="1"/>
    <col min="10947" max="10947" width="12.875" bestFit="1" customWidth="1"/>
    <col min="10948" max="10948" width="10.375" bestFit="1" customWidth="1"/>
    <col min="10949" max="10949" width="12.875" bestFit="1" customWidth="1"/>
    <col min="10950" max="10950" width="10.375" bestFit="1" customWidth="1"/>
    <col min="10951" max="10951" width="12.875" bestFit="1" customWidth="1"/>
    <col min="10952" max="10952" width="10.375" bestFit="1" customWidth="1"/>
    <col min="10953" max="10953" width="12.875" bestFit="1" customWidth="1"/>
    <col min="10954" max="10954" width="10.375" bestFit="1" customWidth="1"/>
    <col min="10955" max="10955" width="12.875" bestFit="1" customWidth="1"/>
    <col min="10956" max="10956" width="10.375" bestFit="1" customWidth="1"/>
    <col min="10957" max="10957" width="7" bestFit="1" customWidth="1"/>
    <col min="10958" max="10958" width="12.875" bestFit="1" customWidth="1"/>
    <col min="10959" max="10959" width="10.375" bestFit="1" customWidth="1"/>
    <col min="10960" max="10960" width="12.875" bestFit="1" customWidth="1"/>
    <col min="10961" max="10961" width="10.375" bestFit="1" customWidth="1"/>
    <col min="10962" max="10962" width="12.875" bestFit="1" customWidth="1"/>
    <col min="10963" max="10963" width="10.375" bestFit="1" customWidth="1"/>
    <col min="10964" max="10964" width="12.875" bestFit="1" customWidth="1"/>
    <col min="10965" max="10965" width="10.375" bestFit="1" customWidth="1"/>
    <col min="10966" max="10966" width="12.875" bestFit="1" customWidth="1"/>
    <col min="10967" max="10967" width="10.375" bestFit="1" customWidth="1"/>
    <col min="10968" max="10968" width="12.875" bestFit="1" customWidth="1"/>
    <col min="10969" max="10969" width="10.375" bestFit="1" customWidth="1"/>
    <col min="10970" max="10970" width="12.875" bestFit="1" customWidth="1"/>
    <col min="10971" max="10971" width="10.375" bestFit="1" customWidth="1"/>
    <col min="10972" max="10972" width="12.875" bestFit="1" customWidth="1"/>
    <col min="10973" max="10973" width="10.375" bestFit="1" customWidth="1"/>
    <col min="10974" max="10974" width="12.875" bestFit="1" customWidth="1"/>
    <col min="10975" max="10975" width="10.375" bestFit="1" customWidth="1"/>
    <col min="10976" max="10976" width="12.875" bestFit="1" customWidth="1"/>
    <col min="10977" max="10977" width="10.375" bestFit="1" customWidth="1"/>
    <col min="10978" max="10978" width="12.875" bestFit="1" customWidth="1"/>
    <col min="10979" max="10979" width="10.375" bestFit="1" customWidth="1"/>
    <col min="10980" max="10980" width="12.875" bestFit="1" customWidth="1"/>
    <col min="10981" max="10981" width="10.375" bestFit="1" customWidth="1"/>
    <col min="10982" max="10982" width="12.875" bestFit="1" customWidth="1"/>
    <col min="10983" max="10983" width="10.375" bestFit="1" customWidth="1"/>
    <col min="10984" max="10984" width="7" bestFit="1" customWidth="1"/>
    <col min="10985" max="10985" width="12.875" bestFit="1" customWidth="1"/>
    <col min="10986" max="10986" width="10.375" bestFit="1" customWidth="1"/>
    <col min="10987" max="10987" width="12.875" bestFit="1" customWidth="1"/>
    <col min="10988" max="10988" width="10.375" bestFit="1" customWidth="1"/>
    <col min="10989" max="10989" width="12.875" bestFit="1" customWidth="1"/>
    <col min="10990" max="10990" width="10.375" bestFit="1" customWidth="1"/>
    <col min="10991" max="10991" width="7" bestFit="1" customWidth="1"/>
    <col min="10992" max="10992" width="12.875" bestFit="1" customWidth="1"/>
    <col min="10993" max="10993" width="10.375" bestFit="1" customWidth="1"/>
    <col min="10994" max="10994" width="7" bestFit="1" customWidth="1"/>
    <col min="10995" max="10995" width="12.875" bestFit="1" customWidth="1"/>
    <col min="10996" max="10996" width="10.375" bestFit="1" customWidth="1"/>
    <col min="10997" max="10997" width="12.875" bestFit="1" customWidth="1"/>
    <col min="10998" max="10998" width="10.375" bestFit="1" customWidth="1"/>
    <col min="10999" max="10999" width="12.875" bestFit="1" customWidth="1"/>
    <col min="11000" max="11000" width="10.375" bestFit="1" customWidth="1"/>
    <col min="11001" max="11001" width="12.875" bestFit="1" customWidth="1"/>
    <col min="11002" max="11002" width="10.375" bestFit="1" customWidth="1"/>
    <col min="11003" max="11003" width="7" bestFit="1" customWidth="1"/>
    <col min="11004" max="11004" width="12.875" bestFit="1" customWidth="1"/>
    <col min="11005" max="11005" width="10.375" bestFit="1" customWidth="1"/>
    <col min="11006" max="11006" width="12.875" bestFit="1" customWidth="1"/>
    <col min="11007" max="11007" width="10.375" bestFit="1" customWidth="1"/>
    <col min="11008" max="11008" width="12.875" bestFit="1" customWidth="1"/>
    <col min="11009" max="11009" width="10.375" bestFit="1" customWidth="1"/>
    <col min="11010" max="11010" width="12.875" bestFit="1" customWidth="1"/>
    <col min="11011" max="11011" width="10.375" bestFit="1" customWidth="1"/>
    <col min="11012" max="11012" width="12.875" bestFit="1" customWidth="1"/>
    <col min="11013" max="11013" width="10.375" bestFit="1" customWidth="1"/>
    <col min="11014" max="11014" width="12.875" bestFit="1" customWidth="1"/>
    <col min="11015" max="11015" width="10.375" bestFit="1" customWidth="1"/>
    <col min="11016" max="11016" width="12.875" bestFit="1" customWidth="1"/>
    <col min="11017" max="11017" width="10.375" bestFit="1" customWidth="1"/>
    <col min="11018" max="11018" width="12.875" bestFit="1" customWidth="1"/>
    <col min="11019" max="11019" width="10.375" bestFit="1" customWidth="1"/>
    <col min="11020" max="11020" width="12.875" bestFit="1" customWidth="1"/>
    <col min="11021" max="11021" width="10.375" bestFit="1" customWidth="1"/>
    <col min="11022" max="11022" width="12.875" bestFit="1" customWidth="1"/>
    <col min="11023" max="11023" width="10.375" bestFit="1" customWidth="1"/>
    <col min="11024" max="11024" width="12.875" bestFit="1" customWidth="1"/>
    <col min="11025" max="11025" width="10.375" bestFit="1" customWidth="1"/>
    <col min="11026" max="11026" width="12.875" bestFit="1" customWidth="1"/>
    <col min="11027" max="11027" width="10.375" bestFit="1" customWidth="1"/>
    <col min="11028" max="11028" width="12.875" bestFit="1" customWidth="1"/>
    <col min="11029" max="11029" width="10.375" bestFit="1" customWidth="1"/>
    <col min="11030" max="11030" width="7" bestFit="1" customWidth="1"/>
    <col min="11031" max="11031" width="12.875" bestFit="1" customWidth="1"/>
    <col min="11032" max="11032" width="10.375" bestFit="1" customWidth="1"/>
    <col min="11033" max="11033" width="12.875" bestFit="1" customWidth="1"/>
    <col min="11034" max="11034" width="10.375" bestFit="1" customWidth="1"/>
    <col min="11035" max="11035" width="12.875" bestFit="1" customWidth="1"/>
    <col min="11036" max="11036" width="10.375" bestFit="1" customWidth="1"/>
    <col min="11037" max="11037" width="12.875" bestFit="1" customWidth="1"/>
    <col min="11038" max="11038" width="10.375" bestFit="1" customWidth="1"/>
    <col min="11039" max="11039" width="12.875" bestFit="1" customWidth="1"/>
    <col min="11040" max="11040" width="10.375" bestFit="1" customWidth="1"/>
    <col min="11041" max="11041" width="12.875" bestFit="1" customWidth="1"/>
    <col min="11042" max="11042" width="10.375" bestFit="1" customWidth="1"/>
    <col min="11043" max="11043" width="12.875" bestFit="1" customWidth="1"/>
    <col min="11044" max="11044" width="10.375" bestFit="1" customWidth="1"/>
    <col min="11045" max="11045" width="12.875" bestFit="1" customWidth="1"/>
    <col min="11046" max="11046" width="10.375" bestFit="1" customWidth="1"/>
    <col min="11047" max="11047" width="12.875" bestFit="1" customWidth="1"/>
    <col min="11048" max="11048" width="10.375" bestFit="1" customWidth="1"/>
    <col min="11049" max="11049" width="7" bestFit="1" customWidth="1"/>
    <col min="11050" max="11050" width="12.875" bestFit="1" customWidth="1"/>
    <col min="11051" max="11051" width="10.375" bestFit="1" customWidth="1"/>
    <col min="11052" max="11052" width="7" bestFit="1" customWidth="1"/>
    <col min="11053" max="11053" width="12.875" bestFit="1" customWidth="1"/>
    <col min="11054" max="11054" width="10.375" bestFit="1" customWidth="1"/>
    <col min="11055" max="11055" width="7" bestFit="1" customWidth="1"/>
    <col min="11056" max="11056" width="12.875" bestFit="1" customWidth="1"/>
    <col min="11057" max="11057" width="10.375" bestFit="1" customWidth="1"/>
    <col min="11058" max="11058" width="12.875" bestFit="1" customWidth="1"/>
    <col min="11059" max="11059" width="10.375" bestFit="1" customWidth="1"/>
    <col min="11060" max="11060" width="7" bestFit="1" customWidth="1"/>
    <col min="11061" max="11061" width="12.875" bestFit="1" customWidth="1"/>
    <col min="11062" max="11062" width="10.375" bestFit="1" customWidth="1"/>
    <col min="11063" max="11063" width="7" bestFit="1" customWidth="1"/>
    <col min="11064" max="11064" width="12.875" bestFit="1" customWidth="1"/>
    <col min="11065" max="11065" width="10.375" bestFit="1" customWidth="1"/>
    <col min="11066" max="11066" width="12.875" bestFit="1" customWidth="1"/>
    <col min="11067" max="11067" width="10.375" bestFit="1" customWidth="1"/>
    <col min="11068" max="11068" width="12.875" bestFit="1" customWidth="1"/>
    <col min="11069" max="11069" width="10.375" bestFit="1" customWidth="1"/>
    <col min="11070" max="11070" width="12.875" bestFit="1" customWidth="1"/>
    <col min="11071" max="11071" width="10.375" bestFit="1" customWidth="1"/>
    <col min="11072" max="11072" width="7" bestFit="1" customWidth="1"/>
    <col min="11073" max="11073" width="12.875" bestFit="1" customWidth="1"/>
    <col min="11074" max="11074" width="10.375" bestFit="1" customWidth="1"/>
    <col min="11075" max="11075" width="12.875" bestFit="1" customWidth="1"/>
    <col min="11076" max="11076" width="10.375" bestFit="1" customWidth="1"/>
    <col min="11077" max="11077" width="12.875" bestFit="1" customWidth="1"/>
    <col min="11078" max="11078" width="10.375" bestFit="1" customWidth="1"/>
    <col min="11079" max="11079" width="12.875" bestFit="1" customWidth="1"/>
    <col min="11080" max="11080" width="10.375" bestFit="1" customWidth="1"/>
    <col min="11081" max="11081" width="12.875" bestFit="1" customWidth="1"/>
    <col min="11082" max="11082" width="10.375" bestFit="1" customWidth="1"/>
    <col min="11083" max="11083" width="12.875" bestFit="1" customWidth="1"/>
    <col min="11084" max="11084" width="10.375" bestFit="1" customWidth="1"/>
    <col min="11085" max="11085" width="12.875" bestFit="1" customWidth="1"/>
    <col min="11086" max="11086" width="10.375" bestFit="1" customWidth="1"/>
    <col min="11087" max="11087" width="12.875" bestFit="1" customWidth="1"/>
    <col min="11088" max="11088" width="10.375" bestFit="1" customWidth="1"/>
    <col min="11089" max="11089" width="12.875" bestFit="1" customWidth="1"/>
    <col min="11090" max="11090" width="10.375" bestFit="1" customWidth="1"/>
    <col min="11091" max="11091" width="12.875" bestFit="1" customWidth="1"/>
    <col min="11092" max="11092" width="10.375" bestFit="1" customWidth="1"/>
    <col min="11093" max="11093" width="12.875" bestFit="1" customWidth="1"/>
    <col min="11094" max="11094" width="10.375" bestFit="1" customWidth="1"/>
    <col min="11095" max="11095" width="12.875" bestFit="1" customWidth="1"/>
    <col min="11096" max="11096" width="10.375" bestFit="1" customWidth="1"/>
    <col min="11097" max="11097" width="12.875" bestFit="1" customWidth="1"/>
    <col min="11098" max="11098" width="10.375" bestFit="1" customWidth="1"/>
    <col min="11099" max="11099" width="12.875" bestFit="1" customWidth="1"/>
    <col min="11100" max="11100" width="10.375" bestFit="1" customWidth="1"/>
    <col min="11101" max="11101" width="12.875" bestFit="1" customWidth="1"/>
    <col min="11102" max="11102" width="10.375" bestFit="1" customWidth="1"/>
    <col min="11103" max="11103" width="12.875" bestFit="1" customWidth="1"/>
    <col min="11104" max="11104" width="10.375" bestFit="1" customWidth="1"/>
    <col min="11105" max="11105" width="12.875" bestFit="1" customWidth="1"/>
    <col min="11106" max="11106" width="10.375" bestFit="1" customWidth="1"/>
    <col min="11107" max="11107" width="12.875" bestFit="1" customWidth="1"/>
    <col min="11108" max="11108" width="10.375" bestFit="1" customWidth="1"/>
    <col min="11109" max="11109" width="12.875" bestFit="1" customWidth="1"/>
    <col min="11110" max="11110" width="10.375" bestFit="1" customWidth="1"/>
    <col min="11111" max="11111" width="12.875" bestFit="1" customWidth="1"/>
    <col min="11112" max="11112" width="10.375" bestFit="1" customWidth="1"/>
    <col min="11113" max="11113" width="12.875" bestFit="1" customWidth="1"/>
    <col min="11114" max="11114" width="10.375" bestFit="1" customWidth="1"/>
    <col min="11115" max="11115" width="12.875" bestFit="1" customWidth="1"/>
    <col min="11116" max="11116" width="10.375" bestFit="1" customWidth="1"/>
    <col min="11117" max="11117" width="12.875" bestFit="1" customWidth="1"/>
    <col min="11118" max="11118" width="10.375" bestFit="1" customWidth="1"/>
    <col min="11119" max="11119" width="12.875" bestFit="1" customWidth="1"/>
    <col min="11120" max="11120" width="10.375" bestFit="1" customWidth="1"/>
    <col min="11121" max="11121" width="12.875" bestFit="1" customWidth="1"/>
    <col min="11122" max="11122" width="10.375" bestFit="1" customWidth="1"/>
    <col min="11123" max="11123" width="12.875" bestFit="1" customWidth="1"/>
    <col min="11124" max="11124" width="10.375" bestFit="1" customWidth="1"/>
    <col min="11125" max="11125" width="12.875" bestFit="1" customWidth="1"/>
    <col min="11126" max="11126" width="10.375" bestFit="1" customWidth="1"/>
    <col min="11127" max="11127" width="12.875" bestFit="1" customWidth="1"/>
    <col min="11128" max="11128" width="10.375" bestFit="1" customWidth="1"/>
    <col min="11129" max="11129" width="12.875" bestFit="1" customWidth="1"/>
    <col min="11130" max="11130" width="10.375" bestFit="1" customWidth="1"/>
    <col min="11131" max="11131" width="7" bestFit="1" customWidth="1"/>
    <col min="11132" max="11132" width="12.875" bestFit="1" customWidth="1"/>
    <col min="11133" max="11133" width="10.375" bestFit="1" customWidth="1"/>
    <col min="11134" max="11134" width="12.875" bestFit="1" customWidth="1"/>
    <col min="11135" max="11135" width="10.375" bestFit="1" customWidth="1"/>
    <col min="11136" max="11136" width="12.875" bestFit="1" customWidth="1"/>
    <col min="11137" max="11137" width="10.375" bestFit="1" customWidth="1"/>
    <col min="11138" max="11138" width="12.875" bestFit="1" customWidth="1"/>
    <col min="11139" max="11139" width="10.375" bestFit="1" customWidth="1"/>
    <col min="11140" max="11140" width="12.875" bestFit="1" customWidth="1"/>
    <col min="11141" max="11141" width="10.375" bestFit="1" customWidth="1"/>
    <col min="11142" max="11142" width="12.875" bestFit="1" customWidth="1"/>
    <col min="11143" max="11143" width="10.375" bestFit="1" customWidth="1"/>
    <col min="11144" max="11144" width="12.875" bestFit="1" customWidth="1"/>
    <col min="11145" max="11145" width="10.375" bestFit="1" customWidth="1"/>
    <col min="11146" max="11146" width="12.875" bestFit="1" customWidth="1"/>
    <col min="11147" max="11147" width="10.375" bestFit="1" customWidth="1"/>
    <col min="11148" max="11148" width="12.875" bestFit="1" customWidth="1"/>
    <col min="11149" max="11149" width="10.375" bestFit="1" customWidth="1"/>
    <col min="11150" max="11150" width="7" bestFit="1" customWidth="1"/>
    <col min="11151" max="11151" width="12.875" bestFit="1" customWidth="1"/>
    <col min="11152" max="11152" width="10.375" bestFit="1" customWidth="1"/>
    <col min="11153" max="11153" width="12.875" bestFit="1" customWidth="1"/>
    <col min="11154" max="11154" width="10.375" bestFit="1" customWidth="1"/>
    <col min="11155" max="11155" width="12.875" bestFit="1" customWidth="1"/>
    <col min="11156" max="11156" width="10.375" bestFit="1" customWidth="1"/>
    <col min="11157" max="11157" width="12.875" bestFit="1" customWidth="1"/>
    <col min="11158" max="11158" width="10.375" bestFit="1" customWidth="1"/>
    <col min="11159" max="11159" width="12.875" bestFit="1" customWidth="1"/>
    <col min="11160" max="11160" width="10.375" bestFit="1" customWidth="1"/>
    <col min="11161" max="11161" width="12.875" bestFit="1" customWidth="1"/>
    <col min="11162" max="11162" width="10.375" bestFit="1" customWidth="1"/>
    <col min="11163" max="11163" width="12.875" bestFit="1" customWidth="1"/>
    <col min="11164" max="11164" width="10.375" bestFit="1" customWidth="1"/>
    <col min="11165" max="11165" width="12.875" bestFit="1" customWidth="1"/>
    <col min="11166" max="11166" width="10.375" bestFit="1" customWidth="1"/>
    <col min="11167" max="11167" width="12.875" bestFit="1" customWidth="1"/>
    <col min="11168" max="11168" width="10.375" bestFit="1" customWidth="1"/>
    <col min="11169" max="11169" width="12.875" bestFit="1" customWidth="1"/>
    <col min="11170" max="11170" width="10.375" bestFit="1" customWidth="1"/>
    <col min="11171" max="11171" width="12.875" bestFit="1" customWidth="1"/>
    <col min="11172" max="11172" width="10.375" bestFit="1" customWidth="1"/>
    <col min="11173" max="11173" width="12.875" bestFit="1" customWidth="1"/>
    <col min="11174" max="11174" width="10.375" bestFit="1" customWidth="1"/>
    <col min="11175" max="11175" width="12.875" bestFit="1" customWidth="1"/>
    <col min="11176" max="11176" width="10.375" bestFit="1" customWidth="1"/>
    <col min="11177" max="11177" width="12.875" bestFit="1" customWidth="1"/>
    <col min="11178" max="11178" width="10.375" bestFit="1" customWidth="1"/>
    <col min="11179" max="11179" width="12.875" bestFit="1" customWidth="1"/>
    <col min="11180" max="11180" width="10.375" bestFit="1" customWidth="1"/>
    <col min="11181" max="11181" width="7" bestFit="1" customWidth="1"/>
    <col min="11182" max="11182" width="12.875" bestFit="1" customWidth="1"/>
    <col min="11183" max="11183" width="10.375" bestFit="1" customWidth="1"/>
    <col min="11184" max="11184" width="12.875" bestFit="1" customWidth="1"/>
    <col min="11185" max="11185" width="10.375" bestFit="1" customWidth="1"/>
    <col min="11186" max="11186" width="12.875" bestFit="1" customWidth="1"/>
    <col min="11187" max="11187" width="10.375" bestFit="1" customWidth="1"/>
    <col min="11188" max="11188" width="12.875" bestFit="1" customWidth="1"/>
    <col min="11189" max="11189" width="10.375" bestFit="1" customWidth="1"/>
    <col min="11190" max="11190" width="12.875" bestFit="1" customWidth="1"/>
    <col min="11191" max="11191" width="10.375" bestFit="1" customWidth="1"/>
    <col min="11192" max="11192" width="12.875" bestFit="1" customWidth="1"/>
    <col min="11193" max="11193" width="10.375" bestFit="1" customWidth="1"/>
    <col min="11194" max="11194" width="12.875" bestFit="1" customWidth="1"/>
    <col min="11195" max="11195" width="10.375" bestFit="1" customWidth="1"/>
    <col min="11196" max="11196" width="12.875" bestFit="1" customWidth="1"/>
    <col min="11197" max="11197" width="10.375" bestFit="1" customWidth="1"/>
    <col min="11198" max="11198" width="7" bestFit="1" customWidth="1"/>
    <col min="11199" max="11199" width="12.875" bestFit="1" customWidth="1"/>
    <col min="11200" max="11200" width="10.375" bestFit="1" customWidth="1"/>
    <col min="11201" max="11201" width="12.875" bestFit="1" customWidth="1"/>
    <col min="11202" max="11202" width="10.375" bestFit="1" customWidth="1"/>
    <col min="11203" max="11203" width="12.875" bestFit="1" customWidth="1"/>
    <col min="11204" max="11204" width="10.375" bestFit="1" customWidth="1"/>
    <col min="11205" max="11205" width="12.875" bestFit="1" customWidth="1"/>
    <col min="11206" max="11206" width="10.375" bestFit="1" customWidth="1"/>
    <col min="11207" max="11207" width="7" bestFit="1" customWidth="1"/>
    <col min="11208" max="11208" width="12.875" bestFit="1" customWidth="1"/>
    <col min="11209" max="11209" width="10.375" bestFit="1" customWidth="1"/>
    <col min="11210" max="11210" width="12.875" bestFit="1" customWidth="1"/>
    <col min="11211" max="11211" width="10.375" bestFit="1" customWidth="1"/>
    <col min="11212" max="11212" width="12.875" bestFit="1" customWidth="1"/>
    <col min="11213" max="11213" width="10.375" bestFit="1" customWidth="1"/>
    <col min="11214" max="11214" width="12.875" bestFit="1" customWidth="1"/>
    <col min="11215" max="11215" width="10.375" bestFit="1" customWidth="1"/>
    <col min="11216" max="11216" width="12.875" bestFit="1" customWidth="1"/>
    <col min="11217" max="11217" width="10.375" bestFit="1" customWidth="1"/>
    <col min="11218" max="11218" width="12.875" bestFit="1" customWidth="1"/>
    <col min="11219" max="11219" width="10.375" bestFit="1" customWidth="1"/>
    <col min="11220" max="11220" width="12.875" bestFit="1" customWidth="1"/>
    <col min="11221" max="11221" width="10.375" bestFit="1" customWidth="1"/>
    <col min="11222" max="11222" width="12.875" bestFit="1" customWidth="1"/>
    <col min="11223" max="11223" width="10.375" bestFit="1" customWidth="1"/>
    <col min="11224" max="11224" width="12.875" bestFit="1" customWidth="1"/>
    <col min="11225" max="11225" width="10.375" bestFit="1" customWidth="1"/>
    <col min="11226" max="11226" width="12.875" bestFit="1" customWidth="1"/>
    <col min="11227" max="11227" width="10.375" bestFit="1" customWidth="1"/>
    <col min="11228" max="11228" width="12.875" bestFit="1" customWidth="1"/>
    <col min="11229" max="11229" width="10.375" bestFit="1" customWidth="1"/>
    <col min="11230" max="11230" width="12.875" bestFit="1" customWidth="1"/>
    <col min="11231" max="11231" width="10.375" bestFit="1" customWidth="1"/>
    <col min="11232" max="11232" width="12.875" bestFit="1" customWidth="1"/>
    <col min="11233" max="11233" width="10.375" bestFit="1" customWidth="1"/>
    <col min="11234" max="11234" width="12.875" bestFit="1" customWidth="1"/>
    <col min="11235" max="11235" width="10.375" bestFit="1" customWidth="1"/>
    <col min="11236" max="11236" width="12.875" bestFit="1" customWidth="1"/>
    <col min="11237" max="11237" width="10.375" bestFit="1" customWidth="1"/>
    <col min="11238" max="11238" width="12.875" bestFit="1" customWidth="1"/>
    <col min="11239" max="11239" width="10.375" bestFit="1" customWidth="1"/>
    <col min="11240" max="11240" width="12.875" bestFit="1" customWidth="1"/>
    <col min="11241" max="11241" width="10.375" bestFit="1" customWidth="1"/>
    <col min="11242" max="11242" width="12.875" bestFit="1" customWidth="1"/>
    <col min="11243" max="11243" width="10.375" bestFit="1" customWidth="1"/>
    <col min="11244" max="11244" width="12.875" bestFit="1" customWidth="1"/>
    <col min="11245" max="11245" width="10.375" bestFit="1" customWidth="1"/>
    <col min="11246" max="11246" width="12.875" bestFit="1" customWidth="1"/>
    <col min="11247" max="11247" width="10.375" bestFit="1" customWidth="1"/>
    <col min="11248" max="11248" width="12.875" bestFit="1" customWidth="1"/>
    <col min="11249" max="11249" width="10.375" bestFit="1" customWidth="1"/>
    <col min="11250" max="11250" width="12.875" bestFit="1" customWidth="1"/>
    <col min="11251" max="11251" width="10.375" bestFit="1" customWidth="1"/>
    <col min="11252" max="11252" width="12.875" bestFit="1" customWidth="1"/>
    <col min="11253" max="11253" width="10.375" bestFit="1" customWidth="1"/>
    <col min="11254" max="11254" width="12.875" bestFit="1" customWidth="1"/>
    <col min="11255" max="11255" width="10.375" bestFit="1" customWidth="1"/>
    <col min="11256" max="11256" width="12.875" bestFit="1" customWidth="1"/>
    <col min="11257" max="11257" width="10.375" bestFit="1" customWidth="1"/>
    <col min="11258" max="11258" width="12.875" bestFit="1" customWidth="1"/>
    <col min="11259" max="11259" width="10.375" bestFit="1" customWidth="1"/>
    <col min="11260" max="11260" width="12.875" bestFit="1" customWidth="1"/>
    <col min="11261" max="11261" width="10.375" bestFit="1" customWidth="1"/>
    <col min="11262" max="11262" width="12.875" bestFit="1" customWidth="1"/>
    <col min="11263" max="11263" width="10.375" bestFit="1" customWidth="1"/>
    <col min="11264" max="11264" width="12.875" bestFit="1" customWidth="1"/>
    <col min="11265" max="11265" width="10.375" bestFit="1" customWidth="1"/>
    <col min="11266" max="11266" width="12.875" bestFit="1" customWidth="1"/>
    <col min="11267" max="11267" width="10.375" bestFit="1" customWidth="1"/>
    <col min="11268" max="11268" width="12.875" bestFit="1" customWidth="1"/>
    <col min="11269" max="11269" width="10.375" bestFit="1" customWidth="1"/>
    <col min="11270" max="11270" width="12.875" bestFit="1" customWidth="1"/>
    <col min="11271" max="11271" width="10.375" bestFit="1" customWidth="1"/>
    <col min="11272" max="11272" width="12.875" bestFit="1" customWidth="1"/>
    <col min="11273" max="11273" width="10.375" bestFit="1" customWidth="1"/>
    <col min="11274" max="11274" width="12.875" bestFit="1" customWidth="1"/>
    <col min="11275" max="11275" width="10.375" bestFit="1" customWidth="1"/>
    <col min="11276" max="11276" width="12.875" bestFit="1" customWidth="1"/>
    <col min="11277" max="11277" width="10.375" bestFit="1" customWidth="1"/>
    <col min="11278" max="11278" width="7" bestFit="1" customWidth="1"/>
    <col min="11279" max="11279" width="12.875" bestFit="1" customWidth="1"/>
    <col min="11280" max="11280" width="10.375" bestFit="1" customWidth="1"/>
    <col min="11281" max="11281" width="12.875" bestFit="1" customWidth="1"/>
    <col min="11282" max="11282" width="10.375" bestFit="1" customWidth="1"/>
    <col min="11283" max="11283" width="12.875" bestFit="1" customWidth="1"/>
    <col min="11284" max="11284" width="10.375" bestFit="1" customWidth="1"/>
    <col min="11285" max="11285" width="12.875" bestFit="1" customWidth="1"/>
    <col min="11286" max="11286" width="10.375" bestFit="1" customWidth="1"/>
    <col min="11287" max="11287" width="5.625" bestFit="1" customWidth="1"/>
    <col min="11288" max="11288" width="7" bestFit="1" customWidth="1"/>
    <col min="11289" max="11289" width="12.875" bestFit="1" customWidth="1"/>
    <col min="11290" max="11290" width="10.375" bestFit="1" customWidth="1"/>
    <col min="11291" max="11291" width="12.875" bestFit="1" customWidth="1"/>
    <col min="11292" max="11292" width="10.375" bestFit="1" customWidth="1"/>
    <col min="11293" max="11293" width="12.875" bestFit="1" customWidth="1"/>
    <col min="11294" max="11294" width="10.375" bestFit="1" customWidth="1"/>
    <col min="11295" max="11295" width="12.875" bestFit="1" customWidth="1"/>
    <col min="11296" max="11296" width="10.375" bestFit="1" customWidth="1"/>
    <col min="11297" max="11297" width="12.875" bestFit="1" customWidth="1"/>
    <col min="11298" max="11298" width="10.375" bestFit="1" customWidth="1"/>
    <col min="11299" max="11299" width="12.875" bestFit="1" customWidth="1"/>
    <col min="11300" max="11300" width="10.375" bestFit="1" customWidth="1"/>
    <col min="11301" max="11301" width="12.875" bestFit="1" customWidth="1"/>
    <col min="11302" max="11302" width="10.375" bestFit="1" customWidth="1"/>
    <col min="11303" max="11303" width="12.875" bestFit="1" customWidth="1"/>
    <col min="11304" max="11304" width="10.375" bestFit="1" customWidth="1"/>
    <col min="11305" max="11305" width="7" bestFit="1" customWidth="1"/>
    <col min="11306" max="11306" width="12.875" bestFit="1" customWidth="1"/>
    <col min="11307" max="11307" width="10.375" bestFit="1" customWidth="1"/>
    <col min="11308" max="11308" width="12.875" bestFit="1" customWidth="1"/>
    <col min="11309" max="11309" width="10.375" bestFit="1" customWidth="1"/>
    <col min="11310" max="11310" width="12.875" bestFit="1" customWidth="1"/>
    <col min="11311" max="11311" width="10.375" bestFit="1" customWidth="1"/>
    <col min="11312" max="11312" width="12.875" bestFit="1" customWidth="1"/>
    <col min="11313" max="11313" width="10.375" bestFit="1" customWidth="1"/>
    <col min="11314" max="11314" width="12.875" bestFit="1" customWidth="1"/>
    <col min="11315" max="11315" width="10.375" bestFit="1" customWidth="1"/>
    <col min="11316" max="11316" width="7" bestFit="1" customWidth="1"/>
    <col min="11317" max="11317" width="12.875" bestFit="1" customWidth="1"/>
    <col min="11318" max="11318" width="10.375" bestFit="1" customWidth="1"/>
    <col min="11319" max="11319" width="12.875" bestFit="1" customWidth="1"/>
    <col min="11320" max="11320" width="10.375" bestFit="1" customWidth="1"/>
    <col min="11321" max="11321" width="12.875" bestFit="1" customWidth="1"/>
    <col min="11322" max="11322" width="10.375" bestFit="1" customWidth="1"/>
    <col min="11323" max="11323" width="12.875" bestFit="1" customWidth="1"/>
    <col min="11324" max="11324" width="10.375" bestFit="1" customWidth="1"/>
    <col min="11325" max="11325" width="12.875" bestFit="1" customWidth="1"/>
    <col min="11326" max="11326" width="10.375" bestFit="1" customWidth="1"/>
    <col min="11327" max="11327" width="12.875" bestFit="1" customWidth="1"/>
    <col min="11328" max="11328" width="10.375" bestFit="1" customWidth="1"/>
    <col min="11329" max="11329" width="12.875" bestFit="1" customWidth="1"/>
    <col min="11330" max="11330" width="10.375" bestFit="1" customWidth="1"/>
    <col min="11331" max="11331" width="7" bestFit="1" customWidth="1"/>
    <col min="11332" max="11332" width="12.875" bestFit="1" customWidth="1"/>
    <col min="11333" max="11333" width="10.375" bestFit="1" customWidth="1"/>
    <col min="11334" max="11334" width="12.875" bestFit="1" customWidth="1"/>
    <col min="11335" max="11335" width="10.375" bestFit="1" customWidth="1"/>
    <col min="11336" max="11336" width="12.875" bestFit="1" customWidth="1"/>
    <col min="11337" max="11337" width="10.375" bestFit="1" customWidth="1"/>
    <col min="11338" max="11338" width="12.875" bestFit="1" customWidth="1"/>
    <col min="11339" max="11339" width="10.375" bestFit="1" customWidth="1"/>
    <col min="11340" max="11340" width="12.875" bestFit="1" customWidth="1"/>
    <col min="11341" max="11341" width="10.375" bestFit="1" customWidth="1"/>
    <col min="11342" max="11342" width="12.875" bestFit="1" customWidth="1"/>
    <col min="11343" max="11343" width="10.375" bestFit="1" customWidth="1"/>
    <col min="11344" max="11344" width="12.875" bestFit="1" customWidth="1"/>
    <col min="11345" max="11345" width="10.375" bestFit="1" customWidth="1"/>
    <col min="11346" max="11346" width="12.875" bestFit="1" customWidth="1"/>
    <col min="11347" max="11347" width="10.375" bestFit="1" customWidth="1"/>
    <col min="11348" max="11348" width="12.875" bestFit="1" customWidth="1"/>
    <col min="11349" max="11349" width="10.375" bestFit="1" customWidth="1"/>
    <col min="11350" max="11350" width="12.875" bestFit="1" customWidth="1"/>
    <col min="11351" max="11351" width="10.375" bestFit="1" customWidth="1"/>
    <col min="11352" max="11352" width="12.875" bestFit="1" customWidth="1"/>
    <col min="11353" max="11353" width="10.375" bestFit="1" customWidth="1"/>
    <col min="11354" max="11354" width="12.875" bestFit="1" customWidth="1"/>
    <col min="11355" max="11355" width="10.375" bestFit="1" customWidth="1"/>
    <col min="11356" max="11356" width="12.875" bestFit="1" customWidth="1"/>
    <col min="11357" max="11357" width="10.375" bestFit="1" customWidth="1"/>
    <col min="11358" max="11358" width="12.875" bestFit="1" customWidth="1"/>
    <col min="11359" max="11359" width="10.375" bestFit="1" customWidth="1"/>
    <col min="11360" max="11360" width="12.875" bestFit="1" customWidth="1"/>
    <col min="11361" max="11361" width="10.375" bestFit="1" customWidth="1"/>
    <col min="11362" max="11362" width="12.875" bestFit="1" customWidth="1"/>
    <col min="11363" max="11363" width="10.375" bestFit="1" customWidth="1"/>
    <col min="11364" max="11364" width="12.875" bestFit="1" customWidth="1"/>
    <col min="11365" max="11365" width="10.375" bestFit="1" customWidth="1"/>
    <col min="11366" max="11366" width="12.875" bestFit="1" customWidth="1"/>
    <col min="11367" max="11367" width="10.375" bestFit="1" customWidth="1"/>
    <col min="11368" max="11368" width="12.875" bestFit="1" customWidth="1"/>
    <col min="11369" max="11369" width="10.375" bestFit="1" customWidth="1"/>
    <col min="11370" max="11370" width="12.875" bestFit="1" customWidth="1"/>
    <col min="11371" max="11371" width="10.375" bestFit="1" customWidth="1"/>
    <col min="11372" max="11372" width="12.875" bestFit="1" customWidth="1"/>
    <col min="11373" max="11373" width="10.375" bestFit="1" customWidth="1"/>
    <col min="11374" max="11374" width="12.875" bestFit="1" customWidth="1"/>
    <col min="11375" max="11375" width="10.375" bestFit="1" customWidth="1"/>
    <col min="11376" max="11376" width="12.875" bestFit="1" customWidth="1"/>
    <col min="11377" max="11377" width="10.375" bestFit="1" customWidth="1"/>
    <col min="11378" max="11378" width="12.875" bestFit="1" customWidth="1"/>
    <col min="11379" max="11379" width="10.375" bestFit="1" customWidth="1"/>
    <col min="11380" max="11380" width="12.875" bestFit="1" customWidth="1"/>
    <col min="11381" max="11381" width="10.375" bestFit="1" customWidth="1"/>
    <col min="11382" max="11382" width="12.875" bestFit="1" customWidth="1"/>
    <col min="11383" max="11383" width="10.375" bestFit="1" customWidth="1"/>
    <col min="11384" max="11384" width="12.875" bestFit="1" customWidth="1"/>
    <col min="11385" max="11385" width="10.375" bestFit="1" customWidth="1"/>
    <col min="11386" max="11386" width="12.875" bestFit="1" customWidth="1"/>
    <col min="11387" max="11387" width="10.375" bestFit="1" customWidth="1"/>
    <col min="11388" max="11388" width="12.875" bestFit="1" customWidth="1"/>
    <col min="11389" max="11389" width="10.375" bestFit="1" customWidth="1"/>
    <col min="11390" max="11390" width="12.875" bestFit="1" customWidth="1"/>
    <col min="11391" max="11391" width="10.375" bestFit="1" customWidth="1"/>
    <col min="11392" max="11392" width="12.875" bestFit="1" customWidth="1"/>
    <col min="11393" max="11393" width="10.375" bestFit="1" customWidth="1"/>
    <col min="11394" max="11394" width="12.875" bestFit="1" customWidth="1"/>
    <col min="11395" max="11395" width="10.375" bestFit="1" customWidth="1"/>
    <col min="11396" max="11396" width="12.875" bestFit="1" customWidth="1"/>
    <col min="11397" max="11397" width="10.375" bestFit="1" customWidth="1"/>
    <col min="11398" max="11398" width="12.875" bestFit="1" customWidth="1"/>
    <col min="11399" max="11399" width="10.375" bestFit="1" customWidth="1"/>
    <col min="11400" max="11400" width="12.875" bestFit="1" customWidth="1"/>
    <col min="11401" max="11401" width="10.375" bestFit="1" customWidth="1"/>
    <col min="11402" max="11402" width="12.875" bestFit="1" customWidth="1"/>
    <col min="11403" max="11403" width="10.375" bestFit="1" customWidth="1"/>
    <col min="11404" max="11404" width="12.875" bestFit="1" customWidth="1"/>
    <col min="11405" max="11405" width="10.375" bestFit="1" customWidth="1"/>
    <col min="11406" max="11406" width="12.875" bestFit="1" customWidth="1"/>
    <col min="11407" max="11407" width="10.375" bestFit="1" customWidth="1"/>
    <col min="11408" max="11408" width="12.875" bestFit="1" customWidth="1"/>
    <col min="11409" max="11409" width="10.375" bestFit="1" customWidth="1"/>
    <col min="11410" max="11410" width="12.875" bestFit="1" customWidth="1"/>
    <col min="11411" max="11411" width="10.375" bestFit="1" customWidth="1"/>
    <col min="11412" max="11412" width="12.875" bestFit="1" customWidth="1"/>
    <col min="11413" max="11413" width="10.375" bestFit="1" customWidth="1"/>
    <col min="11414" max="11414" width="12.875" bestFit="1" customWidth="1"/>
    <col min="11415" max="11415" width="10.375" bestFit="1" customWidth="1"/>
    <col min="11416" max="11416" width="7" bestFit="1" customWidth="1"/>
    <col min="11417" max="11417" width="12.875" bestFit="1" customWidth="1"/>
    <col min="11418" max="11418" width="10.375" bestFit="1" customWidth="1"/>
    <col min="11419" max="11419" width="12.875" bestFit="1" customWidth="1"/>
    <col min="11420" max="11420" width="10.375" bestFit="1" customWidth="1"/>
    <col min="11421" max="11421" width="12.875" bestFit="1" customWidth="1"/>
    <col min="11422" max="11422" width="10.375" bestFit="1" customWidth="1"/>
    <col min="11423" max="11423" width="12.875" bestFit="1" customWidth="1"/>
    <col min="11424" max="11424" width="10.375" bestFit="1" customWidth="1"/>
    <col min="11425" max="11425" width="12.875" bestFit="1" customWidth="1"/>
    <col min="11426" max="11426" width="10.375" bestFit="1" customWidth="1"/>
    <col min="11427" max="11427" width="12.875" bestFit="1" customWidth="1"/>
    <col min="11428" max="11428" width="10.375" bestFit="1" customWidth="1"/>
    <col min="11429" max="11429" width="12.875" bestFit="1" customWidth="1"/>
    <col min="11430" max="11430" width="10.375" bestFit="1" customWidth="1"/>
    <col min="11431" max="11431" width="12.875" bestFit="1" customWidth="1"/>
    <col min="11432" max="11432" width="10.375" bestFit="1" customWidth="1"/>
    <col min="11433" max="11433" width="4.625" bestFit="1" customWidth="1"/>
    <col min="11434" max="11434" width="7" bestFit="1" customWidth="1"/>
    <col min="11435" max="11435" width="12.875" bestFit="1" customWidth="1"/>
    <col min="11436" max="11436" width="10.375" bestFit="1" customWidth="1"/>
    <col min="11437" max="11437" width="12.875" bestFit="1" customWidth="1"/>
    <col min="11438" max="11438" width="10.375" bestFit="1" customWidth="1"/>
    <col min="11439" max="11439" width="12.875" bestFit="1" customWidth="1"/>
    <col min="11440" max="11440" width="10.375" bestFit="1" customWidth="1"/>
    <col min="11441" max="11441" width="12.875" bestFit="1" customWidth="1"/>
    <col min="11442" max="11442" width="10.375" bestFit="1" customWidth="1"/>
    <col min="11443" max="11443" width="12.875" bestFit="1" customWidth="1"/>
    <col min="11444" max="11444" width="10.375" bestFit="1" customWidth="1"/>
    <col min="11445" max="11445" width="7" bestFit="1" customWidth="1"/>
    <col min="11446" max="11446" width="12.875" bestFit="1" customWidth="1"/>
    <col min="11447" max="11447" width="10.375" bestFit="1" customWidth="1"/>
    <col min="11448" max="11448" width="12.875" bestFit="1" customWidth="1"/>
    <col min="11449" max="11449" width="10.375" bestFit="1" customWidth="1"/>
    <col min="11450" max="11450" width="12.875" bestFit="1" customWidth="1"/>
    <col min="11451" max="11451" width="10.375" bestFit="1" customWidth="1"/>
    <col min="11452" max="11452" width="12.875" bestFit="1" customWidth="1"/>
    <col min="11453" max="11453" width="10.375" bestFit="1" customWidth="1"/>
    <col min="11454" max="11454" width="7" bestFit="1" customWidth="1"/>
    <col min="11455" max="11455" width="12.875" bestFit="1" customWidth="1"/>
    <col min="11456" max="11456" width="10.375" bestFit="1" customWidth="1"/>
    <col min="11457" max="11457" width="12.875" bestFit="1" customWidth="1"/>
    <col min="11458" max="11458" width="10.375" bestFit="1" customWidth="1"/>
    <col min="11459" max="11459" width="12.875" bestFit="1" customWidth="1"/>
    <col min="11460" max="11460" width="10.375" bestFit="1" customWidth="1"/>
    <col min="11461" max="11461" width="12.875" bestFit="1" customWidth="1"/>
    <col min="11462" max="11462" width="10.375" bestFit="1" customWidth="1"/>
    <col min="11463" max="11463" width="12.875" bestFit="1" customWidth="1"/>
    <col min="11464" max="11464" width="10.375" bestFit="1" customWidth="1"/>
    <col min="11465" max="11465" width="12.875" bestFit="1" customWidth="1"/>
    <col min="11466" max="11466" width="10.375" bestFit="1" customWidth="1"/>
    <col min="11467" max="11467" width="7" bestFit="1" customWidth="1"/>
    <col min="11468" max="11468" width="12.875" bestFit="1" customWidth="1"/>
    <col min="11469" max="11469" width="10.375" bestFit="1" customWidth="1"/>
    <col min="11470" max="11470" width="12.875" bestFit="1" customWidth="1"/>
    <col min="11471" max="11471" width="10.375" bestFit="1" customWidth="1"/>
    <col min="11472" max="11472" width="12.875" bestFit="1" customWidth="1"/>
    <col min="11473" max="11473" width="10.375" bestFit="1" customWidth="1"/>
    <col min="11474" max="11474" width="12.875" bestFit="1" customWidth="1"/>
    <col min="11475" max="11475" width="10.375" bestFit="1" customWidth="1"/>
    <col min="11476" max="11476" width="12.875" bestFit="1" customWidth="1"/>
    <col min="11477" max="11477" width="10.375" bestFit="1" customWidth="1"/>
    <col min="11478" max="11478" width="12.875" bestFit="1" customWidth="1"/>
    <col min="11479" max="11479" width="10.375" bestFit="1" customWidth="1"/>
    <col min="11480" max="11480" width="12.875" bestFit="1" customWidth="1"/>
    <col min="11481" max="11481" width="10.375" bestFit="1" customWidth="1"/>
    <col min="11482" max="11482" width="12.875" bestFit="1" customWidth="1"/>
    <col min="11483" max="11483" width="10.375" bestFit="1" customWidth="1"/>
    <col min="11484" max="11484" width="12.875" bestFit="1" customWidth="1"/>
    <col min="11485" max="11485" width="10.375" bestFit="1" customWidth="1"/>
    <col min="11486" max="11486" width="12.875" bestFit="1" customWidth="1"/>
    <col min="11487" max="11487" width="10.375" bestFit="1" customWidth="1"/>
    <col min="11488" max="11488" width="12.875" bestFit="1" customWidth="1"/>
    <col min="11489" max="11489" width="10.375" bestFit="1" customWidth="1"/>
    <col min="11490" max="11490" width="12.875" bestFit="1" customWidth="1"/>
    <col min="11491" max="11491" width="10.375" bestFit="1" customWidth="1"/>
    <col min="11492" max="11492" width="12.875" bestFit="1" customWidth="1"/>
    <col min="11493" max="11493" width="10.375" bestFit="1" customWidth="1"/>
    <col min="11494" max="11494" width="12.875" bestFit="1" customWidth="1"/>
    <col min="11495" max="11495" width="10.375" bestFit="1" customWidth="1"/>
    <col min="11496" max="11496" width="12.875" bestFit="1" customWidth="1"/>
    <col min="11497" max="11497" width="10.375" bestFit="1" customWidth="1"/>
    <col min="11498" max="11498" width="7" bestFit="1" customWidth="1"/>
    <col min="11499" max="11499" width="12.875" bestFit="1" customWidth="1"/>
    <col min="11500" max="11500" width="10.375" bestFit="1" customWidth="1"/>
    <col min="11501" max="11501" width="12.875" bestFit="1" customWidth="1"/>
    <col min="11502" max="11502" width="10.375" bestFit="1" customWidth="1"/>
    <col min="11503" max="11503" width="12.875" bestFit="1" customWidth="1"/>
    <col min="11504" max="11504" width="10.375" bestFit="1" customWidth="1"/>
    <col min="11505" max="11505" width="12.875" bestFit="1" customWidth="1"/>
    <col min="11506" max="11506" width="10.375" bestFit="1" customWidth="1"/>
    <col min="11507" max="11507" width="12.875" bestFit="1" customWidth="1"/>
    <col min="11508" max="11508" width="10.375" bestFit="1" customWidth="1"/>
    <col min="11509" max="11509" width="12.875" bestFit="1" customWidth="1"/>
    <col min="11510" max="11510" width="10.375" bestFit="1" customWidth="1"/>
    <col min="11511" max="11511" width="12.875" bestFit="1" customWidth="1"/>
    <col min="11512" max="11512" width="10.375" bestFit="1" customWidth="1"/>
    <col min="11513" max="11513" width="12.875" bestFit="1" customWidth="1"/>
    <col min="11514" max="11514" width="10.375" bestFit="1" customWidth="1"/>
    <col min="11515" max="11515" width="12.875" bestFit="1" customWidth="1"/>
    <col min="11516" max="11516" width="10.375" bestFit="1" customWidth="1"/>
    <col min="11517" max="11517" width="12.875" bestFit="1" customWidth="1"/>
    <col min="11518" max="11518" width="10.375" bestFit="1" customWidth="1"/>
    <col min="11519" max="11519" width="12.875" bestFit="1" customWidth="1"/>
    <col min="11520" max="11520" width="10.375" bestFit="1" customWidth="1"/>
    <col min="11521" max="11521" width="12.875" bestFit="1" customWidth="1"/>
    <col min="11522" max="11522" width="10.375" bestFit="1" customWidth="1"/>
    <col min="11523" max="11523" width="12.875" bestFit="1" customWidth="1"/>
    <col min="11524" max="11524" width="10.375" bestFit="1" customWidth="1"/>
    <col min="11525" max="11525" width="12.875" bestFit="1" customWidth="1"/>
    <col min="11526" max="11526" width="10.375" bestFit="1" customWidth="1"/>
    <col min="11527" max="11527" width="12.875" bestFit="1" customWidth="1"/>
    <col min="11528" max="11528" width="10.375" bestFit="1" customWidth="1"/>
    <col min="11529" max="11529" width="12.875" bestFit="1" customWidth="1"/>
    <col min="11530" max="11530" width="10.375" bestFit="1" customWidth="1"/>
    <col min="11531" max="11531" width="12.875" bestFit="1" customWidth="1"/>
    <col min="11532" max="11532" width="10.375" bestFit="1" customWidth="1"/>
    <col min="11533" max="11533" width="12.875" bestFit="1" customWidth="1"/>
    <col min="11534" max="11534" width="10.375" bestFit="1" customWidth="1"/>
    <col min="11535" max="11535" width="12.875" bestFit="1" customWidth="1"/>
    <col min="11536" max="11536" width="10.375" bestFit="1" customWidth="1"/>
    <col min="11537" max="11537" width="12.875" bestFit="1" customWidth="1"/>
    <col min="11538" max="11538" width="10.375" bestFit="1" customWidth="1"/>
    <col min="11539" max="11539" width="12.875" bestFit="1" customWidth="1"/>
    <col min="11540" max="11540" width="10.375" bestFit="1" customWidth="1"/>
    <col min="11541" max="11541" width="12.875" bestFit="1" customWidth="1"/>
    <col min="11542" max="11542" width="10.375" bestFit="1" customWidth="1"/>
    <col min="11543" max="11543" width="12.875" bestFit="1" customWidth="1"/>
    <col min="11544" max="11544" width="10.375" bestFit="1" customWidth="1"/>
    <col min="11545" max="11545" width="12.875" bestFit="1" customWidth="1"/>
    <col min="11546" max="11546" width="10.375" bestFit="1" customWidth="1"/>
    <col min="11547" max="11547" width="7" bestFit="1" customWidth="1"/>
    <col min="11548" max="11548" width="12.875" bestFit="1" customWidth="1"/>
    <col min="11549" max="11549" width="10.375" bestFit="1" customWidth="1"/>
    <col min="11550" max="11550" width="12.875" bestFit="1" customWidth="1"/>
    <col min="11551" max="11551" width="10.375" bestFit="1" customWidth="1"/>
    <col min="11552" max="11552" width="12.875" bestFit="1" customWidth="1"/>
    <col min="11553" max="11553" width="10.375" bestFit="1" customWidth="1"/>
    <col min="11554" max="11554" width="12.875" bestFit="1" customWidth="1"/>
    <col min="11555" max="11555" width="10.375" bestFit="1" customWidth="1"/>
    <col min="11556" max="11556" width="12.875" bestFit="1" customWidth="1"/>
    <col min="11557" max="11557" width="10.375" bestFit="1" customWidth="1"/>
    <col min="11558" max="11558" width="12.875" bestFit="1" customWidth="1"/>
    <col min="11559" max="11559" width="10.375" bestFit="1" customWidth="1"/>
    <col min="11560" max="11560" width="12.875" bestFit="1" customWidth="1"/>
    <col min="11561" max="11561" width="10.375" bestFit="1" customWidth="1"/>
    <col min="11562" max="11562" width="12.875" bestFit="1" customWidth="1"/>
    <col min="11563" max="11563" width="10.375" bestFit="1" customWidth="1"/>
    <col min="11564" max="11564" width="12.875" bestFit="1" customWidth="1"/>
    <col min="11565" max="11565" width="10.375" bestFit="1" customWidth="1"/>
    <col min="11566" max="11566" width="12.875" bestFit="1" customWidth="1"/>
    <col min="11567" max="11567" width="10.375" bestFit="1" customWidth="1"/>
    <col min="11568" max="11568" width="12.875" bestFit="1" customWidth="1"/>
    <col min="11569" max="11569" width="10.375" bestFit="1" customWidth="1"/>
    <col min="11570" max="11570" width="12.875" bestFit="1" customWidth="1"/>
    <col min="11571" max="11571" width="10.375" bestFit="1" customWidth="1"/>
    <col min="11572" max="11572" width="12.875" bestFit="1" customWidth="1"/>
    <col min="11573" max="11573" width="10.375" bestFit="1" customWidth="1"/>
    <col min="11574" max="11574" width="12.875" bestFit="1" customWidth="1"/>
    <col min="11575" max="11575" width="10.375" bestFit="1" customWidth="1"/>
    <col min="11576" max="11576" width="12.875" bestFit="1" customWidth="1"/>
    <col min="11577" max="11577" width="10.375" bestFit="1" customWidth="1"/>
    <col min="11578" max="11578" width="12.875" bestFit="1" customWidth="1"/>
    <col min="11579" max="11579" width="10.375" bestFit="1" customWidth="1"/>
    <col min="11580" max="11580" width="12.875" bestFit="1" customWidth="1"/>
    <col min="11581" max="11581" width="10.375" bestFit="1" customWidth="1"/>
    <col min="11582" max="11582" width="12.875" bestFit="1" customWidth="1"/>
    <col min="11583" max="11583" width="10.375" bestFit="1" customWidth="1"/>
    <col min="11584" max="11584" width="7" bestFit="1" customWidth="1"/>
    <col min="11585" max="11585" width="12.875" bestFit="1" customWidth="1"/>
    <col min="11586" max="11586" width="10.375" bestFit="1" customWidth="1"/>
    <col min="11587" max="11587" width="7" bestFit="1" customWidth="1"/>
    <col min="11588" max="11588" width="12.875" bestFit="1" customWidth="1"/>
    <col min="11589" max="11589" width="10.375" bestFit="1" customWidth="1"/>
    <col min="11590" max="11590" width="12.875" bestFit="1" customWidth="1"/>
    <col min="11591" max="11591" width="10.375" bestFit="1" customWidth="1"/>
    <col min="11592" max="11592" width="12.875" bestFit="1" customWidth="1"/>
    <col min="11593" max="11593" width="10.375" bestFit="1" customWidth="1"/>
    <col min="11594" max="11594" width="12.875" bestFit="1" customWidth="1"/>
    <col min="11595" max="11595" width="10.375" bestFit="1" customWidth="1"/>
    <col min="11596" max="11596" width="12.875" bestFit="1" customWidth="1"/>
    <col min="11597" max="11597" width="10.375" bestFit="1" customWidth="1"/>
    <col min="11598" max="11598" width="12.875" bestFit="1" customWidth="1"/>
    <col min="11599" max="11599" width="10.375" bestFit="1" customWidth="1"/>
    <col min="11600" max="11600" width="12.875" bestFit="1" customWidth="1"/>
    <col min="11601" max="11601" width="10.375" bestFit="1" customWidth="1"/>
    <col min="11602" max="11602" width="12.875" bestFit="1" customWidth="1"/>
    <col min="11603" max="11603" width="10.375" bestFit="1" customWidth="1"/>
    <col min="11604" max="11604" width="12.875" bestFit="1" customWidth="1"/>
    <col min="11605" max="11605" width="10.375" bestFit="1" customWidth="1"/>
    <col min="11606" max="11606" width="12.875" bestFit="1" customWidth="1"/>
    <col min="11607" max="11607" width="10.375" bestFit="1" customWidth="1"/>
    <col min="11608" max="11608" width="12.875" bestFit="1" customWidth="1"/>
    <col min="11609" max="11609" width="10.375" bestFit="1" customWidth="1"/>
    <col min="11610" max="11610" width="7" bestFit="1" customWidth="1"/>
    <col min="11611" max="11611" width="12.875" bestFit="1" customWidth="1"/>
    <col min="11612" max="11612" width="10.375" bestFit="1" customWidth="1"/>
    <col min="11613" max="11613" width="12.875" bestFit="1" customWidth="1"/>
    <col min="11614" max="11614" width="10.375" bestFit="1" customWidth="1"/>
    <col min="11615" max="11615" width="12.875" bestFit="1" customWidth="1"/>
    <col min="11616" max="11616" width="10.375" bestFit="1" customWidth="1"/>
    <col min="11617" max="11617" width="12.875" bestFit="1" customWidth="1"/>
    <col min="11618" max="11618" width="10.375" bestFit="1" customWidth="1"/>
    <col min="11619" max="11619" width="12.875" bestFit="1" customWidth="1"/>
    <col min="11620" max="11620" width="10.375" bestFit="1" customWidth="1"/>
    <col min="11621" max="11621" width="12.875" bestFit="1" customWidth="1"/>
    <col min="11622" max="11622" width="10.375" bestFit="1" customWidth="1"/>
    <col min="11623" max="11623" width="12.875" bestFit="1" customWidth="1"/>
    <col min="11624" max="11624" width="10.375" bestFit="1" customWidth="1"/>
    <col min="11625" max="11625" width="12.875" bestFit="1" customWidth="1"/>
    <col min="11626" max="11626" width="10.375" bestFit="1" customWidth="1"/>
    <col min="11627" max="11627" width="12.875" bestFit="1" customWidth="1"/>
    <col min="11628" max="11628" width="10.375" bestFit="1" customWidth="1"/>
    <col min="11629" max="11629" width="12.875" bestFit="1" customWidth="1"/>
    <col min="11630" max="11630" width="10.375" bestFit="1" customWidth="1"/>
    <col min="11631" max="11631" width="12.875" bestFit="1" customWidth="1"/>
    <col min="11632" max="11632" width="10.375" bestFit="1" customWidth="1"/>
    <col min="11633" max="11633" width="7" bestFit="1" customWidth="1"/>
    <col min="11634" max="11634" width="12.875" bestFit="1" customWidth="1"/>
    <col min="11635" max="11635" width="10.375" bestFit="1" customWidth="1"/>
    <col min="11636" max="11636" width="7" bestFit="1" customWidth="1"/>
    <col min="11637" max="11637" width="12.875" bestFit="1" customWidth="1"/>
    <col min="11638" max="11638" width="10.375" bestFit="1" customWidth="1"/>
    <col min="11639" max="11639" width="12.875" bestFit="1" customWidth="1"/>
    <col min="11640" max="11640" width="10.375" bestFit="1" customWidth="1"/>
    <col min="11641" max="11641" width="12.875" bestFit="1" customWidth="1"/>
    <col min="11642" max="11642" width="10.375" bestFit="1" customWidth="1"/>
    <col min="11643" max="11643" width="12.875" bestFit="1" customWidth="1"/>
    <col min="11644" max="11644" width="10.375" bestFit="1" customWidth="1"/>
    <col min="11645" max="11645" width="7" bestFit="1" customWidth="1"/>
    <col min="11646" max="11646" width="12.875" bestFit="1" customWidth="1"/>
    <col min="11647" max="11647" width="10.375" bestFit="1" customWidth="1"/>
    <col min="11648" max="11648" width="12.875" bestFit="1" customWidth="1"/>
    <col min="11649" max="11649" width="10.375" bestFit="1" customWidth="1"/>
    <col min="11650" max="11650" width="12.875" bestFit="1" customWidth="1"/>
    <col min="11651" max="11651" width="10.375" bestFit="1" customWidth="1"/>
    <col min="11652" max="11652" width="12.875" bestFit="1" customWidth="1"/>
    <col min="11653" max="11653" width="10.375" bestFit="1" customWidth="1"/>
    <col min="11654" max="11654" width="12.875" bestFit="1" customWidth="1"/>
    <col min="11655" max="11655" width="10.375" bestFit="1" customWidth="1"/>
    <col min="11656" max="11656" width="12.875" bestFit="1" customWidth="1"/>
    <col min="11657" max="11657" width="10.375" bestFit="1" customWidth="1"/>
    <col min="11658" max="11658" width="12.875" bestFit="1" customWidth="1"/>
    <col min="11659" max="11659" width="10.375" bestFit="1" customWidth="1"/>
    <col min="11660" max="11660" width="5.625" bestFit="1" customWidth="1"/>
    <col min="11661" max="11661" width="12.875" bestFit="1" customWidth="1"/>
    <col min="11662" max="11662" width="10.375" bestFit="1" customWidth="1"/>
    <col min="11663" max="11663" width="12.875" bestFit="1" customWidth="1"/>
    <col min="11664" max="11664" width="10.375" bestFit="1" customWidth="1"/>
    <col min="11665" max="11665" width="7" bestFit="1" customWidth="1"/>
    <col min="11666" max="11666" width="12.875" bestFit="1" customWidth="1"/>
    <col min="11667" max="11667" width="10.375" bestFit="1" customWidth="1"/>
    <col min="11668" max="11668" width="6.625" bestFit="1" customWidth="1"/>
    <col min="11669" max="11669" width="12.875" bestFit="1" customWidth="1"/>
    <col min="11670" max="11670" width="10.375" bestFit="1" customWidth="1"/>
    <col min="11671" max="11671" width="6.625" bestFit="1" customWidth="1"/>
    <col min="11672" max="11672" width="12.875" bestFit="1" customWidth="1"/>
    <col min="11673" max="11673" width="10.375" bestFit="1" customWidth="1"/>
    <col min="11674" max="11674" width="6.625" bestFit="1" customWidth="1"/>
    <col min="11675" max="11675" width="12.875" bestFit="1" customWidth="1"/>
    <col min="11676" max="11676" width="10.375" bestFit="1" customWidth="1"/>
    <col min="11677" max="11677" width="12.875" bestFit="1" customWidth="1"/>
    <col min="11678" max="11678" width="10.375" bestFit="1" customWidth="1"/>
    <col min="11679" max="11679" width="7" bestFit="1" customWidth="1"/>
    <col min="11680" max="11680" width="12.875" bestFit="1" customWidth="1"/>
    <col min="11681" max="11681" width="10.375" bestFit="1" customWidth="1"/>
    <col min="11682" max="11682" width="6.625" bestFit="1" customWidth="1"/>
    <col min="11683" max="11683" width="12.875" bestFit="1" customWidth="1"/>
    <col min="11684" max="11684" width="10.375" bestFit="1" customWidth="1"/>
    <col min="11685" max="11685" width="6.625" bestFit="1" customWidth="1"/>
    <col min="11686" max="11686" width="12.875" bestFit="1" customWidth="1"/>
    <col min="11687" max="11687" width="10.375" bestFit="1" customWidth="1"/>
    <col min="11688" max="11688" width="7" bestFit="1" customWidth="1"/>
    <col min="11689" max="11689" width="12.875" bestFit="1" customWidth="1"/>
    <col min="11690" max="11690" width="10.375" bestFit="1" customWidth="1"/>
    <col min="11691" max="11691" width="7" bestFit="1" customWidth="1"/>
    <col min="11692" max="11692" width="12.875" bestFit="1" customWidth="1"/>
    <col min="11693" max="11693" width="10.375" bestFit="1" customWidth="1"/>
    <col min="11694" max="11694" width="6.625" bestFit="1" customWidth="1"/>
    <col min="11695" max="11695" width="12.875" bestFit="1" customWidth="1"/>
    <col min="11696" max="11696" width="10.375" bestFit="1" customWidth="1"/>
    <col min="11697" max="11697" width="7" bestFit="1" customWidth="1"/>
    <col min="11698" max="11698" width="12.875" bestFit="1" customWidth="1"/>
    <col min="11699" max="11699" width="10.375" bestFit="1" customWidth="1"/>
    <col min="11700" max="11700" width="7" bestFit="1" customWidth="1"/>
    <col min="11701" max="11701" width="12.875" bestFit="1" customWidth="1"/>
    <col min="11702" max="11702" width="10.375" bestFit="1" customWidth="1"/>
    <col min="11703" max="11703" width="7" bestFit="1" customWidth="1"/>
    <col min="11704" max="11704" width="12.875" bestFit="1" customWidth="1"/>
    <col min="11705" max="11705" width="10.375" bestFit="1" customWidth="1"/>
    <col min="11706" max="11706" width="6.625" bestFit="1" customWidth="1"/>
    <col min="11707" max="11707" width="12.875" bestFit="1" customWidth="1"/>
    <col min="11708" max="11708" width="10.375" bestFit="1" customWidth="1"/>
    <col min="11709" max="11709" width="7" bestFit="1" customWidth="1"/>
    <col min="11710" max="11710" width="12.875" bestFit="1" customWidth="1"/>
    <col min="11711" max="11711" width="10.375" bestFit="1" customWidth="1"/>
    <col min="11712" max="11712" width="12.875" bestFit="1" customWidth="1"/>
    <col min="11713" max="11713" width="10.375" bestFit="1" customWidth="1"/>
    <col min="11714" max="11714" width="5.625" bestFit="1" customWidth="1"/>
    <col min="11715" max="11715" width="12.875" bestFit="1" customWidth="1"/>
    <col min="11716" max="11716" width="10.375" bestFit="1" customWidth="1"/>
    <col min="11717" max="11717" width="7" bestFit="1" customWidth="1"/>
    <col min="11718" max="11718" width="12.875" bestFit="1" customWidth="1"/>
    <col min="11719" max="11719" width="10.375" bestFit="1" customWidth="1"/>
    <col min="11720" max="11720" width="6.625" bestFit="1" customWidth="1"/>
    <col min="11721" max="11721" width="12.875" bestFit="1" customWidth="1"/>
    <col min="11722" max="11722" width="10.375" bestFit="1" customWidth="1"/>
    <col min="11723" max="11723" width="6.625" bestFit="1" customWidth="1"/>
    <col min="11724" max="11724" width="12.875" bestFit="1" customWidth="1"/>
    <col min="11725" max="11725" width="10.375" bestFit="1" customWidth="1"/>
    <col min="11726" max="11726" width="4.625" bestFit="1" customWidth="1"/>
    <col min="11727" max="11727" width="12.875" bestFit="1" customWidth="1"/>
    <col min="11728" max="11728" width="10.375" bestFit="1" customWidth="1"/>
    <col min="11729" max="11729" width="7" bestFit="1" customWidth="1"/>
    <col min="11730" max="11730" width="12.875" bestFit="1" customWidth="1"/>
    <col min="11731" max="11731" width="10.375" bestFit="1" customWidth="1"/>
    <col min="11732" max="11732" width="7" bestFit="1" customWidth="1"/>
    <col min="11733" max="11733" width="12.875" bestFit="1" customWidth="1"/>
    <col min="11734" max="11734" width="10.375" bestFit="1" customWidth="1"/>
    <col min="11735" max="11735" width="7" bestFit="1" customWidth="1"/>
    <col min="11736" max="11736" width="12.875" bestFit="1" customWidth="1"/>
    <col min="11737" max="11737" width="10.375" bestFit="1" customWidth="1"/>
    <col min="11738" max="11738" width="6.625" bestFit="1" customWidth="1"/>
    <col min="11739" max="11739" width="12.875" bestFit="1" customWidth="1"/>
    <col min="11740" max="11740" width="10.375" bestFit="1" customWidth="1"/>
    <col min="11741" max="11741" width="6.625" bestFit="1" customWidth="1"/>
    <col min="11742" max="11742" width="12.875" bestFit="1" customWidth="1"/>
    <col min="11743" max="11743" width="10.375" bestFit="1" customWidth="1"/>
    <col min="11744" max="11744" width="5.625" bestFit="1" customWidth="1"/>
    <col min="11745" max="11745" width="12.875" bestFit="1" customWidth="1"/>
    <col min="11746" max="11746" width="10.375" bestFit="1" customWidth="1"/>
    <col min="11747" max="11747" width="7" bestFit="1" customWidth="1"/>
    <col min="11748" max="11748" width="12.875" bestFit="1" customWidth="1"/>
    <col min="11749" max="11749" width="10.375" bestFit="1" customWidth="1"/>
    <col min="11750" max="11750" width="7" bestFit="1" customWidth="1"/>
    <col min="11751" max="11751" width="12.875" bestFit="1" customWidth="1"/>
    <col min="11752" max="11752" width="10.375" bestFit="1" customWidth="1"/>
    <col min="11753" max="11753" width="6.625" bestFit="1" customWidth="1"/>
    <col min="11754" max="11754" width="12.875" bestFit="1" customWidth="1"/>
    <col min="11755" max="11755" width="10.375" bestFit="1" customWidth="1"/>
    <col min="11756" max="11756" width="7" bestFit="1" customWidth="1"/>
    <col min="11757" max="11757" width="12.875" bestFit="1" customWidth="1"/>
    <col min="11758" max="11758" width="10.375" bestFit="1" customWidth="1"/>
    <col min="11759" max="11759" width="12.875" bestFit="1" customWidth="1"/>
    <col min="11760" max="11760" width="10.375" bestFit="1" customWidth="1"/>
    <col min="11761" max="11761" width="6.625" bestFit="1" customWidth="1"/>
    <col min="11762" max="11762" width="12.875" bestFit="1" customWidth="1"/>
    <col min="11763" max="11763" width="10.375" bestFit="1" customWidth="1"/>
    <col min="11764" max="11764" width="12.875" bestFit="1" customWidth="1"/>
    <col min="11765" max="11765" width="10.375" bestFit="1" customWidth="1"/>
    <col min="11766" max="11766" width="7" bestFit="1" customWidth="1"/>
    <col min="11767" max="11767" width="12.875" bestFit="1" customWidth="1"/>
    <col min="11768" max="11768" width="10.375" bestFit="1" customWidth="1"/>
    <col min="11769" max="11769" width="6.625" bestFit="1" customWidth="1"/>
    <col min="11770" max="11770" width="12.875" bestFit="1" customWidth="1"/>
    <col min="11771" max="11771" width="10.375" bestFit="1" customWidth="1"/>
    <col min="11772" max="11772" width="12.875" bestFit="1" customWidth="1"/>
    <col min="11773" max="11773" width="10.375" bestFit="1" customWidth="1"/>
    <col min="11774" max="11774" width="7" bestFit="1" customWidth="1"/>
    <col min="11775" max="11775" width="12.875" bestFit="1" customWidth="1"/>
    <col min="11776" max="11776" width="10.375" bestFit="1" customWidth="1"/>
    <col min="11777" max="11777" width="12.875" bestFit="1" customWidth="1"/>
    <col min="11778" max="11778" width="10.375" bestFit="1" customWidth="1"/>
    <col min="11779" max="11779" width="7" bestFit="1" customWidth="1"/>
    <col min="11780" max="11780" width="12.875" bestFit="1" customWidth="1"/>
    <col min="11781" max="11781" width="10.375" bestFit="1" customWidth="1"/>
    <col min="11782" max="11782" width="12.875" bestFit="1" customWidth="1"/>
    <col min="11783" max="11783" width="10.375" bestFit="1" customWidth="1"/>
    <col min="11784" max="11784" width="7" bestFit="1" customWidth="1"/>
    <col min="11785" max="11785" width="12.875" bestFit="1" customWidth="1"/>
    <col min="11786" max="11786" width="10.375" bestFit="1" customWidth="1"/>
    <col min="11787" max="11787" width="7" bestFit="1" customWidth="1"/>
    <col min="11788" max="11788" width="12.875" bestFit="1" customWidth="1"/>
    <col min="11789" max="11789" width="10.375" bestFit="1" customWidth="1"/>
    <col min="11790" max="11790" width="7" bestFit="1" customWidth="1"/>
    <col min="11791" max="11791" width="12.875" bestFit="1" customWidth="1"/>
    <col min="11792" max="11792" width="10.375" bestFit="1" customWidth="1"/>
    <col min="11793" max="11793" width="12.875" bestFit="1" customWidth="1"/>
    <col min="11794" max="11794" width="10.375" bestFit="1" customWidth="1"/>
    <col min="11795" max="11795" width="7" bestFit="1" customWidth="1"/>
    <col min="11796" max="11796" width="12.875" bestFit="1" customWidth="1"/>
    <col min="11797" max="11797" width="10.375" bestFit="1" customWidth="1"/>
    <col min="11798" max="11798" width="5.625" bestFit="1" customWidth="1"/>
    <col min="11799" max="11799" width="12.875" bestFit="1" customWidth="1"/>
    <col min="11800" max="11800" width="10.375" bestFit="1" customWidth="1"/>
    <col min="11801" max="11801" width="12.875" bestFit="1" customWidth="1"/>
    <col min="11802" max="11802" width="10.375" bestFit="1" customWidth="1"/>
    <col min="11803" max="11803" width="7" bestFit="1" customWidth="1"/>
    <col min="11804" max="11804" width="12.875" bestFit="1" customWidth="1"/>
    <col min="11805" max="11805" width="10.375" bestFit="1" customWidth="1"/>
    <col min="11806" max="11806" width="12.875" bestFit="1" customWidth="1"/>
    <col min="11807" max="11807" width="10.375" bestFit="1" customWidth="1"/>
    <col min="11808" max="11808" width="12.875" bestFit="1" customWidth="1"/>
    <col min="11809" max="11809" width="10.375" bestFit="1" customWidth="1"/>
    <col min="11810" max="11810" width="7" bestFit="1" customWidth="1"/>
    <col min="11811" max="11811" width="12.875" bestFit="1" customWidth="1"/>
    <col min="11812" max="11812" width="10.375" bestFit="1" customWidth="1"/>
    <col min="11813" max="11813" width="12.875" bestFit="1" customWidth="1"/>
    <col min="11814" max="11814" width="10.375" bestFit="1" customWidth="1"/>
    <col min="11815" max="11815" width="12.875" bestFit="1" customWidth="1"/>
    <col min="11816" max="11816" width="10.375" bestFit="1" customWidth="1"/>
    <col min="11817" max="11817" width="7" bestFit="1" customWidth="1"/>
    <col min="11818" max="11818" width="12.875" bestFit="1" customWidth="1"/>
    <col min="11819" max="11819" width="10.375" bestFit="1" customWidth="1"/>
    <col min="11820" max="11820" width="5.625" bestFit="1" customWidth="1"/>
    <col min="11821" max="11821" width="12.875" bestFit="1" customWidth="1"/>
    <col min="11822" max="11822" width="10.375" bestFit="1" customWidth="1"/>
    <col min="11823" max="11823" width="7" bestFit="1" customWidth="1"/>
    <col min="11824" max="11824" width="12.875" bestFit="1" customWidth="1"/>
    <col min="11825" max="11825" width="10.375" bestFit="1" customWidth="1"/>
    <col min="11826" max="11826" width="5.625" bestFit="1" customWidth="1"/>
    <col min="11827" max="11827" width="12.875" bestFit="1" customWidth="1"/>
    <col min="11828" max="11828" width="10.375" bestFit="1" customWidth="1"/>
    <col min="11829" max="11829" width="12.875" bestFit="1" customWidth="1"/>
    <col min="11830" max="11830" width="10.375" bestFit="1" customWidth="1"/>
    <col min="11831" max="11831" width="7" bestFit="1" customWidth="1"/>
    <col min="11832" max="11832" width="12.875" bestFit="1" customWidth="1"/>
    <col min="11833" max="11833" width="10.375" bestFit="1" customWidth="1"/>
    <col min="11834" max="11834" width="7" bestFit="1" customWidth="1"/>
    <col min="11835" max="11835" width="12.875" bestFit="1" customWidth="1"/>
    <col min="11836" max="11836" width="10.375" bestFit="1" customWidth="1"/>
    <col min="11837" max="11837" width="7" bestFit="1" customWidth="1"/>
    <col min="11838" max="11838" width="12.875" bestFit="1" customWidth="1"/>
    <col min="11839" max="11839" width="10.375" bestFit="1" customWidth="1"/>
    <col min="11840" max="11840" width="7" bestFit="1" customWidth="1"/>
    <col min="11841" max="11841" width="12.875" bestFit="1" customWidth="1"/>
    <col min="11842" max="11842" width="10.375" bestFit="1" customWidth="1"/>
    <col min="11843" max="11843" width="7" bestFit="1" customWidth="1"/>
    <col min="11844" max="11844" width="12.875" bestFit="1" customWidth="1"/>
    <col min="11845" max="11845" width="10.375" bestFit="1" customWidth="1"/>
    <col min="11846" max="11846" width="12.875" bestFit="1" customWidth="1"/>
    <col min="11847" max="11847" width="10.375" bestFit="1" customWidth="1"/>
    <col min="11848" max="11848" width="12.875" bestFit="1" customWidth="1"/>
    <col min="11849" max="11849" width="10.375" bestFit="1" customWidth="1"/>
    <col min="11850" max="11850" width="12.875" bestFit="1" customWidth="1"/>
    <col min="11851" max="11851" width="10.375" bestFit="1" customWidth="1"/>
    <col min="11852" max="11852" width="12.875" bestFit="1" customWidth="1"/>
    <col min="11853" max="11853" width="10.375" bestFit="1" customWidth="1"/>
    <col min="11854" max="11854" width="7" bestFit="1" customWidth="1"/>
    <col min="11855" max="11855" width="12.875" bestFit="1" customWidth="1"/>
    <col min="11856" max="11856" width="10.375" bestFit="1" customWidth="1"/>
    <col min="11857" max="11857" width="7" bestFit="1" customWidth="1"/>
    <col min="11858" max="11858" width="12.875" bestFit="1" customWidth="1"/>
    <col min="11859" max="11859" width="10.375" bestFit="1" customWidth="1"/>
    <col min="11860" max="11860" width="12.875" bestFit="1" customWidth="1"/>
    <col min="11861" max="11861" width="10.375" bestFit="1" customWidth="1"/>
    <col min="11862" max="11862" width="12.875" bestFit="1" customWidth="1"/>
    <col min="11863" max="11863" width="10.375" bestFit="1" customWidth="1"/>
    <col min="11864" max="11864" width="7" bestFit="1" customWidth="1"/>
    <col min="11865" max="11865" width="12.875" bestFit="1" customWidth="1"/>
    <col min="11866" max="11866" width="10.375" bestFit="1" customWidth="1"/>
    <col min="11867" max="11867" width="12.875" bestFit="1" customWidth="1"/>
    <col min="11868" max="11868" width="10.375" bestFit="1" customWidth="1"/>
    <col min="11869" max="11869" width="12.875" bestFit="1" customWidth="1"/>
    <col min="11870" max="11870" width="10.375" bestFit="1" customWidth="1"/>
    <col min="11871" max="11871" width="7" bestFit="1" customWidth="1"/>
    <col min="11872" max="11872" width="12.875" bestFit="1" customWidth="1"/>
    <col min="11873" max="11873" width="10.375" bestFit="1" customWidth="1"/>
    <col min="11874" max="11874" width="12.875" bestFit="1" customWidth="1"/>
    <col min="11875" max="11875" width="10.375" bestFit="1" customWidth="1"/>
    <col min="11876" max="11876" width="12.875" bestFit="1" customWidth="1"/>
    <col min="11877" max="11877" width="10.375" bestFit="1" customWidth="1"/>
    <col min="11878" max="11878" width="7" bestFit="1" customWidth="1"/>
    <col min="11879" max="11879" width="12.875" bestFit="1" customWidth="1"/>
    <col min="11880" max="11880" width="10.375" bestFit="1" customWidth="1"/>
    <col min="11881" max="11881" width="7" bestFit="1" customWidth="1"/>
    <col min="11882" max="11882" width="12.875" bestFit="1" customWidth="1"/>
    <col min="11883" max="11883" width="10.375" bestFit="1" customWidth="1"/>
    <col min="11884" max="11884" width="7" bestFit="1" customWidth="1"/>
    <col min="11885" max="11885" width="12.875" bestFit="1" customWidth="1"/>
    <col min="11886" max="11886" width="10.375" bestFit="1" customWidth="1"/>
    <col min="11887" max="11887" width="12.875" bestFit="1" customWidth="1"/>
    <col min="11888" max="11888" width="10.375" bestFit="1" customWidth="1"/>
    <col min="11889" max="11889" width="7" bestFit="1" customWidth="1"/>
    <col min="11890" max="11890" width="12.875" bestFit="1" customWidth="1"/>
    <col min="11891" max="11891" width="10.375" bestFit="1" customWidth="1"/>
    <col min="11892" max="11892" width="12.875" bestFit="1" customWidth="1"/>
    <col min="11893" max="11893" width="10.375" bestFit="1" customWidth="1"/>
    <col min="11894" max="11894" width="7" bestFit="1" customWidth="1"/>
    <col min="11895" max="11895" width="12.875" bestFit="1" customWidth="1"/>
    <col min="11896" max="11896" width="10.375" bestFit="1" customWidth="1"/>
    <col min="11897" max="11897" width="7" bestFit="1" customWidth="1"/>
    <col min="11898" max="11898" width="12.875" bestFit="1" customWidth="1"/>
    <col min="11899" max="11899" width="10.375" bestFit="1" customWidth="1"/>
    <col min="11900" max="11900" width="12.875" bestFit="1" customWidth="1"/>
    <col min="11901" max="11901" width="10.375" bestFit="1" customWidth="1"/>
    <col min="11902" max="11902" width="12.875" bestFit="1" customWidth="1"/>
    <col min="11903" max="11903" width="10.375" bestFit="1" customWidth="1"/>
    <col min="11904" max="11904" width="7" bestFit="1" customWidth="1"/>
    <col min="11905" max="11905" width="12.875" bestFit="1" customWidth="1"/>
    <col min="11906" max="11906" width="10.375" bestFit="1" customWidth="1"/>
    <col min="11907" max="11907" width="7" bestFit="1" customWidth="1"/>
    <col min="11908" max="11908" width="12.875" bestFit="1" customWidth="1"/>
  </cols>
  <sheetData>
    <row r="3" spans="1:11909" x14ac:dyDescent="0.25">
      <c r="B3" s="1" t="s">
        <v>60494</v>
      </c>
    </row>
    <row r="4" spans="1:11909" x14ac:dyDescent="0.25">
      <c r="B4">
        <v>71007</v>
      </c>
      <c r="C4" t="s">
        <v>60496</v>
      </c>
      <c r="D4">
        <v>92570</v>
      </c>
      <c r="E4" t="s">
        <v>60497</v>
      </c>
      <c r="F4">
        <v>92578</v>
      </c>
      <c r="G4" t="s">
        <v>60498</v>
      </c>
      <c r="H4">
        <v>108984</v>
      </c>
      <c r="I4" t="s">
        <v>60499</v>
      </c>
      <c r="J4">
        <v>109767</v>
      </c>
      <c r="K4" t="s">
        <v>60500</v>
      </c>
      <c r="L4">
        <v>113916</v>
      </c>
      <c r="M4" t="s">
        <v>60501</v>
      </c>
      <c r="N4">
        <v>155201</v>
      </c>
      <c r="O4" t="s">
        <v>60502</v>
      </c>
      <c r="P4">
        <v>155273</v>
      </c>
      <c r="Q4" t="s">
        <v>60503</v>
      </c>
      <c r="R4">
        <v>155289</v>
      </c>
      <c r="S4" t="s">
        <v>60504</v>
      </c>
      <c r="T4">
        <v>156057</v>
      </c>
      <c r="U4" t="s">
        <v>60505</v>
      </c>
      <c r="V4">
        <v>156671</v>
      </c>
      <c r="W4" t="s">
        <v>60506</v>
      </c>
      <c r="X4">
        <v>156688</v>
      </c>
      <c r="Y4" t="s">
        <v>60507</v>
      </c>
      <c r="Z4">
        <v>156709</v>
      </c>
      <c r="AA4" t="s">
        <v>60508</v>
      </c>
      <c r="AB4">
        <v>156748</v>
      </c>
      <c r="AC4" t="s">
        <v>60509</v>
      </c>
      <c r="AD4">
        <v>156805</v>
      </c>
      <c r="AE4" t="s">
        <v>60510</v>
      </c>
      <c r="AF4">
        <v>156820</v>
      </c>
      <c r="AG4" t="s">
        <v>60511</v>
      </c>
      <c r="AH4">
        <v>156827</v>
      </c>
      <c r="AI4" t="s">
        <v>60512</v>
      </c>
      <c r="AJ4">
        <v>157054</v>
      </c>
      <c r="AK4" t="s">
        <v>60513</v>
      </c>
      <c r="AL4">
        <v>157060</v>
      </c>
      <c r="AM4" t="s">
        <v>60514</v>
      </c>
      <c r="AN4">
        <v>157084</v>
      </c>
      <c r="AO4" t="s">
        <v>60515</v>
      </c>
      <c r="AP4">
        <v>159316</v>
      </c>
      <c r="AQ4" t="s">
        <v>60516</v>
      </c>
      <c r="AR4">
        <v>160718</v>
      </c>
      <c r="AS4" t="s">
        <v>60517</v>
      </c>
      <c r="AT4">
        <v>160734</v>
      </c>
      <c r="AU4" t="s">
        <v>60518</v>
      </c>
      <c r="AV4">
        <v>160745</v>
      </c>
      <c r="AW4" t="s">
        <v>60519</v>
      </c>
      <c r="AX4">
        <v>160806</v>
      </c>
      <c r="AY4" t="s">
        <v>60520</v>
      </c>
      <c r="AZ4">
        <v>168018</v>
      </c>
      <c r="BA4" t="s">
        <v>60521</v>
      </c>
      <c r="BB4">
        <v>168099</v>
      </c>
      <c r="BC4" t="s">
        <v>60522</v>
      </c>
      <c r="BD4">
        <v>168171</v>
      </c>
      <c r="BE4" t="s">
        <v>60523</v>
      </c>
      <c r="BF4">
        <v>168215</v>
      </c>
      <c r="BG4" t="s">
        <v>60524</v>
      </c>
      <c r="BH4">
        <v>179859</v>
      </c>
      <c r="BI4" t="s">
        <v>60525</v>
      </c>
      <c r="BJ4">
        <v>179972</v>
      </c>
      <c r="BK4" t="s">
        <v>60526</v>
      </c>
      <c r="BL4">
        <v>179982</v>
      </c>
      <c r="BM4" t="s">
        <v>60527</v>
      </c>
      <c r="BN4">
        <v>179987</v>
      </c>
      <c r="BO4" t="s">
        <v>60528</v>
      </c>
      <c r="BP4">
        <v>191235</v>
      </c>
      <c r="BQ4" t="s">
        <v>60529</v>
      </c>
      <c r="BR4">
        <v>191263</v>
      </c>
      <c r="BS4" t="s">
        <v>60530</v>
      </c>
      <c r="BT4">
        <v>191288</v>
      </c>
      <c r="BU4" t="s">
        <v>60531</v>
      </c>
      <c r="BV4">
        <v>191524</v>
      </c>
      <c r="BW4" t="s">
        <v>60532</v>
      </c>
      <c r="BX4">
        <v>195583</v>
      </c>
      <c r="BY4" t="s">
        <v>60533</v>
      </c>
      <c r="BZ4">
        <v>200325</v>
      </c>
      <c r="CA4" t="s">
        <v>60534</v>
      </c>
      <c r="CB4">
        <v>200351</v>
      </c>
      <c r="CC4" t="s">
        <v>60535</v>
      </c>
      <c r="CD4">
        <v>200369</v>
      </c>
      <c r="CE4" t="s">
        <v>60536</v>
      </c>
      <c r="CF4">
        <v>203093</v>
      </c>
      <c r="CG4" t="s">
        <v>60537</v>
      </c>
      <c r="CH4">
        <v>203142</v>
      </c>
      <c r="CI4" t="s">
        <v>60538</v>
      </c>
      <c r="CJ4">
        <v>203169</v>
      </c>
      <c r="CK4" t="s">
        <v>60539</v>
      </c>
      <c r="CL4">
        <v>203175</v>
      </c>
      <c r="CM4" t="s">
        <v>60540</v>
      </c>
      <c r="CN4">
        <v>203232</v>
      </c>
      <c r="CO4" t="s">
        <v>60541</v>
      </c>
      <c r="CP4">
        <v>203290</v>
      </c>
      <c r="CQ4" t="s">
        <v>60542</v>
      </c>
      <c r="CR4">
        <v>203338</v>
      </c>
      <c r="CS4" t="s">
        <v>60543</v>
      </c>
      <c r="CT4">
        <v>203361</v>
      </c>
      <c r="CU4" t="s">
        <v>60544</v>
      </c>
      <c r="CV4">
        <v>203586</v>
      </c>
      <c r="CW4" t="s">
        <v>60545</v>
      </c>
      <c r="CX4">
        <v>209022</v>
      </c>
      <c r="CY4" t="s">
        <v>60546</v>
      </c>
      <c r="CZ4">
        <v>210545</v>
      </c>
      <c r="DA4" t="s">
        <v>60547</v>
      </c>
      <c r="DB4">
        <v>210996</v>
      </c>
      <c r="DC4" t="s">
        <v>60548</v>
      </c>
      <c r="DD4">
        <v>211646</v>
      </c>
      <c r="DE4" t="s">
        <v>60549</v>
      </c>
      <c r="DF4">
        <v>211769</v>
      </c>
      <c r="DG4" t="s">
        <v>60550</v>
      </c>
      <c r="DH4">
        <v>211777</v>
      </c>
      <c r="DI4" t="s">
        <v>60551</v>
      </c>
      <c r="DJ4">
        <v>211784</v>
      </c>
      <c r="DK4" t="s">
        <v>60552</v>
      </c>
      <c r="DL4">
        <v>211798</v>
      </c>
      <c r="DM4" t="s">
        <v>60553</v>
      </c>
      <c r="DN4">
        <v>211809</v>
      </c>
      <c r="DO4" t="s">
        <v>60554</v>
      </c>
      <c r="DP4">
        <v>211810</v>
      </c>
      <c r="DQ4" t="s">
        <v>60555</v>
      </c>
      <c r="DR4">
        <v>211839</v>
      </c>
      <c r="DS4" t="s">
        <v>60556</v>
      </c>
      <c r="DT4">
        <v>211847</v>
      </c>
      <c r="DU4" t="s">
        <v>60557</v>
      </c>
      <c r="DV4">
        <v>211952</v>
      </c>
      <c r="DW4" t="s">
        <v>60558</v>
      </c>
      <c r="DX4">
        <v>211963</v>
      </c>
      <c r="DY4" t="s">
        <v>60559</v>
      </c>
      <c r="DZ4">
        <v>211970</v>
      </c>
      <c r="EA4" t="s">
        <v>60560</v>
      </c>
      <c r="EB4">
        <v>211979</v>
      </c>
      <c r="EC4" t="s">
        <v>60561</v>
      </c>
      <c r="ED4">
        <v>212002</v>
      </c>
      <c r="EE4" t="s">
        <v>60562</v>
      </c>
      <c r="EF4">
        <v>212021</v>
      </c>
      <c r="EG4" t="s">
        <v>60563</v>
      </c>
      <c r="EH4">
        <v>212035</v>
      </c>
      <c r="EI4" t="s">
        <v>60564</v>
      </c>
      <c r="EJ4">
        <v>212041</v>
      </c>
      <c r="EK4" t="s">
        <v>60565</v>
      </c>
      <c r="EL4">
        <v>212063</v>
      </c>
      <c r="EM4" t="s">
        <v>60566</v>
      </c>
      <c r="EN4">
        <v>212076</v>
      </c>
      <c r="EO4" t="s">
        <v>60567</v>
      </c>
      <c r="EP4">
        <v>212080</v>
      </c>
      <c r="EQ4" t="s">
        <v>60568</v>
      </c>
      <c r="ER4">
        <v>212102</v>
      </c>
      <c r="ES4" t="s">
        <v>60569</v>
      </c>
      <c r="ET4">
        <v>212103</v>
      </c>
      <c r="EU4" t="s">
        <v>60570</v>
      </c>
      <c r="EV4">
        <v>212132</v>
      </c>
      <c r="EW4" t="s">
        <v>60571</v>
      </c>
      <c r="EX4">
        <v>212139</v>
      </c>
      <c r="EY4" t="s">
        <v>60572</v>
      </c>
      <c r="EZ4">
        <v>213658</v>
      </c>
      <c r="FA4" t="s">
        <v>60573</v>
      </c>
      <c r="FB4">
        <v>213685</v>
      </c>
      <c r="FC4" t="s">
        <v>60574</v>
      </c>
      <c r="FD4">
        <v>213691</v>
      </c>
      <c r="FE4" t="s">
        <v>60575</v>
      </c>
      <c r="FF4">
        <v>214588</v>
      </c>
      <c r="FG4" t="s">
        <v>60576</v>
      </c>
      <c r="FH4">
        <v>214601</v>
      </c>
      <c r="FI4" t="s">
        <v>60577</v>
      </c>
      <c r="FJ4">
        <v>214619</v>
      </c>
      <c r="FK4" t="s">
        <v>60578</v>
      </c>
      <c r="FL4">
        <v>214627</v>
      </c>
      <c r="FM4" t="s">
        <v>60579</v>
      </c>
      <c r="FN4">
        <v>214669</v>
      </c>
      <c r="FO4" t="s">
        <v>60580</v>
      </c>
      <c r="FP4">
        <v>218879</v>
      </c>
      <c r="FQ4" t="s">
        <v>60581</v>
      </c>
      <c r="FR4">
        <v>225466</v>
      </c>
      <c r="FS4" t="s">
        <v>60582</v>
      </c>
      <c r="FT4">
        <v>225489</v>
      </c>
      <c r="FU4" t="s">
        <v>60583</v>
      </c>
      <c r="FV4">
        <v>225540</v>
      </c>
      <c r="FW4" t="s">
        <v>60584</v>
      </c>
      <c r="FX4">
        <v>225574</v>
      </c>
      <c r="FY4" t="s">
        <v>60585</v>
      </c>
      <c r="FZ4">
        <v>225581</v>
      </c>
      <c r="GA4" t="s">
        <v>60586</v>
      </c>
      <c r="GB4">
        <v>225667</v>
      </c>
      <c r="GC4" t="s">
        <v>60587</v>
      </c>
      <c r="GD4">
        <v>225796</v>
      </c>
      <c r="GE4" t="s">
        <v>60588</v>
      </c>
      <c r="GF4">
        <v>225839</v>
      </c>
      <c r="GG4" t="s">
        <v>60589</v>
      </c>
      <c r="GH4">
        <v>225918</v>
      </c>
      <c r="GI4" t="s">
        <v>60590</v>
      </c>
      <c r="GJ4">
        <v>226152</v>
      </c>
      <c r="GK4" t="s">
        <v>60591</v>
      </c>
      <c r="GL4">
        <v>226166</v>
      </c>
      <c r="GM4" t="s">
        <v>60592</v>
      </c>
      <c r="GN4">
        <v>226287</v>
      </c>
      <c r="GO4" t="s">
        <v>60593</v>
      </c>
      <c r="GP4">
        <v>226303</v>
      </c>
      <c r="GQ4" t="s">
        <v>60594</v>
      </c>
      <c r="GR4">
        <v>226339</v>
      </c>
      <c r="GS4" t="s">
        <v>60595</v>
      </c>
      <c r="GT4">
        <v>226402</v>
      </c>
      <c r="GU4" t="s">
        <v>60596</v>
      </c>
      <c r="GV4">
        <v>226418</v>
      </c>
      <c r="GW4" t="s">
        <v>60597</v>
      </c>
      <c r="GX4">
        <v>226441</v>
      </c>
      <c r="GY4" t="s">
        <v>60598</v>
      </c>
      <c r="GZ4">
        <v>226742</v>
      </c>
      <c r="HA4" t="s">
        <v>60599</v>
      </c>
      <c r="HB4">
        <v>228337</v>
      </c>
      <c r="HC4" t="s">
        <v>60600</v>
      </c>
      <c r="HD4">
        <v>229299</v>
      </c>
      <c r="HE4" t="s">
        <v>60601</v>
      </c>
      <c r="HF4">
        <v>229327</v>
      </c>
      <c r="HG4" t="s">
        <v>60602</v>
      </c>
      <c r="HH4">
        <v>229365</v>
      </c>
      <c r="HI4" t="s">
        <v>60603</v>
      </c>
      <c r="HJ4">
        <v>229402</v>
      </c>
      <c r="HK4" t="s">
        <v>60604</v>
      </c>
      <c r="HL4">
        <v>229866</v>
      </c>
      <c r="HM4" t="s">
        <v>60605</v>
      </c>
      <c r="HN4">
        <v>229905</v>
      </c>
      <c r="HO4" t="s">
        <v>60606</v>
      </c>
      <c r="HP4">
        <v>229931</v>
      </c>
      <c r="HQ4" t="s">
        <v>60607</v>
      </c>
      <c r="HR4">
        <v>231348</v>
      </c>
      <c r="HS4" t="s">
        <v>60608</v>
      </c>
      <c r="HT4">
        <v>231375</v>
      </c>
      <c r="HU4" t="s">
        <v>60609</v>
      </c>
      <c r="HV4">
        <v>231381</v>
      </c>
      <c r="HW4" t="s">
        <v>60610</v>
      </c>
      <c r="HX4">
        <v>231392</v>
      </c>
      <c r="HY4" t="s">
        <v>60611</v>
      </c>
      <c r="HZ4">
        <v>231399</v>
      </c>
      <c r="IA4" t="s">
        <v>60612</v>
      </c>
      <c r="IB4">
        <v>232551</v>
      </c>
      <c r="IC4" t="s">
        <v>60613</v>
      </c>
      <c r="ID4">
        <v>232649</v>
      </c>
      <c r="IE4" t="s">
        <v>60614</v>
      </c>
      <c r="IF4">
        <v>232668</v>
      </c>
      <c r="IG4" t="s">
        <v>60615</v>
      </c>
      <c r="IH4">
        <v>232683</v>
      </c>
      <c r="II4" t="s">
        <v>60616</v>
      </c>
      <c r="IJ4">
        <v>232692</v>
      </c>
      <c r="IK4" t="s">
        <v>60617</v>
      </c>
      <c r="IL4">
        <v>232704</v>
      </c>
      <c r="IM4" t="s">
        <v>60618</v>
      </c>
      <c r="IN4">
        <v>232716</v>
      </c>
      <c r="IO4" t="s">
        <v>60619</v>
      </c>
      <c r="IP4">
        <v>232751</v>
      </c>
      <c r="IQ4" t="s">
        <v>60620</v>
      </c>
      <c r="IR4">
        <v>232760</v>
      </c>
      <c r="IS4" t="s">
        <v>60621</v>
      </c>
      <c r="IT4">
        <v>232800</v>
      </c>
      <c r="IU4" t="s">
        <v>60622</v>
      </c>
      <c r="IV4">
        <v>232815</v>
      </c>
      <c r="IW4" t="s">
        <v>60623</v>
      </c>
      <c r="IX4">
        <v>232828</v>
      </c>
      <c r="IY4" t="s">
        <v>60624</v>
      </c>
      <c r="IZ4">
        <v>232834</v>
      </c>
      <c r="JA4" t="s">
        <v>60625</v>
      </c>
      <c r="JB4">
        <v>232847</v>
      </c>
      <c r="JC4" t="s">
        <v>60626</v>
      </c>
      <c r="JD4">
        <v>232855</v>
      </c>
      <c r="JE4" t="s">
        <v>60627</v>
      </c>
      <c r="JF4">
        <v>232890</v>
      </c>
      <c r="JG4" t="s">
        <v>60628</v>
      </c>
      <c r="JH4">
        <v>232898</v>
      </c>
      <c r="JI4" t="s">
        <v>60629</v>
      </c>
      <c r="JJ4">
        <v>232965</v>
      </c>
      <c r="JK4" t="s">
        <v>60630</v>
      </c>
      <c r="JL4">
        <v>232977</v>
      </c>
      <c r="JM4" t="s">
        <v>60631</v>
      </c>
      <c r="JN4">
        <v>233289</v>
      </c>
      <c r="JO4" t="s">
        <v>60632</v>
      </c>
      <c r="JP4">
        <v>233298</v>
      </c>
      <c r="JQ4" t="s">
        <v>60633</v>
      </c>
      <c r="JR4">
        <v>233322</v>
      </c>
      <c r="JS4" t="s">
        <v>60634</v>
      </c>
      <c r="JT4">
        <v>233331</v>
      </c>
      <c r="JU4" t="s">
        <v>60635</v>
      </c>
      <c r="JV4">
        <v>233352</v>
      </c>
      <c r="JW4" t="s">
        <v>60636</v>
      </c>
      <c r="JX4">
        <v>233359</v>
      </c>
      <c r="JY4" t="s">
        <v>60637</v>
      </c>
      <c r="JZ4">
        <v>233695</v>
      </c>
      <c r="KA4" t="s">
        <v>60638</v>
      </c>
      <c r="KB4">
        <v>233704</v>
      </c>
      <c r="KC4" t="s">
        <v>60639</v>
      </c>
      <c r="KD4">
        <v>233709</v>
      </c>
      <c r="KE4" t="s">
        <v>60640</v>
      </c>
      <c r="KF4">
        <v>233717</v>
      </c>
      <c r="KG4" t="s">
        <v>60641</v>
      </c>
      <c r="KH4">
        <v>233723</v>
      </c>
      <c r="KI4" t="s">
        <v>60642</v>
      </c>
      <c r="KJ4">
        <v>233728</v>
      </c>
      <c r="KK4" t="s">
        <v>60643</v>
      </c>
      <c r="KL4">
        <v>235735</v>
      </c>
      <c r="KM4" t="s">
        <v>60644</v>
      </c>
      <c r="KN4">
        <v>235743</v>
      </c>
      <c r="KO4" t="s">
        <v>60645</v>
      </c>
      <c r="KP4">
        <v>235771</v>
      </c>
      <c r="KQ4" t="s">
        <v>60646</v>
      </c>
      <c r="KR4">
        <v>235776</v>
      </c>
      <c r="KS4" t="s">
        <v>60647</v>
      </c>
      <c r="KT4">
        <v>235791</v>
      </c>
      <c r="KU4" t="s">
        <v>60648</v>
      </c>
      <c r="KV4">
        <v>235797</v>
      </c>
      <c r="KW4" t="s">
        <v>60649</v>
      </c>
      <c r="KX4">
        <v>236575</v>
      </c>
      <c r="KY4" t="s">
        <v>60650</v>
      </c>
      <c r="KZ4">
        <v>236603</v>
      </c>
      <c r="LA4" t="s">
        <v>60651</v>
      </c>
      <c r="LB4">
        <v>236709</v>
      </c>
      <c r="LC4" t="s">
        <v>60652</v>
      </c>
      <c r="LD4">
        <v>236795</v>
      </c>
      <c r="LE4" t="s">
        <v>60653</v>
      </c>
      <c r="LF4">
        <v>236898</v>
      </c>
      <c r="LG4" t="s">
        <v>60654</v>
      </c>
      <c r="LH4">
        <v>236938</v>
      </c>
      <c r="LI4" t="s">
        <v>60655</v>
      </c>
      <c r="LJ4">
        <v>236965</v>
      </c>
      <c r="LK4" t="s">
        <v>60656</v>
      </c>
      <c r="LL4">
        <v>236996</v>
      </c>
      <c r="LM4" t="s">
        <v>60657</v>
      </c>
      <c r="LN4">
        <v>237024</v>
      </c>
      <c r="LO4" t="s">
        <v>60658</v>
      </c>
      <c r="LP4">
        <v>237118</v>
      </c>
      <c r="LQ4" t="s">
        <v>60659</v>
      </c>
      <c r="LR4">
        <v>237167</v>
      </c>
      <c r="LS4" t="s">
        <v>60660</v>
      </c>
      <c r="LT4">
        <v>237291</v>
      </c>
      <c r="LU4" t="s">
        <v>60661</v>
      </c>
      <c r="LV4">
        <v>237352</v>
      </c>
      <c r="LW4" t="s">
        <v>60662</v>
      </c>
      <c r="LX4">
        <v>237412</v>
      </c>
      <c r="LY4" t="s">
        <v>60663</v>
      </c>
      <c r="LZ4">
        <v>237506</v>
      </c>
      <c r="MA4" t="s">
        <v>60664</v>
      </c>
      <c r="MB4">
        <v>237597</v>
      </c>
      <c r="MC4" t="s">
        <v>60665</v>
      </c>
      <c r="MD4">
        <v>237654</v>
      </c>
      <c r="ME4" t="s">
        <v>60666</v>
      </c>
      <c r="MF4">
        <v>238775</v>
      </c>
      <c r="MG4" t="s">
        <v>60667</v>
      </c>
      <c r="MH4">
        <v>238838</v>
      </c>
      <c r="MI4" t="s">
        <v>60668</v>
      </c>
      <c r="MJ4">
        <v>238846</v>
      </c>
      <c r="MK4" t="s">
        <v>60669</v>
      </c>
      <c r="ML4">
        <v>239563</v>
      </c>
      <c r="MM4" t="s">
        <v>60670</v>
      </c>
      <c r="MN4">
        <v>239569</v>
      </c>
      <c r="MO4" t="s">
        <v>60671</v>
      </c>
      <c r="MP4">
        <v>240312</v>
      </c>
      <c r="MQ4" t="s">
        <v>60672</v>
      </c>
      <c r="MR4">
        <v>240964</v>
      </c>
      <c r="MS4" t="s">
        <v>60673</v>
      </c>
      <c r="MT4">
        <v>240969</v>
      </c>
      <c r="MU4" t="s">
        <v>60674</v>
      </c>
      <c r="MV4">
        <v>240978</v>
      </c>
      <c r="MW4" t="s">
        <v>60675</v>
      </c>
      <c r="MX4">
        <v>240993</v>
      </c>
      <c r="MY4" t="s">
        <v>60676</v>
      </c>
      <c r="MZ4">
        <v>241044</v>
      </c>
      <c r="NA4" t="s">
        <v>60677</v>
      </c>
      <c r="NB4">
        <v>241059</v>
      </c>
      <c r="NC4" t="s">
        <v>60678</v>
      </c>
      <c r="ND4">
        <v>241303</v>
      </c>
      <c r="NE4" t="s">
        <v>60679</v>
      </c>
      <c r="NF4">
        <v>241317</v>
      </c>
      <c r="NG4" t="s">
        <v>60680</v>
      </c>
      <c r="NH4">
        <v>241331</v>
      </c>
      <c r="NI4" t="s">
        <v>60681</v>
      </c>
      <c r="NJ4">
        <v>241391</v>
      </c>
      <c r="NK4" t="s">
        <v>60682</v>
      </c>
      <c r="NL4">
        <v>241481</v>
      </c>
      <c r="NM4" t="s">
        <v>60683</v>
      </c>
      <c r="NN4">
        <v>241509</v>
      </c>
      <c r="NO4" t="s">
        <v>60684</v>
      </c>
      <c r="NP4">
        <v>241598</v>
      </c>
      <c r="NQ4" t="s">
        <v>60685</v>
      </c>
      <c r="NR4">
        <v>241691</v>
      </c>
      <c r="NT4" t="s">
        <v>60686</v>
      </c>
      <c r="NU4">
        <v>241744</v>
      </c>
      <c r="NV4" t="s">
        <v>60687</v>
      </c>
      <c r="NW4">
        <v>244655</v>
      </c>
      <c r="NX4" t="s">
        <v>60688</v>
      </c>
      <c r="NY4">
        <v>244664</v>
      </c>
      <c r="NZ4" t="s">
        <v>60689</v>
      </c>
      <c r="OA4">
        <v>244670</v>
      </c>
      <c r="OB4" t="s">
        <v>60690</v>
      </c>
      <c r="OC4">
        <v>244685</v>
      </c>
      <c r="OD4" t="s">
        <v>60691</v>
      </c>
      <c r="OE4">
        <v>244696</v>
      </c>
      <c r="OF4" t="s">
        <v>60692</v>
      </c>
      <c r="OG4">
        <v>244755</v>
      </c>
      <c r="OH4" t="s">
        <v>60693</v>
      </c>
      <c r="OI4">
        <v>244810</v>
      </c>
      <c r="OJ4" t="s">
        <v>60694</v>
      </c>
      <c r="OK4">
        <v>244852</v>
      </c>
      <c r="OL4" t="s">
        <v>60695</v>
      </c>
      <c r="OM4">
        <v>245339</v>
      </c>
      <c r="ON4" t="s">
        <v>60696</v>
      </c>
      <c r="OO4">
        <v>245360</v>
      </c>
      <c r="OP4" t="s">
        <v>60697</v>
      </c>
      <c r="OQ4">
        <v>245888</v>
      </c>
      <c r="OR4" t="s">
        <v>60698</v>
      </c>
      <c r="OS4">
        <v>245898</v>
      </c>
      <c r="OT4" t="s">
        <v>60699</v>
      </c>
      <c r="OU4">
        <v>245914</v>
      </c>
      <c r="OV4" t="s">
        <v>60700</v>
      </c>
      <c r="OW4">
        <v>247389</v>
      </c>
      <c r="OX4" t="s">
        <v>60701</v>
      </c>
      <c r="OY4">
        <v>247396</v>
      </c>
      <c r="OZ4" t="s">
        <v>60702</v>
      </c>
      <c r="PA4">
        <v>247433</v>
      </c>
      <c r="PB4" t="s">
        <v>60703</v>
      </c>
      <c r="PC4">
        <v>247439</v>
      </c>
      <c r="PD4" t="s">
        <v>60704</v>
      </c>
      <c r="PE4">
        <v>247488</v>
      </c>
      <c r="PF4" t="s">
        <v>60705</v>
      </c>
      <c r="PG4">
        <v>247507</v>
      </c>
      <c r="PH4" t="s">
        <v>60706</v>
      </c>
      <c r="PI4">
        <v>248129</v>
      </c>
      <c r="PJ4" t="s">
        <v>60707</v>
      </c>
      <c r="PK4">
        <v>248140</v>
      </c>
      <c r="PL4" t="s">
        <v>60708</v>
      </c>
      <c r="PM4">
        <v>248244</v>
      </c>
      <c r="PN4" t="s">
        <v>60709</v>
      </c>
      <c r="PO4">
        <v>248878</v>
      </c>
      <c r="PP4" t="s">
        <v>60710</v>
      </c>
      <c r="PQ4">
        <v>248884</v>
      </c>
      <c r="PR4" t="s">
        <v>60711</v>
      </c>
      <c r="PS4">
        <v>249333</v>
      </c>
      <c r="PT4" t="s">
        <v>60712</v>
      </c>
      <c r="PU4">
        <v>249356</v>
      </c>
      <c r="PV4" t="s">
        <v>60713</v>
      </c>
      <c r="PW4">
        <v>249363</v>
      </c>
      <c r="PX4" t="s">
        <v>60714</v>
      </c>
      <c r="PY4">
        <v>249369</v>
      </c>
      <c r="PZ4" t="s">
        <v>60715</v>
      </c>
      <c r="QA4">
        <v>249375</v>
      </c>
      <c r="QB4" t="s">
        <v>60716</v>
      </c>
      <c r="QC4">
        <v>249386</v>
      </c>
      <c r="QD4" t="s">
        <v>60717</v>
      </c>
      <c r="QE4">
        <v>249391</v>
      </c>
      <c r="QG4" t="s">
        <v>60718</v>
      </c>
      <c r="QH4">
        <v>249467</v>
      </c>
      <c r="QI4" t="s">
        <v>60719</v>
      </c>
      <c r="QJ4">
        <v>249494</v>
      </c>
      <c r="QK4" t="s">
        <v>60720</v>
      </c>
      <c r="QL4">
        <v>249509</v>
      </c>
      <c r="QM4" t="s">
        <v>60721</v>
      </c>
      <c r="QN4">
        <v>249532</v>
      </c>
      <c r="QO4" t="s">
        <v>60722</v>
      </c>
      <c r="QP4">
        <v>249558</v>
      </c>
      <c r="QQ4" t="s">
        <v>60723</v>
      </c>
      <c r="QR4">
        <v>249580</v>
      </c>
      <c r="QS4" t="s">
        <v>60724</v>
      </c>
      <c r="QT4">
        <v>249711</v>
      </c>
      <c r="QU4" t="s">
        <v>60725</v>
      </c>
      <c r="QV4">
        <v>249765</v>
      </c>
      <c r="QW4" t="s">
        <v>60726</v>
      </c>
      <c r="QX4">
        <v>249782</v>
      </c>
      <c r="QY4" t="s">
        <v>60727</v>
      </c>
      <c r="QZ4">
        <v>253044</v>
      </c>
      <c r="RA4" t="s">
        <v>60728</v>
      </c>
      <c r="RB4">
        <v>253571</v>
      </c>
      <c r="RC4" t="s">
        <v>60729</v>
      </c>
      <c r="RD4">
        <v>254938</v>
      </c>
      <c r="RE4" t="s">
        <v>60730</v>
      </c>
      <c r="RF4">
        <v>254956</v>
      </c>
      <c r="RG4" t="s">
        <v>60731</v>
      </c>
      <c r="RH4">
        <v>254984</v>
      </c>
      <c r="RI4" t="s">
        <v>60732</v>
      </c>
      <c r="RJ4">
        <v>255000</v>
      </c>
      <c r="RK4" t="s">
        <v>60733</v>
      </c>
      <c r="RL4">
        <v>255071</v>
      </c>
      <c r="RM4" t="s">
        <v>60734</v>
      </c>
      <c r="RN4">
        <v>255088</v>
      </c>
      <c r="RO4" t="s">
        <v>60735</v>
      </c>
      <c r="RP4">
        <v>255982</v>
      </c>
      <c r="RQ4" t="s">
        <v>60736</v>
      </c>
      <c r="RR4">
        <v>255988</v>
      </c>
      <c r="RS4" t="s">
        <v>60737</v>
      </c>
      <c r="RT4">
        <v>256038</v>
      </c>
      <c r="RU4" t="s">
        <v>60738</v>
      </c>
      <c r="RV4">
        <v>256046</v>
      </c>
      <c r="RW4" t="s">
        <v>60739</v>
      </c>
      <c r="RX4">
        <v>256067</v>
      </c>
      <c r="RY4" t="s">
        <v>60740</v>
      </c>
      <c r="RZ4">
        <v>261692</v>
      </c>
      <c r="SB4" t="s">
        <v>60741</v>
      </c>
      <c r="SC4">
        <v>262087</v>
      </c>
      <c r="SD4" t="s">
        <v>60742</v>
      </c>
      <c r="SE4">
        <v>262169</v>
      </c>
      <c r="SF4" t="s">
        <v>60743</v>
      </c>
      <c r="SG4">
        <v>262197</v>
      </c>
      <c r="SH4" t="s">
        <v>60744</v>
      </c>
      <c r="SI4">
        <v>262251</v>
      </c>
      <c r="SJ4" t="s">
        <v>60745</v>
      </c>
      <c r="SK4">
        <v>262303</v>
      </c>
      <c r="SL4" t="s">
        <v>60746</v>
      </c>
      <c r="SM4">
        <v>262320</v>
      </c>
      <c r="SN4" t="s">
        <v>60747</v>
      </c>
      <c r="SO4">
        <v>262324</v>
      </c>
      <c r="SP4" t="s">
        <v>60748</v>
      </c>
      <c r="SQ4">
        <v>262339</v>
      </c>
      <c r="SR4" t="s">
        <v>60749</v>
      </c>
      <c r="SS4">
        <v>262342</v>
      </c>
      <c r="ST4" t="s">
        <v>60750</v>
      </c>
      <c r="SU4">
        <v>262345</v>
      </c>
      <c r="SV4" t="s">
        <v>60751</v>
      </c>
      <c r="SW4">
        <v>262373</v>
      </c>
      <c r="SX4" t="s">
        <v>60752</v>
      </c>
      <c r="SY4">
        <v>262403</v>
      </c>
      <c r="SZ4" t="s">
        <v>60753</v>
      </c>
      <c r="TA4">
        <v>262405</v>
      </c>
      <c r="TB4" t="s">
        <v>60754</v>
      </c>
      <c r="TC4">
        <v>262417</v>
      </c>
      <c r="TD4" t="s">
        <v>60755</v>
      </c>
      <c r="TE4">
        <v>262588</v>
      </c>
      <c r="TF4" t="s">
        <v>60756</v>
      </c>
      <c r="TG4">
        <v>262680</v>
      </c>
      <c r="TH4" t="s">
        <v>60757</v>
      </c>
      <c r="TI4">
        <v>262698</v>
      </c>
      <c r="TJ4" t="s">
        <v>60758</v>
      </c>
      <c r="TK4">
        <v>262744</v>
      </c>
      <c r="TL4" t="s">
        <v>60759</v>
      </c>
      <c r="TM4">
        <v>262878</v>
      </c>
      <c r="TN4" t="s">
        <v>60760</v>
      </c>
      <c r="TO4">
        <v>262957</v>
      </c>
      <c r="TP4" t="s">
        <v>60761</v>
      </c>
      <c r="TQ4">
        <v>262962</v>
      </c>
      <c r="TR4" t="s">
        <v>60762</v>
      </c>
      <c r="TS4">
        <v>263020</v>
      </c>
      <c r="TT4" t="s">
        <v>60763</v>
      </c>
      <c r="TU4">
        <v>263021</v>
      </c>
      <c r="TV4" t="s">
        <v>60764</v>
      </c>
      <c r="TW4">
        <v>263051</v>
      </c>
      <c r="TX4" t="s">
        <v>60765</v>
      </c>
      <c r="TY4">
        <v>263061</v>
      </c>
      <c r="TZ4" t="s">
        <v>60766</v>
      </c>
      <c r="UA4">
        <v>263081</v>
      </c>
      <c r="UB4" t="s">
        <v>60767</v>
      </c>
      <c r="UC4">
        <v>263094</v>
      </c>
      <c r="UD4" t="s">
        <v>60768</v>
      </c>
      <c r="UE4">
        <v>263259</v>
      </c>
      <c r="UF4" t="s">
        <v>60769</v>
      </c>
      <c r="UG4">
        <v>264384</v>
      </c>
      <c r="UH4" t="s">
        <v>60770</v>
      </c>
      <c r="UI4">
        <v>264407</v>
      </c>
      <c r="UJ4" t="s">
        <v>60771</v>
      </c>
      <c r="UK4">
        <v>264414</v>
      </c>
      <c r="UL4" t="s">
        <v>60772</v>
      </c>
      <c r="UM4">
        <v>264493</v>
      </c>
      <c r="UN4" t="s">
        <v>60773</v>
      </c>
      <c r="UO4">
        <v>264500</v>
      </c>
      <c r="UP4" t="s">
        <v>60774</v>
      </c>
      <c r="UQ4">
        <v>264521</v>
      </c>
      <c r="UR4" t="s">
        <v>60775</v>
      </c>
      <c r="US4">
        <v>264541</v>
      </c>
      <c r="UT4" t="s">
        <v>60776</v>
      </c>
      <c r="UU4">
        <v>264624</v>
      </c>
      <c r="UV4" t="s">
        <v>60777</v>
      </c>
      <c r="UW4">
        <v>264633</v>
      </c>
      <c r="UX4" t="s">
        <v>60778</v>
      </c>
      <c r="UY4">
        <v>264673</v>
      </c>
      <c r="UZ4" t="s">
        <v>60779</v>
      </c>
      <c r="VA4">
        <v>264680</v>
      </c>
      <c r="VB4" t="s">
        <v>60780</v>
      </c>
      <c r="VC4">
        <v>264703</v>
      </c>
      <c r="VD4" t="s">
        <v>60781</v>
      </c>
      <c r="VE4">
        <v>264806</v>
      </c>
      <c r="VF4" t="s">
        <v>60782</v>
      </c>
      <c r="VG4">
        <v>264812</v>
      </c>
      <c r="VH4" t="s">
        <v>60783</v>
      </c>
      <c r="VI4">
        <v>265049</v>
      </c>
      <c r="VJ4" t="s">
        <v>60784</v>
      </c>
      <c r="VK4">
        <v>265059</v>
      </c>
      <c r="VL4" t="s">
        <v>60785</v>
      </c>
      <c r="VM4">
        <v>265084</v>
      </c>
      <c r="VN4" t="s">
        <v>60786</v>
      </c>
      <c r="VO4">
        <v>265123</v>
      </c>
      <c r="VP4" t="s">
        <v>60787</v>
      </c>
      <c r="VQ4">
        <v>265157</v>
      </c>
      <c r="VR4" t="s">
        <v>60788</v>
      </c>
      <c r="VS4">
        <v>266400</v>
      </c>
      <c r="VT4" t="s">
        <v>60789</v>
      </c>
      <c r="VU4">
        <v>266412</v>
      </c>
      <c r="VV4" t="s">
        <v>60790</v>
      </c>
      <c r="VW4">
        <v>266417</v>
      </c>
      <c r="VX4" t="s">
        <v>60791</v>
      </c>
      <c r="VY4">
        <v>266418</v>
      </c>
      <c r="VZ4" t="s">
        <v>60792</v>
      </c>
      <c r="WA4">
        <v>266557</v>
      </c>
      <c r="WB4" t="s">
        <v>60793</v>
      </c>
      <c r="WC4">
        <v>266564</v>
      </c>
      <c r="WD4" t="s">
        <v>60794</v>
      </c>
      <c r="WE4">
        <v>266753</v>
      </c>
      <c r="WF4" t="s">
        <v>60795</v>
      </c>
      <c r="WG4">
        <v>266773</v>
      </c>
      <c r="WH4" t="s">
        <v>60796</v>
      </c>
      <c r="WI4">
        <v>266787</v>
      </c>
      <c r="WJ4" t="s">
        <v>60797</v>
      </c>
      <c r="WK4">
        <v>269231</v>
      </c>
      <c r="WL4" t="s">
        <v>60798</v>
      </c>
      <c r="WM4">
        <v>271969</v>
      </c>
      <c r="WN4" t="s">
        <v>60799</v>
      </c>
      <c r="WO4">
        <v>273000</v>
      </c>
      <c r="WP4" t="s">
        <v>60800</v>
      </c>
      <c r="WQ4">
        <v>273005</v>
      </c>
      <c r="WR4" t="s">
        <v>60801</v>
      </c>
      <c r="WS4">
        <v>274810</v>
      </c>
      <c r="WT4" t="s">
        <v>60802</v>
      </c>
      <c r="WU4">
        <v>274832</v>
      </c>
      <c r="WV4" t="s">
        <v>60803</v>
      </c>
      <c r="WW4">
        <v>274838</v>
      </c>
      <c r="WX4" t="s">
        <v>60804</v>
      </c>
      <c r="WY4">
        <v>274845</v>
      </c>
      <c r="WZ4" t="s">
        <v>60805</v>
      </c>
      <c r="XA4">
        <v>274851</v>
      </c>
      <c r="XB4" t="s">
        <v>60806</v>
      </c>
      <c r="XC4">
        <v>274954</v>
      </c>
      <c r="XD4" t="s">
        <v>60807</v>
      </c>
      <c r="XE4">
        <v>274963</v>
      </c>
      <c r="XF4" t="s">
        <v>60808</v>
      </c>
      <c r="XG4">
        <v>276887</v>
      </c>
      <c r="XH4" t="s">
        <v>60809</v>
      </c>
      <c r="XI4">
        <v>277335</v>
      </c>
      <c r="XJ4" t="s">
        <v>60810</v>
      </c>
      <c r="XK4">
        <v>277388</v>
      </c>
      <c r="XL4" t="s">
        <v>60811</v>
      </c>
      <c r="XM4">
        <v>277450</v>
      </c>
      <c r="XN4" t="s">
        <v>60812</v>
      </c>
      <c r="XO4">
        <v>278053</v>
      </c>
      <c r="XP4" t="s">
        <v>60813</v>
      </c>
      <c r="XQ4">
        <v>278681</v>
      </c>
      <c r="XR4" t="s">
        <v>60814</v>
      </c>
      <c r="XS4">
        <v>278697</v>
      </c>
      <c r="XT4" t="s">
        <v>60815</v>
      </c>
      <c r="XU4">
        <v>278701</v>
      </c>
      <c r="XV4" t="s">
        <v>60816</v>
      </c>
      <c r="XW4">
        <v>278721</v>
      </c>
      <c r="XX4" t="s">
        <v>60817</v>
      </c>
      <c r="XY4">
        <v>278735</v>
      </c>
      <c r="XZ4" t="s">
        <v>60818</v>
      </c>
      <c r="YA4">
        <v>278736</v>
      </c>
      <c r="YB4" t="s">
        <v>60819</v>
      </c>
      <c r="YC4">
        <v>280387</v>
      </c>
      <c r="YD4" t="s">
        <v>60820</v>
      </c>
      <c r="YE4">
        <v>281034</v>
      </c>
      <c r="YF4" t="s">
        <v>60821</v>
      </c>
      <c r="YG4">
        <v>281197</v>
      </c>
      <c r="YH4" t="s">
        <v>60822</v>
      </c>
      <c r="YI4">
        <v>281215</v>
      </c>
      <c r="YJ4" t="s">
        <v>60823</v>
      </c>
      <c r="YK4">
        <v>281262</v>
      </c>
      <c r="YL4" t="s">
        <v>60824</v>
      </c>
      <c r="YM4">
        <v>281271</v>
      </c>
      <c r="YN4" t="s">
        <v>60825</v>
      </c>
      <c r="YO4">
        <v>281311</v>
      </c>
      <c r="YP4" t="s">
        <v>60826</v>
      </c>
      <c r="YQ4">
        <v>281503</v>
      </c>
      <c r="YR4" t="s">
        <v>60827</v>
      </c>
      <c r="YS4">
        <v>281516</v>
      </c>
      <c r="YT4" t="s">
        <v>60828</v>
      </c>
      <c r="YU4">
        <v>281536</v>
      </c>
      <c r="YV4" t="s">
        <v>60829</v>
      </c>
      <c r="YW4">
        <v>281560</v>
      </c>
      <c r="YX4" t="s">
        <v>60830</v>
      </c>
      <c r="YY4">
        <v>281572</v>
      </c>
      <c r="ZA4" t="s">
        <v>60831</v>
      </c>
      <c r="ZB4">
        <v>281609</v>
      </c>
      <c r="ZC4" t="s">
        <v>60832</v>
      </c>
      <c r="ZD4">
        <v>281612</v>
      </c>
      <c r="ZE4" t="s">
        <v>60833</v>
      </c>
      <c r="ZF4">
        <v>281632</v>
      </c>
      <c r="ZG4" t="s">
        <v>60834</v>
      </c>
      <c r="ZH4">
        <v>282174</v>
      </c>
      <c r="ZI4" t="s">
        <v>60835</v>
      </c>
      <c r="ZJ4">
        <v>282307</v>
      </c>
      <c r="ZK4" t="s">
        <v>60836</v>
      </c>
      <c r="ZL4">
        <v>282993</v>
      </c>
      <c r="ZM4" t="s">
        <v>60837</v>
      </c>
      <c r="ZN4">
        <v>283317</v>
      </c>
      <c r="ZO4" t="s">
        <v>60838</v>
      </c>
      <c r="ZP4">
        <v>283347</v>
      </c>
      <c r="ZQ4" t="s">
        <v>60839</v>
      </c>
      <c r="ZR4">
        <v>283356</v>
      </c>
      <c r="ZS4" t="s">
        <v>60840</v>
      </c>
      <c r="ZT4">
        <v>283357</v>
      </c>
      <c r="ZU4" t="s">
        <v>60841</v>
      </c>
      <c r="ZV4">
        <v>283367</v>
      </c>
      <c r="ZW4" t="s">
        <v>60842</v>
      </c>
      <c r="ZX4">
        <v>283374</v>
      </c>
      <c r="ZY4" t="s">
        <v>60843</v>
      </c>
      <c r="ZZ4">
        <v>283390</v>
      </c>
      <c r="AAA4" t="s">
        <v>60844</v>
      </c>
      <c r="AAB4">
        <v>283407</v>
      </c>
      <c r="AAC4" t="s">
        <v>60845</v>
      </c>
      <c r="AAD4">
        <v>283408</v>
      </c>
      <c r="AAE4" t="s">
        <v>60846</v>
      </c>
      <c r="AAF4">
        <v>283413</v>
      </c>
      <c r="AAG4" t="s">
        <v>60847</v>
      </c>
      <c r="AAH4">
        <v>283417</v>
      </c>
      <c r="AAI4" t="s">
        <v>60848</v>
      </c>
      <c r="AAJ4">
        <v>283470</v>
      </c>
      <c r="AAK4" t="s">
        <v>60849</v>
      </c>
      <c r="AAL4">
        <v>283477</v>
      </c>
      <c r="AAM4" t="s">
        <v>60850</v>
      </c>
      <c r="AAN4">
        <v>283524</v>
      </c>
      <c r="AAO4" t="s">
        <v>60851</v>
      </c>
      <c r="AAP4">
        <v>283537</v>
      </c>
      <c r="AAQ4" t="s">
        <v>60852</v>
      </c>
      <c r="AAR4">
        <v>283549</v>
      </c>
      <c r="AAS4" t="s">
        <v>60853</v>
      </c>
      <c r="AAT4">
        <v>283795</v>
      </c>
      <c r="AAU4" t="s">
        <v>60854</v>
      </c>
      <c r="AAV4">
        <v>284378</v>
      </c>
      <c r="AAW4" t="s">
        <v>60855</v>
      </c>
      <c r="AAX4">
        <v>285295</v>
      </c>
      <c r="AAY4" t="s">
        <v>60856</v>
      </c>
      <c r="AAZ4">
        <v>285576</v>
      </c>
      <c r="ABA4" t="s">
        <v>60857</v>
      </c>
      <c r="ABB4">
        <v>285591</v>
      </c>
      <c r="ABC4" t="s">
        <v>60858</v>
      </c>
      <c r="ABD4">
        <v>285607</v>
      </c>
      <c r="ABE4" t="s">
        <v>60859</v>
      </c>
      <c r="ABF4">
        <v>285639</v>
      </c>
      <c r="ABG4" t="s">
        <v>60860</v>
      </c>
      <c r="ABH4">
        <v>285640</v>
      </c>
      <c r="ABI4" t="s">
        <v>60861</v>
      </c>
      <c r="ABJ4">
        <v>285672</v>
      </c>
      <c r="ABK4" t="s">
        <v>60862</v>
      </c>
      <c r="ABL4">
        <v>285686</v>
      </c>
      <c r="ABM4" t="s">
        <v>60863</v>
      </c>
      <c r="ABN4">
        <v>285710</v>
      </c>
      <c r="ABO4" t="s">
        <v>60864</v>
      </c>
      <c r="ABP4">
        <v>285723</v>
      </c>
      <c r="ABQ4" t="s">
        <v>60865</v>
      </c>
      <c r="ABR4">
        <v>286492</v>
      </c>
      <c r="ABS4" t="s">
        <v>60866</v>
      </c>
      <c r="ABT4">
        <v>286632</v>
      </c>
      <c r="ABU4" t="s">
        <v>60867</v>
      </c>
      <c r="ABV4">
        <v>287011</v>
      </c>
      <c r="ABW4" t="s">
        <v>60868</v>
      </c>
      <c r="ABX4">
        <v>287096</v>
      </c>
      <c r="ABY4" t="s">
        <v>60869</v>
      </c>
      <c r="ABZ4">
        <v>287104</v>
      </c>
      <c r="ACA4" t="s">
        <v>60870</v>
      </c>
      <c r="ACB4">
        <v>287111</v>
      </c>
      <c r="ACC4" t="s">
        <v>60871</v>
      </c>
      <c r="ACD4">
        <v>287148</v>
      </c>
      <c r="ACE4" t="s">
        <v>60872</v>
      </c>
      <c r="ACF4">
        <v>287169</v>
      </c>
      <c r="ACG4" t="s">
        <v>60873</v>
      </c>
      <c r="ACH4">
        <v>287246</v>
      </c>
      <c r="ACI4" t="s">
        <v>60874</v>
      </c>
      <c r="ACJ4">
        <v>287253</v>
      </c>
      <c r="ACK4" t="s">
        <v>60875</v>
      </c>
      <c r="ACL4">
        <v>287260</v>
      </c>
      <c r="ACM4" t="s">
        <v>60876</v>
      </c>
      <c r="ACN4">
        <v>287275</v>
      </c>
      <c r="ACO4" t="s">
        <v>60877</v>
      </c>
      <c r="ACP4">
        <v>287542</v>
      </c>
      <c r="ACQ4" t="s">
        <v>60878</v>
      </c>
      <c r="ACR4">
        <v>287773</v>
      </c>
      <c r="ACS4" t="s">
        <v>60879</v>
      </c>
      <c r="ACT4">
        <v>287783</v>
      </c>
      <c r="ACU4" t="s">
        <v>60880</v>
      </c>
      <c r="ACV4">
        <v>287991</v>
      </c>
      <c r="ACW4" t="s">
        <v>60881</v>
      </c>
      <c r="ACX4">
        <v>288077</v>
      </c>
      <c r="ACY4" t="s">
        <v>60882</v>
      </c>
      <c r="ACZ4">
        <v>290493</v>
      </c>
      <c r="ADA4" t="s">
        <v>60883</v>
      </c>
      <c r="ADB4">
        <v>290597</v>
      </c>
      <c r="ADC4" t="s">
        <v>60884</v>
      </c>
      <c r="ADD4">
        <v>290615</v>
      </c>
      <c r="ADE4" t="s">
        <v>60885</v>
      </c>
      <c r="ADF4">
        <v>290641</v>
      </c>
      <c r="ADG4" t="s">
        <v>60886</v>
      </c>
      <c r="ADH4">
        <v>290652</v>
      </c>
      <c r="ADI4" t="s">
        <v>60887</v>
      </c>
      <c r="ADJ4">
        <v>290697</v>
      </c>
      <c r="ADK4" t="s">
        <v>60888</v>
      </c>
      <c r="ADL4">
        <v>290791</v>
      </c>
      <c r="ADM4" t="s">
        <v>60889</v>
      </c>
      <c r="ADN4">
        <v>291813</v>
      </c>
      <c r="ADO4" t="s">
        <v>60890</v>
      </c>
      <c r="ADP4">
        <v>291836</v>
      </c>
      <c r="ADQ4" t="s">
        <v>60891</v>
      </c>
      <c r="ADR4">
        <v>293267</v>
      </c>
      <c r="ADS4" t="s">
        <v>60892</v>
      </c>
      <c r="ADT4">
        <v>293294</v>
      </c>
      <c r="ADU4" t="s">
        <v>60893</v>
      </c>
      <c r="ADV4">
        <v>293304</v>
      </c>
      <c r="ADW4" t="s">
        <v>60894</v>
      </c>
      <c r="ADX4">
        <v>293331</v>
      </c>
      <c r="ADY4" t="s">
        <v>60895</v>
      </c>
      <c r="ADZ4">
        <v>293381</v>
      </c>
      <c r="AEA4" t="s">
        <v>60896</v>
      </c>
      <c r="AEB4">
        <v>293404</v>
      </c>
      <c r="AEC4" t="s">
        <v>60897</v>
      </c>
      <c r="AED4">
        <v>293466</v>
      </c>
      <c r="AEE4" t="s">
        <v>60898</v>
      </c>
      <c r="AEF4">
        <v>293477</v>
      </c>
      <c r="AEG4" t="s">
        <v>60899</v>
      </c>
      <c r="AEH4">
        <v>293574</v>
      </c>
      <c r="AEI4" t="s">
        <v>60900</v>
      </c>
      <c r="AEJ4">
        <v>293678</v>
      </c>
      <c r="AEL4" t="s">
        <v>60901</v>
      </c>
      <c r="AEM4">
        <v>293901</v>
      </c>
      <c r="AEN4" t="s">
        <v>60902</v>
      </c>
      <c r="AEO4">
        <v>293911</v>
      </c>
      <c r="AEP4" t="s">
        <v>60903</v>
      </c>
      <c r="AEQ4">
        <v>293924</v>
      </c>
      <c r="AER4" t="s">
        <v>60904</v>
      </c>
      <c r="AES4">
        <v>293942</v>
      </c>
      <c r="AET4" t="s">
        <v>60905</v>
      </c>
      <c r="AEU4">
        <v>294255</v>
      </c>
      <c r="AEV4" t="s">
        <v>60906</v>
      </c>
      <c r="AEW4">
        <v>294257</v>
      </c>
      <c r="AEX4" t="s">
        <v>60907</v>
      </c>
      <c r="AEY4">
        <v>294287</v>
      </c>
      <c r="AEZ4" t="s">
        <v>60908</v>
      </c>
      <c r="AFA4">
        <v>294294</v>
      </c>
      <c r="AFB4" t="s">
        <v>60909</v>
      </c>
      <c r="AFC4">
        <v>294396</v>
      </c>
      <c r="AFD4" t="s">
        <v>60910</v>
      </c>
      <c r="AFE4">
        <v>294402</v>
      </c>
      <c r="AFF4" t="s">
        <v>60911</v>
      </c>
      <c r="AFG4">
        <v>294420</v>
      </c>
      <c r="AFH4" t="s">
        <v>60912</v>
      </c>
      <c r="AFI4">
        <v>294444</v>
      </c>
      <c r="AFJ4" t="s">
        <v>60913</v>
      </c>
      <c r="AFK4">
        <v>294463</v>
      </c>
      <c r="AFL4" t="s">
        <v>60914</v>
      </c>
      <c r="AFM4">
        <v>294481</v>
      </c>
      <c r="AFN4" t="s">
        <v>60915</v>
      </c>
      <c r="AFO4">
        <v>294509</v>
      </c>
      <c r="AFP4" t="s">
        <v>60916</v>
      </c>
      <c r="AFQ4">
        <v>294511</v>
      </c>
      <c r="AFR4" t="s">
        <v>60917</v>
      </c>
      <c r="AFS4">
        <v>294517</v>
      </c>
      <c r="AFT4" t="s">
        <v>60918</v>
      </c>
      <c r="AFU4">
        <v>294544</v>
      </c>
      <c r="AFV4" t="s">
        <v>60919</v>
      </c>
      <c r="AFW4">
        <v>294570</v>
      </c>
      <c r="AFX4" t="s">
        <v>60920</v>
      </c>
      <c r="AFY4">
        <v>294585</v>
      </c>
      <c r="AFZ4" t="s">
        <v>60921</v>
      </c>
      <c r="AGA4">
        <v>294672</v>
      </c>
      <c r="AGB4" t="s">
        <v>60922</v>
      </c>
      <c r="AGC4">
        <v>294676</v>
      </c>
      <c r="AGD4" t="s">
        <v>60923</v>
      </c>
      <c r="AGE4">
        <v>294691</v>
      </c>
      <c r="AGF4" t="s">
        <v>60924</v>
      </c>
      <c r="AGG4">
        <v>294699</v>
      </c>
      <c r="AGH4" t="s">
        <v>60925</v>
      </c>
      <c r="AGI4">
        <v>294719</v>
      </c>
      <c r="AGJ4" t="s">
        <v>60926</v>
      </c>
      <c r="AGK4">
        <v>294744</v>
      </c>
      <c r="AGL4" t="s">
        <v>60927</v>
      </c>
      <c r="AGM4">
        <v>294756</v>
      </c>
      <c r="AGN4" t="s">
        <v>60928</v>
      </c>
      <c r="AGO4">
        <v>294777</v>
      </c>
      <c r="AGP4" t="s">
        <v>60929</v>
      </c>
      <c r="AGQ4">
        <v>295316</v>
      </c>
      <c r="AGR4" t="s">
        <v>60930</v>
      </c>
      <c r="AGS4">
        <v>295481</v>
      </c>
      <c r="AGT4" t="s">
        <v>60931</v>
      </c>
      <c r="AGU4">
        <v>296433</v>
      </c>
      <c r="AGV4" t="s">
        <v>60932</v>
      </c>
      <c r="AGW4">
        <v>298863</v>
      </c>
      <c r="AGX4" t="s">
        <v>60933</v>
      </c>
      <c r="AGY4">
        <v>301604</v>
      </c>
      <c r="AGZ4" t="s">
        <v>60934</v>
      </c>
      <c r="AHA4">
        <v>306697</v>
      </c>
      <c r="AHB4" t="s">
        <v>60935</v>
      </c>
      <c r="AHC4">
        <v>311078</v>
      </c>
      <c r="AHD4" t="s">
        <v>60936</v>
      </c>
      <c r="AHE4">
        <v>311126</v>
      </c>
      <c r="AHF4" t="s">
        <v>60937</v>
      </c>
      <c r="AHG4">
        <v>311127</v>
      </c>
      <c r="AHH4" t="s">
        <v>60938</v>
      </c>
      <c r="AHI4">
        <v>311184</v>
      </c>
      <c r="AHJ4" t="s">
        <v>60939</v>
      </c>
      <c r="AHK4">
        <v>311274</v>
      </c>
      <c r="AHL4" t="s">
        <v>60940</v>
      </c>
      <c r="AHM4">
        <v>311290</v>
      </c>
      <c r="AHN4" t="s">
        <v>60941</v>
      </c>
      <c r="AHO4">
        <v>315687</v>
      </c>
      <c r="AHP4" t="s">
        <v>60942</v>
      </c>
      <c r="AHQ4">
        <v>315721</v>
      </c>
      <c r="AHR4" t="s">
        <v>60943</v>
      </c>
      <c r="AHS4">
        <v>315743</v>
      </c>
      <c r="AHT4" t="s">
        <v>60944</v>
      </c>
      <c r="AHU4">
        <v>315764</v>
      </c>
      <c r="AHV4" t="s">
        <v>60945</v>
      </c>
      <c r="AHW4">
        <v>315843</v>
      </c>
      <c r="AHX4" t="s">
        <v>60946</v>
      </c>
      <c r="AHY4">
        <v>315960</v>
      </c>
      <c r="AHZ4" t="s">
        <v>60947</v>
      </c>
      <c r="AIA4">
        <v>320518</v>
      </c>
      <c r="AIB4" t="s">
        <v>60948</v>
      </c>
      <c r="AIC4">
        <v>321000</v>
      </c>
      <c r="AID4" t="s">
        <v>60949</v>
      </c>
      <c r="AIE4">
        <v>321024</v>
      </c>
      <c r="AIF4" t="s">
        <v>60950</v>
      </c>
      <c r="AIG4">
        <v>321025</v>
      </c>
      <c r="AIH4" t="s">
        <v>60951</v>
      </c>
      <c r="AII4">
        <v>321041</v>
      </c>
      <c r="AIJ4" t="s">
        <v>60952</v>
      </c>
      <c r="AIK4">
        <v>321104</v>
      </c>
      <c r="AIL4" t="s">
        <v>60953</v>
      </c>
      <c r="AIM4">
        <v>322684</v>
      </c>
      <c r="AIN4" t="s">
        <v>60954</v>
      </c>
      <c r="AIO4">
        <v>322700</v>
      </c>
      <c r="AIP4" t="s">
        <v>60955</v>
      </c>
      <c r="AIQ4">
        <v>322714</v>
      </c>
      <c r="AIR4" t="s">
        <v>60956</v>
      </c>
      <c r="AIS4">
        <v>322727</v>
      </c>
      <c r="AIT4" t="s">
        <v>60957</v>
      </c>
      <c r="AIU4">
        <v>322733</v>
      </c>
      <c r="AIV4" t="s">
        <v>60958</v>
      </c>
      <c r="AIW4">
        <v>322861</v>
      </c>
      <c r="AIX4" t="s">
        <v>60959</v>
      </c>
      <c r="AIY4">
        <v>322867</v>
      </c>
      <c r="AIZ4" t="s">
        <v>60960</v>
      </c>
      <c r="AJA4">
        <v>322944</v>
      </c>
      <c r="AJB4" t="s">
        <v>60961</v>
      </c>
      <c r="AJC4">
        <v>323129</v>
      </c>
      <c r="AJD4" t="s">
        <v>60962</v>
      </c>
      <c r="AJE4">
        <v>323187</v>
      </c>
      <c r="AJF4" t="s">
        <v>60963</v>
      </c>
      <c r="AJG4">
        <v>323207</v>
      </c>
      <c r="AJH4" t="s">
        <v>60964</v>
      </c>
      <c r="AJI4">
        <v>323217</v>
      </c>
      <c r="AJJ4" t="s">
        <v>60965</v>
      </c>
      <c r="AJK4">
        <v>323242</v>
      </c>
      <c r="AJL4" t="s">
        <v>60966</v>
      </c>
      <c r="AJM4">
        <v>323263</v>
      </c>
      <c r="AJN4" t="s">
        <v>60967</v>
      </c>
      <c r="AJO4">
        <v>323274</v>
      </c>
      <c r="AJP4" t="s">
        <v>60968</v>
      </c>
      <c r="AJQ4">
        <v>323275</v>
      </c>
      <c r="AJR4" t="s">
        <v>60969</v>
      </c>
      <c r="AJS4">
        <v>323305</v>
      </c>
      <c r="AJT4" t="s">
        <v>60970</v>
      </c>
      <c r="AJU4">
        <v>323325</v>
      </c>
      <c r="AJV4" t="s">
        <v>60971</v>
      </c>
      <c r="AJW4">
        <v>323335</v>
      </c>
      <c r="AJX4" t="s">
        <v>60972</v>
      </c>
      <c r="AJY4">
        <v>323493</v>
      </c>
      <c r="AJZ4" t="s">
        <v>60973</v>
      </c>
      <c r="AKA4">
        <v>323532</v>
      </c>
      <c r="AKB4" t="s">
        <v>60974</v>
      </c>
      <c r="AKC4">
        <v>323539</v>
      </c>
      <c r="AKD4" t="s">
        <v>60975</v>
      </c>
      <c r="AKE4">
        <v>323551</v>
      </c>
      <c r="AKF4" t="s">
        <v>60976</v>
      </c>
      <c r="AKG4">
        <v>323564</v>
      </c>
      <c r="AKH4" t="s">
        <v>60977</v>
      </c>
      <c r="AKI4">
        <v>323577</v>
      </c>
      <c r="AKJ4" t="s">
        <v>60978</v>
      </c>
      <c r="AKK4">
        <v>323608</v>
      </c>
      <c r="AKM4" t="s">
        <v>60979</v>
      </c>
      <c r="AKN4">
        <v>325589</v>
      </c>
      <c r="AKO4" t="s">
        <v>60980</v>
      </c>
      <c r="AKP4">
        <v>325618</v>
      </c>
      <c r="AKQ4" t="s">
        <v>60981</v>
      </c>
      <c r="AKR4">
        <v>325898</v>
      </c>
      <c r="AKS4" t="s">
        <v>60982</v>
      </c>
      <c r="AKT4">
        <v>325909</v>
      </c>
      <c r="AKU4" t="s">
        <v>60983</v>
      </c>
      <c r="AKV4">
        <v>325922</v>
      </c>
      <c r="AKW4" t="s">
        <v>60984</v>
      </c>
      <c r="AKX4">
        <v>325985</v>
      </c>
      <c r="AKY4" t="s">
        <v>60985</v>
      </c>
      <c r="AKZ4">
        <v>325991</v>
      </c>
      <c r="ALA4" t="s">
        <v>60986</v>
      </c>
      <c r="ALB4">
        <v>326002</v>
      </c>
      <c r="ALC4" t="s">
        <v>60987</v>
      </c>
      <c r="ALD4">
        <v>326008</v>
      </c>
      <c r="ALE4" t="s">
        <v>60988</v>
      </c>
      <c r="ALF4">
        <v>326013</v>
      </c>
      <c r="ALG4" t="s">
        <v>60989</v>
      </c>
      <c r="ALH4">
        <v>326015</v>
      </c>
      <c r="ALI4" t="s">
        <v>60990</v>
      </c>
      <c r="ALJ4">
        <v>326021</v>
      </c>
      <c r="ALK4" t="s">
        <v>60991</v>
      </c>
      <c r="ALL4">
        <v>326036</v>
      </c>
      <c r="ALM4" t="s">
        <v>60992</v>
      </c>
      <c r="ALN4">
        <v>326063</v>
      </c>
      <c r="ALO4" t="s">
        <v>60993</v>
      </c>
      <c r="ALP4">
        <v>326074</v>
      </c>
      <c r="ALQ4" t="s">
        <v>60994</v>
      </c>
      <c r="ALR4">
        <v>326129</v>
      </c>
      <c r="ALS4" t="s">
        <v>60995</v>
      </c>
      <c r="ALT4">
        <v>326204</v>
      </c>
      <c r="ALU4" t="s">
        <v>60996</v>
      </c>
      <c r="ALV4">
        <v>326210</v>
      </c>
      <c r="ALW4" t="s">
        <v>60997</v>
      </c>
      <c r="ALX4">
        <v>326236</v>
      </c>
      <c r="ALY4" t="s">
        <v>60998</v>
      </c>
      <c r="ALZ4">
        <v>326255</v>
      </c>
      <c r="AMA4" t="s">
        <v>60999</v>
      </c>
      <c r="AMB4">
        <v>326260</v>
      </c>
      <c r="AMC4" t="s">
        <v>61000</v>
      </c>
      <c r="AMD4">
        <v>326281</v>
      </c>
      <c r="AME4" t="s">
        <v>61001</v>
      </c>
      <c r="AMF4">
        <v>326302</v>
      </c>
      <c r="AMG4" t="s">
        <v>61002</v>
      </c>
      <c r="AMH4">
        <v>326335</v>
      </c>
      <c r="AMI4" t="s">
        <v>61003</v>
      </c>
      <c r="AMJ4">
        <v>326339</v>
      </c>
      <c r="AMK4" t="s">
        <v>61004</v>
      </c>
      <c r="AML4">
        <v>326368</v>
      </c>
      <c r="AMN4" t="s">
        <v>61005</v>
      </c>
      <c r="AMO4">
        <v>326400</v>
      </c>
      <c r="AMP4" t="s">
        <v>61006</v>
      </c>
      <c r="AMQ4">
        <v>326403</v>
      </c>
      <c r="AMR4" t="s">
        <v>61007</v>
      </c>
      <c r="AMS4">
        <v>326447</v>
      </c>
      <c r="AMT4" t="s">
        <v>61008</v>
      </c>
      <c r="AMU4">
        <v>326477</v>
      </c>
      <c r="AMV4" t="s">
        <v>61009</v>
      </c>
      <c r="AMW4">
        <v>326543</v>
      </c>
      <c r="AMX4" t="s">
        <v>61010</v>
      </c>
      <c r="AMY4">
        <v>326570</v>
      </c>
      <c r="AMZ4" t="s">
        <v>61011</v>
      </c>
      <c r="ANA4">
        <v>326635</v>
      </c>
      <c r="ANB4" t="s">
        <v>61012</v>
      </c>
      <c r="ANC4">
        <v>326643</v>
      </c>
      <c r="AND4" t="s">
        <v>61013</v>
      </c>
      <c r="ANE4">
        <v>328004</v>
      </c>
      <c r="ANF4" t="s">
        <v>61014</v>
      </c>
      <c r="ANG4">
        <v>328043</v>
      </c>
      <c r="ANH4" t="s">
        <v>61015</v>
      </c>
      <c r="ANI4">
        <v>328068</v>
      </c>
      <c r="ANJ4" t="s">
        <v>61016</v>
      </c>
      <c r="ANK4">
        <v>328196</v>
      </c>
      <c r="ANL4" t="s">
        <v>61017</v>
      </c>
      <c r="ANM4">
        <v>328198</v>
      </c>
      <c r="ANN4" t="s">
        <v>61018</v>
      </c>
      <c r="ANO4">
        <v>328199</v>
      </c>
      <c r="ANP4" t="s">
        <v>61019</v>
      </c>
      <c r="ANQ4">
        <v>328207</v>
      </c>
      <c r="ANR4" t="s">
        <v>61020</v>
      </c>
      <c r="ANS4">
        <v>328242</v>
      </c>
      <c r="ANT4" t="s">
        <v>61021</v>
      </c>
      <c r="ANU4">
        <v>328257</v>
      </c>
      <c r="ANV4" t="s">
        <v>61022</v>
      </c>
      <c r="ANW4">
        <v>328308</v>
      </c>
      <c r="ANY4" t="s">
        <v>61023</v>
      </c>
      <c r="ANZ4">
        <v>328318</v>
      </c>
      <c r="AOA4" t="s">
        <v>61024</v>
      </c>
      <c r="AOB4">
        <v>328350</v>
      </c>
      <c r="AOC4" t="s">
        <v>61025</v>
      </c>
      <c r="AOD4">
        <v>328445</v>
      </c>
      <c r="AOE4" t="s">
        <v>61026</v>
      </c>
      <c r="AOF4">
        <v>328463</v>
      </c>
      <c r="AOG4" t="s">
        <v>61027</v>
      </c>
      <c r="AOH4">
        <v>328491</v>
      </c>
      <c r="AOI4" t="s">
        <v>61028</v>
      </c>
      <c r="AOJ4">
        <v>328496</v>
      </c>
      <c r="AOK4" t="s">
        <v>61029</v>
      </c>
      <c r="AOL4">
        <v>328521</v>
      </c>
      <c r="AOM4" t="s">
        <v>61030</v>
      </c>
      <c r="AON4">
        <v>328540</v>
      </c>
      <c r="AOO4" t="s">
        <v>61031</v>
      </c>
      <c r="AOP4">
        <v>328548</v>
      </c>
      <c r="AOQ4" t="s">
        <v>61032</v>
      </c>
      <c r="AOR4">
        <v>328559</v>
      </c>
      <c r="AOS4" t="s">
        <v>61033</v>
      </c>
      <c r="AOT4">
        <v>328691</v>
      </c>
      <c r="AOU4" t="s">
        <v>61034</v>
      </c>
      <c r="AOV4">
        <v>328697</v>
      </c>
      <c r="AOW4" t="s">
        <v>61035</v>
      </c>
      <c r="AOX4">
        <v>328710</v>
      </c>
      <c r="AOY4" t="s">
        <v>61036</v>
      </c>
      <c r="AOZ4">
        <v>328876</v>
      </c>
      <c r="APA4" t="s">
        <v>61037</v>
      </c>
      <c r="APB4">
        <v>328981</v>
      </c>
      <c r="APC4" t="s">
        <v>61038</v>
      </c>
      <c r="APD4">
        <v>329010</v>
      </c>
      <c r="APE4" t="s">
        <v>61039</v>
      </c>
      <c r="APF4">
        <v>329037</v>
      </c>
      <c r="APG4" t="s">
        <v>61040</v>
      </c>
      <c r="APH4">
        <v>329046</v>
      </c>
      <c r="API4" t="s">
        <v>61041</v>
      </c>
      <c r="APJ4">
        <v>329055</v>
      </c>
      <c r="APK4" t="s">
        <v>61042</v>
      </c>
      <c r="APL4">
        <v>329068</v>
      </c>
      <c r="APM4" t="s">
        <v>61043</v>
      </c>
      <c r="APN4">
        <v>329086</v>
      </c>
      <c r="APO4" t="s">
        <v>61044</v>
      </c>
      <c r="APP4">
        <v>329113</v>
      </c>
      <c r="APQ4" t="s">
        <v>61045</v>
      </c>
      <c r="APR4">
        <v>329271</v>
      </c>
      <c r="APS4" t="s">
        <v>61046</v>
      </c>
      <c r="APT4">
        <v>329309</v>
      </c>
      <c r="APU4" t="s">
        <v>61047</v>
      </c>
      <c r="APV4">
        <v>329331</v>
      </c>
      <c r="APX4" t="s">
        <v>61048</v>
      </c>
      <c r="APY4">
        <v>329901</v>
      </c>
      <c r="APZ4" t="s">
        <v>61049</v>
      </c>
      <c r="AQA4">
        <v>329910</v>
      </c>
      <c r="AQB4" t="s">
        <v>61050</v>
      </c>
      <c r="AQC4">
        <v>329937</v>
      </c>
      <c r="AQE4" t="s">
        <v>61051</v>
      </c>
      <c r="AQF4">
        <v>330138</v>
      </c>
      <c r="AQG4" t="s">
        <v>61052</v>
      </c>
      <c r="AQH4">
        <v>330472</v>
      </c>
      <c r="AQI4" t="s">
        <v>61053</v>
      </c>
      <c r="AQJ4">
        <v>330683</v>
      </c>
      <c r="AQK4" t="s">
        <v>61054</v>
      </c>
      <c r="AQL4">
        <v>330709</v>
      </c>
      <c r="AQM4" t="s">
        <v>61055</v>
      </c>
      <c r="AQN4">
        <v>330717</v>
      </c>
      <c r="AQO4" t="s">
        <v>61056</v>
      </c>
      <c r="AQP4">
        <v>330727</v>
      </c>
      <c r="AQQ4" t="s">
        <v>61057</v>
      </c>
      <c r="AQR4">
        <v>330735</v>
      </c>
      <c r="AQS4" t="s">
        <v>61058</v>
      </c>
      <c r="AQT4">
        <v>331168</v>
      </c>
      <c r="AQU4" t="s">
        <v>61059</v>
      </c>
      <c r="AQV4">
        <v>331175</v>
      </c>
      <c r="AQW4" t="s">
        <v>61060</v>
      </c>
      <c r="AQX4">
        <v>331423</v>
      </c>
      <c r="AQY4" t="s">
        <v>61061</v>
      </c>
      <c r="AQZ4">
        <v>331436</v>
      </c>
      <c r="ARA4" t="s">
        <v>61062</v>
      </c>
      <c r="ARB4">
        <v>331458</v>
      </c>
      <c r="ARC4" t="s">
        <v>61063</v>
      </c>
      <c r="ARD4">
        <v>331476</v>
      </c>
      <c r="ARE4" t="s">
        <v>61064</v>
      </c>
      <c r="ARF4">
        <v>331482</v>
      </c>
      <c r="ARG4" t="s">
        <v>61065</v>
      </c>
      <c r="ARH4">
        <v>331497</v>
      </c>
      <c r="ARI4" t="s">
        <v>61066</v>
      </c>
      <c r="ARJ4">
        <v>331508</v>
      </c>
      <c r="ARK4" t="s">
        <v>61067</v>
      </c>
      <c r="ARL4">
        <v>331512</v>
      </c>
      <c r="ARM4" t="s">
        <v>61068</v>
      </c>
      <c r="ARN4">
        <v>331534</v>
      </c>
      <c r="ARO4" t="s">
        <v>61069</v>
      </c>
      <c r="ARP4">
        <v>331541</v>
      </c>
      <c r="ARQ4" t="s">
        <v>61070</v>
      </c>
      <c r="ARR4">
        <v>331553</v>
      </c>
      <c r="ARS4" t="s">
        <v>61071</v>
      </c>
      <c r="ART4">
        <v>331566</v>
      </c>
      <c r="ARU4" t="s">
        <v>61072</v>
      </c>
      <c r="ARV4">
        <v>331576</v>
      </c>
      <c r="ARW4" t="s">
        <v>61073</v>
      </c>
      <c r="ARX4">
        <v>331577</v>
      </c>
      <c r="ARY4" t="s">
        <v>61074</v>
      </c>
      <c r="ARZ4">
        <v>331599</v>
      </c>
      <c r="ASA4" t="s">
        <v>61075</v>
      </c>
      <c r="ASB4">
        <v>331611</v>
      </c>
      <c r="ASD4" t="s">
        <v>61076</v>
      </c>
      <c r="ASE4">
        <v>331663</v>
      </c>
      <c r="ASF4" t="s">
        <v>61077</v>
      </c>
      <c r="ASG4">
        <v>331992</v>
      </c>
      <c r="ASI4" t="s">
        <v>61078</v>
      </c>
      <c r="ASJ4">
        <v>332026</v>
      </c>
      <c r="ASK4" t="s">
        <v>61079</v>
      </c>
      <c r="ASL4">
        <v>332126</v>
      </c>
      <c r="ASM4" t="s">
        <v>61080</v>
      </c>
      <c r="ASN4">
        <v>332224</v>
      </c>
      <c r="ASO4" t="s">
        <v>61081</v>
      </c>
      <c r="ASP4">
        <v>332455</v>
      </c>
      <c r="ASQ4" t="s">
        <v>61082</v>
      </c>
      <c r="ASR4">
        <v>332584</v>
      </c>
      <c r="ASS4" t="s">
        <v>61083</v>
      </c>
      <c r="AST4">
        <v>336016</v>
      </c>
      <c r="ASU4" t="s">
        <v>61084</v>
      </c>
      <c r="ASV4">
        <v>336880</v>
      </c>
      <c r="ASW4" t="s">
        <v>61085</v>
      </c>
      <c r="ASX4">
        <v>336984</v>
      </c>
      <c r="ASY4" t="s">
        <v>61086</v>
      </c>
      <c r="ASZ4">
        <v>337017</v>
      </c>
      <c r="ATA4" t="s">
        <v>61087</v>
      </c>
      <c r="ATB4">
        <v>337165</v>
      </c>
      <c r="ATC4" t="s">
        <v>61088</v>
      </c>
      <c r="ATD4">
        <v>337201</v>
      </c>
      <c r="ATE4" t="s">
        <v>61089</v>
      </c>
      <c r="ATF4">
        <v>337260</v>
      </c>
      <c r="ATG4" t="s">
        <v>61090</v>
      </c>
      <c r="ATH4">
        <v>337269</v>
      </c>
      <c r="ATI4" t="s">
        <v>61091</v>
      </c>
      <c r="ATJ4">
        <v>337316</v>
      </c>
      <c r="ATK4" t="s">
        <v>61092</v>
      </c>
      <c r="ATL4">
        <v>337331</v>
      </c>
      <c r="ATM4" t="s">
        <v>61093</v>
      </c>
      <c r="ATN4">
        <v>337356</v>
      </c>
      <c r="ATO4" t="s">
        <v>61094</v>
      </c>
      <c r="ATP4">
        <v>337405</v>
      </c>
      <c r="ATQ4" t="s">
        <v>61095</v>
      </c>
      <c r="ATR4">
        <v>338533</v>
      </c>
      <c r="ATS4" t="s">
        <v>61096</v>
      </c>
      <c r="ATT4">
        <v>338534</v>
      </c>
      <c r="ATU4" t="s">
        <v>61097</v>
      </c>
      <c r="ATV4">
        <v>338537</v>
      </c>
      <c r="ATW4" t="s">
        <v>61098</v>
      </c>
      <c r="ATX4">
        <v>338653</v>
      </c>
      <c r="ATY4" t="s">
        <v>61099</v>
      </c>
      <c r="ATZ4">
        <v>341391</v>
      </c>
      <c r="AUB4" t="s">
        <v>61100</v>
      </c>
      <c r="AUC4">
        <v>342728</v>
      </c>
      <c r="AUD4" t="s">
        <v>61101</v>
      </c>
      <c r="AUE4">
        <v>342733</v>
      </c>
      <c r="AUF4" t="s">
        <v>61102</v>
      </c>
      <c r="AUG4">
        <v>342754</v>
      </c>
      <c r="AUH4" t="s">
        <v>61103</v>
      </c>
      <c r="AUI4">
        <v>342763</v>
      </c>
      <c r="AUJ4" t="s">
        <v>61104</v>
      </c>
      <c r="AUK4">
        <v>342780</v>
      </c>
      <c r="AUL4" t="s">
        <v>61105</v>
      </c>
      <c r="AUM4">
        <v>342781</v>
      </c>
      <c r="AUN4" t="s">
        <v>61106</v>
      </c>
      <c r="AUO4">
        <v>342810</v>
      </c>
      <c r="AUP4" t="s">
        <v>61107</v>
      </c>
      <c r="AUQ4">
        <v>342851</v>
      </c>
      <c r="AUR4" t="s">
        <v>61108</v>
      </c>
      <c r="AUS4">
        <v>342880</v>
      </c>
      <c r="AUT4" t="s">
        <v>61109</v>
      </c>
      <c r="AUU4">
        <v>342895</v>
      </c>
      <c r="AUV4" t="s">
        <v>61110</v>
      </c>
      <c r="AUW4">
        <v>342933</v>
      </c>
      <c r="AUX4" t="s">
        <v>61111</v>
      </c>
      <c r="AUY4">
        <v>342997</v>
      </c>
      <c r="AUZ4" t="s">
        <v>61112</v>
      </c>
      <c r="AVA4">
        <v>343009</v>
      </c>
      <c r="AVB4" t="s">
        <v>61113</v>
      </c>
      <c r="AVC4">
        <v>343064</v>
      </c>
      <c r="AVD4" t="s">
        <v>61114</v>
      </c>
      <c r="AVE4">
        <v>343719</v>
      </c>
      <c r="AVF4" t="s">
        <v>61115</v>
      </c>
      <c r="AVG4">
        <v>343766</v>
      </c>
      <c r="AVH4" t="s">
        <v>61116</v>
      </c>
      <c r="AVI4">
        <v>343926</v>
      </c>
      <c r="AVJ4" t="s">
        <v>61117</v>
      </c>
      <c r="AVK4">
        <v>343936</v>
      </c>
      <c r="AVL4" t="s">
        <v>61118</v>
      </c>
      <c r="AVM4">
        <v>343938</v>
      </c>
      <c r="AVN4" t="s">
        <v>61119</v>
      </c>
      <c r="AVO4">
        <v>343979</v>
      </c>
      <c r="AVP4" t="s">
        <v>61120</v>
      </c>
      <c r="AVQ4">
        <v>344137</v>
      </c>
      <c r="AVR4" t="s">
        <v>61121</v>
      </c>
      <c r="AVS4">
        <v>344396</v>
      </c>
      <c r="AVT4" t="s">
        <v>61122</v>
      </c>
      <c r="AVU4">
        <v>344397</v>
      </c>
      <c r="AVV4" t="s">
        <v>61123</v>
      </c>
      <c r="AVW4">
        <v>344521</v>
      </c>
      <c r="AVX4" t="s">
        <v>61124</v>
      </c>
      <c r="AVY4">
        <v>344569</v>
      </c>
      <c r="AVZ4" t="s">
        <v>61125</v>
      </c>
      <c r="AWA4">
        <v>344663</v>
      </c>
      <c r="AWB4" t="s">
        <v>61126</v>
      </c>
      <c r="AWC4">
        <v>344688</v>
      </c>
      <c r="AWD4" t="s">
        <v>61127</v>
      </c>
      <c r="AWE4">
        <v>344790</v>
      </c>
      <c r="AWF4" t="s">
        <v>61128</v>
      </c>
      <c r="AWG4">
        <v>344977</v>
      </c>
      <c r="AWH4" t="s">
        <v>61129</v>
      </c>
      <c r="AWI4">
        <v>345153</v>
      </c>
      <c r="AWJ4" t="s">
        <v>61130</v>
      </c>
      <c r="AWK4">
        <v>345228</v>
      </c>
      <c r="AWL4" t="s">
        <v>61131</v>
      </c>
      <c r="AWM4">
        <v>345325</v>
      </c>
      <c r="AWN4" t="s">
        <v>61132</v>
      </c>
      <c r="AWO4">
        <v>345378</v>
      </c>
      <c r="AWP4" t="s">
        <v>61133</v>
      </c>
      <c r="AWQ4">
        <v>345478</v>
      </c>
      <c r="AWR4" t="s">
        <v>61134</v>
      </c>
      <c r="AWS4">
        <v>345756</v>
      </c>
      <c r="AWT4" t="s">
        <v>61135</v>
      </c>
      <c r="AWU4">
        <v>346204</v>
      </c>
      <c r="AWV4" t="s">
        <v>61136</v>
      </c>
      <c r="AWW4">
        <v>346249</v>
      </c>
      <c r="AWX4" t="s">
        <v>61137</v>
      </c>
      <c r="AWY4">
        <v>346256</v>
      </c>
      <c r="AWZ4" t="s">
        <v>61138</v>
      </c>
      <c r="AXA4">
        <v>346324</v>
      </c>
      <c r="AXB4" t="s">
        <v>61139</v>
      </c>
      <c r="AXC4">
        <v>346897</v>
      </c>
      <c r="AXD4" t="s">
        <v>61140</v>
      </c>
      <c r="AXE4">
        <v>346908</v>
      </c>
      <c r="AXF4" t="s">
        <v>61141</v>
      </c>
      <c r="AXG4">
        <v>346916</v>
      </c>
      <c r="AXH4" t="s">
        <v>61142</v>
      </c>
      <c r="AXI4">
        <v>346966</v>
      </c>
      <c r="AXJ4" t="s">
        <v>61143</v>
      </c>
      <c r="AXK4">
        <v>347019</v>
      </c>
      <c r="AXM4" t="s">
        <v>61144</v>
      </c>
      <c r="AXN4">
        <v>347578</v>
      </c>
      <c r="AXP4" t="s">
        <v>61145</v>
      </c>
      <c r="AXQ4">
        <v>348077</v>
      </c>
      <c r="AXR4" t="s">
        <v>61146</v>
      </c>
      <c r="AXS4">
        <v>348120</v>
      </c>
      <c r="AXT4" t="s">
        <v>61147</v>
      </c>
      <c r="AXU4">
        <v>348147</v>
      </c>
      <c r="AXV4" t="s">
        <v>61148</v>
      </c>
      <c r="AXW4">
        <v>348174</v>
      </c>
      <c r="AXX4" t="s">
        <v>61149</v>
      </c>
      <c r="AXY4">
        <v>348177</v>
      </c>
      <c r="AXZ4" t="s">
        <v>61150</v>
      </c>
      <c r="AYA4">
        <v>348178</v>
      </c>
      <c r="AYB4" t="s">
        <v>61151</v>
      </c>
      <c r="AYC4">
        <v>348344</v>
      </c>
      <c r="AYD4" t="s">
        <v>61152</v>
      </c>
      <c r="AYE4">
        <v>350615</v>
      </c>
      <c r="AYF4" t="s">
        <v>61153</v>
      </c>
      <c r="AYG4">
        <v>350624</v>
      </c>
      <c r="AYH4" t="s">
        <v>61154</v>
      </c>
      <c r="AYI4">
        <v>350641</v>
      </c>
      <c r="AYJ4" t="s">
        <v>61155</v>
      </c>
      <c r="AYK4">
        <v>350651</v>
      </c>
      <c r="AYL4" t="s">
        <v>61156</v>
      </c>
      <c r="AYM4">
        <v>350966</v>
      </c>
      <c r="AYN4" t="s">
        <v>61157</v>
      </c>
      <c r="AYO4">
        <v>351102</v>
      </c>
      <c r="AYP4" t="s">
        <v>61158</v>
      </c>
      <c r="AYQ4">
        <v>351244</v>
      </c>
      <c r="AYR4" t="s">
        <v>61159</v>
      </c>
      <c r="AYS4">
        <v>351267</v>
      </c>
      <c r="AYT4" t="s">
        <v>61160</v>
      </c>
      <c r="AYU4">
        <v>351348</v>
      </c>
      <c r="AYV4" t="s">
        <v>61161</v>
      </c>
      <c r="AYW4">
        <v>351455</v>
      </c>
      <c r="AYX4" t="s">
        <v>61162</v>
      </c>
      <c r="AYY4">
        <v>351513</v>
      </c>
      <c r="AYZ4" t="s">
        <v>61163</v>
      </c>
      <c r="AZA4">
        <v>351564</v>
      </c>
      <c r="AZB4" t="s">
        <v>61164</v>
      </c>
      <c r="AZC4">
        <v>351618</v>
      </c>
      <c r="AZD4" t="s">
        <v>61165</v>
      </c>
      <c r="AZE4">
        <v>351797</v>
      </c>
      <c r="AZF4" t="s">
        <v>61166</v>
      </c>
      <c r="AZG4">
        <v>351810</v>
      </c>
      <c r="AZH4" t="s">
        <v>61167</v>
      </c>
      <c r="AZI4">
        <v>351827</v>
      </c>
      <c r="AZJ4" t="s">
        <v>61168</v>
      </c>
      <c r="AZK4">
        <v>351837</v>
      </c>
      <c r="AZL4" t="s">
        <v>61169</v>
      </c>
      <c r="AZM4">
        <v>351986</v>
      </c>
      <c r="AZN4" t="s">
        <v>61170</v>
      </c>
      <c r="AZO4">
        <v>352008</v>
      </c>
      <c r="AZP4" t="s">
        <v>61171</v>
      </c>
      <c r="AZQ4">
        <v>352016</v>
      </c>
      <c r="AZR4" t="s">
        <v>61172</v>
      </c>
      <c r="AZS4">
        <v>352017</v>
      </c>
      <c r="AZT4" t="s">
        <v>61173</v>
      </c>
      <c r="AZU4">
        <v>352041</v>
      </c>
      <c r="AZV4" t="s">
        <v>61174</v>
      </c>
      <c r="AZW4">
        <v>352237</v>
      </c>
      <c r="AZX4" t="s">
        <v>61175</v>
      </c>
      <c r="AZY4">
        <v>352293</v>
      </c>
      <c r="AZZ4" t="s">
        <v>61176</v>
      </c>
      <c r="BAA4">
        <v>352382</v>
      </c>
      <c r="BAB4" t="s">
        <v>61177</v>
      </c>
      <c r="BAC4">
        <v>352446</v>
      </c>
      <c r="BAD4" t="s">
        <v>61178</v>
      </c>
      <c r="BAE4">
        <v>352453</v>
      </c>
      <c r="BAF4" t="s">
        <v>61179</v>
      </c>
      <c r="BAG4">
        <v>352477</v>
      </c>
      <c r="BAH4" t="s">
        <v>61180</v>
      </c>
      <c r="BAI4">
        <v>352562</v>
      </c>
      <c r="BAJ4" t="s">
        <v>61181</v>
      </c>
      <c r="BAK4">
        <v>352576</v>
      </c>
      <c r="BAL4" t="s">
        <v>61182</v>
      </c>
      <c r="BAM4">
        <v>352644</v>
      </c>
      <c r="BAN4" t="s">
        <v>61183</v>
      </c>
      <c r="BAO4">
        <v>352671</v>
      </c>
      <c r="BAP4" t="s">
        <v>61184</v>
      </c>
      <c r="BAQ4">
        <v>352734</v>
      </c>
      <c r="BAR4" t="s">
        <v>61185</v>
      </c>
      <c r="BAS4">
        <v>352755</v>
      </c>
      <c r="BAT4" t="s">
        <v>61186</v>
      </c>
      <c r="BAU4">
        <v>352828</v>
      </c>
      <c r="BAV4" t="s">
        <v>61187</v>
      </c>
      <c r="BAW4">
        <v>352867</v>
      </c>
      <c r="BAX4" t="s">
        <v>61188</v>
      </c>
      <c r="BAY4">
        <v>352880</v>
      </c>
      <c r="BAZ4" t="s">
        <v>61189</v>
      </c>
      <c r="BBA4">
        <v>352886</v>
      </c>
      <c r="BBB4" t="s">
        <v>61190</v>
      </c>
      <c r="BBC4">
        <v>352906</v>
      </c>
      <c r="BBD4" t="s">
        <v>61191</v>
      </c>
      <c r="BBE4">
        <v>352913</v>
      </c>
      <c r="BBF4" t="s">
        <v>61192</v>
      </c>
      <c r="BBG4">
        <v>352940</v>
      </c>
      <c r="BBH4" t="s">
        <v>61193</v>
      </c>
      <c r="BBI4">
        <v>353465</v>
      </c>
      <c r="BBJ4" t="s">
        <v>61194</v>
      </c>
      <c r="BBK4">
        <v>353679</v>
      </c>
      <c r="BBL4" t="s">
        <v>61195</v>
      </c>
      <c r="BBM4">
        <v>353703</v>
      </c>
      <c r="BBN4" t="s">
        <v>61196</v>
      </c>
      <c r="BBO4">
        <v>353712</v>
      </c>
      <c r="BBP4" t="s">
        <v>61197</v>
      </c>
      <c r="BBQ4">
        <v>353738</v>
      </c>
      <c r="BBR4" t="s">
        <v>61198</v>
      </c>
      <c r="BBS4">
        <v>353765</v>
      </c>
      <c r="BBT4" t="s">
        <v>61199</v>
      </c>
      <c r="BBU4">
        <v>353790</v>
      </c>
      <c r="BBV4" t="s">
        <v>61200</v>
      </c>
      <c r="BBW4">
        <v>353925</v>
      </c>
      <c r="BBX4" t="s">
        <v>61201</v>
      </c>
      <c r="BBY4">
        <v>353969</v>
      </c>
      <c r="BBZ4" t="s">
        <v>61202</v>
      </c>
      <c r="BCA4">
        <v>354093</v>
      </c>
      <c r="BCB4" t="s">
        <v>61203</v>
      </c>
      <c r="BCC4">
        <v>354103</v>
      </c>
      <c r="BCD4" t="s">
        <v>61204</v>
      </c>
      <c r="BCE4">
        <v>354135</v>
      </c>
      <c r="BCF4" t="s">
        <v>61205</v>
      </c>
      <c r="BCG4">
        <v>354156</v>
      </c>
      <c r="BCH4" t="s">
        <v>61206</v>
      </c>
      <c r="BCI4">
        <v>354233</v>
      </c>
      <c r="BCJ4" t="s">
        <v>61207</v>
      </c>
      <c r="BCK4">
        <v>354259</v>
      </c>
      <c r="BCL4" t="s">
        <v>61208</v>
      </c>
      <c r="BCM4">
        <v>354345</v>
      </c>
      <c r="BCN4" t="s">
        <v>61209</v>
      </c>
      <c r="BCO4">
        <v>354364</v>
      </c>
      <c r="BCP4" t="s">
        <v>61210</v>
      </c>
      <c r="BCQ4">
        <v>354373</v>
      </c>
      <c r="BCR4" t="s">
        <v>61211</v>
      </c>
      <c r="BCS4">
        <v>354422</v>
      </c>
      <c r="BCT4" t="s">
        <v>61212</v>
      </c>
      <c r="BCU4">
        <v>354437</v>
      </c>
      <c r="BCV4" t="s">
        <v>61213</v>
      </c>
      <c r="BCW4">
        <v>354504</v>
      </c>
      <c r="BCX4" t="s">
        <v>61214</v>
      </c>
      <c r="BCY4">
        <v>354522</v>
      </c>
      <c r="BCZ4" t="s">
        <v>61215</v>
      </c>
      <c r="BDA4">
        <v>354561</v>
      </c>
      <c r="BDB4" t="s">
        <v>61216</v>
      </c>
      <c r="BDC4">
        <v>354996</v>
      </c>
      <c r="BDD4" t="s">
        <v>61217</v>
      </c>
      <c r="BDE4">
        <v>355075</v>
      </c>
      <c r="BDF4" t="s">
        <v>61218</v>
      </c>
      <c r="BDG4">
        <v>355108</v>
      </c>
      <c r="BDH4" t="s">
        <v>61219</v>
      </c>
      <c r="BDI4">
        <v>355176</v>
      </c>
      <c r="BDJ4" t="s">
        <v>61220</v>
      </c>
      <c r="BDK4">
        <v>355216</v>
      </c>
      <c r="BDL4" t="s">
        <v>61221</v>
      </c>
      <c r="BDM4">
        <v>355303</v>
      </c>
      <c r="BDN4" t="s">
        <v>61222</v>
      </c>
      <c r="BDO4">
        <v>355399</v>
      </c>
      <c r="BDP4" t="s">
        <v>61223</v>
      </c>
      <c r="BDQ4">
        <v>355461</v>
      </c>
      <c r="BDR4" t="s">
        <v>61224</v>
      </c>
      <c r="BDS4">
        <v>355478</v>
      </c>
      <c r="BDT4" t="s">
        <v>61225</v>
      </c>
      <c r="BDU4">
        <v>355488</v>
      </c>
      <c r="BDV4" t="s">
        <v>61226</v>
      </c>
      <c r="BDW4">
        <v>355566</v>
      </c>
      <c r="BDX4" t="s">
        <v>61227</v>
      </c>
      <c r="BDY4">
        <v>355598</v>
      </c>
      <c r="BDZ4" t="s">
        <v>61228</v>
      </c>
      <c r="BEA4">
        <v>355609</v>
      </c>
      <c r="BEC4" t="s">
        <v>61229</v>
      </c>
      <c r="BED4">
        <v>355615</v>
      </c>
      <c r="BEE4" t="s">
        <v>61230</v>
      </c>
      <c r="BEF4">
        <v>355731</v>
      </c>
      <c r="BEG4" t="s">
        <v>61231</v>
      </c>
      <c r="BEH4">
        <v>355738</v>
      </c>
      <c r="BEI4" t="s">
        <v>61232</v>
      </c>
      <c r="BEJ4">
        <v>355915</v>
      </c>
      <c r="BEK4" t="s">
        <v>61233</v>
      </c>
      <c r="BEL4">
        <v>355924</v>
      </c>
      <c r="BEM4" t="s">
        <v>61234</v>
      </c>
      <c r="BEN4">
        <v>355983</v>
      </c>
      <c r="BEO4" t="s">
        <v>61235</v>
      </c>
      <c r="BEP4">
        <v>355991</v>
      </c>
      <c r="BEQ4" t="s">
        <v>61236</v>
      </c>
      <c r="BER4">
        <v>356032</v>
      </c>
      <c r="BES4" t="s">
        <v>61237</v>
      </c>
      <c r="BET4">
        <v>356058</v>
      </c>
      <c r="BEV4" t="s">
        <v>61238</v>
      </c>
      <c r="BEW4">
        <v>356142</v>
      </c>
      <c r="BEX4" t="s">
        <v>61239</v>
      </c>
      <c r="BEY4">
        <v>356143</v>
      </c>
      <c r="BFA4" t="s">
        <v>61240</v>
      </c>
      <c r="BFB4">
        <v>356184</v>
      </c>
      <c r="BFC4" t="s">
        <v>61241</v>
      </c>
      <c r="BFD4">
        <v>356326</v>
      </c>
      <c r="BFE4" t="s">
        <v>61242</v>
      </c>
      <c r="BFF4">
        <v>356494</v>
      </c>
      <c r="BFG4" t="s">
        <v>61243</v>
      </c>
      <c r="BFH4">
        <v>356511</v>
      </c>
      <c r="BFI4" t="s">
        <v>61244</v>
      </c>
      <c r="BFJ4">
        <v>356519</v>
      </c>
      <c r="BFK4" t="s">
        <v>61245</v>
      </c>
      <c r="BFL4">
        <v>356523</v>
      </c>
      <c r="BFM4" t="s">
        <v>61246</v>
      </c>
      <c r="BFN4">
        <v>356552</v>
      </c>
      <c r="BFO4" t="s">
        <v>61247</v>
      </c>
      <c r="BFP4">
        <v>356622</v>
      </c>
      <c r="BFQ4" t="s">
        <v>61248</v>
      </c>
      <c r="BFR4">
        <v>356761</v>
      </c>
      <c r="BFS4" t="s">
        <v>61249</v>
      </c>
      <c r="BFT4">
        <v>356849</v>
      </c>
      <c r="BFU4" t="s">
        <v>61250</v>
      </c>
      <c r="BFV4">
        <v>356908</v>
      </c>
      <c r="BFW4" t="s">
        <v>61251</v>
      </c>
      <c r="BFX4">
        <v>357105</v>
      </c>
      <c r="BFY4" t="s">
        <v>61252</v>
      </c>
      <c r="BFZ4">
        <v>357724</v>
      </c>
      <c r="BGA4" t="s">
        <v>61253</v>
      </c>
      <c r="BGB4">
        <v>357882</v>
      </c>
      <c r="BGC4" t="s">
        <v>61254</v>
      </c>
      <c r="BGD4">
        <v>357899</v>
      </c>
      <c r="BGE4" t="s">
        <v>61255</v>
      </c>
      <c r="BGF4">
        <v>357958</v>
      </c>
      <c r="BGG4" t="s">
        <v>61256</v>
      </c>
      <c r="BGH4">
        <v>358102</v>
      </c>
      <c r="BGI4" t="s">
        <v>61257</v>
      </c>
      <c r="BGJ4">
        <v>358109</v>
      </c>
      <c r="BGK4" t="s">
        <v>61258</v>
      </c>
      <c r="BGL4">
        <v>358128</v>
      </c>
      <c r="BGM4" t="s">
        <v>61259</v>
      </c>
      <c r="BGN4">
        <v>358154</v>
      </c>
      <c r="BGO4" t="s">
        <v>61260</v>
      </c>
      <c r="BGP4">
        <v>358164</v>
      </c>
      <c r="BGQ4" t="s">
        <v>61261</v>
      </c>
      <c r="BGR4">
        <v>358200</v>
      </c>
      <c r="BGS4" t="s">
        <v>61262</v>
      </c>
      <c r="BGT4">
        <v>358203</v>
      </c>
      <c r="BGU4" t="s">
        <v>61263</v>
      </c>
      <c r="BGV4">
        <v>358209</v>
      </c>
      <c r="BGW4" t="s">
        <v>61264</v>
      </c>
      <c r="BGX4">
        <v>358234</v>
      </c>
      <c r="BGY4" t="s">
        <v>61265</v>
      </c>
      <c r="BGZ4">
        <v>358243</v>
      </c>
      <c r="BHA4" t="s">
        <v>61266</v>
      </c>
      <c r="BHB4">
        <v>358306</v>
      </c>
      <c r="BHC4" t="s">
        <v>61267</v>
      </c>
      <c r="BHD4">
        <v>358325</v>
      </c>
      <c r="BHE4" t="s">
        <v>61268</v>
      </c>
      <c r="BHF4">
        <v>358390</v>
      </c>
      <c r="BHG4" t="s">
        <v>61269</v>
      </c>
      <c r="BHH4">
        <v>358411</v>
      </c>
      <c r="BHI4" t="s">
        <v>61270</v>
      </c>
      <c r="BHJ4">
        <v>358508</v>
      </c>
      <c r="BHK4" t="s">
        <v>61271</v>
      </c>
      <c r="BHL4">
        <v>358711</v>
      </c>
      <c r="BHM4" t="s">
        <v>61272</v>
      </c>
      <c r="BHN4">
        <v>358728</v>
      </c>
      <c r="BHO4" t="s">
        <v>61273</v>
      </c>
      <c r="BHP4">
        <v>358763</v>
      </c>
      <c r="BHQ4" t="s">
        <v>61274</v>
      </c>
      <c r="BHR4">
        <v>359579</v>
      </c>
      <c r="BHS4" t="s">
        <v>61275</v>
      </c>
      <c r="BHT4">
        <v>359910</v>
      </c>
      <c r="BHU4" t="s">
        <v>61276</v>
      </c>
      <c r="BHV4">
        <v>359930</v>
      </c>
      <c r="BHW4" t="s">
        <v>61277</v>
      </c>
      <c r="BHX4">
        <v>360401</v>
      </c>
      <c r="BHY4" t="s">
        <v>61278</v>
      </c>
      <c r="BHZ4">
        <v>360429</v>
      </c>
      <c r="BIA4" t="s">
        <v>61279</v>
      </c>
      <c r="BIB4">
        <v>360430</v>
      </c>
      <c r="BIC4" t="s">
        <v>61280</v>
      </c>
      <c r="BID4">
        <v>360436</v>
      </c>
      <c r="BIE4" t="s">
        <v>61281</v>
      </c>
      <c r="BIF4">
        <v>360482</v>
      </c>
      <c r="BIG4" t="s">
        <v>61282</v>
      </c>
      <c r="BIH4">
        <v>360488</v>
      </c>
      <c r="BII4" t="s">
        <v>61283</v>
      </c>
      <c r="BIJ4">
        <v>360497</v>
      </c>
      <c r="BIK4" t="s">
        <v>61284</v>
      </c>
      <c r="BIL4">
        <v>360525</v>
      </c>
      <c r="BIM4" t="s">
        <v>61285</v>
      </c>
      <c r="BIN4">
        <v>360550</v>
      </c>
      <c r="BIO4" t="s">
        <v>61286</v>
      </c>
      <c r="BIP4">
        <v>360570</v>
      </c>
      <c r="BIQ4" t="s">
        <v>61287</v>
      </c>
      <c r="BIR4">
        <v>360654</v>
      </c>
      <c r="BIS4" t="s">
        <v>61288</v>
      </c>
      <c r="BIT4">
        <v>360691</v>
      </c>
      <c r="BIU4" t="s">
        <v>61289</v>
      </c>
      <c r="BIV4">
        <v>360699</v>
      </c>
      <c r="BIW4" t="s">
        <v>61290</v>
      </c>
      <c r="BIX4">
        <v>360832</v>
      </c>
      <c r="BIY4" t="s">
        <v>61291</v>
      </c>
      <c r="BIZ4">
        <v>360841</v>
      </c>
      <c r="BJA4" t="s">
        <v>61292</v>
      </c>
      <c r="BJB4">
        <v>360954</v>
      </c>
      <c r="BJC4" t="s">
        <v>61293</v>
      </c>
      <c r="BJD4">
        <v>361383</v>
      </c>
      <c r="BJE4" t="s">
        <v>61294</v>
      </c>
      <c r="BJF4">
        <v>361634</v>
      </c>
      <c r="BJG4" t="s">
        <v>61295</v>
      </c>
      <c r="BJH4">
        <v>361651</v>
      </c>
      <c r="BJI4" t="s">
        <v>61296</v>
      </c>
      <c r="BJJ4">
        <v>361978</v>
      </c>
      <c r="BJK4" t="s">
        <v>61297</v>
      </c>
      <c r="BJL4">
        <v>361987</v>
      </c>
      <c r="BJM4" t="s">
        <v>61298</v>
      </c>
      <c r="BJN4">
        <v>361995</v>
      </c>
      <c r="BJO4" t="s">
        <v>61299</v>
      </c>
      <c r="BJP4">
        <v>362114</v>
      </c>
      <c r="BJQ4" t="s">
        <v>61300</v>
      </c>
      <c r="BJR4">
        <v>362173</v>
      </c>
      <c r="BJS4" t="s">
        <v>61301</v>
      </c>
      <c r="BJT4">
        <v>362181</v>
      </c>
      <c r="BJU4" t="s">
        <v>61302</v>
      </c>
      <c r="BJV4">
        <v>362201</v>
      </c>
      <c r="BJW4" t="s">
        <v>61303</v>
      </c>
      <c r="BJX4">
        <v>362298</v>
      </c>
      <c r="BJY4" t="s">
        <v>61304</v>
      </c>
      <c r="BJZ4">
        <v>362363</v>
      </c>
      <c r="BKA4" t="s">
        <v>61305</v>
      </c>
      <c r="BKB4">
        <v>362460</v>
      </c>
      <c r="BKC4" t="s">
        <v>61306</v>
      </c>
      <c r="BKD4">
        <v>362485</v>
      </c>
      <c r="BKE4" t="s">
        <v>61307</v>
      </c>
      <c r="BKF4">
        <v>362525</v>
      </c>
      <c r="BKG4" t="s">
        <v>61308</v>
      </c>
      <c r="BKH4">
        <v>362581</v>
      </c>
      <c r="BKI4" t="s">
        <v>61309</v>
      </c>
      <c r="BKJ4">
        <v>362591</v>
      </c>
      <c r="BKK4" t="s">
        <v>61310</v>
      </c>
      <c r="BKL4">
        <v>362597</v>
      </c>
      <c r="BKM4" t="s">
        <v>61311</v>
      </c>
      <c r="BKN4">
        <v>362600</v>
      </c>
      <c r="BKO4" t="s">
        <v>61312</v>
      </c>
      <c r="BKP4">
        <v>362606</v>
      </c>
      <c r="BKQ4" t="s">
        <v>61313</v>
      </c>
      <c r="BKR4">
        <v>362612</v>
      </c>
      <c r="BKS4" t="s">
        <v>61314</v>
      </c>
      <c r="BKT4">
        <v>362648</v>
      </c>
      <c r="BKU4" t="s">
        <v>61315</v>
      </c>
      <c r="BKV4">
        <v>362649</v>
      </c>
      <c r="BKW4" t="s">
        <v>61316</v>
      </c>
      <c r="BKX4">
        <v>362656</v>
      </c>
      <c r="BKY4" t="s">
        <v>61317</v>
      </c>
      <c r="BKZ4">
        <v>362663</v>
      </c>
      <c r="BLA4" t="s">
        <v>61318</v>
      </c>
      <c r="BLB4">
        <v>362669</v>
      </c>
      <c r="BLC4" t="s">
        <v>61319</v>
      </c>
      <c r="BLD4">
        <v>362703</v>
      </c>
      <c r="BLE4" t="s">
        <v>61320</v>
      </c>
      <c r="BLF4">
        <v>362735</v>
      </c>
      <c r="BLG4" t="s">
        <v>61321</v>
      </c>
      <c r="BLH4">
        <v>362741</v>
      </c>
      <c r="BLI4" t="s">
        <v>61322</v>
      </c>
      <c r="BLJ4">
        <v>362768</v>
      </c>
      <c r="BLK4" t="s">
        <v>61323</v>
      </c>
      <c r="BLL4">
        <v>362779</v>
      </c>
      <c r="BLM4" t="s">
        <v>61324</v>
      </c>
      <c r="BLN4">
        <v>362785</v>
      </c>
      <c r="BLO4" t="s">
        <v>61325</v>
      </c>
      <c r="BLP4">
        <v>362794</v>
      </c>
      <c r="BLQ4" t="s">
        <v>61326</v>
      </c>
      <c r="BLR4">
        <v>362801</v>
      </c>
      <c r="BLS4" t="s">
        <v>61327</v>
      </c>
      <c r="BLT4">
        <v>362805</v>
      </c>
      <c r="BLU4" t="s">
        <v>61328</v>
      </c>
      <c r="BLV4">
        <v>362852</v>
      </c>
      <c r="BLW4" t="s">
        <v>61329</v>
      </c>
      <c r="BLX4">
        <v>362860</v>
      </c>
      <c r="BLY4" t="s">
        <v>61330</v>
      </c>
      <c r="BLZ4">
        <v>362865</v>
      </c>
      <c r="BMA4" t="s">
        <v>61331</v>
      </c>
      <c r="BMB4">
        <v>362870</v>
      </c>
      <c r="BMC4" t="s">
        <v>61332</v>
      </c>
      <c r="BMD4">
        <v>362881</v>
      </c>
      <c r="BME4" t="s">
        <v>61333</v>
      </c>
      <c r="BMF4">
        <v>362886</v>
      </c>
      <c r="BMG4" t="s">
        <v>61334</v>
      </c>
      <c r="BMH4">
        <v>362911</v>
      </c>
      <c r="BMI4" t="s">
        <v>61335</v>
      </c>
      <c r="BMJ4">
        <v>362913</v>
      </c>
      <c r="BMK4" t="s">
        <v>61336</v>
      </c>
      <c r="BML4">
        <v>362919</v>
      </c>
      <c r="BMM4" t="s">
        <v>61337</v>
      </c>
      <c r="BMN4">
        <v>362920</v>
      </c>
      <c r="BMO4" t="s">
        <v>61338</v>
      </c>
      <c r="BMP4">
        <v>362962</v>
      </c>
      <c r="BMR4" t="s">
        <v>61339</v>
      </c>
      <c r="BMS4">
        <v>363094</v>
      </c>
      <c r="BMT4" t="s">
        <v>61340</v>
      </c>
      <c r="BMU4">
        <v>363114</v>
      </c>
      <c r="BMV4" t="s">
        <v>61341</v>
      </c>
      <c r="BMW4">
        <v>363147</v>
      </c>
      <c r="BMX4" t="s">
        <v>61342</v>
      </c>
      <c r="BMY4">
        <v>363174</v>
      </c>
      <c r="BMZ4" t="s">
        <v>61343</v>
      </c>
      <c r="BNA4">
        <v>363213</v>
      </c>
      <c r="BNB4" t="s">
        <v>61344</v>
      </c>
      <c r="BNC4">
        <v>363265</v>
      </c>
      <c r="BND4" t="s">
        <v>61345</v>
      </c>
      <c r="BNE4">
        <v>363266</v>
      </c>
      <c r="BNG4" t="s">
        <v>61346</v>
      </c>
      <c r="BNH4">
        <v>363306</v>
      </c>
      <c r="BNI4" t="s">
        <v>61347</v>
      </c>
      <c r="BNJ4">
        <v>365457</v>
      </c>
      <c r="BNK4" t="s">
        <v>61348</v>
      </c>
      <c r="BNL4">
        <v>365513</v>
      </c>
      <c r="BNM4" t="s">
        <v>61349</v>
      </c>
      <c r="BNN4">
        <v>365562</v>
      </c>
      <c r="BNO4" t="s">
        <v>61350</v>
      </c>
      <c r="BNP4">
        <v>365570</v>
      </c>
      <c r="BNQ4" t="s">
        <v>61351</v>
      </c>
      <c r="BNR4">
        <v>365756</v>
      </c>
      <c r="BNT4" t="s">
        <v>61352</v>
      </c>
      <c r="BNU4">
        <v>365765</v>
      </c>
      <c r="BNV4" t="s">
        <v>61353</v>
      </c>
      <c r="BNW4">
        <v>365813</v>
      </c>
      <c r="BNX4" t="s">
        <v>61354</v>
      </c>
      <c r="BNY4">
        <v>365830</v>
      </c>
      <c r="BNZ4" t="s">
        <v>61355</v>
      </c>
      <c r="BOA4">
        <v>365871</v>
      </c>
      <c r="BOB4" t="s">
        <v>61356</v>
      </c>
      <c r="BOC4">
        <v>366000</v>
      </c>
      <c r="BOD4" t="s">
        <v>61357</v>
      </c>
      <c r="BOE4">
        <v>366078</v>
      </c>
      <c r="BOF4" t="s">
        <v>61358</v>
      </c>
      <c r="BOG4">
        <v>366321</v>
      </c>
      <c r="BOH4" t="s">
        <v>61359</v>
      </c>
      <c r="BOI4">
        <v>366326</v>
      </c>
      <c r="BOJ4" t="s">
        <v>61360</v>
      </c>
      <c r="BOK4">
        <v>366498</v>
      </c>
      <c r="BOL4" t="s">
        <v>61361</v>
      </c>
      <c r="BOM4">
        <v>366613</v>
      </c>
      <c r="BON4" t="s">
        <v>61362</v>
      </c>
      <c r="BOO4">
        <v>366726</v>
      </c>
      <c r="BOP4" t="s">
        <v>61363</v>
      </c>
      <c r="BOQ4">
        <v>366750</v>
      </c>
      <c r="BOR4" t="s">
        <v>61364</v>
      </c>
      <c r="BOS4">
        <v>366751</v>
      </c>
      <c r="BOT4" t="s">
        <v>61365</v>
      </c>
      <c r="BOU4">
        <v>366764</v>
      </c>
      <c r="BOV4" t="s">
        <v>61366</v>
      </c>
      <c r="BOW4">
        <v>366788</v>
      </c>
      <c r="BOX4" t="s">
        <v>61367</v>
      </c>
      <c r="BOY4">
        <v>366793</v>
      </c>
      <c r="BOZ4" t="s">
        <v>61368</v>
      </c>
      <c r="BPA4">
        <v>366797</v>
      </c>
      <c r="BPB4" t="s">
        <v>61369</v>
      </c>
      <c r="BPC4">
        <v>366804</v>
      </c>
      <c r="BPD4" t="s">
        <v>61370</v>
      </c>
      <c r="BPE4">
        <v>366805</v>
      </c>
      <c r="BPF4" t="s">
        <v>61371</v>
      </c>
      <c r="BPG4">
        <v>366815</v>
      </c>
      <c r="BPH4" t="s">
        <v>61372</v>
      </c>
      <c r="BPI4">
        <v>366873</v>
      </c>
      <c r="BPJ4" t="s">
        <v>61373</v>
      </c>
      <c r="BPK4">
        <v>367224</v>
      </c>
      <c r="BPL4" t="s">
        <v>61374</v>
      </c>
      <c r="BPM4">
        <v>367242</v>
      </c>
      <c r="BPN4" t="s">
        <v>61375</v>
      </c>
      <c r="BPO4">
        <v>367381</v>
      </c>
      <c r="BPP4" t="s">
        <v>61376</v>
      </c>
      <c r="BPQ4">
        <v>367537</v>
      </c>
      <c r="BPR4" t="s">
        <v>61377</v>
      </c>
      <c r="BPS4">
        <v>367572</v>
      </c>
      <c r="BPT4" t="s">
        <v>61378</v>
      </c>
      <c r="BPU4">
        <v>367599</v>
      </c>
      <c r="BPV4" t="s">
        <v>61379</v>
      </c>
      <c r="BPW4">
        <v>367682</v>
      </c>
      <c r="BPX4" t="s">
        <v>61380</v>
      </c>
      <c r="BPY4">
        <v>367780</v>
      </c>
      <c r="BPZ4" t="s">
        <v>61381</v>
      </c>
      <c r="BQA4">
        <v>367803</v>
      </c>
      <c r="BQB4" t="s">
        <v>61382</v>
      </c>
      <c r="BQC4">
        <v>367898</v>
      </c>
      <c r="BQD4" t="s">
        <v>61383</v>
      </c>
      <c r="BQE4">
        <v>367952</v>
      </c>
      <c r="BQG4" t="s">
        <v>61384</v>
      </c>
      <c r="BQH4">
        <v>368078</v>
      </c>
      <c r="BQI4" t="s">
        <v>61385</v>
      </c>
      <c r="BQJ4">
        <v>368090</v>
      </c>
      <c r="BQK4" t="s">
        <v>61386</v>
      </c>
      <c r="BQL4">
        <v>368727</v>
      </c>
      <c r="BQM4" t="s">
        <v>61387</v>
      </c>
      <c r="BQN4">
        <v>368845</v>
      </c>
      <c r="BQO4" t="s">
        <v>61388</v>
      </c>
      <c r="BQP4">
        <v>369027</v>
      </c>
      <c r="BQQ4" t="s">
        <v>61389</v>
      </c>
      <c r="BQR4">
        <v>369034</v>
      </c>
      <c r="BQS4" t="s">
        <v>61390</v>
      </c>
      <c r="BQT4">
        <v>369045</v>
      </c>
      <c r="BQU4" t="s">
        <v>61391</v>
      </c>
      <c r="BQV4">
        <v>369405</v>
      </c>
      <c r="BQW4" t="s">
        <v>61392</v>
      </c>
      <c r="BQX4">
        <v>369465</v>
      </c>
      <c r="BQY4" t="s">
        <v>61393</v>
      </c>
      <c r="BQZ4">
        <v>369541</v>
      </c>
      <c r="BRA4" t="s">
        <v>61394</v>
      </c>
      <c r="BRB4">
        <v>369797</v>
      </c>
      <c r="BRC4" t="s">
        <v>61395</v>
      </c>
      <c r="BRD4">
        <v>369798</v>
      </c>
      <c r="BRE4" t="s">
        <v>61396</v>
      </c>
      <c r="BRF4">
        <v>369863</v>
      </c>
      <c r="BRG4" t="s">
        <v>61397</v>
      </c>
      <c r="BRH4">
        <v>369881</v>
      </c>
      <c r="BRJ4" t="s">
        <v>61398</v>
      </c>
      <c r="BRK4">
        <v>369935</v>
      </c>
      <c r="BRL4" t="s">
        <v>61399</v>
      </c>
      <c r="BRM4">
        <v>369971</v>
      </c>
      <c r="BRN4" t="s">
        <v>61400</v>
      </c>
      <c r="BRO4">
        <v>370088</v>
      </c>
      <c r="BRP4" t="s">
        <v>61401</v>
      </c>
      <c r="BRQ4">
        <v>371626</v>
      </c>
      <c r="BRR4" t="s">
        <v>61402</v>
      </c>
      <c r="BRS4">
        <v>371650</v>
      </c>
      <c r="BRT4" t="s">
        <v>61403</v>
      </c>
      <c r="BRU4">
        <v>371674</v>
      </c>
      <c r="BRV4" t="s">
        <v>61404</v>
      </c>
      <c r="BRW4">
        <v>371794</v>
      </c>
      <c r="BRX4" t="s">
        <v>61405</v>
      </c>
      <c r="BRY4">
        <v>371863</v>
      </c>
      <c r="BRZ4" t="s">
        <v>61406</v>
      </c>
      <c r="BSA4">
        <v>371880</v>
      </c>
      <c r="BSB4" t="s">
        <v>61407</v>
      </c>
      <c r="BSC4">
        <v>373466</v>
      </c>
      <c r="BSD4" t="s">
        <v>61408</v>
      </c>
      <c r="BSE4">
        <v>373478</v>
      </c>
      <c r="BSF4" t="s">
        <v>61409</v>
      </c>
      <c r="BSG4">
        <v>373525</v>
      </c>
      <c r="BSH4" t="s">
        <v>61410</v>
      </c>
      <c r="BSI4">
        <v>374652</v>
      </c>
      <c r="BSJ4" t="s">
        <v>61411</v>
      </c>
      <c r="BSK4">
        <v>374676</v>
      </c>
      <c r="BSL4" t="s">
        <v>61412</v>
      </c>
      <c r="BSM4">
        <v>375235</v>
      </c>
      <c r="BSN4" t="s">
        <v>61413</v>
      </c>
      <c r="BSO4">
        <v>375471</v>
      </c>
      <c r="BSP4" t="s">
        <v>61414</v>
      </c>
      <c r="BSQ4">
        <v>378200</v>
      </c>
      <c r="BSR4" t="s">
        <v>61415</v>
      </c>
      <c r="BSS4">
        <v>378304</v>
      </c>
      <c r="BST4" t="s">
        <v>61416</v>
      </c>
      <c r="BSU4">
        <v>381770</v>
      </c>
      <c r="BSV4" t="s">
        <v>61417</v>
      </c>
      <c r="BSW4">
        <v>386136</v>
      </c>
      <c r="BSX4" t="s">
        <v>61418</v>
      </c>
      <c r="BSY4">
        <v>395173</v>
      </c>
      <c r="BSZ4" t="s">
        <v>61419</v>
      </c>
      <c r="BTA4">
        <v>395203</v>
      </c>
      <c r="BTB4" t="s">
        <v>61420</v>
      </c>
      <c r="BTC4">
        <v>396197</v>
      </c>
      <c r="BTD4" t="s">
        <v>61421</v>
      </c>
      <c r="BTE4">
        <v>405920</v>
      </c>
      <c r="BTF4" t="s">
        <v>61422</v>
      </c>
      <c r="BTG4">
        <v>415878</v>
      </c>
      <c r="BTH4" t="s">
        <v>61423</v>
      </c>
      <c r="BTI4">
        <v>415889</v>
      </c>
      <c r="BTJ4" t="s">
        <v>61424</v>
      </c>
      <c r="BTK4">
        <v>417666</v>
      </c>
      <c r="BTL4" t="s">
        <v>61425</v>
      </c>
      <c r="BTM4">
        <v>417678</v>
      </c>
      <c r="BTN4" t="s">
        <v>61426</v>
      </c>
      <c r="BTO4">
        <v>417746</v>
      </c>
      <c r="BTP4" t="s">
        <v>61427</v>
      </c>
      <c r="BTQ4">
        <v>419951</v>
      </c>
      <c r="BTR4" t="s">
        <v>61428</v>
      </c>
      <c r="BTS4">
        <v>419988</v>
      </c>
      <c r="BTT4" t="s">
        <v>61429</v>
      </c>
      <c r="BTU4">
        <v>420056</v>
      </c>
      <c r="BTV4" t="s">
        <v>61430</v>
      </c>
      <c r="BTW4">
        <v>420194</v>
      </c>
      <c r="BTX4" t="s">
        <v>61431</v>
      </c>
      <c r="BTY4">
        <v>420282</v>
      </c>
      <c r="BTZ4" t="s">
        <v>61432</v>
      </c>
      <c r="BUA4">
        <v>420581</v>
      </c>
      <c r="BUB4" t="s">
        <v>61433</v>
      </c>
      <c r="BUC4">
        <v>420669</v>
      </c>
      <c r="BUD4" t="s">
        <v>61434</v>
      </c>
      <c r="BUE4">
        <v>420697</v>
      </c>
      <c r="BUF4" t="s">
        <v>61435</v>
      </c>
      <c r="BUG4">
        <v>420752</v>
      </c>
      <c r="BUH4" t="s">
        <v>61436</v>
      </c>
      <c r="BUI4">
        <v>420877</v>
      </c>
      <c r="BUJ4" t="s">
        <v>61437</v>
      </c>
      <c r="BUK4">
        <v>420987</v>
      </c>
      <c r="BUL4" t="s">
        <v>61438</v>
      </c>
      <c r="BUM4">
        <v>421147</v>
      </c>
      <c r="BUN4" t="s">
        <v>61439</v>
      </c>
      <c r="BUO4">
        <v>421149</v>
      </c>
      <c r="BUP4" t="s">
        <v>61440</v>
      </c>
      <c r="BUQ4">
        <v>421191</v>
      </c>
      <c r="BUR4" t="s">
        <v>61441</v>
      </c>
      <c r="BUS4">
        <v>421234</v>
      </c>
      <c r="BUU4" t="s">
        <v>61442</v>
      </c>
      <c r="BUV4">
        <v>421244</v>
      </c>
      <c r="BUX4" t="s">
        <v>61443</v>
      </c>
      <c r="BUY4">
        <v>421593</v>
      </c>
      <c r="BUZ4" t="s">
        <v>61444</v>
      </c>
      <c r="BVA4">
        <v>421656</v>
      </c>
      <c r="BVB4" t="s">
        <v>61445</v>
      </c>
      <c r="BVC4">
        <v>421667</v>
      </c>
      <c r="BVD4" t="s">
        <v>61446</v>
      </c>
      <c r="BVE4">
        <v>424445</v>
      </c>
      <c r="BVF4" t="s">
        <v>61447</v>
      </c>
      <c r="BVG4">
        <v>424463</v>
      </c>
      <c r="BVH4" t="s">
        <v>61448</v>
      </c>
      <c r="BVI4">
        <v>424473</v>
      </c>
      <c r="BVJ4" t="s">
        <v>61449</v>
      </c>
      <c r="BVK4">
        <v>424491</v>
      </c>
      <c r="BVL4" t="s">
        <v>61450</v>
      </c>
      <c r="BVM4">
        <v>424499</v>
      </c>
      <c r="BVN4" t="s">
        <v>61451</v>
      </c>
      <c r="BVO4">
        <v>424527</v>
      </c>
      <c r="BVP4" t="s">
        <v>61452</v>
      </c>
      <c r="BVQ4">
        <v>424575</v>
      </c>
      <c r="BVR4" t="s">
        <v>61453</v>
      </c>
      <c r="BVS4">
        <v>425421</v>
      </c>
      <c r="BVT4" t="s">
        <v>61454</v>
      </c>
      <c r="BVU4">
        <v>426211</v>
      </c>
      <c r="BVV4" t="s">
        <v>61455</v>
      </c>
      <c r="BVW4">
        <v>427851</v>
      </c>
      <c r="BVX4" t="s">
        <v>61456</v>
      </c>
      <c r="BVY4">
        <v>427856</v>
      </c>
      <c r="BVZ4" t="s">
        <v>61457</v>
      </c>
      <c r="BWA4">
        <v>427933</v>
      </c>
      <c r="BWB4" t="s">
        <v>61458</v>
      </c>
      <c r="BWC4">
        <v>429135</v>
      </c>
      <c r="BWD4" t="s">
        <v>61459</v>
      </c>
      <c r="BWE4">
        <v>429330</v>
      </c>
      <c r="BWF4" t="s">
        <v>61460</v>
      </c>
      <c r="BWG4">
        <v>429372</v>
      </c>
      <c r="BWH4" t="s">
        <v>61461</v>
      </c>
      <c r="BWI4">
        <v>429381</v>
      </c>
      <c r="BWJ4" t="s">
        <v>61462</v>
      </c>
      <c r="BWK4">
        <v>429450</v>
      </c>
      <c r="BWL4" t="s">
        <v>61463</v>
      </c>
      <c r="BWM4">
        <v>429470</v>
      </c>
      <c r="BWN4" t="s">
        <v>61464</v>
      </c>
      <c r="BWO4">
        <v>429490</v>
      </c>
      <c r="BWP4" t="s">
        <v>61465</v>
      </c>
      <c r="BWQ4">
        <v>429532</v>
      </c>
      <c r="BWR4" t="s">
        <v>61466</v>
      </c>
      <c r="BWS4">
        <v>429600</v>
      </c>
      <c r="BWT4" t="s">
        <v>61467</v>
      </c>
      <c r="BWU4">
        <v>429621</v>
      </c>
      <c r="BWV4" t="s">
        <v>61468</v>
      </c>
      <c r="BWW4">
        <v>429629</v>
      </c>
      <c r="BWX4" t="s">
        <v>61469</v>
      </c>
      <c r="BWY4">
        <v>429650</v>
      </c>
      <c r="BWZ4" t="s">
        <v>61470</v>
      </c>
      <c r="BXA4">
        <v>429658</v>
      </c>
      <c r="BXB4" t="s">
        <v>61471</v>
      </c>
      <c r="BXC4">
        <v>429678</v>
      </c>
      <c r="BXD4" t="s">
        <v>61472</v>
      </c>
      <c r="BXE4">
        <v>429685</v>
      </c>
      <c r="BXF4" t="s">
        <v>61473</v>
      </c>
      <c r="BXG4">
        <v>429704</v>
      </c>
      <c r="BXH4" t="s">
        <v>61474</v>
      </c>
      <c r="BXI4">
        <v>429744</v>
      </c>
      <c r="BXJ4" t="s">
        <v>61475</v>
      </c>
      <c r="BXK4">
        <v>429906</v>
      </c>
      <c r="BXL4" t="s">
        <v>61476</v>
      </c>
      <c r="BXM4">
        <v>429922</v>
      </c>
      <c r="BXN4" t="s">
        <v>61477</v>
      </c>
      <c r="BXO4">
        <v>429961</v>
      </c>
      <c r="BXP4" t="s">
        <v>61478</v>
      </c>
      <c r="BXQ4">
        <v>430004</v>
      </c>
      <c r="BXR4" t="s">
        <v>61479</v>
      </c>
      <c r="BXS4">
        <v>430023</v>
      </c>
      <c r="BXT4" t="s">
        <v>61480</v>
      </c>
      <c r="BXU4">
        <v>430053</v>
      </c>
      <c r="BXV4" t="s">
        <v>61481</v>
      </c>
      <c r="BXW4">
        <v>430066</v>
      </c>
      <c r="BXX4" t="s">
        <v>61482</v>
      </c>
      <c r="BXY4">
        <v>430080</v>
      </c>
      <c r="BXZ4" t="s">
        <v>61483</v>
      </c>
      <c r="BYA4">
        <v>430088</v>
      </c>
      <c r="BYB4" t="s">
        <v>61484</v>
      </c>
      <c r="BYC4">
        <v>430101</v>
      </c>
      <c r="BYD4" t="s">
        <v>61485</v>
      </c>
      <c r="BYE4">
        <v>430110</v>
      </c>
      <c r="BYF4" t="s">
        <v>61486</v>
      </c>
      <c r="BYG4">
        <v>430127</v>
      </c>
      <c r="BYH4" t="s">
        <v>61487</v>
      </c>
      <c r="BYI4">
        <v>430135</v>
      </c>
      <c r="BYJ4" t="s">
        <v>61488</v>
      </c>
      <c r="BYK4">
        <v>430192</v>
      </c>
      <c r="BYL4" t="s">
        <v>61489</v>
      </c>
      <c r="BYM4">
        <v>430210</v>
      </c>
      <c r="BYN4" t="s">
        <v>61490</v>
      </c>
      <c r="BYO4">
        <v>430248</v>
      </c>
      <c r="BYP4" t="s">
        <v>61491</v>
      </c>
      <c r="BYQ4">
        <v>430263</v>
      </c>
      <c r="BYR4" t="s">
        <v>61492</v>
      </c>
      <c r="BYS4">
        <v>430277</v>
      </c>
      <c r="BYT4" t="s">
        <v>61493</v>
      </c>
      <c r="BYU4">
        <v>430307</v>
      </c>
      <c r="BYV4" t="s">
        <v>61494</v>
      </c>
      <c r="BYW4">
        <v>430426</v>
      </c>
      <c r="BYX4" t="s">
        <v>61495</v>
      </c>
      <c r="BYY4">
        <v>430440</v>
      </c>
      <c r="BYZ4" t="s">
        <v>61496</v>
      </c>
      <c r="BZA4">
        <v>430493</v>
      </c>
      <c r="BZB4" t="s">
        <v>61497</v>
      </c>
      <c r="BZC4">
        <v>430509</v>
      </c>
      <c r="BZD4" t="s">
        <v>61498</v>
      </c>
      <c r="BZE4">
        <v>430510</v>
      </c>
      <c r="BZF4" t="s">
        <v>61499</v>
      </c>
      <c r="BZG4">
        <v>430522</v>
      </c>
      <c r="BZH4" t="s">
        <v>61500</v>
      </c>
      <c r="BZI4">
        <v>430547</v>
      </c>
      <c r="BZK4" t="s">
        <v>61501</v>
      </c>
      <c r="BZL4">
        <v>430567</v>
      </c>
      <c r="BZN4" t="s">
        <v>61502</v>
      </c>
      <c r="BZO4">
        <v>430596</v>
      </c>
      <c r="BZP4" t="s">
        <v>61503</v>
      </c>
      <c r="BZQ4">
        <v>431853</v>
      </c>
      <c r="BZR4" t="s">
        <v>61504</v>
      </c>
      <c r="BZS4">
        <v>431864</v>
      </c>
      <c r="BZT4" t="s">
        <v>61505</v>
      </c>
      <c r="BZU4">
        <v>432000</v>
      </c>
      <c r="BZV4" t="s">
        <v>61506</v>
      </c>
      <c r="BZW4">
        <v>432008</v>
      </c>
      <c r="BZX4" t="s">
        <v>61507</v>
      </c>
      <c r="BZY4">
        <v>435391</v>
      </c>
      <c r="BZZ4" t="s">
        <v>61508</v>
      </c>
      <c r="CAA4">
        <v>435415</v>
      </c>
      <c r="CAB4" t="s">
        <v>61509</v>
      </c>
      <c r="CAC4">
        <v>435423</v>
      </c>
      <c r="CAD4" t="s">
        <v>61510</v>
      </c>
      <c r="CAE4">
        <v>437364</v>
      </c>
      <c r="CAF4" t="s">
        <v>61511</v>
      </c>
      <c r="CAG4">
        <v>439222</v>
      </c>
      <c r="CAH4" t="s">
        <v>61512</v>
      </c>
      <c r="CAI4">
        <v>439279</v>
      </c>
      <c r="CAJ4" t="s">
        <v>61513</v>
      </c>
      <c r="CAK4">
        <v>439419</v>
      </c>
      <c r="CAL4" t="s">
        <v>61514</v>
      </c>
      <c r="CAM4">
        <v>439440</v>
      </c>
      <c r="CAN4" t="s">
        <v>61515</v>
      </c>
      <c r="CAO4">
        <v>439499</v>
      </c>
      <c r="CAP4" t="s">
        <v>61516</v>
      </c>
      <c r="CAQ4">
        <v>439521</v>
      </c>
      <c r="CAR4" t="s">
        <v>61517</v>
      </c>
      <c r="CAS4">
        <v>439557</v>
      </c>
      <c r="CAT4" t="s">
        <v>61518</v>
      </c>
      <c r="CAU4">
        <v>439565</v>
      </c>
      <c r="CAV4" t="s">
        <v>61519</v>
      </c>
      <c r="CAW4">
        <v>439583</v>
      </c>
      <c r="CAX4" t="s">
        <v>61520</v>
      </c>
      <c r="CAY4">
        <v>439585</v>
      </c>
      <c r="CAZ4" t="s">
        <v>61521</v>
      </c>
      <c r="CBA4">
        <v>441708</v>
      </c>
      <c r="CBB4" t="s">
        <v>61522</v>
      </c>
      <c r="CBC4">
        <v>442800</v>
      </c>
      <c r="CBD4" t="s">
        <v>61523</v>
      </c>
      <c r="CBE4">
        <v>442818</v>
      </c>
      <c r="CBF4" t="s">
        <v>61524</v>
      </c>
      <c r="CBG4">
        <v>442899</v>
      </c>
      <c r="CBH4" t="s">
        <v>61525</v>
      </c>
      <c r="CBI4">
        <v>443013</v>
      </c>
      <c r="CBJ4" t="s">
        <v>61526</v>
      </c>
      <c r="CBK4">
        <v>443024</v>
      </c>
      <c r="CBL4" t="s">
        <v>61527</v>
      </c>
      <c r="CBM4">
        <v>443068</v>
      </c>
      <c r="CBN4" t="s">
        <v>61528</v>
      </c>
      <c r="CBO4">
        <v>443926</v>
      </c>
      <c r="CBP4" t="s">
        <v>61529</v>
      </c>
      <c r="CBQ4">
        <v>443934</v>
      </c>
      <c r="CBR4" t="s">
        <v>61530</v>
      </c>
      <c r="CBS4">
        <v>443984</v>
      </c>
      <c r="CBT4" t="s">
        <v>61531</v>
      </c>
      <c r="CBU4">
        <v>444024</v>
      </c>
      <c r="CBV4" t="s">
        <v>61532</v>
      </c>
      <c r="CBW4">
        <v>444048</v>
      </c>
      <c r="CBX4" t="s">
        <v>61533</v>
      </c>
      <c r="CBY4">
        <v>444061</v>
      </c>
      <c r="CBZ4" t="s">
        <v>61534</v>
      </c>
      <c r="CCA4">
        <v>444084</v>
      </c>
      <c r="CCB4" t="s">
        <v>61535</v>
      </c>
      <c r="CCC4">
        <v>444107</v>
      </c>
      <c r="CCD4" t="s">
        <v>61536</v>
      </c>
      <c r="CCE4">
        <v>444161</v>
      </c>
      <c r="CCF4" t="s">
        <v>61537</v>
      </c>
      <c r="CCG4">
        <v>444179</v>
      </c>
      <c r="CCI4" t="s">
        <v>61538</v>
      </c>
      <c r="CCJ4">
        <v>444183</v>
      </c>
      <c r="CCK4" t="s">
        <v>61539</v>
      </c>
      <c r="CCL4">
        <v>444209</v>
      </c>
      <c r="CCM4" t="s">
        <v>61540</v>
      </c>
      <c r="CCN4">
        <v>444219</v>
      </c>
      <c r="CCO4" t="s">
        <v>61541</v>
      </c>
      <c r="CCP4">
        <v>444243</v>
      </c>
      <c r="CCQ4" t="s">
        <v>61542</v>
      </c>
      <c r="CCR4">
        <v>444252</v>
      </c>
      <c r="CCS4" t="s">
        <v>61543</v>
      </c>
      <c r="CCT4">
        <v>447422</v>
      </c>
      <c r="CCU4" t="s">
        <v>61544</v>
      </c>
      <c r="CCV4">
        <v>447638</v>
      </c>
      <c r="CCW4" t="s">
        <v>61545</v>
      </c>
      <c r="CCX4">
        <v>448103</v>
      </c>
      <c r="CCY4" t="s">
        <v>61546</v>
      </c>
      <c r="CCZ4">
        <v>448138</v>
      </c>
      <c r="CDA4" t="s">
        <v>61547</v>
      </c>
      <c r="CDB4">
        <v>448263</v>
      </c>
      <c r="CDC4" t="s">
        <v>61548</v>
      </c>
      <c r="CDD4">
        <v>448296</v>
      </c>
      <c r="CDE4" t="s">
        <v>61549</v>
      </c>
      <c r="CDF4">
        <v>448431</v>
      </c>
      <c r="CDG4" t="s">
        <v>61550</v>
      </c>
      <c r="CDH4">
        <v>448573</v>
      </c>
      <c r="CDI4" t="s">
        <v>61551</v>
      </c>
      <c r="CDJ4">
        <v>449377</v>
      </c>
      <c r="CDK4" t="s">
        <v>61552</v>
      </c>
      <c r="CDL4">
        <v>449378</v>
      </c>
      <c r="CDM4" t="s">
        <v>61553</v>
      </c>
      <c r="CDN4">
        <v>449389</v>
      </c>
      <c r="CDO4" t="s">
        <v>61554</v>
      </c>
      <c r="CDP4">
        <v>450262</v>
      </c>
      <c r="CDQ4" t="s">
        <v>61555</v>
      </c>
      <c r="CDR4">
        <v>450288</v>
      </c>
      <c r="CDS4" t="s">
        <v>61556</v>
      </c>
      <c r="CDT4">
        <v>450370</v>
      </c>
      <c r="CDU4" t="s">
        <v>61557</v>
      </c>
      <c r="CDV4">
        <v>450383</v>
      </c>
      <c r="CDW4" t="s">
        <v>61558</v>
      </c>
      <c r="CDX4">
        <v>450461</v>
      </c>
      <c r="CDY4" t="s">
        <v>61559</v>
      </c>
      <c r="CDZ4">
        <v>450473</v>
      </c>
      <c r="CEA4" t="s">
        <v>61560</v>
      </c>
      <c r="CEB4">
        <v>450494</v>
      </c>
      <c r="CEC4" t="s">
        <v>61561</v>
      </c>
      <c r="CED4">
        <v>450508</v>
      </c>
      <c r="CEE4" t="s">
        <v>61562</v>
      </c>
      <c r="CEF4">
        <v>450541</v>
      </c>
      <c r="CEG4" t="s">
        <v>61563</v>
      </c>
      <c r="CEH4">
        <v>450560</v>
      </c>
      <c r="CEI4" t="s">
        <v>61564</v>
      </c>
      <c r="CEJ4">
        <v>450606</v>
      </c>
      <c r="CEK4" t="s">
        <v>61565</v>
      </c>
      <c r="CEL4">
        <v>450640</v>
      </c>
      <c r="CEM4" t="s">
        <v>61566</v>
      </c>
      <c r="CEN4">
        <v>450862</v>
      </c>
      <c r="CEO4" t="s">
        <v>61567</v>
      </c>
      <c r="CEP4">
        <v>451921</v>
      </c>
      <c r="CEQ4" t="s">
        <v>61568</v>
      </c>
      <c r="CER4">
        <v>451937</v>
      </c>
      <c r="CES4" t="s">
        <v>61569</v>
      </c>
      <c r="CET4">
        <v>451945</v>
      </c>
      <c r="CEU4" t="s">
        <v>61570</v>
      </c>
      <c r="CEV4">
        <v>451996</v>
      </c>
      <c r="CEW4" t="s">
        <v>61571</v>
      </c>
      <c r="CEX4">
        <v>451997</v>
      </c>
      <c r="CEY4" t="s">
        <v>61572</v>
      </c>
      <c r="CEZ4">
        <v>452030</v>
      </c>
      <c r="CFA4" t="s">
        <v>61573</v>
      </c>
      <c r="CFB4">
        <v>452040</v>
      </c>
      <c r="CFC4" t="s">
        <v>61574</v>
      </c>
      <c r="CFD4">
        <v>452079</v>
      </c>
      <c r="CFE4" t="s">
        <v>61575</v>
      </c>
      <c r="CFF4">
        <v>452095</v>
      </c>
      <c r="CFG4" t="s">
        <v>61576</v>
      </c>
      <c r="CFH4">
        <v>452103</v>
      </c>
      <c r="CFI4" t="s">
        <v>61577</v>
      </c>
      <c r="CFJ4">
        <v>452138</v>
      </c>
      <c r="CFK4" t="s">
        <v>61578</v>
      </c>
      <c r="CFL4">
        <v>452142</v>
      </c>
      <c r="CFM4" t="s">
        <v>61579</v>
      </c>
      <c r="CFN4">
        <v>452144</v>
      </c>
      <c r="CFO4" t="s">
        <v>61580</v>
      </c>
      <c r="CFP4">
        <v>452152</v>
      </c>
      <c r="CFQ4" t="s">
        <v>61581</v>
      </c>
      <c r="CFR4">
        <v>452183</v>
      </c>
      <c r="CFS4" t="s">
        <v>61582</v>
      </c>
      <c r="CFT4">
        <v>452232</v>
      </c>
      <c r="CFU4" t="s">
        <v>61583</v>
      </c>
      <c r="CFV4">
        <v>452268</v>
      </c>
      <c r="CFW4" t="s">
        <v>61584</v>
      </c>
      <c r="CFX4">
        <v>452556</v>
      </c>
      <c r="CFY4" t="s">
        <v>61585</v>
      </c>
      <c r="CFZ4">
        <v>452563</v>
      </c>
      <c r="CGA4" t="s">
        <v>61586</v>
      </c>
      <c r="CGB4">
        <v>452606</v>
      </c>
      <c r="CGC4" t="s">
        <v>61587</v>
      </c>
      <c r="CGD4">
        <v>452787</v>
      </c>
      <c r="CGE4" t="s">
        <v>61588</v>
      </c>
      <c r="CGF4">
        <v>452798</v>
      </c>
      <c r="CGG4" t="s">
        <v>61589</v>
      </c>
      <c r="CGH4">
        <v>452816</v>
      </c>
      <c r="CGI4" t="s">
        <v>61590</v>
      </c>
      <c r="CGJ4">
        <v>452822</v>
      </c>
      <c r="CGK4" t="s">
        <v>61591</v>
      </c>
      <c r="CGL4">
        <v>452839</v>
      </c>
      <c r="CGM4" t="s">
        <v>61592</v>
      </c>
      <c r="CGN4">
        <v>452846</v>
      </c>
      <c r="CGO4" t="s">
        <v>61593</v>
      </c>
      <c r="CGP4">
        <v>452874</v>
      </c>
      <c r="CGQ4" t="s">
        <v>61594</v>
      </c>
      <c r="CGR4">
        <v>452988</v>
      </c>
      <c r="CGS4" t="s">
        <v>61595</v>
      </c>
      <c r="CGT4">
        <v>452992</v>
      </c>
      <c r="CGU4" t="s">
        <v>61596</v>
      </c>
      <c r="CGV4">
        <v>453001</v>
      </c>
      <c r="CGW4" t="s">
        <v>61597</v>
      </c>
      <c r="CGX4">
        <v>453008</v>
      </c>
      <c r="CGY4" t="s">
        <v>61598</v>
      </c>
      <c r="CGZ4">
        <v>453036</v>
      </c>
      <c r="CHA4" t="s">
        <v>61599</v>
      </c>
      <c r="CHB4">
        <v>453052</v>
      </c>
      <c r="CHC4" t="s">
        <v>61600</v>
      </c>
      <c r="CHD4">
        <v>453418</v>
      </c>
      <c r="CHE4" t="s">
        <v>61601</v>
      </c>
      <c r="CHF4">
        <v>456045</v>
      </c>
      <c r="CHG4" t="s">
        <v>61602</v>
      </c>
      <c r="CHH4">
        <v>456125</v>
      </c>
      <c r="CHI4" t="s">
        <v>61603</v>
      </c>
      <c r="CHJ4">
        <v>456231</v>
      </c>
      <c r="CHK4" t="s">
        <v>61604</v>
      </c>
      <c r="CHL4">
        <v>456366</v>
      </c>
      <c r="CHM4" t="s">
        <v>61605</v>
      </c>
      <c r="CHN4">
        <v>456373</v>
      </c>
      <c r="CHO4" t="s">
        <v>61606</v>
      </c>
      <c r="CHP4">
        <v>456533</v>
      </c>
      <c r="CHQ4" t="s">
        <v>61607</v>
      </c>
      <c r="CHR4">
        <v>456544</v>
      </c>
      <c r="CHS4" t="s">
        <v>61608</v>
      </c>
      <c r="CHT4">
        <v>456549</v>
      </c>
      <c r="CHU4" t="s">
        <v>61609</v>
      </c>
      <c r="CHV4">
        <v>456573</v>
      </c>
      <c r="CHW4" t="s">
        <v>61610</v>
      </c>
      <c r="CHX4">
        <v>456595</v>
      </c>
      <c r="CHY4" t="s">
        <v>61611</v>
      </c>
      <c r="CHZ4">
        <v>456626</v>
      </c>
      <c r="CIA4" t="s">
        <v>61612</v>
      </c>
      <c r="CIB4">
        <v>456649</v>
      </c>
      <c r="CIC4" t="s">
        <v>61613</v>
      </c>
      <c r="CID4">
        <v>456658</v>
      </c>
      <c r="CIE4" t="s">
        <v>61614</v>
      </c>
      <c r="CIF4">
        <v>456691</v>
      </c>
      <c r="CIG4" t="s">
        <v>61615</v>
      </c>
      <c r="CIH4">
        <v>456742</v>
      </c>
      <c r="CII4" t="s">
        <v>61616</v>
      </c>
      <c r="CIJ4">
        <v>456792</v>
      </c>
      <c r="CIK4" t="s">
        <v>61617</v>
      </c>
      <c r="CIL4">
        <v>456852</v>
      </c>
      <c r="CIM4" t="s">
        <v>61618</v>
      </c>
      <c r="CIN4">
        <v>458610</v>
      </c>
      <c r="CIO4" t="s">
        <v>61619</v>
      </c>
      <c r="CIP4">
        <v>458611</v>
      </c>
      <c r="CIQ4" t="s">
        <v>61620</v>
      </c>
      <c r="CIR4">
        <v>458618</v>
      </c>
      <c r="CIS4" t="s">
        <v>61621</v>
      </c>
      <c r="CIT4">
        <v>458634</v>
      </c>
      <c r="CIU4" t="s">
        <v>61622</v>
      </c>
      <c r="CIV4">
        <v>458700</v>
      </c>
      <c r="CIW4" t="s">
        <v>61623</v>
      </c>
      <c r="CIX4">
        <v>458744</v>
      </c>
      <c r="CIY4" t="s">
        <v>61624</v>
      </c>
      <c r="CIZ4">
        <v>460432</v>
      </c>
      <c r="CJA4" t="s">
        <v>61625</v>
      </c>
      <c r="CJB4">
        <v>460884</v>
      </c>
      <c r="CJC4" t="s">
        <v>61626</v>
      </c>
      <c r="CJD4">
        <v>460914</v>
      </c>
      <c r="CJE4" t="s">
        <v>61627</v>
      </c>
      <c r="CJF4">
        <v>460937</v>
      </c>
      <c r="CJG4" t="s">
        <v>61628</v>
      </c>
      <c r="CJH4">
        <v>460945</v>
      </c>
      <c r="CJI4" t="s">
        <v>61629</v>
      </c>
      <c r="CJJ4">
        <v>460963</v>
      </c>
      <c r="CJK4" t="s">
        <v>61630</v>
      </c>
      <c r="CJL4">
        <v>460971</v>
      </c>
      <c r="CJM4" t="s">
        <v>61631</v>
      </c>
      <c r="CJN4">
        <v>460976</v>
      </c>
      <c r="CJO4" t="s">
        <v>61632</v>
      </c>
      <c r="CJP4">
        <v>460983</v>
      </c>
      <c r="CJQ4" t="s">
        <v>61633</v>
      </c>
      <c r="CJR4">
        <v>461013</v>
      </c>
      <c r="CJS4" t="s">
        <v>61634</v>
      </c>
      <c r="CJT4">
        <v>461039</v>
      </c>
      <c r="CJU4" t="s">
        <v>61635</v>
      </c>
      <c r="CJV4">
        <v>461376</v>
      </c>
      <c r="CJW4" t="s">
        <v>61636</v>
      </c>
      <c r="CJX4">
        <v>462133</v>
      </c>
      <c r="CJY4" t="s">
        <v>61637</v>
      </c>
      <c r="CJZ4">
        <v>462617</v>
      </c>
      <c r="CKA4" t="s">
        <v>61638</v>
      </c>
      <c r="CKB4">
        <v>462625</v>
      </c>
      <c r="CKD4" t="s">
        <v>61639</v>
      </c>
      <c r="CKE4">
        <v>462627</v>
      </c>
      <c r="CKF4" t="s">
        <v>61640</v>
      </c>
      <c r="CKG4">
        <v>462634</v>
      </c>
      <c r="CKH4" t="s">
        <v>61641</v>
      </c>
      <c r="CKI4">
        <v>462644</v>
      </c>
      <c r="CKJ4" t="s">
        <v>61642</v>
      </c>
      <c r="CKK4">
        <v>462658</v>
      </c>
      <c r="CKL4" t="s">
        <v>61643</v>
      </c>
      <c r="CKM4">
        <v>462668</v>
      </c>
      <c r="CKN4" t="s">
        <v>61644</v>
      </c>
      <c r="CKO4">
        <v>462676</v>
      </c>
      <c r="CKP4" t="s">
        <v>61645</v>
      </c>
      <c r="CKQ4">
        <v>463799</v>
      </c>
      <c r="CKR4" t="s">
        <v>61646</v>
      </c>
      <c r="CKS4">
        <v>463800</v>
      </c>
      <c r="CKT4" t="s">
        <v>61647</v>
      </c>
      <c r="CKU4">
        <v>464882</v>
      </c>
      <c r="CKV4" t="s">
        <v>61648</v>
      </c>
      <c r="CKW4">
        <v>465868</v>
      </c>
      <c r="CKX4" t="s">
        <v>61649</v>
      </c>
      <c r="CKY4">
        <v>465883</v>
      </c>
      <c r="CLA4" t="s">
        <v>61650</v>
      </c>
      <c r="CLB4">
        <v>465890</v>
      </c>
      <c r="CLC4" t="s">
        <v>61651</v>
      </c>
      <c r="CLD4">
        <v>466236</v>
      </c>
      <c r="CLE4" t="s">
        <v>61652</v>
      </c>
      <c r="CLF4">
        <v>466280</v>
      </c>
      <c r="CLG4" t="s">
        <v>61653</v>
      </c>
      <c r="CLH4">
        <v>467585</v>
      </c>
      <c r="CLI4" t="s">
        <v>61654</v>
      </c>
      <c r="CLJ4">
        <v>467676</v>
      </c>
      <c r="CLK4" t="s">
        <v>61655</v>
      </c>
      <c r="CLL4">
        <v>467677</v>
      </c>
      <c r="CLM4" t="s">
        <v>61656</v>
      </c>
      <c r="CLN4">
        <v>467849</v>
      </c>
      <c r="CLO4" t="s">
        <v>61657</v>
      </c>
      <c r="CLP4">
        <v>469742</v>
      </c>
      <c r="CLQ4" t="s">
        <v>61658</v>
      </c>
      <c r="CLR4">
        <v>469783</v>
      </c>
      <c r="CLS4" t="s">
        <v>61659</v>
      </c>
      <c r="CLT4">
        <v>469799</v>
      </c>
      <c r="CLU4" t="s">
        <v>61660</v>
      </c>
      <c r="CLV4">
        <v>469808</v>
      </c>
      <c r="CLW4" t="s">
        <v>61661</v>
      </c>
      <c r="CLX4">
        <v>469848</v>
      </c>
      <c r="CLY4" t="s">
        <v>61662</v>
      </c>
      <c r="CLZ4">
        <v>472648</v>
      </c>
      <c r="CMA4" t="s">
        <v>61663</v>
      </c>
      <c r="CMB4">
        <v>472922</v>
      </c>
      <c r="CMC4" t="s">
        <v>61664</v>
      </c>
      <c r="CMD4">
        <v>473226</v>
      </c>
      <c r="CME4" t="s">
        <v>61665</v>
      </c>
      <c r="CMF4">
        <v>473249</v>
      </c>
      <c r="CMG4" t="s">
        <v>61666</v>
      </c>
      <c r="CMH4">
        <v>473257</v>
      </c>
      <c r="CMI4" t="s">
        <v>61667</v>
      </c>
      <c r="CMJ4">
        <v>473270</v>
      </c>
      <c r="CMK4" t="s">
        <v>61668</v>
      </c>
      <c r="CML4">
        <v>473274</v>
      </c>
      <c r="CMM4" t="s">
        <v>61669</v>
      </c>
      <c r="CMN4">
        <v>473280</v>
      </c>
      <c r="CMO4" t="s">
        <v>61670</v>
      </c>
      <c r="CMP4">
        <v>473308</v>
      </c>
      <c r="CMQ4" t="s">
        <v>61671</v>
      </c>
      <c r="CMR4">
        <v>473309</v>
      </c>
      <c r="CMS4" t="s">
        <v>61672</v>
      </c>
      <c r="CMT4">
        <v>473323</v>
      </c>
      <c r="CMU4" t="s">
        <v>61673</v>
      </c>
      <c r="CMV4">
        <v>473332</v>
      </c>
      <c r="CMW4" t="s">
        <v>61674</v>
      </c>
      <c r="CMX4">
        <v>473403</v>
      </c>
      <c r="CMY4" t="s">
        <v>61675</v>
      </c>
      <c r="CMZ4">
        <v>474038</v>
      </c>
      <c r="CNA4" t="s">
        <v>61676</v>
      </c>
      <c r="CNB4">
        <v>474058</v>
      </c>
      <c r="CNC4" t="s">
        <v>61677</v>
      </c>
      <c r="CND4">
        <v>474067</v>
      </c>
      <c r="CNE4" t="s">
        <v>61678</v>
      </c>
      <c r="CNF4">
        <v>474526</v>
      </c>
      <c r="CNG4" t="s">
        <v>61679</v>
      </c>
      <c r="CNH4">
        <v>474537</v>
      </c>
      <c r="CNI4" t="s">
        <v>61680</v>
      </c>
      <c r="CNJ4">
        <v>474552</v>
      </c>
      <c r="CNK4" t="s">
        <v>61681</v>
      </c>
      <c r="CNL4">
        <v>474559</v>
      </c>
      <c r="CNM4" t="s">
        <v>61682</v>
      </c>
      <c r="CNN4">
        <v>474745</v>
      </c>
      <c r="CNO4" t="s">
        <v>61683</v>
      </c>
      <c r="CNP4">
        <v>474781</v>
      </c>
      <c r="CNQ4" t="s">
        <v>61684</v>
      </c>
      <c r="CNR4">
        <v>474788</v>
      </c>
      <c r="CNS4" t="s">
        <v>61685</v>
      </c>
      <c r="CNT4">
        <v>475173</v>
      </c>
      <c r="CNU4" t="s">
        <v>61686</v>
      </c>
      <c r="CNV4">
        <v>475180</v>
      </c>
      <c r="CNW4" t="s">
        <v>61687</v>
      </c>
      <c r="CNX4">
        <v>475424</v>
      </c>
      <c r="CNY4" t="s">
        <v>61688</v>
      </c>
      <c r="CNZ4">
        <v>475432</v>
      </c>
      <c r="COA4" t="s">
        <v>61689</v>
      </c>
      <c r="COB4">
        <v>475460</v>
      </c>
      <c r="COC4" t="s">
        <v>61690</v>
      </c>
      <c r="COD4">
        <v>475480</v>
      </c>
      <c r="COE4" t="s">
        <v>61691</v>
      </c>
      <c r="COF4">
        <v>475488</v>
      </c>
      <c r="COG4" t="s">
        <v>61692</v>
      </c>
      <c r="COH4">
        <v>475506</v>
      </c>
      <c r="COI4" t="s">
        <v>61693</v>
      </c>
      <c r="COJ4">
        <v>475514</v>
      </c>
      <c r="COK4" t="s">
        <v>61694</v>
      </c>
      <c r="COL4">
        <v>475527</v>
      </c>
      <c r="COM4" t="s">
        <v>61695</v>
      </c>
      <c r="CON4">
        <v>475528</v>
      </c>
      <c r="COO4" t="s">
        <v>61696</v>
      </c>
      <c r="COP4">
        <v>475562</v>
      </c>
      <c r="COQ4" t="s">
        <v>61697</v>
      </c>
      <c r="COR4">
        <v>475570</v>
      </c>
      <c r="COS4" t="s">
        <v>61698</v>
      </c>
      <c r="COT4">
        <v>475605</v>
      </c>
      <c r="COU4" t="s">
        <v>61699</v>
      </c>
      <c r="COV4">
        <v>475631</v>
      </c>
      <c r="COX4" t="s">
        <v>61700</v>
      </c>
      <c r="COY4">
        <v>476550</v>
      </c>
      <c r="COZ4" t="s">
        <v>61701</v>
      </c>
      <c r="CPA4">
        <v>476859</v>
      </c>
      <c r="CPB4" t="s">
        <v>61702</v>
      </c>
      <c r="CPC4">
        <v>476864</v>
      </c>
      <c r="CPD4" t="s">
        <v>61703</v>
      </c>
      <c r="CPE4">
        <v>476865</v>
      </c>
      <c r="CPF4" t="s">
        <v>61704</v>
      </c>
      <c r="CPG4">
        <v>476875</v>
      </c>
      <c r="CPH4" t="s">
        <v>61705</v>
      </c>
      <c r="CPI4">
        <v>476876</v>
      </c>
      <c r="CPJ4" t="s">
        <v>61706</v>
      </c>
      <c r="CPK4">
        <v>476884</v>
      </c>
      <c r="CPL4" t="s">
        <v>61707</v>
      </c>
      <c r="CPM4">
        <v>476941</v>
      </c>
      <c r="CPN4" t="s">
        <v>61708</v>
      </c>
      <c r="CPO4">
        <v>476947</v>
      </c>
      <c r="CPP4" t="s">
        <v>61709</v>
      </c>
      <c r="CPQ4">
        <v>476948</v>
      </c>
      <c r="CPR4" t="s">
        <v>61710</v>
      </c>
      <c r="CPS4">
        <v>477095</v>
      </c>
      <c r="CPT4" t="s">
        <v>61711</v>
      </c>
      <c r="CPU4">
        <v>477106</v>
      </c>
      <c r="CPV4" t="s">
        <v>61712</v>
      </c>
      <c r="CPW4">
        <v>477134</v>
      </c>
      <c r="CPX4" t="s">
        <v>61713</v>
      </c>
      <c r="CPY4">
        <v>477144</v>
      </c>
      <c r="CPZ4" t="s">
        <v>61714</v>
      </c>
      <c r="CQA4">
        <v>477157</v>
      </c>
      <c r="CQB4" t="s">
        <v>61715</v>
      </c>
      <c r="CQC4">
        <v>477163</v>
      </c>
      <c r="CQD4" t="s">
        <v>61716</v>
      </c>
      <c r="CQE4">
        <v>477288</v>
      </c>
      <c r="CQF4" t="s">
        <v>61717</v>
      </c>
      <c r="CQG4">
        <v>477311</v>
      </c>
      <c r="CQH4" t="s">
        <v>61718</v>
      </c>
      <c r="CQI4">
        <v>477756</v>
      </c>
      <c r="CQJ4" t="s">
        <v>61719</v>
      </c>
      <c r="CQK4">
        <v>477778</v>
      </c>
      <c r="CQL4" t="s">
        <v>61720</v>
      </c>
      <c r="CQM4">
        <v>477789</v>
      </c>
      <c r="CQN4" t="s">
        <v>61721</v>
      </c>
      <c r="CQO4">
        <v>477798</v>
      </c>
      <c r="CQP4" t="s">
        <v>61722</v>
      </c>
      <c r="CQQ4">
        <v>477807</v>
      </c>
      <c r="CQR4" t="s">
        <v>61723</v>
      </c>
      <c r="CQS4">
        <v>477818</v>
      </c>
      <c r="CQT4" t="s">
        <v>61724</v>
      </c>
      <c r="CQU4">
        <v>477826</v>
      </c>
      <c r="CQV4" t="s">
        <v>61725</v>
      </c>
      <c r="CQW4">
        <v>479774</v>
      </c>
      <c r="CQX4" t="s">
        <v>61726</v>
      </c>
      <c r="CQY4">
        <v>479789</v>
      </c>
      <c r="CQZ4" t="s">
        <v>61727</v>
      </c>
      <c r="CRA4">
        <v>480048</v>
      </c>
      <c r="CRB4" t="s">
        <v>61728</v>
      </c>
      <c r="CRC4">
        <v>480059</v>
      </c>
      <c r="CRD4" t="s">
        <v>61729</v>
      </c>
      <c r="CRE4">
        <v>480347</v>
      </c>
      <c r="CRF4" t="s">
        <v>61730</v>
      </c>
      <c r="CRG4">
        <v>480357</v>
      </c>
      <c r="CRH4" t="s">
        <v>61731</v>
      </c>
      <c r="CRI4">
        <v>487460</v>
      </c>
      <c r="CRJ4" t="s">
        <v>61732</v>
      </c>
      <c r="CRK4">
        <v>488308</v>
      </c>
      <c r="CRL4" t="s">
        <v>61733</v>
      </c>
      <c r="CRM4">
        <v>488387</v>
      </c>
      <c r="CRN4" t="s">
        <v>61734</v>
      </c>
      <c r="CRO4">
        <v>488424</v>
      </c>
      <c r="CRP4" t="s">
        <v>61735</v>
      </c>
      <c r="CRQ4">
        <v>488425</v>
      </c>
      <c r="CRR4" t="s">
        <v>61736</v>
      </c>
      <c r="CRS4">
        <v>488429</v>
      </c>
      <c r="CRT4" t="s">
        <v>61737</v>
      </c>
      <c r="CRU4">
        <v>488432</v>
      </c>
      <c r="CRV4" t="s">
        <v>61738</v>
      </c>
      <c r="CRW4">
        <v>488448</v>
      </c>
      <c r="CRX4" t="s">
        <v>61739</v>
      </c>
      <c r="CRY4">
        <v>488607</v>
      </c>
      <c r="CRZ4" t="s">
        <v>61740</v>
      </c>
      <c r="CSA4">
        <v>488618</v>
      </c>
      <c r="CSB4" t="s">
        <v>61741</v>
      </c>
      <c r="CSC4">
        <v>488885</v>
      </c>
      <c r="CSD4" t="s">
        <v>61742</v>
      </c>
      <c r="CSE4">
        <v>489013</v>
      </c>
      <c r="CSF4" t="s">
        <v>61743</v>
      </c>
      <c r="CSG4">
        <v>489103</v>
      </c>
      <c r="CSH4" t="s">
        <v>61744</v>
      </c>
      <c r="CSI4">
        <v>489116</v>
      </c>
      <c r="CSJ4" t="s">
        <v>61745</v>
      </c>
      <c r="CSK4">
        <v>489117</v>
      </c>
      <c r="CSL4" t="s">
        <v>61746</v>
      </c>
      <c r="CSM4">
        <v>490103</v>
      </c>
      <c r="CSN4" t="s">
        <v>61747</v>
      </c>
      <c r="CSO4">
        <v>490716</v>
      </c>
      <c r="CSP4" t="s">
        <v>61748</v>
      </c>
      <c r="CSQ4">
        <v>490718</v>
      </c>
      <c r="CSR4" t="s">
        <v>61749</v>
      </c>
      <c r="CSS4">
        <v>490719</v>
      </c>
      <c r="CST4" t="s">
        <v>61750</v>
      </c>
      <c r="CSU4">
        <v>491693</v>
      </c>
      <c r="CSV4" t="s">
        <v>61751</v>
      </c>
      <c r="CSW4">
        <v>509456</v>
      </c>
      <c r="CSX4" t="s">
        <v>61752</v>
      </c>
      <c r="CSY4">
        <v>509699</v>
      </c>
      <c r="CSZ4" t="s">
        <v>61753</v>
      </c>
      <c r="CTA4">
        <v>509720</v>
      </c>
      <c r="CTB4" t="s">
        <v>61754</v>
      </c>
      <c r="CTC4">
        <v>509753</v>
      </c>
      <c r="CTD4" t="s">
        <v>61755</v>
      </c>
      <c r="CTE4">
        <v>518291</v>
      </c>
      <c r="CTF4" t="s">
        <v>61756</v>
      </c>
      <c r="CTG4">
        <v>518297</v>
      </c>
      <c r="CTH4" t="s">
        <v>61757</v>
      </c>
      <c r="CTI4">
        <v>518311</v>
      </c>
      <c r="CTJ4" t="s">
        <v>61758</v>
      </c>
      <c r="CTK4">
        <v>518321</v>
      </c>
      <c r="CTL4" t="s">
        <v>61759</v>
      </c>
      <c r="CTM4">
        <v>518358</v>
      </c>
      <c r="CTN4" t="s">
        <v>61760</v>
      </c>
      <c r="CTO4">
        <v>518382</v>
      </c>
      <c r="CTP4" t="s">
        <v>61761</v>
      </c>
      <c r="CTQ4">
        <v>518407</v>
      </c>
      <c r="CTR4" t="s">
        <v>61762</v>
      </c>
      <c r="CTS4">
        <v>518424</v>
      </c>
      <c r="CTT4" t="s">
        <v>61763</v>
      </c>
      <c r="CTU4">
        <v>518435</v>
      </c>
      <c r="CTV4" t="s">
        <v>61764</v>
      </c>
      <c r="CTW4">
        <v>518451</v>
      </c>
      <c r="CTX4" t="s">
        <v>61765</v>
      </c>
      <c r="CTY4">
        <v>518461</v>
      </c>
      <c r="CTZ4" t="s">
        <v>61766</v>
      </c>
      <c r="CUA4">
        <v>518476</v>
      </c>
      <c r="CUB4" t="s">
        <v>61767</v>
      </c>
      <c r="CUC4">
        <v>518486</v>
      </c>
      <c r="CUD4" t="s">
        <v>61768</v>
      </c>
      <c r="CUE4">
        <v>518507</v>
      </c>
      <c r="CUF4" t="s">
        <v>61769</v>
      </c>
      <c r="CUG4">
        <v>518528</v>
      </c>
      <c r="CUH4" t="s">
        <v>61770</v>
      </c>
      <c r="CUI4">
        <v>518534</v>
      </c>
      <c r="CUJ4" t="s">
        <v>61771</v>
      </c>
      <c r="CUK4">
        <v>518553</v>
      </c>
      <c r="CUL4" t="s">
        <v>61772</v>
      </c>
      <c r="CUM4">
        <v>518640</v>
      </c>
      <c r="CUN4" t="s">
        <v>61773</v>
      </c>
      <c r="CUO4">
        <v>518661</v>
      </c>
      <c r="CUP4" t="s">
        <v>61774</v>
      </c>
      <c r="CUQ4">
        <v>518669</v>
      </c>
      <c r="CUR4" t="s">
        <v>61775</v>
      </c>
      <c r="CUS4">
        <v>518709</v>
      </c>
      <c r="CUT4" t="s">
        <v>61776</v>
      </c>
      <c r="CUU4">
        <v>518718</v>
      </c>
      <c r="CUV4" t="s">
        <v>61777</v>
      </c>
      <c r="CUW4">
        <v>518721</v>
      </c>
      <c r="CUX4" t="s">
        <v>61778</v>
      </c>
      <c r="CUY4">
        <v>518727</v>
      </c>
      <c r="CUZ4" t="s">
        <v>61779</v>
      </c>
      <c r="CVA4">
        <v>518771</v>
      </c>
      <c r="CVB4" t="s">
        <v>61780</v>
      </c>
      <c r="CVC4">
        <v>518781</v>
      </c>
      <c r="CVD4" t="s">
        <v>61781</v>
      </c>
      <c r="CVE4">
        <v>518846</v>
      </c>
      <c r="CVF4" t="s">
        <v>61782</v>
      </c>
      <c r="CVG4">
        <v>518859</v>
      </c>
      <c r="CVH4" t="s">
        <v>61783</v>
      </c>
      <c r="CVI4">
        <v>518866</v>
      </c>
      <c r="CVJ4" t="s">
        <v>61784</v>
      </c>
      <c r="CVK4">
        <v>518869</v>
      </c>
      <c r="CVL4" t="s">
        <v>61785</v>
      </c>
      <c r="CVM4">
        <v>518975</v>
      </c>
      <c r="CVN4" t="s">
        <v>61786</v>
      </c>
      <c r="CVO4">
        <v>518981</v>
      </c>
      <c r="CVP4" t="s">
        <v>61787</v>
      </c>
      <c r="CVQ4">
        <v>518997</v>
      </c>
      <c r="CVR4" t="s">
        <v>61788</v>
      </c>
      <c r="CVS4">
        <v>519007</v>
      </c>
      <c r="CVT4" t="s">
        <v>61789</v>
      </c>
      <c r="CVU4">
        <v>519021</v>
      </c>
      <c r="CVV4" t="s">
        <v>61790</v>
      </c>
      <c r="CVW4">
        <v>519028</v>
      </c>
      <c r="CVX4" t="s">
        <v>61791</v>
      </c>
      <c r="CVY4">
        <v>519114</v>
      </c>
      <c r="CVZ4" t="s">
        <v>61792</v>
      </c>
      <c r="CWA4">
        <v>519124</v>
      </c>
      <c r="CWB4" t="s">
        <v>61793</v>
      </c>
      <c r="CWC4">
        <v>519215</v>
      </c>
      <c r="CWD4" t="s">
        <v>61794</v>
      </c>
      <c r="CWE4">
        <v>519223</v>
      </c>
      <c r="CWF4" t="s">
        <v>61795</v>
      </c>
      <c r="CWG4">
        <v>519309</v>
      </c>
      <c r="CWH4" t="s">
        <v>61796</v>
      </c>
      <c r="CWI4">
        <v>519399</v>
      </c>
      <c r="CWJ4" t="s">
        <v>61797</v>
      </c>
      <c r="CWK4">
        <v>519500</v>
      </c>
      <c r="CWL4" t="s">
        <v>61798</v>
      </c>
      <c r="CWM4">
        <v>519536</v>
      </c>
      <c r="CWN4" t="s">
        <v>61799</v>
      </c>
      <c r="CWO4">
        <v>519545</v>
      </c>
      <c r="CWP4" t="s">
        <v>61800</v>
      </c>
      <c r="CWQ4">
        <v>519561</v>
      </c>
      <c r="CWR4" t="s">
        <v>61801</v>
      </c>
      <c r="CWS4">
        <v>519636</v>
      </c>
      <c r="CWT4" t="s">
        <v>61802</v>
      </c>
      <c r="CWU4">
        <v>519657</v>
      </c>
      <c r="CWV4" t="s">
        <v>61803</v>
      </c>
      <c r="CWW4">
        <v>519667</v>
      </c>
      <c r="CWX4" t="s">
        <v>61804</v>
      </c>
      <c r="CWY4">
        <v>519787</v>
      </c>
      <c r="CWZ4" t="s">
        <v>61805</v>
      </c>
      <c r="CXA4">
        <v>519795</v>
      </c>
      <c r="CXC4" t="s">
        <v>61806</v>
      </c>
      <c r="CXD4">
        <v>519818</v>
      </c>
      <c r="CXE4" t="s">
        <v>61807</v>
      </c>
      <c r="CXF4">
        <v>519826</v>
      </c>
      <c r="CXG4" t="s">
        <v>61808</v>
      </c>
      <c r="CXH4">
        <v>519871</v>
      </c>
      <c r="CXJ4" t="s">
        <v>61809</v>
      </c>
      <c r="CXK4">
        <v>519910</v>
      </c>
      <c r="CXL4" t="s">
        <v>61810</v>
      </c>
      <c r="CXM4">
        <v>519918</v>
      </c>
      <c r="CXN4" t="s">
        <v>61811</v>
      </c>
      <c r="CXO4">
        <v>519924</v>
      </c>
      <c r="CXP4" t="s">
        <v>61812</v>
      </c>
      <c r="CXQ4">
        <v>519927</v>
      </c>
      <c r="CXR4" t="s">
        <v>61813</v>
      </c>
      <c r="CXS4">
        <v>519992</v>
      </c>
      <c r="CXT4" t="s">
        <v>61814</v>
      </c>
      <c r="CXU4">
        <v>520001</v>
      </c>
      <c r="CXV4" t="s">
        <v>61815</v>
      </c>
      <c r="CXW4">
        <v>520011</v>
      </c>
      <c r="CXX4" t="s">
        <v>61816</v>
      </c>
      <c r="CXY4">
        <v>520036</v>
      </c>
      <c r="CXZ4" t="s">
        <v>61817</v>
      </c>
      <c r="CYA4">
        <v>520039</v>
      </c>
      <c r="CYB4" t="s">
        <v>61818</v>
      </c>
      <c r="CYC4">
        <v>520043</v>
      </c>
      <c r="CYD4" t="s">
        <v>61819</v>
      </c>
      <c r="CYE4">
        <v>520106</v>
      </c>
      <c r="CYF4" t="s">
        <v>61820</v>
      </c>
      <c r="CYG4">
        <v>520120</v>
      </c>
      <c r="CYH4" t="s">
        <v>61821</v>
      </c>
      <c r="CYI4">
        <v>520142</v>
      </c>
      <c r="CYJ4" t="s">
        <v>61822</v>
      </c>
      <c r="CYK4">
        <v>520155</v>
      </c>
      <c r="CYL4" t="s">
        <v>61823</v>
      </c>
      <c r="CYM4">
        <v>520266</v>
      </c>
      <c r="CYN4" t="s">
        <v>61824</v>
      </c>
      <c r="CYO4">
        <v>520382</v>
      </c>
      <c r="CYP4" t="s">
        <v>61825</v>
      </c>
      <c r="CYQ4">
        <v>520391</v>
      </c>
      <c r="CYR4" t="s">
        <v>61826</v>
      </c>
      <c r="CYS4">
        <v>520401</v>
      </c>
      <c r="CYT4" t="s">
        <v>61827</v>
      </c>
      <c r="CYU4">
        <v>520437</v>
      </c>
      <c r="CYV4" t="s">
        <v>61828</v>
      </c>
      <c r="CYW4">
        <v>520438</v>
      </c>
      <c r="CYX4" t="s">
        <v>61829</v>
      </c>
      <c r="CYY4">
        <v>520469</v>
      </c>
      <c r="CYZ4" t="s">
        <v>61830</v>
      </c>
      <c r="CZA4">
        <v>520481</v>
      </c>
      <c r="CZB4" t="s">
        <v>61831</v>
      </c>
      <c r="CZC4">
        <v>520950</v>
      </c>
      <c r="CZD4" t="s">
        <v>61832</v>
      </c>
      <c r="CZE4">
        <v>522565</v>
      </c>
      <c r="CZF4" t="s">
        <v>61833</v>
      </c>
      <c r="CZG4">
        <v>523187</v>
      </c>
      <c r="CZH4" t="s">
        <v>61834</v>
      </c>
      <c r="CZI4">
        <v>523317</v>
      </c>
      <c r="CZJ4" t="s">
        <v>61835</v>
      </c>
      <c r="CZK4">
        <v>532023</v>
      </c>
      <c r="CZL4" t="s">
        <v>61836</v>
      </c>
      <c r="CZM4">
        <v>532072</v>
      </c>
      <c r="CZN4" t="s">
        <v>61837</v>
      </c>
      <c r="CZO4">
        <v>532078</v>
      </c>
      <c r="CZP4" t="s">
        <v>61838</v>
      </c>
      <c r="CZQ4">
        <v>541253</v>
      </c>
      <c r="CZR4" t="s">
        <v>61839</v>
      </c>
      <c r="CZS4">
        <v>541329</v>
      </c>
      <c r="CZT4" t="s">
        <v>61840</v>
      </c>
      <c r="CZU4">
        <v>541562</v>
      </c>
      <c r="CZV4" t="s">
        <v>61841</v>
      </c>
      <c r="CZW4">
        <v>541600</v>
      </c>
      <c r="CZX4" t="s">
        <v>61842</v>
      </c>
      <c r="CZY4">
        <v>541684</v>
      </c>
      <c r="CZZ4" t="s">
        <v>61843</v>
      </c>
      <c r="DAA4">
        <v>541694</v>
      </c>
      <c r="DAB4" t="s">
        <v>61844</v>
      </c>
      <c r="DAC4">
        <v>541703</v>
      </c>
      <c r="DAD4" t="s">
        <v>61845</v>
      </c>
      <c r="DAE4">
        <v>541763</v>
      </c>
      <c r="DAF4" t="s">
        <v>61846</v>
      </c>
      <c r="DAG4">
        <v>541786</v>
      </c>
      <c r="DAH4" t="s">
        <v>61847</v>
      </c>
      <c r="DAI4">
        <v>541794</v>
      </c>
      <c r="DAJ4" t="s">
        <v>61848</v>
      </c>
      <c r="DAK4">
        <v>541900</v>
      </c>
      <c r="DAL4" t="s">
        <v>61849</v>
      </c>
      <c r="DAM4">
        <v>545211</v>
      </c>
      <c r="DAN4" t="s">
        <v>61850</v>
      </c>
      <c r="DAO4">
        <v>553487</v>
      </c>
      <c r="DAP4" t="s">
        <v>61851</v>
      </c>
      <c r="DAQ4">
        <v>556379</v>
      </c>
      <c r="DAR4" t="s">
        <v>61852</v>
      </c>
      <c r="DAS4">
        <v>556449</v>
      </c>
      <c r="DAT4" t="s">
        <v>61853</v>
      </c>
      <c r="DAU4">
        <v>556460</v>
      </c>
      <c r="DAV4" t="s">
        <v>61854</v>
      </c>
      <c r="DAW4">
        <v>556473</v>
      </c>
      <c r="DAX4" t="s">
        <v>61855</v>
      </c>
      <c r="DAY4">
        <v>556476</v>
      </c>
      <c r="DAZ4" t="s">
        <v>61856</v>
      </c>
      <c r="DBA4">
        <v>556483</v>
      </c>
      <c r="DBB4" t="s">
        <v>61857</v>
      </c>
      <c r="DBC4">
        <v>556486</v>
      </c>
      <c r="DBD4" t="s">
        <v>61858</v>
      </c>
      <c r="DBE4">
        <v>556936</v>
      </c>
      <c r="DBF4" t="s">
        <v>61859</v>
      </c>
      <c r="DBG4">
        <v>557791</v>
      </c>
      <c r="DBH4" t="s">
        <v>61860</v>
      </c>
      <c r="DBI4">
        <v>558087</v>
      </c>
      <c r="DBJ4" t="s">
        <v>61861</v>
      </c>
      <c r="DBK4">
        <v>558131</v>
      </c>
      <c r="DBL4" t="s">
        <v>61862</v>
      </c>
      <c r="DBM4">
        <v>567100</v>
      </c>
      <c r="DBN4" t="s">
        <v>61863</v>
      </c>
      <c r="DBO4">
        <v>567437</v>
      </c>
      <c r="DBP4" t="s">
        <v>61864</v>
      </c>
      <c r="DBQ4">
        <v>567512</v>
      </c>
      <c r="DBR4" t="s">
        <v>61865</v>
      </c>
      <c r="DBS4">
        <v>571077</v>
      </c>
      <c r="DBT4" t="s">
        <v>61866</v>
      </c>
      <c r="DBU4">
        <v>571102</v>
      </c>
      <c r="DBV4" t="s">
        <v>61867</v>
      </c>
      <c r="DBW4">
        <v>575553</v>
      </c>
      <c r="DBX4" t="s">
        <v>61868</v>
      </c>
      <c r="DBY4">
        <v>578148</v>
      </c>
      <c r="DBZ4" t="s">
        <v>61869</v>
      </c>
      <c r="DCA4">
        <v>578966</v>
      </c>
      <c r="DCB4" t="s">
        <v>61870</v>
      </c>
      <c r="DCC4">
        <v>579009</v>
      </c>
      <c r="DCD4" t="s">
        <v>61871</v>
      </c>
      <c r="DCE4">
        <v>579107</v>
      </c>
      <c r="DCF4" t="s">
        <v>61872</v>
      </c>
      <c r="DCG4">
        <v>579112</v>
      </c>
      <c r="DCH4" t="s">
        <v>61873</v>
      </c>
      <c r="DCI4">
        <v>579130</v>
      </c>
      <c r="DCJ4" t="s">
        <v>61874</v>
      </c>
      <c r="DCK4">
        <v>579231</v>
      </c>
      <c r="DCL4" t="s">
        <v>61875</v>
      </c>
      <c r="DCM4">
        <v>579254</v>
      </c>
      <c r="DCN4" t="s">
        <v>61876</v>
      </c>
      <c r="DCO4">
        <v>579669</v>
      </c>
      <c r="DCP4" t="s">
        <v>61877</v>
      </c>
      <c r="DCQ4">
        <v>579692</v>
      </c>
      <c r="DCR4" t="s">
        <v>61878</v>
      </c>
      <c r="DCS4">
        <v>579822</v>
      </c>
      <c r="DCT4" t="s">
        <v>61879</v>
      </c>
      <c r="DCU4">
        <v>579836</v>
      </c>
      <c r="DCV4" t="s">
        <v>61880</v>
      </c>
      <c r="DCW4">
        <v>579866</v>
      </c>
      <c r="DCX4" t="s">
        <v>61881</v>
      </c>
      <c r="DCY4">
        <v>580361</v>
      </c>
      <c r="DCZ4" t="s">
        <v>61882</v>
      </c>
      <c r="DDA4">
        <v>580405</v>
      </c>
      <c r="DDB4" t="s">
        <v>61883</v>
      </c>
      <c r="DDC4">
        <v>580411</v>
      </c>
      <c r="DDD4" t="s">
        <v>61884</v>
      </c>
      <c r="DDE4">
        <v>580543</v>
      </c>
      <c r="DDF4" t="s">
        <v>61885</v>
      </c>
      <c r="DDG4">
        <v>580544</v>
      </c>
      <c r="DDH4" t="s">
        <v>61886</v>
      </c>
      <c r="DDI4">
        <v>580657</v>
      </c>
      <c r="DDJ4" t="s">
        <v>61887</v>
      </c>
      <c r="DDK4">
        <v>580665</v>
      </c>
      <c r="DDL4" t="s">
        <v>61888</v>
      </c>
      <c r="DDM4">
        <v>580720</v>
      </c>
      <c r="DDN4" t="s">
        <v>61889</v>
      </c>
      <c r="DDO4">
        <v>580742</v>
      </c>
      <c r="DDP4" t="s">
        <v>61890</v>
      </c>
      <c r="DDQ4">
        <v>580841</v>
      </c>
      <c r="DDR4" t="s">
        <v>61891</v>
      </c>
      <c r="DDS4">
        <v>580886</v>
      </c>
      <c r="DDT4" t="s">
        <v>61892</v>
      </c>
      <c r="DDU4">
        <v>581026</v>
      </c>
      <c r="DDV4" t="s">
        <v>61893</v>
      </c>
      <c r="DDW4">
        <v>581033</v>
      </c>
      <c r="DDX4" t="s">
        <v>61894</v>
      </c>
      <c r="DDY4">
        <v>581046</v>
      </c>
      <c r="DDZ4" t="s">
        <v>61895</v>
      </c>
      <c r="DEA4">
        <v>581052</v>
      </c>
      <c r="DEB4" t="s">
        <v>61896</v>
      </c>
      <c r="DEC4">
        <v>581070</v>
      </c>
      <c r="DED4" t="s">
        <v>61897</v>
      </c>
      <c r="DEE4">
        <v>581380</v>
      </c>
      <c r="DEF4" t="s">
        <v>61898</v>
      </c>
      <c r="DEG4">
        <v>581434</v>
      </c>
      <c r="DEH4" t="s">
        <v>61899</v>
      </c>
      <c r="DEI4">
        <v>581441</v>
      </c>
      <c r="DEJ4" t="s">
        <v>61900</v>
      </c>
      <c r="DEK4">
        <v>581535</v>
      </c>
      <c r="DEL4" t="s">
        <v>61901</v>
      </c>
      <c r="DEM4">
        <v>581536</v>
      </c>
      <c r="DEN4" t="s">
        <v>61902</v>
      </c>
      <c r="DEO4">
        <v>581563</v>
      </c>
      <c r="DEP4" t="s">
        <v>61903</v>
      </c>
      <c r="DEQ4">
        <v>581565</v>
      </c>
      <c r="DER4" t="s">
        <v>61904</v>
      </c>
      <c r="DES4">
        <v>581625</v>
      </c>
      <c r="DET4" t="s">
        <v>61905</v>
      </c>
      <c r="DEU4">
        <v>581633</v>
      </c>
      <c r="DEV4" t="s">
        <v>61906</v>
      </c>
      <c r="DEW4">
        <v>581659</v>
      </c>
      <c r="DEX4" t="s">
        <v>61907</v>
      </c>
      <c r="DEY4">
        <v>581698</v>
      </c>
      <c r="DEZ4" t="s">
        <v>61908</v>
      </c>
      <c r="DFA4">
        <v>581806</v>
      </c>
      <c r="DFB4" t="s">
        <v>61909</v>
      </c>
      <c r="DFC4">
        <v>581811</v>
      </c>
      <c r="DFD4" t="s">
        <v>61910</v>
      </c>
      <c r="DFE4">
        <v>581825</v>
      </c>
      <c r="DFF4" t="s">
        <v>61911</v>
      </c>
      <c r="DFG4">
        <v>581827</v>
      </c>
      <c r="DFH4" t="s">
        <v>61912</v>
      </c>
      <c r="DFI4">
        <v>582037</v>
      </c>
      <c r="DFJ4" t="s">
        <v>61913</v>
      </c>
      <c r="DFK4">
        <v>583692</v>
      </c>
      <c r="DFL4" t="s">
        <v>61914</v>
      </c>
      <c r="DFM4">
        <v>583704</v>
      </c>
      <c r="DFN4" t="s">
        <v>61915</v>
      </c>
      <c r="DFO4">
        <v>583729</v>
      </c>
      <c r="DFP4" t="s">
        <v>61916</v>
      </c>
      <c r="DFQ4">
        <v>583768</v>
      </c>
      <c r="DFR4" t="s">
        <v>61917</v>
      </c>
      <c r="DFS4">
        <v>591394</v>
      </c>
      <c r="DFT4" t="s">
        <v>61918</v>
      </c>
      <c r="DFU4">
        <v>591402</v>
      </c>
      <c r="DFV4" t="s">
        <v>61919</v>
      </c>
      <c r="DFW4">
        <v>591465</v>
      </c>
      <c r="DFX4" t="s">
        <v>61920</v>
      </c>
      <c r="DFY4">
        <v>591471</v>
      </c>
      <c r="DFZ4" t="s">
        <v>61921</v>
      </c>
      <c r="DGA4">
        <v>591488</v>
      </c>
      <c r="DGB4" t="s">
        <v>61922</v>
      </c>
      <c r="DGC4">
        <v>591512</v>
      </c>
      <c r="DGD4" t="s">
        <v>61923</v>
      </c>
      <c r="DGE4">
        <v>591556</v>
      </c>
      <c r="DGF4" t="s">
        <v>61924</v>
      </c>
      <c r="DGG4">
        <v>591875</v>
      </c>
      <c r="DGH4" t="s">
        <v>61925</v>
      </c>
      <c r="DGI4">
        <v>591920</v>
      </c>
      <c r="DGJ4" t="s">
        <v>61926</v>
      </c>
      <c r="DGK4">
        <v>591925</v>
      </c>
      <c r="DGL4" t="s">
        <v>61927</v>
      </c>
      <c r="DGM4">
        <v>592047</v>
      </c>
      <c r="DGN4" t="s">
        <v>61928</v>
      </c>
      <c r="DGO4">
        <v>592221</v>
      </c>
      <c r="DGP4" t="s">
        <v>61929</v>
      </c>
      <c r="DGQ4">
        <v>592884</v>
      </c>
      <c r="DGR4" t="s">
        <v>61930</v>
      </c>
      <c r="DGS4">
        <v>593071</v>
      </c>
      <c r="DGT4" t="s">
        <v>61931</v>
      </c>
      <c r="DGU4">
        <v>593078</v>
      </c>
      <c r="DGV4" t="s">
        <v>61932</v>
      </c>
      <c r="DGW4">
        <v>593191</v>
      </c>
      <c r="DGX4" t="s">
        <v>61933</v>
      </c>
      <c r="DGY4">
        <v>593207</v>
      </c>
      <c r="DGZ4" t="s">
        <v>61934</v>
      </c>
      <c r="DHA4">
        <v>594543</v>
      </c>
      <c r="DHB4" t="s">
        <v>61935</v>
      </c>
      <c r="DHC4">
        <v>594712</v>
      </c>
      <c r="DHD4" t="s">
        <v>61936</v>
      </c>
      <c r="DHE4">
        <v>595476</v>
      </c>
      <c r="DHF4" t="s">
        <v>61937</v>
      </c>
      <c r="DHG4">
        <v>595491</v>
      </c>
      <c r="DHH4" t="s">
        <v>61938</v>
      </c>
      <c r="DHI4">
        <v>595493</v>
      </c>
      <c r="DHJ4" t="s">
        <v>61939</v>
      </c>
      <c r="DHK4">
        <v>595532</v>
      </c>
      <c r="DHL4" t="s">
        <v>61940</v>
      </c>
      <c r="DHM4">
        <v>595550</v>
      </c>
      <c r="DHN4" t="s">
        <v>61941</v>
      </c>
      <c r="DHO4">
        <v>595598</v>
      </c>
      <c r="DHP4" t="s">
        <v>61942</v>
      </c>
      <c r="DHQ4">
        <v>595726</v>
      </c>
      <c r="DHR4" t="s">
        <v>61943</v>
      </c>
      <c r="DHS4">
        <v>595737</v>
      </c>
      <c r="DHT4" t="s">
        <v>61944</v>
      </c>
      <c r="DHU4">
        <v>596812</v>
      </c>
      <c r="DHV4" t="s">
        <v>61945</v>
      </c>
      <c r="DHW4">
        <v>597181</v>
      </c>
      <c r="DHX4" t="s">
        <v>61946</v>
      </c>
      <c r="DHY4">
        <v>597252</v>
      </c>
      <c r="DHZ4" t="s">
        <v>61947</v>
      </c>
      <c r="DIA4">
        <v>597259</v>
      </c>
      <c r="DIB4" t="s">
        <v>61948</v>
      </c>
      <c r="DIC4">
        <v>597274</v>
      </c>
      <c r="DID4" t="s">
        <v>61949</v>
      </c>
      <c r="DIE4">
        <v>597282</v>
      </c>
      <c r="DIF4" t="s">
        <v>61950</v>
      </c>
      <c r="DIG4">
        <v>597304</v>
      </c>
      <c r="DIH4" t="s">
        <v>61951</v>
      </c>
      <c r="DII4">
        <v>597321</v>
      </c>
      <c r="DIJ4" t="s">
        <v>61952</v>
      </c>
      <c r="DIK4">
        <v>597346</v>
      </c>
      <c r="DIL4" t="s">
        <v>61953</v>
      </c>
      <c r="DIM4">
        <v>597364</v>
      </c>
      <c r="DIN4" t="s">
        <v>61954</v>
      </c>
      <c r="DIO4">
        <v>597421</v>
      </c>
      <c r="DIP4" t="s">
        <v>61955</v>
      </c>
      <c r="DIQ4">
        <v>597468</v>
      </c>
      <c r="DIR4" t="s">
        <v>61956</v>
      </c>
      <c r="DIS4">
        <v>598072</v>
      </c>
      <c r="DIT4" t="s">
        <v>61957</v>
      </c>
      <c r="DIU4">
        <v>598075</v>
      </c>
      <c r="DIV4" t="s">
        <v>61958</v>
      </c>
      <c r="DIW4">
        <v>598097</v>
      </c>
      <c r="DIX4" t="s">
        <v>61959</v>
      </c>
      <c r="DIY4">
        <v>598221</v>
      </c>
      <c r="DIZ4" t="s">
        <v>61960</v>
      </c>
      <c r="DJA4">
        <v>598270</v>
      </c>
      <c r="DJB4" t="s">
        <v>61961</v>
      </c>
      <c r="DJC4">
        <v>598298</v>
      </c>
      <c r="DJD4" t="s">
        <v>61962</v>
      </c>
      <c r="DJE4">
        <v>599339</v>
      </c>
      <c r="DJF4" t="s">
        <v>61963</v>
      </c>
      <c r="DJG4">
        <v>599379</v>
      </c>
      <c r="DJH4" t="s">
        <v>61964</v>
      </c>
      <c r="DJI4">
        <v>600113</v>
      </c>
      <c r="DJJ4" t="s">
        <v>61965</v>
      </c>
      <c r="DJK4">
        <v>600119</v>
      </c>
      <c r="DJL4" t="s">
        <v>61966</v>
      </c>
      <c r="DJM4">
        <v>600128</v>
      </c>
      <c r="DJN4" t="s">
        <v>61967</v>
      </c>
      <c r="DJO4">
        <v>600419</v>
      </c>
      <c r="DJP4" t="s">
        <v>61968</v>
      </c>
      <c r="DJQ4">
        <v>600471</v>
      </c>
      <c r="DJR4" t="s">
        <v>61969</v>
      </c>
      <c r="DJS4">
        <v>600588</v>
      </c>
      <c r="DJT4" t="s">
        <v>61970</v>
      </c>
      <c r="DJU4">
        <v>600684</v>
      </c>
      <c r="DJV4" t="s">
        <v>61971</v>
      </c>
      <c r="DJW4">
        <v>600782</v>
      </c>
      <c r="DJX4" t="s">
        <v>61972</v>
      </c>
      <c r="DJY4">
        <v>600786</v>
      </c>
      <c r="DJZ4" t="s">
        <v>61973</v>
      </c>
      <c r="DKA4">
        <v>600792</v>
      </c>
      <c r="DKB4" t="s">
        <v>61974</v>
      </c>
      <c r="DKC4">
        <v>600817</v>
      </c>
      <c r="DKD4" t="s">
        <v>61975</v>
      </c>
      <c r="DKE4">
        <v>600846</v>
      </c>
      <c r="DKF4" t="s">
        <v>61976</v>
      </c>
      <c r="DKG4">
        <v>600928</v>
      </c>
      <c r="DKH4" t="s">
        <v>61977</v>
      </c>
      <c r="DKI4">
        <v>601093</v>
      </c>
      <c r="DKK4" t="s">
        <v>61978</v>
      </c>
      <c r="DKL4">
        <v>601098</v>
      </c>
      <c r="DKM4" t="s">
        <v>61979</v>
      </c>
      <c r="DKN4">
        <v>601125</v>
      </c>
      <c r="DKO4" t="s">
        <v>61980</v>
      </c>
      <c r="DKP4">
        <v>601157</v>
      </c>
      <c r="DKQ4" t="s">
        <v>61981</v>
      </c>
      <c r="DKR4">
        <v>601170</v>
      </c>
      <c r="DKS4" t="s">
        <v>61982</v>
      </c>
      <c r="DKT4">
        <v>601174</v>
      </c>
      <c r="DKU4" t="s">
        <v>61983</v>
      </c>
      <c r="DKV4">
        <v>601215</v>
      </c>
      <c r="DKW4" t="s">
        <v>61984</v>
      </c>
      <c r="DKX4">
        <v>601229</v>
      </c>
      <c r="DKY4" t="s">
        <v>61985</v>
      </c>
      <c r="DKZ4">
        <v>601241</v>
      </c>
      <c r="DLA4" t="s">
        <v>61986</v>
      </c>
      <c r="DLB4">
        <v>601249</v>
      </c>
      <c r="DLC4" t="s">
        <v>61987</v>
      </c>
      <c r="DLD4">
        <v>601262</v>
      </c>
      <c r="DLE4" t="s">
        <v>61988</v>
      </c>
      <c r="DLF4">
        <v>601277</v>
      </c>
      <c r="DLG4" t="s">
        <v>61989</v>
      </c>
      <c r="DLH4">
        <v>601285</v>
      </c>
      <c r="DLJ4" t="s">
        <v>61990</v>
      </c>
      <c r="DLK4">
        <v>601303</v>
      </c>
      <c r="DLL4" t="s">
        <v>61991</v>
      </c>
      <c r="DLM4">
        <v>601308</v>
      </c>
      <c r="DLN4" t="s">
        <v>61992</v>
      </c>
      <c r="DLO4">
        <v>601310</v>
      </c>
      <c r="DLP4" t="s">
        <v>61993</v>
      </c>
      <c r="DLQ4">
        <v>601321</v>
      </c>
      <c r="DLR4" t="s">
        <v>61994</v>
      </c>
      <c r="DLS4">
        <v>601351</v>
      </c>
      <c r="DLT4" t="s">
        <v>61995</v>
      </c>
      <c r="DLU4">
        <v>601371</v>
      </c>
      <c r="DLV4" t="s">
        <v>61996</v>
      </c>
      <c r="DLW4">
        <v>601392</v>
      </c>
      <c r="DLX4" t="s">
        <v>61997</v>
      </c>
      <c r="DLY4">
        <v>601404</v>
      </c>
      <c r="DLZ4" t="s">
        <v>61998</v>
      </c>
      <c r="DMA4">
        <v>601432</v>
      </c>
      <c r="DMB4" t="s">
        <v>61999</v>
      </c>
      <c r="DMC4">
        <v>601453</v>
      </c>
      <c r="DMD4" t="s">
        <v>62000</v>
      </c>
      <c r="DME4">
        <v>601474</v>
      </c>
      <c r="DMF4" t="s">
        <v>62001</v>
      </c>
      <c r="DMG4">
        <v>601485</v>
      </c>
      <c r="DMH4" t="s">
        <v>62002</v>
      </c>
      <c r="DMI4">
        <v>601510</v>
      </c>
      <c r="DMJ4" t="s">
        <v>62003</v>
      </c>
      <c r="DMK4">
        <v>601529</v>
      </c>
      <c r="DML4" t="s">
        <v>62004</v>
      </c>
      <c r="DMM4">
        <v>601542</v>
      </c>
      <c r="DMN4" t="s">
        <v>62005</v>
      </c>
      <c r="DMO4">
        <v>601562</v>
      </c>
      <c r="DMP4" t="s">
        <v>62006</v>
      </c>
      <c r="DMQ4">
        <v>601834</v>
      </c>
      <c r="DMR4" t="s">
        <v>62007</v>
      </c>
      <c r="DMS4">
        <v>601899</v>
      </c>
      <c r="DMT4" t="s">
        <v>62008</v>
      </c>
      <c r="DMU4">
        <v>601906</v>
      </c>
      <c r="DMV4" t="s">
        <v>62009</v>
      </c>
      <c r="DMW4">
        <v>601924</v>
      </c>
      <c r="DMX4" t="s">
        <v>62010</v>
      </c>
      <c r="DMY4">
        <v>601930</v>
      </c>
      <c r="DMZ4" t="s">
        <v>62011</v>
      </c>
      <c r="DNA4">
        <v>602188</v>
      </c>
      <c r="DNB4" t="s">
        <v>62012</v>
      </c>
      <c r="DNC4">
        <v>602303</v>
      </c>
      <c r="DND4" t="s">
        <v>62013</v>
      </c>
      <c r="DNE4">
        <v>602323</v>
      </c>
      <c r="DNF4" t="s">
        <v>62014</v>
      </c>
      <c r="DNG4">
        <v>602337</v>
      </c>
      <c r="DNH4" t="s">
        <v>62015</v>
      </c>
      <c r="DNI4">
        <v>602358</v>
      </c>
      <c r="DNJ4" t="s">
        <v>62016</v>
      </c>
      <c r="DNK4">
        <v>602423</v>
      </c>
      <c r="DNL4" t="s">
        <v>62017</v>
      </c>
      <c r="DNM4">
        <v>602428</v>
      </c>
      <c r="DNN4" t="s">
        <v>62018</v>
      </c>
      <c r="DNO4">
        <v>604721</v>
      </c>
      <c r="DNP4" t="s">
        <v>62019</v>
      </c>
      <c r="DNQ4">
        <v>604762</v>
      </c>
      <c r="DNR4" t="s">
        <v>62020</v>
      </c>
      <c r="DNS4">
        <v>606600</v>
      </c>
      <c r="DNT4" t="s">
        <v>62021</v>
      </c>
      <c r="DNU4">
        <v>606624</v>
      </c>
      <c r="DNV4" t="s">
        <v>62022</v>
      </c>
      <c r="DNW4">
        <v>606671</v>
      </c>
      <c r="DNX4" t="s">
        <v>62023</v>
      </c>
      <c r="DNY4">
        <v>610925</v>
      </c>
      <c r="DNZ4" t="s">
        <v>62024</v>
      </c>
      <c r="DOA4">
        <v>610996</v>
      </c>
      <c r="DOB4" t="s">
        <v>62025</v>
      </c>
      <c r="DOC4">
        <v>611960</v>
      </c>
      <c r="DOD4" t="s">
        <v>62026</v>
      </c>
      <c r="DOE4">
        <v>611980</v>
      </c>
      <c r="DOF4" t="s">
        <v>62027</v>
      </c>
      <c r="DOG4">
        <v>612349</v>
      </c>
      <c r="DOH4" t="s">
        <v>62028</v>
      </c>
      <c r="DOI4">
        <v>612380</v>
      </c>
      <c r="DOJ4" t="s">
        <v>62029</v>
      </c>
      <c r="DOK4">
        <v>612442</v>
      </c>
      <c r="DOL4" t="s">
        <v>62030</v>
      </c>
      <c r="DOM4">
        <v>612516</v>
      </c>
      <c r="DON4" t="s">
        <v>62031</v>
      </c>
      <c r="DOO4">
        <v>613106</v>
      </c>
      <c r="DOP4" t="s">
        <v>62032</v>
      </c>
      <c r="DOQ4">
        <v>613109</v>
      </c>
      <c r="DOR4" t="s">
        <v>62033</v>
      </c>
      <c r="DOS4">
        <v>613168</v>
      </c>
      <c r="DOT4" t="s">
        <v>62034</v>
      </c>
      <c r="DOU4">
        <v>613187</v>
      </c>
      <c r="DOV4" t="s">
        <v>62035</v>
      </c>
      <c r="DOW4">
        <v>613192</v>
      </c>
      <c r="DOX4" t="s">
        <v>62036</v>
      </c>
      <c r="DOY4">
        <v>613240</v>
      </c>
      <c r="DOZ4" t="s">
        <v>62037</v>
      </c>
      <c r="DPA4">
        <v>613259</v>
      </c>
      <c r="DPC4" t="s">
        <v>62038</v>
      </c>
      <c r="DPD4">
        <v>613314</v>
      </c>
      <c r="DPE4" t="s">
        <v>62039</v>
      </c>
      <c r="DPF4">
        <v>614116</v>
      </c>
      <c r="DPG4" t="s">
        <v>62040</v>
      </c>
      <c r="DPH4">
        <v>619175</v>
      </c>
      <c r="DPI4" t="s">
        <v>62041</v>
      </c>
      <c r="DPJ4">
        <v>619187</v>
      </c>
      <c r="DPK4" t="s">
        <v>62042</v>
      </c>
      <c r="DPL4">
        <v>619605</v>
      </c>
      <c r="DPM4" t="s">
        <v>62043</v>
      </c>
      <c r="DPN4">
        <v>619647</v>
      </c>
      <c r="DPO4" t="s">
        <v>62044</v>
      </c>
      <c r="DPP4">
        <v>619985</v>
      </c>
      <c r="DPQ4" t="s">
        <v>62045</v>
      </c>
      <c r="DPR4">
        <v>621008</v>
      </c>
      <c r="DPS4" t="s">
        <v>62046</v>
      </c>
      <c r="DPT4">
        <v>621023</v>
      </c>
      <c r="DPU4" t="s">
        <v>62047</v>
      </c>
      <c r="DPV4">
        <v>621046</v>
      </c>
      <c r="DPW4" t="s">
        <v>62048</v>
      </c>
      <c r="DPX4">
        <v>621071</v>
      </c>
      <c r="DPY4" t="s">
        <v>62049</v>
      </c>
      <c r="DPZ4">
        <v>621106</v>
      </c>
      <c r="DQA4" t="s">
        <v>62050</v>
      </c>
      <c r="DQB4">
        <v>621204</v>
      </c>
      <c r="DQC4" t="s">
        <v>62051</v>
      </c>
      <c r="DQD4">
        <v>621211</v>
      </c>
      <c r="DQE4" t="s">
        <v>62052</v>
      </c>
      <c r="DQF4">
        <v>621252</v>
      </c>
      <c r="DQG4" t="s">
        <v>62053</v>
      </c>
      <c r="DQH4">
        <v>621325</v>
      </c>
      <c r="DQJ4" t="s">
        <v>62054</v>
      </c>
      <c r="DQK4">
        <v>621336</v>
      </c>
      <c r="DQL4" t="s">
        <v>62055</v>
      </c>
      <c r="DQM4">
        <v>621357</v>
      </c>
      <c r="DQN4" t="s">
        <v>62056</v>
      </c>
      <c r="DQO4">
        <v>621440</v>
      </c>
      <c r="DQQ4" t="s">
        <v>62057</v>
      </c>
      <c r="DQR4">
        <v>621454</v>
      </c>
      <c r="DQS4" t="s">
        <v>62058</v>
      </c>
      <c r="DQT4">
        <v>621474</v>
      </c>
      <c r="DQV4" t="s">
        <v>62059</v>
      </c>
      <c r="DQW4">
        <v>621503</v>
      </c>
      <c r="DQX4" t="s">
        <v>62060</v>
      </c>
      <c r="DQY4">
        <v>621544</v>
      </c>
      <c r="DQZ4" t="s">
        <v>62061</v>
      </c>
      <c r="DRA4">
        <v>621546</v>
      </c>
      <c r="DRB4" t="s">
        <v>62062</v>
      </c>
      <c r="DRC4">
        <v>621548</v>
      </c>
      <c r="DRD4" t="s">
        <v>62063</v>
      </c>
      <c r="DRE4">
        <v>621565</v>
      </c>
      <c r="DRF4" t="s">
        <v>62064</v>
      </c>
      <c r="DRG4">
        <v>621637</v>
      </c>
      <c r="DRH4" t="s">
        <v>62065</v>
      </c>
      <c r="DRI4">
        <v>621677</v>
      </c>
      <c r="DRJ4" t="s">
        <v>62066</v>
      </c>
      <c r="DRK4">
        <v>621683</v>
      </c>
      <c r="DRL4" t="s">
        <v>62067</v>
      </c>
      <c r="DRM4">
        <v>621736</v>
      </c>
      <c r="DRN4" t="s">
        <v>62068</v>
      </c>
      <c r="DRO4">
        <v>621744</v>
      </c>
      <c r="DRP4" t="s">
        <v>62069</v>
      </c>
      <c r="DRQ4">
        <v>621747</v>
      </c>
      <c r="DRR4" t="s">
        <v>62070</v>
      </c>
      <c r="DRS4">
        <v>621751</v>
      </c>
      <c r="DRU4" t="s">
        <v>62071</v>
      </c>
      <c r="DRV4">
        <v>621775</v>
      </c>
      <c r="DRW4" t="s">
        <v>62072</v>
      </c>
      <c r="DRX4">
        <v>621778</v>
      </c>
      <c r="DRY4" t="s">
        <v>62073</v>
      </c>
      <c r="DRZ4">
        <v>621785</v>
      </c>
      <c r="DSA4" t="s">
        <v>62074</v>
      </c>
      <c r="DSB4">
        <v>621849</v>
      </c>
      <c r="DSC4" t="s">
        <v>62075</v>
      </c>
      <c r="DSD4">
        <v>621861</v>
      </c>
      <c r="DSE4" t="s">
        <v>62076</v>
      </c>
      <c r="DSF4">
        <v>621868</v>
      </c>
      <c r="DSG4" t="s">
        <v>62077</v>
      </c>
      <c r="DSH4">
        <v>621873</v>
      </c>
      <c r="DSI4" t="s">
        <v>62078</v>
      </c>
      <c r="DSJ4">
        <v>621894</v>
      </c>
      <c r="DSK4" t="s">
        <v>62079</v>
      </c>
      <c r="DSL4">
        <v>621971</v>
      </c>
      <c r="DSM4" t="s">
        <v>62080</v>
      </c>
      <c r="DSN4">
        <v>622044</v>
      </c>
      <c r="DSO4" t="s">
        <v>62081</v>
      </c>
      <c r="DSP4">
        <v>622046</v>
      </c>
      <c r="DSQ4" t="s">
        <v>62082</v>
      </c>
      <c r="DSR4">
        <v>622054</v>
      </c>
      <c r="DSS4" t="s">
        <v>62083</v>
      </c>
      <c r="DST4">
        <v>622125</v>
      </c>
      <c r="DSU4" t="s">
        <v>62084</v>
      </c>
      <c r="DSV4">
        <v>622130</v>
      </c>
      <c r="DSW4" t="s">
        <v>62085</v>
      </c>
      <c r="DSX4">
        <v>622137</v>
      </c>
      <c r="DSY4" t="s">
        <v>62086</v>
      </c>
      <c r="DSZ4">
        <v>622201</v>
      </c>
      <c r="DTA4" t="s">
        <v>62087</v>
      </c>
      <c r="DTB4">
        <v>622207</v>
      </c>
      <c r="DTC4" t="s">
        <v>62088</v>
      </c>
      <c r="DTD4">
        <v>622281</v>
      </c>
      <c r="DTE4" t="s">
        <v>62089</v>
      </c>
      <c r="DTF4">
        <v>622386</v>
      </c>
      <c r="DTG4" t="s">
        <v>62090</v>
      </c>
      <c r="DTH4">
        <v>622399</v>
      </c>
      <c r="DTI4" t="s">
        <v>62091</v>
      </c>
      <c r="DTJ4">
        <v>622401</v>
      </c>
      <c r="DTK4" t="s">
        <v>62092</v>
      </c>
      <c r="DTL4">
        <v>622414</v>
      </c>
      <c r="DTM4" t="s">
        <v>62093</v>
      </c>
      <c r="DTN4">
        <v>622445</v>
      </c>
      <c r="DTO4" t="s">
        <v>62094</v>
      </c>
      <c r="DTP4">
        <v>622453</v>
      </c>
      <c r="DTQ4" t="s">
        <v>62095</v>
      </c>
      <c r="DTR4">
        <v>622531</v>
      </c>
      <c r="DTS4" t="s">
        <v>62096</v>
      </c>
      <c r="DTT4">
        <v>622852</v>
      </c>
      <c r="DTU4" t="s">
        <v>62097</v>
      </c>
      <c r="DTV4">
        <v>622858</v>
      </c>
      <c r="DTW4" t="s">
        <v>62098</v>
      </c>
      <c r="DTX4">
        <v>622880</v>
      </c>
      <c r="DTY4" t="s">
        <v>62099</v>
      </c>
      <c r="DTZ4">
        <v>622890</v>
      </c>
      <c r="DUA4" t="s">
        <v>62100</v>
      </c>
      <c r="DUB4">
        <v>622922</v>
      </c>
      <c r="DUC4" t="s">
        <v>62101</v>
      </c>
      <c r="DUD4">
        <v>622986</v>
      </c>
      <c r="DUE4" t="s">
        <v>62102</v>
      </c>
      <c r="DUF4">
        <v>623029</v>
      </c>
      <c r="DUG4" t="s">
        <v>62103</v>
      </c>
      <c r="DUH4">
        <v>623054</v>
      </c>
      <c r="DUI4" t="s">
        <v>62104</v>
      </c>
      <c r="DUJ4">
        <v>623076</v>
      </c>
      <c r="DUK4" t="s">
        <v>62105</v>
      </c>
      <c r="DUL4">
        <v>623083</v>
      </c>
      <c r="DUM4" t="s">
        <v>62106</v>
      </c>
      <c r="DUN4">
        <v>623104</v>
      </c>
      <c r="DUO4" t="s">
        <v>62107</v>
      </c>
      <c r="DUP4">
        <v>623121</v>
      </c>
      <c r="DUQ4" t="s">
        <v>62108</v>
      </c>
      <c r="DUR4">
        <v>623126</v>
      </c>
      <c r="DUT4" t="s">
        <v>62109</v>
      </c>
      <c r="DUU4">
        <v>623147</v>
      </c>
      <c r="DUV4" t="s">
        <v>62110</v>
      </c>
      <c r="DUW4">
        <v>623153</v>
      </c>
      <c r="DUX4" t="s">
        <v>62111</v>
      </c>
      <c r="DUY4">
        <v>623183</v>
      </c>
      <c r="DUZ4" t="s">
        <v>62112</v>
      </c>
      <c r="DVA4">
        <v>623192</v>
      </c>
      <c r="DVB4" t="s">
        <v>62113</v>
      </c>
      <c r="DVC4">
        <v>623212</v>
      </c>
      <c r="DVD4" t="s">
        <v>62114</v>
      </c>
      <c r="DVE4">
        <v>623219</v>
      </c>
      <c r="DVF4" t="s">
        <v>62115</v>
      </c>
      <c r="DVG4">
        <v>623449</v>
      </c>
      <c r="DVH4" t="s">
        <v>62116</v>
      </c>
      <c r="DVI4">
        <v>623977</v>
      </c>
      <c r="DVJ4" t="s">
        <v>62117</v>
      </c>
      <c r="DVK4">
        <v>624026</v>
      </c>
      <c r="DVL4" t="s">
        <v>62118</v>
      </c>
      <c r="DVM4">
        <v>624215</v>
      </c>
      <c r="DVN4" t="s">
        <v>62119</v>
      </c>
      <c r="DVO4">
        <v>624887</v>
      </c>
      <c r="DVP4" t="s">
        <v>62120</v>
      </c>
      <c r="DVQ4">
        <v>624911</v>
      </c>
      <c r="DVR4" t="s">
        <v>62121</v>
      </c>
      <c r="DVS4">
        <v>624945</v>
      </c>
      <c r="DVT4" t="s">
        <v>62122</v>
      </c>
      <c r="DVU4">
        <v>624946</v>
      </c>
      <c r="DVV4" t="s">
        <v>62123</v>
      </c>
      <c r="DVW4">
        <v>624973</v>
      </c>
      <c r="DVX4" t="s">
        <v>62124</v>
      </c>
      <c r="DVY4">
        <v>625026</v>
      </c>
      <c r="DVZ4" t="s">
        <v>62125</v>
      </c>
      <c r="DWA4">
        <v>625449</v>
      </c>
      <c r="DWB4" t="s">
        <v>62126</v>
      </c>
      <c r="DWC4">
        <v>625456</v>
      </c>
      <c r="DWD4" t="s">
        <v>62127</v>
      </c>
      <c r="DWE4">
        <v>625470</v>
      </c>
      <c r="DWF4" t="s">
        <v>62128</v>
      </c>
      <c r="DWG4">
        <v>625484</v>
      </c>
      <c r="DWH4" t="s">
        <v>62129</v>
      </c>
      <c r="DWI4">
        <v>625495</v>
      </c>
      <c r="DWK4" t="s">
        <v>62130</v>
      </c>
      <c r="DWL4">
        <v>626235</v>
      </c>
      <c r="DWM4" t="s">
        <v>62131</v>
      </c>
      <c r="DWN4">
        <v>626304</v>
      </c>
      <c r="DWO4" t="s">
        <v>62132</v>
      </c>
      <c r="DWP4">
        <v>626535</v>
      </c>
      <c r="DWQ4" t="s">
        <v>62133</v>
      </c>
      <c r="DWR4">
        <v>626540</v>
      </c>
      <c r="DWS4" t="s">
        <v>62134</v>
      </c>
      <c r="DWT4">
        <v>627813</v>
      </c>
      <c r="DWU4" t="s">
        <v>62135</v>
      </c>
      <c r="DWV4">
        <v>627828</v>
      </c>
      <c r="DWW4" t="s">
        <v>62136</v>
      </c>
      <c r="DWX4">
        <v>628008</v>
      </c>
      <c r="DWY4" t="s">
        <v>62137</v>
      </c>
      <c r="DWZ4">
        <v>628147</v>
      </c>
      <c r="DXA4" t="s">
        <v>62138</v>
      </c>
      <c r="DXB4">
        <v>628154</v>
      </c>
      <c r="DXC4" t="s">
        <v>62139</v>
      </c>
      <c r="DXD4">
        <v>628790</v>
      </c>
      <c r="DXE4" t="s">
        <v>62140</v>
      </c>
      <c r="DXF4">
        <v>628919</v>
      </c>
      <c r="DXG4" t="s">
        <v>62141</v>
      </c>
      <c r="DXH4">
        <v>628971</v>
      </c>
      <c r="DXI4" t="s">
        <v>62142</v>
      </c>
      <c r="DXJ4">
        <v>628981</v>
      </c>
      <c r="DXL4" t="s">
        <v>62143</v>
      </c>
      <c r="DXM4">
        <v>629779</v>
      </c>
      <c r="DXN4" t="s">
        <v>62144</v>
      </c>
      <c r="DXO4">
        <v>630261</v>
      </c>
      <c r="DXQ4" t="s">
        <v>62145</v>
      </c>
      <c r="DXR4">
        <v>630485</v>
      </c>
      <c r="DXS4" t="s">
        <v>62146</v>
      </c>
      <c r="DXT4">
        <v>632058</v>
      </c>
      <c r="DXU4" t="s">
        <v>62147</v>
      </c>
      <c r="DXV4">
        <v>632079</v>
      </c>
      <c r="DXW4" t="s">
        <v>62148</v>
      </c>
      <c r="DXX4">
        <v>632085</v>
      </c>
      <c r="DXY4" t="s">
        <v>62149</v>
      </c>
      <c r="DXZ4">
        <v>632092</v>
      </c>
      <c r="DYA4" t="s">
        <v>62150</v>
      </c>
      <c r="DYB4">
        <v>632207</v>
      </c>
      <c r="DYC4" t="s">
        <v>62151</v>
      </c>
      <c r="DYD4">
        <v>632214</v>
      </c>
      <c r="DYE4" t="s">
        <v>62152</v>
      </c>
      <c r="DYF4">
        <v>632222</v>
      </c>
      <c r="DYG4" t="s">
        <v>62153</v>
      </c>
      <c r="DYH4">
        <v>632227</v>
      </c>
      <c r="DYI4" t="s">
        <v>62154</v>
      </c>
      <c r="DYJ4">
        <v>633556</v>
      </c>
      <c r="DYK4" t="s">
        <v>62155</v>
      </c>
      <c r="DYL4">
        <v>633563</v>
      </c>
      <c r="DYM4" t="s">
        <v>62156</v>
      </c>
      <c r="DYN4">
        <v>634037</v>
      </c>
      <c r="DYO4" t="s">
        <v>62157</v>
      </c>
      <c r="DYP4">
        <v>634052</v>
      </c>
      <c r="DYQ4" t="s">
        <v>62158</v>
      </c>
      <c r="DYR4">
        <v>634065</v>
      </c>
      <c r="DYS4" t="s">
        <v>62159</v>
      </c>
      <c r="DYT4">
        <v>634066</v>
      </c>
      <c r="DYU4" t="s">
        <v>62160</v>
      </c>
      <c r="DYV4">
        <v>634091</v>
      </c>
      <c r="DYW4" t="s">
        <v>62161</v>
      </c>
      <c r="DYX4">
        <v>634132</v>
      </c>
      <c r="DYY4" t="s">
        <v>62162</v>
      </c>
      <c r="DYZ4">
        <v>634185</v>
      </c>
      <c r="DZA4" t="s">
        <v>62163</v>
      </c>
      <c r="DZB4">
        <v>634214</v>
      </c>
      <c r="DZC4" t="s">
        <v>62164</v>
      </c>
      <c r="DZD4">
        <v>634220</v>
      </c>
      <c r="DZE4" t="s">
        <v>62165</v>
      </c>
      <c r="DZF4">
        <v>634258</v>
      </c>
      <c r="DZH4" t="s">
        <v>62166</v>
      </c>
      <c r="DZI4">
        <v>634285</v>
      </c>
      <c r="DZJ4" t="s">
        <v>62167</v>
      </c>
      <c r="DZK4">
        <v>634304</v>
      </c>
      <c r="DZL4" t="s">
        <v>62168</v>
      </c>
      <c r="DZM4">
        <v>634328</v>
      </c>
      <c r="DZN4" t="s">
        <v>62169</v>
      </c>
      <c r="DZO4">
        <v>636884</v>
      </c>
      <c r="DZP4" t="s">
        <v>62170</v>
      </c>
      <c r="DZQ4">
        <v>636911</v>
      </c>
      <c r="DZR4" t="s">
        <v>62171</v>
      </c>
      <c r="DZS4">
        <v>636918</v>
      </c>
      <c r="DZT4" t="s">
        <v>62172</v>
      </c>
      <c r="DZU4">
        <v>636937</v>
      </c>
      <c r="DZW4" t="s">
        <v>62173</v>
      </c>
      <c r="DZX4">
        <v>640093</v>
      </c>
      <c r="DZY4" t="s">
        <v>62174</v>
      </c>
      <c r="DZZ4">
        <v>642953</v>
      </c>
      <c r="EAA4" t="s">
        <v>62175</v>
      </c>
      <c r="EAB4">
        <v>642988</v>
      </c>
      <c r="EAC4" t="s">
        <v>62176</v>
      </c>
      <c r="EAD4">
        <v>643519</v>
      </c>
      <c r="EAE4" t="s">
        <v>62177</v>
      </c>
      <c r="EAF4">
        <v>644771</v>
      </c>
      <c r="EAG4" t="s">
        <v>62178</v>
      </c>
      <c r="EAH4">
        <v>644779</v>
      </c>
      <c r="EAI4" t="s">
        <v>62179</v>
      </c>
      <c r="EAJ4">
        <v>644897</v>
      </c>
      <c r="EAK4" t="s">
        <v>62180</v>
      </c>
      <c r="EAL4">
        <v>645047</v>
      </c>
      <c r="EAM4" t="s">
        <v>62181</v>
      </c>
      <c r="EAN4">
        <v>645174</v>
      </c>
      <c r="EAO4" t="s">
        <v>62182</v>
      </c>
      <c r="EAP4">
        <v>645576</v>
      </c>
      <c r="EAQ4" t="s">
        <v>62183</v>
      </c>
      <c r="EAR4">
        <v>645595</v>
      </c>
      <c r="EAS4" t="s">
        <v>62184</v>
      </c>
      <c r="EAT4">
        <v>645607</v>
      </c>
      <c r="EAU4" t="s">
        <v>62185</v>
      </c>
      <c r="EAV4">
        <v>645627</v>
      </c>
      <c r="EAW4" t="s">
        <v>62186</v>
      </c>
      <c r="EAX4">
        <v>645639</v>
      </c>
      <c r="EAY4" t="s">
        <v>62187</v>
      </c>
      <c r="EAZ4">
        <v>645655</v>
      </c>
      <c r="EBA4" t="s">
        <v>62188</v>
      </c>
      <c r="EBB4">
        <v>645664</v>
      </c>
      <c r="EBC4" t="s">
        <v>62189</v>
      </c>
      <c r="EBD4">
        <v>645797</v>
      </c>
      <c r="EBE4" t="s">
        <v>62190</v>
      </c>
      <c r="EBF4">
        <v>645904</v>
      </c>
      <c r="EBG4" t="s">
        <v>62191</v>
      </c>
      <c r="EBH4">
        <v>645915</v>
      </c>
      <c r="EBI4" t="s">
        <v>62192</v>
      </c>
      <c r="EBJ4">
        <v>645922</v>
      </c>
      <c r="EBK4" t="s">
        <v>62193</v>
      </c>
      <c r="EBL4">
        <v>645929</v>
      </c>
      <c r="EBM4" t="s">
        <v>62194</v>
      </c>
      <c r="EBN4">
        <v>645978</v>
      </c>
      <c r="EBO4" t="s">
        <v>62195</v>
      </c>
      <c r="EBP4">
        <v>646017</v>
      </c>
      <c r="EBQ4" t="s">
        <v>62196</v>
      </c>
      <c r="EBR4">
        <v>646026</v>
      </c>
      <c r="EBS4" t="s">
        <v>62197</v>
      </c>
      <c r="EBT4">
        <v>646035</v>
      </c>
      <c r="EBU4" t="s">
        <v>62198</v>
      </c>
      <c r="EBV4">
        <v>646047</v>
      </c>
      <c r="EBW4" t="s">
        <v>62199</v>
      </c>
      <c r="EBX4">
        <v>646653</v>
      </c>
      <c r="EBY4" t="s">
        <v>62200</v>
      </c>
      <c r="EBZ4">
        <v>646677</v>
      </c>
      <c r="ECA4" t="s">
        <v>62201</v>
      </c>
      <c r="ECB4">
        <v>647963</v>
      </c>
      <c r="ECC4" t="s">
        <v>62202</v>
      </c>
      <c r="ECD4">
        <v>647964</v>
      </c>
      <c r="ECE4" t="s">
        <v>62203</v>
      </c>
      <c r="ECF4">
        <v>648163</v>
      </c>
      <c r="ECG4" t="s">
        <v>62204</v>
      </c>
      <c r="ECH4">
        <v>648172</v>
      </c>
      <c r="ECJ4" t="s">
        <v>62205</v>
      </c>
      <c r="ECK4">
        <v>648521</v>
      </c>
      <c r="ECL4" t="s">
        <v>62206</v>
      </c>
      <c r="ECM4">
        <v>648530</v>
      </c>
      <c r="ECN4" t="s">
        <v>62207</v>
      </c>
      <c r="ECO4">
        <v>648835</v>
      </c>
      <c r="ECP4" t="s">
        <v>62208</v>
      </c>
      <c r="ECQ4">
        <v>648861</v>
      </c>
      <c r="ECR4" t="s">
        <v>62209</v>
      </c>
      <c r="ECS4">
        <v>648936</v>
      </c>
      <c r="ECT4" t="s">
        <v>62210</v>
      </c>
      <c r="ECU4">
        <v>648992</v>
      </c>
      <c r="ECV4" t="s">
        <v>62211</v>
      </c>
      <c r="ECW4">
        <v>649004</v>
      </c>
      <c r="ECX4" t="s">
        <v>62212</v>
      </c>
      <c r="ECY4">
        <v>649016</v>
      </c>
      <c r="ECZ4" t="s">
        <v>62213</v>
      </c>
      <c r="EDA4">
        <v>649190</v>
      </c>
      <c r="EDB4" t="s">
        <v>62214</v>
      </c>
      <c r="EDC4">
        <v>651465</v>
      </c>
      <c r="EDD4" t="s">
        <v>62215</v>
      </c>
      <c r="EDE4">
        <v>651466</v>
      </c>
      <c r="EDF4" t="s">
        <v>62216</v>
      </c>
      <c r="EDG4">
        <v>651476</v>
      </c>
      <c r="EDH4" t="s">
        <v>62217</v>
      </c>
      <c r="EDI4">
        <v>651532</v>
      </c>
      <c r="EDJ4" t="s">
        <v>62218</v>
      </c>
      <c r="EDK4">
        <v>651911</v>
      </c>
      <c r="EDL4" t="s">
        <v>62219</v>
      </c>
      <c r="EDM4">
        <v>652356</v>
      </c>
      <c r="EDN4" t="s">
        <v>62220</v>
      </c>
      <c r="EDO4">
        <v>652365</v>
      </c>
      <c r="EDP4" t="s">
        <v>62221</v>
      </c>
      <c r="EDQ4">
        <v>652383</v>
      </c>
      <c r="EDR4" t="s">
        <v>62222</v>
      </c>
      <c r="EDS4">
        <v>652390</v>
      </c>
      <c r="EDT4" t="s">
        <v>62223</v>
      </c>
      <c r="EDU4">
        <v>652431</v>
      </c>
      <c r="EDV4" t="s">
        <v>62224</v>
      </c>
      <c r="EDW4">
        <v>652440</v>
      </c>
      <c r="EDX4" t="s">
        <v>62225</v>
      </c>
      <c r="EDY4">
        <v>652447</v>
      </c>
      <c r="EDZ4" t="s">
        <v>62226</v>
      </c>
      <c r="EEA4">
        <v>652520</v>
      </c>
      <c r="EEB4" t="s">
        <v>62227</v>
      </c>
      <c r="EEC4">
        <v>654112</v>
      </c>
      <c r="EED4" t="s">
        <v>62228</v>
      </c>
      <c r="EEE4">
        <v>654127</v>
      </c>
      <c r="EEF4" t="s">
        <v>62229</v>
      </c>
      <c r="EEG4">
        <v>654132</v>
      </c>
      <c r="EEH4" t="s">
        <v>62230</v>
      </c>
      <c r="EEI4">
        <v>654177</v>
      </c>
      <c r="EEJ4" t="s">
        <v>62231</v>
      </c>
      <c r="EEK4">
        <v>654178</v>
      </c>
      <c r="EEL4" t="s">
        <v>62232</v>
      </c>
      <c r="EEM4">
        <v>654219</v>
      </c>
      <c r="EEN4" t="s">
        <v>62233</v>
      </c>
      <c r="EEO4">
        <v>654306</v>
      </c>
      <c r="EEP4" t="s">
        <v>62234</v>
      </c>
      <c r="EEQ4">
        <v>654338</v>
      </c>
      <c r="EER4" t="s">
        <v>62235</v>
      </c>
      <c r="EES4">
        <v>655359</v>
      </c>
      <c r="EET4" t="s">
        <v>62236</v>
      </c>
      <c r="EEU4">
        <v>655421</v>
      </c>
      <c r="EEV4" t="s">
        <v>62237</v>
      </c>
      <c r="EEW4">
        <v>655460</v>
      </c>
      <c r="EEX4" t="s">
        <v>62238</v>
      </c>
      <c r="EEY4">
        <v>655471</v>
      </c>
      <c r="EFA4" t="s">
        <v>62239</v>
      </c>
      <c r="EFB4">
        <v>656453</v>
      </c>
      <c r="EFC4" t="s">
        <v>62240</v>
      </c>
      <c r="EFD4">
        <v>656459</v>
      </c>
      <c r="EFE4" t="s">
        <v>62241</v>
      </c>
      <c r="EFF4">
        <v>656542</v>
      </c>
      <c r="EFG4" t="s">
        <v>62242</v>
      </c>
      <c r="EFH4">
        <v>656586</v>
      </c>
      <c r="EFI4" t="s">
        <v>62243</v>
      </c>
      <c r="EFJ4">
        <v>656662</v>
      </c>
      <c r="EFK4" t="s">
        <v>62244</v>
      </c>
      <c r="EFL4">
        <v>656693</v>
      </c>
      <c r="EFM4" t="s">
        <v>62245</v>
      </c>
      <c r="EFN4">
        <v>656694</v>
      </c>
      <c r="EFO4" t="s">
        <v>62246</v>
      </c>
      <c r="EFP4">
        <v>656705</v>
      </c>
      <c r="EFQ4" t="s">
        <v>62247</v>
      </c>
      <c r="EFR4">
        <v>656715</v>
      </c>
      <c r="EFS4" t="s">
        <v>62248</v>
      </c>
      <c r="EFT4">
        <v>656727</v>
      </c>
      <c r="EFU4" t="s">
        <v>62249</v>
      </c>
      <c r="EFV4">
        <v>656745</v>
      </c>
      <c r="EFW4" t="s">
        <v>62250</v>
      </c>
      <c r="EFX4">
        <v>656811</v>
      </c>
      <c r="EFY4" t="s">
        <v>62251</v>
      </c>
      <c r="EFZ4">
        <v>658647</v>
      </c>
      <c r="EGA4" t="s">
        <v>62252</v>
      </c>
      <c r="EGB4">
        <v>658683</v>
      </c>
      <c r="EGC4" t="s">
        <v>62253</v>
      </c>
      <c r="EGD4">
        <v>658696</v>
      </c>
      <c r="EGE4" t="s">
        <v>62254</v>
      </c>
      <c r="EGF4">
        <v>658705</v>
      </c>
      <c r="EGG4" t="s">
        <v>62255</v>
      </c>
      <c r="EGH4">
        <v>658712</v>
      </c>
      <c r="EGI4" t="s">
        <v>62256</v>
      </c>
      <c r="EGJ4">
        <v>658725</v>
      </c>
      <c r="EGK4" t="s">
        <v>62257</v>
      </c>
      <c r="EGL4">
        <v>658731</v>
      </c>
      <c r="EGM4" t="s">
        <v>62258</v>
      </c>
      <c r="EGN4">
        <v>658732</v>
      </c>
      <c r="EGO4" t="s">
        <v>62259</v>
      </c>
      <c r="EGP4">
        <v>658738</v>
      </c>
      <c r="EGQ4" t="s">
        <v>62260</v>
      </c>
      <c r="EGR4">
        <v>658913</v>
      </c>
      <c r="EGS4" t="s">
        <v>62261</v>
      </c>
      <c r="EGT4">
        <v>658914</v>
      </c>
      <c r="EGU4" t="s">
        <v>62262</v>
      </c>
      <c r="EGV4">
        <v>658941</v>
      </c>
      <c r="EGW4" t="s">
        <v>62263</v>
      </c>
      <c r="EGX4">
        <v>658947</v>
      </c>
      <c r="EGY4" t="s">
        <v>62264</v>
      </c>
      <c r="EGZ4">
        <v>658969</v>
      </c>
      <c r="EHA4" t="s">
        <v>62265</v>
      </c>
      <c r="EHB4">
        <v>658978</v>
      </c>
      <c r="EHC4" t="s">
        <v>62266</v>
      </c>
      <c r="EHD4">
        <v>659061</v>
      </c>
      <c r="EHE4" t="s">
        <v>62267</v>
      </c>
      <c r="EHF4">
        <v>659063</v>
      </c>
      <c r="EHG4" t="s">
        <v>62268</v>
      </c>
      <c r="EHH4">
        <v>659070</v>
      </c>
      <c r="EHI4" t="s">
        <v>62269</v>
      </c>
      <c r="EHJ4">
        <v>659073</v>
      </c>
      <c r="EHK4" t="s">
        <v>62270</v>
      </c>
      <c r="EHL4">
        <v>659080</v>
      </c>
      <c r="EHM4" t="s">
        <v>62271</v>
      </c>
      <c r="EHN4">
        <v>660252</v>
      </c>
      <c r="EHO4" t="s">
        <v>62272</v>
      </c>
      <c r="EHP4">
        <v>660264</v>
      </c>
      <c r="EHR4" t="s">
        <v>62273</v>
      </c>
      <c r="EHS4">
        <v>660338</v>
      </c>
      <c r="EHT4" t="s">
        <v>62274</v>
      </c>
      <c r="EHU4">
        <v>660365</v>
      </c>
      <c r="EHV4" t="s">
        <v>62275</v>
      </c>
      <c r="EHW4">
        <v>660402</v>
      </c>
      <c r="EHX4" t="s">
        <v>62276</v>
      </c>
      <c r="EHY4">
        <v>660669</v>
      </c>
      <c r="EHZ4" t="s">
        <v>62277</v>
      </c>
      <c r="EIA4">
        <v>660703</v>
      </c>
      <c r="EIB4" t="s">
        <v>62278</v>
      </c>
      <c r="EIC4">
        <v>662052</v>
      </c>
      <c r="EID4" t="s">
        <v>62279</v>
      </c>
      <c r="EIE4">
        <v>662056</v>
      </c>
      <c r="EIF4" t="s">
        <v>62280</v>
      </c>
      <c r="EIG4">
        <v>664445</v>
      </c>
      <c r="EIH4" t="s">
        <v>62281</v>
      </c>
      <c r="EII4">
        <v>664567</v>
      </c>
      <c r="EIJ4" t="s">
        <v>62282</v>
      </c>
      <c r="EIK4">
        <v>664660</v>
      </c>
      <c r="EIL4" t="s">
        <v>62283</v>
      </c>
      <c r="EIM4">
        <v>664669</v>
      </c>
      <c r="EIN4" t="s">
        <v>62284</v>
      </c>
      <c r="EIO4">
        <v>664714</v>
      </c>
      <c r="EIP4" t="s">
        <v>62285</v>
      </c>
      <c r="EIQ4">
        <v>664746</v>
      </c>
      <c r="EIR4" t="s">
        <v>62286</v>
      </c>
      <c r="EIS4">
        <v>664780</v>
      </c>
      <c r="EIT4" t="s">
        <v>62287</v>
      </c>
      <c r="EIU4">
        <v>664787</v>
      </c>
      <c r="EIV4" t="s">
        <v>62288</v>
      </c>
      <c r="EIW4">
        <v>664794</v>
      </c>
      <c r="EIX4" t="s">
        <v>62289</v>
      </c>
      <c r="EIY4">
        <v>664846</v>
      </c>
      <c r="EIZ4" t="s">
        <v>62290</v>
      </c>
      <c r="EJA4">
        <v>664894</v>
      </c>
      <c r="EJB4" t="s">
        <v>62291</v>
      </c>
      <c r="EJC4">
        <v>664908</v>
      </c>
      <c r="EJD4" t="s">
        <v>62292</v>
      </c>
      <c r="EJE4">
        <v>664919</v>
      </c>
      <c r="EJF4" t="s">
        <v>62293</v>
      </c>
      <c r="EJG4">
        <v>664920</v>
      </c>
      <c r="EJH4" t="s">
        <v>62294</v>
      </c>
      <c r="EJI4">
        <v>664979</v>
      </c>
      <c r="EJJ4" t="s">
        <v>62295</v>
      </c>
      <c r="EJK4">
        <v>664993</v>
      </c>
      <c r="EJL4" t="s">
        <v>62296</v>
      </c>
      <c r="EJM4">
        <v>665373</v>
      </c>
      <c r="EJN4" t="s">
        <v>62297</v>
      </c>
      <c r="EJO4">
        <v>665392</v>
      </c>
      <c r="EJP4" t="s">
        <v>62298</v>
      </c>
      <c r="EJQ4">
        <v>665422</v>
      </c>
      <c r="EJR4" t="s">
        <v>62299</v>
      </c>
      <c r="EJS4">
        <v>665648</v>
      </c>
      <c r="EJT4" t="s">
        <v>62300</v>
      </c>
      <c r="EJU4">
        <v>665731</v>
      </c>
      <c r="EJV4" t="s">
        <v>62301</v>
      </c>
      <c r="EJW4">
        <v>665872</v>
      </c>
      <c r="EJX4" t="s">
        <v>62302</v>
      </c>
      <c r="EJY4">
        <v>670285</v>
      </c>
      <c r="EJZ4" t="s">
        <v>62303</v>
      </c>
      <c r="EKA4">
        <v>670332</v>
      </c>
      <c r="EKB4" t="s">
        <v>62304</v>
      </c>
      <c r="EKC4">
        <v>672198</v>
      </c>
      <c r="EKE4" t="s">
        <v>62305</v>
      </c>
      <c r="EKF4">
        <v>672414</v>
      </c>
      <c r="EKG4" t="s">
        <v>62306</v>
      </c>
      <c r="EKH4">
        <v>672427</v>
      </c>
      <c r="EKI4" t="s">
        <v>62307</v>
      </c>
      <c r="EKJ4">
        <v>672432</v>
      </c>
      <c r="EKK4" t="s">
        <v>62308</v>
      </c>
      <c r="EKL4">
        <v>672473</v>
      </c>
      <c r="EKM4" t="s">
        <v>62309</v>
      </c>
      <c r="EKN4">
        <v>672660</v>
      </c>
      <c r="EKO4" t="s">
        <v>62310</v>
      </c>
      <c r="EKP4">
        <v>672697</v>
      </c>
      <c r="EKR4" t="s">
        <v>62311</v>
      </c>
      <c r="EKS4">
        <v>672870</v>
      </c>
      <c r="EKU4" t="s">
        <v>62312</v>
      </c>
      <c r="EKV4">
        <v>672915</v>
      </c>
      <c r="EKW4" t="s">
        <v>62313</v>
      </c>
      <c r="EKX4">
        <v>672922</v>
      </c>
      <c r="EKY4" t="s">
        <v>62314</v>
      </c>
      <c r="EKZ4">
        <v>672933</v>
      </c>
      <c r="ELA4" t="s">
        <v>62315</v>
      </c>
      <c r="ELB4">
        <v>672986</v>
      </c>
      <c r="ELC4" t="s">
        <v>62316</v>
      </c>
      <c r="ELD4">
        <v>673072</v>
      </c>
      <c r="ELE4" t="s">
        <v>62317</v>
      </c>
      <c r="ELF4">
        <v>673080</v>
      </c>
      <c r="ELG4" t="s">
        <v>62318</v>
      </c>
      <c r="ELH4">
        <v>673225</v>
      </c>
      <c r="ELI4" t="s">
        <v>62319</v>
      </c>
      <c r="ELJ4">
        <v>673244</v>
      </c>
      <c r="ELK4" t="s">
        <v>62320</v>
      </c>
      <c r="ELL4">
        <v>673388</v>
      </c>
      <c r="ELM4" t="s">
        <v>62321</v>
      </c>
      <c r="ELN4">
        <v>673409</v>
      </c>
      <c r="ELO4" t="s">
        <v>62322</v>
      </c>
      <c r="ELP4">
        <v>673434</v>
      </c>
      <c r="ELQ4" t="s">
        <v>62323</v>
      </c>
      <c r="ELR4">
        <v>673488</v>
      </c>
      <c r="ELS4" t="s">
        <v>62324</v>
      </c>
      <c r="ELT4">
        <v>673499</v>
      </c>
      <c r="ELU4" t="s">
        <v>62325</v>
      </c>
      <c r="ELV4">
        <v>673519</v>
      </c>
      <c r="ELW4" t="s">
        <v>62326</v>
      </c>
      <c r="ELX4">
        <v>673584</v>
      </c>
      <c r="ELY4" t="s">
        <v>62327</v>
      </c>
      <c r="ELZ4">
        <v>673595</v>
      </c>
      <c r="EMB4" t="s">
        <v>62328</v>
      </c>
      <c r="EMC4">
        <v>673778</v>
      </c>
      <c r="EMD4" t="s">
        <v>62329</v>
      </c>
      <c r="EME4">
        <v>673839</v>
      </c>
      <c r="EMF4" t="s">
        <v>62330</v>
      </c>
      <c r="EMG4">
        <v>673855</v>
      </c>
      <c r="EMH4" t="s">
        <v>62331</v>
      </c>
      <c r="EMI4">
        <v>673996</v>
      </c>
      <c r="EMJ4" t="s">
        <v>62332</v>
      </c>
      <c r="EMK4">
        <v>674334</v>
      </c>
      <c r="EML4" t="s">
        <v>62333</v>
      </c>
      <c r="EMM4">
        <v>675246</v>
      </c>
      <c r="EMN4" t="s">
        <v>62334</v>
      </c>
      <c r="EMO4">
        <v>677129</v>
      </c>
      <c r="EMP4" t="s">
        <v>62335</v>
      </c>
      <c r="EMQ4">
        <v>677139</v>
      </c>
      <c r="EMR4" t="s">
        <v>62336</v>
      </c>
      <c r="EMS4">
        <v>688441</v>
      </c>
      <c r="EMT4" t="s">
        <v>62337</v>
      </c>
      <c r="EMU4">
        <v>688458</v>
      </c>
      <c r="EMV4" t="s">
        <v>62338</v>
      </c>
      <c r="EMW4">
        <v>688471</v>
      </c>
      <c r="EMX4" t="s">
        <v>62339</v>
      </c>
      <c r="EMY4">
        <v>690247</v>
      </c>
      <c r="EMZ4" t="s">
        <v>62340</v>
      </c>
      <c r="ENA4">
        <v>690257</v>
      </c>
      <c r="ENB4" t="s">
        <v>62341</v>
      </c>
      <c r="ENC4">
        <v>698484</v>
      </c>
      <c r="END4" t="s">
        <v>62342</v>
      </c>
      <c r="ENE4">
        <v>698496</v>
      </c>
      <c r="ENF4" t="s">
        <v>62343</v>
      </c>
      <c r="ENG4">
        <v>698505</v>
      </c>
      <c r="ENH4" t="s">
        <v>62344</v>
      </c>
      <c r="ENI4">
        <v>701153</v>
      </c>
      <c r="ENJ4" t="s">
        <v>62345</v>
      </c>
      <c r="ENK4">
        <v>701160</v>
      </c>
      <c r="ENL4" t="s">
        <v>62346</v>
      </c>
      <c r="ENM4">
        <v>703262</v>
      </c>
      <c r="ENN4" t="s">
        <v>62347</v>
      </c>
      <c r="ENO4">
        <v>703449</v>
      </c>
      <c r="ENP4" t="s">
        <v>62348</v>
      </c>
      <c r="ENQ4">
        <v>711903</v>
      </c>
      <c r="ENR4" t="s">
        <v>62349</v>
      </c>
      <c r="ENS4">
        <v>714557</v>
      </c>
      <c r="ENT4" t="s">
        <v>62350</v>
      </c>
      <c r="ENU4">
        <v>714685</v>
      </c>
      <c r="ENV4" t="s">
        <v>62351</v>
      </c>
      <c r="ENW4">
        <v>714686</v>
      </c>
      <c r="ENX4" t="s">
        <v>62352</v>
      </c>
      <c r="ENY4">
        <v>714694</v>
      </c>
      <c r="ENZ4" t="s">
        <v>62353</v>
      </c>
      <c r="EOA4">
        <v>714714</v>
      </c>
      <c r="EOB4" t="s">
        <v>62354</v>
      </c>
      <c r="EOC4">
        <v>716304</v>
      </c>
      <c r="EOD4" t="s">
        <v>62355</v>
      </c>
      <c r="EOE4">
        <v>716426</v>
      </c>
      <c r="EOF4" t="s">
        <v>62356</v>
      </c>
      <c r="EOG4">
        <v>716435</v>
      </c>
      <c r="EOH4" t="s">
        <v>62357</v>
      </c>
      <c r="EOI4">
        <v>716483</v>
      </c>
      <c r="EOJ4" t="s">
        <v>62358</v>
      </c>
      <c r="EOK4">
        <v>716490</v>
      </c>
      <c r="EOL4" t="s">
        <v>62359</v>
      </c>
      <c r="EOM4">
        <v>716502</v>
      </c>
      <c r="EON4" t="s">
        <v>62360</v>
      </c>
      <c r="EOO4">
        <v>716569</v>
      </c>
      <c r="EOP4" t="s">
        <v>62361</v>
      </c>
      <c r="EOQ4">
        <v>716616</v>
      </c>
      <c r="EOR4" t="s">
        <v>62362</v>
      </c>
      <c r="EOS4">
        <v>716655</v>
      </c>
      <c r="EOT4" t="s">
        <v>62363</v>
      </c>
      <c r="EOU4">
        <v>716681</v>
      </c>
      <c r="EOV4" t="s">
        <v>62364</v>
      </c>
      <c r="EOW4">
        <v>716714</v>
      </c>
      <c r="EOX4" t="s">
        <v>62365</v>
      </c>
      <c r="EOY4">
        <v>716762</v>
      </c>
      <c r="EOZ4" t="s">
        <v>62366</v>
      </c>
      <c r="EPA4">
        <v>716775</v>
      </c>
      <c r="EPB4" t="s">
        <v>62367</v>
      </c>
      <c r="EPC4">
        <v>716783</v>
      </c>
      <c r="EPD4" t="s">
        <v>62368</v>
      </c>
      <c r="EPE4">
        <v>716967</v>
      </c>
      <c r="EPF4" t="s">
        <v>62369</v>
      </c>
      <c r="EPG4">
        <v>717008</v>
      </c>
      <c r="EPH4" t="s">
        <v>62370</v>
      </c>
      <c r="EPI4">
        <v>717057</v>
      </c>
      <c r="EPJ4" t="s">
        <v>62371</v>
      </c>
      <c r="EPK4">
        <v>717094</v>
      </c>
      <c r="EPL4" t="s">
        <v>62372</v>
      </c>
      <c r="EPM4">
        <v>717109</v>
      </c>
      <c r="EPN4" t="s">
        <v>62373</v>
      </c>
      <c r="EPO4">
        <v>717464</v>
      </c>
      <c r="EPP4" t="s">
        <v>62374</v>
      </c>
      <c r="EPQ4">
        <v>717493</v>
      </c>
      <c r="EPR4" t="s">
        <v>62375</v>
      </c>
      <c r="EPS4">
        <v>717531</v>
      </c>
      <c r="EPT4" t="s">
        <v>62376</v>
      </c>
      <c r="EPU4">
        <v>717544</v>
      </c>
      <c r="EPV4" t="s">
        <v>62377</v>
      </c>
      <c r="EPW4">
        <v>717549</v>
      </c>
      <c r="EPX4" t="s">
        <v>62378</v>
      </c>
      <c r="EPY4">
        <v>717569</v>
      </c>
      <c r="EPZ4" t="s">
        <v>62379</v>
      </c>
      <c r="EQA4">
        <v>717584</v>
      </c>
      <c r="EQB4" t="s">
        <v>62380</v>
      </c>
      <c r="EQC4">
        <v>717590</v>
      </c>
      <c r="EQD4" t="s">
        <v>62381</v>
      </c>
      <c r="EQE4">
        <v>717602</v>
      </c>
      <c r="EQF4" t="s">
        <v>62382</v>
      </c>
      <c r="EQG4">
        <v>717607</v>
      </c>
      <c r="EQH4" t="s">
        <v>62383</v>
      </c>
      <c r="EQI4">
        <v>717664</v>
      </c>
      <c r="EQJ4" t="s">
        <v>62384</v>
      </c>
      <c r="EQK4">
        <v>717665</v>
      </c>
      <c r="EQL4" t="s">
        <v>62385</v>
      </c>
      <c r="EQM4">
        <v>717666</v>
      </c>
      <c r="EQN4" t="s">
        <v>62386</v>
      </c>
      <c r="EQO4">
        <v>717670</v>
      </c>
      <c r="EQP4" t="s">
        <v>62387</v>
      </c>
      <c r="EQQ4">
        <v>717699</v>
      </c>
      <c r="EQR4" t="s">
        <v>62388</v>
      </c>
      <c r="EQS4">
        <v>717702</v>
      </c>
      <c r="EQT4" t="s">
        <v>62389</v>
      </c>
      <c r="EQU4">
        <v>717740</v>
      </c>
      <c r="EQV4" t="s">
        <v>62390</v>
      </c>
      <c r="EQW4">
        <v>717754</v>
      </c>
      <c r="EQX4" t="s">
        <v>62391</v>
      </c>
      <c r="EQY4">
        <v>717766</v>
      </c>
      <c r="EQZ4" t="s">
        <v>62392</v>
      </c>
      <c r="ERA4">
        <v>717788</v>
      </c>
      <c r="ERB4" t="s">
        <v>62393</v>
      </c>
      <c r="ERC4">
        <v>717798</v>
      </c>
      <c r="ERD4" t="s">
        <v>62394</v>
      </c>
      <c r="ERE4">
        <v>717890</v>
      </c>
      <c r="ERF4" t="s">
        <v>62395</v>
      </c>
      <c r="ERG4">
        <v>717937</v>
      </c>
      <c r="ERH4" t="s">
        <v>62396</v>
      </c>
      <c r="ERI4">
        <v>718213</v>
      </c>
      <c r="ERJ4" t="s">
        <v>62397</v>
      </c>
      <c r="ERK4">
        <v>718222</v>
      </c>
      <c r="ERL4" t="s">
        <v>62398</v>
      </c>
      <c r="ERM4">
        <v>718824</v>
      </c>
      <c r="ERN4" t="s">
        <v>62399</v>
      </c>
      <c r="ERO4">
        <v>719129</v>
      </c>
      <c r="ERP4" t="s">
        <v>62400</v>
      </c>
      <c r="ERQ4">
        <v>719186</v>
      </c>
      <c r="ERR4" t="s">
        <v>62401</v>
      </c>
      <c r="ERS4">
        <v>719528</v>
      </c>
      <c r="ERT4" t="s">
        <v>62402</v>
      </c>
      <c r="ERU4">
        <v>720065</v>
      </c>
      <c r="ERV4" t="s">
        <v>62403</v>
      </c>
      <c r="ERW4">
        <v>720071</v>
      </c>
      <c r="ERX4" t="s">
        <v>62404</v>
      </c>
      <c r="ERY4">
        <v>720094</v>
      </c>
      <c r="ERZ4" t="s">
        <v>62405</v>
      </c>
      <c r="ESA4">
        <v>720174</v>
      </c>
      <c r="ESB4" t="s">
        <v>62406</v>
      </c>
      <c r="ESC4">
        <v>720186</v>
      </c>
      <c r="ESD4" t="s">
        <v>62407</v>
      </c>
      <c r="ESE4">
        <v>720217</v>
      </c>
      <c r="ESF4" t="s">
        <v>62408</v>
      </c>
      <c r="ESG4">
        <v>720220</v>
      </c>
      <c r="ESH4" t="s">
        <v>62409</v>
      </c>
      <c r="ESI4">
        <v>720241</v>
      </c>
      <c r="ESJ4" t="s">
        <v>62410</v>
      </c>
      <c r="ESK4">
        <v>720297</v>
      </c>
      <c r="ESL4" t="s">
        <v>62411</v>
      </c>
      <c r="ESM4">
        <v>720427</v>
      </c>
      <c r="ESN4" t="s">
        <v>62412</v>
      </c>
      <c r="ESO4">
        <v>720476</v>
      </c>
      <c r="ESP4" t="s">
        <v>62413</v>
      </c>
      <c r="ESQ4">
        <v>720511</v>
      </c>
      <c r="ESR4" t="s">
        <v>62414</v>
      </c>
      <c r="ESS4">
        <v>720519</v>
      </c>
      <c r="EST4" t="s">
        <v>62415</v>
      </c>
      <c r="ESU4">
        <v>720544</v>
      </c>
      <c r="ESV4" t="s">
        <v>62416</v>
      </c>
      <c r="ESW4">
        <v>720577</v>
      </c>
      <c r="ESX4" t="s">
        <v>62417</v>
      </c>
      <c r="ESY4">
        <v>720658</v>
      </c>
      <c r="ESZ4" t="s">
        <v>62418</v>
      </c>
      <c r="ETA4">
        <v>720666</v>
      </c>
      <c r="ETB4" t="s">
        <v>62419</v>
      </c>
      <c r="ETC4">
        <v>720685</v>
      </c>
      <c r="ETD4" t="s">
        <v>62420</v>
      </c>
      <c r="ETE4">
        <v>720690</v>
      </c>
      <c r="ETF4" t="s">
        <v>62421</v>
      </c>
      <c r="ETG4">
        <v>720719</v>
      </c>
      <c r="ETH4" t="s">
        <v>62422</v>
      </c>
      <c r="ETI4">
        <v>720740</v>
      </c>
      <c r="ETJ4" t="s">
        <v>62423</v>
      </c>
      <c r="ETK4">
        <v>720757</v>
      </c>
      <c r="ETL4" t="s">
        <v>62424</v>
      </c>
      <c r="ETM4">
        <v>720769</v>
      </c>
      <c r="ETN4" t="s">
        <v>62425</v>
      </c>
      <c r="ETO4">
        <v>720837</v>
      </c>
      <c r="ETP4" t="s">
        <v>62426</v>
      </c>
      <c r="ETQ4">
        <v>720901</v>
      </c>
      <c r="ETR4" t="s">
        <v>62427</v>
      </c>
      <c r="ETS4">
        <v>721706</v>
      </c>
      <c r="ETT4" t="s">
        <v>62428</v>
      </c>
      <c r="ETU4">
        <v>721719</v>
      </c>
      <c r="ETV4" t="s">
        <v>62429</v>
      </c>
      <c r="ETW4">
        <v>723483</v>
      </c>
      <c r="ETX4" t="s">
        <v>62430</v>
      </c>
      <c r="ETY4">
        <v>723509</v>
      </c>
      <c r="ETZ4" t="s">
        <v>62431</v>
      </c>
      <c r="EUA4">
        <v>723521</v>
      </c>
      <c r="EUC4" t="s">
        <v>62432</v>
      </c>
      <c r="EUD4">
        <v>723525</v>
      </c>
      <c r="EUE4" t="s">
        <v>62433</v>
      </c>
      <c r="EUF4">
        <v>723576</v>
      </c>
      <c r="EUG4" t="s">
        <v>62434</v>
      </c>
      <c r="EUH4">
        <v>723626</v>
      </c>
      <c r="EUI4" t="s">
        <v>62435</v>
      </c>
      <c r="EUJ4">
        <v>723627</v>
      </c>
      <c r="EUK4" t="s">
        <v>62436</v>
      </c>
      <c r="EUL4">
        <v>723694</v>
      </c>
      <c r="EUM4" t="s">
        <v>62437</v>
      </c>
      <c r="EUN4">
        <v>725657</v>
      </c>
      <c r="EUO4" t="s">
        <v>62438</v>
      </c>
      <c r="EUP4">
        <v>725713</v>
      </c>
      <c r="EUQ4" t="s">
        <v>62439</v>
      </c>
      <c r="EUR4">
        <v>725718</v>
      </c>
      <c r="EUS4" t="s">
        <v>62440</v>
      </c>
      <c r="EUT4">
        <v>725725</v>
      </c>
      <c r="EUU4" t="s">
        <v>62441</v>
      </c>
      <c r="EUV4">
        <v>725731</v>
      </c>
      <c r="EUW4" t="s">
        <v>62442</v>
      </c>
      <c r="EUX4">
        <v>725739</v>
      </c>
      <c r="EUY4" t="s">
        <v>62443</v>
      </c>
      <c r="EUZ4">
        <v>726939</v>
      </c>
      <c r="EVA4" t="s">
        <v>62444</v>
      </c>
      <c r="EVB4">
        <v>726944</v>
      </c>
      <c r="EVC4" t="s">
        <v>62445</v>
      </c>
      <c r="EVD4">
        <v>728191</v>
      </c>
      <c r="EVE4" t="s">
        <v>62446</v>
      </c>
      <c r="EVF4">
        <v>728196</v>
      </c>
      <c r="EVG4" t="s">
        <v>62447</v>
      </c>
      <c r="EVH4">
        <v>728206</v>
      </c>
      <c r="EVI4" t="s">
        <v>62448</v>
      </c>
      <c r="EVJ4">
        <v>729870</v>
      </c>
      <c r="EVK4" t="s">
        <v>62449</v>
      </c>
      <c r="EVL4">
        <v>729886</v>
      </c>
      <c r="EVM4" t="s">
        <v>62450</v>
      </c>
      <c r="EVN4">
        <v>729893</v>
      </c>
      <c r="EVO4" t="s">
        <v>62451</v>
      </c>
      <c r="EVP4">
        <v>729929</v>
      </c>
      <c r="EVQ4" t="s">
        <v>62452</v>
      </c>
      <c r="EVR4">
        <v>729930</v>
      </c>
      <c r="EVS4" t="s">
        <v>62453</v>
      </c>
      <c r="EVT4">
        <v>729957</v>
      </c>
      <c r="EVU4" t="s">
        <v>62454</v>
      </c>
      <c r="EVV4">
        <v>731627</v>
      </c>
      <c r="EVW4" t="s">
        <v>62455</v>
      </c>
      <c r="EVX4">
        <v>731635</v>
      </c>
      <c r="EVY4" t="s">
        <v>62456</v>
      </c>
      <c r="EVZ4">
        <v>731682</v>
      </c>
      <c r="EWA4" t="s">
        <v>62457</v>
      </c>
      <c r="EWB4">
        <v>731699</v>
      </c>
      <c r="EWC4" t="s">
        <v>62458</v>
      </c>
      <c r="EWD4">
        <v>732988</v>
      </c>
      <c r="EWE4" t="s">
        <v>62459</v>
      </c>
      <c r="EWF4">
        <v>732993</v>
      </c>
      <c r="EWG4" t="s">
        <v>62460</v>
      </c>
      <c r="EWH4">
        <v>733003</v>
      </c>
      <c r="EWI4" t="s">
        <v>62461</v>
      </c>
      <c r="EWJ4">
        <v>733008</v>
      </c>
      <c r="EWK4" t="s">
        <v>62462</v>
      </c>
      <c r="EWL4">
        <v>733025</v>
      </c>
      <c r="EWM4" t="s">
        <v>62463</v>
      </c>
      <c r="EWN4">
        <v>733032</v>
      </c>
      <c r="EWO4" t="s">
        <v>62464</v>
      </c>
      <c r="EWP4">
        <v>733040</v>
      </c>
      <c r="EWQ4" t="s">
        <v>62465</v>
      </c>
      <c r="EWR4">
        <v>733047</v>
      </c>
      <c r="EWS4" t="s">
        <v>62466</v>
      </c>
      <c r="EWT4">
        <v>733058</v>
      </c>
      <c r="EWU4" t="s">
        <v>62467</v>
      </c>
      <c r="EWV4">
        <v>733066</v>
      </c>
      <c r="EWW4" t="s">
        <v>62468</v>
      </c>
      <c r="EWX4">
        <v>733067</v>
      </c>
      <c r="EWY4" t="s">
        <v>62469</v>
      </c>
      <c r="EWZ4">
        <v>733100</v>
      </c>
      <c r="EXA4" t="s">
        <v>62470</v>
      </c>
      <c r="EXB4">
        <v>733112</v>
      </c>
      <c r="EXC4" t="s">
        <v>62471</v>
      </c>
      <c r="EXD4">
        <v>733128</v>
      </c>
      <c r="EXE4" t="s">
        <v>62472</v>
      </c>
      <c r="EXF4">
        <v>733136</v>
      </c>
      <c r="EXG4" t="s">
        <v>62473</v>
      </c>
      <c r="EXH4">
        <v>733145</v>
      </c>
      <c r="EXI4" t="s">
        <v>62474</v>
      </c>
      <c r="EXJ4">
        <v>733151</v>
      </c>
      <c r="EXK4" t="s">
        <v>62475</v>
      </c>
      <c r="EXL4">
        <v>733162</v>
      </c>
      <c r="EXM4" t="s">
        <v>62476</v>
      </c>
      <c r="EXN4">
        <v>733170</v>
      </c>
      <c r="EXO4" t="s">
        <v>62477</v>
      </c>
      <c r="EXP4">
        <v>733177</v>
      </c>
      <c r="EXQ4" t="s">
        <v>62478</v>
      </c>
      <c r="EXR4">
        <v>733236</v>
      </c>
      <c r="EXS4" t="s">
        <v>62479</v>
      </c>
      <c r="EXT4">
        <v>733245</v>
      </c>
      <c r="EXU4" t="s">
        <v>62480</v>
      </c>
      <c r="EXV4">
        <v>733283</v>
      </c>
      <c r="EXW4" t="s">
        <v>62481</v>
      </c>
      <c r="EXX4">
        <v>733288</v>
      </c>
      <c r="EXY4" t="s">
        <v>62482</v>
      </c>
      <c r="EXZ4">
        <v>733299</v>
      </c>
      <c r="EYA4" t="s">
        <v>62483</v>
      </c>
      <c r="EYB4">
        <v>733307</v>
      </c>
      <c r="EYC4" t="s">
        <v>62484</v>
      </c>
      <c r="EYD4">
        <v>733315</v>
      </c>
      <c r="EYE4" t="s">
        <v>62485</v>
      </c>
      <c r="EYF4">
        <v>733326</v>
      </c>
      <c r="EYG4" t="s">
        <v>62486</v>
      </c>
      <c r="EYH4">
        <v>733331</v>
      </c>
      <c r="EYI4" t="s">
        <v>62487</v>
      </c>
      <c r="EYJ4">
        <v>733336</v>
      </c>
      <c r="EYK4" t="s">
        <v>62488</v>
      </c>
      <c r="EYL4">
        <v>733343</v>
      </c>
      <c r="EYM4" t="s">
        <v>62489</v>
      </c>
      <c r="EYN4">
        <v>733353</v>
      </c>
      <c r="EYO4" t="s">
        <v>62490</v>
      </c>
      <c r="EYP4">
        <v>733360</v>
      </c>
      <c r="EYQ4" t="s">
        <v>62491</v>
      </c>
      <c r="EYR4">
        <v>733364</v>
      </c>
      <c r="EYS4" t="s">
        <v>62492</v>
      </c>
      <c r="EYT4">
        <v>733369</v>
      </c>
      <c r="EYU4" t="s">
        <v>62493</v>
      </c>
      <c r="EYV4">
        <v>733373</v>
      </c>
      <c r="EYW4" t="s">
        <v>62494</v>
      </c>
      <c r="EYX4">
        <v>733378</v>
      </c>
      <c r="EYY4" t="s">
        <v>62495</v>
      </c>
      <c r="EYZ4">
        <v>733379</v>
      </c>
      <c r="EZA4" t="s">
        <v>62496</v>
      </c>
      <c r="EZB4">
        <v>733387</v>
      </c>
      <c r="EZD4" t="s">
        <v>62497</v>
      </c>
      <c r="EZE4">
        <v>733396</v>
      </c>
      <c r="EZF4" t="s">
        <v>62498</v>
      </c>
      <c r="EZG4">
        <v>733403</v>
      </c>
      <c r="EZI4" t="s">
        <v>62499</v>
      </c>
      <c r="EZJ4">
        <v>733414</v>
      </c>
      <c r="EZK4" t="s">
        <v>62500</v>
      </c>
      <c r="EZL4">
        <v>733427</v>
      </c>
      <c r="EZN4" t="s">
        <v>62501</v>
      </c>
      <c r="EZO4">
        <v>733448</v>
      </c>
      <c r="EZQ4" t="s">
        <v>62502</v>
      </c>
      <c r="EZR4">
        <v>733455</v>
      </c>
      <c r="EZS4" t="s">
        <v>62503</v>
      </c>
      <c r="EZT4">
        <v>733459</v>
      </c>
      <c r="EZU4" t="s">
        <v>62504</v>
      </c>
      <c r="EZV4">
        <v>733464</v>
      </c>
      <c r="EZW4" t="s">
        <v>62505</v>
      </c>
      <c r="EZX4">
        <v>733470</v>
      </c>
      <c r="EZZ4" t="s">
        <v>62506</v>
      </c>
      <c r="FAA4">
        <v>733477</v>
      </c>
      <c r="FAB4" t="s">
        <v>62507</v>
      </c>
      <c r="FAC4">
        <v>733487</v>
      </c>
      <c r="FAD4" t="s">
        <v>62508</v>
      </c>
      <c r="FAE4">
        <v>733546</v>
      </c>
      <c r="FAG4" t="s">
        <v>62509</v>
      </c>
      <c r="FAH4">
        <v>733578</v>
      </c>
      <c r="FAI4" t="s">
        <v>62510</v>
      </c>
      <c r="FAJ4">
        <v>733838</v>
      </c>
      <c r="FAK4" t="s">
        <v>62511</v>
      </c>
      <c r="FAL4">
        <v>733844</v>
      </c>
      <c r="FAM4" t="s">
        <v>62512</v>
      </c>
      <c r="FAN4">
        <v>734040</v>
      </c>
      <c r="FAO4" t="s">
        <v>62513</v>
      </c>
      <c r="FAP4">
        <v>734047</v>
      </c>
      <c r="FAQ4" t="s">
        <v>62514</v>
      </c>
      <c r="FAR4">
        <v>734142</v>
      </c>
      <c r="FAS4" t="s">
        <v>62515</v>
      </c>
      <c r="FAT4">
        <v>734173</v>
      </c>
      <c r="FAV4" t="s">
        <v>62516</v>
      </c>
      <c r="FAW4">
        <v>734214</v>
      </c>
      <c r="FAX4" t="s">
        <v>62517</v>
      </c>
      <c r="FAY4">
        <v>734246</v>
      </c>
      <c r="FAZ4" t="s">
        <v>62518</v>
      </c>
      <c r="FBA4">
        <v>734310</v>
      </c>
      <c r="FBB4" t="s">
        <v>62519</v>
      </c>
      <c r="FBC4">
        <v>734343</v>
      </c>
      <c r="FBD4" t="s">
        <v>62520</v>
      </c>
      <c r="FBE4">
        <v>734354</v>
      </c>
      <c r="FBF4" t="s">
        <v>62521</v>
      </c>
      <c r="FBG4">
        <v>734391</v>
      </c>
      <c r="FBH4" t="s">
        <v>62522</v>
      </c>
      <c r="FBI4">
        <v>734416</v>
      </c>
      <c r="FBJ4" t="s">
        <v>62523</v>
      </c>
      <c r="FBK4">
        <v>734438</v>
      </c>
      <c r="FBL4" t="s">
        <v>62524</v>
      </c>
      <c r="FBM4">
        <v>734475</v>
      </c>
      <c r="FBN4" t="s">
        <v>62525</v>
      </c>
      <c r="FBO4">
        <v>734488</v>
      </c>
      <c r="FBP4" t="s">
        <v>62526</v>
      </c>
      <c r="FBQ4">
        <v>734538</v>
      </c>
      <c r="FBR4" t="s">
        <v>62527</v>
      </c>
      <c r="FBS4">
        <v>734567</v>
      </c>
      <c r="FBT4" t="s">
        <v>62528</v>
      </c>
      <c r="FBU4">
        <v>734592</v>
      </c>
      <c r="FBV4" t="s">
        <v>62529</v>
      </c>
      <c r="FBW4">
        <v>734595</v>
      </c>
      <c r="FBX4" t="s">
        <v>62530</v>
      </c>
      <c r="FBY4">
        <v>734607</v>
      </c>
      <c r="FBZ4" t="s">
        <v>62531</v>
      </c>
      <c r="FCA4">
        <v>734619</v>
      </c>
      <c r="FCB4" t="s">
        <v>62532</v>
      </c>
      <c r="FCC4">
        <v>734627</v>
      </c>
      <c r="FCD4" t="s">
        <v>62533</v>
      </c>
      <c r="FCE4">
        <v>734641</v>
      </c>
      <c r="FCF4" t="s">
        <v>62534</v>
      </c>
      <c r="FCG4">
        <v>734655</v>
      </c>
      <c r="FCH4" t="s">
        <v>62535</v>
      </c>
      <c r="FCI4">
        <v>734676</v>
      </c>
      <c r="FCK4" t="s">
        <v>62536</v>
      </c>
      <c r="FCL4">
        <v>734712</v>
      </c>
      <c r="FCN4" t="s">
        <v>62537</v>
      </c>
      <c r="FCO4">
        <v>734737</v>
      </c>
      <c r="FCP4" t="s">
        <v>62538</v>
      </c>
      <c r="FCQ4">
        <v>734738</v>
      </c>
      <c r="FCR4" t="s">
        <v>62539</v>
      </c>
      <c r="FCS4">
        <v>734755</v>
      </c>
      <c r="FCT4" t="s">
        <v>62540</v>
      </c>
      <c r="FCU4">
        <v>734760</v>
      </c>
      <c r="FCV4" t="s">
        <v>62541</v>
      </c>
      <c r="FCW4">
        <v>734782</v>
      </c>
      <c r="FCX4" t="s">
        <v>62542</v>
      </c>
      <c r="FCY4">
        <v>734783</v>
      </c>
      <c r="FCZ4" t="s">
        <v>62543</v>
      </c>
      <c r="FDA4">
        <v>734819</v>
      </c>
      <c r="FDB4" t="s">
        <v>62544</v>
      </c>
      <c r="FDC4">
        <v>734847</v>
      </c>
      <c r="FDD4" t="s">
        <v>62545</v>
      </c>
      <c r="FDE4">
        <v>734848</v>
      </c>
      <c r="FDG4" t="s">
        <v>62546</v>
      </c>
      <c r="FDH4">
        <v>734870</v>
      </c>
      <c r="FDJ4" t="s">
        <v>62547</v>
      </c>
      <c r="FDK4">
        <v>734879</v>
      </c>
      <c r="FDL4" t="s">
        <v>62548</v>
      </c>
      <c r="FDM4">
        <v>734886</v>
      </c>
      <c r="FDN4" t="s">
        <v>62549</v>
      </c>
      <c r="FDO4">
        <v>734891</v>
      </c>
      <c r="FDP4" t="s">
        <v>62550</v>
      </c>
      <c r="FDQ4">
        <v>734896</v>
      </c>
      <c r="FDR4" t="s">
        <v>62551</v>
      </c>
      <c r="FDS4">
        <v>734905</v>
      </c>
      <c r="FDT4" t="s">
        <v>62552</v>
      </c>
      <c r="FDU4">
        <v>735183</v>
      </c>
      <c r="FDX4" t="s">
        <v>62553</v>
      </c>
      <c r="FDY4">
        <v>735215</v>
      </c>
      <c r="FDZ4" t="s">
        <v>62554</v>
      </c>
      <c r="FEA4">
        <v>735276</v>
      </c>
      <c r="FEC4" t="s">
        <v>62555</v>
      </c>
      <c r="FED4">
        <v>735292</v>
      </c>
      <c r="FEF4" t="s">
        <v>62556</v>
      </c>
      <c r="FEG4">
        <v>735357</v>
      </c>
      <c r="FEH4" t="s">
        <v>62557</v>
      </c>
      <c r="FEI4">
        <v>735467</v>
      </c>
      <c r="FEJ4" t="s">
        <v>62558</v>
      </c>
      <c r="FEK4">
        <v>735605</v>
      </c>
      <c r="FEL4" t="s">
        <v>62559</v>
      </c>
      <c r="FEM4">
        <v>735844</v>
      </c>
      <c r="FEN4" t="s">
        <v>62560</v>
      </c>
      <c r="FEO4">
        <v>735861</v>
      </c>
      <c r="FEP4" t="s">
        <v>62561</v>
      </c>
      <c r="FEQ4">
        <v>735910</v>
      </c>
      <c r="FER4" t="s">
        <v>62562</v>
      </c>
      <c r="FES4">
        <v>735949</v>
      </c>
      <c r="FET4" t="s">
        <v>62563</v>
      </c>
      <c r="FEU4">
        <v>735957</v>
      </c>
      <c r="FEV4" t="s">
        <v>62564</v>
      </c>
      <c r="FEW4">
        <v>735985</v>
      </c>
      <c r="FEX4" t="s">
        <v>62565</v>
      </c>
      <c r="FEY4">
        <v>735996</v>
      </c>
      <c r="FFA4" t="s">
        <v>62566</v>
      </c>
      <c r="FFB4">
        <v>736258</v>
      </c>
      <c r="FFC4" t="s">
        <v>62567</v>
      </c>
      <c r="FFD4">
        <v>736268</v>
      </c>
      <c r="FFE4" t="s">
        <v>62568</v>
      </c>
      <c r="FFF4">
        <v>736289</v>
      </c>
      <c r="FFG4" t="s">
        <v>62569</v>
      </c>
      <c r="FFH4">
        <v>736303</v>
      </c>
      <c r="FFI4" t="s">
        <v>62570</v>
      </c>
      <c r="FFJ4">
        <v>736316</v>
      </c>
      <c r="FFK4" t="s">
        <v>62571</v>
      </c>
      <c r="FFL4">
        <v>736326</v>
      </c>
      <c r="FFM4" t="s">
        <v>62572</v>
      </c>
      <c r="FFN4">
        <v>736331</v>
      </c>
      <c r="FFO4" t="s">
        <v>62573</v>
      </c>
      <c r="FFP4">
        <v>736345</v>
      </c>
      <c r="FFR4" t="s">
        <v>62574</v>
      </c>
      <c r="FFS4">
        <v>736353</v>
      </c>
      <c r="FFT4" t="s">
        <v>62575</v>
      </c>
      <c r="FFU4">
        <v>736392</v>
      </c>
      <c r="FFV4" t="s">
        <v>62576</v>
      </c>
      <c r="FFW4">
        <v>736399</v>
      </c>
      <c r="FFX4" t="s">
        <v>62577</v>
      </c>
      <c r="FFY4">
        <v>736400</v>
      </c>
      <c r="FFZ4" t="s">
        <v>62578</v>
      </c>
      <c r="FGA4">
        <v>736707</v>
      </c>
      <c r="FGB4" t="s">
        <v>62579</v>
      </c>
      <c r="FGC4">
        <v>738060</v>
      </c>
      <c r="FGD4" t="s">
        <v>62580</v>
      </c>
      <c r="FGE4">
        <v>738188</v>
      </c>
      <c r="FGF4" t="s">
        <v>62581</v>
      </c>
      <c r="FGG4">
        <v>739549</v>
      </c>
      <c r="FGH4" t="s">
        <v>62582</v>
      </c>
      <c r="FGI4">
        <v>740669</v>
      </c>
      <c r="FGJ4" t="s">
        <v>62583</v>
      </c>
      <c r="FGK4">
        <v>740687</v>
      </c>
      <c r="FGL4" t="s">
        <v>62584</v>
      </c>
      <c r="FGM4">
        <v>741134</v>
      </c>
      <c r="FGN4" t="s">
        <v>62585</v>
      </c>
      <c r="FGO4">
        <v>741143</v>
      </c>
      <c r="FGP4" t="s">
        <v>62586</v>
      </c>
      <c r="FGQ4">
        <v>742659</v>
      </c>
      <c r="FGR4" t="s">
        <v>62587</v>
      </c>
      <c r="FGS4">
        <v>742716</v>
      </c>
      <c r="FGT4" t="s">
        <v>62588</v>
      </c>
      <c r="FGU4">
        <v>742721</v>
      </c>
      <c r="FGV4" t="s">
        <v>62589</v>
      </c>
      <c r="FGW4">
        <v>742743</v>
      </c>
      <c r="FGX4" t="s">
        <v>62590</v>
      </c>
      <c r="FGY4">
        <v>744218</v>
      </c>
      <c r="FGZ4" t="s">
        <v>62591</v>
      </c>
      <c r="FHA4">
        <v>744227</v>
      </c>
      <c r="FHB4" t="s">
        <v>62592</v>
      </c>
      <c r="FHC4">
        <v>744348</v>
      </c>
      <c r="FHD4" t="s">
        <v>62593</v>
      </c>
      <c r="FHE4">
        <v>744378</v>
      </c>
      <c r="FHF4" t="s">
        <v>62594</v>
      </c>
      <c r="FHG4">
        <v>744392</v>
      </c>
      <c r="FHH4" t="s">
        <v>62595</v>
      </c>
      <c r="FHI4">
        <v>744645</v>
      </c>
      <c r="FHJ4" t="s">
        <v>62596</v>
      </c>
      <c r="FHK4">
        <v>745032</v>
      </c>
      <c r="FHL4" t="s">
        <v>62597</v>
      </c>
      <c r="FHM4">
        <v>745557</v>
      </c>
      <c r="FHN4" t="s">
        <v>62598</v>
      </c>
      <c r="FHO4">
        <v>747176</v>
      </c>
      <c r="FHP4" t="s">
        <v>62599</v>
      </c>
      <c r="FHQ4">
        <v>748560</v>
      </c>
      <c r="FHS4" t="s">
        <v>62600</v>
      </c>
      <c r="FHT4">
        <v>749584</v>
      </c>
      <c r="FHU4" t="s">
        <v>62601</v>
      </c>
      <c r="FHV4">
        <v>749662</v>
      </c>
      <c r="FHX4" t="s">
        <v>62602</v>
      </c>
      <c r="FHY4">
        <v>749672</v>
      </c>
      <c r="FHZ4" t="s">
        <v>62603</v>
      </c>
      <c r="FIA4">
        <v>749787</v>
      </c>
      <c r="FIB4" t="s">
        <v>62604</v>
      </c>
      <c r="FIC4">
        <v>749817</v>
      </c>
      <c r="FID4" t="s">
        <v>62605</v>
      </c>
      <c r="FIE4">
        <v>758885</v>
      </c>
      <c r="FIF4" t="s">
        <v>62606</v>
      </c>
      <c r="FIG4">
        <v>759648</v>
      </c>
      <c r="FIH4" t="s">
        <v>62607</v>
      </c>
      <c r="FII4">
        <v>759658</v>
      </c>
      <c r="FIJ4" t="s">
        <v>62608</v>
      </c>
      <c r="FIK4">
        <v>761267</v>
      </c>
      <c r="FIL4" t="s">
        <v>62609</v>
      </c>
      <c r="FIM4">
        <v>761571</v>
      </c>
      <c r="FIO4" t="s">
        <v>62610</v>
      </c>
      <c r="FIP4">
        <v>763014</v>
      </c>
      <c r="FIQ4" t="s">
        <v>62611</v>
      </c>
      <c r="FIR4">
        <v>766799</v>
      </c>
      <c r="FIS4" t="s">
        <v>62612</v>
      </c>
      <c r="FIT4">
        <v>770242</v>
      </c>
      <c r="FIU4" t="s">
        <v>62613</v>
      </c>
      <c r="FIV4">
        <v>770250</v>
      </c>
      <c r="FIW4" t="s">
        <v>62614</v>
      </c>
      <c r="FIX4">
        <v>770267</v>
      </c>
      <c r="FIY4" t="s">
        <v>62615</v>
      </c>
      <c r="FIZ4">
        <v>770319</v>
      </c>
      <c r="FJA4" t="s">
        <v>62616</v>
      </c>
      <c r="FJB4">
        <v>770378</v>
      </c>
      <c r="FJC4" t="s">
        <v>62617</v>
      </c>
      <c r="FJD4">
        <v>774249</v>
      </c>
      <c r="FJE4" t="s">
        <v>62618</v>
      </c>
      <c r="FJF4">
        <v>774349</v>
      </c>
      <c r="FJG4" t="s">
        <v>62619</v>
      </c>
      <c r="FJH4">
        <v>774393</v>
      </c>
      <c r="FJI4" t="s">
        <v>62620</v>
      </c>
      <c r="FJJ4">
        <v>774403</v>
      </c>
      <c r="FJK4" t="s">
        <v>62621</v>
      </c>
      <c r="FJL4">
        <v>774423</v>
      </c>
      <c r="FJM4" t="s">
        <v>62622</v>
      </c>
      <c r="FJN4">
        <v>774913</v>
      </c>
      <c r="FJO4" t="s">
        <v>62623</v>
      </c>
      <c r="FJP4">
        <v>775023</v>
      </c>
      <c r="FJQ4" t="s">
        <v>62624</v>
      </c>
      <c r="FJR4">
        <v>775322</v>
      </c>
      <c r="FJS4" t="s">
        <v>62625</v>
      </c>
      <c r="FJT4">
        <v>775347</v>
      </c>
      <c r="FJU4" t="s">
        <v>62626</v>
      </c>
      <c r="FJV4">
        <v>775363</v>
      </c>
      <c r="FJW4" t="s">
        <v>62627</v>
      </c>
      <c r="FJX4">
        <v>775380</v>
      </c>
      <c r="FJY4" t="s">
        <v>62628</v>
      </c>
      <c r="FJZ4">
        <v>775947</v>
      </c>
      <c r="FKA4" t="s">
        <v>62629</v>
      </c>
      <c r="FKB4">
        <v>778667</v>
      </c>
      <c r="FKC4" t="s">
        <v>62630</v>
      </c>
      <c r="FKD4">
        <v>778673</v>
      </c>
      <c r="FKE4" t="s">
        <v>62631</v>
      </c>
      <c r="FKF4">
        <v>778683</v>
      </c>
      <c r="FKG4" t="s">
        <v>62632</v>
      </c>
      <c r="FKH4">
        <v>779519</v>
      </c>
      <c r="FKI4" t="s">
        <v>62633</v>
      </c>
      <c r="FKJ4">
        <v>779980</v>
      </c>
      <c r="FKK4" t="s">
        <v>62634</v>
      </c>
      <c r="FKL4">
        <v>779994</v>
      </c>
      <c r="FKM4" t="s">
        <v>62635</v>
      </c>
      <c r="FKN4">
        <v>779997</v>
      </c>
      <c r="FKO4" t="s">
        <v>62636</v>
      </c>
      <c r="FKP4">
        <v>780008</v>
      </c>
      <c r="FKQ4" t="s">
        <v>62637</v>
      </c>
      <c r="FKR4">
        <v>780033</v>
      </c>
      <c r="FKS4" t="s">
        <v>62638</v>
      </c>
      <c r="FKT4">
        <v>780210</v>
      </c>
      <c r="FKU4" t="s">
        <v>62639</v>
      </c>
      <c r="FKV4">
        <v>780218</v>
      </c>
      <c r="FKW4" t="s">
        <v>62640</v>
      </c>
      <c r="FKX4">
        <v>780372</v>
      </c>
      <c r="FKY4" t="s">
        <v>62641</v>
      </c>
      <c r="FKZ4">
        <v>782195</v>
      </c>
      <c r="FLA4" t="s">
        <v>62642</v>
      </c>
      <c r="FLB4">
        <v>782197</v>
      </c>
      <c r="FLC4" t="s">
        <v>62643</v>
      </c>
      <c r="FLD4">
        <v>782228</v>
      </c>
      <c r="FLE4" t="s">
        <v>62644</v>
      </c>
      <c r="FLF4">
        <v>782312</v>
      </c>
      <c r="FLG4" t="s">
        <v>62645</v>
      </c>
      <c r="FLH4">
        <v>782457</v>
      </c>
      <c r="FLI4" t="s">
        <v>62646</v>
      </c>
      <c r="FLJ4">
        <v>783234</v>
      </c>
      <c r="FLK4" t="s">
        <v>62647</v>
      </c>
      <c r="FLL4">
        <v>783308</v>
      </c>
      <c r="FLN4" t="s">
        <v>62648</v>
      </c>
      <c r="FLO4">
        <v>783369</v>
      </c>
      <c r="FLP4" t="s">
        <v>62649</v>
      </c>
      <c r="FLQ4">
        <v>783484</v>
      </c>
      <c r="FLR4" t="s">
        <v>62650</v>
      </c>
      <c r="FLS4">
        <v>783491</v>
      </c>
      <c r="FLT4" t="s">
        <v>62651</v>
      </c>
      <c r="FLU4">
        <v>783522</v>
      </c>
      <c r="FLV4" t="s">
        <v>62652</v>
      </c>
      <c r="FLW4">
        <v>783800</v>
      </c>
      <c r="FLX4" t="s">
        <v>62653</v>
      </c>
      <c r="FLY4">
        <v>783827</v>
      </c>
      <c r="FLZ4" t="s">
        <v>62654</v>
      </c>
      <c r="FMA4">
        <v>784760</v>
      </c>
      <c r="FMB4" t="s">
        <v>62655</v>
      </c>
      <c r="FMC4">
        <v>784781</v>
      </c>
      <c r="FMD4" t="s">
        <v>62656</v>
      </c>
      <c r="FME4">
        <v>785533</v>
      </c>
      <c r="FMF4" t="s">
        <v>62657</v>
      </c>
      <c r="FMG4">
        <v>785601</v>
      </c>
      <c r="FMH4" t="s">
        <v>62658</v>
      </c>
      <c r="FMI4">
        <v>785616</v>
      </c>
      <c r="FMJ4" t="s">
        <v>62659</v>
      </c>
      <c r="FMK4">
        <v>785659</v>
      </c>
      <c r="FML4" t="s">
        <v>62660</v>
      </c>
      <c r="FMM4">
        <v>785660</v>
      </c>
      <c r="FMN4" t="s">
        <v>62661</v>
      </c>
      <c r="FMO4">
        <v>785699</v>
      </c>
      <c r="FMP4" t="s">
        <v>62662</v>
      </c>
      <c r="FMQ4">
        <v>785845</v>
      </c>
      <c r="FMR4" t="s">
        <v>62663</v>
      </c>
      <c r="FMS4">
        <v>785991</v>
      </c>
      <c r="FMT4" t="s">
        <v>62664</v>
      </c>
      <c r="FMU4">
        <v>786000</v>
      </c>
      <c r="FMV4" t="s">
        <v>62665</v>
      </c>
      <c r="FMW4">
        <v>786008</v>
      </c>
      <c r="FMX4" t="s">
        <v>62666</v>
      </c>
      <c r="FMY4">
        <v>786021</v>
      </c>
      <c r="FMZ4" t="s">
        <v>62667</v>
      </c>
      <c r="FNA4">
        <v>786161</v>
      </c>
      <c r="FNB4" t="s">
        <v>62668</v>
      </c>
      <c r="FNC4">
        <v>786184</v>
      </c>
      <c r="FND4" t="s">
        <v>62669</v>
      </c>
      <c r="FNE4">
        <v>786195</v>
      </c>
      <c r="FNF4" t="s">
        <v>62670</v>
      </c>
      <c r="FNG4">
        <v>786316</v>
      </c>
      <c r="FNH4" t="s">
        <v>62671</v>
      </c>
      <c r="FNI4">
        <v>786495</v>
      </c>
      <c r="FNJ4" t="s">
        <v>62672</v>
      </c>
      <c r="FNK4">
        <v>788639</v>
      </c>
      <c r="FNL4" t="s">
        <v>62673</v>
      </c>
      <c r="FNM4">
        <v>788643</v>
      </c>
      <c r="FNN4" t="s">
        <v>62674</v>
      </c>
      <c r="FNO4">
        <v>788660</v>
      </c>
      <c r="FNP4" t="s">
        <v>62675</v>
      </c>
      <c r="FNQ4">
        <v>788666</v>
      </c>
      <c r="FNR4" t="s">
        <v>62676</v>
      </c>
      <c r="FNS4">
        <v>788677</v>
      </c>
      <c r="FNT4" t="s">
        <v>62677</v>
      </c>
      <c r="FNU4">
        <v>794410</v>
      </c>
      <c r="FNV4" t="s">
        <v>62678</v>
      </c>
      <c r="FNW4">
        <v>794419</v>
      </c>
      <c r="FNX4" t="s">
        <v>62679</v>
      </c>
      <c r="FNY4">
        <v>794428</v>
      </c>
      <c r="FNZ4" t="s">
        <v>62680</v>
      </c>
      <c r="FOA4">
        <v>794436</v>
      </c>
      <c r="FOB4" t="s">
        <v>62681</v>
      </c>
      <c r="FOC4">
        <v>796400</v>
      </c>
      <c r="FOD4" t="s">
        <v>62682</v>
      </c>
      <c r="FOE4">
        <v>796432</v>
      </c>
      <c r="FOF4" t="s">
        <v>62683</v>
      </c>
      <c r="FOG4">
        <v>796518</v>
      </c>
      <c r="FOH4" t="s">
        <v>62684</v>
      </c>
      <c r="FOI4">
        <v>799009</v>
      </c>
      <c r="FOJ4" t="s">
        <v>62685</v>
      </c>
      <c r="FOK4">
        <v>799053</v>
      </c>
      <c r="FOL4" t="s">
        <v>62686</v>
      </c>
      <c r="FOM4">
        <v>799063</v>
      </c>
      <c r="FON4" t="s">
        <v>62687</v>
      </c>
      <c r="FOO4">
        <v>799090</v>
      </c>
      <c r="FOP4" t="s">
        <v>62688</v>
      </c>
      <c r="FOQ4">
        <v>799189</v>
      </c>
      <c r="FOR4" t="s">
        <v>62689</v>
      </c>
      <c r="FOS4">
        <v>815860</v>
      </c>
      <c r="FOT4" t="s">
        <v>62690</v>
      </c>
      <c r="FOU4">
        <v>815869</v>
      </c>
      <c r="FOV4" t="s">
        <v>62691</v>
      </c>
      <c r="FOW4">
        <v>815870</v>
      </c>
      <c r="FOX4" t="s">
        <v>62692</v>
      </c>
      <c r="FOY4">
        <v>815881</v>
      </c>
      <c r="FOZ4" t="s">
        <v>62693</v>
      </c>
      <c r="FPA4">
        <v>815954</v>
      </c>
      <c r="FPB4" t="s">
        <v>62694</v>
      </c>
      <c r="FPC4">
        <v>815956</v>
      </c>
      <c r="FPD4" t="s">
        <v>62695</v>
      </c>
      <c r="FPE4">
        <v>815991</v>
      </c>
      <c r="FPF4" t="s">
        <v>62696</v>
      </c>
      <c r="FPG4">
        <v>815995</v>
      </c>
      <c r="FPH4" t="s">
        <v>62697</v>
      </c>
      <c r="FPI4">
        <v>816055</v>
      </c>
      <c r="FPJ4" t="s">
        <v>62698</v>
      </c>
      <c r="FPK4">
        <v>816056</v>
      </c>
      <c r="FPL4" t="s">
        <v>62699</v>
      </c>
      <c r="FPM4">
        <v>816086</v>
      </c>
      <c r="FPN4" t="s">
        <v>62700</v>
      </c>
      <c r="FPO4">
        <v>816093</v>
      </c>
      <c r="FPP4" t="s">
        <v>62701</v>
      </c>
      <c r="FPQ4">
        <v>816096</v>
      </c>
      <c r="FPR4" t="s">
        <v>62702</v>
      </c>
      <c r="FPS4">
        <v>816104</v>
      </c>
      <c r="FPT4" t="s">
        <v>62703</v>
      </c>
      <c r="FPU4">
        <v>816117</v>
      </c>
      <c r="FPV4" t="s">
        <v>62704</v>
      </c>
      <c r="FPW4">
        <v>816167</v>
      </c>
      <c r="FPX4" t="s">
        <v>62705</v>
      </c>
      <c r="FPY4">
        <v>816200</v>
      </c>
      <c r="FPZ4" t="s">
        <v>62706</v>
      </c>
      <c r="FQA4">
        <v>816210</v>
      </c>
      <c r="FQB4" t="s">
        <v>62707</v>
      </c>
      <c r="FQC4">
        <v>816213</v>
      </c>
      <c r="FQD4" t="s">
        <v>62708</v>
      </c>
      <c r="FQE4">
        <v>816243</v>
      </c>
      <c r="FQG4" t="s">
        <v>62709</v>
      </c>
      <c r="FQH4">
        <v>819034</v>
      </c>
      <c r="FQI4" t="s">
        <v>62710</v>
      </c>
      <c r="FQJ4">
        <v>819095</v>
      </c>
      <c r="FQK4" t="s">
        <v>62711</v>
      </c>
      <c r="FQL4">
        <v>819124</v>
      </c>
      <c r="FQM4" t="s">
        <v>62712</v>
      </c>
      <c r="FQN4">
        <v>819161</v>
      </c>
      <c r="FQO4" t="s">
        <v>62713</v>
      </c>
      <c r="FQP4">
        <v>819163</v>
      </c>
      <c r="FQQ4" t="s">
        <v>62714</v>
      </c>
      <c r="FQR4">
        <v>819178</v>
      </c>
      <c r="FQS4" t="s">
        <v>62715</v>
      </c>
      <c r="FQT4">
        <v>819251</v>
      </c>
      <c r="FQU4" t="s">
        <v>62716</v>
      </c>
      <c r="FQV4">
        <v>819302</v>
      </c>
      <c r="FQW4" t="s">
        <v>62717</v>
      </c>
      <c r="FQX4">
        <v>819307</v>
      </c>
      <c r="FQY4" t="s">
        <v>62718</v>
      </c>
      <c r="FQZ4">
        <v>819432</v>
      </c>
      <c r="FRA4" t="s">
        <v>62719</v>
      </c>
      <c r="FRB4">
        <v>819534</v>
      </c>
      <c r="FRC4" t="s">
        <v>62720</v>
      </c>
      <c r="FRD4">
        <v>819536</v>
      </c>
      <c r="FRE4" t="s">
        <v>62721</v>
      </c>
      <c r="FRF4">
        <v>819538</v>
      </c>
      <c r="FRG4" t="s">
        <v>62722</v>
      </c>
      <c r="FRH4">
        <v>819544</v>
      </c>
      <c r="FRI4" t="s">
        <v>62723</v>
      </c>
      <c r="FRJ4">
        <v>819545</v>
      </c>
      <c r="FRK4" t="s">
        <v>62724</v>
      </c>
      <c r="FRL4">
        <v>819730</v>
      </c>
      <c r="FRM4" t="s">
        <v>62725</v>
      </c>
      <c r="FRN4">
        <v>819821</v>
      </c>
      <c r="FRO4" t="s">
        <v>62726</v>
      </c>
      <c r="FRP4">
        <v>821955</v>
      </c>
      <c r="FRQ4" t="s">
        <v>62727</v>
      </c>
      <c r="FRR4">
        <v>821961</v>
      </c>
      <c r="FRS4" t="s">
        <v>62728</v>
      </c>
      <c r="FRT4">
        <v>821962</v>
      </c>
      <c r="FRV4" t="s">
        <v>62729</v>
      </c>
      <c r="FRW4">
        <v>822035</v>
      </c>
      <c r="FRX4" t="s">
        <v>62730</v>
      </c>
      <c r="FRY4">
        <v>822430</v>
      </c>
      <c r="FRZ4" t="s">
        <v>62731</v>
      </c>
      <c r="FSA4">
        <v>822825</v>
      </c>
      <c r="FSB4" t="s">
        <v>62732</v>
      </c>
      <c r="FSC4">
        <v>824189</v>
      </c>
      <c r="FSD4" t="s">
        <v>62733</v>
      </c>
      <c r="FSE4">
        <v>824295</v>
      </c>
      <c r="FSF4" t="s">
        <v>62734</v>
      </c>
      <c r="FSG4">
        <v>824332</v>
      </c>
      <c r="FSH4" t="s">
        <v>62735</v>
      </c>
      <c r="FSI4">
        <v>824350</v>
      </c>
      <c r="FSJ4" t="s">
        <v>62736</v>
      </c>
      <c r="FSK4">
        <v>824434</v>
      </c>
      <c r="FSL4" t="s">
        <v>62737</v>
      </c>
      <c r="FSM4">
        <v>824500</v>
      </c>
      <c r="FSN4" t="s">
        <v>62738</v>
      </c>
      <c r="FSO4">
        <v>824502</v>
      </c>
      <c r="FSQ4" t="s">
        <v>62739</v>
      </c>
      <c r="FSR4">
        <v>824526</v>
      </c>
      <c r="FSS4" t="s">
        <v>62740</v>
      </c>
      <c r="FST4">
        <v>824532</v>
      </c>
      <c r="FSU4" t="s">
        <v>62741</v>
      </c>
      <c r="FSV4">
        <v>824666</v>
      </c>
      <c r="FSW4" t="s">
        <v>62742</v>
      </c>
      <c r="FSX4">
        <v>824789</v>
      </c>
      <c r="FSY4" t="s">
        <v>62743</v>
      </c>
      <c r="FSZ4">
        <v>825033</v>
      </c>
      <c r="FTA4" t="s">
        <v>62744</v>
      </c>
      <c r="FTB4">
        <v>825050</v>
      </c>
      <c r="FTC4" t="s">
        <v>62745</v>
      </c>
      <c r="FTD4">
        <v>825224</v>
      </c>
      <c r="FTF4" t="s">
        <v>62746</v>
      </c>
      <c r="FTG4">
        <v>825322</v>
      </c>
      <c r="FTI4" t="s">
        <v>62747</v>
      </c>
      <c r="FTJ4">
        <v>825880</v>
      </c>
      <c r="FTL4" t="s">
        <v>62748</v>
      </c>
      <c r="FTM4">
        <v>825888</v>
      </c>
      <c r="FTN4" t="s">
        <v>62749</v>
      </c>
      <c r="FTO4">
        <v>825953</v>
      </c>
      <c r="FTP4" t="s">
        <v>62750</v>
      </c>
      <c r="FTQ4">
        <v>825976</v>
      </c>
      <c r="FTR4" t="s">
        <v>62751</v>
      </c>
      <c r="FTS4">
        <v>826188</v>
      </c>
      <c r="FTT4" t="s">
        <v>62752</v>
      </c>
      <c r="FTU4">
        <v>826239</v>
      </c>
      <c r="FTV4" t="s">
        <v>62753</v>
      </c>
      <c r="FTW4">
        <v>826281</v>
      </c>
      <c r="FTX4" t="s">
        <v>62754</v>
      </c>
      <c r="FTY4">
        <v>826286</v>
      </c>
      <c r="FTZ4" t="s">
        <v>62755</v>
      </c>
      <c r="FUA4">
        <v>829200</v>
      </c>
      <c r="FUB4" t="s">
        <v>62756</v>
      </c>
      <c r="FUC4">
        <v>829208</v>
      </c>
      <c r="FUD4" t="s">
        <v>62757</v>
      </c>
      <c r="FUE4">
        <v>830975</v>
      </c>
      <c r="FUF4" t="s">
        <v>62758</v>
      </c>
      <c r="FUG4">
        <v>830992</v>
      </c>
      <c r="FUH4" t="s">
        <v>62759</v>
      </c>
      <c r="FUI4">
        <v>831001</v>
      </c>
      <c r="FUJ4" t="s">
        <v>62760</v>
      </c>
      <c r="FUK4">
        <v>831928</v>
      </c>
      <c r="FUL4" t="s">
        <v>62761</v>
      </c>
      <c r="FUM4">
        <v>831950</v>
      </c>
      <c r="FUN4" t="s">
        <v>62762</v>
      </c>
      <c r="FUO4">
        <v>831967</v>
      </c>
      <c r="FUP4" t="s">
        <v>62763</v>
      </c>
      <c r="FUQ4">
        <v>832028</v>
      </c>
      <c r="FUR4" t="s">
        <v>62764</v>
      </c>
      <c r="FUS4">
        <v>832043</v>
      </c>
      <c r="FUT4" t="s">
        <v>62765</v>
      </c>
      <c r="FUU4">
        <v>832056</v>
      </c>
      <c r="FUV4" t="s">
        <v>62766</v>
      </c>
      <c r="FUW4">
        <v>833394</v>
      </c>
      <c r="FUX4" t="s">
        <v>62767</v>
      </c>
      <c r="FUY4">
        <v>833417</v>
      </c>
      <c r="FUZ4" t="s">
        <v>62768</v>
      </c>
      <c r="FVA4">
        <v>833567</v>
      </c>
      <c r="FVB4" t="s">
        <v>62769</v>
      </c>
      <c r="FVC4">
        <v>833674</v>
      </c>
      <c r="FVD4" t="s">
        <v>62770</v>
      </c>
      <c r="FVE4">
        <v>833689</v>
      </c>
      <c r="FVF4" t="s">
        <v>62771</v>
      </c>
      <c r="FVG4">
        <v>833730</v>
      </c>
      <c r="FVH4" t="s">
        <v>62772</v>
      </c>
      <c r="FVI4">
        <v>833943</v>
      </c>
      <c r="FVJ4" t="s">
        <v>62773</v>
      </c>
      <c r="FVK4">
        <v>833952</v>
      </c>
      <c r="FVL4" t="s">
        <v>62774</v>
      </c>
      <c r="FVM4">
        <v>833968</v>
      </c>
      <c r="FVN4" t="s">
        <v>62775</v>
      </c>
      <c r="FVO4">
        <v>833983</v>
      </c>
      <c r="FVP4" t="s">
        <v>62776</v>
      </c>
      <c r="FVQ4">
        <v>834015</v>
      </c>
      <c r="FVR4" t="s">
        <v>62777</v>
      </c>
      <c r="FVS4">
        <v>834022</v>
      </c>
      <c r="FVT4" t="s">
        <v>62778</v>
      </c>
      <c r="FVU4">
        <v>834162</v>
      </c>
      <c r="FVV4" t="s">
        <v>62779</v>
      </c>
      <c r="FVW4">
        <v>834211</v>
      </c>
      <c r="FVX4" t="s">
        <v>62780</v>
      </c>
      <c r="FVY4">
        <v>834225</v>
      </c>
      <c r="FVZ4" t="s">
        <v>62781</v>
      </c>
      <c r="FWA4">
        <v>834256</v>
      </c>
      <c r="FWB4" t="s">
        <v>62782</v>
      </c>
      <c r="FWC4">
        <v>834283</v>
      </c>
      <c r="FWD4" t="s">
        <v>62783</v>
      </c>
      <c r="FWE4">
        <v>834411</v>
      </c>
      <c r="FWF4" t="s">
        <v>62784</v>
      </c>
      <c r="FWG4">
        <v>837171</v>
      </c>
      <c r="FWH4" t="s">
        <v>62785</v>
      </c>
      <c r="FWI4">
        <v>837711</v>
      </c>
      <c r="FWJ4" t="s">
        <v>62786</v>
      </c>
      <c r="FWK4">
        <v>837718</v>
      </c>
      <c r="FWL4" t="s">
        <v>62787</v>
      </c>
      <c r="FWM4">
        <v>837727</v>
      </c>
      <c r="FWN4" t="s">
        <v>62788</v>
      </c>
      <c r="FWO4">
        <v>837730</v>
      </c>
      <c r="FWP4" t="s">
        <v>62789</v>
      </c>
      <c r="FWQ4">
        <v>837739</v>
      </c>
      <c r="FWR4" t="s">
        <v>62790</v>
      </c>
      <c r="FWS4">
        <v>837790</v>
      </c>
      <c r="FWT4" t="s">
        <v>62791</v>
      </c>
      <c r="FWU4">
        <v>837803</v>
      </c>
      <c r="FWV4" t="s">
        <v>62792</v>
      </c>
      <c r="FWW4">
        <v>837851</v>
      </c>
      <c r="FWX4" t="s">
        <v>62793</v>
      </c>
      <c r="FWY4">
        <v>859076</v>
      </c>
      <c r="FWZ4" t="s">
        <v>62794</v>
      </c>
      <c r="FXA4">
        <v>861689</v>
      </c>
      <c r="FXB4" t="s">
        <v>62795</v>
      </c>
      <c r="FXC4">
        <v>861711</v>
      </c>
      <c r="FXD4" t="s">
        <v>62796</v>
      </c>
      <c r="FXE4">
        <v>861726</v>
      </c>
      <c r="FXF4" t="s">
        <v>62797</v>
      </c>
      <c r="FXG4">
        <v>862141</v>
      </c>
      <c r="FXH4" t="s">
        <v>62798</v>
      </c>
      <c r="FXI4">
        <v>873603</v>
      </c>
      <c r="FXJ4" t="s">
        <v>62799</v>
      </c>
      <c r="FXK4">
        <v>873604</v>
      </c>
      <c r="FXL4" t="s">
        <v>62800</v>
      </c>
      <c r="FXM4">
        <v>873651</v>
      </c>
      <c r="FXN4" t="s">
        <v>62801</v>
      </c>
      <c r="FXO4">
        <v>873669</v>
      </c>
      <c r="FXP4" t="s">
        <v>62802</v>
      </c>
      <c r="FXQ4">
        <v>875437</v>
      </c>
      <c r="FXR4" t="s">
        <v>62803</v>
      </c>
      <c r="FXS4">
        <v>875447</v>
      </c>
      <c r="FXT4" t="s">
        <v>62804</v>
      </c>
      <c r="FXU4">
        <v>875467</v>
      </c>
      <c r="FXV4" t="s">
        <v>62805</v>
      </c>
      <c r="FXW4">
        <v>875533</v>
      </c>
      <c r="FXX4" t="s">
        <v>62806</v>
      </c>
      <c r="FXY4">
        <v>875561</v>
      </c>
      <c r="FXZ4" t="s">
        <v>62807</v>
      </c>
      <c r="FYA4">
        <v>875569</v>
      </c>
      <c r="FYB4" t="s">
        <v>62808</v>
      </c>
      <c r="FYC4">
        <v>875576</v>
      </c>
      <c r="FYD4" t="s">
        <v>62809</v>
      </c>
      <c r="FYE4">
        <v>875577</v>
      </c>
      <c r="FYF4" t="s">
        <v>62810</v>
      </c>
      <c r="FYG4">
        <v>875596</v>
      </c>
      <c r="FYH4" t="s">
        <v>62811</v>
      </c>
      <c r="FYI4">
        <v>875626</v>
      </c>
      <c r="FYJ4" t="s">
        <v>62812</v>
      </c>
      <c r="FYK4">
        <v>875647</v>
      </c>
      <c r="FYL4" t="s">
        <v>62813</v>
      </c>
      <c r="FYM4">
        <v>875657</v>
      </c>
      <c r="FYN4" t="s">
        <v>62814</v>
      </c>
      <c r="FYO4">
        <v>875725</v>
      </c>
      <c r="FYP4" t="s">
        <v>62815</v>
      </c>
      <c r="FYQ4">
        <v>875748</v>
      </c>
      <c r="FYR4" t="s">
        <v>62816</v>
      </c>
      <c r="FYS4">
        <v>875749</v>
      </c>
      <c r="FYT4" t="s">
        <v>62817</v>
      </c>
      <c r="FYU4">
        <v>875776</v>
      </c>
      <c r="FYV4" t="s">
        <v>62818</v>
      </c>
      <c r="FYW4">
        <v>875783</v>
      </c>
      <c r="FYX4" t="s">
        <v>62819</v>
      </c>
      <c r="FYY4">
        <v>875811</v>
      </c>
      <c r="FYZ4" t="s">
        <v>62820</v>
      </c>
      <c r="FZA4">
        <v>875826</v>
      </c>
      <c r="FZB4" t="s">
        <v>62821</v>
      </c>
      <c r="FZC4">
        <v>875864</v>
      </c>
      <c r="FZD4" t="s">
        <v>62822</v>
      </c>
      <c r="FZE4">
        <v>875907</v>
      </c>
      <c r="FZF4" t="s">
        <v>62823</v>
      </c>
      <c r="FZG4">
        <v>875935</v>
      </c>
      <c r="FZH4" t="s">
        <v>62824</v>
      </c>
      <c r="FZI4">
        <v>875956</v>
      </c>
      <c r="FZJ4" t="s">
        <v>62825</v>
      </c>
      <c r="FZK4">
        <v>876004</v>
      </c>
      <c r="FZL4" t="s">
        <v>62826</v>
      </c>
      <c r="FZM4">
        <v>876034</v>
      </c>
      <c r="FZN4" t="s">
        <v>62827</v>
      </c>
      <c r="FZO4">
        <v>876111</v>
      </c>
      <c r="FZP4" t="s">
        <v>62828</v>
      </c>
      <c r="FZQ4">
        <v>876112</v>
      </c>
      <c r="FZR4" t="s">
        <v>62829</v>
      </c>
      <c r="FZS4">
        <v>876128</v>
      </c>
      <c r="FZT4" t="s">
        <v>62830</v>
      </c>
      <c r="FZU4">
        <v>876138</v>
      </c>
      <c r="FZV4" t="s">
        <v>62831</v>
      </c>
      <c r="FZW4">
        <v>876141</v>
      </c>
      <c r="FZX4" t="s">
        <v>62832</v>
      </c>
      <c r="FZY4">
        <v>876164</v>
      </c>
      <c r="FZZ4" t="s">
        <v>62833</v>
      </c>
      <c r="GAA4">
        <v>876189</v>
      </c>
      <c r="GAB4" t="s">
        <v>62834</v>
      </c>
      <c r="GAC4">
        <v>876208</v>
      </c>
      <c r="GAD4" t="s">
        <v>62835</v>
      </c>
      <c r="GAE4">
        <v>876235</v>
      </c>
      <c r="GAF4" t="s">
        <v>62836</v>
      </c>
      <c r="GAG4">
        <v>876260</v>
      </c>
      <c r="GAH4" t="s">
        <v>62837</v>
      </c>
      <c r="GAI4">
        <v>876279</v>
      </c>
      <c r="GAJ4" t="s">
        <v>62838</v>
      </c>
      <c r="GAK4">
        <v>876280</v>
      </c>
      <c r="GAL4" t="s">
        <v>62839</v>
      </c>
      <c r="GAM4">
        <v>876296</v>
      </c>
      <c r="GAN4" t="s">
        <v>62840</v>
      </c>
      <c r="GAO4">
        <v>876375</v>
      </c>
      <c r="GAP4" t="s">
        <v>62841</v>
      </c>
      <c r="GAQ4">
        <v>879203</v>
      </c>
      <c r="GAR4" t="s">
        <v>62842</v>
      </c>
      <c r="GAS4">
        <v>879226</v>
      </c>
      <c r="GAT4" t="s">
        <v>62843</v>
      </c>
      <c r="GAU4">
        <v>879228</v>
      </c>
      <c r="GAV4" t="s">
        <v>62844</v>
      </c>
      <c r="GAW4">
        <v>879230</v>
      </c>
      <c r="GAX4" t="s">
        <v>62845</v>
      </c>
      <c r="GAY4">
        <v>879252</v>
      </c>
      <c r="GAZ4" t="s">
        <v>62846</v>
      </c>
      <c r="GBA4">
        <v>880807</v>
      </c>
      <c r="GBB4" t="s">
        <v>62847</v>
      </c>
      <c r="GBC4">
        <v>884140</v>
      </c>
      <c r="GBE4" t="s">
        <v>62848</v>
      </c>
      <c r="GBF4">
        <v>884145</v>
      </c>
      <c r="GBG4" t="s">
        <v>62849</v>
      </c>
      <c r="GBH4">
        <v>884154</v>
      </c>
      <c r="GBI4" t="s">
        <v>62850</v>
      </c>
      <c r="GBJ4">
        <v>884168</v>
      </c>
      <c r="GBK4" t="s">
        <v>62851</v>
      </c>
      <c r="GBL4">
        <v>884183</v>
      </c>
      <c r="GBM4" t="s">
        <v>62852</v>
      </c>
      <c r="GBN4">
        <v>884204</v>
      </c>
      <c r="GBO4" t="s">
        <v>62853</v>
      </c>
      <c r="GBP4">
        <v>884227</v>
      </c>
      <c r="GBQ4" t="s">
        <v>62854</v>
      </c>
      <c r="GBR4">
        <v>884247</v>
      </c>
      <c r="GBS4" t="s">
        <v>62855</v>
      </c>
      <c r="GBT4">
        <v>884281</v>
      </c>
      <c r="GBU4" t="s">
        <v>62856</v>
      </c>
      <c r="GBV4">
        <v>885208</v>
      </c>
      <c r="GBW4" t="s">
        <v>62857</v>
      </c>
      <c r="GBX4">
        <v>885221</v>
      </c>
      <c r="GBY4" t="s">
        <v>62858</v>
      </c>
      <c r="GBZ4">
        <v>886113</v>
      </c>
      <c r="GCA4" t="s">
        <v>62859</v>
      </c>
      <c r="GCB4">
        <v>886162</v>
      </c>
      <c r="GCC4" t="s">
        <v>62860</v>
      </c>
      <c r="GCD4">
        <v>886169</v>
      </c>
      <c r="GCE4" t="s">
        <v>62861</v>
      </c>
      <c r="GCF4">
        <v>886184</v>
      </c>
      <c r="GCG4" t="s">
        <v>62862</v>
      </c>
      <c r="GCH4">
        <v>886207</v>
      </c>
      <c r="GCI4" t="s">
        <v>62863</v>
      </c>
      <c r="GCJ4">
        <v>886217</v>
      </c>
      <c r="GCK4" t="s">
        <v>62864</v>
      </c>
      <c r="GCL4">
        <v>886223</v>
      </c>
      <c r="GCM4" t="s">
        <v>62865</v>
      </c>
      <c r="GCN4">
        <v>886251</v>
      </c>
      <c r="GCO4" t="s">
        <v>62866</v>
      </c>
      <c r="GCP4">
        <v>886259</v>
      </c>
      <c r="GCQ4" t="s">
        <v>62867</v>
      </c>
      <c r="GCR4">
        <v>886280</v>
      </c>
      <c r="GCS4" t="s">
        <v>62868</v>
      </c>
      <c r="GCT4">
        <v>887273</v>
      </c>
      <c r="GCU4" t="s">
        <v>62869</v>
      </c>
      <c r="GCV4">
        <v>887369</v>
      </c>
      <c r="GCW4" t="s">
        <v>62870</v>
      </c>
      <c r="GCX4">
        <v>887440</v>
      </c>
      <c r="GCY4" t="s">
        <v>62871</v>
      </c>
      <c r="GCZ4">
        <v>887596</v>
      </c>
      <c r="GDA4" t="s">
        <v>62872</v>
      </c>
      <c r="GDB4">
        <v>887638</v>
      </c>
      <c r="GDC4" t="s">
        <v>62873</v>
      </c>
      <c r="GDD4">
        <v>887645</v>
      </c>
      <c r="GDE4" t="s">
        <v>62874</v>
      </c>
      <c r="GDF4">
        <v>887775</v>
      </c>
      <c r="GDG4" t="s">
        <v>62875</v>
      </c>
      <c r="GDH4">
        <v>887781</v>
      </c>
      <c r="GDI4" t="s">
        <v>62876</v>
      </c>
      <c r="GDJ4">
        <v>887799</v>
      </c>
      <c r="GDK4" t="s">
        <v>62877</v>
      </c>
      <c r="GDL4">
        <v>887813</v>
      </c>
      <c r="GDM4" t="s">
        <v>62878</v>
      </c>
      <c r="GDN4">
        <v>887818</v>
      </c>
      <c r="GDO4" t="s">
        <v>62879</v>
      </c>
      <c r="GDP4">
        <v>887837</v>
      </c>
      <c r="GDQ4" t="s">
        <v>62880</v>
      </c>
      <c r="GDR4">
        <v>888321</v>
      </c>
      <c r="GDS4" t="s">
        <v>62881</v>
      </c>
      <c r="GDT4">
        <v>891704</v>
      </c>
      <c r="GDU4" t="s">
        <v>62882</v>
      </c>
      <c r="GDV4">
        <v>891705</v>
      </c>
      <c r="GDW4" t="s">
        <v>62883</v>
      </c>
      <c r="GDX4">
        <v>891807</v>
      </c>
      <c r="GDY4" t="s">
        <v>62884</v>
      </c>
      <c r="GDZ4">
        <v>891819</v>
      </c>
      <c r="GEA4" t="s">
        <v>62885</v>
      </c>
      <c r="GEB4">
        <v>891891</v>
      </c>
      <c r="GEC4" t="s">
        <v>62886</v>
      </c>
      <c r="GED4">
        <v>891905</v>
      </c>
      <c r="GEE4" t="s">
        <v>62887</v>
      </c>
      <c r="GEF4">
        <v>892035</v>
      </c>
      <c r="GEG4" t="s">
        <v>62888</v>
      </c>
      <c r="GEH4">
        <v>892044</v>
      </c>
      <c r="GEI4" t="s">
        <v>62889</v>
      </c>
      <c r="GEJ4">
        <v>892203</v>
      </c>
      <c r="GEK4" t="s">
        <v>62890</v>
      </c>
      <c r="GEL4">
        <v>892217</v>
      </c>
      <c r="GEM4" t="s">
        <v>62891</v>
      </c>
      <c r="GEN4">
        <v>892311</v>
      </c>
      <c r="GEO4" t="s">
        <v>62892</v>
      </c>
      <c r="GEP4">
        <v>893050</v>
      </c>
      <c r="GEQ4" t="s">
        <v>62893</v>
      </c>
      <c r="GER4">
        <v>893431</v>
      </c>
      <c r="GES4" t="s">
        <v>62894</v>
      </c>
      <c r="GET4">
        <v>894186</v>
      </c>
      <c r="GEU4" t="s">
        <v>62895</v>
      </c>
      <c r="GEV4">
        <v>894219</v>
      </c>
      <c r="GEW4" t="s">
        <v>62896</v>
      </c>
      <c r="GEX4">
        <v>894261</v>
      </c>
      <c r="GEY4" t="s">
        <v>62897</v>
      </c>
      <c r="GEZ4">
        <v>894269</v>
      </c>
      <c r="GFA4" t="s">
        <v>62898</v>
      </c>
      <c r="GFB4">
        <v>894349</v>
      </c>
      <c r="GFC4" t="s">
        <v>62899</v>
      </c>
      <c r="GFD4">
        <v>904786</v>
      </c>
      <c r="GFE4" t="s">
        <v>62900</v>
      </c>
      <c r="GFF4">
        <v>904862</v>
      </c>
      <c r="GFG4" t="s">
        <v>62901</v>
      </c>
      <c r="GFH4">
        <v>904875</v>
      </c>
      <c r="GFI4" t="s">
        <v>62902</v>
      </c>
      <c r="GFJ4">
        <v>904884</v>
      </c>
      <c r="GFK4" t="s">
        <v>62903</v>
      </c>
      <c r="GFL4">
        <v>904906</v>
      </c>
      <c r="GFM4" t="s">
        <v>62904</v>
      </c>
      <c r="GFN4">
        <v>904913</v>
      </c>
      <c r="GFO4" t="s">
        <v>62905</v>
      </c>
      <c r="GFP4">
        <v>904926</v>
      </c>
      <c r="GFQ4" t="s">
        <v>62906</v>
      </c>
      <c r="GFR4">
        <v>917559</v>
      </c>
      <c r="GFS4" t="s">
        <v>62907</v>
      </c>
      <c r="GFT4">
        <v>917667</v>
      </c>
      <c r="GFU4" t="s">
        <v>62908</v>
      </c>
      <c r="GFV4">
        <v>917682</v>
      </c>
      <c r="GFW4" t="s">
        <v>62909</v>
      </c>
      <c r="GFX4">
        <v>917701</v>
      </c>
      <c r="GFY4" t="s">
        <v>62910</v>
      </c>
      <c r="GFZ4">
        <v>917710</v>
      </c>
      <c r="GGA4" t="s">
        <v>62911</v>
      </c>
      <c r="GGB4">
        <v>917822</v>
      </c>
      <c r="GGC4" t="s">
        <v>62912</v>
      </c>
      <c r="GGD4">
        <v>917829</v>
      </c>
      <c r="GGE4" t="s">
        <v>62913</v>
      </c>
      <c r="GGF4">
        <v>917877</v>
      </c>
      <c r="GGG4" t="s">
        <v>62914</v>
      </c>
      <c r="GGH4">
        <v>918139</v>
      </c>
      <c r="GGJ4" t="s">
        <v>62915</v>
      </c>
      <c r="GGK4">
        <v>918794</v>
      </c>
      <c r="GGL4" t="s">
        <v>62916</v>
      </c>
      <c r="GGM4">
        <v>918807</v>
      </c>
      <c r="GGN4" t="s">
        <v>62917</v>
      </c>
      <c r="GGO4">
        <v>918834</v>
      </c>
      <c r="GGP4" t="s">
        <v>62918</v>
      </c>
      <c r="GGQ4">
        <v>918860</v>
      </c>
      <c r="GGR4" t="s">
        <v>62919</v>
      </c>
      <c r="GGS4">
        <v>918875</v>
      </c>
      <c r="GGT4" t="s">
        <v>62920</v>
      </c>
      <c r="GGU4">
        <v>921319</v>
      </c>
      <c r="GGV4" t="s">
        <v>62921</v>
      </c>
      <c r="GGW4">
        <v>924946</v>
      </c>
      <c r="GGX4" t="s">
        <v>62922</v>
      </c>
      <c r="GGY4">
        <v>925287</v>
      </c>
      <c r="GGZ4" t="s">
        <v>62923</v>
      </c>
      <c r="GHA4">
        <v>925298</v>
      </c>
      <c r="GHB4" t="s">
        <v>62924</v>
      </c>
      <c r="GHC4">
        <v>925304</v>
      </c>
      <c r="GHD4" t="s">
        <v>62925</v>
      </c>
      <c r="GHE4">
        <v>925325</v>
      </c>
      <c r="GHF4" t="s">
        <v>62926</v>
      </c>
      <c r="GHG4">
        <v>925366</v>
      </c>
      <c r="GHH4" t="s">
        <v>62927</v>
      </c>
      <c r="GHI4">
        <v>925392</v>
      </c>
      <c r="GHJ4" t="s">
        <v>62928</v>
      </c>
      <c r="GHK4">
        <v>925452</v>
      </c>
      <c r="GHL4" t="s">
        <v>62929</v>
      </c>
      <c r="GHM4">
        <v>925494</v>
      </c>
      <c r="GHO4" t="s">
        <v>62930</v>
      </c>
      <c r="GHP4">
        <v>925506</v>
      </c>
      <c r="GHQ4" t="s">
        <v>62931</v>
      </c>
      <c r="GHR4">
        <v>925520</v>
      </c>
      <c r="GHS4" t="s">
        <v>62932</v>
      </c>
      <c r="GHT4">
        <v>925557</v>
      </c>
      <c r="GHU4" t="s">
        <v>62933</v>
      </c>
      <c r="GHV4">
        <v>925569</v>
      </c>
      <c r="GHW4" t="s">
        <v>62934</v>
      </c>
      <c r="GHX4">
        <v>925645</v>
      </c>
      <c r="GHY4" t="s">
        <v>62935</v>
      </c>
      <c r="GHZ4">
        <v>925650</v>
      </c>
      <c r="GIA4" t="s">
        <v>62936</v>
      </c>
      <c r="GIB4">
        <v>926783</v>
      </c>
      <c r="GIC4" t="s">
        <v>62937</v>
      </c>
      <c r="GID4">
        <v>926858</v>
      </c>
      <c r="GIE4" t="s">
        <v>62938</v>
      </c>
      <c r="GIF4">
        <v>926875</v>
      </c>
      <c r="GIG4" t="s">
        <v>62939</v>
      </c>
      <c r="GIH4">
        <v>931378</v>
      </c>
      <c r="GII4" t="s">
        <v>62940</v>
      </c>
      <c r="GIJ4">
        <v>931384</v>
      </c>
      <c r="GIK4" t="s">
        <v>62941</v>
      </c>
      <c r="GIL4">
        <v>931392</v>
      </c>
      <c r="GIM4" t="s">
        <v>62942</v>
      </c>
      <c r="GIN4">
        <v>931425</v>
      </c>
      <c r="GIO4" t="s">
        <v>62943</v>
      </c>
      <c r="GIP4">
        <v>931426</v>
      </c>
      <c r="GIQ4" t="s">
        <v>62944</v>
      </c>
      <c r="GIR4">
        <v>931443</v>
      </c>
      <c r="GIS4" t="s">
        <v>62945</v>
      </c>
      <c r="GIT4">
        <v>931449</v>
      </c>
      <c r="GIU4" t="s">
        <v>62946</v>
      </c>
      <c r="GIV4">
        <v>931474</v>
      </c>
      <c r="GIW4" t="s">
        <v>62947</v>
      </c>
      <c r="GIX4">
        <v>931480</v>
      </c>
      <c r="GIY4" t="s">
        <v>62948</v>
      </c>
      <c r="GIZ4">
        <v>931489</v>
      </c>
      <c r="GJA4" t="s">
        <v>62949</v>
      </c>
      <c r="GJB4">
        <v>931889</v>
      </c>
      <c r="GJC4" t="s">
        <v>62950</v>
      </c>
      <c r="GJD4">
        <v>931902</v>
      </c>
      <c r="GJE4" t="s">
        <v>62951</v>
      </c>
      <c r="GJF4">
        <v>932076</v>
      </c>
      <c r="GJG4" t="s">
        <v>62952</v>
      </c>
      <c r="GJH4">
        <v>932109</v>
      </c>
      <c r="GJI4" t="s">
        <v>62953</v>
      </c>
      <c r="GJJ4">
        <v>932143</v>
      </c>
      <c r="GJK4" t="s">
        <v>62954</v>
      </c>
      <c r="GJL4">
        <v>932150</v>
      </c>
      <c r="GJM4" t="s">
        <v>62955</v>
      </c>
      <c r="GJN4">
        <v>932154</v>
      </c>
      <c r="GJO4" t="s">
        <v>62956</v>
      </c>
      <c r="GJP4">
        <v>932162</v>
      </c>
      <c r="GJQ4" t="s">
        <v>62957</v>
      </c>
      <c r="GJR4">
        <v>932197</v>
      </c>
      <c r="GJS4" t="s">
        <v>62958</v>
      </c>
      <c r="GJT4">
        <v>932204</v>
      </c>
      <c r="GJU4" t="s">
        <v>62959</v>
      </c>
      <c r="GJV4">
        <v>932208</v>
      </c>
      <c r="GJW4" t="s">
        <v>62960</v>
      </c>
      <c r="GJX4">
        <v>932219</v>
      </c>
      <c r="GJY4" t="s">
        <v>62961</v>
      </c>
      <c r="GJZ4">
        <v>932272</v>
      </c>
      <c r="GKA4" t="s">
        <v>62962</v>
      </c>
      <c r="GKB4">
        <v>932283</v>
      </c>
      <c r="GKC4" t="s">
        <v>62963</v>
      </c>
      <c r="GKD4">
        <v>932313</v>
      </c>
      <c r="GKE4" t="s">
        <v>62964</v>
      </c>
      <c r="GKF4">
        <v>932344</v>
      </c>
      <c r="GKG4" t="s">
        <v>62965</v>
      </c>
      <c r="GKH4">
        <v>932365</v>
      </c>
      <c r="GKI4" t="s">
        <v>62966</v>
      </c>
      <c r="GKJ4">
        <v>932372</v>
      </c>
      <c r="GKK4" t="s">
        <v>62967</v>
      </c>
      <c r="GKL4">
        <v>932479</v>
      </c>
      <c r="GKM4" t="s">
        <v>62968</v>
      </c>
      <c r="GKN4">
        <v>932621</v>
      </c>
      <c r="GKO4" t="s">
        <v>62969</v>
      </c>
      <c r="GKP4">
        <v>932927</v>
      </c>
      <c r="GKQ4" t="s">
        <v>62970</v>
      </c>
      <c r="GKR4">
        <v>933039</v>
      </c>
      <c r="GKT4" t="s">
        <v>62971</v>
      </c>
      <c r="GKU4">
        <v>933110</v>
      </c>
      <c r="GKV4" t="s">
        <v>62972</v>
      </c>
      <c r="GKW4">
        <v>933231</v>
      </c>
      <c r="GKX4" t="s">
        <v>62973</v>
      </c>
      <c r="GKY4">
        <v>933302</v>
      </c>
      <c r="GKZ4" t="s">
        <v>62974</v>
      </c>
      <c r="GLA4">
        <v>933626</v>
      </c>
      <c r="GLB4" t="s">
        <v>62975</v>
      </c>
      <c r="GLC4">
        <v>933642</v>
      </c>
      <c r="GLD4" t="s">
        <v>62976</v>
      </c>
      <c r="GLE4">
        <v>933654</v>
      </c>
      <c r="GLF4" t="s">
        <v>62977</v>
      </c>
      <c r="GLG4">
        <v>935300</v>
      </c>
      <c r="GLH4" t="s">
        <v>62978</v>
      </c>
      <c r="GLI4">
        <v>936120</v>
      </c>
      <c r="GLJ4" t="s">
        <v>62979</v>
      </c>
      <c r="GLK4">
        <v>936141</v>
      </c>
      <c r="GLL4" t="s">
        <v>62980</v>
      </c>
      <c r="GLM4">
        <v>936154</v>
      </c>
      <c r="GLN4" t="s">
        <v>62981</v>
      </c>
      <c r="GLO4">
        <v>936166</v>
      </c>
      <c r="GLP4" t="s">
        <v>62982</v>
      </c>
      <c r="GLQ4">
        <v>936216</v>
      </c>
      <c r="GLT4" t="s">
        <v>62983</v>
      </c>
      <c r="GLU4">
        <v>936575</v>
      </c>
      <c r="GLV4" t="s">
        <v>62984</v>
      </c>
      <c r="GLW4">
        <v>936605</v>
      </c>
      <c r="GLX4" t="s">
        <v>62985</v>
      </c>
      <c r="GLY4">
        <v>938346</v>
      </c>
      <c r="GLZ4" t="s">
        <v>62986</v>
      </c>
      <c r="GMA4">
        <v>938367</v>
      </c>
      <c r="GMB4" t="s">
        <v>62987</v>
      </c>
      <c r="GMC4">
        <v>938470</v>
      </c>
      <c r="GMD4" t="s">
        <v>62988</v>
      </c>
      <c r="GME4">
        <v>938613</v>
      </c>
      <c r="GMF4" t="s">
        <v>62989</v>
      </c>
      <c r="GMG4">
        <v>938617</v>
      </c>
      <c r="GMH4" t="s">
        <v>62990</v>
      </c>
      <c r="GMI4">
        <v>938628</v>
      </c>
      <c r="GMJ4" t="s">
        <v>62991</v>
      </c>
      <c r="GMK4">
        <v>938693</v>
      </c>
      <c r="GML4" t="s">
        <v>62992</v>
      </c>
      <c r="GMM4">
        <v>938704</v>
      </c>
      <c r="GMN4" t="s">
        <v>62993</v>
      </c>
      <c r="GMO4">
        <v>938710</v>
      </c>
      <c r="GMP4" t="s">
        <v>62994</v>
      </c>
      <c r="GMQ4">
        <v>938857</v>
      </c>
      <c r="GMS4" t="s">
        <v>62995</v>
      </c>
      <c r="GMT4">
        <v>938863</v>
      </c>
      <c r="GMU4" t="s">
        <v>62996</v>
      </c>
      <c r="GMV4">
        <v>938882</v>
      </c>
      <c r="GMW4" t="s">
        <v>62997</v>
      </c>
      <c r="GMX4">
        <v>938901</v>
      </c>
      <c r="GMY4" t="s">
        <v>62998</v>
      </c>
      <c r="GMZ4">
        <v>938917</v>
      </c>
      <c r="GNA4" t="s">
        <v>62999</v>
      </c>
      <c r="GNB4">
        <v>939195</v>
      </c>
      <c r="GNC4" t="s">
        <v>63000</v>
      </c>
      <c r="GND4">
        <v>939197</v>
      </c>
      <c r="GNE4" t="s">
        <v>63001</v>
      </c>
      <c r="GNF4">
        <v>939223</v>
      </c>
      <c r="GNG4" t="s">
        <v>63002</v>
      </c>
      <c r="GNH4">
        <v>939234</v>
      </c>
      <c r="GNI4" t="s">
        <v>63003</v>
      </c>
      <c r="GNJ4">
        <v>939248</v>
      </c>
      <c r="GNK4" t="s">
        <v>63004</v>
      </c>
      <c r="GNL4">
        <v>939314</v>
      </c>
      <c r="GNM4" t="s">
        <v>63005</v>
      </c>
      <c r="GNN4">
        <v>939318</v>
      </c>
      <c r="GNP4" t="s">
        <v>63006</v>
      </c>
      <c r="GNQ4">
        <v>939320</v>
      </c>
      <c r="GNR4" t="s">
        <v>63007</v>
      </c>
      <c r="GNS4">
        <v>939342</v>
      </c>
      <c r="GNT4" t="s">
        <v>63008</v>
      </c>
      <c r="GNU4">
        <v>939358</v>
      </c>
      <c r="GNV4" t="s">
        <v>63009</v>
      </c>
      <c r="GNW4">
        <v>941238</v>
      </c>
      <c r="GNY4" t="s">
        <v>63010</v>
      </c>
      <c r="GNZ4">
        <v>941253</v>
      </c>
      <c r="GOA4" t="s">
        <v>63011</v>
      </c>
      <c r="GOB4">
        <v>941484</v>
      </c>
      <c r="GOC4" t="s">
        <v>63012</v>
      </c>
      <c r="GOD4">
        <v>941485</v>
      </c>
      <c r="GOE4" t="s">
        <v>63013</v>
      </c>
      <c r="GOF4">
        <v>941510</v>
      </c>
      <c r="GOG4" t="s">
        <v>63014</v>
      </c>
      <c r="GOH4">
        <v>941547</v>
      </c>
      <c r="GOI4" t="s">
        <v>63015</v>
      </c>
      <c r="GOJ4">
        <v>941568</v>
      </c>
      <c r="GOL4" t="s">
        <v>63016</v>
      </c>
      <c r="GOM4">
        <v>942426</v>
      </c>
      <c r="GON4" t="s">
        <v>63017</v>
      </c>
      <c r="GOO4">
        <v>942445</v>
      </c>
      <c r="GOP4" t="s">
        <v>63018</v>
      </c>
      <c r="GOQ4">
        <v>943019</v>
      </c>
      <c r="GOR4" t="s">
        <v>63019</v>
      </c>
      <c r="GOS4">
        <v>943332</v>
      </c>
      <c r="GOT4" t="s">
        <v>63020</v>
      </c>
      <c r="GOU4">
        <v>943505</v>
      </c>
      <c r="GOV4" t="s">
        <v>63021</v>
      </c>
      <c r="GOW4">
        <v>943544</v>
      </c>
      <c r="GOX4" t="s">
        <v>63022</v>
      </c>
      <c r="GOY4">
        <v>943611</v>
      </c>
      <c r="GOZ4" t="s">
        <v>63023</v>
      </c>
      <c r="GPA4">
        <v>943621</v>
      </c>
      <c r="GPB4" t="s">
        <v>63024</v>
      </c>
      <c r="GPC4">
        <v>943627</v>
      </c>
      <c r="GPD4" t="s">
        <v>63025</v>
      </c>
      <c r="GPE4">
        <v>943633</v>
      </c>
      <c r="GPF4" t="s">
        <v>63026</v>
      </c>
      <c r="GPG4">
        <v>943905</v>
      </c>
      <c r="GPH4" t="s">
        <v>63027</v>
      </c>
      <c r="GPI4">
        <v>943911</v>
      </c>
      <c r="GPJ4" t="s">
        <v>63028</v>
      </c>
      <c r="GPK4">
        <v>944071</v>
      </c>
      <c r="GPL4" t="s">
        <v>63029</v>
      </c>
      <c r="GPM4">
        <v>944789</v>
      </c>
      <c r="GPN4" t="s">
        <v>63030</v>
      </c>
      <c r="GPO4">
        <v>945099</v>
      </c>
      <c r="GPP4" t="s">
        <v>63031</v>
      </c>
      <c r="GPQ4">
        <v>945218</v>
      </c>
      <c r="GPR4" t="s">
        <v>63032</v>
      </c>
      <c r="GPS4">
        <v>945232</v>
      </c>
      <c r="GPT4" t="s">
        <v>63033</v>
      </c>
      <c r="GPU4">
        <v>945283</v>
      </c>
      <c r="GPV4" t="s">
        <v>63034</v>
      </c>
      <c r="GPW4">
        <v>945313</v>
      </c>
      <c r="GPX4" t="s">
        <v>63035</v>
      </c>
      <c r="GPY4">
        <v>945323</v>
      </c>
      <c r="GPZ4" t="s">
        <v>63036</v>
      </c>
      <c r="GQA4">
        <v>945330</v>
      </c>
      <c r="GQB4" t="s">
        <v>63037</v>
      </c>
      <c r="GQC4">
        <v>945350</v>
      </c>
      <c r="GQD4" t="s">
        <v>63038</v>
      </c>
      <c r="GQE4">
        <v>945379</v>
      </c>
      <c r="GQF4" t="s">
        <v>63039</v>
      </c>
      <c r="GQG4">
        <v>945385</v>
      </c>
      <c r="GQH4" t="s">
        <v>63040</v>
      </c>
      <c r="GQI4">
        <v>945389</v>
      </c>
      <c r="GQJ4" t="s">
        <v>63041</v>
      </c>
      <c r="GQK4">
        <v>945406</v>
      </c>
      <c r="GQL4" t="s">
        <v>63042</v>
      </c>
      <c r="GQM4">
        <v>945412</v>
      </c>
      <c r="GQN4" t="s">
        <v>63043</v>
      </c>
      <c r="GQO4">
        <v>945417</v>
      </c>
      <c r="GQP4" t="s">
        <v>63044</v>
      </c>
      <c r="GQQ4">
        <v>945420</v>
      </c>
      <c r="GQR4" t="s">
        <v>63045</v>
      </c>
      <c r="GQS4">
        <v>945426</v>
      </c>
      <c r="GQT4" t="s">
        <v>63046</v>
      </c>
      <c r="GQU4">
        <v>945433</v>
      </c>
      <c r="GQV4" t="s">
        <v>63047</v>
      </c>
      <c r="GQW4">
        <v>945498</v>
      </c>
      <c r="GQX4" t="s">
        <v>63048</v>
      </c>
      <c r="GQY4">
        <v>945503</v>
      </c>
      <c r="GQZ4" t="s">
        <v>63049</v>
      </c>
      <c r="GRA4">
        <v>945504</v>
      </c>
      <c r="GRB4" t="s">
        <v>63050</v>
      </c>
      <c r="GRC4">
        <v>945511</v>
      </c>
      <c r="GRD4" t="s">
        <v>63051</v>
      </c>
      <c r="GRE4">
        <v>945527</v>
      </c>
      <c r="GRF4" t="s">
        <v>63052</v>
      </c>
      <c r="GRG4">
        <v>945545</v>
      </c>
      <c r="GRH4" t="s">
        <v>63053</v>
      </c>
      <c r="GRI4">
        <v>945580</v>
      </c>
      <c r="GRJ4" t="s">
        <v>63054</v>
      </c>
      <c r="GRK4">
        <v>945654</v>
      </c>
      <c r="GRL4" t="s">
        <v>63055</v>
      </c>
      <c r="GRM4">
        <v>945705</v>
      </c>
      <c r="GRN4" t="s">
        <v>63056</v>
      </c>
      <c r="GRO4">
        <v>945719</v>
      </c>
      <c r="GRP4" t="s">
        <v>63057</v>
      </c>
      <c r="GRQ4">
        <v>945732</v>
      </c>
      <c r="GRR4" t="s">
        <v>63058</v>
      </c>
      <c r="GRS4">
        <v>945733</v>
      </c>
      <c r="GRT4" t="s">
        <v>63059</v>
      </c>
      <c r="GRU4">
        <v>945782</v>
      </c>
      <c r="GRV4" t="s">
        <v>63060</v>
      </c>
      <c r="GRW4">
        <v>945783</v>
      </c>
      <c r="GRX4" t="s">
        <v>63061</v>
      </c>
      <c r="GRY4">
        <v>946421</v>
      </c>
      <c r="GRZ4" t="s">
        <v>63062</v>
      </c>
      <c r="GSA4">
        <v>946730</v>
      </c>
      <c r="GSB4" t="s">
        <v>63063</v>
      </c>
      <c r="GSC4">
        <v>946757</v>
      </c>
      <c r="GSD4" t="s">
        <v>63064</v>
      </c>
      <c r="GSE4">
        <v>946758</v>
      </c>
      <c r="GSF4" t="s">
        <v>63065</v>
      </c>
      <c r="GSG4">
        <v>947480</v>
      </c>
      <c r="GSH4" t="s">
        <v>63066</v>
      </c>
      <c r="GSI4">
        <v>947481</v>
      </c>
      <c r="GSJ4" t="s">
        <v>63067</v>
      </c>
      <c r="GSK4">
        <v>947482</v>
      </c>
      <c r="GSL4" t="s">
        <v>63068</v>
      </c>
      <c r="GSM4">
        <v>947533</v>
      </c>
      <c r="GSN4" t="s">
        <v>63069</v>
      </c>
      <c r="GSO4">
        <v>947539</v>
      </c>
      <c r="GSP4" t="s">
        <v>63070</v>
      </c>
      <c r="GSQ4">
        <v>947589</v>
      </c>
      <c r="GSR4" t="s">
        <v>63071</v>
      </c>
      <c r="GSS4">
        <v>947796</v>
      </c>
      <c r="GST4" t="s">
        <v>63072</v>
      </c>
      <c r="GSU4">
        <v>947811</v>
      </c>
      <c r="GSV4" t="s">
        <v>63073</v>
      </c>
      <c r="GSW4">
        <v>947841</v>
      </c>
      <c r="GSX4" t="s">
        <v>63074</v>
      </c>
      <c r="GSY4">
        <v>947843</v>
      </c>
      <c r="GSZ4" t="s">
        <v>63075</v>
      </c>
      <c r="GTA4">
        <v>947845</v>
      </c>
      <c r="GTB4" t="s">
        <v>63076</v>
      </c>
      <c r="GTC4">
        <v>947862</v>
      </c>
      <c r="GTD4" t="s">
        <v>63077</v>
      </c>
      <c r="GTE4">
        <v>947863</v>
      </c>
      <c r="GTF4" t="s">
        <v>63078</v>
      </c>
      <c r="GTG4">
        <v>947864</v>
      </c>
      <c r="GTI4" t="s">
        <v>63079</v>
      </c>
      <c r="GTJ4">
        <v>947931</v>
      </c>
      <c r="GTK4" t="s">
        <v>63080</v>
      </c>
      <c r="GTL4">
        <v>948257</v>
      </c>
      <c r="GTM4" t="s">
        <v>63081</v>
      </c>
      <c r="GTN4">
        <v>949431</v>
      </c>
      <c r="GTO4" t="s">
        <v>63082</v>
      </c>
      <c r="GTP4">
        <v>949503</v>
      </c>
      <c r="GTQ4" t="s">
        <v>63083</v>
      </c>
      <c r="GTR4">
        <v>949588</v>
      </c>
      <c r="GTS4" t="s">
        <v>63084</v>
      </c>
      <c r="GTT4">
        <v>950581</v>
      </c>
      <c r="GTU4" t="s">
        <v>63085</v>
      </c>
      <c r="GTV4">
        <v>950599</v>
      </c>
      <c r="GTW4" t="s">
        <v>63086</v>
      </c>
      <c r="GTX4">
        <v>950607</v>
      </c>
      <c r="GTY4" t="s">
        <v>63087</v>
      </c>
      <c r="GTZ4">
        <v>951394</v>
      </c>
      <c r="GUA4" t="s">
        <v>63088</v>
      </c>
      <c r="GUB4">
        <v>951397</v>
      </c>
      <c r="GUC4" t="s">
        <v>63089</v>
      </c>
      <c r="GUD4">
        <v>951446</v>
      </c>
      <c r="GUE4" t="s">
        <v>63090</v>
      </c>
      <c r="GUF4">
        <v>951989</v>
      </c>
      <c r="GUG4" t="s">
        <v>63091</v>
      </c>
      <c r="GUH4">
        <v>952049</v>
      </c>
      <c r="GUI4" t="s">
        <v>63092</v>
      </c>
      <c r="GUJ4">
        <v>952146</v>
      </c>
      <c r="GUL4" t="s">
        <v>63093</v>
      </c>
      <c r="GUM4">
        <v>952202</v>
      </c>
      <c r="GUN4" t="s">
        <v>63094</v>
      </c>
      <c r="GUO4">
        <v>952235</v>
      </c>
      <c r="GUP4" t="s">
        <v>63095</v>
      </c>
      <c r="GUQ4">
        <v>952455</v>
      </c>
      <c r="GUS4" t="s">
        <v>63096</v>
      </c>
      <c r="GUT4">
        <v>954206</v>
      </c>
      <c r="GUU4" t="s">
        <v>63097</v>
      </c>
      <c r="GUV4">
        <v>954240</v>
      </c>
      <c r="GUW4" t="s">
        <v>63098</v>
      </c>
      <c r="GUX4">
        <v>954267</v>
      </c>
      <c r="GUY4" t="s">
        <v>63099</v>
      </c>
      <c r="GUZ4">
        <v>955522</v>
      </c>
      <c r="GVA4" t="s">
        <v>63100</v>
      </c>
      <c r="GVB4">
        <v>955547</v>
      </c>
      <c r="GVC4" t="s">
        <v>63101</v>
      </c>
      <c r="GVD4">
        <v>955573</v>
      </c>
      <c r="GVE4" t="s">
        <v>63102</v>
      </c>
      <c r="GVF4">
        <v>955588</v>
      </c>
      <c r="GVG4" t="s">
        <v>63103</v>
      </c>
      <c r="GVH4">
        <v>955598</v>
      </c>
      <c r="GVI4" t="s">
        <v>63104</v>
      </c>
      <c r="GVJ4">
        <v>956910</v>
      </c>
      <c r="GVK4" t="s">
        <v>63105</v>
      </c>
      <c r="GVL4">
        <v>957006</v>
      </c>
      <c r="GVM4" t="s">
        <v>63106</v>
      </c>
      <c r="GVN4">
        <v>957034</v>
      </c>
      <c r="GVO4" t="s">
        <v>63107</v>
      </c>
      <c r="GVP4">
        <v>957739</v>
      </c>
      <c r="GVQ4" t="s">
        <v>63108</v>
      </c>
      <c r="GVR4">
        <v>957794</v>
      </c>
      <c r="GVS4" t="s">
        <v>63109</v>
      </c>
      <c r="GVT4">
        <v>959684</v>
      </c>
      <c r="GVU4" t="s">
        <v>63110</v>
      </c>
      <c r="GVV4">
        <v>959720</v>
      </c>
      <c r="GVW4" t="s">
        <v>63111</v>
      </c>
      <c r="GVX4">
        <v>959728</v>
      </c>
      <c r="GVY4" t="s">
        <v>63112</v>
      </c>
      <c r="GVZ4">
        <v>959755</v>
      </c>
      <c r="GWA4" t="s">
        <v>63113</v>
      </c>
      <c r="GWB4">
        <v>959763</v>
      </c>
      <c r="GWC4" t="s">
        <v>63114</v>
      </c>
      <c r="GWD4">
        <v>959774</v>
      </c>
      <c r="GWE4" t="s">
        <v>63115</v>
      </c>
      <c r="GWF4">
        <v>959793</v>
      </c>
      <c r="GWG4" t="s">
        <v>63116</v>
      </c>
      <c r="GWH4">
        <v>959826</v>
      </c>
      <c r="GWI4" t="s">
        <v>63117</v>
      </c>
      <c r="GWJ4">
        <v>959838</v>
      </c>
      <c r="GWK4" t="s">
        <v>63118</v>
      </c>
      <c r="GWL4">
        <v>959897</v>
      </c>
      <c r="GWM4" t="s">
        <v>63119</v>
      </c>
      <c r="GWN4">
        <v>960414</v>
      </c>
      <c r="GWO4" t="s">
        <v>63120</v>
      </c>
      <c r="GWP4">
        <v>960480</v>
      </c>
      <c r="GWQ4" t="s">
        <v>63121</v>
      </c>
      <c r="GWR4">
        <v>960488</v>
      </c>
      <c r="GWS4" t="s">
        <v>63122</v>
      </c>
      <c r="GWT4">
        <v>960508</v>
      </c>
      <c r="GWU4" t="s">
        <v>63123</v>
      </c>
      <c r="GWV4">
        <v>960514</v>
      </c>
      <c r="GWW4" t="s">
        <v>63124</v>
      </c>
      <c r="GWX4">
        <v>960522</v>
      </c>
      <c r="GWY4" t="s">
        <v>63125</v>
      </c>
      <c r="GWZ4">
        <v>960532</v>
      </c>
      <c r="GXA4" t="s">
        <v>63126</v>
      </c>
      <c r="GXB4">
        <v>960590</v>
      </c>
      <c r="GXC4" t="s">
        <v>63127</v>
      </c>
      <c r="GXD4">
        <v>961757</v>
      </c>
      <c r="GXE4" t="s">
        <v>63128</v>
      </c>
      <c r="GXF4">
        <v>961768</v>
      </c>
      <c r="GXG4" t="s">
        <v>63129</v>
      </c>
      <c r="GXH4">
        <v>961806</v>
      </c>
      <c r="GXI4" t="s">
        <v>63130</v>
      </c>
      <c r="GXJ4">
        <v>961808</v>
      </c>
      <c r="GXK4" t="s">
        <v>63131</v>
      </c>
      <c r="GXL4">
        <v>961913</v>
      </c>
      <c r="GXM4" t="s">
        <v>63132</v>
      </c>
      <c r="GXN4">
        <v>961931</v>
      </c>
      <c r="GXO4" t="s">
        <v>63133</v>
      </c>
      <c r="GXP4">
        <v>961950</v>
      </c>
      <c r="GXQ4" t="s">
        <v>63134</v>
      </c>
      <c r="GXR4">
        <v>965032</v>
      </c>
      <c r="GXS4" t="s">
        <v>63135</v>
      </c>
      <c r="GXT4">
        <v>967077</v>
      </c>
      <c r="GXU4" t="s">
        <v>63136</v>
      </c>
      <c r="GXV4">
        <v>967923</v>
      </c>
      <c r="GXW4" t="s">
        <v>63137</v>
      </c>
      <c r="GXX4">
        <v>968007</v>
      </c>
      <c r="GXY4" t="s">
        <v>63138</v>
      </c>
      <c r="GXZ4">
        <v>969943</v>
      </c>
      <c r="GYA4" t="s">
        <v>63139</v>
      </c>
      <c r="GYB4">
        <v>969952</v>
      </c>
      <c r="GYC4" t="s">
        <v>63140</v>
      </c>
      <c r="GYD4">
        <v>969965</v>
      </c>
      <c r="GYE4" t="s">
        <v>63141</v>
      </c>
      <c r="GYF4">
        <v>969972</v>
      </c>
      <c r="GYG4" t="s">
        <v>63142</v>
      </c>
      <c r="GYH4">
        <v>969986</v>
      </c>
      <c r="GYI4" t="s">
        <v>63143</v>
      </c>
      <c r="GYJ4">
        <v>970013</v>
      </c>
      <c r="GYK4" t="s">
        <v>63144</v>
      </c>
      <c r="GYL4">
        <v>970036</v>
      </c>
      <c r="GYM4" t="s">
        <v>63145</v>
      </c>
      <c r="GYN4">
        <v>972160</v>
      </c>
      <c r="GYO4" t="s">
        <v>63146</v>
      </c>
      <c r="GYP4">
        <v>972167</v>
      </c>
      <c r="GYQ4" t="s">
        <v>63147</v>
      </c>
      <c r="GYR4">
        <v>974178</v>
      </c>
      <c r="GYS4" t="s">
        <v>63148</v>
      </c>
      <c r="GYT4">
        <v>974186</v>
      </c>
      <c r="GYU4" t="s">
        <v>63149</v>
      </c>
      <c r="GYV4">
        <v>974427</v>
      </c>
      <c r="GYW4" t="s">
        <v>63150</v>
      </c>
      <c r="GYX4">
        <v>974613</v>
      </c>
      <c r="GYY4" t="s">
        <v>63151</v>
      </c>
      <c r="GYZ4">
        <v>974682</v>
      </c>
      <c r="GZA4" t="s">
        <v>63152</v>
      </c>
      <c r="GZB4">
        <v>974734</v>
      </c>
      <c r="GZC4" t="s">
        <v>63153</v>
      </c>
      <c r="GZD4">
        <v>974757</v>
      </c>
      <c r="GZE4" t="s">
        <v>63154</v>
      </c>
      <c r="GZF4">
        <v>974792</v>
      </c>
      <c r="GZG4" t="s">
        <v>63155</v>
      </c>
      <c r="GZH4">
        <v>974806</v>
      </c>
      <c r="GZI4" t="s">
        <v>63156</v>
      </c>
      <c r="GZJ4">
        <v>974856</v>
      </c>
      <c r="GZK4" t="s">
        <v>63157</v>
      </c>
      <c r="GZL4">
        <v>974896</v>
      </c>
      <c r="GZM4" t="s">
        <v>63158</v>
      </c>
      <c r="GZN4">
        <v>975074</v>
      </c>
      <c r="GZO4" t="s">
        <v>63159</v>
      </c>
      <c r="GZP4">
        <v>975129</v>
      </c>
      <c r="GZR4" t="s">
        <v>63160</v>
      </c>
      <c r="GZS4">
        <v>975260</v>
      </c>
      <c r="GZT4" t="s">
        <v>63161</v>
      </c>
      <c r="GZU4">
        <v>975271</v>
      </c>
      <c r="GZV4" t="s">
        <v>63162</v>
      </c>
      <c r="GZW4">
        <v>975277</v>
      </c>
      <c r="GZX4" t="s">
        <v>63163</v>
      </c>
      <c r="GZY4">
        <v>975290</v>
      </c>
      <c r="GZZ4" t="s">
        <v>63164</v>
      </c>
      <c r="HAA4">
        <v>975318</v>
      </c>
      <c r="HAB4" t="s">
        <v>63165</v>
      </c>
      <c r="HAC4">
        <v>975338</v>
      </c>
      <c r="HAD4" t="s">
        <v>63166</v>
      </c>
      <c r="HAE4">
        <v>975600</v>
      </c>
      <c r="HAF4" t="s">
        <v>63167</v>
      </c>
      <c r="HAG4">
        <v>975604</v>
      </c>
      <c r="HAH4" t="s">
        <v>63168</v>
      </c>
      <c r="HAI4">
        <v>975612</v>
      </c>
      <c r="HAJ4" t="s">
        <v>63169</v>
      </c>
      <c r="HAK4">
        <v>975624</v>
      </c>
      <c r="HAL4" t="s">
        <v>63170</v>
      </c>
      <c r="HAM4">
        <v>976673</v>
      </c>
      <c r="HAN4" t="s">
        <v>63171</v>
      </c>
      <c r="HAO4">
        <v>978654</v>
      </c>
      <c r="HAP4" t="s">
        <v>63172</v>
      </c>
      <c r="HAQ4">
        <v>978711</v>
      </c>
      <c r="HAR4" t="s">
        <v>63173</v>
      </c>
      <c r="HAS4">
        <v>978729</v>
      </c>
      <c r="HAT4" t="s">
        <v>63174</v>
      </c>
      <c r="HAU4">
        <v>978776</v>
      </c>
      <c r="HAV4" t="s">
        <v>63175</v>
      </c>
      <c r="HAW4">
        <v>978910</v>
      </c>
      <c r="HAX4" t="s">
        <v>63176</v>
      </c>
      <c r="HAY4">
        <v>978917</v>
      </c>
      <c r="HAZ4" t="s">
        <v>63177</v>
      </c>
      <c r="HBA4">
        <v>978925</v>
      </c>
      <c r="HBB4" t="s">
        <v>63178</v>
      </c>
      <c r="HBC4">
        <v>978940</v>
      </c>
      <c r="HBD4" t="s">
        <v>63179</v>
      </c>
      <c r="HBE4">
        <v>978944</v>
      </c>
      <c r="HBF4" t="s">
        <v>63180</v>
      </c>
      <c r="HBG4">
        <v>978960</v>
      </c>
      <c r="HBH4" t="s">
        <v>63181</v>
      </c>
      <c r="HBI4">
        <v>978966</v>
      </c>
      <c r="HBJ4" t="s">
        <v>63182</v>
      </c>
      <c r="HBK4">
        <v>978982</v>
      </c>
      <c r="HBL4" t="s">
        <v>63183</v>
      </c>
      <c r="HBM4">
        <v>978989</v>
      </c>
      <c r="HBN4" t="s">
        <v>63184</v>
      </c>
      <c r="HBO4">
        <v>979004</v>
      </c>
      <c r="HBP4" t="s">
        <v>63185</v>
      </c>
      <c r="HBQ4">
        <v>979009</v>
      </c>
      <c r="HBR4" t="s">
        <v>63186</v>
      </c>
      <c r="HBS4">
        <v>979025</v>
      </c>
      <c r="HBT4" t="s">
        <v>63187</v>
      </c>
      <c r="HBU4">
        <v>979032</v>
      </c>
      <c r="HBV4" t="s">
        <v>63188</v>
      </c>
      <c r="HBW4">
        <v>979042</v>
      </c>
      <c r="HBX4" t="s">
        <v>63189</v>
      </c>
      <c r="HBY4">
        <v>979051</v>
      </c>
      <c r="HBZ4" t="s">
        <v>63190</v>
      </c>
      <c r="HCA4">
        <v>979079</v>
      </c>
      <c r="HCB4" t="s">
        <v>63191</v>
      </c>
      <c r="HCC4">
        <v>979107</v>
      </c>
      <c r="HCD4" t="s">
        <v>63192</v>
      </c>
      <c r="HCE4">
        <v>979116</v>
      </c>
      <c r="HCF4" t="s">
        <v>63193</v>
      </c>
      <c r="HCG4">
        <v>979158</v>
      </c>
      <c r="HCH4" t="s">
        <v>63194</v>
      </c>
      <c r="HCI4">
        <v>979167</v>
      </c>
      <c r="HCJ4" t="s">
        <v>63195</v>
      </c>
      <c r="HCK4">
        <v>979185</v>
      </c>
      <c r="HCL4" t="s">
        <v>63196</v>
      </c>
      <c r="HCM4">
        <v>979213</v>
      </c>
      <c r="HCN4" t="s">
        <v>63197</v>
      </c>
      <c r="HCO4">
        <v>979223</v>
      </c>
      <c r="HCP4" t="s">
        <v>63198</v>
      </c>
      <c r="HCQ4">
        <v>979240</v>
      </c>
      <c r="HCR4" t="s">
        <v>63199</v>
      </c>
      <c r="HCS4">
        <v>979244</v>
      </c>
      <c r="HCT4" t="s">
        <v>63200</v>
      </c>
      <c r="HCU4">
        <v>979256</v>
      </c>
      <c r="HCV4" t="s">
        <v>63201</v>
      </c>
      <c r="HCW4">
        <v>979263</v>
      </c>
      <c r="HCX4" t="s">
        <v>63202</v>
      </c>
      <c r="HCY4">
        <v>979285</v>
      </c>
      <c r="HCZ4" t="s">
        <v>63203</v>
      </c>
      <c r="HDA4">
        <v>979334</v>
      </c>
      <c r="HDB4" t="s">
        <v>63204</v>
      </c>
      <c r="HDC4">
        <v>979343</v>
      </c>
      <c r="HDD4" t="s">
        <v>63205</v>
      </c>
      <c r="HDE4">
        <v>981021</v>
      </c>
      <c r="HDF4" t="s">
        <v>63206</v>
      </c>
      <c r="HDG4">
        <v>981042</v>
      </c>
      <c r="HDH4" t="s">
        <v>63207</v>
      </c>
      <c r="HDI4">
        <v>981050</v>
      </c>
      <c r="HDJ4" t="s">
        <v>63208</v>
      </c>
      <c r="HDK4">
        <v>981072</v>
      </c>
      <c r="HDL4" t="s">
        <v>63209</v>
      </c>
      <c r="HDM4">
        <v>981094</v>
      </c>
      <c r="HDN4" t="s">
        <v>63210</v>
      </c>
      <c r="HDO4">
        <v>981107</v>
      </c>
      <c r="HDP4" t="s">
        <v>63211</v>
      </c>
      <c r="HDQ4">
        <v>981136</v>
      </c>
      <c r="HDR4" t="s">
        <v>63212</v>
      </c>
      <c r="HDS4">
        <v>981906</v>
      </c>
      <c r="HDT4" t="s">
        <v>63213</v>
      </c>
      <c r="HDU4">
        <v>981960</v>
      </c>
      <c r="HDV4" t="s">
        <v>63214</v>
      </c>
      <c r="HDW4">
        <v>981995</v>
      </c>
      <c r="HDX4" t="s">
        <v>63215</v>
      </c>
      <c r="HDY4">
        <v>982045</v>
      </c>
      <c r="HDZ4" t="s">
        <v>63216</v>
      </c>
      <c r="HEA4">
        <v>982084</v>
      </c>
      <c r="HEB4" t="s">
        <v>63217</v>
      </c>
      <c r="HEC4">
        <v>982150</v>
      </c>
      <c r="HED4" t="s">
        <v>63218</v>
      </c>
      <c r="HEE4">
        <v>982265</v>
      </c>
      <c r="HEF4" t="s">
        <v>63219</v>
      </c>
      <c r="HEG4">
        <v>982276</v>
      </c>
      <c r="HEH4" t="s">
        <v>63220</v>
      </c>
      <c r="HEI4">
        <v>982297</v>
      </c>
      <c r="HEJ4" t="s">
        <v>63221</v>
      </c>
      <c r="HEK4">
        <v>982335</v>
      </c>
      <c r="HEL4" t="s">
        <v>63222</v>
      </c>
      <c r="HEM4">
        <v>982379</v>
      </c>
      <c r="HEN4" t="s">
        <v>63223</v>
      </c>
      <c r="HEO4">
        <v>982469</v>
      </c>
      <c r="HEP4" t="s">
        <v>63224</v>
      </c>
      <c r="HEQ4">
        <v>982690</v>
      </c>
      <c r="HER4" t="s">
        <v>63225</v>
      </c>
      <c r="HES4">
        <v>982718</v>
      </c>
      <c r="HET4" t="s">
        <v>63226</v>
      </c>
      <c r="HEU4">
        <v>982868</v>
      </c>
      <c r="HEV4" t="s">
        <v>63227</v>
      </c>
      <c r="HEW4">
        <v>982902</v>
      </c>
      <c r="HEX4" t="s">
        <v>63228</v>
      </c>
      <c r="HEY4">
        <v>982932</v>
      </c>
      <c r="HEZ4" t="s">
        <v>63229</v>
      </c>
      <c r="HFA4">
        <v>982946</v>
      </c>
      <c r="HFB4" t="s">
        <v>63230</v>
      </c>
      <c r="HFC4">
        <v>982959</v>
      </c>
      <c r="HFD4" t="s">
        <v>63231</v>
      </c>
      <c r="HFE4">
        <v>982982</v>
      </c>
      <c r="HFF4" t="s">
        <v>63232</v>
      </c>
      <c r="HFG4">
        <v>983026</v>
      </c>
      <c r="HFH4" t="s">
        <v>63233</v>
      </c>
      <c r="HFI4">
        <v>983044</v>
      </c>
      <c r="HFJ4" t="s">
        <v>63234</v>
      </c>
      <c r="HFK4">
        <v>983068</v>
      </c>
      <c r="HFL4" t="s">
        <v>63235</v>
      </c>
      <c r="HFM4">
        <v>983121</v>
      </c>
      <c r="HFN4" t="s">
        <v>63236</v>
      </c>
      <c r="HFO4">
        <v>983138</v>
      </c>
      <c r="HFP4" t="s">
        <v>63237</v>
      </c>
      <c r="HFQ4">
        <v>983147</v>
      </c>
      <c r="HFR4" t="s">
        <v>63238</v>
      </c>
      <c r="HFS4">
        <v>983161</v>
      </c>
      <c r="HFT4" t="s">
        <v>63239</v>
      </c>
      <c r="HFU4">
        <v>983169</v>
      </c>
      <c r="HFV4" t="s">
        <v>63240</v>
      </c>
      <c r="HFW4">
        <v>983309</v>
      </c>
      <c r="HFX4" t="s">
        <v>63241</v>
      </c>
      <c r="HFY4">
        <v>984851</v>
      </c>
      <c r="HFZ4" t="s">
        <v>63242</v>
      </c>
      <c r="HGA4">
        <v>984889</v>
      </c>
      <c r="HGB4" t="s">
        <v>63243</v>
      </c>
      <c r="HGC4">
        <v>984897</v>
      </c>
      <c r="HGD4" t="s">
        <v>63244</v>
      </c>
      <c r="HGE4">
        <v>986829</v>
      </c>
      <c r="HGF4" t="s">
        <v>63245</v>
      </c>
      <c r="HGG4">
        <v>990330</v>
      </c>
      <c r="HGH4" t="s">
        <v>63246</v>
      </c>
      <c r="HGI4">
        <v>990343</v>
      </c>
      <c r="HGJ4" t="s">
        <v>63247</v>
      </c>
      <c r="HGK4">
        <v>990410</v>
      </c>
      <c r="HGL4" t="s">
        <v>63248</v>
      </c>
      <c r="HGM4">
        <v>990421</v>
      </c>
      <c r="HGN4" t="s">
        <v>63249</v>
      </c>
      <c r="HGO4">
        <v>990511</v>
      </c>
      <c r="HGP4" t="s">
        <v>63250</v>
      </c>
      <c r="HGQ4">
        <v>990517</v>
      </c>
      <c r="HGR4" t="s">
        <v>63251</v>
      </c>
      <c r="HGS4">
        <v>997219</v>
      </c>
      <c r="HGT4" t="s">
        <v>63252</v>
      </c>
      <c r="HGU4">
        <v>1000179</v>
      </c>
      <c r="HGV4" t="s">
        <v>63253</v>
      </c>
      <c r="HGW4">
        <v>1000215</v>
      </c>
      <c r="HGX4" t="s">
        <v>63254</v>
      </c>
      <c r="HGY4">
        <v>1005498</v>
      </c>
      <c r="HGZ4" t="s">
        <v>63255</v>
      </c>
      <c r="HHA4">
        <v>1005585</v>
      </c>
      <c r="HHB4" t="s">
        <v>63256</v>
      </c>
      <c r="HHC4">
        <v>1006359</v>
      </c>
      <c r="HHD4" t="s">
        <v>63257</v>
      </c>
      <c r="HHE4">
        <v>1006461</v>
      </c>
      <c r="HHF4" t="s">
        <v>63258</v>
      </c>
      <c r="HHG4">
        <v>1006470</v>
      </c>
      <c r="HHH4" t="s">
        <v>63259</v>
      </c>
      <c r="HHI4">
        <v>1006555</v>
      </c>
      <c r="HHJ4" t="s">
        <v>63260</v>
      </c>
      <c r="HHK4">
        <v>1006563</v>
      </c>
      <c r="HHL4" t="s">
        <v>63261</v>
      </c>
      <c r="HHM4">
        <v>1006596</v>
      </c>
      <c r="HHN4" t="s">
        <v>63262</v>
      </c>
      <c r="HHO4">
        <v>1008753</v>
      </c>
      <c r="HHP4" t="s">
        <v>63263</v>
      </c>
      <c r="HHQ4">
        <v>1009283</v>
      </c>
      <c r="HHR4" t="s">
        <v>63264</v>
      </c>
      <c r="HHS4">
        <v>1009482</v>
      </c>
      <c r="HHT4" t="s">
        <v>63265</v>
      </c>
      <c r="HHU4">
        <v>1009509</v>
      </c>
      <c r="HHV4" t="s">
        <v>63266</v>
      </c>
      <c r="HHW4">
        <v>1009522</v>
      </c>
      <c r="HHX4" t="s">
        <v>63267</v>
      </c>
      <c r="HHY4">
        <v>1009529</v>
      </c>
      <c r="HHZ4" t="s">
        <v>63268</v>
      </c>
      <c r="HIA4">
        <v>1009592</v>
      </c>
      <c r="HIB4" t="s">
        <v>63269</v>
      </c>
      <c r="HIC4">
        <v>1010517</v>
      </c>
      <c r="HID4" t="s">
        <v>63270</v>
      </c>
      <c r="HIE4">
        <v>1010518</v>
      </c>
      <c r="HIF4" t="s">
        <v>63271</v>
      </c>
      <c r="HIG4">
        <v>1010533</v>
      </c>
      <c r="HIH4" t="s">
        <v>63272</v>
      </c>
      <c r="HII4">
        <v>1010565</v>
      </c>
      <c r="HIJ4" t="s">
        <v>63273</v>
      </c>
      <c r="HIK4">
        <v>1010588</v>
      </c>
      <c r="HIL4" t="s">
        <v>63274</v>
      </c>
      <c r="HIM4">
        <v>1010589</v>
      </c>
      <c r="HIN4" t="s">
        <v>63275</v>
      </c>
      <c r="HIO4">
        <v>1010605</v>
      </c>
      <c r="HIP4" t="s">
        <v>63276</v>
      </c>
      <c r="HIQ4">
        <v>1010615</v>
      </c>
      <c r="HIR4" t="s">
        <v>63277</v>
      </c>
      <c r="HIS4">
        <v>1010628</v>
      </c>
      <c r="HIT4" t="s">
        <v>63278</v>
      </c>
      <c r="HIU4">
        <v>1010636</v>
      </c>
      <c r="HIV4" t="s">
        <v>63279</v>
      </c>
      <c r="HIW4">
        <v>1010664</v>
      </c>
      <c r="HIX4" t="s">
        <v>63280</v>
      </c>
      <c r="HIY4">
        <v>1010689</v>
      </c>
      <c r="HIZ4" t="s">
        <v>63281</v>
      </c>
      <c r="HJA4">
        <v>1010704</v>
      </c>
      <c r="HJB4" t="s">
        <v>63282</v>
      </c>
      <c r="HJC4">
        <v>1010736</v>
      </c>
      <c r="HJD4" t="s">
        <v>63283</v>
      </c>
      <c r="HJE4">
        <v>1011342</v>
      </c>
      <c r="HJF4" t="s">
        <v>63284</v>
      </c>
      <c r="HJG4">
        <v>1011677</v>
      </c>
      <c r="HJH4" t="s">
        <v>63285</v>
      </c>
      <c r="HJI4">
        <v>1011683</v>
      </c>
      <c r="HJJ4" t="s">
        <v>63286</v>
      </c>
      <c r="HJK4">
        <v>1011746</v>
      </c>
      <c r="HJL4" t="s">
        <v>63287</v>
      </c>
      <c r="HJM4">
        <v>1011753</v>
      </c>
      <c r="HJN4" t="s">
        <v>63288</v>
      </c>
      <c r="HJO4">
        <v>1011802</v>
      </c>
      <c r="HJP4" t="s">
        <v>63289</v>
      </c>
      <c r="HJQ4">
        <v>1011830</v>
      </c>
      <c r="HJR4" t="s">
        <v>63290</v>
      </c>
      <c r="HJS4">
        <v>1011864</v>
      </c>
      <c r="HJT4" t="s">
        <v>63291</v>
      </c>
      <c r="HJU4">
        <v>1011872</v>
      </c>
      <c r="HJV4" t="s">
        <v>63292</v>
      </c>
      <c r="HJW4">
        <v>1011880</v>
      </c>
      <c r="HJX4" t="s">
        <v>63293</v>
      </c>
      <c r="HJY4">
        <v>1011888</v>
      </c>
      <c r="HKA4" t="s">
        <v>63294</v>
      </c>
      <c r="HKB4">
        <v>1012119</v>
      </c>
      <c r="HKC4" t="s">
        <v>63295</v>
      </c>
      <c r="HKD4">
        <v>1012132</v>
      </c>
      <c r="HKE4" t="s">
        <v>63296</v>
      </c>
      <c r="HKF4">
        <v>1012151</v>
      </c>
      <c r="HKG4" t="s">
        <v>63297</v>
      </c>
      <c r="HKH4">
        <v>1012181</v>
      </c>
      <c r="HKI4" t="s">
        <v>63298</v>
      </c>
      <c r="HKJ4">
        <v>1012182</v>
      </c>
      <c r="HKK4" t="s">
        <v>63299</v>
      </c>
      <c r="HKL4">
        <v>1012209</v>
      </c>
      <c r="HKM4" t="s">
        <v>63300</v>
      </c>
      <c r="HKN4">
        <v>1012215</v>
      </c>
      <c r="HKO4" t="s">
        <v>63301</v>
      </c>
      <c r="HKP4">
        <v>1012251</v>
      </c>
      <c r="HKQ4" t="s">
        <v>63302</v>
      </c>
      <c r="HKR4">
        <v>1012269</v>
      </c>
      <c r="HKS4" t="s">
        <v>63303</v>
      </c>
      <c r="HKT4">
        <v>1012284</v>
      </c>
      <c r="HKU4" t="s">
        <v>63304</v>
      </c>
      <c r="HKV4">
        <v>1012303</v>
      </c>
      <c r="HKW4" t="s">
        <v>63305</v>
      </c>
      <c r="HKX4">
        <v>1012328</v>
      </c>
      <c r="HKY4" t="s">
        <v>63306</v>
      </c>
      <c r="HKZ4">
        <v>1012342</v>
      </c>
      <c r="HLA4" t="s">
        <v>63307</v>
      </c>
      <c r="HLB4">
        <v>1012360</v>
      </c>
      <c r="HLC4" t="s">
        <v>63308</v>
      </c>
      <c r="HLD4">
        <v>1012426</v>
      </c>
      <c r="HLE4" t="s">
        <v>63309</v>
      </c>
      <c r="HLF4">
        <v>1012457</v>
      </c>
      <c r="HLG4" t="s">
        <v>63310</v>
      </c>
      <c r="HLH4">
        <v>1012469</v>
      </c>
      <c r="HLI4" t="s">
        <v>63311</v>
      </c>
      <c r="HLJ4">
        <v>1012611</v>
      </c>
      <c r="HLK4" t="s">
        <v>63312</v>
      </c>
      <c r="HLL4">
        <v>1012617</v>
      </c>
      <c r="HLM4" t="s">
        <v>63313</v>
      </c>
      <c r="HLN4">
        <v>1012673</v>
      </c>
      <c r="HLO4" t="s">
        <v>63314</v>
      </c>
      <c r="HLP4">
        <v>1012680</v>
      </c>
      <c r="HLQ4" t="s">
        <v>63315</v>
      </c>
      <c r="HLR4">
        <v>1012732</v>
      </c>
      <c r="HLS4" t="s">
        <v>63316</v>
      </c>
      <c r="HLT4">
        <v>1012738</v>
      </c>
      <c r="HLU4" t="s">
        <v>63317</v>
      </c>
      <c r="HLV4">
        <v>1012835</v>
      </c>
      <c r="HLW4" t="s">
        <v>63318</v>
      </c>
      <c r="HLX4">
        <v>1013582</v>
      </c>
      <c r="HLY4" t="s">
        <v>63319</v>
      </c>
      <c r="HLZ4">
        <v>1013609</v>
      </c>
      <c r="HMA4" t="s">
        <v>63320</v>
      </c>
      <c r="HMB4">
        <v>1013623</v>
      </c>
      <c r="HMC4" t="s">
        <v>63321</v>
      </c>
      <c r="HMD4">
        <v>1013629</v>
      </c>
      <c r="HME4" t="s">
        <v>63322</v>
      </c>
      <c r="HMF4">
        <v>1014784</v>
      </c>
      <c r="HMG4" t="s">
        <v>63323</v>
      </c>
      <c r="HMH4">
        <v>1014792</v>
      </c>
      <c r="HMI4" t="s">
        <v>63324</v>
      </c>
      <c r="HMJ4">
        <v>1014808</v>
      </c>
      <c r="HMK4" t="s">
        <v>63325</v>
      </c>
      <c r="HML4">
        <v>1014847</v>
      </c>
      <c r="HMM4" t="s">
        <v>63326</v>
      </c>
      <c r="HMN4">
        <v>1014856</v>
      </c>
      <c r="HMO4" t="s">
        <v>63327</v>
      </c>
      <c r="HMP4">
        <v>1014871</v>
      </c>
      <c r="HMQ4" t="s">
        <v>63328</v>
      </c>
      <c r="HMR4">
        <v>1014903</v>
      </c>
      <c r="HMS4" t="s">
        <v>63329</v>
      </c>
      <c r="HMT4">
        <v>1014922</v>
      </c>
      <c r="HMU4" t="s">
        <v>63330</v>
      </c>
      <c r="HMV4">
        <v>1014952</v>
      </c>
      <c r="HMW4" t="s">
        <v>63331</v>
      </c>
      <c r="HMX4">
        <v>1014967</v>
      </c>
      <c r="HMY4" t="s">
        <v>63332</v>
      </c>
      <c r="HMZ4">
        <v>1015021</v>
      </c>
      <c r="HNA4" t="s">
        <v>63333</v>
      </c>
      <c r="HNB4">
        <v>1015538</v>
      </c>
      <c r="HNC4" t="s">
        <v>63334</v>
      </c>
      <c r="HND4">
        <v>1015574</v>
      </c>
      <c r="HNE4" t="s">
        <v>63335</v>
      </c>
      <c r="HNF4">
        <v>1016487</v>
      </c>
      <c r="HNG4" t="s">
        <v>63336</v>
      </c>
      <c r="HNH4">
        <v>1016494</v>
      </c>
      <c r="HNI4" t="s">
        <v>63337</v>
      </c>
      <c r="HNJ4">
        <v>1016544</v>
      </c>
      <c r="HNK4" t="s">
        <v>63338</v>
      </c>
      <c r="HNL4">
        <v>1016634</v>
      </c>
      <c r="HNM4" t="s">
        <v>63339</v>
      </c>
      <c r="HNN4">
        <v>1016827</v>
      </c>
      <c r="HNO4" t="s">
        <v>63340</v>
      </c>
      <c r="HNP4">
        <v>1016866</v>
      </c>
      <c r="HNQ4" t="s">
        <v>63341</v>
      </c>
      <c r="HNR4">
        <v>1016873</v>
      </c>
      <c r="HNS4" t="s">
        <v>63342</v>
      </c>
      <c r="HNT4">
        <v>1016906</v>
      </c>
      <c r="HNU4" t="s">
        <v>63343</v>
      </c>
      <c r="HNV4">
        <v>1016914</v>
      </c>
      <c r="HNW4" t="s">
        <v>63344</v>
      </c>
      <c r="HNX4">
        <v>1016951</v>
      </c>
      <c r="HNY4" t="s">
        <v>63345</v>
      </c>
      <c r="HNZ4">
        <v>1016957</v>
      </c>
      <c r="HOA4" t="s">
        <v>63346</v>
      </c>
      <c r="HOB4">
        <v>1016986</v>
      </c>
      <c r="HOC4" t="s">
        <v>63347</v>
      </c>
      <c r="HOD4">
        <v>1016991</v>
      </c>
      <c r="HOE4" t="s">
        <v>63348</v>
      </c>
      <c r="HOF4">
        <v>1017026</v>
      </c>
      <c r="HOG4" t="s">
        <v>63349</v>
      </c>
      <c r="HOH4">
        <v>1017154</v>
      </c>
      <c r="HOI4" t="s">
        <v>63350</v>
      </c>
      <c r="HOJ4">
        <v>1017172</v>
      </c>
      <c r="HOK4" t="s">
        <v>63351</v>
      </c>
      <c r="HOL4">
        <v>1017215</v>
      </c>
      <c r="HOM4" t="s">
        <v>63352</v>
      </c>
      <c r="HON4">
        <v>1017217</v>
      </c>
      <c r="HOO4" t="s">
        <v>63353</v>
      </c>
      <c r="HOP4">
        <v>1017224</v>
      </c>
      <c r="HOQ4" t="s">
        <v>63354</v>
      </c>
      <c r="HOR4">
        <v>1017229</v>
      </c>
      <c r="HOS4" t="s">
        <v>63355</v>
      </c>
      <c r="HOT4">
        <v>1017232</v>
      </c>
      <c r="HOU4" t="s">
        <v>63356</v>
      </c>
      <c r="HOV4">
        <v>1017238</v>
      </c>
      <c r="HOW4" t="s">
        <v>63357</v>
      </c>
      <c r="HOX4">
        <v>1017255</v>
      </c>
      <c r="HOY4" t="s">
        <v>63358</v>
      </c>
      <c r="HOZ4">
        <v>1017272</v>
      </c>
      <c r="HPA4" t="s">
        <v>63359</v>
      </c>
      <c r="HPB4">
        <v>1017276</v>
      </c>
      <c r="HPC4" t="s">
        <v>63360</v>
      </c>
      <c r="HPD4">
        <v>1017300</v>
      </c>
      <c r="HPE4" t="s">
        <v>63361</v>
      </c>
      <c r="HPF4">
        <v>1017306</v>
      </c>
      <c r="HPG4" t="s">
        <v>63362</v>
      </c>
      <c r="HPH4">
        <v>1017346</v>
      </c>
      <c r="HPI4" t="s">
        <v>63363</v>
      </c>
      <c r="HPJ4">
        <v>1017353</v>
      </c>
      <c r="HPK4" t="s">
        <v>63364</v>
      </c>
      <c r="HPL4">
        <v>1017380</v>
      </c>
      <c r="HPM4" t="s">
        <v>63365</v>
      </c>
      <c r="HPN4">
        <v>1017397</v>
      </c>
      <c r="HPO4" t="s">
        <v>63366</v>
      </c>
      <c r="HPP4">
        <v>1017402</v>
      </c>
      <c r="HPQ4" t="s">
        <v>63367</v>
      </c>
      <c r="HPR4">
        <v>1017485</v>
      </c>
      <c r="HPS4" t="s">
        <v>63368</v>
      </c>
      <c r="HPT4">
        <v>1017519</v>
      </c>
      <c r="HPU4" t="s">
        <v>63369</v>
      </c>
      <c r="HPV4">
        <v>1017534</v>
      </c>
      <c r="HPW4" t="s">
        <v>63370</v>
      </c>
      <c r="HPX4">
        <v>1017563</v>
      </c>
      <c r="HQA4" t="s">
        <v>63371</v>
      </c>
      <c r="HQB4">
        <v>1017650</v>
      </c>
      <c r="HQC4" t="s">
        <v>63372</v>
      </c>
      <c r="HQD4">
        <v>1017764</v>
      </c>
      <c r="HQE4" t="s">
        <v>63373</v>
      </c>
      <c r="HQF4">
        <v>1024104</v>
      </c>
      <c r="HQH4" t="s">
        <v>63374</v>
      </c>
      <c r="HQI4">
        <v>1024409</v>
      </c>
      <c r="HQJ4" t="s">
        <v>63375</v>
      </c>
      <c r="HQK4">
        <v>1024579</v>
      </c>
      <c r="HQL4" t="s">
        <v>63376</v>
      </c>
      <c r="HQM4">
        <v>1025129</v>
      </c>
      <c r="HQN4" t="s">
        <v>63377</v>
      </c>
      <c r="HQO4">
        <v>1025182</v>
      </c>
      <c r="HQP4" t="s">
        <v>63378</v>
      </c>
      <c r="HQQ4">
        <v>1025219</v>
      </c>
      <c r="HQR4" t="s">
        <v>63379</v>
      </c>
      <c r="HQS4">
        <v>1025265</v>
      </c>
      <c r="HQT4" t="s">
        <v>63380</v>
      </c>
      <c r="HQU4">
        <v>1025282</v>
      </c>
      <c r="HQV4" t="s">
        <v>63381</v>
      </c>
      <c r="HQW4">
        <v>1025295</v>
      </c>
      <c r="HQX4" t="s">
        <v>63382</v>
      </c>
      <c r="HQY4">
        <v>1025340</v>
      </c>
      <c r="HQZ4" t="s">
        <v>63383</v>
      </c>
      <c r="HRA4">
        <v>1025385</v>
      </c>
      <c r="HRB4" t="s">
        <v>63384</v>
      </c>
      <c r="HRC4">
        <v>1025400</v>
      </c>
      <c r="HRD4" t="s">
        <v>63385</v>
      </c>
      <c r="HRE4">
        <v>1025434</v>
      </c>
      <c r="HRF4" t="s">
        <v>63386</v>
      </c>
      <c r="HRG4">
        <v>1025460</v>
      </c>
      <c r="HRH4" t="s">
        <v>63387</v>
      </c>
      <c r="HRI4">
        <v>1025518</v>
      </c>
      <c r="HRJ4" t="s">
        <v>63388</v>
      </c>
      <c r="HRK4">
        <v>1025538</v>
      </c>
      <c r="HRL4" t="s">
        <v>63389</v>
      </c>
      <c r="HRM4">
        <v>1027717</v>
      </c>
      <c r="HRN4" t="s">
        <v>63390</v>
      </c>
      <c r="HRO4">
        <v>1032542</v>
      </c>
      <c r="HRP4" t="s">
        <v>63391</v>
      </c>
      <c r="HRQ4">
        <v>1034617</v>
      </c>
      <c r="HRR4" t="s">
        <v>63392</v>
      </c>
      <c r="HRS4">
        <v>1034671</v>
      </c>
      <c r="HRT4" t="s">
        <v>63393</v>
      </c>
      <c r="HRU4">
        <v>1034678</v>
      </c>
      <c r="HRV4" t="s">
        <v>63394</v>
      </c>
      <c r="HRW4">
        <v>1034760</v>
      </c>
      <c r="HRX4" t="s">
        <v>63395</v>
      </c>
      <c r="HRY4">
        <v>1035179</v>
      </c>
      <c r="HRZ4" t="s">
        <v>63396</v>
      </c>
      <c r="HSA4">
        <v>1035188</v>
      </c>
      <c r="HSB4" t="s">
        <v>63397</v>
      </c>
      <c r="HSC4">
        <v>1036367</v>
      </c>
      <c r="HSD4" t="s">
        <v>63398</v>
      </c>
      <c r="HSE4">
        <v>1036502</v>
      </c>
      <c r="HSG4" t="s">
        <v>63399</v>
      </c>
      <c r="HSH4">
        <v>1036510</v>
      </c>
      <c r="HSI4" t="s">
        <v>63400</v>
      </c>
      <c r="HSJ4">
        <v>1036515</v>
      </c>
      <c r="HSK4" t="s">
        <v>63401</v>
      </c>
      <c r="HSL4">
        <v>1037091</v>
      </c>
      <c r="HSM4" t="s">
        <v>63402</v>
      </c>
      <c r="HSN4">
        <v>1039413</v>
      </c>
      <c r="HSO4" t="s">
        <v>63403</v>
      </c>
      <c r="HSP4">
        <v>1039517</v>
      </c>
      <c r="HSR4" t="s">
        <v>63404</v>
      </c>
      <c r="HSS4">
        <v>1039958</v>
      </c>
      <c r="HST4" t="s">
        <v>63405</v>
      </c>
      <c r="HSU4">
        <v>1040588</v>
      </c>
      <c r="HSV4" t="s">
        <v>63406</v>
      </c>
      <c r="HSW4">
        <v>1045070</v>
      </c>
      <c r="HSX4" t="s">
        <v>63407</v>
      </c>
      <c r="HSY4">
        <v>1045653</v>
      </c>
      <c r="HSZ4" t="s">
        <v>63408</v>
      </c>
      <c r="HTA4">
        <v>1045654</v>
      </c>
      <c r="HTB4" t="s">
        <v>63409</v>
      </c>
      <c r="HTC4">
        <v>1045935</v>
      </c>
      <c r="HTD4" t="s">
        <v>63410</v>
      </c>
      <c r="HTE4">
        <v>1046032</v>
      </c>
      <c r="HTF4" t="s">
        <v>63411</v>
      </c>
      <c r="HTG4">
        <v>1046136</v>
      </c>
      <c r="HTH4" t="s">
        <v>63412</v>
      </c>
      <c r="HTI4">
        <v>1046163</v>
      </c>
      <c r="HTJ4" t="s">
        <v>63413</v>
      </c>
      <c r="HTK4">
        <v>1046787</v>
      </c>
      <c r="HTL4" t="s">
        <v>63414</v>
      </c>
      <c r="HTM4">
        <v>1046814</v>
      </c>
      <c r="HTN4" t="s">
        <v>63415</v>
      </c>
      <c r="HTO4">
        <v>1047239</v>
      </c>
      <c r="HTP4" t="s">
        <v>63416</v>
      </c>
      <c r="HTQ4">
        <v>1047244</v>
      </c>
      <c r="HTR4" t="s">
        <v>63417</v>
      </c>
      <c r="HTS4">
        <v>1047260</v>
      </c>
      <c r="HTT4" t="s">
        <v>63418</v>
      </c>
      <c r="HTU4">
        <v>1047265</v>
      </c>
      <c r="HTV4" t="s">
        <v>63419</v>
      </c>
      <c r="HTW4">
        <v>1047266</v>
      </c>
      <c r="HTX4" t="s">
        <v>63420</v>
      </c>
      <c r="HTY4">
        <v>1047291</v>
      </c>
      <c r="HTZ4" t="s">
        <v>63421</v>
      </c>
      <c r="HUA4">
        <v>1047298</v>
      </c>
      <c r="HUB4" t="s">
        <v>63422</v>
      </c>
      <c r="HUC4">
        <v>1047372</v>
      </c>
      <c r="HUD4" t="s">
        <v>63423</v>
      </c>
      <c r="HUE4">
        <v>1048365</v>
      </c>
      <c r="HUF4" t="s">
        <v>63424</v>
      </c>
      <c r="HUG4">
        <v>1050036</v>
      </c>
      <c r="HUH4" t="s">
        <v>63425</v>
      </c>
      <c r="HUI4">
        <v>1050042</v>
      </c>
      <c r="HUJ4" t="s">
        <v>63426</v>
      </c>
      <c r="HUK4">
        <v>1050101</v>
      </c>
      <c r="HUL4" t="s">
        <v>63427</v>
      </c>
      <c r="HUM4">
        <v>1050156</v>
      </c>
      <c r="HUN4" t="s">
        <v>63428</v>
      </c>
      <c r="HUO4">
        <v>1050165</v>
      </c>
      <c r="HUP4" t="s">
        <v>63429</v>
      </c>
      <c r="HUQ4">
        <v>1050182</v>
      </c>
      <c r="HUS4" t="s">
        <v>63430</v>
      </c>
      <c r="HUT4">
        <v>1052216</v>
      </c>
      <c r="HUU4" t="s">
        <v>63431</v>
      </c>
      <c r="HUV4">
        <v>1052261</v>
      </c>
      <c r="HUW4" t="s">
        <v>63432</v>
      </c>
      <c r="HUX4">
        <v>1052277</v>
      </c>
      <c r="HUY4" t="s">
        <v>63433</v>
      </c>
      <c r="HUZ4">
        <v>1052295</v>
      </c>
      <c r="HVB4" t="s">
        <v>63434</v>
      </c>
      <c r="HVC4">
        <v>1052349</v>
      </c>
      <c r="HVE4" t="s">
        <v>63435</v>
      </c>
      <c r="HVF4">
        <v>1052378</v>
      </c>
      <c r="HVG4" t="s">
        <v>63436</v>
      </c>
      <c r="HVH4">
        <v>1052468</v>
      </c>
      <c r="HVI4" t="s">
        <v>63437</v>
      </c>
      <c r="HVJ4">
        <v>1052469</v>
      </c>
      <c r="HVK4" t="s">
        <v>63438</v>
      </c>
      <c r="HVL4">
        <v>1052490</v>
      </c>
      <c r="HVM4" t="s">
        <v>63439</v>
      </c>
      <c r="HVN4">
        <v>1052653</v>
      </c>
      <c r="HVO4" t="s">
        <v>63440</v>
      </c>
      <c r="HVP4">
        <v>1052664</v>
      </c>
      <c r="HVR4" t="s">
        <v>63441</v>
      </c>
      <c r="HVS4">
        <v>1052672</v>
      </c>
      <c r="HVT4" t="s">
        <v>63442</v>
      </c>
      <c r="HVU4">
        <v>1052697</v>
      </c>
      <c r="HVV4" t="s">
        <v>63443</v>
      </c>
      <c r="HVW4">
        <v>1052723</v>
      </c>
      <c r="HVX4" t="s">
        <v>63444</v>
      </c>
      <c r="HVY4">
        <v>1052730</v>
      </c>
      <c r="HVZ4" t="s">
        <v>63445</v>
      </c>
      <c r="HWA4">
        <v>1052884</v>
      </c>
      <c r="HWC4" t="s">
        <v>63446</v>
      </c>
      <c r="HWD4">
        <v>1053393</v>
      </c>
      <c r="HWE4" t="s">
        <v>63447</v>
      </c>
      <c r="HWF4">
        <v>1055039</v>
      </c>
      <c r="HWG4" t="s">
        <v>63448</v>
      </c>
      <c r="HWH4">
        <v>1055519</v>
      </c>
      <c r="HWI4" t="s">
        <v>63449</v>
      </c>
      <c r="HWJ4">
        <v>1055557</v>
      </c>
      <c r="HWK4" t="s">
        <v>63450</v>
      </c>
      <c r="HWL4">
        <v>1055588</v>
      </c>
      <c r="HWM4" t="s">
        <v>63451</v>
      </c>
      <c r="HWN4">
        <v>1055681</v>
      </c>
      <c r="HWO4" t="s">
        <v>63452</v>
      </c>
      <c r="HWP4">
        <v>1055873</v>
      </c>
      <c r="HWQ4" t="s">
        <v>63453</v>
      </c>
      <c r="HWR4">
        <v>1055926</v>
      </c>
      <c r="HWT4" t="s">
        <v>63454</v>
      </c>
      <c r="HWU4">
        <v>1055983</v>
      </c>
      <c r="HWV4" t="s">
        <v>63455</v>
      </c>
      <c r="HWW4">
        <v>1055996</v>
      </c>
      <c r="HWX4" t="s">
        <v>63456</v>
      </c>
      <c r="HWY4">
        <v>1056034</v>
      </c>
      <c r="HXA4" t="s">
        <v>63457</v>
      </c>
      <c r="HXB4">
        <v>1056112</v>
      </c>
      <c r="HXC4" t="s">
        <v>63458</v>
      </c>
      <c r="HXD4">
        <v>1056139</v>
      </c>
      <c r="HXF4" t="s">
        <v>63459</v>
      </c>
      <c r="HXG4">
        <v>1056253</v>
      </c>
      <c r="HXH4" t="s">
        <v>63460</v>
      </c>
      <c r="HXI4">
        <v>1056333</v>
      </c>
      <c r="HXJ4" t="s">
        <v>63461</v>
      </c>
      <c r="HXK4">
        <v>1056348</v>
      </c>
      <c r="HXL4" t="s">
        <v>63462</v>
      </c>
      <c r="HXM4">
        <v>1056976</v>
      </c>
      <c r="HXN4" t="s">
        <v>63463</v>
      </c>
      <c r="HXO4">
        <v>1057080</v>
      </c>
      <c r="HXP4" t="s">
        <v>63464</v>
      </c>
      <c r="HXQ4">
        <v>1057095</v>
      </c>
      <c r="HXR4" t="s">
        <v>63465</v>
      </c>
      <c r="HXS4">
        <v>1057160</v>
      </c>
      <c r="HXT4" t="s">
        <v>63466</v>
      </c>
      <c r="HXU4">
        <v>1057187</v>
      </c>
      <c r="HXV4" t="s">
        <v>63467</v>
      </c>
      <c r="HXW4">
        <v>1057190</v>
      </c>
      <c r="HXX4" t="s">
        <v>63468</v>
      </c>
      <c r="HXY4">
        <v>1057332</v>
      </c>
      <c r="HXZ4" t="s">
        <v>63469</v>
      </c>
      <c r="HYA4">
        <v>1057372</v>
      </c>
      <c r="HYB4" t="s">
        <v>63470</v>
      </c>
      <c r="HYC4">
        <v>1057387</v>
      </c>
      <c r="HYD4" t="s">
        <v>63471</v>
      </c>
      <c r="HYE4">
        <v>1057444</v>
      </c>
      <c r="HYF4" t="s">
        <v>63472</v>
      </c>
      <c r="HYG4">
        <v>1057487</v>
      </c>
      <c r="HYH4" t="s">
        <v>63473</v>
      </c>
      <c r="HYI4">
        <v>1057530</v>
      </c>
      <c r="HYJ4" t="s">
        <v>63474</v>
      </c>
      <c r="HYK4">
        <v>1057562</v>
      </c>
      <c r="HYL4" t="s">
        <v>63475</v>
      </c>
      <c r="HYM4">
        <v>1057604</v>
      </c>
      <c r="HYN4" t="s">
        <v>63476</v>
      </c>
      <c r="HYO4">
        <v>1057633</v>
      </c>
      <c r="HYP4" t="s">
        <v>63477</v>
      </c>
      <c r="HYQ4">
        <v>1057672</v>
      </c>
      <c r="HYR4" t="s">
        <v>63478</v>
      </c>
      <c r="HYS4">
        <v>1057755</v>
      </c>
      <c r="HYT4" t="s">
        <v>63479</v>
      </c>
      <c r="HYU4">
        <v>1057770</v>
      </c>
      <c r="HYV4" t="s">
        <v>63480</v>
      </c>
      <c r="HYW4">
        <v>1057806</v>
      </c>
      <c r="HYX4" t="s">
        <v>63481</v>
      </c>
      <c r="HYY4">
        <v>1057838</v>
      </c>
      <c r="HYZ4" t="s">
        <v>63482</v>
      </c>
      <c r="HZA4">
        <v>1057850</v>
      </c>
      <c r="HZB4" t="s">
        <v>63483</v>
      </c>
      <c r="HZC4">
        <v>1058097</v>
      </c>
      <c r="HZD4" t="s">
        <v>63484</v>
      </c>
      <c r="HZE4">
        <v>1058176</v>
      </c>
      <c r="HZF4" t="s">
        <v>63485</v>
      </c>
      <c r="HZG4">
        <v>1058190</v>
      </c>
      <c r="HZH4" t="s">
        <v>63486</v>
      </c>
      <c r="HZI4">
        <v>1058240</v>
      </c>
      <c r="HZJ4" t="s">
        <v>63487</v>
      </c>
      <c r="HZK4">
        <v>1058249</v>
      </c>
      <c r="HZL4" t="s">
        <v>63488</v>
      </c>
      <c r="HZM4">
        <v>1058365</v>
      </c>
      <c r="HZN4" t="s">
        <v>63489</v>
      </c>
      <c r="HZO4">
        <v>1058387</v>
      </c>
      <c r="HZP4" t="s">
        <v>63490</v>
      </c>
      <c r="HZQ4">
        <v>1058398</v>
      </c>
      <c r="HZR4" t="s">
        <v>63491</v>
      </c>
      <c r="HZS4">
        <v>1058407</v>
      </c>
      <c r="HZT4" t="s">
        <v>63492</v>
      </c>
      <c r="HZU4">
        <v>1058417</v>
      </c>
      <c r="HZV4" t="s">
        <v>63493</v>
      </c>
      <c r="HZW4">
        <v>1058439</v>
      </c>
      <c r="HZX4" t="s">
        <v>63494</v>
      </c>
      <c r="HZY4">
        <v>1058491</v>
      </c>
      <c r="HZZ4" t="s">
        <v>63495</v>
      </c>
      <c r="IAA4">
        <v>1058551</v>
      </c>
      <c r="IAB4" t="s">
        <v>63496</v>
      </c>
      <c r="IAC4">
        <v>1058610</v>
      </c>
      <c r="IAD4" t="s">
        <v>63497</v>
      </c>
      <c r="IAE4">
        <v>1058630</v>
      </c>
      <c r="IAF4" t="s">
        <v>63498</v>
      </c>
      <c r="IAG4">
        <v>1058655</v>
      </c>
      <c r="IAH4" t="s">
        <v>63499</v>
      </c>
      <c r="IAI4">
        <v>1058716</v>
      </c>
      <c r="IAJ4" t="s">
        <v>63500</v>
      </c>
      <c r="IAK4">
        <v>1058758</v>
      </c>
      <c r="IAL4" t="s">
        <v>63501</v>
      </c>
      <c r="IAM4">
        <v>1058793</v>
      </c>
      <c r="IAN4" t="s">
        <v>63502</v>
      </c>
      <c r="IAO4">
        <v>1058810</v>
      </c>
      <c r="IAP4" t="s">
        <v>63503</v>
      </c>
      <c r="IAQ4">
        <v>1058933</v>
      </c>
      <c r="IAR4" t="s">
        <v>63504</v>
      </c>
      <c r="IAS4">
        <v>1058976</v>
      </c>
      <c r="IAT4" t="s">
        <v>63505</v>
      </c>
      <c r="IAU4">
        <v>1058987</v>
      </c>
      <c r="IAV4" t="s">
        <v>63506</v>
      </c>
      <c r="IAW4">
        <v>1059028</v>
      </c>
      <c r="IAX4" t="s">
        <v>63507</v>
      </c>
      <c r="IAY4">
        <v>1059046</v>
      </c>
      <c r="IAZ4" t="s">
        <v>63508</v>
      </c>
      <c r="IBA4">
        <v>1059135</v>
      </c>
      <c r="IBB4" t="s">
        <v>63509</v>
      </c>
      <c r="IBC4">
        <v>1059152</v>
      </c>
      <c r="IBD4" t="s">
        <v>63510</v>
      </c>
      <c r="IBE4">
        <v>1059210</v>
      </c>
      <c r="IBF4" t="s">
        <v>63511</v>
      </c>
      <c r="IBG4">
        <v>1059219</v>
      </c>
      <c r="IBH4" t="s">
        <v>63512</v>
      </c>
      <c r="IBI4">
        <v>1059242</v>
      </c>
      <c r="IBJ4" t="s">
        <v>63513</v>
      </c>
      <c r="IBK4">
        <v>1059253</v>
      </c>
      <c r="IBL4" t="s">
        <v>63514</v>
      </c>
      <c r="IBM4">
        <v>1059259</v>
      </c>
      <c r="IBN4" t="s">
        <v>63515</v>
      </c>
      <c r="IBO4">
        <v>1059389</v>
      </c>
      <c r="IBP4" t="s">
        <v>63516</v>
      </c>
      <c r="IBQ4">
        <v>1059395</v>
      </c>
      <c r="IBR4" t="s">
        <v>63517</v>
      </c>
      <c r="IBS4">
        <v>1059398</v>
      </c>
      <c r="IBT4" t="s">
        <v>63518</v>
      </c>
      <c r="IBU4">
        <v>1059408</v>
      </c>
      <c r="IBV4" t="s">
        <v>63519</v>
      </c>
      <c r="IBW4">
        <v>1059419</v>
      </c>
      <c r="IBX4" t="s">
        <v>63520</v>
      </c>
      <c r="IBY4">
        <v>1059507</v>
      </c>
      <c r="IBZ4" t="s">
        <v>63521</v>
      </c>
      <c r="ICA4">
        <v>1059571</v>
      </c>
      <c r="ICB4" t="s">
        <v>63522</v>
      </c>
      <c r="ICC4">
        <v>1059578</v>
      </c>
      <c r="ICD4" t="s">
        <v>63523</v>
      </c>
      <c r="ICE4">
        <v>1059637</v>
      </c>
      <c r="ICF4" t="s">
        <v>63524</v>
      </c>
      <c r="ICG4">
        <v>1059644</v>
      </c>
      <c r="ICH4" t="s">
        <v>63525</v>
      </c>
      <c r="ICI4">
        <v>1059736</v>
      </c>
      <c r="ICJ4" t="s">
        <v>63526</v>
      </c>
      <c r="ICK4">
        <v>1062692</v>
      </c>
      <c r="ICL4" t="s">
        <v>63527</v>
      </c>
      <c r="ICM4">
        <v>1062726</v>
      </c>
      <c r="ICN4" t="s">
        <v>63528</v>
      </c>
      <c r="ICO4">
        <v>1062743</v>
      </c>
      <c r="ICP4" t="s">
        <v>63529</v>
      </c>
      <c r="ICQ4">
        <v>1062746</v>
      </c>
      <c r="ICS4" t="s">
        <v>63530</v>
      </c>
      <c r="ICT4">
        <v>1062776</v>
      </c>
      <c r="ICU4" t="s">
        <v>63531</v>
      </c>
      <c r="ICV4">
        <v>1062778</v>
      </c>
      <c r="ICW4" t="s">
        <v>63532</v>
      </c>
      <c r="ICX4">
        <v>1062787</v>
      </c>
      <c r="ICY4" t="s">
        <v>63533</v>
      </c>
      <c r="ICZ4">
        <v>1062794</v>
      </c>
      <c r="IDA4" t="s">
        <v>63534</v>
      </c>
      <c r="IDB4">
        <v>1062825</v>
      </c>
      <c r="IDC4" t="s">
        <v>63535</v>
      </c>
      <c r="IDD4">
        <v>1062865</v>
      </c>
      <c r="IDE4" t="s">
        <v>63536</v>
      </c>
      <c r="IDF4">
        <v>1062883</v>
      </c>
      <c r="IDG4" t="s">
        <v>63537</v>
      </c>
      <c r="IDH4">
        <v>1062934</v>
      </c>
      <c r="IDI4" t="s">
        <v>63538</v>
      </c>
      <c r="IDJ4">
        <v>1062950</v>
      </c>
      <c r="IDK4" t="s">
        <v>63539</v>
      </c>
      <c r="IDL4">
        <v>1062985</v>
      </c>
      <c r="IDM4" t="s">
        <v>63540</v>
      </c>
      <c r="IDN4">
        <v>1063028</v>
      </c>
      <c r="IDO4" t="s">
        <v>63541</v>
      </c>
      <c r="IDP4">
        <v>1063054</v>
      </c>
      <c r="IDQ4" t="s">
        <v>63542</v>
      </c>
      <c r="IDR4">
        <v>1063102</v>
      </c>
      <c r="IDS4" t="s">
        <v>63543</v>
      </c>
      <c r="IDT4">
        <v>1063574</v>
      </c>
      <c r="IDU4" t="s">
        <v>63544</v>
      </c>
      <c r="IDV4">
        <v>1063583</v>
      </c>
      <c r="IDW4" t="s">
        <v>63545</v>
      </c>
      <c r="IDX4">
        <v>1063635</v>
      </c>
      <c r="IDY4" t="s">
        <v>63546</v>
      </c>
      <c r="IDZ4">
        <v>1063773</v>
      </c>
      <c r="IEA4" t="s">
        <v>63547</v>
      </c>
      <c r="IEB4">
        <v>1063790</v>
      </c>
      <c r="IEC4" t="s">
        <v>63548</v>
      </c>
      <c r="IED4">
        <v>1063801</v>
      </c>
      <c r="IEE4" t="s">
        <v>63549</v>
      </c>
      <c r="IEF4">
        <v>1063833</v>
      </c>
      <c r="IEG4" t="s">
        <v>63550</v>
      </c>
      <c r="IEH4">
        <v>1063849</v>
      </c>
      <c r="IEI4" t="s">
        <v>63551</v>
      </c>
      <c r="IEJ4">
        <v>1063880</v>
      </c>
      <c r="IEL4" t="s">
        <v>63552</v>
      </c>
      <c r="IEM4">
        <v>1063995</v>
      </c>
      <c r="IEN4" t="s">
        <v>63553</v>
      </c>
      <c r="IEO4">
        <v>1064000</v>
      </c>
      <c r="IEP4" t="s">
        <v>63554</v>
      </c>
      <c r="IEQ4">
        <v>1064048</v>
      </c>
      <c r="IER4" t="s">
        <v>63555</v>
      </c>
      <c r="IES4">
        <v>1064059</v>
      </c>
      <c r="IET4" t="s">
        <v>63556</v>
      </c>
      <c r="IEU4">
        <v>1064066</v>
      </c>
      <c r="IEV4" t="s">
        <v>63557</v>
      </c>
      <c r="IEW4">
        <v>1064077</v>
      </c>
      <c r="IEX4" t="s">
        <v>63558</v>
      </c>
      <c r="IEY4">
        <v>1064174</v>
      </c>
      <c r="IEZ4" t="s">
        <v>63559</v>
      </c>
      <c r="IFA4">
        <v>1064200</v>
      </c>
      <c r="IFB4" t="s">
        <v>63560</v>
      </c>
      <c r="IFC4">
        <v>1064217</v>
      </c>
      <c r="IFD4" t="s">
        <v>63561</v>
      </c>
      <c r="IFE4">
        <v>1064239</v>
      </c>
      <c r="IFF4" t="s">
        <v>63562</v>
      </c>
      <c r="IFG4">
        <v>1064252</v>
      </c>
      <c r="IFH4" t="s">
        <v>63563</v>
      </c>
      <c r="IFI4">
        <v>1064253</v>
      </c>
      <c r="IFJ4" t="s">
        <v>63564</v>
      </c>
      <c r="IFK4">
        <v>1064259</v>
      </c>
      <c r="IFL4" t="s">
        <v>63565</v>
      </c>
      <c r="IFM4">
        <v>1064266</v>
      </c>
      <c r="IFN4" t="s">
        <v>63566</v>
      </c>
      <c r="IFO4">
        <v>1064337</v>
      </c>
      <c r="IFP4" t="s">
        <v>63567</v>
      </c>
      <c r="IFQ4">
        <v>1064351</v>
      </c>
      <c r="IFR4" t="s">
        <v>63568</v>
      </c>
      <c r="IFS4">
        <v>1064381</v>
      </c>
      <c r="IFT4" t="s">
        <v>63569</v>
      </c>
      <c r="IFU4">
        <v>1064427</v>
      </c>
      <c r="IFV4" t="s">
        <v>63570</v>
      </c>
      <c r="IFW4">
        <v>1064452</v>
      </c>
      <c r="IFX4" t="s">
        <v>63571</v>
      </c>
      <c r="IFY4">
        <v>1064516</v>
      </c>
      <c r="IFZ4" t="s">
        <v>63572</v>
      </c>
      <c r="IGA4">
        <v>1064560</v>
      </c>
      <c r="IGC4" t="s">
        <v>63573</v>
      </c>
      <c r="IGD4">
        <v>1064864</v>
      </c>
      <c r="IGE4" t="s">
        <v>63574</v>
      </c>
      <c r="IGF4">
        <v>1064945</v>
      </c>
      <c r="IGG4" t="s">
        <v>63575</v>
      </c>
      <c r="IGH4">
        <v>1065033</v>
      </c>
      <c r="IGI4" t="s">
        <v>63576</v>
      </c>
      <c r="IGJ4">
        <v>1067554</v>
      </c>
      <c r="IGK4" t="s">
        <v>63577</v>
      </c>
      <c r="IGL4">
        <v>1067571</v>
      </c>
      <c r="IGM4" t="s">
        <v>63578</v>
      </c>
      <c r="IGN4">
        <v>1067598</v>
      </c>
      <c r="IGO4" t="s">
        <v>63579</v>
      </c>
      <c r="IGP4">
        <v>1067779</v>
      </c>
      <c r="IGQ4" t="s">
        <v>63580</v>
      </c>
      <c r="IGR4">
        <v>1068469</v>
      </c>
      <c r="IGS4" t="s">
        <v>63581</v>
      </c>
      <c r="IGT4">
        <v>1068477</v>
      </c>
      <c r="IGU4" t="s">
        <v>63582</v>
      </c>
      <c r="IGV4">
        <v>1068485</v>
      </c>
      <c r="IGW4" t="s">
        <v>63583</v>
      </c>
      <c r="IGX4">
        <v>1068550</v>
      </c>
      <c r="IGY4" t="s">
        <v>63584</v>
      </c>
      <c r="IGZ4">
        <v>1068586</v>
      </c>
      <c r="IHA4" t="s">
        <v>63585</v>
      </c>
      <c r="IHB4">
        <v>1068594</v>
      </c>
      <c r="IHC4" t="s">
        <v>63586</v>
      </c>
      <c r="IHD4">
        <v>1068643</v>
      </c>
      <c r="IHE4" t="s">
        <v>63587</v>
      </c>
      <c r="IHF4">
        <v>1068661</v>
      </c>
      <c r="IHG4" t="s">
        <v>63588</v>
      </c>
      <c r="IHH4">
        <v>1068752</v>
      </c>
      <c r="IHJ4" t="s">
        <v>63589</v>
      </c>
      <c r="IHK4">
        <v>1068757</v>
      </c>
      <c r="IHM4" t="s">
        <v>63590</v>
      </c>
      <c r="IHN4">
        <v>1068811</v>
      </c>
      <c r="IHO4" t="s">
        <v>63591</v>
      </c>
      <c r="IHP4">
        <v>1068920</v>
      </c>
      <c r="IHQ4" t="s">
        <v>63592</v>
      </c>
      <c r="IHR4">
        <v>1072002</v>
      </c>
      <c r="IHS4" t="s">
        <v>63593</v>
      </c>
      <c r="IHT4">
        <v>1072019</v>
      </c>
      <c r="IHU4" t="s">
        <v>63594</v>
      </c>
      <c r="IHV4">
        <v>1072147</v>
      </c>
      <c r="IHW4" t="s">
        <v>63595</v>
      </c>
      <c r="IHX4">
        <v>1072160</v>
      </c>
      <c r="IHY4" t="s">
        <v>63596</v>
      </c>
      <c r="IHZ4">
        <v>1072163</v>
      </c>
      <c r="IIA4" t="s">
        <v>63597</v>
      </c>
      <c r="IIB4">
        <v>1072176</v>
      </c>
      <c r="IIC4" t="s">
        <v>63598</v>
      </c>
      <c r="IID4">
        <v>1072210</v>
      </c>
      <c r="IIE4" t="s">
        <v>63599</v>
      </c>
      <c r="IIF4">
        <v>1072216</v>
      </c>
      <c r="IIG4" t="s">
        <v>63600</v>
      </c>
      <c r="IIH4">
        <v>1072217</v>
      </c>
      <c r="III4" t="s">
        <v>63601</v>
      </c>
      <c r="IIJ4">
        <v>1072243</v>
      </c>
      <c r="IIK4" t="s">
        <v>63602</v>
      </c>
      <c r="IIL4">
        <v>1072471</v>
      </c>
      <c r="IIN4" t="s">
        <v>63603</v>
      </c>
      <c r="IIO4">
        <v>1074456</v>
      </c>
      <c r="IIP4" t="s">
        <v>63604</v>
      </c>
      <c r="IIQ4">
        <v>1074865</v>
      </c>
      <c r="IIR4" t="s">
        <v>63605</v>
      </c>
      <c r="IIS4">
        <v>1074891</v>
      </c>
      <c r="IIT4" t="s">
        <v>63606</v>
      </c>
      <c r="IIU4">
        <v>1074899</v>
      </c>
      <c r="IIV4" t="s">
        <v>63607</v>
      </c>
      <c r="IIW4">
        <v>1074921</v>
      </c>
      <c r="IIX4" t="s">
        <v>63608</v>
      </c>
      <c r="IIY4">
        <v>1074923</v>
      </c>
      <c r="IIZ4" t="s">
        <v>63609</v>
      </c>
      <c r="IJA4">
        <v>1076967</v>
      </c>
      <c r="IJB4" t="s">
        <v>63610</v>
      </c>
      <c r="IJC4">
        <v>1077009</v>
      </c>
      <c r="IJD4" t="s">
        <v>63611</v>
      </c>
      <c r="IJE4">
        <v>1077029</v>
      </c>
      <c r="IJF4" t="s">
        <v>63612</v>
      </c>
      <c r="IJG4">
        <v>1077043</v>
      </c>
      <c r="IJH4" t="s">
        <v>63613</v>
      </c>
      <c r="IJI4">
        <v>1077405</v>
      </c>
      <c r="IJJ4" t="s">
        <v>63614</v>
      </c>
      <c r="IJK4">
        <v>1077436</v>
      </c>
      <c r="IJL4" t="s">
        <v>63615</v>
      </c>
      <c r="IJM4">
        <v>1077507</v>
      </c>
      <c r="IJN4" t="s">
        <v>63616</v>
      </c>
      <c r="IJO4">
        <v>1077636</v>
      </c>
      <c r="IJP4" t="s">
        <v>63617</v>
      </c>
      <c r="IJQ4">
        <v>1077662</v>
      </c>
      <c r="IJR4" t="s">
        <v>63618</v>
      </c>
      <c r="IJS4">
        <v>1077692</v>
      </c>
      <c r="IJT4" t="s">
        <v>63619</v>
      </c>
      <c r="IJU4">
        <v>1077722</v>
      </c>
      <c r="IJV4" t="s">
        <v>63620</v>
      </c>
      <c r="IJW4">
        <v>1077734</v>
      </c>
      <c r="IJX4" t="s">
        <v>63621</v>
      </c>
      <c r="IJY4">
        <v>1077794</v>
      </c>
      <c r="IJZ4" t="s">
        <v>63622</v>
      </c>
      <c r="IKA4">
        <v>1081885</v>
      </c>
      <c r="IKB4" t="s">
        <v>63623</v>
      </c>
      <c r="IKC4">
        <v>1081908</v>
      </c>
      <c r="IKD4" t="s">
        <v>63624</v>
      </c>
      <c r="IKE4">
        <v>1081914</v>
      </c>
      <c r="IKF4" t="s">
        <v>63625</v>
      </c>
      <c r="IKG4">
        <v>1081920</v>
      </c>
      <c r="IKH4" t="s">
        <v>63626</v>
      </c>
      <c r="IKI4">
        <v>1081930</v>
      </c>
      <c r="IKJ4" t="s">
        <v>63627</v>
      </c>
      <c r="IKK4">
        <v>1081938</v>
      </c>
      <c r="IKL4" t="s">
        <v>63628</v>
      </c>
      <c r="IKM4">
        <v>1081944</v>
      </c>
      <c r="IKN4" t="s">
        <v>63629</v>
      </c>
      <c r="IKO4">
        <v>1081951</v>
      </c>
      <c r="IKP4" t="s">
        <v>63630</v>
      </c>
      <c r="IKQ4">
        <v>1082364</v>
      </c>
      <c r="IKR4" t="s">
        <v>63631</v>
      </c>
      <c r="IKS4">
        <v>1082414</v>
      </c>
      <c r="IKT4" t="s">
        <v>63632</v>
      </c>
      <c r="IKU4">
        <v>1082487</v>
      </c>
      <c r="IKV4" t="s">
        <v>63633</v>
      </c>
      <c r="IKW4">
        <v>1082610</v>
      </c>
      <c r="IKX4" t="s">
        <v>63634</v>
      </c>
      <c r="IKY4">
        <v>1083706</v>
      </c>
      <c r="IKZ4" t="s">
        <v>63635</v>
      </c>
      <c r="ILA4">
        <v>1083738</v>
      </c>
      <c r="ILB4" t="s">
        <v>63636</v>
      </c>
      <c r="ILC4">
        <v>1083744</v>
      </c>
      <c r="ILD4" t="s">
        <v>63637</v>
      </c>
      <c r="ILE4">
        <v>1083785</v>
      </c>
      <c r="ILF4" t="s">
        <v>63638</v>
      </c>
      <c r="ILG4">
        <v>1083792</v>
      </c>
      <c r="ILH4" t="s">
        <v>63639</v>
      </c>
      <c r="ILI4">
        <v>1083816</v>
      </c>
      <c r="ILJ4" t="s">
        <v>63640</v>
      </c>
      <c r="ILK4">
        <v>1083821</v>
      </c>
      <c r="ILL4" t="s">
        <v>63641</v>
      </c>
      <c r="ILM4">
        <v>1083864</v>
      </c>
      <c r="ILN4" t="s">
        <v>63642</v>
      </c>
      <c r="ILO4">
        <v>1083874</v>
      </c>
      <c r="ILP4" t="s">
        <v>63643</v>
      </c>
      <c r="ILQ4">
        <v>1083920</v>
      </c>
      <c r="ILR4" t="s">
        <v>63644</v>
      </c>
      <c r="ILS4">
        <v>1083926</v>
      </c>
      <c r="ILT4" t="s">
        <v>63645</v>
      </c>
      <c r="ILU4">
        <v>1083965</v>
      </c>
      <c r="ILV4" t="s">
        <v>63646</v>
      </c>
      <c r="ILW4">
        <v>1083972</v>
      </c>
      <c r="ILX4" t="s">
        <v>63647</v>
      </c>
      <c r="ILY4">
        <v>1084007</v>
      </c>
      <c r="ILZ4" t="s">
        <v>63648</v>
      </c>
      <c r="IMA4">
        <v>1084015</v>
      </c>
      <c r="IMB4" t="s">
        <v>63649</v>
      </c>
      <c r="IMC4">
        <v>1084100</v>
      </c>
      <c r="IMD4" t="s">
        <v>63650</v>
      </c>
      <c r="IME4">
        <v>1084109</v>
      </c>
      <c r="IMF4" t="s">
        <v>63651</v>
      </c>
      <c r="IMG4">
        <v>1084149</v>
      </c>
      <c r="IMH4" t="s">
        <v>63652</v>
      </c>
      <c r="IMI4">
        <v>1084155</v>
      </c>
      <c r="IMJ4" t="s">
        <v>63653</v>
      </c>
      <c r="IMK4">
        <v>1084173</v>
      </c>
      <c r="IMM4" t="s">
        <v>63654</v>
      </c>
      <c r="IMN4">
        <v>1084189</v>
      </c>
      <c r="IMO4" t="s">
        <v>63655</v>
      </c>
      <c r="IMP4">
        <v>1084214</v>
      </c>
      <c r="IMQ4" t="s">
        <v>63656</v>
      </c>
      <c r="IMR4">
        <v>1084221</v>
      </c>
      <c r="IMS4" t="s">
        <v>63657</v>
      </c>
      <c r="IMT4">
        <v>1084247</v>
      </c>
      <c r="IMU4" t="s">
        <v>63658</v>
      </c>
      <c r="IMV4">
        <v>1084417</v>
      </c>
      <c r="IMW4" t="s">
        <v>63659</v>
      </c>
      <c r="IMX4">
        <v>1084423</v>
      </c>
      <c r="IMY4" t="s">
        <v>63660</v>
      </c>
      <c r="IMZ4">
        <v>1084462</v>
      </c>
      <c r="INA4" t="s">
        <v>63661</v>
      </c>
      <c r="INB4">
        <v>1084468</v>
      </c>
      <c r="INC4" t="s">
        <v>63662</v>
      </c>
      <c r="IND4">
        <v>1084519</v>
      </c>
      <c r="INE4" t="s">
        <v>63663</v>
      </c>
      <c r="INF4">
        <v>1084581</v>
      </c>
      <c r="ING4" t="s">
        <v>63664</v>
      </c>
      <c r="INH4">
        <v>1086193</v>
      </c>
      <c r="INI4" t="s">
        <v>63665</v>
      </c>
      <c r="INJ4">
        <v>1086235</v>
      </c>
      <c r="INK4" t="s">
        <v>63666</v>
      </c>
      <c r="INL4">
        <v>1086237</v>
      </c>
      <c r="INM4" t="s">
        <v>63667</v>
      </c>
      <c r="INN4">
        <v>1086260</v>
      </c>
      <c r="INO4" t="s">
        <v>63668</v>
      </c>
      <c r="INP4">
        <v>1091844</v>
      </c>
      <c r="INQ4" t="s">
        <v>63669</v>
      </c>
      <c r="INR4">
        <v>1091849</v>
      </c>
      <c r="INS4" t="s">
        <v>63670</v>
      </c>
      <c r="INT4">
        <v>1091886</v>
      </c>
      <c r="INU4" t="s">
        <v>63671</v>
      </c>
      <c r="INV4">
        <v>1091994</v>
      </c>
      <c r="INW4" t="s">
        <v>63672</v>
      </c>
      <c r="INX4">
        <v>1092001</v>
      </c>
      <c r="INY4" t="s">
        <v>63673</v>
      </c>
      <c r="INZ4">
        <v>1092011</v>
      </c>
      <c r="IOA4" t="s">
        <v>63674</v>
      </c>
      <c r="IOB4">
        <v>1092017</v>
      </c>
      <c r="IOC4" t="s">
        <v>63675</v>
      </c>
      <c r="IOD4">
        <v>1092053</v>
      </c>
      <c r="IOE4" t="s">
        <v>63676</v>
      </c>
      <c r="IOF4">
        <v>1092178</v>
      </c>
      <c r="IOG4" t="s">
        <v>63677</v>
      </c>
      <c r="IOH4">
        <v>1092185</v>
      </c>
      <c r="IOI4" t="s">
        <v>63678</v>
      </c>
      <c r="IOJ4">
        <v>1095056</v>
      </c>
      <c r="IOK4" t="s">
        <v>63679</v>
      </c>
      <c r="IOL4">
        <v>1095065</v>
      </c>
      <c r="IOM4" t="s">
        <v>63680</v>
      </c>
      <c r="ION4">
        <v>1096376</v>
      </c>
      <c r="IOO4" t="s">
        <v>63681</v>
      </c>
      <c r="IOP4">
        <v>1096407</v>
      </c>
      <c r="IOQ4" t="s">
        <v>63682</v>
      </c>
      <c r="IOR4">
        <v>1096416</v>
      </c>
      <c r="IOS4" t="s">
        <v>63683</v>
      </c>
      <c r="IOT4">
        <v>1096451</v>
      </c>
      <c r="IOU4" t="s">
        <v>63684</v>
      </c>
      <c r="IOV4">
        <v>1096606</v>
      </c>
      <c r="IOW4" t="s">
        <v>63685</v>
      </c>
      <c r="IOX4">
        <v>1096879</v>
      </c>
      <c r="IOY4" t="s">
        <v>63686</v>
      </c>
      <c r="IOZ4">
        <v>1096891</v>
      </c>
      <c r="IPA4" t="s">
        <v>63687</v>
      </c>
      <c r="IPB4">
        <v>1098131</v>
      </c>
      <c r="IPC4" t="s">
        <v>63688</v>
      </c>
      <c r="IPD4">
        <v>1098415</v>
      </c>
      <c r="IPE4" t="s">
        <v>63689</v>
      </c>
      <c r="IPF4">
        <v>1098477</v>
      </c>
      <c r="IPG4" t="s">
        <v>63690</v>
      </c>
      <c r="IPH4">
        <v>1099823</v>
      </c>
      <c r="IPI4" t="s">
        <v>63691</v>
      </c>
      <c r="IPJ4">
        <v>1100053</v>
      </c>
      <c r="IPK4" t="s">
        <v>63692</v>
      </c>
      <c r="IPL4">
        <v>1100054</v>
      </c>
      <c r="IPM4" t="s">
        <v>63693</v>
      </c>
      <c r="IPN4">
        <v>1100062</v>
      </c>
      <c r="IPO4" t="s">
        <v>63694</v>
      </c>
      <c r="IPP4">
        <v>1101833</v>
      </c>
      <c r="IPQ4" t="s">
        <v>63695</v>
      </c>
      <c r="IPR4">
        <v>1101951</v>
      </c>
      <c r="IPS4" t="s">
        <v>63696</v>
      </c>
      <c r="IPT4">
        <v>1105365</v>
      </c>
      <c r="IPU4" t="s">
        <v>63697</v>
      </c>
      <c r="IPV4">
        <v>1105372</v>
      </c>
      <c r="IPW4" t="s">
        <v>63698</v>
      </c>
      <c r="IPX4">
        <v>1105779</v>
      </c>
      <c r="IPY4" t="s">
        <v>63699</v>
      </c>
      <c r="IPZ4">
        <v>1105784</v>
      </c>
      <c r="IQA4" t="s">
        <v>63700</v>
      </c>
      <c r="IQB4">
        <v>1105795</v>
      </c>
      <c r="IQC4" t="s">
        <v>63701</v>
      </c>
      <c r="IQD4">
        <v>1105882</v>
      </c>
      <c r="IQE4" t="s">
        <v>63702</v>
      </c>
      <c r="IQF4">
        <v>1105890</v>
      </c>
      <c r="IQG4" t="s">
        <v>63703</v>
      </c>
      <c r="IQH4">
        <v>1105918</v>
      </c>
      <c r="IQI4" t="s">
        <v>63704</v>
      </c>
      <c r="IQJ4">
        <v>1106086</v>
      </c>
      <c r="IQK4" t="s">
        <v>63705</v>
      </c>
      <c r="IQL4">
        <v>1106097</v>
      </c>
      <c r="IQM4" t="s">
        <v>63706</v>
      </c>
      <c r="IQN4">
        <v>1106151</v>
      </c>
      <c r="IQO4" t="s">
        <v>63707</v>
      </c>
      <c r="IQP4">
        <v>1106181</v>
      </c>
      <c r="IQQ4" t="s">
        <v>63708</v>
      </c>
      <c r="IQR4">
        <v>1106189</v>
      </c>
      <c r="IQS4" t="s">
        <v>63709</v>
      </c>
      <c r="IQT4">
        <v>1106215</v>
      </c>
      <c r="IQU4" t="s">
        <v>63710</v>
      </c>
      <c r="IQV4">
        <v>1106219</v>
      </c>
      <c r="IQW4" t="s">
        <v>63711</v>
      </c>
      <c r="IQX4">
        <v>1106242</v>
      </c>
      <c r="IQY4" t="s">
        <v>63712</v>
      </c>
      <c r="IQZ4">
        <v>1106250</v>
      </c>
      <c r="IRA4" t="s">
        <v>63713</v>
      </c>
      <c r="IRB4">
        <v>1106256</v>
      </c>
      <c r="IRC4" t="s">
        <v>63714</v>
      </c>
      <c r="IRD4">
        <v>1106257</v>
      </c>
      <c r="IRE4" t="s">
        <v>63715</v>
      </c>
      <c r="IRF4">
        <v>1106291</v>
      </c>
      <c r="IRG4" t="s">
        <v>63716</v>
      </c>
      <c r="IRH4">
        <v>1106296</v>
      </c>
      <c r="IRI4" t="s">
        <v>63717</v>
      </c>
      <c r="IRJ4">
        <v>1106307</v>
      </c>
      <c r="IRK4" t="s">
        <v>63718</v>
      </c>
      <c r="IRL4">
        <v>1106325</v>
      </c>
      <c r="IRM4" t="s">
        <v>63719</v>
      </c>
      <c r="IRN4">
        <v>1106352</v>
      </c>
      <c r="IRO4" t="s">
        <v>63720</v>
      </c>
      <c r="IRP4">
        <v>1106358</v>
      </c>
      <c r="IRQ4" t="s">
        <v>63721</v>
      </c>
      <c r="IRR4">
        <v>1106381</v>
      </c>
      <c r="IRS4" t="s">
        <v>63722</v>
      </c>
      <c r="IRT4">
        <v>1106386</v>
      </c>
      <c r="IRU4" t="s">
        <v>63723</v>
      </c>
      <c r="IRV4">
        <v>1106402</v>
      </c>
      <c r="IRW4" t="s">
        <v>63724</v>
      </c>
      <c r="IRX4">
        <v>1106422</v>
      </c>
      <c r="IRY4" t="s">
        <v>63725</v>
      </c>
      <c r="IRZ4">
        <v>1106427</v>
      </c>
      <c r="ISA4" t="s">
        <v>63726</v>
      </c>
      <c r="ISB4">
        <v>1106433</v>
      </c>
      <c r="ISC4" t="s">
        <v>63727</v>
      </c>
      <c r="ISD4">
        <v>1106462</v>
      </c>
      <c r="ISE4" t="s">
        <v>63728</v>
      </c>
      <c r="ISF4">
        <v>1106466</v>
      </c>
      <c r="ISG4" t="s">
        <v>63729</v>
      </c>
      <c r="ISH4">
        <v>1106508</v>
      </c>
      <c r="ISI4" t="s">
        <v>63730</v>
      </c>
      <c r="ISJ4">
        <v>1106547</v>
      </c>
      <c r="ISK4" t="s">
        <v>63731</v>
      </c>
      <c r="ISL4">
        <v>1106564</v>
      </c>
      <c r="ISM4" t="s">
        <v>63732</v>
      </c>
      <c r="ISN4">
        <v>1106571</v>
      </c>
      <c r="ISO4" t="s">
        <v>63733</v>
      </c>
      <c r="ISP4">
        <v>1106585</v>
      </c>
      <c r="ISQ4" t="s">
        <v>63734</v>
      </c>
      <c r="ISR4">
        <v>1106614</v>
      </c>
      <c r="ISS4" t="s">
        <v>63735</v>
      </c>
      <c r="IST4">
        <v>1106622</v>
      </c>
      <c r="ISU4" t="s">
        <v>63736</v>
      </c>
      <c r="ISV4">
        <v>1106655</v>
      </c>
      <c r="ISW4" t="s">
        <v>63737</v>
      </c>
      <c r="ISX4">
        <v>1106661</v>
      </c>
      <c r="ISY4" t="s">
        <v>63738</v>
      </c>
      <c r="ISZ4">
        <v>1106697</v>
      </c>
      <c r="ITA4" t="s">
        <v>63739</v>
      </c>
      <c r="ITB4">
        <v>1106725</v>
      </c>
      <c r="ITC4" t="s">
        <v>63740</v>
      </c>
      <c r="ITD4">
        <v>1106737</v>
      </c>
      <c r="ITE4" t="s">
        <v>63741</v>
      </c>
      <c r="ITF4">
        <v>1106743</v>
      </c>
      <c r="ITG4" t="s">
        <v>63742</v>
      </c>
      <c r="ITH4">
        <v>1106784</v>
      </c>
      <c r="ITI4" t="s">
        <v>63743</v>
      </c>
      <c r="ITJ4">
        <v>1106798</v>
      </c>
      <c r="ITK4" t="s">
        <v>63744</v>
      </c>
      <c r="ITL4">
        <v>1106806</v>
      </c>
      <c r="ITM4" t="s">
        <v>63745</v>
      </c>
      <c r="ITN4">
        <v>1106844</v>
      </c>
      <c r="ITO4" t="s">
        <v>63746</v>
      </c>
      <c r="ITP4">
        <v>1106850</v>
      </c>
      <c r="ITQ4" t="s">
        <v>63747</v>
      </c>
      <c r="ITR4">
        <v>1106856</v>
      </c>
      <c r="ITS4" t="s">
        <v>63748</v>
      </c>
      <c r="ITT4">
        <v>1106875</v>
      </c>
      <c r="ITU4" t="s">
        <v>63749</v>
      </c>
      <c r="ITV4">
        <v>1106889</v>
      </c>
      <c r="ITW4" t="s">
        <v>63750</v>
      </c>
      <c r="ITX4">
        <v>1106950</v>
      </c>
      <c r="ITY4" t="s">
        <v>63751</v>
      </c>
      <c r="ITZ4">
        <v>1106963</v>
      </c>
      <c r="IUA4" t="s">
        <v>63752</v>
      </c>
      <c r="IUB4">
        <v>1106976</v>
      </c>
      <c r="IUC4" t="s">
        <v>63753</v>
      </c>
      <c r="IUD4">
        <v>1106987</v>
      </c>
      <c r="IUE4" t="s">
        <v>63754</v>
      </c>
      <c r="IUF4">
        <v>1107020</v>
      </c>
      <c r="IUH4" t="s">
        <v>63755</v>
      </c>
      <c r="IUI4">
        <v>1107027</v>
      </c>
      <c r="IUJ4" t="s">
        <v>63756</v>
      </c>
      <c r="IUK4">
        <v>1107068</v>
      </c>
      <c r="IUM4" t="s">
        <v>63757</v>
      </c>
      <c r="IUN4">
        <v>1108862</v>
      </c>
      <c r="IUO4" t="s">
        <v>63758</v>
      </c>
      <c r="IUP4">
        <v>1108950</v>
      </c>
      <c r="IUQ4" t="s">
        <v>63759</v>
      </c>
      <c r="IUR4">
        <v>1108998</v>
      </c>
      <c r="IUS4" t="s">
        <v>63760</v>
      </c>
      <c r="IUT4">
        <v>1109017</v>
      </c>
      <c r="IUU4" t="s">
        <v>63761</v>
      </c>
      <c r="IUV4">
        <v>1109060</v>
      </c>
      <c r="IUW4" t="s">
        <v>63762</v>
      </c>
      <c r="IUX4">
        <v>1109074</v>
      </c>
      <c r="IUY4" t="s">
        <v>63763</v>
      </c>
      <c r="IUZ4">
        <v>1109124</v>
      </c>
      <c r="IVA4" t="s">
        <v>63764</v>
      </c>
      <c r="IVB4">
        <v>1109193</v>
      </c>
      <c r="IVC4" t="s">
        <v>63765</v>
      </c>
      <c r="IVD4">
        <v>1109982</v>
      </c>
      <c r="IVE4" t="s">
        <v>63766</v>
      </c>
      <c r="IVF4">
        <v>1110008</v>
      </c>
      <c r="IVG4" t="s">
        <v>63767</v>
      </c>
      <c r="IVH4">
        <v>1110064</v>
      </c>
      <c r="IVI4" t="s">
        <v>63768</v>
      </c>
      <c r="IVJ4">
        <v>1110126</v>
      </c>
      <c r="IVL4" t="s">
        <v>63769</v>
      </c>
      <c r="IVM4">
        <v>1111445</v>
      </c>
      <c r="IVN4" t="s">
        <v>63770</v>
      </c>
      <c r="IVO4">
        <v>1111473</v>
      </c>
      <c r="IVP4" t="s">
        <v>63771</v>
      </c>
      <c r="IVQ4">
        <v>1111486</v>
      </c>
      <c r="IVR4" t="s">
        <v>63772</v>
      </c>
      <c r="IVS4">
        <v>1112161</v>
      </c>
      <c r="IVT4" t="s">
        <v>63773</v>
      </c>
      <c r="IVU4">
        <v>1112166</v>
      </c>
      <c r="IVV4" t="s">
        <v>63774</v>
      </c>
      <c r="IVW4">
        <v>1112195</v>
      </c>
      <c r="IVX4" t="s">
        <v>63775</v>
      </c>
      <c r="IVY4">
        <v>1112244</v>
      </c>
      <c r="IWA4" t="s">
        <v>63776</v>
      </c>
      <c r="IWB4">
        <v>1112348</v>
      </c>
      <c r="IWC4" t="s">
        <v>63777</v>
      </c>
      <c r="IWD4">
        <v>1112355</v>
      </c>
      <c r="IWE4" t="s">
        <v>63778</v>
      </c>
      <c r="IWF4">
        <v>1112392</v>
      </c>
      <c r="IWG4" t="s">
        <v>63779</v>
      </c>
      <c r="IWH4">
        <v>1112495</v>
      </c>
      <c r="IWI4" t="s">
        <v>63780</v>
      </c>
      <c r="IWJ4">
        <v>1112632</v>
      </c>
      <c r="IWK4" t="s">
        <v>63781</v>
      </c>
      <c r="IWL4">
        <v>1112686</v>
      </c>
      <c r="IWM4" t="s">
        <v>63782</v>
      </c>
      <c r="IWN4">
        <v>1112692</v>
      </c>
      <c r="IWO4" t="s">
        <v>63783</v>
      </c>
      <c r="IWP4">
        <v>1112943</v>
      </c>
      <c r="IWQ4" t="s">
        <v>63784</v>
      </c>
      <c r="IWR4">
        <v>1112965</v>
      </c>
      <c r="IWS4" t="s">
        <v>63785</v>
      </c>
      <c r="IWT4">
        <v>1114019</v>
      </c>
      <c r="IWU4" t="s">
        <v>63786</v>
      </c>
      <c r="IWV4">
        <v>1114022</v>
      </c>
      <c r="IWW4" t="s">
        <v>63787</v>
      </c>
      <c r="IWX4">
        <v>1114141</v>
      </c>
      <c r="IWY4" t="s">
        <v>63788</v>
      </c>
      <c r="IWZ4">
        <v>1114154</v>
      </c>
      <c r="IXA4" t="s">
        <v>63789</v>
      </c>
      <c r="IXB4">
        <v>1114288</v>
      </c>
      <c r="IXC4" t="s">
        <v>63790</v>
      </c>
      <c r="IXD4">
        <v>1114300</v>
      </c>
      <c r="IXF4" t="s">
        <v>63791</v>
      </c>
      <c r="IXG4">
        <v>1114554</v>
      </c>
      <c r="IXH4" t="s">
        <v>63792</v>
      </c>
      <c r="IXI4">
        <v>1115020</v>
      </c>
      <c r="IXJ4" t="s">
        <v>63793</v>
      </c>
      <c r="IXK4">
        <v>1115616</v>
      </c>
      <c r="IXL4" t="s">
        <v>63794</v>
      </c>
      <c r="IXM4">
        <v>1115619</v>
      </c>
      <c r="IXN4" t="s">
        <v>63795</v>
      </c>
      <c r="IXO4">
        <v>1115626</v>
      </c>
      <c r="IXP4" t="s">
        <v>63796</v>
      </c>
      <c r="IXQ4">
        <v>1115691</v>
      </c>
      <c r="IXR4" t="s">
        <v>63797</v>
      </c>
      <c r="IXS4">
        <v>1116635</v>
      </c>
      <c r="IXT4" t="s">
        <v>63798</v>
      </c>
      <c r="IXU4">
        <v>1117151</v>
      </c>
      <c r="IXV4" t="s">
        <v>63799</v>
      </c>
      <c r="IXW4">
        <v>1117282</v>
      </c>
      <c r="IXX4" t="s">
        <v>63800</v>
      </c>
      <c r="IXY4">
        <v>1117432</v>
      </c>
      <c r="IXZ4" t="s">
        <v>63801</v>
      </c>
      <c r="IYA4">
        <v>1117438</v>
      </c>
      <c r="IYB4" t="s">
        <v>63802</v>
      </c>
      <c r="IYC4">
        <v>1118721</v>
      </c>
      <c r="IYD4" t="s">
        <v>63803</v>
      </c>
      <c r="IYE4">
        <v>1119037</v>
      </c>
      <c r="IYF4" t="s">
        <v>63804</v>
      </c>
      <c r="IYG4">
        <v>1119082</v>
      </c>
      <c r="IYH4" t="s">
        <v>63805</v>
      </c>
      <c r="IYI4">
        <v>1119099</v>
      </c>
      <c r="IYJ4" t="s">
        <v>63806</v>
      </c>
      <c r="IYK4">
        <v>1119116</v>
      </c>
      <c r="IYL4" t="s">
        <v>63807</v>
      </c>
      <c r="IYM4">
        <v>1119162</v>
      </c>
      <c r="IYN4" t="s">
        <v>63808</v>
      </c>
      <c r="IYO4">
        <v>1119200</v>
      </c>
      <c r="IYP4" t="s">
        <v>63809</v>
      </c>
      <c r="IYQ4">
        <v>1119209</v>
      </c>
      <c r="IYR4" t="s">
        <v>63810</v>
      </c>
      <c r="IYS4">
        <v>1119242</v>
      </c>
      <c r="IYT4" t="s">
        <v>63811</v>
      </c>
      <c r="IYU4">
        <v>1119249</v>
      </c>
      <c r="IYV4" t="s">
        <v>63812</v>
      </c>
      <c r="IYW4">
        <v>1119417</v>
      </c>
      <c r="IYY4" t="s">
        <v>63813</v>
      </c>
      <c r="IYZ4">
        <v>1122561</v>
      </c>
      <c r="IZA4" t="s">
        <v>63814</v>
      </c>
      <c r="IZB4">
        <v>1122566</v>
      </c>
      <c r="IZC4" t="s">
        <v>63815</v>
      </c>
      <c r="IZD4">
        <v>1122567</v>
      </c>
      <c r="IZE4" t="s">
        <v>63816</v>
      </c>
      <c r="IZF4">
        <v>1122573</v>
      </c>
      <c r="IZG4" t="s">
        <v>63817</v>
      </c>
      <c r="IZH4">
        <v>1139160</v>
      </c>
      <c r="IZI4" t="s">
        <v>63818</v>
      </c>
      <c r="IZJ4">
        <v>1143527</v>
      </c>
      <c r="IZK4" t="s">
        <v>63819</v>
      </c>
      <c r="IZL4">
        <v>1143559</v>
      </c>
      <c r="IZM4" t="s">
        <v>63820</v>
      </c>
      <c r="IZN4">
        <v>1143943</v>
      </c>
      <c r="IZO4" t="s">
        <v>63821</v>
      </c>
      <c r="IZP4">
        <v>1143960</v>
      </c>
      <c r="IZQ4" t="s">
        <v>63822</v>
      </c>
      <c r="IZR4">
        <v>1143974</v>
      </c>
      <c r="IZS4" t="s">
        <v>63823</v>
      </c>
      <c r="IZT4">
        <v>1145784</v>
      </c>
      <c r="IZU4" t="s">
        <v>63824</v>
      </c>
      <c r="IZV4">
        <v>1146503</v>
      </c>
      <c r="IZW4" t="s">
        <v>63825</v>
      </c>
      <c r="IZX4">
        <v>1147694</v>
      </c>
      <c r="IZY4" t="s">
        <v>63826</v>
      </c>
      <c r="IZZ4">
        <v>1147726</v>
      </c>
      <c r="JAA4" t="s">
        <v>63827</v>
      </c>
      <c r="JAB4">
        <v>1148220</v>
      </c>
      <c r="JAC4" t="s">
        <v>63828</v>
      </c>
      <c r="JAD4">
        <v>1148250</v>
      </c>
      <c r="JAE4" t="s">
        <v>63829</v>
      </c>
      <c r="JAF4">
        <v>1148454</v>
      </c>
      <c r="JAG4" t="s">
        <v>63830</v>
      </c>
      <c r="JAH4">
        <v>1148885</v>
      </c>
      <c r="JAI4" t="s">
        <v>63831</v>
      </c>
      <c r="JAJ4">
        <v>1148895</v>
      </c>
      <c r="JAK4" t="s">
        <v>63832</v>
      </c>
      <c r="JAL4">
        <v>1148919</v>
      </c>
      <c r="JAM4" t="s">
        <v>63833</v>
      </c>
      <c r="JAN4">
        <v>1148925</v>
      </c>
      <c r="JAO4" t="s">
        <v>63834</v>
      </c>
      <c r="JAP4">
        <v>1148926</v>
      </c>
      <c r="JAQ4" t="s">
        <v>63835</v>
      </c>
      <c r="JAR4">
        <v>1148927</v>
      </c>
      <c r="JAS4" t="s">
        <v>63836</v>
      </c>
      <c r="JAT4">
        <v>1148932</v>
      </c>
      <c r="JAU4" t="s">
        <v>63837</v>
      </c>
      <c r="JAV4">
        <v>1148942</v>
      </c>
      <c r="JAX4" t="s">
        <v>63838</v>
      </c>
      <c r="JAY4">
        <v>1148954</v>
      </c>
      <c r="JAZ4" t="s">
        <v>63839</v>
      </c>
      <c r="JBA4">
        <v>1148963</v>
      </c>
      <c r="JBC4" t="s">
        <v>63840</v>
      </c>
      <c r="JBD4">
        <v>1149413</v>
      </c>
      <c r="JBE4" t="s">
        <v>63841</v>
      </c>
      <c r="JBF4">
        <v>1149433</v>
      </c>
      <c r="JBH4" t="s">
        <v>63842</v>
      </c>
      <c r="JBI4">
        <v>1150681</v>
      </c>
      <c r="JBJ4" t="s">
        <v>63843</v>
      </c>
      <c r="JBK4">
        <v>1150928</v>
      </c>
      <c r="JBL4" t="s">
        <v>63844</v>
      </c>
      <c r="JBM4">
        <v>1151061</v>
      </c>
      <c r="JBN4" t="s">
        <v>63845</v>
      </c>
      <c r="JBO4">
        <v>1151758</v>
      </c>
      <c r="JBP4" t="s">
        <v>63846</v>
      </c>
      <c r="JBQ4">
        <v>1152182</v>
      </c>
      <c r="JBR4" t="s">
        <v>63847</v>
      </c>
      <c r="JBS4">
        <v>1152434</v>
      </c>
      <c r="JBT4" t="s">
        <v>63848</v>
      </c>
      <c r="JBU4">
        <v>1152773</v>
      </c>
      <c r="JBV4" t="s">
        <v>63849</v>
      </c>
      <c r="JBW4">
        <v>1152794</v>
      </c>
      <c r="JBX4" t="s">
        <v>63850</v>
      </c>
      <c r="JBY4">
        <v>1153102</v>
      </c>
      <c r="JBZ4" t="s">
        <v>63851</v>
      </c>
      <c r="JCA4">
        <v>1153147</v>
      </c>
      <c r="JCB4" t="s">
        <v>63852</v>
      </c>
      <c r="JCC4">
        <v>1153154</v>
      </c>
      <c r="JCD4" t="s">
        <v>63853</v>
      </c>
      <c r="JCE4">
        <v>1153752</v>
      </c>
      <c r="JCF4" t="s">
        <v>63854</v>
      </c>
      <c r="JCG4">
        <v>1153759</v>
      </c>
      <c r="JCH4" t="s">
        <v>63855</v>
      </c>
      <c r="JCI4">
        <v>1153772</v>
      </c>
      <c r="JCJ4" t="s">
        <v>63856</v>
      </c>
      <c r="JCK4">
        <v>1153829</v>
      </c>
      <c r="JCL4" t="s">
        <v>63857</v>
      </c>
      <c r="JCM4">
        <v>1153836</v>
      </c>
      <c r="JCN4" t="s">
        <v>63858</v>
      </c>
      <c r="JCO4">
        <v>1153852</v>
      </c>
      <c r="JCP4" t="s">
        <v>63859</v>
      </c>
      <c r="JCQ4">
        <v>1153865</v>
      </c>
      <c r="JCR4" t="s">
        <v>63860</v>
      </c>
      <c r="JCS4">
        <v>1153906</v>
      </c>
      <c r="JCT4" t="s">
        <v>63861</v>
      </c>
      <c r="JCU4">
        <v>1155893</v>
      </c>
      <c r="JCV4" t="s">
        <v>63862</v>
      </c>
      <c r="JCW4">
        <v>1155909</v>
      </c>
      <c r="JCX4" t="s">
        <v>63863</v>
      </c>
      <c r="JCY4">
        <v>1156038</v>
      </c>
      <c r="JCZ4" t="s">
        <v>63864</v>
      </c>
      <c r="JDA4">
        <v>1156045</v>
      </c>
      <c r="JDB4" t="s">
        <v>63865</v>
      </c>
      <c r="JDC4">
        <v>1156058</v>
      </c>
      <c r="JDD4" t="s">
        <v>63866</v>
      </c>
      <c r="JDE4">
        <v>1156136</v>
      </c>
      <c r="JDF4" t="s">
        <v>63867</v>
      </c>
      <c r="JDG4">
        <v>1159929</v>
      </c>
      <c r="JDH4" t="s">
        <v>63868</v>
      </c>
      <c r="JDI4">
        <v>1159969</v>
      </c>
      <c r="JDJ4" t="s">
        <v>63869</v>
      </c>
      <c r="JDK4">
        <v>1160005</v>
      </c>
      <c r="JDL4" t="s">
        <v>63870</v>
      </c>
      <c r="JDM4">
        <v>1160031</v>
      </c>
      <c r="JDN4" t="s">
        <v>63871</v>
      </c>
      <c r="JDO4">
        <v>1160201</v>
      </c>
      <c r="JDP4" t="s">
        <v>63872</v>
      </c>
      <c r="JDQ4">
        <v>1160470</v>
      </c>
      <c r="JDR4" t="s">
        <v>63873</v>
      </c>
      <c r="JDS4">
        <v>1160486</v>
      </c>
      <c r="JDT4" t="s">
        <v>63874</v>
      </c>
      <c r="JDU4">
        <v>1160507</v>
      </c>
      <c r="JDV4" t="s">
        <v>63875</v>
      </c>
      <c r="JDW4">
        <v>1161274</v>
      </c>
      <c r="JDX4" t="s">
        <v>63876</v>
      </c>
      <c r="JDY4">
        <v>1161279</v>
      </c>
      <c r="JDZ4" t="s">
        <v>63877</v>
      </c>
      <c r="JEA4">
        <v>1161717</v>
      </c>
      <c r="JEB4" t="s">
        <v>63878</v>
      </c>
      <c r="JEC4">
        <v>1161718</v>
      </c>
      <c r="JED4" t="s">
        <v>63879</v>
      </c>
      <c r="JEE4">
        <v>1161884</v>
      </c>
      <c r="JEF4" t="s">
        <v>63880</v>
      </c>
      <c r="JEG4">
        <v>1161983</v>
      </c>
      <c r="JEH4" t="s">
        <v>63881</v>
      </c>
      <c r="JEI4">
        <v>1162003</v>
      </c>
      <c r="JEK4" t="s">
        <v>63882</v>
      </c>
      <c r="JEL4">
        <v>1162183</v>
      </c>
      <c r="JEM4" t="s">
        <v>63883</v>
      </c>
      <c r="JEN4">
        <v>1164013</v>
      </c>
      <c r="JEO4" t="s">
        <v>63884</v>
      </c>
      <c r="JEP4">
        <v>1164022</v>
      </c>
      <c r="JEQ4" t="s">
        <v>63885</v>
      </c>
      <c r="JER4">
        <v>1164648</v>
      </c>
      <c r="JES4" t="s">
        <v>63886</v>
      </c>
      <c r="JET4">
        <v>1164677</v>
      </c>
      <c r="JEU4" t="s">
        <v>63887</v>
      </c>
      <c r="JEV4">
        <v>1164679</v>
      </c>
      <c r="JEW4" t="s">
        <v>63888</v>
      </c>
      <c r="JEX4">
        <v>1164692</v>
      </c>
      <c r="JEY4" t="s">
        <v>63889</v>
      </c>
      <c r="JEZ4">
        <v>1164693</v>
      </c>
      <c r="JFA4" t="s">
        <v>63890</v>
      </c>
      <c r="JFB4">
        <v>1164743</v>
      </c>
      <c r="JFC4" t="s">
        <v>63891</v>
      </c>
      <c r="JFD4">
        <v>1164747</v>
      </c>
      <c r="JFE4" t="s">
        <v>63892</v>
      </c>
      <c r="JFF4">
        <v>1164858</v>
      </c>
      <c r="JFG4" t="s">
        <v>63893</v>
      </c>
      <c r="JFH4">
        <v>1164892</v>
      </c>
      <c r="JFI4" t="s">
        <v>63894</v>
      </c>
      <c r="JFJ4">
        <v>1164916</v>
      </c>
      <c r="JFK4" t="s">
        <v>63895</v>
      </c>
      <c r="JFL4">
        <v>1164933</v>
      </c>
      <c r="JFM4" t="s">
        <v>63896</v>
      </c>
      <c r="JFN4">
        <v>1165148</v>
      </c>
      <c r="JFO4" t="s">
        <v>63897</v>
      </c>
      <c r="JFP4">
        <v>1165163</v>
      </c>
      <c r="JFQ4" t="s">
        <v>63898</v>
      </c>
      <c r="JFR4">
        <v>1165172</v>
      </c>
      <c r="JFS4" t="s">
        <v>63899</v>
      </c>
      <c r="JFT4">
        <v>1165174</v>
      </c>
      <c r="JFU4" t="s">
        <v>63900</v>
      </c>
      <c r="JFV4">
        <v>1165836</v>
      </c>
      <c r="JFW4" t="s">
        <v>63901</v>
      </c>
      <c r="JFX4">
        <v>1165866</v>
      </c>
      <c r="JFY4" t="s">
        <v>63902</v>
      </c>
      <c r="JFZ4">
        <v>1165897</v>
      </c>
      <c r="JGA4" t="s">
        <v>63903</v>
      </c>
      <c r="JGB4">
        <v>1165904</v>
      </c>
      <c r="JGC4" t="s">
        <v>63904</v>
      </c>
      <c r="JGD4">
        <v>1165943</v>
      </c>
      <c r="JGE4" t="s">
        <v>63905</v>
      </c>
      <c r="JGF4">
        <v>1165956</v>
      </c>
      <c r="JGG4" t="s">
        <v>63906</v>
      </c>
      <c r="JGH4">
        <v>1165973</v>
      </c>
      <c r="JGI4" t="s">
        <v>63907</v>
      </c>
      <c r="JGJ4">
        <v>1166058</v>
      </c>
      <c r="JGK4" t="s">
        <v>63908</v>
      </c>
      <c r="JGL4">
        <v>1166789</v>
      </c>
      <c r="JGM4" t="s">
        <v>63909</v>
      </c>
      <c r="JGN4">
        <v>1166797</v>
      </c>
      <c r="JGO4" t="s">
        <v>63910</v>
      </c>
      <c r="JGP4">
        <v>1166895</v>
      </c>
      <c r="JGQ4" t="s">
        <v>63911</v>
      </c>
      <c r="JGR4">
        <v>1166912</v>
      </c>
      <c r="JGS4" t="s">
        <v>63912</v>
      </c>
      <c r="JGT4">
        <v>1166934</v>
      </c>
      <c r="JGU4" t="s">
        <v>63913</v>
      </c>
      <c r="JGV4">
        <v>1166959</v>
      </c>
      <c r="JGW4" t="s">
        <v>63914</v>
      </c>
      <c r="JGX4">
        <v>1166968</v>
      </c>
      <c r="JGY4" t="s">
        <v>63915</v>
      </c>
      <c r="JGZ4">
        <v>1167069</v>
      </c>
      <c r="JHA4" t="s">
        <v>63916</v>
      </c>
      <c r="JHB4">
        <v>1168630</v>
      </c>
      <c r="JHC4" t="s">
        <v>63917</v>
      </c>
      <c r="JHD4">
        <v>1168652</v>
      </c>
      <c r="JHE4" t="s">
        <v>63918</v>
      </c>
      <c r="JHF4">
        <v>1168660</v>
      </c>
      <c r="JHG4" t="s">
        <v>63919</v>
      </c>
      <c r="JHH4">
        <v>1168662</v>
      </c>
      <c r="JHI4" t="s">
        <v>63920</v>
      </c>
      <c r="JHJ4">
        <v>1168672</v>
      </c>
      <c r="JHK4" t="s">
        <v>63921</v>
      </c>
      <c r="JHL4">
        <v>1168691</v>
      </c>
      <c r="JHM4" t="s">
        <v>63922</v>
      </c>
      <c r="JHN4">
        <v>1168736</v>
      </c>
      <c r="JHO4" t="s">
        <v>63923</v>
      </c>
      <c r="JHP4">
        <v>1168793</v>
      </c>
      <c r="JHQ4" t="s">
        <v>63924</v>
      </c>
      <c r="JHR4">
        <v>1168805</v>
      </c>
      <c r="JHS4" t="s">
        <v>63925</v>
      </c>
      <c r="JHT4">
        <v>1168823</v>
      </c>
      <c r="JHU4" t="s">
        <v>63926</v>
      </c>
      <c r="JHV4">
        <v>1168854</v>
      </c>
      <c r="JHW4" t="s">
        <v>63927</v>
      </c>
      <c r="JHX4">
        <v>1168968</v>
      </c>
      <c r="JHY4" t="s">
        <v>63928</v>
      </c>
      <c r="JHZ4">
        <v>1169091</v>
      </c>
      <c r="JIA4" t="s">
        <v>63929</v>
      </c>
      <c r="JIB4">
        <v>1169093</v>
      </c>
      <c r="JIC4" t="s">
        <v>63930</v>
      </c>
      <c r="JID4">
        <v>1169161</v>
      </c>
      <c r="JIE4" t="s">
        <v>63931</v>
      </c>
      <c r="JIF4">
        <v>1169218</v>
      </c>
      <c r="JIG4" t="s">
        <v>63932</v>
      </c>
      <c r="JIH4">
        <v>1169244</v>
      </c>
      <c r="JII4" t="s">
        <v>63933</v>
      </c>
      <c r="JIJ4">
        <v>1169265</v>
      </c>
      <c r="JIK4" t="s">
        <v>63934</v>
      </c>
      <c r="JIL4">
        <v>1169334</v>
      </c>
      <c r="JIM4" t="s">
        <v>63935</v>
      </c>
      <c r="JIN4">
        <v>1169350</v>
      </c>
      <c r="JIO4" t="s">
        <v>63936</v>
      </c>
      <c r="JIP4">
        <v>1169404</v>
      </c>
      <c r="JIQ4" t="s">
        <v>63937</v>
      </c>
      <c r="JIR4">
        <v>1169472</v>
      </c>
      <c r="JIS4" t="s">
        <v>63938</v>
      </c>
      <c r="JIT4">
        <v>1169512</v>
      </c>
      <c r="JIU4" t="s">
        <v>63939</v>
      </c>
      <c r="JIV4">
        <v>1169541</v>
      </c>
      <c r="JIW4" t="s">
        <v>63940</v>
      </c>
      <c r="JIX4">
        <v>1169582</v>
      </c>
      <c r="JIY4" t="s">
        <v>63941</v>
      </c>
      <c r="JIZ4">
        <v>1169628</v>
      </c>
      <c r="JJA4" t="s">
        <v>63942</v>
      </c>
      <c r="JJB4">
        <v>1169678</v>
      </c>
      <c r="JJC4" t="s">
        <v>63943</v>
      </c>
      <c r="JJD4">
        <v>1169801</v>
      </c>
      <c r="JJE4" t="s">
        <v>63944</v>
      </c>
      <c r="JJF4">
        <v>1169989</v>
      </c>
      <c r="JJG4" t="s">
        <v>63945</v>
      </c>
      <c r="JJH4">
        <v>1170291</v>
      </c>
      <c r="JJI4" t="s">
        <v>63946</v>
      </c>
      <c r="JJJ4">
        <v>1170383</v>
      </c>
      <c r="JJK4" t="s">
        <v>63947</v>
      </c>
      <c r="JJL4">
        <v>1170401</v>
      </c>
      <c r="JJM4" t="s">
        <v>63948</v>
      </c>
      <c r="JJN4">
        <v>1170414</v>
      </c>
      <c r="JJO4" t="s">
        <v>63949</v>
      </c>
      <c r="JJP4">
        <v>1170429</v>
      </c>
      <c r="JJQ4" t="s">
        <v>63950</v>
      </c>
      <c r="JJR4">
        <v>1170457</v>
      </c>
      <c r="JJT4" t="s">
        <v>63951</v>
      </c>
      <c r="JJU4">
        <v>1170463</v>
      </c>
      <c r="JJV4" t="s">
        <v>63952</v>
      </c>
      <c r="JJW4">
        <v>1170474</v>
      </c>
      <c r="JJX4" t="s">
        <v>63953</v>
      </c>
      <c r="JJY4">
        <v>1170475</v>
      </c>
      <c r="JJZ4" t="s">
        <v>63954</v>
      </c>
      <c r="JKA4">
        <v>1170478</v>
      </c>
      <c r="JKB4" t="s">
        <v>63955</v>
      </c>
      <c r="JKC4">
        <v>1170484</v>
      </c>
      <c r="JKD4" t="s">
        <v>63956</v>
      </c>
      <c r="JKE4">
        <v>1170496</v>
      </c>
      <c r="JKF4" t="s">
        <v>63957</v>
      </c>
      <c r="JKG4">
        <v>1170986</v>
      </c>
      <c r="JKH4" t="s">
        <v>63958</v>
      </c>
      <c r="JKI4">
        <v>1173457</v>
      </c>
      <c r="JKJ4" t="s">
        <v>63959</v>
      </c>
      <c r="JKK4">
        <v>1173462</v>
      </c>
      <c r="JKL4" t="s">
        <v>63960</v>
      </c>
      <c r="JKM4">
        <v>1173565</v>
      </c>
      <c r="JKN4" t="s">
        <v>63961</v>
      </c>
      <c r="JKO4">
        <v>1174214</v>
      </c>
      <c r="JKP4" t="s">
        <v>63962</v>
      </c>
      <c r="JKQ4">
        <v>1174216</v>
      </c>
      <c r="JKR4" t="s">
        <v>63963</v>
      </c>
      <c r="JKS4">
        <v>1174239</v>
      </c>
      <c r="JKT4" t="s">
        <v>63964</v>
      </c>
      <c r="JKU4">
        <v>1174245</v>
      </c>
      <c r="JKV4" t="s">
        <v>63965</v>
      </c>
      <c r="JKW4">
        <v>1174604</v>
      </c>
      <c r="JKX4" t="s">
        <v>63966</v>
      </c>
      <c r="JKY4">
        <v>1174617</v>
      </c>
      <c r="JKZ4" t="s">
        <v>63967</v>
      </c>
      <c r="JLA4">
        <v>1174631</v>
      </c>
      <c r="JLB4" t="s">
        <v>63968</v>
      </c>
      <c r="JLC4">
        <v>1174636</v>
      </c>
      <c r="JLD4" t="s">
        <v>63969</v>
      </c>
      <c r="JLE4">
        <v>1175795</v>
      </c>
      <c r="JLF4" t="s">
        <v>63970</v>
      </c>
      <c r="JLG4">
        <v>1176203</v>
      </c>
      <c r="JLH4" t="s">
        <v>63971</v>
      </c>
      <c r="JLI4">
        <v>1176907</v>
      </c>
      <c r="JLJ4" t="s">
        <v>63972</v>
      </c>
      <c r="JLK4">
        <v>1176917</v>
      </c>
      <c r="JLL4" t="s">
        <v>63973</v>
      </c>
      <c r="JLM4">
        <v>1176926</v>
      </c>
      <c r="JLN4" t="s">
        <v>63974</v>
      </c>
      <c r="JLO4">
        <v>1176953</v>
      </c>
      <c r="JLP4" t="s">
        <v>63975</v>
      </c>
      <c r="JLQ4">
        <v>1176971</v>
      </c>
      <c r="JLR4" t="s">
        <v>63976</v>
      </c>
      <c r="JLS4">
        <v>1177041</v>
      </c>
      <c r="JLT4" t="s">
        <v>63977</v>
      </c>
      <c r="JLU4">
        <v>1177050</v>
      </c>
      <c r="JLV4" t="s">
        <v>63978</v>
      </c>
      <c r="JLW4">
        <v>1177077</v>
      </c>
      <c r="JLX4" t="s">
        <v>63979</v>
      </c>
      <c r="JLY4">
        <v>1177085</v>
      </c>
      <c r="JLZ4" t="s">
        <v>63980</v>
      </c>
      <c r="JMA4">
        <v>1177168</v>
      </c>
      <c r="JMB4" t="s">
        <v>63981</v>
      </c>
      <c r="JMC4">
        <v>1177175</v>
      </c>
      <c r="JMD4" t="s">
        <v>63982</v>
      </c>
      <c r="JME4">
        <v>1177213</v>
      </c>
      <c r="JMF4" t="s">
        <v>63983</v>
      </c>
      <c r="JMG4">
        <v>1177298</v>
      </c>
      <c r="JMH4" t="s">
        <v>63984</v>
      </c>
      <c r="JMI4">
        <v>1177324</v>
      </c>
      <c r="JMJ4" t="s">
        <v>63985</v>
      </c>
      <c r="JMK4">
        <v>1177408</v>
      </c>
      <c r="JML4" t="s">
        <v>63986</v>
      </c>
      <c r="JMM4">
        <v>1177423</v>
      </c>
      <c r="JMN4" t="s">
        <v>63987</v>
      </c>
      <c r="JMO4">
        <v>1177506</v>
      </c>
      <c r="JMP4" t="s">
        <v>63988</v>
      </c>
      <c r="JMQ4">
        <v>1177518</v>
      </c>
      <c r="JMR4" t="s">
        <v>63989</v>
      </c>
      <c r="JMS4">
        <v>1177635</v>
      </c>
      <c r="JMU4" t="s">
        <v>63990</v>
      </c>
      <c r="JMV4">
        <v>1177758</v>
      </c>
      <c r="JMW4" t="s">
        <v>63991</v>
      </c>
      <c r="JMX4">
        <v>1178154</v>
      </c>
      <c r="JMY4" t="s">
        <v>63992</v>
      </c>
      <c r="JMZ4">
        <v>1183897</v>
      </c>
      <c r="JNA4" t="s">
        <v>63993</v>
      </c>
      <c r="JNB4">
        <v>1183932</v>
      </c>
      <c r="JNC4" t="s">
        <v>63994</v>
      </c>
      <c r="JND4">
        <v>1184086</v>
      </c>
      <c r="JNE4" t="s">
        <v>63995</v>
      </c>
      <c r="JNF4">
        <v>1184099</v>
      </c>
      <c r="JNG4" t="s">
        <v>63996</v>
      </c>
      <c r="JNH4">
        <v>1186105</v>
      </c>
      <c r="JNI4" t="s">
        <v>63997</v>
      </c>
      <c r="JNJ4">
        <v>1186165</v>
      </c>
      <c r="JNK4" t="s">
        <v>63998</v>
      </c>
      <c r="JNL4">
        <v>1189756</v>
      </c>
      <c r="JNM4" t="s">
        <v>63999</v>
      </c>
      <c r="JNN4">
        <v>1189757</v>
      </c>
      <c r="JNO4" t="s">
        <v>64000</v>
      </c>
      <c r="JNP4">
        <v>1189773</v>
      </c>
      <c r="JNQ4" t="s">
        <v>64001</v>
      </c>
      <c r="JNR4">
        <v>1194001</v>
      </c>
      <c r="JNS4" t="s">
        <v>64002</v>
      </c>
      <c r="JNT4">
        <v>1197536</v>
      </c>
      <c r="JNU4" t="s">
        <v>64003</v>
      </c>
      <c r="JNV4">
        <v>1197597</v>
      </c>
      <c r="JNW4" t="s">
        <v>64004</v>
      </c>
      <c r="JNX4">
        <v>1202296</v>
      </c>
      <c r="JNY4" t="s">
        <v>64005</v>
      </c>
      <c r="JNZ4">
        <v>1202307</v>
      </c>
      <c r="JOA4" t="s">
        <v>64006</v>
      </c>
      <c r="JOB4">
        <v>1202331</v>
      </c>
      <c r="JOC4" t="s">
        <v>64007</v>
      </c>
      <c r="JOD4">
        <v>1202377</v>
      </c>
      <c r="JOF4" t="s">
        <v>64008</v>
      </c>
      <c r="JOG4">
        <v>1202382</v>
      </c>
      <c r="JOH4" t="s">
        <v>64009</v>
      </c>
      <c r="JOI4">
        <v>1204259</v>
      </c>
      <c r="JOJ4" t="s">
        <v>64010</v>
      </c>
      <c r="JOK4">
        <v>1204262</v>
      </c>
      <c r="JOL4" t="s">
        <v>64011</v>
      </c>
      <c r="JOM4">
        <v>1204286</v>
      </c>
      <c r="JON4" t="s">
        <v>64012</v>
      </c>
      <c r="JOO4">
        <v>1204356</v>
      </c>
      <c r="JOP4" t="s">
        <v>64013</v>
      </c>
      <c r="JOQ4">
        <v>1204364</v>
      </c>
      <c r="JOR4" t="s">
        <v>64014</v>
      </c>
      <c r="JOS4">
        <v>1204437</v>
      </c>
      <c r="JOT4" t="s">
        <v>64015</v>
      </c>
      <c r="JOU4">
        <v>1204452</v>
      </c>
      <c r="JOW4" t="s">
        <v>64016</v>
      </c>
      <c r="JOX4">
        <v>1205259</v>
      </c>
      <c r="JOY4" t="s">
        <v>64017</v>
      </c>
      <c r="JOZ4">
        <v>1205572</v>
      </c>
      <c r="JPA4" t="s">
        <v>64018</v>
      </c>
      <c r="JPB4">
        <v>1205589</v>
      </c>
      <c r="JPC4" t="s">
        <v>64019</v>
      </c>
      <c r="JPD4">
        <v>1205598</v>
      </c>
      <c r="JPE4" t="s">
        <v>64020</v>
      </c>
      <c r="JPF4">
        <v>1205805</v>
      </c>
      <c r="JPG4" t="s">
        <v>64021</v>
      </c>
      <c r="JPH4">
        <v>1205889</v>
      </c>
      <c r="JPI4" t="s">
        <v>64022</v>
      </c>
      <c r="JPJ4">
        <v>1205890</v>
      </c>
      <c r="JPK4" t="s">
        <v>64023</v>
      </c>
      <c r="JPL4">
        <v>1205999</v>
      </c>
      <c r="JPN4" t="s">
        <v>64024</v>
      </c>
      <c r="JPO4">
        <v>1206482</v>
      </c>
      <c r="JPP4" t="s">
        <v>64025</v>
      </c>
      <c r="JPQ4">
        <v>1207586</v>
      </c>
      <c r="JPR4" t="s">
        <v>64026</v>
      </c>
      <c r="JPS4">
        <v>1207587</v>
      </c>
      <c r="JPT4" t="s">
        <v>64027</v>
      </c>
      <c r="JPU4">
        <v>1207592</v>
      </c>
      <c r="JPV4" t="s">
        <v>64028</v>
      </c>
      <c r="JPW4">
        <v>1208516</v>
      </c>
      <c r="JPX4" t="s">
        <v>64029</v>
      </c>
      <c r="JPY4">
        <v>1208521</v>
      </c>
      <c r="JPZ4" t="s">
        <v>64030</v>
      </c>
      <c r="JQA4">
        <v>1208539</v>
      </c>
      <c r="JQB4" t="s">
        <v>64031</v>
      </c>
      <c r="JQC4">
        <v>1208544</v>
      </c>
      <c r="JQD4" t="s">
        <v>64032</v>
      </c>
      <c r="JQE4">
        <v>1208946</v>
      </c>
      <c r="JQF4" t="s">
        <v>64033</v>
      </c>
      <c r="JQG4">
        <v>1209004</v>
      </c>
      <c r="JQH4" t="s">
        <v>64034</v>
      </c>
      <c r="JQI4">
        <v>1209013</v>
      </c>
      <c r="JQJ4" t="s">
        <v>64035</v>
      </c>
      <c r="JQK4">
        <v>1209016</v>
      </c>
      <c r="JQL4" t="s">
        <v>64036</v>
      </c>
      <c r="JQM4">
        <v>1209055</v>
      </c>
      <c r="JQN4" t="s">
        <v>64037</v>
      </c>
      <c r="JQO4">
        <v>1209064</v>
      </c>
      <c r="JQP4" t="s">
        <v>64038</v>
      </c>
      <c r="JQQ4">
        <v>1209143</v>
      </c>
      <c r="JQR4" t="s">
        <v>64039</v>
      </c>
      <c r="JQS4">
        <v>1209148</v>
      </c>
      <c r="JQT4" t="s">
        <v>64040</v>
      </c>
      <c r="JQU4">
        <v>1209156</v>
      </c>
      <c r="JQV4" t="s">
        <v>64041</v>
      </c>
      <c r="JQW4">
        <v>1209163</v>
      </c>
      <c r="JQX4" t="s">
        <v>64042</v>
      </c>
      <c r="JQY4">
        <v>1209232</v>
      </c>
      <c r="JQZ4" t="s">
        <v>64043</v>
      </c>
      <c r="JRA4">
        <v>1209240</v>
      </c>
      <c r="JRB4" t="s">
        <v>64044</v>
      </c>
      <c r="JRC4">
        <v>1209306</v>
      </c>
      <c r="JRD4" t="s">
        <v>64045</v>
      </c>
      <c r="JRE4">
        <v>1209337</v>
      </c>
      <c r="JRF4" t="s">
        <v>64046</v>
      </c>
      <c r="JRG4">
        <v>1209394</v>
      </c>
      <c r="JRH4" t="s">
        <v>64047</v>
      </c>
      <c r="JRI4">
        <v>1209579</v>
      </c>
      <c r="JRJ4" t="s">
        <v>64048</v>
      </c>
      <c r="JRK4">
        <v>1209621</v>
      </c>
      <c r="JRL4" t="s">
        <v>64049</v>
      </c>
      <c r="JRM4">
        <v>1209667</v>
      </c>
      <c r="JRN4" t="s">
        <v>64050</v>
      </c>
      <c r="JRO4">
        <v>1209837</v>
      </c>
      <c r="JRP4" t="s">
        <v>64051</v>
      </c>
      <c r="JRQ4">
        <v>1209902</v>
      </c>
      <c r="JRR4" t="s">
        <v>64052</v>
      </c>
      <c r="JRS4">
        <v>1209926</v>
      </c>
      <c r="JRT4" t="s">
        <v>64053</v>
      </c>
      <c r="JRU4">
        <v>1209933</v>
      </c>
      <c r="JRV4" t="s">
        <v>64054</v>
      </c>
      <c r="JRW4">
        <v>1210066</v>
      </c>
      <c r="JRX4" t="s">
        <v>64055</v>
      </c>
      <c r="JRY4">
        <v>1210100</v>
      </c>
      <c r="JRZ4" t="s">
        <v>64056</v>
      </c>
      <c r="JSA4">
        <v>1210108</v>
      </c>
      <c r="JSB4" t="s">
        <v>64057</v>
      </c>
      <c r="JSC4">
        <v>1210861</v>
      </c>
      <c r="JSD4" t="s">
        <v>64058</v>
      </c>
      <c r="JSE4">
        <v>1210869</v>
      </c>
      <c r="JSF4" t="s">
        <v>64059</v>
      </c>
      <c r="JSG4">
        <v>1210875</v>
      </c>
      <c r="JSH4" t="s">
        <v>64060</v>
      </c>
      <c r="JSI4">
        <v>1210889</v>
      </c>
      <c r="JSJ4" t="s">
        <v>64061</v>
      </c>
      <c r="JSK4">
        <v>1210900</v>
      </c>
      <c r="JSL4" t="s">
        <v>64062</v>
      </c>
      <c r="JSM4">
        <v>1210915</v>
      </c>
      <c r="JSN4" t="s">
        <v>64063</v>
      </c>
      <c r="JSO4">
        <v>1210923</v>
      </c>
      <c r="JSP4" t="s">
        <v>64064</v>
      </c>
      <c r="JSQ4">
        <v>1210936</v>
      </c>
      <c r="JSR4" t="s">
        <v>64065</v>
      </c>
      <c r="JSS4">
        <v>1210953</v>
      </c>
      <c r="JST4" t="s">
        <v>64066</v>
      </c>
      <c r="JSU4">
        <v>1210967</v>
      </c>
      <c r="JSV4" t="s">
        <v>64067</v>
      </c>
      <c r="JSW4">
        <v>1210976</v>
      </c>
      <c r="JSX4" t="s">
        <v>64068</v>
      </c>
      <c r="JSY4">
        <v>1211248</v>
      </c>
      <c r="JSZ4" t="s">
        <v>64069</v>
      </c>
      <c r="JTA4">
        <v>1211319</v>
      </c>
      <c r="JTB4" t="s">
        <v>64070</v>
      </c>
      <c r="JTC4">
        <v>1211358</v>
      </c>
      <c r="JTD4" t="s">
        <v>64071</v>
      </c>
      <c r="JTE4">
        <v>1211360</v>
      </c>
      <c r="JTF4" t="s">
        <v>64072</v>
      </c>
      <c r="JTG4">
        <v>1211425</v>
      </c>
      <c r="JTH4" t="s">
        <v>64073</v>
      </c>
      <c r="JTI4">
        <v>1211433</v>
      </c>
      <c r="JTJ4" t="s">
        <v>64074</v>
      </c>
      <c r="JTK4">
        <v>1211438</v>
      </c>
      <c r="JTL4" t="s">
        <v>64075</v>
      </c>
      <c r="JTM4">
        <v>1211458</v>
      </c>
      <c r="JTN4" t="s">
        <v>64076</v>
      </c>
      <c r="JTO4">
        <v>1211498</v>
      </c>
      <c r="JTP4" t="s">
        <v>64077</v>
      </c>
      <c r="JTQ4">
        <v>1211504</v>
      </c>
      <c r="JTR4" t="s">
        <v>64078</v>
      </c>
      <c r="JTS4">
        <v>1211525</v>
      </c>
      <c r="JTT4" t="s">
        <v>64079</v>
      </c>
      <c r="JTU4">
        <v>1211532</v>
      </c>
      <c r="JTV4" t="s">
        <v>64080</v>
      </c>
      <c r="JTW4">
        <v>1212397</v>
      </c>
      <c r="JTX4" t="s">
        <v>64081</v>
      </c>
      <c r="JTY4">
        <v>1212405</v>
      </c>
      <c r="JTZ4" t="s">
        <v>64082</v>
      </c>
      <c r="JUA4">
        <v>1212417</v>
      </c>
      <c r="JUB4" t="s">
        <v>64083</v>
      </c>
      <c r="JUC4">
        <v>1212643</v>
      </c>
      <c r="JUD4" t="s">
        <v>64084</v>
      </c>
      <c r="JUE4">
        <v>1212648</v>
      </c>
      <c r="JUF4" t="s">
        <v>64085</v>
      </c>
      <c r="JUG4">
        <v>1212730</v>
      </c>
      <c r="JUH4" t="s">
        <v>64086</v>
      </c>
      <c r="JUI4">
        <v>1212743</v>
      </c>
      <c r="JUJ4" t="s">
        <v>64087</v>
      </c>
      <c r="JUK4">
        <v>1212916</v>
      </c>
      <c r="JUL4" t="s">
        <v>64088</v>
      </c>
      <c r="JUM4">
        <v>1212974</v>
      </c>
      <c r="JUN4" t="s">
        <v>64089</v>
      </c>
      <c r="JUO4">
        <v>1212998</v>
      </c>
      <c r="JUP4" t="s">
        <v>64090</v>
      </c>
      <c r="JUQ4">
        <v>1213863</v>
      </c>
      <c r="JUR4" t="s">
        <v>64091</v>
      </c>
      <c r="JUS4">
        <v>1213869</v>
      </c>
      <c r="JUU4" t="s">
        <v>64092</v>
      </c>
      <c r="JUV4">
        <v>1213871</v>
      </c>
      <c r="JUW4" t="s">
        <v>64093</v>
      </c>
      <c r="JUX4">
        <v>1214388</v>
      </c>
      <c r="JUZ4" t="s">
        <v>64094</v>
      </c>
      <c r="JVA4">
        <v>1214393</v>
      </c>
      <c r="JVB4" t="s">
        <v>64095</v>
      </c>
      <c r="JVC4">
        <v>1215615</v>
      </c>
      <c r="JVD4" t="s">
        <v>64096</v>
      </c>
      <c r="JVE4">
        <v>1215639</v>
      </c>
      <c r="JVF4" t="s">
        <v>64097</v>
      </c>
      <c r="JVG4">
        <v>1215642</v>
      </c>
      <c r="JVH4" t="s">
        <v>64098</v>
      </c>
      <c r="JVI4">
        <v>1215651</v>
      </c>
      <c r="JVJ4" t="s">
        <v>64099</v>
      </c>
      <c r="JVK4">
        <v>1215661</v>
      </c>
      <c r="JVL4" t="s">
        <v>64100</v>
      </c>
      <c r="JVM4">
        <v>1215666</v>
      </c>
      <c r="JVN4" t="s">
        <v>64101</v>
      </c>
      <c r="JVO4">
        <v>1215671</v>
      </c>
      <c r="JVP4" t="s">
        <v>64102</v>
      </c>
      <c r="JVQ4">
        <v>1215677</v>
      </c>
      <c r="JVR4" t="s">
        <v>64103</v>
      </c>
      <c r="JVS4">
        <v>1217329</v>
      </c>
      <c r="JVV4" t="s">
        <v>64104</v>
      </c>
      <c r="JVW4">
        <v>1218215</v>
      </c>
      <c r="JVX4" t="s">
        <v>64105</v>
      </c>
      <c r="JVY4">
        <v>1218232</v>
      </c>
      <c r="JVZ4" t="s">
        <v>64106</v>
      </c>
      <c r="JWA4">
        <v>1218257</v>
      </c>
      <c r="JWB4" t="s">
        <v>64107</v>
      </c>
      <c r="JWC4">
        <v>1218267</v>
      </c>
      <c r="JWD4" t="s">
        <v>64108</v>
      </c>
      <c r="JWE4">
        <v>1218340</v>
      </c>
      <c r="JWF4" t="s">
        <v>64109</v>
      </c>
      <c r="JWG4">
        <v>1218388</v>
      </c>
      <c r="JWH4" t="s">
        <v>64110</v>
      </c>
      <c r="JWI4">
        <v>1218415</v>
      </c>
      <c r="JWJ4" t="s">
        <v>64111</v>
      </c>
      <c r="JWK4">
        <v>1218458</v>
      </c>
      <c r="JWL4" t="s">
        <v>64112</v>
      </c>
      <c r="JWM4">
        <v>1218464</v>
      </c>
      <c r="JWO4" t="s">
        <v>64113</v>
      </c>
      <c r="JWP4">
        <v>1218525</v>
      </c>
      <c r="JWQ4" t="s">
        <v>64114</v>
      </c>
      <c r="JWR4">
        <v>1218585</v>
      </c>
      <c r="JWS4" t="s">
        <v>64115</v>
      </c>
      <c r="JWT4">
        <v>1218610</v>
      </c>
      <c r="JWU4" t="s">
        <v>64116</v>
      </c>
      <c r="JWV4">
        <v>1218634</v>
      </c>
      <c r="JWW4" t="s">
        <v>64117</v>
      </c>
      <c r="JWX4">
        <v>1218653</v>
      </c>
      <c r="JWY4" t="s">
        <v>64118</v>
      </c>
      <c r="JWZ4">
        <v>1218699</v>
      </c>
      <c r="JXA4" t="s">
        <v>64119</v>
      </c>
      <c r="JXB4">
        <v>1218704</v>
      </c>
      <c r="JXC4" t="s">
        <v>64120</v>
      </c>
      <c r="JXD4">
        <v>1220261</v>
      </c>
      <c r="JXE4" t="s">
        <v>64121</v>
      </c>
      <c r="JXF4">
        <v>1220273</v>
      </c>
      <c r="JXG4" t="s">
        <v>64122</v>
      </c>
      <c r="JXH4">
        <v>1220277</v>
      </c>
      <c r="JXI4" t="s">
        <v>64123</v>
      </c>
      <c r="JXJ4">
        <v>1220289</v>
      </c>
      <c r="JXK4" t="s">
        <v>64124</v>
      </c>
      <c r="JXL4">
        <v>1220290</v>
      </c>
      <c r="JXM4" t="s">
        <v>64125</v>
      </c>
      <c r="JXN4">
        <v>1220300</v>
      </c>
      <c r="JXO4" t="s">
        <v>64126</v>
      </c>
      <c r="JXP4">
        <v>1220319</v>
      </c>
      <c r="JXR4" t="s">
        <v>64127</v>
      </c>
      <c r="JXS4">
        <v>1220328</v>
      </c>
      <c r="JXT4" t="s">
        <v>64128</v>
      </c>
      <c r="JXU4">
        <v>1220342</v>
      </c>
      <c r="JXV4" t="s">
        <v>64129</v>
      </c>
      <c r="JXW4">
        <v>1220361</v>
      </c>
      <c r="JXX4" t="s">
        <v>64130</v>
      </c>
      <c r="JXY4">
        <v>1220369</v>
      </c>
      <c r="JXZ4" t="s">
        <v>64131</v>
      </c>
      <c r="JYA4">
        <v>1220377</v>
      </c>
      <c r="JYB4" t="s">
        <v>64132</v>
      </c>
      <c r="JYC4">
        <v>1220407</v>
      </c>
      <c r="JYD4" t="s">
        <v>64133</v>
      </c>
      <c r="JYE4">
        <v>1220450</v>
      </c>
      <c r="JYF4" t="s">
        <v>64134</v>
      </c>
      <c r="JYG4">
        <v>1220451</v>
      </c>
      <c r="JYH4" t="s">
        <v>64135</v>
      </c>
      <c r="JYI4">
        <v>1220464</v>
      </c>
      <c r="JYJ4" t="s">
        <v>64136</v>
      </c>
      <c r="JYK4">
        <v>1220492</v>
      </c>
      <c r="JYL4" t="s">
        <v>64137</v>
      </c>
      <c r="JYM4">
        <v>1220506</v>
      </c>
      <c r="JYN4" t="s">
        <v>64138</v>
      </c>
      <c r="JYO4">
        <v>1220599</v>
      </c>
      <c r="JYP4" t="s">
        <v>64139</v>
      </c>
      <c r="JYQ4">
        <v>1223192</v>
      </c>
      <c r="JYR4" t="s">
        <v>64140</v>
      </c>
      <c r="JYS4">
        <v>1225626</v>
      </c>
      <c r="JYT4" t="s">
        <v>64141</v>
      </c>
      <c r="JYU4">
        <v>1225629</v>
      </c>
      <c r="JYV4" t="s">
        <v>64142</v>
      </c>
      <c r="JYW4">
        <v>1226474</v>
      </c>
      <c r="JYX4" t="s">
        <v>64143</v>
      </c>
      <c r="JYY4">
        <v>1226534</v>
      </c>
      <c r="JYZ4" t="s">
        <v>64144</v>
      </c>
      <c r="JZA4">
        <v>1229505</v>
      </c>
      <c r="JZB4" t="s">
        <v>64145</v>
      </c>
      <c r="JZC4">
        <v>1229525</v>
      </c>
      <c r="JZD4" t="s">
        <v>64146</v>
      </c>
      <c r="JZE4">
        <v>1229532</v>
      </c>
      <c r="JZF4" t="s">
        <v>64147</v>
      </c>
      <c r="JZG4">
        <v>1229568</v>
      </c>
      <c r="JZH4" t="s">
        <v>64148</v>
      </c>
      <c r="JZI4">
        <v>1229574</v>
      </c>
      <c r="JZJ4" t="s">
        <v>64149</v>
      </c>
      <c r="JZK4">
        <v>1229627</v>
      </c>
      <c r="JZL4" t="s">
        <v>64150</v>
      </c>
      <c r="JZM4">
        <v>1229633</v>
      </c>
      <c r="JZN4" t="s">
        <v>64151</v>
      </c>
      <c r="JZO4">
        <v>1229693</v>
      </c>
      <c r="JZP4" t="s">
        <v>64152</v>
      </c>
      <c r="JZQ4">
        <v>1229706</v>
      </c>
      <c r="JZR4" t="s">
        <v>64153</v>
      </c>
      <c r="JZS4">
        <v>1229711</v>
      </c>
      <c r="JZT4" t="s">
        <v>64154</v>
      </c>
      <c r="JZU4">
        <v>1229873</v>
      </c>
      <c r="JZV4" t="s">
        <v>64155</v>
      </c>
      <c r="JZW4">
        <v>1229879</v>
      </c>
      <c r="JZY4" t="s">
        <v>64156</v>
      </c>
      <c r="JZZ4">
        <v>1234021</v>
      </c>
      <c r="KAA4" t="s">
        <v>64157</v>
      </c>
      <c r="KAB4">
        <v>1234048</v>
      </c>
      <c r="KAC4" t="s">
        <v>64158</v>
      </c>
      <c r="KAD4">
        <v>1235499</v>
      </c>
      <c r="KAE4" t="s">
        <v>64159</v>
      </c>
      <c r="KAF4">
        <v>1235508</v>
      </c>
      <c r="KAG4" t="s">
        <v>64160</v>
      </c>
      <c r="KAH4">
        <v>1236298</v>
      </c>
      <c r="KAI4" t="s">
        <v>64161</v>
      </c>
      <c r="KAJ4">
        <v>1236482</v>
      </c>
      <c r="KAK4" t="s">
        <v>64162</v>
      </c>
      <c r="KAL4">
        <v>1236625</v>
      </c>
      <c r="KAM4" t="s">
        <v>64163</v>
      </c>
      <c r="KAN4">
        <v>1237437</v>
      </c>
      <c r="KAO4" t="s">
        <v>64164</v>
      </c>
      <c r="KAP4">
        <v>1237442</v>
      </c>
      <c r="KAQ4" t="s">
        <v>64165</v>
      </c>
      <c r="KAR4">
        <v>1237443</v>
      </c>
      <c r="KAS4" t="s">
        <v>64166</v>
      </c>
      <c r="KAT4">
        <v>1237450</v>
      </c>
      <c r="KAU4" t="s">
        <v>64167</v>
      </c>
      <c r="KAV4">
        <v>1237458</v>
      </c>
      <c r="KAW4" t="s">
        <v>64168</v>
      </c>
      <c r="KAX4">
        <v>1237508</v>
      </c>
      <c r="KAY4" t="s">
        <v>64169</v>
      </c>
      <c r="KAZ4">
        <v>1237516</v>
      </c>
      <c r="KBA4" t="s">
        <v>64170</v>
      </c>
      <c r="KBB4">
        <v>1237527</v>
      </c>
      <c r="KBC4" t="s">
        <v>64171</v>
      </c>
      <c r="KBD4">
        <v>1237534</v>
      </c>
      <c r="KBE4" t="s">
        <v>64172</v>
      </c>
      <c r="KBF4">
        <v>1238658</v>
      </c>
      <c r="KBG4" t="s">
        <v>64173</v>
      </c>
      <c r="KBH4">
        <v>1239367</v>
      </c>
      <c r="KBI4" t="s">
        <v>64174</v>
      </c>
      <c r="KBJ4">
        <v>1239431</v>
      </c>
      <c r="KBK4" t="s">
        <v>64175</v>
      </c>
      <c r="KBL4">
        <v>1239447</v>
      </c>
      <c r="KBM4" t="s">
        <v>64176</v>
      </c>
      <c r="KBN4">
        <v>1239462</v>
      </c>
      <c r="KBO4" t="s">
        <v>64177</v>
      </c>
      <c r="KBP4">
        <v>1239471</v>
      </c>
      <c r="KBQ4" t="s">
        <v>64178</v>
      </c>
      <c r="KBR4">
        <v>1239491</v>
      </c>
      <c r="KBS4" t="s">
        <v>64179</v>
      </c>
      <c r="KBT4">
        <v>1239538</v>
      </c>
      <c r="KBU4" t="s">
        <v>64180</v>
      </c>
      <c r="KBV4">
        <v>1239540</v>
      </c>
      <c r="KBW4" t="s">
        <v>64181</v>
      </c>
      <c r="KBX4">
        <v>1239796</v>
      </c>
      <c r="KBY4" t="s">
        <v>64182</v>
      </c>
      <c r="KBZ4">
        <v>1239823</v>
      </c>
      <c r="KCA4" t="s">
        <v>64183</v>
      </c>
      <c r="KCB4">
        <v>1240175</v>
      </c>
      <c r="KCC4" t="s">
        <v>64184</v>
      </c>
      <c r="KCD4">
        <v>1240203</v>
      </c>
      <c r="KCE4" t="s">
        <v>64185</v>
      </c>
      <c r="KCF4">
        <v>1240804</v>
      </c>
      <c r="KCG4" t="s">
        <v>64186</v>
      </c>
      <c r="KCH4">
        <v>1240913</v>
      </c>
      <c r="KCI4" t="s">
        <v>64187</v>
      </c>
      <c r="KCJ4">
        <v>1240914</v>
      </c>
      <c r="KCK4" t="s">
        <v>64188</v>
      </c>
      <c r="KCL4">
        <v>1240951</v>
      </c>
      <c r="KCM4" t="s">
        <v>64189</v>
      </c>
      <c r="KCN4">
        <v>1240970</v>
      </c>
      <c r="KCO4" t="s">
        <v>64190</v>
      </c>
      <c r="KCP4">
        <v>1240981</v>
      </c>
      <c r="KCQ4" t="s">
        <v>64191</v>
      </c>
      <c r="KCR4">
        <v>1241123</v>
      </c>
      <c r="KCS4" t="s">
        <v>64192</v>
      </c>
      <c r="KCT4">
        <v>1241139</v>
      </c>
      <c r="KCU4" t="s">
        <v>64193</v>
      </c>
      <c r="KCV4">
        <v>1241554</v>
      </c>
      <c r="KCW4" t="s">
        <v>64194</v>
      </c>
      <c r="KCX4">
        <v>1241563</v>
      </c>
      <c r="KCY4" t="s">
        <v>64195</v>
      </c>
      <c r="KCZ4">
        <v>1241680</v>
      </c>
      <c r="KDA4" t="s">
        <v>64196</v>
      </c>
      <c r="KDB4">
        <v>1241691</v>
      </c>
      <c r="KDC4" t="s">
        <v>64197</v>
      </c>
      <c r="KDD4">
        <v>1241705</v>
      </c>
      <c r="KDE4" t="s">
        <v>64198</v>
      </c>
      <c r="KDF4">
        <v>1241721</v>
      </c>
      <c r="KDG4" t="s">
        <v>64199</v>
      </c>
      <c r="KDH4">
        <v>1241823</v>
      </c>
      <c r="KDJ4" t="s">
        <v>64200</v>
      </c>
      <c r="KDK4">
        <v>1241841</v>
      </c>
      <c r="KDL4" t="s">
        <v>64201</v>
      </c>
      <c r="KDM4">
        <v>1241924</v>
      </c>
      <c r="KDN4" t="s">
        <v>64202</v>
      </c>
      <c r="KDO4">
        <v>1241937</v>
      </c>
      <c r="KDP4" t="s">
        <v>64203</v>
      </c>
      <c r="KDQ4">
        <v>1241946</v>
      </c>
      <c r="KDR4" t="s">
        <v>64204</v>
      </c>
      <c r="KDS4">
        <v>1241980</v>
      </c>
      <c r="KDT4" t="s">
        <v>64205</v>
      </c>
      <c r="KDU4">
        <v>1241993</v>
      </c>
      <c r="KDV4" t="s">
        <v>64206</v>
      </c>
      <c r="KDW4">
        <v>1242074</v>
      </c>
      <c r="KDY4" t="s">
        <v>64207</v>
      </c>
      <c r="KDZ4">
        <v>1242103</v>
      </c>
      <c r="KEC4" t="s">
        <v>64208</v>
      </c>
      <c r="KED4">
        <v>1242515</v>
      </c>
      <c r="KEE4" t="s">
        <v>64209</v>
      </c>
      <c r="KEF4">
        <v>1242529</v>
      </c>
      <c r="KEG4" t="s">
        <v>64210</v>
      </c>
      <c r="KEH4">
        <v>1242592</v>
      </c>
      <c r="KEI4" t="s">
        <v>64211</v>
      </c>
      <c r="KEJ4">
        <v>1242600</v>
      </c>
      <c r="KEK4" t="s">
        <v>64212</v>
      </c>
      <c r="KEL4">
        <v>1242647</v>
      </c>
      <c r="KEM4" t="s">
        <v>64213</v>
      </c>
      <c r="KEN4">
        <v>1242665</v>
      </c>
      <c r="KEO4" t="s">
        <v>64214</v>
      </c>
      <c r="KEP4">
        <v>1242722</v>
      </c>
      <c r="KEQ4" t="s">
        <v>64215</v>
      </c>
      <c r="KER4">
        <v>1242778</v>
      </c>
      <c r="KES4" t="s">
        <v>64216</v>
      </c>
      <c r="KET4">
        <v>1242779</v>
      </c>
      <c r="KEU4" t="s">
        <v>64217</v>
      </c>
      <c r="KEV4">
        <v>1242872</v>
      </c>
      <c r="KEW4" t="s">
        <v>64218</v>
      </c>
      <c r="KEX4">
        <v>1243694</v>
      </c>
      <c r="KEY4" t="s">
        <v>64219</v>
      </c>
      <c r="KEZ4">
        <v>1244036</v>
      </c>
      <c r="KFA4" t="s">
        <v>64220</v>
      </c>
      <c r="KFB4">
        <v>1244075</v>
      </c>
      <c r="KFC4" t="s">
        <v>64221</v>
      </c>
      <c r="KFD4">
        <v>1244089</v>
      </c>
      <c r="KFE4" t="s">
        <v>64222</v>
      </c>
      <c r="KFF4">
        <v>1244116</v>
      </c>
      <c r="KFG4" t="s">
        <v>64223</v>
      </c>
      <c r="KFH4">
        <v>1244130</v>
      </c>
      <c r="KFJ4" t="s">
        <v>64224</v>
      </c>
      <c r="KFK4">
        <v>1244159</v>
      </c>
      <c r="KFL4" t="s">
        <v>64225</v>
      </c>
      <c r="KFM4">
        <v>1244173</v>
      </c>
      <c r="KFN4" t="s">
        <v>64226</v>
      </c>
      <c r="KFO4">
        <v>1244196</v>
      </c>
      <c r="KFP4" t="s">
        <v>64227</v>
      </c>
      <c r="KFQ4">
        <v>1244211</v>
      </c>
      <c r="KFR4" t="s">
        <v>64228</v>
      </c>
      <c r="KFS4">
        <v>1244227</v>
      </c>
      <c r="KFU4" t="s">
        <v>64229</v>
      </c>
      <c r="KFV4">
        <v>1244228</v>
      </c>
      <c r="KFW4" t="s">
        <v>64230</v>
      </c>
      <c r="KFX4">
        <v>1244243</v>
      </c>
      <c r="KFY4" t="s">
        <v>64231</v>
      </c>
      <c r="KFZ4">
        <v>1244249</v>
      </c>
      <c r="KGA4" t="s">
        <v>64232</v>
      </c>
      <c r="KGB4">
        <v>1244272</v>
      </c>
      <c r="KGC4" t="s">
        <v>64233</v>
      </c>
      <c r="KGD4">
        <v>1244280</v>
      </c>
      <c r="KGE4" t="s">
        <v>64234</v>
      </c>
      <c r="KGF4">
        <v>1244291</v>
      </c>
      <c r="KGG4" t="s">
        <v>64235</v>
      </c>
      <c r="KGH4">
        <v>1244301</v>
      </c>
      <c r="KGI4" t="s">
        <v>64236</v>
      </c>
      <c r="KGJ4">
        <v>1244308</v>
      </c>
      <c r="KGK4" t="s">
        <v>64237</v>
      </c>
      <c r="KGL4">
        <v>1244337</v>
      </c>
      <c r="KGM4" t="s">
        <v>64238</v>
      </c>
      <c r="KGN4">
        <v>1244350</v>
      </c>
      <c r="KGO4" t="s">
        <v>64239</v>
      </c>
      <c r="KGP4">
        <v>1244363</v>
      </c>
      <c r="KGQ4" t="s">
        <v>64240</v>
      </c>
      <c r="KGR4">
        <v>1244364</v>
      </c>
      <c r="KGS4" t="s">
        <v>64241</v>
      </c>
      <c r="KGT4">
        <v>1244379</v>
      </c>
      <c r="KGU4" t="s">
        <v>64242</v>
      </c>
      <c r="KGV4">
        <v>1244456</v>
      </c>
      <c r="KGW4" t="s">
        <v>64243</v>
      </c>
      <c r="KGX4">
        <v>1244751</v>
      </c>
      <c r="KGY4" t="s">
        <v>64244</v>
      </c>
      <c r="KGZ4">
        <v>1244772</v>
      </c>
      <c r="KHA4" t="s">
        <v>64245</v>
      </c>
      <c r="KHB4">
        <v>1244809</v>
      </c>
      <c r="KHC4" t="s">
        <v>64246</v>
      </c>
      <c r="KHD4">
        <v>1244855</v>
      </c>
      <c r="KHE4" t="s">
        <v>64247</v>
      </c>
      <c r="KHF4">
        <v>1245273</v>
      </c>
      <c r="KHG4" t="s">
        <v>64248</v>
      </c>
      <c r="KHH4">
        <v>1245321</v>
      </c>
      <c r="KHI4" t="s">
        <v>64249</v>
      </c>
      <c r="KHJ4">
        <v>1245454</v>
      </c>
      <c r="KHK4" t="s">
        <v>64250</v>
      </c>
      <c r="KHL4">
        <v>1245557</v>
      </c>
      <c r="KHM4" t="s">
        <v>64251</v>
      </c>
      <c r="KHN4">
        <v>1245563</v>
      </c>
      <c r="KHO4" t="s">
        <v>64252</v>
      </c>
      <c r="KHP4">
        <v>1246492</v>
      </c>
      <c r="KHQ4" t="s">
        <v>64253</v>
      </c>
      <c r="KHR4">
        <v>1246511</v>
      </c>
      <c r="KHS4" t="s">
        <v>64254</v>
      </c>
      <c r="KHT4">
        <v>1246516</v>
      </c>
      <c r="KHU4" t="s">
        <v>64255</v>
      </c>
      <c r="KHV4">
        <v>1246527</v>
      </c>
      <c r="KHW4" t="s">
        <v>64256</v>
      </c>
      <c r="KHX4">
        <v>1247964</v>
      </c>
      <c r="KHY4" t="s">
        <v>64257</v>
      </c>
      <c r="KHZ4">
        <v>1248073</v>
      </c>
      <c r="KIA4" t="s">
        <v>64258</v>
      </c>
      <c r="KIB4">
        <v>1248111</v>
      </c>
      <c r="KIC4" t="s">
        <v>64259</v>
      </c>
      <c r="KID4">
        <v>1248119</v>
      </c>
      <c r="KIE4" t="s">
        <v>64260</v>
      </c>
      <c r="KIF4">
        <v>1248156</v>
      </c>
      <c r="KIG4" t="s">
        <v>64261</v>
      </c>
      <c r="KIH4">
        <v>1248246</v>
      </c>
      <c r="KII4" t="s">
        <v>64262</v>
      </c>
      <c r="KIJ4">
        <v>1248312</v>
      </c>
      <c r="KIK4" t="s">
        <v>64263</v>
      </c>
      <c r="KIL4">
        <v>1248864</v>
      </c>
      <c r="KIM4" t="s">
        <v>64264</v>
      </c>
      <c r="KIN4">
        <v>1248882</v>
      </c>
      <c r="KIO4" t="s">
        <v>64265</v>
      </c>
      <c r="KIP4">
        <v>1248968</v>
      </c>
      <c r="KIQ4" t="s">
        <v>64266</v>
      </c>
      <c r="KIR4">
        <v>1249021</v>
      </c>
      <c r="KIS4" t="s">
        <v>64267</v>
      </c>
      <c r="KIT4">
        <v>1249032</v>
      </c>
      <c r="KIU4" t="s">
        <v>64268</v>
      </c>
      <c r="KIV4">
        <v>1249047</v>
      </c>
      <c r="KIW4" t="s">
        <v>64269</v>
      </c>
      <c r="KIX4">
        <v>1249071</v>
      </c>
      <c r="KIY4" t="s">
        <v>64270</v>
      </c>
      <c r="KIZ4">
        <v>1249084</v>
      </c>
      <c r="KJA4" t="s">
        <v>64271</v>
      </c>
      <c r="KJB4">
        <v>1249607</v>
      </c>
      <c r="KJC4" t="s">
        <v>64272</v>
      </c>
      <c r="KJD4">
        <v>1250125</v>
      </c>
      <c r="KJE4" t="s">
        <v>64273</v>
      </c>
      <c r="KJF4">
        <v>1250131</v>
      </c>
      <c r="KJG4" t="s">
        <v>64274</v>
      </c>
      <c r="KJH4">
        <v>1250668</v>
      </c>
      <c r="KJI4" t="s">
        <v>64275</v>
      </c>
      <c r="KJJ4">
        <v>1250719</v>
      </c>
      <c r="KJK4" t="s">
        <v>64276</v>
      </c>
      <c r="KJL4">
        <v>1250777</v>
      </c>
      <c r="KJM4" t="s">
        <v>64277</v>
      </c>
      <c r="KJN4">
        <v>1250834</v>
      </c>
      <c r="KJO4" t="s">
        <v>64278</v>
      </c>
      <c r="KJP4">
        <v>1250970</v>
      </c>
      <c r="KJQ4" t="s">
        <v>64279</v>
      </c>
      <c r="KJR4">
        <v>1250981</v>
      </c>
      <c r="KJS4" t="s">
        <v>64280</v>
      </c>
      <c r="KJT4">
        <v>1250987</v>
      </c>
      <c r="KJU4" t="s">
        <v>64281</v>
      </c>
      <c r="KJV4">
        <v>1251008</v>
      </c>
      <c r="KJW4" t="s">
        <v>64282</v>
      </c>
      <c r="KJX4">
        <v>1251042</v>
      </c>
      <c r="KJY4" t="s">
        <v>64283</v>
      </c>
      <c r="KJZ4">
        <v>1251061</v>
      </c>
      <c r="KKA4" t="s">
        <v>64284</v>
      </c>
      <c r="KKB4">
        <v>1251075</v>
      </c>
      <c r="KKC4" t="s">
        <v>64285</v>
      </c>
      <c r="KKD4">
        <v>1251095</v>
      </c>
      <c r="KKE4" t="s">
        <v>64286</v>
      </c>
      <c r="KKF4">
        <v>1251253</v>
      </c>
      <c r="KKG4" t="s">
        <v>64287</v>
      </c>
      <c r="KKH4">
        <v>1251259</v>
      </c>
      <c r="KKI4" t="s">
        <v>64288</v>
      </c>
      <c r="KKJ4">
        <v>1251302</v>
      </c>
      <c r="KKK4" t="s">
        <v>64289</v>
      </c>
      <c r="KKL4">
        <v>1251308</v>
      </c>
      <c r="KKM4" t="s">
        <v>64290</v>
      </c>
      <c r="KKN4">
        <v>1251314</v>
      </c>
      <c r="KKO4" t="s">
        <v>64291</v>
      </c>
      <c r="KKP4">
        <v>1251321</v>
      </c>
      <c r="KKQ4" t="s">
        <v>64292</v>
      </c>
      <c r="KKR4">
        <v>1251504</v>
      </c>
      <c r="KKS4" t="s">
        <v>64293</v>
      </c>
      <c r="KKT4">
        <v>1251541</v>
      </c>
      <c r="KKU4" t="s">
        <v>64294</v>
      </c>
      <c r="KKV4">
        <v>1251681</v>
      </c>
      <c r="KKW4" t="s">
        <v>64295</v>
      </c>
      <c r="KKX4">
        <v>1251827</v>
      </c>
      <c r="KKY4" t="s">
        <v>64296</v>
      </c>
      <c r="KKZ4">
        <v>1251840</v>
      </c>
      <c r="KLA4" t="s">
        <v>64297</v>
      </c>
      <c r="KLB4">
        <v>1251880</v>
      </c>
      <c r="KLC4" t="s">
        <v>64298</v>
      </c>
      <c r="KLD4">
        <v>1251897</v>
      </c>
      <c r="KLE4" t="s">
        <v>64299</v>
      </c>
      <c r="KLF4">
        <v>1251914</v>
      </c>
      <c r="KLG4" t="s">
        <v>64300</v>
      </c>
      <c r="KLH4">
        <v>1252611</v>
      </c>
      <c r="KLI4" t="s">
        <v>64301</v>
      </c>
      <c r="KLJ4">
        <v>1252632</v>
      </c>
      <c r="KLK4" t="s">
        <v>64302</v>
      </c>
      <c r="KLL4">
        <v>1252648</v>
      </c>
      <c r="KLM4" t="s">
        <v>64303</v>
      </c>
      <c r="KLN4">
        <v>1252664</v>
      </c>
      <c r="KLO4" t="s">
        <v>64304</v>
      </c>
      <c r="KLP4">
        <v>1253113</v>
      </c>
      <c r="KLQ4" t="s">
        <v>64305</v>
      </c>
      <c r="KLR4">
        <v>1253118</v>
      </c>
      <c r="KLS4" t="s">
        <v>64306</v>
      </c>
      <c r="KLT4">
        <v>1253152</v>
      </c>
      <c r="KLU4" t="s">
        <v>64307</v>
      </c>
      <c r="KLV4">
        <v>1253166</v>
      </c>
      <c r="KLW4" t="s">
        <v>64308</v>
      </c>
      <c r="KLX4">
        <v>1253247</v>
      </c>
      <c r="KLY4" t="s">
        <v>64309</v>
      </c>
      <c r="KLZ4">
        <v>1253255</v>
      </c>
      <c r="KMA4" t="s">
        <v>64310</v>
      </c>
      <c r="KMB4">
        <v>1253262</v>
      </c>
      <c r="KMD4" t="s">
        <v>64311</v>
      </c>
      <c r="KME4">
        <v>1253639</v>
      </c>
      <c r="KMF4" t="s">
        <v>64312</v>
      </c>
      <c r="KMG4">
        <v>1253654</v>
      </c>
      <c r="KMH4" t="s">
        <v>64313</v>
      </c>
      <c r="KMI4">
        <v>1253664</v>
      </c>
      <c r="KMJ4" t="s">
        <v>64314</v>
      </c>
      <c r="KMK4">
        <v>1253742</v>
      </c>
      <c r="KML4" t="s">
        <v>64315</v>
      </c>
      <c r="KMM4">
        <v>1253793</v>
      </c>
      <c r="KMN4" t="s">
        <v>64316</v>
      </c>
      <c r="KMO4">
        <v>1253821</v>
      </c>
      <c r="KMP4" t="s">
        <v>64317</v>
      </c>
      <c r="KMQ4">
        <v>1253832</v>
      </c>
      <c r="KMR4" t="s">
        <v>64318</v>
      </c>
      <c r="KMS4">
        <v>1253835</v>
      </c>
      <c r="KMT4" t="s">
        <v>64319</v>
      </c>
      <c r="KMU4">
        <v>1253875</v>
      </c>
      <c r="KMV4" t="s">
        <v>64320</v>
      </c>
      <c r="KMW4">
        <v>1254835</v>
      </c>
      <c r="KMX4" t="s">
        <v>64321</v>
      </c>
      <c r="KMY4">
        <v>1254850</v>
      </c>
      <c r="KMZ4" t="s">
        <v>64322</v>
      </c>
      <c r="KNA4">
        <v>1254886</v>
      </c>
      <c r="KNB4" t="s">
        <v>64323</v>
      </c>
      <c r="KNC4">
        <v>1254887</v>
      </c>
      <c r="KND4" t="s">
        <v>64324</v>
      </c>
      <c r="KNE4">
        <v>1254897</v>
      </c>
      <c r="KNF4" t="s">
        <v>64325</v>
      </c>
      <c r="KNG4">
        <v>1254917</v>
      </c>
      <c r="KNH4" t="s">
        <v>64326</v>
      </c>
      <c r="KNI4">
        <v>1254924</v>
      </c>
      <c r="KNJ4" t="s">
        <v>64327</v>
      </c>
      <c r="KNK4">
        <v>1254943</v>
      </c>
      <c r="KNL4" t="s">
        <v>64328</v>
      </c>
      <c r="KNM4">
        <v>1254963</v>
      </c>
      <c r="KNN4" t="s">
        <v>64329</v>
      </c>
      <c r="KNO4">
        <v>1255074</v>
      </c>
      <c r="KNP4" t="s">
        <v>64330</v>
      </c>
      <c r="KNQ4">
        <v>1255078</v>
      </c>
      <c r="KNR4" t="s">
        <v>64331</v>
      </c>
      <c r="KNS4">
        <v>1255128</v>
      </c>
      <c r="KNT4" t="s">
        <v>64332</v>
      </c>
      <c r="KNU4">
        <v>1255133</v>
      </c>
      <c r="KNV4" t="s">
        <v>64333</v>
      </c>
      <c r="KNW4">
        <v>1255134</v>
      </c>
      <c r="KNX4" t="s">
        <v>64334</v>
      </c>
      <c r="KNY4">
        <v>1255139</v>
      </c>
      <c r="KNZ4" t="s">
        <v>64335</v>
      </c>
      <c r="KOA4">
        <v>1255189</v>
      </c>
      <c r="KOB4" t="s">
        <v>64336</v>
      </c>
      <c r="KOC4">
        <v>1255219</v>
      </c>
      <c r="KOD4" t="s">
        <v>64337</v>
      </c>
      <c r="KOE4">
        <v>1255254</v>
      </c>
      <c r="KOF4" t="s">
        <v>64338</v>
      </c>
      <c r="KOG4">
        <v>1255274</v>
      </c>
      <c r="KOH4" t="s">
        <v>64339</v>
      </c>
      <c r="KOI4">
        <v>1255317</v>
      </c>
      <c r="KOJ4" t="s">
        <v>64340</v>
      </c>
      <c r="KOK4">
        <v>1255334</v>
      </c>
      <c r="KOL4" t="s">
        <v>64341</v>
      </c>
      <c r="KOM4">
        <v>1255861</v>
      </c>
      <c r="KON4" t="s">
        <v>64342</v>
      </c>
      <c r="KOO4">
        <v>1255867</v>
      </c>
      <c r="KOP4" t="s">
        <v>64343</v>
      </c>
      <c r="KOQ4">
        <v>1255891</v>
      </c>
      <c r="KOR4" t="s">
        <v>64344</v>
      </c>
      <c r="KOS4">
        <v>1255895</v>
      </c>
      <c r="KOT4" t="s">
        <v>64345</v>
      </c>
      <c r="KOU4">
        <v>1255920</v>
      </c>
      <c r="KOV4" t="s">
        <v>64346</v>
      </c>
      <c r="KOW4">
        <v>1255951</v>
      </c>
      <c r="KOX4" t="s">
        <v>64347</v>
      </c>
      <c r="KOY4">
        <v>1255960</v>
      </c>
      <c r="KOZ4" t="s">
        <v>64348</v>
      </c>
      <c r="KPA4">
        <v>1255966</v>
      </c>
      <c r="KPB4" t="s">
        <v>64349</v>
      </c>
      <c r="KPC4">
        <v>1255981</v>
      </c>
      <c r="KPD4" t="s">
        <v>64350</v>
      </c>
      <c r="KPE4">
        <v>1256030</v>
      </c>
      <c r="KPF4" t="s">
        <v>64351</v>
      </c>
      <c r="KPG4">
        <v>1258283</v>
      </c>
      <c r="KPH4" t="s">
        <v>64352</v>
      </c>
      <c r="KPI4">
        <v>1258291</v>
      </c>
      <c r="KPJ4" t="s">
        <v>64353</v>
      </c>
      <c r="KPK4">
        <v>1259329</v>
      </c>
      <c r="KPL4" t="s">
        <v>64354</v>
      </c>
      <c r="KPM4">
        <v>1259348</v>
      </c>
      <c r="KPN4" t="s">
        <v>64355</v>
      </c>
      <c r="KPO4">
        <v>1259395</v>
      </c>
      <c r="KPP4" t="s">
        <v>64356</v>
      </c>
      <c r="KPQ4">
        <v>1259402</v>
      </c>
      <c r="KPR4" t="s">
        <v>64357</v>
      </c>
      <c r="KPS4">
        <v>1259467</v>
      </c>
      <c r="KPU4" t="s">
        <v>64358</v>
      </c>
      <c r="KPV4">
        <v>1259524</v>
      </c>
      <c r="KPW4" t="s">
        <v>64359</v>
      </c>
      <c r="KPX4">
        <v>1259530</v>
      </c>
      <c r="KPY4" t="s">
        <v>64360</v>
      </c>
      <c r="KPZ4">
        <v>1259544</v>
      </c>
      <c r="KQA4" t="s">
        <v>64361</v>
      </c>
      <c r="KQB4">
        <v>1259654</v>
      </c>
      <c r="KQD4" t="s">
        <v>64362</v>
      </c>
      <c r="KQE4">
        <v>1259662</v>
      </c>
      <c r="KQG4" t="s">
        <v>64363</v>
      </c>
      <c r="KQH4">
        <v>1259667</v>
      </c>
      <c r="KQI4" t="s">
        <v>64364</v>
      </c>
      <c r="KQJ4">
        <v>1259673</v>
      </c>
      <c r="KQK4" t="s">
        <v>64365</v>
      </c>
      <c r="KQL4">
        <v>1260193</v>
      </c>
      <c r="KQM4" t="s">
        <v>64366</v>
      </c>
      <c r="KQN4">
        <v>1260259</v>
      </c>
      <c r="KQO4" t="s">
        <v>64367</v>
      </c>
      <c r="KQP4">
        <v>1260267</v>
      </c>
      <c r="KQQ4" t="s">
        <v>64368</v>
      </c>
      <c r="KQR4">
        <v>1260272</v>
      </c>
      <c r="KQS4" t="s">
        <v>64369</v>
      </c>
      <c r="KQT4">
        <v>1260288</v>
      </c>
      <c r="KQU4" t="s">
        <v>64370</v>
      </c>
      <c r="KQV4">
        <v>1260305</v>
      </c>
      <c r="KQW4" t="s">
        <v>64371</v>
      </c>
      <c r="KQX4">
        <v>1260323</v>
      </c>
      <c r="KQY4" t="s">
        <v>64372</v>
      </c>
      <c r="KQZ4">
        <v>1260337</v>
      </c>
      <c r="KRA4" t="s">
        <v>64373</v>
      </c>
      <c r="KRB4">
        <v>1260348</v>
      </c>
      <c r="KRC4" t="s">
        <v>64374</v>
      </c>
      <c r="KRD4">
        <v>1260384</v>
      </c>
      <c r="KRE4" t="s">
        <v>64375</v>
      </c>
      <c r="KRF4">
        <v>1260406</v>
      </c>
      <c r="KRG4" t="s">
        <v>64376</v>
      </c>
      <c r="KRH4">
        <v>1260513</v>
      </c>
      <c r="KRI4" t="s">
        <v>64377</v>
      </c>
      <c r="KRJ4">
        <v>1260580</v>
      </c>
      <c r="KRK4" t="s">
        <v>64378</v>
      </c>
      <c r="KRL4">
        <v>1260656</v>
      </c>
      <c r="KRM4" t="s">
        <v>64379</v>
      </c>
      <c r="KRN4">
        <v>1260715</v>
      </c>
      <c r="KRO4" t="s">
        <v>64380</v>
      </c>
      <c r="KRP4">
        <v>1260726</v>
      </c>
      <c r="KRQ4" t="s">
        <v>64381</v>
      </c>
      <c r="KRR4">
        <v>1262138</v>
      </c>
      <c r="KRS4" t="s">
        <v>64382</v>
      </c>
      <c r="KRT4">
        <v>1262143</v>
      </c>
      <c r="KRU4" t="s">
        <v>64383</v>
      </c>
      <c r="KRV4">
        <v>1262147</v>
      </c>
      <c r="KRW4" t="s">
        <v>64384</v>
      </c>
      <c r="KRX4">
        <v>1262166</v>
      </c>
      <c r="KRY4" t="s">
        <v>64385</v>
      </c>
      <c r="KRZ4">
        <v>1262167</v>
      </c>
      <c r="KSA4" t="s">
        <v>64386</v>
      </c>
      <c r="KSB4">
        <v>1262183</v>
      </c>
      <c r="KSC4" t="s">
        <v>64387</v>
      </c>
      <c r="KSD4">
        <v>1262187</v>
      </c>
      <c r="KSE4" t="s">
        <v>64388</v>
      </c>
      <c r="KSF4">
        <v>1262302</v>
      </c>
      <c r="KSG4" t="s">
        <v>64389</v>
      </c>
      <c r="KSH4">
        <v>1262329</v>
      </c>
      <c r="KSI4" t="s">
        <v>64390</v>
      </c>
      <c r="KSJ4">
        <v>1262340</v>
      </c>
      <c r="KSK4" t="s">
        <v>64391</v>
      </c>
      <c r="KSL4">
        <v>1262925</v>
      </c>
      <c r="KSM4" t="s">
        <v>64392</v>
      </c>
      <c r="KSN4">
        <v>1262937</v>
      </c>
      <c r="KSO4" t="s">
        <v>64393</v>
      </c>
      <c r="KSP4">
        <v>1262962</v>
      </c>
      <c r="KSQ4" t="s">
        <v>64394</v>
      </c>
      <c r="KSR4">
        <v>1262984</v>
      </c>
      <c r="KSS4" t="s">
        <v>64395</v>
      </c>
      <c r="KST4">
        <v>1262994</v>
      </c>
      <c r="KSU4" t="s">
        <v>64396</v>
      </c>
      <c r="KSV4">
        <v>1263183</v>
      </c>
      <c r="KSW4" t="s">
        <v>64397</v>
      </c>
      <c r="KSX4">
        <v>1263193</v>
      </c>
      <c r="KSY4" t="s">
        <v>64398</v>
      </c>
      <c r="KSZ4">
        <v>1263909</v>
      </c>
      <c r="KTA4" t="s">
        <v>64399</v>
      </c>
      <c r="KTB4">
        <v>1264264</v>
      </c>
      <c r="KTC4" t="s">
        <v>64400</v>
      </c>
      <c r="KTD4">
        <v>1264290</v>
      </c>
      <c r="KTE4" t="s">
        <v>64401</v>
      </c>
      <c r="KTF4">
        <v>1264308</v>
      </c>
      <c r="KTG4" t="s">
        <v>64402</v>
      </c>
      <c r="KTH4">
        <v>1264323</v>
      </c>
      <c r="KTI4" t="s">
        <v>64403</v>
      </c>
      <c r="KTJ4">
        <v>1265436</v>
      </c>
      <c r="KTK4" t="s">
        <v>64404</v>
      </c>
      <c r="KTL4">
        <v>1265470</v>
      </c>
      <c r="KTM4" t="s">
        <v>64405</v>
      </c>
      <c r="KTN4">
        <v>1267201</v>
      </c>
      <c r="KTO4" t="s">
        <v>64406</v>
      </c>
      <c r="KTP4">
        <v>1267535</v>
      </c>
      <c r="KTQ4" t="s">
        <v>64407</v>
      </c>
      <c r="KTR4">
        <v>1267545</v>
      </c>
      <c r="KTS4" t="s">
        <v>64408</v>
      </c>
      <c r="KTT4">
        <v>1267547</v>
      </c>
      <c r="KTU4" t="s">
        <v>64409</v>
      </c>
      <c r="KTV4">
        <v>1267578</v>
      </c>
      <c r="KTW4" t="s">
        <v>64410</v>
      </c>
      <c r="KTX4">
        <v>1269059</v>
      </c>
      <c r="KTY4" t="s">
        <v>64411</v>
      </c>
      <c r="KTZ4">
        <v>1269067</v>
      </c>
      <c r="KUA4" t="s">
        <v>64412</v>
      </c>
      <c r="KUB4">
        <v>1269075</v>
      </c>
      <c r="KUC4" t="s">
        <v>64413</v>
      </c>
      <c r="KUD4">
        <v>1269083</v>
      </c>
      <c r="KUE4" t="s">
        <v>64414</v>
      </c>
      <c r="KUF4">
        <v>1269091</v>
      </c>
      <c r="KUG4" t="s">
        <v>64415</v>
      </c>
      <c r="KUH4">
        <v>1270102</v>
      </c>
      <c r="KUJ4" t="s">
        <v>64416</v>
      </c>
      <c r="KUK4">
        <v>1270157</v>
      </c>
      <c r="KUL4" t="s">
        <v>64417</v>
      </c>
      <c r="KUM4">
        <v>1270177</v>
      </c>
      <c r="KUN4" t="s">
        <v>64418</v>
      </c>
      <c r="KUO4">
        <v>1270193</v>
      </c>
      <c r="KUP4" t="s">
        <v>64419</v>
      </c>
      <c r="KUQ4">
        <v>1270199</v>
      </c>
      <c r="KUR4" t="s">
        <v>64420</v>
      </c>
      <c r="KUS4">
        <v>1270219</v>
      </c>
      <c r="KUT4" t="s">
        <v>64421</v>
      </c>
      <c r="KUU4">
        <v>1270287</v>
      </c>
      <c r="KUV4" t="s">
        <v>64422</v>
      </c>
      <c r="KUW4">
        <v>1270299</v>
      </c>
      <c r="KUX4" t="s">
        <v>64423</v>
      </c>
      <c r="KUY4">
        <v>1270304</v>
      </c>
      <c r="KVA4" t="s">
        <v>64424</v>
      </c>
      <c r="KVB4">
        <v>1271672</v>
      </c>
      <c r="KVC4" t="s">
        <v>64425</v>
      </c>
      <c r="KVD4">
        <v>1272258</v>
      </c>
      <c r="KVE4" t="s">
        <v>64426</v>
      </c>
      <c r="KVF4">
        <v>1273494</v>
      </c>
      <c r="KVG4" t="s">
        <v>64427</v>
      </c>
      <c r="KVH4">
        <v>1273513</v>
      </c>
      <c r="KVI4" t="s">
        <v>64428</v>
      </c>
      <c r="KVJ4">
        <v>1273578</v>
      </c>
      <c r="KVK4" t="s">
        <v>64429</v>
      </c>
      <c r="KVL4">
        <v>1273971</v>
      </c>
      <c r="KVM4" t="s">
        <v>64430</v>
      </c>
      <c r="KVN4">
        <v>1273979</v>
      </c>
      <c r="KVO4" t="s">
        <v>64431</v>
      </c>
      <c r="KVP4">
        <v>1273994</v>
      </c>
      <c r="KVQ4" t="s">
        <v>64432</v>
      </c>
      <c r="KVR4">
        <v>1274011</v>
      </c>
      <c r="KVS4" t="s">
        <v>64433</v>
      </c>
      <c r="KVT4">
        <v>1274054</v>
      </c>
      <c r="KVU4" t="s">
        <v>64434</v>
      </c>
      <c r="KVV4">
        <v>1275213</v>
      </c>
      <c r="KVW4" t="s">
        <v>64435</v>
      </c>
      <c r="KVX4">
        <v>1275228</v>
      </c>
      <c r="KVY4" t="s">
        <v>64436</v>
      </c>
      <c r="KVZ4">
        <v>1275280</v>
      </c>
      <c r="KWA4" t="s">
        <v>64437</v>
      </c>
      <c r="KWB4">
        <v>1275287</v>
      </c>
      <c r="KWC4" t="s">
        <v>64438</v>
      </c>
      <c r="KWD4">
        <v>1275772</v>
      </c>
      <c r="KWE4" t="s">
        <v>64439</v>
      </c>
      <c r="KWF4">
        <v>1275989</v>
      </c>
      <c r="KWG4" t="s">
        <v>64440</v>
      </c>
      <c r="KWH4">
        <v>1275999</v>
      </c>
      <c r="KWI4" t="s">
        <v>64441</v>
      </c>
      <c r="KWJ4">
        <v>1276012</v>
      </c>
      <c r="KWK4" t="s">
        <v>64442</v>
      </c>
      <c r="KWL4">
        <v>1276087</v>
      </c>
      <c r="KWM4" t="s">
        <v>64443</v>
      </c>
      <c r="KWN4">
        <v>1276103</v>
      </c>
      <c r="KWO4" t="s">
        <v>64444</v>
      </c>
      <c r="KWP4">
        <v>1276137</v>
      </c>
      <c r="KWQ4" t="s">
        <v>64445</v>
      </c>
      <c r="KWR4">
        <v>1276144</v>
      </c>
      <c r="KWS4" t="s">
        <v>64446</v>
      </c>
      <c r="KWT4">
        <v>1276220</v>
      </c>
      <c r="KWV4" t="s">
        <v>64447</v>
      </c>
      <c r="KWW4">
        <v>1277008</v>
      </c>
      <c r="KWX4" t="s">
        <v>64448</v>
      </c>
      <c r="KWY4">
        <v>1277018</v>
      </c>
      <c r="KWZ4" t="s">
        <v>64449</v>
      </c>
      <c r="KXA4">
        <v>1277055</v>
      </c>
      <c r="KXB4" t="s">
        <v>64450</v>
      </c>
      <c r="KXC4">
        <v>1277059</v>
      </c>
      <c r="KXD4" t="s">
        <v>64451</v>
      </c>
      <c r="KXE4">
        <v>1277062</v>
      </c>
      <c r="KXF4" t="s">
        <v>64452</v>
      </c>
      <c r="KXG4">
        <v>1277098</v>
      </c>
      <c r="KXH4" t="s">
        <v>64453</v>
      </c>
      <c r="KXI4">
        <v>1277120</v>
      </c>
      <c r="KXJ4" t="s">
        <v>64454</v>
      </c>
      <c r="KXK4">
        <v>1277249</v>
      </c>
      <c r="KXL4" t="s">
        <v>64455</v>
      </c>
      <c r="KXM4">
        <v>1277254</v>
      </c>
      <c r="KXN4" t="s">
        <v>64456</v>
      </c>
      <c r="KXO4">
        <v>1277270</v>
      </c>
      <c r="KXP4" t="s">
        <v>64457</v>
      </c>
      <c r="KXQ4">
        <v>1277697</v>
      </c>
      <c r="KXR4" t="s">
        <v>64458</v>
      </c>
      <c r="KXS4">
        <v>1278094</v>
      </c>
      <c r="KXT4" t="s">
        <v>64459</v>
      </c>
      <c r="KXU4">
        <v>1278100</v>
      </c>
      <c r="KXV4" t="s">
        <v>64460</v>
      </c>
      <c r="KXW4">
        <v>1278109</v>
      </c>
      <c r="KXX4" t="s">
        <v>64461</v>
      </c>
      <c r="KXY4">
        <v>1278381</v>
      </c>
      <c r="KXZ4" t="s">
        <v>64462</v>
      </c>
      <c r="KYA4">
        <v>1278515</v>
      </c>
      <c r="KYB4" t="s">
        <v>64463</v>
      </c>
      <c r="KYC4">
        <v>1280434</v>
      </c>
      <c r="KYD4" t="s">
        <v>64464</v>
      </c>
      <c r="KYE4">
        <v>1280437</v>
      </c>
      <c r="KYF4" t="s">
        <v>64465</v>
      </c>
      <c r="KYG4">
        <v>1280442</v>
      </c>
      <c r="KYH4" t="s">
        <v>64466</v>
      </c>
      <c r="KYI4">
        <v>1280449</v>
      </c>
      <c r="KYJ4" t="s">
        <v>64467</v>
      </c>
      <c r="KYK4">
        <v>1280487</v>
      </c>
      <c r="KYL4" t="s">
        <v>64468</v>
      </c>
      <c r="KYM4">
        <v>1285447</v>
      </c>
      <c r="KYN4" t="s">
        <v>64469</v>
      </c>
      <c r="KYO4">
        <v>1285519</v>
      </c>
      <c r="KYP4" t="s">
        <v>64470</v>
      </c>
      <c r="KYQ4">
        <v>1285529</v>
      </c>
      <c r="KYR4" t="s">
        <v>64471</v>
      </c>
      <c r="KYS4">
        <v>1286869</v>
      </c>
      <c r="KYT4" t="s">
        <v>64472</v>
      </c>
      <c r="KYU4">
        <v>1286914</v>
      </c>
      <c r="KYV4" t="s">
        <v>64473</v>
      </c>
      <c r="KYW4">
        <v>1286945</v>
      </c>
      <c r="KYX4" t="s">
        <v>64474</v>
      </c>
      <c r="KYY4">
        <v>1286951</v>
      </c>
      <c r="KYZ4" t="s">
        <v>64475</v>
      </c>
      <c r="KZA4">
        <v>1286962</v>
      </c>
      <c r="KZB4" t="s">
        <v>64476</v>
      </c>
      <c r="KZC4">
        <v>1286994</v>
      </c>
      <c r="KZD4" t="s">
        <v>64477</v>
      </c>
      <c r="KZE4">
        <v>1287001</v>
      </c>
      <c r="KZF4" t="s">
        <v>64478</v>
      </c>
      <c r="KZG4">
        <v>1287039</v>
      </c>
      <c r="KZH4" t="s">
        <v>64479</v>
      </c>
      <c r="KZI4">
        <v>1287096</v>
      </c>
      <c r="KZJ4" t="s">
        <v>64480</v>
      </c>
      <c r="KZK4">
        <v>1287650</v>
      </c>
      <c r="KZL4" t="s">
        <v>64481</v>
      </c>
      <c r="KZM4">
        <v>1287669</v>
      </c>
      <c r="KZN4" t="s">
        <v>64482</v>
      </c>
      <c r="KZO4">
        <v>1287674</v>
      </c>
      <c r="KZP4" t="s">
        <v>64483</v>
      </c>
      <c r="KZQ4">
        <v>1287780</v>
      </c>
      <c r="KZR4" t="s">
        <v>64484</v>
      </c>
      <c r="KZS4">
        <v>1287788</v>
      </c>
      <c r="KZT4" t="s">
        <v>64485</v>
      </c>
      <c r="KZU4">
        <v>1287839</v>
      </c>
      <c r="KZV4" t="s">
        <v>64486</v>
      </c>
      <c r="KZW4">
        <v>1287926</v>
      </c>
      <c r="KZX4" t="s">
        <v>64487</v>
      </c>
      <c r="KZY4">
        <v>1291062</v>
      </c>
      <c r="KZZ4" t="s">
        <v>64488</v>
      </c>
      <c r="LAA4">
        <v>1291070</v>
      </c>
      <c r="LAB4" t="s">
        <v>64489</v>
      </c>
      <c r="LAC4">
        <v>1291078</v>
      </c>
      <c r="LAD4" t="s">
        <v>64490</v>
      </c>
      <c r="LAE4">
        <v>1291096</v>
      </c>
      <c r="LAF4" t="s">
        <v>64491</v>
      </c>
      <c r="LAG4">
        <v>1291183</v>
      </c>
      <c r="LAH4" t="s">
        <v>64492</v>
      </c>
      <c r="LAI4">
        <v>1291189</v>
      </c>
      <c r="LAJ4" t="s">
        <v>64493</v>
      </c>
      <c r="LAK4">
        <v>1291195</v>
      </c>
      <c r="LAL4" t="s">
        <v>64494</v>
      </c>
      <c r="LAM4">
        <v>1291216</v>
      </c>
      <c r="LAN4" t="s">
        <v>64495</v>
      </c>
      <c r="LAO4">
        <v>1291224</v>
      </c>
      <c r="LAP4" t="s">
        <v>64496</v>
      </c>
      <c r="LAQ4">
        <v>1291241</v>
      </c>
      <c r="LAR4" t="s">
        <v>64497</v>
      </c>
      <c r="LAS4">
        <v>1291275</v>
      </c>
      <c r="LAT4" t="s">
        <v>64498</v>
      </c>
      <c r="LAU4">
        <v>1291319</v>
      </c>
      <c r="LAV4" t="s">
        <v>64499</v>
      </c>
      <c r="LAW4">
        <v>1291336</v>
      </c>
      <c r="LAX4" t="s">
        <v>64500</v>
      </c>
      <c r="LAY4">
        <v>1291443</v>
      </c>
      <c r="LAZ4" t="s">
        <v>64501</v>
      </c>
      <c r="LBA4">
        <v>1291516</v>
      </c>
      <c r="LBB4" t="s">
        <v>64502</v>
      </c>
      <c r="LBC4">
        <v>1291531</v>
      </c>
      <c r="LBD4" t="s">
        <v>64503</v>
      </c>
      <c r="LBE4">
        <v>1291538</v>
      </c>
      <c r="LBF4" t="s">
        <v>64504</v>
      </c>
      <c r="LBG4">
        <v>1291627</v>
      </c>
      <c r="LBH4" t="s">
        <v>64505</v>
      </c>
      <c r="LBI4">
        <v>1291636</v>
      </c>
      <c r="LBJ4" t="s">
        <v>64506</v>
      </c>
      <c r="LBK4">
        <v>1291994</v>
      </c>
      <c r="LBL4" t="s">
        <v>64507</v>
      </c>
      <c r="LBM4">
        <v>1292004</v>
      </c>
      <c r="LBN4" t="s">
        <v>64508</v>
      </c>
      <c r="LBO4">
        <v>1292019</v>
      </c>
      <c r="LBP4" t="s">
        <v>64509</v>
      </c>
      <c r="LBQ4">
        <v>1292031</v>
      </c>
      <c r="LBR4" t="s">
        <v>64510</v>
      </c>
      <c r="LBS4">
        <v>1292044</v>
      </c>
      <c r="LBT4" t="s">
        <v>64511</v>
      </c>
      <c r="LBU4">
        <v>1294102</v>
      </c>
      <c r="LBW4" t="s">
        <v>64512</v>
      </c>
      <c r="LBX4">
        <v>1294187</v>
      </c>
      <c r="LBY4" t="s">
        <v>64513</v>
      </c>
      <c r="LBZ4">
        <v>1294239</v>
      </c>
      <c r="LCA4" t="s">
        <v>64514</v>
      </c>
      <c r="LCB4">
        <v>1294280</v>
      </c>
      <c r="LCC4" t="s">
        <v>64515</v>
      </c>
      <c r="LCD4">
        <v>1294519</v>
      </c>
      <c r="LCE4" t="s">
        <v>64516</v>
      </c>
      <c r="LCF4">
        <v>1294522</v>
      </c>
      <c r="LCG4" t="s">
        <v>64517</v>
      </c>
      <c r="LCH4">
        <v>1294532</v>
      </c>
      <c r="LCI4" t="s">
        <v>64518</v>
      </c>
      <c r="LCJ4">
        <v>1294550</v>
      </c>
      <c r="LCK4" t="s">
        <v>64519</v>
      </c>
      <c r="LCL4">
        <v>1294611</v>
      </c>
      <c r="LCM4" t="s">
        <v>64520</v>
      </c>
      <c r="LCN4">
        <v>1294648</v>
      </c>
      <c r="LCO4" t="s">
        <v>64521</v>
      </c>
      <c r="LCP4">
        <v>1294651</v>
      </c>
      <c r="LCQ4" t="s">
        <v>64522</v>
      </c>
      <c r="LCR4">
        <v>1294656</v>
      </c>
      <c r="LCS4" t="s">
        <v>64523</v>
      </c>
      <c r="LCT4">
        <v>1294671</v>
      </c>
      <c r="LCU4" t="s">
        <v>64524</v>
      </c>
      <c r="LCV4">
        <v>1294679</v>
      </c>
      <c r="LCW4" t="s">
        <v>64525</v>
      </c>
      <c r="LCX4">
        <v>1294704</v>
      </c>
      <c r="LCY4" t="s">
        <v>64526</v>
      </c>
      <c r="LCZ4">
        <v>1294913</v>
      </c>
      <c r="LDA4" t="s">
        <v>64527</v>
      </c>
      <c r="LDB4">
        <v>1294927</v>
      </c>
      <c r="LDC4" t="s">
        <v>64528</v>
      </c>
      <c r="LDD4">
        <v>1295018</v>
      </c>
      <c r="LDE4" t="s">
        <v>64529</v>
      </c>
      <c r="LDF4">
        <v>1295031</v>
      </c>
      <c r="LDG4" t="s">
        <v>64530</v>
      </c>
      <c r="LDH4">
        <v>1295036</v>
      </c>
      <c r="LDI4" t="s">
        <v>64531</v>
      </c>
      <c r="LDJ4">
        <v>1295043</v>
      </c>
      <c r="LDK4" t="s">
        <v>64532</v>
      </c>
      <c r="LDL4">
        <v>1295062</v>
      </c>
      <c r="LDM4" t="s">
        <v>64533</v>
      </c>
      <c r="LDN4">
        <v>1295068</v>
      </c>
      <c r="LDO4" t="s">
        <v>64534</v>
      </c>
      <c r="LDP4">
        <v>1295087</v>
      </c>
      <c r="LDQ4" t="s">
        <v>64535</v>
      </c>
      <c r="LDR4">
        <v>1295103</v>
      </c>
      <c r="LDS4" t="s">
        <v>64536</v>
      </c>
      <c r="LDT4">
        <v>1295159</v>
      </c>
      <c r="LDU4" t="s">
        <v>64537</v>
      </c>
      <c r="LDV4">
        <v>1295165</v>
      </c>
      <c r="LDW4" t="s">
        <v>64538</v>
      </c>
      <c r="LDX4">
        <v>1295233</v>
      </c>
      <c r="LDY4" t="s">
        <v>64539</v>
      </c>
      <c r="LDZ4">
        <v>1295267</v>
      </c>
      <c r="LEA4" t="s">
        <v>64540</v>
      </c>
      <c r="LEB4">
        <v>1295470</v>
      </c>
      <c r="LEC4" t="s">
        <v>64541</v>
      </c>
      <c r="LED4">
        <v>1295521</v>
      </c>
      <c r="LEE4" t="s">
        <v>64542</v>
      </c>
      <c r="LEF4">
        <v>1295533</v>
      </c>
      <c r="LEG4" t="s">
        <v>64543</v>
      </c>
      <c r="LEH4">
        <v>1295582</v>
      </c>
      <c r="LEI4" t="s">
        <v>64544</v>
      </c>
      <c r="LEJ4">
        <v>1295750</v>
      </c>
      <c r="LEK4" t="s">
        <v>64545</v>
      </c>
      <c r="LEL4">
        <v>1295765</v>
      </c>
      <c r="LEN4" t="s">
        <v>64546</v>
      </c>
      <c r="LEO4">
        <v>1295789</v>
      </c>
      <c r="LEP4" t="s">
        <v>64547</v>
      </c>
      <c r="LEQ4">
        <v>1296455</v>
      </c>
      <c r="LER4" t="s">
        <v>64548</v>
      </c>
      <c r="LES4">
        <v>1296649</v>
      </c>
      <c r="LET4" t="s">
        <v>64549</v>
      </c>
      <c r="LEU4">
        <v>1296655</v>
      </c>
      <c r="LEV4" t="s">
        <v>64550</v>
      </c>
      <c r="LEW4">
        <v>1296695</v>
      </c>
      <c r="LEX4" t="s">
        <v>64551</v>
      </c>
      <c r="LEY4">
        <v>1296712</v>
      </c>
      <c r="LEZ4" t="s">
        <v>64552</v>
      </c>
      <c r="LFA4">
        <v>1296725</v>
      </c>
      <c r="LFB4" t="s">
        <v>64553</v>
      </c>
      <c r="LFC4">
        <v>1296759</v>
      </c>
      <c r="LFD4" t="s">
        <v>64554</v>
      </c>
      <c r="LFE4">
        <v>1296767</v>
      </c>
      <c r="LFF4" t="s">
        <v>64555</v>
      </c>
      <c r="LFG4">
        <v>1296772</v>
      </c>
      <c r="LFH4" t="s">
        <v>64556</v>
      </c>
      <c r="LFI4">
        <v>1296777</v>
      </c>
      <c r="LFJ4" t="s">
        <v>64557</v>
      </c>
      <c r="LFK4">
        <v>1296836</v>
      </c>
      <c r="LFL4" t="s">
        <v>64558</v>
      </c>
      <c r="LFM4">
        <v>1296850</v>
      </c>
      <c r="LFN4" t="s">
        <v>64559</v>
      </c>
      <c r="LFO4">
        <v>1297863</v>
      </c>
      <c r="LFP4" t="s">
        <v>64560</v>
      </c>
      <c r="LFQ4">
        <v>1298042</v>
      </c>
      <c r="LFR4" t="s">
        <v>64561</v>
      </c>
      <c r="LFS4">
        <v>1298158</v>
      </c>
      <c r="LFT4" t="s">
        <v>64562</v>
      </c>
      <c r="LFU4">
        <v>1298164</v>
      </c>
      <c r="LFV4" t="s">
        <v>64563</v>
      </c>
      <c r="LFW4">
        <v>1298209</v>
      </c>
      <c r="LFX4" t="s">
        <v>64564</v>
      </c>
      <c r="LFY4">
        <v>1298359</v>
      </c>
      <c r="LFZ4" t="s">
        <v>64565</v>
      </c>
      <c r="LGA4">
        <v>1298429</v>
      </c>
      <c r="LGB4" t="s">
        <v>64566</v>
      </c>
      <c r="LGC4">
        <v>1298430</v>
      </c>
      <c r="LGD4" t="s">
        <v>64567</v>
      </c>
      <c r="LGE4">
        <v>1298446</v>
      </c>
      <c r="LGF4" t="s">
        <v>64568</v>
      </c>
      <c r="LGG4">
        <v>1298448</v>
      </c>
      <c r="LGH4" t="s">
        <v>64569</v>
      </c>
      <c r="LGI4">
        <v>1298471</v>
      </c>
      <c r="LGJ4" t="s">
        <v>64570</v>
      </c>
      <c r="LGK4">
        <v>1298536</v>
      </c>
      <c r="LGL4" t="s">
        <v>64571</v>
      </c>
      <c r="LGM4">
        <v>1298551</v>
      </c>
      <c r="LGN4" t="s">
        <v>64572</v>
      </c>
      <c r="LGO4">
        <v>1298557</v>
      </c>
      <c r="LGP4" t="s">
        <v>64573</v>
      </c>
      <c r="LGQ4">
        <v>1298572</v>
      </c>
      <c r="LGR4" t="s">
        <v>64574</v>
      </c>
      <c r="LGS4">
        <v>1298615</v>
      </c>
      <c r="LGT4" t="s">
        <v>64575</v>
      </c>
      <c r="LGU4">
        <v>1298616</v>
      </c>
      <c r="LGV4" t="s">
        <v>64576</v>
      </c>
      <c r="LGW4">
        <v>1298627</v>
      </c>
      <c r="LGX4" t="s">
        <v>64577</v>
      </c>
      <c r="LGY4">
        <v>1298640</v>
      </c>
      <c r="LGZ4" t="s">
        <v>64578</v>
      </c>
      <c r="LHA4">
        <v>1298674</v>
      </c>
      <c r="LHB4" t="s">
        <v>64579</v>
      </c>
      <c r="LHC4">
        <v>1298677</v>
      </c>
      <c r="LHD4" t="s">
        <v>64580</v>
      </c>
      <c r="LHE4">
        <v>1298694</v>
      </c>
      <c r="LHF4" t="s">
        <v>64581</v>
      </c>
      <c r="LHG4">
        <v>1299701</v>
      </c>
      <c r="LHI4" t="s">
        <v>64582</v>
      </c>
      <c r="LHJ4">
        <v>1300520</v>
      </c>
      <c r="LHK4" t="s">
        <v>64583</v>
      </c>
      <c r="LHL4">
        <v>1300614</v>
      </c>
      <c r="LHM4" t="s">
        <v>64584</v>
      </c>
      <c r="LHN4">
        <v>1300646</v>
      </c>
      <c r="LHO4" t="s">
        <v>64585</v>
      </c>
      <c r="LHP4">
        <v>1300651</v>
      </c>
      <c r="LHQ4" t="s">
        <v>64586</v>
      </c>
      <c r="LHR4">
        <v>1300666</v>
      </c>
      <c r="LHS4" t="s">
        <v>64587</v>
      </c>
      <c r="LHT4">
        <v>1300673</v>
      </c>
      <c r="LHU4" t="s">
        <v>64588</v>
      </c>
      <c r="LHV4">
        <v>1300683</v>
      </c>
      <c r="LHW4" t="s">
        <v>64589</v>
      </c>
      <c r="LHX4">
        <v>1300689</v>
      </c>
      <c r="LHY4" t="s">
        <v>64590</v>
      </c>
      <c r="LHZ4">
        <v>1300784</v>
      </c>
      <c r="LIA4" t="s">
        <v>64591</v>
      </c>
      <c r="LIB4">
        <v>1300796</v>
      </c>
      <c r="LIC4" t="s">
        <v>64592</v>
      </c>
      <c r="LID4">
        <v>1300815</v>
      </c>
      <c r="LIE4" t="s">
        <v>64593</v>
      </c>
      <c r="LIF4">
        <v>1300825</v>
      </c>
      <c r="LIG4" t="s">
        <v>64594</v>
      </c>
      <c r="LIH4">
        <v>1300885</v>
      </c>
      <c r="LII4" t="s">
        <v>64595</v>
      </c>
      <c r="LIJ4">
        <v>1300890</v>
      </c>
      <c r="LIK4" t="s">
        <v>64596</v>
      </c>
      <c r="LIL4">
        <v>1300933</v>
      </c>
      <c r="LIM4" t="s">
        <v>64597</v>
      </c>
      <c r="LIN4">
        <v>1301007</v>
      </c>
      <c r="LIO4" t="s">
        <v>64598</v>
      </c>
      <c r="LIP4">
        <v>1301021</v>
      </c>
      <c r="LIQ4" t="s">
        <v>64599</v>
      </c>
      <c r="LIR4">
        <v>1301032</v>
      </c>
      <c r="LIS4" t="s">
        <v>64600</v>
      </c>
      <c r="LIT4">
        <v>1301041</v>
      </c>
      <c r="LIU4" t="s">
        <v>64601</v>
      </c>
      <c r="LIV4">
        <v>1301053</v>
      </c>
      <c r="LIW4" t="s">
        <v>64602</v>
      </c>
      <c r="LIX4">
        <v>1301083</v>
      </c>
      <c r="LIY4" t="s">
        <v>64603</v>
      </c>
      <c r="LIZ4">
        <v>1301090</v>
      </c>
      <c r="LJA4" t="s">
        <v>64604</v>
      </c>
      <c r="LJB4">
        <v>1301117</v>
      </c>
      <c r="LJC4" t="s">
        <v>64605</v>
      </c>
      <c r="LJD4">
        <v>1301184</v>
      </c>
      <c r="LJE4" t="s">
        <v>64606</v>
      </c>
      <c r="LJF4">
        <v>1301192</v>
      </c>
      <c r="LJG4" t="s">
        <v>64607</v>
      </c>
      <c r="LJH4">
        <v>1301457</v>
      </c>
      <c r="LJI4" t="s">
        <v>64608</v>
      </c>
      <c r="LJJ4">
        <v>1301479</v>
      </c>
      <c r="LJK4" t="s">
        <v>64609</v>
      </c>
      <c r="LJL4">
        <v>1301608</v>
      </c>
      <c r="LJM4" t="s">
        <v>64610</v>
      </c>
      <c r="LJN4">
        <v>1301663</v>
      </c>
      <c r="LJO4" t="s">
        <v>64611</v>
      </c>
      <c r="LJP4">
        <v>1302225</v>
      </c>
      <c r="LJQ4" t="s">
        <v>64612</v>
      </c>
      <c r="LJR4">
        <v>1302231</v>
      </c>
      <c r="LJS4" t="s">
        <v>64613</v>
      </c>
      <c r="LJT4">
        <v>1302238</v>
      </c>
      <c r="LJU4" t="s">
        <v>64614</v>
      </c>
      <c r="LJV4">
        <v>1302244</v>
      </c>
      <c r="LJW4" t="s">
        <v>64615</v>
      </c>
      <c r="LJX4">
        <v>1303459</v>
      </c>
      <c r="LJY4" t="s">
        <v>64616</v>
      </c>
      <c r="LJZ4">
        <v>1303484</v>
      </c>
      <c r="LKA4" t="s">
        <v>64617</v>
      </c>
      <c r="LKB4">
        <v>1305301</v>
      </c>
      <c r="LKC4" t="s">
        <v>64618</v>
      </c>
      <c r="LKD4">
        <v>1305305</v>
      </c>
      <c r="LKE4" t="s">
        <v>64619</v>
      </c>
      <c r="LKF4">
        <v>1305316</v>
      </c>
      <c r="LKG4" t="s">
        <v>64620</v>
      </c>
      <c r="LKH4">
        <v>1305334</v>
      </c>
      <c r="LKI4" t="s">
        <v>64621</v>
      </c>
      <c r="LKJ4">
        <v>1306015</v>
      </c>
      <c r="LKK4" t="s">
        <v>64622</v>
      </c>
      <c r="LKL4">
        <v>1306026</v>
      </c>
      <c r="LKM4" t="s">
        <v>64623</v>
      </c>
      <c r="LKN4">
        <v>1306066</v>
      </c>
      <c r="LKO4" t="s">
        <v>64624</v>
      </c>
      <c r="LKP4">
        <v>1306562</v>
      </c>
      <c r="LKQ4" t="s">
        <v>64625</v>
      </c>
      <c r="LKR4">
        <v>1306590</v>
      </c>
      <c r="LKS4" t="s">
        <v>64626</v>
      </c>
      <c r="LKT4">
        <v>1306725</v>
      </c>
      <c r="LKU4" t="s">
        <v>64627</v>
      </c>
      <c r="LKV4">
        <v>1306751</v>
      </c>
      <c r="LKW4" t="s">
        <v>64628</v>
      </c>
      <c r="LKX4">
        <v>1306909</v>
      </c>
      <c r="LKY4" t="s">
        <v>64629</v>
      </c>
      <c r="LKZ4">
        <v>1306939</v>
      </c>
      <c r="LLA4" t="s">
        <v>64630</v>
      </c>
      <c r="LLB4">
        <v>1306941</v>
      </c>
      <c r="LLC4" t="s">
        <v>64631</v>
      </c>
      <c r="LLD4">
        <v>1307107</v>
      </c>
      <c r="LLE4" t="s">
        <v>64632</v>
      </c>
      <c r="LLF4">
        <v>1307137</v>
      </c>
      <c r="LLG4" t="s">
        <v>64633</v>
      </c>
      <c r="LLH4">
        <v>1307339</v>
      </c>
      <c r="LLI4" t="s">
        <v>64634</v>
      </c>
      <c r="LLJ4">
        <v>1307366</v>
      </c>
      <c r="LLK4" t="s">
        <v>64635</v>
      </c>
      <c r="LLL4">
        <v>1307759</v>
      </c>
      <c r="LLM4" t="s">
        <v>64636</v>
      </c>
      <c r="LLN4">
        <v>1308078</v>
      </c>
      <c r="LLO4" t="s">
        <v>64637</v>
      </c>
      <c r="LLP4">
        <v>1308424</v>
      </c>
      <c r="LLQ4" t="s">
        <v>64638</v>
      </c>
      <c r="LLR4">
        <v>1308567</v>
      </c>
      <c r="LLS4" t="s">
        <v>64639</v>
      </c>
      <c r="LLT4">
        <v>1308573</v>
      </c>
      <c r="LLU4" t="s">
        <v>64640</v>
      </c>
      <c r="LLV4">
        <v>1311171</v>
      </c>
      <c r="LLW4" t="s">
        <v>64641</v>
      </c>
      <c r="LLX4">
        <v>1311226</v>
      </c>
      <c r="LLY4" t="s">
        <v>64642</v>
      </c>
      <c r="LLZ4">
        <v>1312378</v>
      </c>
      <c r="LMA4" t="s">
        <v>64643</v>
      </c>
      <c r="LMB4">
        <v>1312437</v>
      </c>
      <c r="LMC4" t="s">
        <v>64644</v>
      </c>
      <c r="LMD4">
        <v>1328490</v>
      </c>
      <c r="LME4" t="s">
        <v>64645</v>
      </c>
      <c r="LMF4">
        <v>1328497</v>
      </c>
      <c r="LMG4" t="s">
        <v>64646</v>
      </c>
      <c r="LMH4">
        <v>1328498</v>
      </c>
      <c r="LMI4" t="s">
        <v>64647</v>
      </c>
      <c r="LMJ4">
        <v>1328512</v>
      </c>
      <c r="LMK4" t="s">
        <v>64648</v>
      </c>
      <c r="LML4">
        <v>1328543</v>
      </c>
      <c r="LMM4" t="s">
        <v>64649</v>
      </c>
      <c r="LMN4">
        <v>1328558</v>
      </c>
      <c r="LMO4" t="s">
        <v>64650</v>
      </c>
      <c r="LMP4">
        <v>1337213</v>
      </c>
      <c r="LMQ4" t="s">
        <v>64651</v>
      </c>
      <c r="LMR4">
        <v>1337503</v>
      </c>
      <c r="LMS4" t="s">
        <v>64652</v>
      </c>
      <c r="LMT4">
        <v>1342897</v>
      </c>
      <c r="LMU4" t="s">
        <v>64653</v>
      </c>
      <c r="LMV4">
        <v>1353167</v>
      </c>
      <c r="LMW4" t="s">
        <v>64654</v>
      </c>
      <c r="LMX4">
        <v>1353172</v>
      </c>
      <c r="LMZ4" t="s">
        <v>64655</v>
      </c>
      <c r="LNA4">
        <v>1353307</v>
      </c>
      <c r="LNB4" t="s">
        <v>64656</v>
      </c>
      <c r="LNC4">
        <v>1353323</v>
      </c>
      <c r="LND4" t="s">
        <v>64657</v>
      </c>
      <c r="LNE4">
        <v>1353354</v>
      </c>
      <c r="LNF4" t="s">
        <v>64658</v>
      </c>
      <c r="LNG4">
        <v>1353406</v>
      </c>
      <c r="LNH4" t="s">
        <v>64659</v>
      </c>
      <c r="LNI4">
        <v>1353413</v>
      </c>
      <c r="LNJ4" t="s">
        <v>64660</v>
      </c>
      <c r="LNK4">
        <v>1353435</v>
      </c>
      <c r="LNL4" t="s">
        <v>64661</v>
      </c>
      <c r="LNM4">
        <v>1353478</v>
      </c>
      <c r="LNN4" t="s">
        <v>64662</v>
      </c>
      <c r="LNO4">
        <v>1353488</v>
      </c>
      <c r="LNP4" t="s">
        <v>64663</v>
      </c>
      <c r="LNQ4">
        <v>1353510</v>
      </c>
      <c r="LNR4" t="s">
        <v>64664</v>
      </c>
      <c r="LNS4">
        <v>1353540</v>
      </c>
      <c r="LNT4" t="s">
        <v>64665</v>
      </c>
      <c r="LNU4">
        <v>1353554</v>
      </c>
      <c r="LNV4" t="s">
        <v>64666</v>
      </c>
      <c r="LNW4">
        <v>1353611</v>
      </c>
      <c r="LNX4" t="s">
        <v>64667</v>
      </c>
      <c r="LNY4">
        <v>1353683</v>
      </c>
      <c r="LNZ4" t="s">
        <v>64668</v>
      </c>
      <c r="LOA4">
        <v>1353723</v>
      </c>
      <c r="LOB4" t="s">
        <v>64669</v>
      </c>
      <c r="LOC4">
        <v>1353738</v>
      </c>
      <c r="LOD4" t="s">
        <v>64670</v>
      </c>
      <c r="LOE4">
        <v>1353744</v>
      </c>
      <c r="LOF4" t="s">
        <v>64671</v>
      </c>
      <c r="LOG4">
        <v>1353753</v>
      </c>
      <c r="LOH4" t="s">
        <v>64672</v>
      </c>
      <c r="LOI4">
        <v>1353760</v>
      </c>
      <c r="LOJ4" t="s">
        <v>64673</v>
      </c>
      <c r="LOK4">
        <v>1353774</v>
      </c>
      <c r="LOL4" t="s">
        <v>64674</v>
      </c>
      <c r="LOM4">
        <v>1353780</v>
      </c>
      <c r="LON4" t="s">
        <v>64675</v>
      </c>
      <c r="LOO4">
        <v>1353787</v>
      </c>
      <c r="LOP4" t="s">
        <v>64676</v>
      </c>
      <c r="LOQ4">
        <v>1353801</v>
      </c>
      <c r="LOR4" t="s">
        <v>64677</v>
      </c>
      <c r="LOS4">
        <v>1353828</v>
      </c>
      <c r="LOT4" t="s">
        <v>64678</v>
      </c>
      <c r="LOU4">
        <v>1353867</v>
      </c>
      <c r="LOV4" t="s">
        <v>64679</v>
      </c>
      <c r="LOW4">
        <v>1353882</v>
      </c>
      <c r="LOX4" t="s">
        <v>64680</v>
      </c>
      <c r="LOY4">
        <v>1353889</v>
      </c>
      <c r="LOZ4" t="s">
        <v>64681</v>
      </c>
      <c r="LPA4">
        <v>1354120</v>
      </c>
      <c r="LPB4" t="s">
        <v>64682</v>
      </c>
      <c r="LPC4">
        <v>1354126</v>
      </c>
      <c r="LPD4" t="s">
        <v>64683</v>
      </c>
      <c r="LPE4">
        <v>1354127</v>
      </c>
      <c r="LPF4" t="s">
        <v>64684</v>
      </c>
      <c r="LPG4">
        <v>1354510</v>
      </c>
      <c r="LPH4" t="s">
        <v>64685</v>
      </c>
      <c r="LPI4">
        <v>1354512</v>
      </c>
      <c r="LPJ4" t="s">
        <v>64686</v>
      </c>
      <c r="LPK4">
        <v>1354548</v>
      </c>
      <c r="LPL4" t="s">
        <v>64687</v>
      </c>
      <c r="LPM4">
        <v>1354580</v>
      </c>
      <c r="LPN4" t="s">
        <v>64688</v>
      </c>
      <c r="LPO4">
        <v>1354589</v>
      </c>
      <c r="LPP4" t="s">
        <v>64689</v>
      </c>
      <c r="LPQ4">
        <v>1354753</v>
      </c>
      <c r="LPR4" t="s">
        <v>64690</v>
      </c>
      <c r="LPS4">
        <v>1354756</v>
      </c>
      <c r="LPT4" t="s">
        <v>64691</v>
      </c>
      <c r="LPU4">
        <v>1354773</v>
      </c>
      <c r="LPV4" t="s">
        <v>64692</v>
      </c>
      <c r="LPW4">
        <v>1354816</v>
      </c>
      <c r="LPX4" t="s">
        <v>64693</v>
      </c>
      <c r="LPY4">
        <v>1354817</v>
      </c>
      <c r="LPZ4" t="s">
        <v>64694</v>
      </c>
      <c r="LQA4">
        <v>1354830</v>
      </c>
      <c r="LQB4" t="s">
        <v>64695</v>
      </c>
      <c r="LQC4">
        <v>1354835</v>
      </c>
      <c r="LQD4" t="s">
        <v>64696</v>
      </c>
      <c r="LQE4">
        <v>1354848</v>
      </c>
      <c r="LQF4" t="s">
        <v>64697</v>
      </c>
      <c r="LQG4">
        <v>1354859</v>
      </c>
      <c r="LQH4" t="s">
        <v>64698</v>
      </c>
      <c r="LQI4">
        <v>1354917</v>
      </c>
      <c r="LQJ4" t="s">
        <v>64699</v>
      </c>
      <c r="LQK4">
        <v>1355006</v>
      </c>
      <c r="LQL4" t="s">
        <v>64700</v>
      </c>
      <c r="LQM4">
        <v>1355042</v>
      </c>
      <c r="LQN4" t="s">
        <v>64701</v>
      </c>
      <c r="LQO4">
        <v>1355067</v>
      </c>
      <c r="LQP4" t="s">
        <v>64702</v>
      </c>
      <c r="LQQ4">
        <v>1355108</v>
      </c>
      <c r="LQR4" t="s">
        <v>64703</v>
      </c>
      <c r="LQS4">
        <v>1355133</v>
      </c>
      <c r="LQT4" t="s">
        <v>64704</v>
      </c>
      <c r="LQU4">
        <v>1355183</v>
      </c>
      <c r="LQV4" t="s">
        <v>64705</v>
      </c>
      <c r="LQW4">
        <v>1356102</v>
      </c>
      <c r="LQX4" t="s">
        <v>64706</v>
      </c>
      <c r="LQY4">
        <v>1356103</v>
      </c>
      <c r="LQZ4" t="s">
        <v>64707</v>
      </c>
      <c r="LRA4">
        <v>1356131</v>
      </c>
      <c r="LRB4" t="s">
        <v>64708</v>
      </c>
      <c r="LRC4">
        <v>1356191</v>
      </c>
      <c r="LRD4" t="s">
        <v>64709</v>
      </c>
      <c r="LRE4">
        <v>1356192</v>
      </c>
      <c r="LRF4" t="s">
        <v>64710</v>
      </c>
      <c r="LRG4">
        <v>1356207</v>
      </c>
      <c r="LRH4" t="s">
        <v>64711</v>
      </c>
      <c r="LRI4">
        <v>1356309</v>
      </c>
      <c r="LRJ4" t="s">
        <v>64712</v>
      </c>
      <c r="LRK4">
        <v>1356315</v>
      </c>
      <c r="LRL4" t="s">
        <v>64713</v>
      </c>
      <c r="LRM4">
        <v>1356350</v>
      </c>
      <c r="LRN4" t="s">
        <v>64714</v>
      </c>
      <c r="LRO4">
        <v>1356471</v>
      </c>
      <c r="LRP4" t="s">
        <v>64715</v>
      </c>
      <c r="LRQ4">
        <v>1356486</v>
      </c>
      <c r="LRR4" t="s">
        <v>64716</v>
      </c>
      <c r="LRS4">
        <v>1356527</v>
      </c>
      <c r="LRT4" t="s">
        <v>64717</v>
      </c>
      <c r="LRU4">
        <v>1356545</v>
      </c>
      <c r="LRV4" t="s">
        <v>64718</v>
      </c>
      <c r="LRW4">
        <v>1356596</v>
      </c>
      <c r="LRX4" t="s">
        <v>64719</v>
      </c>
      <c r="LRY4">
        <v>1356628</v>
      </c>
      <c r="LRZ4" t="s">
        <v>64720</v>
      </c>
      <c r="LSA4">
        <v>1356641</v>
      </c>
      <c r="LSB4" t="s">
        <v>64721</v>
      </c>
      <c r="LSC4">
        <v>1356654</v>
      </c>
      <c r="LSD4" t="s">
        <v>64722</v>
      </c>
      <c r="LSE4">
        <v>1356687</v>
      </c>
      <c r="LSG4" t="s">
        <v>64723</v>
      </c>
      <c r="LSH4">
        <v>1356700</v>
      </c>
      <c r="LSJ4" t="s">
        <v>64724</v>
      </c>
      <c r="LSK4">
        <v>1356706</v>
      </c>
      <c r="LSL4" t="s">
        <v>64725</v>
      </c>
      <c r="LSM4">
        <v>1356715</v>
      </c>
      <c r="LSN4" t="s">
        <v>64726</v>
      </c>
      <c r="LSO4">
        <v>1356721</v>
      </c>
      <c r="LSP4" t="s">
        <v>64727</v>
      </c>
      <c r="LSQ4">
        <v>1356730</v>
      </c>
      <c r="LSR4" t="s">
        <v>64728</v>
      </c>
      <c r="LSS4">
        <v>1356754</v>
      </c>
      <c r="LST4" t="s">
        <v>64729</v>
      </c>
      <c r="LSU4">
        <v>1356762</v>
      </c>
      <c r="LSV4" t="s">
        <v>64730</v>
      </c>
      <c r="LSW4">
        <v>1356777</v>
      </c>
      <c r="LSX4" t="s">
        <v>64731</v>
      </c>
      <c r="LSY4">
        <v>1356899</v>
      </c>
      <c r="LSZ4" t="s">
        <v>64732</v>
      </c>
      <c r="LTA4">
        <v>1356936</v>
      </c>
      <c r="LTB4" t="s">
        <v>64733</v>
      </c>
      <c r="LTC4">
        <v>1356946</v>
      </c>
      <c r="LTD4" t="s">
        <v>64734</v>
      </c>
      <c r="LTE4">
        <v>1356979</v>
      </c>
      <c r="LTF4" t="s">
        <v>64735</v>
      </c>
      <c r="LTG4">
        <v>1357022</v>
      </c>
      <c r="LTH4" t="s">
        <v>64736</v>
      </c>
      <c r="LTI4">
        <v>1357073</v>
      </c>
      <c r="LTJ4" t="s">
        <v>64737</v>
      </c>
      <c r="LTK4">
        <v>1357077</v>
      </c>
      <c r="LTL4" t="s">
        <v>64738</v>
      </c>
      <c r="LTM4">
        <v>1357088</v>
      </c>
      <c r="LTN4" t="s">
        <v>64739</v>
      </c>
      <c r="LTO4">
        <v>1357097</v>
      </c>
      <c r="LTP4" t="s">
        <v>64740</v>
      </c>
      <c r="LTQ4">
        <v>1357107</v>
      </c>
      <c r="LTR4" t="s">
        <v>64741</v>
      </c>
      <c r="LTS4">
        <v>1357111</v>
      </c>
      <c r="LTT4" t="s">
        <v>64742</v>
      </c>
      <c r="LTU4">
        <v>1357115</v>
      </c>
      <c r="LTV4" t="s">
        <v>64743</v>
      </c>
      <c r="LTW4">
        <v>1357122</v>
      </c>
      <c r="LTX4" t="s">
        <v>64744</v>
      </c>
      <c r="LTY4">
        <v>1357128</v>
      </c>
      <c r="LTZ4" t="s">
        <v>64745</v>
      </c>
      <c r="LUA4">
        <v>1357131</v>
      </c>
      <c r="LUB4" t="s">
        <v>64746</v>
      </c>
      <c r="LUC4">
        <v>1357138</v>
      </c>
      <c r="LUD4" t="s">
        <v>64747</v>
      </c>
      <c r="LUE4">
        <v>1357147</v>
      </c>
      <c r="LUF4" t="s">
        <v>64748</v>
      </c>
      <c r="LUG4">
        <v>1357149</v>
      </c>
      <c r="LUH4" t="s">
        <v>64749</v>
      </c>
      <c r="LUI4">
        <v>1357161</v>
      </c>
      <c r="LUJ4" t="s">
        <v>64750</v>
      </c>
      <c r="LUK4">
        <v>1357181</v>
      </c>
      <c r="LUL4" t="s">
        <v>64751</v>
      </c>
      <c r="LUM4">
        <v>1357185</v>
      </c>
      <c r="LUN4" t="s">
        <v>64752</v>
      </c>
      <c r="LUO4">
        <v>1357186</v>
      </c>
      <c r="LUP4" t="s">
        <v>64753</v>
      </c>
      <c r="LUQ4">
        <v>1357189</v>
      </c>
      <c r="LUR4" t="s">
        <v>64754</v>
      </c>
      <c r="LUS4">
        <v>1357244</v>
      </c>
      <c r="LUT4" t="s">
        <v>64755</v>
      </c>
      <c r="LUU4">
        <v>1357251</v>
      </c>
      <c r="LUV4" t="s">
        <v>64756</v>
      </c>
      <c r="LUW4">
        <v>1357256</v>
      </c>
      <c r="LUX4" t="s">
        <v>64757</v>
      </c>
      <c r="LUY4">
        <v>1357264</v>
      </c>
      <c r="LUZ4" t="s">
        <v>64758</v>
      </c>
      <c r="LVA4">
        <v>1357271</v>
      </c>
      <c r="LVB4" t="s">
        <v>64759</v>
      </c>
      <c r="LVC4">
        <v>1357274</v>
      </c>
      <c r="LVD4" t="s">
        <v>64760</v>
      </c>
      <c r="LVE4">
        <v>1357276</v>
      </c>
      <c r="LVF4" t="s">
        <v>64761</v>
      </c>
      <c r="LVG4">
        <v>1357339</v>
      </c>
      <c r="LVH4" t="s">
        <v>64762</v>
      </c>
      <c r="LVI4">
        <v>1357342</v>
      </c>
      <c r="LVJ4" t="s">
        <v>64763</v>
      </c>
      <c r="LVK4">
        <v>1357343</v>
      </c>
      <c r="LVL4" t="s">
        <v>64764</v>
      </c>
      <c r="LVM4">
        <v>1357347</v>
      </c>
      <c r="LVN4" t="s">
        <v>64765</v>
      </c>
      <c r="LVO4">
        <v>1357361</v>
      </c>
      <c r="LVP4" t="s">
        <v>64766</v>
      </c>
      <c r="LVQ4">
        <v>1357362</v>
      </c>
      <c r="LVR4" t="s">
        <v>64767</v>
      </c>
      <c r="LVS4">
        <v>1357621</v>
      </c>
      <c r="LVT4" t="s">
        <v>64768</v>
      </c>
      <c r="LVU4">
        <v>1357632</v>
      </c>
      <c r="LVV4" t="s">
        <v>64769</v>
      </c>
      <c r="LVW4">
        <v>1357805</v>
      </c>
      <c r="LVX4" t="s">
        <v>64770</v>
      </c>
      <c r="LVY4">
        <v>1357811</v>
      </c>
      <c r="LVZ4" t="s">
        <v>64771</v>
      </c>
      <c r="LWA4">
        <v>1357826</v>
      </c>
      <c r="LWB4" t="s">
        <v>64772</v>
      </c>
      <c r="LWC4">
        <v>1357883</v>
      </c>
      <c r="LWD4" t="s">
        <v>64773</v>
      </c>
      <c r="LWE4">
        <v>1357942</v>
      </c>
      <c r="LWF4" t="s">
        <v>64774</v>
      </c>
      <c r="LWG4">
        <v>1357949</v>
      </c>
      <c r="LWH4" t="s">
        <v>64775</v>
      </c>
      <c r="LWI4">
        <v>1357957</v>
      </c>
      <c r="LWJ4" t="s">
        <v>64776</v>
      </c>
      <c r="LWK4">
        <v>1357967</v>
      </c>
      <c r="LWL4" t="s">
        <v>64777</v>
      </c>
      <c r="LWM4">
        <v>1357999</v>
      </c>
      <c r="LWN4" t="s">
        <v>64778</v>
      </c>
      <c r="LWO4">
        <v>1358019</v>
      </c>
      <c r="LWP4" t="s">
        <v>64779</v>
      </c>
      <c r="LWQ4">
        <v>1358025</v>
      </c>
      <c r="LWR4" t="s">
        <v>64780</v>
      </c>
      <c r="LWS4">
        <v>1358029</v>
      </c>
      <c r="LWT4" t="s">
        <v>64781</v>
      </c>
      <c r="LWU4">
        <v>1358048</v>
      </c>
      <c r="LWV4" t="s">
        <v>64782</v>
      </c>
      <c r="LWW4">
        <v>1358062</v>
      </c>
      <c r="LWX4" t="s">
        <v>64783</v>
      </c>
      <c r="LWY4">
        <v>1358075</v>
      </c>
      <c r="LWZ4" t="s">
        <v>64784</v>
      </c>
      <c r="LXA4">
        <v>1358083</v>
      </c>
      <c r="LXB4" t="s">
        <v>64785</v>
      </c>
      <c r="LXC4">
        <v>1358084</v>
      </c>
      <c r="LXD4" t="s">
        <v>64786</v>
      </c>
      <c r="LXE4">
        <v>1358090</v>
      </c>
      <c r="LXF4" t="s">
        <v>64787</v>
      </c>
      <c r="LXG4">
        <v>1358093</v>
      </c>
      <c r="LXH4" t="s">
        <v>64788</v>
      </c>
      <c r="LXI4">
        <v>1358098</v>
      </c>
      <c r="LXJ4" t="s">
        <v>64789</v>
      </c>
      <c r="LXK4">
        <v>1358163</v>
      </c>
      <c r="LXL4" t="s">
        <v>64790</v>
      </c>
      <c r="LXM4">
        <v>1358175</v>
      </c>
      <c r="LXN4" t="s">
        <v>64791</v>
      </c>
      <c r="LXO4">
        <v>1358386</v>
      </c>
      <c r="LXP4" t="s">
        <v>64792</v>
      </c>
      <c r="LXQ4">
        <v>1358395</v>
      </c>
      <c r="LXR4" t="s">
        <v>64793</v>
      </c>
      <c r="LXS4">
        <v>1358404</v>
      </c>
      <c r="LXT4" t="s">
        <v>64794</v>
      </c>
      <c r="LXU4">
        <v>1358461</v>
      </c>
      <c r="LXV4" t="s">
        <v>64795</v>
      </c>
      <c r="LXW4">
        <v>1358487</v>
      </c>
      <c r="LXX4" t="s">
        <v>64796</v>
      </c>
      <c r="LXY4">
        <v>1358507</v>
      </c>
      <c r="LXZ4" t="s">
        <v>64797</v>
      </c>
      <c r="LYA4">
        <v>1358513</v>
      </c>
      <c r="LYB4" t="s">
        <v>64798</v>
      </c>
      <c r="LYC4">
        <v>1358519</v>
      </c>
      <c r="LYD4" t="s">
        <v>64799</v>
      </c>
      <c r="LYE4">
        <v>1358556</v>
      </c>
      <c r="LYF4" t="s">
        <v>64800</v>
      </c>
      <c r="LYG4">
        <v>1358557</v>
      </c>
      <c r="LYH4" t="s">
        <v>64801</v>
      </c>
      <c r="LYI4">
        <v>1358574</v>
      </c>
      <c r="LYJ4" t="s">
        <v>64802</v>
      </c>
      <c r="LYK4">
        <v>1359263</v>
      </c>
      <c r="LYL4" t="s">
        <v>64803</v>
      </c>
      <c r="LYM4">
        <v>1359269</v>
      </c>
      <c r="LYN4" t="s">
        <v>64804</v>
      </c>
      <c r="LYO4">
        <v>1359352</v>
      </c>
      <c r="LYP4" t="s">
        <v>64805</v>
      </c>
      <c r="LYQ4">
        <v>1359360</v>
      </c>
      <c r="LYR4" t="s">
        <v>64806</v>
      </c>
      <c r="LYS4">
        <v>1359375</v>
      </c>
      <c r="LYT4" t="s">
        <v>64807</v>
      </c>
      <c r="LYU4">
        <v>1359379</v>
      </c>
      <c r="LYV4" t="s">
        <v>64808</v>
      </c>
      <c r="LYW4">
        <v>1359667</v>
      </c>
      <c r="LYX4" t="s">
        <v>64809</v>
      </c>
      <c r="LYY4">
        <v>1359673</v>
      </c>
      <c r="LYZ4" t="s">
        <v>64810</v>
      </c>
      <c r="LZA4">
        <v>1359748</v>
      </c>
      <c r="LZB4" t="s">
        <v>64811</v>
      </c>
      <c r="LZC4">
        <v>1359749</v>
      </c>
      <c r="LZD4" t="s">
        <v>64812</v>
      </c>
      <c r="LZE4">
        <v>1359757</v>
      </c>
      <c r="LZF4" t="s">
        <v>64813</v>
      </c>
      <c r="LZG4">
        <v>1359857</v>
      </c>
      <c r="LZI4" t="s">
        <v>64814</v>
      </c>
      <c r="LZJ4">
        <v>1359872</v>
      </c>
      <c r="LZK4" t="s">
        <v>64815</v>
      </c>
      <c r="LZL4">
        <v>1359887</v>
      </c>
      <c r="LZM4" t="s">
        <v>64816</v>
      </c>
      <c r="LZN4">
        <v>1359923</v>
      </c>
      <c r="LZO4" t="s">
        <v>64817</v>
      </c>
      <c r="LZP4">
        <v>1359964</v>
      </c>
      <c r="LZQ4" t="s">
        <v>64818</v>
      </c>
      <c r="LZR4">
        <v>1359977</v>
      </c>
      <c r="LZS4" t="s">
        <v>64819</v>
      </c>
      <c r="LZT4">
        <v>1359979</v>
      </c>
      <c r="LZV4" t="s">
        <v>64820</v>
      </c>
      <c r="LZW4">
        <v>1359996</v>
      </c>
      <c r="LZX4" t="s">
        <v>64821</v>
      </c>
      <c r="LZY4">
        <v>1360022</v>
      </c>
      <c r="LZZ4" t="s">
        <v>64822</v>
      </c>
      <c r="MAA4">
        <v>1360034</v>
      </c>
      <c r="MAB4" t="s">
        <v>64823</v>
      </c>
      <c r="MAC4">
        <v>1360052</v>
      </c>
      <c r="MAD4" t="s">
        <v>64824</v>
      </c>
      <c r="MAE4">
        <v>1360062</v>
      </c>
      <c r="MAF4" t="s">
        <v>64825</v>
      </c>
      <c r="MAG4">
        <v>1360083</v>
      </c>
      <c r="MAH4" t="s">
        <v>64826</v>
      </c>
      <c r="MAI4">
        <v>1360096</v>
      </c>
      <c r="MAJ4" t="s">
        <v>64827</v>
      </c>
      <c r="MAK4">
        <v>1360124</v>
      </c>
      <c r="MAL4" t="s">
        <v>64828</v>
      </c>
      <c r="MAM4">
        <v>1360158</v>
      </c>
      <c r="MAN4" t="s">
        <v>64829</v>
      </c>
      <c r="MAO4">
        <v>1360161</v>
      </c>
      <c r="MAP4" t="s">
        <v>64830</v>
      </c>
      <c r="MAQ4">
        <v>1360233</v>
      </c>
      <c r="MAR4" t="s">
        <v>64831</v>
      </c>
      <c r="MAS4">
        <v>1360373</v>
      </c>
      <c r="MAT4" t="s">
        <v>64832</v>
      </c>
      <c r="MAU4">
        <v>1360509</v>
      </c>
      <c r="MAV4" t="s">
        <v>64833</v>
      </c>
      <c r="MAW4">
        <v>1360613</v>
      </c>
      <c r="MAX4" t="s">
        <v>64834</v>
      </c>
      <c r="MAY4">
        <v>1360681</v>
      </c>
      <c r="MAZ4" t="s">
        <v>64835</v>
      </c>
      <c r="MBA4">
        <v>1360708</v>
      </c>
      <c r="MBB4" t="s">
        <v>64836</v>
      </c>
      <c r="MBC4">
        <v>1360742</v>
      </c>
      <c r="MBD4" t="s">
        <v>64837</v>
      </c>
      <c r="MBE4">
        <v>1360765</v>
      </c>
      <c r="MBF4" t="s">
        <v>64838</v>
      </c>
      <c r="MBG4">
        <v>1360772</v>
      </c>
      <c r="MBH4" t="s">
        <v>64839</v>
      </c>
      <c r="MBI4">
        <v>1360773</v>
      </c>
      <c r="MBJ4" t="s">
        <v>64840</v>
      </c>
      <c r="MBK4">
        <v>1360779</v>
      </c>
      <c r="MBL4" t="s">
        <v>64841</v>
      </c>
      <c r="MBM4">
        <v>1360799</v>
      </c>
      <c r="MBN4" t="s">
        <v>64842</v>
      </c>
      <c r="MBO4">
        <v>1360800</v>
      </c>
      <c r="MBP4" t="s">
        <v>64843</v>
      </c>
      <c r="MBQ4">
        <v>1360826</v>
      </c>
      <c r="MBR4" t="s">
        <v>64844</v>
      </c>
      <c r="MBS4">
        <v>1360844</v>
      </c>
      <c r="MBT4" t="s">
        <v>64845</v>
      </c>
      <c r="MBU4">
        <v>1360975</v>
      </c>
      <c r="MBV4" t="s">
        <v>64846</v>
      </c>
      <c r="MBW4">
        <v>1360997</v>
      </c>
      <c r="MBX4" t="s">
        <v>64847</v>
      </c>
      <c r="MBY4">
        <v>1361036</v>
      </c>
      <c r="MBZ4" t="s">
        <v>64848</v>
      </c>
      <c r="MCA4">
        <v>1361059</v>
      </c>
      <c r="MCB4" t="s">
        <v>64849</v>
      </c>
      <c r="MCC4">
        <v>1361060</v>
      </c>
      <c r="MCD4" t="s">
        <v>64850</v>
      </c>
      <c r="MCE4">
        <v>1361080</v>
      </c>
      <c r="MCF4" t="s">
        <v>64851</v>
      </c>
      <c r="MCG4">
        <v>1361081</v>
      </c>
      <c r="MCH4" t="s">
        <v>64852</v>
      </c>
      <c r="MCI4">
        <v>1361083</v>
      </c>
      <c r="MCJ4" t="s">
        <v>64853</v>
      </c>
      <c r="MCK4">
        <v>1361084</v>
      </c>
      <c r="MCL4" t="s">
        <v>64854</v>
      </c>
      <c r="MCM4">
        <v>1361092</v>
      </c>
      <c r="MCN4" t="s">
        <v>64855</v>
      </c>
      <c r="MCO4">
        <v>1361096</v>
      </c>
      <c r="MCQ4" t="s">
        <v>64856</v>
      </c>
      <c r="MCR4">
        <v>1361101</v>
      </c>
      <c r="MCS4" t="s">
        <v>64857</v>
      </c>
      <c r="MCT4">
        <v>1361116</v>
      </c>
      <c r="MCU4" t="s">
        <v>64858</v>
      </c>
      <c r="MCV4">
        <v>1361117</v>
      </c>
      <c r="MCW4" t="s">
        <v>64859</v>
      </c>
      <c r="MCX4">
        <v>1361126</v>
      </c>
      <c r="MCY4" t="s">
        <v>64860</v>
      </c>
      <c r="MCZ4">
        <v>1361141</v>
      </c>
      <c r="MDA4" t="s">
        <v>64861</v>
      </c>
      <c r="MDB4">
        <v>1361150</v>
      </c>
      <c r="MDC4" t="s">
        <v>64862</v>
      </c>
      <c r="MDD4">
        <v>1361153</v>
      </c>
      <c r="MDE4" t="s">
        <v>64863</v>
      </c>
      <c r="MDF4">
        <v>1361158</v>
      </c>
      <c r="MDG4" t="s">
        <v>64864</v>
      </c>
      <c r="MDH4">
        <v>1361160</v>
      </c>
      <c r="MDI4" t="s">
        <v>64865</v>
      </c>
      <c r="MDJ4">
        <v>1361178</v>
      </c>
      <c r="MDK4" t="s">
        <v>64866</v>
      </c>
      <c r="MDL4">
        <v>1361180</v>
      </c>
      <c r="MDM4" t="s">
        <v>64867</v>
      </c>
      <c r="MDN4">
        <v>1361195</v>
      </c>
      <c r="MDO4" t="s">
        <v>64868</v>
      </c>
      <c r="MDP4">
        <v>1361196</v>
      </c>
      <c r="MDQ4" t="s">
        <v>64869</v>
      </c>
      <c r="MDR4">
        <v>1361201</v>
      </c>
      <c r="MDS4" t="s">
        <v>64870</v>
      </c>
      <c r="MDT4">
        <v>1361228</v>
      </c>
      <c r="MDU4" t="s">
        <v>64871</v>
      </c>
      <c r="MDV4">
        <v>1361240</v>
      </c>
      <c r="MDW4" t="s">
        <v>64872</v>
      </c>
      <c r="MDX4">
        <v>1361244</v>
      </c>
      <c r="MDY4" t="s">
        <v>64873</v>
      </c>
      <c r="MDZ4">
        <v>1361247</v>
      </c>
      <c r="MEA4" t="s">
        <v>64874</v>
      </c>
      <c r="MEB4">
        <v>1361249</v>
      </c>
      <c r="MEC4" t="s">
        <v>64875</v>
      </c>
      <c r="MED4">
        <v>1361262</v>
      </c>
      <c r="MEE4" t="s">
        <v>64876</v>
      </c>
      <c r="MEF4">
        <v>1361274</v>
      </c>
      <c r="MEG4" t="s">
        <v>64877</v>
      </c>
      <c r="MEH4">
        <v>1361281</v>
      </c>
      <c r="MEI4" t="s">
        <v>64878</v>
      </c>
      <c r="MEJ4">
        <v>1361285</v>
      </c>
      <c r="MEK4" t="s">
        <v>64879</v>
      </c>
      <c r="MEL4">
        <v>1361318</v>
      </c>
      <c r="MEM4" t="s">
        <v>64880</v>
      </c>
      <c r="MEN4">
        <v>1361333</v>
      </c>
      <c r="MEO4" t="s">
        <v>64881</v>
      </c>
      <c r="MEP4">
        <v>1361335</v>
      </c>
      <c r="MEQ4" t="s">
        <v>64882</v>
      </c>
      <c r="MER4">
        <v>1361355</v>
      </c>
      <c r="MES4" t="s">
        <v>64883</v>
      </c>
      <c r="MET4">
        <v>1361356</v>
      </c>
      <c r="MEU4" t="s">
        <v>64884</v>
      </c>
      <c r="MEV4">
        <v>1361363</v>
      </c>
      <c r="MEW4" t="s">
        <v>64885</v>
      </c>
      <c r="MEX4">
        <v>1361383</v>
      </c>
      <c r="MEY4" t="s">
        <v>64886</v>
      </c>
      <c r="MEZ4">
        <v>1361411</v>
      </c>
      <c r="MFA4" t="s">
        <v>64887</v>
      </c>
      <c r="MFB4">
        <v>1361480</v>
      </c>
      <c r="MFC4" t="s">
        <v>64888</v>
      </c>
      <c r="MFD4">
        <v>1361481</v>
      </c>
      <c r="MFE4" t="s">
        <v>64889</v>
      </c>
      <c r="MFF4">
        <v>1361508</v>
      </c>
      <c r="MFG4" t="s">
        <v>64890</v>
      </c>
      <c r="MFH4">
        <v>1361559</v>
      </c>
      <c r="MFI4" t="s">
        <v>64891</v>
      </c>
      <c r="MFJ4">
        <v>1361685</v>
      </c>
      <c r="MFK4" t="s">
        <v>64892</v>
      </c>
      <c r="MFL4">
        <v>1361738</v>
      </c>
      <c r="MFM4" t="s">
        <v>64893</v>
      </c>
      <c r="MFN4">
        <v>1361793</v>
      </c>
      <c r="MFP4" t="s">
        <v>64894</v>
      </c>
      <c r="MFQ4">
        <v>1361858</v>
      </c>
      <c r="MFR4" t="s">
        <v>64895</v>
      </c>
      <c r="MFS4">
        <v>1361908</v>
      </c>
      <c r="MFU4" t="s">
        <v>64896</v>
      </c>
      <c r="MFV4">
        <v>1362035</v>
      </c>
      <c r="MFW4" t="s">
        <v>64897</v>
      </c>
      <c r="MFX4">
        <v>1362037</v>
      </c>
      <c r="MFY4" t="s">
        <v>64898</v>
      </c>
      <c r="MFZ4">
        <v>1362039</v>
      </c>
      <c r="MGA4" t="s">
        <v>64899</v>
      </c>
      <c r="MGB4">
        <v>1362060</v>
      </c>
      <c r="MGC4" t="s">
        <v>64900</v>
      </c>
      <c r="MGD4">
        <v>1362126</v>
      </c>
      <c r="MGE4" t="s">
        <v>64901</v>
      </c>
      <c r="MGF4">
        <v>1362133</v>
      </c>
      <c r="MGI4" t="s">
        <v>64902</v>
      </c>
      <c r="MGJ4">
        <v>1362327</v>
      </c>
      <c r="MGL4" t="s">
        <v>64903</v>
      </c>
      <c r="MGM4">
        <v>1362403</v>
      </c>
      <c r="MGN4" t="s">
        <v>64904</v>
      </c>
      <c r="MGO4">
        <v>1362564</v>
      </c>
      <c r="MGP4" t="s">
        <v>64905</v>
      </c>
      <c r="MGQ4">
        <v>1362632</v>
      </c>
      <c r="MGS4" t="s">
        <v>64906</v>
      </c>
      <c r="MGT4">
        <v>1362670</v>
      </c>
      <c r="MGU4" t="s">
        <v>64907</v>
      </c>
      <c r="MGV4">
        <v>1362713</v>
      </c>
      <c r="MGW4" t="s">
        <v>64908</v>
      </c>
      <c r="MGX4">
        <v>1362746</v>
      </c>
      <c r="MGY4" t="s">
        <v>64909</v>
      </c>
      <c r="MGZ4">
        <v>1362799</v>
      </c>
      <c r="MHA4" t="s">
        <v>64910</v>
      </c>
      <c r="MHB4">
        <v>1362817</v>
      </c>
      <c r="MHC4" t="s">
        <v>64911</v>
      </c>
      <c r="MHD4">
        <v>1362819</v>
      </c>
      <c r="MHE4" t="s">
        <v>64912</v>
      </c>
      <c r="MHF4">
        <v>1362873</v>
      </c>
      <c r="MHG4" t="s">
        <v>64913</v>
      </c>
      <c r="MHH4">
        <v>1362910</v>
      </c>
      <c r="MHI4" t="s">
        <v>64914</v>
      </c>
      <c r="MHJ4">
        <v>1362917</v>
      </c>
      <c r="MHK4" t="s">
        <v>64915</v>
      </c>
      <c r="MHL4">
        <v>1362920</v>
      </c>
      <c r="MHN4" t="s">
        <v>64916</v>
      </c>
      <c r="MHO4">
        <v>1362923</v>
      </c>
      <c r="MHP4" t="s">
        <v>64917</v>
      </c>
      <c r="MHQ4">
        <v>1362932</v>
      </c>
      <c r="MHR4" t="s">
        <v>64918</v>
      </c>
      <c r="MHS4">
        <v>1362938</v>
      </c>
      <c r="MHT4" t="s">
        <v>64919</v>
      </c>
      <c r="MHU4">
        <v>1362969</v>
      </c>
      <c r="MHV4" t="s">
        <v>64920</v>
      </c>
      <c r="MHW4">
        <v>1362985</v>
      </c>
      <c r="MHX4" t="s">
        <v>64921</v>
      </c>
      <c r="MHY4">
        <v>1363017</v>
      </c>
      <c r="MHZ4" t="s">
        <v>64922</v>
      </c>
      <c r="MIA4">
        <v>1363024</v>
      </c>
      <c r="MIB4" t="s">
        <v>64923</v>
      </c>
      <c r="MIC4">
        <v>1363042</v>
      </c>
      <c r="MID4" t="s">
        <v>64924</v>
      </c>
      <c r="MIE4">
        <v>1363051</v>
      </c>
      <c r="MIF4" t="s">
        <v>64925</v>
      </c>
      <c r="MIG4">
        <v>1363061</v>
      </c>
      <c r="MIH4" t="s">
        <v>64926</v>
      </c>
      <c r="MII4">
        <v>1363075</v>
      </c>
      <c r="MIJ4" t="s">
        <v>64927</v>
      </c>
      <c r="MIK4">
        <v>1363127</v>
      </c>
      <c r="MIM4" t="s">
        <v>64928</v>
      </c>
      <c r="MIN4">
        <v>1363149</v>
      </c>
      <c r="MIO4" t="s">
        <v>64929</v>
      </c>
      <c r="MIP4">
        <v>1363169</v>
      </c>
      <c r="MIQ4" t="s">
        <v>64930</v>
      </c>
      <c r="MIR4">
        <v>1363242</v>
      </c>
      <c r="MIS4" t="s">
        <v>64931</v>
      </c>
      <c r="MIT4">
        <v>1363300</v>
      </c>
      <c r="MIU4" t="s">
        <v>64932</v>
      </c>
      <c r="MIV4">
        <v>1363364</v>
      </c>
      <c r="MIW4" t="s">
        <v>64933</v>
      </c>
      <c r="MIX4">
        <v>1363575</v>
      </c>
      <c r="MIY4" t="s">
        <v>64934</v>
      </c>
      <c r="MIZ4">
        <v>1363598</v>
      </c>
      <c r="MJA4" t="s">
        <v>64935</v>
      </c>
      <c r="MJB4">
        <v>1363644</v>
      </c>
      <c r="MJC4" t="s">
        <v>64936</v>
      </c>
      <c r="MJD4">
        <v>1363657</v>
      </c>
      <c r="MJE4" t="s">
        <v>64937</v>
      </c>
      <c r="MJF4">
        <v>1363664</v>
      </c>
      <c r="MJG4" t="s">
        <v>64938</v>
      </c>
      <c r="MJH4">
        <v>1363672</v>
      </c>
      <c r="MJI4" t="s">
        <v>64939</v>
      </c>
      <c r="MJJ4">
        <v>1363690</v>
      </c>
      <c r="MJK4" t="s">
        <v>64940</v>
      </c>
      <c r="MJL4">
        <v>1363745</v>
      </c>
      <c r="MJM4" t="s">
        <v>64941</v>
      </c>
      <c r="MJN4">
        <v>1363792</v>
      </c>
      <c r="MJO4" t="s">
        <v>64942</v>
      </c>
      <c r="MJP4">
        <v>1363794</v>
      </c>
      <c r="MJQ4" t="s">
        <v>64943</v>
      </c>
      <c r="MJR4">
        <v>1363807</v>
      </c>
      <c r="MJS4" t="s">
        <v>64944</v>
      </c>
      <c r="MJT4">
        <v>1364700</v>
      </c>
      <c r="MJV4" t="s">
        <v>64945</v>
      </c>
      <c r="MJW4">
        <v>1364713</v>
      </c>
      <c r="MJX4" t="s">
        <v>64946</v>
      </c>
      <c r="MJY4">
        <v>1364730</v>
      </c>
      <c r="MJZ4" t="s">
        <v>64947</v>
      </c>
      <c r="MKA4">
        <v>1364787</v>
      </c>
      <c r="MKB4" t="s">
        <v>64948</v>
      </c>
      <c r="MKC4">
        <v>1364822</v>
      </c>
      <c r="MKD4" t="s">
        <v>64949</v>
      </c>
      <c r="MKE4">
        <v>1364868</v>
      </c>
      <c r="MKF4" t="s">
        <v>64950</v>
      </c>
      <c r="MKG4">
        <v>1364887</v>
      </c>
      <c r="MKI4" t="s">
        <v>64951</v>
      </c>
      <c r="MKJ4">
        <v>1364901</v>
      </c>
      <c r="MKK4" t="s">
        <v>64952</v>
      </c>
      <c r="MKL4">
        <v>1364909</v>
      </c>
      <c r="MKM4" t="s">
        <v>64953</v>
      </c>
      <c r="MKN4">
        <v>1364924</v>
      </c>
      <c r="MKO4" t="s">
        <v>64954</v>
      </c>
      <c r="MKP4">
        <v>1365009</v>
      </c>
      <c r="MKQ4" t="s">
        <v>64955</v>
      </c>
      <c r="MKR4">
        <v>1365023</v>
      </c>
      <c r="MKS4" t="s">
        <v>64956</v>
      </c>
      <c r="MKT4">
        <v>1365121</v>
      </c>
      <c r="MKU4" t="s">
        <v>64957</v>
      </c>
      <c r="MKV4">
        <v>1365133</v>
      </c>
      <c r="MKW4" t="s">
        <v>64958</v>
      </c>
      <c r="MKX4">
        <v>1365501</v>
      </c>
      <c r="MKY4" t="s">
        <v>64959</v>
      </c>
      <c r="MKZ4">
        <v>1365544</v>
      </c>
      <c r="MLA4" t="s">
        <v>64960</v>
      </c>
      <c r="MLB4">
        <v>1365576</v>
      </c>
      <c r="MLC4" t="s">
        <v>64961</v>
      </c>
      <c r="MLD4">
        <v>1365585</v>
      </c>
      <c r="MLE4" t="s">
        <v>64962</v>
      </c>
      <c r="MLF4">
        <v>1365600</v>
      </c>
      <c r="MLG4" t="s">
        <v>64963</v>
      </c>
      <c r="MLH4">
        <v>1365610</v>
      </c>
      <c r="MLI4" t="s">
        <v>64964</v>
      </c>
      <c r="MLJ4">
        <v>1365628</v>
      </c>
      <c r="MLK4" t="s">
        <v>64965</v>
      </c>
      <c r="MLL4">
        <v>1365636</v>
      </c>
      <c r="MLM4" t="s">
        <v>64966</v>
      </c>
      <c r="MLN4">
        <v>1365666</v>
      </c>
      <c r="MLO4" t="s">
        <v>64967</v>
      </c>
      <c r="MLP4">
        <v>1365668</v>
      </c>
      <c r="MLQ4" t="s">
        <v>64968</v>
      </c>
      <c r="MLR4">
        <v>1365675</v>
      </c>
      <c r="MLS4" t="s">
        <v>64969</v>
      </c>
      <c r="MLT4">
        <v>1365962</v>
      </c>
      <c r="MLU4" t="s">
        <v>64970</v>
      </c>
      <c r="MLV4">
        <v>1365968</v>
      </c>
      <c r="MLW4" t="s">
        <v>64971</v>
      </c>
      <c r="MLX4">
        <v>1366887</v>
      </c>
      <c r="MLY4" t="s">
        <v>64972</v>
      </c>
      <c r="MLZ4">
        <v>1366902</v>
      </c>
      <c r="MMA4" t="s">
        <v>64973</v>
      </c>
      <c r="MMB4">
        <v>1366977</v>
      </c>
      <c r="MMC4" t="s">
        <v>64974</v>
      </c>
      <c r="MMD4">
        <v>1367076</v>
      </c>
      <c r="MME4" t="s">
        <v>64975</v>
      </c>
      <c r="MMF4">
        <v>1367534</v>
      </c>
      <c r="MMG4" t="s">
        <v>64976</v>
      </c>
      <c r="MMH4">
        <v>1367541</v>
      </c>
      <c r="MMI4" t="s">
        <v>64977</v>
      </c>
      <c r="MMJ4">
        <v>1367557</v>
      </c>
      <c r="MMK4" t="s">
        <v>64978</v>
      </c>
      <c r="MML4">
        <v>1367571</v>
      </c>
      <c r="MMM4" t="s">
        <v>64979</v>
      </c>
      <c r="MMN4">
        <v>1368021</v>
      </c>
      <c r="MMO4" t="s">
        <v>64980</v>
      </c>
      <c r="MMP4">
        <v>1368061</v>
      </c>
      <c r="MMQ4" t="s">
        <v>64981</v>
      </c>
      <c r="MMR4">
        <v>1368075</v>
      </c>
      <c r="MMS4" t="s">
        <v>64982</v>
      </c>
      <c r="MMT4">
        <v>1368091</v>
      </c>
      <c r="MMU4" t="s">
        <v>64983</v>
      </c>
      <c r="MMV4">
        <v>1368169</v>
      </c>
      <c r="MMW4" t="s">
        <v>64984</v>
      </c>
      <c r="MMX4">
        <v>1368219</v>
      </c>
      <c r="MMY4" t="s">
        <v>64985</v>
      </c>
      <c r="MMZ4">
        <v>1370250</v>
      </c>
      <c r="MNA4" t="s">
        <v>64986</v>
      </c>
      <c r="MNB4">
        <v>1370304</v>
      </c>
      <c r="MNC4" t="s">
        <v>64987</v>
      </c>
      <c r="MND4">
        <v>1370305</v>
      </c>
      <c r="MNE4" t="s">
        <v>64988</v>
      </c>
      <c r="MNF4">
        <v>1370331</v>
      </c>
      <c r="MNG4" t="s">
        <v>64989</v>
      </c>
      <c r="MNH4">
        <v>1370337</v>
      </c>
      <c r="MNI4" t="s">
        <v>64990</v>
      </c>
      <c r="MNJ4">
        <v>1370379</v>
      </c>
      <c r="MNK4" t="s">
        <v>64991</v>
      </c>
      <c r="MNL4">
        <v>1371041</v>
      </c>
      <c r="MNM4" t="s">
        <v>64992</v>
      </c>
      <c r="MNN4">
        <v>1371092</v>
      </c>
      <c r="MNO4" t="s">
        <v>64993</v>
      </c>
      <c r="MNP4">
        <v>1372311</v>
      </c>
      <c r="MNQ4" t="s">
        <v>64994</v>
      </c>
      <c r="MNR4">
        <v>1377331</v>
      </c>
      <c r="MNS4" t="s">
        <v>64995</v>
      </c>
      <c r="MNT4">
        <v>1377343</v>
      </c>
      <c r="MNU4" t="s">
        <v>64996</v>
      </c>
      <c r="MNV4">
        <v>1378343</v>
      </c>
      <c r="MNW4" t="s">
        <v>64997</v>
      </c>
      <c r="MNX4">
        <v>1378367</v>
      </c>
      <c r="MNY4" t="s">
        <v>64998</v>
      </c>
      <c r="MNZ4">
        <v>1378380</v>
      </c>
      <c r="MOA4" t="s">
        <v>64999</v>
      </c>
      <c r="MOB4">
        <v>1378834</v>
      </c>
      <c r="MOC4" t="s">
        <v>65000</v>
      </c>
      <c r="MOD4">
        <v>1379036</v>
      </c>
      <c r="MOE4" t="s">
        <v>65001</v>
      </c>
      <c r="MOF4">
        <v>1379046</v>
      </c>
      <c r="MOG4" t="s">
        <v>65002</v>
      </c>
      <c r="MOH4">
        <v>1379075</v>
      </c>
      <c r="MOI4" t="s">
        <v>65003</v>
      </c>
      <c r="MOJ4">
        <v>1379248</v>
      </c>
      <c r="MOK4" t="s">
        <v>65004</v>
      </c>
      <c r="MOL4">
        <v>1379282</v>
      </c>
      <c r="MOM4" t="s">
        <v>65005</v>
      </c>
      <c r="MON4">
        <v>1379398</v>
      </c>
      <c r="MOO4" t="s">
        <v>65006</v>
      </c>
      <c r="MOP4">
        <v>1379407</v>
      </c>
      <c r="MOQ4" t="s">
        <v>65007</v>
      </c>
      <c r="MOR4">
        <v>1379414</v>
      </c>
      <c r="MOS4" t="s">
        <v>65008</v>
      </c>
      <c r="MOT4">
        <v>1379415</v>
      </c>
      <c r="MOU4" t="s">
        <v>65009</v>
      </c>
      <c r="MOV4">
        <v>1379517</v>
      </c>
      <c r="MOW4" t="s">
        <v>65010</v>
      </c>
      <c r="MOX4">
        <v>1379559</v>
      </c>
      <c r="MOY4" t="s">
        <v>65011</v>
      </c>
      <c r="MOZ4">
        <v>1379580</v>
      </c>
      <c r="MPA4" t="s">
        <v>65012</v>
      </c>
      <c r="MPB4">
        <v>1379754</v>
      </c>
      <c r="MPC4" t="s">
        <v>65013</v>
      </c>
      <c r="MPD4">
        <v>1381277</v>
      </c>
      <c r="MPE4" t="s">
        <v>65014</v>
      </c>
      <c r="MPF4">
        <v>1385707</v>
      </c>
      <c r="MPG4" t="s">
        <v>65015</v>
      </c>
      <c r="MPH4">
        <v>1386221</v>
      </c>
      <c r="MPI4" t="s">
        <v>65016</v>
      </c>
      <c r="MPJ4">
        <v>1388276</v>
      </c>
      <c r="MPK4" t="s">
        <v>65017</v>
      </c>
      <c r="MPL4">
        <v>1388481</v>
      </c>
      <c r="MPM4" t="s">
        <v>65018</v>
      </c>
      <c r="MPN4">
        <v>1388976</v>
      </c>
      <c r="MPO4" t="s">
        <v>65019</v>
      </c>
      <c r="MPP4">
        <v>1389037</v>
      </c>
      <c r="MPQ4" t="s">
        <v>65020</v>
      </c>
      <c r="MPR4">
        <v>1389176</v>
      </c>
      <c r="MPS4" t="s">
        <v>65021</v>
      </c>
      <c r="MPT4">
        <v>1389190</v>
      </c>
      <c r="MPU4" t="s">
        <v>65022</v>
      </c>
      <c r="MPV4">
        <v>1389205</v>
      </c>
      <c r="MPW4" t="s">
        <v>65023</v>
      </c>
      <c r="MPX4">
        <v>1390053</v>
      </c>
      <c r="MPY4" t="s">
        <v>65024</v>
      </c>
      <c r="MPZ4">
        <v>1390107</v>
      </c>
      <c r="MQA4" t="s">
        <v>65025</v>
      </c>
      <c r="MQB4">
        <v>1390114</v>
      </c>
      <c r="MQC4" t="s">
        <v>65026</v>
      </c>
      <c r="MQD4">
        <v>1390141</v>
      </c>
      <c r="MQE4" t="s">
        <v>65027</v>
      </c>
      <c r="MQF4">
        <v>1390158</v>
      </c>
      <c r="MQG4" t="s">
        <v>65028</v>
      </c>
      <c r="MQH4">
        <v>1390187</v>
      </c>
      <c r="MQI4" t="s">
        <v>65029</v>
      </c>
      <c r="MQJ4">
        <v>1391722</v>
      </c>
      <c r="MQK4" t="s">
        <v>65030</v>
      </c>
      <c r="MQL4">
        <v>1391725</v>
      </c>
      <c r="MQM4" t="s">
        <v>65031</v>
      </c>
      <c r="MQN4">
        <v>1391733</v>
      </c>
      <c r="MQO4" t="s">
        <v>65032</v>
      </c>
      <c r="MQP4">
        <v>1391741</v>
      </c>
      <c r="MQQ4" t="s">
        <v>65033</v>
      </c>
      <c r="MQR4">
        <v>1391750</v>
      </c>
      <c r="MQS4" t="s">
        <v>65034</v>
      </c>
      <c r="MQT4">
        <v>1391796</v>
      </c>
      <c r="MQU4" t="s">
        <v>65035</v>
      </c>
      <c r="MQV4">
        <v>1391803</v>
      </c>
      <c r="MQX4" t="s">
        <v>65036</v>
      </c>
      <c r="MQY4">
        <v>1391813</v>
      </c>
      <c r="MQZ4" t="s">
        <v>65037</v>
      </c>
      <c r="MRA4">
        <v>1391817</v>
      </c>
      <c r="MRB4" t="s">
        <v>65038</v>
      </c>
      <c r="MRC4">
        <v>1391824</v>
      </c>
      <c r="MRD4" t="s">
        <v>65039</v>
      </c>
      <c r="MRE4">
        <v>1391833</v>
      </c>
      <c r="MRG4" t="s">
        <v>65040</v>
      </c>
      <c r="MRH4">
        <v>1391852</v>
      </c>
      <c r="MRI4" t="s">
        <v>65041</v>
      </c>
      <c r="MRJ4">
        <v>1391875</v>
      </c>
      <c r="MRK4" t="s">
        <v>65042</v>
      </c>
      <c r="MRL4">
        <v>1391882</v>
      </c>
      <c r="MRM4" t="s">
        <v>65043</v>
      </c>
      <c r="MRN4">
        <v>1391887</v>
      </c>
      <c r="MRO4" t="s">
        <v>65044</v>
      </c>
      <c r="MRP4">
        <v>1391901</v>
      </c>
      <c r="MRR4" t="s">
        <v>65045</v>
      </c>
      <c r="MRS4">
        <v>1391983</v>
      </c>
      <c r="MRT4" t="s">
        <v>65046</v>
      </c>
      <c r="MRU4">
        <v>1392718</v>
      </c>
      <c r="MRV4" t="s">
        <v>65047</v>
      </c>
      <c r="MRW4">
        <v>1393239</v>
      </c>
      <c r="MRX4" t="s">
        <v>65048</v>
      </c>
      <c r="MRY4">
        <v>1393271</v>
      </c>
      <c r="MRZ4" t="s">
        <v>65049</v>
      </c>
      <c r="MSA4">
        <v>1393358</v>
      </c>
      <c r="MSB4" t="s">
        <v>65050</v>
      </c>
      <c r="MSC4">
        <v>1393480</v>
      </c>
      <c r="MSE4" t="s">
        <v>65051</v>
      </c>
      <c r="MSF4">
        <v>1393573</v>
      </c>
      <c r="MSG4" t="s">
        <v>65052</v>
      </c>
      <c r="MSH4">
        <v>1393621</v>
      </c>
      <c r="MSI4" t="s">
        <v>65053</v>
      </c>
      <c r="MSJ4">
        <v>1393732</v>
      </c>
      <c r="MSL4" t="s">
        <v>65054</v>
      </c>
      <c r="MSM4">
        <v>1393746</v>
      </c>
      <c r="MSN4" t="s">
        <v>65055</v>
      </c>
      <c r="MSO4">
        <v>1393854</v>
      </c>
      <c r="MSQ4" t="s">
        <v>65056</v>
      </c>
      <c r="MSR4">
        <v>1393902</v>
      </c>
      <c r="MSS4" t="s">
        <v>65057</v>
      </c>
      <c r="MST4">
        <v>1394062</v>
      </c>
      <c r="MSV4" t="s">
        <v>65058</v>
      </c>
      <c r="MSW4">
        <v>1395655</v>
      </c>
      <c r="MSX4" t="s">
        <v>65059</v>
      </c>
      <c r="MSY4">
        <v>1399836</v>
      </c>
      <c r="MSZ4" t="s">
        <v>65060</v>
      </c>
      <c r="MTA4">
        <v>1400855</v>
      </c>
      <c r="MTB4" t="s">
        <v>65061</v>
      </c>
      <c r="MTC4">
        <v>1400869</v>
      </c>
      <c r="MTD4" t="s">
        <v>65062</v>
      </c>
      <c r="MTE4">
        <v>1400875</v>
      </c>
      <c r="MTF4" t="s">
        <v>65063</v>
      </c>
      <c r="MTG4">
        <v>1400900</v>
      </c>
      <c r="MTH4" t="s">
        <v>65064</v>
      </c>
      <c r="MTI4">
        <v>1400906</v>
      </c>
      <c r="MTJ4" t="s">
        <v>65065</v>
      </c>
      <c r="MTK4">
        <v>1400950</v>
      </c>
      <c r="MTL4" t="s">
        <v>65066</v>
      </c>
      <c r="MTM4">
        <v>1400965</v>
      </c>
      <c r="MTO4" t="s">
        <v>65067</v>
      </c>
      <c r="MTP4">
        <v>1400977</v>
      </c>
      <c r="MTQ4" t="s">
        <v>65068</v>
      </c>
      <c r="MTR4">
        <v>1401200</v>
      </c>
      <c r="MTS4" t="s">
        <v>65069</v>
      </c>
      <c r="MTT4">
        <v>1401426</v>
      </c>
      <c r="MTU4" t="s">
        <v>65070</v>
      </c>
      <c r="MTV4">
        <v>1401504</v>
      </c>
      <c r="MTY4" t="s">
        <v>65071</v>
      </c>
      <c r="MTZ4">
        <v>1401584</v>
      </c>
      <c r="MUA4" t="s">
        <v>65072</v>
      </c>
      <c r="MUB4">
        <v>1401597</v>
      </c>
      <c r="MUC4" t="s">
        <v>65073</v>
      </c>
      <c r="MUD4">
        <v>1401624</v>
      </c>
      <c r="MUF4" t="s">
        <v>65074</v>
      </c>
      <c r="MUG4">
        <v>1401706</v>
      </c>
      <c r="MUH4" t="s">
        <v>65075</v>
      </c>
      <c r="MUI4">
        <v>1401750</v>
      </c>
      <c r="MUJ4" t="s">
        <v>65076</v>
      </c>
      <c r="MUK4">
        <v>1401797</v>
      </c>
      <c r="MUM4" t="s">
        <v>65077</v>
      </c>
      <c r="MUN4">
        <v>1401860</v>
      </c>
      <c r="MUO4" t="s">
        <v>65078</v>
      </c>
      <c r="MUP4">
        <v>1406055</v>
      </c>
      <c r="MUQ4" t="s">
        <v>65079</v>
      </c>
      <c r="MUR4">
        <v>1406400</v>
      </c>
      <c r="MUS4" t="s">
        <v>65080</v>
      </c>
      <c r="MUT4">
        <v>1406676</v>
      </c>
      <c r="MUV4" t="s">
        <v>65081</v>
      </c>
      <c r="MUW4">
        <v>1407349</v>
      </c>
      <c r="MUY4" t="s">
        <v>65082</v>
      </c>
      <c r="MUZ4">
        <v>1432423</v>
      </c>
      <c r="MVA4" t="s">
        <v>65083</v>
      </c>
      <c r="MVB4">
        <v>1432449</v>
      </c>
      <c r="MVC4" t="s">
        <v>65084</v>
      </c>
      <c r="MVD4">
        <v>1432508</v>
      </c>
      <c r="MVE4" t="s">
        <v>65085</v>
      </c>
      <c r="MVF4">
        <v>1432935</v>
      </c>
      <c r="MVH4" t="s">
        <v>65086</v>
      </c>
      <c r="MVI4">
        <v>1435151</v>
      </c>
      <c r="MVJ4" t="s">
        <v>65087</v>
      </c>
      <c r="MVK4">
        <v>1435166</v>
      </c>
      <c r="MVL4" t="s">
        <v>65088</v>
      </c>
      <c r="MVM4">
        <v>1435176</v>
      </c>
      <c r="MVN4" t="s">
        <v>65089</v>
      </c>
      <c r="MVO4">
        <v>1435186</v>
      </c>
      <c r="MVQ4" t="s">
        <v>65090</v>
      </c>
      <c r="MVR4">
        <v>1445308</v>
      </c>
      <c r="MVS4" t="s">
        <v>65091</v>
      </c>
      <c r="MVT4">
        <v>1445349</v>
      </c>
      <c r="MVU4" t="s">
        <v>65092</v>
      </c>
      <c r="MVV4">
        <v>1445385</v>
      </c>
      <c r="MVW4" t="s">
        <v>65093</v>
      </c>
      <c r="MVX4">
        <v>1445392</v>
      </c>
      <c r="MVY4" t="s">
        <v>65094</v>
      </c>
      <c r="MVZ4">
        <v>1445398</v>
      </c>
      <c r="MWA4" t="s">
        <v>65095</v>
      </c>
      <c r="MWB4">
        <v>1445426</v>
      </c>
      <c r="MWC4" t="s">
        <v>65096</v>
      </c>
      <c r="MWD4">
        <v>1445433</v>
      </c>
      <c r="MWE4" t="s">
        <v>65097</v>
      </c>
      <c r="MWF4">
        <v>1445470</v>
      </c>
      <c r="MWG4" t="s">
        <v>65098</v>
      </c>
      <c r="MWH4">
        <v>1446350</v>
      </c>
      <c r="MWJ4" t="s">
        <v>65099</v>
      </c>
      <c r="MWK4">
        <v>1446492</v>
      </c>
      <c r="MWL4" t="s">
        <v>65100</v>
      </c>
      <c r="MWM4">
        <v>1446494</v>
      </c>
      <c r="MWN4" t="s">
        <v>65101</v>
      </c>
      <c r="MWO4">
        <v>1446614</v>
      </c>
      <c r="MWP4" t="s">
        <v>65102</v>
      </c>
      <c r="MWQ4">
        <v>1446638</v>
      </c>
      <c r="MWR4" t="s">
        <v>65103</v>
      </c>
      <c r="MWS4">
        <v>1446976</v>
      </c>
      <c r="MWT4" t="s">
        <v>65104</v>
      </c>
      <c r="MWU4">
        <v>1446992</v>
      </c>
      <c r="MWV4" t="s">
        <v>65105</v>
      </c>
      <c r="MWW4">
        <v>1447015</v>
      </c>
      <c r="MWX4" t="s">
        <v>65106</v>
      </c>
      <c r="MWY4">
        <v>1447043</v>
      </c>
      <c r="MWZ4" t="s">
        <v>65107</v>
      </c>
      <c r="MXA4">
        <v>1447067</v>
      </c>
      <c r="MXB4" t="s">
        <v>65108</v>
      </c>
      <c r="MXC4">
        <v>1447072</v>
      </c>
      <c r="MXD4" t="s">
        <v>65109</v>
      </c>
      <c r="MXE4">
        <v>1447325</v>
      </c>
      <c r="MXF4" t="s">
        <v>65110</v>
      </c>
      <c r="MXG4">
        <v>1447394</v>
      </c>
      <c r="MXH4" t="s">
        <v>65111</v>
      </c>
      <c r="MXI4">
        <v>1447426</v>
      </c>
      <c r="MXJ4" t="s">
        <v>65112</v>
      </c>
      <c r="MXK4">
        <v>1447438</v>
      </c>
      <c r="MXL4" t="s">
        <v>65113</v>
      </c>
      <c r="MXM4">
        <v>1447896</v>
      </c>
      <c r="MXN4" t="s">
        <v>65114</v>
      </c>
      <c r="MXO4">
        <v>1447902</v>
      </c>
      <c r="MXP4" t="s">
        <v>65115</v>
      </c>
      <c r="MXQ4">
        <v>1447909</v>
      </c>
      <c r="MXR4" t="s">
        <v>65116</v>
      </c>
      <c r="MXS4">
        <v>1447922</v>
      </c>
      <c r="MXT4" t="s">
        <v>65117</v>
      </c>
      <c r="MXU4">
        <v>1447939</v>
      </c>
      <c r="MXV4" t="s">
        <v>65118</v>
      </c>
      <c r="MXW4">
        <v>1447961</v>
      </c>
      <c r="MXX4" t="s">
        <v>65119</v>
      </c>
      <c r="MXY4">
        <v>1447984</v>
      </c>
      <c r="MXZ4" t="s">
        <v>65120</v>
      </c>
      <c r="MYA4">
        <v>1448006</v>
      </c>
      <c r="MYB4" t="s">
        <v>65121</v>
      </c>
      <c r="MYC4">
        <v>1448013</v>
      </c>
      <c r="MYD4" t="s">
        <v>65122</v>
      </c>
      <c r="MYE4">
        <v>1448019</v>
      </c>
      <c r="MYF4" t="s">
        <v>65123</v>
      </c>
      <c r="MYG4">
        <v>1448118</v>
      </c>
      <c r="MYH4" t="s">
        <v>65124</v>
      </c>
      <c r="MYI4">
        <v>1448119</v>
      </c>
      <c r="MYJ4" t="s">
        <v>65125</v>
      </c>
      <c r="MYK4">
        <v>1448228</v>
      </c>
      <c r="MYL4" t="s">
        <v>65126</v>
      </c>
      <c r="MYM4">
        <v>1448271</v>
      </c>
      <c r="MYO4" t="s">
        <v>65127</v>
      </c>
      <c r="MYP4">
        <v>1448278</v>
      </c>
      <c r="MYQ4" t="s">
        <v>65128</v>
      </c>
      <c r="MYR4">
        <v>1448301</v>
      </c>
      <c r="MYS4" t="s">
        <v>65129</v>
      </c>
      <c r="MYT4">
        <v>1448639</v>
      </c>
      <c r="MYV4" t="s">
        <v>65130</v>
      </c>
      <c r="MYW4">
        <v>1448654</v>
      </c>
      <c r="MYX4" t="s">
        <v>65131</v>
      </c>
      <c r="MYY4">
        <v>1448879</v>
      </c>
      <c r="MYZ4" t="s">
        <v>65132</v>
      </c>
      <c r="MZA4">
        <v>1448901</v>
      </c>
      <c r="MZB4" t="s">
        <v>65133</v>
      </c>
      <c r="MZC4">
        <v>1448929</v>
      </c>
      <c r="MZD4" t="s">
        <v>65134</v>
      </c>
      <c r="MZE4">
        <v>1448943</v>
      </c>
      <c r="MZG4" t="s">
        <v>65135</v>
      </c>
      <c r="MZH4">
        <v>1449292</v>
      </c>
      <c r="MZI4" t="s">
        <v>65136</v>
      </c>
      <c r="MZJ4">
        <v>1449306</v>
      </c>
      <c r="MZK4" t="s">
        <v>65137</v>
      </c>
      <c r="MZL4">
        <v>1451131</v>
      </c>
      <c r="MZM4" t="s">
        <v>65138</v>
      </c>
      <c r="MZN4">
        <v>1451175</v>
      </c>
      <c r="MZO4" t="s">
        <v>65139</v>
      </c>
      <c r="MZP4">
        <v>1451179</v>
      </c>
      <c r="MZQ4" t="s">
        <v>65140</v>
      </c>
      <c r="MZR4">
        <v>1451397</v>
      </c>
      <c r="MZS4" t="s">
        <v>65141</v>
      </c>
      <c r="MZT4">
        <v>1451473</v>
      </c>
      <c r="MZU4" t="s">
        <v>65142</v>
      </c>
      <c r="MZV4">
        <v>1452380</v>
      </c>
      <c r="MZW4" t="s">
        <v>65143</v>
      </c>
      <c r="MZX4">
        <v>1452388</v>
      </c>
      <c r="MZY4" t="s">
        <v>65144</v>
      </c>
      <c r="MZZ4">
        <v>1452399</v>
      </c>
      <c r="NAA4" t="s">
        <v>65145</v>
      </c>
      <c r="NAB4">
        <v>1452839</v>
      </c>
      <c r="NAC4" t="s">
        <v>65146</v>
      </c>
      <c r="NAD4">
        <v>1453439</v>
      </c>
      <c r="NAE4" t="s">
        <v>65147</v>
      </c>
      <c r="NAF4">
        <v>1453455</v>
      </c>
      <c r="NAG4" t="s">
        <v>65148</v>
      </c>
      <c r="NAH4">
        <v>1453477</v>
      </c>
      <c r="NAI4" t="s">
        <v>65149</v>
      </c>
      <c r="NAJ4">
        <v>1453550</v>
      </c>
      <c r="NAK4" t="s">
        <v>65150</v>
      </c>
      <c r="NAL4">
        <v>1453671</v>
      </c>
      <c r="NAM4" t="s">
        <v>65151</v>
      </c>
      <c r="NAN4">
        <v>1454836</v>
      </c>
      <c r="NAO4" t="s">
        <v>65152</v>
      </c>
      <c r="NAP4">
        <v>1455225</v>
      </c>
      <c r="NAQ4" t="s">
        <v>65153</v>
      </c>
      <c r="NAR4">
        <v>1455254</v>
      </c>
      <c r="NAS4" t="s">
        <v>65154</v>
      </c>
      <c r="NAT4">
        <v>1457385</v>
      </c>
      <c r="NAU4" t="s">
        <v>65155</v>
      </c>
      <c r="NAV4">
        <v>1457404</v>
      </c>
      <c r="NAW4" t="s">
        <v>65156</v>
      </c>
      <c r="NAX4">
        <v>1457419</v>
      </c>
      <c r="NAY4" t="s">
        <v>65157</v>
      </c>
      <c r="NAZ4">
        <v>1457436</v>
      </c>
      <c r="NBA4" t="s">
        <v>65158</v>
      </c>
      <c r="NBB4">
        <v>1457447</v>
      </c>
      <c r="NBC4" t="s">
        <v>65159</v>
      </c>
      <c r="NBD4">
        <v>1457507</v>
      </c>
      <c r="NBE4" t="s">
        <v>65160</v>
      </c>
      <c r="NBF4">
        <v>1457545</v>
      </c>
      <c r="NBG4" t="s">
        <v>65161</v>
      </c>
      <c r="NBH4">
        <v>1457552</v>
      </c>
      <c r="NBI4" t="s">
        <v>65162</v>
      </c>
      <c r="NBJ4">
        <v>1457581</v>
      </c>
      <c r="NBK4" t="s">
        <v>65163</v>
      </c>
      <c r="NBL4">
        <v>1457626</v>
      </c>
      <c r="NBM4" t="s">
        <v>65164</v>
      </c>
      <c r="NBN4">
        <v>1457640</v>
      </c>
      <c r="NBO4" t="s">
        <v>65165</v>
      </c>
      <c r="NBP4">
        <v>1457671</v>
      </c>
      <c r="NBQ4" t="s">
        <v>65166</v>
      </c>
      <c r="NBR4">
        <v>1457688</v>
      </c>
      <c r="NBS4" t="s">
        <v>65167</v>
      </c>
      <c r="NBT4">
        <v>1457698</v>
      </c>
      <c r="NBU4" t="s">
        <v>65168</v>
      </c>
      <c r="NBV4">
        <v>1457715</v>
      </c>
      <c r="NBW4" t="s">
        <v>65169</v>
      </c>
      <c r="NBX4">
        <v>1457792</v>
      </c>
      <c r="NBY4" t="s">
        <v>65170</v>
      </c>
      <c r="NBZ4">
        <v>1457801</v>
      </c>
      <c r="NCA4" t="s">
        <v>65171</v>
      </c>
      <c r="NCB4">
        <v>1457814</v>
      </c>
      <c r="NCC4" t="s">
        <v>65172</v>
      </c>
      <c r="NCD4">
        <v>1457875</v>
      </c>
      <c r="NCE4" t="s">
        <v>65173</v>
      </c>
      <c r="NCF4">
        <v>1459244</v>
      </c>
      <c r="NCG4" t="s">
        <v>65174</v>
      </c>
      <c r="NCH4">
        <v>1459275</v>
      </c>
      <c r="NCI4" t="s">
        <v>65175</v>
      </c>
      <c r="NCJ4">
        <v>1459284</v>
      </c>
      <c r="NCK4" t="s">
        <v>65176</v>
      </c>
      <c r="NCL4">
        <v>1459316</v>
      </c>
      <c r="NCM4" t="s">
        <v>65177</v>
      </c>
      <c r="NCN4">
        <v>1459320</v>
      </c>
      <c r="NCO4" t="s">
        <v>65178</v>
      </c>
      <c r="NCP4">
        <v>1460410</v>
      </c>
      <c r="NCQ4" t="s">
        <v>65179</v>
      </c>
      <c r="NCR4">
        <v>1461371</v>
      </c>
      <c r="NCS4" t="s">
        <v>65180</v>
      </c>
      <c r="NCT4">
        <v>1461385</v>
      </c>
      <c r="NCU4" t="s">
        <v>65181</v>
      </c>
      <c r="NCV4">
        <v>1461773</v>
      </c>
      <c r="NCW4" t="s">
        <v>65182</v>
      </c>
      <c r="NCX4">
        <v>1461895</v>
      </c>
      <c r="NCY4" t="s">
        <v>65183</v>
      </c>
      <c r="NCZ4">
        <v>1465541</v>
      </c>
      <c r="NDA4" t="s">
        <v>65184</v>
      </c>
      <c r="NDB4">
        <v>1465770</v>
      </c>
      <c r="NDC4" t="s">
        <v>65185</v>
      </c>
      <c r="NDD4">
        <v>1471994</v>
      </c>
      <c r="NDE4" t="s">
        <v>65186</v>
      </c>
      <c r="NDF4">
        <v>1494993</v>
      </c>
      <c r="NDH4" t="s">
        <v>65187</v>
      </c>
      <c r="NDI4">
        <v>1497902</v>
      </c>
      <c r="NDJ4" t="s">
        <v>65188</v>
      </c>
      <c r="NDK4">
        <v>1497984</v>
      </c>
      <c r="NDL4" t="s">
        <v>65189</v>
      </c>
      <c r="NDM4">
        <v>1498010</v>
      </c>
      <c r="NDN4" t="s">
        <v>65190</v>
      </c>
      <c r="NDO4">
        <v>1498039</v>
      </c>
      <c r="NDP4" t="s">
        <v>65191</v>
      </c>
      <c r="NDQ4">
        <v>1498046</v>
      </c>
      <c r="NDR4" t="s">
        <v>65192</v>
      </c>
      <c r="NDS4">
        <v>1498054</v>
      </c>
      <c r="NDT4" t="s">
        <v>65193</v>
      </c>
      <c r="NDU4">
        <v>1498062</v>
      </c>
      <c r="NDV4" t="s">
        <v>65194</v>
      </c>
      <c r="NDW4">
        <v>1498142</v>
      </c>
      <c r="NDX4" t="s">
        <v>65195</v>
      </c>
      <c r="NDY4">
        <v>1498703</v>
      </c>
      <c r="NDZ4" t="s">
        <v>65196</v>
      </c>
      <c r="NEA4">
        <v>1498817</v>
      </c>
      <c r="NEB4" t="s">
        <v>65197</v>
      </c>
      <c r="NEC4">
        <v>1498856</v>
      </c>
      <c r="NED4" t="s">
        <v>65198</v>
      </c>
      <c r="NEE4">
        <v>1498929</v>
      </c>
      <c r="NEF4" t="s">
        <v>65199</v>
      </c>
      <c r="NEG4">
        <v>1498985</v>
      </c>
      <c r="NEH4" t="s">
        <v>65200</v>
      </c>
      <c r="NEI4">
        <v>1499042</v>
      </c>
      <c r="NEJ4" t="s">
        <v>65201</v>
      </c>
      <c r="NEK4">
        <v>1499074</v>
      </c>
      <c r="NEL4" t="s">
        <v>65202</v>
      </c>
      <c r="NEM4">
        <v>1499593</v>
      </c>
      <c r="NEN4" t="s">
        <v>65203</v>
      </c>
      <c r="NEO4">
        <v>1499753</v>
      </c>
      <c r="NEP4" t="s">
        <v>65204</v>
      </c>
      <c r="NEQ4">
        <v>1499783</v>
      </c>
      <c r="NER4" t="s">
        <v>65205</v>
      </c>
      <c r="NES4">
        <v>1499807</v>
      </c>
      <c r="NET4" t="s">
        <v>65206</v>
      </c>
      <c r="NEU4">
        <v>1499884</v>
      </c>
      <c r="NEV4" t="s">
        <v>65207</v>
      </c>
      <c r="NEW4">
        <v>1499900</v>
      </c>
      <c r="NEX4" t="s">
        <v>65208</v>
      </c>
      <c r="NEY4">
        <v>1500456</v>
      </c>
      <c r="NEZ4" t="s">
        <v>65209</v>
      </c>
      <c r="NFA4">
        <v>1500485</v>
      </c>
      <c r="NFB4" t="s">
        <v>65210</v>
      </c>
      <c r="NFC4">
        <v>1501718</v>
      </c>
      <c r="NFD4" t="s">
        <v>65211</v>
      </c>
      <c r="NFE4">
        <v>1501744</v>
      </c>
      <c r="NFF4" t="s">
        <v>65212</v>
      </c>
      <c r="NFG4">
        <v>1501842</v>
      </c>
      <c r="NFH4" t="s">
        <v>65213</v>
      </c>
      <c r="NFI4">
        <v>1501846</v>
      </c>
      <c r="NFJ4" t="s">
        <v>65214</v>
      </c>
      <c r="NFK4">
        <v>1501851</v>
      </c>
      <c r="NFL4" t="s">
        <v>65215</v>
      </c>
      <c r="NFM4">
        <v>1501861</v>
      </c>
      <c r="NFN4" t="s">
        <v>65216</v>
      </c>
      <c r="NFO4">
        <v>1502144</v>
      </c>
      <c r="NFP4" t="s">
        <v>65217</v>
      </c>
      <c r="NFQ4">
        <v>1502152</v>
      </c>
      <c r="NFR4" t="s">
        <v>65218</v>
      </c>
      <c r="NFS4">
        <v>1502160</v>
      </c>
      <c r="NFT4" t="s">
        <v>65219</v>
      </c>
      <c r="NFU4">
        <v>1502271</v>
      </c>
      <c r="NFV4" t="s">
        <v>65220</v>
      </c>
      <c r="NFW4">
        <v>1502277</v>
      </c>
      <c r="NFX4" t="s">
        <v>65221</v>
      </c>
      <c r="NFY4">
        <v>1502293</v>
      </c>
      <c r="NFZ4" t="s">
        <v>65222</v>
      </c>
      <c r="NGA4">
        <v>1502308</v>
      </c>
      <c r="NGB4" t="s">
        <v>65223</v>
      </c>
      <c r="NGC4">
        <v>1502333</v>
      </c>
      <c r="NGD4" t="s">
        <v>65224</v>
      </c>
      <c r="NGE4">
        <v>1502352</v>
      </c>
      <c r="NGF4" t="s">
        <v>65225</v>
      </c>
      <c r="NGG4">
        <v>1502374</v>
      </c>
      <c r="NGH4" t="s">
        <v>65226</v>
      </c>
      <c r="NGI4">
        <v>1502400</v>
      </c>
      <c r="NGJ4" t="s">
        <v>65227</v>
      </c>
      <c r="NGK4">
        <v>1502413</v>
      </c>
      <c r="NGL4" t="s">
        <v>65228</v>
      </c>
      <c r="NGM4">
        <v>1502428</v>
      </c>
      <c r="NGN4" t="s">
        <v>65229</v>
      </c>
      <c r="NGO4">
        <v>1502437</v>
      </c>
      <c r="NGP4" t="s">
        <v>65230</v>
      </c>
      <c r="NGQ4">
        <v>1502487</v>
      </c>
      <c r="NGR4" t="s">
        <v>65231</v>
      </c>
      <c r="NGS4">
        <v>1502492</v>
      </c>
      <c r="NGT4" t="s">
        <v>65232</v>
      </c>
      <c r="NGU4">
        <v>1502506</v>
      </c>
      <c r="NGV4" t="s">
        <v>65233</v>
      </c>
      <c r="NGW4">
        <v>1502533</v>
      </c>
      <c r="NGX4" t="s">
        <v>65234</v>
      </c>
      <c r="NGY4">
        <v>1502547</v>
      </c>
      <c r="NGZ4" t="s">
        <v>65235</v>
      </c>
      <c r="NHA4">
        <v>1502554</v>
      </c>
      <c r="NHB4" t="s">
        <v>65236</v>
      </c>
      <c r="NHC4">
        <v>1502600</v>
      </c>
      <c r="NHD4" t="s">
        <v>65237</v>
      </c>
      <c r="NHE4">
        <v>1502606</v>
      </c>
      <c r="NHF4" t="s">
        <v>65238</v>
      </c>
      <c r="NHG4">
        <v>1502634</v>
      </c>
      <c r="NHH4" t="s">
        <v>65239</v>
      </c>
      <c r="NHI4">
        <v>1502661</v>
      </c>
      <c r="NHJ4" t="s">
        <v>65240</v>
      </c>
      <c r="NHK4">
        <v>1502689</v>
      </c>
      <c r="NHL4" t="s">
        <v>65241</v>
      </c>
      <c r="NHM4">
        <v>1502720</v>
      </c>
      <c r="NHN4" t="s">
        <v>65242</v>
      </c>
      <c r="NHO4">
        <v>1502721</v>
      </c>
      <c r="NHP4" t="s">
        <v>65243</v>
      </c>
      <c r="NHQ4">
        <v>1502735</v>
      </c>
      <c r="NHR4" t="s">
        <v>65244</v>
      </c>
      <c r="NHS4">
        <v>1502741</v>
      </c>
      <c r="NHT4" t="s">
        <v>65245</v>
      </c>
      <c r="NHU4">
        <v>1503135</v>
      </c>
      <c r="NHV4" t="s">
        <v>65246</v>
      </c>
      <c r="NHW4">
        <v>1503281</v>
      </c>
      <c r="NHX4" t="s">
        <v>65247</v>
      </c>
      <c r="NHY4">
        <v>1503301</v>
      </c>
      <c r="NHZ4" t="s">
        <v>65248</v>
      </c>
      <c r="NIA4">
        <v>1503331</v>
      </c>
      <c r="NIB4" t="s">
        <v>65249</v>
      </c>
      <c r="NIC4">
        <v>1503571</v>
      </c>
      <c r="NID4" t="s">
        <v>65250</v>
      </c>
      <c r="NIE4">
        <v>1503578</v>
      </c>
      <c r="NIF4" t="s">
        <v>65251</v>
      </c>
      <c r="NIG4">
        <v>1503628</v>
      </c>
      <c r="NIH4" t="s">
        <v>65252</v>
      </c>
      <c r="NII4">
        <v>1503646</v>
      </c>
      <c r="NIJ4" t="s">
        <v>65253</v>
      </c>
      <c r="NIK4">
        <v>1503663</v>
      </c>
      <c r="NIM4" t="s">
        <v>65254</v>
      </c>
      <c r="NIN4">
        <v>1503670</v>
      </c>
      <c r="NIO4" t="s">
        <v>65255</v>
      </c>
      <c r="NIP4">
        <v>1503688</v>
      </c>
      <c r="NIQ4" t="s">
        <v>65256</v>
      </c>
      <c r="NIR4">
        <v>1503695</v>
      </c>
      <c r="NIS4" t="s">
        <v>65257</v>
      </c>
      <c r="NIT4">
        <v>1503707</v>
      </c>
      <c r="NIU4" t="s">
        <v>65258</v>
      </c>
      <c r="NIV4">
        <v>1505441</v>
      </c>
      <c r="NIW4" t="s">
        <v>65259</v>
      </c>
      <c r="NIX4">
        <v>1505446</v>
      </c>
      <c r="NIY4" t="s">
        <v>65260</v>
      </c>
      <c r="NIZ4">
        <v>1505458</v>
      </c>
      <c r="NJA4" t="s">
        <v>65261</v>
      </c>
      <c r="NJB4">
        <v>1506210</v>
      </c>
      <c r="NJC4" t="s">
        <v>65262</v>
      </c>
      <c r="NJD4">
        <v>1506520</v>
      </c>
      <c r="NJF4" t="s">
        <v>65263</v>
      </c>
      <c r="NJG4">
        <v>1509891</v>
      </c>
      <c r="NJH4" t="s">
        <v>65264</v>
      </c>
      <c r="NJI4">
        <v>1509905</v>
      </c>
      <c r="NJJ4" t="s">
        <v>65265</v>
      </c>
      <c r="NJK4">
        <v>1513650</v>
      </c>
      <c r="NJM4" t="s">
        <v>65266</v>
      </c>
      <c r="NJN4">
        <v>1513725</v>
      </c>
      <c r="NJO4" t="s">
        <v>65267</v>
      </c>
      <c r="NJP4">
        <v>1517735</v>
      </c>
      <c r="NJQ4" t="s">
        <v>65268</v>
      </c>
      <c r="NJR4">
        <v>1517784</v>
      </c>
      <c r="NJS4" t="s">
        <v>65269</v>
      </c>
      <c r="NJT4">
        <v>1517807</v>
      </c>
      <c r="NJU4" t="s">
        <v>65270</v>
      </c>
      <c r="NJV4">
        <v>1517822</v>
      </c>
      <c r="NJW4" t="s">
        <v>65271</v>
      </c>
      <c r="NJX4">
        <v>1517915</v>
      </c>
      <c r="NJY4" t="s">
        <v>65272</v>
      </c>
      <c r="NJZ4">
        <v>1517945</v>
      </c>
      <c r="NKA4" t="s">
        <v>65273</v>
      </c>
      <c r="NKB4">
        <v>1517997</v>
      </c>
      <c r="NKD4" t="s">
        <v>65274</v>
      </c>
      <c r="NKE4">
        <v>1518033</v>
      </c>
      <c r="NKG4" t="s">
        <v>65275</v>
      </c>
      <c r="NKH4">
        <v>1519914</v>
      </c>
      <c r="NKI4" t="s">
        <v>65276</v>
      </c>
      <c r="NKJ4">
        <v>1520018</v>
      </c>
      <c r="NKK4" t="s">
        <v>65277</v>
      </c>
      <c r="NKL4">
        <v>1520073</v>
      </c>
      <c r="NKM4" t="s">
        <v>65278</v>
      </c>
      <c r="NKN4">
        <v>1520306</v>
      </c>
      <c r="NKO4" t="s">
        <v>65279</v>
      </c>
      <c r="NKP4">
        <v>1520315</v>
      </c>
      <c r="NKQ4" t="s">
        <v>65280</v>
      </c>
      <c r="NKR4">
        <v>1520384</v>
      </c>
      <c r="NKS4" t="s">
        <v>65281</v>
      </c>
      <c r="NKT4">
        <v>1520405</v>
      </c>
      <c r="NKU4" t="s">
        <v>65282</v>
      </c>
      <c r="NKV4">
        <v>1520441</v>
      </c>
      <c r="NKW4" t="s">
        <v>65283</v>
      </c>
      <c r="NKX4">
        <v>1520452</v>
      </c>
      <c r="NKY4" t="s">
        <v>65284</v>
      </c>
      <c r="NKZ4">
        <v>1520525</v>
      </c>
      <c r="NLA4" t="s">
        <v>65285</v>
      </c>
      <c r="NLB4">
        <v>1520536</v>
      </c>
      <c r="NLC4" t="s">
        <v>65286</v>
      </c>
      <c r="NLD4">
        <v>1520568</v>
      </c>
      <c r="NLE4" t="s">
        <v>65287</v>
      </c>
      <c r="NLF4">
        <v>1520595</v>
      </c>
      <c r="NLG4" t="s">
        <v>65288</v>
      </c>
      <c r="NLH4">
        <v>1521301</v>
      </c>
      <c r="NLI4" t="s">
        <v>65289</v>
      </c>
      <c r="NLJ4">
        <v>1521346</v>
      </c>
      <c r="NLK4" t="s">
        <v>65290</v>
      </c>
      <c r="NLL4">
        <v>1524334</v>
      </c>
      <c r="NLM4" t="s">
        <v>65291</v>
      </c>
      <c r="NLN4">
        <v>1524347</v>
      </c>
      <c r="NLO4" t="s">
        <v>65292</v>
      </c>
      <c r="NLP4">
        <v>1524367</v>
      </c>
      <c r="NLQ4" t="s">
        <v>65293</v>
      </c>
      <c r="NLR4">
        <v>1524382</v>
      </c>
      <c r="NLS4" t="s">
        <v>65294</v>
      </c>
      <c r="NLT4">
        <v>1524386</v>
      </c>
      <c r="NLU4" t="s">
        <v>65295</v>
      </c>
      <c r="NLV4">
        <v>1524966</v>
      </c>
      <c r="NLW4" t="s">
        <v>65296</v>
      </c>
      <c r="NLX4">
        <v>1524982</v>
      </c>
      <c r="NLY4" t="s">
        <v>65297</v>
      </c>
      <c r="NLZ4">
        <v>1525037</v>
      </c>
      <c r="NMA4" t="s">
        <v>65298</v>
      </c>
      <c r="NMB4">
        <v>1525045</v>
      </c>
      <c r="NMC4" t="s">
        <v>65299</v>
      </c>
      <c r="NMD4">
        <v>1525049</v>
      </c>
      <c r="NME4" t="s">
        <v>65300</v>
      </c>
      <c r="NMF4">
        <v>1525144</v>
      </c>
      <c r="NMG4" t="s">
        <v>65301</v>
      </c>
      <c r="NMH4">
        <v>1525158</v>
      </c>
      <c r="NMI4" t="s">
        <v>65302</v>
      </c>
      <c r="NMJ4">
        <v>1525165</v>
      </c>
      <c r="NMK4" t="s">
        <v>65303</v>
      </c>
      <c r="NML4">
        <v>1525177</v>
      </c>
      <c r="NMM4" t="s">
        <v>65304</v>
      </c>
      <c r="NMN4">
        <v>1525198</v>
      </c>
      <c r="NMO4" t="s">
        <v>65305</v>
      </c>
      <c r="NMP4">
        <v>1525210</v>
      </c>
      <c r="NMQ4" t="s">
        <v>65306</v>
      </c>
      <c r="NMR4">
        <v>1525217</v>
      </c>
      <c r="NMS4" t="s">
        <v>65307</v>
      </c>
      <c r="NMT4">
        <v>1525230</v>
      </c>
      <c r="NMU4" t="s">
        <v>65308</v>
      </c>
      <c r="NMV4">
        <v>1525237</v>
      </c>
      <c r="NMW4" t="s">
        <v>65309</v>
      </c>
      <c r="NMX4">
        <v>1525442</v>
      </c>
      <c r="NMY4" t="s">
        <v>65310</v>
      </c>
      <c r="NMZ4">
        <v>1530645</v>
      </c>
      <c r="NNA4" t="s">
        <v>65311</v>
      </c>
      <c r="NNB4">
        <v>1530672</v>
      </c>
      <c r="NNC4" t="s">
        <v>65312</v>
      </c>
      <c r="NND4">
        <v>1530673</v>
      </c>
      <c r="NNE4" t="s">
        <v>65313</v>
      </c>
      <c r="NNF4">
        <v>1530707</v>
      </c>
      <c r="NNG4" t="s">
        <v>65314</v>
      </c>
      <c r="NNH4">
        <v>1530713</v>
      </c>
      <c r="NNI4" t="s">
        <v>65315</v>
      </c>
      <c r="NNJ4">
        <v>1530717</v>
      </c>
      <c r="NNK4" t="s">
        <v>65316</v>
      </c>
      <c r="NNL4">
        <v>1530719</v>
      </c>
      <c r="NNM4" t="s">
        <v>65317</v>
      </c>
      <c r="NNN4">
        <v>1530721</v>
      </c>
      <c r="NNO4" t="s">
        <v>65318</v>
      </c>
      <c r="NNP4">
        <v>1530772</v>
      </c>
      <c r="NNQ4" t="s">
        <v>65319</v>
      </c>
      <c r="NNR4">
        <v>1531268</v>
      </c>
      <c r="NNS4" t="s">
        <v>65320</v>
      </c>
      <c r="NNT4">
        <v>1531269</v>
      </c>
      <c r="NNU4" t="s">
        <v>65321</v>
      </c>
      <c r="NNV4">
        <v>1531281</v>
      </c>
      <c r="NNW4" t="s">
        <v>65322</v>
      </c>
      <c r="NNX4">
        <v>1531303</v>
      </c>
      <c r="NNY4" t="s">
        <v>65323</v>
      </c>
      <c r="NNZ4">
        <v>1531845</v>
      </c>
      <c r="NOA4" t="s">
        <v>65324</v>
      </c>
      <c r="NOB4">
        <v>1531927</v>
      </c>
      <c r="NOC4" t="s">
        <v>65325</v>
      </c>
      <c r="NOD4">
        <v>1532406</v>
      </c>
      <c r="NOE4" t="s">
        <v>65326</v>
      </c>
      <c r="NOF4">
        <v>1532429</v>
      </c>
      <c r="NOG4" t="s">
        <v>65327</v>
      </c>
      <c r="NOH4">
        <v>1534541</v>
      </c>
      <c r="NOI4" t="s">
        <v>65328</v>
      </c>
      <c r="NOJ4">
        <v>1534546</v>
      </c>
      <c r="NOK4" t="s">
        <v>65329</v>
      </c>
      <c r="NOL4">
        <v>1534588</v>
      </c>
      <c r="NOM4" t="s">
        <v>65330</v>
      </c>
      <c r="NON4">
        <v>1534595</v>
      </c>
      <c r="NOO4" t="s">
        <v>65331</v>
      </c>
      <c r="NOP4">
        <v>1535485</v>
      </c>
      <c r="NOQ4" t="s">
        <v>65332</v>
      </c>
      <c r="NOR4">
        <v>1535507</v>
      </c>
      <c r="NOS4" t="s">
        <v>65333</v>
      </c>
      <c r="NOT4">
        <v>1535514</v>
      </c>
      <c r="NOV4" t="s">
        <v>65334</v>
      </c>
      <c r="NOW4">
        <v>1535517</v>
      </c>
      <c r="NOX4" t="s">
        <v>65335</v>
      </c>
      <c r="NOY4">
        <v>1535536</v>
      </c>
      <c r="NOZ4" t="s">
        <v>65336</v>
      </c>
      <c r="NPA4">
        <v>1535594</v>
      </c>
      <c r="NPB4" t="s">
        <v>65337</v>
      </c>
      <c r="NPC4">
        <v>1535744</v>
      </c>
      <c r="NPD4" t="s">
        <v>65338</v>
      </c>
      <c r="NPE4">
        <v>1535829</v>
      </c>
      <c r="NPF4" t="s">
        <v>65339</v>
      </c>
      <c r="NPG4">
        <v>1535840</v>
      </c>
      <c r="NPH4" t="s">
        <v>65340</v>
      </c>
      <c r="NPI4">
        <v>1535852</v>
      </c>
      <c r="NPJ4" t="s">
        <v>65341</v>
      </c>
      <c r="NPK4">
        <v>1535866</v>
      </c>
      <c r="NPL4" t="s">
        <v>65342</v>
      </c>
      <c r="NPM4">
        <v>1535885</v>
      </c>
      <c r="NPN4" t="s">
        <v>65343</v>
      </c>
      <c r="NPO4">
        <v>1535901</v>
      </c>
      <c r="NPP4" t="s">
        <v>65344</v>
      </c>
      <c r="NPQ4">
        <v>1536159</v>
      </c>
      <c r="NPR4" t="s">
        <v>65345</v>
      </c>
      <c r="NPS4">
        <v>1536181</v>
      </c>
      <c r="NPT4" t="s">
        <v>65346</v>
      </c>
      <c r="NPU4">
        <v>1536273</v>
      </c>
      <c r="NPV4" t="s">
        <v>65347</v>
      </c>
      <c r="NPW4">
        <v>1540872</v>
      </c>
      <c r="NPX4" t="s">
        <v>65348</v>
      </c>
      <c r="NPY4">
        <v>1540897</v>
      </c>
      <c r="NPZ4" t="s">
        <v>65349</v>
      </c>
      <c r="NQA4">
        <v>1540899</v>
      </c>
      <c r="NQB4" t="s">
        <v>65350</v>
      </c>
      <c r="NQC4">
        <v>1540900</v>
      </c>
      <c r="NQD4" t="s">
        <v>65351</v>
      </c>
      <c r="NQE4">
        <v>1540904</v>
      </c>
      <c r="NQF4" t="s">
        <v>65352</v>
      </c>
      <c r="NQG4">
        <v>1541059</v>
      </c>
      <c r="NQH4" t="s">
        <v>65353</v>
      </c>
      <c r="NQI4">
        <v>1541064</v>
      </c>
      <c r="NQJ4" t="s">
        <v>65354</v>
      </c>
      <c r="NQK4">
        <v>1541073</v>
      </c>
      <c r="NQL4" t="s">
        <v>65355</v>
      </c>
      <c r="NQM4">
        <v>1547266</v>
      </c>
      <c r="NQN4" t="s">
        <v>65356</v>
      </c>
      <c r="NQO4">
        <v>1547272</v>
      </c>
      <c r="NQP4" t="s">
        <v>65357</v>
      </c>
      <c r="NQQ4">
        <v>1547278</v>
      </c>
      <c r="NQR4" t="s">
        <v>65358</v>
      </c>
      <c r="NQS4">
        <v>1547279</v>
      </c>
      <c r="NQT4" t="s">
        <v>65359</v>
      </c>
      <c r="NQU4">
        <v>1547285</v>
      </c>
      <c r="NQV4" t="s">
        <v>65360</v>
      </c>
      <c r="NQW4">
        <v>1547291</v>
      </c>
      <c r="NQX4" t="s">
        <v>65361</v>
      </c>
      <c r="NQY4">
        <v>1547394</v>
      </c>
      <c r="NQZ4" t="s">
        <v>65362</v>
      </c>
      <c r="NRA4">
        <v>1547420</v>
      </c>
      <c r="NRB4" t="s">
        <v>65363</v>
      </c>
      <c r="NRC4">
        <v>1547449</v>
      </c>
      <c r="NRD4" t="s">
        <v>65364</v>
      </c>
      <c r="NRE4">
        <v>1547465</v>
      </c>
      <c r="NRF4" t="s">
        <v>65365</v>
      </c>
      <c r="NRG4">
        <v>1547873</v>
      </c>
      <c r="NRH4" t="s">
        <v>65366</v>
      </c>
      <c r="NRI4">
        <v>1547897</v>
      </c>
      <c r="NRJ4" t="s">
        <v>65367</v>
      </c>
      <c r="NRK4">
        <v>1548053</v>
      </c>
      <c r="NRL4" t="s">
        <v>65368</v>
      </c>
      <c r="NRM4">
        <v>1548056</v>
      </c>
      <c r="NRN4" t="s">
        <v>65369</v>
      </c>
      <c r="NRO4">
        <v>1548129</v>
      </c>
      <c r="NRP4" t="s">
        <v>65370</v>
      </c>
      <c r="NRQ4">
        <v>1548140</v>
      </c>
      <c r="NRR4" t="s">
        <v>65371</v>
      </c>
      <c r="NRS4">
        <v>1548402</v>
      </c>
      <c r="NRT4" t="s">
        <v>65372</v>
      </c>
      <c r="NRU4">
        <v>1548403</v>
      </c>
      <c r="NRV4" t="s">
        <v>65373</v>
      </c>
      <c r="NRW4">
        <v>1548405</v>
      </c>
      <c r="NRX4" t="s">
        <v>65374</v>
      </c>
      <c r="NRY4">
        <v>1548457</v>
      </c>
      <c r="NRZ4" t="s">
        <v>65375</v>
      </c>
      <c r="NSA4">
        <v>1548458</v>
      </c>
      <c r="NSB4" t="s">
        <v>65376</v>
      </c>
      <c r="NSC4">
        <v>1548469</v>
      </c>
      <c r="NSD4" t="s">
        <v>65377</v>
      </c>
      <c r="NSE4">
        <v>1548470</v>
      </c>
      <c r="NSF4" t="s">
        <v>65378</v>
      </c>
      <c r="NSG4">
        <v>1548618</v>
      </c>
      <c r="NSH4" t="s">
        <v>65379</v>
      </c>
      <c r="NSI4">
        <v>1549053</v>
      </c>
      <c r="NSJ4" t="s">
        <v>65380</v>
      </c>
      <c r="NSK4">
        <v>1549088</v>
      </c>
      <c r="NSM4" t="s">
        <v>65381</v>
      </c>
      <c r="NSN4">
        <v>1549096</v>
      </c>
      <c r="NSO4" t="s">
        <v>65382</v>
      </c>
      <c r="NSP4">
        <v>1549109</v>
      </c>
      <c r="NSQ4" t="s">
        <v>65383</v>
      </c>
      <c r="NSR4">
        <v>1549128</v>
      </c>
      <c r="NSS4" t="s">
        <v>65384</v>
      </c>
      <c r="NST4">
        <v>1549146</v>
      </c>
      <c r="NSV4" t="s">
        <v>65385</v>
      </c>
      <c r="NSW4">
        <v>1549238</v>
      </c>
      <c r="NSX4" t="s">
        <v>65386</v>
      </c>
      <c r="NSY4">
        <v>1549239</v>
      </c>
      <c r="NSZ4" t="s">
        <v>65387</v>
      </c>
      <c r="NTA4">
        <v>1549260</v>
      </c>
      <c r="NTB4" t="s">
        <v>65388</v>
      </c>
      <c r="NTC4">
        <v>1549335</v>
      </c>
      <c r="NTD4" t="s">
        <v>65389</v>
      </c>
      <c r="NTE4">
        <v>1549340</v>
      </c>
      <c r="NTF4" t="s">
        <v>65390</v>
      </c>
      <c r="NTG4">
        <v>1549341</v>
      </c>
      <c r="NTH4" t="s">
        <v>65391</v>
      </c>
      <c r="NTI4">
        <v>1549528</v>
      </c>
      <c r="NTJ4" t="s">
        <v>65392</v>
      </c>
      <c r="NTK4">
        <v>1549532</v>
      </c>
      <c r="NTM4" t="s">
        <v>65393</v>
      </c>
      <c r="NTN4">
        <v>1549602</v>
      </c>
      <c r="NTO4" t="s">
        <v>65394</v>
      </c>
      <c r="NTP4">
        <v>1549608</v>
      </c>
      <c r="NTQ4" t="s">
        <v>65395</v>
      </c>
      <c r="NTR4">
        <v>1549757</v>
      </c>
      <c r="NTS4" t="s">
        <v>65396</v>
      </c>
      <c r="NTT4">
        <v>1549820</v>
      </c>
      <c r="NTU4" t="s">
        <v>65397</v>
      </c>
      <c r="NTV4">
        <v>1549832</v>
      </c>
      <c r="NTW4" t="s">
        <v>65398</v>
      </c>
      <c r="NTX4">
        <v>1549839</v>
      </c>
      <c r="NTY4" t="s">
        <v>65399</v>
      </c>
      <c r="NTZ4">
        <v>1549867</v>
      </c>
      <c r="NUB4" t="s">
        <v>65400</v>
      </c>
      <c r="NUC4">
        <v>1549934</v>
      </c>
      <c r="NUD4" t="s">
        <v>65401</v>
      </c>
      <c r="NUE4">
        <v>1550023</v>
      </c>
      <c r="NUG4" t="s">
        <v>65402</v>
      </c>
      <c r="NUH4">
        <v>1550072</v>
      </c>
      <c r="NUI4" t="s">
        <v>65403</v>
      </c>
      <c r="NUJ4">
        <v>1550083</v>
      </c>
      <c r="NUK4" t="s">
        <v>65404</v>
      </c>
      <c r="NUL4">
        <v>1550099</v>
      </c>
      <c r="NUM4" t="s">
        <v>65405</v>
      </c>
      <c r="NUN4">
        <v>1550104</v>
      </c>
      <c r="NUO4" t="s">
        <v>65406</v>
      </c>
      <c r="NUP4">
        <v>1550113</v>
      </c>
      <c r="NUQ4" t="s">
        <v>65407</v>
      </c>
      <c r="NUR4">
        <v>1550885</v>
      </c>
      <c r="NUS4" t="s">
        <v>65408</v>
      </c>
      <c r="NUT4">
        <v>1550904</v>
      </c>
      <c r="NUU4" t="s">
        <v>65409</v>
      </c>
      <c r="NUV4">
        <v>1550910</v>
      </c>
      <c r="NUW4" t="s">
        <v>65410</v>
      </c>
      <c r="NUX4">
        <v>1550914</v>
      </c>
      <c r="NUZ4" t="s">
        <v>65411</v>
      </c>
      <c r="NVA4">
        <v>1551469</v>
      </c>
      <c r="NVB4" t="s">
        <v>65412</v>
      </c>
      <c r="NVC4">
        <v>1552535</v>
      </c>
      <c r="NVD4" t="s">
        <v>65413</v>
      </c>
      <c r="NVE4">
        <v>1552547</v>
      </c>
      <c r="NVF4" t="s">
        <v>65414</v>
      </c>
      <c r="NVG4">
        <v>1552556</v>
      </c>
      <c r="NVH4" t="s">
        <v>65415</v>
      </c>
      <c r="NVI4">
        <v>1552646</v>
      </c>
      <c r="NVJ4" t="s">
        <v>65416</v>
      </c>
      <c r="NVK4">
        <v>1552659</v>
      </c>
      <c r="NVM4" t="s">
        <v>65417</v>
      </c>
      <c r="NVN4">
        <v>1552667</v>
      </c>
      <c r="NVO4" t="s">
        <v>65418</v>
      </c>
      <c r="NVP4">
        <v>1552669</v>
      </c>
      <c r="NVQ4" t="s">
        <v>65419</v>
      </c>
      <c r="NVR4">
        <v>1552676</v>
      </c>
      <c r="NVT4" t="s">
        <v>65420</v>
      </c>
      <c r="NVU4">
        <v>1552677</v>
      </c>
      <c r="NVV4" t="s">
        <v>65421</v>
      </c>
      <c r="NVW4">
        <v>1552938</v>
      </c>
      <c r="NVX4" t="s">
        <v>65422</v>
      </c>
      <c r="NVY4">
        <v>1558481</v>
      </c>
      <c r="NVZ4" t="s">
        <v>65423</v>
      </c>
      <c r="NWA4">
        <v>1558489</v>
      </c>
      <c r="NWB4" t="s">
        <v>65424</v>
      </c>
      <c r="NWC4">
        <v>1558500</v>
      </c>
      <c r="NWD4" t="s">
        <v>65425</v>
      </c>
      <c r="NWE4">
        <v>1558508</v>
      </c>
      <c r="NWF4" t="s">
        <v>65426</v>
      </c>
      <c r="NWG4">
        <v>1558513</v>
      </c>
      <c r="NWH4" t="s">
        <v>65427</v>
      </c>
      <c r="NWI4">
        <v>1558527</v>
      </c>
      <c r="NWJ4" t="s">
        <v>65428</v>
      </c>
      <c r="NWK4">
        <v>1561941</v>
      </c>
      <c r="NWL4" t="s">
        <v>65429</v>
      </c>
      <c r="NWM4">
        <v>1561951</v>
      </c>
      <c r="NWN4" t="s">
        <v>65430</v>
      </c>
      <c r="NWO4">
        <v>1561984</v>
      </c>
      <c r="NWP4" t="s">
        <v>65431</v>
      </c>
      <c r="NWQ4">
        <v>1561996</v>
      </c>
      <c r="NWR4" t="s">
        <v>65432</v>
      </c>
      <c r="NWS4">
        <v>1562057</v>
      </c>
      <c r="NWT4" t="s">
        <v>65433</v>
      </c>
      <c r="NWU4">
        <v>1562066</v>
      </c>
      <c r="NWV4" t="s">
        <v>65434</v>
      </c>
      <c r="NWW4">
        <v>1562114</v>
      </c>
      <c r="NWX4" t="s">
        <v>65435</v>
      </c>
      <c r="NWY4">
        <v>1562156</v>
      </c>
      <c r="NWZ4" t="s">
        <v>65436</v>
      </c>
      <c r="NXA4">
        <v>1562177</v>
      </c>
      <c r="NXB4" t="s">
        <v>65437</v>
      </c>
      <c r="NXC4">
        <v>1562218</v>
      </c>
      <c r="NXD4" t="s">
        <v>65438</v>
      </c>
      <c r="NXE4">
        <v>1566973</v>
      </c>
      <c r="NXF4" t="s">
        <v>65439</v>
      </c>
      <c r="NXG4">
        <v>1567587</v>
      </c>
      <c r="NXH4" t="s">
        <v>65440</v>
      </c>
      <c r="NXI4">
        <v>1567594</v>
      </c>
      <c r="NXK4" t="s">
        <v>65441</v>
      </c>
      <c r="NXL4">
        <v>1569101</v>
      </c>
      <c r="NXM4" t="s">
        <v>65442</v>
      </c>
      <c r="NXN4">
        <v>1569267</v>
      </c>
      <c r="NXO4" t="s">
        <v>65443</v>
      </c>
      <c r="NXP4">
        <v>1569293</v>
      </c>
      <c r="NXQ4" t="s">
        <v>65444</v>
      </c>
      <c r="NXR4">
        <v>1570377</v>
      </c>
      <c r="NXS4" t="s">
        <v>65445</v>
      </c>
      <c r="NXT4">
        <v>1570410</v>
      </c>
      <c r="NXU4" t="s">
        <v>65446</v>
      </c>
      <c r="NXV4">
        <v>1571099</v>
      </c>
      <c r="NXW4" t="s">
        <v>65447</v>
      </c>
      <c r="NXX4">
        <v>1571111</v>
      </c>
      <c r="NXY4" t="s">
        <v>65448</v>
      </c>
      <c r="NXZ4">
        <v>1571131</v>
      </c>
      <c r="NYA4" t="s">
        <v>65449</v>
      </c>
      <c r="NYB4">
        <v>1571197</v>
      </c>
      <c r="NYC4" t="s">
        <v>65450</v>
      </c>
      <c r="NYD4">
        <v>1571298</v>
      </c>
      <c r="NYE4" t="s">
        <v>65451</v>
      </c>
      <c r="NYF4">
        <v>1571331</v>
      </c>
      <c r="NYG4" t="s">
        <v>65452</v>
      </c>
      <c r="NYH4">
        <v>1571835</v>
      </c>
      <c r="NYI4" t="s">
        <v>65453</v>
      </c>
      <c r="NYJ4">
        <v>1571849</v>
      </c>
      <c r="NYK4" t="s">
        <v>65454</v>
      </c>
      <c r="NYL4">
        <v>1571856</v>
      </c>
      <c r="NYM4" t="s">
        <v>65455</v>
      </c>
      <c r="NYN4">
        <v>1571858</v>
      </c>
      <c r="NYO4" t="s">
        <v>65456</v>
      </c>
      <c r="NYP4">
        <v>1571882</v>
      </c>
      <c r="NYQ4" t="s">
        <v>65457</v>
      </c>
      <c r="NYR4">
        <v>1571895</v>
      </c>
      <c r="NYS4" t="s">
        <v>65458</v>
      </c>
      <c r="NYT4">
        <v>1571923</v>
      </c>
      <c r="NYU4" t="s">
        <v>65459</v>
      </c>
      <c r="NYV4">
        <v>1571968</v>
      </c>
      <c r="NYW4" t="s">
        <v>65460</v>
      </c>
      <c r="NYX4">
        <v>1572082</v>
      </c>
      <c r="NYY4" t="s">
        <v>65461</v>
      </c>
      <c r="NYZ4">
        <v>1572106</v>
      </c>
      <c r="NZA4" t="s">
        <v>65462</v>
      </c>
      <c r="NZB4">
        <v>1572128</v>
      </c>
      <c r="NZC4" t="s">
        <v>65463</v>
      </c>
      <c r="NZD4">
        <v>1572138</v>
      </c>
      <c r="NZE4" t="s">
        <v>65464</v>
      </c>
      <c r="NZF4">
        <v>1572150</v>
      </c>
      <c r="NZG4" t="s">
        <v>65465</v>
      </c>
      <c r="NZH4">
        <v>1577151</v>
      </c>
      <c r="NZI4" t="s">
        <v>65466</v>
      </c>
      <c r="NZJ4">
        <v>1577178</v>
      </c>
      <c r="NZK4" t="s">
        <v>65467</v>
      </c>
      <c r="NZL4">
        <v>1577642</v>
      </c>
      <c r="NZM4" t="s">
        <v>65468</v>
      </c>
      <c r="NZN4">
        <v>1577652</v>
      </c>
      <c r="NZO4" t="s">
        <v>65469</v>
      </c>
      <c r="NZP4">
        <v>1577710</v>
      </c>
      <c r="NZR4" t="s">
        <v>65470</v>
      </c>
      <c r="NZS4">
        <v>1577853</v>
      </c>
      <c r="NZT4" t="s">
        <v>65471</v>
      </c>
      <c r="NZU4">
        <v>1581707</v>
      </c>
      <c r="NZV4" t="s">
        <v>65472</v>
      </c>
      <c r="NZW4">
        <v>1581732</v>
      </c>
      <c r="NZX4" t="s">
        <v>65473</v>
      </c>
      <c r="NZY4">
        <v>1583026</v>
      </c>
      <c r="NZZ4" t="s">
        <v>65474</v>
      </c>
      <c r="OAA4">
        <v>1583052</v>
      </c>
      <c r="OAB4" t="s">
        <v>65475</v>
      </c>
      <c r="OAC4">
        <v>1583060</v>
      </c>
      <c r="OAD4" t="s">
        <v>65476</v>
      </c>
      <c r="OAE4">
        <v>1583089</v>
      </c>
      <c r="OAF4" t="s">
        <v>65477</v>
      </c>
      <c r="OAG4">
        <v>1583100</v>
      </c>
      <c r="OAH4" t="s">
        <v>65478</v>
      </c>
      <c r="OAI4">
        <v>1583106</v>
      </c>
      <c r="OAJ4" t="s">
        <v>65479</v>
      </c>
      <c r="OAK4">
        <v>1583201</v>
      </c>
      <c r="OAL4" t="s">
        <v>65480</v>
      </c>
      <c r="OAM4">
        <v>1583217</v>
      </c>
      <c r="OAN4" t="s">
        <v>65481</v>
      </c>
      <c r="OAO4">
        <v>1583718</v>
      </c>
      <c r="OAP4" t="s">
        <v>65482</v>
      </c>
      <c r="OAQ4">
        <v>1583727</v>
      </c>
      <c r="OAR4" t="s">
        <v>65483</v>
      </c>
      <c r="OAS4">
        <v>1583736</v>
      </c>
      <c r="OAT4" t="s">
        <v>65484</v>
      </c>
      <c r="OAU4">
        <v>1583743</v>
      </c>
      <c r="OAV4" t="s">
        <v>65485</v>
      </c>
      <c r="OAW4">
        <v>1583762</v>
      </c>
      <c r="OAX4" t="s">
        <v>65486</v>
      </c>
      <c r="OAY4">
        <v>1583770</v>
      </c>
      <c r="OAZ4" t="s">
        <v>65487</v>
      </c>
      <c r="OBA4">
        <v>1583780</v>
      </c>
      <c r="OBB4" t="s">
        <v>65488</v>
      </c>
      <c r="OBC4">
        <v>1583790</v>
      </c>
      <c r="OBD4" t="s">
        <v>65489</v>
      </c>
      <c r="OBE4">
        <v>1584581</v>
      </c>
      <c r="OBF4" t="s">
        <v>65490</v>
      </c>
      <c r="OBG4">
        <v>1584597</v>
      </c>
      <c r="OBH4" t="s">
        <v>65491</v>
      </c>
      <c r="OBI4">
        <v>1584608</v>
      </c>
      <c r="OBJ4" t="s">
        <v>65492</v>
      </c>
      <c r="OBK4">
        <v>1584640</v>
      </c>
      <c r="OBL4" t="s">
        <v>65493</v>
      </c>
      <c r="OBM4">
        <v>1585017</v>
      </c>
      <c r="OBN4" t="s">
        <v>65494</v>
      </c>
      <c r="OBO4">
        <v>1588427</v>
      </c>
      <c r="OBP4" t="s">
        <v>65495</v>
      </c>
      <c r="OBQ4">
        <v>1589383</v>
      </c>
      <c r="OBS4" t="s">
        <v>65496</v>
      </c>
      <c r="OBT4">
        <v>1589663</v>
      </c>
      <c r="OBU4" t="s">
        <v>65497</v>
      </c>
      <c r="OBV4">
        <v>1589773</v>
      </c>
      <c r="OBW4" t="s">
        <v>65498</v>
      </c>
      <c r="OBX4">
        <v>1589818</v>
      </c>
      <c r="OBY4" t="s">
        <v>65499</v>
      </c>
      <c r="OBZ4">
        <v>1589889</v>
      </c>
      <c r="OCA4" t="s">
        <v>65500</v>
      </c>
      <c r="OCB4">
        <v>1589925</v>
      </c>
      <c r="OCC4" t="s">
        <v>65501</v>
      </c>
      <c r="OCD4">
        <v>1589985</v>
      </c>
      <c r="OCF4" t="s">
        <v>65502</v>
      </c>
      <c r="OCG4">
        <v>1590005</v>
      </c>
      <c r="OCH4" t="s">
        <v>65503</v>
      </c>
      <c r="OCI4">
        <v>1591175</v>
      </c>
      <c r="OCJ4" t="s">
        <v>65504</v>
      </c>
      <c r="OCK4">
        <v>1592206</v>
      </c>
      <c r="OCL4" t="s">
        <v>65505</v>
      </c>
      <c r="OCM4">
        <v>1593026</v>
      </c>
      <c r="OCN4" t="s">
        <v>65506</v>
      </c>
      <c r="OCO4">
        <v>1593028</v>
      </c>
      <c r="OCP4" t="s">
        <v>65507</v>
      </c>
      <c r="OCQ4">
        <v>1593029</v>
      </c>
      <c r="OCR4" t="s">
        <v>65508</v>
      </c>
      <c r="OCS4">
        <v>1593176</v>
      </c>
      <c r="OCT4" t="s">
        <v>65509</v>
      </c>
      <c r="OCU4">
        <v>1596703</v>
      </c>
      <c r="OCV4" t="s">
        <v>65510</v>
      </c>
      <c r="OCW4">
        <v>1596708</v>
      </c>
      <c r="OCX4" t="s">
        <v>65511</v>
      </c>
      <c r="OCY4">
        <v>1596719</v>
      </c>
      <c r="OCZ4" t="s">
        <v>65512</v>
      </c>
      <c r="ODA4">
        <v>1596725</v>
      </c>
      <c r="ODB4" t="s">
        <v>65513</v>
      </c>
      <c r="ODC4">
        <v>1596734</v>
      </c>
      <c r="ODD4" t="s">
        <v>65514</v>
      </c>
      <c r="ODE4">
        <v>1600416</v>
      </c>
      <c r="ODF4" t="s">
        <v>65515</v>
      </c>
      <c r="ODG4">
        <v>1600423</v>
      </c>
      <c r="ODH4" t="s">
        <v>65516</v>
      </c>
      <c r="ODI4">
        <v>1600436</v>
      </c>
      <c r="ODJ4" t="s">
        <v>65517</v>
      </c>
      <c r="ODK4">
        <v>1600506</v>
      </c>
      <c r="ODL4" t="s">
        <v>65518</v>
      </c>
      <c r="ODM4">
        <v>1602247</v>
      </c>
      <c r="ODN4" t="s">
        <v>65519</v>
      </c>
      <c r="ODO4">
        <v>1602638</v>
      </c>
      <c r="ODP4" t="s">
        <v>65520</v>
      </c>
      <c r="ODQ4">
        <v>1602641</v>
      </c>
      <c r="ODR4" t="s">
        <v>65521</v>
      </c>
      <c r="ODS4">
        <v>1602649</v>
      </c>
      <c r="ODT4" t="s">
        <v>65522</v>
      </c>
      <c r="ODU4">
        <v>1605391</v>
      </c>
      <c r="ODV4" t="s">
        <v>65523</v>
      </c>
      <c r="ODW4">
        <v>1605405</v>
      </c>
      <c r="ODX4" t="s">
        <v>65524</v>
      </c>
      <c r="ODY4">
        <v>1605420</v>
      </c>
      <c r="ODZ4" t="s">
        <v>65525</v>
      </c>
      <c r="OEA4">
        <v>1605433</v>
      </c>
      <c r="OEB4" t="s">
        <v>65526</v>
      </c>
      <c r="OEC4">
        <v>1605487</v>
      </c>
      <c r="OED4" t="s">
        <v>65527</v>
      </c>
      <c r="OEE4">
        <v>1605662</v>
      </c>
      <c r="OEF4" t="s">
        <v>65528</v>
      </c>
      <c r="OEG4">
        <v>1605677</v>
      </c>
      <c r="OEH4" t="s">
        <v>65529</v>
      </c>
      <c r="OEI4">
        <v>1605683</v>
      </c>
      <c r="OEJ4" t="s">
        <v>65530</v>
      </c>
      <c r="OEK4">
        <v>1605702</v>
      </c>
      <c r="OEL4" t="s">
        <v>65531</v>
      </c>
      <c r="OEM4">
        <v>1605707</v>
      </c>
      <c r="OEN4" t="s">
        <v>65532</v>
      </c>
      <c r="OEO4">
        <v>1605730</v>
      </c>
      <c r="OEP4" t="s">
        <v>65533</v>
      </c>
      <c r="OEQ4">
        <v>1605734</v>
      </c>
      <c r="OER4" t="s">
        <v>65534</v>
      </c>
      <c r="OES4">
        <v>1605767</v>
      </c>
      <c r="OET4" t="s">
        <v>65535</v>
      </c>
      <c r="OEU4">
        <v>1605828</v>
      </c>
      <c r="OEV4" t="s">
        <v>65536</v>
      </c>
      <c r="OEW4">
        <v>1607688</v>
      </c>
      <c r="OEX4" t="s">
        <v>65537</v>
      </c>
      <c r="OEY4">
        <v>1607698</v>
      </c>
      <c r="OEZ4" t="s">
        <v>65538</v>
      </c>
      <c r="OFA4">
        <v>1607704</v>
      </c>
      <c r="OFC4" t="s">
        <v>65539</v>
      </c>
      <c r="OFD4">
        <v>1607720</v>
      </c>
      <c r="OFF4" t="s">
        <v>65540</v>
      </c>
      <c r="OFG4">
        <v>1609056</v>
      </c>
      <c r="OFH4" t="s">
        <v>65541</v>
      </c>
      <c r="OFI4">
        <v>1609668</v>
      </c>
      <c r="OFJ4" t="s">
        <v>65542</v>
      </c>
      <c r="OFK4">
        <v>1610274</v>
      </c>
      <c r="OFL4" t="s">
        <v>65543</v>
      </c>
      <c r="OFM4">
        <v>1610288</v>
      </c>
      <c r="OFN4" t="s">
        <v>65544</v>
      </c>
      <c r="OFO4">
        <v>1610328</v>
      </c>
      <c r="OFP4" t="s">
        <v>65545</v>
      </c>
      <c r="OFQ4">
        <v>1610336</v>
      </c>
      <c r="OFR4" t="s">
        <v>65546</v>
      </c>
      <c r="OFS4">
        <v>1610340</v>
      </c>
      <c r="OFT4" t="s">
        <v>65547</v>
      </c>
      <c r="OFU4">
        <v>1611915</v>
      </c>
      <c r="OFV4" t="s">
        <v>65548</v>
      </c>
      <c r="OFW4">
        <v>1611932</v>
      </c>
      <c r="OFX4" t="s">
        <v>65549</v>
      </c>
      <c r="OFY4">
        <v>1611936</v>
      </c>
      <c r="OFZ4" t="s">
        <v>65550</v>
      </c>
      <c r="OGA4">
        <v>1611947</v>
      </c>
      <c r="OGB4" t="s">
        <v>65551</v>
      </c>
      <c r="OGC4">
        <v>1612171</v>
      </c>
      <c r="OGD4" t="s">
        <v>65552</v>
      </c>
      <c r="OGE4">
        <v>1612180</v>
      </c>
      <c r="OGF4" t="s">
        <v>65553</v>
      </c>
      <c r="OGG4">
        <v>1613340</v>
      </c>
      <c r="OGI4" t="s">
        <v>65554</v>
      </c>
      <c r="OGJ4">
        <v>1614227</v>
      </c>
      <c r="OGK4" t="s">
        <v>65555</v>
      </c>
      <c r="OGL4">
        <v>1614721</v>
      </c>
      <c r="OGM4" t="s">
        <v>65556</v>
      </c>
      <c r="OGN4">
        <v>1614734</v>
      </c>
      <c r="OGQ4" t="s">
        <v>65557</v>
      </c>
      <c r="OGR4">
        <v>1615942</v>
      </c>
      <c r="OGU4" t="s">
        <v>65558</v>
      </c>
      <c r="OGV4">
        <v>1616003</v>
      </c>
      <c r="OGW4" t="s">
        <v>65559</v>
      </c>
      <c r="OGX4">
        <v>1616024</v>
      </c>
      <c r="OGY4" t="s">
        <v>65560</v>
      </c>
      <c r="OGZ4">
        <v>1616028</v>
      </c>
      <c r="OHA4" t="s">
        <v>65561</v>
      </c>
      <c r="OHB4">
        <v>1616121</v>
      </c>
      <c r="OHC4" t="s">
        <v>65562</v>
      </c>
      <c r="OHD4">
        <v>1616139</v>
      </c>
      <c r="OHE4" t="s">
        <v>65563</v>
      </c>
      <c r="OHF4">
        <v>1616251</v>
      </c>
      <c r="OHG4" t="s">
        <v>65564</v>
      </c>
      <c r="OHH4">
        <v>1616282</v>
      </c>
      <c r="OHI4" t="s">
        <v>65565</v>
      </c>
      <c r="OHJ4">
        <v>1616391</v>
      </c>
      <c r="OHK4" t="s">
        <v>65566</v>
      </c>
      <c r="OHL4">
        <v>1616408</v>
      </c>
      <c r="OHM4" t="s">
        <v>65567</v>
      </c>
      <c r="OHN4">
        <v>1616643</v>
      </c>
      <c r="OHO4" t="s">
        <v>65568</v>
      </c>
      <c r="OHP4">
        <v>1616651</v>
      </c>
      <c r="OHQ4" t="s">
        <v>65569</v>
      </c>
      <c r="OHR4">
        <v>1616668</v>
      </c>
      <c r="OHS4" t="s">
        <v>65570</v>
      </c>
      <c r="OHT4">
        <v>1616680</v>
      </c>
      <c r="OHV4" t="s">
        <v>65571</v>
      </c>
      <c r="OHW4">
        <v>1616684</v>
      </c>
      <c r="OHX4" t="s">
        <v>65572</v>
      </c>
      <c r="OHY4">
        <v>1620526</v>
      </c>
      <c r="OHZ4" t="s">
        <v>65573</v>
      </c>
      <c r="OIA4">
        <v>1620872</v>
      </c>
      <c r="OIB4" t="s">
        <v>65574</v>
      </c>
      <c r="OIC4">
        <v>1620881</v>
      </c>
      <c r="OID4" t="s">
        <v>65575</v>
      </c>
      <c r="OIE4">
        <v>1620910</v>
      </c>
      <c r="OIF4" t="s">
        <v>65576</v>
      </c>
      <c r="OIG4">
        <v>1620935</v>
      </c>
      <c r="OIH4" t="s">
        <v>65577</v>
      </c>
      <c r="OII4">
        <v>1620947</v>
      </c>
      <c r="OIJ4" t="s">
        <v>65578</v>
      </c>
      <c r="OIK4">
        <v>1620951</v>
      </c>
      <c r="OIL4" t="s">
        <v>65579</v>
      </c>
      <c r="OIM4">
        <v>1620967</v>
      </c>
      <c r="OIO4" t="s">
        <v>65580</v>
      </c>
      <c r="OIP4">
        <v>1621272</v>
      </c>
      <c r="OIQ4" t="s">
        <v>65581</v>
      </c>
      <c r="OIR4">
        <v>1621301</v>
      </c>
      <c r="OIS4" t="s">
        <v>65582</v>
      </c>
      <c r="OIT4">
        <v>1621415</v>
      </c>
      <c r="OIU4" t="s">
        <v>65583</v>
      </c>
      <c r="OIV4">
        <v>1621483</v>
      </c>
      <c r="OIW4" t="s">
        <v>65584</v>
      </c>
      <c r="OIX4">
        <v>1621498</v>
      </c>
      <c r="OIY4" t="s">
        <v>65585</v>
      </c>
      <c r="OIZ4">
        <v>1621513</v>
      </c>
      <c r="OJA4" t="s">
        <v>65586</v>
      </c>
      <c r="OJB4">
        <v>1621743</v>
      </c>
      <c r="OJD4" t="s">
        <v>65587</v>
      </c>
      <c r="OJE4">
        <v>1621813</v>
      </c>
      <c r="OJF4" t="s">
        <v>65588</v>
      </c>
      <c r="OJG4">
        <v>1621843</v>
      </c>
      <c r="OJH4" t="s">
        <v>65589</v>
      </c>
      <c r="OJI4">
        <v>1621916</v>
      </c>
      <c r="OJJ4" t="s">
        <v>65590</v>
      </c>
      <c r="OJK4">
        <v>1622127</v>
      </c>
      <c r="OJL4" t="s">
        <v>65591</v>
      </c>
      <c r="OJM4">
        <v>1622142</v>
      </c>
      <c r="OJN4" t="s">
        <v>65592</v>
      </c>
      <c r="OJO4">
        <v>1622165</v>
      </c>
      <c r="OJP4" t="s">
        <v>65593</v>
      </c>
      <c r="OJQ4">
        <v>1622331</v>
      </c>
      <c r="OJR4" t="s">
        <v>65594</v>
      </c>
      <c r="OJS4">
        <v>1622366</v>
      </c>
      <c r="OJT4" t="s">
        <v>65595</v>
      </c>
      <c r="OJU4">
        <v>1622377</v>
      </c>
      <c r="OJV4" t="s">
        <v>65596</v>
      </c>
      <c r="OJW4">
        <v>1622386</v>
      </c>
      <c r="OJX4" t="s">
        <v>65597</v>
      </c>
      <c r="OJY4">
        <v>1622422</v>
      </c>
      <c r="OJZ4" t="s">
        <v>65598</v>
      </c>
      <c r="OKA4">
        <v>1633182</v>
      </c>
      <c r="OKB4" t="s">
        <v>65599</v>
      </c>
      <c r="OKC4">
        <v>1633215</v>
      </c>
      <c r="OKD4" t="s">
        <v>65600</v>
      </c>
      <c r="OKE4">
        <v>1648617</v>
      </c>
      <c r="OKG4" t="s">
        <v>65601</v>
      </c>
      <c r="OKH4">
        <v>1655024</v>
      </c>
      <c r="OKI4" t="s">
        <v>65602</v>
      </c>
      <c r="OKJ4">
        <v>1655234</v>
      </c>
      <c r="OKK4" t="s">
        <v>65603</v>
      </c>
      <c r="OKL4">
        <v>1655795</v>
      </c>
      <c r="OKN4" t="s">
        <v>65604</v>
      </c>
      <c r="OKO4">
        <v>1655832</v>
      </c>
      <c r="OKP4" t="s">
        <v>65605</v>
      </c>
      <c r="OKQ4">
        <v>1655845</v>
      </c>
      <c r="OKR4" t="s">
        <v>65606</v>
      </c>
      <c r="OKS4">
        <v>1655933</v>
      </c>
      <c r="OKT4" t="s">
        <v>65607</v>
      </c>
      <c r="OKU4">
        <v>1655940</v>
      </c>
      <c r="OKV4" t="s">
        <v>65608</v>
      </c>
      <c r="OKW4">
        <v>1656091</v>
      </c>
      <c r="OKX4" t="s">
        <v>65609</v>
      </c>
      <c r="OKY4">
        <v>1656101</v>
      </c>
      <c r="OKZ4" t="s">
        <v>65610</v>
      </c>
      <c r="OLA4">
        <v>1656115</v>
      </c>
      <c r="OLC4" t="s">
        <v>65611</v>
      </c>
      <c r="OLD4">
        <v>1656119</v>
      </c>
      <c r="OLE4" t="s">
        <v>65612</v>
      </c>
      <c r="OLF4">
        <v>1656205</v>
      </c>
      <c r="OLG4" t="s">
        <v>65613</v>
      </c>
      <c r="OLH4">
        <v>1656207</v>
      </c>
      <c r="OLI4" t="s">
        <v>65614</v>
      </c>
      <c r="OLJ4">
        <v>1656217</v>
      </c>
      <c r="OLK4" t="s">
        <v>65615</v>
      </c>
      <c r="OLL4">
        <v>1656222</v>
      </c>
      <c r="OLN4" t="s">
        <v>65616</v>
      </c>
      <c r="OLO4">
        <v>1656258</v>
      </c>
      <c r="OLP4" t="s">
        <v>65617</v>
      </c>
      <c r="OLQ4">
        <v>1656268</v>
      </c>
      <c r="OLS4" t="s">
        <v>65618</v>
      </c>
      <c r="OLT4">
        <v>1659666</v>
      </c>
      <c r="OLU4" t="s">
        <v>65619</v>
      </c>
      <c r="OLV4">
        <v>1659672</v>
      </c>
      <c r="OLW4" t="s">
        <v>65620</v>
      </c>
      <c r="OLX4">
        <v>1661337</v>
      </c>
      <c r="OLY4" t="s">
        <v>65621</v>
      </c>
      <c r="OLZ4">
        <v>1662585</v>
      </c>
      <c r="OMA4" t="s">
        <v>65622</v>
      </c>
      <c r="OMB4">
        <v>1662627</v>
      </c>
      <c r="OMC4" t="s">
        <v>65623</v>
      </c>
      <c r="OMD4">
        <v>1663567</v>
      </c>
      <c r="OME4" t="s">
        <v>65624</v>
      </c>
      <c r="OMF4">
        <v>1664980</v>
      </c>
      <c r="OMG4" t="s">
        <v>65625</v>
      </c>
      <c r="OMH4">
        <v>1664981</v>
      </c>
      <c r="OMI4" t="s">
        <v>65626</v>
      </c>
      <c r="OMJ4">
        <v>1667799</v>
      </c>
      <c r="OMK4" t="s">
        <v>65627</v>
      </c>
      <c r="OML4">
        <v>1670339</v>
      </c>
      <c r="OMM4" t="s">
        <v>65628</v>
      </c>
      <c r="OMN4">
        <v>1678309</v>
      </c>
      <c r="OMO4" t="s">
        <v>65629</v>
      </c>
      <c r="OMP4">
        <v>1678317</v>
      </c>
      <c r="OMQ4" t="s">
        <v>65630</v>
      </c>
      <c r="OMR4">
        <v>1692454</v>
      </c>
      <c r="OMT4" t="s">
        <v>65631</v>
      </c>
      <c r="OMU4">
        <v>1692549</v>
      </c>
      <c r="OMV4" t="s">
        <v>65632</v>
      </c>
      <c r="OMW4">
        <v>1694778</v>
      </c>
      <c r="OMX4" t="s">
        <v>65633</v>
      </c>
      <c r="OMY4">
        <v>1695865</v>
      </c>
      <c r="OMZ4" t="s">
        <v>65634</v>
      </c>
      <c r="ONA4">
        <v>1696605</v>
      </c>
      <c r="ONB4" t="s">
        <v>65635</v>
      </c>
      <c r="ONC4">
        <v>1696606</v>
      </c>
      <c r="OND4" t="s">
        <v>65636</v>
      </c>
      <c r="ONE4">
        <v>1698817</v>
      </c>
      <c r="ONF4" t="s">
        <v>65637</v>
      </c>
      <c r="ONG4">
        <v>1703037</v>
      </c>
      <c r="ONH4" t="s">
        <v>65638</v>
      </c>
      <c r="ONI4">
        <v>1703051</v>
      </c>
      <c r="ONJ4" t="s">
        <v>65639</v>
      </c>
      <c r="ONK4">
        <v>1703067</v>
      </c>
      <c r="ONL4" t="s">
        <v>65640</v>
      </c>
      <c r="ONM4">
        <v>1714782</v>
      </c>
      <c r="ONN4" t="s">
        <v>65641</v>
      </c>
      <c r="ONO4">
        <v>1714798</v>
      </c>
      <c r="ONP4" t="s">
        <v>65642</v>
      </c>
      <c r="ONQ4">
        <v>1714821</v>
      </c>
      <c r="ONR4" t="s">
        <v>65643</v>
      </c>
      <c r="ONS4">
        <v>1714915</v>
      </c>
      <c r="ONT4" t="s">
        <v>65644</v>
      </c>
      <c r="ONU4">
        <v>1716117</v>
      </c>
      <c r="ONV4" t="s">
        <v>65645</v>
      </c>
      <c r="ONW4">
        <v>1716430</v>
      </c>
      <c r="ONX4" t="s">
        <v>65646</v>
      </c>
      <c r="ONY4">
        <v>1716456</v>
      </c>
      <c r="ONZ4" t="s">
        <v>65647</v>
      </c>
      <c r="OOA4">
        <v>1716465</v>
      </c>
      <c r="OOB4" t="s">
        <v>65648</v>
      </c>
      <c r="OOC4">
        <v>1716481</v>
      </c>
      <c r="OOD4" t="s">
        <v>65649</v>
      </c>
      <c r="OOE4">
        <v>1716500</v>
      </c>
      <c r="OOF4" t="s">
        <v>65650</v>
      </c>
      <c r="OOG4">
        <v>1716598</v>
      </c>
      <c r="OOH4" t="s">
        <v>65651</v>
      </c>
      <c r="OOI4">
        <v>1716625</v>
      </c>
      <c r="OOJ4" t="s">
        <v>65652</v>
      </c>
      <c r="OOK4">
        <v>1716642</v>
      </c>
      <c r="OOL4" t="s">
        <v>65653</v>
      </c>
      <c r="OOM4">
        <v>1742442</v>
      </c>
      <c r="OON4" t="s">
        <v>65654</v>
      </c>
      <c r="OOO4">
        <v>1742443</v>
      </c>
      <c r="OOQ4" t="s">
        <v>65655</v>
      </c>
      <c r="OOR4">
        <v>1747695</v>
      </c>
      <c r="OOS4" t="s">
        <v>65656</v>
      </c>
      <c r="OOT4">
        <v>1747699</v>
      </c>
      <c r="OOU4" t="s">
        <v>65657</v>
      </c>
      <c r="OOV4">
        <v>1747722</v>
      </c>
      <c r="OOW4" t="s">
        <v>65658</v>
      </c>
      <c r="OOX4">
        <v>1747760</v>
      </c>
      <c r="OOY4" t="s">
        <v>65659</v>
      </c>
      <c r="OOZ4">
        <v>1747768</v>
      </c>
      <c r="OPA4" t="s">
        <v>65660</v>
      </c>
      <c r="OPB4">
        <v>1747779</v>
      </c>
      <c r="OPC4" t="s">
        <v>65661</v>
      </c>
      <c r="OPD4">
        <v>1748302</v>
      </c>
      <c r="OPE4" t="s">
        <v>65662</v>
      </c>
      <c r="OPF4">
        <v>1748354</v>
      </c>
      <c r="OPG4" t="s">
        <v>65663</v>
      </c>
      <c r="OPH4">
        <v>1748450</v>
      </c>
      <c r="OPI4" t="s">
        <v>65664</v>
      </c>
      <c r="OPJ4">
        <v>1748456</v>
      </c>
      <c r="OPK4" t="s">
        <v>65665</v>
      </c>
      <c r="OPL4">
        <v>1748537</v>
      </c>
      <c r="OPM4" t="s">
        <v>65666</v>
      </c>
      <c r="OPN4">
        <v>1748558</v>
      </c>
      <c r="OPO4" t="s">
        <v>65667</v>
      </c>
      <c r="OPP4">
        <v>1748584</v>
      </c>
      <c r="OPQ4" t="s">
        <v>65668</v>
      </c>
      <c r="OPR4">
        <v>1748594</v>
      </c>
      <c r="OPS4" t="s">
        <v>65669</v>
      </c>
      <c r="OPT4">
        <v>1748641</v>
      </c>
      <c r="OPU4" t="s">
        <v>65670</v>
      </c>
      <c r="OPV4">
        <v>1748697</v>
      </c>
      <c r="OPW4" t="s">
        <v>65671</v>
      </c>
      <c r="OPX4">
        <v>1748797</v>
      </c>
      <c r="OPY4" t="s">
        <v>65672</v>
      </c>
      <c r="OPZ4">
        <v>1748828</v>
      </c>
      <c r="OQA4" t="s">
        <v>65673</v>
      </c>
      <c r="OQB4">
        <v>1748877</v>
      </c>
      <c r="OQC4" t="s">
        <v>65674</v>
      </c>
      <c r="OQD4">
        <v>1748932</v>
      </c>
      <c r="OQE4" t="s">
        <v>65675</v>
      </c>
      <c r="OQF4">
        <v>1749295</v>
      </c>
      <c r="OQG4" t="s">
        <v>65676</v>
      </c>
      <c r="OQH4">
        <v>1751141</v>
      </c>
      <c r="OQI4" t="s">
        <v>65677</v>
      </c>
      <c r="OQJ4">
        <v>1751145</v>
      </c>
      <c r="OQK4" t="s">
        <v>65678</v>
      </c>
      <c r="OQL4">
        <v>1751155</v>
      </c>
      <c r="OQM4" t="s">
        <v>65679</v>
      </c>
      <c r="OQN4">
        <v>1751204</v>
      </c>
      <c r="OQO4" t="s">
        <v>65680</v>
      </c>
      <c r="OQP4">
        <v>1751213</v>
      </c>
      <c r="OQQ4" t="s">
        <v>65681</v>
      </c>
      <c r="OQR4">
        <v>1751216</v>
      </c>
      <c r="OQS4" t="s">
        <v>65682</v>
      </c>
      <c r="OQT4">
        <v>1751243</v>
      </c>
      <c r="OQU4" t="s">
        <v>65683</v>
      </c>
      <c r="OQV4">
        <v>1751285</v>
      </c>
      <c r="OQW4" t="s">
        <v>65684</v>
      </c>
      <c r="OQX4">
        <v>1751303</v>
      </c>
      <c r="OQY4" t="s">
        <v>65685</v>
      </c>
      <c r="OQZ4">
        <v>1751315</v>
      </c>
      <c r="ORA4" t="s">
        <v>65686</v>
      </c>
      <c r="ORB4">
        <v>1751327</v>
      </c>
      <c r="ORC4" t="s">
        <v>65687</v>
      </c>
      <c r="ORD4">
        <v>1751363</v>
      </c>
      <c r="ORE4" t="s">
        <v>65688</v>
      </c>
      <c r="ORF4">
        <v>1751374</v>
      </c>
      <c r="ORG4" t="s">
        <v>65689</v>
      </c>
      <c r="ORH4">
        <v>1751388</v>
      </c>
      <c r="ORI4" t="s">
        <v>65690</v>
      </c>
      <c r="ORJ4">
        <v>1751389</v>
      </c>
      <c r="ORK4" t="s">
        <v>65691</v>
      </c>
      <c r="ORL4">
        <v>1751418</v>
      </c>
      <c r="ORM4" t="s">
        <v>65692</v>
      </c>
      <c r="ORN4">
        <v>1751461</v>
      </c>
      <c r="ORO4" t="s">
        <v>65693</v>
      </c>
      <c r="ORP4">
        <v>1751465</v>
      </c>
      <c r="ORQ4" t="s">
        <v>65694</v>
      </c>
      <c r="ORR4">
        <v>1751528</v>
      </c>
      <c r="ORS4" t="s">
        <v>65695</v>
      </c>
      <c r="ORT4">
        <v>1751556</v>
      </c>
      <c r="ORU4" t="s">
        <v>65696</v>
      </c>
      <c r="ORV4">
        <v>1751557</v>
      </c>
      <c r="ORX4" t="s">
        <v>65697</v>
      </c>
      <c r="ORY4">
        <v>1751560</v>
      </c>
      <c r="ORZ4" t="s">
        <v>65698</v>
      </c>
      <c r="OSA4">
        <v>1751589</v>
      </c>
      <c r="OSB4" t="s">
        <v>65699</v>
      </c>
      <c r="OSC4">
        <v>1751608</v>
      </c>
      <c r="OSD4" t="s">
        <v>65700</v>
      </c>
      <c r="OSE4">
        <v>1751667</v>
      </c>
      <c r="OSF4" t="s">
        <v>65701</v>
      </c>
      <c r="OSG4">
        <v>1751674</v>
      </c>
      <c r="OSH4" t="s">
        <v>65702</v>
      </c>
      <c r="OSI4">
        <v>1751682</v>
      </c>
      <c r="OSJ4" t="s">
        <v>65703</v>
      </c>
      <c r="OSK4">
        <v>1751691</v>
      </c>
      <c r="OSL4" t="s">
        <v>65704</v>
      </c>
      <c r="OSM4">
        <v>1751696</v>
      </c>
      <c r="OSN4" t="s">
        <v>65705</v>
      </c>
      <c r="OSO4">
        <v>1751706</v>
      </c>
      <c r="OSP4" t="s">
        <v>65706</v>
      </c>
      <c r="OSQ4">
        <v>1751743</v>
      </c>
      <c r="OSS4" t="s">
        <v>65707</v>
      </c>
      <c r="OST4">
        <v>1751748</v>
      </c>
      <c r="OSU4" t="s">
        <v>65708</v>
      </c>
      <c r="OSV4">
        <v>1751770</v>
      </c>
      <c r="OSW4" t="s">
        <v>65709</v>
      </c>
      <c r="OSX4">
        <v>1751774</v>
      </c>
      <c r="OSY4" t="s">
        <v>65710</v>
      </c>
      <c r="OSZ4">
        <v>1751781</v>
      </c>
      <c r="OTA4" t="s">
        <v>65711</v>
      </c>
      <c r="OTB4">
        <v>1751797</v>
      </c>
      <c r="OTC4" t="s">
        <v>65712</v>
      </c>
      <c r="OTD4">
        <v>1751815</v>
      </c>
      <c r="OTE4" t="s">
        <v>65713</v>
      </c>
      <c r="OTF4">
        <v>1751838</v>
      </c>
      <c r="OTG4" t="s">
        <v>65714</v>
      </c>
      <c r="OTH4">
        <v>1751857</v>
      </c>
      <c r="OTI4" t="s">
        <v>65715</v>
      </c>
      <c r="OTJ4">
        <v>1751871</v>
      </c>
      <c r="OTK4" t="s">
        <v>65716</v>
      </c>
      <c r="OTL4">
        <v>1751890</v>
      </c>
      <c r="OTM4" t="s">
        <v>65717</v>
      </c>
      <c r="OTN4">
        <v>1751901</v>
      </c>
      <c r="OTO4" t="s">
        <v>65718</v>
      </c>
      <c r="OTP4">
        <v>1751902</v>
      </c>
      <c r="OTQ4" t="s">
        <v>65719</v>
      </c>
      <c r="OTR4">
        <v>1751923</v>
      </c>
      <c r="OTS4" t="s">
        <v>65720</v>
      </c>
      <c r="OTT4">
        <v>1751940</v>
      </c>
      <c r="OTU4" t="s">
        <v>65721</v>
      </c>
      <c r="OTV4">
        <v>1751958</v>
      </c>
      <c r="OTW4" t="s">
        <v>65722</v>
      </c>
      <c r="OTX4">
        <v>1751968</v>
      </c>
      <c r="OTY4" t="s">
        <v>65723</v>
      </c>
      <c r="OTZ4">
        <v>1751983</v>
      </c>
      <c r="OUA4" t="s">
        <v>65724</v>
      </c>
      <c r="OUB4">
        <v>1752000</v>
      </c>
      <c r="OUC4" t="s">
        <v>65725</v>
      </c>
      <c r="OUD4">
        <v>1752012</v>
      </c>
      <c r="OUE4" t="s">
        <v>65726</v>
      </c>
      <c r="OUF4">
        <v>1752032</v>
      </c>
      <c r="OUG4" t="s">
        <v>65727</v>
      </c>
      <c r="OUH4">
        <v>1752040</v>
      </c>
      <c r="OUI4" t="s">
        <v>65728</v>
      </c>
      <c r="OUJ4">
        <v>1752045</v>
      </c>
      <c r="OUL4" t="s">
        <v>65729</v>
      </c>
      <c r="OUM4">
        <v>1752101</v>
      </c>
      <c r="OUN4" t="s">
        <v>65730</v>
      </c>
      <c r="OUO4">
        <v>1752111</v>
      </c>
      <c r="OUP4" t="s">
        <v>65731</v>
      </c>
      <c r="OUQ4">
        <v>1752121</v>
      </c>
      <c r="OUR4" t="s">
        <v>65732</v>
      </c>
      <c r="OUS4">
        <v>1752135</v>
      </c>
      <c r="OUT4" t="s">
        <v>65733</v>
      </c>
      <c r="OUU4">
        <v>1752158</v>
      </c>
      <c r="OUV4" t="s">
        <v>65734</v>
      </c>
      <c r="OUW4">
        <v>1752219</v>
      </c>
      <c r="OUX4" t="s">
        <v>65735</v>
      </c>
      <c r="OUY4">
        <v>1752382</v>
      </c>
      <c r="OUZ4" t="s">
        <v>65736</v>
      </c>
      <c r="OVA4">
        <v>1752383</v>
      </c>
      <c r="OVB4" t="s">
        <v>65737</v>
      </c>
      <c r="OVC4">
        <v>1752388</v>
      </c>
      <c r="OVD4" t="s">
        <v>65738</v>
      </c>
      <c r="OVE4">
        <v>1752415</v>
      </c>
      <c r="OVF4" t="s">
        <v>65739</v>
      </c>
      <c r="OVG4">
        <v>1752561</v>
      </c>
      <c r="OVH4" t="s">
        <v>65740</v>
      </c>
      <c r="OVI4">
        <v>1752837</v>
      </c>
      <c r="OVJ4" t="s">
        <v>65741</v>
      </c>
      <c r="OVK4">
        <v>1752864</v>
      </c>
      <c r="OVL4" t="s">
        <v>65742</v>
      </c>
      <c r="OVM4">
        <v>1752875</v>
      </c>
      <c r="OVN4" t="s">
        <v>65743</v>
      </c>
      <c r="OVO4">
        <v>1752887</v>
      </c>
      <c r="OVP4" t="s">
        <v>65744</v>
      </c>
      <c r="OVQ4">
        <v>1752913</v>
      </c>
      <c r="OVR4" t="s">
        <v>65745</v>
      </c>
      <c r="OVS4">
        <v>1752929</v>
      </c>
      <c r="OVT4" t="s">
        <v>65746</v>
      </c>
      <c r="OVU4">
        <v>1752930</v>
      </c>
      <c r="OVV4" t="s">
        <v>65747</v>
      </c>
      <c r="OVW4">
        <v>1752932</v>
      </c>
      <c r="OVX4" t="s">
        <v>65748</v>
      </c>
      <c r="OVY4">
        <v>1752942</v>
      </c>
      <c r="OVZ4" t="s">
        <v>65749</v>
      </c>
      <c r="OWA4">
        <v>1752953</v>
      </c>
      <c r="OWB4" t="s">
        <v>65750</v>
      </c>
      <c r="OWC4">
        <v>1753059</v>
      </c>
      <c r="OWD4" t="s">
        <v>65751</v>
      </c>
      <c r="OWE4">
        <v>1753075</v>
      </c>
      <c r="OWF4" t="s">
        <v>65752</v>
      </c>
      <c r="OWG4">
        <v>1753092</v>
      </c>
      <c r="OWH4" t="s">
        <v>65753</v>
      </c>
      <c r="OWI4">
        <v>1753106</v>
      </c>
      <c r="OWJ4" t="s">
        <v>65754</v>
      </c>
      <c r="OWK4">
        <v>1753110</v>
      </c>
      <c r="OWL4" t="s">
        <v>65755</v>
      </c>
      <c r="OWM4">
        <v>1753123</v>
      </c>
      <c r="OWN4" t="s">
        <v>65756</v>
      </c>
      <c r="OWO4">
        <v>1753126</v>
      </c>
      <c r="OWP4" t="s">
        <v>65757</v>
      </c>
      <c r="OWQ4">
        <v>1753142</v>
      </c>
      <c r="OWR4" t="s">
        <v>65758</v>
      </c>
      <c r="OWS4">
        <v>1753151</v>
      </c>
      <c r="OWT4" t="s">
        <v>65759</v>
      </c>
      <c r="OWU4">
        <v>1753161</v>
      </c>
      <c r="OWV4" t="s">
        <v>65760</v>
      </c>
      <c r="OWW4">
        <v>1753164</v>
      </c>
      <c r="OWX4" t="s">
        <v>65761</v>
      </c>
      <c r="OWY4">
        <v>1753306</v>
      </c>
      <c r="OXA4" t="s">
        <v>65762</v>
      </c>
      <c r="OXB4">
        <v>1753373</v>
      </c>
      <c r="OXC4" t="s">
        <v>65763</v>
      </c>
      <c r="OXD4">
        <v>1753386</v>
      </c>
      <c r="OXE4" t="s">
        <v>65764</v>
      </c>
      <c r="OXF4">
        <v>1753440</v>
      </c>
      <c r="OXG4" t="s">
        <v>65765</v>
      </c>
      <c r="OXH4">
        <v>1753446</v>
      </c>
      <c r="OXI4" t="s">
        <v>65766</v>
      </c>
      <c r="OXJ4">
        <v>1753452</v>
      </c>
      <c r="OXK4" t="s">
        <v>65767</v>
      </c>
      <c r="OXL4">
        <v>1753470</v>
      </c>
      <c r="OXM4" t="s">
        <v>65768</v>
      </c>
      <c r="OXN4">
        <v>1753486</v>
      </c>
      <c r="OXO4" t="s">
        <v>65769</v>
      </c>
      <c r="OXP4">
        <v>1753512</v>
      </c>
      <c r="OXQ4" t="s">
        <v>65770</v>
      </c>
      <c r="OXR4">
        <v>1753826</v>
      </c>
      <c r="OXS4" t="s">
        <v>65771</v>
      </c>
      <c r="OXT4">
        <v>1753832</v>
      </c>
      <c r="OXU4" t="s">
        <v>65772</v>
      </c>
      <c r="OXV4">
        <v>1753845</v>
      </c>
      <c r="OXW4" t="s">
        <v>65773</v>
      </c>
      <c r="OXX4">
        <v>1753855</v>
      </c>
      <c r="OXY4" t="s">
        <v>65774</v>
      </c>
      <c r="OXZ4">
        <v>1753857</v>
      </c>
      <c r="OYA4" t="s">
        <v>65775</v>
      </c>
      <c r="OYB4">
        <v>1753865</v>
      </c>
      <c r="OYC4" t="s">
        <v>65776</v>
      </c>
      <c r="OYD4">
        <v>1753909</v>
      </c>
      <c r="OYE4" t="s">
        <v>65777</v>
      </c>
      <c r="OYF4">
        <v>1753914</v>
      </c>
      <c r="OYG4" t="s">
        <v>65778</v>
      </c>
      <c r="OYH4">
        <v>1753932</v>
      </c>
      <c r="OYI4" t="s">
        <v>65779</v>
      </c>
      <c r="OYJ4">
        <v>1753950</v>
      </c>
      <c r="OYK4" t="s">
        <v>65780</v>
      </c>
      <c r="OYL4">
        <v>1753953</v>
      </c>
      <c r="OYM4" t="s">
        <v>65781</v>
      </c>
      <c r="OYN4">
        <v>1754004</v>
      </c>
      <c r="OYO4" t="s">
        <v>65782</v>
      </c>
      <c r="OYP4">
        <v>1754016</v>
      </c>
      <c r="OYR4" t="s">
        <v>65783</v>
      </c>
      <c r="OYS4">
        <v>1754026</v>
      </c>
      <c r="OYT4" t="s">
        <v>65784</v>
      </c>
      <c r="OYU4">
        <v>1754035</v>
      </c>
      <c r="OYV4" t="s">
        <v>65785</v>
      </c>
      <c r="OYW4">
        <v>1754042</v>
      </c>
      <c r="OYX4" t="s">
        <v>65786</v>
      </c>
      <c r="OYY4">
        <v>1754057</v>
      </c>
      <c r="OZB4" t="s">
        <v>65787</v>
      </c>
      <c r="OZC4">
        <v>1754071</v>
      </c>
      <c r="OZD4" t="s">
        <v>65788</v>
      </c>
      <c r="OZE4">
        <v>1754075</v>
      </c>
      <c r="OZF4" t="s">
        <v>65789</v>
      </c>
      <c r="OZG4">
        <v>1754098</v>
      </c>
      <c r="OZH4" t="s">
        <v>65790</v>
      </c>
      <c r="OZI4">
        <v>1754129</v>
      </c>
      <c r="OZK4" t="s">
        <v>65791</v>
      </c>
      <c r="OZL4">
        <v>1754133</v>
      </c>
      <c r="OZM4" t="s">
        <v>65792</v>
      </c>
      <c r="OZN4">
        <v>1754147</v>
      </c>
      <c r="OZO4" t="s">
        <v>65793</v>
      </c>
      <c r="OZP4">
        <v>1754151</v>
      </c>
      <c r="OZR4" t="s">
        <v>65794</v>
      </c>
      <c r="OZS4">
        <v>1754161</v>
      </c>
      <c r="OZU4" t="s">
        <v>65795</v>
      </c>
      <c r="OZV4">
        <v>1754172</v>
      </c>
      <c r="OZW4" t="s">
        <v>65796</v>
      </c>
      <c r="OZX4">
        <v>1754182</v>
      </c>
      <c r="OZY4" t="s">
        <v>65797</v>
      </c>
      <c r="OZZ4">
        <v>1754195</v>
      </c>
      <c r="PAB4" t="s">
        <v>65798</v>
      </c>
      <c r="PAC4">
        <v>1754230</v>
      </c>
      <c r="PAD4" t="s">
        <v>65799</v>
      </c>
      <c r="PAE4">
        <v>1754247</v>
      </c>
      <c r="PAF4" t="s">
        <v>65800</v>
      </c>
      <c r="PAG4">
        <v>1754253</v>
      </c>
      <c r="PAH4" t="s">
        <v>65801</v>
      </c>
      <c r="PAI4">
        <v>1754266</v>
      </c>
      <c r="PAJ4" t="s">
        <v>65802</v>
      </c>
      <c r="PAK4">
        <v>1754274</v>
      </c>
      <c r="PAL4" t="s">
        <v>65803</v>
      </c>
      <c r="PAM4">
        <v>1754284</v>
      </c>
      <c r="PAN4" t="s">
        <v>65804</v>
      </c>
      <c r="PAO4">
        <v>1754298</v>
      </c>
      <c r="PAP4" t="s">
        <v>65805</v>
      </c>
      <c r="PAQ4">
        <v>1754321</v>
      </c>
      <c r="PAR4" t="s">
        <v>65806</v>
      </c>
      <c r="PAS4">
        <v>1754328</v>
      </c>
      <c r="PAV4" t="s">
        <v>65807</v>
      </c>
      <c r="PAW4">
        <v>1754392</v>
      </c>
      <c r="PAX4" t="s">
        <v>65808</v>
      </c>
      <c r="PAY4">
        <v>1754437</v>
      </c>
      <c r="PAZ4" t="s">
        <v>65809</v>
      </c>
      <c r="PBA4">
        <v>1754462</v>
      </c>
      <c r="PBB4" t="s">
        <v>65810</v>
      </c>
      <c r="PBC4">
        <v>1754488</v>
      </c>
      <c r="PBD4" t="s">
        <v>65811</v>
      </c>
      <c r="PBE4">
        <v>1754529</v>
      </c>
      <c r="PBF4" t="s">
        <v>65812</v>
      </c>
      <c r="PBG4">
        <v>1754548</v>
      </c>
      <c r="PBH4" t="s">
        <v>65813</v>
      </c>
      <c r="PBI4">
        <v>1754602</v>
      </c>
      <c r="PBJ4" t="s">
        <v>65814</v>
      </c>
      <c r="PBK4">
        <v>1754640</v>
      </c>
      <c r="PBL4" t="s">
        <v>65815</v>
      </c>
      <c r="PBM4">
        <v>1754702</v>
      </c>
      <c r="PBN4" t="s">
        <v>65816</v>
      </c>
      <c r="PBO4">
        <v>1754757</v>
      </c>
      <c r="PBP4" t="s">
        <v>65817</v>
      </c>
      <c r="PBQ4">
        <v>1754976</v>
      </c>
      <c r="PBR4" t="s">
        <v>65818</v>
      </c>
      <c r="PBS4">
        <v>1754986</v>
      </c>
      <c r="PBT4" t="s">
        <v>65819</v>
      </c>
      <c r="PBU4">
        <v>1755195</v>
      </c>
      <c r="PBV4" t="s">
        <v>65820</v>
      </c>
      <c r="PBW4">
        <v>1755208</v>
      </c>
      <c r="PBX4" t="s">
        <v>65821</v>
      </c>
      <c r="PBY4">
        <v>1756892</v>
      </c>
      <c r="PBZ4" t="s">
        <v>65822</v>
      </c>
      <c r="PCA4">
        <v>1756906</v>
      </c>
      <c r="PCB4" t="s">
        <v>65823</v>
      </c>
      <c r="PCC4">
        <v>1756944</v>
      </c>
      <c r="PCD4" t="s">
        <v>65824</v>
      </c>
      <c r="PCE4">
        <v>1756949</v>
      </c>
      <c r="PCF4" t="s">
        <v>65825</v>
      </c>
      <c r="PCG4">
        <v>1757000</v>
      </c>
      <c r="PCH4" t="s">
        <v>65826</v>
      </c>
      <c r="PCI4">
        <v>1757013</v>
      </c>
      <c r="PCJ4" t="s">
        <v>65827</v>
      </c>
      <c r="PCK4">
        <v>1757026</v>
      </c>
      <c r="PCL4" t="s">
        <v>65828</v>
      </c>
      <c r="PCM4">
        <v>1757030</v>
      </c>
      <c r="PCN4" t="s">
        <v>65829</v>
      </c>
      <c r="PCO4">
        <v>1757048</v>
      </c>
      <c r="PCP4" t="s">
        <v>65830</v>
      </c>
      <c r="PCQ4">
        <v>1757052</v>
      </c>
      <c r="PCR4" t="s">
        <v>65831</v>
      </c>
      <c r="PCS4">
        <v>1757061</v>
      </c>
      <c r="PCT4" t="s">
        <v>65832</v>
      </c>
      <c r="PCU4">
        <v>1757063</v>
      </c>
      <c r="PCV4" t="s">
        <v>65833</v>
      </c>
      <c r="PCW4">
        <v>1757073</v>
      </c>
      <c r="PCX4" t="s">
        <v>65834</v>
      </c>
      <c r="PCY4">
        <v>1757075</v>
      </c>
      <c r="PCZ4" t="s">
        <v>65835</v>
      </c>
      <c r="PDA4">
        <v>1757076</v>
      </c>
      <c r="PDB4" t="s">
        <v>65836</v>
      </c>
      <c r="PDC4">
        <v>1757079</v>
      </c>
      <c r="PDD4" t="s">
        <v>65837</v>
      </c>
      <c r="PDE4">
        <v>1757087</v>
      </c>
      <c r="PDF4" t="s">
        <v>65838</v>
      </c>
      <c r="PDG4">
        <v>1757091</v>
      </c>
      <c r="PDH4" t="s">
        <v>65839</v>
      </c>
      <c r="PDI4">
        <v>1757094</v>
      </c>
      <c r="PDJ4" t="s">
        <v>65840</v>
      </c>
      <c r="PDK4">
        <v>1757097</v>
      </c>
      <c r="PDL4" t="s">
        <v>65841</v>
      </c>
      <c r="PDM4">
        <v>1757098</v>
      </c>
      <c r="PDO4" t="s">
        <v>65842</v>
      </c>
      <c r="PDP4">
        <v>1757102</v>
      </c>
      <c r="PDQ4" t="s">
        <v>65843</v>
      </c>
      <c r="PDR4">
        <v>1757107</v>
      </c>
      <c r="PDS4" t="s">
        <v>65844</v>
      </c>
      <c r="PDT4">
        <v>1757112</v>
      </c>
      <c r="PDU4" t="s">
        <v>65845</v>
      </c>
      <c r="PDV4">
        <v>1757117</v>
      </c>
      <c r="PDW4" t="s">
        <v>65846</v>
      </c>
      <c r="PDX4">
        <v>1757122</v>
      </c>
      <c r="PDY4" t="s">
        <v>65847</v>
      </c>
      <c r="PDZ4">
        <v>1757134</v>
      </c>
      <c r="PEA4" t="s">
        <v>65848</v>
      </c>
      <c r="PEB4">
        <v>1757138</v>
      </c>
      <c r="PEC4" t="s">
        <v>65849</v>
      </c>
      <c r="PED4">
        <v>1757144</v>
      </c>
      <c r="PEE4" t="s">
        <v>65850</v>
      </c>
      <c r="PEF4">
        <v>1757151</v>
      </c>
      <c r="PEG4" t="s">
        <v>65851</v>
      </c>
      <c r="PEH4">
        <v>1757160</v>
      </c>
      <c r="PEI4" t="s">
        <v>65852</v>
      </c>
      <c r="PEJ4">
        <v>1757170</v>
      </c>
      <c r="PEL4" t="s">
        <v>65853</v>
      </c>
      <c r="PEM4">
        <v>1757177</v>
      </c>
      <c r="PEN4" t="s">
        <v>65854</v>
      </c>
      <c r="PEO4">
        <v>1757182</v>
      </c>
      <c r="PEP4" t="s">
        <v>65855</v>
      </c>
      <c r="PEQ4">
        <v>1757186</v>
      </c>
      <c r="PER4" t="s">
        <v>65856</v>
      </c>
      <c r="PES4">
        <v>1757190</v>
      </c>
      <c r="PET4" t="s">
        <v>65857</v>
      </c>
      <c r="PEU4">
        <v>1757195</v>
      </c>
      <c r="PEV4" t="s">
        <v>65858</v>
      </c>
      <c r="PEW4">
        <v>1757199</v>
      </c>
      <c r="PEX4" t="s">
        <v>65859</v>
      </c>
      <c r="PEY4">
        <v>1757203</v>
      </c>
      <c r="PEZ4" t="s">
        <v>65860</v>
      </c>
      <c r="PFA4">
        <v>1757211</v>
      </c>
      <c r="PFB4" t="s">
        <v>65861</v>
      </c>
      <c r="PFC4">
        <v>1757223</v>
      </c>
      <c r="PFD4" t="s">
        <v>65862</v>
      </c>
      <c r="PFE4">
        <v>1757227</v>
      </c>
      <c r="PFF4" t="s">
        <v>65863</v>
      </c>
      <c r="PFG4">
        <v>1757237</v>
      </c>
      <c r="PFH4" t="s">
        <v>65864</v>
      </c>
      <c r="PFI4">
        <v>1757242</v>
      </c>
      <c r="PFJ4" t="s">
        <v>65865</v>
      </c>
      <c r="PFK4">
        <v>1757262</v>
      </c>
      <c r="PFM4" t="s">
        <v>65866</v>
      </c>
      <c r="PFN4">
        <v>1757265</v>
      </c>
      <c r="PFO4" t="s">
        <v>65867</v>
      </c>
      <c r="PFP4">
        <v>1757270</v>
      </c>
      <c r="PFQ4" t="s">
        <v>65868</v>
      </c>
      <c r="PFR4">
        <v>1757294</v>
      </c>
      <c r="PFT4" t="s">
        <v>65869</v>
      </c>
      <c r="PFU4">
        <v>1757324</v>
      </c>
      <c r="PFW4" t="s">
        <v>65870</v>
      </c>
      <c r="PFX4">
        <v>1757380</v>
      </c>
      <c r="PFY4" t="s">
        <v>65871</v>
      </c>
      <c r="PFZ4">
        <v>1757396</v>
      </c>
      <c r="PGA4" t="s">
        <v>65872</v>
      </c>
      <c r="PGB4">
        <v>1757406</v>
      </c>
      <c r="PGC4" t="s">
        <v>65873</v>
      </c>
      <c r="PGD4">
        <v>1757410</v>
      </c>
      <c r="PGF4" t="s">
        <v>65874</v>
      </c>
      <c r="PGG4">
        <v>1757502</v>
      </c>
      <c r="PGH4" t="s">
        <v>65875</v>
      </c>
      <c r="PGI4">
        <v>1757524</v>
      </c>
      <c r="PGJ4" t="s">
        <v>65876</v>
      </c>
      <c r="PGK4">
        <v>1757535</v>
      </c>
      <c r="PGL4" t="s">
        <v>65877</v>
      </c>
      <c r="PGM4">
        <v>1757568</v>
      </c>
      <c r="PGN4" t="s">
        <v>65878</v>
      </c>
      <c r="PGO4">
        <v>1757592</v>
      </c>
      <c r="PGP4" t="s">
        <v>65879</v>
      </c>
      <c r="PGQ4">
        <v>1757641</v>
      </c>
      <c r="PGR4" t="s">
        <v>65880</v>
      </c>
      <c r="PGS4">
        <v>1757665</v>
      </c>
      <c r="PGT4" t="s">
        <v>65881</v>
      </c>
      <c r="PGU4">
        <v>1757693</v>
      </c>
      <c r="PGV4" t="s">
        <v>65882</v>
      </c>
      <c r="PGW4">
        <v>1757718</v>
      </c>
      <c r="PGX4" t="s">
        <v>65883</v>
      </c>
      <c r="PGY4">
        <v>1760912</v>
      </c>
      <c r="PGZ4" t="s">
        <v>65884</v>
      </c>
      <c r="PHA4">
        <v>1760937</v>
      </c>
      <c r="PHB4" t="s">
        <v>65885</v>
      </c>
      <c r="PHC4">
        <v>1760981</v>
      </c>
      <c r="PHD4" t="s">
        <v>65886</v>
      </c>
      <c r="PHE4">
        <v>1761012</v>
      </c>
      <c r="PHG4" t="s">
        <v>65887</v>
      </c>
      <c r="PHH4">
        <v>1761024</v>
      </c>
      <c r="PHI4" t="s">
        <v>65888</v>
      </c>
      <c r="PHJ4">
        <v>1761028</v>
      </c>
      <c r="PHK4" t="s">
        <v>65889</v>
      </c>
      <c r="PHL4">
        <v>1761060</v>
      </c>
      <c r="PHM4" t="s">
        <v>65890</v>
      </c>
      <c r="PHN4">
        <v>1761062</v>
      </c>
      <c r="PHO4" t="s">
        <v>65891</v>
      </c>
      <c r="PHP4">
        <v>1761200</v>
      </c>
      <c r="PHQ4" t="s">
        <v>65892</v>
      </c>
      <c r="PHR4">
        <v>1761221</v>
      </c>
      <c r="PHS4" t="s">
        <v>65893</v>
      </c>
      <c r="PHT4">
        <v>1761249</v>
      </c>
      <c r="PHU4" t="s">
        <v>65894</v>
      </c>
      <c r="PHV4">
        <v>1761256</v>
      </c>
      <c r="PHW4" t="s">
        <v>65895</v>
      </c>
      <c r="PHX4">
        <v>1761273</v>
      </c>
      <c r="PHZ4" t="s">
        <v>65896</v>
      </c>
      <c r="PIA4">
        <v>1761470</v>
      </c>
      <c r="PIC4" t="s">
        <v>65897</v>
      </c>
      <c r="PID4">
        <v>1761636</v>
      </c>
      <c r="PIF4" t="s">
        <v>65898</v>
      </c>
      <c r="PIG4">
        <v>1761799</v>
      </c>
      <c r="PIH4" t="s">
        <v>65899</v>
      </c>
      <c r="PII4">
        <v>1761962</v>
      </c>
      <c r="PIK4" t="s">
        <v>65900</v>
      </c>
      <c r="PIL4">
        <v>1762019</v>
      </c>
      <c r="PIN4" t="s">
        <v>65901</v>
      </c>
      <c r="PIO4">
        <v>1762030</v>
      </c>
      <c r="PIP4" t="s">
        <v>65902</v>
      </c>
      <c r="PIQ4">
        <v>1762062</v>
      </c>
      <c r="PIR4" t="s">
        <v>65903</v>
      </c>
      <c r="PIS4">
        <v>1762071</v>
      </c>
      <c r="PIT4" t="s">
        <v>65904</v>
      </c>
      <c r="PIU4">
        <v>1762112</v>
      </c>
      <c r="PIW4" t="s">
        <v>65905</v>
      </c>
      <c r="PIX4">
        <v>1762120</v>
      </c>
      <c r="PIY4" t="s">
        <v>65906</v>
      </c>
      <c r="PIZ4">
        <v>1762143</v>
      </c>
      <c r="PJA4" t="s">
        <v>65907</v>
      </c>
      <c r="PJB4">
        <v>1762198</v>
      </c>
      <c r="PJC4" t="s">
        <v>65908</v>
      </c>
      <c r="PJD4">
        <v>1762250</v>
      </c>
      <c r="PJE4" t="s">
        <v>65909</v>
      </c>
      <c r="PJF4">
        <v>1762265</v>
      </c>
      <c r="PJG4" t="s">
        <v>65910</v>
      </c>
      <c r="PJH4">
        <v>1762334</v>
      </c>
      <c r="PJI4" t="s">
        <v>65911</v>
      </c>
      <c r="PJJ4">
        <v>1762371</v>
      </c>
      <c r="PJK4" t="s">
        <v>65912</v>
      </c>
      <c r="PJL4">
        <v>1762382</v>
      </c>
      <c r="PJM4" t="s">
        <v>65913</v>
      </c>
      <c r="PJN4">
        <v>1762413</v>
      </c>
      <c r="PJO4" t="s">
        <v>65914</v>
      </c>
      <c r="PJP4">
        <v>1762650</v>
      </c>
      <c r="PJQ4" t="s">
        <v>65915</v>
      </c>
      <c r="PJR4">
        <v>1762655</v>
      </c>
      <c r="PJS4" t="s">
        <v>65916</v>
      </c>
      <c r="PJT4">
        <v>1762663</v>
      </c>
      <c r="PJU4" t="s">
        <v>65917</v>
      </c>
      <c r="PJV4">
        <v>1762779</v>
      </c>
      <c r="PJW4" t="s">
        <v>65918</v>
      </c>
      <c r="PJX4">
        <v>1762785</v>
      </c>
      <c r="PJY4" t="s">
        <v>65919</v>
      </c>
      <c r="PJZ4">
        <v>1763819</v>
      </c>
      <c r="PKA4" t="s">
        <v>65920</v>
      </c>
      <c r="PKB4">
        <v>1763857</v>
      </c>
      <c r="PKC4" t="s">
        <v>65921</v>
      </c>
      <c r="PKD4">
        <v>1763877</v>
      </c>
      <c r="PKE4" t="s">
        <v>65922</v>
      </c>
      <c r="PKF4">
        <v>1763910</v>
      </c>
      <c r="PKG4" t="s">
        <v>65923</v>
      </c>
      <c r="PKH4">
        <v>1763918</v>
      </c>
      <c r="PKI4" t="s">
        <v>65924</v>
      </c>
      <c r="PKJ4">
        <v>1763940</v>
      </c>
      <c r="PKK4" t="s">
        <v>65925</v>
      </c>
      <c r="PKL4">
        <v>1763954</v>
      </c>
      <c r="PKM4" t="s">
        <v>65926</v>
      </c>
      <c r="PKN4">
        <v>1763967</v>
      </c>
      <c r="PKO4" t="s">
        <v>65927</v>
      </c>
      <c r="PKP4">
        <v>1763974</v>
      </c>
      <c r="PKQ4" t="s">
        <v>65928</v>
      </c>
      <c r="PKR4">
        <v>1764735</v>
      </c>
      <c r="PKS4" t="s">
        <v>65929</v>
      </c>
      <c r="PKT4">
        <v>1764767</v>
      </c>
      <c r="PKU4" t="s">
        <v>65930</v>
      </c>
      <c r="PKV4">
        <v>1765038</v>
      </c>
      <c r="PKW4" t="s">
        <v>65931</v>
      </c>
      <c r="PKX4">
        <v>1765050</v>
      </c>
      <c r="PKY4" t="s">
        <v>65932</v>
      </c>
      <c r="PKZ4">
        <v>1765105</v>
      </c>
      <c r="PLA4" t="s">
        <v>65933</v>
      </c>
      <c r="PLB4">
        <v>1765453</v>
      </c>
      <c r="PLD4" t="s">
        <v>65934</v>
      </c>
      <c r="PLE4">
        <v>1765725</v>
      </c>
      <c r="PLF4" t="s">
        <v>65935</v>
      </c>
      <c r="PLG4">
        <v>1766377</v>
      </c>
      <c r="PLH4" t="s">
        <v>65936</v>
      </c>
      <c r="PLI4">
        <v>1767627</v>
      </c>
      <c r="PLJ4" t="s">
        <v>65937</v>
      </c>
      <c r="PLK4">
        <v>1770592</v>
      </c>
      <c r="PLL4" t="s">
        <v>65938</v>
      </c>
      <c r="PLM4">
        <v>1770608</v>
      </c>
      <c r="PLN4" t="s">
        <v>65939</v>
      </c>
      <c r="PLO4">
        <v>1770623</v>
      </c>
      <c r="PLP4" t="s">
        <v>65940</v>
      </c>
      <c r="PLQ4">
        <v>1770637</v>
      </c>
      <c r="PLR4" t="s">
        <v>65941</v>
      </c>
      <c r="PLS4">
        <v>1771994</v>
      </c>
      <c r="PLT4" t="s">
        <v>65942</v>
      </c>
      <c r="PLU4">
        <v>1772035</v>
      </c>
      <c r="PLW4" t="s">
        <v>65943</v>
      </c>
      <c r="PLX4">
        <v>1774526</v>
      </c>
      <c r="PLY4" t="s">
        <v>65944</v>
      </c>
      <c r="PLZ4">
        <v>1780661</v>
      </c>
      <c r="PMA4" t="s">
        <v>65945</v>
      </c>
      <c r="PMB4">
        <v>1780685</v>
      </c>
      <c r="PMC4" t="s">
        <v>65946</v>
      </c>
      <c r="PMD4">
        <v>1780694</v>
      </c>
      <c r="PME4" t="s">
        <v>65947</v>
      </c>
      <c r="PMF4">
        <v>1780744</v>
      </c>
      <c r="PMG4" t="s">
        <v>65948</v>
      </c>
      <c r="PMH4">
        <v>1780756</v>
      </c>
      <c r="PMI4" t="s">
        <v>65949</v>
      </c>
      <c r="PMJ4">
        <v>1780781</v>
      </c>
      <c r="PMK4" t="s">
        <v>65950</v>
      </c>
      <c r="PML4">
        <v>1780818</v>
      </c>
      <c r="PMM4" t="s">
        <v>65951</v>
      </c>
      <c r="PMN4">
        <v>1780851</v>
      </c>
      <c r="PMO4" t="s">
        <v>65952</v>
      </c>
      <c r="PMP4">
        <v>1781068</v>
      </c>
      <c r="PMQ4" t="s">
        <v>65953</v>
      </c>
      <c r="PMR4">
        <v>1783321</v>
      </c>
      <c r="PMS4" t="s">
        <v>65954</v>
      </c>
      <c r="PMT4">
        <v>1783342</v>
      </c>
      <c r="PMU4" t="s">
        <v>65955</v>
      </c>
      <c r="PMV4">
        <v>1785504</v>
      </c>
      <c r="PMW4" t="s">
        <v>65956</v>
      </c>
      <c r="PMX4">
        <v>1785515</v>
      </c>
      <c r="PMY4" t="s">
        <v>65957</v>
      </c>
      <c r="PMZ4">
        <v>1786815</v>
      </c>
      <c r="PNB4" t="s">
        <v>65958</v>
      </c>
      <c r="PNC4">
        <v>1787249</v>
      </c>
      <c r="PND4" t="s">
        <v>65959</v>
      </c>
      <c r="PNE4">
        <v>1789467</v>
      </c>
      <c r="PNF4" t="s">
        <v>65960</v>
      </c>
      <c r="PNG4">
        <v>1789479</v>
      </c>
      <c r="PNH4" t="s">
        <v>65961</v>
      </c>
      <c r="PNI4">
        <v>1789485</v>
      </c>
      <c r="PNJ4" t="s">
        <v>65962</v>
      </c>
      <c r="PNK4">
        <v>1789494</v>
      </c>
      <c r="PNL4" t="s">
        <v>65963</v>
      </c>
      <c r="PNM4">
        <v>1789500</v>
      </c>
      <c r="PNN4" t="s">
        <v>65964</v>
      </c>
      <c r="PNO4">
        <v>1790694</v>
      </c>
      <c r="PNP4" t="s">
        <v>65965</v>
      </c>
      <c r="PNQ4">
        <v>1790721</v>
      </c>
      <c r="PNS4" t="s">
        <v>65966</v>
      </c>
      <c r="PNT4">
        <v>1791807</v>
      </c>
      <c r="PNU4" t="s">
        <v>65967</v>
      </c>
      <c r="PNV4">
        <v>1791818</v>
      </c>
      <c r="PNW4" t="s">
        <v>65968</v>
      </c>
      <c r="PNX4">
        <v>1791839</v>
      </c>
      <c r="PNY4" t="s">
        <v>65969</v>
      </c>
      <c r="PNZ4">
        <v>1791946</v>
      </c>
      <c r="POB4" t="s">
        <v>65970</v>
      </c>
      <c r="POC4">
        <v>1791967</v>
      </c>
      <c r="POD4" t="s">
        <v>65971</v>
      </c>
      <c r="POE4">
        <v>1791972</v>
      </c>
      <c r="POF4" t="s">
        <v>65972</v>
      </c>
      <c r="POG4">
        <v>1792384</v>
      </c>
      <c r="POH4" t="s">
        <v>65973</v>
      </c>
      <c r="POI4">
        <v>1796340</v>
      </c>
      <c r="POJ4" t="s">
        <v>65974</v>
      </c>
      <c r="POK4">
        <v>1796351</v>
      </c>
      <c r="POL4" t="s">
        <v>65975</v>
      </c>
      <c r="POM4">
        <v>1796527</v>
      </c>
      <c r="PON4" t="s">
        <v>65976</v>
      </c>
      <c r="POO4">
        <v>1796539</v>
      </c>
      <c r="POP4" t="s">
        <v>65977</v>
      </c>
      <c r="POQ4">
        <v>1796593</v>
      </c>
      <c r="POR4" t="s">
        <v>65978</v>
      </c>
      <c r="POS4">
        <v>1796607</v>
      </c>
      <c r="POT4" t="s">
        <v>65979</v>
      </c>
      <c r="POU4">
        <v>1796629</v>
      </c>
      <c r="POV4" t="s">
        <v>65980</v>
      </c>
      <c r="POW4">
        <v>1796779</v>
      </c>
      <c r="POX4" t="s">
        <v>65981</v>
      </c>
      <c r="POY4">
        <v>1796815</v>
      </c>
      <c r="POZ4" t="s">
        <v>65982</v>
      </c>
      <c r="PPA4">
        <v>1796826</v>
      </c>
      <c r="PPB4" t="s">
        <v>65983</v>
      </c>
      <c r="PPC4">
        <v>1797143</v>
      </c>
      <c r="PPD4" t="s">
        <v>65984</v>
      </c>
      <c r="PPE4">
        <v>1797154</v>
      </c>
      <c r="PPF4" t="s">
        <v>65985</v>
      </c>
      <c r="PPG4">
        <v>1797345</v>
      </c>
      <c r="PPH4" t="s">
        <v>65986</v>
      </c>
      <c r="PPI4">
        <v>1797356</v>
      </c>
      <c r="PPJ4" t="s">
        <v>65987</v>
      </c>
      <c r="PPK4">
        <v>1797387</v>
      </c>
      <c r="PPL4" t="s">
        <v>65988</v>
      </c>
      <c r="PPM4">
        <v>1797401</v>
      </c>
      <c r="PPN4" t="s">
        <v>65989</v>
      </c>
      <c r="PPO4">
        <v>1797417</v>
      </c>
      <c r="PPP4" t="s">
        <v>65990</v>
      </c>
      <c r="PPQ4">
        <v>1797437</v>
      </c>
      <c r="PPR4" t="s">
        <v>65991</v>
      </c>
      <c r="PPS4">
        <v>1797462</v>
      </c>
      <c r="PPT4" t="s">
        <v>65992</v>
      </c>
      <c r="PPU4">
        <v>1797491</v>
      </c>
      <c r="PPV4" t="s">
        <v>65993</v>
      </c>
      <c r="PPW4">
        <v>1797857</v>
      </c>
      <c r="PPX4" t="s">
        <v>65994</v>
      </c>
      <c r="PPY4">
        <v>1797864</v>
      </c>
      <c r="PPZ4" t="s">
        <v>65995</v>
      </c>
      <c r="PQA4">
        <v>1797875</v>
      </c>
      <c r="PQB4" t="s">
        <v>65996</v>
      </c>
      <c r="PQC4">
        <v>1797893</v>
      </c>
      <c r="PQD4" t="s">
        <v>65997</v>
      </c>
      <c r="PQE4">
        <v>1797894</v>
      </c>
      <c r="PQF4" t="s">
        <v>65998</v>
      </c>
      <c r="PQG4">
        <v>1797899</v>
      </c>
      <c r="PQH4" t="s">
        <v>65999</v>
      </c>
      <c r="PQI4">
        <v>1797910</v>
      </c>
      <c r="PQJ4" t="s">
        <v>66000</v>
      </c>
      <c r="PQK4">
        <v>1797939</v>
      </c>
      <c r="PQL4" t="s">
        <v>66001</v>
      </c>
      <c r="PQM4">
        <v>1798359</v>
      </c>
      <c r="PQN4" t="s">
        <v>66002</v>
      </c>
      <c r="PQO4">
        <v>1798422</v>
      </c>
      <c r="PQP4" t="s">
        <v>66003</v>
      </c>
      <c r="PQQ4">
        <v>1798465</v>
      </c>
      <c r="PQR4" t="s">
        <v>66004</v>
      </c>
      <c r="PQS4">
        <v>1801659</v>
      </c>
      <c r="PQU4" t="s">
        <v>66005</v>
      </c>
      <c r="PQV4">
        <v>1802122</v>
      </c>
      <c r="PQW4" t="s">
        <v>66006</v>
      </c>
      <c r="PQX4">
        <v>1802132</v>
      </c>
      <c r="PQY4" t="s">
        <v>66007</v>
      </c>
      <c r="PQZ4">
        <v>1802136</v>
      </c>
      <c r="PRA4" t="s">
        <v>66008</v>
      </c>
      <c r="PRB4">
        <v>1802249</v>
      </c>
      <c r="PRE4" t="s">
        <v>66009</v>
      </c>
      <c r="PRF4">
        <v>1802282</v>
      </c>
      <c r="PRG4" t="s">
        <v>66010</v>
      </c>
      <c r="PRH4">
        <v>1803815</v>
      </c>
      <c r="PRI4" t="s">
        <v>66011</v>
      </c>
      <c r="PRJ4">
        <v>1803824</v>
      </c>
      <c r="PRK4" t="s">
        <v>66012</v>
      </c>
      <c r="PRL4">
        <v>1803836</v>
      </c>
      <c r="PRM4" t="s">
        <v>66013</v>
      </c>
      <c r="PRN4">
        <v>1803881</v>
      </c>
      <c r="PRO4" t="s">
        <v>66014</v>
      </c>
      <c r="PRP4">
        <v>1803888</v>
      </c>
      <c r="PRQ4" t="s">
        <v>66015</v>
      </c>
      <c r="PRR4">
        <v>1803894</v>
      </c>
      <c r="PRS4" t="s">
        <v>66016</v>
      </c>
      <c r="PRT4">
        <v>1803928</v>
      </c>
      <c r="PRV4" t="s">
        <v>66017</v>
      </c>
      <c r="PRW4">
        <v>1804261</v>
      </c>
      <c r="PRX4" t="s">
        <v>66018</v>
      </c>
      <c r="PRY4">
        <v>1804949</v>
      </c>
      <c r="PRZ4" t="s">
        <v>66019</v>
      </c>
      <c r="PSA4">
        <v>1804954</v>
      </c>
      <c r="PSB4" t="s">
        <v>66020</v>
      </c>
      <c r="PSC4">
        <v>1806461</v>
      </c>
      <c r="PSD4" t="s">
        <v>66021</v>
      </c>
      <c r="PSE4">
        <v>1806469</v>
      </c>
      <c r="PSG4" t="s">
        <v>66022</v>
      </c>
      <c r="PSH4">
        <v>1806748</v>
      </c>
      <c r="PSI4" t="s">
        <v>66023</v>
      </c>
      <c r="PSJ4">
        <v>1807729</v>
      </c>
      <c r="PSK4" t="s">
        <v>66024</v>
      </c>
      <c r="PSL4">
        <v>1807730</v>
      </c>
      <c r="PSM4" t="s">
        <v>66025</v>
      </c>
      <c r="PSN4">
        <v>1807739</v>
      </c>
      <c r="PSO4" t="s">
        <v>66026</v>
      </c>
      <c r="PSP4">
        <v>1808622</v>
      </c>
      <c r="PSQ4" t="s">
        <v>66027</v>
      </c>
      <c r="PSR4">
        <v>1808626</v>
      </c>
      <c r="PSS4" t="s">
        <v>66028</v>
      </c>
      <c r="PST4">
        <v>1808945</v>
      </c>
      <c r="PSV4" t="s">
        <v>66029</v>
      </c>
      <c r="PSW4">
        <v>1809095</v>
      </c>
      <c r="PSX4" t="s">
        <v>66030</v>
      </c>
      <c r="PSY4">
        <v>1809128</v>
      </c>
      <c r="PSZ4" t="s">
        <v>66031</v>
      </c>
      <c r="PTA4">
        <v>1810042</v>
      </c>
      <c r="PTB4" t="s">
        <v>66032</v>
      </c>
      <c r="PTC4">
        <v>1810123</v>
      </c>
      <c r="PTD4" t="s">
        <v>66033</v>
      </c>
      <c r="PTE4">
        <v>1810129</v>
      </c>
      <c r="PTF4" t="s">
        <v>66034</v>
      </c>
      <c r="PTG4">
        <v>1810201</v>
      </c>
      <c r="PTH4" t="s">
        <v>66035</v>
      </c>
      <c r="PTI4">
        <v>1810208</v>
      </c>
      <c r="PTJ4" t="s">
        <v>66036</v>
      </c>
      <c r="PTK4">
        <v>1810247</v>
      </c>
      <c r="PTL4" t="s">
        <v>66037</v>
      </c>
      <c r="PTM4">
        <v>1810285</v>
      </c>
      <c r="PTN4" t="s">
        <v>66038</v>
      </c>
      <c r="PTO4">
        <v>1810307</v>
      </c>
      <c r="PTP4" t="s">
        <v>66039</v>
      </c>
      <c r="PTQ4">
        <v>1811156</v>
      </c>
      <c r="PTR4" t="s">
        <v>66040</v>
      </c>
      <c r="PTS4">
        <v>1811243</v>
      </c>
      <c r="PTT4" t="s">
        <v>66041</v>
      </c>
      <c r="PTU4">
        <v>1812048</v>
      </c>
      <c r="PTV4" t="s">
        <v>66042</v>
      </c>
      <c r="PTW4">
        <v>1812089</v>
      </c>
      <c r="PTX4" t="s">
        <v>66043</v>
      </c>
      <c r="PTY4">
        <v>1812094</v>
      </c>
      <c r="PTZ4" t="s">
        <v>66044</v>
      </c>
      <c r="PUA4">
        <v>1812095</v>
      </c>
      <c r="PUB4" t="s">
        <v>66045</v>
      </c>
      <c r="PUC4">
        <v>1812100</v>
      </c>
      <c r="PUD4" t="s">
        <v>66046</v>
      </c>
      <c r="PUE4">
        <v>1812154</v>
      </c>
      <c r="PUF4" t="s">
        <v>66047</v>
      </c>
      <c r="PUG4">
        <v>1812162</v>
      </c>
      <c r="PUH4" t="s">
        <v>66048</v>
      </c>
      <c r="PUI4">
        <v>1812565</v>
      </c>
      <c r="PUJ4" t="s">
        <v>66049</v>
      </c>
      <c r="PUK4">
        <v>1812577</v>
      </c>
      <c r="PUL4" t="s">
        <v>66050</v>
      </c>
      <c r="PUM4">
        <v>1812580</v>
      </c>
      <c r="PUN4" t="s">
        <v>66051</v>
      </c>
      <c r="PUO4">
        <v>1812596</v>
      </c>
      <c r="PUP4" t="s">
        <v>66052</v>
      </c>
      <c r="PUQ4">
        <v>1812615</v>
      </c>
      <c r="PUR4" t="s">
        <v>66053</v>
      </c>
      <c r="PUS4">
        <v>1813548</v>
      </c>
      <c r="PUT4" t="s">
        <v>66054</v>
      </c>
      <c r="PUU4">
        <v>1813576</v>
      </c>
      <c r="PUV4" t="s">
        <v>66055</v>
      </c>
      <c r="PUW4">
        <v>1813584</v>
      </c>
      <c r="PUX4" t="s">
        <v>66056</v>
      </c>
      <c r="PUY4">
        <v>1813586</v>
      </c>
      <c r="PUZ4" t="s">
        <v>66057</v>
      </c>
      <c r="PVA4">
        <v>1813587</v>
      </c>
      <c r="PVB4" t="s">
        <v>66058</v>
      </c>
      <c r="PVC4">
        <v>1813604</v>
      </c>
      <c r="PVD4" t="s">
        <v>66059</v>
      </c>
      <c r="PVE4">
        <v>1813606</v>
      </c>
      <c r="PVF4" t="s">
        <v>66060</v>
      </c>
      <c r="PVG4">
        <v>1813848</v>
      </c>
      <c r="PVH4" t="s">
        <v>66061</v>
      </c>
      <c r="PVI4">
        <v>1814446</v>
      </c>
      <c r="PVJ4" t="s">
        <v>66062</v>
      </c>
      <c r="PVK4">
        <v>1815147</v>
      </c>
      <c r="PVL4" t="s">
        <v>66063</v>
      </c>
      <c r="PVM4">
        <v>1815164</v>
      </c>
      <c r="PVN4" t="s">
        <v>66064</v>
      </c>
      <c r="PVO4">
        <v>1815168</v>
      </c>
      <c r="PVP4" t="s">
        <v>66065</v>
      </c>
      <c r="PVQ4">
        <v>1815172</v>
      </c>
      <c r="PVR4" t="s">
        <v>66066</v>
      </c>
      <c r="PVS4">
        <v>1815199</v>
      </c>
      <c r="PVT4" t="s">
        <v>66067</v>
      </c>
      <c r="PVU4">
        <v>1815206</v>
      </c>
      <c r="PVV4" t="s">
        <v>66068</v>
      </c>
      <c r="PVW4">
        <v>1815304</v>
      </c>
      <c r="PVX4" t="s">
        <v>66069</v>
      </c>
      <c r="PVY4">
        <v>1815310</v>
      </c>
      <c r="PVZ4" t="s">
        <v>66070</v>
      </c>
      <c r="PWA4">
        <v>1815331</v>
      </c>
      <c r="PWC4" t="s">
        <v>66071</v>
      </c>
      <c r="PWD4">
        <v>1815348</v>
      </c>
      <c r="PWE4" t="s">
        <v>66072</v>
      </c>
      <c r="PWF4">
        <v>1815419</v>
      </c>
      <c r="PWG4" t="s">
        <v>66073</v>
      </c>
      <c r="PWH4">
        <v>1815492</v>
      </c>
      <c r="PWI4" t="s">
        <v>66074</v>
      </c>
      <c r="PWJ4">
        <v>1817647</v>
      </c>
      <c r="PWK4" t="s">
        <v>66075</v>
      </c>
      <c r="PWL4">
        <v>1817674</v>
      </c>
      <c r="PWM4" t="s">
        <v>66076</v>
      </c>
      <c r="PWN4">
        <v>1819007</v>
      </c>
      <c r="PWO4" t="s">
        <v>66077</v>
      </c>
      <c r="PWP4">
        <v>1819018</v>
      </c>
      <c r="PWQ4" t="s">
        <v>66078</v>
      </c>
      <c r="PWR4">
        <v>1819033</v>
      </c>
      <c r="PWU4" t="s">
        <v>66079</v>
      </c>
      <c r="PWV4">
        <v>1819047</v>
      </c>
      <c r="PWW4" t="s">
        <v>66080</v>
      </c>
      <c r="PWX4">
        <v>1819073</v>
      </c>
      <c r="PWY4" t="s">
        <v>66081</v>
      </c>
      <c r="PWZ4">
        <v>1819103</v>
      </c>
      <c r="PXA4" t="s">
        <v>66082</v>
      </c>
      <c r="PXB4">
        <v>1819130</v>
      </c>
      <c r="PXC4" t="s">
        <v>66083</v>
      </c>
      <c r="PXD4">
        <v>1819179</v>
      </c>
      <c r="PXF4" t="s">
        <v>66084</v>
      </c>
      <c r="PXG4">
        <v>1819189</v>
      </c>
      <c r="PXH4" t="s">
        <v>66085</v>
      </c>
      <c r="PXI4">
        <v>1819224</v>
      </c>
      <c r="PXJ4" t="s">
        <v>66086</v>
      </c>
      <c r="PXK4">
        <v>1819808</v>
      </c>
      <c r="PXL4" t="s">
        <v>66087</v>
      </c>
      <c r="PXM4">
        <v>1819833</v>
      </c>
      <c r="PXO4" t="s">
        <v>66088</v>
      </c>
      <c r="PXP4">
        <v>1820460</v>
      </c>
      <c r="PXQ4" t="s">
        <v>66089</v>
      </c>
      <c r="PXR4">
        <v>1820462</v>
      </c>
      <c r="PXS4" t="s">
        <v>66090</v>
      </c>
      <c r="PXT4">
        <v>1820477</v>
      </c>
      <c r="PXU4" t="s">
        <v>66091</v>
      </c>
      <c r="PXV4">
        <v>1820483</v>
      </c>
      <c r="PXW4" t="s">
        <v>66092</v>
      </c>
      <c r="PXX4">
        <v>1820937</v>
      </c>
      <c r="PXY4" t="s">
        <v>66093</v>
      </c>
      <c r="PXZ4">
        <v>1821039</v>
      </c>
      <c r="PYB4" t="s">
        <v>66094</v>
      </c>
      <c r="PYC4">
        <v>1822960</v>
      </c>
      <c r="PYD4" t="s">
        <v>66095</v>
      </c>
      <c r="PYE4">
        <v>1822981</v>
      </c>
      <c r="PYF4" t="s">
        <v>66096</v>
      </c>
      <c r="PYG4">
        <v>1823013</v>
      </c>
      <c r="PYH4" t="s">
        <v>66097</v>
      </c>
      <c r="PYI4">
        <v>1823981</v>
      </c>
      <c r="PYJ4" t="s">
        <v>66098</v>
      </c>
      <c r="PYK4">
        <v>1823989</v>
      </c>
      <c r="PYL4" t="s">
        <v>66099</v>
      </c>
      <c r="PYM4">
        <v>1824379</v>
      </c>
      <c r="PYN4" t="s">
        <v>66100</v>
      </c>
      <c r="PYO4">
        <v>1824388</v>
      </c>
      <c r="PYP4" t="s">
        <v>66101</v>
      </c>
      <c r="PYQ4">
        <v>1824394</v>
      </c>
      <c r="PYR4" t="s">
        <v>66102</v>
      </c>
      <c r="PYS4">
        <v>1824399</v>
      </c>
      <c r="PYT4" t="s">
        <v>66103</v>
      </c>
      <c r="PYU4">
        <v>1824414</v>
      </c>
      <c r="PYV4" t="s">
        <v>66104</v>
      </c>
      <c r="PYW4">
        <v>1824425</v>
      </c>
      <c r="PYX4" t="s">
        <v>66105</v>
      </c>
      <c r="PYY4">
        <v>1824435</v>
      </c>
      <c r="PYZ4" t="s">
        <v>66106</v>
      </c>
      <c r="PZA4">
        <v>1824448</v>
      </c>
      <c r="PZB4" t="s">
        <v>66107</v>
      </c>
      <c r="PZC4">
        <v>1824490</v>
      </c>
      <c r="PZD4" t="s">
        <v>66108</v>
      </c>
      <c r="PZE4">
        <v>1824695</v>
      </c>
      <c r="PZG4" t="s">
        <v>66109</v>
      </c>
      <c r="PZH4">
        <v>1825897</v>
      </c>
      <c r="PZI4" t="s">
        <v>66110</v>
      </c>
      <c r="PZJ4">
        <v>1825981</v>
      </c>
      <c r="PZK4" t="s">
        <v>66111</v>
      </c>
      <c r="PZL4">
        <v>1825996</v>
      </c>
      <c r="PZM4" t="s">
        <v>66112</v>
      </c>
      <c r="PZN4">
        <v>1826007</v>
      </c>
      <c r="PZO4" t="s">
        <v>66113</v>
      </c>
      <c r="PZP4">
        <v>1826318</v>
      </c>
      <c r="PZQ4" t="s">
        <v>66114</v>
      </c>
      <c r="PZR4">
        <v>1826329</v>
      </c>
      <c r="PZS4" t="s">
        <v>66115</v>
      </c>
      <c r="PZT4">
        <v>1827940</v>
      </c>
      <c r="PZU4" t="s">
        <v>66116</v>
      </c>
      <c r="PZV4">
        <v>1827948</v>
      </c>
      <c r="PZW4" t="s">
        <v>66117</v>
      </c>
      <c r="PZX4">
        <v>1827971</v>
      </c>
      <c r="PZY4" t="s">
        <v>66118</v>
      </c>
      <c r="PZZ4">
        <v>1827985</v>
      </c>
      <c r="QAA4" t="s">
        <v>66119</v>
      </c>
      <c r="QAB4">
        <v>1828019</v>
      </c>
      <c r="QAC4" t="s">
        <v>66120</v>
      </c>
      <c r="QAD4">
        <v>1831177</v>
      </c>
      <c r="QAE4" t="s">
        <v>66121</v>
      </c>
      <c r="QAF4">
        <v>1831185</v>
      </c>
      <c r="QAG4" t="s">
        <v>66122</v>
      </c>
      <c r="QAH4">
        <v>1831205</v>
      </c>
      <c r="QAI4" t="s">
        <v>66123</v>
      </c>
      <c r="QAJ4">
        <v>1831224</v>
      </c>
      <c r="QAK4" t="s">
        <v>66124</v>
      </c>
      <c r="QAL4">
        <v>1831247</v>
      </c>
      <c r="QAM4" t="s">
        <v>66125</v>
      </c>
      <c r="QAN4">
        <v>1831258</v>
      </c>
      <c r="QAO4" t="s">
        <v>66126</v>
      </c>
      <c r="QAP4">
        <v>1831880</v>
      </c>
      <c r="QAQ4" t="s">
        <v>66127</v>
      </c>
      <c r="QAR4">
        <v>1831888</v>
      </c>
      <c r="QAS4" t="s">
        <v>66128</v>
      </c>
      <c r="QAT4">
        <v>1831911</v>
      </c>
      <c r="QAU4" t="s">
        <v>66129</v>
      </c>
      <c r="QAV4">
        <v>1831943</v>
      </c>
      <c r="QAW4" t="s">
        <v>66130</v>
      </c>
      <c r="QAX4">
        <v>1834398</v>
      </c>
      <c r="QAY4" t="s">
        <v>66131</v>
      </c>
      <c r="QAZ4">
        <v>1834417</v>
      </c>
      <c r="QBA4" t="s">
        <v>66132</v>
      </c>
      <c r="QBB4">
        <v>1834710</v>
      </c>
      <c r="QBD4" t="s">
        <v>66133</v>
      </c>
      <c r="QBE4">
        <v>1834979</v>
      </c>
      <c r="QBF4" t="s">
        <v>66134</v>
      </c>
      <c r="QBG4">
        <v>1834993</v>
      </c>
      <c r="QBH4" t="s">
        <v>66135</v>
      </c>
      <c r="QBI4">
        <v>1835024</v>
      </c>
      <c r="QBJ4" t="s">
        <v>66136</v>
      </c>
      <c r="QBK4">
        <v>1835047</v>
      </c>
      <c r="QBL4" t="s">
        <v>66137</v>
      </c>
      <c r="QBM4">
        <v>1835632</v>
      </c>
      <c r="QBN4" t="s">
        <v>66138</v>
      </c>
      <c r="QBO4">
        <v>1835660</v>
      </c>
      <c r="QBP4" t="s">
        <v>66139</v>
      </c>
      <c r="QBQ4">
        <v>1835717</v>
      </c>
      <c r="QBR4" t="s">
        <v>66140</v>
      </c>
      <c r="QBS4">
        <v>1835745</v>
      </c>
      <c r="QBT4" t="s">
        <v>66141</v>
      </c>
      <c r="QBU4">
        <v>1835749</v>
      </c>
      <c r="QBV4" t="s">
        <v>66142</v>
      </c>
      <c r="QBW4">
        <v>1835761</v>
      </c>
      <c r="QBX4" t="s">
        <v>66143</v>
      </c>
      <c r="QBY4">
        <v>1837088</v>
      </c>
      <c r="QBZ4" t="s">
        <v>66144</v>
      </c>
      <c r="QCA4">
        <v>1837095</v>
      </c>
      <c r="QCB4" t="s">
        <v>66145</v>
      </c>
      <c r="QCC4">
        <v>1837105</v>
      </c>
      <c r="QCD4" t="s">
        <v>66146</v>
      </c>
      <c r="QCE4">
        <v>1837115</v>
      </c>
      <c r="QCF4" t="s">
        <v>66147</v>
      </c>
      <c r="QCG4">
        <v>1842313</v>
      </c>
      <c r="QCH4" t="s">
        <v>66148</v>
      </c>
      <c r="QCI4">
        <v>1842323</v>
      </c>
      <c r="QCJ4" t="s">
        <v>66149</v>
      </c>
      <c r="QCK4">
        <v>1842341</v>
      </c>
      <c r="QCL4" t="s">
        <v>66150</v>
      </c>
      <c r="QCM4">
        <v>1842415</v>
      </c>
      <c r="QCO4" t="s">
        <v>66151</v>
      </c>
      <c r="QCP4">
        <v>1842526</v>
      </c>
      <c r="QCR4" t="s">
        <v>66152</v>
      </c>
      <c r="QCS4">
        <v>1846660</v>
      </c>
      <c r="QCT4" t="s">
        <v>66153</v>
      </c>
      <c r="QCU4">
        <v>1847354</v>
      </c>
      <c r="QCV4" t="s">
        <v>66154</v>
      </c>
      <c r="QCW4">
        <v>1847362</v>
      </c>
      <c r="QCX4" t="s">
        <v>66155</v>
      </c>
      <c r="QCY4">
        <v>1847506</v>
      </c>
      <c r="QCZ4" t="s">
        <v>66156</v>
      </c>
      <c r="QDA4">
        <v>1847592</v>
      </c>
      <c r="QDB4" t="s">
        <v>66157</v>
      </c>
      <c r="QDC4">
        <v>1847598</v>
      </c>
      <c r="QDD4" t="s">
        <v>66158</v>
      </c>
      <c r="QDE4">
        <v>1847604</v>
      </c>
      <c r="QDF4" t="s">
        <v>66159</v>
      </c>
      <c r="QDG4">
        <v>1849142</v>
      </c>
      <c r="QDH4" t="s">
        <v>66160</v>
      </c>
      <c r="QDI4">
        <v>1849176</v>
      </c>
      <c r="QDJ4" t="s">
        <v>66161</v>
      </c>
      <c r="QDK4">
        <v>1849308</v>
      </c>
      <c r="QDL4" t="s">
        <v>66162</v>
      </c>
      <c r="QDM4">
        <v>1850554</v>
      </c>
      <c r="QDO4" t="s">
        <v>66163</v>
      </c>
      <c r="QDP4">
        <v>1850591</v>
      </c>
      <c r="QDQ4" t="s">
        <v>66164</v>
      </c>
      <c r="QDR4">
        <v>1850595</v>
      </c>
      <c r="QDS4" t="s">
        <v>66165</v>
      </c>
      <c r="QDT4">
        <v>1850801</v>
      </c>
      <c r="QDU4" t="s">
        <v>66166</v>
      </c>
      <c r="QDV4">
        <v>1853430</v>
      </c>
      <c r="QDW4" t="s">
        <v>66167</v>
      </c>
      <c r="QDX4">
        <v>1853434</v>
      </c>
      <c r="QDY4" t="s">
        <v>66168</v>
      </c>
      <c r="QDZ4">
        <v>1853435</v>
      </c>
      <c r="QEA4" t="s">
        <v>66169</v>
      </c>
      <c r="QEB4">
        <v>1853443</v>
      </c>
      <c r="QEC4" t="s">
        <v>66170</v>
      </c>
      <c r="QED4">
        <v>1853446</v>
      </c>
      <c r="QEE4" t="s">
        <v>66171</v>
      </c>
      <c r="QEF4">
        <v>1853454</v>
      </c>
      <c r="QEG4" t="s">
        <v>66172</v>
      </c>
      <c r="QEH4">
        <v>1853458</v>
      </c>
      <c r="QEI4" t="s">
        <v>66173</v>
      </c>
      <c r="QEJ4">
        <v>1853468</v>
      </c>
      <c r="QEL4" t="s">
        <v>66174</v>
      </c>
      <c r="QEM4">
        <v>1853486</v>
      </c>
      <c r="QEO4" t="s">
        <v>66175</v>
      </c>
      <c r="QEP4">
        <v>1853502</v>
      </c>
      <c r="QEQ4" t="s">
        <v>66176</v>
      </c>
      <c r="QER4">
        <v>1853888</v>
      </c>
      <c r="QES4" t="s">
        <v>66177</v>
      </c>
      <c r="QET4">
        <v>1853895</v>
      </c>
      <c r="QEU4" t="s">
        <v>66178</v>
      </c>
      <c r="QEV4">
        <v>1853899</v>
      </c>
      <c r="QEX4" t="s">
        <v>66179</v>
      </c>
      <c r="QEY4">
        <v>1853930</v>
      </c>
      <c r="QEZ4" t="s">
        <v>66180</v>
      </c>
      <c r="QFA4">
        <v>1853959</v>
      </c>
      <c r="QFB4" t="s">
        <v>66181</v>
      </c>
      <c r="QFC4">
        <v>1854774</v>
      </c>
      <c r="QFD4" t="s">
        <v>66182</v>
      </c>
      <c r="QFE4">
        <v>1854776</v>
      </c>
      <c r="QFF4" t="s">
        <v>66183</v>
      </c>
      <c r="QFG4">
        <v>1854780</v>
      </c>
      <c r="QFH4" t="s">
        <v>66184</v>
      </c>
      <c r="QFI4">
        <v>1854790</v>
      </c>
      <c r="QFJ4" t="s">
        <v>66185</v>
      </c>
      <c r="QFK4">
        <v>1854791</v>
      </c>
      <c r="QFM4" t="s">
        <v>66186</v>
      </c>
      <c r="QFN4">
        <v>1854792</v>
      </c>
      <c r="QFO4" t="s">
        <v>66187</v>
      </c>
      <c r="QFP4">
        <v>1854795</v>
      </c>
      <c r="QFR4" t="s">
        <v>66188</v>
      </c>
      <c r="QFS4">
        <v>1854796</v>
      </c>
      <c r="QFU4" t="s">
        <v>66189</v>
      </c>
      <c r="QFV4">
        <v>1854797</v>
      </c>
      <c r="QFX4" t="s">
        <v>66190</v>
      </c>
      <c r="QFY4">
        <v>1854799</v>
      </c>
      <c r="QGA4" t="s">
        <v>66191</v>
      </c>
      <c r="QGB4">
        <v>1854800</v>
      </c>
      <c r="QGC4" t="s">
        <v>66192</v>
      </c>
      <c r="QGD4">
        <v>1854801</v>
      </c>
      <c r="QGF4" t="s">
        <v>66193</v>
      </c>
      <c r="QGG4">
        <v>1854802</v>
      </c>
      <c r="QGI4" t="s">
        <v>66194</v>
      </c>
      <c r="QGJ4">
        <v>1854804</v>
      </c>
      <c r="QGL4" t="s">
        <v>66195</v>
      </c>
      <c r="QGM4">
        <v>1854806</v>
      </c>
      <c r="QGO4" t="s">
        <v>66196</v>
      </c>
      <c r="QGP4">
        <v>1854809</v>
      </c>
      <c r="QGR4" t="s">
        <v>66197</v>
      </c>
      <c r="QGS4">
        <v>1854810</v>
      </c>
      <c r="QGU4" t="s">
        <v>66198</v>
      </c>
      <c r="QGV4">
        <v>1854811</v>
      </c>
      <c r="QGX4" t="s">
        <v>66199</v>
      </c>
      <c r="QGY4">
        <v>1854815</v>
      </c>
      <c r="QHA4" t="s">
        <v>66200</v>
      </c>
      <c r="QHB4">
        <v>1854819</v>
      </c>
      <c r="QHD4" t="s">
        <v>66201</v>
      </c>
      <c r="QHE4">
        <v>1854821</v>
      </c>
      <c r="QHG4" t="s">
        <v>66202</v>
      </c>
      <c r="QHH4">
        <v>1854822</v>
      </c>
      <c r="QHJ4" t="s">
        <v>66203</v>
      </c>
      <c r="QHK4">
        <v>1854823</v>
      </c>
      <c r="QHL4" t="s">
        <v>66204</v>
      </c>
      <c r="QHM4">
        <v>1854825</v>
      </c>
      <c r="QHO4" t="s">
        <v>66205</v>
      </c>
      <c r="QHP4">
        <v>1854826</v>
      </c>
      <c r="QHR4" t="s">
        <v>66206</v>
      </c>
      <c r="QHS4">
        <v>1854827</v>
      </c>
      <c r="QHU4" t="s">
        <v>66207</v>
      </c>
      <c r="QHV4">
        <v>1854829</v>
      </c>
      <c r="QHX4" t="s">
        <v>66208</v>
      </c>
      <c r="QHY4">
        <v>1854834</v>
      </c>
      <c r="QIA4" t="s">
        <v>66209</v>
      </c>
      <c r="QIB4">
        <v>1854835</v>
      </c>
      <c r="QID4" t="s">
        <v>66210</v>
      </c>
      <c r="QIE4">
        <v>1854836</v>
      </c>
      <c r="QIG4" t="s">
        <v>66211</v>
      </c>
      <c r="QIH4">
        <v>1854840</v>
      </c>
      <c r="QIJ4" t="s">
        <v>66212</v>
      </c>
      <c r="QIK4">
        <v>1854841</v>
      </c>
      <c r="QIM4" t="s">
        <v>66213</v>
      </c>
      <c r="QIN4">
        <v>1854842</v>
      </c>
      <c r="QIP4" t="s">
        <v>66214</v>
      </c>
      <c r="QIQ4">
        <v>1854843</v>
      </c>
      <c r="QIS4" t="s">
        <v>66215</v>
      </c>
      <c r="QIT4">
        <v>1854844</v>
      </c>
      <c r="QIV4" t="s">
        <v>66216</v>
      </c>
      <c r="QIW4">
        <v>1854845</v>
      </c>
      <c r="QIY4" t="s">
        <v>66217</v>
      </c>
      <c r="QIZ4">
        <v>1854846</v>
      </c>
      <c r="QJB4" t="s">
        <v>66218</v>
      </c>
      <c r="QJC4">
        <v>1854847</v>
      </c>
      <c r="QJE4" t="s">
        <v>66219</v>
      </c>
      <c r="QJF4">
        <v>1854848</v>
      </c>
      <c r="QJG4" t="s">
        <v>66220</v>
      </c>
      <c r="QJH4">
        <v>1854849</v>
      </c>
      <c r="QJJ4" t="s">
        <v>66221</v>
      </c>
      <c r="QJK4">
        <v>1854850</v>
      </c>
      <c r="QJL4" t="s">
        <v>66222</v>
      </c>
      <c r="QJM4">
        <v>1854851</v>
      </c>
      <c r="QJO4" t="s">
        <v>66223</v>
      </c>
      <c r="QJP4">
        <v>1854852</v>
      </c>
      <c r="QJR4" t="s">
        <v>66224</v>
      </c>
      <c r="QJS4">
        <v>1854854</v>
      </c>
      <c r="QJT4" t="s">
        <v>66225</v>
      </c>
      <c r="QJU4">
        <v>1854857</v>
      </c>
      <c r="QJW4" t="s">
        <v>66226</v>
      </c>
      <c r="QJX4">
        <v>1854859</v>
      </c>
      <c r="QJY4" t="s">
        <v>66227</v>
      </c>
      <c r="QJZ4">
        <v>1854861</v>
      </c>
      <c r="QKB4" t="s">
        <v>66228</v>
      </c>
      <c r="QKC4">
        <v>1854863</v>
      </c>
      <c r="QKD4" t="s">
        <v>66229</v>
      </c>
      <c r="QKE4">
        <v>1854864</v>
      </c>
      <c r="QKG4" t="s">
        <v>66230</v>
      </c>
      <c r="QKH4">
        <v>1854866</v>
      </c>
      <c r="QKJ4" t="s">
        <v>66231</v>
      </c>
      <c r="QKK4">
        <v>1854867</v>
      </c>
      <c r="QKM4" t="s">
        <v>66232</v>
      </c>
      <c r="QKN4">
        <v>1854868</v>
      </c>
      <c r="QKO4" t="s">
        <v>66233</v>
      </c>
      <c r="QKP4">
        <v>1854869</v>
      </c>
      <c r="QKR4" t="s">
        <v>66234</v>
      </c>
      <c r="QKS4">
        <v>1854870</v>
      </c>
      <c r="QKU4" t="s">
        <v>66235</v>
      </c>
      <c r="QKV4">
        <v>1854871</v>
      </c>
      <c r="QKW4" t="s">
        <v>66236</v>
      </c>
      <c r="QKX4">
        <v>1854872</v>
      </c>
      <c r="QKZ4" t="s">
        <v>66237</v>
      </c>
      <c r="QLA4">
        <v>1854873</v>
      </c>
      <c r="QLB4" t="s">
        <v>66238</v>
      </c>
      <c r="QLC4">
        <v>1854874</v>
      </c>
      <c r="QLD4" t="s">
        <v>66239</v>
      </c>
      <c r="QLE4">
        <v>1854875</v>
      </c>
      <c r="QLG4" t="s">
        <v>66240</v>
      </c>
      <c r="QLH4">
        <v>1854877</v>
      </c>
      <c r="QLI4" t="s">
        <v>66241</v>
      </c>
      <c r="QLJ4">
        <v>1854880</v>
      </c>
      <c r="QLK4" t="s">
        <v>66242</v>
      </c>
      <c r="QLL4">
        <v>1854882</v>
      </c>
      <c r="QLN4" t="s">
        <v>66243</v>
      </c>
      <c r="QLO4">
        <v>1854884</v>
      </c>
      <c r="QLQ4" t="s">
        <v>66244</v>
      </c>
      <c r="QLR4">
        <v>1854886</v>
      </c>
      <c r="QLT4" t="s">
        <v>66245</v>
      </c>
      <c r="QLU4">
        <v>1854887</v>
      </c>
      <c r="QLW4" t="s">
        <v>66246</v>
      </c>
      <c r="QLX4">
        <v>1854889</v>
      </c>
      <c r="QLY4" t="s">
        <v>66247</v>
      </c>
      <c r="QLZ4">
        <v>1854890</v>
      </c>
      <c r="QMB4" t="s">
        <v>66248</v>
      </c>
      <c r="QMC4">
        <v>1854891</v>
      </c>
      <c r="QME4" t="s">
        <v>66249</v>
      </c>
      <c r="QMF4">
        <v>1854892</v>
      </c>
      <c r="QMH4" t="s">
        <v>66250</v>
      </c>
      <c r="QMI4">
        <v>1854893</v>
      </c>
      <c r="QMK4" t="s">
        <v>66251</v>
      </c>
      <c r="QML4">
        <v>1854894</v>
      </c>
      <c r="QMN4" t="s">
        <v>66252</v>
      </c>
      <c r="QMO4">
        <v>1854895</v>
      </c>
      <c r="QMP4" t="s">
        <v>66253</v>
      </c>
      <c r="QMQ4">
        <v>1854896</v>
      </c>
      <c r="QMR4" t="s">
        <v>66254</v>
      </c>
      <c r="QMS4">
        <v>1854897</v>
      </c>
      <c r="QMT4" t="s">
        <v>66255</v>
      </c>
      <c r="QMU4">
        <v>1854898</v>
      </c>
      <c r="QMV4" t="s">
        <v>66256</v>
      </c>
      <c r="QMW4">
        <v>1854899</v>
      </c>
      <c r="QMY4" t="s">
        <v>66257</v>
      </c>
      <c r="QMZ4">
        <v>1854900</v>
      </c>
      <c r="QNB4" t="s">
        <v>66258</v>
      </c>
      <c r="QNC4">
        <v>1854901</v>
      </c>
      <c r="QND4" t="s">
        <v>66259</v>
      </c>
      <c r="QNE4">
        <v>1854902</v>
      </c>
      <c r="QNF4" t="s">
        <v>66260</v>
      </c>
      <c r="QNG4">
        <v>1854903</v>
      </c>
      <c r="QNI4" t="s">
        <v>66261</v>
      </c>
      <c r="QNJ4">
        <v>1854904</v>
      </c>
      <c r="QNK4" t="s">
        <v>66262</v>
      </c>
      <c r="QNL4">
        <v>1854905</v>
      </c>
      <c r="QNM4" t="s">
        <v>66263</v>
      </c>
      <c r="QNN4">
        <v>1854906</v>
      </c>
      <c r="QNP4" t="s">
        <v>66264</v>
      </c>
      <c r="QNQ4">
        <v>1854907</v>
      </c>
      <c r="QNR4" t="s">
        <v>66265</v>
      </c>
      <c r="QNS4">
        <v>1854908</v>
      </c>
      <c r="QNT4" t="s">
        <v>66266</v>
      </c>
      <c r="QNU4">
        <v>1854909</v>
      </c>
      <c r="QNW4" t="s">
        <v>66267</v>
      </c>
      <c r="QNX4">
        <v>1854910</v>
      </c>
      <c r="QNZ4" t="s">
        <v>66268</v>
      </c>
      <c r="QOA4">
        <v>1854911</v>
      </c>
      <c r="QOC4" t="s">
        <v>66269</v>
      </c>
      <c r="QOD4">
        <v>1854912</v>
      </c>
      <c r="QOE4" t="s">
        <v>66270</v>
      </c>
      <c r="QOF4">
        <v>1854913</v>
      </c>
      <c r="QOH4" t="s">
        <v>66271</v>
      </c>
      <c r="QOI4">
        <v>1854914</v>
      </c>
      <c r="QOJ4" t="s">
        <v>66272</v>
      </c>
      <c r="QOK4">
        <v>1854915</v>
      </c>
      <c r="QOM4" t="s">
        <v>66273</v>
      </c>
      <c r="QON4">
        <v>1854916</v>
      </c>
      <c r="QOP4" t="s">
        <v>66274</v>
      </c>
      <c r="QOQ4">
        <v>1854917</v>
      </c>
      <c r="QOR4" t="s">
        <v>66275</v>
      </c>
      <c r="QOS4">
        <v>1854918</v>
      </c>
      <c r="QOT4" t="s">
        <v>66276</v>
      </c>
      <c r="QOU4">
        <v>1854919</v>
      </c>
      <c r="QOW4" t="s">
        <v>66277</v>
      </c>
      <c r="QOX4">
        <v>1854920</v>
      </c>
      <c r="QOZ4" t="s">
        <v>66278</v>
      </c>
      <c r="QPA4" t="s">
        <v>60493</v>
      </c>
    </row>
    <row r="5" spans="1:11909" x14ac:dyDescent="0.25">
      <c r="A5" s="1" t="s">
        <v>60492</v>
      </c>
      <c r="B5" t="s">
        <v>60495</v>
      </c>
      <c r="D5" t="s">
        <v>60495</v>
      </c>
      <c r="F5" t="s">
        <v>60495</v>
      </c>
      <c r="H5" t="s">
        <v>60495</v>
      </c>
      <c r="J5" t="s">
        <v>60495</v>
      </c>
      <c r="L5" t="s">
        <v>60495</v>
      </c>
      <c r="N5" t="s">
        <v>60495</v>
      </c>
      <c r="P5" t="s">
        <v>60495</v>
      </c>
      <c r="R5" t="s">
        <v>60495</v>
      </c>
      <c r="T5" t="s">
        <v>60495</v>
      </c>
      <c r="V5" t="s">
        <v>60495</v>
      </c>
      <c r="X5" t="s">
        <v>60495</v>
      </c>
      <c r="Z5" t="s">
        <v>60495</v>
      </c>
      <c r="AB5" t="s">
        <v>60495</v>
      </c>
      <c r="AD5" t="s">
        <v>60495</v>
      </c>
      <c r="AF5" t="s">
        <v>60495</v>
      </c>
      <c r="AH5" t="s">
        <v>60495</v>
      </c>
      <c r="AJ5" t="s">
        <v>60495</v>
      </c>
      <c r="AL5" t="s">
        <v>60495</v>
      </c>
      <c r="AN5" t="s">
        <v>60495</v>
      </c>
      <c r="AP5" t="s">
        <v>60495</v>
      </c>
      <c r="AR5" t="s">
        <v>60495</v>
      </c>
      <c r="AT5" t="s">
        <v>60495</v>
      </c>
      <c r="AV5" t="s">
        <v>60495</v>
      </c>
      <c r="AX5" t="s">
        <v>60495</v>
      </c>
      <c r="AZ5" t="s">
        <v>60495</v>
      </c>
      <c r="BB5" t="s">
        <v>60495</v>
      </c>
      <c r="BD5" t="s">
        <v>60495</v>
      </c>
      <c r="BF5" t="s">
        <v>60495</v>
      </c>
      <c r="BH5" t="s">
        <v>60495</v>
      </c>
      <c r="BJ5" t="s">
        <v>60495</v>
      </c>
      <c r="BL5" t="s">
        <v>60495</v>
      </c>
      <c r="BN5" t="s">
        <v>60495</v>
      </c>
      <c r="BP5" t="s">
        <v>60495</v>
      </c>
      <c r="BR5" t="s">
        <v>60495</v>
      </c>
      <c r="BT5" t="s">
        <v>60495</v>
      </c>
      <c r="BV5" t="s">
        <v>60495</v>
      </c>
      <c r="BX5" t="s">
        <v>60495</v>
      </c>
      <c r="BZ5" t="s">
        <v>60495</v>
      </c>
      <c r="CB5" t="s">
        <v>60495</v>
      </c>
      <c r="CD5" t="s">
        <v>60495</v>
      </c>
      <c r="CF5" t="s">
        <v>60495</v>
      </c>
      <c r="CH5" t="s">
        <v>60495</v>
      </c>
      <c r="CJ5" t="s">
        <v>60495</v>
      </c>
      <c r="CL5" t="s">
        <v>60495</v>
      </c>
      <c r="CN5" t="s">
        <v>60495</v>
      </c>
      <c r="CP5" t="s">
        <v>60495</v>
      </c>
      <c r="CR5" t="s">
        <v>60495</v>
      </c>
      <c r="CT5" t="s">
        <v>60495</v>
      </c>
      <c r="CV5" t="s">
        <v>538</v>
      </c>
      <c r="CX5" t="s">
        <v>60495</v>
      </c>
      <c r="CZ5" t="s">
        <v>60495</v>
      </c>
      <c r="DB5" t="s">
        <v>60495</v>
      </c>
      <c r="DD5" t="s">
        <v>60495</v>
      </c>
      <c r="DF5" t="s">
        <v>60495</v>
      </c>
      <c r="DH5" t="s">
        <v>60495</v>
      </c>
      <c r="DJ5" t="s">
        <v>60495</v>
      </c>
      <c r="DL5" t="s">
        <v>60495</v>
      </c>
      <c r="DN5" t="s">
        <v>60495</v>
      </c>
      <c r="DP5" t="s">
        <v>60495</v>
      </c>
      <c r="DR5" t="s">
        <v>60495</v>
      </c>
      <c r="DT5" t="s">
        <v>60495</v>
      </c>
      <c r="DV5" t="s">
        <v>60495</v>
      </c>
      <c r="DX5" t="s">
        <v>60495</v>
      </c>
      <c r="DZ5" t="s">
        <v>60495</v>
      </c>
      <c r="EB5" t="s">
        <v>60495</v>
      </c>
      <c r="ED5" t="s">
        <v>60495</v>
      </c>
      <c r="EF5" t="s">
        <v>60495</v>
      </c>
      <c r="EH5" t="s">
        <v>60495</v>
      </c>
      <c r="EJ5" t="s">
        <v>60495</v>
      </c>
      <c r="EL5" t="s">
        <v>60495</v>
      </c>
      <c r="EN5" t="s">
        <v>60495</v>
      </c>
      <c r="EP5" t="s">
        <v>60495</v>
      </c>
      <c r="ER5" t="s">
        <v>60495</v>
      </c>
      <c r="ET5" t="s">
        <v>60495</v>
      </c>
      <c r="EV5" t="s">
        <v>60495</v>
      </c>
      <c r="EX5" t="s">
        <v>60495</v>
      </c>
      <c r="EZ5" t="s">
        <v>60495</v>
      </c>
      <c r="FB5" t="s">
        <v>60495</v>
      </c>
      <c r="FD5" t="s">
        <v>60495</v>
      </c>
      <c r="FF5" t="s">
        <v>60495</v>
      </c>
      <c r="FH5" t="s">
        <v>60495</v>
      </c>
      <c r="FJ5" t="s">
        <v>60495</v>
      </c>
      <c r="FL5" t="s">
        <v>60495</v>
      </c>
      <c r="FN5" t="s">
        <v>60495</v>
      </c>
      <c r="FP5" t="s">
        <v>60495</v>
      </c>
      <c r="FR5" t="s">
        <v>60495</v>
      </c>
      <c r="FT5" t="s">
        <v>60495</v>
      </c>
      <c r="FV5" t="s">
        <v>60495</v>
      </c>
      <c r="FX5" t="s">
        <v>60495</v>
      </c>
      <c r="FZ5" t="s">
        <v>60495</v>
      </c>
      <c r="GB5" t="s">
        <v>60495</v>
      </c>
      <c r="GD5" t="s">
        <v>60495</v>
      </c>
      <c r="GF5" t="s">
        <v>60495</v>
      </c>
      <c r="GH5" t="s">
        <v>60495</v>
      </c>
      <c r="GJ5" t="s">
        <v>60495</v>
      </c>
      <c r="GL5" t="s">
        <v>60495</v>
      </c>
      <c r="GN5" t="s">
        <v>60495</v>
      </c>
      <c r="GP5" t="s">
        <v>60495</v>
      </c>
      <c r="GR5" t="s">
        <v>60495</v>
      </c>
      <c r="GT5" t="s">
        <v>60495</v>
      </c>
      <c r="GV5" t="s">
        <v>60495</v>
      </c>
      <c r="GX5" t="s">
        <v>60495</v>
      </c>
      <c r="GZ5" t="s">
        <v>1471</v>
      </c>
      <c r="HB5" t="s">
        <v>60495</v>
      </c>
      <c r="HD5" t="s">
        <v>60495</v>
      </c>
      <c r="HF5" t="s">
        <v>60495</v>
      </c>
      <c r="HH5" t="s">
        <v>60495</v>
      </c>
      <c r="HJ5" t="s">
        <v>60495</v>
      </c>
      <c r="HL5" t="s">
        <v>60495</v>
      </c>
      <c r="HN5" t="s">
        <v>60495</v>
      </c>
      <c r="HP5" t="s">
        <v>60495</v>
      </c>
      <c r="HR5" t="s">
        <v>60495</v>
      </c>
      <c r="HT5" t="s">
        <v>60495</v>
      </c>
      <c r="HV5" t="s">
        <v>60495</v>
      </c>
      <c r="HX5" t="s">
        <v>60495</v>
      </c>
      <c r="HZ5" t="s">
        <v>60495</v>
      </c>
      <c r="IB5" t="s">
        <v>60495</v>
      </c>
      <c r="ID5" t="s">
        <v>60495</v>
      </c>
      <c r="IF5" t="s">
        <v>60495</v>
      </c>
      <c r="IH5" t="s">
        <v>60495</v>
      </c>
      <c r="IJ5" t="s">
        <v>60495</v>
      </c>
      <c r="IL5" t="s">
        <v>1824</v>
      </c>
      <c r="IN5" t="s">
        <v>60495</v>
      </c>
      <c r="IP5" t="s">
        <v>60495</v>
      </c>
      <c r="IR5" t="s">
        <v>60495</v>
      </c>
      <c r="IT5" t="s">
        <v>1874</v>
      </c>
      <c r="IV5" t="s">
        <v>60495</v>
      </c>
      <c r="IX5" t="s">
        <v>60495</v>
      </c>
      <c r="IZ5" t="s">
        <v>60495</v>
      </c>
      <c r="JB5" t="s">
        <v>1949</v>
      </c>
      <c r="JD5" t="s">
        <v>60495</v>
      </c>
      <c r="JF5" t="s">
        <v>60495</v>
      </c>
      <c r="JH5" t="s">
        <v>60495</v>
      </c>
      <c r="JJ5" t="s">
        <v>1998</v>
      </c>
      <c r="JL5" t="s">
        <v>60495</v>
      </c>
      <c r="JN5" t="s">
        <v>2052</v>
      </c>
      <c r="JP5" t="s">
        <v>60495</v>
      </c>
      <c r="JR5" t="s">
        <v>60495</v>
      </c>
      <c r="JT5" t="s">
        <v>60495</v>
      </c>
      <c r="JV5" t="s">
        <v>60495</v>
      </c>
      <c r="JX5" t="s">
        <v>60495</v>
      </c>
      <c r="JZ5" t="s">
        <v>60495</v>
      </c>
      <c r="KB5" t="s">
        <v>60495</v>
      </c>
      <c r="KD5" t="s">
        <v>60495</v>
      </c>
      <c r="KF5" t="s">
        <v>60495</v>
      </c>
      <c r="KH5" t="s">
        <v>60495</v>
      </c>
      <c r="KJ5" t="s">
        <v>60495</v>
      </c>
      <c r="KL5" t="s">
        <v>2192</v>
      </c>
      <c r="KN5" t="s">
        <v>60495</v>
      </c>
      <c r="KP5" t="s">
        <v>60495</v>
      </c>
      <c r="KR5" t="s">
        <v>60495</v>
      </c>
      <c r="KT5" t="s">
        <v>60495</v>
      </c>
      <c r="KV5" t="s">
        <v>60495</v>
      </c>
      <c r="KX5" t="s">
        <v>60495</v>
      </c>
      <c r="KZ5" t="s">
        <v>60495</v>
      </c>
      <c r="LB5" t="s">
        <v>60495</v>
      </c>
      <c r="LD5" t="s">
        <v>60495</v>
      </c>
      <c r="LF5" t="s">
        <v>60495</v>
      </c>
      <c r="LH5" t="s">
        <v>60495</v>
      </c>
      <c r="LJ5" t="s">
        <v>60495</v>
      </c>
      <c r="LL5" t="s">
        <v>60495</v>
      </c>
      <c r="LN5" t="s">
        <v>60495</v>
      </c>
      <c r="LP5" t="s">
        <v>60495</v>
      </c>
      <c r="LR5" t="s">
        <v>60495</v>
      </c>
      <c r="LT5" t="s">
        <v>60495</v>
      </c>
      <c r="LV5" t="s">
        <v>60495</v>
      </c>
      <c r="LX5" t="s">
        <v>60495</v>
      </c>
      <c r="LZ5" t="s">
        <v>60495</v>
      </c>
      <c r="MB5" t="s">
        <v>60495</v>
      </c>
      <c r="MD5" t="s">
        <v>60495</v>
      </c>
      <c r="MF5" t="s">
        <v>60495</v>
      </c>
      <c r="MH5" t="s">
        <v>60495</v>
      </c>
      <c r="MJ5" t="s">
        <v>60495</v>
      </c>
      <c r="ML5" t="s">
        <v>2623</v>
      </c>
      <c r="MN5" t="s">
        <v>60495</v>
      </c>
      <c r="MP5" t="s">
        <v>60495</v>
      </c>
      <c r="MR5" t="s">
        <v>60495</v>
      </c>
      <c r="MT5" t="s">
        <v>60495</v>
      </c>
      <c r="MV5" t="s">
        <v>60495</v>
      </c>
      <c r="MX5" t="s">
        <v>60495</v>
      </c>
      <c r="MZ5" t="s">
        <v>60495</v>
      </c>
      <c r="NB5" t="s">
        <v>60495</v>
      </c>
      <c r="ND5" t="s">
        <v>60495</v>
      </c>
      <c r="NF5" t="s">
        <v>60495</v>
      </c>
      <c r="NH5" t="s">
        <v>60495</v>
      </c>
      <c r="NJ5" t="s">
        <v>60495</v>
      </c>
      <c r="NL5" t="s">
        <v>60495</v>
      </c>
      <c r="NN5" t="s">
        <v>60495</v>
      </c>
      <c r="NP5" t="s">
        <v>60495</v>
      </c>
      <c r="NR5" t="s">
        <v>2827</v>
      </c>
      <c r="NS5" t="s">
        <v>60495</v>
      </c>
      <c r="NU5" t="s">
        <v>60495</v>
      </c>
      <c r="NW5" t="s">
        <v>60495</v>
      </c>
      <c r="NY5" t="s">
        <v>60495</v>
      </c>
      <c r="OA5" t="s">
        <v>60495</v>
      </c>
      <c r="OC5" t="s">
        <v>60495</v>
      </c>
      <c r="OE5" t="s">
        <v>60495</v>
      </c>
      <c r="OG5" t="s">
        <v>60495</v>
      </c>
      <c r="OI5" t="s">
        <v>60495</v>
      </c>
      <c r="OK5" t="s">
        <v>60495</v>
      </c>
      <c r="OM5" t="s">
        <v>60495</v>
      </c>
      <c r="OO5" t="s">
        <v>60495</v>
      </c>
      <c r="OQ5" t="s">
        <v>60495</v>
      </c>
      <c r="OS5" t="s">
        <v>60495</v>
      </c>
      <c r="OU5" t="s">
        <v>60495</v>
      </c>
      <c r="OW5" t="s">
        <v>60495</v>
      </c>
      <c r="OY5" t="s">
        <v>60495</v>
      </c>
      <c r="PA5" t="s">
        <v>60495</v>
      </c>
      <c r="PC5" t="s">
        <v>60495</v>
      </c>
      <c r="PE5" t="s">
        <v>60495</v>
      </c>
      <c r="PG5" t="s">
        <v>60495</v>
      </c>
      <c r="PI5" t="s">
        <v>60495</v>
      </c>
      <c r="PK5" t="s">
        <v>60495</v>
      </c>
      <c r="PM5" t="s">
        <v>60495</v>
      </c>
      <c r="PO5" t="s">
        <v>60495</v>
      </c>
      <c r="PQ5" t="s">
        <v>60495</v>
      </c>
      <c r="PS5" t="s">
        <v>60495</v>
      </c>
      <c r="PU5" t="s">
        <v>60495</v>
      </c>
      <c r="PW5" t="s">
        <v>60495</v>
      </c>
      <c r="PY5" t="s">
        <v>60495</v>
      </c>
      <c r="QA5" t="s">
        <v>60495</v>
      </c>
      <c r="QC5" t="s">
        <v>60495</v>
      </c>
      <c r="QE5" t="s">
        <v>3295</v>
      </c>
      <c r="QF5" t="s">
        <v>60495</v>
      </c>
      <c r="QH5" t="s">
        <v>60495</v>
      </c>
      <c r="QJ5" t="s">
        <v>60495</v>
      </c>
      <c r="QL5" t="s">
        <v>60495</v>
      </c>
      <c r="QN5" t="s">
        <v>60495</v>
      </c>
      <c r="QP5" t="s">
        <v>60495</v>
      </c>
      <c r="QR5" t="s">
        <v>60495</v>
      </c>
      <c r="QT5" t="s">
        <v>2944</v>
      </c>
      <c r="QV5" t="s">
        <v>60495</v>
      </c>
      <c r="QX5" t="s">
        <v>60495</v>
      </c>
      <c r="QZ5" t="s">
        <v>60495</v>
      </c>
      <c r="RB5" t="s">
        <v>60495</v>
      </c>
      <c r="RD5" t="s">
        <v>60495</v>
      </c>
      <c r="RF5" t="s">
        <v>60495</v>
      </c>
      <c r="RH5" t="s">
        <v>60495</v>
      </c>
      <c r="RJ5" t="s">
        <v>60495</v>
      </c>
      <c r="RL5" t="s">
        <v>3528</v>
      </c>
      <c r="RN5" t="s">
        <v>60495</v>
      </c>
      <c r="RP5" t="s">
        <v>60495</v>
      </c>
      <c r="RR5" t="s">
        <v>60495</v>
      </c>
      <c r="RT5" t="s">
        <v>60495</v>
      </c>
      <c r="RV5" t="s">
        <v>60495</v>
      </c>
      <c r="RX5" t="s">
        <v>60495</v>
      </c>
      <c r="RZ5" t="s">
        <v>2320</v>
      </c>
      <c r="SA5" t="s">
        <v>60495</v>
      </c>
      <c r="SC5" t="s">
        <v>60495</v>
      </c>
      <c r="SE5" t="s">
        <v>60495</v>
      </c>
      <c r="SG5" t="s">
        <v>60495</v>
      </c>
      <c r="SI5" t="s">
        <v>60495</v>
      </c>
      <c r="SK5" t="s">
        <v>60495</v>
      </c>
      <c r="SM5" t="s">
        <v>60495</v>
      </c>
      <c r="SO5" t="s">
        <v>60495</v>
      </c>
      <c r="SQ5" t="s">
        <v>60495</v>
      </c>
      <c r="SS5" t="s">
        <v>60495</v>
      </c>
      <c r="SU5" t="s">
        <v>60495</v>
      </c>
      <c r="SW5" t="s">
        <v>60495</v>
      </c>
      <c r="SY5" t="s">
        <v>60495</v>
      </c>
      <c r="TA5" t="s">
        <v>60495</v>
      </c>
      <c r="TC5" t="s">
        <v>60495</v>
      </c>
      <c r="TE5" t="s">
        <v>60495</v>
      </c>
      <c r="TG5" t="s">
        <v>60495</v>
      </c>
      <c r="TI5" t="s">
        <v>60495</v>
      </c>
      <c r="TK5" t="s">
        <v>60495</v>
      </c>
      <c r="TM5" t="s">
        <v>60495</v>
      </c>
      <c r="TO5" t="s">
        <v>60495</v>
      </c>
      <c r="TQ5" t="s">
        <v>60495</v>
      </c>
      <c r="TS5" t="s">
        <v>60495</v>
      </c>
      <c r="TU5" t="s">
        <v>60495</v>
      </c>
      <c r="TW5" t="s">
        <v>60495</v>
      </c>
      <c r="TY5" t="s">
        <v>60495</v>
      </c>
      <c r="UA5" t="s">
        <v>60495</v>
      </c>
      <c r="UC5" t="s">
        <v>60495</v>
      </c>
      <c r="UE5" t="s">
        <v>60495</v>
      </c>
      <c r="UG5" t="s">
        <v>60495</v>
      </c>
      <c r="UI5" t="s">
        <v>60495</v>
      </c>
      <c r="UK5" t="s">
        <v>60495</v>
      </c>
      <c r="UM5" t="s">
        <v>60495</v>
      </c>
      <c r="UO5" t="s">
        <v>60495</v>
      </c>
      <c r="UQ5" t="s">
        <v>60495</v>
      </c>
      <c r="US5" t="s">
        <v>60495</v>
      </c>
      <c r="UU5" t="s">
        <v>60495</v>
      </c>
      <c r="UW5" t="s">
        <v>60495</v>
      </c>
      <c r="UY5" t="s">
        <v>60495</v>
      </c>
      <c r="VA5" t="s">
        <v>60495</v>
      </c>
      <c r="VC5" t="s">
        <v>60495</v>
      </c>
      <c r="VE5" t="s">
        <v>60495</v>
      </c>
      <c r="VG5" t="s">
        <v>60495</v>
      </c>
      <c r="VI5" t="s">
        <v>60495</v>
      </c>
      <c r="VK5" t="s">
        <v>60495</v>
      </c>
      <c r="VM5" t="s">
        <v>60495</v>
      </c>
      <c r="VO5" t="s">
        <v>60495</v>
      </c>
      <c r="VQ5" t="s">
        <v>60495</v>
      </c>
      <c r="VS5" t="s">
        <v>60495</v>
      </c>
      <c r="VU5" t="s">
        <v>60495</v>
      </c>
      <c r="VW5" t="s">
        <v>60495</v>
      </c>
      <c r="VY5" t="s">
        <v>60495</v>
      </c>
      <c r="WA5" t="s">
        <v>60495</v>
      </c>
      <c r="WC5" t="s">
        <v>60495</v>
      </c>
      <c r="WE5" t="s">
        <v>60495</v>
      </c>
      <c r="WG5" t="s">
        <v>60495</v>
      </c>
      <c r="WI5" t="s">
        <v>60495</v>
      </c>
      <c r="WK5" t="s">
        <v>60495</v>
      </c>
      <c r="WM5" t="s">
        <v>60495</v>
      </c>
      <c r="WO5" t="s">
        <v>60495</v>
      </c>
      <c r="WQ5" t="s">
        <v>60495</v>
      </c>
      <c r="WS5" t="s">
        <v>60495</v>
      </c>
      <c r="WU5" t="s">
        <v>60495</v>
      </c>
      <c r="WW5" t="s">
        <v>60495</v>
      </c>
      <c r="WY5" t="s">
        <v>60495</v>
      </c>
      <c r="XA5" t="s">
        <v>60495</v>
      </c>
      <c r="XC5" t="s">
        <v>60495</v>
      </c>
      <c r="XE5" t="s">
        <v>60495</v>
      </c>
      <c r="XG5" t="s">
        <v>60495</v>
      </c>
      <c r="XI5" t="s">
        <v>60495</v>
      </c>
      <c r="XK5" t="s">
        <v>60495</v>
      </c>
      <c r="XM5" t="s">
        <v>60495</v>
      </c>
      <c r="XO5" t="s">
        <v>60495</v>
      </c>
      <c r="XQ5" t="s">
        <v>60495</v>
      </c>
      <c r="XS5" t="s">
        <v>60495</v>
      </c>
      <c r="XU5" t="s">
        <v>60495</v>
      </c>
      <c r="XW5" t="s">
        <v>60495</v>
      </c>
      <c r="XY5" t="s">
        <v>60495</v>
      </c>
      <c r="YA5" t="s">
        <v>60495</v>
      </c>
      <c r="YC5" t="s">
        <v>60495</v>
      </c>
      <c r="YE5" t="s">
        <v>60495</v>
      </c>
      <c r="YG5" t="s">
        <v>60495</v>
      </c>
      <c r="YI5" t="s">
        <v>60495</v>
      </c>
      <c r="YK5" t="s">
        <v>60495</v>
      </c>
      <c r="YM5" t="s">
        <v>60495</v>
      </c>
      <c r="YO5" t="s">
        <v>60495</v>
      </c>
      <c r="YQ5" t="s">
        <v>60495</v>
      </c>
      <c r="YS5" t="s">
        <v>60495</v>
      </c>
      <c r="YU5" t="s">
        <v>60495</v>
      </c>
      <c r="YW5" t="s">
        <v>60495</v>
      </c>
      <c r="YY5" t="s">
        <v>4664</v>
      </c>
      <c r="YZ5" t="s">
        <v>60495</v>
      </c>
      <c r="ZB5" t="s">
        <v>60495</v>
      </c>
      <c r="ZD5" t="s">
        <v>60495</v>
      </c>
      <c r="ZF5" t="s">
        <v>60495</v>
      </c>
      <c r="ZH5" t="s">
        <v>60495</v>
      </c>
      <c r="ZJ5" t="s">
        <v>60495</v>
      </c>
      <c r="ZL5" t="s">
        <v>60495</v>
      </c>
      <c r="ZN5" t="s">
        <v>60495</v>
      </c>
      <c r="ZP5" t="s">
        <v>60495</v>
      </c>
      <c r="ZR5" t="s">
        <v>60495</v>
      </c>
      <c r="ZT5" t="s">
        <v>60495</v>
      </c>
      <c r="ZV5" t="s">
        <v>60495</v>
      </c>
      <c r="ZX5" t="s">
        <v>60495</v>
      </c>
      <c r="ZZ5" t="s">
        <v>60495</v>
      </c>
      <c r="AAB5" t="s">
        <v>60495</v>
      </c>
      <c r="AAD5" t="s">
        <v>60495</v>
      </c>
      <c r="AAF5" t="s">
        <v>60495</v>
      </c>
      <c r="AAH5" t="s">
        <v>60495</v>
      </c>
      <c r="AAJ5" t="s">
        <v>60495</v>
      </c>
      <c r="AAL5" t="s">
        <v>60495</v>
      </c>
      <c r="AAN5" t="s">
        <v>60495</v>
      </c>
      <c r="AAP5" t="s">
        <v>60495</v>
      </c>
      <c r="AAR5" t="s">
        <v>60495</v>
      </c>
      <c r="AAT5" t="s">
        <v>60495</v>
      </c>
      <c r="AAV5" t="s">
        <v>60495</v>
      </c>
      <c r="AAX5" t="s">
        <v>60495</v>
      </c>
      <c r="AAZ5" t="s">
        <v>60495</v>
      </c>
      <c r="ABB5" t="s">
        <v>60495</v>
      </c>
      <c r="ABD5" t="s">
        <v>60495</v>
      </c>
      <c r="ABF5" t="s">
        <v>60495</v>
      </c>
      <c r="ABH5" t="s">
        <v>60495</v>
      </c>
      <c r="ABJ5" t="s">
        <v>60495</v>
      </c>
      <c r="ABL5" t="s">
        <v>60495</v>
      </c>
      <c r="ABN5" t="s">
        <v>60495</v>
      </c>
      <c r="ABP5" t="s">
        <v>60495</v>
      </c>
      <c r="ABR5" t="s">
        <v>60495</v>
      </c>
      <c r="ABT5" t="s">
        <v>60495</v>
      </c>
      <c r="ABV5" t="s">
        <v>60495</v>
      </c>
      <c r="ABX5" t="s">
        <v>60495</v>
      </c>
      <c r="ABZ5" t="s">
        <v>60495</v>
      </c>
      <c r="ACB5" t="s">
        <v>60495</v>
      </c>
      <c r="ACD5" t="s">
        <v>60495</v>
      </c>
      <c r="ACF5" t="s">
        <v>60495</v>
      </c>
      <c r="ACH5" t="s">
        <v>60495</v>
      </c>
      <c r="ACJ5" t="s">
        <v>60495</v>
      </c>
      <c r="ACL5" t="s">
        <v>60495</v>
      </c>
      <c r="ACN5" t="s">
        <v>60495</v>
      </c>
      <c r="ACP5" t="s">
        <v>60495</v>
      </c>
      <c r="ACR5" t="s">
        <v>60495</v>
      </c>
      <c r="ACT5" t="s">
        <v>60495</v>
      </c>
      <c r="ACV5" t="s">
        <v>60495</v>
      </c>
      <c r="ACX5" t="s">
        <v>60495</v>
      </c>
      <c r="ACZ5" t="s">
        <v>60495</v>
      </c>
      <c r="ADB5" t="s">
        <v>60495</v>
      </c>
      <c r="ADD5" t="s">
        <v>60495</v>
      </c>
      <c r="ADF5" t="s">
        <v>60495</v>
      </c>
      <c r="ADH5" t="s">
        <v>60495</v>
      </c>
      <c r="ADJ5" t="s">
        <v>60495</v>
      </c>
      <c r="ADL5" t="s">
        <v>60495</v>
      </c>
      <c r="ADN5" t="s">
        <v>60495</v>
      </c>
      <c r="ADP5" t="s">
        <v>60495</v>
      </c>
      <c r="ADR5" t="s">
        <v>60495</v>
      </c>
      <c r="ADT5" t="s">
        <v>60495</v>
      </c>
      <c r="ADV5" t="s">
        <v>60495</v>
      </c>
      <c r="ADX5" t="s">
        <v>60495</v>
      </c>
      <c r="ADZ5" t="s">
        <v>60495</v>
      </c>
      <c r="AEB5" t="s">
        <v>60495</v>
      </c>
      <c r="AED5" t="s">
        <v>5469</v>
      </c>
      <c r="AEF5" t="s">
        <v>60495</v>
      </c>
      <c r="AEH5" t="s">
        <v>60495</v>
      </c>
      <c r="AEJ5" t="s">
        <v>5559</v>
      </c>
      <c r="AEK5" t="s">
        <v>60495</v>
      </c>
      <c r="AEM5" t="s">
        <v>4840</v>
      </c>
      <c r="AEO5" t="s">
        <v>60495</v>
      </c>
      <c r="AEQ5" t="s">
        <v>60495</v>
      </c>
      <c r="AES5" t="s">
        <v>60495</v>
      </c>
      <c r="AEU5" t="s">
        <v>5250</v>
      </c>
      <c r="AEW5" t="s">
        <v>60495</v>
      </c>
      <c r="AEY5" t="s">
        <v>60495</v>
      </c>
      <c r="AFA5" t="s">
        <v>60495</v>
      </c>
      <c r="AFC5" t="s">
        <v>60495</v>
      </c>
      <c r="AFE5" t="s">
        <v>5670</v>
      </c>
      <c r="AFG5" t="s">
        <v>60495</v>
      </c>
      <c r="AFI5" t="s">
        <v>60495</v>
      </c>
      <c r="AFK5" t="s">
        <v>60495</v>
      </c>
      <c r="AFM5" t="s">
        <v>60495</v>
      </c>
      <c r="AFO5" t="s">
        <v>60495</v>
      </c>
      <c r="AFQ5" t="s">
        <v>60495</v>
      </c>
      <c r="AFS5" t="s">
        <v>60495</v>
      </c>
      <c r="AFU5" t="s">
        <v>60495</v>
      </c>
      <c r="AFW5" t="s">
        <v>60495</v>
      </c>
      <c r="AFY5" t="s">
        <v>60495</v>
      </c>
      <c r="AGA5" t="s">
        <v>60495</v>
      </c>
      <c r="AGC5" t="s">
        <v>60495</v>
      </c>
      <c r="AGE5" t="s">
        <v>60495</v>
      </c>
      <c r="AGG5" t="s">
        <v>60495</v>
      </c>
      <c r="AGI5" t="s">
        <v>60495</v>
      </c>
      <c r="AGK5" t="s">
        <v>60495</v>
      </c>
      <c r="AGM5" t="s">
        <v>60495</v>
      </c>
      <c r="AGO5" t="s">
        <v>60495</v>
      </c>
      <c r="AGQ5" t="s">
        <v>60495</v>
      </c>
      <c r="AGS5" t="s">
        <v>60495</v>
      </c>
      <c r="AGU5" t="s">
        <v>60495</v>
      </c>
      <c r="AGW5" t="s">
        <v>60495</v>
      </c>
      <c r="AGY5" t="s">
        <v>60495</v>
      </c>
      <c r="AHA5" t="s">
        <v>60495</v>
      </c>
      <c r="AHC5" t="s">
        <v>60495</v>
      </c>
      <c r="AHE5" t="s">
        <v>60495</v>
      </c>
      <c r="AHG5" t="s">
        <v>60495</v>
      </c>
      <c r="AHI5" t="s">
        <v>60495</v>
      </c>
      <c r="AHK5" t="s">
        <v>60495</v>
      </c>
      <c r="AHM5" t="s">
        <v>60495</v>
      </c>
      <c r="AHO5" t="s">
        <v>60495</v>
      </c>
      <c r="AHQ5" t="s">
        <v>60495</v>
      </c>
      <c r="AHS5" t="s">
        <v>60495</v>
      </c>
      <c r="AHU5" t="s">
        <v>60495</v>
      </c>
      <c r="AHW5" t="s">
        <v>60495</v>
      </c>
      <c r="AHY5" t="s">
        <v>60495</v>
      </c>
      <c r="AIA5" t="s">
        <v>60495</v>
      </c>
      <c r="AIC5" t="s">
        <v>6210</v>
      </c>
      <c r="AIE5" t="s">
        <v>60495</v>
      </c>
      <c r="AIG5" t="s">
        <v>60495</v>
      </c>
      <c r="AII5" t="s">
        <v>60495</v>
      </c>
      <c r="AIK5" t="s">
        <v>60495</v>
      </c>
      <c r="AIM5" t="s">
        <v>6283</v>
      </c>
      <c r="AIO5" t="s">
        <v>60495</v>
      </c>
      <c r="AIQ5" t="s">
        <v>60495</v>
      </c>
      <c r="AIS5" t="s">
        <v>60495</v>
      </c>
      <c r="AIU5" t="s">
        <v>60495</v>
      </c>
      <c r="AIW5" t="s">
        <v>60495</v>
      </c>
      <c r="AIY5" t="s">
        <v>60495</v>
      </c>
      <c r="AJA5" t="s">
        <v>60495</v>
      </c>
      <c r="AJC5" t="s">
        <v>60495</v>
      </c>
      <c r="AJE5" t="s">
        <v>60495</v>
      </c>
      <c r="AJG5" t="s">
        <v>60495</v>
      </c>
      <c r="AJI5" t="s">
        <v>60495</v>
      </c>
      <c r="AJK5" t="s">
        <v>60495</v>
      </c>
      <c r="AJM5" t="s">
        <v>60495</v>
      </c>
      <c r="AJO5" t="s">
        <v>60495</v>
      </c>
      <c r="AJQ5" t="s">
        <v>60495</v>
      </c>
      <c r="AJS5" t="s">
        <v>60495</v>
      </c>
      <c r="AJU5" t="s">
        <v>60495</v>
      </c>
      <c r="AJW5" t="s">
        <v>60495</v>
      </c>
      <c r="AJY5" t="s">
        <v>60495</v>
      </c>
      <c r="AKA5" t="s">
        <v>60495</v>
      </c>
      <c r="AKC5" t="s">
        <v>60495</v>
      </c>
      <c r="AKE5" t="s">
        <v>60495</v>
      </c>
      <c r="AKG5" t="s">
        <v>60495</v>
      </c>
      <c r="AKI5" t="s">
        <v>60495</v>
      </c>
      <c r="AKK5" t="s">
        <v>6500</v>
      </c>
      <c r="AKL5" t="s">
        <v>60495</v>
      </c>
      <c r="AKN5" t="s">
        <v>60495</v>
      </c>
      <c r="AKP5" t="s">
        <v>60495</v>
      </c>
      <c r="AKR5" t="s">
        <v>60495</v>
      </c>
      <c r="AKT5" t="s">
        <v>60495</v>
      </c>
      <c r="AKV5" t="s">
        <v>60495</v>
      </c>
      <c r="AKX5" t="s">
        <v>60495</v>
      </c>
      <c r="AKZ5" t="s">
        <v>60495</v>
      </c>
      <c r="ALB5" t="s">
        <v>60495</v>
      </c>
      <c r="ALD5" t="s">
        <v>60495</v>
      </c>
      <c r="ALF5" t="s">
        <v>60495</v>
      </c>
      <c r="ALH5" t="s">
        <v>60495</v>
      </c>
      <c r="ALJ5" t="s">
        <v>60495</v>
      </c>
      <c r="ALL5" t="s">
        <v>60495</v>
      </c>
      <c r="ALN5" t="s">
        <v>60495</v>
      </c>
      <c r="ALP5" t="s">
        <v>60495</v>
      </c>
      <c r="ALR5" t="s">
        <v>60495</v>
      </c>
      <c r="ALT5" t="s">
        <v>60495</v>
      </c>
      <c r="ALV5" t="s">
        <v>60495</v>
      </c>
      <c r="ALX5" t="s">
        <v>60495</v>
      </c>
      <c r="ALZ5" t="s">
        <v>60495</v>
      </c>
      <c r="AMB5" t="s">
        <v>60495</v>
      </c>
      <c r="AMD5" t="s">
        <v>60495</v>
      </c>
      <c r="AMF5" t="s">
        <v>60495</v>
      </c>
      <c r="AMH5" t="s">
        <v>60495</v>
      </c>
      <c r="AMJ5" t="s">
        <v>60495</v>
      </c>
      <c r="AML5" t="s">
        <v>6739</v>
      </c>
      <c r="AMM5" t="s">
        <v>60495</v>
      </c>
      <c r="AMO5" t="s">
        <v>60495</v>
      </c>
      <c r="AMQ5" t="s">
        <v>60495</v>
      </c>
      <c r="AMS5" t="s">
        <v>60495</v>
      </c>
      <c r="AMU5" t="s">
        <v>60495</v>
      </c>
      <c r="AMW5" t="s">
        <v>60495</v>
      </c>
      <c r="AMY5" t="s">
        <v>60495</v>
      </c>
      <c r="ANA5" t="s">
        <v>60495</v>
      </c>
      <c r="ANC5" t="s">
        <v>60495</v>
      </c>
      <c r="ANE5" t="s">
        <v>60495</v>
      </c>
      <c r="ANG5" t="s">
        <v>60495</v>
      </c>
      <c r="ANI5" t="s">
        <v>60495</v>
      </c>
      <c r="ANK5" t="s">
        <v>60495</v>
      </c>
      <c r="ANM5" t="s">
        <v>60495</v>
      </c>
      <c r="ANO5" t="s">
        <v>60495</v>
      </c>
      <c r="ANQ5" t="s">
        <v>60495</v>
      </c>
      <c r="ANS5" t="s">
        <v>60495</v>
      </c>
      <c r="ANU5" t="s">
        <v>60495</v>
      </c>
      <c r="ANW5" t="s">
        <v>6885</v>
      </c>
      <c r="ANX5" t="s">
        <v>60495</v>
      </c>
      <c r="ANZ5" t="s">
        <v>60495</v>
      </c>
      <c r="AOB5" t="s">
        <v>60495</v>
      </c>
      <c r="AOD5" t="s">
        <v>60495</v>
      </c>
      <c r="AOF5" t="s">
        <v>60495</v>
      </c>
      <c r="AOH5" t="s">
        <v>60495</v>
      </c>
      <c r="AOJ5" t="s">
        <v>60495</v>
      </c>
      <c r="AOL5" t="s">
        <v>60495</v>
      </c>
      <c r="AON5" t="s">
        <v>60495</v>
      </c>
      <c r="AOP5" t="s">
        <v>60495</v>
      </c>
      <c r="AOR5" t="s">
        <v>60495</v>
      </c>
      <c r="AOT5" t="s">
        <v>60495</v>
      </c>
      <c r="AOV5" t="s">
        <v>6911</v>
      </c>
      <c r="AOX5" t="s">
        <v>60495</v>
      </c>
      <c r="AOZ5" t="s">
        <v>60495</v>
      </c>
      <c r="APB5" t="s">
        <v>60495</v>
      </c>
      <c r="APD5" t="s">
        <v>60495</v>
      </c>
      <c r="APF5" t="s">
        <v>60495</v>
      </c>
      <c r="APH5" t="s">
        <v>60495</v>
      </c>
      <c r="APJ5" t="s">
        <v>60495</v>
      </c>
      <c r="APL5" t="s">
        <v>60495</v>
      </c>
      <c r="APN5" t="s">
        <v>60495</v>
      </c>
      <c r="APP5" t="s">
        <v>60495</v>
      </c>
      <c r="APR5" t="s">
        <v>60495</v>
      </c>
      <c r="APT5" t="s">
        <v>60495</v>
      </c>
      <c r="APV5" t="s">
        <v>7133</v>
      </c>
      <c r="APW5" t="s">
        <v>60495</v>
      </c>
      <c r="APY5" t="s">
        <v>60495</v>
      </c>
      <c r="AQA5" t="s">
        <v>60495</v>
      </c>
      <c r="AQC5" t="s">
        <v>7282</v>
      </c>
      <c r="AQD5" t="s">
        <v>60495</v>
      </c>
      <c r="AQF5" t="s">
        <v>60495</v>
      </c>
      <c r="AQH5" t="s">
        <v>60495</v>
      </c>
      <c r="AQJ5" t="s">
        <v>60495</v>
      </c>
      <c r="AQL5" t="s">
        <v>60495</v>
      </c>
      <c r="AQN5" t="s">
        <v>60495</v>
      </c>
      <c r="AQP5" t="s">
        <v>60495</v>
      </c>
      <c r="AQR5" t="s">
        <v>60495</v>
      </c>
      <c r="AQT5" t="s">
        <v>60495</v>
      </c>
      <c r="AQV5" t="s">
        <v>60495</v>
      </c>
      <c r="AQX5" t="s">
        <v>60495</v>
      </c>
      <c r="AQZ5" t="s">
        <v>60495</v>
      </c>
      <c r="ARB5" t="s">
        <v>60495</v>
      </c>
      <c r="ARD5" t="s">
        <v>60495</v>
      </c>
      <c r="ARF5" t="s">
        <v>60495</v>
      </c>
      <c r="ARH5" t="s">
        <v>60495</v>
      </c>
      <c r="ARJ5" t="s">
        <v>60495</v>
      </c>
      <c r="ARL5" t="s">
        <v>60495</v>
      </c>
      <c r="ARN5" t="s">
        <v>60495</v>
      </c>
      <c r="ARP5" t="s">
        <v>60495</v>
      </c>
      <c r="ARR5" t="s">
        <v>60495</v>
      </c>
      <c r="ART5" t="s">
        <v>60495</v>
      </c>
      <c r="ARV5" t="s">
        <v>60495</v>
      </c>
      <c r="ARX5" t="s">
        <v>60495</v>
      </c>
      <c r="ARZ5" t="s">
        <v>60495</v>
      </c>
      <c r="ASB5" t="s">
        <v>1753</v>
      </c>
      <c r="ASC5" t="s">
        <v>60495</v>
      </c>
      <c r="ASE5" t="s">
        <v>60495</v>
      </c>
      <c r="ASG5" t="s">
        <v>7698</v>
      </c>
      <c r="ASH5" t="s">
        <v>60495</v>
      </c>
      <c r="ASJ5" t="s">
        <v>60495</v>
      </c>
      <c r="ASL5" t="s">
        <v>60495</v>
      </c>
      <c r="ASN5" t="s">
        <v>60495</v>
      </c>
      <c r="ASP5" t="s">
        <v>60495</v>
      </c>
      <c r="ASR5" t="s">
        <v>7721</v>
      </c>
      <c r="AST5" t="s">
        <v>60495</v>
      </c>
      <c r="ASV5" t="s">
        <v>60495</v>
      </c>
      <c r="ASX5" t="s">
        <v>60495</v>
      </c>
      <c r="ASZ5" t="s">
        <v>60495</v>
      </c>
      <c r="ATB5" t="s">
        <v>60495</v>
      </c>
      <c r="ATD5" t="s">
        <v>60495</v>
      </c>
      <c r="ATF5" t="s">
        <v>60495</v>
      </c>
      <c r="ATH5" t="s">
        <v>60495</v>
      </c>
      <c r="ATJ5" t="s">
        <v>60495</v>
      </c>
      <c r="ATL5" t="s">
        <v>60495</v>
      </c>
      <c r="ATN5" t="s">
        <v>60495</v>
      </c>
      <c r="ATP5" t="s">
        <v>60495</v>
      </c>
      <c r="ATR5" t="s">
        <v>60495</v>
      </c>
      <c r="ATT5" t="s">
        <v>60495</v>
      </c>
      <c r="ATV5" t="s">
        <v>60495</v>
      </c>
      <c r="ATX5" t="s">
        <v>60495</v>
      </c>
      <c r="ATZ5" t="s">
        <v>2759</v>
      </c>
      <c r="AUA5" t="s">
        <v>60495</v>
      </c>
      <c r="AUC5" t="s">
        <v>60495</v>
      </c>
      <c r="AUE5" t="s">
        <v>60495</v>
      </c>
      <c r="AUG5" t="s">
        <v>60495</v>
      </c>
      <c r="AUI5" t="s">
        <v>60495</v>
      </c>
      <c r="AUK5" t="s">
        <v>60495</v>
      </c>
      <c r="AUM5" t="s">
        <v>60495</v>
      </c>
      <c r="AUO5" t="s">
        <v>60495</v>
      </c>
      <c r="AUQ5" t="s">
        <v>60495</v>
      </c>
      <c r="AUS5" t="s">
        <v>60495</v>
      </c>
      <c r="AUU5" t="s">
        <v>60495</v>
      </c>
      <c r="AUW5" t="s">
        <v>60495</v>
      </c>
      <c r="AUY5" t="s">
        <v>60495</v>
      </c>
      <c r="AVA5" t="s">
        <v>60495</v>
      </c>
      <c r="AVC5" t="s">
        <v>60495</v>
      </c>
      <c r="AVE5" t="s">
        <v>60495</v>
      </c>
      <c r="AVG5" t="s">
        <v>60495</v>
      </c>
      <c r="AVI5" t="s">
        <v>60495</v>
      </c>
      <c r="AVK5" t="s">
        <v>8330</v>
      </c>
      <c r="AVM5" t="s">
        <v>60495</v>
      </c>
      <c r="AVO5" t="s">
        <v>60495</v>
      </c>
      <c r="AVQ5" t="s">
        <v>60495</v>
      </c>
      <c r="AVS5" t="s">
        <v>60495</v>
      </c>
      <c r="AVU5" t="s">
        <v>60495</v>
      </c>
      <c r="AVW5" t="s">
        <v>8429</v>
      </c>
      <c r="AVY5" t="s">
        <v>60495</v>
      </c>
      <c r="AWA5" t="s">
        <v>60495</v>
      </c>
      <c r="AWC5" t="s">
        <v>60495</v>
      </c>
      <c r="AWE5" t="s">
        <v>8496</v>
      </c>
      <c r="AWG5" t="s">
        <v>60495</v>
      </c>
      <c r="AWI5" t="s">
        <v>8525</v>
      </c>
      <c r="AWK5" t="s">
        <v>60495</v>
      </c>
      <c r="AWM5" t="s">
        <v>60495</v>
      </c>
      <c r="AWO5" t="s">
        <v>60495</v>
      </c>
      <c r="AWQ5" t="s">
        <v>60495</v>
      </c>
      <c r="AWS5" t="s">
        <v>8644</v>
      </c>
      <c r="AWU5" t="s">
        <v>60495</v>
      </c>
      <c r="AWW5" t="s">
        <v>60495</v>
      </c>
      <c r="AWY5" t="s">
        <v>60495</v>
      </c>
      <c r="AXA5" t="s">
        <v>60495</v>
      </c>
      <c r="AXC5" t="s">
        <v>60495</v>
      </c>
      <c r="AXE5" t="s">
        <v>60495</v>
      </c>
      <c r="AXG5" t="s">
        <v>60495</v>
      </c>
      <c r="AXI5" t="s">
        <v>60495</v>
      </c>
      <c r="AXK5" t="s">
        <v>493</v>
      </c>
      <c r="AXL5" t="s">
        <v>60495</v>
      </c>
      <c r="AXN5" t="s">
        <v>55225</v>
      </c>
      <c r="AXO5" t="s">
        <v>60495</v>
      </c>
      <c r="AXQ5" t="s">
        <v>60495</v>
      </c>
      <c r="AXS5" t="s">
        <v>8897</v>
      </c>
      <c r="AXU5" t="s">
        <v>60495</v>
      </c>
      <c r="AXW5" t="s">
        <v>60495</v>
      </c>
      <c r="AXY5" t="s">
        <v>60495</v>
      </c>
      <c r="AYA5" t="s">
        <v>60495</v>
      </c>
      <c r="AYC5" t="s">
        <v>60495</v>
      </c>
      <c r="AYE5" t="s">
        <v>60495</v>
      </c>
      <c r="AYG5" t="s">
        <v>60495</v>
      </c>
      <c r="AYI5" t="s">
        <v>60495</v>
      </c>
      <c r="AYK5" t="s">
        <v>60495</v>
      </c>
      <c r="AYM5" t="s">
        <v>60495</v>
      </c>
      <c r="AYO5" t="s">
        <v>60495</v>
      </c>
      <c r="AYQ5" t="s">
        <v>60495</v>
      </c>
      <c r="AYS5" t="s">
        <v>60495</v>
      </c>
      <c r="AYU5" t="s">
        <v>60495</v>
      </c>
      <c r="AYW5" t="s">
        <v>60495</v>
      </c>
      <c r="AYY5" t="s">
        <v>60495</v>
      </c>
      <c r="AZA5" t="s">
        <v>60495</v>
      </c>
      <c r="AZC5" t="s">
        <v>60495</v>
      </c>
      <c r="AZE5" t="s">
        <v>60495</v>
      </c>
      <c r="AZG5" t="s">
        <v>60495</v>
      </c>
      <c r="AZI5" t="s">
        <v>60495</v>
      </c>
      <c r="AZK5" t="s">
        <v>60495</v>
      </c>
      <c r="AZM5" t="s">
        <v>60495</v>
      </c>
      <c r="AZO5" t="s">
        <v>60495</v>
      </c>
      <c r="AZQ5" t="s">
        <v>60495</v>
      </c>
      <c r="AZS5" t="s">
        <v>60495</v>
      </c>
      <c r="AZU5" t="s">
        <v>60495</v>
      </c>
      <c r="AZW5" t="s">
        <v>60495</v>
      </c>
      <c r="AZY5" t="s">
        <v>60495</v>
      </c>
      <c r="BAA5" t="s">
        <v>60495</v>
      </c>
      <c r="BAC5" t="s">
        <v>60495</v>
      </c>
      <c r="BAE5" t="s">
        <v>60495</v>
      </c>
      <c r="BAG5" t="s">
        <v>60495</v>
      </c>
      <c r="BAI5" t="s">
        <v>60495</v>
      </c>
      <c r="BAK5" t="s">
        <v>60495</v>
      </c>
      <c r="BAM5" t="s">
        <v>60495</v>
      </c>
      <c r="BAO5" t="s">
        <v>60495</v>
      </c>
      <c r="BAQ5" t="s">
        <v>60495</v>
      </c>
      <c r="BAS5" t="s">
        <v>60495</v>
      </c>
      <c r="BAU5" t="s">
        <v>60495</v>
      </c>
      <c r="BAW5" t="s">
        <v>60495</v>
      </c>
      <c r="BAY5" t="s">
        <v>60495</v>
      </c>
      <c r="BBA5" t="s">
        <v>60495</v>
      </c>
      <c r="BBC5" t="s">
        <v>60495</v>
      </c>
      <c r="BBE5" t="s">
        <v>60495</v>
      </c>
      <c r="BBG5" t="s">
        <v>60495</v>
      </c>
      <c r="BBI5" t="s">
        <v>60495</v>
      </c>
      <c r="BBK5" t="s">
        <v>60495</v>
      </c>
      <c r="BBM5" t="s">
        <v>60495</v>
      </c>
      <c r="BBO5" t="s">
        <v>60495</v>
      </c>
      <c r="BBQ5" t="s">
        <v>60495</v>
      </c>
      <c r="BBS5" t="s">
        <v>60495</v>
      </c>
      <c r="BBU5" t="s">
        <v>60495</v>
      </c>
      <c r="BBW5" t="s">
        <v>60495</v>
      </c>
      <c r="BBY5" t="s">
        <v>60495</v>
      </c>
      <c r="BCA5" t="s">
        <v>60495</v>
      </c>
      <c r="BCC5" t="s">
        <v>60495</v>
      </c>
      <c r="BCE5" t="s">
        <v>60495</v>
      </c>
      <c r="BCG5" t="s">
        <v>60495</v>
      </c>
      <c r="BCI5" t="s">
        <v>60495</v>
      </c>
      <c r="BCK5" t="s">
        <v>60495</v>
      </c>
      <c r="BCM5" t="s">
        <v>60495</v>
      </c>
      <c r="BCO5" t="s">
        <v>60495</v>
      </c>
      <c r="BCQ5" t="s">
        <v>60495</v>
      </c>
      <c r="BCS5" t="s">
        <v>60495</v>
      </c>
      <c r="BCU5" t="s">
        <v>60495</v>
      </c>
      <c r="BCW5" t="s">
        <v>60495</v>
      </c>
      <c r="BCY5" t="s">
        <v>60495</v>
      </c>
      <c r="BDA5" t="s">
        <v>60495</v>
      </c>
      <c r="BDC5" t="s">
        <v>60495</v>
      </c>
      <c r="BDE5" t="s">
        <v>60495</v>
      </c>
      <c r="BDG5" t="s">
        <v>60495</v>
      </c>
      <c r="BDI5" t="s">
        <v>60495</v>
      </c>
      <c r="BDK5" t="s">
        <v>60495</v>
      </c>
      <c r="BDM5" t="s">
        <v>60495</v>
      </c>
      <c r="BDO5" t="s">
        <v>60495</v>
      </c>
      <c r="BDQ5" t="s">
        <v>60495</v>
      </c>
      <c r="BDS5" t="s">
        <v>60495</v>
      </c>
      <c r="BDU5" t="s">
        <v>60495</v>
      </c>
      <c r="BDW5" t="s">
        <v>60495</v>
      </c>
      <c r="BDY5" t="s">
        <v>60495</v>
      </c>
      <c r="BEA5" t="s">
        <v>10188</v>
      </c>
      <c r="BEB5" t="s">
        <v>60495</v>
      </c>
      <c r="BED5" t="s">
        <v>60495</v>
      </c>
      <c r="BEF5" t="s">
        <v>60495</v>
      </c>
      <c r="BEH5" t="s">
        <v>60495</v>
      </c>
      <c r="BEJ5" t="s">
        <v>60495</v>
      </c>
      <c r="BEL5" t="s">
        <v>60495</v>
      </c>
      <c r="BEN5" t="s">
        <v>60495</v>
      </c>
      <c r="BEP5" t="s">
        <v>60495</v>
      </c>
      <c r="BER5" t="s">
        <v>60495</v>
      </c>
      <c r="BET5" t="s">
        <v>9509</v>
      </c>
      <c r="BEU5" t="s">
        <v>60495</v>
      </c>
      <c r="BEW5" t="s">
        <v>60495</v>
      </c>
      <c r="BEY5" t="s">
        <v>8303</v>
      </c>
      <c r="BEZ5" t="s">
        <v>60495</v>
      </c>
      <c r="BFB5" t="s">
        <v>60495</v>
      </c>
      <c r="BFD5" t="s">
        <v>60495</v>
      </c>
      <c r="BFF5" t="s">
        <v>60495</v>
      </c>
      <c r="BFH5" t="s">
        <v>60495</v>
      </c>
      <c r="BFJ5" t="s">
        <v>60495</v>
      </c>
      <c r="BFL5" t="s">
        <v>60495</v>
      </c>
      <c r="BFN5" t="s">
        <v>60495</v>
      </c>
      <c r="BFP5" t="s">
        <v>60495</v>
      </c>
      <c r="BFR5" t="s">
        <v>10470</v>
      </c>
      <c r="BFT5" t="s">
        <v>60495</v>
      </c>
      <c r="BFV5" t="s">
        <v>60495</v>
      </c>
      <c r="BFX5" t="s">
        <v>60495</v>
      </c>
      <c r="BFZ5" t="s">
        <v>60495</v>
      </c>
      <c r="BGB5" t="s">
        <v>60495</v>
      </c>
      <c r="BGD5" t="s">
        <v>60495</v>
      </c>
      <c r="BGF5" t="s">
        <v>60495</v>
      </c>
      <c r="BGH5" t="s">
        <v>60495</v>
      </c>
      <c r="BGJ5" t="s">
        <v>60495</v>
      </c>
      <c r="BGL5" t="s">
        <v>60495</v>
      </c>
      <c r="BGN5" t="s">
        <v>60495</v>
      </c>
      <c r="BGP5" t="s">
        <v>60495</v>
      </c>
      <c r="BGR5" t="s">
        <v>60495</v>
      </c>
      <c r="BGT5" t="s">
        <v>60495</v>
      </c>
      <c r="BGV5" t="s">
        <v>60495</v>
      </c>
      <c r="BGX5" t="s">
        <v>60495</v>
      </c>
      <c r="BGZ5" t="s">
        <v>60495</v>
      </c>
      <c r="BHB5" t="s">
        <v>5403</v>
      </c>
      <c r="BHD5" t="s">
        <v>60495</v>
      </c>
      <c r="BHF5" t="s">
        <v>60495</v>
      </c>
      <c r="BHH5" t="s">
        <v>60495</v>
      </c>
      <c r="BHJ5" t="s">
        <v>10920</v>
      </c>
      <c r="BHL5" t="s">
        <v>60495</v>
      </c>
      <c r="BHN5" t="s">
        <v>60495</v>
      </c>
      <c r="BHP5" t="s">
        <v>60495</v>
      </c>
      <c r="BHR5" t="s">
        <v>60495</v>
      </c>
      <c r="BHT5" t="s">
        <v>60495</v>
      </c>
      <c r="BHV5" t="s">
        <v>60495</v>
      </c>
      <c r="BHX5" t="s">
        <v>60495</v>
      </c>
      <c r="BHZ5" t="s">
        <v>60495</v>
      </c>
      <c r="BIB5" t="s">
        <v>60495</v>
      </c>
      <c r="BID5" t="s">
        <v>60495</v>
      </c>
      <c r="BIF5" t="s">
        <v>60495</v>
      </c>
      <c r="BIH5" t="s">
        <v>60495</v>
      </c>
      <c r="BIJ5" t="s">
        <v>60495</v>
      </c>
      <c r="BIL5" t="s">
        <v>60495</v>
      </c>
      <c r="BIN5" t="s">
        <v>60495</v>
      </c>
      <c r="BIP5" t="s">
        <v>60495</v>
      </c>
      <c r="BIR5" t="s">
        <v>60495</v>
      </c>
      <c r="BIT5" t="s">
        <v>60495</v>
      </c>
      <c r="BIV5" t="s">
        <v>60495</v>
      </c>
      <c r="BIX5" t="s">
        <v>60495</v>
      </c>
      <c r="BIZ5" t="s">
        <v>60495</v>
      </c>
      <c r="BJB5" t="s">
        <v>11295</v>
      </c>
      <c r="BJD5" t="s">
        <v>60495</v>
      </c>
      <c r="BJF5" t="s">
        <v>60495</v>
      </c>
      <c r="BJH5" t="s">
        <v>60495</v>
      </c>
      <c r="BJJ5" t="s">
        <v>60495</v>
      </c>
      <c r="BJL5" t="s">
        <v>60495</v>
      </c>
      <c r="BJN5" t="s">
        <v>60495</v>
      </c>
      <c r="BJP5" t="s">
        <v>60495</v>
      </c>
      <c r="BJR5" t="s">
        <v>60495</v>
      </c>
      <c r="BJT5" t="s">
        <v>60495</v>
      </c>
      <c r="BJV5" t="s">
        <v>60495</v>
      </c>
      <c r="BJX5" t="s">
        <v>60495</v>
      </c>
      <c r="BJZ5" t="s">
        <v>60495</v>
      </c>
      <c r="BKB5" t="s">
        <v>60495</v>
      </c>
      <c r="BKD5" t="s">
        <v>60495</v>
      </c>
      <c r="BKF5" t="s">
        <v>60495</v>
      </c>
      <c r="BKH5" t="s">
        <v>60495</v>
      </c>
      <c r="BKJ5" t="s">
        <v>60495</v>
      </c>
      <c r="BKL5" t="s">
        <v>60495</v>
      </c>
      <c r="BKN5" t="s">
        <v>60495</v>
      </c>
      <c r="BKP5" t="s">
        <v>60495</v>
      </c>
      <c r="BKR5" t="s">
        <v>60495</v>
      </c>
      <c r="BKT5" t="s">
        <v>60495</v>
      </c>
      <c r="BKV5" t="s">
        <v>60495</v>
      </c>
      <c r="BKX5" t="s">
        <v>60495</v>
      </c>
      <c r="BKZ5" t="s">
        <v>60495</v>
      </c>
      <c r="BLB5" t="s">
        <v>60495</v>
      </c>
      <c r="BLD5" t="s">
        <v>60495</v>
      </c>
      <c r="BLF5" t="s">
        <v>60495</v>
      </c>
      <c r="BLH5" t="s">
        <v>60495</v>
      </c>
      <c r="BLJ5" t="s">
        <v>60495</v>
      </c>
      <c r="BLL5" t="s">
        <v>60495</v>
      </c>
      <c r="BLN5" t="s">
        <v>60495</v>
      </c>
      <c r="BLP5" t="s">
        <v>60495</v>
      </c>
      <c r="BLR5" t="s">
        <v>60495</v>
      </c>
      <c r="BLT5" t="s">
        <v>60495</v>
      </c>
      <c r="BLV5" t="s">
        <v>60495</v>
      </c>
      <c r="BLX5" t="s">
        <v>60495</v>
      </c>
      <c r="BLZ5" t="s">
        <v>60495</v>
      </c>
      <c r="BMB5" t="s">
        <v>60495</v>
      </c>
      <c r="BMD5" t="s">
        <v>60495</v>
      </c>
      <c r="BMF5" t="s">
        <v>60495</v>
      </c>
      <c r="BMH5" t="s">
        <v>60495</v>
      </c>
      <c r="BMJ5" t="s">
        <v>60495</v>
      </c>
      <c r="BML5" t="s">
        <v>60495</v>
      </c>
      <c r="BMN5" t="s">
        <v>60495</v>
      </c>
      <c r="BMP5" t="s">
        <v>11726</v>
      </c>
      <c r="BMQ5" t="s">
        <v>60495</v>
      </c>
      <c r="BMS5" t="s">
        <v>60495</v>
      </c>
      <c r="BMU5" t="s">
        <v>60495</v>
      </c>
      <c r="BMW5" t="s">
        <v>60495</v>
      </c>
      <c r="BMY5" t="s">
        <v>60495</v>
      </c>
      <c r="BNA5" t="s">
        <v>60495</v>
      </c>
      <c r="BNC5" t="s">
        <v>60495</v>
      </c>
      <c r="BNE5" t="s">
        <v>11895</v>
      </c>
      <c r="BNF5" t="s">
        <v>60495</v>
      </c>
      <c r="BNH5" t="s">
        <v>60495</v>
      </c>
      <c r="BNJ5" t="s">
        <v>60495</v>
      </c>
      <c r="BNL5" t="s">
        <v>60495</v>
      </c>
      <c r="BNN5" t="s">
        <v>60495</v>
      </c>
      <c r="BNP5" t="s">
        <v>60495</v>
      </c>
      <c r="BNR5" t="s">
        <v>3178</v>
      </c>
      <c r="BNS5" t="s">
        <v>60495</v>
      </c>
      <c r="BNU5" t="s">
        <v>60495</v>
      </c>
      <c r="BNW5" t="s">
        <v>60495</v>
      </c>
      <c r="BNY5" t="s">
        <v>60495</v>
      </c>
      <c r="BOA5" t="s">
        <v>60495</v>
      </c>
      <c r="BOC5" t="s">
        <v>60495</v>
      </c>
      <c r="BOE5" t="s">
        <v>60495</v>
      </c>
      <c r="BOG5" t="s">
        <v>60495</v>
      </c>
      <c r="BOI5" t="s">
        <v>60495</v>
      </c>
      <c r="BOK5" t="s">
        <v>23207</v>
      </c>
      <c r="BOM5" t="s">
        <v>60495</v>
      </c>
      <c r="BOO5" t="s">
        <v>60495</v>
      </c>
      <c r="BOQ5" t="s">
        <v>60495</v>
      </c>
      <c r="BOS5" t="s">
        <v>60495</v>
      </c>
      <c r="BOU5" t="s">
        <v>60495</v>
      </c>
      <c r="BOW5" t="s">
        <v>60495</v>
      </c>
      <c r="BOY5" t="s">
        <v>60495</v>
      </c>
      <c r="BPA5" t="s">
        <v>60495</v>
      </c>
      <c r="BPC5" t="s">
        <v>60495</v>
      </c>
      <c r="BPE5" t="s">
        <v>60495</v>
      </c>
      <c r="BPG5" t="s">
        <v>60495</v>
      </c>
      <c r="BPI5" t="s">
        <v>60495</v>
      </c>
      <c r="BPK5" t="s">
        <v>60495</v>
      </c>
      <c r="BPM5" t="s">
        <v>60495</v>
      </c>
      <c r="BPO5" t="s">
        <v>60495</v>
      </c>
      <c r="BPQ5" t="s">
        <v>60495</v>
      </c>
      <c r="BPS5" t="s">
        <v>60495</v>
      </c>
      <c r="BPU5" t="s">
        <v>60495</v>
      </c>
      <c r="BPW5" t="s">
        <v>60495</v>
      </c>
      <c r="BPY5" t="s">
        <v>60495</v>
      </c>
      <c r="BQA5" t="s">
        <v>60495</v>
      </c>
      <c r="BQC5" t="s">
        <v>60495</v>
      </c>
      <c r="BQE5" t="s">
        <v>12308</v>
      </c>
      <c r="BQF5" t="s">
        <v>60495</v>
      </c>
      <c r="BQH5" t="s">
        <v>60495</v>
      </c>
      <c r="BQJ5" t="s">
        <v>60495</v>
      </c>
      <c r="BQL5" t="s">
        <v>60495</v>
      </c>
      <c r="BQN5" t="s">
        <v>60495</v>
      </c>
      <c r="BQP5" t="s">
        <v>60495</v>
      </c>
      <c r="BQR5" t="s">
        <v>60495</v>
      </c>
      <c r="BQT5" t="s">
        <v>60495</v>
      </c>
      <c r="BQV5" t="s">
        <v>60495</v>
      </c>
      <c r="BQX5" t="s">
        <v>60495</v>
      </c>
      <c r="BQZ5" t="s">
        <v>60495</v>
      </c>
      <c r="BRB5" t="s">
        <v>60495</v>
      </c>
      <c r="BRD5" t="s">
        <v>60495</v>
      </c>
      <c r="BRF5" t="s">
        <v>60495</v>
      </c>
      <c r="BRH5" t="s">
        <v>12571</v>
      </c>
      <c r="BRI5" t="s">
        <v>60495</v>
      </c>
      <c r="BRK5" t="s">
        <v>60495</v>
      </c>
      <c r="BRM5" t="s">
        <v>60495</v>
      </c>
      <c r="BRO5" t="s">
        <v>60495</v>
      </c>
      <c r="BRQ5" t="s">
        <v>60495</v>
      </c>
      <c r="BRS5" t="s">
        <v>60495</v>
      </c>
      <c r="BRU5" t="s">
        <v>60495</v>
      </c>
      <c r="BRW5" t="s">
        <v>60495</v>
      </c>
      <c r="BRY5" t="s">
        <v>60495</v>
      </c>
      <c r="BSA5" t="s">
        <v>60495</v>
      </c>
      <c r="BSC5" t="s">
        <v>60495</v>
      </c>
      <c r="BSE5" t="s">
        <v>60495</v>
      </c>
      <c r="BSG5" t="s">
        <v>60495</v>
      </c>
      <c r="BSI5" t="s">
        <v>60495</v>
      </c>
      <c r="BSK5" t="s">
        <v>10572</v>
      </c>
      <c r="BSM5" t="s">
        <v>60495</v>
      </c>
      <c r="BSO5" t="s">
        <v>60495</v>
      </c>
      <c r="BSQ5" t="s">
        <v>60495</v>
      </c>
      <c r="BSS5" t="s">
        <v>60495</v>
      </c>
      <c r="BSU5" t="s">
        <v>60495</v>
      </c>
      <c r="BSW5" t="s">
        <v>60495</v>
      </c>
      <c r="BSY5" t="s">
        <v>60495</v>
      </c>
      <c r="BTA5" t="s">
        <v>60495</v>
      </c>
      <c r="BTC5" t="s">
        <v>60495</v>
      </c>
      <c r="BTE5" t="s">
        <v>60495</v>
      </c>
      <c r="BTG5" t="s">
        <v>60495</v>
      </c>
      <c r="BTI5" t="s">
        <v>60495</v>
      </c>
      <c r="BTK5" t="s">
        <v>60495</v>
      </c>
      <c r="BTM5" t="s">
        <v>60495</v>
      </c>
      <c r="BTO5" t="s">
        <v>60495</v>
      </c>
      <c r="BTQ5" t="s">
        <v>60495</v>
      </c>
      <c r="BTS5" t="s">
        <v>60495</v>
      </c>
      <c r="BTU5" t="s">
        <v>60495</v>
      </c>
      <c r="BTW5" t="s">
        <v>60495</v>
      </c>
      <c r="BTY5" t="s">
        <v>60495</v>
      </c>
      <c r="BUA5" t="s">
        <v>60495</v>
      </c>
      <c r="BUC5" t="s">
        <v>60495</v>
      </c>
      <c r="BUE5" t="s">
        <v>60495</v>
      </c>
      <c r="BUG5" t="s">
        <v>60495</v>
      </c>
      <c r="BUI5" t="s">
        <v>60495</v>
      </c>
      <c r="BUK5" t="s">
        <v>60495</v>
      </c>
      <c r="BUM5" t="s">
        <v>60495</v>
      </c>
      <c r="BUO5" t="s">
        <v>60495</v>
      </c>
      <c r="BUQ5" t="s">
        <v>60495</v>
      </c>
      <c r="BUS5" t="s">
        <v>13328</v>
      </c>
      <c r="BUT5" t="s">
        <v>13336</v>
      </c>
      <c r="BUV5" t="s">
        <v>13366</v>
      </c>
      <c r="BUW5" t="s">
        <v>60495</v>
      </c>
      <c r="BUY5" t="s">
        <v>60495</v>
      </c>
      <c r="BVA5" t="s">
        <v>60495</v>
      </c>
      <c r="BVC5" t="s">
        <v>60495</v>
      </c>
      <c r="BVE5" t="s">
        <v>60495</v>
      </c>
      <c r="BVG5" t="s">
        <v>60495</v>
      </c>
      <c r="BVI5" t="s">
        <v>60495</v>
      </c>
      <c r="BVK5" t="s">
        <v>60495</v>
      </c>
      <c r="BVM5" t="s">
        <v>60495</v>
      </c>
      <c r="BVO5" t="s">
        <v>60495</v>
      </c>
      <c r="BVQ5" t="s">
        <v>60495</v>
      </c>
      <c r="BVS5" t="s">
        <v>60495</v>
      </c>
      <c r="BVU5" t="s">
        <v>60495</v>
      </c>
      <c r="BVW5" t="s">
        <v>60495</v>
      </c>
      <c r="BVY5" t="s">
        <v>60495</v>
      </c>
      <c r="BWA5" t="s">
        <v>60495</v>
      </c>
      <c r="BWC5" t="s">
        <v>60495</v>
      </c>
      <c r="BWE5" t="s">
        <v>60495</v>
      </c>
      <c r="BWG5" t="s">
        <v>60495</v>
      </c>
      <c r="BWI5" t="s">
        <v>60495</v>
      </c>
      <c r="BWK5" t="s">
        <v>60495</v>
      </c>
      <c r="BWM5" t="s">
        <v>60495</v>
      </c>
      <c r="BWO5" t="s">
        <v>60495</v>
      </c>
      <c r="BWQ5" t="s">
        <v>60495</v>
      </c>
      <c r="BWS5" t="s">
        <v>60495</v>
      </c>
      <c r="BWU5" t="s">
        <v>60495</v>
      </c>
      <c r="BWW5" t="s">
        <v>60495</v>
      </c>
      <c r="BWY5" t="s">
        <v>60495</v>
      </c>
      <c r="BXA5" t="s">
        <v>60495</v>
      </c>
      <c r="BXC5" t="s">
        <v>60495</v>
      </c>
      <c r="BXE5" t="s">
        <v>60495</v>
      </c>
      <c r="BXG5" t="s">
        <v>60495</v>
      </c>
      <c r="BXI5" t="s">
        <v>60495</v>
      </c>
      <c r="BXK5" t="s">
        <v>60495</v>
      </c>
      <c r="BXM5" t="s">
        <v>60495</v>
      </c>
      <c r="BXO5" t="s">
        <v>60495</v>
      </c>
      <c r="BXQ5" t="s">
        <v>60495</v>
      </c>
      <c r="BXS5" t="s">
        <v>60495</v>
      </c>
      <c r="BXU5" t="s">
        <v>60495</v>
      </c>
      <c r="BXW5" t="s">
        <v>60495</v>
      </c>
      <c r="BXY5" t="s">
        <v>60495</v>
      </c>
      <c r="BYA5" t="s">
        <v>60495</v>
      </c>
      <c r="BYC5" t="s">
        <v>60495</v>
      </c>
      <c r="BYE5" t="s">
        <v>60495</v>
      </c>
      <c r="BYG5" t="s">
        <v>60495</v>
      </c>
      <c r="BYI5" t="s">
        <v>60495</v>
      </c>
      <c r="BYK5" t="s">
        <v>60495</v>
      </c>
      <c r="BYM5" t="s">
        <v>60495</v>
      </c>
      <c r="BYO5" t="s">
        <v>60495</v>
      </c>
      <c r="BYQ5" t="s">
        <v>60495</v>
      </c>
      <c r="BYS5" t="s">
        <v>60495</v>
      </c>
      <c r="BYU5" t="s">
        <v>60495</v>
      </c>
      <c r="BYW5" t="s">
        <v>60495</v>
      </c>
      <c r="BYY5" t="s">
        <v>60495</v>
      </c>
      <c r="BZA5" t="s">
        <v>60495</v>
      </c>
      <c r="BZC5" t="s">
        <v>60495</v>
      </c>
      <c r="BZE5" t="s">
        <v>60495</v>
      </c>
      <c r="BZG5" t="s">
        <v>60495</v>
      </c>
      <c r="BZI5" t="s">
        <v>13573</v>
      </c>
      <c r="BZJ5" t="s">
        <v>60495</v>
      </c>
      <c r="BZL5" t="s">
        <v>3495</v>
      </c>
      <c r="BZM5" t="s">
        <v>60495</v>
      </c>
      <c r="BZO5" t="s">
        <v>60495</v>
      </c>
      <c r="BZQ5" t="s">
        <v>7526</v>
      </c>
      <c r="BZS5" t="s">
        <v>60495</v>
      </c>
      <c r="BZU5" t="s">
        <v>60495</v>
      </c>
      <c r="BZW5" t="s">
        <v>60495</v>
      </c>
      <c r="BZY5" t="s">
        <v>60495</v>
      </c>
      <c r="CAA5" t="s">
        <v>60495</v>
      </c>
      <c r="CAC5" t="s">
        <v>60495</v>
      </c>
      <c r="CAE5" t="s">
        <v>60495</v>
      </c>
      <c r="CAG5" t="s">
        <v>60495</v>
      </c>
      <c r="CAI5" t="s">
        <v>60495</v>
      </c>
      <c r="CAK5" t="s">
        <v>60495</v>
      </c>
      <c r="CAM5" t="s">
        <v>60495</v>
      </c>
      <c r="CAO5" t="s">
        <v>60495</v>
      </c>
      <c r="CAQ5" t="s">
        <v>60495</v>
      </c>
      <c r="CAS5" t="s">
        <v>60495</v>
      </c>
      <c r="CAU5" t="s">
        <v>60495</v>
      </c>
      <c r="CAW5" t="s">
        <v>60495</v>
      </c>
      <c r="CAY5" t="s">
        <v>17033</v>
      </c>
      <c r="CBA5" t="s">
        <v>60495</v>
      </c>
      <c r="CBC5" t="s">
        <v>60495</v>
      </c>
      <c r="CBE5" t="s">
        <v>60495</v>
      </c>
      <c r="CBG5" t="s">
        <v>60495</v>
      </c>
      <c r="CBI5" t="s">
        <v>60495</v>
      </c>
      <c r="CBK5" t="s">
        <v>60495</v>
      </c>
      <c r="CBM5" t="s">
        <v>60495</v>
      </c>
      <c r="CBO5" t="s">
        <v>60495</v>
      </c>
      <c r="CBQ5" t="s">
        <v>60495</v>
      </c>
      <c r="CBS5" t="s">
        <v>60495</v>
      </c>
      <c r="CBU5" t="s">
        <v>60495</v>
      </c>
      <c r="CBW5" t="s">
        <v>60495</v>
      </c>
      <c r="CBY5" t="s">
        <v>60495</v>
      </c>
      <c r="CCA5" t="s">
        <v>60495</v>
      </c>
      <c r="CCC5" t="s">
        <v>60495</v>
      </c>
      <c r="CCE5" t="s">
        <v>60495</v>
      </c>
      <c r="CCG5" t="s">
        <v>14644</v>
      </c>
      <c r="CCH5" t="s">
        <v>60495</v>
      </c>
      <c r="CCJ5" t="s">
        <v>60495</v>
      </c>
      <c r="CCL5" t="s">
        <v>60495</v>
      </c>
      <c r="CCN5" t="s">
        <v>60495</v>
      </c>
      <c r="CCP5" t="s">
        <v>60495</v>
      </c>
      <c r="CCR5" t="s">
        <v>60495</v>
      </c>
      <c r="CCT5" t="s">
        <v>60495</v>
      </c>
      <c r="CCV5" t="s">
        <v>60495</v>
      </c>
      <c r="CCX5" t="s">
        <v>14701</v>
      </c>
      <c r="CCZ5" t="s">
        <v>60495</v>
      </c>
      <c r="CDB5" t="s">
        <v>60495</v>
      </c>
      <c r="CDD5" t="s">
        <v>60495</v>
      </c>
      <c r="CDF5" t="s">
        <v>60495</v>
      </c>
      <c r="CDH5" t="s">
        <v>60495</v>
      </c>
      <c r="CDJ5" t="s">
        <v>60495</v>
      </c>
      <c r="CDL5" t="s">
        <v>60495</v>
      </c>
      <c r="CDN5" t="s">
        <v>60495</v>
      </c>
      <c r="CDP5" t="s">
        <v>60495</v>
      </c>
      <c r="CDR5" t="s">
        <v>60495</v>
      </c>
      <c r="CDT5" t="s">
        <v>60495</v>
      </c>
      <c r="CDV5" t="s">
        <v>60495</v>
      </c>
      <c r="CDX5" t="s">
        <v>14803</v>
      </c>
      <c r="CDZ5" t="s">
        <v>60495</v>
      </c>
      <c r="CEB5" t="s">
        <v>60495</v>
      </c>
      <c r="CED5" t="s">
        <v>60495</v>
      </c>
      <c r="CEF5" t="s">
        <v>60495</v>
      </c>
      <c r="CEH5" t="s">
        <v>60495</v>
      </c>
      <c r="CEJ5" t="s">
        <v>60495</v>
      </c>
      <c r="CEL5" t="s">
        <v>60495</v>
      </c>
      <c r="CEN5" t="s">
        <v>60495</v>
      </c>
      <c r="CEP5" t="s">
        <v>60495</v>
      </c>
      <c r="CER5" t="s">
        <v>60495</v>
      </c>
      <c r="CET5" t="s">
        <v>60495</v>
      </c>
      <c r="CEV5" t="s">
        <v>60495</v>
      </c>
      <c r="CEX5" t="s">
        <v>60495</v>
      </c>
      <c r="CEZ5" t="s">
        <v>60495</v>
      </c>
      <c r="CFB5" t="s">
        <v>60495</v>
      </c>
      <c r="CFD5" t="s">
        <v>60495</v>
      </c>
      <c r="CFF5" t="s">
        <v>60495</v>
      </c>
      <c r="CFH5" t="s">
        <v>60495</v>
      </c>
      <c r="CFJ5" t="s">
        <v>60495</v>
      </c>
      <c r="CFL5" t="s">
        <v>60495</v>
      </c>
      <c r="CFN5" t="s">
        <v>60495</v>
      </c>
      <c r="CFP5" t="s">
        <v>60495</v>
      </c>
      <c r="CFR5" t="s">
        <v>60495</v>
      </c>
      <c r="CFT5" t="s">
        <v>60495</v>
      </c>
      <c r="CFV5" t="s">
        <v>60495</v>
      </c>
      <c r="CFX5" t="s">
        <v>60495</v>
      </c>
      <c r="CFZ5" t="s">
        <v>60495</v>
      </c>
      <c r="CGB5" t="s">
        <v>60495</v>
      </c>
      <c r="CGD5" t="s">
        <v>60495</v>
      </c>
      <c r="CGF5" t="s">
        <v>60495</v>
      </c>
      <c r="CGH5" t="s">
        <v>60495</v>
      </c>
      <c r="CGJ5" t="s">
        <v>60495</v>
      </c>
      <c r="CGL5" t="s">
        <v>60495</v>
      </c>
      <c r="CGN5" t="s">
        <v>60495</v>
      </c>
      <c r="CGP5" t="s">
        <v>60495</v>
      </c>
      <c r="CGR5" t="s">
        <v>60495</v>
      </c>
      <c r="CGT5" t="s">
        <v>60495</v>
      </c>
      <c r="CGV5" t="s">
        <v>60495</v>
      </c>
      <c r="CGX5" t="s">
        <v>60495</v>
      </c>
      <c r="CGZ5" t="s">
        <v>60495</v>
      </c>
      <c r="CHB5" t="s">
        <v>60495</v>
      </c>
      <c r="CHD5" t="s">
        <v>60495</v>
      </c>
      <c r="CHF5" t="s">
        <v>60495</v>
      </c>
      <c r="CHH5" t="s">
        <v>60495</v>
      </c>
      <c r="CHJ5" t="s">
        <v>60495</v>
      </c>
      <c r="CHL5" t="s">
        <v>60495</v>
      </c>
      <c r="CHN5" t="s">
        <v>60495</v>
      </c>
      <c r="CHP5" t="s">
        <v>60495</v>
      </c>
      <c r="CHR5" t="s">
        <v>60495</v>
      </c>
      <c r="CHT5" t="s">
        <v>60495</v>
      </c>
      <c r="CHV5" t="s">
        <v>60495</v>
      </c>
      <c r="CHX5" t="s">
        <v>60495</v>
      </c>
      <c r="CHZ5" t="s">
        <v>60495</v>
      </c>
      <c r="CIB5" t="s">
        <v>60495</v>
      </c>
      <c r="CID5" t="s">
        <v>60495</v>
      </c>
      <c r="CIF5" t="s">
        <v>60495</v>
      </c>
      <c r="CIH5" t="s">
        <v>60495</v>
      </c>
      <c r="CIJ5" t="s">
        <v>60495</v>
      </c>
      <c r="CIL5" t="s">
        <v>60495</v>
      </c>
      <c r="CIN5" t="s">
        <v>60495</v>
      </c>
      <c r="CIP5" t="s">
        <v>60495</v>
      </c>
      <c r="CIR5" t="s">
        <v>60495</v>
      </c>
      <c r="CIT5" t="s">
        <v>60495</v>
      </c>
      <c r="CIV5" t="s">
        <v>60495</v>
      </c>
      <c r="CIX5" t="s">
        <v>15502</v>
      </c>
      <c r="CIZ5" t="s">
        <v>60495</v>
      </c>
      <c r="CJB5" t="s">
        <v>60495</v>
      </c>
      <c r="CJD5" t="s">
        <v>60495</v>
      </c>
      <c r="CJF5" t="s">
        <v>60495</v>
      </c>
      <c r="CJH5" t="s">
        <v>60495</v>
      </c>
      <c r="CJJ5" t="s">
        <v>60495</v>
      </c>
      <c r="CJL5" t="s">
        <v>60495</v>
      </c>
      <c r="CJN5" t="s">
        <v>60495</v>
      </c>
      <c r="CJP5" t="s">
        <v>60495</v>
      </c>
      <c r="CJR5" t="s">
        <v>60495</v>
      </c>
      <c r="CJT5" t="s">
        <v>60495</v>
      </c>
      <c r="CJV5" t="s">
        <v>60495</v>
      </c>
      <c r="CJX5" t="s">
        <v>60495</v>
      </c>
      <c r="CJZ5" t="s">
        <v>60495</v>
      </c>
      <c r="CKB5" t="s">
        <v>15722</v>
      </c>
      <c r="CKC5" t="s">
        <v>60495</v>
      </c>
      <c r="CKE5" t="s">
        <v>60495</v>
      </c>
      <c r="CKG5" t="s">
        <v>60495</v>
      </c>
      <c r="CKI5" t="s">
        <v>60495</v>
      </c>
      <c r="CKK5" t="s">
        <v>60495</v>
      </c>
      <c r="CKM5" t="s">
        <v>60495</v>
      </c>
      <c r="CKO5" t="s">
        <v>60495</v>
      </c>
      <c r="CKQ5" t="s">
        <v>60495</v>
      </c>
      <c r="CKS5" t="s">
        <v>60495</v>
      </c>
      <c r="CKU5" t="s">
        <v>60495</v>
      </c>
      <c r="CKW5" t="s">
        <v>15860</v>
      </c>
      <c r="CKY5" t="s">
        <v>10697</v>
      </c>
      <c r="CKZ5" t="s">
        <v>60495</v>
      </c>
      <c r="CLB5" t="s">
        <v>60495</v>
      </c>
      <c r="CLD5" t="s">
        <v>60495</v>
      </c>
      <c r="CLF5" t="s">
        <v>60495</v>
      </c>
      <c r="CLH5" t="s">
        <v>60495</v>
      </c>
      <c r="CLJ5" t="s">
        <v>60495</v>
      </c>
      <c r="CLL5" t="s">
        <v>60495</v>
      </c>
      <c r="CLN5" t="s">
        <v>60495</v>
      </c>
      <c r="CLP5" t="s">
        <v>60495</v>
      </c>
      <c r="CLR5" t="s">
        <v>60495</v>
      </c>
      <c r="CLT5" t="s">
        <v>60495</v>
      </c>
      <c r="CLV5" t="s">
        <v>60495</v>
      </c>
      <c r="CLX5" t="s">
        <v>60495</v>
      </c>
      <c r="CLZ5" t="s">
        <v>60495</v>
      </c>
      <c r="CMB5" t="s">
        <v>60495</v>
      </c>
      <c r="CMD5" t="s">
        <v>60495</v>
      </c>
      <c r="CMF5" t="s">
        <v>60495</v>
      </c>
      <c r="CMH5" t="s">
        <v>60495</v>
      </c>
      <c r="CMJ5" t="s">
        <v>60495</v>
      </c>
      <c r="CML5" t="s">
        <v>60495</v>
      </c>
      <c r="CMN5" t="s">
        <v>60495</v>
      </c>
      <c r="CMP5" t="s">
        <v>60495</v>
      </c>
      <c r="CMR5" t="s">
        <v>60495</v>
      </c>
      <c r="CMT5" t="s">
        <v>60495</v>
      </c>
      <c r="CMV5" t="s">
        <v>60495</v>
      </c>
      <c r="CMX5" t="s">
        <v>60495</v>
      </c>
      <c r="CMZ5" t="s">
        <v>60495</v>
      </c>
      <c r="CNB5" t="s">
        <v>16326</v>
      </c>
      <c r="CND5" t="s">
        <v>60495</v>
      </c>
      <c r="CNF5" t="s">
        <v>16350</v>
      </c>
      <c r="CNH5" t="s">
        <v>60495</v>
      </c>
      <c r="CNJ5" t="s">
        <v>60495</v>
      </c>
      <c r="CNL5" t="s">
        <v>60495</v>
      </c>
      <c r="CNN5" t="s">
        <v>60495</v>
      </c>
      <c r="CNP5" t="s">
        <v>60495</v>
      </c>
      <c r="CNR5" t="s">
        <v>60495</v>
      </c>
      <c r="CNT5" t="s">
        <v>60495</v>
      </c>
      <c r="CNV5" t="s">
        <v>60495</v>
      </c>
      <c r="CNX5" t="s">
        <v>16465</v>
      </c>
      <c r="CNZ5" t="s">
        <v>60495</v>
      </c>
      <c r="COB5" t="s">
        <v>60495</v>
      </c>
      <c r="COD5" t="s">
        <v>60495</v>
      </c>
      <c r="COF5" t="s">
        <v>60495</v>
      </c>
      <c r="COH5" t="s">
        <v>60495</v>
      </c>
      <c r="COJ5" t="s">
        <v>60495</v>
      </c>
      <c r="COL5" t="s">
        <v>60495</v>
      </c>
      <c r="CON5" t="s">
        <v>60495</v>
      </c>
      <c r="COP5" t="s">
        <v>60495</v>
      </c>
      <c r="COR5" t="s">
        <v>60495</v>
      </c>
      <c r="COT5" t="s">
        <v>60495</v>
      </c>
      <c r="COV5" t="s">
        <v>12425</v>
      </c>
      <c r="COW5" t="s">
        <v>60495</v>
      </c>
      <c r="COY5" t="s">
        <v>60495</v>
      </c>
      <c r="CPA5" t="s">
        <v>60495</v>
      </c>
      <c r="CPC5" t="s">
        <v>60495</v>
      </c>
      <c r="CPE5" t="s">
        <v>60495</v>
      </c>
      <c r="CPG5" t="s">
        <v>60495</v>
      </c>
      <c r="CPI5" t="s">
        <v>60495</v>
      </c>
      <c r="CPK5" t="s">
        <v>60495</v>
      </c>
      <c r="CPM5" t="s">
        <v>60495</v>
      </c>
      <c r="CPO5" t="s">
        <v>60495</v>
      </c>
      <c r="CPQ5" t="s">
        <v>60495</v>
      </c>
      <c r="CPS5" t="s">
        <v>16740</v>
      </c>
      <c r="CPU5" t="s">
        <v>60495</v>
      </c>
      <c r="CPW5" t="s">
        <v>60495</v>
      </c>
      <c r="CPY5" t="s">
        <v>60495</v>
      </c>
      <c r="CQA5" t="s">
        <v>60495</v>
      </c>
      <c r="CQC5" t="s">
        <v>60495</v>
      </c>
      <c r="CQE5" t="s">
        <v>60495</v>
      </c>
      <c r="CQG5" t="s">
        <v>60495</v>
      </c>
      <c r="CQI5" t="s">
        <v>60495</v>
      </c>
      <c r="CQK5" t="s">
        <v>60495</v>
      </c>
      <c r="CQM5" t="s">
        <v>60495</v>
      </c>
      <c r="CQO5" t="s">
        <v>60495</v>
      </c>
      <c r="CQQ5" t="s">
        <v>60495</v>
      </c>
      <c r="CQS5" t="s">
        <v>60495</v>
      </c>
      <c r="CQU5" t="s">
        <v>60495</v>
      </c>
      <c r="CQW5" t="s">
        <v>51451</v>
      </c>
      <c r="CQY5" t="s">
        <v>51465</v>
      </c>
      <c r="CRA5" t="s">
        <v>60495</v>
      </c>
      <c r="CRC5" t="s">
        <v>60495</v>
      </c>
      <c r="CRE5" t="s">
        <v>16897</v>
      </c>
      <c r="CRG5" t="s">
        <v>60495</v>
      </c>
      <c r="CRI5" t="s">
        <v>60495</v>
      </c>
      <c r="CRK5" t="s">
        <v>60495</v>
      </c>
      <c r="CRM5" t="s">
        <v>60495</v>
      </c>
      <c r="CRO5" t="s">
        <v>60495</v>
      </c>
      <c r="CRQ5" t="s">
        <v>60495</v>
      </c>
      <c r="CRS5" t="s">
        <v>60495</v>
      </c>
      <c r="CRU5" t="s">
        <v>60495</v>
      </c>
      <c r="CRW5" t="s">
        <v>60495</v>
      </c>
      <c r="CRY5" t="s">
        <v>60495</v>
      </c>
      <c r="CSA5" t="s">
        <v>60495</v>
      </c>
      <c r="CSC5" t="s">
        <v>60495</v>
      </c>
      <c r="CSE5" t="s">
        <v>60495</v>
      </c>
      <c r="CSG5" t="s">
        <v>60495</v>
      </c>
      <c r="CSI5" t="s">
        <v>60495</v>
      </c>
      <c r="CSK5" t="s">
        <v>60495</v>
      </c>
      <c r="CSM5" t="s">
        <v>60495</v>
      </c>
      <c r="CSO5" t="s">
        <v>60495</v>
      </c>
      <c r="CSQ5" t="s">
        <v>60495</v>
      </c>
      <c r="CSS5" t="s">
        <v>60495</v>
      </c>
      <c r="CSU5" t="s">
        <v>60495</v>
      </c>
      <c r="CSW5" t="s">
        <v>60495</v>
      </c>
      <c r="CSY5" t="s">
        <v>60495</v>
      </c>
      <c r="CTA5" t="s">
        <v>60495</v>
      </c>
      <c r="CTC5" t="s">
        <v>60495</v>
      </c>
      <c r="CTE5" t="s">
        <v>60495</v>
      </c>
      <c r="CTG5" t="s">
        <v>60495</v>
      </c>
      <c r="CTI5" t="s">
        <v>60495</v>
      </c>
      <c r="CTK5" t="s">
        <v>60495</v>
      </c>
      <c r="CTM5" t="s">
        <v>60495</v>
      </c>
      <c r="CTO5" t="s">
        <v>60495</v>
      </c>
      <c r="CTQ5" t="s">
        <v>60495</v>
      </c>
      <c r="CTS5" t="s">
        <v>60495</v>
      </c>
      <c r="CTU5" t="s">
        <v>60495</v>
      </c>
      <c r="CTW5" t="s">
        <v>60495</v>
      </c>
      <c r="CTY5" t="s">
        <v>60495</v>
      </c>
      <c r="CUA5" t="s">
        <v>60495</v>
      </c>
      <c r="CUC5" t="s">
        <v>60495</v>
      </c>
      <c r="CUE5" t="s">
        <v>60495</v>
      </c>
      <c r="CUG5" t="s">
        <v>60495</v>
      </c>
      <c r="CUI5" t="s">
        <v>60495</v>
      </c>
      <c r="CUK5" t="s">
        <v>60495</v>
      </c>
      <c r="CUM5" t="s">
        <v>60495</v>
      </c>
      <c r="CUO5" t="s">
        <v>60495</v>
      </c>
      <c r="CUQ5" t="s">
        <v>17524</v>
      </c>
      <c r="CUS5" t="s">
        <v>60495</v>
      </c>
      <c r="CUU5" t="s">
        <v>60495</v>
      </c>
      <c r="CUW5" t="s">
        <v>60495</v>
      </c>
      <c r="CUY5" t="s">
        <v>60495</v>
      </c>
      <c r="CVA5" t="s">
        <v>60495</v>
      </c>
      <c r="CVC5" t="s">
        <v>60495</v>
      </c>
      <c r="CVE5" t="s">
        <v>60495</v>
      </c>
      <c r="CVG5" t="s">
        <v>60495</v>
      </c>
      <c r="CVI5" t="s">
        <v>60495</v>
      </c>
      <c r="CVK5" t="s">
        <v>60495</v>
      </c>
      <c r="CVM5" t="s">
        <v>60495</v>
      </c>
      <c r="CVO5" t="s">
        <v>17665</v>
      </c>
      <c r="CVQ5" t="s">
        <v>17704</v>
      </c>
      <c r="CVS5" t="s">
        <v>60495</v>
      </c>
      <c r="CVU5" t="s">
        <v>60495</v>
      </c>
      <c r="CVW5" t="s">
        <v>60495</v>
      </c>
      <c r="CVY5" t="s">
        <v>60495</v>
      </c>
      <c r="CWA5" t="s">
        <v>60495</v>
      </c>
      <c r="CWC5" t="s">
        <v>60495</v>
      </c>
      <c r="CWE5" t="s">
        <v>60495</v>
      </c>
      <c r="CWG5" t="s">
        <v>60495</v>
      </c>
      <c r="CWI5" t="s">
        <v>60495</v>
      </c>
      <c r="CWK5" t="s">
        <v>17904</v>
      </c>
      <c r="CWM5" t="s">
        <v>60495</v>
      </c>
      <c r="CWO5" t="s">
        <v>60495</v>
      </c>
      <c r="CWQ5" t="s">
        <v>60495</v>
      </c>
      <c r="CWS5" t="s">
        <v>60495</v>
      </c>
      <c r="CWU5" t="s">
        <v>60495</v>
      </c>
      <c r="CWW5" t="s">
        <v>60495</v>
      </c>
      <c r="CWY5" t="s">
        <v>60495</v>
      </c>
      <c r="CXA5" t="s">
        <v>18075</v>
      </c>
      <c r="CXB5" t="s">
        <v>60495</v>
      </c>
      <c r="CXD5" t="s">
        <v>60495</v>
      </c>
      <c r="CXF5" t="s">
        <v>18128</v>
      </c>
      <c r="CXH5" t="s">
        <v>10461</v>
      </c>
      <c r="CXI5" t="s">
        <v>60495</v>
      </c>
      <c r="CXK5" t="s">
        <v>60495</v>
      </c>
      <c r="CXM5" t="s">
        <v>60495</v>
      </c>
      <c r="CXO5" t="s">
        <v>60495</v>
      </c>
      <c r="CXQ5" t="s">
        <v>60495</v>
      </c>
      <c r="CXS5" t="s">
        <v>60495</v>
      </c>
      <c r="CXU5" t="s">
        <v>60495</v>
      </c>
      <c r="CXW5" t="s">
        <v>60495</v>
      </c>
      <c r="CXY5" t="s">
        <v>60495</v>
      </c>
      <c r="CYA5" t="s">
        <v>60495</v>
      </c>
      <c r="CYC5" t="s">
        <v>60495</v>
      </c>
      <c r="CYE5" t="s">
        <v>60495</v>
      </c>
      <c r="CYG5" t="s">
        <v>60495</v>
      </c>
      <c r="CYI5" t="s">
        <v>60495</v>
      </c>
      <c r="CYK5" t="s">
        <v>60495</v>
      </c>
      <c r="CYM5" t="s">
        <v>60495</v>
      </c>
      <c r="CYO5" t="s">
        <v>60495</v>
      </c>
      <c r="CYQ5" t="s">
        <v>60495</v>
      </c>
      <c r="CYS5" t="s">
        <v>60495</v>
      </c>
      <c r="CYU5" t="s">
        <v>60495</v>
      </c>
      <c r="CYW5" t="s">
        <v>60495</v>
      </c>
      <c r="CYY5" t="s">
        <v>60495</v>
      </c>
      <c r="CZA5" t="s">
        <v>60495</v>
      </c>
      <c r="CZC5" t="s">
        <v>60495</v>
      </c>
      <c r="CZE5" t="s">
        <v>60495</v>
      </c>
      <c r="CZG5" t="s">
        <v>60495</v>
      </c>
      <c r="CZI5" t="s">
        <v>60495</v>
      </c>
      <c r="CZK5" t="s">
        <v>60495</v>
      </c>
      <c r="CZM5" t="s">
        <v>60495</v>
      </c>
      <c r="CZO5" t="s">
        <v>60495</v>
      </c>
      <c r="CZQ5" t="s">
        <v>60495</v>
      </c>
      <c r="CZS5" t="s">
        <v>60495</v>
      </c>
      <c r="CZU5" t="s">
        <v>60495</v>
      </c>
      <c r="CZW5" t="s">
        <v>60495</v>
      </c>
      <c r="CZY5" t="s">
        <v>60495</v>
      </c>
      <c r="DAA5" t="s">
        <v>60495</v>
      </c>
      <c r="DAC5" t="s">
        <v>60495</v>
      </c>
      <c r="DAE5" t="s">
        <v>18702</v>
      </c>
      <c r="DAG5" t="s">
        <v>60495</v>
      </c>
      <c r="DAI5" t="s">
        <v>60495</v>
      </c>
      <c r="DAK5" t="s">
        <v>60495</v>
      </c>
      <c r="DAM5" t="s">
        <v>60495</v>
      </c>
      <c r="DAO5" t="s">
        <v>60495</v>
      </c>
      <c r="DAQ5" t="s">
        <v>60495</v>
      </c>
      <c r="DAS5" t="s">
        <v>60495</v>
      </c>
      <c r="DAU5" t="s">
        <v>60495</v>
      </c>
      <c r="DAW5" t="s">
        <v>60495</v>
      </c>
      <c r="DAY5" t="s">
        <v>60495</v>
      </c>
      <c r="DBA5" t="s">
        <v>60495</v>
      </c>
      <c r="DBC5" t="s">
        <v>60495</v>
      </c>
      <c r="DBE5" t="s">
        <v>60495</v>
      </c>
      <c r="DBG5" t="s">
        <v>60495</v>
      </c>
      <c r="DBI5" t="s">
        <v>60495</v>
      </c>
      <c r="DBK5" t="s">
        <v>60495</v>
      </c>
      <c r="DBM5" t="s">
        <v>60495</v>
      </c>
      <c r="DBO5" t="s">
        <v>60495</v>
      </c>
      <c r="DBQ5" t="s">
        <v>60495</v>
      </c>
      <c r="DBS5" t="s">
        <v>60495</v>
      </c>
      <c r="DBU5" t="s">
        <v>60495</v>
      </c>
      <c r="DBW5" t="s">
        <v>60495</v>
      </c>
      <c r="DBY5" t="s">
        <v>60495</v>
      </c>
      <c r="DCA5" t="s">
        <v>60495</v>
      </c>
      <c r="DCC5" t="s">
        <v>60495</v>
      </c>
      <c r="DCE5" t="s">
        <v>19091</v>
      </c>
      <c r="DCG5" t="s">
        <v>60495</v>
      </c>
      <c r="DCI5" t="s">
        <v>60495</v>
      </c>
      <c r="DCK5" t="s">
        <v>19145</v>
      </c>
      <c r="DCM5" t="s">
        <v>3601</v>
      </c>
      <c r="DCO5" t="s">
        <v>60495</v>
      </c>
      <c r="DCQ5" t="s">
        <v>60495</v>
      </c>
      <c r="DCS5" t="s">
        <v>60495</v>
      </c>
      <c r="DCU5" t="s">
        <v>60495</v>
      </c>
      <c r="DCW5" t="s">
        <v>60495</v>
      </c>
      <c r="DCY5" t="s">
        <v>60495</v>
      </c>
      <c r="DDA5" t="s">
        <v>60495</v>
      </c>
      <c r="DDC5" t="s">
        <v>60495</v>
      </c>
      <c r="DDE5" t="s">
        <v>60495</v>
      </c>
      <c r="DDG5" t="s">
        <v>60495</v>
      </c>
      <c r="DDI5" t="s">
        <v>60495</v>
      </c>
      <c r="DDK5" t="s">
        <v>60495</v>
      </c>
      <c r="DDM5" t="s">
        <v>60495</v>
      </c>
      <c r="DDO5" t="s">
        <v>60495</v>
      </c>
      <c r="DDQ5" t="s">
        <v>60495</v>
      </c>
      <c r="DDS5" t="s">
        <v>60495</v>
      </c>
      <c r="DDU5" t="s">
        <v>60495</v>
      </c>
      <c r="DDW5" t="s">
        <v>60495</v>
      </c>
      <c r="DDY5" t="s">
        <v>60495</v>
      </c>
      <c r="DEA5" t="s">
        <v>60495</v>
      </c>
      <c r="DEC5" t="s">
        <v>60495</v>
      </c>
      <c r="DEE5" t="s">
        <v>60495</v>
      </c>
      <c r="DEG5" t="s">
        <v>60495</v>
      </c>
      <c r="DEI5" t="s">
        <v>60495</v>
      </c>
      <c r="DEK5" t="s">
        <v>19566</v>
      </c>
      <c r="DEM5" t="s">
        <v>60495</v>
      </c>
      <c r="DEO5" t="s">
        <v>60495</v>
      </c>
      <c r="DEQ5" t="s">
        <v>60495</v>
      </c>
      <c r="DES5" t="s">
        <v>19604</v>
      </c>
      <c r="DEU5" t="s">
        <v>60495</v>
      </c>
      <c r="DEW5" t="s">
        <v>60495</v>
      </c>
      <c r="DEY5" t="s">
        <v>60495</v>
      </c>
      <c r="DFA5" t="s">
        <v>19653</v>
      </c>
      <c r="DFC5" t="s">
        <v>60495</v>
      </c>
      <c r="DFE5" t="s">
        <v>60495</v>
      </c>
      <c r="DFG5" t="s">
        <v>60495</v>
      </c>
      <c r="DFI5" t="s">
        <v>19691</v>
      </c>
      <c r="DFK5" t="s">
        <v>60495</v>
      </c>
      <c r="DFM5" t="s">
        <v>60495</v>
      </c>
      <c r="DFO5" t="s">
        <v>60495</v>
      </c>
      <c r="DFQ5" t="s">
        <v>60495</v>
      </c>
      <c r="DFS5" t="s">
        <v>60495</v>
      </c>
      <c r="DFU5" t="s">
        <v>60495</v>
      </c>
      <c r="DFW5" t="s">
        <v>60495</v>
      </c>
      <c r="DFY5" t="s">
        <v>60495</v>
      </c>
      <c r="DGA5" t="s">
        <v>60495</v>
      </c>
      <c r="DGC5" t="s">
        <v>60495</v>
      </c>
      <c r="DGE5" t="s">
        <v>60495</v>
      </c>
      <c r="DGG5" t="s">
        <v>60495</v>
      </c>
      <c r="DGI5" t="s">
        <v>60495</v>
      </c>
      <c r="DGK5" t="s">
        <v>60495</v>
      </c>
      <c r="DGM5" t="s">
        <v>60495</v>
      </c>
      <c r="DGO5" t="s">
        <v>60495</v>
      </c>
      <c r="DGQ5" t="s">
        <v>60495</v>
      </c>
      <c r="DGS5" t="s">
        <v>60495</v>
      </c>
      <c r="DGU5" t="s">
        <v>60495</v>
      </c>
      <c r="DGW5" t="s">
        <v>60495</v>
      </c>
      <c r="DGY5" t="s">
        <v>60495</v>
      </c>
      <c r="DHA5" t="s">
        <v>60495</v>
      </c>
      <c r="DHC5" t="s">
        <v>60495</v>
      </c>
      <c r="DHE5" t="s">
        <v>60495</v>
      </c>
      <c r="DHG5" t="s">
        <v>60495</v>
      </c>
      <c r="DHI5" t="s">
        <v>60495</v>
      </c>
      <c r="DHK5" t="s">
        <v>60495</v>
      </c>
      <c r="DHM5" t="s">
        <v>60495</v>
      </c>
      <c r="DHO5" t="s">
        <v>60495</v>
      </c>
      <c r="DHQ5" t="s">
        <v>60495</v>
      </c>
      <c r="DHS5" t="s">
        <v>60495</v>
      </c>
      <c r="DHU5" t="s">
        <v>60495</v>
      </c>
      <c r="DHW5" t="s">
        <v>60495</v>
      </c>
      <c r="DHY5" t="s">
        <v>60495</v>
      </c>
      <c r="DIA5" t="s">
        <v>60495</v>
      </c>
      <c r="DIC5" t="s">
        <v>60495</v>
      </c>
      <c r="DIE5" t="s">
        <v>60495</v>
      </c>
      <c r="DIG5" t="s">
        <v>60495</v>
      </c>
      <c r="DII5" t="s">
        <v>60495</v>
      </c>
      <c r="DIK5" t="s">
        <v>60495</v>
      </c>
      <c r="DIM5" t="s">
        <v>60495</v>
      </c>
      <c r="DIO5" t="s">
        <v>60495</v>
      </c>
      <c r="DIQ5" t="s">
        <v>60495</v>
      </c>
      <c r="DIS5" t="s">
        <v>60495</v>
      </c>
      <c r="DIU5" t="s">
        <v>60495</v>
      </c>
      <c r="DIW5" t="s">
        <v>60495</v>
      </c>
      <c r="DIY5" t="s">
        <v>60495</v>
      </c>
      <c r="DJA5" t="s">
        <v>60495</v>
      </c>
      <c r="DJC5" t="s">
        <v>60495</v>
      </c>
      <c r="DJE5" t="s">
        <v>60495</v>
      </c>
      <c r="DJG5" t="s">
        <v>60495</v>
      </c>
      <c r="DJI5" t="s">
        <v>60495</v>
      </c>
      <c r="DJK5" t="s">
        <v>60495</v>
      </c>
      <c r="DJM5" t="s">
        <v>60495</v>
      </c>
      <c r="DJO5" t="s">
        <v>60495</v>
      </c>
      <c r="DJQ5" t="s">
        <v>60495</v>
      </c>
      <c r="DJS5" t="s">
        <v>60495</v>
      </c>
      <c r="DJU5" t="s">
        <v>60495</v>
      </c>
      <c r="DJW5" t="s">
        <v>60495</v>
      </c>
      <c r="DJY5" t="s">
        <v>60495</v>
      </c>
      <c r="DKA5" t="s">
        <v>60495</v>
      </c>
      <c r="DKC5" t="s">
        <v>60495</v>
      </c>
      <c r="DKE5" t="s">
        <v>20534</v>
      </c>
      <c r="DKG5" t="s">
        <v>60495</v>
      </c>
      <c r="DKI5" t="s">
        <v>18726</v>
      </c>
      <c r="DKJ5" t="s">
        <v>18711</v>
      </c>
      <c r="DKL5" t="s">
        <v>60495</v>
      </c>
      <c r="DKN5" t="s">
        <v>60495</v>
      </c>
      <c r="DKP5" t="s">
        <v>60495</v>
      </c>
      <c r="DKR5" t="s">
        <v>60495</v>
      </c>
      <c r="DKT5" t="s">
        <v>60495</v>
      </c>
      <c r="DKV5" t="s">
        <v>60495</v>
      </c>
      <c r="DKX5" t="s">
        <v>60495</v>
      </c>
      <c r="DKZ5" t="s">
        <v>60495</v>
      </c>
      <c r="DLB5" t="s">
        <v>60495</v>
      </c>
      <c r="DLD5" t="s">
        <v>60495</v>
      </c>
      <c r="DLF5" t="s">
        <v>60495</v>
      </c>
      <c r="DLH5" t="s">
        <v>20038</v>
      </c>
      <c r="DLI5" t="s">
        <v>60495</v>
      </c>
      <c r="DLK5" t="s">
        <v>60495</v>
      </c>
      <c r="DLM5" t="s">
        <v>60495</v>
      </c>
      <c r="DLO5" t="s">
        <v>60495</v>
      </c>
      <c r="DLQ5" t="s">
        <v>60495</v>
      </c>
      <c r="DLS5" t="s">
        <v>60495</v>
      </c>
      <c r="DLU5" t="s">
        <v>60495</v>
      </c>
      <c r="DLW5" t="s">
        <v>60495</v>
      </c>
      <c r="DLY5" t="s">
        <v>60495</v>
      </c>
      <c r="DMA5" t="s">
        <v>60495</v>
      </c>
      <c r="DMC5" t="s">
        <v>60495</v>
      </c>
      <c r="DME5" t="s">
        <v>60495</v>
      </c>
      <c r="DMG5" t="s">
        <v>60495</v>
      </c>
      <c r="DMI5" t="s">
        <v>60495</v>
      </c>
      <c r="DMK5" t="s">
        <v>60495</v>
      </c>
      <c r="DMM5" t="s">
        <v>60495</v>
      </c>
      <c r="DMO5" t="s">
        <v>60495</v>
      </c>
      <c r="DMQ5" t="s">
        <v>60495</v>
      </c>
      <c r="DMS5" t="s">
        <v>60495</v>
      </c>
      <c r="DMU5" t="s">
        <v>60495</v>
      </c>
      <c r="DMW5" t="s">
        <v>60495</v>
      </c>
      <c r="DMY5" t="s">
        <v>60495</v>
      </c>
      <c r="DNA5" t="s">
        <v>60495</v>
      </c>
      <c r="DNC5" t="s">
        <v>21035</v>
      </c>
      <c r="DNE5" t="s">
        <v>60495</v>
      </c>
      <c r="DNG5" t="s">
        <v>60495</v>
      </c>
      <c r="DNI5" t="s">
        <v>60495</v>
      </c>
      <c r="DNK5" t="s">
        <v>60495</v>
      </c>
      <c r="DNM5" t="s">
        <v>60495</v>
      </c>
      <c r="DNO5" t="s">
        <v>60495</v>
      </c>
      <c r="DNQ5" t="s">
        <v>60495</v>
      </c>
      <c r="DNS5" t="s">
        <v>60495</v>
      </c>
      <c r="DNU5" t="s">
        <v>60495</v>
      </c>
      <c r="DNW5" t="s">
        <v>60495</v>
      </c>
      <c r="DNY5" t="s">
        <v>60495</v>
      </c>
      <c r="DOA5" t="s">
        <v>60495</v>
      </c>
      <c r="DOC5" t="s">
        <v>60495</v>
      </c>
      <c r="DOE5" t="s">
        <v>60495</v>
      </c>
      <c r="DOG5" t="s">
        <v>60495</v>
      </c>
      <c r="DOI5" t="s">
        <v>60495</v>
      </c>
      <c r="DOK5" t="s">
        <v>60495</v>
      </c>
      <c r="DOM5" t="s">
        <v>21239</v>
      </c>
      <c r="DOO5" t="s">
        <v>60495</v>
      </c>
      <c r="DOQ5" t="s">
        <v>21283</v>
      </c>
      <c r="DOS5" t="s">
        <v>60495</v>
      </c>
      <c r="DOU5" t="s">
        <v>60495</v>
      </c>
      <c r="DOW5" t="s">
        <v>60495</v>
      </c>
      <c r="DOY5" t="s">
        <v>60495</v>
      </c>
      <c r="DPA5" t="s">
        <v>21351</v>
      </c>
      <c r="DPB5" t="s">
        <v>60495</v>
      </c>
      <c r="DPD5" t="s">
        <v>60495</v>
      </c>
      <c r="DPF5" t="s">
        <v>60495</v>
      </c>
      <c r="DPH5" t="s">
        <v>60495</v>
      </c>
      <c r="DPJ5" t="s">
        <v>60495</v>
      </c>
      <c r="DPL5" t="s">
        <v>13589</v>
      </c>
      <c r="DPN5" t="s">
        <v>60495</v>
      </c>
      <c r="DPP5" t="s">
        <v>60495</v>
      </c>
      <c r="DPR5" t="s">
        <v>60495</v>
      </c>
      <c r="DPT5" t="s">
        <v>60495</v>
      </c>
      <c r="DPV5" t="s">
        <v>60495</v>
      </c>
      <c r="DPX5" t="s">
        <v>21471</v>
      </c>
      <c r="DPZ5" t="s">
        <v>60495</v>
      </c>
      <c r="DQB5" t="s">
        <v>60495</v>
      </c>
      <c r="DQD5" t="s">
        <v>60495</v>
      </c>
      <c r="DQF5" t="s">
        <v>60495</v>
      </c>
      <c r="DQH5" t="s">
        <v>21530</v>
      </c>
      <c r="DQI5" t="s">
        <v>60495</v>
      </c>
      <c r="DQK5" t="s">
        <v>60495</v>
      </c>
      <c r="DQM5" t="s">
        <v>60495</v>
      </c>
      <c r="DQO5" t="s">
        <v>21554</v>
      </c>
      <c r="DQP5" t="s">
        <v>60495</v>
      </c>
      <c r="DQR5" t="s">
        <v>60495</v>
      </c>
      <c r="DQT5" t="s">
        <v>21569</v>
      </c>
      <c r="DQU5" t="s">
        <v>60495</v>
      </c>
      <c r="DQW5" t="s">
        <v>60495</v>
      </c>
      <c r="DQY5" t="s">
        <v>60495</v>
      </c>
      <c r="DRA5" t="s">
        <v>60495</v>
      </c>
      <c r="DRC5" t="s">
        <v>60495</v>
      </c>
      <c r="DRE5" t="s">
        <v>60495</v>
      </c>
      <c r="DRG5" t="s">
        <v>60495</v>
      </c>
      <c r="DRI5" t="s">
        <v>60495</v>
      </c>
      <c r="DRK5" t="s">
        <v>60495</v>
      </c>
      <c r="DRM5" t="s">
        <v>60495</v>
      </c>
      <c r="DRO5" t="s">
        <v>60495</v>
      </c>
      <c r="DRQ5" t="s">
        <v>60495</v>
      </c>
      <c r="DRS5" t="s">
        <v>20890</v>
      </c>
      <c r="DRT5" t="s">
        <v>60495</v>
      </c>
      <c r="DRV5" t="s">
        <v>60495</v>
      </c>
      <c r="DRX5" t="s">
        <v>60495</v>
      </c>
      <c r="DRZ5" t="s">
        <v>60495</v>
      </c>
      <c r="DSB5" t="s">
        <v>60495</v>
      </c>
      <c r="DSD5" t="s">
        <v>60495</v>
      </c>
      <c r="DSF5" t="s">
        <v>60495</v>
      </c>
      <c r="DSH5" t="s">
        <v>60495</v>
      </c>
      <c r="DSJ5" t="s">
        <v>60495</v>
      </c>
      <c r="DSL5" t="s">
        <v>60495</v>
      </c>
      <c r="DSN5" t="s">
        <v>60495</v>
      </c>
      <c r="DSP5" t="s">
        <v>60495</v>
      </c>
      <c r="DSR5" t="s">
        <v>60495</v>
      </c>
      <c r="DST5" t="s">
        <v>60495</v>
      </c>
      <c r="DSV5" t="s">
        <v>60495</v>
      </c>
      <c r="DSX5" t="s">
        <v>60495</v>
      </c>
      <c r="DSZ5" t="s">
        <v>60495</v>
      </c>
      <c r="DTB5" t="s">
        <v>60495</v>
      </c>
      <c r="DTD5" t="s">
        <v>60495</v>
      </c>
      <c r="DTF5" t="s">
        <v>60495</v>
      </c>
      <c r="DTH5" t="s">
        <v>60495</v>
      </c>
      <c r="DTJ5" t="s">
        <v>60495</v>
      </c>
      <c r="DTL5" t="s">
        <v>60495</v>
      </c>
      <c r="DTN5" t="s">
        <v>60495</v>
      </c>
      <c r="DTP5" t="s">
        <v>60495</v>
      </c>
      <c r="DTR5" t="s">
        <v>60495</v>
      </c>
      <c r="DTT5" t="s">
        <v>60495</v>
      </c>
      <c r="DTV5" t="s">
        <v>60495</v>
      </c>
      <c r="DTX5" t="s">
        <v>60495</v>
      </c>
      <c r="DTZ5" t="s">
        <v>60495</v>
      </c>
      <c r="DUB5" t="s">
        <v>60495</v>
      </c>
      <c r="DUD5" t="s">
        <v>60495</v>
      </c>
      <c r="DUF5" t="s">
        <v>60495</v>
      </c>
      <c r="DUH5" t="s">
        <v>60495</v>
      </c>
      <c r="DUJ5" t="s">
        <v>60495</v>
      </c>
      <c r="DUL5" t="s">
        <v>60495</v>
      </c>
      <c r="DUN5" t="s">
        <v>60495</v>
      </c>
      <c r="DUP5" t="s">
        <v>60495</v>
      </c>
      <c r="DUR5" t="s">
        <v>22018</v>
      </c>
      <c r="DUS5" t="s">
        <v>60495</v>
      </c>
      <c r="DUU5" t="s">
        <v>60495</v>
      </c>
      <c r="DUW5" t="s">
        <v>60495</v>
      </c>
      <c r="DUY5" t="s">
        <v>60495</v>
      </c>
      <c r="DVA5" t="s">
        <v>60495</v>
      </c>
      <c r="DVC5" t="s">
        <v>60495</v>
      </c>
      <c r="DVE5" t="s">
        <v>60495</v>
      </c>
      <c r="DVG5" t="s">
        <v>60495</v>
      </c>
      <c r="DVI5" t="s">
        <v>60495</v>
      </c>
      <c r="DVK5" t="s">
        <v>60495</v>
      </c>
      <c r="DVM5" t="s">
        <v>60495</v>
      </c>
      <c r="DVO5" t="s">
        <v>18545</v>
      </c>
      <c r="DVQ5" t="s">
        <v>60495</v>
      </c>
      <c r="DVS5" t="s">
        <v>60495</v>
      </c>
      <c r="DVU5" t="s">
        <v>60495</v>
      </c>
      <c r="DVW5" t="s">
        <v>60495</v>
      </c>
      <c r="DVY5" t="s">
        <v>60495</v>
      </c>
      <c r="DWA5" t="s">
        <v>60495</v>
      </c>
      <c r="DWC5" t="s">
        <v>60495</v>
      </c>
      <c r="DWE5" t="s">
        <v>60495</v>
      </c>
      <c r="DWG5" t="s">
        <v>60495</v>
      </c>
      <c r="DWI5" t="s">
        <v>3143</v>
      </c>
      <c r="DWJ5" t="s">
        <v>60495</v>
      </c>
      <c r="DWL5" t="s">
        <v>60495</v>
      </c>
      <c r="DWN5" t="s">
        <v>60495</v>
      </c>
      <c r="DWP5" t="s">
        <v>60495</v>
      </c>
      <c r="DWR5" t="s">
        <v>60495</v>
      </c>
      <c r="DWT5" t="s">
        <v>60495</v>
      </c>
      <c r="DWV5" t="s">
        <v>60495</v>
      </c>
      <c r="DWX5" t="s">
        <v>60495</v>
      </c>
      <c r="DWZ5" t="s">
        <v>22488</v>
      </c>
      <c r="DXB5" t="s">
        <v>18576</v>
      </c>
      <c r="DXD5" t="s">
        <v>60495</v>
      </c>
      <c r="DXF5" t="s">
        <v>60495</v>
      </c>
      <c r="DXH5" t="s">
        <v>60495</v>
      </c>
      <c r="DXJ5" t="s">
        <v>18674</v>
      </c>
      <c r="DXK5" t="s">
        <v>60495</v>
      </c>
      <c r="DXM5" t="s">
        <v>60495</v>
      </c>
      <c r="DXO5" t="s">
        <v>1707</v>
      </c>
      <c r="DXP5" t="s">
        <v>60495</v>
      </c>
      <c r="DXR5" t="s">
        <v>60495</v>
      </c>
      <c r="DXT5" t="s">
        <v>60495</v>
      </c>
      <c r="DXV5" t="s">
        <v>60495</v>
      </c>
      <c r="DXX5" t="s">
        <v>60495</v>
      </c>
      <c r="DXZ5" t="s">
        <v>60495</v>
      </c>
      <c r="DYB5" t="s">
        <v>22626</v>
      </c>
      <c r="DYD5" t="s">
        <v>60495</v>
      </c>
      <c r="DYF5" t="s">
        <v>60495</v>
      </c>
      <c r="DYH5" t="s">
        <v>60495</v>
      </c>
      <c r="DYJ5" t="s">
        <v>60495</v>
      </c>
      <c r="DYL5" t="s">
        <v>60495</v>
      </c>
      <c r="DYN5" t="s">
        <v>60495</v>
      </c>
      <c r="DYP5" t="s">
        <v>60495</v>
      </c>
      <c r="DYR5" t="s">
        <v>60495</v>
      </c>
      <c r="DYT5" t="s">
        <v>60495</v>
      </c>
      <c r="DYV5" t="s">
        <v>60495</v>
      </c>
      <c r="DYX5" t="s">
        <v>60495</v>
      </c>
      <c r="DYZ5" t="s">
        <v>60495</v>
      </c>
      <c r="DZB5" t="s">
        <v>60495</v>
      </c>
      <c r="DZD5" t="s">
        <v>60495</v>
      </c>
      <c r="DZF5" t="s">
        <v>20450</v>
      </c>
      <c r="DZG5" t="s">
        <v>60495</v>
      </c>
      <c r="DZI5" t="s">
        <v>60495</v>
      </c>
      <c r="DZK5" t="s">
        <v>60495</v>
      </c>
      <c r="DZM5" t="s">
        <v>60495</v>
      </c>
      <c r="DZO5" t="s">
        <v>22789</v>
      </c>
      <c r="DZQ5" t="s">
        <v>22835</v>
      </c>
      <c r="DZS5" t="s">
        <v>60495</v>
      </c>
      <c r="DZU5" t="s">
        <v>22827</v>
      </c>
      <c r="DZV5" t="s">
        <v>60495</v>
      </c>
      <c r="DZX5" t="s">
        <v>60495</v>
      </c>
      <c r="DZZ5" t="s">
        <v>60495</v>
      </c>
      <c r="EAB5" t="s">
        <v>60495</v>
      </c>
      <c r="EAD5" t="s">
        <v>60495</v>
      </c>
      <c r="EAF5" t="s">
        <v>60495</v>
      </c>
      <c r="EAH5" t="s">
        <v>60495</v>
      </c>
      <c r="EAJ5" t="s">
        <v>60495</v>
      </c>
      <c r="EAL5" t="s">
        <v>60495</v>
      </c>
      <c r="EAN5" t="s">
        <v>60495</v>
      </c>
      <c r="EAP5" t="s">
        <v>60495</v>
      </c>
      <c r="EAR5" t="s">
        <v>60495</v>
      </c>
      <c r="EAT5" t="s">
        <v>60495</v>
      </c>
      <c r="EAV5" t="s">
        <v>60495</v>
      </c>
      <c r="EAX5" t="s">
        <v>60495</v>
      </c>
      <c r="EAZ5" t="s">
        <v>60495</v>
      </c>
      <c r="EBB5" t="s">
        <v>60495</v>
      </c>
      <c r="EBD5" t="s">
        <v>60495</v>
      </c>
      <c r="EBF5" t="s">
        <v>60495</v>
      </c>
      <c r="EBH5" t="s">
        <v>60495</v>
      </c>
      <c r="EBJ5" t="s">
        <v>60495</v>
      </c>
      <c r="EBL5" t="s">
        <v>60495</v>
      </c>
      <c r="EBN5" t="s">
        <v>60495</v>
      </c>
      <c r="EBP5" t="s">
        <v>60495</v>
      </c>
      <c r="EBR5" t="s">
        <v>60495</v>
      </c>
      <c r="EBT5" t="s">
        <v>60495</v>
      </c>
      <c r="EBV5" t="s">
        <v>60495</v>
      </c>
      <c r="EBX5" t="s">
        <v>60495</v>
      </c>
      <c r="EBZ5" t="s">
        <v>60495</v>
      </c>
      <c r="ECB5" t="s">
        <v>60495</v>
      </c>
      <c r="ECD5" t="s">
        <v>60495</v>
      </c>
      <c r="ECF5" t="s">
        <v>60495</v>
      </c>
      <c r="ECH5" t="s">
        <v>6850</v>
      </c>
      <c r="ECI5" t="s">
        <v>60495</v>
      </c>
      <c r="ECK5" t="s">
        <v>60495</v>
      </c>
      <c r="ECM5" t="s">
        <v>60495</v>
      </c>
      <c r="ECO5" t="s">
        <v>60495</v>
      </c>
      <c r="ECQ5" t="s">
        <v>60495</v>
      </c>
      <c r="ECS5" t="s">
        <v>60495</v>
      </c>
      <c r="ECU5" t="s">
        <v>60495</v>
      </c>
      <c r="ECW5" t="s">
        <v>60495</v>
      </c>
      <c r="ECY5" t="s">
        <v>60495</v>
      </c>
      <c r="EDA5" t="s">
        <v>60495</v>
      </c>
      <c r="EDC5" t="s">
        <v>60495</v>
      </c>
      <c r="EDE5" t="s">
        <v>60495</v>
      </c>
      <c r="EDG5" t="s">
        <v>60495</v>
      </c>
      <c r="EDI5" t="s">
        <v>60495</v>
      </c>
      <c r="EDK5" t="s">
        <v>60495</v>
      </c>
      <c r="EDM5" t="s">
        <v>60495</v>
      </c>
      <c r="EDO5" t="s">
        <v>60495</v>
      </c>
      <c r="EDQ5" t="s">
        <v>60495</v>
      </c>
      <c r="EDS5" t="s">
        <v>60495</v>
      </c>
      <c r="EDU5" t="s">
        <v>60495</v>
      </c>
      <c r="EDW5" t="s">
        <v>60495</v>
      </c>
      <c r="EDY5" t="s">
        <v>60495</v>
      </c>
      <c r="EEA5" t="s">
        <v>60495</v>
      </c>
      <c r="EEC5" t="s">
        <v>60495</v>
      </c>
      <c r="EEE5" t="s">
        <v>60495</v>
      </c>
      <c r="EEG5" t="s">
        <v>60495</v>
      </c>
      <c r="EEI5" t="s">
        <v>60495</v>
      </c>
      <c r="EEK5" t="s">
        <v>60495</v>
      </c>
      <c r="EEM5" t="s">
        <v>60495</v>
      </c>
      <c r="EEO5" t="s">
        <v>60495</v>
      </c>
      <c r="EEQ5" t="s">
        <v>60495</v>
      </c>
      <c r="EES5" t="s">
        <v>60495</v>
      </c>
      <c r="EEU5" t="s">
        <v>60495</v>
      </c>
      <c r="EEW5" t="s">
        <v>60495</v>
      </c>
      <c r="EEY5" t="s">
        <v>23646</v>
      </c>
      <c r="EEZ5" t="s">
        <v>60495</v>
      </c>
      <c r="EFB5" t="s">
        <v>60495</v>
      </c>
      <c r="EFD5" t="s">
        <v>60495</v>
      </c>
      <c r="EFF5" t="s">
        <v>60495</v>
      </c>
      <c r="EFH5" t="s">
        <v>60495</v>
      </c>
      <c r="EFJ5" t="s">
        <v>60495</v>
      </c>
      <c r="EFL5" t="s">
        <v>60495</v>
      </c>
      <c r="EFN5" t="s">
        <v>60495</v>
      </c>
      <c r="EFP5" t="s">
        <v>60495</v>
      </c>
      <c r="EFR5" t="s">
        <v>60495</v>
      </c>
      <c r="EFT5" t="s">
        <v>60495</v>
      </c>
      <c r="EFV5" t="s">
        <v>60495</v>
      </c>
      <c r="EFX5" t="s">
        <v>60495</v>
      </c>
      <c r="EFZ5" t="s">
        <v>60495</v>
      </c>
      <c r="EGB5" t="s">
        <v>60495</v>
      </c>
      <c r="EGD5" t="s">
        <v>60495</v>
      </c>
      <c r="EGF5" t="s">
        <v>60495</v>
      </c>
      <c r="EGH5" t="s">
        <v>60495</v>
      </c>
      <c r="EGJ5" t="s">
        <v>60495</v>
      </c>
      <c r="EGL5" t="s">
        <v>60495</v>
      </c>
      <c r="EGN5" t="s">
        <v>60495</v>
      </c>
      <c r="EGP5" t="s">
        <v>60495</v>
      </c>
      <c r="EGR5" t="s">
        <v>60495</v>
      </c>
      <c r="EGT5" t="s">
        <v>60495</v>
      </c>
      <c r="EGV5" t="s">
        <v>60495</v>
      </c>
      <c r="EGX5" t="s">
        <v>60495</v>
      </c>
      <c r="EGZ5" t="s">
        <v>60495</v>
      </c>
      <c r="EHB5" t="s">
        <v>60495</v>
      </c>
      <c r="EHD5" t="s">
        <v>60495</v>
      </c>
      <c r="EHF5" t="s">
        <v>60495</v>
      </c>
      <c r="EHH5" t="s">
        <v>60495</v>
      </c>
      <c r="EHJ5" t="s">
        <v>60495</v>
      </c>
      <c r="EHL5" t="s">
        <v>60495</v>
      </c>
      <c r="EHN5" t="s">
        <v>60495</v>
      </c>
      <c r="EHP5" t="s">
        <v>20722</v>
      </c>
      <c r="EHQ5" t="s">
        <v>60495</v>
      </c>
      <c r="EHS5" t="s">
        <v>60495</v>
      </c>
      <c r="EHU5" t="s">
        <v>60495</v>
      </c>
      <c r="EHW5" t="s">
        <v>60495</v>
      </c>
      <c r="EHY5" t="s">
        <v>60495</v>
      </c>
      <c r="EIA5" t="s">
        <v>60495</v>
      </c>
      <c r="EIC5" t="s">
        <v>60495</v>
      </c>
      <c r="EIE5" t="s">
        <v>60495</v>
      </c>
      <c r="EIG5" t="s">
        <v>60495</v>
      </c>
      <c r="EII5" t="s">
        <v>60495</v>
      </c>
      <c r="EIK5" t="s">
        <v>60495</v>
      </c>
      <c r="EIM5" t="s">
        <v>24221</v>
      </c>
      <c r="EIO5" t="s">
        <v>60495</v>
      </c>
      <c r="EIQ5" t="s">
        <v>60495</v>
      </c>
      <c r="EIS5" t="s">
        <v>60495</v>
      </c>
      <c r="EIU5" t="s">
        <v>60495</v>
      </c>
      <c r="EIW5" t="s">
        <v>60495</v>
      </c>
      <c r="EIY5" t="s">
        <v>60495</v>
      </c>
      <c r="EJA5" t="s">
        <v>60495</v>
      </c>
      <c r="EJC5" t="s">
        <v>60495</v>
      </c>
      <c r="EJE5" t="s">
        <v>60495</v>
      </c>
      <c r="EJG5" t="s">
        <v>60495</v>
      </c>
      <c r="EJI5" t="s">
        <v>60495</v>
      </c>
      <c r="EJK5" t="s">
        <v>60495</v>
      </c>
      <c r="EJM5" t="s">
        <v>60495</v>
      </c>
      <c r="EJO5" t="s">
        <v>60495</v>
      </c>
      <c r="EJQ5" t="s">
        <v>60495</v>
      </c>
      <c r="EJS5" t="s">
        <v>60495</v>
      </c>
      <c r="EJU5" t="s">
        <v>60495</v>
      </c>
      <c r="EJW5" t="s">
        <v>60495</v>
      </c>
      <c r="EJY5" t="s">
        <v>60495</v>
      </c>
      <c r="EKA5" t="s">
        <v>60495</v>
      </c>
      <c r="EKC5" t="s">
        <v>21958</v>
      </c>
      <c r="EKD5" t="s">
        <v>60495</v>
      </c>
      <c r="EKF5" t="s">
        <v>60495</v>
      </c>
      <c r="EKH5" t="s">
        <v>60495</v>
      </c>
      <c r="EKJ5" t="s">
        <v>60495</v>
      </c>
      <c r="EKL5" t="s">
        <v>60495</v>
      </c>
      <c r="EKN5" t="s">
        <v>60495</v>
      </c>
      <c r="EKP5" t="s">
        <v>12533</v>
      </c>
      <c r="EKQ5" t="s">
        <v>60495</v>
      </c>
      <c r="EKS5" t="s">
        <v>12563</v>
      </c>
      <c r="EKT5" t="s">
        <v>60495</v>
      </c>
      <c r="EKV5" t="s">
        <v>60495</v>
      </c>
      <c r="EKX5" t="s">
        <v>60495</v>
      </c>
      <c r="EKZ5" t="s">
        <v>60495</v>
      </c>
      <c r="ELB5" t="s">
        <v>60495</v>
      </c>
      <c r="ELD5" t="s">
        <v>60495</v>
      </c>
      <c r="ELF5" t="s">
        <v>60495</v>
      </c>
      <c r="ELH5" t="s">
        <v>60495</v>
      </c>
      <c r="ELJ5" t="s">
        <v>60495</v>
      </c>
      <c r="ELL5" t="s">
        <v>60495</v>
      </c>
      <c r="ELN5" t="s">
        <v>60495</v>
      </c>
      <c r="ELP5" t="s">
        <v>60495</v>
      </c>
      <c r="ELR5" t="s">
        <v>60495</v>
      </c>
      <c r="ELT5" t="s">
        <v>60495</v>
      </c>
      <c r="ELV5" t="s">
        <v>60495</v>
      </c>
      <c r="ELX5" t="s">
        <v>60495</v>
      </c>
      <c r="ELZ5" t="s">
        <v>24680</v>
      </c>
      <c r="EMA5" t="s">
        <v>60495</v>
      </c>
      <c r="EMC5" t="s">
        <v>60495</v>
      </c>
      <c r="EME5" t="s">
        <v>60495</v>
      </c>
      <c r="EMG5" t="s">
        <v>60495</v>
      </c>
      <c r="EMI5" t="s">
        <v>60495</v>
      </c>
      <c r="EMK5" t="s">
        <v>60495</v>
      </c>
      <c r="EMM5" t="s">
        <v>60495</v>
      </c>
      <c r="EMO5" t="s">
        <v>60495</v>
      </c>
      <c r="EMQ5" t="s">
        <v>60495</v>
      </c>
      <c r="EMS5" t="s">
        <v>60495</v>
      </c>
      <c r="EMU5" t="s">
        <v>60495</v>
      </c>
      <c r="EMW5" t="s">
        <v>60495</v>
      </c>
      <c r="EMY5" t="s">
        <v>60495</v>
      </c>
      <c r="ENA5" t="s">
        <v>60495</v>
      </c>
      <c r="ENC5" t="s">
        <v>60495</v>
      </c>
      <c r="ENE5" t="s">
        <v>60495</v>
      </c>
      <c r="ENG5" t="s">
        <v>60495</v>
      </c>
      <c r="ENI5" t="s">
        <v>60495</v>
      </c>
      <c r="ENK5" t="s">
        <v>60495</v>
      </c>
      <c r="ENM5" t="s">
        <v>60495</v>
      </c>
      <c r="ENO5" t="s">
        <v>60495</v>
      </c>
      <c r="ENQ5" t="s">
        <v>60495</v>
      </c>
      <c r="ENS5" t="s">
        <v>60495</v>
      </c>
      <c r="ENU5" t="s">
        <v>60495</v>
      </c>
      <c r="ENW5" t="s">
        <v>60495</v>
      </c>
      <c r="ENY5" t="s">
        <v>60495</v>
      </c>
      <c r="EOA5" t="s">
        <v>60495</v>
      </c>
      <c r="EOC5" t="s">
        <v>60495</v>
      </c>
      <c r="EOE5" t="s">
        <v>60495</v>
      </c>
      <c r="EOG5" t="s">
        <v>60495</v>
      </c>
      <c r="EOI5" t="s">
        <v>60495</v>
      </c>
      <c r="EOK5" t="s">
        <v>60495</v>
      </c>
      <c r="EOM5" t="s">
        <v>60495</v>
      </c>
      <c r="EOO5" t="s">
        <v>60495</v>
      </c>
      <c r="EOQ5" t="s">
        <v>60495</v>
      </c>
      <c r="EOS5" t="s">
        <v>60495</v>
      </c>
      <c r="EOU5" t="s">
        <v>60495</v>
      </c>
      <c r="EOW5" t="s">
        <v>60495</v>
      </c>
      <c r="EOY5" t="s">
        <v>60495</v>
      </c>
      <c r="EPA5" t="s">
        <v>60495</v>
      </c>
      <c r="EPC5" t="s">
        <v>60495</v>
      </c>
      <c r="EPE5" t="s">
        <v>60495</v>
      </c>
      <c r="EPG5" t="s">
        <v>60495</v>
      </c>
      <c r="EPI5" t="s">
        <v>60495</v>
      </c>
      <c r="EPK5" t="s">
        <v>60495</v>
      </c>
      <c r="EPM5" t="s">
        <v>60495</v>
      </c>
      <c r="EPO5" t="s">
        <v>60495</v>
      </c>
      <c r="EPQ5" t="s">
        <v>60495</v>
      </c>
      <c r="EPS5" t="s">
        <v>60495</v>
      </c>
      <c r="EPU5" t="s">
        <v>60495</v>
      </c>
      <c r="EPW5" t="s">
        <v>60495</v>
      </c>
      <c r="EPY5" t="s">
        <v>60495</v>
      </c>
      <c r="EQA5" t="s">
        <v>60495</v>
      </c>
      <c r="EQC5" t="s">
        <v>60495</v>
      </c>
      <c r="EQE5" t="s">
        <v>60495</v>
      </c>
      <c r="EQG5" t="s">
        <v>60495</v>
      </c>
      <c r="EQI5" t="s">
        <v>60495</v>
      </c>
      <c r="EQK5" t="s">
        <v>60495</v>
      </c>
      <c r="EQM5" t="s">
        <v>60495</v>
      </c>
      <c r="EQO5" t="s">
        <v>60495</v>
      </c>
      <c r="EQQ5" t="s">
        <v>60495</v>
      </c>
      <c r="EQS5" t="s">
        <v>60495</v>
      </c>
      <c r="EQU5" t="s">
        <v>60495</v>
      </c>
      <c r="EQW5" t="s">
        <v>60495</v>
      </c>
      <c r="EQY5" t="s">
        <v>60495</v>
      </c>
      <c r="ERA5" t="s">
        <v>60495</v>
      </c>
      <c r="ERC5" t="s">
        <v>60495</v>
      </c>
      <c r="ERE5" t="s">
        <v>60495</v>
      </c>
      <c r="ERG5" t="s">
        <v>60495</v>
      </c>
      <c r="ERI5" t="s">
        <v>60495</v>
      </c>
      <c r="ERK5" t="s">
        <v>60495</v>
      </c>
      <c r="ERM5" t="s">
        <v>60495</v>
      </c>
      <c r="ERO5" t="s">
        <v>60495</v>
      </c>
      <c r="ERQ5" t="s">
        <v>60495</v>
      </c>
      <c r="ERS5" t="s">
        <v>60495</v>
      </c>
      <c r="ERU5" t="s">
        <v>60495</v>
      </c>
      <c r="ERW5" t="s">
        <v>60495</v>
      </c>
      <c r="ERY5" t="s">
        <v>60495</v>
      </c>
      <c r="ESA5" t="s">
        <v>60495</v>
      </c>
      <c r="ESC5" t="s">
        <v>60495</v>
      </c>
      <c r="ESE5" t="s">
        <v>60495</v>
      </c>
      <c r="ESG5" t="s">
        <v>60495</v>
      </c>
      <c r="ESI5" t="s">
        <v>60495</v>
      </c>
      <c r="ESK5" t="s">
        <v>60495</v>
      </c>
      <c r="ESM5" t="s">
        <v>60495</v>
      </c>
      <c r="ESO5" t="s">
        <v>60495</v>
      </c>
      <c r="ESQ5" t="s">
        <v>60495</v>
      </c>
      <c r="ESS5" t="s">
        <v>60495</v>
      </c>
      <c r="ESU5" t="s">
        <v>60495</v>
      </c>
      <c r="ESW5" t="s">
        <v>60495</v>
      </c>
      <c r="ESY5" t="s">
        <v>60495</v>
      </c>
      <c r="ETA5" t="s">
        <v>60495</v>
      </c>
      <c r="ETC5" t="s">
        <v>60495</v>
      </c>
      <c r="ETE5" t="s">
        <v>60495</v>
      </c>
      <c r="ETG5" t="s">
        <v>60495</v>
      </c>
      <c r="ETI5" t="s">
        <v>60495</v>
      </c>
      <c r="ETK5" t="s">
        <v>60495</v>
      </c>
      <c r="ETM5" t="s">
        <v>60495</v>
      </c>
      <c r="ETO5" t="s">
        <v>60495</v>
      </c>
      <c r="ETQ5" t="s">
        <v>60495</v>
      </c>
      <c r="ETS5" t="s">
        <v>60495</v>
      </c>
      <c r="ETU5" t="s">
        <v>60495</v>
      </c>
      <c r="ETW5" t="s">
        <v>60495</v>
      </c>
      <c r="ETY5" t="s">
        <v>60495</v>
      </c>
      <c r="EUA5" t="s">
        <v>25922</v>
      </c>
      <c r="EUB5" t="s">
        <v>60495</v>
      </c>
      <c r="EUD5" t="s">
        <v>60495</v>
      </c>
      <c r="EUF5" t="s">
        <v>60495</v>
      </c>
      <c r="EUH5" t="s">
        <v>60495</v>
      </c>
      <c r="EUJ5" t="s">
        <v>60495</v>
      </c>
      <c r="EUL5" t="s">
        <v>60495</v>
      </c>
      <c r="EUN5" t="s">
        <v>60495</v>
      </c>
      <c r="EUP5" t="s">
        <v>60495</v>
      </c>
      <c r="EUR5" t="s">
        <v>60495</v>
      </c>
      <c r="EUT5" t="s">
        <v>60495</v>
      </c>
      <c r="EUV5" t="s">
        <v>60495</v>
      </c>
      <c r="EUX5" t="s">
        <v>60495</v>
      </c>
      <c r="EUZ5" t="s">
        <v>60495</v>
      </c>
      <c r="EVB5" t="s">
        <v>60495</v>
      </c>
      <c r="EVD5" t="s">
        <v>60495</v>
      </c>
      <c r="EVF5" t="s">
        <v>60495</v>
      </c>
      <c r="EVH5" t="s">
        <v>60495</v>
      </c>
      <c r="EVJ5" t="s">
        <v>60495</v>
      </c>
      <c r="EVL5" t="s">
        <v>60495</v>
      </c>
      <c r="EVN5" t="s">
        <v>60495</v>
      </c>
      <c r="EVP5" t="s">
        <v>60495</v>
      </c>
      <c r="EVR5" t="s">
        <v>60495</v>
      </c>
      <c r="EVT5" t="s">
        <v>60495</v>
      </c>
      <c r="EVV5" t="s">
        <v>60495</v>
      </c>
      <c r="EVX5" t="s">
        <v>60495</v>
      </c>
      <c r="EVZ5" t="s">
        <v>60495</v>
      </c>
      <c r="EWB5" t="s">
        <v>60495</v>
      </c>
      <c r="EWD5" t="s">
        <v>60495</v>
      </c>
      <c r="EWF5" t="s">
        <v>60495</v>
      </c>
      <c r="EWH5" t="s">
        <v>60495</v>
      </c>
      <c r="EWJ5" t="s">
        <v>60495</v>
      </c>
      <c r="EWL5" t="s">
        <v>60495</v>
      </c>
      <c r="EWN5" t="s">
        <v>60495</v>
      </c>
      <c r="EWP5" t="s">
        <v>60495</v>
      </c>
      <c r="EWR5" t="s">
        <v>60495</v>
      </c>
      <c r="EWT5" t="s">
        <v>60495</v>
      </c>
      <c r="EWV5" t="s">
        <v>26352</v>
      </c>
      <c r="EWX5" t="s">
        <v>60495</v>
      </c>
      <c r="EWZ5" t="s">
        <v>60495</v>
      </c>
      <c r="EXB5" t="s">
        <v>60495</v>
      </c>
      <c r="EXD5" t="s">
        <v>60495</v>
      </c>
      <c r="EXF5" t="s">
        <v>60495</v>
      </c>
      <c r="EXH5" t="s">
        <v>60495</v>
      </c>
      <c r="EXJ5" t="s">
        <v>60495</v>
      </c>
      <c r="EXL5" t="s">
        <v>60495</v>
      </c>
      <c r="EXN5" t="s">
        <v>60495</v>
      </c>
      <c r="EXP5" t="s">
        <v>60495</v>
      </c>
      <c r="EXR5" t="s">
        <v>60495</v>
      </c>
      <c r="EXT5" t="s">
        <v>60495</v>
      </c>
      <c r="EXV5" t="s">
        <v>60495</v>
      </c>
      <c r="EXX5" t="s">
        <v>60495</v>
      </c>
      <c r="EXZ5" t="s">
        <v>60495</v>
      </c>
      <c r="EYB5" t="s">
        <v>60495</v>
      </c>
      <c r="EYD5" t="s">
        <v>60495</v>
      </c>
      <c r="EYF5" t="s">
        <v>60495</v>
      </c>
      <c r="EYH5" t="s">
        <v>60495</v>
      </c>
      <c r="EYJ5" t="s">
        <v>60495</v>
      </c>
      <c r="EYL5" t="s">
        <v>60495</v>
      </c>
      <c r="EYN5" t="s">
        <v>60495</v>
      </c>
      <c r="EYP5" t="s">
        <v>60495</v>
      </c>
      <c r="EYR5" t="s">
        <v>60495</v>
      </c>
      <c r="EYT5" t="s">
        <v>60495</v>
      </c>
      <c r="EYV5" t="s">
        <v>60495</v>
      </c>
      <c r="EYX5" t="s">
        <v>60495</v>
      </c>
      <c r="EYZ5" t="s">
        <v>60495</v>
      </c>
      <c r="EZB5" t="s">
        <v>26585</v>
      </c>
      <c r="EZC5" t="s">
        <v>60495</v>
      </c>
      <c r="EZE5" t="s">
        <v>60495</v>
      </c>
      <c r="EZG5" t="s">
        <v>26593</v>
      </c>
      <c r="EZH5" t="s">
        <v>60495</v>
      </c>
      <c r="EZJ5" t="s">
        <v>60495</v>
      </c>
      <c r="EZL5" t="s">
        <v>24950</v>
      </c>
      <c r="EZM5" t="s">
        <v>60495</v>
      </c>
      <c r="EZO5" t="s">
        <v>26662</v>
      </c>
      <c r="EZP5" t="s">
        <v>60495</v>
      </c>
      <c r="EZR5" t="s">
        <v>60495</v>
      </c>
      <c r="EZT5" t="s">
        <v>60495</v>
      </c>
      <c r="EZV5" t="s">
        <v>60495</v>
      </c>
      <c r="EZX5" t="s">
        <v>26418</v>
      </c>
      <c r="EZY5" t="s">
        <v>60495</v>
      </c>
      <c r="FAA5" t="s">
        <v>60495</v>
      </c>
      <c r="FAC5" t="s">
        <v>60495</v>
      </c>
      <c r="FAE5" t="s">
        <v>26710</v>
      </c>
      <c r="FAF5" t="s">
        <v>60495</v>
      </c>
      <c r="FAH5" t="s">
        <v>60495</v>
      </c>
      <c r="FAJ5" t="s">
        <v>60495</v>
      </c>
      <c r="FAL5" t="s">
        <v>60495</v>
      </c>
      <c r="FAN5" t="s">
        <v>60495</v>
      </c>
      <c r="FAP5" t="s">
        <v>60495</v>
      </c>
      <c r="FAR5" t="s">
        <v>60495</v>
      </c>
      <c r="FAT5" t="s">
        <v>26757</v>
      </c>
      <c r="FAU5" t="s">
        <v>60495</v>
      </c>
      <c r="FAW5" t="s">
        <v>60495</v>
      </c>
      <c r="FAY5" t="s">
        <v>60495</v>
      </c>
      <c r="FBA5" t="s">
        <v>60495</v>
      </c>
      <c r="FBC5" t="s">
        <v>60495</v>
      </c>
      <c r="FBE5" t="s">
        <v>60495</v>
      </c>
      <c r="FBG5" t="s">
        <v>60495</v>
      </c>
      <c r="FBI5" t="s">
        <v>60495</v>
      </c>
      <c r="FBK5" t="s">
        <v>60495</v>
      </c>
      <c r="FBM5" t="s">
        <v>60495</v>
      </c>
      <c r="FBO5" t="s">
        <v>60495</v>
      </c>
      <c r="FBQ5" t="s">
        <v>60495</v>
      </c>
      <c r="FBS5" t="s">
        <v>60495</v>
      </c>
      <c r="FBU5" t="s">
        <v>60495</v>
      </c>
      <c r="FBW5" t="s">
        <v>60495</v>
      </c>
      <c r="FBY5" t="s">
        <v>60495</v>
      </c>
      <c r="FCA5" t="s">
        <v>60495</v>
      </c>
      <c r="FCC5" t="s">
        <v>60495</v>
      </c>
      <c r="FCE5" t="s">
        <v>60495</v>
      </c>
      <c r="FCG5" t="s">
        <v>60495</v>
      </c>
      <c r="FCI5" t="s">
        <v>26903</v>
      </c>
      <c r="FCJ5" t="s">
        <v>60495</v>
      </c>
      <c r="FCL5" t="s">
        <v>26911</v>
      </c>
      <c r="FCM5" t="s">
        <v>17761</v>
      </c>
      <c r="FCO5" t="s">
        <v>60495</v>
      </c>
      <c r="FCQ5" t="s">
        <v>60495</v>
      </c>
      <c r="FCS5" t="s">
        <v>60495</v>
      </c>
      <c r="FCU5" t="s">
        <v>60495</v>
      </c>
      <c r="FCW5" t="s">
        <v>60495</v>
      </c>
      <c r="FCY5" t="s">
        <v>60495</v>
      </c>
      <c r="FDA5" t="s">
        <v>60495</v>
      </c>
      <c r="FDC5" t="s">
        <v>60495</v>
      </c>
      <c r="FDE5" t="s">
        <v>26965</v>
      </c>
      <c r="FDF5" t="s">
        <v>60495</v>
      </c>
      <c r="FDH5" t="s">
        <v>25607</v>
      </c>
      <c r="FDI5" t="s">
        <v>60495</v>
      </c>
      <c r="FDK5" t="s">
        <v>60495</v>
      </c>
      <c r="FDM5" t="s">
        <v>60495</v>
      </c>
      <c r="FDO5" t="s">
        <v>60495</v>
      </c>
      <c r="FDQ5" t="s">
        <v>60495</v>
      </c>
      <c r="FDS5" t="s">
        <v>60495</v>
      </c>
      <c r="FDU5" t="s">
        <v>26448</v>
      </c>
      <c r="FDV5" t="s">
        <v>26433</v>
      </c>
      <c r="FDW5" t="s">
        <v>60495</v>
      </c>
      <c r="FDY5" t="s">
        <v>60495</v>
      </c>
      <c r="FEA5" t="s">
        <v>17224</v>
      </c>
      <c r="FEB5" t="s">
        <v>60495</v>
      </c>
      <c r="FED5" t="s">
        <v>17413</v>
      </c>
      <c r="FEE5" t="s">
        <v>60495</v>
      </c>
      <c r="FEG5" t="s">
        <v>60495</v>
      </c>
      <c r="FEI5" t="s">
        <v>60495</v>
      </c>
      <c r="FEK5" t="s">
        <v>60495</v>
      </c>
      <c r="FEM5" t="s">
        <v>60495</v>
      </c>
      <c r="FEO5" t="s">
        <v>60495</v>
      </c>
      <c r="FEQ5" t="s">
        <v>60495</v>
      </c>
      <c r="FES5" t="s">
        <v>60495</v>
      </c>
      <c r="FEU5" t="s">
        <v>60495</v>
      </c>
      <c r="FEW5" t="s">
        <v>60495</v>
      </c>
      <c r="FEY5" t="s">
        <v>27056</v>
      </c>
      <c r="FEZ5" t="s">
        <v>60495</v>
      </c>
      <c r="FFB5" t="s">
        <v>60495</v>
      </c>
      <c r="FFD5" t="s">
        <v>60495</v>
      </c>
      <c r="FFF5" t="s">
        <v>60495</v>
      </c>
      <c r="FFH5" t="s">
        <v>60495</v>
      </c>
      <c r="FFJ5" t="s">
        <v>60495</v>
      </c>
      <c r="FFL5" t="s">
        <v>60495</v>
      </c>
      <c r="FFN5" t="s">
        <v>60495</v>
      </c>
      <c r="FFP5" t="s">
        <v>10402</v>
      </c>
      <c r="FFQ5" t="s">
        <v>60495</v>
      </c>
      <c r="FFS5" t="s">
        <v>60495</v>
      </c>
      <c r="FFU5" t="s">
        <v>60495</v>
      </c>
      <c r="FFW5" t="s">
        <v>60495</v>
      </c>
      <c r="FFY5" t="s">
        <v>60495</v>
      </c>
      <c r="FGA5" t="s">
        <v>60495</v>
      </c>
      <c r="FGC5" t="s">
        <v>60495</v>
      </c>
      <c r="FGE5" t="s">
        <v>60495</v>
      </c>
      <c r="FGG5" t="s">
        <v>60495</v>
      </c>
      <c r="FGI5" t="s">
        <v>60495</v>
      </c>
      <c r="FGK5" t="s">
        <v>60495</v>
      </c>
      <c r="FGM5" t="s">
        <v>60495</v>
      </c>
      <c r="FGO5" t="s">
        <v>60495</v>
      </c>
      <c r="FGQ5" t="s">
        <v>60495</v>
      </c>
      <c r="FGS5" t="s">
        <v>60495</v>
      </c>
      <c r="FGU5" t="s">
        <v>60495</v>
      </c>
      <c r="FGW5" t="s">
        <v>60495</v>
      </c>
      <c r="FGY5" t="s">
        <v>60495</v>
      </c>
      <c r="FHA5" t="s">
        <v>60495</v>
      </c>
      <c r="FHC5" t="s">
        <v>60495</v>
      </c>
      <c r="FHE5" t="s">
        <v>60495</v>
      </c>
      <c r="FHG5" t="s">
        <v>60495</v>
      </c>
      <c r="FHI5" t="s">
        <v>60495</v>
      </c>
      <c r="FHK5" t="s">
        <v>60495</v>
      </c>
      <c r="FHM5" t="s">
        <v>60495</v>
      </c>
      <c r="FHO5" t="s">
        <v>60495</v>
      </c>
      <c r="FHQ5" t="s">
        <v>18478</v>
      </c>
      <c r="FHR5" t="s">
        <v>60495</v>
      </c>
      <c r="FHT5" t="s">
        <v>60495</v>
      </c>
      <c r="FHV5" t="s">
        <v>27322</v>
      </c>
      <c r="FHW5" t="s">
        <v>60495</v>
      </c>
      <c r="FHY5" t="s">
        <v>60495</v>
      </c>
      <c r="FIA5" t="s">
        <v>60495</v>
      </c>
      <c r="FIC5" t="s">
        <v>60495</v>
      </c>
      <c r="FIE5" t="s">
        <v>60495</v>
      </c>
      <c r="FIG5" t="s">
        <v>60495</v>
      </c>
      <c r="FII5" t="s">
        <v>60495</v>
      </c>
      <c r="FIK5" t="s">
        <v>60495</v>
      </c>
      <c r="FIM5" t="s">
        <v>27281</v>
      </c>
      <c r="FIN5" t="s">
        <v>60495</v>
      </c>
      <c r="FIP5" t="s">
        <v>17144</v>
      </c>
      <c r="FIR5" t="s">
        <v>60495</v>
      </c>
      <c r="FIT5" t="s">
        <v>60495</v>
      </c>
      <c r="FIV5" t="s">
        <v>60495</v>
      </c>
      <c r="FIX5" t="s">
        <v>60495</v>
      </c>
      <c r="FIZ5" t="s">
        <v>60495</v>
      </c>
      <c r="FJB5" t="s">
        <v>60495</v>
      </c>
      <c r="FJD5" t="s">
        <v>60495</v>
      </c>
      <c r="FJF5" t="s">
        <v>60495</v>
      </c>
      <c r="FJH5" t="s">
        <v>60495</v>
      </c>
      <c r="FJJ5" t="s">
        <v>60495</v>
      </c>
      <c r="FJL5" t="s">
        <v>60495</v>
      </c>
      <c r="FJN5" t="s">
        <v>60495</v>
      </c>
      <c r="FJP5" t="s">
        <v>60495</v>
      </c>
      <c r="FJR5" t="s">
        <v>60495</v>
      </c>
      <c r="FJT5" t="s">
        <v>60495</v>
      </c>
      <c r="FJV5" t="s">
        <v>60495</v>
      </c>
      <c r="FJX5" t="s">
        <v>60495</v>
      </c>
      <c r="FJZ5" t="s">
        <v>60495</v>
      </c>
      <c r="FKB5" t="s">
        <v>60495</v>
      </c>
      <c r="FKD5" t="s">
        <v>60495</v>
      </c>
      <c r="FKF5" t="s">
        <v>60495</v>
      </c>
      <c r="FKH5" t="s">
        <v>60495</v>
      </c>
      <c r="FKJ5" t="s">
        <v>60495</v>
      </c>
      <c r="FKL5" t="s">
        <v>60495</v>
      </c>
      <c r="FKN5" t="s">
        <v>60495</v>
      </c>
      <c r="FKP5" t="s">
        <v>60495</v>
      </c>
      <c r="FKR5" t="s">
        <v>60495</v>
      </c>
      <c r="FKT5" t="s">
        <v>60495</v>
      </c>
      <c r="FKV5" t="s">
        <v>60495</v>
      </c>
      <c r="FKX5" t="s">
        <v>60495</v>
      </c>
      <c r="FKZ5" t="s">
        <v>60495</v>
      </c>
      <c r="FLB5" t="s">
        <v>60495</v>
      </c>
      <c r="FLD5" t="s">
        <v>60495</v>
      </c>
      <c r="FLF5" t="s">
        <v>60495</v>
      </c>
      <c r="FLH5" t="s">
        <v>60495</v>
      </c>
      <c r="FLJ5" t="s">
        <v>60495</v>
      </c>
      <c r="FLL5" t="s">
        <v>15651</v>
      </c>
      <c r="FLM5" t="s">
        <v>60495</v>
      </c>
      <c r="FLO5" t="s">
        <v>60495</v>
      </c>
      <c r="FLQ5" t="s">
        <v>60495</v>
      </c>
      <c r="FLS5" t="s">
        <v>60495</v>
      </c>
      <c r="FLU5" t="s">
        <v>60495</v>
      </c>
      <c r="FLW5" t="s">
        <v>60495</v>
      </c>
      <c r="FLY5" t="s">
        <v>60495</v>
      </c>
      <c r="FMA5" t="s">
        <v>60495</v>
      </c>
      <c r="FMC5" t="s">
        <v>60495</v>
      </c>
      <c r="FME5" t="s">
        <v>60495</v>
      </c>
      <c r="FMG5" t="s">
        <v>60495</v>
      </c>
      <c r="FMI5" t="s">
        <v>60495</v>
      </c>
      <c r="FMK5" t="s">
        <v>60495</v>
      </c>
      <c r="FMM5" t="s">
        <v>60495</v>
      </c>
      <c r="FMO5" t="s">
        <v>60495</v>
      </c>
      <c r="FMQ5" t="s">
        <v>60495</v>
      </c>
      <c r="FMS5" t="s">
        <v>60495</v>
      </c>
      <c r="FMU5" t="s">
        <v>60495</v>
      </c>
      <c r="FMW5" t="s">
        <v>60495</v>
      </c>
      <c r="FMY5" t="s">
        <v>60495</v>
      </c>
      <c r="FNA5" t="s">
        <v>60495</v>
      </c>
      <c r="FNC5" t="s">
        <v>60495</v>
      </c>
      <c r="FNE5" t="s">
        <v>60495</v>
      </c>
      <c r="FNG5" t="s">
        <v>60495</v>
      </c>
      <c r="FNI5" t="s">
        <v>60495</v>
      </c>
      <c r="FNK5" t="s">
        <v>60495</v>
      </c>
      <c r="FNM5" t="s">
        <v>60495</v>
      </c>
      <c r="FNO5" t="s">
        <v>60495</v>
      </c>
      <c r="FNQ5" t="s">
        <v>60495</v>
      </c>
      <c r="FNS5" t="s">
        <v>60495</v>
      </c>
      <c r="FNU5" t="s">
        <v>60495</v>
      </c>
      <c r="FNW5" t="s">
        <v>60495</v>
      </c>
      <c r="FNY5" t="s">
        <v>60495</v>
      </c>
      <c r="FOA5" t="s">
        <v>60495</v>
      </c>
      <c r="FOC5" t="s">
        <v>60495</v>
      </c>
      <c r="FOE5" t="s">
        <v>60495</v>
      </c>
      <c r="FOG5" t="s">
        <v>60495</v>
      </c>
      <c r="FOI5" t="s">
        <v>60495</v>
      </c>
      <c r="FOK5" t="s">
        <v>60495</v>
      </c>
      <c r="FOM5" t="s">
        <v>60495</v>
      </c>
      <c r="FOO5" t="s">
        <v>60495</v>
      </c>
      <c r="FOQ5" t="s">
        <v>60495</v>
      </c>
      <c r="FOS5" t="s">
        <v>28068</v>
      </c>
      <c r="FOU5" t="s">
        <v>60495</v>
      </c>
      <c r="FOW5" t="s">
        <v>60495</v>
      </c>
      <c r="FOY5" t="s">
        <v>60495</v>
      </c>
      <c r="FPA5" t="s">
        <v>60495</v>
      </c>
      <c r="FPC5" t="s">
        <v>60495</v>
      </c>
      <c r="FPE5" t="s">
        <v>60495</v>
      </c>
      <c r="FPG5" t="s">
        <v>60495</v>
      </c>
      <c r="FPI5" t="s">
        <v>60495</v>
      </c>
      <c r="FPK5" t="s">
        <v>60495</v>
      </c>
      <c r="FPM5" t="s">
        <v>60495</v>
      </c>
      <c r="FPO5" t="s">
        <v>60495</v>
      </c>
      <c r="FPQ5" t="s">
        <v>60495</v>
      </c>
      <c r="FPS5" t="s">
        <v>60495</v>
      </c>
      <c r="FPU5" t="s">
        <v>60495</v>
      </c>
      <c r="FPW5" t="s">
        <v>15106</v>
      </c>
      <c r="FPY5" t="s">
        <v>60495</v>
      </c>
      <c r="FQA5" t="s">
        <v>60495</v>
      </c>
      <c r="FQC5" t="s">
        <v>60495</v>
      </c>
      <c r="FQE5" t="s">
        <v>28152</v>
      </c>
      <c r="FQF5" t="s">
        <v>60495</v>
      </c>
      <c r="FQH5" t="s">
        <v>60495</v>
      </c>
      <c r="FQJ5" t="s">
        <v>60495</v>
      </c>
      <c r="FQL5" t="s">
        <v>60495</v>
      </c>
      <c r="FQN5" t="s">
        <v>60495</v>
      </c>
      <c r="FQP5" t="s">
        <v>60495</v>
      </c>
      <c r="FQR5" t="s">
        <v>60495</v>
      </c>
      <c r="FQT5" t="s">
        <v>60495</v>
      </c>
      <c r="FQV5" t="s">
        <v>60495</v>
      </c>
      <c r="FQX5" t="s">
        <v>60495</v>
      </c>
      <c r="FQZ5" t="s">
        <v>60495</v>
      </c>
      <c r="FRB5" t="s">
        <v>60495</v>
      </c>
      <c r="FRD5" t="s">
        <v>60495</v>
      </c>
      <c r="FRF5" t="s">
        <v>60495</v>
      </c>
      <c r="FRH5" t="s">
        <v>28386</v>
      </c>
      <c r="FRJ5" t="s">
        <v>60495</v>
      </c>
      <c r="FRL5" t="s">
        <v>60495</v>
      </c>
      <c r="FRN5" t="s">
        <v>60495</v>
      </c>
      <c r="FRP5" t="s">
        <v>60495</v>
      </c>
      <c r="FRR5" t="s">
        <v>60495</v>
      </c>
      <c r="FRT5" t="s">
        <v>21950</v>
      </c>
      <c r="FRU5" t="s">
        <v>60495</v>
      </c>
      <c r="FRW5" t="s">
        <v>60495</v>
      </c>
      <c r="FRY5" t="s">
        <v>60495</v>
      </c>
      <c r="FSA5" t="s">
        <v>60495</v>
      </c>
      <c r="FSC5" t="s">
        <v>60495</v>
      </c>
      <c r="FSE5" t="s">
        <v>60495</v>
      </c>
      <c r="FSG5" t="s">
        <v>60495</v>
      </c>
      <c r="FSI5" t="s">
        <v>60495</v>
      </c>
      <c r="FSK5" t="s">
        <v>60495</v>
      </c>
      <c r="FSM5" t="s">
        <v>60495</v>
      </c>
      <c r="FSO5" t="s">
        <v>28655</v>
      </c>
      <c r="FSP5" t="s">
        <v>60495</v>
      </c>
      <c r="FSR5" t="s">
        <v>60495</v>
      </c>
      <c r="FST5" t="s">
        <v>60495</v>
      </c>
      <c r="FSV5" t="s">
        <v>60495</v>
      </c>
      <c r="FSX5" t="s">
        <v>60495</v>
      </c>
      <c r="FSZ5" t="s">
        <v>60495</v>
      </c>
      <c r="FTB5" t="s">
        <v>60495</v>
      </c>
      <c r="FTD5" t="s">
        <v>28664</v>
      </c>
      <c r="FTE5" t="s">
        <v>60495</v>
      </c>
      <c r="FTG5" t="s">
        <v>28625</v>
      </c>
      <c r="FTH5" t="s">
        <v>60495</v>
      </c>
      <c r="FTJ5" t="s">
        <v>18586</v>
      </c>
      <c r="FTK5" t="s">
        <v>60495</v>
      </c>
      <c r="FTM5" t="s">
        <v>60495</v>
      </c>
      <c r="FTO5" t="s">
        <v>60495</v>
      </c>
      <c r="FTQ5" t="s">
        <v>60495</v>
      </c>
      <c r="FTS5" t="s">
        <v>60495</v>
      </c>
      <c r="FTU5" t="s">
        <v>60495</v>
      </c>
      <c r="FTW5" t="s">
        <v>60495</v>
      </c>
      <c r="FTY5" t="s">
        <v>60495</v>
      </c>
      <c r="FUA5" t="s">
        <v>60495</v>
      </c>
      <c r="FUC5" t="s">
        <v>60495</v>
      </c>
      <c r="FUE5" t="s">
        <v>60495</v>
      </c>
      <c r="FUG5" t="s">
        <v>60495</v>
      </c>
      <c r="FUI5" t="s">
        <v>60495</v>
      </c>
      <c r="FUK5" t="s">
        <v>60495</v>
      </c>
      <c r="FUM5" t="s">
        <v>60495</v>
      </c>
      <c r="FUO5" t="s">
        <v>60495</v>
      </c>
      <c r="FUQ5" t="s">
        <v>60495</v>
      </c>
      <c r="FUS5" t="s">
        <v>60495</v>
      </c>
      <c r="FUU5" t="s">
        <v>60495</v>
      </c>
      <c r="FUW5" t="s">
        <v>60495</v>
      </c>
      <c r="FUY5" t="s">
        <v>60495</v>
      </c>
      <c r="FVA5" t="s">
        <v>28952</v>
      </c>
      <c r="FVC5" t="s">
        <v>60495</v>
      </c>
      <c r="FVE5" t="s">
        <v>60495</v>
      </c>
      <c r="FVG5" t="s">
        <v>60495</v>
      </c>
      <c r="FVI5" t="s">
        <v>60495</v>
      </c>
      <c r="FVK5" t="s">
        <v>60495</v>
      </c>
      <c r="FVM5" t="s">
        <v>60495</v>
      </c>
      <c r="FVO5" t="s">
        <v>60495</v>
      </c>
      <c r="FVQ5" t="s">
        <v>60495</v>
      </c>
      <c r="FVS5" t="s">
        <v>60495</v>
      </c>
      <c r="FVU5" t="s">
        <v>60495</v>
      </c>
      <c r="FVW5" t="s">
        <v>60495</v>
      </c>
      <c r="FVY5" t="s">
        <v>60495</v>
      </c>
      <c r="FWA5" t="s">
        <v>60495</v>
      </c>
      <c r="FWC5" t="s">
        <v>60495</v>
      </c>
      <c r="FWE5" t="s">
        <v>60495</v>
      </c>
      <c r="FWG5" t="s">
        <v>60495</v>
      </c>
      <c r="FWI5" t="s">
        <v>60495</v>
      </c>
      <c r="FWK5" t="s">
        <v>60495</v>
      </c>
      <c r="FWM5" t="s">
        <v>60495</v>
      </c>
      <c r="FWO5" t="s">
        <v>60495</v>
      </c>
      <c r="FWQ5" t="s">
        <v>60495</v>
      </c>
      <c r="FWS5" t="s">
        <v>60495</v>
      </c>
      <c r="FWU5" t="s">
        <v>60495</v>
      </c>
      <c r="FWW5" t="s">
        <v>60495</v>
      </c>
      <c r="FWY5" t="s">
        <v>60495</v>
      </c>
      <c r="FXA5" t="s">
        <v>60495</v>
      </c>
      <c r="FXC5" t="s">
        <v>60495</v>
      </c>
      <c r="FXE5" t="s">
        <v>60495</v>
      </c>
      <c r="FXG5" t="s">
        <v>60495</v>
      </c>
      <c r="FXI5" t="s">
        <v>60495</v>
      </c>
      <c r="FXK5" t="s">
        <v>60495</v>
      </c>
      <c r="FXM5" t="s">
        <v>60495</v>
      </c>
      <c r="FXO5" t="s">
        <v>60495</v>
      </c>
      <c r="FXQ5" t="s">
        <v>60495</v>
      </c>
      <c r="FXS5" t="s">
        <v>60495</v>
      </c>
      <c r="FXU5" t="s">
        <v>60495</v>
      </c>
      <c r="FXW5" t="s">
        <v>60495</v>
      </c>
      <c r="FXY5" t="s">
        <v>60495</v>
      </c>
      <c r="FYA5" t="s">
        <v>60495</v>
      </c>
      <c r="FYC5" t="s">
        <v>60495</v>
      </c>
      <c r="FYE5" t="s">
        <v>60495</v>
      </c>
      <c r="FYG5" t="s">
        <v>60495</v>
      </c>
      <c r="FYI5" t="s">
        <v>60495</v>
      </c>
      <c r="FYK5" t="s">
        <v>60495</v>
      </c>
      <c r="FYM5" t="s">
        <v>60495</v>
      </c>
      <c r="FYO5" t="s">
        <v>60495</v>
      </c>
      <c r="FYQ5" t="s">
        <v>60495</v>
      </c>
      <c r="FYS5" t="s">
        <v>60495</v>
      </c>
      <c r="FYU5" t="s">
        <v>60495</v>
      </c>
      <c r="FYW5" t="s">
        <v>60495</v>
      </c>
      <c r="FYY5" t="s">
        <v>60495</v>
      </c>
      <c r="FZA5" t="s">
        <v>60495</v>
      </c>
      <c r="FZC5" t="s">
        <v>60495</v>
      </c>
      <c r="FZE5" t="s">
        <v>60495</v>
      </c>
      <c r="FZG5" t="s">
        <v>60495</v>
      </c>
      <c r="FZI5" t="s">
        <v>60495</v>
      </c>
      <c r="FZK5" t="s">
        <v>60495</v>
      </c>
      <c r="FZM5" t="s">
        <v>60495</v>
      </c>
      <c r="FZO5" t="s">
        <v>60495</v>
      </c>
      <c r="FZQ5" t="s">
        <v>60495</v>
      </c>
      <c r="FZS5" t="s">
        <v>60495</v>
      </c>
      <c r="FZU5" t="s">
        <v>60495</v>
      </c>
      <c r="FZW5" t="s">
        <v>60495</v>
      </c>
      <c r="FZY5" t="s">
        <v>60495</v>
      </c>
      <c r="GAA5" t="s">
        <v>60495</v>
      </c>
      <c r="GAC5" t="s">
        <v>60495</v>
      </c>
      <c r="GAE5" t="s">
        <v>60495</v>
      </c>
      <c r="GAG5" t="s">
        <v>60495</v>
      </c>
      <c r="GAI5" t="s">
        <v>60495</v>
      </c>
      <c r="GAK5" t="s">
        <v>60495</v>
      </c>
      <c r="GAM5" t="s">
        <v>60495</v>
      </c>
      <c r="GAO5" t="s">
        <v>60495</v>
      </c>
      <c r="GAQ5" t="s">
        <v>60495</v>
      </c>
      <c r="GAS5" t="s">
        <v>60495</v>
      </c>
      <c r="GAU5" t="s">
        <v>60495</v>
      </c>
      <c r="GAW5" t="s">
        <v>60495</v>
      </c>
      <c r="GAY5" t="s">
        <v>60495</v>
      </c>
      <c r="GBA5" t="s">
        <v>60495</v>
      </c>
      <c r="GBC5" t="s">
        <v>17161</v>
      </c>
      <c r="GBD5" t="s">
        <v>60495</v>
      </c>
      <c r="GBF5" t="s">
        <v>60495</v>
      </c>
      <c r="GBH5" t="s">
        <v>60495</v>
      </c>
      <c r="GBJ5" t="s">
        <v>60495</v>
      </c>
      <c r="GBL5" t="s">
        <v>60495</v>
      </c>
      <c r="GBN5" t="s">
        <v>60495</v>
      </c>
      <c r="GBP5" t="s">
        <v>60495</v>
      </c>
      <c r="GBR5" t="s">
        <v>60495</v>
      </c>
      <c r="GBT5" t="s">
        <v>60495</v>
      </c>
      <c r="GBV5" t="s">
        <v>60495</v>
      </c>
      <c r="GBX5" t="s">
        <v>60495</v>
      </c>
      <c r="GBZ5" t="s">
        <v>60495</v>
      </c>
      <c r="GCB5" t="s">
        <v>60495</v>
      </c>
      <c r="GCD5" t="s">
        <v>60495</v>
      </c>
      <c r="GCF5" t="s">
        <v>60495</v>
      </c>
      <c r="GCH5" t="s">
        <v>60495</v>
      </c>
      <c r="GCJ5" t="s">
        <v>60495</v>
      </c>
      <c r="GCL5" t="s">
        <v>30133</v>
      </c>
      <c r="GCN5" t="s">
        <v>60495</v>
      </c>
      <c r="GCP5" t="s">
        <v>60495</v>
      </c>
      <c r="GCR5" t="s">
        <v>60495</v>
      </c>
      <c r="GCT5" t="s">
        <v>60495</v>
      </c>
      <c r="GCV5" t="s">
        <v>60495</v>
      </c>
      <c r="GCX5" t="s">
        <v>60495</v>
      </c>
      <c r="GCZ5" t="s">
        <v>60495</v>
      </c>
      <c r="GDB5" t="s">
        <v>60495</v>
      </c>
      <c r="GDD5" t="s">
        <v>30250</v>
      </c>
      <c r="GDF5" t="s">
        <v>60495</v>
      </c>
      <c r="GDH5" t="s">
        <v>60495</v>
      </c>
      <c r="GDJ5" t="s">
        <v>60495</v>
      </c>
      <c r="GDL5" t="s">
        <v>60495</v>
      </c>
      <c r="GDN5" t="s">
        <v>60495</v>
      </c>
      <c r="GDP5" t="s">
        <v>60495</v>
      </c>
      <c r="GDR5" t="s">
        <v>60495</v>
      </c>
      <c r="GDT5" t="s">
        <v>60495</v>
      </c>
      <c r="GDV5" t="s">
        <v>60495</v>
      </c>
      <c r="GDX5" t="s">
        <v>60495</v>
      </c>
      <c r="GDZ5" t="s">
        <v>60495</v>
      </c>
      <c r="GEB5" t="s">
        <v>60495</v>
      </c>
      <c r="GED5" t="s">
        <v>60495</v>
      </c>
      <c r="GEF5" t="s">
        <v>60495</v>
      </c>
      <c r="GEH5" t="s">
        <v>60495</v>
      </c>
      <c r="GEJ5" t="s">
        <v>60495</v>
      </c>
      <c r="GEL5" t="s">
        <v>60495</v>
      </c>
      <c r="GEN5" t="s">
        <v>60495</v>
      </c>
      <c r="GEP5" t="s">
        <v>60495</v>
      </c>
      <c r="GER5" t="s">
        <v>60495</v>
      </c>
      <c r="GET5" t="s">
        <v>60495</v>
      </c>
      <c r="GEV5" t="s">
        <v>60495</v>
      </c>
      <c r="GEX5" t="s">
        <v>60495</v>
      </c>
      <c r="GEZ5" t="s">
        <v>60495</v>
      </c>
      <c r="GFB5" t="s">
        <v>60495</v>
      </c>
      <c r="GFD5" t="s">
        <v>60495</v>
      </c>
      <c r="GFF5" t="s">
        <v>60495</v>
      </c>
      <c r="GFH5" t="s">
        <v>60495</v>
      </c>
      <c r="GFJ5" t="s">
        <v>60495</v>
      </c>
      <c r="GFL5" t="s">
        <v>60495</v>
      </c>
      <c r="GFN5" t="s">
        <v>60495</v>
      </c>
      <c r="GFP5" t="s">
        <v>60495</v>
      </c>
      <c r="GFR5" t="s">
        <v>7661</v>
      </c>
      <c r="GFT5" t="s">
        <v>60495</v>
      </c>
      <c r="GFV5" t="s">
        <v>60495</v>
      </c>
      <c r="GFX5" t="s">
        <v>60495</v>
      </c>
      <c r="GFZ5" t="s">
        <v>60495</v>
      </c>
      <c r="GGB5" t="s">
        <v>60495</v>
      </c>
      <c r="GGD5" t="s">
        <v>60495</v>
      </c>
      <c r="GGF5" t="s">
        <v>60495</v>
      </c>
      <c r="GGH5" t="s">
        <v>36430</v>
      </c>
      <c r="GGI5" t="s">
        <v>60495</v>
      </c>
      <c r="GGK5" t="s">
        <v>60495</v>
      </c>
      <c r="GGM5" t="s">
        <v>60495</v>
      </c>
      <c r="GGO5" t="s">
        <v>60495</v>
      </c>
      <c r="GGQ5" t="s">
        <v>60495</v>
      </c>
      <c r="GGS5" t="s">
        <v>60495</v>
      </c>
      <c r="GGU5" t="s">
        <v>60495</v>
      </c>
      <c r="GGW5" t="s">
        <v>60495</v>
      </c>
      <c r="GGY5" t="s">
        <v>60495</v>
      </c>
      <c r="GHA5" t="s">
        <v>60495</v>
      </c>
      <c r="GHC5" t="s">
        <v>60495</v>
      </c>
      <c r="GHE5" t="s">
        <v>60495</v>
      </c>
      <c r="GHG5" t="s">
        <v>60495</v>
      </c>
      <c r="GHI5" t="s">
        <v>60495</v>
      </c>
      <c r="GHK5" t="s">
        <v>60495</v>
      </c>
      <c r="GHM5" t="s">
        <v>30667</v>
      </c>
      <c r="GHN5" t="s">
        <v>60495</v>
      </c>
      <c r="GHP5" t="s">
        <v>60495</v>
      </c>
      <c r="GHR5" t="s">
        <v>60495</v>
      </c>
      <c r="GHT5" t="s">
        <v>60495</v>
      </c>
      <c r="GHV5" t="s">
        <v>60495</v>
      </c>
      <c r="GHX5" t="s">
        <v>60495</v>
      </c>
      <c r="GHZ5" t="s">
        <v>60495</v>
      </c>
      <c r="GIB5" t="s">
        <v>60495</v>
      </c>
      <c r="GID5" t="s">
        <v>60495</v>
      </c>
      <c r="GIF5" t="s">
        <v>60495</v>
      </c>
      <c r="GIH5" t="s">
        <v>60495</v>
      </c>
      <c r="GIJ5" t="s">
        <v>60495</v>
      </c>
      <c r="GIL5" t="s">
        <v>60495</v>
      </c>
      <c r="GIN5" t="s">
        <v>60495</v>
      </c>
      <c r="GIP5" t="s">
        <v>60495</v>
      </c>
      <c r="GIR5" t="s">
        <v>60495</v>
      </c>
      <c r="GIT5" t="s">
        <v>60495</v>
      </c>
      <c r="GIV5" t="s">
        <v>60495</v>
      </c>
      <c r="GIX5" t="s">
        <v>60495</v>
      </c>
      <c r="GIZ5" t="s">
        <v>60495</v>
      </c>
      <c r="GJB5" t="s">
        <v>60495</v>
      </c>
      <c r="GJD5" t="s">
        <v>60495</v>
      </c>
      <c r="GJF5" t="s">
        <v>60495</v>
      </c>
      <c r="GJH5" t="s">
        <v>60495</v>
      </c>
      <c r="GJJ5" t="s">
        <v>60495</v>
      </c>
      <c r="GJL5" t="s">
        <v>60495</v>
      </c>
      <c r="GJN5" t="s">
        <v>60495</v>
      </c>
      <c r="GJP5" t="s">
        <v>60495</v>
      </c>
      <c r="GJR5" t="s">
        <v>60495</v>
      </c>
      <c r="GJT5" t="s">
        <v>60495</v>
      </c>
      <c r="GJV5" t="s">
        <v>60495</v>
      </c>
      <c r="GJX5" t="s">
        <v>60495</v>
      </c>
      <c r="GJZ5" t="s">
        <v>60495</v>
      </c>
      <c r="GKB5" t="s">
        <v>60495</v>
      </c>
      <c r="GKD5" t="s">
        <v>60495</v>
      </c>
      <c r="GKF5" t="s">
        <v>60495</v>
      </c>
      <c r="GKH5" t="s">
        <v>60495</v>
      </c>
      <c r="GKJ5" t="s">
        <v>60495</v>
      </c>
      <c r="GKL5" t="s">
        <v>60495</v>
      </c>
      <c r="GKN5" t="s">
        <v>60495</v>
      </c>
      <c r="GKP5" t="s">
        <v>60495</v>
      </c>
      <c r="GKR5" t="s">
        <v>31121</v>
      </c>
      <c r="GKS5" t="s">
        <v>60495</v>
      </c>
      <c r="GKU5" t="s">
        <v>60495</v>
      </c>
      <c r="GKW5" t="s">
        <v>60495</v>
      </c>
      <c r="GKY5" t="s">
        <v>60495</v>
      </c>
      <c r="GLA5" t="s">
        <v>60495</v>
      </c>
      <c r="GLC5" t="s">
        <v>60495</v>
      </c>
      <c r="GLE5" t="s">
        <v>60495</v>
      </c>
      <c r="GLG5" t="s">
        <v>60495</v>
      </c>
      <c r="GLI5" t="s">
        <v>31178</v>
      </c>
      <c r="GLK5" t="s">
        <v>60495</v>
      </c>
      <c r="GLM5" t="s">
        <v>60495</v>
      </c>
      <c r="GLO5" t="s">
        <v>60495</v>
      </c>
      <c r="GLQ5" t="s">
        <v>8634</v>
      </c>
      <c r="GLR5" t="s">
        <v>31217</v>
      </c>
      <c r="GLS5" t="s">
        <v>60495</v>
      </c>
      <c r="GLU5" t="s">
        <v>60495</v>
      </c>
      <c r="GLW5" t="s">
        <v>60495</v>
      </c>
      <c r="GLY5" t="s">
        <v>60495</v>
      </c>
      <c r="GMA5" t="s">
        <v>60495</v>
      </c>
      <c r="GMC5" t="s">
        <v>60495</v>
      </c>
      <c r="GME5" t="s">
        <v>60495</v>
      </c>
      <c r="GMG5" t="s">
        <v>60495</v>
      </c>
      <c r="GMI5" t="s">
        <v>60495</v>
      </c>
      <c r="GMK5" t="s">
        <v>60495</v>
      </c>
      <c r="GMM5" t="s">
        <v>60495</v>
      </c>
      <c r="GMO5" t="s">
        <v>60495</v>
      </c>
      <c r="GMQ5" t="s">
        <v>31089</v>
      </c>
      <c r="GMR5" t="s">
        <v>60495</v>
      </c>
      <c r="GMT5" t="s">
        <v>60495</v>
      </c>
      <c r="GMV5" t="s">
        <v>60495</v>
      </c>
      <c r="GMX5" t="s">
        <v>60495</v>
      </c>
      <c r="GMZ5" t="s">
        <v>60495</v>
      </c>
      <c r="GNB5" t="s">
        <v>60495</v>
      </c>
      <c r="GND5" t="s">
        <v>60495</v>
      </c>
      <c r="GNF5" t="s">
        <v>60495</v>
      </c>
      <c r="GNH5" t="s">
        <v>60495</v>
      </c>
      <c r="GNJ5" t="s">
        <v>60495</v>
      </c>
      <c r="GNL5" t="s">
        <v>60495</v>
      </c>
      <c r="GNN5" t="s">
        <v>31364</v>
      </c>
      <c r="GNO5" t="s">
        <v>60495</v>
      </c>
      <c r="GNQ5" t="s">
        <v>60495</v>
      </c>
      <c r="GNS5" t="s">
        <v>60495</v>
      </c>
      <c r="GNU5" t="s">
        <v>60495</v>
      </c>
      <c r="GNW5" t="s">
        <v>28580</v>
      </c>
      <c r="GNX5" t="s">
        <v>60495</v>
      </c>
      <c r="GNZ5" t="s">
        <v>60495</v>
      </c>
      <c r="GOB5" t="s">
        <v>60495</v>
      </c>
      <c r="GOD5" t="s">
        <v>60495</v>
      </c>
      <c r="GOF5" t="s">
        <v>60495</v>
      </c>
      <c r="GOH5" t="s">
        <v>60495</v>
      </c>
      <c r="GOJ5" t="s">
        <v>20000</v>
      </c>
      <c r="GOK5" t="s">
        <v>60495</v>
      </c>
      <c r="GOM5" t="s">
        <v>60495</v>
      </c>
      <c r="GOO5" t="s">
        <v>60495</v>
      </c>
      <c r="GOQ5" t="s">
        <v>60495</v>
      </c>
      <c r="GOS5" t="s">
        <v>31606</v>
      </c>
      <c r="GOU5" t="s">
        <v>60495</v>
      </c>
      <c r="GOW5" t="s">
        <v>60495</v>
      </c>
      <c r="GOY5" t="s">
        <v>31676</v>
      </c>
      <c r="GPA5" t="s">
        <v>60495</v>
      </c>
      <c r="GPC5" t="s">
        <v>60495</v>
      </c>
      <c r="GPE5" t="s">
        <v>60495</v>
      </c>
      <c r="GPG5" t="s">
        <v>60495</v>
      </c>
      <c r="GPI5" t="s">
        <v>60495</v>
      </c>
      <c r="GPK5" t="s">
        <v>60495</v>
      </c>
      <c r="GPM5" t="s">
        <v>60495</v>
      </c>
      <c r="GPO5" t="s">
        <v>60495</v>
      </c>
      <c r="GPQ5" t="s">
        <v>60495</v>
      </c>
      <c r="GPS5" t="s">
        <v>60495</v>
      </c>
      <c r="GPU5" t="s">
        <v>60495</v>
      </c>
      <c r="GPW5" t="s">
        <v>60495</v>
      </c>
      <c r="GPY5" t="s">
        <v>60495</v>
      </c>
      <c r="GQA5" t="s">
        <v>60495</v>
      </c>
      <c r="GQC5" t="s">
        <v>60495</v>
      </c>
      <c r="GQE5" t="s">
        <v>60495</v>
      </c>
      <c r="GQG5" t="s">
        <v>60495</v>
      </c>
      <c r="GQI5" t="s">
        <v>60495</v>
      </c>
      <c r="GQK5" t="s">
        <v>60495</v>
      </c>
      <c r="GQM5" t="s">
        <v>60495</v>
      </c>
      <c r="GQO5" t="s">
        <v>60495</v>
      </c>
      <c r="GQQ5" t="s">
        <v>60495</v>
      </c>
      <c r="GQS5" t="s">
        <v>60495</v>
      </c>
      <c r="GQU5" t="s">
        <v>60495</v>
      </c>
      <c r="GQW5" t="s">
        <v>60495</v>
      </c>
      <c r="GQY5" t="s">
        <v>60495</v>
      </c>
      <c r="GRA5" t="s">
        <v>60495</v>
      </c>
      <c r="GRC5" t="s">
        <v>60495</v>
      </c>
      <c r="GRE5" t="s">
        <v>60495</v>
      </c>
      <c r="GRG5" t="s">
        <v>60495</v>
      </c>
      <c r="GRI5" t="s">
        <v>60495</v>
      </c>
      <c r="GRK5" t="s">
        <v>60495</v>
      </c>
      <c r="GRM5" t="s">
        <v>60495</v>
      </c>
      <c r="GRO5" t="s">
        <v>60495</v>
      </c>
      <c r="GRQ5" t="s">
        <v>60495</v>
      </c>
      <c r="GRS5" t="s">
        <v>60495</v>
      </c>
      <c r="GRU5" t="s">
        <v>60495</v>
      </c>
      <c r="GRW5" t="s">
        <v>60495</v>
      </c>
      <c r="GRY5" t="s">
        <v>60495</v>
      </c>
      <c r="GSA5" t="s">
        <v>60495</v>
      </c>
      <c r="GSC5" t="s">
        <v>60495</v>
      </c>
      <c r="GSE5" t="s">
        <v>60495</v>
      </c>
      <c r="GSG5" t="s">
        <v>60495</v>
      </c>
      <c r="GSI5" t="s">
        <v>32157</v>
      </c>
      <c r="GSK5" t="s">
        <v>4580</v>
      </c>
      <c r="GSM5" t="s">
        <v>60495</v>
      </c>
      <c r="GSO5" t="s">
        <v>60495</v>
      </c>
      <c r="GSQ5" t="s">
        <v>32202</v>
      </c>
      <c r="GSS5" t="s">
        <v>60495</v>
      </c>
      <c r="GSU5" t="s">
        <v>60495</v>
      </c>
      <c r="GSW5" t="s">
        <v>60495</v>
      </c>
      <c r="GSY5" t="s">
        <v>60495</v>
      </c>
      <c r="GTA5" t="s">
        <v>60495</v>
      </c>
      <c r="GTC5" t="s">
        <v>60495</v>
      </c>
      <c r="GTE5" t="s">
        <v>60495</v>
      </c>
      <c r="GTG5" t="s">
        <v>29020</v>
      </c>
      <c r="GTH5" t="s">
        <v>60495</v>
      </c>
      <c r="GTJ5" t="s">
        <v>60495</v>
      </c>
      <c r="GTL5" t="s">
        <v>60495</v>
      </c>
      <c r="GTN5" t="s">
        <v>60495</v>
      </c>
      <c r="GTP5" t="s">
        <v>60495</v>
      </c>
      <c r="GTR5" t="s">
        <v>60495</v>
      </c>
      <c r="GTT5" t="s">
        <v>60495</v>
      </c>
      <c r="GTV5" t="s">
        <v>60495</v>
      </c>
      <c r="GTX5" t="s">
        <v>60495</v>
      </c>
      <c r="GTZ5" t="s">
        <v>60495</v>
      </c>
      <c r="GUB5" t="s">
        <v>60495</v>
      </c>
      <c r="GUD5" t="s">
        <v>60495</v>
      </c>
      <c r="GUF5" t="s">
        <v>60495</v>
      </c>
      <c r="GUH5" t="s">
        <v>60495</v>
      </c>
      <c r="GUJ5" t="s">
        <v>32483</v>
      </c>
      <c r="GUK5" t="s">
        <v>60495</v>
      </c>
      <c r="GUM5" t="s">
        <v>60495</v>
      </c>
      <c r="GUO5" t="s">
        <v>60495</v>
      </c>
      <c r="GUQ5" t="s">
        <v>30198</v>
      </c>
      <c r="GUR5" t="s">
        <v>60495</v>
      </c>
      <c r="GUT5" t="s">
        <v>60495</v>
      </c>
      <c r="GUV5" t="s">
        <v>60495</v>
      </c>
      <c r="GUX5" t="s">
        <v>60495</v>
      </c>
      <c r="GUZ5" t="s">
        <v>60495</v>
      </c>
      <c r="GVB5" t="s">
        <v>32604</v>
      </c>
      <c r="GVD5" t="s">
        <v>60495</v>
      </c>
      <c r="GVF5" t="s">
        <v>60495</v>
      </c>
      <c r="GVH5" t="s">
        <v>60495</v>
      </c>
      <c r="GVJ5" t="s">
        <v>60495</v>
      </c>
      <c r="GVL5" t="s">
        <v>60495</v>
      </c>
      <c r="GVN5" t="s">
        <v>60495</v>
      </c>
      <c r="GVP5" t="s">
        <v>30705</v>
      </c>
      <c r="GVR5" t="s">
        <v>60495</v>
      </c>
      <c r="GVT5" t="s">
        <v>60495</v>
      </c>
      <c r="GVV5" t="s">
        <v>60495</v>
      </c>
      <c r="GVX5" t="s">
        <v>60495</v>
      </c>
      <c r="GVZ5" t="s">
        <v>60495</v>
      </c>
      <c r="GWB5" t="s">
        <v>60495</v>
      </c>
      <c r="GWD5" t="s">
        <v>60495</v>
      </c>
      <c r="GWF5" t="s">
        <v>60495</v>
      </c>
      <c r="GWH5" t="s">
        <v>60495</v>
      </c>
      <c r="GWJ5" t="s">
        <v>60495</v>
      </c>
      <c r="GWL5" t="s">
        <v>60495</v>
      </c>
      <c r="GWN5" t="s">
        <v>60495</v>
      </c>
      <c r="GWP5" t="s">
        <v>8682</v>
      </c>
      <c r="GWR5" t="s">
        <v>60495</v>
      </c>
      <c r="GWT5" t="s">
        <v>60495</v>
      </c>
      <c r="GWV5" t="s">
        <v>60495</v>
      </c>
      <c r="GWX5" t="s">
        <v>60495</v>
      </c>
      <c r="GWZ5" t="s">
        <v>60495</v>
      </c>
      <c r="GXB5" t="s">
        <v>60495</v>
      </c>
      <c r="GXD5" t="s">
        <v>60495</v>
      </c>
      <c r="GXF5" t="s">
        <v>60495</v>
      </c>
      <c r="GXH5" t="s">
        <v>60495</v>
      </c>
      <c r="GXJ5" t="s">
        <v>60495</v>
      </c>
      <c r="GXL5" t="s">
        <v>60495</v>
      </c>
      <c r="GXN5" t="s">
        <v>60495</v>
      </c>
      <c r="GXP5" t="s">
        <v>60495</v>
      </c>
      <c r="GXR5" t="s">
        <v>60495</v>
      </c>
      <c r="GXT5" t="s">
        <v>60495</v>
      </c>
      <c r="GXV5" t="s">
        <v>60495</v>
      </c>
      <c r="GXX5" t="s">
        <v>32930</v>
      </c>
      <c r="GXZ5" t="s">
        <v>32956</v>
      </c>
      <c r="GYB5" t="s">
        <v>60495</v>
      </c>
      <c r="GYD5" t="s">
        <v>60495</v>
      </c>
      <c r="GYF5" t="s">
        <v>60495</v>
      </c>
      <c r="GYH5" t="s">
        <v>60495</v>
      </c>
      <c r="GYJ5" t="s">
        <v>60495</v>
      </c>
      <c r="GYL5" t="s">
        <v>60495</v>
      </c>
      <c r="GYN5" t="s">
        <v>33053</v>
      </c>
      <c r="GYP5" t="s">
        <v>60495</v>
      </c>
      <c r="GYR5" t="s">
        <v>60495</v>
      </c>
      <c r="GYT5" t="s">
        <v>60495</v>
      </c>
      <c r="GYV5" t="s">
        <v>60495</v>
      </c>
      <c r="GYX5" t="s">
        <v>60495</v>
      </c>
      <c r="GYZ5" t="s">
        <v>60495</v>
      </c>
      <c r="GZB5" t="s">
        <v>60495</v>
      </c>
      <c r="GZD5" t="s">
        <v>60495</v>
      </c>
      <c r="GZF5" t="s">
        <v>33157</v>
      </c>
      <c r="GZH5" t="s">
        <v>60495</v>
      </c>
      <c r="GZJ5" t="s">
        <v>60495</v>
      </c>
      <c r="GZL5" t="s">
        <v>60495</v>
      </c>
      <c r="GZN5" t="s">
        <v>60495</v>
      </c>
      <c r="GZP5" t="s">
        <v>32374</v>
      </c>
      <c r="GZQ5" t="s">
        <v>60495</v>
      </c>
      <c r="GZS5" t="s">
        <v>60495</v>
      </c>
      <c r="GZU5" t="s">
        <v>60495</v>
      </c>
      <c r="GZW5" t="s">
        <v>60495</v>
      </c>
      <c r="GZY5" t="s">
        <v>33225</v>
      </c>
      <c r="HAA5" t="s">
        <v>60495</v>
      </c>
      <c r="HAC5" t="s">
        <v>60495</v>
      </c>
      <c r="HAE5" t="s">
        <v>60495</v>
      </c>
      <c r="HAG5" t="s">
        <v>60495</v>
      </c>
      <c r="HAI5" t="s">
        <v>60495</v>
      </c>
      <c r="HAK5" t="s">
        <v>60495</v>
      </c>
      <c r="HAM5" t="s">
        <v>60495</v>
      </c>
      <c r="HAO5" t="s">
        <v>60495</v>
      </c>
      <c r="HAQ5" t="s">
        <v>60495</v>
      </c>
      <c r="HAS5" t="s">
        <v>60495</v>
      </c>
      <c r="HAU5" t="s">
        <v>60495</v>
      </c>
      <c r="HAW5" t="s">
        <v>60495</v>
      </c>
      <c r="HAY5" t="s">
        <v>60495</v>
      </c>
      <c r="HBA5" t="s">
        <v>60495</v>
      </c>
      <c r="HBC5" t="s">
        <v>60495</v>
      </c>
      <c r="HBE5" t="s">
        <v>60495</v>
      </c>
      <c r="HBG5" t="s">
        <v>60495</v>
      </c>
      <c r="HBI5" t="s">
        <v>60495</v>
      </c>
      <c r="HBK5" t="s">
        <v>60495</v>
      </c>
      <c r="HBM5" t="s">
        <v>33630</v>
      </c>
      <c r="HBO5" t="s">
        <v>60495</v>
      </c>
      <c r="HBQ5" t="s">
        <v>60495</v>
      </c>
      <c r="HBS5" t="s">
        <v>60495</v>
      </c>
      <c r="HBU5" t="s">
        <v>60495</v>
      </c>
      <c r="HBW5" t="s">
        <v>60495</v>
      </c>
      <c r="HBY5" t="s">
        <v>60495</v>
      </c>
      <c r="HCA5" t="s">
        <v>60495</v>
      </c>
      <c r="HCC5" t="s">
        <v>60495</v>
      </c>
      <c r="HCE5" t="s">
        <v>60495</v>
      </c>
      <c r="HCG5" t="s">
        <v>33251</v>
      </c>
      <c r="HCI5" t="s">
        <v>60495</v>
      </c>
      <c r="HCK5" t="s">
        <v>60495</v>
      </c>
      <c r="HCM5" t="s">
        <v>60495</v>
      </c>
      <c r="HCO5" t="s">
        <v>60495</v>
      </c>
      <c r="HCQ5" t="s">
        <v>60495</v>
      </c>
      <c r="HCS5" t="s">
        <v>60495</v>
      </c>
      <c r="HCU5" t="s">
        <v>60495</v>
      </c>
      <c r="HCW5" t="s">
        <v>60495</v>
      </c>
      <c r="HCY5" t="s">
        <v>60495</v>
      </c>
      <c r="HDA5" t="s">
        <v>33947</v>
      </c>
      <c r="HDC5" t="s">
        <v>60495</v>
      </c>
      <c r="HDE5" t="s">
        <v>60495</v>
      </c>
      <c r="HDG5" t="s">
        <v>60495</v>
      </c>
      <c r="HDI5" t="s">
        <v>60495</v>
      </c>
      <c r="HDK5" t="s">
        <v>60495</v>
      </c>
      <c r="HDM5" t="s">
        <v>60495</v>
      </c>
      <c r="HDO5" t="s">
        <v>60495</v>
      </c>
      <c r="HDQ5" t="s">
        <v>60495</v>
      </c>
      <c r="HDS5" t="s">
        <v>60495</v>
      </c>
      <c r="HDU5" t="s">
        <v>60495</v>
      </c>
      <c r="HDW5" t="s">
        <v>60495</v>
      </c>
      <c r="HDY5" t="s">
        <v>60495</v>
      </c>
      <c r="HEA5" t="s">
        <v>60495</v>
      </c>
      <c r="HEC5" t="s">
        <v>34119</v>
      </c>
      <c r="HEE5" t="s">
        <v>60495</v>
      </c>
      <c r="HEG5" t="s">
        <v>60495</v>
      </c>
      <c r="HEI5" t="s">
        <v>60495</v>
      </c>
      <c r="HEK5" t="s">
        <v>60495</v>
      </c>
      <c r="HEM5" t="s">
        <v>60495</v>
      </c>
      <c r="HEO5" t="s">
        <v>60495</v>
      </c>
      <c r="HEQ5" t="s">
        <v>60495</v>
      </c>
      <c r="HES5" t="s">
        <v>60495</v>
      </c>
      <c r="HEU5" t="s">
        <v>60495</v>
      </c>
      <c r="HEW5" t="s">
        <v>60495</v>
      </c>
      <c r="HEY5" t="s">
        <v>60495</v>
      </c>
      <c r="HFA5" t="s">
        <v>60495</v>
      </c>
      <c r="HFC5" t="s">
        <v>60495</v>
      </c>
      <c r="HFE5" t="s">
        <v>60495</v>
      </c>
      <c r="HFG5" t="s">
        <v>60495</v>
      </c>
      <c r="HFI5" t="s">
        <v>60495</v>
      </c>
      <c r="HFK5" t="s">
        <v>60495</v>
      </c>
      <c r="HFM5" t="s">
        <v>60495</v>
      </c>
      <c r="HFO5" t="s">
        <v>60495</v>
      </c>
      <c r="HFQ5" t="s">
        <v>60495</v>
      </c>
      <c r="HFS5" t="s">
        <v>60495</v>
      </c>
      <c r="HFU5" t="s">
        <v>60495</v>
      </c>
      <c r="HFW5" t="s">
        <v>60495</v>
      </c>
      <c r="HFY5" t="s">
        <v>60495</v>
      </c>
      <c r="HGA5" t="s">
        <v>60495</v>
      </c>
      <c r="HGC5" t="s">
        <v>60495</v>
      </c>
      <c r="HGE5" t="s">
        <v>60495</v>
      </c>
      <c r="HGG5" t="s">
        <v>60495</v>
      </c>
      <c r="HGI5" t="s">
        <v>60495</v>
      </c>
      <c r="HGK5" t="s">
        <v>60495</v>
      </c>
      <c r="HGM5" t="s">
        <v>60495</v>
      </c>
      <c r="HGO5" t="s">
        <v>34535</v>
      </c>
      <c r="HGQ5" t="s">
        <v>60495</v>
      </c>
      <c r="HGS5" t="s">
        <v>60495</v>
      </c>
      <c r="HGU5" t="s">
        <v>60495</v>
      </c>
      <c r="HGW5" t="s">
        <v>60495</v>
      </c>
      <c r="HGY5" t="s">
        <v>60495</v>
      </c>
      <c r="HHA5" t="s">
        <v>60495</v>
      </c>
      <c r="HHC5" t="s">
        <v>60495</v>
      </c>
      <c r="HHE5" t="s">
        <v>60495</v>
      </c>
      <c r="HHG5" t="s">
        <v>60495</v>
      </c>
      <c r="HHI5" t="s">
        <v>60495</v>
      </c>
      <c r="HHK5" t="s">
        <v>60495</v>
      </c>
      <c r="HHM5" t="s">
        <v>60495</v>
      </c>
      <c r="HHO5" t="s">
        <v>60495</v>
      </c>
      <c r="HHQ5" t="s">
        <v>60495</v>
      </c>
      <c r="HHS5" t="s">
        <v>60495</v>
      </c>
      <c r="HHU5" t="s">
        <v>60495</v>
      </c>
      <c r="HHW5" t="s">
        <v>60495</v>
      </c>
      <c r="HHY5" t="s">
        <v>60495</v>
      </c>
      <c r="HIA5" t="s">
        <v>60495</v>
      </c>
      <c r="HIC5" t="s">
        <v>60495</v>
      </c>
      <c r="HIE5" t="s">
        <v>60495</v>
      </c>
      <c r="HIG5" t="s">
        <v>60495</v>
      </c>
      <c r="HII5" t="s">
        <v>60495</v>
      </c>
      <c r="HIK5" t="s">
        <v>60495</v>
      </c>
      <c r="HIM5" t="s">
        <v>60495</v>
      </c>
      <c r="HIO5" t="s">
        <v>60495</v>
      </c>
      <c r="HIQ5" t="s">
        <v>60495</v>
      </c>
      <c r="HIS5" t="s">
        <v>60495</v>
      </c>
      <c r="HIU5" t="s">
        <v>60495</v>
      </c>
      <c r="HIW5" t="s">
        <v>60495</v>
      </c>
      <c r="HIY5" t="s">
        <v>60495</v>
      </c>
      <c r="HJA5" t="s">
        <v>60495</v>
      </c>
      <c r="HJC5" t="s">
        <v>60495</v>
      </c>
      <c r="HJE5" t="s">
        <v>60495</v>
      </c>
      <c r="HJG5" t="s">
        <v>35008</v>
      </c>
      <c r="HJI5" t="s">
        <v>60495</v>
      </c>
      <c r="HJK5" t="s">
        <v>60495</v>
      </c>
      <c r="HJM5" t="s">
        <v>60495</v>
      </c>
      <c r="HJO5" t="s">
        <v>60495</v>
      </c>
      <c r="HJQ5" t="s">
        <v>60495</v>
      </c>
      <c r="HJS5" t="s">
        <v>60495</v>
      </c>
      <c r="HJU5" t="s">
        <v>60495</v>
      </c>
      <c r="HJW5" t="s">
        <v>60495</v>
      </c>
      <c r="HJY5" t="s">
        <v>35139</v>
      </c>
      <c r="HJZ5" t="s">
        <v>60495</v>
      </c>
      <c r="HKB5" t="s">
        <v>60495</v>
      </c>
      <c r="HKD5" t="s">
        <v>60495</v>
      </c>
      <c r="HKF5" t="s">
        <v>60495</v>
      </c>
      <c r="HKH5" t="s">
        <v>35099</v>
      </c>
      <c r="HKJ5" t="s">
        <v>35130</v>
      </c>
      <c r="HKL5" t="s">
        <v>60495</v>
      </c>
      <c r="HKN5" t="s">
        <v>60495</v>
      </c>
      <c r="HKP5" t="s">
        <v>60495</v>
      </c>
      <c r="HKR5" t="s">
        <v>60495</v>
      </c>
      <c r="HKT5" t="s">
        <v>60495</v>
      </c>
      <c r="HKV5" t="s">
        <v>60495</v>
      </c>
      <c r="HKX5" t="s">
        <v>60495</v>
      </c>
      <c r="HKZ5" t="s">
        <v>60495</v>
      </c>
      <c r="HLB5" t="s">
        <v>60495</v>
      </c>
      <c r="HLD5" t="s">
        <v>60495</v>
      </c>
      <c r="HLF5" t="s">
        <v>60495</v>
      </c>
      <c r="HLH5" t="s">
        <v>60495</v>
      </c>
      <c r="HLJ5" t="s">
        <v>60495</v>
      </c>
      <c r="HLL5" t="s">
        <v>60495</v>
      </c>
      <c r="HLN5" t="s">
        <v>60495</v>
      </c>
      <c r="HLP5" t="s">
        <v>60495</v>
      </c>
      <c r="HLR5" t="s">
        <v>60495</v>
      </c>
      <c r="HLT5" t="s">
        <v>60495</v>
      </c>
      <c r="HLV5" t="s">
        <v>60495</v>
      </c>
      <c r="HLX5" t="s">
        <v>60495</v>
      </c>
      <c r="HLZ5" t="s">
        <v>60495</v>
      </c>
      <c r="HMB5" t="s">
        <v>60495</v>
      </c>
      <c r="HMD5" t="s">
        <v>60495</v>
      </c>
      <c r="HMF5" t="s">
        <v>60495</v>
      </c>
      <c r="HMH5" t="s">
        <v>60495</v>
      </c>
      <c r="HMJ5" t="s">
        <v>60495</v>
      </c>
      <c r="HML5" t="s">
        <v>60495</v>
      </c>
      <c r="HMN5" t="s">
        <v>60495</v>
      </c>
      <c r="HMP5" t="s">
        <v>60495</v>
      </c>
      <c r="HMR5" t="s">
        <v>60495</v>
      </c>
      <c r="HMT5" t="s">
        <v>60495</v>
      </c>
      <c r="HMV5" t="s">
        <v>60495</v>
      </c>
      <c r="HMX5" t="s">
        <v>60495</v>
      </c>
      <c r="HMZ5" t="s">
        <v>60495</v>
      </c>
      <c r="HNB5" t="s">
        <v>60495</v>
      </c>
      <c r="HND5" t="s">
        <v>60495</v>
      </c>
      <c r="HNF5" t="s">
        <v>60495</v>
      </c>
      <c r="HNH5" t="s">
        <v>35738</v>
      </c>
      <c r="HNJ5" t="s">
        <v>60495</v>
      </c>
      <c r="HNL5" t="s">
        <v>60495</v>
      </c>
      <c r="HNN5" t="s">
        <v>60495</v>
      </c>
      <c r="HNP5" t="s">
        <v>60495</v>
      </c>
      <c r="HNR5" t="s">
        <v>35794</v>
      </c>
      <c r="HNT5" t="s">
        <v>60495</v>
      </c>
      <c r="HNV5" t="s">
        <v>60495</v>
      </c>
      <c r="HNX5" t="s">
        <v>60495</v>
      </c>
      <c r="HNZ5" t="s">
        <v>35817</v>
      </c>
      <c r="HOB5" t="s">
        <v>60495</v>
      </c>
      <c r="HOD5" t="s">
        <v>60495</v>
      </c>
      <c r="HOF5" t="s">
        <v>60495</v>
      </c>
      <c r="HOH5" t="s">
        <v>60495</v>
      </c>
      <c r="HOJ5" t="s">
        <v>60495</v>
      </c>
      <c r="HOL5" t="s">
        <v>60495</v>
      </c>
      <c r="HON5" t="s">
        <v>60495</v>
      </c>
      <c r="HOP5" t="s">
        <v>60495</v>
      </c>
      <c r="HOR5" t="s">
        <v>60495</v>
      </c>
      <c r="HOT5" t="s">
        <v>35892</v>
      </c>
      <c r="HOV5" t="s">
        <v>60495</v>
      </c>
      <c r="HOX5" t="s">
        <v>60495</v>
      </c>
      <c r="HOZ5" t="s">
        <v>60495</v>
      </c>
      <c r="HPB5" t="s">
        <v>60495</v>
      </c>
      <c r="HPD5" t="s">
        <v>60495</v>
      </c>
      <c r="HPF5" t="s">
        <v>60495</v>
      </c>
      <c r="HPH5" t="s">
        <v>60495</v>
      </c>
      <c r="HPJ5" t="s">
        <v>35959</v>
      </c>
      <c r="HPL5" t="s">
        <v>60495</v>
      </c>
      <c r="HPN5" t="s">
        <v>60495</v>
      </c>
      <c r="HPP5" t="s">
        <v>60495</v>
      </c>
      <c r="HPR5" t="s">
        <v>60495</v>
      </c>
      <c r="HPT5" t="s">
        <v>60495</v>
      </c>
      <c r="HPV5" t="s">
        <v>60495</v>
      </c>
      <c r="HPX5" t="s">
        <v>35527</v>
      </c>
      <c r="HPY5" t="s">
        <v>35337</v>
      </c>
      <c r="HPZ5" t="s">
        <v>60495</v>
      </c>
      <c r="HQB5" t="s">
        <v>60495</v>
      </c>
      <c r="HQD5" t="s">
        <v>60495</v>
      </c>
      <c r="HQF5" t="s">
        <v>35632</v>
      </c>
      <c r="HQG5" t="s">
        <v>60495</v>
      </c>
      <c r="HQI5" t="s">
        <v>60495</v>
      </c>
      <c r="HQK5" t="s">
        <v>60495</v>
      </c>
      <c r="HQM5" t="s">
        <v>60495</v>
      </c>
      <c r="HQO5" t="s">
        <v>33769</v>
      </c>
      <c r="HQQ5" t="s">
        <v>60495</v>
      </c>
      <c r="HQS5" t="s">
        <v>60495</v>
      </c>
      <c r="HQU5" t="s">
        <v>60495</v>
      </c>
      <c r="HQW5" t="s">
        <v>60495</v>
      </c>
      <c r="HQY5" t="s">
        <v>60495</v>
      </c>
      <c r="HRA5" t="s">
        <v>60495</v>
      </c>
      <c r="HRC5" t="s">
        <v>60495</v>
      </c>
      <c r="HRE5" t="s">
        <v>60495</v>
      </c>
      <c r="HRG5" t="s">
        <v>60495</v>
      </c>
      <c r="HRI5" t="s">
        <v>60495</v>
      </c>
      <c r="HRK5" t="s">
        <v>60495</v>
      </c>
      <c r="HRM5" t="s">
        <v>60495</v>
      </c>
      <c r="HRO5" t="s">
        <v>60495</v>
      </c>
      <c r="HRQ5" t="s">
        <v>60495</v>
      </c>
      <c r="HRS5" t="s">
        <v>60495</v>
      </c>
      <c r="HRU5" t="s">
        <v>60495</v>
      </c>
      <c r="HRW5" t="s">
        <v>60495</v>
      </c>
      <c r="HRY5" t="s">
        <v>60495</v>
      </c>
      <c r="HSA5" t="s">
        <v>60495</v>
      </c>
      <c r="HSC5" t="s">
        <v>60495</v>
      </c>
      <c r="HSE5" t="s">
        <v>36309</v>
      </c>
      <c r="HSF5" t="s">
        <v>60495</v>
      </c>
      <c r="HSH5" t="s">
        <v>60495</v>
      </c>
      <c r="HSJ5" t="s">
        <v>60495</v>
      </c>
      <c r="HSL5" t="s">
        <v>33096</v>
      </c>
      <c r="HSN5" t="s">
        <v>60495</v>
      </c>
      <c r="HSP5" t="s">
        <v>36357</v>
      </c>
      <c r="HSQ5" t="s">
        <v>60495</v>
      </c>
      <c r="HSS5" t="s">
        <v>60495</v>
      </c>
      <c r="HSU5" t="s">
        <v>60495</v>
      </c>
      <c r="HSW5" t="s">
        <v>60495</v>
      </c>
      <c r="HSY5" t="s">
        <v>60495</v>
      </c>
      <c r="HTA5" t="s">
        <v>60495</v>
      </c>
      <c r="HTC5" t="s">
        <v>60495</v>
      </c>
      <c r="HTE5" t="s">
        <v>60495</v>
      </c>
      <c r="HTG5" t="s">
        <v>60495</v>
      </c>
      <c r="HTI5" t="s">
        <v>60495</v>
      </c>
      <c r="HTK5" t="s">
        <v>60495</v>
      </c>
      <c r="HTM5" t="s">
        <v>60495</v>
      </c>
      <c r="HTO5" t="s">
        <v>60495</v>
      </c>
      <c r="HTQ5" t="s">
        <v>60495</v>
      </c>
      <c r="HTS5" t="s">
        <v>60495</v>
      </c>
      <c r="HTU5" t="s">
        <v>60495</v>
      </c>
      <c r="HTW5" t="s">
        <v>60495</v>
      </c>
      <c r="HTY5" t="s">
        <v>60495</v>
      </c>
      <c r="HUA5" t="s">
        <v>60495</v>
      </c>
      <c r="HUC5" t="s">
        <v>60495</v>
      </c>
      <c r="HUE5" t="s">
        <v>60495</v>
      </c>
      <c r="HUG5" t="s">
        <v>60495</v>
      </c>
      <c r="HUI5" t="s">
        <v>60495</v>
      </c>
      <c r="HUK5" t="s">
        <v>60495</v>
      </c>
      <c r="HUM5" t="s">
        <v>60495</v>
      </c>
      <c r="HUO5" t="s">
        <v>60495</v>
      </c>
      <c r="HUQ5" t="s">
        <v>36731</v>
      </c>
      <c r="HUR5" t="s">
        <v>60495</v>
      </c>
      <c r="HUT5" t="s">
        <v>60495</v>
      </c>
      <c r="HUV5" t="s">
        <v>60495</v>
      </c>
      <c r="HUX5" t="s">
        <v>60495</v>
      </c>
      <c r="HUZ5" t="s">
        <v>36782</v>
      </c>
      <c r="HVA5" t="s">
        <v>60495</v>
      </c>
      <c r="HVC5" t="s">
        <v>36790</v>
      </c>
      <c r="HVD5" t="s">
        <v>60495</v>
      </c>
      <c r="HVF5" t="s">
        <v>60495</v>
      </c>
      <c r="HVH5" t="s">
        <v>60495</v>
      </c>
      <c r="HVJ5" t="s">
        <v>60495</v>
      </c>
      <c r="HVL5" t="s">
        <v>60495</v>
      </c>
      <c r="HVN5" t="s">
        <v>60495</v>
      </c>
      <c r="HVP5" t="s">
        <v>2183</v>
      </c>
      <c r="HVQ5" t="s">
        <v>60495</v>
      </c>
      <c r="HVS5" t="s">
        <v>60495</v>
      </c>
      <c r="HVU5" t="s">
        <v>60495</v>
      </c>
      <c r="HVW5" t="s">
        <v>60495</v>
      </c>
      <c r="HVY5" t="s">
        <v>60495</v>
      </c>
      <c r="HWA5" t="s">
        <v>36852</v>
      </c>
      <c r="HWB5" t="s">
        <v>60495</v>
      </c>
      <c r="HWD5" t="s">
        <v>60495</v>
      </c>
      <c r="HWF5" t="s">
        <v>60495</v>
      </c>
      <c r="HWH5" t="s">
        <v>60495</v>
      </c>
      <c r="HWJ5" t="s">
        <v>60495</v>
      </c>
      <c r="HWL5" t="s">
        <v>60495</v>
      </c>
      <c r="HWN5" t="s">
        <v>60495</v>
      </c>
      <c r="HWP5" t="s">
        <v>60495</v>
      </c>
      <c r="HWR5" t="s">
        <v>36936</v>
      </c>
      <c r="HWS5" t="s">
        <v>60495</v>
      </c>
      <c r="HWU5" t="s">
        <v>60495</v>
      </c>
      <c r="HWW5" t="s">
        <v>60495</v>
      </c>
      <c r="HWY5" t="s">
        <v>36958</v>
      </c>
      <c r="HWZ5" t="s">
        <v>60495</v>
      </c>
      <c r="HXB5" t="s">
        <v>60495</v>
      </c>
      <c r="HXD5" t="s">
        <v>36982</v>
      </c>
      <c r="HXE5" t="s">
        <v>60495</v>
      </c>
      <c r="HXG5" t="s">
        <v>60495</v>
      </c>
      <c r="HXI5" t="s">
        <v>60495</v>
      </c>
      <c r="HXK5" t="s">
        <v>60495</v>
      </c>
      <c r="HXM5" t="s">
        <v>60495</v>
      </c>
      <c r="HXO5" t="s">
        <v>60495</v>
      </c>
      <c r="HXQ5" t="s">
        <v>60495</v>
      </c>
      <c r="HXS5" t="s">
        <v>60495</v>
      </c>
      <c r="HXU5" t="s">
        <v>60495</v>
      </c>
      <c r="HXW5" t="s">
        <v>60495</v>
      </c>
      <c r="HXY5" t="s">
        <v>60495</v>
      </c>
      <c r="HYA5" t="s">
        <v>60495</v>
      </c>
      <c r="HYC5" t="s">
        <v>60495</v>
      </c>
      <c r="HYE5" t="s">
        <v>60495</v>
      </c>
      <c r="HYG5" t="s">
        <v>37158</v>
      </c>
      <c r="HYI5" t="s">
        <v>60495</v>
      </c>
      <c r="HYK5" t="s">
        <v>60495</v>
      </c>
      <c r="HYM5" t="s">
        <v>60495</v>
      </c>
      <c r="HYO5" t="s">
        <v>60495</v>
      </c>
      <c r="HYQ5" t="s">
        <v>60495</v>
      </c>
      <c r="HYS5" t="s">
        <v>60495</v>
      </c>
      <c r="HYU5" t="s">
        <v>60495</v>
      </c>
      <c r="HYW5" t="s">
        <v>60495</v>
      </c>
      <c r="HYY5" t="s">
        <v>60495</v>
      </c>
      <c r="HZA5" t="s">
        <v>60495</v>
      </c>
      <c r="HZC5" t="s">
        <v>60495</v>
      </c>
      <c r="HZE5" t="s">
        <v>60495</v>
      </c>
      <c r="HZG5" t="s">
        <v>60495</v>
      </c>
      <c r="HZI5" t="s">
        <v>60495</v>
      </c>
      <c r="HZK5" t="s">
        <v>60495</v>
      </c>
      <c r="HZM5" t="s">
        <v>37293</v>
      </c>
      <c r="HZO5" t="s">
        <v>60495</v>
      </c>
      <c r="HZQ5" t="s">
        <v>60495</v>
      </c>
      <c r="HZS5" t="s">
        <v>60495</v>
      </c>
      <c r="HZU5" t="s">
        <v>60495</v>
      </c>
      <c r="HZW5" t="s">
        <v>60495</v>
      </c>
      <c r="HZY5" t="s">
        <v>60495</v>
      </c>
      <c r="IAA5" t="s">
        <v>60495</v>
      </c>
      <c r="IAC5" t="s">
        <v>60495</v>
      </c>
      <c r="IAE5" t="s">
        <v>60495</v>
      </c>
      <c r="IAG5" t="s">
        <v>60495</v>
      </c>
      <c r="IAI5" t="s">
        <v>60495</v>
      </c>
      <c r="IAK5" t="s">
        <v>60495</v>
      </c>
      <c r="IAM5" t="s">
        <v>60495</v>
      </c>
      <c r="IAO5" t="s">
        <v>60495</v>
      </c>
      <c r="IAQ5" t="s">
        <v>60495</v>
      </c>
      <c r="IAS5" t="s">
        <v>60495</v>
      </c>
      <c r="IAU5" t="s">
        <v>60495</v>
      </c>
      <c r="IAW5" t="s">
        <v>60495</v>
      </c>
      <c r="IAY5" t="s">
        <v>60495</v>
      </c>
      <c r="IBA5" t="s">
        <v>37607</v>
      </c>
      <c r="IBC5" t="s">
        <v>60495</v>
      </c>
      <c r="IBE5" t="s">
        <v>60495</v>
      </c>
      <c r="IBG5" t="s">
        <v>60495</v>
      </c>
      <c r="IBI5" t="s">
        <v>60495</v>
      </c>
      <c r="IBK5" t="s">
        <v>60495</v>
      </c>
      <c r="IBM5" t="s">
        <v>60495</v>
      </c>
      <c r="IBO5" t="s">
        <v>60495</v>
      </c>
      <c r="IBQ5" t="s">
        <v>60495</v>
      </c>
      <c r="IBS5" t="s">
        <v>60495</v>
      </c>
      <c r="IBU5" t="s">
        <v>60495</v>
      </c>
      <c r="IBW5" t="s">
        <v>60495</v>
      </c>
      <c r="IBY5" t="s">
        <v>60495</v>
      </c>
      <c r="ICA5" t="s">
        <v>60495</v>
      </c>
      <c r="ICC5" t="s">
        <v>60495</v>
      </c>
      <c r="ICE5" t="s">
        <v>60495</v>
      </c>
      <c r="ICG5" t="s">
        <v>60495</v>
      </c>
      <c r="ICI5" t="s">
        <v>37852</v>
      </c>
      <c r="ICK5" t="s">
        <v>60495</v>
      </c>
      <c r="ICM5" t="s">
        <v>60495</v>
      </c>
      <c r="ICO5" t="s">
        <v>60495</v>
      </c>
      <c r="ICQ5" t="s">
        <v>37927</v>
      </c>
      <c r="ICR5" t="s">
        <v>60495</v>
      </c>
      <c r="ICT5" t="s">
        <v>60495</v>
      </c>
      <c r="ICV5" t="s">
        <v>60495</v>
      </c>
      <c r="ICX5" t="s">
        <v>60495</v>
      </c>
      <c r="ICZ5" t="s">
        <v>60495</v>
      </c>
      <c r="IDB5" t="s">
        <v>60495</v>
      </c>
      <c r="IDD5" t="s">
        <v>60495</v>
      </c>
      <c r="IDF5" t="s">
        <v>60495</v>
      </c>
      <c r="IDH5" t="s">
        <v>60495</v>
      </c>
      <c r="IDJ5" t="s">
        <v>60495</v>
      </c>
      <c r="IDL5" t="s">
        <v>60495</v>
      </c>
      <c r="IDN5" t="s">
        <v>60495</v>
      </c>
      <c r="IDP5" t="s">
        <v>60495</v>
      </c>
      <c r="IDR5" t="s">
        <v>60495</v>
      </c>
      <c r="IDT5" t="s">
        <v>60495</v>
      </c>
      <c r="IDV5" t="s">
        <v>60495</v>
      </c>
      <c r="IDX5" t="s">
        <v>60495</v>
      </c>
      <c r="IDZ5" t="s">
        <v>60495</v>
      </c>
      <c r="IEB5" t="s">
        <v>60495</v>
      </c>
      <c r="IED5" t="s">
        <v>38094</v>
      </c>
      <c r="IEF5" t="s">
        <v>60495</v>
      </c>
      <c r="IEH5" t="s">
        <v>60495</v>
      </c>
      <c r="IEJ5" t="s">
        <v>37064</v>
      </c>
      <c r="IEK5" t="s">
        <v>60495</v>
      </c>
      <c r="IEM5" t="s">
        <v>60495</v>
      </c>
      <c r="IEO5" t="s">
        <v>60495</v>
      </c>
      <c r="IEQ5" t="s">
        <v>60495</v>
      </c>
      <c r="IES5" t="s">
        <v>60495</v>
      </c>
      <c r="IEU5" t="s">
        <v>60495</v>
      </c>
      <c r="IEW5" t="s">
        <v>60495</v>
      </c>
      <c r="IEY5" t="s">
        <v>60495</v>
      </c>
      <c r="IFA5" t="s">
        <v>60495</v>
      </c>
      <c r="IFC5" t="s">
        <v>60495</v>
      </c>
      <c r="IFE5" t="s">
        <v>60495</v>
      </c>
      <c r="IFG5" t="s">
        <v>60495</v>
      </c>
      <c r="IFI5" t="s">
        <v>60495</v>
      </c>
      <c r="IFK5" t="s">
        <v>60495</v>
      </c>
      <c r="IFM5" t="s">
        <v>60495</v>
      </c>
      <c r="IFO5" t="s">
        <v>60495</v>
      </c>
      <c r="IFQ5" t="s">
        <v>60495</v>
      </c>
      <c r="IFS5" t="s">
        <v>60495</v>
      </c>
      <c r="IFU5" t="s">
        <v>60495</v>
      </c>
      <c r="IFW5" t="s">
        <v>60495</v>
      </c>
      <c r="IFY5" t="s">
        <v>60495</v>
      </c>
      <c r="IGA5" t="s">
        <v>38141</v>
      </c>
      <c r="IGB5" t="s">
        <v>60495</v>
      </c>
      <c r="IGD5" t="s">
        <v>60495</v>
      </c>
      <c r="IGF5" t="s">
        <v>60495</v>
      </c>
      <c r="IGH5" t="s">
        <v>60495</v>
      </c>
      <c r="IGJ5" t="s">
        <v>60495</v>
      </c>
      <c r="IGL5" t="s">
        <v>60495</v>
      </c>
      <c r="IGN5" t="s">
        <v>60495</v>
      </c>
      <c r="IGP5" t="s">
        <v>60495</v>
      </c>
      <c r="IGR5" t="s">
        <v>60495</v>
      </c>
      <c r="IGT5" t="s">
        <v>60495</v>
      </c>
      <c r="IGV5" t="s">
        <v>60495</v>
      </c>
      <c r="IGX5" t="s">
        <v>60495</v>
      </c>
      <c r="IGZ5" t="s">
        <v>8730</v>
      </c>
      <c r="IHB5" t="s">
        <v>60495</v>
      </c>
      <c r="IHD5" t="s">
        <v>60495</v>
      </c>
      <c r="IHF5" t="s">
        <v>60495</v>
      </c>
      <c r="IHH5" t="s">
        <v>38643</v>
      </c>
      <c r="IHI5" t="s">
        <v>38602</v>
      </c>
      <c r="IHK5" t="s">
        <v>38674</v>
      </c>
      <c r="IHL5" t="s">
        <v>60495</v>
      </c>
      <c r="IHN5" t="s">
        <v>60495</v>
      </c>
      <c r="IHP5" t="s">
        <v>37728</v>
      </c>
      <c r="IHR5" t="s">
        <v>60495</v>
      </c>
      <c r="IHT5" t="s">
        <v>60495</v>
      </c>
      <c r="IHV5" t="s">
        <v>60495</v>
      </c>
      <c r="IHX5" t="s">
        <v>60495</v>
      </c>
      <c r="IHZ5" t="s">
        <v>60495</v>
      </c>
      <c r="IIB5" t="s">
        <v>60495</v>
      </c>
      <c r="IID5" t="s">
        <v>60495</v>
      </c>
      <c r="IIF5" t="s">
        <v>60495</v>
      </c>
      <c r="IIH5" t="s">
        <v>60495</v>
      </c>
      <c r="IIJ5" t="s">
        <v>60495</v>
      </c>
      <c r="IIL5" t="s">
        <v>21902</v>
      </c>
      <c r="IIM5" t="s">
        <v>60495</v>
      </c>
      <c r="IIO5" t="s">
        <v>60495</v>
      </c>
      <c r="IIQ5" t="s">
        <v>60495</v>
      </c>
      <c r="IIS5" t="s">
        <v>60495</v>
      </c>
      <c r="IIU5" t="s">
        <v>60495</v>
      </c>
      <c r="IIW5" t="s">
        <v>60495</v>
      </c>
      <c r="IIY5" t="s">
        <v>60495</v>
      </c>
      <c r="IJA5" t="s">
        <v>60495</v>
      </c>
      <c r="IJC5" t="s">
        <v>60495</v>
      </c>
      <c r="IJE5" t="s">
        <v>60495</v>
      </c>
      <c r="IJG5" t="s">
        <v>60495</v>
      </c>
      <c r="IJI5" t="s">
        <v>60495</v>
      </c>
      <c r="IJK5" t="s">
        <v>60495</v>
      </c>
      <c r="IJM5" t="s">
        <v>60495</v>
      </c>
      <c r="IJO5" t="s">
        <v>60495</v>
      </c>
      <c r="IJQ5" t="s">
        <v>60495</v>
      </c>
      <c r="IJS5" t="s">
        <v>60495</v>
      </c>
      <c r="IJU5" t="s">
        <v>60495</v>
      </c>
      <c r="IJW5" t="s">
        <v>60495</v>
      </c>
      <c r="IJY5" t="s">
        <v>60495</v>
      </c>
      <c r="IKA5" t="s">
        <v>60495</v>
      </c>
      <c r="IKC5" t="s">
        <v>60495</v>
      </c>
      <c r="IKE5" t="s">
        <v>60495</v>
      </c>
      <c r="IKG5" t="s">
        <v>60495</v>
      </c>
      <c r="IKI5" t="s">
        <v>60495</v>
      </c>
      <c r="IKK5" t="s">
        <v>60495</v>
      </c>
      <c r="IKM5" t="s">
        <v>60495</v>
      </c>
      <c r="IKO5" t="s">
        <v>60495</v>
      </c>
      <c r="IKQ5" t="s">
        <v>60495</v>
      </c>
      <c r="IKS5" t="s">
        <v>60495</v>
      </c>
      <c r="IKU5" t="s">
        <v>60495</v>
      </c>
      <c r="IKW5" t="s">
        <v>60495</v>
      </c>
      <c r="IKY5" t="s">
        <v>60495</v>
      </c>
      <c r="ILA5" t="s">
        <v>60495</v>
      </c>
      <c r="ILC5" t="s">
        <v>60495</v>
      </c>
      <c r="ILE5" t="s">
        <v>60495</v>
      </c>
      <c r="ILG5" t="s">
        <v>60495</v>
      </c>
      <c r="ILI5" t="s">
        <v>60495</v>
      </c>
      <c r="ILK5" t="s">
        <v>60495</v>
      </c>
      <c r="ILM5" t="s">
        <v>60495</v>
      </c>
      <c r="ILO5" t="s">
        <v>60495</v>
      </c>
      <c r="ILQ5" t="s">
        <v>60495</v>
      </c>
      <c r="ILS5" t="s">
        <v>60495</v>
      </c>
      <c r="ILU5" t="s">
        <v>60495</v>
      </c>
      <c r="ILW5" t="s">
        <v>60495</v>
      </c>
      <c r="ILY5" t="s">
        <v>60495</v>
      </c>
      <c r="IMA5" t="s">
        <v>60495</v>
      </c>
      <c r="IMC5" t="s">
        <v>60495</v>
      </c>
      <c r="IME5" t="s">
        <v>60495</v>
      </c>
      <c r="IMG5" t="s">
        <v>60495</v>
      </c>
      <c r="IMI5" t="s">
        <v>60495</v>
      </c>
      <c r="IMK5" t="s">
        <v>15730</v>
      </c>
      <c r="IML5" t="s">
        <v>60495</v>
      </c>
      <c r="IMN5" t="s">
        <v>60495</v>
      </c>
      <c r="IMP5" t="s">
        <v>60495</v>
      </c>
      <c r="IMR5" t="s">
        <v>60495</v>
      </c>
      <c r="IMT5" t="s">
        <v>60495</v>
      </c>
      <c r="IMV5" t="s">
        <v>60495</v>
      </c>
      <c r="IMX5" t="s">
        <v>60495</v>
      </c>
      <c r="IMZ5" t="s">
        <v>60495</v>
      </c>
      <c r="INB5" t="s">
        <v>39286</v>
      </c>
      <c r="IND5" t="s">
        <v>60495</v>
      </c>
      <c r="INF5" t="s">
        <v>60495</v>
      </c>
      <c r="INH5" t="s">
        <v>60495</v>
      </c>
      <c r="INJ5" t="s">
        <v>60495</v>
      </c>
      <c r="INL5" t="s">
        <v>60495</v>
      </c>
      <c r="INN5" t="s">
        <v>60495</v>
      </c>
      <c r="INP5" t="s">
        <v>60495</v>
      </c>
      <c r="INR5" t="s">
        <v>60495</v>
      </c>
      <c r="INT5" t="s">
        <v>60495</v>
      </c>
      <c r="INV5" t="s">
        <v>60495</v>
      </c>
      <c r="INX5" t="s">
        <v>60495</v>
      </c>
      <c r="INZ5" t="s">
        <v>60495</v>
      </c>
      <c r="IOB5" t="s">
        <v>60495</v>
      </c>
      <c r="IOD5" t="s">
        <v>60495</v>
      </c>
      <c r="IOF5" t="s">
        <v>60495</v>
      </c>
      <c r="IOH5" t="s">
        <v>60495</v>
      </c>
      <c r="IOJ5" t="s">
        <v>13638</v>
      </c>
      <c r="IOL5" t="s">
        <v>60495</v>
      </c>
      <c r="ION5" t="s">
        <v>60495</v>
      </c>
      <c r="IOP5" t="s">
        <v>60495</v>
      </c>
      <c r="IOR5" t="s">
        <v>60495</v>
      </c>
      <c r="IOT5" t="s">
        <v>60495</v>
      </c>
      <c r="IOV5" t="s">
        <v>60495</v>
      </c>
      <c r="IOX5" t="s">
        <v>60495</v>
      </c>
      <c r="IOZ5" t="s">
        <v>60495</v>
      </c>
      <c r="IPB5" t="s">
        <v>23631</v>
      </c>
      <c r="IPD5" t="s">
        <v>60495</v>
      </c>
      <c r="IPF5" t="s">
        <v>60495</v>
      </c>
      <c r="IPH5" t="s">
        <v>60495</v>
      </c>
      <c r="IPJ5" t="s">
        <v>39468</v>
      </c>
      <c r="IPL5" t="s">
        <v>60495</v>
      </c>
      <c r="IPN5" t="s">
        <v>60495</v>
      </c>
      <c r="IPP5" t="s">
        <v>60495</v>
      </c>
      <c r="IPR5" t="s">
        <v>60495</v>
      </c>
      <c r="IPT5" t="s">
        <v>39518</v>
      </c>
      <c r="IPV5" t="s">
        <v>60495</v>
      </c>
      <c r="IPX5" t="s">
        <v>60495</v>
      </c>
      <c r="IPZ5" t="s">
        <v>60495</v>
      </c>
      <c r="IQB5" t="s">
        <v>60495</v>
      </c>
      <c r="IQD5" t="s">
        <v>60495</v>
      </c>
      <c r="IQF5" t="s">
        <v>60495</v>
      </c>
      <c r="IQH5" t="s">
        <v>60495</v>
      </c>
      <c r="IQJ5" t="s">
        <v>60495</v>
      </c>
      <c r="IQL5" t="s">
        <v>60495</v>
      </c>
      <c r="IQN5" t="s">
        <v>60495</v>
      </c>
      <c r="IQP5" t="s">
        <v>60495</v>
      </c>
      <c r="IQR5" t="s">
        <v>60495</v>
      </c>
      <c r="IQT5" t="s">
        <v>60495</v>
      </c>
      <c r="IQV5" t="s">
        <v>60495</v>
      </c>
      <c r="IQX5" t="s">
        <v>60495</v>
      </c>
      <c r="IQZ5" t="s">
        <v>60495</v>
      </c>
      <c r="IRB5" t="s">
        <v>39792</v>
      </c>
      <c r="IRD5" t="s">
        <v>60495</v>
      </c>
      <c r="IRF5" t="s">
        <v>60495</v>
      </c>
      <c r="IRH5" t="s">
        <v>60495</v>
      </c>
      <c r="IRJ5" t="s">
        <v>60495</v>
      </c>
      <c r="IRL5" t="s">
        <v>60495</v>
      </c>
      <c r="IRN5" t="s">
        <v>60495</v>
      </c>
      <c r="IRP5" t="s">
        <v>60495</v>
      </c>
      <c r="IRR5" t="s">
        <v>60495</v>
      </c>
      <c r="IRT5" t="s">
        <v>60495</v>
      </c>
      <c r="IRV5" t="s">
        <v>60495</v>
      </c>
      <c r="IRX5" t="s">
        <v>60495</v>
      </c>
      <c r="IRZ5" t="s">
        <v>60495</v>
      </c>
      <c r="ISB5" t="s">
        <v>60495</v>
      </c>
      <c r="ISD5" t="s">
        <v>60495</v>
      </c>
      <c r="ISF5" t="s">
        <v>60495</v>
      </c>
      <c r="ISH5" t="s">
        <v>60495</v>
      </c>
      <c r="ISJ5" t="s">
        <v>60495</v>
      </c>
      <c r="ISL5" t="s">
        <v>60495</v>
      </c>
      <c r="ISN5" t="s">
        <v>60495</v>
      </c>
      <c r="ISP5" t="s">
        <v>60495</v>
      </c>
      <c r="ISR5" t="s">
        <v>60495</v>
      </c>
      <c r="IST5" t="s">
        <v>60495</v>
      </c>
      <c r="ISV5" t="s">
        <v>60495</v>
      </c>
      <c r="ISX5" t="s">
        <v>60495</v>
      </c>
      <c r="ISZ5" t="s">
        <v>60495</v>
      </c>
      <c r="ITB5" t="s">
        <v>60495</v>
      </c>
      <c r="ITD5" t="s">
        <v>60495</v>
      </c>
      <c r="ITF5" t="s">
        <v>60495</v>
      </c>
      <c r="ITH5" t="s">
        <v>60495</v>
      </c>
      <c r="ITJ5" t="s">
        <v>60495</v>
      </c>
      <c r="ITL5" t="s">
        <v>60495</v>
      </c>
      <c r="ITN5" t="s">
        <v>60495</v>
      </c>
      <c r="ITP5" t="s">
        <v>60495</v>
      </c>
      <c r="ITR5" t="s">
        <v>60495</v>
      </c>
      <c r="ITT5" t="s">
        <v>60495</v>
      </c>
      <c r="ITV5" t="s">
        <v>60495</v>
      </c>
      <c r="ITX5" t="s">
        <v>60495</v>
      </c>
      <c r="ITZ5" t="s">
        <v>60495</v>
      </c>
      <c r="IUB5" t="s">
        <v>60495</v>
      </c>
      <c r="IUD5" t="s">
        <v>60495</v>
      </c>
      <c r="IUF5" t="s">
        <v>40075</v>
      </c>
      <c r="IUG5" t="s">
        <v>60495</v>
      </c>
      <c r="IUI5" t="s">
        <v>60495</v>
      </c>
      <c r="IUK5" t="s">
        <v>37391</v>
      </c>
      <c r="IUL5" t="s">
        <v>60495</v>
      </c>
      <c r="IUN5" t="s">
        <v>60495</v>
      </c>
      <c r="IUP5" t="s">
        <v>60495</v>
      </c>
      <c r="IUR5" t="s">
        <v>60495</v>
      </c>
      <c r="IUT5" t="s">
        <v>60495</v>
      </c>
      <c r="IUV5" t="s">
        <v>60495</v>
      </c>
      <c r="IUX5" t="s">
        <v>60495</v>
      </c>
      <c r="IUZ5" t="s">
        <v>60495</v>
      </c>
      <c r="IVB5" t="s">
        <v>40172</v>
      </c>
      <c r="IVD5" t="s">
        <v>60495</v>
      </c>
      <c r="IVF5" t="s">
        <v>60495</v>
      </c>
      <c r="IVH5" t="s">
        <v>60495</v>
      </c>
      <c r="IVJ5" t="s">
        <v>26324</v>
      </c>
      <c r="IVK5" t="s">
        <v>60495</v>
      </c>
      <c r="IVM5" t="s">
        <v>60495</v>
      </c>
      <c r="IVO5" t="s">
        <v>60495</v>
      </c>
      <c r="IVQ5" t="s">
        <v>60495</v>
      </c>
      <c r="IVS5" t="s">
        <v>60495</v>
      </c>
      <c r="IVU5" t="s">
        <v>60495</v>
      </c>
      <c r="IVW5" t="s">
        <v>60495</v>
      </c>
      <c r="IVY5" t="s">
        <v>40094</v>
      </c>
      <c r="IVZ5" t="s">
        <v>60495</v>
      </c>
      <c r="IWB5" t="s">
        <v>60495</v>
      </c>
      <c r="IWD5" t="s">
        <v>60495</v>
      </c>
      <c r="IWF5" t="s">
        <v>60495</v>
      </c>
      <c r="IWH5" t="s">
        <v>60495</v>
      </c>
      <c r="IWJ5" t="s">
        <v>60495</v>
      </c>
      <c r="IWL5" t="s">
        <v>60495</v>
      </c>
      <c r="IWN5" t="s">
        <v>60495</v>
      </c>
      <c r="IWP5" t="s">
        <v>60495</v>
      </c>
      <c r="IWR5" t="s">
        <v>60495</v>
      </c>
      <c r="IWT5" t="s">
        <v>60495</v>
      </c>
      <c r="IWV5" t="s">
        <v>60495</v>
      </c>
      <c r="IWX5" t="s">
        <v>60495</v>
      </c>
      <c r="IWZ5" t="s">
        <v>60495</v>
      </c>
      <c r="IXB5" t="s">
        <v>60495</v>
      </c>
      <c r="IXD5" t="s">
        <v>20615</v>
      </c>
      <c r="IXE5" t="s">
        <v>60495</v>
      </c>
      <c r="IXG5" t="s">
        <v>60495</v>
      </c>
      <c r="IXI5" t="s">
        <v>60495</v>
      </c>
      <c r="IXK5" t="s">
        <v>60495</v>
      </c>
      <c r="IXM5" t="s">
        <v>60495</v>
      </c>
      <c r="IXO5" t="s">
        <v>60495</v>
      </c>
      <c r="IXQ5" t="s">
        <v>60495</v>
      </c>
      <c r="IXS5" t="s">
        <v>60495</v>
      </c>
      <c r="IXU5" t="s">
        <v>60495</v>
      </c>
      <c r="IXW5" t="s">
        <v>60495</v>
      </c>
      <c r="IXY5" t="s">
        <v>60495</v>
      </c>
      <c r="IYA5" t="s">
        <v>60495</v>
      </c>
      <c r="IYC5" t="s">
        <v>60495</v>
      </c>
      <c r="IYE5" t="s">
        <v>40273</v>
      </c>
      <c r="IYG5" t="s">
        <v>60495</v>
      </c>
      <c r="IYI5" t="s">
        <v>60495</v>
      </c>
      <c r="IYK5" t="s">
        <v>60495</v>
      </c>
      <c r="IYM5" t="s">
        <v>60495</v>
      </c>
      <c r="IYO5" t="s">
        <v>60495</v>
      </c>
      <c r="IYQ5" t="s">
        <v>60495</v>
      </c>
      <c r="IYS5" t="s">
        <v>60495</v>
      </c>
      <c r="IYU5" t="s">
        <v>60495</v>
      </c>
      <c r="IYW5" t="s">
        <v>40607</v>
      </c>
      <c r="IYX5" t="s">
        <v>60495</v>
      </c>
      <c r="IYZ5" t="s">
        <v>60495</v>
      </c>
      <c r="IZB5" t="s">
        <v>60495</v>
      </c>
      <c r="IZD5" t="s">
        <v>60495</v>
      </c>
      <c r="IZF5" t="s">
        <v>60495</v>
      </c>
      <c r="IZH5" t="s">
        <v>60495</v>
      </c>
      <c r="IZJ5" t="s">
        <v>60495</v>
      </c>
      <c r="IZL5" t="s">
        <v>60495</v>
      </c>
      <c r="IZN5" t="s">
        <v>60495</v>
      </c>
      <c r="IZP5" t="s">
        <v>60495</v>
      </c>
      <c r="IZR5" t="s">
        <v>60495</v>
      </c>
      <c r="IZT5" t="s">
        <v>60495</v>
      </c>
      <c r="IZV5" t="s">
        <v>60495</v>
      </c>
      <c r="IZX5" t="s">
        <v>60495</v>
      </c>
      <c r="IZZ5" t="s">
        <v>60495</v>
      </c>
      <c r="JAB5" t="s">
        <v>60495</v>
      </c>
      <c r="JAD5" t="s">
        <v>60495</v>
      </c>
      <c r="JAF5" t="s">
        <v>60495</v>
      </c>
      <c r="JAH5" t="s">
        <v>60495</v>
      </c>
      <c r="JAJ5" t="s">
        <v>60495</v>
      </c>
      <c r="JAL5" t="s">
        <v>60495</v>
      </c>
      <c r="JAN5" t="s">
        <v>60495</v>
      </c>
      <c r="JAP5" t="s">
        <v>60495</v>
      </c>
      <c r="JAR5" t="s">
        <v>60495</v>
      </c>
      <c r="JAT5" t="s">
        <v>60495</v>
      </c>
      <c r="JAV5" t="s">
        <v>40878</v>
      </c>
      <c r="JAW5" t="s">
        <v>60495</v>
      </c>
      <c r="JAY5" t="s">
        <v>60495</v>
      </c>
      <c r="JBA5" t="s">
        <v>30885</v>
      </c>
      <c r="JBB5" t="s">
        <v>60495</v>
      </c>
      <c r="JBD5" t="s">
        <v>60495</v>
      </c>
      <c r="JBF5" t="s">
        <v>40895</v>
      </c>
      <c r="JBG5" t="s">
        <v>60495</v>
      </c>
      <c r="JBI5" t="s">
        <v>60495</v>
      </c>
      <c r="JBK5" t="s">
        <v>60495</v>
      </c>
      <c r="JBM5" t="s">
        <v>60495</v>
      </c>
      <c r="JBO5" t="s">
        <v>60495</v>
      </c>
      <c r="JBQ5" t="s">
        <v>60495</v>
      </c>
      <c r="JBS5" t="s">
        <v>60495</v>
      </c>
      <c r="JBU5" t="s">
        <v>60495</v>
      </c>
      <c r="JBW5" t="s">
        <v>60495</v>
      </c>
      <c r="JBY5" t="s">
        <v>60495</v>
      </c>
      <c r="JCA5" t="s">
        <v>60495</v>
      </c>
      <c r="JCC5" t="s">
        <v>60495</v>
      </c>
      <c r="JCE5" t="s">
        <v>60495</v>
      </c>
      <c r="JCG5" t="s">
        <v>60495</v>
      </c>
      <c r="JCI5" t="s">
        <v>60495</v>
      </c>
      <c r="JCK5" t="s">
        <v>60495</v>
      </c>
      <c r="JCM5" t="s">
        <v>60495</v>
      </c>
      <c r="JCO5" t="s">
        <v>60495</v>
      </c>
      <c r="JCQ5" t="s">
        <v>60495</v>
      </c>
      <c r="JCS5" t="s">
        <v>60495</v>
      </c>
      <c r="JCU5" t="s">
        <v>60495</v>
      </c>
      <c r="JCW5" t="s">
        <v>60495</v>
      </c>
      <c r="JCY5" t="s">
        <v>60495</v>
      </c>
      <c r="JDA5" t="s">
        <v>60495</v>
      </c>
      <c r="JDC5" t="s">
        <v>60495</v>
      </c>
      <c r="JDE5" t="s">
        <v>60495</v>
      </c>
      <c r="JDG5" t="s">
        <v>60495</v>
      </c>
      <c r="JDI5" t="s">
        <v>60495</v>
      </c>
      <c r="JDK5" t="s">
        <v>60495</v>
      </c>
      <c r="JDM5" t="s">
        <v>60495</v>
      </c>
      <c r="JDO5" t="s">
        <v>60495</v>
      </c>
      <c r="JDQ5" t="s">
        <v>60495</v>
      </c>
      <c r="JDS5" t="s">
        <v>60495</v>
      </c>
      <c r="JDU5" t="s">
        <v>60495</v>
      </c>
      <c r="JDW5" t="s">
        <v>60495</v>
      </c>
      <c r="JDY5" t="s">
        <v>60495</v>
      </c>
      <c r="JEA5" t="s">
        <v>60495</v>
      </c>
      <c r="JEC5" t="s">
        <v>60495</v>
      </c>
      <c r="JEE5" t="s">
        <v>60495</v>
      </c>
      <c r="JEG5" t="s">
        <v>60495</v>
      </c>
      <c r="JEI5" t="s">
        <v>2310</v>
      </c>
      <c r="JEJ5" t="s">
        <v>60495</v>
      </c>
      <c r="JEL5" t="s">
        <v>60495</v>
      </c>
      <c r="JEN5" t="s">
        <v>60495</v>
      </c>
      <c r="JEP5" t="s">
        <v>60495</v>
      </c>
      <c r="JER5" t="s">
        <v>60495</v>
      </c>
      <c r="JET5" t="s">
        <v>60495</v>
      </c>
      <c r="JEV5" t="s">
        <v>60495</v>
      </c>
      <c r="JEX5" t="s">
        <v>60495</v>
      </c>
      <c r="JEZ5" t="s">
        <v>60495</v>
      </c>
      <c r="JFB5" t="s">
        <v>60495</v>
      </c>
      <c r="JFD5" t="s">
        <v>60495</v>
      </c>
      <c r="JFF5" t="s">
        <v>60495</v>
      </c>
      <c r="JFH5" t="s">
        <v>60495</v>
      </c>
      <c r="JFJ5" t="s">
        <v>60495</v>
      </c>
      <c r="JFL5" t="s">
        <v>60495</v>
      </c>
      <c r="JFN5" t="s">
        <v>60495</v>
      </c>
      <c r="JFP5" t="s">
        <v>60495</v>
      </c>
      <c r="JFR5" t="s">
        <v>60495</v>
      </c>
      <c r="JFT5" t="s">
        <v>60495</v>
      </c>
      <c r="JFV5" t="s">
        <v>60495</v>
      </c>
      <c r="JFX5" t="s">
        <v>60495</v>
      </c>
      <c r="JFZ5" t="s">
        <v>60495</v>
      </c>
      <c r="JGB5" t="s">
        <v>60495</v>
      </c>
      <c r="JGD5" t="s">
        <v>60495</v>
      </c>
      <c r="JGF5" t="s">
        <v>60495</v>
      </c>
      <c r="JGH5" t="s">
        <v>60495</v>
      </c>
      <c r="JGJ5" t="s">
        <v>60495</v>
      </c>
      <c r="JGL5" t="s">
        <v>60495</v>
      </c>
      <c r="JGN5" t="s">
        <v>60495</v>
      </c>
      <c r="JGP5" t="s">
        <v>60495</v>
      </c>
      <c r="JGR5" t="s">
        <v>60495</v>
      </c>
      <c r="JGT5" t="s">
        <v>60495</v>
      </c>
      <c r="JGV5" t="s">
        <v>60495</v>
      </c>
      <c r="JGX5" t="s">
        <v>60495</v>
      </c>
      <c r="JGZ5" t="s">
        <v>60495</v>
      </c>
      <c r="JHB5" t="s">
        <v>60495</v>
      </c>
      <c r="JHD5" t="s">
        <v>60495</v>
      </c>
      <c r="JHF5" t="s">
        <v>60495</v>
      </c>
      <c r="JHH5" t="s">
        <v>60495</v>
      </c>
      <c r="JHJ5" t="s">
        <v>60495</v>
      </c>
      <c r="JHL5" t="s">
        <v>60495</v>
      </c>
      <c r="JHN5" t="s">
        <v>60495</v>
      </c>
      <c r="JHP5" t="s">
        <v>60495</v>
      </c>
      <c r="JHR5" t="s">
        <v>60495</v>
      </c>
      <c r="JHT5" t="s">
        <v>60495</v>
      </c>
      <c r="JHV5" t="s">
        <v>60495</v>
      </c>
      <c r="JHX5" t="s">
        <v>60495</v>
      </c>
      <c r="JHZ5" t="s">
        <v>60495</v>
      </c>
      <c r="JIB5" t="s">
        <v>60495</v>
      </c>
      <c r="JID5" t="s">
        <v>60495</v>
      </c>
      <c r="JIF5" t="s">
        <v>60495</v>
      </c>
      <c r="JIH5" t="s">
        <v>60495</v>
      </c>
      <c r="JIJ5" t="s">
        <v>60495</v>
      </c>
      <c r="JIL5" t="s">
        <v>60495</v>
      </c>
      <c r="JIN5" t="s">
        <v>60495</v>
      </c>
      <c r="JIP5" t="s">
        <v>60495</v>
      </c>
      <c r="JIR5" t="s">
        <v>60495</v>
      </c>
      <c r="JIT5" t="s">
        <v>60495</v>
      </c>
      <c r="JIV5" t="s">
        <v>60495</v>
      </c>
      <c r="JIX5" t="s">
        <v>60495</v>
      </c>
      <c r="JIZ5" t="s">
        <v>60495</v>
      </c>
      <c r="JJB5" t="s">
        <v>60495</v>
      </c>
      <c r="JJD5" t="s">
        <v>60495</v>
      </c>
      <c r="JJF5" t="s">
        <v>60495</v>
      </c>
      <c r="JJH5" t="s">
        <v>60495</v>
      </c>
      <c r="JJJ5" t="s">
        <v>60495</v>
      </c>
      <c r="JJL5" t="s">
        <v>60495</v>
      </c>
      <c r="JJN5" t="s">
        <v>60495</v>
      </c>
      <c r="JJP5" t="s">
        <v>60495</v>
      </c>
      <c r="JJR5" t="s">
        <v>7559</v>
      </c>
      <c r="JJS5" t="s">
        <v>60495</v>
      </c>
      <c r="JJU5" t="s">
        <v>60495</v>
      </c>
      <c r="JJW5" t="s">
        <v>60495</v>
      </c>
      <c r="JJY5" t="s">
        <v>60495</v>
      </c>
      <c r="JKA5" t="s">
        <v>60495</v>
      </c>
      <c r="JKC5" t="s">
        <v>60495</v>
      </c>
      <c r="JKE5" t="s">
        <v>60495</v>
      </c>
      <c r="JKG5" t="s">
        <v>60495</v>
      </c>
      <c r="JKI5" t="s">
        <v>60495</v>
      </c>
      <c r="JKK5" t="s">
        <v>60495</v>
      </c>
      <c r="JKM5" t="s">
        <v>60495</v>
      </c>
      <c r="JKO5" t="s">
        <v>60495</v>
      </c>
      <c r="JKQ5" t="s">
        <v>60495</v>
      </c>
      <c r="JKS5" t="s">
        <v>60495</v>
      </c>
      <c r="JKU5" t="s">
        <v>60495</v>
      </c>
      <c r="JKW5" t="s">
        <v>60495</v>
      </c>
      <c r="JKY5" t="s">
        <v>60495</v>
      </c>
      <c r="JLA5" t="s">
        <v>60495</v>
      </c>
      <c r="JLC5" t="s">
        <v>60495</v>
      </c>
      <c r="JLE5" t="s">
        <v>60495</v>
      </c>
      <c r="JLG5" t="s">
        <v>60495</v>
      </c>
      <c r="JLI5" t="s">
        <v>60495</v>
      </c>
      <c r="JLK5" t="s">
        <v>60495</v>
      </c>
      <c r="JLM5" t="s">
        <v>60495</v>
      </c>
      <c r="JLO5" t="s">
        <v>60495</v>
      </c>
      <c r="JLQ5" t="s">
        <v>60495</v>
      </c>
      <c r="JLS5" t="s">
        <v>60495</v>
      </c>
      <c r="JLU5" t="s">
        <v>60495</v>
      </c>
      <c r="JLW5" t="s">
        <v>60495</v>
      </c>
      <c r="JLY5" t="s">
        <v>60495</v>
      </c>
      <c r="JMA5" t="s">
        <v>60495</v>
      </c>
      <c r="JMC5" t="s">
        <v>60495</v>
      </c>
      <c r="JME5" t="s">
        <v>60495</v>
      </c>
      <c r="JMG5" t="s">
        <v>60495</v>
      </c>
      <c r="JMI5" t="s">
        <v>60495</v>
      </c>
      <c r="JMK5" t="s">
        <v>60495</v>
      </c>
      <c r="JMM5" t="s">
        <v>60495</v>
      </c>
      <c r="JMO5" t="s">
        <v>60495</v>
      </c>
      <c r="JMQ5" t="s">
        <v>60495</v>
      </c>
      <c r="JMS5" t="s">
        <v>11833</v>
      </c>
      <c r="JMT5" t="s">
        <v>60495</v>
      </c>
      <c r="JMV5" t="s">
        <v>60495</v>
      </c>
      <c r="JMX5" t="s">
        <v>60495</v>
      </c>
      <c r="JMZ5" t="s">
        <v>60495</v>
      </c>
      <c r="JNB5" t="s">
        <v>60495</v>
      </c>
      <c r="JND5" t="s">
        <v>60495</v>
      </c>
      <c r="JNF5" t="s">
        <v>60495</v>
      </c>
      <c r="JNH5" t="s">
        <v>60495</v>
      </c>
      <c r="JNJ5" t="s">
        <v>60495</v>
      </c>
      <c r="JNL5" t="s">
        <v>60495</v>
      </c>
      <c r="JNN5" t="s">
        <v>60495</v>
      </c>
      <c r="JNP5" t="s">
        <v>60495</v>
      </c>
      <c r="JNR5" t="s">
        <v>60495</v>
      </c>
      <c r="JNT5" t="s">
        <v>60495</v>
      </c>
      <c r="JNV5" t="s">
        <v>60495</v>
      </c>
      <c r="JNX5" t="s">
        <v>60495</v>
      </c>
      <c r="JNZ5" t="s">
        <v>60495</v>
      </c>
      <c r="JOB5" t="s">
        <v>60495</v>
      </c>
      <c r="JOD5" t="s">
        <v>27543</v>
      </c>
      <c r="JOE5" t="s">
        <v>60495</v>
      </c>
      <c r="JOG5" t="s">
        <v>60495</v>
      </c>
      <c r="JOI5" t="s">
        <v>60495</v>
      </c>
      <c r="JOK5" t="s">
        <v>60495</v>
      </c>
      <c r="JOM5" t="s">
        <v>60495</v>
      </c>
      <c r="JOO5" t="s">
        <v>30216</v>
      </c>
      <c r="JOQ5" t="s">
        <v>60495</v>
      </c>
      <c r="JOS5" t="s">
        <v>60495</v>
      </c>
      <c r="JOU5" t="s">
        <v>34110</v>
      </c>
      <c r="JOV5" t="s">
        <v>60495</v>
      </c>
      <c r="JOX5" t="s">
        <v>60495</v>
      </c>
      <c r="JOZ5" t="s">
        <v>60495</v>
      </c>
      <c r="JPB5" t="s">
        <v>42437</v>
      </c>
      <c r="JPD5" t="s">
        <v>60495</v>
      </c>
      <c r="JPF5" t="s">
        <v>60495</v>
      </c>
      <c r="JPH5" t="s">
        <v>60495</v>
      </c>
      <c r="JPJ5" t="s">
        <v>60495</v>
      </c>
      <c r="JPL5" t="s">
        <v>32008</v>
      </c>
      <c r="JPM5" t="s">
        <v>60495</v>
      </c>
      <c r="JPO5" t="s">
        <v>60495</v>
      </c>
      <c r="JPQ5" t="s">
        <v>60495</v>
      </c>
      <c r="JPS5" t="s">
        <v>60495</v>
      </c>
      <c r="JPU5" t="s">
        <v>60495</v>
      </c>
      <c r="JPW5" t="s">
        <v>21254</v>
      </c>
      <c r="JPY5" t="s">
        <v>60495</v>
      </c>
      <c r="JQA5" t="s">
        <v>60495</v>
      </c>
      <c r="JQC5" t="s">
        <v>60495</v>
      </c>
      <c r="JQE5" t="s">
        <v>60495</v>
      </c>
      <c r="JQG5" t="s">
        <v>60495</v>
      </c>
      <c r="JQI5" t="s">
        <v>60495</v>
      </c>
      <c r="JQK5" t="s">
        <v>60495</v>
      </c>
      <c r="JQM5" t="s">
        <v>60495</v>
      </c>
      <c r="JQO5" t="s">
        <v>60495</v>
      </c>
      <c r="JQQ5" t="s">
        <v>60495</v>
      </c>
      <c r="JQS5" t="s">
        <v>60495</v>
      </c>
      <c r="JQU5" t="s">
        <v>60495</v>
      </c>
      <c r="JQW5" t="s">
        <v>42703</v>
      </c>
      <c r="JQY5" t="s">
        <v>60495</v>
      </c>
      <c r="JRA5" t="s">
        <v>60495</v>
      </c>
      <c r="JRC5" t="s">
        <v>60495</v>
      </c>
      <c r="JRE5" t="s">
        <v>60495</v>
      </c>
      <c r="JRG5" t="s">
        <v>60495</v>
      </c>
      <c r="JRI5" t="s">
        <v>60495</v>
      </c>
      <c r="JRK5" t="s">
        <v>60495</v>
      </c>
      <c r="JRM5" t="s">
        <v>60495</v>
      </c>
      <c r="JRO5" t="s">
        <v>60495</v>
      </c>
      <c r="JRQ5" t="s">
        <v>60495</v>
      </c>
      <c r="JRS5" t="s">
        <v>60495</v>
      </c>
      <c r="JRU5" t="s">
        <v>60495</v>
      </c>
      <c r="JRW5" t="s">
        <v>60495</v>
      </c>
      <c r="JRY5" t="s">
        <v>60495</v>
      </c>
      <c r="JSA5" t="s">
        <v>60495</v>
      </c>
      <c r="JSC5" t="s">
        <v>60495</v>
      </c>
      <c r="JSE5" t="s">
        <v>60495</v>
      </c>
      <c r="JSG5" t="s">
        <v>60495</v>
      </c>
      <c r="JSI5" t="s">
        <v>60495</v>
      </c>
      <c r="JSK5" t="s">
        <v>60495</v>
      </c>
      <c r="JSM5" t="s">
        <v>60495</v>
      </c>
      <c r="JSO5" t="s">
        <v>60495</v>
      </c>
      <c r="JSQ5" t="s">
        <v>60495</v>
      </c>
      <c r="JSS5" t="s">
        <v>60495</v>
      </c>
      <c r="JSU5" t="s">
        <v>60495</v>
      </c>
      <c r="JSW5" t="s">
        <v>60495</v>
      </c>
      <c r="JSY5" t="s">
        <v>60495</v>
      </c>
      <c r="JTA5" t="s">
        <v>43011</v>
      </c>
      <c r="JTC5" t="s">
        <v>60495</v>
      </c>
      <c r="JTE5" t="s">
        <v>42850</v>
      </c>
      <c r="JTG5" t="s">
        <v>60495</v>
      </c>
      <c r="JTI5" t="s">
        <v>60495</v>
      </c>
      <c r="JTK5" t="s">
        <v>60495</v>
      </c>
      <c r="JTM5" t="s">
        <v>60495</v>
      </c>
      <c r="JTO5" t="s">
        <v>60495</v>
      </c>
      <c r="JTQ5" t="s">
        <v>60495</v>
      </c>
      <c r="JTS5" t="s">
        <v>60495</v>
      </c>
      <c r="JTU5" t="s">
        <v>60495</v>
      </c>
      <c r="JTW5" t="s">
        <v>60495</v>
      </c>
      <c r="JTY5" t="s">
        <v>60495</v>
      </c>
      <c r="JUA5" t="s">
        <v>60495</v>
      </c>
      <c r="JUC5" t="s">
        <v>60495</v>
      </c>
      <c r="JUE5" t="s">
        <v>60495</v>
      </c>
      <c r="JUG5" t="s">
        <v>60495</v>
      </c>
      <c r="JUI5" t="s">
        <v>60495</v>
      </c>
      <c r="JUK5" t="s">
        <v>60495</v>
      </c>
      <c r="JUM5" t="s">
        <v>60495</v>
      </c>
      <c r="JUO5" t="s">
        <v>60495</v>
      </c>
      <c r="JUQ5" t="s">
        <v>15788</v>
      </c>
      <c r="JUS5" t="s">
        <v>33043</v>
      </c>
      <c r="JUT5" t="s">
        <v>60495</v>
      </c>
      <c r="JUV5" t="s">
        <v>60495</v>
      </c>
      <c r="JUX5" t="s">
        <v>8699</v>
      </c>
      <c r="JUY5" t="s">
        <v>60495</v>
      </c>
      <c r="JVA5" t="s">
        <v>60495</v>
      </c>
      <c r="JVC5" t="s">
        <v>60495</v>
      </c>
      <c r="JVE5" t="s">
        <v>60495</v>
      </c>
      <c r="JVG5" t="s">
        <v>60495</v>
      </c>
      <c r="JVI5" t="s">
        <v>60495</v>
      </c>
      <c r="JVK5" t="s">
        <v>60495</v>
      </c>
      <c r="JVM5" t="s">
        <v>60495</v>
      </c>
      <c r="JVO5" t="s">
        <v>43249</v>
      </c>
      <c r="JVQ5" t="s">
        <v>60495</v>
      </c>
      <c r="JVS5" t="s">
        <v>38778</v>
      </c>
      <c r="JVT5" t="s">
        <v>40086</v>
      </c>
      <c r="JVU5" t="s">
        <v>60495</v>
      </c>
      <c r="JVW5" t="s">
        <v>60495</v>
      </c>
      <c r="JVY5" t="s">
        <v>60495</v>
      </c>
      <c r="JWA5" t="s">
        <v>60495</v>
      </c>
      <c r="JWC5" t="s">
        <v>60495</v>
      </c>
      <c r="JWE5" t="s">
        <v>60495</v>
      </c>
      <c r="JWG5" t="s">
        <v>60495</v>
      </c>
      <c r="JWI5" t="s">
        <v>60495</v>
      </c>
      <c r="JWK5" t="s">
        <v>60495</v>
      </c>
      <c r="JWM5" t="s">
        <v>8303</v>
      </c>
      <c r="JWN5" t="s">
        <v>60495</v>
      </c>
      <c r="JWP5" t="s">
        <v>60495</v>
      </c>
      <c r="JWR5" t="s">
        <v>60495</v>
      </c>
      <c r="JWT5" t="s">
        <v>60495</v>
      </c>
      <c r="JWV5" t="s">
        <v>60495</v>
      </c>
      <c r="JWX5" t="s">
        <v>60495</v>
      </c>
      <c r="JWZ5" t="s">
        <v>60495</v>
      </c>
      <c r="JXB5" t="s">
        <v>60495</v>
      </c>
      <c r="JXD5" t="s">
        <v>60495</v>
      </c>
      <c r="JXF5" t="s">
        <v>60495</v>
      </c>
      <c r="JXH5" t="s">
        <v>60495</v>
      </c>
      <c r="JXJ5" t="s">
        <v>60495</v>
      </c>
      <c r="JXL5" t="s">
        <v>60495</v>
      </c>
      <c r="JXN5" t="s">
        <v>60495</v>
      </c>
      <c r="JXP5" t="s">
        <v>31764</v>
      </c>
      <c r="JXQ5" t="s">
        <v>60495</v>
      </c>
      <c r="JXS5" t="s">
        <v>60495</v>
      </c>
      <c r="JXU5" t="s">
        <v>60495</v>
      </c>
      <c r="JXW5" t="s">
        <v>60495</v>
      </c>
      <c r="JXY5" t="s">
        <v>60495</v>
      </c>
      <c r="JYA5" t="s">
        <v>60495</v>
      </c>
      <c r="JYC5" t="s">
        <v>60495</v>
      </c>
      <c r="JYE5" t="s">
        <v>60495</v>
      </c>
      <c r="JYG5" t="s">
        <v>60495</v>
      </c>
      <c r="JYI5" t="s">
        <v>60495</v>
      </c>
      <c r="JYK5" t="s">
        <v>60495</v>
      </c>
      <c r="JYM5" t="s">
        <v>60495</v>
      </c>
      <c r="JYO5" t="s">
        <v>60495</v>
      </c>
      <c r="JYQ5" t="s">
        <v>60495</v>
      </c>
      <c r="JYS5" t="s">
        <v>14160</v>
      </c>
      <c r="JYU5" t="s">
        <v>60495</v>
      </c>
      <c r="JYW5" t="s">
        <v>60495</v>
      </c>
      <c r="JYY5" t="s">
        <v>60495</v>
      </c>
      <c r="JZA5" t="s">
        <v>60495</v>
      </c>
      <c r="JZC5" t="s">
        <v>60495</v>
      </c>
      <c r="JZE5" t="s">
        <v>60495</v>
      </c>
      <c r="JZG5" t="s">
        <v>60495</v>
      </c>
      <c r="JZI5" t="s">
        <v>60495</v>
      </c>
      <c r="JZK5" t="s">
        <v>60495</v>
      </c>
      <c r="JZM5" t="s">
        <v>60495</v>
      </c>
      <c r="JZO5" t="s">
        <v>60495</v>
      </c>
      <c r="JZQ5" t="s">
        <v>60495</v>
      </c>
      <c r="JZS5" t="s">
        <v>60495</v>
      </c>
      <c r="JZU5" t="s">
        <v>60495</v>
      </c>
      <c r="JZW5" t="s">
        <v>43620</v>
      </c>
      <c r="JZX5" t="s">
        <v>60495</v>
      </c>
      <c r="JZZ5" t="s">
        <v>60495</v>
      </c>
      <c r="KAB5" t="s">
        <v>60495</v>
      </c>
      <c r="KAD5" t="s">
        <v>24073</v>
      </c>
      <c r="KAF5" t="s">
        <v>60495</v>
      </c>
      <c r="KAH5" t="s">
        <v>58772</v>
      </c>
      <c r="KAJ5" t="s">
        <v>32091</v>
      </c>
      <c r="KAL5" t="s">
        <v>60495</v>
      </c>
      <c r="KAN5" t="s">
        <v>60495</v>
      </c>
      <c r="KAP5" t="s">
        <v>60495</v>
      </c>
      <c r="KAR5" t="s">
        <v>60495</v>
      </c>
      <c r="KAT5" t="s">
        <v>60495</v>
      </c>
      <c r="KAV5" t="s">
        <v>60495</v>
      </c>
      <c r="KAX5" t="s">
        <v>36746</v>
      </c>
      <c r="KAZ5" t="s">
        <v>60495</v>
      </c>
      <c r="KBB5" t="s">
        <v>60495</v>
      </c>
      <c r="KBD5" t="s">
        <v>60495</v>
      </c>
      <c r="KBF5" t="s">
        <v>60495</v>
      </c>
      <c r="KBH5" t="s">
        <v>60495</v>
      </c>
      <c r="KBJ5" t="s">
        <v>60495</v>
      </c>
      <c r="KBL5" t="s">
        <v>60495</v>
      </c>
      <c r="KBN5" t="s">
        <v>60495</v>
      </c>
      <c r="KBP5" t="s">
        <v>60495</v>
      </c>
      <c r="KBR5" t="s">
        <v>60495</v>
      </c>
      <c r="KBT5" t="s">
        <v>60495</v>
      </c>
      <c r="KBV5" t="s">
        <v>60495</v>
      </c>
      <c r="KBX5" t="s">
        <v>60495</v>
      </c>
      <c r="KBZ5" t="s">
        <v>60495</v>
      </c>
      <c r="KCB5" t="s">
        <v>60495</v>
      </c>
      <c r="KCD5" t="s">
        <v>60495</v>
      </c>
      <c r="KCF5" t="s">
        <v>60495</v>
      </c>
      <c r="KCH5" t="s">
        <v>60495</v>
      </c>
      <c r="KCJ5" t="s">
        <v>60495</v>
      </c>
      <c r="KCL5" t="s">
        <v>60495</v>
      </c>
      <c r="KCN5" t="s">
        <v>60495</v>
      </c>
      <c r="KCP5" t="s">
        <v>60495</v>
      </c>
      <c r="KCR5" t="s">
        <v>60495</v>
      </c>
      <c r="KCT5" t="s">
        <v>60495</v>
      </c>
      <c r="KCV5" t="s">
        <v>60495</v>
      </c>
      <c r="KCX5" t="s">
        <v>60495</v>
      </c>
      <c r="KCZ5" t="s">
        <v>60495</v>
      </c>
      <c r="KDB5" t="s">
        <v>60495</v>
      </c>
      <c r="KDD5" t="s">
        <v>60495</v>
      </c>
      <c r="KDF5" t="s">
        <v>60495</v>
      </c>
      <c r="KDH5" t="s">
        <v>44058</v>
      </c>
      <c r="KDI5" t="s">
        <v>60495</v>
      </c>
      <c r="KDK5" t="s">
        <v>60495</v>
      </c>
      <c r="KDM5" t="s">
        <v>60495</v>
      </c>
      <c r="KDO5" t="s">
        <v>60495</v>
      </c>
      <c r="KDQ5" t="s">
        <v>60495</v>
      </c>
      <c r="KDS5" t="s">
        <v>60495</v>
      </c>
      <c r="KDU5" t="s">
        <v>60495</v>
      </c>
      <c r="KDW5" t="s">
        <v>39661</v>
      </c>
      <c r="KDX5" t="s">
        <v>60495</v>
      </c>
      <c r="KDZ5" t="s">
        <v>44113</v>
      </c>
      <c r="KEA5" t="s">
        <v>39693</v>
      </c>
      <c r="KEB5" t="s">
        <v>60495</v>
      </c>
      <c r="KED5" t="s">
        <v>60495</v>
      </c>
      <c r="KEF5" t="s">
        <v>60495</v>
      </c>
      <c r="KEH5" t="s">
        <v>60495</v>
      </c>
      <c r="KEJ5" t="s">
        <v>60495</v>
      </c>
      <c r="KEL5" t="s">
        <v>60495</v>
      </c>
      <c r="KEN5" t="s">
        <v>60495</v>
      </c>
      <c r="KEP5" t="s">
        <v>60495</v>
      </c>
      <c r="KER5" t="s">
        <v>60495</v>
      </c>
      <c r="KET5" t="s">
        <v>60495</v>
      </c>
      <c r="KEV5" t="s">
        <v>60495</v>
      </c>
      <c r="KEX5" t="s">
        <v>60495</v>
      </c>
      <c r="KEZ5" t="s">
        <v>60495</v>
      </c>
      <c r="KFB5" t="s">
        <v>60495</v>
      </c>
      <c r="KFD5" t="s">
        <v>60495</v>
      </c>
      <c r="KFF5" t="s">
        <v>60495</v>
      </c>
      <c r="KFH5" t="s">
        <v>44214</v>
      </c>
      <c r="KFI5" t="s">
        <v>60495</v>
      </c>
      <c r="KFK5" t="s">
        <v>60495</v>
      </c>
      <c r="KFM5" t="s">
        <v>60495</v>
      </c>
      <c r="KFO5" t="s">
        <v>60495</v>
      </c>
      <c r="KFQ5" t="s">
        <v>60495</v>
      </c>
      <c r="KFS5" t="s">
        <v>10105</v>
      </c>
      <c r="KFT5" t="s">
        <v>60495</v>
      </c>
      <c r="KFV5" t="s">
        <v>60495</v>
      </c>
      <c r="KFX5" t="s">
        <v>60495</v>
      </c>
      <c r="KFZ5" t="s">
        <v>60495</v>
      </c>
      <c r="KGB5" t="s">
        <v>60495</v>
      </c>
      <c r="KGD5" t="s">
        <v>60495</v>
      </c>
      <c r="KGF5" t="s">
        <v>60495</v>
      </c>
      <c r="KGH5" t="s">
        <v>60495</v>
      </c>
      <c r="KGJ5" t="s">
        <v>60495</v>
      </c>
      <c r="KGL5" t="s">
        <v>60495</v>
      </c>
      <c r="KGN5" t="s">
        <v>60495</v>
      </c>
      <c r="KGP5" t="s">
        <v>60495</v>
      </c>
      <c r="KGR5" t="s">
        <v>60495</v>
      </c>
      <c r="KGT5" t="s">
        <v>60495</v>
      </c>
      <c r="KGV5" t="s">
        <v>60495</v>
      </c>
      <c r="KGX5" t="s">
        <v>22265</v>
      </c>
      <c r="KGZ5" t="s">
        <v>60495</v>
      </c>
      <c r="KHB5" t="s">
        <v>60495</v>
      </c>
      <c r="KHD5" t="s">
        <v>60495</v>
      </c>
      <c r="KHF5" t="s">
        <v>60495</v>
      </c>
      <c r="KHH5" t="s">
        <v>60495</v>
      </c>
      <c r="KHJ5" t="s">
        <v>60495</v>
      </c>
      <c r="KHL5" t="s">
        <v>60495</v>
      </c>
      <c r="KHN5" t="s">
        <v>60495</v>
      </c>
      <c r="KHP5" t="s">
        <v>60495</v>
      </c>
      <c r="KHR5" t="s">
        <v>60495</v>
      </c>
      <c r="KHT5" t="s">
        <v>60495</v>
      </c>
      <c r="KHV5" t="s">
        <v>60495</v>
      </c>
      <c r="KHX5" t="s">
        <v>60495</v>
      </c>
      <c r="KHZ5" t="s">
        <v>60495</v>
      </c>
      <c r="KIB5" t="s">
        <v>60495</v>
      </c>
      <c r="KID5" t="s">
        <v>60495</v>
      </c>
      <c r="KIF5" t="s">
        <v>60495</v>
      </c>
      <c r="KIH5" t="s">
        <v>60495</v>
      </c>
      <c r="KIJ5" t="s">
        <v>60495</v>
      </c>
      <c r="KIL5" t="s">
        <v>60495</v>
      </c>
      <c r="KIN5" t="s">
        <v>60495</v>
      </c>
      <c r="KIP5" t="s">
        <v>60495</v>
      </c>
      <c r="KIR5" t="s">
        <v>60495</v>
      </c>
      <c r="KIT5" t="s">
        <v>60495</v>
      </c>
      <c r="KIV5" t="s">
        <v>60495</v>
      </c>
      <c r="KIX5" t="s">
        <v>60495</v>
      </c>
      <c r="KIZ5" t="s">
        <v>60495</v>
      </c>
      <c r="KJB5" t="s">
        <v>60495</v>
      </c>
      <c r="KJD5" t="s">
        <v>60495</v>
      </c>
      <c r="KJF5" t="s">
        <v>60495</v>
      </c>
      <c r="KJH5" t="s">
        <v>60495</v>
      </c>
      <c r="KJJ5" t="s">
        <v>60495</v>
      </c>
      <c r="KJL5" t="s">
        <v>60495</v>
      </c>
      <c r="KJN5" t="s">
        <v>60495</v>
      </c>
      <c r="KJP5" t="s">
        <v>60495</v>
      </c>
      <c r="KJR5" t="s">
        <v>60495</v>
      </c>
      <c r="KJT5" t="s">
        <v>60495</v>
      </c>
      <c r="KJV5" t="s">
        <v>60495</v>
      </c>
      <c r="KJX5" t="s">
        <v>60495</v>
      </c>
      <c r="KJZ5" t="s">
        <v>60495</v>
      </c>
      <c r="KKB5" t="s">
        <v>60495</v>
      </c>
      <c r="KKD5" t="s">
        <v>60495</v>
      </c>
      <c r="KKF5" t="s">
        <v>60495</v>
      </c>
      <c r="KKH5" t="s">
        <v>60495</v>
      </c>
      <c r="KKJ5" t="s">
        <v>60495</v>
      </c>
      <c r="KKL5" t="s">
        <v>60495</v>
      </c>
      <c r="KKN5" t="s">
        <v>60495</v>
      </c>
      <c r="KKP5" t="s">
        <v>60495</v>
      </c>
      <c r="KKR5" t="s">
        <v>44859</v>
      </c>
      <c r="KKT5" t="s">
        <v>60495</v>
      </c>
      <c r="KKV5" t="s">
        <v>60495</v>
      </c>
      <c r="KKX5" t="s">
        <v>60495</v>
      </c>
      <c r="KKZ5" t="s">
        <v>60495</v>
      </c>
      <c r="KLB5" t="s">
        <v>60495</v>
      </c>
      <c r="KLD5" t="s">
        <v>60495</v>
      </c>
      <c r="KLF5" t="s">
        <v>60495</v>
      </c>
      <c r="KLH5" t="s">
        <v>60495</v>
      </c>
      <c r="KLJ5" t="s">
        <v>60495</v>
      </c>
      <c r="KLL5" t="s">
        <v>60495</v>
      </c>
      <c r="KLN5" t="s">
        <v>60495</v>
      </c>
      <c r="KLP5" t="s">
        <v>60495</v>
      </c>
      <c r="KLR5" t="s">
        <v>60495</v>
      </c>
      <c r="KLT5" t="s">
        <v>60495</v>
      </c>
      <c r="KLV5" t="s">
        <v>60495</v>
      </c>
      <c r="KLX5" t="s">
        <v>60495</v>
      </c>
      <c r="KLZ5" t="s">
        <v>60495</v>
      </c>
      <c r="KMB5" t="s">
        <v>27844</v>
      </c>
      <c r="KMC5" t="s">
        <v>60495</v>
      </c>
      <c r="KME5" t="s">
        <v>60495</v>
      </c>
      <c r="KMG5" t="s">
        <v>60495</v>
      </c>
      <c r="KMI5" t="s">
        <v>60495</v>
      </c>
      <c r="KMK5" t="s">
        <v>60495</v>
      </c>
      <c r="KMM5" t="s">
        <v>60495</v>
      </c>
      <c r="KMO5" t="s">
        <v>60495</v>
      </c>
      <c r="KMQ5" t="s">
        <v>60495</v>
      </c>
      <c r="KMS5" t="s">
        <v>60495</v>
      </c>
      <c r="KMU5" t="s">
        <v>60495</v>
      </c>
      <c r="KMW5" t="s">
        <v>60495</v>
      </c>
      <c r="KMY5" t="s">
        <v>60495</v>
      </c>
      <c r="KNA5" t="s">
        <v>60495</v>
      </c>
      <c r="KNC5" t="s">
        <v>60495</v>
      </c>
      <c r="KNE5" t="s">
        <v>60495</v>
      </c>
      <c r="KNG5" t="s">
        <v>60495</v>
      </c>
      <c r="KNI5" t="s">
        <v>60495</v>
      </c>
      <c r="KNK5" t="s">
        <v>60495</v>
      </c>
      <c r="KNM5" t="s">
        <v>60495</v>
      </c>
      <c r="KNO5" t="s">
        <v>60495</v>
      </c>
      <c r="KNQ5" t="s">
        <v>60495</v>
      </c>
      <c r="KNS5" t="s">
        <v>60495</v>
      </c>
      <c r="KNU5" t="s">
        <v>60495</v>
      </c>
      <c r="KNW5" t="s">
        <v>60495</v>
      </c>
      <c r="KNY5" t="s">
        <v>60495</v>
      </c>
      <c r="KOA5" t="s">
        <v>60495</v>
      </c>
      <c r="KOC5" t="s">
        <v>60495</v>
      </c>
      <c r="KOE5" t="s">
        <v>60495</v>
      </c>
      <c r="KOG5" t="s">
        <v>60495</v>
      </c>
      <c r="KOI5" t="s">
        <v>60495</v>
      </c>
      <c r="KOK5" t="s">
        <v>60495</v>
      </c>
      <c r="KOM5" t="s">
        <v>60495</v>
      </c>
      <c r="KOO5" t="s">
        <v>60495</v>
      </c>
      <c r="KOQ5" t="s">
        <v>60495</v>
      </c>
      <c r="KOS5" t="s">
        <v>60495</v>
      </c>
      <c r="KOU5" t="s">
        <v>60495</v>
      </c>
      <c r="KOW5" t="s">
        <v>60495</v>
      </c>
      <c r="KOY5" t="s">
        <v>60495</v>
      </c>
      <c r="KPA5" t="s">
        <v>60495</v>
      </c>
      <c r="KPC5" t="s">
        <v>45317</v>
      </c>
      <c r="KPE5" t="s">
        <v>60495</v>
      </c>
      <c r="KPG5" t="s">
        <v>60495</v>
      </c>
      <c r="KPI5" t="s">
        <v>60495</v>
      </c>
      <c r="KPK5" t="s">
        <v>60495</v>
      </c>
      <c r="KPM5" t="s">
        <v>60495</v>
      </c>
      <c r="KPO5" t="s">
        <v>60495</v>
      </c>
      <c r="KPQ5" t="s">
        <v>60495</v>
      </c>
      <c r="KPS5" t="s">
        <v>37904</v>
      </c>
      <c r="KPT5" t="s">
        <v>60495</v>
      </c>
      <c r="KPV5" t="s">
        <v>60495</v>
      </c>
      <c r="KPX5" t="s">
        <v>60495</v>
      </c>
      <c r="KPZ5" t="s">
        <v>60495</v>
      </c>
      <c r="KQB5" t="s">
        <v>18110</v>
      </c>
      <c r="KQC5" t="s">
        <v>60495</v>
      </c>
      <c r="KQE5" t="s">
        <v>18119</v>
      </c>
      <c r="KQF5" t="s">
        <v>60495</v>
      </c>
      <c r="KQH5" t="s">
        <v>60495</v>
      </c>
      <c r="KQJ5" t="s">
        <v>60495</v>
      </c>
      <c r="KQL5" t="s">
        <v>60495</v>
      </c>
      <c r="KQN5" t="s">
        <v>60495</v>
      </c>
      <c r="KQP5" t="s">
        <v>60495</v>
      </c>
      <c r="KQR5" t="s">
        <v>60495</v>
      </c>
      <c r="KQT5" t="s">
        <v>60495</v>
      </c>
      <c r="KQV5" t="s">
        <v>60495</v>
      </c>
      <c r="KQX5" t="s">
        <v>60495</v>
      </c>
      <c r="KQZ5" t="s">
        <v>60495</v>
      </c>
      <c r="KRB5" t="s">
        <v>30743</v>
      </c>
      <c r="KRD5" t="s">
        <v>60495</v>
      </c>
      <c r="KRF5" t="s">
        <v>60495</v>
      </c>
      <c r="KRH5" t="s">
        <v>60495</v>
      </c>
      <c r="KRJ5" t="s">
        <v>60495</v>
      </c>
      <c r="KRL5" t="s">
        <v>60495</v>
      </c>
      <c r="KRN5" t="s">
        <v>60495</v>
      </c>
      <c r="KRP5" t="s">
        <v>60495</v>
      </c>
      <c r="KRR5" t="s">
        <v>60495</v>
      </c>
      <c r="KRT5" t="s">
        <v>60495</v>
      </c>
      <c r="KRV5" t="s">
        <v>60495</v>
      </c>
      <c r="KRX5" t="s">
        <v>60495</v>
      </c>
      <c r="KRZ5" t="s">
        <v>60495</v>
      </c>
      <c r="KSB5" t="s">
        <v>60495</v>
      </c>
      <c r="KSD5" t="s">
        <v>60495</v>
      </c>
      <c r="KSF5" t="s">
        <v>60495</v>
      </c>
      <c r="KSH5" t="s">
        <v>60495</v>
      </c>
      <c r="KSJ5" t="s">
        <v>60495</v>
      </c>
      <c r="KSL5" t="s">
        <v>60495</v>
      </c>
      <c r="KSN5" t="s">
        <v>60495</v>
      </c>
      <c r="KSP5" t="s">
        <v>60495</v>
      </c>
      <c r="KSR5" t="s">
        <v>60495</v>
      </c>
      <c r="KST5" t="s">
        <v>60495</v>
      </c>
      <c r="KSV5" t="s">
        <v>60495</v>
      </c>
      <c r="KSX5" t="s">
        <v>60495</v>
      </c>
      <c r="KSZ5" t="s">
        <v>60495</v>
      </c>
      <c r="KTB5" t="s">
        <v>60495</v>
      </c>
      <c r="KTD5" t="s">
        <v>60495</v>
      </c>
      <c r="KTF5" t="s">
        <v>60495</v>
      </c>
      <c r="KTH5" t="s">
        <v>60495</v>
      </c>
      <c r="KTJ5" t="s">
        <v>60495</v>
      </c>
      <c r="KTL5" t="s">
        <v>60495</v>
      </c>
      <c r="KTN5" t="s">
        <v>60495</v>
      </c>
      <c r="KTP5" t="s">
        <v>60495</v>
      </c>
      <c r="KTR5" t="s">
        <v>60495</v>
      </c>
      <c r="KTT5" t="s">
        <v>60495</v>
      </c>
      <c r="KTV5" t="s">
        <v>60495</v>
      </c>
      <c r="KTX5" t="s">
        <v>60495</v>
      </c>
      <c r="KTZ5" t="s">
        <v>60495</v>
      </c>
      <c r="KUB5" t="s">
        <v>60495</v>
      </c>
      <c r="KUD5" t="s">
        <v>60495</v>
      </c>
      <c r="KUF5" t="s">
        <v>60495</v>
      </c>
      <c r="KUH5" t="s">
        <v>25971</v>
      </c>
      <c r="KUI5" t="s">
        <v>60495</v>
      </c>
      <c r="KUK5" t="s">
        <v>60495</v>
      </c>
      <c r="KUM5" t="s">
        <v>60495</v>
      </c>
      <c r="KUO5" t="s">
        <v>60495</v>
      </c>
      <c r="KUQ5" t="s">
        <v>60495</v>
      </c>
      <c r="KUS5" t="s">
        <v>60495</v>
      </c>
      <c r="KUU5" t="s">
        <v>60495</v>
      </c>
      <c r="KUW5" t="s">
        <v>60495</v>
      </c>
      <c r="KUY5" t="s">
        <v>4998</v>
      </c>
      <c r="KUZ5" t="s">
        <v>60495</v>
      </c>
      <c r="KVB5" t="s">
        <v>60495</v>
      </c>
      <c r="KVD5" t="s">
        <v>60495</v>
      </c>
      <c r="KVF5" t="s">
        <v>60495</v>
      </c>
      <c r="KVH5" t="s">
        <v>60495</v>
      </c>
      <c r="KVJ5" t="s">
        <v>60495</v>
      </c>
      <c r="KVL5" t="s">
        <v>60495</v>
      </c>
      <c r="KVN5" t="s">
        <v>60495</v>
      </c>
      <c r="KVP5" t="s">
        <v>60495</v>
      </c>
      <c r="KVR5" t="s">
        <v>60495</v>
      </c>
      <c r="KVT5" t="s">
        <v>60495</v>
      </c>
      <c r="KVV5" t="s">
        <v>60495</v>
      </c>
      <c r="KVX5" t="s">
        <v>60495</v>
      </c>
      <c r="KVZ5" t="s">
        <v>60495</v>
      </c>
      <c r="KWB5" t="s">
        <v>60495</v>
      </c>
      <c r="KWD5" t="s">
        <v>60495</v>
      </c>
      <c r="KWF5" t="s">
        <v>60495</v>
      </c>
      <c r="KWH5" t="s">
        <v>60495</v>
      </c>
      <c r="KWJ5" t="s">
        <v>60495</v>
      </c>
      <c r="KWL5" t="s">
        <v>60495</v>
      </c>
      <c r="KWN5" t="s">
        <v>60495</v>
      </c>
      <c r="KWP5" t="s">
        <v>60495</v>
      </c>
      <c r="KWR5" t="s">
        <v>60495</v>
      </c>
      <c r="KWT5" t="s">
        <v>32114</v>
      </c>
      <c r="KWU5" t="s">
        <v>60495</v>
      </c>
      <c r="KWW5" t="s">
        <v>60495</v>
      </c>
      <c r="KWY5" t="s">
        <v>60495</v>
      </c>
      <c r="KXA5" t="s">
        <v>60495</v>
      </c>
      <c r="KXC5" t="s">
        <v>60495</v>
      </c>
      <c r="KXE5" t="s">
        <v>60495</v>
      </c>
      <c r="KXG5" t="s">
        <v>60495</v>
      </c>
      <c r="KXI5" t="s">
        <v>60495</v>
      </c>
      <c r="KXK5" t="s">
        <v>60495</v>
      </c>
      <c r="KXM5" t="s">
        <v>60495</v>
      </c>
      <c r="KXO5" t="s">
        <v>60495</v>
      </c>
      <c r="KXQ5" t="s">
        <v>60495</v>
      </c>
      <c r="KXS5" t="s">
        <v>60495</v>
      </c>
      <c r="KXU5" t="s">
        <v>60495</v>
      </c>
      <c r="KXW5" t="s">
        <v>60495</v>
      </c>
      <c r="KXY5" t="s">
        <v>60495</v>
      </c>
      <c r="KYA5" t="s">
        <v>60495</v>
      </c>
      <c r="KYC5" t="s">
        <v>60495</v>
      </c>
      <c r="KYE5" t="s">
        <v>60495</v>
      </c>
      <c r="KYG5" t="s">
        <v>60495</v>
      </c>
      <c r="KYI5" t="s">
        <v>60495</v>
      </c>
      <c r="KYK5" t="s">
        <v>60495</v>
      </c>
      <c r="KYM5" t="s">
        <v>60495</v>
      </c>
      <c r="KYO5" t="s">
        <v>60495</v>
      </c>
      <c r="KYQ5" t="s">
        <v>60495</v>
      </c>
      <c r="KYS5" t="s">
        <v>60495</v>
      </c>
      <c r="KYU5" t="s">
        <v>60495</v>
      </c>
      <c r="KYW5" t="s">
        <v>60495</v>
      </c>
      <c r="KYY5" t="s">
        <v>60495</v>
      </c>
      <c r="KZA5" t="s">
        <v>60495</v>
      </c>
      <c r="KZC5" t="s">
        <v>60495</v>
      </c>
      <c r="KZE5" t="s">
        <v>60495</v>
      </c>
      <c r="KZG5" t="s">
        <v>60495</v>
      </c>
      <c r="KZI5" t="s">
        <v>60495</v>
      </c>
      <c r="KZK5" t="s">
        <v>60495</v>
      </c>
      <c r="KZM5" t="s">
        <v>60495</v>
      </c>
      <c r="KZO5" t="s">
        <v>60495</v>
      </c>
      <c r="KZQ5" t="s">
        <v>60495</v>
      </c>
      <c r="KZS5" t="s">
        <v>60495</v>
      </c>
      <c r="KZU5" t="s">
        <v>60495</v>
      </c>
      <c r="KZW5" t="s">
        <v>60495</v>
      </c>
      <c r="KZY5" t="s">
        <v>60495</v>
      </c>
      <c r="LAA5" t="s">
        <v>60495</v>
      </c>
      <c r="LAC5" t="s">
        <v>60495</v>
      </c>
      <c r="LAE5" t="s">
        <v>60495</v>
      </c>
      <c r="LAG5" t="s">
        <v>60495</v>
      </c>
      <c r="LAI5" t="s">
        <v>60495</v>
      </c>
      <c r="LAK5" t="s">
        <v>60495</v>
      </c>
      <c r="LAM5" t="s">
        <v>60495</v>
      </c>
      <c r="LAO5" t="s">
        <v>60495</v>
      </c>
      <c r="LAQ5" t="s">
        <v>60495</v>
      </c>
      <c r="LAS5" t="s">
        <v>60495</v>
      </c>
      <c r="LAU5" t="s">
        <v>60495</v>
      </c>
      <c r="LAW5" t="s">
        <v>60495</v>
      </c>
      <c r="LAY5" t="s">
        <v>60495</v>
      </c>
      <c r="LBA5" t="s">
        <v>60495</v>
      </c>
      <c r="LBC5" t="s">
        <v>60495</v>
      </c>
      <c r="LBE5" t="s">
        <v>38895</v>
      </c>
      <c r="LBG5" t="s">
        <v>60495</v>
      </c>
      <c r="LBI5" t="s">
        <v>60495</v>
      </c>
      <c r="LBK5" t="s">
        <v>60495</v>
      </c>
      <c r="LBM5" t="s">
        <v>60495</v>
      </c>
      <c r="LBO5" t="s">
        <v>60495</v>
      </c>
      <c r="LBQ5" t="s">
        <v>60495</v>
      </c>
      <c r="LBS5" t="s">
        <v>60495</v>
      </c>
      <c r="LBU5" t="s">
        <v>22971</v>
      </c>
      <c r="LBV5" t="s">
        <v>60495</v>
      </c>
      <c r="LBX5" t="s">
        <v>60495</v>
      </c>
      <c r="LBZ5" t="s">
        <v>60495</v>
      </c>
      <c r="LCB5" t="s">
        <v>60495</v>
      </c>
      <c r="LCD5" t="s">
        <v>60495</v>
      </c>
      <c r="LCF5" t="s">
        <v>60495</v>
      </c>
      <c r="LCH5" t="s">
        <v>60495</v>
      </c>
      <c r="LCJ5" t="s">
        <v>60495</v>
      </c>
      <c r="LCL5" t="s">
        <v>60495</v>
      </c>
      <c r="LCN5" t="s">
        <v>60495</v>
      </c>
      <c r="LCP5" t="s">
        <v>60495</v>
      </c>
      <c r="LCR5" t="s">
        <v>60495</v>
      </c>
      <c r="LCT5" t="s">
        <v>60495</v>
      </c>
      <c r="LCV5" t="s">
        <v>60495</v>
      </c>
      <c r="LCX5" t="s">
        <v>60495</v>
      </c>
      <c r="LCZ5" t="s">
        <v>60495</v>
      </c>
      <c r="LDB5" t="s">
        <v>60495</v>
      </c>
      <c r="LDD5" t="s">
        <v>60495</v>
      </c>
      <c r="LDF5" t="s">
        <v>60495</v>
      </c>
      <c r="LDH5" t="s">
        <v>60495</v>
      </c>
      <c r="LDJ5" t="s">
        <v>60495</v>
      </c>
      <c r="LDL5" t="s">
        <v>60495</v>
      </c>
      <c r="LDN5" t="s">
        <v>60495</v>
      </c>
      <c r="LDP5" t="s">
        <v>60495</v>
      </c>
      <c r="LDR5" t="s">
        <v>60495</v>
      </c>
      <c r="LDT5" t="s">
        <v>60495</v>
      </c>
      <c r="LDV5" t="s">
        <v>60495</v>
      </c>
      <c r="LDX5" t="s">
        <v>60495</v>
      </c>
      <c r="LDZ5" t="s">
        <v>60495</v>
      </c>
      <c r="LEB5" t="s">
        <v>60495</v>
      </c>
      <c r="LED5" t="s">
        <v>60495</v>
      </c>
      <c r="LEF5" t="s">
        <v>60495</v>
      </c>
      <c r="LEH5" t="s">
        <v>60495</v>
      </c>
      <c r="LEJ5" t="s">
        <v>60495</v>
      </c>
      <c r="LEL5" t="s">
        <v>47116</v>
      </c>
      <c r="LEM5" t="s">
        <v>60495</v>
      </c>
      <c r="LEO5" t="s">
        <v>60495</v>
      </c>
      <c r="LEQ5" t="s">
        <v>60495</v>
      </c>
      <c r="LES5" t="s">
        <v>60495</v>
      </c>
      <c r="LEU5" t="s">
        <v>60495</v>
      </c>
      <c r="LEW5" t="s">
        <v>60495</v>
      </c>
      <c r="LEY5" t="s">
        <v>60495</v>
      </c>
      <c r="LFA5" t="s">
        <v>60495</v>
      </c>
      <c r="LFC5" t="s">
        <v>60495</v>
      </c>
      <c r="LFE5" t="s">
        <v>60495</v>
      </c>
      <c r="LFG5" t="s">
        <v>60495</v>
      </c>
      <c r="LFI5" t="s">
        <v>60495</v>
      </c>
      <c r="LFK5" t="s">
        <v>60495</v>
      </c>
      <c r="LFM5" t="s">
        <v>60495</v>
      </c>
      <c r="LFO5" t="s">
        <v>60495</v>
      </c>
      <c r="LFQ5" t="s">
        <v>47318</v>
      </c>
      <c r="LFS5" t="s">
        <v>60495</v>
      </c>
      <c r="LFU5" t="s">
        <v>60495</v>
      </c>
      <c r="LFW5" t="s">
        <v>60495</v>
      </c>
      <c r="LFY5" t="s">
        <v>60495</v>
      </c>
      <c r="LGA5" t="s">
        <v>60495</v>
      </c>
      <c r="LGC5" t="s">
        <v>60495</v>
      </c>
      <c r="LGE5" t="s">
        <v>60495</v>
      </c>
      <c r="LGG5" t="s">
        <v>60495</v>
      </c>
      <c r="LGI5" t="s">
        <v>60495</v>
      </c>
      <c r="LGK5" t="s">
        <v>60495</v>
      </c>
      <c r="LGM5" t="s">
        <v>60495</v>
      </c>
      <c r="LGO5" t="s">
        <v>60495</v>
      </c>
      <c r="LGQ5" t="s">
        <v>60495</v>
      </c>
      <c r="LGS5" t="s">
        <v>60495</v>
      </c>
      <c r="LGU5" t="s">
        <v>60495</v>
      </c>
      <c r="LGW5" t="s">
        <v>60495</v>
      </c>
      <c r="LGY5" t="s">
        <v>60495</v>
      </c>
      <c r="LHA5" t="s">
        <v>60495</v>
      </c>
      <c r="LHC5" t="s">
        <v>60495</v>
      </c>
      <c r="LHE5" t="s">
        <v>60495</v>
      </c>
      <c r="LHG5" t="s">
        <v>30429</v>
      </c>
      <c r="LHH5" t="s">
        <v>60495</v>
      </c>
      <c r="LHJ5" t="s">
        <v>60495</v>
      </c>
      <c r="LHL5" t="s">
        <v>60495</v>
      </c>
      <c r="LHN5" t="s">
        <v>60495</v>
      </c>
      <c r="LHP5" t="s">
        <v>60495</v>
      </c>
      <c r="LHR5" t="s">
        <v>60495</v>
      </c>
      <c r="LHT5" t="s">
        <v>60495</v>
      </c>
      <c r="LHV5" t="s">
        <v>60495</v>
      </c>
      <c r="LHX5" t="s">
        <v>60495</v>
      </c>
      <c r="LHZ5" t="s">
        <v>60495</v>
      </c>
      <c r="LIB5" t="s">
        <v>60495</v>
      </c>
      <c r="LID5" t="s">
        <v>60495</v>
      </c>
      <c r="LIF5" t="s">
        <v>60495</v>
      </c>
      <c r="LIH5" t="s">
        <v>60495</v>
      </c>
      <c r="LIJ5" t="s">
        <v>60495</v>
      </c>
      <c r="LIL5" t="s">
        <v>60495</v>
      </c>
      <c r="LIN5" t="s">
        <v>60495</v>
      </c>
      <c r="LIP5" t="s">
        <v>60495</v>
      </c>
      <c r="LIR5" t="s">
        <v>60495</v>
      </c>
      <c r="LIT5" t="s">
        <v>60495</v>
      </c>
      <c r="LIV5" t="s">
        <v>60495</v>
      </c>
      <c r="LIX5" t="s">
        <v>60495</v>
      </c>
      <c r="LIZ5" t="s">
        <v>60495</v>
      </c>
      <c r="LJB5" t="s">
        <v>60495</v>
      </c>
      <c r="LJD5" t="s">
        <v>60495</v>
      </c>
      <c r="LJF5" t="s">
        <v>60495</v>
      </c>
      <c r="LJH5" t="s">
        <v>60495</v>
      </c>
      <c r="LJJ5" t="s">
        <v>60495</v>
      </c>
      <c r="LJL5" t="s">
        <v>60495</v>
      </c>
      <c r="LJN5" t="s">
        <v>60495</v>
      </c>
      <c r="LJP5" t="s">
        <v>60495</v>
      </c>
      <c r="LJR5" t="s">
        <v>60495</v>
      </c>
      <c r="LJT5" t="s">
        <v>60495</v>
      </c>
      <c r="LJV5" t="s">
        <v>60495</v>
      </c>
      <c r="LJX5" t="s">
        <v>60495</v>
      </c>
      <c r="LJZ5" t="s">
        <v>60495</v>
      </c>
      <c r="LKB5" t="s">
        <v>60495</v>
      </c>
      <c r="LKD5" t="s">
        <v>60495</v>
      </c>
      <c r="LKF5" t="s">
        <v>60495</v>
      </c>
      <c r="LKH5" t="s">
        <v>60495</v>
      </c>
      <c r="LKJ5" t="s">
        <v>60495</v>
      </c>
      <c r="LKL5" t="s">
        <v>60495</v>
      </c>
      <c r="LKN5" t="s">
        <v>60495</v>
      </c>
      <c r="LKP5" t="s">
        <v>60495</v>
      </c>
      <c r="LKR5" t="s">
        <v>60495</v>
      </c>
      <c r="LKT5" t="s">
        <v>60495</v>
      </c>
      <c r="LKV5" t="s">
        <v>60495</v>
      </c>
      <c r="LKX5" t="s">
        <v>60495</v>
      </c>
      <c r="LKZ5" t="s">
        <v>60495</v>
      </c>
      <c r="LLB5" t="s">
        <v>60495</v>
      </c>
      <c r="LLD5" t="s">
        <v>60495</v>
      </c>
      <c r="LLF5" t="s">
        <v>60495</v>
      </c>
      <c r="LLH5" t="s">
        <v>60495</v>
      </c>
      <c r="LLJ5" t="s">
        <v>60495</v>
      </c>
      <c r="LLL5" t="s">
        <v>60495</v>
      </c>
      <c r="LLN5" t="s">
        <v>60495</v>
      </c>
      <c r="LLP5" t="s">
        <v>60495</v>
      </c>
      <c r="LLR5" t="s">
        <v>60495</v>
      </c>
      <c r="LLT5" t="s">
        <v>60495</v>
      </c>
      <c r="LLV5" t="s">
        <v>27926</v>
      </c>
      <c r="LLX5" t="s">
        <v>60495</v>
      </c>
      <c r="LLZ5" t="s">
        <v>60495</v>
      </c>
      <c r="LMB5" t="s">
        <v>60495</v>
      </c>
      <c r="LMD5" t="s">
        <v>60495</v>
      </c>
      <c r="LMF5" t="s">
        <v>60495</v>
      </c>
      <c r="LMH5" t="s">
        <v>60495</v>
      </c>
      <c r="LMJ5" t="s">
        <v>60495</v>
      </c>
      <c r="LML5" t="s">
        <v>60495</v>
      </c>
      <c r="LMN5" t="s">
        <v>60495</v>
      </c>
      <c r="LMP5" t="s">
        <v>60495</v>
      </c>
      <c r="LMR5" t="s">
        <v>60495</v>
      </c>
      <c r="LMT5" t="s">
        <v>60495</v>
      </c>
      <c r="LMV5" t="s">
        <v>60495</v>
      </c>
      <c r="LMX5" t="s">
        <v>47973</v>
      </c>
      <c r="LMY5" t="s">
        <v>60495</v>
      </c>
      <c r="LNA5" t="s">
        <v>60495</v>
      </c>
      <c r="LNC5" t="s">
        <v>60495</v>
      </c>
      <c r="LNE5" t="s">
        <v>60495</v>
      </c>
      <c r="LNG5" t="s">
        <v>60495</v>
      </c>
      <c r="LNI5" t="s">
        <v>60495</v>
      </c>
      <c r="LNK5" t="s">
        <v>60495</v>
      </c>
      <c r="LNM5" t="s">
        <v>60495</v>
      </c>
      <c r="LNO5" t="s">
        <v>60495</v>
      </c>
      <c r="LNQ5" t="s">
        <v>60495</v>
      </c>
      <c r="LNS5" t="s">
        <v>60495</v>
      </c>
      <c r="LNU5" t="s">
        <v>60495</v>
      </c>
      <c r="LNW5" t="s">
        <v>60495</v>
      </c>
      <c r="LNY5" t="s">
        <v>60495</v>
      </c>
      <c r="LOA5" t="s">
        <v>60495</v>
      </c>
      <c r="LOC5" t="s">
        <v>60495</v>
      </c>
      <c r="LOE5" t="s">
        <v>60495</v>
      </c>
      <c r="LOG5" t="s">
        <v>60495</v>
      </c>
      <c r="LOI5" t="s">
        <v>60495</v>
      </c>
      <c r="LOK5" t="s">
        <v>60495</v>
      </c>
      <c r="LOM5" t="s">
        <v>60495</v>
      </c>
      <c r="LOO5" t="s">
        <v>60495</v>
      </c>
      <c r="LOQ5" t="s">
        <v>60495</v>
      </c>
      <c r="LOS5" t="s">
        <v>60495</v>
      </c>
      <c r="LOU5" t="s">
        <v>60495</v>
      </c>
      <c r="LOW5" t="s">
        <v>60495</v>
      </c>
      <c r="LOY5" t="s">
        <v>60495</v>
      </c>
      <c r="LPA5" t="s">
        <v>60495</v>
      </c>
      <c r="LPC5" t="s">
        <v>60495</v>
      </c>
      <c r="LPE5" t="s">
        <v>60495</v>
      </c>
      <c r="LPG5" t="s">
        <v>48338</v>
      </c>
      <c r="LPI5" t="s">
        <v>60495</v>
      </c>
      <c r="LPK5" t="s">
        <v>60495</v>
      </c>
      <c r="LPM5" t="s">
        <v>60495</v>
      </c>
      <c r="LPO5" t="s">
        <v>60495</v>
      </c>
      <c r="LPQ5" t="s">
        <v>60495</v>
      </c>
      <c r="LPS5" t="s">
        <v>60495</v>
      </c>
      <c r="LPU5" t="s">
        <v>60495</v>
      </c>
      <c r="LPW5" t="s">
        <v>60495</v>
      </c>
      <c r="LPY5" t="s">
        <v>60495</v>
      </c>
      <c r="LQA5" t="s">
        <v>60495</v>
      </c>
      <c r="LQC5" t="s">
        <v>60495</v>
      </c>
      <c r="LQE5" t="s">
        <v>60495</v>
      </c>
      <c r="LQG5" t="s">
        <v>60495</v>
      </c>
      <c r="LQI5" t="s">
        <v>60495</v>
      </c>
      <c r="LQK5" t="s">
        <v>60495</v>
      </c>
      <c r="LQM5" t="s">
        <v>60495</v>
      </c>
      <c r="LQO5" t="s">
        <v>60495</v>
      </c>
      <c r="LQQ5" t="s">
        <v>60495</v>
      </c>
      <c r="LQS5" t="s">
        <v>60495</v>
      </c>
      <c r="LQU5" t="s">
        <v>60495</v>
      </c>
      <c r="LQW5" t="s">
        <v>60495</v>
      </c>
      <c r="LQY5" t="s">
        <v>60495</v>
      </c>
      <c r="LRA5" t="s">
        <v>60495</v>
      </c>
      <c r="LRC5" t="s">
        <v>60495</v>
      </c>
      <c r="LRE5" t="s">
        <v>60495</v>
      </c>
      <c r="LRG5" t="s">
        <v>60495</v>
      </c>
      <c r="LRI5" t="s">
        <v>60495</v>
      </c>
      <c r="LRK5" t="s">
        <v>60495</v>
      </c>
      <c r="LRM5" t="s">
        <v>60495</v>
      </c>
      <c r="LRO5" t="s">
        <v>60495</v>
      </c>
      <c r="LRQ5" t="s">
        <v>60495</v>
      </c>
      <c r="LRS5" t="s">
        <v>60495</v>
      </c>
      <c r="LRU5" t="s">
        <v>60495</v>
      </c>
      <c r="LRW5" t="s">
        <v>60495</v>
      </c>
      <c r="LRY5" t="s">
        <v>60495</v>
      </c>
      <c r="LSA5" t="s">
        <v>60495</v>
      </c>
      <c r="LSC5" t="s">
        <v>60495</v>
      </c>
      <c r="LSE5" t="s">
        <v>38593</v>
      </c>
      <c r="LSF5" t="s">
        <v>60495</v>
      </c>
      <c r="LSH5" t="s">
        <v>38568</v>
      </c>
      <c r="LSI5" t="s">
        <v>60495</v>
      </c>
      <c r="LSK5" t="s">
        <v>60495</v>
      </c>
      <c r="LSM5" t="s">
        <v>60495</v>
      </c>
      <c r="LSO5" t="s">
        <v>60495</v>
      </c>
      <c r="LSQ5" t="s">
        <v>60495</v>
      </c>
      <c r="LSS5" t="s">
        <v>60495</v>
      </c>
      <c r="LSU5" t="s">
        <v>60495</v>
      </c>
      <c r="LSW5" t="s">
        <v>60495</v>
      </c>
      <c r="LSY5" t="s">
        <v>60495</v>
      </c>
      <c r="LTA5" t="s">
        <v>60495</v>
      </c>
      <c r="LTC5" t="s">
        <v>60495</v>
      </c>
      <c r="LTE5" t="s">
        <v>60495</v>
      </c>
      <c r="LTG5" t="s">
        <v>60495</v>
      </c>
      <c r="LTI5" t="s">
        <v>60495</v>
      </c>
      <c r="LTK5" t="s">
        <v>60495</v>
      </c>
      <c r="LTM5" t="s">
        <v>60495</v>
      </c>
      <c r="LTO5" t="s">
        <v>60495</v>
      </c>
      <c r="LTQ5" t="s">
        <v>60495</v>
      </c>
      <c r="LTS5" t="s">
        <v>60495</v>
      </c>
      <c r="LTU5" t="s">
        <v>60495</v>
      </c>
      <c r="LTW5" t="s">
        <v>60495</v>
      </c>
      <c r="LTY5" t="s">
        <v>60495</v>
      </c>
      <c r="LUA5" t="s">
        <v>60495</v>
      </c>
      <c r="LUC5" t="s">
        <v>60495</v>
      </c>
      <c r="LUE5" t="s">
        <v>60495</v>
      </c>
      <c r="LUG5" t="s">
        <v>60495</v>
      </c>
      <c r="LUI5" t="s">
        <v>60495</v>
      </c>
      <c r="LUK5" t="s">
        <v>60495</v>
      </c>
      <c r="LUM5" t="s">
        <v>60495</v>
      </c>
      <c r="LUO5" t="s">
        <v>60495</v>
      </c>
      <c r="LUQ5" t="s">
        <v>60495</v>
      </c>
      <c r="LUS5" t="s">
        <v>60495</v>
      </c>
      <c r="LUU5" t="s">
        <v>60495</v>
      </c>
      <c r="LUW5" t="s">
        <v>60495</v>
      </c>
      <c r="LUY5" t="s">
        <v>60495</v>
      </c>
      <c r="LVA5" t="s">
        <v>60495</v>
      </c>
      <c r="LVC5" t="s">
        <v>60495</v>
      </c>
      <c r="LVE5" t="s">
        <v>60495</v>
      </c>
      <c r="LVG5" t="s">
        <v>60495</v>
      </c>
      <c r="LVI5" t="s">
        <v>60495</v>
      </c>
      <c r="LVK5" t="s">
        <v>60495</v>
      </c>
      <c r="LVM5" t="s">
        <v>60495</v>
      </c>
      <c r="LVO5" t="s">
        <v>60495</v>
      </c>
      <c r="LVQ5" t="s">
        <v>60495</v>
      </c>
      <c r="LVS5" t="s">
        <v>60495</v>
      </c>
      <c r="LVU5" t="s">
        <v>60495</v>
      </c>
      <c r="LVW5" t="s">
        <v>60495</v>
      </c>
      <c r="LVY5" t="s">
        <v>60495</v>
      </c>
      <c r="LWA5" t="s">
        <v>60495</v>
      </c>
      <c r="LWC5" t="s">
        <v>60495</v>
      </c>
      <c r="LWE5" t="s">
        <v>60495</v>
      </c>
      <c r="LWG5" t="s">
        <v>60495</v>
      </c>
      <c r="LWI5" t="s">
        <v>60495</v>
      </c>
      <c r="LWK5" t="s">
        <v>60495</v>
      </c>
      <c r="LWM5" t="s">
        <v>60495</v>
      </c>
      <c r="LWO5" t="s">
        <v>60495</v>
      </c>
      <c r="LWQ5" t="s">
        <v>60495</v>
      </c>
      <c r="LWS5" t="s">
        <v>60495</v>
      </c>
      <c r="LWU5" t="s">
        <v>60495</v>
      </c>
      <c r="LWW5" t="s">
        <v>60495</v>
      </c>
      <c r="LWY5" t="s">
        <v>60495</v>
      </c>
      <c r="LXA5" t="s">
        <v>60495</v>
      </c>
      <c r="LXC5" t="s">
        <v>60495</v>
      </c>
      <c r="LXE5" t="s">
        <v>60495</v>
      </c>
      <c r="LXG5" t="s">
        <v>60495</v>
      </c>
      <c r="LXI5" t="s">
        <v>60495</v>
      </c>
      <c r="LXK5" t="s">
        <v>60495</v>
      </c>
      <c r="LXM5" t="s">
        <v>60495</v>
      </c>
      <c r="LXO5" t="s">
        <v>60495</v>
      </c>
      <c r="LXQ5" t="s">
        <v>60495</v>
      </c>
      <c r="LXS5" t="s">
        <v>60495</v>
      </c>
      <c r="LXU5" t="s">
        <v>60495</v>
      </c>
      <c r="LXW5" t="s">
        <v>60495</v>
      </c>
      <c r="LXY5" t="s">
        <v>60495</v>
      </c>
      <c r="LYA5" t="s">
        <v>60495</v>
      </c>
      <c r="LYC5" t="s">
        <v>60495</v>
      </c>
      <c r="LYE5" t="s">
        <v>60495</v>
      </c>
      <c r="LYG5" t="s">
        <v>60495</v>
      </c>
      <c r="LYI5" t="s">
        <v>60495</v>
      </c>
      <c r="LYK5" t="s">
        <v>60495</v>
      </c>
      <c r="LYM5" t="s">
        <v>60495</v>
      </c>
      <c r="LYO5" t="s">
        <v>60495</v>
      </c>
      <c r="LYQ5" t="s">
        <v>60495</v>
      </c>
      <c r="LYS5" t="s">
        <v>60495</v>
      </c>
      <c r="LYU5" t="s">
        <v>60495</v>
      </c>
      <c r="LYW5" t="s">
        <v>60495</v>
      </c>
      <c r="LYY5" t="s">
        <v>60495</v>
      </c>
      <c r="LZA5" t="s">
        <v>60495</v>
      </c>
      <c r="LZC5" t="s">
        <v>60495</v>
      </c>
      <c r="LZE5" t="s">
        <v>60495</v>
      </c>
      <c r="LZG5" t="s">
        <v>49799</v>
      </c>
      <c r="LZH5" t="s">
        <v>60495</v>
      </c>
      <c r="LZJ5" t="s">
        <v>60495</v>
      </c>
      <c r="LZL5" t="s">
        <v>60495</v>
      </c>
      <c r="LZN5" t="s">
        <v>60495</v>
      </c>
      <c r="LZP5" t="s">
        <v>49822</v>
      </c>
      <c r="LZR5" t="s">
        <v>60495</v>
      </c>
      <c r="LZT5" t="s">
        <v>47310</v>
      </c>
      <c r="LZU5" t="s">
        <v>60495</v>
      </c>
      <c r="LZW5" t="s">
        <v>60495</v>
      </c>
      <c r="LZY5" t="s">
        <v>60495</v>
      </c>
      <c r="MAA5" t="s">
        <v>60495</v>
      </c>
      <c r="MAC5" t="s">
        <v>60495</v>
      </c>
      <c r="MAE5" t="s">
        <v>60495</v>
      </c>
      <c r="MAG5" t="s">
        <v>60495</v>
      </c>
      <c r="MAI5" t="s">
        <v>60495</v>
      </c>
      <c r="MAK5" t="s">
        <v>60495</v>
      </c>
      <c r="MAM5" t="s">
        <v>60495</v>
      </c>
      <c r="MAO5" t="s">
        <v>60495</v>
      </c>
      <c r="MAQ5" t="s">
        <v>60495</v>
      </c>
      <c r="MAS5" t="s">
        <v>60495</v>
      </c>
      <c r="MAU5" t="s">
        <v>60495</v>
      </c>
      <c r="MAW5" t="s">
        <v>60495</v>
      </c>
      <c r="MAY5" t="s">
        <v>60495</v>
      </c>
      <c r="MBA5" t="s">
        <v>4270</v>
      </c>
      <c r="MBC5" t="s">
        <v>60495</v>
      </c>
      <c r="MBE5" t="s">
        <v>60495</v>
      </c>
      <c r="MBG5" t="s">
        <v>60495</v>
      </c>
      <c r="MBI5" t="s">
        <v>60495</v>
      </c>
      <c r="MBK5" t="s">
        <v>60495</v>
      </c>
      <c r="MBM5" t="s">
        <v>60495</v>
      </c>
      <c r="MBO5" t="s">
        <v>60495</v>
      </c>
      <c r="MBQ5" t="s">
        <v>50049</v>
      </c>
      <c r="MBS5" t="s">
        <v>60495</v>
      </c>
      <c r="MBU5" t="s">
        <v>60495</v>
      </c>
      <c r="MBW5" t="s">
        <v>60495</v>
      </c>
      <c r="MBY5" t="s">
        <v>60495</v>
      </c>
      <c r="MCA5" t="s">
        <v>60495</v>
      </c>
      <c r="MCC5" t="s">
        <v>60495</v>
      </c>
      <c r="MCE5" t="s">
        <v>60495</v>
      </c>
      <c r="MCG5" t="s">
        <v>60495</v>
      </c>
      <c r="MCI5" t="s">
        <v>60495</v>
      </c>
      <c r="MCK5" t="s">
        <v>60495</v>
      </c>
      <c r="MCM5" t="s">
        <v>60495</v>
      </c>
      <c r="MCO5" t="s">
        <v>41136</v>
      </c>
      <c r="MCP5" t="s">
        <v>60495</v>
      </c>
      <c r="MCR5" t="s">
        <v>60495</v>
      </c>
      <c r="MCT5" t="s">
        <v>60495</v>
      </c>
      <c r="MCV5" t="s">
        <v>50250</v>
      </c>
      <c r="MCX5" t="s">
        <v>60495</v>
      </c>
      <c r="MCZ5" t="s">
        <v>60495</v>
      </c>
      <c r="MDB5" t="s">
        <v>60495</v>
      </c>
      <c r="MDD5" t="s">
        <v>60495</v>
      </c>
      <c r="MDF5" t="s">
        <v>60495</v>
      </c>
      <c r="MDH5" t="s">
        <v>60495</v>
      </c>
      <c r="MDJ5" t="s">
        <v>60495</v>
      </c>
      <c r="MDL5" t="s">
        <v>60495</v>
      </c>
      <c r="MDN5" t="s">
        <v>60495</v>
      </c>
      <c r="MDP5" t="s">
        <v>60495</v>
      </c>
      <c r="MDR5" t="s">
        <v>60495</v>
      </c>
      <c r="MDT5" t="s">
        <v>60495</v>
      </c>
      <c r="MDV5" t="s">
        <v>60495</v>
      </c>
      <c r="MDX5" t="s">
        <v>60495</v>
      </c>
      <c r="MDZ5" t="s">
        <v>46059</v>
      </c>
      <c r="MEB5" t="s">
        <v>60495</v>
      </c>
      <c r="MED5" t="s">
        <v>60495</v>
      </c>
      <c r="MEF5" t="s">
        <v>60495</v>
      </c>
      <c r="MEH5" t="s">
        <v>60495</v>
      </c>
      <c r="MEJ5" t="s">
        <v>60495</v>
      </c>
      <c r="MEL5" t="s">
        <v>60495</v>
      </c>
      <c r="MEN5" t="s">
        <v>60495</v>
      </c>
      <c r="MEP5" t="s">
        <v>60495</v>
      </c>
      <c r="MER5" t="s">
        <v>60495</v>
      </c>
      <c r="MET5" t="s">
        <v>60495</v>
      </c>
      <c r="MEV5" t="s">
        <v>60495</v>
      </c>
      <c r="MEX5" t="s">
        <v>60495</v>
      </c>
      <c r="MEZ5" t="s">
        <v>60495</v>
      </c>
      <c r="MFB5" t="s">
        <v>60495</v>
      </c>
      <c r="MFD5" t="s">
        <v>60495</v>
      </c>
      <c r="MFF5" t="s">
        <v>60495</v>
      </c>
      <c r="MFH5" t="s">
        <v>60495</v>
      </c>
      <c r="MFJ5" t="s">
        <v>60495</v>
      </c>
      <c r="MFL5" t="s">
        <v>60495</v>
      </c>
      <c r="MFN5" t="s">
        <v>48752</v>
      </c>
      <c r="MFO5" t="s">
        <v>50683</v>
      </c>
      <c r="MFQ5" t="s">
        <v>60495</v>
      </c>
      <c r="MFS5" t="s">
        <v>16110</v>
      </c>
      <c r="MFT5" t="s">
        <v>60495</v>
      </c>
      <c r="MFV5" t="s">
        <v>60495</v>
      </c>
      <c r="MFX5" t="s">
        <v>60495</v>
      </c>
      <c r="MFZ5" t="s">
        <v>60495</v>
      </c>
      <c r="MGB5" t="s">
        <v>60495</v>
      </c>
      <c r="MGD5" t="s">
        <v>60495</v>
      </c>
      <c r="MGF5" t="s">
        <v>50743</v>
      </c>
      <c r="MGG5" t="s">
        <v>26894</v>
      </c>
      <c r="MGH5" t="s">
        <v>60495</v>
      </c>
      <c r="MGJ5" t="s">
        <v>26671</v>
      </c>
      <c r="MGK5" t="s">
        <v>60495</v>
      </c>
      <c r="MGM5" t="s">
        <v>60495</v>
      </c>
      <c r="MGO5" t="s">
        <v>60495</v>
      </c>
      <c r="MGQ5" t="s">
        <v>50780</v>
      </c>
      <c r="MGR5" t="s">
        <v>60495</v>
      </c>
      <c r="MGT5" t="s">
        <v>60495</v>
      </c>
      <c r="MGV5" t="s">
        <v>60495</v>
      </c>
      <c r="MGX5" t="s">
        <v>60495</v>
      </c>
      <c r="MGZ5" t="s">
        <v>60495</v>
      </c>
      <c r="MHB5" t="s">
        <v>60495</v>
      </c>
      <c r="MHD5" t="s">
        <v>60495</v>
      </c>
      <c r="MHF5" t="s">
        <v>60495</v>
      </c>
      <c r="MHH5" t="s">
        <v>60495</v>
      </c>
      <c r="MHJ5" t="s">
        <v>60495</v>
      </c>
      <c r="MHL5" t="s">
        <v>50846</v>
      </c>
      <c r="MHM5" t="s">
        <v>60495</v>
      </c>
      <c r="MHO5" t="s">
        <v>60495</v>
      </c>
      <c r="MHQ5" t="s">
        <v>60495</v>
      </c>
      <c r="MHS5" t="s">
        <v>60495</v>
      </c>
      <c r="MHU5" t="s">
        <v>60495</v>
      </c>
      <c r="MHW5" t="s">
        <v>60495</v>
      </c>
      <c r="MHY5" t="s">
        <v>60495</v>
      </c>
      <c r="MIA5" t="s">
        <v>60495</v>
      </c>
      <c r="MIC5" t="s">
        <v>60495</v>
      </c>
      <c r="MIE5" t="s">
        <v>60495</v>
      </c>
      <c r="MIG5" t="s">
        <v>60495</v>
      </c>
      <c r="MII5" t="s">
        <v>60495</v>
      </c>
      <c r="MIK5" t="s">
        <v>50921</v>
      </c>
      <c r="MIL5" t="s">
        <v>60495</v>
      </c>
      <c r="MIN5" t="s">
        <v>60495</v>
      </c>
      <c r="MIP5" t="s">
        <v>60495</v>
      </c>
      <c r="MIR5" t="s">
        <v>60495</v>
      </c>
      <c r="MIT5" t="s">
        <v>60495</v>
      </c>
      <c r="MIV5" t="s">
        <v>60495</v>
      </c>
      <c r="MIX5" t="s">
        <v>60495</v>
      </c>
      <c r="MIZ5" t="s">
        <v>60495</v>
      </c>
      <c r="MJB5" t="s">
        <v>60495</v>
      </c>
      <c r="MJD5" t="s">
        <v>60495</v>
      </c>
      <c r="MJF5" t="s">
        <v>60495</v>
      </c>
      <c r="MJH5" t="s">
        <v>60495</v>
      </c>
      <c r="MJJ5" t="s">
        <v>60495</v>
      </c>
      <c r="MJL5" t="s">
        <v>60495</v>
      </c>
      <c r="MJN5" t="s">
        <v>60495</v>
      </c>
      <c r="MJP5" t="s">
        <v>60495</v>
      </c>
      <c r="MJR5" t="s">
        <v>60495</v>
      </c>
      <c r="MJT5" t="s">
        <v>51017</v>
      </c>
      <c r="MJU5" t="s">
        <v>60495</v>
      </c>
      <c r="MJW5" t="s">
        <v>60495</v>
      </c>
      <c r="MJY5" t="s">
        <v>60495</v>
      </c>
      <c r="MKA5" t="s">
        <v>60495</v>
      </c>
      <c r="MKC5" t="s">
        <v>60495</v>
      </c>
      <c r="MKE5" t="s">
        <v>60495</v>
      </c>
      <c r="MKG5" t="s">
        <v>51082</v>
      </c>
      <c r="MKH5" t="s">
        <v>60495</v>
      </c>
      <c r="MKJ5" t="s">
        <v>60495</v>
      </c>
      <c r="MKL5" t="s">
        <v>60495</v>
      </c>
      <c r="MKN5" t="s">
        <v>60495</v>
      </c>
      <c r="MKP5" t="s">
        <v>60495</v>
      </c>
      <c r="MKR5" t="s">
        <v>60495</v>
      </c>
      <c r="MKT5" t="s">
        <v>60495</v>
      </c>
      <c r="MKV5" t="s">
        <v>60495</v>
      </c>
      <c r="MKX5" t="s">
        <v>60495</v>
      </c>
      <c r="MKZ5" t="s">
        <v>60495</v>
      </c>
      <c r="MLB5" t="s">
        <v>60495</v>
      </c>
      <c r="MLD5" t="s">
        <v>60495</v>
      </c>
      <c r="MLF5" t="s">
        <v>60495</v>
      </c>
      <c r="MLH5" t="s">
        <v>60495</v>
      </c>
      <c r="MLJ5" t="s">
        <v>60495</v>
      </c>
      <c r="MLL5" t="s">
        <v>60495</v>
      </c>
      <c r="MLN5" t="s">
        <v>60495</v>
      </c>
      <c r="MLP5" t="s">
        <v>60495</v>
      </c>
      <c r="MLR5" t="s">
        <v>60495</v>
      </c>
      <c r="MLT5" t="s">
        <v>60495</v>
      </c>
      <c r="MLV5" t="s">
        <v>60495</v>
      </c>
      <c r="MLX5" t="s">
        <v>60495</v>
      </c>
      <c r="MLZ5" t="s">
        <v>60495</v>
      </c>
      <c r="MMB5" t="s">
        <v>60495</v>
      </c>
      <c r="MMD5" t="s">
        <v>60495</v>
      </c>
      <c r="MMF5" t="s">
        <v>60495</v>
      </c>
      <c r="MMH5" t="s">
        <v>60495</v>
      </c>
      <c r="MMJ5" t="s">
        <v>60495</v>
      </c>
      <c r="MML5" t="s">
        <v>60495</v>
      </c>
      <c r="MMN5" t="s">
        <v>60495</v>
      </c>
      <c r="MMP5" t="s">
        <v>60495</v>
      </c>
      <c r="MMR5" t="s">
        <v>60495</v>
      </c>
      <c r="MMT5" t="s">
        <v>60495</v>
      </c>
      <c r="MMV5" t="s">
        <v>60495</v>
      </c>
      <c r="MMX5" t="s">
        <v>60495</v>
      </c>
      <c r="MMZ5" t="s">
        <v>60495</v>
      </c>
      <c r="MNB5" t="s">
        <v>60495</v>
      </c>
      <c r="MND5" t="s">
        <v>60495</v>
      </c>
      <c r="MNF5" t="s">
        <v>60495</v>
      </c>
      <c r="MNH5" t="s">
        <v>60495</v>
      </c>
      <c r="MNJ5" t="s">
        <v>60495</v>
      </c>
      <c r="MNL5" t="s">
        <v>60495</v>
      </c>
      <c r="MNN5" t="s">
        <v>60495</v>
      </c>
      <c r="MNP5" t="s">
        <v>60495</v>
      </c>
      <c r="MNR5" t="s">
        <v>60495</v>
      </c>
      <c r="MNT5" t="s">
        <v>60495</v>
      </c>
      <c r="MNV5" t="s">
        <v>60495</v>
      </c>
      <c r="MNX5" t="s">
        <v>60495</v>
      </c>
      <c r="MNZ5" t="s">
        <v>60495</v>
      </c>
      <c r="MOB5" t="s">
        <v>60495</v>
      </c>
      <c r="MOD5" t="s">
        <v>60495</v>
      </c>
      <c r="MOF5" t="s">
        <v>60495</v>
      </c>
      <c r="MOH5" t="s">
        <v>60495</v>
      </c>
      <c r="MOJ5" t="s">
        <v>60495</v>
      </c>
      <c r="MOL5" t="s">
        <v>60495</v>
      </c>
      <c r="MON5" t="s">
        <v>60495</v>
      </c>
      <c r="MOP5" t="s">
        <v>60495</v>
      </c>
      <c r="MOR5" t="s">
        <v>5961</v>
      </c>
      <c r="MOT5" t="s">
        <v>60495</v>
      </c>
      <c r="MOV5" t="s">
        <v>60495</v>
      </c>
      <c r="MOX5" t="s">
        <v>60495</v>
      </c>
      <c r="MOZ5" t="s">
        <v>60495</v>
      </c>
      <c r="MPB5" t="s">
        <v>60495</v>
      </c>
      <c r="MPD5" t="s">
        <v>60495</v>
      </c>
      <c r="MPF5" t="s">
        <v>60495</v>
      </c>
      <c r="MPH5" t="s">
        <v>60495</v>
      </c>
      <c r="MPJ5" t="s">
        <v>60495</v>
      </c>
      <c r="MPL5" t="s">
        <v>60495</v>
      </c>
      <c r="MPN5" t="s">
        <v>60495</v>
      </c>
      <c r="MPP5" t="s">
        <v>60495</v>
      </c>
      <c r="MPR5" t="s">
        <v>60495</v>
      </c>
      <c r="MPT5" t="s">
        <v>60495</v>
      </c>
      <c r="MPV5" t="s">
        <v>60495</v>
      </c>
      <c r="MPX5" t="s">
        <v>60495</v>
      </c>
      <c r="MPZ5" t="s">
        <v>60495</v>
      </c>
      <c r="MQB5" t="s">
        <v>60495</v>
      </c>
      <c r="MQD5" t="s">
        <v>60495</v>
      </c>
      <c r="MQF5" t="s">
        <v>60495</v>
      </c>
      <c r="MQH5" t="s">
        <v>60495</v>
      </c>
      <c r="MQJ5" t="s">
        <v>60495</v>
      </c>
      <c r="MQL5" t="s">
        <v>60495</v>
      </c>
      <c r="MQN5" t="s">
        <v>60495</v>
      </c>
      <c r="MQP5" t="s">
        <v>60495</v>
      </c>
      <c r="MQR5" t="s">
        <v>60495</v>
      </c>
      <c r="MQT5" t="s">
        <v>60495</v>
      </c>
      <c r="MQV5" t="s">
        <v>51595</v>
      </c>
      <c r="MQW5" t="s">
        <v>60495</v>
      </c>
      <c r="MQY5" t="s">
        <v>60495</v>
      </c>
      <c r="MRA5" t="s">
        <v>60495</v>
      </c>
      <c r="MRC5" t="s">
        <v>60495</v>
      </c>
      <c r="MRE5" t="s">
        <v>32533</v>
      </c>
      <c r="MRF5" t="s">
        <v>60495</v>
      </c>
      <c r="MRH5" t="s">
        <v>60495</v>
      </c>
      <c r="MRJ5" t="s">
        <v>60495</v>
      </c>
      <c r="MRL5" t="s">
        <v>60495</v>
      </c>
      <c r="MRN5" t="s">
        <v>60495</v>
      </c>
      <c r="MRP5" t="s">
        <v>2370</v>
      </c>
      <c r="MRQ5" t="s">
        <v>60495</v>
      </c>
      <c r="MRS5" t="s">
        <v>60495</v>
      </c>
      <c r="MRU5" t="s">
        <v>60495</v>
      </c>
      <c r="MRW5" t="s">
        <v>60495</v>
      </c>
      <c r="MRY5" t="s">
        <v>60495</v>
      </c>
      <c r="MSA5" t="s">
        <v>60495</v>
      </c>
      <c r="MSC5" t="s">
        <v>27290</v>
      </c>
      <c r="MSD5" t="s">
        <v>60495</v>
      </c>
      <c r="MSF5" t="s">
        <v>51729</v>
      </c>
      <c r="MSH5" t="s">
        <v>60495</v>
      </c>
      <c r="MSJ5" t="s">
        <v>12954</v>
      </c>
      <c r="MSK5" t="s">
        <v>60495</v>
      </c>
      <c r="MSM5" t="s">
        <v>60495</v>
      </c>
      <c r="MSO5" t="s">
        <v>51758</v>
      </c>
      <c r="MSP5" t="s">
        <v>60495</v>
      </c>
      <c r="MSR5" t="s">
        <v>60495</v>
      </c>
      <c r="MST5" t="s">
        <v>51637</v>
      </c>
      <c r="MSU5" t="s">
        <v>60495</v>
      </c>
      <c r="MSW5" t="s">
        <v>60495</v>
      </c>
      <c r="MSY5" t="s">
        <v>60495</v>
      </c>
      <c r="MTA5" t="s">
        <v>60495</v>
      </c>
      <c r="MTC5" t="s">
        <v>60495</v>
      </c>
      <c r="MTE5" t="s">
        <v>60495</v>
      </c>
      <c r="MTG5" t="s">
        <v>60495</v>
      </c>
      <c r="MTI5" t="s">
        <v>60495</v>
      </c>
      <c r="MTK5" t="s">
        <v>60495</v>
      </c>
      <c r="MTM5" t="s">
        <v>50495</v>
      </c>
      <c r="MTN5" t="s">
        <v>60495</v>
      </c>
      <c r="MTP5" t="s">
        <v>60495</v>
      </c>
      <c r="MTR5" t="s">
        <v>60495</v>
      </c>
      <c r="MTT5" t="s">
        <v>60495</v>
      </c>
      <c r="MTV5" t="s">
        <v>42516</v>
      </c>
      <c r="MTW5" t="s">
        <v>12964</v>
      </c>
      <c r="MTX5" t="s">
        <v>60495</v>
      </c>
      <c r="MTZ5" t="s">
        <v>60495</v>
      </c>
      <c r="MUB5" t="s">
        <v>60495</v>
      </c>
      <c r="MUD5" t="s">
        <v>51851</v>
      </c>
      <c r="MUE5" t="s">
        <v>60495</v>
      </c>
      <c r="MUG5" t="s">
        <v>60495</v>
      </c>
      <c r="MUI5" t="s">
        <v>60495</v>
      </c>
      <c r="MUK5" t="s">
        <v>51882</v>
      </c>
      <c r="MUL5" t="s">
        <v>60495</v>
      </c>
      <c r="MUN5" t="s">
        <v>60495</v>
      </c>
      <c r="MUP5" t="s">
        <v>60495</v>
      </c>
      <c r="MUR5" t="s">
        <v>60495</v>
      </c>
      <c r="MUT5" t="s">
        <v>51122</v>
      </c>
      <c r="MUU5" t="s">
        <v>60495</v>
      </c>
      <c r="MUW5" t="s">
        <v>50486</v>
      </c>
      <c r="MUX5" t="s">
        <v>60495</v>
      </c>
      <c r="MUZ5" t="s">
        <v>60495</v>
      </c>
      <c r="MVB5" t="s">
        <v>60495</v>
      </c>
      <c r="MVD5" t="s">
        <v>60495</v>
      </c>
      <c r="MVF5" t="s">
        <v>40813</v>
      </c>
      <c r="MVG5" t="s">
        <v>60495</v>
      </c>
      <c r="MVI5" t="s">
        <v>60495</v>
      </c>
      <c r="MVK5" t="s">
        <v>60495</v>
      </c>
      <c r="MVM5" t="s">
        <v>60495</v>
      </c>
      <c r="MVO5" t="s">
        <v>40428</v>
      </c>
      <c r="MVP5" t="s">
        <v>60495</v>
      </c>
      <c r="MVR5" t="s">
        <v>60495</v>
      </c>
      <c r="MVT5" t="s">
        <v>60495</v>
      </c>
      <c r="MVV5" t="s">
        <v>60495</v>
      </c>
      <c r="MVX5" t="s">
        <v>60495</v>
      </c>
      <c r="MVZ5" t="s">
        <v>60495</v>
      </c>
      <c r="MWB5" t="s">
        <v>60495</v>
      </c>
      <c r="MWD5" t="s">
        <v>60495</v>
      </c>
      <c r="MWF5" t="s">
        <v>60495</v>
      </c>
      <c r="MWH5" t="s">
        <v>32673</v>
      </c>
      <c r="MWI5" t="s">
        <v>60495</v>
      </c>
      <c r="MWK5" t="s">
        <v>60495</v>
      </c>
      <c r="MWM5" t="s">
        <v>60495</v>
      </c>
      <c r="MWO5" t="s">
        <v>60495</v>
      </c>
      <c r="MWQ5" t="s">
        <v>60495</v>
      </c>
      <c r="MWS5" t="s">
        <v>60495</v>
      </c>
      <c r="MWU5" t="s">
        <v>60495</v>
      </c>
      <c r="MWW5" t="s">
        <v>60495</v>
      </c>
      <c r="MWY5" t="s">
        <v>60495</v>
      </c>
      <c r="MXA5" t="s">
        <v>60495</v>
      </c>
      <c r="MXC5" t="s">
        <v>60495</v>
      </c>
      <c r="MXE5" t="s">
        <v>60495</v>
      </c>
      <c r="MXG5" t="s">
        <v>60495</v>
      </c>
      <c r="MXI5" t="s">
        <v>16102</v>
      </c>
      <c r="MXK5" t="s">
        <v>52160</v>
      </c>
      <c r="MXM5" t="s">
        <v>60495</v>
      </c>
      <c r="MXO5" t="s">
        <v>60495</v>
      </c>
      <c r="MXQ5" t="s">
        <v>60495</v>
      </c>
      <c r="MXS5" t="s">
        <v>60495</v>
      </c>
      <c r="MXU5" t="s">
        <v>60495</v>
      </c>
      <c r="MXW5" t="s">
        <v>60495</v>
      </c>
      <c r="MXY5" t="s">
        <v>60495</v>
      </c>
      <c r="MYA5" t="s">
        <v>60495</v>
      </c>
      <c r="MYC5" t="s">
        <v>60495</v>
      </c>
      <c r="MYE5" t="s">
        <v>60495</v>
      </c>
      <c r="MYG5" t="s">
        <v>60495</v>
      </c>
      <c r="MYI5" t="s">
        <v>60495</v>
      </c>
      <c r="MYK5" t="s">
        <v>60495</v>
      </c>
      <c r="MYM5" t="s">
        <v>41309</v>
      </c>
      <c r="MYN5" t="s">
        <v>60495</v>
      </c>
      <c r="MYP5" t="s">
        <v>52265</v>
      </c>
      <c r="MYR5" t="s">
        <v>60495</v>
      </c>
      <c r="MYT5" t="s">
        <v>32419</v>
      </c>
      <c r="MYU5" t="s">
        <v>60495</v>
      </c>
      <c r="MYW5" t="s">
        <v>60495</v>
      </c>
      <c r="MYY5" t="s">
        <v>46385</v>
      </c>
      <c r="MZA5" t="s">
        <v>60495</v>
      </c>
      <c r="MZC5" t="s">
        <v>60495</v>
      </c>
      <c r="MZE5" t="s">
        <v>37572</v>
      </c>
      <c r="MZF5" t="s">
        <v>60495</v>
      </c>
      <c r="MZH5" t="s">
        <v>60495</v>
      </c>
      <c r="MZJ5" t="s">
        <v>60495</v>
      </c>
      <c r="MZL5" t="s">
        <v>60495</v>
      </c>
      <c r="MZN5" t="s">
        <v>60495</v>
      </c>
      <c r="MZP5" t="s">
        <v>60495</v>
      </c>
      <c r="MZR5" t="s">
        <v>60495</v>
      </c>
      <c r="MZT5" t="s">
        <v>60495</v>
      </c>
      <c r="MZV5" t="s">
        <v>60495</v>
      </c>
      <c r="MZX5" t="s">
        <v>60495</v>
      </c>
      <c r="MZZ5" t="s">
        <v>60495</v>
      </c>
      <c r="NAB5" t="s">
        <v>60495</v>
      </c>
      <c r="NAD5" t="s">
        <v>60495</v>
      </c>
      <c r="NAF5" t="s">
        <v>52494</v>
      </c>
      <c r="NAH5" t="s">
        <v>60495</v>
      </c>
      <c r="NAJ5" t="s">
        <v>60495</v>
      </c>
      <c r="NAL5" t="s">
        <v>60495</v>
      </c>
      <c r="NAN5" t="s">
        <v>46362</v>
      </c>
      <c r="NAP5" t="s">
        <v>60495</v>
      </c>
      <c r="NAR5" t="s">
        <v>60495</v>
      </c>
      <c r="NAT5" t="s">
        <v>60495</v>
      </c>
      <c r="NAV5" t="s">
        <v>60495</v>
      </c>
      <c r="NAX5" t="s">
        <v>60495</v>
      </c>
      <c r="NAZ5" t="s">
        <v>60495</v>
      </c>
      <c r="NBB5" t="s">
        <v>60495</v>
      </c>
      <c r="NBD5" t="s">
        <v>60495</v>
      </c>
      <c r="NBF5" t="s">
        <v>60495</v>
      </c>
      <c r="NBH5" t="s">
        <v>60495</v>
      </c>
      <c r="NBJ5" t="s">
        <v>60495</v>
      </c>
      <c r="NBL5" t="s">
        <v>60495</v>
      </c>
      <c r="NBN5" t="s">
        <v>60495</v>
      </c>
      <c r="NBP5" t="s">
        <v>60495</v>
      </c>
      <c r="NBR5" t="s">
        <v>60495</v>
      </c>
      <c r="NBT5" t="s">
        <v>60495</v>
      </c>
      <c r="NBV5" t="s">
        <v>60495</v>
      </c>
      <c r="NBX5" t="s">
        <v>60495</v>
      </c>
      <c r="NBZ5" t="s">
        <v>60495</v>
      </c>
      <c r="NCB5" t="s">
        <v>60495</v>
      </c>
      <c r="NCD5" t="s">
        <v>60495</v>
      </c>
      <c r="NCF5" t="s">
        <v>60495</v>
      </c>
      <c r="NCH5" t="s">
        <v>60495</v>
      </c>
      <c r="NCJ5" t="s">
        <v>60495</v>
      </c>
      <c r="NCL5" t="s">
        <v>60495</v>
      </c>
      <c r="NCN5" t="s">
        <v>60495</v>
      </c>
      <c r="NCP5" t="s">
        <v>60495</v>
      </c>
      <c r="NCR5" t="s">
        <v>60495</v>
      </c>
      <c r="NCT5" t="s">
        <v>60495</v>
      </c>
      <c r="NCV5" t="s">
        <v>60495</v>
      </c>
      <c r="NCX5" t="s">
        <v>60495</v>
      </c>
      <c r="NCZ5" t="s">
        <v>60495</v>
      </c>
      <c r="NDB5" t="s">
        <v>60495</v>
      </c>
      <c r="NDD5" t="s">
        <v>60495</v>
      </c>
      <c r="NDF5" t="s">
        <v>16557</v>
      </c>
      <c r="NDG5" t="s">
        <v>60495</v>
      </c>
      <c r="NDI5" t="s">
        <v>60495</v>
      </c>
      <c r="NDK5" t="s">
        <v>60495</v>
      </c>
      <c r="NDM5" t="s">
        <v>60495</v>
      </c>
      <c r="NDO5" t="s">
        <v>60495</v>
      </c>
      <c r="NDQ5" t="s">
        <v>60495</v>
      </c>
      <c r="NDS5" t="s">
        <v>60495</v>
      </c>
      <c r="NDU5" t="s">
        <v>60495</v>
      </c>
      <c r="NDW5" t="s">
        <v>60495</v>
      </c>
      <c r="NDY5" t="s">
        <v>7298</v>
      </c>
      <c r="NEA5" t="s">
        <v>60495</v>
      </c>
      <c r="NEC5" t="s">
        <v>60495</v>
      </c>
      <c r="NEE5" t="s">
        <v>32457</v>
      </c>
      <c r="NEG5" t="s">
        <v>60495</v>
      </c>
      <c r="NEI5" t="s">
        <v>60495</v>
      </c>
      <c r="NEK5" t="s">
        <v>60495</v>
      </c>
      <c r="NEM5" t="s">
        <v>60495</v>
      </c>
      <c r="NEO5" t="s">
        <v>60495</v>
      </c>
      <c r="NEQ5" t="s">
        <v>60495</v>
      </c>
      <c r="NES5" t="s">
        <v>60495</v>
      </c>
      <c r="NEU5" t="s">
        <v>60495</v>
      </c>
      <c r="NEW5" t="s">
        <v>60495</v>
      </c>
      <c r="NEY5" t="s">
        <v>60495</v>
      </c>
      <c r="NFA5" t="s">
        <v>60495</v>
      </c>
      <c r="NFC5" t="s">
        <v>60495</v>
      </c>
      <c r="NFE5" t="s">
        <v>60495</v>
      </c>
      <c r="NFG5" t="s">
        <v>60495</v>
      </c>
      <c r="NFI5" t="s">
        <v>60495</v>
      </c>
      <c r="NFK5" t="s">
        <v>60495</v>
      </c>
      <c r="NFM5" t="s">
        <v>60495</v>
      </c>
      <c r="NFO5" t="s">
        <v>60495</v>
      </c>
      <c r="NFQ5" t="s">
        <v>60495</v>
      </c>
      <c r="NFS5" t="s">
        <v>60495</v>
      </c>
      <c r="NFU5" t="s">
        <v>60495</v>
      </c>
      <c r="NFW5" t="s">
        <v>60495</v>
      </c>
      <c r="NFY5" t="s">
        <v>60495</v>
      </c>
      <c r="NGA5" t="s">
        <v>60495</v>
      </c>
      <c r="NGC5" t="s">
        <v>60495</v>
      </c>
      <c r="NGE5" t="s">
        <v>60495</v>
      </c>
      <c r="NGG5" t="s">
        <v>60495</v>
      </c>
      <c r="NGI5" t="s">
        <v>60495</v>
      </c>
      <c r="NGK5" t="s">
        <v>60495</v>
      </c>
      <c r="NGM5" t="s">
        <v>60495</v>
      </c>
      <c r="NGO5" t="s">
        <v>60495</v>
      </c>
      <c r="NGQ5" t="s">
        <v>60495</v>
      </c>
      <c r="NGS5" t="s">
        <v>60495</v>
      </c>
      <c r="NGU5" t="s">
        <v>60495</v>
      </c>
      <c r="NGW5" t="s">
        <v>60495</v>
      </c>
      <c r="NGY5" t="s">
        <v>60495</v>
      </c>
      <c r="NHA5" t="s">
        <v>60495</v>
      </c>
      <c r="NHC5" t="s">
        <v>60495</v>
      </c>
      <c r="NHE5" t="s">
        <v>60495</v>
      </c>
      <c r="NHG5" t="s">
        <v>60495</v>
      </c>
      <c r="NHI5" t="s">
        <v>60495</v>
      </c>
      <c r="NHK5" t="s">
        <v>60495</v>
      </c>
      <c r="NHM5" t="s">
        <v>60495</v>
      </c>
      <c r="NHO5" t="s">
        <v>60495</v>
      </c>
      <c r="NHQ5" t="s">
        <v>60495</v>
      </c>
      <c r="NHS5" t="s">
        <v>60495</v>
      </c>
      <c r="NHU5" t="s">
        <v>60495</v>
      </c>
      <c r="NHW5" t="s">
        <v>60495</v>
      </c>
      <c r="NHY5" t="s">
        <v>60495</v>
      </c>
      <c r="NIA5" t="s">
        <v>60495</v>
      </c>
      <c r="NIC5" t="s">
        <v>60495</v>
      </c>
      <c r="NIE5" t="s">
        <v>60495</v>
      </c>
      <c r="NIG5" t="s">
        <v>60495</v>
      </c>
      <c r="NII5" t="s">
        <v>60495</v>
      </c>
      <c r="NIK5" t="s">
        <v>53116</v>
      </c>
      <c r="NIL5" t="s">
        <v>60495</v>
      </c>
      <c r="NIN5" t="s">
        <v>60495</v>
      </c>
      <c r="NIP5" t="s">
        <v>60495</v>
      </c>
      <c r="NIR5" t="s">
        <v>60495</v>
      </c>
      <c r="NIT5" t="s">
        <v>60495</v>
      </c>
      <c r="NIV5" t="s">
        <v>60495</v>
      </c>
      <c r="NIX5" t="s">
        <v>60495</v>
      </c>
      <c r="NIZ5" t="s">
        <v>60495</v>
      </c>
      <c r="NJB5" t="s">
        <v>60495</v>
      </c>
      <c r="NJD5" t="s">
        <v>53085</v>
      </c>
      <c r="NJE5" t="s">
        <v>60495</v>
      </c>
      <c r="NJG5" t="s">
        <v>60495</v>
      </c>
      <c r="NJI5" t="s">
        <v>60495</v>
      </c>
      <c r="NJK5" t="s">
        <v>5485</v>
      </c>
      <c r="NJL5" t="s">
        <v>60495</v>
      </c>
      <c r="NJN5" t="s">
        <v>60495</v>
      </c>
      <c r="NJP5" t="s">
        <v>60495</v>
      </c>
      <c r="NJR5" t="s">
        <v>60495</v>
      </c>
      <c r="NJT5" t="s">
        <v>60495</v>
      </c>
      <c r="NJV5" t="s">
        <v>60495</v>
      </c>
      <c r="NJX5" t="s">
        <v>60495</v>
      </c>
      <c r="NJZ5" t="s">
        <v>60495</v>
      </c>
      <c r="NKB5" t="s">
        <v>53287</v>
      </c>
      <c r="NKC5" t="s">
        <v>60495</v>
      </c>
      <c r="NKE5" t="s">
        <v>7470</v>
      </c>
      <c r="NKF5" t="s">
        <v>60495</v>
      </c>
      <c r="NKH5" t="s">
        <v>60495</v>
      </c>
      <c r="NKJ5" t="s">
        <v>60495</v>
      </c>
      <c r="NKL5" t="s">
        <v>60495</v>
      </c>
      <c r="NKN5" t="s">
        <v>60495</v>
      </c>
      <c r="NKP5" t="s">
        <v>60495</v>
      </c>
      <c r="NKR5" t="s">
        <v>60495</v>
      </c>
      <c r="NKT5" t="s">
        <v>60495</v>
      </c>
      <c r="NKV5" t="s">
        <v>60495</v>
      </c>
      <c r="NKX5" t="s">
        <v>60495</v>
      </c>
      <c r="NKZ5" t="s">
        <v>60495</v>
      </c>
      <c r="NLB5" t="s">
        <v>60495</v>
      </c>
      <c r="NLD5" t="s">
        <v>60495</v>
      </c>
      <c r="NLF5" t="s">
        <v>60495</v>
      </c>
      <c r="NLH5" t="s">
        <v>60495</v>
      </c>
      <c r="NLJ5" t="s">
        <v>60495</v>
      </c>
      <c r="NLL5" t="s">
        <v>60495</v>
      </c>
      <c r="NLN5" t="s">
        <v>60495</v>
      </c>
      <c r="NLP5" t="s">
        <v>60495</v>
      </c>
      <c r="NLR5" t="s">
        <v>60495</v>
      </c>
      <c r="NLT5" t="s">
        <v>60495</v>
      </c>
      <c r="NLV5" t="s">
        <v>60495</v>
      </c>
      <c r="NLX5" t="s">
        <v>60495</v>
      </c>
      <c r="NLZ5" t="s">
        <v>60495</v>
      </c>
      <c r="NMB5" t="s">
        <v>60495</v>
      </c>
      <c r="NMD5" t="s">
        <v>60495</v>
      </c>
      <c r="NMF5" t="s">
        <v>60495</v>
      </c>
      <c r="NMH5" t="s">
        <v>60495</v>
      </c>
      <c r="NMJ5" t="s">
        <v>60495</v>
      </c>
      <c r="NML5" t="s">
        <v>60495</v>
      </c>
      <c r="NMN5" t="s">
        <v>60495</v>
      </c>
      <c r="NMP5" t="s">
        <v>60495</v>
      </c>
      <c r="NMR5" t="s">
        <v>60495</v>
      </c>
      <c r="NMT5" t="s">
        <v>60495</v>
      </c>
      <c r="NMV5" t="s">
        <v>60495</v>
      </c>
      <c r="NMX5" t="s">
        <v>60495</v>
      </c>
      <c r="NMZ5" t="s">
        <v>60495</v>
      </c>
      <c r="NNB5" t="s">
        <v>60495</v>
      </c>
      <c r="NND5" t="s">
        <v>60495</v>
      </c>
      <c r="NNF5" t="s">
        <v>60495</v>
      </c>
      <c r="NNH5" t="s">
        <v>60495</v>
      </c>
      <c r="NNJ5" t="s">
        <v>60495</v>
      </c>
      <c r="NNL5" t="s">
        <v>60495</v>
      </c>
      <c r="NNN5" t="s">
        <v>60495</v>
      </c>
      <c r="NNP5" t="s">
        <v>60495</v>
      </c>
      <c r="NNR5" t="s">
        <v>60495</v>
      </c>
      <c r="NNT5" t="s">
        <v>60495</v>
      </c>
      <c r="NNV5" t="s">
        <v>60495</v>
      </c>
      <c r="NNX5" t="s">
        <v>60495</v>
      </c>
      <c r="NNZ5" t="s">
        <v>60495</v>
      </c>
      <c r="NOB5" t="s">
        <v>60495</v>
      </c>
      <c r="NOD5" t="s">
        <v>60495</v>
      </c>
      <c r="NOF5" t="s">
        <v>60495</v>
      </c>
      <c r="NOH5" t="s">
        <v>60495</v>
      </c>
      <c r="NOJ5" t="s">
        <v>60495</v>
      </c>
      <c r="NOL5" t="s">
        <v>60495</v>
      </c>
      <c r="NON5" t="s">
        <v>60495</v>
      </c>
      <c r="NOP5" t="s">
        <v>60495</v>
      </c>
      <c r="NOR5" t="s">
        <v>60495</v>
      </c>
      <c r="NOT5" t="s">
        <v>15850</v>
      </c>
      <c r="NOU5" t="s">
        <v>60495</v>
      </c>
      <c r="NOW5" t="s">
        <v>60495</v>
      </c>
      <c r="NOY5" t="s">
        <v>60495</v>
      </c>
      <c r="NPA5" t="s">
        <v>60495</v>
      </c>
      <c r="NPC5" t="s">
        <v>60495</v>
      </c>
      <c r="NPE5" t="s">
        <v>60495</v>
      </c>
      <c r="NPG5" t="s">
        <v>60495</v>
      </c>
      <c r="NPI5" t="s">
        <v>60495</v>
      </c>
      <c r="NPK5" t="s">
        <v>60495</v>
      </c>
      <c r="NPM5" t="s">
        <v>60495</v>
      </c>
      <c r="NPO5" t="s">
        <v>60495</v>
      </c>
      <c r="NPQ5" t="s">
        <v>60495</v>
      </c>
      <c r="NPS5" t="s">
        <v>60495</v>
      </c>
      <c r="NPU5" t="s">
        <v>60495</v>
      </c>
      <c r="NPW5" t="s">
        <v>60495</v>
      </c>
      <c r="NPY5" t="s">
        <v>60495</v>
      </c>
      <c r="NQA5" t="s">
        <v>60495</v>
      </c>
      <c r="NQC5" t="s">
        <v>60495</v>
      </c>
      <c r="NQE5" t="s">
        <v>60495</v>
      </c>
      <c r="NQG5" t="s">
        <v>60495</v>
      </c>
      <c r="NQI5" t="s">
        <v>60495</v>
      </c>
      <c r="NQK5" t="s">
        <v>60495</v>
      </c>
      <c r="NQM5" t="s">
        <v>60495</v>
      </c>
      <c r="NQO5" t="s">
        <v>60495</v>
      </c>
      <c r="NQQ5" t="s">
        <v>60495</v>
      </c>
      <c r="NQS5" t="s">
        <v>60495</v>
      </c>
      <c r="NQU5" t="s">
        <v>60495</v>
      </c>
      <c r="NQW5" t="s">
        <v>60495</v>
      </c>
      <c r="NQY5" t="s">
        <v>60495</v>
      </c>
      <c r="NRA5" t="s">
        <v>60495</v>
      </c>
      <c r="NRC5" t="s">
        <v>60495</v>
      </c>
      <c r="NRE5" t="s">
        <v>60495</v>
      </c>
      <c r="NRG5" t="s">
        <v>60495</v>
      </c>
      <c r="NRI5" t="s">
        <v>60495</v>
      </c>
      <c r="NRK5" t="s">
        <v>60495</v>
      </c>
      <c r="NRM5" t="s">
        <v>60495</v>
      </c>
      <c r="NRO5" t="s">
        <v>60495</v>
      </c>
      <c r="NRQ5" t="s">
        <v>45341</v>
      </c>
      <c r="NRS5" t="s">
        <v>60495</v>
      </c>
      <c r="NRU5" t="s">
        <v>60495</v>
      </c>
      <c r="NRW5" t="s">
        <v>60495</v>
      </c>
      <c r="NRY5" t="s">
        <v>60495</v>
      </c>
      <c r="NSA5" t="s">
        <v>60495</v>
      </c>
      <c r="NSC5" t="s">
        <v>60495</v>
      </c>
      <c r="NSE5" t="s">
        <v>60495</v>
      </c>
      <c r="NSG5" t="s">
        <v>60495</v>
      </c>
      <c r="NSI5" t="s">
        <v>60495</v>
      </c>
      <c r="NSK5" t="s">
        <v>53974</v>
      </c>
      <c r="NSL5" t="s">
        <v>60495</v>
      </c>
      <c r="NSN5" t="s">
        <v>60495</v>
      </c>
      <c r="NSP5" t="s">
        <v>60495</v>
      </c>
      <c r="NSR5" t="s">
        <v>60495</v>
      </c>
      <c r="NST5" t="s">
        <v>45372</v>
      </c>
      <c r="NSU5" t="s">
        <v>52430</v>
      </c>
      <c r="NSW5" t="s">
        <v>60495</v>
      </c>
      <c r="NSY5" t="s">
        <v>60495</v>
      </c>
      <c r="NTA5" t="s">
        <v>60495</v>
      </c>
      <c r="NTC5" t="s">
        <v>9307</v>
      </c>
      <c r="NTE5" t="s">
        <v>60495</v>
      </c>
      <c r="NTG5" t="s">
        <v>60495</v>
      </c>
      <c r="NTI5" t="s">
        <v>60495</v>
      </c>
      <c r="NTK5" t="s">
        <v>54050</v>
      </c>
      <c r="NTL5" t="s">
        <v>60495</v>
      </c>
      <c r="NTN5" t="s">
        <v>60495</v>
      </c>
      <c r="NTP5" t="s">
        <v>60495</v>
      </c>
      <c r="NTR5" t="s">
        <v>60495</v>
      </c>
      <c r="NTT5" t="s">
        <v>60495</v>
      </c>
      <c r="NTV5" t="s">
        <v>60495</v>
      </c>
      <c r="NTX5" t="s">
        <v>60495</v>
      </c>
      <c r="NTZ5" t="s">
        <v>54042</v>
      </c>
      <c r="NUA5" t="s">
        <v>60495</v>
      </c>
      <c r="NUC5" t="s">
        <v>53901</v>
      </c>
      <c r="NUE5" t="s">
        <v>54126</v>
      </c>
      <c r="NUF5" t="s">
        <v>60495</v>
      </c>
      <c r="NUH5" t="s">
        <v>60495</v>
      </c>
      <c r="NUJ5" t="s">
        <v>60495</v>
      </c>
      <c r="NUL5" t="s">
        <v>60495</v>
      </c>
      <c r="NUN5" t="s">
        <v>60495</v>
      </c>
      <c r="NUP5" t="s">
        <v>60495</v>
      </c>
      <c r="NUR5" t="s">
        <v>60495</v>
      </c>
      <c r="NUT5" t="s">
        <v>60495</v>
      </c>
      <c r="NUV5" t="s">
        <v>60495</v>
      </c>
      <c r="NUX5" t="s">
        <v>54174</v>
      </c>
      <c r="NUY5" t="s">
        <v>60495</v>
      </c>
      <c r="NVA5" t="s">
        <v>60495</v>
      </c>
      <c r="NVC5" t="s">
        <v>60495</v>
      </c>
      <c r="NVE5" t="s">
        <v>60495</v>
      </c>
      <c r="NVG5" t="s">
        <v>60495</v>
      </c>
      <c r="NVI5" t="s">
        <v>60495</v>
      </c>
      <c r="NVK5" t="s">
        <v>31724</v>
      </c>
      <c r="NVL5" t="s">
        <v>60495</v>
      </c>
      <c r="NVN5" t="s">
        <v>60495</v>
      </c>
      <c r="NVP5" t="s">
        <v>60495</v>
      </c>
      <c r="NVR5" t="s">
        <v>43452</v>
      </c>
      <c r="NVS5" t="s">
        <v>60495</v>
      </c>
      <c r="NVU5" t="s">
        <v>60495</v>
      </c>
      <c r="NVW5" t="s">
        <v>60495</v>
      </c>
      <c r="NVY5" t="s">
        <v>2593</v>
      </c>
      <c r="NWA5" t="s">
        <v>60495</v>
      </c>
      <c r="NWC5" t="s">
        <v>60495</v>
      </c>
      <c r="NWE5" t="s">
        <v>8375</v>
      </c>
      <c r="NWG5" t="s">
        <v>60495</v>
      </c>
      <c r="NWI5" t="s">
        <v>60495</v>
      </c>
      <c r="NWK5" t="s">
        <v>60495</v>
      </c>
      <c r="NWM5" t="s">
        <v>60495</v>
      </c>
      <c r="NWO5" t="s">
        <v>60495</v>
      </c>
      <c r="NWQ5" t="s">
        <v>60495</v>
      </c>
      <c r="NWS5" t="s">
        <v>60495</v>
      </c>
      <c r="NWU5" t="s">
        <v>60495</v>
      </c>
      <c r="NWW5" t="s">
        <v>60495</v>
      </c>
      <c r="NWY5" t="s">
        <v>60495</v>
      </c>
      <c r="NXA5" t="s">
        <v>60495</v>
      </c>
      <c r="NXC5" t="s">
        <v>60495</v>
      </c>
      <c r="NXE5" t="s">
        <v>60495</v>
      </c>
      <c r="NXG5" t="s">
        <v>60495</v>
      </c>
      <c r="NXI5" t="s">
        <v>2663</v>
      </c>
      <c r="NXJ5" t="s">
        <v>60495</v>
      </c>
      <c r="NXL5" t="s">
        <v>60495</v>
      </c>
      <c r="NXN5" t="s">
        <v>60495</v>
      </c>
      <c r="NXP5" t="s">
        <v>60495</v>
      </c>
      <c r="NXR5" t="s">
        <v>60495</v>
      </c>
      <c r="NXT5" t="s">
        <v>60495</v>
      </c>
      <c r="NXV5" t="s">
        <v>60495</v>
      </c>
      <c r="NXX5" t="s">
        <v>60495</v>
      </c>
      <c r="NXZ5" t="s">
        <v>60495</v>
      </c>
      <c r="NYB5" t="s">
        <v>60495</v>
      </c>
      <c r="NYD5" t="s">
        <v>60495</v>
      </c>
      <c r="NYF5" t="s">
        <v>60495</v>
      </c>
      <c r="NYH5" t="s">
        <v>60495</v>
      </c>
      <c r="NYJ5" t="s">
        <v>60495</v>
      </c>
      <c r="NYL5" t="s">
        <v>60495</v>
      </c>
      <c r="NYN5" t="s">
        <v>60495</v>
      </c>
      <c r="NYP5" t="s">
        <v>60495</v>
      </c>
      <c r="NYR5" t="s">
        <v>60495</v>
      </c>
      <c r="NYT5" t="s">
        <v>60495</v>
      </c>
      <c r="NYV5" t="s">
        <v>60495</v>
      </c>
      <c r="NYX5" t="s">
        <v>60495</v>
      </c>
      <c r="NYZ5" t="s">
        <v>60495</v>
      </c>
      <c r="NZB5" t="s">
        <v>60495</v>
      </c>
      <c r="NZD5" t="s">
        <v>60495</v>
      </c>
      <c r="NZF5" t="s">
        <v>60495</v>
      </c>
      <c r="NZH5" t="s">
        <v>60495</v>
      </c>
      <c r="NZJ5" t="s">
        <v>60495</v>
      </c>
      <c r="NZL5" t="s">
        <v>60495</v>
      </c>
      <c r="NZN5" t="s">
        <v>60495</v>
      </c>
      <c r="NZP5" t="s">
        <v>54631</v>
      </c>
      <c r="NZQ5" t="s">
        <v>60495</v>
      </c>
      <c r="NZS5" t="s">
        <v>60495</v>
      </c>
      <c r="NZU5" t="s">
        <v>60495</v>
      </c>
      <c r="NZW5" t="s">
        <v>60495</v>
      </c>
      <c r="NZY5" t="s">
        <v>60495</v>
      </c>
      <c r="OAA5" t="s">
        <v>60495</v>
      </c>
      <c r="OAC5" t="s">
        <v>60495</v>
      </c>
      <c r="OAE5" t="s">
        <v>60495</v>
      </c>
      <c r="OAG5" t="s">
        <v>60495</v>
      </c>
      <c r="OAI5" t="s">
        <v>60495</v>
      </c>
      <c r="OAK5" t="s">
        <v>60495</v>
      </c>
      <c r="OAM5" t="s">
        <v>60495</v>
      </c>
      <c r="OAO5" t="s">
        <v>60495</v>
      </c>
      <c r="OAQ5" t="s">
        <v>60495</v>
      </c>
      <c r="OAS5" t="s">
        <v>60495</v>
      </c>
      <c r="OAU5" t="s">
        <v>60495</v>
      </c>
      <c r="OAW5" t="s">
        <v>60495</v>
      </c>
      <c r="OAY5" t="s">
        <v>60495</v>
      </c>
      <c r="OBA5" t="s">
        <v>60495</v>
      </c>
      <c r="OBC5" t="s">
        <v>60495</v>
      </c>
      <c r="OBE5" t="s">
        <v>60495</v>
      </c>
      <c r="OBG5" t="s">
        <v>60495</v>
      </c>
      <c r="OBI5" t="s">
        <v>60495</v>
      </c>
      <c r="OBK5" t="s">
        <v>60495</v>
      </c>
      <c r="OBM5" t="s">
        <v>60495</v>
      </c>
      <c r="OBO5" t="s">
        <v>60495</v>
      </c>
      <c r="OBQ5" t="s">
        <v>55698</v>
      </c>
      <c r="OBR5" t="s">
        <v>60495</v>
      </c>
      <c r="OBT5" t="s">
        <v>42251</v>
      </c>
      <c r="OBV5" t="s">
        <v>60495</v>
      </c>
      <c r="OBX5" t="s">
        <v>60495</v>
      </c>
      <c r="OBZ5" t="s">
        <v>54867</v>
      </c>
      <c r="OCB5" t="s">
        <v>60495</v>
      </c>
      <c r="OCD5" t="s">
        <v>54890</v>
      </c>
      <c r="OCE5" t="s">
        <v>60495</v>
      </c>
      <c r="OCG5" t="s">
        <v>60495</v>
      </c>
      <c r="OCI5" t="s">
        <v>21011</v>
      </c>
      <c r="OCK5" t="s">
        <v>60495</v>
      </c>
      <c r="OCM5" t="s">
        <v>60495</v>
      </c>
      <c r="OCO5" t="s">
        <v>60495</v>
      </c>
      <c r="OCQ5" t="s">
        <v>60495</v>
      </c>
      <c r="OCS5" t="s">
        <v>60495</v>
      </c>
      <c r="OCU5" t="s">
        <v>60495</v>
      </c>
      <c r="OCW5" t="s">
        <v>60495</v>
      </c>
      <c r="OCY5" t="s">
        <v>40767</v>
      </c>
      <c r="ODA5" t="s">
        <v>60495</v>
      </c>
      <c r="ODC5" t="s">
        <v>60495</v>
      </c>
      <c r="ODE5" t="s">
        <v>60495</v>
      </c>
      <c r="ODG5" t="s">
        <v>60495</v>
      </c>
      <c r="ODI5" t="s">
        <v>60495</v>
      </c>
      <c r="ODK5" t="s">
        <v>60495</v>
      </c>
      <c r="ODM5" t="s">
        <v>60495</v>
      </c>
      <c r="ODO5" t="s">
        <v>60495</v>
      </c>
      <c r="ODQ5" t="s">
        <v>60495</v>
      </c>
      <c r="ODS5" t="s">
        <v>60495</v>
      </c>
      <c r="ODU5" t="s">
        <v>60495</v>
      </c>
      <c r="ODW5" t="s">
        <v>60495</v>
      </c>
      <c r="ODY5" t="s">
        <v>60495</v>
      </c>
      <c r="OEA5" t="s">
        <v>60495</v>
      </c>
      <c r="OEC5" t="s">
        <v>60495</v>
      </c>
      <c r="OEE5" t="s">
        <v>60495</v>
      </c>
      <c r="OEG5" t="s">
        <v>60495</v>
      </c>
      <c r="OEI5" t="s">
        <v>60495</v>
      </c>
      <c r="OEK5" t="s">
        <v>60495</v>
      </c>
      <c r="OEM5" t="s">
        <v>60495</v>
      </c>
      <c r="OEO5" t="s">
        <v>60495</v>
      </c>
      <c r="OEQ5" t="s">
        <v>60495</v>
      </c>
      <c r="OES5" t="s">
        <v>60495</v>
      </c>
      <c r="OEU5" t="s">
        <v>60495</v>
      </c>
      <c r="OEW5" t="s">
        <v>60495</v>
      </c>
      <c r="OEY5" t="s">
        <v>60495</v>
      </c>
      <c r="OFA5" t="s">
        <v>41730</v>
      </c>
      <c r="OFB5" t="s">
        <v>60495</v>
      </c>
      <c r="OFD5" t="s">
        <v>41492</v>
      </c>
      <c r="OFE5" t="s">
        <v>60495</v>
      </c>
      <c r="OFG5" t="s">
        <v>60495</v>
      </c>
      <c r="OFI5" t="s">
        <v>60495</v>
      </c>
      <c r="OFK5" t="s">
        <v>60495</v>
      </c>
      <c r="OFM5" t="s">
        <v>60495</v>
      </c>
      <c r="OFO5" t="s">
        <v>60495</v>
      </c>
      <c r="OFQ5" t="s">
        <v>60495</v>
      </c>
      <c r="OFS5" t="s">
        <v>60495</v>
      </c>
      <c r="OFU5" t="s">
        <v>60495</v>
      </c>
      <c r="OFW5" t="s">
        <v>60495</v>
      </c>
      <c r="OFY5" t="s">
        <v>60495</v>
      </c>
      <c r="OGA5" t="s">
        <v>60495</v>
      </c>
      <c r="OGC5" t="s">
        <v>60495</v>
      </c>
      <c r="OGE5" t="s">
        <v>60495</v>
      </c>
      <c r="OGG5" t="s">
        <v>51720</v>
      </c>
      <c r="OGH5" t="s">
        <v>60495</v>
      </c>
      <c r="OGJ5" t="s">
        <v>60495</v>
      </c>
      <c r="OGL5" t="s">
        <v>60495</v>
      </c>
      <c r="OGN5" t="s">
        <v>2320</v>
      </c>
      <c r="OGO5" t="s">
        <v>36903</v>
      </c>
      <c r="OGP5" t="s">
        <v>60495</v>
      </c>
      <c r="OGR5" t="s">
        <v>36927</v>
      </c>
      <c r="OGS5" t="s">
        <v>44399</v>
      </c>
      <c r="OGT5" t="s">
        <v>60495</v>
      </c>
      <c r="OGV5" t="s">
        <v>60495</v>
      </c>
      <c r="OGX5" t="s">
        <v>60495</v>
      </c>
      <c r="OGZ5" t="s">
        <v>60495</v>
      </c>
      <c r="OHB5" t="s">
        <v>60495</v>
      </c>
      <c r="OHD5" t="s">
        <v>60495</v>
      </c>
      <c r="OHF5" t="s">
        <v>60495</v>
      </c>
      <c r="OHH5" t="s">
        <v>60495</v>
      </c>
      <c r="OHJ5" t="s">
        <v>60495</v>
      </c>
      <c r="OHL5" t="s">
        <v>60495</v>
      </c>
      <c r="OHN5" t="s">
        <v>60495</v>
      </c>
      <c r="OHP5" t="s">
        <v>60495</v>
      </c>
      <c r="OHR5" t="s">
        <v>60495</v>
      </c>
      <c r="OHT5" t="s">
        <v>27205</v>
      </c>
      <c r="OHU5" t="s">
        <v>60495</v>
      </c>
      <c r="OHW5" t="s">
        <v>60495</v>
      </c>
      <c r="OHY5" t="s">
        <v>60495</v>
      </c>
      <c r="OIA5" t="s">
        <v>60495</v>
      </c>
      <c r="OIC5" t="s">
        <v>60495</v>
      </c>
      <c r="OIE5" t="s">
        <v>60495</v>
      </c>
      <c r="OIG5" t="s">
        <v>15070</v>
      </c>
      <c r="OII5" t="s">
        <v>60495</v>
      </c>
      <c r="OIK5" t="s">
        <v>60495</v>
      </c>
      <c r="OIM5" t="s">
        <v>55428</v>
      </c>
      <c r="OIN5" t="s">
        <v>60495</v>
      </c>
      <c r="OIP5" t="s">
        <v>55370</v>
      </c>
      <c r="OIR5" t="s">
        <v>60495</v>
      </c>
      <c r="OIT5" t="s">
        <v>60495</v>
      </c>
      <c r="OIV5" t="s">
        <v>60495</v>
      </c>
      <c r="OIX5" t="s">
        <v>60495</v>
      </c>
      <c r="OIZ5" t="s">
        <v>60495</v>
      </c>
      <c r="OJB5" t="s">
        <v>56608</v>
      </c>
      <c r="OJC5" t="s">
        <v>57974</v>
      </c>
      <c r="OJE5" t="s">
        <v>60495</v>
      </c>
      <c r="OJG5" t="s">
        <v>60495</v>
      </c>
      <c r="OJI5" t="s">
        <v>60495</v>
      </c>
      <c r="OJK5" t="s">
        <v>60495</v>
      </c>
      <c r="OJM5" t="s">
        <v>60495</v>
      </c>
      <c r="OJO5" t="s">
        <v>60495</v>
      </c>
      <c r="OJQ5" t="s">
        <v>60495</v>
      </c>
      <c r="OJS5" t="s">
        <v>60495</v>
      </c>
      <c r="OJU5" t="s">
        <v>60495</v>
      </c>
      <c r="OJW5" t="s">
        <v>60495</v>
      </c>
      <c r="OJY5" t="s">
        <v>60495</v>
      </c>
      <c r="OKA5" t="s">
        <v>60495</v>
      </c>
      <c r="OKC5" t="s">
        <v>60495</v>
      </c>
      <c r="OKE5" t="s">
        <v>55676</v>
      </c>
      <c r="OKF5" t="s">
        <v>60495</v>
      </c>
      <c r="OKH5" t="s">
        <v>60495</v>
      </c>
      <c r="OKJ5" t="s">
        <v>60495</v>
      </c>
      <c r="OKL5" t="s">
        <v>19967</v>
      </c>
      <c r="OKM5" t="s">
        <v>60495</v>
      </c>
      <c r="OKO5" t="s">
        <v>60495</v>
      </c>
      <c r="OKQ5" t="s">
        <v>60495</v>
      </c>
      <c r="OKS5" t="s">
        <v>60495</v>
      </c>
      <c r="OKU5" t="s">
        <v>60495</v>
      </c>
      <c r="OKW5" t="s">
        <v>60495</v>
      </c>
      <c r="OKY5" t="s">
        <v>60495</v>
      </c>
      <c r="OLA5" t="s">
        <v>32465</v>
      </c>
      <c r="OLB5" t="s">
        <v>60495</v>
      </c>
      <c r="OLD5" t="s">
        <v>60495</v>
      </c>
      <c r="OLF5" t="s">
        <v>60495</v>
      </c>
      <c r="OLH5" t="s">
        <v>60495</v>
      </c>
      <c r="OLJ5" t="s">
        <v>60495</v>
      </c>
      <c r="OLL5" t="s">
        <v>55788</v>
      </c>
      <c r="OLM5" t="s">
        <v>60495</v>
      </c>
      <c r="OLO5" t="s">
        <v>60495</v>
      </c>
      <c r="OLQ5" t="s">
        <v>55803</v>
      </c>
      <c r="OLR5" t="s">
        <v>60495</v>
      </c>
      <c r="OLT5" t="s">
        <v>393</v>
      </c>
      <c r="OLV5" t="s">
        <v>60495</v>
      </c>
      <c r="OLX5" t="s">
        <v>60495</v>
      </c>
      <c r="OLZ5" t="s">
        <v>60495</v>
      </c>
      <c r="OMB5" t="s">
        <v>60495</v>
      </c>
      <c r="OMD5" t="s">
        <v>60495</v>
      </c>
      <c r="OMF5" t="s">
        <v>60495</v>
      </c>
      <c r="OMH5" t="s">
        <v>60495</v>
      </c>
      <c r="OMJ5" t="s">
        <v>60495</v>
      </c>
      <c r="OML5" t="s">
        <v>60495</v>
      </c>
      <c r="OMN5" t="s">
        <v>60495</v>
      </c>
      <c r="OMP5" t="s">
        <v>60495</v>
      </c>
      <c r="OMR5" t="s">
        <v>4393</v>
      </c>
      <c r="OMS5" t="s">
        <v>60495</v>
      </c>
      <c r="OMU5" t="s">
        <v>60495</v>
      </c>
      <c r="OMW5" t="s">
        <v>60495</v>
      </c>
      <c r="OMY5" t="s">
        <v>60495</v>
      </c>
      <c r="ONA5" t="s">
        <v>60495</v>
      </c>
      <c r="ONC5" t="s">
        <v>60495</v>
      </c>
      <c r="ONE5" t="s">
        <v>60495</v>
      </c>
      <c r="ONG5" t="s">
        <v>60495</v>
      </c>
      <c r="ONI5" t="s">
        <v>60495</v>
      </c>
      <c r="ONK5" t="s">
        <v>60495</v>
      </c>
      <c r="ONM5" t="s">
        <v>60495</v>
      </c>
      <c r="ONO5" t="s">
        <v>60495</v>
      </c>
      <c r="ONQ5" t="s">
        <v>60495</v>
      </c>
      <c r="ONS5" t="s">
        <v>60495</v>
      </c>
      <c r="ONU5" t="s">
        <v>60495</v>
      </c>
      <c r="ONW5" t="s">
        <v>60495</v>
      </c>
      <c r="ONY5" t="s">
        <v>60495</v>
      </c>
      <c r="OOA5" t="s">
        <v>60495</v>
      </c>
      <c r="OOC5" t="s">
        <v>60495</v>
      </c>
      <c r="OOE5" t="s">
        <v>60495</v>
      </c>
      <c r="OOG5" t="s">
        <v>60495</v>
      </c>
      <c r="OOI5" t="s">
        <v>60495</v>
      </c>
      <c r="OOK5" t="s">
        <v>60495</v>
      </c>
      <c r="OOM5" t="s">
        <v>60495</v>
      </c>
      <c r="OOO5" t="s">
        <v>24518</v>
      </c>
      <c r="OOP5" t="s">
        <v>60495</v>
      </c>
      <c r="OOR5" t="s">
        <v>55713</v>
      </c>
      <c r="OOT5" t="s">
        <v>60495</v>
      </c>
      <c r="OOV5" t="s">
        <v>60495</v>
      </c>
      <c r="OOX5" t="s">
        <v>60495</v>
      </c>
      <c r="OOZ5" t="s">
        <v>60495</v>
      </c>
      <c r="OPB5" t="s">
        <v>60495</v>
      </c>
      <c r="OPD5" t="s">
        <v>60495</v>
      </c>
      <c r="OPF5" t="s">
        <v>60495</v>
      </c>
      <c r="OPH5" t="s">
        <v>60495</v>
      </c>
      <c r="OPJ5" t="s">
        <v>60495</v>
      </c>
      <c r="OPL5" t="s">
        <v>60495</v>
      </c>
      <c r="OPN5" t="s">
        <v>60495</v>
      </c>
      <c r="OPP5" t="s">
        <v>60495</v>
      </c>
      <c r="OPR5" t="s">
        <v>60495</v>
      </c>
      <c r="OPT5" t="s">
        <v>60495</v>
      </c>
      <c r="OPV5" t="s">
        <v>60495</v>
      </c>
      <c r="OPX5" t="s">
        <v>60495</v>
      </c>
      <c r="OPZ5" t="s">
        <v>60495</v>
      </c>
      <c r="OQB5" t="s">
        <v>60495</v>
      </c>
      <c r="OQD5" t="s">
        <v>60495</v>
      </c>
      <c r="OQF5" t="s">
        <v>60495</v>
      </c>
      <c r="OQH5" t="s">
        <v>56338</v>
      </c>
      <c r="OQJ5" t="s">
        <v>60495</v>
      </c>
      <c r="OQL5" t="s">
        <v>56404</v>
      </c>
      <c r="OQN5" t="s">
        <v>60495</v>
      </c>
      <c r="OQP5" t="s">
        <v>60495</v>
      </c>
      <c r="OQR5" t="s">
        <v>60495</v>
      </c>
      <c r="OQT5" t="s">
        <v>60495</v>
      </c>
      <c r="OQV5" t="s">
        <v>60495</v>
      </c>
      <c r="OQX5" t="s">
        <v>56535</v>
      </c>
      <c r="OQZ5" t="s">
        <v>60495</v>
      </c>
      <c r="ORB5" t="s">
        <v>60495</v>
      </c>
      <c r="ORD5" t="s">
        <v>60495</v>
      </c>
      <c r="ORF5" t="s">
        <v>60495</v>
      </c>
      <c r="ORH5" t="s">
        <v>60495</v>
      </c>
      <c r="ORJ5" t="s">
        <v>60495</v>
      </c>
      <c r="ORL5" t="s">
        <v>60495</v>
      </c>
      <c r="ORN5" t="s">
        <v>60495</v>
      </c>
      <c r="ORP5" t="s">
        <v>60495</v>
      </c>
      <c r="ORR5" t="s">
        <v>60495</v>
      </c>
      <c r="ORT5" t="s">
        <v>60495</v>
      </c>
      <c r="ORV5" t="s">
        <v>56674</v>
      </c>
      <c r="ORW5" t="s">
        <v>60495</v>
      </c>
      <c r="ORY5" t="s">
        <v>60495</v>
      </c>
      <c r="OSA5" t="s">
        <v>60495</v>
      </c>
      <c r="OSC5" t="s">
        <v>60495</v>
      </c>
      <c r="OSE5" t="s">
        <v>60495</v>
      </c>
      <c r="OSG5" t="s">
        <v>60495</v>
      </c>
      <c r="OSI5" t="s">
        <v>60495</v>
      </c>
      <c r="OSK5" t="s">
        <v>60495</v>
      </c>
      <c r="OSM5" t="s">
        <v>60495</v>
      </c>
      <c r="OSO5" t="s">
        <v>60495</v>
      </c>
      <c r="OSQ5" t="s">
        <v>56798</v>
      </c>
      <c r="OSR5" t="s">
        <v>60495</v>
      </c>
      <c r="OST5" t="s">
        <v>60495</v>
      </c>
      <c r="OSV5" t="s">
        <v>56823</v>
      </c>
      <c r="OSX5" t="s">
        <v>56814</v>
      </c>
      <c r="OSZ5" t="s">
        <v>60495</v>
      </c>
      <c r="OTB5" t="s">
        <v>60495</v>
      </c>
      <c r="OTD5" t="s">
        <v>60495</v>
      </c>
      <c r="OTF5" t="s">
        <v>60495</v>
      </c>
      <c r="OTH5" t="s">
        <v>60495</v>
      </c>
      <c r="OTJ5" t="s">
        <v>60495</v>
      </c>
      <c r="OTL5" t="s">
        <v>60495</v>
      </c>
      <c r="OTN5" t="s">
        <v>60495</v>
      </c>
      <c r="OTP5" t="s">
        <v>60495</v>
      </c>
      <c r="OTR5" t="s">
        <v>60495</v>
      </c>
      <c r="OTT5" t="s">
        <v>60495</v>
      </c>
      <c r="OTV5" t="s">
        <v>60495</v>
      </c>
      <c r="OTX5" t="s">
        <v>60495</v>
      </c>
      <c r="OTZ5" t="s">
        <v>60495</v>
      </c>
      <c r="OUB5" t="s">
        <v>60495</v>
      </c>
      <c r="OUD5" t="s">
        <v>60495</v>
      </c>
      <c r="OUF5" t="s">
        <v>60495</v>
      </c>
      <c r="OUH5" t="s">
        <v>60495</v>
      </c>
      <c r="OUJ5" t="s">
        <v>57044</v>
      </c>
      <c r="OUK5" t="s">
        <v>60495</v>
      </c>
      <c r="OUM5" t="s">
        <v>60495</v>
      </c>
      <c r="OUO5" t="s">
        <v>60495</v>
      </c>
      <c r="OUQ5" t="s">
        <v>60495</v>
      </c>
      <c r="OUS5" t="s">
        <v>60495</v>
      </c>
      <c r="OUU5" t="s">
        <v>60495</v>
      </c>
      <c r="OUW5" t="s">
        <v>57988</v>
      </c>
      <c r="OUY5" t="s">
        <v>60495</v>
      </c>
      <c r="OVA5" t="s">
        <v>57118</v>
      </c>
      <c r="OVC5" t="s">
        <v>60495</v>
      </c>
      <c r="OVE5" t="s">
        <v>60495</v>
      </c>
      <c r="OVG5" t="s">
        <v>60495</v>
      </c>
      <c r="OVI5" t="s">
        <v>60495</v>
      </c>
      <c r="OVK5" t="s">
        <v>60495</v>
      </c>
      <c r="OVM5" t="s">
        <v>60495</v>
      </c>
      <c r="OVO5" t="s">
        <v>60495</v>
      </c>
      <c r="OVQ5" t="s">
        <v>60495</v>
      </c>
      <c r="OVS5" t="s">
        <v>60495</v>
      </c>
      <c r="OVU5" t="s">
        <v>60495</v>
      </c>
      <c r="OVW5" t="s">
        <v>60495</v>
      </c>
      <c r="OVY5" t="s">
        <v>60495</v>
      </c>
      <c r="OWA5" t="s">
        <v>60495</v>
      </c>
      <c r="OWC5" t="s">
        <v>60495</v>
      </c>
      <c r="OWE5" t="s">
        <v>60495</v>
      </c>
      <c r="OWG5" t="s">
        <v>60495</v>
      </c>
      <c r="OWI5" t="s">
        <v>60495</v>
      </c>
      <c r="OWK5" t="s">
        <v>60495</v>
      </c>
      <c r="OWM5" t="s">
        <v>60495</v>
      </c>
      <c r="OWO5" t="s">
        <v>60495</v>
      </c>
      <c r="OWQ5" t="s">
        <v>60495</v>
      </c>
      <c r="OWS5" t="s">
        <v>60495</v>
      </c>
      <c r="OWU5" t="s">
        <v>60495</v>
      </c>
      <c r="OWW5" t="s">
        <v>60495</v>
      </c>
      <c r="OWY5" t="s">
        <v>46621</v>
      </c>
      <c r="OWZ5" t="s">
        <v>60495</v>
      </c>
      <c r="OXB5" t="s">
        <v>60495</v>
      </c>
      <c r="OXD5" t="s">
        <v>60495</v>
      </c>
      <c r="OXF5" t="s">
        <v>60495</v>
      </c>
      <c r="OXH5" t="s">
        <v>60495</v>
      </c>
      <c r="OXJ5" t="s">
        <v>60495</v>
      </c>
      <c r="OXL5" t="s">
        <v>60495</v>
      </c>
      <c r="OXN5" t="s">
        <v>60495</v>
      </c>
      <c r="OXP5" t="s">
        <v>60495</v>
      </c>
      <c r="OXR5" t="s">
        <v>60495</v>
      </c>
      <c r="OXT5" t="s">
        <v>60495</v>
      </c>
      <c r="OXV5" t="s">
        <v>60495</v>
      </c>
      <c r="OXX5" t="s">
        <v>60495</v>
      </c>
      <c r="OXZ5" t="s">
        <v>60495</v>
      </c>
      <c r="OYB5" t="s">
        <v>60495</v>
      </c>
      <c r="OYD5" t="s">
        <v>60495</v>
      </c>
      <c r="OYF5" t="s">
        <v>60495</v>
      </c>
      <c r="OYH5" t="s">
        <v>60495</v>
      </c>
      <c r="OYJ5" t="s">
        <v>60495</v>
      </c>
      <c r="OYL5" t="s">
        <v>60495</v>
      </c>
      <c r="OYN5" t="s">
        <v>60495</v>
      </c>
      <c r="OYP5" t="s">
        <v>55609</v>
      </c>
      <c r="OYQ5" t="s">
        <v>60495</v>
      </c>
      <c r="OYS5" t="s">
        <v>60495</v>
      </c>
      <c r="OYU5" t="s">
        <v>60495</v>
      </c>
      <c r="OYW5" t="s">
        <v>60495</v>
      </c>
      <c r="OYY5" t="s">
        <v>57754</v>
      </c>
      <c r="OYZ5" t="s">
        <v>57802</v>
      </c>
      <c r="OZA5" t="s">
        <v>60495</v>
      </c>
      <c r="OZC5" t="s">
        <v>60495</v>
      </c>
      <c r="OZE5" t="s">
        <v>60495</v>
      </c>
      <c r="OZG5" t="s">
        <v>60495</v>
      </c>
      <c r="OZI5" t="s">
        <v>45077</v>
      </c>
      <c r="OZJ5" t="s">
        <v>60495</v>
      </c>
      <c r="OZL5" t="s">
        <v>60495</v>
      </c>
      <c r="OZN5" t="s">
        <v>60495</v>
      </c>
      <c r="OZP5" t="s">
        <v>57136</v>
      </c>
      <c r="OZQ5" t="s">
        <v>60495</v>
      </c>
      <c r="OZS5" t="s">
        <v>57101</v>
      </c>
      <c r="OZT5" t="s">
        <v>60495</v>
      </c>
      <c r="OZV5" t="s">
        <v>60495</v>
      </c>
      <c r="OZX5" t="s">
        <v>60495</v>
      </c>
      <c r="OZZ5" t="s">
        <v>52182</v>
      </c>
      <c r="PAA5" t="s">
        <v>60495</v>
      </c>
      <c r="PAC5" t="s">
        <v>60495</v>
      </c>
      <c r="PAE5" t="s">
        <v>60495</v>
      </c>
      <c r="PAG5" t="s">
        <v>60495</v>
      </c>
      <c r="PAI5" t="s">
        <v>60495</v>
      </c>
      <c r="PAK5" t="s">
        <v>60495</v>
      </c>
      <c r="PAM5" t="s">
        <v>60495</v>
      </c>
      <c r="PAO5" t="s">
        <v>60495</v>
      </c>
      <c r="PAQ5" t="s">
        <v>56427</v>
      </c>
      <c r="PAS5" t="s">
        <v>57929</v>
      </c>
      <c r="PAT5" t="s">
        <v>57944</v>
      </c>
      <c r="PAU5" t="s">
        <v>60495</v>
      </c>
      <c r="PAW5" t="s">
        <v>60495</v>
      </c>
      <c r="PAY5" t="s">
        <v>60495</v>
      </c>
      <c r="PBA5" t="s">
        <v>60495</v>
      </c>
      <c r="PBC5" t="s">
        <v>60495</v>
      </c>
      <c r="PBE5" t="s">
        <v>60495</v>
      </c>
      <c r="PBG5" t="s">
        <v>60495</v>
      </c>
      <c r="PBI5" t="s">
        <v>60495</v>
      </c>
      <c r="PBK5" t="s">
        <v>60495</v>
      </c>
      <c r="PBM5" t="s">
        <v>60495</v>
      </c>
      <c r="PBO5" t="s">
        <v>60495</v>
      </c>
      <c r="PBQ5" t="s">
        <v>60495</v>
      </c>
      <c r="PBS5" t="s">
        <v>60495</v>
      </c>
      <c r="PBU5" t="s">
        <v>60495</v>
      </c>
      <c r="PBW5" t="s">
        <v>60495</v>
      </c>
      <c r="PBY5" t="s">
        <v>60495</v>
      </c>
      <c r="PCA5" t="s">
        <v>60495</v>
      </c>
      <c r="PCC5" t="s">
        <v>60495</v>
      </c>
      <c r="PCE5" t="s">
        <v>60495</v>
      </c>
      <c r="PCG5" t="s">
        <v>60495</v>
      </c>
      <c r="PCI5" t="s">
        <v>60495</v>
      </c>
      <c r="PCK5" t="s">
        <v>60495</v>
      </c>
      <c r="PCM5" t="s">
        <v>60495</v>
      </c>
      <c r="PCO5" t="s">
        <v>60495</v>
      </c>
      <c r="PCQ5" t="s">
        <v>60495</v>
      </c>
      <c r="PCS5" t="s">
        <v>60495</v>
      </c>
      <c r="PCU5" t="s">
        <v>58269</v>
      </c>
      <c r="PCW5" t="s">
        <v>60495</v>
      </c>
      <c r="PCY5" t="s">
        <v>60495</v>
      </c>
      <c r="PDA5" t="s">
        <v>60495</v>
      </c>
      <c r="PDC5" t="s">
        <v>60495</v>
      </c>
      <c r="PDE5" t="s">
        <v>60495</v>
      </c>
      <c r="PDG5" t="s">
        <v>60495</v>
      </c>
      <c r="PDI5" t="s">
        <v>57952</v>
      </c>
      <c r="PDK5" t="s">
        <v>60495</v>
      </c>
      <c r="PDM5" t="s">
        <v>55844</v>
      </c>
      <c r="PDN5" t="s">
        <v>60495</v>
      </c>
      <c r="PDP5" t="s">
        <v>60495</v>
      </c>
      <c r="PDR5" t="s">
        <v>60495</v>
      </c>
      <c r="PDT5" t="s">
        <v>60495</v>
      </c>
      <c r="PDV5" t="s">
        <v>60495</v>
      </c>
      <c r="PDX5" t="s">
        <v>60495</v>
      </c>
      <c r="PDZ5" t="s">
        <v>60495</v>
      </c>
      <c r="PEB5" t="s">
        <v>60495</v>
      </c>
      <c r="PED5" t="s">
        <v>60495</v>
      </c>
      <c r="PEF5" t="s">
        <v>60495</v>
      </c>
      <c r="PEH5" t="s">
        <v>60495</v>
      </c>
      <c r="PEJ5" t="s">
        <v>58402</v>
      </c>
      <c r="PEK5" t="s">
        <v>60495</v>
      </c>
      <c r="PEM5" t="s">
        <v>60495</v>
      </c>
      <c r="PEO5" t="s">
        <v>60495</v>
      </c>
      <c r="PEQ5" t="s">
        <v>60495</v>
      </c>
      <c r="PES5" t="s">
        <v>60495</v>
      </c>
      <c r="PEU5" t="s">
        <v>60495</v>
      </c>
      <c r="PEW5" t="s">
        <v>60495</v>
      </c>
      <c r="PEY5" t="s">
        <v>60495</v>
      </c>
      <c r="PFA5" t="s">
        <v>60495</v>
      </c>
      <c r="PFC5" t="s">
        <v>60495</v>
      </c>
      <c r="PFE5" t="s">
        <v>60495</v>
      </c>
      <c r="PFG5" t="s">
        <v>60495</v>
      </c>
      <c r="PFI5" t="s">
        <v>60495</v>
      </c>
      <c r="PFK5" t="s">
        <v>3800</v>
      </c>
      <c r="PFL5" t="s">
        <v>60495</v>
      </c>
      <c r="PFN5" t="s">
        <v>60495</v>
      </c>
      <c r="PFP5" t="s">
        <v>58546</v>
      </c>
      <c r="PFR5" t="s">
        <v>54648</v>
      </c>
      <c r="PFS5" t="s">
        <v>60495</v>
      </c>
      <c r="PFU5" t="s">
        <v>187</v>
      </c>
      <c r="PFV5" t="s">
        <v>60495</v>
      </c>
      <c r="PFX5" t="s">
        <v>57496</v>
      </c>
      <c r="PFZ5" t="s">
        <v>60495</v>
      </c>
      <c r="PGB5" t="s">
        <v>60495</v>
      </c>
      <c r="PGD5" t="s">
        <v>57518</v>
      </c>
      <c r="PGE5" t="s">
        <v>60495</v>
      </c>
      <c r="PGG5" t="s">
        <v>60495</v>
      </c>
      <c r="PGI5" t="s">
        <v>60495</v>
      </c>
      <c r="PGK5" t="s">
        <v>60495</v>
      </c>
      <c r="PGM5" t="s">
        <v>60495</v>
      </c>
      <c r="PGO5" t="s">
        <v>60495</v>
      </c>
      <c r="PGQ5" t="s">
        <v>60495</v>
      </c>
      <c r="PGS5" t="s">
        <v>60495</v>
      </c>
      <c r="PGU5" t="s">
        <v>60495</v>
      </c>
      <c r="PGW5" t="s">
        <v>60495</v>
      </c>
      <c r="PGY5" t="s">
        <v>60495</v>
      </c>
      <c r="PHA5" t="s">
        <v>60495</v>
      </c>
      <c r="PHC5" t="s">
        <v>55892</v>
      </c>
      <c r="PHE5" t="s">
        <v>56328</v>
      </c>
      <c r="PHF5" t="s">
        <v>60495</v>
      </c>
      <c r="PHH5" t="s">
        <v>60495</v>
      </c>
      <c r="PHJ5" t="s">
        <v>60495</v>
      </c>
      <c r="PHL5" t="s">
        <v>60495</v>
      </c>
      <c r="PHN5" t="s">
        <v>60495</v>
      </c>
      <c r="PHP5" t="s">
        <v>60495</v>
      </c>
      <c r="PHR5" t="s">
        <v>60495</v>
      </c>
      <c r="PHT5" t="s">
        <v>60495</v>
      </c>
      <c r="PHV5" t="s">
        <v>60495</v>
      </c>
      <c r="PHX5" t="s">
        <v>47869</v>
      </c>
      <c r="PHY5" t="s">
        <v>60495</v>
      </c>
      <c r="PIA5" t="s">
        <v>57487</v>
      </c>
      <c r="PIB5" t="s">
        <v>60495</v>
      </c>
      <c r="PID5" t="s">
        <v>28872</v>
      </c>
      <c r="PIE5" t="s">
        <v>60495</v>
      </c>
      <c r="PIG5" t="s">
        <v>60495</v>
      </c>
      <c r="PII5" t="s">
        <v>42234</v>
      </c>
      <c r="PIJ5" t="s">
        <v>60495</v>
      </c>
      <c r="PIL5" t="s">
        <v>57906</v>
      </c>
      <c r="PIM5" t="s">
        <v>60495</v>
      </c>
      <c r="PIO5" t="s">
        <v>60495</v>
      </c>
      <c r="PIQ5" t="s">
        <v>60495</v>
      </c>
      <c r="PIS5" t="s">
        <v>60495</v>
      </c>
      <c r="PIU5" t="s">
        <v>55853</v>
      </c>
      <c r="PIV5" t="s">
        <v>60495</v>
      </c>
      <c r="PIX5" t="s">
        <v>60495</v>
      </c>
      <c r="PIZ5" t="s">
        <v>60495</v>
      </c>
      <c r="PJB5" t="s">
        <v>60495</v>
      </c>
      <c r="PJD5" t="s">
        <v>60495</v>
      </c>
      <c r="PJF5" t="s">
        <v>60495</v>
      </c>
      <c r="PJH5" t="s">
        <v>60495</v>
      </c>
      <c r="PJJ5" t="s">
        <v>60495</v>
      </c>
      <c r="PJL5" t="s">
        <v>60495</v>
      </c>
      <c r="PJN5" t="s">
        <v>60495</v>
      </c>
      <c r="PJP5" t="s">
        <v>60495</v>
      </c>
      <c r="PJR5" t="s">
        <v>60495</v>
      </c>
      <c r="PJT5" t="s">
        <v>60495</v>
      </c>
      <c r="PJV5" t="s">
        <v>60495</v>
      </c>
      <c r="PJX5" t="s">
        <v>60495</v>
      </c>
      <c r="PJZ5" t="s">
        <v>60495</v>
      </c>
      <c r="PKB5" t="s">
        <v>60495</v>
      </c>
      <c r="PKD5" t="s">
        <v>60495</v>
      </c>
      <c r="PKF5" t="s">
        <v>60495</v>
      </c>
      <c r="PKH5" t="s">
        <v>60495</v>
      </c>
      <c r="PKJ5" t="s">
        <v>60495</v>
      </c>
      <c r="PKL5" t="s">
        <v>60495</v>
      </c>
      <c r="PKN5" t="s">
        <v>60495</v>
      </c>
      <c r="PKP5" t="s">
        <v>60495</v>
      </c>
      <c r="PKR5" t="s">
        <v>60495</v>
      </c>
      <c r="PKT5" t="s">
        <v>60495</v>
      </c>
      <c r="PKV5" t="s">
        <v>60495</v>
      </c>
      <c r="PKX5" t="s">
        <v>60495</v>
      </c>
      <c r="PKZ5" t="s">
        <v>60495</v>
      </c>
      <c r="PLB5" t="s">
        <v>42218</v>
      </c>
      <c r="PLC5" t="s">
        <v>60495</v>
      </c>
      <c r="PLE5" t="s">
        <v>60495</v>
      </c>
      <c r="PLG5" t="s">
        <v>60495</v>
      </c>
      <c r="PLI5" t="s">
        <v>60495</v>
      </c>
      <c r="PLK5" t="s">
        <v>60495</v>
      </c>
      <c r="PLM5" t="s">
        <v>60495</v>
      </c>
      <c r="PLO5" t="s">
        <v>60495</v>
      </c>
      <c r="PLQ5" t="s">
        <v>60495</v>
      </c>
      <c r="PLS5" t="s">
        <v>60495</v>
      </c>
      <c r="PLU5" t="s">
        <v>56077</v>
      </c>
      <c r="PLV5" t="s">
        <v>60495</v>
      </c>
      <c r="PLX5" t="s">
        <v>60495</v>
      </c>
      <c r="PLZ5" t="s">
        <v>60495</v>
      </c>
      <c r="PMB5" t="s">
        <v>60495</v>
      </c>
      <c r="PMD5" t="s">
        <v>60495</v>
      </c>
      <c r="PMF5" t="s">
        <v>60495</v>
      </c>
      <c r="PMH5" t="s">
        <v>60495</v>
      </c>
      <c r="PMJ5" t="s">
        <v>60495</v>
      </c>
      <c r="PML5" t="s">
        <v>60495</v>
      </c>
      <c r="PMN5" t="s">
        <v>60495</v>
      </c>
      <c r="PMP5" t="s">
        <v>60495</v>
      </c>
      <c r="PMR5" t="s">
        <v>60495</v>
      </c>
      <c r="PMT5" t="s">
        <v>60495</v>
      </c>
      <c r="PMV5" t="s">
        <v>60495</v>
      </c>
      <c r="PMX5" t="s">
        <v>60495</v>
      </c>
      <c r="PMZ5" t="s">
        <v>53188</v>
      </c>
      <c r="PNA5" t="s">
        <v>60495</v>
      </c>
      <c r="PNC5" t="s">
        <v>60495</v>
      </c>
      <c r="PNE5" t="s">
        <v>60495</v>
      </c>
      <c r="PNG5" t="s">
        <v>60495</v>
      </c>
      <c r="PNI5" t="s">
        <v>60495</v>
      </c>
      <c r="PNK5" t="s">
        <v>60495</v>
      </c>
      <c r="PNM5" t="s">
        <v>60495</v>
      </c>
      <c r="PNO5" t="s">
        <v>44888</v>
      </c>
      <c r="PNQ5" t="s">
        <v>57679</v>
      </c>
      <c r="PNR5" t="s">
        <v>60495</v>
      </c>
      <c r="PNT5" t="s">
        <v>60495</v>
      </c>
      <c r="PNV5" t="s">
        <v>60495</v>
      </c>
      <c r="PNX5" t="s">
        <v>60495</v>
      </c>
      <c r="PNZ5" t="s">
        <v>58600</v>
      </c>
      <c r="POA5" t="s">
        <v>60495</v>
      </c>
      <c r="POC5" t="s">
        <v>60495</v>
      </c>
      <c r="POE5" t="s">
        <v>60495</v>
      </c>
      <c r="POG5" t="s">
        <v>60495</v>
      </c>
      <c r="POI5" t="s">
        <v>60495</v>
      </c>
      <c r="POK5" t="s">
        <v>60495</v>
      </c>
      <c r="POM5" t="s">
        <v>60495</v>
      </c>
      <c r="POO5" t="s">
        <v>60495</v>
      </c>
      <c r="POQ5" t="s">
        <v>60495</v>
      </c>
      <c r="POS5" t="s">
        <v>60495</v>
      </c>
      <c r="POU5" t="s">
        <v>60495</v>
      </c>
      <c r="POW5" t="s">
        <v>60495</v>
      </c>
      <c r="POY5" t="s">
        <v>60495</v>
      </c>
      <c r="PPA5" t="s">
        <v>60495</v>
      </c>
      <c r="PPC5" t="s">
        <v>60495</v>
      </c>
      <c r="PPE5" t="s">
        <v>60495</v>
      </c>
      <c r="PPG5" t="s">
        <v>60495</v>
      </c>
      <c r="PPI5" t="s">
        <v>60495</v>
      </c>
      <c r="PPK5" t="s">
        <v>60495</v>
      </c>
      <c r="PPM5" t="s">
        <v>60495</v>
      </c>
      <c r="PPO5" t="s">
        <v>60495</v>
      </c>
      <c r="PPQ5" t="s">
        <v>60495</v>
      </c>
      <c r="PPS5" t="s">
        <v>60495</v>
      </c>
      <c r="PPU5" t="s">
        <v>60495</v>
      </c>
      <c r="PPW5" t="s">
        <v>60495</v>
      </c>
      <c r="PPY5" t="s">
        <v>60495</v>
      </c>
      <c r="PQA5" t="s">
        <v>60495</v>
      </c>
      <c r="PQC5" t="s">
        <v>60495</v>
      </c>
      <c r="PQE5" t="s">
        <v>60495</v>
      </c>
      <c r="PQG5" t="s">
        <v>60495</v>
      </c>
      <c r="PQI5" t="s">
        <v>60495</v>
      </c>
      <c r="PQK5" t="s">
        <v>60495</v>
      </c>
      <c r="PQM5" t="s">
        <v>60495</v>
      </c>
      <c r="PQO5" t="s">
        <v>60495</v>
      </c>
      <c r="PQQ5" t="s">
        <v>60495</v>
      </c>
      <c r="PQS5" t="s">
        <v>43572</v>
      </c>
      <c r="PQT5" t="s">
        <v>60495</v>
      </c>
      <c r="PQV5" t="s">
        <v>60495</v>
      </c>
      <c r="PQX5" t="s">
        <v>60495</v>
      </c>
      <c r="PQZ5" t="s">
        <v>60495</v>
      </c>
      <c r="PRB5" t="s">
        <v>55203</v>
      </c>
      <c r="PRC5" t="s">
        <v>59535</v>
      </c>
      <c r="PRD5" t="s">
        <v>60495</v>
      </c>
      <c r="PRF5" t="s">
        <v>60495</v>
      </c>
      <c r="PRH5" t="s">
        <v>60495</v>
      </c>
      <c r="PRJ5" t="s">
        <v>60495</v>
      </c>
      <c r="PRL5" t="s">
        <v>60495</v>
      </c>
      <c r="PRN5" t="s">
        <v>60495</v>
      </c>
      <c r="PRP5" t="s">
        <v>60495</v>
      </c>
      <c r="PRR5" t="s">
        <v>60495</v>
      </c>
      <c r="PRT5" t="s">
        <v>36264</v>
      </c>
      <c r="PRU5" t="s">
        <v>60495</v>
      </c>
      <c r="PRW5" t="s">
        <v>60495</v>
      </c>
      <c r="PRY5" t="s">
        <v>60495</v>
      </c>
      <c r="PSA5" t="s">
        <v>60495</v>
      </c>
      <c r="PSC5" t="s">
        <v>60495</v>
      </c>
      <c r="PSE5" t="s">
        <v>27197</v>
      </c>
      <c r="PSF5" t="s">
        <v>60495</v>
      </c>
      <c r="PSH5" t="s">
        <v>60495</v>
      </c>
      <c r="PSJ5" t="s">
        <v>60495</v>
      </c>
      <c r="PSL5" t="s">
        <v>60495</v>
      </c>
      <c r="PSN5" t="s">
        <v>60495</v>
      </c>
      <c r="PSP5" t="s">
        <v>60495</v>
      </c>
      <c r="PSR5" t="s">
        <v>60495</v>
      </c>
      <c r="PST5" t="s">
        <v>34907</v>
      </c>
      <c r="PSU5" t="s">
        <v>60495</v>
      </c>
      <c r="PSW5" t="s">
        <v>60495</v>
      </c>
      <c r="PSY5" t="s">
        <v>60495</v>
      </c>
      <c r="PTA5" t="s">
        <v>60495</v>
      </c>
      <c r="PTC5" t="s">
        <v>60495</v>
      </c>
      <c r="PTE5" t="s">
        <v>60495</v>
      </c>
      <c r="PTG5" t="s">
        <v>60495</v>
      </c>
      <c r="PTI5" t="s">
        <v>60495</v>
      </c>
      <c r="PTK5" t="s">
        <v>60495</v>
      </c>
      <c r="PTM5" t="s">
        <v>60495</v>
      </c>
      <c r="PTO5" t="s">
        <v>60495</v>
      </c>
      <c r="PTQ5" t="s">
        <v>60495</v>
      </c>
      <c r="PTS5" t="s">
        <v>60495</v>
      </c>
      <c r="PTU5" t="s">
        <v>60495</v>
      </c>
      <c r="PTW5" t="s">
        <v>60495</v>
      </c>
      <c r="PTY5" t="s">
        <v>60495</v>
      </c>
      <c r="PUA5" t="s">
        <v>60495</v>
      </c>
      <c r="PUC5" t="s">
        <v>60495</v>
      </c>
      <c r="PUE5" t="s">
        <v>60495</v>
      </c>
      <c r="PUG5" t="s">
        <v>60495</v>
      </c>
      <c r="PUI5" t="s">
        <v>60495</v>
      </c>
      <c r="PUK5" t="s">
        <v>60495</v>
      </c>
      <c r="PUM5" t="s">
        <v>60495</v>
      </c>
      <c r="PUO5" t="s">
        <v>60495</v>
      </c>
      <c r="PUQ5" t="s">
        <v>60495</v>
      </c>
      <c r="PUS5" t="s">
        <v>60495</v>
      </c>
      <c r="PUU5" t="s">
        <v>60495</v>
      </c>
      <c r="PUW5" t="s">
        <v>60495</v>
      </c>
      <c r="PUY5" t="s">
        <v>60495</v>
      </c>
      <c r="PVA5" t="s">
        <v>60495</v>
      </c>
      <c r="PVC5" t="s">
        <v>60495</v>
      </c>
      <c r="PVE5" t="s">
        <v>60495</v>
      </c>
      <c r="PVG5" t="s">
        <v>60495</v>
      </c>
      <c r="PVI5" t="s">
        <v>60495</v>
      </c>
      <c r="PVK5" t="s">
        <v>60495</v>
      </c>
      <c r="PVM5" t="s">
        <v>60495</v>
      </c>
      <c r="PVO5" t="s">
        <v>60495</v>
      </c>
      <c r="PVQ5" t="s">
        <v>60495</v>
      </c>
      <c r="PVS5" t="s">
        <v>60495</v>
      </c>
      <c r="PVU5" t="s">
        <v>60495</v>
      </c>
      <c r="PVW5" t="s">
        <v>60495</v>
      </c>
      <c r="PVY5" t="s">
        <v>60495</v>
      </c>
      <c r="PWA5" t="s">
        <v>36966</v>
      </c>
      <c r="PWB5" t="s">
        <v>60495</v>
      </c>
      <c r="PWD5" t="s">
        <v>60495</v>
      </c>
      <c r="PWF5" t="s">
        <v>60495</v>
      </c>
      <c r="PWH5" t="s">
        <v>60495</v>
      </c>
      <c r="PWJ5" t="s">
        <v>60495</v>
      </c>
      <c r="PWL5" t="s">
        <v>60495</v>
      </c>
      <c r="PWN5" t="s">
        <v>60495</v>
      </c>
      <c r="PWP5" t="s">
        <v>60495</v>
      </c>
      <c r="PWR5" t="s">
        <v>5769</v>
      </c>
      <c r="PWS5" t="s">
        <v>59885</v>
      </c>
      <c r="PWT5" t="s">
        <v>60495</v>
      </c>
      <c r="PWV5" t="s">
        <v>60495</v>
      </c>
      <c r="PWX5" t="s">
        <v>60495</v>
      </c>
      <c r="PWZ5" t="s">
        <v>60495</v>
      </c>
      <c r="PXB5" t="s">
        <v>60495</v>
      </c>
      <c r="PXD5" t="s">
        <v>59901</v>
      </c>
      <c r="PXE5" t="s">
        <v>60495</v>
      </c>
      <c r="PXG5" t="s">
        <v>60495</v>
      </c>
      <c r="PXI5" t="s">
        <v>60495</v>
      </c>
      <c r="PXK5" t="s">
        <v>60495</v>
      </c>
      <c r="PXM5" t="s">
        <v>26192</v>
      </c>
      <c r="PXN5" t="s">
        <v>60495</v>
      </c>
      <c r="PXP5" t="s">
        <v>60495</v>
      </c>
      <c r="PXR5" t="s">
        <v>60495</v>
      </c>
      <c r="PXT5" t="s">
        <v>60495</v>
      </c>
      <c r="PXV5" t="s">
        <v>60495</v>
      </c>
      <c r="PXX5" t="s">
        <v>60495</v>
      </c>
      <c r="PXZ5" t="s">
        <v>187</v>
      </c>
      <c r="PYA5" t="s">
        <v>60495</v>
      </c>
      <c r="PYC5" t="s">
        <v>60495</v>
      </c>
      <c r="PYE5" t="s">
        <v>60495</v>
      </c>
      <c r="PYG5" t="s">
        <v>60495</v>
      </c>
      <c r="PYI5" t="s">
        <v>60495</v>
      </c>
      <c r="PYK5" t="s">
        <v>60495</v>
      </c>
      <c r="PYM5" t="s">
        <v>60495</v>
      </c>
      <c r="PYO5" t="s">
        <v>60495</v>
      </c>
      <c r="PYQ5" t="s">
        <v>60495</v>
      </c>
      <c r="PYS5" t="s">
        <v>59944</v>
      </c>
      <c r="PYU5" t="s">
        <v>60495</v>
      </c>
      <c r="PYW5" t="s">
        <v>60495</v>
      </c>
      <c r="PYY5" t="s">
        <v>60495</v>
      </c>
      <c r="PZA5" t="s">
        <v>60495</v>
      </c>
      <c r="PZC5" t="s">
        <v>60495</v>
      </c>
      <c r="PZE5" t="s">
        <v>28603</v>
      </c>
      <c r="PZF5" t="s">
        <v>60495</v>
      </c>
      <c r="PZH5" t="s">
        <v>60495</v>
      </c>
      <c r="PZJ5" t="s">
        <v>60495</v>
      </c>
      <c r="PZL5" t="s">
        <v>60495</v>
      </c>
      <c r="PZN5" t="s">
        <v>60495</v>
      </c>
      <c r="PZP5" t="s">
        <v>60495</v>
      </c>
      <c r="PZR5" t="s">
        <v>60495</v>
      </c>
      <c r="PZT5" t="s">
        <v>60495</v>
      </c>
      <c r="PZV5" t="s">
        <v>60495</v>
      </c>
      <c r="PZX5" t="s">
        <v>60495</v>
      </c>
      <c r="PZZ5" t="s">
        <v>60495</v>
      </c>
      <c r="QAB5" t="s">
        <v>60495</v>
      </c>
      <c r="QAD5" t="s">
        <v>60495</v>
      </c>
      <c r="QAF5" t="s">
        <v>60495</v>
      </c>
      <c r="QAH5" t="s">
        <v>60495</v>
      </c>
      <c r="QAJ5" t="s">
        <v>60495</v>
      </c>
      <c r="QAL5" t="s">
        <v>60495</v>
      </c>
      <c r="QAN5" t="s">
        <v>60495</v>
      </c>
      <c r="QAP5" t="s">
        <v>60495</v>
      </c>
      <c r="QAR5" t="s">
        <v>60495</v>
      </c>
      <c r="QAT5" t="s">
        <v>60495</v>
      </c>
      <c r="QAV5" t="s">
        <v>60495</v>
      </c>
      <c r="QAX5" t="s">
        <v>60495</v>
      </c>
      <c r="QAZ5" t="s">
        <v>60495</v>
      </c>
      <c r="QBB5" t="s">
        <v>20502</v>
      </c>
      <c r="QBC5" t="s">
        <v>60495</v>
      </c>
      <c r="QBE5" t="s">
        <v>60495</v>
      </c>
      <c r="QBG5" t="s">
        <v>60495</v>
      </c>
      <c r="QBI5" t="s">
        <v>60495</v>
      </c>
      <c r="QBK5" t="s">
        <v>60495</v>
      </c>
      <c r="QBM5" t="s">
        <v>60495</v>
      </c>
      <c r="QBO5" t="s">
        <v>60495</v>
      </c>
      <c r="QBQ5" t="s">
        <v>60495</v>
      </c>
      <c r="QBS5" t="s">
        <v>60495</v>
      </c>
      <c r="QBU5" t="s">
        <v>60495</v>
      </c>
      <c r="QBW5" t="s">
        <v>60495</v>
      </c>
      <c r="QBY5" t="s">
        <v>60495</v>
      </c>
      <c r="QCA5" t="s">
        <v>60495</v>
      </c>
      <c r="QCC5" t="s">
        <v>60495</v>
      </c>
      <c r="QCE5" t="s">
        <v>60495</v>
      </c>
      <c r="QCG5" t="s">
        <v>60495</v>
      </c>
      <c r="QCI5" t="s">
        <v>60495</v>
      </c>
      <c r="QCK5" t="s">
        <v>60495</v>
      </c>
      <c r="QCM5" t="s">
        <v>6220</v>
      </c>
      <c r="QCN5" t="s">
        <v>60495</v>
      </c>
      <c r="QCP5" t="s">
        <v>31598</v>
      </c>
      <c r="QCQ5" t="s">
        <v>60495</v>
      </c>
      <c r="QCS5" t="s">
        <v>60495</v>
      </c>
      <c r="QCU5" t="s">
        <v>60495</v>
      </c>
      <c r="QCW5" t="s">
        <v>60495</v>
      </c>
      <c r="QCY5" t="s">
        <v>60495</v>
      </c>
      <c r="QDA5" t="s">
        <v>60495</v>
      </c>
      <c r="QDC5" t="s">
        <v>60495</v>
      </c>
      <c r="QDE5" t="s">
        <v>60495</v>
      </c>
      <c r="QDG5" t="s">
        <v>60495</v>
      </c>
      <c r="QDI5" t="s">
        <v>60495</v>
      </c>
      <c r="QDK5" t="s">
        <v>60495</v>
      </c>
      <c r="QDM5" t="s">
        <v>44492</v>
      </c>
      <c r="QDN5" t="s">
        <v>60495</v>
      </c>
      <c r="QDP5" t="s">
        <v>60495</v>
      </c>
      <c r="QDR5" t="s">
        <v>60495</v>
      </c>
      <c r="QDT5" t="s">
        <v>60495</v>
      </c>
      <c r="QDV5" t="s">
        <v>31774</v>
      </c>
      <c r="QDX5" t="s">
        <v>60495</v>
      </c>
      <c r="QDZ5" t="s">
        <v>60495</v>
      </c>
      <c r="QEB5" t="s">
        <v>60495</v>
      </c>
      <c r="QED5" t="s">
        <v>60495</v>
      </c>
      <c r="QEF5" t="s">
        <v>60495</v>
      </c>
      <c r="QEH5" t="s">
        <v>60495</v>
      </c>
      <c r="QEJ5" t="s">
        <v>31822</v>
      </c>
      <c r="QEK5" t="s">
        <v>60495</v>
      </c>
      <c r="QEM5" t="s">
        <v>43637</v>
      </c>
      <c r="QEN5" t="s">
        <v>60495</v>
      </c>
      <c r="QEP5" t="s">
        <v>60495</v>
      </c>
      <c r="QER5" t="s">
        <v>60495</v>
      </c>
      <c r="QET5" t="s">
        <v>60495</v>
      </c>
      <c r="QEV5" t="s">
        <v>32312</v>
      </c>
      <c r="QEW5" t="s">
        <v>60495</v>
      </c>
      <c r="QEY5" t="s">
        <v>60495</v>
      </c>
      <c r="QFA5" t="s">
        <v>60495</v>
      </c>
      <c r="QFC5" t="s">
        <v>60495</v>
      </c>
      <c r="QFE5" t="s">
        <v>60495</v>
      </c>
      <c r="QFG5" t="s">
        <v>60495</v>
      </c>
      <c r="QFI5" t="s">
        <v>60495</v>
      </c>
      <c r="QFK5" t="s">
        <v>393</v>
      </c>
      <c r="QFL5" t="s">
        <v>638</v>
      </c>
      <c r="QFN5" t="s">
        <v>60495</v>
      </c>
      <c r="QFP5" t="s">
        <v>24474</v>
      </c>
      <c r="QFQ5" t="s">
        <v>60495</v>
      </c>
      <c r="QFS5" t="s">
        <v>43652</v>
      </c>
      <c r="QFT5" t="s">
        <v>7746</v>
      </c>
      <c r="QFV5" t="s">
        <v>31192</v>
      </c>
      <c r="QFW5" t="s">
        <v>8599</v>
      </c>
      <c r="QFY5" t="s">
        <v>12391</v>
      </c>
      <c r="QFZ5" t="s">
        <v>10617</v>
      </c>
      <c r="QGB5" t="s">
        <v>60495</v>
      </c>
      <c r="QGD5" t="s">
        <v>58786</v>
      </c>
      <c r="QGE5" t="s">
        <v>60495</v>
      </c>
      <c r="QGG5" t="s">
        <v>16804</v>
      </c>
      <c r="QGH5" t="s">
        <v>47767</v>
      </c>
      <c r="QGJ5" t="s">
        <v>17873</v>
      </c>
      <c r="QGK5" t="s">
        <v>17890</v>
      </c>
      <c r="QGM5" t="s">
        <v>16227</v>
      </c>
      <c r="QGN5" t="s">
        <v>60495</v>
      </c>
      <c r="QGP5" t="s">
        <v>28786</v>
      </c>
      <c r="QGQ5" t="s">
        <v>60495</v>
      </c>
      <c r="QGS5" t="s">
        <v>31414</v>
      </c>
      <c r="QGT5" t="s">
        <v>45691</v>
      </c>
      <c r="QGV5" t="s">
        <v>32371</v>
      </c>
      <c r="QGW5" t="s">
        <v>60495</v>
      </c>
      <c r="QGY5" t="s">
        <v>33348</v>
      </c>
      <c r="QGZ5" t="s">
        <v>60495</v>
      </c>
      <c r="QHB5" t="s">
        <v>33973</v>
      </c>
      <c r="QHC5" t="s">
        <v>60495</v>
      </c>
      <c r="QHE5" t="s">
        <v>34220</v>
      </c>
      <c r="QHF5" t="s">
        <v>31573</v>
      </c>
      <c r="QHH5" t="s">
        <v>33432</v>
      </c>
      <c r="QHI5" t="s">
        <v>60495</v>
      </c>
      <c r="QHK5" t="s">
        <v>60495</v>
      </c>
      <c r="QHM5" t="s">
        <v>35005</v>
      </c>
      <c r="QHN5" t="s">
        <v>6471</v>
      </c>
      <c r="QHP5" t="s">
        <v>35777</v>
      </c>
      <c r="QHQ5" t="s">
        <v>60495</v>
      </c>
      <c r="QHS5" t="s">
        <v>36012</v>
      </c>
      <c r="QHT5" t="s">
        <v>36427</v>
      </c>
      <c r="QHV5" t="s">
        <v>2564</v>
      </c>
      <c r="QHW5" t="s">
        <v>36284</v>
      </c>
      <c r="QHY5" t="s">
        <v>39475</v>
      </c>
      <c r="QHZ5" t="s">
        <v>39533</v>
      </c>
      <c r="QIB5" t="s">
        <v>39565</v>
      </c>
      <c r="QIC5" t="s">
        <v>60495</v>
      </c>
      <c r="QIE5" t="s">
        <v>42461</v>
      </c>
      <c r="QIF5" t="s">
        <v>60495</v>
      </c>
      <c r="QIH5" t="s">
        <v>46306</v>
      </c>
      <c r="QII5" t="s">
        <v>60495</v>
      </c>
      <c r="QIK5" t="s">
        <v>34211</v>
      </c>
      <c r="QIL5" t="s">
        <v>52525</v>
      </c>
      <c r="QIN5" t="s">
        <v>54584</v>
      </c>
      <c r="QIO5" t="s">
        <v>5295</v>
      </c>
      <c r="QIQ5" t="s">
        <v>56635</v>
      </c>
      <c r="QIR5" t="s">
        <v>55663</v>
      </c>
      <c r="QIT5" t="s">
        <v>55874</v>
      </c>
      <c r="QIU5" t="s">
        <v>60495</v>
      </c>
      <c r="QIW5" t="s">
        <v>24833</v>
      </c>
      <c r="QIX5" t="s">
        <v>60495</v>
      </c>
      <c r="QIZ5" t="s">
        <v>2932</v>
      </c>
      <c r="QJA5" t="s">
        <v>60398</v>
      </c>
      <c r="QJC5" t="s">
        <v>5590</v>
      </c>
      <c r="QJD5" t="s">
        <v>60495</v>
      </c>
      <c r="QJF5" t="s">
        <v>60495</v>
      </c>
      <c r="QJH5" t="s">
        <v>60406</v>
      </c>
      <c r="QJI5" t="s">
        <v>17021</v>
      </c>
      <c r="QJK5" t="s">
        <v>60495</v>
      </c>
      <c r="QJM5" t="s">
        <v>21789</v>
      </c>
      <c r="QJN5" t="s">
        <v>60495</v>
      </c>
      <c r="QJP5" t="s">
        <v>60413</v>
      </c>
      <c r="QJQ5" t="s">
        <v>21898</v>
      </c>
      <c r="QJS5" t="s">
        <v>60495</v>
      </c>
      <c r="QJU5" t="s">
        <v>33816</v>
      </c>
      <c r="QJV5" t="s">
        <v>60495</v>
      </c>
      <c r="QJX5" t="s">
        <v>60495</v>
      </c>
      <c r="QJZ5" t="s">
        <v>36015</v>
      </c>
      <c r="QKA5" t="s">
        <v>60495</v>
      </c>
      <c r="QKC5" t="s">
        <v>60495</v>
      </c>
      <c r="QKE5" t="s">
        <v>39261</v>
      </c>
      <c r="QKF5" t="s">
        <v>60495</v>
      </c>
      <c r="QKH5" t="s">
        <v>60449</v>
      </c>
      <c r="QKI5" t="s">
        <v>60495</v>
      </c>
      <c r="QKK5" t="s">
        <v>60453</v>
      </c>
      <c r="QKL5" t="s">
        <v>60495</v>
      </c>
      <c r="QKN5" t="s">
        <v>60495</v>
      </c>
      <c r="QKP5" t="s">
        <v>10461</v>
      </c>
      <c r="QKQ5" t="s">
        <v>60495</v>
      </c>
      <c r="QKS5" t="s">
        <v>60400</v>
      </c>
      <c r="QKT5" t="s">
        <v>33240</v>
      </c>
      <c r="QKV5" t="s">
        <v>60495</v>
      </c>
      <c r="QKX5" t="s">
        <v>4851</v>
      </c>
      <c r="QKY5" t="s">
        <v>60495</v>
      </c>
      <c r="QLA5" t="s">
        <v>60495</v>
      </c>
      <c r="QLC5" t="s">
        <v>60495</v>
      </c>
      <c r="QLE5" t="s">
        <v>22720</v>
      </c>
      <c r="QLF5" t="s">
        <v>60495</v>
      </c>
      <c r="QLH5" t="s">
        <v>60495</v>
      </c>
      <c r="QLJ5" t="s">
        <v>60495</v>
      </c>
      <c r="QLL5" t="s">
        <v>60430</v>
      </c>
      <c r="QLM5" t="s">
        <v>60495</v>
      </c>
      <c r="QLO5" t="s">
        <v>60436</v>
      </c>
      <c r="QLP5" t="s">
        <v>46304</v>
      </c>
      <c r="QLR5" t="s">
        <v>39259</v>
      </c>
      <c r="QLS5" t="s">
        <v>60495</v>
      </c>
      <c r="QLU5" t="s">
        <v>60443</v>
      </c>
      <c r="QLV5" t="s">
        <v>32952</v>
      </c>
      <c r="QLX5" t="s">
        <v>60495</v>
      </c>
      <c r="QLZ5" t="s">
        <v>60451</v>
      </c>
      <c r="QMA5" t="s">
        <v>60495</v>
      </c>
      <c r="QMC5" t="s">
        <v>60455</v>
      </c>
      <c r="QMD5" t="s">
        <v>60495</v>
      </c>
      <c r="QMF5" t="s">
        <v>33092</v>
      </c>
      <c r="QMG5" t="s">
        <v>60495</v>
      </c>
      <c r="QMI5" t="s">
        <v>33121</v>
      </c>
      <c r="QMJ5" t="s">
        <v>60495</v>
      </c>
      <c r="QML5" t="s">
        <v>60463</v>
      </c>
      <c r="QMM5" t="s">
        <v>60495</v>
      </c>
      <c r="QMO5" t="s">
        <v>60495</v>
      </c>
      <c r="QMQ5" t="s">
        <v>60495</v>
      </c>
      <c r="QMS5" t="s">
        <v>60495</v>
      </c>
      <c r="QMU5" t="s">
        <v>60495</v>
      </c>
      <c r="QMW5" t="s">
        <v>60476</v>
      </c>
      <c r="QMX5" t="s">
        <v>60495</v>
      </c>
      <c r="QMZ5" t="s">
        <v>60420</v>
      </c>
      <c r="QNA5" t="s">
        <v>60495</v>
      </c>
      <c r="QNC5" t="s">
        <v>60495</v>
      </c>
      <c r="QNE5" t="s">
        <v>60495</v>
      </c>
      <c r="QNG5" t="s">
        <v>60433</v>
      </c>
      <c r="QNH5" t="s">
        <v>60495</v>
      </c>
      <c r="QNJ5" t="s">
        <v>60495</v>
      </c>
      <c r="QNL5" t="s">
        <v>60495</v>
      </c>
      <c r="QNN5" t="s">
        <v>60416</v>
      </c>
      <c r="QNO5" t="s">
        <v>60495</v>
      </c>
      <c r="QNQ5" t="s">
        <v>60495</v>
      </c>
      <c r="QNS5" t="s">
        <v>60495</v>
      </c>
      <c r="QNU5" t="s">
        <v>60428</v>
      </c>
      <c r="QNV5" t="s">
        <v>60495</v>
      </c>
      <c r="QNX5" t="s">
        <v>60467</v>
      </c>
      <c r="QNY5" t="s">
        <v>60495</v>
      </c>
      <c r="QOA5" t="s">
        <v>60470</v>
      </c>
      <c r="QOB5" t="s">
        <v>60495</v>
      </c>
      <c r="QOD5" t="s">
        <v>60495</v>
      </c>
      <c r="QOF5" t="s">
        <v>33124</v>
      </c>
      <c r="QOG5" t="s">
        <v>60495</v>
      </c>
      <c r="QOI5" t="s">
        <v>60495</v>
      </c>
      <c r="QOK5" t="s">
        <v>39314</v>
      </c>
      <c r="QOL5" t="s">
        <v>60495</v>
      </c>
      <c r="QON5" t="s">
        <v>33358</v>
      </c>
      <c r="QOO5" t="s">
        <v>60495</v>
      </c>
      <c r="QOQ5" t="s">
        <v>60495</v>
      </c>
      <c r="QOS5" t="s">
        <v>60495</v>
      </c>
      <c r="QOU5" t="s">
        <v>13518</v>
      </c>
      <c r="QOV5" t="s">
        <v>60495</v>
      </c>
      <c r="QOX5" t="s">
        <v>60490</v>
      </c>
      <c r="QOY5" t="s">
        <v>60495</v>
      </c>
    </row>
    <row r="6" spans="1:11909" x14ac:dyDescent="0.25">
      <c r="A6" s="2">
        <v>71007</v>
      </c>
    </row>
    <row r="7" spans="1:11909" x14ac:dyDescent="0.25">
      <c r="A7" s="2">
        <v>109767</v>
      </c>
    </row>
    <row r="8" spans="1:11909" x14ac:dyDescent="0.25">
      <c r="A8" s="2">
        <v>118349</v>
      </c>
    </row>
    <row r="9" spans="1:11909" x14ac:dyDescent="0.25">
      <c r="A9" s="2">
        <v>120302</v>
      </c>
    </row>
    <row r="10" spans="1:11909" x14ac:dyDescent="0.25">
      <c r="A10" s="2">
        <v>155191</v>
      </c>
    </row>
    <row r="11" spans="1:11909" x14ac:dyDescent="0.25">
      <c r="A11" s="2">
        <v>155201</v>
      </c>
    </row>
    <row r="12" spans="1:11909" x14ac:dyDescent="0.25">
      <c r="A12" s="2">
        <v>155273</v>
      </c>
    </row>
    <row r="13" spans="1:11909" x14ac:dyDescent="0.25">
      <c r="A13" s="2">
        <v>155289</v>
      </c>
    </row>
    <row r="14" spans="1:11909" x14ac:dyDescent="0.25">
      <c r="A14" s="2">
        <v>155971</v>
      </c>
    </row>
    <row r="15" spans="1:11909" x14ac:dyDescent="0.25">
      <c r="A15" s="2">
        <v>156057</v>
      </c>
    </row>
    <row r="16" spans="1:11909" x14ac:dyDescent="0.25">
      <c r="A16" s="2">
        <v>156658</v>
      </c>
    </row>
    <row r="17" spans="1:1" x14ac:dyDescent="0.25">
      <c r="A17" s="2">
        <v>156671</v>
      </c>
    </row>
    <row r="18" spans="1:1" x14ac:dyDescent="0.25">
      <c r="A18" s="2">
        <v>156688</v>
      </c>
    </row>
    <row r="19" spans="1:1" x14ac:dyDescent="0.25">
      <c r="A19" s="2">
        <v>156748</v>
      </c>
    </row>
    <row r="20" spans="1:1" x14ac:dyDescent="0.25">
      <c r="A20" s="2">
        <v>156805</v>
      </c>
    </row>
    <row r="21" spans="1:1" x14ac:dyDescent="0.25">
      <c r="A21" s="2">
        <v>156820</v>
      </c>
    </row>
    <row r="22" spans="1:1" x14ac:dyDescent="0.25">
      <c r="A22" s="2">
        <v>157039</v>
      </c>
    </row>
    <row r="23" spans="1:1" x14ac:dyDescent="0.25">
      <c r="A23" s="2">
        <v>157054</v>
      </c>
    </row>
    <row r="24" spans="1:1" x14ac:dyDescent="0.25">
      <c r="A24" s="2">
        <v>157060</v>
      </c>
    </row>
    <row r="25" spans="1:1" x14ac:dyDescent="0.25">
      <c r="A25" s="2">
        <v>157084</v>
      </c>
    </row>
    <row r="26" spans="1:1" x14ac:dyDescent="0.25">
      <c r="A26" s="2">
        <v>160718</v>
      </c>
    </row>
    <row r="27" spans="1:1" x14ac:dyDescent="0.25">
      <c r="A27" s="2">
        <v>160734</v>
      </c>
    </row>
    <row r="28" spans="1:1" x14ac:dyDescent="0.25">
      <c r="A28" s="2">
        <v>160745</v>
      </c>
    </row>
    <row r="29" spans="1:1" x14ac:dyDescent="0.25">
      <c r="A29" s="2">
        <v>160806</v>
      </c>
    </row>
    <row r="30" spans="1:1" x14ac:dyDescent="0.25">
      <c r="A30" s="2">
        <v>168005</v>
      </c>
    </row>
    <row r="31" spans="1:1" x14ac:dyDescent="0.25">
      <c r="A31" s="2">
        <v>168018</v>
      </c>
    </row>
    <row r="32" spans="1:1" x14ac:dyDescent="0.25">
      <c r="A32" s="2">
        <v>168098</v>
      </c>
    </row>
    <row r="33" spans="1:1" x14ac:dyDescent="0.25">
      <c r="A33" s="2">
        <v>168099</v>
      </c>
    </row>
    <row r="34" spans="1:1" x14ac:dyDescent="0.25">
      <c r="A34" s="2">
        <v>168171</v>
      </c>
    </row>
    <row r="35" spans="1:1" x14ac:dyDescent="0.25">
      <c r="A35" s="2">
        <v>168215</v>
      </c>
    </row>
    <row r="36" spans="1:1" x14ac:dyDescent="0.25">
      <c r="A36" s="2">
        <v>179840</v>
      </c>
    </row>
    <row r="37" spans="1:1" x14ac:dyDescent="0.25">
      <c r="A37" s="2">
        <v>179953</v>
      </c>
    </row>
    <row r="38" spans="1:1" x14ac:dyDescent="0.25">
      <c r="A38" s="2">
        <v>179972</v>
      </c>
    </row>
    <row r="39" spans="1:1" x14ac:dyDescent="0.25">
      <c r="A39" s="2">
        <v>179982</v>
      </c>
    </row>
    <row r="40" spans="1:1" x14ac:dyDescent="0.25">
      <c r="A40" s="2">
        <v>179987</v>
      </c>
    </row>
    <row r="41" spans="1:1" x14ac:dyDescent="0.25">
      <c r="A41" s="2">
        <v>180551</v>
      </c>
    </row>
    <row r="42" spans="1:1" x14ac:dyDescent="0.25">
      <c r="A42" s="2">
        <v>182158</v>
      </c>
    </row>
    <row r="43" spans="1:1" x14ac:dyDescent="0.25">
      <c r="A43" s="2">
        <v>189253</v>
      </c>
    </row>
    <row r="44" spans="1:1" x14ac:dyDescent="0.25">
      <c r="A44" s="2">
        <v>191215</v>
      </c>
    </row>
    <row r="45" spans="1:1" x14ac:dyDescent="0.25">
      <c r="A45" s="2">
        <v>191235</v>
      </c>
    </row>
    <row r="46" spans="1:1" x14ac:dyDescent="0.25">
      <c r="A46" s="2">
        <v>191263</v>
      </c>
    </row>
    <row r="47" spans="1:1" x14ac:dyDescent="0.25">
      <c r="A47" s="2">
        <v>191288</v>
      </c>
    </row>
    <row r="48" spans="1:1" x14ac:dyDescent="0.25">
      <c r="A48" s="2">
        <v>191524</v>
      </c>
    </row>
    <row r="49" spans="1:1" x14ac:dyDescent="0.25">
      <c r="A49" s="2">
        <v>195583</v>
      </c>
    </row>
    <row r="50" spans="1:1" x14ac:dyDescent="0.25">
      <c r="A50" s="2">
        <v>195595</v>
      </c>
    </row>
    <row r="51" spans="1:1" x14ac:dyDescent="0.25">
      <c r="A51" s="2">
        <v>200325</v>
      </c>
    </row>
    <row r="52" spans="1:1" x14ac:dyDescent="0.25">
      <c r="A52" s="2">
        <v>200351</v>
      </c>
    </row>
    <row r="53" spans="1:1" x14ac:dyDescent="0.25">
      <c r="A53" s="2">
        <v>203067</v>
      </c>
    </row>
    <row r="54" spans="1:1" x14ac:dyDescent="0.25">
      <c r="A54" s="2">
        <v>203093</v>
      </c>
    </row>
    <row r="55" spans="1:1" x14ac:dyDescent="0.25">
      <c r="A55" s="2">
        <v>203108</v>
      </c>
    </row>
    <row r="56" spans="1:1" x14ac:dyDescent="0.25">
      <c r="A56" s="2">
        <v>203142</v>
      </c>
    </row>
    <row r="57" spans="1:1" x14ac:dyDescent="0.25">
      <c r="A57" s="2">
        <v>203338</v>
      </c>
    </row>
    <row r="58" spans="1:1" x14ac:dyDescent="0.25">
      <c r="A58" s="2">
        <v>203361</v>
      </c>
    </row>
    <row r="59" spans="1:1" x14ac:dyDescent="0.25">
      <c r="A59" s="2">
        <v>203586</v>
      </c>
    </row>
    <row r="60" spans="1:1" x14ac:dyDescent="0.25">
      <c r="A60" s="2">
        <v>209022</v>
      </c>
    </row>
    <row r="61" spans="1:1" x14ac:dyDescent="0.25">
      <c r="A61" s="2">
        <v>210544</v>
      </c>
    </row>
    <row r="62" spans="1:1" x14ac:dyDescent="0.25">
      <c r="A62" s="2">
        <v>210545</v>
      </c>
    </row>
    <row r="63" spans="1:1" x14ac:dyDescent="0.25">
      <c r="A63" s="2">
        <v>210995</v>
      </c>
    </row>
    <row r="64" spans="1:1" x14ac:dyDescent="0.25">
      <c r="A64" s="2">
        <v>210996</v>
      </c>
    </row>
    <row r="65" spans="1:1" x14ac:dyDescent="0.25">
      <c r="A65" s="2">
        <v>211645</v>
      </c>
    </row>
    <row r="66" spans="1:1" x14ac:dyDescent="0.25">
      <c r="A66" s="2">
        <v>211646</v>
      </c>
    </row>
    <row r="67" spans="1:1" x14ac:dyDescent="0.25">
      <c r="A67" s="2">
        <v>211769</v>
      </c>
    </row>
    <row r="68" spans="1:1" x14ac:dyDescent="0.25">
      <c r="A68" s="2">
        <v>211777</v>
      </c>
    </row>
    <row r="69" spans="1:1" x14ac:dyDescent="0.25">
      <c r="A69" s="2">
        <v>211784</v>
      </c>
    </row>
    <row r="70" spans="1:1" x14ac:dyDescent="0.25">
      <c r="A70" s="2">
        <v>211798</v>
      </c>
    </row>
    <row r="71" spans="1:1" x14ac:dyDescent="0.25">
      <c r="A71" s="2">
        <v>211809</v>
      </c>
    </row>
    <row r="72" spans="1:1" x14ac:dyDescent="0.25">
      <c r="A72" s="2">
        <v>211810</v>
      </c>
    </row>
    <row r="73" spans="1:1" x14ac:dyDescent="0.25">
      <c r="A73" s="2">
        <v>211839</v>
      </c>
    </row>
    <row r="74" spans="1:1" x14ac:dyDescent="0.25">
      <c r="A74" s="2">
        <v>211952</v>
      </c>
    </row>
    <row r="75" spans="1:1" x14ac:dyDescent="0.25">
      <c r="A75" s="2">
        <v>211963</v>
      </c>
    </row>
    <row r="76" spans="1:1" x14ac:dyDescent="0.25">
      <c r="A76" s="2">
        <v>211970</v>
      </c>
    </row>
    <row r="77" spans="1:1" x14ac:dyDescent="0.25">
      <c r="A77" s="2">
        <v>211979</v>
      </c>
    </row>
    <row r="78" spans="1:1" x14ac:dyDescent="0.25">
      <c r="A78" s="2">
        <v>212002</v>
      </c>
    </row>
    <row r="79" spans="1:1" x14ac:dyDescent="0.25">
      <c r="A79" s="2">
        <v>212021</v>
      </c>
    </row>
    <row r="80" spans="1:1" x14ac:dyDescent="0.25">
      <c r="A80" s="2">
        <v>212035</v>
      </c>
    </row>
    <row r="81" spans="1:1" x14ac:dyDescent="0.25">
      <c r="A81" s="2">
        <v>212056</v>
      </c>
    </row>
    <row r="82" spans="1:1" x14ac:dyDescent="0.25">
      <c r="A82" s="2">
        <v>212063</v>
      </c>
    </row>
    <row r="83" spans="1:1" x14ac:dyDescent="0.25">
      <c r="A83" s="2">
        <v>212076</v>
      </c>
    </row>
    <row r="84" spans="1:1" x14ac:dyDescent="0.25">
      <c r="A84" s="2">
        <v>212080</v>
      </c>
    </row>
    <row r="85" spans="1:1" x14ac:dyDescent="0.25">
      <c r="A85" s="2">
        <v>212102</v>
      </c>
    </row>
    <row r="86" spans="1:1" x14ac:dyDescent="0.25">
      <c r="A86" s="2">
        <v>212103</v>
      </c>
    </row>
    <row r="87" spans="1:1" x14ac:dyDescent="0.25">
      <c r="A87" s="2">
        <v>212132</v>
      </c>
    </row>
    <row r="88" spans="1:1" x14ac:dyDescent="0.25">
      <c r="A88" s="2">
        <v>213657</v>
      </c>
    </row>
    <row r="89" spans="1:1" x14ac:dyDescent="0.25">
      <c r="A89" s="2">
        <v>213658</v>
      </c>
    </row>
    <row r="90" spans="1:1" x14ac:dyDescent="0.25">
      <c r="A90" s="2">
        <v>213685</v>
      </c>
    </row>
    <row r="91" spans="1:1" x14ac:dyDescent="0.25">
      <c r="A91" s="2">
        <v>213691</v>
      </c>
    </row>
    <row r="92" spans="1:1" x14ac:dyDescent="0.25">
      <c r="A92" s="2">
        <v>214595</v>
      </c>
    </row>
    <row r="93" spans="1:1" x14ac:dyDescent="0.25">
      <c r="A93" s="2">
        <v>214601</v>
      </c>
    </row>
    <row r="94" spans="1:1" x14ac:dyDescent="0.25">
      <c r="A94" s="2">
        <v>214619</v>
      </c>
    </row>
    <row r="95" spans="1:1" x14ac:dyDescent="0.25">
      <c r="A95" s="2">
        <v>214627</v>
      </c>
    </row>
    <row r="96" spans="1:1" x14ac:dyDescent="0.25">
      <c r="A96" s="2">
        <v>214669</v>
      </c>
    </row>
    <row r="97" spans="1:1" x14ac:dyDescent="0.25">
      <c r="A97" s="2">
        <v>218846</v>
      </c>
    </row>
    <row r="98" spans="1:1" x14ac:dyDescent="0.25">
      <c r="A98" s="2">
        <v>218879</v>
      </c>
    </row>
    <row r="99" spans="1:1" x14ac:dyDescent="0.25">
      <c r="A99" s="2">
        <v>225448</v>
      </c>
    </row>
    <row r="100" spans="1:1" x14ac:dyDescent="0.25">
      <c r="A100" s="2">
        <v>225466</v>
      </c>
    </row>
    <row r="101" spans="1:1" x14ac:dyDescent="0.25">
      <c r="A101" s="2">
        <v>225489</v>
      </c>
    </row>
    <row r="102" spans="1:1" x14ac:dyDescent="0.25">
      <c r="A102" s="2">
        <v>225526</v>
      </c>
    </row>
    <row r="103" spans="1:1" x14ac:dyDescent="0.25">
      <c r="A103" s="2">
        <v>225533</v>
      </c>
    </row>
    <row r="104" spans="1:1" x14ac:dyDescent="0.25">
      <c r="A104" s="2">
        <v>225540</v>
      </c>
    </row>
    <row r="105" spans="1:1" x14ac:dyDescent="0.25">
      <c r="A105" s="2">
        <v>225574</v>
      </c>
    </row>
    <row r="106" spans="1:1" x14ac:dyDescent="0.25">
      <c r="A106" s="2">
        <v>225625</v>
      </c>
    </row>
    <row r="107" spans="1:1" x14ac:dyDescent="0.25">
      <c r="A107" s="2">
        <v>225629</v>
      </c>
    </row>
    <row r="108" spans="1:1" x14ac:dyDescent="0.25">
      <c r="A108" s="2">
        <v>225640</v>
      </c>
    </row>
    <row r="109" spans="1:1" x14ac:dyDescent="0.25">
      <c r="A109" s="2">
        <v>225667</v>
      </c>
    </row>
    <row r="110" spans="1:1" x14ac:dyDescent="0.25">
      <c r="A110" s="2">
        <v>225766</v>
      </c>
    </row>
    <row r="111" spans="1:1" x14ac:dyDescent="0.25">
      <c r="A111" s="2">
        <v>225804</v>
      </c>
    </row>
    <row r="112" spans="1:1" x14ac:dyDescent="0.25">
      <c r="A112" s="2">
        <v>225918</v>
      </c>
    </row>
    <row r="113" spans="1:1" x14ac:dyDescent="0.25">
      <c r="A113" s="2">
        <v>226012</v>
      </c>
    </row>
    <row r="114" spans="1:1" x14ac:dyDescent="0.25">
      <c r="A114" s="2">
        <v>226102</v>
      </c>
    </row>
    <row r="115" spans="1:1" x14ac:dyDescent="0.25">
      <c r="A115" s="2">
        <v>226152</v>
      </c>
    </row>
    <row r="116" spans="1:1" x14ac:dyDescent="0.25">
      <c r="A116" s="2">
        <v>226166</v>
      </c>
    </row>
    <row r="117" spans="1:1" x14ac:dyDescent="0.25">
      <c r="A117" s="2">
        <v>226286</v>
      </c>
    </row>
    <row r="118" spans="1:1" x14ac:dyDescent="0.25">
      <c r="A118" s="2">
        <v>226287</v>
      </c>
    </row>
    <row r="119" spans="1:1" x14ac:dyDescent="0.25">
      <c r="A119" s="2">
        <v>226303</v>
      </c>
    </row>
    <row r="120" spans="1:1" x14ac:dyDescent="0.25">
      <c r="A120" s="2">
        <v>226339</v>
      </c>
    </row>
    <row r="121" spans="1:1" x14ac:dyDescent="0.25">
      <c r="A121" s="2">
        <v>226401</v>
      </c>
    </row>
    <row r="122" spans="1:1" x14ac:dyDescent="0.25">
      <c r="A122" s="2">
        <v>226402</v>
      </c>
    </row>
    <row r="123" spans="1:1" x14ac:dyDescent="0.25">
      <c r="A123" s="2">
        <v>226418</v>
      </c>
    </row>
    <row r="124" spans="1:1" x14ac:dyDescent="0.25">
      <c r="A124" s="2">
        <v>226441</v>
      </c>
    </row>
    <row r="125" spans="1:1" x14ac:dyDescent="0.25">
      <c r="A125" s="2">
        <v>226659</v>
      </c>
    </row>
    <row r="126" spans="1:1" x14ac:dyDescent="0.25">
      <c r="A126" s="2">
        <v>226733</v>
      </c>
    </row>
    <row r="127" spans="1:1" x14ac:dyDescent="0.25">
      <c r="A127" s="2">
        <v>226742</v>
      </c>
    </row>
    <row r="128" spans="1:1" x14ac:dyDescent="0.25">
      <c r="A128" s="2">
        <v>227057</v>
      </c>
    </row>
    <row r="129" spans="1:1" x14ac:dyDescent="0.25">
      <c r="A129" s="2">
        <v>228337</v>
      </c>
    </row>
    <row r="130" spans="1:1" x14ac:dyDescent="0.25">
      <c r="A130" s="2">
        <v>229298</v>
      </c>
    </row>
    <row r="131" spans="1:1" x14ac:dyDescent="0.25">
      <c r="A131" s="2">
        <v>229299</v>
      </c>
    </row>
    <row r="132" spans="1:1" x14ac:dyDescent="0.25">
      <c r="A132" s="2">
        <v>229304</v>
      </c>
    </row>
    <row r="133" spans="1:1" x14ac:dyDescent="0.25">
      <c r="A133" s="2">
        <v>229327</v>
      </c>
    </row>
    <row r="134" spans="1:1" x14ac:dyDescent="0.25">
      <c r="A134" s="2">
        <v>229357</v>
      </c>
    </row>
    <row r="135" spans="1:1" x14ac:dyDescent="0.25">
      <c r="A135" s="2">
        <v>229365</v>
      </c>
    </row>
    <row r="136" spans="1:1" x14ac:dyDescent="0.25">
      <c r="A136" s="2">
        <v>229402</v>
      </c>
    </row>
    <row r="137" spans="1:1" x14ac:dyDescent="0.25">
      <c r="A137" s="2">
        <v>229866</v>
      </c>
    </row>
    <row r="138" spans="1:1" x14ac:dyDescent="0.25">
      <c r="A138" s="2">
        <v>229905</v>
      </c>
    </row>
    <row r="139" spans="1:1" x14ac:dyDescent="0.25">
      <c r="A139" s="2">
        <v>229931</v>
      </c>
    </row>
    <row r="140" spans="1:1" x14ac:dyDescent="0.25">
      <c r="A140" s="2">
        <v>231304</v>
      </c>
    </row>
    <row r="141" spans="1:1" x14ac:dyDescent="0.25">
      <c r="A141" s="2">
        <v>231328</v>
      </c>
    </row>
    <row r="142" spans="1:1" x14ac:dyDescent="0.25">
      <c r="A142" s="2">
        <v>231348</v>
      </c>
    </row>
    <row r="143" spans="1:1" x14ac:dyDescent="0.25">
      <c r="A143" s="2">
        <v>231356</v>
      </c>
    </row>
    <row r="144" spans="1:1" x14ac:dyDescent="0.25">
      <c r="A144" s="2">
        <v>231375</v>
      </c>
    </row>
    <row r="145" spans="1:1" x14ac:dyDescent="0.25">
      <c r="A145" s="2">
        <v>231381</v>
      </c>
    </row>
    <row r="146" spans="1:1" x14ac:dyDescent="0.25">
      <c r="A146" s="2">
        <v>231392</v>
      </c>
    </row>
    <row r="147" spans="1:1" x14ac:dyDescent="0.25">
      <c r="A147" s="2">
        <v>231399</v>
      </c>
    </row>
    <row r="148" spans="1:1" x14ac:dyDescent="0.25">
      <c r="A148" s="2">
        <v>232546</v>
      </c>
    </row>
    <row r="149" spans="1:1" x14ac:dyDescent="0.25">
      <c r="A149" s="2">
        <v>232551</v>
      </c>
    </row>
    <row r="150" spans="1:1" x14ac:dyDescent="0.25">
      <c r="A150" s="2">
        <v>232560</v>
      </c>
    </row>
    <row r="151" spans="1:1" x14ac:dyDescent="0.25">
      <c r="A151" s="2">
        <v>232649</v>
      </c>
    </row>
    <row r="152" spans="1:1" x14ac:dyDescent="0.25">
      <c r="A152" s="2">
        <v>232668</v>
      </c>
    </row>
    <row r="153" spans="1:1" x14ac:dyDescent="0.25">
      <c r="A153" s="2">
        <v>232683</v>
      </c>
    </row>
    <row r="154" spans="1:1" x14ac:dyDescent="0.25">
      <c r="A154" s="2">
        <v>232692</v>
      </c>
    </row>
    <row r="155" spans="1:1" x14ac:dyDescent="0.25">
      <c r="A155" s="2">
        <v>232704</v>
      </c>
    </row>
    <row r="156" spans="1:1" x14ac:dyDescent="0.25">
      <c r="A156" s="2">
        <v>232716</v>
      </c>
    </row>
    <row r="157" spans="1:1" x14ac:dyDescent="0.25">
      <c r="A157" s="2">
        <v>232751</v>
      </c>
    </row>
    <row r="158" spans="1:1" x14ac:dyDescent="0.25">
      <c r="A158" s="2">
        <v>232760</v>
      </c>
    </row>
    <row r="159" spans="1:1" x14ac:dyDescent="0.25">
      <c r="A159" s="2">
        <v>232800</v>
      </c>
    </row>
    <row r="160" spans="1:1" x14ac:dyDescent="0.25">
      <c r="A160" s="2">
        <v>232802</v>
      </c>
    </row>
    <row r="161" spans="1:1" x14ac:dyDescent="0.25">
      <c r="A161" s="2">
        <v>232815</v>
      </c>
    </row>
    <row r="162" spans="1:1" x14ac:dyDescent="0.25">
      <c r="A162" s="2">
        <v>232828</v>
      </c>
    </row>
    <row r="163" spans="1:1" x14ac:dyDescent="0.25">
      <c r="A163" s="2">
        <v>232834</v>
      </c>
    </row>
    <row r="164" spans="1:1" x14ac:dyDescent="0.25">
      <c r="A164" s="2">
        <v>232847</v>
      </c>
    </row>
    <row r="165" spans="1:1" x14ac:dyDescent="0.25">
      <c r="A165" s="2">
        <v>232855</v>
      </c>
    </row>
    <row r="166" spans="1:1" x14ac:dyDescent="0.25">
      <c r="A166" s="2">
        <v>232890</v>
      </c>
    </row>
    <row r="167" spans="1:1" x14ac:dyDescent="0.25">
      <c r="A167" s="2">
        <v>232898</v>
      </c>
    </row>
    <row r="168" spans="1:1" x14ac:dyDescent="0.25">
      <c r="A168" s="2">
        <v>232965</v>
      </c>
    </row>
    <row r="169" spans="1:1" x14ac:dyDescent="0.25">
      <c r="A169" s="2">
        <v>232977</v>
      </c>
    </row>
    <row r="170" spans="1:1" x14ac:dyDescent="0.25">
      <c r="A170" s="2">
        <v>233042</v>
      </c>
    </row>
    <row r="171" spans="1:1" x14ac:dyDescent="0.25">
      <c r="A171" s="2">
        <v>233289</v>
      </c>
    </row>
    <row r="172" spans="1:1" x14ac:dyDescent="0.25">
      <c r="A172" s="2">
        <v>233298</v>
      </c>
    </row>
    <row r="173" spans="1:1" x14ac:dyDescent="0.25">
      <c r="A173" s="2">
        <v>233322</v>
      </c>
    </row>
    <row r="174" spans="1:1" x14ac:dyDescent="0.25">
      <c r="A174" s="2">
        <v>233331</v>
      </c>
    </row>
    <row r="175" spans="1:1" x14ac:dyDescent="0.25">
      <c r="A175" s="2">
        <v>233352</v>
      </c>
    </row>
    <row r="176" spans="1:1" x14ac:dyDescent="0.25">
      <c r="A176" s="2">
        <v>233359</v>
      </c>
    </row>
    <row r="177" spans="1:1" x14ac:dyDescent="0.25">
      <c r="A177" s="2">
        <v>233695</v>
      </c>
    </row>
    <row r="178" spans="1:1" x14ac:dyDescent="0.25">
      <c r="A178" s="2">
        <v>233704</v>
      </c>
    </row>
    <row r="179" spans="1:1" x14ac:dyDescent="0.25">
      <c r="A179" s="2">
        <v>233709</v>
      </c>
    </row>
    <row r="180" spans="1:1" x14ac:dyDescent="0.25">
      <c r="A180" s="2">
        <v>233717</v>
      </c>
    </row>
    <row r="181" spans="1:1" x14ac:dyDescent="0.25">
      <c r="A181" s="2">
        <v>233723</v>
      </c>
    </row>
    <row r="182" spans="1:1" x14ac:dyDescent="0.25">
      <c r="A182" s="2">
        <v>233728</v>
      </c>
    </row>
    <row r="183" spans="1:1" x14ac:dyDescent="0.25">
      <c r="A183" s="2">
        <v>235463</v>
      </c>
    </row>
    <row r="184" spans="1:1" x14ac:dyDescent="0.25">
      <c r="A184" s="2">
        <v>235735</v>
      </c>
    </row>
    <row r="185" spans="1:1" x14ac:dyDescent="0.25">
      <c r="A185" s="2">
        <v>235743</v>
      </c>
    </row>
    <row r="186" spans="1:1" x14ac:dyDescent="0.25">
      <c r="A186" s="2">
        <v>235771</v>
      </c>
    </row>
    <row r="187" spans="1:1" x14ac:dyDescent="0.25">
      <c r="A187" s="2">
        <v>235776</v>
      </c>
    </row>
    <row r="188" spans="1:1" x14ac:dyDescent="0.25">
      <c r="A188" s="2">
        <v>235791</v>
      </c>
    </row>
    <row r="189" spans="1:1" x14ac:dyDescent="0.25">
      <c r="A189" s="2">
        <v>235797</v>
      </c>
    </row>
    <row r="190" spans="1:1" x14ac:dyDescent="0.25">
      <c r="A190" s="2">
        <v>236575</v>
      </c>
    </row>
    <row r="191" spans="1:1" x14ac:dyDescent="0.25">
      <c r="A191" s="2">
        <v>236596</v>
      </c>
    </row>
    <row r="192" spans="1:1" x14ac:dyDescent="0.25">
      <c r="A192" s="2">
        <v>236603</v>
      </c>
    </row>
    <row r="193" spans="1:1" x14ac:dyDescent="0.25">
      <c r="A193" s="2">
        <v>236709</v>
      </c>
    </row>
    <row r="194" spans="1:1" x14ac:dyDescent="0.25">
      <c r="A194" s="2">
        <v>236795</v>
      </c>
    </row>
    <row r="195" spans="1:1" x14ac:dyDescent="0.25">
      <c r="A195" s="2">
        <v>236898</v>
      </c>
    </row>
    <row r="196" spans="1:1" x14ac:dyDescent="0.25">
      <c r="A196" s="2">
        <v>236938</v>
      </c>
    </row>
    <row r="197" spans="1:1" x14ac:dyDescent="0.25">
      <c r="A197" s="2">
        <v>236957</v>
      </c>
    </row>
    <row r="198" spans="1:1" x14ac:dyDescent="0.25">
      <c r="A198" s="2">
        <v>236965</v>
      </c>
    </row>
    <row r="199" spans="1:1" x14ac:dyDescent="0.25">
      <c r="A199" s="2">
        <v>236996</v>
      </c>
    </row>
    <row r="200" spans="1:1" x14ac:dyDescent="0.25">
      <c r="A200" s="2">
        <v>237024</v>
      </c>
    </row>
    <row r="201" spans="1:1" x14ac:dyDescent="0.25">
      <c r="A201" s="2">
        <v>237118</v>
      </c>
    </row>
    <row r="202" spans="1:1" x14ac:dyDescent="0.25">
      <c r="A202" s="2">
        <v>237167</v>
      </c>
    </row>
    <row r="203" spans="1:1" x14ac:dyDescent="0.25">
      <c r="A203" s="2">
        <v>237244</v>
      </c>
    </row>
    <row r="204" spans="1:1" x14ac:dyDescent="0.25">
      <c r="A204" s="2">
        <v>237291</v>
      </c>
    </row>
    <row r="205" spans="1:1" x14ac:dyDescent="0.25">
      <c r="A205" s="2">
        <v>237352</v>
      </c>
    </row>
    <row r="206" spans="1:1" x14ac:dyDescent="0.25">
      <c r="A206" s="2">
        <v>237412</v>
      </c>
    </row>
    <row r="207" spans="1:1" x14ac:dyDescent="0.25">
      <c r="A207" s="2">
        <v>237506</v>
      </c>
    </row>
    <row r="208" spans="1:1" x14ac:dyDescent="0.25">
      <c r="A208" s="2">
        <v>237649</v>
      </c>
    </row>
    <row r="209" spans="1:1" x14ac:dyDescent="0.25">
      <c r="A209" s="2">
        <v>237654</v>
      </c>
    </row>
    <row r="210" spans="1:1" x14ac:dyDescent="0.25">
      <c r="A210" s="2">
        <v>238775</v>
      </c>
    </row>
    <row r="211" spans="1:1" x14ac:dyDescent="0.25">
      <c r="A211" s="2">
        <v>238838</v>
      </c>
    </row>
    <row r="212" spans="1:1" x14ac:dyDescent="0.25">
      <c r="A212" s="2">
        <v>238846</v>
      </c>
    </row>
    <row r="213" spans="1:1" x14ac:dyDescent="0.25">
      <c r="A213" s="2">
        <v>239563</v>
      </c>
    </row>
    <row r="214" spans="1:1" x14ac:dyDescent="0.25">
      <c r="A214" s="2">
        <v>239569</v>
      </c>
    </row>
    <row r="215" spans="1:1" x14ac:dyDescent="0.25">
      <c r="A215" s="2">
        <v>240306</v>
      </c>
    </row>
    <row r="216" spans="1:1" x14ac:dyDescent="0.25">
      <c r="A216" s="2">
        <v>240312</v>
      </c>
    </row>
    <row r="217" spans="1:1" x14ac:dyDescent="0.25">
      <c r="A217" s="2">
        <v>240957</v>
      </c>
    </row>
    <row r="218" spans="1:1" x14ac:dyDescent="0.25">
      <c r="A218" s="2">
        <v>240964</v>
      </c>
    </row>
    <row r="219" spans="1:1" x14ac:dyDescent="0.25">
      <c r="A219" s="2">
        <v>240969</v>
      </c>
    </row>
    <row r="220" spans="1:1" x14ac:dyDescent="0.25">
      <c r="A220" s="2">
        <v>240978</v>
      </c>
    </row>
    <row r="221" spans="1:1" x14ac:dyDescent="0.25">
      <c r="A221" s="2">
        <v>240993</v>
      </c>
    </row>
    <row r="222" spans="1:1" x14ac:dyDescent="0.25">
      <c r="A222" s="2">
        <v>241044</v>
      </c>
    </row>
    <row r="223" spans="1:1" x14ac:dyDescent="0.25">
      <c r="A223" s="2">
        <v>241059</v>
      </c>
    </row>
    <row r="224" spans="1:1" x14ac:dyDescent="0.25">
      <c r="A224" s="2">
        <v>241176</v>
      </c>
    </row>
    <row r="225" spans="1:1" x14ac:dyDescent="0.25">
      <c r="A225" s="2">
        <v>241303</v>
      </c>
    </row>
    <row r="226" spans="1:1" x14ac:dyDescent="0.25">
      <c r="A226" s="2">
        <v>241317</v>
      </c>
    </row>
    <row r="227" spans="1:1" x14ac:dyDescent="0.25">
      <c r="A227" s="2">
        <v>241391</v>
      </c>
    </row>
    <row r="228" spans="1:1" x14ac:dyDescent="0.25">
      <c r="A228" s="2">
        <v>241432</v>
      </c>
    </row>
    <row r="229" spans="1:1" x14ac:dyDescent="0.25">
      <c r="A229" s="2">
        <v>241481</v>
      </c>
    </row>
    <row r="230" spans="1:1" x14ac:dyDescent="0.25">
      <c r="A230" s="2">
        <v>241598</v>
      </c>
    </row>
    <row r="231" spans="1:1" x14ac:dyDescent="0.25">
      <c r="A231" s="2">
        <v>244654</v>
      </c>
    </row>
    <row r="232" spans="1:1" x14ac:dyDescent="0.25">
      <c r="A232" s="2">
        <v>244655</v>
      </c>
    </row>
    <row r="233" spans="1:1" x14ac:dyDescent="0.25">
      <c r="A233" s="2">
        <v>244664</v>
      </c>
    </row>
    <row r="234" spans="1:1" x14ac:dyDescent="0.25">
      <c r="A234" s="2">
        <v>244670</v>
      </c>
    </row>
    <row r="235" spans="1:1" x14ac:dyDescent="0.25">
      <c r="A235" s="2">
        <v>244685</v>
      </c>
    </row>
    <row r="236" spans="1:1" x14ac:dyDescent="0.25">
      <c r="A236" s="2">
        <v>244696</v>
      </c>
    </row>
    <row r="237" spans="1:1" x14ac:dyDescent="0.25">
      <c r="A237" s="2">
        <v>244749</v>
      </c>
    </row>
    <row r="238" spans="1:1" x14ac:dyDescent="0.25">
      <c r="A238" s="2">
        <v>244810</v>
      </c>
    </row>
    <row r="239" spans="1:1" x14ac:dyDescent="0.25">
      <c r="A239" s="2">
        <v>245323</v>
      </c>
    </row>
    <row r="240" spans="1:1" x14ac:dyDescent="0.25">
      <c r="A240" s="2">
        <v>245339</v>
      </c>
    </row>
    <row r="241" spans="1:1" x14ac:dyDescent="0.25">
      <c r="A241" s="2">
        <v>245360</v>
      </c>
    </row>
    <row r="242" spans="1:1" x14ac:dyDescent="0.25">
      <c r="A242" s="2">
        <v>245875</v>
      </c>
    </row>
    <row r="243" spans="1:1" x14ac:dyDescent="0.25">
      <c r="A243" s="2">
        <v>245888</v>
      </c>
    </row>
    <row r="244" spans="1:1" x14ac:dyDescent="0.25">
      <c r="A244" s="2">
        <v>245898</v>
      </c>
    </row>
    <row r="245" spans="1:1" x14ac:dyDescent="0.25">
      <c r="A245" s="2">
        <v>245914</v>
      </c>
    </row>
    <row r="246" spans="1:1" x14ac:dyDescent="0.25">
      <c r="A246" s="2">
        <v>247382</v>
      </c>
    </row>
    <row r="247" spans="1:1" x14ac:dyDescent="0.25">
      <c r="A247" s="2">
        <v>247389</v>
      </c>
    </row>
    <row r="248" spans="1:1" x14ac:dyDescent="0.25">
      <c r="A248" s="2">
        <v>247395</v>
      </c>
    </row>
    <row r="249" spans="1:1" x14ac:dyDescent="0.25">
      <c r="A249" s="2">
        <v>247396</v>
      </c>
    </row>
    <row r="250" spans="1:1" x14ac:dyDescent="0.25">
      <c r="A250" s="2">
        <v>247433</v>
      </c>
    </row>
    <row r="251" spans="1:1" x14ac:dyDescent="0.25">
      <c r="A251" s="2">
        <v>247439</v>
      </c>
    </row>
    <row r="252" spans="1:1" x14ac:dyDescent="0.25">
      <c r="A252" s="2">
        <v>247458</v>
      </c>
    </row>
    <row r="253" spans="1:1" x14ac:dyDescent="0.25">
      <c r="A253" s="2">
        <v>247488</v>
      </c>
    </row>
    <row r="254" spans="1:1" x14ac:dyDescent="0.25">
      <c r="A254" s="2">
        <v>248129</v>
      </c>
    </row>
    <row r="255" spans="1:1" x14ac:dyDescent="0.25">
      <c r="A255" s="2">
        <v>248140</v>
      </c>
    </row>
    <row r="256" spans="1:1" x14ac:dyDescent="0.25">
      <c r="A256" s="2">
        <v>248857</v>
      </c>
    </row>
    <row r="257" spans="1:1" x14ac:dyDescent="0.25">
      <c r="A257" s="2">
        <v>248878</v>
      </c>
    </row>
    <row r="258" spans="1:1" x14ac:dyDescent="0.25">
      <c r="A258" s="2">
        <v>248884</v>
      </c>
    </row>
    <row r="259" spans="1:1" x14ac:dyDescent="0.25">
      <c r="A259" s="2">
        <v>249332</v>
      </c>
    </row>
    <row r="260" spans="1:1" x14ac:dyDescent="0.25">
      <c r="A260" s="2">
        <v>249333</v>
      </c>
    </row>
    <row r="261" spans="1:1" x14ac:dyDescent="0.25">
      <c r="A261" s="2">
        <v>249356</v>
      </c>
    </row>
    <row r="262" spans="1:1" x14ac:dyDescent="0.25">
      <c r="A262" s="2">
        <v>249363</v>
      </c>
    </row>
    <row r="263" spans="1:1" x14ac:dyDescent="0.25">
      <c r="A263" s="2">
        <v>249369</v>
      </c>
    </row>
    <row r="264" spans="1:1" x14ac:dyDescent="0.25">
      <c r="A264" s="2">
        <v>249375</v>
      </c>
    </row>
    <row r="265" spans="1:1" x14ac:dyDescent="0.25">
      <c r="A265" s="2">
        <v>249386</v>
      </c>
    </row>
    <row r="266" spans="1:1" x14ac:dyDescent="0.25">
      <c r="A266" s="2">
        <v>249467</v>
      </c>
    </row>
    <row r="267" spans="1:1" x14ac:dyDescent="0.25">
      <c r="A267" s="2">
        <v>249502</v>
      </c>
    </row>
    <row r="268" spans="1:1" x14ac:dyDescent="0.25">
      <c r="A268" s="2">
        <v>249509</v>
      </c>
    </row>
    <row r="269" spans="1:1" x14ac:dyDescent="0.25">
      <c r="A269" s="2">
        <v>249515</v>
      </c>
    </row>
    <row r="270" spans="1:1" x14ac:dyDescent="0.25">
      <c r="A270" s="2">
        <v>249526</v>
      </c>
    </row>
    <row r="271" spans="1:1" x14ac:dyDescent="0.25">
      <c r="A271" s="2">
        <v>249532</v>
      </c>
    </row>
    <row r="272" spans="1:1" x14ac:dyDescent="0.25">
      <c r="A272" s="2">
        <v>249558</v>
      </c>
    </row>
    <row r="273" spans="1:1" x14ac:dyDescent="0.25">
      <c r="A273" s="2">
        <v>249565</v>
      </c>
    </row>
    <row r="274" spans="1:1" x14ac:dyDescent="0.25">
      <c r="A274" s="2">
        <v>249580</v>
      </c>
    </row>
    <row r="275" spans="1:1" x14ac:dyDescent="0.25">
      <c r="A275" s="2">
        <v>249711</v>
      </c>
    </row>
    <row r="276" spans="1:1" x14ac:dyDescent="0.25">
      <c r="A276" s="2">
        <v>249765</v>
      </c>
    </row>
    <row r="277" spans="1:1" x14ac:dyDescent="0.25">
      <c r="A277" s="2">
        <v>249770</v>
      </c>
    </row>
    <row r="278" spans="1:1" x14ac:dyDescent="0.25">
      <c r="A278" s="2">
        <v>249782</v>
      </c>
    </row>
    <row r="279" spans="1:1" x14ac:dyDescent="0.25">
      <c r="A279" s="2">
        <v>253023</v>
      </c>
    </row>
    <row r="280" spans="1:1" x14ac:dyDescent="0.25">
      <c r="A280" s="2">
        <v>253044</v>
      </c>
    </row>
    <row r="281" spans="1:1" x14ac:dyDescent="0.25">
      <c r="A281" s="2">
        <v>254937</v>
      </c>
    </row>
    <row r="282" spans="1:1" x14ac:dyDescent="0.25">
      <c r="A282" s="2">
        <v>254938</v>
      </c>
    </row>
    <row r="283" spans="1:1" x14ac:dyDescent="0.25">
      <c r="A283" s="2">
        <v>254956</v>
      </c>
    </row>
    <row r="284" spans="1:1" x14ac:dyDescent="0.25">
      <c r="A284" s="2">
        <v>254984</v>
      </c>
    </row>
    <row r="285" spans="1:1" x14ac:dyDescent="0.25">
      <c r="A285" s="2">
        <v>255000</v>
      </c>
    </row>
    <row r="286" spans="1:1" x14ac:dyDescent="0.25">
      <c r="A286" s="2">
        <v>255071</v>
      </c>
    </row>
    <row r="287" spans="1:1" x14ac:dyDescent="0.25">
      <c r="A287" s="2">
        <v>255088</v>
      </c>
    </row>
    <row r="288" spans="1:1" x14ac:dyDescent="0.25">
      <c r="A288" s="2">
        <v>255966</v>
      </c>
    </row>
    <row r="289" spans="1:1" x14ac:dyDescent="0.25">
      <c r="A289" s="2">
        <v>255982</v>
      </c>
    </row>
    <row r="290" spans="1:1" x14ac:dyDescent="0.25">
      <c r="A290" s="2">
        <v>255988</v>
      </c>
    </row>
    <row r="291" spans="1:1" x14ac:dyDescent="0.25">
      <c r="A291" s="2">
        <v>256038</v>
      </c>
    </row>
    <row r="292" spans="1:1" x14ac:dyDescent="0.25">
      <c r="A292" s="2">
        <v>256046</v>
      </c>
    </row>
    <row r="293" spans="1:1" x14ac:dyDescent="0.25">
      <c r="A293" s="2">
        <v>256067</v>
      </c>
    </row>
    <row r="294" spans="1:1" x14ac:dyDescent="0.25">
      <c r="A294" s="2">
        <v>262087</v>
      </c>
    </row>
    <row r="295" spans="1:1" x14ac:dyDescent="0.25">
      <c r="A295" s="2">
        <v>262169</v>
      </c>
    </row>
    <row r="296" spans="1:1" x14ac:dyDescent="0.25">
      <c r="A296" s="2">
        <v>262196</v>
      </c>
    </row>
    <row r="297" spans="1:1" x14ac:dyDescent="0.25">
      <c r="A297" s="2">
        <v>262197</v>
      </c>
    </row>
    <row r="298" spans="1:1" x14ac:dyDescent="0.25">
      <c r="A298" s="2">
        <v>262251</v>
      </c>
    </row>
    <row r="299" spans="1:1" x14ac:dyDescent="0.25">
      <c r="A299" s="2">
        <v>262299</v>
      </c>
    </row>
    <row r="300" spans="1:1" x14ac:dyDescent="0.25">
      <c r="A300" s="2">
        <v>262303</v>
      </c>
    </row>
    <row r="301" spans="1:1" x14ac:dyDescent="0.25">
      <c r="A301" s="2">
        <v>262305</v>
      </c>
    </row>
    <row r="302" spans="1:1" x14ac:dyDescent="0.25">
      <c r="A302" s="2">
        <v>262320</v>
      </c>
    </row>
    <row r="303" spans="1:1" x14ac:dyDescent="0.25">
      <c r="A303" s="2">
        <v>262324</v>
      </c>
    </row>
    <row r="304" spans="1:1" x14ac:dyDescent="0.25">
      <c r="A304" s="2">
        <v>262339</v>
      </c>
    </row>
    <row r="305" spans="1:1" x14ac:dyDescent="0.25">
      <c r="A305" s="2">
        <v>262342</v>
      </c>
    </row>
    <row r="306" spans="1:1" x14ac:dyDescent="0.25">
      <c r="A306" s="2">
        <v>262345</v>
      </c>
    </row>
    <row r="307" spans="1:1" x14ac:dyDescent="0.25">
      <c r="A307" s="2">
        <v>262373</v>
      </c>
    </row>
    <row r="308" spans="1:1" x14ac:dyDescent="0.25">
      <c r="A308" s="2">
        <v>262389</v>
      </c>
    </row>
    <row r="309" spans="1:1" x14ac:dyDescent="0.25">
      <c r="A309" s="2">
        <v>262403</v>
      </c>
    </row>
    <row r="310" spans="1:1" x14ac:dyDescent="0.25">
      <c r="A310" s="2">
        <v>262441</v>
      </c>
    </row>
    <row r="311" spans="1:1" x14ac:dyDescent="0.25">
      <c r="A311" s="2">
        <v>262680</v>
      </c>
    </row>
    <row r="312" spans="1:1" x14ac:dyDescent="0.25">
      <c r="A312" s="2">
        <v>262873</v>
      </c>
    </row>
    <row r="313" spans="1:1" x14ac:dyDescent="0.25">
      <c r="A313" s="2">
        <v>262878</v>
      </c>
    </row>
    <row r="314" spans="1:1" x14ac:dyDescent="0.25">
      <c r="A314" s="2">
        <v>262898</v>
      </c>
    </row>
    <row r="315" spans="1:1" x14ac:dyDescent="0.25">
      <c r="A315" s="2">
        <v>262957</v>
      </c>
    </row>
    <row r="316" spans="1:1" x14ac:dyDescent="0.25">
      <c r="A316" s="2">
        <v>262962</v>
      </c>
    </row>
    <row r="317" spans="1:1" x14ac:dyDescent="0.25">
      <c r="A317" s="2">
        <v>263020</v>
      </c>
    </row>
    <row r="318" spans="1:1" x14ac:dyDescent="0.25">
      <c r="A318" s="2">
        <v>263051</v>
      </c>
    </row>
    <row r="319" spans="1:1" x14ac:dyDescent="0.25">
      <c r="A319" s="2">
        <v>263061</v>
      </c>
    </row>
    <row r="320" spans="1:1" x14ac:dyDescent="0.25">
      <c r="A320" s="2">
        <v>263081</v>
      </c>
    </row>
    <row r="321" spans="1:1" x14ac:dyDescent="0.25">
      <c r="A321" s="2">
        <v>263259</v>
      </c>
    </row>
    <row r="322" spans="1:1" x14ac:dyDescent="0.25">
      <c r="A322" s="2">
        <v>264384</v>
      </c>
    </row>
    <row r="323" spans="1:1" x14ac:dyDescent="0.25">
      <c r="A323" s="2">
        <v>264407</v>
      </c>
    </row>
    <row r="324" spans="1:1" x14ac:dyDescent="0.25">
      <c r="A324" s="2">
        <v>264414</v>
      </c>
    </row>
    <row r="325" spans="1:1" x14ac:dyDescent="0.25">
      <c r="A325" s="2">
        <v>264493</v>
      </c>
    </row>
    <row r="326" spans="1:1" x14ac:dyDescent="0.25">
      <c r="A326" s="2">
        <v>264500</v>
      </c>
    </row>
    <row r="327" spans="1:1" x14ac:dyDescent="0.25">
      <c r="A327" s="2">
        <v>264521</v>
      </c>
    </row>
    <row r="328" spans="1:1" x14ac:dyDescent="0.25">
      <c r="A328" s="2">
        <v>264541</v>
      </c>
    </row>
    <row r="329" spans="1:1" x14ac:dyDescent="0.25">
      <c r="A329" s="2">
        <v>264624</v>
      </c>
    </row>
    <row r="330" spans="1:1" x14ac:dyDescent="0.25">
      <c r="A330" s="2">
        <v>264633</v>
      </c>
    </row>
    <row r="331" spans="1:1" x14ac:dyDescent="0.25">
      <c r="A331" s="2">
        <v>264673</v>
      </c>
    </row>
    <row r="332" spans="1:1" x14ac:dyDescent="0.25">
      <c r="A332" s="2">
        <v>264680</v>
      </c>
    </row>
    <row r="333" spans="1:1" x14ac:dyDescent="0.25">
      <c r="A333" s="2">
        <v>264703</v>
      </c>
    </row>
    <row r="334" spans="1:1" x14ac:dyDescent="0.25">
      <c r="A334" s="2">
        <v>264806</v>
      </c>
    </row>
    <row r="335" spans="1:1" x14ac:dyDescent="0.25">
      <c r="A335" s="2">
        <v>264812</v>
      </c>
    </row>
    <row r="336" spans="1:1" x14ac:dyDescent="0.25">
      <c r="A336" s="2">
        <v>265029</v>
      </c>
    </row>
    <row r="337" spans="1:1" x14ac:dyDescent="0.25">
      <c r="A337" s="2">
        <v>265049</v>
      </c>
    </row>
    <row r="338" spans="1:1" x14ac:dyDescent="0.25">
      <c r="A338" s="2">
        <v>265059</v>
      </c>
    </row>
    <row r="339" spans="1:1" x14ac:dyDescent="0.25">
      <c r="A339" s="2">
        <v>265084</v>
      </c>
    </row>
    <row r="340" spans="1:1" x14ac:dyDescent="0.25">
      <c r="A340" s="2">
        <v>265123</v>
      </c>
    </row>
    <row r="341" spans="1:1" x14ac:dyDescent="0.25">
      <c r="A341" s="2">
        <v>265157</v>
      </c>
    </row>
    <row r="342" spans="1:1" x14ac:dyDescent="0.25">
      <c r="A342" s="2">
        <v>266400</v>
      </c>
    </row>
    <row r="343" spans="1:1" x14ac:dyDescent="0.25">
      <c r="A343" s="2">
        <v>266417</v>
      </c>
    </row>
    <row r="344" spans="1:1" x14ac:dyDescent="0.25">
      <c r="A344" s="2">
        <v>266557</v>
      </c>
    </row>
    <row r="345" spans="1:1" x14ac:dyDescent="0.25">
      <c r="A345" s="2">
        <v>266564</v>
      </c>
    </row>
    <row r="346" spans="1:1" x14ac:dyDescent="0.25">
      <c r="A346" s="2">
        <v>266753</v>
      </c>
    </row>
    <row r="347" spans="1:1" x14ac:dyDescent="0.25">
      <c r="A347" s="2">
        <v>266773</v>
      </c>
    </row>
    <row r="348" spans="1:1" x14ac:dyDescent="0.25">
      <c r="A348" s="2">
        <v>266787</v>
      </c>
    </row>
    <row r="349" spans="1:1" x14ac:dyDescent="0.25">
      <c r="A349" s="2">
        <v>269219</v>
      </c>
    </row>
    <row r="350" spans="1:1" x14ac:dyDescent="0.25">
      <c r="A350" s="2">
        <v>269231</v>
      </c>
    </row>
    <row r="351" spans="1:1" x14ac:dyDescent="0.25">
      <c r="A351" s="2">
        <v>271987</v>
      </c>
    </row>
    <row r="352" spans="1:1" x14ac:dyDescent="0.25">
      <c r="A352" s="2">
        <v>273000</v>
      </c>
    </row>
    <row r="353" spans="1:1" x14ac:dyDescent="0.25">
      <c r="A353" s="2">
        <v>273005</v>
      </c>
    </row>
    <row r="354" spans="1:1" x14ac:dyDescent="0.25">
      <c r="A354" s="2">
        <v>273189</v>
      </c>
    </row>
    <row r="355" spans="1:1" x14ac:dyDescent="0.25">
      <c r="A355" s="2">
        <v>274794</v>
      </c>
    </row>
    <row r="356" spans="1:1" x14ac:dyDescent="0.25">
      <c r="A356" s="2">
        <v>274810</v>
      </c>
    </row>
    <row r="357" spans="1:1" x14ac:dyDescent="0.25">
      <c r="A357" s="2">
        <v>274832</v>
      </c>
    </row>
    <row r="358" spans="1:1" x14ac:dyDescent="0.25">
      <c r="A358" s="2">
        <v>274838</v>
      </c>
    </row>
    <row r="359" spans="1:1" x14ac:dyDescent="0.25">
      <c r="A359" s="2">
        <v>274845</v>
      </c>
    </row>
    <row r="360" spans="1:1" x14ac:dyDescent="0.25">
      <c r="A360" s="2">
        <v>274851</v>
      </c>
    </row>
    <row r="361" spans="1:1" x14ac:dyDescent="0.25">
      <c r="A361" s="2">
        <v>277299</v>
      </c>
    </row>
    <row r="362" spans="1:1" x14ac:dyDescent="0.25">
      <c r="A362" s="2">
        <v>277335</v>
      </c>
    </row>
    <row r="363" spans="1:1" x14ac:dyDescent="0.25">
      <c r="A363" s="2">
        <v>277366</v>
      </c>
    </row>
    <row r="364" spans="1:1" x14ac:dyDescent="0.25">
      <c r="A364" s="2">
        <v>277388</v>
      </c>
    </row>
    <row r="365" spans="1:1" x14ac:dyDescent="0.25">
      <c r="A365" s="2">
        <v>277472</v>
      </c>
    </row>
    <row r="366" spans="1:1" x14ac:dyDescent="0.25">
      <c r="A366" s="2">
        <v>278659</v>
      </c>
    </row>
    <row r="367" spans="1:1" x14ac:dyDescent="0.25">
      <c r="A367" s="2">
        <v>278681</v>
      </c>
    </row>
    <row r="368" spans="1:1" x14ac:dyDescent="0.25">
      <c r="A368" s="2">
        <v>278697</v>
      </c>
    </row>
    <row r="369" spans="1:1" x14ac:dyDescent="0.25">
      <c r="A369" s="2">
        <v>278701</v>
      </c>
    </row>
    <row r="370" spans="1:1" x14ac:dyDescent="0.25">
      <c r="A370" s="2">
        <v>278721</v>
      </c>
    </row>
    <row r="371" spans="1:1" x14ac:dyDescent="0.25">
      <c r="A371" s="2">
        <v>278735</v>
      </c>
    </row>
    <row r="372" spans="1:1" x14ac:dyDescent="0.25">
      <c r="A372" s="2">
        <v>280386</v>
      </c>
    </row>
    <row r="373" spans="1:1" x14ac:dyDescent="0.25">
      <c r="A373" s="2">
        <v>280387</v>
      </c>
    </row>
    <row r="374" spans="1:1" x14ac:dyDescent="0.25">
      <c r="A374" s="2">
        <v>281012</v>
      </c>
    </row>
    <row r="375" spans="1:1" x14ac:dyDescent="0.25">
      <c r="A375" s="2">
        <v>281034</v>
      </c>
    </row>
    <row r="376" spans="1:1" x14ac:dyDescent="0.25">
      <c r="A376" s="2">
        <v>281197</v>
      </c>
    </row>
    <row r="377" spans="1:1" x14ac:dyDescent="0.25">
      <c r="A377" s="2">
        <v>281262</v>
      </c>
    </row>
    <row r="378" spans="1:1" x14ac:dyDescent="0.25">
      <c r="A378" s="2">
        <v>281481</v>
      </c>
    </row>
    <row r="379" spans="1:1" x14ac:dyDescent="0.25">
      <c r="A379" s="2">
        <v>281503</v>
      </c>
    </row>
    <row r="380" spans="1:1" x14ac:dyDescent="0.25">
      <c r="A380" s="2">
        <v>281516</v>
      </c>
    </row>
    <row r="381" spans="1:1" x14ac:dyDescent="0.25">
      <c r="A381" s="2">
        <v>281536</v>
      </c>
    </row>
    <row r="382" spans="1:1" x14ac:dyDescent="0.25">
      <c r="A382" s="2">
        <v>281560</v>
      </c>
    </row>
    <row r="383" spans="1:1" x14ac:dyDescent="0.25">
      <c r="A383" s="2">
        <v>281572</v>
      </c>
    </row>
    <row r="384" spans="1:1" x14ac:dyDescent="0.25">
      <c r="A384" s="2">
        <v>281603</v>
      </c>
    </row>
    <row r="385" spans="1:1" x14ac:dyDescent="0.25">
      <c r="A385" s="2">
        <v>281609</v>
      </c>
    </row>
    <row r="386" spans="1:1" x14ac:dyDescent="0.25">
      <c r="A386" s="2">
        <v>282167</v>
      </c>
    </row>
    <row r="387" spans="1:1" x14ac:dyDescent="0.25">
      <c r="A387" s="2">
        <v>282174</v>
      </c>
    </row>
    <row r="388" spans="1:1" x14ac:dyDescent="0.25">
      <c r="A388" s="2">
        <v>282297</v>
      </c>
    </row>
    <row r="389" spans="1:1" x14ac:dyDescent="0.25">
      <c r="A389" s="2">
        <v>282307</v>
      </c>
    </row>
    <row r="390" spans="1:1" x14ac:dyDescent="0.25">
      <c r="A390" s="2">
        <v>282984</v>
      </c>
    </row>
    <row r="391" spans="1:1" x14ac:dyDescent="0.25">
      <c r="A391" s="2">
        <v>282993</v>
      </c>
    </row>
    <row r="392" spans="1:1" x14ac:dyDescent="0.25">
      <c r="A392" s="2">
        <v>283308</v>
      </c>
    </row>
    <row r="393" spans="1:1" x14ac:dyDescent="0.25">
      <c r="A393" s="2">
        <v>283317</v>
      </c>
    </row>
    <row r="394" spans="1:1" x14ac:dyDescent="0.25">
      <c r="A394" s="2">
        <v>283347</v>
      </c>
    </row>
    <row r="395" spans="1:1" x14ac:dyDescent="0.25">
      <c r="A395" s="2">
        <v>283356</v>
      </c>
    </row>
    <row r="396" spans="1:1" x14ac:dyDescent="0.25">
      <c r="A396" s="2">
        <v>283357</v>
      </c>
    </row>
    <row r="397" spans="1:1" x14ac:dyDescent="0.25">
      <c r="A397" s="2">
        <v>283373</v>
      </c>
    </row>
    <row r="398" spans="1:1" x14ac:dyDescent="0.25">
      <c r="A398" s="2">
        <v>283374</v>
      </c>
    </row>
    <row r="399" spans="1:1" x14ac:dyDescent="0.25">
      <c r="A399" s="2">
        <v>283390</v>
      </c>
    </row>
    <row r="400" spans="1:1" x14ac:dyDescent="0.25">
      <c r="A400" s="2">
        <v>283407</v>
      </c>
    </row>
    <row r="401" spans="1:1" x14ac:dyDescent="0.25">
      <c r="A401" s="2">
        <v>283408</v>
      </c>
    </row>
    <row r="402" spans="1:1" x14ac:dyDescent="0.25">
      <c r="A402" s="2">
        <v>283417</v>
      </c>
    </row>
    <row r="403" spans="1:1" x14ac:dyDescent="0.25">
      <c r="A403" s="2">
        <v>283457</v>
      </c>
    </row>
    <row r="404" spans="1:1" x14ac:dyDescent="0.25">
      <c r="A404" s="2">
        <v>283470</v>
      </c>
    </row>
    <row r="405" spans="1:1" x14ac:dyDescent="0.25">
      <c r="A405" s="2">
        <v>283477</v>
      </c>
    </row>
    <row r="406" spans="1:1" x14ac:dyDescent="0.25">
      <c r="A406" s="2">
        <v>283524</v>
      </c>
    </row>
    <row r="407" spans="1:1" x14ac:dyDescent="0.25">
      <c r="A407" s="2">
        <v>283537</v>
      </c>
    </row>
    <row r="408" spans="1:1" x14ac:dyDescent="0.25">
      <c r="A408" s="2">
        <v>283788</v>
      </c>
    </row>
    <row r="409" spans="1:1" x14ac:dyDescent="0.25">
      <c r="A409" s="2">
        <v>283795</v>
      </c>
    </row>
    <row r="410" spans="1:1" x14ac:dyDescent="0.25">
      <c r="A410" s="2">
        <v>284278</v>
      </c>
    </row>
    <row r="411" spans="1:1" x14ac:dyDescent="0.25">
      <c r="A411" s="2">
        <v>284317</v>
      </c>
    </row>
    <row r="412" spans="1:1" x14ac:dyDescent="0.25">
      <c r="A412" s="2">
        <v>284378</v>
      </c>
    </row>
    <row r="413" spans="1:1" x14ac:dyDescent="0.25">
      <c r="A413" s="2">
        <v>285567</v>
      </c>
    </row>
    <row r="414" spans="1:1" x14ac:dyDescent="0.25">
      <c r="A414" s="2">
        <v>285576</v>
      </c>
    </row>
    <row r="415" spans="1:1" x14ac:dyDescent="0.25">
      <c r="A415" s="2">
        <v>285591</v>
      </c>
    </row>
    <row r="416" spans="1:1" x14ac:dyDescent="0.25">
      <c r="A416" s="2">
        <v>285607</v>
      </c>
    </row>
    <row r="417" spans="1:1" x14ac:dyDescent="0.25">
      <c r="A417" s="2">
        <v>285639</v>
      </c>
    </row>
    <row r="418" spans="1:1" x14ac:dyDescent="0.25">
      <c r="A418" s="2">
        <v>285640</v>
      </c>
    </row>
    <row r="419" spans="1:1" x14ac:dyDescent="0.25">
      <c r="A419" s="2">
        <v>285672</v>
      </c>
    </row>
    <row r="420" spans="1:1" x14ac:dyDescent="0.25">
      <c r="A420" s="2">
        <v>285710</v>
      </c>
    </row>
    <row r="421" spans="1:1" x14ac:dyDescent="0.25">
      <c r="A421" s="2">
        <v>286997</v>
      </c>
    </row>
    <row r="422" spans="1:1" x14ac:dyDescent="0.25">
      <c r="A422" s="2">
        <v>287011</v>
      </c>
    </row>
    <row r="423" spans="1:1" x14ac:dyDescent="0.25">
      <c r="A423" s="2">
        <v>287096</v>
      </c>
    </row>
    <row r="424" spans="1:1" x14ac:dyDescent="0.25">
      <c r="A424" s="2">
        <v>287103</v>
      </c>
    </row>
    <row r="425" spans="1:1" x14ac:dyDescent="0.25">
      <c r="A425" s="2">
        <v>287104</v>
      </c>
    </row>
    <row r="426" spans="1:1" x14ac:dyDescent="0.25">
      <c r="A426" s="2">
        <v>287111</v>
      </c>
    </row>
    <row r="427" spans="1:1" x14ac:dyDescent="0.25">
      <c r="A427" s="2">
        <v>287148</v>
      </c>
    </row>
    <row r="428" spans="1:1" x14ac:dyDescent="0.25">
      <c r="A428" s="2">
        <v>287169</v>
      </c>
    </row>
    <row r="429" spans="1:1" x14ac:dyDescent="0.25">
      <c r="A429" s="2">
        <v>287246</v>
      </c>
    </row>
    <row r="430" spans="1:1" x14ac:dyDescent="0.25">
      <c r="A430" s="2">
        <v>287253</v>
      </c>
    </row>
    <row r="431" spans="1:1" x14ac:dyDescent="0.25">
      <c r="A431" s="2">
        <v>287260</v>
      </c>
    </row>
    <row r="432" spans="1:1" x14ac:dyDescent="0.25">
      <c r="A432" s="2">
        <v>287275</v>
      </c>
    </row>
    <row r="433" spans="1:1" x14ac:dyDescent="0.25">
      <c r="A433" s="2">
        <v>287773</v>
      </c>
    </row>
    <row r="434" spans="1:1" x14ac:dyDescent="0.25">
      <c r="A434" s="2">
        <v>287991</v>
      </c>
    </row>
    <row r="435" spans="1:1" x14ac:dyDescent="0.25">
      <c r="A435" s="2">
        <v>290450</v>
      </c>
    </row>
    <row r="436" spans="1:1" x14ac:dyDescent="0.25">
      <c r="A436" s="2">
        <v>290466</v>
      </c>
    </row>
    <row r="437" spans="1:1" x14ac:dyDescent="0.25">
      <c r="A437" s="2">
        <v>290493</v>
      </c>
    </row>
    <row r="438" spans="1:1" x14ac:dyDescent="0.25">
      <c r="A438" s="2">
        <v>290566</v>
      </c>
    </row>
    <row r="439" spans="1:1" x14ac:dyDescent="0.25">
      <c r="A439" s="2">
        <v>290597</v>
      </c>
    </row>
    <row r="440" spans="1:1" x14ac:dyDescent="0.25">
      <c r="A440" s="2">
        <v>290600</v>
      </c>
    </row>
    <row r="441" spans="1:1" x14ac:dyDescent="0.25">
      <c r="A441" s="2">
        <v>290615</v>
      </c>
    </row>
    <row r="442" spans="1:1" x14ac:dyDescent="0.25">
      <c r="A442" s="2">
        <v>290641</v>
      </c>
    </row>
    <row r="443" spans="1:1" x14ac:dyDescent="0.25">
      <c r="A443" s="2">
        <v>290652</v>
      </c>
    </row>
    <row r="444" spans="1:1" x14ac:dyDescent="0.25">
      <c r="A444" s="2">
        <v>290697</v>
      </c>
    </row>
    <row r="445" spans="1:1" x14ac:dyDescent="0.25">
      <c r="A445" s="2">
        <v>290791</v>
      </c>
    </row>
    <row r="446" spans="1:1" x14ac:dyDescent="0.25">
      <c r="A446" s="2">
        <v>291803</v>
      </c>
    </row>
    <row r="447" spans="1:1" x14ac:dyDescent="0.25">
      <c r="A447" s="2">
        <v>291813</v>
      </c>
    </row>
    <row r="448" spans="1:1" x14ac:dyDescent="0.25">
      <c r="A448" s="2">
        <v>291836</v>
      </c>
    </row>
    <row r="449" spans="1:1" x14ac:dyDescent="0.25">
      <c r="A449" s="2">
        <v>293267</v>
      </c>
    </row>
    <row r="450" spans="1:1" x14ac:dyDescent="0.25">
      <c r="A450" s="2">
        <v>293294</v>
      </c>
    </row>
    <row r="451" spans="1:1" x14ac:dyDescent="0.25">
      <c r="A451" s="2">
        <v>293304</v>
      </c>
    </row>
    <row r="452" spans="1:1" x14ac:dyDescent="0.25">
      <c r="A452" s="2">
        <v>293331</v>
      </c>
    </row>
    <row r="453" spans="1:1" x14ac:dyDescent="0.25">
      <c r="A453" s="2">
        <v>293381</v>
      </c>
    </row>
    <row r="454" spans="1:1" x14ac:dyDescent="0.25">
      <c r="A454" s="2">
        <v>293404</v>
      </c>
    </row>
    <row r="455" spans="1:1" x14ac:dyDescent="0.25">
      <c r="A455" s="2">
        <v>293466</v>
      </c>
    </row>
    <row r="456" spans="1:1" x14ac:dyDescent="0.25">
      <c r="A456" s="2">
        <v>293477</v>
      </c>
    </row>
    <row r="457" spans="1:1" x14ac:dyDescent="0.25">
      <c r="A457" s="2">
        <v>293574</v>
      </c>
    </row>
    <row r="458" spans="1:1" x14ac:dyDescent="0.25">
      <c r="A458" s="2">
        <v>293901</v>
      </c>
    </row>
    <row r="459" spans="1:1" x14ac:dyDescent="0.25">
      <c r="A459" s="2">
        <v>293911</v>
      </c>
    </row>
    <row r="460" spans="1:1" x14ac:dyDescent="0.25">
      <c r="A460" s="2">
        <v>293924</v>
      </c>
    </row>
    <row r="461" spans="1:1" x14ac:dyDescent="0.25">
      <c r="A461" s="2">
        <v>293942</v>
      </c>
    </row>
    <row r="462" spans="1:1" x14ac:dyDescent="0.25">
      <c r="A462" s="2">
        <v>294208</v>
      </c>
    </row>
    <row r="463" spans="1:1" x14ac:dyDescent="0.25">
      <c r="A463" s="2">
        <v>294255</v>
      </c>
    </row>
    <row r="464" spans="1:1" x14ac:dyDescent="0.25">
      <c r="A464" s="2">
        <v>294257</v>
      </c>
    </row>
    <row r="465" spans="1:1" x14ac:dyDescent="0.25">
      <c r="A465" s="2">
        <v>294287</v>
      </c>
    </row>
    <row r="466" spans="1:1" x14ac:dyDescent="0.25">
      <c r="A466" s="2">
        <v>294294</v>
      </c>
    </row>
    <row r="467" spans="1:1" x14ac:dyDescent="0.25">
      <c r="A467" s="2">
        <v>294386</v>
      </c>
    </row>
    <row r="468" spans="1:1" x14ac:dyDescent="0.25">
      <c r="A468" s="2">
        <v>294396</v>
      </c>
    </row>
    <row r="469" spans="1:1" x14ac:dyDescent="0.25">
      <c r="A469" s="2">
        <v>294402</v>
      </c>
    </row>
    <row r="470" spans="1:1" x14ac:dyDescent="0.25">
      <c r="A470" s="2">
        <v>294420</v>
      </c>
    </row>
    <row r="471" spans="1:1" x14ac:dyDescent="0.25">
      <c r="A471" s="2">
        <v>294444</v>
      </c>
    </row>
    <row r="472" spans="1:1" x14ac:dyDescent="0.25">
      <c r="A472" s="2">
        <v>294463</v>
      </c>
    </row>
    <row r="473" spans="1:1" x14ac:dyDescent="0.25">
      <c r="A473" s="2">
        <v>294481</v>
      </c>
    </row>
    <row r="474" spans="1:1" x14ac:dyDescent="0.25">
      <c r="A474" s="2">
        <v>294503</v>
      </c>
    </row>
    <row r="475" spans="1:1" x14ac:dyDescent="0.25">
      <c r="A475" s="2">
        <v>294509</v>
      </c>
    </row>
    <row r="476" spans="1:1" x14ac:dyDescent="0.25">
      <c r="A476" s="2">
        <v>294511</v>
      </c>
    </row>
    <row r="477" spans="1:1" x14ac:dyDescent="0.25">
      <c r="A477" s="2">
        <v>294517</v>
      </c>
    </row>
    <row r="478" spans="1:1" x14ac:dyDescent="0.25">
      <c r="A478" s="2">
        <v>294544</v>
      </c>
    </row>
    <row r="479" spans="1:1" x14ac:dyDescent="0.25">
      <c r="A479" s="2">
        <v>294563</v>
      </c>
    </row>
    <row r="480" spans="1:1" x14ac:dyDescent="0.25">
      <c r="A480" s="2">
        <v>294570</v>
      </c>
    </row>
    <row r="481" spans="1:1" x14ac:dyDescent="0.25">
      <c r="A481" s="2">
        <v>294585</v>
      </c>
    </row>
    <row r="482" spans="1:1" x14ac:dyDescent="0.25">
      <c r="A482" s="2">
        <v>294664</v>
      </c>
    </row>
    <row r="483" spans="1:1" x14ac:dyDescent="0.25">
      <c r="A483" s="2">
        <v>294672</v>
      </c>
    </row>
    <row r="484" spans="1:1" x14ac:dyDescent="0.25">
      <c r="A484" s="2">
        <v>294676</v>
      </c>
    </row>
    <row r="485" spans="1:1" x14ac:dyDescent="0.25">
      <c r="A485" s="2">
        <v>294691</v>
      </c>
    </row>
    <row r="486" spans="1:1" x14ac:dyDescent="0.25">
      <c r="A486" s="2">
        <v>294699</v>
      </c>
    </row>
    <row r="487" spans="1:1" x14ac:dyDescent="0.25">
      <c r="A487" s="2">
        <v>294740</v>
      </c>
    </row>
    <row r="488" spans="1:1" x14ac:dyDescent="0.25">
      <c r="A488" s="2">
        <v>294744</v>
      </c>
    </row>
    <row r="489" spans="1:1" x14ac:dyDescent="0.25">
      <c r="A489" s="2">
        <v>294756</v>
      </c>
    </row>
    <row r="490" spans="1:1" x14ac:dyDescent="0.25">
      <c r="A490" s="2">
        <v>295316</v>
      </c>
    </row>
    <row r="491" spans="1:1" x14ac:dyDescent="0.25">
      <c r="A491" s="2">
        <v>296433</v>
      </c>
    </row>
    <row r="492" spans="1:1" x14ac:dyDescent="0.25">
      <c r="A492" s="2">
        <v>298768</v>
      </c>
    </row>
    <row r="493" spans="1:1" x14ac:dyDescent="0.25">
      <c r="A493" s="2">
        <v>298863</v>
      </c>
    </row>
    <row r="494" spans="1:1" x14ac:dyDescent="0.25">
      <c r="A494" s="2">
        <v>301585</v>
      </c>
    </row>
    <row r="495" spans="1:1" x14ac:dyDescent="0.25">
      <c r="A495" s="2">
        <v>301604</v>
      </c>
    </row>
    <row r="496" spans="1:1" x14ac:dyDescent="0.25">
      <c r="A496" s="2">
        <v>306629</v>
      </c>
    </row>
    <row r="497" spans="1:1" x14ac:dyDescent="0.25">
      <c r="A497" s="2">
        <v>306697</v>
      </c>
    </row>
    <row r="498" spans="1:1" x14ac:dyDescent="0.25">
      <c r="A498" s="2">
        <v>311077</v>
      </c>
    </row>
    <row r="499" spans="1:1" x14ac:dyDescent="0.25">
      <c r="A499" s="2">
        <v>311078</v>
      </c>
    </row>
    <row r="500" spans="1:1" x14ac:dyDescent="0.25">
      <c r="A500" s="2">
        <v>311126</v>
      </c>
    </row>
    <row r="501" spans="1:1" x14ac:dyDescent="0.25">
      <c r="A501" s="2">
        <v>311127</v>
      </c>
    </row>
    <row r="502" spans="1:1" x14ac:dyDescent="0.25">
      <c r="A502" s="2">
        <v>311153</v>
      </c>
    </row>
    <row r="503" spans="1:1" x14ac:dyDescent="0.25">
      <c r="A503" s="2">
        <v>311274</v>
      </c>
    </row>
    <row r="504" spans="1:1" x14ac:dyDescent="0.25">
      <c r="A504" s="2">
        <v>311290</v>
      </c>
    </row>
    <row r="505" spans="1:1" x14ac:dyDescent="0.25">
      <c r="A505" s="2">
        <v>315681</v>
      </c>
    </row>
    <row r="506" spans="1:1" x14ac:dyDescent="0.25">
      <c r="A506" s="2">
        <v>315687</v>
      </c>
    </row>
    <row r="507" spans="1:1" x14ac:dyDescent="0.25">
      <c r="A507" s="2">
        <v>315721</v>
      </c>
    </row>
    <row r="508" spans="1:1" x14ac:dyDescent="0.25">
      <c r="A508" s="2">
        <v>315743</v>
      </c>
    </row>
    <row r="509" spans="1:1" x14ac:dyDescent="0.25">
      <c r="A509" s="2">
        <v>315764</v>
      </c>
    </row>
    <row r="510" spans="1:1" x14ac:dyDescent="0.25">
      <c r="A510" s="2">
        <v>315843</v>
      </c>
    </row>
    <row r="511" spans="1:1" x14ac:dyDescent="0.25">
      <c r="A511" s="2">
        <v>315960</v>
      </c>
    </row>
    <row r="512" spans="1:1" x14ac:dyDescent="0.25">
      <c r="A512" s="2">
        <v>317270</v>
      </c>
    </row>
    <row r="513" spans="1:1" x14ac:dyDescent="0.25">
      <c r="A513" s="2">
        <v>320473</v>
      </c>
    </row>
    <row r="514" spans="1:1" x14ac:dyDescent="0.25">
      <c r="A514" s="2">
        <v>320750</v>
      </c>
    </row>
    <row r="515" spans="1:1" x14ac:dyDescent="0.25">
      <c r="A515" s="2">
        <v>321000</v>
      </c>
    </row>
    <row r="516" spans="1:1" x14ac:dyDescent="0.25">
      <c r="A516" s="2">
        <v>321024</v>
      </c>
    </row>
    <row r="517" spans="1:1" x14ac:dyDescent="0.25">
      <c r="A517" s="2">
        <v>321025</v>
      </c>
    </row>
    <row r="518" spans="1:1" x14ac:dyDescent="0.25">
      <c r="A518" s="2">
        <v>321041</v>
      </c>
    </row>
    <row r="519" spans="1:1" x14ac:dyDescent="0.25">
      <c r="A519" s="2">
        <v>322664</v>
      </c>
    </row>
    <row r="520" spans="1:1" x14ac:dyDescent="0.25">
      <c r="A520" s="2">
        <v>322684</v>
      </c>
    </row>
    <row r="521" spans="1:1" x14ac:dyDescent="0.25">
      <c r="A521" s="2">
        <v>322691</v>
      </c>
    </row>
    <row r="522" spans="1:1" x14ac:dyDescent="0.25">
      <c r="A522" s="2">
        <v>322700</v>
      </c>
    </row>
    <row r="523" spans="1:1" x14ac:dyDescent="0.25">
      <c r="A523" s="2">
        <v>322714</v>
      </c>
    </row>
    <row r="524" spans="1:1" x14ac:dyDescent="0.25">
      <c r="A524" s="2">
        <v>322727</v>
      </c>
    </row>
    <row r="525" spans="1:1" x14ac:dyDescent="0.25">
      <c r="A525" s="2">
        <v>322733</v>
      </c>
    </row>
    <row r="526" spans="1:1" x14ac:dyDescent="0.25">
      <c r="A526" s="2">
        <v>322861</v>
      </c>
    </row>
    <row r="527" spans="1:1" x14ac:dyDescent="0.25">
      <c r="A527" s="2">
        <v>322944</v>
      </c>
    </row>
    <row r="528" spans="1:1" x14ac:dyDescent="0.25">
      <c r="A528" s="2">
        <v>323129</v>
      </c>
    </row>
    <row r="529" spans="1:1" x14ac:dyDescent="0.25">
      <c r="A529" s="2">
        <v>323187</v>
      </c>
    </row>
    <row r="530" spans="1:1" x14ac:dyDescent="0.25">
      <c r="A530" s="2">
        <v>323207</v>
      </c>
    </row>
    <row r="531" spans="1:1" x14ac:dyDescent="0.25">
      <c r="A531" s="2">
        <v>323242</v>
      </c>
    </row>
    <row r="532" spans="1:1" x14ac:dyDescent="0.25">
      <c r="A532" s="2">
        <v>323263</v>
      </c>
    </row>
    <row r="533" spans="1:1" x14ac:dyDescent="0.25">
      <c r="A533" s="2">
        <v>323274</v>
      </c>
    </row>
    <row r="534" spans="1:1" x14ac:dyDescent="0.25">
      <c r="A534" s="2">
        <v>323275</v>
      </c>
    </row>
    <row r="535" spans="1:1" x14ac:dyDescent="0.25">
      <c r="A535" s="2">
        <v>323285</v>
      </c>
    </row>
    <row r="536" spans="1:1" x14ac:dyDescent="0.25">
      <c r="A536" s="2">
        <v>323305</v>
      </c>
    </row>
    <row r="537" spans="1:1" x14ac:dyDescent="0.25">
      <c r="A537" s="2">
        <v>323325</v>
      </c>
    </row>
    <row r="538" spans="1:1" x14ac:dyDescent="0.25">
      <c r="A538" s="2">
        <v>323493</v>
      </c>
    </row>
    <row r="539" spans="1:1" x14ac:dyDescent="0.25">
      <c r="A539" s="2">
        <v>323532</v>
      </c>
    </row>
    <row r="540" spans="1:1" x14ac:dyDescent="0.25">
      <c r="A540" s="2">
        <v>323539</v>
      </c>
    </row>
    <row r="541" spans="1:1" x14ac:dyDescent="0.25">
      <c r="A541" s="2">
        <v>323564</v>
      </c>
    </row>
    <row r="542" spans="1:1" x14ac:dyDescent="0.25">
      <c r="A542" s="2">
        <v>323608</v>
      </c>
    </row>
    <row r="543" spans="1:1" x14ac:dyDescent="0.25">
      <c r="A543" s="2">
        <v>325589</v>
      </c>
    </row>
    <row r="544" spans="1:1" x14ac:dyDescent="0.25">
      <c r="A544" s="2">
        <v>325880</v>
      </c>
    </row>
    <row r="545" spans="1:1" x14ac:dyDescent="0.25">
      <c r="A545" s="2">
        <v>325894</v>
      </c>
    </row>
    <row r="546" spans="1:1" x14ac:dyDescent="0.25">
      <c r="A546" s="2">
        <v>325898</v>
      </c>
    </row>
    <row r="547" spans="1:1" x14ac:dyDescent="0.25">
      <c r="A547" s="2">
        <v>325909</v>
      </c>
    </row>
    <row r="548" spans="1:1" x14ac:dyDescent="0.25">
      <c r="A548" s="2">
        <v>325922</v>
      </c>
    </row>
    <row r="549" spans="1:1" x14ac:dyDescent="0.25">
      <c r="A549" s="2">
        <v>325977</v>
      </c>
    </row>
    <row r="550" spans="1:1" x14ac:dyDescent="0.25">
      <c r="A550" s="2">
        <v>325985</v>
      </c>
    </row>
    <row r="551" spans="1:1" x14ac:dyDescent="0.25">
      <c r="A551" s="2">
        <v>325991</v>
      </c>
    </row>
    <row r="552" spans="1:1" x14ac:dyDescent="0.25">
      <c r="A552" s="2">
        <v>326008</v>
      </c>
    </row>
    <row r="553" spans="1:1" x14ac:dyDescent="0.25">
      <c r="A553" s="2">
        <v>326013</v>
      </c>
    </row>
    <row r="554" spans="1:1" x14ac:dyDescent="0.25">
      <c r="A554" s="2">
        <v>326015</v>
      </c>
    </row>
    <row r="555" spans="1:1" x14ac:dyDescent="0.25">
      <c r="A555" s="2">
        <v>326021</v>
      </c>
    </row>
    <row r="556" spans="1:1" x14ac:dyDescent="0.25">
      <c r="A556" s="2">
        <v>326036</v>
      </c>
    </row>
    <row r="557" spans="1:1" x14ac:dyDescent="0.25">
      <c r="A557" s="2">
        <v>326063</v>
      </c>
    </row>
    <row r="558" spans="1:1" x14ac:dyDescent="0.25">
      <c r="A558" s="2">
        <v>326074</v>
      </c>
    </row>
    <row r="559" spans="1:1" x14ac:dyDescent="0.25">
      <c r="A559" s="2">
        <v>326129</v>
      </c>
    </row>
    <row r="560" spans="1:1" x14ac:dyDescent="0.25">
      <c r="A560" s="2">
        <v>326196</v>
      </c>
    </row>
    <row r="561" spans="1:1" x14ac:dyDescent="0.25">
      <c r="A561" s="2">
        <v>326204</v>
      </c>
    </row>
    <row r="562" spans="1:1" x14ac:dyDescent="0.25">
      <c r="A562" s="2">
        <v>326210</v>
      </c>
    </row>
    <row r="563" spans="1:1" x14ac:dyDescent="0.25">
      <c r="A563" s="2">
        <v>326255</v>
      </c>
    </row>
    <row r="564" spans="1:1" x14ac:dyDescent="0.25">
      <c r="A564" s="2">
        <v>326260</v>
      </c>
    </row>
    <row r="565" spans="1:1" x14ac:dyDescent="0.25">
      <c r="A565" s="2">
        <v>326281</v>
      </c>
    </row>
    <row r="566" spans="1:1" x14ac:dyDescent="0.25">
      <c r="A566" s="2">
        <v>326302</v>
      </c>
    </row>
    <row r="567" spans="1:1" x14ac:dyDescent="0.25">
      <c r="A567" s="2">
        <v>326335</v>
      </c>
    </row>
    <row r="568" spans="1:1" x14ac:dyDescent="0.25">
      <c r="A568" s="2">
        <v>326339</v>
      </c>
    </row>
    <row r="569" spans="1:1" x14ac:dyDescent="0.25">
      <c r="A569" s="2">
        <v>326368</v>
      </c>
    </row>
    <row r="570" spans="1:1" x14ac:dyDescent="0.25">
      <c r="A570" s="2">
        <v>326400</v>
      </c>
    </row>
    <row r="571" spans="1:1" x14ac:dyDescent="0.25">
      <c r="A571" s="2">
        <v>326403</v>
      </c>
    </row>
    <row r="572" spans="1:1" x14ac:dyDescent="0.25">
      <c r="A572" s="2">
        <v>326447</v>
      </c>
    </row>
    <row r="573" spans="1:1" x14ac:dyDescent="0.25">
      <c r="A573" s="2">
        <v>326477</v>
      </c>
    </row>
    <row r="574" spans="1:1" x14ac:dyDescent="0.25">
      <c r="A574" s="2">
        <v>326543</v>
      </c>
    </row>
    <row r="575" spans="1:1" x14ac:dyDescent="0.25">
      <c r="A575" s="2">
        <v>326635</v>
      </c>
    </row>
    <row r="576" spans="1:1" x14ac:dyDescent="0.25">
      <c r="A576" s="2">
        <v>327985</v>
      </c>
    </row>
    <row r="577" spans="1:1" x14ac:dyDescent="0.25">
      <c r="A577" s="2">
        <v>328004</v>
      </c>
    </row>
    <row r="578" spans="1:1" x14ac:dyDescent="0.25">
      <c r="A578" s="2">
        <v>328043</v>
      </c>
    </row>
    <row r="579" spans="1:1" x14ac:dyDescent="0.25">
      <c r="A579" s="2">
        <v>328068</v>
      </c>
    </row>
    <row r="580" spans="1:1" x14ac:dyDescent="0.25">
      <c r="A580" s="2">
        <v>328121</v>
      </c>
    </row>
    <row r="581" spans="1:1" x14ac:dyDescent="0.25">
      <c r="A581" s="2">
        <v>328160</v>
      </c>
    </row>
    <row r="582" spans="1:1" x14ac:dyDescent="0.25">
      <c r="A582" s="2">
        <v>328195</v>
      </c>
    </row>
    <row r="583" spans="1:1" x14ac:dyDescent="0.25">
      <c r="A583" s="2">
        <v>328196</v>
      </c>
    </row>
    <row r="584" spans="1:1" x14ac:dyDescent="0.25">
      <c r="A584" s="2">
        <v>328198</v>
      </c>
    </row>
    <row r="585" spans="1:1" x14ac:dyDescent="0.25">
      <c r="A585" s="2">
        <v>328199</v>
      </c>
    </row>
    <row r="586" spans="1:1" x14ac:dyDescent="0.25">
      <c r="A586" s="2">
        <v>328242</v>
      </c>
    </row>
    <row r="587" spans="1:1" x14ac:dyDescent="0.25">
      <c r="A587" s="2">
        <v>328257</v>
      </c>
    </row>
    <row r="588" spans="1:1" x14ac:dyDescent="0.25">
      <c r="A588" s="2">
        <v>328350</v>
      </c>
    </row>
    <row r="589" spans="1:1" x14ac:dyDescent="0.25">
      <c r="A589" s="2">
        <v>328440</v>
      </c>
    </row>
    <row r="590" spans="1:1" x14ac:dyDescent="0.25">
      <c r="A590" s="2">
        <v>328445</v>
      </c>
    </row>
    <row r="591" spans="1:1" x14ac:dyDescent="0.25">
      <c r="A591" s="2">
        <v>328463</v>
      </c>
    </row>
    <row r="592" spans="1:1" x14ac:dyDescent="0.25">
      <c r="A592" s="2">
        <v>328473</v>
      </c>
    </row>
    <row r="593" spans="1:1" x14ac:dyDescent="0.25">
      <c r="A593" s="2">
        <v>328491</v>
      </c>
    </row>
    <row r="594" spans="1:1" x14ac:dyDescent="0.25">
      <c r="A594" s="2">
        <v>328496</v>
      </c>
    </row>
    <row r="595" spans="1:1" x14ac:dyDescent="0.25">
      <c r="A595" s="2">
        <v>328505</v>
      </c>
    </row>
    <row r="596" spans="1:1" x14ac:dyDescent="0.25">
      <c r="A596" s="2">
        <v>328521</v>
      </c>
    </row>
    <row r="597" spans="1:1" x14ac:dyDescent="0.25">
      <c r="A597" s="2">
        <v>328540</v>
      </c>
    </row>
    <row r="598" spans="1:1" x14ac:dyDescent="0.25">
      <c r="A598" s="2">
        <v>328548</v>
      </c>
    </row>
    <row r="599" spans="1:1" x14ac:dyDescent="0.25">
      <c r="A599" s="2">
        <v>328559</v>
      </c>
    </row>
    <row r="600" spans="1:1" x14ac:dyDescent="0.25">
      <c r="A600" s="2">
        <v>328691</v>
      </c>
    </row>
    <row r="601" spans="1:1" x14ac:dyDescent="0.25">
      <c r="A601" s="2">
        <v>328697</v>
      </c>
    </row>
    <row r="602" spans="1:1" x14ac:dyDescent="0.25">
      <c r="A602" s="2">
        <v>328710</v>
      </c>
    </row>
    <row r="603" spans="1:1" x14ac:dyDescent="0.25">
      <c r="A603" s="2">
        <v>328968</v>
      </c>
    </row>
    <row r="604" spans="1:1" x14ac:dyDescent="0.25">
      <c r="A604" s="2">
        <v>328977</v>
      </c>
    </row>
    <row r="605" spans="1:1" x14ac:dyDescent="0.25">
      <c r="A605" s="2">
        <v>329010</v>
      </c>
    </row>
    <row r="606" spans="1:1" x14ac:dyDescent="0.25">
      <c r="A606" s="2">
        <v>329037</v>
      </c>
    </row>
    <row r="607" spans="1:1" x14ac:dyDescent="0.25">
      <c r="A607" s="2">
        <v>329046</v>
      </c>
    </row>
    <row r="608" spans="1:1" x14ac:dyDescent="0.25">
      <c r="A608" s="2">
        <v>329055</v>
      </c>
    </row>
    <row r="609" spans="1:1" x14ac:dyDescent="0.25">
      <c r="A609" s="2">
        <v>329068</v>
      </c>
    </row>
    <row r="610" spans="1:1" x14ac:dyDescent="0.25">
      <c r="A610" s="2">
        <v>329086</v>
      </c>
    </row>
    <row r="611" spans="1:1" x14ac:dyDescent="0.25">
      <c r="A611" s="2">
        <v>329113</v>
      </c>
    </row>
    <row r="612" spans="1:1" x14ac:dyDescent="0.25">
      <c r="A612" s="2">
        <v>329271</v>
      </c>
    </row>
    <row r="613" spans="1:1" x14ac:dyDescent="0.25">
      <c r="A613" s="2">
        <v>329309</v>
      </c>
    </row>
    <row r="614" spans="1:1" x14ac:dyDescent="0.25">
      <c r="A614" s="2">
        <v>329895</v>
      </c>
    </row>
    <row r="615" spans="1:1" x14ac:dyDescent="0.25">
      <c r="A615" s="2">
        <v>329897</v>
      </c>
    </row>
    <row r="616" spans="1:1" x14ac:dyDescent="0.25">
      <c r="A616" s="2">
        <v>329909</v>
      </c>
    </row>
    <row r="617" spans="1:1" x14ac:dyDescent="0.25">
      <c r="A617" s="2">
        <v>329919</v>
      </c>
    </row>
    <row r="618" spans="1:1" x14ac:dyDescent="0.25">
      <c r="A618" s="2">
        <v>330122</v>
      </c>
    </row>
    <row r="619" spans="1:1" x14ac:dyDescent="0.25">
      <c r="A619" s="2">
        <v>330138</v>
      </c>
    </row>
    <row r="620" spans="1:1" x14ac:dyDescent="0.25">
      <c r="A620" s="2">
        <v>330471</v>
      </c>
    </row>
    <row r="621" spans="1:1" x14ac:dyDescent="0.25">
      <c r="A621" s="2">
        <v>330472</v>
      </c>
    </row>
    <row r="622" spans="1:1" x14ac:dyDescent="0.25">
      <c r="A622" s="2">
        <v>330683</v>
      </c>
    </row>
    <row r="623" spans="1:1" x14ac:dyDescent="0.25">
      <c r="A623" s="2">
        <v>330709</v>
      </c>
    </row>
    <row r="624" spans="1:1" x14ac:dyDescent="0.25">
      <c r="A624" s="2">
        <v>330717</v>
      </c>
    </row>
    <row r="625" spans="1:1" x14ac:dyDescent="0.25">
      <c r="A625" s="2">
        <v>330727</v>
      </c>
    </row>
    <row r="626" spans="1:1" x14ac:dyDescent="0.25">
      <c r="A626" s="2">
        <v>331156</v>
      </c>
    </row>
    <row r="627" spans="1:1" x14ac:dyDescent="0.25">
      <c r="A627" s="2">
        <v>331162</v>
      </c>
    </row>
    <row r="628" spans="1:1" x14ac:dyDescent="0.25">
      <c r="A628" s="2">
        <v>331168</v>
      </c>
    </row>
    <row r="629" spans="1:1" x14ac:dyDescent="0.25">
      <c r="A629" s="2">
        <v>331175</v>
      </c>
    </row>
    <row r="630" spans="1:1" x14ac:dyDescent="0.25">
      <c r="A630" s="2">
        <v>331416</v>
      </c>
    </row>
    <row r="631" spans="1:1" x14ac:dyDescent="0.25">
      <c r="A631" s="2">
        <v>331423</v>
      </c>
    </row>
    <row r="632" spans="1:1" x14ac:dyDescent="0.25">
      <c r="A632" s="2">
        <v>331436</v>
      </c>
    </row>
    <row r="633" spans="1:1" x14ac:dyDescent="0.25">
      <c r="A633" s="2">
        <v>331452</v>
      </c>
    </row>
    <row r="634" spans="1:1" x14ac:dyDescent="0.25">
      <c r="A634" s="2">
        <v>331458</v>
      </c>
    </row>
    <row r="635" spans="1:1" x14ac:dyDescent="0.25">
      <c r="A635" s="2">
        <v>331476</v>
      </c>
    </row>
    <row r="636" spans="1:1" x14ac:dyDescent="0.25">
      <c r="A636" s="2">
        <v>331482</v>
      </c>
    </row>
    <row r="637" spans="1:1" x14ac:dyDescent="0.25">
      <c r="A637" s="2">
        <v>331497</v>
      </c>
    </row>
    <row r="638" spans="1:1" x14ac:dyDescent="0.25">
      <c r="A638" s="2">
        <v>331508</v>
      </c>
    </row>
    <row r="639" spans="1:1" x14ac:dyDescent="0.25">
      <c r="A639" s="2">
        <v>331534</v>
      </c>
    </row>
    <row r="640" spans="1:1" x14ac:dyDescent="0.25">
      <c r="A640" s="2">
        <v>331541</v>
      </c>
    </row>
    <row r="641" spans="1:1" x14ac:dyDescent="0.25">
      <c r="A641" s="2">
        <v>331553</v>
      </c>
    </row>
    <row r="642" spans="1:1" x14ac:dyDescent="0.25">
      <c r="A642" s="2">
        <v>331566</v>
      </c>
    </row>
    <row r="643" spans="1:1" x14ac:dyDescent="0.25">
      <c r="A643" s="2">
        <v>331576</v>
      </c>
    </row>
    <row r="644" spans="1:1" x14ac:dyDescent="0.25">
      <c r="A644" s="2">
        <v>331577</v>
      </c>
    </row>
    <row r="645" spans="1:1" x14ac:dyDescent="0.25">
      <c r="A645" s="2">
        <v>331611</v>
      </c>
    </row>
    <row r="646" spans="1:1" x14ac:dyDescent="0.25">
      <c r="A646" s="2">
        <v>331663</v>
      </c>
    </row>
    <row r="647" spans="1:1" x14ac:dyDescent="0.25">
      <c r="A647" s="2">
        <v>331836</v>
      </c>
    </row>
    <row r="648" spans="1:1" x14ac:dyDescent="0.25">
      <c r="A648" s="2">
        <v>331992</v>
      </c>
    </row>
    <row r="649" spans="1:1" x14ac:dyDescent="0.25">
      <c r="A649" s="2">
        <v>332224</v>
      </c>
    </row>
    <row r="650" spans="1:1" x14ac:dyDescent="0.25">
      <c r="A650" s="2">
        <v>332564</v>
      </c>
    </row>
    <row r="651" spans="1:1" x14ac:dyDescent="0.25">
      <c r="A651" s="2">
        <v>332584</v>
      </c>
    </row>
    <row r="652" spans="1:1" x14ac:dyDescent="0.25">
      <c r="A652" s="2">
        <v>332952</v>
      </c>
    </row>
    <row r="653" spans="1:1" x14ac:dyDescent="0.25">
      <c r="A653" s="2">
        <v>333222</v>
      </c>
    </row>
    <row r="654" spans="1:1" x14ac:dyDescent="0.25">
      <c r="A654" s="2">
        <v>335222</v>
      </c>
    </row>
    <row r="655" spans="1:1" x14ac:dyDescent="0.25">
      <c r="A655" s="2">
        <v>336016</v>
      </c>
    </row>
    <row r="656" spans="1:1" x14ac:dyDescent="0.25">
      <c r="A656" s="2">
        <v>336715</v>
      </c>
    </row>
    <row r="657" spans="1:1" x14ac:dyDescent="0.25">
      <c r="A657" s="2">
        <v>336748</v>
      </c>
    </row>
    <row r="658" spans="1:1" x14ac:dyDescent="0.25">
      <c r="A658" s="2">
        <v>336754</v>
      </c>
    </row>
    <row r="659" spans="1:1" x14ac:dyDescent="0.25">
      <c r="A659" s="2">
        <v>336874</v>
      </c>
    </row>
    <row r="660" spans="1:1" x14ac:dyDescent="0.25">
      <c r="A660" s="2">
        <v>336880</v>
      </c>
    </row>
    <row r="661" spans="1:1" x14ac:dyDescent="0.25">
      <c r="A661" s="2">
        <v>336901</v>
      </c>
    </row>
    <row r="662" spans="1:1" x14ac:dyDescent="0.25">
      <c r="A662" s="2">
        <v>336975</v>
      </c>
    </row>
    <row r="663" spans="1:1" x14ac:dyDescent="0.25">
      <c r="A663" s="2">
        <v>336984</v>
      </c>
    </row>
    <row r="664" spans="1:1" x14ac:dyDescent="0.25">
      <c r="A664" s="2">
        <v>337011</v>
      </c>
    </row>
    <row r="665" spans="1:1" x14ac:dyDescent="0.25">
      <c r="A665" s="2">
        <v>337017</v>
      </c>
    </row>
    <row r="666" spans="1:1" x14ac:dyDescent="0.25">
      <c r="A666" s="2">
        <v>337162</v>
      </c>
    </row>
    <row r="667" spans="1:1" x14ac:dyDescent="0.25">
      <c r="A667" s="2">
        <v>337165</v>
      </c>
    </row>
    <row r="668" spans="1:1" x14ac:dyDescent="0.25">
      <c r="A668" s="2">
        <v>337193</v>
      </c>
    </row>
    <row r="669" spans="1:1" x14ac:dyDescent="0.25">
      <c r="A669" s="2">
        <v>337201</v>
      </c>
    </row>
    <row r="670" spans="1:1" x14ac:dyDescent="0.25">
      <c r="A670" s="2">
        <v>337260</v>
      </c>
    </row>
    <row r="671" spans="1:1" x14ac:dyDescent="0.25">
      <c r="A671" s="2">
        <v>337269</v>
      </c>
    </row>
    <row r="672" spans="1:1" x14ac:dyDescent="0.25">
      <c r="A672" s="2">
        <v>337316</v>
      </c>
    </row>
    <row r="673" spans="1:1" x14ac:dyDescent="0.25">
      <c r="A673" s="2">
        <v>337331</v>
      </c>
    </row>
    <row r="674" spans="1:1" x14ac:dyDescent="0.25">
      <c r="A674" s="2">
        <v>337350</v>
      </c>
    </row>
    <row r="675" spans="1:1" x14ac:dyDescent="0.25">
      <c r="A675" s="2">
        <v>337356</v>
      </c>
    </row>
    <row r="676" spans="1:1" x14ac:dyDescent="0.25">
      <c r="A676" s="2">
        <v>337396</v>
      </c>
    </row>
    <row r="677" spans="1:1" x14ac:dyDescent="0.25">
      <c r="A677" s="2">
        <v>337405</v>
      </c>
    </row>
    <row r="678" spans="1:1" x14ac:dyDescent="0.25">
      <c r="A678" s="2">
        <v>338533</v>
      </c>
    </row>
    <row r="679" spans="1:1" x14ac:dyDescent="0.25">
      <c r="A679" s="2">
        <v>338534</v>
      </c>
    </row>
    <row r="680" spans="1:1" x14ac:dyDescent="0.25">
      <c r="A680" s="2">
        <v>338537</v>
      </c>
    </row>
    <row r="681" spans="1:1" x14ac:dyDescent="0.25">
      <c r="A681" s="2">
        <v>338653</v>
      </c>
    </row>
    <row r="682" spans="1:1" x14ac:dyDescent="0.25">
      <c r="A682" s="2">
        <v>340036</v>
      </c>
    </row>
    <row r="683" spans="1:1" x14ac:dyDescent="0.25">
      <c r="A683" s="2">
        <v>342711</v>
      </c>
    </row>
    <row r="684" spans="1:1" x14ac:dyDescent="0.25">
      <c r="A684" s="2">
        <v>342728</v>
      </c>
    </row>
    <row r="685" spans="1:1" x14ac:dyDescent="0.25">
      <c r="A685" s="2">
        <v>342733</v>
      </c>
    </row>
    <row r="686" spans="1:1" x14ac:dyDescent="0.25">
      <c r="A686" s="2">
        <v>342754</v>
      </c>
    </row>
    <row r="687" spans="1:1" x14ac:dyDescent="0.25">
      <c r="A687" s="2">
        <v>342763</v>
      </c>
    </row>
    <row r="688" spans="1:1" x14ac:dyDescent="0.25">
      <c r="A688" s="2">
        <v>342780</v>
      </c>
    </row>
    <row r="689" spans="1:1" x14ac:dyDescent="0.25">
      <c r="A689" s="2">
        <v>342781</v>
      </c>
    </row>
    <row r="690" spans="1:1" x14ac:dyDescent="0.25">
      <c r="A690" s="2">
        <v>342810</v>
      </c>
    </row>
    <row r="691" spans="1:1" x14ac:dyDescent="0.25">
      <c r="A691" s="2">
        <v>342851</v>
      </c>
    </row>
    <row r="692" spans="1:1" x14ac:dyDescent="0.25">
      <c r="A692" s="2">
        <v>342895</v>
      </c>
    </row>
    <row r="693" spans="1:1" x14ac:dyDescent="0.25">
      <c r="A693" s="2">
        <v>342974</v>
      </c>
    </row>
    <row r="694" spans="1:1" x14ac:dyDescent="0.25">
      <c r="A694" s="2">
        <v>342997</v>
      </c>
    </row>
    <row r="695" spans="1:1" x14ac:dyDescent="0.25">
      <c r="A695" s="2">
        <v>343009</v>
      </c>
    </row>
    <row r="696" spans="1:1" x14ac:dyDescent="0.25">
      <c r="A696" s="2">
        <v>343064</v>
      </c>
    </row>
    <row r="697" spans="1:1" x14ac:dyDescent="0.25">
      <c r="A697" s="2">
        <v>343351</v>
      </c>
    </row>
    <row r="698" spans="1:1" x14ac:dyDescent="0.25">
      <c r="A698" s="2">
        <v>343717</v>
      </c>
    </row>
    <row r="699" spans="1:1" x14ac:dyDescent="0.25">
      <c r="A699" s="2">
        <v>343719</v>
      </c>
    </row>
    <row r="700" spans="1:1" x14ac:dyDescent="0.25">
      <c r="A700" s="2">
        <v>343766</v>
      </c>
    </row>
    <row r="701" spans="1:1" x14ac:dyDescent="0.25">
      <c r="A701" s="2">
        <v>343909</v>
      </c>
    </row>
    <row r="702" spans="1:1" x14ac:dyDescent="0.25">
      <c r="A702" s="2">
        <v>343924</v>
      </c>
    </row>
    <row r="703" spans="1:1" x14ac:dyDescent="0.25">
      <c r="A703" s="2">
        <v>343926</v>
      </c>
    </row>
    <row r="704" spans="1:1" x14ac:dyDescent="0.25">
      <c r="A704" s="2">
        <v>343936</v>
      </c>
    </row>
    <row r="705" spans="1:1" x14ac:dyDescent="0.25">
      <c r="A705" s="2">
        <v>343938</v>
      </c>
    </row>
    <row r="706" spans="1:1" x14ac:dyDescent="0.25">
      <c r="A706" s="2">
        <v>343979</v>
      </c>
    </row>
    <row r="707" spans="1:1" x14ac:dyDescent="0.25">
      <c r="A707" s="2">
        <v>344137</v>
      </c>
    </row>
    <row r="708" spans="1:1" x14ac:dyDescent="0.25">
      <c r="A708" s="2">
        <v>344359</v>
      </c>
    </row>
    <row r="709" spans="1:1" x14ac:dyDescent="0.25">
      <c r="A709" s="2">
        <v>344396</v>
      </c>
    </row>
    <row r="710" spans="1:1" x14ac:dyDescent="0.25">
      <c r="A710" s="2">
        <v>344397</v>
      </c>
    </row>
    <row r="711" spans="1:1" x14ac:dyDescent="0.25">
      <c r="A711" s="2">
        <v>344430</v>
      </c>
    </row>
    <row r="712" spans="1:1" x14ac:dyDescent="0.25">
      <c r="A712" s="2">
        <v>344521</v>
      </c>
    </row>
    <row r="713" spans="1:1" x14ac:dyDescent="0.25">
      <c r="A713" s="2">
        <v>344569</v>
      </c>
    </row>
    <row r="714" spans="1:1" x14ac:dyDescent="0.25">
      <c r="A714" s="2">
        <v>344663</v>
      </c>
    </row>
    <row r="715" spans="1:1" x14ac:dyDescent="0.25">
      <c r="A715" s="2">
        <v>344688</v>
      </c>
    </row>
    <row r="716" spans="1:1" x14ac:dyDescent="0.25">
      <c r="A716" s="2">
        <v>344790</v>
      </c>
    </row>
    <row r="717" spans="1:1" x14ac:dyDescent="0.25">
      <c r="A717" s="2">
        <v>344977</v>
      </c>
    </row>
    <row r="718" spans="1:1" x14ac:dyDescent="0.25">
      <c r="A718" s="2">
        <v>345153</v>
      </c>
    </row>
    <row r="719" spans="1:1" x14ac:dyDescent="0.25">
      <c r="A719" s="2">
        <v>345228</v>
      </c>
    </row>
    <row r="720" spans="1:1" x14ac:dyDescent="0.25">
      <c r="A720" s="2">
        <v>345325</v>
      </c>
    </row>
    <row r="721" spans="1:1" x14ac:dyDescent="0.25">
      <c r="A721" s="2">
        <v>345378</v>
      </c>
    </row>
    <row r="722" spans="1:1" x14ac:dyDescent="0.25">
      <c r="A722" s="2">
        <v>345441</v>
      </c>
    </row>
    <row r="723" spans="1:1" x14ac:dyDescent="0.25">
      <c r="A723" s="2">
        <v>345478</v>
      </c>
    </row>
    <row r="724" spans="1:1" x14ac:dyDescent="0.25">
      <c r="A724" s="2">
        <v>345690</v>
      </c>
    </row>
    <row r="725" spans="1:1" x14ac:dyDescent="0.25">
      <c r="A725" s="2">
        <v>345723</v>
      </c>
    </row>
    <row r="726" spans="1:1" x14ac:dyDescent="0.25">
      <c r="A726" s="2">
        <v>345748</v>
      </c>
    </row>
    <row r="727" spans="1:1" x14ac:dyDescent="0.25">
      <c r="A727" s="2">
        <v>345756</v>
      </c>
    </row>
    <row r="728" spans="1:1" x14ac:dyDescent="0.25">
      <c r="A728" s="2">
        <v>345764</v>
      </c>
    </row>
    <row r="729" spans="1:1" x14ac:dyDescent="0.25">
      <c r="A729" s="2">
        <v>346204</v>
      </c>
    </row>
    <row r="730" spans="1:1" x14ac:dyDescent="0.25">
      <c r="A730" s="2">
        <v>346249</v>
      </c>
    </row>
    <row r="731" spans="1:1" x14ac:dyDescent="0.25">
      <c r="A731" s="2">
        <v>346251</v>
      </c>
    </row>
    <row r="732" spans="1:1" x14ac:dyDescent="0.25">
      <c r="A732" s="2">
        <v>346256</v>
      </c>
    </row>
    <row r="733" spans="1:1" x14ac:dyDescent="0.25">
      <c r="A733" s="2">
        <v>346304</v>
      </c>
    </row>
    <row r="734" spans="1:1" x14ac:dyDescent="0.25">
      <c r="A734" s="2">
        <v>346324</v>
      </c>
    </row>
    <row r="735" spans="1:1" x14ac:dyDescent="0.25">
      <c r="A735" s="2">
        <v>346860</v>
      </c>
    </row>
    <row r="736" spans="1:1" x14ac:dyDescent="0.25">
      <c r="A736" s="2">
        <v>346897</v>
      </c>
    </row>
    <row r="737" spans="1:1" x14ac:dyDescent="0.25">
      <c r="A737" s="2">
        <v>346908</v>
      </c>
    </row>
    <row r="738" spans="1:1" x14ac:dyDescent="0.25">
      <c r="A738" s="2">
        <v>346916</v>
      </c>
    </row>
    <row r="739" spans="1:1" x14ac:dyDescent="0.25">
      <c r="A739" s="2">
        <v>347887</v>
      </c>
    </row>
    <row r="740" spans="1:1" x14ac:dyDescent="0.25">
      <c r="A740" s="2">
        <v>348056</v>
      </c>
    </row>
    <row r="741" spans="1:1" x14ac:dyDescent="0.25">
      <c r="A741" s="2">
        <v>348077</v>
      </c>
    </row>
    <row r="742" spans="1:1" x14ac:dyDescent="0.25">
      <c r="A742" s="2">
        <v>348108</v>
      </c>
    </row>
    <row r="743" spans="1:1" x14ac:dyDescent="0.25">
      <c r="A743" s="2">
        <v>348120</v>
      </c>
    </row>
    <row r="744" spans="1:1" x14ac:dyDescent="0.25">
      <c r="A744" s="2">
        <v>348147</v>
      </c>
    </row>
    <row r="745" spans="1:1" x14ac:dyDescent="0.25">
      <c r="A745" s="2">
        <v>348150</v>
      </c>
    </row>
    <row r="746" spans="1:1" x14ac:dyDescent="0.25">
      <c r="A746" s="2">
        <v>348174</v>
      </c>
    </row>
    <row r="747" spans="1:1" x14ac:dyDescent="0.25">
      <c r="A747" s="2">
        <v>348176</v>
      </c>
    </row>
    <row r="748" spans="1:1" x14ac:dyDescent="0.25">
      <c r="A748" s="2">
        <v>348177</v>
      </c>
    </row>
    <row r="749" spans="1:1" x14ac:dyDescent="0.25">
      <c r="A749" s="2">
        <v>348178</v>
      </c>
    </row>
    <row r="750" spans="1:1" x14ac:dyDescent="0.25">
      <c r="A750" s="2">
        <v>348200</v>
      </c>
    </row>
    <row r="751" spans="1:1" x14ac:dyDescent="0.25">
      <c r="A751" s="2">
        <v>348253</v>
      </c>
    </row>
    <row r="752" spans="1:1" x14ac:dyDescent="0.25">
      <c r="A752" s="2">
        <v>348344</v>
      </c>
    </row>
    <row r="753" spans="1:1" x14ac:dyDescent="0.25">
      <c r="A753" s="2">
        <v>348435</v>
      </c>
    </row>
    <row r="754" spans="1:1" x14ac:dyDescent="0.25">
      <c r="A754" s="2">
        <v>350592</v>
      </c>
    </row>
    <row r="755" spans="1:1" x14ac:dyDescent="0.25">
      <c r="A755" s="2">
        <v>350615</v>
      </c>
    </row>
    <row r="756" spans="1:1" x14ac:dyDescent="0.25">
      <c r="A756" s="2">
        <v>350624</v>
      </c>
    </row>
    <row r="757" spans="1:1" x14ac:dyDescent="0.25">
      <c r="A757" s="2">
        <v>350641</v>
      </c>
    </row>
    <row r="758" spans="1:1" x14ac:dyDescent="0.25">
      <c r="A758" s="2">
        <v>350946</v>
      </c>
    </row>
    <row r="759" spans="1:1" x14ac:dyDescent="0.25">
      <c r="A759" s="2">
        <v>350966</v>
      </c>
    </row>
    <row r="760" spans="1:1" x14ac:dyDescent="0.25">
      <c r="A760" s="2">
        <v>351082</v>
      </c>
    </row>
    <row r="761" spans="1:1" x14ac:dyDescent="0.25">
      <c r="A761" s="2">
        <v>351102</v>
      </c>
    </row>
    <row r="762" spans="1:1" x14ac:dyDescent="0.25">
      <c r="A762" s="2">
        <v>351244</v>
      </c>
    </row>
    <row r="763" spans="1:1" x14ac:dyDescent="0.25">
      <c r="A763" s="2">
        <v>351267</v>
      </c>
    </row>
    <row r="764" spans="1:1" x14ac:dyDescent="0.25">
      <c r="A764" s="2">
        <v>351348</v>
      </c>
    </row>
    <row r="765" spans="1:1" x14ac:dyDescent="0.25">
      <c r="A765" s="2">
        <v>351358</v>
      </c>
    </row>
    <row r="766" spans="1:1" x14ac:dyDescent="0.25">
      <c r="A766" s="2">
        <v>351455</v>
      </c>
    </row>
    <row r="767" spans="1:1" x14ac:dyDescent="0.25">
      <c r="A767" s="2">
        <v>351513</v>
      </c>
    </row>
    <row r="768" spans="1:1" x14ac:dyDescent="0.25">
      <c r="A768" s="2">
        <v>351564</v>
      </c>
    </row>
    <row r="769" spans="1:1" x14ac:dyDescent="0.25">
      <c r="A769" s="2">
        <v>351618</v>
      </c>
    </row>
    <row r="770" spans="1:1" x14ac:dyDescent="0.25">
      <c r="A770" s="2">
        <v>351788</v>
      </c>
    </row>
    <row r="771" spans="1:1" x14ac:dyDescent="0.25">
      <c r="A771" s="2">
        <v>351797</v>
      </c>
    </row>
    <row r="772" spans="1:1" x14ac:dyDescent="0.25">
      <c r="A772" s="2">
        <v>351810</v>
      </c>
    </row>
    <row r="773" spans="1:1" x14ac:dyDescent="0.25">
      <c r="A773" s="2">
        <v>351818</v>
      </c>
    </row>
    <row r="774" spans="1:1" x14ac:dyDescent="0.25">
      <c r="A774" s="2">
        <v>351827</v>
      </c>
    </row>
    <row r="775" spans="1:1" x14ac:dyDescent="0.25">
      <c r="A775" s="2">
        <v>351837</v>
      </c>
    </row>
    <row r="776" spans="1:1" x14ac:dyDescent="0.25">
      <c r="A776" s="2">
        <v>351985</v>
      </c>
    </row>
    <row r="777" spans="1:1" x14ac:dyDescent="0.25">
      <c r="A777" s="2">
        <v>351999</v>
      </c>
    </row>
    <row r="778" spans="1:1" x14ac:dyDescent="0.25">
      <c r="A778" s="2">
        <v>352008</v>
      </c>
    </row>
    <row r="779" spans="1:1" x14ac:dyDescent="0.25">
      <c r="A779" s="2">
        <v>352016</v>
      </c>
    </row>
    <row r="780" spans="1:1" x14ac:dyDescent="0.25">
      <c r="A780" s="2">
        <v>352032</v>
      </c>
    </row>
    <row r="781" spans="1:1" x14ac:dyDescent="0.25">
      <c r="A781" s="2">
        <v>352041</v>
      </c>
    </row>
    <row r="782" spans="1:1" x14ac:dyDescent="0.25">
      <c r="A782" s="2">
        <v>352182</v>
      </c>
    </row>
    <row r="783" spans="1:1" x14ac:dyDescent="0.25">
      <c r="A783" s="2">
        <v>352237</v>
      </c>
    </row>
    <row r="784" spans="1:1" x14ac:dyDescent="0.25">
      <c r="A784" s="2">
        <v>352369</v>
      </c>
    </row>
    <row r="785" spans="1:1" x14ac:dyDescent="0.25">
      <c r="A785" s="2">
        <v>352382</v>
      </c>
    </row>
    <row r="786" spans="1:1" x14ac:dyDescent="0.25">
      <c r="A786" s="2">
        <v>352446</v>
      </c>
    </row>
    <row r="787" spans="1:1" x14ac:dyDescent="0.25">
      <c r="A787" s="2">
        <v>352453</v>
      </c>
    </row>
    <row r="788" spans="1:1" x14ac:dyDescent="0.25">
      <c r="A788" s="2">
        <v>352537</v>
      </c>
    </row>
    <row r="789" spans="1:1" x14ac:dyDescent="0.25">
      <c r="A789" s="2">
        <v>352562</v>
      </c>
    </row>
    <row r="790" spans="1:1" x14ac:dyDescent="0.25">
      <c r="A790" s="2">
        <v>352622</v>
      </c>
    </row>
    <row r="791" spans="1:1" x14ac:dyDescent="0.25">
      <c r="A791" s="2">
        <v>352644</v>
      </c>
    </row>
    <row r="792" spans="1:1" x14ac:dyDescent="0.25">
      <c r="A792" s="2">
        <v>352671</v>
      </c>
    </row>
    <row r="793" spans="1:1" x14ac:dyDescent="0.25">
      <c r="A793" s="2">
        <v>352734</v>
      </c>
    </row>
    <row r="794" spans="1:1" x14ac:dyDescent="0.25">
      <c r="A794" s="2">
        <v>352755</v>
      </c>
    </row>
    <row r="795" spans="1:1" x14ac:dyDescent="0.25">
      <c r="A795" s="2">
        <v>352795</v>
      </c>
    </row>
    <row r="796" spans="1:1" x14ac:dyDescent="0.25">
      <c r="A796" s="2">
        <v>352828</v>
      </c>
    </row>
    <row r="797" spans="1:1" x14ac:dyDescent="0.25">
      <c r="A797" s="2">
        <v>352859</v>
      </c>
    </row>
    <row r="798" spans="1:1" x14ac:dyDescent="0.25">
      <c r="A798" s="2">
        <v>352867</v>
      </c>
    </row>
    <row r="799" spans="1:1" x14ac:dyDescent="0.25">
      <c r="A799" s="2">
        <v>352885</v>
      </c>
    </row>
    <row r="800" spans="1:1" x14ac:dyDescent="0.25">
      <c r="A800" s="2">
        <v>352886</v>
      </c>
    </row>
    <row r="801" spans="1:1" x14ac:dyDescent="0.25">
      <c r="A801" s="2">
        <v>352906</v>
      </c>
    </row>
    <row r="802" spans="1:1" x14ac:dyDescent="0.25">
      <c r="A802" s="2">
        <v>352913</v>
      </c>
    </row>
    <row r="803" spans="1:1" x14ac:dyDescent="0.25">
      <c r="A803" s="2">
        <v>352940</v>
      </c>
    </row>
    <row r="804" spans="1:1" x14ac:dyDescent="0.25">
      <c r="A804" s="2">
        <v>353427</v>
      </c>
    </row>
    <row r="805" spans="1:1" x14ac:dyDescent="0.25">
      <c r="A805" s="2">
        <v>353652</v>
      </c>
    </row>
    <row r="806" spans="1:1" x14ac:dyDescent="0.25">
      <c r="A806" s="2">
        <v>353679</v>
      </c>
    </row>
    <row r="807" spans="1:1" x14ac:dyDescent="0.25">
      <c r="A807" s="2">
        <v>353703</v>
      </c>
    </row>
    <row r="808" spans="1:1" x14ac:dyDescent="0.25">
      <c r="A808" s="2">
        <v>353712</v>
      </c>
    </row>
    <row r="809" spans="1:1" x14ac:dyDescent="0.25">
      <c r="A809" s="2">
        <v>353732</v>
      </c>
    </row>
    <row r="810" spans="1:1" x14ac:dyDescent="0.25">
      <c r="A810" s="2">
        <v>353738</v>
      </c>
    </row>
    <row r="811" spans="1:1" x14ac:dyDescent="0.25">
      <c r="A811" s="2">
        <v>353765</v>
      </c>
    </row>
    <row r="812" spans="1:1" x14ac:dyDescent="0.25">
      <c r="A812" s="2">
        <v>353772</v>
      </c>
    </row>
    <row r="813" spans="1:1" x14ac:dyDescent="0.25">
      <c r="A813" s="2">
        <v>353790</v>
      </c>
    </row>
    <row r="814" spans="1:1" x14ac:dyDescent="0.25">
      <c r="A814" s="2">
        <v>353969</v>
      </c>
    </row>
    <row r="815" spans="1:1" x14ac:dyDescent="0.25">
      <c r="A815" s="2">
        <v>354081</v>
      </c>
    </row>
    <row r="816" spans="1:1" x14ac:dyDescent="0.25">
      <c r="A816" s="2">
        <v>354093</v>
      </c>
    </row>
    <row r="817" spans="1:1" x14ac:dyDescent="0.25">
      <c r="A817" s="2">
        <v>354103</v>
      </c>
    </row>
    <row r="818" spans="1:1" x14ac:dyDescent="0.25">
      <c r="A818" s="2">
        <v>354134</v>
      </c>
    </row>
    <row r="819" spans="1:1" x14ac:dyDescent="0.25">
      <c r="A819" s="2">
        <v>354135</v>
      </c>
    </row>
    <row r="820" spans="1:1" x14ac:dyDescent="0.25">
      <c r="A820" s="2">
        <v>354233</v>
      </c>
    </row>
    <row r="821" spans="1:1" x14ac:dyDescent="0.25">
      <c r="A821" s="2">
        <v>354259</v>
      </c>
    </row>
    <row r="822" spans="1:1" x14ac:dyDescent="0.25">
      <c r="A822" s="2">
        <v>354310</v>
      </c>
    </row>
    <row r="823" spans="1:1" x14ac:dyDescent="0.25">
      <c r="A823" s="2">
        <v>354345</v>
      </c>
    </row>
    <row r="824" spans="1:1" x14ac:dyDescent="0.25">
      <c r="A824" s="2">
        <v>354364</v>
      </c>
    </row>
    <row r="825" spans="1:1" x14ac:dyDescent="0.25">
      <c r="A825" s="2">
        <v>354373</v>
      </c>
    </row>
    <row r="826" spans="1:1" x14ac:dyDescent="0.25">
      <c r="A826" s="2">
        <v>354422</v>
      </c>
    </row>
    <row r="827" spans="1:1" x14ac:dyDescent="0.25">
      <c r="A827" s="2">
        <v>354481</v>
      </c>
    </row>
    <row r="828" spans="1:1" x14ac:dyDescent="0.25">
      <c r="A828" s="2">
        <v>354504</v>
      </c>
    </row>
    <row r="829" spans="1:1" x14ac:dyDescent="0.25">
      <c r="A829" s="2">
        <v>354522</v>
      </c>
    </row>
    <row r="830" spans="1:1" x14ac:dyDescent="0.25">
      <c r="A830" s="2">
        <v>354561</v>
      </c>
    </row>
    <row r="831" spans="1:1" x14ac:dyDescent="0.25">
      <c r="A831" s="2">
        <v>354957</v>
      </c>
    </row>
    <row r="832" spans="1:1" x14ac:dyDescent="0.25">
      <c r="A832" s="2">
        <v>354996</v>
      </c>
    </row>
    <row r="833" spans="1:1" x14ac:dyDescent="0.25">
      <c r="A833" s="2">
        <v>355075</v>
      </c>
    </row>
    <row r="834" spans="1:1" x14ac:dyDescent="0.25">
      <c r="A834" s="2">
        <v>355108</v>
      </c>
    </row>
    <row r="835" spans="1:1" x14ac:dyDescent="0.25">
      <c r="A835" s="2">
        <v>355176</v>
      </c>
    </row>
    <row r="836" spans="1:1" x14ac:dyDescent="0.25">
      <c r="A836" s="2">
        <v>355216</v>
      </c>
    </row>
    <row r="837" spans="1:1" x14ac:dyDescent="0.25">
      <c r="A837" s="2">
        <v>355251</v>
      </c>
    </row>
    <row r="838" spans="1:1" x14ac:dyDescent="0.25">
      <c r="A838" s="2">
        <v>355270</v>
      </c>
    </row>
    <row r="839" spans="1:1" x14ac:dyDescent="0.25">
      <c r="A839" s="2">
        <v>355333</v>
      </c>
    </row>
    <row r="840" spans="1:1" x14ac:dyDescent="0.25">
      <c r="A840" s="2">
        <v>355375</v>
      </c>
    </row>
    <row r="841" spans="1:1" x14ac:dyDescent="0.25">
      <c r="A841" s="2">
        <v>355399</v>
      </c>
    </row>
    <row r="842" spans="1:1" x14ac:dyDescent="0.25">
      <c r="A842" s="2">
        <v>355403</v>
      </c>
    </row>
    <row r="843" spans="1:1" x14ac:dyDescent="0.25">
      <c r="A843" s="2">
        <v>355461</v>
      </c>
    </row>
    <row r="844" spans="1:1" x14ac:dyDescent="0.25">
      <c r="A844" s="2">
        <v>355478</v>
      </c>
    </row>
    <row r="845" spans="1:1" x14ac:dyDescent="0.25">
      <c r="A845" s="2">
        <v>355488</v>
      </c>
    </row>
    <row r="846" spans="1:1" x14ac:dyDescent="0.25">
      <c r="A846" s="2">
        <v>355549</v>
      </c>
    </row>
    <row r="847" spans="1:1" x14ac:dyDescent="0.25">
      <c r="A847" s="2">
        <v>355566</v>
      </c>
    </row>
    <row r="848" spans="1:1" x14ac:dyDescent="0.25">
      <c r="A848" s="2">
        <v>355587</v>
      </c>
    </row>
    <row r="849" spans="1:1" x14ac:dyDescent="0.25">
      <c r="A849" s="2">
        <v>355598</v>
      </c>
    </row>
    <row r="850" spans="1:1" x14ac:dyDescent="0.25">
      <c r="A850" s="2">
        <v>355609</v>
      </c>
    </row>
    <row r="851" spans="1:1" x14ac:dyDescent="0.25">
      <c r="A851" s="2">
        <v>355615</v>
      </c>
    </row>
    <row r="852" spans="1:1" x14ac:dyDescent="0.25">
      <c r="A852" s="2">
        <v>355698</v>
      </c>
    </row>
    <row r="853" spans="1:1" x14ac:dyDescent="0.25">
      <c r="A853" s="2">
        <v>355731</v>
      </c>
    </row>
    <row r="854" spans="1:1" x14ac:dyDescent="0.25">
      <c r="A854" s="2">
        <v>355738</v>
      </c>
    </row>
    <row r="855" spans="1:1" x14ac:dyDescent="0.25">
      <c r="A855" s="2">
        <v>355792</v>
      </c>
    </row>
    <row r="856" spans="1:1" x14ac:dyDescent="0.25">
      <c r="A856" s="2">
        <v>355800</v>
      </c>
    </row>
    <row r="857" spans="1:1" x14ac:dyDescent="0.25">
      <c r="A857" s="2">
        <v>355915</v>
      </c>
    </row>
    <row r="858" spans="1:1" x14ac:dyDescent="0.25">
      <c r="A858" s="2">
        <v>355924</v>
      </c>
    </row>
    <row r="859" spans="1:1" x14ac:dyDescent="0.25">
      <c r="A859" s="2">
        <v>355983</v>
      </c>
    </row>
    <row r="860" spans="1:1" x14ac:dyDescent="0.25">
      <c r="A860" s="2">
        <v>355991</v>
      </c>
    </row>
    <row r="861" spans="1:1" x14ac:dyDescent="0.25">
      <c r="A861" s="2">
        <v>356032</v>
      </c>
    </row>
    <row r="862" spans="1:1" x14ac:dyDescent="0.25">
      <c r="A862" s="2">
        <v>356058</v>
      </c>
    </row>
    <row r="863" spans="1:1" x14ac:dyDescent="0.25">
      <c r="A863" s="2">
        <v>356129</v>
      </c>
    </row>
    <row r="864" spans="1:1" x14ac:dyDescent="0.25">
      <c r="A864" s="2">
        <v>356132</v>
      </c>
    </row>
    <row r="865" spans="1:1" x14ac:dyDescent="0.25">
      <c r="A865" s="2">
        <v>356142</v>
      </c>
    </row>
    <row r="866" spans="1:1" x14ac:dyDescent="0.25">
      <c r="A866" s="2">
        <v>356184</v>
      </c>
    </row>
    <row r="867" spans="1:1" x14ac:dyDescent="0.25">
      <c r="A867" s="2">
        <v>356326</v>
      </c>
    </row>
    <row r="868" spans="1:1" x14ac:dyDescent="0.25">
      <c r="A868" s="2">
        <v>356455</v>
      </c>
    </row>
    <row r="869" spans="1:1" x14ac:dyDescent="0.25">
      <c r="A869" s="2">
        <v>356470</v>
      </c>
    </row>
    <row r="870" spans="1:1" x14ac:dyDescent="0.25">
      <c r="A870" s="2">
        <v>356488</v>
      </c>
    </row>
    <row r="871" spans="1:1" x14ac:dyDescent="0.25">
      <c r="A871" s="2">
        <v>356494</v>
      </c>
    </row>
    <row r="872" spans="1:1" x14ac:dyDescent="0.25">
      <c r="A872" s="2">
        <v>356511</v>
      </c>
    </row>
    <row r="873" spans="1:1" x14ac:dyDescent="0.25">
      <c r="A873" s="2">
        <v>356519</v>
      </c>
    </row>
    <row r="874" spans="1:1" x14ac:dyDescent="0.25">
      <c r="A874" s="2">
        <v>356523</v>
      </c>
    </row>
    <row r="875" spans="1:1" x14ac:dyDescent="0.25">
      <c r="A875" s="2">
        <v>356552</v>
      </c>
    </row>
    <row r="876" spans="1:1" x14ac:dyDescent="0.25">
      <c r="A876" s="2">
        <v>356622</v>
      </c>
    </row>
    <row r="877" spans="1:1" x14ac:dyDescent="0.25">
      <c r="A877" s="2">
        <v>356761</v>
      </c>
    </row>
    <row r="878" spans="1:1" x14ac:dyDescent="0.25">
      <c r="A878" s="2">
        <v>356803</v>
      </c>
    </row>
    <row r="879" spans="1:1" x14ac:dyDescent="0.25">
      <c r="A879" s="2">
        <v>356849</v>
      </c>
    </row>
    <row r="880" spans="1:1" x14ac:dyDescent="0.25">
      <c r="A880" s="2">
        <v>356907</v>
      </c>
    </row>
    <row r="881" spans="1:1" x14ac:dyDescent="0.25">
      <c r="A881" s="2">
        <v>357075</v>
      </c>
    </row>
    <row r="882" spans="1:1" x14ac:dyDescent="0.25">
      <c r="A882" s="2">
        <v>357105</v>
      </c>
    </row>
    <row r="883" spans="1:1" x14ac:dyDescent="0.25">
      <c r="A883" s="2">
        <v>357714</v>
      </c>
    </row>
    <row r="884" spans="1:1" x14ac:dyDescent="0.25">
      <c r="A884" s="2">
        <v>357724</v>
      </c>
    </row>
    <row r="885" spans="1:1" x14ac:dyDescent="0.25">
      <c r="A885" s="2">
        <v>357882</v>
      </c>
    </row>
    <row r="886" spans="1:1" x14ac:dyDescent="0.25">
      <c r="A886" s="2">
        <v>357899</v>
      </c>
    </row>
    <row r="887" spans="1:1" x14ac:dyDescent="0.25">
      <c r="A887" s="2">
        <v>357958</v>
      </c>
    </row>
    <row r="888" spans="1:1" x14ac:dyDescent="0.25">
      <c r="A888" s="2">
        <v>357969</v>
      </c>
    </row>
    <row r="889" spans="1:1" x14ac:dyDescent="0.25">
      <c r="A889" s="2">
        <v>358057</v>
      </c>
    </row>
    <row r="890" spans="1:1" x14ac:dyDescent="0.25">
      <c r="A890" s="2">
        <v>358075</v>
      </c>
    </row>
    <row r="891" spans="1:1" x14ac:dyDescent="0.25">
      <c r="A891" s="2">
        <v>358109</v>
      </c>
    </row>
    <row r="892" spans="1:1" x14ac:dyDescent="0.25">
      <c r="A892" s="2">
        <v>358126</v>
      </c>
    </row>
    <row r="893" spans="1:1" x14ac:dyDescent="0.25">
      <c r="A893" s="2">
        <v>358128</v>
      </c>
    </row>
    <row r="894" spans="1:1" x14ac:dyDescent="0.25">
      <c r="A894" s="2">
        <v>358154</v>
      </c>
    </row>
    <row r="895" spans="1:1" x14ac:dyDescent="0.25">
      <c r="A895" s="2">
        <v>358164</v>
      </c>
    </row>
    <row r="896" spans="1:1" x14ac:dyDescent="0.25">
      <c r="A896" s="2">
        <v>358180</v>
      </c>
    </row>
    <row r="897" spans="1:1" x14ac:dyDescent="0.25">
      <c r="A897" s="2">
        <v>358200</v>
      </c>
    </row>
    <row r="898" spans="1:1" x14ac:dyDescent="0.25">
      <c r="A898" s="2">
        <v>358203</v>
      </c>
    </row>
    <row r="899" spans="1:1" x14ac:dyDescent="0.25">
      <c r="A899" s="2">
        <v>358209</v>
      </c>
    </row>
    <row r="900" spans="1:1" x14ac:dyDescent="0.25">
      <c r="A900" s="2">
        <v>358234</v>
      </c>
    </row>
    <row r="901" spans="1:1" x14ac:dyDescent="0.25">
      <c r="A901" s="2">
        <v>358243</v>
      </c>
    </row>
    <row r="902" spans="1:1" x14ac:dyDescent="0.25">
      <c r="A902" s="2">
        <v>358306</v>
      </c>
    </row>
    <row r="903" spans="1:1" x14ac:dyDescent="0.25">
      <c r="A903" s="2">
        <v>358325</v>
      </c>
    </row>
    <row r="904" spans="1:1" x14ac:dyDescent="0.25">
      <c r="A904" s="2">
        <v>358390</v>
      </c>
    </row>
    <row r="905" spans="1:1" x14ac:dyDescent="0.25">
      <c r="A905" s="2">
        <v>358411</v>
      </c>
    </row>
    <row r="906" spans="1:1" x14ac:dyDescent="0.25">
      <c r="A906" s="2">
        <v>358508</v>
      </c>
    </row>
    <row r="907" spans="1:1" x14ac:dyDescent="0.25">
      <c r="A907" s="2">
        <v>358561</v>
      </c>
    </row>
    <row r="908" spans="1:1" x14ac:dyDescent="0.25">
      <c r="A908" s="2">
        <v>358677</v>
      </c>
    </row>
    <row r="909" spans="1:1" x14ac:dyDescent="0.25">
      <c r="A909" s="2">
        <v>358711</v>
      </c>
    </row>
    <row r="910" spans="1:1" x14ac:dyDescent="0.25">
      <c r="A910" s="2">
        <v>358728</v>
      </c>
    </row>
    <row r="911" spans="1:1" x14ac:dyDescent="0.25">
      <c r="A911" s="2">
        <v>358763</v>
      </c>
    </row>
    <row r="912" spans="1:1" x14ac:dyDescent="0.25">
      <c r="A912" s="2">
        <v>359572</v>
      </c>
    </row>
    <row r="913" spans="1:1" x14ac:dyDescent="0.25">
      <c r="A913" s="2">
        <v>359579</v>
      </c>
    </row>
    <row r="914" spans="1:1" x14ac:dyDescent="0.25">
      <c r="A914" s="2">
        <v>359628</v>
      </c>
    </row>
    <row r="915" spans="1:1" x14ac:dyDescent="0.25">
      <c r="A915" s="2">
        <v>360325</v>
      </c>
    </row>
    <row r="916" spans="1:1" x14ac:dyDescent="0.25">
      <c r="A916" s="2">
        <v>360401</v>
      </c>
    </row>
    <row r="917" spans="1:1" x14ac:dyDescent="0.25">
      <c r="A917" s="2">
        <v>360418</v>
      </c>
    </row>
    <row r="918" spans="1:1" x14ac:dyDescent="0.25">
      <c r="A918" s="2">
        <v>360429</v>
      </c>
    </row>
    <row r="919" spans="1:1" x14ac:dyDescent="0.25">
      <c r="A919" s="2">
        <v>360430</v>
      </c>
    </row>
    <row r="920" spans="1:1" x14ac:dyDescent="0.25">
      <c r="A920" s="2">
        <v>360436</v>
      </c>
    </row>
    <row r="921" spans="1:1" x14ac:dyDescent="0.25">
      <c r="A921" s="2">
        <v>360482</v>
      </c>
    </row>
    <row r="922" spans="1:1" x14ac:dyDescent="0.25">
      <c r="A922" s="2">
        <v>360488</v>
      </c>
    </row>
    <row r="923" spans="1:1" x14ac:dyDescent="0.25">
      <c r="A923" s="2">
        <v>360497</v>
      </c>
    </row>
    <row r="924" spans="1:1" x14ac:dyDescent="0.25">
      <c r="A924" s="2">
        <v>360525</v>
      </c>
    </row>
    <row r="925" spans="1:1" x14ac:dyDescent="0.25">
      <c r="A925" s="2">
        <v>360550</v>
      </c>
    </row>
    <row r="926" spans="1:1" x14ac:dyDescent="0.25">
      <c r="A926" s="2">
        <v>360570</v>
      </c>
    </row>
    <row r="927" spans="1:1" x14ac:dyDescent="0.25">
      <c r="A927" s="2">
        <v>360654</v>
      </c>
    </row>
    <row r="928" spans="1:1" x14ac:dyDescent="0.25">
      <c r="A928" s="2">
        <v>360691</v>
      </c>
    </row>
    <row r="929" spans="1:1" x14ac:dyDescent="0.25">
      <c r="A929" s="2">
        <v>360699</v>
      </c>
    </row>
    <row r="930" spans="1:1" x14ac:dyDescent="0.25">
      <c r="A930" s="2">
        <v>360832</v>
      </c>
    </row>
    <row r="931" spans="1:1" x14ac:dyDescent="0.25">
      <c r="A931" s="2">
        <v>360841</v>
      </c>
    </row>
    <row r="932" spans="1:1" x14ac:dyDescent="0.25">
      <c r="A932" s="2">
        <v>360954</v>
      </c>
    </row>
    <row r="933" spans="1:1" x14ac:dyDescent="0.25">
      <c r="A933" s="2">
        <v>361356</v>
      </c>
    </row>
    <row r="934" spans="1:1" x14ac:dyDescent="0.25">
      <c r="A934" s="2">
        <v>361363</v>
      </c>
    </row>
    <row r="935" spans="1:1" x14ac:dyDescent="0.25">
      <c r="A935" s="2">
        <v>361383</v>
      </c>
    </row>
    <row r="936" spans="1:1" x14ac:dyDescent="0.25">
      <c r="A936" s="2">
        <v>361633</v>
      </c>
    </row>
    <row r="937" spans="1:1" x14ac:dyDescent="0.25">
      <c r="A937" s="2">
        <v>361634</v>
      </c>
    </row>
    <row r="938" spans="1:1" x14ac:dyDescent="0.25">
      <c r="A938" s="2">
        <v>361651</v>
      </c>
    </row>
    <row r="939" spans="1:1" x14ac:dyDescent="0.25">
      <c r="A939" s="2">
        <v>361978</v>
      </c>
    </row>
    <row r="940" spans="1:1" x14ac:dyDescent="0.25">
      <c r="A940" s="2">
        <v>361987</v>
      </c>
    </row>
    <row r="941" spans="1:1" x14ac:dyDescent="0.25">
      <c r="A941" s="2">
        <v>362021</v>
      </c>
    </row>
    <row r="942" spans="1:1" x14ac:dyDescent="0.25">
      <c r="A942" s="2">
        <v>362159</v>
      </c>
    </row>
    <row r="943" spans="1:1" x14ac:dyDescent="0.25">
      <c r="A943" s="2">
        <v>362173</v>
      </c>
    </row>
    <row r="944" spans="1:1" x14ac:dyDescent="0.25">
      <c r="A944" s="2">
        <v>362181</v>
      </c>
    </row>
    <row r="945" spans="1:1" x14ac:dyDescent="0.25">
      <c r="A945" s="2">
        <v>362201</v>
      </c>
    </row>
    <row r="946" spans="1:1" x14ac:dyDescent="0.25">
      <c r="A946" s="2">
        <v>362208</v>
      </c>
    </row>
    <row r="947" spans="1:1" x14ac:dyDescent="0.25">
      <c r="A947" s="2">
        <v>362298</v>
      </c>
    </row>
    <row r="948" spans="1:1" x14ac:dyDescent="0.25">
      <c r="A948" s="2">
        <v>362525</v>
      </c>
    </row>
    <row r="949" spans="1:1" x14ac:dyDescent="0.25">
      <c r="A949" s="2">
        <v>362581</v>
      </c>
    </row>
    <row r="950" spans="1:1" x14ac:dyDescent="0.25">
      <c r="A950" s="2">
        <v>362591</v>
      </c>
    </row>
    <row r="951" spans="1:1" x14ac:dyDescent="0.25">
      <c r="A951" s="2">
        <v>362597</v>
      </c>
    </row>
    <row r="952" spans="1:1" x14ac:dyDescent="0.25">
      <c r="A952" s="2">
        <v>362600</v>
      </c>
    </row>
    <row r="953" spans="1:1" x14ac:dyDescent="0.25">
      <c r="A953" s="2">
        <v>362606</v>
      </c>
    </row>
    <row r="954" spans="1:1" x14ac:dyDescent="0.25">
      <c r="A954" s="2">
        <v>362633</v>
      </c>
    </row>
    <row r="955" spans="1:1" x14ac:dyDescent="0.25">
      <c r="A955" s="2">
        <v>362648</v>
      </c>
    </row>
    <row r="956" spans="1:1" x14ac:dyDescent="0.25">
      <c r="A956" s="2">
        <v>362656</v>
      </c>
    </row>
    <row r="957" spans="1:1" x14ac:dyDescent="0.25">
      <c r="A957" s="2">
        <v>362663</v>
      </c>
    </row>
    <row r="958" spans="1:1" x14ac:dyDescent="0.25">
      <c r="A958" s="2">
        <v>362692</v>
      </c>
    </row>
    <row r="959" spans="1:1" x14ac:dyDescent="0.25">
      <c r="A959" s="2">
        <v>362740</v>
      </c>
    </row>
    <row r="960" spans="1:1" x14ac:dyDescent="0.25">
      <c r="A960" s="2">
        <v>362741</v>
      </c>
    </row>
    <row r="961" spans="1:1" x14ac:dyDescent="0.25">
      <c r="A961" s="2">
        <v>362768</v>
      </c>
    </row>
    <row r="962" spans="1:1" x14ac:dyDescent="0.25">
      <c r="A962" s="2">
        <v>362779</v>
      </c>
    </row>
    <row r="963" spans="1:1" x14ac:dyDescent="0.25">
      <c r="A963" s="2">
        <v>362789</v>
      </c>
    </row>
    <row r="964" spans="1:1" x14ac:dyDescent="0.25">
      <c r="A964" s="2">
        <v>362820</v>
      </c>
    </row>
    <row r="965" spans="1:1" x14ac:dyDescent="0.25">
      <c r="A965" s="2">
        <v>362852</v>
      </c>
    </row>
    <row r="966" spans="1:1" x14ac:dyDescent="0.25">
      <c r="A966" s="2">
        <v>362860</v>
      </c>
    </row>
    <row r="967" spans="1:1" x14ac:dyDescent="0.25">
      <c r="A967" s="2">
        <v>362870</v>
      </c>
    </row>
    <row r="968" spans="1:1" x14ac:dyDescent="0.25">
      <c r="A968" s="2">
        <v>362881</v>
      </c>
    </row>
    <row r="969" spans="1:1" x14ac:dyDescent="0.25">
      <c r="A969" s="2">
        <v>362886</v>
      </c>
    </row>
    <row r="970" spans="1:1" x14ac:dyDescent="0.25">
      <c r="A970" s="2">
        <v>362911</v>
      </c>
    </row>
    <row r="971" spans="1:1" x14ac:dyDescent="0.25">
      <c r="A971" s="2">
        <v>362913</v>
      </c>
    </row>
    <row r="972" spans="1:1" x14ac:dyDescent="0.25">
      <c r="A972" s="2">
        <v>362919</v>
      </c>
    </row>
    <row r="973" spans="1:1" x14ac:dyDescent="0.25">
      <c r="A973" s="2">
        <v>362945</v>
      </c>
    </row>
    <row r="974" spans="1:1" x14ac:dyDescent="0.25">
      <c r="A974" s="2">
        <v>362990</v>
      </c>
    </row>
    <row r="975" spans="1:1" x14ac:dyDescent="0.25">
      <c r="A975" s="2">
        <v>363111</v>
      </c>
    </row>
    <row r="976" spans="1:1" x14ac:dyDescent="0.25">
      <c r="A976" s="2">
        <v>363127</v>
      </c>
    </row>
    <row r="977" spans="1:1" x14ac:dyDescent="0.25">
      <c r="A977" s="2">
        <v>363147</v>
      </c>
    </row>
    <row r="978" spans="1:1" x14ac:dyDescent="0.25">
      <c r="A978" s="2">
        <v>363184</v>
      </c>
    </row>
    <row r="979" spans="1:1" x14ac:dyDescent="0.25">
      <c r="A979" s="2">
        <v>363213</v>
      </c>
    </row>
    <row r="980" spans="1:1" x14ac:dyDescent="0.25">
      <c r="A980" s="2">
        <v>363265</v>
      </c>
    </row>
    <row r="981" spans="1:1" x14ac:dyDescent="0.25">
      <c r="A981" s="2">
        <v>363266</v>
      </c>
    </row>
    <row r="982" spans="1:1" x14ac:dyDescent="0.25">
      <c r="A982" s="2">
        <v>365076</v>
      </c>
    </row>
    <row r="983" spans="1:1" x14ac:dyDescent="0.25">
      <c r="A983" s="2">
        <v>365412</v>
      </c>
    </row>
    <row r="984" spans="1:1" x14ac:dyDescent="0.25">
      <c r="A984" s="2">
        <v>365457</v>
      </c>
    </row>
    <row r="985" spans="1:1" x14ac:dyDescent="0.25">
      <c r="A985" s="2">
        <v>365513</v>
      </c>
    </row>
    <row r="986" spans="1:1" x14ac:dyDescent="0.25">
      <c r="A986" s="2">
        <v>365525</v>
      </c>
    </row>
    <row r="987" spans="1:1" x14ac:dyDescent="0.25">
      <c r="A987" s="2">
        <v>365562</v>
      </c>
    </row>
    <row r="988" spans="1:1" x14ac:dyDescent="0.25">
      <c r="A988" s="2">
        <v>365570</v>
      </c>
    </row>
    <row r="989" spans="1:1" x14ac:dyDescent="0.25">
      <c r="A989" s="2">
        <v>365756</v>
      </c>
    </row>
    <row r="990" spans="1:1" x14ac:dyDescent="0.25">
      <c r="A990" s="2">
        <v>365968</v>
      </c>
    </row>
    <row r="991" spans="1:1" x14ac:dyDescent="0.25">
      <c r="A991" s="2">
        <v>366000</v>
      </c>
    </row>
    <row r="992" spans="1:1" x14ac:dyDescent="0.25">
      <c r="A992" s="2">
        <v>366303</v>
      </c>
    </row>
    <row r="993" spans="1:1" x14ac:dyDescent="0.25">
      <c r="A993" s="2">
        <v>366321</v>
      </c>
    </row>
    <row r="994" spans="1:1" x14ac:dyDescent="0.25">
      <c r="A994" s="2">
        <v>366503</v>
      </c>
    </row>
    <row r="995" spans="1:1" x14ac:dyDescent="0.25">
      <c r="A995" s="2">
        <v>366708</v>
      </c>
    </row>
    <row r="996" spans="1:1" x14ac:dyDescent="0.25">
      <c r="A996" s="2">
        <v>366726</v>
      </c>
    </row>
    <row r="997" spans="1:1" x14ac:dyDescent="0.25">
      <c r="A997" s="2">
        <v>366750</v>
      </c>
    </row>
    <row r="998" spans="1:1" x14ac:dyDescent="0.25">
      <c r="A998" s="2">
        <v>366751</v>
      </c>
    </row>
    <row r="999" spans="1:1" x14ac:dyDescent="0.25">
      <c r="A999" s="2">
        <v>366764</v>
      </c>
    </row>
    <row r="1000" spans="1:1" x14ac:dyDescent="0.25">
      <c r="A1000" s="2">
        <v>366788</v>
      </c>
    </row>
    <row r="1001" spans="1:1" x14ac:dyDescent="0.25">
      <c r="A1001" s="2">
        <v>366793</v>
      </c>
    </row>
    <row r="1002" spans="1:1" x14ac:dyDescent="0.25">
      <c r="A1002" s="2">
        <v>366797</v>
      </c>
    </row>
    <row r="1003" spans="1:1" x14ac:dyDescent="0.25">
      <c r="A1003" s="2">
        <v>366804</v>
      </c>
    </row>
    <row r="1004" spans="1:1" x14ac:dyDescent="0.25">
      <c r="A1004" s="2">
        <v>366805</v>
      </c>
    </row>
    <row r="1005" spans="1:1" x14ac:dyDescent="0.25">
      <c r="A1005" s="2">
        <v>366815</v>
      </c>
    </row>
    <row r="1006" spans="1:1" x14ac:dyDescent="0.25">
      <c r="A1006" s="2">
        <v>367380</v>
      </c>
    </row>
    <row r="1007" spans="1:1" x14ac:dyDescent="0.25">
      <c r="A1007" s="2">
        <v>367411</v>
      </c>
    </row>
    <row r="1008" spans="1:1" x14ac:dyDescent="0.25">
      <c r="A1008" s="2">
        <v>367487</v>
      </c>
    </row>
    <row r="1009" spans="1:1" x14ac:dyDescent="0.25">
      <c r="A1009" s="2">
        <v>367537</v>
      </c>
    </row>
    <row r="1010" spans="1:1" x14ac:dyDescent="0.25">
      <c r="A1010" s="2">
        <v>367572</v>
      </c>
    </row>
    <row r="1011" spans="1:1" x14ac:dyDescent="0.25">
      <c r="A1011" s="2">
        <v>367583</v>
      </c>
    </row>
    <row r="1012" spans="1:1" x14ac:dyDescent="0.25">
      <c r="A1012" s="2">
        <v>367682</v>
      </c>
    </row>
    <row r="1013" spans="1:1" x14ac:dyDescent="0.25">
      <c r="A1013" s="2">
        <v>367780</v>
      </c>
    </row>
    <row r="1014" spans="1:1" x14ac:dyDescent="0.25">
      <c r="A1014" s="2">
        <v>367843</v>
      </c>
    </row>
    <row r="1015" spans="1:1" x14ac:dyDescent="0.25">
      <c r="A1015" s="2">
        <v>367898</v>
      </c>
    </row>
    <row r="1016" spans="1:1" x14ac:dyDescent="0.25">
      <c r="A1016" s="2">
        <v>367952</v>
      </c>
    </row>
    <row r="1017" spans="1:1" x14ac:dyDescent="0.25">
      <c r="A1017" s="2">
        <v>367967</v>
      </c>
    </row>
    <row r="1018" spans="1:1" x14ac:dyDescent="0.25">
      <c r="A1018" s="2">
        <v>368012</v>
      </c>
    </row>
    <row r="1019" spans="1:1" x14ac:dyDescent="0.25">
      <c r="A1019" s="2">
        <v>368068</v>
      </c>
    </row>
    <row r="1020" spans="1:1" x14ac:dyDescent="0.25">
      <c r="A1020" s="2">
        <v>368078</v>
      </c>
    </row>
    <row r="1021" spans="1:1" x14ac:dyDescent="0.25">
      <c r="A1021" s="2">
        <v>368090</v>
      </c>
    </row>
    <row r="1022" spans="1:1" x14ac:dyDescent="0.25">
      <c r="A1022" s="2">
        <v>368382</v>
      </c>
    </row>
    <row r="1023" spans="1:1" x14ac:dyDescent="0.25">
      <c r="A1023" s="2">
        <v>368717</v>
      </c>
    </row>
    <row r="1024" spans="1:1" x14ac:dyDescent="0.25">
      <c r="A1024" s="2">
        <v>368727</v>
      </c>
    </row>
    <row r="1025" spans="1:1" x14ac:dyDescent="0.25">
      <c r="A1025" s="2">
        <v>368845</v>
      </c>
    </row>
    <row r="1026" spans="1:1" x14ac:dyDescent="0.25">
      <c r="A1026" s="2">
        <v>369019</v>
      </c>
    </row>
    <row r="1027" spans="1:1" x14ac:dyDescent="0.25">
      <c r="A1027" s="2">
        <v>369027</v>
      </c>
    </row>
    <row r="1028" spans="1:1" x14ac:dyDescent="0.25">
      <c r="A1028" s="2">
        <v>369034</v>
      </c>
    </row>
    <row r="1029" spans="1:1" x14ac:dyDescent="0.25">
      <c r="A1029" s="2">
        <v>369045</v>
      </c>
    </row>
    <row r="1030" spans="1:1" x14ac:dyDescent="0.25">
      <c r="A1030" s="2">
        <v>369340</v>
      </c>
    </row>
    <row r="1031" spans="1:1" x14ac:dyDescent="0.25">
      <c r="A1031" s="2">
        <v>369405</v>
      </c>
    </row>
    <row r="1032" spans="1:1" x14ac:dyDescent="0.25">
      <c r="A1032" s="2">
        <v>369465</v>
      </c>
    </row>
    <row r="1033" spans="1:1" x14ac:dyDescent="0.25">
      <c r="A1033" s="2">
        <v>369541</v>
      </c>
    </row>
    <row r="1034" spans="1:1" x14ac:dyDescent="0.25">
      <c r="A1034" s="2">
        <v>369720</v>
      </c>
    </row>
    <row r="1035" spans="1:1" x14ac:dyDescent="0.25">
      <c r="A1035" s="2">
        <v>369797</v>
      </c>
    </row>
    <row r="1036" spans="1:1" x14ac:dyDescent="0.25">
      <c r="A1036" s="2">
        <v>369863</v>
      </c>
    </row>
    <row r="1037" spans="1:1" x14ac:dyDescent="0.25">
      <c r="A1037" s="2">
        <v>369935</v>
      </c>
    </row>
    <row r="1038" spans="1:1" x14ac:dyDescent="0.25">
      <c r="A1038" s="2">
        <v>369942</v>
      </c>
    </row>
    <row r="1039" spans="1:1" x14ac:dyDescent="0.25">
      <c r="A1039" s="2">
        <v>371616</v>
      </c>
    </row>
    <row r="1040" spans="1:1" x14ac:dyDescent="0.25">
      <c r="A1040" s="2">
        <v>371626</v>
      </c>
    </row>
    <row r="1041" spans="1:1" x14ac:dyDescent="0.25">
      <c r="A1041" s="2">
        <v>371650</v>
      </c>
    </row>
    <row r="1042" spans="1:1" x14ac:dyDescent="0.25">
      <c r="A1042" s="2">
        <v>371674</v>
      </c>
    </row>
    <row r="1043" spans="1:1" x14ac:dyDescent="0.25">
      <c r="A1043" s="2">
        <v>371772</v>
      </c>
    </row>
    <row r="1044" spans="1:1" x14ac:dyDescent="0.25">
      <c r="A1044" s="2">
        <v>371794</v>
      </c>
    </row>
    <row r="1045" spans="1:1" x14ac:dyDescent="0.25">
      <c r="A1045" s="2">
        <v>371863</v>
      </c>
    </row>
    <row r="1046" spans="1:1" x14ac:dyDescent="0.25">
      <c r="A1046" s="2">
        <v>371880</v>
      </c>
    </row>
    <row r="1047" spans="1:1" x14ac:dyDescent="0.25">
      <c r="A1047" s="2">
        <v>372460</v>
      </c>
    </row>
    <row r="1048" spans="1:1" x14ac:dyDescent="0.25">
      <c r="A1048" s="2">
        <v>373446</v>
      </c>
    </row>
    <row r="1049" spans="1:1" x14ac:dyDescent="0.25">
      <c r="A1049" s="2">
        <v>373456</v>
      </c>
    </row>
    <row r="1050" spans="1:1" x14ac:dyDescent="0.25">
      <c r="A1050" s="2">
        <v>373466</v>
      </c>
    </row>
    <row r="1051" spans="1:1" x14ac:dyDescent="0.25">
      <c r="A1051" s="2">
        <v>373478</v>
      </c>
    </row>
    <row r="1052" spans="1:1" x14ac:dyDescent="0.25">
      <c r="A1052" s="2">
        <v>373598</v>
      </c>
    </row>
    <row r="1053" spans="1:1" x14ac:dyDescent="0.25">
      <c r="A1053" s="2">
        <v>374620</v>
      </c>
    </row>
    <row r="1054" spans="1:1" x14ac:dyDescent="0.25">
      <c r="A1054" s="2">
        <v>374652</v>
      </c>
    </row>
    <row r="1055" spans="1:1" x14ac:dyDescent="0.25">
      <c r="A1055" s="2">
        <v>374676</v>
      </c>
    </row>
    <row r="1056" spans="1:1" x14ac:dyDescent="0.25">
      <c r="A1056" s="2">
        <v>375163</v>
      </c>
    </row>
    <row r="1057" spans="1:1" x14ac:dyDescent="0.25">
      <c r="A1057" s="2">
        <v>375235</v>
      </c>
    </row>
    <row r="1058" spans="1:1" x14ac:dyDescent="0.25">
      <c r="A1058" s="2">
        <v>375433</v>
      </c>
    </row>
    <row r="1059" spans="1:1" x14ac:dyDescent="0.25">
      <c r="A1059" s="2">
        <v>378167</v>
      </c>
    </row>
    <row r="1060" spans="1:1" x14ac:dyDescent="0.25">
      <c r="A1060" s="2">
        <v>378176</v>
      </c>
    </row>
    <row r="1061" spans="1:1" x14ac:dyDescent="0.25">
      <c r="A1061" s="2">
        <v>378200</v>
      </c>
    </row>
    <row r="1062" spans="1:1" x14ac:dyDescent="0.25">
      <c r="A1062" s="2">
        <v>378304</v>
      </c>
    </row>
    <row r="1063" spans="1:1" x14ac:dyDescent="0.25">
      <c r="A1063" s="2">
        <v>380271</v>
      </c>
    </row>
    <row r="1064" spans="1:1" x14ac:dyDescent="0.25">
      <c r="A1064" s="2">
        <v>380275</v>
      </c>
    </row>
    <row r="1065" spans="1:1" x14ac:dyDescent="0.25">
      <c r="A1065" s="2">
        <v>381759</v>
      </c>
    </row>
    <row r="1066" spans="1:1" x14ac:dyDescent="0.25">
      <c r="A1066" s="2">
        <v>381770</v>
      </c>
    </row>
    <row r="1067" spans="1:1" x14ac:dyDescent="0.25">
      <c r="A1067" s="2">
        <v>395173</v>
      </c>
    </row>
    <row r="1068" spans="1:1" x14ac:dyDescent="0.25">
      <c r="A1068" s="2">
        <v>395203</v>
      </c>
    </row>
    <row r="1069" spans="1:1" x14ac:dyDescent="0.25">
      <c r="A1069" s="2">
        <v>396197</v>
      </c>
    </row>
    <row r="1070" spans="1:1" x14ac:dyDescent="0.25">
      <c r="A1070" s="2">
        <v>415877</v>
      </c>
    </row>
    <row r="1071" spans="1:1" x14ac:dyDescent="0.25">
      <c r="A1071" s="2">
        <v>415878</v>
      </c>
    </row>
    <row r="1072" spans="1:1" x14ac:dyDescent="0.25">
      <c r="A1072" s="2">
        <v>415889</v>
      </c>
    </row>
    <row r="1073" spans="1:1" x14ac:dyDescent="0.25">
      <c r="A1073" s="2">
        <v>417583</v>
      </c>
    </row>
    <row r="1074" spans="1:1" x14ac:dyDescent="0.25">
      <c r="A1074" s="2">
        <v>417666</v>
      </c>
    </row>
    <row r="1075" spans="1:1" x14ac:dyDescent="0.25">
      <c r="A1075" s="2">
        <v>417678</v>
      </c>
    </row>
    <row r="1076" spans="1:1" x14ac:dyDescent="0.25">
      <c r="A1076" s="2">
        <v>417746</v>
      </c>
    </row>
    <row r="1077" spans="1:1" x14ac:dyDescent="0.25">
      <c r="A1077" s="2">
        <v>419975</v>
      </c>
    </row>
    <row r="1078" spans="1:1" x14ac:dyDescent="0.25">
      <c r="A1078" s="2">
        <v>420056</v>
      </c>
    </row>
    <row r="1079" spans="1:1" x14ac:dyDescent="0.25">
      <c r="A1079" s="2">
        <v>420193</v>
      </c>
    </row>
    <row r="1080" spans="1:1" x14ac:dyDescent="0.25">
      <c r="A1080" s="2">
        <v>420194</v>
      </c>
    </row>
    <row r="1081" spans="1:1" x14ac:dyDescent="0.25">
      <c r="A1081" s="2">
        <v>420249</v>
      </c>
    </row>
    <row r="1082" spans="1:1" x14ac:dyDescent="0.25">
      <c r="A1082" s="2">
        <v>420282</v>
      </c>
    </row>
    <row r="1083" spans="1:1" x14ac:dyDescent="0.25">
      <c r="A1083" s="2">
        <v>420571</v>
      </c>
    </row>
    <row r="1084" spans="1:1" x14ac:dyDescent="0.25">
      <c r="A1084" s="2">
        <v>420581</v>
      </c>
    </row>
    <row r="1085" spans="1:1" x14ac:dyDescent="0.25">
      <c r="A1085" s="2">
        <v>420638</v>
      </c>
    </row>
    <row r="1086" spans="1:1" x14ac:dyDescent="0.25">
      <c r="A1086" s="2">
        <v>420669</v>
      </c>
    </row>
    <row r="1087" spans="1:1" x14ac:dyDescent="0.25">
      <c r="A1087" s="2">
        <v>420697</v>
      </c>
    </row>
    <row r="1088" spans="1:1" x14ac:dyDescent="0.25">
      <c r="A1088" s="2">
        <v>420752</v>
      </c>
    </row>
    <row r="1089" spans="1:1" x14ac:dyDescent="0.25">
      <c r="A1089" s="2">
        <v>420877</v>
      </c>
    </row>
    <row r="1090" spans="1:1" x14ac:dyDescent="0.25">
      <c r="A1090" s="2">
        <v>420987</v>
      </c>
    </row>
    <row r="1091" spans="1:1" x14ac:dyDescent="0.25">
      <c r="A1091" s="2">
        <v>421123</v>
      </c>
    </row>
    <row r="1092" spans="1:1" x14ac:dyDescent="0.25">
      <c r="A1092" s="2">
        <v>421147</v>
      </c>
    </row>
    <row r="1093" spans="1:1" x14ac:dyDescent="0.25">
      <c r="A1093" s="2">
        <v>421149</v>
      </c>
    </row>
    <row r="1094" spans="1:1" x14ac:dyDescent="0.25">
      <c r="A1094" s="2">
        <v>421191</v>
      </c>
    </row>
    <row r="1095" spans="1:1" x14ac:dyDescent="0.25">
      <c r="A1095" s="2">
        <v>421214</v>
      </c>
    </row>
    <row r="1096" spans="1:1" x14ac:dyDescent="0.25">
      <c r="A1096" s="2">
        <v>421234</v>
      </c>
    </row>
    <row r="1097" spans="1:1" x14ac:dyDescent="0.25">
      <c r="A1097" s="2">
        <v>421243</v>
      </c>
    </row>
    <row r="1098" spans="1:1" x14ac:dyDescent="0.25">
      <c r="A1098" s="2">
        <v>421244</v>
      </c>
    </row>
    <row r="1099" spans="1:1" x14ac:dyDescent="0.25">
      <c r="A1099" s="2">
        <v>421593</v>
      </c>
    </row>
    <row r="1100" spans="1:1" x14ac:dyDescent="0.25">
      <c r="A1100" s="2">
        <v>421656</v>
      </c>
    </row>
    <row r="1101" spans="1:1" x14ac:dyDescent="0.25">
      <c r="A1101" s="2">
        <v>421667</v>
      </c>
    </row>
    <row r="1102" spans="1:1" x14ac:dyDescent="0.25">
      <c r="A1102" s="2">
        <v>424416</v>
      </c>
    </row>
    <row r="1103" spans="1:1" x14ac:dyDescent="0.25">
      <c r="A1103" s="2">
        <v>424445</v>
      </c>
    </row>
    <row r="1104" spans="1:1" x14ac:dyDescent="0.25">
      <c r="A1104" s="2">
        <v>424463</v>
      </c>
    </row>
    <row r="1105" spans="1:1" x14ac:dyDescent="0.25">
      <c r="A1105" s="2">
        <v>424473</v>
      </c>
    </row>
    <row r="1106" spans="1:1" x14ac:dyDescent="0.25">
      <c r="A1106" s="2">
        <v>424491</v>
      </c>
    </row>
    <row r="1107" spans="1:1" x14ac:dyDescent="0.25">
      <c r="A1107" s="2">
        <v>424499</v>
      </c>
    </row>
    <row r="1108" spans="1:1" x14ac:dyDescent="0.25">
      <c r="A1108" s="2">
        <v>424527</v>
      </c>
    </row>
    <row r="1109" spans="1:1" x14ac:dyDescent="0.25">
      <c r="A1109" s="2">
        <v>424575</v>
      </c>
    </row>
    <row r="1110" spans="1:1" x14ac:dyDescent="0.25">
      <c r="A1110" s="2">
        <v>425412</v>
      </c>
    </row>
    <row r="1111" spans="1:1" x14ac:dyDescent="0.25">
      <c r="A1111" s="2">
        <v>425421</v>
      </c>
    </row>
    <row r="1112" spans="1:1" x14ac:dyDescent="0.25">
      <c r="A1112" s="2">
        <v>426202</v>
      </c>
    </row>
    <row r="1113" spans="1:1" x14ac:dyDescent="0.25">
      <c r="A1113" s="2">
        <v>426211</v>
      </c>
    </row>
    <row r="1114" spans="1:1" x14ac:dyDescent="0.25">
      <c r="A1114" s="2">
        <v>427850</v>
      </c>
    </row>
    <row r="1115" spans="1:1" x14ac:dyDescent="0.25">
      <c r="A1115" s="2">
        <v>427851</v>
      </c>
    </row>
    <row r="1116" spans="1:1" x14ac:dyDescent="0.25">
      <c r="A1116" s="2">
        <v>427856</v>
      </c>
    </row>
    <row r="1117" spans="1:1" x14ac:dyDescent="0.25">
      <c r="A1117" s="2">
        <v>427933</v>
      </c>
    </row>
    <row r="1118" spans="1:1" x14ac:dyDescent="0.25">
      <c r="A1118" s="2">
        <v>429099</v>
      </c>
    </row>
    <row r="1119" spans="1:1" x14ac:dyDescent="0.25">
      <c r="A1119" s="2">
        <v>429183</v>
      </c>
    </row>
    <row r="1120" spans="1:1" x14ac:dyDescent="0.25">
      <c r="A1120" s="2">
        <v>429248</v>
      </c>
    </row>
    <row r="1121" spans="1:1" x14ac:dyDescent="0.25">
      <c r="A1121" s="2">
        <v>429341</v>
      </c>
    </row>
    <row r="1122" spans="1:1" x14ac:dyDescent="0.25">
      <c r="A1122" s="2">
        <v>429372</v>
      </c>
    </row>
    <row r="1123" spans="1:1" x14ac:dyDescent="0.25">
      <c r="A1123" s="2">
        <v>429381</v>
      </c>
    </row>
    <row r="1124" spans="1:1" x14ac:dyDescent="0.25">
      <c r="A1124" s="2">
        <v>429450</v>
      </c>
    </row>
    <row r="1125" spans="1:1" x14ac:dyDescent="0.25">
      <c r="A1125" s="2">
        <v>429461</v>
      </c>
    </row>
    <row r="1126" spans="1:1" x14ac:dyDescent="0.25">
      <c r="A1126" s="2">
        <v>429470</v>
      </c>
    </row>
    <row r="1127" spans="1:1" x14ac:dyDescent="0.25">
      <c r="A1127" s="2">
        <v>429490</v>
      </c>
    </row>
    <row r="1128" spans="1:1" x14ac:dyDescent="0.25">
      <c r="A1128" s="2">
        <v>429532</v>
      </c>
    </row>
    <row r="1129" spans="1:1" x14ac:dyDescent="0.25">
      <c r="A1129" s="2">
        <v>429551</v>
      </c>
    </row>
    <row r="1130" spans="1:1" x14ac:dyDescent="0.25">
      <c r="A1130" s="2">
        <v>429600</v>
      </c>
    </row>
    <row r="1131" spans="1:1" x14ac:dyDescent="0.25">
      <c r="A1131" s="2">
        <v>429621</v>
      </c>
    </row>
    <row r="1132" spans="1:1" x14ac:dyDescent="0.25">
      <c r="A1132" s="2">
        <v>429629</v>
      </c>
    </row>
    <row r="1133" spans="1:1" x14ac:dyDescent="0.25">
      <c r="A1133" s="2">
        <v>429650</v>
      </c>
    </row>
    <row r="1134" spans="1:1" x14ac:dyDescent="0.25">
      <c r="A1134" s="2">
        <v>429658</v>
      </c>
    </row>
    <row r="1135" spans="1:1" x14ac:dyDescent="0.25">
      <c r="A1135" s="2">
        <v>429678</v>
      </c>
    </row>
    <row r="1136" spans="1:1" x14ac:dyDescent="0.25">
      <c r="A1136" s="2">
        <v>429685</v>
      </c>
    </row>
    <row r="1137" spans="1:1" x14ac:dyDescent="0.25">
      <c r="A1137" s="2">
        <v>429704</v>
      </c>
    </row>
    <row r="1138" spans="1:1" x14ac:dyDescent="0.25">
      <c r="A1138" s="2">
        <v>429873</v>
      </c>
    </row>
    <row r="1139" spans="1:1" x14ac:dyDescent="0.25">
      <c r="A1139" s="2">
        <v>429906</v>
      </c>
    </row>
    <row r="1140" spans="1:1" x14ac:dyDescent="0.25">
      <c r="A1140" s="2">
        <v>429922</v>
      </c>
    </row>
    <row r="1141" spans="1:1" x14ac:dyDescent="0.25">
      <c r="A1141" s="2">
        <v>429961</v>
      </c>
    </row>
    <row r="1142" spans="1:1" x14ac:dyDescent="0.25">
      <c r="A1142" s="2">
        <v>429982</v>
      </c>
    </row>
    <row r="1143" spans="1:1" x14ac:dyDescent="0.25">
      <c r="A1143" s="2">
        <v>430004</v>
      </c>
    </row>
    <row r="1144" spans="1:1" x14ac:dyDescent="0.25">
      <c r="A1144" s="2">
        <v>430023</v>
      </c>
    </row>
    <row r="1145" spans="1:1" x14ac:dyDescent="0.25">
      <c r="A1145" s="2">
        <v>430053</v>
      </c>
    </row>
    <row r="1146" spans="1:1" x14ac:dyDescent="0.25">
      <c r="A1146" s="2">
        <v>430065</v>
      </c>
    </row>
    <row r="1147" spans="1:1" x14ac:dyDescent="0.25">
      <c r="A1147" s="2">
        <v>430066</v>
      </c>
    </row>
    <row r="1148" spans="1:1" x14ac:dyDescent="0.25">
      <c r="A1148" s="2">
        <v>430080</v>
      </c>
    </row>
    <row r="1149" spans="1:1" x14ac:dyDescent="0.25">
      <c r="A1149" s="2">
        <v>430088</v>
      </c>
    </row>
    <row r="1150" spans="1:1" x14ac:dyDescent="0.25">
      <c r="A1150" s="2">
        <v>430101</v>
      </c>
    </row>
    <row r="1151" spans="1:1" x14ac:dyDescent="0.25">
      <c r="A1151" s="2">
        <v>430110</v>
      </c>
    </row>
    <row r="1152" spans="1:1" x14ac:dyDescent="0.25">
      <c r="A1152" s="2">
        <v>430127</v>
      </c>
    </row>
    <row r="1153" spans="1:1" x14ac:dyDescent="0.25">
      <c r="A1153" s="2">
        <v>430135</v>
      </c>
    </row>
    <row r="1154" spans="1:1" x14ac:dyDescent="0.25">
      <c r="A1154" s="2">
        <v>430159</v>
      </c>
    </row>
    <row r="1155" spans="1:1" x14ac:dyDescent="0.25">
      <c r="A1155" s="2">
        <v>430192</v>
      </c>
    </row>
    <row r="1156" spans="1:1" x14ac:dyDescent="0.25">
      <c r="A1156" s="2">
        <v>430210</v>
      </c>
    </row>
    <row r="1157" spans="1:1" x14ac:dyDescent="0.25">
      <c r="A1157" s="2">
        <v>430248</v>
      </c>
    </row>
    <row r="1158" spans="1:1" x14ac:dyDescent="0.25">
      <c r="A1158" s="2">
        <v>430262</v>
      </c>
    </row>
    <row r="1159" spans="1:1" x14ac:dyDescent="0.25">
      <c r="A1159" s="2">
        <v>430263</v>
      </c>
    </row>
    <row r="1160" spans="1:1" x14ac:dyDescent="0.25">
      <c r="A1160" s="2">
        <v>430277</v>
      </c>
    </row>
    <row r="1161" spans="1:1" x14ac:dyDescent="0.25">
      <c r="A1161" s="2">
        <v>430307</v>
      </c>
    </row>
    <row r="1162" spans="1:1" x14ac:dyDescent="0.25">
      <c r="A1162" s="2">
        <v>430415</v>
      </c>
    </row>
    <row r="1163" spans="1:1" x14ac:dyDescent="0.25">
      <c r="A1163" s="2">
        <v>430426</v>
      </c>
    </row>
    <row r="1164" spans="1:1" x14ac:dyDescent="0.25">
      <c r="A1164" s="2">
        <v>430440</v>
      </c>
    </row>
    <row r="1165" spans="1:1" x14ac:dyDescent="0.25">
      <c r="A1165" s="2">
        <v>430493</v>
      </c>
    </row>
    <row r="1166" spans="1:1" x14ac:dyDescent="0.25">
      <c r="A1166" s="2">
        <v>430509</v>
      </c>
    </row>
    <row r="1167" spans="1:1" x14ac:dyDescent="0.25">
      <c r="A1167" s="2">
        <v>430510</v>
      </c>
    </row>
    <row r="1168" spans="1:1" x14ac:dyDescent="0.25">
      <c r="A1168" s="2">
        <v>430522</v>
      </c>
    </row>
    <row r="1169" spans="1:1" x14ac:dyDescent="0.25">
      <c r="A1169" s="2">
        <v>430596</v>
      </c>
    </row>
    <row r="1170" spans="1:1" x14ac:dyDescent="0.25">
      <c r="A1170" s="2">
        <v>430614</v>
      </c>
    </row>
    <row r="1171" spans="1:1" x14ac:dyDescent="0.25">
      <c r="A1171" s="2">
        <v>431853</v>
      </c>
    </row>
    <row r="1172" spans="1:1" x14ac:dyDescent="0.25">
      <c r="A1172" s="2">
        <v>431864</v>
      </c>
    </row>
    <row r="1173" spans="1:1" x14ac:dyDescent="0.25">
      <c r="A1173" s="2">
        <v>432000</v>
      </c>
    </row>
    <row r="1174" spans="1:1" x14ac:dyDescent="0.25">
      <c r="A1174" s="2">
        <v>432008</v>
      </c>
    </row>
    <row r="1175" spans="1:1" x14ac:dyDescent="0.25">
      <c r="A1175" s="2">
        <v>432412</v>
      </c>
    </row>
    <row r="1176" spans="1:1" x14ac:dyDescent="0.25">
      <c r="A1176" s="2">
        <v>432420</v>
      </c>
    </row>
    <row r="1177" spans="1:1" x14ac:dyDescent="0.25">
      <c r="A1177" s="2">
        <v>435391</v>
      </c>
    </row>
    <row r="1178" spans="1:1" x14ac:dyDescent="0.25">
      <c r="A1178" s="2">
        <v>435415</v>
      </c>
    </row>
    <row r="1179" spans="1:1" x14ac:dyDescent="0.25">
      <c r="A1179" s="2">
        <v>435463</v>
      </c>
    </row>
    <row r="1180" spans="1:1" x14ac:dyDescent="0.25">
      <c r="A1180" s="2">
        <v>437364</v>
      </c>
    </row>
    <row r="1181" spans="1:1" x14ac:dyDescent="0.25">
      <c r="A1181" s="2">
        <v>439222</v>
      </c>
    </row>
    <row r="1182" spans="1:1" x14ac:dyDescent="0.25">
      <c r="A1182" s="2">
        <v>439279</v>
      </c>
    </row>
    <row r="1183" spans="1:1" x14ac:dyDescent="0.25">
      <c r="A1183" s="2">
        <v>439419</v>
      </c>
    </row>
    <row r="1184" spans="1:1" x14ac:dyDescent="0.25">
      <c r="A1184" s="2">
        <v>439440</v>
      </c>
    </row>
    <row r="1185" spans="1:1" x14ac:dyDescent="0.25">
      <c r="A1185" s="2">
        <v>439499</v>
      </c>
    </row>
    <row r="1186" spans="1:1" x14ac:dyDescent="0.25">
      <c r="A1186" s="2">
        <v>439518</v>
      </c>
    </row>
    <row r="1187" spans="1:1" x14ac:dyDescent="0.25">
      <c r="A1187" s="2">
        <v>439521</v>
      </c>
    </row>
    <row r="1188" spans="1:1" x14ac:dyDescent="0.25">
      <c r="A1188" s="2">
        <v>439557</v>
      </c>
    </row>
    <row r="1189" spans="1:1" x14ac:dyDescent="0.25">
      <c r="A1189" s="2">
        <v>439565</v>
      </c>
    </row>
    <row r="1190" spans="1:1" x14ac:dyDescent="0.25">
      <c r="A1190" s="2">
        <v>439583</v>
      </c>
    </row>
    <row r="1191" spans="1:1" x14ac:dyDescent="0.25">
      <c r="A1191" s="2">
        <v>441114</v>
      </c>
    </row>
    <row r="1192" spans="1:1" x14ac:dyDescent="0.25">
      <c r="A1192" s="2">
        <v>441738</v>
      </c>
    </row>
    <row r="1193" spans="1:1" x14ac:dyDescent="0.25">
      <c r="A1193" s="2">
        <v>442791</v>
      </c>
    </row>
    <row r="1194" spans="1:1" x14ac:dyDescent="0.25">
      <c r="A1194" s="2">
        <v>442800</v>
      </c>
    </row>
    <row r="1195" spans="1:1" x14ac:dyDescent="0.25">
      <c r="A1195" s="2">
        <v>442818</v>
      </c>
    </row>
    <row r="1196" spans="1:1" x14ac:dyDescent="0.25">
      <c r="A1196" s="2">
        <v>442899</v>
      </c>
    </row>
    <row r="1197" spans="1:1" x14ac:dyDescent="0.25">
      <c r="A1197" s="2">
        <v>443012</v>
      </c>
    </row>
    <row r="1198" spans="1:1" x14ac:dyDescent="0.25">
      <c r="A1198" s="2">
        <v>443013</v>
      </c>
    </row>
    <row r="1199" spans="1:1" x14ac:dyDescent="0.25">
      <c r="A1199" s="2">
        <v>443024</v>
      </c>
    </row>
    <row r="1200" spans="1:1" x14ac:dyDescent="0.25">
      <c r="A1200" s="2">
        <v>443068</v>
      </c>
    </row>
    <row r="1201" spans="1:1" x14ac:dyDescent="0.25">
      <c r="A1201" s="2">
        <v>443901</v>
      </c>
    </row>
    <row r="1202" spans="1:1" x14ac:dyDescent="0.25">
      <c r="A1202" s="2">
        <v>443926</v>
      </c>
    </row>
    <row r="1203" spans="1:1" x14ac:dyDescent="0.25">
      <c r="A1203" s="2">
        <v>443934</v>
      </c>
    </row>
    <row r="1204" spans="1:1" x14ac:dyDescent="0.25">
      <c r="A1204" s="2">
        <v>443984</v>
      </c>
    </row>
    <row r="1205" spans="1:1" x14ac:dyDescent="0.25">
      <c r="A1205" s="2">
        <v>443992</v>
      </c>
    </row>
    <row r="1206" spans="1:1" x14ac:dyDescent="0.25">
      <c r="A1206" s="2">
        <v>444024</v>
      </c>
    </row>
    <row r="1207" spans="1:1" x14ac:dyDescent="0.25">
      <c r="A1207" s="2">
        <v>444048</v>
      </c>
    </row>
    <row r="1208" spans="1:1" x14ac:dyDescent="0.25">
      <c r="A1208" s="2">
        <v>444061</v>
      </c>
    </row>
    <row r="1209" spans="1:1" x14ac:dyDescent="0.25">
      <c r="A1209" s="2">
        <v>444070</v>
      </c>
    </row>
    <row r="1210" spans="1:1" x14ac:dyDescent="0.25">
      <c r="A1210" s="2">
        <v>444084</v>
      </c>
    </row>
    <row r="1211" spans="1:1" x14ac:dyDescent="0.25">
      <c r="A1211" s="2">
        <v>444107</v>
      </c>
    </row>
    <row r="1212" spans="1:1" x14ac:dyDescent="0.25">
      <c r="A1212" s="2">
        <v>444161</v>
      </c>
    </row>
    <row r="1213" spans="1:1" x14ac:dyDescent="0.25">
      <c r="A1213" s="2">
        <v>444178</v>
      </c>
    </row>
    <row r="1214" spans="1:1" x14ac:dyDescent="0.25">
      <c r="A1214" s="2">
        <v>444179</v>
      </c>
    </row>
    <row r="1215" spans="1:1" x14ac:dyDescent="0.25">
      <c r="A1215" s="2">
        <v>444209</v>
      </c>
    </row>
    <row r="1216" spans="1:1" x14ac:dyDescent="0.25">
      <c r="A1216" s="2">
        <v>444243</v>
      </c>
    </row>
    <row r="1217" spans="1:1" x14ac:dyDescent="0.25">
      <c r="A1217" s="2">
        <v>447314</v>
      </c>
    </row>
    <row r="1218" spans="1:1" x14ac:dyDescent="0.25">
      <c r="A1218" s="2">
        <v>447422</v>
      </c>
    </row>
    <row r="1219" spans="1:1" x14ac:dyDescent="0.25">
      <c r="A1219" s="2">
        <v>447638</v>
      </c>
    </row>
    <row r="1220" spans="1:1" x14ac:dyDescent="0.25">
      <c r="A1220" s="2">
        <v>448103</v>
      </c>
    </row>
    <row r="1221" spans="1:1" x14ac:dyDescent="0.25">
      <c r="A1221" s="2">
        <v>448138</v>
      </c>
    </row>
    <row r="1222" spans="1:1" x14ac:dyDescent="0.25">
      <c r="A1222" s="2">
        <v>448263</v>
      </c>
    </row>
    <row r="1223" spans="1:1" x14ac:dyDescent="0.25">
      <c r="A1223" s="2">
        <v>448296</v>
      </c>
    </row>
    <row r="1224" spans="1:1" x14ac:dyDescent="0.25">
      <c r="A1224" s="2">
        <v>448449</v>
      </c>
    </row>
    <row r="1225" spans="1:1" x14ac:dyDescent="0.25">
      <c r="A1225" s="2">
        <v>448573</v>
      </c>
    </row>
    <row r="1226" spans="1:1" x14ac:dyDescent="0.25">
      <c r="A1226" s="2">
        <v>449377</v>
      </c>
    </row>
    <row r="1227" spans="1:1" x14ac:dyDescent="0.25">
      <c r="A1227" s="2">
        <v>449378</v>
      </c>
    </row>
    <row r="1228" spans="1:1" x14ac:dyDescent="0.25">
      <c r="A1228" s="2">
        <v>449389</v>
      </c>
    </row>
    <row r="1229" spans="1:1" x14ac:dyDescent="0.25">
      <c r="A1229" s="2">
        <v>450262</v>
      </c>
    </row>
    <row r="1230" spans="1:1" x14ac:dyDescent="0.25">
      <c r="A1230" s="2">
        <v>450288</v>
      </c>
    </row>
    <row r="1231" spans="1:1" x14ac:dyDescent="0.25">
      <c r="A1231" s="2">
        <v>450370</v>
      </c>
    </row>
    <row r="1232" spans="1:1" x14ac:dyDescent="0.25">
      <c r="A1232" s="2">
        <v>450383</v>
      </c>
    </row>
    <row r="1233" spans="1:1" x14ac:dyDescent="0.25">
      <c r="A1233" s="2">
        <v>450461</v>
      </c>
    </row>
    <row r="1234" spans="1:1" x14ac:dyDescent="0.25">
      <c r="A1234" s="2">
        <v>450473</v>
      </c>
    </row>
    <row r="1235" spans="1:1" x14ac:dyDescent="0.25">
      <c r="A1235" s="2">
        <v>450493</v>
      </c>
    </row>
    <row r="1236" spans="1:1" x14ac:dyDescent="0.25">
      <c r="A1236" s="2">
        <v>450494</v>
      </c>
    </row>
    <row r="1237" spans="1:1" x14ac:dyDescent="0.25">
      <c r="A1237" s="2">
        <v>450508</v>
      </c>
    </row>
    <row r="1238" spans="1:1" x14ac:dyDescent="0.25">
      <c r="A1238" s="2">
        <v>450541</v>
      </c>
    </row>
    <row r="1239" spans="1:1" x14ac:dyDescent="0.25">
      <c r="A1239" s="2">
        <v>450606</v>
      </c>
    </row>
    <row r="1240" spans="1:1" x14ac:dyDescent="0.25">
      <c r="A1240" s="2">
        <v>451912</v>
      </c>
    </row>
    <row r="1241" spans="1:1" x14ac:dyDescent="0.25">
      <c r="A1241" s="2">
        <v>451921</v>
      </c>
    </row>
    <row r="1242" spans="1:1" x14ac:dyDescent="0.25">
      <c r="A1242" s="2">
        <v>451937</v>
      </c>
    </row>
    <row r="1243" spans="1:1" x14ac:dyDescent="0.25">
      <c r="A1243" s="2">
        <v>451945</v>
      </c>
    </row>
    <row r="1244" spans="1:1" x14ac:dyDescent="0.25">
      <c r="A1244" s="2">
        <v>451996</v>
      </c>
    </row>
    <row r="1245" spans="1:1" x14ac:dyDescent="0.25">
      <c r="A1245" s="2">
        <v>451997</v>
      </c>
    </row>
    <row r="1246" spans="1:1" x14ac:dyDescent="0.25">
      <c r="A1246" s="2">
        <v>452030</v>
      </c>
    </row>
    <row r="1247" spans="1:1" x14ac:dyDescent="0.25">
      <c r="A1247" s="2">
        <v>452069</v>
      </c>
    </row>
    <row r="1248" spans="1:1" x14ac:dyDescent="0.25">
      <c r="A1248" s="2">
        <v>452079</v>
      </c>
    </row>
    <row r="1249" spans="1:1" x14ac:dyDescent="0.25">
      <c r="A1249" s="2">
        <v>452095</v>
      </c>
    </row>
    <row r="1250" spans="1:1" x14ac:dyDescent="0.25">
      <c r="A1250" s="2">
        <v>452103</v>
      </c>
    </row>
    <row r="1251" spans="1:1" x14ac:dyDescent="0.25">
      <c r="A1251" s="2">
        <v>452137</v>
      </c>
    </row>
    <row r="1252" spans="1:1" x14ac:dyDescent="0.25">
      <c r="A1252" s="2">
        <v>452138</v>
      </c>
    </row>
    <row r="1253" spans="1:1" x14ac:dyDescent="0.25">
      <c r="A1253" s="2">
        <v>452142</v>
      </c>
    </row>
    <row r="1254" spans="1:1" x14ac:dyDescent="0.25">
      <c r="A1254" s="2">
        <v>452144</v>
      </c>
    </row>
    <row r="1255" spans="1:1" x14ac:dyDescent="0.25">
      <c r="A1255" s="2">
        <v>452152</v>
      </c>
    </row>
    <row r="1256" spans="1:1" x14ac:dyDescent="0.25">
      <c r="A1256" s="2">
        <v>452183</v>
      </c>
    </row>
    <row r="1257" spans="1:1" x14ac:dyDescent="0.25">
      <c r="A1257" s="2">
        <v>452232</v>
      </c>
    </row>
    <row r="1258" spans="1:1" x14ac:dyDescent="0.25">
      <c r="A1258" s="2">
        <v>452268</v>
      </c>
    </row>
    <row r="1259" spans="1:1" x14ac:dyDescent="0.25">
      <c r="A1259" s="2">
        <v>452556</v>
      </c>
    </row>
    <row r="1260" spans="1:1" x14ac:dyDescent="0.25">
      <c r="A1260" s="2">
        <v>452563</v>
      </c>
    </row>
    <row r="1261" spans="1:1" x14ac:dyDescent="0.25">
      <c r="A1261" s="2">
        <v>452606</v>
      </c>
    </row>
    <row r="1262" spans="1:1" x14ac:dyDescent="0.25">
      <c r="A1262" s="2">
        <v>452758</v>
      </c>
    </row>
    <row r="1263" spans="1:1" x14ac:dyDescent="0.25">
      <c r="A1263" s="2">
        <v>452787</v>
      </c>
    </row>
    <row r="1264" spans="1:1" x14ac:dyDescent="0.25">
      <c r="A1264" s="2">
        <v>452798</v>
      </c>
    </row>
    <row r="1265" spans="1:1" x14ac:dyDescent="0.25">
      <c r="A1265" s="2">
        <v>452816</v>
      </c>
    </row>
    <row r="1266" spans="1:1" x14ac:dyDescent="0.25">
      <c r="A1266" s="2">
        <v>452822</v>
      </c>
    </row>
    <row r="1267" spans="1:1" x14ac:dyDescent="0.25">
      <c r="A1267" s="2">
        <v>452839</v>
      </c>
    </row>
    <row r="1268" spans="1:1" x14ac:dyDescent="0.25">
      <c r="A1268" s="2">
        <v>452846</v>
      </c>
    </row>
    <row r="1269" spans="1:1" x14ac:dyDescent="0.25">
      <c r="A1269" s="2">
        <v>452992</v>
      </c>
    </row>
    <row r="1270" spans="1:1" x14ac:dyDescent="0.25">
      <c r="A1270" s="2">
        <v>453001</v>
      </c>
    </row>
    <row r="1271" spans="1:1" x14ac:dyDescent="0.25">
      <c r="A1271" s="2">
        <v>456037</v>
      </c>
    </row>
    <row r="1272" spans="1:1" x14ac:dyDescent="0.25">
      <c r="A1272" s="2">
        <v>456045</v>
      </c>
    </row>
    <row r="1273" spans="1:1" x14ac:dyDescent="0.25">
      <c r="A1273" s="2">
        <v>456094</v>
      </c>
    </row>
    <row r="1274" spans="1:1" x14ac:dyDescent="0.25">
      <c r="A1274" s="2">
        <v>456125</v>
      </c>
    </row>
    <row r="1275" spans="1:1" x14ac:dyDescent="0.25">
      <c r="A1275" s="2">
        <v>456231</v>
      </c>
    </row>
    <row r="1276" spans="1:1" x14ac:dyDescent="0.25">
      <c r="A1276" s="2">
        <v>456366</v>
      </c>
    </row>
    <row r="1277" spans="1:1" x14ac:dyDescent="0.25">
      <c r="A1277" s="2">
        <v>456373</v>
      </c>
    </row>
    <row r="1278" spans="1:1" x14ac:dyDescent="0.25">
      <c r="A1278" s="2">
        <v>456533</v>
      </c>
    </row>
    <row r="1279" spans="1:1" x14ac:dyDescent="0.25">
      <c r="A1279" s="2">
        <v>456536</v>
      </c>
    </row>
    <row r="1280" spans="1:1" x14ac:dyDescent="0.25">
      <c r="A1280" s="2">
        <v>456544</v>
      </c>
    </row>
    <row r="1281" spans="1:1" x14ac:dyDescent="0.25">
      <c r="A1281" s="2">
        <v>456549</v>
      </c>
    </row>
    <row r="1282" spans="1:1" x14ac:dyDescent="0.25">
      <c r="A1282" s="2">
        <v>456595</v>
      </c>
    </row>
    <row r="1283" spans="1:1" x14ac:dyDescent="0.25">
      <c r="A1283" s="2">
        <v>456649</v>
      </c>
    </row>
    <row r="1284" spans="1:1" x14ac:dyDescent="0.25">
      <c r="A1284" s="2">
        <v>456658</v>
      </c>
    </row>
    <row r="1285" spans="1:1" x14ac:dyDescent="0.25">
      <c r="A1285" s="2">
        <v>456697</v>
      </c>
    </row>
    <row r="1286" spans="1:1" x14ac:dyDescent="0.25">
      <c r="A1286" s="2">
        <v>456852</v>
      </c>
    </row>
    <row r="1287" spans="1:1" x14ac:dyDescent="0.25">
      <c r="A1287" s="2">
        <v>458593</v>
      </c>
    </row>
    <row r="1288" spans="1:1" x14ac:dyDescent="0.25">
      <c r="A1288" s="2">
        <v>458600</v>
      </c>
    </row>
    <row r="1289" spans="1:1" x14ac:dyDescent="0.25">
      <c r="A1289" s="2">
        <v>458610</v>
      </c>
    </row>
    <row r="1290" spans="1:1" x14ac:dyDescent="0.25">
      <c r="A1290" s="2">
        <v>458611</v>
      </c>
    </row>
    <row r="1291" spans="1:1" x14ac:dyDescent="0.25">
      <c r="A1291" s="2">
        <v>458618</v>
      </c>
    </row>
    <row r="1292" spans="1:1" x14ac:dyDescent="0.25">
      <c r="A1292" s="2">
        <v>458634</v>
      </c>
    </row>
    <row r="1293" spans="1:1" x14ac:dyDescent="0.25">
      <c r="A1293" s="2">
        <v>458700</v>
      </c>
    </row>
    <row r="1294" spans="1:1" x14ac:dyDescent="0.25">
      <c r="A1294" s="2">
        <v>458744</v>
      </c>
    </row>
    <row r="1295" spans="1:1" x14ac:dyDescent="0.25">
      <c r="A1295" s="2">
        <v>460424</v>
      </c>
    </row>
    <row r="1296" spans="1:1" x14ac:dyDescent="0.25">
      <c r="A1296" s="2">
        <v>460432</v>
      </c>
    </row>
    <row r="1297" spans="1:1" x14ac:dyDescent="0.25">
      <c r="A1297" s="2">
        <v>460875</v>
      </c>
    </row>
    <row r="1298" spans="1:1" x14ac:dyDescent="0.25">
      <c r="A1298" s="2">
        <v>460884</v>
      </c>
    </row>
    <row r="1299" spans="1:1" x14ac:dyDescent="0.25">
      <c r="A1299" s="2">
        <v>460892</v>
      </c>
    </row>
    <row r="1300" spans="1:1" x14ac:dyDescent="0.25">
      <c r="A1300" s="2">
        <v>460914</v>
      </c>
    </row>
    <row r="1301" spans="1:1" x14ac:dyDescent="0.25">
      <c r="A1301" s="2">
        <v>460932</v>
      </c>
    </row>
    <row r="1302" spans="1:1" x14ac:dyDescent="0.25">
      <c r="A1302" s="2">
        <v>460937</v>
      </c>
    </row>
    <row r="1303" spans="1:1" x14ac:dyDescent="0.25">
      <c r="A1303" s="2">
        <v>460945</v>
      </c>
    </row>
    <row r="1304" spans="1:1" x14ac:dyDescent="0.25">
      <c r="A1304" s="2">
        <v>460963</v>
      </c>
    </row>
    <row r="1305" spans="1:1" x14ac:dyDescent="0.25">
      <c r="A1305" s="2">
        <v>460971</v>
      </c>
    </row>
    <row r="1306" spans="1:1" x14ac:dyDescent="0.25">
      <c r="A1306" s="2">
        <v>460976</v>
      </c>
    </row>
    <row r="1307" spans="1:1" x14ac:dyDescent="0.25">
      <c r="A1307" s="2">
        <v>460983</v>
      </c>
    </row>
    <row r="1308" spans="1:1" x14ac:dyDescent="0.25">
      <c r="A1308" s="2">
        <v>461013</v>
      </c>
    </row>
    <row r="1309" spans="1:1" x14ac:dyDescent="0.25">
      <c r="A1309" s="2">
        <v>461039</v>
      </c>
    </row>
    <row r="1310" spans="1:1" x14ac:dyDescent="0.25">
      <c r="A1310" s="2">
        <v>461367</v>
      </c>
    </row>
    <row r="1311" spans="1:1" x14ac:dyDescent="0.25">
      <c r="A1311" s="2">
        <v>461843</v>
      </c>
    </row>
    <row r="1312" spans="1:1" x14ac:dyDescent="0.25">
      <c r="A1312" s="2">
        <v>462133</v>
      </c>
    </row>
    <row r="1313" spans="1:1" x14ac:dyDescent="0.25">
      <c r="A1313" s="2">
        <v>462606</v>
      </c>
    </row>
    <row r="1314" spans="1:1" x14ac:dyDescent="0.25">
      <c r="A1314" s="2">
        <v>462617</v>
      </c>
    </row>
    <row r="1315" spans="1:1" x14ac:dyDescent="0.25">
      <c r="A1315" s="2">
        <v>462625</v>
      </c>
    </row>
    <row r="1316" spans="1:1" x14ac:dyDescent="0.25">
      <c r="A1316" s="2">
        <v>462627</v>
      </c>
    </row>
    <row r="1317" spans="1:1" x14ac:dyDescent="0.25">
      <c r="A1317" s="2">
        <v>462634</v>
      </c>
    </row>
    <row r="1318" spans="1:1" x14ac:dyDescent="0.25">
      <c r="A1318" s="2">
        <v>462644</v>
      </c>
    </row>
    <row r="1319" spans="1:1" x14ac:dyDescent="0.25">
      <c r="A1319" s="2">
        <v>462658</v>
      </c>
    </row>
    <row r="1320" spans="1:1" x14ac:dyDescent="0.25">
      <c r="A1320" s="2">
        <v>462668</v>
      </c>
    </row>
    <row r="1321" spans="1:1" x14ac:dyDescent="0.25">
      <c r="A1321" s="2">
        <v>464856</v>
      </c>
    </row>
    <row r="1322" spans="1:1" x14ac:dyDescent="0.25">
      <c r="A1322" s="2">
        <v>464882</v>
      </c>
    </row>
    <row r="1323" spans="1:1" x14ac:dyDescent="0.25">
      <c r="A1323" s="2">
        <v>465850</v>
      </c>
    </row>
    <row r="1324" spans="1:1" x14ac:dyDescent="0.25">
      <c r="A1324" s="2">
        <v>465862</v>
      </c>
    </row>
    <row r="1325" spans="1:1" x14ac:dyDescent="0.25">
      <c r="A1325" s="2">
        <v>465868</v>
      </c>
    </row>
    <row r="1326" spans="1:1" x14ac:dyDescent="0.25">
      <c r="A1326" s="2">
        <v>465877</v>
      </c>
    </row>
    <row r="1327" spans="1:1" x14ac:dyDescent="0.25">
      <c r="A1327" s="2">
        <v>465883</v>
      </c>
    </row>
    <row r="1328" spans="1:1" x14ac:dyDescent="0.25">
      <c r="A1328" s="2">
        <v>465890</v>
      </c>
    </row>
    <row r="1329" spans="1:1" x14ac:dyDescent="0.25">
      <c r="A1329" s="2">
        <v>466236</v>
      </c>
    </row>
    <row r="1330" spans="1:1" x14ac:dyDescent="0.25">
      <c r="A1330" s="2">
        <v>467585</v>
      </c>
    </row>
    <row r="1331" spans="1:1" x14ac:dyDescent="0.25">
      <c r="A1331" s="2">
        <v>467606</v>
      </c>
    </row>
    <row r="1332" spans="1:1" x14ac:dyDescent="0.25">
      <c r="A1332" s="2">
        <v>467676</v>
      </c>
    </row>
    <row r="1333" spans="1:1" x14ac:dyDescent="0.25">
      <c r="A1333" s="2">
        <v>467677</v>
      </c>
    </row>
    <row r="1334" spans="1:1" x14ac:dyDescent="0.25">
      <c r="A1334" s="2">
        <v>469707</v>
      </c>
    </row>
    <row r="1335" spans="1:1" x14ac:dyDescent="0.25">
      <c r="A1335" s="2">
        <v>469742</v>
      </c>
    </row>
    <row r="1336" spans="1:1" x14ac:dyDescent="0.25">
      <c r="A1336" s="2">
        <v>469754</v>
      </c>
    </row>
    <row r="1337" spans="1:1" x14ac:dyDescent="0.25">
      <c r="A1337" s="2">
        <v>469783</v>
      </c>
    </row>
    <row r="1338" spans="1:1" x14ac:dyDescent="0.25">
      <c r="A1338" s="2">
        <v>469799</v>
      </c>
    </row>
    <row r="1339" spans="1:1" x14ac:dyDescent="0.25">
      <c r="A1339" s="2">
        <v>469808</v>
      </c>
    </row>
    <row r="1340" spans="1:1" x14ac:dyDescent="0.25">
      <c r="A1340" s="2">
        <v>469837</v>
      </c>
    </row>
    <row r="1341" spans="1:1" x14ac:dyDescent="0.25">
      <c r="A1341" s="2">
        <v>472344</v>
      </c>
    </row>
    <row r="1342" spans="1:1" x14ac:dyDescent="0.25">
      <c r="A1342" s="2">
        <v>472605</v>
      </c>
    </row>
    <row r="1343" spans="1:1" x14ac:dyDescent="0.25">
      <c r="A1343" s="2">
        <v>472648</v>
      </c>
    </row>
    <row r="1344" spans="1:1" x14ac:dyDescent="0.25">
      <c r="A1344" s="2">
        <v>472756</v>
      </c>
    </row>
    <row r="1345" spans="1:1" x14ac:dyDescent="0.25">
      <c r="A1345" s="2">
        <v>472811</v>
      </c>
    </row>
    <row r="1346" spans="1:1" x14ac:dyDescent="0.25">
      <c r="A1346" s="2">
        <v>472818</v>
      </c>
    </row>
    <row r="1347" spans="1:1" x14ac:dyDescent="0.25">
      <c r="A1347" s="2">
        <v>472921</v>
      </c>
    </row>
    <row r="1348" spans="1:1" x14ac:dyDescent="0.25">
      <c r="A1348" s="2">
        <v>472922</v>
      </c>
    </row>
    <row r="1349" spans="1:1" x14ac:dyDescent="0.25">
      <c r="A1349" s="2">
        <v>473215</v>
      </c>
    </row>
    <row r="1350" spans="1:1" x14ac:dyDescent="0.25">
      <c r="A1350" s="2">
        <v>473226</v>
      </c>
    </row>
    <row r="1351" spans="1:1" x14ac:dyDescent="0.25">
      <c r="A1351" s="2">
        <v>473249</v>
      </c>
    </row>
    <row r="1352" spans="1:1" x14ac:dyDescent="0.25">
      <c r="A1352" s="2">
        <v>473257</v>
      </c>
    </row>
    <row r="1353" spans="1:1" x14ac:dyDescent="0.25">
      <c r="A1353" s="2">
        <v>473270</v>
      </c>
    </row>
    <row r="1354" spans="1:1" x14ac:dyDescent="0.25">
      <c r="A1354" s="2">
        <v>473308</v>
      </c>
    </row>
    <row r="1355" spans="1:1" x14ac:dyDescent="0.25">
      <c r="A1355" s="2">
        <v>473309</v>
      </c>
    </row>
    <row r="1356" spans="1:1" x14ac:dyDescent="0.25">
      <c r="A1356" s="2">
        <v>473323</v>
      </c>
    </row>
    <row r="1357" spans="1:1" x14ac:dyDescent="0.25">
      <c r="A1357" s="2">
        <v>473332</v>
      </c>
    </row>
    <row r="1358" spans="1:1" x14ac:dyDescent="0.25">
      <c r="A1358" s="2">
        <v>474029</v>
      </c>
    </row>
    <row r="1359" spans="1:1" x14ac:dyDescent="0.25">
      <c r="A1359" s="2">
        <v>474038</v>
      </c>
    </row>
    <row r="1360" spans="1:1" x14ac:dyDescent="0.25">
      <c r="A1360" s="2">
        <v>474058</v>
      </c>
    </row>
    <row r="1361" spans="1:1" x14ac:dyDescent="0.25">
      <c r="A1361" s="2">
        <v>474067</v>
      </c>
    </row>
    <row r="1362" spans="1:1" x14ac:dyDescent="0.25">
      <c r="A1362" s="2">
        <v>474526</v>
      </c>
    </row>
    <row r="1363" spans="1:1" x14ac:dyDescent="0.25">
      <c r="A1363" s="2">
        <v>474537</v>
      </c>
    </row>
    <row r="1364" spans="1:1" x14ac:dyDescent="0.25">
      <c r="A1364" s="2">
        <v>474552</v>
      </c>
    </row>
    <row r="1365" spans="1:1" x14ac:dyDescent="0.25">
      <c r="A1365" s="2">
        <v>474559</v>
      </c>
    </row>
    <row r="1366" spans="1:1" x14ac:dyDescent="0.25">
      <c r="A1366" s="2">
        <v>474745</v>
      </c>
    </row>
    <row r="1367" spans="1:1" x14ac:dyDescent="0.25">
      <c r="A1367" s="2">
        <v>474781</v>
      </c>
    </row>
    <row r="1368" spans="1:1" x14ac:dyDescent="0.25">
      <c r="A1368" s="2">
        <v>474788</v>
      </c>
    </row>
    <row r="1369" spans="1:1" x14ac:dyDescent="0.25">
      <c r="A1369" s="2">
        <v>475173</v>
      </c>
    </row>
    <row r="1370" spans="1:1" x14ac:dyDescent="0.25">
      <c r="A1370" s="2">
        <v>475180</v>
      </c>
    </row>
    <row r="1371" spans="1:1" x14ac:dyDescent="0.25">
      <c r="A1371" s="2">
        <v>475258</v>
      </c>
    </row>
    <row r="1372" spans="1:1" x14ac:dyDescent="0.25">
      <c r="A1372" s="2">
        <v>475424</v>
      </c>
    </row>
    <row r="1373" spans="1:1" x14ac:dyDescent="0.25">
      <c r="A1373" s="2">
        <v>475432</v>
      </c>
    </row>
    <row r="1374" spans="1:1" x14ac:dyDescent="0.25">
      <c r="A1374" s="2">
        <v>475459</v>
      </c>
    </row>
    <row r="1375" spans="1:1" x14ac:dyDescent="0.25">
      <c r="A1375" s="2">
        <v>475460</v>
      </c>
    </row>
    <row r="1376" spans="1:1" x14ac:dyDescent="0.25">
      <c r="A1376" s="2">
        <v>475480</v>
      </c>
    </row>
    <row r="1377" spans="1:1" x14ac:dyDescent="0.25">
      <c r="A1377" s="2">
        <v>475488</v>
      </c>
    </row>
    <row r="1378" spans="1:1" x14ac:dyDescent="0.25">
      <c r="A1378" s="2">
        <v>475506</v>
      </c>
    </row>
    <row r="1379" spans="1:1" x14ac:dyDescent="0.25">
      <c r="A1379" s="2">
        <v>475514</v>
      </c>
    </row>
    <row r="1380" spans="1:1" x14ac:dyDescent="0.25">
      <c r="A1380" s="2">
        <v>475527</v>
      </c>
    </row>
    <row r="1381" spans="1:1" x14ac:dyDescent="0.25">
      <c r="A1381" s="2">
        <v>475528</v>
      </c>
    </row>
    <row r="1382" spans="1:1" x14ac:dyDescent="0.25">
      <c r="A1382" s="2">
        <v>475562</v>
      </c>
    </row>
    <row r="1383" spans="1:1" x14ac:dyDescent="0.25">
      <c r="A1383" s="2">
        <v>475605</v>
      </c>
    </row>
    <row r="1384" spans="1:1" x14ac:dyDescent="0.25">
      <c r="A1384" s="2">
        <v>476541</v>
      </c>
    </row>
    <row r="1385" spans="1:1" x14ac:dyDescent="0.25">
      <c r="A1385" s="2">
        <v>476550</v>
      </c>
    </row>
    <row r="1386" spans="1:1" x14ac:dyDescent="0.25">
      <c r="A1386" s="2">
        <v>476859</v>
      </c>
    </row>
    <row r="1387" spans="1:1" x14ac:dyDescent="0.25">
      <c r="A1387" s="2">
        <v>476864</v>
      </c>
    </row>
    <row r="1388" spans="1:1" x14ac:dyDescent="0.25">
      <c r="A1388" s="2">
        <v>476865</v>
      </c>
    </row>
    <row r="1389" spans="1:1" x14ac:dyDescent="0.25">
      <c r="A1389" s="2">
        <v>476875</v>
      </c>
    </row>
    <row r="1390" spans="1:1" x14ac:dyDescent="0.25">
      <c r="A1390" s="2">
        <v>476876</v>
      </c>
    </row>
    <row r="1391" spans="1:1" x14ac:dyDescent="0.25">
      <c r="A1391" s="2">
        <v>476884</v>
      </c>
    </row>
    <row r="1392" spans="1:1" x14ac:dyDescent="0.25">
      <c r="A1392" s="2">
        <v>476930</v>
      </c>
    </row>
    <row r="1393" spans="1:1" x14ac:dyDescent="0.25">
      <c r="A1393" s="2">
        <v>476941</v>
      </c>
    </row>
    <row r="1394" spans="1:1" x14ac:dyDescent="0.25">
      <c r="A1394" s="2">
        <v>476947</v>
      </c>
    </row>
    <row r="1395" spans="1:1" x14ac:dyDescent="0.25">
      <c r="A1395" s="2">
        <v>476948</v>
      </c>
    </row>
    <row r="1396" spans="1:1" x14ac:dyDescent="0.25">
      <c r="A1396" s="2">
        <v>477095</v>
      </c>
    </row>
    <row r="1397" spans="1:1" x14ac:dyDescent="0.25">
      <c r="A1397" s="2">
        <v>477106</v>
      </c>
    </row>
    <row r="1398" spans="1:1" x14ac:dyDescent="0.25">
      <c r="A1398" s="2">
        <v>477134</v>
      </c>
    </row>
    <row r="1399" spans="1:1" x14ac:dyDescent="0.25">
      <c r="A1399" s="2">
        <v>477144</v>
      </c>
    </row>
    <row r="1400" spans="1:1" x14ac:dyDescent="0.25">
      <c r="A1400" s="2">
        <v>477157</v>
      </c>
    </row>
    <row r="1401" spans="1:1" x14ac:dyDescent="0.25">
      <c r="A1401" s="2">
        <v>477163</v>
      </c>
    </row>
    <row r="1402" spans="1:1" x14ac:dyDescent="0.25">
      <c r="A1402" s="2">
        <v>477288</v>
      </c>
    </row>
    <row r="1403" spans="1:1" x14ac:dyDescent="0.25">
      <c r="A1403" s="2">
        <v>477311</v>
      </c>
    </row>
    <row r="1404" spans="1:1" x14ac:dyDescent="0.25">
      <c r="A1404" s="2">
        <v>477756</v>
      </c>
    </row>
    <row r="1405" spans="1:1" x14ac:dyDescent="0.25">
      <c r="A1405" s="2">
        <v>477778</v>
      </c>
    </row>
    <row r="1406" spans="1:1" x14ac:dyDescent="0.25">
      <c r="A1406" s="2">
        <v>477789</v>
      </c>
    </row>
    <row r="1407" spans="1:1" x14ac:dyDescent="0.25">
      <c r="A1407" s="2">
        <v>477798</v>
      </c>
    </row>
    <row r="1408" spans="1:1" x14ac:dyDescent="0.25">
      <c r="A1408" s="2">
        <v>477818</v>
      </c>
    </row>
    <row r="1409" spans="1:1" x14ac:dyDescent="0.25">
      <c r="A1409" s="2">
        <v>477826</v>
      </c>
    </row>
    <row r="1410" spans="1:1" x14ac:dyDescent="0.25">
      <c r="A1410" s="2">
        <v>480048</v>
      </c>
    </row>
    <row r="1411" spans="1:1" x14ac:dyDescent="0.25">
      <c r="A1411" s="2">
        <v>480059</v>
      </c>
    </row>
    <row r="1412" spans="1:1" x14ac:dyDescent="0.25">
      <c r="A1412" s="2">
        <v>480347</v>
      </c>
    </row>
    <row r="1413" spans="1:1" x14ac:dyDescent="0.25">
      <c r="A1413" s="2">
        <v>480357</v>
      </c>
    </row>
    <row r="1414" spans="1:1" x14ac:dyDescent="0.25">
      <c r="A1414" s="2">
        <v>487460</v>
      </c>
    </row>
    <row r="1415" spans="1:1" x14ac:dyDescent="0.25">
      <c r="A1415" s="2">
        <v>488387</v>
      </c>
    </row>
    <row r="1416" spans="1:1" x14ac:dyDescent="0.25">
      <c r="A1416" s="2">
        <v>488424</v>
      </c>
    </row>
    <row r="1417" spans="1:1" x14ac:dyDescent="0.25">
      <c r="A1417" s="2">
        <v>488425</v>
      </c>
    </row>
    <row r="1418" spans="1:1" x14ac:dyDescent="0.25">
      <c r="A1418" s="2">
        <v>488429</v>
      </c>
    </row>
    <row r="1419" spans="1:1" x14ac:dyDescent="0.25">
      <c r="A1419" s="2">
        <v>488432</v>
      </c>
    </row>
    <row r="1420" spans="1:1" x14ac:dyDescent="0.25">
      <c r="A1420" s="2">
        <v>488607</v>
      </c>
    </row>
    <row r="1421" spans="1:1" x14ac:dyDescent="0.25">
      <c r="A1421" s="2">
        <v>488885</v>
      </c>
    </row>
    <row r="1422" spans="1:1" x14ac:dyDescent="0.25">
      <c r="A1422" s="2">
        <v>488904</v>
      </c>
    </row>
    <row r="1423" spans="1:1" x14ac:dyDescent="0.25">
      <c r="A1423" s="2">
        <v>489013</v>
      </c>
    </row>
    <row r="1424" spans="1:1" x14ac:dyDescent="0.25">
      <c r="A1424" s="2">
        <v>489103</v>
      </c>
    </row>
    <row r="1425" spans="1:1" x14ac:dyDescent="0.25">
      <c r="A1425" s="2">
        <v>489116</v>
      </c>
    </row>
    <row r="1426" spans="1:1" x14ac:dyDescent="0.25">
      <c r="A1426" s="2">
        <v>489117</v>
      </c>
    </row>
    <row r="1427" spans="1:1" x14ac:dyDescent="0.25">
      <c r="A1427" s="2">
        <v>490103</v>
      </c>
    </row>
    <row r="1428" spans="1:1" x14ac:dyDescent="0.25">
      <c r="A1428" s="2">
        <v>491218</v>
      </c>
    </row>
    <row r="1429" spans="1:1" x14ac:dyDescent="0.25">
      <c r="A1429" s="2">
        <v>491693</v>
      </c>
    </row>
    <row r="1430" spans="1:1" x14ac:dyDescent="0.25">
      <c r="A1430" s="2">
        <v>497797</v>
      </c>
    </row>
    <row r="1431" spans="1:1" x14ac:dyDescent="0.25">
      <c r="A1431" s="2">
        <v>509426</v>
      </c>
    </row>
    <row r="1432" spans="1:1" x14ac:dyDescent="0.25">
      <c r="A1432" s="2">
        <v>509456</v>
      </c>
    </row>
    <row r="1433" spans="1:1" x14ac:dyDescent="0.25">
      <c r="A1433" s="2">
        <v>509670</v>
      </c>
    </row>
    <row r="1434" spans="1:1" x14ac:dyDescent="0.25">
      <c r="A1434" s="2">
        <v>509699</v>
      </c>
    </row>
    <row r="1435" spans="1:1" x14ac:dyDescent="0.25">
      <c r="A1435" s="2">
        <v>509720</v>
      </c>
    </row>
    <row r="1436" spans="1:1" x14ac:dyDescent="0.25">
      <c r="A1436" s="2">
        <v>509753</v>
      </c>
    </row>
    <row r="1437" spans="1:1" x14ac:dyDescent="0.25">
      <c r="A1437" s="2">
        <v>518287</v>
      </c>
    </row>
    <row r="1438" spans="1:1" x14ac:dyDescent="0.25">
      <c r="A1438" s="2">
        <v>518290</v>
      </c>
    </row>
    <row r="1439" spans="1:1" x14ac:dyDescent="0.25">
      <c r="A1439" s="2">
        <v>518291</v>
      </c>
    </row>
    <row r="1440" spans="1:1" x14ac:dyDescent="0.25">
      <c r="A1440" s="2">
        <v>518297</v>
      </c>
    </row>
    <row r="1441" spans="1:1" x14ac:dyDescent="0.25">
      <c r="A1441" s="2">
        <v>518311</v>
      </c>
    </row>
    <row r="1442" spans="1:1" x14ac:dyDescent="0.25">
      <c r="A1442" s="2">
        <v>518321</v>
      </c>
    </row>
    <row r="1443" spans="1:1" x14ac:dyDescent="0.25">
      <c r="A1443" s="2">
        <v>518358</v>
      </c>
    </row>
    <row r="1444" spans="1:1" x14ac:dyDescent="0.25">
      <c r="A1444" s="2">
        <v>518382</v>
      </c>
    </row>
    <row r="1445" spans="1:1" x14ac:dyDescent="0.25">
      <c r="A1445" s="2">
        <v>518394</v>
      </c>
    </row>
    <row r="1446" spans="1:1" x14ac:dyDescent="0.25">
      <c r="A1446" s="2">
        <v>518401</v>
      </c>
    </row>
    <row r="1447" spans="1:1" x14ac:dyDescent="0.25">
      <c r="A1447" s="2">
        <v>518407</v>
      </c>
    </row>
    <row r="1448" spans="1:1" x14ac:dyDescent="0.25">
      <c r="A1448" s="2">
        <v>518424</v>
      </c>
    </row>
    <row r="1449" spans="1:1" x14ac:dyDescent="0.25">
      <c r="A1449" s="2">
        <v>518435</v>
      </c>
    </row>
    <row r="1450" spans="1:1" x14ac:dyDescent="0.25">
      <c r="A1450" s="2">
        <v>518441</v>
      </c>
    </row>
    <row r="1451" spans="1:1" x14ac:dyDescent="0.25">
      <c r="A1451" s="2">
        <v>518451</v>
      </c>
    </row>
    <row r="1452" spans="1:1" x14ac:dyDescent="0.25">
      <c r="A1452" s="2">
        <v>518461</v>
      </c>
    </row>
    <row r="1453" spans="1:1" x14ac:dyDescent="0.25">
      <c r="A1453" s="2">
        <v>518475</v>
      </c>
    </row>
    <row r="1454" spans="1:1" x14ac:dyDescent="0.25">
      <c r="A1454" s="2">
        <v>518476</v>
      </c>
    </row>
    <row r="1455" spans="1:1" x14ac:dyDescent="0.25">
      <c r="A1455" s="2">
        <v>518486</v>
      </c>
    </row>
    <row r="1456" spans="1:1" x14ac:dyDescent="0.25">
      <c r="A1456" s="2">
        <v>518488</v>
      </c>
    </row>
    <row r="1457" spans="1:1" x14ac:dyDescent="0.25">
      <c r="A1457" s="2">
        <v>518491</v>
      </c>
    </row>
    <row r="1458" spans="1:1" x14ac:dyDescent="0.25">
      <c r="A1458" s="2">
        <v>518507</v>
      </c>
    </row>
    <row r="1459" spans="1:1" x14ac:dyDescent="0.25">
      <c r="A1459" s="2">
        <v>518509</v>
      </c>
    </row>
    <row r="1460" spans="1:1" x14ac:dyDescent="0.25">
      <c r="A1460" s="2">
        <v>518528</v>
      </c>
    </row>
    <row r="1461" spans="1:1" x14ac:dyDescent="0.25">
      <c r="A1461" s="2">
        <v>518534</v>
      </c>
    </row>
    <row r="1462" spans="1:1" x14ac:dyDescent="0.25">
      <c r="A1462" s="2">
        <v>518553</v>
      </c>
    </row>
    <row r="1463" spans="1:1" x14ac:dyDescent="0.25">
      <c r="A1463" s="2">
        <v>518598</v>
      </c>
    </row>
    <row r="1464" spans="1:1" x14ac:dyDescent="0.25">
      <c r="A1464" s="2">
        <v>518640</v>
      </c>
    </row>
    <row r="1465" spans="1:1" x14ac:dyDescent="0.25">
      <c r="A1465" s="2">
        <v>518649</v>
      </c>
    </row>
    <row r="1466" spans="1:1" x14ac:dyDescent="0.25">
      <c r="A1466" s="2">
        <v>518661</v>
      </c>
    </row>
    <row r="1467" spans="1:1" x14ac:dyDescent="0.25">
      <c r="A1467" s="2">
        <v>518669</v>
      </c>
    </row>
    <row r="1468" spans="1:1" x14ac:dyDescent="0.25">
      <c r="A1468" s="2">
        <v>518709</v>
      </c>
    </row>
    <row r="1469" spans="1:1" x14ac:dyDescent="0.25">
      <c r="A1469" s="2">
        <v>518718</v>
      </c>
    </row>
    <row r="1470" spans="1:1" x14ac:dyDescent="0.25">
      <c r="A1470" s="2">
        <v>518721</v>
      </c>
    </row>
    <row r="1471" spans="1:1" x14ac:dyDescent="0.25">
      <c r="A1471" s="2">
        <v>518727</v>
      </c>
    </row>
    <row r="1472" spans="1:1" x14ac:dyDescent="0.25">
      <c r="A1472" s="2">
        <v>518771</v>
      </c>
    </row>
    <row r="1473" spans="1:1" x14ac:dyDescent="0.25">
      <c r="A1473" s="2">
        <v>518828</v>
      </c>
    </row>
    <row r="1474" spans="1:1" x14ac:dyDescent="0.25">
      <c r="A1474" s="2">
        <v>518859</v>
      </c>
    </row>
    <row r="1475" spans="1:1" x14ac:dyDescent="0.25">
      <c r="A1475" s="2">
        <v>518866</v>
      </c>
    </row>
    <row r="1476" spans="1:1" x14ac:dyDescent="0.25">
      <c r="A1476" s="2">
        <v>518869</v>
      </c>
    </row>
    <row r="1477" spans="1:1" x14ac:dyDescent="0.25">
      <c r="A1477" s="2">
        <v>518963</v>
      </c>
    </row>
    <row r="1478" spans="1:1" x14ac:dyDescent="0.25">
      <c r="A1478" s="2">
        <v>518975</v>
      </c>
    </row>
    <row r="1479" spans="1:1" x14ac:dyDescent="0.25">
      <c r="A1479" s="2">
        <v>518979</v>
      </c>
    </row>
    <row r="1480" spans="1:1" x14ac:dyDescent="0.25">
      <c r="A1480" s="2">
        <v>518981</v>
      </c>
    </row>
    <row r="1481" spans="1:1" x14ac:dyDescent="0.25">
      <c r="A1481" s="2">
        <v>518987</v>
      </c>
    </row>
    <row r="1482" spans="1:1" x14ac:dyDescent="0.25">
      <c r="A1482" s="2">
        <v>518997</v>
      </c>
    </row>
    <row r="1483" spans="1:1" x14ac:dyDescent="0.25">
      <c r="A1483" s="2">
        <v>519007</v>
      </c>
    </row>
    <row r="1484" spans="1:1" x14ac:dyDescent="0.25">
      <c r="A1484" s="2">
        <v>519021</v>
      </c>
    </row>
    <row r="1485" spans="1:1" x14ac:dyDescent="0.25">
      <c r="A1485" s="2">
        <v>519028</v>
      </c>
    </row>
    <row r="1486" spans="1:1" x14ac:dyDescent="0.25">
      <c r="A1486" s="2">
        <v>519032</v>
      </c>
    </row>
    <row r="1487" spans="1:1" x14ac:dyDescent="0.25">
      <c r="A1487" s="2">
        <v>519114</v>
      </c>
    </row>
    <row r="1488" spans="1:1" x14ac:dyDescent="0.25">
      <c r="A1488" s="2">
        <v>519124</v>
      </c>
    </row>
    <row r="1489" spans="1:1" x14ac:dyDescent="0.25">
      <c r="A1489" s="2">
        <v>519212</v>
      </c>
    </row>
    <row r="1490" spans="1:1" x14ac:dyDescent="0.25">
      <c r="A1490" s="2">
        <v>519215</v>
      </c>
    </row>
    <row r="1491" spans="1:1" x14ac:dyDescent="0.25">
      <c r="A1491" s="2">
        <v>519223</v>
      </c>
    </row>
    <row r="1492" spans="1:1" x14ac:dyDescent="0.25">
      <c r="A1492" s="2">
        <v>519245</v>
      </c>
    </row>
    <row r="1493" spans="1:1" x14ac:dyDescent="0.25">
      <c r="A1493" s="2">
        <v>519309</v>
      </c>
    </row>
    <row r="1494" spans="1:1" x14ac:dyDescent="0.25">
      <c r="A1494" s="2">
        <v>519399</v>
      </c>
    </row>
    <row r="1495" spans="1:1" x14ac:dyDescent="0.25">
      <c r="A1495" s="2">
        <v>519405</v>
      </c>
    </row>
    <row r="1496" spans="1:1" x14ac:dyDescent="0.25">
      <c r="A1496" s="2">
        <v>519480</v>
      </c>
    </row>
    <row r="1497" spans="1:1" x14ac:dyDescent="0.25">
      <c r="A1497" s="2">
        <v>519489</v>
      </c>
    </row>
    <row r="1498" spans="1:1" x14ac:dyDescent="0.25">
      <c r="A1498" s="2">
        <v>519500</v>
      </c>
    </row>
    <row r="1499" spans="1:1" x14ac:dyDescent="0.25">
      <c r="A1499" s="2">
        <v>519510</v>
      </c>
    </row>
    <row r="1500" spans="1:1" x14ac:dyDescent="0.25">
      <c r="A1500" s="2">
        <v>519536</v>
      </c>
    </row>
    <row r="1501" spans="1:1" x14ac:dyDescent="0.25">
      <c r="A1501" s="2">
        <v>519545</v>
      </c>
    </row>
    <row r="1502" spans="1:1" x14ac:dyDescent="0.25">
      <c r="A1502" s="2">
        <v>519561</v>
      </c>
    </row>
    <row r="1503" spans="1:1" x14ac:dyDescent="0.25">
      <c r="A1503" s="2">
        <v>519636</v>
      </c>
    </row>
    <row r="1504" spans="1:1" x14ac:dyDescent="0.25">
      <c r="A1504" s="2">
        <v>519657</v>
      </c>
    </row>
    <row r="1505" spans="1:1" x14ac:dyDescent="0.25">
      <c r="A1505" s="2">
        <v>519667</v>
      </c>
    </row>
    <row r="1506" spans="1:1" x14ac:dyDescent="0.25">
      <c r="A1506" s="2">
        <v>519675</v>
      </c>
    </row>
    <row r="1507" spans="1:1" x14ac:dyDescent="0.25">
      <c r="A1507" s="2">
        <v>519702</v>
      </c>
    </row>
    <row r="1508" spans="1:1" x14ac:dyDescent="0.25">
      <c r="A1508" s="2">
        <v>519732</v>
      </c>
    </row>
    <row r="1509" spans="1:1" x14ac:dyDescent="0.25">
      <c r="A1509" s="2">
        <v>519787</v>
      </c>
    </row>
    <row r="1510" spans="1:1" x14ac:dyDescent="0.25">
      <c r="A1510" s="2">
        <v>519795</v>
      </c>
    </row>
    <row r="1511" spans="1:1" x14ac:dyDescent="0.25">
      <c r="A1511" s="2">
        <v>519818</v>
      </c>
    </row>
    <row r="1512" spans="1:1" x14ac:dyDescent="0.25">
      <c r="A1512" s="2">
        <v>519826</v>
      </c>
    </row>
    <row r="1513" spans="1:1" x14ac:dyDescent="0.25">
      <c r="A1513" s="2">
        <v>519878</v>
      </c>
    </row>
    <row r="1514" spans="1:1" x14ac:dyDescent="0.25">
      <c r="A1514" s="2">
        <v>519892</v>
      </c>
    </row>
    <row r="1515" spans="1:1" x14ac:dyDescent="0.25">
      <c r="A1515" s="2">
        <v>519910</v>
      </c>
    </row>
    <row r="1516" spans="1:1" x14ac:dyDescent="0.25">
      <c r="A1516" s="2">
        <v>519918</v>
      </c>
    </row>
    <row r="1517" spans="1:1" x14ac:dyDescent="0.25">
      <c r="A1517" s="2">
        <v>519924</v>
      </c>
    </row>
    <row r="1518" spans="1:1" x14ac:dyDescent="0.25">
      <c r="A1518" s="2">
        <v>519927</v>
      </c>
    </row>
    <row r="1519" spans="1:1" x14ac:dyDescent="0.25">
      <c r="A1519" s="2">
        <v>519943</v>
      </c>
    </row>
    <row r="1520" spans="1:1" x14ac:dyDescent="0.25">
      <c r="A1520" s="2">
        <v>519992</v>
      </c>
    </row>
    <row r="1521" spans="1:1" x14ac:dyDescent="0.25">
      <c r="A1521" s="2">
        <v>520001</v>
      </c>
    </row>
    <row r="1522" spans="1:1" x14ac:dyDescent="0.25">
      <c r="A1522" s="2">
        <v>520011</v>
      </c>
    </row>
    <row r="1523" spans="1:1" x14ac:dyDescent="0.25">
      <c r="A1523" s="2">
        <v>520034</v>
      </c>
    </row>
    <row r="1524" spans="1:1" x14ac:dyDescent="0.25">
      <c r="A1524" s="2">
        <v>520036</v>
      </c>
    </row>
    <row r="1525" spans="1:1" x14ac:dyDescent="0.25">
      <c r="A1525" s="2">
        <v>520039</v>
      </c>
    </row>
    <row r="1526" spans="1:1" x14ac:dyDescent="0.25">
      <c r="A1526" s="2">
        <v>520105</v>
      </c>
    </row>
    <row r="1527" spans="1:1" x14ac:dyDescent="0.25">
      <c r="A1527" s="2">
        <v>520106</v>
      </c>
    </row>
    <row r="1528" spans="1:1" x14ac:dyDescent="0.25">
      <c r="A1528" s="2">
        <v>520120</v>
      </c>
    </row>
    <row r="1529" spans="1:1" x14ac:dyDescent="0.25">
      <c r="A1529" s="2">
        <v>520142</v>
      </c>
    </row>
    <row r="1530" spans="1:1" x14ac:dyDescent="0.25">
      <c r="A1530" s="2">
        <v>520150</v>
      </c>
    </row>
    <row r="1531" spans="1:1" x14ac:dyDescent="0.25">
      <c r="A1531" s="2">
        <v>520155</v>
      </c>
    </row>
    <row r="1532" spans="1:1" x14ac:dyDescent="0.25">
      <c r="A1532" s="2">
        <v>520266</v>
      </c>
    </row>
    <row r="1533" spans="1:1" x14ac:dyDescent="0.25">
      <c r="A1533" s="2">
        <v>520362</v>
      </c>
    </row>
    <row r="1534" spans="1:1" x14ac:dyDescent="0.25">
      <c r="A1534" s="2">
        <v>520382</v>
      </c>
    </row>
    <row r="1535" spans="1:1" x14ac:dyDescent="0.25">
      <c r="A1535" s="2">
        <v>520391</v>
      </c>
    </row>
    <row r="1536" spans="1:1" x14ac:dyDescent="0.25">
      <c r="A1536" s="2">
        <v>520401</v>
      </c>
    </row>
    <row r="1537" spans="1:1" x14ac:dyDescent="0.25">
      <c r="A1537" s="2">
        <v>520437</v>
      </c>
    </row>
    <row r="1538" spans="1:1" x14ac:dyDescent="0.25">
      <c r="A1538" s="2">
        <v>520438</v>
      </c>
    </row>
    <row r="1539" spans="1:1" x14ac:dyDescent="0.25">
      <c r="A1539" s="2">
        <v>520469</v>
      </c>
    </row>
    <row r="1540" spans="1:1" x14ac:dyDescent="0.25">
      <c r="A1540" s="2">
        <v>520728</v>
      </c>
    </row>
    <row r="1541" spans="1:1" x14ac:dyDescent="0.25">
      <c r="A1541" s="2">
        <v>520736</v>
      </c>
    </row>
    <row r="1542" spans="1:1" x14ac:dyDescent="0.25">
      <c r="A1542" s="2">
        <v>520929</v>
      </c>
    </row>
    <row r="1543" spans="1:1" x14ac:dyDescent="0.25">
      <c r="A1543" s="2">
        <v>521003</v>
      </c>
    </row>
    <row r="1544" spans="1:1" x14ac:dyDescent="0.25">
      <c r="A1544" s="2">
        <v>522565</v>
      </c>
    </row>
    <row r="1545" spans="1:1" x14ac:dyDescent="0.25">
      <c r="A1545" s="2">
        <v>523187</v>
      </c>
    </row>
    <row r="1546" spans="1:1" x14ac:dyDescent="0.25">
      <c r="A1546" s="2">
        <v>532028</v>
      </c>
    </row>
    <row r="1547" spans="1:1" x14ac:dyDescent="0.25">
      <c r="A1547" s="2">
        <v>541253</v>
      </c>
    </row>
    <row r="1548" spans="1:1" x14ac:dyDescent="0.25">
      <c r="A1548" s="2">
        <v>541329</v>
      </c>
    </row>
    <row r="1549" spans="1:1" x14ac:dyDescent="0.25">
      <c r="A1549" s="2">
        <v>541335</v>
      </c>
    </row>
    <row r="1550" spans="1:1" x14ac:dyDescent="0.25">
      <c r="A1550" s="2">
        <v>541516</v>
      </c>
    </row>
    <row r="1551" spans="1:1" x14ac:dyDescent="0.25">
      <c r="A1551" s="2">
        <v>541553</v>
      </c>
    </row>
    <row r="1552" spans="1:1" x14ac:dyDescent="0.25">
      <c r="A1552" s="2">
        <v>541562</v>
      </c>
    </row>
    <row r="1553" spans="1:1" x14ac:dyDescent="0.25">
      <c r="A1553" s="2">
        <v>541600</v>
      </c>
    </row>
    <row r="1554" spans="1:1" x14ac:dyDescent="0.25">
      <c r="A1554" s="2">
        <v>541607</v>
      </c>
    </row>
    <row r="1555" spans="1:1" x14ac:dyDescent="0.25">
      <c r="A1555" s="2">
        <v>541684</v>
      </c>
    </row>
    <row r="1556" spans="1:1" x14ac:dyDescent="0.25">
      <c r="A1556" s="2">
        <v>541694</v>
      </c>
    </row>
    <row r="1557" spans="1:1" x14ac:dyDescent="0.25">
      <c r="A1557" s="2">
        <v>541703</v>
      </c>
    </row>
    <row r="1558" spans="1:1" x14ac:dyDescent="0.25">
      <c r="A1558" s="2">
        <v>541763</v>
      </c>
    </row>
    <row r="1559" spans="1:1" x14ac:dyDescent="0.25">
      <c r="A1559" s="2">
        <v>541786</v>
      </c>
    </row>
    <row r="1560" spans="1:1" x14ac:dyDescent="0.25">
      <c r="A1560" s="2">
        <v>541794</v>
      </c>
    </row>
    <row r="1561" spans="1:1" x14ac:dyDescent="0.25">
      <c r="A1561" s="2">
        <v>541900</v>
      </c>
    </row>
    <row r="1562" spans="1:1" x14ac:dyDescent="0.25">
      <c r="A1562" s="2">
        <v>550044</v>
      </c>
    </row>
    <row r="1563" spans="1:1" x14ac:dyDescent="0.25">
      <c r="A1563" s="2">
        <v>552255</v>
      </c>
    </row>
    <row r="1564" spans="1:1" x14ac:dyDescent="0.25">
      <c r="A1564" s="2">
        <v>553481</v>
      </c>
    </row>
    <row r="1565" spans="1:1" x14ac:dyDescent="0.25">
      <c r="A1565" s="2">
        <v>553487</v>
      </c>
    </row>
    <row r="1566" spans="1:1" x14ac:dyDescent="0.25">
      <c r="A1566" s="2">
        <v>556360</v>
      </c>
    </row>
    <row r="1567" spans="1:1" x14ac:dyDescent="0.25">
      <c r="A1567" s="2">
        <v>556379</v>
      </c>
    </row>
    <row r="1568" spans="1:1" x14ac:dyDescent="0.25">
      <c r="A1568" s="2">
        <v>556449</v>
      </c>
    </row>
    <row r="1569" spans="1:1" x14ac:dyDescent="0.25">
      <c r="A1569" s="2">
        <v>556460</v>
      </c>
    </row>
    <row r="1570" spans="1:1" x14ac:dyDescent="0.25">
      <c r="A1570" s="2">
        <v>556473</v>
      </c>
    </row>
    <row r="1571" spans="1:1" x14ac:dyDescent="0.25">
      <c r="A1571" s="2">
        <v>556476</v>
      </c>
    </row>
    <row r="1572" spans="1:1" x14ac:dyDescent="0.25">
      <c r="A1572" s="2">
        <v>556483</v>
      </c>
    </row>
    <row r="1573" spans="1:1" x14ac:dyDescent="0.25">
      <c r="A1573" s="2">
        <v>556486</v>
      </c>
    </row>
    <row r="1574" spans="1:1" x14ac:dyDescent="0.25">
      <c r="A1574" s="2">
        <v>556603</v>
      </c>
    </row>
    <row r="1575" spans="1:1" x14ac:dyDescent="0.25">
      <c r="A1575" s="2">
        <v>556935</v>
      </c>
    </row>
    <row r="1576" spans="1:1" x14ac:dyDescent="0.25">
      <c r="A1576" s="2">
        <v>556936</v>
      </c>
    </row>
    <row r="1577" spans="1:1" x14ac:dyDescent="0.25">
      <c r="A1577" s="2">
        <v>557380</v>
      </c>
    </row>
    <row r="1578" spans="1:1" x14ac:dyDescent="0.25">
      <c r="A1578" s="2">
        <v>557387</v>
      </c>
    </row>
    <row r="1579" spans="1:1" x14ac:dyDescent="0.25">
      <c r="A1579" s="2">
        <v>557764</v>
      </c>
    </row>
    <row r="1580" spans="1:1" x14ac:dyDescent="0.25">
      <c r="A1580" s="2">
        <v>557791</v>
      </c>
    </row>
    <row r="1581" spans="1:1" x14ac:dyDescent="0.25">
      <c r="A1581" s="2">
        <v>558078</v>
      </c>
    </row>
    <row r="1582" spans="1:1" x14ac:dyDescent="0.25">
      <c r="A1582" s="2">
        <v>558087</v>
      </c>
    </row>
    <row r="1583" spans="1:1" x14ac:dyDescent="0.25">
      <c r="A1583" s="2">
        <v>558131</v>
      </c>
    </row>
    <row r="1584" spans="1:1" x14ac:dyDescent="0.25">
      <c r="A1584" s="2">
        <v>567512</v>
      </c>
    </row>
    <row r="1585" spans="1:1" x14ac:dyDescent="0.25">
      <c r="A1585" s="2">
        <v>578126</v>
      </c>
    </row>
    <row r="1586" spans="1:1" x14ac:dyDescent="0.25">
      <c r="A1586" s="2">
        <v>578148</v>
      </c>
    </row>
    <row r="1587" spans="1:1" x14ac:dyDescent="0.25">
      <c r="A1587" s="2">
        <v>578339</v>
      </c>
    </row>
    <row r="1588" spans="1:1" x14ac:dyDescent="0.25">
      <c r="A1588" s="2">
        <v>578952</v>
      </c>
    </row>
    <row r="1589" spans="1:1" x14ac:dyDescent="0.25">
      <c r="A1589" s="2">
        <v>578966</v>
      </c>
    </row>
    <row r="1590" spans="1:1" x14ac:dyDescent="0.25">
      <c r="A1590" s="2">
        <v>579009</v>
      </c>
    </row>
    <row r="1591" spans="1:1" x14ac:dyDescent="0.25">
      <c r="A1591" s="2">
        <v>579107</v>
      </c>
    </row>
    <row r="1592" spans="1:1" x14ac:dyDescent="0.25">
      <c r="A1592" s="2">
        <v>579112</v>
      </c>
    </row>
    <row r="1593" spans="1:1" x14ac:dyDescent="0.25">
      <c r="A1593" s="2">
        <v>579130</v>
      </c>
    </row>
    <row r="1594" spans="1:1" x14ac:dyDescent="0.25">
      <c r="A1594" s="2">
        <v>579131</v>
      </c>
    </row>
    <row r="1595" spans="1:1" x14ac:dyDescent="0.25">
      <c r="A1595" s="2">
        <v>579231</v>
      </c>
    </row>
    <row r="1596" spans="1:1" x14ac:dyDescent="0.25">
      <c r="A1596" s="2">
        <v>579254</v>
      </c>
    </row>
    <row r="1597" spans="1:1" x14ac:dyDescent="0.25">
      <c r="A1597" s="2">
        <v>579669</v>
      </c>
    </row>
    <row r="1598" spans="1:1" x14ac:dyDescent="0.25">
      <c r="A1598" s="2">
        <v>579679</v>
      </c>
    </row>
    <row r="1599" spans="1:1" x14ac:dyDescent="0.25">
      <c r="A1599" s="2">
        <v>579692</v>
      </c>
    </row>
    <row r="1600" spans="1:1" x14ac:dyDescent="0.25">
      <c r="A1600" s="2">
        <v>579725</v>
      </c>
    </row>
    <row r="1601" spans="1:1" x14ac:dyDescent="0.25">
      <c r="A1601" s="2">
        <v>579772</v>
      </c>
    </row>
    <row r="1602" spans="1:1" x14ac:dyDescent="0.25">
      <c r="A1602" s="2">
        <v>579776</v>
      </c>
    </row>
    <row r="1603" spans="1:1" x14ac:dyDescent="0.25">
      <c r="A1603" s="2">
        <v>579828</v>
      </c>
    </row>
    <row r="1604" spans="1:1" x14ac:dyDescent="0.25">
      <c r="A1604" s="2">
        <v>579836</v>
      </c>
    </row>
    <row r="1605" spans="1:1" x14ac:dyDescent="0.25">
      <c r="A1605" s="2">
        <v>579866</v>
      </c>
    </row>
    <row r="1606" spans="1:1" x14ac:dyDescent="0.25">
      <c r="A1606" s="2">
        <v>579911</v>
      </c>
    </row>
    <row r="1607" spans="1:1" x14ac:dyDescent="0.25">
      <c r="A1607" s="2">
        <v>580351</v>
      </c>
    </row>
    <row r="1608" spans="1:1" x14ac:dyDescent="0.25">
      <c r="A1608" s="2">
        <v>580361</v>
      </c>
    </row>
    <row r="1609" spans="1:1" x14ac:dyDescent="0.25">
      <c r="A1609" s="2">
        <v>580405</v>
      </c>
    </row>
    <row r="1610" spans="1:1" x14ac:dyDescent="0.25">
      <c r="A1610" s="2">
        <v>580411</v>
      </c>
    </row>
    <row r="1611" spans="1:1" x14ac:dyDescent="0.25">
      <c r="A1611" s="2">
        <v>580470</v>
      </c>
    </row>
    <row r="1612" spans="1:1" x14ac:dyDescent="0.25">
      <c r="A1612" s="2">
        <v>580543</v>
      </c>
    </row>
    <row r="1613" spans="1:1" x14ac:dyDescent="0.25">
      <c r="A1613" s="2">
        <v>580544</v>
      </c>
    </row>
    <row r="1614" spans="1:1" x14ac:dyDescent="0.25">
      <c r="A1614" s="2">
        <v>580626</v>
      </c>
    </row>
    <row r="1615" spans="1:1" x14ac:dyDescent="0.25">
      <c r="A1615" s="2">
        <v>580657</v>
      </c>
    </row>
    <row r="1616" spans="1:1" x14ac:dyDescent="0.25">
      <c r="A1616" s="2">
        <v>580665</v>
      </c>
    </row>
    <row r="1617" spans="1:1" x14ac:dyDescent="0.25">
      <c r="A1617" s="2">
        <v>580720</v>
      </c>
    </row>
    <row r="1618" spans="1:1" x14ac:dyDescent="0.25">
      <c r="A1618" s="2">
        <v>580742</v>
      </c>
    </row>
    <row r="1619" spans="1:1" x14ac:dyDescent="0.25">
      <c r="A1619" s="2">
        <v>580840</v>
      </c>
    </row>
    <row r="1620" spans="1:1" x14ac:dyDescent="0.25">
      <c r="A1620" s="2">
        <v>580841</v>
      </c>
    </row>
    <row r="1621" spans="1:1" x14ac:dyDescent="0.25">
      <c r="A1621" s="2">
        <v>581002</v>
      </c>
    </row>
    <row r="1622" spans="1:1" x14ac:dyDescent="0.25">
      <c r="A1622" s="2">
        <v>581026</v>
      </c>
    </row>
    <row r="1623" spans="1:1" x14ac:dyDescent="0.25">
      <c r="A1623" s="2">
        <v>581033</v>
      </c>
    </row>
    <row r="1624" spans="1:1" x14ac:dyDescent="0.25">
      <c r="A1624" s="2">
        <v>581046</v>
      </c>
    </row>
    <row r="1625" spans="1:1" x14ac:dyDescent="0.25">
      <c r="A1625" s="2">
        <v>581052</v>
      </c>
    </row>
    <row r="1626" spans="1:1" x14ac:dyDescent="0.25">
      <c r="A1626" s="2">
        <v>581070</v>
      </c>
    </row>
    <row r="1627" spans="1:1" x14ac:dyDescent="0.25">
      <c r="A1627" s="2">
        <v>581371</v>
      </c>
    </row>
    <row r="1628" spans="1:1" x14ac:dyDescent="0.25">
      <c r="A1628" s="2">
        <v>581380</v>
      </c>
    </row>
    <row r="1629" spans="1:1" x14ac:dyDescent="0.25">
      <c r="A1629" s="2">
        <v>581434</v>
      </c>
    </row>
    <row r="1630" spans="1:1" x14ac:dyDescent="0.25">
      <c r="A1630" s="2">
        <v>581441</v>
      </c>
    </row>
    <row r="1631" spans="1:1" x14ac:dyDescent="0.25">
      <c r="A1631" s="2">
        <v>581535</v>
      </c>
    </row>
    <row r="1632" spans="1:1" x14ac:dyDescent="0.25">
      <c r="A1632" s="2">
        <v>581536</v>
      </c>
    </row>
    <row r="1633" spans="1:1" x14ac:dyDescent="0.25">
      <c r="A1633" s="2">
        <v>581563</v>
      </c>
    </row>
    <row r="1634" spans="1:1" x14ac:dyDescent="0.25">
      <c r="A1634" s="2">
        <v>581565</v>
      </c>
    </row>
    <row r="1635" spans="1:1" x14ac:dyDescent="0.25">
      <c r="A1635" s="2">
        <v>581625</v>
      </c>
    </row>
    <row r="1636" spans="1:1" x14ac:dyDescent="0.25">
      <c r="A1636" s="2">
        <v>581633</v>
      </c>
    </row>
    <row r="1637" spans="1:1" x14ac:dyDescent="0.25">
      <c r="A1637" s="2">
        <v>581659</v>
      </c>
    </row>
    <row r="1638" spans="1:1" x14ac:dyDescent="0.25">
      <c r="A1638" s="2">
        <v>581698</v>
      </c>
    </row>
    <row r="1639" spans="1:1" x14ac:dyDescent="0.25">
      <c r="A1639" s="2">
        <v>581806</v>
      </c>
    </row>
    <row r="1640" spans="1:1" x14ac:dyDescent="0.25">
      <c r="A1640" s="2">
        <v>581811</v>
      </c>
    </row>
    <row r="1641" spans="1:1" x14ac:dyDescent="0.25">
      <c r="A1641" s="2">
        <v>581825</v>
      </c>
    </row>
    <row r="1642" spans="1:1" x14ac:dyDescent="0.25">
      <c r="A1642" s="2">
        <v>581827</v>
      </c>
    </row>
    <row r="1643" spans="1:1" x14ac:dyDescent="0.25">
      <c r="A1643" s="2">
        <v>582037</v>
      </c>
    </row>
    <row r="1644" spans="1:1" x14ac:dyDescent="0.25">
      <c r="A1644" s="2">
        <v>583670</v>
      </c>
    </row>
    <row r="1645" spans="1:1" x14ac:dyDescent="0.25">
      <c r="A1645" s="2">
        <v>583692</v>
      </c>
    </row>
    <row r="1646" spans="1:1" x14ac:dyDescent="0.25">
      <c r="A1646" s="2">
        <v>583704</v>
      </c>
    </row>
    <row r="1647" spans="1:1" x14ac:dyDescent="0.25">
      <c r="A1647" s="2">
        <v>583729</v>
      </c>
    </row>
    <row r="1648" spans="1:1" x14ac:dyDescent="0.25">
      <c r="A1648" s="2">
        <v>583768</v>
      </c>
    </row>
    <row r="1649" spans="1:1" x14ac:dyDescent="0.25">
      <c r="A1649" s="2">
        <v>587711</v>
      </c>
    </row>
    <row r="1650" spans="1:1" x14ac:dyDescent="0.25">
      <c r="A1650" s="2">
        <v>590963</v>
      </c>
    </row>
    <row r="1651" spans="1:1" x14ac:dyDescent="0.25">
      <c r="A1651" s="2">
        <v>591378</v>
      </c>
    </row>
    <row r="1652" spans="1:1" x14ac:dyDescent="0.25">
      <c r="A1652" s="2">
        <v>591394</v>
      </c>
    </row>
    <row r="1653" spans="1:1" x14ac:dyDescent="0.25">
      <c r="A1653" s="2">
        <v>591402</v>
      </c>
    </row>
    <row r="1654" spans="1:1" x14ac:dyDescent="0.25">
      <c r="A1654" s="2">
        <v>591438</v>
      </c>
    </row>
    <row r="1655" spans="1:1" x14ac:dyDescent="0.25">
      <c r="A1655" s="2">
        <v>591465</v>
      </c>
    </row>
    <row r="1656" spans="1:1" x14ac:dyDescent="0.25">
      <c r="A1656" s="2">
        <v>591471</v>
      </c>
    </row>
    <row r="1657" spans="1:1" x14ac:dyDescent="0.25">
      <c r="A1657" s="2">
        <v>591487</v>
      </c>
    </row>
    <row r="1658" spans="1:1" x14ac:dyDescent="0.25">
      <c r="A1658" s="2">
        <v>591488</v>
      </c>
    </row>
    <row r="1659" spans="1:1" x14ac:dyDescent="0.25">
      <c r="A1659" s="2">
        <v>591512</v>
      </c>
    </row>
    <row r="1660" spans="1:1" x14ac:dyDescent="0.25">
      <c r="A1660" s="2">
        <v>591556</v>
      </c>
    </row>
    <row r="1661" spans="1:1" x14ac:dyDescent="0.25">
      <c r="A1661" s="2">
        <v>591603</v>
      </c>
    </row>
    <row r="1662" spans="1:1" x14ac:dyDescent="0.25">
      <c r="A1662" s="2">
        <v>591643</v>
      </c>
    </row>
    <row r="1663" spans="1:1" x14ac:dyDescent="0.25">
      <c r="A1663" s="2">
        <v>591868</v>
      </c>
    </row>
    <row r="1664" spans="1:1" x14ac:dyDescent="0.25">
      <c r="A1664" s="2">
        <v>591875</v>
      </c>
    </row>
    <row r="1665" spans="1:1" x14ac:dyDescent="0.25">
      <c r="A1665" s="2">
        <v>591920</v>
      </c>
    </row>
    <row r="1666" spans="1:1" x14ac:dyDescent="0.25">
      <c r="A1666" s="2">
        <v>591925</v>
      </c>
    </row>
    <row r="1667" spans="1:1" x14ac:dyDescent="0.25">
      <c r="A1667" s="2">
        <v>591986</v>
      </c>
    </row>
    <row r="1668" spans="1:1" x14ac:dyDescent="0.25">
      <c r="A1668" s="2">
        <v>591991</v>
      </c>
    </row>
    <row r="1669" spans="1:1" x14ac:dyDescent="0.25">
      <c r="A1669" s="2">
        <v>592047</v>
      </c>
    </row>
    <row r="1670" spans="1:1" x14ac:dyDescent="0.25">
      <c r="A1670" s="2">
        <v>592221</v>
      </c>
    </row>
    <row r="1671" spans="1:1" x14ac:dyDescent="0.25">
      <c r="A1671" s="2">
        <v>592876</v>
      </c>
    </row>
    <row r="1672" spans="1:1" x14ac:dyDescent="0.25">
      <c r="A1672" s="2">
        <v>592884</v>
      </c>
    </row>
    <row r="1673" spans="1:1" x14ac:dyDescent="0.25">
      <c r="A1673" s="2">
        <v>593063</v>
      </c>
    </row>
    <row r="1674" spans="1:1" x14ac:dyDescent="0.25">
      <c r="A1674" s="2">
        <v>593071</v>
      </c>
    </row>
    <row r="1675" spans="1:1" x14ac:dyDescent="0.25">
      <c r="A1675" s="2">
        <v>593191</v>
      </c>
    </row>
    <row r="1676" spans="1:1" x14ac:dyDescent="0.25">
      <c r="A1676" s="2">
        <v>593207</v>
      </c>
    </row>
    <row r="1677" spans="1:1" x14ac:dyDescent="0.25">
      <c r="A1677" s="2">
        <v>594543</v>
      </c>
    </row>
    <row r="1678" spans="1:1" x14ac:dyDescent="0.25">
      <c r="A1678" s="2">
        <v>594712</v>
      </c>
    </row>
    <row r="1679" spans="1:1" x14ac:dyDescent="0.25">
      <c r="A1679" s="2">
        <v>595476</v>
      </c>
    </row>
    <row r="1680" spans="1:1" x14ac:dyDescent="0.25">
      <c r="A1680" s="2">
        <v>595491</v>
      </c>
    </row>
    <row r="1681" spans="1:1" x14ac:dyDescent="0.25">
      <c r="A1681" s="2">
        <v>595493</v>
      </c>
    </row>
    <row r="1682" spans="1:1" x14ac:dyDescent="0.25">
      <c r="A1682" s="2">
        <v>595550</v>
      </c>
    </row>
    <row r="1683" spans="1:1" x14ac:dyDescent="0.25">
      <c r="A1683" s="2">
        <v>595726</v>
      </c>
    </row>
    <row r="1684" spans="1:1" x14ac:dyDescent="0.25">
      <c r="A1684" s="2">
        <v>595737</v>
      </c>
    </row>
    <row r="1685" spans="1:1" x14ac:dyDescent="0.25">
      <c r="A1685" s="2">
        <v>596812</v>
      </c>
    </row>
    <row r="1686" spans="1:1" x14ac:dyDescent="0.25">
      <c r="A1686" s="2">
        <v>597087</v>
      </c>
    </row>
    <row r="1687" spans="1:1" x14ac:dyDescent="0.25">
      <c r="A1687" s="2">
        <v>597195</v>
      </c>
    </row>
    <row r="1688" spans="1:1" x14ac:dyDescent="0.25">
      <c r="A1688" s="2">
        <v>597259</v>
      </c>
    </row>
    <row r="1689" spans="1:1" x14ac:dyDescent="0.25">
      <c r="A1689" s="2">
        <v>597282</v>
      </c>
    </row>
    <row r="1690" spans="1:1" x14ac:dyDescent="0.25">
      <c r="A1690" s="2">
        <v>597321</v>
      </c>
    </row>
    <row r="1691" spans="1:1" x14ac:dyDescent="0.25">
      <c r="A1691" s="2">
        <v>597364</v>
      </c>
    </row>
    <row r="1692" spans="1:1" x14ac:dyDescent="0.25">
      <c r="A1692" s="2">
        <v>597416</v>
      </c>
    </row>
    <row r="1693" spans="1:1" x14ac:dyDescent="0.25">
      <c r="A1693" s="2">
        <v>597421</v>
      </c>
    </row>
    <row r="1694" spans="1:1" x14ac:dyDescent="0.25">
      <c r="A1694" s="2">
        <v>597465</v>
      </c>
    </row>
    <row r="1695" spans="1:1" x14ac:dyDescent="0.25">
      <c r="A1695" s="2">
        <v>597468</v>
      </c>
    </row>
    <row r="1696" spans="1:1" x14ac:dyDescent="0.25">
      <c r="A1696" s="2">
        <v>598071</v>
      </c>
    </row>
    <row r="1697" spans="1:1" x14ac:dyDescent="0.25">
      <c r="A1697" s="2">
        <v>598072</v>
      </c>
    </row>
    <row r="1698" spans="1:1" x14ac:dyDescent="0.25">
      <c r="A1698" s="2">
        <v>598075</v>
      </c>
    </row>
    <row r="1699" spans="1:1" x14ac:dyDescent="0.25">
      <c r="A1699" s="2">
        <v>598097</v>
      </c>
    </row>
    <row r="1700" spans="1:1" x14ac:dyDescent="0.25">
      <c r="A1700" s="2">
        <v>598221</v>
      </c>
    </row>
    <row r="1701" spans="1:1" x14ac:dyDescent="0.25">
      <c r="A1701" s="2">
        <v>598270</v>
      </c>
    </row>
    <row r="1702" spans="1:1" x14ac:dyDescent="0.25">
      <c r="A1702" s="2">
        <v>599379</v>
      </c>
    </row>
    <row r="1703" spans="1:1" x14ac:dyDescent="0.25">
      <c r="A1703" s="2">
        <v>600105</v>
      </c>
    </row>
    <row r="1704" spans="1:1" x14ac:dyDescent="0.25">
      <c r="A1704" s="2">
        <v>600113</v>
      </c>
    </row>
    <row r="1705" spans="1:1" x14ac:dyDescent="0.25">
      <c r="A1705" s="2">
        <v>600118</v>
      </c>
    </row>
    <row r="1706" spans="1:1" x14ac:dyDescent="0.25">
      <c r="A1706" s="2">
        <v>600119</v>
      </c>
    </row>
    <row r="1707" spans="1:1" x14ac:dyDescent="0.25">
      <c r="A1707" s="2">
        <v>600127</v>
      </c>
    </row>
    <row r="1708" spans="1:1" x14ac:dyDescent="0.25">
      <c r="A1708" s="2">
        <v>600128</v>
      </c>
    </row>
    <row r="1709" spans="1:1" x14ac:dyDescent="0.25">
      <c r="A1709" s="2">
        <v>600412</v>
      </c>
    </row>
    <row r="1710" spans="1:1" x14ac:dyDescent="0.25">
      <c r="A1710" s="2">
        <v>600471</v>
      </c>
    </row>
    <row r="1711" spans="1:1" x14ac:dyDescent="0.25">
      <c r="A1711" s="2">
        <v>600588</v>
      </c>
    </row>
    <row r="1712" spans="1:1" x14ac:dyDescent="0.25">
      <c r="A1712" s="2">
        <v>600684</v>
      </c>
    </row>
    <row r="1713" spans="1:1" x14ac:dyDescent="0.25">
      <c r="A1713" s="2">
        <v>600786</v>
      </c>
    </row>
    <row r="1714" spans="1:1" x14ac:dyDescent="0.25">
      <c r="A1714" s="2">
        <v>600792</v>
      </c>
    </row>
    <row r="1715" spans="1:1" x14ac:dyDescent="0.25">
      <c r="A1715" s="2">
        <v>600846</v>
      </c>
    </row>
    <row r="1716" spans="1:1" x14ac:dyDescent="0.25">
      <c r="A1716" s="2">
        <v>600853</v>
      </c>
    </row>
    <row r="1717" spans="1:1" x14ac:dyDescent="0.25">
      <c r="A1717" s="2">
        <v>600925</v>
      </c>
    </row>
    <row r="1718" spans="1:1" x14ac:dyDescent="0.25">
      <c r="A1718" s="2">
        <v>600928</v>
      </c>
    </row>
    <row r="1719" spans="1:1" x14ac:dyDescent="0.25">
      <c r="A1719" s="2">
        <v>601093</v>
      </c>
    </row>
    <row r="1720" spans="1:1" x14ac:dyDescent="0.25">
      <c r="A1720" s="2">
        <v>601098</v>
      </c>
    </row>
    <row r="1721" spans="1:1" x14ac:dyDescent="0.25">
      <c r="A1721" s="2">
        <v>601125</v>
      </c>
    </row>
    <row r="1722" spans="1:1" x14ac:dyDescent="0.25">
      <c r="A1722" s="2">
        <v>601157</v>
      </c>
    </row>
    <row r="1723" spans="1:1" x14ac:dyDescent="0.25">
      <c r="A1723" s="2">
        <v>601170</v>
      </c>
    </row>
    <row r="1724" spans="1:1" x14ac:dyDescent="0.25">
      <c r="A1724" s="2">
        <v>601215</v>
      </c>
    </row>
    <row r="1725" spans="1:1" x14ac:dyDescent="0.25">
      <c r="A1725" s="2">
        <v>601229</v>
      </c>
    </row>
    <row r="1726" spans="1:1" x14ac:dyDescent="0.25">
      <c r="A1726" s="2">
        <v>601241</v>
      </c>
    </row>
    <row r="1727" spans="1:1" x14ac:dyDescent="0.25">
      <c r="A1727" s="2">
        <v>601243</v>
      </c>
    </row>
    <row r="1728" spans="1:1" x14ac:dyDescent="0.25">
      <c r="A1728" s="2">
        <v>601249</v>
      </c>
    </row>
    <row r="1729" spans="1:1" x14ac:dyDescent="0.25">
      <c r="A1729" s="2">
        <v>601262</v>
      </c>
    </row>
    <row r="1730" spans="1:1" x14ac:dyDescent="0.25">
      <c r="A1730" s="2">
        <v>601277</v>
      </c>
    </row>
    <row r="1731" spans="1:1" x14ac:dyDescent="0.25">
      <c r="A1731" s="2">
        <v>601303</v>
      </c>
    </row>
    <row r="1732" spans="1:1" x14ac:dyDescent="0.25">
      <c r="A1732" s="2">
        <v>601307</v>
      </c>
    </row>
    <row r="1733" spans="1:1" x14ac:dyDescent="0.25">
      <c r="A1733" s="2">
        <v>601308</v>
      </c>
    </row>
    <row r="1734" spans="1:1" x14ac:dyDescent="0.25">
      <c r="A1734" s="2">
        <v>601310</v>
      </c>
    </row>
    <row r="1735" spans="1:1" x14ac:dyDescent="0.25">
      <c r="A1735" s="2">
        <v>601321</v>
      </c>
    </row>
    <row r="1736" spans="1:1" x14ac:dyDescent="0.25">
      <c r="A1736" s="2">
        <v>601351</v>
      </c>
    </row>
    <row r="1737" spans="1:1" x14ac:dyDescent="0.25">
      <c r="A1737" s="2">
        <v>601371</v>
      </c>
    </row>
    <row r="1738" spans="1:1" x14ac:dyDescent="0.25">
      <c r="A1738" s="2">
        <v>601392</v>
      </c>
    </row>
    <row r="1739" spans="1:1" x14ac:dyDescent="0.25">
      <c r="A1739" s="2">
        <v>601404</v>
      </c>
    </row>
    <row r="1740" spans="1:1" x14ac:dyDescent="0.25">
      <c r="A1740" s="2">
        <v>601453</v>
      </c>
    </row>
    <row r="1741" spans="1:1" x14ac:dyDescent="0.25">
      <c r="A1741" s="2">
        <v>601474</v>
      </c>
    </row>
    <row r="1742" spans="1:1" x14ac:dyDescent="0.25">
      <c r="A1742" s="2">
        <v>601485</v>
      </c>
    </row>
    <row r="1743" spans="1:1" x14ac:dyDescent="0.25">
      <c r="A1743" s="2">
        <v>601528</v>
      </c>
    </row>
    <row r="1744" spans="1:1" x14ac:dyDescent="0.25">
      <c r="A1744" s="2">
        <v>601529</v>
      </c>
    </row>
    <row r="1745" spans="1:1" x14ac:dyDescent="0.25">
      <c r="A1745" s="2">
        <v>601542</v>
      </c>
    </row>
    <row r="1746" spans="1:1" x14ac:dyDescent="0.25">
      <c r="A1746" s="2">
        <v>601562</v>
      </c>
    </row>
    <row r="1747" spans="1:1" x14ac:dyDescent="0.25">
      <c r="A1747" s="2">
        <v>601834</v>
      </c>
    </row>
    <row r="1748" spans="1:1" x14ac:dyDescent="0.25">
      <c r="A1748" s="2">
        <v>601845</v>
      </c>
    </row>
    <row r="1749" spans="1:1" x14ac:dyDescent="0.25">
      <c r="A1749" s="2">
        <v>601899</v>
      </c>
    </row>
    <row r="1750" spans="1:1" x14ac:dyDescent="0.25">
      <c r="A1750" s="2">
        <v>601906</v>
      </c>
    </row>
    <row r="1751" spans="1:1" x14ac:dyDescent="0.25">
      <c r="A1751" s="2">
        <v>601924</v>
      </c>
    </row>
    <row r="1752" spans="1:1" x14ac:dyDescent="0.25">
      <c r="A1752" s="2">
        <v>601930</v>
      </c>
    </row>
    <row r="1753" spans="1:1" x14ac:dyDescent="0.25">
      <c r="A1753" s="2">
        <v>602181</v>
      </c>
    </row>
    <row r="1754" spans="1:1" x14ac:dyDescent="0.25">
      <c r="A1754" s="2">
        <v>602188</v>
      </c>
    </row>
    <row r="1755" spans="1:1" x14ac:dyDescent="0.25">
      <c r="A1755" s="2">
        <v>602308</v>
      </c>
    </row>
    <row r="1756" spans="1:1" x14ac:dyDescent="0.25">
      <c r="A1756" s="2">
        <v>602323</v>
      </c>
    </row>
    <row r="1757" spans="1:1" x14ac:dyDescent="0.25">
      <c r="A1757" s="2">
        <v>602337</v>
      </c>
    </row>
    <row r="1758" spans="1:1" x14ac:dyDescent="0.25">
      <c r="A1758" s="2">
        <v>602358</v>
      </c>
    </row>
    <row r="1759" spans="1:1" x14ac:dyDescent="0.25">
      <c r="A1759" s="2">
        <v>602423</v>
      </c>
    </row>
    <row r="1760" spans="1:1" x14ac:dyDescent="0.25">
      <c r="A1760" s="2">
        <v>604721</v>
      </c>
    </row>
    <row r="1761" spans="1:1" x14ac:dyDescent="0.25">
      <c r="A1761" s="2">
        <v>604762</v>
      </c>
    </row>
    <row r="1762" spans="1:1" x14ac:dyDescent="0.25">
      <c r="A1762" s="2">
        <v>610779</v>
      </c>
    </row>
    <row r="1763" spans="1:1" x14ac:dyDescent="0.25">
      <c r="A1763" s="2">
        <v>610925</v>
      </c>
    </row>
    <row r="1764" spans="1:1" x14ac:dyDescent="0.25">
      <c r="A1764" s="2">
        <v>610930</v>
      </c>
    </row>
    <row r="1765" spans="1:1" x14ac:dyDescent="0.25">
      <c r="A1765" s="2">
        <v>610996</v>
      </c>
    </row>
    <row r="1766" spans="1:1" x14ac:dyDescent="0.25">
      <c r="A1766" s="2">
        <v>611960</v>
      </c>
    </row>
    <row r="1767" spans="1:1" x14ac:dyDescent="0.25">
      <c r="A1767" s="2">
        <v>612324</v>
      </c>
    </row>
    <row r="1768" spans="1:1" x14ac:dyDescent="0.25">
      <c r="A1768" s="2">
        <v>612349</v>
      </c>
    </row>
    <row r="1769" spans="1:1" x14ac:dyDescent="0.25">
      <c r="A1769" s="2">
        <v>612380</v>
      </c>
    </row>
    <row r="1770" spans="1:1" x14ac:dyDescent="0.25">
      <c r="A1770" s="2">
        <v>612442</v>
      </c>
    </row>
    <row r="1771" spans="1:1" x14ac:dyDescent="0.25">
      <c r="A1771" s="2">
        <v>612516</v>
      </c>
    </row>
    <row r="1772" spans="1:1" x14ac:dyDescent="0.25">
      <c r="A1772" s="2">
        <v>613061</v>
      </c>
    </row>
    <row r="1773" spans="1:1" x14ac:dyDescent="0.25">
      <c r="A1773" s="2">
        <v>613106</v>
      </c>
    </row>
    <row r="1774" spans="1:1" x14ac:dyDescent="0.25">
      <c r="A1774" s="2">
        <v>613109</v>
      </c>
    </row>
    <row r="1775" spans="1:1" x14ac:dyDescent="0.25">
      <c r="A1775" s="2">
        <v>613168</v>
      </c>
    </row>
    <row r="1776" spans="1:1" x14ac:dyDescent="0.25">
      <c r="A1776" s="2">
        <v>613187</v>
      </c>
    </row>
    <row r="1777" spans="1:1" x14ac:dyDescent="0.25">
      <c r="A1777" s="2">
        <v>613192</v>
      </c>
    </row>
    <row r="1778" spans="1:1" x14ac:dyDescent="0.25">
      <c r="A1778" s="2">
        <v>613240</v>
      </c>
    </row>
    <row r="1779" spans="1:1" x14ac:dyDescent="0.25">
      <c r="A1779" s="2">
        <v>613314</v>
      </c>
    </row>
    <row r="1780" spans="1:1" x14ac:dyDescent="0.25">
      <c r="A1780" s="2">
        <v>619158</v>
      </c>
    </row>
    <row r="1781" spans="1:1" x14ac:dyDescent="0.25">
      <c r="A1781" s="2">
        <v>619175</v>
      </c>
    </row>
    <row r="1782" spans="1:1" x14ac:dyDescent="0.25">
      <c r="A1782" s="2">
        <v>619187</v>
      </c>
    </row>
    <row r="1783" spans="1:1" x14ac:dyDescent="0.25">
      <c r="A1783" s="2">
        <v>619605</v>
      </c>
    </row>
    <row r="1784" spans="1:1" x14ac:dyDescent="0.25">
      <c r="A1784" s="2">
        <v>619647</v>
      </c>
    </row>
    <row r="1785" spans="1:1" x14ac:dyDescent="0.25">
      <c r="A1785" s="2">
        <v>619977</v>
      </c>
    </row>
    <row r="1786" spans="1:1" x14ac:dyDescent="0.25">
      <c r="A1786" s="2">
        <v>620810</v>
      </c>
    </row>
    <row r="1787" spans="1:1" x14ac:dyDescent="0.25">
      <c r="A1787" s="2">
        <v>621008</v>
      </c>
    </row>
    <row r="1788" spans="1:1" x14ac:dyDescent="0.25">
      <c r="A1788" s="2">
        <v>621046</v>
      </c>
    </row>
    <row r="1789" spans="1:1" x14ac:dyDescent="0.25">
      <c r="A1789" s="2">
        <v>621071</v>
      </c>
    </row>
    <row r="1790" spans="1:1" x14ac:dyDescent="0.25">
      <c r="A1790" s="2">
        <v>621106</v>
      </c>
    </row>
    <row r="1791" spans="1:1" x14ac:dyDescent="0.25">
      <c r="A1791" s="2">
        <v>621204</v>
      </c>
    </row>
    <row r="1792" spans="1:1" x14ac:dyDescent="0.25">
      <c r="A1792" s="2">
        <v>621211</v>
      </c>
    </row>
    <row r="1793" spans="1:1" x14ac:dyDescent="0.25">
      <c r="A1793" s="2">
        <v>621252</v>
      </c>
    </row>
    <row r="1794" spans="1:1" x14ac:dyDescent="0.25">
      <c r="A1794" s="2">
        <v>621336</v>
      </c>
    </row>
    <row r="1795" spans="1:1" x14ac:dyDescent="0.25">
      <c r="A1795" s="2">
        <v>621357</v>
      </c>
    </row>
    <row r="1796" spans="1:1" x14ac:dyDescent="0.25">
      <c r="A1796" s="2">
        <v>621440</v>
      </c>
    </row>
    <row r="1797" spans="1:1" x14ac:dyDescent="0.25">
      <c r="A1797" s="2">
        <v>621454</v>
      </c>
    </row>
    <row r="1798" spans="1:1" x14ac:dyDescent="0.25">
      <c r="A1798" s="2">
        <v>621474</v>
      </c>
    </row>
    <row r="1799" spans="1:1" x14ac:dyDescent="0.25">
      <c r="A1799" s="2">
        <v>621503</v>
      </c>
    </row>
    <row r="1800" spans="1:1" x14ac:dyDescent="0.25">
      <c r="A1800" s="2">
        <v>621544</v>
      </c>
    </row>
    <row r="1801" spans="1:1" x14ac:dyDescent="0.25">
      <c r="A1801" s="2">
        <v>621546</v>
      </c>
    </row>
    <row r="1802" spans="1:1" x14ac:dyDescent="0.25">
      <c r="A1802" s="2">
        <v>621565</v>
      </c>
    </row>
    <row r="1803" spans="1:1" x14ac:dyDescent="0.25">
      <c r="A1803" s="2">
        <v>621605</v>
      </c>
    </row>
    <row r="1804" spans="1:1" x14ac:dyDescent="0.25">
      <c r="A1804" s="2">
        <v>621677</v>
      </c>
    </row>
    <row r="1805" spans="1:1" x14ac:dyDescent="0.25">
      <c r="A1805" s="2">
        <v>621683</v>
      </c>
    </row>
    <row r="1806" spans="1:1" x14ac:dyDescent="0.25">
      <c r="A1806" s="2">
        <v>621736</v>
      </c>
    </row>
    <row r="1807" spans="1:1" x14ac:dyDescent="0.25">
      <c r="A1807" s="2">
        <v>621744</v>
      </c>
    </row>
    <row r="1808" spans="1:1" x14ac:dyDescent="0.25">
      <c r="A1808" s="2">
        <v>621747</v>
      </c>
    </row>
    <row r="1809" spans="1:1" x14ac:dyDescent="0.25">
      <c r="A1809" s="2">
        <v>621751</v>
      </c>
    </row>
    <row r="1810" spans="1:1" x14ac:dyDescent="0.25">
      <c r="A1810" s="2">
        <v>621778</v>
      </c>
    </row>
    <row r="1811" spans="1:1" x14ac:dyDescent="0.25">
      <c r="A1811" s="2">
        <v>621849</v>
      </c>
    </row>
    <row r="1812" spans="1:1" x14ac:dyDescent="0.25">
      <c r="A1812" s="2">
        <v>621861</v>
      </c>
    </row>
    <row r="1813" spans="1:1" x14ac:dyDescent="0.25">
      <c r="A1813" s="2">
        <v>621868</v>
      </c>
    </row>
    <row r="1814" spans="1:1" x14ac:dyDescent="0.25">
      <c r="A1814" s="2">
        <v>621873</v>
      </c>
    </row>
    <row r="1815" spans="1:1" x14ac:dyDescent="0.25">
      <c r="A1815" s="2">
        <v>621894</v>
      </c>
    </row>
    <row r="1816" spans="1:1" x14ac:dyDescent="0.25">
      <c r="A1816" s="2">
        <v>621923</v>
      </c>
    </row>
    <row r="1817" spans="1:1" x14ac:dyDescent="0.25">
      <c r="A1817" s="2">
        <v>621971</v>
      </c>
    </row>
    <row r="1818" spans="1:1" x14ac:dyDescent="0.25">
      <c r="A1818" s="2">
        <v>621978</v>
      </c>
    </row>
    <row r="1819" spans="1:1" x14ac:dyDescent="0.25">
      <c r="A1819" s="2">
        <v>622044</v>
      </c>
    </row>
    <row r="1820" spans="1:1" x14ac:dyDescent="0.25">
      <c r="A1820" s="2">
        <v>622046</v>
      </c>
    </row>
    <row r="1821" spans="1:1" x14ac:dyDescent="0.25">
      <c r="A1821" s="2">
        <v>622054</v>
      </c>
    </row>
    <row r="1822" spans="1:1" x14ac:dyDescent="0.25">
      <c r="A1822" s="2">
        <v>622125</v>
      </c>
    </row>
    <row r="1823" spans="1:1" x14ac:dyDescent="0.25">
      <c r="A1823" s="2">
        <v>622130</v>
      </c>
    </row>
    <row r="1824" spans="1:1" x14ac:dyDescent="0.25">
      <c r="A1824" s="2">
        <v>622137</v>
      </c>
    </row>
    <row r="1825" spans="1:1" x14ac:dyDescent="0.25">
      <c r="A1825" s="2">
        <v>622201</v>
      </c>
    </row>
    <row r="1826" spans="1:1" x14ac:dyDescent="0.25">
      <c r="A1826" s="2">
        <v>622207</v>
      </c>
    </row>
    <row r="1827" spans="1:1" x14ac:dyDescent="0.25">
      <c r="A1827" s="2">
        <v>622281</v>
      </c>
    </row>
    <row r="1828" spans="1:1" x14ac:dyDescent="0.25">
      <c r="A1828" s="2">
        <v>622372</v>
      </c>
    </row>
    <row r="1829" spans="1:1" x14ac:dyDescent="0.25">
      <c r="A1829" s="2">
        <v>622381</v>
      </c>
    </row>
    <row r="1830" spans="1:1" x14ac:dyDescent="0.25">
      <c r="A1830" s="2">
        <v>622386</v>
      </c>
    </row>
    <row r="1831" spans="1:1" x14ac:dyDescent="0.25">
      <c r="A1831" s="2">
        <v>622399</v>
      </c>
    </row>
    <row r="1832" spans="1:1" x14ac:dyDescent="0.25">
      <c r="A1832" s="2">
        <v>622401</v>
      </c>
    </row>
    <row r="1833" spans="1:1" x14ac:dyDescent="0.25">
      <c r="A1833" s="2">
        <v>622445</v>
      </c>
    </row>
    <row r="1834" spans="1:1" x14ac:dyDescent="0.25">
      <c r="A1834" s="2">
        <v>622453</v>
      </c>
    </row>
    <row r="1835" spans="1:1" x14ac:dyDescent="0.25">
      <c r="A1835" s="2">
        <v>622531</v>
      </c>
    </row>
    <row r="1836" spans="1:1" x14ac:dyDescent="0.25">
      <c r="A1836" s="2">
        <v>622852</v>
      </c>
    </row>
    <row r="1837" spans="1:1" x14ac:dyDescent="0.25">
      <c r="A1837" s="2">
        <v>622875</v>
      </c>
    </row>
    <row r="1838" spans="1:1" x14ac:dyDescent="0.25">
      <c r="A1838" s="2">
        <v>622880</v>
      </c>
    </row>
    <row r="1839" spans="1:1" x14ac:dyDescent="0.25">
      <c r="A1839" s="2">
        <v>622890</v>
      </c>
    </row>
    <row r="1840" spans="1:1" x14ac:dyDescent="0.25">
      <c r="A1840" s="2">
        <v>622922</v>
      </c>
    </row>
    <row r="1841" spans="1:1" x14ac:dyDescent="0.25">
      <c r="A1841" s="2">
        <v>622986</v>
      </c>
    </row>
    <row r="1842" spans="1:1" x14ac:dyDescent="0.25">
      <c r="A1842" s="2">
        <v>623029</v>
      </c>
    </row>
    <row r="1843" spans="1:1" x14ac:dyDescent="0.25">
      <c r="A1843" s="2">
        <v>623076</v>
      </c>
    </row>
    <row r="1844" spans="1:1" x14ac:dyDescent="0.25">
      <c r="A1844" s="2">
        <v>623083</v>
      </c>
    </row>
    <row r="1845" spans="1:1" x14ac:dyDescent="0.25">
      <c r="A1845" s="2">
        <v>623104</v>
      </c>
    </row>
    <row r="1846" spans="1:1" x14ac:dyDescent="0.25">
      <c r="A1846" s="2">
        <v>623121</v>
      </c>
    </row>
    <row r="1847" spans="1:1" x14ac:dyDescent="0.25">
      <c r="A1847" s="2">
        <v>623147</v>
      </c>
    </row>
    <row r="1848" spans="1:1" x14ac:dyDescent="0.25">
      <c r="A1848" s="2">
        <v>623153</v>
      </c>
    </row>
    <row r="1849" spans="1:1" x14ac:dyDescent="0.25">
      <c r="A1849" s="2">
        <v>623183</v>
      </c>
    </row>
    <row r="1850" spans="1:1" x14ac:dyDescent="0.25">
      <c r="A1850" s="2">
        <v>623212</v>
      </c>
    </row>
    <row r="1851" spans="1:1" x14ac:dyDescent="0.25">
      <c r="A1851" s="2">
        <v>623449</v>
      </c>
    </row>
    <row r="1852" spans="1:1" x14ac:dyDescent="0.25">
      <c r="A1852" s="2">
        <v>623977</v>
      </c>
    </row>
    <row r="1853" spans="1:1" x14ac:dyDescent="0.25">
      <c r="A1853" s="2">
        <v>624026</v>
      </c>
    </row>
    <row r="1854" spans="1:1" x14ac:dyDescent="0.25">
      <c r="A1854" s="2">
        <v>624215</v>
      </c>
    </row>
    <row r="1855" spans="1:1" x14ac:dyDescent="0.25">
      <c r="A1855" s="2">
        <v>624887</v>
      </c>
    </row>
    <row r="1856" spans="1:1" x14ac:dyDescent="0.25">
      <c r="A1856" s="2">
        <v>624911</v>
      </c>
    </row>
    <row r="1857" spans="1:1" x14ac:dyDescent="0.25">
      <c r="A1857" s="2">
        <v>624930</v>
      </c>
    </row>
    <row r="1858" spans="1:1" x14ac:dyDescent="0.25">
      <c r="A1858" s="2">
        <v>624945</v>
      </c>
    </row>
    <row r="1859" spans="1:1" x14ac:dyDescent="0.25">
      <c r="A1859" s="2">
        <v>624946</v>
      </c>
    </row>
    <row r="1860" spans="1:1" x14ac:dyDescent="0.25">
      <c r="A1860" s="2">
        <v>624954</v>
      </c>
    </row>
    <row r="1861" spans="1:1" x14ac:dyDescent="0.25">
      <c r="A1861" s="2">
        <v>624973</v>
      </c>
    </row>
    <row r="1862" spans="1:1" x14ac:dyDescent="0.25">
      <c r="A1862" s="2">
        <v>625026</v>
      </c>
    </row>
    <row r="1863" spans="1:1" x14ac:dyDescent="0.25">
      <c r="A1863" s="2">
        <v>625111</v>
      </c>
    </row>
    <row r="1864" spans="1:1" x14ac:dyDescent="0.25">
      <c r="A1864" s="2">
        <v>625303</v>
      </c>
    </row>
    <row r="1865" spans="1:1" x14ac:dyDescent="0.25">
      <c r="A1865" s="2">
        <v>625449</v>
      </c>
    </row>
    <row r="1866" spans="1:1" x14ac:dyDescent="0.25">
      <c r="A1866" s="2">
        <v>625456</v>
      </c>
    </row>
    <row r="1867" spans="1:1" x14ac:dyDescent="0.25">
      <c r="A1867" s="2">
        <v>625470</v>
      </c>
    </row>
    <row r="1868" spans="1:1" x14ac:dyDescent="0.25">
      <c r="A1868" s="2">
        <v>625484</v>
      </c>
    </row>
    <row r="1869" spans="1:1" x14ac:dyDescent="0.25">
      <c r="A1869" s="2">
        <v>626207</v>
      </c>
    </row>
    <row r="1870" spans="1:1" x14ac:dyDescent="0.25">
      <c r="A1870" s="2">
        <v>626221</v>
      </c>
    </row>
    <row r="1871" spans="1:1" x14ac:dyDescent="0.25">
      <c r="A1871" s="2">
        <v>626235</v>
      </c>
    </row>
    <row r="1872" spans="1:1" x14ac:dyDescent="0.25">
      <c r="A1872" s="2">
        <v>626304</v>
      </c>
    </row>
    <row r="1873" spans="1:1" x14ac:dyDescent="0.25">
      <c r="A1873" s="2">
        <v>627691</v>
      </c>
    </row>
    <row r="1874" spans="1:1" x14ac:dyDescent="0.25">
      <c r="A1874" s="2">
        <v>627813</v>
      </c>
    </row>
    <row r="1875" spans="1:1" x14ac:dyDescent="0.25">
      <c r="A1875" s="2">
        <v>627828</v>
      </c>
    </row>
    <row r="1876" spans="1:1" x14ac:dyDescent="0.25">
      <c r="A1876" s="2">
        <v>628008</v>
      </c>
    </row>
    <row r="1877" spans="1:1" x14ac:dyDescent="0.25">
      <c r="A1877" s="2">
        <v>628147</v>
      </c>
    </row>
    <row r="1878" spans="1:1" x14ac:dyDescent="0.25">
      <c r="A1878" s="2">
        <v>628154</v>
      </c>
    </row>
    <row r="1879" spans="1:1" x14ac:dyDescent="0.25">
      <c r="A1879" s="2">
        <v>628790</v>
      </c>
    </row>
    <row r="1880" spans="1:1" x14ac:dyDescent="0.25">
      <c r="A1880" s="2">
        <v>628919</v>
      </c>
    </row>
    <row r="1881" spans="1:1" x14ac:dyDescent="0.25">
      <c r="A1881" s="2">
        <v>628971</v>
      </c>
    </row>
    <row r="1882" spans="1:1" x14ac:dyDescent="0.25">
      <c r="A1882" s="2">
        <v>629779</v>
      </c>
    </row>
    <row r="1883" spans="1:1" x14ac:dyDescent="0.25">
      <c r="A1883" s="2">
        <v>630485</v>
      </c>
    </row>
    <row r="1884" spans="1:1" x14ac:dyDescent="0.25">
      <c r="A1884" s="2">
        <v>632042</v>
      </c>
    </row>
    <row r="1885" spans="1:1" x14ac:dyDescent="0.25">
      <c r="A1885" s="2">
        <v>632058</v>
      </c>
    </row>
    <row r="1886" spans="1:1" x14ac:dyDescent="0.25">
      <c r="A1886" s="2">
        <v>632079</v>
      </c>
    </row>
    <row r="1887" spans="1:1" x14ac:dyDescent="0.25">
      <c r="A1887" s="2">
        <v>632085</v>
      </c>
    </row>
    <row r="1888" spans="1:1" x14ac:dyDescent="0.25">
      <c r="A1888" s="2">
        <v>632092</v>
      </c>
    </row>
    <row r="1889" spans="1:1" x14ac:dyDescent="0.25">
      <c r="A1889" s="2">
        <v>632207</v>
      </c>
    </row>
    <row r="1890" spans="1:1" x14ac:dyDescent="0.25">
      <c r="A1890" s="2">
        <v>632214</v>
      </c>
    </row>
    <row r="1891" spans="1:1" x14ac:dyDescent="0.25">
      <c r="A1891" s="2">
        <v>632222</v>
      </c>
    </row>
    <row r="1892" spans="1:1" x14ac:dyDescent="0.25">
      <c r="A1892" s="2">
        <v>632227</v>
      </c>
    </row>
    <row r="1893" spans="1:1" x14ac:dyDescent="0.25">
      <c r="A1893" s="2">
        <v>633548</v>
      </c>
    </row>
    <row r="1894" spans="1:1" x14ac:dyDescent="0.25">
      <c r="A1894" s="2">
        <v>633556</v>
      </c>
    </row>
    <row r="1895" spans="1:1" x14ac:dyDescent="0.25">
      <c r="A1895" s="2">
        <v>633563</v>
      </c>
    </row>
    <row r="1896" spans="1:1" x14ac:dyDescent="0.25">
      <c r="A1896" s="2">
        <v>634037</v>
      </c>
    </row>
    <row r="1897" spans="1:1" x14ac:dyDescent="0.25">
      <c r="A1897" s="2">
        <v>634046</v>
      </c>
    </row>
    <row r="1898" spans="1:1" x14ac:dyDescent="0.25">
      <c r="A1898" s="2">
        <v>634052</v>
      </c>
    </row>
    <row r="1899" spans="1:1" x14ac:dyDescent="0.25">
      <c r="A1899" s="2">
        <v>634065</v>
      </c>
    </row>
    <row r="1900" spans="1:1" x14ac:dyDescent="0.25">
      <c r="A1900" s="2">
        <v>634066</v>
      </c>
    </row>
    <row r="1901" spans="1:1" x14ac:dyDescent="0.25">
      <c r="A1901" s="2">
        <v>634091</v>
      </c>
    </row>
    <row r="1902" spans="1:1" x14ac:dyDescent="0.25">
      <c r="A1902" s="2">
        <v>634132</v>
      </c>
    </row>
    <row r="1903" spans="1:1" x14ac:dyDescent="0.25">
      <c r="A1903" s="2">
        <v>634214</v>
      </c>
    </row>
    <row r="1904" spans="1:1" x14ac:dyDescent="0.25">
      <c r="A1904" s="2">
        <v>634220</v>
      </c>
    </row>
    <row r="1905" spans="1:1" x14ac:dyDescent="0.25">
      <c r="A1905" s="2">
        <v>634285</v>
      </c>
    </row>
    <row r="1906" spans="1:1" x14ac:dyDescent="0.25">
      <c r="A1906" s="2">
        <v>634304</v>
      </c>
    </row>
    <row r="1907" spans="1:1" x14ac:dyDescent="0.25">
      <c r="A1907" s="2">
        <v>636874</v>
      </c>
    </row>
    <row r="1908" spans="1:1" x14ac:dyDescent="0.25">
      <c r="A1908" s="2">
        <v>636884</v>
      </c>
    </row>
    <row r="1909" spans="1:1" x14ac:dyDescent="0.25">
      <c r="A1909" s="2">
        <v>636895</v>
      </c>
    </row>
    <row r="1910" spans="1:1" x14ac:dyDescent="0.25">
      <c r="A1910" s="2">
        <v>636911</v>
      </c>
    </row>
    <row r="1911" spans="1:1" x14ac:dyDescent="0.25">
      <c r="A1911" s="2">
        <v>636918</v>
      </c>
    </row>
    <row r="1912" spans="1:1" x14ac:dyDescent="0.25">
      <c r="A1912" s="2">
        <v>638909</v>
      </c>
    </row>
    <row r="1913" spans="1:1" x14ac:dyDescent="0.25">
      <c r="A1913" s="2">
        <v>640084</v>
      </c>
    </row>
    <row r="1914" spans="1:1" x14ac:dyDescent="0.25">
      <c r="A1914" s="2">
        <v>640093</v>
      </c>
    </row>
    <row r="1915" spans="1:1" x14ac:dyDescent="0.25">
      <c r="A1915" s="2">
        <v>642730</v>
      </c>
    </row>
    <row r="1916" spans="1:1" x14ac:dyDescent="0.25">
      <c r="A1916" s="2">
        <v>642952</v>
      </c>
    </row>
    <row r="1917" spans="1:1" x14ac:dyDescent="0.25">
      <c r="A1917" s="2">
        <v>642953</v>
      </c>
    </row>
    <row r="1918" spans="1:1" x14ac:dyDescent="0.25">
      <c r="A1918" s="2">
        <v>642970</v>
      </c>
    </row>
    <row r="1919" spans="1:1" x14ac:dyDescent="0.25">
      <c r="A1919" s="2">
        <v>644770</v>
      </c>
    </row>
    <row r="1920" spans="1:1" x14ac:dyDescent="0.25">
      <c r="A1920" s="2">
        <v>644771</v>
      </c>
    </row>
    <row r="1921" spans="1:1" x14ac:dyDescent="0.25">
      <c r="A1921" s="2">
        <v>644779</v>
      </c>
    </row>
    <row r="1922" spans="1:1" x14ac:dyDescent="0.25">
      <c r="A1922" s="2">
        <v>645165</v>
      </c>
    </row>
    <row r="1923" spans="1:1" x14ac:dyDescent="0.25">
      <c r="A1923" s="2">
        <v>645174</v>
      </c>
    </row>
    <row r="1924" spans="1:1" x14ac:dyDescent="0.25">
      <c r="A1924" s="2">
        <v>645567</v>
      </c>
    </row>
    <row r="1925" spans="1:1" x14ac:dyDescent="0.25">
      <c r="A1925" s="2">
        <v>645576</v>
      </c>
    </row>
    <row r="1926" spans="1:1" x14ac:dyDescent="0.25">
      <c r="A1926" s="2">
        <v>645594</v>
      </c>
    </row>
    <row r="1927" spans="1:1" x14ac:dyDescent="0.25">
      <c r="A1927" s="2">
        <v>645595</v>
      </c>
    </row>
    <row r="1928" spans="1:1" x14ac:dyDescent="0.25">
      <c r="A1928" s="2">
        <v>645607</v>
      </c>
    </row>
    <row r="1929" spans="1:1" x14ac:dyDescent="0.25">
      <c r="A1929" s="2">
        <v>645639</v>
      </c>
    </row>
    <row r="1930" spans="1:1" x14ac:dyDescent="0.25">
      <c r="A1930" s="2">
        <v>645655</v>
      </c>
    </row>
    <row r="1931" spans="1:1" x14ac:dyDescent="0.25">
      <c r="A1931" s="2">
        <v>645755</v>
      </c>
    </row>
    <row r="1932" spans="1:1" x14ac:dyDescent="0.25">
      <c r="A1932" s="2">
        <v>645903</v>
      </c>
    </row>
    <row r="1933" spans="1:1" x14ac:dyDescent="0.25">
      <c r="A1933" s="2">
        <v>645904</v>
      </c>
    </row>
    <row r="1934" spans="1:1" x14ac:dyDescent="0.25">
      <c r="A1934" s="2">
        <v>645915</v>
      </c>
    </row>
    <row r="1935" spans="1:1" x14ac:dyDescent="0.25">
      <c r="A1935" s="2">
        <v>645922</v>
      </c>
    </row>
    <row r="1936" spans="1:1" x14ac:dyDescent="0.25">
      <c r="A1936" s="2">
        <v>645929</v>
      </c>
    </row>
    <row r="1937" spans="1:1" x14ac:dyDescent="0.25">
      <c r="A1937" s="2">
        <v>646017</v>
      </c>
    </row>
    <row r="1938" spans="1:1" x14ac:dyDescent="0.25">
      <c r="A1938" s="2">
        <v>646026</v>
      </c>
    </row>
    <row r="1939" spans="1:1" x14ac:dyDescent="0.25">
      <c r="A1939" s="2">
        <v>646035</v>
      </c>
    </row>
    <row r="1940" spans="1:1" x14ac:dyDescent="0.25">
      <c r="A1940" s="2">
        <v>646653</v>
      </c>
    </row>
    <row r="1941" spans="1:1" x14ac:dyDescent="0.25">
      <c r="A1941" s="2">
        <v>646677</v>
      </c>
    </row>
    <row r="1942" spans="1:1" x14ac:dyDescent="0.25">
      <c r="A1942" s="2">
        <v>647963</v>
      </c>
    </row>
    <row r="1943" spans="1:1" x14ac:dyDescent="0.25">
      <c r="A1943" s="2">
        <v>647964</v>
      </c>
    </row>
    <row r="1944" spans="1:1" x14ac:dyDescent="0.25">
      <c r="A1944" s="2">
        <v>648163</v>
      </c>
    </row>
    <row r="1945" spans="1:1" x14ac:dyDescent="0.25">
      <c r="A1945" s="2">
        <v>648172</v>
      </c>
    </row>
    <row r="1946" spans="1:1" x14ac:dyDescent="0.25">
      <c r="A1946" s="2">
        <v>648476</v>
      </c>
    </row>
    <row r="1947" spans="1:1" x14ac:dyDescent="0.25">
      <c r="A1947" s="2">
        <v>648519</v>
      </c>
    </row>
    <row r="1948" spans="1:1" x14ac:dyDescent="0.25">
      <c r="A1948" s="2">
        <v>648521</v>
      </c>
    </row>
    <row r="1949" spans="1:1" x14ac:dyDescent="0.25">
      <c r="A1949" s="2">
        <v>648530</v>
      </c>
    </row>
    <row r="1950" spans="1:1" x14ac:dyDescent="0.25">
      <c r="A1950" s="2">
        <v>648692</v>
      </c>
    </row>
    <row r="1951" spans="1:1" x14ac:dyDescent="0.25">
      <c r="A1951" s="2">
        <v>648709</v>
      </c>
    </row>
    <row r="1952" spans="1:1" x14ac:dyDescent="0.25">
      <c r="A1952" s="2">
        <v>648835</v>
      </c>
    </row>
    <row r="1953" spans="1:1" x14ac:dyDescent="0.25">
      <c r="A1953" s="2">
        <v>648861</v>
      </c>
    </row>
    <row r="1954" spans="1:1" x14ac:dyDescent="0.25">
      <c r="A1954" s="2">
        <v>648936</v>
      </c>
    </row>
    <row r="1955" spans="1:1" x14ac:dyDescent="0.25">
      <c r="A1955" s="2">
        <v>648992</v>
      </c>
    </row>
    <row r="1956" spans="1:1" x14ac:dyDescent="0.25">
      <c r="A1956" s="2">
        <v>649004</v>
      </c>
    </row>
    <row r="1957" spans="1:1" x14ac:dyDescent="0.25">
      <c r="A1957" s="2">
        <v>649016</v>
      </c>
    </row>
    <row r="1958" spans="1:1" x14ac:dyDescent="0.25">
      <c r="A1958" s="2">
        <v>649190</v>
      </c>
    </row>
    <row r="1959" spans="1:1" x14ac:dyDescent="0.25">
      <c r="A1959" s="2">
        <v>651465</v>
      </c>
    </row>
    <row r="1960" spans="1:1" x14ac:dyDescent="0.25">
      <c r="A1960" s="2">
        <v>651466</v>
      </c>
    </row>
    <row r="1961" spans="1:1" x14ac:dyDescent="0.25">
      <c r="A1961" s="2">
        <v>651476</v>
      </c>
    </row>
    <row r="1962" spans="1:1" x14ac:dyDescent="0.25">
      <c r="A1962" s="2">
        <v>651903</v>
      </c>
    </row>
    <row r="1963" spans="1:1" x14ac:dyDescent="0.25">
      <c r="A1963" s="2">
        <v>651911</v>
      </c>
    </row>
    <row r="1964" spans="1:1" x14ac:dyDescent="0.25">
      <c r="A1964" s="2">
        <v>652355</v>
      </c>
    </row>
    <row r="1965" spans="1:1" x14ac:dyDescent="0.25">
      <c r="A1965" s="2">
        <v>652356</v>
      </c>
    </row>
    <row r="1966" spans="1:1" x14ac:dyDescent="0.25">
      <c r="A1966" s="2">
        <v>652365</v>
      </c>
    </row>
    <row r="1967" spans="1:1" x14ac:dyDescent="0.25">
      <c r="A1967" s="2">
        <v>652383</v>
      </c>
    </row>
    <row r="1968" spans="1:1" x14ac:dyDescent="0.25">
      <c r="A1968" s="2">
        <v>652390</v>
      </c>
    </row>
    <row r="1969" spans="1:1" x14ac:dyDescent="0.25">
      <c r="A1969" s="2">
        <v>652431</v>
      </c>
    </row>
    <row r="1970" spans="1:1" x14ac:dyDescent="0.25">
      <c r="A1970" s="2">
        <v>652440</v>
      </c>
    </row>
    <row r="1971" spans="1:1" x14ac:dyDescent="0.25">
      <c r="A1971" s="2">
        <v>652447</v>
      </c>
    </row>
    <row r="1972" spans="1:1" x14ac:dyDescent="0.25">
      <c r="A1972" s="2">
        <v>654095</v>
      </c>
    </row>
    <row r="1973" spans="1:1" x14ac:dyDescent="0.25">
      <c r="A1973" s="2">
        <v>654112</v>
      </c>
    </row>
    <row r="1974" spans="1:1" x14ac:dyDescent="0.25">
      <c r="A1974" s="2">
        <v>654127</v>
      </c>
    </row>
    <row r="1975" spans="1:1" x14ac:dyDescent="0.25">
      <c r="A1975" s="2">
        <v>654132</v>
      </c>
    </row>
    <row r="1976" spans="1:1" x14ac:dyDescent="0.25">
      <c r="A1976" s="2">
        <v>654177</v>
      </c>
    </row>
    <row r="1977" spans="1:1" x14ac:dyDescent="0.25">
      <c r="A1977" s="2">
        <v>654178</v>
      </c>
    </row>
    <row r="1978" spans="1:1" x14ac:dyDescent="0.25">
      <c r="A1978" s="2">
        <v>654219</v>
      </c>
    </row>
    <row r="1979" spans="1:1" x14ac:dyDescent="0.25">
      <c r="A1979" s="2">
        <v>654306</v>
      </c>
    </row>
    <row r="1980" spans="1:1" x14ac:dyDescent="0.25">
      <c r="A1980" s="2">
        <v>654338</v>
      </c>
    </row>
    <row r="1981" spans="1:1" x14ac:dyDescent="0.25">
      <c r="A1981" s="2">
        <v>655059</v>
      </c>
    </row>
    <row r="1982" spans="1:1" x14ac:dyDescent="0.25">
      <c r="A1982" s="2">
        <v>655251</v>
      </c>
    </row>
    <row r="1983" spans="1:1" x14ac:dyDescent="0.25">
      <c r="A1983" s="2">
        <v>655285</v>
      </c>
    </row>
    <row r="1984" spans="1:1" x14ac:dyDescent="0.25">
      <c r="A1984" s="2">
        <v>655359</v>
      </c>
    </row>
    <row r="1985" spans="1:1" x14ac:dyDescent="0.25">
      <c r="A1985" s="2">
        <v>655421</v>
      </c>
    </row>
    <row r="1986" spans="1:1" x14ac:dyDescent="0.25">
      <c r="A1986" s="2">
        <v>655460</v>
      </c>
    </row>
    <row r="1987" spans="1:1" x14ac:dyDescent="0.25">
      <c r="A1987" s="2">
        <v>656404</v>
      </c>
    </row>
    <row r="1988" spans="1:1" x14ac:dyDescent="0.25">
      <c r="A1988" s="2">
        <v>656410</v>
      </c>
    </row>
    <row r="1989" spans="1:1" x14ac:dyDescent="0.25">
      <c r="A1989" s="2">
        <v>656413</v>
      </c>
    </row>
    <row r="1990" spans="1:1" x14ac:dyDescent="0.25">
      <c r="A1990" s="2">
        <v>656453</v>
      </c>
    </row>
    <row r="1991" spans="1:1" x14ac:dyDescent="0.25">
      <c r="A1991" s="2">
        <v>656459</v>
      </c>
    </row>
    <row r="1992" spans="1:1" x14ac:dyDescent="0.25">
      <c r="A1992" s="2">
        <v>656524</v>
      </c>
    </row>
    <row r="1993" spans="1:1" x14ac:dyDescent="0.25">
      <c r="A1993" s="2">
        <v>656542</v>
      </c>
    </row>
    <row r="1994" spans="1:1" x14ac:dyDescent="0.25">
      <c r="A1994" s="2">
        <v>656586</v>
      </c>
    </row>
    <row r="1995" spans="1:1" x14ac:dyDescent="0.25">
      <c r="A1995" s="2">
        <v>656662</v>
      </c>
    </row>
    <row r="1996" spans="1:1" x14ac:dyDescent="0.25">
      <c r="A1996" s="2">
        <v>656681</v>
      </c>
    </row>
    <row r="1997" spans="1:1" x14ac:dyDescent="0.25">
      <c r="A1997" s="2">
        <v>656693</v>
      </c>
    </row>
    <row r="1998" spans="1:1" x14ac:dyDescent="0.25">
      <c r="A1998" s="2">
        <v>656694</v>
      </c>
    </row>
    <row r="1999" spans="1:1" x14ac:dyDescent="0.25">
      <c r="A1999" s="2">
        <v>656705</v>
      </c>
    </row>
    <row r="2000" spans="1:1" x14ac:dyDescent="0.25">
      <c r="A2000" s="2">
        <v>656715</v>
      </c>
    </row>
    <row r="2001" spans="1:1" x14ac:dyDescent="0.25">
      <c r="A2001" s="2">
        <v>656727</v>
      </c>
    </row>
    <row r="2002" spans="1:1" x14ac:dyDescent="0.25">
      <c r="A2002" s="2">
        <v>656811</v>
      </c>
    </row>
    <row r="2003" spans="1:1" x14ac:dyDescent="0.25">
      <c r="A2003" s="2">
        <v>658638</v>
      </c>
    </row>
    <row r="2004" spans="1:1" x14ac:dyDescent="0.25">
      <c r="A2004" s="2">
        <v>658647</v>
      </c>
    </row>
    <row r="2005" spans="1:1" x14ac:dyDescent="0.25">
      <c r="A2005" s="2">
        <v>658683</v>
      </c>
    </row>
    <row r="2006" spans="1:1" x14ac:dyDescent="0.25">
      <c r="A2006" s="2">
        <v>658696</v>
      </c>
    </row>
    <row r="2007" spans="1:1" x14ac:dyDescent="0.25">
      <c r="A2007" s="2">
        <v>658705</v>
      </c>
    </row>
    <row r="2008" spans="1:1" x14ac:dyDescent="0.25">
      <c r="A2008" s="2">
        <v>658712</v>
      </c>
    </row>
    <row r="2009" spans="1:1" x14ac:dyDescent="0.25">
      <c r="A2009" s="2">
        <v>658725</v>
      </c>
    </row>
    <row r="2010" spans="1:1" x14ac:dyDescent="0.25">
      <c r="A2010" s="2">
        <v>658731</v>
      </c>
    </row>
    <row r="2011" spans="1:1" x14ac:dyDescent="0.25">
      <c r="A2011" s="2">
        <v>658732</v>
      </c>
    </row>
    <row r="2012" spans="1:1" x14ac:dyDescent="0.25">
      <c r="A2012" s="2">
        <v>658738</v>
      </c>
    </row>
    <row r="2013" spans="1:1" x14ac:dyDescent="0.25">
      <c r="A2013" s="2">
        <v>658913</v>
      </c>
    </row>
    <row r="2014" spans="1:1" x14ac:dyDescent="0.25">
      <c r="A2014" s="2">
        <v>658914</v>
      </c>
    </row>
    <row r="2015" spans="1:1" x14ac:dyDescent="0.25">
      <c r="A2015" s="2">
        <v>658941</v>
      </c>
    </row>
    <row r="2016" spans="1:1" x14ac:dyDescent="0.25">
      <c r="A2016" s="2">
        <v>658947</v>
      </c>
    </row>
    <row r="2017" spans="1:1" x14ac:dyDescent="0.25">
      <c r="A2017" s="2">
        <v>658969</v>
      </c>
    </row>
    <row r="2018" spans="1:1" x14ac:dyDescent="0.25">
      <c r="A2018" s="2">
        <v>659061</v>
      </c>
    </row>
    <row r="2019" spans="1:1" x14ac:dyDescent="0.25">
      <c r="A2019" s="2">
        <v>659063</v>
      </c>
    </row>
    <row r="2020" spans="1:1" x14ac:dyDescent="0.25">
      <c r="A2020" s="2">
        <v>659068</v>
      </c>
    </row>
    <row r="2021" spans="1:1" x14ac:dyDescent="0.25">
      <c r="A2021" s="2">
        <v>659070</v>
      </c>
    </row>
    <row r="2022" spans="1:1" x14ac:dyDescent="0.25">
      <c r="A2022" s="2">
        <v>660252</v>
      </c>
    </row>
    <row r="2023" spans="1:1" x14ac:dyDescent="0.25">
      <c r="A2023" s="2">
        <v>660263</v>
      </c>
    </row>
    <row r="2024" spans="1:1" x14ac:dyDescent="0.25">
      <c r="A2024" s="2">
        <v>660264</v>
      </c>
    </row>
    <row r="2025" spans="1:1" x14ac:dyDescent="0.25">
      <c r="A2025" s="2">
        <v>660337</v>
      </c>
    </row>
    <row r="2026" spans="1:1" x14ac:dyDescent="0.25">
      <c r="A2026" s="2">
        <v>660338</v>
      </c>
    </row>
    <row r="2027" spans="1:1" x14ac:dyDescent="0.25">
      <c r="A2027" s="2">
        <v>660365</v>
      </c>
    </row>
    <row r="2028" spans="1:1" x14ac:dyDescent="0.25">
      <c r="A2028" s="2">
        <v>660402</v>
      </c>
    </row>
    <row r="2029" spans="1:1" x14ac:dyDescent="0.25">
      <c r="A2029" s="2">
        <v>662034</v>
      </c>
    </row>
    <row r="2030" spans="1:1" x14ac:dyDescent="0.25">
      <c r="A2030" s="2">
        <v>662052</v>
      </c>
    </row>
    <row r="2031" spans="1:1" x14ac:dyDescent="0.25">
      <c r="A2031" s="2">
        <v>662497</v>
      </c>
    </row>
    <row r="2032" spans="1:1" x14ac:dyDescent="0.25">
      <c r="A2032" s="2">
        <v>664358</v>
      </c>
    </row>
    <row r="2033" spans="1:1" x14ac:dyDescent="0.25">
      <c r="A2033" s="2">
        <v>664433</v>
      </c>
    </row>
    <row r="2034" spans="1:1" x14ac:dyDescent="0.25">
      <c r="A2034" s="2">
        <v>664445</v>
      </c>
    </row>
    <row r="2035" spans="1:1" x14ac:dyDescent="0.25">
      <c r="A2035" s="2">
        <v>664526</v>
      </c>
    </row>
    <row r="2036" spans="1:1" x14ac:dyDescent="0.25">
      <c r="A2036" s="2">
        <v>664567</v>
      </c>
    </row>
    <row r="2037" spans="1:1" x14ac:dyDescent="0.25">
      <c r="A2037" s="2">
        <v>664660</v>
      </c>
    </row>
    <row r="2038" spans="1:1" x14ac:dyDescent="0.25">
      <c r="A2038" s="2">
        <v>664669</v>
      </c>
    </row>
    <row r="2039" spans="1:1" x14ac:dyDescent="0.25">
      <c r="A2039" s="2">
        <v>664714</v>
      </c>
    </row>
    <row r="2040" spans="1:1" x14ac:dyDescent="0.25">
      <c r="A2040" s="2">
        <v>664746</v>
      </c>
    </row>
    <row r="2041" spans="1:1" x14ac:dyDescent="0.25">
      <c r="A2041" s="2">
        <v>664780</v>
      </c>
    </row>
    <row r="2042" spans="1:1" x14ac:dyDescent="0.25">
      <c r="A2042" s="2">
        <v>664787</v>
      </c>
    </row>
    <row r="2043" spans="1:1" x14ac:dyDescent="0.25">
      <c r="A2043" s="2">
        <v>664846</v>
      </c>
    </row>
    <row r="2044" spans="1:1" x14ac:dyDescent="0.25">
      <c r="A2044" s="2">
        <v>664894</v>
      </c>
    </row>
    <row r="2045" spans="1:1" x14ac:dyDescent="0.25">
      <c r="A2045" s="2">
        <v>664908</v>
      </c>
    </row>
    <row r="2046" spans="1:1" x14ac:dyDescent="0.25">
      <c r="A2046" s="2">
        <v>664919</v>
      </c>
    </row>
    <row r="2047" spans="1:1" x14ac:dyDescent="0.25">
      <c r="A2047" s="2">
        <v>664979</v>
      </c>
    </row>
    <row r="2048" spans="1:1" x14ac:dyDescent="0.25">
      <c r="A2048" s="2">
        <v>664993</v>
      </c>
    </row>
    <row r="2049" spans="1:1" x14ac:dyDescent="0.25">
      <c r="A2049" s="2">
        <v>665364</v>
      </c>
    </row>
    <row r="2050" spans="1:1" x14ac:dyDescent="0.25">
      <c r="A2050" s="2">
        <v>665373</v>
      </c>
    </row>
    <row r="2051" spans="1:1" x14ac:dyDescent="0.25">
      <c r="A2051" s="2">
        <v>665392</v>
      </c>
    </row>
    <row r="2052" spans="1:1" x14ac:dyDescent="0.25">
      <c r="A2052" s="2">
        <v>665422</v>
      </c>
    </row>
    <row r="2053" spans="1:1" x14ac:dyDescent="0.25">
      <c r="A2053" s="2">
        <v>665620</v>
      </c>
    </row>
    <row r="2054" spans="1:1" x14ac:dyDescent="0.25">
      <c r="A2054" s="2">
        <v>665697</v>
      </c>
    </row>
    <row r="2055" spans="1:1" x14ac:dyDescent="0.25">
      <c r="A2055" s="2">
        <v>665872</v>
      </c>
    </row>
    <row r="2056" spans="1:1" x14ac:dyDescent="0.25">
      <c r="A2056" s="2">
        <v>665874</v>
      </c>
    </row>
    <row r="2057" spans="1:1" x14ac:dyDescent="0.25">
      <c r="A2057" s="2">
        <v>670285</v>
      </c>
    </row>
    <row r="2058" spans="1:1" x14ac:dyDescent="0.25">
      <c r="A2058" s="2">
        <v>670332</v>
      </c>
    </row>
    <row r="2059" spans="1:1" x14ac:dyDescent="0.25">
      <c r="A2059" s="2">
        <v>672198</v>
      </c>
    </row>
    <row r="2060" spans="1:1" x14ac:dyDescent="0.25">
      <c r="A2060" s="2">
        <v>672413</v>
      </c>
    </row>
    <row r="2061" spans="1:1" x14ac:dyDescent="0.25">
      <c r="A2061" s="2">
        <v>672414</v>
      </c>
    </row>
    <row r="2062" spans="1:1" x14ac:dyDescent="0.25">
      <c r="A2062" s="2">
        <v>672427</v>
      </c>
    </row>
    <row r="2063" spans="1:1" x14ac:dyDescent="0.25">
      <c r="A2063" s="2">
        <v>672432</v>
      </c>
    </row>
    <row r="2064" spans="1:1" x14ac:dyDescent="0.25">
      <c r="A2064" s="2">
        <v>672660</v>
      </c>
    </row>
    <row r="2065" spans="1:1" x14ac:dyDescent="0.25">
      <c r="A2065" s="2">
        <v>672697</v>
      </c>
    </row>
    <row r="2066" spans="1:1" x14ac:dyDescent="0.25">
      <c r="A2066" s="2">
        <v>672745</v>
      </c>
    </row>
    <row r="2067" spans="1:1" x14ac:dyDescent="0.25">
      <c r="A2067" s="2">
        <v>672870</v>
      </c>
    </row>
    <row r="2068" spans="1:1" x14ac:dyDescent="0.25">
      <c r="A2068" s="2">
        <v>672879</v>
      </c>
    </row>
    <row r="2069" spans="1:1" x14ac:dyDescent="0.25">
      <c r="A2069" s="2">
        <v>672915</v>
      </c>
    </row>
    <row r="2070" spans="1:1" x14ac:dyDescent="0.25">
      <c r="A2070" s="2">
        <v>672922</v>
      </c>
    </row>
    <row r="2071" spans="1:1" x14ac:dyDescent="0.25">
      <c r="A2071" s="2">
        <v>672986</v>
      </c>
    </row>
    <row r="2072" spans="1:1" x14ac:dyDescent="0.25">
      <c r="A2072" s="2">
        <v>673072</v>
      </c>
    </row>
    <row r="2073" spans="1:1" x14ac:dyDescent="0.25">
      <c r="A2073" s="2">
        <v>673225</v>
      </c>
    </row>
    <row r="2074" spans="1:1" x14ac:dyDescent="0.25">
      <c r="A2074" s="2">
        <v>673244</v>
      </c>
    </row>
    <row r="2075" spans="1:1" x14ac:dyDescent="0.25">
      <c r="A2075" s="2">
        <v>673388</v>
      </c>
    </row>
    <row r="2076" spans="1:1" x14ac:dyDescent="0.25">
      <c r="A2076" s="2">
        <v>673409</v>
      </c>
    </row>
    <row r="2077" spans="1:1" x14ac:dyDescent="0.25">
      <c r="A2077" s="2">
        <v>673434</v>
      </c>
    </row>
    <row r="2078" spans="1:1" x14ac:dyDescent="0.25">
      <c r="A2078" s="2">
        <v>673488</v>
      </c>
    </row>
    <row r="2079" spans="1:1" x14ac:dyDescent="0.25">
      <c r="A2079" s="2">
        <v>673499</v>
      </c>
    </row>
    <row r="2080" spans="1:1" x14ac:dyDescent="0.25">
      <c r="A2080" s="2">
        <v>673584</v>
      </c>
    </row>
    <row r="2081" spans="1:1" x14ac:dyDescent="0.25">
      <c r="A2081" s="2">
        <v>673954</v>
      </c>
    </row>
    <row r="2082" spans="1:1" x14ac:dyDescent="0.25">
      <c r="A2082" s="2">
        <v>673996</v>
      </c>
    </row>
    <row r="2083" spans="1:1" x14ac:dyDescent="0.25">
      <c r="A2083" s="2">
        <v>674327</v>
      </c>
    </row>
    <row r="2084" spans="1:1" x14ac:dyDescent="0.25">
      <c r="A2084" s="2">
        <v>675246</v>
      </c>
    </row>
    <row r="2085" spans="1:1" x14ac:dyDescent="0.25">
      <c r="A2085" s="2">
        <v>677129</v>
      </c>
    </row>
    <row r="2086" spans="1:1" x14ac:dyDescent="0.25">
      <c r="A2086" s="2">
        <v>677139</v>
      </c>
    </row>
    <row r="2087" spans="1:1" x14ac:dyDescent="0.25">
      <c r="A2087" s="2">
        <v>687472</v>
      </c>
    </row>
    <row r="2088" spans="1:1" x14ac:dyDescent="0.25">
      <c r="A2088" s="2">
        <v>688441</v>
      </c>
    </row>
    <row r="2089" spans="1:1" x14ac:dyDescent="0.25">
      <c r="A2089" s="2">
        <v>688458</v>
      </c>
    </row>
    <row r="2090" spans="1:1" x14ac:dyDescent="0.25">
      <c r="A2090" s="2">
        <v>688465</v>
      </c>
    </row>
    <row r="2091" spans="1:1" x14ac:dyDescent="0.25">
      <c r="A2091" s="2">
        <v>690247</v>
      </c>
    </row>
    <row r="2092" spans="1:1" x14ac:dyDescent="0.25">
      <c r="A2092" s="2">
        <v>698483</v>
      </c>
    </row>
    <row r="2093" spans="1:1" x14ac:dyDescent="0.25">
      <c r="A2093" s="2">
        <v>698484</v>
      </c>
    </row>
    <row r="2094" spans="1:1" x14ac:dyDescent="0.25">
      <c r="A2094" s="2">
        <v>698496</v>
      </c>
    </row>
    <row r="2095" spans="1:1" x14ac:dyDescent="0.25">
      <c r="A2095" s="2">
        <v>698505</v>
      </c>
    </row>
    <row r="2096" spans="1:1" x14ac:dyDescent="0.25">
      <c r="A2096" s="2">
        <v>701121</v>
      </c>
    </row>
    <row r="2097" spans="1:1" x14ac:dyDescent="0.25">
      <c r="A2097" s="2">
        <v>701153</v>
      </c>
    </row>
    <row r="2098" spans="1:1" x14ac:dyDescent="0.25">
      <c r="A2098" s="2">
        <v>701160</v>
      </c>
    </row>
    <row r="2099" spans="1:1" x14ac:dyDescent="0.25">
      <c r="A2099" s="2">
        <v>701485</v>
      </c>
    </row>
    <row r="2100" spans="1:1" x14ac:dyDescent="0.25">
      <c r="A2100" s="2">
        <v>703261</v>
      </c>
    </row>
    <row r="2101" spans="1:1" x14ac:dyDescent="0.25">
      <c r="A2101" s="2">
        <v>703262</v>
      </c>
    </row>
    <row r="2102" spans="1:1" x14ac:dyDescent="0.25">
      <c r="A2102" s="2">
        <v>703449</v>
      </c>
    </row>
    <row r="2103" spans="1:1" x14ac:dyDescent="0.25">
      <c r="A2103" s="2">
        <v>711897</v>
      </c>
    </row>
    <row r="2104" spans="1:1" x14ac:dyDescent="0.25">
      <c r="A2104" s="2">
        <v>711903</v>
      </c>
    </row>
    <row r="2105" spans="1:1" x14ac:dyDescent="0.25">
      <c r="A2105" s="2">
        <v>714553</v>
      </c>
    </row>
    <row r="2106" spans="1:1" x14ac:dyDescent="0.25">
      <c r="A2106" s="2">
        <v>714557</v>
      </c>
    </row>
    <row r="2107" spans="1:1" x14ac:dyDescent="0.25">
      <c r="A2107" s="2">
        <v>714685</v>
      </c>
    </row>
    <row r="2108" spans="1:1" x14ac:dyDescent="0.25">
      <c r="A2108" s="2">
        <v>714686</v>
      </c>
    </row>
    <row r="2109" spans="1:1" x14ac:dyDescent="0.25">
      <c r="A2109" s="2">
        <v>714694</v>
      </c>
    </row>
    <row r="2110" spans="1:1" x14ac:dyDescent="0.25">
      <c r="A2110" s="2">
        <v>716304</v>
      </c>
    </row>
    <row r="2111" spans="1:1" x14ac:dyDescent="0.25">
      <c r="A2111" s="2">
        <v>716426</v>
      </c>
    </row>
    <row r="2112" spans="1:1" x14ac:dyDescent="0.25">
      <c r="A2112" s="2">
        <v>716435</v>
      </c>
    </row>
    <row r="2113" spans="1:1" x14ac:dyDescent="0.25">
      <c r="A2113" s="2">
        <v>716483</v>
      </c>
    </row>
    <row r="2114" spans="1:1" x14ac:dyDescent="0.25">
      <c r="A2114" s="2">
        <v>716490</v>
      </c>
    </row>
    <row r="2115" spans="1:1" x14ac:dyDescent="0.25">
      <c r="A2115" s="2">
        <v>716502</v>
      </c>
    </row>
    <row r="2116" spans="1:1" x14ac:dyDescent="0.25">
      <c r="A2116" s="2">
        <v>716545</v>
      </c>
    </row>
    <row r="2117" spans="1:1" x14ac:dyDescent="0.25">
      <c r="A2117" s="2">
        <v>716569</v>
      </c>
    </row>
    <row r="2118" spans="1:1" x14ac:dyDescent="0.25">
      <c r="A2118" s="2">
        <v>716601</v>
      </c>
    </row>
    <row r="2119" spans="1:1" x14ac:dyDescent="0.25">
      <c r="A2119" s="2">
        <v>716616</v>
      </c>
    </row>
    <row r="2120" spans="1:1" x14ac:dyDescent="0.25">
      <c r="A2120" s="2">
        <v>716661</v>
      </c>
    </row>
    <row r="2121" spans="1:1" x14ac:dyDescent="0.25">
      <c r="A2121" s="2">
        <v>716681</v>
      </c>
    </row>
    <row r="2122" spans="1:1" x14ac:dyDescent="0.25">
      <c r="A2122" s="2">
        <v>716686</v>
      </c>
    </row>
    <row r="2123" spans="1:1" x14ac:dyDescent="0.25">
      <c r="A2123" s="2">
        <v>716714</v>
      </c>
    </row>
    <row r="2124" spans="1:1" x14ac:dyDescent="0.25">
      <c r="A2124" s="2">
        <v>716762</v>
      </c>
    </row>
    <row r="2125" spans="1:1" x14ac:dyDescent="0.25">
      <c r="A2125" s="2">
        <v>716775</v>
      </c>
    </row>
    <row r="2126" spans="1:1" x14ac:dyDescent="0.25">
      <c r="A2126" s="2">
        <v>716783</v>
      </c>
    </row>
    <row r="2127" spans="1:1" x14ac:dyDescent="0.25">
      <c r="A2127" s="2">
        <v>716967</v>
      </c>
    </row>
    <row r="2128" spans="1:1" x14ac:dyDescent="0.25">
      <c r="A2128" s="2">
        <v>717034</v>
      </c>
    </row>
    <row r="2129" spans="1:1" x14ac:dyDescent="0.25">
      <c r="A2129" s="2">
        <v>717057</v>
      </c>
    </row>
    <row r="2130" spans="1:1" x14ac:dyDescent="0.25">
      <c r="A2130" s="2">
        <v>717094</v>
      </c>
    </row>
    <row r="2131" spans="1:1" x14ac:dyDescent="0.25">
      <c r="A2131" s="2">
        <v>717464</v>
      </c>
    </row>
    <row r="2132" spans="1:1" x14ac:dyDescent="0.25">
      <c r="A2132" s="2">
        <v>717531</v>
      </c>
    </row>
    <row r="2133" spans="1:1" x14ac:dyDescent="0.25">
      <c r="A2133" s="2">
        <v>717549</v>
      </c>
    </row>
    <row r="2134" spans="1:1" x14ac:dyDescent="0.25">
      <c r="A2134" s="2">
        <v>717584</v>
      </c>
    </row>
    <row r="2135" spans="1:1" x14ac:dyDescent="0.25">
      <c r="A2135" s="2">
        <v>717602</v>
      </c>
    </row>
    <row r="2136" spans="1:1" x14ac:dyDescent="0.25">
      <c r="A2136" s="2">
        <v>717607</v>
      </c>
    </row>
    <row r="2137" spans="1:1" x14ac:dyDescent="0.25">
      <c r="A2137" s="2">
        <v>717654</v>
      </c>
    </row>
    <row r="2138" spans="1:1" x14ac:dyDescent="0.25">
      <c r="A2138" s="2">
        <v>717664</v>
      </c>
    </row>
    <row r="2139" spans="1:1" x14ac:dyDescent="0.25">
      <c r="A2139" s="2">
        <v>717665</v>
      </c>
    </row>
    <row r="2140" spans="1:1" x14ac:dyDescent="0.25">
      <c r="A2140" s="2">
        <v>717666</v>
      </c>
    </row>
    <row r="2141" spans="1:1" x14ac:dyDescent="0.25">
      <c r="A2141" s="2">
        <v>717670</v>
      </c>
    </row>
    <row r="2142" spans="1:1" x14ac:dyDescent="0.25">
      <c r="A2142" s="2">
        <v>717699</v>
      </c>
    </row>
    <row r="2143" spans="1:1" x14ac:dyDescent="0.25">
      <c r="A2143" s="2">
        <v>717702</v>
      </c>
    </row>
    <row r="2144" spans="1:1" x14ac:dyDescent="0.25">
      <c r="A2144" s="2">
        <v>717740</v>
      </c>
    </row>
    <row r="2145" spans="1:1" x14ac:dyDescent="0.25">
      <c r="A2145" s="2">
        <v>717754</v>
      </c>
    </row>
    <row r="2146" spans="1:1" x14ac:dyDescent="0.25">
      <c r="A2146" s="2">
        <v>717759</v>
      </c>
    </row>
    <row r="2147" spans="1:1" x14ac:dyDescent="0.25">
      <c r="A2147" s="2">
        <v>717766</v>
      </c>
    </row>
    <row r="2148" spans="1:1" x14ac:dyDescent="0.25">
      <c r="A2148" s="2">
        <v>717788</v>
      </c>
    </row>
    <row r="2149" spans="1:1" x14ac:dyDescent="0.25">
      <c r="A2149" s="2">
        <v>717798</v>
      </c>
    </row>
    <row r="2150" spans="1:1" x14ac:dyDescent="0.25">
      <c r="A2150" s="2">
        <v>717866</v>
      </c>
    </row>
    <row r="2151" spans="1:1" x14ac:dyDescent="0.25">
      <c r="A2151" s="2">
        <v>717871</v>
      </c>
    </row>
    <row r="2152" spans="1:1" x14ac:dyDescent="0.25">
      <c r="A2152" s="2">
        <v>717890</v>
      </c>
    </row>
    <row r="2153" spans="1:1" x14ac:dyDescent="0.25">
      <c r="A2153" s="2">
        <v>717937</v>
      </c>
    </row>
    <row r="2154" spans="1:1" x14ac:dyDescent="0.25">
      <c r="A2154" s="2">
        <v>718213</v>
      </c>
    </row>
    <row r="2155" spans="1:1" x14ac:dyDescent="0.25">
      <c r="A2155" s="2">
        <v>718824</v>
      </c>
    </row>
    <row r="2156" spans="1:1" x14ac:dyDescent="0.25">
      <c r="A2156" s="2">
        <v>719129</v>
      </c>
    </row>
    <row r="2157" spans="1:1" x14ac:dyDescent="0.25">
      <c r="A2157" s="2">
        <v>720042</v>
      </c>
    </row>
    <row r="2158" spans="1:1" x14ac:dyDescent="0.25">
      <c r="A2158" s="2">
        <v>720065</v>
      </c>
    </row>
    <row r="2159" spans="1:1" x14ac:dyDescent="0.25">
      <c r="A2159" s="2">
        <v>720071</v>
      </c>
    </row>
    <row r="2160" spans="1:1" x14ac:dyDescent="0.25">
      <c r="A2160" s="2">
        <v>720094</v>
      </c>
    </row>
    <row r="2161" spans="1:1" x14ac:dyDescent="0.25">
      <c r="A2161" s="2">
        <v>720174</v>
      </c>
    </row>
    <row r="2162" spans="1:1" x14ac:dyDescent="0.25">
      <c r="A2162" s="2">
        <v>720186</v>
      </c>
    </row>
    <row r="2163" spans="1:1" x14ac:dyDescent="0.25">
      <c r="A2163" s="2">
        <v>720217</v>
      </c>
    </row>
    <row r="2164" spans="1:1" x14ac:dyDescent="0.25">
      <c r="A2164" s="2">
        <v>720220</v>
      </c>
    </row>
    <row r="2165" spans="1:1" x14ac:dyDescent="0.25">
      <c r="A2165" s="2">
        <v>720241</v>
      </c>
    </row>
    <row r="2166" spans="1:1" x14ac:dyDescent="0.25">
      <c r="A2166" s="2">
        <v>720297</v>
      </c>
    </row>
    <row r="2167" spans="1:1" x14ac:dyDescent="0.25">
      <c r="A2167" s="2">
        <v>720318</v>
      </c>
    </row>
    <row r="2168" spans="1:1" x14ac:dyDescent="0.25">
      <c r="A2168" s="2">
        <v>720333</v>
      </c>
    </row>
    <row r="2169" spans="1:1" x14ac:dyDescent="0.25">
      <c r="A2169" s="2">
        <v>720356</v>
      </c>
    </row>
    <row r="2170" spans="1:1" x14ac:dyDescent="0.25">
      <c r="A2170" s="2">
        <v>720386</v>
      </c>
    </row>
    <row r="2171" spans="1:1" x14ac:dyDescent="0.25">
      <c r="A2171" s="2">
        <v>720468</v>
      </c>
    </row>
    <row r="2172" spans="1:1" x14ac:dyDescent="0.25">
      <c r="A2172" s="2">
        <v>720476</v>
      </c>
    </row>
    <row r="2173" spans="1:1" x14ac:dyDescent="0.25">
      <c r="A2173" s="2">
        <v>720511</v>
      </c>
    </row>
    <row r="2174" spans="1:1" x14ac:dyDescent="0.25">
      <c r="A2174" s="2">
        <v>720519</v>
      </c>
    </row>
    <row r="2175" spans="1:1" x14ac:dyDescent="0.25">
      <c r="A2175" s="2">
        <v>720544</v>
      </c>
    </row>
    <row r="2176" spans="1:1" x14ac:dyDescent="0.25">
      <c r="A2176" s="2">
        <v>720577</v>
      </c>
    </row>
    <row r="2177" spans="1:1" x14ac:dyDescent="0.25">
      <c r="A2177" s="2">
        <v>720619</v>
      </c>
    </row>
    <row r="2178" spans="1:1" x14ac:dyDescent="0.25">
      <c r="A2178" s="2">
        <v>720658</v>
      </c>
    </row>
    <row r="2179" spans="1:1" x14ac:dyDescent="0.25">
      <c r="A2179" s="2">
        <v>720666</v>
      </c>
    </row>
    <row r="2180" spans="1:1" x14ac:dyDescent="0.25">
      <c r="A2180" s="2">
        <v>720685</v>
      </c>
    </row>
    <row r="2181" spans="1:1" x14ac:dyDescent="0.25">
      <c r="A2181" s="2">
        <v>720690</v>
      </c>
    </row>
    <row r="2182" spans="1:1" x14ac:dyDescent="0.25">
      <c r="A2182" s="2">
        <v>720719</v>
      </c>
    </row>
    <row r="2183" spans="1:1" x14ac:dyDescent="0.25">
      <c r="A2183" s="2">
        <v>720740</v>
      </c>
    </row>
    <row r="2184" spans="1:1" x14ac:dyDescent="0.25">
      <c r="A2184" s="2">
        <v>720757</v>
      </c>
    </row>
    <row r="2185" spans="1:1" x14ac:dyDescent="0.25">
      <c r="A2185" s="2">
        <v>720769</v>
      </c>
    </row>
    <row r="2186" spans="1:1" x14ac:dyDescent="0.25">
      <c r="A2186" s="2">
        <v>720873</v>
      </c>
    </row>
    <row r="2187" spans="1:1" x14ac:dyDescent="0.25">
      <c r="A2187" s="2">
        <v>721706</v>
      </c>
    </row>
    <row r="2188" spans="1:1" x14ac:dyDescent="0.25">
      <c r="A2188" s="2">
        <v>723477</v>
      </c>
    </row>
    <row r="2189" spans="1:1" x14ac:dyDescent="0.25">
      <c r="A2189" s="2">
        <v>723483</v>
      </c>
    </row>
    <row r="2190" spans="1:1" x14ac:dyDescent="0.25">
      <c r="A2190" s="2">
        <v>723509</v>
      </c>
    </row>
    <row r="2191" spans="1:1" x14ac:dyDescent="0.25">
      <c r="A2191" s="2">
        <v>723521</v>
      </c>
    </row>
    <row r="2192" spans="1:1" x14ac:dyDescent="0.25">
      <c r="A2192" s="2">
        <v>723525</v>
      </c>
    </row>
    <row r="2193" spans="1:1" x14ac:dyDescent="0.25">
      <c r="A2193" s="2">
        <v>723528</v>
      </c>
    </row>
    <row r="2194" spans="1:1" x14ac:dyDescent="0.25">
      <c r="A2194" s="2">
        <v>723576</v>
      </c>
    </row>
    <row r="2195" spans="1:1" x14ac:dyDescent="0.25">
      <c r="A2195" s="2">
        <v>723626</v>
      </c>
    </row>
    <row r="2196" spans="1:1" x14ac:dyDescent="0.25">
      <c r="A2196" s="2">
        <v>723694</v>
      </c>
    </row>
    <row r="2197" spans="1:1" x14ac:dyDescent="0.25">
      <c r="A2197" s="2">
        <v>725657</v>
      </c>
    </row>
    <row r="2198" spans="1:1" x14ac:dyDescent="0.25">
      <c r="A2198" s="2">
        <v>725713</v>
      </c>
    </row>
    <row r="2199" spans="1:1" x14ac:dyDescent="0.25">
      <c r="A2199" s="2">
        <v>725718</v>
      </c>
    </row>
    <row r="2200" spans="1:1" x14ac:dyDescent="0.25">
      <c r="A2200" s="2">
        <v>725731</v>
      </c>
    </row>
    <row r="2201" spans="1:1" x14ac:dyDescent="0.25">
      <c r="A2201" s="2">
        <v>726939</v>
      </c>
    </row>
    <row r="2202" spans="1:1" x14ac:dyDescent="0.25">
      <c r="A2202" s="2">
        <v>726944</v>
      </c>
    </row>
    <row r="2203" spans="1:1" x14ac:dyDescent="0.25">
      <c r="A2203" s="2">
        <v>728146</v>
      </c>
    </row>
    <row r="2204" spans="1:1" x14ac:dyDescent="0.25">
      <c r="A2204" s="2">
        <v>728191</v>
      </c>
    </row>
    <row r="2205" spans="1:1" x14ac:dyDescent="0.25">
      <c r="A2205" s="2">
        <v>728196</v>
      </c>
    </row>
    <row r="2206" spans="1:1" x14ac:dyDescent="0.25">
      <c r="A2206" s="2">
        <v>728206</v>
      </c>
    </row>
    <row r="2207" spans="1:1" x14ac:dyDescent="0.25">
      <c r="A2207" s="2">
        <v>729870</v>
      </c>
    </row>
    <row r="2208" spans="1:1" x14ac:dyDescent="0.25">
      <c r="A2208" s="2">
        <v>729886</v>
      </c>
    </row>
    <row r="2209" spans="1:1" x14ac:dyDescent="0.25">
      <c r="A2209" s="2">
        <v>729893</v>
      </c>
    </row>
    <row r="2210" spans="1:1" x14ac:dyDescent="0.25">
      <c r="A2210" s="2">
        <v>729929</v>
      </c>
    </row>
    <row r="2211" spans="1:1" x14ac:dyDescent="0.25">
      <c r="A2211" s="2">
        <v>729930</v>
      </c>
    </row>
    <row r="2212" spans="1:1" x14ac:dyDescent="0.25">
      <c r="A2212" s="2">
        <v>729971</v>
      </c>
    </row>
    <row r="2213" spans="1:1" x14ac:dyDescent="0.25">
      <c r="A2213" s="2">
        <v>730001</v>
      </c>
    </row>
    <row r="2214" spans="1:1" x14ac:dyDescent="0.25">
      <c r="A2214" s="2">
        <v>730776</v>
      </c>
    </row>
    <row r="2215" spans="1:1" x14ac:dyDescent="0.25">
      <c r="A2215" s="2">
        <v>730907</v>
      </c>
    </row>
    <row r="2216" spans="1:1" x14ac:dyDescent="0.25">
      <c r="A2216" s="2">
        <v>731627</v>
      </c>
    </row>
    <row r="2217" spans="1:1" x14ac:dyDescent="0.25">
      <c r="A2217" s="2">
        <v>731635</v>
      </c>
    </row>
    <row r="2218" spans="1:1" x14ac:dyDescent="0.25">
      <c r="A2218" s="2">
        <v>731699</v>
      </c>
    </row>
    <row r="2219" spans="1:1" x14ac:dyDescent="0.25">
      <c r="A2219" s="2">
        <v>732988</v>
      </c>
    </row>
    <row r="2220" spans="1:1" x14ac:dyDescent="0.25">
      <c r="A2220" s="2">
        <v>732992</v>
      </c>
    </row>
    <row r="2221" spans="1:1" x14ac:dyDescent="0.25">
      <c r="A2221" s="2">
        <v>732993</v>
      </c>
    </row>
    <row r="2222" spans="1:1" x14ac:dyDescent="0.25">
      <c r="A2222" s="2">
        <v>733003</v>
      </c>
    </row>
    <row r="2223" spans="1:1" x14ac:dyDescent="0.25">
      <c r="A2223" s="2">
        <v>733008</v>
      </c>
    </row>
    <row r="2224" spans="1:1" x14ac:dyDescent="0.25">
      <c r="A2224" s="2">
        <v>733025</v>
      </c>
    </row>
    <row r="2225" spans="1:1" x14ac:dyDescent="0.25">
      <c r="A2225" s="2">
        <v>733032</v>
      </c>
    </row>
    <row r="2226" spans="1:1" x14ac:dyDescent="0.25">
      <c r="A2226" s="2">
        <v>733040</v>
      </c>
    </row>
    <row r="2227" spans="1:1" x14ac:dyDescent="0.25">
      <c r="A2227" s="2">
        <v>733044</v>
      </c>
    </row>
    <row r="2228" spans="1:1" x14ac:dyDescent="0.25">
      <c r="A2228" s="2">
        <v>733047</v>
      </c>
    </row>
    <row r="2229" spans="1:1" x14ac:dyDescent="0.25">
      <c r="A2229" s="2">
        <v>733058</v>
      </c>
    </row>
    <row r="2230" spans="1:1" x14ac:dyDescent="0.25">
      <c r="A2230" s="2">
        <v>733066</v>
      </c>
    </row>
    <row r="2231" spans="1:1" x14ac:dyDescent="0.25">
      <c r="A2231" s="2">
        <v>733067</v>
      </c>
    </row>
    <row r="2232" spans="1:1" x14ac:dyDescent="0.25">
      <c r="A2232" s="2">
        <v>733100</v>
      </c>
    </row>
    <row r="2233" spans="1:1" x14ac:dyDescent="0.25">
      <c r="A2233" s="2">
        <v>733111</v>
      </c>
    </row>
    <row r="2234" spans="1:1" x14ac:dyDescent="0.25">
      <c r="A2234" s="2">
        <v>733128</v>
      </c>
    </row>
    <row r="2235" spans="1:1" x14ac:dyDescent="0.25">
      <c r="A2235" s="2">
        <v>733136</v>
      </c>
    </row>
    <row r="2236" spans="1:1" x14ac:dyDescent="0.25">
      <c r="A2236" s="2">
        <v>733162</v>
      </c>
    </row>
    <row r="2237" spans="1:1" x14ac:dyDescent="0.25">
      <c r="A2237" s="2">
        <v>733177</v>
      </c>
    </row>
    <row r="2238" spans="1:1" x14ac:dyDescent="0.25">
      <c r="A2238" s="2">
        <v>733236</v>
      </c>
    </row>
    <row r="2239" spans="1:1" x14ac:dyDescent="0.25">
      <c r="A2239" s="2">
        <v>733245</v>
      </c>
    </row>
    <row r="2240" spans="1:1" x14ac:dyDescent="0.25">
      <c r="A2240" s="2">
        <v>733278</v>
      </c>
    </row>
    <row r="2241" spans="1:1" x14ac:dyDescent="0.25">
      <c r="A2241" s="2">
        <v>733283</v>
      </c>
    </row>
    <row r="2242" spans="1:1" x14ac:dyDescent="0.25">
      <c r="A2242" s="2">
        <v>733288</v>
      </c>
    </row>
    <row r="2243" spans="1:1" x14ac:dyDescent="0.25">
      <c r="A2243" s="2">
        <v>733297</v>
      </c>
    </row>
    <row r="2244" spans="1:1" x14ac:dyDescent="0.25">
      <c r="A2244" s="2">
        <v>733299</v>
      </c>
    </row>
    <row r="2245" spans="1:1" x14ac:dyDescent="0.25">
      <c r="A2245" s="2">
        <v>733314</v>
      </c>
    </row>
    <row r="2246" spans="1:1" x14ac:dyDescent="0.25">
      <c r="A2246" s="2">
        <v>733331</v>
      </c>
    </row>
    <row r="2247" spans="1:1" x14ac:dyDescent="0.25">
      <c r="A2247" s="2">
        <v>733336</v>
      </c>
    </row>
    <row r="2248" spans="1:1" x14ac:dyDescent="0.25">
      <c r="A2248" s="2">
        <v>733353</v>
      </c>
    </row>
    <row r="2249" spans="1:1" x14ac:dyDescent="0.25">
      <c r="A2249" s="2">
        <v>733360</v>
      </c>
    </row>
    <row r="2250" spans="1:1" x14ac:dyDescent="0.25">
      <c r="A2250" s="2">
        <v>733364</v>
      </c>
    </row>
    <row r="2251" spans="1:1" x14ac:dyDescent="0.25">
      <c r="A2251" s="2">
        <v>733369</v>
      </c>
    </row>
    <row r="2252" spans="1:1" x14ac:dyDescent="0.25">
      <c r="A2252" s="2">
        <v>733373</v>
      </c>
    </row>
    <row r="2253" spans="1:1" x14ac:dyDescent="0.25">
      <c r="A2253" s="2">
        <v>733378</v>
      </c>
    </row>
    <row r="2254" spans="1:1" x14ac:dyDescent="0.25">
      <c r="A2254" s="2">
        <v>733379</v>
      </c>
    </row>
    <row r="2255" spans="1:1" x14ac:dyDescent="0.25">
      <c r="A2255" s="2">
        <v>733387</v>
      </c>
    </row>
    <row r="2256" spans="1:1" x14ac:dyDescent="0.25">
      <c r="A2256" s="2">
        <v>733396</v>
      </c>
    </row>
    <row r="2257" spans="1:1" x14ac:dyDescent="0.25">
      <c r="A2257" s="2">
        <v>733403</v>
      </c>
    </row>
    <row r="2258" spans="1:1" x14ac:dyDescent="0.25">
      <c r="A2258" s="2">
        <v>733414</v>
      </c>
    </row>
    <row r="2259" spans="1:1" x14ac:dyDescent="0.25">
      <c r="A2259" s="2">
        <v>733420</v>
      </c>
    </row>
    <row r="2260" spans="1:1" x14ac:dyDescent="0.25">
      <c r="A2260" s="2">
        <v>733439</v>
      </c>
    </row>
    <row r="2261" spans="1:1" x14ac:dyDescent="0.25">
      <c r="A2261" s="2">
        <v>733448</v>
      </c>
    </row>
    <row r="2262" spans="1:1" x14ac:dyDescent="0.25">
      <c r="A2262" s="2">
        <v>733455</v>
      </c>
    </row>
    <row r="2263" spans="1:1" x14ac:dyDescent="0.25">
      <c r="A2263" s="2">
        <v>733477</v>
      </c>
    </row>
    <row r="2264" spans="1:1" x14ac:dyDescent="0.25">
      <c r="A2264" s="2">
        <v>733487</v>
      </c>
    </row>
    <row r="2265" spans="1:1" x14ac:dyDescent="0.25">
      <c r="A2265" s="2">
        <v>733524</v>
      </c>
    </row>
    <row r="2266" spans="1:1" x14ac:dyDescent="0.25">
      <c r="A2266" s="2">
        <v>733546</v>
      </c>
    </row>
    <row r="2267" spans="1:1" x14ac:dyDescent="0.25">
      <c r="A2267" s="2">
        <v>733838</v>
      </c>
    </row>
    <row r="2268" spans="1:1" x14ac:dyDescent="0.25">
      <c r="A2268" s="2">
        <v>734040</v>
      </c>
    </row>
    <row r="2269" spans="1:1" x14ac:dyDescent="0.25">
      <c r="A2269" s="2">
        <v>734047</v>
      </c>
    </row>
    <row r="2270" spans="1:1" x14ac:dyDescent="0.25">
      <c r="A2270" s="2">
        <v>734142</v>
      </c>
    </row>
    <row r="2271" spans="1:1" x14ac:dyDescent="0.25">
      <c r="A2271" s="2">
        <v>734173</v>
      </c>
    </row>
    <row r="2272" spans="1:1" x14ac:dyDescent="0.25">
      <c r="A2272" s="2">
        <v>734214</v>
      </c>
    </row>
    <row r="2273" spans="1:1" x14ac:dyDescent="0.25">
      <c r="A2273" s="2">
        <v>734246</v>
      </c>
    </row>
    <row r="2274" spans="1:1" x14ac:dyDescent="0.25">
      <c r="A2274" s="2">
        <v>734310</v>
      </c>
    </row>
    <row r="2275" spans="1:1" x14ac:dyDescent="0.25">
      <c r="A2275" s="2">
        <v>734343</v>
      </c>
    </row>
    <row r="2276" spans="1:1" x14ac:dyDescent="0.25">
      <c r="A2276" s="2">
        <v>734354</v>
      </c>
    </row>
    <row r="2277" spans="1:1" x14ac:dyDescent="0.25">
      <c r="A2277" s="2">
        <v>734391</v>
      </c>
    </row>
    <row r="2278" spans="1:1" x14ac:dyDescent="0.25">
      <c r="A2278" s="2">
        <v>734416</v>
      </c>
    </row>
    <row r="2279" spans="1:1" x14ac:dyDescent="0.25">
      <c r="A2279" s="2">
        <v>734494</v>
      </c>
    </row>
    <row r="2280" spans="1:1" x14ac:dyDescent="0.25">
      <c r="A2280" s="2">
        <v>734538</v>
      </c>
    </row>
    <row r="2281" spans="1:1" x14ac:dyDescent="0.25">
      <c r="A2281" s="2">
        <v>734559</v>
      </c>
    </row>
    <row r="2282" spans="1:1" x14ac:dyDescent="0.25">
      <c r="A2282" s="2">
        <v>734595</v>
      </c>
    </row>
    <row r="2283" spans="1:1" x14ac:dyDescent="0.25">
      <c r="A2283" s="2">
        <v>734607</v>
      </c>
    </row>
    <row r="2284" spans="1:1" x14ac:dyDescent="0.25">
      <c r="A2284" s="2">
        <v>734619</v>
      </c>
    </row>
    <row r="2285" spans="1:1" x14ac:dyDescent="0.25">
      <c r="A2285" s="2">
        <v>734641</v>
      </c>
    </row>
    <row r="2286" spans="1:1" x14ac:dyDescent="0.25">
      <c r="A2286" s="2">
        <v>734655</v>
      </c>
    </row>
    <row r="2287" spans="1:1" x14ac:dyDescent="0.25">
      <c r="A2287" s="2">
        <v>734676</v>
      </c>
    </row>
    <row r="2288" spans="1:1" x14ac:dyDescent="0.25">
      <c r="A2288" s="2">
        <v>734712</v>
      </c>
    </row>
    <row r="2289" spans="1:1" x14ac:dyDescent="0.25">
      <c r="A2289" s="2">
        <v>734737</v>
      </c>
    </row>
    <row r="2290" spans="1:1" x14ac:dyDescent="0.25">
      <c r="A2290" s="2">
        <v>734738</v>
      </c>
    </row>
    <row r="2291" spans="1:1" x14ac:dyDescent="0.25">
      <c r="A2291" s="2">
        <v>734760</v>
      </c>
    </row>
    <row r="2292" spans="1:1" x14ac:dyDescent="0.25">
      <c r="A2292" s="2">
        <v>734782</v>
      </c>
    </row>
    <row r="2293" spans="1:1" x14ac:dyDescent="0.25">
      <c r="A2293" s="2">
        <v>734783</v>
      </c>
    </row>
    <row r="2294" spans="1:1" x14ac:dyDescent="0.25">
      <c r="A2294" s="2">
        <v>734819</v>
      </c>
    </row>
    <row r="2295" spans="1:1" x14ac:dyDescent="0.25">
      <c r="A2295" s="2">
        <v>734847</v>
      </c>
    </row>
    <row r="2296" spans="1:1" x14ac:dyDescent="0.25">
      <c r="A2296" s="2">
        <v>734870</v>
      </c>
    </row>
    <row r="2297" spans="1:1" x14ac:dyDescent="0.25">
      <c r="A2297" s="2">
        <v>734879</v>
      </c>
    </row>
    <row r="2298" spans="1:1" x14ac:dyDescent="0.25">
      <c r="A2298" s="2">
        <v>734886</v>
      </c>
    </row>
    <row r="2299" spans="1:1" x14ac:dyDescent="0.25">
      <c r="A2299" s="2">
        <v>734896</v>
      </c>
    </row>
    <row r="2300" spans="1:1" x14ac:dyDescent="0.25">
      <c r="A2300" s="2">
        <v>734905</v>
      </c>
    </row>
    <row r="2301" spans="1:1" x14ac:dyDescent="0.25">
      <c r="A2301" s="2">
        <v>735844</v>
      </c>
    </row>
    <row r="2302" spans="1:1" x14ac:dyDescent="0.25">
      <c r="A2302" s="2">
        <v>735861</v>
      </c>
    </row>
    <row r="2303" spans="1:1" x14ac:dyDescent="0.25">
      <c r="A2303" s="2">
        <v>735949</v>
      </c>
    </row>
    <row r="2304" spans="1:1" x14ac:dyDescent="0.25">
      <c r="A2304" s="2">
        <v>735957</v>
      </c>
    </row>
    <row r="2305" spans="1:1" x14ac:dyDescent="0.25">
      <c r="A2305" s="2">
        <v>735985</v>
      </c>
    </row>
    <row r="2306" spans="1:1" x14ac:dyDescent="0.25">
      <c r="A2306" s="2">
        <v>736251</v>
      </c>
    </row>
    <row r="2307" spans="1:1" x14ac:dyDescent="0.25">
      <c r="A2307" s="2">
        <v>736258</v>
      </c>
    </row>
    <row r="2308" spans="1:1" x14ac:dyDescent="0.25">
      <c r="A2308" s="2">
        <v>736268</v>
      </c>
    </row>
    <row r="2309" spans="1:1" x14ac:dyDescent="0.25">
      <c r="A2309" s="2">
        <v>736289</v>
      </c>
    </row>
    <row r="2310" spans="1:1" x14ac:dyDescent="0.25">
      <c r="A2310" s="2">
        <v>736303</v>
      </c>
    </row>
    <row r="2311" spans="1:1" x14ac:dyDescent="0.25">
      <c r="A2311" s="2">
        <v>736316</v>
      </c>
    </row>
    <row r="2312" spans="1:1" x14ac:dyDescent="0.25">
      <c r="A2312" s="2">
        <v>736326</v>
      </c>
    </row>
    <row r="2313" spans="1:1" x14ac:dyDescent="0.25">
      <c r="A2313" s="2">
        <v>736331</v>
      </c>
    </row>
    <row r="2314" spans="1:1" x14ac:dyDescent="0.25">
      <c r="A2314" s="2">
        <v>736380</v>
      </c>
    </row>
    <row r="2315" spans="1:1" x14ac:dyDescent="0.25">
      <c r="A2315" s="2">
        <v>736399</v>
      </c>
    </row>
    <row r="2316" spans="1:1" x14ac:dyDescent="0.25">
      <c r="A2316" s="2">
        <v>736707</v>
      </c>
    </row>
    <row r="2317" spans="1:1" x14ac:dyDescent="0.25">
      <c r="A2317" s="2">
        <v>739490</v>
      </c>
    </row>
    <row r="2318" spans="1:1" x14ac:dyDescent="0.25">
      <c r="A2318" s="2">
        <v>739549</v>
      </c>
    </row>
    <row r="2319" spans="1:1" x14ac:dyDescent="0.25">
      <c r="A2319" s="2">
        <v>741131</v>
      </c>
    </row>
    <row r="2320" spans="1:1" x14ac:dyDescent="0.25">
      <c r="A2320" s="2">
        <v>742659</v>
      </c>
    </row>
    <row r="2321" spans="1:1" x14ac:dyDescent="0.25">
      <c r="A2321" s="2">
        <v>742716</v>
      </c>
    </row>
    <row r="2322" spans="1:1" x14ac:dyDescent="0.25">
      <c r="A2322" s="2">
        <v>742721</v>
      </c>
    </row>
    <row r="2323" spans="1:1" x14ac:dyDescent="0.25">
      <c r="A2323" s="2">
        <v>742743</v>
      </c>
    </row>
    <row r="2324" spans="1:1" x14ac:dyDescent="0.25">
      <c r="A2324" s="2">
        <v>744218</v>
      </c>
    </row>
    <row r="2325" spans="1:1" x14ac:dyDescent="0.25">
      <c r="A2325" s="2">
        <v>744378</v>
      </c>
    </row>
    <row r="2326" spans="1:1" x14ac:dyDescent="0.25">
      <c r="A2326" s="2">
        <v>744392</v>
      </c>
    </row>
    <row r="2327" spans="1:1" x14ac:dyDescent="0.25">
      <c r="A2327" s="2">
        <v>744645</v>
      </c>
    </row>
    <row r="2328" spans="1:1" x14ac:dyDescent="0.25">
      <c r="A2328" s="2">
        <v>745032</v>
      </c>
    </row>
    <row r="2329" spans="1:1" x14ac:dyDescent="0.25">
      <c r="A2329" s="2">
        <v>745543</v>
      </c>
    </row>
    <row r="2330" spans="1:1" x14ac:dyDescent="0.25">
      <c r="A2330" s="2">
        <v>749584</v>
      </c>
    </row>
    <row r="2331" spans="1:1" x14ac:dyDescent="0.25">
      <c r="A2331" s="2">
        <v>749662</v>
      </c>
    </row>
    <row r="2332" spans="1:1" x14ac:dyDescent="0.25">
      <c r="A2332" s="2">
        <v>749672</v>
      </c>
    </row>
    <row r="2333" spans="1:1" x14ac:dyDescent="0.25">
      <c r="A2333" s="2">
        <v>758885</v>
      </c>
    </row>
    <row r="2334" spans="1:1" x14ac:dyDescent="0.25">
      <c r="A2334" s="2">
        <v>759648</v>
      </c>
    </row>
    <row r="2335" spans="1:1" x14ac:dyDescent="0.25">
      <c r="A2335" s="2">
        <v>761267</v>
      </c>
    </row>
    <row r="2336" spans="1:1" x14ac:dyDescent="0.25">
      <c r="A2336" s="2">
        <v>761571</v>
      </c>
    </row>
    <row r="2337" spans="1:1" x14ac:dyDescent="0.25">
      <c r="A2337" s="2">
        <v>770231</v>
      </c>
    </row>
    <row r="2338" spans="1:1" x14ac:dyDescent="0.25">
      <c r="A2338" s="2">
        <v>770242</v>
      </c>
    </row>
    <row r="2339" spans="1:1" x14ac:dyDescent="0.25">
      <c r="A2339" s="2">
        <v>770250</v>
      </c>
    </row>
    <row r="2340" spans="1:1" x14ac:dyDescent="0.25">
      <c r="A2340" s="2">
        <v>770267</v>
      </c>
    </row>
    <row r="2341" spans="1:1" x14ac:dyDescent="0.25">
      <c r="A2341" s="2">
        <v>770319</v>
      </c>
    </row>
    <row r="2342" spans="1:1" x14ac:dyDescent="0.25">
      <c r="A2342" s="2">
        <v>770378</v>
      </c>
    </row>
    <row r="2343" spans="1:1" x14ac:dyDescent="0.25">
      <c r="A2343" s="2">
        <v>775322</v>
      </c>
    </row>
    <row r="2344" spans="1:1" x14ac:dyDescent="0.25">
      <c r="A2344" s="2">
        <v>775347</v>
      </c>
    </row>
    <row r="2345" spans="1:1" x14ac:dyDescent="0.25">
      <c r="A2345" s="2">
        <v>775363</v>
      </c>
    </row>
    <row r="2346" spans="1:1" x14ac:dyDescent="0.25">
      <c r="A2346" s="2">
        <v>775947</v>
      </c>
    </row>
    <row r="2347" spans="1:1" x14ac:dyDescent="0.25">
      <c r="A2347" s="2">
        <v>778658</v>
      </c>
    </row>
    <row r="2348" spans="1:1" x14ac:dyDescent="0.25">
      <c r="A2348" s="2">
        <v>778667</v>
      </c>
    </row>
    <row r="2349" spans="1:1" x14ac:dyDescent="0.25">
      <c r="A2349" s="2">
        <v>778673</v>
      </c>
    </row>
    <row r="2350" spans="1:1" x14ac:dyDescent="0.25">
      <c r="A2350" s="2">
        <v>778683</v>
      </c>
    </row>
    <row r="2351" spans="1:1" x14ac:dyDescent="0.25">
      <c r="A2351" s="2">
        <v>779519</v>
      </c>
    </row>
    <row r="2352" spans="1:1" x14ac:dyDescent="0.25">
      <c r="A2352" s="2">
        <v>779973</v>
      </c>
    </row>
    <row r="2353" spans="1:1" x14ac:dyDescent="0.25">
      <c r="A2353" s="2">
        <v>779980</v>
      </c>
    </row>
    <row r="2354" spans="1:1" x14ac:dyDescent="0.25">
      <c r="A2354" s="2">
        <v>779994</v>
      </c>
    </row>
    <row r="2355" spans="1:1" x14ac:dyDescent="0.25">
      <c r="A2355" s="2">
        <v>779997</v>
      </c>
    </row>
    <row r="2356" spans="1:1" x14ac:dyDescent="0.25">
      <c r="A2356" s="2">
        <v>781274</v>
      </c>
    </row>
    <row r="2357" spans="1:1" x14ac:dyDescent="0.25">
      <c r="A2357" s="2">
        <v>782195</v>
      </c>
    </row>
    <row r="2358" spans="1:1" x14ac:dyDescent="0.25">
      <c r="A2358" s="2">
        <v>782228</v>
      </c>
    </row>
    <row r="2359" spans="1:1" x14ac:dyDescent="0.25">
      <c r="A2359" s="2">
        <v>783234</v>
      </c>
    </row>
    <row r="2360" spans="1:1" x14ac:dyDescent="0.25">
      <c r="A2360" s="2">
        <v>783308</v>
      </c>
    </row>
    <row r="2361" spans="1:1" x14ac:dyDescent="0.25">
      <c r="A2361" s="2">
        <v>783369</v>
      </c>
    </row>
    <row r="2362" spans="1:1" x14ac:dyDescent="0.25">
      <c r="A2362" s="2">
        <v>783484</v>
      </c>
    </row>
    <row r="2363" spans="1:1" x14ac:dyDescent="0.25">
      <c r="A2363" s="2">
        <v>783491</v>
      </c>
    </row>
    <row r="2364" spans="1:1" x14ac:dyDescent="0.25">
      <c r="A2364" s="2">
        <v>783522</v>
      </c>
    </row>
    <row r="2365" spans="1:1" x14ac:dyDescent="0.25">
      <c r="A2365" s="2">
        <v>783800</v>
      </c>
    </row>
    <row r="2366" spans="1:1" x14ac:dyDescent="0.25">
      <c r="A2366" s="2">
        <v>783827</v>
      </c>
    </row>
    <row r="2367" spans="1:1" x14ac:dyDescent="0.25">
      <c r="A2367" s="2">
        <v>784760</v>
      </c>
    </row>
    <row r="2368" spans="1:1" x14ac:dyDescent="0.25">
      <c r="A2368" s="2">
        <v>784781</v>
      </c>
    </row>
    <row r="2369" spans="1:1" x14ac:dyDescent="0.25">
      <c r="A2369" s="2">
        <v>785532</v>
      </c>
    </row>
    <row r="2370" spans="1:1" x14ac:dyDescent="0.25">
      <c r="A2370" s="2">
        <v>785533</v>
      </c>
    </row>
    <row r="2371" spans="1:1" x14ac:dyDescent="0.25">
      <c r="A2371" s="2">
        <v>785601</v>
      </c>
    </row>
    <row r="2372" spans="1:1" x14ac:dyDescent="0.25">
      <c r="A2372" s="2">
        <v>785616</v>
      </c>
    </row>
    <row r="2373" spans="1:1" x14ac:dyDescent="0.25">
      <c r="A2373" s="2">
        <v>785659</v>
      </c>
    </row>
    <row r="2374" spans="1:1" x14ac:dyDescent="0.25">
      <c r="A2374" s="2">
        <v>785819</v>
      </c>
    </row>
    <row r="2375" spans="1:1" x14ac:dyDescent="0.25">
      <c r="A2375" s="2">
        <v>785845</v>
      </c>
    </row>
    <row r="2376" spans="1:1" x14ac:dyDescent="0.25">
      <c r="A2376" s="2">
        <v>785961</v>
      </c>
    </row>
    <row r="2377" spans="1:1" x14ac:dyDescent="0.25">
      <c r="A2377" s="2">
        <v>786000</v>
      </c>
    </row>
    <row r="2378" spans="1:1" x14ac:dyDescent="0.25">
      <c r="A2378" s="2">
        <v>786008</v>
      </c>
    </row>
    <row r="2379" spans="1:1" x14ac:dyDescent="0.25">
      <c r="A2379" s="2">
        <v>786013</v>
      </c>
    </row>
    <row r="2380" spans="1:1" x14ac:dyDescent="0.25">
      <c r="A2380" s="2">
        <v>786021</v>
      </c>
    </row>
    <row r="2381" spans="1:1" x14ac:dyDescent="0.25">
      <c r="A2381" s="2">
        <v>786154</v>
      </c>
    </row>
    <row r="2382" spans="1:1" x14ac:dyDescent="0.25">
      <c r="A2382" s="2">
        <v>786161</v>
      </c>
    </row>
    <row r="2383" spans="1:1" x14ac:dyDescent="0.25">
      <c r="A2383" s="2">
        <v>786184</v>
      </c>
    </row>
    <row r="2384" spans="1:1" x14ac:dyDescent="0.25">
      <c r="A2384" s="2">
        <v>786316</v>
      </c>
    </row>
    <row r="2385" spans="1:1" x14ac:dyDescent="0.25">
      <c r="A2385" s="2">
        <v>788632</v>
      </c>
    </row>
    <row r="2386" spans="1:1" x14ac:dyDescent="0.25">
      <c r="A2386" s="2">
        <v>788639</v>
      </c>
    </row>
    <row r="2387" spans="1:1" x14ac:dyDescent="0.25">
      <c r="A2387" s="2">
        <v>788643</v>
      </c>
    </row>
    <row r="2388" spans="1:1" x14ac:dyDescent="0.25">
      <c r="A2388" s="2">
        <v>788660</v>
      </c>
    </row>
    <row r="2389" spans="1:1" x14ac:dyDescent="0.25">
      <c r="A2389" s="2">
        <v>788666</v>
      </c>
    </row>
    <row r="2390" spans="1:1" x14ac:dyDescent="0.25">
      <c r="A2390" s="2">
        <v>788677</v>
      </c>
    </row>
    <row r="2391" spans="1:1" x14ac:dyDescent="0.25">
      <c r="A2391" s="2">
        <v>794410</v>
      </c>
    </row>
    <row r="2392" spans="1:1" x14ac:dyDescent="0.25">
      <c r="A2392" s="2">
        <v>794419</v>
      </c>
    </row>
    <row r="2393" spans="1:1" x14ac:dyDescent="0.25">
      <c r="A2393" s="2">
        <v>796400</v>
      </c>
    </row>
    <row r="2394" spans="1:1" x14ac:dyDescent="0.25">
      <c r="A2394" s="2">
        <v>796432</v>
      </c>
    </row>
    <row r="2395" spans="1:1" x14ac:dyDescent="0.25">
      <c r="A2395" s="2">
        <v>799009</v>
      </c>
    </row>
    <row r="2396" spans="1:1" x14ac:dyDescent="0.25">
      <c r="A2396" s="2">
        <v>799053</v>
      </c>
    </row>
    <row r="2397" spans="1:1" x14ac:dyDescent="0.25">
      <c r="A2397" s="2">
        <v>799063</v>
      </c>
    </row>
    <row r="2398" spans="1:1" x14ac:dyDescent="0.25">
      <c r="A2398" s="2">
        <v>799189</v>
      </c>
    </row>
    <row r="2399" spans="1:1" x14ac:dyDescent="0.25">
      <c r="A2399" s="2">
        <v>815421</v>
      </c>
    </row>
    <row r="2400" spans="1:1" x14ac:dyDescent="0.25">
      <c r="A2400" s="2">
        <v>815426</v>
      </c>
    </row>
    <row r="2401" spans="1:1" x14ac:dyDescent="0.25">
      <c r="A2401" s="2">
        <v>815860</v>
      </c>
    </row>
    <row r="2402" spans="1:1" x14ac:dyDescent="0.25">
      <c r="A2402" s="2">
        <v>815869</v>
      </c>
    </row>
    <row r="2403" spans="1:1" x14ac:dyDescent="0.25">
      <c r="A2403" s="2">
        <v>815870</v>
      </c>
    </row>
    <row r="2404" spans="1:1" x14ac:dyDescent="0.25">
      <c r="A2404" s="2">
        <v>815881</v>
      </c>
    </row>
    <row r="2405" spans="1:1" x14ac:dyDescent="0.25">
      <c r="A2405" s="2">
        <v>815901</v>
      </c>
    </row>
    <row r="2406" spans="1:1" x14ac:dyDescent="0.25">
      <c r="A2406" s="2">
        <v>815954</v>
      </c>
    </row>
    <row r="2407" spans="1:1" x14ac:dyDescent="0.25">
      <c r="A2407" s="2">
        <v>815956</v>
      </c>
    </row>
    <row r="2408" spans="1:1" x14ac:dyDescent="0.25">
      <c r="A2408" s="2">
        <v>815995</v>
      </c>
    </row>
    <row r="2409" spans="1:1" x14ac:dyDescent="0.25">
      <c r="A2409" s="2">
        <v>816055</v>
      </c>
    </row>
    <row r="2410" spans="1:1" x14ac:dyDescent="0.25">
      <c r="A2410" s="2">
        <v>816056</v>
      </c>
    </row>
    <row r="2411" spans="1:1" x14ac:dyDescent="0.25">
      <c r="A2411" s="2">
        <v>816078</v>
      </c>
    </row>
    <row r="2412" spans="1:1" x14ac:dyDescent="0.25">
      <c r="A2412" s="2">
        <v>816086</v>
      </c>
    </row>
    <row r="2413" spans="1:1" x14ac:dyDescent="0.25">
      <c r="A2413" s="2">
        <v>816093</v>
      </c>
    </row>
    <row r="2414" spans="1:1" x14ac:dyDescent="0.25">
      <c r="A2414" s="2">
        <v>816096</v>
      </c>
    </row>
    <row r="2415" spans="1:1" x14ac:dyDescent="0.25">
      <c r="A2415" s="2">
        <v>816104</v>
      </c>
    </row>
    <row r="2416" spans="1:1" x14ac:dyDescent="0.25">
      <c r="A2416" s="2">
        <v>816167</v>
      </c>
    </row>
    <row r="2417" spans="1:1" x14ac:dyDescent="0.25">
      <c r="A2417" s="2">
        <v>816200</v>
      </c>
    </row>
    <row r="2418" spans="1:1" x14ac:dyDescent="0.25">
      <c r="A2418" s="2">
        <v>816213</v>
      </c>
    </row>
    <row r="2419" spans="1:1" x14ac:dyDescent="0.25">
      <c r="A2419" s="2">
        <v>819028</v>
      </c>
    </row>
    <row r="2420" spans="1:1" x14ac:dyDescent="0.25">
      <c r="A2420" s="2">
        <v>819034</v>
      </c>
    </row>
    <row r="2421" spans="1:1" x14ac:dyDescent="0.25">
      <c r="A2421" s="2">
        <v>819075</v>
      </c>
    </row>
    <row r="2422" spans="1:1" x14ac:dyDescent="0.25">
      <c r="A2422" s="2">
        <v>819095</v>
      </c>
    </row>
    <row r="2423" spans="1:1" x14ac:dyDescent="0.25">
      <c r="A2423" s="2">
        <v>819124</v>
      </c>
    </row>
    <row r="2424" spans="1:1" x14ac:dyDescent="0.25">
      <c r="A2424" s="2">
        <v>819161</v>
      </c>
    </row>
    <row r="2425" spans="1:1" x14ac:dyDescent="0.25">
      <c r="A2425" s="2">
        <v>819163</v>
      </c>
    </row>
    <row r="2426" spans="1:1" x14ac:dyDescent="0.25">
      <c r="A2426" s="2">
        <v>819178</v>
      </c>
    </row>
    <row r="2427" spans="1:1" x14ac:dyDescent="0.25">
      <c r="A2427" s="2">
        <v>819251</v>
      </c>
    </row>
    <row r="2428" spans="1:1" x14ac:dyDescent="0.25">
      <c r="A2428" s="2">
        <v>819301</v>
      </c>
    </row>
    <row r="2429" spans="1:1" x14ac:dyDescent="0.25">
      <c r="A2429" s="2">
        <v>819307</v>
      </c>
    </row>
    <row r="2430" spans="1:1" x14ac:dyDescent="0.25">
      <c r="A2430" s="2">
        <v>819335</v>
      </c>
    </row>
    <row r="2431" spans="1:1" x14ac:dyDescent="0.25">
      <c r="A2431" s="2">
        <v>819432</v>
      </c>
    </row>
    <row r="2432" spans="1:1" x14ac:dyDescent="0.25">
      <c r="A2432" s="2">
        <v>819534</v>
      </c>
    </row>
    <row r="2433" spans="1:1" x14ac:dyDescent="0.25">
      <c r="A2433" s="2">
        <v>819536</v>
      </c>
    </row>
    <row r="2434" spans="1:1" x14ac:dyDescent="0.25">
      <c r="A2434" s="2">
        <v>819538</v>
      </c>
    </row>
    <row r="2435" spans="1:1" x14ac:dyDescent="0.25">
      <c r="A2435" s="2">
        <v>819544</v>
      </c>
    </row>
    <row r="2436" spans="1:1" x14ac:dyDescent="0.25">
      <c r="A2436" s="2">
        <v>819545</v>
      </c>
    </row>
    <row r="2437" spans="1:1" x14ac:dyDescent="0.25">
      <c r="A2437" s="2">
        <v>819730</v>
      </c>
    </row>
    <row r="2438" spans="1:1" x14ac:dyDescent="0.25">
      <c r="A2438" s="2">
        <v>819756</v>
      </c>
    </row>
    <row r="2439" spans="1:1" x14ac:dyDescent="0.25">
      <c r="A2439" s="2">
        <v>819821</v>
      </c>
    </row>
    <row r="2440" spans="1:1" x14ac:dyDescent="0.25">
      <c r="A2440" s="2">
        <v>821947</v>
      </c>
    </row>
    <row r="2441" spans="1:1" x14ac:dyDescent="0.25">
      <c r="A2441" s="2">
        <v>821955</v>
      </c>
    </row>
    <row r="2442" spans="1:1" x14ac:dyDescent="0.25">
      <c r="A2442" s="2">
        <v>821961</v>
      </c>
    </row>
    <row r="2443" spans="1:1" x14ac:dyDescent="0.25">
      <c r="A2443" s="2">
        <v>822354</v>
      </c>
    </row>
    <row r="2444" spans="1:1" x14ac:dyDescent="0.25">
      <c r="A2444" s="2">
        <v>822790</v>
      </c>
    </row>
    <row r="2445" spans="1:1" x14ac:dyDescent="0.25">
      <c r="A2445" s="2">
        <v>822825</v>
      </c>
    </row>
    <row r="2446" spans="1:1" x14ac:dyDescent="0.25">
      <c r="A2446" s="2">
        <v>824295</v>
      </c>
    </row>
    <row r="2447" spans="1:1" x14ac:dyDescent="0.25">
      <c r="A2447" s="2">
        <v>824320</v>
      </c>
    </row>
    <row r="2448" spans="1:1" x14ac:dyDescent="0.25">
      <c r="A2448" s="2">
        <v>824332</v>
      </c>
    </row>
    <row r="2449" spans="1:1" x14ac:dyDescent="0.25">
      <c r="A2449" s="2">
        <v>824434</v>
      </c>
    </row>
    <row r="2450" spans="1:1" x14ac:dyDescent="0.25">
      <c r="A2450" s="2">
        <v>824494</v>
      </c>
    </row>
    <row r="2451" spans="1:1" x14ac:dyDescent="0.25">
      <c r="A2451" s="2">
        <v>824500</v>
      </c>
    </row>
    <row r="2452" spans="1:1" x14ac:dyDescent="0.25">
      <c r="A2452" s="2">
        <v>824532</v>
      </c>
    </row>
    <row r="2453" spans="1:1" x14ac:dyDescent="0.25">
      <c r="A2453" s="2">
        <v>824666</v>
      </c>
    </row>
    <row r="2454" spans="1:1" x14ac:dyDescent="0.25">
      <c r="A2454" s="2">
        <v>825033</v>
      </c>
    </row>
    <row r="2455" spans="1:1" x14ac:dyDescent="0.25">
      <c r="A2455" s="2">
        <v>825050</v>
      </c>
    </row>
    <row r="2456" spans="1:1" x14ac:dyDescent="0.25">
      <c r="A2456" s="2">
        <v>825880</v>
      </c>
    </row>
    <row r="2457" spans="1:1" x14ac:dyDescent="0.25">
      <c r="A2457" s="2">
        <v>825888</v>
      </c>
    </row>
    <row r="2458" spans="1:1" x14ac:dyDescent="0.25">
      <c r="A2458" s="2">
        <v>825953</v>
      </c>
    </row>
    <row r="2459" spans="1:1" x14ac:dyDescent="0.25">
      <c r="A2459" s="2">
        <v>825976</v>
      </c>
    </row>
    <row r="2460" spans="1:1" x14ac:dyDescent="0.25">
      <c r="A2460" s="2">
        <v>826188</v>
      </c>
    </row>
    <row r="2461" spans="1:1" x14ac:dyDescent="0.25">
      <c r="A2461" s="2">
        <v>826237</v>
      </c>
    </row>
    <row r="2462" spans="1:1" x14ac:dyDescent="0.25">
      <c r="A2462" s="2">
        <v>826239</v>
      </c>
    </row>
    <row r="2463" spans="1:1" x14ac:dyDescent="0.25">
      <c r="A2463" s="2">
        <v>826281</v>
      </c>
    </row>
    <row r="2464" spans="1:1" x14ac:dyDescent="0.25">
      <c r="A2464" s="2">
        <v>829200</v>
      </c>
    </row>
    <row r="2465" spans="1:1" x14ac:dyDescent="0.25">
      <c r="A2465" s="2">
        <v>829208</v>
      </c>
    </row>
    <row r="2466" spans="1:1" x14ac:dyDescent="0.25">
      <c r="A2466" s="2">
        <v>830975</v>
      </c>
    </row>
    <row r="2467" spans="1:1" x14ac:dyDescent="0.25">
      <c r="A2467" s="2">
        <v>831898</v>
      </c>
    </row>
    <row r="2468" spans="1:1" x14ac:dyDescent="0.25">
      <c r="A2468" s="2">
        <v>831928</v>
      </c>
    </row>
    <row r="2469" spans="1:1" x14ac:dyDescent="0.25">
      <c r="A2469" s="2">
        <v>831950</v>
      </c>
    </row>
    <row r="2470" spans="1:1" x14ac:dyDescent="0.25">
      <c r="A2470" s="2">
        <v>831967</v>
      </c>
    </row>
    <row r="2471" spans="1:1" x14ac:dyDescent="0.25">
      <c r="A2471" s="2">
        <v>831976</v>
      </c>
    </row>
    <row r="2472" spans="1:1" x14ac:dyDescent="0.25">
      <c r="A2472" s="2">
        <v>832028</v>
      </c>
    </row>
    <row r="2473" spans="1:1" x14ac:dyDescent="0.25">
      <c r="A2473" s="2">
        <v>832043</v>
      </c>
    </row>
    <row r="2474" spans="1:1" x14ac:dyDescent="0.25">
      <c r="A2474" s="2">
        <v>833343</v>
      </c>
    </row>
    <row r="2475" spans="1:1" x14ac:dyDescent="0.25">
      <c r="A2475" s="2">
        <v>833349</v>
      </c>
    </row>
    <row r="2476" spans="1:1" x14ac:dyDescent="0.25">
      <c r="A2476" s="2">
        <v>833394</v>
      </c>
    </row>
    <row r="2477" spans="1:1" x14ac:dyDescent="0.25">
      <c r="A2477" s="2">
        <v>833417</v>
      </c>
    </row>
    <row r="2478" spans="1:1" x14ac:dyDescent="0.25">
      <c r="A2478" s="2">
        <v>833567</v>
      </c>
    </row>
    <row r="2479" spans="1:1" x14ac:dyDescent="0.25">
      <c r="A2479" s="2">
        <v>833674</v>
      </c>
    </row>
    <row r="2480" spans="1:1" x14ac:dyDescent="0.25">
      <c r="A2480" s="2">
        <v>833689</v>
      </c>
    </row>
    <row r="2481" spans="1:1" x14ac:dyDescent="0.25">
      <c r="A2481" s="2">
        <v>833730</v>
      </c>
    </row>
    <row r="2482" spans="1:1" x14ac:dyDescent="0.25">
      <c r="A2482" s="2">
        <v>833934</v>
      </c>
    </row>
    <row r="2483" spans="1:1" x14ac:dyDescent="0.25">
      <c r="A2483" s="2">
        <v>833943</v>
      </c>
    </row>
    <row r="2484" spans="1:1" x14ac:dyDescent="0.25">
      <c r="A2484" s="2">
        <v>833952</v>
      </c>
    </row>
    <row r="2485" spans="1:1" x14ac:dyDescent="0.25">
      <c r="A2485" s="2">
        <v>833968</v>
      </c>
    </row>
    <row r="2486" spans="1:1" x14ac:dyDescent="0.25">
      <c r="A2486" s="2">
        <v>833982</v>
      </c>
    </row>
    <row r="2487" spans="1:1" x14ac:dyDescent="0.25">
      <c r="A2487" s="2">
        <v>833983</v>
      </c>
    </row>
    <row r="2488" spans="1:1" x14ac:dyDescent="0.25">
      <c r="A2488" s="2">
        <v>834015</v>
      </c>
    </row>
    <row r="2489" spans="1:1" x14ac:dyDescent="0.25">
      <c r="A2489" s="2">
        <v>834022</v>
      </c>
    </row>
    <row r="2490" spans="1:1" x14ac:dyDescent="0.25">
      <c r="A2490" s="2">
        <v>834162</v>
      </c>
    </row>
    <row r="2491" spans="1:1" x14ac:dyDescent="0.25">
      <c r="A2491" s="2">
        <v>834211</v>
      </c>
    </row>
    <row r="2492" spans="1:1" x14ac:dyDescent="0.25">
      <c r="A2492" s="2">
        <v>834225</v>
      </c>
    </row>
    <row r="2493" spans="1:1" x14ac:dyDescent="0.25">
      <c r="A2493" s="2">
        <v>834256</v>
      </c>
    </row>
    <row r="2494" spans="1:1" x14ac:dyDescent="0.25">
      <c r="A2494" s="2">
        <v>834411</v>
      </c>
    </row>
    <row r="2495" spans="1:1" x14ac:dyDescent="0.25">
      <c r="A2495" s="2">
        <v>837704</v>
      </c>
    </row>
    <row r="2496" spans="1:1" x14ac:dyDescent="0.25">
      <c r="A2496" s="2">
        <v>837711</v>
      </c>
    </row>
    <row r="2497" spans="1:1" x14ac:dyDescent="0.25">
      <c r="A2497" s="2">
        <v>837718</v>
      </c>
    </row>
    <row r="2498" spans="1:1" x14ac:dyDescent="0.25">
      <c r="A2498" s="2">
        <v>837727</v>
      </c>
    </row>
    <row r="2499" spans="1:1" x14ac:dyDescent="0.25">
      <c r="A2499" s="2">
        <v>837730</v>
      </c>
    </row>
    <row r="2500" spans="1:1" x14ac:dyDescent="0.25">
      <c r="A2500" s="2">
        <v>837739</v>
      </c>
    </row>
    <row r="2501" spans="1:1" x14ac:dyDescent="0.25">
      <c r="A2501" s="2">
        <v>837790</v>
      </c>
    </row>
    <row r="2502" spans="1:1" x14ac:dyDescent="0.25">
      <c r="A2502" s="2">
        <v>837803</v>
      </c>
    </row>
    <row r="2503" spans="1:1" x14ac:dyDescent="0.25">
      <c r="A2503" s="2">
        <v>837851</v>
      </c>
    </row>
    <row r="2504" spans="1:1" x14ac:dyDescent="0.25">
      <c r="A2504" s="2">
        <v>861678</v>
      </c>
    </row>
    <row r="2505" spans="1:1" x14ac:dyDescent="0.25">
      <c r="A2505" s="2">
        <v>861689</v>
      </c>
    </row>
    <row r="2506" spans="1:1" x14ac:dyDescent="0.25">
      <c r="A2506" s="2">
        <v>873604</v>
      </c>
    </row>
    <row r="2507" spans="1:1" x14ac:dyDescent="0.25">
      <c r="A2507" s="2">
        <v>873651</v>
      </c>
    </row>
    <row r="2508" spans="1:1" x14ac:dyDescent="0.25">
      <c r="A2508" s="2">
        <v>873669</v>
      </c>
    </row>
    <row r="2509" spans="1:1" x14ac:dyDescent="0.25">
      <c r="A2509" s="2">
        <v>875429</v>
      </c>
    </row>
    <row r="2510" spans="1:1" x14ac:dyDescent="0.25">
      <c r="A2510" s="2">
        <v>875437</v>
      </c>
    </row>
    <row r="2511" spans="1:1" x14ac:dyDescent="0.25">
      <c r="A2511" s="2">
        <v>875447</v>
      </c>
    </row>
    <row r="2512" spans="1:1" x14ac:dyDescent="0.25">
      <c r="A2512" s="2">
        <v>875467</v>
      </c>
    </row>
    <row r="2513" spans="1:1" x14ac:dyDescent="0.25">
      <c r="A2513" s="2">
        <v>875532</v>
      </c>
    </row>
    <row r="2514" spans="1:1" x14ac:dyDescent="0.25">
      <c r="A2514" s="2">
        <v>875533</v>
      </c>
    </row>
    <row r="2515" spans="1:1" x14ac:dyDescent="0.25">
      <c r="A2515" s="2">
        <v>875561</v>
      </c>
    </row>
    <row r="2516" spans="1:1" x14ac:dyDescent="0.25">
      <c r="A2516" s="2">
        <v>875569</v>
      </c>
    </row>
    <row r="2517" spans="1:1" x14ac:dyDescent="0.25">
      <c r="A2517" s="2">
        <v>875575</v>
      </c>
    </row>
    <row r="2518" spans="1:1" x14ac:dyDescent="0.25">
      <c r="A2518" s="2">
        <v>875576</v>
      </c>
    </row>
    <row r="2519" spans="1:1" x14ac:dyDescent="0.25">
      <c r="A2519" s="2">
        <v>875577</v>
      </c>
    </row>
    <row r="2520" spans="1:1" x14ac:dyDescent="0.25">
      <c r="A2520" s="2">
        <v>875596</v>
      </c>
    </row>
    <row r="2521" spans="1:1" x14ac:dyDescent="0.25">
      <c r="A2521" s="2">
        <v>875625</v>
      </c>
    </row>
    <row r="2522" spans="1:1" x14ac:dyDescent="0.25">
      <c r="A2522" s="2">
        <v>875626</v>
      </c>
    </row>
    <row r="2523" spans="1:1" x14ac:dyDescent="0.25">
      <c r="A2523" s="2">
        <v>875647</v>
      </c>
    </row>
    <row r="2524" spans="1:1" x14ac:dyDescent="0.25">
      <c r="A2524" s="2">
        <v>875657</v>
      </c>
    </row>
    <row r="2525" spans="1:1" x14ac:dyDescent="0.25">
      <c r="A2525" s="2">
        <v>875686</v>
      </c>
    </row>
    <row r="2526" spans="1:1" x14ac:dyDescent="0.25">
      <c r="A2526" s="2">
        <v>875725</v>
      </c>
    </row>
    <row r="2527" spans="1:1" x14ac:dyDescent="0.25">
      <c r="A2527" s="2">
        <v>875748</v>
      </c>
    </row>
    <row r="2528" spans="1:1" x14ac:dyDescent="0.25">
      <c r="A2528" s="2">
        <v>875749</v>
      </c>
    </row>
    <row r="2529" spans="1:1" x14ac:dyDescent="0.25">
      <c r="A2529" s="2">
        <v>875772</v>
      </c>
    </row>
    <row r="2530" spans="1:1" x14ac:dyDescent="0.25">
      <c r="A2530" s="2">
        <v>875776</v>
      </c>
    </row>
    <row r="2531" spans="1:1" x14ac:dyDescent="0.25">
      <c r="A2531" s="2">
        <v>875783</v>
      </c>
    </row>
    <row r="2532" spans="1:1" x14ac:dyDescent="0.25">
      <c r="A2532" s="2">
        <v>875811</v>
      </c>
    </row>
    <row r="2533" spans="1:1" x14ac:dyDescent="0.25">
      <c r="A2533" s="2">
        <v>875825</v>
      </c>
    </row>
    <row r="2534" spans="1:1" x14ac:dyDescent="0.25">
      <c r="A2534" s="2">
        <v>875826</v>
      </c>
    </row>
    <row r="2535" spans="1:1" x14ac:dyDescent="0.25">
      <c r="A2535" s="2">
        <v>875864</v>
      </c>
    </row>
    <row r="2536" spans="1:1" x14ac:dyDescent="0.25">
      <c r="A2536" s="2">
        <v>875907</v>
      </c>
    </row>
    <row r="2537" spans="1:1" x14ac:dyDescent="0.25">
      <c r="A2537" s="2">
        <v>875934</v>
      </c>
    </row>
    <row r="2538" spans="1:1" x14ac:dyDescent="0.25">
      <c r="A2538" s="2">
        <v>875935</v>
      </c>
    </row>
    <row r="2539" spans="1:1" x14ac:dyDescent="0.25">
      <c r="A2539" s="2">
        <v>875956</v>
      </c>
    </row>
    <row r="2540" spans="1:1" x14ac:dyDescent="0.25">
      <c r="A2540" s="2">
        <v>876004</v>
      </c>
    </row>
    <row r="2541" spans="1:1" x14ac:dyDescent="0.25">
      <c r="A2541" s="2">
        <v>876034</v>
      </c>
    </row>
    <row r="2542" spans="1:1" x14ac:dyDescent="0.25">
      <c r="A2542" s="2">
        <v>876096</v>
      </c>
    </row>
    <row r="2543" spans="1:1" x14ac:dyDescent="0.25">
      <c r="A2543" s="2">
        <v>876111</v>
      </c>
    </row>
    <row r="2544" spans="1:1" x14ac:dyDescent="0.25">
      <c r="A2544" s="2">
        <v>876112</v>
      </c>
    </row>
    <row r="2545" spans="1:1" x14ac:dyDescent="0.25">
      <c r="A2545" s="2">
        <v>876128</v>
      </c>
    </row>
    <row r="2546" spans="1:1" x14ac:dyDescent="0.25">
      <c r="A2546" s="2">
        <v>876137</v>
      </c>
    </row>
    <row r="2547" spans="1:1" x14ac:dyDescent="0.25">
      <c r="A2547" s="2">
        <v>876138</v>
      </c>
    </row>
    <row r="2548" spans="1:1" x14ac:dyDescent="0.25">
      <c r="A2548" s="2">
        <v>876141</v>
      </c>
    </row>
    <row r="2549" spans="1:1" x14ac:dyDescent="0.25">
      <c r="A2549" s="2">
        <v>876164</v>
      </c>
    </row>
    <row r="2550" spans="1:1" x14ac:dyDescent="0.25">
      <c r="A2550" s="2">
        <v>876189</v>
      </c>
    </row>
    <row r="2551" spans="1:1" x14ac:dyDescent="0.25">
      <c r="A2551" s="2">
        <v>876208</v>
      </c>
    </row>
    <row r="2552" spans="1:1" x14ac:dyDescent="0.25">
      <c r="A2552" s="2">
        <v>876235</v>
      </c>
    </row>
    <row r="2553" spans="1:1" x14ac:dyDescent="0.25">
      <c r="A2553" s="2">
        <v>876260</v>
      </c>
    </row>
    <row r="2554" spans="1:1" x14ac:dyDescent="0.25">
      <c r="A2554" s="2">
        <v>876278</v>
      </c>
    </row>
    <row r="2555" spans="1:1" x14ac:dyDescent="0.25">
      <c r="A2555" s="2">
        <v>876279</v>
      </c>
    </row>
    <row r="2556" spans="1:1" x14ac:dyDescent="0.25">
      <c r="A2556" s="2">
        <v>876280</v>
      </c>
    </row>
    <row r="2557" spans="1:1" x14ac:dyDescent="0.25">
      <c r="A2557" s="2">
        <v>876296</v>
      </c>
    </row>
    <row r="2558" spans="1:1" x14ac:dyDescent="0.25">
      <c r="A2558" s="2">
        <v>876322</v>
      </c>
    </row>
    <row r="2559" spans="1:1" x14ac:dyDescent="0.25">
      <c r="A2559" s="2">
        <v>876375</v>
      </c>
    </row>
    <row r="2560" spans="1:1" x14ac:dyDescent="0.25">
      <c r="A2560" s="2">
        <v>879203</v>
      </c>
    </row>
    <row r="2561" spans="1:1" x14ac:dyDescent="0.25">
      <c r="A2561" s="2">
        <v>879226</v>
      </c>
    </row>
    <row r="2562" spans="1:1" x14ac:dyDescent="0.25">
      <c r="A2562" s="2">
        <v>879228</v>
      </c>
    </row>
    <row r="2563" spans="1:1" x14ac:dyDescent="0.25">
      <c r="A2563" s="2">
        <v>879230</v>
      </c>
    </row>
    <row r="2564" spans="1:1" x14ac:dyDescent="0.25">
      <c r="A2564" s="2">
        <v>879252</v>
      </c>
    </row>
    <row r="2565" spans="1:1" x14ac:dyDescent="0.25">
      <c r="A2565" s="2">
        <v>884120</v>
      </c>
    </row>
    <row r="2566" spans="1:1" x14ac:dyDescent="0.25">
      <c r="A2566" s="2">
        <v>884140</v>
      </c>
    </row>
    <row r="2567" spans="1:1" x14ac:dyDescent="0.25">
      <c r="A2567" s="2">
        <v>884145</v>
      </c>
    </row>
    <row r="2568" spans="1:1" x14ac:dyDescent="0.25">
      <c r="A2568" s="2">
        <v>884154</v>
      </c>
    </row>
    <row r="2569" spans="1:1" x14ac:dyDescent="0.25">
      <c r="A2569" s="2">
        <v>884168</v>
      </c>
    </row>
    <row r="2570" spans="1:1" x14ac:dyDescent="0.25">
      <c r="A2570" s="2">
        <v>884183</v>
      </c>
    </row>
    <row r="2571" spans="1:1" x14ac:dyDescent="0.25">
      <c r="A2571" s="2">
        <v>884204</v>
      </c>
    </row>
    <row r="2572" spans="1:1" x14ac:dyDescent="0.25">
      <c r="A2572" s="2">
        <v>884227</v>
      </c>
    </row>
    <row r="2573" spans="1:1" x14ac:dyDescent="0.25">
      <c r="A2573" s="2">
        <v>884247</v>
      </c>
    </row>
    <row r="2574" spans="1:1" x14ac:dyDescent="0.25">
      <c r="A2574" s="2">
        <v>884281</v>
      </c>
    </row>
    <row r="2575" spans="1:1" x14ac:dyDescent="0.25">
      <c r="A2575" s="2">
        <v>885208</v>
      </c>
    </row>
    <row r="2576" spans="1:1" x14ac:dyDescent="0.25">
      <c r="A2576" s="2">
        <v>886096</v>
      </c>
    </row>
    <row r="2577" spans="1:1" x14ac:dyDescent="0.25">
      <c r="A2577" s="2">
        <v>886113</v>
      </c>
    </row>
    <row r="2578" spans="1:1" x14ac:dyDescent="0.25">
      <c r="A2578" s="2">
        <v>886137</v>
      </c>
    </row>
    <row r="2579" spans="1:1" x14ac:dyDescent="0.25">
      <c r="A2579" s="2">
        <v>886162</v>
      </c>
    </row>
    <row r="2580" spans="1:1" x14ac:dyDescent="0.25">
      <c r="A2580" s="2">
        <v>886169</v>
      </c>
    </row>
    <row r="2581" spans="1:1" x14ac:dyDescent="0.25">
      <c r="A2581" s="2">
        <v>886184</v>
      </c>
    </row>
    <row r="2582" spans="1:1" x14ac:dyDescent="0.25">
      <c r="A2582" s="2">
        <v>886207</v>
      </c>
    </row>
    <row r="2583" spans="1:1" x14ac:dyDescent="0.25">
      <c r="A2583" s="2">
        <v>886217</v>
      </c>
    </row>
    <row r="2584" spans="1:1" x14ac:dyDescent="0.25">
      <c r="A2584" s="2">
        <v>886223</v>
      </c>
    </row>
    <row r="2585" spans="1:1" x14ac:dyDescent="0.25">
      <c r="A2585" s="2">
        <v>886251</v>
      </c>
    </row>
    <row r="2586" spans="1:1" x14ac:dyDescent="0.25">
      <c r="A2586" s="2">
        <v>886259</v>
      </c>
    </row>
    <row r="2587" spans="1:1" x14ac:dyDescent="0.25">
      <c r="A2587" s="2">
        <v>886280</v>
      </c>
    </row>
    <row r="2588" spans="1:1" x14ac:dyDescent="0.25">
      <c r="A2588" s="2">
        <v>887273</v>
      </c>
    </row>
    <row r="2589" spans="1:1" x14ac:dyDescent="0.25">
      <c r="A2589" s="2">
        <v>887369</v>
      </c>
    </row>
    <row r="2590" spans="1:1" x14ac:dyDescent="0.25">
      <c r="A2590" s="2">
        <v>887440</v>
      </c>
    </row>
    <row r="2591" spans="1:1" x14ac:dyDescent="0.25">
      <c r="A2591" s="2">
        <v>887596</v>
      </c>
    </row>
    <row r="2592" spans="1:1" x14ac:dyDescent="0.25">
      <c r="A2592" s="2">
        <v>887610</v>
      </c>
    </row>
    <row r="2593" spans="1:1" x14ac:dyDescent="0.25">
      <c r="A2593" s="2">
        <v>887638</v>
      </c>
    </row>
    <row r="2594" spans="1:1" x14ac:dyDescent="0.25">
      <c r="A2594" s="2">
        <v>887775</v>
      </c>
    </row>
    <row r="2595" spans="1:1" x14ac:dyDescent="0.25">
      <c r="A2595" s="2">
        <v>887781</v>
      </c>
    </row>
    <row r="2596" spans="1:1" x14ac:dyDescent="0.25">
      <c r="A2596" s="2">
        <v>887799</v>
      </c>
    </row>
    <row r="2597" spans="1:1" x14ac:dyDescent="0.25">
      <c r="A2597" s="2">
        <v>887813</v>
      </c>
    </row>
    <row r="2598" spans="1:1" x14ac:dyDescent="0.25">
      <c r="A2598" s="2">
        <v>887818</v>
      </c>
    </row>
    <row r="2599" spans="1:1" x14ac:dyDescent="0.25">
      <c r="A2599" s="2">
        <v>887837</v>
      </c>
    </row>
    <row r="2600" spans="1:1" x14ac:dyDescent="0.25">
      <c r="A2600" s="2">
        <v>891704</v>
      </c>
    </row>
    <row r="2601" spans="1:1" x14ac:dyDescent="0.25">
      <c r="A2601" s="2">
        <v>891807</v>
      </c>
    </row>
    <row r="2602" spans="1:1" x14ac:dyDescent="0.25">
      <c r="A2602" s="2">
        <v>891891</v>
      </c>
    </row>
    <row r="2603" spans="1:1" x14ac:dyDescent="0.25">
      <c r="A2603" s="2">
        <v>892035</v>
      </c>
    </row>
    <row r="2604" spans="1:1" x14ac:dyDescent="0.25">
      <c r="A2604" s="2">
        <v>892203</v>
      </c>
    </row>
    <row r="2605" spans="1:1" x14ac:dyDescent="0.25">
      <c r="A2605" s="2">
        <v>894261</v>
      </c>
    </row>
    <row r="2606" spans="1:1" x14ac:dyDescent="0.25">
      <c r="A2606" s="2">
        <v>904786</v>
      </c>
    </row>
    <row r="2607" spans="1:1" x14ac:dyDescent="0.25">
      <c r="A2607" s="2">
        <v>904862</v>
      </c>
    </row>
    <row r="2608" spans="1:1" x14ac:dyDescent="0.25">
      <c r="A2608" s="2">
        <v>904875</v>
      </c>
    </row>
    <row r="2609" spans="1:1" x14ac:dyDescent="0.25">
      <c r="A2609" s="2">
        <v>904884</v>
      </c>
    </row>
    <row r="2610" spans="1:1" x14ac:dyDescent="0.25">
      <c r="A2610" s="2">
        <v>904906</v>
      </c>
    </row>
    <row r="2611" spans="1:1" x14ac:dyDescent="0.25">
      <c r="A2611" s="2">
        <v>904913</v>
      </c>
    </row>
    <row r="2612" spans="1:1" x14ac:dyDescent="0.25">
      <c r="A2612" s="2">
        <v>904926</v>
      </c>
    </row>
    <row r="2613" spans="1:1" x14ac:dyDescent="0.25">
      <c r="A2613" s="2">
        <v>917559</v>
      </c>
    </row>
    <row r="2614" spans="1:1" x14ac:dyDescent="0.25">
      <c r="A2614" s="2">
        <v>917641</v>
      </c>
    </row>
    <row r="2615" spans="1:1" x14ac:dyDescent="0.25">
      <c r="A2615" s="2">
        <v>917667</v>
      </c>
    </row>
    <row r="2616" spans="1:1" x14ac:dyDescent="0.25">
      <c r="A2616" s="2">
        <v>917682</v>
      </c>
    </row>
    <row r="2617" spans="1:1" x14ac:dyDescent="0.25">
      <c r="A2617" s="2">
        <v>917701</v>
      </c>
    </row>
    <row r="2618" spans="1:1" x14ac:dyDescent="0.25">
      <c r="A2618" s="2">
        <v>917710</v>
      </c>
    </row>
    <row r="2619" spans="1:1" x14ac:dyDescent="0.25">
      <c r="A2619" s="2">
        <v>917822</v>
      </c>
    </row>
    <row r="2620" spans="1:1" x14ac:dyDescent="0.25">
      <c r="A2620" s="2">
        <v>917829</v>
      </c>
    </row>
    <row r="2621" spans="1:1" x14ac:dyDescent="0.25">
      <c r="A2621" s="2">
        <v>917877</v>
      </c>
    </row>
    <row r="2622" spans="1:1" x14ac:dyDescent="0.25">
      <c r="A2622" s="2">
        <v>918793</v>
      </c>
    </row>
    <row r="2623" spans="1:1" x14ac:dyDescent="0.25">
      <c r="A2623" s="2">
        <v>918794</v>
      </c>
    </row>
    <row r="2624" spans="1:1" x14ac:dyDescent="0.25">
      <c r="A2624" s="2">
        <v>918807</v>
      </c>
    </row>
    <row r="2625" spans="1:1" x14ac:dyDescent="0.25">
      <c r="A2625" s="2">
        <v>918834</v>
      </c>
    </row>
    <row r="2626" spans="1:1" x14ac:dyDescent="0.25">
      <c r="A2626" s="2">
        <v>924946</v>
      </c>
    </row>
    <row r="2627" spans="1:1" x14ac:dyDescent="0.25">
      <c r="A2627" s="2">
        <v>925275</v>
      </c>
    </row>
    <row r="2628" spans="1:1" x14ac:dyDescent="0.25">
      <c r="A2628" s="2">
        <v>925280</v>
      </c>
    </row>
    <row r="2629" spans="1:1" x14ac:dyDescent="0.25">
      <c r="A2629" s="2">
        <v>925287</v>
      </c>
    </row>
    <row r="2630" spans="1:1" x14ac:dyDescent="0.25">
      <c r="A2630" s="2">
        <v>925298</v>
      </c>
    </row>
    <row r="2631" spans="1:1" x14ac:dyDescent="0.25">
      <c r="A2631" s="2">
        <v>925304</v>
      </c>
    </row>
    <row r="2632" spans="1:1" x14ac:dyDescent="0.25">
      <c r="A2632" s="2">
        <v>925325</v>
      </c>
    </row>
    <row r="2633" spans="1:1" x14ac:dyDescent="0.25">
      <c r="A2633" s="2">
        <v>925366</v>
      </c>
    </row>
    <row r="2634" spans="1:1" x14ac:dyDescent="0.25">
      <c r="A2634" s="2">
        <v>925392</v>
      </c>
    </row>
    <row r="2635" spans="1:1" x14ac:dyDescent="0.25">
      <c r="A2635" s="2">
        <v>925452</v>
      </c>
    </row>
    <row r="2636" spans="1:1" x14ac:dyDescent="0.25">
      <c r="A2636" s="2">
        <v>925494</v>
      </c>
    </row>
    <row r="2637" spans="1:1" x14ac:dyDescent="0.25">
      <c r="A2637" s="2">
        <v>925506</v>
      </c>
    </row>
    <row r="2638" spans="1:1" x14ac:dyDescent="0.25">
      <c r="A2638" s="2">
        <v>925520</v>
      </c>
    </row>
    <row r="2639" spans="1:1" x14ac:dyDescent="0.25">
      <c r="A2639" s="2">
        <v>925557</v>
      </c>
    </row>
    <row r="2640" spans="1:1" x14ac:dyDescent="0.25">
      <c r="A2640" s="2">
        <v>925645</v>
      </c>
    </row>
    <row r="2641" spans="1:1" x14ac:dyDescent="0.25">
      <c r="A2641" s="2">
        <v>925650</v>
      </c>
    </row>
    <row r="2642" spans="1:1" x14ac:dyDescent="0.25">
      <c r="A2642" s="2">
        <v>926783</v>
      </c>
    </row>
    <row r="2643" spans="1:1" x14ac:dyDescent="0.25">
      <c r="A2643" s="2">
        <v>926858</v>
      </c>
    </row>
    <row r="2644" spans="1:1" x14ac:dyDescent="0.25">
      <c r="A2644" s="2">
        <v>931358</v>
      </c>
    </row>
    <row r="2645" spans="1:1" x14ac:dyDescent="0.25">
      <c r="A2645" s="2">
        <v>931378</v>
      </c>
    </row>
    <row r="2646" spans="1:1" x14ac:dyDescent="0.25">
      <c r="A2646" s="2">
        <v>931384</v>
      </c>
    </row>
    <row r="2647" spans="1:1" x14ac:dyDescent="0.25">
      <c r="A2647" s="2">
        <v>931392</v>
      </c>
    </row>
    <row r="2648" spans="1:1" x14ac:dyDescent="0.25">
      <c r="A2648" s="2">
        <v>931408</v>
      </c>
    </row>
    <row r="2649" spans="1:1" x14ac:dyDescent="0.25">
      <c r="A2649" s="2">
        <v>931425</v>
      </c>
    </row>
    <row r="2650" spans="1:1" x14ac:dyDescent="0.25">
      <c r="A2650" s="2">
        <v>931426</v>
      </c>
    </row>
    <row r="2651" spans="1:1" x14ac:dyDescent="0.25">
      <c r="A2651" s="2">
        <v>931443</v>
      </c>
    </row>
    <row r="2652" spans="1:1" x14ac:dyDescent="0.25">
      <c r="A2652" s="2">
        <v>931448</v>
      </c>
    </row>
    <row r="2653" spans="1:1" x14ac:dyDescent="0.25">
      <c r="A2653" s="2">
        <v>931474</v>
      </c>
    </row>
    <row r="2654" spans="1:1" x14ac:dyDescent="0.25">
      <c r="A2654" s="2">
        <v>931480</v>
      </c>
    </row>
    <row r="2655" spans="1:1" x14ac:dyDescent="0.25">
      <c r="A2655" s="2">
        <v>931489</v>
      </c>
    </row>
    <row r="2656" spans="1:1" x14ac:dyDescent="0.25">
      <c r="A2656" s="2">
        <v>931889</v>
      </c>
    </row>
    <row r="2657" spans="1:1" x14ac:dyDescent="0.25">
      <c r="A2657" s="2">
        <v>931902</v>
      </c>
    </row>
    <row r="2658" spans="1:1" x14ac:dyDescent="0.25">
      <c r="A2658" s="2">
        <v>932076</v>
      </c>
    </row>
    <row r="2659" spans="1:1" x14ac:dyDescent="0.25">
      <c r="A2659" s="2">
        <v>932109</v>
      </c>
    </row>
    <row r="2660" spans="1:1" x14ac:dyDescent="0.25">
      <c r="A2660" s="2">
        <v>932132</v>
      </c>
    </row>
    <row r="2661" spans="1:1" x14ac:dyDescent="0.25">
      <c r="A2661" s="2">
        <v>932142</v>
      </c>
    </row>
    <row r="2662" spans="1:1" x14ac:dyDescent="0.25">
      <c r="A2662" s="2">
        <v>932143</v>
      </c>
    </row>
    <row r="2663" spans="1:1" x14ac:dyDescent="0.25">
      <c r="A2663" s="2">
        <v>932150</v>
      </c>
    </row>
    <row r="2664" spans="1:1" x14ac:dyDescent="0.25">
      <c r="A2664" s="2">
        <v>932154</v>
      </c>
    </row>
    <row r="2665" spans="1:1" x14ac:dyDescent="0.25">
      <c r="A2665" s="2">
        <v>932162</v>
      </c>
    </row>
    <row r="2666" spans="1:1" x14ac:dyDescent="0.25">
      <c r="A2666" s="2">
        <v>932176</v>
      </c>
    </row>
    <row r="2667" spans="1:1" x14ac:dyDescent="0.25">
      <c r="A2667" s="2">
        <v>932204</v>
      </c>
    </row>
    <row r="2668" spans="1:1" x14ac:dyDescent="0.25">
      <c r="A2668" s="2">
        <v>932208</v>
      </c>
    </row>
    <row r="2669" spans="1:1" x14ac:dyDescent="0.25">
      <c r="A2669" s="2">
        <v>932219</v>
      </c>
    </row>
    <row r="2670" spans="1:1" x14ac:dyDescent="0.25">
      <c r="A2670" s="2">
        <v>932272</v>
      </c>
    </row>
    <row r="2671" spans="1:1" x14ac:dyDescent="0.25">
      <c r="A2671" s="2">
        <v>932283</v>
      </c>
    </row>
    <row r="2672" spans="1:1" x14ac:dyDescent="0.25">
      <c r="A2672" s="2">
        <v>932313</v>
      </c>
    </row>
    <row r="2673" spans="1:1" x14ac:dyDescent="0.25">
      <c r="A2673" s="2">
        <v>932344</v>
      </c>
    </row>
    <row r="2674" spans="1:1" x14ac:dyDescent="0.25">
      <c r="A2674" s="2">
        <v>932479</v>
      </c>
    </row>
    <row r="2675" spans="1:1" x14ac:dyDescent="0.25">
      <c r="A2675" s="2">
        <v>932541</v>
      </c>
    </row>
    <row r="2676" spans="1:1" x14ac:dyDescent="0.25">
      <c r="A2676" s="2">
        <v>932621</v>
      </c>
    </row>
    <row r="2677" spans="1:1" x14ac:dyDescent="0.25">
      <c r="A2677" s="2">
        <v>932927</v>
      </c>
    </row>
    <row r="2678" spans="1:1" x14ac:dyDescent="0.25">
      <c r="A2678" s="2">
        <v>933039</v>
      </c>
    </row>
    <row r="2679" spans="1:1" x14ac:dyDescent="0.25">
      <c r="A2679" s="2">
        <v>933110</v>
      </c>
    </row>
    <row r="2680" spans="1:1" x14ac:dyDescent="0.25">
      <c r="A2680" s="2">
        <v>933231</v>
      </c>
    </row>
    <row r="2681" spans="1:1" x14ac:dyDescent="0.25">
      <c r="A2681" s="2">
        <v>935246</v>
      </c>
    </row>
    <row r="2682" spans="1:1" x14ac:dyDescent="0.25">
      <c r="A2682" s="2">
        <v>935300</v>
      </c>
    </row>
    <row r="2683" spans="1:1" x14ac:dyDescent="0.25">
      <c r="A2683" s="2">
        <v>936107</v>
      </c>
    </row>
    <row r="2684" spans="1:1" x14ac:dyDescent="0.25">
      <c r="A2684" s="2">
        <v>936120</v>
      </c>
    </row>
    <row r="2685" spans="1:1" x14ac:dyDescent="0.25">
      <c r="A2685" s="2">
        <v>936141</v>
      </c>
    </row>
    <row r="2686" spans="1:1" x14ac:dyDescent="0.25">
      <c r="A2686" s="2">
        <v>936154</v>
      </c>
    </row>
    <row r="2687" spans="1:1" x14ac:dyDescent="0.25">
      <c r="A2687" s="2">
        <v>936166</v>
      </c>
    </row>
    <row r="2688" spans="1:1" x14ac:dyDescent="0.25">
      <c r="A2688" s="2">
        <v>938346</v>
      </c>
    </row>
    <row r="2689" spans="1:1" x14ac:dyDescent="0.25">
      <c r="A2689" s="2">
        <v>938470</v>
      </c>
    </row>
    <row r="2690" spans="1:1" x14ac:dyDescent="0.25">
      <c r="A2690" s="2">
        <v>938601</v>
      </c>
    </row>
    <row r="2691" spans="1:1" x14ac:dyDescent="0.25">
      <c r="A2691" s="2">
        <v>938613</v>
      </c>
    </row>
    <row r="2692" spans="1:1" x14ac:dyDescent="0.25">
      <c r="A2692" s="2">
        <v>938617</v>
      </c>
    </row>
    <row r="2693" spans="1:1" x14ac:dyDescent="0.25">
      <c r="A2693" s="2">
        <v>938628</v>
      </c>
    </row>
    <row r="2694" spans="1:1" x14ac:dyDescent="0.25">
      <c r="A2694" s="2">
        <v>938655</v>
      </c>
    </row>
    <row r="2695" spans="1:1" x14ac:dyDescent="0.25">
      <c r="A2695" s="2">
        <v>938693</v>
      </c>
    </row>
    <row r="2696" spans="1:1" x14ac:dyDescent="0.25">
      <c r="A2696" s="2">
        <v>938704</v>
      </c>
    </row>
    <row r="2697" spans="1:1" x14ac:dyDescent="0.25">
      <c r="A2697" s="2">
        <v>938710</v>
      </c>
    </row>
    <row r="2698" spans="1:1" x14ac:dyDescent="0.25">
      <c r="A2698" s="2">
        <v>938857</v>
      </c>
    </row>
    <row r="2699" spans="1:1" x14ac:dyDescent="0.25">
      <c r="A2699" s="2">
        <v>938863</v>
      </c>
    </row>
    <row r="2700" spans="1:1" x14ac:dyDescent="0.25">
      <c r="A2700" s="2">
        <v>938882</v>
      </c>
    </row>
    <row r="2701" spans="1:1" x14ac:dyDescent="0.25">
      <c r="A2701" s="2">
        <v>938917</v>
      </c>
    </row>
    <row r="2702" spans="1:1" x14ac:dyDescent="0.25">
      <c r="A2702" s="2">
        <v>939195</v>
      </c>
    </row>
    <row r="2703" spans="1:1" x14ac:dyDescent="0.25">
      <c r="A2703" s="2">
        <v>939197</v>
      </c>
    </row>
    <row r="2704" spans="1:1" x14ac:dyDescent="0.25">
      <c r="A2704" s="2">
        <v>939218</v>
      </c>
    </row>
    <row r="2705" spans="1:1" x14ac:dyDescent="0.25">
      <c r="A2705" s="2">
        <v>939223</v>
      </c>
    </row>
    <row r="2706" spans="1:1" x14ac:dyDescent="0.25">
      <c r="A2706" s="2">
        <v>939234</v>
      </c>
    </row>
    <row r="2707" spans="1:1" x14ac:dyDescent="0.25">
      <c r="A2707" s="2">
        <v>939248</v>
      </c>
    </row>
    <row r="2708" spans="1:1" x14ac:dyDescent="0.25">
      <c r="A2708" s="2">
        <v>939294</v>
      </c>
    </row>
    <row r="2709" spans="1:1" x14ac:dyDescent="0.25">
      <c r="A2709" s="2">
        <v>939314</v>
      </c>
    </row>
    <row r="2710" spans="1:1" x14ac:dyDescent="0.25">
      <c r="A2710" s="2">
        <v>939318</v>
      </c>
    </row>
    <row r="2711" spans="1:1" x14ac:dyDescent="0.25">
      <c r="A2711" s="2">
        <v>939320</v>
      </c>
    </row>
    <row r="2712" spans="1:1" x14ac:dyDescent="0.25">
      <c r="A2712" s="2">
        <v>939342</v>
      </c>
    </row>
    <row r="2713" spans="1:1" x14ac:dyDescent="0.25">
      <c r="A2713" s="2">
        <v>939358</v>
      </c>
    </row>
    <row r="2714" spans="1:1" x14ac:dyDescent="0.25">
      <c r="A2714" s="2">
        <v>941221</v>
      </c>
    </row>
    <row r="2715" spans="1:1" x14ac:dyDescent="0.25">
      <c r="A2715" s="2">
        <v>941238</v>
      </c>
    </row>
    <row r="2716" spans="1:1" x14ac:dyDescent="0.25">
      <c r="A2716" s="2">
        <v>941253</v>
      </c>
    </row>
    <row r="2717" spans="1:1" x14ac:dyDescent="0.25">
      <c r="A2717" s="2">
        <v>941480</v>
      </c>
    </row>
    <row r="2718" spans="1:1" x14ac:dyDescent="0.25">
      <c r="A2718" s="2">
        <v>941484</v>
      </c>
    </row>
    <row r="2719" spans="1:1" x14ac:dyDescent="0.25">
      <c r="A2719" s="2">
        <v>941485</v>
      </c>
    </row>
    <row r="2720" spans="1:1" x14ac:dyDescent="0.25">
      <c r="A2720" s="2">
        <v>941510</v>
      </c>
    </row>
    <row r="2721" spans="1:1" x14ac:dyDescent="0.25">
      <c r="A2721" s="2">
        <v>942412</v>
      </c>
    </row>
    <row r="2722" spans="1:1" x14ac:dyDescent="0.25">
      <c r="A2722" s="2">
        <v>942426</v>
      </c>
    </row>
    <row r="2723" spans="1:1" x14ac:dyDescent="0.25">
      <c r="A2723" s="2">
        <v>943010</v>
      </c>
    </row>
    <row r="2724" spans="1:1" x14ac:dyDescent="0.25">
      <c r="A2724" s="2">
        <v>943019</v>
      </c>
    </row>
    <row r="2725" spans="1:1" x14ac:dyDescent="0.25">
      <c r="A2725" s="2">
        <v>943332</v>
      </c>
    </row>
    <row r="2726" spans="1:1" x14ac:dyDescent="0.25">
      <c r="A2726" s="2">
        <v>943505</v>
      </c>
    </row>
    <row r="2727" spans="1:1" x14ac:dyDescent="0.25">
      <c r="A2727" s="2">
        <v>943529</v>
      </c>
    </row>
    <row r="2728" spans="1:1" x14ac:dyDescent="0.25">
      <c r="A2728" s="2">
        <v>943544</v>
      </c>
    </row>
    <row r="2729" spans="1:1" x14ac:dyDescent="0.25">
      <c r="A2729" s="2">
        <v>943557</v>
      </c>
    </row>
    <row r="2730" spans="1:1" x14ac:dyDescent="0.25">
      <c r="A2730" s="2">
        <v>943611</v>
      </c>
    </row>
    <row r="2731" spans="1:1" x14ac:dyDescent="0.25">
      <c r="A2731" s="2">
        <v>943621</v>
      </c>
    </row>
    <row r="2732" spans="1:1" x14ac:dyDescent="0.25">
      <c r="A2732" s="2">
        <v>943627</v>
      </c>
    </row>
    <row r="2733" spans="1:1" x14ac:dyDescent="0.25">
      <c r="A2733" s="2">
        <v>943633</v>
      </c>
    </row>
    <row r="2734" spans="1:1" x14ac:dyDescent="0.25">
      <c r="A2734" s="2">
        <v>943903</v>
      </c>
    </row>
    <row r="2735" spans="1:1" x14ac:dyDescent="0.25">
      <c r="A2735" s="2">
        <v>943904</v>
      </c>
    </row>
    <row r="2736" spans="1:1" x14ac:dyDescent="0.25">
      <c r="A2736" s="2">
        <v>943905</v>
      </c>
    </row>
    <row r="2737" spans="1:1" x14ac:dyDescent="0.25">
      <c r="A2737" s="2">
        <v>943911</v>
      </c>
    </row>
    <row r="2738" spans="1:1" x14ac:dyDescent="0.25">
      <c r="A2738" s="2">
        <v>944071</v>
      </c>
    </row>
    <row r="2739" spans="1:1" x14ac:dyDescent="0.25">
      <c r="A2739" s="2">
        <v>944549</v>
      </c>
    </row>
    <row r="2740" spans="1:1" x14ac:dyDescent="0.25">
      <c r="A2740" s="2">
        <v>945099</v>
      </c>
    </row>
    <row r="2741" spans="1:1" x14ac:dyDescent="0.25">
      <c r="A2741" s="2">
        <v>945214</v>
      </c>
    </row>
    <row r="2742" spans="1:1" x14ac:dyDescent="0.25">
      <c r="A2742" s="2">
        <v>945232</v>
      </c>
    </row>
    <row r="2743" spans="1:1" x14ac:dyDescent="0.25">
      <c r="A2743" s="2">
        <v>945283</v>
      </c>
    </row>
    <row r="2744" spans="1:1" x14ac:dyDescent="0.25">
      <c r="A2744" s="2">
        <v>945313</v>
      </c>
    </row>
    <row r="2745" spans="1:1" x14ac:dyDescent="0.25">
      <c r="A2745" s="2">
        <v>945323</v>
      </c>
    </row>
    <row r="2746" spans="1:1" x14ac:dyDescent="0.25">
      <c r="A2746" s="2">
        <v>945347</v>
      </c>
    </row>
    <row r="2747" spans="1:1" x14ac:dyDescent="0.25">
      <c r="A2747" s="2">
        <v>945350</v>
      </c>
    </row>
    <row r="2748" spans="1:1" x14ac:dyDescent="0.25">
      <c r="A2748" s="2">
        <v>945379</v>
      </c>
    </row>
    <row r="2749" spans="1:1" x14ac:dyDescent="0.25">
      <c r="A2749" s="2">
        <v>945385</v>
      </c>
    </row>
    <row r="2750" spans="1:1" x14ac:dyDescent="0.25">
      <c r="A2750" s="2">
        <v>945389</v>
      </c>
    </row>
    <row r="2751" spans="1:1" x14ac:dyDescent="0.25">
      <c r="A2751" s="2">
        <v>945394</v>
      </c>
    </row>
    <row r="2752" spans="1:1" x14ac:dyDescent="0.25">
      <c r="A2752" s="2">
        <v>945406</v>
      </c>
    </row>
    <row r="2753" spans="1:1" x14ac:dyDescent="0.25">
      <c r="A2753" s="2">
        <v>945412</v>
      </c>
    </row>
    <row r="2754" spans="1:1" x14ac:dyDescent="0.25">
      <c r="A2754" s="2">
        <v>945420</v>
      </c>
    </row>
    <row r="2755" spans="1:1" x14ac:dyDescent="0.25">
      <c r="A2755" s="2">
        <v>945426</v>
      </c>
    </row>
    <row r="2756" spans="1:1" x14ac:dyDescent="0.25">
      <c r="A2756" s="2">
        <v>945433</v>
      </c>
    </row>
    <row r="2757" spans="1:1" x14ac:dyDescent="0.25">
      <c r="A2757" s="2">
        <v>945503</v>
      </c>
    </row>
    <row r="2758" spans="1:1" x14ac:dyDescent="0.25">
      <c r="A2758" s="2">
        <v>945504</v>
      </c>
    </row>
    <row r="2759" spans="1:1" x14ac:dyDescent="0.25">
      <c r="A2759" s="2">
        <v>945511</v>
      </c>
    </row>
    <row r="2760" spans="1:1" x14ac:dyDescent="0.25">
      <c r="A2760" s="2">
        <v>945527</v>
      </c>
    </row>
    <row r="2761" spans="1:1" x14ac:dyDescent="0.25">
      <c r="A2761" s="2">
        <v>945545</v>
      </c>
    </row>
    <row r="2762" spans="1:1" x14ac:dyDescent="0.25">
      <c r="A2762" s="2">
        <v>945654</v>
      </c>
    </row>
    <row r="2763" spans="1:1" x14ac:dyDescent="0.25">
      <c r="A2763" s="2">
        <v>945732</v>
      </c>
    </row>
    <row r="2764" spans="1:1" x14ac:dyDescent="0.25">
      <c r="A2764" s="2">
        <v>945782</v>
      </c>
    </row>
    <row r="2765" spans="1:1" x14ac:dyDescent="0.25">
      <c r="A2765" s="2">
        <v>946415</v>
      </c>
    </row>
    <row r="2766" spans="1:1" x14ac:dyDescent="0.25">
      <c r="A2766" s="2">
        <v>946722</v>
      </c>
    </row>
    <row r="2767" spans="1:1" x14ac:dyDescent="0.25">
      <c r="A2767" s="2">
        <v>946730</v>
      </c>
    </row>
    <row r="2768" spans="1:1" x14ac:dyDescent="0.25">
      <c r="A2768" s="2">
        <v>946757</v>
      </c>
    </row>
    <row r="2769" spans="1:1" x14ac:dyDescent="0.25">
      <c r="A2769" s="2">
        <v>946758</v>
      </c>
    </row>
    <row r="2770" spans="1:1" x14ac:dyDescent="0.25">
      <c r="A2770" s="2">
        <v>947480</v>
      </c>
    </row>
    <row r="2771" spans="1:1" x14ac:dyDescent="0.25">
      <c r="A2771" s="2">
        <v>947481</v>
      </c>
    </row>
    <row r="2772" spans="1:1" x14ac:dyDescent="0.25">
      <c r="A2772" s="2">
        <v>947482</v>
      </c>
    </row>
    <row r="2773" spans="1:1" x14ac:dyDescent="0.25">
      <c r="A2773" s="2">
        <v>947533</v>
      </c>
    </row>
    <row r="2774" spans="1:1" x14ac:dyDescent="0.25">
      <c r="A2774" s="2">
        <v>947539</v>
      </c>
    </row>
    <row r="2775" spans="1:1" x14ac:dyDescent="0.25">
      <c r="A2775" s="2">
        <v>947589</v>
      </c>
    </row>
    <row r="2776" spans="1:1" x14ac:dyDescent="0.25">
      <c r="A2776" s="2">
        <v>947773</v>
      </c>
    </row>
    <row r="2777" spans="1:1" x14ac:dyDescent="0.25">
      <c r="A2777" s="2">
        <v>947796</v>
      </c>
    </row>
    <row r="2778" spans="1:1" x14ac:dyDescent="0.25">
      <c r="A2778" s="2">
        <v>947811</v>
      </c>
    </row>
    <row r="2779" spans="1:1" x14ac:dyDescent="0.25">
      <c r="A2779" s="2">
        <v>947841</v>
      </c>
    </row>
    <row r="2780" spans="1:1" x14ac:dyDescent="0.25">
      <c r="A2780" s="2">
        <v>947843</v>
      </c>
    </row>
    <row r="2781" spans="1:1" x14ac:dyDescent="0.25">
      <c r="A2781" s="2">
        <v>947845</v>
      </c>
    </row>
    <row r="2782" spans="1:1" x14ac:dyDescent="0.25">
      <c r="A2782" s="2">
        <v>947862</v>
      </c>
    </row>
    <row r="2783" spans="1:1" x14ac:dyDescent="0.25">
      <c r="A2783" s="2">
        <v>947863</v>
      </c>
    </row>
    <row r="2784" spans="1:1" x14ac:dyDescent="0.25">
      <c r="A2784" s="2">
        <v>947864</v>
      </c>
    </row>
    <row r="2785" spans="1:1" x14ac:dyDescent="0.25">
      <c r="A2785" s="2">
        <v>947931</v>
      </c>
    </row>
    <row r="2786" spans="1:1" x14ac:dyDescent="0.25">
      <c r="A2786" s="2">
        <v>949503</v>
      </c>
    </row>
    <row r="2787" spans="1:1" x14ac:dyDescent="0.25">
      <c r="A2787" s="2">
        <v>950581</v>
      </c>
    </row>
    <row r="2788" spans="1:1" x14ac:dyDescent="0.25">
      <c r="A2788" s="2">
        <v>950599</v>
      </c>
    </row>
    <row r="2789" spans="1:1" x14ac:dyDescent="0.25">
      <c r="A2789" s="2">
        <v>950607</v>
      </c>
    </row>
    <row r="2790" spans="1:1" x14ac:dyDescent="0.25">
      <c r="A2790" s="2">
        <v>950825</v>
      </c>
    </row>
    <row r="2791" spans="1:1" x14ac:dyDescent="0.25">
      <c r="A2791" s="2">
        <v>951384</v>
      </c>
    </row>
    <row r="2792" spans="1:1" x14ac:dyDescent="0.25">
      <c r="A2792" s="2">
        <v>951391</v>
      </c>
    </row>
    <row r="2793" spans="1:1" x14ac:dyDescent="0.25">
      <c r="A2793" s="2">
        <v>951394</v>
      </c>
    </row>
    <row r="2794" spans="1:1" x14ac:dyDescent="0.25">
      <c r="A2794" s="2">
        <v>951397</v>
      </c>
    </row>
    <row r="2795" spans="1:1" x14ac:dyDescent="0.25">
      <c r="A2795" s="2">
        <v>951446</v>
      </c>
    </row>
    <row r="2796" spans="1:1" x14ac:dyDescent="0.25">
      <c r="A2796" s="2">
        <v>951989</v>
      </c>
    </row>
    <row r="2797" spans="1:1" x14ac:dyDescent="0.25">
      <c r="A2797" s="2">
        <v>952049</v>
      </c>
    </row>
    <row r="2798" spans="1:1" x14ac:dyDescent="0.25">
      <c r="A2798" s="2">
        <v>952202</v>
      </c>
    </row>
    <row r="2799" spans="1:1" x14ac:dyDescent="0.25">
      <c r="A2799" s="2">
        <v>954119</v>
      </c>
    </row>
    <row r="2800" spans="1:1" x14ac:dyDescent="0.25">
      <c r="A2800" s="2">
        <v>954204</v>
      </c>
    </row>
    <row r="2801" spans="1:1" x14ac:dyDescent="0.25">
      <c r="A2801" s="2">
        <v>954206</v>
      </c>
    </row>
    <row r="2802" spans="1:1" x14ac:dyDescent="0.25">
      <c r="A2802" s="2">
        <v>954240</v>
      </c>
    </row>
    <row r="2803" spans="1:1" x14ac:dyDescent="0.25">
      <c r="A2803" s="2">
        <v>954266</v>
      </c>
    </row>
    <row r="2804" spans="1:1" x14ac:dyDescent="0.25">
      <c r="A2804" s="2">
        <v>954267</v>
      </c>
    </row>
    <row r="2805" spans="1:1" x14ac:dyDescent="0.25">
      <c r="A2805" s="2">
        <v>955522</v>
      </c>
    </row>
    <row r="2806" spans="1:1" x14ac:dyDescent="0.25">
      <c r="A2806" s="2">
        <v>955547</v>
      </c>
    </row>
    <row r="2807" spans="1:1" x14ac:dyDescent="0.25">
      <c r="A2807" s="2">
        <v>955573</v>
      </c>
    </row>
    <row r="2808" spans="1:1" x14ac:dyDescent="0.25">
      <c r="A2808" s="2">
        <v>955588</v>
      </c>
    </row>
    <row r="2809" spans="1:1" x14ac:dyDescent="0.25">
      <c r="A2809" s="2">
        <v>955598</v>
      </c>
    </row>
    <row r="2810" spans="1:1" x14ac:dyDescent="0.25">
      <c r="A2810" s="2">
        <v>956645</v>
      </c>
    </row>
    <row r="2811" spans="1:1" x14ac:dyDescent="0.25">
      <c r="A2811" s="2">
        <v>956910</v>
      </c>
    </row>
    <row r="2812" spans="1:1" x14ac:dyDescent="0.25">
      <c r="A2812" s="2">
        <v>957006</v>
      </c>
    </row>
    <row r="2813" spans="1:1" x14ac:dyDescent="0.25">
      <c r="A2813" s="2">
        <v>957034</v>
      </c>
    </row>
    <row r="2814" spans="1:1" x14ac:dyDescent="0.25">
      <c r="A2814" s="2">
        <v>957739</v>
      </c>
    </row>
    <row r="2815" spans="1:1" x14ac:dyDescent="0.25">
      <c r="A2815" s="2">
        <v>959683</v>
      </c>
    </row>
    <row r="2816" spans="1:1" x14ac:dyDescent="0.25">
      <c r="A2816" s="2">
        <v>959684</v>
      </c>
    </row>
    <row r="2817" spans="1:1" x14ac:dyDescent="0.25">
      <c r="A2817" s="2">
        <v>959720</v>
      </c>
    </row>
    <row r="2818" spans="1:1" x14ac:dyDescent="0.25">
      <c r="A2818" s="2">
        <v>959728</v>
      </c>
    </row>
    <row r="2819" spans="1:1" x14ac:dyDescent="0.25">
      <c r="A2819" s="2">
        <v>959749</v>
      </c>
    </row>
    <row r="2820" spans="1:1" x14ac:dyDescent="0.25">
      <c r="A2820" s="2">
        <v>959755</v>
      </c>
    </row>
    <row r="2821" spans="1:1" x14ac:dyDescent="0.25">
      <c r="A2821" s="2">
        <v>959763</v>
      </c>
    </row>
    <row r="2822" spans="1:1" x14ac:dyDescent="0.25">
      <c r="A2822" s="2">
        <v>959784</v>
      </c>
    </row>
    <row r="2823" spans="1:1" x14ac:dyDescent="0.25">
      <c r="A2823" s="2">
        <v>959793</v>
      </c>
    </row>
    <row r="2824" spans="1:1" x14ac:dyDescent="0.25">
      <c r="A2824" s="2">
        <v>959826</v>
      </c>
    </row>
    <row r="2825" spans="1:1" x14ac:dyDescent="0.25">
      <c r="A2825" s="2">
        <v>959837</v>
      </c>
    </row>
    <row r="2826" spans="1:1" x14ac:dyDescent="0.25">
      <c r="A2826" s="2">
        <v>959838</v>
      </c>
    </row>
    <row r="2827" spans="1:1" x14ac:dyDescent="0.25">
      <c r="A2827" s="2">
        <v>959897</v>
      </c>
    </row>
    <row r="2828" spans="1:1" x14ac:dyDescent="0.25">
      <c r="A2828" s="2">
        <v>960370</v>
      </c>
    </row>
    <row r="2829" spans="1:1" x14ac:dyDescent="0.25">
      <c r="A2829" s="2">
        <v>960480</v>
      </c>
    </row>
    <row r="2830" spans="1:1" x14ac:dyDescent="0.25">
      <c r="A2830" s="2">
        <v>960508</v>
      </c>
    </row>
    <row r="2831" spans="1:1" x14ac:dyDescent="0.25">
      <c r="A2831" s="2">
        <v>960514</v>
      </c>
    </row>
    <row r="2832" spans="1:1" x14ac:dyDescent="0.25">
      <c r="A2832" s="2">
        <v>960522</v>
      </c>
    </row>
    <row r="2833" spans="1:1" x14ac:dyDescent="0.25">
      <c r="A2833" s="2">
        <v>960532</v>
      </c>
    </row>
    <row r="2834" spans="1:1" x14ac:dyDescent="0.25">
      <c r="A2834" s="2">
        <v>961913</v>
      </c>
    </row>
    <row r="2835" spans="1:1" x14ac:dyDescent="0.25">
      <c r="A2835" s="2">
        <v>961931</v>
      </c>
    </row>
    <row r="2836" spans="1:1" x14ac:dyDescent="0.25">
      <c r="A2836" s="2">
        <v>965032</v>
      </c>
    </row>
    <row r="2837" spans="1:1" x14ac:dyDescent="0.25">
      <c r="A2837" s="2">
        <v>967077</v>
      </c>
    </row>
    <row r="2838" spans="1:1" x14ac:dyDescent="0.25">
      <c r="A2838" s="2">
        <v>967923</v>
      </c>
    </row>
    <row r="2839" spans="1:1" x14ac:dyDescent="0.25">
      <c r="A2839" s="2">
        <v>967970</v>
      </c>
    </row>
    <row r="2840" spans="1:1" x14ac:dyDescent="0.25">
      <c r="A2840" s="2">
        <v>969833</v>
      </c>
    </row>
    <row r="2841" spans="1:1" x14ac:dyDescent="0.25">
      <c r="A2841" s="2">
        <v>969841</v>
      </c>
    </row>
    <row r="2842" spans="1:1" x14ac:dyDescent="0.25">
      <c r="A2842" s="2">
        <v>969951</v>
      </c>
    </row>
    <row r="2843" spans="1:1" x14ac:dyDescent="0.25">
      <c r="A2843" s="2">
        <v>969952</v>
      </c>
    </row>
    <row r="2844" spans="1:1" x14ac:dyDescent="0.25">
      <c r="A2844" s="2">
        <v>969965</v>
      </c>
    </row>
    <row r="2845" spans="1:1" x14ac:dyDescent="0.25">
      <c r="A2845" s="2">
        <v>969972</v>
      </c>
    </row>
    <row r="2846" spans="1:1" x14ac:dyDescent="0.25">
      <c r="A2846" s="2">
        <v>969986</v>
      </c>
    </row>
    <row r="2847" spans="1:1" x14ac:dyDescent="0.25">
      <c r="A2847" s="2">
        <v>970013</v>
      </c>
    </row>
    <row r="2848" spans="1:1" x14ac:dyDescent="0.25">
      <c r="A2848" s="2">
        <v>970035</v>
      </c>
    </row>
    <row r="2849" spans="1:1" x14ac:dyDescent="0.25">
      <c r="A2849" s="2">
        <v>970036</v>
      </c>
    </row>
    <row r="2850" spans="1:1" x14ac:dyDescent="0.25">
      <c r="A2850" s="2">
        <v>972029</v>
      </c>
    </row>
    <row r="2851" spans="1:1" x14ac:dyDescent="0.25">
      <c r="A2851" s="2">
        <v>972160</v>
      </c>
    </row>
    <row r="2852" spans="1:1" x14ac:dyDescent="0.25">
      <c r="A2852" s="2">
        <v>972167</v>
      </c>
    </row>
    <row r="2853" spans="1:1" x14ac:dyDescent="0.25">
      <c r="A2853" s="2">
        <v>972234</v>
      </c>
    </row>
    <row r="2854" spans="1:1" x14ac:dyDescent="0.25">
      <c r="A2854" s="2">
        <v>973741</v>
      </c>
    </row>
    <row r="2855" spans="1:1" x14ac:dyDescent="0.25">
      <c r="A2855" s="2">
        <v>973790</v>
      </c>
    </row>
    <row r="2856" spans="1:1" x14ac:dyDescent="0.25">
      <c r="A2856" s="2">
        <v>974178</v>
      </c>
    </row>
    <row r="2857" spans="1:1" x14ac:dyDescent="0.25">
      <c r="A2857" s="2">
        <v>974186</v>
      </c>
    </row>
    <row r="2858" spans="1:1" x14ac:dyDescent="0.25">
      <c r="A2858" s="2">
        <v>974427</v>
      </c>
    </row>
    <row r="2859" spans="1:1" x14ac:dyDescent="0.25">
      <c r="A2859" s="2">
        <v>974613</v>
      </c>
    </row>
    <row r="2860" spans="1:1" x14ac:dyDescent="0.25">
      <c r="A2860" s="2">
        <v>974682</v>
      </c>
    </row>
    <row r="2861" spans="1:1" x14ac:dyDescent="0.25">
      <c r="A2861" s="2">
        <v>974734</v>
      </c>
    </row>
    <row r="2862" spans="1:1" x14ac:dyDescent="0.25">
      <c r="A2862" s="2">
        <v>974757</v>
      </c>
    </row>
    <row r="2863" spans="1:1" x14ac:dyDescent="0.25">
      <c r="A2863" s="2">
        <v>974792</v>
      </c>
    </row>
    <row r="2864" spans="1:1" x14ac:dyDescent="0.25">
      <c r="A2864" s="2">
        <v>974806</v>
      </c>
    </row>
    <row r="2865" spans="1:1" x14ac:dyDescent="0.25">
      <c r="A2865" s="2">
        <v>974856</v>
      </c>
    </row>
    <row r="2866" spans="1:1" x14ac:dyDescent="0.25">
      <c r="A2866" s="2">
        <v>974896</v>
      </c>
    </row>
    <row r="2867" spans="1:1" x14ac:dyDescent="0.25">
      <c r="A2867" s="2">
        <v>975050</v>
      </c>
    </row>
    <row r="2868" spans="1:1" x14ac:dyDescent="0.25">
      <c r="A2868" s="2">
        <v>975074</v>
      </c>
    </row>
    <row r="2869" spans="1:1" x14ac:dyDescent="0.25">
      <c r="A2869" s="2">
        <v>975097</v>
      </c>
    </row>
    <row r="2870" spans="1:1" x14ac:dyDescent="0.25">
      <c r="A2870" s="2">
        <v>975129</v>
      </c>
    </row>
    <row r="2871" spans="1:1" x14ac:dyDescent="0.25">
      <c r="A2871" s="2">
        <v>975259</v>
      </c>
    </row>
    <row r="2872" spans="1:1" x14ac:dyDescent="0.25">
      <c r="A2872" s="2">
        <v>975260</v>
      </c>
    </row>
    <row r="2873" spans="1:1" x14ac:dyDescent="0.25">
      <c r="A2873" s="2">
        <v>975271</v>
      </c>
    </row>
    <row r="2874" spans="1:1" x14ac:dyDescent="0.25">
      <c r="A2874" s="2">
        <v>975277</v>
      </c>
    </row>
    <row r="2875" spans="1:1" x14ac:dyDescent="0.25">
      <c r="A2875" s="2">
        <v>975290</v>
      </c>
    </row>
    <row r="2876" spans="1:1" x14ac:dyDescent="0.25">
      <c r="A2876" s="2">
        <v>975318</v>
      </c>
    </row>
    <row r="2877" spans="1:1" x14ac:dyDescent="0.25">
      <c r="A2877" s="2">
        <v>975338</v>
      </c>
    </row>
    <row r="2878" spans="1:1" x14ac:dyDescent="0.25">
      <c r="A2878" s="2">
        <v>975404</v>
      </c>
    </row>
    <row r="2879" spans="1:1" x14ac:dyDescent="0.25">
      <c r="A2879" s="2">
        <v>975434</v>
      </c>
    </row>
    <row r="2880" spans="1:1" x14ac:dyDescent="0.25">
      <c r="A2880" s="2">
        <v>975586</v>
      </c>
    </row>
    <row r="2881" spans="1:1" x14ac:dyDescent="0.25">
      <c r="A2881" s="2">
        <v>975600</v>
      </c>
    </row>
    <row r="2882" spans="1:1" x14ac:dyDescent="0.25">
      <c r="A2882" s="2">
        <v>975604</v>
      </c>
    </row>
    <row r="2883" spans="1:1" x14ac:dyDescent="0.25">
      <c r="A2883" s="2">
        <v>975612</v>
      </c>
    </row>
    <row r="2884" spans="1:1" x14ac:dyDescent="0.25">
      <c r="A2884" s="2">
        <v>975624</v>
      </c>
    </row>
    <row r="2885" spans="1:1" x14ac:dyDescent="0.25">
      <c r="A2885" s="2">
        <v>975765</v>
      </c>
    </row>
    <row r="2886" spans="1:1" x14ac:dyDescent="0.25">
      <c r="A2886" s="2">
        <v>975964</v>
      </c>
    </row>
    <row r="2887" spans="1:1" x14ac:dyDescent="0.25">
      <c r="A2887" s="2">
        <v>978654</v>
      </c>
    </row>
    <row r="2888" spans="1:1" x14ac:dyDescent="0.25">
      <c r="A2888" s="2">
        <v>978711</v>
      </c>
    </row>
    <row r="2889" spans="1:1" x14ac:dyDescent="0.25">
      <c r="A2889" s="2">
        <v>978729</v>
      </c>
    </row>
    <row r="2890" spans="1:1" x14ac:dyDescent="0.25">
      <c r="A2890" s="2">
        <v>978776</v>
      </c>
    </row>
    <row r="2891" spans="1:1" x14ac:dyDescent="0.25">
      <c r="A2891" s="2">
        <v>978900</v>
      </c>
    </row>
    <row r="2892" spans="1:1" x14ac:dyDescent="0.25">
      <c r="A2892" s="2">
        <v>978910</v>
      </c>
    </row>
    <row r="2893" spans="1:1" x14ac:dyDescent="0.25">
      <c r="A2893" s="2">
        <v>978917</v>
      </c>
    </row>
    <row r="2894" spans="1:1" x14ac:dyDescent="0.25">
      <c r="A2894" s="2">
        <v>978925</v>
      </c>
    </row>
    <row r="2895" spans="1:1" x14ac:dyDescent="0.25">
      <c r="A2895" s="2">
        <v>978940</v>
      </c>
    </row>
    <row r="2896" spans="1:1" x14ac:dyDescent="0.25">
      <c r="A2896" s="2">
        <v>978944</v>
      </c>
    </row>
    <row r="2897" spans="1:1" x14ac:dyDescent="0.25">
      <c r="A2897" s="2">
        <v>978960</v>
      </c>
    </row>
    <row r="2898" spans="1:1" x14ac:dyDescent="0.25">
      <c r="A2898" s="2">
        <v>978966</v>
      </c>
    </row>
    <row r="2899" spans="1:1" x14ac:dyDescent="0.25">
      <c r="A2899" s="2">
        <v>978982</v>
      </c>
    </row>
    <row r="2900" spans="1:1" x14ac:dyDescent="0.25">
      <c r="A2900" s="2">
        <v>978989</v>
      </c>
    </row>
    <row r="2901" spans="1:1" x14ac:dyDescent="0.25">
      <c r="A2901" s="2">
        <v>979004</v>
      </c>
    </row>
    <row r="2902" spans="1:1" x14ac:dyDescent="0.25">
      <c r="A2902" s="2">
        <v>979009</v>
      </c>
    </row>
    <row r="2903" spans="1:1" x14ac:dyDescent="0.25">
      <c r="A2903" s="2">
        <v>979025</v>
      </c>
    </row>
    <row r="2904" spans="1:1" x14ac:dyDescent="0.25">
      <c r="A2904" s="2">
        <v>979032</v>
      </c>
    </row>
    <row r="2905" spans="1:1" x14ac:dyDescent="0.25">
      <c r="A2905" s="2">
        <v>979042</v>
      </c>
    </row>
    <row r="2906" spans="1:1" x14ac:dyDescent="0.25">
      <c r="A2906" s="2">
        <v>979051</v>
      </c>
    </row>
    <row r="2907" spans="1:1" x14ac:dyDescent="0.25">
      <c r="A2907" s="2">
        <v>979079</v>
      </c>
    </row>
    <row r="2908" spans="1:1" x14ac:dyDescent="0.25">
      <c r="A2908" s="2">
        <v>979086</v>
      </c>
    </row>
    <row r="2909" spans="1:1" x14ac:dyDescent="0.25">
      <c r="A2909" s="2">
        <v>979107</v>
      </c>
    </row>
    <row r="2910" spans="1:1" x14ac:dyDescent="0.25">
      <c r="A2910" s="2">
        <v>979116</v>
      </c>
    </row>
    <row r="2911" spans="1:1" x14ac:dyDescent="0.25">
      <c r="A2911" s="2">
        <v>979158</v>
      </c>
    </row>
    <row r="2912" spans="1:1" x14ac:dyDescent="0.25">
      <c r="A2912" s="2">
        <v>979167</v>
      </c>
    </row>
    <row r="2913" spans="1:1" x14ac:dyDescent="0.25">
      <c r="A2913" s="2">
        <v>979185</v>
      </c>
    </row>
    <row r="2914" spans="1:1" x14ac:dyDescent="0.25">
      <c r="A2914" s="2">
        <v>979194</v>
      </c>
    </row>
    <row r="2915" spans="1:1" x14ac:dyDescent="0.25">
      <c r="A2915" s="2">
        <v>979213</v>
      </c>
    </row>
    <row r="2916" spans="1:1" x14ac:dyDescent="0.25">
      <c r="A2916" s="2">
        <v>979223</v>
      </c>
    </row>
    <row r="2917" spans="1:1" x14ac:dyDescent="0.25">
      <c r="A2917" s="2">
        <v>979240</v>
      </c>
    </row>
    <row r="2918" spans="1:1" x14ac:dyDescent="0.25">
      <c r="A2918" s="2">
        <v>979244</v>
      </c>
    </row>
    <row r="2919" spans="1:1" x14ac:dyDescent="0.25">
      <c r="A2919" s="2">
        <v>979256</v>
      </c>
    </row>
    <row r="2920" spans="1:1" x14ac:dyDescent="0.25">
      <c r="A2920" s="2">
        <v>979263</v>
      </c>
    </row>
    <row r="2921" spans="1:1" x14ac:dyDescent="0.25">
      <c r="A2921" s="2">
        <v>979285</v>
      </c>
    </row>
    <row r="2922" spans="1:1" x14ac:dyDescent="0.25">
      <c r="A2922" s="2">
        <v>979334</v>
      </c>
    </row>
    <row r="2923" spans="1:1" x14ac:dyDescent="0.25">
      <c r="A2923" s="2">
        <v>979343</v>
      </c>
    </row>
    <row r="2924" spans="1:1" x14ac:dyDescent="0.25">
      <c r="A2924" s="2">
        <v>980688</v>
      </c>
    </row>
    <row r="2925" spans="1:1" x14ac:dyDescent="0.25">
      <c r="A2925" s="2">
        <v>980846</v>
      </c>
    </row>
    <row r="2926" spans="1:1" x14ac:dyDescent="0.25">
      <c r="A2926" s="2">
        <v>980994</v>
      </c>
    </row>
    <row r="2927" spans="1:1" x14ac:dyDescent="0.25">
      <c r="A2927" s="2">
        <v>981021</v>
      </c>
    </row>
    <row r="2928" spans="1:1" x14ac:dyDescent="0.25">
      <c r="A2928" s="2">
        <v>981042</v>
      </c>
    </row>
    <row r="2929" spans="1:1" x14ac:dyDescent="0.25">
      <c r="A2929" s="2">
        <v>981050</v>
      </c>
    </row>
    <row r="2930" spans="1:1" x14ac:dyDescent="0.25">
      <c r="A2930" s="2">
        <v>981072</v>
      </c>
    </row>
    <row r="2931" spans="1:1" x14ac:dyDescent="0.25">
      <c r="A2931" s="2">
        <v>981094</v>
      </c>
    </row>
    <row r="2932" spans="1:1" x14ac:dyDescent="0.25">
      <c r="A2932" s="2">
        <v>981107</v>
      </c>
    </row>
    <row r="2933" spans="1:1" x14ac:dyDescent="0.25">
      <c r="A2933" s="2">
        <v>981280</v>
      </c>
    </row>
    <row r="2934" spans="1:1" x14ac:dyDescent="0.25">
      <c r="A2934" s="2">
        <v>981995</v>
      </c>
    </row>
    <row r="2935" spans="1:1" x14ac:dyDescent="0.25">
      <c r="A2935" s="2">
        <v>982136</v>
      </c>
    </row>
    <row r="2936" spans="1:1" x14ac:dyDescent="0.25">
      <c r="A2936" s="2">
        <v>982150</v>
      </c>
    </row>
    <row r="2937" spans="1:1" x14ac:dyDescent="0.25">
      <c r="A2937" s="2">
        <v>982247</v>
      </c>
    </row>
    <row r="2938" spans="1:1" x14ac:dyDescent="0.25">
      <c r="A2938" s="2">
        <v>982265</v>
      </c>
    </row>
    <row r="2939" spans="1:1" x14ac:dyDescent="0.25">
      <c r="A2939" s="2">
        <v>982276</v>
      </c>
    </row>
    <row r="2940" spans="1:1" x14ac:dyDescent="0.25">
      <c r="A2940" s="2">
        <v>982297</v>
      </c>
    </row>
    <row r="2941" spans="1:1" x14ac:dyDescent="0.25">
      <c r="A2941" s="2">
        <v>982313</v>
      </c>
    </row>
    <row r="2942" spans="1:1" x14ac:dyDescent="0.25">
      <c r="A2942" s="2">
        <v>982335</v>
      </c>
    </row>
    <row r="2943" spans="1:1" x14ac:dyDescent="0.25">
      <c r="A2943" s="2">
        <v>982469</v>
      </c>
    </row>
    <row r="2944" spans="1:1" x14ac:dyDescent="0.25">
      <c r="A2944" s="2">
        <v>982684</v>
      </c>
    </row>
    <row r="2945" spans="1:1" x14ac:dyDescent="0.25">
      <c r="A2945" s="2">
        <v>982690</v>
      </c>
    </row>
    <row r="2946" spans="1:1" x14ac:dyDescent="0.25">
      <c r="A2946" s="2">
        <v>982718</v>
      </c>
    </row>
    <row r="2947" spans="1:1" x14ac:dyDescent="0.25">
      <c r="A2947" s="2">
        <v>982778</v>
      </c>
    </row>
    <row r="2948" spans="1:1" x14ac:dyDescent="0.25">
      <c r="A2948" s="2">
        <v>982868</v>
      </c>
    </row>
    <row r="2949" spans="1:1" x14ac:dyDescent="0.25">
      <c r="A2949" s="2">
        <v>982902</v>
      </c>
    </row>
    <row r="2950" spans="1:1" x14ac:dyDescent="0.25">
      <c r="A2950" s="2">
        <v>982945</v>
      </c>
    </row>
    <row r="2951" spans="1:1" x14ac:dyDescent="0.25">
      <c r="A2951" s="2">
        <v>982946</v>
      </c>
    </row>
    <row r="2952" spans="1:1" x14ac:dyDescent="0.25">
      <c r="A2952" s="2">
        <v>982959</v>
      </c>
    </row>
    <row r="2953" spans="1:1" x14ac:dyDescent="0.25">
      <c r="A2953" s="2">
        <v>982982</v>
      </c>
    </row>
    <row r="2954" spans="1:1" x14ac:dyDescent="0.25">
      <c r="A2954" s="2">
        <v>982999</v>
      </c>
    </row>
    <row r="2955" spans="1:1" x14ac:dyDescent="0.25">
      <c r="A2955" s="2">
        <v>983026</v>
      </c>
    </row>
    <row r="2956" spans="1:1" x14ac:dyDescent="0.25">
      <c r="A2956" s="2">
        <v>983044</v>
      </c>
    </row>
    <row r="2957" spans="1:1" x14ac:dyDescent="0.25">
      <c r="A2957" s="2">
        <v>983068</v>
      </c>
    </row>
    <row r="2958" spans="1:1" x14ac:dyDescent="0.25">
      <c r="A2958" s="2">
        <v>983113</v>
      </c>
    </row>
    <row r="2959" spans="1:1" x14ac:dyDescent="0.25">
      <c r="A2959" s="2">
        <v>983121</v>
      </c>
    </row>
    <row r="2960" spans="1:1" x14ac:dyDescent="0.25">
      <c r="A2960" s="2">
        <v>983138</v>
      </c>
    </row>
    <row r="2961" spans="1:1" x14ac:dyDescent="0.25">
      <c r="A2961" s="2">
        <v>983147</v>
      </c>
    </row>
    <row r="2962" spans="1:1" x14ac:dyDescent="0.25">
      <c r="A2962" s="2">
        <v>983161</v>
      </c>
    </row>
    <row r="2963" spans="1:1" x14ac:dyDescent="0.25">
      <c r="A2963" s="2">
        <v>983309</v>
      </c>
    </row>
    <row r="2964" spans="1:1" x14ac:dyDescent="0.25">
      <c r="A2964" s="2">
        <v>984889</v>
      </c>
    </row>
    <row r="2965" spans="1:1" x14ac:dyDescent="0.25">
      <c r="A2965" s="2">
        <v>984897</v>
      </c>
    </row>
    <row r="2966" spans="1:1" x14ac:dyDescent="0.25">
      <c r="A2966" s="2">
        <v>989213</v>
      </c>
    </row>
    <row r="2967" spans="1:1" x14ac:dyDescent="0.25">
      <c r="A2967" s="2">
        <v>990173</v>
      </c>
    </row>
    <row r="2968" spans="1:1" x14ac:dyDescent="0.25">
      <c r="A2968" s="2">
        <v>990330</v>
      </c>
    </row>
    <row r="2969" spans="1:1" x14ac:dyDescent="0.25">
      <c r="A2969" s="2">
        <v>990343</v>
      </c>
    </row>
    <row r="2970" spans="1:1" x14ac:dyDescent="0.25">
      <c r="A2970" s="2">
        <v>990374</v>
      </c>
    </row>
    <row r="2971" spans="1:1" x14ac:dyDescent="0.25">
      <c r="A2971" s="2">
        <v>990410</v>
      </c>
    </row>
    <row r="2972" spans="1:1" x14ac:dyDescent="0.25">
      <c r="A2972" s="2">
        <v>990511</v>
      </c>
    </row>
    <row r="2973" spans="1:1" x14ac:dyDescent="0.25">
      <c r="A2973" s="2">
        <v>990517</v>
      </c>
    </row>
    <row r="2974" spans="1:1" x14ac:dyDescent="0.25">
      <c r="A2974" s="2">
        <v>991174</v>
      </c>
    </row>
    <row r="2975" spans="1:1" x14ac:dyDescent="0.25">
      <c r="A2975" s="2">
        <v>1000179</v>
      </c>
    </row>
    <row r="2976" spans="1:1" x14ac:dyDescent="0.25">
      <c r="A2976" s="2">
        <v>1000215</v>
      </c>
    </row>
    <row r="2977" spans="1:1" x14ac:dyDescent="0.25">
      <c r="A2977" s="2">
        <v>1005467</v>
      </c>
    </row>
    <row r="2978" spans="1:1" x14ac:dyDescent="0.25">
      <c r="A2978" s="2">
        <v>1005475</v>
      </c>
    </row>
    <row r="2979" spans="1:1" x14ac:dyDescent="0.25">
      <c r="A2979" s="2">
        <v>1005498</v>
      </c>
    </row>
    <row r="2980" spans="1:1" x14ac:dyDescent="0.25">
      <c r="A2980" s="2">
        <v>1005504</v>
      </c>
    </row>
    <row r="2981" spans="1:1" x14ac:dyDescent="0.25">
      <c r="A2981" s="2">
        <v>1005585</v>
      </c>
    </row>
    <row r="2982" spans="1:1" x14ac:dyDescent="0.25">
      <c r="A2982" s="2">
        <v>1006350</v>
      </c>
    </row>
    <row r="2983" spans="1:1" x14ac:dyDescent="0.25">
      <c r="A2983" s="2">
        <v>1006359</v>
      </c>
    </row>
    <row r="2984" spans="1:1" x14ac:dyDescent="0.25">
      <c r="A2984" s="2">
        <v>1006457</v>
      </c>
    </row>
    <row r="2985" spans="1:1" x14ac:dyDescent="0.25">
      <c r="A2985" s="2">
        <v>1006461</v>
      </c>
    </row>
    <row r="2986" spans="1:1" x14ac:dyDescent="0.25">
      <c r="A2986" s="2">
        <v>1006470</v>
      </c>
    </row>
    <row r="2987" spans="1:1" x14ac:dyDescent="0.25">
      <c r="A2987" s="2">
        <v>1006555</v>
      </c>
    </row>
    <row r="2988" spans="1:1" x14ac:dyDescent="0.25">
      <c r="A2988" s="2">
        <v>1006563</v>
      </c>
    </row>
    <row r="2989" spans="1:1" x14ac:dyDescent="0.25">
      <c r="A2989" s="2">
        <v>1008753</v>
      </c>
    </row>
    <row r="2990" spans="1:1" x14ac:dyDescent="0.25">
      <c r="A2990" s="2">
        <v>1009265</v>
      </c>
    </row>
    <row r="2991" spans="1:1" x14ac:dyDescent="0.25">
      <c r="A2991" s="2">
        <v>1009283</v>
      </c>
    </row>
    <row r="2992" spans="1:1" x14ac:dyDescent="0.25">
      <c r="A2992" s="2">
        <v>1009290</v>
      </c>
    </row>
    <row r="2993" spans="1:1" x14ac:dyDescent="0.25">
      <c r="A2993" s="2">
        <v>1009482</v>
      </c>
    </row>
    <row r="2994" spans="1:1" x14ac:dyDescent="0.25">
      <c r="A2994" s="2">
        <v>1009509</v>
      </c>
    </row>
    <row r="2995" spans="1:1" x14ac:dyDescent="0.25">
      <c r="A2995" s="2">
        <v>1009522</v>
      </c>
    </row>
    <row r="2996" spans="1:1" x14ac:dyDescent="0.25">
      <c r="A2996" s="2">
        <v>1009585</v>
      </c>
    </row>
    <row r="2997" spans="1:1" x14ac:dyDescent="0.25">
      <c r="A2997" s="2">
        <v>1009592</v>
      </c>
    </row>
    <row r="2998" spans="1:1" x14ac:dyDescent="0.25">
      <c r="A2998" s="2">
        <v>1010517</v>
      </c>
    </row>
    <row r="2999" spans="1:1" x14ac:dyDescent="0.25">
      <c r="A2999" s="2">
        <v>1010518</v>
      </c>
    </row>
    <row r="3000" spans="1:1" x14ac:dyDescent="0.25">
      <c r="A3000" s="2">
        <v>1010533</v>
      </c>
    </row>
    <row r="3001" spans="1:1" x14ac:dyDescent="0.25">
      <c r="A3001" s="2">
        <v>1010588</v>
      </c>
    </row>
    <row r="3002" spans="1:1" x14ac:dyDescent="0.25">
      <c r="A3002" s="2">
        <v>1010589</v>
      </c>
    </row>
    <row r="3003" spans="1:1" x14ac:dyDescent="0.25">
      <c r="A3003" s="2">
        <v>1010605</v>
      </c>
    </row>
    <row r="3004" spans="1:1" x14ac:dyDescent="0.25">
      <c r="A3004" s="2">
        <v>1010615</v>
      </c>
    </row>
    <row r="3005" spans="1:1" x14ac:dyDescent="0.25">
      <c r="A3005" s="2">
        <v>1010628</v>
      </c>
    </row>
    <row r="3006" spans="1:1" x14ac:dyDescent="0.25">
      <c r="A3006" s="2">
        <v>1010664</v>
      </c>
    </row>
    <row r="3007" spans="1:1" x14ac:dyDescent="0.25">
      <c r="A3007" s="2">
        <v>1010689</v>
      </c>
    </row>
    <row r="3008" spans="1:1" x14ac:dyDescent="0.25">
      <c r="A3008" s="2">
        <v>1010704</v>
      </c>
    </row>
    <row r="3009" spans="1:1" x14ac:dyDescent="0.25">
      <c r="A3009" s="2">
        <v>1010761</v>
      </c>
    </row>
    <row r="3010" spans="1:1" x14ac:dyDescent="0.25">
      <c r="A3010" s="2">
        <v>1011342</v>
      </c>
    </row>
    <row r="3011" spans="1:1" x14ac:dyDescent="0.25">
      <c r="A3011" s="2">
        <v>1011677</v>
      </c>
    </row>
    <row r="3012" spans="1:1" x14ac:dyDescent="0.25">
      <c r="A3012" s="2">
        <v>1011683</v>
      </c>
    </row>
    <row r="3013" spans="1:1" x14ac:dyDescent="0.25">
      <c r="A3013" s="2">
        <v>1011746</v>
      </c>
    </row>
    <row r="3014" spans="1:1" x14ac:dyDescent="0.25">
      <c r="A3014" s="2">
        <v>1011753</v>
      </c>
    </row>
    <row r="3015" spans="1:1" x14ac:dyDescent="0.25">
      <c r="A3015" s="2">
        <v>1011782</v>
      </c>
    </row>
    <row r="3016" spans="1:1" x14ac:dyDescent="0.25">
      <c r="A3016" s="2">
        <v>1011802</v>
      </c>
    </row>
    <row r="3017" spans="1:1" x14ac:dyDescent="0.25">
      <c r="A3017" s="2">
        <v>1011830</v>
      </c>
    </row>
    <row r="3018" spans="1:1" x14ac:dyDescent="0.25">
      <c r="A3018" s="2">
        <v>1011864</v>
      </c>
    </row>
    <row r="3019" spans="1:1" x14ac:dyDescent="0.25">
      <c r="A3019" s="2">
        <v>1011872</v>
      </c>
    </row>
    <row r="3020" spans="1:1" x14ac:dyDescent="0.25">
      <c r="A3020" s="2">
        <v>1011880</v>
      </c>
    </row>
    <row r="3021" spans="1:1" x14ac:dyDescent="0.25">
      <c r="A3021" s="2">
        <v>1011881</v>
      </c>
    </row>
    <row r="3022" spans="1:1" x14ac:dyDescent="0.25">
      <c r="A3022" s="2">
        <v>1011888</v>
      </c>
    </row>
    <row r="3023" spans="1:1" x14ac:dyDescent="0.25">
      <c r="A3023" s="2">
        <v>1012112</v>
      </c>
    </row>
    <row r="3024" spans="1:1" x14ac:dyDescent="0.25">
      <c r="A3024" s="2">
        <v>1012119</v>
      </c>
    </row>
    <row r="3025" spans="1:1" x14ac:dyDescent="0.25">
      <c r="A3025" s="2">
        <v>1012182</v>
      </c>
    </row>
    <row r="3026" spans="1:1" x14ac:dyDescent="0.25">
      <c r="A3026" s="2">
        <v>1012188</v>
      </c>
    </row>
    <row r="3027" spans="1:1" x14ac:dyDescent="0.25">
      <c r="A3027" s="2">
        <v>1012209</v>
      </c>
    </row>
    <row r="3028" spans="1:1" x14ac:dyDescent="0.25">
      <c r="A3028" s="2">
        <v>1012229</v>
      </c>
    </row>
    <row r="3029" spans="1:1" x14ac:dyDescent="0.25">
      <c r="A3029" s="2">
        <v>1012251</v>
      </c>
    </row>
    <row r="3030" spans="1:1" x14ac:dyDescent="0.25">
      <c r="A3030" s="2">
        <v>1012269</v>
      </c>
    </row>
    <row r="3031" spans="1:1" x14ac:dyDescent="0.25">
      <c r="A3031" s="2">
        <v>1012284</v>
      </c>
    </row>
    <row r="3032" spans="1:1" x14ac:dyDescent="0.25">
      <c r="A3032" s="2">
        <v>1012303</v>
      </c>
    </row>
    <row r="3033" spans="1:1" x14ac:dyDescent="0.25">
      <c r="A3033" s="2">
        <v>1012328</v>
      </c>
    </row>
    <row r="3034" spans="1:1" x14ac:dyDescent="0.25">
      <c r="A3034" s="2">
        <v>1012342</v>
      </c>
    </row>
    <row r="3035" spans="1:1" x14ac:dyDescent="0.25">
      <c r="A3035" s="2">
        <v>1012360</v>
      </c>
    </row>
    <row r="3036" spans="1:1" x14ac:dyDescent="0.25">
      <c r="A3036" s="2">
        <v>1012412</v>
      </c>
    </row>
    <row r="3037" spans="1:1" x14ac:dyDescent="0.25">
      <c r="A3037" s="2">
        <v>1012426</v>
      </c>
    </row>
    <row r="3038" spans="1:1" x14ac:dyDescent="0.25">
      <c r="A3038" s="2">
        <v>1012457</v>
      </c>
    </row>
    <row r="3039" spans="1:1" x14ac:dyDescent="0.25">
      <c r="A3039" s="2">
        <v>1012469</v>
      </c>
    </row>
    <row r="3040" spans="1:1" x14ac:dyDescent="0.25">
      <c r="A3040" s="2">
        <v>1012611</v>
      </c>
    </row>
    <row r="3041" spans="1:1" x14ac:dyDescent="0.25">
      <c r="A3041" s="2">
        <v>1012617</v>
      </c>
    </row>
    <row r="3042" spans="1:1" x14ac:dyDescent="0.25">
      <c r="A3042" s="2">
        <v>1012673</v>
      </c>
    </row>
    <row r="3043" spans="1:1" x14ac:dyDescent="0.25">
      <c r="A3043" s="2">
        <v>1012680</v>
      </c>
    </row>
    <row r="3044" spans="1:1" x14ac:dyDescent="0.25">
      <c r="A3044" s="2">
        <v>1012732</v>
      </c>
    </row>
    <row r="3045" spans="1:1" x14ac:dyDescent="0.25">
      <c r="A3045" s="2">
        <v>1012738</v>
      </c>
    </row>
    <row r="3046" spans="1:1" x14ac:dyDescent="0.25">
      <c r="A3046" s="2">
        <v>1012835</v>
      </c>
    </row>
    <row r="3047" spans="1:1" x14ac:dyDescent="0.25">
      <c r="A3047" s="2">
        <v>1013582</v>
      </c>
    </row>
    <row r="3048" spans="1:1" x14ac:dyDescent="0.25">
      <c r="A3048" s="2">
        <v>1013609</v>
      </c>
    </row>
    <row r="3049" spans="1:1" x14ac:dyDescent="0.25">
      <c r="A3049" s="2">
        <v>1013623</v>
      </c>
    </row>
    <row r="3050" spans="1:1" x14ac:dyDescent="0.25">
      <c r="A3050" s="2">
        <v>1014439</v>
      </c>
    </row>
    <row r="3051" spans="1:1" x14ac:dyDescent="0.25">
      <c r="A3051" s="2">
        <v>1014512</v>
      </c>
    </row>
    <row r="3052" spans="1:1" x14ac:dyDescent="0.25">
      <c r="A3052" s="2">
        <v>1014519</v>
      </c>
    </row>
    <row r="3053" spans="1:1" x14ac:dyDescent="0.25">
      <c r="A3053" s="2">
        <v>1014554</v>
      </c>
    </row>
    <row r="3054" spans="1:1" x14ac:dyDescent="0.25">
      <c r="A3054" s="2">
        <v>1014768</v>
      </c>
    </row>
    <row r="3055" spans="1:1" x14ac:dyDescent="0.25">
      <c r="A3055" s="2">
        <v>1014784</v>
      </c>
    </row>
    <row r="3056" spans="1:1" x14ac:dyDescent="0.25">
      <c r="A3056" s="2">
        <v>1014792</v>
      </c>
    </row>
    <row r="3057" spans="1:1" x14ac:dyDescent="0.25">
      <c r="A3057" s="2">
        <v>1014808</v>
      </c>
    </row>
    <row r="3058" spans="1:1" x14ac:dyDescent="0.25">
      <c r="A3058" s="2">
        <v>1014838</v>
      </c>
    </row>
    <row r="3059" spans="1:1" x14ac:dyDescent="0.25">
      <c r="A3059" s="2">
        <v>1014847</v>
      </c>
    </row>
    <row r="3060" spans="1:1" x14ac:dyDescent="0.25">
      <c r="A3060" s="2">
        <v>1014856</v>
      </c>
    </row>
    <row r="3061" spans="1:1" x14ac:dyDescent="0.25">
      <c r="A3061" s="2">
        <v>1014871</v>
      </c>
    </row>
    <row r="3062" spans="1:1" x14ac:dyDescent="0.25">
      <c r="A3062" s="2">
        <v>1014903</v>
      </c>
    </row>
    <row r="3063" spans="1:1" x14ac:dyDescent="0.25">
      <c r="A3063" s="2">
        <v>1014922</v>
      </c>
    </row>
    <row r="3064" spans="1:1" x14ac:dyDescent="0.25">
      <c r="A3064" s="2">
        <v>1014951</v>
      </c>
    </row>
    <row r="3065" spans="1:1" x14ac:dyDescent="0.25">
      <c r="A3065" s="2">
        <v>1014952</v>
      </c>
    </row>
    <row r="3066" spans="1:1" x14ac:dyDescent="0.25">
      <c r="A3066" s="2">
        <v>1014967</v>
      </c>
    </row>
    <row r="3067" spans="1:1" x14ac:dyDescent="0.25">
      <c r="A3067" s="2">
        <v>1015021</v>
      </c>
    </row>
    <row r="3068" spans="1:1" x14ac:dyDescent="0.25">
      <c r="A3068" s="2">
        <v>1015538</v>
      </c>
    </row>
    <row r="3069" spans="1:1" x14ac:dyDescent="0.25">
      <c r="A3069" s="2">
        <v>1015574</v>
      </c>
    </row>
    <row r="3070" spans="1:1" x14ac:dyDescent="0.25">
      <c r="A3070" s="2">
        <v>1016487</v>
      </c>
    </row>
    <row r="3071" spans="1:1" x14ac:dyDescent="0.25">
      <c r="A3071" s="2">
        <v>1016494</v>
      </c>
    </row>
    <row r="3072" spans="1:1" x14ac:dyDescent="0.25">
      <c r="A3072" s="2">
        <v>1016544</v>
      </c>
    </row>
    <row r="3073" spans="1:1" x14ac:dyDescent="0.25">
      <c r="A3073" s="2">
        <v>1016548</v>
      </c>
    </row>
    <row r="3074" spans="1:1" x14ac:dyDescent="0.25">
      <c r="A3074" s="2">
        <v>1016827</v>
      </c>
    </row>
    <row r="3075" spans="1:1" x14ac:dyDescent="0.25">
      <c r="A3075" s="2">
        <v>1016866</v>
      </c>
    </row>
    <row r="3076" spans="1:1" x14ac:dyDescent="0.25">
      <c r="A3076" s="2">
        <v>1016873</v>
      </c>
    </row>
    <row r="3077" spans="1:1" x14ac:dyDescent="0.25">
      <c r="A3077" s="2">
        <v>1016906</v>
      </c>
    </row>
    <row r="3078" spans="1:1" x14ac:dyDescent="0.25">
      <c r="A3078" s="2">
        <v>1016951</v>
      </c>
    </row>
    <row r="3079" spans="1:1" x14ac:dyDescent="0.25">
      <c r="A3079" s="2">
        <v>1016957</v>
      </c>
    </row>
    <row r="3080" spans="1:1" x14ac:dyDescent="0.25">
      <c r="A3080" s="2">
        <v>1016986</v>
      </c>
    </row>
    <row r="3081" spans="1:1" x14ac:dyDescent="0.25">
      <c r="A3081" s="2">
        <v>1016991</v>
      </c>
    </row>
    <row r="3082" spans="1:1" x14ac:dyDescent="0.25">
      <c r="A3082" s="2">
        <v>1017172</v>
      </c>
    </row>
    <row r="3083" spans="1:1" x14ac:dyDescent="0.25">
      <c r="A3083" s="2">
        <v>1017217</v>
      </c>
    </row>
    <row r="3084" spans="1:1" x14ac:dyDescent="0.25">
      <c r="A3084" s="2">
        <v>1017224</v>
      </c>
    </row>
    <row r="3085" spans="1:1" x14ac:dyDescent="0.25">
      <c r="A3085" s="2">
        <v>1017229</v>
      </c>
    </row>
    <row r="3086" spans="1:1" x14ac:dyDescent="0.25">
      <c r="A3086" s="2">
        <v>1017232</v>
      </c>
    </row>
    <row r="3087" spans="1:1" x14ac:dyDescent="0.25">
      <c r="A3087" s="2">
        <v>1017272</v>
      </c>
    </row>
    <row r="3088" spans="1:1" x14ac:dyDescent="0.25">
      <c r="A3088" s="2">
        <v>1017276</v>
      </c>
    </row>
    <row r="3089" spans="1:1" x14ac:dyDescent="0.25">
      <c r="A3089" s="2">
        <v>1017306</v>
      </c>
    </row>
    <row r="3090" spans="1:1" x14ac:dyDescent="0.25">
      <c r="A3090" s="2">
        <v>1017346</v>
      </c>
    </row>
    <row r="3091" spans="1:1" x14ac:dyDescent="0.25">
      <c r="A3091" s="2">
        <v>1017353</v>
      </c>
    </row>
    <row r="3092" spans="1:1" x14ac:dyDescent="0.25">
      <c r="A3092" s="2">
        <v>1017380</v>
      </c>
    </row>
    <row r="3093" spans="1:1" x14ac:dyDescent="0.25">
      <c r="A3093" s="2">
        <v>1017485</v>
      </c>
    </row>
    <row r="3094" spans="1:1" x14ac:dyDescent="0.25">
      <c r="A3094" s="2">
        <v>1017650</v>
      </c>
    </row>
    <row r="3095" spans="1:1" x14ac:dyDescent="0.25">
      <c r="A3095" s="2">
        <v>1017764</v>
      </c>
    </row>
    <row r="3096" spans="1:1" x14ac:dyDescent="0.25">
      <c r="A3096" s="2">
        <v>1024104</v>
      </c>
    </row>
    <row r="3097" spans="1:1" x14ac:dyDescent="0.25">
      <c r="A3097" s="2">
        <v>1025102</v>
      </c>
    </row>
    <row r="3098" spans="1:1" x14ac:dyDescent="0.25">
      <c r="A3098" s="2">
        <v>1025129</v>
      </c>
    </row>
    <row r="3099" spans="1:1" x14ac:dyDescent="0.25">
      <c r="A3099" s="2">
        <v>1025182</v>
      </c>
    </row>
    <row r="3100" spans="1:1" x14ac:dyDescent="0.25">
      <c r="A3100" s="2">
        <v>1025265</v>
      </c>
    </row>
    <row r="3101" spans="1:1" x14ac:dyDescent="0.25">
      <c r="A3101" s="2">
        <v>1025282</v>
      </c>
    </row>
    <row r="3102" spans="1:1" x14ac:dyDescent="0.25">
      <c r="A3102" s="2">
        <v>1025294</v>
      </c>
    </row>
    <row r="3103" spans="1:1" x14ac:dyDescent="0.25">
      <c r="A3103" s="2">
        <v>1025295</v>
      </c>
    </row>
    <row r="3104" spans="1:1" x14ac:dyDescent="0.25">
      <c r="A3104" s="2">
        <v>1025340</v>
      </c>
    </row>
    <row r="3105" spans="1:1" x14ac:dyDescent="0.25">
      <c r="A3105" s="2">
        <v>1025385</v>
      </c>
    </row>
    <row r="3106" spans="1:1" x14ac:dyDescent="0.25">
      <c r="A3106" s="2">
        <v>1025434</v>
      </c>
    </row>
    <row r="3107" spans="1:1" x14ac:dyDescent="0.25">
      <c r="A3107" s="2">
        <v>1025460</v>
      </c>
    </row>
    <row r="3108" spans="1:1" x14ac:dyDescent="0.25">
      <c r="A3108" s="2">
        <v>1025518</v>
      </c>
    </row>
    <row r="3109" spans="1:1" x14ac:dyDescent="0.25">
      <c r="A3109" s="2">
        <v>1027717</v>
      </c>
    </row>
    <row r="3110" spans="1:1" x14ac:dyDescent="0.25">
      <c r="A3110" s="2">
        <v>1032535</v>
      </c>
    </row>
    <row r="3111" spans="1:1" x14ac:dyDescent="0.25">
      <c r="A3111" s="2">
        <v>1032542</v>
      </c>
    </row>
    <row r="3112" spans="1:1" x14ac:dyDescent="0.25">
      <c r="A3112" s="2">
        <v>1034617</v>
      </c>
    </row>
    <row r="3113" spans="1:1" x14ac:dyDescent="0.25">
      <c r="A3113" s="2">
        <v>1034625</v>
      </c>
    </row>
    <row r="3114" spans="1:1" x14ac:dyDescent="0.25">
      <c r="A3114" s="2">
        <v>1034671</v>
      </c>
    </row>
    <row r="3115" spans="1:1" x14ac:dyDescent="0.25">
      <c r="A3115" s="2">
        <v>1034678</v>
      </c>
    </row>
    <row r="3116" spans="1:1" x14ac:dyDescent="0.25">
      <c r="A3116" s="2">
        <v>1034760</v>
      </c>
    </row>
    <row r="3117" spans="1:1" x14ac:dyDescent="0.25">
      <c r="A3117" s="2">
        <v>1035179</v>
      </c>
    </row>
    <row r="3118" spans="1:1" x14ac:dyDescent="0.25">
      <c r="A3118" s="2">
        <v>1035188</v>
      </c>
    </row>
    <row r="3119" spans="1:1" x14ac:dyDescent="0.25">
      <c r="A3119" s="2">
        <v>1036367</v>
      </c>
    </row>
    <row r="3120" spans="1:1" x14ac:dyDescent="0.25">
      <c r="A3120" s="2">
        <v>1036375</v>
      </c>
    </row>
    <row r="3121" spans="1:1" x14ac:dyDescent="0.25">
      <c r="A3121" s="2">
        <v>1036502</v>
      </c>
    </row>
    <row r="3122" spans="1:1" x14ac:dyDescent="0.25">
      <c r="A3122" s="2">
        <v>1036510</v>
      </c>
    </row>
    <row r="3123" spans="1:1" x14ac:dyDescent="0.25">
      <c r="A3123" s="2">
        <v>1036515</v>
      </c>
    </row>
    <row r="3124" spans="1:1" x14ac:dyDescent="0.25">
      <c r="A3124" s="2">
        <v>1039413</v>
      </c>
    </row>
    <row r="3125" spans="1:1" x14ac:dyDescent="0.25">
      <c r="A3125" s="2">
        <v>1039517</v>
      </c>
    </row>
    <row r="3126" spans="1:1" x14ac:dyDescent="0.25">
      <c r="A3126" s="2">
        <v>1039523</v>
      </c>
    </row>
    <row r="3127" spans="1:1" x14ac:dyDescent="0.25">
      <c r="A3127" s="2">
        <v>1039958</v>
      </c>
    </row>
    <row r="3128" spans="1:1" x14ac:dyDescent="0.25">
      <c r="A3128" s="2">
        <v>1040580</v>
      </c>
    </row>
    <row r="3129" spans="1:1" x14ac:dyDescent="0.25">
      <c r="A3129" s="2">
        <v>1040588</v>
      </c>
    </row>
    <row r="3130" spans="1:1" x14ac:dyDescent="0.25">
      <c r="A3130" s="2">
        <v>1045070</v>
      </c>
    </row>
    <row r="3131" spans="1:1" x14ac:dyDescent="0.25">
      <c r="A3131" s="2">
        <v>1045653</v>
      </c>
    </row>
    <row r="3132" spans="1:1" x14ac:dyDescent="0.25">
      <c r="A3132" s="2">
        <v>1045917</v>
      </c>
    </row>
    <row r="3133" spans="1:1" x14ac:dyDescent="0.25">
      <c r="A3133" s="2">
        <v>1045935</v>
      </c>
    </row>
    <row r="3134" spans="1:1" x14ac:dyDescent="0.25">
      <c r="A3134" s="2">
        <v>1045967</v>
      </c>
    </row>
    <row r="3135" spans="1:1" x14ac:dyDescent="0.25">
      <c r="A3135" s="2">
        <v>1046032</v>
      </c>
    </row>
    <row r="3136" spans="1:1" x14ac:dyDescent="0.25">
      <c r="A3136" s="2">
        <v>1046131</v>
      </c>
    </row>
    <row r="3137" spans="1:1" x14ac:dyDescent="0.25">
      <c r="A3137" s="2">
        <v>1046136</v>
      </c>
    </row>
    <row r="3138" spans="1:1" x14ac:dyDescent="0.25">
      <c r="A3138" s="2">
        <v>1046163</v>
      </c>
    </row>
    <row r="3139" spans="1:1" x14ac:dyDescent="0.25">
      <c r="A3139" s="2">
        <v>1046787</v>
      </c>
    </row>
    <row r="3140" spans="1:1" x14ac:dyDescent="0.25">
      <c r="A3140" s="2">
        <v>1046814</v>
      </c>
    </row>
    <row r="3141" spans="1:1" x14ac:dyDescent="0.25">
      <c r="A3141" s="2">
        <v>1047231</v>
      </c>
    </row>
    <row r="3142" spans="1:1" x14ac:dyDescent="0.25">
      <c r="A3142" s="2">
        <v>1047239</v>
      </c>
    </row>
    <row r="3143" spans="1:1" x14ac:dyDescent="0.25">
      <c r="A3143" s="2">
        <v>1047244</v>
      </c>
    </row>
    <row r="3144" spans="1:1" x14ac:dyDescent="0.25">
      <c r="A3144" s="2">
        <v>1047260</v>
      </c>
    </row>
    <row r="3145" spans="1:1" x14ac:dyDescent="0.25">
      <c r="A3145" s="2">
        <v>1047261</v>
      </c>
    </row>
    <row r="3146" spans="1:1" x14ac:dyDescent="0.25">
      <c r="A3146" s="2">
        <v>1047265</v>
      </c>
    </row>
    <row r="3147" spans="1:1" x14ac:dyDescent="0.25">
      <c r="A3147" s="2">
        <v>1047266</v>
      </c>
    </row>
    <row r="3148" spans="1:1" x14ac:dyDescent="0.25">
      <c r="A3148" s="2">
        <v>1047298</v>
      </c>
    </row>
    <row r="3149" spans="1:1" x14ac:dyDescent="0.25">
      <c r="A3149" s="2">
        <v>1047372</v>
      </c>
    </row>
    <row r="3150" spans="1:1" x14ac:dyDescent="0.25">
      <c r="A3150" s="2">
        <v>1048357</v>
      </c>
    </row>
    <row r="3151" spans="1:1" x14ac:dyDescent="0.25">
      <c r="A3151" s="2">
        <v>1048365</v>
      </c>
    </row>
    <row r="3152" spans="1:1" x14ac:dyDescent="0.25">
      <c r="A3152" s="2">
        <v>1048717</v>
      </c>
    </row>
    <row r="3153" spans="1:1" x14ac:dyDescent="0.25">
      <c r="A3153" s="2">
        <v>1050036</v>
      </c>
    </row>
    <row r="3154" spans="1:1" x14ac:dyDescent="0.25">
      <c r="A3154" s="2">
        <v>1050042</v>
      </c>
    </row>
    <row r="3155" spans="1:1" x14ac:dyDescent="0.25">
      <c r="A3155" s="2">
        <v>1050165</v>
      </c>
    </row>
    <row r="3156" spans="1:1" x14ac:dyDescent="0.25">
      <c r="A3156" s="2">
        <v>1050182</v>
      </c>
    </row>
    <row r="3157" spans="1:1" x14ac:dyDescent="0.25">
      <c r="A3157" s="2">
        <v>1052200</v>
      </c>
    </row>
    <row r="3158" spans="1:1" x14ac:dyDescent="0.25">
      <c r="A3158" s="2">
        <v>1052261</v>
      </c>
    </row>
    <row r="3159" spans="1:1" x14ac:dyDescent="0.25">
      <c r="A3159" s="2">
        <v>1052277</v>
      </c>
    </row>
    <row r="3160" spans="1:1" x14ac:dyDescent="0.25">
      <c r="A3160" s="2">
        <v>1052295</v>
      </c>
    </row>
    <row r="3161" spans="1:1" x14ac:dyDescent="0.25">
      <c r="A3161" s="2">
        <v>1052349</v>
      </c>
    </row>
    <row r="3162" spans="1:1" x14ac:dyDescent="0.25">
      <c r="A3162" s="2">
        <v>1052468</v>
      </c>
    </row>
    <row r="3163" spans="1:1" x14ac:dyDescent="0.25">
      <c r="A3163" s="2">
        <v>1052469</v>
      </c>
    </row>
    <row r="3164" spans="1:1" x14ac:dyDescent="0.25">
      <c r="A3164" s="2">
        <v>1052490</v>
      </c>
    </row>
    <row r="3165" spans="1:1" x14ac:dyDescent="0.25">
      <c r="A3165" s="2">
        <v>1052653</v>
      </c>
    </row>
    <row r="3166" spans="1:1" x14ac:dyDescent="0.25">
      <c r="A3166" s="2">
        <v>1052672</v>
      </c>
    </row>
    <row r="3167" spans="1:1" x14ac:dyDescent="0.25">
      <c r="A3167" s="2">
        <v>1052697</v>
      </c>
    </row>
    <row r="3168" spans="1:1" x14ac:dyDescent="0.25">
      <c r="A3168" s="2">
        <v>1052723</v>
      </c>
    </row>
    <row r="3169" spans="1:1" x14ac:dyDescent="0.25">
      <c r="A3169" s="2">
        <v>1055039</v>
      </c>
    </row>
    <row r="3170" spans="1:1" x14ac:dyDescent="0.25">
      <c r="A3170" s="2">
        <v>1055223</v>
      </c>
    </row>
    <row r="3171" spans="1:1" x14ac:dyDescent="0.25">
      <c r="A3171" s="2">
        <v>1055491</v>
      </c>
    </row>
    <row r="3172" spans="1:1" x14ac:dyDescent="0.25">
      <c r="A3172" s="2">
        <v>1055557</v>
      </c>
    </row>
    <row r="3173" spans="1:1" x14ac:dyDescent="0.25">
      <c r="A3173" s="2">
        <v>1055588</v>
      </c>
    </row>
    <row r="3174" spans="1:1" x14ac:dyDescent="0.25">
      <c r="A3174" s="2">
        <v>1055873</v>
      </c>
    </row>
    <row r="3175" spans="1:1" x14ac:dyDescent="0.25">
      <c r="A3175" s="2">
        <v>1055926</v>
      </c>
    </row>
    <row r="3176" spans="1:1" x14ac:dyDescent="0.25">
      <c r="A3176" s="2">
        <v>1055983</v>
      </c>
    </row>
    <row r="3177" spans="1:1" x14ac:dyDescent="0.25">
      <c r="A3177" s="2">
        <v>1055996</v>
      </c>
    </row>
    <row r="3178" spans="1:1" x14ac:dyDescent="0.25">
      <c r="A3178" s="2">
        <v>1056034</v>
      </c>
    </row>
    <row r="3179" spans="1:1" x14ac:dyDescent="0.25">
      <c r="A3179" s="2">
        <v>1056112</v>
      </c>
    </row>
    <row r="3180" spans="1:1" x14ac:dyDescent="0.25">
      <c r="A3180" s="2">
        <v>1056318</v>
      </c>
    </row>
    <row r="3181" spans="1:1" x14ac:dyDescent="0.25">
      <c r="A3181" s="2">
        <v>1056328</v>
      </c>
    </row>
    <row r="3182" spans="1:1" x14ac:dyDescent="0.25">
      <c r="A3182" s="2">
        <v>1056333</v>
      </c>
    </row>
    <row r="3183" spans="1:1" x14ac:dyDescent="0.25">
      <c r="A3183" s="2">
        <v>1056348</v>
      </c>
    </row>
    <row r="3184" spans="1:1" x14ac:dyDescent="0.25">
      <c r="A3184" s="2">
        <v>1056976</v>
      </c>
    </row>
    <row r="3185" spans="1:1" x14ac:dyDescent="0.25">
      <c r="A3185" s="2">
        <v>1057017</v>
      </c>
    </row>
    <row r="3186" spans="1:1" x14ac:dyDescent="0.25">
      <c r="A3186" s="2">
        <v>1057080</v>
      </c>
    </row>
    <row r="3187" spans="1:1" x14ac:dyDescent="0.25">
      <c r="A3187" s="2">
        <v>1057095</v>
      </c>
    </row>
    <row r="3188" spans="1:1" x14ac:dyDescent="0.25">
      <c r="A3188" s="2">
        <v>1057160</v>
      </c>
    </row>
    <row r="3189" spans="1:1" x14ac:dyDescent="0.25">
      <c r="A3189" s="2">
        <v>1057187</v>
      </c>
    </row>
    <row r="3190" spans="1:1" x14ac:dyDescent="0.25">
      <c r="A3190" s="2">
        <v>1057190</v>
      </c>
    </row>
    <row r="3191" spans="1:1" x14ac:dyDescent="0.25">
      <c r="A3191" s="2">
        <v>1057323</v>
      </c>
    </row>
    <row r="3192" spans="1:1" x14ac:dyDescent="0.25">
      <c r="A3192" s="2">
        <v>1057332</v>
      </c>
    </row>
    <row r="3193" spans="1:1" x14ac:dyDescent="0.25">
      <c r="A3193" s="2">
        <v>1057370</v>
      </c>
    </row>
    <row r="3194" spans="1:1" x14ac:dyDescent="0.25">
      <c r="A3194" s="2">
        <v>1057372</v>
      </c>
    </row>
    <row r="3195" spans="1:1" x14ac:dyDescent="0.25">
      <c r="A3195" s="2">
        <v>1057387</v>
      </c>
    </row>
    <row r="3196" spans="1:1" x14ac:dyDescent="0.25">
      <c r="A3196" s="2">
        <v>1057444</v>
      </c>
    </row>
    <row r="3197" spans="1:1" x14ac:dyDescent="0.25">
      <c r="A3197" s="2">
        <v>1057487</v>
      </c>
    </row>
    <row r="3198" spans="1:1" x14ac:dyDescent="0.25">
      <c r="A3198" s="2">
        <v>1057530</v>
      </c>
    </row>
    <row r="3199" spans="1:1" x14ac:dyDescent="0.25">
      <c r="A3199" s="2">
        <v>1057562</v>
      </c>
    </row>
    <row r="3200" spans="1:1" x14ac:dyDescent="0.25">
      <c r="A3200" s="2">
        <v>1057604</v>
      </c>
    </row>
    <row r="3201" spans="1:1" x14ac:dyDescent="0.25">
      <c r="A3201" s="2">
        <v>1057633</v>
      </c>
    </row>
    <row r="3202" spans="1:1" x14ac:dyDescent="0.25">
      <c r="A3202" s="2">
        <v>1057672</v>
      </c>
    </row>
    <row r="3203" spans="1:1" x14ac:dyDescent="0.25">
      <c r="A3203" s="2">
        <v>1057755</v>
      </c>
    </row>
    <row r="3204" spans="1:1" x14ac:dyDescent="0.25">
      <c r="A3204" s="2">
        <v>1057770</v>
      </c>
    </row>
    <row r="3205" spans="1:1" x14ac:dyDescent="0.25">
      <c r="A3205" s="2">
        <v>1057806</v>
      </c>
    </row>
    <row r="3206" spans="1:1" x14ac:dyDescent="0.25">
      <c r="A3206" s="2">
        <v>1058097</v>
      </c>
    </row>
    <row r="3207" spans="1:1" x14ac:dyDescent="0.25">
      <c r="A3207" s="2">
        <v>1058176</v>
      </c>
    </row>
    <row r="3208" spans="1:1" x14ac:dyDescent="0.25">
      <c r="A3208" s="2">
        <v>1058190</v>
      </c>
    </row>
    <row r="3209" spans="1:1" x14ac:dyDescent="0.25">
      <c r="A3209" s="2">
        <v>1058240</v>
      </c>
    </row>
    <row r="3210" spans="1:1" x14ac:dyDescent="0.25">
      <c r="A3210" s="2">
        <v>1058249</v>
      </c>
    </row>
    <row r="3211" spans="1:1" x14ac:dyDescent="0.25">
      <c r="A3211" s="2">
        <v>1058347</v>
      </c>
    </row>
    <row r="3212" spans="1:1" x14ac:dyDescent="0.25">
      <c r="A3212" s="2">
        <v>1058365</v>
      </c>
    </row>
    <row r="3213" spans="1:1" x14ac:dyDescent="0.25">
      <c r="A3213" s="2">
        <v>1058382</v>
      </c>
    </row>
    <row r="3214" spans="1:1" x14ac:dyDescent="0.25">
      <c r="A3214" s="2">
        <v>1058387</v>
      </c>
    </row>
    <row r="3215" spans="1:1" x14ac:dyDescent="0.25">
      <c r="A3215" s="2">
        <v>1058398</v>
      </c>
    </row>
    <row r="3216" spans="1:1" x14ac:dyDescent="0.25">
      <c r="A3216" s="2">
        <v>1058407</v>
      </c>
    </row>
    <row r="3217" spans="1:1" x14ac:dyDescent="0.25">
      <c r="A3217" s="2">
        <v>1058417</v>
      </c>
    </row>
    <row r="3218" spans="1:1" x14ac:dyDescent="0.25">
      <c r="A3218" s="2">
        <v>1058439</v>
      </c>
    </row>
    <row r="3219" spans="1:1" x14ac:dyDescent="0.25">
      <c r="A3219" s="2">
        <v>1058491</v>
      </c>
    </row>
    <row r="3220" spans="1:1" x14ac:dyDescent="0.25">
      <c r="A3220" s="2">
        <v>1058610</v>
      </c>
    </row>
    <row r="3221" spans="1:1" x14ac:dyDescent="0.25">
      <c r="A3221" s="2">
        <v>1058630</v>
      </c>
    </row>
    <row r="3222" spans="1:1" x14ac:dyDescent="0.25">
      <c r="A3222" s="2">
        <v>1058655</v>
      </c>
    </row>
    <row r="3223" spans="1:1" x14ac:dyDescent="0.25">
      <c r="A3223" s="2">
        <v>1058716</v>
      </c>
    </row>
    <row r="3224" spans="1:1" x14ac:dyDescent="0.25">
      <c r="A3224" s="2">
        <v>1058758</v>
      </c>
    </row>
    <row r="3225" spans="1:1" x14ac:dyDescent="0.25">
      <c r="A3225" s="2">
        <v>1058793</v>
      </c>
    </row>
    <row r="3226" spans="1:1" x14ac:dyDescent="0.25">
      <c r="A3226" s="2">
        <v>1058799</v>
      </c>
    </row>
    <row r="3227" spans="1:1" x14ac:dyDescent="0.25">
      <c r="A3227" s="2">
        <v>1058810</v>
      </c>
    </row>
    <row r="3228" spans="1:1" x14ac:dyDescent="0.25">
      <c r="A3228" s="2">
        <v>1058861</v>
      </c>
    </row>
    <row r="3229" spans="1:1" x14ac:dyDescent="0.25">
      <c r="A3229" s="2">
        <v>1058899</v>
      </c>
    </row>
    <row r="3230" spans="1:1" x14ac:dyDescent="0.25">
      <c r="A3230" s="2">
        <v>1058976</v>
      </c>
    </row>
    <row r="3231" spans="1:1" x14ac:dyDescent="0.25">
      <c r="A3231" s="2">
        <v>1058987</v>
      </c>
    </row>
    <row r="3232" spans="1:1" x14ac:dyDescent="0.25">
      <c r="A3232" s="2">
        <v>1059028</v>
      </c>
    </row>
    <row r="3233" spans="1:1" x14ac:dyDescent="0.25">
      <c r="A3233" s="2">
        <v>1059046</v>
      </c>
    </row>
    <row r="3234" spans="1:1" x14ac:dyDescent="0.25">
      <c r="A3234" s="2">
        <v>1059135</v>
      </c>
    </row>
    <row r="3235" spans="1:1" x14ac:dyDescent="0.25">
      <c r="A3235" s="2">
        <v>1059152</v>
      </c>
    </row>
    <row r="3236" spans="1:1" x14ac:dyDescent="0.25">
      <c r="A3236" s="2">
        <v>1059203</v>
      </c>
    </row>
    <row r="3237" spans="1:1" x14ac:dyDescent="0.25">
      <c r="A3237" s="2">
        <v>1059210</v>
      </c>
    </row>
    <row r="3238" spans="1:1" x14ac:dyDescent="0.25">
      <c r="A3238" s="2">
        <v>1059219</v>
      </c>
    </row>
    <row r="3239" spans="1:1" x14ac:dyDescent="0.25">
      <c r="A3239" s="2">
        <v>1059242</v>
      </c>
    </row>
    <row r="3240" spans="1:1" x14ac:dyDescent="0.25">
      <c r="A3240" s="2">
        <v>1059253</v>
      </c>
    </row>
    <row r="3241" spans="1:1" x14ac:dyDescent="0.25">
      <c r="A3241" s="2">
        <v>1059259</v>
      </c>
    </row>
    <row r="3242" spans="1:1" x14ac:dyDescent="0.25">
      <c r="A3242" s="2">
        <v>1059381</v>
      </c>
    </row>
    <row r="3243" spans="1:1" x14ac:dyDescent="0.25">
      <c r="A3243" s="2">
        <v>1059389</v>
      </c>
    </row>
    <row r="3244" spans="1:1" x14ac:dyDescent="0.25">
      <c r="A3244" s="2">
        <v>1059392</v>
      </c>
    </row>
    <row r="3245" spans="1:1" x14ac:dyDescent="0.25">
      <c r="A3245" s="2">
        <v>1059395</v>
      </c>
    </row>
    <row r="3246" spans="1:1" x14ac:dyDescent="0.25">
      <c r="A3246" s="2">
        <v>1059398</v>
      </c>
    </row>
    <row r="3247" spans="1:1" x14ac:dyDescent="0.25">
      <c r="A3247" s="2">
        <v>1059408</v>
      </c>
    </row>
    <row r="3248" spans="1:1" x14ac:dyDescent="0.25">
      <c r="A3248" s="2">
        <v>1059419</v>
      </c>
    </row>
    <row r="3249" spans="1:1" x14ac:dyDescent="0.25">
      <c r="A3249" s="2">
        <v>1059506</v>
      </c>
    </row>
    <row r="3250" spans="1:1" x14ac:dyDescent="0.25">
      <c r="A3250" s="2">
        <v>1059507</v>
      </c>
    </row>
    <row r="3251" spans="1:1" x14ac:dyDescent="0.25">
      <c r="A3251" s="2">
        <v>1059571</v>
      </c>
    </row>
    <row r="3252" spans="1:1" x14ac:dyDescent="0.25">
      <c r="A3252" s="2">
        <v>1059578</v>
      </c>
    </row>
    <row r="3253" spans="1:1" x14ac:dyDescent="0.25">
      <c r="A3253" s="2">
        <v>1059637</v>
      </c>
    </row>
    <row r="3254" spans="1:1" x14ac:dyDescent="0.25">
      <c r="A3254" s="2">
        <v>1059644</v>
      </c>
    </row>
    <row r="3255" spans="1:1" x14ac:dyDescent="0.25">
      <c r="A3255" s="2">
        <v>1059736</v>
      </c>
    </row>
    <row r="3256" spans="1:1" x14ac:dyDescent="0.25">
      <c r="A3256" s="2">
        <v>1062663</v>
      </c>
    </row>
    <row r="3257" spans="1:1" x14ac:dyDescent="0.25">
      <c r="A3257" s="2">
        <v>1062678</v>
      </c>
    </row>
    <row r="3258" spans="1:1" x14ac:dyDescent="0.25">
      <c r="A3258" s="2">
        <v>1062685</v>
      </c>
    </row>
    <row r="3259" spans="1:1" x14ac:dyDescent="0.25">
      <c r="A3259" s="2">
        <v>1062692</v>
      </c>
    </row>
    <row r="3260" spans="1:1" x14ac:dyDescent="0.25">
      <c r="A3260" s="2">
        <v>1062704</v>
      </c>
    </row>
    <row r="3261" spans="1:1" x14ac:dyDescent="0.25">
      <c r="A3261" s="2">
        <v>1062726</v>
      </c>
    </row>
    <row r="3262" spans="1:1" x14ac:dyDescent="0.25">
      <c r="A3262" s="2">
        <v>1062743</v>
      </c>
    </row>
    <row r="3263" spans="1:1" x14ac:dyDescent="0.25">
      <c r="A3263" s="2">
        <v>1062746</v>
      </c>
    </row>
    <row r="3264" spans="1:1" x14ac:dyDescent="0.25">
      <c r="A3264" s="2">
        <v>1062751</v>
      </c>
    </row>
    <row r="3265" spans="1:1" x14ac:dyDescent="0.25">
      <c r="A3265" s="2">
        <v>1062776</v>
      </c>
    </row>
    <row r="3266" spans="1:1" x14ac:dyDescent="0.25">
      <c r="A3266" s="2">
        <v>1062778</v>
      </c>
    </row>
    <row r="3267" spans="1:1" x14ac:dyDescent="0.25">
      <c r="A3267" s="2">
        <v>1062787</v>
      </c>
    </row>
    <row r="3268" spans="1:1" x14ac:dyDescent="0.25">
      <c r="A3268" s="2">
        <v>1062794</v>
      </c>
    </row>
    <row r="3269" spans="1:1" x14ac:dyDescent="0.25">
      <c r="A3269" s="2">
        <v>1062825</v>
      </c>
    </row>
    <row r="3270" spans="1:1" x14ac:dyDescent="0.25">
      <c r="A3270" s="2">
        <v>1062865</v>
      </c>
    </row>
    <row r="3271" spans="1:1" x14ac:dyDescent="0.25">
      <c r="A3271" s="2">
        <v>1062934</v>
      </c>
    </row>
    <row r="3272" spans="1:1" x14ac:dyDescent="0.25">
      <c r="A3272" s="2">
        <v>1062950</v>
      </c>
    </row>
    <row r="3273" spans="1:1" x14ac:dyDescent="0.25">
      <c r="A3273" s="2">
        <v>1062985</v>
      </c>
    </row>
    <row r="3274" spans="1:1" x14ac:dyDescent="0.25">
      <c r="A3274" s="2">
        <v>1063054</v>
      </c>
    </row>
    <row r="3275" spans="1:1" x14ac:dyDescent="0.25">
      <c r="A3275" s="2">
        <v>1063555</v>
      </c>
    </row>
    <row r="3276" spans="1:1" x14ac:dyDescent="0.25">
      <c r="A3276" s="2">
        <v>1063574</v>
      </c>
    </row>
    <row r="3277" spans="1:1" x14ac:dyDescent="0.25">
      <c r="A3277" s="2">
        <v>1063619</v>
      </c>
    </row>
    <row r="3278" spans="1:1" x14ac:dyDescent="0.25">
      <c r="A3278" s="2">
        <v>1063635</v>
      </c>
    </row>
    <row r="3279" spans="1:1" x14ac:dyDescent="0.25">
      <c r="A3279" s="2">
        <v>1063763</v>
      </c>
    </row>
    <row r="3280" spans="1:1" x14ac:dyDescent="0.25">
      <c r="A3280" s="2">
        <v>1063773</v>
      </c>
    </row>
    <row r="3281" spans="1:1" x14ac:dyDescent="0.25">
      <c r="A3281" s="2">
        <v>1063790</v>
      </c>
    </row>
    <row r="3282" spans="1:1" x14ac:dyDescent="0.25">
      <c r="A3282" s="2">
        <v>1063801</v>
      </c>
    </row>
    <row r="3283" spans="1:1" x14ac:dyDescent="0.25">
      <c r="A3283" s="2">
        <v>1063833</v>
      </c>
    </row>
    <row r="3284" spans="1:1" x14ac:dyDescent="0.25">
      <c r="A3284" s="2">
        <v>1063849</v>
      </c>
    </row>
    <row r="3285" spans="1:1" x14ac:dyDescent="0.25">
      <c r="A3285" s="2">
        <v>1063880</v>
      </c>
    </row>
    <row r="3286" spans="1:1" x14ac:dyDescent="0.25">
      <c r="A3286" s="2">
        <v>1063989</v>
      </c>
    </row>
    <row r="3287" spans="1:1" x14ac:dyDescent="0.25">
      <c r="A3287" s="2">
        <v>1063995</v>
      </c>
    </row>
    <row r="3288" spans="1:1" x14ac:dyDescent="0.25">
      <c r="A3288" s="2">
        <v>1064000</v>
      </c>
    </row>
    <row r="3289" spans="1:1" x14ac:dyDescent="0.25">
      <c r="A3289" s="2">
        <v>1064048</v>
      </c>
    </row>
    <row r="3290" spans="1:1" x14ac:dyDescent="0.25">
      <c r="A3290" s="2">
        <v>1064059</v>
      </c>
    </row>
    <row r="3291" spans="1:1" x14ac:dyDescent="0.25">
      <c r="A3291" s="2">
        <v>1064066</v>
      </c>
    </row>
    <row r="3292" spans="1:1" x14ac:dyDescent="0.25">
      <c r="A3292" s="2">
        <v>1064165</v>
      </c>
    </row>
    <row r="3293" spans="1:1" x14ac:dyDescent="0.25">
      <c r="A3293" s="2">
        <v>1064174</v>
      </c>
    </row>
    <row r="3294" spans="1:1" x14ac:dyDescent="0.25">
      <c r="A3294" s="2">
        <v>1064200</v>
      </c>
    </row>
    <row r="3295" spans="1:1" x14ac:dyDescent="0.25">
      <c r="A3295" s="2">
        <v>1064212</v>
      </c>
    </row>
    <row r="3296" spans="1:1" x14ac:dyDescent="0.25">
      <c r="A3296" s="2">
        <v>1064217</v>
      </c>
    </row>
    <row r="3297" spans="1:1" x14ac:dyDescent="0.25">
      <c r="A3297" s="2">
        <v>1064239</v>
      </c>
    </row>
    <row r="3298" spans="1:1" x14ac:dyDescent="0.25">
      <c r="A3298" s="2">
        <v>1064252</v>
      </c>
    </row>
    <row r="3299" spans="1:1" x14ac:dyDescent="0.25">
      <c r="A3299" s="2">
        <v>1064253</v>
      </c>
    </row>
    <row r="3300" spans="1:1" x14ac:dyDescent="0.25">
      <c r="A3300" s="2">
        <v>1064381</v>
      </c>
    </row>
    <row r="3301" spans="1:1" x14ac:dyDescent="0.25">
      <c r="A3301" s="2">
        <v>1064427</v>
      </c>
    </row>
    <row r="3302" spans="1:1" x14ac:dyDescent="0.25">
      <c r="A3302" s="2">
        <v>1064864</v>
      </c>
    </row>
    <row r="3303" spans="1:1" x14ac:dyDescent="0.25">
      <c r="A3303" s="2">
        <v>1064945</v>
      </c>
    </row>
    <row r="3304" spans="1:1" x14ac:dyDescent="0.25">
      <c r="A3304" s="2">
        <v>1064985</v>
      </c>
    </row>
    <row r="3305" spans="1:1" x14ac:dyDescent="0.25">
      <c r="A3305" s="2">
        <v>1065033</v>
      </c>
    </row>
    <row r="3306" spans="1:1" x14ac:dyDescent="0.25">
      <c r="A3306" s="2">
        <v>1067528</v>
      </c>
    </row>
    <row r="3307" spans="1:1" x14ac:dyDescent="0.25">
      <c r="A3307" s="2">
        <v>1067554</v>
      </c>
    </row>
    <row r="3308" spans="1:1" x14ac:dyDescent="0.25">
      <c r="A3308" s="2">
        <v>1067571</v>
      </c>
    </row>
    <row r="3309" spans="1:1" x14ac:dyDescent="0.25">
      <c r="A3309" s="2">
        <v>1067598</v>
      </c>
    </row>
    <row r="3310" spans="1:1" x14ac:dyDescent="0.25">
      <c r="A3310" s="2">
        <v>1068469</v>
      </c>
    </row>
    <row r="3311" spans="1:1" x14ac:dyDescent="0.25">
      <c r="A3311" s="2">
        <v>1068477</v>
      </c>
    </row>
    <row r="3312" spans="1:1" x14ac:dyDescent="0.25">
      <c r="A3312" s="2">
        <v>1068485</v>
      </c>
    </row>
    <row r="3313" spans="1:1" x14ac:dyDescent="0.25">
      <c r="A3313" s="2">
        <v>1068515</v>
      </c>
    </row>
    <row r="3314" spans="1:1" x14ac:dyDescent="0.25">
      <c r="A3314" s="2">
        <v>1068550</v>
      </c>
    </row>
    <row r="3315" spans="1:1" x14ac:dyDescent="0.25">
      <c r="A3315" s="2">
        <v>1068586</v>
      </c>
    </row>
    <row r="3316" spans="1:1" x14ac:dyDescent="0.25">
      <c r="A3316" s="2">
        <v>1068594</v>
      </c>
    </row>
    <row r="3317" spans="1:1" x14ac:dyDescent="0.25">
      <c r="A3317" s="2">
        <v>1068637</v>
      </c>
    </row>
    <row r="3318" spans="1:1" x14ac:dyDescent="0.25">
      <c r="A3318" s="2">
        <v>1068643</v>
      </c>
    </row>
    <row r="3319" spans="1:1" x14ac:dyDescent="0.25">
      <c r="A3319" s="2">
        <v>1068655</v>
      </c>
    </row>
    <row r="3320" spans="1:1" x14ac:dyDescent="0.25">
      <c r="A3320" s="2">
        <v>1068661</v>
      </c>
    </row>
    <row r="3321" spans="1:1" x14ac:dyDescent="0.25">
      <c r="A3321" s="2">
        <v>1068752</v>
      </c>
    </row>
    <row r="3322" spans="1:1" x14ac:dyDescent="0.25">
      <c r="A3322" s="2">
        <v>1068757</v>
      </c>
    </row>
    <row r="3323" spans="1:1" x14ac:dyDescent="0.25">
      <c r="A3323" s="2">
        <v>1068811</v>
      </c>
    </row>
    <row r="3324" spans="1:1" x14ac:dyDescent="0.25">
      <c r="A3324" s="2">
        <v>1068920</v>
      </c>
    </row>
    <row r="3325" spans="1:1" x14ac:dyDescent="0.25">
      <c r="A3325" s="2">
        <v>1071996</v>
      </c>
    </row>
    <row r="3326" spans="1:1" x14ac:dyDescent="0.25">
      <c r="A3326" s="2">
        <v>1072002</v>
      </c>
    </row>
    <row r="3327" spans="1:1" x14ac:dyDescent="0.25">
      <c r="A3327" s="2">
        <v>1072028</v>
      </c>
    </row>
    <row r="3328" spans="1:1" x14ac:dyDescent="0.25">
      <c r="A3328" s="2">
        <v>1072147</v>
      </c>
    </row>
    <row r="3329" spans="1:1" x14ac:dyDescent="0.25">
      <c r="A3329" s="2">
        <v>1072162</v>
      </c>
    </row>
    <row r="3330" spans="1:1" x14ac:dyDescent="0.25">
      <c r="A3330" s="2">
        <v>1072163</v>
      </c>
    </row>
    <row r="3331" spans="1:1" x14ac:dyDescent="0.25">
      <c r="A3331" s="2">
        <v>1072171</v>
      </c>
    </row>
    <row r="3332" spans="1:1" x14ac:dyDescent="0.25">
      <c r="A3332" s="2">
        <v>1072176</v>
      </c>
    </row>
    <row r="3333" spans="1:1" x14ac:dyDescent="0.25">
      <c r="A3333" s="2">
        <v>1072210</v>
      </c>
    </row>
    <row r="3334" spans="1:1" x14ac:dyDescent="0.25">
      <c r="A3334" s="2">
        <v>1072216</v>
      </c>
    </row>
    <row r="3335" spans="1:1" x14ac:dyDescent="0.25">
      <c r="A3335" s="2">
        <v>1072217</v>
      </c>
    </row>
    <row r="3336" spans="1:1" x14ac:dyDescent="0.25">
      <c r="A3336" s="2">
        <v>1074825</v>
      </c>
    </row>
    <row r="3337" spans="1:1" x14ac:dyDescent="0.25">
      <c r="A3337" s="2">
        <v>1074865</v>
      </c>
    </row>
    <row r="3338" spans="1:1" x14ac:dyDescent="0.25">
      <c r="A3338" s="2">
        <v>1074891</v>
      </c>
    </row>
    <row r="3339" spans="1:1" x14ac:dyDescent="0.25">
      <c r="A3339" s="2">
        <v>1074899</v>
      </c>
    </row>
    <row r="3340" spans="1:1" x14ac:dyDescent="0.25">
      <c r="A3340" s="2">
        <v>1074921</v>
      </c>
    </row>
    <row r="3341" spans="1:1" x14ac:dyDescent="0.25">
      <c r="A3341" s="2">
        <v>1074923</v>
      </c>
    </row>
    <row r="3342" spans="1:1" x14ac:dyDescent="0.25">
      <c r="A3342" s="2">
        <v>1076967</v>
      </c>
    </row>
    <row r="3343" spans="1:1" x14ac:dyDescent="0.25">
      <c r="A3343" s="2">
        <v>1077009</v>
      </c>
    </row>
    <row r="3344" spans="1:1" x14ac:dyDescent="0.25">
      <c r="A3344" s="2">
        <v>1077029</v>
      </c>
    </row>
    <row r="3345" spans="1:1" x14ac:dyDescent="0.25">
      <c r="A3345" s="2">
        <v>1077405</v>
      </c>
    </row>
    <row r="3346" spans="1:1" x14ac:dyDescent="0.25">
      <c r="A3346" s="2">
        <v>1077436</v>
      </c>
    </row>
    <row r="3347" spans="1:1" x14ac:dyDescent="0.25">
      <c r="A3347" s="2">
        <v>1077507</v>
      </c>
    </row>
    <row r="3348" spans="1:1" x14ac:dyDescent="0.25">
      <c r="A3348" s="2">
        <v>1077626</v>
      </c>
    </row>
    <row r="3349" spans="1:1" x14ac:dyDescent="0.25">
      <c r="A3349" s="2">
        <v>1077636</v>
      </c>
    </row>
    <row r="3350" spans="1:1" x14ac:dyDescent="0.25">
      <c r="A3350" s="2">
        <v>1077662</v>
      </c>
    </row>
    <row r="3351" spans="1:1" x14ac:dyDescent="0.25">
      <c r="A3351" s="2">
        <v>1077692</v>
      </c>
    </row>
    <row r="3352" spans="1:1" x14ac:dyDescent="0.25">
      <c r="A3352" s="2">
        <v>1077722</v>
      </c>
    </row>
    <row r="3353" spans="1:1" x14ac:dyDescent="0.25">
      <c r="A3353" s="2">
        <v>1077734</v>
      </c>
    </row>
    <row r="3354" spans="1:1" x14ac:dyDescent="0.25">
      <c r="A3354" s="2">
        <v>1081908</v>
      </c>
    </row>
    <row r="3355" spans="1:1" x14ac:dyDescent="0.25">
      <c r="A3355" s="2">
        <v>1081914</v>
      </c>
    </row>
    <row r="3356" spans="1:1" x14ac:dyDescent="0.25">
      <c r="A3356" s="2">
        <v>1081920</v>
      </c>
    </row>
    <row r="3357" spans="1:1" x14ac:dyDescent="0.25">
      <c r="A3357" s="2">
        <v>1081930</v>
      </c>
    </row>
    <row r="3358" spans="1:1" x14ac:dyDescent="0.25">
      <c r="A3358" s="2">
        <v>1081938</v>
      </c>
    </row>
    <row r="3359" spans="1:1" x14ac:dyDescent="0.25">
      <c r="A3359" s="2">
        <v>1081951</v>
      </c>
    </row>
    <row r="3360" spans="1:1" x14ac:dyDescent="0.25">
      <c r="A3360" s="2">
        <v>1082364</v>
      </c>
    </row>
    <row r="3361" spans="1:1" x14ac:dyDescent="0.25">
      <c r="A3361" s="2">
        <v>1082414</v>
      </c>
    </row>
    <row r="3362" spans="1:1" x14ac:dyDescent="0.25">
      <c r="A3362" s="2">
        <v>1082487</v>
      </c>
    </row>
    <row r="3363" spans="1:1" x14ac:dyDescent="0.25">
      <c r="A3363" s="2">
        <v>1082610</v>
      </c>
    </row>
    <row r="3364" spans="1:1" x14ac:dyDescent="0.25">
      <c r="A3364" s="2">
        <v>1083738</v>
      </c>
    </row>
    <row r="3365" spans="1:1" x14ac:dyDescent="0.25">
      <c r="A3365" s="2">
        <v>1083785</v>
      </c>
    </row>
    <row r="3366" spans="1:1" x14ac:dyDescent="0.25">
      <c r="A3366" s="2">
        <v>1083816</v>
      </c>
    </row>
    <row r="3367" spans="1:1" x14ac:dyDescent="0.25">
      <c r="A3367" s="2">
        <v>1083864</v>
      </c>
    </row>
    <row r="3368" spans="1:1" x14ac:dyDescent="0.25">
      <c r="A3368" s="2">
        <v>1083926</v>
      </c>
    </row>
    <row r="3369" spans="1:1" x14ac:dyDescent="0.25">
      <c r="A3369" s="2">
        <v>1083965</v>
      </c>
    </row>
    <row r="3370" spans="1:1" x14ac:dyDescent="0.25">
      <c r="A3370" s="2">
        <v>1084007</v>
      </c>
    </row>
    <row r="3371" spans="1:1" x14ac:dyDescent="0.25">
      <c r="A3371" s="2">
        <v>1084100</v>
      </c>
    </row>
    <row r="3372" spans="1:1" x14ac:dyDescent="0.25">
      <c r="A3372" s="2">
        <v>1084109</v>
      </c>
    </row>
    <row r="3373" spans="1:1" x14ac:dyDescent="0.25">
      <c r="A3373" s="2">
        <v>1084136</v>
      </c>
    </row>
    <row r="3374" spans="1:1" x14ac:dyDescent="0.25">
      <c r="A3374" s="2">
        <v>1084149</v>
      </c>
    </row>
    <row r="3375" spans="1:1" x14ac:dyDescent="0.25">
      <c r="A3375" s="2">
        <v>1084155</v>
      </c>
    </row>
    <row r="3376" spans="1:1" x14ac:dyDescent="0.25">
      <c r="A3376" s="2">
        <v>1084173</v>
      </c>
    </row>
    <row r="3377" spans="1:1" x14ac:dyDescent="0.25">
      <c r="A3377" s="2">
        <v>1084189</v>
      </c>
    </row>
    <row r="3378" spans="1:1" x14ac:dyDescent="0.25">
      <c r="A3378" s="2">
        <v>1084214</v>
      </c>
    </row>
    <row r="3379" spans="1:1" x14ac:dyDescent="0.25">
      <c r="A3379" s="2">
        <v>1084221</v>
      </c>
    </row>
    <row r="3380" spans="1:1" x14ac:dyDescent="0.25">
      <c r="A3380" s="2">
        <v>1084247</v>
      </c>
    </row>
    <row r="3381" spans="1:1" x14ac:dyDescent="0.25">
      <c r="A3381" s="2">
        <v>1084417</v>
      </c>
    </row>
    <row r="3382" spans="1:1" x14ac:dyDescent="0.25">
      <c r="A3382" s="2">
        <v>1084423</v>
      </c>
    </row>
    <row r="3383" spans="1:1" x14ac:dyDescent="0.25">
      <c r="A3383" s="2">
        <v>1084462</v>
      </c>
    </row>
    <row r="3384" spans="1:1" x14ac:dyDescent="0.25">
      <c r="A3384" s="2">
        <v>1084468</v>
      </c>
    </row>
    <row r="3385" spans="1:1" x14ac:dyDescent="0.25">
      <c r="A3385" s="2">
        <v>1084581</v>
      </c>
    </row>
    <row r="3386" spans="1:1" x14ac:dyDescent="0.25">
      <c r="A3386" s="2">
        <v>1086193</v>
      </c>
    </row>
    <row r="3387" spans="1:1" x14ac:dyDescent="0.25">
      <c r="A3387" s="2">
        <v>1086235</v>
      </c>
    </row>
    <row r="3388" spans="1:1" x14ac:dyDescent="0.25">
      <c r="A3388" s="2">
        <v>1086237</v>
      </c>
    </row>
    <row r="3389" spans="1:1" x14ac:dyDescent="0.25">
      <c r="A3389" s="2">
        <v>1091843</v>
      </c>
    </row>
    <row r="3390" spans="1:1" x14ac:dyDescent="0.25">
      <c r="A3390" s="2">
        <v>1091844</v>
      </c>
    </row>
    <row r="3391" spans="1:1" x14ac:dyDescent="0.25">
      <c r="A3391" s="2">
        <v>1091849</v>
      </c>
    </row>
    <row r="3392" spans="1:1" x14ac:dyDescent="0.25">
      <c r="A3392" s="2">
        <v>1091886</v>
      </c>
    </row>
    <row r="3393" spans="1:1" x14ac:dyDescent="0.25">
      <c r="A3393" s="2">
        <v>1091963</v>
      </c>
    </row>
    <row r="3394" spans="1:1" x14ac:dyDescent="0.25">
      <c r="A3394" s="2">
        <v>1091994</v>
      </c>
    </row>
    <row r="3395" spans="1:1" x14ac:dyDescent="0.25">
      <c r="A3395" s="2">
        <v>1092001</v>
      </c>
    </row>
    <row r="3396" spans="1:1" x14ac:dyDescent="0.25">
      <c r="A3396" s="2">
        <v>1092011</v>
      </c>
    </row>
    <row r="3397" spans="1:1" x14ac:dyDescent="0.25">
      <c r="A3397" s="2">
        <v>1092017</v>
      </c>
    </row>
    <row r="3398" spans="1:1" x14ac:dyDescent="0.25">
      <c r="A3398" s="2">
        <v>1092053</v>
      </c>
    </row>
    <row r="3399" spans="1:1" x14ac:dyDescent="0.25">
      <c r="A3399" s="2">
        <v>1092185</v>
      </c>
    </row>
    <row r="3400" spans="1:1" x14ac:dyDescent="0.25">
      <c r="A3400" s="2">
        <v>1095056</v>
      </c>
    </row>
    <row r="3401" spans="1:1" x14ac:dyDescent="0.25">
      <c r="A3401" s="2">
        <v>1095065</v>
      </c>
    </row>
    <row r="3402" spans="1:1" x14ac:dyDescent="0.25">
      <c r="A3402" s="2">
        <v>1096407</v>
      </c>
    </row>
    <row r="3403" spans="1:1" x14ac:dyDescent="0.25">
      <c r="A3403" s="2">
        <v>1096606</v>
      </c>
    </row>
    <row r="3404" spans="1:1" x14ac:dyDescent="0.25">
      <c r="A3404" s="2">
        <v>1098370</v>
      </c>
    </row>
    <row r="3405" spans="1:1" x14ac:dyDescent="0.25">
      <c r="A3405" s="2">
        <v>1098392</v>
      </c>
    </row>
    <row r="3406" spans="1:1" x14ac:dyDescent="0.25">
      <c r="A3406" s="2">
        <v>1098415</v>
      </c>
    </row>
    <row r="3407" spans="1:1" x14ac:dyDescent="0.25">
      <c r="A3407" s="2">
        <v>1098468</v>
      </c>
    </row>
    <row r="3408" spans="1:1" x14ac:dyDescent="0.25">
      <c r="A3408" s="2">
        <v>1098477</v>
      </c>
    </row>
    <row r="3409" spans="1:1" x14ac:dyDescent="0.25">
      <c r="A3409" s="2">
        <v>1100053</v>
      </c>
    </row>
    <row r="3410" spans="1:1" x14ac:dyDescent="0.25">
      <c r="A3410" s="2">
        <v>1100054</v>
      </c>
    </row>
    <row r="3411" spans="1:1" x14ac:dyDescent="0.25">
      <c r="A3411" s="2">
        <v>1101833</v>
      </c>
    </row>
    <row r="3412" spans="1:1" x14ac:dyDescent="0.25">
      <c r="A3412" s="2">
        <v>1105618</v>
      </c>
    </row>
    <row r="3413" spans="1:1" x14ac:dyDescent="0.25">
      <c r="A3413" s="2">
        <v>1105775</v>
      </c>
    </row>
    <row r="3414" spans="1:1" x14ac:dyDescent="0.25">
      <c r="A3414" s="2">
        <v>1105779</v>
      </c>
    </row>
    <row r="3415" spans="1:1" x14ac:dyDescent="0.25">
      <c r="A3415" s="2">
        <v>1105784</v>
      </c>
    </row>
    <row r="3416" spans="1:1" x14ac:dyDescent="0.25">
      <c r="A3416" s="2">
        <v>1105795</v>
      </c>
    </row>
    <row r="3417" spans="1:1" x14ac:dyDescent="0.25">
      <c r="A3417" s="2">
        <v>1105837</v>
      </c>
    </row>
    <row r="3418" spans="1:1" x14ac:dyDescent="0.25">
      <c r="A3418" s="2">
        <v>1105882</v>
      </c>
    </row>
    <row r="3419" spans="1:1" x14ac:dyDescent="0.25">
      <c r="A3419" s="2">
        <v>1105890</v>
      </c>
    </row>
    <row r="3420" spans="1:1" x14ac:dyDescent="0.25">
      <c r="A3420" s="2">
        <v>1106061</v>
      </c>
    </row>
    <row r="3421" spans="1:1" x14ac:dyDescent="0.25">
      <c r="A3421" s="2">
        <v>1106069</v>
      </c>
    </row>
    <row r="3422" spans="1:1" x14ac:dyDescent="0.25">
      <c r="A3422" s="2">
        <v>1106086</v>
      </c>
    </row>
    <row r="3423" spans="1:1" x14ac:dyDescent="0.25">
      <c r="A3423" s="2">
        <v>1106097</v>
      </c>
    </row>
    <row r="3424" spans="1:1" x14ac:dyDescent="0.25">
      <c r="A3424" s="2">
        <v>1106118</v>
      </c>
    </row>
    <row r="3425" spans="1:1" x14ac:dyDescent="0.25">
      <c r="A3425" s="2">
        <v>1106151</v>
      </c>
    </row>
    <row r="3426" spans="1:1" x14ac:dyDescent="0.25">
      <c r="A3426" s="2">
        <v>1106157</v>
      </c>
    </row>
    <row r="3427" spans="1:1" x14ac:dyDescent="0.25">
      <c r="A3427" s="2">
        <v>1106181</v>
      </c>
    </row>
    <row r="3428" spans="1:1" x14ac:dyDescent="0.25">
      <c r="A3428" s="2">
        <v>1106188</v>
      </c>
    </row>
    <row r="3429" spans="1:1" x14ac:dyDescent="0.25">
      <c r="A3429" s="2">
        <v>1106189</v>
      </c>
    </row>
    <row r="3430" spans="1:1" x14ac:dyDescent="0.25">
      <c r="A3430" s="2">
        <v>1106215</v>
      </c>
    </row>
    <row r="3431" spans="1:1" x14ac:dyDescent="0.25">
      <c r="A3431" s="2">
        <v>1106219</v>
      </c>
    </row>
    <row r="3432" spans="1:1" x14ac:dyDescent="0.25">
      <c r="A3432" s="2">
        <v>1106242</v>
      </c>
    </row>
    <row r="3433" spans="1:1" x14ac:dyDescent="0.25">
      <c r="A3433" s="2">
        <v>1106250</v>
      </c>
    </row>
    <row r="3434" spans="1:1" x14ac:dyDescent="0.25">
      <c r="A3434" s="2">
        <v>1106256</v>
      </c>
    </row>
    <row r="3435" spans="1:1" x14ac:dyDescent="0.25">
      <c r="A3435" s="2">
        <v>1106257</v>
      </c>
    </row>
    <row r="3436" spans="1:1" x14ac:dyDescent="0.25">
      <c r="A3436" s="2">
        <v>1106291</v>
      </c>
    </row>
    <row r="3437" spans="1:1" x14ac:dyDescent="0.25">
      <c r="A3437" s="2">
        <v>1106296</v>
      </c>
    </row>
    <row r="3438" spans="1:1" x14ac:dyDescent="0.25">
      <c r="A3438" s="2">
        <v>1106325</v>
      </c>
    </row>
    <row r="3439" spans="1:1" x14ac:dyDescent="0.25">
      <c r="A3439" s="2">
        <v>1106352</v>
      </c>
    </row>
    <row r="3440" spans="1:1" x14ac:dyDescent="0.25">
      <c r="A3440" s="2">
        <v>1106358</v>
      </c>
    </row>
    <row r="3441" spans="1:1" x14ac:dyDescent="0.25">
      <c r="A3441" s="2">
        <v>1106381</v>
      </c>
    </row>
    <row r="3442" spans="1:1" x14ac:dyDescent="0.25">
      <c r="A3442" s="2">
        <v>1106386</v>
      </c>
    </row>
    <row r="3443" spans="1:1" x14ac:dyDescent="0.25">
      <c r="A3443" s="2">
        <v>1106402</v>
      </c>
    </row>
    <row r="3444" spans="1:1" x14ac:dyDescent="0.25">
      <c r="A3444" s="2">
        <v>1106422</v>
      </c>
    </row>
    <row r="3445" spans="1:1" x14ac:dyDescent="0.25">
      <c r="A3445" s="2">
        <v>1106427</v>
      </c>
    </row>
    <row r="3446" spans="1:1" x14ac:dyDescent="0.25">
      <c r="A3446" s="2">
        <v>1106432</v>
      </c>
    </row>
    <row r="3447" spans="1:1" x14ac:dyDescent="0.25">
      <c r="A3447" s="2">
        <v>1106433</v>
      </c>
    </row>
    <row r="3448" spans="1:1" x14ac:dyDescent="0.25">
      <c r="A3448" s="2">
        <v>1106466</v>
      </c>
    </row>
    <row r="3449" spans="1:1" x14ac:dyDescent="0.25">
      <c r="A3449" s="2">
        <v>1106564</v>
      </c>
    </row>
    <row r="3450" spans="1:1" x14ac:dyDescent="0.25">
      <c r="A3450" s="2">
        <v>1106585</v>
      </c>
    </row>
    <row r="3451" spans="1:1" x14ac:dyDescent="0.25">
      <c r="A3451" s="2">
        <v>1106590</v>
      </c>
    </row>
    <row r="3452" spans="1:1" x14ac:dyDescent="0.25">
      <c r="A3452" s="2">
        <v>1106614</v>
      </c>
    </row>
    <row r="3453" spans="1:1" x14ac:dyDescent="0.25">
      <c r="A3453" s="2">
        <v>1106622</v>
      </c>
    </row>
    <row r="3454" spans="1:1" x14ac:dyDescent="0.25">
      <c r="A3454" s="2">
        <v>1106661</v>
      </c>
    </row>
    <row r="3455" spans="1:1" x14ac:dyDescent="0.25">
      <c r="A3455" s="2">
        <v>1106697</v>
      </c>
    </row>
    <row r="3456" spans="1:1" x14ac:dyDescent="0.25">
      <c r="A3456" s="2">
        <v>1106725</v>
      </c>
    </row>
    <row r="3457" spans="1:1" x14ac:dyDescent="0.25">
      <c r="A3457" s="2">
        <v>1106737</v>
      </c>
    </row>
    <row r="3458" spans="1:1" x14ac:dyDescent="0.25">
      <c r="A3458" s="2">
        <v>1106764</v>
      </c>
    </row>
    <row r="3459" spans="1:1" x14ac:dyDescent="0.25">
      <c r="A3459" s="2">
        <v>1106784</v>
      </c>
    </row>
    <row r="3460" spans="1:1" x14ac:dyDescent="0.25">
      <c r="A3460" s="2">
        <v>1106798</v>
      </c>
    </row>
    <row r="3461" spans="1:1" x14ac:dyDescent="0.25">
      <c r="A3461" s="2">
        <v>1106806</v>
      </c>
    </row>
    <row r="3462" spans="1:1" x14ac:dyDescent="0.25">
      <c r="A3462" s="2">
        <v>1106819</v>
      </c>
    </row>
    <row r="3463" spans="1:1" x14ac:dyDescent="0.25">
      <c r="A3463" s="2">
        <v>1106844</v>
      </c>
    </row>
    <row r="3464" spans="1:1" x14ac:dyDescent="0.25">
      <c r="A3464" s="2">
        <v>1106850</v>
      </c>
    </row>
    <row r="3465" spans="1:1" x14ac:dyDescent="0.25">
      <c r="A3465" s="2">
        <v>1106856</v>
      </c>
    </row>
    <row r="3466" spans="1:1" x14ac:dyDescent="0.25">
      <c r="A3466" s="2">
        <v>1106875</v>
      </c>
    </row>
    <row r="3467" spans="1:1" x14ac:dyDescent="0.25">
      <c r="A3467" s="2">
        <v>1106950</v>
      </c>
    </row>
    <row r="3468" spans="1:1" x14ac:dyDescent="0.25">
      <c r="A3468" s="2">
        <v>1106963</v>
      </c>
    </row>
    <row r="3469" spans="1:1" x14ac:dyDescent="0.25">
      <c r="A3469" s="2">
        <v>1106987</v>
      </c>
    </row>
    <row r="3470" spans="1:1" x14ac:dyDescent="0.25">
      <c r="A3470" s="2">
        <v>1107020</v>
      </c>
    </row>
    <row r="3471" spans="1:1" x14ac:dyDescent="0.25">
      <c r="A3471" s="2">
        <v>1107027</v>
      </c>
    </row>
    <row r="3472" spans="1:1" x14ac:dyDescent="0.25">
      <c r="A3472" s="2">
        <v>1107032</v>
      </c>
    </row>
    <row r="3473" spans="1:1" x14ac:dyDescent="0.25">
      <c r="A3473" s="2">
        <v>1108862</v>
      </c>
    </row>
    <row r="3474" spans="1:1" x14ac:dyDescent="0.25">
      <c r="A3474" s="2">
        <v>1108950</v>
      </c>
    </row>
    <row r="3475" spans="1:1" x14ac:dyDescent="0.25">
      <c r="A3475" s="2">
        <v>1108998</v>
      </c>
    </row>
    <row r="3476" spans="1:1" x14ac:dyDescent="0.25">
      <c r="A3476" s="2">
        <v>1109017</v>
      </c>
    </row>
    <row r="3477" spans="1:1" x14ac:dyDescent="0.25">
      <c r="A3477" s="2">
        <v>1109060</v>
      </c>
    </row>
    <row r="3478" spans="1:1" x14ac:dyDescent="0.25">
      <c r="A3478" s="2">
        <v>1109074</v>
      </c>
    </row>
    <row r="3479" spans="1:1" x14ac:dyDescent="0.25">
      <c r="A3479" s="2">
        <v>1109193</v>
      </c>
    </row>
    <row r="3480" spans="1:1" x14ac:dyDescent="0.25">
      <c r="A3480" s="2">
        <v>1109982</v>
      </c>
    </row>
    <row r="3481" spans="1:1" x14ac:dyDescent="0.25">
      <c r="A3481" s="2">
        <v>1110008</v>
      </c>
    </row>
    <row r="3482" spans="1:1" x14ac:dyDescent="0.25">
      <c r="A3482" s="2">
        <v>1110064</v>
      </c>
    </row>
    <row r="3483" spans="1:1" x14ac:dyDescent="0.25">
      <c r="A3483" s="2">
        <v>1110126</v>
      </c>
    </row>
    <row r="3484" spans="1:1" x14ac:dyDescent="0.25">
      <c r="A3484" s="2">
        <v>1111444</v>
      </c>
    </row>
    <row r="3485" spans="1:1" x14ac:dyDescent="0.25">
      <c r="A3485" s="2">
        <v>1111445</v>
      </c>
    </row>
    <row r="3486" spans="1:1" x14ac:dyDescent="0.25">
      <c r="A3486" s="2">
        <v>1111473</v>
      </c>
    </row>
    <row r="3487" spans="1:1" x14ac:dyDescent="0.25">
      <c r="A3487" s="2">
        <v>1111486</v>
      </c>
    </row>
    <row r="3488" spans="1:1" x14ac:dyDescent="0.25">
      <c r="A3488" s="2">
        <v>1112161</v>
      </c>
    </row>
    <row r="3489" spans="1:1" x14ac:dyDescent="0.25">
      <c r="A3489" s="2">
        <v>1112166</v>
      </c>
    </row>
    <row r="3490" spans="1:1" x14ac:dyDescent="0.25">
      <c r="A3490" s="2">
        <v>1112195</v>
      </c>
    </row>
    <row r="3491" spans="1:1" x14ac:dyDescent="0.25">
      <c r="A3491" s="2">
        <v>1112348</v>
      </c>
    </row>
    <row r="3492" spans="1:1" x14ac:dyDescent="0.25">
      <c r="A3492" s="2">
        <v>1112355</v>
      </c>
    </row>
    <row r="3493" spans="1:1" x14ac:dyDescent="0.25">
      <c r="A3493" s="2">
        <v>1112495</v>
      </c>
    </row>
    <row r="3494" spans="1:1" x14ac:dyDescent="0.25">
      <c r="A3494" s="2">
        <v>1112632</v>
      </c>
    </row>
    <row r="3495" spans="1:1" x14ac:dyDescent="0.25">
      <c r="A3495" s="2">
        <v>1112686</v>
      </c>
    </row>
    <row r="3496" spans="1:1" x14ac:dyDescent="0.25">
      <c r="A3496" s="2">
        <v>1112943</v>
      </c>
    </row>
    <row r="3497" spans="1:1" x14ac:dyDescent="0.25">
      <c r="A3497" s="2">
        <v>1112965</v>
      </c>
    </row>
    <row r="3498" spans="1:1" x14ac:dyDescent="0.25">
      <c r="A3498" s="2">
        <v>1114019</v>
      </c>
    </row>
    <row r="3499" spans="1:1" x14ac:dyDescent="0.25">
      <c r="A3499" s="2">
        <v>1114288</v>
      </c>
    </row>
    <row r="3500" spans="1:1" x14ac:dyDescent="0.25">
      <c r="A3500" s="2">
        <v>1115020</v>
      </c>
    </row>
    <row r="3501" spans="1:1" x14ac:dyDescent="0.25">
      <c r="A3501" s="2">
        <v>1115603</v>
      </c>
    </row>
    <row r="3502" spans="1:1" x14ac:dyDescent="0.25">
      <c r="A3502" s="2">
        <v>1115616</v>
      </c>
    </row>
    <row r="3503" spans="1:1" x14ac:dyDescent="0.25">
      <c r="A3503" s="2">
        <v>1115619</v>
      </c>
    </row>
    <row r="3504" spans="1:1" x14ac:dyDescent="0.25">
      <c r="A3504" s="2">
        <v>1115626</v>
      </c>
    </row>
    <row r="3505" spans="1:1" x14ac:dyDescent="0.25">
      <c r="A3505" s="2">
        <v>1117093</v>
      </c>
    </row>
    <row r="3506" spans="1:1" x14ac:dyDescent="0.25">
      <c r="A3506" s="2">
        <v>1117151</v>
      </c>
    </row>
    <row r="3507" spans="1:1" x14ac:dyDescent="0.25">
      <c r="A3507" s="2">
        <v>1117158</v>
      </c>
    </row>
    <row r="3508" spans="1:1" x14ac:dyDescent="0.25">
      <c r="A3508" s="2">
        <v>1117282</v>
      </c>
    </row>
    <row r="3509" spans="1:1" x14ac:dyDescent="0.25">
      <c r="A3509" s="2">
        <v>1119037</v>
      </c>
    </row>
    <row r="3510" spans="1:1" x14ac:dyDescent="0.25">
      <c r="A3510" s="2">
        <v>1119082</v>
      </c>
    </row>
    <row r="3511" spans="1:1" x14ac:dyDescent="0.25">
      <c r="A3511" s="2">
        <v>1119099</v>
      </c>
    </row>
    <row r="3512" spans="1:1" x14ac:dyDescent="0.25">
      <c r="A3512" s="2">
        <v>1119116</v>
      </c>
    </row>
    <row r="3513" spans="1:1" x14ac:dyDescent="0.25">
      <c r="A3513" s="2">
        <v>1119162</v>
      </c>
    </row>
    <row r="3514" spans="1:1" x14ac:dyDescent="0.25">
      <c r="A3514" s="2">
        <v>1119200</v>
      </c>
    </row>
    <row r="3515" spans="1:1" x14ac:dyDescent="0.25">
      <c r="A3515" s="2">
        <v>1119209</v>
      </c>
    </row>
    <row r="3516" spans="1:1" x14ac:dyDescent="0.25">
      <c r="A3516" s="2">
        <v>1119242</v>
      </c>
    </row>
    <row r="3517" spans="1:1" x14ac:dyDescent="0.25">
      <c r="A3517" s="2">
        <v>1119249</v>
      </c>
    </row>
    <row r="3518" spans="1:1" x14ac:dyDescent="0.25">
      <c r="A3518" s="2">
        <v>1119417</v>
      </c>
    </row>
    <row r="3519" spans="1:1" x14ac:dyDescent="0.25">
      <c r="A3519" s="2">
        <v>1122561</v>
      </c>
    </row>
    <row r="3520" spans="1:1" x14ac:dyDescent="0.25">
      <c r="A3520" s="2">
        <v>1122566</v>
      </c>
    </row>
    <row r="3521" spans="1:1" x14ac:dyDescent="0.25">
      <c r="A3521" s="2">
        <v>1122567</v>
      </c>
    </row>
    <row r="3522" spans="1:1" x14ac:dyDescent="0.25">
      <c r="A3522" s="2">
        <v>1139034</v>
      </c>
    </row>
    <row r="3523" spans="1:1" x14ac:dyDescent="0.25">
      <c r="A3523" s="2">
        <v>1143527</v>
      </c>
    </row>
    <row r="3524" spans="1:1" x14ac:dyDescent="0.25">
      <c r="A3524" s="2">
        <v>1143559</v>
      </c>
    </row>
    <row r="3525" spans="1:1" x14ac:dyDescent="0.25">
      <c r="A3525" s="2">
        <v>1143943</v>
      </c>
    </row>
    <row r="3526" spans="1:1" x14ac:dyDescent="0.25">
      <c r="A3526" s="2">
        <v>1143960</v>
      </c>
    </row>
    <row r="3527" spans="1:1" x14ac:dyDescent="0.25">
      <c r="A3527" s="2">
        <v>1143974</v>
      </c>
    </row>
    <row r="3528" spans="1:1" x14ac:dyDescent="0.25">
      <c r="A3528" s="2">
        <v>1145784</v>
      </c>
    </row>
    <row r="3529" spans="1:1" x14ac:dyDescent="0.25">
      <c r="A3529" s="2">
        <v>1146433</v>
      </c>
    </row>
    <row r="3530" spans="1:1" x14ac:dyDescent="0.25">
      <c r="A3530" s="2">
        <v>1146503</v>
      </c>
    </row>
    <row r="3531" spans="1:1" x14ac:dyDescent="0.25">
      <c r="A3531" s="2">
        <v>1147694</v>
      </c>
    </row>
    <row r="3532" spans="1:1" x14ac:dyDescent="0.25">
      <c r="A3532" s="2">
        <v>1148220</v>
      </c>
    </row>
    <row r="3533" spans="1:1" x14ac:dyDescent="0.25">
      <c r="A3533" s="2">
        <v>1148250</v>
      </c>
    </row>
    <row r="3534" spans="1:1" x14ac:dyDescent="0.25">
      <c r="A3534" s="2">
        <v>1148454</v>
      </c>
    </row>
    <row r="3535" spans="1:1" x14ac:dyDescent="0.25">
      <c r="A3535" s="2">
        <v>1148885</v>
      </c>
    </row>
    <row r="3536" spans="1:1" x14ac:dyDescent="0.25">
      <c r="A3536" s="2">
        <v>1148895</v>
      </c>
    </row>
    <row r="3537" spans="1:1" x14ac:dyDescent="0.25">
      <c r="A3537" s="2">
        <v>1148914</v>
      </c>
    </row>
    <row r="3538" spans="1:1" x14ac:dyDescent="0.25">
      <c r="A3538" s="2">
        <v>1148925</v>
      </c>
    </row>
    <row r="3539" spans="1:1" x14ac:dyDescent="0.25">
      <c r="A3539" s="2">
        <v>1148926</v>
      </c>
    </row>
    <row r="3540" spans="1:1" x14ac:dyDescent="0.25">
      <c r="A3540" s="2">
        <v>1148927</v>
      </c>
    </row>
    <row r="3541" spans="1:1" x14ac:dyDescent="0.25">
      <c r="A3541" s="2">
        <v>1148932</v>
      </c>
    </row>
    <row r="3542" spans="1:1" x14ac:dyDescent="0.25">
      <c r="A3542" s="2">
        <v>1148942</v>
      </c>
    </row>
    <row r="3543" spans="1:1" x14ac:dyDescent="0.25">
      <c r="A3543" s="2">
        <v>1149413</v>
      </c>
    </row>
    <row r="3544" spans="1:1" x14ac:dyDescent="0.25">
      <c r="A3544" s="2">
        <v>1150681</v>
      </c>
    </row>
    <row r="3545" spans="1:1" x14ac:dyDescent="0.25">
      <c r="A3545" s="2">
        <v>1150928</v>
      </c>
    </row>
    <row r="3546" spans="1:1" x14ac:dyDescent="0.25">
      <c r="A3546" s="2">
        <v>1151036</v>
      </c>
    </row>
    <row r="3547" spans="1:1" x14ac:dyDescent="0.25">
      <c r="A3547" s="2">
        <v>1151061</v>
      </c>
    </row>
    <row r="3548" spans="1:1" x14ac:dyDescent="0.25">
      <c r="A3548" s="2">
        <v>1151758</v>
      </c>
    </row>
    <row r="3549" spans="1:1" x14ac:dyDescent="0.25">
      <c r="A3549" s="2">
        <v>1152434</v>
      </c>
    </row>
    <row r="3550" spans="1:1" x14ac:dyDescent="0.25">
      <c r="A3550" s="2">
        <v>1152773</v>
      </c>
    </row>
    <row r="3551" spans="1:1" x14ac:dyDescent="0.25">
      <c r="A3551" s="2">
        <v>1153147</v>
      </c>
    </row>
    <row r="3552" spans="1:1" x14ac:dyDescent="0.25">
      <c r="A3552" s="2">
        <v>1153154</v>
      </c>
    </row>
    <row r="3553" spans="1:1" x14ac:dyDescent="0.25">
      <c r="A3553" s="2">
        <v>1153752</v>
      </c>
    </row>
    <row r="3554" spans="1:1" x14ac:dyDescent="0.25">
      <c r="A3554" s="2">
        <v>1153759</v>
      </c>
    </row>
    <row r="3555" spans="1:1" x14ac:dyDescent="0.25">
      <c r="A3555" s="2">
        <v>1153772</v>
      </c>
    </row>
    <row r="3556" spans="1:1" x14ac:dyDescent="0.25">
      <c r="A3556" s="2">
        <v>1153829</v>
      </c>
    </row>
    <row r="3557" spans="1:1" x14ac:dyDescent="0.25">
      <c r="A3557" s="2">
        <v>1153836</v>
      </c>
    </row>
    <row r="3558" spans="1:1" x14ac:dyDescent="0.25">
      <c r="A3558" s="2">
        <v>1153852</v>
      </c>
    </row>
    <row r="3559" spans="1:1" x14ac:dyDescent="0.25">
      <c r="A3559" s="2">
        <v>1155893</v>
      </c>
    </row>
    <row r="3560" spans="1:1" x14ac:dyDescent="0.25">
      <c r="A3560" s="2">
        <v>1155909</v>
      </c>
    </row>
    <row r="3561" spans="1:1" x14ac:dyDescent="0.25">
      <c r="A3561" s="2">
        <v>1156038</v>
      </c>
    </row>
    <row r="3562" spans="1:1" x14ac:dyDescent="0.25">
      <c r="A3562" s="2">
        <v>1156045</v>
      </c>
    </row>
    <row r="3563" spans="1:1" x14ac:dyDescent="0.25">
      <c r="A3563" s="2">
        <v>1156057</v>
      </c>
    </row>
    <row r="3564" spans="1:1" x14ac:dyDescent="0.25">
      <c r="A3564" s="2">
        <v>1156136</v>
      </c>
    </row>
    <row r="3565" spans="1:1" x14ac:dyDescent="0.25">
      <c r="A3565" s="2">
        <v>1159929</v>
      </c>
    </row>
    <row r="3566" spans="1:1" x14ac:dyDescent="0.25">
      <c r="A3566" s="2">
        <v>1159995</v>
      </c>
    </row>
    <row r="3567" spans="1:1" x14ac:dyDescent="0.25">
      <c r="A3567" s="2">
        <v>1160005</v>
      </c>
    </row>
    <row r="3568" spans="1:1" x14ac:dyDescent="0.25">
      <c r="A3568" s="2">
        <v>1160031</v>
      </c>
    </row>
    <row r="3569" spans="1:1" x14ac:dyDescent="0.25">
      <c r="A3569" s="2">
        <v>1160095</v>
      </c>
    </row>
    <row r="3570" spans="1:1" x14ac:dyDescent="0.25">
      <c r="A3570" s="2">
        <v>1160201</v>
      </c>
    </row>
    <row r="3571" spans="1:1" x14ac:dyDescent="0.25">
      <c r="A3571" s="2">
        <v>1160470</v>
      </c>
    </row>
    <row r="3572" spans="1:1" x14ac:dyDescent="0.25">
      <c r="A3572" s="2">
        <v>1160486</v>
      </c>
    </row>
    <row r="3573" spans="1:1" x14ac:dyDescent="0.25">
      <c r="A3573" s="2">
        <v>1160507</v>
      </c>
    </row>
    <row r="3574" spans="1:1" x14ac:dyDescent="0.25">
      <c r="A3574" s="2">
        <v>1160508</v>
      </c>
    </row>
    <row r="3575" spans="1:1" x14ac:dyDescent="0.25">
      <c r="A3575" s="2">
        <v>1161274</v>
      </c>
    </row>
    <row r="3576" spans="1:1" x14ac:dyDescent="0.25">
      <c r="A3576" s="2">
        <v>1161279</v>
      </c>
    </row>
    <row r="3577" spans="1:1" x14ac:dyDescent="0.25">
      <c r="A3577" s="2">
        <v>1161717</v>
      </c>
    </row>
    <row r="3578" spans="1:1" x14ac:dyDescent="0.25">
      <c r="A3578" s="2">
        <v>1161983</v>
      </c>
    </row>
    <row r="3579" spans="1:1" x14ac:dyDescent="0.25">
      <c r="A3579" s="2">
        <v>1162183</v>
      </c>
    </row>
    <row r="3580" spans="1:1" x14ac:dyDescent="0.25">
      <c r="A3580" s="2">
        <v>1163547</v>
      </c>
    </row>
    <row r="3581" spans="1:1" x14ac:dyDescent="0.25">
      <c r="A3581" s="2">
        <v>1163570</v>
      </c>
    </row>
    <row r="3582" spans="1:1" x14ac:dyDescent="0.25">
      <c r="A3582" s="2">
        <v>1164013</v>
      </c>
    </row>
    <row r="3583" spans="1:1" x14ac:dyDescent="0.25">
      <c r="A3583" s="2">
        <v>1164022</v>
      </c>
    </row>
    <row r="3584" spans="1:1" x14ac:dyDescent="0.25">
      <c r="A3584" s="2">
        <v>1164626</v>
      </c>
    </row>
    <row r="3585" spans="1:1" x14ac:dyDescent="0.25">
      <c r="A3585" s="2">
        <v>1164648</v>
      </c>
    </row>
    <row r="3586" spans="1:1" x14ac:dyDescent="0.25">
      <c r="A3586" s="2">
        <v>1164675</v>
      </c>
    </row>
    <row r="3587" spans="1:1" x14ac:dyDescent="0.25">
      <c r="A3587" s="2">
        <v>1164677</v>
      </c>
    </row>
    <row r="3588" spans="1:1" x14ac:dyDescent="0.25">
      <c r="A3588" s="2">
        <v>1164679</v>
      </c>
    </row>
    <row r="3589" spans="1:1" x14ac:dyDescent="0.25">
      <c r="A3589" s="2">
        <v>1164690</v>
      </c>
    </row>
    <row r="3590" spans="1:1" x14ac:dyDescent="0.25">
      <c r="A3590" s="2">
        <v>1164692</v>
      </c>
    </row>
    <row r="3591" spans="1:1" x14ac:dyDescent="0.25">
      <c r="A3591" s="2">
        <v>1164693</v>
      </c>
    </row>
    <row r="3592" spans="1:1" x14ac:dyDescent="0.25">
      <c r="A3592" s="2">
        <v>1164743</v>
      </c>
    </row>
    <row r="3593" spans="1:1" x14ac:dyDescent="0.25">
      <c r="A3593" s="2">
        <v>1164747</v>
      </c>
    </row>
    <row r="3594" spans="1:1" x14ac:dyDescent="0.25">
      <c r="A3594" s="2">
        <v>1164858</v>
      </c>
    </row>
    <row r="3595" spans="1:1" x14ac:dyDescent="0.25">
      <c r="A3595" s="2">
        <v>1164892</v>
      </c>
    </row>
    <row r="3596" spans="1:1" x14ac:dyDescent="0.25">
      <c r="A3596" s="2">
        <v>1164916</v>
      </c>
    </row>
    <row r="3597" spans="1:1" x14ac:dyDescent="0.25">
      <c r="A3597" s="2">
        <v>1164980</v>
      </c>
    </row>
    <row r="3598" spans="1:1" x14ac:dyDescent="0.25">
      <c r="A3598" s="2">
        <v>1165144</v>
      </c>
    </row>
    <row r="3599" spans="1:1" x14ac:dyDescent="0.25">
      <c r="A3599" s="2">
        <v>1165148</v>
      </c>
    </row>
    <row r="3600" spans="1:1" x14ac:dyDescent="0.25">
      <c r="A3600" s="2">
        <v>1165163</v>
      </c>
    </row>
    <row r="3601" spans="1:1" x14ac:dyDescent="0.25">
      <c r="A3601" s="2">
        <v>1165170</v>
      </c>
    </row>
    <row r="3602" spans="1:1" x14ac:dyDescent="0.25">
      <c r="A3602" s="2">
        <v>1165172</v>
      </c>
    </row>
    <row r="3603" spans="1:1" x14ac:dyDescent="0.25">
      <c r="A3603" s="2">
        <v>1165174</v>
      </c>
    </row>
    <row r="3604" spans="1:1" x14ac:dyDescent="0.25">
      <c r="A3604" s="2">
        <v>1165836</v>
      </c>
    </row>
    <row r="3605" spans="1:1" x14ac:dyDescent="0.25">
      <c r="A3605" s="2">
        <v>1165866</v>
      </c>
    </row>
    <row r="3606" spans="1:1" x14ac:dyDescent="0.25">
      <c r="A3606" s="2">
        <v>1165897</v>
      </c>
    </row>
    <row r="3607" spans="1:1" x14ac:dyDescent="0.25">
      <c r="A3607" s="2">
        <v>1165904</v>
      </c>
    </row>
    <row r="3608" spans="1:1" x14ac:dyDescent="0.25">
      <c r="A3608" s="2">
        <v>1165943</v>
      </c>
    </row>
    <row r="3609" spans="1:1" x14ac:dyDescent="0.25">
      <c r="A3609" s="2">
        <v>1165973</v>
      </c>
    </row>
    <row r="3610" spans="1:1" x14ac:dyDescent="0.25">
      <c r="A3610" s="2">
        <v>1166058</v>
      </c>
    </row>
    <row r="3611" spans="1:1" x14ac:dyDescent="0.25">
      <c r="A3611" s="2">
        <v>1166768</v>
      </c>
    </row>
    <row r="3612" spans="1:1" x14ac:dyDescent="0.25">
      <c r="A3612" s="2">
        <v>1166769</v>
      </c>
    </row>
    <row r="3613" spans="1:1" x14ac:dyDescent="0.25">
      <c r="A3613" s="2">
        <v>1166780</v>
      </c>
    </row>
    <row r="3614" spans="1:1" x14ac:dyDescent="0.25">
      <c r="A3614" s="2">
        <v>1166789</v>
      </c>
    </row>
    <row r="3615" spans="1:1" x14ac:dyDescent="0.25">
      <c r="A3615" s="2">
        <v>1166797</v>
      </c>
    </row>
    <row r="3616" spans="1:1" x14ac:dyDescent="0.25">
      <c r="A3616" s="2">
        <v>1166895</v>
      </c>
    </row>
    <row r="3617" spans="1:1" x14ac:dyDescent="0.25">
      <c r="A3617" s="2">
        <v>1166936</v>
      </c>
    </row>
    <row r="3618" spans="1:1" x14ac:dyDescent="0.25">
      <c r="A3618" s="2">
        <v>1166968</v>
      </c>
    </row>
    <row r="3619" spans="1:1" x14ac:dyDescent="0.25">
      <c r="A3619" s="2">
        <v>1167055</v>
      </c>
    </row>
    <row r="3620" spans="1:1" x14ac:dyDescent="0.25">
      <c r="A3620" s="2">
        <v>1167955</v>
      </c>
    </row>
    <row r="3621" spans="1:1" x14ac:dyDescent="0.25">
      <c r="A3621" s="2">
        <v>1168630</v>
      </c>
    </row>
    <row r="3622" spans="1:1" x14ac:dyDescent="0.25">
      <c r="A3622" s="2">
        <v>1168633</v>
      </c>
    </row>
    <row r="3623" spans="1:1" x14ac:dyDescent="0.25">
      <c r="A3623" s="2">
        <v>1168652</v>
      </c>
    </row>
    <row r="3624" spans="1:1" x14ac:dyDescent="0.25">
      <c r="A3624" s="2">
        <v>1168660</v>
      </c>
    </row>
    <row r="3625" spans="1:1" x14ac:dyDescent="0.25">
      <c r="A3625" s="2">
        <v>1168662</v>
      </c>
    </row>
    <row r="3626" spans="1:1" x14ac:dyDescent="0.25">
      <c r="A3626" s="2">
        <v>1168672</v>
      </c>
    </row>
    <row r="3627" spans="1:1" x14ac:dyDescent="0.25">
      <c r="A3627" s="2">
        <v>1168678</v>
      </c>
    </row>
    <row r="3628" spans="1:1" x14ac:dyDescent="0.25">
      <c r="A3628" s="2">
        <v>1168691</v>
      </c>
    </row>
    <row r="3629" spans="1:1" x14ac:dyDescent="0.25">
      <c r="A3629" s="2">
        <v>1168736</v>
      </c>
    </row>
    <row r="3630" spans="1:1" x14ac:dyDescent="0.25">
      <c r="A3630" s="2">
        <v>1168793</v>
      </c>
    </row>
    <row r="3631" spans="1:1" x14ac:dyDescent="0.25">
      <c r="A3631" s="2">
        <v>1168805</v>
      </c>
    </row>
    <row r="3632" spans="1:1" x14ac:dyDescent="0.25">
      <c r="A3632" s="2">
        <v>1168823</v>
      </c>
    </row>
    <row r="3633" spans="1:1" x14ac:dyDescent="0.25">
      <c r="A3633" s="2">
        <v>1168841</v>
      </c>
    </row>
    <row r="3634" spans="1:1" x14ac:dyDescent="0.25">
      <c r="A3634" s="2">
        <v>1168854</v>
      </c>
    </row>
    <row r="3635" spans="1:1" x14ac:dyDescent="0.25">
      <c r="A3635" s="2">
        <v>1168957</v>
      </c>
    </row>
    <row r="3636" spans="1:1" x14ac:dyDescent="0.25">
      <c r="A3636" s="2">
        <v>1168968</v>
      </c>
    </row>
    <row r="3637" spans="1:1" x14ac:dyDescent="0.25">
      <c r="A3637" s="2">
        <v>1169161</v>
      </c>
    </row>
    <row r="3638" spans="1:1" x14ac:dyDescent="0.25">
      <c r="A3638" s="2">
        <v>1169218</v>
      </c>
    </row>
    <row r="3639" spans="1:1" x14ac:dyDescent="0.25">
      <c r="A3639" s="2">
        <v>1169404</v>
      </c>
    </row>
    <row r="3640" spans="1:1" x14ac:dyDescent="0.25">
      <c r="A3640" s="2">
        <v>1169472</v>
      </c>
    </row>
    <row r="3641" spans="1:1" x14ac:dyDescent="0.25">
      <c r="A3641" s="2">
        <v>1169541</v>
      </c>
    </row>
    <row r="3642" spans="1:1" x14ac:dyDescent="0.25">
      <c r="A3642" s="2">
        <v>1169582</v>
      </c>
    </row>
    <row r="3643" spans="1:1" x14ac:dyDescent="0.25">
      <c r="A3643" s="2">
        <v>1169628</v>
      </c>
    </row>
    <row r="3644" spans="1:1" x14ac:dyDescent="0.25">
      <c r="A3644" s="2">
        <v>1170291</v>
      </c>
    </row>
    <row r="3645" spans="1:1" x14ac:dyDescent="0.25">
      <c r="A3645" s="2">
        <v>1170383</v>
      </c>
    </row>
    <row r="3646" spans="1:1" x14ac:dyDescent="0.25">
      <c r="A3646" s="2">
        <v>1170401</v>
      </c>
    </row>
    <row r="3647" spans="1:1" x14ac:dyDescent="0.25">
      <c r="A3647" s="2">
        <v>1170414</v>
      </c>
    </row>
    <row r="3648" spans="1:1" x14ac:dyDescent="0.25">
      <c r="A3648" s="2">
        <v>1170456</v>
      </c>
    </row>
    <row r="3649" spans="1:1" x14ac:dyDescent="0.25">
      <c r="A3649" s="2">
        <v>1170457</v>
      </c>
    </row>
    <row r="3650" spans="1:1" x14ac:dyDescent="0.25">
      <c r="A3650" s="2">
        <v>1170463</v>
      </c>
    </row>
    <row r="3651" spans="1:1" x14ac:dyDescent="0.25">
      <c r="A3651" s="2">
        <v>1170474</v>
      </c>
    </row>
    <row r="3652" spans="1:1" x14ac:dyDescent="0.25">
      <c r="A3652" s="2">
        <v>1170475</v>
      </c>
    </row>
    <row r="3653" spans="1:1" x14ac:dyDescent="0.25">
      <c r="A3653" s="2">
        <v>1170478</v>
      </c>
    </row>
    <row r="3654" spans="1:1" x14ac:dyDescent="0.25">
      <c r="A3654" s="2">
        <v>1170484</v>
      </c>
    </row>
    <row r="3655" spans="1:1" x14ac:dyDescent="0.25">
      <c r="A3655" s="2">
        <v>1170496</v>
      </c>
    </row>
    <row r="3656" spans="1:1" x14ac:dyDescent="0.25">
      <c r="A3656" s="2">
        <v>1173457</v>
      </c>
    </row>
    <row r="3657" spans="1:1" x14ac:dyDescent="0.25">
      <c r="A3657" s="2">
        <v>1174214</v>
      </c>
    </row>
    <row r="3658" spans="1:1" x14ac:dyDescent="0.25">
      <c r="A3658" s="2">
        <v>1174239</v>
      </c>
    </row>
    <row r="3659" spans="1:1" x14ac:dyDescent="0.25">
      <c r="A3659" s="2">
        <v>1174604</v>
      </c>
    </row>
    <row r="3660" spans="1:1" x14ac:dyDescent="0.25">
      <c r="A3660" s="2">
        <v>1174631</v>
      </c>
    </row>
    <row r="3661" spans="1:1" x14ac:dyDescent="0.25">
      <c r="A3661" s="2">
        <v>1175795</v>
      </c>
    </row>
    <row r="3662" spans="1:1" x14ac:dyDescent="0.25">
      <c r="A3662" s="2">
        <v>1176907</v>
      </c>
    </row>
    <row r="3663" spans="1:1" x14ac:dyDescent="0.25">
      <c r="A3663" s="2">
        <v>1176917</v>
      </c>
    </row>
    <row r="3664" spans="1:1" x14ac:dyDescent="0.25">
      <c r="A3664" s="2">
        <v>1176926</v>
      </c>
    </row>
    <row r="3665" spans="1:1" x14ac:dyDescent="0.25">
      <c r="A3665" s="2">
        <v>1177041</v>
      </c>
    </row>
    <row r="3666" spans="1:1" x14ac:dyDescent="0.25">
      <c r="A3666" s="2">
        <v>1177050</v>
      </c>
    </row>
    <row r="3667" spans="1:1" x14ac:dyDescent="0.25">
      <c r="A3667" s="2">
        <v>1177077</v>
      </c>
    </row>
    <row r="3668" spans="1:1" x14ac:dyDescent="0.25">
      <c r="A3668" s="2">
        <v>1177168</v>
      </c>
    </row>
    <row r="3669" spans="1:1" x14ac:dyDescent="0.25">
      <c r="A3669" s="2">
        <v>1177175</v>
      </c>
    </row>
    <row r="3670" spans="1:1" x14ac:dyDescent="0.25">
      <c r="A3670" s="2">
        <v>1177213</v>
      </c>
    </row>
    <row r="3671" spans="1:1" x14ac:dyDescent="0.25">
      <c r="A3671" s="2">
        <v>1183680</v>
      </c>
    </row>
    <row r="3672" spans="1:1" x14ac:dyDescent="0.25">
      <c r="A3672" s="2">
        <v>1183730</v>
      </c>
    </row>
    <row r="3673" spans="1:1" x14ac:dyDescent="0.25">
      <c r="A3673" s="2">
        <v>1183878</v>
      </c>
    </row>
    <row r="3674" spans="1:1" x14ac:dyDescent="0.25">
      <c r="A3674" s="2">
        <v>1183897</v>
      </c>
    </row>
    <row r="3675" spans="1:1" x14ac:dyDescent="0.25">
      <c r="A3675" s="2">
        <v>1183932</v>
      </c>
    </row>
    <row r="3676" spans="1:1" x14ac:dyDescent="0.25">
      <c r="A3676" s="2">
        <v>1184086</v>
      </c>
    </row>
    <row r="3677" spans="1:1" x14ac:dyDescent="0.25">
      <c r="A3677" s="2">
        <v>1186105</v>
      </c>
    </row>
    <row r="3678" spans="1:1" x14ac:dyDescent="0.25">
      <c r="A3678" s="2">
        <v>1186165</v>
      </c>
    </row>
    <row r="3679" spans="1:1" x14ac:dyDescent="0.25">
      <c r="A3679" s="2">
        <v>1189741</v>
      </c>
    </row>
    <row r="3680" spans="1:1" x14ac:dyDescent="0.25">
      <c r="A3680" s="2">
        <v>1189756</v>
      </c>
    </row>
    <row r="3681" spans="1:1" x14ac:dyDescent="0.25">
      <c r="A3681" s="2">
        <v>1189757</v>
      </c>
    </row>
    <row r="3682" spans="1:1" x14ac:dyDescent="0.25">
      <c r="A3682" s="2">
        <v>1189773</v>
      </c>
    </row>
    <row r="3683" spans="1:1" x14ac:dyDescent="0.25">
      <c r="A3683" s="2">
        <v>1202273</v>
      </c>
    </row>
    <row r="3684" spans="1:1" x14ac:dyDescent="0.25">
      <c r="A3684" s="2">
        <v>1202296</v>
      </c>
    </row>
    <row r="3685" spans="1:1" x14ac:dyDescent="0.25">
      <c r="A3685" s="2">
        <v>1202307</v>
      </c>
    </row>
    <row r="3686" spans="1:1" x14ac:dyDescent="0.25">
      <c r="A3686" s="2">
        <v>1202331</v>
      </c>
    </row>
    <row r="3687" spans="1:1" x14ac:dyDescent="0.25">
      <c r="A3687" s="2">
        <v>1202382</v>
      </c>
    </row>
    <row r="3688" spans="1:1" x14ac:dyDescent="0.25">
      <c r="A3688" s="2">
        <v>1204262</v>
      </c>
    </row>
    <row r="3689" spans="1:1" x14ac:dyDescent="0.25">
      <c r="A3689" s="2">
        <v>1204286</v>
      </c>
    </row>
    <row r="3690" spans="1:1" x14ac:dyDescent="0.25">
      <c r="A3690" s="2">
        <v>1204356</v>
      </c>
    </row>
    <row r="3691" spans="1:1" x14ac:dyDescent="0.25">
      <c r="A3691" s="2">
        <v>1204437</v>
      </c>
    </row>
    <row r="3692" spans="1:1" x14ac:dyDescent="0.25">
      <c r="A3692" s="2">
        <v>1205259</v>
      </c>
    </row>
    <row r="3693" spans="1:1" x14ac:dyDescent="0.25">
      <c r="A3693" s="2">
        <v>1205589</v>
      </c>
    </row>
    <row r="3694" spans="1:1" x14ac:dyDescent="0.25">
      <c r="A3694" s="2">
        <v>1205598</v>
      </c>
    </row>
    <row r="3695" spans="1:1" x14ac:dyDescent="0.25">
      <c r="A3695" s="2">
        <v>1205738</v>
      </c>
    </row>
    <row r="3696" spans="1:1" x14ac:dyDescent="0.25">
      <c r="A3696" s="2">
        <v>1205805</v>
      </c>
    </row>
    <row r="3697" spans="1:1" x14ac:dyDescent="0.25">
      <c r="A3697" s="2">
        <v>1205875</v>
      </c>
    </row>
    <row r="3698" spans="1:1" x14ac:dyDescent="0.25">
      <c r="A3698" s="2">
        <v>1205889</v>
      </c>
    </row>
    <row r="3699" spans="1:1" x14ac:dyDescent="0.25">
      <c r="A3699" s="2">
        <v>1205890</v>
      </c>
    </row>
    <row r="3700" spans="1:1" x14ac:dyDescent="0.25">
      <c r="A3700" s="2">
        <v>1207573</v>
      </c>
    </row>
    <row r="3701" spans="1:1" x14ac:dyDescent="0.25">
      <c r="A3701" s="2">
        <v>1207586</v>
      </c>
    </row>
    <row r="3702" spans="1:1" x14ac:dyDescent="0.25">
      <c r="A3702" s="2">
        <v>1207587</v>
      </c>
    </row>
    <row r="3703" spans="1:1" x14ac:dyDescent="0.25">
      <c r="A3703" s="2">
        <v>1207592</v>
      </c>
    </row>
    <row r="3704" spans="1:1" x14ac:dyDescent="0.25">
      <c r="A3704" s="2">
        <v>1208516</v>
      </c>
    </row>
    <row r="3705" spans="1:1" x14ac:dyDescent="0.25">
      <c r="A3705" s="2">
        <v>1208521</v>
      </c>
    </row>
    <row r="3706" spans="1:1" x14ac:dyDescent="0.25">
      <c r="A3706" s="2">
        <v>1208539</v>
      </c>
    </row>
    <row r="3707" spans="1:1" x14ac:dyDescent="0.25">
      <c r="A3707" s="2">
        <v>1208544</v>
      </c>
    </row>
    <row r="3708" spans="1:1" x14ac:dyDescent="0.25">
      <c r="A3708" s="2">
        <v>1208946</v>
      </c>
    </row>
    <row r="3709" spans="1:1" x14ac:dyDescent="0.25">
      <c r="A3709" s="2">
        <v>1209004</v>
      </c>
    </row>
    <row r="3710" spans="1:1" x14ac:dyDescent="0.25">
      <c r="A3710" s="2">
        <v>1209013</v>
      </c>
    </row>
    <row r="3711" spans="1:1" x14ac:dyDescent="0.25">
      <c r="A3711" s="2">
        <v>1209016</v>
      </c>
    </row>
    <row r="3712" spans="1:1" x14ac:dyDescent="0.25">
      <c r="A3712" s="2">
        <v>1209055</v>
      </c>
    </row>
    <row r="3713" spans="1:1" x14ac:dyDescent="0.25">
      <c r="A3713" s="2">
        <v>1209064</v>
      </c>
    </row>
    <row r="3714" spans="1:1" x14ac:dyDescent="0.25">
      <c r="A3714" s="2">
        <v>1209143</v>
      </c>
    </row>
    <row r="3715" spans="1:1" x14ac:dyDescent="0.25">
      <c r="A3715" s="2">
        <v>1209148</v>
      </c>
    </row>
    <row r="3716" spans="1:1" x14ac:dyDescent="0.25">
      <c r="A3716" s="2">
        <v>1209156</v>
      </c>
    </row>
    <row r="3717" spans="1:1" x14ac:dyDescent="0.25">
      <c r="A3717" s="2">
        <v>1209163</v>
      </c>
    </row>
    <row r="3718" spans="1:1" x14ac:dyDescent="0.25">
      <c r="A3718" s="2">
        <v>1209232</v>
      </c>
    </row>
    <row r="3719" spans="1:1" x14ac:dyDescent="0.25">
      <c r="A3719" s="2">
        <v>1209240</v>
      </c>
    </row>
    <row r="3720" spans="1:1" x14ac:dyDescent="0.25">
      <c r="A3720" s="2">
        <v>1209292</v>
      </c>
    </row>
    <row r="3721" spans="1:1" x14ac:dyDescent="0.25">
      <c r="A3721" s="2">
        <v>1209306</v>
      </c>
    </row>
    <row r="3722" spans="1:1" x14ac:dyDescent="0.25">
      <c r="A3722" s="2">
        <v>1209337</v>
      </c>
    </row>
    <row r="3723" spans="1:1" x14ac:dyDescent="0.25">
      <c r="A3723" s="2">
        <v>1209371</v>
      </c>
    </row>
    <row r="3724" spans="1:1" x14ac:dyDescent="0.25">
      <c r="A3724" s="2">
        <v>1209394</v>
      </c>
    </row>
    <row r="3725" spans="1:1" x14ac:dyDescent="0.25">
      <c r="A3725" s="2">
        <v>1209579</v>
      </c>
    </row>
    <row r="3726" spans="1:1" x14ac:dyDescent="0.25">
      <c r="A3726" s="2">
        <v>1209621</v>
      </c>
    </row>
    <row r="3727" spans="1:1" x14ac:dyDescent="0.25">
      <c r="A3727" s="2">
        <v>1209667</v>
      </c>
    </row>
    <row r="3728" spans="1:1" x14ac:dyDescent="0.25">
      <c r="A3728" s="2">
        <v>1209834</v>
      </c>
    </row>
    <row r="3729" spans="1:1" x14ac:dyDescent="0.25">
      <c r="A3729" s="2">
        <v>1209837</v>
      </c>
    </row>
    <row r="3730" spans="1:1" x14ac:dyDescent="0.25">
      <c r="A3730" s="2">
        <v>1209901</v>
      </c>
    </row>
    <row r="3731" spans="1:1" x14ac:dyDescent="0.25">
      <c r="A3731" s="2">
        <v>1209902</v>
      </c>
    </row>
    <row r="3732" spans="1:1" x14ac:dyDescent="0.25">
      <c r="A3732" s="2">
        <v>1209926</v>
      </c>
    </row>
    <row r="3733" spans="1:1" x14ac:dyDescent="0.25">
      <c r="A3733" s="2">
        <v>1209966</v>
      </c>
    </row>
    <row r="3734" spans="1:1" x14ac:dyDescent="0.25">
      <c r="A3734" s="2">
        <v>1210055</v>
      </c>
    </row>
    <row r="3735" spans="1:1" x14ac:dyDescent="0.25">
      <c r="A3735" s="2">
        <v>1210066</v>
      </c>
    </row>
    <row r="3736" spans="1:1" x14ac:dyDescent="0.25">
      <c r="A3736" s="2">
        <v>1210100</v>
      </c>
    </row>
    <row r="3737" spans="1:1" x14ac:dyDescent="0.25">
      <c r="A3737" s="2">
        <v>1210108</v>
      </c>
    </row>
    <row r="3738" spans="1:1" x14ac:dyDescent="0.25">
      <c r="A3738" s="2">
        <v>1210845</v>
      </c>
    </row>
    <row r="3739" spans="1:1" x14ac:dyDescent="0.25">
      <c r="A3739" s="2">
        <v>1210861</v>
      </c>
    </row>
    <row r="3740" spans="1:1" x14ac:dyDescent="0.25">
      <c r="A3740" s="2">
        <v>1210869</v>
      </c>
    </row>
    <row r="3741" spans="1:1" x14ac:dyDescent="0.25">
      <c r="A3741" s="2">
        <v>1210875</v>
      </c>
    </row>
    <row r="3742" spans="1:1" x14ac:dyDescent="0.25">
      <c r="A3742" s="2">
        <v>1210889</v>
      </c>
    </row>
    <row r="3743" spans="1:1" x14ac:dyDescent="0.25">
      <c r="A3743" s="2">
        <v>1210900</v>
      </c>
    </row>
    <row r="3744" spans="1:1" x14ac:dyDescent="0.25">
      <c r="A3744" s="2">
        <v>1210915</v>
      </c>
    </row>
    <row r="3745" spans="1:1" x14ac:dyDescent="0.25">
      <c r="A3745" s="2">
        <v>1210936</v>
      </c>
    </row>
    <row r="3746" spans="1:1" x14ac:dyDescent="0.25">
      <c r="A3746" s="2">
        <v>1210953</v>
      </c>
    </row>
    <row r="3747" spans="1:1" x14ac:dyDescent="0.25">
      <c r="A3747" s="2">
        <v>1210967</v>
      </c>
    </row>
    <row r="3748" spans="1:1" x14ac:dyDescent="0.25">
      <c r="A3748" s="2">
        <v>1210976</v>
      </c>
    </row>
    <row r="3749" spans="1:1" x14ac:dyDescent="0.25">
      <c r="A3749" s="2">
        <v>1211248</v>
      </c>
    </row>
    <row r="3750" spans="1:1" x14ac:dyDescent="0.25">
      <c r="A3750" s="2">
        <v>1211319</v>
      </c>
    </row>
    <row r="3751" spans="1:1" x14ac:dyDescent="0.25">
      <c r="A3751" s="2">
        <v>1211419</v>
      </c>
    </row>
    <row r="3752" spans="1:1" x14ac:dyDescent="0.25">
      <c r="A3752" s="2">
        <v>1211425</v>
      </c>
    </row>
    <row r="3753" spans="1:1" x14ac:dyDescent="0.25">
      <c r="A3753" s="2">
        <v>1211433</v>
      </c>
    </row>
    <row r="3754" spans="1:1" x14ac:dyDescent="0.25">
      <c r="A3754" s="2">
        <v>1211438</v>
      </c>
    </row>
    <row r="3755" spans="1:1" x14ac:dyDescent="0.25">
      <c r="A3755" s="2">
        <v>1211458</v>
      </c>
    </row>
    <row r="3756" spans="1:1" x14ac:dyDescent="0.25">
      <c r="A3756" s="2">
        <v>1212371</v>
      </c>
    </row>
    <row r="3757" spans="1:1" x14ac:dyDescent="0.25">
      <c r="A3757" s="2">
        <v>1212397</v>
      </c>
    </row>
    <row r="3758" spans="1:1" x14ac:dyDescent="0.25">
      <c r="A3758" s="2">
        <v>1212405</v>
      </c>
    </row>
    <row r="3759" spans="1:1" x14ac:dyDescent="0.25">
      <c r="A3759" s="2">
        <v>1212417</v>
      </c>
    </row>
    <row r="3760" spans="1:1" x14ac:dyDescent="0.25">
      <c r="A3760" s="2">
        <v>1212631</v>
      </c>
    </row>
    <row r="3761" spans="1:1" x14ac:dyDescent="0.25">
      <c r="A3761" s="2">
        <v>1212643</v>
      </c>
    </row>
    <row r="3762" spans="1:1" x14ac:dyDescent="0.25">
      <c r="A3762" s="2">
        <v>1212648</v>
      </c>
    </row>
    <row r="3763" spans="1:1" x14ac:dyDescent="0.25">
      <c r="A3763" s="2">
        <v>1212730</v>
      </c>
    </row>
    <row r="3764" spans="1:1" x14ac:dyDescent="0.25">
      <c r="A3764" s="2">
        <v>1212815</v>
      </c>
    </row>
    <row r="3765" spans="1:1" x14ac:dyDescent="0.25">
      <c r="A3765" s="2">
        <v>1212916</v>
      </c>
    </row>
    <row r="3766" spans="1:1" x14ac:dyDescent="0.25">
      <c r="A3766" s="2">
        <v>1213372</v>
      </c>
    </row>
    <row r="3767" spans="1:1" x14ac:dyDescent="0.25">
      <c r="A3767" s="2">
        <v>1213863</v>
      </c>
    </row>
    <row r="3768" spans="1:1" x14ac:dyDescent="0.25">
      <c r="A3768" s="2">
        <v>1213871</v>
      </c>
    </row>
    <row r="3769" spans="1:1" x14ac:dyDescent="0.25">
      <c r="A3769" s="2">
        <v>1214393</v>
      </c>
    </row>
    <row r="3770" spans="1:1" x14ac:dyDescent="0.25">
      <c r="A3770" s="2">
        <v>1215615</v>
      </c>
    </row>
    <row r="3771" spans="1:1" x14ac:dyDescent="0.25">
      <c r="A3771" s="2">
        <v>1215639</v>
      </c>
    </row>
    <row r="3772" spans="1:1" x14ac:dyDescent="0.25">
      <c r="A3772" s="2">
        <v>1215651</v>
      </c>
    </row>
    <row r="3773" spans="1:1" x14ac:dyDescent="0.25">
      <c r="A3773" s="2">
        <v>1215661</v>
      </c>
    </row>
    <row r="3774" spans="1:1" x14ac:dyDescent="0.25">
      <c r="A3774" s="2">
        <v>1215666</v>
      </c>
    </row>
    <row r="3775" spans="1:1" x14ac:dyDescent="0.25">
      <c r="A3775" s="2">
        <v>1215671</v>
      </c>
    </row>
    <row r="3776" spans="1:1" x14ac:dyDescent="0.25">
      <c r="A3776" s="2">
        <v>1215677</v>
      </c>
    </row>
    <row r="3777" spans="1:1" x14ac:dyDescent="0.25">
      <c r="A3777" s="2">
        <v>1218215</v>
      </c>
    </row>
    <row r="3778" spans="1:1" x14ac:dyDescent="0.25">
      <c r="A3778" s="2">
        <v>1218257</v>
      </c>
    </row>
    <row r="3779" spans="1:1" x14ac:dyDescent="0.25">
      <c r="A3779" s="2">
        <v>1218388</v>
      </c>
    </row>
    <row r="3780" spans="1:1" x14ac:dyDescent="0.25">
      <c r="A3780" s="2">
        <v>1218415</v>
      </c>
    </row>
    <row r="3781" spans="1:1" x14ac:dyDescent="0.25">
      <c r="A3781" s="2">
        <v>1218458</v>
      </c>
    </row>
    <row r="3782" spans="1:1" x14ac:dyDescent="0.25">
      <c r="A3782" s="2">
        <v>1218585</v>
      </c>
    </row>
    <row r="3783" spans="1:1" x14ac:dyDescent="0.25">
      <c r="A3783" s="2">
        <v>1218610</v>
      </c>
    </row>
    <row r="3784" spans="1:1" x14ac:dyDescent="0.25">
      <c r="A3784" s="2">
        <v>1218634</v>
      </c>
    </row>
    <row r="3785" spans="1:1" x14ac:dyDescent="0.25">
      <c r="A3785" s="2">
        <v>1218699</v>
      </c>
    </row>
    <row r="3786" spans="1:1" x14ac:dyDescent="0.25">
      <c r="A3786" s="2">
        <v>1220236</v>
      </c>
    </row>
    <row r="3787" spans="1:1" x14ac:dyDescent="0.25">
      <c r="A3787" s="2">
        <v>1220261</v>
      </c>
    </row>
    <row r="3788" spans="1:1" x14ac:dyDescent="0.25">
      <c r="A3788" s="2">
        <v>1220273</v>
      </c>
    </row>
    <row r="3789" spans="1:1" x14ac:dyDescent="0.25">
      <c r="A3789" s="2">
        <v>1220277</v>
      </c>
    </row>
    <row r="3790" spans="1:1" x14ac:dyDescent="0.25">
      <c r="A3790" s="2">
        <v>1220289</v>
      </c>
    </row>
    <row r="3791" spans="1:1" x14ac:dyDescent="0.25">
      <c r="A3791" s="2">
        <v>1220290</v>
      </c>
    </row>
    <row r="3792" spans="1:1" x14ac:dyDescent="0.25">
      <c r="A3792" s="2">
        <v>1220300</v>
      </c>
    </row>
    <row r="3793" spans="1:1" x14ac:dyDescent="0.25">
      <c r="A3793" s="2">
        <v>1220312</v>
      </c>
    </row>
    <row r="3794" spans="1:1" x14ac:dyDescent="0.25">
      <c r="A3794" s="2">
        <v>1220342</v>
      </c>
    </row>
    <row r="3795" spans="1:1" x14ac:dyDescent="0.25">
      <c r="A3795" s="2">
        <v>1220361</v>
      </c>
    </row>
    <row r="3796" spans="1:1" x14ac:dyDescent="0.25">
      <c r="A3796" s="2">
        <v>1220369</v>
      </c>
    </row>
    <row r="3797" spans="1:1" x14ac:dyDescent="0.25">
      <c r="A3797" s="2">
        <v>1220407</v>
      </c>
    </row>
    <row r="3798" spans="1:1" x14ac:dyDescent="0.25">
      <c r="A3798" s="2">
        <v>1220450</v>
      </c>
    </row>
    <row r="3799" spans="1:1" x14ac:dyDescent="0.25">
      <c r="A3799" s="2">
        <v>1220451</v>
      </c>
    </row>
    <row r="3800" spans="1:1" x14ac:dyDescent="0.25">
      <c r="A3800" s="2">
        <v>1220464</v>
      </c>
    </row>
    <row r="3801" spans="1:1" x14ac:dyDescent="0.25">
      <c r="A3801" s="2">
        <v>1220492</v>
      </c>
    </row>
    <row r="3802" spans="1:1" x14ac:dyDescent="0.25">
      <c r="A3802" s="2">
        <v>1221654</v>
      </c>
    </row>
    <row r="3803" spans="1:1" x14ac:dyDescent="0.25">
      <c r="A3803" s="2">
        <v>1225626</v>
      </c>
    </row>
    <row r="3804" spans="1:1" x14ac:dyDescent="0.25">
      <c r="A3804" s="2">
        <v>1226405</v>
      </c>
    </row>
    <row r="3805" spans="1:1" x14ac:dyDescent="0.25">
      <c r="A3805" s="2">
        <v>1229505</v>
      </c>
    </row>
    <row r="3806" spans="1:1" x14ac:dyDescent="0.25">
      <c r="A3806" s="2">
        <v>1229525</v>
      </c>
    </row>
    <row r="3807" spans="1:1" x14ac:dyDescent="0.25">
      <c r="A3807" s="2">
        <v>1229568</v>
      </c>
    </row>
    <row r="3808" spans="1:1" x14ac:dyDescent="0.25">
      <c r="A3808" s="2">
        <v>1229627</v>
      </c>
    </row>
    <row r="3809" spans="1:1" x14ac:dyDescent="0.25">
      <c r="A3809" s="2">
        <v>1229693</v>
      </c>
    </row>
    <row r="3810" spans="1:1" x14ac:dyDescent="0.25">
      <c r="A3810" s="2">
        <v>1229706</v>
      </c>
    </row>
    <row r="3811" spans="1:1" x14ac:dyDescent="0.25">
      <c r="A3811" s="2">
        <v>1229711</v>
      </c>
    </row>
    <row r="3812" spans="1:1" x14ac:dyDescent="0.25">
      <c r="A3812" s="2">
        <v>1229873</v>
      </c>
    </row>
    <row r="3813" spans="1:1" x14ac:dyDescent="0.25">
      <c r="A3813" s="2">
        <v>1233937</v>
      </c>
    </row>
    <row r="3814" spans="1:1" x14ac:dyDescent="0.25">
      <c r="A3814" s="2">
        <v>1234021</v>
      </c>
    </row>
    <row r="3815" spans="1:1" x14ac:dyDescent="0.25">
      <c r="A3815" s="2">
        <v>1235499</v>
      </c>
    </row>
    <row r="3816" spans="1:1" x14ac:dyDescent="0.25">
      <c r="A3816" s="2">
        <v>1236298</v>
      </c>
    </row>
    <row r="3817" spans="1:1" x14ac:dyDescent="0.25">
      <c r="A3817" s="2">
        <v>1236482</v>
      </c>
    </row>
    <row r="3818" spans="1:1" x14ac:dyDescent="0.25">
      <c r="A3818" s="2">
        <v>1236596</v>
      </c>
    </row>
    <row r="3819" spans="1:1" x14ac:dyDescent="0.25">
      <c r="A3819" s="2">
        <v>1236618</v>
      </c>
    </row>
    <row r="3820" spans="1:1" x14ac:dyDescent="0.25">
      <c r="A3820" s="2">
        <v>1236625</v>
      </c>
    </row>
    <row r="3821" spans="1:1" x14ac:dyDescent="0.25">
      <c r="A3821" s="2">
        <v>1237436</v>
      </c>
    </row>
    <row r="3822" spans="1:1" x14ac:dyDescent="0.25">
      <c r="A3822" s="2">
        <v>1237437</v>
      </c>
    </row>
    <row r="3823" spans="1:1" x14ac:dyDescent="0.25">
      <c r="A3823" s="2">
        <v>1237442</v>
      </c>
    </row>
    <row r="3824" spans="1:1" x14ac:dyDescent="0.25">
      <c r="A3824" s="2">
        <v>1237443</v>
      </c>
    </row>
    <row r="3825" spans="1:1" x14ac:dyDescent="0.25">
      <c r="A3825" s="2">
        <v>1237450</v>
      </c>
    </row>
    <row r="3826" spans="1:1" x14ac:dyDescent="0.25">
      <c r="A3826" s="2">
        <v>1237508</v>
      </c>
    </row>
    <row r="3827" spans="1:1" x14ac:dyDescent="0.25">
      <c r="A3827" s="2">
        <v>1237516</v>
      </c>
    </row>
    <row r="3828" spans="1:1" x14ac:dyDescent="0.25">
      <c r="A3828" s="2">
        <v>1237527</v>
      </c>
    </row>
    <row r="3829" spans="1:1" x14ac:dyDescent="0.25">
      <c r="A3829" s="2">
        <v>1239352</v>
      </c>
    </row>
    <row r="3830" spans="1:1" x14ac:dyDescent="0.25">
      <c r="A3830" s="2">
        <v>1239367</v>
      </c>
    </row>
    <row r="3831" spans="1:1" x14ac:dyDescent="0.25">
      <c r="A3831" s="2">
        <v>1239430</v>
      </c>
    </row>
    <row r="3832" spans="1:1" x14ac:dyDescent="0.25">
      <c r="A3832" s="2">
        <v>1239431</v>
      </c>
    </row>
    <row r="3833" spans="1:1" x14ac:dyDescent="0.25">
      <c r="A3833" s="2">
        <v>1239447</v>
      </c>
    </row>
    <row r="3834" spans="1:1" x14ac:dyDescent="0.25">
      <c r="A3834" s="2">
        <v>1239462</v>
      </c>
    </row>
    <row r="3835" spans="1:1" x14ac:dyDescent="0.25">
      <c r="A3835" s="2">
        <v>1239471</v>
      </c>
    </row>
    <row r="3836" spans="1:1" x14ac:dyDescent="0.25">
      <c r="A3836" s="2">
        <v>1239491</v>
      </c>
    </row>
    <row r="3837" spans="1:1" x14ac:dyDescent="0.25">
      <c r="A3837" s="2">
        <v>1239538</v>
      </c>
    </row>
    <row r="3838" spans="1:1" x14ac:dyDescent="0.25">
      <c r="A3838" s="2">
        <v>1239540</v>
      </c>
    </row>
    <row r="3839" spans="1:1" x14ac:dyDescent="0.25">
      <c r="A3839" s="2">
        <v>1239796</v>
      </c>
    </row>
    <row r="3840" spans="1:1" x14ac:dyDescent="0.25">
      <c r="A3840" s="2">
        <v>1239823</v>
      </c>
    </row>
    <row r="3841" spans="1:1" x14ac:dyDescent="0.25">
      <c r="A3841" s="2">
        <v>1240175</v>
      </c>
    </row>
    <row r="3842" spans="1:1" x14ac:dyDescent="0.25">
      <c r="A3842" s="2">
        <v>1240880</v>
      </c>
    </row>
    <row r="3843" spans="1:1" x14ac:dyDescent="0.25">
      <c r="A3843" s="2">
        <v>1240913</v>
      </c>
    </row>
    <row r="3844" spans="1:1" x14ac:dyDescent="0.25">
      <c r="A3844" s="2">
        <v>1240914</v>
      </c>
    </row>
    <row r="3845" spans="1:1" x14ac:dyDescent="0.25">
      <c r="A3845" s="2">
        <v>1240949</v>
      </c>
    </row>
    <row r="3846" spans="1:1" x14ac:dyDescent="0.25">
      <c r="A3846" s="2">
        <v>1240951</v>
      </c>
    </row>
    <row r="3847" spans="1:1" x14ac:dyDescent="0.25">
      <c r="A3847" s="2">
        <v>1240970</v>
      </c>
    </row>
    <row r="3848" spans="1:1" x14ac:dyDescent="0.25">
      <c r="A3848" s="2">
        <v>1240981</v>
      </c>
    </row>
    <row r="3849" spans="1:1" x14ac:dyDescent="0.25">
      <c r="A3849" s="2">
        <v>1241123</v>
      </c>
    </row>
    <row r="3850" spans="1:1" x14ac:dyDescent="0.25">
      <c r="A3850" s="2">
        <v>1241303</v>
      </c>
    </row>
    <row r="3851" spans="1:1" x14ac:dyDescent="0.25">
      <c r="A3851" s="2">
        <v>1241307</v>
      </c>
    </row>
    <row r="3852" spans="1:1" x14ac:dyDescent="0.25">
      <c r="A3852" s="2">
        <v>1241493</v>
      </c>
    </row>
    <row r="3853" spans="1:1" x14ac:dyDescent="0.25">
      <c r="A3853" s="2">
        <v>1241544</v>
      </c>
    </row>
    <row r="3854" spans="1:1" x14ac:dyDescent="0.25">
      <c r="A3854" s="2">
        <v>1241554</v>
      </c>
    </row>
    <row r="3855" spans="1:1" x14ac:dyDescent="0.25">
      <c r="A3855" s="2">
        <v>1241563</v>
      </c>
    </row>
    <row r="3856" spans="1:1" x14ac:dyDescent="0.25">
      <c r="A3856" s="2">
        <v>1241585</v>
      </c>
    </row>
    <row r="3857" spans="1:1" x14ac:dyDescent="0.25">
      <c r="A3857" s="2">
        <v>1241680</v>
      </c>
    </row>
    <row r="3858" spans="1:1" x14ac:dyDescent="0.25">
      <c r="A3858" s="2">
        <v>1241691</v>
      </c>
    </row>
    <row r="3859" spans="1:1" x14ac:dyDescent="0.25">
      <c r="A3859" s="2">
        <v>1241705</v>
      </c>
    </row>
    <row r="3860" spans="1:1" x14ac:dyDescent="0.25">
      <c r="A3860" s="2">
        <v>1241721</v>
      </c>
    </row>
    <row r="3861" spans="1:1" x14ac:dyDescent="0.25">
      <c r="A3861" s="2">
        <v>1241758</v>
      </c>
    </row>
    <row r="3862" spans="1:1" x14ac:dyDescent="0.25">
      <c r="A3862" s="2">
        <v>1241823</v>
      </c>
    </row>
    <row r="3863" spans="1:1" x14ac:dyDescent="0.25">
      <c r="A3863" s="2">
        <v>1241841</v>
      </c>
    </row>
    <row r="3864" spans="1:1" x14ac:dyDescent="0.25">
      <c r="A3864" s="2">
        <v>1241924</v>
      </c>
    </row>
    <row r="3865" spans="1:1" x14ac:dyDescent="0.25">
      <c r="A3865" s="2">
        <v>1241937</v>
      </c>
    </row>
    <row r="3866" spans="1:1" x14ac:dyDescent="0.25">
      <c r="A3866" s="2">
        <v>1241946</v>
      </c>
    </row>
    <row r="3867" spans="1:1" x14ac:dyDescent="0.25">
      <c r="A3867" s="2">
        <v>1241980</v>
      </c>
    </row>
    <row r="3868" spans="1:1" x14ac:dyDescent="0.25">
      <c r="A3868" s="2">
        <v>1241993</v>
      </c>
    </row>
    <row r="3869" spans="1:1" x14ac:dyDescent="0.25">
      <c r="A3869" s="2">
        <v>1242074</v>
      </c>
    </row>
    <row r="3870" spans="1:1" x14ac:dyDescent="0.25">
      <c r="A3870" s="2">
        <v>1242509</v>
      </c>
    </row>
    <row r="3871" spans="1:1" x14ac:dyDescent="0.25">
      <c r="A3871" s="2">
        <v>1242515</v>
      </c>
    </row>
    <row r="3872" spans="1:1" x14ac:dyDescent="0.25">
      <c r="A3872" s="2">
        <v>1242529</v>
      </c>
    </row>
    <row r="3873" spans="1:1" x14ac:dyDescent="0.25">
      <c r="A3873" s="2">
        <v>1242592</v>
      </c>
    </row>
    <row r="3874" spans="1:1" x14ac:dyDescent="0.25">
      <c r="A3874" s="2">
        <v>1242600</v>
      </c>
    </row>
    <row r="3875" spans="1:1" x14ac:dyDescent="0.25">
      <c r="A3875" s="2">
        <v>1242665</v>
      </c>
    </row>
    <row r="3876" spans="1:1" x14ac:dyDescent="0.25">
      <c r="A3876" s="2">
        <v>1242779</v>
      </c>
    </row>
    <row r="3877" spans="1:1" x14ac:dyDescent="0.25">
      <c r="A3877" s="2">
        <v>1244035</v>
      </c>
    </row>
    <row r="3878" spans="1:1" x14ac:dyDescent="0.25">
      <c r="A3878" s="2">
        <v>1244036</v>
      </c>
    </row>
    <row r="3879" spans="1:1" x14ac:dyDescent="0.25">
      <c r="A3879" s="2">
        <v>1244075</v>
      </c>
    </row>
    <row r="3880" spans="1:1" x14ac:dyDescent="0.25">
      <c r="A3880" s="2">
        <v>1244088</v>
      </c>
    </row>
    <row r="3881" spans="1:1" x14ac:dyDescent="0.25">
      <c r="A3881" s="2">
        <v>1244089</v>
      </c>
    </row>
    <row r="3882" spans="1:1" x14ac:dyDescent="0.25">
      <c r="A3882" s="2">
        <v>1244116</v>
      </c>
    </row>
    <row r="3883" spans="1:1" x14ac:dyDescent="0.25">
      <c r="A3883" s="2">
        <v>1244130</v>
      </c>
    </row>
    <row r="3884" spans="1:1" x14ac:dyDescent="0.25">
      <c r="A3884" s="2">
        <v>1244139</v>
      </c>
    </row>
    <row r="3885" spans="1:1" x14ac:dyDescent="0.25">
      <c r="A3885" s="2">
        <v>1244158</v>
      </c>
    </row>
    <row r="3886" spans="1:1" x14ac:dyDescent="0.25">
      <c r="A3886" s="2">
        <v>1244159</v>
      </c>
    </row>
    <row r="3887" spans="1:1" x14ac:dyDescent="0.25">
      <c r="A3887" s="2">
        <v>1244173</v>
      </c>
    </row>
    <row r="3888" spans="1:1" x14ac:dyDescent="0.25">
      <c r="A3888" s="2">
        <v>1244195</v>
      </c>
    </row>
    <row r="3889" spans="1:1" x14ac:dyDescent="0.25">
      <c r="A3889" s="2">
        <v>1244196</v>
      </c>
    </row>
    <row r="3890" spans="1:1" x14ac:dyDescent="0.25">
      <c r="A3890" s="2">
        <v>1244211</v>
      </c>
    </row>
    <row r="3891" spans="1:1" x14ac:dyDescent="0.25">
      <c r="A3891" s="2">
        <v>1244227</v>
      </c>
    </row>
    <row r="3892" spans="1:1" x14ac:dyDescent="0.25">
      <c r="A3892" s="2">
        <v>1244228</v>
      </c>
    </row>
    <row r="3893" spans="1:1" x14ac:dyDescent="0.25">
      <c r="A3893" s="2">
        <v>1244243</v>
      </c>
    </row>
    <row r="3894" spans="1:1" x14ac:dyDescent="0.25">
      <c r="A3894" s="2">
        <v>1244249</v>
      </c>
    </row>
    <row r="3895" spans="1:1" x14ac:dyDescent="0.25">
      <c r="A3895" s="2">
        <v>1244272</v>
      </c>
    </row>
    <row r="3896" spans="1:1" x14ac:dyDescent="0.25">
      <c r="A3896" s="2">
        <v>1244279</v>
      </c>
    </row>
    <row r="3897" spans="1:1" x14ac:dyDescent="0.25">
      <c r="A3897" s="2">
        <v>1244280</v>
      </c>
    </row>
    <row r="3898" spans="1:1" x14ac:dyDescent="0.25">
      <c r="A3898" s="2">
        <v>1244301</v>
      </c>
    </row>
    <row r="3899" spans="1:1" x14ac:dyDescent="0.25">
      <c r="A3899" s="2">
        <v>1244337</v>
      </c>
    </row>
    <row r="3900" spans="1:1" x14ac:dyDescent="0.25">
      <c r="A3900" s="2">
        <v>1244350</v>
      </c>
    </row>
    <row r="3901" spans="1:1" x14ac:dyDescent="0.25">
      <c r="A3901" s="2">
        <v>1244363</v>
      </c>
    </row>
    <row r="3902" spans="1:1" x14ac:dyDescent="0.25">
      <c r="A3902" s="2">
        <v>1244364</v>
      </c>
    </row>
    <row r="3903" spans="1:1" x14ac:dyDescent="0.25">
      <c r="A3903" s="2">
        <v>1244751</v>
      </c>
    </row>
    <row r="3904" spans="1:1" x14ac:dyDescent="0.25">
      <c r="A3904" s="2">
        <v>1244772</v>
      </c>
    </row>
    <row r="3905" spans="1:1" x14ac:dyDescent="0.25">
      <c r="A3905" s="2">
        <v>1244809</v>
      </c>
    </row>
    <row r="3906" spans="1:1" x14ac:dyDescent="0.25">
      <c r="A3906" s="2">
        <v>1245273</v>
      </c>
    </row>
    <row r="3907" spans="1:1" x14ac:dyDescent="0.25">
      <c r="A3907" s="2">
        <v>1245321</v>
      </c>
    </row>
    <row r="3908" spans="1:1" x14ac:dyDescent="0.25">
      <c r="A3908" s="2">
        <v>1245454</v>
      </c>
    </row>
    <row r="3909" spans="1:1" x14ac:dyDescent="0.25">
      <c r="A3909" s="2">
        <v>1245557</v>
      </c>
    </row>
    <row r="3910" spans="1:1" x14ac:dyDescent="0.25">
      <c r="A3910" s="2">
        <v>1246492</v>
      </c>
    </row>
    <row r="3911" spans="1:1" x14ac:dyDescent="0.25">
      <c r="A3911" s="2">
        <v>1246511</v>
      </c>
    </row>
    <row r="3912" spans="1:1" x14ac:dyDescent="0.25">
      <c r="A3912" s="2">
        <v>1246516</v>
      </c>
    </row>
    <row r="3913" spans="1:1" x14ac:dyDescent="0.25">
      <c r="A3913" s="2">
        <v>1248064</v>
      </c>
    </row>
    <row r="3914" spans="1:1" x14ac:dyDescent="0.25">
      <c r="A3914" s="2">
        <v>1248073</v>
      </c>
    </row>
    <row r="3915" spans="1:1" x14ac:dyDescent="0.25">
      <c r="A3915" s="2">
        <v>1248111</v>
      </c>
    </row>
    <row r="3916" spans="1:1" x14ac:dyDescent="0.25">
      <c r="A3916" s="2">
        <v>1248119</v>
      </c>
    </row>
    <row r="3917" spans="1:1" x14ac:dyDescent="0.25">
      <c r="A3917" s="2">
        <v>1248246</v>
      </c>
    </row>
    <row r="3918" spans="1:1" x14ac:dyDescent="0.25">
      <c r="A3918" s="2">
        <v>1248864</v>
      </c>
    </row>
    <row r="3919" spans="1:1" x14ac:dyDescent="0.25">
      <c r="A3919" s="2">
        <v>1248968</v>
      </c>
    </row>
    <row r="3920" spans="1:1" x14ac:dyDescent="0.25">
      <c r="A3920" s="2">
        <v>1249021</v>
      </c>
    </row>
    <row r="3921" spans="1:1" x14ac:dyDescent="0.25">
      <c r="A3921" s="2">
        <v>1249032</v>
      </c>
    </row>
    <row r="3922" spans="1:1" x14ac:dyDescent="0.25">
      <c r="A3922" s="2">
        <v>1249047</v>
      </c>
    </row>
    <row r="3923" spans="1:1" x14ac:dyDescent="0.25">
      <c r="A3923" s="2">
        <v>1249071</v>
      </c>
    </row>
    <row r="3924" spans="1:1" x14ac:dyDescent="0.25">
      <c r="A3924" s="2">
        <v>1249607</v>
      </c>
    </row>
    <row r="3925" spans="1:1" x14ac:dyDescent="0.25">
      <c r="A3925" s="2">
        <v>1250125</v>
      </c>
    </row>
    <row r="3926" spans="1:1" x14ac:dyDescent="0.25">
      <c r="A3926" s="2">
        <v>1250131</v>
      </c>
    </row>
    <row r="3927" spans="1:1" x14ac:dyDescent="0.25">
      <c r="A3927" s="2">
        <v>1250668</v>
      </c>
    </row>
    <row r="3928" spans="1:1" x14ac:dyDescent="0.25">
      <c r="A3928" s="2">
        <v>1250719</v>
      </c>
    </row>
    <row r="3929" spans="1:1" x14ac:dyDescent="0.25">
      <c r="A3929" s="2">
        <v>1250777</v>
      </c>
    </row>
    <row r="3930" spans="1:1" x14ac:dyDescent="0.25">
      <c r="A3930" s="2">
        <v>1250834</v>
      </c>
    </row>
    <row r="3931" spans="1:1" x14ac:dyDescent="0.25">
      <c r="A3931" s="2">
        <v>1250970</v>
      </c>
    </row>
    <row r="3932" spans="1:1" x14ac:dyDescent="0.25">
      <c r="A3932" s="2">
        <v>1250981</v>
      </c>
    </row>
    <row r="3933" spans="1:1" x14ac:dyDescent="0.25">
      <c r="A3933" s="2">
        <v>1251042</v>
      </c>
    </row>
    <row r="3934" spans="1:1" x14ac:dyDescent="0.25">
      <c r="A3934" s="2">
        <v>1251061</v>
      </c>
    </row>
    <row r="3935" spans="1:1" x14ac:dyDescent="0.25">
      <c r="A3935" s="2">
        <v>1251075</v>
      </c>
    </row>
    <row r="3936" spans="1:1" x14ac:dyDescent="0.25">
      <c r="A3936" s="2">
        <v>1251253</v>
      </c>
    </row>
    <row r="3937" spans="1:1" x14ac:dyDescent="0.25">
      <c r="A3937" s="2">
        <v>1251259</v>
      </c>
    </row>
    <row r="3938" spans="1:1" x14ac:dyDescent="0.25">
      <c r="A3938" s="2">
        <v>1251302</v>
      </c>
    </row>
    <row r="3939" spans="1:1" x14ac:dyDescent="0.25">
      <c r="A3939" s="2">
        <v>1251308</v>
      </c>
    </row>
    <row r="3940" spans="1:1" x14ac:dyDescent="0.25">
      <c r="A3940" s="2">
        <v>1251314</v>
      </c>
    </row>
    <row r="3941" spans="1:1" x14ac:dyDescent="0.25">
      <c r="A3941" s="2">
        <v>1251321</v>
      </c>
    </row>
    <row r="3942" spans="1:1" x14ac:dyDescent="0.25">
      <c r="A3942" s="2">
        <v>1251504</v>
      </c>
    </row>
    <row r="3943" spans="1:1" x14ac:dyDescent="0.25">
      <c r="A3943" s="2">
        <v>1251508</v>
      </c>
    </row>
    <row r="3944" spans="1:1" x14ac:dyDescent="0.25">
      <c r="A3944" s="2">
        <v>1251681</v>
      </c>
    </row>
    <row r="3945" spans="1:1" x14ac:dyDescent="0.25">
      <c r="A3945" s="2">
        <v>1251827</v>
      </c>
    </row>
    <row r="3946" spans="1:1" x14ac:dyDescent="0.25">
      <c r="A3946" s="2">
        <v>1251840</v>
      </c>
    </row>
    <row r="3947" spans="1:1" x14ac:dyDescent="0.25">
      <c r="A3947" s="2">
        <v>1251897</v>
      </c>
    </row>
    <row r="3948" spans="1:1" x14ac:dyDescent="0.25">
      <c r="A3948" s="2">
        <v>1252604</v>
      </c>
    </row>
    <row r="3949" spans="1:1" x14ac:dyDescent="0.25">
      <c r="A3949" s="2">
        <v>1252611</v>
      </c>
    </row>
    <row r="3950" spans="1:1" x14ac:dyDescent="0.25">
      <c r="A3950" s="2">
        <v>1252616</v>
      </c>
    </row>
    <row r="3951" spans="1:1" x14ac:dyDescent="0.25">
      <c r="A3951" s="2">
        <v>1252648</v>
      </c>
    </row>
    <row r="3952" spans="1:1" x14ac:dyDescent="0.25">
      <c r="A3952" s="2">
        <v>1253113</v>
      </c>
    </row>
    <row r="3953" spans="1:1" x14ac:dyDescent="0.25">
      <c r="A3953" s="2">
        <v>1253118</v>
      </c>
    </row>
    <row r="3954" spans="1:1" x14ac:dyDescent="0.25">
      <c r="A3954" s="2">
        <v>1253152</v>
      </c>
    </row>
    <row r="3955" spans="1:1" x14ac:dyDescent="0.25">
      <c r="A3955" s="2">
        <v>1253247</v>
      </c>
    </row>
    <row r="3956" spans="1:1" x14ac:dyDescent="0.25">
      <c r="A3956" s="2">
        <v>1253255</v>
      </c>
    </row>
    <row r="3957" spans="1:1" x14ac:dyDescent="0.25">
      <c r="A3957" s="2">
        <v>1253262</v>
      </c>
    </row>
    <row r="3958" spans="1:1" x14ac:dyDescent="0.25">
      <c r="A3958" s="2">
        <v>1253654</v>
      </c>
    </row>
    <row r="3959" spans="1:1" x14ac:dyDescent="0.25">
      <c r="A3959" s="2">
        <v>1253664</v>
      </c>
    </row>
    <row r="3960" spans="1:1" x14ac:dyDescent="0.25">
      <c r="A3960" s="2">
        <v>1253742</v>
      </c>
    </row>
    <row r="3961" spans="1:1" x14ac:dyDescent="0.25">
      <c r="A3961" s="2">
        <v>1253793</v>
      </c>
    </row>
    <row r="3962" spans="1:1" x14ac:dyDescent="0.25">
      <c r="A3962" s="2">
        <v>1253821</v>
      </c>
    </row>
    <row r="3963" spans="1:1" x14ac:dyDescent="0.25">
      <c r="A3963" s="2">
        <v>1253835</v>
      </c>
    </row>
    <row r="3964" spans="1:1" x14ac:dyDescent="0.25">
      <c r="A3964" s="2">
        <v>1254827</v>
      </c>
    </row>
    <row r="3965" spans="1:1" x14ac:dyDescent="0.25">
      <c r="A3965" s="2">
        <v>1254835</v>
      </c>
    </row>
    <row r="3966" spans="1:1" x14ac:dyDescent="0.25">
      <c r="A3966" s="2">
        <v>1254850</v>
      </c>
    </row>
    <row r="3967" spans="1:1" x14ac:dyDescent="0.25">
      <c r="A3967" s="2">
        <v>1254869</v>
      </c>
    </row>
    <row r="3968" spans="1:1" x14ac:dyDescent="0.25">
      <c r="A3968" s="2">
        <v>1254886</v>
      </c>
    </row>
    <row r="3969" spans="1:1" x14ac:dyDescent="0.25">
      <c r="A3969" s="2">
        <v>1254887</v>
      </c>
    </row>
    <row r="3970" spans="1:1" x14ac:dyDescent="0.25">
      <c r="A3970" s="2">
        <v>1254913</v>
      </c>
    </row>
    <row r="3971" spans="1:1" x14ac:dyDescent="0.25">
      <c r="A3971" s="2">
        <v>1254917</v>
      </c>
    </row>
    <row r="3972" spans="1:1" x14ac:dyDescent="0.25">
      <c r="A3972" s="2">
        <v>1254924</v>
      </c>
    </row>
    <row r="3973" spans="1:1" x14ac:dyDescent="0.25">
      <c r="A3973" s="2">
        <v>1254950</v>
      </c>
    </row>
    <row r="3974" spans="1:1" x14ac:dyDescent="0.25">
      <c r="A3974" s="2">
        <v>1255074</v>
      </c>
    </row>
    <row r="3975" spans="1:1" x14ac:dyDescent="0.25">
      <c r="A3975" s="2">
        <v>1255189</v>
      </c>
    </row>
    <row r="3976" spans="1:1" x14ac:dyDescent="0.25">
      <c r="A3976" s="2">
        <v>1255317</v>
      </c>
    </row>
    <row r="3977" spans="1:1" x14ac:dyDescent="0.25">
      <c r="A3977" s="2">
        <v>1255334</v>
      </c>
    </row>
    <row r="3978" spans="1:1" x14ac:dyDescent="0.25">
      <c r="A3978" s="2">
        <v>1255856</v>
      </c>
    </row>
    <row r="3979" spans="1:1" x14ac:dyDescent="0.25">
      <c r="A3979" s="2">
        <v>1255861</v>
      </c>
    </row>
    <row r="3980" spans="1:1" x14ac:dyDescent="0.25">
      <c r="A3980" s="2">
        <v>1255867</v>
      </c>
    </row>
    <row r="3981" spans="1:1" x14ac:dyDescent="0.25">
      <c r="A3981" s="2">
        <v>1255891</v>
      </c>
    </row>
    <row r="3982" spans="1:1" x14ac:dyDescent="0.25">
      <c r="A3982" s="2">
        <v>1255895</v>
      </c>
    </row>
    <row r="3983" spans="1:1" x14ac:dyDescent="0.25">
      <c r="A3983" s="2">
        <v>1255920</v>
      </c>
    </row>
    <row r="3984" spans="1:1" x14ac:dyDescent="0.25">
      <c r="A3984" s="2">
        <v>1255928</v>
      </c>
    </row>
    <row r="3985" spans="1:1" x14ac:dyDescent="0.25">
      <c r="A3985" s="2">
        <v>1255951</v>
      </c>
    </row>
    <row r="3986" spans="1:1" x14ac:dyDescent="0.25">
      <c r="A3986" s="2">
        <v>1255960</v>
      </c>
    </row>
    <row r="3987" spans="1:1" x14ac:dyDescent="0.25">
      <c r="A3987" s="2">
        <v>1255966</v>
      </c>
    </row>
    <row r="3988" spans="1:1" x14ac:dyDescent="0.25">
      <c r="A3988" s="2">
        <v>1255981</v>
      </c>
    </row>
    <row r="3989" spans="1:1" x14ac:dyDescent="0.25">
      <c r="A3989" s="2">
        <v>1256002</v>
      </c>
    </row>
    <row r="3990" spans="1:1" x14ac:dyDescent="0.25">
      <c r="A3990" s="2">
        <v>1256030</v>
      </c>
    </row>
    <row r="3991" spans="1:1" x14ac:dyDescent="0.25">
      <c r="A3991" s="2">
        <v>1258283</v>
      </c>
    </row>
    <row r="3992" spans="1:1" x14ac:dyDescent="0.25">
      <c r="A3992" s="2">
        <v>1258291</v>
      </c>
    </row>
    <row r="3993" spans="1:1" x14ac:dyDescent="0.25">
      <c r="A3993" s="2">
        <v>1259329</v>
      </c>
    </row>
    <row r="3994" spans="1:1" x14ac:dyDescent="0.25">
      <c r="A3994" s="2">
        <v>1259348</v>
      </c>
    </row>
    <row r="3995" spans="1:1" x14ac:dyDescent="0.25">
      <c r="A3995" s="2">
        <v>1259395</v>
      </c>
    </row>
    <row r="3996" spans="1:1" x14ac:dyDescent="0.25">
      <c r="A3996" s="2">
        <v>1259402</v>
      </c>
    </row>
    <row r="3997" spans="1:1" x14ac:dyDescent="0.25">
      <c r="A3997" s="2">
        <v>1259467</v>
      </c>
    </row>
    <row r="3998" spans="1:1" x14ac:dyDescent="0.25">
      <c r="A3998" s="2">
        <v>1259524</v>
      </c>
    </row>
    <row r="3999" spans="1:1" x14ac:dyDescent="0.25">
      <c r="A3999" s="2">
        <v>1259530</v>
      </c>
    </row>
    <row r="4000" spans="1:1" x14ac:dyDescent="0.25">
      <c r="A4000" s="2">
        <v>1259544</v>
      </c>
    </row>
    <row r="4001" spans="1:1" x14ac:dyDescent="0.25">
      <c r="A4001" s="2">
        <v>1259654</v>
      </c>
    </row>
    <row r="4002" spans="1:1" x14ac:dyDescent="0.25">
      <c r="A4002" s="2">
        <v>1259662</v>
      </c>
    </row>
    <row r="4003" spans="1:1" x14ac:dyDescent="0.25">
      <c r="A4003" s="2">
        <v>1260193</v>
      </c>
    </row>
    <row r="4004" spans="1:1" x14ac:dyDescent="0.25">
      <c r="A4004" s="2">
        <v>1260259</v>
      </c>
    </row>
    <row r="4005" spans="1:1" x14ac:dyDescent="0.25">
      <c r="A4005" s="2">
        <v>1260267</v>
      </c>
    </row>
    <row r="4006" spans="1:1" x14ac:dyDescent="0.25">
      <c r="A4006" s="2">
        <v>1260272</v>
      </c>
    </row>
    <row r="4007" spans="1:1" x14ac:dyDescent="0.25">
      <c r="A4007" s="2">
        <v>1260288</v>
      </c>
    </row>
    <row r="4008" spans="1:1" x14ac:dyDescent="0.25">
      <c r="A4008" s="2">
        <v>1260305</v>
      </c>
    </row>
    <row r="4009" spans="1:1" x14ac:dyDescent="0.25">
      <c r="A4009" s="2">
        <v>1260323</v>
      </c>
    </row>
    <row r="4010" spans="1:1" x14ac:dyDescent="0.25">
      <c r="A4010" s="2">
        <v>1260337</v>
      </c>
    </row>
    <row r="4011" spans="1:1" x14ac:dyDescent="0.25">
      <c r="A4011" s="2">
        <v>1260348</v>
      </c>
    </row>
    <row r="4012" spans="1:1" x14ac:dyDescent="0.25">
      <c r="A4012" s="2">
        <v>1260384</v>
      </c>
    </row>
    <row r="4013" spans="1:1" x14ac:dyDescent="0.25">
      <c r="A4013" s="2">
        <v>1260406</v>
      </c>
    </row>
    <row r="4014" spans="1:1" x14ac:dyDescent="0.25">
      <c r="A4014" s="2">
        <v>1260580</v>
      </c>
    </row>
    <row r="4015" spans="1:1" x14ac:dyDescent="0.25">
      <c r="A4015" s="2">
        <v>1260715</v>
      </c>
    </row>
    <row r="4016" spans="1:1" x14ac:dyDescent="0.25">
      <c r="A4016" s="2">
        <v>1262133</v>
      </c>
    </row>
    <row r="4017" spans="1:1" x14ac:dyDescent="0.25">
      <c r="A4017" s="2">
        <v>1262138</v>
      </c>
    </row>
    <row r="4018" spans="1:1" x14ac:dyDescent="0.25">
      <c r="A4018" s="2">
        <v>1262143</v>
      </c>
    </row>
    <row r="4019" spans="1:1" x14ac:dyDescent="0.25">
      <c r="A4019" s="2">
        <v>1262147</v>
      </c>
    </row>
    <row r="4020" spans="1:1" x14ac:dyDescent="0.25">
      <c r="A4020" s="2">
        <v>1262166</v>
      </c>
    </row>
    <row r="4021" spans="1:1" x14ac:dyDescent="0.25">
      <c r="A4021" s="2">
        <v>1262167</v>
      </c>
    </row>
    <row r="4022" spans="1:1" x14ac:dyDescent="0.25">
      <c r="A4022" s="2">
        <v>1262183</v>
      </c>
    </row>
    <row r="4023" spans="1:1" x14ac:dyDescent="0.25">
      <c r="A4023" s="2">
        <v>1262287</v>
      </c>
    </row>
    <row r="4024" spans="1:1" x14ac:dyDescent="0.25">
      <c r="A4024" s="2">
        <v>1262302</v>
      </c>
    </row>
    <row r="4025" spans="1:1" x14ac:dyDescent="0.25">
      <c r="A4025" s="2">
        <v>1262329</v>
      </c>
    </row>
    <row r="4026" spans="1:1" x14ac:dyDescent="0.25">
      <c r="A4026" s="2">
        <v>1262917</v>
      </c>
    </row>
    <row r="4027" spans="1:1" x14ac:dyDescent="0.25">
      <c r="A4027" s="2">
        <v>1262925</v>
      </c>
    </row>
    <row r="4028" spans="1:1" x14ac:dyDescent="0.25">
      <c r="A4028" s="2">
        <v>1262937</v>
      </c>
    </row>
    <row r="4029" spans="1:1" x14ac:dyDescent="0.25">
      <c r="A4029" s="2">
        <v>1262962</v>
      </c>
    </row>
    <row r="4030" spans="1:1" x14ac:dyDescent="0.25">
      <c r="A4030" s="2">
        <v>1262976</v>
      </c>
    </row>
    <row r="4031" spans="1:1" x14ac:dyDescent="0.25">
      <c r="A4031" s="2">
        <v>1262984</v>
      </c>
    </row>
    <row r="4032" spans="1:1" x14ac:dyDescent="0.25">
      <c r="A4032" s="2">
        <v>1263183</v>
      </c>
    </row>
    <row r="4033" spans="1:1" x14ac:dyDescent="0.25">
      <c r="A4033" s="2">
        <v>1263193</v>
      </c>
    </row>
    <row r="4034" spans="1:1" x14ac:dyDescent="0.25">
      <c r="A4034" s="2">
        <v>1263909</v>
      </c>
    </row>
    <row r="4035" spans="1:1" x14ac:dyDescent="0.25">
      <c r="A4035" s="2">
        <v>1264264</v>
      </c>
    </row>
    <row r="4036" spans="1:1" x14ac:dyDescent="0.25">
      <c r="A4036" s="2">
        <v>1264308</v>
      </c>
    </row>
    <row r="4037" spans="1:1" x14ac:dyDescent="0.25">
      <c r="A4037" s="2">
        <v>1264323</v>
      </c>
    </row>
    <row r="4038" spans="1:1" x14ac:dyDescent="0.25">
      <c r="A4038" s="2">
        <v>1265436</v>
      </c>
    </row>
    <row r="4039" spans="1:1" x14ac:dyDescent="0.25">
      <c r="A4039" s="2">
        <v>1265458</v>
      </c>
    </row>
    <row r="4040" spans="1:1" x14ac:dyDescent="0.25">
      <c r="A4040" s="2">
        <v>1265470</v>
      </c>
    </row>
    <row r="4041" spans="1:1" x14ac:dyDescent="0.25">
      <c r="A4041" s="2">
        <v>1265957</v>
      </c>
    </row>
    <row r="4042" spans="1:1" x14ac:dyDescent="0.25">
      <c r="A4042" s="2">
        <v>1267535</v>
      </c>
    </row>
    <row r="4043" spans="1:1" x14ac:dyDescent="0.25">
      <c r="A4043" s="2">
        <v>1267547</v>
      </c>
    </row>
    <row r="4044" spans="1:1" x14ac:dyDescent="0.25">
      <c r="A4044" s="2">
        <v>1269059</v>
      </c>
    </row>
    <row r="4045" spans="1:1" x14ac:dyDescent="0.25">
      <c r="A4045" s="2">
        <v>1269075</v>
      </c>
    </row>
    <row r="4046" spans="1:1" x14ac:dyDescent="0.25">
      <c r="A4046" s="2">
        <v>1269083</v>
      </c>
    </row>
    <row r="4047" spans="1:1" x14ac:dyDescent="0.25">
      <c r="A4047" s="2">
        <v>1270102</v>
      </c>
    </row>
    <row r="4048" spans="1:1" x14ac:dyDescent="0.25">
      <c r="A4048" s="2">
        <v>1270177</v>
      </c>
    </row>
    <row r="4049" spans="1:1" x14ac:dyDescent="0.25">
      <c r="A4049" s="2">
        <v>1270193</v>
      </c>
    </row>
    <row r="4050" spans="1:1" x14ac:dyDescent="0.25">
      <c r="A4050" s="2">
        <v>1270287</v>
      </c>
    </row>
    <row r="4051" spans="1:1" x14ac:dyDescent="0.25">
      <c r="A4051" s="2">
        <v>1270299</v>
      </c>
    </row>
    <row r="4052" spans="1:1" x14ac:dyDescent="0.25">
      <c r="A4052" s="2">
        <v>1271278</v>
      </c>
    </row>
    <row r="4053" spans="1:1" x14ac:dyDescent="0.25">
      <c r="A4053" s="2">
        <v>1273513</v>
      </c>
    </row>
    <row r="4054" spans="1:1" x14ac:dyDescent="0.25">
      <c r="A4054" s="2">
        <v>1273578</v>
      </c>
    </row>
    <row r="4055" spans="1:1" x14ac:dyDescent="0.25">
      <c r="A4055" s="2">
        <v>1273958</v>
      </c>
    </row>
    <row r="4056" spans="1:1" x14ac:dyDescent="0.25">
      <c r="A4056" s="2">
        <v>1273971</v>
      </c>
    </row>
    <row r="4057" spans="1:1" x14ac:dyDescent="0.25">
      <c r="A4057" s="2">
        <v>1273979</v>
      </c>
    </row>
    <row r="4058" spans="1:1" x14ac:dyDescent="0.25">
      <c r="A4058" s="2">
        <v>1273994</v>
      </c>
    </row>
    <row r="4059" spans="1:1" x14ac:dyDescent="0.25">
      <c r="A4059" s="2">
        <v>1274054</v>
      </c>
    </row>
    <row r="4060" spans="1:1" x14ac:dyDescent="0.25">
      <c r="A4060" s="2">
        <v>1275205</v>
      </c>
    </row>
    <row r="4061" spans="1:1" x14ac:dyDescent="0.25">
      <c r="A4061" s="2">
        <v>1275213</v>
      </c>
    </row>
    <row r="4062" spans="1:1" x14ac:dyDescent="0.25">
      <c r="A4062" s="2">
        <v>1275221</v>
      </c>
    </row>
    <row r="4063" spans="1:1" x14ac:dyDescent="0.25">
      <c r="A4063" s="2">
        <v>1275228</v>
      </c>
    </row>
    <row r="4064" spans="1:1" x14ac:dyDescent="0.25">
      <c r="A4064" s="2">
        <v>1275989</v>
      </c>
    </row>
    <row r="4065" spans="1:1" x14ac:dyDescent="0.25">
      <c r="A4065" s="2">
        <v>1275999</v>
      </c>
    </row>
    <row r="4066" spans="1:1" x14ac:dyDescent="0.25">
      <c r="A4066" s="2">
        <v>1276012</v>
      </c>
    </row>
    <row r="4067" spans="1:1" x14ac:dyDescent="0.25">
      <c r="A4067" s="2">
        <v>1276087</v>
      </c>
    </row>
    <row r="4068" spans="1:1" x14ac:dyDescent="0.25">
      <c r="A4068" s="2">
        <v>1276103</v>
      </c>
    </row>
    <row r="4069" spans="1:1" x14ac:dyDescent="0.25">
      <c r="A4069" s="2">
        <v>1276137</v>
      </c>
    </row>
    <row r="4070" spans="1:1" x14ac:dyDescent="0.25">
      <c r="A4070" s="2">
        <v>1277050</v>
      </c>
    </row>
    <row r="4071" spans="1:1" x14ac:dyDescent="0.25">
      <c r="A4071" s="2">
        <v>1277055</v>
      </c>
    </row>
    <row r="4072" spans="1:1" x14ac:dyDescent="0.25">
      <c r="A4072" s="2">
        <v>1277059</v>
      </c>
    </row>
    <row r="4073" spans="1:1" x14ac:dyDescent="0.25">
      <c r="A4073" s="2">
        <v>1277062</v>
      </c>
    </row>
    <row r="4074" spans="1:1" x14ac:dyDescent="0.25">
      <c r="A4074" s="2">
        <v>1277098</v>
      </c>
    </row>
    <row r="4075" spans="1:1" x14ac:dyDescent="0.25">
      <c r="A4075" s="2">
        <v>1277120</v>
      </c>
    </row>
    <row r="4076" spans="1:1" x14ac:dyDescent="0.25">
      <c r="A4076" s="2">
        <v>1277249</v>
      </c>
    </row>
    <row r="4077" spans="1:1" x14ac:dyDescent="0.25">
      <c r="A4077" s="2">
        <v>1277254</v>
      </c>
    </row>
    <row r="4078" spans="1:1" x14ac:dyDescent="0.25">
      <c r="A4078" s="2">
        <v>1278068</v>
      </c>
    </row>
    <row r="4079" spans="1:1" x14ac:dyDescent="0.25">
      <c r="A4079" s="2">
        <v>1278094</v>
      </c>
    </row>
    <row r="4080" spans="1:1" x14ac:dyDescent="0.25">
      <c r="A4080" s="2">
        <v>1278100</v>
      </c>
    </row>
    <row r="4081" spans="1:1" x14ac:dyDescent="0.25">
      <c r="A4081" s="2">
        <v>1278109</v>
      </c>
    </row>
    <row r="4082" spans="1:1" x14ac:dyDescent="0.25">
      <c r="A4082" s="2">
        <v>1278381</v>
      </c>
    </row>
    <row r="4083" spans="1:1" x14ac:dyDescent="0.25">
      <c r="A4083" s="2">
        <v>1278515</v>
      </c>
    </row>
    <row r="4084" spans="1:1" x14ac:dyDescent="0.25">
      <c r="A4084" s="2">
        <v>1280434</v>
      </c>
    </row>
    <row r="4085" spans="1:1" x14ac:dyDescent="0.25">
      <c r="A4085" s="2">
        <v>1280437</v>
      </c>
    </row>
    <row r="4086" spans="1:1" x14ac:dyDescent="0.25">
      <c r="A4086" s="2">
        <v>1280449</v>
      </c>
    </row>
    <row r="4087" spans="1:1" x14ac:dyDescent="0.25">
      <c r="A4087" s="2">
        <v>1285447</v>
      </c>
    </row>
    <row r="4088" spans="1:1" x14ac:dyDescent="0.25">
      <c r="A4088" s="2">
        <v>1285473</v>
      </c>
    </row>
    <row r="4089" spans="1:1" x14ac:dyDescent="0.25">
      <c r="A4089" s="2">
        <v>1285519</v>
      </c>
    </row>
    <row r="4090" spans="1:1" x14ac:dyDescent="0.25">
      <c r="A4090" s="2">
        <v>1285529</v>
      </c>
    </row>
    <row r="4091" spans="1:1" x14ac:dyDescent="0.25">
      <c r="A4091" s="2">
        <v>1286829</v>
      </c>
    </row>
    <row r="4092" spans="1:1" x14ac:dyDescent="0.25">
      <c r="A4092" s="2">
        <v>1286869</v>
      </c>
    </row>
    <row r="4093" spans="1:1" x14ac:dyDescent="0.25">
      <c r="A4093" s="2">
        <v>1286914</v>
      </c>
    </row>
    <row r="4094" spans="1:1" x14ac:dyDescent="0.25">
      <c r="A4094" s="2">
        <v>1286945</v>
      </c>
    </row>
    <row r="4095" spans="1:1" x14ac:dyDescent="0.25">
      <c r="A4095" s="2">
        <v>1286951</v>
      </c>
    </row>
    <row r="4096" spans="1:1" x14ac:dyDescent="0.25">
      <c r="A4096" s="2">
        <v>1286961</v>
      </c>
    </row>
    <row r="4097" spans="1:1" x14ac:dyDescent="0.25">
      <c r="A4097" s="2">
        <v>1286962</v>
      </c>
    </row>
    <row r="4098" spans="1:1" x14ac:dyDescent="0.25">
      <c r="A4098" s="2">
        <v>1286994</v>
      </c>
    </row>
    <row r="4099" spans="1:1" x14ac:dyDescent="0.25">
      <c r="A4099" s="2">
        <v>1287001</v>
      </c>
    </row>
    <row r="4100" spans="1:1" x14ac:dyDescent="0.25">
      <c r="A4100" s="2">
        <v>1287650</v>
      </c>
    </row>
    <row r="4101" spans="1:1" x14ac:dyDescent="0.25">
      <c r="A4101" s="2">
        <v>1287655</v>
      </c>
    </row>
    <row r="4102" spans="1:1" x14ac:dyDescent="0.25">
      <c r="A4102" s="2">
        <v>1287669</v>
      </c>
    </row>
    <row r="4103" spans="1:1" x14ac:dyDescent="0.25">
      <c r="A4103" s="2">
        <v>1287674</v>
      </c>
    </row>
    <row r="4104" spans="1:1" x14ac:dyDescent="0.25">
      <c r="A4104" s="2">
        <v>1287780</v>
      </c>
    </row>
    <row r="4105" spans="1:1" x14ac:dyDescent="0.25">
      <c r="A4105" s="2">
        <v>1287899</v>
      </c>
    </row>
    <row r="4106" spans="1:1" x14ac:dyDescent="0.25">
      <c r="A4106" s="2">
        <v>1291062</v>
      </c>
    </row>
    <row r="4107" spans="1:1" x14ac:dyDescent="0.25">
      <c r="A4107" s="2">
        <v>1291070</v>
      </c>
    </row>
    <row r="4108" spans="1:1" x14ac:dyDescent="0.25">
      <c r="A4108" s="2">
        <v>1291176</v>
      </c>
    </row>
    <row r="4109" spans="1:1" x14ac:dyDescent="0.25">
      <c r="A4109" s="2">
        <v>1291183</v>
      </c>
    </row>
    <row r="4110" spans="1:1" x14ac:dyDescent="0.25">
      <c r="A4110" s="2">
        <v>1291189</v>
      </c>
    </row>
    <row r="4111" spans="1:1" x14ac:dyDescent="0.25">
      <c r="A4111" s="2">
        <v>1291195</v>
      </c>
    </row>
    <row r="4112" spans="1:1" x14ac:dyDescent="0.25">
      <c r="A4112" s="2">
        <v>1291200</v>
      </c>
    </row>
    <row r="4113" spans="1:1" x14ac:dyDescent="0.25">
      <c r="A4113" s="2">
        <v>1291216</v>
      </c>
    </row>
    <row r="4114" spans="1:1" x14ac:dyDescent="0.25">
      <c r="A4114" s="2">
        <v>1291224</v>
      </c>
    </row>
    <row r="4115" spans="1:1" x14ac:dyDescent="0.25">
      <c r="A4115" s="2">
        <v>1291241</v>
      </c>
    </row>
    <row r="4116" spans="1:1" x14ac:dyDescent="0.25">
      <c r="A4116" s="2">
        <v>1291275</v>
      </c>
    </row>
    <row r="4117" spans="1:1" x14ac:dyDescent="0.25">
      <c r="A4117" s="2">
        <v>1291336</v>
      </c>
    </row>
    <row r="4118" spans="1:1" x14ac:dyDescent="0.25">
      <c r="A4118" s="2">
        <v>1291516</v>
      </c>
    </row>
    <row r="4119" spans="1:1" x14ac:dyDescent="0.25">
      <c r="A4119" s="2">
        <v>1291531</v>
      </c>
    </row>
    <row r="4120" spans="1:1" x14ac:dyDescent="0.25">
      <c r="A4120" s="2">
        <v>1291538</v>
      </c>
    </row>
    <row r="4121" spans="1:1" x14ac:dyDescent="0.25">
      <c r="A4121" s="2">
        <v>1291627</v>
      </c>
    </row>
    <row r="4122" spans="1:1" x14ac:dyDescent="0.25">
      <c r="A4122" s="2">
        <v>1291973</v>
      </c>
    </row>
    <row r="4123" spans="1:1" x14ac:dyDescent="0.25">
      <c r="A4123" s="2">
        <v>1291983</v>
      </c>
    </row>
    <row r="4124" spans="1:1" x14ac:dyDescent="0.25">
      <c r="A4124" s="2">
        <v>1291994</v>
      </c>
    </row>
    <row r="4125" spans="1:1" x14ac:dyDescent="0.25">
      <c r="A4125" s="2">
        <v>1292004</v>
      </c>
    </row>
    <row r="4126" spans="1:1" x14ac:dyDescent="0.25">
      <c r="A4126" s="2">
        <v>1292019</v>
      </c>
    </row>
    <row r="4127" spans="1:1" x14ac:dyDescent="0.25">
      <c r="A4127" s="2">
        <v>1294086</v>
      </c>
    </row>
    <row r="4128" spans="1:1" x14ac:dyDescent="0.25">
      <c r="A4128" s="2">
        <v>1294102</v>
      </c>
    </row>
    <row r="4129" spans="1:1" x14ac:dyDescent="0.25">
      <c r="A4129" s="2">
        <v>1294187</v>
      </c>
    </row>
    <row r="4130" spans="1:1" x14ac:dyDescent="0.25">
      <c r="A4130" s="2">
        <v>1294231</v>
      </c>
    </row>
    <row r="4131" spans="1:1" x14ac:dyDescent="0.25">
      <c r="A4131" s="2">
        <v>1294239</v>
      </c>
    </row>
    <row r="4132" spans="1:1" x14ac:dyDescent="0.25">
      <c r="A4132" s="2">
        <v>1294280</v>
      </c>
    </row>
    <row r="4133" spans="1:1" x14ac:dyDescent="0.25">
      <c r="A4133" s="2">
        <v>1294514</v>
      </c>
    </row>
    <row r="4134" spans="1:1" x14ac:dyDescent="0.25">
      <c r="A4134" s="2">
        <v>1294519</v>
      </c>
    </row>
    <row r="4135" spans="1:1" x14ac:dyDescent="0.25">
      <c r="A4135" s="2">
        <v>1294522</v>
      </c>
    </row>
    <row r="4136" spans="1:1" x14ac:dyDescent="0.25">
      <c r="A4136" s="2">
        <v>1294532</v>
      </c>
    </row>
    <row r="4137" spans="1:1" x14ac:dyDescent="0.25">
      <c r="A4137" s="2">
        <v>1294642</v>
      </c>
    </row>
    <row r="4138" spans="1:1" x14ac:dyDescent="0.25">
      <c r="A4138" s="2">
        <v>1294648</v>
      </c>
    </row>
    <row r="4139" spans="1:1" x14ac:dyDescent="0.25">
      <c r="A4139" s="2">
        <v>1294651</v>
      </c>
    </row>
    <row r="4140" spans="1:1" x14ac:dyDescent="0.25">
      <c r="A4140" s="2">
        <v>1294656</v>
      </c>
    </row>
    <row r="4141" spans="1:1" x14ac:dyDescent="0.25">
      <c r="A4141" s="2">
        <v>1294670</v>
      </c>
    </row>
    <row r="4142" spans="1:1" x14ac:dyDescent="0.25">
      <c r="A4142" s="2">
        <v>1294671</v>
      </c>
    </row>
    <row r="4143" spans="1:1" x14ac:dyDescent="0.25">
      <c r="A4143" s="2">
        <v>1294679</v>
      </c>
    </row>
    <row r="4144" spans="1:1" x14ac:dyDescent="0.25">
      <c r="A4144" s="2">
        <v>1294704</v>
      </c>
    </row>
    <row r="4145" spans="1:1" x14ac:dyDescent="0.25">
      <c r="A4145" s="2">
        <v>1294739</v>
      </c>
    </row>
    <row r="4146" spans="1:1" x14ac:dyDescent="0.25">
      <c r="A4146" s="2">
        <v>1294913</v>
      </c>
    </row>
    <row r="4147" spans="1:1" x14ac:dyDescent="0.25">
      <c r="A4147" s="2">
        <v>1295018</v>
      </c>
    </row>
    <row r="4148" spans="1:1" x14ac:dyDescent="0.25">
      <c r="A4148" s="2">
        <v>1295031</v>
      </c>
    </row>
    <row r="4149" spans="1:1" x14ac:dyDescent="0.25">
      <c r="A4149" s="2">
        <v>1295036</v>
      </c>
    </row>
    <row r="4150" spans="1:1" x14ac:dyDescent="0.25">
      <c r="A4150" s="2">
        <v>1295043</v>
      </c>
    </row>
    <row r="4151" spans="1:1" x14ac:dyDescent="0.25">
      <c r="A4151" s="2">
        <v>1295062</v>
      </c>
    </row>
    <row r="4152" spans="1:1" x14ac:dyDescent="0.25">
      <c r="A4152" s="2">
        <v>1295068</v>
      </c>
    </row>
    <row r="4153" spans="1:1" x14ac:dyDescent="0.25">
      <c r="A4153" s="2">
        <v>1295087</v>
      </c>
    </row>
    <row r="4154" spans="1:1" x14ac:dyDescent="0.25">
      <c r="A4154" s="2">
        <v>1295103</v>
      </c>
    </row>
    <row r="4155" spans="1:1" x14ac:dyDescent="0.25">
      <c r="A4155" s="2">
        <v>1295159</v>
      </c>
    </row>
    <row r="4156" spans="1:1" x14ac:dyDescent="0.25">
      <c r="A4156" s="2">
        <v>1295165</v>
      </c>
    </row>
    <row r="4157" spans="1:1" x14ac:dyDescent="0.25">
      <c r="A4157" s="2">
        <v>1295233</v>
      </c>
    </row>
    <row r="4158" spans="1:1" x14ac:dyDescent="0.25">
      <c r="A4158" s="2">
        <v>1295470</v>
      </c>
    </row>
    <row r="4159" spans="1:1" x14ac:dyDescent="0.25">
      <c r="A4159" s="2">
        <v>1295521</v>
      </c>
    </row>
    <row r="4160" spans="1:1" x14ac:dyDescent="0.25">
      <c r="A4160" s="2">
        <v>1295533</v>
      </c>
    </row>
    <row r="4161" spans="1:1" x14ac:dyDescent="0.25">
      <c r="A4161" s="2">
        <v>1295542</v>
      </c>
    </row>
    <row r="4162" spans="1:1" x14ac:dyDescent="0.25">
      <c r="A4162" s="2">
        <v>1295582</v>
      </c>
    </row>
    <row r="4163" spans="1:1" x14ac:dyDescent="0.25">
      <c r="A4163" s="2">
        <v>1295750</v>
      </c>
    </row>
    <row r="4164" spans="1:1" x14ac:dyDescent="0.25">
      <c r="A4164" s="2">
        <v>1296448</v>
      </c>
    </row>
    <row r="4165" spans="1:1" x14ac:dyDescent="0.25">
      <c r="A4165" s="2">
        <v>1296455</v>
      </c>
    </row>
    <row r="4166" spans="1:1" x14ac:dyDescent="0.25">
      <c r="A4166" s="2">
        <v>1296470</v>
      </c>
    </row>
    <row r="4167" spans="1:1" x14ac:dyDescent="0.25">
      <c r="A4167" s="2">
        <v>1296648</v>
      </c>
    </row>
    <row r="4168" spans="1:1" x14ac:dyDescent="0.25">
      <c r="A4168" s="2">
        <v>1296649</v>
      </c>
    </row>
    <row r="4169" spans="1:1" x14ac:dyDescent="0.25">
      <c r="A4169" s="2">
        <v>1296655</v>
      </c>
    </row>
    <row r="4170" spans="1:1" x14ac:dyDescent="0.25">
      <c r="A4170" s="2">
        <v>1296695</v>
      </c>
    </row>
    <row r="4171" spans="1:1" x14ac:dyDescent="0.25">
      <c r="A4171" s="2">
        <v>1296712</v>
      </c>
    </row>
    <row r="4172" spans="1:1" x14ac:dyDescent="0.25">
      <c r="A4172" s="2">
        <v>1296759</v>
      </c>
    </row>
    <row r="4173" spans="1:1" x14ac:dyDescent="0.25">
      <c r="A4173" s="2">
        <v>1296767</v>
      </c>
    </row>
    <row r="4174" spans="1:1" x14ac:dyDescent="0.25">
      <c r="A4174" s="2">
        <v>1296772</v>
      </c>
    </row>
    <row r="4175" spans="1:1" x14ac:dyDescent="0.25">
      <c r="A4175" s="2">
        <v>1296777</v>
      </c>
    </row>
    <row r="4176" spans="1:1" x14ac:dyDescent="0.25">
      <c r="A4176" s="2">
        <v>1296836</v>
      </c>
    </row>
    <row r="4177" spans="1:1" x14ac:dyDescent="0.25">
      <c r="A4177" s="2">
        <v>1296850</v>
      </c>
    </row>
    <row r="4178" spans="1:1" x14ac:dyDescent="0.25">
      <c r="A4178" s="2">
        <v>1297915</v>
      </c>
    </row>
    <row r="4179" spans="1:1" x14ac:dyDescent="0.25">
      <c r="A4179" s="2">
        <v>1298005</v>
      </c>
    </row>
    <row r="4180" spans="1:1" x14ac:dyDescent="0.25">
      <c r="A4180" s="2">
        <v>1298042</v>
      </c>
    </row>
    <row r="4181" spans="1:1" x14ac:dyDescent="0.25">
      <c r="A4181" s="2">
        <v>1298158</v>
      </c>
    </row>
    <row r="4182" spans="1:1" x14ac:dyDescent="0.25">
      <c r="A4182" s="2">
        <v>1298359</v>
      </c>
    </row>
    <row r="4183" spans="1:1" x14ac:dyDescent="0.25">
      <c r="A4183" s="2">
        <v>1298429</v>
      </c>
    </row>
    <row r="4184" spans="1:1" x14ac:dyDescent="0.25">
      <c r="A4184" s="2">
        <v>1298430</v>
      </c>
    </row>
    <row r="4185" spans="1:1" x14ac:dyDescent="0.25">
      <c r="A4185" s="2">
        <v>1298448</v>
      </c>
    </row>
    <row r="4186" spans="1:1" x14ac:dyDescent="0.25">
      <c r="A4186" s="2">
        <v>1298536</v>
      </c>
    </row>
    <row r="4187" spans="1:1" x14ac:dyDescent="0.25">
      <c r="A4187" s="2">
        <v>1298551</v>
      </c>
    </row>
    <row r="4188" spans="1:1" x14ac:dyDescent="0.25">
      <c r="A4188" s="2">
        <v>1298557</v>
      </c>
    </row>
    <row r="4189" spans="1:1" x14ac:dyDescent="0.25">
      <c r="A4189" s="2">
        <v>1298615</v>
      </c>
    </row>
    <row r="4190" spans="1:1" x14ac:dyDescent="0.25">
      <c r="A4190" s="2">
        <v>1298616</v>
      </c>
    </row>
    <row r="4191" spans="1:1" x14ac:dyDescent="0.25">
      <c r="A4191" s="2">
        <v>1298627</v>
      </c>
    </row>
    <row r="4192" spans="1:1" x14ac:dyDescent="0.25">
      <c r="A4192" s="2">
        <v>1298674</v>
      </c>
    </row>
    <row r="4193" spans="1:1" x14ac:dyDescent="0.25">
      <c r="A4193" s="2">
        <v>1298991</v>
      </c>
    </row>
    <row r="4194" spans="1:1" x14ac:dyDescent="0.25">
      <c r="A4194" s="2">
        <v>1300441</v>
      </c>
    </row>
    <row r="4195" spans="1:1" x14ac:dyDescent="0.25">
      <c r="A4195" s="2">
        <v>1300467</v>
      </c>
    </row>
    <row r="4196" spans="1:1" x14ac:dyDescent="0.25">
      <c r="A4196" s="2">
        <v>1300479</v>
      </c>
    </row>
    <row r="4197" spans="1:1" x14ac:dyDescent="0.25">
      <c r="A4197" s="2">
        <v>1300503</v>
      </c>
    </row>
    <row r="4198" spans="1:1" x14ac:dyDescent="0.25">
      <c r="A4198" s="2">
        <v>1300520</v>
      </c>
    </row>
    <row r="4199" spans="1:1" x14ac:dyDescent="0.25">
      <c r="A4199" s="2">
        <v>1300614</v>
      </c>
    </row>
    <row r="4200" spans="1:1" x14ac:dyDescent="0.25">
      <c r="A4200" s="2">
        <v>1300646</v>
      </c>
    </row>
    <row r="4201" spans="1:1" x14ac:dyDescent="0.25">
      <c r="A4201" s="2">
        <v>1300666</v>
      </c>
    </row>
    <row r="4202" spans="1:1" x14ac:dyDescent="0.25">
      <c r="A4202" s="2">
        <v>1300673</v>
      </c>
    </row>
    <row r="4203" spans="1:1" x14ac:dyDescent="0.25">
      <c r="A4203" s="2">
        <v>1300683</v>
      </c>
    </row>
    <row r="4204" spans="1:1" x14ac:dyDescent="0.25">
      <c r="A4204" s="2">
        <v>1300784</v>
      </c>
    </row>
    <row r="4205" spans="1:1" x14ac:dyDescent="0.25">
      <c r="A4205" s="2">
        <v>1300796</v>
      </c>
    </row>
    <row r="4206" spans="1:1" x14ac:dyDescent="0.25">
      <c r="A4206" s="2">
        <v>1300832</v>
      </c>
    </row>
    <row r="4207" spans="1:1" x14ac:dyDescent="0.25">
      <c r="A4207" s="2">
        <v>1300884</v>
      </c>
    </row>
    <row r="4208" spans="1:1" x14ac:dyDescent="0.25">
      <c r="A4208" s="2">
        <v>1300885</v>
      </c>
    </row>
    <row r="4209" spans="1:1" x14ac:dyDescent="0.25">
      <c r="A4209" s="2">
        <v>1300890</v>
      </c>
    </row>
    <row r="4210" spans="1:1" x14ac:dyDescent="0.25">
      <c r="A4210" s="2">
        <v>1300933</v>
      </c>
    </row>
    <row r="4211" spans="1:1" x14ac:dyDescent="0.25">
      <c r="A4211" s="2">
        <v>1301007</v>
      </c>
    </row>
    <row r="4212" spans="1:1" x14ac:dyDescent="0.25">
      <c r="A4212" s="2">
        <v>1301032</v>
      </c>
    </row>
    <row r="4213" spans="1:1" x14ac:dyDescent="0.25">
      <c r="A4213" s="2">
        <v>1301041</v>
      </c>
    </row>
    <row r="4214" spans="1:1" x14ac:dyDescent="0.25">
      <c r="A4214" s="2">
        <v>1301053</v>
      </c>
    </row>
    <row r="4215" spans="1:1" x14ac:dyDescent="0.25">
      <c r="A4215" s="2">
        <v>1301062</v>
      </c>
    </row>
    <row r="4216" spans="1:1" x14ac:dyDescent="0.25">
      <c r="A4216" s="2">
        <v>1301083</v>
      </c>
    </row>
    <row r="4217" spans="1:1" x14ac:dyDescent="0.25">
      <c r="A4217" s="2">
        <v>1301090</v>
      </c>
    </row>
    <row r="4218" spans="1:1" x14ac:dyDescent="0.25">
      <c r="A4218" s="2">
        <v>1301184</v>
      </c>
    </row>
    <row r="4219" spans="1:1" x14ac:dyDescent="0.25">
      <c r="A4219" s="2">
        <v>1301192</v>
      </c>
    </row>
    <row r="4220" spans="1:1" x14ac:dyDescent="0.25">
      <c r="A4220" s="2">
        <v>1301457</v>
      </c>
    </row>
    <row r="4221" spans="1:1" x14ac:dyDescent="0.25">
      <c r="A4221" s="2">
        <v>1301608</v>
      </c>
    </row>
    <row r="4222" spans="1:1" x14ac:dyDescent="0.25">
      <c r="A4222" s="2">
        <v>1301663</v>
      </c>
    </row>
    <row r="4223" spans="1:1" x14ac:dyDescent="0.25">
      <c r="A4223" s="2">
        <v>1302225</v>
      </c>
    </row>
    <row r="4224" spans="1:1" x14ac:dyDescent="0.25">
      <c r="A4224" s="2">
        <v>1302231</v>
      </c>
    </row>
    <row r="4225" spans="1:1" x14ac:dyDescent="0.25">
      <c r="A4225" s="2">
        <v>1302238</v>
      </c>
    </row>
    <row r="4226" spans="1:1" x14ac:dyDescent="0.25">
      <c r="A4226" s="2">
        <v>1303455</v>
      </c>
    </row>
    <row r="4227" spans="1:1" x14ac:dyDescent="0.25">
      <c r="A4227" s="2">
        <v>1305301</v>
      </c>
    </row>
    <row r="4228" spans="1:1" x14ac:dyDescent="0.25">
      <c r="A4228" s="2">
        <v>1305305</v>
      </c>
    </row>
    <row r="4229" spans="1:1" x14ac:dyDescent="0.25">
      <c r="A4229" s="2">
        <v>1305316</v>
      </c>
    </row>
    <row r="4230" spans="1:1" x14ac:dyDescent="0.25">
      <c r="A4230" s="2">
        <v>1306562</v>
      </c>
    </row>
    <row r="4231" spans="1:1" x14ac:dyDescent="0.25">
      <c r="A4231" s="2">
        <v>1306590</v>
      </c>
    </row>
    <row r="4232" spans="1:1" x14ac:dyDescent="0.25">
      <c r="A4232" s="2">
        <v>1306725</v>
      </c>
    </row>
    <row r="4233" spans="1:1" x14ac:dyDescent="0.25">
      <c r="A4233" s="2">
        <v>1306909</v>
      </c>
    </row>
    <row r="4234" spans="1:1" x14ac:dyDescent="0.25">
      <c r="A4234" s="2">
        <v>1306939</v>
      </c>
    </row>
    <row r="4235" spans="1:1" x14ac:dyDescent="0.25">
      <c r="A4235" s="2">
        <v>1307107</v>
      </c>
    </row>
    <row r="4236" spans="1:1" x14ac:dyDescent="0.25">
      <c r="A4236" s="2">
        <v>1307339</v>
      </c>
    </row>
    <row r="4237" spans="1:1" x14ac:dyDescent="0.25">
      <c r="A4237" s="2">
        <v>1307759</v>
      </c>
    </row>
    <row r="4238" spans="1:1" x14ac:dyDescent="0.25">
      <c r="A4238" s="2">
        <v>1308567</v>
      </c>
    </row>
    <row r="4239" spans="1:1" x14ac:dyDescent="0.25">
      <c r="A4239" s="2">
        <v>1311171</v>
      </c>
    </row>
    <row r="4240" spans="1:1" x14ac:dyDescent="0.25">
      <c r="A4240" s="2">
        <v>1311226</v>
      </c>
    </row>
    <row r="4241" spans="1:1" x14ac:dyDescent="0.25">
      <c r="A4241" s="2">
        <v>1328490</v>
      </c>
    </row>
    <row r="4242" spans="1:1" x14ac:dyDescent="0.25">
      <c r="A4242" s="2">
        <v>1328497</v>
      </c>
    </row>
    <row r="4243" spans="1:1" x14ac:dyDescent="0.25">
      <c r="A4243" s="2">
        <v>1328498</v>
      </c>
    </row>
    <row r="4244" spans="1:1" x14ac:dyDescent="0.25">
      <c r="A4244" s="2">
        <v>1328541</v>
      </c>
    </row>
    <row r="4245" spans="1:1" x14ac:dyDescent="0.25">
      <c r="A4245" s="2">
        <v>1328543</v>
      </c>
    </row>
    <row r="4246" spans="1:1" x14ac:dyDescent="0.25">
      <c r="A4246" s="2">
        <v>1337201</v>
      </c>
    </row>
    <row r="4247" spans="1:1" x14ac:dyDescent="0.25">
      <c r="A4247" s="2">
        <v>1337213</v>
      </c>
    </row>
    <row r="4248" spans="1:1" x14ac:dyDescent="0.25">
      <c r="A4248" s="2">
        <v>1353166</v>
      </c>
    </row>
    <row r="4249" spans="1:1" x14ac:dyDescent="0.25">
      <c r="A4249" s="2">
        <v>1353167</v>
      </c>
    </row>
    <row r="4250" spans="1:1" x14ac:dyDescent="0.25">
      <c r="A4250" s="2">
        <v>1353283</v>
      </c>
    </row>
    <row r="4251" spans="1:1" x14ac:dyDescent="0.25">
      <c r="A4251" s="2">
        <v>1353307</v>
      </c>
    </row>
    <row r="4252" spans="1:1" x14ac:dyDescent="0.25">
      <c r="A4252" s="2">
        <v>1353323</v>
      </c>
    </row>
    <row r="4253" spans="1:1" x14ac:dyDescent="0.25">
      <c r="A4253" s="2">
        <v>1353354</v>
      </c>
    </row>
    <row r="4254" spans="1:1" x14ac:dyDescent="0.25">
      <c r="A4254" s="2">
        <v>1353406</v>
      </c>
    </row>
    <row r="4255" spans="1:1" x14ac:dyDescent="0.25">
      <c r="A4255" s="2">
        <v>1353413</v>
      </c>
    </row>
    <row r="4256" spans="1:1" x14ac:dyDescent="0.25">
      <c r="A4256" s="2">
        <v>1353435</v>
      </c>
    </row>
    <row r="4257" spans="1:1" x14ac:dyDescent="0.25">
      <c r="A4257" s="2">
        <v>1353478</v>
      </c>
    </row>
    <row r="4258" spans="1:1" x14ac:dyDescent="0.25">
      <c r="A4258" s="2">
        <v>1353488</v>
      </c>
    </row>
    <row r="4259" spans="1:1" x14ac:dyDescent="0.25">
      <c r="A4259" s="2">
        <v>1353539</v>
      </c>
    </row>
    <row r="4260" spans="1:1" x14ac:dyDescent="0.25">
      <c r="A4260" s="2">
        <v>1353540</v>
      </c>
    </row>
    <row r="4261" spans="1:1" x14ac:dyDescent="0.25">
      <c r="A4261" s="2">
        <v>1353554</v>
      </c>
    </row>
    <row r="4262" spans="1:1" x14ac:dyDescent="0.25">
      <c r="A4262" s="2">
        <v>1353611</v>
      </c>
    </row>
    <row r="4263" spans="1:1" x14ac:dyDescent="0.25">
      <c r="A4263" s="2">
        <v>1353683</v>
      </c>
    </row>
    <row r="4264" spans="1:1" x14ac:dyDescent="0.25">
      <c r="A4264" s="2">
        <v>1353722</v>
      </c>
    </row>
    <row r="4265" spans="1:1" x14ac:dyDescent="0.25">
      <c r="A4265" s="2">
        <v>1353723</v>
      </c>
    </row>
    <row r="4266" spans="1:1" x14ac:dyDescent="0.25">
      <c r="A4266" s="2">
        <v>1353738</v>
      </c>
    </row>
    <row r="4267" spans="1:1" x14ac:dyDescent="0.25">
      <c r="A4267" s="2">
        <v>1353744</v>
      </c>
    </row>
    <row r="4268" spans="1:1" x14ac:dyDescent="0.25">
      <c r="A4268" s="2">
        <v>1353753</v>
      </c>
    </row>
    <row r="4269" spans="1:1" x14ac:dyDescent="0.25">
      <c r="A4269" s="2">
        <v>1353760</v>
      </c>
    </row>
    <row r="4270" spans="1:1" x14ac:dyDescent="0.25">
      <c r="A4270" s="2">
        <v>1353773</v>
      </c>
    </row>
    <row r="4271" spans="1:1" x14ac:dyDescent="0.25">
      <c r="A4271" s="2">
        <v>1353774</v>
      </c>
    </row>
    <row r="4272" spans="1:1" x14ac:dyDescent="0.25">
      <c r="A4272" s="2">
        <v>1353780</v>
      </c>
    </row>
    <row r="4273" spans="1:1" x14ac:dyDescent="0.25">
      <c r="A4273" s="2">
        <v>1353787</v>
      </c>
    </row>
    <row r="4274" spans="1:1" x14ac:dyDescent="0.25">
      <c r="A4274" s="2">
        <v>1353801</v>
      </c>
    </row>
    <row r="4275" spans="1:1" x14ac:dyDescent="0.25">
      <c r="A4275" s="2">
        <v>1353828</v>
      </c>
    </row>
    <row r="4276" spans="1:1" x14ac:dyDescent="0.25">
      <c r="A4276" s="2">
        <v>1353846</v>
      </c>
    </row>
    <row r="4277" spans="1:1" x14ac:dyDescent="0.25">
      <c r="A4277" s="2">
        <v>1353867</v>
      </c>
    </row>
    <row r="4278" spans="1:1" x14ac:dyDescent="0.25">
      <c r="A4278" s="2">
        <v>1353882</v>
      </c>
    </row>
    <row r="4279" spans="1:1" x14ac:dyDescent="0.25">
      <c r="A4279" s="2">
        <v>1353889</v>
      </c>
    </row>
    <row r="4280" spans="1:1" x14ac:dyDescent="0.25">
      <c r="A4280" s="2">
        <v>1354120</v>
      </c>
    </row>
    <row r="4281" spans="1:1" x14ac:dyDescent="0.25">
      <c r="A4281" s="2">
        <v>1354126</v>
      </c>
    </row>
    <row r="4282" spans="1:1" x14ac:dyDescent="0.25">
      <c r="A4282" s="2">
        <v>1354127</v>
      </c>
    </row>
    <row r="4283" spans="1:1" x14ac:dyDescent="0.25">
      <c r="A4283" s="2">
        <v>1354139</v>
      </c>
    </row>
    <row r="4284" spans="1:1" x14ac:dyDescent="0.25">
      <c r="A4284" s="2">
        <v>1354510</v>
      </c>
    </row>
    <row r="4285" spans="1:1" x14ac:dyDescent="0.25">
      <c r="A4285" s="2">
        <v>1354512</v>
      </c>
    </row>
    <row r="4286" spans="1:1" x14ac:dyDescent="0.25">
      <c r="A4286" s="2">
        <v>1354548</v>
      </c>
    </row>
    <row r="4287" spans="1:1" x14ac:dyDescent="0.25">
      <c r="A4287" s="2">
        <v>1354580</v>
      </c>
    </row>
    <row r="4288" spans="1:1" x14ac:dyDescent="0.25">
      <c r="A4288" s="2">
        <v>1354748</v>
      </c>
    </row>
    <row r="4289" spans="1:1" x14ac:dyDescent="0.25">
      <c r="A4289" s="2">
        <v>1354753</v>
      </c>
    </row>
    <row r="4290" spans="1:1" x14ac:dyDescent="0.25">
      <c r="A4290" s="2">
        <v>1354756</v>
      </c>
    </row>
    <row r="4291" spans="1:1" x14ac:dyDescent="0.25">
      <c r="A4291" s="2">
        <v>1354773</v>
      </c>
    </row>
    <row r="4292" spans="1:1" x14ac:dyDescent="0.25">
      <c r="A4292" s="2">
        <v>1354816</v>
      </c>
    </row>
    <row r="4293" spans="1:1" x14ac:dyDescent="0.25">
      <c r="A4293" s="2">
        <v>1354817</v>
      </c>
    </row>
    <row r="4294" spans="1:1" x14ac:dyDescent="0.25">
      <c r="A4294" s="2">
        <v>1354830</v>
      </c>
    </row>
    <row r="4295" spans="1:1" x14ac:dyDescent="0.25">
      <c r="A4295" s="2">
        <v>1354835</v>
      </c>
    </row>
    <row r="4296" spans="1:1" x14ac:dyDescent="0.25">
      <c r="A4296" s="2">
        <v>1354848</v>
      </c>
    </row>
    <row r="4297" spans="1:1" x14ac:dyDescent="0.25">
      <c r="A4297" s="2">
        <v>1354917</v>
      </c>
    </row>
    <row r="4298" spans="1:1" x14ac:dyDescent="0.25">
      <c r="A4298" s="2">
        <v>1355042</v>
      </c>
    </row>
    <row r="4299" spans="1:1" x14ac:dyDescent="0.25">
      <c r="A4299" s="2">
        <v>1355107</v>
      </c>
    </row>
    <row r="4300" spans="1:1" x14ac:dyDescent="0.25">
      <c r="A4300" s="2">
        <v>1355108</v>
      </c>
    </row>
    <row r="4301" spans="1:1" x14ac:dyDescent="0.25">
      <c r="A4301" s="2">
        <v>1355133</v>
      </c>
    </row>
    <row r="4302" spans="1:1" x14ac:dyDescent="0.25">
      <c r="A4302" s="2">
        <v>1355183</v>
      </c>
    </row>
    <row r="4303" spans="1:1" x14ac:dyDescent="0.25">
      <c r="A4303" s="2">
        <v>1356102</v>
      </c>
    </row>
    <row r="4304" spans="1:1" x14ac:dyDescent="0.25">
      <c r="A4304" s="2">
        <v>1356103</v>
      </c>
    </row>
    <row r="4305" spans="1:1" x14ac:dyDescent="0.25">
      <c r="A4305" s="2">
        <v>1356131</v>
      </c>
    </row>
    <row r="4306" spans="1:1" x14ac:dyDescent="0.25">
      <c r="A4306" s="2">
        <v>1356177</v>
      </c>
    </row>
    <row r="4307" spans="1:1" x14ac:dyDescent="0.25">
      <c r="A4307" s="2">
        <v>1356185</v>
      </c>
    </row>
    <row r="4308" spans="1:1" x14ac:dyDescent="0.25">
      <c r="A4308" s="2">
        <v>1356190</v>
      </c>
    </row>
    <row r="4309" spans="1:1" x14ac:dyDescent="0.25">
      <c r="A4309" s="2">
        <v>1356191</v>
      </c>
    </row>
    <row r="4310" spans="1:1" x14ac:dyDescent="0.25">
      <c r="A4310" s="2">
        <v>1356192</v>
      </c>
    </row>
    <row r="4311" spans="1:1" x14ac:dyDescent="0.25">
      <c r="A4311" s="2">
        <v>1356207</v>
      </c>
    </row>
    <row r="4312" spans="1:1" x14ac:dyDescent="0.25">
      <c r="A4312" s="2">
        <v>1356237</v>
      </c>
    </row>
    <row r="4313" spans="1:1" x14ac:dyDescent="0.25">
      <c r="A4313" s="2">
        <v>1356298</v>
      </c>
    </row>
    <row r="4314" spans="1:1" x14ac:dyDescent="0.25">
      <c r="A4314" s="2">
        <v>1356305</v>
      </c>
    </row>
    <row r="4315" spans="1:1" x14ac:dyDescent="0.25">
      <c r="A4315" s="2">
        <v>1356309</v>
      </c>
    </row>
    <row r="4316" spans="1:1" x14ac:dyDescent="0.25">
      <c r="A4316" s="2">
        <v>1356315</v>
      </c>
    </row>
    <row r="4317" spans="1:1" x14ac:dyDescent="0.25">
      <c r="A4317" s="2">
        <v>1356350</v>
      </c>
    </row>
    <row r="4318" spans="1:1" x14ac:dyDescent="0.25">
      <c r="A4318" s="2">
        <v>1356471</v>
      </c>
    </row>
    <row r="4319" spans="1:1" x14ac:dyDescent="0.25">
      <c r="A4319" s="2">
        <v>1356486</v>
      </c>
    </row>
    <row r="4320" spans="1:1" x14ac:dyDescent="0.25">
      <c r="A4320" s="2">
        <v>1356527</v>
      </c>
    </row>
    <row r="4321" spans="1:1" x14ac:dyDescent="0.25">
      <c r="A4321" s="2">
        <v>1356545</v>
      </c>
    </row>
    <row r="4322" spans="1:1" x14ac:dyDescent="0.25">
      <c r="A4322" s="2">
        <v>1356596</v>
      </c>
    </row>
    <row r="4323" spans="1:1" x14ac:dyDescent="0.25">
      <c r="A4323" s="2">
        <v>1356628</v>
      </c>
    </row>
    <row r="4324" spans="1:1" x14ac:dyDescent="0.25">
      <c r="A4324" s="2">
        <v>1356641</v>
      </c>
    </row>
    <row r="4325" spans="1:1" x14ac:dyDescent="0.25">
      <c r="A4325" s="2">
        <v>1356654</v>
      </c>
    </row>
    <row r="4326" spans="1:1" x14ac:dyDescent="0.25">
      <c r="A4326" s="2">
        <v>1356700</v>
      </c>
    </row>
    <row r="4327" spans="1:1" x14ac:dyDescent="0.25">
      <c r="A4327" s="2">
        <v>1356706</v>
      </c>
    </row>
    <row r="4328" spans="1:1" x14ac:dyDescent="0.25">
      <c r="A4328" s="2">
        <v>1356715</v>
      </c>
    </row>
    <row r="4329" spans="1:1" x14ac:dyDescent="0.25">
      <c r="A4329" s="2">
        <v>1356720</v>
      </c>
    </row>
    <row r="4330" spans="1:1" x14ac:dyDescent="0.25">
      <c r="A4330" s="2">
        <v>1356721</v>
      </c>
    </row>
    <row r="4331" spans="1:1" x14ac:dyDescent="0.25">
      <c r="A4331" s="2">
        <v>1356730</v>
      </c>
    </row>
    <row r="4332" spans="1:1" x14ac:dyDescent="0.25">
      <c r="A4332" s="2">
        <v>1356754</v>
      </c>
    </row>
    <row r="4333" spans="1:1" x14ac:dyDescent="0.25">
      <c r="A4333" s="2">
        <v>1356762</v>
      </c>
    </row>
    <row r="4334" spans="1:1" x14ac:dyDescent="0.25">
      <c r="A4334" s="2">
        <v>1356777</v>
      </c>
    </row>
    <row r="4335" spans="1:1" x14ac:dyDescent="0.25">
      <c r="A4335" s="2">
        <v>1356889</v>
      </c>
    </row>
    <row r="4336" spans="1:1" x14ac:dyDescent="0.25">
      <c r="A4336" s="2">
        <v>1356899</v>
      </c>
    </row>
    <row r="4337" spans="1:1" x14ac:dyDescent="0.25">
      <c r="A4337" s="2">
        <v>1356908</v>
      </c>
    </row>
    <row r="4338" spans="1:1" x14ac:dyDescent="0.25">
      <c r="A4338" s="2">
        <v>1356936</v>
      </c>
    </row>
    <row r="4339" spans="1:1" x14ac:dyDescent="0.25">
      <c r="A4339" s="2">
        <v>1356940</v>
      </c>
    </row>
    <row r="4340" spans="1:1" x14ac:dyDescent="0.25">
      <c r="A4340" s="2">
        <v>1356946</v>
      </c>
    </row>
    <row r="4341" spans="1:1" x14ac:dyDescent="0.25">
      <c r="A4341" s="2">
        <v>1356960</v>
      </c>
    </row>
    <row r="4342" spans="1:1" x14ac:dyDescent="0.25">
      <c r="A4342" s="2">
        <v>1356979</v>
      </c>
    </row>
    <row r="4343" spans="1:1" x14ac:dyDescent="0.25">
      <c r="A4343" s="2">
        <v>1357022</v>
      </c>
    </row>
    <row r="4344" spans="1:1" x14ac:dyDescent="0.25">
      <c r="A4344" s="2">
        <v>1357034</v>
      </c>
    </row>
    <row r="4345" spans="1:1" x14ac:dyDescent="0.25">
      <c r="A4345" s="2">
        <v>1357040</v>
      </c>
    </row>
    <row r="4346" spans="1:1" x14ac:dyDescent="0.25">
      <c r="A4346" s="2">
        <v>1357058</v>
      </c>
    </row>
    <row r="4347" spans="1:1" x14ac:dyDescent="0.25">
      <c r="A4347" s="2">
        <v>1357064</v>
      </c>
    </row>
    <row r="4348" spans="1:1" x14ac:dyDescent="0.25">
      <c r="A4348" s="2">
        <v>1357073</v>
      </c>
    </row>
    <row r="4349" spans="1:1" x14ac:dyDescent="0.25">
      <c r="A4349" s="2">
        <v>1357077</v>
      </c>
    </row>
    <row r="4350" spans="1:1" x14ac:dyDescent="0.25">
      <c r="A4350" s="2">
        <v>1357094</v>
      </c>
    </row>
    <row r="4351" spans="1:1" x14ac:dyDescent="0.25">
      <c r="A4351" s="2">
        <v>1357097</v>
      </c>
    </row>
    <row r="4352" spans="1:1" x14ac:dyDescent="0.25">
      <c r="A4352" s="2">
        <v>1357098</v>
      </c>
    </row>
    <row r="4353" spans="1:1" x14ac:dyDescent="0.25">
      <c r="A4353" s="2">
        <v>1357101</v>
      </c>
    </row>
    <row r="4354" spans="1:1" x14ac:dyDescent="0.25">
      <c r="A4354" s="2">
        <v>1357107</v>
      </c>
    </row>
    <row r="4355" spans="1:1" x14ac:dyDescent="0.25">
      <c r="A4355" s="2">
        <v>1357114</v>
      </c>
    </row>
    <row r="4356" spans="1:1" x14ac:dyDescent="0.25">
      <c r="A4356" s="2">
        <v>1357115</v>
      </c>
    </row>
    <row r="4357" spans="1:1" x14ac:dyDescent="0.25">
      <c r="A4357" s="2">
        <v>1357122</v>
      </c>
    </row>
    <row r="4358" spans="1:1" x14ac:dyDescent="0.25">
      <c r="A4358" s="2">
        <v>1357127</v>
      </c>
    </row>
    <row r="4359" spans="1:1" x14ac:dyDescent="0.25">
      <c r="A4359" s="2">
        <v>1357128</v>
      </c>
    </row>
    <row r="4360" spans="1:1" x14ac:dyDescent="0.25">
      <c r="A4360" s="2">
        <v>1357131</v>
      </c>
    </row>
    <row r="4361" spans="1:1" x14ac:dyDescent="0.25">
      <c r="A4361" s="2">
        <v>1357138</v>
      </c>
    </row>
    <row r="4362" spans="1:1" x14ac:dyDescent="0.25">
      <c r="A4362" s="2">
        <v>1357147</v>
      </c>
    </row>
    <row r="4363" spans="1:1" x14ac:dyDescent="0.25">
      <c r="A4363" s="2">
        <v>1357149</v>
      </c>
    </row>
    <row r="4364" spans="1:1" x14ac:dyDescent="0.25">
      <c r="A4364" s="2">
        <v>1357161</v>
      </c>
    </row>
    <row r="4365" spans="1:1" x14ac:dyDescent="0.25">
      <c r="A4365" s="2">
        <v>1357162</v>
      </c>
    </row>
    <row r="4366" spans="1:1" x14ac:dyDescent="0.25">
      <c r="A4366" s="2">
        <v>1357174</v>
      </c>
    </row>
    <row r="4367" spans="1:1" x14ac:dyDescent="0.25">
      <c r="A4367" s="2">
        <v>1357181</v>
      </c>
    </row>
    <row r="4368" spans="1:1" x14ac:dyDescent="0.25">
      <c r="A4368" s="2">
        <v>1357185</v>
      </c>
    </row>
    <row r="4369" spans="1:1" x14ac:dyDescent="0.25">
      <c r="A4369" s="2">
        <v>1357186</v>
      </c>
    </row>
    <row r="4370" spans="1:1" x14ac:dyDescent="0.25">
      <c r="A4370" s="2">
        <v>1357189</v>
      </c>
    </row>
    <row r="4371" spans="1:1" x14ac:dyDescent="0.25">
      <c r="A4371" s="2">
        <v>1357250</v>
      </c>
    </row>
    <row r="4372" spans="1:1" x14ac:dyDescent="0.25">
      <c r="A4372" s="2">
        <v>1357251</v>
      </c>
    </row>
    <row r="4373" spans="1:1" x14ac:dyDescent="0.25">
      <c r="A4373" s="2">
        <v>1357256</v>
      </c>
    </row>
    <row r="4374" spans="1:1" x14ac:dyDescent="0.25">
      <c r="A4374" s="2">
        <v>1357264</v>
      </c>
    </row>
    <row r="4375" spans="1:1" x14ac:dyDescent="0.25">
      <c r="A4375" s="2">
        <v>1357271</v>
      </c>
    </row>
    <row r="4376" spans="1:1" x14ac:dyDescent="0.25">
      <c r="A4376" s="2">
        <v>1357274</v>
      </c>
    </row>
    <row r="4377" spans="1:1" x14ac:dyDescent="0.25">
      <c r="A4377" s="2">
        <v>1357330</v>
      </c>
    </row>
    <row r="4378" spans="1:1" x14ac:dyDescent="0.25">
      <c r="A4378" s="2">
        <v>1357338</v>
      </c>
    </row>
    <row r="4379" spans="1:1" x14ac:dyDescent="0.25">
      <c r="A4379" s="2">
        <v>1357339</v>
      </c>
    </row>
    <row r="4380" spans="1:1" x14ac:dyDescent="0.25">
      <c r="A4380" s="2">
        <v>1357342</v>
      </c>
    </row>
    <row r="4381" spans="1:1" x14ac:dyDescent="0.25">
      <c r="A4381" s="2">
        <v>1357343</v>
      </c>
    </row>
    <row r="4382" spans="1:1" x14ac:dyDescent="0.25">
      <c r="A4382" s="2">
        <v>1357347</v>
      </c>
    </row>
    <row r="4383" spans="1:1" x14ac:dyDescent="0.25">
      <c r="A4383" s="2">
        <v>1357361</v>
      </c>
    </row>
    <row r="4384" spans="1:1" x14ac:dyDescent="0.25">
      <c r="A4384" s="2">
        <v>1357621</v>
      </c>
    </row>
    <row r="4385" spans="1:1" x14ac:dyDescent="0.25">
      <c r="A4385" s="2">
        <v>1357805</v>
      </c>
    </row>
    <row r="4386" spans="1:1" x14ac:dyDescent="0.25">
      <c r="A4386" s="2">
        <v>1357826</v>
      </c>
    </row>
    <row r="4387" spans="1:1" x14ac:dyDescent="0.25">
      <c r="A4387" s="2">
        <v>1357942</v>
      </c>
    </row>
    <row r="4388" spans="1:1" x14ac:dyDescent="0.25">
      <c r="A4388" s="2">
        <v>1357957</v>
      </c>
    </row>
    <row r="4389" spans="1:1" x14ac:dyDescent="0.25">
      <c r="A4389" s="2">
        <v>1357999</v>
      </c>
    </row>
    <row r="4390" spans="1:1" x14ac:dyDescent="0.25">
      <c r="A4390" s="2">
        <v>1358025</v>
      </c>
    </row>
    <row r="4391" spans="1:1" x14ac:dyDescent="0.25">
      <c r="A4391" s="2">
        <v>1358048</v>
      </c>
    </row>
    <row r="4392" spans="1:1" x14ac:dyDescent="0.25">
      <c r="A4392" s="2">
        <v>1358062</v>
      </c>
    </row>
    <row r="4393" spans="1:1" x14ac:dyDescent="0.25">
      <c r="A4393" s="2">
        <v>1358075</v>
      </c>
    </row>
    <row r="4394" spans="1:1" x14ac:dyDescent="0.25">
      <c r="A4394" s="2">
        <v>1358083</v>
      </c>
    </row>
    <row r="4395" spans="1:1" x14ac:dyDescent="0.25">
      <c r="A4395" s="2">
        <v>1358090</v>
      </c>
    </row>
    <row r="4396" spans="1:1" x14ac:dyDescent="0.25">
      <c r="A4396" s="2">
        <v>1358093</v>
      </c>
    </row>
    <row r="4397" spans="1:1" x14ac:dyDescent="0.25">
      <c r="A4397" s="2">
        <v>1358163</v>
      </c>
    </row>
    <row r="4398" spans="1:1" x14ac:dyDescent="0.25">
      <c r="A4398" s="2">
        <v>1358378</v>
      </c>
    </row>
    <row r="4399" spans="1:1" x14ac:dyDescent="0.25">
      <c r="A4399" s="2">
        <v>1358386</v>
      </c>
    </row>
    <row r="4400" spans="1:1" x14ac:dyDescent="0.25">
      <c r="A4400" s="2">
        <v>1358395</v>
      </c>
    </row>
    <row r="4401" spans="1:1" x14ac:dyDescent="0.25">
      <c r="A4401" s="2">
        <v>1358404</v>
      </c>
    </row>
    <row r="4402" spans="1:1" x14ac:dyDescent="0.25">
      <c r="A4402" s="2">
        <v>1358461</v>
      </c>
    </row>
    <row r="4403" spans="1:1" x14ac:dyDescent="0.25">
      <c r="A4403" s="2">
        <v>1358487</v>
      </c>
    </row>
    <row r="4404" spans="1:1" x14ac:dyDescent="0.25">
      <c r="A4404" s="2">
        <v>1358507</v>
      </c>
    </row>
    <row r="4405" spans="1:1" x14ac:dyDescent="0.25">
      <c r="A4405" s="2">
        <v>1358519</v>
      </c>
    </row>
    <row r="4406" spans="1:1" x14ac:dyDescent="0.25">
      <c r="A4406" s="2">
        <v>1358556</v>
      </c>
    </row>
    <row r="4407" spans="1:1" x14ac:dyDescent="0.25">
      <c r="A4407" s="2">
        <v>1358557</v>
      </c>
    </row>
    <row r="4408" spans="1:1" x14ac:dyDescent="0.25">
      <c r="A4408" s="2">
        <v>1358574</v>
      </c>
    </row>
    <row r="4409" spans="1:1" x14ac:dyDescent="0.25">
      <c r="A4409" s="2">
        <v>1359263</v>
      </c>
    </row>
    <row r="4410" spans="1:1" x14ac:dyDescent="0.25">
      <c r="A4410" s="2">
        <v>1359352</v>
      </c>
    </row>
    <row r="4411" spans="1:1" x14ac:dyDescent="0.25">
      <c r="A4411" s="2">
        <v>1359360</v>
      </c>
    </row>
    <row r="4412" spans="1:1" x14ac:dyDescent="0.25">
      <c r="A4412" s="2">
        <v>1359375</v>
      </c>
    </row>
    <row r="4413" spans="1:1" x14ac:dyDescent="0.25">
      <c r="A4413" s="2">
        <v>1359379</v>
      </c>
    </row>
    <row r="4414" spans="1:1" x14ac:dyDescent="0.25">
      <c r="A4414" s="2">
        <v>1359667</v>
      </c>
    </row>
    <row r="4415" spans="1:1" x14ac:dyDescent="0.25">
      <c r="A4415" s="2">
        <v>1359673</v>
      </c>
    </row>
    <row r="4416" spans="1:1" x14ac:dyDescent="0.25">
      <c r="A4416" s="2">
        <v>1359748</v>
      </c>
    </row>
    <row r="4417" spans="1:1" x14ac:dyDescent="0.25">
      <c r="A4417" s="2">
        <v>1359749</v>
      </c>
    </row>
    <row r="4418" spans="1:1" x14ac:dyDescent="0.25">
      <c r="A4418" s="2">
        <v>1359872</v>
      </c>
    </row>
    <row r="4419" spans="1:1" x14ac:dyDescent="0.25">
      <c r="A4419" s="2">
        <v>1359887</v>
      </c>
    </row>
    <row r="4420" spans="1:1" x14ac:dyDescent="0.25">
      <c r="A4420" s="2">
        <v>1359964</v>
      </c>
    </row>
    <row r="4421" spans="1:1" x14ac:dyDescent="0.25">
      <c r="A4421" s="2">
        <v>1359965</v>
      </c>
    </row>
    <row r="4422" spans="1:1" x14ac:dyDescent="0.25">
      <c r="A4422" s="2">
        <v>1359977</v>
      </c>
    </row>
    <row r="4423" spans="1:1" x14ac:dyDescent="0.25">
      <c r="A4423" s="2">
        <v>1359996</v>
      </c>
    </row>
    <row r="4424" spans="1:1" x14ac:dyDescent="0.25">
      <c r="A4424" s="2">
        <v>1360022</v>
      </c>
    </row>
    <row r="4425" spans="1:1" x14ac:dyDescent="0.25">
      <c r="A4425" s="2">
        <v>1360034</v>
      </c>
    </row>
    <row r="4426" spans="1:1" x14ac:dyDescent="0.25">
      <c r="A4426" s="2">
        <v>1360062</v>
      </c>
    </row>
    <row r="4427" spans="1:1" x14ac:dyDescent="0.25">
      <c r="A4427" s="2">
        <v>1360083</v>
      </c>
    </row>
    <row r="4428" spans="1:1" x14ac:dyDescent="0.25">
      <c r="A4428" s="2">
        <v>1360096</v>
      </c>
    </row>
    <row r="4429" spans="1:1" x14ac:dyDescent="0.25">
      <c r="A4429" s="2">
        <v>1360158</v>
      </c>
    </row>
    <row r="4430" spans="1:1" x14ac:dyDescent="0.25">
      <c r="A4430" s="2">
        <v>1360161</v>
      </c>
    </row>
    <row r="4431" spans="1:1" x14ac:dyDescent="0.25">
      <c r="A4431" s="2">
        <v>1360233</v>
      </c>
    </row>
    <row r="4432" spans="1:1" x14ac:dyDescent="0.25">
      <c r="A4432" s="2">
        <v>1360373</v>
      </c>
    </row>
    <row r="4433" spans="1:1" x14ac:dyDescent="0.25">
      <c r="A4433" s="2">
        <v>1360509</v>
      </c>
    </row>
    <row r="4434" spans="1:1" x14ac:dyDescent="0.25">
      <c r="A4434" s="2">
        <v>1360613</v>
      </c>
    </row>
    <row r="4435" spans="1:1" x14ac:dyDescent="0.25">
      <c r="A4435" s="2">
        <v>1360708</v>
      </c>
    </row>
    <row r="4436" spans="1:1" x14ac:dyDescent="0.25">
      <c r="A4436" s="2">
        <v>1360713</v>
      </c>
    </row>
    <row r="4437" spans="1:1" x14ac:dyDescent="0.25">
      <c r="A4437" s="2">
        <v>1360742</v>
      </c>
    </row>
    <row r="4438" spans="1:1" x14ac:dyDescent="0.25">
      <c r="A4438" s="2">
        <v>1360758</v>
      </c>
    </row>
    <row r="4439" spans="1:1" x14ac:dyDescent="0.25">
      <c r="A4439" s="2">
        <v>1360764</v>
      </c>
    </row>
    <row r="4440" spans="1:1" x14ac:dyDescent="0.25">
      <c r="A4440" s="2">
        <v>1360765</v>
      </c>
    </row>
    <row r="4441" spans="1:1" x14ac:dyDescent="0.25">
      <c r="A4441" s="2">
        <v>1360772</v>
      </c>
    </row>
    <row r="4442" spans="1:1" x14ac:dyDescent="0.25">
      <c r="A4442" s="2">
        <v>1360779</v>
      </c>
    </row>
    <row r="4443" spans="1:1" x14ac:dyDescent="0.25">
      <c r="A4443" s="2">
        <v>1360799</v>
      </c>
    </row>
    <row r="4444" spans="1:1" x14ac:dyDescent="0.25">
      <c r="A4444" s="2">
        <v>1360826</v>
      </c>
    </row>
    <row r="4445" spans="1:1" x14ac:dyDescent="0.25">
      <c r="A4445" s="2">
        <v>1360844</v>
      </c>
    </row>
    <row r="4446" spans="1:1" x14ac:dyDescent="0.25">
      <c r="A4446" s="2">
        <v>1360957</v>
      </c>
    </row>
    <row r="4447" spans="1:1" x14ac:dyDescent="0.25">
      <c r="A4447" s="2">
        <v>1360990</v>
      </c>
    </row>
    <row r="4448" spans="1:1" x14ac:dyDescent="0.25">
      <c r="A4448" s="2">
        <v>1360997</v>
      </c>
    </row>
    <row r="4449" spans="1:1" x14ac:dyDescent="0.25">
      <c r="A4449" s="2">
        <v>1361059</v>
      </c>
    </row>
    <row r="4450" spans="1:1" x14ac:dyDescent="0.25">
      <c r="A4450" s="2">
        <v>1361060</v>
      </c>
    </row>
    <row r="4451" spans="1:1" x14ac:dyDescent="0.25">
      <c r="A4451" s="2">
        <v>1361080</v>
      </c>
    </row>
    <row r="4452" spans="1:1" x14ac:dyDescent="0.25">
      <c r="A4452" s="2">
        <v>1361081</v>
      </c>
    </row>
    <row r="4453" spans="1:1" x14ac:dyDescent="0.25">
      <c r="A4453" s="2">
        <v>1361083</v>
      </c>
    </row>
    <row r="4454" spans="1:1" x14ac:dyDescent="0.25">
      <c r="A4454" s="2">
        <v>1361084</v>
      </c>
    </row>
    <row r="4455" spans="1:1" x14ac:dyDescent="0.25">
      <c r="A4455" s="2">
        <v>1361092</v>
      </c>
    </row>
    <row r="4456" spans="1:1" x14ac:dyDescent="0.25">
      <c r="A4456" s="2">
        <v>1361096</v>
      </c>
    </row>
    <row r="4457" spans="1:1" x14ac:dyDescent="0.25">
      <c r="A4457" s="2">
        <v>1361101</v>
      </c>
    </row>
    <row r="4458" spans="1:1" x14ac:dyDescent="0.25">
      <c r="A4458" s="2">
        <v>1361116</v>
      </c>
    </row>
    <row r="4459" spans="1:1" x14ac:dyDescent="0.25">
      <c r="A4459" s="2">
        <v>1361117</v>
      </c>
    </row>
    <row r="4460" spans="1:1" x14ac:dyDescent="0.25">
      <c r="A4460" s="2">
        <v>1361126</v>
      </c>
    </row>
    <row r="4461" spans="1:1" x14ac:dyDescent="0.25">
      <c r="A4461" s="2">
        <v>1361141</v>
      </c>
    </row>
    <row r="4462" spans="1:1" x14ac:dyDescent="0.25">
      <c r="A4462" s="2">
        <v>1361150</v>
      </c>
    </row>
    <row r="4463" spans="1:1" x14ac:dyDescent="0.25">
      <c r="A4463" s="2">
        <v>1361153</v>
      </c>
    </row>
    <row r="4464" spans="1:1" x14ac:dyDescent="0.25">
      <c r="A4464" s="2">
        <v>1361158</v>
      </c>
    </row>
    <row r="4465" spans="1:1" x14ac:dyDescent="0.25">
      <c r="A4465" s="2">
        <v>1361160</v>
      </c>
    </row>
    <row r="4466" spans="1:1" x14ac:dyDescent="0.25">
      <c r="A4466" s="2">
        <v>1361178</v>
      </c>
    </row>
    <row r="4467" spans="1:1" x14ac:dyDescent="0.25">
      <c r="A4467" s="2">
        <v>1361180</v>
      </c>
    </row>
    <row r="4468" spans="1:1" x14ac:dyDescent="0.25">
      <c r="A4468" s="2">
        <v>1361195</v>
      </c>
    </row>
    <row r="4469" spans="1:1" x14ac:dyDescent="0.25">
      <c r="A4469" s="2">
        <v>1361196</v>
      </c>
    </row>
    <row r="4470" spans="1:1" x14ac:dyDescent="0.25">
      <c r="A4470" s="2">
        <v>1361201</v>
      </c>
    </row>
    <row r="4471" spans="1:1" x14ac:dyDescent="0.25">
      <c r="A4471" s="2">
        <v>1361228</v>
      </c>
    </row>
    <row r="4472" spans="1:1" x14ac:dyDescent="0.25">
      <c r="A4472" s="2">
        <v>1361244</v>
      </c>
    </row>
    <row r="4473" spans="1:1" x14ac:dyDescent="0.25">
      <c r="A4473" s="2">
        <v>1361247</v>
      </c>
    </row>
    <row r="4474" spans="1:1" x14ac:dyDescent="0.25">
      <c r="A4474" s="2">
        <v>1361249</v>
      </c>
    </row>
    <row r="4475" spans="1:1" x14ac:dyDescent="0.25">
      <c r="A4475" s="2">
        <v>1361262</v>
      </c>
    </row>
    <row r="4476" spans="1:1" x14ac:dyDescent="0.25">
      <c r="A4476" s="2">
        <v>1361274</v>
      </c>
    </row>
    <row r="4477" spans="1:1" x14ac:dyDescent="0.25">
      <c r="A4477" s="2">
        <v>1361281</v>
      </c>
    </row>
    <row r="4478" spans="1:1" x14ac:dyDescent="0.25">
      <c r="A4478" s="2">
        <v>1361285</v>
      </c>
    </row>
    <row r="4479" spans="1:1" x14ac:dyDescent="0.25">
      <c r="A4479" s="2">
        <v>1361297</v>
      </c>
    </row>
    <row r="4480" spans="1:1" x14ac:dyDescent="0.25">
      <c r="A4480" s="2">
        <v>1361318</v>
      </c>
    </row>
    <row r="4481" spans="1:1" x14ac:dyDescent="0.25">
      <c r="A4481" s="2">
        <v>1361328</v>
      </c>
    </row>
    <row r="4482" spans="1:1" x14ac:dyDescent="0.25">
      <c r="A4482" s="2">
        <v>1361335</v>
      </c>
    </row>
    <row r="4483" spans="1:1" x14ac:dyDescent="0.25">
      <c r="A4483" s="2">
        <v>1361355</v>
      </c>
    </row>
    <row r="4484" spans="1:1" x14ac:dyDescent="0.25">
      <c r="A4484" s="2">
        <v>1361356</v>
      </c>
    </row>
    <row r="4485" spans="1:1" x14ac:dyDescent="0.25">
      <c r="A4485" s="2">
        <v>1361363</v>
      </c>
    </row>
    <row r="4486" spans="1:1" x14ac:dyDescent="0.25">
      <c r="A4486" s="2">
        <v>1361383</v>
      </c>
    </row>
    <row r="4487" spans="1:1" x14ac:dyDescent="0.25">
      <c r="A4487" s="2">
        <v>1361411</v>
      </c>
    </row>
    <row r="4488" spans="1:1" x14ac:dyDescent="0.25">
      <c r="A4488" s="2">
        <v>1361480</v>
      </c>
    </row>
    <row r="4489" spans="1:1" x14ac:dyDescent="0.25">
      <c r="A4489" s="2">
        <v>1361508</v>
      </c>
    </row>
    <row r="4490" spans="1:1" x14ac:dyDescent="0.25">
      <c r="A4490" s="2">
        <v>1361523</v>
      </c>
    </row>
    <row r="4491" spans="1:1" x14ac:dyDescent="0.25">
      <c r="A4491" s="2">
        <v>1361541</v>
      </c>
    </row>
    <row r="4492" spans="1:1" x14ac:dyDescent="0.25">
      <c r="A4492" s="2">
        <v>1361559</v>
      </c>
    </row>
    <row r="4493" spans="1:1" x14ac:dyDescent="0.25">
      <c r="A4493" s="2">
        <v>1361685</v>
      </c>
    </row>
    <row r="4494" spans="1:1" x14ac:dyDescent="0.25">
      <c r="A4494" s="2">
        <v>1361731</v>
      </c>
    </row>
    <row r="4495" spans="1:1" x14ac:dyDescent="0.25">
      <c r="A4495" s="2">
        <v>1361738</v>
      </c>
    </row>
    <row r="4496" spans="1:1" x14ac:dyDescent="0.25">
      <c r="A4496" s="2">
        <v>1361793</v>
      </c>
    </row>
    <row r="4497" spans="1:1" x14ac:dyDescent="0.25">
      <c r="A4497" s="2">
        <v>1361858</v>
      </c>
    </row>
    <row r="4498" spans="1:1" x14ac:dyDescent="0.25">
      <c r="A4498" s="2">
        <v>1361908</v>
      </c>
    </row>
    <row r="4499" spans="1:1" x14ac:dyDescent="0.25">
      <c r="A4499" s="2">
        <v>1362035</v>
      </c>
    </row>
    <row r="4500" spans="1:1" x14ac:dyDescent="0.25">
      <c r="A4500" s="2">
        <v>1362037</v>
      </c>
    </row>
    <row r="4501" spans="1:1" x14ac:dyDescent="0.25">
      <c r="A4501" s="2">
        <v>1362039</v>
      </c>
    </row>
    <row r="4502" spans="1:1" x14ac:dyDescent="0.25">
      <c r="A4502" s="2">
        <v>1362060</v>
      </c>
    </row>
    <row r="4503" spans="1:1" x14ac:dyDescent="0.25">
      <c r="A4503" s="2">
        <v>1362125</v>
      </c>
    </row>
    <row r="4504" spans="1:1" x14ac:dyDescent="0.25">
      <c r="A4504" s="2">
        <v>1362126</v>
      </c>
    </row>
    <row r="4505" spans="1:1" x14ac:dyDescent="0.25">
      <c r="A4505" s="2">
        <v>1362327</v>
      </c>
    </row>
    <row r="4506" spans="1:1" x14ac:dyDescent="0.25">
      <c r="A4506" s="2">
        <v>1362403</v>
      </c>
    </row>
    <row r="4507" spans="1:1" x14ac:dyDescent="0.25">
      <c r="A4507" s="2">
        <v>1362557</v>
      </c>
    </row>
    <row r="4508" spans="1:1" x14ac:dyDescent="0.25">
      <c r="A4508" s="2">
        <v>1362564</v>
      </c>
    </row>
    <row r="4509" spans="1:1" x14ac:dyDescent="0.25">
      <c r="A4509" s="2">
        <v>1362632</v>
      </c>
    </row>
    <row r="4510" spans="1:1" x14ac:dyDescent="0.25">
      <c r="A4510" s="2">
        <v>1362713</v>
      </c>
    </row>
    <row r="4511" spans="1:1" x14ac:dyDescent="0.25">
      <c r="A4511" s="2">
        <v>1362746</v>
      </c>
    </row>
    <row r="4512" spans="1:1" x14ac:dyDescent="0.25">
      <c r="A4512" s="2">
        <v>1362799</v>
      </c>
    </row>
    <row r="4513" spans="1:1" x14ac:dyDescent="0.25">
      <c r="A4513" s="2">
        <v>1362817</v>
      </c>
    </row>
    <row r="4514" spans="1:1" x14ac:dyDescent="0.25">
      <c r="A4514" s="2">
        <v>1362819</v>
      </c>
    </row>
    <row r="4515" spans="1:1" x14ac:dyDescent="0.25">
      <c r="A4515" s="2">
        <v>1362873</v>
      </c>
    </row>
    <row r="4516" spans="1:1" x14ac:dyDescent="0.25">
      <c r="A4516" s="2">
        <v>1362910</v>
      </c>
    </row>
    <row r="4517" spans="1:1" x14ac:dyDescent="0.25">
      <c r="A4517" s="2">
        <v>1362917</v>
      </c>
    </row>
    <row r="4518" spans="1:1" x14ac:dyDescent="0.25">
      <c r="A4518" s="2">
        <v>1362920</v>
      </c>
    </row>
    <row r="4519" spans="1:1" x14ac:dyDescent="0.25">
      <c r="A4519" s="2">
        <v>1362932</v>
      </c>
    </row>
    <row r="4520" spans="1:1" x14ac:dyDescent="0.25">
      <c r="A4520" s="2">
        <v>1362969</v>
      </c>
    </row>
    <row r="4521" spans="1:1" x14ac:dyDescent="0.25">
      <c r="A4521" s="2">
        <v>1363017</v>
      </c>
    </row>
    <row r="4522" spans="1:1" x14ac:dyDescent="0.25">
      <c r="A4522" s="2">
        <v>1363042</v>
      </c>
    </row>
    <row r="4523" spans="1:1" x14ac:dyDescent="0.25">
      <c r="A4523" s="2">
        <v>1363061</v>
      </c>
    </row>
    <row r="4524" spans="1:1" x14ac:dyDescent="0.25">
      <c r="A4524" s="2">
        <v>1363075</v>
      </c>
    </row>
    <row r="4525" spans="1:1" x14ac:dyDescent="0.25">
      <c r="A4525" s="2">
        <v>1363127</v>
      </c>
    </row>
    <row r="4526" spans="1:1" x14ac:dyDescent="0.25">
      <c r="A4526" s="2">
        <v>1363242</v>
      </c>
    </row>
    <row r="4527" spans="1:1" x14ac:dyDescent="0.25">
      <c r="A4527" s="2">
        <v>1363300</v>
      </c>
    </row>
    <row r="4528" spans="1:1" x14ac:dyDescent="0.25">
      <c r="A4528" s="2">
        <v>1363364</v>
      </c>
    </row>
    <row r="4529" spans="1:1" x14ac:dyDescent="0.25">
      <c r="A4529" s="2">
        <v>1363575</v>
      </c>
    </row>
    <row r="4530" spans="1:1" x14ac:dyDescent="0.25">
      <c r="A4530" s="2">
        <v>1363598</v>
      </c>
    </row>
    <row r="4531" spans="1:1" x14ac:dyDescent="0.25">
      <c r="A4531" s="2">
        <v>1363657</v>
      </c>
    </row>
    <row r="4532" spans="1:1" x14ac:dyDescent="0.25">
      <c r="A4532" s="2">
        <v>1363672</v>
      </c>
    </row>
    <row r="4533" spans="1:1" x14ac:dyDescent="0.25">
      <c r="A4533" s="2">
        <v>1363690</v>
      </c>
    </row>
    <row r="4534" spans="1:1" x14ac:dyDescent="0.25">
      <c r="A4534" s="2">
        <v>1363745</v>
      </c>
    </row>
    <row r="4535" spans="1:1" x14ac:dyDescent="0.25">
      <c r="A4535" s="2">
        <v>1363792</v>
      </c>
    </row>
    <row r="4536" spans="1:1" x14ac:dyDescent="0.25">
      <c r="A4536" s="2">
        <v>1363807</v>
      </c>
    </row>
    <row r="4537" spans="1:1" x14ac:dyDescent="0.25">
      <c r="A4537" s="2">
        <v>1364713</v>
      </c>
    </row>
    <row r="4538" spans="1:1" x14ac:dyDescent="0.25">
      <c r="A4538" s="2">
        <v>1364787</v>
      </c>
    </row>
    <row r="4539" spans="1:1" x14ac:dyDescent="0.25">
      <c r="A4539" s="2">
        <v>1364822</v>
      </c>
    </row>
    <row r="4540" spans="1:1" x14ac:dyDescent="0.25">
      <c r="A4540" s="2">
        <v>1364868</v>
      </c>
    </row>
    <row r="4541" spans="1:1" x14ac:dyDescent="0.25">
      <c r="A4541" s="2">
        <v>1364901</v>
      </c>
    </row>
    <row r="4542" spans="1:1" x14ac:dyDescent="0.25">
      <c r="A4542" s="2">
        <v>1364909</v>
      </c>
    </row>
    <row r="4543" spans="1:1" x14ac:dyDescent="0.25">
      <c r="A4543" s="2">
        <v>1364924</v>
      </c>
    </row>
    <row r="4544" spans="1:1" x14ac:dyDescent="0.25">
      <c r="A4544" s="2">
        <v>1365009</v>
      </c>
    </row>
    <row r="4545" spans="1:1" x14ac:dyDescent="0.25">
      <c r="A4545" s="2">
        <v>1365023</v>
      </c>
    </row>
    <row r="4546" spans="1:1" x14ac:dyDescent="0.25">
      <c r="A4546" s="2">
        <v>1365121</v>
      </c>
    </row>
    <row r="4547" spans="1:1" x14ac:dyDescent="0.25">
      <c r="A4547" s="2">
        <v>1365133</v>
      </c>
    </row>
    <row r="4548" spans="1:1" x14ac:dyDescent="0.25">
      <c r="A4548" s="2">
        <v>1365373</v>
      </c>
    </row>
    <row r="4549" spans="1:1" x14ac:dyDescent="0.25">
      <c r="A4549" s="2">
        <v>1365501</v>
      </c>
    </row>
    <row r="4550" spans="1:1" x14ac:dyDescent="0.25">
      <c r="A4550" s="2">
        <v>1365544</v>
      </c>
    </row>
    <row r="4551" spans="1:1" x14ac:dyDescent="0.25">
      <c r="A4551" s="2">
        <v>1365576</v>
      </c>
    </row>
    <row r="4552" spans="1:1" x14ac:dyDescent="0.25">
      <c r="A4552" s="2">
        <v>1365585</v>
      </c>
    </row>
    <row r="4553" spans="1:1" x14ac:dyDescent="0.25">
      <c r="A4553" s="2">
        <v>1365610</v>
      </c>
    </row>
    <row r="4554" spans="1:1" x14ac:dyDescent="0.25">
      <c r="A4554" s="2">
        <v>1365628</v>
      </c>
    </row>
    <row r="4555" spans="1:1" x14ac:dyDescent="0.25">
      <c r="A4555" s="2">
        <v>1365636</v>
      </c>
    </row>
    <row r="4556" spans="1:1" x14ac:dyDescent="0.25">
      <c r="A4556" s="2">
        <v>1365666</v>
      </c>
    </row>
    <row r="4557" spans="1:1" x14ac:dyDescent="0.25">
      <c r="A4557" s="2">
        <v>1366887</v>
      </c>
    </row>
    <row r="4558" spans="1:1" x14ac:dyDescent="0.25">
      <c r="A4558" s="2">
        <v>1366902</v>
      </c>
    </row>
    <row r="4559" spans="1:1" x14ac:dyDescent="0.25">
      <c r="A4559" s="2">
        <v>1366977</v>
      </c>
    </row>
    <row r="4560" spans="1:1" x14ac:dyDescent="0.25">
      <c r="A4560" s="2">
        <v>1367534</v>
      </c>
    </row>
    <row r="4561" spans="1:1" x14ac:dyDescent="0.25">
      <c r="A4561" s="2">
        <v>1367541</v>
      </c>
    </row>
    <row r="4562" spans="1:1" x14ac:dyDescent="0.25">
      <c r="A4562" s="2">
        <v>1367557</v>
      </c>
    </row>
    <row r="4563" spans="1:1" x14ac:dyDescent="0.25">
      <c r="A4563" s="2">
        <v>1368021</v>
      </c>
    </row>
    <row r="4564" spans="1:1" x14ac:dyDescent="0.25">
      <c r="A4564" s="2">
        <v>1368061</v>
      </c>
    </row>
    <row r="4565" spans="1:1" x14ac:dyDescent="0.25">
      <c r="A4565" s="2">
        <v>1368075</v>
      </c>
    </row>
    <row r="4566" spans="1:1" x14ac:dyDescent="0.25">
      <c r="A4566" s="2">
        <v>1368091</v>
      </c>
    </row>
    <row r="4567" spans="1:1" x14ac:dyDescent="0.25">
      <c r="A4567" s="2">
        <v>1370304</v>
      </c>
    </row>
    <row r="4568" spans="1:1" x14ac:dyDescent="0.25">
      <c r="A4568" s="2">
        <v>1371041</v>
      </c>
    </row>
    <row r="4569" spans="1:1" x14ac:dyDescent="0.25">
      <c r="A4569" s="2">
        <v>1378343</v>
      </c>
    </row>
    <row r="4570" spans="1:1" x14ac:dyDescent="0.25">
      <c r="A4570" s="2">
        <v>1378367</v>
      </c>
    </row>
    <row r="4571" spans="1:1" x14ac:dyDescent="0.25">
      <c r="A4571" s="2">
        <v>1379036</v>
      </c>
    </row>
    <row r="4572" spans="1:1" x14ac:dyDescent="0.25">
      <c r="A4572" s="2">
        <v>1379046</v>
      </c>
    </row>
    <row r="4573" spans="1:1" x14ac:dyDescent="0.25">
      <c r="A4573" s="2">
        <v>1379075</v>
      </c>
    </row>
    <row r="4574" spans="1:1" x14ac:dyDescent="0.25">
      <c r="A4574" s="2">
        <v>1379247</v>
      </c>
    </row>
    <row r="4575" spans="1:1" x14ac:dyDescent="0.25">
      <c r="A4575" s="2">
        <v>1379248</v>
      </c>
    </row>
    <row r="4576" spans="1:1" x14ac:dyDescent="0.25">
      <c r="A4576" s="2">
        <v>1379254</v>
      </c>
    </row>
    <row r="4577" spans="1:1" x14ac:dyDescent="0.25">
      <c r="A4577" s="2">
        <v>1379282</v>
      </c>
    </row>
    <row r="4578" spans="1:1" x14ac:dyDescent="0.25">
      <c r="A4578" s="2">
        <v>1379398</v>
      </c>
    </row>
    <row r="4579" spans="1:1" x14ac:dyDescent="0.25">
      <c r="A4579" s="2">
        <v>1379407</v>
      </c>
    </row>
    <row r="4580" spans="1:1" x14ac:dyDescent="0.25">
      <c r="A4580" s="2">
        <v>1379414</v>
      </c>
    </row>
    <row r="4581" spans="1:1" x14ac:dyDescent="0.25">
      <c r="A4581" s="2">
        <v>1379415</v>
      </c>
    </row>
    <row r="4582" spans="1:1" x14ac:dyDescent="0.25">
      <c r="A4582" s="2">
        <v>1388976</v>
      </c>
    </row>
    <row r="4583" spans="1:1" x14ac:dyDescent="0.25">
      <c r="A4583" s="2">
        <v>1389037</v>
      </c>
    </row>
    <row r="4584" spans="1:1" x14ac:dyDescent="0.25">
      <c r="A4584" s="2">
        <v>1389176</v>
      </c>
    </row>
    <row r="4585" spans="1:1" x14ac:dyDescent="0.25">
      <c r="A4585" s="2">
        <v>1389190</v>
      </c>
    </row>
    <row r="4586" spans="1:1" x14ac:dyDescent="0.25">
      <c r="A4586" s="2">
        <v>1390081</v>
      </c>
    </row>
    <row r="4587" spans="1:1" x14ac:dyDescent="0.25">
      <c r="A4587" s="2">
        <v>1390114</v>
      </c>
    </row>
    <row r="4588" spans="1:1" x14ac:dyDescent="0.25">
      <c r="A4588" s="2">
        <v>1390141</v>
      </c>
    </row>
    <row r="4589" spans="1:1" x14ac:dyDescent="0.25">
      <c r="A4589" s="2">
        <v>1390158</v>
      </c>
    </row>
    <row r="4590" spans="1:1" x14ac:dyDescent="0.25">
      <c r="A4590" s="2">
        <v>1391722</v>
      </c>
    </row>
    <row r="4591" spans="1:1" x14ac:dyDescent="0.25">
      <c r="A4591" s="2">
        <v>1391725</v>
      </c>
    </row>
    <row r="4592" spans="1:1" x14ac:dyDescent="0.25">
      <c r="A4592" s="2">
        <v>1391733</v>
      </c>
    </row>
    <row r="4593" spans="1:1" x14ac:dyDescent="0.25">
      <c r="A4593" s="2">
        <v>1391741</v>
      </c>
    </row>
    <row r="4594" spans="1:1" x14ac:dyDescent="0.25">
      <c r="A4594" s="2">
        <v>1391750</v>
      </c>
    </row>
    <row r="4595" spans="1:1" x14ac:dyDescent="0.25">
      <c r="A4595" s="2">
        <v>1391779</v>
      </c>
    </row>
    <row r="4596" spans="1:1" x14ac:dyDescent="0.25">
      <c r="A4596" s="2">
        <v>1391796</v>
      </c>
    </row>
    <row r="4597" spans="1:1" x14ac:dyDescent="0.25">
      <c r="A4597" s="2">
        <v>1391803</v>
      </c>
    </row>
    <row r="4598" spans="1:1" x14ac:dyDescent="0.25">
      <c r="A4598" s="2">
        <v>1391813</v>
      </c>
    </row>
    <row r="4599" spans="1:1" x14ac:dyDescent="0.25">
      <c r="A4599" s="2">
        <v>1391817</v>
      </c>
    </row>
    <row r="4600" spans="1:1" x14ac:dyDescent="0.25">
      <c r="A4600" s="2">
        <v>1391824</v>
      </c>
    </row>
    <row r="4601" spans="1:1" x14ac:dyDescent="0.25">
      <c r="A4601" s="2">
        <v>1391852</v>
      </c>
    </row>
    <row r="4602" spans="1:1" x14ac:dyDescent="0.25">
      <c r="A4602" s="2">
        <v>1391875</v>
      </c>
    </row>
    <row r="4603" spans="1:1" x14ac:dyDescent="0.25">
      <c r="A4603" s="2">
        <v>1391882</v>
      </c>
    </row>
    <row r="4604" spans="1:1" x14ac:dyDescent="0.25">
      <c r="A4604" s="2">
        <v>1393234</v>
      </c>
    </row>
    <row r="4605" spans="1:1" x14ac:dyDescent="0.25">
      <c r="A4605" s="2">
        <v>1393239</v>
      </c>
    </row>
    <row r="4606" spans="1:1" x14ac:dyDescent="0.25">
      <c r="A4606" s="2">
        <v>1393358</v>
      </c>
    </row>
    <row r="4607" spans="1:1" x14ac:dyDescent="0.25">
      <c r="A4607" s="2">
        <v>1393480</v>
      </c>
    </row>
    <row r="4608" spans="1:1" x14ac:dyDescent="0.25">
      <c r="A4608" s="2">
        <v>1393573</v>
      </c>
    </row>
    <row r="4609" spans="1:1" x14ac:dyDescent="0.25">
      <c r="A4609" s="2">
        <v>1393732</v>
      </c>
    </row>
    <row r="4610" spans="1:1" x14ac:dyDescent="0.25">
      <c r="A4610" s="2">
        <v>1393746</v>
      </c>
    </row>
    <row r="4611" spans="1:1" x14ac:dyDescent="0.25">
      <c r="A4611" s="2">
        <v>1393854</v>
      </c>
    </row>
    <row r="4612" spans="1:1" x14ac:dyDescent="0.25">
      <c r="A4612" s="2">
        <v>1400855</v>
      </c>
    </row>
    <row r="4613" spans="1:1" x14ac:dyDescent="0.25">
      <c r="A4613" s="2">
        <v>1400869</v>
      </c>
    </row>
    <row r="4614" spans="1:1" x14ac:dyDescent="0.25">
      <c r="A4614" s="2">
        <v>1400900</v>
      </c>
    </row>
    <row r="4615" spans="1:1" x14ac:dyDescent="0.25">
      <c r="A4615" s="2">
        <v>1400906</v>
      </c>
    </row>
    <row r="4616" spans="1:1" x14ac:dyDescent="0.25">
      <c r="A4616" s="2">
        <v>1400950</v>
      </c>
    </row>
    <row r="4617" spans="1:1" x14ac:dyDescent="0.25">
      <c r="A4617" s="2">
        <v>1400977</v>
      </c>
    </row>
    <row r="4618" spans="1:1" x14ac:dyDescent="0.25">
      <c r="A4618" s="2">
        <v>1401426</v>
      </c>
    </row>
    <row r="4619" spans="1:1" x14ac:dyDescent="0.25">
      <c r="A4619" s="2">
        <v>1401584</v>
      </c>
    </row>
    <row r="4620" spans="1:1" x14ac:dyDescent="0.25">
      <c r="A4620" s="2">
        <v>1401597</v>
      </c>
    </row>
    <row r="4621" spans="1:1" x14ac:dyDescent="0.25">
      <c r="A4621" s="2">
        <v>1401624</v>
      </c>
    </row>
    <row r="4622" spans="1:1" x14ac:dyDescent="0.25">
      <c r="A4622" s="2">
        <v>1401706</v>
      </c>
    </row>
    <row r="4623" spans="1:1" x14ac:dyDescent="0.25">
      <c r="A4623" s="2">
        <v>1401750</v>
      </c>
    </row>
    <row r="4624" spans="1:1" x14ac:dyDescent="0.25">
      <c r="A4624" s="2">
        <v>1401797</v>
      </c>
    </row>
    <row r="4625" spans="1:1" x14ac:dyDescent="0.25">
      <c r="A4625" s="2">
        <v>1406676</v>
      </c>
    </row>
    <row r="4626" spans="1:1" x14ac:dyDescent="0.25">
      <c r="A4626" s="2">
        <v>1407349</v>
      </c>
    </row>
    <row r="4627" spans="1:1" x14ac:dyDescent="0.25">
      <c r="A4627" s="2">
        <v>1432449</v>
      </c>
    </row>
    <row r="4628" spans="1:1" x14ac:dyDescent="0.25">
      <c r="A4628" s="2">
        <v>1432935</v>
      </c>
    </row>
    <row r="4629" spans="1:1" x14ac:dyDescent="0.25">
      <c r="A4629" s="2">
        <v>1435151</v>
      </c>
    </row>
    <row r="4630" spans="1:1" x14ac:dyDescent="0.25">
      <c r="A4630" s="2">
        <v>1435166</v>
      </c>
    </row>
    <row r="4631" spans="1:1" x14ac:dyDescent="0.25">
      <c r="A4631" s="2">
        <v>1435176</v>
      </c>
    </row>
    <row r="4632" spans="1:1" x14ac:dyDescent="0.25">
      <c r="A4632" s="2">
        <v>1445308</v>
      </c>
    </row>
    <row r="4633" spans="1:1" x14ac:dyDescent="0.25">
      <c r="A4633" s="2">
        <v>1445349</v>
      </c>
    </row>
    <row r="4634" spans="1:1" x14ac:dyDescent="0.25">
      <c r="A4634" s="2">
        <v>1445376</v>
      </c>
    </row>
    <row r="4635" spans="1:1" x14ac:dyDescent="0.25">
      <c r="A4635" s="2">
        <v>1445385</v>
      </c>
    </row>
    <row r="4636" spans="1:1" x14ac:dyDescent="0.25">
      <c r="A4636" s="2">
        <v>1445392</v>
      </c>
    </row>
    <row r="4637" spans="1:1" x14ac:dyDescent="0.25">
      <c r="A4637" s="2">
        <v>1445398</v>
      </c>
    </row>
    <row r="4638" spans="1:1" x14ac:dyDescent="0.25">
      <c r="A4638" s="2">
        <v>1445425</v>
      </c>
    </row>
    <row r="4639" spans="1:1" x14ac:dyDescent="0.25">
      <c r="A4639" s="2">
        <v>1445426</v>
      </c>
    </row>
    <row r="4640" spans="1:1" x14ac:dyDescent="0.25">
      <c r="A4640" s="2">
        <v>1445433</v>
      </c>
    </row>
    <row r="4641" spans="1:1" x14ac:dyDescent="0.25">
      <c r="A4641" s="2">
        <v>1445470</v>
      </c>
    </row>
    <row r="4642" spans="1:1" x14ac:dyDescent="0.25">
      <c r="A4642" s="2">
        <v>1446350</v>
      </c>
    </row>
    <row r="4643" spans="1:1" x14ac:dyDescent="0.25">
      <c r="A4643" s="2">
        <v>1446492</v>
      </c>
    </row>
    <row r="4644" spans="1:1" x14ac:dyDescent="0.25">
      <c r="A4644" s="2">
        <v>1446494</v>
      </c>
    </row>
    <row r="4645" spans="1:1" x14ac:dyDescent="0.25">
      <c r="A4645" s="2">
        <v>1446614</v>
      </c>
    </row>
    <row r="4646" spans="1:1" x14ac:dyDescent="0.25">
      <c r="A4646" s="2">
        <v>1446976</v>
      </c>
    </row>
    <row r="4647" spans="1:1" x14ac:dyDescent="0.25">
      <c r="A4647" s="2">
        <v>1446992</v>
      </c>
    </row>
    <row r="4648" spans="1:1" x14ac:dyDescent="0.25">
      <c r="A4648" s="2">
        <v>1447015</v>
      </c>
    </row>
    <row r="4649" spans="1:1" x14ac:dyDescent="0.25">
      <c r="A4649" s="2">
        <v>1447043</v>
      </c>
    </row>
    <row r="4650" spans="1:1" x14ac:dyDescent="0.25">
      <c r="A4650" s="2">
        <v>1447067</v>
      </c>
    </row>
    <row r="4651" spans="1:1" x14ac:dyDescent="0.25">
      <c r="A4651" s="2">
        <v>1447072</v>
      </c>
    </row>
    <row r="4652" spans="1:1" x14ac:dyDescent="0.25">
      <c r="A4652" s="2">
        <v>1447325</v>
      </c>
    </row>
    <row r="4653" spans="1:1" x14ac:dyDescent="0.25">
      <c r="A4653" s="2">
        <v>1447394</v>
      </c>
    </row>
    <row r="4654" spans="1:1" x14ac:dyDescent="0.25">
      <c r="A4654" s="2">
        <v>1447426</v>
      </c>
    </row>
    <row r="4655" spans="1:1" x14ac:dyDescent="0.25">
      <c r="A4655" s="2">
        <v>1447896</v>
      </c>
    </row>
    <row r="4656" spans="1:1" x14ac:dyDescent="0.25">
      <c r="A4656" s="2">
        <v>1447902</v>
      </c>
    </row>
    <row r="4657" spans="1:1" x14ac:dyDescent="0.25">
      <c r="A4657" s="2">
        <v>1447909</v>
      </c>
    </row>
    <row r="4658" spans="1:1" x14ac:dyDescent="0.25">
      <c r="A4658" s="2">
        <v>1447939</v>
      </c>
    </row>
    <row r="4659" spans="1:1" x14ac:dyDescent="0.25">
      <c r="A4659" s="2">
        <v>1447961</v>
      </c>
    </row>
    <row r="4660" spans="1:1" x14ac:dyDescent="0.25">
      <c r="A4660" s="2">
        <v>1447984</v>
      </c>
    </row>
    <row r="4661" spans="1:1" x14ac:dyDescent="0.25">
      <c r="A4661" s="2">
        <v>1448006</v>
      </c>
    </row>
    <row r="4662" spans="1:1" x14ac:dyDescent="0.25">
      <c r="A4662" s="2">
        <v>1448013</v>
      </c>
    </row>
    <row r="4663" spans="1:1" x14ac:dyDescent="0.25">
      <c r="A4663" s="2">
        <v>1448019</v>
      </c>
    </row>
    <row r="4664" spans="1:1" x14ac:dyDescent="0.25">
      <c r="A4664" s="2">
        <v>1448118</v>
      </c>
    </row>
    <row r="4665" spans="1:1" x14ac:dyDescent="0.25">
      <c r="A4665" s="2">
        <v>1448119</v>
      </c>
    </row>
    <row r="4666" spans="1:1" x14ac:dyDescent="0.25">
      <c r="A4666" s="2">
        <v>1448228</v>
      </c>
    </row>
    <row r="4667" spans="1:1" x14ac:dyDescent="0.25">
      <c r="A4667" s="2">
        <v>1448271</v>
      </c>
    </row>
    <row r="4668" spans="1:1" x14ac:dyDescent="0.25">
      <c r="A4668" s="2">
        <v>1448278</v>
      </c>
    </row>
    <row r="4669" spans="1:1" x14ac:dyDescent="0.25">
      <c r="A4669" s="2">
        <v>1448301</v>
      </c>
    </row>
    <row r="4670" spans="1:1" x14ac:dyDescent="0.25">
      <c r="A4670" s="2">
        <v>1448639</v>
      </c>
    </row>
    <row r="4671" spans="1:1" x14ac:dyDescent="0.25">
      <c r="A4671" s="2">
        <v>1448654</v>
      </c>
    </row>
    <row r="4672" spans="1:1" x14ac:dyDescent="0.25">
      <c r="A4672" s="2">
        <v>1448879</v>
      </c>
    </row>
    <row r="4673" spans="1:1" x14ac:dyDescent="0.25">
      <c r="A4673" s="2">
        <v>1448901</v>
      </c>
    </row>
    <row r="4674" spans="1:1" x14ac:dyDescent="0.25">
      <c r="A4674" s="2">
        <v>1448929</v>
      </c>
    </row>
    <row r="4675" spans="1:1" x14ac:dyDescent="0.25">
      <c r="A4675" s="2">
        <v>1448943</v>
      </c>
    </row>
    <row r="4676" spans="1:1" x14ac:dyDescent="0.25">
      <c r="A4676" s="2">
        <v>1449292</v>
      </c>
    </row>
    <row r="4677" spans="1:1" x14ac:dyDescent="0.25">
      <c r="A4677" s="2">
        <v>1451103</v>
      </c>
    </row>
    <row r="4678" spans="1:1" x14ac:dyDescent="0.25">
      <c r="A4678" s="2">
        <v>1451131</v>
      </c>
    </row>
    <row r="4679" spans="1:1" x14ac:dyDescent="0.25">
      <c r="A4679" s="2">
        <v>1451175</v>
      </c>
    </row>
    <row r="4680" spans="1:1" x14ac:dyDescent="0.25">
      <c r="A4680" s="2">
        <v>1451179</v>
      </c>
    </row>
    <row r="4681" spans="1:1" x14ac:dyDescent="0.25">
      <c r="A4681" s="2">
        <v>1451397</v>
      </c>
    </row>
    <row r="4682" spans="1:1" x14ac:dyDescent="0.25">
      <c r="A4682" s="2">
        <v>1451473</v>
      </c>
    </row>
    <row r="4683" spans="1:1" x14ac:dyDescent="0.25">
      <c r="A4683" s="2">
        <v>1452372</v>
      </c>
    </row>
    <row r="4684" spans="1:1" x14ac:dyDescent="0.25">
      <c r="A4684" s="2">
        <v>1452388</v>
      </c>
    </row>
    <row r="4685" spans="1:1" x14ac:dyDescent="0.25">
      <c r="A4685" s="2">
        <v>1453439</v>
      </c>
    </row>
    <row r="4686" spans="1:1" x14ac:dyDescent="0.25">
      <c r="A4686" s="2">
        <v>1454836</v>
      </c>
    </row>
    <row r="4687" spans="1:1" x14ac:dyDescent="0.25">
      <c r="A4687" s="2">
        <v>1455225</v>
      </c>
    </row>
    <row r="4688" spans="1:1" x14ac:dyDescent="0.25">
      <c r="A4688" s="2">
        <v>1455254</v>
      </c>
    </row>
    <row r="4689" spans="1:1" x14ac:dyDescent="0.25">
      <c r="A4689" s="2">
        <v>1457385</v>
      </c>
    </row>
    <row r="4690" spans="1:1" x14ac:dyDescent="0.25">
      <c r="A4690" s="2">
        <v>1457404</v>
      </c>
    </row>
    <row r="4691" spans="1:1" x14ac:dyDescent="0.25">
      <c r="A4691" s="2">
        <v>1457419</v>
      </c>
    </row>
    <row r="4692" spans="1:1" x14ac:dyDescent="0.25">
      <c r="A4692" s="2">
        <v>1457436</v>
      </c>
    </row>
    <row r="4693" spans="1:1" x14ac:dyDescent="0.25">
      <c r="A4693" s="2">
        <v>1457507</v>
      </c>
    </row>
    <row r="4694" spans="1:1" x14ac:dyDescent="0.25">
      <c r="A4694" s="2">
        <v>1457543</v>
      </c>
    </row>
    <row r="4695" spans="1:1" x14ac:dyDescent="0.25">
      <c r="A4695" s="2">
        <v>1457545</v>
      </c>
    </row>
    <row r="4696" spans="1:1" x14ac:dyDescent="0.25">
      <c r="A4696" s="2">
        <v>1457552</v>
      </c>
    </row>
    <row r="4697" spans="1:1" x14ac:dyDescent="0.25">
      <c r="A4697" s="2">
        <v>1457581</v>
      </c>
    </row>
    <row r="4698" spans="1:1" x14ac:dyDescent="0.25">
      <c r="A4698" s="2">
        <v>1457640</v>
      </c>
    </row>
    <row r="4699" spans="1:1" x14ac:dyDescent="0.25">
      <c r="A4699" s="2">
        <v>1457671</v>
      </c>
    </row>
    <row r="4700" spans="1:1" x14ac:dyDescent="0.25">
      <c r="A4700" s="2">
        <v>1457688</v>
      </c>
    </row>
    <row r="4701" spans="1:1" x14ac:dyDescent="0.25">
      <c r="A4701" s="2">
        <v>1457792</v>
      </c>
    </row>
    <row r="4702" spans="1:1" x14ac:dyDescent="0.25">
      <c r="A4702" s="2">
        <v>1459275</v>
      </c>
    </row>
    <row r="4703" spans="1:1" x14ac:dyDescent="0.25">
      <c r="A4703" s="2">
        <v>1459316</v>
      </c>
    </row>
    <row r="4704" spans="1:1" x14ac:dyDescent="0.25">
      <c r="A4704" s="2">
        <v>1461371</v>
      </c>
    </row>
    <row r="4705" spans="1:1" x14ac:dyDescent="0.25">
      <c r="A4705" s="2">
        <v>1461773</v>
      </c>
    </row>
    <row r="4706" spans="1:1" x14ac:dyDescent="0.25">
      <c r="A4706" s="2">
        <v>1461895</v>
      </c>
    </row>
    <row r="4707" spans="1:1" x14ac:dyDescent="0.25">
      <c r="A4707" s="2">
        <v>1465541</v>
      </c>
    </row>
    <row r="4708" spans="1:1" x14ac:dyDescent="0.25">
      <c r="A4708" s="2">
        <v>1465770</v>
      </c>
    </row>
    <row r="4709" spans="1:1" x14ac:dyDescent="0.25">
      <c r="A4709" s="2">
        <v>1471994</v>
      </c>
    </row>
    <row r="4710" spans="1:1" x14ac:dyDescent="0.25">
      <c r="A4710" s="2">
        <v>1497902</v>
      </c>
    </row>
    <row r="4711" spans="1:1" x14ac:dyDescent="0.25">
      <c r="A4711" s="2">
        <v>1497984</v>
      </c>
    </row>
    <row r="4712" spans="1:1" x14ac:dyDescent="0.25">
      <c r="A4712" s="2">
        <v>1498010</v>
      </c>
    </row>
    <row r="4713" spans="1:1" x14ac:dyDescent="0.25">
      <c r="A4713" s="2">
        <v>1498039</v>
      </c>
    </row>
    <row r="4714" spans="1:1" x14ac:dyDescent="0.25">
      <c r="A4714" s="2">
        <v>1498046</v>
      </c>
    </row>
    <row r="4715" spans="1:1" x14ac:dyDescent="0.25">
      <c r="A4715" s="2">
        <v>1498054</v>
      </c>
    </row>
    <row r="4716" spans="1:1" x14ac:dyDescent="0.25">
      <c r="A4716" s="2">
        <v>1498062</v>
      </c>
    </row>
    <row r="4717" spans="1:1" x14ac:dyDescent="0.25">
      <c r="A4717" s="2">
        <v>1498126</v>
      </c>
    </row>
    <row r="4718" spans="1:1" x14ac:dyDescent="0.25">
      <c r="A4718" s="2">
        <v>1498142</v>
      </c>
    </row>
    <row r="4719" spans="1:1" x14ac:dyDescent="0.25">
      <c r="A4719" s="2">
        <v>1498817</v>
      </c>
    </row>
    <row r="4720" spans="1:1" x14ac:dyDescent="0.25">
      <c r="A4720" s="2">
        <v>1498929</v>
      </c>
    </row>
    <row r="4721" spans="1:1" x14ac:dyDescent="0.25">
      <c r="A4721" s="2">
        <v>1498985</v>
      </c>
    </row>
    <row r="4722" spans="1:1" x14ac:dyDescent="0.25">
      <c r="A4722" s="2">
        <v>1499042</v>
      </c>
    </row>
    <row r="4723" spans="1:1" x14ac:dyDescent="0.25">
      <c r="A4723" s="2">
        <v>1499074</v>
      </c>
    </row>
    <row r="4724" spans="1:1" x14ac:dyDescent="0.25">
      <c r="A4724" s="2">
        <v>1499753</v>
      </c>
    </row>
    <row r="4725" spans="1:1" x14ac:dyDescent="0.25">
      <c r="A4725" s="2">
        <v>1499783</v>
      </c>
    </row>
    <row r="4726" spans="1:1" x14ac:dyDescent="0.25">
      <c r="A4726" s="2">
        <v>1499807</v>
      </c>
    </row>
    <row r="4727" spans="1:1" x14ac:dyDescent="0.25">
      <c r="A4727" s="2">
        <v>1499884</v>
      </c>
    </row>
    <row r="4728" spans="1:1" x14ac:dyDescent="0.25">
      <c r="A4728" s="2">
        <v>1499900</v>
      </c>
    </row>
    <row r="4729" spans="1:1" x14ac:dyDescent="0.25">
      <c r="A4729" s="2">
        <v>1500456</v>
      </c>
    </row>
    <row r="4730" spans="1:1" x14ac:dyDescent="0.25">
      <c r="A4730" s="2">
        <v>1500485</v>
      </c>
    </row>
    <row r="4731" spans="1:1" x14ac:dyDescent="0.25">
      <c r="A4731" s="2">
        <v>1501712</v>
      </c>
    </row>
    <row r="4732" spans="1:1" x14ac:dyDescent="0.25">
      <c r="A4732" s="2">
        <v>1501718</v>
      </c>
    </row>
    <row r="4733" spans="1:1" x14ac:dyDescent="0.25">
      <c r="A4733" s="2">
        <v>1501744</v>
      </c>
    </row>
    <row r="4734" spans="1:1" x14ac:dyDescent="0.25">
      <c r="A4734" s="2">
        <v>1501842</v>
      </c>
    </row>
    <row r="4735" spans="1:1" x14ac:dyDescent="0.25">
      <c r="A4735" s="2">
        <v>1501846</v>
      </c>
    </row>
    <row r="4736" spans="1:1" x14ac:dyDescent="0.25">
      <c r="A4736" s="2">
        <v>1501851</v>
      </c>
    </row>
    <row r="4737" spans="1:1" x14ac:dyDescent="0.25">
      <c r="A4737" s="2">
        <v>1501861</v>
      </c>
    </row>
    <row r="4738" spans="1:1" x14ac:dyDescent="0.25">
      <c r="A4738" s="2">
        <v>1502137</v>
      </c>
    </row>
    <row r="4739" spans="1:1" x14ac:dyDescent="0.25">
      <c r="A4739" s="2">
        <v>1502144</v>
      </c>
    </row>
    <row r="4740" spans="1:1" x14ac:dyDescent="0.25">
      <c r="A4740" s="2">
        <v>1502152</v>
      </c>
    </row>
    <row r="4741" spans="1:1" x14ac:dyDescent="0.25">
      <c r="A4741" s="2">
        <v>1502160</v>
      </c>
    </row>
    <row r="4742" spans="1:1" x14ac:dyDescent="0.25">
      <c r="A4742" s="2">
        <v>1502271</v>
      </c>
    </row>
    <row r="4743" spans="1:1" x14ac:dyDescent="0.25">
      <c r="A4743" s="2">
        <v>1502277</v>
      </c>
    </row>
    <row r="4744" spans="1:1" x14ac:dyDescent="0.25">
      <c r="A4744" s="2">
        <v>1502333</v>
      </c>
    </row>
    <row r="4745" spans="1:1" x14ac:dyDescent="0.25">
      <c r="A4745" s="2">
        <v>1502352</v>
      </c>
    </row>
    <row r="4746" spans="1:1" x14ac:dyDescent="0.25">
      <c r="A4746" s="2">
        <v>1502374</v>
      </c>
    </row>
    <row r="4747" spans="1:1" x14ac:dyDescent="0.25">
      <c r="A4747" s="2">
        <v>1502400</v>
      </c>
    </row>
    <row r="4748" spans="1:1" x14ac:dyDescent="0.25">
      <c r="A4748" s="2">
        <v>1502413</v>
      </c>
    </row>
    <row r="4749" spans="1:1" x14ac:dyDescent="0.25">
      <c r="A4749" s="2">
        <v>1502428</v>
      </c>
    </row>
    <row r="4750" spans="1:1" x14ac:dyDescent="0.25">
      <c r="A4750" s="2">
        <v>1502437</v>
      </c>
    </row>
    <row r="4751" spans="1:1" x14ac:dyDescent="0.25">
      <c r="A4751" s="2">
        <v>1502487</v>
      </c>
    </row>
    <row r="4752" spans="1:1" x14ac:dyDescent="0.25">
      <c r="A4752" s="2">
        <v>1502492</v>
      </c>
    </row>
    <row r="4753" spans="1:1" x14ac:dyDescent="0.25">
      <c r="A4753" s="2">
        <v>1502506</v>
      </c>
    </row>
    <row r="4754" spans="1:1" x14ac:dyDescent="0.25">
      <c r="A4754" s="2">
        <v>1502533</v>
      </c>
    </row>
    <row r="4755" spans="1:1" x14ac:dyDescent="0.25">
      <c r="A4755" s="2">
        <v>1502547</v>
      </c>
    </row>
    <row r="4756" spans="1:1" x14ac:dyDescent="0.25">
      <c r="A4756" s="2">
        <v>1502600</v>
      </c>
    </row>
    <row r="4757" spans="1:1" x14ac:dyDescent="0.25">
      <c r="A4757" s="2">
        <v>1502606</v>
      </c>
    </row>
    <row r="4758" spans="1:1" x14ac:dyDescent="0.25">
      <c r="A4758" s="2">
        <v>1502689</v>
      </c>
    </row>
    <row r="4759" spans="1:1" x14ac:dyDescent="0.25">
      <c r="A4759" s="2">
        <v>1502713</v>
      </c>
    </row>
    <row r="4760" spans="1:1" x14ac:dyDescent="0.25">
      <c r="A4760" s="2">
        <v>1502720</v>
      </c>
    </row>
    <row r="4761" spans="1:1" x14ac:dyDescent="0.25">
      <c r="A4761" s="2">
        <v>1502735</v>
      </c>
    </row>
    <row r="4762" spans="1:1" x14ac:dyDescent="0.25">
      <c r="A4762" s="2">
        <v>1502741</v>
      </c>
    </row>
    <row r="4763" spans="1:1" x14ac:dyDescent="0.25">
      <c r="A4763" s="2">
        <v>1503571</v>
      </c>
    </row>
    <row r="4764" spans="1:1" x14ac:dyDescent="0.25">
      <c r="A4764" s="2">
        <v>1503578</v>
      </c>
    </row>
    <row r="4765" spans="1:1" x14ac:dyDescent="0.25">
      <c r="A4765" s="2">
        <v>1503634</v>
      </c>
    </row>
    <row r="4766" spans="1:1" x14ac:dyDescent="0.25">
      <c r="A4766" s="2">
        <v>1503646</v>
      </c>
    </row>
    <row r="4767" spans="1:1" x14ac:dyDescent="0.25">
      <c r="A4767" s="2">
        <v>1503651</v>
      </c>
    </row>
    <row r="4768" spans="1:1" x14ac:dyDescent="0.25">
      <c r="A4768" s="2">
        <v>1503670</v>
      </c>
    </row>
    <row r="4769" spans="1:1" x14ac:dyDescent="0.25">
      <c r="A4769" s="2">
        <v>1503688</v>
      </c>
    </row>
    <row r="4770" spans="1:1" x14ac:dyDescent="0.25">
      <c r="A4770" s="2">
        <v>1503695</v>
      </c>
    </row>
    <row r="4771" spans="1:1" x14ac:dyDescent="0.25">
      <c r="A4771" s="2">
        <v>1503707</v>
      </c>
    </row>
    <row r="4772" spans="1:1" x14ac:dyDescent="0.25">
      <c r="A4772" s="2">
        <v>1505441</v>
      </c>
    </row>
    <row r="4773" spans="1:1" x14ac:dyDescent="0.25">
      <c r="A4773" s="2">
        <v>1505446</v>
      </c>
    </row>
    <row r="4774" spans="1:1" x14ac:dyDescent="0.25">
      <c r="A4774" s="2">
        <v>1505458</v>
      </c>
    </row>
    <row r="4775" spans="1:1" x14ac:dyDescent="0.25">
      <c r="A4775" s="2">
        <v>1509891</v>
      </c>
    </row>
    <row r="4776" spans="1:1" x14ac:dyDescent="0.25">
      <c r="A4776" s="2">
        <v>1509905</v>
      </c>
    </row>
    <row r="4777" spans="1:1" x14ac:dyDescent="0.25">
      <c r="A4777" s="2">
        <v>1517784</v>
      </c>
    </row>
    <row r="4778" spans="1:1" x14ac:dyDescent="0.25">
      <c r="A4778" s="2">
        <v>1517807</v>
      </c>
    </row>
    <row r="4779" spans="1:1" x14ac:dyDescent="0.25">
      <c r="A4779" s="2">
        <v>1517822</v>
      </c>
    </row>
    <row r="4780" spans="1:1" x14ac:dyDescent="0.25">
      <c r="A4780" s="2">
        <v>1517915</v>
      </c>
    </row>
    <row r="4781" spans="1:1" x14ac:dyDescent="0.25">
      <c r="A4781" s="2">
        <v>1517945</v>
      </c>
    </row>
    <row r="4782" spans="1:1" x14ac:dyDescent="0.25">
      <c r="A4782" s="2">
        <v>1517997</v>
      </c>
    </row>
    <row r="4783" spans="1:1" x14ac:dyDescent="0.25">
      <c r="A4783" s="2">
        <v>1519913</v>
      </c>
    </row>
    <row r="4784" spans="1:1" x14ac:dyDescent="0.25">
      <c r="A4784" s="2">
        <v>1519914</v>
      </c>
    </row>
    <row r="4785" spans="1:1" x14ac:dyDescent="0.25">
      <c r="A4785" s="2">
        <v>1519987</v>
      </c>
    </row>
    <row r="4786" spans="1:1" x14ac:dyDescent="0.25">
      <c r="A4786" s="2">
        <v>1520018</v>
      </c>
    </row>
    <row r="4787" spans="1:1" x14ac:dyDescent="0.25">
      <c r="A4787" s="2">
        <v>1520073</v>
      </c>
    </row>
    <row r="4788" spans="1:1" x14ac:dyDescent="0.25">
      <c r="A4788" s="2">
        <v>1520306</v>
      </c>
    </row>
    <row r="4789" spans="1:1" x14ac:dyDescent="0.25">
      <c r="A4789" s="2">
        <v>1520384</v>
      </c>
    </row>
    <row r="4790" spans="1:1" x14ac:dyDescent="0.25">
      <c r="A4790" s="2">
        <v>1520441</v>
      </c>
    </row>
    <row r="4791" spans="1:1" x14ac:dyDescent="0.25">
      <c r="A4791" s="2">
        <v>1520525</v>
      </c>
    </row>
    <row r="4792" spans="1:1" x14ac:dyDescent="0.25">
      <c r="A4792" s="2">
        <v>1520568</v>
      </c>
    </row>
    <row r="4793" spans="1:1" x14ac:dyDescent="0.25">
      <c r="A4793" s="2">
        <v>1521301</v>
      </c>
    </row>
    <row r="4794" spans="1:1" x14ac:dyDescent="0.25">
      <c r="A4794" s="2">
        <v>1524312</v>
      </c>
    </row>
    <row r="4795" spans="1:1" x14ac:dyDescent="0.25">
      <c r="A4795" s="2">
        <v>1524334</v>
      </c>
    </row>
    <row r="4796" spans="1:1" x14ac:dyDescent="0.25">
      <c r="A4796" s="2">
        <v>1524347</v>
      </c>
    </row>
    <row r="4797" spans="1:1" x14ac:dyDescent="0.25">
      <c r="A4797" s="2">
        <v>1524367</v>
      </c>
    </row>
    <row r="4798" spans="1:1" x14ac:dyDescent="0.25">
      <c r="A4798" s="2">
        <v>1524966</v>
      </c>
    </row>
    <row r="4799" spans="1:1" x14ac:dyDescent="0.25">
      <c r="A4799" s="2">
        <v>1524978</v>
      </c>
    </row>
    <row r="4800" spans="1:1" x14ac:dyDescent="0.25">
      <c r="A4800" s="2">
        <v>1524982</v>
      </c>
    </row>
    <row r="4801" spans="1:1" x14ac:dyDescent="0.25">
      <c r="A4801" s="2">
        <v>1525037</v>
      </c>
    </row>
    <row r="4802" spans="1:1" x14ac:dyDescent="0.25">
      <c r="A4802" s="2">
        <v>1525045</v>
      </c>
    </row>
    <row r="4803" spans="1:1" x14ac:dyDescent="0.25">
      <c r="A4803" s="2">
        <v>1525144</v>
      </c>
    </row>
    <row r="4804" spans="1:1" x14ac:dyDescent="0.25">
      <c r="A4804" s="2">
        <v>1525158</v>
      </c>
    </row>
    <row r="4805" spans="1:1" x14ac:dyDescent="0.25">
      <c r="A4805" s="2">
        <v>1525165</v>
      </c>
    </row>
    <row r="4806" spans="1:1" x14ac:dyDescent="0.25">
      <c r="A4806" s="2">
        <v>1525177</v>
      </c>
    </row>
    <row r="4807" spans="1:1" x14ac:dyDescent="0.25">
      <c r="A4807" s="2">
        <v>1525198</v>
      </c>
    </row>
    <row r="4808" spans="1:1" x14ac:dyDescent="0.25">
      <c r="A4808" s="2">
        <v>1525210</v>
      </c>
    </row>
    <row r="4809" spans="1:1" x14ac:dyDescent="0.25">
      <c r="A4809" s="2">
        <v>1525217</v>
      </c>
    </row>
    <row r="4810" spans="1:1" x14ac:dyDescent="0.25">
      <c r="A4810" s="2">
        <v>1530636</v>
      </c>
    </row>
    <row r="4811" spans="1:1" x14ac:dyDescent="0.25">
      <c r="A4811" s="2">
        <v>1530645</v>
      </c>
    </row>
    <row r="4812" spans="1:1" x14ac:dyDescent="0.25">
      <c r="A4812" s="2">
        <v>1530672</v>
      </c>
    </row>
    <row r="4813" spans="1:1" x14ac:dyDescent="0.25">
      <c r="A4813" s="2">
        <v>1530673</v>
      </c>
    </row>
    <row r="4814" spans="1:1" x14ac:dyDescent="0.25">
      <c r="A4814" s="2">
        <v>1530707</v>
      </c>
    </row>
    <row r="4815" spans="1:1" x14ac:dyDescent="0.25">
      <c r="A4815" s="2">
        <v>1530713</v>
      </c>
    </row>
    <row r="4816" spans="1:1" x14ac:dyDescent="0.25">
      <c r="A4816" s="2">
        <v>1530717</v>
      </c>
    </row>
    <row r="4817" spans="1:1" x14ac:dyDescent="0.25">
      <c r="A4817" s="2">
        <v>1531268</v>
      </c>
    </row>
    <row r="4818" spans="1:1" x14ac:dyDescent="0.25">
      <c r="A4818" s="2">
        <v>1531269</v>
      </c>
    </row>
    <row r="4819" spans="1:1" x14ac:dyDescent="0.25">
      <c r="A4819" s="2">
        <v>1531281</v>
      </c>
    </row>
    <row r="4820" spans="1:1" x14ac:dyDescent="0.25">
      <c r="A4820" s="2">
        <v>1532406</v>
      </c>
    </row>
    <row r="4821" spans="1:1" x14ac:dyDescent="0.25">
      <c r="A4821" s="2">
        <v>1532429</v>
      </c>
    </row>
    <row r="4822" spans="1:1" x14ac:dyDescent="0.25">
      <c r="A4822" s="2">
        <v>1534536</v>
      </c>
    </row>
    <row r="4823" spans="1:1" x14ac:dyDescent="0.25">
      <c r="A4823" s="2">
        <v>1534541</v>
      </c>
    </row>
    <row r="4824" spans="1:1" x14ac:dyDescent="0.25">
      <c r="A4824" s="2">
        <v>1534546</v>
      </c>
    </row>
    <row r="4825" spans="1:1" x14ac:dyDescent="0.25">
      <c r="A4825" s="2">
        <v>1534588</v>
      </c>
    </row>
    <row r="4826" spans="1:1" x14ac:dyDescent="0.25">
      <c r="A4826" s="2">
        <v>1535485</v>
      </c>
    </row>
    <row r="4827" spans="1:1" x14ac:dyDescent="0.25">
      <c r="A4827" s="2">
        <v>1535507</v>
      </c>
    </row>
    <row r="4828" spans="1:1" x14ac:dyDescent="0.25">
      <c r="A4828" s="2">
        <v>1535514</v>
      </c>
    </row>
    <row r="4829" spans="1:1" x14ac:dyDescent="0.25">
      <c r="A4829" s="2">
        <v>1535517</v>
      </c>
    </row>
    <row r="4830" spans="1:1" x14ac:dyDescent="0.25">
      <c r="A4830" s="2">
        <v>1535536</v>
      </c>
    </row>
    <row r="4831" spans="1:1" x14ac:dyDescent="0.25">
      <c r="A4831" s="2">
        <v>1535594</v>
      </c>
    </row>
    <row r="4832" spans="1:1" x14ac:dyDescent="0.25">
      <c r="A4832" s="2">
        <v>1535744</v>
      </c>
    </row>
    <row r="4833" spans="1:1" x14ac:dyDescent="0.25">
      <c r="A4833" s="2">
        <v>1535829</v>
      </c>
    </row>
    <row r="4834" spans="1:1" x14ac:dyDescent="0.25">
      <c r="A4834" s="2">
        <v>1535840</v>
      </c>
    </row>
    <row r="4835" spans="1:1" x14ac:dyDescent="0.25">
      <c r="A4835" s="2">
        <v>1535852</v>
      </c>
    </row>
    <row r="4836" spans="1:1" x14ac:dyDescent="0.25">
      <c r="A4836" s="2">
        <v>1535866</v>
      </c>
    </row>
    <row r="4837" spans="1:1" x14ac:dyDescent="0.25">
      <c r="A4837" s="2">
        <v>1535885</v>
      </c>
    </row>
    <row r="4838" spans="1:1" x14ac:dyDescent="0.25">
      <c r="A4838" s="2">
        <v>1540872</v>
      </c>
    </row>
    <row r="4839" spans="1:1" x14ac:dyDescent="0.25">
      <c r="A4839" s="2">
        <v>1540897</v>
      </c>
    </row>
    <row r="4840" spans="1:1" x14ac:dyDescent="0.25">
      <c r="A4840" s="2">
        <v>1540899</v>
      </c>
    </row>
    <row r="4841" spans="1:1" x14ac:dyDescent="0.25">
      <c r="A4841" s="2">
        <v>1540900</v>
      </c>
    </row>
    <row r="4842" spans="1:1" x14ac:dyDescent="0.25">
      <c r="A4842" s="2">
        <v>1541059</v>
      </c>
    </row>
    <row r="4843" spans="1:1" x14ac:dyDescent="0.25">
      <c r="A4843" s="2">
        <v>1547260</v>
      </c>
    </row>
    <row r="4844" spans="1:1" x14ac:dyDescent="0.25">
      <c r="A4844" s="2">
        <v>1547266</v>
      </c>
    </row>
    <row r="4845" spans="1:1" x14ac:dyDescent="0.25">
      <c r="A4845" s="2">
        <v>1547272</v>
      </c>
    </row>
    <row r="4846" spans="1:1" x14ac:dyDescent="0.25">
      <c r="A4846" s="2">
        <v>1547278</v>
      </c>
    </row>
    <row r="4847" spans="1:1" x14ac:dyDescent="0.25">
      <c r="A4847" s="2">
        <v>1547279</v>
      </c>
    </row>
    <row r="4848" spans="1:1" x14ac:dyDescent="0.25">
      <c r="A4848" s="2">
        <v>1547285</v>
      </c>
    </row>
    <row r="4849" spans="1:1" x14ac:dyDescent="0.25">
      <c r="A4849" s="2">
        <v>1547291</v>
      </c>
    </row>
    <row r="4850" spans="1:1" x14ac:dyDescent="0.25">
      <c r="A4850" s="2">
        <v>1547380</v>
      </c>
    </row>
    <row r="4851" spans="1:1" x14ac:dyDescent="0.25">
      <c r="A4851" s="2">
        <v>1547394</v>
      </c>
    </row>
    <row r="4852" spans="1:1" x14ac:dyDescent="0.25">
      <c r="A4852" s="2">
        <v>1547420</v>
      </c>
    </row>
    <row r="4853" spans="1:1" x14ac:dyDescent="0.25">
      <c r="A4853" s="2">
        <v>1547449</v>
      </c>
    </row>
    <row r="4854" spans="1:1" x14ac:dyDescent="0.25">
      <c r="A4854" s="2">
        <v>1547465</v>
      </c>
    </row>
    <row r="4855" spans="1:1" x14ac:dyDescent="0.25">
      <c r="A4855" s="2">
        <v>1547873</v>
      </c>
    </row>
    <row r="4856" spans="1:1" x14ac:dyDescent="0.25">
      <c r="A4856" s="2">
        <v>1548053</v>
      </c>
    </row>
    <row r="4857" spans="1:1" x14ac:dyDescent="0.25">
      <c r="A4857" s="2">
        <v>1548129</v>
      </c>
    </row>
    <row r="4858" spans="1:1" x14ac:dyDescent="0.25">
      <c r="A4858" s="2">
        <v>1548140</v>
      </c>
    </row>
    <row r="4859" spans="1:1" x14ac:dyDescent="0.25">
      <c r="A4859" s="2">
        <v>1548402</v>
      </c>
    </row>
    <row r="4860" spans="1:1" x14ac:dyDescent="0.25">
      <c r="A4860" s="2">
        <v>1548403</v>
      </c>
    </row>
    <row r="4861" spans="1:1" x14ac:dyDescent="0.25">
      <c r="A4861" s="2">
        <v>1548405</v>
      </c>
    </row>
    <row r="4862" spans="1:1" x14ac:dyDescent="0.25">
      <c r="A4862" s="2">
        <v>1548457</v>
      </c>
    </row>
    <row r="4863" spans="1:1" x14ac:dyDescent="0.25">
      <c r="A4863" s="2">
        <v>1548458</v>
      </c>
    </row>
    <row r="4864" spans="1:1" x14ac:dyDescent="0.25">
      <c r="A4864" s="2">
        <v>1548469</v>
      </c>
    </row>
    <row r="4865" spans="1:1" x14ac:dyDescent="0.25">
      <c r="A4865" s="2">
        <v>1549053</v>
      </c>
    </row>
    <row r="4866" spans="1:1" x14ac:dyDescent="0.25">
      <c r="A4866" s="2">
        <v>1549058</v>
      </c>
    </row>
    <row r="4867" spans="1:1" x14ac:dyDescent="0.25">
      <c r="A4867" s="2">
        <v>1549088</v>
      </c>
    </row>
    <row r="4868" spans="1:1" x14ac:dyDescent="0.25">
      <c r="A4868" s="2">
        <v>1549096</v>
      </c>
    </row>
    <row r="4869" spans="1:1" x14ac:dyDescent="0.25">
      <c r="A4869" s="2">
        <v>1549109</v>
      </c>
    </row>
    <row r="4870" spans="1:1" x14ac:dyDescent="0.25">
      <c r="A4870" s="2">
        <v>1549128</v>
      </c>
    </row>
    <row r="4871" spans="1:1" x14ac:dyDescent="0.25">
      <c r="A4871" s="2">
        <v>1549146</v>
      </c>
    </row>
    <row r="4872" spans="1:1" x14ac:dyDescent="0.25">
      <c r="A4872" s="2">
        <v>1549234</v>
      </c>
    </row>
    <row r="4873" spans="1:1" x14ac:dyDescent="0.25">
      <c r="A4873" s="2">
        <v>1549238</v>
      </c>
    </row>
    <row r="4874" spans="1:1" x14ac:dyDescent="0.25">
      <c r="A4874" s="2">
        <v>1549260</v>
      </c>
    </row>
    <row r="4875" spans="1:1" x14ac:dyDescent="0.25">
      <c r="A4875" s="2">
        <v>1549335</v>
      </c>
    </row>
    <row r="4876" spans="1:1" x14ac:dyDescent="0.25">
      <c r="A4876" s="2">
        <v>1549340</v>
      </c>
    </row>
    <row r="4877" spans="1:1" x14ac:dyDescent="0.25">
      <c r="A4877" s="2">
        <v>1549341</v>
      </c>
    </row>
    <row r="4878" spans="1:1" x14ac:dyDescent="0.25">
      <c r="A4878" s="2">
        <v>1549528</v>
      </c>
    </row>
    <row r="4879" spans="1:1" x14ac:dyDescent="0.25">
      <c r="A4879" s="2">
        <v>1549532</v>
      </c>
    </row>
    <row r="4880" spans="1:1" x14ac:dyDescent="0.25">
      <c r="A4880" s="2">
        <v>1549757</v>
      </c>
    </row>
    <row r="4881" spans="1:1" x14ac:dyDescent="0.25">
      <c r="A4881" s="2">
        <v>1549820</v>
      </c>
    </row>
    <row r="4882" spans="1:1" x14ac:dyDescent="0.25">
      <c r="A4882" s="2">
        <v>1549832</v>
      </c>
    </row>
    <row r="4883" spans="1:1" x14ac:dyDescent="0.25">
      <c r="A4883" s="2">
        <v>1549839</v>
      </c>
    </row>
    <row r="4884" spans="1:1" x14ac:dyDescent="0.25">
      <c r="A4884" s="2">
        <v>1549934</v>
      </c>
    </row>
    <row r="4885" spans="1:1" x14ac:dyDescent="0.25">
      <c r="A4885" s="2">
        <v>1550023</v>
      </c>
    </row>
    <row r="4886" spans="1:1" x14ac:dyDescent="0.25">
      <c r="A4886" s="2">
        <v>1550072</v>
      </c>
    </row>
    <row r="4887" spans="1:1" x14ac:dyDescent="0.25">
      <c r="A4887" s="2">
        <v>1550083</v>
      </c>
    </row>
    <row r="4888" spans="1:1" x14ac:dyDescent="0.25">
      <c r="A4888" s="2">
        <v>1550089</v>
      </c>
    </row>
    <row r="4889" spans="1:1" x14ac:dyDescent="0.25">
      <c r="A4889" s="2">
        <v>1550099</v>
      </c>
    </row>
    <row r="4890" spans="1:1" x14ac:dyDescent="0.25">
      <c r="A4890" s="2">
        <v>1550885</v>
      </c>
    </row>
    <row r="4891" spans="1:1" x14ac:dyDescent="0.25">
      <c r="A4891" s="2">
        <v>1550904</v>
      </c>
    </row>
    <row r="4892" spans="1:1" x14ac:dyDescent="0.25">
      <c r="A4892" s="2">
        <v>1552524</v>
      </c>
    </row>
    <row r="4893" spans="1:1" x14ac:dyDescent="0.25">
      <c r="A4893" s="2">
        <v>1552535</v>
      </c>
    </row>
    <row r="4894" spans="1:1" x14ac:dyDescent="0.25">
      <c r="A4894" s="2">
        <v>1552547</v>
      </c>
    </row>
    <row r="4895" spans="1:1" x14ac:dyDescent="0.25">
      <c r="A4895" s="2">
        <v>1552556</v>
      </c>
    </row>
    <row r="4896" spans="1:1" x14ac:dyDescent="0.25">
      <c r="A4896" s="2">
        <v>1552646</v>
      </c>
    </row>
    <row r="4897" spans="1:1" x14ac:dyDescent="0.25">
      <c r="A4897" s="2">
        <v>1552659</v>
      </c>
    </row>
    <row r="4898" spans="1:1" x14ac:dyDescent="0.25">
      <c r="A4898" s="2">
        <v>1552667</v>
      </c>
    </row>
    <row r="4899" spans="1:1" x14ac:dyDescent="0.25">
      <c r="A4899" s="2">
        <v>1552669</v>
      </c>
    </row>
    <row r="4900" spans="1:1" x14ac:dyDescent="0.25">
      <c r="A4900" s="2">
        <v>1552676</v>
      </c>
    </row>
    <row r="4901" spans="1:1" x14ac:dyDescent="0.25">
      <c r="A4901" s="2">
        <v>1555803</v>
      </c>
    </row>
    <row r="4902" spans="1:1" x14ac:dyDescent="0.25">
      <c r="A4902" s="2">
        <v>1558481</v>
      </c>
    </row>
    <row r="4903" spans="1:1" x14ac:dyDescent="0.25">
      <c r="A4903" s="2">
        <v>1558489</v>
      </c>
    </row>
    <row r="4904" spans="1:1" x14ac:dyDescent="0.25">
      <c r="A4904" s="2">
        <v>1558500</v>
      </c>
    </row>
    <row r="4905" spans="1:1" x14ac:dyDescent="0.25">
      <c r="A4905" s="2">
        <v>1558508</v>
      </c>
    </row>
    <row r="4906" spans="1:1" x14ac:dyDescent="0.25">
      <c r="A4906" s="2">
        <v>1558513</v>
      </c>
    </row>
    <row r="4907" spans="1:1" x14ac:dyDescent="0.25">
      <c r="A4907" s="2">
        <v>1561941</v>
      </c>
    </row>
    <row r="4908" spans="1:1" x14ac:dyDescent="0.25">
      <c r="A4908" s="2">
        <v>1561951</v>
      </c>
    </row>
    <row r="4909" spans="1:1" x14ac:dyDescent="0.25">
      <c r="A4909" s="2">
        <v>1561984</v>
      </c>
    </row>
    <row r="4910" spans="1:1" x14ac:dyDescent="0.25">
      <c r="A4910" s="2">
        <v>1561996</v>
      </c>
    </row>
    <row r="4911" spans="1:1" x14ac:dyDescent="0.25">
      <c r="A4911" s="2">
        <v>1562057</v>
      </c>
    </row>
    <row r="4912" spans="1:1" x14ac:dyDescent="0.25">
      <c r="A4912" s="2">
        <v>1562066</v>
      </c>
    </row>
    <row r="4913" spans="1:1" x14ac:dyDescent="0.25">
      <c r="A4913" s="2">
        <v>1562156</v>
      </c>
    </row>
    <row r="4914" spans="1:1" x14ac:dyDescent="0.25">
      <c r="A4914" s="2">
        <v>1566940</v>
      </c>
    </row>
    <row r="4915" spans="1:1" x14ac:dyDescent="0.25">
      <c r="A4915" s="2">
        <v>1567587</v>
      </c>
    </row>
    <row r="4916" spans="1:1" x14ac:dyDescent="0.25">
      <c r="A4916" s="2">
        <v>1569101</v>
      </c>
    </row>
    <row r="4917" spans="1:1" x14ac:dyDescent="0.25">
      <c r="A4917" s="2">
        <v>1569267</v>
      </c>
    </row>
    <row r="4918" spans="1:1" x14ac:dyDescent="0.25">
      <c r="A4918" s="2">
        <v>1570377</v>
      </c>
    </row>
    <row r="4919" spans="1:1" x14ac:dyDescent="0.25">
      <c r="A4919" s="2">
        <v>1570410</v>
      </c>
    </row>
    <row r="4920" spans="1:1" x14ac:dyDescent="0.25">
      <c r="A4920" s="2">
        <v>1571099</v>
      </c>
    </row>
    <row r="4921" spans="1:1" x14ac:dyDescent="0.25">
      <c r="A4921" s="2">
        <v>1571111</v>
      </c>
    </row>
    <row r="4922" spans="1:1" x14ac:dyDescent="0.25">
      <c r="A4922" s="2">
        <v>1571131</v>
      </c>
    </row>
    <row r="4923" spans="1:1" x14ac:dyDescent="0.25">
      <c r="A4923" s="2">
        <v>1571298</v>
      </c>
    </row>
    <row r="4924" spans="1:1" x14ac:dyDescent="0.25">
      <c r="A4924" s="2">
        <v>1571835</v>
      </c>
    </row>
    <row r="4925" spans="1:1" x14ac:dyDescent="0.25">
      <c r="A4925" s="2">
        <v>1571849</v>
      </c>
    </row>
    <row r="4926" spans="1:1" x14ac:dyDescent="0.25">
      <c r="A4926" s="2">
        <v>1571856</v>
      </c>
    </row>
    <row r="4927" spans="1:1" x14ac:dyDescent="0.25">
      <c r="A4927" s="2">
        <v>1571863</v>
      </c>
    </row>
    <row r="4928" spans="1:1" x14ac:dyDescent="0.25">
      <c r="A4928" s="2">
        <v>1571882</v>
      </c>
    </row>
    <row r="4929" spans="1:1" x14ac:dyDescent="0.25">
      <c r="A4929" s="2">
        <v>1571895</v>
      </c>
    </row>
    <row r="4930" spans="1:1" x14ac:dyDescent="0.25">
      <c r="A4930" s="2">
        <v>1571923</v>
      </c>
    </row>
    <row r="4931" spans="1:1" x14ac:dyDescent="0.25">
      <c r="A4931" s="2">
        <v>1572066</v>
      </c>
    </row>
    <row r="4932" spans="1:1" x14ac:dyDescent="0.25">
      <c r="A4932" s="2">
        <v>1572082</v>
      </c>
    </row>
    <row r="4933" spans="1:1" x14ac:dyDescent="0.25">
      <c r="A4933" s="2">
        <v>1572106</v>
      </c>
    </row>
    <row r="4934" spans="1:1" x14ac:dyDescent="0.25">
      <c r="A4934" s="2">
        <v>1572128</v>
      </c>
    </row>
    <row r="4935" spans="1:1" x14ac:dyDescent="0.25">
      <c r="A4935" s="2">
        <v>1572138</v>
      </c>
    </row>
    <row r="4936" spans="1:1" x14ac:dyDescent="0.25">
      <c r="A4936" s="2">
        <v>1577151</v>
      </c>
    </row>
    <row r="4937" spans="1:1" x14ac:dyDescent="0.25">
      <c r="A4937" s="2">
        <v>1577642</v>
      </c>
    </row>
    <row r="4938" spans="1:1" x14ac:dyDescent="0.25">
      <c r="A4938" s="2">
        <v>1577652</v>
      </c>
    </row>
    <row r="4939" spans="1:1" x14ac:dyDescent="0.25">
      <c r="A4939" s="2">
        <v>1581675</v>
      </c>
    </row>
    <row r="4940" spans="1:1" x14ac:dyDescent="0.25">
      <c r="A4940" s="2">
        <v>1581707</v>
      </c>
    </row>
    <row r="4941" spans="1:1" x14ac:dyDescent="0.25">
      <c r="A4941" s="2">
        <v>1583025</v>
      </c>
    </row>
    <row r="4942" spans="1:1" x14ac:dyDescent="0.25">
      <c r="A4942" s="2">
        <v>1583026</v>
      </c>
    </row>
    <row r="4943" spans="1:1" x14ac:dyDescent="0.25">
      <c r="A4943" s="2">
        <v>1583052</v>
      </c>
    </row>
    <row r="4944" spans="1:1" x14ac:dyDescent="0.25">
      <c r="A4944" s="2">
        <v>1583060</v>
      </c>
    </row>
    <row r="4945" spans="1:1" x14ac:dyDescent="0.25">
      <c r="A4945" s="2">
        <v>1583083</v>
      </c>
    </row>
    <row r="4946" spans="1:1" x14ac:dyDescent="0.25">
      <c r="A4946" s="2">
        <v>1583089</v>
      </c>
    </row>
    <row r="4947" spans="1:1" x14ac:dyDescent="0.25">
      <c r="A4947" s="2">
        <v>1583100</v>
      </c>
    </row>
    <row r="4948" spans="1:1" x14ac:dyDescent="0.25">
      <c r="A4948" s="2">
        <v>1583106</v>
      </c>
    </row>
    <row r="4949" spans="1:1" x14ac:dyDescent="0.25">
      <c r="A4949" s="2">
        <v>1583201</v>
      </c>
    </row>
    <row r="4950" spans="1:1" x14ac:dyDescent="0.25">
      <c r="A4950" s="2">
        <v>1583718</v>
      </c>
    </row>
    <row r="4951" spans="1:1" x14ac:dyDescent="0.25">
      <c r="A4951" s="2">
        <v>1583727</v>
      </c>
    </row>
    <row r="4952" spans="1:1" x14ac:dyDescent="0.25">
      <c r="A4952" s="2">
        <v>1583736</v>
      </c>
    </row>
    <row r="4953" spans="1:1" x14ac:dyDescent="0.25">
      <c r="A4953" s="2">
        <v>1583743</v>
      </c>
    </row>
    <row r="4954" spans="1:1" x14ac:dyDescent="0.25">
      <c r="A4954" s="2">
        <v>1583762</v>
      </c>
    </row>
    <row r="4955" spans="1:1" x14ac:dyDescent="0.25">
      <c r="A4955" s="2">
        <v>1583770</v>
      </c>
    </row>
    <row r="4956" spans="1:1" x14ac:dyDescent="0.25">
      <c r="A4956" s="2">
        <v>1584581</v>
      </c>
    </row>
    <row r="4957" spans="1:1" x14ac:dyDescent="0.25">
      <c r="A4957" s="2">
        <v>1584597</v>
      </c>
    </row>
    <row r="4958" spans="1:1" x14ac:dyDescent="0.25">
      <c r="A4958" s="2">
        <v>1584608</v>
      </c>
    </row>
    <row r="4959" spans="1:1" x14ac:dyDescent="0.25">
      <c r="A4959" s="2">
        <v>1585017</v>
      </c>
    </row>
    <row r="4960" spans="1:1" x14ac:dyDescent="0.25">
      <c r="A4960" s="2">
        <v>1589383</v>
      </c>
    </row>
    <row r="4961" spans="1:1" x14ac:dyDescent="0.25">
      <c r="A4961" s="2">
        <v>1589663</v>
      </c>
    </row>
    <row r="4962" spans="1:1" x14ac:dyDescent="0.25">
      <c r="A4962" s="2">
        <v>1589759</v>
      </c>
    </row>
    <row r="4963" spans="1:1" x14ac:dyDescent="0.25">
      <c r="A4963" s="2">
        <v>1589773</v>
      </c>
    </row>
    <row r="4964" spans="1:1" x14ac:dyDescent="0.25">
      <c r="A4964" s="2">
        <v>1589818</v>
      </c>
    </row>
    <row r="4965" spans="1:1" x14ac:dyDescent="0.25">
      <c r="A4965" s="2">
        <v>1589889</v>
      </c>
    </row>
    <row r="4966" spans="1:1" x14ac:dyDescent="0.25">
      <c r="A4966" s="2">
        <v>1589925</v>
      </c>
    </row>
    <row r="4967" spans="1:1" x14ac:dyDescent="0.25">
      <c r="A4967" s="2">
        <v>1592206</v>
      </c>
    </row>
    <row r="4968" spans="1:1" x14ac:dyDescent="0.25">
      <c r="A4968" s="2">
        <v>1593026</v>
      </c>
    </row>
    <row r="4969" spans="1:1" x14ac:dyDescent="0.25">
      <c r="A4969" s="2">
        <v>1593028</v>
      </c>
    </row>
    <row r="4970" spans="1:1" x14ac:dyDescent="0.25">
      <c r="A4970" s="2">
        <v>1593176</v>
      </c>
    </row>
    <row r="4971" spans="1:1" x14ac:dyDescent="0.25">
      <c r="A4971" s="2">
        <v>1596697</v>
      </c>
    </row>
    <row r="4972" spans="1:1" x14ac:dyDescent="0.25">
      <c r="A4972" s="2">
        <v>1596703</v>
      </c>
    </row>
    <row r="4973" spans="1:1" x14ac:dyDescent="0.25">
      <c r="A4973" s="2">
        <v>1596708</v>
      </c>
    </row>
    <row r="4974" spans="1:1" x14ac:dyDescent="0.25">
      <c r="A4974" s="2">
        <v>1596719</v>
      </c>
    </row>
    <row r="4975" spans="1:1" x14ac:dyDescent="0.25">
      <c r="A4975" s="2">
        <v>1596725</v>
      </c>
    </row>
    <row r="4976" spans="1:1" x14ac:dyDescent="0.25">
      <c r="A4976" s="2">
        <v>1600416</v>
      </c>
    </row>
    <row r="4977" spans="1:1" x14ac:dyDescent="0.25">
      <c r="A4977" s="2">
        <v>1600423</v>
      </c>
    </row>
    <row r="4978" spans="1:1" x14ac:dyDescent="0.25">
      <c r="A4978" s="2">
        <v>1602247</v>
      </c>
    </row>
    <row r="4979" spans="1:1" x14ac:dyDescent="0.25">
      <c r="A4979" s="2">
        <v>1602638</v>
      </c>
    </row>
    <row r="4980" spans="1:1" x14ac:dyDescent="0.25">
      <c r="A4980" s="2">
        <v>1605390</v>
      </c>
    </row>
    <row r="4981" spans="1:1" x14ac:dyDescent="0.25">
      <c r="A4981" s="2">
        <v>1605391</v>
      </c>
    </row>
    <row r="4982" spans="1:1" x14ac:dyDescent="0.25">
      <c r="A4982" s="2">
        <v>1605405</v>
      </c>
    </row>
    <row r="4983" spans="1:1" x14ac:dyDescent="0.25">
      <c r="A4983" s="2">
        <v>1605420</v>
      </c>
    </row>
    <row r="4984" spans="1:1" x14ac:dyDescent="0.25">
      <c r="A4984" s="2">
        <v>1605433</v>
      </c>
    </row>
    <row r="4985" spans="1:1" x14ac:dyDescent="0.25">
      <c r="A4985" s="2">
        <v>1605483</v>
      </c>
    </row>
    <row r="4986" spans="1:1" x14ac:dyDescent="0.25">
      <c r="A4986" s="2">
        <v>1605487</v>
      </c>
    </row>
    <row r="4987" spans="1:1" x14ac:dyDescent="0.25">
      <c r="A4987" s="2">
        <v>1605662</v>
      </c>
    </row>
    <row r="4988" spans="1:1" x14ac:dyDescent="0.25">
      <c r="A4988" s="2">
        <v>1605677</v>
      </c>
    </row>
    <row r="4989" spans="1:1" x14ac:dyDescent="0.25">
      <c r="A4989" s="2">
        <v>1605702</v>
      </c>
    </row>
    <row r="4990" spans="1:1" x14ac:dyDescent="0.25">
      <c r="A4990" s="2">
        <v>1605707</v>
      </c>
    </row>
    <row r="4991" spans="1:1" x14ac:dyDescent="0.25">
      <c r="A4991" s="2">
        <v>1605730</v>
      </c>
    </row>
    <row r="4992" spans="1:1" x14ac:dyDescent="0.25">
      <c r="A4992" s="2">
        <v>1607688</v>
      </c>
    </row>
    <row r="4993" spans="1:1" x14ac:dyDescent="0.25">
      <c r="A4993" s="2">
        <v>1607698</v>
      </c>
    </row>
    <row r="4994" spans="1:1" x14ac:dyDescent="0.25">
      <c r="A4994" s="2">
        <v>1607704</v>
      </c>
    </row>
    <row r="4995" spans="1:1" x14ac:dyDescent="0.25">
      <c r="A4995" s="2">
        <v>1609037</v>
      </c>
    </row>
    <row r="4996" spans="1:1" x14ac:dyDescent="0.25">
      <c r="A4996" s="2">
        <v>1609056</v>
      </c>
    </row>
    <row r="4997" spans="1:1" x14ac:dyDescent="0.25">
      <c r="A4997" s="2">
        <v>1610274</v>
      </c>
    </row>
    <row r="4998" spans="1:1" x14ac:dyDescent="0.25">
      <c r="A4998" s="2">
        <v>1610280</v>
      </c>
    </row>
    <row r="4999" spans="1:1" x14ac:dyDescent="0.25">
      <c r="A4999" s="2">
        <v>1610288</v>
      </c>
    </row>
    <row r="5000" spans="1:1" x14ac:dyDescent="0.25">
      <c r="A5000" s="2">
        <v>1610328</v>
      </c>
    </row>
    <row r="5001" spans="1:1" x14ac:dyDescent="0.25">
      <c r="A5001" s="2">
        <v>1610336</v>
      </c>
    </row>
    <row r="5002" spans="1:1" x14ac:dyDescent="0.25">
      <c r="A5002" s="2">
        <v>1614721</v>
      </c>
    </row>
    <row r="5003" spans="1:1" x14ac:dyDescent="0.25">
      <c r="A5003" s="2">
        <v>1616003</v>
      </c>
    </row>
    <row r="5004" spans="1:1" x14ac:dyDescent="0.25">
      <c r="A5004" s="2">
        <v>1616024</v>
      </c>
    </row>
    <row r="5005" spans="1:1" x14ac:dyDescent="0.25">
      <c r="A5005" s="2">
        <v>1616121</v>
      </c>
    </row>
    <row r="5006" spans="1:1" x14ac:dyDescent="0.25">
      <c r="A5006" s="2">
        <v>1616251</v>
      </c>
    </row>
    <row r="5007" spans="1:1" x14ac:dyDescent="0.25">
      <c r="A5007" s="2">
        <v>1616391</v>
      </c>
    </row>
    <row r="5008" spans="1:1" x14ac:dyDescent="0.25">
      <c r="A5008" s="2">
        <v>1616627</v>
      </c>
    </row>
    <row r="5009" spans="1:1" x14ac:dyDescent="0.25">
      <c r="A5009" s="2">
        <v>1616643</v>
      </c>
    </row>
    <row r="5010" spans="1:1" x14ac:dyDescent="0.25">
      <c r="A5010" s="2">
        <v>1616651</v>
      </c>
    </row>
    <row r="5011" spans="1:1" x14ac:dyDescent="0.25">
      <c r="A5011" s="2">
        <v>1616668</v>
      </c>
    </row>
    <row r="5012" spans="1:1" x14ac:dyDescent="0.25">
      <c r="A5012" s="2">
        <v>1617533</v>
      </c>
    </row>
    <row r="5013" spans="1:1" x14ac:dyDescent="0.25">
      <c r="A5013" s="2">
        <v>1617561</v>
      </c>
    </row>
    <row r="5014" spans="1:1" x14ac:dyDescent="0.25">
      <c r="A5014" s="2">
        <v>1620526</v>
      </c>
    </row>
    <row r="5015" spans="1:1" x14ac:dyDescent="0.25">
      <c r="A5015" s="2">
        <v>1620872</v>
      </c>
    </row>
    <row r="5016" spans="1:1" x14ac:dyDescent="0.25">
      <c r="A5016" s="2">
        <v>1620881</v>
      </c>
    </row>
    <row r="5017" spans="1:1" x14ac:dyDescent="0.25">
      <c r="A5017" s="2">
        <v>1620910</v>
      </c>
    </row>
    <row r="5018" spans="1:1" x14ac:dyDescent="0.25">
      <c r="A5018" s="2">
        <v>1620935</v>
      </c>
    </row>
    <row r="5019" spans="1:1" x14ac:dyDescent="0.25">
      <c r="A5019" s="2">
        <v>1620947</v>
      </c>
    </row>
    <row r="5020" spans="1:1" x14ac:dyDescent="0.25">
      <c r="A5020" s="2">
        <v>1620951</v>
      </c>
    </row>
    <row r="5021" spans="1:1" x14ac:dyDescent="0.25">
      <c r="A5021" s="2">
        <v>1621272</v>
      </c>
    </row>
    <row r="5022" spans="1:1" x14ac:dyDescent="0.25">
      <c r="A5022" s="2">
        <v>1621301</v>
      </c>
    </row>
    <row r="5023" spans="1:1" x14ac:dyDescent="0.25">
      <c r="A5023" s="2">
        <v>1621513</v>
      </c>
    </row>
    <row r="5024" spans="1:1" x14ac:dyDescent="0.25">
      <c r="A5024" s="2">
        <v>1621735</v>
      </c>
    </row>
    <row r="5025" spans="1:1" x14ac:dyDescent="0.25">
      <c r="A5025" s="2">
        <v>1621743</v>
      </c>
    </row>
    <row r="5026" spans="1:1" x14ac:dyDescent="0.25">
      <c r="A5026" s="2">
        <v>1621844</v>
      </c>
    </row>
    <row r="5027" spans="1:1" x14ac:dyDescent="0.25">
      <c r="A5027" s="2">
        <v>1621882</v>
      </c>
    </row>
    <row r="5028" spans="1:1" x14ac:dyDescent="0.25">
      <c r="A5028" s="2">
        <v>1621916</v>
      </c>
    </row>
    <row r="5029" spans="1:1" x14ac:dyDescent="0.25">
      <c r="A5029" s="2">
        <v>1622330</v>
      </c>
    </row>
    <row r="5030" spans="1:1" x14ac:dyDescent="0.25">
      <c r="A5030" s="2">
        <v>1622331</v>
      </c>
    </row>
    <row r="5031" spans="1:1" x14ac:dyDescent="0.25">
      <c r="A5031" s="2">
        <v>1622346</v>
      </c>
    </row>
    <row r="5032" spans="1:1" x14ac:dyDescent="0.25">
      <c r="A5032" s="2">
        <v>1622366</v>
      </c>
    </row>
    <row r="5033" spans="1:1" x14ac:dyDescent="0.25">
      <c r="A5033" s="2">
        <v>1622377</v>
      </c>
    </row>
    <row r="5034" spans="1:1" x14ac:dyDescent="0.25">
      <c r="A5034" s="2">
        <v>1622386</v>
      </c>
    </row>
    <row r="5035" spans="1:1" x14ac:dyDescent="0.25">
      <c r="A5035" s="2">
        <v>1622421</v>
      </c>
    </row>
    <row r="5036" spans="1:1" x14ac:dyDescent="0.25">
      <c r="A5036" s="2">
        <v>1633182</v>
      </c>
    </row>
    <row r="5037" spans="1:1" x14ac:dyDescent="0.25">
      <c r="A5037" s="2">
        <v>1648617</v>
      </c>
    </row>
    <row r="5038" spans="1:1" x14ac:dyDescent="0.25">
      <c r="A5038" s="2">
        <v>1654994</v>
      </c>
    </row>
    <row r="5039" spans="1:1" x14ac:dyDescent="0.25">
      <c r="A5039" s="2">
        <v>1655024</v>
      </c>
    </row>
    <row r="5040" spans="1:1" x14ac:dyDescent="0.25">
      <c r="A5040" s="2">
        <v>1655220</v>
      </c>
    </row>
    <row r="5041" spans="1:1" x14ac:dyDescent="0.25">
      <c r="A5041" s="2">
        <v>1655234</v>
      </c>
    </row>
    <row r="5042" spans="1:1" x14ac:dyDescent="0.25">
      <c r="A5042" s="2">
        <v>1655832</v>
      </c>
    </row>
    <row r="5043" spans="1:1" x14ac:dyDescent="0.25">
      <c r="A5043" s="2">
        <v>1655845</v>
      </c>
    </row>
    <row r="5044" spans="1:1" x14ac:dyDescent="0.25">
      <c r="A5044" s="2">
        <v>1655933</v>
      </c>
    </row>
    <row r="5045" spans="1:1" x14ac:dyDescent="0.25">
      <c r="A5045" s="2">
        <v>1655940</v>
      </c>
    </row>
    <row r="5046" spans="1:1" x14ac:dyDescent="0.25">
      <c r="A5046" s="2">
        <v>1656047</v>
      </c>
    </row>
    <row r="5047" spans="1:1" x14ac:dyDescent="0.25">
      <c r="A5047" s="2">
        <v>1656091</v>
      </c>
    </row>
    <row r="5048" spans="1:1" x14ac:dyDescent="0.25">
      <c r="A5048" s="2">
        <v>1656101</v>
      </c>
    </row>
    <row r="5049" spans="1:1" x14ac:dyDescent="0.25">
      <c r="A5049" s="2">
        <v>1656205</v>
      </c>
    </row>
    <row r="5050" spans="1:1" x14ac:dyDescent="0.25">
      <c r="A5050" s="2">
        <v>1656207</v>
      </c>
    </row>
    <row r="5051" spans="1:1" x14ac:dyDescent="0.25">
      <c r="A5051" s="2">
        <v>1656217</v>
      </c>
    </row>
    <row r="5052" spans="1:1" x14ac:dyDescent="0.25">
      <c r="A5052" s="2">
        <v>1656258</v>
      </c>
    </row>
    <row r="5053" spans="1:1" x14ac:dyDescent="0.25">
      <c r="A5053" s="2">
        <v>1656268</v>
      </c>
    </row>
    <row r="5054" spans="1:1" x14ac:dyDescent="0.25">
      <c r="A5054" s="2">
        <v>1659666</v>
      </c>
    </row>
    <row r="5055" spans="1:1" x14ac:dyDescent="0.25">
      <c r="A5055" s="2">
        <v>1659672</v>
      </c>
    </row>
    <row r="5056" spans="1:1" x14ac:dyDescent="0.25">
      <c r="A5056" s="2">
        <v>1661302</v>
      </c>
    </row>
    <row r="5057" spans="1:1" x14ac:dyDescent="0.25">
      <c r="A5057" s="2">
        <v>1662585</v>
      </c>
    </row>
    <row r="5058" spans="1:1" x14ac:dyDescent="0.25">
      <c r="A5058" s="2">
        <v>1662627</v>
      </c>
    </row>
    <row r="5059" spans="1:1" x14ac:dyDescent="0.25">
      <c r="A5059" s="2">
        <v>1664980</v>
      </c>
    </row>
    <row r="5060" spans="1:1" x14ac:dyDescent="0.25">
      <c r="A5060" s="2">
        <v>1670325</v>
      </c>
    </row>
    <row r="5061" spans="1:1" x14ac:dyDescent="0.25">
      <c r="A5061" s="2">
        <v>1670339</v>
      </c>
    </row>
    <row r="5062" spans="1:1" x14ac:dyDescent="0.25">
      <c r="A5062" s="2">
        <v>1675726</v>
      </c>
    </row>
    <row r="5063" spans="1:1" x14ac:dyDescent="0.25">
      <c r="A5063" s="2">
        <v>1692454</v>
      </c>
    </row>
    <row r="5064" spans="1:1" x14ac:dyDescent="0.25">
      <c r="A5064" s="2">
        <v>1696613</v>
      </c>
    </row>
    <row r="5065" spans="1:1" x14ac:dyDescent="0.25">
      <c r="A5065" s="2">
        <v>1703037</v>
      </c>
    </row>
    <row r="5066" spans="1:1" x14ac:dyDescent="0.25">
      <c r="A5066" s="2">
        <v>1703067</v>
      </c>
    </row>
    <row r="5067" spans="1:1" x14ac:dyDescent="0.25">
      <c r="A5067" s="2">
        <v>1714759</v>
      </c>
    </row>
    <row r="5068" spans="1:1" x14ac:dyDescent="0.25">
      <c r="A5068" s="2">
        <v>1714782</v>
      </c>
    </row>
    <row r="5069" spans="1:1" x14ac:dyDescent="0.25">
      <c r="A5069" s="2">
        <v>1714798</v>
      </c>
    </row>
    <row r="5070" spans="1:1" x14ac:dyDescent="0.25">
      <c r="A5070" s="2">
        <v>1714821</v>
      </c>
    </row>
    <row r="5071" spans="1:1" x14ac:dyDescent="0.25">
      <c r="A5071" s="2">
        <v>1716430</v>
      </c>
    </row>
    <row r="5072" spans="1:1" x14ac:dyDescent="0.25">
      <c r="A5072" s="2">
        <v>1716456</v>
      </c>
    </row>
    <row r="5073" spans="1:1" x14ac:dyDescent="0.25">
      <c r="A5073" s="2">
        <v>1716462</v>
      </c>
    </row>
    <row r="5074" spans="1:1" x14ac:dyDescent="0.25">
      <c r="A5074" s="2">
        <v>1716465</v>
      </c>
    </row>
    <row r="5075" spans="1:1" x14ac:dyDescent="0.25">
      <c r="A5075" s="2">
        <v>1716481</v>
      </c>
    </row>
    <row r="5076" spans="1:1" x14ac:dyDescent="0.25">
      <c r="A5076" s="2">
        <v>1742442</v>
      </c>
    </row>
    <row r="5077" spans="1:1" x14ac:dyDescent="0.25">
      <c r="A5077" s="2">
        <v>1747695</v>
      </c>
    </row>
    <row r="5078" spans="1:1" x14ac:dyDescent="0.25">
      <c r="A5078" s="2">
        <v>1747699</v>
      </c>
    </row>
    <row r="5079" spans="1:1" x14ac:dyDescent="0.25">
      <c r="A5079" s="2">
        <v>1747722</v>
      </c>
    </row>
    <row r="5080" spans="1:1" x14ac:dyDescent="0.25">
      <c r="A5080" s="2">
        <v>1747760</v>
      </c>
    </row>
    <row r="5081" spans="1:1" x14ac:dyDescent="0.25">
      <c r="A5081" s="2">
        <v>1747768</v>
      </c>
    </row>
    <row r="5082" spans="1:1" x14ac:dyDescent="0.25">
      <c r="A5082" s="2">
        <v>1747779</v>
      </c>
    </row>
    <row r="5083" spans="1:1" x14ac:dyDescent="0.25">
      <c r="A5083" s="2">
        <v>1748295</v>
      </c>
    </row>
    <row r="5084" spans="1:1" x14ac:dyDescent="0.25">
      <c r="A5084" s="2">
        <v>1748302</v>
      </c>
    </row>
    <row r="5085" spans="1:1" x14ac:dyDescent="0.25">
      <c r="A5085" s="2">
        <v>1748306</v>
      </c>
    </row>
    <row r="5086" spans="1:1" x14ac:dyDescent="0.25">
      <c r="A5086" s="2">
        <v>1748354</v>
      </c>
    </row>
    <row r="5087" spans="1:1" x14ac:dyDescent="0.25">
      <c r="A5087" s="2">
        <v>1748450</v>
      </c>
    </row>
    <row r="5088" spans="1:1" x14ac:dyDescent="0.25">
      <c r="A5088" s="2">
        <v>1748456</v>
      </c>
    </row>
    <row r="5089" spans="1:1" x14ac:dyDescent="0.25">
      <c r="A5089" s="2">
        <v>1748510</v>
      </c>
    </row>
    <row r="5090" spans="1:1" x14ac:dyDescent="0.25">
      <c r="A5090" s="2">
        <v>1748537</v>
      </c>
    </row>
    <row r="5091" spans="1:1" x14ac:dyDescent="0.25">
      <c r="A5091" s="2">
        <v>1748558</v>
      </c>
    </row>
    <row r="5092" spans="1:1" x14ac:dyDescent="0.25">
      <c r="A5092" s="2">
        <v>1748580</v>
      </c>
    </row>
    <row r="5093" spans="1:1" x14ac:dyDescent="0.25">
      <c r="A5093" s="2">
        <v>1748584</v>
      </c>
    </row>
    <row r="5094" spans="1:1" x14ac:dyDescent="0.25">
      <c r="A5094" s="2">
        <v>1748594</v>
      </c>
    </row>
    <row r="5095" spans="1:1" x14ac:dyDescent="0.25">
      <c r="A5095" s="2">
        <v>1748641</v>
      </c>
    </row>
    <row r="5096" spans="1:1" x14ac:dyDescent="0.25">
      <c r="A5096" s="2">
        <v>1748697</v>
      </c>
    </row>
    <row r="5097" spans="1:1" x14ac:dyDescent="0.25">
      <c r="A5097" s="2">
        <v>1748745</v>
      </c>
    </row>
    <row r="5098" spans="1:1" x14ac:dyDescent="0.25">
      <c r="A5098" s="2">
        <v>1748797</v>
      </c>
    </row>
    <row r="5099" spans="1:1" x14ac:dyDescent="0.25">
      <c r="A5099" s="2">
        <v>1748828</v>
      </c>
    </row>
    <row r="5100" spans="1:1" x14ac:dyDescent="0.25">
      <c r="A5100" s="2">
        <v>1748877</v>
      </c>
    </row>
    <row r="5101" spans="1:1" x14ac:dyDescent="0.25">
      <c r="A5101" s="2">
        <v>1748932</v>
      </c>
    </row>
    <row r="5102" spans="1:1" x14ac:dyDescent="0.25">
      <c r="A5102" s="2">
        <v>1750921</v>
      </c>
    </row>
    <row r="5103" spans="1:1" x14ac:dyDescent="0.25">
      <c r="A5103" s="2">
        <v>1750922</v>
      </c>
    </row>
    <row r="5104" spans="1:1" x14ac:dyDescent="0.25">
      <c r="A5104" s="2">
        <v>1751141</v>
      </c>
    </row>
    <row r="5105" spans="1:1" x14ac:dyDescent="0.25">
      <c r="A5105" s="2">
        <v>1751142</v>
      </c>
    </row>
    <row r="5106" spans="1:1" x14ac:dyDescent="0.25">
      <c r="A5106" s="2">
        <v>1751145</v>
      </c>
    </row>
    <row r="5107" spans="1:1" x14ac:dyDescent="0.25">
      <c r="A5107" s="2">
        <v>1751155</v>
      </c>
    </row>
    <row r="5108" spans="1:1" x14ac:dyDescent="0.25">
      <c r="A5108" s="2">
        <v>1751190</v>
      </c>
    </row>
    <row r="5109" spans="1:1" x14ac:dyDescent="0.25">
      <c r="A5109" s="2">
        <v>1751204</v>
      </c>
    </row>
    <row r="5110" spans="1:1" x14ac:dyDescent="0.25">
      <c r="A5110" s="2">
        <v>1751213</v>
      </c>
    </row>
    <row r="5111" spans="1:1" x14ac:dyDescent="0.25">
      <c r="A5111" s="2">
        <v>1751216</v>
      </c>
    </row>
    <row r="5112" spans="1:1" x14ac:dyDescent="0.25">
      <c r="A5112" s="2">
        <v>1751240</v>
      </c>
    </row>
    <row r="5113" spans="1:1" x14ac:dyDescent="0.25">
      <c r="A5113" s="2">
        <v>1751243</v>
      </c>
    </row>
    <row r="5114" spans="1:1" x14ac:dyDescent="0.25">
      <c r="A5114" s="2">
        <v>1751285</v>
      </c>
    </row>
    <row r="5115" spans="1:1" x14ac:dyDescent="0.25">
      <c r="A5115" s="2">
        <v>1751307</v>
      </c>
    </row>
    <row r="5116" spans="1:1" x14ac:dyDescent="0.25">
      <c r="A5116" s="2">
        <v>1751315</v>
      </c>
    </row>
    <row r="5117" spans="1:1" x14ac:dyDescent="0.25">
      <c r="A5117" s="2">
        <v>1751363</v>
      </c>
    </row>
    <row r="5118" spans="1:1" x14ac:dyDescent="0.25">
      <c r="A5118" s="2">
        <v>1751368</v>
      </c>
    </row>
    <row r="5119" spans="1:1" x14ac:dyDescent="0.25">
      <c r="A5119" s="2">
        <v>1751374</v>
      </c>
    </row>
    <row r="5120" spans="1:1" x14ac:dyDescent="0.25">
      <c r="A5120" s="2">
        <v>1751389</v>
      </c>
    </row>
    <row r="5121" spans="1:1" x14ac:dyDescent="0.25">
      <c r="A5121" s="2">
        <v>1751399</v>
      </c>
    </row>
    <row r="5122" spans="1:1" x14ac:dyDescent="0.25">
      <c r="A5122" s="2">
        <v>1751418</v>
      </c>
    </row>
    <row r="5123" spans="1:1" x14ac:dyDescent="0.25">
      <c r="A5123" s="2">
        <v>1751443</v>
      </c>
    </row>
    <row r="5124" spans="1:1" x14ac:dyDescent="0.25">
      <c r="A5124" s="2">
        <v>1751459</v>
      </c>
    </row>
    <row r="5125" spans="1:1" x14ac:dyDescent="0.25">
      <c r="A5125" s="2">
        <v>1751461</v>
      </c>
    </row>
    <row r="5126" spans="1:1" x14ac:dyDescent="0.25">
      <c r="A5126" s="2">
        <v>1751528</v>
      </c>
    </row>
    <row r="5127" spans="1:1" x14ac:dyDescent="0.25">
      <c r="A5127" s="2">
        <v>1751557</v>
      </c>
    </row>
    <row r="5128" spans="1:1" x14ac:dyDescent="0.25">
      <c r="A5128" s="2">
        <v>1751587</v>
      </c>
    </row>
    <row r="5129" spans="1:1" x14ac:dyDescent="0.25">
      <c r="A5129" s="2">
        <v>1751589</v>
      </c>
    </row>
    <row r="5130" spans="1:1" x14ac:dyDescent="0.25">
      <c r="A5130" s="2">
        <v>1751608</v>
      </c>
    </row>
    <row r="5131" spans="1:1" x14ac:dyDescent="0.25">
      <c r="A5131" s="2">
        <v>1751667</v>
      </c>
    </row>
    <row r="5132" spans="1:1" x14ac:dyDescent="0.25">
      <c r="A5132" s="2">
        <v>1751672</v>
      </c>
    </row>
    <row r="5133" spans="1:1" x14ac:dyDescent="0.25">
      <c r="A5133" s="2">
        <v>1751674</v>
      </c>
    </row>
    <row r="5134" spans="1:1" x14ac:dyDescent="0.25">
      <c r="A5134" s="2">
        <v>1751682</v>
      </c>
    </row>
    <row r="5135" spans="1:1" x14ac:dyDescent="0.25">
      <c r="A5135" s="2">
        <v>1751696</v>
      </c>
    </row>
    <row r="5136" spans="1:1" x14ac:dyDescent="0.25">
      <c r="A5136" s="2">
        <v>1751706</v>
      </c>
    </row>
    <row r="5137" spans="1:1" x14ac:dyDescent="0.25">
      <c r="A5137" s="2">
        <v>1751732</v>
      </c>
    </row>
    <row r="5138" spans="1:1" x14ac:dyDescent="0.25">
      <c r="A5138" s="2">
        <v>1751743</v>
      </c>
    </row>
    <row r="5139" spans="1:1" x14ac:dyDescent="0.25">
      <c r="A5139" s="2">
        <v>1751748</v>
      </c>
    </row>
    <row r="5140" spans="1:1" x14ac:dyDescent="0.25">
      <c r="A5140" s="2">
        <v>1751770</v>
      </c>
    </row>
    <row r="5141" spans="1:1" x14ac:dyDescent="0.25">
      <c r="A5141" s="2">
        <v>1751774</v>
      </c>
    </row>
    <row r="5142" spans="1:1" x14ac:dyDescent="0.25">
      <c r="A5142" s="2">
        <v>1751781</v>
      </c>
    </row>
    <row r="5143" spans="1:1" x14ac:dyDescent="0.25">
      <c r="A5143" s="2">
        <v>1751818</v>
      </c>
    </row>
    <row r="5144" spans="1:1" x14ac:dyDescent="0.25">
      <c r="A5144" s="2">
        <v>1751838</v>
      </c>
    </row>
    <row r="5145" spans="1:1" x14ac:dyDescent="0.25">
      <c r="A5145" s="2">
        <v>1751842</v>
      </c>
    </row>
    <row r="5146" spans="1:1" x14ac:dyDescent="0.25">
      <c r="A5146" s="2">
        <v>1751857</v>
      </c>
    </row>
    <row r="5147" spans="1:1" x14ac:dyDescent="0.25">
      <c r="A5147" s="2">
        <v>1751862</v>
      </c>
    </row>
    <row r="5148" spans="1:1" x14ac:dyDescent="0.25">
      <c r="A5148" s="2">
        <v>1751871</v>
      </c>
    </row>
    <row r="5149" spans="1:1" x14ac:dyDescent="0.25">
      <c r="A5149" s="2">
        <v>1751890</v>
      </c>
    </row>
    <row r="5150" spans="1:1" x14ac:dyDescent="0.25">
      <c r="A5150" s="2">
        <v>1751901</v>
      </c>
    </row>
    <row r="5151" spans="1:1" x14ac:dyDescent="0.25">
      <c r="A5151" s="2">
        <v>1751902</v>
      </c>
    </row>
    <row r="5152" spans="1:1" x14ac:dyDescent="0.25">
      <c r="A5152" s="2">
        <v>1751923</v>
      </c>
    </row>
    <row r="5153" spans="1:1" x14ac:dyDescent="0.25">
      <c r="A5153" s="2">
        <v>1751940</v>
      </c>
    </row>
    <row r="5154" spans="1:1" x14ac:dyDescent="0.25">
      <c r="A5154" s="2">
        <v>1751967</v>
      </c>
    </row>
    <row r="5155" spans="1:1" x14ac:dyDescent="0.25">
      <c r="A5155" s="2">
        <v>1751968</v>
      </c>
    </row>
    <row r="5156" spans="1:1" x14ac:dyDescent="0.25">
      <c r="A5156" s="2">
        <v>1751983</v>
      </c>
    </row>
    <row r="5157" spans="1:1" x14ac:dyDescent="0.25">
      <c r="A5157" s="2">
        <v>1752000</v>
      </c>
    </row>
    <row r="5158" spans="1:1" x14ac:dyDescent="0.25">
      <c r="A5158" s="2">
        <v>1752012</v>
      </c>
    </row>
    <row r="5159" spans="1:1" x14ac:dyDescent="0.25">
      <c r="A5159" s="2">
        <v>1752032</v>
      </c>
    </row>
    <row r="5160" spans="1:1" x14ac:dyDescent="0.25">
      <c r="A5160" s="2">
        <v>1752040</v>
      </c>
    </row>
    <row r="5161" spans="1:1" x14ac:dyDescent="0.25">
      <c r="A5161" s="2">
        <v>1752101</v>
      </c>
    </row>
    <row r="5162" spans="1:1" x14ac:dyDescent="0.25">
      <c r="A5162" s="2">
        <v>1752135</v>
      </c>
    </row>
    <row r="5163" spans="1:1" x14ac:dyDescent="0.25">
      <c r="A5163" s="2">
        <v>1752222</v>
      </c>
    </row>
    <row r="5164" spans="1:1" x14ac:dyDescent="0.25">
      <c r="A5164" s="2">
        <v>1752226</v>
      </c>
    </row>
    <row r="5165" spans="1:1" x14ac:dyDescent="0.25">
      <c r="A5165" s="2">
        <v>1752379</v>
      </c>
    </row>
    <row r="5166" spans="1:1" x14ac:dyDescent="0.25">
      <c r="A5166" s="2">
        <v>1752382</v>
      </c>
    </row>
    <row r="5167" spans="1:1" x14ac:dyDescent="0.25">
      <c r="A5167" s="2">
        <v>1752383</v>
      </c>
    </row>
    <row r="5168" spans="1:1" x14ac:dyDescent="0.25">
      <c r="A5168" s="2">
        <v>1752388</v>
      </c>
    </row>
    <row r="5169" spans="1:1" x14ac:dyDescent="0.25">
      <c r="A5169" s="2">
        <v>1752397</v>
      </c>
    </row>
    <row r="5170" spans="1:1" x14ac:dyDescent="0.25">
      <c r="A5170" s="2">
        <v>1752415</v>
      </c>
    </row>
    <row r="5171" spans="1:1" x14ac:dyDescent="0.25">
      <c r="A5171" s="2">
        <v>1752552</v>
      </c>
    </row>
    <row r="5172" spans="1:1" x14ac:dyDescent="0.25">
      <c r="A5172" s="2">
        <v>1752561</v>
      </c>
    </row>
    <row r="5173" spans="1:1" x14ac:dyDescent="0.25">
      <c r="A5173" s="2">
        <v>1752837</v>
      </c>
    </row>
    <row r="5174" spans="1:1" x14ac:dyDescent="0.25">
      <c r="A5174" s="2">
        <v>1752864</v>
      </c>
    </row>
    <row r="5175" spans="1:1" x14ac:dyDescent="0.25">
      <c r="A5175" s="2">
        <v>1752875</v>
      </c>
    </row>
    <row r="5176" spans="1:1" x14ac:dyDescent="0.25">
      <c r="A5176" s="2">
        <v>1752913</v>
      </c>
    </row>
    <row r="5177" spans="1:1" x14ac:dyDescent="0.25">
      <c r="A5177" s="2">
        <v>1752929</v>
      </c>
    </row>
    <row r="5178" spans="1:1" x14ac:dyDescent="0.25">
      <c r="A5178" s="2">
        <v>1752930</v>
      </c>
    </row>
    <row r="5179" spans="1:1" x14ac:dyDescent="0.25">
      <c r="A5179" s="2">
        <v>1752932</v>
      </c>
    </row>
    <row r="5180" spans="1:1" x14ac:dyDescent="0.25">
      <c r="A5180" s="2">
        <v>1752942</v>
      </c>
    </row>
    <row r="5181" spans="1:1" x14ac:dyDescent="0.25">
      <c r="A5181" s="2">
        <v>1752953</v>
      </c>
    </row>
    <row r="5182" spans="1:1" x14ac:dyDescent="0.25">
      <c r="A5182" s="2">
        <v>1753056</v>
      </c>
    </row>
    <row r="5183" spans="1:1" x14ac:dyDescent="0.25">
      <c r="A5183" s="2">
        <v>1753059</v>
      </c>
    </row>
    <row r="5184" spans="1:1" x14ac:dyDescent="0.25">
      <c r="A5184" s="2">
        <v>1753068</v>
      </c>
    </row>
    <row r="5185" spans="1:1" x14ac:dyDescent="0.25">
      <c r="A5185" s="2">
        <v>1753075</v>
      </c>
    </row>
    <row r="5186" spans="1:1" x14ac:dyDescent="0.25">
      <c r="A5186" s="2">
        <v>1753088</v>
      </c>
    </row>
    <row r="5187" spans="1:1" x14ac:dyDescent="0.25">
      <c r="A5187" s="2">
        <v>1753092</v>
      </c>
    </row>
    <row r="5188" spans="1:1" x14ac:dyDescent="0.25">
      <c r="A5188" s="2">
        <v>1753106</v>
      </c>
    </row>
    <row r="5189" spans="1:1" x14ac:dyDescent="0.25">
      <c r="A5189" s="2">
        <v>1753110</v>
      </c>
    </row>
    <row r="5190" spans="1:1" x14ac:dyDescent="0.25">
      <c r="A5190" s="2">
        <v>1753118</v>
      </c>
    </row>
    <row r="5191" spans="1:1" x14ac:dyDescent="0.25">
      <c r="A5191" s="2">
        <v>1753123</v>
      </c>
    </row>
    <row r="5192" spans="1:1" x14ac:dyDescent="0.25">
      <c r="A5192" s="2">
        <v>1753126</v>
      </c>
    </row>
    <row r="5193" spans="1:1" x14ac:dyDescent="0.25">
      <c r="A5193" s="2">
        <v>1753142</v>
      </c>
    </row>
    <row r="5194" spans="1:1" x14ac:dyDescent="0.25">
      <c r="A5194" s="2">
        <v>1753151</v>
      </c>
    </row>
    <row r="5195" spans="1:1" x14ac:dyDescent="0.25">
      <c r="A5195" s="2">
        <v>1753157</v>
      </c>
    </row>
    <row r="5196" spans="1:1" x14ac:dyDescent="0.25">
      <c r="A5196" s="2">
        <v>1753161</v>
      </c>
    </row>
    <row r="5197" spans="1:1" x14ac:dyDescent="0.25">
      <c r="A5197" s="2">
        <v>1753164</v>
      </c>
    </row>
    <row r="5198" spans="1:1" x14ac:dyDescent="0.25">
      <c r="A5198" s="2">
        <v>1753172</v>
      </c>
    </row>
    <row r="5199" spans="1:1" x14ac:dyDescent="0.25">
      <c r="A5199" s="2">
        <v>1753292</v>
      </c>
    </row>
    <row r="5200" spans="1:1" x14ac:dyDescent="0.25">
      <c r="A5200" s="2">
        <v>1753306</v>
      </c>
    </row>
    <row r="5201" spans="1:1" x14ac:dyDescent="0.25">
      <c r="A5201" s="2">
        <v>1753440</v>
      </c>
    </row>
    <row r="5202" spans="1:1" x14ac:dyDescent="0.25">
      <c r="A5202" s="2">
        <v>1753446</v>
      </c>
    </row>
    <row r="5203" spans="1:1" x14ac:dyDescent="0.25">
      <c r="A5203" s="2">
        <v>1753452</v>
      </c>
    </row>
    <row r="5204" spans="1:1" x14ac:dyDescent="0.25">
      <c r="A5204" s="2">
        <v>1753470</v>
      </c>
    </row>
    <row r="5205" spans="1:1" x14ac:dyDescent="0.25">
      <c r="A5205" s="2">
        <v>1753486</v>
      </c>
    </row>
    <row r="5206" spans="1:1" x14ac:dyDescent="0.25">
      <c r="A5206" s="2">
        <v>1753506</v>
      </c>
    </row>
    <row r="5207" spans="1:1" x14ac:dyDescent="0.25">
      <c r="A5207" s="2">
        <v>1753813</v>
      </c>
    </row>
    <row r="5208" spans="1:1" x14ac:dyDescent="0.25">
      <c r="A5208" s="2">
        <v>1753826</v>
      </c>
    </row>
    <row r="5209" spans="1:1" x14ac:dyDescent="0.25">
      <c r="A5209" s="2">
        <v>1753832</v>
      </c>
    </row>
    <row r="5210" spans="1:1" x14ac:dyDescent="0.25">
      <c r="A5210" s="2">
        <v>1753845</v>
      </c>
    </row>
    <row r="5211" spans="1:1" x14ac:dyDescent="0.25">
      <c r="A5211" s="2">
        <v>1753847</v>
      </c>
    </row>
    <row r="5212" spans="1:1" x14ac:dyDescent="0.25">
      <c r="A5212" s="2">
        <v>1753855</v>
      </c>
    </row>
    <row r="5213" spans="1:1" x14ac:dyDescent="0.25">
      <c r="A5213" s="2">
        <v>1753857</v>
      </c>
    </row>
    <row r="5214" spans="1:1" x14ac:dyDescent="0.25">
      <c r="A5214" s="2">
        <v>1753986</v>
      </c>
    </row>
    <row r="5215" spans="1:1" x14ac:dyDescent="0.25">
      <c r="A5215" s="2">
        <v>1754004</v>
      </c>
    </row>
    <row r="5216" spans="1:1" x14ac:dyDescent="0.25">
      <c r="A5216" s="2">
        <v>1754009</v>
      </c>
    </row>
    <row r="5217" spans="1:1" x14ac:dyDescent="0.25">
      <c r="A5217" s="2">
        <v>1754026</v>
      </c>
    </row>
    <row r="5218" spans="1:1" x14ac:dyDescent="0.25">
      <c r="A5218" s="2">
        <v>1754035</v>
      </c>
    </row>
    <row r="5219" spans="1:1" x14ac:dyDescent="0.25">
      <c r="A5219" s="2">
        <v>1754042</v>
      </c>
    </row>
    <row r="5220" spans="1:1" x14ac:dyDescent="0.25">
      <c r="A5220" s="2">
        <v>1754058</v>
      </c>
    </row>
    <row r="5221" spans="1:1" x14ac:dyDescent="0.25">
      <c r="A5221" s="2">
        <v>1754071</v>
      </c>
    </row>
    <row r="5222" spans="1:1" x14ac:dyDescent="0.25">
      <c r="A5222" s="2">
        <v>1754075</v>
      </c>
    </row>
    <row r="5223" spans="1:1" x14ac:dyDescent="0.25">
      <c r="A5223" s="2">
        <v>1754098</v>
      </c>
    </row>
    <row r="5224" spans="1:1" x14ac:dyDescent="0.25">
      <c r="A5224" s="2">
        <v>1754133</v>
      </c>
    </row>
    <row r="5225" spans="1:1" x14ac:dyDescent="0.25">
      <c r="A5225" s="2">
        <v>1754151</v>
      </c>
    </row>
    <row r="5226" spans="1:1" x14ac:dyDescent="0.25">
      <c r="A5226" s="2">
        <v>1754161</v>
      </c>
    </row>
    <row r="5227" spans="1:1" x14ac:dyDescent="0.25">
      <c r="A5227" s="2">
        <v>1754182</v>
      </c>
    </row>
    <row r="5228" spans="1:1" x14ac:dyDescent="0.25">
      <c r="A5228" s="2">
        <v>1754230</v>
      </c>
    </row>
    <row r="5229" spans="1:1" x14ac:dyDescent="0.25">
      <c r="A5229" s="2">
        <v>1754232</v>
      </c>
    </row>
    <row r="5230" spans="1:1" x14ac:dyDescent="0.25">
      <c r="A5230" s="2">
        <v>1754253</v>
      </c>
    </row>
    <row r="5231" spans="1:1" x14ac:dyDescent="0.25">
      <c r="A5231" s="2">
        <v>1754266</v>
      </c>
    </row>
    <row r="5232" spans="1:1" x14ac:dyDescent="0.25">
      <c r="A5232" s="2">
        <v>1754274</v>
      </c>
    </row>
    <row r="5233" spans="1:1" x14ac:dyDescent="0.25">
      <c r="A5233" s="2">
        <v>1754298</v>
      </c>
    </row>
    <row r="5234" spans="1:1" x14ac:dyDescent="0.25">
      <c r="A5234" s="2">
        <v>1754301</v>
      </c>
    </row>
    <row r="5235" spans="1:1" x14ac:dyDescent="0.25">
      <c r="A5235" s="2">
        <v>1754321</v>
      </c>
    </row>
    <row r="5236" spans="1:1" x14ac:dyDescent="0.25">
      <c r="A5236" s="2">
        <v>1754392</v>
      </c>
    </row>
    <row r="5237" spans="1:1" x14ac:dyDescent="0.25">
      <c r="A5237" s="2">
        <v>1754437</v>
      </c>
    </row>
    <row r="5238" spans="1:1" x14ac:dyDescent="0.25">
      <c r="A5238" s="2">
        <v>1754462</v>
      </c>
    </row>
    <row r="5239" spans="1:1" x14ac:dyDescent="0.25">
      <c r="A5239" s="2">
        <v>1754488</v>
      </c>
    </row>
    <row r="5240" spans="1:1" x14ac:dyDescent="0.25">
      <c r="A5240" s="2">
        <v>1754529</v>
      </c>
    </row>
    <row r="5241" spans="1:1" x14ac:dyDescent="0.25">
      <c r="A5241" s="2">
        <v>1754535</v>
      </c>
    </row>
    <row r="5242" spans="1:1" x14ac:dyDescent="0.25">
      <c r="A5242" s="2">
        <v>1754548</v>
      </c>
    </row>
    <row r="5243" spans="1:1" x14ac:dyDescent="0.25">
      <c r="A5243" s="2">
        <v>1754571</v>
      </c>
    </row>
    <row r="5244" spans="1:1" x14ac:dyDescent="0.25">
      <c r="A5244" s="2">
        <v>1754589</v>
      </c>
    </row>
    <row r="5245" spans="1:1" x14ac:dyDescent="0.25">
      <c r="A5245" s="2">
        <v>1754602</v>
      </c>
    </row>
    <row r="5246" spans="1:1" x14ac:dyDescent="0.25">
      <c r="A5246" s="2">
        <v>1754609</v>
      </c>
    </row>
    <row r="5247" spans="1:1" x14ac:dyDescent="0.25">
      <c r="A5247" s="2">
        <v>1754640</v>
      </c>
    </row>
    <row r="5248" spans="1:1" x14ac:dyDescent="0.25">
      <c r="A5248" s="2">
        <v>1754699</v>
      </c>
    </row>
    <row r="5249" spans="1:1" x14ac:dyDescent="0.25">
      <c r="A5249" s="2">
        <v>1754702</v>
      </c>
    </row>
    <row r="5250" spans="1:1" x14ac:dyDescent="0.25">
      <c r="A5250" s="2">
        <v>1754734</v>
      </c>
    </row>
    <row r="5251" spans="1:1" x14ac:dyDescent="0.25">
      <c r="A5251" s="2">
        <v>1754757</v>
      </c>
    </row>
    <row r="5252" spans="1:1" x14ac:dyDescent="0.25">
      <c r="A5252" s="2">
        <v>1754976</v>
      </c>
    </row>
    <row r="5253" spans="1:1" x14ac:dyDescent="0.25">
      <c r="A5253" s="2">
        <v>1755195</v>
      </c>
    </row>
    <row r="5254" spans="1:1" x14ac:dyDescent="0.25">
      <c r="A5254" s="2">
        <v>1755208</v>
      </c>
    </row>
    <row r="5255" spans="1:1" x14ac:dyDescent="0.25">
      <c r="A5255" s="2">
        <v>1756892</v>
      </c>
    </row>
    <row r="5256" spans="1:1" x14ac:dyDescent="0.25">
      <c r="A5256" s="2">
        <v>1756906</v>
      </c>
    </row>
    <row r="5257" spans="1:1" x14ac:dyDescent="0.25">
      <c r="A5257" s="2">
        <v>1757013</v>
      </c>
    </row>
    <row r="5258" spans="1:1" x14ac:dyDescent="0.25">
      <c r="A5258" s="2">
        <v>1757030</v>
      </c>
    </row>
    <row r="5259" spans="1:1" x14ac:dyDescent="0.25">
      <c r="A5259" s="2">
        <v>1757052</v>
      </c>
    </row>
    <row r="5260" spans="1:1" x14ac:dyDescent="0.25">
      <c r="A5260" s="2">
        <v>1757063</v>
      </c>
    </row>
    <row r="5261" spans="1:1" x14ac:dyDescent="0.25">
      <c r="A5261" s="2">
        <v>1757073</v>
      </c>
    </row>
    <row r="5262" spans="1:1" x14ac:dyDescent="0.25">
      <c r="A5262" s="2">
        <v>1757075</v>
      </c>
    </row>
    <row r="5263" spans="1:1" x14ac:dyDescent="0.25">
      <c r="A5263" s="2">
        <v>1757076</v>
      </c>
    </row>
    <row r="5264" spans="1:1" x14ac:dyDescent="0.25">
      <c r="A5264" s="2">
        <v>1757079</v>
      </c>
    </row>
    <row r="5265" spans="1:1" x14ac:dyDescent="0.25">
      <c r="A5265" s="2">
        <v>1757091</v>
      </c>
    </row>
    <row r="5266" spans="1:1" x14ac:dyDescent="0.25">
      <c r="A5266" s="2">
        <v>1757094</v>
      </c>
    </row>
    <row r="5267" spans="1:1" x14ac:dyDescent="0.25">
      <c r="A5267" s="2">
        <v>1757102</v>
      </c>
    </row>
    <row r="5268" spans="1:1" x14ac:dyDescent="0.25">
      <c r="A5268" s="2">
        <v>1757107</v>
      </c>
    </row>
    <row r="5269" spans="1:1" x14ac:dyDescent="0.25">
      <c r="A5269" s="2">
        <v>1757112</v>
      </c>
    </row>
    <row r="5270" spans="1:1" x14ac:dyDescent="0.25">
      <c r="A5270" s="2">
        <v>1757117</v>
      </c>
    </row>
    <row r="5271" spans="1:1" x14ac:dyDescent="0.25">
      <c r="A5271" s="2">
        <v>1757122</v>
      </c>
    </row>
    <row r="5272" spans="1:1" x14ac:dyDescent="0.25">
      <c r="A5272" s="2">
        <v>1757134</v>
      </c>
    </row>
    <row r="5273" spans="1:1" x14ac:dyDescent="0.25">
      <c r="A5273" s="2">
        <v>1757138</v>
      </c>
    </row>
    <row r="5274" spans="1:1" x14ac:dyDescent="0.25">
      <c r="A5274" s="2">
        <v>1757151</v>
      </c>
    </row>
    <row r="5275" spans="1:1" x14ac:dyDescent="0.25">
      <c r="A5275" s="2">
        <v>1757160</v>
      </c>
    </row>
    <row r="5276" spans="1:1" x14ac:dyDescent="0.25">
      <c r="A5276" s="2">
        <v>1757170</v>
      </c>
    </row>
    <row r="5277" spans="1:1" x14ac:dyDescent="0.25">
      <c r="A5277" s="2">
        <v>1757177</v>
      </c>
    </row>
    <row r="5278" spans="1:1" x14ac:dyDescent="0.25">
      <c r="A5278" s="2">
        <v>1757182</v>
      </c>
    </row>
    <row r="5279" spans="1:1" x14ac:dyDescent="0.25">
      <c r="A5279" s="2">
        <v>1757186</v>
      </c>
    </row>
    <row r="5280" spans="1:1" x14ac:dyDescent="0.25">
      <c r="A5280" s="2">
        <v>1757190</v>
      </c>
    </row>
    <row r="5281" spans="1:1" x14ac:dyDescent="0.25">
      <c r="A5281" s="2">
        <v>1757195</v>
      </c>
    </row>
    <row r="5282" spans="1:1" x14ac:dyDescent="0.25">
      <c r="A5282" s="2">
        <v>1757199</v>
      </c>
    </row>
    <row r="5283" spans="1:1" x14ac:dyDescent="0.25">
      <c r="A5283" s="2">
        <v>1757203</v>
      </c>
    </row>
    <row r="5284" spans="1:1" x14ac:dyDescent="0.25">
      <c r="A5284" s="2">
        <v>1757211</v>
      </c>
    </row>
    <row r="5285" spans="1:1" x14ac:dyDescent="0.25">
      <c r="A5285" s="2">
        <v>1757217</v>
      </c>
    </row>
    <row r="5286" spans="1:1" x14ac:dyDescent="0.25">
      <c r="A5286" s="2">
        <v>1757223</v>
      </c>
    </row>
    <row r="5287" spans="1:1" x14ac:dyDescent="0.25">
      <c r="A5287" s="2">
        <v>1757227</v>
      </c>
    </row>
    <row r="5288" spans="1:1" x14ac:dyDescent="0.25">
      <c r="A5288" s="2">
        <v>1757237</v>
      </c>
    </row>
    <row r="5289" spans="1:1" x14ac:dyDescent="0.25">
      <c r="A5289" s="2">
        <v>1757242</v>
      </c>
    </row>
    <row r="5290" spans="1:1" x14ac:dyDescent="0.25">
      <c r="A5290" s="2">
        <v>1757265</v>
      </c>
    </row>
    <row r="5291" spans="1:1" x14ac:dyDescent="0.25">
      <c r="A5291" s="2">
        <v>1757270</v>
      </c>
    </row>
    <row r="5292" spans="1:1" x14ac:dyDescent="0.25">
      <c r="A5292" s="2">
        <v>1757380</v>
      </c>
    </row>
    <row r="5293" spans="1:1" x14ac:dyDescent="0.25">
      <c r="A5293" s="2">
        <v>1757396</v>
      </c>
    </row>
    <row r="5294" spans="1:1" x14ac:dyDescent="0.25">
      <c r="A5294" s="2">
        <v>1757406</v>
      </c>
    </row>
    <row r="5295" spans="1:1" x14ac:dyDescent="0.25">
      <c r="A5295" s="2">
        <v>1757502</v>
      </c>
    </row>
    <row r="5296" spans="1:1" x14ac:dyDescent="0.25">
      <c r="A5296" s="2">
        <v>1757535</v>
      </c>
    </row>
    <row r="5297" spans="1:1" x14ac:dyDescent="0.25">
      <c r="A5297" s="2">
        <v>1760937</v>
      </c>
    </row>
    <row r="5298" spans="1:1" x14ac:dyDescent="0.25">
      <c r="A5298" s="2">
        <v>1760943</v>
      </c>
    </row>
    <row r="5299" spans="1:1" x14ac:dyDescent="0.25">
      <c r="A5299" s="2">
        <v>1760961</v>
      </c>
    </row>
    <row r="5300" spans="1:1" x14ac:dyDescent="0.25">
      <c r="A5300" s="2">
        <v>1760981</v>
      </c>
    </row>
    <row r="5301" spans="1:1" x14ac:dyDescent="0.25">
      <c r="A5301" s="2">
        <v>1761028</v>
      </c>
    </row>
    <row r="5302" spans="1:1" x14ac:dyDescent="0.25">
      <c r="A5302" s="2">
        <v>1761060</v>
      </c>
    </row>
    <row r="5303" spans="1:1" x14ac:dyDescent="0.25">
      <c r="A5303" s="2">
        <v>1761221</v>
      </c>
    </row>
    <row r="5304" spans="1:1" x14ac:dyDescent="0.25">
      <c r="A5304" s="2">
        <v>1761256</v>
      </c>
    </row>
    <row r="5305" spans="1:1" x14ac:dyDescent="0.25">
      <c r="A5305" s="2">
        <v>1761962</v>
      </c>
    </row>
    <row r="5306" spans="1:1" x14ac:dyDescent="0.25">
      <c r="A5306" s="2">
        <v>1762019</v>
      </c>
    </row>
    <row r="5307" spans="1:1" x14ac:dyDescent="0.25">
      <c r="A5307" s="2">
        <v>1762030</v>
      </c>
    </row>
    <row r="5308" spans="1:1" x14ac:dyDescent="0.25">
      <c r="A5308" s="2">
        <v>1762062</v>
      </c>
    </row>
    <row r="5309" spans="1:1" x14ac:dyDescent="0.25">
      <c r="A5309" s="2">
        <v>1762071</v>
      </c>
    </row>
    <row r="5310" spans="1:1" x14ac:dyDescent="0.25">
      <c r="A5310" s="2">
        <v>1762099</v>
      </c>
    </row>
    <row r="5311" spans="1:1" x14ac:dyDescent="0.25">
      <c r="A5311" s="2">
        <v>1762120</v>
      </c>
    </row>
    <row r="5312" spans="1:1" x14ac:dyDescent="0.25">
      <c r="A5312" s="2">
        <v>1762143</v>
      </c>
    </row>
    <row r="5313" spans="1:1" x14ac:dyDescent="0.25">
      <c r="A5313" s="2">
        <v>1762198</v>
      </c>
    </row>
    <row r="5314" spans="1:1" x14ac:dyDescent="0.25">
      <c r="A5314" s="2">
        <v>1762250</v>
      </c>
    </row>
    <row r="5315" spans="1:1" x14ac:dyDescent="0.25">
      <c r="A5315" s="2">
        <v>1762265</v>
      </c>
    </row>
    <row r="5316" spans="1:1" x14ac:dyDescent="0.25">
      <c r="A5316" s="2">
        <v>1762334</v>
      </c>
    </row>
    <row r="5317" spans="1:1" x14ac:dyDescent="0.25">
      <c r="A5317" s="2">
        <v>1762371</v>
      </c>
    </row>
    <row r="5318" spans="1:1" x14ac:dyDescent="0.25">
      <c r="A5318" s="2">
        <v>1762382</v>
      </c>
    </row>
    <row r="5319" spans="1:1" x14ac:dyDescent="0.25">
      <c r="A5319" s="2">
        <v>1762413</v>
      </c>
    </row>
    <row r="5320" spans="1:1" x14ac:dyDescent="0.25">
      <c r="A5320" s="2">
        <v>1762650</v>
      </c>
    </row>
    <row r="5321" spans="1:1" x14ac:dyDescent="0.25">
      <c r="A5321" s="2">
        <v>1762655</v>
      </c>
    </row>
    <row r="5322" spans="1:1" x14ac:dyDescent="0.25">
      <c r="A5322" s="2">
        <v>1762779</v>
      </c>
    </row>
    <row r="5323" spans="1:1" x14ac:dyDescent="0.25">
      <c r="A5323" s="2">
        <v>1763819</v>
      </c>
    </row>
    <row r="5324" spans="1:1" x14ac:dyDescent="0.25">
      <c r="A5324" s="2">
        <v>1763857</v>
      </c>
    </row>
    <row r="5325" spans="1:1" x14ac:dyDescent="0.25">
      <c r="A5325" s="2">
        <v>1763877</v>
      </c>
    </row>
    <row r="5326" spans="1:1" x14ac:dyDescent="0.25">
      <c r="A5326" s="2">
        <v>1763910</v>
      </c>
    </row>
    <row r="5327" spans="1:1" x14ac:dyDescent="0.25">
      <c r="A5327" s="2">
        <v>1763918</v>
      </c>
    </row>
    <row r="5328" spans="1:1" x14ac:dyDescent="0.25">
      <c r="A5328" s="2">
        <v>1763940</v>
      </c>
    </row>
    <row r="5329" spans="1:1" x14ac:dyDescent="0.25">
      <c r="A5329" s="2">
        <v>1763954</v>
      </c>
    </row>
    <row r="5330" spans="1:1" x14ac:dyDescent="0.25">
      <c r="A5330" s="2">
        <v>1764735</v>
      </c>
    </row>
    <row r="5331" spans="1:1" x14ac:dyDescent="0.25">
      <c r="A5331" s="2">
        <v>1765032</v>
      </c>
    </row>
    <row r="5332" spans="1:1" x14ac:dyDescent="0.25">
      <c r="A5332" s="2">
        <v>1765038</v>
      </c>
    </row>
    <row r="5333" spans="1:1" x14ac:dyDescent="0.25">
      <c r="A5333" s="2">
        <v>1765453</v>
      </c>
    </row>
    <row r="5334" spans="1:1" x14ac:dyDescent="0.25">
      <c r="A5334" s="2">
        <v>1770592</v>
      </c>
    </row>
    <row r="5335" spans="1:1" x14ac:dyDescent="0.25">
      <c r="A5335" s="2">
        <v>1770608</v>
      </c>
    </row>
    <row r="5336" spans="1:1" x14ac:dyDescent="0.25">
      <c r="A5336" s="2">
        <v>1770623</v>
      </c>
    </row>
    <row r="5337" spans="1:1" x14ac:dyDescent="0.25">
      <c r="A5337" s="2">
        <v>1771994</v>
      </c>
    </row>
    <row r="5338" spans="1:1" x14ac:dyDescent="0.25">
      <c r="A5338" s="2">
        <v>1780661</v>
      </c>
    </row>
    <row r="5339" spans="1:1" x14ac:dyDescent="0.25">
      <c r="A5339" s="2">
        <v>1780685</v>
      </c>
    </row>
    <row r="5340" spans="1:1" x14ac:dyDescent="0.25">
      <c r="A5340" s="2">
        <v>1780694</v>
      </c>
    </row>
    <row r="5341" spans="1:1" x14ac:dyDescent="0.25">
      <c r="A5341" s="2">
        <v>1780744</v>
      </c>
    </row>
    <row r="5342" spans="1:1" x14ac:dyDescent="0.25">
      <c r="A5342" s="2">
        <v>1783321</v>
      </c>
    </row>
    <row r="5343" spans="1:1" x14ac:dyDescent="0.25">
      <c r="A5343" s="2">
        <v>1785504</v>
      </c>
    </row>
    <row r="5344" spans="1:1" x14ac:dyDescent="0.25">
      <c r="A5344" s="2">
        <v>1785515</v>
      </c>
    </row>
    <row r="5345" spans="1:1" x14ac:dyDescent="0.25">
      <c r="A5345" s="2">
        <v>1789466</v>
      </c>
    </row>
    <row r="5346" spans="1:1" x14ac:dyDescent="0.25">
      <c r="A5346" s="2">
        <v>1789467</v>
      </c>
    </row>
    <row r="5347" spans="1:1" x14ac:dyDescent="0.25">
      <c r="A5347" s="2">
        <v>1789479</v>
      </c>
    </row>
    <row r="5348" spans="1:1" x14ac:dyDescent="0.25">
      <c r="A5348" s="2">
        <v>1789485</v>
      </c>
    </row>
    <row r="5349" spans="1:1" x14ac:dyDescent="0.25">
      <c r="A5349" s="2">
        <v>1789494</v>
      </c>
    </row>
    <row r="5350" spans="1:1" x14ac:dyDescent="0.25">
      <c r="A5350" s="2">
        <v>1789500</v>
      </c>
    </row>
    <row r="5351" spans="1:1" x14ac:dyDescent="0.25">
      <c r="A5351" s="2">
        <v>1790694</v>
      </c>
    </row>
    <row r="5352" spans="1:1" x14ac:dyDescent="0.25">
      <c r="A5352" s="2">
        <v>1791787</v>
      </c>
    </row>
    <row r="5353" spans="1:1" x14ac:dyDescent="0.25">
      <c r="A5353" s="2">
        <v>1791807</v>
      </c>
    </row>
    <row r="5354" spans="1:1" x14ac:dyDescent="0.25">
      <c r="A5354" s="2">
        <v>1791818</v>
      </c>
    </row>
    <row r="5355" spans="1:1" x14ac:dyDescent="0.25">
      <c r="A5355" s="2">
        <v>1791839</v>
      </c>
    </row>
    <row r="5356" spans="1:1" x14ac:dyDescent="0.25">
      <c r="A5356" s="2">
        <v>1791967</v>
      </c>
    </row>
    <row r="5357" spans="1:1" x14ac:dyDescent="0.25">
      <c r="A5357" s="2">
        <v>1791972</v>
      </c>
    </row>
    <row r="5358" spans="1:1" x14ac:dyDescent="0.25">
      <c r="A5358" s="2">
        <v>1796340</v>
      </c>
    </row>
    <row r="5359" spans="1:1" x14ac:dyDescent="0.25">
      <c r="A5359" s="2">
        <v>1796351</v>
      </c>
    </row>
    <row r="5360" spans="1:1" x14ac:dyDescent="0.25">
      <c r="A5360" s="2">
        <v>1796527</v>
      </c>
    </row>
    <row r="5361" spans="1:1" x14ac:dyDescent="0.25">
      <c r="A5361" s="2">
        <v>1796539</v>
      </c>
    </row>
    <row r="5362" spans="1:1" x14ac:dyDescent="0.25">
      <c r="A5362" s="2">
        <v>1796578</v>
      </c>
    </row>
    <row r="5363" spans="1:1" x14ac:dyDescent="0.25">
      <c r="A5363" s="2">
        <v>1796593</v>
      </c>
    </row>
    <row r="5364" spans="1:1" x14ac:dyDescent="0.25">
      <c r="A5364" s="2">
        <v>1796607</v>
      </c>
    </row>
    <row r="5365" spans="1:1" x14ac:dyDescent="0.25">
      <c r="A5365" s="2">
        <v>1796629</v>
      </c>
    </row>
    <row r="5366" spans="1:1" x14ac:dyDescent="0.25">
      <c r="A5366" s="2">
        <v>1796779</v>
      </c>
    </row>
    <row r="5367" spans="1:1" x14ac:dyDescent="0.25">
      <c r="A5367" s="2">
        <v>1796815</v>
      </c>
    </row>
    <row r="5368" spans="1:1" x14ac:dyDescent="0.25">
      <c r="A5368" s="2">
        <v>1797143</v>
      </c>
    </row>
    <row r="5369" spans="1:1" x14ac:dyDescent="0.25">
      <c r="A5369" s="2">
        <v>1797345</v>
      </c>
    </row>
    <row r="5370" spans="1:1" x14ac:dyDescent="0.25">
      <c r="A5370" s="2">
        <v>1797387</v>
      </c>
    </row>
    <row r="5371" spans="1:1" x14ac:dyDescent="0.25">
      <c r="A5371" s="2">
        <v>1797401</v>
      </c>
    </row>
    <row r="5372" spans="1:1" x14ac:dyDescent="0.25">
      <c r="A5372" s="2">
        <v>1797417</v>
      </c>
    </row>
    <row r="5373" spans="1:1" x14ac:dyDescent="0.25">
      <c r="A5373" s="2">
        <v>1797437</v>
      </c>
    </row>
    <row r="5374" spans="1:1" x14ac:dyDescent="0.25">
      <c r="A5374" s="2">
        <v>1797462</v>
      </c>
    </row>
    <row r="5375" spans="1:1" x14ac:dyDescent="0.25">
      <c r="A5375" s="2">
        <v>1797491</v>
      </c>
    </row>
    <row r="5376" spans="1:1" x14ac:dyDescent="0.25">
      <c r="A5376" s="2">
        <v>1797846</v>
      </c>
    </row>
    <row r="5377" spans="1:1" x14ac:dyDescent="0.25">
      <c r="A5377" s="2">
        <v>1797857</v>
      </c>
    </row>
    <row r="5378" spans="1:1" x14ac:dyDescent="0.25">
      <c r="A5378" s="2">
        <v>1797864</v>
      </c>
    </row>
    <row r="5379" spans="1:1" x14ac:dyDescent="0.25">
      <c r="A5379" s="2">
        <v>1797875</v>
      </c>
    </row>
    <row r="5380" spans="1:1" x14ac:dyDescent="0.25">
      <c r="A5380" s="2">
        <v>1797893</v>
      </c>
    </row>
    <row r="5381" spans="1:1" x14ac:dyDescent="0.25">
      <c r="A5381" s="2">
        <v>1797894</v>
      </c>
    </row>
    <row r="5382" spans="1:1" x14ac:dyDescent="0.25">
      <c r="A5382" s="2">
        <v>1797899</v>
      </c>
    </row>
    <row r="5383" spans="1:1" x14ac:dyDescent="0.25">
      <c r="A5383" s="2">
        <v>1797910</v>
      </c>
    </row>
    <row r="5384" spans="1:1" x14ac:dyDescent="0.25">
      <c r="A5384" s="2">
        <v>1798359</v>
      </c>
    </row>
    <row r="5385" spans="1:1" x14ac:dyDescent="0.25">
      <c r="A5385" s="2">
        <v>1802108</v>
      </c>
    </row>
    <row r="5386" spans="1:1" x14ac:dyDescent="0.25">
      <c r="A5386" s="2">
        <v>1802122</v>
      </c>
    </row>
    <row r="5387" spans="1:1" x14ac:dyDescent="0.25">
      <c r="A5387" s="2">
        <v>1802132</v>
      </c>
    </row>
    <row r="5388" spans="1:1" x14ac:dyDescent="0.25">
      <c r="A5388" s="2">
        <v>1802136</v>
      </c>
    </row>
    <row r="5389" spans="1:1" x14ac:dyDescent="0.25">
      <c r="A5389" s="2">
        <v>1803815</v>
      </c>
    </row>
    <row r="5390" spans="1:1" x14ac:dyDescent="0.25">
      <c r="A5390" s="2">
        <v>1803824</v>
      </c>
    </row>
    <row r="5391" spans="1:1" x14ac:dyDescent="0.25">
      <c r="A5391" s="2">
        <v>1803836</v>
      </c>
    </row>
    <row r="5392" spans="1:1" x14ac:dyDescent="0.25">
      <c r="A5392" s="2">
        <v>1803881</v>
      </c>
    </row>
    <row r="5393" spans="1:1" x14ac:dyDescent="0.25">
      <c r="A5393" s="2">
        <v>1803888</v>
      </c>
    </row>
    <row r="5394" spans="1:1" x14ac:dyDescent="0.25">
      <c r="A5394" s="2">
        <v>1804949</v>
      </c>
    </row>
    <row r="5395" spans="1:1" x14ac:dyDescent="0.25">
      <c r="A5395" s="2">
        <v>1806461</v>
      </c>
    </row>
    <row r="5396" spans="1:1" x14ac:dyDescent="0.25">
      <c r="A5396" s="2">
        <v>1807730</v>
      </c>
    </row>
    <row r="5397" spans="1:1" x14ac:dyDescent="0.25">
      <c r="A5397" s="2">
        <v>1807739</v>
      </c>
    </row>
    <row r="5398" spans="1:1" x14ac:dyDescent="0.25">
      <c r="A5398" s="2">
        <v>1808622</v>
      </c>
    </row>
    <row r="5399" spans="1:1" x14ac:dyDescent="0.25">
      <c r="A5399" s="2">
        <v>1808899</v>
      </c>
    </row>
    <row r="5400" spans="1:1" x14ac:dyDescent="0.25">
      <c r="A5400" s="2">
        <v>1810123</v>
      </c>
    </row>
    <row r="5401" spans="1:1" x14ac:dyDescent="0.25">
      <c r="A5401" s="2">
        <v>1810201</v>
      </c>
    </row>
    <row r="5402" spans="1:1" x14ac:dyDescent="0.25">
      <c r="A5402" s="2">
        <v>1811151</v>
      </c>
    </row>
    <row r="5403" spans="1:1" x14ac:dyDescent="0.25">
      <c r="A5403" s="2">
        <v>1811156</v>
      </c>
    </row>
    <row r="5404" spans="1:1" x14ac:dyDescent="0.25">
      <c r="A5404" s="2">
        <v>1812047</v>
      </c>
    </row>
    <row r="5405" spans="1:1" x14ac:dyDescent="0.25">
      <c r="A5405" s="2">
        <v>1812048</v>
      </c>
    </row>
    <row r="5406" spans="1:1" x14ac:dyDescent="0.25">
      <c r="A5406" s="2">
        <v>1812094</v>
      </c>
    </row>
    <row r="5407" spans="1:1" x14ac:dyDescent="0.25">
      <c r="A5407" s="2">
        <v>1812551</v>
      </c>
    </row>
    <row r="5408" spans="1:1" x14ac:dyDescent="0.25">
      <c r="A5408" s="2">
        <v>1812565</v>
      </c>
    </row>
    <row r="5409" spans="1:1" x14ac:dyDescent="0.25">
      <c r="A5409" s="2">
        <v>1812577</v>
      </c>
    </row>
    <row r="5410" spans="1:1" x14ac:dyDescent="0.25">
      <c r="A5410" s="2">
        <v>1812580</v>
      </c>
    </row>
    <row r="5411" spans="1:1" x14ac:dyDescent="0.25">
      <c r="A5411" s="2">
        <v>1813576</v>
      </c>
    </row>
    <row r="5412" spans="1:1" x14ac:dyDescent="0.25">
      <c r="A5412" s="2">
        <v>1813584</v>
      </c>
    </row>
    <row r="5413" spans="1:1" x14ac:dyDescent="0.25">
      <c r="A5413" s="2">
        <v>1813586</v>
      </c>
    </row>
    <row r="5414" spans="1:1" x14ac:dyDescent="0.25">
      <c r="A5414" s="2">
        <v>1813587</v>
      </c>
    </row>
    <row r="5415" spans="1:1" x14ac:dyDescent="0.25">
      <c r="A5415" s="2">
        <v>1813604</v>
      </c>
    </row>
    <row r="5416" spans="1:1" x14ac:dyDescent="0.25">
      <c r="A5416" s="2">
        <v>1815147</v>
      </c>
    </row>
    <row r="5417" spans="1:1" x14ac:dyDescent="0.25">
      <c r="A5417" s="2">
        <v>1815164</v>
      </c>
    </row>
    <row r="5418" spans="1:1" x14ac:dyDescent="0.25">
      <c r="A5418" s="2">
        <v>1815168</v>
      </c>
    </row>
    <row r="5419" spans="1:1" x14ac:dyDescent="0.25">
      <c r="A5419" s="2">
        <v>1815172</v>
      </c>
    </row>
    <row r="5420" spans="1:1" x14ac:dyDescent="0.25">
      <c r="A5420" s="2">
        <v>1815199</v>
      </c>
    </row>
    <row r="5421" spans="1:1" x14ac:dyDescent="0.25">
      <c r="A5421" s="2">
        <v>1815331</v>
      </c>
    </row>
    <row r="5422" spans="1:1" x14ac:dyDescent="0.25">
      <c r="A5422" s="2">
        <v>1815348</v>
      </c>
    </row>
    <row r="5423" spans="1:1" x14ac:dyDescent="0.25">
      <c r="A5423" s="2">
        <v>1817674</v>
      </c>
    </row>
    <row r="5424" spans="1:1" x14ac:dyDescent="0.25">
      <c r="A5424" s="2">
        <v>1819007</v>
      </c>
    </row>
    <row r="5425" spans="1:1" x14ac:dyDescent="0.25">
      <c r="A5425" s="2">
        <v>1819018</v>
      </c>
    </row>
    <row r="5426" spans="1:1" x14ac:dyDescent="0.25">
      <c r="A5426" s="2">
        <v>1819073</v>
      </c>
    </row>
    <row r="5427" spans="1:1" x14ac:dyDescent="0.25">
      <c r="A5427" s="2">
        <v>1819103</v>
      </c>
    </row>
    <row r="5428" spans="1:1" x14ac:dyDescent="0.25">
      <c r="A5428" s="2">
        <v>1819130</v>
      </c>
    </row>
    <row r="5429" spans="1:1" x14ac:dyDescent="0.25">
      <c r="A5429" s="2">
        <v>1819179</v>
      </c>
    </row>
    <row r="5430" spans="1:1" x14ac:dyDescent="0.25">
      <c r="A5430" s="2">
        <v>1819808</v>
      </c>
    </row>
    <row r="5431" spans="1:1" x14ac:dyDescent="0.25">
      <c r="A5431" s="2">
        <v>1820460</v>
      </c>
    </row>
    <row r="5432" spans="1:1" x14ac:dyDescent="0.25">
      <c r="A5432" s="2">
        <v>1820462</v>
      </c>
    </row>
    <row r="5433" spans="1:1" x14ac:dyDescent="0.25">
      <c r="A5433" s="2">
        <v>1820477</v>
      </c>
    </row>
    <row r="5434" spans="1:1" x14ac:dyDescent="0.25">
      <c r="A5434" s="2">
        <v>1822981</v>
      </c>
    </row>
    <row r="5435" spans="1:1" x14ac:dyDescent="0.25">
      <c r="A5435" s="2">
        <v>1824379</v>
      </c>
    </row>
    <row r="5436" spans="1:1" x14ac:dyDescent="0.25">
      <c r="A5436" s="2">
        <v>1824388</v>
      </c>
    </row>
    <row r="5437" spans="1:1" x14ac:dyDescent="0.25">
      <c r="A5437" s="2">
        <v>1824394</v>
      </c>
    </row>
    <row r="5438" spans="1:1" x14ac:dyDescent="0.25">
      <c r="A5438" s="2">
        <v>1824399</v>
      </c>
    </row>
    <row r="5439" spans="1:1" x14ac:dyDescent="0.25">
      <c r="A5439" s="2">
        <v>1824414</v>
      </c>
    </row>
    <row r="5440" spans="1:1" x14ac:dyDescent="0.25">
      <c r="A5440" s="2">
        <v>1824425</v>
      </c>
    </row>
    <row r="5441" spans="1:1" x14ac:dyDescent="0.25">
      <c r="A5441" s="2">
        <v>1824435</v>
      </c>
    </row>
    <row r="5442" spans="1:1" x14ac:dyDescent="0.25">
      <c r="A5442" s="2">
        <v>1824448</v>
      </c>
    </row>
    <row r="5443" spans="1:1" x14ac:dyDescent="0.25">
      <c r="A5443" s="2">
        <v>1825897</v>
      </c>
    </row>
    <row r="5444" spans="1:1" x14ac:dyDescent="0.25">
      <c r="A5444" s="2">
        <v>1825996</v>
      </c>
    </row>
    <row r="5445" spans="1:1" x14ac:dyDescent="0.25">
      <c r="A5445" s="2">
        <v>1826007</v>
      </c>
    </row>
    <row r="5446" spans="1:1" x14ac:dyDescent="0.25">
      <c r="A5446" s="2">
        <v>1826318</v>
      </c>
    </row>
    <row r="5447" spans="1:1" x14ac:dyDescent="0.25">
      <c r="A5447" s="2">
        <v>1827940</v>
      </c>
    </row>
    <row r="5448" spans="1:1" x14ac:dyDescent="0.25">
      <c r="A5448" s="2">
        <v>1827948</v>
      </c>
    </row>
    <row r="5449" spans="1:1" x14ac:dyDescent="0.25">
      <c r="A5449" s="2">
        <v>1827971</v>
      </c>
    </row>
    <row r="5450" spans="1:1" x14ac:dyDescent="0.25">
      <c r="A5450" s="2">
        <v>1831177</v>
      </c>
    </row>
    <row r="5451" spans="1:1" x14ac:dyDescent="0.25">
      <c r="A5451" s="2">
        <v>1831185</v>
      </c>
    </row>
    <row r="5452" spans="1:1" x14ac:dyDescent="0.25">
      <c r="A5452" s="2">
        <v>1831205</v>
      </c>
    </row>
    <row r="5453" spans="1:1" x14ac:dyDescent="0.25">
      <c r="A5453" s="2">
        <v>1831224</v>
      </c>
    </row>
    <row r="5454" spans="1:1" x14ac:dyDescent="0.25">
      <c r="A5454" s="2">
        <v>1831247</v>
      </c>
    </row>
    <row r="5455" spans="1:1" x14ac:dyDescent="0.25">
      <c r="A5455" s="2">
        <v>1831880</v>
      </c>
    </row>
    <row r="5456" spans="1:1" x14ac:dyDescent="0.25">
      <c r="A5456" s="2">
        <v>1831888</v>
      </c>
    </row>
    <row r="5457" spans="1:1" x14ac:dyDescent="0.25">
      <c r="A5457" s="2">
        <v>1831911</v>
      </c>
    </row>
    <row r="5458" spans="1:1" x14ac:dyDescent="0.25">
      <c r="A5458" s="2">
        <v>1834979</v>
      </c>
    </row>
    <row r="5459" spans="1:1" x14ac:dyDescent="0.25">
      <c r="A5459" s="2">
        <v>1835024</v>
      </c>
    </row>
    <row r="5460" spans="1:1" x14ac:dyDescent="0.25">
      <c r="A5460" s="2">
        <v>1835632</v>
      </c>
    </row>
    <row r="5461" spans="1:1" x14ac:dyDescent="0.25">
      <c r="A5461" s="2">
        <v>1835660</v>
      </c>
    </row>
    <row r="5462" spans="1:1" x14ac:dyDescent="0.25">
      <c r="A5462" s="2">
        <v>1835717</v>
      </c>
    </row>
    <row r="5463" spans="1:1" x14ac:dyDescent="0.25">
      <c r="A5463" s="2">
        <v>1835745</v>
      </c>
    </row>
    <row r="5464" spans="1:1" x14ac:dyDescent="0.25">
      <c r="A5464" s="2">
        <v>1835749</v>
      </c>
    </row>
    <row r="5465" spans="1:1" x14ac:dyDescent="0.25">
      <c r="A5465" s="2">
        <v>1837088</v>
      </c>
    </row>
    <row r="5466" spans="1:1" x14ac:dyDescent="0.25">
      <c r="A5466" s="2">
        <v>1837095</v>
      </c>
    </row>
    <row r="5467" spans="1:1" x14ac:dyDescent="0.25">
      <c r="A5467" s="2">
        <v>1837105</v>
      </c>
    </row>
    <row r="5468" spans="1:1" x14ac:dyDescent="0.25">
      <c r="A5468" s="2">
        <v>1842312</v>
      </c>
    </row>
    <row r="5469" spans="1:1" x14ac:dyDescent="0.25">
      <c r="A5469" s="2">
        <v>1842313</v>
      </c>
    </row>
    <row r="5470" spans="1:1" x14ac:dyDescent="0.25">
      <c r="A5470" s="2">
        <v>1842323</v>
      </c>
    </row>
    <row r="5471" spans="1:1" x14ac:dyDescent="0.25">
      <c r="A5471" s="2">
        <v>1842341</v>
      </c>
    </row>
    <row r="5472" spans="1:1" x14ac:dyDescent="0.25">
      <c r="A5472" s="2">
        <v>1847354</v>
      </c>
    </row>
    <row r="5473" spans="1:1" x14ac:dyDescent="0.25">
      <c r="A5473" s="2">
        <v>1847362</v>
      </c>
    </row>
    <row r="5474" spans="1:1" x14ac:dyDescent="0.25">
      <c r="A5474" s="2">
        <v>1847592</v>
      </c>
    </row>
    <row r="5475" spans="1:1" x14ac:dyDescent="0.25">
      <c r="A5475" s="2">
        <v>1847598</v>
      </c>
    </row>
    <row r="5476" spans="1:1" x14ac:dyDescent="0.25">
      <c r="A5476" s="2">
        <v>1850554</v>
      </c>
    </row>
    <row r="5477" spans="1:1" x14ac:dyDescent="0.25">
      <c r="A5477" s="2">
        <v>1850591</v>
      </c>
    </row>
    <row r="5478" spans="1:1" x14ac:dyDescent="0.25">
      <c r="A5478" s="2">
        <v>1853430</v>
      </c>
    </row>
    <row r="5479" spans="1:1" x14ac:dyDescent="0.25">
      <c r="A5479" s="2">
        <v>1853434</v>
      </c>
    </row>
    <row r="5480" spans="1:1" x14ac:dyDescent="0.25">
      <c r="A5480" s="2">
        <v>1853435</v>
      </c>
    </row>
    <row r="5481" spans="1:1" x14ac:dyDescent="0.25">
      <c r="A5481" s="2">
        <v>1853443</v>
      </c>
    </row>
    <row r="5482" spans="1:1" x14ac:dyDescent="0.25">
      <c r="A5482" s="2">
        <v>1853446</v>
      </c>
    </row>
    <row r="5483" spans="1:1" x14ac:dyDescent="0.25">
      <c r="A5483" s="2">
        <v>1853454</v>
      </c>
    </row>
    <row r="5484" spans="1:1" x14ac:dyDescent="0.25">
      <c r="A5484" s="2">
        <v>1853486</v>
      </c>
    </row>
    <row r="5485" spans="1:1" x14ac:dyDescent="0.25">
      <c r="A5485" s="2">
        <v>1853888</v>
      </c>
    </row>
    <row r="5486" spans="1:1" x14ac:dyDescent="0.25">
      <c r="A5486" s="2">
        <v>1854774</v>
      </c>
    </row>
    <row r="5487" spans="1:1" x14ac:dyDescent="0.25">
      <c r="A5487" s="2">
        <v>1854776</v>
      </c>
    </row>
    <row r="5488" spans="1:1" x14ac:dyDescent="0.25">
      <c r="A5488" s="2">
        <v>1854793</v>
      </c>
    </row>
    <row r="5489" spans="1:1" x14ac:dyDescent="0.25">
      <c r="A5489" s="2">
        <v>1854794</v>
      </c>
    </row>
    <row r="5490" spans="1:1" x14ac:dyDescent="0.25">
      <c r="A5490" s="2">
        <v>1854798</v>
      </c>
    </row>
    <row r="5491" spans="1:1" x14ac:dyDescent="0.25">
      <c r="A5491" s="2">
        <v>1854803</v>
      </c>
    </row>
    <row r="5492" spans="1:1" x14ac:dyDescent="0.25">
      <c r="A5492" s="2">
        <v>1854805</v>
      </c>
    </row>
    <row r="5493" spans="1:1" x14ac:dyDescent="0.25">
      <c r="A5493" s="2">
        <v>1854807</v>
      </c>
    </row>
    <row r="5494" spans="1:1" x14ac:dyDescent="0.25">
      <c r="A5494" s="2">
        <v>1854808</v>
      </c>
    </row>
    <row r="5495" spans="1:1" x14ac:dyDescent="0.25">
      <c r="A5495" s="2">
        <v>1854812</v>
      </c>
    </row>
    <row r="5496" spans="1:1" x14ac:dyDescent="0.25">
      <c r="A5496" s="2">
        <v>1854813</v>
      </c>
    </row>
    <row r="5497" spans="1:1" x14ac:dyDescent="0.25">
      <c r="A5497" s="2">
        <v>1854814</v>
      </c>
    </row>
    <row r="5498" spans="1:1" x14ac:dyDescent="0.25">
      <c r="A5498" s="2">
        <v>1854816</v>
      </c>
    </row>
    <row r="5499" spans="1:1" x14ac:dyDescent="0.25">
      <c r="A5499" s="2">
        <v>1854817</v>
      </c>
    </row>
    <row r="5500" spans="1:1" x14ac:dyDescent="0.25">
      <c r="A5500" s="2">
        <v>1854818</v>
      </c>
    </row>
    <row r="5501" spans="1:1" x14ac:dyDescent="0.25">
      <c r="A5501" s="2">
        <v>1854820</v>
      </c>
    </row>
    <row r="5502" spans="1:1" x14ac:dyDescent="0.25">
      <c r="A5502" s="2">
        <v>1854824</v>
      </c>
    </row>
    <row r="5503" spans="1:1" x14ac:dyDescent="0.25">
      <c r="A5503" s="2">
        <v>1854828</v>
      </c>
    </row>
    <row r="5504" spans="1:1" x14ac:dyDescent="0.25">
      <c r="A5504" s="2">
        <v>1854830</v>
      </c>
    </row>
    <row r="5505" spans="1:1" x14ac:dyDescent="0.25">
      <c r="A5505" s="2">
        <v>1854831</v>
      </c>
    </row>
    <row r="5506" spans="1:1" x14ac:dyDescent="0.25">
      <c r="A5506" s="2">
        <v>1854832</v>
      </c>
    </row>
    <row r="5507" spans="1:1" x14ac:dyDescent="0.25">
      <c r="A5507" s="2">
        <v>1854833</v>
      </c>
    </row>
    <row r="5508" spans="1:1" x14ac:dyDescent="0.25">
      <c r="A5508" s="2">
        <v>1854837</v>
      </c>
    </row>
    <row r="5509" spans="1:1" x14ac:dyDescent="0.25">
      <c r="A5509" s="2">
        <v>1854838</v>
      </c>
    </row>
    <row r="5510" spans="1:1" x14ac:dyDescent="0.25">
      <c r="A5510" s="2">
        <v>1854839</v>
      </c>
    </row>
    <row r="5511" spans="1:1" x14ac:dyDescent="0.25">
      <c r="A5511" s="2">
        <v>1854853</v>
      </c>
    </row>
    <row r="5512" spans="1:1" x14ac:dyDescent="0.25">
      <c r="A5512" s="2">
        <v>1854855</v>
      </c>
    </row>
    <row r="5513" spans="1:1" x14ac:dyDescent="0.25">
      <c r="A5513" s="2">
        <v>1854856</v>
      </c>
    </row>
    <row r="5514" spans="1:1" x14ac:dyDescent="0.25">
      <c r="A5514" s="2">
        <v>1854858</v>
      </c>
    </row>
    <row r="5515" spans="1:1" x14ac:dyDescent="0.25">
      <c r="A5515" s="2">
        <v>1854860</v>
      </c>
    </row>
    <row r="5516" spans="1:1" x14ac:dyDescent="0.25">
      <c r="A5516" s="2">
        <v>1854862</v>
      </c>
    </row>
    <row r="5517" spans="1:1" x14ac:dyDescent="0.25">
      <c r="A5517" s="2">
        <v>1854865</v>
      </c>
    </row>
    <row r="5518" spans="1:1" x14ac:dyDescent="0.25">
      <c r="A5518" s="2">
        <v>1854876</v>
      </c>
    </row>
    <row r="5519" spans="1:1" x14ac:dyDescent="0.25">
      <c r="A5519" s="2">
        <v>1854878</v>
      </c>
    </row>
    <row r="5520" spans="1:1" x14ac:dyDescent="0.25">
      <c r="A5520" s="2">
        <v>1854879</v>
      </c>
    </row>
    <row r="5521" spans="1:1" x14ac:dyDescent="0.25">
      <c r="A5521" s="2">
        <v>1854881</v>
      </c>
    </row>
    <row r="5522" spans="1:1" x14ac:dyDescent="0.25">
      <c r="A5522" s="2">
        <v>1854883</v>
      </c>
    </row>
    <row r="5523" spans="1:1" x14ac:dyDescent="0.25">
      <c r="A5523" s="2">
        <v>1854885</v>
      </c>
    </row>
    <row r="5524" spans="1:1" x14ac:dyDescent="0.25">
      <c r="A5524" s="2">
        <v>1854888</v>
      </c>
    </row>
    <row r="5525" spans="1:1" x14ac:dyDescent="0.25">
      <c r="A5525" s="2">
        <v>1854918</v>
      </c>
    </row>
    <row r="5526" spans="1:1" x14ac:dyDescent="0.25">
      <c r="A5526" s="2" t="s">
        <v>60493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2EA0A-A9D4-A94E-A56A-F6828E040915}">
  <dimension ref="A1:L9808"/>
  <sheetViews>
    <sheetView tabSelected="1" workbookViewId="0">
      <pane ySplit="1" topLeftCell="A2" activePane="bottomLeft" state="frozen"/>
      <selection pane="bottomLeft" activeCell="G10" sqref="G10"/>
    </sheetView>
  </sheetViews>
  <sheetFormatPr defaultColWidth="11" defaultRowHeight="15.75" x14ac:dyDescent="0.25"/>
  <cols>
    <col min="1" max="1" width="15.875" customWidth="1"/>
    <col min="2" max="2" width="15.625" customWidth="1"/>
    <col min="3" max="3" width="15.5" customWidth="1"/>
    <col min="4" max="4" width="24.5" customWidth="1"/>
    <col min="5" max="5" width="11.875" customWidth="1"/>
    <col min="6" max="6" width="12" customWidth="1"/>
    <col min="7" max="7" width="11.125" customWidth="1"/>
    <col min="8" max="8" width="10" customWidth="1"/>
    <col min="9" max="9" width="15" customWidth="1"/>
    <col min="10" max="10" width="34.875" customWidth="1"/>
    <col min="11" max="11" width="27.875" customWidth="1"/>
    <col min="12" max="12" width="39" customWidth="1"/>
  </cols>
  <sheetData>
    <row r="1" spans="1:12" x14ac:dyDescent="0.25">
      <c r="A1" t="s">
        <v>0</v>
      </c>
      <c r="B1" t="s">
        <v>1</v>
      </c>
      <c r="C1" t="s">
        <v>3</v>
      </c>
      <c r="D1" t="s">
        <v>4</v>
      </c>
      <c r="E1" t="s">
        <v>5</v>
      </c>
      <c r="F1" t="s">
        <v>6</v>
      </c>
      <c r="G1" t="s">
        <v>7</v>
      </c>
      <c r="H1" t="s">
        <v>8</v>
      </c>
      <c r="I1" t="s">
        <v>9</v>
      </c>
      <c r="J1" t="s">
        <v>10</v>
      </c>
      <c r="K1" t="s">
        <v>11</v>
      </c>
      <c r="L1" t="s">
        <v>2</v>
      </c>
    </row>
    <row r="2" spans="1:12" x14ac:dyDescent="0.25">
      <c r="A2">
        <v>155191</v>
      </c>
      <c r="B2">
        <v>155273</v>
      </c>
      <c r="D2">
        <v>0</v>
      </c>
      <c r="F2">
        <v>138086</v>
      </c>
      <c r="G2">
        <v>155273</v>
      </c>
      <c r="H2" t="e" vm="1">
        <f>_FV(0,"03")</f>
        <v>#VALUE!</v>
      </c>
      <c r="I2">
        <v>155191</v>
      </c>
      <c r="J2" t="s">
        <v>12</v>
      </c>
      <c r="K2" t="s">
        <v>13</v>
      </c>
      <c r="L2" t="e" vm="1">
        <f>_FV(0,"03")</f>
        <v>#VALUE!</v>
      </c>
    </row>
    <row r="3" spans="1:12" x14ac:dyDescent="0.25">
      <c r="A3">
        <v>155191</v>
      </c>
      <c r="B3">
        <v>351348</v>
      </c>
      <c r="D3">
        <v>0</v>
      </c>
      <c r="E3" t="s">
        <v>15</v>
      </c>
      <c r="F3" t="s">
        <v>16</v>
      </c>
      <c r="G3" t="s">
        <v>17</v>
      </c>
      <c r="H3" t="s">
        <v>18</v>
      </c>
      <c r="I3" t="s">
        <v>19</v>
      </c>
      <c r="J3" t="s">
        <v>20</v>
      </c>
      <c r="K3" t="s">
        <v>21</v>
      </c>
      <c r="L3" t="s">
        <v>14</v>
      </c>
    </row>
    <row r="4" spans="1:12" x14ac:dyDescent="0.25">
      <c r="A4">
        <v>155191</v>
      </c>
      <c r="B4">
        <v>155201</v>
      </c>
      <c r="D4">
        <v>0</v>
      </c>
      <c r="E4" t="s">
        <v>23</v>
      </c>
      <c r="F4" t="s">
        <v>24</v>
      </c>
      <c r="G4" t="s">
        <v>25</v>
      </c>
      <c r="H4" t="s">
        <v>26</v>
      </c>
      <c r="I4" t="s">
        <v>27</v>
      </c>
      <c r="J4" t="s">
        <v>28</v>
      </c>
      <c r="K4" t="s">
        <v>29</v>
      </c>
      <c r="L4" t="s">
        <v>22</v>
      </c>
    </row>
    <row r="5" spans="1:12" x14ac:dyDescent="0.25">
      <c r="A5">
        <v>155201</v>
      </c>
      <c r="B5">
        <v>155289</v>
      </c>
      <c r="D5">
        <v>0</v>
      </c>
      <c r="F5">
        <v>138110</v>
      </c>
      <c r="G5">
        <v>155201</v>
      </c>
      <c r="H5" t="s">
        <v>30</v>
      </c>
      <c r="I5">
        <v>155289</v>
      </c>
      <c r="J5" t="s">
        <v>30</v>
      </c>
      <c r="K5" t="s">
        <v>31</v>
      </c>
      <c r="L5" t="s">
        <v>30</v>
      </c>
    </row>
    <row r="6" spans="1:12" x14ac:dyDescent="0.25">
      <c r="A6">
        <v>155201</v>
      </c>
      <c r="B6">
        <v>351618</v>
      </c>
      <c r="D6">
        <v>0</v>
      </c>
      <c r="E6" t="s">
        <v>33</v>
      </c>
      <c r="F6" t="s">
        <v>34</v>
      </c>
      <c r="G6" t="s">
        <v>35</v>
      </c>
      <c r="H6" t="s">
        <v>36</v>
      </c>
      <c r="I6" t="s">
        <v>37</v>
      </c>
      <c r="J6" t="s">
        <v>32</v>
      </c>
      <c r="K6" t="s">
        <v>38</v>
      </c>
      <c r="L6" t="s">
        <v>32</v>
      </c>
    </row>
    <row r="7" spans="1:12" x14ac:dyDescent="0.25">
      <c r="A7">
        <v>155273</v>
      </c>
      <c r="B7">
        <v>155289</v>
      </c>
      <c r="D7">
        <v>0</v>
      </c>
      <c r="E7" t="s">
        <v>40</v>
      </c>
      <c r="F7" t="s">
        <v>41</v>
      </c>
      <c r="G7" t="s">
        <v>42</v>
      </c>
      <c r="H7" t="e" vm="2">
        <f>_FV(0,"013852984397214746")</f>
        <v>#VALUE!</v>
      </c>
      <c r="I7" t="s">
        <v>43</v>
      </c>
      <c r="J7" t="s">
        <v>44</v>
      </c>
      <c r="K7" t="s">
        <v>45</v>
      </c>
      <c r="L7" t="s">
        <v>39</v>
      </c>
    </row>
    <row r="8" spans="1:12" x14ac:dyDescent="0.25">
      <c r="A8">
        <v>155273</v>
      </c>
      <c r="B8">
        <v>191524</v>
      </c>
      <c r="D8">
        <v>0</v>
      </c>
      <c r="E8" t="s">
        <v>47</v>
      </c>
      <c r="F8" t="s">
        <v>48</v>
      </c>
      <c r="G8" t="s">
        <v>49</v>
      </c>
      <c r="H8" t="e" vm="3">
        <f>_FV(0,"031030820352777287")</f>
        <v>#VALUE!</v>
      </c>
      <c r="I8" t="s">
        <v>50</v>
      </c>
      <c r="J8" t="s">
        <v>51</v>
      </c>
      <c r="K8" t="s">
        <v>52</v>
      </c>
      <c r="L8" t="s">
        <v>46</v>
      </c>
    </row>
    <row r="9" spans="1:12" x14ac:dyDescent="0.25">
      <c r="A9">
        <v>155289</v>
      </c>
      <c r="B9">
        <v>191524</v>
      </c>
      <c r="D9">
        <v>0</v>
      </c>
      <c r="E9" t="s">
        <v>54</v>
      </c>
      <c r="F9" t="s">
        <v>55</v>
      </c>
      <c r="G9" t="s">
        <v>56</v>
      </c>
      <c r="H9" t="e" vm="4">
        <f>_FV(0,"02311100976146582")</f>
        <v>#VALUE!</v>
      </c>
      <c r="I9" t="s">
        <v>57</v>
      </c>
      <c r="J9" t="s">
        <v>58</v>
      </c>
      <c r="K9" t="s">
        <v>59</v>
      </c>
      <c r="L9" t="s">
        <v>53</v>
      </c>
    </row>
    <row r="10" spans="1:12" x14ac:dyDescent="0.25">
      <c r="A10">
        <v>155971</v>
      </c>
      <c r="B10">
        <v>156057</v>
      </c>
      <c r="D10" t="s">
        <v>61</v>
      </c>
      <c r="E10" t="s">
        <v>62</v>
      </c>
      <c r="F10" t="s">
        <v>63</v>
      </c>
      <c r="G10" t="s">
        <v>65</v>
      </c>
      <c r="H10" t="e" vm="5">
        <f>_FV(0,"002289479080480611")</f>
        <v>#VALUE!</v>
      </c>
      <c r="I10" t="s">
        <v>66</v>
      </c>
      <c r="J10" t="s">
        <v>67</v>
      </c>
      <c r="K10" t="s">
        <v>68</v>
      </c>
      <c r="L10" t="s">
        <v>60</v>
      </c>
    </row>
    <row r="11" spans="1:12" x14ac:dyDescent="0.25">
      <c r="A11">
        <v>155971</v>
      </c>
      <c r="B11">
        <v>156688</v>
      </c>
      <c r="D11">
        <v>0</v>
      </c>
      <c r="E11" t="s">
        <v>70</v>
      </c>
      <c r="F11" t="s">
        <v>71</v>
      </c>
      <c r="G11" t="s">
        <v>72</v>
      </c>
      <c r="H11" t="s">
        <v>73</v>
      </c>
      <c r="I11" t="s">
        <v>74</v>
      </c>
      <c r="J11" t="s">
        <v>69</v>
      </c>
      <c r="K11" t="s">
        <v>75</v>
      </c>
      <c r="L11" t="s">
        <v>69</v>
      </c>
    </row>
    <row r="12" spans="1:12" x14ac:dyDescent="0.25">
      <c r="A12">
        <v>155971</v>
      </c>
      <c r="B12">
        <v>156709</v>
      </c>
      <c r="D12">
        <v>0</v>
      </c>
      <c r="E12" t="s">
        <v>77</v>
      </c>
      <c r="F12" t="s">
        <v>78</v>
      </c>
      <c r="G12" t="s">
        <v>79</v>
      </c>
      <c r="H12" t="s">
        <v>80</v>
      </c>
      <c r="I12" t="s">
        <v>81</v>
      </c>
      <c r="J12" t="s">
        <v>76</v>
      </c>
      <c r="K12" t="s">
        <v>82</v>
      </c>
      <c r="L12" t="s">
        <v>76</v>
      </c>
    </row>
    <row r="13" spans="1:12" x14ac:dyDescent="0.25">
      <c r="A13">
        <v>156057</v>
      </c>
      <c r="B13">
        <v>156827</v>
      </c>
      <c r="D13">
        <v>0</v>
      </c>
      <c r="E13" t="s">
        <v>84</v>
      </c>
      <c r="F13" t="s">
        <v>85</v>
      </c>
      <c r="G13" t="s">
        <v>86</v>
      </c>
      <c r="H13" t="s">
        <v>87</v>
      </c>
      <c r="I13" t="s">
        <v>88</v>
      </c>
      <c r="J13" t="s">
        <v>89</v>
      </c>
      <c r="K13" t="s">
        <v>90</v>
      </c>
      <c r="L13" t="s">
        <v>83</v>
      </c>
    </row>
    <row r="14" spans="1:12" x14ac:dyDescent="0.25">
      <c r="A14">
        <v>156057</v>
      </c>
      <c r="B14">
        <v>156748</v>
      </c>
      <c r="D14">
        <v>0</v>
      </c>
      <c r="E14" t="s">
        <v>92</v>
      </c>
      <c r="F14" t="s">
        <v>93</v>
      </c>
      <c r="G14" t="s">
        <v>94</v>
      </c>
      <c r="H14" t="s">
        <v>95</v>
      </c>
      <c r="I14" t="s">
        <v>96</v>
      </c>
      <c r="J14" t="s">
        <v>91</v>
      </c>
      <c r="K14" t="s">
        <v>97</v>
      </c>
      <c r="L14" t="s">
        <v>91</v>
      </c>
    </row>
    <row r="15" spans="1:12" x14ac:dyDescent="0.25">
      <c r="A15">
        <v>156658</v>
      </c>
      <c r="B15">
        <v>156671</v>
      </c>
      <c r="D15">
        <v>0</v>
      </c>
      <c r="E15" t="s">
        <v>99</v>
      </c>
      <c r="F15" t="s">
        <v>100</v>
      </c>
      <c r="G15" t="s">
        <v>101</v>
      </c>
      <c r="H15" t="s">
        <v>102</v>
      </c>
      <c r="I15" t="s">
        <v>103</v>
      </c>
      <c r="J15" t="s">
        <v>98</v>
      </c>
      <c r="K15" t="s">
        <v>104</v>
      </c>
      <c r="L15" t="s">
        <v>98</v>
      </c>
    </row>
    <row r="16" spans="1:12" x14ac:dyDescent="0.25">
      <c r="A16">
        <v>156658</v>
      </c>
      <c r="B16">
        <v>156709</v>
      </c>
      <c r="D16">
        <v>0</v>
      </c>
      <c r="E16" t="s">
        <v>106</v>
      </c>
      <c r="F16" t="s">
        <v>107</v>
      </c>
      <c r="G16" t="s">
        <v>108</v>
      </c>
      <c r="H16" t="e" vm="6">
        <f>_FV(0,"02451559938819785")</f>
        <v>#VALUE!</v>
      </c>
      <c r="I16" t="s">
        <v>109</v>
      </c>
      <c r="J16" t="s">
        <v>110</v>
      </c>
      <c r="K16" t="s">
        <v>111</v>
      </c>
      <c r="L16" t="s">
        <v>105</v>
      </c>
    </row>
    <row r="17" spans="1:12" x14ac:dyDescent="0.25">
      <c r="A17">
        <v>156658</v>
      </c>
      <c r="B17">
        <v>179859</v>
      </c>
      <c r="D17">
        <v>0</v>
      </c>
      <c r="E17" t="s">
        <v>113</v>
      </c>
      <c r="F17" t="s">
        <v>114</v>
      </c>
      <c r="G17" t="s">
        <v>115</v>
      </c>
      <c r="H17" t="s">
        <v>116</v>
      </c>
      <c r="I17" t="s">
        <v>117</v>
      </c>
      <c r="J17" t="s">
        <v>112</v>
      </c>
      <c r="K17" t="s">
        <v>118</v>
      </c>
      <c r="L17" t="s">
        <v>112</v>
      </c>
    </row>
    <row r="18" spans="1:12" x14ac:dyDescent="0.25">
      <c r="A18">
        <v>156671</v>
      </c>
      <c r="B18">
        <v>156688</v>
      </c>
      <c r="D18">
        <v>0</v>
      </c>
      <c r="E18" t="s">
        <v>120</v>
      </c>
      <c r="F18" t="s">
        <v>121</v>
      </c>
      <c r="G18" t="s">
        <v>122</v>
      </c>
      <c r="H18" t="s">
        <v>123</v>
      </c>
      <c r="I18" t="s">
        <v>124</v>
      </c>
      <c r="J18" t="s">
        <v>119</v>
      </c>
      <c r="K18" t="s">
        <v>125</v>
      </c>
      <c r="L18" t="s">
        <v>119</v>
      </c>
    </row>
    <row r="19" spans="1:12" x14ac:dyDescent="0.25">
      <c r="A19">
        <v>156671</v>
      </c>
      <c r="B19">
        <v>179859</v>
      </c>
      <c r="D19">
        <v>0</v>
      </c>
      <c r="E19" t="s">
        <v>127</v>
      </c>
      <c r="F19" t="s">
        <v>128</v>
      </c>
      <c r="G19" t="s">
        <v>129</v>
      </c>
      <c r="H19" t="s">
        <v>130</v>
      </c>
      <c r="I19" t="s">
        <v>131</v>
      </c>
      <c r="J19" t="s">
        <v>126</v>
      </c>
      <c r="K19" t="s">
        <v>132</v>
      </c>
      <c r="L19" t="s">
        <v>126</v>
      </c>
    </row>
    <row r="20" spans="1:12" x14ac:dyDescent="0.25">
      <c r="A20">
        <v>156688</v>
      </c>
      <c r="B20">
        <v>156709</v>
      </c>
      <c r="D20">
        <v>0</v>
      </c>
      <c r="E20" t="s">
        <v>134</v>
      </c>
      <c r="F20" t="s">
        <v>135</v>
      </c>
      <c r="G20" t="s">
        <v>136</v>
      </c>
      <c r="H20" t="e" vm="7">
        <f>_FV(0,"028263656316475105")</f>
        <v>#VALUE!</v>
      </c>
      <c r="I20" t="s">
        <v>137</v>
      </c>
      <c r="J20" t="s">
        <v>138</v>
      </c>
      <c r="K20" t="s">
        <v>139</v>
      </c>
      <c r="L20" t="s">
        <v>133</v>
      </c>
    </row>
    <row r="21" spans="1:12" x14ac:dyDescent="0.25">
      <c r="A21">
        <v>156748</v>
      </c>
      <c r="B21">
        <v>156805</v>
      </c>
      <c r="D21">
        <v>0</v>
      </c>
      <c r="E21" t="s">
        <v>141</v>
      </c>
      <c r="F21" t="s">
        <v>142</v>
      </c>
      <c r="G21" t="s">
        <v>143</v>
      </c>
      <c r="H21" t="s">
        <v>144</v>
      </c>
      <c r="I21" t="s">
        <v>145</v>
      </c>
      <c r="J21" t="s">
        <v>146</v>
      </c>
      <c r="K21" t="s">
        <v>147</v>
      </c>
      <c r="L21" t="s">
        <v>140</v>
      </c>
    </row>
    <row r="22" spans="1:12" x14ac:dyDescent="0.25">
      <c r="A22">
        <v>156748</v>
      </c>
      <c r="B22">
        <v>156827</v>
      </c>
      <c r="D22">
        <v>0</v>
      </c>
      <c r="E22" t="s">
        <v>149</v>
      </c>
      <c r="F22" t="s">
        <v>150</v>
      </c>
      <c r="G22" t="s">
        <v>151</v>
      </c>
      <c r="H22" t="e" vm="8">
        <f>_FV(0,"04990197683287662")</f>
        <v>#VALUE!</v>
      </c>
      <c r="I22" t="s">
        <v>152</v>
      </c>
      <c r="J22" t="s">
        <v>153</v>
      </c>
      <c r="K22" t="s">
        <v>154</v>
      </c>
      <c r="L22" t="s">
        <v>148</v>
      </c>
    </row>
    <row r="23" spans="1:12" x14ac:dyDescent="0.25">
      <c r="A23">
        <v>156805</v>
      </c>
      <c r="B23">
        <v>156820</v>
      </c>
      <c r="D23">
        <v>0</v>
      </c>
      <c r="E23" t="s">
        <v>156</v>
      </c>
      <c r="F23" t="s">
        <v>157</v>
      </c>
      <c r="G23" t="s">
        <v>158</v>
      </c>
      <c r="H23" t="e" vm="9">
        <f>_FV(0,"04437988778967036")</f>
        <v>#VALUE!</v>
      </c>
      <c r="I23" t="s">
        <v>159</v>
      </c>
      <c r="J23" t="s">
        <v>160</v>
      </c>
      <c r="K23" t="s">
        <v>161</v>
      </c>
      <c r="L23" t="s">
        <v>155</v>
      </c>
    </row>
    <row r="24" spans="1:12" x14ac:dyDescent="0.25">
      <c r="A24">
        <v>156805</v>
      </c>
      <c r="B24">
        <v>195583</v>
      </c>
      <c r="D24">
        <v>0</v>
      </c>
      <c r="E24" t="s">
        <v>163</v>
      </c>
      <c r="F24" t="s">
        <v>164</v>
      </c>
      <c r="G24" t="s">
        <v>165</v>
      </c>
      <c r="H24" t="s">
        <v>166</v>
      </c>
      <c r="I24" t="s">
        <v>167</v>
      </c>
      <c r="J24" t="s">
        <v>168</v>
      </c>
      <c r="K24" t="s">
        <v>169</v>
      </c>
      <c r="L24" t="s">
        <v>162</v>
      </c>
    </row>
    <row r="25" spans="1:12" x14ac:dyDescent="0.25">
      <c r="A25">
        <v>156820</v>
      </c>
      <c r="B25">
        <v>156827</v>
      </c>
      <c r="D25">
        <v>0</v>
      </c>
      <c r="F25">
        <v>139615</v>
      </c>
      <c r="G25">
        <v>156827</v>
      </c>
      <c r="H25" t="e" vm="10">
        <f>_FV(0,"057")</f>
        <v>#VALUE!</v>
      </c>
      <c r="I25">
        <v>156820</v>
      </c>
      <c r="J25" t="s">
        <v>170</v>
      </c>
      <c r="K25" t="s">
        <v>171</v>
      </c>
      <c r="L25" t="e" vm="10">
        <f>_FV(0,"057")</f>
        <v>#VALUE!</v>
      </c>
    </row>
    <row r="26" spans="1:12" x14ac:dyDescent="0.25">
      <c r="A26">
        <v>156820</v>
      </c>
      <c r="B26">
        <v>195583</v>
      </c>
      <c r="D26">
        <v>0</v>
      </c>
      <c r="E26" t="s">
        <v>173</v>
      </c>
      <c r="F26" t="s">
        <v>174</v>
      </c>
      <c r="G26" t="s">
        <v>175</v>
      </c>
      <c r="H26" t="s">
        <v>176</v>
      </c>
      <c r="I26" t="s">
        <v>177</v>
      </c>
      <c r="J26" t="s">
        <v>178</v>
      </c>
      <c r="K26" t="s">
        <v>179</v>
      </c>
      <c r="L26" t="s">
        <v>172</v>
      </c>
    </row>
    <row r="27" spans="1:12" x14ac:dyDescent="0.25">
      <c r="A27">
        <v>157039</v>
      </c>
      <c r="B27">
        <v>157054</v>
      </c>
      <c r="D27">
        <v>0</v>
      </c>
      <c r="E27" t="s">
        <v>181</v>
      </c>
      <c r="F27" t="s">
        <v>182</v>
      </c>
      <c r="G27" t="s">
        <v>183</v>
      </c>
      <c r="H27" t="e" vm="11">
        <f>_FV(0,"0024703000713530744")</f>
        <v>#VALUE!</v>
      </c>
      <c r="I27" t="s">
        <v>184</v>
      </c>
      <c r="J27" t="s">
        <v>185</v>
      </c>
      <c r="K27" t="s">
        <v>186</v>
      </c>
      <c r="L27" t="s">
        <v>180</v>
      </c>
    </row>
    <row r="28" spans="1:12" x14ac:dyDescent="0.25">
      <c r="A28">
        <v>157039</v>
      </c>
      <c r="B28">
        <v>229866</v>
      </c>
      <c r="D28">
        <v>0</v>
      </c>
      <c r="E28" t="s">
        <v>188</v>
      </c>
      <c r="F28" t="s">
        <v>189</v>
      </c>
      <c r="G28" t="s">
        <v>190</v>
      </c>
      <c r="H28" t="s">
        <v>187</v>
      </c>
      <c r="I28" t="s">
        <v>191</v>
      </c>
      <c r="J28" t="s">
        <v>187</v>
      </c>
      <c r="K28" t="s">
        <v>192</v>
      </c>
      <c r="L28" t="s">
        <v>187</v>
      </c>
    </row>
    <row r="29" spans="1:12" x14ac:dyDescent="0.25">
      <c r="A29">
        <v>157039</v>
      </c>
      <c r="B29">
        <v>229905</v>
      </c>
      <c r="D29">
        <v>0</v>
      </c>
      <c r="F29">
        <v>224389</v>
      </c>
      <c r="G29">
        <v>157039</v>
      </c>
      <c r="H29" t="s">
        <v>187</v>
      </c>
      <c r="I29">
        <v>229905</v>
      </c>
      <c r="J29" t="s">
        <v>187</v>
      </c>
      <c r="K29" t="s">
        <v>193</v>
      </c>
      <c r="L29" t="s">
        <v>187</v>
      </c>
    </row>
    <row r="30" spans="1:12" x14ac:dyDescent="0.25">
      <c r="A30">
        <v>157054</v>
      </c>
      <c r="B30">
        <v>157060</v>
      </c>
      <c r="D30">
        <v>0</v>
      </c>
      <c r="F30">
        <v>139855</v>
      </c>
      <c r="G30">
        <v>157060</v>
      </c>
      <c r="H30" t="e" vm="12">
        <f>_FV(0,"005")</f>
        <v>#VALUE!</v>
      </c>
      <c r="I30">
        <v>157054</v>
      </c>
      <c r="J30" t="s">
        <v>194</v>
      </c>
      <c r="K30" t="s">
        <v>195</v>
      </c>
      <c r="L30" t="e" vm="12">
        <f>_FV(0,"005")</f>
        <v>#VALUE!</v>
      </c>
    </row>
    <row r="31" spans="1:12" x14ac:dyDescent="0.25">
      <c r="A31">
        <v>157054</v>
      </c>
      <c r="B31">
        <v>160718</v>
      </c>
      <c r="D31">
        <v>0</v>
      </c>
      <c r="E31" t="s">
        <v>197</v>
      </c>
      <c r="F31" t="s">
        <v>198</v>
      </c>
      <c r="G31" t="s">
        <v>199</v>
      </c>
      <c r="H31" t="e" vm="13">
        <f>_FV(0,"0069380735156029175")</f>
        <v>#VALUE!</v>
      </c>
      <c r="I31" t="s">
        <v>200</v>
      </c>
      <c r="J31" t="s">
        <v>201</v>
      </c>
      <c r="K31" t="s">
        <v>202</v>
      </c>
      <c r="L31" t="s">
        <v>196</v>
      </c>
    </row>
    <row r="32" spans="1:12" x14ac:dyDescent="0.25">
      <c r="A32">
        <v>157060</v>
      </c>
      <c r="B32">
        <v>157084</v>
      </c>
      <c r="D32" t="s">
        <v>204</v>
      </c>
      <c r="E32" t="s">
        <v>205</v>
      </c>
      <c r="F32" t="s">
        <v>206</v>
      </c>
      <c r="G32" t="s">
        <v>207</v>
      </c>
      <c r="H32" t="e" vm="14">
        <f>_FV(0,"007101068518965912")</f>
        <v>#VALUE!</v>
      </c>
      <c r="I32" t="s">
        <v>208</v>
      </c>
      <c r="J32" t="s">
        <v>209</v>
      </c>
      <c r="K32" t="s">
        <v>210</v>
      </c>
      <c r="L32" t="s">
        <v>203</v>
      </c>
    </row>
    <row r="33" spans="1:12" x14ac:dyDescent="0.25">
      <c r="A33">
        <v>157060</v>
      </c>
      <c r="B33">
        <v>160718</v>
      </c>
      <c r="D33">
        <v>0</v>
      </c>
      <c r="E33" t="s">
        <v>212</v>
      </c>
      <c r="F33" t="s">
        <v>213</v>
      </c>
      <c r="G33" t="s">
        <v>214</v>
      </c>
      <c r="H33" t="s">
        <v>215</v>
      </c>
      <c r="I33" t="s">
        <v>216</v>
      </c>
      <c r="J33" t="s">
        <v>217</v>
      </c>
      <c r="K33" t="s">
        <v>218</v>
      </c>
      <c r="L33" t="s">
        <v>211</v>
      </c>
    </row>
    <row r="34" spans="1:12" x14ac:dyDescent="0.25">
      <c r="A34">
        <v>157084</v>
      </c>
      <c r="B34">
        <v>160745</v>
      </c>
      <c r="D34">
        <v>0</v>
      </c>
      <c r="E34" t="s">
        <v>220</v>
      </c>
      <c r="F34" t="s">
        <v>221</v>
      </c>
      <c r="G34" t="s">
        <v>222</v>
      </c>
      <c r="H34" t="e" vm="15">
        <f>_FV(0,"0008517064489053782")</f>
        <v>#VALUE!</v>
      </c>
      <c r="I34" t="s">
        <v>223</v>
      </c>
      <c r="J34" t="s">
        <v>224</v>
      </c>
      <c r="K34" t="s">
        <v>225</v>
      </c>
      <c r="L34" t="s">
        <v>219</v>
      </c>
    </row>
    <row r="35" spans="1:12" x14ac:dyDescent="0.25">
      <c r="A35">
        <v>160718</v>
      </c>
      <c r="B35">
        <v>160734</v>
      </c>
      <c r="D35">
        <v>0</v>
      </c>
      <c r="F35">
        <v>143651</v>
      </c>
      <c r="G35">
        <v>160734</v>
      </c>
      <c r="H35" t="e" vm="16">
        <f>_FV(0,"007")</f>
        <v>#VALUE!</v>
      </c>
      <c r="I35">
        <v>160718</v>
      </c>
      <c r="J35" t="s">
        <v>226</v>
      </c>
      <c r="K35" t="s">
        <v>227</v>
      </c>
      <c r="L35" t="e" vm="16">
        <f>_FV(0,"007")</f>
        <v>#VALUE!</v>
      </c>
    </row>
    <row r="36" spans="1:12" x14ac:dyDescent="0.25">
      <c r="A36">
        <v>160734</v>
      </c>
      <c r="B36">
        <v>200325</v>
      </c>
      <c r="D36">
        <v>0</v>
      </c>
      <c r="E36" t="s">
        <v>229</v>
      </c>
      <c r="F36" t="s">
        <v>230</v>
      </c>
      <c r="G36" t="s">
        <v>231</v>
      </c>
      <c r="H36" t="e" vm="17">
        <f>_FV(0,"002369208120172308")</f>
        <v>#VALUE!</v>
      </c>
      <c r="I36" t="s">
        <v>232</v>
      </c>
      <c r="J36" t="s">
        <v>233</v>
      </c>
      <c r="K36" t="s">
        <v>234</v>
      </c>
      <c r="L36" t="s">
        <v>228</v>
      </c>
    </row>
    <row r="37" spans="1:12" x14ac:dyDescent="0.25">
      <c r="A37">
        <v>160734</v>
      </c>
      <c r="B37">
        <v>200325</v>
      </c>
      <c r="D37">
        <v>0</v>
      </c>
      <c r="E37" t="s">
        <v>235</v>
      </c>
      <c r="F37" t="s">
        <v>236</v>
      </c>
      <c r="G37" t="s">
        <v>237</v>
      </c>
      <c r="H37" t="e" vm="18">
        <f>_FV(0,"004")</f>
        <v>#VALUE!</v>
      </c>
      <c r="I37" t="s">
        <v>238</v>
      </c>
      <c r="J37" t="s">
        <v>239</v>
      </c>
      <c r="K37" t="s">
        <v>240</v>
      </c>
      <c r="L37" t="e" vm="18">
        <f>_FV(0,"004")</f>
        <v>#VALUE!</v>
      </c>
    </row>
    <row r="38" spans="1:12" x14ac:dyDescent="0.25">
      <c r="A38">
        <v>160745</v>
      </c>
      <c r="B38">
        <v>160806</v>
      </c>
      <c r="D38">
        <v>0</v>
      </c>
      <c r="F38">
        <v>143723</v>
      </c>
      <c r="G38">
        <v>160806</v>
      </c>
      <c r="H38" t="s">
        <v>241</v>
      </c>
      <c r="I38">
        <v>160745</v>
      </c>
      <c r="J38" t="s">
        <v>241</v>
      </c>
      <c r="K38" t="s">
        <v>242</v>
      </c>
      <c r="L38" t="s">
        <v>241</v>
      </c>
    </row>
    <row r="39" spans="1:12" x14ac:dyDescent="0.25">
      <c r="A39">
        <v>160806</v>
      </c>
      <c r="B39">
        <v>200369</v>
      </c>
      <c r="D39">
        <v>0</v>
      </c>
      <c r="E39" t="s">
        <v>244</v>
      </c>
      <c r="F39" t="s">
        <v>245</v>
      </c>
      <c r="G39" t="s">
        <v>246</v>
      </c>
      <c r="H39" t="s">
        <v>247</v>
      </c>
      <c r="I39" t="s">
        <v>248</v>
      </c>
      <c r="J39" t="s">
        <v>243</v>
      </c>
      <c r="K39" t="s">
        <v>249</v>
      </c>
      <c r="L39" t="s">
        <v>243</v>
      </c>
    </row>
    <row r="40" spans="1:12" x14ac:dyDescent="0.25">
      <c r="A40">
        <v>160806</v>
      </c>
      <c r="B40">
        <v>200351</v>
      </c>
      <c r="D40">
        <v>0</v>
      </c>
      <c r="E40" t="s">
        <v>251</v>
      </c>
      <c r="F40" t="s">
        <v>252</v>
      </c>
      <c r="G40" t="s">
        <v>253</v>
      </c>
      <c r="H40" t="s">
        <v>250</v>
      </c>
      <c r="I40" t="s">
        <v>254</v>
      </c>
      <c r="J40" t="s">
        <v>250</v>
      </c>
      <c r="K40" t="s">
        <v>255</v>
      </c>
      <c r="L40" t="s">
        <v>250</v>
      </c>
    </row>
    <row r="41" spans="1:12" x14ac:dyDescent="0.25">
      <c r="A41">
        <v>168005</v>
      </c>
      <c r="B41">
        <v>168018</v>
      </c>
      <c r="D41" t="s">
        <v>257</v>
      </c>
      <c r="E41" t="s">
        <v>258</v>
      </c>
      <c r="F41" t="s">
        <v>259</v>
      </c>
      <c r="G41" t="s">
        <v>260</v>
      </c>
      <c r="H41" t="s">
        <v>261</v>
      </c>
      <c r="I41" t="s">
        <v>262</v>
      </c>
      <c r="J41" t="s">
        <v>263</v>
      </c>
      <c r="K41" t="s">
        <v>264</v>
      </c>
      <c r="L41" t="s">
        <v>256</v>
      </c>
    </row>
    <row r="42" spans="1:12" x14ac:dyDescent="0.25">
      <c r="A42">
        <v>168005</v>
      </c>
      <c r="B42">
        <v>1076967</v>
      </c>
      <c r="D42">
        <v>0</v>
      </c>
      <c r="E42" t="s">
        <v>266</v>
      </c>
      <c r="F42" t="s">
        <v>267</v>
      </c>
      <c r="G42" t="s">
        <v>268</v>
      </c>
      <c r="H42" t="s">
        <v>269</v>
      </c>
      <c r="I42" t="s">
        <v>270</v>
      </c>
      <c r="J42" t="s">
        <v>265</v>
      </c>
      <c r="K42" t="s">
        <v>271</v>
      </c>
      <c r="L42" t="s">
        <v>265</v>
      </c>
    </row>
    <row r="43" spans="1:12" x14ac:dyDescent="0.25">
      <c r="A43">
        <v>168005</v>
      </c>
      <c r="B43">
        <v>1077009</v>
      </c>
      <c r="D43">
        <v>0</v>
      </c>
      <c r="E43" t="s">
        <v>273</v>
      </c>
      <c r="F43" t="s">
        <v>274</v>
      </c>
      <c r="G43" t="s">
        <v>275</v>
      </c>
      <c r="H43" t="s">
        <v>276</v>
      </c>
      <c r="I43" t="s">
        <v>277</v>
      </c>
      <c r="J43" t="s">
        <v>272</v>
      </c>
      <c r="K43" t="s">
        <v>278</v>
      </c>
      <c r="L43" t="s">
        <v>272</v>
      </c>
    </row>
    <row r="44" spans="1:12" x14ac:dyDescent="0.25">
      <c r="A44">
        <v>168018</v>
      </c>
      <c r="B44">
        <v>168215</v>
      </c>
      <c r="D44">
        <v>0</v>
      </c>
      <c r="F44">
        <v>151649</v>
      </c>
      <c r="G44">
        <v>168215</v>
      </c>
      <c r="H44" t="e" vm="19">
        <f>_FV(0,"036")</f>
        <v>#VALUE!</v>
      </c>
      <c r="I44">
        <v>168018</v>
      </c>
      <c r="J44" t="s">
        <v>279</v>
      </c>
      <c r="K44" t="s">
        <v>280</v>
      </c>
      <c r="L44" t="e" vm="19">
        <f>_FV(0,"036")</f>
        <v>#VALUE!</v>
      </c>
    </row>
    <row r="45" spans="1:12" x14ac:dyDescent="0.25">
      <c r="A45">
        <v>168018</v>
      </c>
      <c r="B45">
        <v>612380</v>
      </c>
      <c r="D45">
        <v>0</v>
      </c>
      <c r="E45" t="s">
        <v>282</v>
      </c>
      <c r="F45" t="s">
        <v>283</v>
      </c>
      <c r="G45" t="s">
        <v>284</v>
      </c>
      <c r="H45" t="s">
        <v>285</v>
      </c>
      <c r="I45" t="s">
        <v>286</v>
      </c>
      <c r="J45" t="s">
        <v>281</v>
      </c>
      <c r="K45" t="s">
        <v>287</v>
      </c>
      <c r="L45" t="s">
        <v>281</v>
      </c>
    </row>
    <row r="46" spans="1:12" x14ac:dyDescent="0.25">
      <c r="A46">
        <v>168098</v>
      </c>
      <c r="B46">
        <v>168099</v>
      </c>
      <c r="D46">
        <v>0</v>
      </c>
      <c r="F46">
        <v>151519</v>
      </c>
      <c r="G46">
        <v>168099</v>
      </c>
      <c r="H46" t="s">
        <v>288</v>
      </c>
      <c r="I46">
        <v>168098</v>
      </c>
      <c r="J46" t="s">
        <v>288</v>
      </c>
      <c r="K46" t="s">
        <v>289</v>
      </c>
      <c r="L46" t="s">
        <v>288</v>
      </c>
    </row>
    <row r="47" spans="1:12" x14ac:dyDescent="0.25">
      <c r="A47">
        <v>168098</v>
      </c>
      <c r="B47">
        <v>1077029</v>
      </c>
      <c r="D47">
        <v>0</v>
      </c>
      <c r="E47" t="s">
        <v>291</v>
      </c>
      <c r="F47" t="s">
        <v>292</v>
      </c>
      <c r="G47" t="s">
        <v>293</v>
      </c>
      <c r="H47" t="s">
        <v>294</v>
      </c>
      <c r="I47" t="s">
        <v>295</v>
      </c>
      <c r="J47" t="s">
        <v>290</v>
      </c>
      <c r="K47" t="s">
        <v>296</v>
      </c>
      <c r="L47" t="s">
        <v>290</v>
      </c>
    </row>
    <row r="48" spans="1:12" x14ac:dyDescent="0.25">
      <c r="A48">
        <v>168098</v>
      </c>
      <c r="B48">
        <v>1077043</v>
      </c>
      <c r="D48">
        <v>0</v>
      </c>
      <c r="E48" t="s">
        <v>298</v>
      </c>
      <c r="F48" t="s">
        <v>299</v>
      </c>
      <c r="G48" t="s">
        <v>300</v>
      </c>
      <c r="H48" t="s">
        <v>301</v>
      </c>
      <c r="I48" t="s">
        <v>302</v>
      </c>
      <c r="J48" t="s">
        <v>297</v>
      </c>
      <c r="K48" t="s">
        <v>303</v>
      </c>
      <c r="L48" t="s">
        <v>297</v>
      </c>
    </row>
    <row r="49" spans="1:12" x14ac:dyDescent="0.25">
      <c r="A49">
        <v>168099</v>
      </c>
      <c r="B49">
        <v>168171</v>
      </c>
      <c r="D49">
        <v>0</v>
      </c>
      <c r="F49">
        <v>151594</v>
      </c>
      <c r="G49">
        <v>168171</v>
      </c>
      <c r="H49" t="s">
        <v>304</v>
      </c>
      <c r="I49">
        <v>168099</v>
      </c>
      <c r="J49" t="s">
        <v>304</v>
      </c>
      <c r="K49" t="s">
        <v>305</v>
      </c>
      <c r="L49" t="s">
        <v>304</v>
      </c>
    </row>
    <row r="50" spans="1:12" x14ac:dyDescent="0.25">
      <c r="A50">
        <v>168099</v>
      </c>
      <c r="B50">
        <v>731627</v>
      </c>
      <c r="D50">
        <v>0</v>
      </c>
      <c r="E50" t="s">
        <v>307</v>
      </c>
      <c r="F50" t="s">
        <v>308</v>
      </c>
      <c r="G50" t="s">
        <v>309</v>
      </c>
      <c r="H50" t="e" vm="20">
        <f>_FV(0,"06001698536508546")</f>
        <v>#VALUE!</v>
      </c>
      <c r="I50" t="s">
        <v>310</v>
      </c>
      <c r="J50" t="s">
        <v>311</v>
      </c>
      <c r="K50" t="s">
        <v>312</v>
      </c>
      <c r="L50" t="s">
        <v>306</v>
      </c>
    </row>
    <row r="51" spans="1:12" x14ac:dyDescent="0.25">
      <c r="A51">
        <v>168171</v>
      </c>
      <c r="B51">
        <v>1114154</v>
      </c>
      <c r="D51">
        <v>0</v>
      </c>
      <c r="E51" t="s">
        <v>314</v>
      </c>
      <c r="F51" t="s">
        <v>315</v>
      </c>
      <c r="G51" t="s">
        <v>316</v>
      </c>
      <c r="H51" t="e" vm="21">
        <f>_FV(0,"13889867689156335")</f>
        <v>#VALUE!</v>
      </c>
      <c r="I51" t="s">
        <v>317</v>
      </c>
      <c r="J51" t="s">
        <v>318</v>
      </c>
      <c r="K51" t="s">
        <v>319</v>
      </c>
      <c r="L51" t="s">
        <v>313</v>
      </c>
    </row>
    <row r="52" spans="1:12" x14ac:dyDescent="0.25">
      <c r="A52">
        <v>168215</v>
      </c>
      <c r="B52">
        <v>1253639</v>
      </c>
      <c r="D52">
        <v>0</v>
      </c>
      <c r="F52">
        <v>1354666</v>
      </c>
      <c r="G52">
        <v>1253639</v>
      </c>
      <c r="H52" t="s">
        <v>320</v>
      </c>
      <c r="I52">
        <v>168215</v>
      </c>
      <c r="J52" t="s">
        <v>320</v>
      </c>
      <c r="K52" t="s">
        <v>321</v>
      </c>
      <c r="L52" t="s">
        <v>320</v>
      </c>
    </row>
    <row r="53" spans="1:12" x14ac:dyDescent="0.25">
      <c r="A53">
        <v>168215</v>
      </c>
      <c r="B53">
        <v>731682</v>
      </c>
      <c r="D53">
        <v>0</v>
      </c>
      <c r="E53" t="s">
        <v>323</v>
      </c>
      <c r="F53" t="s">
        <v>324</v>
      </c>
      <c r="G53" t="s">
        <v>325</v>
      </c>
      <c r="H53" t="s">
        <v>326</v>
      </c>
      <c r="I53" t="s">
        <v>327</v>
      </c>
      <c r="J53" t="s">
        <v>322</v>
      </c>
      <c r="K53" t="s">
        <v>328</v>
      </c>
      <c r="L53" t="s">
        <v>322</v>
      </c>
    </row>
    <row r="54" spans="1:12" x14ac:dyDescent="0.25">
      <c r="A54">
        <v>179840</v>
      </c>
      <c r="B54">
        <v>179859</v>
      </c>
      <c r="D54" t="s">
        <v>330</v>
      </c>
      <c r="E54" t="s">
        <v>331</v>
      </c>
      <c r="F54" t="s">
        <v>332</v>
      </c>
      <c r="G54" t="s">
        <v>333</v>
      </c>
      <c r="H54" t="e" vm="22">
        <f>_FV(0,"03071512680022659")</f>
        <v>#VALUE!</v>
      </c>
      <c r="I54" t="s">
        <v>334</v>
      </c>
      <c r="J54" t="s">
        <v>335</v>
      </c>
      <c r="K54" t="s">
        <v>336</v>
      </c>
      <c r="L54" t="s">
        <v>329</v>
      </c>
    </row>
    <row r="55" spans="1:12" x14ac:dyDescent="0.25">
      <c r="A55">
        <v>179840</v>
      </c>
      <c r="B55">
        <v>179972</v>
      </c>
      <c r="D55">
        <v>0</v>
      </c>
      <c r="E55" t="s">
        <v>338</v>
      </c>
      <c r="F55" t="s">
        <v>339</v>
      </c>
      <c r="G55" t="s">
        <v>340</v>
      </c>
      <c r="H55" t="e" vm="23">
        <f>_FV(0,"06938497074352719")</f>
        <v>#VALUE!</v>
      </c>
      <c r="I55" t="s">
        <v>341</v>
      </c>
      <c r="J55" t="s">
        <v>342</v>
      </c>
      <c r="K55" t="s">
        <v>343</v>
      </c>
      <c r="L55" t="s">
        <v>337</v>
      </c>
    </row>
    <row r="56" spans="1:12" x14ac:dyDescent="0.25">
      <c r="A56">
        <v>179840</v>
      </c>
      <c r="B56">
        <v>179982</v>
      </c>
      <c r="D56">
        <v>0</v>
      </c>
      <c r="E56" t="s">
        <v>345</v>
      </c>
      <c r="F56" t="s">
        <v>346</v>
      </c>
      <c r="G56" t="s">
        <v>347</v>
      </c>
      <c r="H56" t="e" vm="24">
        <f>_FV(0,"03942263884935451")</f>
        <v>#VALUE!</v>
      </c>
      <c r="I56" t="s">
        <v>348</v>
      </c>
      <c r="J56" t="s">
        <v>349</v>
      </c>
      <c r="K56" t="s">
        <v>350</v>
      </c>
      <c r="L56" t="s">
        <v>344</v>
      </c>
    </row>
    <row r="57" spans="1:12" x14ac:dyDescent="0.25">
      <c r="A57">
        <v>179953</v>
      </c>
      <c r="B57">
        <v>179972</v>
      </c>
      <c r="D57">
        <v>0</v>
      </c>
      <c r="E57" t="s">
        <v>352</v>
      </c>
      <c r="F57" t="s">
        <v>353</v>
      </c>
      <c r="G57" t="s">
        <v>354</v>
      </c>
      <c r="H57" t="e" vm="25">
        <f>_FV(0,"056685516505488996")</f>
        <v>#VALUE!</v>
      </c>
      <c r="I57" t="s">
        <v>355</v>
      </c>
      <c r="J57" t="s">
        <v>356</v>
      </c>
      <c r="K57" t="s">
        <v>357</v>
      </c>
      <c r="L57" t="s">
        <v>351</v>
      </c>
    </row>
    <row r="58" spans="1:12" x14ac:dyDescent="0.25">
      <c r="A58">
        <v>179953</v>
      </c>
      <c r="B58">
        <v>179987</v>
      </c>
      <c r="D58">
        <v>0</v>
      </c>
      <c r="E58" t="s">
        <v>359</v>
      </c>
      <c r="F58" t="s">
        <v>360</v>
      </c>
      <c r="G58" t="s">
        <v>361</v>
      </c>
      <c r="H58" t="s">
        <v>362</v>
      </c>
      <c r="I58" t="s">
        <v>363</v>
      </c>
      <c r="J58" t="s">
        <v>358</v>
      </c>
      <c r="K58" t="s">
        <v>364</v>
      </c>
      <c r="L58" t="s">
        <v>358</v>
      </c>
    </row>
    <row r="59" spans="1:12" x14ac:dyDescent="0.25">
      <c r="A59">
        <v>179953</v>
      </c>
      <c r="B59">
        <v>326074</v>
      </c>
      <c r="D59">
        <v>0</v>
      </c>
      <c r="E59" t="s">
        <v>366</v>
      </c>
      <c r="F59" t="s">
        <v>367</v>
      </c>
      <c r="G59" t="s">
        <v>368</v>
      </c>
      <c r="H59" t="e" vm="26">
        <f>_FV(0,"0007184336121390515")</f>
        <v>#VALUE!</v>
      </c>
      <c r="I59" t="s">
        <v>369</v>
      </c>
      <c r="J59" t="s">
        <v>370</v>
      </c>
      <c r="K59" t="s">
        <v>371</v>
      </c>
      <c r="L59" t="s">
        <v>365</v>
      </c>
    </row>
    <row r="60" spans="1:12" x14ac:dyDescent="0.25">
      <c r="A60">
        <v>179972</v>
      </c>
      <c r="B60">
        <v>179982</v>
      </c>
      <c r="D60">
        <v>0</v>
      </c>
      <c r="E60" t="s">
        <v>373</v>
      </c>
      <c r="F60" t="s">
        <v>374</v>
      </c>
      <c r="G60" t="s">
        <v>375</v>
      </c>
      <c r="H60" t="e" vm="27">
        <f>_FV(0,"07317138876231304")</f>
        <v>#VALUE!</v>
      </c>
      <c r="I60" t="s">
        <v>376</v>
      </c>
      <c r="J60" t="s">
        <v>377</v>
      </c>
      <c r="K60" t="s">
        <v>378</v>
      </c>
      <c r="L60" t="s">
        <v>372</v>
      </c>
    </row>
    <row r="61" spans="1:12" x14ac:dyDescent="0.25">
      <c r="A61">
        <v>179982</v>
      </c>
      <c r="B61">
        <v>179987</v>
      </c>
      <c r="D61">
        <v>0</v>
      </c>
      <c r="E61" t="s">
        <v>380</v>
      </c>
      <c r="F61" t="s">
        <v>381</v>
      </c>
      <c r="G61" t="s">
        <v>382</v>
      </c>
      <c r="H61" t="s">
        <v>383</v>
      </c>
      <c r="I61" t="s">
        <v>384</v>
      </c>
      <c r="J61" t="s">
        <v>379</v>
      </c>
      <c r="K61" t="s">
        <v>385</v>
      </c>
      <c r="L61" t="s">
        <v>379</v>
      </c>
    </row>
    <row r="62" spans="1:12" x14ac:dyDescent="0.25">
      <c r="A62">
        <v>179987</v>
      </c>
      <c r="B62">
        <v>326129</v>
      </c>
      <c r="D62">
        <v>0</v>
      </c>
      <c r="E62" t="s">
        <v>387</v>
      </c>
      <c r="F62" t="s">
        <v>388</v>
      </c>
      <c r="G62" t="s">
        <v>389</v>
      </c>
      <c r="H62" t="e" vm="28">
        <f>_FV(0,"001082427157477869")</f>
        <v>#VALUE!</v>
      </c>
      <c r="I62" t="s">
        <v>390</v>
      </c>
      <c r="J62" t="s">
        <v>391</v>
      </c>
      <c r="K62" t="s">
        <v>392</v>
      </c>
      <c r="L62" t="s">
        <v>386</v>
      </c>
    </row>
    <row r="63" spans="1:12" x14ac:dyDescent="0.25">
      <c r="A63">
        <v>180551</v>
      </c>
      <c r="B63">
        <v>1854791</v>
      </c>
      <c r="C63" t="s">
        <v>393</v>
      </c>
      <c r="D63">
        <v>0</v>
      </c>
      <c r="E63" t="s">
        <v>394</v>
      </c>
      <c r="H63" t="s">
        <v>187</v>
      </c>
      <c r="J63">
        <v>0</v>
      </c>
      <c r="K63" t="s">
        <v>395</v>
      </c>
      <c r="L63">
        <v>0</v>
      </c>
    </row>
    <row r="64" spans="1:12" x14ac:dyDescent="0.25">
      <c r="A64">
        <v>189253</v>
      </c>
      <c r="B64">
        <v>326335</v>
      </c>
      <c r="D64" t="s">
        <v>397</v>
      </c>
      <c r="E64" t="s">
        <v>398</v>
      </c>
      <c r="F64" t="s">
        <v>399</v>
      </c>
      <c r="G64" t="s">
        <v>400</v>
      </c>
      <c r="H64" t="s">
        <v>401</v>
      </c>
      <c r="I64" t="s">
        <v>402</v>
      </c>
      <c r="J64" t="s">
        <v>403</v>
      </c>
      <c r="K64" t="s">
        <v>404</v>
      </c>
      <c r="L64" t="s">
        <v>396</v>
      </c>
    </row>
    <row r="65" spans="1:12" x14ac:dyDescent="0.25">
      <c r="A65">
        <v>189253</v>
      </c>
      <c r="B65">
        <v>191235</v>
      </c>
      <c r="D65">
        <v>0</v>
      </c>
      <c r="E65" t="s">
        <v>406</v>
      </c>
      <c r="F65" t="s">
        <v>407</v>
      </c>
      <c r="G65" t="s">
        <v>408</v>
      </c>
      <c r="H65" t="s">
        <v>409</v>
      </c>
      <c r="I65" t="s">
        <v>410</v>
      </c>
      <c r="J65" t="s">
        <v>411</v>
      </c>
      <c r="K65" t="s">
        <v>412</v>
      </c>
      <c r="L65" t="s">
        <v>405</v>
      </c>
    </row>
    <row r="66" spans="1:12" x14ac:dyDescent="0.25">
      <c r="A66">
        <v>189253</v>
      </c>
      <c r="B66">
        <v>191263</v>
      </c>
      <c r="D66">
        <v>0</v>
      </c>
      <c r="E66" t="s">
        <v>414</v>
      </c>
      <c r="F66" t="s">
        <v>415</v>
      </c>
      <c r="G66" t="s">
        <v>416</v>
      </c>
      <c r="H66" t="s">
        <v>417</v>
      </c>
      <c r="I66" t="s">
        <v>418</v>
      </c>
      <c r="J66" t="s">
        <v>419</v>
      </c>
      <c r="K66" t="s">
        <v>420</v>
      </c>
      <c r="L66" t="s">
        <v>413</v>
      </c>
    </row>
    <row r="67" spans="1:12" x14ac:dyDescent="0.25">
      <c r="A67">
        <v>191215</v>
      </c>
      <c r="B67">
        <v>191235</v>
      </c>
      <c r="D67">
        <v>0</v>
      </c>
      <c r="E67" t="s">
        <v>422</v>
      </c>
      <c r="F67" t="s">
        <v>423</v>
      </c>
      <c r="G67" t="s">
        <v>424</v>
      </c>
      <c r="H67" t="s">
        <v>425</v>
      </c>
      <c r="I67" t="s">
        <v>426</v>
      </c>
      <c r="J67" t="s">
        <v>427</v>
      </c>
      <c r="K67" t="s">
        <v>428</v>
      </c>
      <c r="L67" t="s">
        <v>421</v>
      </c>
    </row>
    <row r="68" spans="1:12" x14ac:dyDescent="0.25">
      <c r="A68">
        <v>191215</v>
      </c>
      <c r="B68">
        <v>191288</v>
      </c>
      <c r="D68">
        <v>0</v>
      </c>
      <c r="E68" t="s">
        <v>430</v>
      </c>
      <c r="F68" t="s">
        <v>431</v>
      </c>
      <c r="G68" t="s">
        <v>432</v>
      </c>
      <c r="H68" t="e" vm="29">
        <f>_FV(0,"023165554082555523")</f>
        <v>#VALUE!</v>
      </c>
      <c r="I68" t="s">
        <v>433</v>
      </c>
      <c r="J68" t="s">
        <v>434</v>
      </c>
      <c r="K68" t="s">
        <v>435</v>
      </c>
      <c r="L68" t="s">
        <v>429</v>
      </c>
    </row>
    <row r="69" spans="1:12" x14ac:dyDescent="0.25">
      <c r="A69">
        <v>191215</v>
      </c>
      <c r="B69">
        <v>228337</v>
      </c>
      <c r="D69">
        <v>0</v>
      </c>
      <c r="E69" t="s">
        <v>437</v>
      </c>
      <c r="F69" t="s">
        <v>438</v>
      </c>
      <c r="G69" t="s">
        <v>439</v>
      </c>
      <c r="H69" t="s">
        <v>440</v>
      </c>
      <c r="I69" t="s">
        <v>441</v>
      </c>
      <c r="J69" t="s">
        <v>442</v>
      </c>
      <c r="K69" t="s">
        <v>443</v>
      </c>
      <c r="L69" t="s">
        <v>436</v>
      </c>
    </row>
    <row r="70" spans="1:12" x14ac:dyDescent="0.25">
      <c r="A70">
        <v>191235</v>
      </c>
      <c r="B70">
        <v>191263</v>
      </c>
      <c r="D70">
        <v>0</v>
      </c>
      <c r="E70" t="s">
        <v>445</v>
      </c>
      <c r="F70" t="s">
        <v>446</v>
      </c>
      <c r="G70" t="s">
        <v>447</v>
      </c>
      <c r="H70" t="s">
        <v>448</v>
      </c>
      <c r="I70" t="s">
        <v>449</v>
      </c>
      <c r="J70" t="s">
        <v>444</v>
      </c>
      <c r="K70" t="s">
        <v>450</v>
      </c>
      <c r="L70" t="s">
        <v>444</v>
      </c>
    </row>
    <row r="71" spans="1:12" x14ac:dyDescent="0.25">
      <c r="A71">
        <v>191263</v>
      </c>
      <c r="B71">
        <v>191288</v>
      </c>
      <c r="D71">
        <v>0</v>
      </c>
      <c r="E71" t="s">
        <v>452</v>
      </c>
      <c r="F71" t="s">
        <v>453</v>
      </c>
      <c r="G71" t="s">
        <v>454</v>
      </c>
      <c r="H71" t="s">
        <v>455</v>
      </c>
      <c r="I71" t="s">
        <v>456</v>
      </c>
      <c r="J71" t="s">
        <v>457</v>
      </c>
      <c r="K71" t="s">
        <v>458</v>
      </c>
      <c r="L71" t="s">
        <v>451</v>
      </c>
    </row>
    <row r="72" spans="1:12" x14ac:dyDescent="0.25">
      <c r="A72">
        <v>191288</v>
      </c>
      <c r="B72">
        <v>228337</v>
      </c>
      <c r="D72">
        <v>0</v>
      </c>
      <c r="E72" t="s">
        <v>460</v>
      </c>
      <c r="F72" t="s">
        <v>461</v>
      </c>
      <c r="G72" t="s">
        <v>462</v>
      </c>
      <c r="H72" t="s">
        <v>463</v>
      </c>
      <c r="I72" t="s">
        <v>464</v>
      </c>
      <c r="J72" t="s">
        <v>465</v>
      </c>
      <c r="K72" t="s">
        <v>466</v>
      </c>
      <c r="L72" t="s">
        <v>459</v>
      </c>
    </row>
    <row r="73" spans="1:12" x14ac:dyDescent="0.25">
      <c r="A73">
        <v>191524</v>
      </c>
      <c r="B73">
        <v>350651</v>
      </c>
      <c r="D73">
        <v>0</v>
      </c>
      <c r="F73">
        <v>362171</v>
      </c>
      <c r="G73">
        <v>350651</v>
      </c>
      <c r="H73" t="e" vm="30">
        <f>_FV(0,"027")</f>
        <v>#VALUE!</v>
      </c>
      <c r="I73">
        <v>191524</v>
      </c>
      <c r="J73" t="s">
        <v>467</v>
      </c>
      <c r="K73" t="s">
        <v>468</v>
      </c>
      <c r="L73" t="e" vm="30">
        <f>_FV(0,"027")</f>
        <v>#VALUE!</v>
      </c>
    </row>
    <row r="74" spans="1:12" x14ac:dyDescent="0.25">
      <c r="A74">
        <v>195583</v>
      </c>
      <c r="B74">
        <v>346966</v>
      </c>
      <c r="D74">
        <v>0</v>
      </c>
      <c r="E74" t="s">
        <v>470</v>
      </c>
      <c r="F74" t="s">
        <v>471</v>
      </c>
      <c r="G74" t="s">
        <v>472</v>
      </c>
      <c r="H74" t="e" vm="31">
        <f>_FV(0,"009494006728531302")</f>
        <v>#VALUE!</v>
      </c>
      <c r="I74" t="s">
        <v>473</v>
      </c>
      <c r="J74" t="s">
        <v>474</v>
      </c>
      <c r="K74" t="s">
        <v>475</v>
      </c>
      <c r="L74" t="s">
        <v>469</v>
      </c>
    </row>
    <row r="75" spans="1:12" x14ac:dyDescent="0.25">
      <c r="A75">
        <v>195595</v>
      </c>
      <c r="B75">
        <v>209022</v>
      </c>
      <c r="D75">
        <v>0</v>
      </c>
      <c r="E75" t="s">
        <v>477</v>
      </c>
      <c r="F75" t="s">
        <v>478</v>
      </c>
      <c r="G75" t="s">
        <v>479</v>
      </c>
      <c r="H75" t="s">
        <v>480</v>
      </c>
      <c r="I75" t="s">
        <v>481</v>
      </c>
      <c r="J75" t="s">
        <v>482</v>
      </c>
      <c r="K75" t="s">
        <v>483</v>
      </c>
      <c r="L75" t="s">
        <v>476</v>
      </c>
    </row>
    <row r="76" spans="1:12" x14ac:dyDescent="0.25">
      <c r="A76">
        <v>195595</v>
      </c>
      <c r="B76">
        <v>209022</v>
      </c>
      <c r="D76">
        <v>0</v>
      </c>
      <c r="E76" t="s">
        <v>485</v>
      </c>
      <c r="F76" t="s">
        <v>486</v>
      </c>
      <c r="G76" t="s">
        <v>487</v>
      </c>
      <c r="H76" t="s">
        <v>488</v>
      </c>
      <c r="I76" t="s">
        <v>489</v>
      </c>
      <c r="J76" t="s">
        <v>490</v>
      </c>
      <c r="K76" t="s">
        <v>491</v>
      </c>
      <c r="L76" t="s">
        <v>484</v>
      </c>
    </row>
    <row r="77" spans="1:12" x14ac:dyDescent="0.25">
      <c r="A77">
        <v>195595</v>
      </c>
      <c r="B77">
        <v>347019</v>
      </c>
      <c r="C77" t="s">
        <v>493</v>
      </c>
      <c r="D77" t="s">
        <v>494</v>
      </c>
      <c r="E77" t="s">
        <v>495</v>
      </c>
      <c r="F77" t="s">
        <v>496</v>
      </c>
      <c r="G77" t="s">
        <v>497</v>
      </c>
      <c r="H77" t="e" vm="32">
        <f>_FV(0,"005963203514542024")</f>
        <v>#VALUE!</v>
      </c>
      <c r="I77" t="s">
        <v>498</v>
      </c>
      <c r="J77" t="s">
        <v>499</v>
      </c>
      <c r="K77" t="s">
        <v>500</v>
      </c>
      <c r="L77" t="s">
        <v>492</v>
      </c>
    </row>
    <row r="78" spans="1:12" x14ac:dyDescent="0.25">
      <c r="A78">
        <v>200325</v>
      </c>
      <c r="B78">
        <v>200351</v>
      </c>
      <c r="D78">
        <v>0</v>
      </c>
      <c r="E78" t="s">
        <v>502</v>
      </c>
      <c r="F78" t="s">
        <v>503</v>
      </c>
      <c r="G78" t="s">
        <v>504</v>
      </c>
      <c r="H78" t="s">
        <v>505</v>
      </c>
      <c r="I78" t="s">
        <v>506</v>
      </c>
      <c r="J78" t="s">
        <v>501</v>
      </c>
      <c r="K78" t="s">
        <v>507</v>
      </c>
      <c r="L78" t="s">
        <v>501</v>
      </c>
    </row>
    <row r="79" spans="1:12" x14ac:dyDescent="0.25">
      <c r="A79">
        <v>200351</v>
      </c>
      <c r="B79">
        <v>200369</v>
      </c>
      <c r="D79">
        <v>0</v>
      </c>
      <c r="E79" t="s">
        <v>508</v>
      </c>
      <c r="F79" t="s">
        <v>509</v>
      </c>
      <c r="G79" t="s">
        <v>510</v>
      </c>
      <c r="H79" t="s">
        <v>226</v>
      </c>
      <c r="I79" t="s">
        <v>511</v>
      </c>
      <c r="J79" t="s">
        <v>226</v>
      </c>
      <c r="K79" t="s">
        <v>512</v>
      </c>
      <c r="L79" t="s">
        <v>226</v>
      </c>
    </row>
    <row r="80" spans="1:12" x14ac:dyDescent="0.25">
      <c r="A80">
        <v>203067</v>
      </c>
      <c r="B80">
        <v>203093</v>
      </c>
      <c r="D80" t="s">
        <v>514</v>
      </c>
      <c r="E80" t="s">
        <v>515</v>
      </c>
      <c r="F80" t="s">
        <v>516</v>
      </c>
      <c r="G80" t="s">
        <v>517</v>
      </c>
      <c r="H80" t="s">
        <v>518</v>
      </c>
      <c r="I80" t="s">
        <v>519</v>
      </c>
      <c r="J80" t="s">
        <v>513</v>
      </c>
      <c r="K80" t="s">
        <v>520</v>
      </c>
      <c r="L80" t="s">
        <v>513</v>
      </c>
    </row>
    <row r="81" spans="1:12" x14ac:dyDescent="0.25">
      <c r="A81">
        <v>203067</v>
      </c>
      <c r="B81">
        <v>203290</v>
      </c>
      <c r="D81">
        <v>0</v>
      </c>
      <c r="E81" t="s">
        <v>522</v>
      </c>
      <c r="F81" t="s">
        <v>523</v>
      </c>
      <c r="G81" t="s">
        <v>524</v>
      </c>
      <c r="H81" t="e" vm="33">
        <f>_FV(0,"004225563944373766")</f>
        <v>#VALUE!</v>
      </c>
      <c r="I81" t="s">
        <v>525</v>
      </c>
      <c r="J81" t="s">
        <v>526</v>
      </c>
      <c r="K81" t="s">
        <v>527</v>
      </c>
      <c r="L81" t="s">
        <v>521</v>
      </c>
    </row>
    <row r="82" spans="1:12" x14ac:dyDescent="0.25">
      <c r="A82">
        <v>203067</v>
      </c>
      <c r="B82">
        <v>1328498</v>
      </c>
      <c r="D82" t="s">
        <v>529</v>
      </c>
      <c r="E82" t="s">
        <v>530</v>
      </c>
      <c r="F82" t="s">
        <v>531</v>
      </c>
      <c r="G82" t="s">
        <v>532</v>
      </c>
      <c r="H82" t="s">
        <v>533</v>
      </c>
      <c r="I82" t="s">
        <v>534</v>
      </c>
      <c r="J82" t="s">
        <v>535</v>
      </c>
      <c r="K82" t="s">
        <v>536</v>
      </c>
      <c r="L82" t="s">
        <v>528</v>
      </c>
    </row>
    <row r="83" spans="1:12" x14ac:dyDescent="0.25">
      <c r="A83">
        <v>203093</v>
      </c>
      <c r="B83">
        <v>203586</v>
      </c>
      <c r="C83" t="s">
        <v>538</v>
      </c>
      <c r="D83" t="s">
        <v>539</v>
      </c>
      <c r="E83" t="s">
        <v>540</v>
      </c>
      <c r="F83" t="s">
        <v>541</v>
      </c>
      <c r="G83" t="s">
        <v>542</v>
      </c>
      <c r="H83" t="e" vm="34">
        <f>_FV(0,"008837198651423296")</f>
        <v>#VALUE!</v>
      </c>
      <c r="I83" t="s">
        <v>543</v>
      </c>
      <c r="J83" t="s">
        <v>544</v>
      </c>
      <c r="K83" t="s">
        <v>545</v>
      </c>
      <c r="L83" t="s">
        <v>537</v>
      </c>
    </row>
    <row r="84" spans="1:12" x14ac:dyDescent="0.25">
      <c r="A84">
        <v>203093</v>
      </c>
      <c r="B84">
        <v>203175</v>
      </c>
      <c r="D84">
        <v>0</v>
      </c>
      <c r="E84" t="s">
        <v>547</v>
      </c>
      <c r="F84" t="s">
        <v>548</v>
      </c>
      <c r="G84" t="s">
        <v>549</v>
      </c>
      <c r="H84" t="s">
        <v>550</v>
      </c>
      <c r="I84" t="s">
        <v>551</v>
      </c>
      <c r="J84" t="s">
        <v>546</v>
      </c>
      <c r="K84" t="s">
        <v>552</v>
      </c>
      <c r="L84" t="s">
        <v>546</v>
      </c>
    </row>
    <row r="85" spans="1:12" x14ac:dyDescent="0.25">
      <c r="A85">
        <v>203108</v>
      </c>
      <c r="B85">
        <v>203142</v>
      </c>
      <c r="D85" t="s">
        <v>257</v>
      </c>
      <c r="E85" t="s">
        <v>554</v>
      </c>
      <c r="F85" t="s">
        <v>555</v>
      </c>
      <c r="G85" t="s">
        <v>556</v>
      </c>
      <c r="H85" t="s">
        <v>557</v>
      </c>
      <c r="I85" t="s">
        <v>558</v>
      </c>
      <c r="J85" t="s">
        <v>559</v>
      </c>
      <c r="K85" t="s">
        <v>560</v>
      </c>
      <c r="L85" t="s">
        <v>553</v>
      </c>
    </row>
    <row r="86" spans="1:12" x14ac:dyDescent="0.25">
      <c r="A86">
        <v>203108</v>
      </c>
      <c r="B86">
        <v>203232</v>
      </c>
      <c r="D86">
        <v>0</v>
      </c>
      <c r="E86" t="s">
        <v>562</v>
      </c>
      <c r="F86" t="s">
        <v>563</v>
      </c>
      <c r="G86" t="s">
        <v>564</v>
      </c>
      <c r="H86" t="e" vm="35">
        <f>_FV(0,"0032221365186138446")</f>
        <v>#VALUE!</v>
      </c>
      <c r="I86" t="s">
        <v>565</v>
      </c>
      <c r="J86" t="s">
        <v>566</v>
      </c>
      <c r="K86" t="s">
        <v>567</v>
      </c>
      <c r="L86" t="s">
        <v>561</v>
      </c>
    </row>
    <row r="87" spans="1:12" x14ac:dyDescent="0.25">
      <c r="A87">
        <v>203108</v>
      </c>
      <c r="B87">
        <v>1328498</v>
      </c>
      <c r="D87" t="s">
        <v>569</v>
      </c>
      <c r="E87" t="s">
        <v>570</v>
      </c>
      <c r="F87" t="s">
        <v>571</v>
      </c>
      <c r="G87" t="s">
        <v>572</v>
      </c>
      <c r="H87" t="s">
        <v>573</v>
      </c>
      <c r="I87" t="s">
        <v>574</v>
      </c>
      <c r="J87" t="s">
        <v>575</v>
      </c>
      <c r="K87" t="s">
        <v>576</v>
      </c>
      <c r="L87" t="s">
        <v>568</v>
      </c>
    </row>
    <row r="88" spans="1:12" x14ac:dyDescent="0.25">
      <c r="A88">
        <v>203142</v>
      </c>
      <c r="B88">
        <v>203169</v>
      </c>
      <c r="D88">
        <v>0</v>
      </c>
      <c r="E88" t="s">
        <v>578</v>
      </c>
      <c r="F88" t="s">
        <v>579</v>
      </c>
      <c r="G88" t="s">
        <v>580</v>
      </c>
      <c r="H88" t="e" vm="36">
        <f>_FV(0,"014079889271034951")</f>
        <v>#VALUE!</v>
      </c>
      <c r="I88" t="s">
        <v>581</v>
      </c>
      <c r="J88" t="s">
        <v>582</v>
      </c>
      <c r="K88" t="s">
        <v>583</v>
      </c>
      <c r="L88" t="s">
        <v>577</v>
      </c>
    </row>
    <row r="89" spans="1:12" x14ac:dyDescent="0.25">
      <c r="A89">
        <v>203142</v>
      </c>
      <c r="B89">
        <v>203338</v>
      </c>
      <c r="D89" t="s">
        <v>585</v>
      </c>
      <c r="E89" t="s">
        <v>586</v>
      </c>
      <c r="F89" t="s">
        <v>587</v>
      </c>
      <c r="G89" t="s">
        <v>588</v>
      </c>
      <c r="H89" t="e" vm="37">
        <f>_FV(0,"013291499730480777")</f>
        <v>#VALUE!</v>
      </c>
      <c r="I89" t="s">
        <v>589</v>
      </c>
      <c r="J89" t="s">
        <v>590</v>
      </c>
      <c r="K89" t="s">
        <v>591</v>
      </c>
      <c r="L89" t="s">
        <v>584</v>
      </c>
    </row>
    <row r="90" spans="1:12" x14ac:dyDescent="0.25">
      <c r="A90">
        <v>203338</v>
      </c>
      <c r="B90">
        <v>203361</v>
      </c>
      <c r="D90">
        <v>0</v>
      </c>
      <c r="E90" t="s">
        <v>593</v>
      </c>
      <c r="F90" t="s">
        <v>594</v>
      </c>
      <c r="G90" t="s">
        <v>595</v>
      </c>
      <c r="H90" t="e" vm="38">
        <f>_FV(0,"03104998149985928")</f>
        <v>#VALUE!</v>
      </c>
      <c r="I90" t="s">
        <v>596</v>
      </c>
      <c r="J90" t="s">
        <v>597</v>
      </c>
      <c r="K90" t="s">
        <v>598</v>
      </c>
      <c r="L90" t="s">
        <v>592</v>
      </c>
    </row>
    <row r="91" spans="1:12" x14ac:dyDescent="0.25">
      <c r="A91">
        <v>203338</v>
      </c>
      <c r="B91">
        <v>744645</v>
      </c>
      <c r="D91">
        <v>0</v>
      </c>
      <c r="E91" t="s">
        <v>600</v>
      </c>
      <c r="F91" t="s">
        <v>601</v>
      </c>
      <c r="G91" t="s">
        <v>602</v>
      </c>
      <c r="H91" t="s">
        <v>603</v>
      </c>
      <c r="I91" t="s">
        <v>604</v>
      </c>
      <c r="J91" t="s">
        <v>605</v>
      </c>
      <c r="K91" t="s">
        <v>606</v>
      </c>
      <c r="L91" t="s">
        <v>599</v>
      </c>
    </row>
    <row r="92" spans="1:12" x14ac:dyDescent="0.25">
      <c r="A92">
        <v>203361</v>
      </c>
      <c r="B92">
        <v>248129</v>
      </c>
      <c r="D92" t="s">
        <v>608</v>
      </c>
      <c r="E92" t="s">
        <v>609</v>
      </c>
      <c r="F92" t="s">
        <v>610</v>
      </c>
      <c r="G92" t="s">
        <v>611</v>
      </c>
      <c r="H92" t="s">
        <v>612</v>
      </c>
      <c r="I92" t="s">
        <v>613</v>
      </c>
      <c r="J92" t="s">
        <v>614</v>
      </c>
      <c r="K92" t="s">
        <v>615</v>
      </c>
      <c r="L92" t="s">
        <v>607</v>
      </c>
    </row>
    <row r="93" spans="1:12" x14ac:dyDescent="0.25">
      <c r="A93">
        <v>203361</v>
      </c>
      <c r="B93">
        <v>744645</v>
      </c>
      <c r="D93">
        <v>0</v>
      </c>
      <c r="E93" t="s">
        <v>617</v>
      </c>
      <c r="F93" t="s">
        <v>618</v>
      </c>
      <c r="G93" t="s">
        <v>619</v>
      </c>
      <c r="H93" t="s">
        <v>620</v>
      </c>
      <c r="I93" t="s">
        <v>621</v>
      </c>
      <c r="J93" t="s">
        <v>616</v>
      </c>
      <c r="K93" t="s">
        <v>622</v>
      </c>
      <c r="L93" t="s">
        <v>616</v>
      </c>
    </row>
    <row r="94" spans="1:12" x14ac:dyDescent="0.25">
      <c r="A94">
        <v>203586</v>
      </c>
      <c r="B94">
        <v>248244</v>
      </c>
      <c r="D94" t="s">
        <v>624</v>
      </c>
      <c r="E94" t="s">
        <v>625</v>
      </c>
      <c r="F94" t="s">
        <v>626</v>
      </c>
      <c r="G94" t="s">
        <v>627</v>
      </c>
      <c r="H94" t="e" vm="39">
        <f>_FV(0,"012906626431416669")</f>
        <v>#VALUE!</v>
      </c>
      <c r="I94" t="s">
        <v>628</v>
      </c>
      <c r="J94" t="s">
        <v>629</v>
      </c>
      <c r="K94" t="s">
        <v>630</v>
      </c>
      <c r="L94" t="s">
        <v>623</v>
      </c>
    </row>
    <row r="95" spans="1:12" x14ac:dyDescent="0.25">
      <c r="A95">
        <v>203586</v>
      </c>
      <c r="B95">
        <v>248244</v>
      </c>
      <c r="D95">
        <v>0</v>
      </c>
      <c r="E95" t="s">
        <v>632</v>
      </c>
      <c r="F95" t="s">
        <v>633</v>
      </c>
      <c r="G95" t="s">
        <v>634</v>
      </c>
      <c r="H95" t="e" vm="40">
        <f>_FV(0,"007717009185175016")</f>
        <v>#VALUE!</v>
      </c>
      <c r="I95" t="s">
        <v>635</v>
      </c>
      <c r="J95" t="s">
        <v>636</v>
      </c>
      <c r="K95" t="s">
        <v>637</v>
      </c>
      <c r="L95" t="s">
        <v>631</v>
      </c>
    </row>
    <row r="96" spans="1:12" x14ac:dyDescent="0.25">
      <c r="A96">
        <v>209022</v>
      </c>
      <c r="B96">
        <v>1854791</v>
      </c>
      <c r="C96" t="s">
        <v>638</v>
      </c>
      <c r="D96">
        <v>0</v>
      </c>
      <c r="E96" t="s">
        <v>639</v>
      </c>
      <c r="H96" t="s">
        <v>187</v>
      </c>
      <c r="J96">
        <v>0</v>
      </c>
      <c r="K96" t="s">
        <v>395</v>
      </c>
      <c r="L96">
        <v>0</v>
      </c>
    </row>
    <row r="97" spans="1:12" x14ac:dyDescent="0.25">
      <c r="A97">
        <v>210544</v>
      </c>
      <c r="B97">
        <v>210545</v>
      </c>
      <c r="D97">
        <v>1</v>
      </c>
      <c r="F97">
        <v>198554</v>
      </c>
      <c r="G97">
        <v>210545</v>
      </c>
      <c r="H97" t="s">
        <v>241</v>
      </c>
      <c r="I97">
        <v>210544</v>
      </c>
      <c r="J97" t="s">
        <v>241</v>
      </c>
      <c r="K97" t="s">
        <v>640</v>
      </c>
      <c r="L97" t="s">
        <v>241</v>
      </c>
    </row>
    <row r="98" spans="1:12" x14ac:dyDescent="0.25">
      <c r="A98">
        <v>210544</v>
      </c>
      <c r="B98">
        <v>211769</v>
      </c>
      <c r="D98">
        <v>0</v>
      </c>
      <c r="E98" t="s">
        <v>642</v>
      </c>
      <c r="F98" t="s">
        <v>643</v>
      </c>
      <c r="G98" t="s">
        <v>644</v>
      </c>
      <c r="H98" t="s">
        <v>645</v>
      </c>
      <c r="I98" t="s">
        <v>646</v>
      </c>
      <c r="J98" t="s">
        <v>641</v>
      </c>
      <c r="K98" t="s">
        <v>647</v>
      </c>
      <c r="L98" t="s">
        <v>641</v>
      </c>
    </row>
    <row r="99" spans="1:12" x14ac:dyDescent="0.25">
      <c r="A99">
        <v>210544</v>
      </c>
      <c r="B99">
        <v>211777</v>
      </c>
      <c r="D99">
        <v>0</v>
      </c>
      <c r="E99" t="s">
        <v>649</v>
      </c>
      <c r="F99" t="s">
        <v>650</v>
      </c>
      <c r="G99" t="s">
        <v>651</v>
      </c>
      <c r="H99" t="s">
        <v>652</v>
      </c>
      <c r="I99" t="s">
        <v>653</v>
      </c>
      <c r="J99" t="s">
        <v>648</v>
      </c>
      <c r="K99" t="s">
        <v>654</v>
      </c>
      <c r="L99" t="s">
        <v>648</v>
      </c>
    </row>
    <row r="100" spans="1:12" x14ac:dyDescent="0.25">
      <c r="A100">
        <v>210545</v>
      </c>
      <c r="B100">
        <v>211809</v>
      </c>
      <c r="D100">
        <v>0</v>
      </c>
      <c r="E100" t="s">
        <v>655</v>
      </c>
      <c r="F100" t="s">
        <v>656</v>
      </c>
      <c r="G100" t="s">
        <v>657</v>
      </c>
      <c r="H100" t="s">
        <v>658</v>
      </c>
      <c r="I100" t="s">
        <v>659</v>
      </c>
      <c r="J100" t="s">
        <v>243</v>
      </c>
      <c r="K100" t="s">
        <v>660</v>
      </c>
      <c r="L100" t="s">
        <v>243</v>
      </c>
    </row>
    <row r="101" spans="1:12" x14ac:dyDescent="0.25">
      <c r="A101">
        <v>210545</v>
      </c>
      <c r="B101">
        <v>211847</v>
      </c>
      <c r="D101">
        <v>0</v>
      </c>
      <c r="E101" t="s">
        <v>662</v>
      </c>
      <c r="F101" t="s">
        <v>663</v>
      </c>
      <c r="G101" t="s">
        <v>664</v>
      </c>
      <c r="H101" t="s">
        <v>665</v>
      </c>
      <c r="I101" t="s">
        <v>666</v>
      </c>
      <c r="J101" t="s">
        <v>661</v>
      </c>
      <c r="K101" t="s">
        <v>667</v>
      </c>
      <c r="L101" t="s">
        <v>661</v>
      </c>
    </row>
    <row r="102" spans="1:12" x14ac:dyDescent="0.25">
      <c r="A102">
        <v>210995</v>
      </c>
      <c r="B102">
        <v>210996</v>
      </c>
      <c r="D102">
        <v>0</v>
      </c>
      <c r="F102">
        <v>199130</v>
      </c>
      <c r="G102">
        <v>210996</v>
      </c>
      <c r="H102" t="e" vm="41">
        <f>_FV(0,"058")</f>
        <v>#VALUE!</v>
      </c>
      <c r="I102">
        <v>210995</v>
      </c>
      <c r="J102" t="s">
        <v>668</v>
      </c>
      <c r="K102" t="s">
        <v>669</v>
      </c>
      <c r="L102" t="e" vm="41">
        <f>_FV(0,"058")</f>
        <v>#VALUE!</v>
      </c>
    </row>
    <row r="103" spans="1:12" x14ac:dyDescent="0.25">
      <c r="A103">
        <v>210995</v>
      </c>
      <c r="B103">
        <v>211952</v>
      </c>
      <c r="D103">
        <v>0</v>
      </c>
      <c r="E103" t="s">
        <v>671</v>
      </c>
      <c r="F103" t="s">
        <v>672</v>
      </c>
      <c r="G103" t="s">
        <v>673</v>
      </c>
      <c r="H103" t="e" vm="42">
        <f>_FV(0,"046267461899984444")</f>
        <v>#VALUE!</v>
      </c>
      <c r="I103" t="s">
        <v>674</v>
      </c>
      <c r="J103" t="s">
        <v>675</v>
      </c>
      <c r="K103" t="s">
        <v>676</v>
      </c>
      <c r="L103" t="s">
        <v>670</v>
      </c>
    </row>
    <row r="104" spans="1:12" x14ac:dyDescent="0.25">
      <c r="A104">
        <v>210995</v>
      </c>
      <c r="B104">
        <v>211963</v>
      </c>
      <c r="D104">
        <v>0</v>
      </c>
      <c r="E104" t="s">
        <v>678</v>
      </c>
      <c r="F104" t="s">
        <v>679</v>
      </c>
      <c r="G104" t="s">
        <v>680</v>
      </c>
      <c r="H104" t="e" vm="43">
        <f>_FV(0,"0182155868988528")</f>
        <v>#VALUE!</v>
      </c>
      <c r="I104" t="s">
        <v>681</v>
      </c>
      <c r="J104" t="s">
        <v>682</v>
      </c>
      <c r="K104" t="s">
        <v>683</v>
      </c>
      <c r="L104" t="s">
        <v>677</v>
      </c>
    </row>
    <row r="105" spans="1:12" x14ac:dyDescent="0.25">
      <c r="A105">
        <v>210996</v>
      </c>
      <c r="B105">
        <v>212002</v>
      </c>
      <c r="D105">
        <v>0</v>
      </c>
      <c r="E105" t="s">
        <v>684</v>
      </c>
      <c r="F105" t="s">
        <v>685</v>
      </c>
      <c r="G105" t="s">
        <v>686</v>
      </c>
      <c r="H105" t="e" vm="44">
        <f>_FV(0,"053")</f>
        <v>#VALUE!</v>
      </c>
      <c r="I105" t="s">
        <v>687</v>
      </c>
      <c r="J105" t="s">
        <v>688</v>
      </c>
      <c r="K105" t="s">
        <v>689</v>
      </c>
      <c r="L105" t="e" vm="44">
        <f>_FV(0,"053")</f>
        <v>#VALUE!</v>
      </c>
    </row>
    <row r="106" spans="1:12" x14ac:dyDescent="0.25">
      <c r="A106">
        <v>210996</v>
      </c>
      <c r="B106">
        <v>212041</v>
      </c>
      <c r="D106">
        <v>0</v>
      </c>
      <c r="E106" t="s">
        <v>691</v>
      </c>
      <c r="F106" t="s">
        <v>692</v>
      </c>
      <c r="G106" t="s">
        <v>693</v>
      </c>
      <c r="H106" t="e" vm="45">
        <f>_FV(0,"05376564013863207")</f>
        <v>#VALUE!</v>
      </c>
      <c r="I106" t="s">
        <v>694</v>
      </c>
      <c r="J106" t="s">
        <v>695</v>
      </c>
      <c r="K106" t="s">
        <v>696</v>
      </c>
      <c r="L106" t="s">
        <v>690</v>
      </c>
    </row>
    <row r="107" spans="1:12" x14ac:dyDescent="0.25">
      <c r="A107">
        <v>211645</v>
      </c>
      <c r="B107">
        <v>211646</v>
      </c>
      <c r="D107">
        <v>1</v>
      </c>
      <c r="F107">
        <v>199939</v>
      </c>
      <c r="G107">
        <v>211646</v>
      </c>
      <c r="H107" t="s">
        <v>697</v>
      </c>
      <c r="I107">
        <v>211645</v>
      </c>
      <c r="J107" t="s">
        <v>697</v>
      </c>
      <c r="K107" t="s">
        <v>698</v>
      </c>
      <c r="L107" t="s">
        <v>697</v>
      </c>
    </row>
    <row r="108" spans="1:12" x14ac:dyDescent="0.25">
      <c r="A108">
        <v>211645</v>
      </c>
      <c r="B108">
        <v>212063</v>
      </c>
      <c r="D108" t="s">
        <v>700</v>
      </c>
      <c r="E108" t="s">
        <v>701</v>
      </c>
      <c r="F108" t="s">
        <v>702</v>
      </c>
      <c r="G108" t="s">
        <v>703</v>
      </c>
      <c r="H108" t="s">
        <v>704</v>
      </c>
      <c r="I108" t="s">
        <v>705</v>
      </c>
      <c r="J108" t="s">
        <v>699</v>
      </c>
      <c r="K108" t="s">
        <v>706</v>
      </c>
      <c r="L108" t="s">
        <v>699</v>
      </c>
    </row>
    <row r="109" spans="1:12" x14ac:dyDescent="0.25">
      <c r="A109">
        <v>211645</v>
      </c>
      <c r="B109">
        <v>212076</v>
      </c>
      <c r="D109" t="s">
        <v>700</v>
      </c>
      <c r="E109" t="s">
        <v>708</v>
      </c>
      <c r="F109" t="s">
        <v>709</v>
      </c>
      <c r="G109" t="s">
        <v>710</v>
      </c>
      <c r="H109" t="s">
        <v>711</v>
      </c>
      <c r="I109" t="s">
        <v>712</v>
      </c>
      <c r="J109" t="s">
        <v>707</v>
      </c>
      <c r="K109" t="s">
        <v>713</v>
      </c>
      <c r="L109" t="s">
        <v>707</v>
      </c>
    </row>
    <row r="110" spans="1:12" x14ac:dyDescent="0.25">
      <c r="A110">
        <v>211646</v>
      </c>
      <c r="B110">
        <v>212102</v>
      </c>
      <c r="D110" t="s">
        <v>715</v>
      </c>
      <c r="E110" t="s">
        <v>716</v>
      </c>
      <c r="F110" t="s">
        <v>717</v>
      </c>
      <c r="G110" t="s">
        <v>718</v>
      </c>
      <c r="H110" t="s">
        <v>719</v>
      </c>
      <c r="I110" t="s">
        <v>720</v>
      </c>
      <c r="J110" t="s">
        <v>714</v>
      </c>
      <c r="K110" t="s">
        <v>721</v>
      </c>
      <c r="L110" t="s">
        <v>714</v>
      </c>
    </row>
    <row r="111" spans="1:12" x14ac:dyDescent="0.25">
      <c r="A111">
        <v>211646</v>
      </c>
      <c r="B111">
        <v>212139</v>
      </c>
      <c r="D111" t="s">
        <v>715</v>
      </c>
      <c r="E111" t="s">
        <v>723</v>
      </c>
      <c r="F111" t="s">
        <v>724</v>
      </c>
      <c r="G111" t="s">
        <v>725</v>
      </c>
      <c r="H111" t="s">
        <v>726</v>
      </c>
      <c r="I111" t="s">
        <v>727</v>
      </c>
      <c r="J111" t="s">
        <v>722</v>
      </c>
      <c r="K111" t="s">
        <v>728</v>
      </c>
      <c r="L111" t="s">
        <v>722</v>
      </c>
    </row>
    <row r="112" spans="1:12" x14ac:dyDescent="0.25">
      <c r="A112">
        <v>211769</v>
      </c>
      <c r="B112">
        <v>211777</v>
      </c>
      <c r="D112">
        <v>0</v>
      </c>
      <c r="E112" t="s">
        <v>730</v>
      </c>
      <c r="F112" t="s">
        <v>731</v>
      </c>
      <c r="G112" t="s">
        <v>732</v>
      </c>
      <c r="H112" t="e" vm="46">
        <f>_FV(0,"014338624687749227")</f>
        <v>#VALUE!</v>
      </c>
      <c r="I112" t="s">
        <v>733</v>
      </c>
      <c r="J112" t="s">
        <v>734</v>
      </c>
      <c r="K112" t="s">
        <v>735</v>
      </c>
      <c r="L112" t="s">
        <v>729</v>
      </c>
    </row>
    <row r="113" spans="1:12" x14ac:dyDescent="0.25">
      <c r="A113">
        <v>211769</v>
      </c>
      <c r="B113">
        <v>211798</v>
      </c>
      <c r="D113">
        <v>0</v>
      </c>
      <c r="F113">
        <v>200123</v>
      </c>
      <c r="G113">
        <v>211769</v>
      </c>
      <c r="H113" t="s">
        <v>226</v>
      </c>
      <c r="I113">
        <v>211798</v>
      </c>
      <c r="J113" t="s">
        <v>226</v>
      </c>
      <c r="K113" t="s">
        <v>736</v>
      </c>
      <c r="L113" t="s">
        <v>226</v>
      </c>
    </row>
    <row r="114" spans="1:12" x14ac:dyDescent="0.25">
      <c r="A114">
        <v>211777</v>
      </c>
      <c r="B114">
        <v>211784</v>
      </c>
      <c r="D114">
        <v>0</v>
      </c>
      <c r="F114">
        <v>200099</v>
      </c>
      <c r="G114">
        <v>211784</v>
      </c>
      <c r="H114" t="e" vm="47">
        <f>_FV(0,"016")</f>
        <v>#VALUE!</v>
      </c>
      <c r="I114">
        <v>211777</v>
      </c>
      <c r="J114" t="s">
        <v>737</v>
      </c>
      <c r="K114" t="s">
        <v>738</v>
      </c>
      <c r="L114" t="e" vm="47">
        <f>_FV(0,"016")</f>
        <v>#VALUE!</v>
      </c>
    </row>
    <row r="115" spans="1:12" x14ac:dyDescent="0.25">
      <c r="A115">
        <v>211784</v>
      </c>
      <c r="B115">
        <v>211798</v>
      </c>
      <c r="D115">
        <v>0</v>
      </c>
      <c r="E115" t="s">
        <v>740</v>
      </c>
      <c r="F115" t="s">
        <v>741</v>
      </c>
      <c r="G115" t="s">
        <v>742</v>
      </c>
      <c r="H115" t="s">
        <v>743</v>
      </c>
      <c r="I115" t="s">
        <v>744</v>
      </c>
      <c r="J115" t="s">
        <v>739</v>
      </c>
      <c r="K115" t="s">
        <v>745</v>
      </c>
      <c r="L115" t="s">
        <v>739</v>
      </c>
    </row>
    <row r="116" spans="1:12" x14ac:dyDescent="0.25">
      <c r="A116">
        <v>211784</v>
      </c>
      <c r="B116">
        <v>264384</v>
      </c>
      <c r="D116">
        <v>0</v>
      </c>
      <c r="E116" t="s">
        <v>747</v>
      </c>
      <c r="F116" t="s">
        <v>748</v>
      </c>
      <c r="G116" t="s">
        <v>749</v>
      </c>
      <c r="H116" t="s">
        <v>750</v>
      </c>
      <c r="I116" t="s">
        <v>751</v>
      </c>
      <c r="J116" t="s">
        <v>746</v>
      </c>
      <c r="K116" t="s">
        <v>752</v>
      </c>
      <c r="L116" t="s">
        <v>746</v>
      </c>
    </row>
    <row r="117" spans="1:12" x14ac:dyDescent="0.25">
      <c r="A117">
        <v>211798</v>
      </c>
      <c r="B117">
        <v>264414</v>
      </c>
      <c r="D117">
        <v>0</v>
      </c>
      <c r="E117" t="s">
        <v>754</v>
      </c>
      <c r="F117" t="s">
        <v>755</v>
      </c>
      <c r="G117" t="s">
        <v>756</v>
      </c>
      <c r="H117" t="s">
        <v>757</v>
      </c>
      <c r="I117" t="s">
        <v>758</v>
      </c>
      <c r="J117" t="s">
        <v>759</v>
      </c>
      <c r="K117" t="s">
        <v>760</v>
      </c>
      <c r="L117" t="s">
        <v>753</v>
      </c>
    </row>
    <row r="118" spans="1:12" x14ac:dyDescent="0.25">
      <c r="A118">
        <v>211809</v>
      </c>
      <c r="B118">
        <v>211810</v>
      </c>
      <c r="D118">
        <v>0</v>
      </c>
      <c r="F118">
        <v>200131</v>
      </c>
      <c r="G118">
        <v>211810</v>
      </c>
      <c r="H118" t="s">
        <v>761</v>
      </c>
      <c r="I118">
        <v>211809</v>
      </c>
      <c r="J118" t="s">
        <v>761</v>
      </c>
      <c r="K118" t="s">
        <v>762</v>
      </c>
      <c r="L118" t="s">
        <v>761</v>
      </c>
    </row>
    <row r="119" spans="1:12" x14ac:dyDescent="0.25">
      <c r="A119">
        <v>211809</v>
      </c>
      <c r="B119">
        <v>211847</v>
      </c>
      <c r="D119">
        <v>0</v>
      </c>
      <c r="E119" t="s">
        <v>764</v>
      </c>
      <c r="F119" t="s">
        <v>765</v>
      </c>
      <c r="G119" t="s">
        <v>766</v>
      </c>
      <c r="H119" t="s">
        <v>767</v>
      </c>
      <c r="I119" t="s">
        <v>768</v>
      </c>
      <c r="J119" t="s">
        <v>763</v>
      </c>
      <c r="K119" t="s">
        <v>769</v>
      </c>
      <c r="L119" t="s">
        <v>763</v>
      </c>
    </row>
    <row r="120" spans="1:12" x14ac:dyDescent="0.25">
      <c r="A120">
        <v>211810</v>
      </c>
      <c r="B120">
        <v>211839</v>
      </c>
      <c r="D120">
        <v>0</v>
      </c>
      <c r="E120" t="s">
        <v>771</v>
      </c>
      <c r="F120" t="s">
        <v>772</v>
      </c>
      <c r="G120" t="s">
        <v>773</v>
      </c>
      <c r="H120" t="e" vm="48">
        <f>_FV(0,"00607430967514598")</f>
        <v>#VALUE!</v>
      </c>
      <c r="I120" t="s">
        <v>774</v>
      </c>
      <c r="J120" t="s">
        <v>775</v>
      </c>
      <c r="K120" t="s">
        <v>776</v>
      </c>
      <c r="L120" t="s">
        <v>770</v>
      </c>
    </row>
    <row r="121" spans="1:12" x14ac:dyDescent="0.25">
      <c r="A121">
        <v>211810</v>
      </c>
      <c r="B121">
        <v>264407</v>
      </c>
      <c r="D121">
        <v>0</v>
      </c>
      <c r="E121" t="s">
        <v>778</v>
      </c>
      <c r="F121" t="s">
        <v>779</v>
      </c>
      <c r="G121" t="s">
        <v>780</v>
      </c>
      <c r="H121" t="e" vm="49">
        <f>_FV(0,"007298435577741683")</f>
        <v>#VALUE!</v>
      </c>
      <c r="I121" t="s">
        <v>781</v>
      </c>
      <c r="J121" t="s">
        <v>782</v>
      </c>
      <c r="K121" t="s">
        <v>783</v>
      </c>
      <c r="L121" t="s">
        <v>777</v>
      </c>
    </row>
    <row r="122" spans="1:12" x14ac:dyDescent="0.25">
      <c r="A122">
        <v>211839</v>
      </c>
      <c r="B122">
        <v>211847</v>
      </c>
      <c r="D122">
        <v>0</v>
      </c>
      <c r="F122">
        <v>200171</v>
      </c>
      <c r="G122">
        <v>211847</v>
      </c>
      <c r="H122" t="e" vm="18">
        <f>_FV(0,"004")</f>
        <v>#VALUE!</v>
      </c>
      <c r="I122">
        <v>211839</v>
      </c>
      <c r="J122" t="s">
        <v>239</v>
      </c>
      <c r="K122" t="s">
        <v>784</v>
      </c>
      <c r="L122" t="e" vm="18">
        <f>_FV(0,"004")</f>
        <v>#VALUE!</v>
      </c>
    </row>
    <row r="123" spans="1:12" x14ac:dyDescent="0.25">
      <c r="A123">
        <v>211839</v>
      </c>
      <c r="B123">
        <v>264384</v>
      </c>
      <c r="D123">
        <v>0</v>
      </c>
      <c r="E123" t="s">
        <v>786</v>
      </c>
      <c r="F123" t="s">
        <v>787</v>
      </c>
      <c r="G123" t="s">
        <v>788</v>
      </c>
      <c r="H123" t="e" vm="50">
        <f>_FV(0,"006809709816793432")</f>
        <v>#VALUE!</v>
      </c>
      <c r="I123" t="s">
        <v>789</v>
      </c>
      <c r="J123" t="s">
        <v>790</v>
      </c>
      <c r="K123" t="s">
        <v>791</v>
      </c>
      <c r="L123" t="s">
        <v>785</v>
      </c>
    </row>
    <row r="124" spans="1:12" x14ac:dyDescent="0.25">
      <c r="A124">
        <v>211952</v>
      </c>
      <c r="B124">
        <v>211963</v>
      </c>
      <c r="D124">
        <v>0</v>
      </c>
      <c r="E124" t="s">
        <v>793</v>
      </c>
      <c r="F124" t="s">
        <v>794</v>
      </c>
      <c r="G124" t="s">
        <v>795</v>
      </c>
      <c r="H124" t="e" vm="51">
        <f>_FV(0,"058528640466317894")</f>
        <v>#VALUE!</v>
      </c>
      <c r="I124" t="s">
        <v>796</v>
      </c>
      <c r="J124" t="s">
        <v>797</v>
      </c>
      <c r="K124" t="s">
        <v>798</v>
      </c>
      <c r="L124" t="s">
        <v>792</v>
      </c>
    </row>
    <row r="125" spans="1:12" x14ac:dyDescent="0.25">
      <c r="A125">
        <v>211952</v>
      </c>
      <c r="B125">
        <v>211979</v>
      </c>
      <c r="D125">
        <v>0</v>
      </c>
      <c r="E125" t="s">
        <v>800</v>
      </c>
      <c r="F125" t="s">
        <v>801</v>
      </c>
      <c r="G125" t="s">
        <v>802</v>
      </c>
      <c r="H125" t="s">
        <v>803</v>
      </c>
      <c r="I125" t="s">
        <v>804</v>
      </c>
      <c r="J125" t="s">
        <v>805</v>
      </c>
      <c r="K125" t="s">
        <v>806</v>
      </c>
      <c r="L125" t="s">
        <v>799</v>
      </c>
    </row>
    <row r="126" spans="1:12" x14ac:dyDescent="0.25">
      <c r="A126">
        <v>211963</v>
      </c>
      <c r="B126">
        <v>211970</v>
      </c>
      <c r="D126">
        <v>0</v>
      </c>
      <c r="F126">
        <v>200323</v>
      </c>
      <c r="G126">
        <v>211970</v>
      </c>
      <c r="H126" t="e" vm="19">
        <f>_FV(0,"036")</f>
        <v>#VALUE!</v>
      </c>
      <c r="I126">
        <v>211963</v>
      </c>
      <c r="J126" t="s">
        <v>279</v>
      </c>
      <c r="K126" t="s">
        <v>807</v>
      </c>
      <c r="L126" t="e" vm="19">
        <f>_FV(0,"036")</f>
        <v>#VALUE!</v>
      </c>
    </row>
    <row r="127" spans="1:12" x14ac:dyDescent="0.25">
      <c r="A127">
        <v>211970</v>
      </c>
      <c r="B127">
        <v>211979</v>
      </c>
      <c r="D127">
        <v>0</v>
      </c>
      <c r="E127" t="s">
        <v>809</v>
      </c>
      <c r="F127" t="s">
        <v>810</v>
      </c>
      <c r="G127" t="s">
        <v>811</v>
      </c>
      <c r="H127" t="s">
        <v>812</v>
      </c>
      <c r="I127" t="s">
        <v>813</v>
      </c>
      <c r="J127" t="s">
        <v>808</v>
      </c>
      <c r="K127" t="s">
        <v>814</v>
      </c>
      <c r="L127" t="s">
        <v>808</v>
      </c>
    </row>
    <row r="128" spans="1:12" x14ac:dyDescent="0.25">
      <c r="A128">
        <v>211970</v>
      </c>
      <c r="B128">
        <v>266412</v>
      </c>
      <c r="D128">
        <v>0</v>
      </c>
      <c r="E128" t="s">
        <v>816</v>
      </c>
      <c r="F128" t="s">
        <v>817</v>
      </c>
      <c r="G128" t="s">
        <v>818</v>
      </c>
      <c r="H128" t="s">
        <v>819</v>
      </c>
      <c r="I128" t="s">
        <v>820</v>
      </c>
      <c r="J128" t="s">
        <v>821</v>
      </c>
      <c r="K128" t="s">
        <v>822</v>
      </c>
      <c r="L128" t="s">
        <v>815</v>
      </c>
    </row>
    <row r="129" spans="1:12" x14ac:dyDescent="0.25">
      <c r="A129">
        <v>211979</v>
      </c>
      <c r="B129">
        <v>266412</v>
      </c>
      <c r="D129">
        <v>0</v>
      </c>
      <c r="E129" t="s">
        <v>824</v>
      </c>
      <c r="F129" t="s">
        <v>825</v>
      </c>
      <c r="G129" t="s">
        <v>826</v>
      </c>
      <c r="H129" t="s">
        <v>827</v>
      </c>
      <c r="I129" t="s">
        <v>828</v>
      </c>
      <c r="J129" t="s">
        <v>823</v>
      </c>
      <c r="K129" t="s">
        <v>829</v>
      </c>
      <c r="L129" t="s">
        <v>823</v>
      </c>
    </row>
    <row r="130" spans="1:12" x14ac:dyDescent="0.25">
      <c r="A130">
        <v>212002</v>
      </c>
      <c r="B130">
        <v>212021</v>
      </c>
      <c r="D130">
        <v>0</v>
      </c>
      <c r="E130" t="s">
        <v>831</v>
      </c>
      <c r="F130" t="s">
        <v>832</v>
      </c>
      <c r="G130" t="s">
        <v>833</v>
      </c>
      <c r="H130" t="e" vm="52">
        <f>_FV(0,"021465200015738383")</f>
        <v>#VALUE!</v>
      </c>
      <c r="I130" t="s">
        <v>834</v>
      </c>
      <c r="J130" t="s">
        <v>835</v>
      </c>
      <c r="K130" t="s">
        <v>836</v>
      </c>
      <c r="L130" t="s">
        <v>830</v>
      </c>
    </row>
    <row r="131" spans="1:12" x14ac:dyDescent="0.25">
      <c r="A131">
        <v>212002</v>
      </c>
      <c r="B131">
        <v>212041</v>
      </c>
      <c r="D131">
        <v>0</v>
      </c>
      <c r="E131" t="s">
        <v>838</v>
      </c>
      <c r="F131" t="s">
        <v>839</v>
      </c>
      <c r="G131" t="s">
        <v>840</v>
      </c>
      <c r="H131" t="e" vm="53">
        <f>_FV(0,"01819718400141914")</f>
        <v>#VALUE!</v>
      </c>
      <c r="I131" t="s">
        <v>841</v>
      </c>
      <c r="J131" t="s">
        <v>842</v>
      </c>
      <c r="K131" t="s">
        <v>843</v>
      </c>
      <c r="L131" t="s">
        <v>837</v>
      </c>
    </row>
    <row r="132" spans="1:12" x14ac:dyDescent="0.25">
      <c r="A132">
        <v>212021</v>
      </c>
      <c r="B132">
        <v>212035</v>
      </c>
      <c r="D132">
        <v>0</v>
      </c>
      <c r="E132" t="s">
        <v>845</v>
      </c>
      <c r="F132" t="s">
        <v>846</v>
      </c>
      <c r="G132" t="s">
        <v>847</v>
      </c>
      <c r="H132" t="s">
        <v>848</v>
      </c>
      <c r="I132" t="s">
        <v>849</v>
      </c>
      <c r="J132" t="s">
        <v>844</v>
      </c>
      <c r="K132" t="s">
        <v>850</v>
      </c>
      <c r="L132" t="s">
        <v>844</v>
      </c>
    </row>
    <row r="133" spans="1:12" x14ac:dyDescent="0.25">
      <c r="A133">
        <v>212021</v>
      </c>
      <c r="B133">
        <v>266417</v>
      </c>
      <c r="D133">
        <v>0</v>
      </c>
      <c r="E133" t="s">
        <v>852</v>
      </c>
      <c r="F133" t="s">
        <v>853</v>
      </c>
      <c r="G133" t="s">
        <v>854</v>
      </c>
      <c r="H133" t="s">
        <v>855</v>
      </c>
      <c r="I133" t="s">
        <v>856</v>
      </c>
      <c r="J133" t="s">
        <v>857</v>
      </c>
      <c r="K133" t="s">
        <v>858</v>
      </c>
      <c r="L133" t="s">
        <v>851</v>
      </c>
    </row>
    <row r="134" spans="1:12" x14ac:dyDescent="0.25">
      <c r="A134">
        <v>212035</v>
      </c>
      <c r="B134">
        <v>212041</v>
      </c>
      <c r="D134">
        <v>0</v>
      </c>
      <c r="F134">
        <v>200419</v>
      </c>
      <c r="G134">
        <v>212041</v>
      </c>
      <c r="H134" t="s">
        <v>467</v>
      </c>
      <c r="I134">
        <v>212035</v>
      </c>
      <c r="J134" t="s">
        <v>467</v>
      </c>
      <c r="K134" t="s">
        <v>859</v>
      </c>
      <c r="L134" t="s">
        <v>467</v>
      </c>
    </row>
    <row r="135" spans="1:12" x14ac:dyDescent="0.25">
      <c r="A135">
        <v>212035</v>
      </c>
      <c r="B135">
        <v>266417</v>
      </c>
      <c r="D135">
        <v>0</v>
      </c>
      <c r="E135" t="s">
        <v>861</v>
      </c>
      <c r="F135" t="s">
        <v>862</v>
      </c>
      <c r="G135" t="s">
        <v>863</v>
      </c>
      <c r="H135" t="e" vm="54">
        <f>_FV(0,"01914549669497625")</f>
        <v>#VALUE!</v>
      </c>
      <c r="I135" t="s">
        <v>864</v>
      </c>
      <c r="J135" t="s">
        <v>865</v>
      </c>
      <c r="K135" t="s">
        <v>866</v>
      </c>
      <c r="L135" t="s">
        <v>860</v>
      </c>
    </row>
    <row r="136" spans="1:12" x14ac:dyDescent="0.25">
      <c r="A136">
        <v>212056</v>
      </c>
      <c r="B136">
        <v>212063</v>
      </c>
      <c r="D136">
        <v>0</v>
      </c>
      <c r="F136">
        <v>200451</v>
      </c>
      <c r="G136">
        <v>212063</v>
      </c>
      <c r="H136" t="s">
        <v>737</v>
      </c>
      <c r="I136">
        <v>212056</v>
      </c>
      <c r="J136" t="s">
        <v>737</v>
      </c>
      <c r="K136" t="s">
        <v>867</v>
      </c>
      <c r="L136" t="s">
        <v>737</v>
      </c>
    </row>
    <row r="137" spans="1:12" x14ac:dyDescent="0.25">
      <c r="A137">
        <v>212056</v>
      </c>
      <c r="B137">
        <v>264541</v>
      </c>
      <c r="D137">
        <v>0</v>
      </c>
      <c r="E137" t="s">
        <v>869</v>
      </c>
      <c r="F137" t="s">
        <v>870</v>
      </c>
      <c r="G137" t="s">
        <v>871</v>
      </c>
      <c r="H137" t="s">
        <v>872</v>
      </c>
      <c r="I137" t="s">
        <v>873</v>
      </c>
      <c r="J137" t="s">
        <v>868</v>
      </c>
      <c r="K137" t="s">
        <v>874</v>
      </c>
      <c r="L137" t="s">
        <v>868</v>
      </c>
    </row>
    <row r="138" spans="1:12" x14ac:dyDescent="0.25">
      <c r="A138">
        <v>212056</v>
      </c>
      <c r="B138">
        <v>212080</v>
      </c>
      <c r="D138">
        <v>0</v>
      </c>
      <c r="E138" t="s">
        <v>876</v>
      </c>
      <c r="F138" t="s">
        <v>877</v>
      </c>
      <c r="G138" t="s">
        <v>878</v>
      </c>
      <c r="H138" t="s">
        <v>879</v>
      </c>
      <c r="I138" t="s">
        <v>880</v>
      </c>
      <c r="J138" t="s">
        <v>881</v>
      </c>
      <c r="K138" t="s">
        <v>882</v>
      </c>
      <c r="L138" t="s">
        <v>875</v>
      </c>
    </row>
    <row r="139" spans="1:12" x14ac:dyDescent="0.25">
      <c r="A139">
        <v>212063</v>
      </c>
      <c r="B139">
        <v>212076</v>
      </c>
      <c r="D139">
        <v>0</v>
      </c>
      <c r="E139" t="s">
        <v>884</v>
      </c>
      <c r="F139" t="s">
        <v>885</v>
      </c>
      <c r="G139" t="s">
        <v>886</v>
      </c>
      <c r="H139" t="e" vm="55">
        <f>_FV(0,"017183897396651274")</f>
        <v>#VALUE!</v>
      </c>
      <c r="I139" t="s">
        <v>887</v>
      </c>
      <c r="J139" t="s">
        <v>888</v>
      </c>
      <c r="K139" t="s">
        <v>889</v>
      </c>
      <c r="L139" t="s">
        <v>883</v>
      </c>
    </row>
    <row r="140" spans="1:12" x14ac:dyDescent="0.25">
      <c r="A140">
        <v>212076</v>
      </c>
      <c r="B140">
        <v>212080</v>
      </c>
      <c r="D140">
        <v>0</v>
      </c>
      <c r="F140">
        <v>200475</v>
      </c>
      <c r="G140">
        <v>212080</v>
      </c>
      <c r="H140" t="e" vm="56">
        <f>_FV(0,"023")</f>
        <v>#VALUE!</v>
      </c>
      <c r="I140">
        <v>212076</v>
      </c>
      <c r="J140" t="s">
        <v>890</v>
      </c>
      <c r="K140" t="s">
        <v>891</v>
      </c>
      <c r="L140" t="e" vm="56">
        <f>_FV(0,"023")</f>
        <v>#VALUE!</v>
      </c>
    </row>
    <row r="141" spans="1:12" x14ac:dyDescent="0.25">
      <c r="A141">
        <v>212080</v>
      </c>
      <c r="B141">
        <v>264500</v>
      </c>
      <c r="D141">
        <v>0</v>
      </c>
      <c r="E141" t="s">
        <v>893</v>
      </c>
      <c r="F141" t="s">
        <v>894</v>
      </c>
      <c r="G141" t="s">
        <v>895</v>
      </c>
      <c r="H141" t="s">
        <v>896</v>
      </c>
      <c r="I141" t="s">
        <v>897</v>
      </c>
      <c r="J141" t="s">
        <v>892</v>
      </c>
      <c r="K141" t="s">
        <v>898</v>
      </c>
      <c r="L141" t="s">
        <v>892</v>
      </c>
    </row>
    <row r="142" spans="1:12" x14ac:dyDescent="0.25">
      <c r="A142">
        <v>212102</v>
      </c>
      <c r="B142">
        <v>212103</v>
      </c>
      <c r="D142">
        <v>0</v>
      </c>
      <c r="F142">
        <v>200507</v>
      </c>
      <c r="G142">
        <v>212103</v>
      </c>
      <c r="H142" t="s">
        <v>899</v>
      </c>
      <c r="I142">
        <v>212102</v>
      </c>
      <c r="J142" t="s">
        <v>899</v>
      </c>
      <c r="K142" t="s">
        <v>900</v>
      </c>
      <c r="L142" t="s">
        <v>899</v>
      </c>
    </row>
    <row r="143" spans="1:12" x14ac:dyDescent="0.25">
      <c r="A143">
        <v>212102</v>
      </c>
      <c r="B143">
        <v>212139</v>
      </c>
      <c r="D143">
        <v>0</v>
      </c>
      <c r="E143" t="s">
        <v>902</v>
      </c>
      <c r="F143" t="s">
        <v>903</v>
      </c>
      <c r="G143" t="s">
        <v>904</v>
      </c>
      <c r="H143" t="s">
        <v>905</v>
      </c>
      <c r="I143" t="s">
        <v>906</v>
      </c>
      <c r="J143" t="s">
        <v>901</v>
      </c>
      <c r="K143" t="s">
        <v>907</v>
      </c>
      <c r="L143" t="s">
        <v>901</v>
      </c>
    </row>
    <row r="144" spans="1:12" x14ac:dyDescent="0.25">
      <c r="A144">
        <v>212103</v>
      </c>
      <c r="B144">
        <v>212132</v>
      </c>
      <c r="D144">
        <v>0</v>
      </c>
      <c r="E144" t="s">
        <v>909</v>
      </c>
      <c r="F144" t="s">
        <v>910</v>
      </c>
      <c r="G144" t="s">
        <v>911</v>
      </c>
      <c r="H144" t="e" vm="57">
        <f>_FV(0,"010509803335718918")</f>
        <v>#VALUE!</v>
      </c>
      <c r="I144" t="s">
        <v>912</v>
      </c>
      <c r="J144" t="s">
        <v>913</v>
      </c>
      <c r="K144" t="s">
        <v>914</v>
      </c>
      <c r="L144" t="s">
        <v>908</v>
      </c>
    </row>
    <row r="145" spans="1:12" x14ac:dyDescent="0.25">
      <c r="A145">
        <v>212103</v>
      </c>
      <c r="B145">
        <v>264521</v>
      </c>
      <c r="D145">
        <v>0</v>
      </c>
      <c r="E145" t="s">
        <v>916</v>
      </c>
      <c r="F145" t="s">
        <v>917</v>
      </c>
      <c r="G145" t="s">
        <v>918</v>
      </c>
      <c r="H145" t="e" vm="58">
        <f>_FV(0,"01924496685863681")</f>
        <v>#VALUE!</v>
      </c>
      <c r="I145" t="s">
        <v>919</v>
      </c>
      <c r="J145" t="s">
        <v>920</v>
      </c>
      <c r="K145" t="s">
        <v>921</v>
      </c>
      <c r="L145" t="s">
        <v>915</v>
      </c>
    </row>
    <row r="146" spans="1:12" x14ac:dyDescent="0.25">
      <c r="A146">
        <v>212132</v>
      </c>
      <c r="B146">
        <v>212139</v>
      </c>
      <c r="D146">
        <v>0</v>
      </c>
      <c r="F146">
        <v>200547</v>
      </c>
      <c r="G146">
        <v>212139</v>
      </c>
      <c r="H146" t="e" vm="59">
        <f>_FV(0,"014")</f>
        <v>#VALUE!</v>
      </c>
      <c r="I146">
        <v>212132</v>
      </c>
      <c r="J146" t="s">
        <v>922</v>
      </c>
      <c r="K146" t="s">
        <v>923</v>
      </c>
      <c r="L146" t="e" vm="59">
        <f>_FV(0,"014")</f>
        <v>#VALUE!</v>
      </c>
    </row>
    <row r="147" spans="1:12" x14ac:dyDescent="0.25">
      <c r="A147">
        <v>212132</v>
      </c>
      <c r="B147">
        <v>264493</v>
      </c>
      <c r="D147">
        <v>0</v>
      </c>
      <c r="E147" t="s">
        <v>925</v>
      </c>
      <c r="F147" t="s">
        <v>926</v>
      </c>
      <c r="G147" t="s">
        <v>927</v>
      </c>
      <c r="H147" t="e" vm="60">
        <f>_FV(0,"011445488422992572")</f>
        <v>#VALUE!</v>
      </c>
      <c r="I147" t="s">
        <v>928</v>
      </c>
      <c r="J147" t="s">
        <v>929</v>
      </c>
      <c r="K147" t="s">
        <v>930</v>
      </c>
      <c r="L147" t="s">
        <v>924</v>
      </c>
    </row>
    <row r="148" spans="1:12" x14ac:dyDescent="0.25">
      <c r="A148">
        <v>213657</v>
      </c>
      <c r="B148">
        <v>213658</v>
      </c>
      <c r="D148">
        <v>0</v>
      </c>
      <c r="F148">
        <v>202426</v>
      </c>
      <c r="G148">
        <v>213658</v>
      </c>
      <c r="H148" t="s">
        <v>737</v>
      </c>
      <c r="I148">
        <v>213657</v>
      </c>
      <c r="J148" t="s">
        <v>737</v>
      </c>
      <c r="K148" t="s">
        <v>931</v>
      </c>
      <c r="L148" t="s">
        <v>737</v>
      </c>
    </row>
    <row r="149" spans="1:12" x14ac:dyDescent="0.25">
      <c r="A149">
        <v>213657</v>
      </c>
      <c r="B149">
        <v>213691</v>
      </c>
      <c r="D149">
        <v>0</v>
      </c>
      <c r="E149" t="s">
        <v>933</v>
      </c>
      <c r="F149" t="s">
        <v>934</v>
      </c>
      <c r="G149" t="s">
        <v>935</v>
      </c>
      <c r="H149" t="s">
        <v>936</v>
      </c>
      <c r="I149" t="s">
        <v>937</v>
      </c>
      <c r="J149" t="s">
        <v>932</v>
      </c>
      <c r="K149" t="s">
        <v>938</v>
      </c>
      <c r="L149" t="s">
        <v>932</v>
      </c>
    </row>
    <row r="150" spans="1:12" x14ac:dyDescent="0.25">
      <c r="A150">
        <v>213657</v>
      </c>
      <c r="B150">
        <v>285710</v>
      </c>
      <c r="D150" t="s">
        <v>514</v>
      </c>
      <c r="E150" t="s">
        <v>940</v>
      </c>
      <c r="F150" t="s">
        <v>941</v>
      </c>
      <c r="G150" t="s">
        <v>942</v>
      </c>
      <c r="H150" t="s">
        <v>943</v>
      </c>
      <c r="I150" t="s">
        <v>944</v>
      </c>
      <c r="J150" t="s">
        <v>939</v>
      </c>
      <c r="K150" t="s">
        <v>945</v>
      </c>
      <c r="L150" t="s">
        <v>939</v>
      </c>
    </row>
    <row r="151" spans="1:12" x14ac:dyDescent="0.25">
      <c r="A151">
        <v>213658</v>
      </c>
      <c r="B151">
        <v>213685</v>
      </c>
      <c r="D151">
        <v>0</v>
      </c>
      <c r="E151" t="s">
        <v>947</v>
      </c>
      <c r="F151" t="s">
        <v>948</v>
      </c>
      <c r="G151" t="s">
        <v>949</v>
      </c>
      <c r="H151" t="e" vm="61">
        <f>_FV(0,"011573676954466223")</f>
        <v>#VALUE!</v>
      </c>
      <c r="I151" t="s">
        <v>950</v>
      </c>
      <c r="J151" t="s">
        <v>951</v>
      </c>
      <c r="K151" t="s">
        <v>952</v>
      </c>
      <c r="L151" t="s">
        <v>946</v>
      </c>
    </row>
    <row r="152" spans="1:12" x14ac:dyDescent="0.25">
      <c r="A152">
        <v>213658</v>
      </c>
      <c r="B152">
        <v>233298</v>
      </c>
      <c r="D152">
        <v>0</v>
      </c>
      <c r="E152" t="s">
        <v>954</v>
      </c>
      <c r="F152" t="s">
        <v>955</v>
      </c>
      <c r="G152" t="s">
        <v>956</v>
      </c>
      <c r="H152" t="s">
        <v>957</v>
      </c>
      <c r="I152" t="s">
        <v>958</v>
      </c>
      <c r="J152" t="s">
        <v>959</v>
      </c>
      <c r="K152" t="s">
        <v>960</v>
      </c>
      <c r="L152" t="s">
        <v>953</v>
      </c>
    </row>
    <row r="153" spans="1:12" x14ac:dyDescent="0.25">
      <c r="A153">
        <v>213685</v>
      </c>
      <c r="B153">
        <v>213691</v>
      </c>
      <c r="D153">
        <v>0</v>
      </c>
      <c r="F153">
        <v>202466</v>
      </c>
      <c r="G153">
        <v>213691</v>
      </c>
      <c r="H153" t="e" vm="62">
        <f>_FV(0,"008")</f>
        <v>#VALUE!</v>
      </c>
      <c r="I153">
        <v>213685</v>
      </c>
      <c r="J153" t="s">
        <v>241</v>
      </c>
      <c r="K153" t="s">
        <v>961</v>
      </c>
      <c r="L153" t="e" vm="62">
        <f>_FV(0,"008")</f>
        <v>#VALUE!</v>
      </c>
    </row>
    <row r="154" spans="1:12" x14ac:dyDescent="0.25">
      <c r="A154">
        <v>213685</v>
      </c>
      <c r="B154">
        <v>233331</v>
      </c>
      <c r="D154" t="s">
        <v>963</v>
      </c>
      <c r="E154" t="s">
        <v>964</v>
      </c>
      <c r="F154" t="s">
        <v>965</v>
      </c>
      <c r="G154" t="s">
        <v>966</v>
      </c>
      <c r="H154" t="e" vm="63">
        <f>_FV(0,"004662078847772927")</f>
        <v>#VALUE!</v>
      </c>
      <c r="I154" t="s">
        <v>967</v>
      </c>
      <c r="J154" t="s">
        <v>968</v>
      </c>
      <c r="K154" t="s">
        <v>969</v>
      </c>
      <c r="L154" t="s">
        <v>962</v>
      </c>
    </row>
    <row r="155" spans="1:12" x14ac:dyDescent="0.25">
      <c r="A155">
        <v>213691</v>
      </c>
      <c r="B155">
        <v>285723</v>
      </c>
      <c r="D155" t="s">
        <v>514</v>
      </c>
      <c r="E155" t="s">
        <v>971</v>
      </c>
      <c r="F155" t="s">
        <v>972</v>
      </c>
      <c r="G155" t="s">
        <v>973</v>
      </c>
      <c r="H155" t="s">
        <v>974</v>
      </c>
      <c r="I155" t="s">
        <v>975</v>
      </c>
      <c r="J155" t="s">
        <v>970</v>
      </c>
      <c r="K155" t="s">
        <v>976</v>
      </c>
      <c r="L155" t="s">
        <v>970</v>
      </c>
    </row>
    <row r="156" spans="1:12" x14ac:dyDescent="0.25">
      <c r="A156">
        <v>214595</v>
      </c>
      <c r="B156">
        <v>214601</v>
      </c>
      <c r="D156">
        <v>0</v>
      </c>
      <c r="F156">
        <v>203593</v>
      </c>
      <c r="G156">
        <v>214601</v>
      </c>
      <c r="H156" t="s">
        <v>187</v>
      </c>
      <c r="I156">
        <v>214595</v>
      </c>
      <c r="J156" t="s">
        <v>187</v>
      </c>
      <c r="K156" t="s">
        <v>977</v>
      </c>
      <c r="L156" t="s">
        <v>187</v>
      </c>
    </row>
    <row r="157" spans="1:12" x14ac:dyDescent="0.25">
      <c r="A157">
        <v>214601</v>
      </c>
      <c r="B157">
        <v>214619</v>
      </c>
      <c r="D157">
        <v>0</v>
      </c>
      <c r="E157" t="s">
        <v>979</v>
      </c>
      <c r="F157" t="s">
        <v>980</v>
      </c>
      <c r="G157" t="s">
        <v>981</v>
      </c>
      <c r="H157" t="e" vm="64">
        <f>_FV(0,"02625987284509735")</f>
        <v>#VALUE!</v>
      </c>
      <c r="I157" t="s">
        <v>982</v>
      </c>
      <c r="J157" t="s">
        <v>983</v>
      </c>
      <c r="K157" t="s">
        <v>984</v>
      </c>
      <c r="L157" t="s">
        <v>978</v>
      </c>
    </row>
    <row r="158" spans="1:12" x14ac:dyDescent="0.25">
      <c r="A158">
        <v>214601</v>
      </c>
      <c r="B158">
        <v>214627</v>
      </c>
      <c r="D158">
        <v>0</v>
      </c>
      <c r="E158" t="s">
        <v>986</v>
      </c>
      <c r="F158" t="s">
        <v>987</v>
      </c>
      <c r="G158" t="s">
        <v>988</v>
      </c>
      <c r="H158" t="s">
        <v>989</v>
      </c>
      <c r="I158" t="s">
        <v>990</v>
      </c>
      <c r="J158" t="s">
        <v>985</v>
      </c>
      <c r="K158" t="s">
        <v>991</v>
      </c>
      <c r="L158" t="s">
        <v>985</v>
      </c>
    </row>
    <row r="159" spans="1:12" x14ac:dyDescent="0.25">
      <c r="A159">
        <v>214619</v>
      </c>
      <c r="B159">
        <v>331508</v>
      </c>
      <c r="D159">
        <v>0</v>
      </c>
      <c r="E159" t="s">
        <v>993</v>
      </c>
      <c r="F159" t="s">
        <v>994</v>
      </c>
      <c r="G159" t="s">
        <v>995</v>
      </c>
      <c r="H159" t="e" vm="65">
        <f>_FV(0,"00013927453344956203")</f>
        <v>#VALUE!</v>
      </c>
      <c r="I159" t="s">
        <v>996</v>
      </c>
      <c r="J159" t="s">
        <v>997</v>
      </c>
      <c r="K159" t="s">
        <v>998</v>
      </c>
      <c r="L159" t="s">
        <v>992</v>
      </c>
    </row>
    <row r="160" spans="1:12" x14ac:dyDescent="0.25">
      <c r="A160">
        <v>214619</v>
      </c>
      <c r="B160">
        <v>331553</v>
      </c>
      <c r="D160">
        <v>0</v>
      </c>
      <c r="E160" t="s">
        <v>1000</v>
      </c>
      <c r="F160" t="s">
        <v>1001</v>
      </c>
      <c r="G160" t="s">
        <v>1002</v>
      </c>
      <c r="H160" t="s">
        <v>1003</v>
      </c>
      <c r="I160" t="s">
        <v>1004</v>
      </c>
      <c r="J160" t="s">
        <v>999</v>
      </c>
      <c r="K160" t="s">
        <v>1005</v>
      </c>
      <c r="L160" t="s">
        <v>999</v>
      </c>
    </row>
    <row r="161" spans="1:12" x14ac:dyDescent="0.25">
      <c r="A161">
        <v>214627</v>
      </c>
      <c r="B161">
        <v>214669</v>
      </c>
      <c r="D161" t="s">
        <v>1007</v>
      </c>
      <c r="E161" t="s">
        <v>1008</v>
      </c>
      <c r="F161" t="s">
        <v>1009</v>
      </c>
      <c r="G161" t="s">
        <v>1010</v>
      </c>
      <c r="H161" t="e" vm="66">
        <f>_FV(0,"014869010667893732")</f>
        <v>#VALUE!</v>
      </c>
      <c r="I161" t="s">
        <v>1011</v>
      </c>
      <c r="J161" t="s">
        <v>1012</v>
      </c>
      <c r="K161" t="s">
        <v>1013</v>
      </c>
      <c r="L161" t="s">
        <v>1006</v>
      </c>
    </row>
    <row r="162" spans="1:12" x14ac:dyDescent="0.25">
      <c r="A162">
        <v>214627</v>
      </c>
      <c r="B162">
        <v>214588</v>
      </c>
      <c r="D162">
        <v>0</v>
      </c>
      <c r="E162" t="s">
        <v>1015</v>
      </c>
      <c r="F162" t="s">
        <v>1016</v>
      </c>
      <c r="G162" t="s">
        <v>1017</v>
      </c>
      <c r="H162" t="s">
        <v>1018</v>
      </c>
      <c r="I162" t="s">
        <v>1019</v>
      </c>
      <c r="J162" t="s">
        <v>1014</v>
      </c>
      <c r="K162" t="s">
        <v>1020</v>
      </c>
      <c r="L162" t="s">
        <v>1014</v>
      </c>
    </row>
    <row r="163" spans="1:12" x14ac:dyDescent="0.25">
      <c r="A163">
        <v>214669</v>
      </c>
      <c r="B163">
        <v>331663</v>
      </c>
      <c r="D163">
        <v>0</v>
      </c>
      <c r="E163" t="s">
        <v>1022</v>
      </c>
      <c r="F163" t="s">
        <v>1023</v>
      </c>
      <c r="G163" t="s">
        <v>1024</v>
      </c>
      <c r="H163" t="s">
        <v>1025</v>
      </c>
      <c r="I163" t="s">
        <v>1026</v>
      </c>
      <c r="J163" t="s">
        <v>1027</v>
      </c>
      <c r="K163" t="s">
        <v>1028</v>
      </c>
      <c r="L163" t="s">
        <v>1021</v>
      </c>
    </row>
    <row r="164" spans="1:12" x14ac:dyDescent="0.25">
      <c r="A164">
        <v>214669</v>
      </c>
      <c r="B164">
        <v>331611</v>
      </c>
      <c r="D164">
        <v>0</v>
      </c>
      <c r="E164" t="s">
        <v>1030</v>
      </c>
      <c r="F164" t="s">
        <v>1031</v>
      </c>
      <c r="G164" t="s">
        <v>1032</v>
      </c>
      <c r="H164" t="s">
        <v>1033</v>
      </c>
      <c r="I164" t="s">
        <v>1034</v>
      </c>
      <c r="J164" t="s">
        <v>1029</v>
      </c>
      <c r="K164" t="s">
        <v>1035</v>
      </c>
      <c r="L164" t="s">
        <v>1029</v>
      </c>
    </row>
    <row r="165" spans="1:12" x14ac:dyDescent="0.25">
      <c r="A165">
        <v>218846</v>
      </c>
      <c r="B165">
        <v>218879</v>
      </c>
      <c r="D165">
        <v>0</v>
      </c>
      <c r="E165" t="s">
        <v>1037</v>
      </c>
      <c r="F165" t="s">
        <v>1038</v>
      </c>
      <c r="G165" t="s">
        <v>1039</v>
      </c>
      <c r="H165" t="e" vm="67">
        <f>_FV(0,"0006176691558767818")</f>
        <v>#VALUE!</v>
      </c>
      <c r="I165" t="s">
        <v>1040</v>
      </c>
      <c r="J165" t="s">
        <v>1041</v>
      </c>
      <c r="K165" t="s">
        <v>1042</v>
      </c>
      <c r="L165" t="s">
        <v>1036</v>
      </c>
    </row>
    <row r="166" spans="1:12" x14ac:dyDescent="0.25">
      <c r="A166">
        <v>218846</v>
      </c>
      <c r="B166">
        <v>1757075</v>
      </c>
      <c r="D166">
        <v>0</v>
      </c>
      <c r="E166" t="s">
        <v>1044</v>
      </c>
      <c r="F166" t="s">
        <v>1045</v>
      </c>
      <c r="G166" t="s">
        <v>1046</v>
      </c>
      <c r="H166" t="s">
        <v>1047</v>
      </c>
      <c r="I166" t="s">
        <v>1048</v>
      </c>
      <c r="J166" t="s">
        <v>1043</v>
      </c>
      <c r="K166" t="s">
        <v>1049</v>
      </c>
      <c r="L166" t="s">
        <v>1043</v>
      </c>
    </row>
    <row r="167" spans="1:12" x14ac:dyDescent="0.25">
      <c r="A167">
        <v>218879</v>
      </c>
      <c r="B167">
        <v>1761636</v>
      </c>
      <c r="D167">
        <v>0</v>
      </c>
      <c r="E167" t="s">
        <v>1051</v>
      </c>
      <c r="F167" t="s">
        <v>1052</v>
      </c>
      <c r="G167" t="s">
        <v>1053</v>
      </c>
      <c r="H167" t="e" vm="68">
        <f>_FV(0,"04184510129257541")</f>
        <v>#VALUE!</v>
      </c>
      <c r="I167" t="s">
        <v>1054</v>
      </c>
      <c r="J167" t="s">
        <v>1055</v>
      </c>
      <c r="K167" t="s">
        <v>1056</v>
      </c>
      <c r="L167" t="s">
        <v>1050</v>
      </c>
    </row>
    <row r="168" spans="1:12" x14ac:dyDescent="0.25">
      <c r="A168">
        <v>225448</v>
      </c>
      <c r="B168">
        <v>225466</v>
      </c>
      <c r="D168">
        <v>0</v>
      </c>
      <c r="E168" t="s">
        <v>1058</v>
      </c>
      <c r="F168" t="s">
        <v>1059</v>
      </c>
      <c r="G168" t="s">
        <v>1060</v>
      </c>
      <c r="H168" t="s">
        <v>1061</v>
      </c>
      <c r="I168" t="s">
        <v>1062</v>
      </c>
      <c r="J168" t="s">
        <v>1063</v>
      </c>
      <c r="K168" t="s">
        <v>1064</v>
      </c>
      <c r="L168" t="s">
        <v>1057</v>
      </c>
    </row>
    <row r="169" spans="1:12" x14ac:dyDescent="0.25">
      <c r="A169">
        <v>225448</v>
      </c>
      <c r="B169">
        <v>1034760</v>
      </c>
      <c r="D169" t="s">
        <v>1066</v>
      </c>
      <c r="E169" t="s">
        <v>1067</v>
      </c>
      <c r="F169" t="s">
        <v>1068</v>
      </c>
      <c r="G169" t="s">
        <v>1070</v>
      </c>
      <c r="H169" t="e" vm="69">
        <f>_FV(0,"009785644783709425")</f>
        <v>#VALUE!</v>
      </c>
      <c r="I169" t="s">
        <v>1071</v>
      </c>
      <c r="J169" t="s">
        <v>1072</v>
      </c>
      <c r="K169" t="s">
        <v>1073</v>
      </c>
      <c r="L169" t="s">
        <v>1065</v>
      </c>
    </row>
    <row r="170" spans="1:12" x14ac:dyDescent="0.25">
      <c r="A170">
        <v>225448</v>
      </c>
      <c r="B170">
        <v>225489</v>
      </c>
      <c r="D170">
        <v>0</v>
      </c>
      <c r="E170" t="s">
        <v>1075</v>
      </c>
      <c r="F170" t="s">
        <v>1076</v>
      </c>
      <c r="G170" t="s">
        <v>1077</v>
      </c>
      <c r="H170" t="e" vm="70">
        <f>_FV(0,"04580855410304073")</f>
        <v>#VALUE!</v>
      </c>
      <c r="I170" t="s">
        <v>1078</v>
      </c>
      <c r="J170" t="s">
        <v>1079</v>
      </c>
      <c r="K170" t="s">
        <v>1080</v>
      </c>
      <c r="L170" t="s">
        <v>1074</v>
      </c>
    </row>
    <row r="171" spans="1:12" x14ac:dyDescent="0.25">
      <c r="A171">
        <v>225448</v>
      </c>
      <c r="B171">
        <v>1034678</v>
      </c>
      <c r="D171">
        <v>0</v>
      </c>
      <c r="E171" t="s">
        <v>1082</v>
      </c>
      <c r="F171" t="s">
        <v>1083</v>
      </c>
      <c r="G171" t="s">
        <v>1084</v>
      </c>
      <c r="H171" t="s">
        <v>1085</v>
      </c>
      <c r="I171" t="s">
        <v>1086</v>
      </c>
      <c r="J171" t="s">
        <v>1081</v>
      </c>
      <c r="K171" t="s">
        <v>1087</v>
      </c>
      <c r="L171" t="s">
        <v>1081</v>
      </c>
    </row>
    <row r="172" spans="1:12" x14ac:dyDescent="0.25">
      <c r="A172">
        <v>225466</v>
      </c>
      <c r="B172">
        <v>225489</v>
      </c>
      <c r="D172">
        <v>0</v>
      </c>
      <c r="E172" t="s">
        <v>1089</v>
      </c>
      <c r="F172" t="s">
        <v>1090</v>
      </c>
      <c r="G172" t="s">
        <v>1091</v>
      </c>
      <c r="H172" t="e" vm="71">
        <f>_FV(0,"004734776791779899")</f>
        <v>#VALUE!</v>
      </c>
      <c r="I172" t="s">
        <v>1092</v>
      </c>
      <c r="J172" t="s">
        <v>1093</v>
      </c>
      <c r="K172" t="s">
        <v>1094</v>
      </c>
      <c r="L172" t="s">
        <v>1088</v>
      </c>
    </row>
    <row r="173" spans="1:12" x14ac:dyDescent="0.25">
      <c r="A173">
        <v>225466</v>
      </c>
      <c r="B173">
        <v>274954</v>
      </c>
      <c r="D173">
        <v>0</v>
      </c>
      <c r="E173" t="s">
        <v>1096</v>
      </c>
      <c r="F173" t="s">
        <v>1097</v>
      </c>
      <c r="G173" t="s">
        <v>1098</v>
      </c>
      <c r="H173" t="e" vm="72">
        <f>_FV(0,"0777812301289305")</f>
        <v>#VALUE!</v>
      </c>
      <c r="I173" t="s">
        <v>1099</v>
      </c>
      <c r="J173" t="s">
        <v>1100</v>
      </c>
      <c r="K173" t="s">
        <v>1101</v>
      </c>
      <c r="L173" t="s">
        <v>1095</v>
      </c>
    </row>
    <row r="174" spans="1:12" x14ac:dyDescent="0.25">
      <c r="A174">
        <v>225489</v>
      </c>
      <c r="B174">
        <v>274963</v>
      </c>
      <c r="D174">
        <v>0</v>
      </c>
      <c r="E174" t="s">
        <v>1103</v>
      </c>
      <c r="F174" t="s">
        <v>1104</v>
      </c>
      <c r="G174" t="s">
        <v>1105</v>
      </c>
      <c r="H174" t="e" vm="73">
        <f>_FV(0,"05564739281116077")</f>
        <v>#VALUE!</v>
      </c>
      <c r="I174" t="s">
        <v>1106</v>
      </c>
      <c r="J174" t="s">
        <v>1107</v>
      </c>
      <c r="K174" t="s">
        <v>1108</v>
      </c>
      <c r="L174" t="s">
        <v>1102</v>
      </c>
    </row>
    <row r="175" spans="1:12" x14ac:dyDescent="0.25">
      <c r="A175">
        <v>225526</v>
      </c>
      <c r="B175">
        <v>225581</v>
      </c>
      <c r="D175">
        <v>0</v>
      </c>
      <c r="F175">
        <v>1369721</v>
      </c>
      <c r="G175">
        <v>225581</v>
      </c>
      <c r="H175" t="e" vm="12">
        <f>_FV(0,"005")</f>
        <v>#VALUE!</v>
      </c>
      <c r="I175">
        <v>225526</v>
      </c>
      <c r="J175" t="s">
        <v>194</v>
      </c>
      <c r="K175" t="s">
        <v>1109</v>
      </c>
      <c r="L175" t="e" vm="12">
        <f>_FV(0,"005")</f>
        <v>#VALUE!</v>
      </c>
    </row>
    <row r="176" spans="1:12" x14ac:dyDescent="0.25">
      <c r="A176">
        <v>225526</v>
      </c>
      <c r="B176">
        <v>225574</v>
      </c>
      <c r="D176">
        <v>0</v>
      </c>
      <c r="E176" t="s">
        <v>1111</v>
      </c>
      <c r="F176" t="s">
        <v>1112</v>
      </c>
      <c r="G176" t="s">
        <v>1113</v>
      </c>
      <c r="H176" t="s">
        <v>1114</v>
      </c>
      <c r="I176" t="s">
        <v>1115</v>
      </c>
      <c r="J176" t="s">
        <v>1116</v>
      </c>
      <c r="K176" t="s">
        <v>1117</v>
      </c>
      <c r="L176" t="s">
        <v>1110</v>
      </c>
    </row>
    <row r="177" spans="1:12" x14ac:dyDescent="0.25">
      <c r="A177">
        <v>225526</v>
      </c>
      <c r="B177">
        <v>1263193</v>
      </c>
      <c r="D177" t="s">
        <v>1119</v>
      </c>
      <c r="E177" t="s">
        <v>1120</v>
      </c>
      <c r="F177" t="s">
        <v>1121</v>
      </c>
      <c r="G177" t="s">
        <v>1122</v>
      </c>
      <c r="H177" t="e" vm="74">
        <f>_FV(0,"0431653081219805")</f>
        <v>#VALUE!</v>
      </c>
      <c r="I177" t="s">
        <v>1123</v>
      </c>
      <c r="J177" t="s">
        <v>1124</v>
      </c>
      <c r="K177" t="s">
        <v>1125</v>
      </c>
      <c r="L177" t="s">
        <v>1118</v>
      </c>
    </row>
    <row r="178" spans="1:12" x14ac:dyDescent="0.25">
      <c r="A178">
        <v>225533</v>
      </c>
      <c r="B178">
        <v>225540</v>
      </c>
      <c r="D178">
        <v>0</v>
      </c>
      <c r="E178" t="s">
        <v>1127</v>
      </c>
      <c r="F178" t="s">
        <v>1128</v>
      </c>
      <c r="G178" t="s">
        <v>1129</v>
      </c>
      <c r="H178" t="e" vm="75">
        <f>_FV(0,"004305589466704129")</f>
        <v>#VALUE!</v>
      </c>
      <c r="I178" t="s">
        <v>1130</v>
      </c>
      <c r="J178" t="s">
        <v>1131</v>
      </c>
      <c r="K178" t="s">
        <v>1132</v>
      </c>
      <c r="L178" t="s">
        <v>1126</v>
      </c>
    </row>
    <row r="179" spans="1:12" x14ac:dyDescent="0.25">
      <c r="A179">
        <v>225533</v>
      </c>
      <c r="B179">
        <v>359910</v>
      </c>
      <c r="D179">
        <v>0</v>
      </c>
      <c r="E179" t="s">
        <v>1134</v>
      </c>
      <c r="F179" t="s">
        <v>1135</v>
      </c>
      <c r="G179" t="s">
        <v>1136</v>
      </c>
      <c r="H179" t="s">
        <v>1137</v>
      </c>
      <c r="I179" t="s">
        <v>1138</v>
      </c>
      <c r="J179" t="s">
        <v>1133</v>
      </c>
      <c r="K179" t="s">
        <v>1139</v>
      </c>
      <c r="L179" t="s">
        <v>1133</v>
      </c>
    </row>
    <row r="180" spans="1:12" x14ac:dyDescent="0.25">
      <c r="A180">
        <v>225533</v>
      </c>
      <c r="B180">
        <v>359930</v>
      </c>
      <c r="D180">
        <v>0</v>
      </c>
      <c r="E180" t="s">
        <v>1141</v>
      </c>
      <c r="F180" t="s">
        <v>1142</v>
      </c>
      <c r="G180" t="s">
        <v>1143</v>
      </c>
      <c r="H180" t="s">
        <v>1144</v>
      </c>
      <c r="I180" t="s">
        <v>1145</v>
      </c>
      <c r="J180" t="s">
        <v>1140</v>
      </c>
      <c r="K180" t="s">
        <v>1146</v>
      </c>
      <c r="L180" t="s">
        <v>1140</v>
      </c>
    </row>
    <row r="181" spans="1:12" x14ac:dyDescent="0.25">
      <c r="A181">
        <v>225540</v>
      </c>
      <c r="B181">
        <v>1803928</v>
      </c>
      <c r="D181">
        <v>0</v>
      </c>
      <c r="E181" t="s">
        <v>1148</v>
      </c>
      <c r="F181" t="s">
        <v>1149</v>
      </c>
      <c r="G181" t="s">
        <v>1150</v>
      </c>
      <c r="H181" t="s">
        <v>1151</v>
      </c>
      <c r="I181" t="s">
        <v>1152</v>
      </c>
      <c r="J181" t="s">
        <v>1153</v>
      </c>
      <c r="K181" t="s">
        <v>1154</v>
      </c>
      <c r="L181" t="s">
        <v>1147</v>
      </c>
    </row>
    <row r="182" spans="1:12" x14ac:dyDescent="0.25">
      <c r="A182">
        <v>225540</v>
      </c>
      <c r="B182">
        <v>225581</v>
      </c>
      <c r="D182" t="s">
        <v>514</v>
      </c>
      <c r="E182" t="s">
        <v>1156</v>
      </c>
      <c r="F182" t="s">
        <v>1157</v>
      </c>
      <c r="G182" t="s">
        <v>1158</v>
      </c>
      <c r="H182" t="s">
        <v>1159</v>
      </c>
      <c r="I182" t="s">
        <v>1160</v>
      </c>
      <c r="J182" t="s">
        <v>1161</v>
      </c>
      <c r="K182" t="s">
        <v>1162</v>
      </c>
      <c r="L182" t="s">
        <v>1155</v>
      </c>
    </row>
    <row r="183" spans="1:12" x14ac:dyDescent="0.25">
      <c r="A183">
        <v>225574</v>
      </c>
      <c r="B183">
        <v>262087</v>
      </c>
      <c r="D183">
        <v>0</v>
      </c>
      <c r="E183" t="s">
        <v>1164</v>
      </c>
      <c r="F183" t="s">
        <v>1165</v>
      </c>
      <c r="G183" t="s">
        <v>1166</v>
      </c>
      <c r="H183" t="e" vm="76">
        <f>_FV(0,"00648451514473071")</f>
        <v>#VALUE!</v>
      </c>
      <c r="I183" t="s">
        <v>1167</v>
      </c>
      <c r="J183" t="s">
        <v>1168</v>
      </c>
      <c r="K183" t="s">
        <v>1169</v>
      </c>
      <c r="L183" t="s">
        <v>1163</v>
      </c>
    </row>
    <row r="184" spans="1:12" x14ac:dyDescent="0.25">
      <c r="A184">
        <v>225574</v>
      </c>
      <c r="B184">
        <v>225581</v>
      </c>
      <c r="D184">
        <v>0</v>
      </c>
      <c r="E184" t="s">
        <v>1171</v>
      </c>
      <c r="F184" t="s">
        <v>1172</v>
      </c>
      <c r="G184" t="s">
        <v>1173</v>
      </c>
      <c r="H184" t="s">
        <v>1174</v>
      </c>
      <c r="I184" t="s">
        <v>1175</v>
      </c>
      <c r="J184" t="s">
        <v>1176</v>
      </c>
      <c r="K184" t="s">
        <v>1177</v>
      </c>
      <c r="L184" t="s">
        <v>1170</v>
      </c>
    </row>
    <row r="185" spans="1:12" x14ac:dyDescent="0.25">
      <c r="A185">
        <v>225625</v>
      </c>
      <c r="B185">
        <v>594543</v>
      </c>
      <c r="D185">
        <v>0</v>
      </c>
      <c r="E185" t="s">
        <v>1179</v>
      </c>
      <c r="F185" t="s">
        <v>1180</v>
      </c>
      <c r="G185" t="s">
        <v>1181</v>
      </c>
      <c r="H185" t="s">
        <v>1182</v>
      </c>
      <c r="I185" t="s">
        <v>1183</v>
      </c>
      <c r="J185" t="s">
        <v>1184</v>
      </c>
      <c r="K185" t="s">
        <v>1185</v>
      </c>
      <c r="L185" t="s">
        <v>1178</v>
      </c>
    </row>
    <row r="186" spans="1:12" x14ac:dyDescent="0.25">
      <c r="A186">
        <v>225625</v>
      </c>
      <c r="B186">
        <v>634285</v>
      </c>
      <c r="D186" t="s">
        <v>514</v>
      </c>
      <c r="E186" t="s">
        <v>1187</v>
      </c>
      <c r="F186" t="s">
        <v>1188</v>
      </c>
      <c r="G186" t="s">
        <v>1189</v>
      </c>
      <c r="H186" t="s">
        <v>1190</v>
      </c>
      <c r="I186" t="s">
        <v>1191</v>
      </c>
      <c r="J186" t="s">
        <v>1192</v>
      </c>
      <c r="K186" t="s">
        <v>1193</v>
      </c>
      <c r="L186" t="s">
        <v>1186</v>
      </c>
    </row>
    <row r="187" spans="1:12" x14ac:dyDescent="0.25">
      <c r="A187">
        <v>225625</v>
      </c>
      <c r="B187">
        <v>1301117</v>
      </c>
      <c r="D187">
        <v>0</v>
      </c>
      <c r="F187">
        <v>1427759</v>
      </c>
      <c r="G187">
        <v>225625</v>
      </c>
      <c r="H187" t="e" vm="77">
        <f>_FV(0,"056")</f>
        <v>#VALUE!</v>
      </c>
      <c r="I187">
        <v>1301117</v>
      </c>
      <c r="J187" t="s">
        <v>1194</v>
      </c>
      <c r="K187" t="s">
        <v>1195</v>
      </c>
      <c r="L187" t="e" vm="77">
        <f>_FV(0,"056")</f>
        <v>#VALUE!</v>
      </c>
    </row>
    <row r="188" spans="1:12" x14ac:dyDescent="0.25">
      <c r="A188">
        <v>225629</v>
      </c>
      <c r="B188">
        <v>225667</v>
      </c>
      <c r="D188">
        <v>0</v>
      </c>
      <c r="E188" t="s">
        <v>1197</v>
      </c>
      <c r="F188" t="s">
        <v>1198</v>
      </c>
      <c r="G188" t="s">
        <v>1199</v>
      </c>
      <c r="H188" t="e" vm="78">
        <f>_FV(0,"01265018044888089")</f>
        <v>#VALUE!</v>
      </c>
      <c r="I188" t="s">
        <v>1200</v>
      </c>
      <c r="J188" t="s">
        <v>1201</v>
      </c>
      <c r="K188" t="s">
        <v>1202</v>
      </c>
      <c r="L188" t="s">
        <v>1196</v>
      </c>
    </row>
    <row r="189" spans="1:12" x14ac:dyDescent="0.25">
      <c r="A189">
        <v>225629</v>
      </c>
      <c r="B189">
        <v>262197</v>
      </c>
      <c r="D189">
        <v>0</v>
      </c>
      <c r="E189" t="s">
        <v>1204</v>
      </c>
      <c r="F189" t="s">
        <v>1205</v>
      </c>
      <c r="G189" t="s">
        <v>1206</v>
      </c>
      <c r="H189" t="e" vm="79">
        <f>_FV(0,"011971183754955273")</f>
        <v>#VALUE!</v>
      </c>
      <c r="I189" t="s">
        <v>1207</v>
      </c>
      <c r="J189" t="s">
        <v>1208</v>
      </c>
      <c r="K189" t="s">
        <v>1209</v>
      </c>
      <c r="L189" t="s">
        <v>1203</v>
      </c>
    </row>
    <row r="190" spans="1:12" x14ac:dyDescent="0.25">
      <c r="A190">
        <v>225640</v>
      </c>
      <c r="B190">
        <v>1303484</v>
      </c>
      <c r="D190">
        <v>0</v>
      </c>
      <c r="E190" t="s">
        <v>1211</v>
      </c>
      <c r="F190" t="s">
        <v>1212</v>
      </c>
      <c r="G190" t="s">
        <v>1213</v>
      </c>
      <c r="H190" t="s">
        <v>1214</v>
      </c>
      <c r="I190" t="s">
        <v>1215</v>
      </c>
      <c r="J190" t="s">
        <v>1210</v>
      </c>
      <c r="K190" t="s">
        <v>1216</v>
      </c>
      <c r="L190" t="s">
        <v>1210</v>
      </c>
    </row>
    <row r="191" spans="1:12" x14ac:dyDescent="0.25">
      <c r="A191">
        <v>225640</v>
      </c>
      <c r="B191">
        <v>594543</v>
      </c>
      <c r="D191">
        <v>0</v>
      </c>
      <c r="E191" t="s">
        <v>1218</v>
      </c>
      <c r="F191" t="s">
        <v>1219</v>
      </c>
      <c r="G191" t="s">
        <v>1220</v>
      </c>
      <c r="H191" t="s">
        <v>1221</v>
      </c>
      <c r="I191" t="s">
        <v>1222</v>
      </c>
      <c r="J191" t="s">
        <v>1217</v>
      </c>
      <c r="K191" t="s">
        <v>1223</v>
      </c>
      <c r="L191" t="s">
        <v>1217</v>
      </c>
    </row>
    <row r="192" spans="1:12" x14ac:dyDescent="0.25">
      <c r="A192">
        <v>225640</v>
      </c>
      <c r="B192">
        <v>1301117</v>
      </c>
      <c r="D192">
        <v>0</v>
      </c>
      <c r="E192" t="s">
        <v>1225</v>
      </c>
      <c r="F192" t="s">
        <v>1226</v>
      </c>
      <c r="G192" t="s">
        <v>1227</v>
      </c>
      <c r="H192" t="s">
        <v>1228</v>
      </c>
      <c r="I192" t="s">
        <v>1229</v>
      </c>
      <c r="J192" t="s">
        <v>1230</v>
      </c>
      <c r="K192" t="s">
        <v>1231</v>
      </c>
      <c r="L192" t="s">
        <v>1224</v>
      </c>
    </row>
    <row r="193" spans="1:12" x14ac:dyDescent="0.25">
      <c r="A193">
        <v>225667</v>
      </c>
      <c r="B193">
        <v>262251</v>
      </c>
      <c r="D193">
        <v>0</v>
      </c>
      <c r="E193" t="s">
        <v>1233</v>
      </c>
      <c r="F193" t="s">
        <v>1234</v>
      </c>
      <c r="G193" t="s">
        <v>1235</v>
      </c>
      <c r="H193" t="e" vm="80">
        <f>_FV(0,"008441579551518088")</f>
        <v>#VALUE!</v>
      </c>
      <c r="I193" t="s">
        <v>1236</v>
      </c>
      <c r="J193" t="s">
        <v>1237</v>
      </c>
      <c r="K193" t="s">
        <v>1238</v>
      </c>
      <c r="L193" t="s">
        <v>1232</v>
      </c>
    </row>
    <row r="194" spans="1:12" x14ac:dyDescent="0.25">
      <c r="A194">
        <v>225766</v>
      </c>
      <c r="B194">
        <v>225796</v>
      </c>
      <c r="D194" t="s">
        <v>514</v>
      </c>
      <c r="E194" t="s">
        <v>1240</v>
      </c>
      <c r="F194" t="s">
        <v>1241</v>
      </c>
      <c r="G194" t="s">
        <v>1242</v>
      </c>
      <c r="H194" t="s">
        <v>1243</v>
      </c>
      <c r="I194" t="s">
        <v>1244</v>
      </c>
      <c r="J194" t="s">
        <v>1239</v>
      </c>
      <c r="K194" t="s">
        <v>1245</v>
      </c>
      <c r="L194" t="s">
        <v>1239</v>
      </c>
    </row>
    <row r="195" spans="1:12" x14ac:dyDescent="0.25">
      <c r="A195">
        <v>225766</v>
      </c>
      <c r="B195">
        <v>225918</v>
      </c>
      <c r="D195">
        <v>0</v>
      </c>
      <c r="E195" t="s">
        <v>1247</v>
      </c>
      <c r="F195" t="s">
        <v>1248</v>
      </c>
      <c r="G195" t="s">
        <v>1249</v>
      </c>
      <c r="H195" t="s">
        <v>1250</v>
      </c>
      <c r="I195" t="s">
        <v>1251</v>
      </c>
      <c r="J195" t="s">
        <v>1252</v>
      </c>
      <c r="K195" t="s">
        <v>1253</v>
      </c>
      <c r="L195" t="s">
        <v>1246</v>
      </c>
    </row>
    <row r="196" spans="1:12" x14ac:dyDescent="0.25">
      <c r="A196">
        <v>225766</v>
      </c>
      <c r="B196">
        <v>594712</v>
      </c>
      <c r="D196">
        <v>0</v>
      </c>
      <c r="E196" t="s">
        <v>1255</v>
      </c>
      <c r="F196" t="s">
        <v>1256</v>
      </c>
      <c r="G196" t="s">
        <v>1257</v>
      </c>
      <c r="H196" t="e" vm="81">
        <f>_FV(0,"04307925851832455")</f>
        <v>#VALUE!</v>
      </c>
      <c r="I196" t="s">
        <v>1258</v>
      </c>
      <c r="J196" t="s">
        <v>1259</v>
      </c>
      <c r="K196" t="s">
        <v>1260</v>
      </c>
      <c r="L196" t="s">
        <v>1254</v>
      </c>
    </row>
    <row r="197" spans="1:12" x14ac:dyDescent="0.25">
      <c r="A197">
        <v>225804</v>
      </c>
      <c r="B197">
        <v>225839</v>
      </c>
      <c r="D197">
        <v>0</v>
      </c>
      <c r="E197" t="s">
        <v>1262</v>
      </c>
      <c r="F197" t="s">
        <v>1263</v>
      </c>
      <c r="G197" t="s">
        <v>1264</v>
      </c>
      <c r="H197" t="s">
        <v>1265</v>
      </c>
      <c r="I197" t="s">
        <v>1266</v>
      </c>
      <c r="J197" t="s">
        <v>1261</v>
      </c>
      <c r="K197" t="s">
        <v>1267</v>
      </c>
      <c r="L197" t="s">
        <v>1261</v>
      </c>
    </row>
    <row r="198" spans="1:12" x14ac:dyDescent="0.25">
      <c r="A198">
        <v>225804</v>
      </c>
      <c r="B198">
        <v>1287650</v>
      </c>
      <c r="D198">
        <v>0</v>
      </c>
      <c r="E198" t="s">
        <v>1269</v>
      </c>
      <c r="F198" t="s">
        <v>1270</v>
      </c>
      <c r="G198" t="s">
        <v>1271</v>
      </c>
      <c r="H198" t="s">
        <v>1272</v>
      </c>
      <c r="I198" t="s">
        <v>1273</v>
      </c>
      <c r="J198" t="s">
        <v>1274</v>
      </c>
      <c r="K198" t="s">
        <v>1275</v>
      </c>
      <c r="L198" t="s">
        <v>1268</v>
      </c>
    </row>
    <row r="199" spans="1:12" x14ac:dyDescent="0.25">
      <c r="A199">
        <v>225804</v>
      </c>
      <c r="B199">
        <v>225918</v>
      </c>
      <c r="D199">
        <v>0</v>
      </c>
      <c r="E199" t="s">
        <v>1277</v>
      </c>
      <c r="F199" t="s">
        <v>1278</v>
      </c>
      <c r="G199" t="s">
        <v>1279</v>
      </c>
      <c r="H199" t="e" vm="82">
        <f>_FV(0,"008107178660262124")</f>
        <v>#VALUE!</v>
      </c>
      <c r="I199" t="s">
        <v>1280</v>
      </c>
      <c r="J199" t="s">
        <v>1281</v>
      </c>
      <c r="K199" t="s">
        <v>1282</v>
      </c>
      <c r="L199" t="s">
        <v>1276</v>
      </c>
    </row>
    <row r="200" spans="1:12" x14ac:dyDescent="0.25">
      <c r="A200">
        <v>225918</v>
      </c>
      <c r="B200">
        <v>262342</v>
      </c>
      <c r="D200">
        <v>0</v>
      </c>
      <c r="F200">
        <v>1370017</v>
      </c>
      <c r="G200">
        <v>225918</v>
      </c>
      <c r="H200" t="e" vm="12">
        <f>_FV(0,"005")</f>
        <v>#VALUE!</v>
      </c>
      <c r="I200">
        <v>262342</v>
      </c>
      <c r="J200" t="s">
        <v>194</v>
      </c>
      <c r="K200" t="s">
        <v>1283</v>
      </c>
      <c r="L200" t="e" vm="12">
        <f>_FV(0,"005")</f>
        <v>#VALUE!</v>
      </c>
    </row>
    <row r="201" spans="1:12" x14ac:dyDescent="0.25">
      <c r="A201">
        <v>226012</v>
      </c>
      <c r="B201">
        <v>597181</v>
      </c>
      <c r="D201">
        <v>0</v>
      </c>
      <c r="E201" t="s">
        <v>1285</v>
      </c>
      <c r="F201" t="s">
        <v>1286</v>
      </c>
      <c r="G201" t="s">
        <v>1287</v>
      </c>
      <c r="H201" t="e" vm="83">
        <f>_FV(0,"010816811878621851")</f>
        <v>#VALUE!</v>
      </c>
      <c r="I201" t="s">
        <v>1288</v>
      </c>
      <c r="J201" t="s">
        <v>1289</v>
      </c>
      <c r="K201" t="s">
        <v>1290</v>
      </c>
      <c r="L201" t="s">
        <v>1284</v>
      </c>
    </row>
    <row r="202" spans="1:12" x14ac:dyDescent="0.25">
      <c r="A202">
        <v>226012</v>
      </c>
      <c r="B202">
        <v>1291078</v>
      </c>
      <c r="D202">
        <v>0</v>
      </c>
      <c r="E202" t="s">
        <v>1292</v>
      </c>
      <c r="F202" t="s">
        <v>1293</v>
      </c>
      <c r="G202" t="s">
        <v>1294</v>
      </c>
      <c r="H202" t="e" vm="84">
        <f>_FV(0,"05748117881938396")</f>
        <v>#VALUE!</v>
      </c>
      <c r="I202" t="s">
        <v>1295</v>
      </c>
      <c r="J202" t="s">
        <v>1296</v>
      </c>
      <c r="K202" t="s">
        <v>1297</v>
      </c>
      <c r="L202" t="s">
        <v>1291</v>
      </c>
    </row>
    <row r="203" spans="1:12" x14ac:dyDescent="0.25">
      <c r="A203">
        <v>226012</v>
      </c>
      <c r="B203">
        <v>1291062</v>
      </c>
      <c r="D203">
        <v>0</v>
      </c>
      <c r="E203" t="s">
        <v>1299</v>
      </c>
      <c r="F203" t="s">
        <v>1300</v>
      </c>
      <c r="G203" t="s">
        <v>1301</v>
      </c>
      <c r="H203" t="s">
        <v>1302</v>
      </c>
      <c r="I203" t="s">
        <v>1303</v>
      </c>
      <c r="J203" t="s">
        <v>1304</v>
      </c>
      <c r="K203" t="s">
        <v>1305</v>
      </c>
      <c r="L203" t="s">
        <v>1298</v>
      </c>
    </row>
    <row r="204" spans="1:12" x14ac:dyDescent="0.25">
      <c r="A204">
        <v>226102</v>
      </c>
      <c r="B204">
        <v>226152</v>
      </c>
      <c r="D204" t="s">
        <v>1307</v>
      </c>
      <c r="E204" t="s">
        <v>1308</v>
      </c>
      <c r="F204" t="s">
        <v>1309</v>
      </c>
      <c r="G204" t="s">
        <v>1310</v>
      </c>
      <c r="H204" t="e" vm="85">
        <f>_FV(0,"025642646675025624")</f>
        <v>#VALUE!</v>
      </c>
      <c r="I204" t="s">
        <v>1311</v>
      </c>
      <c r="J204" t="s">
        <v>1312</v>
      </c>
      <c r="K204" t="s">
        <v>1313</v>
      </c>
      <c r="L204" t="s">
        <v>1306</v>
      </c>
    </row>
    <row r="205" spans="1:12" x14ac:dyDescent="0.25">
      <c r="A205">
        <v>226102</v>
      </c>
      <c r="B205">
        <v>236795</v>
      </c>
      <c r="D205">
        <v>0</v>
      </c>
      <c r="E205" t="s">
        <v>1315</v>
      </c>
      <c r="F205" t="s">
        <v>1316</v>
      </c>
      <c r="G205" t="s">
        <v>1317</v>
      </c>
      <c r="H205" t="e" vm="86">
        <f>_FV(0,"05102073894195458")</f>
        <v>#VALUE!</v>
      </c>
      <c r="I205" t="s">
        <v>1318</v>
      </c>
      <c r="J205" t="s">
        <v>1319</v>
      </c>
      <c r="K205" t="s">
        <v>1320</v>
      </c>
      <c r="L205" t="s">
        <v>1314</v>
      </c>
    </row>
    <row r="206" spans="1:12" x14ac:dyDescent="0.25">
      <c r="A206">
        <v>226102</v>
      </c>
      <c r="B206">
        <v>236709</v>
      </c>
      <c r="D206">
        <v>0</v>
      </c>
      <c r="E206" t="s">
        <v>1322</v>
      </c>
      <c r="F206" t="s">
        <v>1323</v>
      </c>
      <c r="G206" t="s">
        <v>1324</v>
      </c>
      <c r="H206" t="s">
        <v>1325</v>
      </c>
      <c r="I206" t="s">
        <v>1326</v>
      </c>
      <c r="J206" t="s">
        <v>1327</v>
      </c>
      <c r="K206" t="s">
        <v>1328</v>
      </c>
      <c r="L206" t="s">
        <v>1321</v>
      </c>
    </row>
    <row r="207" spans="1:12" x14ac:dyDescent="0.25">
      <c r="A207">
        <v>226152</v>
      </c>
      <c r="B207">
        <v>226166</v>
      </c>
      <c r="D207">
        <v>0</v>
      </c>
      <c r="E207" t="s">
        <v>1329</v>
      </c>
      <c r="F207" t="s">
        <v>1330</v>
      </c>
      <c r="G207" t="s">
        <v>1331</v>
      </c>
      <c r="H207" t="e" vm="87">
        <f>_FV(0,"001")</f>
        <v>#VALUE!</v>
      </c>
      <c r="I207" t="s">
        <v>1332</v>
      </c>
      <c r="J207" t="s">
        <v>1333</v>
      </c>
      <c r="K207" t="s">
        <v>1334</v>
      </c>
      <c r="L207" t="e" vm="87">
        <f>_FV(0,"001")</f>
        <v>#VALUE!</v>
      </c>
    </row>
    <row r="208" spans="1:12" x14ac:dyDescent="0.25">
      <c r="A208">
        <v>226152</v>
      </c>
      <c r="B208">
        <v>236575</v>
      </c>
      <c r="D208">
        <v>0</v>
      </c>
      <c r="E208" t="s">
        <v>1336</v>
      </c>
      <c r="F208" t="s">
        <v>1337</v>
      </c>
      <c r="G208" t="s">
        <v>1338</v>
      </c>
      <c r="H208" t="s">
        <v>1339</v>
      </c>
      <c r="I208" t="s">
        <v>1340</v>
      </c>
      <c r="J208" t="s">
        <v>1341</v>
      </c>
      <c r="K208" t="s">
        <v>1342</v>
      </c>
      <c r="L208" t="s">
        <v>1335</v>
      </c>
    </row>
    <row r="209" spans="1:12" x14ac:dyDescent="0.25">
      <c r="A209">
        <v>226166</v>
      </c>
      <c r="B209">
        <v>236898</v>
      </c>
      <c r="D209">
        <v>0</v>
      </c>
      <c r="E209" t="s">
        <v>1344</v>
      </c>
      <c r="F209" t="s">
        <v>1345</v>
      </c>
      <c r="G209" t="s">
        <v>1346</v>
      </c>
      <c r="H209" t="s">
        <v>1347</v>
      </c>
      <c r="I209" t="s">
        <v>1348</v>
      </c>
      <c r="J209" t="s">
        <v>1349</v>
      </c>
      <c r="K209" t="s">
        <v>1350</v>
      </c>
      <c r="L209" t="s">
        <v>1343</v>
      </c>
    </row>
    <row r="210" spans="1:12" x14ac:dyDescent="0.25">
      <c r="A210">
        <v>226166</v>
      </c>
      <c r="B210">
        <v>453418</v>
      </c>
      <c r="D210">
        <v>0</v>
      </c>
      <c r="E210" t="s">
        <v>1352</v>
      </c>
      <c r="F210" t="s">
        <v>1353</v>
      </c>
      <c r="G210" t="s">
        <v>1354</v>
      </c>
      <c r="H210" t="s">
        <v>1355</v>
      </c>
      <c r="I210" t="s">
        <v>1356</v>
      </c>
      <c r="J210" t="s">
        <v>1357</v>
      </c>
      <c r="K210" t="s">
        <v>1358</v>
      </c>
      <c r="L210" t="s">
        <v>1351</v>
      </c>
    </row>
    <row r="211" spans="1:12" x14ac:dyDescent="0.25">
      <c r="A211">
        <v>226286</v>
      </c>
      <c r="B211">
        <v>226287</v>
      </c>
      <c r="D211">
        <v>0</v>
      </c>
      <c r="F211">
        <v>219683</v>
      </c>
      <c r="G211">
        <v>226287</v>
      </c>
      <c r="H211" t="e" vm="88">
        <f>_FV(0,"081")</f>
        <v>#VALUE!</v>
      </c>
      <c r="I211">
        <v>226286</v>
      </c>
      <c r="J211" t="s">
        <v>1359</v>
      </c>
      <c r="K211" t="s">
        <v>1360</v>
      </c>
      <c r="L211" t="e" vm="88">
        <f>_FV(0,"081")</f>
        <v>#VALUE!</v>
      </c>
    </row>
    <row r="212" spans="1:12" x14ac:dyDescent="0.25">
      <c r="A212">
        <v>226286</v>
      </c>
      <c r="B212">
        <v>226339</v>
      </c>
      <c r="D212">
        <v>0</v>
      </c>
      <c r="E212" t="s">
        <v>1362</v>
      </c>
      <c r="F212" t="s">
        <v>1363</v>
      </c>
      <c r="G212" t="s">
        <v>1364</v>
      </c>
      <c r="H212" t="e" vm="89">
        <f>_FV(0,"021458052024624013")</f>
        <v>#VALUE!</v>
      </c>
      <c r="I212" t="s">
        <v>1365</v>
      </c>
      <c r="J212" t="s">
        <v>1366</v>
      </c>
      <c r="K212" t="s">
        <v>1367</v>
      </c>
      <c r="L212" t="s">
        <v>1361</v>
      </c>
    </row>
    <row r="213" spans="1:12" x14ac:dyDescent="0.25">
      <c r="A213">
        <v>226286</v>
      </c>
      <c r="B213">
        <v>597274</v>
      </c>
      <c r="D213">
        <v>0</v>
      </c>
      <c r="E213" t="s">
        <v>1369</v>
      </c>
      <c r="F213" t="s">
        <v>1370</v>
      </c>
      <c r="G213" t="s">
        <v>1371</v>
      </c>
      <c r="H213" t="e" vm="90">
        <f>_FV(0,"057182506306229515")</f>
        <v>#VALUE!</v>
      </c>
      <c r="I213" t="s">
        <v>1372</v>
      </c>
      <c r="J213" t="s">
        <v>1373</v>
      </c>
      <c r="K213" t="s">
        <v>1374</v>
      </c>
      <c r="L213" t="s">
        <v>1368</v>
      </c>
    </row>
    <row r="214" spans="1:12" x14ac:dyDescent="0.25">
      <c r="A214">
        <v>226287</v>
      </c>
      <c r="B214">
        <v>226303</v>
      </c>
      <c r="D214">
        <v>0</v>
      </c>
      <c r="E214" t="s">
        <v>1376</v>
      </c>
      <c r="F214" t="s">
        <v>1377</v>
      </c>
      <c r="G214" t="s">
        <v>1378</v>
      </c>
      <c r="H214" t="e" vm="91">
        <f>_FV(0,"08377862576498414")</f>
        <v>#VALUE!</v>
      </c>
      <c r="I214" t="s">
        <v>1379</v>
      </c>
      <c r="J214" t="s">
        <v>1380</v>
      </c>
      <c r="K214" t="s">
        <v>1381</v>
      </c>
      <c r="L214" t="s">
        <v>1375</v>
      </c>
    </row>
    <row r="215" spans="1:12" x14ac:dyDescent="0.25">
      <c r="A215">
        <v>226287</v>
      </c>
      <c r="B215">
        <v>597282</v>
      </c>
      <c r="D215">
        <v>0</v>
      </c>
      <c r="E215" t="s">
        <v>1383</v>
      </c>
      <c r="F215" t="s">
        <v>1384</v>
      </c>
      <c r="G215" t="s">
        <v>1385</v>
      </c>
      <c r="H215" t="e" vm="92">
        <f>_FV(0,"04361021306220924")</f>
        <v>#VALUE!</v>
      </c>
      <c r="I215" t="s">
        <v>1386</v>
      </c>
      <c r="J215" t="s">
        <v>1387</v>
      </c>
      <c r="K215" t="s">
        <v>1388</v>
      </c>
      <c r="L215" t="s">
        <v>1382</v>
      </c>
    </row>
    <row r="216" spans="1:12" x14ac:dyDescent="0.25">
      <c r="A216">
        <v>226303</v>
      </c>
      <c r="B216">
        <v>226339</v>
      </c>
      <c r="D216">
        <v>0</v>
      </c>
      <c r="E216" t="s">
        <v>1390</v>
      </c>
      <c r="F216" t="s">
        <v>1391</v>
      </c>
      <c r="G216" t="s">
        <v>1392</v>
      </c>
      <c r="H216" t="s">
        <v>1393</v>
      </c>
      <c r="I216" t="s">
        <v>1394</v>
      </c>
      <c r="J216" t="s">
        <v>1395</v>
      </c>
      <c r="K216" t="s">
        <v>1396</v>
      </c>
      <c r="L216" t="s">
        <v>1389</v>
      </c>
    </row>
    <row r="217" spans="1:12" x14ac:dyDescent="0.25">
      <c r="A217">
        <v>226303</v>
      </c>
      <c r="B217">
        <v>597282</v>
      </c>
      <c r="D217">
        <v>0</v>
      </c>
      <c r="E217" t="s">
        <v>1398</v>
      </c>
      <c r="F217" t="s">
        <v>1399</v>
      </c>
      <c r="G217" t="s">
        <v>1400</v>
      </c>
      <c r="H217" t="e" vm="93">
        <f>_FV(0,"004875608771707399")</f>
        <v>#VALUE!</v>
      </c>
      <c r="I217" t="s">
        <v>1401</v>
      </c>
      <c r="J217" t="s">
        <v>1402</v>
      </c>
      <c r="K217" t="s">
        <v>1403</v>
      </c>
      <c r="L217" t="s">
        <v>1397</v>
      </c>
    </row>
    <row r="218" spans="1:12" x14ac:dyDescent="0.25">
      <c r="A218">
        <v>226339</v>
      </c>
      <c r="B218">
        <v>597274</v>
      </c>
      <c r="D218">
        <v>0</v>
      </c>
      <c r="E218" t="s">
        <v>1405</v>
      </c>
      <c r="F218" t="s">
        <v>1406</v>
      </c>
      <c r="G218" t="s">
        <v>1407</v>
      </c>
      <c r="H218" t="e" vm="94">
        <f>_FV(0,"049563311980249276")</f>
        <v>#VALUE!</v>
      </c>
      <c r="I218" t="s">
        <v>1408</v>
      </c>
      <c r="J218" t="s">
        <v>1409</v>
      </c>
      <c r="K218" t="s">
        <v>1410</v>
      </c>
      <c r="L218" t="s">
        <v>1404</v>
      </c>
    </row>
    <row r="219" spans="1:12" x14ac:dyDescent="0.25">
      <c r="A219">
        <v>226401</v>
      </c>
      <c r="B219">
        <v>226402</v>
      </c>
      <c r="D219">
        <v>0</v>
      </c>
      <c r="F219">
        <v>219843</v>
      </c>
      <c r="G219">
        <v>226402</v>
      </c>
      <c r="H219" t="e" vm="87">
        <f>_FV(0,"001")</f>
        <v>#VALUE!</v>
      </c>
      <c r="I219">
        <v>226401</v>
      </c>
      <c r="J219" t="s">
        <v>1333</v>
      </c>
      <c r="K219" t="s">
        <v>1411</v>
      </c>
      <c r="L219" t="e" vm="87">
        <f>_FV(0,"001")</f>
        <v>#VALUE!</v>
      </c>
    </row>
    <row r="220" spans="1:12" x14ac:dyDescent="0.25">
      <c r="A220">
        <v>226401</v>
      </c>
      <c r="B220">
        <v>226441</v>
      </c>
      <c r="D220">
        <v>0</v>
      </c>
      <c r="E220" t="s">
        <v>1413</v>
      </c>
      <c r="F220" t="s">
        <v>1414</v>
      </c>
      <c r="G220" t="s">
        <v>1415</v>
      </c>
      <c r="H220" t="e" vm="95">
        <f>_FV(0,"03219892797822438")</f>
        <v>#VALUE!</v>
      </c>
      <c r="I220" t="s">
        <v>1416</v>
      </c>
      <c r="J220" t="s">
        <v>1417</v>
      </c>
      <c r="K220" t="s">
        <v>1418</v>
      </c>
      <c r="L220" t="s">
        <v>1412</v>
      </c>
    </row>
    <row r="221" spans="1:12" x14ac:dyDescent="0.25">
      <c r="A221">
        <v>226401</v>
      </c>
      <c r="B221">
        <v>1287926</v>
      </c>
      <c r="D221">
        <v>0</v>
      </c>
      <c r="E221" t="s">
        <v>1420</v>
      </c>
      <c r="F221" t="s">
        <v>1421</v>
      </c>
      <c r="G221" t="s">
        <v>1422</v>
      </c>
      <c r="H221" t="e" vm="96">
        <f>_FV(0,"006447958894850373")</f>
        <v>#VALUE!</v>
      </c>
      <c r="I221" t="s">
        <v>1423</v>
      </c>
      <c r="J221" t="s">
        <v>1424</v>
      </c>
      <c r="K221" t="s">
        <v>1425</v>
      </c>
      <c r="L221" t="s">
        <v>1419</v>
      </c>
    </row>
    <row r="222" spans="1:12" x14ac:dyDescent="0.25">
      <c r="A222">
        <v>226402</v>
      </c>
      <c r="B222">
        <v>226418</v>
      </c>
      <c r="D222">
        <v>0</v>
      </c>
      <c r="E222" t="s">
        <v>1427</v>
      </c>
      <c r="F222" t="s">
        <v>1428</v>
      </c>
      <c r="G222" t="s">
        <v>1429</v>
      </c>
      <c r="H222" t="s">
        <v>1430</v>
      </c>
      <c r="I222" t="s">
        <v>1431</v>
      </c>
      <c r="J222" t="s">
        <v>1426</v>
      </c>
      <c r="K222" t="s">
        <v>1432</v>
      </c>
      <c r="L222" t="s">
        <v>1426</v>
      </c>
    </row>
    <row r="223" spans="1:12" x14ac:dyDescent="0.25">
      <c r="A223">
        <v>226402</v>
      </c>
      <c r="B223">
        <v>634037</v>
      </c>
      <c r="D223">
        <v>0</v>
      </c>
      <c r="E223" t="s">
        <v>1434</v>
      </c>
      <c r="F223" t="s">
        <v>1435</v>
      </c>
      <c r="G223" t="s">
        <v>1436</v>
      </c>
      <c r="H223" t="e" vm="97">
        <f>_FV(0,"0017937749733862687")</f>
        <v>#VALUE!</v>
      </c>
      <c r="I223" t="s">
        <v>1437</v>
      </c>
      <c r="J223" t="s">
        <v>1438</v>
      </c>
      <c r="K223" t="s">
        <v>1439</v>
      </c>
      <c r="L223" t="s">
        <v>1433</v>
      </c>
    </row>
    <row r="224" spans="1:12" x14ac:dyDescent="0.25">
      <c r="A224">
        <v>226418</v>
      </c>
      <c r="B224">
        <v>226441</v>
      </c>
      <c r="D224">
        <v>0</v>
      </c>
      <c r="E224" t="s">
        <v>1441</v>
      </c>
      <c r="F224" t="s">
        <v>1442</v>
      </c>
      <c r="G224" t="s">
        <v>1443</v>
      </c>
      <c r="H224" t="s">
        <v>1444</v>
      </c>
      <c r="I224" t="s">
        <v>1445</v>
      </c>
      <c r="J224" t="s">
        <v>1446</v>
      </c>
      <c r="K224" t="s">
        <v>1447</v>
      </c>
      <c r="L224" t="s">
        <v>1440</v>
      </c>
    </row>
    <row r="225" spans="1:12" x14ac:dyDescent="0.25">
      <c r="A225">
        <v>226418</v>
      </c>
      <c r="B225">
        <v>634037</v>
      </c>
      <c r="D225">
        <v>0</v>
      </c>
      <c r="E225" t="s">
        <v>1449</v>
      </c>
      <c r="F225" t="s">
        <v>1450</v>
      </c>
      <c r="G225" t="s">
        <v>1451</v>
      </c>
      <c r="H225" t="e" vm="98">
        <f>_FV(0,"01106917625807102")</f>
        <v>#VALUE!</v>
      </c>
      <c r="I225" t="s">
        <v>1452</v>
      </c>
      <c r="J225" t="s">
        <v>1453</v>
      </c>
      <c r="K225" t="s">
        <v>1454</v>
      </c>
      <c r="L225" t="s">
        <v>1448</v>
      </c>
    </row>
    <row r="226" spans="1:12" x14ac:dyDescent="0.25">
      <c r="A226">
        <v>226441</v>
      </c>
      <c r="B226">
        <v>1287926</v>
      </c>
      <c r="D226">
        <v>0</v>
      </c>
      <c r="E226" t="s">
        <v>1456</v>
      </c>
      <c r="F226" t="s">
        <v>1457</v>
      </c>
      <c r="G226" t="s">
        <v>1458</v>
      </c>
      <c r="H226" t="s">
        <v>1459</v>
      </c>
      <c r="I226" t="s">
        <v>1460</v>
      </c>
      <c r="J226" t="s">
        <v>1461</v>
      </c>
      <c r="K226" t="s">
        <v>1462</v>
      </c>
      <c r="L226" t="s">
        <v>1455</v>
      </c>
    </row>
    <row r="227" spans="1:12" x14ac:dyDescent="0.25">
      <c r="A227">
        <v>226659</v>
      </c>
      <c r="B227">
        <v>236938</v>
      </c>
      <c r="D227">
        <v>0</v>
      </c>
      <c r="E227" t="s">
        <v>1464</v>
      </c>
      <c r="F227" t="s">
        <v>1465</v>
      </c>
      <c r="G227" t="s">
        <v>1466</v>
      </c>
      <c r="H227" t="s">
        <v>1467</v>
      </c>
      <c r="I227" t="s">
        <v>1468</v>
      </c>
      <c r="J227" t="s">
        <v>1463</v>
      </c>
      <c r="K227" t="s">
        <v>1469</v>
      </c>
      <c r="L227" t="s">
        <v>1463</v>
      </c>
    </row>
    <row r="228" spans="1:12" x14ac:dyDescent="0.25">
      <c r="A228">
        <v>226733</v>
      </c>
      <c r="B228">
        <v>226742</v>
      </c>
      <c r="C228" t="s">
        <v>1471</v>
      </c>
      <c r="D228">
        <v>0</v>
      </c>
      <c r="E228" t="s">
        <v>1472</v>
      </c>
      <c r="F228" t="s">
        <v>1473</v>
      </c>
      <c r="G228" t="s">
        <v>1474</v>
      </c>
      <c r="H228" t="s">
        <v>1475</v>
      </c>
      <c r="I228" t="s">
        <v>1476</v>
      </c>
      <c r="J228" t="s">
        <v>1470</v>
      </c>
      <c r="K228" t="s">
        <v>1477</v>
      </c>
      <c r="L228" t="s">
        <v>1470</v>
      </c>
    </row>
    <row r="229" spans="1:12" x14ac:dyDescent="0.25">
      <c r="A229">
        <v>226742</v>
      </c>
      <c r="B229">
        <v>237352</v>
      </c>
      <c r="D229">
        <v>0</v>
      </c>
      <c r="E229" t="s">
        <v>1479</v>
      </c>
      <c r="F229" t="s">
        <v>1480</v>
      </c>
      <c r="G229" t="s">
        <v>1481</v>
      </c>
      <c r="H229" t="s">
        <v>1482</v>
      </c>
      <c r="I229" t="s">
        <v>1483</v>
      </c>
      <c r="J229" t="s">
        <v>1484</v>
      </c>
      <c r="K229" t="s">
        <v>1485</v>
      </c>
      <c r="L229" t="s">
        <v>1478</v>
      </c>
    </row>
    <row r="230" spans="1:12" x14ac:dyDescent="0.25">
      <c r="A230">
        <v>226742</v>
      </c>
      <c r="B230">
        <v>253571</v>
      </c>
      <c r="D230">
        <v>0</v>
      </c>
      <c r="E230" t="s">
        <v>1487</v>
      </c>
      <c r="F230" t="s">
        <v>1488</v>
      </c>
      <c r="G230" t="s">
        <v>1489</v>
      </c>
      <c r="H230" t="s">
        <v>1490</v>
      </c>
      <c r="I230" t="s">
        <v>1491</v>
      </c>
      <c r="J230" t="s">
        <v>1486</v>
      </c>
      <c r="K230" t="s">
        <v>1492</v>
      </c>
      <c r="L230" t="s">
        <v>1486</v>
      </c>
    </row>
    <row r="231" spans="1:12" x14ac:dyDescent="0.25">
      <c r="A231">
        <v>227057</v>
      </c>
      <c r="B231">
        <v>1057080</v>
      </c>
      <c r="D231" t="s">
        <v>1494</v>
      </c>
      <c r="E231" t="s">
        <v>1495</v>
      </c>
      <c r="F231" t="s">
        <v>1496</v>
      </c>
      <c r="G231" t="s">
        <v>1497</v>
      </c>
      <c r="H231" t="s">
        <v>1498</v>
      </c>
      <c r="I231" t="s">
        <v>1499</v>
      </c>
      <c r="J231" t="s">
        <v>1493</v>
      </c>
      <c r="K231" t="s">
        <v>1500</v>
      </c>
      <c r="L231" t="s">
        <v>1493</v>
      </c>
    </row>
    <row r="232" spans="1:12" x14ac:dyDescent="0.25">
      <c r="A232">
        <v>227057</v>
      </c>
      <c r="B232">
        <v>1056976</v>
      </c>
      <c r="D232" t="s">
        <v>514</v>
      </c>
      <c r="E232" t="s">
        <v>1502</v>
      </c>
      <c r="F232" t="s">
        <v>1503</v>
      </c>
      <c r="G232" t="s">
        <v>1504</v>
      </c>
      <c r="H232" t="s">
        <v>1505</v>
      </c>
      <c r="I232" t="s">
        <v>1506</v>
      </c>
      <c r="J232" t="s">
        <v>1501</v>
      </c>
      <c r="K232" t="s">
        <v>1507</v>
      </c>
      <c r="L232" t="s">
        <v>1501</v>
      </c>
    </row>
    <row r="233" spans="1:12" x14ac:dyDescent="0.25">
      <c r="A233">
        <v>227057</v>
      </c>
      <c r="B233">
        <v>1063833</v>
      </c>
      <c r="D233" t="s">
        <v>1509</v>
      </c>
      <c r="E233" t="s">
        <v>1510</v>
      </c>
      <c r="F233" t="s">
        <v>1511</v>
      </c>
      <c r="G233" t="s">
        <v>1512</v>
      </c>
      <c r="H233" t="e" vm="99">
        <f>_FV(0,"0012490907807875338")</f>
        <v>#VALUE!</v>
      </c>
      <c r="I233" t="s">
        <v>1513</v>
      </c>
      <c r="J233" t="s">
        <v>1514</v>
      </c>
      <c r="K233" t="s">
        <v>1515</v>
      </c>
      <c r="L233" t="s">
        <v>1508</v>
      </c>
    </row>
    <row r="234" spans="1:12" x14ac:dyDescent="0.25">
      <c r="A234">
        <v>228337</v>
      </c>
      <c r="B234">
        <v>1596703</v>
      </c>
      <c r="D234">
        <v>0</v>
      </c>
      <c r="F234">
        <v>1814602</v>
      </c>
      <c r="G234">
        <v>228337</v>
      </c>
      <c r="H234" t="e" vm="62">
        <f>_FV(0,"008")</f>
        <v>#VALUE!</v>
      </c>
      <c r="I234">
        <v>1596703</v>
      </c>
      <c r="J234" t="s">
        <v>241</v>
      </c>
      <c r="K234" t="s">
        <v>1516</v>
      </c>
      <c r="L234" t="e" vm="62">
        <f>_FV(0,"008")</f>
        <v>#VALUE!</v>
      </c>
    </row>
    <row r="235" spans="1:12" x14ac:dyDescent="0.25">
      <c r="A235">
        <v>229298</v>
      </c>
      <c r="B235">
        <v>229299</v>
      </c>
      <c r="D235">
        <v>0</v>
      </c>
      <c r="F235">
        <v>223503</v>
      </c>
      <c r="G235">
        <v>229299</v>
      </c>
      <c r="H235" t="s">
        <v>697</v>
      </c>
      <c r="I235">
        <v>229298</v>
      </c>
      <c r="J235" t="s">
        <v>697</v>
      </c>
      <c r="K235" t="s">
        <v>1517</v>
      </c>
      <c r="L235" t="s">
        <v>697</v>
      </c>
    </row>
    <row r="236" spans="1:12" x14ac:dyDescent="0.25">
      <c r="A236">
        <v>229298</v>
      </c>
      <c r="B236">
        <v>241331</v>
      </c>
      <c r="D236">
        <v>0</v>
      </c>
      <c r="E236" t="s">
        <v>1519</v>
      </c>
      <c r="F236" t="s">
        <v>1520</v>
      </c>
      <c r="G236" t="s">
        <v>1521</v>
      </c>
      <c r="H236" t="s">
        <v>1522</v>
      </c>
      <c r="I236" t="s">
        <v>1523</v>
      </c>
      <c r="J236" t="s">
        <v>1518</v>
      </c>
      <c r="K236" t="s">
        <v>1524</v>
      </c>
      <c r="L236" t="s">
        <v>1518</v>
      </c>
    </row>
    <row r="237" spans="1:12" x14ac:dyDescent="0.25">
      <c r="A237">
        <v>229298</v>
      </c>
      <c r="B237">
        <v>241744</v>
      </c>
      <c r="D237">
        <v>0</v>
      </c>
      <c r="F237">
        <v>239278</v>
      </c>
      <c r="G237">
        <v>229298</v>
      </c>
      <c r="H237" t="s">
        <v>890</v>
      </c>
      <c r="I237">
        <v>241744</v>
      </c>
      <c r="J237" t="s">
        <v>890</v>
      </c>
      <c r="K237" t="s">
        <v>1525</v>
      </c>
      <c r="L237" t="s">
        <v>890</v>
      </c>
    </row>
    <row r="238" spans="1:12" x14ac:dyDescent="0.25">
      <c r="A238">
        <v>229298</v>
      </c>
      <c r="B238">
        <v>1081885</v>
      </c>
      <c r="D238">
        <v>0</v>
      </c>
      <c r="E238" t="s">
        <v>1527</v>
      </c>
      <c r="F238" t="s">
        <v>1528</v>
      </c>
      <c r="G238" t="s">
        <v>1529</v>
      </c>
      <c r="H238" t="s">
        <v>1530</v>
      </c>
      <c r="I238" t="s">
        <v>1531</v>
      </c>
      <c r="J238" t="s">
        <v>1532</v>
      </c>
      <c r="K238" t="s">
        <v>1533</v>
      </c>
      <c r="L238" t="s">
        <v>1526</v>
      </c>
    </row>
    <row r="239" spans="1:12" x14ac:dyDescent="0.25">
      <c r="A239">
        <v>229299</v>
      </c>
      <c r="B239">
        <v>241059</v>
      </c>
      <c r="D239">
        <v>0</v>
      </c>
      <c r="F239">
        <v>239214</v>
      </c>
      <c r="G239">
        <v>241059</v>
      </c>
      <c r="H239" t="s">
        <v>1534</v>
      </c>
      <c r="I239">
        <v>229299</v>
      </c>
      <c r="J239" t="s">
        <v>1534</v>
      </c>
      <c r="K239" t="s">
        <v>1535</v>
      </c>
      <c r="L239" t="s">
        <v>1534</v>
      </c>
    </row>
    <row r="240" spans="1:12" x14ac:dyDescent="0.25">
      <c r="A240">
        <v>229299</v>
      </c>
      <c r="B240">
        <v>241744</v>
      </c>
      <c r="D240">
        <v>0</v>
      </c>
      <c r="F240">
        <v>239206</v>
      </c>
      <c r="G240">
        <v>229299</v>
      </c>
      <c r="H240" t="s">
        <v>1536</v>
      </c>
      <c r="I240">
        <v>241744</v>
      </c>
      <c r="J240" t="s">
        <v>1536</v>
      </c>
      <c r="K240" t="s">
        <v>1537</v>
      </c>
      <c r="L240" t="s">
        <v>1536</v>
      </c>
    </row>
    <row r="241" spans="1:12" x14ac:dyDescent="0.25">
      <c r="A241">
        <v>229304</v>
      </c>
      <c r="B241">
        <v>241744</v>
      </c>
      <c r="D241">
        <v>0</v>
      </c>
      <c r="E241" t="s">
        <v>1539</v>
      </c>
      <c r="F241" t="s">
        <v>1540</v>
      </c>
      <c r="G241" t="s">
        <v>1541</v>
      </c>
      <c r="H241" t="s">
        <v>1542</v>
      </c>
      <c r="I241" t="s">
        <v>1543</v>
      </c>
      <c r="J241" t="s">
        <v>1538</v>
      </c>
      <c r="K241" t="s">
        <v>1544</v>
      </c>
      <c r="L241" t="s">
        <v>1538</v>
      </c>
    </row>
    <row r="242" spans="1:12" x14ac:dyDescent="0.25">
      <c r="A242">
        <v>229304</v>
      </c>
      <c r="B242">
        <v>229327</v>
      </c>
      <c r="D242">
        <v>0</v>
      </c>
      <c r="E242" t="s">
        <v>1546</v>
      </c>
      <c r="F242" t="s">
        <v>1547</v>
      </c>
      <c r="G242" t="s">
        <v>1548</v>
      </c>
      <c r="H242" t="e" vm="100">
        <f>_FV(0,"0035118869239145777")</f>
        <v>#VALUE!</v>
      </c>
      <c r="I242" t="s">
        <v>1549</v>
      </c>
      <c r="J242" t="s">
        <v>1550</v>
      </c>
      <c r="K242" t="s">
        <v>1551</v>
      </c>
      <c r="L242" t="s">
        <v>1545</v>
      </c>
    </row>
    <row r="243" spans="1:12" x14ac:dyDescent="0.25">
      <c r="A243">
        <v>229327</v>
      </c>
      <c r="B243">
        <v>229931</v>
      </c>
      <c r="D243">
        <v>0</v>
      </c>
      <c r="E243" t="s">
        <v>1553</v>
      </c>
      <c r="F243" t="s">
        <v>1554</v>
      </c>
      <c r="G243" t="s">
        <v>1555</v>
      </c>
      <c r="H243" t="e" vm="101">
        <f>_FV(0,"0004976043935602402")</f>
        <v>#VALUE!</v>
      </c>
      <c r="I243" t="s">
        <v>1556</v>
      </c>
      <c r="J243" t="s">
        <v>1557</v>
      </c>
      <c r="K243" t="s">
        <v>1558</v>
      </c>
      <c r="L243" t="s">
        <v>1552</v>
      </c>
    </row>
    <row r="244" spans="1:12" x14ac:dyDescent="0.25">
      <c r="A244">
        <v>229327</v>
      </c>
      <c r="B244">
        <v>351244</v>
      </c>
      <c r="D244" t="s">
        <v>1560</v>
      </c>
      <c r="E244" t="s">
        <v>1561</v>
      </c>
      <c r="F244" t="s">
        <v>1562</v>
      </c>
      <c r="G244" t="s">
        <v>1563</v>
      </c>
      <c r="H244" t="s">
        <v>1564</v>
      </c>
      <c r="I244" t="s">
        <v>1565</v>
      </c>
      <c r="J244" t="s">
        <v>1559</v>
      </c>
      <c r="K244" t="s">
        <v>1566</v>
      </c>
      <c r="L244" t="s">
        <v>1559</v>
      </c>
    </row>
    <row r="245" spans="1:12" x14ac:dyDescent="0.25">
      <c r="A245">
        <v>229357</v>
      </c>
      <c r="B245">
        <v>229365</v>
      </c>
      <c r="D245">
        <v>0</v>
      </c>
      <c r="E245" t="s">
        <v>1568</v>
      </c>
      <c r="F245" t="s">
        <v>1569</v>
      </c>
      <c r="G245" t="s">
        <v>1570</v>
      </c>
      <c r="H245" t="s">
        <v>1571</v>
      </c>
      <c r="I245" t="s">
        <v>1572</v>
      </c>
      <c r="J245" t="s">
        <v>1567</v>
      </c>
      <c r="K245" t="s">
        <v>1573</v>
      </c>
      <c r="L245" t="s">
        <v>1567</v>
      </c>
    </row>
    <row r="246" spans="1:12" x14ac:dyDescent="0.25">
      <c r="A246">
        <v>229357</v>
      </c>
      <c r="B246">
        <v>229402</v>
      </c>
      <c r="D246">
        <v>0</v>
      </c>
      <c r="E246" t="s">
        <v>1575</v>
      </c>
      <c r="F246" t="s">
        <v>1576</v>
      </c>
      <c r="G246" t="s">
        <v>1577</v>
      </c>
      <c r="H246" t="s">
        <v>1578</v>
      </c>
      <c r="I246" t="s">
        <v>1579</v>
      </c>
      <c r="J246" t="s">
        <v>1574</v>
      </c>
      <c r="K246" t="s">
        <v>1580</v>
      </c>
      <c r="L246" t="s">
        <v>1574</v>
      </c>
    </row>
    <row r="247" spans="1:12" x14ac:dyDescent="0.25">
      <c r="A247">
        <v>229357</v>
      </c>
      <c r="B247">
        <v>241303</v>
      </c>
      <c r="D247" t="s">
        <v>1582</v>
      </c>
      <c r="E247" t="s">
        <v>1583</v>
      </c>
      <c r="F247" t="s">
        <v>1584</v>
      </c>
      <c r="G247" t="s">
        <v>1585</v>
      </c>
      <c r="H247" t="s">
        <v>1586</v>
      </c>
      <c r="I247" t="s">
        <v>1587</v>
      </c>
      <c r="J247" t="s">
        <v>1581</v>
      </c>
      <c r="K247" t="s">
        <v>1588</v>
      </c>
      <c r="L247" t="s">
        <v>1581</v>
      </c>
    </row>
    <row r="248" spans="1:12" x14ac:dyDescent="0.25">
      <c r="A248">
        <v>229365</v>
      </c>
      <c r="B248">
        <v>241331</v>
      </c>
      <c r="D248">
        <v>0</v>
      </c>
      <c r="F248">
        <v>238752</v>
      </c>
      <c r="G248">
        <v>241331</v>
      </c>
      <c r="H248" t="s">
        <v>1589</v>
      </c>
      <c r="I248">
        <v>229365</v>
      </c>
      <c r="J248" t="s">
        <v>1589</v>
      </c>
      <c r="K248" t="s">
        <v>1590</v>
      </c>
      <c r="L248" t="s">
        <v>1589</v>
      </c>
    </row>
    <row r="249" spans="1:12" x14ac:dyDescent="0.25">
      <c r="A249">
        <v>229365</v>
      </c>
      <c r="B249">
        <v>229402</v>
      </c>
      <c r="D249">
        <v>0</v>
      </c>
      <c r="E249" t="s">
        <v>1592</v>
      </c>
      <c r="F249" t="s">
        <v>1593</v>
      </c>
      <c r="G249" t="s">
        <v>1594</v>
      </c>
      <c r="H249" t="s">
        <v>1595</v>
      </c>
      <c r="I249" t="s">
        <v>1596</v>
      </c>
      <c r="J249" t="s">
        <v>1597</v>
      </c>
      <c r="K249" t="s">
        <v>1598</v>
      </c>
      <c r="L249" t="s">
        <v>1591</v>
      </c>
    </row>
    <row r="250" spans="1:12" x14ac:dyDescent="0.25">
      <c r="A250">
        <v>229402</v>
      </c>
      <c r="B250">
        <v>241044</v>
      </c>
      <c r="D250">
        <v>0</v>
      </c>
      <c r="F250">
        <v>238792</v>
      </c>
      <c r="G250">
        <v>229402</v>
      </c>
      <c r="H250" t="e" vm="102">
        <f>_FV(0,"034")</f>
        <v>#VALUE!</v>
      </c>
      <c r="I250">
        <v>241044</v>
      </c>
      <c r="J250" t="s">
        <v>1599</v>
      </c>
      <c r="K250" t="s">
        <v>1600</v>
      </c>
      <c r="L250" t="e" vm="102">
        <f>_FV(0,"034")</f>
        <v>#VALUE!</v>
      </c>
    </row>
    <row r="251" spans="1:12" x14ac:dyDescent="0.25">
      <c r="A251">
        <v>229866</v>
      </c>
      <c r="B251">
        <v>351513</v>
      </c>
      <c r="D251">
        <v>0</v>
      </c>
      <c r="E251" t="s">
        <v>1602</v>
      </c>
      <c r="F251" t="s">
        <v>1603</v>
      </c>
      <c r="G251" t="s">
        <v>1604</v>
      </c>
      <c r="H251" t="e" vm="103">
        <f>_FV(0,"0004616263141585945")</f>
        <v>#VALUE!</v>
      </c>
      <c r="I251" t="s">
        <v>1605</v>
      </c>
      <c r="J251" t="s">
        <v>1606</v>
      </c>
      <c r="K251" t="s">
        <v>1607</v>
      </c>
      <c r="L251" t="s">
        <v>1601</v>
      </c>
    </row>
    <row r="252" spans="1:12" x14ac:dyDescent="0.25">
      <c r="A252">
        <v>229866</v>
      </c>
      <c r="B252">
        <v>241317</v>
      </c>
      <c r="D252">
        <v>0</v>
      </c>
      <c r="E252" t="s">
        <v>1609</v>
      </c>
      <c r="F252" t="s">
        <v>1610</v>
      </c>
      <c r="G252" t="s">
        <v>1611</v>
      </c>
      <c r="H252" t="e" vm="104">
        <f>_FV(0,"007592714002371412")</f>
        <v>#VALUE!</v>
      </c>
      <c r="I252" t="s">
        <v>1612</v>
      </c>
      <c r="J252" t="s">
        <v>1613</v>
      </c>
      <c r="K252" t="s">
        <v>1614</v>
      </c>
      <c r="L252" t="s">
        <v>1608</v>
      </c>
    </row>
    <row r="253" spans="1:12" x14ac:dyDescent="0.25">
      <c r="A253">
        <v>229905</v>
      </c>
      <c r="B253">
        <v>351513</v>
      </c>
      <c r="D253">
        <v>0</v>
      </c>
      <c r="E253" t="s">
        <v>1616</v>
      </c>
      <c r="F253" t="s">
        <v>1617</v>
      </c>
      <c r="G253" t="s">
        <v>1618</v>
      </c>
      <c r="H253" t="e" vm="105">
        <f>_FV(0,"000630207843185628")</f>
        <v>#VALUE!</v>
      </c>
      <c r="I253" t="s">
        <v>1619</v>
      </c>
      <c r="J253" t="s">
        <v>1620</v>
      </c>
      <c r="K253" t="s">
        <v>1621</v>
      </c>
      <c r="L253" t="s">
        <v>1615</v>
      </c>
    </row>
    <row r="254" spans="1:12" x14ac:dyDescent="0.25">
      <c r="A254">
        <v>229905</v>
      </c>
      <c r="B254">
        <v>229931</v>
      </c>
      <c r="D254" t="s">
        <v>204</v>
      </c>
      <c r="E254" t="s">
        <v>1623</v>
      </c>
      <c r="F254" t="s">
        <v>1624</v>
      </c>
      <c r="G254" t="s">
        <v>1625</v>
      </c>
      <c r="H254" t="s">
        <v>1626</v>
      </c>
      <c r="I254" t="s">
        <v>1627</v>
      </c>
      <c r="J254" t="s">
        <v>1622</v>
      </c>
      <c r="K254" t="s">
        <v>1628</v>
      </c>
      <c r="L254" t="s">
        <v>1622</v>
      </c>
    </row>
    <row r="255" spans="1:12" x14ac:dyDescent="0.25">
      <c r="A255">
        <v>229931</v>
      </c>
      <c r="B255">
        <v>1081885</v>
      </c>
      <c r="D255">
        <v>0</v>
      </c>
      <c r="F255">
        <v>1146090</v>
      </c>
      <c r="G255">
        <v>229931</v>
      </c>
      <c r="H255" t="e" vm="106">
        <f>_FV(0,"019")</f>
        <v>#VALUE!</v>
      </c>
      <c r="I255">
        <v>1081885</v>
      </c>
      <c r="J255" t="s">
        <v>1629</v>
      </c>
      <c r="K255" t="s">
        <v>1630</v>
      </c>
      <c r="L255" t="e" vm="106">
        <f>_FV(0,"019")</f>
        <v>#VALUE!</v>
      </c>
    </row>
    <row r="256" spans="1:12" x14ac:dyDescent="0.25">
      <c r="A256">
        <v>231304</v>
      </c>
      <c r="B256">
        <v>830975</v>
      </c>
      <c r="D256">
        <v>0</v>
      </c>
      <c r="F256">
        <v>857208</v>
      </c>
      <c r="G256">
        <v>830975</v>
      </c>
      <c r="H256" t="s">
        <v>922</v>
      </c>
      <c r="I256">
        <v>231304</v>
      </c>
      <c r="J256" t="s">
        <v>922</v>
      </c>
      <c r="K256" t="s">
        <v>1631</v>
      </c>
      <c r="L256" t="s">
        <v>922</v>
      </c>
    </row>
    <row r="257" spans="1:12" x14ac:dyDescent="0.25">
      <c r="A257">
        <v>231304</v>
      </c>
      <c r="B257">
        <v>231399</v>
      </c>
      <c r="D257">
        <v>0</v>
      </c>
      <c r="E257" t="s">
        <v>1633</v>
      </c>
      <c r="F257" t="s">
        <v>1634</v>
      </c>
      <c r="G257" t="s">
        <v>1635</v>
      </c>
      <c r="H257" t="s">
        <v>1636</v>
      </c>
      <c r="I257" t="s">
        <v>1637</v>
      </c>
      <c r="J257" t="s">
        <v>1632</v>
      </c>
      <c r="K257" t="s">
        <v>1638</v>
      </c>
      <c r="L257" t="s">
        <v>1632</v>
      </c>
    </row>
    <row r="258" spans="1:12" x14ac:dyDescent="0.25">
      <c r="A258">
        <v>231304</v>
      </c>
      <c r="B258">
        <v>231375</v>
      </c>
      <c r="D258">
        <v>0</v>
      </c>
      <c r="E258" t="s">
        <v>1640</v>
      </c>
      <c r="F258" t="s">
        <v>1641</v>
      </c>
      <c r="G258" t="s">
        <v>1642</v>
      </c>
      <c r="H258" t="s">
        <v>1643</v>
      </c>
      <c r="I258" t="s">
        <v>1644</v>
      </c>
      <c r="J258" t="s">
        <v>1645</v>
      </c>
      <c r="K258" t="s">
        <v>1646</v>
      </c>
      <c r="L258" t="s">
        <v>1639</v>
      </c>
    </row>
    <row r="259" spans="1:12" x14ac:dyDescent="0.25">
      <c r="A259">
        <v>231328</v>
      </c>
      <c r="B259">
        <v>830992</v>
      </c>
      <c r="D259">
        <v>0</v>
      </c>
      <c r="F259">
        <v>857256</v>
      </c>
      <c r="G259">
        <v>830992</v>
      </c>
      <c r="H259" t="e" vm="106">
        <f>_FV(0,"019")</f>
        <v>#VALUE!</v>
      </c>
      <c r="I259">
        <v>231328</v>
      </c>
      <c r="J259" t="s">
        <v>1629</v>
      </c>
      <c r="K259" t="s">
        <v>1647</v>
      </c>
      <c r="L259" t="e" vm="106">
        <f>_FV(0,"019")</f>
        <v>#VALUE!</v>
      </c>
    </row>
    <row r="260" spans="1:12" x14ac:dyDescent="0.25">
      <c r="A260">
        <v>231328</v>
      </c>
      <c r="B260">
        <v>231348</v>
      </c>
      <c r="D260">
        <v>0</v>
      </c>
      <c r="E260" t="s">
        <v>1649</v>
      </c>
      <c r="F260" t="s">
        <v>1650</v>
      </c>
      <c r="G260" t="s">
        <v>1651</v>
      </c>
      <c r="H260" t="e" vm="107">
        <f>_FV(0,"00817493654116793")</f>
        <v>#VALUE!</v>
      </c>
      <c r="I260" t="s">
        <v>1652</v>
      </c>
      <c r="J260" t="s">
        <v>1653</v>
      </c>
      <c r="K260" t="s">
        <v>1654</v>
      </c>
      <c r="L260" t="s">
        <v>1648</v>
      </c>
    </row>
    <row r="261" spans="1:12" x14ac:dyDescent="0.25">
      <c r="A261">
        <v>231328</v>
      </c>
      <c r="B261">
        <v>831001</v>
      </c>
      <c r="D261">
        <v>0</v>
      </c>
      <c r="F261">
        <v>857248</v>
      </c>
      <c r="G261">
        <v>231328</v>
      </c>
      <c r="H261" t="e" vm="1">
        <f>_FV(0,"03")</f>
        <v>#VALUE!</v>
      </c>
      <c r="I261">
        <v>831001</v>
      </c>
      <c r="J261" t="s">
        <v>12</v>
      </c>
      <c r="K261" t="s">
        <v>1655</v>
      </c>
      <c r="L261" t="e" vm="1">
        <f>_FV(0,"03")</f>
        <v>#VALUE!</v>
      </c>
    </row>
    <row r="262" spans="1:12" x14ac:dyDescent="0.25">
      <c r="A262">
        <v>231348</v>
      </c>
      <c r="B262">
        <v>593071</v>
      </c>
      <c r="D262" t="s">
        <v>1657</v>
      </c>
      <c r="E262" t="s">
        <v>1658</v>
      </c>
      <c r="F262" t="s">
        <v>1659</v>
      </c>
      <c r="G262" t="s">
        <v>1660</v>
      </c>
      <c r="H262" t="e" vm="108">
        <f>_FV(0,"0023437146658114374")</f>
        <v>#VALUE!</v>
      </c>
      <c r="I262" t="s">
        <v>1661</v>
      </c>
      <c r="J262" t="s">
        <v>1662</v>
      </c>
      <c r="K262" t="s">
        <v>1663</v>
      </c>
      <c r="L262" t="s">
        <v>1656</v>
      </c>
    </row>
    <row r="263" spans="1:12" x14ac:dyDescent="0.25">
      <c r="A263">
        <v>231348</v>
      </c>
      <c r="B263">
        <v>231381</v>
      </c>
      <c r="D263">
        <v>0</v>
      </c>
      <c r="F263">
        <v>857280</v>
      </c>
      <c r="G263">
        <v>231348</v>
      </c>
      <c r="H263" t="e" vm="109">
        <f>_FV(0,"01")</f>
        <v>#VALUE!</v>
      </c>
      <c r="I263">
        <v>231381</v>
      </c>
      <c r="J263" t="s">
        <v>761</v>
      </c>
      <c r="K263" t="s">
        <v>1664</v>
      </c>
      <c r="L263" t="e" vm="109">
        <f>_FV(0,"01")</f>
        <v>#VALUE!</v>
      </c>
    </row>
    <row r="264" spans="1:12" x14ac:dyDescent="0.25">
      <c r="A264">
        <v>231356</v>
      </c>
      <c r="B264">
        <v>231375</v>
      </c>
      <c r="D264">
        <v>0</v>
      </c>
      <c r="E264" t="s">
        <v>1666</v>
      </c>
      <c r="F264" t="s">
        <v>1667</v>
      </c>
      <c r="G264" t="s">
        <v>1668</v>
      </c>
      <c r="H264" t="e" vm="110">
        <f>_FV(0,"0033004143906402634")</f>
        <v>#VALUE!</v>
      </c>
      <c r="I264" t="s">
        <v>1669</v>
      </c>
      <c r="J264" t="s">
        <v>1670</v>
      </c>
      <c r="K264" t="s">
        <v>1671</v>
      </c>
      <c r="L264" t="s">
        <v>1665</v>
      </c>
    </row>
    <row r="265" spans="1:12" x14ac:dyDescent="0.25">
      <c r="A265">
        <v>231356</v>
      </c>
      <c r="B265">
        <v>593078</v>
      </c>
      <c r="D265" t="s">
        <v>1673</v>
      </c>
      <c r="E265" t="s">
        <v>1674</v>
      </c>
      <c r="F265" t="s">
        <v>1675</v>
      </c>
      <c r="G265" t="s">
        <v>1676</v>
      </c>
      <c r="H265" t="e" vm="111">
        <f>_FV(0,"0028359343258954027")</f>
        <v>#VALUE!</v>
      </c>
      <c r="I265" t="s">
        <v>1677</v>
      </c>
      <c r="J265" t="s">
        <v>1678</v>
      </c>
      <c r="K265" t="s">
        <v>1679</v>
      </c>
      <c r="L265" t="s">
        <v>1672</v>
      </c>
    </row>
    <row r="266" spans="1:12" x14ac:dyDescent="0.25">
      <c r="A266">
        <v>231356</v>
      </c>
      <c r="B266">
        <v>231399</v>
      </c>
      <c r="D266">
        <v>0</v>
      </c>
      <c r="E266" t="s">
        <v>1681</v>
      </c>
      <c r="F266" t="s">
        <v>1682</v>
      </c>
      <c r="G266" t="s">
        <v>1683</v>
      </c>
      <c r="H266" t="e" vm="112">
        <f>_FV(0,"010070289341924924")</f>
        <v>#VALUE!</v>
      </c>
      <c r="I266" t="s">
        <v>1684</v>
      </c>
      <c r="J266" t="s">
        <v>1685</v>
      </c>
      <c r="K266" t="s">
        <v>1686</v>
      </c>
      <c r="L266" t="s">
        <v>1680</v>
      </c>
    </row>
    <row r="267" spans="1:12" x14ac:dyDescent="0.25">
      <c r="A267">
        <v>231375</v>
      </c>
      <c r="B267">
        <v>830975</v>
      </c>
      <c r="D267">
        <v>0</v>
      </c>
      <c r="F267">
        <v>857216</v>
      </c>
      <c r="G267">
        <v>231375</v>
      </c>
      <c r="H267" t="e" vm="113">
        <f>_FV(0,"032")</f>
        <v>#VALUE!</v>
      </c>
      <c r="I267">
        <v>830975</v>
      </c>
      <c r="J267" t="s">
        <v>1687</v>
      </c>
      <c r="K267" t="s">
        <v>1688</v>
      </c>
      <c r="L267" t="e" vm="113">
        <f>_FV(0,"032")</f>
        <v>#VALUE!</v>
      </c>
    </row>
    <row r="268" spans="1:12" x14ac:dyDescent="0.25">
      <c r="A268">
        <v>231381</v>
      </c>
      <c r="B268">
        <v>231392</v>
      </c>
      <c r="D268">
        <v>0</v>
      </c>
      <c r="E268" t="s">
        <v>1690</v>
      </c>
      <c r="F268" t="s">
        <v>1691</v>
      </c>
      <c r="G268" t="s">
        <v>1692</v>
      </c>
      <c r="H268" t="e" vm="114">
        <f>_FV(0,"011157492946831594")</f>
        <v>#VALUE!</v>
      </c>
      <c r="I268" t="s">
        <v>1693</v>
      </c>
      <c r="J268" t="s">
        <v>1694</v>
      </c>
      <c r="K268" t="s">
        <v>1695</v>
      </c>
      <c r="L268" t="s">
        <v>1689</v>
      </c>
    </row>
    <row r="269" spans="1:12" x14ac:dyDescent="0.25">
      <c r="A269">
        <v>231381</v>
      </c>
      <c r="B269">
        <v>630261</v>
      </c>
      <c r="D269">
        <v>0</v>
      </c>
      <c r="E269" t="s">
        <v>1697</v>
      </c>
      <c r="F269" t="s">
        <v>1698</v>
      </c>
      <c r="G269" t="s">
        <v>1699</v>
      </c>
      <c r="H269" t="s">
        <v>1700</v>
      </c>
      <c r="I269" t="s">
        <v>1701</v>
      </c>
      <c r="J269" t="s">
        <v>1702</v>
      </c>
      <c r="K269" t="s">
        <v>1703</v>
      </c>
      <c r="L269" t="s">
        <v>1696</v>
      </c>
    </row>
    <row r="270" spans="1:12" x14ac:dyDescent="0.25">
      <c r="A270">
        <v>231392</v>
      </c>
      <c r="B270">
        <v>831001</v>
      </c>
      <c r="D270">
        <v>0</v>
      </c>
      <c r="F270">
        <v>857240</v>
      </c>
      <c r="G270">
        <v>831001</v>
      </c>
      <c r="H270" t="s">
        <v>697</v>
      </c>
      <c r="I270">
        <v>231392</v>
      </c>
      <c r="J270" t="s">
        <v>697</v>
      </c>
      <c r="K270" t="s">
        <v>1704</v>
      </c>
      <c r="L270" t="s">
        <v>697</v>
      </c>
    </row>
    <row r="271" spans="1:12" x14ac:dyDescent="0.25">
      <c r="A271">
        <v>231392</v>
      </c>
      <c r="B271">
        <v>830992</v>
      </c>
      <c r="D271">
        <v>0</v>
      </c>
      <c r="F271">
        <v>857232</v>
      </c>
      <c r="G271">
        <v>231392</v>
      </c>
      <c r="H271" t="s">
        <v>12</v>
      </c>
      <c r="I271">
        <v>830992</v>
      </c>
      <c r="J271" t="s">
        <v>12</v>
      </c>
      <c r="K271" t="s">
        <v>1705</v>
      </c>
      <c r="L271" t="s">
        <v>12</v>
      </c>
    </row>
    <row r="272" spans="1:12" x14ac:dyDescent="0.25">
      <c r="A272">
        <v>231399</v>
      </c>
      <c r="B272">
        <v>630261</v>
      </c>
      <c r="C272" t="s">
        <v>1707</v>
      </c>
      <c r="D272">
        <v>0</v>
      </c>
      <c r="E272" t="s">
        <v>1708</v>
      </c>
      <c r="F272" t="s">
        <v>1709</v>
      </c>
      <c r="G272" t="s">
        <v>1710</v>
      </c>
      <c r="H272" t="s">
        <v>1711</v>
      </c>
      <c r="I272" t="s">
        <v>1712</v>
      </c>
      <c r="J272" t="s">
        <v>1713</v>
      </c>
      <c r="K272" t="s">
        <v>1714</v>
      </c>
      <c r="L272" t="s">
        <v>1706</v>
      </c>
    </row>
    <row r="273" spans="1:12" x14ac:dyDescent="0.25">
      <c r="A273">
        <v>118349</v>
      </c>
      <c r="B273">
        <v>232551</v>
      </c>
      <c r="D273">
        <v>0</v>
      </c>
      <c r="E273" t="s">
        <v>1716</v>
      </c>
      <c r="F273" t="s">
        <v>1717</v>
      </c>
      <c r="G273" t="s">
        <v>1718</v>
      </c>
      <c r="H273" t="s">
        <v>1719</v>
      </c>
      <c r="I273" t="s">
        <v>1720</v>
      </c>
      <c r="J273" t="s">
        <v>1721</v>
      </c>
      <c r="K273" t="s">
        <v>1722</v>
      </c>
      <c r="L273" t="s">
        <v>1715</v>
      </c>
    </row>
    <row r="274" spans="1:12" x14ac:dyDescent="0.25">
      <c r="A274">
        <v>118349</v>
      </c>
      <c r="B274">
        <v>248884</v>
      </c>
      <c r="D274">
        <v>0</v>
      </c>
      <c r="E274" t="s">
        <v>1724</v>
      </c>
      <c r="F274" t="s">
        <v>1725</v>
      </c>
      <c r="G274" t="s">
        <v>1726</v>
      </c>
      <c r="H274" t="e" vm="115">
        <f>_FV(0,"012744395482175437")</f>
        <v>#VALUE!</v>
      </c>
      <c r="I274" t="s">
        <v>1727</v>
      </c>
      <c r="J274" t="s">
        <v>1728</v>
      </c>
      <c r="K274" t="s">
        <v>1729</v>
      </c>
      <c r="L274" t="s">
        <v>1723</v>
      </c>
    </row>
    <row r="275" spans="1:12" x14ac:dyDescent="0.25">
      <c r="A275">
        <v>118349</v>
      </c>
      <c r="B275">
        <v>263021</v>
      </c>
      <c r="D275">
        <v>0</v>
      </c>
      <c r="E275" t="s">
        <v>1731</v>
      </c>
      <c r="F275" t="s">
        <v>1732</v>
      </c>
      <c r="G275" t="s">
        <v>1733</v>
      </c>
      <c r="H275" t="s">
        <v>1734</v>
      </c>
      <c r="I275" t="s">
        <v>1735</v>
      </c>
      <c r="J275" t="s">
        <v>1730</v>
      </c>
      <c r="K275" t="s">
        <v>1736</v>
      </c>
      <c r="L275" t="s">
        <v>1730</v>
      </c>
    </row>
    <row r="276" spans="1:12" x14ac:dyDescent="0.25">
      <c r="A276">
        <v>232546</v>
      </c>
      <c r="B276">
        <v>1849142</v>
      </c>
      <c r="D276">
        <v>0</v>
      </c>
      <c r="E276" t="s">
        <v>1738</v>
      </c>
      <c r="F276" t="s">
        <v>1739</v>
      </c>
      <c r="G276" t="s">
        <v>1740</v>
      </c>
      <c r="H276" t="e" vm="116">
        <f>_FV(0,"10223646474460484")</f>
        <v>#VALUE!</v>
      </c>
      <c r="I276" t="s">
        <v>1741</v>
      </c>
      <c r="J276" t="s">
        <v>1742</v>
      </c>
      <c r="K276" t="s">
        <v>1743</v>
      </c>
      <c r="L276" t="s">
        <v>1737</v>
      </c>
    </row>
    <row r="277" spans="1:12" x14ac:dyDescent="0.25">
      <c r="A277">
        <v>232546</v>
      </c>
      <c r="B277">
        <v>1287839</v>
      </c>
      <c r="D277">
        <v>0</v>
      </c>
      <c r="F277">
        <v>1407598</v>
      </c>
      <c r="G277">
        <v>232546</v>
      </c>
      <c r="H277" t="s">
        <v>187</v>
      </c>
      <c r="I277">
        <v>1287839</v>
      </c>
      <c r="J277" t="s">
        <v>187</v>
      </c>
      <c r="K277" t="s">
        <v>1744</v>
      </c>
      <c r="L277" t="s">
        <v>187</v>
      </c>
    </row>
    <row r="278" spans="1:12" x14ac:dyDescent="0.25">
      <c r="A278">
        <v>232546</v>
      </c>
      <c r="B278">
        <v>1849176</v>
      </c>
      <c r="D278">
        <v>0</v>
      </c>
      <c r="E278" t="s">
        <v>1746</v>
      </c>
      <c r="F278" t="s">
        <v>1747</v>
      </c>
      <c r="G278" t="s">
        <v>1748</v>
      </c>
      <c r="H278" t="s">
        <v>1749</v>
      </c>
      <c r="I278" t="s">
        <v>1750</v>
      </c>
      <c r="J278" t="s">
        <v>1745</v>
      </c>
      <c r="K278" t="s">
        <v>1751</v>
      </c>
      <c r="L278" t="s">
        <v>1745</v>
      </c>
    </row>
    <row r="279" spans="1:12" x14ac:dyDescent="0.25">
      <c r="A279">
        <v>232551</v>
      </c>
      <c r="B279">
        <v>331611</v>
      </c>
      <c r="C279" t="s">
        <v>1753</v>
      </c>
      <c r="D279">
        <v>0</v>
      </c>
      <c r="E279" t="s">
        <v>1754</v>
      </c>
      <c r="F279" t="s">
        <v>1755</v>
      </c>
      <c r="G279" t="s">
        <v>1756</v>
      </c>
      <c r="H279" t="e" vm="117">
        <f>_FV(0,"007474961812396547")</f>
        <v>#VALUE!</v>
      </c>
      <c r="I279" t="s">
        <v>1757</v>
      </c>
      <c r="J279" t="s">
        <v>1758</v>
      </c>
      <c r="K279" t="s">
        <v>1759</v>
      </c>
      <c r="L279" t="s">
        <v>1752</v>
      </c>
    </row>
    <row r="280" spans="1:12" x14ac:dyDescent="0.25">
      <c r="A280">
        <v>232551</v>
      </c>
      <c r="B280">
        <v>331508</v>
      </c>
      <c r="D280">
        <v>0</v>
      </c>
      <c r="E280" t="s">
        <v>1761</v>
      </c>
      <c r="F280" t="s">
        <v>1762</v>
      </c>
      <c r="G280" t="s">
        <v>1763</v>
      </c>
      <c r="H280" t="e" vm="118">
        <f>_FV(0,"004593102919482663")</f>
        <v>#VALUE!</v>
      </c>
      <c r="I280" t="s">
        <v>1764</v>
      </c>
      <c r="J280" t="s">
        <v>1765</v>
      </c>
      <c r="K280" t="s">
        <v>1766</v>
      </c>
      <c r="L280" t="s">
        <v>1760</v>
      </c>
    </row>
    <row r="281" spans="1:12" x14ac:dyDescent="0.25">
      <c r="A281">
        <v>232560</v>
      </c>
      <c r="B281">
        <v>232649</v>
      </c>
      <c r="D281" t="s">
        <v>1768</v>
      </c>
      <c r="E281" t="s">
        <v>1769</v>
      </c>
      <c r="F281" t="s">
        <v>1770</v>
      </c>
      <c r="G281" t="s">
        <v>1771</v>
      </c>
      <c r="H281" t="s">
        <v>1772</v>
      </c>
      <c r="I281" t="s">
        <v>1773</v>
      </c>
      <c r="J281" t="s">
        <v>1774</v>
      </c>
      <c r="K281" t="s">
        <v>1775</v>
      </c>
      <c r="L281" t="s">
        <v>1767</v>
      </c>
    </row>
    <row r="282" spans="1:12" x14ac:dyDescent="0.25">
      <c r="A282">
        <v>232560</v>
      </c>
      <c r="B282">
        <v>332026</v>
      </c>
      <c r="D282">
        <v>0</v>
      </c>
      <c r="E282" t="s">
        <v>1777</v>
      </c>
      <c r="F282" t="s">
        <v>1778</v>
      </c>
      <c r="G282" t="s">
        <v>1779</v>
      </c>
      <c r="H282" t="s">
        <v>1780</v>
      </c>
      <c r="I282" t="s">
        <v>1781</v>
      </c>
      <c r="J282" t="s">
        <v>1776</v>
      </c>
      <c r="K282" t="s">
        <v>1782</v>
      </c>
      <c r="L282" t="s">
        <v>1776</v>
      </c>
    </row>
    <row r="283" spans="1:12" x14ac:dyDescent="0.25">
      <c r="A283">
        <v>232560</v>
      </c>
      <c r="B283">
        <v>332455</v>
      </c>
      <c r="D283">
        <v>0</v>
      </c>
      <c r="F283">
        <v>343913</v>
      </c>
      <c r="G283">
        <v>232560</v>
      </c>
      <c r="H283" t="s">
        <v>1783</v>
      </c>
      <c r="I283">
        <v>332455</v>
      </c>
      <c r="J283" t="s">
        <v>1783</v>
      </c>
      <c r="K283" t="s">
        <v>1784</v>
      </c>
      <c r="L283" t="s">
        <v>1783</v>
      </c>
    </row>
    <row r="284" spans="1:12" x14ac:dyDescent="0.25">
      <c r="A284">
        <v>232649</v>
      </c>
      <c r="B284">
        <v>232668</v>
      </c>
      <c r="D284">
        <v>0</v>
      </c>
      <c r="E284" t="s">
        <v>1786</v>
      </c>
      <c r="F284" t="s">
        <v>1787</v>
      </c>
      <c r="G284" t="s">
        <v>1788</v>
      </c>
      <c r="H284" t="e" vm="119">
        <f>_FV(0,"03065649586975939")</f>
        <v>#VALUE!</v>
      </c>
      <c r="I284" t="s">
        <v>1789</v>
      </c>
      <c r="J284" t="s">
        <v>1790</v>
      </c>
      <c r="K284" t="s">
        <v>1791</v>
      </c>
      <c r="L284" t="s">
        <v>1785</v>
      </c>
    </row>
    <row r="285" spans="1:12" x14ac:dyDescent="0.25">
      <c r="A285">
        <v>232649</v>
      </c>
      <c r="B285">
        <v>262405</v>
      </c>
      <c r="D285">
        <v>0</v>
      </c>
      <c r="E285" t="s">
        <v>1793</v>
      </c>
      <c r="F285" t="s">
        <v>1794</v>
      </c>
      <c r="G285" t="s">
        <v>1795</v>
      </c>
      <c r="H285" t="e" vm="120">
        <f>_FV(0,"035418240463044065")</f>
        <v>#VALUE!</v>
      </c>
      <c r="I285" t="s">
        <v>1796</v>
      </c>
      <c r="J285" t="s">
        <v>1797</v>
      </c>
      <c r="K285" t="s">
        <v>1798</v>
      </c>
      <c r="L285" t="s">
        <v>1792</v>
      </c>
    </row>
    <row r="286" spans="1:12" x14ac:dyDescent="0.25">
      <c r="A286">
        <v>232668</v>
      </c>
      <c r="B286">
        <v>232683</v>
      </c>
      <c r="D286">
        <v>0</v>
      </c>
      <c r="E286" t="s">
        <v>1800</v>
      </c>
      <c r="F286" t="s">
        <v>1801</v>
      </c>
      <c r="G286" t="s">
        <v>1802</v>
      </c>
      <c r="H286" t="e" vm="121">
        <f>_FV(0,"015244333978710696")</f>
        <v>#VALUE!</v>
      </c>
      <c r="I286" t="s">
        <v>1803</v>
      </c>
      <c r="J286" t="s">
        <v>1804</v>
      </c>
      <c r="K286" t="s">
        <v>1805</v>
      </c>
      <c r="L286" t="s">
        <v>1799</v>
      </c>
    </row>
    <row r="287" spans="1:12" x14ac:dyDescent="0.25">
      <c r="A287">
        <v>232668</v>
      </c>
      <c r="B287">
        <v>262417</v>
      </c>
      <c r="D287">
        <v>0</v>
      </c>
      <c r="E287" t="s">
        <v>1807</v>
      </c>
      <c r="F287" t="s">
        <v>1808</v>
      </c>
      <c r="G287" t="s">
        <v>1809</v>
      </c>
      <c r="H287" t="s">
        <v>1810</v>
      </c>
      <c r="I287" t="s">
        <v>1811</v>
      </c>
      <c r="J287" t="s">
        <v>1812</v>
      </c>
      <c r="K287" t="s">
        <v>1813</v>
      </c>
      <c r="L287" t="s">
        <v>1806</v>
      </c>
    </row>
    <row r="288" spans="1:12" x14ac:dyDescent="0.25">
      <c r="A288">
        <v>232683</v>
      </c>
      <c r="B288">
        <v>232692</v>
      </c>
      <c r="D288">
        <v>0</v>
      </c>
      <c r="F288">
        <v>228013</v>
      </c>
      <c r="G288">
        <v>232692</v>
      </c>
      <c r="H288" t="e" vm="122">
        <f>_FV(0,"017")</f>
        <v>#VALUE!</v>
      </c>
      <c r="I288">
        <v>232683</v>
      </c>
      <c r="J288" t="s">
        <v>1814</v>
      </c>
      <c r="K288" t="s">
        <v>1815</v>
      </c>
      <c r="L288" t="e" vm="122">
        <f>_FV(0,"017")</f>
        <v>#VALUE!</v>
      </c>
    </row>
    <row r="289" spans="1:12" x14ac:dyDescent="0.25">
      <c r="A289">
        <v>232683</v>
      </c>
      <c r="B289">
        <v>262405</v>
      </c>
      <c r="D289">
        <v>0</v>
      </c>
      <c r="E289" t="s">
        <v>1817</v>
      </c>
      <c r="F289" t="s">
        <v>1818</v>
      </c>
      <c r="G289" t="s">
        <v>1819</v>
      </c>
      <c r="H289" t="e" vm="123">
        <f>_FV(0,"005266462320484316")</f>
        <v>#VALUE!</v>
      </c>
      <c r="I289" t="s">
        <v>1820</v>
      </c>
      <c r="J289" t="s">
        <v>1821</v>
      </c>
      <c r="K289" t="s">
        <v>1822</v>
      </c>
      <c r="L289" t="s">
        <v>1816</v>
      </c>
    </row>
    <row r="290" spans="1:12" x14ac:dyDescent="0.25">
      <c r="A290">
        <v>232692</v>
      </c>
      <c r="B290">
        <v>232704</v>
      </c>
      <c r="C290" t="s">
        <v>1824</v>
      </c>
      <c r="D290" t="s">
        <v>1119</v>
      </c>
      <c r="E290" t="s">
        <v>1825</v>
      </c>
      <c r="F290" t="s">
        <v>1826</v>
      </c>
      <c r="G290" t="s">
        <v>1827</v>
      </c>
      <c r="H290" t="e" vm="124">
        <f>_FV(0,"002066201066305444")</f>
        <v>#VALUE!</v>
      </c>
      <c r="I290" t="s">
        <v>1828</v>
      </c>
      <c r="J290" t="s">
        <v>1829</v>
      </c>
      <c r="K290" t="s">
        <v>1830</v>
      </c>
      <c r="L290" t="s">
        <v>1823</v>
      </c>
    </row>
    <row r="291" spans="1:12" x14ac:dyDescent="0.25">
      <c r="A291">
        <v>232692</v>
      </c>
      <c r="B291">
        <v>262417</v>
      </c>
      <c r="D291">
        <v>0</v>
      </c>
      <c r="E291" t="s">
        <v>1832</v>
      </c>
      <c r="F291" t="s">
        <v>1833</v>
      </c>
      <c r="G291" t="s">
        <v>1834</v>
      </c>
      <c r="H291" t="s">
        <v>1835</v>
      </c>
      <c r="I291" t="s">
        <v>1836</v>
      </c>
      <c r="J291" t="s">
        <v>1837</v>
      </c>
      <c r="K291" t="s">
        <v>1838</v>
      </c>
      <c r="L291" t="s">
        <v>1831</v>
      </c>
    </row>
    <row r="292" spans="1:12" x14ac:dyDescent="0.25">
      <c r="A292">
        <v>232704</v>
      </c>
      <c r="B292">
        <v>232716</v>
      </c>
      <c r="D292" t="s">
        <v>1839</v>
      </c>
      <c r="E292" t="s">
        <v>1840</v>
      </c>
      <c r="F292" t="s">
        <v>1841</v>
      </c>
      <c r="G292" t="s">
        <v>1842</v>
      </c>
      <c r="H292" t="s">
        <v>187</v>
      </c>
      <c r="I292" t="s">
        <v>1843</v>
      </c>
      <c r="J292" t="s">
        <v>187</v>
      </c>
      <c r="K292" t="s">
        <v>1844</v>
      </c>
      <c r="L292" t="s">
        <v>187</v>
      </c>
    </row>
    <row r="293" spans="1:12" x14ac:dyDescent="0.25">
      <c r="A293">
        <v>232704</v>
      </c>
      <c r="B293">
        <v>262588</v>
      </c>
      <c r="D293" t="s">
        <v>1845</v>
      </c>
      <c r="E293" t="s">
        <v>1846</v>
      </c>
      <c r="F293" t="s">
        <v>1847</v>
      </c>
      <c r="G293" t="s">
        <v>1848</v>
      </c>
      <c r="H293" t="s">
        <v>187</v>
      </c>
      <c r="I293" t="s">
        <v>1849</v>
      </c>
      <c r="J293" t="s">
        <v>187</v>
      </c>
      <c r="K293" t="s">
        <v>1850</v>
      </c>
      <c r="L293" t="s">
        <v>187</v>
      </c>
    </row>
    <row r="294" spans="1:12" x14ac:dyDescent="0.25">
      <c r="A294">
        <v>232716</v>
      </c>
      <c r="B294">
        <v>232751</v>
      </c>
      <c r="D294" t="s">
        <v>1852</v>
      </c>
      <c r="E294" t="s">
        <v>1853</v>
      </c>
      <c r="F294" t="s">
        <v>1854</v>
      </c>
      <c r="G294" t="s">
        <v>1855</v>
      </c>
      <c r="H294" t="s">
        <v>1856</v>
      </c>
      <c r="I294" t="s">
        <v>1857</v>
      </c>
      <c r="J294" t="s">
        <v>1851</v>
      </c>
      <c r="K294" t="s">
        <v>1858</v>
      </c>
      <c r="L294" t="s">
        <v>1851</v>
      </c>
    </row>
    <row r="295" spans="1:12" x14ac:dyDescent="0.25">
      <c r="A295">
        <v>232716</v>
      </c>
      <c r="B295">
        <v>325618</v>
      </c>
      <c r="D295">
        <v>0</v>
      </c>
      <c r="E295" t="s">
        <v>1859</v>
      </c>
      <c r="F295" t="s">
        <v>1860</v>
      </c>
      <c r="G295" t="s">
        <v>1861</v>
      </c>
      <c r="H295" t="s">
        <v>187</v>
      </c>
      <c r="I295" t="s">
        <v>1862</v>
      </c>
      <c r="J295" t="s">
        <v>187</v>
      </c>
      <c r="K295" t="s">
        <v>1863</v>
      </c>
      <c r="L295" t="s">
        <v>187</v>
      </c>
    </row>
    <row r="296" spans="1:12" x14ac:dyDescent="0.25">
      <c r="A296">
        <v>232751</v>
      </c>
      <c r="B296">
        <v>232760</v>
      </c>
      <c r="D296">
        <v>0</v>
      </c>
      <c r="F296">
        <v>228094</v>
      </c>
      <c r="G296">
        <v>232760</v>
      </c>
      <c r="H296" t="s">
        <v>737</v>
      </c>
      <c r="I296">
        <v>232751</v>
      </c>
      <c r="J296" t="s">
        <v>737</v>
      </c>
      <c r="K296" t="s">
        <v>1864</v>
      </c>
      <c r="L296" t="s">
        <v>737</v>
      </c>
    </row>
    <row r="297" spans="1:12" x14ac:dyDescent="0.25">
      <c r="A297">
        <v>232751</v>
      </c>
      <c r="B297">
        <v>262588</v>
      </c>
      <c r="D297" t="s">
        <v>1866</v>
      </c>
      <c r="E297" t="s">
        <v>1867</v>
      </c>
      <c r="F297" t="s">
        <v>1868</v>
      </c>
      <c r="G297" t="s">
        <v>1869</v>
      </c>
      <c r="H297" t="e" vm="125">
        <f>_FV(0,"00899590337505762")</f>
        <v>#VALUE!</v>
      </c>
      <c r="I297" t="s">
        <v>1870</v>
      </c>
      <c r="J297" t="s">
        <v>1871</v>
      </c>
      <c r="K297" t="s">
        <v>1872</v>
      </c>
      <c r="L297" t="s">
        <v>1865</v>
      </c>
    </row>
    <row r="298" spans="1:12" x14ac:dyDescent="0.25">
      <c r="A298">
        <v>232760</v>
      </c>
      <c r="B298">
        <v>232800</v>
      </c>
      <c r="C298" t="s">
        <v>1874</v>
      </c>
      <c r="D298" t="s">
        <v>1875</v>
      </c>
      <c r="E298" t="s">
        <v>1876</v>
      </c>
      <c r="F298" t="s">
        <v>1877</v>
      </c>
      <c r="G298" t="s">
        <v>1878</v>
      </c>
      <c r="H298" t="s">
        <v>1879</v>
      </c>
      <c r="I298" t="s">
        <v>1880</v>
      </c>
      <c r="J298" t="s">
        <v>1873</v>
      </c>
      <c r="K298" t="s">
        <v>1881</v>
      </c>
      <c r="L298" t="s">
        <v>1873</v>
      </c>
    </row>
    <row r="299" spans="1:12" x14ac:dyDescent="0.25">
      <c r="A299">
        <v>232760</v>
      </c>
      <c r="B299">
        <v>249363</v>
      </c>
      <c r="D299" t="s">
        <v>514</v>
      </c>
      <c r="E299" t="s">
        <v>1883</v>
      </c>
      <c r="F299" t="s">
        <v>1884</v>
      </c>
      <c r="G299" t="s">
        <v>1885</v>
      </c>
      <c r="H299" t="s">
        <v>1886</v>
      </c>
      <c r="I299" t="s">
        <v>1887</v>
      </c>
      <c r="J299" t="s">
        <v>1882</v>
      </c>
      <c r="K299" t="s">
        <v>1888</v>
      </c>
      <c r="L299" t="s">
        <v>1882</v>
      </c>
    </row>
    <row r="300" spans="1:12" x14ac:dyDescent="0.25">
      <c r="A300">
        <v>232800</v>
      </c>
      <c r="B300">
        <v>232815</v>
      </c>
      <c r="D300">
        <v>0</v>
      </c>
      <c r="E300" t="s">
        <v>1890</v>
      </c>
      <c r="F300" t="s">
        <v>1891</v>
      </c>
      <c r="G300" t="s">
        <v>1892</v>
      </c>
      <c r="H300" t="e" vm="126">
        <f>_FV(0,"0028645755846311727")</f>
        <v>#VALUE!</v>
      </c>
      <c r="I300" t="s">
        <v>1893</v>
      </c>
      <c r="J300" t="s">
        <v>1894</v>
      </c>
      <c r="K300" t="s">
        <v>1895</v>
      </c>
      <c r="L300" t="s">
        <v>1889</v>
      </c>
    </row>
    <row r="301" spans="1:12" x14ac:dyDescent="0.25">
      <c r="A301">
        <v>232800</v>
      </c>
      <c r="B301">
        <v>262680</v>
      </c>
      <c r="D301">
        <v>0</v>
      </c>
      <c r="E301" t="s">
        <v>1897</v>
      </c>
      <c r="F301" t="s">
        <v>1898</v>
      </c>
      <c r="G301" t="s">
        <v>1899</v>
      </c>
      <c r="H301" t="s">
        <v>1900</v>
      </c>
      <c r="I301" t="s">
        <v>1901</v>
      </c>
      <c r="J301" t="s">
        <v>1902</v>
      </c>
      <c r="K301" t="s">
        <v>1903</v>
      </c>
      <c r="L301" t="s">
        <v>1896</v>
      </c>
    </row>
    <row r="302" spans="1:12" x14ac:dyDescent="0.25">
      <c r="A302">
        <v>232802</v>
      </c>
      <c r="B302">
        <v>452144</v>
      </c>
      <c r="D302">
        <v>0</v>
      </c>
      <c r="E302" t="s">
        <v>1905</v>
      </c>
      <c r="F302" t="s">
        <v>1906</v>
      </c>
      <c r="G302" t="s">
        <v>1907</v>
      </c>
      <c r="H302" t="e" vm="127">
        <f>_FV(0,"015211506120947921")</f>
        <v>#VALUE!</v>
      </c>
      <c r="I302" t="s">
        <v>1908</v>
      </c>
      <c r="J302" t="s">
        <v>1909</v>
      </c>
      <c r="K302" t="s">
        <v>1910</v>
      </c>
      <c r="L302" t="s">
        <v>1904</v>
      </c>
    </row>
    <row r="303" spans="1:12" x14ac:dyDescent="0.25">
      <c r="A303">
        <v>232802</v>
      </c>
      <c r="B303">
        <v>453418</v>
      </c>
      <c r="D303">
        <v>0</v>
      </c>
      <c r="E303" t="s">
        <v>1912</v>
      </c>
      <c r="F303" t="s">
        <v>1913</v>
      </c>
      <c r="G303" t="s">
        <v>1914</v>
      </c>
      <c r="H303" t="e" vm="128">
        <f>_FV(0,"07442270561551208")</f>
        <v>#VALUE!</v>
      </c>
      <c r="I303" t="s">
        <v>1915</v>
      </c>
      <c r="J303" t="s">
        <v>1916</v>
      </c>
      <c r="K303" t="s">
        <v>1917</v>
      </c>
      <c r="L303" t="s">
        <v>1911</v>
      </c>
    </row>
    <row r="304" spans="1:12" x14ac:dyDescent="0.25">
      <c r="A304">
        <v>232802</v>
      </c>
      <c r="B304">
        <v>453418</v>
      </c>
      <c r="D304">
        <v>0</v>
      </c>
      <c r="E304" t="s">
        <v>1919</v>
      </c>
      <c r="F304" t="s">
        <v>1920</v>
      </c>
      <c r="G304" t="s">
        <v>1921</v>
      </c>
      <c r="H304" t="e" vm="129">
        <f>_FV(0,"09262638370589593")</f>
        <v>#VALUE!</v>
      </c>
      <c r="I304" t="s">
        <v>1922</v>
      </c>
      <c r="J304" t="s">
        <v>1923</v>
      </c>
      <c r="K304" t="s">
        <v>1924</v>
      </c>
      <c r="L304" t="s">
        <v>1918</v>
      </c>
    </row>
    <row r="305" spans="1:12" x14ac:dyDescent="0.25">
      <c r="A305">
        <v>232815</v>
      </c>
      <c r="B305">
        <v>232828</v>
      </c>
      <c r="D305">
        <v>0</v>
      </c>
      <c r="E305" t="s">
        <v>1926</v>
      </c>
      <c r="F305" t="s">
        <v>1927</v>
      </c>
      <c r="G305" t="s">
        <v>1928</v>
      </c>
      <c r="H305" t="s">
        <v>1929</v>
      </c>
      <c r="I305" t="s">
        <v>1930</v>
      </c>
      <c r="J305" t="s">
        <v>1925</v>
      </c>
      <c r="K305" t="s">
        <v>1931</v>
      </c>
      <c r="L305" t="s">
        <v>1925</v>
      </c>
    </row>
    <row r="306" spans="1:12" x14ac:dyDescent="0.25">
      <c r="A306">
        <v>232815</v>
      </c>
      <c r="B306">
        <v>262698</v>
      </c>
      <c r="D306">
        <v>0</v>
      </c>
      <c r="E306" t="s">
        <v>1933</v>
      </c>
      <c r="F306" t="s">
        <v>1934</v>
      </c>
      <c r="G306" t="s">
        <v>1935</v>
      </c>
      <c r="H306" t="e" vm="130">
        <f>_FV(0,"008637878291155957")</f>
        <v>#VALUE!</v>
      </c>
      <c r="I306" t="s">
        <v>1936</v>
      </c>
      <c r="J306" t="s">
        <v>1937</v>
      </c>
      <c r="K306" t="s">
        <v>1938</v>
      </c>
      <c r="L306" t="s">
        <v>1932</v>
      </c>
    </row>
    <row r="307" spans="1:12" x14ac:dyDescent="0.25">
      <c r="A307">
        <v>232828</v>
      </c>
      <c r="B307">
        <v>232834</v>
      </c>
      <c r="D307">
        <v>0</v>
      </c>
      <c r="F307">
        <v>228176</v>
      </c>
      <c r="G307">
        <v>232834</v>
      </c>
      <c r="H307" t="e" vm="131">
        <f>_FV(0,"012")</f>
        <v>#VALUE!</v>
      </c>
      <c r="I307">
        <v>232828</v>
      </c>
      <c r="J307" t="s">
        <v>1939</v>
      </c>
      <c r="K307" t="s">
        <v>1940</v>
      </c>
      <c r="L307" t="e" vm="131">
        <f>_FV(0,"012")</f>
        <v>#VALUE!</v>
      </c>
    </row>
    <row r="308" spans="1:12" x14ac:dyDescent="0.25">
      <c r="A308">
        <v>232828</v>
      </c>
      <c r="B308">
        <v>262698</v>
      </c>
      <c r="D308">
        <v>0</v>
      </c>
      <c r="E308" t="s">
        <v>1942</v>
      </c>
      <c r="F308" t="s">
        <v>1943</v>
      </c>
      <c r="G308" t="s">
        <v>1944</v>
      </c>
      <c r="H308" t="e" vm="132">
        <f>_FV(0,"05685284462607367")</f>
        <v>#VALUE!</v>
      </c>
      <c r="I308" t="s">
        <v>1945</v>
      </c>
      <c r="J308" t="s">
        <v>1946</v>
      </c>
      <c r="K308" t="s">
        <v>1947</v>
      </c>
      <c r="L308" t="s">
        <v>1941</v>
      </c>
    </row>
    <row r="309" spans="1:12" x14ac:dyDescent="0.25">
      <c r="A309">
        <v>232834</v>
      </c>
      <c r="B309">
        <v>232847</v>
      </c>
      <c r="C309" t="s">
        <v>1949</v>
      </c>
      <c r="D309">
        <v>0</v>
      </c>
      <c r="E309" t="s">
        <v>1950</v>
      </c>
      <c r="F309" t="s">
        <v>1951</v>
      </c>
      <c r="G309" t="s">
        <v>1952</v>
      </c>
      <c r="H309" t="s">
        <v>1953</v>
      </c>
      <c r="I309" t="s">
        <v>1954</v>
      </c>
      <c r="J309" t="s">
        <v>1948</v>
      </c>
      <c r="K309" t="s">
        <v>1955</v>
      </c>
      <c r="L309" t="s">
        <v>1948</v>
      </c>
    </row>
    <row r="310" spans="1:12" x14ac:dyDescent="0.25">
      <c r="A310">
        <v>232834</v>
      </c>
      <c r="B310">
        <v>262744</v>
      </c>
      <c r="D310">
        <v>0</v>
      </c>
      <c r="E310" t="s">
        <v>1957</v>
      </c>
      <c r="F310" t="s">
        <v>1958</v>
      </c>
      <c r="G310" t="s">
        <v>1959</v>
      </c>
      <c r="H310" t="e" vm="133">
        <f>_FV(0,"0002778681949829312")</f>
        <v>#VALUE!</v>
      </c>
      <c r="I310" t="s">
        <v>1960</v>
      </c>
      <c r="J310" t="s">
        <v>1961</v>
      </c>
      <c r="K310" t="s">
        <v>1962</v>
      </c>
      <c r="L310" t="s">
        <v>1956</v>
      </c>
    </row>
    <row r="311" spans="1:12" x14ac:dyDescent="0.25">
      <c r="A311">
        <v>232847</v>
      </c>
      <c r="B311">
        <v>232855</v>
      </c>
      <c r="D311">
        <v>0</v>
      </c>
      <c r="F311">
        <v>228200</v>
      </c>
      <c r="G311">
        <v>232855</v>
      </c>
      <c r="H311" t="e" vm="131">
        <f>_FV(0,"012")</f>
        <v>#VALUE!</v>
      </c>
      <c r="I311">
        <v>232847</v>
      </c>
      <c r="J311" t="s">
        <v>1939</v>
      </c>
      <c r="K311" t="s">
        <v>1963</v>
      </c>
      <c r="L311" t="e" vm="131">
        <f>_FV(0,"012")</f>
        <v>#VALUE!</v>
      </c>
    </row>
    <row r="312" spans="1:12" x14ac:dyDescent="0.25">
      <c r="A312">
        <v>232847</v>
      </c>
      <c r="B312">
        <v>323129</v>
      </c>
      <c r="D312">
        <v>0</v>
      </c>
      <c r="E312" t="s">
        <v>1965</v>
      </c>
      <c r="F312" t="s">
        <v>1966</v>
      </c>
      <c r="G312" t="s">
        <v>1967</v>
      </c>
      <c r="H312" t="e" vm="134">
        <f>_FV(0,"012025586729003834")</f>
        <v>#VALUE!</v>
      </c>
      <c r="I312" t="s">
        <v>1968</v>
      </c>
      <c r="J312" t="s">
        <v>1969</v>
      </c>
      <c r="K312" t="s">
        <v>1970</v>
      </c>
      <c r="L312" t="s">
        <v>1964</v>
      </c>
    </row>
    <row r="313" spans="1:12" x14ac:dyDescent="0.25">
      <c r="A313">
        <v>232855</v>
      </c>
      <c r="B313">
        <v>232890</v>
      </c>
      <c r="D313" t="s">
        <v>1972</v>
      </c>
      <c r="E313" t="s">
        <v>1973</v>
      </c>
      <c r="F313" t="s">
        <v>1974</v>
      </c>
      <c r="G313" t="s">
        <v>1975</v>
      </c>
      <c r="H313" t="e" vm="135">
        <f>_FV(0,"025537750044913852")</f>
        <v>#VALUE!</v>
      </c>
      <c r="I313" t="s">
        <v>1976</v>
      </c>
      <c r="J313" t="s">
        <v>1977</v>
      </c>
      <c r="K313" t="s">
        <v>1978</v>
      </c>
      <c r="L313" t="s">
        <v>1971</v>
      </c>
    </row>
    <row r="314" spans="1:12" x14ac:dyDescent="0.25">
      <c r="A314">
        <v>232855</v>
      </c>
      <c r="B314">
        <v>323325</v>
      </c>
      <c r="D314">
        <v>0</v>
      </c>
      <c r="E314" t="s">
        <v>1980</v>
      </c>
      <c r="F314" t="s">
        <v>1981</v>
      </c>
      <c r="G314" t="s">
        <v>1982</v>
      </c>
      <c r="H314" t="s">
        <v>1983</v>
      </c>
      <c r="I314" t="s">
        <v>1984</v>
      </c>
      <c r="J314" t="s">
        <v>1985</v>
      </c>
      <c r="K314" t="s">
        <v>1986</v>
      </c>
      <c r="L314" t="s">
        <v>1979</v>
      </c>
    </row>
    <row r="315" spans="1:12" x14ac:dyDescent="0.25">
      <c r="A315">
        <v>232890</v>
      </c>
      <c r="B315">
        <v>232898</v>
      </c>
      <c r="D315">
        <v>0</v>
      </c>
      <c r="F315">
        <v>228248</v>
      </c>
      <c r="G315">
        <v>232898</v>
      </c>
      <c r="H315" t="s">
        <v>1987</v>
      </c>
      <c r="I315">
        <v>232890</v>
      </c>
      <c r="J315" t="s">
        <v>1987</v>
      </c>
      <c r="K315" t="s">
        <v>1988</v>
      </c>
      <c r="L315" t="s">
        <v>1987</v>
      </c>
    </row>
    <row r="316" spans="1:12" x14ac:dyDescent="0.25">
      <c r="A316">
        <v>232890</v>
      </c>
      <c r="B316">
        <v>323217</v>
      </c>
      <c r="D316" t="s">
        <v>1990</v>
      </c>
      <c r="E316" t="s">
        <v>1991</v>
      </c>
      <c r="F316" t="s">
        <v>1992</v>
      </c>
      <c r="G316" t="s">
        <v>1993</v>
      </c>
      <c r="H316" t="e" vm="136">
        <f>_FV(0,"03082916376275911")</f>
        <v>#VALUE!</v>
      </c>
      <c r="I316" t="s">
        <v>1994</v>
      </c>
      <c r="J316" t="s">
        <v>1995</v>
      </c>
      <c r="K316" t="s">
        <v>1996</v>
      </c>
      <c r="L316" t="s">
        <v>1989</v>
      </c>
    </row>
    <row r="317" spans="1:12" x14ac:dyDescent="0.25">
      <c r="A317">
        <v>232898</v>
      </c>
      <c r="B317">
        <v>232965</v>
      </c>
      <c r="C317" t="s">
        <v>1998</v>
      </c>
      <c r="D317" t="s">
        <v>1999</v>
      </c>
      <c r="E317" t="s">
        <v>2000</v>
      </c>
      <c r="F317" t="s">
        <v>2001</v>
      </c>
      <c r="G317" t="s">
        <v>2002</v>
      </c>
      <c r="H317" t="s">
        <v>2003</v>
      </c>
      <c r="I317" t="s">
        <v>2004</v>
      </c>
      <c r="J317" t="s">
        <v>2005</v>
      </c>
      <c r="K317" t="s">
        <v>2006</v>
      </c>
      <c r="L317" t="s">
        <v>1997</v>
      </c>
    </row>
    <row r="318" spans="1:12" x14ac:dyDescent="0.25">
      <c r="A318">
        <v>232898</v>
      </c>
      <c r="B318">
        <v>323275</v>
      </c>
      <c r="D318">
        <v>0</v>
      </c>
      <c r="E318" t="s">
        <v>2008</v>
      </c>
      <c r="F318" t="s">
        <v>2009</v>
      </c>
      <c r="G318" t="s">
        <v>2010</v>
      </c>
      <c r="H318" t="e" vm="137">
        <f>_FV(0,"04233839700268167")</f>
        <v>#VALUE!</v>
      </c>
      <c r="I318" t="s">
        <v>2011</v>
      </c>
      <c r="J318" t="s">
        <v>2012</v>
      </c>
      <c r="K318" t="s">
        <v>2013</v>
      </c>
      <c r="L318" t="s">
        <v>2007</v>
      </c>
    </row>
    <row r="319" spans="1:12" x14ac:dyDescent="0.25">
      <c r="A319">
        <v>232965</v>
      </c>
      <c r="B319">
        <v>232977</v>
      </c>
      <c r="D319">
        <v>0</v>
      </c>
      <c r="E319" t="s">
        <v>2015</v>
      </c>
      <c r="F319" t="s">
        <v>2016</v>
      </c>
      <c r="G319" t="s">
        <v>2017</v>
      </c>
      <c r="H319" t="s">
        <v>2018</v>
      </c>
      <c r="I319" t="s">
        <v>2019</v>
      </c>
      <c r="J319" t="s">
        <v>2014</v>
      </c>
      <c r="K319" t="s">
        <v>2020</v>
      </c>
      <c r="L319" t="s">
        <v>2014</v>
      </c>
    </row>
    <row r="320" spans="1:12" x14ac:dyDescent="0.25">
      <c r="A320">
        <v>232965</v>
      </c>
      <c r="B320">
        <v>281271</v>
      </c>
      <c r="D320">
        <v>0</v>
      </c>
      <c r="E320" t="s">
        <v>2022</v>
      </c>
      <c r="F320" t="s">
        <v>2023</v>
      </c>
      <c r="G320" t="s">
        <v>2024</v>
      </c>
      <c r="H320" t="s">
        <v>2025</v>
      </c>
      <c r="I320" t="s">
        <v>2026</v>
      </c>
      <c r="J320" t="s">
        <v>2027</v>
      </c>
      <c r="K320" t="s">
        <v>2028</v>
      </c>
      <c r="L320" t="s">
        <v>2021</v>
      </c>
    </row>
    <row r="321" spans="1:12" x14ac:dyDescent="0.25">
      <c r="A321">
        <v>232977</v>
      </c>
      <c r="B321">
        <v>1513650</v>
      </c>
      <c r="D321" t="s">
        <v>204</v>
      </c>
      <c r="E321" t="s">
        <v>2030</v>
      </c>
      <c r="F321" t="s">
        <v>2031</v>
      </c>
      <c r="G321" t="s">
        <v>2032</v>
      </c>
      <c r="H321" t="e" vm="138">
        <f>_FV(0,"015959221780845138")</f>
        <v>#VALUE!</v>
      </c>
      <c r="I321" t="s">
        <v>2033</v>
      </c>
      <c r="J321" t="s">
        <v>2034</v>
      </c>
      <c r="K321" t="s">
        <v>2035</v>
      </c>
      <c r="L321" t="s">
        <v>2029</v>
      </c>
    </row>
    <row r="322" spans="1:12" x14ac:dyDescent="0.25">
      <c r="A322">
        <v>232977</v>
      </c>
      <c r="B322">
        <v>1513725</v>
      </c>
      <c r="D322" t="s">
        <v>330</v>
      </c>
      <c r="E322" t="s">
        <v>2037</v>
      </c>
      <c r="F322" t="s">
        <v>2038</v>
      </c>
      <c r="G322" t="s">
        <v>2039</v>
      </c>
      <c r="H322" t="e" vm="139">
        <f>_FV(0,"014465447659971573")</f>
        <v>#VALUE!</v>
      </c>
      <c r="I322" t="s">
        <v>2040</v>
      </c>
      <c r="J322" t="s">
        <v>2041</v>
      </c>
      <c r="K322" t="s">
        <v>2042</v>
      </c>
      <c r="L322" t="s">
        <v>2036</v>
      </c>
    </row>
    <row r="323" spans="1:12" x14ac:dyDescent="0.25">
      <c r="A323">
        <v>232977</v>
      </c>
      <c r="B323">
        <v>262878</v>
      </c>
      <c r="D323" t="s">
        <v>514</v>
      </c>
      <c r="E323" t="s">
        <v>2044</v>
      </c>
      <c r="F323" t="s">
        <v>2045</v>
      </c>
      <c r="G323" t="s">
        <v>2046</v>
      </c>
      <c r="H323" t="s">
        <v>2047</v>
      </c>
      <c r="I323" t="s">
        <v>2048</v>
      </c>
      <c r="J323" t="s">
        <v>2049</v>
      </c>
      <c r="K323" t="s">
        <v>2050</v>
      </c>
      <c r="L323" t="s">
        <v>2043</v>
      </c>
    </row>
    <row r="324" spans="1:12" x14ac:dyDescent="0.25">
      <c r="A324">
        <v>233042</v>
      </c>
      <c r="B324">
        <v>233289</v>
      </c>
      <c r="C324" t="s">
        <v>2052</v>
      </c>
      <c r="D324" t="s">
        <v>2053</v>
      </c>
      <c r="E324" t="s">
        <v>2054</v>
      </c>
      <c r="F324" t="s">
        <v>2055</v>
      </c>
      <c r="G324" t="s">
        <v>2056</v>
      </c>
      <c r="H324" t="e" vm="140">
        <f>_FV(0,"00046673866852374387")</f>
        <v>#VALUE!</v>
      </c>
      <c r="I324" t="s">
        <v>2057</v>
      </c>
      <c r="J324" t="s">
        <v>2058</v>
      </c>
      <c r="K324" t="s">
        <v>2059</v>
      </c>
      <c r="L324" t="s">
        <v>2051</v>
      </c>
    </row>
    <row r="325" spans="1:12" x14ac:dyDescent="0.25">
      <c r="A325">
        <v>233042</v>
      </c>
      <c r="B325">
        <v>287096</v>
      </c>
      <c r="D325">
        <v>0</v>
      </c>
      <c r="F325">
        <v>303651</v>
      </c>
      <c r="G325">
        <v>233042</v>
      </c>
      <c r="H325" t="e" vm="106">
        <f>_FV(0,"019")</f>
        <v>#VALUE!</v>
      </c>
      <c r="I325">
        <v>287096</v>
      </c>
      <c r="J325" t="s">
        <v>1629</v>
      </c>
      <c r="K325" t="s">
        <v>2060</v>
      </c>
      <c r="L325" t="e" vm="106">
        <f>_FV(0,"019")</f>
        <v>#VALUE!</v>
      </c>
    </row>
    <row r="326" spans="1:12" x14ac:dyDescent="0.25">
      <c r="A326">
        <v>233042</v>
      </c>
      <c r="B326">
        <v>287253</v>
      </c>
      <c r="D326">
        <v>0</v>
      </c>
      <c r="E326" t="s">
        <v>2062</v>
      </c>
      <c r="F326" t="s">
        <v>2063</v>
      </c>
      <c r="G326" t="s">
        <v>2064</v>
      </c>
      <c r="H326" t="e" vm="141">
        <f>_FV(0,"011801625015387866")</f>
        <v>#VALUE!</v>
      </c>
      <c r="I326" t="s">
        <v>2065</v>
      </c>
      <c r="J326" t="s">
        <v>2066</v>
      </c>
      <c r="K326" t="s">
        <v>2067</v>
      </c>
      <c r="L326" t="s">
        <v>2061</v>
      </c>
    </row>
    <row r="327" spans="1:12" x14ac:dyDescent="0.25">
      <c r="A327">
        <v>233289</v>
      </c>
      <c r="B327">
        <v>233298</v>
      </c>
      <c r="D327">
        <v>0</v>
      </c>
      <c r="F327">
        <v>228710</v>
      </c>
      <c r="G327">
        <v>233298</v>
      </c>
      <c r="H327" t="s">
        <v>2068</v>
      </c>
      <c r="I327">
        <v>233289</v>
      </c>
      <c r="J327" t="s">
        <v>2068</v>
      </c>
      <c r="K327" t="s">
        <v>2069</v>
      </c>
      <c r="L327" t="s">
        <v>2068</v>
      </c>
    </row>
    <row r="328" spans="1:12" x14ac:dyDescent="0.25">
      <c r="A328">
        <v>233289</v>
      </c>
      <c r="B328">
        <v>262962</v>
      </c>
      <c r="D328">
        <v>0</v>
      </c>
      <c r="E328" t="s">
        <v>2071</v>
      </c>
      <c r="F328" t="s">
        <v>2072</v>
      </c>
      <c r="G328" t="s">
        <v>2073</v>
      </c>
      <c r="H328" t="e" vm="142">
        <f>_FV(0,"002755338787823994")</f>
        <v>#VALUE!</v>
      </c>
      <c r="I328" t="s">
        <v>2074</v>
      </c>
      <c r="J328" t="s">
        <v>2075</v>
      </c>
      <c r="K328" t="s">
        <v>2076</v>
      </c>
      <c r="L328" t="s">
        <v>2070</v>
      </c>
    </row>
    <row r="329" spans="1:12" x14ac:dyDescent="0.25">
      <c r="A329">
        <v>233298</v>
      </c>
      <c r="B329">
        <v>233322</v>
      </c>
      <c r="D329" t="s">
        <v>204</v>
      </c>
      <c r="E329" t="s">
        <v>2078</v>
      </c>
      <c r="F329" t="s">
        <v>2079</v>
      </c>
      <c r="G329" t="s">
        <v>2080</v>
      </c>
      <c r="H329" t="e" vm="143">
        <f>_FV(0,"0006915644599085925")</f>
        <v>#VALUE!</v>
      </c>
      <c r="I329" t="s">
        <v>2081</v>
      </c>
      <c r="J329" t="s">
        <v>2082</v>
      </c>
      <c r="K329" t="s">
        <v>2083</v>
      </c>
      <c r="L329" t="s">
        <v>2077</v>
      </c>
    </row>
    <row r="330" spans="1:12" x14ac:dyDescent="0.25">
      <c r="A330">
        <v>233322</v>
      </c>
      <c r="B330">
        <v>233331</v>
      </c>
      <c r="D330">
        <v>0</v>
      </c>
      <c r="F330">
        <v>228742</v>
      </c>
      <c r="G330">
        <v>233331</v>
      </c>
      <c r="H330" t="e" vm="144">
        <f>_FV(0,"003")</f>
        <v>#VALUE!</v>
      </c>
      <c r="I330">
        <v>233322</v>
      </c>
      <c r="J330" t="s">
        <v>1783</v>
      </c>
      <c r="K330" t="s">
        <v>2084</v>
      </c>
      <c r="L330" t="e" vm="144">
        <f>_FV(0,"003")</f>
        <v>#VALUE!</v>
      </c>
    </row>
    <row r="331" spans="1:12" x14ac:dyDescent="0.25">
      <c r="A331">
        <v>233322</v>
      </c>
      <c r="B331">
        <v>262957</v>
      </c>
      <c r="D331" t="s">
        <v>2086</v>
      </c>
      <c r="E331" t="s">
        <v>2087</v>
      </c>
      <c r="F331" t="s">
        <v>2088</v>
      </c>
      <c r="G331" t="s">
        <v>2089</v>
      </c>
      <c r="H331" t="s">
        <v>2090</v>
      </c>
      <c r="I331" t="s">
        <v>2091</v>
      </c>
      <c r="J331" t="s">
        <v>2092</v>
      </c>
      <c r="K331" t="s">
        <v>2093</v>
      </c>
      <c r="L331" t="s">
        <v>2085</v>
      </c>
    </row>
    <row r="332" spans="1:12" x14ac:dyDescent="0.25">
      <c r="A332">
        <v>233331</v>
      </c>
      <c r="B332">
        <v>233352</v>
      </c>
      <c r="D332">
        <v>0</v>
      </c>
      <c r="E332" t="s">
        <v>2095</v>
      </c>
      <c r="F332" t="s">
        <v>2096</v>
      </c>
      <c r="G332" t="s">
        <v>2097</v>
      </c>
      <c r="H332" t="s">
        <v>2098</v>
      </c>
      <c r="I332" t="s">
        <v>2099</v>
      </c>
      <c r="J332" t="s">
        <v>2094</v>
      </c>
      <c r="K332" t="s">
        <v>2100</v>
      </c>
      <c r="L332" t="s">
        <v>2094</v>
      </c>
    </row>
    <row r="333" spans="1:12" x14ac:dyDescent="0.25">
      <c r="A333">
        <v>233352</v>
      </c>
      <c r="B333">
        <v>233359</v>
      </c>
      <c r="D333">
        <v>0</v>
      </c>
      <c r="E333" t="s">
        <v>2102</v>
      </c>
      <c r="F333" t="s">
        <v>2103</v>
      </c>
      <c r="G333" t="s">
        <v>2104</v>
      </c>
      <c r="H333" t="s">
        <v>2105</v>
      </c>
      <c r="I333" t="s">
        <v>2106</v>
      </c>
      <c r="J333" t="s">
        <v>2107</v>
      </c>
      <c r="K333" t="s">
        <v>2108</v>
      </c>
      <c r="L333" t="s">
        <v>2101</v>
      </c>
    </row>
    <row r="334" spans="1:12" x14ac:dyDescent="0.25">
      <c r="A334">
        <v>233352</v>
      </c>
      <c r="B334">
        <v>233359</v>
      </c>
      <c r="D334">
        <v>0</v>
      </c>
      <c r="E334" t="s">
        <v>2110</v>
      </c>
      <c r="F334" t="s">
        <v>2111</v>
      </c>
      <c r="G334" t="s">
        <v>2112</v>
      </c>
      <c r="H334" t="s">
        <v>2113</v>
      </c>
      <c r="I334" t="s">
        <v>2114</v>
      </c>
      <c r="J334" t="s">
        <v>2115</v>
      </c>
      <c r="K334" t="s">
        <v>2116</v>
      </c>
      <c r="L334" t="s">
        <v>2109</v>
      </c>
    </row>
    <row r="335" spans="1:12" x14ac:dyDescent="0.25">
      <c r="A335">
        <v>233359</v>
      </c>
      <c r="B335">
        <v>233695</v>
      </c>
      <c r="D335">
        <v>0</v>
      </c>
      <c r="E335" t="s">
        <v>2118</v>
      </c>
      <c r="F335" t="s">
        <v>2119</v>
      </c>
      <c r="G335" t="s">
        <v>2120</v>
      </c>
      <c r="H335" t="e" vm="145">
        <f>_FV(0,"0010255341576716189")</f>
        <v>#VALUE!</v>
      </c>
      <c r="I335" t="s">
        <v>2121</v>
      </c>
      <c r="J335" t="s">
        <v>2122</v>
      </c>
      <c r="K335" t="s">
        <v>2123</v>
      </c>
      <c r="L335" t="s">
        <v>2117</v>
      </c>
    </row>
    <row r="336" spans="1:12" x14ac:dyDescent="0.25">
      <c r="A336">
        <v>233695</v>
      </c>
      <c r="B336">
        <v>233704</v>
      </c>
      <c r="D336">
        <v>0</v>
      </c>
      <c r="E336" t="s">
        <v>2125</v>
      </c>
      <c r="F336" t="s">
        <v>2126</v>
      </c>
      <c r="G336" t="s">
        <v>2127</v>
      </c>
      <c r="H336" t="s">
        <v>2128</v>
      </c>
      <c r="I336" t="s">
        <v>2129</v>
      </c>
      <c r="J336" t="s">
        <v>2130</v>
      </c>
      <c r="K336" t="s">
        <v>2131</v>
      </c>
      <c r="L336" t="s">
        <v>2124</v>
      </c>
    </row>
    <row r="337" spans="1:12" x14ac:dyDescent="0.25">
      <c r="A337">
        <v>233695</v>
      </c>
      <c r="B337">
        <v>233704</v>
      </c>
      <c r="D337">
        <v>0</v>
      </c>
      <c r="E337" t="s">
        <v>2133</v>
      </c>
      <c r="F337" t="s">
        <v>2134</v>
      </c>
      <c r="G337" t="s">
        <v>2135</v>
      </c>
      <c r="H337" t="s">
        <v>2136</v>
      </c>
      <c r="I337" t="s">
        <v>2137</v>
      </c>
      <c r="J337" t="s">
        <v>2138</v>
      </c>
      <c r="K337" t="s">
        <v>2139</v>
      </c>
      <c r="L337" t="s">
        <v>2132</v>
      </c>
    </row>
    <row r="338" spans="1:12" x14ac:dyDescent="0.25">
      <c r="A338">
        <v>233704</v>
      </c>
      <c r="B338">
        <v>233709</v>
      </c>
      <c r="D338">
        <v>0</v>
      </c>
      <c r="E338" t="s">
        <v>2141</v>
      </c>
      <c r="F338" t="s">
        <v>2142</v>
      </c>
      <c r="G338" t="s">
        <v>2143</v>
      </c>
      <c r="H338" t="e" vm="146">
        <f>_FV(0,"016340539102854327")</f>
        <v>#VALUE!</v>
      </c>
      <c r="I338" t="s">
        <v>2144</v>
      </c>
      <c r="J338" t="s">
        <v>2145</v>
      </c>
      <c r="K338" t="s">
        <v>2146</v>
      </c>
      <c r="L338" t="s">
        <v>2140</v>
      </c>
    </row>
    <row r="339" spans="1:12" x14ac:dyDescent="0.25">
      <c r="A339">
        <v>233709</v>
      </c>
      <c r="B339">
        <v>233717</v>
      </c>
      <c r="D339">
        <v>0</v>
      </c>
      <c r="E339" t="s">
        <v>2148</v>
      </c>
      <c r="F339" t="s">
        <v>2149</v>
      </c>
      <c r="G339" t="s">
        <v>2150</v>
      </c>
      <c r="H339" t="e" vm="147">
        <f>_FV(0,"009064420397566351")</f>
        <v>#VALUE!</v>
      </c>
      <c r="I339" t="s">
        <v>2151</v>
      </c>
      <c r="J339" t="s">
        <v>2152</v>
      </c>
      <c r="K339" t="s">
        <v>2153</v>
      </c>
      <c r="L339" t="s">
        <v>2147</v>
      </c>
    </row>
    <row r="340" spans="1:12" x14ac:dyDescent="0.25">
      <c r="A340">
        <v>233709</v>
      </c>
      <c r="B340">
        <v>233717</v>
      </c>
      <c r="D340">
        <v>0</v>
      </c>
      <c r="E340" t="s">
        <v>2155</v>
      </c>
      <c r="F340" t="s">
        <v>2156</v>
      </c>
      <c r="G340" t="s">
        <v>2157</v>
      </c>
      <c r="H340" t="e" vm="148">
        <f>_FV(0,"008880698428088706")</f>
        <v>#VALUE!</v>
      </c>
      <c r="I340" t="s">
        <v>2158</v>
      </c>
      <c r="J340" t="s">
        <v>2159</v>
      </c>
      <c r="K340" t="s">
        <v>2160</v>
      </c>
      <c r="L340" t="s">
        <v>2154</v>
      </c>
    </row>
    <row r="341" spans="1:12" x14ac:dyDescent="0.25">
      <c r="A341">
        <v>233717</v>
      </c>
      <c r="B341">
        <v>233723</v>
      </c>
      <c r="D341">
        <v>0</v>
      </c>
      <c r="E341" t="s">
        <v>2162</v>
      </c>
      <c r="F341" t="s">
        <v>2163</v>
      </c>
      <c r="G341" t="s">
        <v>2164</v>
      </c>
      <c r="H341" t="s">
        <v>2165</v>
      </c>
      <c r="I341" t="s">
        <v>2166</v>
      </c>
      <c r="J341" t="s">
        <v>2161</v>
      </c>
      <c r="K341" t="s">
        <v>2167</v>
      </c>
      <c r="L341" t="s">
        <v>2161</v>
      </c>
    </row>
    <row r="342" spans="1:12" x14ac:dyDescent="0.25">
      <c r="A342">
        <v>233723</v>
      </c>
      <c r="B342">
        <v>233728</v>
      </c>
      <c r="D342">
        <v>0</v>
      </c>
      <c r="E342" t="s">
        <v>2169</v>
      </c>
      <c r="F342" t="s">
        <v>2170</v>
      </c>
      <c r="G342" t="s">
        <v>2171</v>
      </c>
      <c r="H342" t="e" vm="149">
        <f>_FV(0,"010228000568185458")</f>
        <v>#VALUE!</v>
      </c>
      <c r="I342" t="s">
        <v>2172</v>
      </c>
      <c r="J342" t="s">
        <v>2173</v>
      </c>
      <c r="K342" t="s">
        <v>2174</v>
      </c>
      <c r="L342" t="s">
        <v>2168</v>
      </c>
    </row>
    <row r="343" spans="1:12" x14ac:dyDescent="0.25">
      <c r="A343">
        <v>233723</v>
      </c>
      <c r="B343">
        <v>233728</v>
      </c>
      <c r="D343">
        <v>0</v>
      </c>
      <c r="E343" t="s">
        <v>2176</v>
      </c>
      <c r="F343" t="s">
        <v>2177</v>
      </c>
      <c r="G343" t="s">
        <v>2178</v>
      </c>
      <c r="H343" t="e" vm="150">
        <f>_FV(0,"009713547945218885")</f>
        <v>#VALUE!</v>
      </c>
      <c r="I343" t="s">
        <v>2179</v>
      </c>
      <c r="J343" t="s">
        <v>2180</v>
      </c>
      <c r="K343" t="s">
        <v>2181</v>
      </c>
      <c r="L343" t="s">
        <v>2175</v>
      </c>
    </row>
    <row r="344" spans="1:12" x14ac:dyDescent="0.25">
      <c r="A344">
        <v>233728</v>
      </c>
      <c r="B344">
        <v>1052664</v>
      </c>
      <c r="C344" t="s">
        <v>2183</v>
      </c>
      <c r="D344" t="s">
        <v>2184</v>
      </c>
      <c r="E344" t="s">
        <v>2185</v>
      </c>
      <c r="F344" t="s">
        <v>2186</v>
      </c>
      <c r="G344" t="s">
        <v>2187</v>
      </c>
      <c r="H344" t="e" vm="151">
        <f>_FV(0,"0022401175582248815")</f>
        <v>#VALUE!</v>
      </c>
      <c r="I344" t="s">
        <v>2188</v>
      </c>
      <c r="J344" t="s">
        <v>2189</v>
      </c>
      <c r="K344" t="s">
        <v>2190</v>
      </c>
      <c r="L344" t="s">
        <v>2182</v>
      </c>
    </row>
    <row r="345" spans="1:12" x14ac:dyDescent="0.25">
      <c r="A345">
        <v>235463</v>
      </c>
      <c r="B345">
        <v>235735</v>
      </c>
      <c r="C345" t="s">
        <v>2192</v>
      </c>
      <c r="D345">
        <v>0</v>
      </c>
      <c r="E345" t="s">
        <v>2193</v>
      </c>
      <c r="F345" t="s">
        <v>2194</v>
      </c>
      <c r="G345" t="s">
        <v>2195</v>
      </c>
      <c r="H345" t="e" vm="152">
        <f>_FV(0,"0032110852827038727")</f>
        <v>#VALUE!</v>
      </c>
      <c r="I345" t="s">
        <v>2196</v>
      </c>
      <c r="J345" t="s">
        <v>2197</v>
      </c>
      <c r="K345" t="s">
        <v>2198</v>
      </c>
      <c r="L345" t="s">
        <v>2191</v>
      </c>
    </row>
    <row r="346" spans="1:12" x14ac:dyDescent="0.25">
      <c r="A346">
        <v>235463</v>
      </c>
      <c r="B346">
        <v>328068</v>
      </c>
      <c r="D346">
        <v>0</v>
      </c>
      <c r="E346" t="s">
        <v>2200</v>
      </c>
      <c r="F346" t="s">
        <v>2201</v>
      </c>
      <c r="G346" t="s">
        <v>2202</v>
      </c>
      <c r="H346" t="e" vm="153">
        <f>_FV(0,"005846666820348184")</f>
        <v>#VALUE!</v>
      </c>
      <c r="I346" t="s">
        <v>2203</v>
      </c>
      <c r="J346" t="s">
        <v>2204</v>
      </c>
      <c r="K346" t="s">
        <v>2205</v>
      </c>
      <c r="L346" t="s">
        <v>2199</v>
      </c>
    </row>
    <row r="347" spans="1:12" x14ac:dyDescent="0.25">
      <c r="A347">
        <v>235463</v>
      </c>
      <c r="B347">
        <v>328318</v>
      </c>
      <c r="D347" t="s">
        <v>2207</v>
      </c>
      <c r="E347" t="s">
        <v>2208</v>
      </c>
      <c r="F347" t="s">
        <v>2209</v>
      </c>
      <c r="G347" t="s">
        <v>2210</v>
      </c>
      <c r="H347" t="s">
        <v>2211</v>
      </c>
      <c r="I347" t="s">
        <v>2212</v>
      </c>
      <c r="J347" t="s">
        <v>2213</v>
      </c>
      <c r="K347" t="s">
        <v>2214</v>
      </c>
      <c r="L347" t="s">
        <v>2206</v>
      </c>
    </row>
    <row r="348" spans="1:12" x14ac:dyDescent="0.25">
      <c r="A348">
        <v>235735</v>
      </c>
      <c r="B348">
        <v>235743</v>
      </c>
      <c r="D348">
        <v>0</v>
      </c>
      <c r="E348" t="s">
        <v>2216</v>
      </c>
      <c r="F348" t="s">
        <v>2217</v>
      </c>
      <c r="G348" t="s">
        <v>2218</v>
      </c>
      <c r="H348" t="s">
        <v>2219</v>
      </c>
      <c r="I348" t="s">
        <v>2220</v>
      </c>
      <c r="J348" t="s">
        <v>2221</v>
      </c>
      <c r="K348" t="s">
        <v>2222</v>
      </c>
      <c r="L348" t="s">
        <v>2215</v>
      </c>
    </row>
    <row r="349" spans="1:12" x14ac:dyDescent="0.25">
      <c r="A349">
        <v>235735</v>
      </c>
      <c r="B349">
        <v>235743</v>
      </c>
      <c r="D349">
        <v>0</v>
      </c>
      <c r="E349" t="s">
        <v>2224</v>
      </c>
      <c r="F349" t="s">
        <v>2225</v>
      </c>
      <c r="G349" t="s">
        <v>2226</v>
      </c>
      <c r="H349" t="s">
        <v>2227</v>
      </c>
      <c r="I349" t="s">
        <v>2228</v>
      </c>
      <c r="J349" t="s">
        <v>2229</v>
      </c>
      <c r="K349" t="s">
        <v>2230</v>
      </c>
      <c r="L349" t="s">
        <v>2223</v>
      </c>
    </row>
    <row r="350" spans="1:12" x14ac:dyDescent="0.25">
      <c r="A350">
        <v>235743</v>
      </c>
      <c r="B350">
        <v>235771</v>
      </c>
      <c r="D350">
        <v>0</v>
      </c>
      <c r="E350" t="s">
        <v>2232</v>
      </c>
      <c r="F350" t="s">
        <v>2233</v>
      </c>
      <c r="G350" t="s">
        <v>2234</v>
      </c>
      <c r="H350" t="e" vm="154">
        <f>_FV(0,"002044573480820681")</f>
        <v>#VALUE!</v>
      </c>
      <c r="I350" t="s">
        <v>2235</v>
      </c>
      <c r="J350" t="s">
        <v>2236</v>
      </c>
      <c r="K350" t="s">
        <v>2237</v>
      </c>
      <c r="L350" t="s">
        <v>2231</v>
      </c>
    </row>
    <row r="351" spans="1:12" x14ac:dyDescent="0.25">
      <c r="A351">
        <v>235771</v>
      </c>
      <c r="B351">
        <v>235776</v>
      </c>
      <c r="D351">
        <v>0</v>
      </c>
      <c r="E351" t="s">
        <v>2239</v>
      </c>
      <c r="F351" t="s">
        <v>2240</v>
      </c>
      <c r="G351" t="s">
        <v>2241</v>
      </c>
      <c r="H351" t="s">
        <v>2242</v>
      </c>
      <c r="I351" t="s">
        <v>2243</v>
      </c>
      <c r="J351" t="s">
        <v>2244</v>
      </c>
      <c r="K351" t="s">
        <v>2245</v>
      </c>
      <c r="L351" t="s">
        <v>2238</v>
      </c>
    </row>
    <row r="352" spans="1:12" x14ac:dyDescent="0.25">
      <c r="A352">
        <v>235771</v>
      </c>
      <c r="B352">
        <v>235776</v>
      </c>
      <c r="D352">
        <v>0</v>
      </c>
      <c r="E352" t="s">
        <v>2247</v>
      </c>
      <c r="F352" t="s">
        <v>2248</v>
      </c>
      <c r="G352" t="s">
        <v>2249</v>
      </c>
      <c r="H352" t="s">
        <v>2250</v>
      </c>
      <c r="I352" t="s">
        <v>2251</v>
      </c>
      <c r="J352" t="s">
        <v>2252</v>
      </c>
      <c r="K352" t="s">
        <v>2253</v>
      </c>
      <c r="L352" t="s">
        <v>2246</v>
      </c>
    </row>
    <row r="353" spans="1:12" x14ac:dyDescent="0.25">
      <c r="A353">
        <v>235776</v>
      </c>
      <c r="B353">
        <v>235791</v>
      </c>
      <c r="D353">
        <v>0</v>
      </c>
      <c r="E353" t="s">
        <v>2255</v>
      </c>
      <c r="F353" t="s">
        <v>2256</v>
      </c>
      <c r="G353" t="s">
        <v>2257</v>
      </c>
      <c r="H353" t="s">
        <v>2258</v>
      </c>
      <c r="I353" t="s">
        <v>2259</v>
      </c>
      <c r="J353" t="s">
        <v>2260</v>
      </c>
      <c r="K353" t="s">
        <v>2261</v>
      </c>
      <c r="L353" t="s">
        <v>2254</v>
      </c>
    </row>
    <row r="354" spans="1:12" x14ac:dyDescent="0.25">
      <c r="A354">
        <v>235791</v>
      </c>
      <c r="B354">
        <v>235797</v>
      </c>
      <c r="D354">
        <v>0</v>
      </c>
      <c r="E354" t="s">
        <v>2263</v>
      </c>
      <c r="F354" t="s">
        <v>2264</v>
      </c>
      <c r="G354" t="s">
        <v>2265</v>
      </c>
      <c r="H354" t="e" vm="155">
        <f>_FV(0,"015389476125931906")</f>
        <v>#VALUE!</v>
      </c>
      <c r="I354" t="s">
        <v>2266</v>
      </c>
      <c r="J354" t="s">
        <v>2267</v>
      </c>
      <c r="K354" t="s">
        <v>2268</v>
      </c>
      <c r="L354" t="s">
        <v>2262</v>
      </c>
    </row>
    <row r="355" spans="1:12" x14ac:dyDescent="0.25">
      <c r="A355">
        <v>235791</v>
      </c>
      <c r="B355">
        <v>235797</v>
      </c>
      <c r="D355">
        <v>0</v>
      </c>
      <c r="E355" t="s">
        <v>2270</v>
      </c>
      <c r="F355" t="s">
        <v>2271</v>
      </c>
      <c r="G355" t="s">
        <v>2272</v>
      </c>
      <c r="H355" t="e" vm="156">
        <f>_FV(0,"015618466289475864")</f>
        <v>#VALUE!</v>
      </c>
      <c r="I355" t="s">
        <v>2273</v>
      </c>
      <c r="J355" t="s">
        <v>2274</v>
      </c>
      <c r="K355" t="s">
        <v>2275</v>
      </c>
      <c r="L355" t="s">
        <v>2269</v>
      </c>
    </row>
    <row r="356" spans="1:12" x14ac:dyDescent="0.25">
      <c r="A356">
        <v>235797</v>
      </c>
      <c r="B356">
        <v>1161983</v>
      </c>
      <c r="D356" t="s">
        <v>2277</v>
      </c>
      <c r="E356" t="s">
        <v>2278</v>
      </c>
      <c r="F356" t="s">
        <v>2279</v>
      </c>
      <c r="G356" t="s">
        <v>2280</v>
      </c>
      <c r="H356" t="s">
        <v>2281</v>
      </c>
      <c r="I356" t="s">
        <v>2282</v>
      </c>
      <c r="J356" t="s">
        <v>2283</v>
      </c>
      <c r="K356" t="s">
        <v>2284</v>
      </c>
      <c r="L356" t="s">
        <v>2276</v>
      </c>
    </row>
    <row r="357" spans="1:12" x14ac:dyDescent="0.25">
      <c r="A357">
        <v>236575</v>
      </c>
      <c r="B357">
        <v>236898</v>
      </c>
      <c r="D357">
        <v>0</v>
      </c>
      <c r="E357" t="s">
        <v>2286</v>
      </c>
      <c r="F357" t="s">
        <v>2287</v>
      </c>
      <c r="G357" t="s">
        <v>2288</v>
      </c>
      <c r="H357" t="s">
        <v>2289</v>
      </c>
      <c r="I357" t="s">
        <v>2290</v>
      </c>
      <c r="J357" t="s">
        <v>2285</v>
      </c>
      <c r="K357" t="s">
        <v>2291</v>
      </c>
      <c r="L357" t="s">
        <v>2285</v>
      </c>
    </row>
    <row r="358" spans="1:12" x14ac:dyDescent="0.25">
      <c r="A358">
        <v>236575</v>
      </c>
      <c r="B358">
        <v>634185</v>
      </c>
      <c r="D358">
        <v>0</v>
      </c>
      <c r="F358">
        <v>639679</v>
      </c>
      <c r="G358">
        <v>236575</v>
      </c>
      <c r="H358" t="s">
        <v>2292</v>
      </c>
      <c r="I358">
        <v>634185</v>
      </c>
      <c r="J358" t="s">
        <v>2292</v>
      </c>
      <c r="K358" t="s">
        <v>2293</v>
      </c>
      <c r="L358" t="s">
        <v>2292</v>
      </c>
    </row>
    <row r="359" spans="1:12" x14ac:dyDescent="0.25">
      <c r="A359">
        <v>236596</v>
      </c>
      <c r="B359">
        <v>236603</v>
      </c>
      <c r="D359" t="s">
        <v>2295</v>
      </c>
      <c r="E359" t="s">
        <v>2296</v>
      </c>
      <c r="F359" t="s">
        <v>2297</v>
      </c>
      <c r="G359" t="s">
        <v>2298</v>
      </c>
      <c r="H359" t="e" vm="157">
        <f>_FV(0,"0020451472118452863")</f>
        <v>#VALUE!</v>
      </c>
      <c r="I359" t="s">
        <v>2299</v>
      </c>
      <c r="J359" t="s">
        <v>2300</v>
      </c>
      <c r="K359" t="s">
        <v>2301</v>
      </c>
      <c r="L359" t="s">
        <v>2294</v>
      </c>
    </row>
    <row r="360" spans="1:12" x14ac:dyDescent="0.25">
      <c r="A360">
        <v>236596</v>
      </c>
      <c r="B360">
        <v>236603</v>
      </c>
      <c r="D360" t="s">
        <v>2295</v>
      </c>
      <c r="E360" t="s">
        <v>2303</v>
      </c>
      <c r="F360" t="s">
        <v>2304</v>
      </c>
      <c r="G360" t="s">
        <v>2305</v>
      </c>
      <c r="H360" t="e" vm="158">
        <f>_FV(0,"002226089797813039")</f>
        <v>#VALUE!</v>
      </c>
      <c r="I360" t="s">
        <v>2306</v>
      </c>
      <c r="J360" t="s">
        <v>2307</v>
      </c>
      <c r="K360" t="s">
        <v>2308</v>
      </c>
      <c r="L360" t="s">
        <v>2302</v>
      </c>
    </row>
    <row r="361" spans="1:12" x14ac:dyDescent="0.25">
      <c r="A361">
        <v>236596</v>
      </c>
      <c r="B361">
        <v>1162003</v>
      </c>
      <c r="C361" t="s">
        <v>2310</v>
      </c>
      <c r="D361" t="s">
        <v>2311</v>
      </c>
      <c r="E361" t="s">
        <v>2312</v>
      </c>
      <c r="F361" t="s">
        <v>2313</v>
      </c>
      <c r="G361" t="s">
        <v>2314</v>
      </c>
      <c r="H361" t="s">
        <v>2315</v>
      </c>
      <c r="I361" t="s">
        <v>2316</v>
      </c>
      <c r="J361" t="s">
        <v>2317</v>
      </c>
      <c r="K361" t="s">
        <v>2318</v>
      </c>
      <c r="L361" t="s">
        <v>2309</v>
      </c>
    </row>
    <row r="362" spans="1:12" x14ac:dyDescent="0.25">
      <c r="A362">
        <v>236603</v>
      </c>
      <c r="B362">
        <v>261692</v>
      </c>
      <c r="C362" t="s">
        <v>2320</v>
      </c>
      <c r="D362" t="s">
        <v>2321</v>
      </c>
      <c r="E362" t="s">
        <v>2322</v>
      </c>
      <c r="F362" t="s">
        <v>2323</v>
      </c>
      <c r="G362" t="s">
        <v>2324</v>
      </c>
      <c r="H362" t="s">
        <v>2325</v>
      </c>
      <c r="I362" t="s">
        <v>2326</v>
      </c>
      <c r="J362" t="s">
        <v>2327</v>
      </c>
      <c r="K362" t="s">
        <v>2328</v>
      </c>
      <c r="L362" t="s">
        <v>2319</v>
      </c>
    </row>
    <row r="363" spans="1:12" x14ac:dyDescent="0.25">
      <c r="A363">
        <v>236709</v>
      </c>
      <c r="B363">
        <v>634214</v>
      </c>
      <c r="D363">
        <v>0</v>
      </c>
      <c r="E363" t="s">
        <v>2330</v>
      </c>
      <c r="F363" t="s">
        <v>2331</v>
      </c>
      <c r="G363" t="s">
        <v>2332</v>
      </c>
      <c r="H363" t="s">
        <v>2333</v>
      </c>
      <c r="I363" t="s">
        <v>2334</v>
      </c>
      <c r="J363" t="s">
        <v>2335</v>
      </c>
      <c r="K363" t="s">
        <v>2336</v>
      </c>
      <c r="L363" t="s">
        <v>2329</v>
      </c>
    </row>
    <row r="364" spans="1:12" x14ac:dyDescent="0.25">
      <c r="A364">
        <v>236709</v>
      </c>
      <c r="B364">
        <v>236795</v>
      </c>
      <c r="D364">
        <v>0</v>
      </c>
      <c r="E364" t="s">
        <v>2338</v>
      </c>
      <c r="F364" t="s">
        <v>2339</v>
      </c>
      <c r="G364" t="s">
        <v>2340</v>
      </c>
      <c r="H364" t="s">
        <v>2341</v>
      </c>
      <c r="I364" t="s">
        <v>2342</v>
      </c>
      <c r="J364" t="s">
        <v>2343</v>
      </c>
      <c r="K364" t="s">
        <v>2344</v>
      </c>
      <c r="L364" t="s">
        <v>2337</v>
      </c>
    </row>
    <row r="365" spans="1:12" x14ac:dyDescent="0.25">
      <c r="A365">
        <v>236795</v>
      </c>
      <c r="B365">
        <v>634185</v>
      </c>
      <c r="D365">
        <v>0</v>
      </c>
      <c r="E365" t="s">
        <v>2346</v>
      </c>
      <c r="F365" t="s">
        <v>2347</v>
      </c>
      <c r="G365" t="s">
        <v>2348</v>
      </c>
      <c r="H365" t="s">
        <v>2349</v>
      </c>
      <c r="I365" t="s">
        <v>2350</v>
      </c>
      <c r="J365" t="s">
        <v>2351</v>
      </c>
      <c r="K365" t="s">
        <v>2352</v>
      </c>
      <c r="L365" t="s">
        <v>2345</v>
      </c>
    </row>
    <row r="366" spans="1:12" x14ac:dyDescent="0.25">
      <c r="A366">
        <v>236898</v>
      </c>
      <c r="B366">
        <v>634214</v>
      </c>
      <c r="D366">
        <v>0</v>
      </c>
      <c r="E366" t="s">
        <v>2354</v>
      </c>
      <c r="F366" t="s">
        <v>2355</v>
      </c>
      <c r="G366" t="s">
        <v>2356</v>
      </c>
      <c r="H366" t="s">
        <v>2357</v>
      </c>
      <c r="I366" t="s">
        <v>2358</v>
      </c>
      <c r="J366" t="s">
        <v>2353</v>
      </c>
      <c r="K366" t="s">
        <v>2359</v>
      </c>
      <c r="L366" t="s">
        <v>2353</v>
      </c>
    </row>
    <row r="367" spans="1:12" x14ac:dyDescent="0.25">
      <c r="A367">
        <v>236938</v>
      </c>
      <c r="B367">
        <v>236996</v>
      </c>
      <c r="D367" t="s">
        <v>2361</v>
      </c>
      <c r="E367" t="s">
        <v>2362</v>
      </c>
      <c r="F367" t="s">
        <v>2363</v>
      </c>
      <c r="G367" t="s">
        <v>2364</v>
      </c>
      <c r="H367" t="s">
        <v>2365</v>
      </c>
      <c r="I367" t="s">
        <v>2366</v>
      </c>
      <c r="J367" t="s">
        <v>2367</v>
      </c>
      <c r="K367" t="s">
        <v>2368</v>
      </c>
      <c r="L367" t="s">
        <v>2360</v>
      </c>
    </row>
    <row r="368" spans="1:12" x14ac:dyDescent="0.25">
      <c r="A368">
        <v>236938</v>
      </c>
      <c r="B368">
        <v>1391901</v>
      </c>
      <c r="C368" t="s">
        <v>2370</v>
      </c>
      <c r="D368">
        <v>0</v>
      </c>
      <c r="E368" t="s">
        <v>2371</v>
      </c>
      <c r="F368" t="s">
        <v>2372</v>
      </c>
      <c r="G368" t="s">
        <v>2373</v>
      </c>
      <c r="H368" t="s">
        <v>2374</v>
      </c>
      <c r="I368" t="s">
        <v>2375</v>
      </c>
      <c r="J368" t="s">
        <v>2376</v>
      </c>
      <c r="K368" t="s">
        <v>2377</v>
      </c>
      <c r="L368" t="s">
        <v>2369</v>
      </c>
    </row>
    <row r="369" spans="1:12" x14ac:dyDescent="0.25">
      <c r="A369">
        <v>236957</v>
      </c>
      <c r="B369">
        <v>236965</v>
      </c>
      <c r="D369">
        <v>0</v>
      </c>
      <c r="E369" t="s">
        <v>2379</v>
      </c>
      <c r="F369" t="s">
        <v>2380</v>
      </c>
      <c r="G369" t="s">
        <v>2381</v>
      </c>
      <c r="H369" t="s">
        <v>2382</v>
      </c>
      <c r="I369" t="s">
        <v>2383</v>
      </c>
      <c r="J369" t="s">
        <v>2378</v>
      </c>
      <c r="K369" t="s">
        <v>2384</v>
      </c>
      <c r="L369" t="s">
        <v>2378</v>
      </c>
    </row>
    <row r="370" spans="1:12" x14ac:dyDescent="0.25">
      <c r="A370">
        <v>236957</v>
      </c>
      <c r="B370">
        <v>236965</v>
      </c>
      <c r="D370">
        <v>0</v>
      </c>
      <c r="E370" t="s">
        <v>2386</v>
      </c>
      <c r="F370" t="s">
        <v>2387</v>
      </c>
      <c r="G370" t="s">
        <v>2388</v>
      </c>
      <c r="H370" t="s">
        <v>2389</v>
      </c>
      <c r="I370" t="s">
        <v>2390</v>
      </c>
      <c r="J370" t="s">
        <v>2391</v>
      </c>
      <c r="K370" t="s">
        <v>2392</v>
      </c>
      <c r="L370" t="s">
        <v>2385</v>
      </c>
    </row>
    <row r="371" spans="1:12" x14ac:dyDescent="0.25">
      <c r="A371">
        <v>236957</v>
      </c>
      <c r="B371">
        <v>244852</v>
      </c>
      <c r="D371">
        <v>0</v>
      </c>
      <c r="E371" t="s">
        <v>2394</v>
      </c>
      <c r="F371" t="s">
        <v>2395</v>
      </c>
      <c r="G371" t="s">
        <v>2396</v>
      </c>
      <c r="H371" t="e" vm="159">
        <f>_FV(0,"009866078534045294")</f>
        <v>#VALUE!</v>
      </c>
      <c r="I371" t="s">
        <v>2397</v>
      </c>
      <c r="J371" t="s">
        <v>2398</v>
      </c>
      <c r="K371" t="s">
        <v>2399</v>
      </c>
      <c r="L371" t="s">
        <v>2393</v>
      </c>
    </row>
    <row r="372" spans="1:12" x14ac:dyDescent="0.25">
      <c r="A372">
        <v>236965</v>
      </c>
      <c r="B372">
        <v>1258283</v>
      </c>
      <c r="D372">
        <v>0</v>
      </c>
      <c r="E372" t="s">
        <v>2401</v>
      </c>
      <c r="F372" t="s">
        <v>2402</v>
      </c>
      <c r="G372" t="s">
        <v>2403</v>
      </c>
      <c r="H372" t="s">
        <v>2404</v>
      </c>
      <c r="I372" t="s">
        <v>2405</v>
      </c>
      <c r="J372" t="s">
        <v>2400</v>
      </c>
      <c r="K372" t="s">
        <v>2406</v>
      </c>
      <c r="L372" t="s">
        <v>2400</v>
      </c>
    </row>
    <row r="373" spans="1:12" x14ac:dyDescent="0.25">
      <c r="A373">
        <v>236996</v>
      </c>
      <c r="B373">
        <v>237024</v>
      </c>
      <c r="D373" t="s">
        <v>2086</v>
      </c>
      <c r="E373" t="s">
        <v>2408</v>
      </c>
      <c r="F373" t="s">
        <v>2409</v>
      </c>
      <c r="G373" t="s">
        <v>2410</v>
      </c>
      <c r="H373" t="e" vm="160">
        <f>_FV(0,"01074864510639962")</f>
        <v>#VALUE!</v>
      </c>
      <c r="I373" t="s">
        <v>2411</v>
      </c>
      <c r="J373" t="s">
        <v>2412</v>
      </c>
      <c r="K373" t="s">
        <v>2413</v>
      </c>
      <c r="L373" t="s">
        <v>2407</v>
      </c>
    </row>
    <row r="374" spans="1:12" x14ac:dyDescent="0.25">
      <c r="A374">
        <v>236996</v>
      </c>
      <c r="B374">
        <v>237412</v>
      </c>
      <c r="D374">
        <v>0</v>
      </c>
      <c r="E374" t="s">
        <v>2415</v>
      </c>
      <c r="F374" t="s">
        <v>2416</v>
      </c>
      <c r="G374" t="s">
        <v>2417</v>
      </c>
      <c r="H374" t="e" vm="161">
        <f>_FV(0,"015304482764018511")</f>
        <v>#VALUE!</v>
      </c>
      <c r="I374" t="s">
        <v>2418</v>
      </c>
      <c r="J374" t="s">
        <v>2419</v>
      </c>
      <c r="K374" t="s">
        <v>2420</v>
      </c>
      <c r="L374" t="s">
        <v>2414</v>
      </c>
    </row>
    <row r="375" spans="1:12" x14ac:dyDescent="0.25">
      <c r="A375">
        <v>237024</v>
      </c>
      <c r="B375">
        <v>237118</v>
      </c>
      <c r="D375" t="s">
        <v>2422</v>
      </c>
      <c r="E375" t="s">
        <v>2423</v>
      </c>
      <c r="F375" t="s">
        <v>2424</v>
      </c>
      <c r="G375" t="s">
        <v>2425</v>
      </c>
      <c r="H375" t="e" vm="162">
        <f>_FV(0,"04718463296665228")</f>
        <v>#VALUE!</v>
      </c>
      <c r="I375" t="s">
        <v>2426</v>
      </c>
      <c r="J375" t="s">
        <v>2427</v>
      </c>
      <c r="K375" t="s">
        <v>2428</v>
      </c>
      <c r="L375" t="s">
        <v>2421</v>
      </c>
    </row>
    <row r="376" spans="1:12" x14ac:dyDescent="0.25">
      <c r="A376">
        <v>237024</v>
      </c>
      <c r="B376">
        <v>1273513</v>
      </c>
      <c r="D376">
        <v>0</v>
      </c>
      <c r="E376" t="s">
        <v>2430</v>
      </c>
      <c r="F376" t="s">
        <v>2431</v>
      </c>
      <c r="G376" t="s">
        <v>2432</v>
      </c>
      <c r="H376" t="e" vm="163">
        <f>_FV(0,"010248038110007514")</f>
        <v>#VALUE!</v>
      </c>
      <c r="I376" t="s">
        <v>2433</v>
      </c>
      <c r="J376" t="s">
        <v>2434</v>
      </c>
      <c r="K376" t="s">
        <v>2435</v>
      </c>
      <c r="L376" t="s">
        <v>2429</v>
      </c>
    </row>
    <row r="377" spans="1:12" x14ac:dyDescent="0.25">
      <c r="A377">
        <v>237118</v>
      </c>
      <c r="B377">
        <v>237167</v>
      </c>
      <c r="D377" t="s">
        <v>2437</v>
      </c>
      <c r="E377" t="s">
        <v>2438</v>
      </c>
      <c r="F377" t="s">
        <v>2439</v>
      </c>
      <c r="G377" t="s">
        <v>2440</v>
      </c>
      <c r="H377" t="s">
        <v>2441</v>
      </c>
      <c r="I377" t="s">
        <v>2442</v>
      </c>
      <c r="J377" t="s">
        <v>2443</v>
      </c>
      <c r="K377" t="s">
        <v>2444</v>
      </c>
      <c r="L377" t="s">
        <v>2436</v>
      </c>
    </row>
    <row r="378" spans="1:12" x14ac:dyDescent="0.25">
      <c r="A378">
        <v>237118</v>
      </c>
      <c r="B378">
        <v>1461371</v>
      </c>
      <c r="D378">
        <v>0</v>
      </c>
      <c r="E378" t="s">
        <v>2446</v>
      </c>
      <c r="F378" t="s">
        <v>2447</v>
      </c>
      <c r="G378" t="s">
        <v>2448</v>
      </c>
      <c r="H378" t="s">
        <v>2449</v>
      </c>
      <c r="I378" t="s">
        <v>2450</v>
      </c>
      <c r="J378" t="s">
        <v>2451</v>
      </c>
      <c r="K378" t="s">
        <v>2452</v>
      </c>
      <c r="L378" t="s">
        <v>2445</v>
      </c>
    </row>
    <row r="379" spans="1:12" x14ac:dyDescent="0.25">
      <c r="A379">
        <v>237167</v>
      </c>
      <c r="B379">
        <v>1109982</v>
      </c>
      <c r="D379" t="s">
        <v>2454</v>
      </c>
      <c r="E379" t="s">
        <v>2455</v>
      </c>
      <c r="F379" t="s">
        <v>2456</v>
      </c>
      <c r="G379" t="s">
        <v>2457</v>
      </c>
      <c r="H379" t="s">
        <v>2458</v>
      </c>
      <c r="I379" t="s">
        <v>2459</v>
      </c>
      <c r="J379" t="s">
        <v>2460</v>
      </c>
      <c r="K379" t="s">
        <v>2461</v>
      </c>
      <c r="L379" t="s">
        <v>2453</v>
      </c>
    </row>
    <row r="380" spans="1:12" x14ac:dyDescent="0.25">
      <c r="A380">
        <v>237167</v>
      </c>
      <c r="B380">
        <v>1461385</v>
      </c>
      <c r="D380">
        <v>0</v>
      </c>
      <c r="E380" t="s">
        <v>2463</v>
      </c>
      <c r="F380" t="s">
        <v>2464</v>
      </c>
      <c r="G380" t="s">
        <v>2465</v>
      </c>
      <c r="H380" t="s">
        <v>2466</v>
      </c>
      <c r="I380" t="s">
        <v>2467</v>
      </c>
      <c r="J380" t="s">
        <v>2468</v>
      </c>
      <c r="K380" t="s">
        <v>2469</v>
      </c>
      <c r="L380" t="s">
        <v>2462</v>
      </c>
    </row>
    <row r="381" spans="1:12" x14ac:dyDescent="0.25">
      <c r="A381">
        <v>237244</v>
      </c>
      <c r="B381">
        <v>237291</v>
      </c>
      <c r="D381" t="s">
        <v>2471</v>
      </c>
      <c r="E381" t="s">
        <v>2472</v>
      </c>
      <c r="F381" t="s">
        <v>2473</v>
      </c>
      <c r="G381" t="s">
        <v>2474</v>
      </c>
      <c r="H381" t="s">
        <v>2475</v>
      </c>
      <c r="I381" t="s">
        <v>2476</v>
      </c>
      <c r="J381" t="s">
        <v>2477</v>
      </c>
      <c r="K381" t="s">
        <v>2478</v>
      </c>
      <c r="L381" t="s">
        <v>2470</v>
      </c>
    </row>
    <row r="382" spans="1:12" x14ac:dyDescent="0.25">
      <c r="A382">
        <v>237244</v>
      </c>
      <c r="B382">
        <v>1465541</v>
      </c>
      <c r="D382">
        <v>0</v>
      </c>
      <c r="E382" t="s">
        <v>2480</v>
      </c>
      <c r="F382" t="s">
        <v>2481</v>
      </c>
      <c r="G382" t="s">
        <v>2482</v>
      </c>
      <c r="H382" t="e" vm="164">
        <f>_FV(0,"005727092742265672")</f>
        <v>#VALUE!</v>
      </c>
      <c r="I382" t="s">
        <v>2483</v>
      </c>
      <c r="J382" t="s">
        <v>2484</v>
      </c>
      <c r="K382" t="s">
        <v>2485</v>
      </c>
      <c r="L382" t="s">
        <v>2479</v>
      </c>
    </row>
    <row r="383" spans="1:12" x14ac:dyDescent="0.25">
      <c r="A383">
        <v>237244</v>
      </c>
      <c r="B383">
        <v>1457814</v>
      </c>
      <c r="D383">
        <v>0</v>
      </c>
      <c r="E383" t="s">
        <v>2487</v>
      </c>
      <c r="F383" t="s">
        <v>2488</v>
      </c>
      <c r="G383" t="s">
        <v>2489</v>
      </c>
      <c r="H383" t="s">
        <v>2490</v>
      </c>
      <c r="I383" t="s">
        <v>2491</v>
      </c>
      <c r="J383" t="s">
        <v>2486</v>
      </c>
      <c r="K383" t="s">
        <v>2492</v>
      </c>
      <c r="L383" t="s">
        <v>2486</v>
      </c>
    </row>
    <row r="384" spans="1:12" x14ac:dyDescent="0.25">
      <c r="A384">
        <v>237291</v>
      </c>
      <c r="B384">
        <v>1148895</v>
      </c>
      <c r="D384" t="s">
        <v>2494</v>
      </c>
      <c r="E384" t="s">
        <v>2495</v>
      </c>
      <c r="F384" t="s">
        <v>2496</v>
      </c>
      <c r="G384" t="s">
        <v>2497</v>
      </c>
      <c r="H384" t="s">
        <v>2498</v>
      </c>
      <c r="I384" t="s">
        <v>2499</v>
      </c>
      <c r="J384" t="s">
        <v>2500</v>
      </c>
      <c r="K384" t="s">
        <v>2501</v>
      </c>
      <c r="L384" t="s">
        <v>2493</v>
      </c>
    </row>
    <row r="385" spans="1:12" x14ac:dyDescent="0.25">
      <c r="A385">
        <v>237291</v>
      </c>
      <c r="B385">
        <v>1461773</v>
      </c>
      <c r="D385">
        <v>0</v>
      </c>
      <c r="E385" t="s">
        <v>2503</v>
      </c>
      <c r="F385" t="s">
        <v>2504</v>
      </c>
      <c r="G385" t="s">
        <v>2505</v>
      </c>
      <c r="H385" t="s">
        <v>2506</v>
      </c>
      <c r="I385" t="s">
        <v>2507</v>
      </c>
      <c r="J385" t="s">
        <v>2502</v>
      </c>
      <c r="K385" t="s">
        <v>2508</v>
      </c>
      <c r="L385" t="s">
        <v>2502</v>
      </c>
    </row>
    <row r="386" spans="1:12" x14ac:dyDescent="0.25">
      <c r="A386">
        <v>237352</v>
      </c>
      <c r="B386">
        <v>237506</v>
      </c>
      <c r="D386" t="s">
        <v>2510</v>
      </c>
      <c r="E386" t="s">
        <v>2511</v>
      </c>
      <c r="F386" t="s">
        <v>2512</v>
      </c>
      <c r="G386" t="s">
        <v>2513</v>
      </c>
      <c r="H386" t="s">
        <v>2514</v>
      </c>
      <c r="I386" t="s">
        <v>2515</v>
      </c>
      <c r="J386" t="s">
        <v>2516</v>
      </c>
      <c r="K386" t="s">
        <v>2517</v>
      </c>
      <c r="L386" t="s">
        <v>2509</v>
      </c>
    </row>
    <row r="387" spans="1:12" x14ac:dyDescent="0.25">
      <c r="A387">
        <v>237352</v>
      </c>
      <c r="B387">
        <v>1391887</v>
      </c>
      <c r="D387">
        <v>0</v>
      </c>
      <c r="E387" t="s">
        <v>2519</v>
      </c>
      <c r="F387" t="s">
        <v>2520</v>
      </c>
      <c r="G387" t="s">
        <v>2521</v>
      </c>
      <c r="H387" t="s">
        <v>2522</v>
      </c>
      <c r="I387" t="s">
        <v>2523</v>
      </c>
      <c r="J387" t="s">
        <v>2524</v>
      </c>
      <c r="K387" t="s">
        <v>2525</v>
      </c>
      <c r="L387" t="s">
        <v>2518</v>
      </c>
    </row>
    <row r="388" spans="1:12" x14ac:dyDescent="0.25">
      <c r="A388">
        <v>237412</v>
      </c>
      <c r="B388">
        <v>1273513</v>
      </c>
      <c r="D388">
        <v>0</v>
      </c>
      <c r="E388" t="s">
        <v>2527</v>
      </c>
      <c r="F388" t="s">
        <v>2528</v>
      </c>
      <c r="G388" t="s">
        <v>2529</v>
      </c>
      <c r="H388" t="s">
        <v>2530</v>
      </c>
      <c r="I388" t="s">
        <v>2531</v>
      </c>
      <c r="J388" t="s">
        <v>2532</v>
      </c>
      <c r="K388" t="s">
        <v>2533</v>
      </c>
      <c r="L388" t="s">
        <v>2526</v>
      </c>
    </row>
    <row r="389" spans="1:12" x14ac:dyDescent="0.25">
      <c r="A389">
        <v>237412</v>
      </c>
      <c r="B389">
        <v>237597</v>
      </c>
      <c r="D389">
        <v>0</v>
      </c>
      <c r="F389">
        <v>234301</v>
      </c>
      <c r="G389">
        <v>237412</v>
      </c>
      <c r="H389" t="s">
        <v>187</v>
      </c>
      <c r="I389">
        <v>237597</v>
      </c>
      <c r="J389" t="s">
        <v>187</v>
      </c>
      <c r="K389" t="s">
        <v>2534</v>
      </c>
      <c r="L389" t="s">
        <v>187</v>
      </c>
    </row>
    <row r="390" spans="1:12" x14ac:dyDescent="0.25">
      <c r="A390">
        <v>237506</v>
      </c>
      <c r="B390">
        <v>591512</v>
      </c>
      <c r="D390" t="s">
        <v>2086</v>
      </c>
      <c r="E390" t="s">
        <v>2536</v>
      </c>
      <c r="F390" t="s">
        <v>2537</v>
      </c>
      <c r="G390" t="s">
        <v>2538</v>
      </c>
      <c r="H390" t="e" vm="165">
        <f>_FV(0,"0010654891129878688")</f>
        <v>#VALUE!</v>
      </c>
      <c r="I390" t="s">
        <v>2539</v>
      </c>
      <c r="J390" t="s">
        <v>2540</v>
      </c>
      <c r="K390" t="s">
        <v>2541</v>
      </c>
      <c r="L390" t="s">
        <v>2535</v>
      </c>
    </row>
    <row r="391" spans="1:12" x14ac:dyDescent="0.25">
      <c r="A391">
        <v>237506</v>
      </c>
      <c r="B391">
        <v>1273494</v>
      </c>
      <c r="D391">
        <v>0</v>
      </c>
      <c r="E391" t="s">
        <v>2543</v>
      </c>
      <c r="F391" t="s">
        <v>2544</v>
      </c>
      <c r="G391" t="s">
        <v>2545</v>
      </c>
      <c r="H391" t="s">
        <v>2546</v>
      </c>
      <c r="I391" t="s">
        <v>2547</v>
      </c>
      <c r="J391" t="s">
        <v>2542</v>
      </c>
      <c r="K391" t="s">
        <v>2548</v>
      </c>
      <c r="L391" t="s">
        <v>2542</v>
      </c>
    </row>
    <row r="392" spans="1:12" x14ac:dyDescent="0.25">
      <c r="A392">
        <v>237649</v>
      </c>
      <c r="B392">
        <v>237654</v>
      </c>
      <c r="D392">
        <v>0</v>
      </c>
      <c r="E392" t="s">
        <v>2550</v>
      </c>
      <c r="F392" t="s">
        <v>2551</v>
      </c>
      <c r="G392" t="s">
        <v>2552</v>
      </c>
      <c r="H392" t="s">
        <v>2553</v>
      </c>
      <c r="I392" t="s">
        <v>2554</v>
      </c>
      <c r="J392" t="s">
        <v>2549</v>
      </c>
      <c r="K392" t="s">
        <v>2555</v>
      </c>
      <c r="L392" t="s">
        <v>2549</v>
      </c>
    </row>
    <row r="393" spans="1:12" x14ac:dyDescent="0.25">
      <c r="A393">
        <v>237649</v>
      </c>
      <c r="B393">
        <v>237654</v>
      </c>
      <c r="D393">
        <v>0</v>
      </c>
      <c r="E393" t="s">
        <v>2557</v>
      </c>
      <c r="F393" t="s">
        <v>2558</v>
      </c>
      <c r="G393" t="s">
        <v>2559</v>
      </c>
      <c r="H393" t="s">
        <v>2560</v>
      </c>
      <c r="I393" t="s">
        <v>2561</v>
      </c>
      <c r="J393" t="s">
        <v>2562</v>
      </c>
      <c r="K393" t="s">
        <v>2563</v>
      </c>
      <c r="L393" t="s">
        <v>2556</v>
      </c>
    </row>
    <row r="394" spans="1:12" x14ac:dyDescent="0.25">
      <c r="A394">
        <v>237649</v>
      </c>
      <c r="B394">
        <v>1854829</v>
      </c>
      <c r="C394" t="s">
        <v>2564</v>
      </c>
      <c r="D394">
        <v>0</v>
      </c>
      <c r="E394" t="s">
        <v>2565</v>
      </c>
      <c r="H394" t="s">
        <v>187</v>
      </c>
      <c r="J394">
        <v>0</v>
      </c>
      <c r="K394" t="s">
        <v>2566</v>
      </c>
      <c r="L394">
        <v>0</v>
      </c>
    </row>
    <row r="395" spans="1:12" x14ac:dyDescent="0.25">
      <c r="A395">
        <v>237654</v>
      </c>
      <c r="B395">
        <v>263259</v>
      </c>
      <c r="D395" t="s">
        <v>2568</v>
      </c>
      <c r="E395" t="s">
        <v>2569</v>
      </c>
      <c r="F395" t="s">
        <v>2570</v>
      </c>
      <c r="G395" t="s">
        <v>2571</v>
      </c>
      <c r="H395" t="s">
        <v>2572</v>
      </c>
      <c r="I395" t="s">
        <v>2573</v>
      </c>
      <c r="J395" t="s">
        <v>2574</v>
      </c>
      <c r="K395" t="s">
        <v>2575</v>
      </c>
      <c r="L395" t="s">
        <v>2567</v>
      </c>
    </row>
    <row r="396" spans="1:12" x14ac:dyDescent="0.25">
      <c r="A396">
        <v>120302</v>
      </c>
      <c r="B396">
        <v>238775</v>
      </c>
      <c r="D396">
        <v>0</v>
      </c>
      <c r="E396" t="s">
        <v>2577</v>
      </c>
      <c r="F396" t="s">
        <v>2578</v>
      </c>
      <c r="G396" t="s">
        <v>2579</v>
      </c>
      <c r="H396" t="s">
        <v>2580</v>
      </c>
      <c r="I396" t="s">
        <v>2581</v>
      </c>
      <c r="J396" t="s">
        <v>2582</v>
      </c>
      <c r="K396" t="s">
        <v>2583</v>
      </c>
      <c r="L396" t="s">
        <v>2576</v>
      </c>
    </row>
    <row r="397" spans="1:12" x14ac:dyDescent="0.25">
      <c r="A397">
        <v>120302</v>
      </c>
      <c r="B397">
        <v>238775</v>
      </c>
      <c r="D397">
        <v>0</v>
      </c>
      <c r="E397" t="s">
        <v>2585</v>
      </c>
      <c r="F397" t="s">
        <v>2586</v>
      </c>
      <c r="G397" t="s">
        <v>2587</v>
      </c>
      <c r="H397" t="s">
        <v>2588</v>
      </c>
      <c r="I397" t="s">
        <v>2589</v>
      </c>
      <c r="J397" t="s">
        <v>2590</v>
      </c>
      <c r="K397" t="s">
        <v>2591</v>
      </c>
      <c r="L397" t="s">
        <v>2584</v>
      </c>
    </row>
    <row r="398" spans="1:12" x14ac:dyDescent="0.25">
      <c r="A398">
        <v>120302</v>
      </c>
      <c r="B398">
        <v>1558481</v>
      </c>
      <c r="C398" t="s">
        <v>2593</v>
      </c>
      <c r="D398">
        <v>0</v>
      </c>
      <c r="E398" t="s">
        <v>2594</v>
      </c>
      <c r="F398" t="s">
        <v>2595</v>
      </c>
      <c r="G398" t="s">
        <v>2596</v>
      </c>
      <c r="H398" t="e" vm="166">
        <f>_FV(0,"0139470811297244")</f>
        <v>#VALUE!</v>
      </c>
      <c r="I398" t="s">
        <v>2597</v>
      </c>
      <c r="J398" t="s">
        <v>2598</v>
      </c>
      <c r="K398" t="s">
        <v>2599</v>
      </c>
      <c r="L398" t="s">
        <v>2592</v>
      </c>
    </row>
    <row r="399" spans="1:12" x14ac:dyDescent="0.25">
      <c r="A399">
        <v>238775</v>
      </c>
      <c r="B399">
        <v>238838</v>
      </c>
      <c r="D399">
        <v>0</v>
      </c>
      <c r="E399" t="s">
        <v>2601</v>
      </c>
      <c r="F399" t="s">
        <v>2602</v>
      </c>
      <c r="G399" t="s">
        <v>2603</v>
      </c>
      <c r="H399" t="s">
        <v>2604</v>
      </c>
      <c r="I399" t="s">
        <v>2605</v>
      </c>
      <c r="J399" t="s">
        <v>2606</v>
      </c>
      <c r="K399" t="s">
        <v>2607</v>
      </c>
      <c r="L399" t="s">
        <v>2600</v>
      </c>
    </row>
    <row r="400" spans="1:12" x14ac:dyDescent="0.25">
      <c r="A400">
        <v>238838</v>
      </c>
      <c r="B400">
        <v>238846</v>
      </c>
      <c r="D400">
        <v>0</v>
      </c>
      <c r="E400" t="s">
        <v>2609</v>
      </c>
      <c r="F400" t="s">
        <v>2610</v>
      </c>
      <c r="G400" t="s">
        <v>2611</v>
      </c>
      <c r="H400" t="e" vm="167">
        <f>_FV(0,"02441041940090236")</f>
        <v>#VALUE!</v>
      </c>
      <c r="I400" t="s">
        <v>2612</v>
      </c>
      <c r="J400" t="s">
        <v>2613</v>
      </c>
      <c r="K400" t="s">
        <v>2614</v>
      </c>
      <c r="L400" t="s">
        <v>2608</v>
      </c>
    </row>
    <row r="401" spans="1:12" x14ac:dyDescent="0.25">
      <c r="A401">
        <v>238838</v>
      </c>
      <c r="B401">
        <v>238846</v>
      </c>
      <c r="D401">
        <v>0</v>
      </c>
      <c r="E401" t="s">
        <v>2616</v>
      </c>
      <c r="F401" t="s">
        <v>2617</v>
      </c>
      <c r="G401" t="s">
        <v>2618</v>
      </c>
      <c r="H401" t="e" vm="168">
        <f>_FV(0,"023562909724013054")</f>
        <v>#VALUE!</v>
      </c>
      <c r="I401" t="s">
        <v>2619</v>
      </c>
      <c r="J401" t="s">
        <v>2620</v>
      </c>
      <c r="K401" t="s">
        <v>2621</v>
      </c>
      <c r="L401" t="s">
        <v>2615</v>
      </c>
    </row>
    <row r="402" spans="1:12" x14ac:dyDescent="0.25">
      <c r="A402">
        <v>238846</v>
      </c>
      <c r="B402">
        <v>239563</v>
      </c>
      <c r="C402" t="s">
        <v>2623</v>
      </c>
      <c r="D402" t="s">
        <v>2624</v>
      </c>
      <c r="E402" t="s">
        <v>2625</v>
      </c>
      <c r="F402" t="s">
        <v>2626</v>
      </c>
      <c r="G402" t="s">
        <v>2627</v>
      </c>
      <c r="H402" t="s">
        <v>2628</v>
      </c>
      <c r="I402" t="s">
        <v>2629</v>
      </c>
      <c r="J402" t="s">
        <v>2630</v>
      </c>
      <c r="K402" t="s">
        <v>2631</v>
      </c>
      <c r="L402" t="s">
        <v>2622</v>
      </c>
    </row>
    <row r="403" spans="1:12" x14ac:dyDescent="0.25">
      <c r="A403">
        <v>239563</v>
      </c>
      <c r="B403">
        <v>239569</v>
      </c>
      <c r="D403">
        <v>0</v>
      </c>
      <c r="E403" t="s">
        <v>2633</v>
      </c>
      <c r="F403" t="s">
        <v>2634</v>
      </c>
      <c r="G403" t="s">
        <v>2635</v>
      </c>
      <c r="H403" t="s">
        <v>2636</v>
      </c>
      <c r="I403" t="s">
        <v>2637</v>
      </c>
      <c r="J403" t="s">
        <v>2638</v>
      </c>
      <c r="K403" t="s">
        <v>2639</v>
      </c>
      <c r="L403" t="s">
        <v>2632</v>
      </c>
    </row>
    <row r="404" spans="1:12" x14ac:dyDescent="0.25">
      <c r="A404">
        <v>239563</v>
      </c>
      <c r="B404">
        <v>239569</v>
      </c>
      <c r="D404">
        <v>0</v>
      </c>
      <c r="E404" t="s">
        <v>2641</v>
      </c>
      <c r="F404" t="s">
        <v>2642</v>
      </c>
      <c r="G404" t="s">
        <v>2643</v>
      </c>
      <c r="H404" t="s">
        <v>2644</v>
      </c>
      <c r="I404" t="s">
        <v>2645</v>
      </c>
      <c r="J404" t="s">
        <v>2646</v>
      </c>
      <c r="K404" t="s">
        <v>2647</v>
      </c>
      <c r="L404" t="s">
        <v>2640</v>
      </c>
    </row>
    <row r="405" spans="1:12" x14ac:dyDescent="0.25">
      <c r="A405">
        <v>239569</v>
      </c>
      <c r="B405">
        <v>1567587</v>
      </c>
      <c r="D405">
        <v>0</v>
      </c>
      <c r="E405" t="s">
        <v>2649</v>
      </c>
      <c r="F405" t="s">
        <v>2650</v>
      </c>
      <c r="G405" t="s">
        <v>2651</v>
      </c>
      <c r="H405" t="e" vm="169">
        <f>_FV(0,"006786640286729226")</f>
        <v>#VALUE!</v>
      </c>
      <c r="I405" t="s">
        <v>2652</v>
      </c>
      <c r="J405" t="s">
        <v>2653</v>
      </c>
      <c r="K405" t="s">
        <v>2654</v>
      </c>
      <c r="L405" t="s">
        <v>2648</v>
      </c>
    </row>
    <row r="406" spans="1:12" x14ac:dyDescent="0.25">
      <c r="A406">
        <v>240306</v>
      </c>
      <c r="B406">
        <v>240312</v>
      </c>
      <c r="D406">
        <v>0</v>
      </c>
      <c r="E406" t="s">
        <v>2656</v>
      </c>
      <c r="F406" t="s">
        <v>2657</v>
      </c>
      <c r="G406" t="s">
        <v>2658</v>
      </c>
      <c r="H406" t="e" vm="170">
        <f>_FV(0,"005911722340245832")</f>
        <v>#VALUE!</v>
      </c>
      <c r="I406" t="s">
        <v>2659</v>
      </c>
      <c r="J406" t="s">
        <v>2660</v>
      </c>
      <c r="K406" t="s">
        <v>2661</v>
      </c>
      <c r="L406" t="s">
        <v>2655</v>
      </c>
    </row>
    <row r="407" spans="1:12" x14ac:dyDescent="0.25">
      <c r="A407">
        <v>240306</v>
      </c>
      <c r="B407">
        <v>1567594</v>
      </c>
      <c r="C407" t="s">
        <v>2663</v>
      </c>
      <c r="D407" t="s">
        <v>2664</v>
      </c>
      <c r="E407" t="s">
        <v>2665</v>
      </c>
      <c r="F407" t="s">
        <v>2666</v>
      </c>
      <c r="G407" t="s">
        <v>2667</v>
      </c>
      <c r="H407" t="s">
        <v>2668</v>
      </c>
      <c r="I407" t="s">
        <v>2669</v>
      </c>
      <c r="J407" t="s">
        <v>2670</v>
      </c>
      <c r="K407" t="s">
        <v>2671</v>
      </c>
      <c r="L407" t="s">
        <v>2662</v>
      </c>
    </row>
    <row r="408" spans="1:12" x14ac:dyDescent="0.25">
      <c r="A408">
        <v>240312</v>
      </c>
      <c r="B408">
        <v>1854792</v>
      </c>
      <c r="D408">
        <v>0</v>
      </c>
      <c r="E408" t="s">
        <v>2672</v>
      </c>
      <c r="H408" t="s">
        <v>187</v>
      </c>
      <c r="J408">
        <v>0</v>
      </c>
      <c r="K408" t="s">
        <v>2673</v>
      </c>
      <c r="L408">
        <v>0</v>
      </c>
    </row>
    <row r="409" spans="1:12" x14ac:dyDescent="0.25">
      <c r="A409">
        <v>240957</v>
      </c>
      <c r="B409">
        <v>240993</v>
      </c>
      <c r="D409">
        <v>0</v>
      </c>
      <c r="F409">
        <v>238318</v>
      </c>
      <c r="G409">
        <v>240993</v>
      </c>
      <c r="H409" t="e" vm="171">
        <f>_FV(0,"04")</f>
        <v>#VALUE!</v>
      </c>
      <c r="I409">
        <v>240957</v>
      </c>
      <c r="J409" t="s">
        <v>2674</v>
      </c>
      <c r="K409" t="s">
        <v>2675</v>
      </c>
      <c r="L409" t="e" vm="171">
        <f>_FV(0,"04")</f>
        <v>#VALUE!</v>
      </c>
    </row>
    <row r="410" spans="1:12" x14ac:dyDescent="0.25">
      <c r="A410">
        <v>240957</v>
      </c>
      <c r="B410">
        <v>240964</v>
      </c>
      <c r="D410">
        <v>0</v>
      </c>
      <c r="E410" t="s">
        <v>2677</v>
      </c>
      <c r="F410" t="s">
        <v>2678</v>
      </c>
      <c r="G410" t="s">
        <v>2679</v>
      </c>
      <c r="H410" t="s">
        <v>2680</v>
      </c>
      <c r="I410" t="s">
        <v>2681</v>
      </c>
      <c r="J410" t="s">
        <v>2676</v>
      </c>
      <c r="K410" t="s">
        <v>2682</v>
      </c>
      <c r="L410" t="s">
        <v>2676</v>
      </c>
    </row>
    <row r="411" spans="1:12" x14ac:dyDescent="0.25">
      <c r="A411">
        <v>240957</v>
      </c>
      <c r="B411">
        <v>240969</v>
      </c>
      <c r="D411">
        <v>0</v>
      </c>
      <c r="E411" t="s">
        <v>2684</v>
      </c>
      <c r="F411" t="s">
        <v>2685</v>
      </c>
      <c r="G411" t="s">
        <v>2686</v>
      </c>
      <c r="H411" t="e" vm="172">
        <f>_FV(0,"031247659692862376")</f>
        <v>#VALUE!</v>
      </c>
      <c r="I411" t="s">
        <v>2687</v>
      </c>
      <c r="J411" t="s">
        <v>2688</v>
      </c>
      <c r="K411" t="s">
        <v>2689</v>
      </c>
      <c r="L411" t="s">
        <v>2683</v>
      </c>
    </row>
    <row r="412" spans="1:12" x14ac:dyDescent="0.25">
      <c r="A412">
        <v>240964</v>
      </c>
      <c r="B412">
        <v>1287096</v>
      </c>
      <c r="D412" t="s">
        <v>204</v>
      </c>
      <c r="E412" t="s">
        <v>2691</v>
      </c>
      <c r="F412" t="s">
        <v>2692</v>
      </c>
      <c r="G412" t="s">
        <v>2693</v>
      </c>
      <c r="H412" t="s">
        <v>2694</v>
      </c>
      <c r="I412" t="s">
        <v>2695</v>
      </c>
      <c r="J412" t="s">
        <v>2690</v>
      </c>
      <c r="K412" t="s">
        <v>2696</v>
      </c>
      <c r="L412" t="s">
        <v>2690</v>
      </c>
    </row>
    <row r="413" spans="1:12" x14ac:dyDescent="0.25">
      <c r="A413">
        <v>240964</v>
      </c>
      <c r="B413">
        <v>240969</v>
      </c>
      <c r="D413">
        <v>0</v>
      </c>
      <c r="E413" t="s">
        <v>2698</v>
      </c>
      <c r="F413" t="s">
        <v>2699</v>
      </c>
      <c r="G413" t="s">
        <v>2700</v>
      </c>
      <c r="H413" t="s">
        <v>2701</v>
      </c>
      <c r="I413" t="s">
        <v>2702</v>
      </c>
      <c r="J413" t="s">
        <v>2697</v>
      </c>
      <c r="K413" t="s">
        <v>2703</v>
      </c>
      <c r="L413" t="s">
        <v>2697</v>
      </c>
    </row>
    <row r="414" spans="1:12" x14ac:dyDescent="0.25">
      <c r="A414">
        <v>240969</v>
      </c>
      <c r="B414">
        <v>240978</v>
      </c>
      <c r="D414">
        <v>0</v>
      </c>
      <c r="F414">
        <v>238294</v>
      </c>
      <c r="G414">
        <v>240969</v>
      </c>
      <c r="H414" t="s">
        <v>2704</v>
      </c>
      <c r="I414">
        <v>240978</v>
      </c>
      <c r="J414" t="s">
        <v>2704</v>
      </c>
      <c r="K414" t="s">
        <v>2705</v>
      </c>
      <c r="L414" t="s">
        <v>2704</v>
      </c>
    </row>
    <row r="415" spans="1:12" x14ac:dyDescent="0.25">
      <c r="A415">
        <v>240978</v>
      </c>
      <c r="B415">
        <v>241509</v>
      </c>
      <c r="D415">
        <v>0</v>
      </c>
      <c r="E415" t="s">
        <v>2707</v>
      </c>
      <c r="F415" t="s">
        <v>2708</v>
      </c>
      <c r="G415" t="s">
        <v>2709</v>
      </c>
      <c r="H415" t="s">
        <v>2710</v>
      </c>
      <c r="I415" t="s">
        <v>2711</v>
      </c>
      <c r="J415" t="s">
        <v>2706</v>
      </c>
      <c r="K415" t="s">
        <v>2712</v>
      </c>
      <c r="L415" t="s">
        <v>2706</v>
      </c>
    </row>
    <row r="416" spans="1:12" x14ac:dyDescent="0.25">
      <c r="A416">
        <v>240978</v>
      </c>
      <c r="B416">
        <v>240993</v>
      </c>
      <c r="D416">
        <v>0</v>
      </c>
      <c r="E416" t="s">
        <v>2714</v>
      </c>
      <c r="F416" t="s">
        <v>2715</v>
      </c>
      <c r="G416" t="s">
        <v>2716</v>
      </c>
      <c r="H416" t="s">
        <v>2717</v>
      </c>
      <c r="I416" t="s">
        <v>2718</v>
      </c>
      <c r="J416" t="s">
        <v>2719</v>
      </c>
      <c r="K416" t="s">
        <v>2720</v>
      </c>
      <c r="L416" t="s">
        <v>2713</v>
      </c>
    </row>
    <row r="417" spans="1:12" x14ac:dyDescent="0.25">
      <c r="A417">
        <v>240993</v>
      </c>
      <c r="B417">
        <v>241481</v>
      </c>
      <c r="D417">
        <v>0</v>
      </c>
      <c r="E417" t="s">
        <v>2722</v>
      </c>
      <c r="F417" t="s">
        <v>2723</v>
      </c>
      <c r="G417" t="s">
        <v>2724</v>
      </c>
      <c r="H417" t="s">
        <v>2725</v>
      </c>
      <c r="I417" t="s">
        <v>2726</v>
      </c>
      <c r="J417" t="s">
        <v>2721</v>
      </c>
      <c r="K417" t="s">
        <v>2727</v>
      </c>
      <c r="L417" t="s">
        <v>2721</v>
      </c>
    </row>
    <row r="418" spans="1:12" x14ac:dyDescent="0.25">
      <c r="A418">
        <v>241044</v>
      </c>
      <c r="B418">
        <v>241059</v>
      </c>
      <c r="D418">
        <v>0</v>
      </c>
      <c r="E418" t="s">
        <v>2729</v>
      </c>
      <c r="F418" t="s">
        <v>2730</v>
      </c>
      <c r="G418" t="s">
        <v>2731</v>
      </c>
      <c r="H418" t="e" vm="173">
        <f>_FV(0,"012398777575332908")</f>
        <v>#VALUE!</v>
      </c>
      <c r="I418" t="s">
        <v>2732</v>
      </c>
      <c r="J418" t="s">
        <v>2733</v>
      </c>
      <c r="K418" t="s">
        <v>2734</v>
      </c>
      <c r="L418" t="s">
        <v>2728</v>
      </c>
    </row>
    <row r="419" spans="1:12" x14ac:dyDescent="0.25">
      <c r="A419">
        <v>241044</v>
      </c>
      <c r="B419">
        <v>241331</v>
      </c>
      <c r="D419">
        <v>0</v>
      </c>
      <c r="E419" t="s">
        <v>2736</v>
      </c>
      <c r="F419" t="s">
        <v>2737</v>
      </c>
      <c r="G419" t="s">
        <v>2738</v>
      </c>
      <c r="H419" t="e" vm="174">
        <f>_FV(0,"00233135537014234")</f>
        <v>#VALUE!</v>
      </c>
      <c r="I419" t="s">
        <v>2739</v>
      </c>
      <c r="J419" t="s">
        <v>2740</v>
      </c>
      <c r="K419" t="s">
        <v>2741</v>
      </c>
      <c r="L419" t="s">
        <v>2735</v>
      </c>
    </row>
    <row r="420" spans="1:12" x14ac:dyDescent="0.25">
      <c r="A420">
        <v>241059</v>
      </c>
      <c r="B420">
        <v>241691</v>
      </c>
      <c r="D420">
        <v>0</v>
      </c>
      <c r="E420" t="s">
        <v>2743</v>
      </c>
      <c r="F420" t="s">
        <v>2744</v>
      </c>
      <c r="G420" t="s">
        <v>2745</v>
      </c>
      <c r="H420" t="s">
        <v>2746</v>
      </c>
      <c r="I420" t="s">
        <v>2747</v>
      </c>
      <c r="J420" t="s">
        <v>2742</v>
      </c>
      <c r="K420" t="s">
        <v>2748</v>
      </c>
      <c r="L420" t="s">
        <v>2742</v>
      </c>
    </row>
    <row r="421" spans="1:12" x14ac:dyDescent="0.25">
      <c r="A421">
        <v>241176</v>
      </c>
      <c r="B421">
        <v>338533</v>
      </c>
      <c r="D421" t="s">
        <v>2750</v>
      </c>
      <c r="E421" t="s">
        <v>2751</v>
      </c>
      <c r="F421" t="s">
        <v>2752</v>
      </c>
      <c r="G421" t="s">
        <v>2753</v>
      </c>
      <c r="H421" t="s">
        <v>2754</v>
      </c>
      <c r="I421" t="s">
        <v>2755</v>
      </c>
      <c r="J421" t="s">
        <v>2756</v>
      </c>
      <c r="K421" t="s">
        <v>2757</v>
      </c>
      <c r="L421" t="s">
        <v>2749</v>
      </c>
    </row>
    <row r="422" spans="1:12" x14ac:dyDescent="0.25">
      <c r="A422">
        <v>241176</v>
      </c>
      <c r="B422">
        <v>341391</v>
      </c>
      <c r="C422" t="s">
        <v>2759</v>
      </c>
      <c r="D422" t="s">
        <v>2760</v>
      </c>
      <c r="E422" t="s">
        <v>2761</v>
      </c>
      <c r="F422" t="s">
        <v>2762</v>
      </c>
      <c r="G422" t="s">
        <v>2763</v>
      </c>
      <c r="H422" t="e" vm="175">
        <f>_FV(0,"015844094243286755")</f>
        <v>#VALUE!</v>
      </c>
      <c r="I422" t="s">
        <v>2764</v>
      </c>
      <c r="J422" t="s">
        <v>2765</v>
      </c>
      <c r="K422" t="s">
        <v>2766</v>
      </c>
      <c r="L422" t="s">
        <v>2758</v>
      </c>
    </row>
    <row r="423" spans="1:12" x14ac:dyDescent="0.25">
      <c r="A423">
        <v>241303</v>
      </c>
      <c r="B423">
        <v>241317</v>
      </c>
      <c r="D423">
        <v>0</v>
      </c>
      <c r="E423" t="s">
        <v>2768</v>
      </c>
      <c r="F423" t="s">
        <v>2769</v>
      </c>
      <c r="G423" t="s">
        <v>2770</v>
      </c>
      <c r="H423" t="e" vm="176">
        <f>_FV(0,"0008220013218928394")</f>
        <v>#VALUE!</v>
      </c>
      <c r="I423" t="s">
        <v>2771</v>
      </c>
      <c r="J423" t="s">
        <v>2772</v>
      </c>
      <c r="K423" t="s">
        <v>2773</v>
      </c>
      <c r="L423" t="s">
        <v>2767</v>
      </c>
    </row>
    <row r="424" spans="1:12" x14ac:dyDescent="0.25">
      <c r="A424">
        <v>241303</v>
      </c>
      <c r="B424">
        <v>241391</v>
      </c>
      <c r="D424">
        <v>0</v>
      </c>
      <c r="E424" t="s">
        <v>2775</v>
      </c>
      <c r="F424" t="s">
        <v>2776</v>
      </c>
      <c r="G424" t="s">
        <v>2777</v>
      </c>
      <c r="H424" t="s">
        <v>2778</v>
      </c>
      <c r="I424" t="s">
        <v>2779</v>
      </c>
      <c r="J424" t="s">
        <v>2780</v>
      </c>
      <c r="K424" t="s">
        <v>2781</v>
      </c>
      <c r="L424" t="s">
        <v>2774</v>
      </c>
    </row>
    <row r="425" spans="1:12" x14ac:dyDescent="0.25">
      <c r="A425">
        <v>241317</v>
      </c>
      <c r="B425">
        <v>241391</v>
      </c>
      <c r="D425">
        <v>0</v>
      </c>
      <c r="F425">
        <v>239238</v>
      </c>
      <c r="G425">
        <v>241317</v>
      </c>
      <c r="H425" t="s">
        <v>1534</v>
      </c>
      <c r="I425">
        <v>241391</v>
      </c>
      <c r="J425" t="s">
        <v>1534</v>
      </c>
      <c r="K425" t="s">
        <v>2782</v>
      </c>
      <c r="L425" t="s">
        <v>1534</v>
      </c>
    </row>
    <row r="426" spans="1:12" x14ac:dyDescent="0.25">
      <c r="A426">
        <v>241391</v>
      </c>
      <c r="B426">
        <v>241509</v>
      </c>
      <c r="D426">
        <v>0</v>
      </c>
      <c r="E426" t="s">
        <v>2784</v>
      </c>
      <c r="F426" t="s">
        <v>2785</v>
      </c>
      <c r="G426" t="s">
        <v>2786</v>
      </c>
      <c r="H426" t="e" vm="177">
        <f>_FV(0,"0017726987656340944")</f>
        <v>#VALUE!</v>
      </c>
      <c r="I426" t="s">
        <v>2787</v>
      </c>
      <c r="J426" t="s">
        <v>2788</v>
      </c>
      <c r="K426" t="s">
        <v>2789</v>
      </c>
      <c r="L426" t="s">
        <v>2783</v>
      </c>
    </row>
    <row r="427" spans="1:12" x14ac:dyDescent="0.25">
      <c r="A427">
        <v>241432</v>
      </c>
      <c r="B427">
        <v>241598</v>
      </c>
      <c r="D427">
        <v>0</v>
      </c>
      <c r="E427" t="s">
        <v>2791</v>
      </c>
      <c r="F427" t="s">
        <v>2792</v>
      </c>
      <c r="G427" t="s">
        <v>2794</v>
      </c>
      <c r="H427" t="s">
        <v>2795</v>
      </c>
      <c r="I427" t="s">
        <v>2796</v>
      </c>
      <c r="J427" t="s">
        <v>2790</v>
      </c>
      <c r="K427" t="s">
        <v>2797</v>
      </c>
      <c r="L427" t="s">
        <v>2790</v>
      </c>
    </row>
    <row r="428" spans="1:12" x14ac:dyDescent="0.25">
      <c r="A428">
        <v>241432</v>
      </c>
      <c r="B428">
        <v>1286914</v>
      </c>
      <c r="D428">
        <v>0</v>
      </c>
      <c r="E428" t="s">
        <v>2799</v>
      </c>
      <c r="F428" t="s">
        <v>2800</v>
      </c>
      <c r="G428" t="s">
        <v>2801</v>
      </c>
      <c r="H428" t="e" vm="178">
        <f>_FV(0,"01197002681128785")</f>
        <v>#VALUE!</v>
      </c>
      <c r="I428" t="s">
        <v>2802</v>
      </c>
      <c r="J428" t="s">
        <v>2803</v>
      </c>
      <c r="K428" t="s">
        <v>2804</v>
      </c>
      <c r="L428" t="s">
        <v>2798</v>
      </c>
    </row>
    <row r="429" spans="1:12" x14ac:dyDescent="0.25">
      <c r="A429">
        <v>241432</v>
      </c>
      <c r="B429">
        <v>1286994</v>
      </c>
      <c r="D429">
        <v>0</v>
      </c>
      <c r="E429" t="s">
        <v>2806</v>
      </c>
      <c r="F429" t="s">
        <v>2807</v>
      </c>
      <c r="G429" t="s">
        <v>2808</v>
      </c>
      <c r="H429" t="e" vm="179">
        <f>_FV(0,"03035138762144203")</f>
        <v>#VALUE!</v>
      </c>
      <c r="I429" t="s">
        <v>2809</v>
      </c>
      <c r="J429" t="s">
        <v>2810</v>
      </c>
      <c r="K429" t="s">
        <v>2811</v>
      </c>
      <c r="L429" t="s">
        <v>2805</v>
      </c>
    </row>
    <row r="430" spans="1:12" x14ac:dyDescent="0.25">
      <c r="A430">
        <v>241481</v>
      </c>
      <c r="B430">
        <v>241509</v>
      </c>
      <c r="D430">
        <v>0</v>
      </c>
      <c r="E430" t="s">
        <v>2813</v>
      </c>
      <c r="F430" t="s">
        <v>2814</v>
      </c>
      <c r="G430" t="s">
        <v>2815</v>
      </c>
      <c r="H430" t="s">
        <v>2816</v>
      </c>
      <c r="I430" t="s">
        <v>2817</v>
      </c>
      <c r="J430" t="s">
        <v>2812</v>
      </c>
      <c r="K430" t="s">
        <v>2818</v>
      </c>
      <c r="L430" t="s">
        <v>2812</v>
      </c>
    </row>
    <row r="431" spans="1:12" x14ac:dyDescent="0.25">
      <c r="A431">
        <v>241481</v>
      </c>
      <c r="B431">
        <v>1286945</v>
      </c>
      <c r="D431">
        <v>0</v>
      </c>
      <c r="E431" t="s">
        <v>2820</v>
      </c>
      <c r="F431" t="s">
        <v>2821</v>
      </c>
      <c r="G431" t="s">
        <v>2822</v>
      </c>
      <c r="H431" t="e" vm="180">
        <f>_FV(0,"011083735881388739")</f>
        <v>#VALUE!</v>
      </c>
      <c r="I431" t="s">
        <v>2823</v>
      </c>
      <c r="J431" t="s">
        <v>2824</v>
      </c>
      <c r="K431" t="s">
        <v>2825</v>
      </c>
      <c r="L431" t="s">
        <v>2819</v>
      </c>
    </row>
    <row r="432" spans="1:12" x14ac:dyDescent="0.25">
      <c r="A432">
        <v>241598</v>
      </c>
      <c r="B432">
        <v>241691</v>
      </c>
      <c r="C432" t="s">
        <v>2827</v>
      </c>
      <c r="D432">
        <v>0</v>
      </c>
      <c r="E432" t="s">
        <v>2828</v>
      </c>
      <c r="F432" t="s">
        <v>2829</v>
      </c>
      <c r="G432" t="s">
        <v>2830</v>
      </c>
      <c r="H432" t="e" vm="181">
        <f>_FV(0,"0010996855586332057")</f>
        <v>#VALUE!</v>
      </c>
      <c r="I432" t="s">
        <v>2831</v>
      </c>
      <c r="J432" t="s">
        <v>2832</v>
      </c>
      <c r="K432" t="s">
        <v>2833</v>
      </c>
      <c r="L432" t="s">
        <v>2826</v>
      </c>
    </row>
    <row r="433" spans="1:12" x14ac:dyDescent="0.25">
      <c r="A433">
        <v>241598</v>
      </c>
      <c r="B433">
        <v>1286962</v>
      </c>
      <c r="D433">
        <v>0</v>
      </c>
      <c r="E433" t="s">
        <v>2835</v>
      </c>
      <c r="F433" t="s">
        <v>2836</v>
      </c>
      <c r="G433" t="s">
        <v>2837</v>
      </c>
      <c r="H433" t="e" vm="182">
        <f>_FV(0,"004549597174351258")</f>
        <v>#VALUE!</v>
      </c>
      <c r="I433" t="s">
        <v>2838</v>
      </c>
      <c r="J433" t="s">
        <v>2839</v>
      </c>
      <c r="K433" t="s">
        <v>2840</v>
      </c>
      <c r="L433" t="s">
        <v>2834</v>
      </c>
    </row>
    <row r="434" spans="1:12" x14ac:dyDescent="0.25">
      <c r="A434">
        <v>244654</v>
      </c>
      <c r="B434">
        <v>244655</v>
      </c>
      <c r="D434">
        <v>0</v>
      </c>
      <c r="F434">
        <v>242733</v>
      </c>
      <c r="G434">
        <v>244655</v>
      </c>
      <c r="H434" t="s">
        <v>2841</v>
      </c>
      <c r="I434">
        <v>244654</v>
      </c>
      <c r="J434" t="s">
        <v>2841</v>
      </c>
      <c r="K434" t="s">
        <v>2842</v>
      </c>
      <c r="L434" t="s">
        <v>2841</v>
      </c>
    </row>
    <row r="435" spans="1:12" x14ac:dyDescent="0.25">
      <c r="A435">
        <v>244654</v>
      </c>
      <c r="B435">
        <v>244696</v>
      </c>
      <c r="D435">
        <v>0</v>
      </c>
      <c r="E435" t="s">
        <v>2844</v>
      </c>
      <c r="F435" t="s">
        <v>2845</v>
      </c>
      <c r="G435" t="s">
        <v>2846</v>
      </c>
      <c r="H435" t="s">
        <v>2847</v>
      </c>
      <c r="I435" t="s">
        <v>2848</v>
      </c>
      <c r="J435" t="s">
        <v>2843</v>
      </c>
      <c r="K435" t="s">
        <v>2849</v>
      </c>
      <c r="L435" t="s">
        <v>2843</v>
      </c>
    </row>
    <row r="436" spans="1:12" x14ac:dyDescent="0.25">
      <c r="A436">
        <v>244654</v>
      </c>
      <c r="B436">
        <v>244755</v>
      </c>
      <c r="D436">
        <v>0</v>
      </c>
      <c r="E436" t="s">
        <v>2851</v>
      </c>
      <c r="F436" t="s">
        <v>2852</v>
      </c>
      <c r="G436" t="s">
        <v>2853</v>
      </c>
      <c r="H436" t="s">
        <v>2854</v>
      </c>
      <c r="I436" t="s">
        <v>2855</v>
      </c>
      <c r="J436" t="s">
        <v>2850</v>
      </c>
      <c r="K436" t="s">
        <v>2856</v>
      </c>
      <c r="L436" t="s">
        <v>2850</v>
      </c>
    </row>
    <row r="437" spans="1:12" x14ac:dyDescent="0.25">
      <c r="A437">
        <v>244655</v>
      </c>
      <c r="B437">
        <v>244664</v>
      </c>
      <c r="D437">
        <v>0</v>
      </c>
      <c r="E437" t="s">
        <v>2858</v>
      </c>
      <c r="F437" t="s">
        <v>2859</v>
      </c>
      <c r="G437" t="s">
        <v>2860</v>
      </c>
      <c r="H437" t="e" vm="183">
        <f>_FV(0,"007719929358991172")</f>
        <v>#VALUE!</v>
      </c>
      <c r="I437" t="s">
        <v>2861</v>
      </c>
      <c r="J437" t="s">
        <v>2862</v>
      </c>
      <c r="K437" t="s">
        <v>2863</v>
      </c>
      <c r="L437" t="s">
        <v>2857</v>
      </c>
    </row>
    <row r="438" spans="1:12" x14ac:dyDescent="0.25">
      <c r="A438">
        <v>244655</v>
      </c>
      <c r="B438">
        <v>244852</v>
      </c>
      <c r="D438">
        <v>0</v>
      </c>
      <c r="E438" t="s">
        <v>2865</v>
      </c>
      <c r="F438" t="s">
        <v>2866</v>
      </c>
      <c r="G438" t="s">
        <v>2867</v>
      </c>
      <c r="H438" t="s">
        <v>2868</v>
      </c>
      <c r="I438" t="s">
        <v>2869</v>
      </c>
      <c r="J438" t="s">
        <v>2864</v>
      </c>
      <c r="K438" t="s">
        <v>2870</v>
      </c>
      <c r="L438" t="s">
        <v>2864</v>
      </c>
    </row>
    <row r="439" spans="1:12" x14ac:dyDescent="0.25">
      <c r="A439">
        <v>244664</v>
      </c>
      <c r="B439">
        <v>244670</v>
      </c>
      <c r="D439">
        <v>0</v>
      </c>
      <c r="F439">
        <v>242758</v>
      </c>
      <c r="G439">
        <v>244670</v>
      </c>
      <c r="H439" t="e" vm="184">
        <f>_FV(0,"031")</f>
        <v>#VALUE!</v>
      </c>
      <c r="I439">
        <v>244664</v>
      </c>
      <c r="J439" t="s">
        <v>2871</v>
      </c>
      <c r="K439" t="s">
        <v>2872</v>
      </c>
      <c r="L439" t="e" vm="184">
        <f>_FV(0,"031")</f>
        <v>#VALUE!</v>
      </c>
    </row>
    <row r="440" spans="1:12" x14ac:dyDescent="0.25">
      <c r="A440">
        <v>244664</v>
      </c>
      <c r="B440">
        <v>244852</v>
      </c>
      <c r="D440">
        <v>0</v>
      </c>
      <c r="E440" t="s">
        <v>2874</v>
      </c>
      <c r="F440" t="s">
        <v>2875</v>
      </c>
      <c r="G440" t="s">
        <v>2876</v>
      </c>
      <c r="H440" t="s">
        <v>2877</v>
      </c>
      <c r="I440" t="s">
        <v>2878</v>
      </c>
      <c r="J440" t="s">
        <v>2873</v>
      </c>
      <c r="K440" t="s">
        <v>2879</v>
      </c>
      <c r="L440" t="s">
        <v>2873</v>
      </c>
    </row>
    <row r="441" spans="1:12" x14ac:dyDescent="0.25">
      <c r="A441">
        <v>244670</v>
      </c>
      <c r="B441">
        <v>244685</v>
      </c>
      <c r="D441">
        <v>0</v>
      </c>
      <c r="E441" t="s">
        <v>2880</v>
      </c>
      <c r="F441" t="s">
        <v>2881</v>
      </c>
      <c r="G441" t="s">
        <v>2882</v>
      </c>
      <c r="H441" t="e" vm="185">
        <f>_FV(0,"033")</f>
        <v>#VALUE!</v>
      </c>
      <c r="I441" t="s">
        <v>2883</v>
      </c>
      <c r="J441" t="s">
        <v>2884</v>
      </c>
      <c r="K441" t="s">
        <v>2885</v>
      </c>
      <c r="L441" t="e" vm="185">
        <f>_FV(0,"033")</f>
        <v>#VALUE!</v>
      </c>
    </row>
    <row r="442" spans="1:12" x14ac:dyDescent="0.25">
      <c r="A442">
        <v>244670</v>
      </c>
      <c r="B442">
        <v>244810</v>
      </c>
      <c r="D442">
        <v>0</v>
      </c>
      <c r="E442" t="s">
        <v>2887</v>
      </c>
      <c r="F442" t="s">
        <v>2888</v>
      </c>
      <c r="G442" t="s">
        <v>2889</v>
      </c>
      <c r="H442" t="e" vm="186">
        <f>_FV(0,"018456431563345414")</f>
        <v>#VALUE!</v>
      </c>
      <c r="I442" t="s">
        <v>2890</v>
      </c>
      <c r="J442" t="s">
        <v>2891</v>
      </c>
      <c r="K442" t="s">
        <v>2892</v>
      </c>
      <c r="L442" t="s">
        <v>2886</v>
      </c>
    </row>
    <row r="443" spans="1:12" x14ac:dyDescent="0.25">
      <c r="A443">
        <v>244685</v>
      </c>
      <c r="B443">
        <v>244696</v>
      </c>
      <c r="D443">
        <v>0</v>
      </c>
      <c r="E443" t="s">
        <v>2894</v>
      </c>
      <c r="F443" t="s">
        <v>2895</v>
      </c>
      <c r="G443" t="s">
        <v>2896</v>
      </c>
      <c r="H443" t="s">
        <v>2897</v>
      </c>
      <c r="I443" t="s">
        <v>2898</v>
      </c>
      <c r="J443" t="s">
        <v>2899</v>
      </c>
      <c r="K443" t="s">
        <v>2900</v>
      </c>
      <c r="L443" t="s">
        <v>2893</v>
      </c>
    </row>
    <row r="444" spans="1:12" x14ac:dyDescent="0.25">
      <c r="A444">
        <v>244685</v>
      </c>
      <c r="B444">
        <v>244810</v>
      </c>
      <c r="D444">
        <v>0</v>
      </c>
      <c r="E444" t="s">
        <v>2902</v>
      </c>
      <c r="F444" t="s">
        <v>2903</v>
      </c>
      <c r="G444" t="s">
        <v>2904</v>
      </c>
      <c r="H444" t="e" vm="187">
        <f>_FV(0,"0006609617831550911")</f>
        <v>#VALUE!</v>
      </c>
      <c r="I444" t="s">
        <v>2905</v>
      </c>
      <c r="J444" t="s">
        <v>2906</v>
      </c>
      <c r="K444" t="s">
        <v>2907</v>
      </c>
      <c r="L444" t="s">
        <v>2901</v>
      </c>
    </row>
    <row r="445" spans="1:12" x14ac:dyDescent="0.25">
      <c r="A445">
        <v>244696</v>
      </c>
      <c r="B445">
        <v>244755</v>
      </c>
      <c r="D445">
        <v>0</v>
      </c>
      <c r="E445" t="s">
        <v>2909</v>
      </c>
      <c r="F445" t="s">
        <v>2910</v>
      </c>
      <c r="G445" t="s">
        <v>2911</v>
      </c>
      <c r="H445" t="s">
        <v>2912</v>
      </c>
      <c r="I445" t="s">
        <v>2913</v>
      </c>
      <c r="J445" t="s">
        <v>2914</v>
      </c>
      <c r="K445" t="s">
        <v>2915</v>
      </c>
      <c r="L445" t="s">
        <v>2908</v>
      </c>
    </row>
    <row r="446" spans="1:12" x14ac:dyDescent="0.25">
      <c r="A446">
        <v>244749</v>
      </c>
      <c r="B446">
        <v>244755</v>
      </c>
      <c r="D446">
        <v>0</v>
      </c>
      <c r="F446">
        <v>243139</v>
      </c>
      <c r="G446">
        <v>244755</v>
      </c>
      <c r="H446" t="s">
        <v>2916</v>
      </c>
      <c r="I446">
        <v>244749</v>
      </c>
      <c r="J446" t="s">
        <v>2916</v>
      </c>
      <c r="K446" t="s">
        <v>2917</v>
      </c>
      <c r="L446" t="s">
        <v>2916</v>
      </c>
    </row>
    <row r="447" spans="1:12" x14ac:dyDescent="0.25">
      <c r="A447">
        <v>244749</v>
      </c>
      <c r="B447">
        <v>261692</v>
      </c>
      <c r="D447">
        <v>0</v>
      </c>
      <c r="E447" t="s">
        <v>2919</v>
      </c>
      <c r="F447" t="s">
        <v>2920</v>
      </c>
      <c r="G447" t="s">
        <v>2921</v>
      </c>
      <c r="H447" t="s">
        <v>2922</v>
      </c>
      <c r="I447" t="s">
        <v>2923</v>
      </c>
      <c r="J447" t="s">
        <v>2918</v>
      </c>
      <c r="K447" t="s">
        <v>2924</v>
      </c>
      <c r="L447" t="s">
        <v>2918</v>
      </c>
    </row>
    <row r="448" spans="1:12" x14ac:dyDescent="0.25">
      <c r="A448">
        <v>244749</v>
      </c>
      <c r="B448">
        <v>261692</v>
      </c>
      <c r="D448">
        <v>0</v>
      </c>
      <c r="E448" t="s">
        <v>2926</v>
      </c>
      <c r="F448" t="s">
        <v>2927</v>
      </c>
      <c r="G448" t="s">
        <v>2928</v>
      </c>
      <c r="H448" t="s">
        <v>2929</v>
      </c>
      <c r="I448" t="s">
        <v>2930</v>
      </c>
      <c r="J448" t="s">
        <v>2925</v>
      </c>
      <c r="K448" t="s">
        <v>2931</v>
      </c>
      <c r="L448" t="s">
        <v>2925</v>
      </c>
    </row>
    <row r="449" spans="1:12" x14ac:dyDescent="0.25">
      <c r="A449">
        <v>244810</v>
      </c>
      <c r="B449">
        <v>1854846</v>
      </c>
      <c r="C449" t="s">
        <v>2932</v>
      </c>
      <c r="D449">
        <v>0</v>
      </c>
      <c r="E449" t="s">
        <v>2933</v>
      </c>
      <c r="H449" t="s">
        <v>187</v>
      </c>
      <c r="J449">
        <v>0</v>
      </c>
      <c r="K449" t="s">
        <v>2934</v>
      </c>
      <c r="L449">
        <v>0</v>
      </c>
    </row>
    <row r="450" spans="1:12" x14ac:dyDescent="0.25">
      <c r="A450">
        <v>245323</v>
      </c>
      <c r="B450">
        <v>245339</v>
      </c>
      <c r="D450">
        <v>0</v>
      </c>
      <c r="E450" t="s">
        <v>2936</v>
      </c>
      <c r="F450" t="s">
        <v>2937</v>
      </c>
      <c r="G450" t="s">
        <v>2938</v>
      </c>
      <c r="H450" t="s">
        <v>2939</v>
      </c>
      <c r="I450" t="s">
        <v>2940</v>
      </c>
      <c r="J450" t="s">
        <v>2941</v>
      </c>
      <c r="K450" t="s">
        <v>2942</v>
      </c>
      <c r="L450" t="s">
        <v>2935</v>
      </c>
    </row>
    <row r="451" spans="1:12" x14ac:dyDescent="0.25">
      <c r="A451">
        <v>245323</v>
      </c>
      <c r="B451">
        <v>249711</v>
      </c>
      <c r="C451" t="s">
        <v>2944</v>
      </c>
      <c r="D451">
        <v>0</v>
      </c>
      <c r="E451" t="s">
        <v>2945</v>
      </c>
      <c r="F451" t="s">
        <v>2946</v>
      </c>
      <c r="G451" t="s">
        <v>2947</v>
      </c>
      <c r="H451" t="e" vm="188">
        <f>_FV(0,"018270098308682696")</f>
        <v>#VALUE!</v>
      </c>
      <c r="I451" t="s">
        <v>2948</v>
      </c>
      <c r="J451" t="s">
        <v>2949</v>
      </c>
      <c r="K451" t="s">
        <v>2950</v>
      </c>
      <c r="L451" t="s">
        <v>2943</v>
      </c>
    </row>
    <row r="452" spans="1:12" x14ac:dyDescent="0.25">
      <c r="A452">
        <v>245323</v>
      </c>
      <c r="B452">
        <v>245360</v>
      </c>
      <c r="D452">
        <v>0</v>
      </c>
      <c r="E452" t="s">
        <v>2952</v>
      </c>
      <c r="F452" t="s">
        <v>2953</v>
      </c>
      <c r="G452" t="s">
        <v>2954</v>
      </c>
      <c r="H452" t="e" vm="189">
        <f>_FV(0,"03372874631086721")</f>
        <v>#VALUE!</v>
      </c>
      <c r="I452" t="s">
        <v>2955</v>
      </c>
      <c r="J452" t="s">
        <v>2956</v>
      </c>
      <c r="K452" t="s">
        <v>2957</v>
      </c>
      <c r="L452" t="s">
        <v>2951</v>
      </c>
    </row>
    <row r="453" spans="1:12" x14ac:dyDescent="0.25">
      <c r="A453">
        <v>245323</v>
      </c>
      <c r="B453">
        <v>266564</v>
      </c>
      <c r="D453">
        <v>0</v>
      </c>
      <c r="E453" t="s">
        <v>2959</v>
      </c>
      <c r="F453" t="s">
        <v>2960</v>
      </c>
      <c r="G453" t="s">
        <v>2962</v>
      </c>
      <c r="H453" t="e" vm="190">
        <f>_FV(0,"09748873684316677")</f>
        <v>#VALUE!</v>
      </c>
      <c r="I453" t="s">
        <v>2963</v>
      </c>
      <c r="J453" t="s">
        <v>2964</v>
      </c>
      <c r="K453" t="s">
        <v>2965</v>
      </c>
      <c r="L453" t="s">
        <v>2958</v>
      </c>
    </row>
    <row r="454" spans="1:12" x14ac:dyDescent="0.25">
      <c r="A454">
        <v>245339</v>
      </c>
      <c r="B454">
        <v>245360</v>
      </c>
      <c r="D454">
        <v>0</v>
      </c>
      <c r="E454" t="s">
        <v>2967</v>
      </c>
      <c r="F454" t="s">
        <v>2968</v>
      </c>
      <c r="G454" t="s">
        <v>2969</v>
      </c>
      <c r="H454" t="s">
        <v>2970</v>
      </c>
      <c r="I454" t="s">
        <v>2971</v>
      </c>
      <c r="J454" t="s">
        <v>2972</v>
      </c>
      <c r="K454" t="s">
        <v>2973</v>
      </c>
      <c r="L454" t="s">
        <v>2966</v>
      </c>
    </row>
    <row r="455" spans="1:12" x14ac:dyDescent="0.25">
      <c r="A455">
        <v>245339</v>
      </c>
      <c r="B455">
        <v>266557</v>
      </c>
      <c r="D455" t="s">
        <v>2793</v>
      </c>
      <c r="E455" t="s">
        <v>2975</v>
      </c>
      <c r="F455" t="s">
        <v>2976</v>
      </c>
      <c r="G455" t="s">
        <v>2977</v>
      </c>
      <c r="H455" t="e" vm="191">
        <f>_FV(0,"042000140301576484")</f>
        <v>#VALUE!</v>
      </c>
      <c r="I455" t="s">
        <v>2978</v>
      </c>
      <c r="J455" t="s">
        <v>2979</v>
      </c>
      <c r="K455" t="s">
        <v>2980</v>
      </c>
      <c r="L455" t="s">
        <v>2974</v>
      </c>
    </row>
    <row r="456" spans="1:12" x14ac:dyDescent="0.25">
      <c r="A456">
        <v>245360</v>
      </c>
      <c r="B456">
        <v>264703</v>
      </c>
      <c r="D456">
        <v>0</v>
      </c>
      <c r="F456">
        <v>267443</v>
      </c>
      <c r="G456">
        <v>245360</v>
      </c>
      <c r="H456" t="e" vm="192">
        <f>_FV(0,"166")</f>
        <v>#VALUE!</v>
      </c>
      <c r="I456">
        <v>264703</v>
      </c>
      <c r="J456" t="s">
        <v>2981</v>
      </c>
      <c r="K456" t="s">
        <v>2982</v>
      </c>
      <c r="L456" t="e" vm="192">
        <f>_FV(0,"166")</f>
        <v>#VALUE!</v>
      </c>
    </row>
    <row r="457" spans="1:12" x14ac:dyDescent="0.25">
      <c r="A457">
        <v>245875</v>
      </c>
      <c r="B457">
        <v>245888</v>
      </c>
      <c r="D457">
        <v>0</v>
      </c>
      <c r="E457" t="s">
        <v>2984</v>
      </c>
      <c r="F457" t="s">
        <v>2985</v>
      </c>
      <c r="G457" t="s">
        <v>2986</v>
      </c>
      <c r="H457" t="s">
        <v>2987</v>
      </c>
      <c r="I457" t="s">
        <v>2988</v>
      </c>
      <c r="J457" t="s">
        <v>2983</v>
      </c>
      <c r="K457" t="s">
        <v>2989</v>
      </c>
      <c r="L457" t="s">
        <v>2983</v>
      </c>
    </row>
    <row r="458" spans="1:12" x14ac:dyDescent="0.25">
      <c r="A458">
        <v>245875</v>
      </c>
      <c r="B458">
        <v>245914</v>
      </c>
      <c r="D458">
        <v>0</v>
      </c>
      <c r="E458" t="s">
        <v>2991</v>
      </c>
      <c r="F458" t="s">
        <v>2992</v>
      </c>
      <c r="G458" t="s">
        <v>2993</v>
      </c>
      <c r="H458" t="e" vm="193">
        <f>_FV(0,"06649832022115836")</f>
        <v>#VALUE!</v>
      </c>
      <c r="I458" t="s">
        <v>2994</v>
      </c>
      <c r="J458" t="s">
        <v>2995</v>
      </c>
      <c r="K458" t="s">
        <v>2996</v>
      </c>
      <c r="L458" t="s">
        <v>2990</v>
      </c>
    </row>
    <row r="459" spans="1:12" x14ac:dyDescent="0.25">
      <c r="A459">
        <v>245875</v>
      </c>
      <c r="B459">
        <v>597304</v>
      </c>
      <c r="D459">
        <v>0</v>
      </c>
      <c r="E459" t="s">
        <v>2998</v>
      </c>
      <c r="F459" t="s">
        <v>2999</v>
      </c>
      <c r="G459" t="s">
        <v>3000</v>
      </c>
      <c r="H459" t="s">
        <v>3001</v>
      </c>
      <c r="I459" t="s">
        <v>3002</v>
      </c>
      <c r="J459" t="s">
        <v>2997</v>
      </c>
      <c r="K459" t="s">
        <v>3003</v>
      </c>
      <c r="L459" t="s">
        <v>2997</v>
      </c>
    </row>
    <row r="460" spans="1:12" x14ac:dyDescent="0.25">
      <c r="A460">
        <v>245888</v>
      </c>
      <c r="B460">
        <v>245898</v>
      </c>
      <c r="D460">
        <v>0</v>
      </c>
      <c r="F460">
        <v>244159</v>
      </c>
      <c r="G460">
        <v>245898</v>
      </c>
      <c r="H460" t="s">
        <v>3004</v>
      </c>
      <c r="I460">
        <v>245888</v>
      </c>
      <c r="J460" t="s">
        <v>3004</v>
      </c>
      <c r="K460" t="s">
        <v>3005</v>
      </c>
      <c r="L460" t="s">
        <v>3004</v>
      </c>
    </row>
    <row r="461" spans="1:12" x14ac:dyDescent="0.25">
      <c r="A461">
        <v>245888</v>
      </c>
      <c r="B461">
        <v>597304</v>
      </c>
      <c r="D461">
        <v>0</v>
      </c>
      <c r="E461" t="s">
        <v>3007</v>
      </c>
      <c r="F461" t="s">
        <v>3008</v>
      </c>
      <c r="G461" t="s">
        <v>3009</v>
      </c>
      <c r="H461" t="s">
        <v>3010</v>
      </c>
      <c r="I461" t="s">
        <v>3011</v>
      </c>
      <c r="J461" t="s">
        <v>3012</v>
      </c>
      <c r="K461" t="s">
        <v>3013</v>
      </c>
      <c r="L461" t="s">
        <v>3006</v>
      </c>
    </row>
    <row r="462" spans="1:12" x14ac:dyDescent="0.25">
      <c r="A462">
        <v>245898</v>
      </c>
      <c r="B462">
        <v>245914</v>
      </c>
      <c r="D462">
        <v>0</v>
      </c>
      <c r="E462" t="s">
        <v>3015</v>
      </c>
      <c r="F462" t="s">
        <v>3016</v>
      </c>
      <c r="G462" t="s">
        <v>3017</v>
      </c>
      <c r="H462" t="s">
        <v>3018</v>
      </c>
      <c r="I462" t="s">
        <v>3019</v>
      </c>
      <c r="J462" t="s">
        <v>3014</v>
      </c>
      <c r="K462" t="s">
        <v>3020</v>
      </c>
      <c r="L462" t="s">
        <v>3014</v>
      </c>
    </row>
    <row r="463" spans="1:12" x14ac:dyDescent="0.25">
      <c r="A463">
        <v>245898</v>
      </c>
      <c r="B463">
        <v>597252</v>
      </c>
      <c r="D463">
        <v>0</v>
      </c>
      <c r="E463" t="s">
        <v>3022</v>
      </c>
      <c r="F463" t="s">
        <v>3023</v>
      </c>
      <c r="G463" t="s">
        <v>3024</v>
      </c>
      <c r="H463" t="e" vm="194">
        <f>_FV(0,"11116149568423561")</f>
        <v>#VALUE!</v>
      </c>
      <c r="I463" t="s">
        <v>3025</v>
      </c>
      <c r="J463" t="s">
        <v>3026</v>
      </c>
      <c r="K463" t="s">
        <v>3027</v>
      </c>
      <c r="L463" t="s">
        <v>3021</v>
      </c>
    </row>
    <row r="464" spans="1:12" x14ac:dyDescent="0.25">
      <c r="A464">
        <v>245914</v>
      </c>
      <c r="B464">
        <v>597252</v>
      </c>
      <c r="D464">
        <v>0</v>
      </c>
      <c r="E464" t="s">
        <v>3029</v>
      </c>
      <c r="F464" t="s">
        <v>3030</v>
      </c>
      <c r="G464" t="s">
        <v>3031</v>
      </c>
      <c r="H464" t="e" vm="195">
        <f>_FV(0,"09847399881886328")</f>
        <v>#VALUE!</v>
      </c>
      <c r="I464" t="s">
        <v>3032</v>
      </c>
      <c r="J464" t="s">
        <v>3033</v>
      </c>
      <c r="K464" t="s">
        <v>3034</v>
      </c>
      <c r="L464" t="s">
        <v>3028</v>
      </c>
    </row>
    <row r="465" spans="1:12" x14ac:dyDescent="0.25">
      <c r="A465">
        <v>247382</v>
      </c>
      <c r="B465">
        <v>247389</v>
      </c>
      <c r="D465">
        <v>0</v>
      </c>
      <c r="E465" t="s">
        <v>3036</v>
      </c>
      <c r="F465" t="s">
        <v>3037</v>
      </c>
      <c r="G465" t="s">
        <v>3038</v>
      </c>
      <c r="H465" t="e" vm="196">
        <f>_FV(0,"08342488732459477")</f>
        <v>#VALUE!</v>
      </c>
      <c r="I465" t="s">
        <v>3039</v>
      </c>
      <c r="J465" t="s">
        <v>3040</v>
      </c>
      <c r="K465" t="s">
        <v>3041</v>
      </c>
      <c r="L465" t="s">
        <v>3035</v>
      </c>
    </row>
    <row r="466" spans="1:12" x14ac:dyDescent="0.25">
      <c r="A466">
        <v>247382</v>
      </c>
      <c r="B466">
        <v>247507</v>
      </c>
      <c r="D466">
        <v>0</v>
      </c>
      <c r="E466" t="s">
        <v>3043</v>
      </c>
      <c r="F466" t="s">
        <v>3044</v>
      </c>
      <c r="G466" t="s">
        <v>3045</v>
      </c>
      <c r="H466" t="e" vm="197">
        <f>_FV(0,"04314886925972429")</f>
        <v>#VALUE!</v>
      </c>
      <c r="I466" t="s">
        <v>3046</v>
      </c>
      <c r="J466" t="s">
        <v>3047</v>
      </c>
      <c r="K466" t="s">
        <v>3048</v>
      </c>
      <c r="L466" t="s">
        <v>3042</v>
      </c>
    </row>
    <row r="467" spans="1:12" x14ac:dyDescent="0.25">
      <c r="A467">
        <v>247382</v>
      </c>
      <c r="B467">
        <v>247488</v>
      </c>
      <c r="D467">
        <v>0</v>
      </c>
      <c r="F467">
        <v>246115</v>
      </c>
      <c r="G467">
        <v>247382</v>
      </c>
      <c r="H467" t="e" vm="198">
        <f>_FV(0,"087")</f>
        <v>#VALUE!</v>
      </c>
      <c r="I467">
        <v>247488</v>
      </c>
      <c r="J467" t="s">
        <v>3049</v>
      </c>
      <c r="K467" t="s">
        <v>3050</v>
      </c>
      <c r="L467" t="e" vm="198">
        <f>_FV(0,"087")</f>
        <v>#VALUE!</v>
      </c>
    </row>
    <row r="468" spans="1:12" x14ac:dyDescent="0.25">
      <c r="A468">
        <v>247389</v>
      </c>
      <c r="B468">
        <v>1536273</v>
      </c>
      <c r="D468" t="s">
        <v>204</v>
      </c>
      <c r="E468" t="s">
        <v>3052</v>
      </c>
      <c r="F468" t="s">
        <v>3053</v>
      </c>
      <c r="G468" t="s">
        <v>3054</v>
      </c>
      <c r="H468" t="e" vm="199">
        <f>_FV(0,"027282283165337234")</f>
        <v>#VALUE!</v>
      </c>
      <c r="I468" t="s">
        <v>3055</v>
      </c>
      <c r="J468" t="s">
        <v>3056</v>
      </c>
      <c r="K468" t="s">
        <v>3057</v>
      </c>
      <c r="L468" t="s">
        <v>3051</v>
      </c>
    </row>
    <row r="469" spans="1:12" x14ac:dyDescent="0.25">
      <c r="A469">
        <v>247389</v>
      </c>
      <c r="B469">
        <v>247507</v>
      </c>
      <c r="D469">
        <v>0</v>
      </c>
      <c r="E469" t="s">
        <v>3059</v>
      </c>
      <c r="F469" t="s">
        <v>3060</v>
      </c>
      <c r="G469" t="s">
        <v>3061</v>
      </c>
      <c r="H469" t="e" vm="200">
        <f>_FV(0,"053147153561003004")</f>
        <v>#VALUE!</v>
      </c>
      <c r="I469" t="s">
        <v>3062</v>
      </c>
      <c r="J469" t="s">
        <v>3063</v>
      </c>
      <c r="K469" t="s">
        <v>3064</v>
      </c>
      <c r="L469" t="s">
        <v>3058</v>
      </c>
    </row>
    <row r="470" spans="1:12" x14ac:dyDescent="0.25">
      <c r="A470">
        <v>247395</v>
      </c>
      <c r="B470">
        <v>247396</v>
      </c>
      <c r="D470">
        <v>0</v>
      </c>
      <c r="F470">
        <v>246003</v>
      </c>
      <c r="G470">
        <v>247396</v>
      </c>
      <c r="H470" t="e" vm="201">
        <f>_FV(0,"002")</f>
        <v>#VALUE!</v>
      </c>
      <c r="I470">
        <v>247395</v>
      </c>
      <c r="J470" t="s">
        <v>1534</v>
      </c>
      <c r="K470" t="s">
        <v>3065</v>
      </c>
      <c r="L470" t="e" vm="201">
        <f>_FV(0,"002")</f>
        <v>#VALUE!</v>
      </c>
    </row>
    <row r="471" spans="1:12" x14ac:dyDescent="0.25">
      <c r="A471">
        <v>247395</v>
      </c>
      <c r="B471">
        <v>247439</v>
      </c>
      <c r="D471">
        <v>0</v>
      </c>
      <c r="E471" t="s">
        <v>3067</v>
      </c>
      <c r="F471" t="s">
        <v>3068</v>
      </c>
      <c r="G471" t="s">
        <v>3069</v>
      </c>
      <c r="H471" t="s">
        <v>3070</v>
      </c>
      <c r="I471" t="s">
        <v>3071</v>
      </c>
      <c r="J471" t="s">
        <v>3066</v>
      </c>
      <c r="K471" t="s">
        <v>3072</v>
      </c>
      <c r="L471" t="s">
        <v>3066</v>
      </c>
    </row>
    <row r="472" spans="1:12" x14ac:dyDescent="0.25">
      <c r="A472">
        <v>247395</v>
      </c>
      <c r="B472">
        <v>1536273</v>
      </c>
      <c r="D472">
        <v>0</v>
      </c>
      <c r="E472" t="s">
        <v>3074</v>
      </c>
      <c r="F472" t="s">
        <v>3075</v>
      </c>
      <c r="G472" t="s">
        <v>3076</v>
      </c>
      <c r="H472" t="e" vm="202">
        <f>_FV(0,"14239715830887276")</f>
        <v>#VALUE!</v>
      </c>
      <c r="I472" t="s">
        <v>3077</v>
      </c>
      <c r="J472" t="s">
        <v>3078</v>
      </c>
      <c r="K472" t="s">
        <v>3079</v>
      </c>
      <c r="L472" t="s">
        <v>3073</v>
      </c>
    </row>
    <row r="473" spans="1:12" x14ac:dyDescent="0.25">
      <c r="A473">
        <v>247396</v>
      </c>
      <c r="B473">
        <v>247433</v>
      </c>
      <c r="D473">
        <v>0</v>
      </c>
      <c r="E473" t="s">
        <v>3081</v>
      </c>
      <c r="F473" t="s">
        <v>3082</v>
      </c>
      <c r="G473" t="s">
        <v>3083</v>
      </c>
      <c r="H473" t="e" vm="203">
        <f>_FV(0,"02717169357805121")</f>
        <v>#VALUE!</v>
      </c>
      <c r="I473" t="s">
        <v>3084</v>
      </c>
      <c r="J473" t="s">
        <v>3085</v>
      </c>
      <c r="K473" t="s">
        <v>3086</v>
      </c>
      <c r="L473" t="s">
        <v>3080</v>
      </c>
    </row>
    <row r="474" spans="1:12" x14ac:dyDescent="0.25">
      <c r="A474">
        <v>247396</v>
      </c>
      <c r="B474">
        <v>1286914</v>
      </c>
      <c r="D474">
        <v>0</v>
      </c>
      <c r="E474" t="s">
        <v>3088</v>
      </c>
      <c r="F474" t="s">
        <v>3089</v>
      </c>
      <c r="G474" t="s">
        <v>3090</v>
      </c>
      <c r="H474" t="e" vm="204">
        <f>_FV(0,"011111097765211587")</f>
        <v>#VALUE!</v>
      </c>
      <c r="I474" t="s">
        <v>3091</v>
      </c>
      <c r="J474" t="s">
        <v>3092</v>
      </c>
      <c r="K474" t="s">
        <v>3093</v>
      </c>
      <c r="L474" t="s">
        <v>3087</v>
      </c>
    </row>
    <row r="475" spans="1:12" x14ac:dyDescent="0.25">
      <c r="A475">
        <v>247433</v>
      </c>
      <c r="B475">
        <v>247439</v>
      </c>
      <c r="D475">
        <v>0</v>
      </c>
      <c r="F475">
        <v>246051</v>
      </c>
      <c r="G475">
        <v>247439</v>
      </c>
      <c r="H475" t="s">
        <v>3094</v>
      </c>
      <c r="I475">
        <v>247433</v>
      </c>
      <c r="J475" t="s">
        <v>3094</v>
      </c>
      <c r="K475" t="s">
        <v>3095</v>
      </c>
      <c r="L475" t="s">
        <v>3094</v>
      </c>
    </row>
    <row r="476" spans="1:12" x14ac:dyDescent="0.25">
      <c r="A476">
        <v>247433</v>
      </c>
      <c r="B476">
        <v>1536181</v>
      </c>
      <c r="D476">
        <v>0</v>
      </c>
      <c r="E476" t="s">
        <v>3097</v>
      </c>
      <c r="F476" t="s">
        <v>3098</v>
      </c>
      <c r="G476" t="s">
        <v>3099</v>
      </c>
      <c r="H476" t="e" vm="205">
        <f>_FV(0,"0161439449122708")</f>
        <v>#VALUE!</v>
      </c>
      <c r="I476" t="s">
        <v>3100</v>
      </c>
      <c r="J476" t="s">
        <v>3101</v>
      </c>
      <c r="K476" t="s">
        <v>3102</v>
      </c>
      <c r="L476" t="s">
        <v>3096</v>
      </c>
    </row>
    <row r="477" spans="1:12" x14ac:dyDescent="0.25">
      <c r="A477">
        <v>247439</v>
      </c>
      <c r="B477">
        <v>1536273</v>
      </c>
      <c r="D477">
        <v>0</v>
      </c>
      <c r="E477" t="s">
        <v>3104</v>
      </c>
      <c r="F477" t="s">
        <v>3105</v>
      </c>
      <c r="G477" t="s">
        <v>3106</v>
      </c>
      <c r="H477" t="e" vm="206">
        <f>_FV(0,"17235837385174135")</f>
        <v>#VALUE!</v>
      </c>
      <c r="I477" t="s">
        <v>3107</v>
      </c>
      <c r="J477" t="s">
        <v>3108</v>
      </c>
      <c r="K477" t="s">
        <v>3109</v>
      </c>
      <c r="L477" t="s">
        <v>3103</v>
      </c>
    </row>
    <row r="478" spans="1:12" x14ac:dyDescent="0.25">
      <c r="A478">
        <v>247458</v>
      </c>
      <c r="B478">
        <v>247488</v>
      </c>
      <c r="D478">
        <v>0</v>
      </c>
      <c r="E478" t="s">
        <v>3111</v>
      </c>
      <c r="F478" t="s">
        <v>3112</v>
      </c>
      <c r="G478" t="s">
        <v>3113</v>
      </c>
      <c r="H478" t="s">
        <v>3114</v>
      </c>
      <c r="I478" t="s">
        <v>3115</v>
      </c>
      <c r="J478" t="s">
        <v>3116</v>
      </c>
      <c r="K478" t="s">
        <v>3117</v>
      </c>
      <c r="L478" t="s">
        <v>3110</v>
      </c>
    </row>
    <row r="479" spans="1:12" x14ac:dyDescent="0.25">
      <c r="A479">
        <v>247458</v>
      </c>
      <c r="B479">
        <v>247507</v>
      </c>
      <c r="D479">
        <v>0</v>
      </c>
      <c r="F479">
        <v>246139</v>
      </c>
      <c r="G479">
        <v>247458</v>
      </c>
      <c r="H479" t="s">
        <v>2871</v>
      </c>
      <c r="I479">
        <v>247507</v>
      </c>
      <c r="J479" t="s">
        <v>2871</v>
      </c>
      <c r="K479" t="s">
        <v>3118</v>
      </c>
      <c r="L479" t="s">
        <v>2871</v>
      </c>
    </row>
    <row r="480" spans="1:12" x14ac:dyDescent="0.25">
      <c r="A480">
        <v>247458</v>
      </c>
      <c r="B480">
        <v>1536159</v>
      </c>
      <c r="D480">
        <v>0</v>
      </c>
      <c r="E480" t="s">
        <v>3120</v>
      </c>
      <c r="F480" t="s">
        <v>3121</v>
      </c>
      <c r="G480" t="s">
        <v>3122</v>
      </c>
      <c r="H480" t="s">
        <v>3123</v>
      </c>
      <c r="I480" t="s">
        <v>3124</v>
      </c>
      <c r="J480" t="s">
        <v>3125</v>
      </c>
      <c r="K480" t="s">
        <v>3126</v>
      </c>
      <c r="L480" t="s">
        <v>3119</v>
      </c>
    </row>
    <row r="481" spans="1:12" x14ac:dyDescent="0.25">
      <c r="A481">
        <v>247488</v>
      </c>
      <c r="B481">
        <v>1286945</v>
      </c>
      <c r="D481">
        <v>0</v>
      </c>
      <c r="E481" t="s">
        <v>3128</v>
      </c>
      <c r="F481" t="s">
        <v>3129</v>
      </c>
      <c r="G481" t="s">
        <v>3130</v>
      </c>
      <c r="H481" t="e" vm="207">
        <f>_FV(0,"013628319834872088")</f>
        <v>#VALUE!</v>
      </c>
      <c r="I481" t="s">
        <v>3131</v>
      </c>
      <c r="J481" t="s">
        <v>3132</v>
      </c>
      <c r="K481" t="s">
        <v>3133</v>
      </c>
      <c r="L481" t="s">
        <v>3127</v>
      </c>
    </row>
    <row r="482" spans="1:12" x14ac:dyDescent="0.25">
      <c r="A482">
        <v>248129</v>
      </c>
      <c r="B482">
        <v>248140</v>
      </c>
      <c r="D482">
        <v>0</v>
      </c>
      <c r="F482">
        <v>680916</v>
      </c>
      <c r="G482">
        <v>248140</v>
      </c>
      <c r="H482" t="s">
        <v>1987</v>
      </c>
      <c r="I482">
        <v>248129</v>
      </c>
      <c r="J482" t="s">
        <v>1987</v>
      </c>
      <c r="K482" t="s">
        <v>3134</v>
      </c>
      <c r="L482" t="s">
        <v>1987</v>
      </c>
    </row>
    <row r="483" spans="1:12" x14ac:dyDescent="0.25">
      <c r="A483">
        <v>248129</v>
      </c>
      <c r="B483">
        <v>645047</v>
      </c>
      <c r="D483">
        <v>0</v>
      </c>
      <c r="E483" t="s">
        <v>3136</v>
      </c>
      <c r="F483" t="s">
        <v>3137</v>
      </c>
      <c r="G483" t="s">
        <v>3138</v>
      </c>
      <c r="H483" t="e" vm="208">
        <f>_FV(0,"011111520796989233")</f>
        <v>#VALUE!</v>
      </c>
      <c r="I483" t="s">
        <v>3139</v>
      </c>
      <c r="J483" t="s">
        <v>3140</v>
      </c>
      <c r="K483" t="s">
        <v>3141</v>
      </c>
      <c r="L483" t="s">
        <v>3135</v>
      </c>
    </row>
    <row r="484" spans="1:12" x14ac:dyDescent="0.25">
      <c r="A484">
        <v>248140</v>
      </c>
      <c r="B484">
        <v>625495</v>
      </c>
      <c r="C484" t="s">
        <v>3143</v>
      </c>
      <c r="D484" t="s">
        <v>3144</v>
      </c>
      <c r="E484" t="s">
        <v>3145</v>
      </c>
      <c r="F484" t="s">
        <v>3146</v>
      </c>
      <c r="G484" t="s">
        <v>3147</v>
      </c>
      <c r="H484" t="s">
        <v>3148</v>
      </c>
      <c r="I484" t="s">
        <v>3149</v>
      </c>
      <c r="J484" t="s">
        <v>3150</v>
      </c>
      <c r="K484" t="s">
        <v>3151</v>
      </c>
      <c r="L484" t="s">
        <v>3142</v>
      </c>
    </row>
    <row r="485" spans="1:12" x14ac:dyDescent="0.25">
      <c r="A485">
        <v>248140</v>
      </c>
      <c r="B485">
        <v>625484</v>
      </c>
      <c r="D485" t="s">
        <v>3153</v>
      </c>
      <c r="E485" t="s">
        <v>3154</v>
      </c>
      <c r="F485" t="s">
        <v>3155</v>
      </c>
      <c r="G485" t="s">
        <v>3156</v>
      </c>
      <c r="H485" t="s">
        <v>3157</v>
      </c>
      <c r="I485" t="s">
        <v>3158</v>
      </c>
      <c r="J485" t="s">
        <v>3159</v>
      </c>
      <c r="K485" t="s">
        <v>3160</v>
      </c>
      <c r="L485" t="s">
        <v>3152</v>
      </c>
    </row>
    <row r="486" spans="1:12" x14ac:dyDescent="0.25">
      <c r="A486">
        <v>248140</v>
      </c>
      <c r="B486">
        <v>248244</v>
      </c>
      <c r="D486">
        <v>0</v>
      </c>
      <c r="F486">
        <v>533911</v>
      </c>
      <c r="G486">
        <v>248140</v>
      </c>
      <c r="H486" t="s">
        <v>3161</v>
      </c>
      <c r="I486">
        <v>248244</v>
      </c>
      <c r="J486" t="s">
        <v>3161</v>
      </c>
      <c r="K486" t="s">
        <v>3162</v>
      </c>
      <c r="L486" t="s">
        <v>3161</v>
      </c>
    </row>
    <row r="487" spans="1:12" x14ac:dyDescent="0.25">
      <c r="A487">
        <v>248857</v>
      </c>
      <c r="B487">
        <v>248878</v>
      </c>
      <c r="D487">
        <v>0</v>
      </c>
      <c r="E487" t="s">
        <v>3164</v>
      </c>
      <c r="F487" t="s">
        <v>3165</v>
      </c>
      <c r="G487" t="s">
        <v>3166</v>
      </c>
      <c r="H487" t="s">
        <v>3167</v>
      </c>
      <c r="I487" t="s">
        <v>3168</v>
      </c>
      <c r="J487" t="s">
        <v>3163</v>
      </c>
      <c r="K487" t="s">
        <v>3169</v>
      </c>
      <c r="L487" t="s">
        <v>3163</v>
      </c>
    </row>
    <row r="488" spans="1:12" x14ac:dyDescent="0.25">
      <c r="A488">
        <v>248857</v>
      </c>
      <c r="B488">
        <v>263020</v>
      </c>
      <c r="D488">
        <v>0</v>
      </c>
      <c r="E488" t="s">
        <v>3171</v>
      </c>
      <c r="F488" t="s">
        <v>3172</v>
      </c>
      <c r="G488" t="s">
        <v>3173</v>
      </c>
      <c r="H488" t="s">
        <v>3174</v>
      </c>
      <c r="I488" t="s">
        <v>3175</v>
      </c>
      <c r="J488" t="s">
        <v>3170</v>
      </c>
      <c r="K488" t="s">
        <v>3176</v>
      </c>
      <c r="L488" t="s">
        <v>3170</v>
      </c>
    </row>
    <row r="489" spans="1:12" x14ac:dyDescent="0.25">
      <c r="A489">
        <v>248857</v>
      </c>
      <c r="B489">
        <v>365756</v>
      </c>
      <c r="C489" t="s">
        <v>3178</v>
      </c>
      <c r="D489" t="s">
        <v>3179</v>
      </c>
      <c r="E489" t="s">
        <v>3180</v>
      </c>
      <c r="F489" t="s">
        <v>3181</v>
      </c>
      <c r="G489" t="s">
        <v>3183</v>
      </c>
      <c r="H489" t="e" vm="209">
        <f>_FV(0,"006645510829413702")</f>
        <v>#VALUE!</v>
      </c>
      <c r="I489" t="s">
        <v>3184</v>
      </c>
      <c r="J489" t="s">
        <v>3185</v>
      </c>
      <c r="K489" t="s">
        <v>3186</v>
      </c>
      <c r="L489" t="s">
        <v>3177</v>
      </c>
    </row>
    <row r="490" spans="1:12" x14ac:dyDescent="0.25">
      <c r="A490">
        <v>248878</v>
      </c>
      <c r="B490">
        <v>263020</v>
      </c>
      <c r="D490">
        <v>0</v>
      </c>
      <c r="E490" t="s">
        <v>3188</v>
      </c>
      <c r="F490" t="s">
        <v>3189</v>
      </c>
      <c r="G490" t="s">
        <v>3190</v>
      </c>
      <c r="H490" t="e" vm="210">
        <f>_FV(0,"02026195407625209")</f>
        <v>#VALUE!</v>
      </c>
      <c r="I490" t="s">
        <v>3191</v>
      </c>
      <c r="J490" t="s">
        <v>3192</v>
      </c>
      <c r="K490" t="s">
        <v>3193</v>
      </c>
      <c r="L490" t="s">
        <v>3187</v>
      </c>
    </row>
    <row r="491" spans="1:12" x14ac:dyDescent="0.25">
      <c r="A491">
        <v>248878</v>
      </c>
      <c r="B491">
        <v>263061</v>
      </c>
      <c r="D491">
        <v>0</v>
      </c>
      <c r="F491">
        <v>265232</v>
      </c>
      <c r="G491">
        <v>248878</v>
      </c>
      <c r="H491" t="e" vm="211">
        <f>_FV(0,"111")</f>
        <v>#VALUE!</v>
      </c>
      <c r="I491">
        <v>263061</v>
      </c>
      <c r="J491" t="s">
        <v>3194</v>
      </c>
      <c r="K491" t="s">
        <v>3195</v>
      </c>
      <c r="L491" t="e" vm="211">
        <f>_FV(0,"111")</f>
        <v>#VALUE!</v>
      </c>
    </row>
    <row r="492" spans="1:12" x14ac:dyDescent="0.25">
      <c r="A492">
        <v>248884</v>
      </c>
      <c r="B492">
        <v>263051</v>
      </c>
      <c r="D492">
        <v>0</v>
      </c>
      <c r="E492" t="s">
        <v>3197</v>
      </c>
      <c r="F492" t="s">
        <v>3198</v>
      </c>
      <c r="G492" t="s">
        <v>3199</v>
      </c>
      <c r="H492" t="s">
        <v>3200</v>
      </c>
      <c r="I492" t="s">
        <v>3201</v>
      </c>
      <c r="J492" t="s">
        <v>3202</v>
      </c>
      <c r="K492" t="s">
        <v>3203</v>
      </c>
      <c r="L492" t="s">
        <v>3196</v>
      </c>
    </row>
    <row r="493" spans="1:12" x14ac:dyDescent="0.25">
      <c r="A493">
        <v>248884</v>
      </c>
      <c r="B493">
        <v>263021</v>
      </c>
      <c r="D493">
        <v>0</v>
      </c>
      <c r="E493" t="s">
        <v>3205</v>
      </c>
      <c r="F493" t="s">
        <v>3206</v>
      </c>
      <c r="G493" t="s">
        <v>3207</v>
      </c>
      <c r="H493" t="s">
        <v>3208</v>
      </c>
      <c r="I493" t="s">
        <v>3209</v>
      </c>
      <c r="J493" t="s">
        <v>3204</v>
      </c>
      <c r="K493" t="s">
        <v>3210</v>
      </c>
      <c r="L493" t="s">
        <v>3204</v>
      </c>
    </row>
    <row r="494" spans="1:12" x14ac:dyDescent="0.25">
      <c r="A494">
        <v>249332</v>
      </c>
      <c r="B494">
        <v>249333</v>
      </c>
      <c r="D494">
        <v>0</v>
      </c>
      <c r="F494">
        <v>248334</v>
      </c>
      <c r="G494">
        <v>249333</v>
      </c>
      <c r="H494" t="e" vm="59">
        <f>_FV(0,"014")</f>
        <v>#VALUE!</v>
      </c>
      <c r="I494">
        <v>249332</v>
      </c>
      <c r="J494" t="s">
        <v>922</v>
      </c>
      <c r="K494" t="s">
        <v>3211</v>
      </c>
      <c r="L494" t="e" vm="59">
        <f>_FV(0,"014")</f>
        <v>#VALUE!</v>
      </c>
    </row>
    <row r="495" spans="1:12" x14ac:dyDescent="0.25">
      <c r="A495">
        <v>249332</v>
      </c>
      <c r="B495">
        <v>325589</v>
      </c>
      <c r="D495">
        <v>0</v>
      </c>
      <c r="E495" t="s">
        <v>3213</v>
      </c>
      <c r="F495" t="s">
        <v>3214</v>
      </c>
      <c r="G495" t="s">
        <v>3215</v>
      </c>
      <c r="H495" t="s">
        <v>3216</v>
      </c>
      <c r="I495" t="s">
        <v>3217</v>
      </c>
      <c r="J495" t="s">
        <v>3212</v>
      </c>
      <c r="K495" t="s">
        <v>3218</v>
      </c>
      <c r="L495" t="s">
        <v>3212</v>
      </c>
    </row>
    <row r="496" spans="1:12" x14ac:dyDescent="0.25">
      <c r="A496">
        <v>249332</v>
      </c>
      <c r="B496">
        <v>249391</v>
      </c>
      <c r="D496">
        <v>0</v>
      </c>
      <c r="E496" t="s">
        <v>3220</v>
      </c>
      <c r="F496" t="s">
        <v>3221</v>
      </c>
      <c r="G496" t="s">
        <v>3222</v>
      </c>
      <c r="H496" t="s">
        <v>3223</v>
      </c>
      <c r="I496" t="s">
        <v>3224</v>
      </c>
      <c r="J496" t="s">
        <v>3225</v>
      </c>
      <c r="K496" t="s">
        <v>3226</v>
      </c>
      <c r="L496" t="s">
        <v>3219</v>
      </c>
    </row>
    <row r="497" spans="1:12" x14ac:dyDescent="0.25">
      <c r="A497">
        <v>249333</v>
      </c>
      <c r="B497">
        <v>249356</v>
      </c>
      <c r="D497">
        <v>0</v>
      </c>
      <c r="E497" t="s">
        <v>3228</v>
      </c>
      <c r="F497" t="s">
        <v>3229</v>
      </c>
      <c r="G497" t="s">
        <v>3230</v>
      </c>
      <c r="H497" t="s">
        <v>3231</v>
      </c>
      <c r="I497" t="s">
        <v>3232</v>
      </c>
      <c r="J497" t="s">
        <v>3233</v>
      </c>
      <c r="K497" t="s">
        <v>3234</v>
      </c>
      <c r="L497" t="s">
        <v>3227</v>
      </c>
    </row>
    <row r="498" spans="1:12" x14ac:dyDescent="0.25">
      <c r="A498">
        <v>249333</v>
      </c>
      <c r="B498">
        <v>249467</v>
      </c>
      <c r="D498">
        <v>0</v>
      </c>
      <c r="E498" t="s">
        <v>3236</v>
      </c>
      <c r="F498" t="s">
        <v>3237</v>
      </c>
      <c r="G498" t="s">
        <v>3238</v>
      </c>
      <c r="H498" t="s">
        <v>3239</v>
      </c>
      <c r="I498" t="s">
        <v>3240</v>
      </c>
      <c r="J498" t="s">
        <v>3235</v>
      </c>
      <c r="K498" t="s">
        <v>3241</v>
      </c>
      <c r="L498" t="s">
        <v>3235</v>
      </c>
    </row>
    <row r="499" spans="1:12" x14ac:dyDescent="0.25">
      <c r="A499">
        <v>249333</v>
      </c>
      <c r="B499">
        <v>249391</v>
      </c>
      <c r="D499">
        <v>0</v>
      </c>
      <c r="E499" t="s">
        <v>3243</v>
      </c>
      <c r="F499" t="s">
        <v>3244</v>
      </c>
      <c r="G499" t="s">
        <v>3245</v>
      </c>
      <c r="H499" t="s">
        <v>3246</v>
      </c>
      <c r="I499" t="s">
        <v>3247</v>
      </c>
      <c r="J499" t="s">
        <v>3242</v>
      </c>
      <c r="K499" t="s">
        <v>3248</v>
      </c>
      <c r="L499" t="s">
        <v>3242</v>
      </c>
    </row>
    <row r="500" spans="1:12" x14ac:dyDescent="0.25">
      <c r="A500">
        <v>249356</v>
      </c>
      <c r="B500">
        <v>108984</v>
      </c>
      <c r="D500">
        <v>0</v>
      </c>
      <c r="E500" t="s">
        <v>3250</v>
      </c>
      <c r="F500" t="s">
        <v>3251</v>
      </c>
      <c r="G500" t="s">
        <v>3252</v>
      </c>
      <c r="H500" t="s">
        <v>3253</v>
      </c>
      <c r="I500" t="s">
        <v>3254</v>
      </c>
      <c r="J500" t="s">
        <v>3255</v>
      </c>
      <c r="K500" t="s">
        <v>3256</v>
      </c>
      <c r="L500" t="s">
        <v>3249</v>
      </c>
    </row>
    <row r="501" spans="1:12" x14ac:dyDescent="0.25">
      <c r="A501">
        <v>249356</v>
      </c>
      <c r="B501">
        <v>249467</v>
      </c>
      <c r="D501">
        <v>0</v>
      </c>
      <c r="E501" t="s">
        <v>3258</v>
      </c>
      <c r="F501" t="s">
        <v>3259</v>
      </c>
      <c r="G501" t="s">
        <v>3260</v>
      </c>
      <c r="H501" t="e" vm="212">
        <f>_FV(0,"024295900584700887")</f>
        <v>#VALUE!</v>
      </c>
      <c r="I501" t="s">
        <v>3261</v>
      </c>
      <c r="J501" t="s">
        <v>3262</v>
      </c>
      <c r="K501" t="s">
        <v>3263</v>
      </c>
      <c r="L501" t="s">
        <v>3257</v>
      </c>
    </row>
    <row r="502" spans="1:12" x14ac:dyDescent="0.25">
      <c r="A502">
        <v>249363</v>
      </c>
      <c r="B502">
        <v>249369</v>
      </c>
      <c r="D502">
        <v>0</v>
      </c>
      <c r="E502" t="s">
        <v>3265</v>
      </c>
      <c r="F502" t="s">
        <v>3266</v>
      </c>
      <c r="G502" t="s">
        <v>3267</v>
      </c>
      <c r="H502" t="s">
        <v>3268</v>
      </c>
      <c r="I502" t="s">
        <v>3269</v>
      </c>
      <c r="J502" t="s">
        <v>3264</v>
      </c>
      <c r="K502" t="s">
        <v>3270</v>
      </c>
      <c r="L502" t="s">
        <v>3264</v>
      </c>
    </row>
    <row r="503" spans="1:12" x14ac:dyDescent="0.25">
      <c r="A503">
        <v>249363</v>
      </c>
      <c r="B503">
        <v>249558</v>
      </c>
      <c r="D503">
        <v>0</v>
      </c>
      <c r="F503">
        <v>248608</v>
      </c>
      <c r="G503">
        <v>249363</v>
      </c>
      <c r="H503" t="s">
        <v>187</v>
      </c>
      <c r="I503">
        <v>249558</v>
      </c>
      <c r="J503" t="s">
        <v>187</v>
      </c>
      <c r="K503" t="s">
        <v>3271</v>
      </c>
      <c r="L503" t="s">
        <v>187</v>
      </c>
    </row>
    <row r="504" spans="1:12" x14ac:dyDescent="0.25">
      <c r="A504">
        <v>249369</v>
      </c>
      <c r="B504">
        <v>263081</v>
      </c>
      <c r="D504">
        <v>0</v>
      </c>
      <c r="E504" t="s">
        <v>3273</v>
      </c>
      <c r="F504" t="s">
        <v>3274</v>
      </c>
      <c r="G504" t="s">
        <v>3275</v>
      </c>
      <c r="H504" t="e" vm="213">
        <f>_FV(0,"14154205518247925")</f>
        <v>#VALUE!</v>
      </c>
      <c r="I504" t="s">
        <v>3276</v>
      </c>
      <c r="J504" t="s">
        <v>3277</v>
      </c>
      <c r="K504" t="s">
        <v>3278</v>
      </c>
      <c r="L504" t="s">
        <v>3272</v>
      </c>
    </row>
    <row r="505" spans="1:12" x14ac:dyDescent="0.25">
      <c r="A505">
        <v>249369</v>
      </c>
      <c r="B505">
        <v>249375</v>
      </c>
      <c r="D505">
        <v>0</v>
      </c>
      <c r="F505">
        <v>265304</v>
      </c>
      <c r="G505">
        <v>249369</v>
      </c>
      <c r="H505" t="e" vm="214">
        <f>_FV(0,"039")</f>
        <v>#VALUE!</v>
      </c>
      <c r="I505">
        <v>249375</v>
      </c>
      <c r="J505" t="s">
        <v>3279</v>
      </c>
      <c r="K505" t="s">
        <v>3280</v>
      </c>
      <c r="L505" t="e" vm="214">
        <f>_FV(0,"039")</f>
        <v>#VALUE!</v>
      </c>
    </row>
    <row r="506" spans="1:12" x14ac:dyDescent="0.25">
      <c r="A506">
        <v>249375</v>
      </c>
      <c r="B506">
        <v>249386</v>
      </c>
      <c r="D506">
        <v>0</v>
      </c>
      <c r="E506" t="s">
        <v>3281</v>
      </c>
      <c r="F506" t="s">
        <v>3282</v>
      </c>
      <c r="G506" t="s">
        <v>3283</v>
      </c>
      <c r="H506" t="s">
        <v>3284</v>
      </c>
      <c r="I506" t="s">
        <v>3285</v>
      </c>
      <c r="J506" t="s">
        <v>2843</v>
      </c>
      <c r="K506" t="s">
        <v>3286</v>
      </c>
      <c r="L506" t="s">
        <v>2843</v>
      </c>
    </row>
    <row r="507" spans="1:12" x14ac:dyDescent="0.25">
      <c r="A507">
        <v>249375</v>
      </c>
      <c r="B507">
        <v>263094</v>
      </c>
      <c r="D507">
        <v>0</v>
      </c>
      <c r="E507" t="s">
        <v>3288</v>
      </c>
      <c r="F507" t="s">
        <v>3289</v>
      </c>
      <c r="G507" t="s">
        <v>3290</v>
      </c>
      <c r="H507" t="s">
        <v>3291</v>
      </c>
      <c r="I507" t="s">
        <v>3292</v>
      </c>
      <c r="J507" t="s">
        <v>3287</v>
      </c>
      <c r="K507" t="s">
        <v>3293</v>
      </c>
      <c r="L507" t="s">
        <v>3287</v>
      </c>
    </row>
    <row r="508" spans="1:12" x14ac:dyDescent="0.25">
      <c r="A508">
        <v>249386</v>
      </c>
      <c r="B508">
        <v>249391</v>
      </c>
      <c r="C508" t="s">
        <v>3295</v>
      </c>
      <c r="D508">
        <v>0</v>
      </c>
      <c r="E508" t="s">
        <v>3296</v>
      </c>
      <c r="F508" t="s">
        <v>3297</v>
      </c>
      <c r="G508" t="s">
        <v>3299</v>
      </c>
      <c r="H508" t="s">
        <v>3300</v>
      </c>
      <c r="I508" t="s">
        <v>3301</v>
      </c>
      <c r="J508" t="s">
        <v>3294</v>
      </c>
      <c r="K508" t="s">
        <v>3302</v>
      </c>
      <c r="L508" t="s">
        <v>3294</v>
      </c>
    </row>
    <row r="509" spans="1:12" x14ac:dyDescent="0.25">
      <c r="A509">
        <v>249386</v>
      </c>
      <c r="B509">
        <v>263094</v>
      </c>
      <c r="D509">
        <v>0</v>
      </c>
      <c r="E509" t="s">
        <v>3304</v>
      </c>
      <c r="F509" t="s">
        <v>3305</v>
      </c>
      <c r="G509" t="s">
        <v>3306</v>
      </c>
      <c r="H509" t="s">
        <v>3307</v>
      </c>
      <c r="I509" t="s">
        <v>3308</v>
      </c>
      <c r="J509" t="s">
        <v>3303</v>
      </c>
      <c r="K509" t="s">
        <v>3309</v>
      </c>
      <c r="L509" t="s">
        <v>3303</v>
      </c>
    </row>
    <row r="510" spans="1:12" x14ac:dyDescent="0.25">
      <c r="A510">
        <v>249467</v>
      </c>
      <c r="B510">
        <v>249494</v>
      </c>
      <c r="D510">
        <v>0</v>
      </c>
      <c r="E510" t="s">
        <v>3311</v>
      </c>
      <c r="F510" t="s">
        <v>3312</v>
      </c>
      <c r="G510" t="s">
        <v>3313</v>
      </c>
      <c r="H510" t="s">
        <v>3314</v>
      </c>
      <c r="I510" t="s">
        <v>3315</v>
      </c>
      <c r="J510" t="s">
        <v>3310</v>
      </c>
      <c r="K510" t="s">
        <v>3316</v>
      </c>
      <c r="L510" t="s">
        <v>3310</v>
      </c>
    </row>
    <row r="511" spans="1:12" x14ac:dyDescent="0.25">
      <c r="A511">
        <v>249467</v>
      </c>
      <c r="B511">
        <v>325589</v>
      </c>
      <c r="D511">
        <v>0</v>
      </c>
      <c r="F511">
        <v>336308</v>
      </c>
      <c r="G511">
        <v>249467</v>
      </c>
      <c r="H511" t="e" vm="215">
        <f>_FV(0,"02")</f>
        <v>#VALUE!</v>
      </c>
      <c r="I511">
        <v>325589</v>
      </c>
      <c r="J511" t="s">
        <v>3317</v>
      </c>
      <c r="K511" t="s">
        <v>3318</v>
      </c>
      <c r="L511" t="e" vm="215">
        <f>_FV(0,"02")</f>
        <v>#VALUE!</v>
      </c>
    </row>
    <row r="512" spans="1:12" x14ac:dyDescent="0.25">
      <c r="A512">
        <v>249502</v>
      </c>
      <c r="B512">
        <v>249509</v>
      </c>
      <c r="D512">
        <v>0</v>
      </c>
      <c r="E512" t="s">
        <v>3320</v>
      </c>
      <c r="F512" t="s">
        <v>3321</v>
      </c>
      <c r="G512" t="s">
        <v>3322</v>
      </c>
      <c r="H512" t="s">
        <v>3323</v>
      </c>
      <c r="I512" t="s">
        <v>3324</v>
      </c>
      <c r="J512" t="s">
        <v>3319</v>
      </c>
      <c r="K512" t="s">
        <v>3325</v>
      </c>
      <c r="L512" t="s">
        <v>3319</v>
      </c>
    </row>
    <row r="513" spans="1:12" x14ac:dyDescent="0.25">
      <c r="A513">
        <v>249502</v>
      </c>
      <c r="B513">
        <v>285295</v>
      </c>
      <c r="D513">
        <v>0</v>
      </c>
      <c r="E513" t="s">
        <v>3327</v>
      </c>
      <c r="F513" t="s">
        <v>3328</v>
      </c>
      <c r="G513" t="s">
        <v>3329</v>
      </c>
      <c r="H513" t="s">
        <v>3330</v>
      </c>
      <c r="I513" t="s">
        <v>3331</v>
      </c>
      <c r="J513" t="s">
        <v>3326</v>
      </c>
      <c r="K513" t="s">
        <v>3332</v>
      </c>
      <c r="L513" t="s">
        <v>3326</v>
      </c>
    </row>
    <row r="514" spans="1:12" x14ac:dyDescent="0.25">
      <c r="A514">
        <v>249502</v>
      </c>
      <c r="B514">
        <v>262320</v>
      </c>
      <c r="D514">
        <v>0</v>
      </c>
      <c r="E514" t="s">
        <v>3334</v>
      </c>
      <c r="F514" t="s">
        <v>3335</v>
      </c>
      <c r="G514" t="s">
        <v>3337</v>
      </c>
      <c r="H514" t="s">
        <v>3338</v>
      </c>
      <c r="I514" t="s">
        <v>3339</v>
      </c>
      <c r="J514" t="s">
        <v>3333</v>
      </c>
      <c r="K514" t="s">
        <v>3340</v>
      </c>
      <c r="L514" t="s">
        <v>3333</v>
      </c>
    </row>
    <row r="515" spans="1:12" x14ac:dyDescent="0.25">
      <c r="A515">
        <v>249509</v>
      </c>
      <c r="B515">
        <v>285295</v>
      </c>
      <c r="D515">
        <v>0</v>
      </c>
      <c r="E515" t="s">
        <v>3342</v>
      </c>
      <c r="F515" t="s">
        <v>3343</v>
      </c>
      <c r="G515" t="s">
        <v>3344</v>
      </c>
      <c r="H515" t="e" vm="216">
        <f>_FV(0,"006617316607620334")</f>
        <v>#VALUE!</v>
      </c>
      <c r="I515" t="s">
        <v>3345</v>
      </c>
      <c r="J515" t="s">
        <v>3346</v>
      </c>
      <c r="K515" t="s">
        <v>3347</v>
      </c>
      <c r="L515" t="s">
        <v>3341</v>
      </c>
    </row>
    <row r="516" spans="1:12" x14ac:dyDescent="0.25">
      <c r="A516">
        <v>249509</v>
      </c>
      <c r="B516">
        <v>262373</v>
      </c>
      <c r="D516">
        <v>0</v>
      </c>
      <c r="E516" t="s">
        <v>3349</v>
      </c>
      <c r="F516" t="s">
        <v>3350</v>
      </c>
      <c r="G516" t="s">
        <v>3351</v>
      </c>
      <c r="H516" t="s">
        <v>3352</v>
      </c>
      <c r="I516" t="s">
        <v>3353</v>
      </c>
      <c r="J516" t="s">
        <v>3354</v>
      </c>
      <c r="K516" t="s">
        <v>3355</v>
      </c>
      <c r="L516" t="s">
        <v>3348</v>
      </c>
    </row>
    <row r="517" spans="1:12" x14ac:dyDescent="0.25">
      <c r="A517">
        <v>249515</v>
      </c>
      <c r="B517">
        <v>92570</v>
      </c>
      <c r="D517">
        <v>0</v>
      </c>
      <c r="E517" t="s">
        <v>3357</v>
      </c>
      <c r="F517" t="s">
        <v>3358</v>
      </c>
      <c r="G517" t="s">
        <v>3359</v>
      </c>
      <c r="H517" t="e" vm="217">
        <f>_FV(0,"0422617708836998")</f>
        <v>#VALUE!</v>
      </c>
      <c r="I517" t="s">
        <v>3360</v>
      </c>
      <c r="J517" t="s">
        <v>3361</v>
      </c>
      <c r="K517" t="s">
        <v>3362</v>
      </c>
      <c r="L517" t="s">
        <v>3356</v>
      </c>
    </row>
    <row r="518" spans="1:12" x14ac:dyDescent="0.25">
      <c r="A518">
        <v>249515</v>
      </c>
      <c r="B518">
        <v>92578</v>
      </c>
      <c r="D518">
        <v>0</v>
      </c>
      <c r="E518" t="s">
        <v>3364</v>
      </c>
      <c r="F518" t="s">
        <v>3365</v>
      </c>
      <c r="G518" t="s">
        <v>3366</v>
      </c>
      <c r="H518" t="e" vm="218">
        <f>_FV(0,"034086392075345626")</f>
        <v>#VALUE!</v>
      </c>
      <c r="I518" t="s">
        <v>3367</v>
      </c>
      <c r="J518" t="s">
        <v>3368</v>
      </c>
      <c r="K518" t="s">
        <v>3369</v>
      </c>
      <c r="L518" t="s">
        <v>3363</v>
      </c>
    </row>
    <row r="519" spans="1:12" x14ac:dyDescent="0.25">
      <c r="A519">
        <v>249515</v>
      </c>
      <c r="B519">
        <v>262405</v>
      </c>
      <c r="D519">
        <v>0</v>
      </c>
      <c r="F519">
        <v>264367</v>
      </c>
      <c r="G519">
        <v>249515</v>
      </c>
      <c r="H519" t="e" vm="219">
        <f>_FV(0,"026")</f>
        <v>#VALUE!</v>
      </c>
      <c r="I519">
        <v>262405</v>
      </c>
      <c r="J519" t="s">
        <v>2841</v>
      </c>
      <c r="K519" t="s">
        <v>3370</v>
      </c>
      <c r="L519" t="e" vm="219">
        <f>_FV(0,"026")</f>
        <v>#VALUE!</v>
      </c>
    </row>
    <row r="520" spans="1:12" x14ac:dyDescent="0.25">
      <c r="A520">
        <v>249526</v>
      </c>
      <c r="B520">
        <v>249532</v>
      </c>
      <c r="D520">
        <v>0</v>
      </c>
      <c r="E520" t="s">
        <v>3372</v>
      </c>
      <c r="F520" t="s">
        <v>3373</v>
      </c>
      <c r="G520" t="s">
        <v>3374</v>
      </c>
      <c r="H520" t="e" vm="220">
        <f>_FV(0,"10342573472719659")</f>
        <v>#VALUE!</v>
      </c>
      <c r="I520" t="s">
        <v>3375</v>
      </c>
      <c r="J520" t="s">
        <v>3376</v>
      </c>
      <c r="K520" t="s">
        <v>3377</v>
      </c>
      <c r="L520" t="s">
        <v>3371</v>
      </c>
    </row>
    <row r="521" spans="1:12" x14ac:dyDescent="0.25">
      <c r="A521">
        <v>249532</v>
      </c>
      <c r="B521">
        <v>262417</v>
      </c>
      <c r="D521">
        <v>0</v>
      </c>
      <c r="F521">
        <v>264375</v>
      </c>
      <c r="G521">
        <v>262417</v>
      </c>
      <c r="H521" t="e" vm="221">
        <f>_FV(0,"052")</f>
        <v>#VALUE!</v>
      </c>
      <c r="I521">
        <v>249532</v>
      </c>
      <c r="J521" t="s">
        <v>3378</v>
      </c>
      <c r="K521" t="s">
        <v>3379</v>
      </c>
      <c r="L521" t="e" vm="221">
        <f>_FV(0,"052")</f>
        <v>#VALUE!</v>
      </c>
    </row>
    <row r="522" spans="1:12" x14ac:dyDescent="0.25">
      <c r="A522">
        <v>249532</v>
      </c>
      <c r="B522">
        <v>286492</v>
      </c>
      <c r="D522">
        <v>0</v>
      </c>
      <c r="E522" t="s">
        <v>3381</v>
      </c>
      <c r="F522" t="s">
        <v>3382</v>
      </c>
      <c r="G522" t="s">
        <v>3383</v>
      </c>
      <c r="H522" t="e" vm="222">
        <f>_FV(0,"06597123074537843")</f>
        <v>#VALUE!</v>
      </c>
      <c r="I522" t="s">
        <v>3384</v>
      </c>
      <c r="J522" t="s">
        <v>3385</v>
      </c>
      <c r="K522" t="s">
        <v>3386</v>
      </c>
      <c r="L522" t="s">
        <v>3380</v>
      </c>
    </row>
    <row r="523" spans="1:12" x14ac:dyDescent="0.25">
      <c r="A523">
        <v>249558</v>
      </c>
      <c r="B523">
        <v>325618</v>
      </c>
      <c r="D523">
        <v>0</v>
      </c>
      <c r="F523">
        <v>336556</v>
      </c>
      <c r="G523">
        <v>325618</v>
      </c>
      <c r="H523" t="s">
        <v>187</v>
      </c>
      <c r="I523">
        <v>249558</v>
      </c>
      <c r="J523" t="s">
        <v>187</v>
      </c>
      <c r="K523" t="s">
        <v>3387</v>
      </c>
      <c r="L523" t="s">
        <v>187</v>
      </c>
    </row>
    <row r="524" spans="1:12" x14ac:dyDescent="0.25">
      <c r="A524">
        <v>249558</v>
      </c>
      <c r="B524">
        <v>262588</v>
      </c>
      <c r="D524">
        <v>0</v>
      </c>
      <c r="F524">
        <v>264575</v>
      </c>
      <c r="G524">
        <v>249558</v>
      </c>
      <c r="H524" t="s">
        <v>187</v>
      </c>
      <c r="I524">
        <v>262588</v>
      </c>
      <c r="J524" t="s">
        <v>187</v>
      </c>
      <c r="K524" t="s">
        <v>3388</v>
      </c>
      <c r="L524" t="s">
        <v>187</v>
      </c>
    </row>
    <row r="525" spans="1:12" x14ac:dyDescent="0.25">
      <c r="A525">
        <v>249565</v>
      </c>
      <c r="B525">
        <v>249580</v>
      </c>
      <c r="D525">
        <v>0</v>
      </c>
      <c r="E525" t="s">
        <v>3390</v>
      </c>
      <c r="F525" t="s">
        <v>3391</v>
      </c>
      <c r="G525" t="s">
        <v>3392</v>
      </c>
      <c r="H525" t="s">
        <v>3393</v>
      </c>
      <c r="I525" t="s">
        <v>3394</v>
      </c>
      <c r="J525" t="s">
        <v>3389</v>
      </c>
      <c r="K525" t="s">
        <v>3395</v>
      </c>
      <c r="L525" t="s">
        <v>3389</v>
      </c>
    </row>
    <row r="526" spans="1:12" x14ac:dyDescent="0.25">
      <c r="A526">
        <v>249565</v>
      </c>
      <c r="B526">
        <v>276887</v>
      </c>
      <c r="D526">
        <v>0</v>
      </c>
      <c r="E526" t="s">
        <v>3397</v>
      </c>
      <c r="F526" t="s">
        <v>3398</v>
      </c>
      <c r="G526" t="s">
        <v>3399</v>
      </c>
      <c r="H526" t="s">
        <v>3400</v>
      </c>
      <c r="I526" t="s">
        <v>3401</v>
      </c>
      <c r="J526" t="s">
        <v>3396</v>
      </c>
      <c r="K526" t="s">
        <v>3402</v>
      </c>
      <c r="L526" t="s">
        <v>3396</v>
      </c>
    </row>
    <row r="527" spans="1:12" x14ac:dyDescent="0.25">
      <c r="A527">
        <v>249565</v>
      </c>
      <c r="B527">
        <v>262698</v>
      </c>
      <c r="D527" t="s">
        <v>204</v>
      </c>
      <c r="E527" t="s">
        <v>3404</v>
      </c>
      <c r="F527" t="s">
        <v>3405</v>
      </c>
      <c r="G527" t="s">
        <v>3406</v>
      </c>
      <c r="H527" t="s">
        <v>3407</v>
      </c>
      <c r="I527" t="s">
        <v>3408</v>
      </c>
      <c r="J527" t="s">
        <v>3409</v>
      </c>
      <c r="K527" t="s">
        <v>3410</v>
      </c>
      <c r="L527" t="s">
        <v>3403</v>
      </c>
    </row>
    <row r="528" spans="1:12" x14ac:dyDescent="0.25">
      <c r="A528">
        <v>249580</v>
      </c>
      <c r="B528">
        <v>276887</v>
      </c>
      <c r="D528">
        <v>0</v>
      </c>
      <c r="E528" t="s">
        <v>3412</v>
      </c>
      <c r="F528" t="s">
        <v>3413</v>
      </c>
      <c r="G528" t="s">
        <v>3414</v>
      </c>
      <c r="H528" t="e" vm="223">
        <f>_FV(0,"04475872986752524")</f>
        <v>#VALUE!</v>
      </c>
      <c r="I528" t="s">
        <v>3415</v>
      </c>
      <c r="J528" t="s">
        <v>3416</v>
      </c>
      <c r="K528" t="s">
        <v>3417</v>
      </c>
      <c r="L528" t="s">
        <v>3411</v>
      </c>
    </row>
    <row r="529" spans="1:12" x14ac:dyDescent="0.25">
      <c r="A529">
        <v>249580</v>
      </c>
      <c r="B529">
        <v>262744</v>
      </c>
      <c r="D529">
        <v>0</v>
      </c>
      <c r="F529">
        <v>282424</v>
      </c>
      <c r="G529">
        <v>249580</v>
      </c>
      <c r="H529" t="e" vm="224">
        <f>_FV(0,"084")</f>
        <v>#VALUE!</v>
      </c>
      <c r="I529">
        <v>262744</v>
      </c>
      <c r="J529" t="s">
        <v>3418</v>
      </c>
      <c r="K529" t="s">
        <v>3419</v>
      </c>
      <c r="L529" t="e" vm="224">
        <f>_FV(0,"084")</f>
        <v>#VALUE!</v>
      </c>
    </row>
    <row r="530" spans="1:12" x14ac:dyDescent="0.25">
      <c r="A530">
        <v>249711</v>
      </c>
      <c r="B530">
        <v>249765</v>
      </c>
      <c r="D530">
        <v>0</v>
      </c>
      <c r="E530" t="s">
        <v>3421</v>
      </c>
      <c r="F530" t="s">
        <v>3422</v>
      </c>
      <c r="G530" t="s">
        <v>3423</v>
      </c>
      <c r="H530" t="s">
        <v>3424</v>
      </c>
      <c r="I530" t="s">
        <v>3425</v>
      </c>
      <c r="J530" t="s">
        <v>3426</v>
      </c>
      <c r="K530" t="s">
        <v>3427</v>
      </c>
      <c r="L530" t="s">
        <v>3420</v>
      </c>
    </row>
    <row r="531" spans="1:12" x14ac:dyDescent="0.25">
      <c r="A531">
        <v>249711</v>
      </c>
      <c r="B531">
        <v>249765</v>
      </c>
      <c r="D531">
        <v>0</v>
      </c>
      <c r="E531" t="s">
        <v>3429</v>
      </c>
      <c r="F531" t="s">
        <v>3430</v>
      </c>
      <c r="G531" t="s">
        <v>3431</v>
      </c>
      <c r="H531" t="s">
        <v>3432</v>
      </c>
      <c r="I531" t="s">
        <v>3433</v>
      </c>
      <c r="J531" t="s">
        <v>3434</v>
      </c>
      <c r="K531" t="s">
        <v>3435</v>
      </c>
      <c r="L531" t="s">
        <v>3428</v>
      </c>
    </row>
    <row r="532" spans="1:12" x14ac:dyDescent="0.25">
      <c r="A532">
        <v>249765</v>
      </c>
      <c r="B532">
        <v>264806</v>
      </c>
      <c r="D532">
        <v>0</v>
      </c>
      <c r="F532">
        <v>267547</v>
      </c>
      <c r="G532">
        <v>264806</v>
      </c>
      <c r="H532" t="e" vm="16">
        <f>_FV(0,"007")</f>
        <v>#VALUE!</v>
      </c>
      <c r="I532">
        <v>249765</v>
      </c>
      <c r="J532" t="s">
        <v>226</v>
      </c>
      <c r="K532" t="s">
        <v>3436</v>
      </c>
      <c r="L532" t="e" vm="16">
        <f>_FV(0,"007")</f>
        <v>#VALUE!</v>
      </c>
    </row>
    <row r="533" spans="1:12" x14ac:dyDescent="0.25">
      <c r="A533">
        <v>249770</v>
      </c>
      <c r="B533">
        <v>249782</v>
      </c>
      <c r="D533">
        <v>0</v>
      </c>
      <c r="E533" t="s">
        <v>3438</v>
      </c>
      <c r="F533" t="s">
        <v>3439</v>
      </c>
      <c r="G533" t="s">
        <v>3440</v>
      </c>
      <c r="H533" t="e" vm="225">
        <f>_FV(0,"01914443029926014")</f>
        <v>#VALUE!</v>
      </c>
      <c r="I533" t="s">
        <v>3441</v>
      </c>
      <c r="J533" t="s">
        <v>3442</v>
      </c>
      <c r="K533" t="s">
        <v>3443</v>
      </c>
      <c r="L533" t="s">
        <v>3437</v>
      </c>
    </row>
    <row r="534" spans="1:12" x14ac:dyDescent="0.25">
      <c r="A534">
        <v>249770</v>
      </c>
      <c r="B534">
        <v>266753</v>
      </c>
      <c r="D534">
        <v>0</v>
      </c>
      <c r="E534" t="s">
        <v>3445</v>
      </c>
      <c r="F534" t="s">
        <v>3446</v>
      </c>
      <c r="G534" t="s">
        <v>3447</v>
      </c>
      <c r="H534" t="e" vm="226">
        <f>_FV(0,"019250074040424302")</f>
        <v>#VALUE!</v>
      </c>
      <c r="I534" t="s">
        <v>3448</v>
      </c>
      <c r="J534" t="s">
        <v>3449</v>
      </c>
      <c r="K534" t="s">
        <v>3450</v>
      </c>
      <c r="L534" t="s">
        <v>3444</v>
      </c>
    </row>
    <row r="535" spans="1:12" x14ac:dyDescent="0.25">
      <c r="A535">
        <v>249770</v>
      </c>
      <c r="B535">
        <v>264812</v>
      </c>
      <c r="D535">
        <v>0</v>
      </c>
      <c r="E535" t="s">
        <v>3452</v>
      </c>
      <c r="F535" t="s">
        <v>3453</v>
      </c>
      <c r="G535" t="s">
        <v>3454</v>
      </c>
      <c r="H535" t="e" vm="227">
        <f>_FV(0,"0409266291843375")</f>
        <v>#VALUE!</v>
      </c>
      <c r="I535" t="s">
        <v>3455</v>
      </c>
      <c r="J535" t="s">
        <v>3456</v>
      </c>
      <c r="K535" t="s">
        <v>3457</v>
      </c>
      <c r="L535" t="s">
        <v>3451</v>
      </c>
    </row>
    <row r="536" spans="1:12" x14ac:dyDescent="0.25">
      <c r="A536">
        <v>249782</v>
      </c>
      <c r="B536">
        <v>266753</v>
      </c>
      <c r="D536">
        <v>0</v>
      </c>
      <c r="E536" t="s">
        <v>3459</v>
      </c>
      <c r="F536" t="s">
        <v>3460</v>
      </c>
      <c r="G536" t="s">
        <v>3461</v>
      </c>
      <c r="H536" t="e" vm="228">
        <f>_FV(0,"003496728572208679")</f>
        <v>#VALUE!</v>
      </c>
      <c r="I536" t="s">
        <v>3462</v>
      </c>
      <c r="J536" t="s">
        <v>3463</v>
      </c>
      <c r="K536" t="s">
        <v>3464</v>
      </c>
      <c r="L536" t="s">
        <v>3458</v>
      </c>
    </row>
    <row r="537" spans="1:12" x14ac:dyDescent="0.25">
      <c r="A537">
        <v>249782</v>
      </c>
      <c r="B537">
        <v>266787</v>
      </c>
      <c r="D537">
        <v>0</v>
      </c>
      <c r="E537" t="s">
        <v>3466</v>
      </c>
      <c r="F537" t="s">
        <v>3467</v>
      </c>
      <c r="G537" t="s">
        <v>3468</v>
      </c>
      <c r="H537" t="s">
        <v>3469</v>
      </c>
      <c r="I537" t="s">
        <v>3470</v>
      </c>
      <c r="J537" t="s">
        <v>3465</v>
      </c>
      <c r="K537" t="s">
        <v>3471</v>
      </c>
      <c r="L537" t="s">
        <v>3465</v>
      </c>
    </row>
    <row r="538" spans="1:12" x14ac:dyDescent="0.25">
      <c r="A538">
        <v>253023</v>
      </c>
      <c r="B538">
        <v>253044</v>
      </c>
      <c r="D538">
        <v>0</v>
      </c>
      <c r="E538" t="s">
        <v>3473</v>
      </c>
      <c r="F538" t="s">
        <v>3474</v>
      </c>
      <c r="G538" t="s">
        <v>3475</v>
      </c>
      <c r="H538" t="e" vm="229">
        <f>_FV(0,"02730070207664867")</f>
        <v>#VALUE!</v>
      </c>
      <c r="I538" t="s">
        <v>3476</v>
      </c>
      <c r="J538" t="s">
        <v>3477</v>
      </c>
      <c r="K538" t="s">
        <v>3478</v>
      </c>
      <c r="L538" t="s">
        <v>3472</v>
      </c>
    </row>
    <row r="539" spans="1:12" x14ac:dyDescent="0.25">
      <c r="A539">
        <v>253023</v>
      </c>
      <c r="B539">
        <v>253044</v>
      </c>
      <c r="D539">
        <v>0</v>
      </c>
      <c r="E539" t="s">
        <v>3480</v>
      </c>
      <c r="F539" t="s">
        <v>3481</v>
      </c>
      <c r="G539" t="s">
        <v>3482</v>
      </c>
      <c r="H539" t="e" vm="230">
        <f>_FV(0,"027820786835357342")</f>
        <v>#VALUE!</v>
      </c>
      <c r="I539" t="s">
        <v>3483</v>
      </c>
      <c r="J539" t="s">
        <v>3484</v>
      </c>
      <c r="K539" t="s">
        <v>3485</v>
      </c>
      <c r="L539" t="s">
        <v>3479</v>
      </c>
    </row>
    <row r="540" spans="1:12" x14ac:dyDescent="0.25">
      <c r="A540">
        <v>253023</v>
      </c>
      <c r="B540">
        <v>488448</v>
      </c>
      <c r="D540">
        <v>0</v>
      </c>
      <c r="E540" t="s">
        <v>3487</v>
      </c>
      <c r="F540" t="s">
        <v>3488</v>
      </c>
      <c r="G540" t="s">
        <v>3489</v>
      </c>
      <c r="H540" t="s">
        <v>3490</v>
      </c>
      <c r="I540" t="s">
        <v>3491</v>
      </c>
      <c r="J540" t="s">
        <v>3492</v>
      </c>
      <c r="K540" t="s">
        <v>3493</v>
      </c>
      <c r="L540" t="s">
        <v>3486</v>
      </c>
    </row>
    <row r="541" spans="1:12" x14ac:dyDescent="0.25">
      <c r="A541">
        <v>253044</v>
      </c>
      <c r="B541">
        <v>430567</v>
      </c>
      <c r="C541" t="s">
        <v>3495</v>
      </c>
      <c r="D541" t="s">
        <v>3496</v>
      </c>
      <c r="E541" t="s">
        <v>3497</v>
      </c>
      <c r="F541" t="s">
        <v>3498</v>
      </c>
      <c r="G541" t="s">
        <v>3499</v>
      </c>
      <c r="H541" t="e" vm="231">
        <f>_FV(0,"025489074690077447")</f>
        <v>#VALUE!</v>
      </c>
      <c r="I541" t="s">
        <v>3500</v>
      </c>
      <c r="J541" t="s">
        <v>3501</v>
      </c>
      <c r="K541" t="s">
        <v>3502</v>
      </c>
      <c r="L541" t="s">
        <v>3494</v>
      </c>
    </row>
    <row r="542" spans="1:12" x14ac:dyDescent="0.25">
      <c r="A542">
        <v>254937</v>
      </c>
      <c r="B542">
        <v>254938</v>
      </c>
      <c r="D542">
        <v>0</v>
      </c>
      <c r="F542">
        <v>255297</v>
      </c>
      <c r="G542">
        <v>254938</v>
      </c>
      <c r="H542" t="e" vm="232">
        <f>_FV(0,"127")</f>
        <v>#VALUE!</v>
      </c>
      <c r="I542">
        <v>254937</v>
      </c>
      <c r="J542" t="s">
        <v>3503</v>
      </c>
      <c r="K542" t="s">
        <v>3504</v>
      </c>
      <c r="L542" t="e" vm="232">
        <f>_FV(0,"127")</f>
        <v>#VALUE!</v>
      </c>
    </row>
    <row r="543" spans="1:12" x14ac:dyDescent="0.25">
      <c r="A543">
        <v>254937</v>
      </c>
      <c r="B543">
        <v>254984</v>
      </c>
      <c r="D543">
        <v>0</v>
      </c>
      <c r="E543" t="s">
        <v>3506</v>
      </c>
      <c r="F543" t="s">
        <v>3507</v>
      </c>
      <c r="G543" t="s">
        <v>3508</v>
      </c>
      <c r="H543" t="e" vm="233">
        <f>_FV(0,"2404226359901649")</f>
        <v>#VALUE!</v>
      </c>
      <c r="I543" t="s">
        <v>3509</v>
      </c>
      <c r="J543" t="s">
        <v>3510</v>
      </c>
      <c r="K543" t="s">
        <v>3511</v>
      </c>
      <c r="L543" t="s">
        <v>3505</v>
      </c>
    </row>
    <row r="544" spans="1:12" x14ac:dyDescent="0.25">
      <c r="A544">
        <v>254937</v>
      </c>
      <c r="B544">
        <v>255000</v>
      </c>
      <c r="D544">
        <v>0</v>
      </c>
      <c r="E544" t="s">
        <v>3513</v>
      </c>
      <c r="F544" t="s">
        <v>3514</v>
      </c>
      <c r="G544" t="s">
        <v>3515</v>
      </c>
      <c r="H544" t="e" vm="234">
        <f>_FV(-5,"974792689717282e")-5</f>
        <v>#VALUE!</v>
      </c>
      <c r="I544" t="s">
        <v>3516</v>
      </c>
      <c r="J544" t="s">
        <v>3517</v>
      </c>
      <c r="K544" t="s">
        <v>3518</v>
      </c>
      <c r="L544" t="s">
        <v>3512</v>
      </c>
    </row>
    <row r="545" spans="1:12" x14ac:dyDescent="0.25">
      <c r="A545">
        <v>254938</v>
      </c>
      <c r="B545">
        <v>254956</v>
      </c>
      <c r="D545">
        <v>0</v>
      </c>
      <c r="E545" t="s">
        <v>3520</v>
      </c>
      <c r="F545" t="s">
        <v>3521</v>
      </c>
      <c r="G545" t="s">
        <v>3522</v>
      </c>
      <c r="H545" t="s">
        <v>3523</v>
      </c>
      <c r="I545" t="s">
        <v>3524</v>
      </c>
      <c r="J545" t="s">
        <v>3525</v>
      </c>
      <c r="K545" t="s">
        <v>3526</v>
      </c>
      <c r="L545" t="s">
        <v>3519</v>
      </c>
    </row>
    <row r="546" spans="1:12" x14ac:dyDescent="0.25">
      <c r="A546">
        <v>254938</v>
      </c>
      <c r="B546">
        <v>255071</v>
      </c>
      <c r="C546" t="s">
        <v>3528</v>
      </c>
      <c r="D546">
        <v>0</v>
      </c>
      <c r="E546" t="s">
        <v>3529</v>
      </c>
      <c r="F546" t="s">
        <v>3530</v>
      </c>
      <c r="G546" t="s">
        <v>3531</v>
      </c>
      <c r="H546" t="e" vm="235">
        <f>_FV(0,"21920706199731438")</f>
        <v>#VALUE!</v>
      </c>
      <c r="I546" t="s">
        <v>3532</v>
      </c>
      <c r="J546" t="s">
        <v>3533</v>
      </c>
      <c r="K546" t="s">
        <v>3534</v>
      </c>
      <c r="L546" t="s">
        <v>3527</v>
      </c>
    </row>
    <row r="547" spans="1:12" x14ac:dyDescent="0.25">
      <c r="A547">
        <v>254956</v>
      </c>
      <c r="B547">
        <v>254984</v>
      </c>
      <c r="D547">
        <v>0</v>
      </c>
      <c r="E547" t="s">
        <v>3536</v>
      </c>
      <c r="F547" t="s">
        <v>3537</v>
      </c>
      <c r="G547" t="s">
        <v>3538</v>
      </c>
      <c r="H547" t="s">
        <v>3539</v>
      </c>
      <c r="I547" t="s">
        <v>3540</v>
      </c>
      <c r="J547" t="s">
        <v>3541</v>
      </c>
      <c r="K547" t="s">
        <v>3542</v>
      </c>
      <c r="L547" t="s">
        <v>3535</v>
      </c>
    </row>
    <row r="548" spans="1:12" x14ac:dyDescent="0.25">
      <c r="A548">
        <v>254956</v>
      </c>
      <c r="B548">
        <v>255088</v>
      </c>
      <c r="D548">
        <v>0</v>
      </c>
      <c r="E548" t="s">
        <v>3544</v>
      </c>
      <c r="F548" t="s">
        <v>3545</v>
      </c>
      <c r="G548" t="s">
        <v>3546</v>
      </c>
      <c r="H548" t="e" vm="236">
        <f>_FV(0,"22725376145309711")</f>
        <v>#VALUE!</v>
      </c>
      <c r="I548" t="s">
        <v>3547</v>
      </c>
      <c r="J548" t="s">
        <v>3548</v>
      </c>
      <c r="K548" t="s">
        <v>3549</v>
      </c>
      <c r="L548" t="s">
        <v>3543</v>
      </c>
    </row>
    <row r="549" spans="1:12" x14ac:dyDescent="0.25">
      <c r="A549">
        <v>254984</v>
      </c>
      <c r="B549">
        <v>255000</v>
      </c>
      <c r="D549">
        <v>0</v>
      </c>
      <c r="E549" t="s">
        <v>3551</v>
      </c>
      <c r="F549" t="s">
        <v>3552</v>
      </c>
      <c r="G549" t="s">
        <v>3553</v>
      </c>
      <c r="H549" t="s">
        <v>3554</v>
      </c>
      <c r="I549" t="s">
        <v>3555</v>
      </c>
      <c r="J549" t="s">
        <v>3550</v>
      </c>
      <c r="K549" t="s">
        <v>3556</v>
      </c>
      <c r="L549" t="s">
        <v>3550</v>
      </c>
    </row>
    <row r="550" spans="1:12" x14ac:dyDescent="0.25">
      <c r="A550">
        <v>255000</v>
      </c>
      <c r="B550">
        <v>602428</v>
      </c>
      <c r="D550">
        <v>0</v>
      </c>
      <c r="E550" t="s">
        <v>3558</v>
      </c>
      <c r="F550" t="s">
        <v>3559</v>
      </c>
      <c r="G550" t="s">
        <v>3560</v>
      </c>
      <c r="H550" t="s">
        <v>3561</v>
      </c>
      <c r="I550" t="s">
        <v>3562</v>
      </c>
      <c r="J550" t="s">
        <v>3563</v>
      </c>
      <c r="K550" t="s">
        <v>3564</v>
      </c>
      <c r="L550" t="s">
        <v>3557</v>
      </c>
    </row>
    <row r="551" spans="1:12" x14ac:dyDescent="0.25">
      <c r="A551">
        <v>255071</v>
      </c>
      <c r="B551">
        <v>556449</v>
      </c>
      <c r="D551">
        <v>0</v>
      </c>
      <c r="E551" t="s">
        <v>3566</v>
      </c>
      <c r="F551" t="s">
        <v>3567</v>
      </c>
      <c r="G551" t="s">
        <v>3568</v>
      </c>
      <c r="H551" t="e" vm="237">
        <f>_FV(0,"02014387468123665")</f>
        <v>#VALUE!</v>
      </c>
      <c r="I551" t="s">
        <v>3569</v>
      </c>
      <c r="J551" t="s">
        <v>3570</v>
      </c>
      <c r="K551" t="s">
        <v>3571</v>
      </c>
      <c r="L551" t="s">
        <v>3565</v>
      </c>
    </row>
    <row r="552" spans="1:12" x14ac:dyDescent="0.25">
      <c r="A552">
        <v>255071</v>
      </c>
      <c r="B552">
        <v>255088</v>
      </c>
      <c r="D552">
        <v>0</v>
      </c>
      <c r="E552" t="s">
        <v>3573</v>
      </c>
      <c r="F552" t="s">
        <v>3574</v>
      </c>
      <c r="G552" t="s">
        <v>3575</v>
      </c>
      <c r="H552" t="e" vm="238">
        <f>_FV(0,"0005964228687773941")</f>
        <v>#VALUE!</v>
      </c>
      <c r="I552" t="s">
        <v>3576</v>
      </c>
      <c r="J552" t="s">
        <v>3577</v>
      </c>
      <c r="K552" t="s">
        <v>3578</v>
      </c>
      <c r="L552" t="s">
        <v>3572</v>
      </c>
    </row>
    <row r="553" spans="1:12" x14ac:dyDescent="0.25">
      <c r="A553">
        <v>255088</v>
      </c>
      <c r="B553">
        <v>597346</v>
      </c>
      <c r="D553">
        <v>0</v>
      </c>
      <c r="E553" t="s">
        <v>3580</v>
      </c>
      <c r="F553" t="s">
        <v>3581</v>
      </c>
      <c r="G553" t="s">
        <v>3582</v>
      </c>
      <c r="H553" t="s">
        <v>3583</v>
      </c>
      <c r="I553" t="s">
        <v>3584</v>
      </c>
      <c r="J553" t="s">
        <v>3579</v>
      </c>
      <c r="K553" t="s">
        <v>3585</v>
      </c>
      <c r="L553" t="s">
        <v>3579</v>
      </c>
    </row>
    <row r="554" spans="1:12" x14ac:dyDescent="0.25">
      <c r="A554">
        <v>255966</v>
      </c>
      <c r="B554">
        <v>255982</v>
      </c>
      <c r="D554">
        <v>0</v>
      </c>
      <c r="E554" t="s">
        <v>3587</v>
      </c>
      <c r="F554" t="s">
        <v>3588</v>
      </c>
      <c r="G554" t="s">
        <v>3589</v>
      </c>
      <c r="H554" t="e" vm="239">
        <f>_FV(0,"053266588232562036")</f>
        <v>#VALUE!</v>
      </c>
      <c r="I554" t="s">
        <v>3590</v>
      </c>
      <c r="J554" t="s">
        <v>3591</v>
      </c>
      <c r="K554" t="s">
        <v>3592</v>
      </c>
      <c r="L554" t="s">
        <v>3586</v>
      </c>
    </row>
    <row r="555" spans="1:12" x14ac:dyDescent="0.25">
      <c r="A555">
        <v>255966</v>
      </c>
      <c r="B555">
        <v>256038</v>
      </c>
      <c r="D555">
        <v>0</v>
      </c>
      <c r="E555" t="s">
        <v>3594</v>
      </c>
      <c r="F555" t="s">
        <v>3595</v>
      </c>
      <c r="G555" t="s">
        <v>3596</v>
      </c>
      <c r="H555" t="e" vm="240">
        <f>_FV(0,"060757848970951975")</f>
        <v>#VALUE!</v>
      </c>
      <c r="I555" t="s">
        <v>3597</v>
      </c>
      <c r="J555" t="s">
        <v>3598</v>
      </c>
      <c r="K555" t="s">
        <v>3599</v>
      </c>
      <c r="L555" t="s">
        <v>3593</v>
      </c>
    </row>
    <row r="556" spans="1:12" x14ac:dyDescent="0.25">
      <c r="A556">
        <v>255966</v>
      </c>
      <c r="B556">
        <v>579254</v>
      </c>
      <c r="C556" t="s">
        <v>3601</v>
      </c>
      <c r="D556">
        <v>0</v>
      </c>
      <c r="E556" t="s">
        <v>3602</v>
      </c>
      <c r="F556" t="s">
        <v>3603</v>
      </c>
      <c r="G556" t="s">
        <v>3605</v>
      </c>
      <c r="H556" t="e" vm="241">
        <f>_FV(0,"0033708377117629153")</f>
        <v>#VALUE!</v>
      </c>
      <c r="I556" t="s">
        <v>3606</v>
      </c>
      <c r="J556" t="s">
        <v>3607</v>
      </c>
      <c r="K556" t="s">
        <v>3608</v>
      </c>
      <c r="L556" t="s">
        <v>3600</v>
      </c>
    </row>
    <row r="557" spans="1:12" x14ac:dyDescent="0.25">
      <c r="A557">
        <v>255982</v>
      </c>
      <c r="B557">
        <v>255988</v>
      </c>
      <c r="D557">
        <v>0</v>
      </c>
      <c r="E557" t="s">
        <v>3610</v>
      </c>
      <c r="F557" t="s">
        <v>3611</v>
      </c>
      <c r="G557" t="s">
        <v>3612</v>
      </c>
      <c r="H557" t="e" vm="242">
        <f>_FV(0,"04550310529481909")</f>
        <v>#VALUE!</v>
      </c>
      <c r="I557" t="s">
        <v>3613</v>
      </c>
      <c r="J557" t="s">
        <v>3614</v>
      </c>
      <c r="K557" t="s">
        <v>3615</v>
      </c>
      <c r="L557" t="s">
        <v>3609</v>
      </c>
    </row>
    <row r="558" spans="1:12" x14ac:dyDescent="0.25">
      <c r="A558">
        <v>255982</v>
      </c>
      <c r="B558">
        <v>256038</v>
      </c>
      <c r="D558">
        <v>0</v>
      </c>
      <c r="E558" t="s">
        <v>3617</v>
      </c>
      <c r="F558" t="s">
        <v>3618</v>
      </c>
      <c r="G558" t="s">
        <v>3619</v>
      </c>
      <c r="H558" t="s">
        <v>3620</v>
      </c>
      <c r="I558" t="s">
        <v>3621</v>
      </c>
      <c r="J558" t="s">
        <v>3616</v>
      </c>
      <c r="K558" t="s">
        <v>3622</v>
      </c>
      <c r="L558" t="s">
        <v>3616</v>
      </c>
    </row>
    <row r="559" spans="1:12" x14ac:dyDescent="0.25">
      <c r="A559">
        <v>255988</v>
      </c>
      <c r="B559">
        <v>541253</v>
      </c>
      <c r="D559" t="s">
        <v>3624</v>
      </c>
      <c r="E559" t="s">
        <v>3625</v>
      </c>
      <c r="F559" t="s">
        <v>3626</v>
      </c>
      <c r="G559" t="s">
        <v>3627</v>
      </c>
      <c r="H559" t="e" vm="243">
        <f>_FV(0,"00526225426132935")</f>
        <v>#VALUE!</v>
      </c>
      <c r="I559" t="s">
        <v>3628</v>
      </c>
      <c r="J559" t="s">
        <v>3629</v>
      </c>
      <c r="K559" t="s">
        <v>3630</v>
      </c>
      <c r="L559" t="s">
        <v>3623</v>
      </c>
    </row>
    <row r="560" spans="1:12" x14ac:dyDescent="0.25">
      <c r="A560">
        <v>255988</v>
      </c>
      <c r="B560">
        <v>256046</v>
      </c>
      <c r="D560">
        <v>0</v>
      </c>
      <c r="E560" t="s">
        <v>3632</v>
      </c>
      <c r="F560" t="s">
        <v>3633</v>
      </c>
      <c r="G560" t="s">
        <v>3634</v>
      </c>
      <c r="H560" t="e" vm="244">
        <f>_FV(0,"11685454666263362")</f>
        <v>#VALUE!</v>
      </c>
      <c r="I560" t="s">
        <v>3635</v>
      </c>
      <c r="J560" t="s">
        <v>3636</v>
      </c>
      <c r="K560" t="s">
        <v>3637</v>
      </c>
      <c r="L560" t="s">
        <v>3631</v>
      </c>
    </row>
    <row r="561" spans="1:12" x14ac:dyDescent="0.25">
      <c r="A561">
        <v>256038</v>
      </c>
      <c r="B561">
        <v>256046</v>
      </c>
      <c r="D561">
        <v>0</v>
      </c>
      <c r="E561" t="s">
        <v>3639</v>
      </c>
      <c r="F561" t="s">
        <v>3640</v>
      </c>
      <c r="G561" t="s">
        <v>3641</v>
      </c>
      <c r="H561" t="s">
        <v>3642</v>
      </c>
      <c r="I561" t="s">
        <v>3643</v>
      </c>
      <c r="J561" t="s">
        <v>3638</v>
      </c>
      <c r="K561" t="s">
        <v>3644</v>
      </c>
      <c r="L561" t="s">
        <v>3638</v>
      </c>
    </row>
    <row r="562" spans="1:12" x14ac:dyDescent="0.25">
      <c r="A562">
        <v>256046</v>
      </c>
      <c r="B562">
        <v>256067</v>
      </c>
      <c r="D562" t="s">
        <v>2793</v>
      </c>
      <c r="E562" t="s">
        <v>3646</v>
      </c>
      <c r="F562" t="s">
        <v>3647</v>
      </c>
      <c r="G562" t="s">
        <v>3648</v>
      </c>
      <c r="H562" t="e" vm="245">
        <f>_FV(0,"004682262005107376")</f>
        <v>#VALUE!</v>
      </c>
      <c r="I562" t="s">
        <v>3649</v>
      </c>
      <c r="J562" t="s">
        <v>3650</v>
      </c>
      <c r="K562" t="s">
        <v>3651</v>
      </c>
      <c r="L562" t="s">
        <v>3645</v>
      </c>
    </row>
    <row r="563" spans="1:12" x14ac:dyDescent="0.25">
      <c r="A563">
        <v>256067</v>
      </c>
      <c r="B563">
        <v>1307339</v>
      </c>
      <c r="D563" t="s">
        <v>3653</v>
      </c>
      <c r="E563" t="s">
        <v>3654</v>
      </c>
      <c r="F563" t="s">
        <v>3655</v>
      </c>
      <c r="G563" t="s">
        <v>3656</v>
      </c>
      <c r="H563" t="s">
        <v>3657</v>
      </c>
      <c r="I563" t="s">
        <v>3658</v>
      </c>
      <c r="J563" t="s">
        <v>3659</v>
      </c>
      <c r="K563" t="s">
        <v>3660</v>
      </c>
      <c r="L563" t="s">
        <v>3652</v>
      </c>
    </row>
    <row r="564" spans="1:12" x14ac:dyDescent="0.25">
      <c r="A564">
        <v>256067</v>
      </c>
      <c r="B564">
        <v>600792</v>
      </c>
      <c r="D564" t="s">
        <v>204</v>
      </c>
      <c r="E564" t="s">
        <v>3662</v>
      </c>
      <c r="F564" t="s">
        <v>3663</v>
      </c>
      <c r="G564" t="s">
        <v>3664</v>
      </c>
      <c r="H564" t="e" vm="246">
        <f>_FV(0,"016507330659942667")</f>
        <v>#VALUE!</v>
      </c>
      <c r="I564" t="s">
        <v>3665</v>
      </c>
      <c r="J564" t="s">
        <v>3666</v>
      </c>
      <c r="K564" t="s">
        <v>3667</v>
      </c>
      <c r="L564" t="s">
        <v>3661</v>
      </c>
    </row>
    <row r="565" spans="1:12" x14ac:dyDescent="0.25">
      <c r="A565">
        <v>262087</v>
      </c>
      <c r="B565">
        <v>262169</v>
      </c>
      <c r="D565">
        <v>0</v>
      </c>
      <c r="E565" t="s">
        <v>3669</v>
      </c>
      <c r="F565" t="s">
        <v>3670</v>
      </c>
      <c r="G565" t="s">
        <v>3671</v>
      </c>
      <c r="H565" t="e" vm="247">
        <f>_FV(0,"05301173040118997")</f>
        <v>#VALUE!</v>
      </c>
      <c r="I565" t="s">
        <v>3672</v>
      </c>
      <c r="J565" t="s">
        <v>3673</v>
      </c>
      <c r="K565" t="s">
        <v>3674</v>
      </c>
      <c r="L565" t="s">
        <v>3668</v>
      </c>
    </row>
    <row r="566" spans="1:12" x14ac:dyDescent="0.25">
      <c r="A566">
        <v>262087</v>
      </c>
      <c r="B566">
        <v>262169</v>
      </c>
      <c r="D566">
        <v>0</v>
      </c>
      <c r="E566" t="s">
        <v>3676</v>
      </c>
      <c r="F566" t="s">
        <v>3677</v>
      </c>
      <c r="G566" t="s">
        <v>3678</v>
      </c>
      <c r="H566" t="e" vm="248">
        <f>_FV(0,"05079085818400705")</f>
        <v>#VALUE!</v>
      </c>
      <c r="I566" t="s">
        <v>3679</v>
      </c>
      <c r="J566" t="s">
        <v>3680</v>
      </c>
      <c r="K566" t="s">
        <v>3681</v>
      </c>
      <c r="L566" t="s">
        <v>3675</v>
      </c>
    </row>
    <row r="567" spans="1:12" x14ac:dyDescent="0.25">
      <c r="A567">
        <v>262169</v>
      </c>
      <c r="B567">
        <v>287773</v>
      </c>
      <c r="D567" t="s">
        <v>1494</v>
      </c>
      <c r="E567" t="s">
        <v>3683</v>
      </c>
      <c r="F567" t="s">
        <v>3684</v>
      </c>
      <c r="G567" t="s">
        <v>3685</v>
      </c>
      <c r="H567" t="s">
        <v>3686</v>
      </c>
      <c r="I567" t="s">
        <v>3687</v>
      </c>
      <c r="J567" t="s">
        <v>3688</v>
      </c>
      <c r="K567" t="s">
        <v>3689</v>
      </c>
      <c r="L567" t="s">
        <v>3682</v>
      </c>
    </row>
    <row r="568" spans="1:12" x14ac:dyDescent="0.25">
      <c r="A568">
        <v>262196</v>
      </c>
      <c r="B568">
        <v>262197</v>
      </c>
      <c r="D568">
        <v>0</v>
      </c>
      <c r="F568">
        <v>264133</v>
      </c>
      <c r="G568">
        <v>262197</v>
      </c>
      <c r="H568" t="e" vm="122">
        <f>_FV(0,"017")</f>
        <v>#VALUE!</v>
      </c>
      <c r="I568">
        <v>262196</v>
      </c>
      <c r="J568" t="s">
        <v>1814</v>
      </c>
      <c r="K568" t="s">
        <v>3690</v>
      </c>
      <c r="L568" t="e" vm="122">
        <f>_FV(0,"017")</f>
        <v>#VALUE!</v>
      </c>
    </row>
    <row r="569" spans="1:12" x14ac:dyDescent="0.25">
      <c r="A569">
        <v>262196</v>
      </c>
      <c r="B569">
        <v>634285</v>
      </c>
      <c r="D569">
        <v>0</v>
      </c>
      <c r="E569" t="s">
        <v>3692</v>
      </c>
      <c r="F569" t="s">
        <v>3693</v>
      </c>
      <c r="G569" t="s">
        <v>3694</v>
      </c>
      <c r="H569" t="s">
        <v>3695</v>
      </c>
      <c r="I569" t="s">
        <v>3696</v>
      </c>
      <c r="J569" t="s">
        <v>3697</v>
      </c>
      <c r="K569" t="s">
        <v>3698</v>
      </c>
      <c r="L569" t="s">
        <v>3691</v>
      </c>
    </row>
    <row r="570" spans="1:12" x14ac:dyDescent="0.25">
      <c r="A570">
        <v>262196</v>
      </c>
      <c r="B570">
        <v>287783</v>
      </c>
      <c r="D570">
        <v>0</v>
      </c>
      <c r="E570" t="s">
        <v>3700</v>
      </c>
      <c r="F570" t="s">
        <v>3701</v>
      </c>
      <c r="G570" t="s">
        <v>3702</v>
      </c>
      <c r="H570" t="s">
        <v>3703</v>
      </c>
      <c r="I570" t="s">
        <v>3704</v>
      </c>
      <c r="J570" t="s">
        <v>3705</v>
      </c>
      <c r="K570" t="s">
        <v>3706</v>
      </c>
      <c r="L570" t="s">
        <v>3699</v>
      </c>
    </row>
    <row r="571" spans="1:12" x14ac:dyDescent="0.25">
      <c r="A571">
        <v>262197</v>
      </c>
      <c r="B571">
        <v>262251</v>
      </c>
      <c r="D571">
        <v>0</v>
      </c>
      <c r="E571" t="s">
        <v>3708</v>
      </c>
      <c r="F571" t="s">
        <v>3709</v>
      </c>
      <c r="G571" t="s">
        <v>3710</v>
      </c>
      <c r="H571" t="s">
        <v>3711</v>
      </c>
      <c r="I571" t="s">
        <v>3712</v>
      </c>
      <c r="J571" t="s">
        <v>3713</v>
      </c>
      <c r="K571" t="s">
        <v>3714</v>
      </c>
      <c r="L571" t="s">
        <v>3707</v>
      </c>
    </row>
    <row r="572" spans="1:12" x14ac:dyDescent="0.25">
      <c r="A572">
        <v>262251</v>
      </c>
      <c r="B572">
        <v>262303</v>
      </c>
      <c r="D572" t="s">
        <v>3716</v>
      </c>
      <c r="E572" t="s">
        <v>3717</v>
      </c>
      <c r="F572" t="s">
        <v>3718</v>
      </c>
      <c r="G572" t="s">
        <v>3719</v>
      </c>
      <c r="H572" t="s">
        <v>3720</v>
      </c>
      <c r="I572" t="s">
        <v>3721</v>
      </c>
      <c r="J572" t="s">
        <v>3715</v>
      </c>
      <c r="K572" t="s">
        <v>3722</v>
      </c>
      <c r="L572" t="s">
        <v>3715</v>
      </c>
    </row>
    <row r="573" spans="1:12" x14ac:dyDescent="0.25">
      <c r="A573">
        <v>262299</v>
      </c>
      <c r="B573">
        <v>262324</v>
      </c>
      <c r="D573">
        <v>0</v>
      </c>
      <c r="E573" t="s">
        <v>3724</v>
      </c>
      <c r="F573" t="s">
        <v>3725</v>
      </c>
      <c r="G573" t="s">
        <v>3726</v>
      </c>
      <c r="H573" t="e" vm="249">
        <f>_FV(0,"013583243050131377")</f>
        <v>#VALUE!</v>
      </c>
      <c r="I573" t="s">
        <v>3727</v>
      </c>
      <c r="J573" t="s">
        <v>3728</v>
      </c>
      <c r="K573" t="s">
        <v>3729</v>
      </c>
      <c r="L573" t="s">
        <v>3723</v>
      </c>
    </row>
    <row r="574" spans="1:12" x14ac:dyDescent="0.25">
      <c r="A574">
        <v>262299</v>
      </c>
      <c r="B574">
        <v>262345</v>
      </c>
      <c r="D574">
        <v>0</v>
      </c>
      <c r="E574" t="s">
        <v>3731</v>
      </c>
      <c r="F574" t="s">
        <v>3732</v>
      </c>
      <c r="G574" t="s">
        <v>3733</v>
      </c>
      <c r="H574" t="e" vm="250">
        <f>_FV(0,"018901324218174184")</f>
        <v>#VALUE!</v>
      </c>
      <c r="I574" t="s">
        <v>3734</v>
      </c>
      <c r="J574" t="s">
        <v>3735</v>
      </c>
      <c r="K574" t="s">
        <v>3736</v>
      </c>
      <c r="L574" t="s">
        <v>3730</v>
      </c>
    </row>
    <row r="575" spans="1:12" x14ac:dyDescent="0.25">
      <c r="A575">
        <v>262299</v>
      </c>
      <c r="B575">
        <v>278736</v>
      </c>
      <c r="D575">
        <v>0</v>
      </c>
      <c r="E575" t="s">
        <v>3738</v>
      </c>
      <c r="F575" t="s">
        <v>3739</v>
      </c>
      <c r="G575" t="s">
        <v>3740</v>
      </c>
      <c r="H575" t="e" vm="251">
        <f>_FV(0,"00022520336633467353")</f>
        <v>#VALUE!</v>
      </c>
      <c r="I575" t="s">
        <v>3741</v>
      </c>
      <c r="J575" t="s">
        <v>3742</v>
      </c>
      <c r="K575" t="s">
        <v>3743</v>
      </c>
      <c r="L575" t="s">
        <v>3737</v>
      </c>
    </row>
    <row r="576" spans="1:12" x14ac:dyDescent="0.25">
      <c r="A576">
        <v>262303</v>
      </c>
      <c r="B576">
        <v>262342</v>
      </c>
      <c r="D576">
        <v>0</v>
      </c>
      <c r="E576" t="s">
        <v>3745</v>
      </c>
      <c r="F576" t="s">
        <v>3746</v>
      </c>
      <c r="G576" t="s">
        <v>3747</v>
      </c>
      <c r="H576" t="e" vm="252">
        <f>_FV(0,"00255641689986972")</f>
        <v>#VALUE!</v>
      </c>
      <c r="I576" t="s">
        <v>3748</v>
      </c>
      <c r="J576" t="s">
        <v>3749</v>
      </c>
      <c r="K576" t="s">
        <v>3750</v>
      </c>
      <c r="L576" t="s">
        <v>3744</v>
      </c>
    </row>
    <row r="577" spans="1:12" x14ac:dyDescent="0.25">
      <c r="A577">
        <v>262303</v>
      </c>
      <c r="B577">
        <v>766799</v>
      </c>
      <c r="D577">
        <v>0</v>
      </c>
      <c r="E577" t="s">
        <v>3752</v>
      </c>
      <c r="F577" t="s">
        <v>3753</v>
      </c>
      <c r="G577" t="s">
        <v>3754</v>
      </c>
      <c r="H577" t="e" vm="253">
        <f>_FV(0,"031974737805338334")</f>
        <v>#VALUE!</v>
      </c>
      <c r="I577" t="s">
        <v>3755</v>
      </c>
      <c r="J577" t="s">
        <v>3756</v>
      </c>
      <c r="K577" t="s">
        <v>3757</v>
      </c>
      <c r="L577" t="s">
        <v>3751</v>
      </c>
    </row>
    <row r="578" spans="1:12" x14ac:dyDescent="0.25">
      <c r="A578">
        <v>262305</v>
      </c>
      <c r="B578">
        <v>262373</v>
      </c>
      <c r="D578">
        <v>0</v>
      </c>
      <c r="F578">
        <v>292483</v>
      </c>
      <c r="G578">
        <v>262373</v>
      </c>
      <c r="H578" t="s">
        <v>3758</v>
      </c>
      <c r="I578">
        <v>262305</v>
      </c>
      <c r="J578" t="s">
        <v>3758</v>
      </c>
      <c r="K578" t="s">
        <v>3759</v>
      </c>
      <c r="L578" t="s">
        <v>3758</v>
      </c>
    </row>
    <row r="579" spans="1:12" x14ac:dyDescent="0.25">
      <c r="A579">
        <v>262305</v>
      </c>
      <c r="B579">
        <v>331992</v>
      </c>
      <c r="D579">
        <v>0</v>
      </c>
      <c r="E579" t="s">
        <v>3761</v>
      </c>
      <c r="F579" t="s">
        <v>3762</v>
      </c>
      <c r="G579" t="s">
        <v>3763</v>
      </c>
      <c r="H579" t="e" vm="254">
        <f>_FV(0,"024059835972510372")</f>
        <v>#VALUE!</v>
      </c>
      <c r="I579" t="s">
        <v>3764</v>
      </c>
      <c r="J579" t="s">
        <v>3765</v>
      </c>
      <c r="K579" t="s">
        <v>3766</v>
      </c>
      <c r="L579" t="s">
        <v>3760</v>
      </c>
    </row>
    <row r="580" spans="1:12" x14ac:dyDescent="0.25">
      <c r="A580">
        <v>262305</v>
      </c>
      <c r="B580">
        <v>285295</v>
      </c>
      <c r="D580">
        <v>0</v>
      </c>
      <c r="F580">
        <v>292475</v>
      </c>
      <c r="G580">
        <v>262305</v>
      </c>
      <c r="H580" t="e" vm="255">
        <f>_FV(0,"168")</f>
        <v>#VALUE!</v>
      </c>
      <c r="I580">
        <v>285295</v>
      </c>
      <c r="J580" t="s">
        <v>3767</v>
      </c>
      <c r="K580" t="s">
        <v>3768</v>
      </c>
      <c r="L580" t="e" vm="255">
        <f>_FV(0,"168")</f>
        <v>#VALUE!</v>
      </c>
    </row>
    <row r="581" spans="1:12" x14ac:dyDescent="0.25">
      <c r="A581">
        <v>262320</v>
      </c>
      <c r="B581">
        <v>332455</v>
      </c>
      <c r="D581">
        <v>0</v>
      </c>
      <c r="E581" t="s">
        <v>3770</v>
      </c>
      <c r="F581" t="s">
        <v>3771</v>
      </c>
      <c r="G581" t="s">
        <v>3772</v>
      </c>
      <c r="H581" t="s">
        <v>3773</v>
      </c>
      <c r="I581" t="s">
        <v>3774</v>
      </c>
      <c r="J581" t="s">
        <v>3775</v>
      </c>
      <c r="K581" t="s">
        <v>3776</v>
      </c>
      <c r="L581" t="s">
        <v>3769</v>
      </c>
    </row>
    <row r="582" spans="1:12" x14ac:dyDescent="0.25">
      <c r="A582">
        <v>262320</v>
      </c>
      <c r="B582">
        <v>332224</v>
      </c>
      <c r="D582">
        <v>0</v>
      </c>
      <c r="E582" t="s">
        <v>3778</v>
      </c>
      <c r="F582" t="s">
        <v>3779</v>
      </c>
      <c r="G582" t="s">
        <v>3780</v>
      </c>
      <c r="H582" t="e" vm="256">
        <f>_FV(0,"03039754697988512")</f>
        <v>#VALUE!</v>
      </c>
      <c r="I582" t="s">
        <v>3781</v>
      </c>
      <c r="J582" t="s">
        <v>3782</v>
      </c>
      <c r="K582" t="s">
        <v>3783</v>
      </c>
      <c r="L582" t="s">
        <v>3777</v>
      </c>
    </row>
    <row r="583" spans="1:12" x14ac:dyDescent="0.25">
      <c r="A583">
        <v>262324</v>
      </c>
      <c r="B583">
        <v>262339</v>
      </c>
      <c r="D583">
        <v>0</v>
      </c>
      <c r="E583" t="s">
        <v>3785</v>
      </c>
      <c r="F583" t="s">
        <v>3786</v>
      </c>
      <c r="G583" t="s">
        <v>3787</v>
      </c>
      <c r="H583" t="s">
        <v>3788</v>
      </c>
      <c r="I583" t="s">
        <v>3789</v>
      </c>
      <c r="J583" t="s">
        <v>3784</v>
      </c>
      <c r="K583" t="s">
        <v>3790</v>
      </c>
      <c r="L583" t="s">
        <v>3784</v>
      </c>
    </row>
    <row r="584" spans="1:12" x14ac:dyDescent="0.25">
      <c r="A584">
        <v>262324</v>
      </c>
      <c r="B584">
        <v>1757262</v>
      </c>
      <c r="D584">
        <v>0</v>
      </c>
      <c r="E584" t="s">
        <v>3792</v>
      </c>
      <c r="F584" t="s">
        <v>3793</v>
      </c>
      <c r="G584" t="s">
        <v>3794</v>
      </c>
      <c r="H584" t="e" vm="257">
        <f>_FV(0,"0005676206938936413")</f>
        <v>#VALUE!</v>
      </c>
      <c r="I584" t="s">
        <v>3795</v>
      </c>
      <c r="J584" t="s">
        <v>3796</v>
      </c>
      <c r="K584" t="s">
        <v>3797</v>
      </c>
      <c r="L584" t="s">
        <v>3791</v>
      </c>
    </row>
    <row r="585" spans="1:12" x14ac:dyDescent="0.25">
      <c r="A585">
        <v>262339</v>
      </c>
      <c r="B585">
        <v>262345</v>
      </c>
      <c r="D585">
        <v>0</v>
      </c>
      <c r="F585">
        <v>264291</v>
      </c>
      <c r="G585">
        <v>262345</v>
      </c>
      <c r="H585" t="s">
        <v>737</v>
      </c>
      <c r="I585">
        <v>262339</v>
      </c>
      <c r="J585" t="s">
        <v>737</v>
      </c>
      <c r="K585" t="s">
        <v>3798</v>
      </c>
      <c r="L585" t="s">
        <v>737</v>
      </c>
    </row>
    <row r="586" spans="1:12" x14ac:dyDescent="0.25">
      <c r="A586">
        <v>262339</v>
      </c>
      <c r="B586">
        <v>1757262</v>
      </c>
      <c r="C586" t="s">
        <v>3800</v>
      </c>
      <c r="D586">
        <v>0</v>
      </c>
      <c r="E586" t="s">
        <v>3801</v>
      </c>
      <c r="F586" t="s">
        <v>3802</v>
      </c>
      <c r="G586" t="s">
        <v>3803</v>
      </c>
      <c r="H586" t="e" vm="258">
        <f>_FV(0,"0005793461802545394")</f>
        <v>#VALUE!</v>
      </c>
      <c r="I586" t="s">
        <v>3804</v>
      </c>
      <c r="J586" t="s">
        <v>3805</v>
      </c>
      <c r="K586" t="s">
        <v>3806</v>
      </c>
      <c r="L586" t="s">
        <v>3799</v>
      </c>
    </row>
    <row r="587" spans="1:12" x14ac:dyDescent="0.25">
      <c r="A587">
        <v>262342</v>
      </c>
      <c r="B587">
        <v>594712</v>
      </c>
      <c r="D587">
        <v>0</v>
      </c>
      <c r="E587" t="s">
        <v>3808</v>
      </c>
      <c r="F587" t="s">
        <v>3809</v>
      </c>
      <c r="G587" t="s">
        <v>3810</v>
      </c>
      <c r="H587" t="e" vm="259">
        <f>_FV(0,"010487381546883974")</f>
        <v>#VALUE!</v>
      </c>
      <c r="I587" t="s">
        <v>3811</v>
      </c>
      <c r="J587" t="s">
        <v>3812</v>
      </c>
      <c r="K587" t="s">
        <v>3813</v>
      </c>
      <c r="L587" t="s">
        <v>3807</v>
      </c>
    </row>
    <row r="588" spans="1:12" x14ac:dyDescent="0.25">
      <c r="A588">
        <v>262345</v>
      </c>
      <c r="B588">
        <v>278736</v>
      </c>
      <c r="D588">
        <v>0</v>
      </c>
      <c r="E588" t="s">
        <v>3815</v>
      </c>
      <c r="F588" t="s">
        <v>3816</v>
      </c>
      <c r="G588" t="s">
        <v>3817</v>
      </c>
      <c r="H588" t="e" vm="260">
        <f>_FV(-5,"899148199680172e")-5</f>
        <v>#VALUE!</v>
      </c>
      <c r="I588" t="s">
        <v>3818</v>
      </c>
      <c r="J588" t="s">
        <v>3819</v>
      </c>
      <c r="K588" t="s">
        <v>3820</v>
      </c>
      <c r="L588" t="s">
        <v>3814</v>
      </c>
    </row>
    <row r="589" spans="1:12" x14ac:dyDescent="0.25">
      <c r="A589">
        <v>262373</v>
      </c>
      <c r="B589">
        <v>332026</v>
      </c>
      <c r="D589">
        <v>0</v>
      </c>
      <c r="E589" t="s">
        <v>3822</v>
      </c>
      <c r="F589" t="s">
        <v>3823</v>
      </c>
      <c r="G589" t="s">
        <v>3824</v>
      </c>
      <c r="H589" t="s">
        <v>3825</v>
      </c>
      <c r="I589" t="s">
        <v>3826</v>
      </c>
      <c r="J589" t="s">
        <v>3827</v>
      </c>
      <c r="K589" t="s">
        <v>3828</v>
      </c>
      <c r="L589" t="s">
        <v>3821</v>
      </c>
    </row>
    <row r="590" spans="1:12" x14ac:dyDescent="0.25">
      <c r="A590">
        <v>262389</v>
      </c>
      <c r="B590">
        <v>262403</v>
      </c>
      <c r="D590">
        <v>0</v>
      </c>
      <c r="E590" t="s">
        <v>3830</v>
      </c>
      <c r="F590" t="s">
        <v>3831</v>
      </c>
      <c r="G590" t="s">
        <v>3832</v>
      </c>
      <c r="H590" t="s">
        <v>3833</v>
      </c>
      <c r="I590" t="s">
        <v>3834</v>
      </c>
      <c r="J590" t="s">
        <v>3835</v>
      </c>
      <c r="K590" t="s">
        <v>3836</v>
      </c>
      <c r="L590" t="s">
        <v>3829</v>
      </c>
    </row>
    <row r="591" spans="1:12" x14ac:dyDescent="0.25">
      <c r="A591">
        <v>262389</v>
      </c>
      <c r="B591">
        <v>1277120</v>
      </c>
      <c r="D591">
        <v>0</v>
      </c>
      <c r="E591" t="s">
        <v>3838</v>
      </c>
      <c r="F591" t="s">
        <v>3839</v>
      </c>
      <c r="G591" t="s">
        <v>3840</v>
      </c>
      <c r="H591" t="e" vm="261">
        <f>_FV(0,"002991324066499556")</f>
        <v>#VALUE!</v>
      </c>
      <c r="I591" t="s">
        <v>3841</v>
      </c>
      <c r="J591" t="s">
        <v>3842</v>
      </c>
      <c r="K591" t="s">
        <v>3843</v>
      </c>
      <c r="L591" t="s">
        <v>3837</v>
      </c>
    </row>
    <row r="592" spans="1:12" x14ac:dyDescent="0.25">
      <c r="A592">
        <v>262389</v>
      </c>
      <c r="B592">
        <v>600588</v>
      </c>
      <c r="D592">
        <v>0</v>
      </c>
      <c r="E592" t="s">
        <v>3845</v>
      </c>
      <c r="F592" t="s">
        <v>3846</v>
      </c>
      <c r="G592" t="s">
        <v>3847</v>
      </c>
      <c r="H592" t="s">
        <v>3848</v>
      </c>
      <c r="I592" t="s">
        <v>3849</v>
      </c>
      <c r="J592" t="s">
        <v>3850</v>
      </c>
      <c r="K592" t="s">
        <v>3851</v>
      </c>
      <c r="L592" t="s">
        <v>3844</v>
      </c>
    </row>
    <row r="593" spans="1:12" x14ac:dyDescent="0.25">
      <c r="A593">
        <v>262403</v>
      </c>
      <c r="B593">
        <v>1160470</v>
      </c>
      <c r="D593">
        <v>0</v>
      </c>
      <c r="E593" t="s">
        <v>3853</v>
      </c>
      <c r="F593" t="s">
        <v>3854</v>
      </c>
      <c r="G593" t="s">
        <v>3855</v>
      </c>
      <c r="H593" t="e" vm="262">
        <f>_FV(0,"014872148477527347")</f>
        <v>#VALUE!</v>
      </c>
      <c r="I593" t="s">
        <v>3856</v>
      </c>
      <c r="J593" t="s">
        <v>3857</v>
      </c>
      <c r="K593" t="s">
        <v>3858</v>
      </c>
      <c r="L593" t="s">
        <v>3852</v>
      </c>
    </row>
    <row r="594" spans="1:12" x14ac:dyDescent="0.25">
      <c r="A594">
        <v>262403</v>
      </c>
      <c r="B594">
        <v>600588</v>
      </c>
      <c r="D594">
        <v>0</v>
      </c>
      <c r="E594" t="s">
        <v>3860</v>
      </c>
      <c r="F594" t="s">
        <v>3861</v>
      </c>
      <c r="G594" t="s">
        <v>3862</v>
      </c>
      <c r="H594" t="s">
        <v>3863</v>
      </c>
      <c r="I594" t="s">
        <v>3864</v>
      </c>
      <c r="J594" t="s">
        <v>3859</v>
      </c>
      <c r="K594" t="s">
        <v>3865</v>
      </c>
      <c r="L594" t="s">
        <v>3859</v>
      </c>
    </row>
    <row r="595" spans="1:12" x14ac:dyDescent="0.25">
      <c r="A595">
        <v>262441</v>
      </c>
      <c r="B595">
        <v>1277270</v>
      </c>
      <c r="D595">
        <v>0</v>
      </c>
      <c r="E595" t="s">
        <v>3867</v>
      </c>
      <c r="F595" t="s">
        <v>3868</v>
      </c>
      <c r="G595" t="s">
        <v>3869</v>
      </c>
      <c r="H595" t="s">
        <v>3870</v>
      </c>
      <c r="I595" t="s">
        <v>3871</v>
      </c>
      <c r="J595" t="s">
        <v>3872</v>
      </c>
      <c r="K595" t="s">
        <v>3873</v>
      </c>
      <c r="L595" t="s">
        <v>3866</v>
      </c>
    </row>
    <row r="596" spans="1:12" x14ac:dyDescent="0.25">
      <c r="A596">
        <v>262441</v>
      </c>
      <c r="B596">
        <v>600684</v>
      </c>
      <c r="D596">
        <v>0</v>
      </c>
      <c r="E596" t="s">
        <v>3875</v>
      </c>
      <c r="F596" t="s">
        <v>3876</v>
      </c>
      <c r="G596" t="s">
        <v>3877</v>
      </c>
      <c r="H596" t="s">
        <v>3878</v>
      </c>
      <c r="I596" t="s">
        <v>3879</v>
      </c>
      <c r="J596" t="s">
        <v>3880</v>
      </c>
      <c r="K596" t="s">
        <v>3881</v>
      </c>
      <c r="L596" t="s">
        <v>3874</v>
      </c>
    </row>
    <row r="597" spans="1:12" x14ac:dyDescent="0.25">
      <c r="A597">
        <v>262441</v>
      </c>
      <c r="B597">
        <v>1815304</v>
      </c>
      <c r="D597">
        <v>0</v>
      </c>
      <c r="E597" t="s">
        <v>3883</v>
      </c>
      <c r="F597" t="s">
        <v>3884</v>
      </c>
      <c r="G597" t="s">
        <v>3885</v>
      </c>
      <c r="H597" t="s">
        <v>3886</v>
      </c>
      <c r="I597" t="s">
        <v>3887</v>
      </c>
      <c r="J597" t="s">
        <v>3888</v>
      </c>
      <c r="K597" t="s">
        <v>3889</v>
      </c>
      <c r="L597" t="s">
        <v>3882</v>
      </c>
    </row>
    <row r="598" spans="1:12" x14ac:dyDescent="0.25">
      <c r="A598">
        <v>262680</v>
      </c>
      <c r="B598">
        <v>262744</v>
      </c>
      <c r="D598">
        <v>0</v>
      </c>
      <c r="E598" t="s">
        <v>3891</v>
      </c>
      <c r="F598" t="s">
        <v>3892</v>
      </c>
      <c r="G598" t="s">
        <v>3893</v>
      </c>
      <c r="H598" t="s">
        <v>3894</v>
      </c>
      <c r="I598" t="s">
        <v>3895</v>
      </c>
      <c r="J598" t="s">
        <v>3896</v>
      </c>
      <c r="K598" t="s">
        <v>3897</v>
      </c>
      <c r="L598" t="s">
        <v>3890</v>
      </c>
    </row>
    <row r="599" spans="1:12" x14ac:dyDescent="0.25">
      <c r="A599">
        <v>262680</v>
      </c>
      <c r="B599">
        <v>276887</v>
      </c>
      <c r="D599">
        <v>0</v>
      </c>
      <c r="F599">
        <v>282448</v>
      </c>
      <c r="G599">
        <v>262680</v>
      </c>
      <c r="H599" t="e" vm="263">
        <f>_FV(0,"024")</f>
        <v>#VALUE!</v>
      </c>
      <c r="I599">
        <v>276887</v>
      </c>
      <c r="J599" t="s">
        <v>2916</v>
      </c>
      <c r="K599" t="s">
        <v>3898</v>
      </c>
      <c r="L599" t="e" vm="263">
        <f>_FV(0,"024")</f>
        <v>#VALUE!</v>
      </c>
    </row>
    <row r="600" spans="1:12" x14ac:dyDescent="0.25">
      <c r="A600">
        <v>262873</v>
      </c>
      <c r="B600">
        <v>281197</v>
      </c>
      <c r="D600">
        <v>0</v>
      </c>
      <c r="E600" t="s">
        <v>3900</v>
      </c>
      <c r="F600" t="s">
        <v>3901</v>
      </c>
      <c r="G600" t="s">
        <v>3902</v>
      </c>
      <c r="H600" t="s">
        <v>3903</v>
      </c>
      <c r="I600" t="s">
        <v>3904</v>
      </c>
      <c r="J600" t="s">
        <v>3905</v>
      </c>
      <c r="K600" t="s">
        <v>3906</v>
      </c>
      <c r="L600" t="s">
        <v>3899</v>
      </c>
    </row>
    <row r="601" spans="1:12" x14ac:dyDescent="0.25">
      <c r="A601">
        <v>262873</v>
      </c>
      <c r="B601">
        <v>262878</v>
      </c>
      <c r="D601">
        <v>0</v>
      </c>
      <c r="F601">
        <v>287551</v>
      </c>
      <c r="G601">
        <v>262873</v>
      </c>
      <c r="H601" t="e" vm="224">
        <f>_FV(0,"084")</f>
        <v>#VALUE!</v>
      </c>
      <c r="I601">
        <v>262878</v>
      </c>
      <c r="J601" t="s">
        <v>3418</v>
      </c>
      <c r="K601" t="s">
        <v>3907</v>
      </c>
      <c r="L601" t="e" vm="224">
        <f>_FV(0,"084")</f>
        <v>#VALUE!</v>
      </c>
    </row>
    <row r="602" spans="1:12" x14ac:dyDescent="0.25">
      <c r="A602">
        <v>262873</v>
      </c>
      <c r="B602">
        <v>1513650</v>
      </c>
      <c r="D602">
        <v>0</v>
      </c>
      <c r="E602" t="s">
        <v>3909</v>
      </c>
      <c r="F602" t="s">
        <v>3910</v>
      </c>
      <c r="G602" t="s">
        <v>3911</v>
      </c>
      <c r="H602" t="e" vm="264">
        <f>_FV(0,"0009600690903071304")</f>
        <v>#VALUE!</v>
      </c>
      <c r="I602" t="s">
        <v>3912</v>
      </c>
      <c r="J602" t="s">
        <v>3913</v>
      </c>
      <c r="K602" t="s">
        <v>3914</v>
      </c>
      <c r="L602" t="s">
        <v>3908</v>
      </c>
    </row>
    <row r="603" spans="1:12" x14ac:dyDescent="0.25">
      <c r="A603">
        <v>262878</v>
      </c>
      <c r="B603">
        <v>281215</v>
      </c>
      <c r="D603">
        <v>0</v>
      </c>
      <c r="F603">
        <v>287543</v>
      </c>
      <c r="G603">
        <v>262878</v>
      </c>
      <c r="H603" t="s">
        <v>3915</v>
      </c>
      <c r="I603">
        <v>281215</v>
      </c>
      <c r="J603" t="s">
        <v>3915</v>
      </c>
      <c r="K603" t="s">
        <v>3916</v>
      </c>
      <c r="L603" t="s">
        <v>3915</v>
      </c>
    </row>
    <row r="604" spans="1:12" x14ac:dyDescent="0.25">
      <c r="A604">
        <v>262898</v>
      </c>
      <c r="B604">
        <v>281311</v>
      </c>
      <c r="D604">
        <v>0</v>
      </c>
      <c r="F604">
        <v>287631</v>
      </c>
      <c r="G604">
        <v>281311</v>
      </c>
      <c r="H604" t="e" vm="265">
        <f>_FV(0,"115")</f>
        <v>#VALUE!</v>
      </c>
      <c r="I604">
        <v>262898</v>
      </c>
      <c r="J604" t="s">
        <v>3004</v>
      </c>
      <c r="K604" t="s">
        <v>3917</v>
      </c>
      <c r="L604" t="e" vm="265">
        <f>_FV(0,"115")</f>
        <v>#VALUE!</v>
      </c>
    </row>
    <row r="605" spans="1:12" x14ac:dyDescent="0.25">
      <c r="A605">
        <v>262898</v>
      </c>
      <c r="B605">
        <v>1513725</v>
      </c>
      <c r="D605">
        <v>0</v>
      </c>
      <c r="E605" t="s">
        <v>3919</v>
      </c>
      <c r="F605" t="s">
        <v>3920</v>
      </c>
      <c r="G605" t="s">
        <v>3921</v>
      </c>
      <c r="H605" t="e" vm="266">
        <f>_FV(0,"02607036830651842")</f>
        <v>#VALUE!</v>
      </c>
      <c r="I605" t="s">
        <v>3922</v>
      </c>
      <c r="J605" t="s">
        <v>3923</v>
      </c>
      <c r="K605" t="s">
        <v>3924</v>
      </c>
      <c r="L605" t="s">
        <v>3918</v>
      </c>
    </row>
    <row r="606" spans="1:12" x14ac:dyDescent="0.25">
      <c r="A606">
        <v>262898</v>
      </c>
      <c r="B606">
        <v>281271</v>
      </c>
      <c r="D606">
        <v>0</v>
      </c>
      <c r="E606" t="s">
        <v>3926</v>
      </c>
      <c r="F606" t="s">
        <v>3927</v>
      </c>
      <c r="G606" t="s">
        <v>3928</v>
      </c>
      <c r="H606" t="e" vm="267">
        <f>_FV(0,"0009254445377723359")</f>
        <v>#VALUE!</v>
      </c>
      <c r="I606" t="s">
        <v>3929</v>
      </c>
      <c r="J606" t="s">
        <v>3930</v>
      </c>
      <c r="K606" t="s">
        <v>3931</v>
      </c>
      <c r="L606" t="s">
        <v>3925</v>
      </c>
    </row>
    <row r="607" spans="1:12" x14ac:dyDescent="0.25">
      <c r="A607">
        <v>262957</v>
      </c>
      <c r="B607">
        <v>262962</v>
      </c>
      <c r="D607">
        <v>0</v>
      </c>
      <c r="E607" t="s">
        <v>3933</v>
      </c>
      <c r="F607" t="s">
        <v>3934</v>
      </c>
      <c r="G607" t="s">
        <v>3935</v>
      </c>
      <c r="H607" t="s">
        <v>3936</v>
      </c>
      <c r="I607" t="s">
        <v>3937</v>
      </c>
      <c r="J607" t="s">
        <v>3938</v>
      </c>
      <c r="K607" t="s">
        <v>3939</v>
      </c>
      <c r="L607" t="s">
        <v>3932</v>
      </c>
    </row>
    <row r="608" spans="1:12" x14ac:dyDescent="0.25">
      <c r="A608">
        <v>262957</v>
      </c>
      <c r="B608">
        <v>285723</v>
      </c>
      <c r="D608">
        <v>0</v>
      </c>
      <c r="F608">
        <v>292950</v>
      </c>
      <c r="G608">
        <v>262957</v>
      </c>
      <c r="H608" t="e" vm="268">
        <f>_FV(0,"022")</f>
        <v>#VALUE!</v>
      </c>
      <c r="I608">
        <v>285723</v>
      </c>
      <c r="J608" t="s">
        <v>3940</v>
      </c>
      <c r="K608" t="s">
        <v>3941</v>
      </c>
      <c r="L608" t="e" vm="268">
        <f>_FV(0,"022")</f>
        <v>#VALUE!</v>
      </c>
    </row>
    <row r="609" spans="1:12" x14ac:dyDescent="0.25">
      <c r="A609">
        <v>262962</v>
      </c>
      <c r="B609">
        <v>285710</v>
      </c>
      <c r="D609">
        <v>0</v>
      </c>
      <c r="F609">
        <v>292926</v>
      </c>
      <c r="G609">
        <v>285710</v>
      </c>
      <c r="H609" t="s">
        <v>1939</v>
      </c>
      <c r="I609">
        <v>262962</v>
      </c>
      <c r="J609" t="s">
        <v>1939</v>
      </c>
      <c r="K609" t="s">
        <v>3942</v>
      </c>
      <c r="L609" t="s">
        <v>1939</v>
      </c>
    </row>
    <row r="610" spans="1:12" x14ac:dyDescent="0.25">
      <c r="A610">
        <v>263020</v>
      </c>
      <c r="B610">
        <v>263021</v>
      </c>
      <c r="D610">
        <v>0</v>
      </c>
      <c r="F610">
        <v>265160</v>
      </c>
      <c r="G610">
        <v>263021</v>
      </c>
      <c r="H610" t="s">
        <v>3418</v>
      </c>
      <c r="I610">
        <v>263020</v>
      </c>
      <c r="J610" t="s">
        <v>3418</v>
      </c>
      <c r="K610" t="s">
        <v>3943</v>
      </c>
      <c r="L610" t="s">
        <v>3418</v>
      </c>
    </row>
    <row r="611" spans="1:12" x14ac:dyDescent="0.25">
      <c r="A611">
        <v>263051</v>
      </c>
      <c r="B611">
        <v>263061</v>
      </c>
      <c r="D611">
        <v>0</v>
      </c>
      <c r="E611" t="s">
        <v>3945</v>
      </c>
      <c r="F611" t="s">
        <v>3946</v>
      </c>
      <c r="G611" t="s">
        <v>3947</v>
      </c>
      <c r="H611" t="e" vm="269">
        <f>_FV(0,"14677453354065437")</f>
        <v>#VALUE!</v>
      </c>
      <c r="I611" t="s">
        <v>3948</v>
      </c>
      <c r="J611" t="s">
        <v>3949</v>
      </c>
      <c r="K611" t="s">
        <v>3950</v>
      </c>
      <c r="L611" t="s">
        <v>3944</v>
      </c>
    </row>
    <row r="612" spans="1:12" x14ac:dyDescent="0.25">
      <c r="A612">
        <v>263051</v>
      </c>
      <c r="B612">
        <v>326002</v>
      </c>
      <c r="D612">
        <v>0</v>
      </c>
      <c r="F612">
        <v>336764</v>
      </c>
      <c r="G612">
        <v>263051</v>
      </c>
      <c r="H612" t="s">
        <v>187</v>
      </c>
      <c r="I612">
        <v>326002</v>
      </c>
      <c r="J612" t="s">
        <v>187</v>
      </c>
      <c r="K612" t="s">
        <v>3951</v>
      </c>
      <c r="L612" t="s">
        <v>187</v>
      </c>
    </row>
    <row r="613" spans="1:12" x14ac:dyDescent="0.25">
      <c r="A613">
        <v>263061</v>
      </c>
      <c r="B613">
        <v>286632</v>
      </c>
      <c r="D613">
        <v>0</v>
      </c>
      <c r="F613">
        <v>293991</v>
      </c>
      <c r="G613">
        <v>263061</v>
      </c>
      <c r="H613" t="s">
        <v>187</v>
      </c>
      <c r="I613">
        <v>286632</v>
      </c>
      <c r="J613" t="s">
        <v>187</v>
      </c>
      <c r="K613" t="s">
        <v>3952</v>
      </c>
      <c r="L613" t="s">
        <v>187</v>
      </c>
    </row>
    <row r="614" spans="1:12" x14ac:dyDescent="0.25">
      <c r="A614">
        <v>263081</v>
      </c>
      <c r="B614">
        <v>263094</v>
      </c>
      <c r="D614">
        <v>0</v>
      </c>
      <c r="E614" t="s">
        <v>3954</v>
      </c>
      <c r="F614" t="s">
        <v>3955</v>
      </c>
      <c r="G614" t="s">
        <v>3956</v>
      </c>
      <c r="H614" t="e" vm="270">
        <f>_FV(0,"0001604239228083632")</f>
        <v>#VALUE!</v>
      </c>
      <c r="I614" t="s">
        <v>3957</v>
      </c>
      <c r="J614" t="s">
        <v>3958</v>
      </c>
      <c r="K614" t="s">
        <v>3959</v>
      </c>
      <c r="L614" t="s">
        <v>3953</v>
      </c>
    </row>
    <row r="615" spans="1:12" x14ac:dyDescent="0.25">
      <c r="A615">
        <v>263081</v>
      </c>
      <c r="B615">
        <v>325618</v>
      </c>
      <c r="D615">
        <v>0</v>
      </c>
      <c r="E615" t="s">
        <v>3961</v>
      </c>
      <c r="F615" t="s">
        <v>3962</v>
      </c>
      <c r="G615" t="s">
        <v>3963</v>
      </c>
      <c r="H615" t="s">
        <v>3964</v>
      </c>
      <c r="I615" t="s">
        <v>3965</v>
      </c>
      <c r="J615" t="s">
        <v>3966</v>
      </c>
      <c r="K615" t="s">
        <v>3967</v>
      </c>
      <c r="L615" t="s">
        <v>3960</v>
      </c>
    </row>
    <row r="616" spans="1:12" x14ac:dyDescent="0.25">
      <c r="A616">
        <v>263259</v>
      </c>
      <c r="B616">
        <v>320518</v>
      </c>
      <c r="D616" t="s">
        <v>3969</v>
      </c>
      <c r="E616" t="s">
        <v>3970</v>
      </c>
      <c r="F616" t="s">
        <v>3971</v>
      </c>
      <c r="G616" t="s">
        <v>3972</v>
      </c>
      <c r="H616" t="e" vm="271">
        <f>_FV(0,"0089598568535941")</f>
        <v>#VALUE!</v>
      </c>
      <c r="I616" t="s">
        <v>3973</v>
      </c>
      <c r="J616" t="s">
        <v>3974</v>
      </c>
      <c r="K616" t="s">
        <v>3975</v>
      </c>
      <c r="L616" t="s">
        <v>3968</v>
      </c>
    </row>
    <row r="617" spans="1:12" x14ac:dyDescent="0.25">
      <c r="A617">
        <v>264384</v>
      </c>
      <c r="B617">
        <v>264407</v>
      </c>
      <c r="D617">
        <v>0</v>
      </c>
      <c r="E617" t="s">
        <v>3977</v>
      </c>
      <c r="F617" t="s">
        <v>3978</v>
      </c>
      <c r="G617" t="s">
        <v>3979</v>
      </c>
      <c r="H617" t="s">
        <v>3980</v>
      </c>
      <c r="I617" t="s">
        <v>3981</v>
      </c>
      <c r="J617" t="s">
        <v>3976</v>
      </c>
      <c r="K617" t="s">
        <v>3982</v>
      </c>
      <c r="L617" t="s">
        <v>3976</v>
      </c>
    </row>
    <row r="618" spans="1:12" x14ac:dyDescent="0.25">
      <c r="A618">
        <v>264407</v>
      </c>
      <c r="B618">
        <v>264414</v>
      </c>
      <c r="D618">
        <v>0</v>
      </c>
      <c r="F618">
        <v>267115</v>
      </c>
      <c r="G618">
        <v>264414</v>
      </c>
      <c r="H618" t="s">
        <v>761</v>
      </c>
      <c r="I618">
        <v>264407</v>
      </c>
      <c r="J618" t="s">
        <v>761</v>
      </c>
      <c r="K618" t="s">
        <v>3983</v>
      </c>
      <c r="L618" t="s">
        <v>761</v>
      </c>
    </row>
    <row r="619" spans="1:12" x14ac:dyDescent="0.25">
      <c r="A619">
        <v>264414</v>
      </c>
      <c r="B619">
        <v>264493</v>
      </c>
      <c r="D619" t="s">
        <v>3985</v>
      </c>
      <c r="E619" t="s">
        <v>3986</v>
      </c>
      <c r="F619" t="s">
        <v>3987</v>
      </c>
      <c r="G619" t="s">
        <v>3988</v>
      </c>
      <c r="H619" t="e" vm="272">
        <f>_FV(0,"00034194758918872385")</f>
        <v>#VALUE!</v>
      </c>
      <c r="I619" t="s">
        <v>3989</v>
      </c>
      <c r="J619" t="s">
        <v>3990</v>
      </c>
      <c r="K619" t="s">
        <v>3991</v>
      </c>
      <c r="L619" t="s">
        <v>3984</v>
      </c>
    </row>
    <row r="620" spans="1:12" x14ac:dyDescent="0.25">
      <c r="A620">
        <v>264493</v>
      </c>
      <c r="B620">
        <v>264500</v>
      </c>
      <c r="D620">
        <v>0</v>
      </c>
      <c r="F620">
        <v>267211</v>
      </c>
      <c r="G620">
        <v>264500</v>
      </c>
      <c r="H620" t="s">
        <v>239</v>
      </c>
      <c r="I620">
        <v>264493</v>
      </c>
      <c r="J620" t="s">
        <v>239</v>
      </c>
      <c r="K620" t="s">
        <v>3992</v>
      </c>
      <c r="L620" t="s">
        <v>239</v>
      </c>
    </row>
    <row r="621" spans="1:12" x14ac:dyDescent="0.25">
      <c r="A621">
        <v>264500</v>
      </c>
      <c r="B621">
        <v>264521</v>
      </c>
      <c r="D621">
        <v>0</v>
      </c>
      <c r="E621" t="s">
        <v>3994</v>
      </c>
      <c r="F621" t="s">
        <v>3995</v>
      </c>
      <c r="G621" t="s">
        <v>3996</v>
      </c>
      <c r="H621" t="s">
        <v>3997</v>
      </c>
      <c r="I621" t="s">
        <v>3998</v>
      </c>
      <c r="J621" t="s">
        <v>3993</v>
      </c>
      <c r="K621" t="s">
        <v>3999</v>
      </c>
      <c r="L621" t="s">
        <v>3993</v>
      </c>
    </row>
    <row r="622" spans="1:12" x14ac:dyDescent="0.25">
      <c r="A622">
        <v>264521</v>
      </c>
      <c r="B622">
        <v>264541</v>
      </c>
      <c r="D622">
        <v>0</v>
      </c>
      <c r="E622" t="s">
        <v>4001</v>
      </c>
      <c r="F622" t="s">
        <v>4002</v>
      </c>
      <c r="G622" t="s">
        <v>4003</v>
      </c>
      <c r="H622" t="s">
        <v>4004</v>
      </c>
      <c r="I622" t="s">
        <v>4005</v>
      </c>
      <c r="J622" t="s">
        <v>4000</v>
      </c>
      <c r="K622" t="s">
        <v>4006</v>
      </c>
      <c r="L622" t="s">
        <v>4000</v>
      </c>
    </row>
    <row r="623" spans="1:12" x14ac:dyDescent="0.25">
      <c r="A623">
        <v>264541</v>
      </c>
      <c r="B623">
        <v>264624</v>
      </c>
      <c r="D623">
        <v>0</v>
      </c>
      <c r="E623" t="s">
        <v>4008</v>
      </c>
      <c r="F623" t="s">
        <v>4009</v>
      </c>
      <c r="G623" t="s">
        <v>4010</v>
      </c>
      <c r="H623" t="s">
        <v>4011</v>
      </c>
      <c r="I623" t="s">
        <v>4012</v>
      </c>
      <c r="J623" t="s">
        <v>4013</v>
      </c>
      <c r="K623" t="s">
        <v>4014</v>
      </c>
      <c r="L623" t="s">
        <v>4007</v>
      </c>
    </row>
    <row r="624" spans="1:12" x14ac:dyDescent="0.25">
      <c r="A624">
        <v>264624</v>
      </c>
      <c r="B624">
        <v>264633</v>
      </c>
      <c r="D624">
        <v>0</v>
      </c>
      <c r="F624">
        <v>267363</v>
      </c>
      <c r="G624">
        <v>264633</v>
      </c>
      <c r="H624" t="s">
        <v>239</v>
      </c>
      <c r="I624">
        <v>264624</v>
      </c>
      <c r="J624" t="s">
        <v>239</v>
      </c>
      <c r="K624" t="s">
        <v>4015</v>
      </c>
      <c r="L624" t="s">
        <v>239</v>
      </c>
    </row>
    <row r="625" spans="1:12" x14ac:dyDescent="0.25">
      <c r="A625">
        <v>264624</v>
      </c>
      <c r="B625">
        <v>266418</v>
      </c>
      <c r="D625">
        <v>0</v>
      </c>
      <c r="E625" t="s">
        <v>4017</v>
      </c>
      <c r="F625" t="s">
        <v>4018</v>
      </c>
      <c r="G625" t="s">
        <v>4019</v>
      </c>
      <c r="H625" t="e" vm="273">
        <f>_FV(0,"014293385752096958")</f>
        <v>#VALUE!</v>
      </c>
      <c r="I625" t="s">
        <v>4020</v>
      </c>
      <c r="J625" t="s">
        <v>4021</v>
      </c>
      <c r="K625" t="s">
        <v>4022</v>
      </c>
      <c r="L625" t="s">
        <v>4016</v>
      </c>
    </row>
    <row r="626" spans="1:12" x14ac:dyDescent="0.25">
      <c r="A626">
        <v>264633</v>
      </c>
      <c r="B626">
        <v>264673</v>
      </c>
      <c r="D626" t="s">
        <v>1866</v>
      </c>
      <c r="E626" t="s">
        <v>4024</v>
      </c>
      <c r="F626" t="s">
        <v>4025</v>
      </c>
      <c r="G626" t="s">
        <v>4026</v>
      </c>
      <c r="H626" t="s">
        <v>4027</v>
      </c>
      <c r="I626" t="s">
        <v>4028</v>
      </c>
      <c r="J626" t="s">
        <v>4023</v>
      </c>
      <c r="K626" t="s">
        <v>4029</v>
      </c>
      <c r="L626" t="s">
        <v>4023</v>
      </c>
    </row>
    <row r="627" spans="1:12" x14ac:dyDescent="0.25">
      <c r="A627">
        <v>264633</v>
      </c>
      <c r="B627">
        <v>266400</v>
      </c>
      <c r="D627">
        <v>0</v>
      </c>
      <c r="E627" t="s">
        <v>4031</v>
      </c>
      <c r="F627" t="s">
        <v>4032</v>
      </c>
      <c r="G627" t="s">
        <v>4033</v>
      </c>
      <c r="H627" t="s">
        <v>4034</v>
      </c>
      <c r="I627" t="s">
        <v>4035</v>
      </c>
      <c r="J627" t="s">
        <v>4036</v>
      </c>
      <c r="K627" t="s">
        <v>4037</v>
      </c>
      <c r="L627" t="s">
        <v>4030</v>
      </c>
    </row>
    <row r="628" spans="1:12" x14ac:dyDescent="0.25">
      <c r="A628">
        <v>264673</v>
      </c>
      <c r="B628">
        <v>264680</v>
      </c>
      <c r="D628">
        <v>0</v>
      </c>
      <c r="F628">
        <v>267411</v>
      </c>
      <c r="G628">
        <v>264680</v>
      </c>
      <c r="H628" t="s">
        <v>4038</v>
      </c>
      <c r="I628">
        <v>264673</v>
      </c>
      <c r="J628" t="s">
        <v>4038</v>
      </c>
      <c r="K628" t="s">
        <v>4039</v>
      </c>
      <c r="L628" t="s">
        <v>4038</v>
      </c>
    </row>
    <row r="629" spans="1:12" x14ac:dyDescent="0.25">
      <c r="A629">
        <v>264673</v>
      </c>
      <c r="B629">
        <v>266418</v>
      </c>
      <c r="D629" t="s">
        <v>514</v>
      </c>
      <c r="E629" t="s">
        <v>4041</v>
      </c>
      <c r="F629" t="s">
        <v>4042</v>
      </c>
      <c r="G629" t="s">
        <v>4043</v>
      </c>
      <c r="H629" t="e" vm="274">
        <f>_FV(0,"03772539862784576")</f>
        <v>#VALUE!</v>
      </c>
      <c r="I629" t="s">
        <v>4044</v>
      </c>
      <c r="J629" t="s">
        <v>4045</v>
      </c>
      <c r="K629" t="s">
        <v>4046</v>
      </c>
      <c r="L629" t="s">
        <v>4040</v>
      </c>
    </row>
    <row r="630" spans="1:12" x14ac:dyDescent="0.25">
      <c r="A630">
        <v>264680</v>
      </c>
      <c r="B630">
        <v>264703</v>
      </c>
      <c r="D630">
        <v>0</v>
      </c>
      <c r="E630" t="s">
        <v>4048</v>
      </c>
      <c r="F630" t="s">
        <v>4049</v>
      </c>
      <c r="G630" t="s">
        <v>4050</v>
      </c>
      <c r="H630" t="s">
        <v>4051</v>
      </c>
      <c r="I630" t="s">
        <v>4052</v>
      </c>
      <c r="J630" t="s">
        <v>4053</v>
      </c>
      <c r="K630" t="s">
        <v>4054</v>
      </c>
      <c r="L630" t="s">
        <v>4047</v>
      </c>
    </row>
    <row r="631" spans="1:12" x14ac:dyDescent="0.25">
      <c r="A631">
        <v>264680</v>
      </c>
      <c r="B631">
        <v>266400</v>
      </c>
      <c r="D631" t="s">
        <v>514</v>
      </c>
      <c r="E631" t="s">
        <v>4056</v>
      </c>
      <c r="F631" t="s">
        <v>4057</v>
      </c>
      <c r="G631" t="s">
        <v>4058</v>
      </c>
      <c r="H631" t="s">
        <v>4059</v>
      </c>
      <c r="I631" t="s">
        <v>4060</v>
      </c>
      <c r="J631" t="s">
        <v>4061</v>
      </c>
      <c r="K631" t="s">
        <v>4062</v>
      </c>
      <c r="L631" t="s">
        <v>4055</v>
      </c>
    </row>
    <row r="632" spans="1:12" x14ac:dyDescent="0.25">
      <c r="A632">
        <v>264703</v>
      </c>
      <c r="B632">
        <v>266557</v>
      </c>
      <c r="D632">
        <v>0</v>
      </c>
      <c r="E632" t="s">
        <v>4064</v>
      </c>
      <c r="F632" t="s">
        <v>4065</v>
      </c>
      <c r="G632" t="s">
        <v>4066</v>
      </c>
      <c r="H632" t="e" vm="275">
        <f>_FV(0,"09945669227157254")</f>
        <v>#VALUE!</v>
      </c>
      <c r="I632" t="s">
        <v>4067</v>
      </c>
      <c r="J632" t="s">
        <v>4068</v>
      </c>
      <c r="K632" t="s">
        <v>4069</v>
      </c>
      <c r="L632" t="s">
        <v>4063</v>
      </c>
    </row>
    <row r="633" spans="1:12" x14ac:dyDescent="0.25">
      <c r="A633">
        <v>264806</v>
      </c>
      <c r="B633">
        <v>1571131</v>
      </c>
      <c r="D633">
        <v>0</v>
      </c>
      <c r="E633" t="s">
        <v>4071</v>
      </c>
      <c r="F633" t="s">
        <v>4072</v>
      </c>
      <c r="G633" t="s">
        <v>4073</v>
      </c>
      <c r="H633" t="s">
        <v>4074</v>
      </c>
      <c r="I633" t="s">
        <v>4075</v>
      </c>
      <c r="J633" t="s">
        <v>4076</v>
      </c>
      <c r="K633" t="s">
        <v>4077</v>
      </c>
      <c r="L633" t="s">
        <v>4070</v>
      </c>
    </row>
    <row r="634" spans="1:12" x14ac:dyDescent="0.25">
      <c r="A634">
        <v>264806</v>
      </c>
      <c r="B634">
        <v>1571197</v>
      </c>
      <c r="D634">
        <v>0</v>
      </c>
      <c r="E634" t="s">
        <v>4079</v>
      </c>
      <c r="F634" t="s">
        <v>4080</v>
      </c>
      <c r="G634" t="s">
        <v>4081</v>
      </c>
      <c r="H634" t="s">
        <v>4082</v>
      </c>
      <c r="I634" t="s">
        <v>4083</v>
      </c>
      <c r="J634" t="s">
        <v>4084</v>
      </c>
      <c r="K634" t="s">
        <v>4085</v>
      </c>
      <c r="L634" t="s">
        <v>4078</v>
      </c>
    </row>
    <row r="635" spans="1:12" x14ac:dyDescent="0.25">
      <c r="A635">
        <v>264812</v>
      </c>
      <c r="B635">
        <v>1571099</v>
      </c>
      <c r="D635">
        <v>0</v>
      </c>
      <c r="E635" t="s">
        <v>4087</v>
      </c>
      <c r="F635" t="s">
        <v>4088</v>
      </c>
      <c r="G635" t="s">
        <v>4089</v>
      </c>
      <c r="H635" t="e" vm="276">
        <f>_FV(0,"08660257892851687")</f>
        <v>#VALUE!</v>
      </c>
      <c r="I635" t="s">
        <v>4090</v>
      </c>
      <c r="J635" t="s">
        <v>4091</v>
      </c>
      <c r="K635" t="s">
        <v>4092</v>
      </c>
      <c r="L635" t="s">
        <v>4086</v>
      </c>
    </row>
    <row r="636" spans="1:12" x14ac:dyDescent="0.25">
      <c r="A636">
        <v>264812</v>
      </c>
      <c r="B636">
        <v>1571111</v>
      </c>
      <c r="D636">
        <v>0</v>
      </c>
      <c r="E636" t="s">
        <v>4094</v>
      </c>
      <c r="F636" t="s">
        <v>4095</v>
      </c>
      <c r="G636" t="s">
        <v>4096</v>
      </c>
      <c r="H636" t="e" vm="277">
        <f>_FV(0,"10870353255285886")</f>
        <v>#VALUE!</v>
      </c>
      <c r="I636" t="s">
        <v>4097</v>
      </c>
      <c r="J636" t="s">
        <v>4098</v>
      </c>
      <c r="K636" t="s">
        <v>4099</v>
      </c>
      <c r="L636" t="s">
        <v>4093</v>
      </c>
    </row>
    <row r="637" spans="1:12" x14ac:dyDescent="0.25">
      <c r="A637">
        <v>265029</v>
      </c>
      <c r="B637">
        <v>265049</v>
      </c>
      <c r="D637">
        <v>0</v>
      </c>
      <c r="E637" t="s">
        <v>4101</v>
      </c>
      <c r="F637" t="s">
        <v>4102</v>
      </c>
      <c r="G637" t="s">
        <v>4103</v>
      </c>
      <c r="H637" t="e" vm="278">
        <f>_FV(0,"007099202862698323")</f>
        <v>#VALUE!</v>
      </c>
      <c r="I637" t="s">
        <v>4104</v>
      </c>
      <c r="J637" t="s">
        <v>4105</v>
      </c>
      <c r="K637" t="s">
        <v>4106</v>
      </c>
      <c r="L637" t="s">
        <v>4100</v>
      </c>
    </row>
    <row r="638" spans="1:12" x14ac:dyDescent="0.25">
      <c r="A638">
        <v>265029</v>
      </c>
      <c r="B638">
        <v>265084</v>
      </c>
      <c r="D638">
        <v>0</v>
      </c>
      <c r="E638" t="s">
        <v>4108</v>
      </c>
      <c r="F638" t="s">
        <v>4109</v>
      </c>
      <c r="G638" t="s">
        <v>4110</v>
      </c>
      <c r="H638" t="e" vm="279">
        <f>_FV(0,"02047254292390493")</f>
        <v>#VALUE!</v>
      </c>
      <c r="I638" t="s">
        <v>4111</v>
      </c>
      <c r="J638" t="s">
        <v>4112</v>
      </c>
      <c r="K638" t="s">
        <v>4113</v>
      </c>
      <c r="L638" t="s">
        <v>4107</v>
      </c>
    </row>
    <row r="639" spans="1:12" x14ac:dyDescent="0.25">
      <c r="A639">
        <v>265029</v>
      </c>
      <c r="B639">
        <v>265123</v>
      </c>
      <c r="D639">
        <v>0</v>
      </c>
      <c r="E639" t="s">
        <v>4115</v>
      </c>
      <c r="F639" t="s">
        <v>4116</v>
      </c>
      <c r="G639" t="s">
        <v>4117</v>
      </c>
      <c r="H639" t="e" vm="280">
        <f>_FV(0,"011597302637494915")</f>
        <v>#VALUE!</v>
      </c>
      <c r="I639" t="s">
        <v>4118</v>
      </c>
      <c r="J639" t="s">
        <v>4119</v>
      </c>
      <c r="K639" t="s">
        <v>4120</v>
      </c>
      <c r="L639" t="s">
        <v>4114</v>
      </c>
    </row>
    <row r="640" spans="1:12" x14ac:dyDescent="0.25">
      <c r="A640">
        <v>265049</v>
      </c>
      <c r="B640">
        <v>265059</v>
      </c>
      <c r="D640">
        <v>0</v>
      </c>
      <c r="E640" t="s">
        <v>4121</v>
      </c>
      <c r="F640" t="s">
        <v>4122</v>
      </c>
      <c r="G640" t="s">
        <v>4123</v>
      </c>
      <c r="H640" t="s">
        <v>4124</v>
      </c>
      <c r="I640" t="s">
        <v>4125</v>
      </c>
      <c r="J640" t="s">
        <v>2138</v>
      </c>
      <c r="K640" t="s">
        <v>4126</v>
      </c>
      <c r="L640" t="s">
        <v>2138</v>
      </c>
    </row>
    <row r="641" spans="1:12" x14ac:dyDescent="0.25">
      <c r="A641">
        <v>265049</v>
      </c>
      <c r="B641">
        <v>265157</v>
      </c>
      <c r="D641">
        <v>0</v>
      </c>
      <c r="E641" t="s">
        <v>4128</v>
      </c>
      <c r="F641" t="s">
        <v>4129</v>
      </c>
      <c r="G641" t="s">
        <v>4130</v>
      </c>
      <c r="H641" t="e" vm="281">
        <f>_FV(0,"007353108553530858")</f>
        <v>#VALUE!</v>
      </c>
      <c r="I641" t="s">
        <v>4131</v>
      </c>
      <c r="J641" t="s">
        <v>4132</v>
      </c>
      <c r="K641" t="s">
        <v>4133</v>
      </c>
      <c r="L641" t="s">
        <v>4127</v>
      </c>
    </row>
    <row r="642" spans="1:12" x14ac:dyDescent="0.25">
      <c r="A642">
        <v>265059</v>
      </c>
      <c r="B642">
        <v>265084</v>
      </c>
      <c r="D642">
        <v>0</v>
      </c>
      <c r="E642" t="s">
        <v>4135</v>
      </c>
      <c r="F642" t="s">
        <v>4136</v>
      </c>
      <c r="G642" t="s">
        <v>4137</v>
      </c>
      <c r="H642" t="s">
        <v>4138</v>
      </c>
      <c r="I642" t="s">
        <v>4139</v>
      </c>
      <c r="J642" t="s">
        <v>4140</v>
      </c>
      <c r="K642" t="s">
        <v>4141</v>
      </c>
      <c r="L642" t="s">
        <v>4134</v>
      </c>
    </row>
    <row r="643" spans="1:12" x14ac:dyDescent="0.25">
      <c r="A643">
        <v>265059</v>
      </c>
      <c r="B643">
        <v>265157</v>
      </c>
      <c r="D643">
        <v>0</v>
      </c>
      <c r="E643" t="s">
        <v>4143</v>
      </c>
      <c r="F643" t="s">
        <v>4144</v>
      </c>
      <c r="G643" t="s">
        <v>4145</v>
      </c>
      <c r="H643" t="e" vm="282">
        <f>_FV(0,"014681579115804245")</f>
        <v>#VALUE!</v>
      </c>
      <c r="I643" t="s">
        <v>4146</v>
      </c>
      <c r="J643" t="s">
        <v>4147</v>
      </c>
      <c r="K643" t="s">
        <v>4148</v>
      </c>
      <c r="L643" t="s">
        <v>4142</v>
      </c>
    </row>
    <row r="644" spans="1:12" x14ac:dyDescent="0.25">
      <c r="A644">
        <v>265084</v>
      </c>
      <c r="B644">
        <v>265123</v>
      </c>
      <c r="D644">
        <v>0</v>
      </c>
      <c r="E644" t="s">
        <v>4150</v>
      </c>
      <c r="F644" t="s">
        <v>4151</v>
      </c>
      <c r="G644" t="s">
        <v>4152</v>
      </c>
      <c r="H644" t="e" vm="283">
        <f>_FV(0,"003089483834409846")</f>
        <v>#VALUE!</v>
      </c>
      <c r="I644" t="s">
        <v>4153</v>
      </c>
      <c r="J644" t="s">
        <v>4154</v>
      </c>
      <c r="K644" t="s">
        <v>4155</v>
      </c>
      <c r="L644" t="s">
        <v>4149</v>
      </c>
    </row>
    <row r="645" spans="1:12" x14ac:dyDescent="0.25">
      <c r="A645">
        <v>265123</v>
      </c>
      <c r="B645">
        <v>1292044</v>
      </c>
      <c r="D645">
        <v>0</v>
      </c>
      <c r="E645" t="s">
        <v>4157</v>
      </c>
      <c r="F645" t="s">
        <v>4158</v>
      </c>
      <c r="G645" t="s">
        <v>4159</v>
      </c>
      <c r="H645" t="e" vm="284">
        <f>_FV(0,"010524376279615826")</f>
        <v>#VALUE!</v>
      </c>
      <c r="I645" t="s">
        <v>4160</v>
      </c>
      <c r="J645" t="s">
        <v>4161</v>
      </c>
      <c r="K645" t="s">
        <v>4162</v>
      </c>
      <c r="L645" t="s">
        <v>4156</v>
      </c>
    </row>
    <row r="646" spans="1:12" x14ac:dyDescent="0.25">
      <c r="A646">
        <v>265157</v>
      </c>
      <c r="B646">
        <v>824500</v>
      </c>
      <c r="D646">
        <v>0</v>
      </c>
      <c r="E646" t="s">
        <v>4164</v>
      </c>
      <c r="F646" t="s">
        <v>4165</v>
      </c>
      <c r="G646" t="s">
        <v>4166</v>
      </c>
      <c r="H646" t="e" vm="285">
        <f>_FV(0,"0174916717720595")</f>
        <v>#VALUE!</v>
      </c>
      <c r="I646" t="s">
        <v>4167</v>
      </c>
      <c r="J646" t="s">
        <v>4168</v>
      </c>
      <c r="K646" t="s">
        <v>4169</v>
      </c>
      <c r="L646" t="s">
        <v>4163</v>
      </c>
    </row>
    <row r="647" spans="1:12" x14ac:dyDescent="0.25">
      <c r="A647">
        <v>266400</v>
      </c>
      <c r="B647">
        <v>266412</v>
      </c>
      <c r="D647">
        <v>0</v>
      </c>
      <c r="E647" t="s">
        <v>4171</v>
      </c>
      <c r="F647" t="s">
        <v>4172</v>
      </c>
      <c r="G647" t="s">
        <v>4173</v>
      </c>
      <c r="H647" t="s">
        <v>4174</v>
      </c>
      <c r="I647" t="s">
        <v>4175</v>
      </c>
      <c r="J647" t="s">
        <v>4170</v>
      </c>
      <c r="K647" t="s">
        <v>4176</v>
      </c>
      <c r="L647" t="s">
        <v>4170</v>
      </c>
    </row>
    <row r="648" spans="1:12" x14ac:dyDescent="0.25">
      <c r="A648">
        <v>266417</v>
      </c>
      <c r="B648">
        <v>266418</v>
      </c>
      <c r="D648">
        <v>0</v>
      </c>
      <c r="F648">
        <v>269530</v>
      </c>
      <c r="G648">
        <v>266418</v>
      </c>
      <c r="H648" t="e" vm="144">
        <f>_FV(0,"003")</f>
        <v>#VALUE!</v>
      </c>
      <c r="I648">
        <v>266417</v>
      </c>
      <c r="J648" t="s">
        <v>1783</v>
      </c>
      <c r="K648" t="s">
        <v>4177</v>
      </c>
      <c r="L648" t="e" vm="144">
        <f>_FV(0,"003")</f>
        <v>#VALUE!</v>
      </c>
    </row>
    <row r="649" spans="1:12" x14ac:dyDescent="0.25">
      <c r="A649">
        <v>266557</v>
      </c>
      <c r="B649">
        <v>266564</v>
      </c>
      <c r="D649">
        <v>0</v>
      </c>
      <c r="E649" t="s">
        <v>4179</v>
      </c>
      <c r="F649" t="s">
        <v>4180</v>
      </c>
      <c r="G649" t="s">
        <v>4182</v>
      </c>
      <c r="H649" t="s">
        <v>4183</v>
      </c>
      <c r="I649" t="s">
        <v>4184</v>
      </c>
      <c r="J649" t="s">
        <v>4178</v>
      </c>
      <c r="K649" t="s">
        <v>4185</v>
      </c>
      <c r="L649" t="s">
        <v>4178</v>
      </c>
    </row>
    <row r="650" spans="1:12" x14ac:dyDescent="0.25">
      <c r="A650">
        <v>266564</v>
      </c>
      <c r="B650">
        <v>273000</v>
      </c>
      <c r="D650">
        <v>0</v>
      </c>
      <c r="E650" t="s">
        <v>4187</v>
      </c>
      <c r="F650" t="s">
        <v>4188</v>
      </c>
      <c r="G650" t="s">
        <v>4189</v>
      </c>
      <c r="H650" t="s">
        <v>4190</v>
      </c>
      <c r="I650" t="s">
        <v>4191</v>
      </c>
      <c r="J650" t="s">
        <v>4192</v>
      </c>
      <c r="K650" t="s">
        <v>4193</v>
      </c>
      <c r="L650" t="s">
        <v>4186</v>
      </c>
    </row>
    <row r="651" spans="1:12" x14ac:dyDescent="0.25">
      <c r="A651">
        <v>266753</v>
      </c>
      <c r="B651">
        <v>266773</v>
      </c>
      <c r="D651">
        <v>0</v>
      </c>
      <c r="E651" t="s">
        <v>4195</v>
      </c>
      <c r="F651" t="s">
        <v>4196</v>
      </c>
      <c r="G651" t="s">
        <v>4197</v>
      </c>
      <c r="H651" t="e" vm="286">
        <f>_FV(0,"015356849278249207")</f>
        <v>#VALUE!</v>
      </c>
      <c r="I651" t="s">
        <v>4198</v>
      </c>
      <c r="J651" t="s">
        <v>4199</v>
      </c>
      <c r="K651" t="s">
        <v>4200</v>
      </c>
      <c r="L651" t="s">
        <v>4194</v>
      </c>
    </row>
    <row r="652" spans="1:12" x14ac:dyDescent="0.25">
      <c r="A652">
        <v>266773</v>
      </c>
      <c r="B652">
        <v>266787</v>
      </c>
      <c r="D652">
        <v>0</v>
      </c>
      <c r="E652" t="s">
        <v>4201</v>
      </c>
      <c r="F652" t="s">
        <v>4202</v>
      </c>
      <c r="G652" t="s">
        <v>4203</v>
      </c>
      <c r="H652" t="s">
        <v>4204</v>
      </c>
      <c r="I652" t="s">
        <v>4205</v>
      </c>
      <c r="J652" t="s">
        <v>2676</v>
      </c>
      <c r="K652" t="s">
        <v>4206</v>
      </c>
      <c r="L652" t="s">
        <v>2676</v>
      </c>
    </row>
    <row r="653" spans="1:12" x14ac:dyDescent="0.25">
      <c r="A653">
        <v>266773</v>
      </c>
      <c r="B653">
        <v>287991</v>
      </c>
      <c r="D653">
        <v>0</v>
      </c>
      <c r="E653" t="s">
        <v>4208</v>
      </c>
      <c r="F653" t="s">
        <v>4209</v>
      </c>
      <c r="G653" t="s">
        <v>4210</v>
      </c>
      <c r="H653" t="e" vm="287">
        <f>_FV(0,"017158540667559265")</f>
        <v>#VALUE!</v>
      </c>
      <c r="I653" t="s">
        <v>4211</v>
      </c>
      <c r="J653" t="s">
        <v>4212</v>
      </c>
      <c r="K653" t="s">
        <v>4213</v>
      </c>
      <c r="L653" t="s">
        <v>4207</v>
      </c>
    </row>
    <row r="654" spans="1:12" x14ac:dyDescent="0.25">
      <c r="A654">
        <v>266787</v>
      </c>
      <c r="B654">
        <v>287991</v>
      </c>
      <c r="D654">
        <v>0</v>
      </c>
      <c r="E654" t="s">
        <v>4215</v>
      </c>
      <c r="F654" t="s">
        <v>4216</v>
      </c>
      <c r="G654" t="s">
        <v>4217</v>
      </c>
      <c r="H654" t="e" vm="288">
        <f>_FV(0,"005474158835753482")</f>
        <v>#VALUE!</v>
      </c>
      <c r="I654" t="s">
        <v>4218</v>
      </c>
      <c r="J654" t="s">
        <v>4219</v>
      </c>
      <c r="K654" t="s">
        <v>4220</v>
      </c>
      <c r="L654" t="s">
        <v>4214</v>
      </c>
    </row>
    <row r="655" spans="1:12" x14ac:dyDescent="0.25">
      <c r="A655">
        <v>269219</v>
      </c>
      <c r="B655">
        <v>269231</v>
      </c>
      <c r="D655">
        <v>0</v>
      </c>
      <c r="E655" t="s">
        <v>4222</v>
      </c>
      <c r="F655" t="s">
        <v>4223</v>
      </c>
      <c r="G655" t="s">
        <v>4224</v>
      </c>
      <c r="H655" t="e" vm="289">
        <f>_FV(0,"016003513456629103")</f>
        <v>#VALUE!</v>
      </c>
      <c r="I655" t="s">
        <v>4225</v>
      </c>
      <c r="J655" t="s">
        <v>4226</v>
      </c>
      <c r="K655" t="s">
        <v>4227</v>
      </c>
      <c r="L655" t="s">
        <v>4221</v>
      </c>
    </row>
    <row r="656" spans="1:12" x14ac:dyDescent="0.25">
      <c r="A656">
        <v>269219</v>
      </c>
      <c r="B656">
        <v>1280434</v>
      </c>
      <c r="D656" t="s">
        <v>4229</v>
      </c>
      <c r="E656" t="s">
        <v>4230</v>
      </c>
      <c r="F656" t="s">
        <v>4231</v>
      </c>
      <c r="G656" t="s">
        <v>4232</v>
      </c>
      <c r="H656" t="s">
        <v>4233</v>
      </c>
      <c r="I656" t="s">
        <v>4234</v>
      </c>
      <c r="J656" t="s">
        <v>4235</v>
      </c>
      <c r="K656" t="s">
        <v>4236</v>
      </c>
      <c r="L656" t="s">
        <v>4228</v>
      </c>
    </row>
    <row r="657" spans="1:12" x14ac:dyDescent="0.25">
      <c r="A657">
        <v>269219</v>
      </c>
      <c r="B657">
        <v>1280437</v>
      </c>
      <c r="D657" t="s">
        <v>4238</v>
      </c>
      <c r="E657" t="s">
        <v>4239</v>
      </c>
      <c r="F657" t="s">
        <v>4240</v>
      </c>
      <c r="G657" t="s">
        <v>4241</v>
      </c>
      <c r="H657" t="s">
        <v>4242</v>
      </c>
      <c r="I657" t="s">
        <v>4243</v>
      </c>
      <c r="J657" t="s">
        <v>4244</v>
      </c>
      <c r="K657" t="s">
        <v>4245</v>
      </c>
      <c r="L657" t="s">
        <v>4237</v>
      </c>
    </row>
    <row r="658" spans="1:12" x14ac:dyDescent="0.25">
      <c r="A658">
        <v>269231</v>
      </c>
      <c r="B658">
        <v>1153865</v>
      </c>
      <c r="D658">
        <v>0</v>
      </c>
      <c r="F658">
        <v>1232315</v>
      </c>
      <c r="G658">
        <v>1153865</v>
      </c>
      <c r="H658" t="s">
        <v>1589</v>
      </c>
      <c r="I658">
        <v>269231</v>
      </c>
      <c r="J658" t="s">
        <v>1589</v>
      </c>
      <c r="K658" t="s">
        <v>4246</v>
      </c>
      <c r="L658" t="s">
        <v>1589</v>
      </c>
    </row>
    <row r="659" spans="1:12" x14ac:dyDescent="0.25">
      <c r="A659">
        <v>269231</v>
      </c>
      <c r="B659">
        <v>1153906</v>
      </c>
      <c r="D659">
        <v>0</v>
      </c>
      <c r="E659" t="s">
        <v>4248</v>
      </c>
      <c r="F659" t="s">
        <v>4249</v>
      </c>
      <c r="G659" t="s">
        <v>4250</v>
      </c>
      <c r="H659" t="s">
        <v>4251</v>
      </c>
      <c r="I659" t="s">
        <v>4252</v>
      </c>
      <c r="J659" t="s">
        <v>4253</v>
      </c>
      <c r="K659" t="s">
        <v>4254</v>
      </c>
      <c r="L659" t="s">
        <v>4247</v>
      </c>
    </row>
    <row r="660" spans="1:12" x14ac:dyDescent="0.25">
      <c r="A660">
        <v>273000</v>
      </c>
      <c r="B660">
        <v>273005</v>
      </c>
      <c r="D660">
        <v>0</v>
      </c>
      <c r="E660" t="s">
        <v>4256</v>
      </c>
      <c r="F660" t="s">
        <v>4257</v>
      </c>
      <c r="G660" t="s">
        <v>4258</v>
      </c>
      <c r="H660" t="e" vm="290">
        <f>_FV(0,"03344470060328079")</f>
        <v>#VALUE!</v>
      </c>
      <c r="I660" t="s">
        <v>4259</v>
      </c>
      <c r="J660" t="s">
        <v>4260</v>
      </c>
      <c r="K660" t="s">
        <v>4261</v>
      </c>
      <c r="L660" t="s">
        <v>4255</v>
      </c>
    </row>
    <row r="661" spans="1:12" x14ac:dyDescent="0.25">
      <c r="A661">
        <v>273000</v>
      </c>
      <c r="B661">
        <v>273005</v>
      </c>
      <c r="D661">
        <v>0</v>
      </c>
      <c r="E661" t="s">
        <v>4263</v>
      </c>
      <c r="F661" t="s">
        <v>4264</v>
      </c>
      <c r="G661" t="s">
        <v>4265</v>
      </c>
      <c r="H661" t="e" vm="291">
        <f>_FV(0,"033021712364774594")</f>
        <v>#VALUE!</v>
      </c>
      <c r="I661" t="s">
        <v>4266</v>
      </c>
      <c r="J661" t="s">
        <v>4267</v>
      </c>
      <c r="K661" t="s">
        <v>4268</v>
      </c>
      <c r="L661" t="s">
        <v>4262</v>
      </c>
    </row>
    <row r="662" spans="1:12" x14ac:dyDescent="0.25">
      <c r="A662">
        <v>273005</v>
      </c>
      <c r="B662">
        <v>1360708</v>
      </c>
      <c r="C662" t="s">
        <v>4270</v>
      </c>
      <c r="D662" t="s">
        <v>4271</v>
      </c>
      <c r="E662" t="s">
        <v>4272</v>
      </c>
      <c r="F662" t="s">
        <v>4273</v>
      </c>
      <c r="G662" t="s">
        <v>4274</v>
      </c>
      <c r="H662" t="e" vm="292">
        <f>_FV(0,"016137700280590892")</f>
        <v>#VALUE!</v>
      </c>
      <c r="I662" t="s">
        <v>4275</v>
      </c>
      <c r="J662" t="s">
        <v>4276</v>
      </c>
      <c r="K662" t="s">
        <v>4277</v>
      </c>
      <c r="L662" t="s">
        <v>4269</v>
      </c>
    </row>
    <row r="663" spans="1:12" x14ac:dyDescent="0.25">
      <c r="A663">
        <v>273189</v>
      </c>
      <c r="B663">
        <v>716655</v>
      </c>
      <c r="D663">
        <v>0</v>
      </c>
      <c r="E663" t="s">
        <v>4279</v>
      </c>
      <c r="F663" t="s">
        <v>4280</v>
      </c>
      <c r="G663" t="s">
        <v>4281</v>
      </c>
      <c r="H663" t="s">
        <v>4282</v>
      </c>
      <c r="I663" t="s">
        <v>4283</v>
      </c>
      <c r="J663" t="s">
        <v>4284</v>
      </c>
      <c r="K663" t="s">
        <v>4285</v>
      </c>
      <c r="L663" t="s">
        <v>4278</v>
      </c>
    </row>
    <row r="664" spans="1:12" x14ac:dyDescent="0.25">
      <c r="A664">
        <v>273189</v>
      </c>
      <c r="B664">
        <v>719528</v>
      </c>
      <c r="D664">
        <v>0</v>
      </c>
      <c r="E664" t="s">
        <v>4287</v>
      </c>
      <c r="F664" t="s">
        <v>4288</v>
      </c>
      <c r="G664" t="s">
        <v>4289</v>
      </c>
      <c r="H664" t="e" vm="293">
        <f>_FV(0,"007646548091348292")</f>
        <v>#VALUE!</v>
      </c>
      <c r="I664" t="s">
        <v>4290</v>
      </c>
      <c r="J664" t="s">
        <v>763</v>
      </c>
      <c r="K664" t="s">
        <v>4291</v>
      </c>
      <c r="L664" t="s">
        <v>4286</v>
      </c>
    </row>
    <row r="665" spans="1:12" x14ac:dyDescent="0.25">
      <c r="A665">
        <v>273189</v>
      </c>
      <c r="B665">
        <v>733245</v>
      </c>
      <c r="D665">
        <v>0</v>
      </c>
      <c r="E665" t="s">
        <v>4293</v>
      </c>
      <c r="F665" t="s">
        <v>4294</v>
      </c>
      <c r="G665" t="s">
        <v>4295</v>
      </c>
      <c r="H665" t="e" vm="294">
        <f>_FV(0,"0150354680830785")</f>
        <v>#VALUE!</v>
      </c>
      <c r="I665" t="s">
        <v>4296</v>
      </c>
      <c r="J665" t="s">
        <v>4297</v>
      </c>
      <c r="K665" t="s">
        <v>4298</v>
      </c>
      <c r="L665" t="s">
        <v>4292</v>
      </c>
    </row>
    <row r="666" spans="1:12" x14ac:dyDescent="0.25">
      <c r="A666">
        <v>274794</v>
      </c>
      <c r="B666">
        <v>274845</v>
      </c>
      <c r="D666">
        <v>0</v>
      </c>
      <c r="F666">
        <v>279912</v>
      </c>
      <c r="G666">
        <v>274845</v>
      </c>
      <c r="H666" t="s">
        <v>250</v>
      </c>
      <c r="I666">
        <v>274794</v>
      </c>
      <c r="J666" t="s">
        <v>250</v>
      </c>
      <c r="K666" t="s">
        <v>4299</v>
      </c>
      <c r="L666" t="s">
        <v>250</v>
      </c>
    </row>
    <row r="667" spans="1:12" x14ac:dyDescent="0.25">
      <c r="A667">
        <v>274794</v>
      </c>
      <c r="B667">
        <v>274810</v>
      </c>
      <c r="D667" t="s">
        <v>4301</v>
      </c>
      <c r="E667" t="s">
        <v>4302</v>
      </c>
      <c r="F667" t="s">
        <v>4303</v>
      </c>
      <c r="G667" t="s">
        <v>4304</v>
      </c>
      <c r="H667" t="e" vm="295">
        <f>_FV(0,"0008528506698947529")</f>
        <v>#VALUE!</v>
      </c>
      <c r="I667" t="s">
        <v>4305</v>
      </c>
      <c r="J667" t="s">
        <v>4306</v>
      </c>
      <c r="K667" t="s">
        <v>4307</v>
      </c>
      <c r="L667" t="s">
        <v>4300</v>
      </c>
    </row>
    <row r="668" spans="1:12" x14ac:dyDescent="0.25">
      <c r="A668">
        <v>274794</v>
      </c>
      <c r="B668">
        <v>274851</v>
      </c>
      <c r="D668">
        <v>0</v>
      </c>
      <c r="F668">
        <v>279920</v>
      </c>
      <c r="G668">
        <v>274794</v>
      </c>
      <c r="H668" t="s">
        <v>3758</v>
      </c>
      <c r="I668">
        <v>274851</v>
      </c>
      <c r="J668" t="s">
        <v>3758</v>
      </c>
      <c r="K668" t="s">
        <v>4308</v>
      </c>
      <c r="L668" t="s">
        <v>3758</v>
      </c>
    </row>
    <row r="669" spans="1:12" x14ac:dyDescent="0.25">
      <c r="A669">
        <v>274794</v>
      </c>
      <c r="B669">
        <v>580544</v>
      </c>
      <c r="D669">
        <v>0</v>
      </c>
      <c r="E669" t="s">
        <v>4310</v>
      </c>
      <c r="F669" t="s">
        <v>4311</v>
      </c>
      <c r="G669" t="s">
        <v>4312</v>
      </c>
      <c r="H669" t="s">
        <v>4313</v>
      </c>
      <c r="I669" t="s">
        <v>4314</v>
      </c>
      <c r="J669" t="s">
        <v>4315</v>
      </c>
      <c r="K669" t="s">
        <v>4316</v>
      </c>
      <c r="L669" t="s">
        <v>4309</v>
      </c>
    </row>
    <row r="670" spans="1:12" x14ac:dyDescent="0.25">
      <c r="A670">
        <v>274810</v>
      </c>
      <c r="B670">
        <v>580543</v>
      </c>
      <c r="D670">
        <v>0</v>
      </c>
      <c r="E670" t="s">
        <v>4318</v>
      </c>
      <c r="F670" t="s">
        <v>4319</v>
      </c>
      <c r="G670" t="s">
        <v>4320</v>
      </c>
      <c r="H670" t="e" vm="296">
        <f>_FV(0,"00714890344523385")</f>
        <v>#VALUE!</v>
      </c>
      <c r="I670" t="s">
        <v>4321</v>
      </c>
      <c r="J670" t="s">
        <v>4322</v>
      </c>
      <c r="K670" t="s">
        <v>4323</v>
      </c>
      <c r="L670" t="s">
        <v>4317</v>
      </c>
    </row>
    <row r="671" spans="1:12" x14ac:dyDescent="0.25">
      <c r="A671">
        <v>274810</v>
      </c>
      <c r="B671">
        <v>274832</v>
      </c>
      <c r="D671">
        <v>0</v>
      </c>
      <c r="E671" t="s">
        <v>4325</v>
      </c>
      <c r="F671" t="s">
        <v>4326</v>
      </c>
      <c r="G671" t="s">
        <v>4327</v>
      </c>
      <c r="H671" t="e" vm="297">
        <f>_FV(0,"008833276369195894")</f>
        <v>#VALUE!</v>
      </c>
      <c r="I671" t="s">
        <v>4328</v>
      </c>
      <c r="J671" t="s">
        <v>4329</v>
      </c>
      <c r="K671" t="s">
        <v>4330</v>
      </c>
      <c r="L671" t="s">
        <v>4324</v>
      </c>
    </row>
    <row r="672" spans="1:12" x14ac:dyDescent="0.25">
      <c r="A672">
        <v>274810</v>
      </c>
      <c r="B672">
        <v>274838</v>
      </c>
      <c r="D672">
        <v>0</v>
      </c>
      <c r="F672">
        <v>279904</v>
      </c>
      <c r="G672">
        <v>274810</v>
      </c>
      <c r="H672" t="e" vm="298">
        <f>_FV(0,"044")</f>
        <v>#VALUE!</v>
      </c>
      <c r="I672">
        <v>274838</v>
      </c>
      <c r="J672" t="s">
        <v>4331</v>
      </c>
      <c r="K672" t="s">
        <v>4332</v>
      </c>
      <c r="L672" t="e" vm="298">
        <f>_FV(0,"044")</f>
        <v>#VALUE!</v>
      </c>
    </row>
    <row r="673" spans="1:12" x14ac:dyDescent="0.25">
      <c r="A673">
        <v>274832</v>
      </c>
      <c r="B673">
        <v>274838</v>
      </c>
      <c r="D673">
        <v>0</v>
      </c>
      <c r="E673" t="s">
        <v>4334</v>
      </c>
      <c r="F673" t="s">
        <v>4335</v>
      </c>
      <c r="G673" t="s">
        <v>4336</v>
      </c>
      <c r="H673" t="s">
        <v>4337</v>
      </c>
      <c r="I673" t="s">
        <v>4338</v>
      </c>
      <c r="J673" t="s">
        <v>4333</v>
      </c>
      <c r="K673" t="s">
        <v>4339</v>
      </c>
      <c r="L673" t="s">
        <v>4333</v>
      </c>
    </row>
    <row r="674" spans="1:12" x14ac:dyDescent="0.25">
      <c r="A674">
        <v>274832</v>
      </c>
      <c r="B674">
        <v>624026</v>
      </c>
      <c r="D674">
        <v>0</v>
      </c>
      <c r="E674" t="s">
        <v>4341</v>
      </c>
      <c r="F674" t="s">
        <v>4342</v>
      </c>
      <c r="G674" t="s">
        <v>4343</v>
      </c>
      <c r="H674" t="e" vm="299">
        <f>_FV(0,"007245640430863964")</f>
        <v>#VALUE!</v>
      </c>
      <c r="I674" t="s">
        <v>4344</v>
      </c>
      <c r="J674" t="s">
        <v>4345</v>
      </c>
      <c r="K674" t="s">
        <v>4346</v>
      </c>
      <c r="L674" t="s">
        <v>4340</v>
      </c>
    </row>
    <row r="675" spans="1:12" x14ac:dyDescent="0.25">
      <c r="A675">
        <v>274838</v>
      </c>
      <c r="B675">
        <v>623104</v>
      </c>
      <c r="D675">
        <v>0</v>
      </c>
      <c r="E675" t="s">
        <v>4348</v>
      </c>
      <c r="F675" t="s">
        <v>4349</v>
      </c>
      <c r="G675" t="s">
        <v>4350</v>
      </c>
      <c r="H675" t="s">
        <v>4351</v>
      </c>
      <c r="I675" t="s">
        <v>4352</v>
      </c>
      <c r="J675" t="s">
        <v>4347</v>
      </c>
      <c r="K675" t="s">
        <v>4353</v>
      </c>
      <c r="L675" t="s">
        <v>4347</v>
      </c>
    </row>
    <row r="676" spans="1:12" x14ac:dyDescent="0.25">
      <c r="A676">
        <v>274845</v>
      </c>
      <c r="B676">
        <v>579009</v>
      </c>
      <c r="D676">
        <v>0</v>
      </c>
      <c r="E676" t="s">
        <v>4355</v>
      </c>
      <c r="F676" t="s">
        <v>4356</v>
      </c>
      <c r="G676" t="s">
        <v>4357</v>
      </c>
      <c r="H676" t="s">
        <v>4358</v>
      </c>
      <c r="I676" t="s">
        <v>4359</v>
      </c>
      <c r="J676" t="s">
        <v>4360</v>
      </c>
      <c r="K676" t="s">
        <v>4361</v>
      </c>
      <c r="L676" t="s">
        <v>4354</v>
      </c>
    </row>
    <row r="677" spans="1:12" x14ac:dyDescent="0.25">
      <c r="A677">
        <v>274845</v>
      </c>
      <c r="B677">
        <v>274851</v>
      </c>
      <c r="D677">
        <v>0</v>
      </c>
      <c r="E677" t="s">
        <v>4363</v>
      </c>
      <c r="F677" t="s">
        <v>4364</v>
      </c>
      <c r="G677" t="s">
        <v>4365</v>
      </c>
      <c r="H677" t="s">
        <v>4366</v>
      </c>
      <c r="I677" t="s">
        <v>4367</v>
      </c>
      <c r="J677" t="s">
        <v>4368</v>
      </c>
      <c r="K677" t="s">
        <v>4369</v>
      </c>
      <c r="L677" t="s">
        <v>4362</v>
      </c>
    </row>
    <row r="678" spans="1:12" x14ac:dyDescent="0.25">
      <c r="A678">
        <v>274851</v>
      </c>
      <c r="B678">
        <v>621637</v>
      </c>
      <c r="D678">
        <v>0</v>
      </c>
      <c r="E678" t="s">
        <v>4371</v>
      </c>
      <c r="F678" t="s">
        <v>4372</v>
      </c>
      <c r="G678" t="s">
        <v>4373</v>
      </c>
      <c r="H678" t="e" vm="300">
        <f>_FV(0,"005028064130978592")</f>
        <v>#VALUE!</v>
      </c>
      <c r="I678" t="s">
        <v>4374</v>
      </c>
      <c r="J678" t="s">
        <v>4375</v>
      </c>
      <c r="K678" t="s">
        <v>4376</v>
      </c>
      <c r="L678" t="s">
        <v>4370</v>
      </c>
    </row>
    <row r="679" spans="1:12" x14ac:dyDescent="0.25">
      <c r="A679">
        <v>277299</v>
      </c>
      <c r="B679">
        <v>277335</v>
      </c>
      <c r="D679">
        <v>0</v>
      </c>
      <c r="E679" t="s">
        <v>4378</v>
      </c>
      <c r="F679" t="s">
        <v>4379</v>
      </c>
      <c r="G679" t="s">
        <v>4381</v>
      </c>
      <c r="H679" t="s">
        <v>4382</v>
      </c>
      <c r="I679" t="s">
        <v>4383</v>
      </c>
      <c r="J679" t="s">
        <v>4377</v>
      </c>
      <c r="K679" t="s">
        <v>4384</v>
      </c>
      <c r="L679" t="s">
        <v>4377</v>
      </c>
    </row>
    <row r="680" spans="1:12" x14ac:dyDescent="0.25">
      <c r="A680">
        <v>277299</v>
      </c>
      <c r="B680">
        <v>794419</v>
      </c>
      <c r="D680">
        <v>0</v>
      </c>
      <c r="E680" t="s">
        <v>4386</v>
      </c>
      <c r="F680" t="s">
        <v>4387</v>
      </c>
      <c r="G680" t="s">
        <v>4388</v>
      </c>
      <c r="H680" t="s">
        <v>4389</v>
      </c>
      <c r="I680" t="s">
        <v>4390</v>
      </c>
      <c r="J680" t="s">
        <v>4385</v>
      </c>
      <c r="K680" t="s">
        <v>4391</v>
      </c>
      <c r="L680" t="s">
        <v>4385</v>
      </c>
    </row>
    <row r="681" spans="1:12" x14ac:dyDescent="0.25">
      <c r="A681">
        <v>277299</v>
      </c>
      <c r="B681">
        <v>1692454</v>
      </c>
      <c r="C681" t="s">
        <v>4393</v>
      </c>
      <c r="D681">
        <v>0</v>
      </c>
      <c r="E681" t="s">
        <v>4394</v>
      </c>
      <c r="F681" t="s">
        <v>4395</v>
      </c>
      <c r="G681" t="s">
        <v>4396</v>
      </c>
      <c r="H681" t="e" vm="301">
        <f>_FV(0,"0024962720269895906")</f>
        <v>#VALUE!</v>
      </c>
      <c r="I681" t="s">
        <v>4397</v>
      </c>
      <c r="J681" t="s">
        <v>4398</v>
      </c>
      <c r="K681" t="s">
        <v>4399</v>
      </c>
      <c r="L681" t="s">
        <v>4392</v>
      </c>
    </row>
    <row r="682" spans="1:12" x14ac:dyDescent="0.25">
      <c r="A682">
        <v>277335</v>
      </c>
      <c r="B682">
        <v>794419</v>
      </c>
      <c r="D682">
        <v>0</v>
      </c>
      <c r="E682" t="s">
        <v>4401</v>
      </c>
      <c r="F682" t="s">
        <v>4402</v>
      </c>
      <c r="G682" t="s">
        <v>4403</v>
      </c>
      <c r="H682" t="s">
        <v>4404</v>
      </c>
      <c r="I682" t="s">
        <v>4405</v>
      </c>
      <c r="J682" t="s">
        <v>4406</v>
      </c>
      <c r="K682" t="s">
        <v>4407</v>
      </c>
      <c r="L682" t="s">
        <v>4400</v>
      </c>
    </row>
    <row r="683" spans="1:12" x14ac:dyDescent="0.25">
      <c r="A683">
        <v>277335</v>
      </c>
      <c r="B683">
        <v>523187</v>
      </c>
      <c r="D683">
        <v>0</v>
      </c>
      <c r="E683" t="s">
        <v>4409</v>
      </c>
      <c r="F683" t="s">
        <v>4410</v>
      </c>
      <c r="G683" t="s">
        <v>4411</v>
      </c>
      <c r="H683" t="s">
        <v>4412</v>
      </c>
      <c r="I683" t="s">
        <v>4413</v>
      </c>
      <c r="J683" t="s">
        <v>4414</v>
      </c>
      <c r="K683" t="s">
        <v>4415</v>
      </c>
      <c r="L683" t="s">
        <v>4408</v>
      </c>
    </row>
    <row r="684" spans="1:12" x14ac:dyDescent="0.25">
      <c r="A684">
        <v>277335</v>
      </c>
      <c r="B684">
        <v>740687</v>
      </c>
      <c r="D684">
        <v>0</v>
      </c>
      <c r="E684" t="s">
        <v>4417</v>
      </c>
      <c r="F684" t="s">
        <v>4418</v>
      </c>
      <c r="G684" t="s">
        <v>4419</v>
      </c>
      <c r="H684" t="s">
        <v>4420</v>
      </c>
      <c r="I684" t="s">
        <v>4421</v>
      </c>
      <c r="J684" t="s">
        <v>4422</v>
      </c>
      <c r="K684" t="s">
        <v>4423</v>
      </c>
      <c r="L684" t="s">
        <v>4416</v>
      </c>
    </row>
    <row r="685" spans="1:12" x14ac:dyDescent="0.25">
      <c r="A685">
        <v>277366</v>
      </c>
      <c r="B685">
        <v>277388</v>
      </c>
      <c r="D685">
        <v>0</v>
      </c>
      <c r="F685">
        <v>283037</v>
      </c>
      <c r="G685">
        <v>277388</v>
      </c>
      <c r="H685" t="s">
        <v>1589</v>
      </c>
      <c r="I685">
        <v>277366</v>
      </c>
      <c r="J685" t="s">
        <v>1589</v>
      </c>
      <c r="K685" t="s">
        <v>4424</v>
      </c>
      <c r="L685" t="s">
        <v>1589</v>
      </c>
    </row>
    <row r="686" spans="1:12" x14ac:dyDescent="0.25">
      <c r="A686">
        <v>277366</v>
      </c>
      <c r="B686">
        <v>628008</v>
      </c>
      <c r="D686">
        <v>0</v>
      </c>
      <c r="E686" t="s">
        <v>4426</v>
      </c>
      <c r="F686" t="s">
        <v>4427</v>
      </c>
      <c r="G686" t="s">
        <v>4428</v>
      </c>
      <c r="H686" t="e" vm="302">
        <f>_FV(0,"02809429371474351")</f>
        <v>#VALUE!</v>
      </c>
      <c r="I686" t="s">
        <v>4429</v>
      </c>
      <c r="J686" t="s">
        <v>4430</v>
      </c>
      <c r="K686" t="s">
        <v>4431</v>
      </c>
      <c r="L686" t="s">
        <v>4425</v>
      </c>
    </row>
    <row r="687" spans="1:12" x14ac:dyDescent="0.25">
      <c r="A687">
        <v>277366</v>
      </c>
      <c r="B687">
        <v>627828</v>
      </c>
      <c r="D687">
        <v>0</v>
      </c>
      <c r="E687" t="s">
        <v>4433</v>
      </c>
      <c r="F687" t="s">
        <v>4434</v>
      </c>
      <c r="G687" t="s">
        <v>4435</v>
      </c>
      <c r="H687" t="s">
        <v>4436</v>
      </c>
      <c r="I687" t="s">
        <v>4437</v>
      </c>
      <c r="J687" t="s">
        <v>4438</v>
      </c>
      <c r="K687" t="s">
        <v>4439</v>
      </c>
      <c r="L687" t="s">
        <v>4432</v>
      </c>
    </row>
    <row r="688" spans="1:12" x14ac:dyDescent="0.25">
      <c r="A688">
        <v>277388</v>
      </c>
      <c r="B688">
        <v>315960</v>
      </c>
      <c r="D688">
        <v>0</v>
      </c>
      <c r="E688" t="s">
        <v>4441</v>
      </c>
      <c r="F688" t="s">
        <v>4442</v>
      </c>
      <c r="G688" t="s">
        <v>4443</v>
      </c>
      <c r="H688" t="e" vm="303">
        <f>_FV(0,"005210333591467267")</f>
        <v>#VALUE!</v>
      </c>
      <c r="I688" t="s">
        <v>4444</v>
      </c>
      <c r="J688" t="s">
        <v>4445</v>
      </c>
      <c r="K688" t="s">
        <v>4446</v>
      </c>
      <c r="L688" t="s">
        <v>4440</v>
      </c>
    </row>
    <row r="689" spans="1:12" x14ac:dyDescent="0.25">
      <c r="A689">
        <v>277388</v>
      </c>
      <c r="B689">
        <v>277450</v>
      </c>
      <c r="D689">
        <v>0</v>
      </c>
      <c r="E689" t="s">
        <v>4448</v>
      </c>
      <c r="F689" t="s">
        <v>4449</v>
      </c>
      <c r="G689" t="s">
        <v>4450</v>
      </c>
      <c r="H689" t="e" vm="304">
        <f>_FV(0,"029160765927272455")</f>
        <v>#VALUE!</v>
      </c>
      <c r="I689" t="s">
        <v>4451</v>
      </c>
      <c r="J689" t="s">
        <v>4452</v>
      </c>
      <c r="K689" t="s">
        <v>4453</v>
      </c>
      <c r="L689" t="s">
        <v>4447</v>
      </c>
    </row>
    <row r="690" spans="1:12" x14ac:dyDescent="0.25">
      <c r="A690">
        <v>277472</v>
      </c>
      <c r="B690">
        <v>315960</v>
      </c>
      <c r="D690">
        <v>0</v>
      </c>
      <c r="E690" t="s">
        <v>4455</v>
      </c>
      <c r="F690" t="s">
        <v>4456</v>
      </c>
      <c r="G690" t="s">
        <v>4457</v>
      </c>
      <c r="H690" t="e" vm="305">
        <f>_FV(0,"03740713058704881")</f>
        <v>#VALUE!</v>
      </c>
      <c r="I690" t="s">
        <v>4458</v>
      </c>
      <c r="J690" t="s">
        <v>4459</v>
      </c>
      <c r="K690" t="s">
        <v>4460</v>
      </c>
      <c r="L690" t="s">
        <v>4454</v>
      </c>
    </row>
    <row r="691" spans="1:12" x14ac:dyDescent="0.25">
      <c r="A691">
        <v>277472</v>
      </c>
      <c r="B691">
        <v>643519</v>
      </c>
      <c r="D691">
        <v>0</v>
      </c>
      <c r="E691" t="s">
        <v>4462</v>
      </c>
      <c r="F691" t="s">
        <v>4463</v>
      </c>
      <c r="G691" t="s">
        <v>4464</v>
      </c>
      <c r="H691" t="e" vm="306">
        <f>_FV(0,"03761455839649033")</f>
        <v>#VALUE!</v>
      </c>
      <c r="I691" t="s">
        <v>4465</v>
      </c>
      <c r="J691" t="s">
        <v>4466</v>
      </c>
      <c r="K691" t="s">
        <v>4467</v>
      </c>
      <c r="L691" t="s">
        <v>4461</v>
      </c>
    </row>
    <row r="692" spans="1:12" x14ac:dyDescent="0.25">
      <c r="A692">
        <v>278659</v>
      </c>
      <c r="B692">
        <v>278681</v>
      </c>
      <c r="D692">
        <v>0</v>
      </c>
      <c r="E692" t="s">
        <v>4469</v>
      </c>
      <c r="F692" t="s">
        <v>4470</v>
      </c>
      <c r="G692" t="s">
        <v>4471</v>
      </c>
      <c r="H692" t="e" vm="307">
        <f>_FV(0,"01753027304988824")</f>
        <v>#VALUE!</v>
      </c>
      <c r="I692" t="s">
        <v>4472</v>
      </c>
      <c r="J692" t="s">
        <v>4473</v>
      </c>
      <c r="K692" t="s">
        <v>4474</v>
      </c>
      <c r="L692" t="s">
        <v>4468</v>
      </c>
    </row>
    <row r="693" spans="1:12" x14ac:dyDescent="0.25">
      <c r="A693">
        <v>278659</v>
      </c>
      <c r="B693">
        <v>278701</v>
      </c>
      <c r="D693">
        <v>0</v>
      </c>
      <c r="E693" t="s">
        <v>4476</v>
      </c>
      <c r="F693" t="s">
        <v>4477</v>
      </c>
      <c r="G693" t="s">
        <v>4478</v>
      </c>
      <c r="H693" t="e" vm="308">
        <f>_FV(0,"012875974158852872")</f>
        <v>#VALUE!</v>
      </c>
      <c r="I693" t="s">
        <v>4479</v>
      </c>
      <c r="J693" t="s">
        <v>4480</v>
      </c>
      <c r="K693" t="s">
        <v>4481</v>
      </c>
      <c r="L693" t="s">
        <v>4475</v>
      </c>
    </row>
    <row r="694" spans="1:12" x14ac:dyDescent="0.25">
      <c r="A694">
        <v>278659</v>
      </c>
      <c r="B694">
        <v>278721</v>
      </c>
      <c r="D694">
        <v>0</v>
      </c>
      <c r="E694" t="s">
        <v>4483</v>
      </c>
      <c r="F694" t="s">
        <v>4484</v>
      </c>
      <c r="G694" t="s">
        <v>4485</v>
      </c>
      <c r="H694" t="e" vm="309">
        <f>_FV(0,"028686537081679116")</f>
        <v>#VALUE!</v>
      </c>
      <c r="I694" t="s">
        <v>4486</v>
      </c>
      <c r="J694" t="s">
        <v>4487</v>
      </c>
      <c r="K694" t="s">
        <v>4488</v>
      </c>
      <c r="L694" t="s">
        <v>4482</v>
      </c>
    </row>
    <row r="695" spans="1:12" x14ac:dyDescent="0.25">
      <c r="A695">
        <v>278681</v>
      </c>
      <c r="B695">
        <v>278697</v>
      </c>
      <c r="D695">
        <v>0</v>
      </c>
      <c r="E695" t="s">
        <v>4490</v>
      </c>
      <c r="F695" t="s">
        <v>4491</v>
      </c>
      <c r="G695" t="s">
        <v>4492</v>
      </c>
      <c r="H695" t="s">
        <v>4493</v>
      </c>
      <c r="I695" t="s">
        <v>4494</v>
      </c>
      <c r="J695" t="s">
        <v>4489</v>
      </c>
      <c r="K695" t="s">
        <v>4495</v>
      </c>
      <c r="L695" t="s">
        <v>4489</v>
      </c>
    </row>
    <row r="696" spans="1:12" x14ac:dyDescent="0.25">
      <c r="A696">
        <v>278681</v>
      </c>
      <c r="B696">
        <v>278735</v>
      </c>
      <c r="D696">
        <v>0</v>
      </c>
      <c r="E696" t="s">
        <v>4497</v>
      </c>
      <c r="F696" t="s">
        <v>4498</v>
      </c>
      <c r="G696" t="s">
        <v>4499</v>
      </c>
      <c r="H696" t="s">
        <v>4500</v>
      </c>
      <c r="I696" t="s">
        <v>4501</v>
      </c>
      <c r="J696" t="s">
        <v>4502</v>
      </c>
      <c r="K696" t="s">
        <v>4503</v>
      </c>
      <c r="L696" t="s">
        <v>4496</v>
      </c>
    </row>
    <row r="697" spans="1:12" x14ac:dyDescent="0.25">
      <c r="A697">
        <v>278697</v>
      </c>
      <c r="B697">
        <v>278701</v>
      </c>
      <c r="D697">
        <v>0</v>
      </c>
      <c r="F697">
        <v>284587</v>
      </c>
      <c r="G697">
        <v>278701</v>
      </c>
      <c r="H697" t="s">
        <v>890</v>
      </c>
      <c r="I697">
        <v>278697</v>
      </c>
      <c r="J697" t="s">
        <v>890</v>
      </c>
      <c r="K697" t="s">
        <v>4504</v>
      </c>
      <c r="L697" t="s">
        <v>890</v>
      </c>
    </row>
    <row r="698" spans="1:12" x14ac:dyDescent="0.25">
      <c r="A698">
        <v>278697</v>
      </c>
      <c r="B698">
        <v>278735</v>
      </c>
      <c r="D698">
        <v>0</v>
      </c>
      <c r="E698" t="s">
        <v>4506</v>
      </c>
      <c r="F698" t="s">
        <v>4507</v>
      </c>
      <c r="G698" t="s">
        <v>4508</v>
      </c>
      <c r="H698" t="s">
        <v>4509</v>
      </c>
      <c r="I698" t="s">
        <v>4510</v>
      </c>
      <c r="J698" t="s">
        <v>4505</v>
      </c>
      <c r="K698" t="s">
        <v>4511</v>
      </c>
      <c r="L698" t="s">
        <v>4505</v>
      </c>
    </row>
    <row r="699" spans="1:12" x14ac:dyDescent="0.25">
      <c r="A699">
        <v>278701</v>
      </c>
      <c r="B699">
        <v>278721</v>
      </c>
      <c r="D699">
        <v>0</v>
      </c>
      <c r="E699" t="s">
        <v>4513</v>
      </c>
      <c r="F699" t="s">
        <v>4514</v>
      </c>
      <c r="G699" t="s">
        <v>4515</v>
      </c>
      <c r="H699" t="e" vm="310">
        <f>_FV(0,"021755160321239697")</f>
        <v>#VALUE!</v>
      </c>
      <c r="I699" t="s">
        <v>4516</v>
      </c>
      <c r="J699" t="s">
        <v>4517</v>
      </c>
      <c r="K699" t="s">
        <v>4518</v>
      </c>
      <c r="L699" t="s">
        <v>4512</v>
      </c>
    </row>
    <row r="700" spans="1:12" x14ac:dyDescent="0.25">
      <c r="A700">
        <v>278721</v>
      </c>
      <c r="B700">
        <v>1064174</v>
      </c>
      <c r="D700" t="s">
        <v>4520</v>
      </c>
      <c r="E700" t="s">
        <v>4521</v>
      </c>
      <c r="F700" t="s">
        <v>4522</v>
      </c>
      <c r="G700" t="s">
        <v>4523</v>
      </c>
      <c r="H700" t="s">
        <v>4524</v>
      </c>
      <c r="I700" t="s">
        <v>4525</v>
      </c>
      <c r="J700" t="s">
        <v>4526</v>
      </c>
      <c r="K700" t="s">
        <v>4527</v>
      </c>
      <c r="L700" t="s">
        <v>4519</v>
      </c>
    </row>
    <row r="701" spans="1:12" x14ac:dyDescent="0.25">
      <c r="A701">
        <v>278735</v>
      </c>
      <c r="B701">
        <v>278736</v>
      </c>
      <c r="D701">
        <v>0</v>
      </c>
      <c r="F701">
        <v>284627</v>
      </c>
      <c r="G701">
        <v>278736</v>
      </c>
      <c r="H701" t="s">
        <v>922</v>
      </c>
      <c r="I701">
        <v>278735</v>
      </c>
      <c r="J701" t="s">
        <v>922</v>
      </c>
      <c r="K701" t="s">
        <v>4528</v>
      </c>
      <c r="L701" t="s">
        <v>922</v>
      </c>
    </row>
    <row r="702" spans="1:12" x14ac:dyDescent="0.25">
      <c r="A702">
        <v>271987</v>
      </c>
      <c r="B702">
        <v>1036367</v>
      </c>
      <c r="D702">
        <v>0</v>
      </c>
      <c r="E702" t="s">
        <v>4530</v>
      </c>
      <c r="F702" t="s">
        <v>4531</v>
      </c>
      <c r="G702" t="s">
        <v>4532</v>
      </c>
      <c r="H702" t="e" vm="311">
        <f>_FV(0,"011922816375409739")</f>
        <v>#VALUE!</v>
      </c>
      <c r="I702" t="s">
        <v>4533</v>
      </c>
      <c r="J702" t="s">
        <v>4534</v>
      </c>
      <c r="K702" t="s">
        <v>4535</v>
      </c>
      <c r="L702" t="s">
        <v>4529</v>
      </c>
    </row>
    <row r="703" spans="1:12" x14ac:dyDescent="0.25">
      <c r="A703">
        <v>280386</v>
      </c>
      <c r="B703">
        <v>280387</v>
      </c>
      <c r="D703">
        <v>0</v>
      </c>
      <c r="F703">
        <v>286621</v>
      </c>
      <c r="G703">
        <v>280387</v>
      </c>
      <c r="H703" t="s">
        <v>4536</v>
      </c>
      <c r="I703">
        <v>280386</v>
      </c>
      <c r="J703" t="s">
        <v>4536</v>
      </c>
      <c r="K703" t="s">
        <v>4537</v>
      </c>
      <c r="L703" t="s">
        <v>4536</v>
      </c>
    </row>
    <row r="704" spans="1:12" x14ac:dyDescent="0.25">
      <c r="A704">
        <v>280386</v>
      </c>
      <c r="B704">
        <v>281197</v>
      </c>
      <c r="D704">
        <v>0</v>
      </c>
      <c r="E704" t="s">
        <v>4539</v>
      </c>
      <c r="F704" t="s">
        <v>4540</v>
      </c>
      <c r="G704" t="s">
        <v>4541</v>
      </c>
      <c r="H704" t="s">
        <v>4542</v>
      </c>
      <c r="I704" t="s">
        <v>4543</v>
      </c>
      <c r="J704" t="s">
        <v>4538</v>
      </c>
      <c r="K704" t="s">
        <v>4544</v>
      </c>
      <c r="L704" t="s">
        <v>4538</v>
      </c>
    </row>
    <row r="705" spans="1:12" x14ac:dyDescent="0.25">
      <c r="A705">
        <v>280386</v>
      </c>
      <c r="B705">
        <v>281215</v>
      </c>
      <c r="D705">
        <v>0</v>
      </c>
      <c r="E705" t="s">
        <v>4546</v>
      </c>
      <c r="F705" t="s">
        <v>4547</v>
      </c>
      <c r="G705" t="s">
        <v>4548</v>
      </c>
      <c r="H705" t="s">
        <v>4549</v>
      </c>
      <c r="I705" t="s">
        <v>4550</v>
      </c>
      <c r="J705" t="s">
        <v>4545</v>
      </c>
      <c r="K705" t="s">
        <v>4551</v>
      </c>
      <c r="L705" t="s">
        <v>4545</v>
      </c>
    </row>
    <row r="706" spans="1:12" x14ac:dyDescent="0.25">
      <c r="A706">
        <v>280387</v>
      </c>
      <c r="B706">
        <v>281262</v>
      </c>
      <c r="D706">
        <v>0</v>
      </c>
      <c r="E706" t="s">
        <v>4553</v>
      </c>
      <c r="F706" t="s">
        <v>4554</v>
      </c>
      <c r="G706" t="s">
        <v>4555</v>
      </c>
      <c r="H706" t="s">
        <v>4552</v>
      </c>
      <c r="I706" t="s">
        <v>4556</v>
      </c>
      <c r="J706" t="s">
        <v>4552</v>
      </c>
      <c r="K706" t="s">
        <v>4557</v>
      </c>
      <c r="L706" t="s">
        <v>4552</v>
      </c>
    </row>
    <row r="707" spans="1:12" x14ac:dyDescent="0.25">
      <c r="A707">
        <v>280387</v>
      </c>
      <c r="B707">
        <v>281311</v>
      </c>
      <c r="D707">
        <v>0</v>
      </c>
      <c r="E707" t="s">
        <v>4559</v>
      </c>
      <c r="F707" t="s">
        <v>4560</v>
      </c>
      <c r="G707" t="s">
        <v>4561</v>
      </c>
      <c r="H707" t="s">
        <v>4562</v>
      </c>
      <c r="I707" t="s">
        <v>4563</v>
      </c>
      <c r="J707" t="s">
        <v>4558</v>
      </c>
      <c r="K707" t="s">
        <v>4564</v>
      </c>
      <c r="L707" t="s">
        <v>4558</v>
      </c>
    </row>
    <row r="708" spans="1:12" x14ac:dyDescent="0.25">
      <c r="A708">
        <v>281012</v>
      </c>
      <c r="B708">
        <v>281034</v>
      </c>
      <c r="D708">
        <v>0</v>
      </c>
      <c r="E708" t="s">
        <v>4566</v>
      </c>
      <c r="F708" t="s">
        <v>4567</v>
      </c>
      <c r="G708" t="s">
        <v>4568</v>
      </c>
      <c r="H708" t="e" vm="312">
        <f>_FV(0,"020733967726850783")</f>
        <v>#VALUE!</v>
      </c>
      <c r="I708" t="s">
        <v>4569</v>
      </c>
      <c r="J708" t="s">
        <v>4570</v>
      </c>
      <c r="K708" t="s">
        <v>4571</v>
      </c>
      <c r="L708" t="s">
        <v>4565</v>
      </c>
    </row>
    <row r="709" spans="1:12" x14ac:dyDescent="0.25">
      <c r="A709">
        <v>281012</v>
      </c>
      <c r="B709">
        <v>281034</v>
      </c>
      <c r="D709">
        <v>0</v>
      </c>
      <c r="E709" t="s">
        <v>4573</v>
      </c>
      <c r="F709" t="s">
        <v>4574</v>
      </c>
      <c r="G709" t="s">
        <v>4575</v>
      </c>
      <c r="H709" t="e" vm="313">
        <f>_FV(0,"020865945403683948")</f>
        <v>#VALUE!</v>
      </c>
      <c r="I709" t="s">
        <v>4576</v>
      </c>
      <c r="J709" t="s">
        <v>4577</v>
      </c>
      <c r="K709" t="s">
        <v>4578</v>
      </c>
      <c r="L709" t="s">
        <v>4572</v>
      </c>
    </row>
    <row r="710" spans="1:12" x14ac:dyDescent="0.25">
      <c r="A710">
        <v>281012</v>
      </c>
      <c r="B710">
        <v>947482</v>
      </c>
      <c r="C710" t="s">
        <v>4580</v>
      </c>
      <c r="D710">
        <v>0</v>
      </c>
      <c r="E710" t="s">
        <v>4581</v>
      </c>
      <c r="F710" t="s">
        <v>4582</v>
      </c>
      <c r="G710" t="s">
        <v>4583</v>
      </c>
      <c r="H710" t="s">
        <v>4584</v>
      </c>
      <c r="I710" t="s">
        <v>4585</v>
      </c>
      <c r="J710" t="s">
        <v>4586</v>
      </c>
      <c r="K710" t="s">
        <v>4587</v>
      </c>
      <c r="L710" t="s">
        <v>4579</v>
      </c>
    </row>
    <row r="711" spans="1:12" x14ac:dyDescent="0.25">
      <c r="A711">
        <v>281034</v>
      </c>
      <c r="B711">
        <v>947533</v>
      </c>
      <c r="D711">
        <v>0</v>
      </c>
      <c r="E711" t="s">
        <v>4589</v>
      </c>
      <c r="F711" t="s">
        <v>4590</v>
      </c>
      <c r="G711" t="s">
        <v>4591</v>
      </c>
      <c r="H711" t="e" vm="314">
        <f>_FV(0,"014093279341958241")</f>
        <v>#VALUE!</v>
      </c>
      <c r="I711" t="s">
        <v>4592</v>
      </c>
      <c r="J711" t="s">
        <v>4593</v>
      </c>
      <c r="K711" t="s">
        <v>4594</v>
      </c>
      <c r="L711" t="s">
        <v>4588</v>
      </c>
    </row>
    <row r="712" spans="1:12" x14ac:dyDescent="0.25">
      <c r="A712">
        <v>281197</v>
      </c>
      <c r="B712">
        <v>281215</v>
      </c>
      <c r="D712">
        <v>0</v>
      </c>
      <c r="E712" t="s">
        <v>4596</v>
      </c>
      <c r="F712" t="s">
        <v>4597</v>
      </c>
      <c r="G712" t="s">
        <v>4598</v>
      </c>
      <c r="H712" t="e" vm="315">
        <f>_FV(0,"051868974208060116")</f>
        <v>#VALUE!</v>
      </c>
      <c r="I712" t="s">
        <v>4599</v>
      </c>
      <c r="J712" t="s">
        <v>4600</v>
      </c>
      <c r="K712" t="s">
        <v>4601</v>
      </c>
      <c r="L712" t="s">
        <v>4595</v>
      </c>
    </row>
    <row r="713" spans="1:12" x14ac:dyDescent="0.25">
      <c r="A713">
        <v>281262</v>
      </c>
      <c r="B713">
        <v>281271</v>
      </c>
      <c r="D713">
        <v>0</v>
      </c>
      <c r="E713" t="s">
        <v>4603</v>
      </c>
      <c r="F713" t="s">
        <v>4604</v>
      </c>
      <c r="G713" t="s">
        <v>4605</v>
      </c>
      <c r="H713" t="s">
        <v>4606</v>
      </c>
      <c r="I713" t="s">
        <v>4607</v>
      </c>
      <c r="J713" t="s">
        <v>4602</v>
      </c>
      <c r="K713" t="s">
        <v>4608</v>
      </c>
      <c r="L713" t="s">
        <v>4602</v>
      </c>
    </row>
    <row r="714" spans="1:12" x14ac:dyDescent="0.25">
      <c r="A714">
        <v>281262</v>
      </c>
      <c r="B714">
        <v>281311</v>
      </c>
      <c r="D714">
        <v>0</v>
      </c>
      <c r="E714" t="s">
        <v>4610</v>
      </c>
      <c r="F714" t="s">
        <v>4611</v>
      </c>
      <c r="G714" t="s">
        <v>4612</v>
      </c>
      <c r="H714" t="s">
        <v>4613</v>
      </c>
      <c r="I714" t="s">
        <v>4614</v>
      </c>
      <c r="J714" t="s">
        <v>4609</v>
      </c>
      <c r="K714" t="s">
        <v>4615</v>
      </c>
      <c r="L714" t="s">
        <v>4609</v>
      </c>
    </row>
    <row r="715" spans="1:12" x14ac:dyDescent="0.25">
      <c r="A715">
        <v>281481</v>
      </c>
      <c r="B715">
        <v>281503</v>
      </c>
      <c r="D715">
        <v>0</v>
      </c>
      <c r="E715" t="s">
        <v>4617</v>
      </c>
      <c r="F715" t="s">
        <v>4618</v>
      </c>
      <c r="G715" t="s">
        <v>4619</v>
      </c>
      <c r="H715" t="e" vm="316">
        <f>_FV(0,"0462416937107223")</f>
        <v>#VALUE!</v>
      </c>
      <c r="I715" t="s">
        <v>4620</v>
      </c>
      <c r="J715" t="s">
        <v>4621</v>
      </c>
      <c r="K715" t="s">
        <v>4622</v>
      </c>
      <c r="L715" t="s">
        <v>4616</v>
      </c>
    </row>
    <row r="716" spans="1:12" x14ac:dyDescent="0.25">
      <c r="A716">
        <v>281481</v>
      </c>
      <c r="B716">
        <v>281560</v>
      </c>
      <c r="D716">
        <v>0</v>
      </c>
      <c r="E716" t="s">
        <v>4624</v>
      </c>
      <c r="F716" t="s">
        <v>4625</v>
      </c>
      <c r="G716" t="s">
        <v>4626</v>
      </c>
      <c r="H716" t="e" vm="317">
        <f>_FV(0,"05625023813267793")</f>
        <v>#VALUE!</v>
      </c>
      <c r="I716" t="s">
        <v>4627</v>
      </c>
      <c r="J716" t="s">
        <v>4628</v>
      </c>
      <c r="K716" t="s">
        <v>4629</v>
      </c>
      <c r="L716" t="s">
        <v>4623</v>
      </c>
    </row>
    <row r="717" spans="1:12" x14ac:dyDescent="0.25">
      <c r="A717">
        <v>281481</v>
      </c>
      <c r="B717">
        <v>1045654</v>
      </c>
      <c r="D717" t="s">
        <v>1990</v>
      </c>
      <c r="E717" t="s">
        <v>4631</v>
      </c>
      <c r="F717" t="s">
        <v>4632</v>
      </c>
      <c r="G717" t="s">
        <v>4633</v>
      </c>
      <c r="H717" t="s">
        <v>4634</v>
      </c>
      <c r="I717" t="s">
        <v>4635</v>
      </c>
      <c r="J717" t="s">
        <v>4630</v>
      </c>
      <c r="K717" t="s">
        <v>4636</v>
      </c>
      <c r="L717" t="s">
        <v>4630</v>
      </c>
    </row>
    <row r="718" spans="1:12" x14ac:dyDescent="0.25">
      <c r="A718">
        <v>281503</v>
      </c>
      <c r="B718">
        <v>281560</v>
      </c>
      <c r="D718">
        <v>0</v>
      </c>
      <c r="F718">
        <v>287968</v>
      </c>
      <c r="G718">
        <v>281560</v>
      </c>
      <c r="H718" t="e" vm="318">
        <f>_FV(0,"355")</f>
        <v>#VALUE!</v>
      </c>
      <c r="I718">
        <v>281503</v>
      </c>
      <c r="J718" t="s">
        <v>4637</v>
      </c>
      <c r="K718" t="s">
        <v>4638</v>
      </c>
      <c r="L718" t="e" vm="318">
        <f>_FV(0,"355")</f>
        <v>#VALUE!</v>
      </c>
    </row>
    <row r="719" spans="1:12" x14ac:dyDescent="0.25">
      <c r="A719">
        <v>281503</v>
      </c>
      <c r="B719">
        <v>281516</v>
      </c>
      <c r="D719">
        <v>0</v>
      </c>
      <c r="E719" t="s">
        <v>4640</v>
      </c>
      <c r="F719" t="s">
        <v>4641</v>
      </c>
      <c r="G719" t="s">
        <v>4642</v>
      </c>
      <c r="H719" t="e" vm="319">
        <f>_FV(0,"1301328051932916")</f>
        <v>#VALUE!</v>
      </c>
      <c r="I719" t="s">
        <v>4643</v>
      </c>
      <c r="J719" t="s">
        <v>4644</v>
      </c>
      <c r="K719" t="s">
        <v>4645</v>
      </c>
      <c r="L719" t="s">
        <v>4639</v>
      </c>
    </row>
    <row r="720" spans="1:12" x14ac:dyDescent="0.25">
      <c r="A720">
        <v>281516</v>
      </c>
      <c r="B720">
        <v>281572</v>
      </c>
      <c r="D720">
        <v>0</v>
      </c>
      <c r="F720">
        <v>287992</v>
      </c>
      <c r="G720">
        <v>281572</v>
      </c>
      <c r="H720" t="e" vm="320">
        <f>_FV(0,"339")</f>
        <v>#VALUE!</v>
      </c>
      <c r="I720">
        <v>281516</v>
      </c>
      <c r="J720" t="s">
        <v>4646</v>
      </c>
      <c r="K720" t="s">
        <v>4647</v>
      </c>
      <c r="L720" t="e" vm="320">
        <f>_FV(0,"339")</f>
        <v>#VALUE!</v>
      </c>
    </row>
    <row r="721" spans="1:12" x14ac:dyDescent="0.25">
      <c r="A721">
        <v>281516</v>
      </c>
      <c r="B721">
        <v>281536</v>
      </c>
      <c r="D721">
        <v>0</v>
      </c>
      <c r="E721" t="s">
        <v>4649</v>
      </c>
      <c r="F721" t="s">
        <v>4650</v>
      </c>
      <c r="G721" t="s">
        <v>4651</v>
      </c>
      <c r="H721" t="e" vm="321">
        <f>_FV(0,"06059007527760244")</f>
        <v>#VALUE!</v>
      </c>
      <c r="I721" t="s">
        <v>4652</v>
      </c>
      <c r="J721" t="s">
        <v>4653</v>
      </c>
      <c r="K721" t="s">
        <v>4654</v>
      </c>
      <c r="L721" t="s">
        <v>4648</v>
      </c>
    </row>
    <row r="722" spans="1:12" x14ac:dyDescent="0.25">
      <c r="A722">
        <v>281536</v>
      </c>
      <c r="B722">
        <v>461376</v>
      </c>
      <c r="D722" t="s">
        <v>4656</v>
      </c>
      <c r="E722" t="s">
        <v>4657</v>
      </c>
      <c r="F722" t="s">
        <v>4658</v>
      </c>
      <c r="G722" t="s">
        <v>4659</v>
      </c>
      <c r="H722" t="e" vm="322">
        <f>_FV(0,"012261884360567838")</f>
        <v>#VALUE!</v>
      </c>
      <c r="I722" t="s">
        <v>4660</v>
      </c>
      <c r="J722" t="s">
        <v>4661</v>
      </c>
      <c r="K722" t="s">
        <v>4662</v>
      </c>
      <c r="L722" t="s">
        <v>4655</v>
      </c>
    </row>
    <row r="723" spans="1:12" x14ac:dyDescent="0.25">
      <c r="A723">
        <v>281536</v>
      </c>
      <c r="B723">
        <v>281572</v>
      </c>
      <c r="C723" t="s">
        <v>4664</v>
      </c>
      <c r="D723">
        <v>0</v>
      </c>
      <c r="E723" t="s">
        <v>4665</v>
      </c>
      <c r="F723" t="s">
        <v>4666</v>
      </c>
      <c r="G723" t="s">
        <v>4667</v>
      </c>
      <c r="H723" t="e" vm="323">
        <f>_FV(0,"04443809728619519")</f>
        <v>#VALUE!</v>
      </c>
      <c r="I723" t="s">
        <v>4668</v>
      </c>
      <c r="J723" t="s">
        <v>4669</v>
      </c>
      <c r="K723" t="s">
        <v>4670</v>
      </c>
      <c r="L723" t="s">
        <v>4663</v>
      </c>
    </row>
    <row r="724" spans="1:12" x14ac:dyDescent="0.25">
      <c r="A724">
        <v>281560</v>
      </c>
      <c r="B724">
        <v>281612</v>
      </c>
      <c r="D724">
        <v>0</v>
      </c>
      <c r="F724">
        <v>287976</v>
      </c>
      <c r="G724">
        <v>281612</v>
      </c>
      <c r="H724" t="e" vm="324">
        <f>_FV(0,"291")</f>
        <v>#VALUE!</v>
      </c>
      <c r="I724">
        <v>281560</v>
      </c>
      <c r="J724" t="s">
        <v>4671</v>
      </c>
      <c r="K724" t="s">
        <v>4672</v>
      </c>
      <c r="L724" t="e" vm="324">
        <f>_FV(0,"291")</f>
        <v>#VALUE!</v>
      </c>
    </row>
    <row r="725" spans="1:12" x14ac:dyDescent="0.25">
      <c r="A725">
        <v>281560</v>
      </c>
      <c r="B725">
        <v>281572</v>
      </c>
      <c r="D725">
        <v>0</v>
      </c>
      <c r="E725" t="s">
        <v>4674</v>
      </c>
      <c r="F725" t="s">
        <v>4675</v>
      </c>
      <c r="G725" t="s">
        <v>4676</v>
      </c>
      <c r="H725" t="e" vm="325">
        <f>_FV(0,"10233306804214998")</f>
        <v>#VALUE!</v>
      </c>
      <c r="I725" t="s">
        <v>4677</v>
      </c>
      <c r="J725" t="s">
        <v>4678</v>
      </c>
      <c r="K725" t="s">
        <v>4679</v>
      </c>
      <c r="L725" t="s">
        <v>4673</v>
      </c>
    </row>
    <row r="726" spans="1:12" x14ac:dyDescent="0.25">
      <c r="A726">
        <v>281572</v>
      </c>
      <c r="B726">
        <v>281632</v>
      </c>
      <c r="D726">
        <v>0</v>
      </c>
      <c r="F726">
        <v>288000</v>
      </c>
      <c r="G726">
        <v>281632</v>
      </c>
      <c r="H726" t="e" vm="326">
        <f>_FV(0,"433")</f>
        <v>#VALUE!</v>
      </c>
      <c r="I726">
        <v>281572</v>
      </c>
      <c r="J726" t="s">
        <v>4680</v>
      </c>
      <c r="K726" t="s">
        <v>4681</v>
      </c>
      <c r="L726" t="e" vm="326">
        <f>_FV(0,"433")</f>
        <v>#VALUE!</v>
      </c>
    </row>
    <row r="727" spans="1:12" x14ac:dyDescent="0.25">
      <c r="A727">
        <v>281603</v>
      </c>
      <c r="B727">
        <v>281609</v>
      </c>
      <c r="D727">
        <v>0</v>
      </c>
      <c r="E727" t="s">
        <v>4683</v>
      </c>
      <c r="F727" t="s">
        <v>4684</v>
      </c>
      <c r="G727" t="s">
        <v>4685</v>
      </c>
      <c r="H727" t="s">
        <v>4686</v>
      </c>
      <c r="I727" t="s">
        <v>4687</v>
      </c>
      <c r="J727" t="s">
        <v>4682</v>
      </c>
      <c r="K727" t="s">
        <v>4688</v>
      </c>
      <c r="L727" t="s">
        <v>4682</v>
      </c>
    </row>
    <row r="728" spans="1:12" x14ac:dyDescent="0.25">
      <c r="A728">
        <v>281603</v>
      </c>
      <c r="B728">
        <v>1153102</v>
      </c>
      <c r="D728">
        <v>0</v>
      </c>
      <c r="E728" t="s">
        <v>4690</v>
      </c>
      <c r="F728" t="s">
        <v>4691</v>
      </c>
      <c r="G728" t="s">
        <v>4692</v>
      </c>
      <c r="H728" t="s">
        <v>4693</v>
      </c>
      <c r="I728" t="s">
        <v>4694</v>
      </c>
      <c r="J728" t="s">
        <v>4695</v>
      </c>
      <c r="K728" t="s">
        <v>4696</v>
      </c>
      <c r="L728" t="s">
        <v>4689</v>
      </c>
    </row>
    <row r="729" spans="1:12" x14ac:dyDescent="0.25">
      <c r="A729">
        <v>281603</v>
      </c>
      <c r="B729">
        <v>917822</v>
      </c>
      <c r="D729">
        <v>0</v>
      </c>
      <c r="F729">
        <v>1757327</v>
      </c>
      <c r="G729">
        <v>281603</v>
      </c>
      <c r="H729" t="e" vm="327">
        <f>_FV(0,"396")</f>
        <v>#VALUE!</v>
      </c>
      <c r="I729">
        <v>917822</v>
      </c>
      <c r="J729" t="s">
        <v>4697</v>
      </c>
      <c r="K729" t="s">
        <v>4698</v>
      </c>
      <c r="L729" t="e" vm="327">
        <f>_FV(0,"396")</f>
        <v>#VALUE!</v>
      </c>
    </row>
    <row r="730" spans="1:12" x14ac:dyDescent="0.25">
      <c r="A730">
        <v>281609</v>
      </c>
      <c r="B730">
        <v>1152773</v>
      </c>
      <c r="D730">
        <v>0</v>
      </c>
      <c r="E730" t="s">
        <v>4700</v>
      </c>
      <c r="F730" t="s">
        <v>4701</v>
      </c>
      <c r="G730" t="s">
        <v>4702</v>
      </c>
      <c r="H730" t="s">
        <v>4703</v>
      </c>
      <c r="I730" t="s">
        <v>4704</v>
      </c>
      <c r="J730" t="s">
        <v>4705</v>
      </c>
      <c r="K730" t="s">
        <v>4706</v>
      </c>
      <c r="L730" t="s">
        <v>4699</v>
      </c>
    </row>
    <row r="731" spans="1:12" x14ac:dyDescent="0.25">
      <c r="A731">
        <v>281609</v>
      </c>
      <c r="B731">
        <v>1153102</v>
      </c>
      <c r="D731">
        <v>0</v>
      </c>
      <c r="E731" t="s">
        <v>4708</v>
      </c>
      <c r="F731" t="s">
        <v>4709</v>
      </c>
      <c r="G731" t="s">
        <v>4710</v>
      </c>
      <c r="H731" t="e" vm="328">
        <f>_FV(0,"3569929614629585")</f>
        <v>#VALUE!</v>
      </c>
      <c r="I731" t="s">
        <v>4711</v>
      </c>
      <c r="J731" t="s">
        <v>4712</v>
      </c>
      <c r="K731" t="s">
        <v>4713</v>
      </c>
      <c r="L731" t="s">
        <v>4707</v>
      </c>
    </row>
    <row r="732" spans="1:12" x14ac:dyDescent="0.25">
      <c r="A732">
        <v>282167</v>
      </c>
      <c r="B732">
        <v>282174</v>
      </c>
      <c r="D732">
        <v>0</v>
      </c>
      <c r="E732" t="s">
        <v>4715</v>
      </c>
      <c r="F732" t="s">
        <v>4716</v>
      </c>
      <c r="G732" t="s">
        <v>4717</v>
      </c>
      <c r="H732" t="s">
        <v>4718</v>
      </c>
      <c r="I732" t="s">
        <v>4719</v>
      </c>
      <c r="J732" t="s">
        <v>4714</v>
      </c>
      <c r="K732" t="s">
        <v>4720</v>
      </c>
      <c r="L732" t="s">
        <v>4714</v>
      </c>
    </row>
    <row r="733" spans="1:12" x14ac:dyDescent="0.25">
      <c r="A733">
        <v>282167</v>
      </c>
      <c r="B733">
        <v>1152794</v>
      </c>
      <c r="D733">
        <v>0</v>
      </c>
      <c r="E733" t="s">
        <v>4722</v>
      </c>
      <c r="F733" t="s">
        <v>4723</v>
      </c>
      <c r="G733" t="s">
        <v>4724</v>
      </c>
      <c r="H733" t="e" vm="329">
        <f>_FV(0,"03406803528406569")</f>
        <v>#VALUE!</v>
      </c>
      <c r="I733" t="s">
        <v>4725</v>
      </c>
      <c r="J733" t="s">
        <v>4726</v>
      </c>
      <c r="K733" t="s">
        <v>4727</v>
      </c>
      <c r="L733" t="s">
        <v>4721</v>
      </c>
    </row>
    <row r="734" spans="1:12" x14ac:dyDescent="0.25">
      <c r="A734">
        <v>282167</v>
      </c>
      <c r="B734">
        <v>917829</v>
      </c>
      <c r="D734">
        <v>0</v>
      </c>
      <c r="F734">
        <v>1758119</v>
      </c>
      <c r="G734">
        <v>282167</v>
      </c>
      <c r="H734" t="s">
        <v>12</v>
      </c>
      <c r="I734">
        <v>917829</v>
      </c>
      <c r="J734" t="s">
        <v>12</v>
      </c>
      <c r="K734" t="s">
        <v>4728</v>
      </c>
      <c r="L734" t="s">
        <v>12</v>
      </c>
    </row>
    <row r="735" spans="1:12" x14ac:dyDescent="0.25">
      <c r="A735">
        <v>282174</v>
      </c>
      <c r="B735">
        <v>294511</v>
      </c>
      <c r="D735">
        <v>0</v>
      </c>
      <c r="F735">
        <v>1752209</v>
      </c>
      <c r="G735">
        <v>294511</v>
      </c>
      <c r="H735" t="e" vm="184">
        <f>_FV(0,"031")</f>
        <v>#VALUE!</v>
      </c>
      <c r="I735">
        <v>282174</v>
      </c>
      <c r="J735" t="s">
        <v>2871</v>
      </c>
      <c r="K735" t="s">
        <v>4729</v>
      </c>
      <c r="L735" t="e" vm="184">
        <f>_FV(0,"031")</f>
        <v>#VALUE!</v>
      </c>
    </row>
    <row r="736" spans="1:12" x14ac:dyDescent="0.25">
      <c r="A736">
        <v>282174</v>
      </c>
      <c r="B736">
        <v>1152794</v>
      </c>
      <c r="D736">
        <v>0</v>
      </c>
      <c r="E736" t="s">
        <v>4731</v>
      </c>
      <c r="F736" t="s">
        <v>4732</v>
      </c>
      <c r="G736" t="s">
        <v>4733</v>
      </c>
      <c r="H736" t="s">
        <v>4734</v>
      </c>
      <c r="I736" t="s">
        <v>4735</v>
      </c>
      <c r="J736" t="s">
        <v>4730</v>
      </c>
      <c r="K736" t="s">
        <v>4736</v>
      </c>
      <c r="L736" t="s">
        <v>4730</v>
      </c>
    </row>
    <row r="737" spans="1:12" x14ac:dyDescent="0.25">
      <c r="A737">
        <v>282297</v>
      </c>
      <c r="B737">
        <v>282307</v>
      </c>
      <c r="D737">
        <v>0</v>
      </c>
      <c r="E737" t="s">
        <v>4738</v>
      </c>
      <c r="F737" t="s">
        <v>4739</v>
      </c>
      <c r="G737" t="s">
        <v>4740</v>
      </c>
      <c r="H737" t="e" vm="330">
        <f>_FV(0,"01400639128427768")</f>
        <v>#VALUE!</v>
      </c>
      <c r="I737" t="s">
        <v>4741</v>
      </c>
      <c r="J737" t="s">
        <v>4742</v>
      </c>
      <c r="K737" t="s">
        <v>4743</v>
      </c>
      <c r="L737" t="s">
        <v>4737</v>
      </c>
    </row>
    <row r="738" spans="1:12" x14ac:dyDescent="0.25">
      <c r="A738">
        <v>282297</v>
      </c>
      <c r="B738">
        <v>295316</v>
      </c>
      <c r="D738">
        <v>0</v>
      </c>
      <c r="E738" t="s">
        <v>4745</v>
      </c>
      <c r="F738" t="s">
        <v>4746</v>
      </c>
      <c r="G738" t="s">
        <v>4747</v>
      </c>
      <c r="H738" t="e" vm="331">
        <f>_FV(0,"01875248263879717")</f>
        <v>#VALUE!</v>
      </c>
      <c r="I738" t="s">
        <v>4748</v>
      </c>
      <c r="J738" t="s">
        <v>4749</v>
      </c>
      <c r="K738" t="s">
        <v>4750</v>
      </c>
      <c r="L738" t="s">
        <v>4744</v>
      </c>
    </row>
    <row r="739" spans="1:12" x14ac:dyDescent="0.25">
      <c r="A739">
        <v>282297</v>
      </c>
      <c r="B739">
        <v>1150681</v>
      </c>
      <c r="D739" t="s">
        <v>204</v>
      </c>
      <c r="E739" t="s">
        <v>4752</v>
      </c>
      <c r="F739" t="s">
        <v>4753</v>
      </c>
      <c r="G739" t="s">
        <v>4754</v>
      </c>
      <c r="H739" t="e" vm="332">
        <f>_FV(0,"019556396848215057")</f>
        <v>#VALUE!</v>
      </c>
      <c r="I739" t="s">
        <v>4755</v>
      </c>
      <c r="J739" t="s">
        <v>4756</v>
      </c>
      <c r="K739" t="s">
        <v>4757</v>
      </c>
      <c r="L739" t="s">
        <v>4751</v>
      </c>
    </row>
    <row r="740" spans="1:12" x14ac:dyDescent="0.25">
      <c r="A740">
        <v>282307</v>
      </c>
      <c r="B740">
        <v>1150928</v>
      </c>
      <c r="D740">
        <v>0</v>
      </c>
      <c r="E740" t="s">
        <v>4759</v>
      </c>
      <c r="F740" t="s">
        <v>4760</v>
      </c>
      <c r="G740" t="s">
        <v>4761</v>
      </c>
      <c r="H740" t="e" vm="333">
        <f>_FV(0,"00889152548780464")</f>
        <v>#VALUE!</v>
      </c>
      <c r="I740" t="s">
        <v>4762</v>
      </c>
      <c r="J740" t="s">
        <v>4763</v>
      </c>
      <c r="K740" t="s">
        <v>4764</v>
      </c>
      <c r="L740" t="s">
        <v>4758</v>
      </c>
    </row>
    <row r="741" spans="1:12" x14ac:dyDescent="0.25">
      <c r="A741">
        <v>282307</v>
      </c>
      <c r="B741">
        <v>295316</v>
      </c>
      <c r="D741">
        <v>0</v>
      </c>
      <c r="E741" t="s">
        <v>4766</v>
      </c>
      <c r="F741" t="s">
        <v>4767</v>
      </c>
      <c r="G741" t="s">
        <v>4768</v>
      </c>
      <c r="H741" t="s">
        <v>4769</v>
      </c>
      <c r="I741" t="s">
        <v>4770</v>
      </c>
      <c r="J741" t="s">
        <v>4765</v>
      </c>
      <c r="K741" t="s">
        <v>4771</v>
      </c>
      <c r="L741" t="s">
        <v>4765</v>
      </c>
    </row>
    <row r="742" spans="1:12" x14ac:dyDescent="0.25">
      <c r="A742">
        <v>282984</v>
      </c>
      <c r="B742">
        <v>282993</v>
      </c>
      <c r="D742">
        <v>0</v>
      </c>
      <c r="E742" t="s">
        <v>4773</v>
      </c>
      <c r="F742" t="s">
        <v>4774</v>
      </c>
      <c r="G742" t="s">
        <v>4775</v>
      </c>
      <c r="H742" t="s">
        <v>4776</v>
      </c>
      <c r="I742" t="s">
        <v>4777</v>
      </c>
      <c r="J742" t="s">
        <v>4772</v>
      </c>
      <c r="K742" t="s">
        <v>4778</v>
      </c>
      <c r="L742" t="s">
        <v>4772</v>
      </c>
    </row>
    <row r="743" spans="1:12" x14ac:dyDescent="0.25">
      <c r="A743">
        <v>282993</v>
      </c>
      <c r="B743">
        <v>1156136</v>
      </c>
      <c r="D743">
        <v>0</v>
      </c>
      <c r="F743">
        <v>1234828</v>
      </c>
      <c r="G743">
        <v>1156136</v>
      </c>
      <c r="H743" t="e" vm="334">
        <f>_FV(0,"102")</f>
        <v>#VALUE!</v>
      </c>
      <c r="I743">
        <v>282993</v>
      </c>
      <c r="J743" t="s">
        <v>4779</v>
      </c>
      <c r="K743" t="s">
        <v>4780</v>
      </c>
      <c r="L743" t="e" vm="334">
        <f>_FV(0,"102")</f>
        <v>#VALUE!</v>
      </c>
    </row>
    <row r="744" spans="1:12" x14ac:dyDescent="0.25">
      <c r="A744">
        <v>282993</v>
      </c>
      <c r="B744">
        <v>296433</v>
      </c>
      <c r="D744">
        <v>0</v>
      </c>
      <c r="E744" t="s">
        <v>4782</v>
      </c>
      <c r="F744" t="s">
        <v>4783</v>
      </c>
      <c r="G744" t="s">
        <v>4784</v>
      </c>
      <c r="H744" t="e" vm="335">
        <f>_FV(0,"0008332380481521601")</f>
        <v>#VALUE!</v>
      </c>
      <c r="I744" t="s">
        <v>4785</v>
      </c>
      <c r="J744" t="s">
        <v>4786</v>
      </c>
      <c r="K744" t="s">
        <v>4787</v>
      </c>
      <c r="L744" t="s">
        <v>4781</v>
      </c>
    </row>
    <row r="745" spans="1:12" x14ac:dyDescent="0.25">
      <c r="A745">
        <v>283308</v>
      </c>
      <c r="B745">
        <v>283317</v>
      </c>
      <c r="D745">
        <v>0</v>
      </c>
      <c r="E745" t="s">
        <v>4789</v>
      </c>
      <c r="F745" t="s">
        <v>4790</v>
      </c>
      <c r="G745" t="s">
        <v>4791</v>
      </c>
      <c r="H745" t="s">
        <v>4792</v>
      </c>
      <c r="I745" t="s">
        <v>4793</v>
      </c>
      <c r="J745" t="s">
        <v>4794</v>
      </c>
      <c r="K745" t="s">
        <v>4795</v>
      </c>
      <c r="L745" t="s">
        <v>4788</v>
      </c>
    </row>
    <row r="746" spans="1:12" x14ac:dyDescent="0.25">
      <c r="A746">
        <v>283308</v>
      </c>
      <c r="B746">
        <v>283347</v>
      </c>
      <c r="D746">
        <v>0</v>
      </c>
      <c r="E746" t="s">
        <v>4797</v>
      </c>
      <c r="F746" t="s">
        <v>4798</v>
      </c>
      <c r="G746" t="s">
        <v>4799</v>
      </c>
      <c r="H746" t="e" vm="336">
        <f>_FV(0,"0009670724033373712")</f>
        <v>#VALUE!</v>
      </c>
      <c r="I746" t="s">
        <v>4800</v>
      </c>
      <c r="J746" t="s">
        <v>4801</v>
      </c>
      <c r="K746" t="s">
        <v>4802</v>
      </c>
      <c r="L746" t="s">
        <v>4796</v>
      </c>
    </row>
    <row r="747" spans="1:12" x14ac:dyDescent="0.25">
      <c r="A747">
        <v>283308</v>
      </c>
      <c r="B747">
        <v>974186</v>
      </c>
      <c r="D747">
        <v>0</v>
      </c>
      <c r="E747" t="s">
        <v>4804</v>
      </c>
      <c r="F747" t="s">
        <v>4805</v>
      </c>
      <c r="G747" t="s">
        <v>4806</v>
      </c>
      <c r="H747" t="e" vm="337">
        <f>_FV(0,"0011316651980780895")</f>
        <v>#VALUE!</v>
      </c>
      <c r="I747" t="s">
        <v>4807</v>
      </c>
      <c r="J747" t="s">
        <v>4772</v>
      </c>
      <c r="K747" t="s">
        <v>4808</v>
      </c>
      <c r="L747" t="s">
        <v>4803</v>
      </c>
    </row>
    <row r="748" spans="1:12" x14ac:dyDescent="0.25">
      <c r="A748">
        <v>283317</v>
      </c>
      <c r="B748">
        <v>283356</v>
      </c>
      <c r="D748">
        <v>0</v>
      </c>
      <c r="E748" t="s">
        <v>4810</v>
      </c>
      <c r="F748" t="s">
        <v>4811</v>
      </c>
      <c r="G748" t="s">
        <v>4812</v>
      </c>
      <c r="H748" t="s">
        <v>4813</v>
      </c>
      <c r="I748" t="s">
        <v>4814</v>
      </c>
      <c r="J748" t="s">
        <v>4815</v>
      </c>
      <c r="K748" t="s">
        <v>4816</v>
      </c>
      <c r="L748" t="s">
        <v>4809</v>
      </c>
    </row>
    <row r="749" spans="1:12" x14ac:dyDescent="0.25">
      <c r="A749">
        <v>283317</v>
      </c>
      <c r="B749">
        <v>283347</v>
      </c>
      <c r="D749">
        <v>0</v>
      </c>
      <c r="E749" t="s">
        <v>4818</v>
      </c>
      <c r="F749" t="s">
        <v>4819</v>
      </c>
      <c r="G749" t="s">
        <v>4820</v>
      </c>
      <c r="H749" t="s">
        <v>4821</v>
      </c>
      <c r="I749" t="s">
        <v>4822</v>
      </c>
      <c r="J749" t="s">
        <v>4817</v>
      </c>
      <c r="K749" t="s">
        <v>4823</v>
      </c>
      <c r="L749" t="s">
        <v>4817</v>
      </c>
    </row>
    <row r="750" spans="1:12" x14ac:dyDescent="0.25">
      <c r="A750">
        <v>283347</v>
      </c>
      <c r="B750">
        <v>283367</v>
      </c>
      <c r="D750">
        <v>0</v>
      </c>
      <c r="E750" t="s">
        <v>4825</v>
      </c>
      <c r="F750" t="s">
        <v>4826</v>
      </c>
      <c r="G750" t="s">
        <v>4827</v>
      </c>
      <c r="H750" t="e" vm="338">
        <f>_FV(0,"0015359663764209631")</f>
        <v>#VALUE!</v>
      </c>
      <c r="I750" t="s">
        <v>4828</v>
      </c>
      <c r="J750" t="s">
        <v>4829</v>
      </c>
      <c r="K750" t="s">
        <v>4830</v>
      </c>
      <c r="L750" t="s">
        <v>4824</v>
      </c>
    </row>
    <row r="751" spans="1:12" x14ac:dyDescent="0.25">
      <c r="A751">
        <v>283356</v>
      </c>
      <c r="B751">
        <v>283357</v>
      </c>
      <c r="D751">
        <v>0</v>
      </c>
      <c r="F751">
        <v>290072</v>
      </c>
      <c r="G751">
        <v>283357</v>
      </c>
      <c r="H751" t="e" vm="339">
        <f>_FV(0,"0")</f>
        <v>#VALUE!</v>
      </c>
      <c r="I751">
        <v>283356</v>
      </c>
      <c r="J751" t="s">
        <v>187</v>
      </c>
      <c r="K751" t="s">
        <v>4831</v>
      </c>
      <c r="L751" t="e" vm="339">
        <f>_FV(0,"0")</f>
        <v>#VALUE!</v>
      </c>
    </row>
    <row r="752" spans="1:12" x14ac:dyDescent="0.25">
      <c r="A752">
        <v>283356</v>
      </c>
      <c r="B752">
        <v>283367</v>
      </c>
      <c r="D752">
        <v>0</v>
      </c>
      <c r="E752" t="s">
        <v>4833</v>
      </c>
      <c r="F752" t="s">
        <v>4834</v>
      </c>
      <c r="G752" t="s">
        <v>4835</v>
      </c>
      <c r="H752" t="e" vm="340">
        <f>_FV(0,"003981938319870948")</f>
        <v>#VALUE!</v>
      </c>
      <c r="I752" t="s">
        <v>4836</v>
      </c>
      <c r="J752" t="s">
        <v>4837</v>
      </c>
      <c r="K752" t="s">
        <v>4838</v>
      </c>
      <c r="L752" t="s">
        <v>4832</v>
      </c>
    </row>
    <row r="753" spans="1:12" x14ac:dyDescent="0.25">
      <c r="A753">
        <v>283357</v>
      </c>
      <c r="B753">
        <v>293901</v>
      </c>
      <c r="C753" t="s">
        <v>4840</v>
      </c>
      <c r="D753">
        <v>0</v>
      </c>
      <c r="E753" t="s">
        <v>4841</v>
      </c>
      <c r="F753" t="s">
        <v>4842</v>
      </c>
      <c r="G753" t="s">
        <v>4843</v>
      </c>
      <c r="H753" t="e" vm="341">
        <f>_FV(0,"0024077626517187496")</f>
        <v>#VALUE!</v>
      </c>
      <c r="I753" t="s">
        <v>4844</v>
      </c>
      <c r="J753" t="s">
        <v>4845</v>
      </c>
      <c r="K753" t="s">
        <v>4846</v>
      </c>
      <c r="L753" t="s">
        <v>4839</v>
      </c>
    </row>
    <row r="754" spans="1:12" x14ac:dyDescent="0.25">
      <c r="A754">
        <v>283357</v>
      </c>
      <c r="B754">
        <v>283367</v>
      </c>
      <c r="D754">
        <v>0</v>
      </c>
      <c r="F754">
        <v>290080</v>
      </c>
      <c r="G754">
        <v>283357</v>
      </c>
      <c r="H754" t="s">
        <v>1333</v>
      </c>
      <c r="I754">
        <v>283367</v>
      </c>
      <c r="J754" t="s">
        <v>1333</v>
      </c>
      <c r="K754" t="s">
        <v>4847</v>
      </c>
      <c r="L754" t="s">
        <v>1333</v>
      </c>
    </row>
    <row r="755" spans="1:12" x14ac:dyDescent="0.25">
      <c r="A755">
        <v>283373</v>
      </c>
      <c r="B755">
        <v>283374</v>
      </c>
      <c r="D755">
        <v>0</v>
      </c>
      <c r="F755">
        <v>290088</v>
      </c>
      <c r="G755">
        <v>283374</v>
      </c>
      <c r="H755" t="e" vm="342">
        <f>_FV(0,"011")</f>
        <v>#VALUE!</v>
      </c>
      <c r="I755">
        <v>283373</v>
      </c>
      <c r="J755" t="s">
        <v>4848</v>
      </c>
      <c r="K755" t="s">
        <v>4849</v>
      </c>
      <c r="L755" t="e" vm="342">
        <f>_FV(0,"011")</f>
        <v>#VALUE!</v>
      </c>
    </row>
    <row r="756" spans="1:12" x14ac:dyDescent="0.25">
      <c r="A756">
        <v>283373</v>
      </c>
      <c r="B756">
        <v>283390</v>
      </c>
      <c r="D756">
        <v>0</v>
      </c>
      <c r="F756">
        <v>290104</v>
      </c>
      <c r="G756">
        <v>283390</v>
      </c>
      <c r="H756" t="e" vm="342">
        <f>_FV(0,"011")</f>
        <v>#VALUE!</v>
      </c>
      <c r="I756">
        <v>283373</v>
      </c>
      <c r="J756" t="s">
        <v>4848</v>
      </c>
      <c r="K756" t="s">
        <v>4850</v>
      </c>
      <c r="L756" t="e" vm="342">
        <f>_FV(0,"011")</f>
        <v>#VALUE!</v>
      </c>
    </row>
    <row r="757" spans="1:12" x14ac:dyDescent="0.25">
      <c r="A757">
        <v>283373</v>
      </c>
      <c r="B757">
        <v>1854872</v>
      </c>
      <c r="C757" t="s">
        <v>4851</v>
      </c>
      <c r="D757">
        <v>0</v>
      </c>
      <c r="E757" t="s">
        <v>4852</v>
      </c>
      <c r="H757" t="s">
        <v>187</v>
      </c>
      <c r="J757">
        <v>0</v>
      </c>
      <c r="K757" t="s">
        <v>4853</v>
      </c>
      <c r="L757">
        <v>0</v>
      </c>
    </row>
    <row r="758" spans="1:12" x14ac:dyDescent="0.25">
      <c r="A758">
        <v>283374</v>
      </c>
      <c r="B758">
        <v>283407</v>
      </c>
      <c r="D758">
        <v>0</v>
      </c>
      <c r="E758" t="s">
        <v>4855</v>
      </c>
      <c r="F758" t="s">
        <v>4856</v>
      </c>
      <c r="G758" t="s">
        <v>4857</v>
      </c>
      <c r="H758" t="e" vm="343">
        <f>_FV(0,"00931650571296831")</f>
        <v>#VALUE!</v>
      </c>
      <c r="I758" t="s">
        <v>4858</v>
      </c>
      <c r="J758" t="s">
        <v>4859</v>
      </c>
      <c r="K758" t="s">
        <v>4860</v>
      </c>
      <c r="L758" t="s">
        <v>4854</v>
      </c>
    </row>
    <row r="759" spans="1:12" x14ac:dyDescent="0.25">
      <c r="A759">
        <v>283374</v>
      </c>
      <c r="B759">
        <v>283390</v>
      </c>
      <c r="D759">
        <v>0</v>
      </c>
      <c r="E759" t="s">
        <v>4862</v>
      </c>
      <c r="F759" t="s">
        <v>4863</v>
      </c>
      <c r="G759" t="s">
        <v>4864</v>
      </c>
      <c r="H759" t="s">
        <v>4865</v>
      </c>
      <c r="I759" t="s">
        <v>4866</v>
      </c>
      <c r="J759" t="s">
        <v>4867</v>
      </c>
      <c r="K759" t="s">
        <v>4868</v>
      </c>
      <c r="L759" t="s">
        <v>4861</v>
      </c>
    </row>
    <row r="760" spans="1:12" x14ac:dyDescent="0.25">
      <c r="A760">
        <v>283390</v>
      </c>
      <c r="B760">
        <v>283413</v>
      </c>
      <c r="D760">
        <v>0</v>
      </c>
      <c r="E760" t="s">
        <v>4870</v>
      </c>
      <c r="F760" t="s">
        <v>4871</v>
      </c>
      <c r="G760" t="s">
        <v>4872</v>
      </c>
      <c r="H760" t="s">
        <v>4873</v>
      </c>
      <c r="I760" t="s">
        <v>4874</v>
      </c>
      <c r="J760" t="s">
        <v>4869</v>
      </c>
      <c r="K760" t="s">
        <v>4875</v>
      </c>
      <c r="L760" t="s">
        <v>4869</v>
      </c>
    </row>
    <row r="761" spans="1:12" x14ac:dyDescent="0.25">
      <c r="A761">
        <v>283407</v>
      </c>
      <c r="B761">
        <v>283408</v>
      </c>
      <c r="D761">
        <v>0</v>
      </c>
      <c r="F761">
        <v>290128</v>
      </c>
      <c r="G761">
        <v>283408</v>
      </c>
      <c r="H761" t="e" vm="131">
        <f>_FV(0,"012")</f>
        <v>#VALUE!</v>
      </c>
      <c r="I761">
        <v>283407</v>
      </c>
      <c r="J761" t="s">
        <v>1939</v>
      </c>
      <c r="K761" t="s">
        <v>4876</v>
      </c>
      <c r="L761" t="e" vm="131">
        <f>_FV(0,"012")</f>
        <v>#VALUE!</v>
      </c>
    </row>
    <row r="762" spans="1:12" x14ac:dyDescent="0.25">
      <c r="A762">
        <v>283407</v>
      </c>
      <c r="B762">
        <v>283413</v>
      </c>
      <c r="D762">
        <v>0</v>
      </c>
      <c r="E762" t="s">
        <v>4878</v>
      </c>
      <c r="F762" t="s">
        <v>4879</v>
      </c>
      <c r="G762" t="s">
        <v>4880</v>
      </c>
      <c r="H762" t="s">
        <v>4881</v>
      </c>
      <c r="I762" t="s">
        <v>4882</v>
      </c>
      <c r="J762" t="s">
        <v>4772</v>
      </c>
      <c r="K762" t="s">
        <v>4883</v>
      </c>
      <c r="L762" t="s">
        <v>4877</v>
      </c>
    </row>
    <row r="763" spans="1:12" x14ac:dyDescent="0.25">
      <c r="A763">
        <v>283408</v>
      </c>
      <c r="B763">
        <v>283524</v>
      </c>
      <c r="D763">
        <v>0</v>
      </c>
      <c r="E763" t="s">
        <v>4885</v>
      </c>
      <c r="F763" t="s">
        <v>4886</v>
      </c>
      <c r="G763" t="s">
        <v>4887</v>
      </c>
      <c r="H763" t="e" vm="344">
        <f>_FV(0,"010977230394698086")</f>
        <v>#VALUE!</v>
      </c>
      <c r="I763" t="s">
        <v>4888</v>
      </c>
      <c r="J763" t="s">
        <v>4889</v>
      </c>
      <c r="K763" t="s">
        <v>4890</v>
      </c>
      <c r="L763" t="s">
        <v>4884</v>
      </c>
    </row>
    <row r="764" spans="1:12" x14ac:dyDescent="0.25">
      <c r="A764">
        <v>283408</v>
      </c>
      <c r="B764">
        <v>283413</v>
      </c>
      <c r="D764">
        <v>0</v>
      </c>
      <c r="F764">
        <v>290136</v>
      </c>
      <c r="G764">
        <v>283408</v>
      </c>
      <c r="H764" t="e" vm="131">
        <f>_FV(0,"012")</f>
        <v>#VALUE!</v>
      </c>
      <c r="I764">
        <v>283413</v>
      </c>
      <c r="J764" t="s">
        <v>1939</v>
      </c>
      <c r="K764" t="s">
        <v>4891</v>
      </c>
      <c r="L764" t="e" vm="131">
        <f>_FV(0,"012")</f>
        <v>#VALUE!</v>
      </c>
    </row>
    <row r="765" spans="1:12" x14ac:dyDescent="0.25">
      <c r="A765">
        <v>283457</v>
      </c>
      <c r="B765">
        <v>283470</v>
      </c>
      <c r="D765">
        <v>0</v>
      </c>
      <c r="E765" t="s">
        <v>4893</v>
      </c>
      <c r="F765" t="s">
        <v>4894</v>
      </c>
      <c r="G765" t="s">
        <v>4895</v>
      </c>
      <c r="H765" t="e" vm="345">
        <f>_FV(0,"0045832444087718")</f>
        <v>#VALUE!</v>
      </c>
      <c r="I765" t="s">
        <v>4896</v>
      </c>
      <c r="J765" t="s">
        <v>4897</v>
      </c>
      <c r="K765" t="s">
        <v>4898</v>
      </c>
      <c r="L765" t="s">
        <v>4892</v>
      </c>
    </row>
    <row r="766" spans="1:12" x14ac:dyDescent="0.25">
      <c r="A766">
        <v>283457</v>
      </c>
      <c r="B766">
        <v>283477</v>
      </c>
      <c r="D766">
        <v>0</v>
      </c>
      <c r="E766" t="s">
        <v>4900</v>
      </c>
      <c r="F766" t="s">
        <v>4901</v>
      </c>
      <c r="G766" t="s">
        <v>4902</v>
      </c>
      <c r="H766" t="e" vm="346">
        <f>_FV(0,"007863851087417034")</f>
        <v>#VALUE!</v>
      </c>
      <c r="I766" t="s">
        <v>4903</v>
      </c>
      <c r="J766" t="s">
        <v>4904</v>
      </c>
      <c r="K766" t="s">
        <v>4905</v>
      </c>
      <c r="L766" t="s">
        <v>4899</v>
      </c>
    </row>
    <row r="767" spans="1:12" x14ac:dyDescent="0.25">
      <c r="A767">
        <v>283457</v>
      </c>
      <c r="B767">
        <v>283537</v>
      </c>
      <c r="D767">
        <v>0</v>
      </c>
      <c r="E767" t="s">
        <v>4907</v>
      </c>
      <c r="F767" t="s">
        <v>4908</v>
      </c>
      <c r="G767" t="s">
        <v>4909</v>
      </c>
      <c r="H767" t="e" vm="347">
        <f>_FV(0,"00417068446619805")</f>
        <v>#VALUE!</v>
      </c>
      <c r="I767" t="s">
        <v>4910</v>
      </c>
      <c r="J767" t="s">
        <v>4911</v>
      </c>
      <c r="K767" t="s">
        <v>4912</v>
      </c>
      <c r="L767" t="s">
        <v>4906</v>
      </c>
    </row>
    <row r="768" spans="1:12" x14ac:dyDescent="0.25">
      <c r="A768">
        <v>283470</v>
      </c>
      <c r="B768">
        <v>974178</v>
      </c>
      <c r="D768">
        <v>0</v>
      </c>
      <c r="E768" t="s">
        <v>4914</v>
      </c>
      <c r="F768" t="s">
        <v>4915</v>
      </c>
      <c r="G768" t="s">
        <v>4916</v>
      </c>
      <c r="H768" t="s">
        <v>4917</v>
      </c>
      <c r="I768" t="s">
        <v>4918</v>
      </c>
      <c r="J768" t="s">
        <v>4919</v>
      </c>
      <c r="K768" t="s">
        <v>4920</v>
      </c>
      <c r="L768" t="s">
        <v>4913</v>
      </c>
    </row>
    <row r="769" spans="1:12" x14ac:dyDescent="0.25">
      <c r="A769">
        <v>283470</v>
      </c>
      <c r="B769">
        <v>283477</v>
      </c>
      <c r="D769">
        <v>0</v>
      </c>
      <c r="E769" t="s">
        <v>4922</v>
      </c>
      <c r="F769" t="s">
        <v>4923</v>
      </c>
      <c r="G769" t="s">
        <v>4924</v>
      </c>
      <c r="H769" t="e" vm="348">
        <f>_FV(0,"0022342027953634563")</f>
        <v>#VALUE!</v>
      </c>
      <c r="I769" t="s">
        <v>4925</v>
      </c>
      <c r="J769" t="s">
        <v>4926</v>
      </c>
      <c r="K769" t="s">
        <v>4927</v>
      </c>
      <c r="L769" t="s">
        <v>4921</v>
      </c>
    </row>
    <row r="770" spans="1:12" x14ac:dyDescent="0.25">
      <c r="A770">
        <v>283477</v>
      </c>
      <c r="B770">
        <v>283549</v>
      </c>
      <c r="D770">
        <v>0</v>
      </c>
      <c r="E770" t="s">
        <v>4929</v>
      </c>
      <c r="F770" t="s">
        <v>4930</v>
      </c>
      <c r="G770" t="s">
        <v>4931</v>
      </c>
      <c r="H770" t="s">
        <v>4932</v>
      </c>
      <c r="I770" t="s">
        <v>4933</v>
      </c>
      <c r="J770" t="s">
        <v>4928</v>
      </c>
      <c r="K770" t="s">
        <v>4934</v>
      </c>
      <c r="L770" t="s">
        <v>4928</v>
      </c>
    </row>
    <row r="771" spans="1:12" x14ac:dyDescent="0.25">
      <c r="A771">
        <v>283524</v>
      </c>
      <c r="B771">
        <v>283537</v>
      </c>
      <c r="D771">
        <v>0</v>
      </c>
      <c r="E771" t="s">
        <v>4936</v>
      </c>
      <c r="F771" t="s">
        <v>4937</v>
      </c>
      <c r="G771" t="s">
        <v>4938</v>
      </c>
      <c r="H771" t="e" vm="349">
        <f>_FV(0,"00868584892500836")</f>
        <v>#VALUE!</v>
      </c>
      <c r="I771" t="s">
        <v>4939</v>
      </c>
      <c r="J771" t="s">
        <v>4940</v>
      </c>
      <c r="K771" t="s">
        <v>4941</v>
      </c>
      <c r="L771" t="s">
        <v>4935</v>
      </c>
    </row>
    <row r="772" spans="1:12" x14ac:dyDescent="0.25">
      <c r="A772">
        <v>283524</v>
      </c>
      <c r="B772">
        <v>283549</v>
      </c>
      <c r="D772">
        <v>0</v>
      </c>
      <c r="E772" t="s">
        <v>4942</v>
      </c>
      <c r="F772" t="s">
        <v>4943</v>
      </c>
      <c r="G772" t="s">
        <v>4944</v>
      </c>
      <c r="H772" t="e" vm="350">
        <f>_FV(0,"009")</f>
        <v>#VALUE!</v>
      </c>
      <c r="I772" t="s">
        <v>4945</v>
      </c>
      <c r="J772" t="s">
        <v>2068</v>
      </c>
      <c r="K772" t="s">
        <v>4946</v>
      </c>
      <c r="L772" t="e" vm="350">
        <f>_FV(0,"009")</f>
        <v>#VALUE!</v>
      </c>
    </row>
    <row r="773" spans="1:12" x14ac:dyDescent="0.25">
      <c r="A773">
        <v>283537</v>
      </c>
      <c r="B773">
        <v>283549</v>
      </c>
      <c r="D773">
        <v>0</v>
      </c>
      <c r="E773" t="s">
        <v>4948</v>
      </c>
      <c r="F773" t="s">
        <v>4949</v>
      </c>
      <c r="G773" t="s">
        <v>4950</v>
      </c>
      <c r="H773" t="s">
        <v>4951</v>
      </c>
      <c r="I773" t="s">
        <v>4952</v>
      </c>
      <c r="J773" t="s">
        <v>4947</v>
      </c>
      <c r="K773" t="s">
        <v>4953</v>
      </c>
      <c r="L773" t="s">
        <v>4947</v>
      </c>
    </row>
    <row r="774" spans="1:12" x14ac:dyDescent="0.25">
      <c r="A774">
        <v>283788</v>
      </c>
      <c r="B774">
        <v>283795</v>
      </c>
      <c r="D774">
        <v>0</v>
      </c>
      <c r="E774" t="s">
        <v>4954</v>
      </c>
      <c r="F774" t="s">
        <v>4955</v>
      </c>
      <c r="G774" t="s">
        <v>4956</v>
      </c>
      <c r="H774" t="s">
        <v>1534</v>
      </c>
      <c r="I774" t="s">
        <v>4957</v>
      </c>
      <c r="J774" t="s">
        <v>1534</v>
      </c>
      <c r="K774" t="s">
        <v>4958</v>
      </c>
      <c r="L774" t="s">
        <v>1534</v>
      </c>
    </row>
    <row r="775" spans="1:12" x14ac:dyDescent="0.25">
      <c r="A775">
        <v>283788</v>
      </c>
      <c r="B775">
        <v>1552938</v>
      </c>
      <c r="D775">
        <v>0</v>
      </c>
      <c r="E775" t="s">
        <v>4959</v>
      </c>
      <c r="F775" t="s">
        <v>4960</v>
      </c>
      <c r="G775" t="s">
        <v>4961</v>
      </c>
      <c r="H775" t="e" vm="351">
        <f>_FV(0,"0001887050142932115")</f>
        <v>#VALUE!</v>
      </c>
      <c r="I775" t="s">
        <v>4962</v>
      </c>
      <c r="J775" t="s">
        <v>4786</v>
      </c>
      <c r="K775" t="s">
        <v>4963</v>
      </c>
      <c r="L775" t="s">
        <v>4781</v>
      </c>
    </row>
    <row r="776" spans="1:12" x14ac:dyDescent="0.25">
      <c r="A776">
        <v>283788</v>
      </c>
      <c r="B776">
        <v>1161279</v>
      </c>
      <c r="D776">
        <v>0</v>
      </c>
      <c r="F776">
        <v>1240697</v>
      </c>
      <c r="G776">
        <v>283788</v>
      </c>
      <c r="H776" t="e" vm="18">
        <f>_FV(0,"004")</f>
        <v>#VALUE!</v>
      </c>
      <c r="I776">
        <v>1161279</v>
      </c>
      <c r="J776" t="s">
        <v>239</v>
      </c>
      <c r="K776" t="s">
        <v>4964</v>
      </c>
      <c r="L776" t="e" vm="18">
        <f>_FV(0,"004")</f>
        <v>#VALUE!</v>
      </c>
    </row>
    <row r="777" spans="1:12" x14ac:dyDescent="0.25">
      <c r="A777">
        <v>283795</v>
      </c>
      <c r="B777">
        <v>1162183</v>
      </c>
      <c r="D777">
        <v>0</v>
      </c>
      <c r="E777" t="s">
        <v>4966</v>
      </c>
      <c r="F777" t="s">
        <v>4967</v>
      </c>
      <c r="G777" t="s">
        <v>4968</v>
      </c>
      <c r="H777" t="e" vm="352">
        <f>_FV(0,"01971702188823029")</f>
        <v>#VALUE!</v>
      </c>
      <c r="I777" t="s">
        <v>4969</v>
      </c>
      <c r="J777" t="s">
        <v>4970</v>
      </c>
      <c r="K777" t="s">
        <v>4971</v>
      </c>
      <c r="L777" t="s">
        <v>4965</v>
      </c>
    </row>
    <row r="778" spans="1:12" x14ac:dyDescent="0.25">
      <c r="A778">
        <v>283795</v>
      </c>
      <c r="B778">
        <v>1552938</v>
      </c>
      <c r="D778">
        <v>0</v>
      </c>
      <c r="E778" t="s">
        <v>4973</v>
      </c>
      <c r="F778" t="s">
        <v>4974</v>
      </c>
      <c r="G778" t="s">
        <v>4975</v>
      </c>
      <c r="H778" t="s">
        <v>4976</v>
      </c>
      <c r="I778" t="s">
        <v>4977</v>
      </c>
      <c r="J778" t="s">
        <v>4972</v>
      </c>
      <c r="K778" t="s">
        <v>4978</v>
      </c>
      <c r="L778" t="s">
        <v>4972</v>
      </c>
    </row>
    <row r="779" spans="1:12" x14ac:dyDescent="0.25">
      <c r="A779">
        <v>284278</v>
      </c>
      <c r="B779">
        <v>284378</v>
      </c>
      <c r="D779">
        <v>0</v>
      </c>
      <c r="F779">
        <v>1495063</v>
      </c>
      <c r="G779">
        <v>284378</v>
      </c>
      <c r="H779" t="e" vm="353">
        <f>_FV(0,"045")</f>
        <v>#VALUE!</v>
      </c>
      <c r="I779">
        <v>284278</v>
      </c>
      <c r="J779" t="s">
        <v>4979</v>
      </c>
      <c r="K779" t="s">
        <v>4980</v>
      </c>
      <c r="L779" t="e" vm="353">
        <f>_FV(0,"045")</f>
        <v>#VALUE!</v>
      </c>
    </row>
    <row r="780" spans="1:12" x14ac:dyDescent="0.25">
      <c r="A780">
        <v>284278</v>
      </c>
      <c r="B780">
        <v>1270287</v>
      </c>
      <c r="D780">
        <v>0</v>
      </c>
      <c r="E780" t="s">
        <v>4982</v>
      </c>
      <c r="F780" t="s">
        <v>4983</v>
      </c>
      <c r="G780" t="s">
        <v>4984</v>
      </c>
      <c r="H780" t="e" vm="354">
        <f>_FV(0,"0019373737211252468")</f>
        <v>#VALUE!</v>
      </c>
      <c r="I780" t="s">
        <v>4985</v>
      </c>
      <c r="J780" t="s">
        <v>4986</v>
      </c>
      <c r="K780" t="s">
        <v>4987</v>
      </c>
      <c r="L780" t="s">
        <v>4981</v>
      </c>
    </row>
    <row r="781" spans="1:12" x14ac:dyDescent="0.25">
      <c r="A781">
        <v>284278</v>
      </c>
      <c r="B781">
        <v>1353413</v>
      </c>
      <c r="D781">
        <v>0</v>
      </c>
      <c r="F781">
        <v>1495055</v>
      </c>
      <c r="G781">
        <v>284278</v>
      </c>
      <c r="H781" t="e" vm="355">
        <f>_FV(0,"048")</f>
        <v>#VALUE!</v>
      </c>
      <c r="I781">
        <v>1353413</v>
      </c>
      <c r="J781" t="s">
        <v>3758</v>
      </c>
      <c r="K781" t="s">
        <v>4988</v>
      </c>
      <c r="L781" t="e" vm="355">
        <f>_FV(0,"048")</f>
        <v>#VALUE!</v>
      </c>
    </row>
    <row r="782" spans="1:12" x14ac:dyDescent="0.25">
      <c r="A782">
        <v>284317</v>
      </c>
      <c r="B782">
        <v>284378</v>
      </c>
      <c r="D782">
        <v>0</v>
      </c>
      <c r="E782" t="s">
        <v>4990</v>
      </c>
      <c r="F782" t="s">
        <v>4991</v>
      </c>
      <c r="G782" t="s">
        <v>4992</v>
      </c>
      <c r="H782" t="s">
        <v>4993</v>
      </c>
      <c r="I782" t="s">
        <v>4994</v>
      </c>
      <c r="J782" t="s">
        <v>4995</v>
      </c>
      <c r="K782" t="s">
        <v>4996</v>
      </c>
      <c r="L782" t="s">
        <v>4989</v>
      </c>
    </row>
    <row r="783" spans="1:12" x14ac:dyDescent="0.25">
      <c r="A783">
        <v>284317</v>
      </c>
      <c r="B783">
        <v>1270304</v>
      </c>
      <c r="C783" t="s">
        <v>4998</v>
      </c>
      <c r="D783">
        <v>0</v>
      </c>
      <c r="E783" t="s">
        <v>4999</v>
      </c>
      <c r="F783" t="s">
        <v>5000</v>
      </c>
      <c r="G783" t="s">
        <v>5001</v>
      </c>
      <c r="H783" t="s">
        <v>5002</v>
      </c>
      <c r="I783" t="s">
        <v>5003</v>
      </c>
      <c r="J783" t="s">
        <v>5004</v>
      </c>
      <c r="K783" t="s">
        <v>5005</v>
      </c>
      <c r="L783" t="s">
        <v>4997</v>
      </c>
    </row>
    <row r="784" spans="1:12" x14ac:dyDescent="0.25">
      <c r="A784">
        <v>284317</v>
      </c>
      <c r="B784">
        <v>734438</v>
      </c>
      <c r="D784" t="s">
        <v>5007</v>
      </c>
      <c r="E784" t="s">
        <v>5008</v>
      </c>
      <c r="F784" t="s">
        <v>5009</v>
      </c>
      <c r="G784" t="s">
        <v>5010</v>
      </c>
      <c r="H784" t="e" vm="356">
        <f>_FV(0,"009229757017014478")</f>
        <v>#VALUE!</v>
      </c>
      <c r="I784" t="s">
        <v>5011</v>
      </c>
      <c r="J784" t="s">
        <v>5012</v>
      </c>
      <c r="K784" t="s">
        <v>5013</v>
      </c>
      <c r="L784" t="s">
        <v>5006</v>
      </c>
    </row>
    <row r="785" spans="1:12" x14ac:dyDescent="0.25">
      <c r="A785">
        <v>284378</v>
      </c>
      <c r="B785">
        <v>1353406</v>
      </c>
      <c r="D785">
        <v>0</v>
      </c>
      <c r="E785" t="s">
        <v>5015</v>
      </c>
      <c r="F785" t="s">
        <v>5016</v>
      </c>
      <c r="G785" t="s">
        <v>5017</v>
      </c>
      <c r="H785" t="s">
        <v>5018</v>
      </c>
      <c r="I785" t="s">
        <v>5019</v>
      </c>
      <c r="J785" t="s">
        <v>5020</v>
      </c>
      <c r="K785" t="s">
        <v>5021</v>
      </c>
      <c r="L785" t="s">
        <v>5014</v>
      </c>
    </row>
    <row r="786" spans="1:12" x14ac:dyDescent="0.25">
      <c r="A786">
        <v>285567</v>
      </c>
      <c r="B786">
        <v>285576</v>
      </c>
      <c r="D786">
        <v>0</v>
      </c>
      <c r="F786">
        <v>292782</v>
      </c>
      <c r="G786">
        <v>285576</v>
      </c>
      <c r="H786" t="s">
        <v>5022</v>
      </c>
      <c r="I786">
        <v>285567</v>
      </c>
      <c r="J786" t="s">
        <v>5022</v>
      </c>
      <c r="K786" t="s">
        <v>5023</v>
      </c>
      <c r="L786" t="s">
        <v>5022</v>
      </c>
    </row>
    <row r="787" spans="1:12" x14ac:dyDescent="0.25">
      <c r="A787">
        <v>285567</v>
      </c>
      <c r="B787">
        <v>293304</v>
      </c>
      <c r="D787">
        <v>0</v>
      </c>
      <c r="E787" t="s">
        <v>5025</v>
      </c>
      <c r="F787" t="s">
        <v>5026</v>
      </c>
      <c r="G787" t="s">
        <v>5027</v>
      </c>
      <c r="H787" t="s">
        <v>5028</v>
      </c>
      <c r="I787" t="s">
        <v>5029</v>
      </c>
      <c r="J787" t="s">
        <v>5030</v>
      </c>
      <c r="K787" t="s">
        <v>5031</v>
      </c>
      <c r="L787" t="s">
        <v>5024</v>
      </c>
    </row>
    <row r="788" spans="1:12" x14ac:dyDescent="0.25">
      <c r="A788">
        <v>285567</v>
      </c>
      <c r="B788">
        <v>285607</v>
      </c>
      <c r="D788">
        <v>0</v>
      </c>
      <c r="E788" t="s">
        <v>5033</v>
      </c>
      <c r="F788" t="s">
        <v>5034</v>
      </c>
      <c r="G788" t="s">
        <v>5035</v>
      </c>
      <c r="H788" t="s">
        <v>5036</v>
      </c>
      <c r="I788" t="s">
        <v>5037</v>
      </c>
      <c r="J788" t="s">
        <v>5038</v>
      </c>
      <c r="K788" t="s">
        <v>5039</v>
      </c>
      <c r="L788" t="s">
        <v>5032</v>
      </c>
    </row>
    <row r="789" spans="1:12" x14ac:dyDescent="0.25">
      <c r="A789">
        <v>285576</v>
      </c>
      <c r="B789">
        <v>285591</v>
      </c>
      <c r="D789">
        <v>0</v>
      </c>
      <c r="E789" t="s">
        <v>5041</v>
      </c>
      <c r="F789" t="s">
        <v>5042</v>
      </c>
      <c r="G789" t="s">
        <v>5043</v>
      </c>
      <c r="H789" t="e" vm="357">
        <f>_FV(0,"008907671679117319")</f>
        <v>#VALUE!</v>
      </c>
      <c r="I789" t="s">
        <v>5044</v>
      </c>
      <c r="J789" t="s">
        <v>138</v>
      </c>
      <c r="K789" t="s">
        <v>5045</v>
      </c>
      <c r="L789" t="s">
        <v>5040</v>
      </c>
    </row>
    <row r="790" spans="1:12" x14ac:dyDescent="0.25">
      <c r="A790">
        <v>285576</v>
      </c>
      <c r="B790">
        <v>285639</v>
      </c>
      <c r="D790">
        <v>0</v>
      </c>
      <c r="E790" t="s">
        <v>5047</v>
      </c>
      <c r="F790" t="s">
        <v>5048</v>
      </c>
      <c r="G790" t="s">
        <v>5049</v>
      </c>
      <c r="H790" t="s">
        <v>5050</v>
      </c>
      <c r="I790" t="s">
        <v>5051</v>
      </c>
      <c r="J790" t="s">
        <v>5046</v>
      </c>
      <c r="K790" t="s">
        <v>5052</v>
      </c>
      <c r="L790" t="s">
        <v>5046</v>
      </c>
    </row>
    <row r="791" spans="1:12" x14ac:dyDescent="0.25">
      <c r="A791">
        <v>285591</v>
      </c>
      <c r="B791">
        <v>285607</v>
      </c>
      <c r="D791">
        <v>0</v>
      </c>
      <c r="E791" t="s">
        <v>5054</v>
      </c>
      <c r="F791" t="s">
        <v>5055</v>
      </c>
      <c r="G791" t="s">
        <v>5056</v>
      </c>
      <c r="H791" t="e" vm="358">
        <f>_FV(0,"08828032490564318")</f>
        <v>#VALUE!</v>
      </c>
      <c r="I791" t="s">
        <v>5057</v>
      </c>
      <c r="J791" t="s">
        <v>5058</v>
      </c>
      <c r="K791" t="s">
        <v>5059</v>
      </c>
      <c r="L791" t="s">
        <v>5053</v>
      </c>
    </row>
    <row r="792" spans="1:12" x14ac:dyDescent="0.25">
      <c r="A792">
        <v>285591</v>
      </c>
      <c r="B792">
        <v>285686</v>
      </c>
      <c r="D792">
        <v>0</v>
      </c>
      <c r="E792" t="s">
        <v>5061</v>
      </c>
      <c r="F792" t="s">
        <v>5062</v>
      </c>
      <c r="G792" t="s">
        <v>5063</v>
      </c>
      <c r="H792" t="s">
        <v>5064</v>
      </c>
      <c r="I792" t="s">
        <v>5065</v>
      </c>
      <c r="J792" t="s">
        <v>5060</v>
      </c>
      <c r="K792" t="s">
        <v>5066</v>
      </c>
      <c r="L792" t="s">
        <v>5060</v>
      </c>
    </row>
    <row r="793" spans="1:12" x14ac:dyDescent="0.25">
      <c r="A793">
        <v>285607</v>
      </c>
      <c r="B793">
        <v>293331</v>
      </c>
      <c r="D793">
        <v>0</v>
      </c>
      <c r="E793" t="s">
        <v>5068</v>
      </c>
      <c r="F793" t="s">
        <v>5069</v>
      </c>
      <c r="G793" t="s">
        <v>5070</v>
      </c>
      <c r="H793" t="e" vm="359">
        <f>_FV(0,"0022489914561706114")</f>
        <v>#VALUE!</v>
      </c>
      <c r="I793" t="s">
        <v>5071</v>
      </c>
      <c r="J793" t="s">
        <v>5072</v>
      </c>
      <c r="K793" t="s">
        <v>5073</v>
      </c>
      <c r="L793" t="s">
        <v>5067</v>
      </c>
    </row>
    <row r="794" spans="1:12" x14ac:dyDescent="0.25">
      <c r="A794">
        <v>285639</v>
      </c>
      <c r="B794">
        <v>285640</v>
      </c>
      <c r="D794">
        <v>0</v>
      </c>
      <c r="F794">
        <v>292846</v>
      </c>
      <c r="G794">
        <v>285640</v>
      </c>
      <c r="H794" t="s">
        <v>4038</v>
      </c>
      <c r="I794">
        <v>285639</v>
      </c>
      <c r="J794" t="s">
        <v>4038</v>
      </c>
      <c r="K794" t="s">
        <v>5074</v>
      </c>
      <c r="L794" t="s">
        <v>4038</v>
      </c>
    </row>
    <row r="795" spans="1:12" x14ac:dyDescent="0.25">
      <c r="A795">
        <v>285639</v>
      </c>
      <c r="B795">
        <v>285686</v>
      </c>
      <c r="D795">
        <v>0</v>
      </c>
      <c r="E795" t="s">
        <v>5076</v>
      </c>
      <c r="F795" t="s">
        <v>5077</v>
      </c>
      <c r="G795" t="s">
        <v>5078</v>
      </c>
      <c r="H795" t="s">
        <v>5079</v>
      </c>
      <c r="I795" t="s">
        <v>5080</v>
      </c>
      <c r="J795" t="s">
        <v>5081</v>
      </c>
      <c r="K795" t="s">
        <v>5082</v>
      </c>
      <c r="L795" t="s">
        <v>5075</v>
      </c>
    </row>
    <row r="796" spans="1:12" x14ac:dyDescent="0.25">
      <c r="A796">
        <v>285640</v>
      </c>
      <c r="B796">
        <v>285672</v>
      </c>
      <c r="D796">
        <v>0</v>
      </c>
      <c r="E796" t="s">
        <v>5084</v>
      </c>
      <c r="F796" t="s">
        <v>5085</v>
      </c>
      <c r="G796" t="s">
        <v>5086</v>
      </c>
      <c r="H796" t="e" vm="360">
        <f>_FV(0,"004926546574349798")</f>
        <v>#VALUE!</v>
      </c>
      <c r="I796" t="s">
        <v>5087</v>
      </c>
      <c r="J796" t="s">
        <v>5088</v>
      </c>
      <c r="K796" t="s">
        <v>5089</v>
      </c>
      <c r="L796" t="s">
        <v>5083</v>
      </c>
    </row>
    <row r="797" spans="1:12" x14ac:dyDescent="0.25">
      <c r="A797">
        <v>285640</v>
      </c>
      <c r="B797">
        <v>293267</v>
      </c>
      <c r="D797">
        <v>0</v>
      </c>
      <c r="E797" t="s">
        <v>5091</v>
      </c>
      <c r="F797" t="s">
        <v>5092</v>
      </c>
      <c r="G797" t="s">
        <v>5093</v>
      </c>
      <c r="H797" t="s">
        <v>5094</v>
      </c>
      <c r="I797" t="s">
        <v>5095</v>
      </c>
      <c r="J797" t="s">
        <v>5090</v>
      </c>
      <c r="K797" t="s">
        <v>5096</v>
      </c>
      <c r="L797" t="s">
        <v>5090</v>
      </c>
    </row>
    <row r="798" spans="1:12" x14ac:dyDescent="0.25">
      <c r="A798">
        <v>285672</v>
      </c>
      <c r="B798">
        <v>285686</v>
      </c>
      <c r="D798">
        <v>0</v>
      </c>
      <c r="E798" t="s">
        <v>5098</v>
      </c>
      <c r="F798" t="s">
        <v>5099</v>
      </c>
      <c r="G798" t="s">
        <v>5100</v>
      </c>
      <c r="H798" t="e" vm="361">
        <f>_FV(0,"060738709274572776")</f>
        <v>#VALUE!</v>
      </c>
      <c r="I798" t="s">
        <v>5101</v>
      </c>
      <c r="J798" t="s">
        <v>5102</v>
      </c>
      <c r="K798" t="s">
        <v>5103</v>
      </c>
      <c r="L798" t="s">
        <v>5097</v>
      </c>
    </row>
    <row r="799" spans="1:12" x14ac:dyDescent="0.25">
      <c r="A799">
        <v>285672</v>
      </c>
      <c r="B799">
        <v>293294</v>
      </c>
      <c r="D799">
        <v>0</v>
      </c>
      <c r="E799" t="s">
        <v>5105</v>
      </c>
      <c r="F799" t="s">
        <v>5106</v>
      </c>
      <c r="G799" t="s">
        <v>5107</v>
      </c>
      <c r="H799" t="e" vm="362">
        <f>_FV(0,"02906005412663297")</f>
        <v>#VALUE!</v>
      </c>
      <c r="I799" t="s">
        <v>5108</v>
      </c>
      <c r="J799" t="s">
        <v>5109</v>
      </c>
      <c r="K799" t="s">
        <v>5110</v>
      </c>
      <c r="L799" t="s">
        <v>5104</v>
      </c>
    </row>
    <row r="800" spans="1:12" x14ac:dyDescent="0.25">
      <c r="A800">
        <v>285710</v>
      </c>
      <c r="B800">
        <v>285723</v>
      </c>
      <c r="D800">
        <v>0</v>
      </c>
      <c r="E800" t="s">
        <v>5112</v>
      </c>
      <c r="F800" t="s">
        <v>5113</v>
      </c>
      <c r="G800" t="s">
        <v>5114</v>
      </c>
      <c r="H800" t="e" vm="363">
        <f>_FV(0,"002848134000991885")</f>
        <v>#VALUE!</v>
      </c>
      <c r="I800" t="s">
        <v>5115</v>
      </c>
      <c r="J800" t="s">
        <v>5116</v>
      </c>
      <c r="K800" t="s">
        <v>5117</v>
      </c>
      <c r="L800" t="s">
        <v>5111</v>
      </c>
    </row>
    <row r="801" spans="1:12" x14ac:dyDescent="0.25">
      <c r="A801">
        <v>286997</v>
      </c>
      <c r="B801">
        <v>287011</v>
      </c>
      <c r="D801">
        <v>0</v>
      </c>
      <c r="E801" t="s">
        <v>5119</v>
      </c>
      <c r="F801" t="s">
        <v>5120</v>
      </c>
      <c r="G801" t="s">
        <v>5121</v>
      </c>
      <c r="H801" t="e" vm="364">
        <f>_FV(0,"043744745410063915")</f>
        <v>#VALUE!</v>
      </c>
      <c r="I801" t="s">
        <v>5122</v>
      </c>
      <c r="J801" t="s">
        <v>5123</v>
      </c>
      <c r="K801" t="s">
        <v>5124</v>
      </c>
      <c r="L801" t="s">
        <v>5118</v>
      </c>
    </row>
    <row r="802" spans="1:12" x14ac:dyDescent="0.25">
      <c r="A802">
        <v>286997</v>
      </c>
      <c r="B802">
        <v>287096</v>
      </c>
      <c r="D802">
        <v>0</v>
      </c>
      <c r="E802" t="s">
        <v>5126</v>
      </c>
      <c r="F802" t="s">
        <v>5127</v>
      </c>
      <c r="G802" t="s">
        <v>5128</v>
      </c>
      <c r="H802" t="e" vm="365">
        <f>_FV(0,"03556797161864738")</f>
        <v>#VALUE!</v>
      </c>
      <c r="I802" t="s">
        <v>5129</v>
      </c>
      <c r="J802" t="s">
        <v>5130</v>
      </c>
      <c r="K802" t="s">
        <v>5131</v>
      </c>
      <c r="L802" t="s">
        <v>5125</v>
      </c>
    </row>
    <row r="803" spans="1:12" x14ac:dyDescent="0.25">
      <c r="A803">
        <v>286997</v>
      </c>
      <c r="B803">
        <v>293678</v>
      </c>
      <c r="D803">
        <v>0</v>
      </c>
      <c r="E803" t="s">
        <v>5133</v>
      </c>
      <c r="F803" t="s">
        <v>5134</v>
      </c>
      <c r="G803" t="s">
        <v>5135</v>
      </c>
      <c r="H803" t="e" vm="366">
        <f>_FV(0,"17405540608707804")</f>
        <v>#VALUE!</v>
      </c>
      <c r="I803" t="s">
        <v>5136</v>
      </c>
      <c r="J803" t="s">
        <v>5137</v>
      </c>
      <c r="K803" t="s">
        <v>5138</v>
      </c>
      <c r="L803" t="s">
        <v>5132</v>
      </c>
    </row>
    <row r="804" spans="1:12" x14ac:dyDescent="0.25">
      <c r="A804">
        <v>287011</v>
      </c>
      <c r="B804">
        <v>295481</v>
      </c>
      <c r="D804">
        <v>0</v>
      </c>
      <c r="E804" t="s">
        <v>5140</v>
      </c>
      <c r="F804" t="s">
        <v>5141</v>
      </c>
      <c r="G804" t="s">
        <v>5142</v>
      </c>
      <c r="H804" t="s">
        <v>5143</v>
      </c>
      <c r="I804" t="s">
        <v>5144</v>
      </c>
      <c r="J804" t="s">
        <v>5145</v>
      </c>
      <c r="K804" t="s">
        <v>5146</v>
      </c>
      <c r="L804" t="s">
        <v>5139</v>
      </c>
    </row>
    <row r="805" spans="1:12" x14ac:dyDescent="0.25">
      <c r="A805">
        <v>287011</v>
      </c>
      <c r="B805">
        <v>287148</v>
      </c>
      <c r="D805">
        <v>0</v>
      </c>
      <c r="F805">
        <v>1708539</v>
      </c>
      <c r="G805">
        <v>287011</v>
      </c>
      <c r="H805" t="s">
        <v>5147</v>
      </c>
      <c r="I805">
        <v>287148</v>
      </c>
      <c r="J805" t="s">
        <v>5147</v>
      </c>
      <c r="K805" t="s">
        <v>5148</v>
      </c>
      <c r="L805" t="s">
        <v>5147</v>
      </c>
    </row>
    <row r="806" spans="1:12" x14ac:dyDescent="0.25">
      <c r="A806">
        <v>287096</v>
      </c>
      <c r="B806">
        <v>295481</v>
      </c>
      <c r="D806">
        <v>0</v>
      </c>
      <c r="E806" t="s">
        <v>5150</v>
      </c>
      <c r="F806" t="s">
        <v>5151</v>
      </c>
      <c r="G806" t="s">
        <v>5152</v>
      </c>
      <c r="H806" t="e" vm="367">
        <f>_FV(0,"04272444646546749")</f>
        <v>#VALUE!</v>
      </c>
      <c r="I806" t="s">
        <v>5153</v>
      </c>
      <c r="J806" t="s">
        <v>5154</v>
      </c>
      <c r="K806" t="s">
        <v>5155</v>
      </c>
      <c r="L806" t="s">
        <v>5149</v>
      </c>
    </row>
    <row r="807" spans="1:12" x14ac:dyDescent="0.25">
      <c r="A807">
        <v>287103</v>
      </c>
      <c r="B807">
        <v>287104</v>
      </c>
      <c r="D807">
        <v>1</v>
      </c>
      <c r="F807">
        <v>294495</v>
      </c>
      <c r="G807">
        <v>287104</v>
      </c>
      <c r="H807" t="s">
        <v>3503</v>
      </c>
      <c r="I807">
        <v>287103</v>
      </c>
      <c r="J807" t="s">
        <v>3503</v>
      </c>
      <c r="K807" t="s">
        <v>5156</v>
      </c>
      <c r="L807" t="s">
        <v>3503</v>
      </c>
    </row>
    <row r="808" spans="1:12" x14ac:dyDescent="0.25">
      <c r="A808">
        <v>287103</v>
      </c>
      <c r="B808">
        <v>287111</v>
      </c>
      <c r="D808" t="s">
        <v>700</v>
      </c>
      <c r="E808" t="s">
        <v>5158</v>
      </c>
      <c r="F808" t="s">
        <v>5159</v>
      </c>
      <c r="G808" t="s">
        <v>5160</v>
      </c>
      <c r="H808" t="s">
        <v>5161</v>
      </c>
      <c r="I808" t="s">
        <v>5162</v>
      </c>
      <c r="J808" t="s">
        <v>5157</v>
      </c>
      <c r="K808" t="s">
        <v>5163</v>
      </c>
      <c r="L808" t="s">
        <v>5157</v>
      </c>
    </row>
    <row r="809" spans="1:12" x14ac:dyDescent="0.25">
      <c r="A809">
        <v>287103</v>
      </c>
      <c r="B809">
        <v>287542</v>
      </c>
      <c r="D809" t="s">
        <v>700</v>
      </c>
      <c r="E809" t="s">
        <v>5165</v>
      </c>
      <c r="F809" t="s">
        <v>5166</v>
      </c>
      <c r="G809" t="s">
        <v>5167</v>
      </c>
      <c r="H809" t="s">
        <v>5168</v>
      </c>
      <c r="I809" t="s">
        <v>5169</v>
      </c>
      <c r="J809" t="s">
        <v>5164</v>
      </c>
      <c r="K809" t="s">
        <v>5170</v>
      </c>
      <c r="L809" t="s">
        <v>5164</v>
      </c>
    </row>
    <row r="810" spans="1:12" x14ac:dyDescent="0.25">
      <c r="A810">
        <v>287104</v>
      </c>
      <c r="B810">
        <v>287148</v>
      </c>
      <c r="D810" t="s">
        <v>715</v>
      </c>
      <c r="E810" t="s">
        <v>5172</v>
      </c>
      <c r="F810" t="s">
        <v>5173</v>
      </c>
      <c r="G810" t="s">
        <v>5174</v>
      </c>
      <c r="H810" t="s">
        <v>5175</v>
      </c>
      <c r="I810" t="s">
        <v>5176</v>
      </c>
      <c r="J810" t="s">
        <v>5171</v>
      </c>
      <c r="K810" t="s">
        <v>5177</v>
      </c>
      <c r="L810" t="s">
        <v>5171</v>
      </c>
    </row>
    <row r="811" spans="1:12" x14ac:dyDescent="0.25">
      <c r="A811">
        <v>287104</v>
      </c>
      <c r="B811">
        <v>287169</v>
      </c>
      <c r="D811" t="s">
        <v>715</v>
      </c>
      <c r="E811" t="s">
        <v>5179</v>
      </c>
      <c r="F811" t="s">
        <v>5180</v>
      </c>
      <c r="G811" t="s">
        <v>5181</v>
      </c>
      <c r="H811" t="s">
        <v>5182</v>
      </c>
      <c r="I811" t="s">
        <v>5183</v>
      </c>
      <c r="J811" t="s">
        <v>5178</v>
      </c>
      <c r="K811" t="s">
        <v>5184</v>
      </c>
      <c r="L811" t="s">
        <v>5178</v>
      </c>
    </row>
    <row r="812" spans="1:12" x14ac:dyDescent="0.25">
      <c r="A812">
        <v>287111</v>
      </c>
      <c r="B812">
        <v>287246</v>
      </c>
      <c r="D812">
        <v>0</v>
      </c>
      <c r="F812">
        <v>1708499</v>
      </c>
      <c r="G812">
        <v>287246</v>
      </c>
      <c r="H812" t="e" vm="77">
        <f>_FV(0,"056")</f>
        <v>#VALUE!</v>
      </c>
      <c r="I812">
        <v>287111</v>
      </c>
      <c r="J812" t="s">
        <v>1194</v>
      </c>
      <c r="K812" t="s">
        <v>5185</v>
      </c>
      <c r="L812" t="e" vm="77">
        <f>_FV(0,"056")</f>
        <v>#VALUE!</v>
      </c>
    </row>
    <row r="813" spans="1:12" x14ac:dyDescent="0.25">
      <c r="A813">
        <v>287111</v>
      </c>
      <c r="B813">
        <v>287542</v>
      </c>
      <c r="D813">
        <v>0</v>
      </c>
      <c r="E813" t="s">
        <v>5187</v>
      </c>
      <c r="F813" t="s">
        <v>5188</v>
      </c>
      <c r="G813" t="s">
        <v>5189</v>
      </c>
      <c r="H813" t="e" vm="368">
        <f>_FV(0,"02144736875200914")</f>
        <v>#VALUE!</v>
      </c>
      <c r="I813" t="s">
        <v>5190</v>
      </c>
      <c r="J813" t="s">
        <v>5191</v>
      </c>
      <c r="K813" t="s">
        <v>5192</v>
      </c>
      <c r="L813" t="s">
        <v>5186</v>
      </c>
    </row>
    <row r="814" spans="1:12" x14ac:dyDescent="0.25">
      <c r="A814">
        <v>287148</v>
      </c>
      <c r="B814">
        <v>287169</v>
      </c>
      <c r="D814">
        <v>0</v>
      </c>
      <c r="E814" t="s">
        <v>5194</v>
      </c>
      <c r="F814" t="s">
        <v>5195</v>
      </c>
      <c r="G814" t="s">
        <v>5196</v>
      </c>
      <c r="H814" t="s">
        <v>5197</v>
      </c>
      <c r="I814" t="s">
        <v>5198</v>
      </c>
      <c r="J814" t="s">
        <v>5193</v>
      </c>
      <c r="K814" t="s">
        <v>5199</v>
      </c>
      <c r="L814" t="s">
        <v>5193</v>
      </c>
    </row>
    <row r="815" spans="1:12" x14ac:dyDescent="0.25">
      <c r="A815">
        <v>287169</v>
      </c>
      <c r="B815">
        <v>295481</v>
      </c>
      <c r="D815">
        <v>0</v>
      </c>
      <c r="F815">
        <v>1708587</v>
      </c>
      <c r="G815">
        <v>287169</v>
      </c>
      <c r="H815" t="e" vm="369">
        <f>_FV(0,"572")</f>
        <v>#VALUE!</v>
      </c>
      <c r="I815">
        <v>295481</v>
      </c>
      <c r="J815" t="s">
        <v>5200</v>
      </c>
      <c r="K815" t="s">
        <v>5201</v>
      </c>
      <c r="L815" t="e" vm="369">
        <f>_FV(0,"572")</f>
        <v>#VALUE!</v>
      </c>
    </row>
    <row r="816" spans="1:12" x14ac:dyDescent="0.25">
      <c r="A816">
        <v>287246</v>
      </c>
      <c r="B816">
        <v>287260</v>
      </c>
      <c r="D816">
        <v>0</v>
      </c>
      <c r="E816" t="s">
        <v>5203</v>
      </c>
      <c r="F816" t="s">
        <v>5204</v>
      </c>
      <c r="G816" t="s">
        <v>5205</v>
      </c>
      <c r="H816" t="s">
        <v>5206</v>
      </c>
      <c r="I816" t="s">
        <v>5207</v>
      </c>
      <c r="J816" t="s">
        <v>5208</v>
      </c>
      <c r="K816" t="s">
        <v>5209</v>
      </c>
      <c r="L816" t="s">
        <v>5202</v>
      </c>
    </row>
    <row r="817" spans="1:12" x14ac:dyDescent="0.25">
      <c r="A817">
        <v>287246</v>
      </c>
      <c r="B817">
        <v>287253</v>
      </c>
      <c r="D817">
        <v>0</v>
      </c>
      <c r="E817" t="s">
        <v>5211</v>
      </c>
      <c r="F817" t="s">
        <v>5212</v>
      </c>
      <c r="G817" t="s">
        <v>5213</v>
      </c>
      <c r="H817" t="s">
        <v>5214</v>
      </c>
      <c r="I817" t="s">
        <v>5215</v>
      </c>
      <c r="J817" t="s">
        <v>5216</v>
      </c>
      <c r="K817" t="s">
        <v>5217</v>
      </c>
      <c r="L817" t="s">
        <v>5210</v>
      </c>
    </row>
    <row r="818" spans="1:12" x14ac:dyDescent="0.25">
      <c r="A818">
        <v>287253</v>
      </c>
      <c r="B818">
        <v>287275</v>
      </c>
      <c r="D818">
        <v>0</v>
      </c>
      <c r="E818" t="s">
        <v>5219</v>
      </c>
      <c r="F818" t="s">
        <v>5220</v>
      </c>
      <c r="G818" t="s">
        <v>5221</v>
      </c>
      <c r="H818" t="e" vm="370">
        <f>_FV(0,"0533819244894559")</f>
        <v>#VALUE!</v>
      </c>
      <c r="I818" t="s">
        <v>5222</v>
      </c>
      <c r="J818" t="s">
        <v>5223</v>
      </c>
      <c r="K818" t="s">
        <v>5224</v>
      </c>
      <c r="L818" t="s">
        <v>5218</v>
      </c>
    </row>
    <row r="819" spans="1:12" x14ac:dyDescent="0.25">
      <c r="A819">
        <v>287260</v>
      </c>
      <c r="B819">
        <v>287542</v>
      </c>
      <c r="D819">
        <v>0</v>
      </c>
      <c r="F819">
        <v>1708475</v>
      </c>
      <c r="G819">
        <v>287542</v>
      </c>
      <c r="H819" t="s">
        <v>2841</v>
      </c>
      <c r="I819">
        <v>287260</v>
      </c>
      <c r="J819" t="s">
        <v>2841</v>
      </c>
      <c r="K819" t="s">
        <v>5225</v>
      </c>
      <c r="L819" t="s">
        <v>2841</v>
      </c>
    </row>
    <row r="820" spans="1:12" x14ac:dyDescent="0.25">
      <c r="A820">
        <v>287260</v>
      </c>
      <c r="B820">
        <v>287275</v>
      </c>
      <c r="D820">
        <v>0</v>
      </c>
      <c r="E820" t="s">
        <v>5227</v>
      </c>
      <c r="F820" t="s">
        <v>5228</v>
      </c>
      <c r="G820" t="s">
        <v>5229</v>
      </c>
      <c r="H820" t="s">
        <v>5230</v>
      </c>
      <c r="I820" t="s">
        <v>5231</v>
      </c>
      <c r="J820" t="s">
        <v>5226</v>
      </c>
      <c r="K820" t="s">
        <v>5232</v>
      </c>
      <c r="L820" t="s">
        <v>5226</v>
      </c>
    </row>
    <row r="821" spans="1:12" x14ac:dyDescent="0.25">
      <c r="A821">
        <v>287275</v>
      </c>
      <c r="B821">
        <v>293678</v>
      </c>
      <c r="D821">
        <v>0</v>
      </c>
      <c r="F821">
        <v>303652</v>
      </c>
      <c r="G821">
        <v>287275</v>
      </c>
      <c r="H821" t="e" vm="371">
        <f>_FV(0,"575")</f>
        <v>#VALUE!</v>
      </c>
      <c r="I821">
        <v>293678</v>
      </c>
      <c r="J821" t="s">
        <v>5233</v>
      </c>
      <c r="K821" t="s">
        <v>5234</v>
      </c>
      <c r="L821" t="e" vm="371">
        <f>_FV(0,"575")</f>
        <v>#VALUE!</v>
      </c>
    </row>
    <row r="822" spans="1:12" x14ac:dyDescent="0.25">
      <c r="A822">
        <v>287773</v>
      </c>
      <c r="B822">
        <v>287783</v>
      </c>
      <c r="D822">
        <v>0</v>
      </c>
      <c r="E822" t="s">
        <v>5236</v>
      </c>
      <c r="F822" t="s">
        <v>5237</v>
      </c>
      <c r="G822" t="s">
        <v>5238</v>
      </c>
      <c r="H822" t="s">
        <v>5239</v>
      </c>
      <c r="I822" t="s">
        <v>5240</v>
      </c>
      <c r="J822" t="s">
        <v>5235</v>
      </c>
      <c r="K822" t="s">
        <v>5241</v>
      </c>
      <c r="L822" t="s">
        <v>5235</v>
      </c>
    </row>
    <row r="823" spans="1:12" x14ac:dyDescent="0.25">
      <c r="A823">
        <v>287773</v>
      </c>
      <c r="B823">
        <v>287783</v>
      </c>
      <c r="D823">
        <v>0</v>
      </c>
      <c r="E823" t="s">
        <v>5243</v>
      </c>
      <c r="F823" t="s">
        <v>5244</v>
      </c>
      <c r="G823" t="s">
        <v>5245</v>
      </c>
      <c r="H823" t="s">
        <v>5246</v>
      </c>
      <c r="I823" t="s">
        <v>5247</v>
      </c>
      <c r="J823" t="s">
        <v>5242</v>
      </c>
      <c r="K823" t="s">
        <v>5248</v>
      </c>
      <c r="L823" t="s">
        <v>5242</v>
      </c>
    </row>
    <row r="824" spans="1:12" x14ac:dyDescent="0.25">
      <c r="A824">
        <v>287991</v>
      </c>
      <c r="B824">
        <v>294255</v>
      </c>
      <c r="C824" t="s">
        <v>5250</v>
      </c>
      <c r="D824" t="s">
        <v>5251</v>
      </c>
      <c r="E824" t="s">
        <v>5252</v>
      </c>
      <c r="F824" t="s">
        <v>5253</v>
      </c>
      <c r="G824" t="s">
        <v>5254</v>
      </c>
      <c r="H824" t="e" vm="372">
        <f>_FV(0,"025326170793820227")</f>
        <v>#VALUE!</v>
      </c>
      <c r="I824" t="s">
        <v>5255</v>
      </c>
      <c r="J824" t="s">
        <v>5256</v>
      </c>
      <c r="K824" t="s">
        <v>5257</v>
      </c>
      <c r="L824" t="s">
        <v>5249</v>
      </c>
    </row>
    <row r="825" spans="1:12" x14ac:dyDescent="0.25">
      <c r="A825">
        <v>290450</v>
      </c>
      <c r="B825">
        <v>488387</v>
      </c>
      <c r="D825">
        <v>0</v>
      </c>
      <c r="E825" t="s">
        <v>5259</v>
      </c>
      <c r="F825" t="s">
        <v>5260</v>
      </c>
      <c r="G825" t="s">
        <v>5261</v>
      </c>
      <c r="H825" t="e" vm="373">
        <f>_FV(0,"1082405608450301")</f>
        <v>#VALUE!</v>
      </c>
      <c r="I825" t="s">
        <v>5262</v>
      </c>
      <c r="J825" t="s">
        <v>5263</v>
      </c>
      <c r="K825" t="s">
        <v>5264</v>
      </c>
      <c r="L825" t="s">
        <v>5258</v>
      </c>
    </row>
    <row r="826" spans="1:12" x14ac:dyDescent="0.25">
      <c r="A826">
        <v>290450</v>
      </c>
      <c r="B826">
        <v>488308</v>
      </c>
      <c r="D826">
        <v>0</v>
      </c>
      <c r="E826" t="s">
        <v>5266</v>
      </c>
      <c r="F826" t="s">
        <v>5267</v>
      </c>
      <c r="G826" t="s">
        <v>5268</v>
      </c>
      <c r="H826" t="s">
        <v>5269</v>
      </c>
      <c r="I826" t="s">
        <v>5270</v>
      </c>
      <c r="J826" t="s">
        <v>5271</v>
      </c>
      <c r="K826" t="s">
        <v>5272</v>
      </c>
      <c r="L826" t="s">
        <v>5265</v>
      </c>
    </row>
    <row r="827" spans="1:12" x14ac:dyDescent="0.25">
      <c r="A827">
        <v>290450</v>
      </c>
      <c r="B827">
        <v>488308</v>
      </c>
      <c r="D827">
        <v>0</v>
      </c>
      <c r="E827" t="s">
        <v>5274</v>
      </c>
      <c r="F827" t="s">
        <v>5275</v>
      </c>
      <c r="G827" t="s">
        <v>5276</v>
      </c>
      <c r="H827" t="s">
        <v>5277</v>
      </c>
      <c r="I827" t="s">
        <v>5278</v>
      </c>
      <c r="J827" t="s">
        <v>5279</v>
      </c>
      <c r="K827" t="s">
        <v>5280</v>
      </c>
      <c r="L827" t="s">
        <v>5273</v>
      </c>
    </row>
    <row r="828" spans="1:12" x14ac:dyDescent="0.25">
      <c r="A828">
        <v>290466</v>
      </c>
      <c r="B828">
        <v>290493</v>
      </c>
      <c r="D828">
        <v>0</v>
      </c>
      <c r="E828" t="s">
        <v>5282</v>
      </c>
      <c r="F828" t="s">
        <v>5283</v>
      </c>
      <c r="G828" t="s">
        <v>5284</v>
      </c>
      <c r="H828" t="e" vm="374">
        <f>_FV(0,"043060255478654885")</f>
        <v>#VALUE!</v>
      </c>
      <c r="I828" t="s">
        <v>5285</v>
      </c>
      <c r="J828" t="s">
        <v>5286</v>
      </c>
      <c r="K828" t="s">
        <v>5287</v>
      </c>
      <c r="L828" t="s">
        <v>5281</v>
      </c>
    </row>
    <row r="829" spans="1:12" x14ac:dyDescent="0.25">
      <c r="A829">
        <v>290466</v>
      </c>
      <c r="B829">
        <v>290493</v>
      </c>
      <c r="D829">
        <v>0</v>
      </c>
      <c r="E829" t="s">
        <v>5289</v>
      </c>
      <c r="F829" t="s">
        <v>5290</v>
      </c>
      <c r="G829" t="s">
        <v>5291</v>
      </c>
      <c r="H829" t="e" vm="375">
        <f>_FV(0,"04316952453025493")</f>
        <v>#VALUE!</v>
      </c>
      <c r="I829" t="s">
        <v>5292</v>
      </c>
      <c r="J829" t="s">
        <v>5293</v>
      </c>
      <c r="K829" t="s">
        <v>5294</v>
      </c>
      <c r="L829" t="s">
        <v>5288</v>
      </c>
    </row>
    <row r="830" spans="1:12" x14ac:dyDescent="0.25">
      <c r="A830">
        <v>290466</v>
      </c>
      <c r="B830">
        <v>1854842</v>
      </c>
      <c r="C830" t="s">
        <v>5295</v>
      </c>
      <c r="D830">
        <v>0</v>
      </c>
      <c r="E830" t="s">
        <v>5296</v>
      </c>
      <c r="H830" t="s">
        <v>187</v>
      </c>
      <c r="J830">
        <v>0</v>
      </c>
      <c r="K830" t="s">
        <v>5297</v>
      </c>
      <c r="L830">
        <v>0</v>
      </c>
    </row>
    <row r="831" spans="1:12" x14ac:dyDescent="0.25">
      <c r="A831">
        <v>290493</v>
      </c>
      <c r="B831">
        <v>488308</v>
      </c>
      <c r="D831">
        <v>0</v>
      </c>
      <c r="E831" t="s">
        <v>5299</v>
      </c>
      <c r="F831" t="s">
        <v>5300</v>
      </c>
      <c r="G831" t="s">
        <v>5301</v>
      </c>
      <c r="H831" t="e" vm="376">
        <f>_FV(0,"014104166207104914")</f>
        <v>#VALUE!</v>
      </c>
      <c r="I831" t="s">
        <v>5302</v>
      </c>
      <c r="J831" t="s">
        <v>5303</v>
      </c>
      <c r="K831" t="s">
        <v>5304</v>
      </c>
      <c r="L831" t="s">
        <v>5298</v>
      </c>
    </row>
    <row r="832" spans="1:12" x14ac:dyDescent="0.25">
      <c r="A832">
        <v>290566</v>
      </c>
      <c r="B832">
        <v>290597</v>
      </c>
      <c r="D832">
        <v>0</v>
      </c>
      <c r="E832" t="s">
        <v>5306</v>
      </c>
      <c r="F832" t="s">
        <v>5307</v>
      </c>
      <c r="G832" t="s">
        <v>5308</v>
      </c>
      <c r="H832" t="s">
        <v>5309</v>
      </c>
      <c r="I832" t="s">
        <v>5310</v>
      </c>
      <c r="J832" t="s">
        <v>5311</v>
      </c>
      <c r="K832" t="s">
        <v>5312</v>
      </c>
      <c r="L832" t="s">
        <v>5305</v>
      </c>
    </row>
    <row r="833" spans="1:12" x14ac:dyDescent="0.25">
      <c r="A833">
        <v>290566</v>
      </c>
      <c r="B833">
        <v>290652</v>
      </c>
      <c r="D833">
        <v>0</v>
      </c>
      <c r="E833" t="s">
        <v>5314</v>
      </c>
      <c r="F833" t="s">
        <v>5315</v>
      </c>
      <c r="G833" t="s">
        <v>5316</v>
      </c>
      <c r="H833" t="e" vm="377">
        <f>_FV(0,"03597384027964877")</f>
        <v>#VALUE!</v>
      </c>
      <c r="I833" t="s">
        <v>5317</v>
      </c>
      <c r="J833" t="s">
        <v>5318</v>
      </c>
      <c r="K833" t="s">
        <v>5319</v>
      </c>
      <c r="L833" t="s">
        <v>5313</v>
      </c>
    </row>
    <row r="834" spans="1:12" x14ac:dyDescent="0.25">
      <c r="A834">
        <v>290566</v>
      </c>
      <c r="B834">
        <v>290697</v>
      </c>
      <c r="D834" t="s">
        <v>514</v>
      </c>
      <c r="E834" t="s">
        <v>5321</v>
      </c>
      <c r="F834" t="s">
        <v>5322</v>
      </c>
      <c r="G834" t="s">
        <v>5323</v>
      </c>
      <c r="H834" t="s">
        <v>5324</v>
      </c>
      <c r="I834" t="s">
        <v>5325</v>
      </c>
      <c r="J834" t="s">
        <v>5326</v>
      </c>
      <c r="K834" t="s">
        <v>5327</v>
      </c>
      <c r="L834" t="s">
        <v>5320</v>
      </c>
    </row>
    <row r="835" spans="1:12" x14ac:dyDescent="0.25">
      <c r="A835">
        <v>290597</v>
      </c>
      <c r="B835">
        <v>290615</v>
      </c>
      <c r="D835">
        <v>0</v>
      </c>
      <c r="E835" t="s">
        <v>5329</v>
      </c>
      <c r="F835" t="s">
        <v>5330</v>
      </c>
      <c r="G835" t="s">
        <v>5331</v>
      </c>
      <c r="H835" t="s">
        <v>5332</v>
      </c>
      <c r="I835" t="s">
        <v>5333</v>
      </c>
      <c r="J835" t="s">
        <v>5328</v>
      </c>
      <c r="K835" t="s">
        <v>5334</v>
      </c>
      <c r="L835" t="s">
        <v>5328</v>
      </c>
    </row>
    <row r="836" spans="1:12" x14ac:dyDescent="0.25">
      <c r="A836">
        <v>290597</v>
      </c>
      <c r="B836">
        <v>290791</v>
      </c>
      <c r="D836">
        <v>0</v>
      </c>
      <c r="E836" t="s">
        <v>5336</v>
      </c>
      <c r="F836" t="s">
        <v>5337</v>
      </c>
      <c r="G836" t="s">
        <v>5338</v>
      </c>
      <c r="H836" t="s">
        <v>5339</v>
      </c>
      <c r="I836" t="s">
        <v>5340</v>
      </c>
      <c r="J836" t="s">
        <v>5335</v>
      </c>
      <c r="K836" t="s">
        <v>5341</v>
      </c>
      <c r="L836" t="s">
        <v>5335</v>
      </c>
    </row>
    <row r="837" spans="1:12" x14ac:dyDescent="0.25">
      <c r="A837">
        <v>290600</v>
      </c>
      <c r="B837">
        <v>290641</v>
      </c>
      <c r="D837">
        <v>0</v>
      </c>
      <c r="E837" t="s">
        <v>5343</v>
      </c>
      <c r="F837" t="s">
        <v>5344</v>
      </c>
      <c r="G837" t="s">
        <v>5345</v>
      </c>
      <c r="H837" t="s">
        <v>5346</v>
      </c>
      <c r="I837" t="s">
        <v>5347</v>
      </c>
      <c r="J837" t="s">
        <v>5342</v>
      </c>
      <c r="K837" t="s">
        <v>5348</v>
      </c>
      <c r="L837" t="s">
        <v>5342</v>
      </c>
    </row>
    <row r="838" spans="1:12" x14ac:dyDescent="0.25">
      <c r="A838">
        <v>290600</v>
      </c>
      <c r="B838">
        <v>290641</v>
      </c>
      <c r="D838">
        <v>0</v>
      </c>
      <c r="E838" t="s">
        <v>5350</v>
      </c>
      <c r="F838" t="s">
        <v>5351</v>
      </c>
      <c r="G838" t="s">
        <v>5352</v>
      </c>
      <c r="H838" t="s">
        <v>5353</v>
      </c>
      <c r="I838" t="s">
        <v>5354</v>
      </c>
      <c r="J838" t="s">
        <v>5349</v>
      </c>
      <c r="K838" t="s">
        <v>5355</v>
      </c>
      <c r="L838" t="s">
        <v>5349</v>
      </c>
    </row>
    <row r="839" spans="1:12" x14ac:dyDescent="0.25">
      <c r="A839">
        <v>290600</v>
      </c>
      <c r="B839">
        <v>427856</v>
      </c>
      <c r="D839">
        <v>0</v>
      </c>
      <c r="E839" t="s">
        <v>5357</v>
      </c>
      <c r="F839" t="s">
        <v>5358</v>
      </c>
      <c r="G839" t="s">
        <v>5360</v>
      </c>
      <c r="H839" t="s">
        <v>5361</v>
      </c>
      <c r="I839" t="s">
        <v>5362</v>
      </c>
      <c r="J839" t="s">
        <v>5363</v>
      </c>
      <c r="K839" t="s">
        <v>5364</v>
      </c>
      <c r="L839" t="s">
        <v>5356</v>
      </c>
    </row>
    <row r="840" spans="1:12" x14ac:dyDescent="0.25">
      <c r="A840">
        <v>290615</v>
      </c>
      <c r="B840">
        <v>290652</v>
      </c>
      <c r="D840">
        <v>0</v>
      </c>
      <c r="E840" t="s">
        <v>5366</v>
      </c>
      <c r="F840" t="s">
        <v>5367</v>
      </c>
      <c r="G840" t="s">
        <v>5368</v>
      </c>
      <c r="H840" t="e" vm="378">
        <f>_FV(0,"0011095229510863069")</f>
        <v>#VALUE!</v>
      </c>
      <c r="I840" t="s">
        <v>5369</v>
      </c>
      <c r="J840" t="s">
        <v>5370</v>
      </c>
      <c r="K840" t="s">
        <v>5371</v>
      </c>
      <c r="L840" t="s">
        <v>5365</v>
      </c>
    </row>
    <row r="841" spans="1:12" x14ac:dyDescent="0.25">
      <c r="A841">
        <v>290615</v>
      </c>
      <c r="B841">
        <v>290791</v>
      </c>
      <c r="D841">
        <v>0</v>
      </c>
      <c r="E841" t="s">
        <v>5373</v>
      </c>
      <c r="F841" t="s">
        <v>5374</v>
      </c>
      <c r="G841" t="s">
        <v>5375</v>
      </c>
      <c r="H841" t="s">
        <v>5376</v>
      </c>
      <c r="I841" t="s">
        <v>5377</v>
      </c>
      <c r="J841" t="s">
        <v>5378</v>
      </c>
      <c r="K841" t="s">
        <v>5379</v>
      </c>
      <c r="L841" t="s">
        <v>5372</v>
      </c>
    </row>
    <row r="842" spans="1:12" x14ac:dyDescent="0.25">
      <c r="A842">
        <v>290641</v>
      </c>
      <c r="B842">
        <v>427933</v>
      </c>
      <c r="D842">
        <v>0</v>
      </c>
      <c r="E842" t="s">
        <v>5381</v>
      </c>
      <c r="F842" t="s">
        <v>5382</v>
      </c>
      <c r="G842" t="s">
        <v>5383</v>
      </c>
      <c r="H842" t="s">
        <v>5384</v>
      </c>
      <c r="I842" t="s">
        <v>5385</v>
      </c>
      <c r="J842" t="s">
        <v>5380</v>
      </c>
      <c r="K842" t="s">
        <v>5386</v>
      </c>
      <c r="L842" t="s">
        <v>5380</v>
      </c>
    </row>
    <row r="843" spans="1:12" x14ac:dyDescent="0.25">
      <c r="A843">
        <v>290652</v>
      </c>
      <c r="B843">
        <v>290697</v>
      </c>
      <c r="D843" t="s">
        <v>514</v>
      </c>
      <c r="E843" t="s">
        <v>5388</v>
      </c>
      <c r="F843" t="s">
        <v>5389</v>
      </c>
      <c r="G843" t="s">
        <v>5390</v>
      </c>
      <c r="H843" t="s">
        <v>5391</v>
      </c>
      <c r="I843" t="s">
        <v>5392</v>
      </c>
      <c r="J843" t="s">
        <v>5387</v>
      </c>
      <c r="K843" t="s">
        <v>5393</v>
      </c>
      <c r="L843" t="s">
        <v>5387</v>
      </c>
    </row>
    <row r="844" spans="1:12" x14ac:dyDescent="0.25">
      <c r="A844">
        <v>290697</v>
      </c>
      <c r="B844">
        <v>358209</v>
      </c>
      <c r="D844">
        <v>0</v>
      </c>
      <c r="E844" t="s">
        <v>5395</v>
      </c>
      <c r="F844" t="s">
        <v>5396</v>
      </c>
      <c r="G844" t="s">
        <v>5397</v>
      </c>
      <c r="H844" t="s">
        <v>5398</v>
      </c>
      <c r="I844" t="s">
        <v>5399</v>
      </c>
      <c r="J844" t="s">
        <v>5400</v>
      </c>
      <c r="K844" t="s">
        <v>5401</v>
      </c>
      <c r="L844" t="s">
        <v>5394</v>
      </c>
    </row>
    <row r="845" spans="1:12" x14ac:dyDescent="0.25">
      <c r="A845">
        <v>290791</v>
      </c>
      <c r="B845">
        <v>358306</v>
      </c>
      <c r="C845" t="s">
        <v>5403</v>
      </c>
      <c r="D845">
        <v>0</v>
      </c>
      <c r="E845" t="s">
        <v>5404</v>
      </c>
      <c r="F845" t="s">
        <v>5405</v>
      </c>
      <c r="G845" t="s">
        <v>5406</v>
      </c>
      <c r="H845" t="e" vm="379">
        <f>_FV(0,"00349797209574249")</f>
        <v>#VALUE!</v>
      </c>
      <c r="I845" t="s">
        <v>5407</v>
      </c>
      <c r="J845" t="s">
        <v>5408</v>
      </c>
      <c r="K845" t="s">
        <v>5409</v>
      </c>
      <c r="L845" t="s">
        <v>5402</v>
      </c>
    </row>
    <row r="846" spans="1:12" x14ac:dyDescent="0.25">
      <c r="A846">
        <v>291803</v>
      </c>
      <c r="B846">
        <v>291813</v>
      </c>
      <c r="D846">
        <v>0</v>
      </c>
      <c r="F846">
        <v>299663</v>
      </c>
      <c r="G846">
        <v>291813</v>
      </c>
      <c r="H846" t="s">
        <v>5410</v>
      </c>
      <c r="I846">
        <v>291803</v>
      </c>
      <c r="J846" t="s">
        <v>5410</v>
      </c>
      <c r="K846" t="s">
        <v>5411</v>
      </c>
      <c r="L846" t="s">
        <v>5410</v>
      </c>
    </row>
    <row r="847" spans="1:12" x14ac:dyDescent="0.25">
      <c r="A847">
        <v>291803</v>
      </c>
      <c r="B847">
        <v>632227</v>
      </c>
      <c r="D847" t="s">
        <v>5413</v>
      </c>
      <c r="E847" t="s">
        <v>5414</v>
      </c>
      <c r="F847" t="s">
        <v>5415</v>
      </c>
      <c r="G847" t="s">
        <v>5416</v>
      </c>
      <c r="H847" t="s">
        <v>5417</v>
      </c>
      <c r="I847" t="s">
        <v>5418</v>
      </c>
      <c r="J847" t="s">
        <v>5419</v>
      </c>
      <c r="K847" t="s">
        <v>5420</v>
      </c>
      <c r="L847" t="s">
        <v>5412</v>
      </c>
    </row>
    <row r="848" spans="1:12" x14ac:dyDescent="0.25">
      <c r="A848">
        <v>291803</v>
      </c>
      <c r="B848">
        <v>113916</v>
      </c>
      <c r="D848">
        <v>0</v>
      </c>
      <c r="E848" t="s">
        <v>5422</v>
      </c>
      <c r="F848" t="s">
        <v>5423</v>
      </c>
      <c r="G848" t="s">
        <v>5424</v>
      </c>
      <c r="H848" t="s">
        <v>5425</v>
      </c>
      <c r="I848" t="s">
        <v>5426</v>
      </c>
      <c r="J848" t="s">
        <v>5427</v>
      </c>
      <c r="K848" t="s">
        <v>5428</v>
      </c>
      <c r="L848" t="s">
        <v>5421</v>
      </c>
    </row>
    <row r="849" spans="1:12" x14ac:dyDescent="0.25">
      <c r="A849">
        <v>291813</v>
      </c>
      <c r="B849">
        <v>291836</v>
      </c>
      <c r="D849">
        <v>0</v>
      </c>
      <c r="E849" t="s">
        <v>5430</v>
      </c>
      <c r="F849" t="s">
        <v>5431</v>
      </c>
      <c r="G849" t="s">
        <v>5432</v>
      </c>
      <c r="H849" t="e" vm="380">
        <f>_FV(0,"023916935786305663")</f>
        <v>#VALUE!</v>
      </c>
      <c r="I849" t="s">
        <v>5433</v>
      </c>
      <c r="J849" t="s">
        <v>5434</v>
      </c>
      <c r="K849" t="s">
        <v>5435</v>
      </c>
      <c r="L849" t="s">
        <v>5429</v>
      </c>
    </row>
    <row r="850" spans="1:12" x14ac:dyDescent="0.25">
      <c r="A850">
        <v>291813</v>
      </c>
      <c r="B850">
        <v>1039958</v>
      </c>
      <c r="D850">
        <v>0</v>
      </c>
      <c r="E850" t="s">
        <v>5437</v>
      </c>
      <c r="F850" t="s">
        <v>5438</v>
      </c>
      <c r="G850" t="s">
        <v>5439</v>
      </c>
      <c r="H850" t="e" vm="381">
        <f>_FV(0,"07442005573242806")</f>
        <v>#VALUE!</v>
      </c>
      <c r="I850" t="s">
        <v>5440</v>
      </c>
      <c r="J850" t="s">
        <v>5441</v>
      </c>
      <c r="K850" t="s">
        <v>5442</v>
      </c>
      <c r="L850" t="s">
        <v>5436</v>
      </c>
    </row>
    <row r="851" spans="1:12" x14ac:dyDescent="0.25">
      <c r="A851">
        <v>291836</v>
      </c>
      <c r="B851">
        <v>1046814</v>
      </c>
      <c r="D851">
        <v>0</v>
      </c>
      <c r="F851">
        <v>1105775</v>
      </c>
      <c r="G851">
        <v>1046814</v>
      </c>
      <c r="H851" t="e" vm="382">
        <f>_FV(0,"085")</f>
        <v>#VALUE!</v>
      </c>
      <c r="I851">
        <v>291836</v>
      </c>
      <c r="J851" t="s">
        <v>5443</v>
      </c>
      <c r="K851" t="s">
        <v>5444</v>
      </c>
      <c r="L851" t="e" vm="382">
        <f>_FV(0,"085")</f>
        <v>#VALUE!</v>
      </c>
    </row>
    <row r="852" spans="1:12" x14ac:dyDescent="0.25">
      <c r="A852">
        <v>291836</v>
      </c>
      <c r="B852">
        <v>1046787</v>
      </c>
      <c r="D852" t="s">
        <v>204</v>
      </c>
      <c r="E852" t="s">
        <v>5446</v>
      </c>
      <c r="F852" t="s">
        <v>5447</v>
      </c>
      <c r="G852" t="s">
        <v>5448</v>
      </c>
      <c r="H852" t="e" vm="383">
        <f>_FV(0,"08997136772838696")</f>
        <v>#VALUE!</v>
      </c>
      <c r="I852" t="s">
        <v>5449</v>
      </c>
      <c r="J852" t="s">
        <v>5450</v>
      </c>
      <c r="K852" t="s">
        <v>5451</v>
      </c>
      <c r="L852" t="s">
        <v>5445</v>
      </c>
    </row>
    <row r="853" spans="1:12" x14ac:dyDescent="0.25">
      <c r="A853">
        <v>293267</v>
      </c>
      <c r="B853">
        <v>293294</v>
      </c>
      <c r="D853" t="s">
        <v>330</v>
      </c>
      <c r="E853" t="s">
        <v>5453</v>
      </c>
      <c r="F853" t="s">
        <v>5454</v>
      </c>
      <c r="G853" t="s">
        <v>5455</v>
      </c>
      <c r="H853" t="e" vm="384">
        <f>_FV(0,"015591942187828235")</f>
        <v>#VALUE!</v>
      </c>
      <c r="I853" t="s">
        <v>5456</v>
      </c>
      <c r="J853" t="s">
        <v>5457</v>
      </c>
      <c r="K853" t="s">
        <v>5458</v>
      </c>
      <c r="L853" t="s">
        <v>5452</v>
      </c>
    </row>
    <row r="854" spans="1:12" x14ac:dyDescent="0.25">
      <c r="A854">
        <v>293267</v>
      </c>
      <c r="B854">
        <v>1513725</v>
      </c>
      <c r="D854" t="s">
        <v>5460</v>
      </c>
      <c r="E854" t="s">
        <v>5461</v>
      </c>
      <c r="F854" t="s">
        <v>5462</v>
      </c>
      <c r="G854" t="s">
        <v>5463</v>
      </c>
      <c r="H854" t="s">
        <v>5464</v>
      </c>
      <c r="I854" t="s">
        <v>5465</v>
      </c>
      <c r="J854" t="s">
        <v>5466</v>
      </c>
      <c r="K854" t="s">
        <v>5467</v>
      </c>
      <c r="L854" t="s">
        <v>5459</v>
      </c>
    </row>
    <row r="855" spans="1:12" x14ac:dyDescent="0.25">
      <c r="A855">
        <v>293294</v>
      </c>
      <c r="B855">
        <v>293466</v>
      </c>
      <c r="C855" t="s">
        <v>5469</v>
      </c>
      <c r="D855">
        <v>0</v>
      </c>
      <c r="E855" t="s">
        <v>5470</v>
      </c>
      <c r="F855" t="s">
        <v>5471</v>
      </c>
      <c r="G855" t="s">
        <v>5472</v>
      </c>
      <c r="H855" t="s">
        <v>5473</v>
      </c>
      <c r="I855" t="s">
        <v>5474</v>
      </c>
      <c r="J855" t="s">
        <v>5475</v>
      </c>
      <c r="K855" t="s">
        <v>5476</v>
      </c>
      <c r="L855" t="s">
        <v>5468</v>
      </c>
    </row>
    <row r="856" spans="1:12" x14ac:dyDescent="0.25">
      <c r="A856">
        <v>293304</v>
      </c>
      <c r="B856">
        <v>293331</v>
      </c>
      <c r="D856" t="s">
        <v>2793</v>
      </c>
      <c r="E856" t="s">
        <v>5478</v>
      </c>
      <c r="F856" t="s">
        <v>5479</v>
      </c>
      <c r="G856" t="s">
        <v>5480</v>
      </c>
      <c r="H856" t="e" vm="385">
        <f>_FV(0,"005130082307063543")</f>
        <v>#VALUE!</v>
      </c>
      <c r="I856" t="s">
        <v>5481</v>
      </c>
      <c r="J856" t="s">
        <v>5482</v>
      </c>
      <c r="K856" t="s">
        <v>5483</v>
      </c>
      <c r="L856" t="s">
        <v>5477</v>
      </c>
    </row>
    <row r="857" spans="1:12" x14ac:dyDescent="0.25">
      <c r="A857">
        <v>293304</v>
      </c>
      <c r="B857">
        <v>1513650</v>
      </c>
      <c r="C857" t="s">
        <v>5485</v>
      </c>
      <c r="D857" t="s">
        <v>5486</v>
      </c>
      <c r="E857" t="s">
        <v>5487</v>
      </c>
      <c r="F857" t="s">
        <v>5488</v>
      </c>
      <c r="G857" t="s">
        <v>5489</v>
      </c>
      <c r="H857" t="s">
        <v>5490</v>
      </c>
      <c r="I857" t="s">
        <v>5491</v>
      </c>
      <c r="J857" t="s">
        <v>5492</v>
      </c>
      <c r="K857" t="s">
        <v>5493</v>
      </c>
      <c r="L857" t="s">
        <v>5484</v>
      </c>
    </row>
    <row r="858" spans="1:12" x14ac:dyDescent="0.25">
      <c r="A858">
        <v>293331</v>
      </c>
      <c r="B858">
        <v>293381</v>
      </c>
      <c r="D858">
        <v>0</v>
      </c>
      <c r="E858" t="s">
        <v>5495</v>
      </c>
      <c r="F858" t="s">
        <v>5496</v>
      </c>
      <c r="G858" t="s">
        <v>5497</v>
      </c>
      <c r="H858" t="s">
        <v>5498</v>
      </c>
      <c r="I858" t="s">
        <v>5499</v>
      </c>
      <c r="J858" t="s">
        <v>5500</v>
      </c>
      <c r="K858" t="s">
        <v>5501</v>
      </c>
      <c r="L858" t="s">
        <v>5494</v>
      </c>
    </row>
    <row r="859" spans="1:12" x14ac:dyDescent="0.25">
      <c r="A859">
        <v>293381</v>
      </c>
      <c r="B859">
        <v>293404</v>
      </c>
      <c r="D859">
        <v>0</v>
      </c>
      <c r="E859" t="s">
        <v>5503</v>
      </c>
      <c r="F859" t="s">
        <v>5504</v>
      </c>
      <c r="G859" t="s">
        <v>5505</v>
      </c>
      <c r="H859" t="e" vm="386">
        <f>_FV(0,"0013479789407363837")</f>
        <v>#VALUE!</v>
      </c>
      <c r="I859" t="s">
        <v>5506</v>
      </c>
      <c r="J859" t="s">
        <v>5507</v>
      </c>
      <c r="K859" t="s">
        <v>5508</v>
      </c>
      <c r="L859" t="s">
        <v>5502</v>
      </c>
    </row>
    <row r="860" spans="1:12" x14ac:dyDescent="0.25">
      <c r="A860">
        <v>293381</v>
      </c>
      <c r="B860">
        <v>1525442</v>
      </c>
      <c r="D860" t="s">
        <v>5510</v>
      </c>
      <c r="E860" t="s">
        <v>5511</v>
      </c>
      <c r="F860" t="s">
        <v>5512</v>
      </c>
      <c r="G860" t="s">
        <v>5513</v>
      </c>
      <c r="H860" t="s">
        <v>5514</v>
      </c>
      <c r="I860" t="s">
        <v>5515</v>
      </c>
      <c r="J860" t="s">
        <v>5516</v>
      </c>
      <c r="K860" t="s">
        <v>5517</v>
      </c>
      <c r="L860" t="s">
        <v>5509</v>
      </c>
    </row>
    <row r="861" spans="1:12" x14ac:dyDescent="0.25">
      <c r="A861">
        <v>293404</v>
      </c>
      <c r="B861">
        <v>293574</v>
      </c>
      <c r="D861" t="s">
        <v>5460</v>
      </c>
      <c r="E861" t="s">
        <v>5519</v>
      </c>
      <c r="F861" t="s">
        <v>5520</v>
      </c>
      <c r="G861" t="s">
        <v>5521</v>
      </c>
      <c r="H861" t="s">
        <v>5522</v>
      </c>
      <c r="I861" t="s">
        <v>5523</v>
      </c>
      <c r="J861" t="s">
        <v>5524</v>
      </c>
      <c r="K861" t="s">
        <v>5525</v>
      </c>
      <c r="L861" t="s">
        <v>5518</v>
      </c>
    </row>
    <row r="862" spans="1:12" x14ac:dyDescent="0.25">
      <c r="A862">
        <v>293404</v>
      </c>
      <c r="B862">
        <v>1525442</v>
      </c>
      <c r="D862" t="s">
        <v>1845</v>
      </c>
      <c r="E862" t="s">
        <v>5527</v>
      </c>
      <c r="F862" t="s">
        <v>5528</v>
      </c>
      <c r="G862" t="s">
        <v>5529</v>
      </c>
      <c r="H862" t="e" vm="387">
        <f>_FV(0,"014564313394501522")</f>
        <v>#VALUE!</v>
      </c>
      <c r="I862" t="s">
        <v>5530</v>
      </c>
      <c r="J862" t="s">
        <v>5531</v>
      </c>
      <c r="K862" t="s">
        <v>5532</v>
      </c>
      <c r="L862" t="s">
        <v>5526</v>
      </c>
    </row>
    <row r="863" spans="1:12" x14ac:dyDescent="0.25">
      <c r="A863">
        <v>293466</v>
      </c>
      <c r="B863">
        <v>293477</v>
      </c>
      <c r="D863">
        <v>0</v>
      </c>
      <c r="F863">
        <v>301576</v>
      </c>
      <c r="G863">
        <v>293477</v>
      </c>
      <c r="H863" t="s">
        <v>250</v>
      </c>
      <c r="I863">
        <v>293466</v>
      </c>
      <c r="J863" t="s">
        <v>250</v>
      </c>
      <c r="K863" t="s">
        <v>5533</v>
      </c>
      <c r="L863" t="s">
        <v>250</v>
      </c>
    </row>
    <row r="864" spans="1:12" x14ac:dyDescent="0.25">
      <c r="A864">
        <v>293466</v>
      </c>
      <c r="B864">
        <v>1525049</v>
      </c>
      <c r="D864">
        <v>0</v>
      </c>
      <c r="E864" t="s">
        <v>5535</v>
      </c>
      <c r="F864" t="s">
        <v>5536</v>
      </c>
      <c r="G864" t="s">
        <v>5537</v>
      </c>
      <c r="H864" t="s">
        <v>5538</v>
      </c>
      <c r="I864" t="s">
        <v>5539</v>
      </c>
      <c r="J864" t="s">
        <v>5540</v>
      </c>
      <c r="K864" t="s">
        <v>5541</v>
      </c>
      <c r="L864" t="s">
        <v>5534</v>
      </c>
    </row>
    <row r="865" spans="1:12" x14ac:dyDescent="0.25">
      <c r="A865">
        <v>293477</v>
      </c>
      <c r="B865">
        <v>293574</v>
      </c>
      <c r="D865" t="s">
        <v>5543</v>
      </c>
      <c r="E865" t="s">
        <v>5544</v>
      </c>
      <c r="F865" t="s">
        <v>5545</v>
      </c>
      <c r="G865" t="s">
        <v>5546</v>
      </c>
      <c r="H865" t="s">
        <v>5547</v>
      </c>
      <c r="I865" t="s">
        <v>5548</v>
      </c>
      <c r="J865" t="s">
        <v>5549</v>
      </c>
      <c r="K865" t="s">
        <v>5550</v>
      </c>
      <c r="L865" t="s">
        <v>5542</v>
      </c>
    </row>
    <row r="866" spans="1:12" x14ac:dyDescent="0.25">
      <c r="A866">
        <v>293477</v>
      </c>
      <c r="B866">
        <v>1525045</v>
      </c>
      <c r="D866">
        <v>0</v>
      </c>
      <c r="E866" t="s">
        <v>5552</v>
      </c>
      <c r="F866" t="s">
        <v>5553</v>
      </c>
      <c r="G866" t="s">
        <v>5554</v>
      </c>
      <c r="H866" t="e" vm="388">
        <f>_FV(0,"007444177328032896")</f>
        <v>#VALUE!</v>
      </c>
      <c r="I866" t="s">
        <v>5555</v>
      </c>
      <c r="J866" t="s">
        <v>5556</v>
      </c>
      <c r="K866" t="s">
        <v>5557</v>
      </c>
      <c r="L866" t="s">
        <v>5551</v>
      </c>
    </row>
    <row r="867" spans="1:12" x14ac:dyDescent="0.25">
      <c r="A867">
        <v>293574</v>
      </c>
      <c r="B867">
        <v>293678</v>
      </c>
      <c r="C867" t="s">
        <v>5559</v>
      </c>
      <c r="D867">
        <v>0</v>
      </c>
      <c r="E867" t="s">
        <v>5560</v>
      </c>
      <c r="F867" t="s">
        <v>5561</v>
      </c>
      <c r="G867" t="s">
        <v>5562</v>
      </c>
      <c r="H867" t="s">
        <v>5563</v>
      </c>
      <c r="I867" t="s">
        <v>5564</v>
      </c>
      <c r="J867" t="s">
        <v>5565</v>
      </c>
      <c r="K867" t="s">
        <v>5566</v>
      </c>
      <c r="L867" t="s">
        <v>5558</v>
      </c>
    </row>
    <row r="868" spans="1:12" x14ac:dyDescent="0.25">
      <c r="A868">
        <v>293901</v>
      </c>
      <c r="B868">
        <v>293911</v>
      </c>
      <c r="D868">
        <v>0</v>
      </c>
      <c r="E868" t="s">
        <v>5568</v>
      </c>
      <c r="F868" t="s">
        <v>5569</v>
      </c>
      <c r="G868" t="s">
        <v>5570</v>
      </c>
      <c r="H868" t="e" vm="389">
        <f>_FV(0,"006185724852922")</f>
        <v>#VALUE!</v>
      </c>
      <c r="I868" t="s">
        <v>5571</v>
      </c>
      <c r="J868" t="s">
        <v>5572</v>
      </c>
      <c r="K868" t="s">
        <v>5573</v>
      </c>
      <c r="L868" t="s">
        <v>5567</v>
      </c>
    </row>
    <row r="869" spans="1:12" x14ac:dyDescent="0.25">
      <c r="A869">
        <v>293901</v>
      </c>
      <c r="B869">
        <v>293924</v>
      </c>
      <c r="D869">
        <v>0</v>
      </c>
      <c r="E869" t="s">
        <v>5575</v>
      </c>
      <c r="F869" t="s">
        <v>5576</v>
      </c>
      <c r="G869" t="s">
        <v>5577</v>
      </c>
      <c r="H869" t="e" vm="390">
        <f>_FV(0,"007177089063573108")</f>
        <v>#VALUE!</v>
      </c>
      <c r="I869" t="s">
        <v>5578</v>
      </c>
      <c r="J869" t="s">
        <v>5579</v>
      </c>
      <c r="K869" t="s">
        <v>5580</v>
      </c>
      <c r="L869" t="s">
        <v>5574</v>
      </c>
    </row>
    <row r="870" spans="1:12" x14ac:dyDescent="0.25">
      <c r="A870">
        <v>293911</v>
      </c>
      <c r="B870">
        <v>293942</v>
      </c>
      <c r="D870">
        <v>0</v>
      </c>
      <c r="F870">
        <v>302118</v>
      </c>
      <c r="G870">
        <v>293942</v>
      </c>
      <c r="H870" t="s">
        <v>2068</v>
      </c>
      <c r="I870">
        <v>293911</v>
      </c>
      <c r="J870" t="s">
        <v>2068</v>
      </c>
      <c r="K870" t="s">
        <v>5581</v>
      </c>
      <c r="L870" t="s">
        <v>2068</v>
      </c>
    </row>
    <row r="871" spans="1:12" x14ac:dyDescent="0.25">
      <c r="A871">
        <v>293911</v>
      </c>
      <c r="B871">
        <v>293924</v>
      </c>
      <c r="D871">
        <v>0</v>
      </c>
      <c r="F871">
        <v>302063</v>
      </c>
      <c r="G871">
        <v>293911</v>
      </c>
      <c r="H871" t="s">
        <v>30</v>
      </c>
      <c r="I871">
        <v>293924</v>
      </c>
      <c r="J871" t="s">
        <v>30</v>
      </c>
      <c r="K871" t="s">
        <v>5582</v>
      </c>
      <c r="L871" t="s">
        <v>30</v>
      </c>
    </row>
    <row r="872" spans="1:12" x14ac:dyDescent="0.25">
      <c r="A872">
        <v>293924</v>
      </c>
      <c r="B872">
        <v>293942</v>
      </c>
      <c r="D872">
        <v>0</v>
      </c>
      <c r="E872" t="s">
        <v>5584</v>
      </c>
      <c r="F872" t="s">
        <v>5585</v>
      </c>
      <c r="G872" t="s">
        <v>5586</v>
      </c>
      <c r="H872" t="s">
        <v>5587</v>
      </c>
      <c r="I872" t="s">
        <v>5588</v>
      </c>
      <c r="J872" t="s">
        <v>5583</v>
      </c>
      <c r="K872" t="s">
        <v>5589</v>
      </c>
      <c r="L872" t="s">
        <v>5583</v>
      </c>
    </row>
    <row r="873" spans="1:12" x14ac:dyDescent="0.25">
      <c r="A873">
        <v>293942</v>
      </c>
      <c r="B873">
        <v>1854847</v>
      </c>
      <c r="C873" t="s">
        <v>5590</v>
      </c>
      <c r="D873">
        <v>0</v>
      </c>
      <c r="E873" t="s">
        <v>5591</v>
      </c>
      <c r="H873" t="s">
        <v>187</v>
      </c>
      <c r="J873">
        <v>0</v>
      </c>
      <c r="K873" t="s">
        <v>5592</v>
      </c>
      <c r="L873">
        <v>0</v>
      </c>
    </row>
    <row r="874" spans="1:12" x14ac:dyDescent="0.25">
      <c r="A874">
        <v>294208</v>
      </c>
      <c r="B874">
        <v>294257</v>
      </c>
      <c r="D874">
        <v>1</v>
      </c>
      <c r="F874">
        <v>302476</v>
      </c>
      <c r="G874">
        <v>294257</v>
      </c>
      <c r="H874" t="s">
        <v>5593</v>
      </c>
      <c r="I874">
        <v>294208</v>
      </c>
      <c r="J874" t="s">
        <v>5593</v>
      </c>
      <c r="K874" t="s">
        <v>5594</v>
      </c>
      <c r="L874" t="s">
        <v>5593</v>
      </c>
    </row>
    <row r="875" spans="1:12" x14ac:dyDescent="0.25">
      <c r="A875">
        <v>294208</v>
      </c>
      <c r="B875">
        <v>1819179</v>
      </c>
      <c r="D875">
        <v>0</v>
      </c>
      <c r="E875" t="s">
        <v>5596</v>
      </c>
      <c r="F875" t="s">
        <v>5597</v>
      </c>
      <c r="G875" t="s">
        <v>5598</v>
      </c>
      <c r="H875" t="s">
        <v>5599</v>
      </c>
      <c r="I875" t="s">
        <v>5600</v>
      </c>
      <c r="J875" t="s">
        <v>5595</v>
      </c>
      <c r="K875" t="s">
        <v>5601</v>
      </c>
      <c r="L875" t="s">
        <v>5595</v>
      </c>
    </row>
    <row r="876" spans="1:12" x14ac:dyDescent="0.25">
      <c r="A876">
        <v>294208</v>
      </c>
      <c r="B876">
        <v>294287</v>
      </c>
      <c r="D876">
        <v>1</v>
      </c>
      <c r="E876" t="s">
        <v>5603</v>
      </c>
      <c r="F876" t="s">
        <v>5604</v>
      </c>
      <c r="G876" t="s">
        <v>5605</v>
      </c>
      <c r="H876" t="s">
        <v>5606</v>
      </c>
      <c r="I876" t="s">
        <v>5607</v>
      </c>
      <c r="J876" t="s">
        <v>5608</v>
      </c>
      <c r="K876" t="s">
        <v>5609</v>
      </c>
      <c r="L876" t="s">
        <v>5602</v>
      </c>
    </row>
    <row r="877" spans="1:12" x14ac:dyDescent="0.25">
      <c r="A877">
        <v>294255</v>
      </c>
      <c r="B877">
        <v>1621301</v>
      </c>
      <c r="D877" t="s">
        <v>204</v>
      </c>
      <c r="E877" t="s">
        <v>5611</v>
      </c>
      <c r="F877" t="s">
        <v>5612</v>
      </c>
      <c r="G877" t="s">
        <v>5613</v>
      </c>
      <c r="H877" t="s">
        <v>5614</v>
      </c>
      <c r="I877" t="s">
        <v>5615</v>
      </c>
      <c r="J877" t="s">
        <v>5610</v>
      </c>
      <c r="K877" t="s">
        <v>5616</v>
      </c>
      <c r="L877" t="s">
        <v>5610</v>
      </c>
    </row>
    <row r="878" spans="1:12" x14ac:dyDescent="0.25">
      <c r="A878">
        <v>294255</v>
      </c>
      <c r="B878">
        <v>1621916</v>
      </c>
      <c r="D878" t="s">
        <v>2793</v>
      </c>
      <c r="E878" t="s">
        <v>5618</v>
      </c>
      <c r="F878" t="s">
        <v>5619</v>
      </c>
      <c r="G878" t="s">
        <v>5620</v>
      </c>
      <c r="H878" t="s">
        <v>5621</v>
      </c>
      <c r="I878" t="s">
        <v>5622</v>
      </c>
      <c r="J878" t="s">
        <v>5623</v>
      </c>
      <c r="K878" t="s">
        <v>5624</v>
      </c>
      <c r="L878" t="s">
        <v>5617</v>
      </c>
    </row>
    <row r="879" spans="1:12" x14ac:dyDescent="0.25">
      <c r="A879">
        <v>294257</v>
      </c>
      <c r="B879">
        <v>294294</v>
      </c>
      <c r="D879">
        <v>1</v>
      </c>
      <c r="E879" t="s">
        <v>5626</v>
      </c>
      <c r="F879" t="s">
        <v>5627</v>
      </c>
      <c r="G879" t="s">
        <v>5628</v>
      </c>
      <c r="H879" t="s">
        <v>5629</v>
      </c>
      <c r="I879" t="s">
        <v>5630</v>
      </c>
      <c r="J879" t="s">
        <v>5631</v>
      </c>
      <c r="K879" t="s">
        <v>5632</v>
      </c>
      <c r="L879" t="s">
        <v>5625</v>
      </c>
    </row>
    <row r="880" spans="1:12" x14ac:dyDescent="0.25">
      <c r="A880">
        <v>294257</v>
      </c>
      <c r="B880">
        <v>1819189</v>
      </c>
      <c r="D880">
        <v>0</v>
      </c>
      <c r="E880" t="s">
        <v>5634</v>
      </c>
      <c r="F880" t="s">
        <v>5635</v>
      </c>
      <c r="G880" t="s">
        <v>5636</v>
      </c>
      <c r="H880" t="e" vm="391">
        <f>_FV(0,"010147137848610181")</f>
        <v>#VALUE!</v>
      </c>
      <c r="I880" t="s">
        <v>5637</v>
      </c>
      <c r="J880" t="s">
        <v>5638</v>
      </c>
      <c r="K880" t="s">
        <v>5639</v>
      </c>
      <c r="L880" t="s">
        <v>5633</v>
      </c>
    </row>
    <row r="881" spans="1:12" x14ac:dyDescent="0.25">
      <c r="A881">
        <v>294287</v>
      </c>
      <c r="B881">
        <v>294294</v>
      </c>
      <c r="D881">
        <v>1</v>
      </c>
      <c r="F881">
        <v>302436</v>
      </c>
      <c r="G881">
        <v>294287</v>
      </c>
      <c r="H881" t="e" vm="392">
        <f>_FV(0,"17")</f>
        <v>#VALUE!</v>
      </c>
      <c r="I881">
        <v>294294</v>
      </c>
      <c r="J881" t="s">
        <v>5640</v>
      </c>
      <c r="K881" t="s">
        <v>5641</v>
      </c>
      <c r="L881" t="e" vm="392">
        <f>_FV(0,"17")</f>
        <v>#VALUE!</v>
      </c>
    </row>
    <row r="882" spans="1:12" x14ac:dyDescent="0.25">
      <c r="A882">
        <v>294287</v>
      </c>
      <c r="B882">
        <v>1819224</v>
      </c>
      <c r="D882">
        <v>0</v>
      </c>
      <c r="E882" t="s">
        <v>5643</v>
      </c>
      <c r="F882" t="s">
        <v>5644</v>
      </c>
      <c r="G882" t="s">
        <v>5645</v>
      </c>
      <c r="H882" t="e" vm="393">
        <f>_FV(0,"0345467498410043")</f>
        <v>#VALUE!</v>
      </c>
      <c r="I882" t="s">
        <v>5646</v>
      </c>
      <c r="J882" t="s">
        <v>5647</v>
      </c>
      <c r="K882" t="s">
        <v>5648</v>
      </c>
      <c r="L882" t="s">
        <v>5642</v>
      </c>
    </row>
    <row r="883" spans="1:12" x14ac:dyDescent="0.25">
      <c r="A883">
        <v>294294</v>
      </c>
      <c r="B883">
        <v>1046136</v>
      </c>
      <c r="D883">
        <v>0</v>
      </c>
      <c r="E883" t="s">
        <v>5650</v>
      </c>
      <c r="F883" t="s">
        <v>5651</v>
      </c>
      <c r="G883" t="s">
        <v>5652</v>
      </c>
      <c r="H883" t="s">
        <v>5653</v>
      </c>
      <c r="I883" t="s">
        <v>5654</v>
      </c>
      <c r="J883" t="s">
        <v>5649</v>
      </c>
      <c r="K883" t="s">
        <v>5655</v>
      </c>
      <c r="L883" t="s">
        <v>5649</v>
      </c>
    </row>
    <row r="884" spans="1:12" x14ac:dyDescent="0.25">
      <c r="A884">
        <v>294386</v>
      </c>
      <c r="B884">
        <v>294396</v>
      </c>
      <c r="D884">
        <v>1</v>
      </c>
      <c r="E884" t="s">
        <v>5657</v>
      </c>
      <c r="F884" t="s">
        <v>5658</v>
      </c>
      <c r="G884" t="s">
        <v>5659</v>
      </c>
      <c r="H884" t="e" vm="394">
        <f>_FV(0,"12446664293108524")</f>
        <v>#VALUE!</v>
      </c>
      <c r="I884" t="s">
        <v>5660</v>
      </c>
      <c r="J884" t="s">
        <v>5661</v>
      </c>
      <c r="K884" t="s">
        <v>5662</v>
      </c>
      <c r="L884" t="s">
        <v>5656</v>
      </c>
    </row>
    <row r="885" spans="1:12" x14ac:dyDescent="0.25">
      <c r="A885">
        <v>294386</v>
      </c>
      <c r="B885">
        <v>294420</v>
      </c>
      <c r="D885">
        <v>1</v>
      </c>
      <c r="E885" t="s">
        <v>5664</v>
      </c>
      <c r="F885" t="s">
        <v>5665</v>
      </c>
      <c r="G885" t="s">
        <v>5666</v>
      </c>
      <c r="H885" t="e" vm="395">
        <f>_FV(0,"14484748329630026")</f>
        <v>#VALUE!</v>
      </c>
      <c r="I885" t="s">
        <v>5667</v>
      </c>
      <c r="J885" t="s">
        <v>5668</v>
      </c>
      <c r="K885" t="s">
        <v>5669</v>
      </c>
      <c r="L885" t="s">
        <v>5663</v>
      </c>
    </row>
    <row r="886" spans="1:12" x14ac:dyDescent="0.25">
      <c r="A886">
        <v>294386</v>
      </c>
      <c r="B886">
        <v>294402</v>
      </c>
      <c r="C886" t="s">
        <v>5670</v>
      </c>
      <c r="D886">
        <v>1</v>
      </c>
      <c r="F886">
        <v>302500</v>
      </c>
      <c r="G886">
        <v>294386</v>
      </c>
      <c r="H886" t="e" vm="396">
        <f>_FV(0,"145")</f>
        <v>#VALUE!</v>
      </c>
      <c r="I886">
        <v>294402</v>
      </c>
      <c r="J886" t="s">
        <v>5671</v>
      </c>
      <c r="K886" t="s">
        <v>5672</v>
      </c>
      <c r="L886" t="e" vm="396">
        <f>_FV(0,"145")</f>
        <v>#VALUE!</v>
      </c>
    </row>
    <row r="887" spans="1:12" x14ac:dyDescent="0.25">
      <c r="A887">
        <v>294396</v>
      </c>
      <c r="B887">
        <v>294544</v>
      </c>
      <c r="D887">
        <v>0</v>
      </c>
      <c r="F887">
        <v>302644</v>
      </c>
      <c r="G887">
        <v>294544</v>
      </c>
      <c r="H887" t="e" vm="334">
        <f>_FV(0,"102")</f>
        <v>#VALUE!</v>
      </c>
      <c r="I887">
        <v>294396</v>
      </c>
      <c r="J887" t="s">
        <v>4779</v>
      </c>
      <c r="K887" t="s">
        <v>5673</v>
      </c>
      <c r="L887" t="e" vm="334">
        <f>_FV(0,"102")</f>
        <v>#VALUE!</v>
      </c>
    </row>
    <row r="888" spans="1:12" x14ac:dyDescent="0.25">
      <c r="A888">
        <v>294396</v>
      </c>
      <c r="B888">
        <v>294420</v>
      </c>
      <c r="D888">
        <v>0</v>
      </c>
      <c r="E888" t="s">
        <v>5675</v>
      </c>
      <c r="F888" t="s">
        <v>5676</v>
      </c>
      <c r="G888" t="s">
        <v>5677</v>
      </c>
      <c r="H888" t="s">
        <v>5678</v>
      </c>
      <c r="I888" t="s">
        <v>5679</v>
      </c>
      <c r="J888" t="s">
        <v>5680</v>
      </c>
      <c r="K888" t="s">
        <v>5681</v>
      </c>
      <c r="L888" t="s">
        <v>5674</v>
      </c>
    </row>
    <row r="889" spans="1:12" x14ac:dyDescent="0.25">
      <c r="A889">
        <v>294402</v>
      </c>
      <c r="B889">
        <v>294444</v>
      </c>
      <c r="D889">
        <v>1</v>
      </c>
      <c r="E889" t="s">
        <v>5683</v>
      </c>
      <c r="F889" t="s">
        <v>5684</v>
      </c>
      <c r="G889" t="s">
        <v>5685</v>
      </c>
      <c r="H889" t="e" vm="397">
        <f>_FV(0,"145442642450169")</f>
        <v>#VALUE!</v>
      </c>
      <c r="I889" t="s">
        <v>5686</v>
      </c>
      <c r="J889" t="s">
        <v>5687</v>
      </c>
      <c r="K889" t="s">
        <v>5688</v>
      </c>
      <c r="L889" t="s">
        <v>5682</v>
      </c>
    </row>
    <row r="890" spans="1:12" x14ac:dyDescent="0.25">
      <c r="A890">
        <v>294402</v>
      </c>
      <c r="B890">
        <v>294463</v>
      </c>
      <c r="D890">
        <v>1</v>
      </c>
      <c r="E890" t="s">
        <v>5690</v>
      </c>
      <c r="F890" t="s">
        <v>5691</v>
      </c>
      <c r="G890" t="s">
        <v>5692</v>
      </c>
      <c r="H890" t="e" vm="398">
        <f>_FV(0,"15560149738062373")</f>
        <v>#VALUE!</v>
      </c>
      <c r="I890" t="s">
        <v>5693</v>
      </c>
      <c r="J890" t="s">
        <v>5694</v>
      </c>
      <c r="K890" t="s">
        <v>5695</v>
      </c>
      <c r="L890" t="s">
        <v>5689</v>
      </c>
    </row>
    <row r="891" spans="1:12" x14ac:dyDescent="0.25">
      <c r="A891">
        <v>294420</v>
      </c>
      <c r="B891">
        <v>294481</v>
      </c>
      <c r="D891">
        <v>0</v>
      </c>
      <c r="F891">
        <v>302684</v>
      </c>
      <c r="G891">
        <v>294420</v>
      </c>
      <c r="H891" t="s">
        <v>5696</v>
      </c>
      <c r="I891">
        <v>294481</v>
      </c>
      <c r="J891" t="s">
        <v>5696</v>
      </c>
      <c r="K891" t="s">
        <v>5697</v>
      </c>
      <c r="L891" t="s">
        <v>5696</v>
      </c>
    </row>
    <row r="892" spans="1:12" x14ac:dyDescent="0.25">
      <c r="A892">
        <v>294444</v>
      </c>
      <c r="B892">
        <v>294509</v>
      </c>
      <c r="D892">
        <v>0</v>
      </c>
      <c r="F892">
        <v>302764</v>
      </c>
      <c r="G892">
        <v>294509</v>
      </c>
      <c r="H892" t="s">
        <v>5698</v>
      </c>
      <c r="I892">
        <v>294444</v>
      </c>
      <c r="J892" t="s">
        <v>5698</v>
      </c>
      <c r="K892" t="s">
        <v>5699</v>
      </c>
      <c r="L892" t="s">
        <v>5698</v>
      </c>
    </row>
    <row r="893" spans="1:12" x14ac:dyDescent="0.25">
      <c r="A893">
        <v>294444</v>
      </c>
      <c r="B893">
        <v>294463</v>
      </c>
      <c r="D893">
        <v>0</v>
      </c>
      <c r="E893" t="s">
        <v>5701</v>
      </c>
      <c r="F893" t="s">
        <v>5702</v>
      </c>
      <c r="G893" t="s">
        <v>5703</v>
      </c>
      <c r="H893" t="e" vm="399">
        <f>_FV(0,"021692893129712593")</f>
        <v>#VALUE!</v>
      </c>
      <c r="I893" t="s">
        <v>5704</v>
      </c>
      <c r="J893" t="s">
        <v>5705</v>
      </c>
      <c r="K893" t="s">
        <v>5706</v>
      </c>
      <c r="L893" t="s">
        <v>5700</v>
      </c>
    </row>
    <row r="894" spans="1:12" x14ac:dyDescent="0.25">
      <c r="A894">
        <v>294463</v>
      </c>
      <c r="B894">
        <v>294517</v>
      </c>
      <c r="D894">
        <v>0</v>
      </c>
      <c r="F894">
        <v>302740</v>
      </c>
      <c r="G894">
        <v>294463</v>
      </c>
      <c r="H894" t="e" vm="400">
        <f>_FV(0,"143")</f>
        <v>#VALUE!</v>
      </c>
      <c r="I894">
        <v>294517</v>
      </c>
      <c r="J894" t="s">
        <v>5707</v>
      </c>
      <c r="K894" t="s">
        <v>5708</v>
      </c>
      <c r="L894" t="e" vm="400">
        <f>_FV(0,"143")</f>
        <v>#VALUE!</v>
      </c>
    </row>
    <row r="895" spans="1:12" x14ac:dyDescent="0.25">
      <c r="A895">
        <v>294481</v>
      </c>
      <c r="B895">
        <v>1819007</v>
      </c>
      <c r="D895">
        <v>0</v>
      </c>
      <c r="E895" t="s">
        <v>5710</v>
      </c>
      <c r="F895" t="s">
        <v>5711</v>
      </c>
      <c r="G895" t="s">
        <v>5712</v>
      </c>
      <c r="H895" t="s">
        <v>5713</v>
      </c>
      <c r="I895" t="s">
        <v>5714</v>
      </c>
      <c r="J895" t="s">
        <v>5715</v>
      </c>
      <c r="K895" t="s">
        <v>5716</v>
      </c>
      <c r="L895" t="s">
        <v>5709</v>
      </c>
    </row>
    <row r="896" spans="1:12" x14ac:dyDescent="0.25">
      <c r="A896">
        <v>294481</v>
      </c>
      <c r="B896">
        <v>294544</v>
      </c>
      <c r="D896">
        <v>0</v>
      </c>
      <c r="E896" t="s">
        <v>5718</v>
      </c>
      <c r="F896" t="s">
        <v>5719</v>
      </c>
      <c r="G896" t="s">
        <v>5720</v>
      </c>
      <c r="H896" t="e" vm="401">
        <f>_FV(0,"050064845932125554")</f>
        <v>#VALUE!</v>
      </c>
      <c r="I896" t="s">
        <v>5721</v>
      </c>
      <c r="J896" t="s">
        <v>5722</v>
      </c>
      <c r="K896" t="s">
        <v>5723</v>
      </c>
      <c r="L896" t="s">
        <v>5717</v>
      </c>
    </row>
    <row r="897" spans="1:12" x14ac:dyDescent="0.25">
      <c r="A897">
        <v>294503</v>
      </c>
      <c r="B897">
        <v>294511</v>
      </c>
      <c r="D897">
        <v>0</v>
      </c>
      <c r="E897" t="s">
        <v>5725</v>
      </c>
      <c r="F897" t="s">
        <v>5726</v>
      </c>
      <c r="G897" t="s">
        <v>5727</v>
      </c>
      <c r="H897" t="s">
        <v>5728</v>
      </c>
      <c r="I897" t="s">
        <v>5729</v>
      </c>
      <c r="J897" t="s">
        <v>5724</v>
      </c>
      <c r="K897" t="s">
        <v>5730</v>
      </c>
      <c r="L897" t="s">
        <v>5724</v>
      </c>
    </row>
    <row r="898" spans="1:12" x14ac:dyDescent="0.25">
      <c r="A898">
        <v>294503</v>
      </c>
      <c r="B898">
        <v>1045070</v>
      </c>
      <c r="D898">
        <v>0</v>
      </c>
      <c r="E898" t="s">
        <v>5732</v>
      </c>
      <c r="F898" t="s">
        <v>5733</v>
      </c>
      <c r="G898" t="s">
        <v>5734</v>
      </c>
      <c r="H898" t="e" vm="402">
        <f>_FV(0,"06949117544327828")</f>
        <v>#VALUE!</v>
      </c>
      <c r="I898" t="s">
        <v>5735</v>
      </c>
      <c r="J898" t="s">
        <v>5736</v>
      </c>
      <c r="K898" t="s">
        <v>5737</v>
      </c>
      <c r="L898" t="s">
        <v>5731</v>
      </c>
    </row>
    <row r="899" spans="1:12" x14ac:dyDescent="0.25">
      <c r="A899">
        <v>294503</v>
      </c>
      <c r="B899">
        <v>917710</v>
      </c>
      <c r="D899" t="s">
        <v>204</v>
      </c>
      <c r="E899" t="s">
        <v>5739</v>
      </c>
      <c r="F899" t="s">
        <v>5740</v>
      </c>
      <c r="G899" t="s">
        <v>5741</v>
      </c>
      <c r="H899" t="s">
        <v>5742</v>
      </c>
      <c r="I899" t="s">
        <v>5743</v>
      </c>
      <c r="J899" t="s">
        <v>5744</v>
      </c>
      <c r="K899" t="s">
        <v>5745</v>
      </c>
      <c r="L899" t="s">
        <v>5738</v>
      </c>
    </row>
    <row r="900" spans="1:12" x14ac:dyDescent="0.25">
      <c r="A900">
        <v>294509</v>
      </c>
      <c r="B900">
        <v>294517</v>
      </c>
      <c r="D900">
        <v>0</v>
      </c>
      <c r="E900" t="s">
        <v>5747</v>
      </c>
      <c r="F900" t="s">
        <v>5748</v>
      </c>
      <c r="G900" t="s">
        <v>5749</v>
      </c>
      <c r="H900" t="e" vm="403">
        <f>_FV(0,"019160134163244972")</f>
        <v>#VALUE!</v>
      </c>
      <c r="I900" t="s">
        <v>5750</v>
      </c>
      <c r="J900" t="s">
        <v>5751</v>
      </c>
      <c r="K900" t="s">
        <v>5752</v>
      </c>
      <c r="L900" t="s">
        <v>5746</v>
      </c>
    </row>
    <row r="901" spans="1:12" x14ac:dyDescent="0.25">
      <c r="A901">
        <v>294509</v>
      </c>
      <c r="B901">
        <v>1819018</v>
      </c>
      <c r="D901">
        <v>0</v>
      </c>
      <c r="E901" t="s">
        <v>5754</v>
      </c>
      <c r="F901" t="s">
        <v>5755</v>
      </c>
      <c r="G901" t="s">
        <v>5756</v>
      </c>
      <c r="H901" t="s">
        <v>5757</v>
      </c>
      <c r="I901" t="s">
        <v>5758</v>
      </c>
      <c r="J901" t="s">
        <v>5759</v>
      </c>
      <c r="K901" t="s">
        <v>5760</v>
      </c>
      <c r="L901" t="s">
        <v>5753</v>
      </c>
    </row>
    <row r="902" spans="1:12" x14ac:dyDescent="0.25">
      <c r="A902">
        <v>294511</v>
      </c>
      <c r="B902">
        <v>1045070</v>
      </c>
      <c r="D902">
        <v>0</v>
      </c>
      <c r="E902" t="s">
        <v>5762</v>
      </c>
      <c r="F902" t="s">
        <v>5763</v>
      </c>
      <c r="G902" t="s">
        <v>5764</v>
      </c>
      <c r="H902" t="e" vm="404">
        <f>_FV(0,"13217975709665652")</f>
        <v>#VALUE!</v>
      </c>
      <c r="I902" t="s">
        <v>5765</v>
      </c>
      <c r="J902" t="s">
        <v>5766</v>
      </c>
      <c r="K902" t="s">
        <v>5767</v>
      </c>
      <c r="L902" t="s">
        <v>5761</v>
      </c>
    </row>
    <row r="903" spans="1:12" x14ac:dyDescent="0.25">
      <c r="A903">
        <v>294517</v>
      </c>
      <c r="B903">
        <v>1819033</v>
      </c>
      <c r="C903" t="s">
        <v>5769</v>
      </c>
      <c r="D903">
        <v>0</v>
      </c>
      <c r="E903" t="s">
        <v>5770</v>
      </c>
      <c r="F903" t="s">
        <v>5771</v>
      </c>
      <c r="G903" t="s">
        <v>5772</v>
      </c>
      <c r="H903" t="e" vm="405">
        <f>_FV(0,"013834389974242727")</f>
        <v>#VALUE!</v>
      </c>
      <c r="I903" t="s">
        <v>5773</v>
      </c>
      <c r="J903" t="s">
        <v>5774</v>
      </c>
      <c r="K903" t="s">
        <v>5775</v>
      </c>
      <c r="L903" t="s">
        <v>5768</v>
      </c>
    </row>
    <row r="904" spans="1:12" x14ac:dyDescent="0.25">
      <c r="A904">
        <v>294544</v>
      </c>
      <c r="B904">
        <v>1819047</v>
      </c>
      <c r="D904">
        <v>0</v>
      </c>
      <c r="E904" t="s">
        <v>5777</v>
      </c>
      <c r="F904" t="s">
        <v>5778</v>
      </c>
      <c r="G904" t="s">
        <v>5779</v>
      </c>
      <c r="H904" t="e" vm="406">
        <f>_FV(0,"01641368669778265")</f>
        <v>#VALUE!</v>
      </c>
      <c r="I904" t="s">
        <v>5780</v>
      </c>
      <c r="J904" t="s">
        <v>5781</v>
      </c>
      <c r="K904" t="s">
        <v>5782</v>
      </c>
      <c r="L904" t="s">
        <v>5776</v>
      </c>
    </row>
    <row r="905" spans="1:12" x14ac:dyDescent="0.25">
      <c r="A905">
        <v>294563</v>
      </c>
      <c r="B905">
        <v>294570</v>
      </c>
      <c r="D905">
        <v>0</v>
      </c>
      <c r="E905" t="s">
        <v>5784</v>
      </c>
      <c r="F905" t="s">
        <v>5785</v>
      </c>
      <c r="G905" t="s">
        <v>5786</v>
      </c>
      <c r="H905" t="s">
        <v>5787</v>
      </c>
      <c r="I905" t="s">
        <v>5788</v>
      </c>
      <c r="J905" t="s">
        <v>5783</v>
      </c>
      <c r="K905" t="s">
        <v>5789</v>
      </c>
      <c r="L905" t="s">
        <v>5783</v>
      </c>
    </row>
    <row r="906" spans="1:12" x14ac:dyDescent="0.25">
      <c r="A906">
        <v>294563</v>
      </c>
      <c r="B906">
        <v>294585</v>
      </c>
      <c r="D906">
        <v>0</v>
      </c>
      <c r="E906" t="s">
        <v>5791</v>
      </c>
      <c r="F906" t="s">
        <v>5792</v>
      </c>
      <c r="G906" t="s">
        <v>5793</v>
      </c>
      <c r="H906" t="s">
        <v>5794</v>
      </c>
      <c r="I906" t="s">
        <v>5795</v>
      </c>
      <c r="J906" t="s">
        <v>5790</v>
      </c>
      <c r="K906" t="s">
        <v>5796</v>
      </c>
      <c r="L906" t="s">
        <v>5790</v>
      </c>
    </row>
    <row r="907" spans="1:12" x14ac:dyDescent="0.25">
      <c r="A907">
        <v>294563</v>
      </c>
      <c r="B907">
        <v>1525442</v>
      </c>
      <c r="D907" t="s">
        <v>1839</v>
      </c>
      <c r="E907" t="s">
        <v>5798</v>
      </c>
      <c r="F907" t="s">
        <v>5799</v>
      </c>
      <c r="G907" t="s">
        <v>5800</v>
      </c>
      <c r="H907" t="s">
        <v>5801</v>
      </c>
      <c r="I907" t="s">
        <v>5802</v>
      </c>
      <c r="J907" t="s">
        <v>5797</v>
      </c>
      <c r="K907" t="s">
        <v>5803</v>
      </c>
      <c r="L907" t="s">
        <v>5797</v>
      </c>
    </row>
    <row r="908" spans="1:12" x14ac:dyDescent="0.25">
      <c r="A908">
        <v>294570</v>
      </c>
      <c r="B908">
        <v>1525045</v>
      </c>
      <c r="D908">
        <v>0</v>
      </c>
      <c r="F908">
        <v>1708426</v>
      </c>
      <c r="G908">
        <v>1525045</v>
      </c>
      <c r="H908" t="e" vm="407">
        <f>_FV(-1,"094")</f>
        <v>#VALUE!</v>
      </c>
      <c r="I908">
        <v>294570</v>
      </c>
      <c r="J908" t="s">
        <v>5804</v>
      </c>
      <c r="K908" t="s">
        <v>5805</v>
      </c>
      <c r="L908" t="e" vm="407">
        <f>_FV(-1,"094")</f>
        <v>#VALUE!</v>
      </c>
    </row>
    <row r="909" spans="1:12" x14ac:dyDescent="0.25">
      <c r="A909">
        <v>294570</v>
      </c>
      <c r="B909">
        <v>294585</v>
      </c>
      <c r="D909">
        <v>0</v>
      </c>
      <c r="E909" t="s">
        <v>5807</v>
      </c>
      <c r="F909" t="s">
        <v>5808</v>
      </c>
      <c r="G909" t="s">
        <v>5809</v>
      </c>
      <c r="H909" t="e" vm="408">
        <f>_FV(0,"08724695261639544")</f>
        <v>#VALUE!</v>
      </c>
      <c r="I909" t="s">
        <v>5810</v>
      </c>
      <c r="J909" t="s">
        <v>5811</v>
      </c>
      <c r="K909" t="s">
        <v>5812</v>
      </c>
      <c r="L909" t="s">
        <v>5806</v>
      </c>
    </row>
    <row r="910" spans="1:12" x14ac:dyDescent="0.25">
      <c r="A910">
        <v>294585</v>
      </c>
      <c r="B910">
        <v>1525049</v>
      </c>
      <c r="D910">
        <v>0</v>
      </c>
      <c r="E910" t="s">
        <v>5814</v>
      </c>
      <c r="F910" t="s">
        <v>5815</v>
      </c>
      <c r="G910" t="s">
        <v>5816</v>
      </c>
      <c r="H910" t="s">
        <v>5817</v>
      </c>
      <c r="I910" t="s">
        <v>5818</v>
      </c>
      <c r="J910" t="s">
        <v>5819</v>
      </c>
      <c r="K910" t="s">
        <v>5820</v>
      </c>
      <c r="L910" t="s">
        <v>5813</v>
      </c>
    </row>
    <row r="911" spans="1:12" x14ac:dyDescent="0.25">
      <c r="A911">
        <v>294664</v>
      </c>
      <c r="B911">
        <v>294672</v>
      </c>
      <c r="D911">
        <v>1</v>
      </c>
      <c r="E911" t="s">
        <v>5822</v>
      </c>
      <c r="F911" t="s">
        <v>5823</v>
      </c>
      <c r="G911" t="s">
        <v>5824</v>
      </c>
      <c r="H911" t="e" vm="409">
        <f>_FV(0,"06506417279267739")</f>
        <v>#VALUE!</v>
      </c>
      <c r="I911" t="s">
        <v>5825</v>
      </c>
      <c r="J911" t="s">
        <v>5826</v>
      </c>
      <c r="K911" t="s">
        <v>5827</v>
      </c>
      <c r="L911" t="s">
        <v>5821</v>
      </c>
    </row>
    <row r="912" spans="1:12" x14ac:dyDescent="0.25">
      <c r="A912">
        <v>294664</v>
      </c>
      <c r="B912">
        <v>294719</v>
      </c>
      <c r="D912">
        <v>1</v>
      </c>
      <c r="E912" t="s">
        <v>5829</v>
      </c>
      <c r="F912" t="s">
        <v>5830</v>
      </c>
      <c r="G912" t="s">
        <v>5831</v>
      </c>
      <c r="H912" t="e" vm="410">
        <f>_FV(0,"10573227299848942")</f>
        <v>#VALUE!</v>
      </c>
      <c r="I912" t="s">
        <v>5832</v>
      </c>
      <c r="J912" t="s">
        <v>5833</v>
      </c>
      <c r="K912" t="s">
        <v>5834</v>
      </c>
      <c r="L912" t="s">
        <v>5828</v>
      </c>
    </row>
    <row r="913" spans="1:12" x14ac:dyDescent="0.25">
      <c r="A913">
        <v>294664</v>
      </c>
      <c r="B913">
        <v>294676</v>
      </c>
      <c r="D913">
        <v>1</v>
      </c>
      <c r="F913">
        <v>302796</v>
      </c>
      <c r="G913">
        <v>294664</v>
      </c>
      <c r="H913" t="e" vm="411">
        <f>_FV(0,"096")</f>
        <v>#VALUE!</v>
      </c>
      <c r="I913">
        <v>294676</v>
      </c>
      <c r="J913" t="s">
        <v>5835</v>
      </c>
      <c r="K913" t="s">
        <v>5836</v>
      </c>
      <c r="L913" t="e" vm="411">
        <f>_FV(0,"096")</f>
        <v>#VALUE!</v>
      </c>
    </row>
    <row r="914" spans="1:12" x14ac:dyDescent="0.25">
      <c r="A914">
        <v>294672</v>
      </c>
      <c r="B914">
        <v>294691</v>
      </c>
      <c r="D914">
        <v>0</v>
      </c>
      <c r="F914">
        <v>303050</v>
      </c>
      <c r="G914">
        <v>294691</v>
      </c>
      <c r="H914" t="e" vm="412">
        <f>_FV(0,"046")</f>
        <v>#VALUE!</v>
      </c>
      <c r="I914">
        <v>294672</v>
      </c>
      <c r="J914" t="s">
        <v>5837</v>
      </c>
      <c r="K914" t="s">
        <v>5838</v>
      </c>
      <c r="L914" t="e" vm="412">
        <f>_FV(0,"046")</f>
        <v>#VALUE!</v>
      </c>
    </row>
    <row r="915" spans="1:12" x14ac:dyDescent="0.25">
      <c r="A915">
        <v>294672</v>
      </c>
      <c r="B915">
        <v>294719</v>
      </c>
      <c r="D915">
        <v>0</v>
      </c>
      <c r="E915" t="s">
        <v>5840</v>
      </c>
      <c r="F915" t="s">
        <v>5841</v>
      </c>
      <c r="G915" t="s">
        <v>5842</v>
      </c>
      <c r="H915" t="s">
        <v>5843</v>
      </c>
      <c r="I915" t="s">
        <v>5844</v>
      </c>
      <c r="J915" t="s">
        <v>5839</v>
      </c>
      <c r="K915" t="s">
        <v>5845</v>
      </c>
      <c r="L915" t="s">
        <v>5839</v>
      </c>
    </row>
    <row r="916" spans="1:12" x14ac:dyDescent="0.25">
      <c r="A916">
        <v>294676</v>
      </c>
      <c r="B916">
        <v>294756</v>
      </c>
      <c r="D916">
        <v>1</v>
      </c>
      <c r="E916" t="s">
        <v>5847</v>
      </c>
      <c r="F916" t="s">
        <v>5848</v>
      </c>
      <c r="G916" t="s">
        <v>5849</v>
      </c>
      <c r="H916" t="e" vm="413">
        <f>_FV(0,"16564256307412237")</f>
        <v>#VALUE!</v>
      </c>
      <c r="I916" t="s">
        <v>5850</v>
      </c>
      <c r="J916" t="s">
        <v>5851</v>
      </c>
      <c r="K916" t="s">
        <v>5852</v>
      </c>
      <c r="L916" t="s">
        <v>5846</v>
      </c>
    </row>
    <row r="917" spans="1:12" x14ac:dyDescent="0.25">
      <c r="A917">
        <v>294676</v>
      </c>
      <c r="B917">
        <v>294777</v>
      </c>
      <c r="D917">
        <v>1</v>
      </c>
      <c r="E917" t="s">
        <v>5854</v>
      </c>
      <c r="F917" t="s">
        <v>5855</v>
      </c>
      <c r="G917" t="s">
        <v>5856</v>
      </c>
      <c r="H917" t="e" vm="414">
        <f>_FV(0,"1268494285693302")</f>
        <v>#VALUE!</v>
      </c>
      <c r="I917" t="s">
        <v>5857</v>
      </c>
      <c r="J917" t="s">
        <v>5858</v>
      </c>
      <c r="K917" t="s">
        <v>5859</v>
      </c>
      <c r="L917" t="s">
        <v>5853</v>
      </c>
    </row>
    <row r="918" spans="1:12" x14ac:dyDescent="0.25">
      <c r="A918">
        <v>294691</v>
      </c>
      <c r="B918">
        <v>294699</v>
      </c>
      <c r="D918">
        <v>0</v>
      </c>
      <c r="E918" t="s">
        <v>5861</v>
      </c>
      <c r="F918" t="s">
        <v>5862</v>
      </c>
      <c r="G918" t="s">
        <v>5863</v>
      </c>
      <c r="H918" t="e" vm="415">
        <f>_FV(0,"053478822353982575")</f>
        <v>#VALUE!</v>
      </c>
      <c r="I918" t="s">
        <v>5864</v>
      </c>
      <c r="J918" t="s">
        <v>5865</v>
      </c>
      <c r="K918" t="s">
        <v>5866</v>
      </c>
      <c r="L918" t="s">
        <v>5860</v>
      </c>
    </row>
    <row r="919" spans="1:12" x14ac:dyDescent="0.25">
      <c r="A919">
        <v>294691</v>
      </c>
      <c r="B919">
        <v>1819103</v>
      </c>
      <c r="D919">
        <v>0</v>
      </c>
      <c r="E919" t="s">
        <v>5868</v>
      </c>
      <c r="F919" t="s">
        <v>5869</v>
      </c>
      <c r="G919" t="s">
        <v>5870</v>
      </c>
      <c r="H919" t="e" vm="416">
        <f>_FV(0,"04797694501499313")</f>
        <v>#VALUE!</v>
      </c>
      <c r="I919" t="s">
        <v>5871</v>
      </c>
      <c r="J919" t="s">
        <v>5872</v>
      </c>
      <c r="K919" t="s">
        <v>5873</v>
      </c>
      <c r="L919" t="s">
        <v>5867</v>
      </c>
    </row>
    <row r="920" spans="1:12" x14ac:dyDescent="0.25">
      <c r="A920">
        <v>294699</v>
      </c>
      <c r="B920">
        <v>294719</v>
      </c>
      <c r="D920">
        <v>0</v>
      </c>
      <c r="F920">
        <v>303096</v>
      </c>
      <c r="G920">
        <v>294719</v>
      </c>
      <c r="H920" t="s">
        <v>4552</v>
      </c>
      <c r="I920">
        <v>294699</v>
      </c>
      <c r="J920" t="s">
        <v>4552</v>
      </c>
      <c r="K920" t="s">
        <v>5874</v>
      </c>
      <c r="L920" t="s">
        <v>4552</v>
      </c>
    </row>
    <row r="921" spans="1:12" x14ac:dyDescent="0.25">
      <c r="A921">
        <v>294699</v>
      </c>
      <c r="B921">
        <v>1819073</v>
      </c>
      <c r="D921">
        <v>0</v>
      </c>
      <c r="E921" t="s">
        <v>5876</v>
      </c>
      <c r="F921" t="s">
        <v>5877</v>
      </c>
      <c r="G921" t="s">
        <v>5878</v>
      </c>
      <c r="H921" t="e" vm="417">
        <f>_FV(0,"014467227296690111")</f>
        <v>#VALUE!</v>
      </c>
      <c r="I921" t="s">
        <v>5879</v>
      </c>
      <c r="J921" t="s">
        <v>5880</v>
      </c>
      <c r="K921" t="s">
        <v>5881</v>
      </c>
      <c r="L921" t="s">
        <v>5875</v>
      </c>
    </row>
    <row r="922" spans="1:12" x14ac:dyDescent="0.25">
      <c r="A922">
        <v>294740</v>
      </c>
      <c r="B922">
        <v>294744</v>
      </c>
      <c r="D922">
        <v>0</v>
      </c>
      <c r="E922" t="s">
        <v>5883</v>
      </c>
      <c r="F922" t="s">
        <v>5884</v>
      </c>
      <c r="G922" t="s">
        <v>5885</v>
      </c>
      <c r="H922" t="s">
        <v>5886</v>
      </c>
      <c r="I922" t="s">
        <v>5887</v>
      </c>
      <c r="J922" t="s">
        <v>5888</v>
      </c>
      <c r="K922" t="s">
        <v>5889</v>
      </c>
      <c r="L922" t="s">
        <v>5882</v>
      </c>
    </row>
    <row r="923" spans="1:12" x14ac:dyDescent="0.25">
      <c r="A923">
        <v>294740</v>
      </c>
      <c r="B923">
        <v>294777</v>
      </c>
      <c r="D923">
        <v>0</v>
      </c>
      <c r="F923">
        <v>303038</v>
      </c>
      <c r="G923">
        <v>294740</v>
      </c>
      <c r="H923" t="s">
        <v>5890</v>
      </c>
      <c r="I923">
        <v>294777</v>
      </c>
      <c r="J923" t="s">
        <v>5890</v>
      </c>
      <c r="K923" t="s">
        <v>5891</v>
      </c>
      <c r="L923" t="s">
        <v>5890</v>
      </c>
    </row>
    <row r="924" spans="1:12" x14ac:dyDescent="0.25">
      <c r="A924">
        <v>294740</v>
      </c>
      <c r="B924">
        <v>1046032</v>
      </c>
      <c r="D924">
        <v>0</v>
      </c>
      <c r="E924" t="s">
        <v>5893</v>
      </c>
      <c r="F924" t="s">
        <v>5894</v>
      </c>
      <c r="G924" t="s">
        <v>5895</v>
      </c>
      <c r="H924" t="s">
        <v>5896</v>
      </c>
      <c r="I924" t="s">
        <v>5897</v>
      </c>
      <c r="J924" t="s">
        <v>5898</v>
      </c>
      <c r="K924" t="s">
        <v>5899</v>
      </c>
      <c r="L924" t="s">
        <v>5892</v>
      </c>
    </row>
    <row r="925" spans="1:12" x14ac:dyDescent="0.25">
      <c r="A925">
        <v>294744</v>
      </c>
      <c r="B925">
        <v>294756</v>
      </c>
      <c r="D925">
        <v>0</v>
      </c>
      <c r="F925">
        <v>303011</v>
      </c>
      <c r="G925">
        <v>294756</v>
      </c>
      <c r="H925" t="e" vm="418">
        <f>_FV(0,"283")</f>
        <v>#VALUE!</v>
      </c>
      <c r="I925">
        <v>294744</v>
      </c>
      <c r="J925" t="s">
        <v>5900</v>
      </c>
      <c r="K925" t="s">
        <v>5901</v>
      </c>
      <c r="L925" t="e" vm="418">
        <f>_FV(0,"283")</f>
        <v>#VALUE!</v>
      </c>
    </row>
    <row r="926" spans="1:12" x14ac:dyDescent="0.25">
      <c r="A926">
        <v>294744</v>
      </c>
      <c r="B926">
        <v>1819130</v>
      </c>
      <c r="D926">
        <v>0</v>
      </c>
      <c r="E926" t="s">
        <v>5903</v>
      </c>
      <c r="F926" t="s">
        <v>5904</v>
      </c>
      <c r="G926" t="s">
        <v>5905</v>
      </c>
      <c r="H926" t="s">
        <v>5906</v>
      </c>
      <c r="I926" t="s">
        <v>5907</v>
      </c>
      <c r="J926" t="s">
        <v>5908</v>
      </c>
      <c r="K926" t="s">
        <v>5909</v>
      </c>
      <c r="L926" t="s">
        <v>5902</v>
      </c>
    </row>
    <row r="927" spans="1:12" x14ac:dyDescent="0.25">
      <c r="A927">
        <v>294756</v>
      </c>
      <c r="B927">
        <v>294777</v>
      </c>
      <c r="D927">
        <v>0</v>
      </c>
      <c r="E927" t="s">
        <v>5911</v>
      </c>
      <c r="F927" t="s">
        <v>5912</v>
      </c>
      <c r="G927" t="s">
        <v>5913</v>
      </c>
      <c r="H927" t="e" vm="419">
        <f>_FV(0,"039431739038713526")</f>
        <v>#VALUE!</v>
      </c>
      <c r="I927" t="s">
        <v>5914</v>
      </c>
      <c r="J927" t="s">
        <v>5915</v>
      </c>
      <c r="K927" t="s">
        <v>5916</v>
      </c>
      <c r="L927" t="s">
        <v>5910</v>
      </c>
    </row>
    <row r="928" spans="1:12" x14ac:dyDescent="0.25">
      <c r="A928">
        <v>295316</v>
      </c>
      <c r="B928">
        <v>1151758</v>
      </c>
      <c r="D928">
        <v>0</v>
      </c>
      <c r="F928">
        <v>1753938</v>
      </c>
      <c r="G928">
        <v>295316</v>
      </c>
      <c r="H928" t="s">
        <v>1814</v>
      </c>
      <c r="I928">
        <v>1151758</v>
      </c>
      <c r="J928" t="s">
        <v>1814</v>
      </c>
      <c r="K928" t="s">
        <v>5917</v>
      </c>
      <c r="L928" t="s">
        <v>1814</v>
      </c>
    </row>
    <row r="929" spans="1:12" x14ac:dyDescent="0.25">
      <c r="A929">
        <v>296433</v>
      </c>
      <c r="B929">
        <v>921319</v>
      </c>
      <c r="D929">
        <v>0</v>
      </c>
      <c r="F929">
        <v>1234827</v>
      </c>
      <c r="G929">
        <v>921319</v>
      </c>
      <c r="H929" t="e" vm="420">
        <f>_FV(0,"122")</f>
        <v>#VALUE!</v>
      </c>
      <c r="I929">
        <v>296433</v>
      </c>
      <c r="J929" t="s">
        <v>5918</v>
      </c>
      <c r="K929" t="s">
        <v>5919</v>
      </c>
      <c r="L929" t="e" vm="420">
        <f>_FV(0,"122")</f>
        <v>#VALUE!</v>
      </c>
    </row>
    <row r="930" spans="1:12" x14ac:dyDescent="0.25">
      <c r="A930">
        <v>296433</v>
      </c>
      <c r="B930">
        <v>1156058</v>
      </c>
      <c r="D930" t="s">
        <v>5921</v>
      </c>
      <c r="E930" t="s">
        <v>5922</v>
      </c>
      <c r="F930" t="s">
        <v>5923</v>
      </c>
      <c r="G930" t="s">
        <v>5924</v>
      </c>
      <c r="H930" t="e" vm="421">
        <f>_FV(0,"04480699902012468")</f>
        <v>#VALUE!</v>
      </c>
      <c r="I930" t="s">
        <v>5925</v>
      </c>
      <c r="J930" t="s">
        <v>5926</v>
      </c>
      <c r="K930" t="s">
        <v>5927</v>
      </c>
      <c r="L930" t="s">
        <v>5920</v>
      </c>
    </row>
    <row r="931" spans="1:12" x14ac:dyDescent="0.25">
      <c r="A931">
        <v>298768</v>
      </c>
      <c r="B931">
        <v>298863</v>
      </c>
      <c r="D931" t="s">
        <v>5929</v>
      </c>
      <c r="E931" t="s">
        <v>5930</v>
      </c>
      <c r="F931" t="s">
        <v>5931</v>
      </c>
      <c r="G931" t="s">
        <v>5932</v>
      </c>
      <c r="H931" t="e" vm="422">
        <f>_FV(0,"0033913971571581532")</f>
        <v>#VALUE!</v>
      </c>
      <c r="I931" t="s">
        <v>5933</v>
      </c>
      <c r="J931" t="s">
        <v>5934</v>
      </c>
      <c r="K931" t="s">
        <v>5935</v>
      </c>
      <c r="L931" t="s">
        <v>5928</v>
      </c>
    </row>
    <row r="932" spans="1:12" x14ac:dyDescent="0.25">
      <c r="A932">
        <v>298768</v>
      </c>
      <c r="B932">
        <v>1379407</v>
      </c>
      <c r="D932" t="s">
        <v>5937</v>
      </c>
      <c r="E932" t="s">
        <v>5938</v>
      </c>
      <c r="F932" t="s">
        <v>5939</v>
      </c>
      <c r="G932" t="s">
        <v>5940</v>
      </c>
      <c r="H932" t="s">
        <v>5941</v>
      </c>
      <c r="I932" t="s">
        <v>5942</v>
      </c>
      <c r="J932" t="s">
        <v>5943</v>
      </c>
      <c r="K932" t="s">
        <v>5944</v>
      </c>
      <c r="L932" t="s">
        <v>5936</v>
      </c>
    </row>
    <row r="933" spans="1:12" x14ac:dyDescent="0.25">
      <c r="A933">
        <v>298768</v>
      </c>
      <c r="B933">
        <v>1379754</v>
      </c>
      <c r="D933">
        <v>0</v>
      </c>
      <c r="E933" t="s">
        <v>5946</v>
      </c>
      <c r="F933" t="s">
        <v>5947</v>
      </c>
      <c r="G933" t="s">
        <v>5948</v>
      </c>
      <c r="H933" t="e" vm="423">
        <f>_FV(0,"006899581016008195")</f>
        <v>#VALUE!</v>
      </c>
      <c r="I933" t="s">
        <v>5949</v>
      </c>
      <c r="J933" t="s">
        <v>5950</v>
      </c>
      <c r="K933" t="s">
        <v>5951</v>
      </c>
      <c r="L933" t="s">
        <v>5945</v>
      </c>
    </row>
    <row r="934" spans="1:12" x14ac:dyDescent="0.25">
      <c r="A934">
        <v>298863</v>
      </c>
      <c r="B934">
        <v>1379559</v>
      </c>
      <c r="D934" t="s">
        <v>715</v>
      </c>
      <c r="E934" t="s">
        <v>5953</v>
      </c>
      <c r="F934" t="s">
        <v>5954</v>
      </c>
      <c r="G934" t="s">
        <v>5955</v>
      </c>
      <c r="H934" t="s">
        <v>5956</v>
      </c>
      <c r="I934" t="s">
        <v>5957</v>
      </c>
      <c r="J934" t="s">
        <v>5958</v>
      </c>
      <c r="K934" t="s">
        <v>5959</v>
      </c>
      <c r="L934" t="s">
        <v>5952</v>
      </c>
    </row>
    <row r="935" spans="1:12" x14ac:dyDescent="0.25">
      <c r="A935">
        <v>298863</v>
      </c>
      <c r="B935">
        <v>1379414</v>
      </c>
      <c r="C935" t="s">
        <v>5961</v>
      </c>
      <c r="D935" t="s">
        <v>5962</v>
      </c>
      <c r="E935" t="s">
        <v>5963</v>
      </c>
      <c r="F935" t="s">
        <v>5964</v>
      </c>
      <c r="G935" t="s">
        <v>5965</v>
      </c>
      <c r="H935" t="s">
        <v>5966</v>
      </c>
      <c r="I935" t="s">
        <v>5967</v>
      </c>
      <c r="J935" t="s">
        <v>5968</v>
      </c>
      <c r="K935" t="s">
        <v>5969</v>
      </c>
      <c r="L935" t="s">
        <v>5960</v>
      </c>
    </row>
    <row r="936" spans="1:12" x14ac:dyDescent="0.25">
      <c r="A936">
        <v>301585</v>
      </c>
      <c r="B936">
        <v>435391</v>
      </c>
      <c r="D936">
        <v>0</v>
      </c>
      <c r="F936">
        <v>436673</v>
      </c>
      <c r="G936">
        <v>435391</v>
      </c>
      <c r="H936" t="s">
        <v>697</v>
      </c>
      <c r="I936">
        <v>301585</v>
      </c>
      <c r="J936" t="s">
        <v>697</v>
      </c>
      <c r="K936" t="s">
        <v>5970</v>
      </c>
      <c r="L936" t="s">
        <v>697</v>
      </c>
    </row>
    <row r="937" spans="1:12" x14ac:dyDescent="0.25">
      <c r="A937">
        <v>301585</v>
      </c>
      <c r="B937">
        <v>301604</v>
      </c>
      <c r="D937" t="s">
        <v>700</v>
      </c>
      <c r="E937" t="s">
        <v>5971</v>
      </c>
      <c r="F937" t="s">
        <v>5972</v>
      </c>
      <c r="G937" t="s">
        <v>5973</v>
      </c>
      <c r="H937" t="e" vm="215">
        <f>_FV(0,"02")</f>
        <v>#VALUE!</v>
      </c>
      <c r="I937" t="s">
        <v>5974</v>
      </c>
      <c r="J937" t="s">
        <v>3317</v>
      </c>
      <c r="K937" t="s">
        <v>5975</v>
      </c>
      <c r="L937" t="e" vm="215">
        <f>_FV(0,"02")</f>
        <v>#VALUE!</v>
      </c>
    </row>
    <row r="938" spans="1:12" x14ac:dyDescent="0.25">
      <c r="A938">
        <v>301585</v>
      </c>
      <c r="B938">
        <v>435423</v>
      </c>
      <c r="D938">
        <v>0</v>
      </c>
      <c r="E938" t="s">
        <v>5977</v>
      </c>
      <c r="F938" t="s">
        <v>5978</v>
      </c>
      <c r="G938" t="s">
        <v>5979</v>
      </c>
      <c r="H938" t="e" vm="424">
        <f>_FV(0,"00034856494850731576")</f>
        <v>#VALUE!</v>
      </c>
      <c r="I938" t="s">
        <v>5980</v>
      </c>
      <c r="J938" t="s">
        <v>5981</v>
      </c>
      <c r="K938" t="s">
        <v>5982</v>
      </c>
      <c r="L938" t="s">
        <v>5976</v>
      </c>
    </row>
    <row r="939" spans="1:12" x14ac:dyDescent="0.25">
      <c r="A939">
        <v>301604</v>
      </c>
      <c r="B939">
        <v>1152182</v>
      </c>
      <c r="D939">
        <v>1</v>
      </c>
      <c r="F939">
        <v>1230137</v>
      </c>
      <c r="G939">
        <v>1152182</v>
      </c>
      <c r="H939" t="e" vm="268">
        <f>_FV(0,"022")</f>
        <v>#VALUE!</v>
      </c>
      <c r="I939">
        <v>301604</v>
      </c>
      <c r="J939" t="s">
        <v>3940</v>
      </c>
      <c r="K939" t="s">
        <v>5983</v>
      </c>
      <c r="L939" t="e" vm="268">
        <f>_FV(0,"022")</f>
        <v>#VALUE!</v>
      </c>
    </row>
    <row r="940" spans="1:12" x14ac:dyDescent="0.25">
      <c r="A940">
        <v>301604</v>
      </c>
      <c r="B940">
        <v>435423</v>
      </c>
      <c r="D940" t="s">
        <v>700</v>
      </c>
      <c r="E940" t="s">
        <v>5985</v>
      </c>
      <c r="F940" t="s">
        <v>5986</v>
      </c>
      <c r="G940" t="s">
        <v>5987</v>
      </c>
      <c r="H940" t="e" vm="425">
        <f>_FV(0,"02107951758023726")</f>
        <v>#VALUE!</v>
      </c>
      <c r="I940" t="s">
        <v>5988</v>
      </c>
      <c r="J940" t="s">
        <v>5989</v>
      </c>
      <c r="K940" t="s">
        <v>5990</v>
      </c>
      <c r="L940" t="s">
        <v>5984</v>
      </c>
    </row>
    <row r="941" spans="1:12" x14ac:dyDescent="0.25">
      <c r="A941">
        <v>306629</v>
      </c>
      <c r="B941">
        <v>306697</v>
      </c>
      <c r="D941">
        <v>0</v>
      </c>
      <c r="E941" t="s">
        <v>5992</v>
      </c>
      <c r="F941" t="s">
        <v>5993</v>
      </c>
      <c r="G941" t="s">
        <v>5994</v>
      </c>
      <c r="H941" t="s">
        <v>5995</v>
      </c>
      <c r="I941" t="s">
        <v>5996</v>
      </c>
      <c r="J941" t="s">
        <v>5991</v>
      </c>
      <c r="K941" t="s">
        <v>5997</v>
      </c>
      <c r="L941" t="s">
        <v>5991</v>
      </c>
    </row>
    <row r="942" spans="1:12" x14ac:dyDescent="0.25">
      <c r="A942">
        <v>306629</v>
      </c>
      <c r="B942">
        <v>306697</v>
      </c>
      <c r="D942">
        <v>0</v>
      </c>
      <c r="E942" t="s">
        <v>5999</v>
      </c>
      <c r="F942" t="s">
        <v>6000</v>
      </c>
      <c r="G942" t="s">
        <v>6001</v>
      </c>
      <c r="H942" t="s">
        <v>6002</v>
      </c>
      <c r="I942" t="s">
        <v>6003</v>
      </c>
      <c r="J942" t="s">
        <v>5998</v>
      </c>
      <c r="K942" t="s">
        <v>6004</v>
      </c>
      <c r="L942" t="s">
        <v>5998</v>
      </c>
    </row>
    <row r="943" spans="1:12" x14ac:dyDescent="0.25">
      <c r="A943">
        <v>306629</v>
      </c>
      <c r="B943">
        <v>984851</v>
      </c>
      <c r="D943" t="s">
        <v>6006</v>
      </c>
      <c r="E943" t="s">
        <v>6007</v>
      </c>
      <c r="F943" t="s">
        <v>6008</v>
      </c>
      <c r="G943" t="s">
        <v>6009</v>
      </c>
      <c r="H943" t="s">
        <v>6010</v>
      </c>
      <c r="I943" t="s">
        <v>6011</v>
      </c>
      <c r="J943" t="s">
        <v>6012</v>
      </c>
      <c r="K943" t="s">
        <v>6013</v>
      </c>
      <c r="L943" t="s">
        <v>6005</v>
      </c>
    </row>
    <row r="944" spans="1:12" x14ac:dyDescent="0.25">
      <c r="A944">
        <v>306697</v>
      </c>
      <c r="B944">
        <v>984889</v>
      </c>
      <c r="D944">
        <v>0</v>
      </c>
      <c r="F944">
        <v>1031008</v>
      </c>
      <c r="G944">
        <v>984889</v>
      </c>
      <c r="H944" t="s">
        <v>6014</v>
      </c>
      <c r="I944">
        <v>306697</v>
      </c>
      <c r="J944" t="s">
        <v>6014</v>
      </c>
      <c r="K944" t="s">
        <v>6015</v>
      </c>
      <c r="L944" t="s">
        <v>6014</v>
      </c>
    </row>
    <row r="945" spans="1:12" x14ac:dyDescent="0.25">
      <c r="A945">
        <v>311077</v>
      </c>
      <c r="B945">
        <v>311078</v>
      </c>
      <c r="D945">
        <v>0</v>
      </c>
      <c r="F945">
        <v>320619</v>
      </c>
      <c r="G945">
        <v>311078</v>
      </c>
      <c r="H945" t="e" vm="109">
        <f>_FV(0,"01")</f>
        <v>#VALUE!</v>
      </c>
      <c r="I945">
        <v>311077</v>
      </c>
      <c r="J945" t="s">
        <v>761</v>
      </c>
      <c r="K945" t="s">
        <v>6016</v>
      </c>
      <c r="L945" t="e" vm="109">
        <f>_FV(0,"01")</f>
        <v>#VALUE!</v>
      </c>
    </row>
    <row r="946" spans="1:12" x14ac:dyDescent="0.25">
      <c r="A946">
        <v>311077</v>
      </c>
      <c r="B946">
        <v>311127</v>
      </c>
      <c r="D946">
        <v>0</v>
      </c>
      <c r="E946" t="s">
        <v>6018</v>
      </c>
      <c r="F946" t="s">
        <v>6019</v>
      </c>
      <c r="G946" t="s">
        <v>6020</v>
      </c>
      <c r="H946" t="s">
        <v>6021</v>
      </c>
      <c r="I946" t="s">
        <v>6022</v>
      </c>
      <c r="J946" t="s">
        <v>6017</v>
      </c>
      <c r="K946" t="s">
        <v>6023</v>
      </c>
      <c r="L946" t="s">
        <v>6017</v>
      </c>
    </row>
    <row r="947" spans="1:12" x14ac:dyDescent="0.25">
      <c r="A947">
        <v>311077</v>
      </c>
      <c r="B947">
        <v>311184</v>
      </c>
      <c r="D947">
        <v>0</v>
      </c>
      <c r="E947" t="s">
        <v>6025</v>
      </c>
      <c r="F947" t="s">
        <v>6026</v>
      </c>
      <c r="G947" t="s">
        <v>6027</v>
      </c>
      <c r="H947" t="e" vm="426">
        <f>_FV(0,"008521270056834515")</f>
        <v>#VALUE!</v>
      </c>
      <c r="I947" t="s">
        <v>6028</v>
      </c>
      <c r="J947" t="s">
        <v>6029</v>
      </c>
      <c r="K947" t="s">
        <v>6030</v>
      </c>
      <c r="L947" t="s">
        <v>6024</v>
      </c>
    </row>
    <row r="948" spans="1:12" x14ac:dyDescent="0.25">
      <c r="A948">
        <v>311078</v>
      </c>
      <c r="B948">
        <v>311126</v>
      </c>
      <c r="D948">
        <v>0</v>
      </c>
      <c r="E948" t="s">
        <v>6032</v>
      </c>
      <c r="F948" t="s">
        <v>6033</v>
      </c>
      <c r="G948" t="s">
        <v>6034</v>
      </c>
      <c r="H948" t="e" vm="427">
        <f>_FV(0,"02268296550840906")</f>
        <v>#VALUE!</v>
      </c>
      <c r="I948" t="s">
        <v>6035</v>
      </c>
      <c r="J948" t="s">
        <v>6036</v>
      </c>
      <c r="K948" t="s">
        <v>6037</v>
      </c>
      <c r="L948" t="s">
        <v>6031</v>
      </c>
    </row>
    <row r="949" spans="1:12" x14ac:dyDescent="0.25">
      <c r="A949">
        <v>311078</v>
      </c>
      <c r="B949">
        <v>1583790</v>
      </c>
      <c r="D949">
        <v>0</v>
      </c>
      <c r="E949" t="s">
        <v>6039</v>
      </c>
      <c r="F949" t="s">
        <v>6040</v>
      </c>
      <c r="G949" t="s">
        <v>6041</v>
      </c>
      <c r="H949" t="s">
        <v>6042</v>
      </c>
      <c r="I949" t="s">
        <v>6043</v>
      </c>
      <c r="J949" t="s">
        <v>6044</v>
      </c>
      <c r="K949" t="s">
        <v>6045</v>
      </c>
      <c r="L949" t="s">
        <v>6038</v>
      </c>
    </row>
    <row r="950" spans="1:12" x14ac:dyDescent="0.25">
      <c r="A950">
        <v>311126</v>
      </c>
      <c r="B950">
        <v>311127</v>
      </c>
      <c r="D950">
        <v>0</v>
      </c>
      <c r="F950">
        <v>320668</v>
      </c>
      <c r="G950">
        <v>311127</v>
      </c>
      <c r="H950" t="s">
        <v>697</v>
      </c>
      <c r="I950">
        <v>311126</v>
      </c>
      <c r="J950" t="s">
        <v>697</v>
      </c>
      <c r="K950" t="s">
        <v>6046</v>
      </c>
      <c r="L950" t="s">
        <v>697</v>
      </c>
    </row>
    <row r="951" spans="1:12" x14ac:dyDescent="0.25">
      <c r="A951">
        <v>311126</v>
      </c>
      <c r="B951">
        <v>1583718</v>
      </c>
      <c r="D951">
        <v>0</v>
      </c>
      <c r="E951" t="s">
        <v>6048</v>
      </c>
      <c r="F951" t="s">
        <v>6049</v>
      </c>
      <c r="G951" t="s">
        <v>6050</v>
      </c>
      <c r="H951" t="e" vm="428">
        <f>_FV(0,"04660556292808439")</f>
        <v>#VALUE!</v>
      </c>
      <c r="I951" t="s">
        <v>6051</v>
      </c>
      <c r="J951" t="s">
        <v>6052</v>
      </c>
      <c r="K951" t="s">
        <v>6053</v>
      </c>
      <c r="L951" t="s">
        <v>6047</v>
      </c>
    </row>
    <row r="952" spans="1:12" x14ac:dyDescent="0.25">
      <c r="A952">
        <v>311127</v>
      </c>
      <c r="B952">
        <v>311184</v>
      </c>
      <c r="D952">
        <v>0</v>
      </c>
      <c r="E952" t="s">
        <v>6055</v>
      </c>
      <c r="F952" t="s">
        <v>6056</v>
      </c>
      <c r="G952" t="s">
        <v>6057</v>
      </c>
      <c r="H952" t="e" vm="429">
        <f>_FV(0,"023702984946497856")</f>
        <v>#VALUE!</v>
      </c>
      <c r="I952" t="s">
        <v>6058</v>
      </c>
      <c r="J952" t="s">
        <v>6059</v>
      </c>
      <c r="K952" t="s">
        <v>6060</v>
      </c>
      <c r="L952" t="s">
        <v>6054</v>
      </c>
    </row>
    <row r="953" spans="1:12" x14ac:dyDescent="0.25">
      <c r="A953">
        <v>311153</v>
      </c>
      <c r="B953">
        <v>311184</v>
      </c>
      <c r="D953" t="s">
        <v>6062</v>
      </c>
      <c r="E953" t="s">
        <v>6063</v>
      </c>
      <c r="F953" t="s">
        <v>6064</v>
      </c>
      <c r="G953" t="s">
        <v>6065</v>
      </c>
      <c r="H953" t="e" vm="430">
        <f>_FV(0,"01686820963598715")</f>
        <v>#VALUE!</v>
      </c>
      <c r="I953" t="s">
        <v>6066</v>
      </c>
      <c r="J953" t="s">
        <v>6067</v>
      </c>
      <c r="K953" t="s">
        <v>6068</v>
      </c>
      <c r="L953" t="s">
        <v>6061</v>
      </c>
    </row>
    <row r="954" spans="1:12" x14ac:dyDescent="0.25">
      <c r="A954">
        <v>311153</v>
      </c>
      <c r="B954">
        <v>311274</v>
      </c>
      <c r="D954">
        <v>0</v>
      </c>
      <c r="E954" t="s">
        <v>6070</v>
      </c>
      <c r="F954" t="s">
        <v>6071</v>
      </c>
      <c r="G954" t="s">
        <v>6072</v>
      </c>
      <c r="H954" t="e" vm="431">
        <f>_FV(0,"0091220151489373")</f>
        <v>#VALUE!</v>
      </c>
      <c r="I954" t="s">
        <v>6073</v>
      </c>
      <c r="J954" t="s">
        <v>6074</v>
      </c>
      <c r="K954" t="s">
        <v>6075</v>
      </c>
      <c r="L954" t="s">
        <v>6069</v>
      </c>
    </row>
    <row r="955" spans="1:12" x14ac:dyDescent="0.25">
      <c r="A955">
        <v>311153</v>
      </c>
      <c r="B955">
        <v>311290</v>
      </c>
      <c r="D955">
        <v>0</v>
      </c>
      <c r="E955" t="s">
        <v>6077</v>
      </c>
      <c r="F955" t="s">
        <v>6078</v>
      </c>
      <c r="G955" t="s">
        <v>6079</v>
      </c>
      <c r="H955" t="e" vm="432">
        <f>_FV(0,"022333999748220708")</f>
        <v>#VALUE!</v>
      </c>
      <c r="I955" t="s">
        <v>6080</v>
      </c>
      <c r="J955" t="s">
        <v>6081</v>
      </c>
      <c r="K955" t="s">
        <v>6082</v>
      </c>
      <c r="L955" t="s">
        <v>6076</v>
      </c>
    </row>
    <row r="956" spans="1:12" x14ac:dyDescent="0.25">
      <c r="A956">
        <v>311274</v>
      </c>
      <c r="B956">
        <v>1445349</v>
      </c>
      <c r="D956">
        <v>0</v>
      </c>
      <c r="E956" t="s">
        <v>6084</v>
      </c>
      <c r="F956" t="s">
        <v>6085</v>
      </c>
      <c r="G956" t="s">
        <v>6086</v>
      </c>
      <c r="H956" t="s">
        <v>6087</v>
      </c>
      <c r="I956" t="s">
        <v>6088</v>
      </c>
      <c r="J956" t="s">
        <v>6083</v>
      </c>
      <c r="K956" t="s">
        <v>6089</v>
      </c>
      <c r="L956" t="s">
        <v>6083</v>
      </c>
    </row>
    <row r="957" spans="1:12" x14ac:dyDescent="0.25">
      <c r="A957">
        <v>311274</v>
      </c>
      <c r="B957">
        <v>311290</v>
      </c>
      <c r="D957">
        <v>0</v>
      </c>
      <c r="E957" t="s">
        <v>6091</v>
      </c>
      <c r="F957" t="s">
        <v>6092</v>
      </c>
      <c r="G957" t="s">
        <v>6093</v>
      </c>
      <c r="H957" t="e" vm="433">
        <f>_FV(0,"022246665267729768")</f>
        <v>#VALUE!</v>
      </c>
      <c r="I957" t="s">
        <v>6094</v>
      </c>
      <c r="J957" t="s">
        <v>6095</v>
      </c>
      <c r="K957" t="s">
        <v>6096</v>
      </c>
      <c r="L957" t="s">
        <v>6090</v>
      </c>
    </row>
    <row r="958" spans="1:12" x14ac:dyDescent="0.25">
      <c r="A958">
        <v>311290</v>
      </c>
      <c r="B958">
        <v>1445308</v>
      </c>
      <c r="D958">
        <v>0</v>
      </c>
      <c r="E958" t="s">
        <v>6098</v>
      </c>
      <c r="F958" t="s">
        <v>6099</v>
      </c>
      <c r="G958" t="s">
        <v>6100</v>
      </c>
      <c r="H958" t="e" vm="434">
        <f>_FV(0,"2860170077954936")</f>
        <v>#VALUE!</v>
      </c>
      <c r="I958" t="s">
        <v>6101</v>
      </c>
      <c r="J958" t="s">
        <v>6102</v>
      </c>
      <c r="K958" t="s">
        <v>6103</v>
      </c>
      <c r="L958" t="s">
        <v>6097</v>
      </c>
    </row>
    <row r="959" spans="1:12" x14ac:dyDescent="0.25">
      <c r="A959">
        <v>315681</v>
      </c>
      <c r="B959">
        <v>315687</v>
      </c>
      <c r="D959">
        <v>0</v>
      </c>
      <c r="E959" t="s">
        <v>6105</v>
      </c>
      <c r="F959" t="s">
        <v>6106</v>
      </c>
      <c r="G959" t="s">
        <v>6107</v>
      </c>
      <c r="H959" t="e" vm="435">
        <f>_FV(0,"007921298318583559")</f>
        <v>#VALUE!</v>
      </c>
      <c r="I959" t="s">
        <v>6108</v>
      </c>
      <c r="J959" t="s">
        <v>6109</v>
      </c>
      <c r="K959" t="s">
        <v>6110</v>
      </c>
      <c r="L959" t="s">
        <v>6104</v>
      </c>
    </row>
    <row r="960" spans="1:12" x14ac:dyDescent="0.25">
      <c r="A960">
        <v>315681</v>
      </c>
      <c r="B960">
        <v>315743</v>
      </c>
      <c r="D960">
        <v>0</v>
      </c>
      <c r="E960" t="s">
        <v>6111</v>
      </c>
      <c r="F960" t="s">
        <v>6112</v>
      </c>
      <c r="G960" t="s">
        <v>6113</v>
      </c>
      <c r="H960" t="s">
        <v>6114</v>
      </c>
      <c r="I960" t="s">
        <v>6115</v>
      </c>
      <c r="J960" t="s">
        <v>4817</v>
      </c>
      <c r="K960" t="s">
        <v>6116</v>
      </c>
      <c r="L960" t="s">
        <v>4817</v>
      </c>
    </row>
    <row r="961" spans="1:12" x14ac:dyDescent="0.25">
      <c r="A961">
        <v>315681</v>
      </c>
      <c r="B961">
        <v>315764</v>
      </c>
      <c r="D961">
        <v>0</v>
      </c>
      <c r="E961" t="s">
        <v>6118</v>
      </c>
      <c r="F961" t="s">
        <v>6119</v>
      </c>
      <c r="G961" t="s">
        <v>6120</v>
      </c>
      <c r="H961" t="s">
        <v>6121</v>
      </c>
      <c r="I961" t="s">
        <v>6122</v>
      </c>
      <c r="J961" t="s">
        <v>6123</v>
      </c>
      <c r="K961" t="s">
        <v>6124</v>
      </c>
      <c r="L961" t="s">
        <v>6117</v>
      </c>
    </row>
    <row r="962" spans="1:12" x14ac:dyDescent="0.25">
      <c r="A962">
        <v>315687</v>
      </c>
      <c r="B962">
        <v>315721</v>
      </c>
      <c r="D962">
        <v>0</v>
      </c>
      <c r="E962" t="s">
        <v>6126</v>
      </c>
      <c r="F962" t="s">
        <v>6127</v>
      </c>
      <c r="G962" t="s">
        <v>6128</v>
      </c>
      <c r="H962" t="e" vm="436">
        <f>_FV(0,"002782251900383496")</f>
        <v>#VALUE!</v>
      </c>
      <c r="I962" t="s">
        <v>6129</v>
      </c>
      <c r="J962" t="s">
        <v>1776</v>
      </c>
      <c r="K962" t="s">
        <v>6130</v>
      </c>
      <c r="L962" t="s">
        <v>6125</v>
      </c>
    </row>
    <row r="963" spans="1:12" x14ac:dyDescent="0.25">
      <c r="A963">
        <v>315687</v>
      </c>
      <c r="B963">
        <v>315843</v>
      </c>
      <c r="D963">
        <v>0</v>
      </c>
      <c r="E963" t="s">
        <v>6132</v>
      </c>
      <c r="F963" t="s">
        <v>6133</v>
      </c>
      <c r="G963" t="s">
        <v>6134</v>
      </c>
      <c r="H963" t="e" vm="437">
        <f>_FV(0,"01922724326178846")</f>
        <v>#VALUE!</v>
      </c>
      <c r="I963" t="s">
        <v>6135</v>
      </c>
      <c r="J963" t="s">
        <v>6136</v>
      </c>
      <c r="K963" t="s">
        <v>6137</v>
      </c>
      <c r="L963" t="s">
        <v>6131</v>
      </c>
    </row>
    <row r="964" spans="1:12" x14ac:dyDescent="0.25">
      <c r="A964">
        <v>315721</v>
      </c>
      <c r="B964">
        <v>315743</v>
      </c>
      <c r="D964">
        <v>0</v>
      </c>
      <c r="E964" t="s">
        <v>6139</v>
      </c>
      <c r="F964" t="s">
        <v>6140</v>
      </c>
      <c r="G964" t="s">
        <v>6141</v>
      </c>
      <c r="H964" t="s">
        <v>6142</v>
      </c>
      <c r="I964" t="s">
        <v>6143</v>
      </c>
      <c r="J964" t="s">
        <v>6138</v>
      </c>
      <c r="K964" t="s">
        <v>6144</v>
      </c>
      <c r="L964" t="s">
        <v>6138</v>
      </c>
    </row>
    <row r="965" spans="1:12" x14ac:dyDescent="0.25">
      <c r="A965">
        <v>315721</v>
      </c>
      <c r="B965">
        <v>315843</v>
      </c>
      <c r="D965">
        <v>0</v>
      </c>
      <c r="E965" t="s">
        <v>6146</v>
      </c>
      <c r="F965" t="s">
        <v>6147</v>
      </c>
      <c r="G965" t="s">
        <v>6148</v>
      </c>
      <c r="H965" t="e" vm="438">
        <f>_FV(0,"018210989171671188")</f>
        <v>#VALUE!</v>
      </c>
      <c r="I965" t="s">
        <v>6149</v>
      </c>
      <c r="J965" t="s">
        <v>6150</v>
      </c>
      <c r="K965" t="s">
        <v>6151</v>
      </c>
      <c r="L965" t="s">
        <v>6145</v>
      </c>
    </row>
    <row r="966" spans="1:12" x14ac:dyDescent="0.25">
      <c r="A966">
        <v>315743</v>
      </c>
      <c r="B966">
        <v>315764</v>
      </c>
      <c r="D966">
        <v>0</v>
      </c>
      <c r="E966" t="s">
        <v>6153</v>
      </c>
      <c r="F966" t="s">
        <v>6154</v>
      </c>
      <c r="G966" t="s">
        <v>6155</v>
      </c>
      <c r="H966" t="e" vm="439">
        <f>_FV(0,"0014269000565836191")</f>
        <v>#VALUE!</v>
      </c>
      <c r="I966" t="s">
        <v>6156</v>
      </c>
      <c r="J966" t="s">
        <v>6157</v>
      </c>
      <c r="K966" t="s">
        <v>6158</v>
      </c>
      <c r="L966" t="s">
        <v>6152</v>
      </c>
    </row>
    <row r="967" spans="1:12" x14ac:dyDescent="0.25">
      <c r="A967">
        <v>315764</v>
      </c>
      <c r="B967">
        <v>346204</v>
      </c>
      <c r="D967">
        <v>0</v>
      </c>
      <c r="E967" t="s">
        <v>6160</v>
      </c>
      <c r="F967" t="s">
        <v>6161</v>
      </c>
      <c r="G967" t="s">
        <v>6162</v>
      </c>
      <c r="H967" t="e" vm="440">
        <f>_FV(0,"032861922008109924")</f>
        <v>#VALUE!</v>
      </c>
      <c r="I967" t="s">
        <v>6163</v>
      </c>
      <c r="J967" t="s">
        <v>6164</v>
      </c>
      <c r="K967" t="s">
        <v>6165</v>
      </c>
      <c r="L967" t="s">
        <v>6159</v>
      </c>
    </row>
    <row r="968" spans="1:12" x14ac:dyDescent="0.25">
      <c r="A968">
        <v>315843</v>
      </c>
      <c r="B968">
        <v>1298158</v>
      </c>
      <c r="D968">
        <v>0</v>
      </c>
      <c r="E968" t="s">
        <v>6167</v>
      </c>
      <c r="F968" t="s">
        <v>6168</v>
      </c>
      <c r="G968" t="s">
        <v>6169</v>
      </c>
      <c r="H968" t="e" vm="441">
        <f>_FV(0,"033404422087311134")</f>
        <v>#VALUE!</v>
      </c>
      <c r="I968" t="s">
        <v>6170</v>
      </c>
      <c r="J968" t="s">
        <v>6171</v>
      </c>
      <c r="K968" t="s">
        <v>6172</v>
      </c>
      <c r="L968" t="s">
        <v>6166</v>
      </c>
    </row>
    <row r="969" spans="1:12" x14ac:dyDescent="0.25">
      <c r="A969">
        <v>315960</v>
      </c>
      <c r="B969">
        <v>628008</v>
      </c>
      <c r="D969">
        <v>0</v>
      </c>
      <c r="E969" t="s">
        <v>6174</v>
      </c>
      <c r="F969" t="s">
        <v>6175</v>
      </c>
      <c r="G969" t="s">
        <v>6176</v>
      </c>
      <c r="H969" t="e" vm="442">
        <f>_FV(0,"04210956314414549")</f>
        <v>#VALUE!</v>
      </c>
      <c r="I969" t="s">
        <v>6177</v>
      </c>
      <c r="J969" t="s">
        <v>6178</v>
      </c>
      <c r="K969" t="s">
        <v>6179</v>
      </c>
      <c r="L969" t="s">
        <v>6173</v>
      </c>
    </row>
    <row r="970" spans="1:12" x14ac:dyDescent="0.25">
      <c r="A970">
        <v>317270</v>
      </c>
      <c r="B970">
        <v>986829</v>
      </c>
      <c r="D970">
        <v>0</v>
      </c>
      <c r="E970" t="s">
        <v>6181</v>
      </c>
      <c r="F970" t="s">
        <v>6182</v>
      </c>
      <c r="G970" t="s">
        <v>6183</v>
      </c>
      <c r="H970" t="e" vm="443">
        <f>_FV(0,"051039983568446974")</f>
        <v>#VALUE!</v>
      </c>
      <c r="I970" t="s">
        <v>6184</v>
      </c>
      <c r="J970" t="s">
        <v>6185</v>
      </c>
      <c r="K970" t="s">
        <v>6186</v>
      </c>
      <c r="L970" t="s">
        <v>6180</v>
      </c>
    </row>
    <row r="971" spans="1:12" x14ac:dyDescent="0.25">
      <c r="A971">
        <v>320473</v>
      </c>
      <c r="B971">
        <v>320518</v>
      </c>
      <c r="D971">
        <v>0</v>
      </c>
      <c r="E971" t="s">
        <v>6188</v>
      </c>
      <c r="F971" t="s">
        <v>6189</v>
      </c>
      <c r="G971" t="s">
        <v>6190</v>
      </c>
      <c r="H971" t="e" vm="444">
        <f>_FV(0,"0984180615453575")</f>
        <v>#VALUE!</v>
      </c>
      <c r="I971" t="s">
        <v>6191</v>
      </c>
      <c r="J971" t="s">
        <v>6192</v>
      </c>
      <c r="K971" t="s">
        <v>6193</v>
      </c>
      <c r="L971" t="s">
        <v>6187</v>
      </c>
    </row>
    <row r="972" spans="1:12" x14ac:dyDescent="0.25">
      <c r="A972">
        <v>320473</v>
      </c>
      <c r="B972">
        <v>320518</v>
      </c>
      <c r="D972">
        <v>0</v>
      </c>
      <c r="E972" t="s">
        <v>6195</v>
      </c>
      <c r="F972" t="s">
        <v>6196</v>
      </c>
      <c r="G972" t="s">
        <v>6197</v>
      </c>
      <c r="H972" t="e" vm="445">
        <f>_FV(0,"09825424514987606")</f>
        <v>#VALUE!</v>
      </c>
      <c r="I972" t="s">
        <v>6198</v>
      </c>
      <c r="J972" t="s">
        <v>6199</v>
      </c>
      <c r="K972" t="s">
        <v>6200</v>
      </c>
      <c r="L972" t="s">
        <v>6194</v>
      </c>
    </row>
    <row r="973" spans="1:12" x14ac:dyDescent="0.25">
      <c r="A973">
        <v>320473</v>
      </c>
      <c r="B973">
        <v>736345</v>
      </c>
      <c r="D973">
        <v>0</v>
      </c>
      <c r="E973" t="s">
        <v>6202</v>
      </c>
      <c r="F973" t="s">
        <v>6203</v>
      </c>
      <c r="G973" t="s">
        <v>6204</v>
      </c>
      <c r="H973" t="s">
        <v>6205</v>
      </c>
      <c r="I973" t="s">
        <v>6206</v>
      </c>
      <c r="J973" t="s">
        <v>6207</v>
      </c>
      <c r="K973" t="s">
        <v>6208</v>
      </c>
      <c r="L973" t="s">
        <v>6201</v>
      </c>
    </row>
    <row r="974" spans="1:12" x14ac:dyDescent="0.25">
      <c r="A974">
        <v>320750</v>
      </c>
      <c r="B974">
        <v>321000</v>
      </c>
      <c r="C974" t="s">
        <v>6210</v>
      </c>
      <c r="D974" t="s">
        <v>6211</v>
      </c>
      <c r="E974" t="s">
        <v>6212</v>
      </c>
      <c r="F974" t="s">
        <v>6213</v>
      </c>
      <c r="G974" t="s">
        <v>6214</v>
      </c>
      <c r="H974" t="s">
        <v>6215</v>
      </c>
      <c r="I974" t="s">
        <v>6216</v>
      </c>
      <c r="J974" t="s">
        <v>6217</v>
      </c>
      <c r="K974" t="s">
        <v>6218</v>
      </c>
      <c r="L974" t="s">
        <v>6209</v>
      </c>
    </row>
    <row r="975" spans="1:12" x14ac:dyDescent="0.25">
      <c r="A975">
        <v>320750</v>
      </c>
      <c r="B975">
        <v>1842415</v>
      </c>
      <c r="C975" t="s">
        <v>6220</v>
      </c>
      <c r="D975">
        <v>0</v>
      </c>
      <c r="E975" t="s">
        <v>6221</v>
      </c>
      <c r="F975" t="s">
        <v>6222</v>
      </c>
      <c r="G975" t="s">
        <v>6223</v>
      </c>
      <c r="H975" t="s">
        <v>6224</v>
      </c>
      <c r="I975" t="s">
        <v>6225</v>
      </c>
      <c r="J975" t="s">
        <v>6226</v>
      </c>
      <c r="K975" t="s">
        <v>6227</v>
      </c>
      <c r="L975" t="s">
        <v>6219</v>
      </c>
    </row>
    <row r="976" spans="1:12" x14ac:dyDescent="0.25">
      <c r="A976">
        <v>321000</v>
      </c>
      <c r="B976">
        <v>321104</v>
      </c>
      <c r="D976">
        <v>0</v>
      </c>
      <c r="E976" t="s">
        <v>6229</v>
      </c>
      <c r="F976" t="s">
        <v>6230</v>
      </c>
      <c r="G976" t="s">
        <v>6231</v>
      </c>
      <c r="H976" t="s">
        <v>6232</v>
      </c>
      <c r="I976" t="s">
        <v>6233</v>
      </c>
      <c r="J976" t="s">
        <v>6234</v>
      </c>
      <c r="K976" t="s">
        <v>6235</v>
      </c>
      <c r="L976" t="s">
        <v>6228</v>
      </c>
    </row>
    <row r="977" spans="1:12" x14ac:dyDescent="0.25">
      <c r="A977">
        <v>321000</v>
      </c>
      <c r="B977">
        <v>321024</v>
      </c>
      <c r="D977">
        <v>0</v>
      </c>
      <c r="E977" t="s">
        <v>6237</v>
      </c>
      <c r="F977" t="s">
        <v>6238</v>
      </c>
      <c r="G977" t="s">
        <v>6239</v>
      </c>
      <c r="H977" t="s">
        <v>6240</v>
      </c>
      <c r="I977" t="s">
        <v>6241</v>
      </c>
      <c r="J977" t="s">
        <v>6236</v>
      </c>
      <c r="K977" t="s">
        <v>6242</v>
      </c>
      <c r="L977" t="s">
        <v>6236</v>
      </c>
    </row>
    <row r="978" spans="1:12" x14ac:dyDescent="0.25">
      <c r="A978">
        <v>321024</v>
      </c>
      <c r="B978">
        <v>321025</v>
      </c>
      <c r="D978">
        <v>0</v>
      </c>
      <c r="F978">
        <v>331275</v>
      </c>
      <c r="G978">
        <v>321025</v>
      </c>
      <c r="H978" t="e" vm="87">
        <f>_FV(0,"001")</f>
        <v>#VALUE!</v>
      </c>
      <c r="I978">
        <v>321024</v>
      </c>
      <c r="J978" t="s">
        <v>1333</v>
      </c>
      <c r="K978" t="s">
        <v>6243</v>
      </c>
      <c r="L978" t="e" vm="87">
        <f>_FV(0,"001")</f>
        <v>#VALUE!</v>
      </c>
    </row>
    <row r="979" spans="1:12" x14ac:dyDescent="0.25">
      <c r="A979">
        <v>321024</v>
      </c>
      <c r="B979">
        <v>321104</v>
      </c>
      <c r="D979">
        <v>0</v>
      </c>
      <c r="E979" t="s">
        <v>6245</v>
      </c>
      <c r="F979" t="s">
        <v>6246</v>
      </c>
      <c r="G979" t="s">
        <v>6247</v>
      </c>
      <c r="H979" t="e" vm="446">
        <f>_FV(0,"02201919598335327")</f>
        <v>#VALUE!</v>
      </c>
      <c r="I979" t="s">
        <v>6248</v>
      </c>
      <c r="J979" t="s">
        <v>6249</v>
      </c>
      <c r="K979" t="s">
        <v>6250</v>
      </c>
      <c r="L979" t="s">
        <v>6244</v>
      </c>
    </row>
    <row r="980" spans="1:12" x14ac:dyDescent="0.25">
      <c r="A980">
        <v>321025</v>
      </c>
      <c r="B980">
        <v>321041</v>
      </c>
      <c r="D980">
        <v>0</v>
      </c>
      <c r="E980" t="s">
        <v>6252</v>
      </c>
      <c r="F980" t="s">
        <v>6253</v>
      </c>
      <c r="G980" t="s">
        <v>6254</v>
      </c>
      <c r="H980" t="s">
        <v>6255</v>
      </c>
      <c r="I980" t="s">
        <v>6256</v>
      </c>
      <c r="J980" t="s">
        <v>6251</v>
      </c>
      <c r="K980" t="s">
        <v>6257</v>
      </c>
      <c r="L980" t="s">
        <v>6251</v>
      </c>
    </row>
    <row r="981" spans="1:12" x14ac:dyDescent="0.25">
      <c r="A981">
        <v>321025</v>
      </c>
      <c r="B981">
        <v>1211248</v>
      </c>
      <c r="D981">
        <v>0</v>
      </c>
      <c r="E981" t="s">
        <v>6259</v>
      </c>
      <c r="F981" t="s">
        <v>6260</v>
      </c>
      <c r="G981" t="s">
        <v>6261</v>
      </c>
      <c r="H981" t="e" vm="447">
        <f>_FV(0,"20316108639541566")</f>
        <v>#VALUE!</v>
      </c>
      <c r="I981" t="s">
        <v>6262</v>
      </c>
      <c r="J981" t="s">
        <v>6263</v>
      </c>
      <c r="K981" t="s">
        <v>6264</v>
      </c>
      <c r="L981" t="s">
        <v>6258</v>
      </c>
    </row>
    <row r="982" spans="1:12" x14ac:dyDescent="0.25">
      <c r="A982">
        <v>321041</v>
      </c>
      <c r="B982">
        <v>321104</v>
      </c>
      <c r="D982">
        <v>0</v>
      </c>
      <c r="E982" t="s">
        <v>6266</v>
      </c>
      <c r="F982" t="s">
        <v>6267</v>
      </c>
      <c r="G982" t="s">
        <v>6268</v>
      </c>
      <c r="H982" t="s">
        <v>6269</v>
      </c>
      <c r="I982" t="s">
        <v>6270</v>
      </c>
      <c r="J982" t="s">
        <v>6271</v>
      </c>
      <c r="K982" t="s">
        <v>6272</v>
      </c>
      <c r="L982" t="s">
        <v>6265</v>
      </c>
    </row>
    <row r="983" spans="1:12" x14ac:dyDescent="0.25">
      <c r="A983">
        <v>321041</v>
      </c>
      <c r="B983">
        <v>1211248</v>
      </c>
      <c r="D983">
        <v>0</v>
      </c>
      <c r="E983" t="s">
        <v>6274</v>
      </c>
      <c r="F983" t="s">
        <v>6275</v>
      </c>
      <c r="G983" t="s">
        <v>6276</v>
      </c>
      <c r="H983" t="e" vm="448">
        <f>_FV(0,"223415784951488")</f>
        <v>#VALUE!</v>
      </c>
      <c r="I983" t="s">
        <v>6277</v>
      </c>
      <c r="J983" t="s">
        <v>6278</v>
      </c>
      <c r="K983" t="s">
        <v>6279</v>
      </c>
      <c r="L983" t="s">
        <v>6273</v>
      </c>
    </row>
    <row r="984" spans="1:12" x14ac:dyDescent="0.25">
      <c r="A984">
        <v>322664</v>
      </c>
      <c r="B984">
        <v>725739</v>
      </c>
      <c r="D984">
        <v>0</v>
      </c>
      <c r="F984">
        <v>741433</v>
      </c>
      <c r="G984">
        <v>725739</v>
      </c>
      <c r="H984" t="s">
        <v>6280</v>
      </c>
      <c r="I984">
        <v>322664</v>
      </c>
      <c r="J984" t="s">
        <v>6280</v>
      </c>
      <c r="K984" t="s">
        <v>6281</v>
      </c>
      <c r="L984" t="s">
        <v>6280</v>
      </c>
    </row>
    <row r="985" spans="1:12" x14ac:dyDescent="0.25">
      <c r="A985">
        <v>322664</v>
      </c>
      <c r="B985">
        <v>322684</v>
      </c>
      <c r="C985" t="s">
        <v>6283</v>
      </c>
      <c r="D985">
        <v>0</v>
      </c>
      <c r="E985" t="s">
        <v>6284</v>
      </c>
      <c r="F985" t="s">
        <v>6285</v>
      </c>
      <c r="G985" t="s">
        <v>6286</v>
      </c>
      <c r="H985" t="s">
        <v>6287</v>
      </c>
      <c r="I985" t="s">
        <v>6288</v>
      </c>
      <c r="J985" t="s">
        <v>6282</v>
      </c>
      <c r="K985" t="s">
        <v>6289</v>
      </c>
      <c r="L985" t="s">
        <v>6282</v>
      </c>
    </row>
    <row r="986" spans="1:12" x14ac:dyDescent="0.25">
      <c r="A986">
        <v>322664</v>
      </c>
      <c r="B986">
        <v>725731</v>
      </c>
      <c r="D986">
        <v>0</v>
      </c>
      <c r="F986">
        <v>741425</v>
      </c>
      <c r="G986">
        <v>322664</v>
      </c>
      <c r="H986" t="e" vm="449">
        <f>_FV(0,"198")</f>
        <v>#VALUE!</v>
      </c>
      <c r="I986">
        <v>725731</v>
      </c>
      <c r="J986" t="s">
        <v>6290</v>
      </c>
      <c r="K986" t="s">
        <v>6291</v>
      </c>
      <c r="L986" t="e" vm="449">
        <f>_FV(0,"198")</f>
        <v>#VALUE!</v>
      </c>
    </row>
    <row r="987" spans="1:12" x14ac:dyDescent="0.25">
      <c r="A987">
        <v>322664</v>
      </c>
      <c r="B987">
        <v>728191</v>
      </c>
      <c r="D987">
        <v>0</v>
      </c>
      <c r="E987" t="s">
        <v>6293</v>
      </c>
      <c r="F987" t="s">
        <v>6294</v>
      </c>
      <c r="G987" t="s">
        <v>6295</v>
      </c>
      <c r="H987" t="e" vm="450">
        <f>_FV(0,"05074577738839815")</f>
        <v>#VALUE!</v>
      </c>
      <c r="I987" t="s">
        <v>6296</v>
      </c>
      <c r="J987" t="s">
        <v>6297</v>
      </c>
      <c r="K987" t="s">
        <v>6298</v>
      </c>
      <c r="L987" t="s">
        <v>6292</v>
      </c>
    </row>
    <row r="988" spans="1:12" x14ac:dyDescent="0.25">
      <c r="A988">
        <v>322684</v>
      </c>
      <c r="B988">
        <v>322714</v>
      </c>
      <c r="D988">
        <v>0</v>
      </c>
      <c r="F988">
        <v>333081</v>
      </c>
      <c r="G988">
        <v>322714</v>
      </c>
      <c r="H988" t="e" vm="451">
        <f>_FV(0,"064")</f>
        <v>#VALUE!</v>
      </c>
      <c r="I988">
        <v>322684</v>
      </c>
      <c r="J988" t="s">
        <v>6299</v>
      </c>
      <c r="K988" t="s">
        <v>6300</v>
      </c>
      <c r="L988" t="e" vm="451">
        <f>_FV(0,"064")</f>
        <v>#VALUE!</v>
      </c>
    </row>
    <row r="989" spans="1:12" x14ac:dyDescent="0.25">
      <c r="A989">
        <v>322684</v>
      </c>
      <c r="B989">
        <v>322700</v>
      </c>
      <c r="D989">
        <v>0</v>
      </c>
      <c r="F989">
        <v>333073</v>
      </c>
      <c r="G989">
        <v>322684</v>
      </c>
      <c r="H989" t="e" vm="452">
        <f>_FV(0,"16")</f>
        <v>#VALUE!</v>
      </c>
      <c r="I989">
        <v>322700</v>
      </c>
      <c r="J989" t="s">
        <v>6301</v>
      </c>
      <c r="K989" t="s">
        <v>6302</v>
      </c>
      <c r="L989" t="e" vm="452">
        <f>_FV(0,"16")</f>
        <v>#VALUE!</v>
      </c>
    </row>
    <row r="990" spans="1:12" x14ac:dyDescent="0.25">
      <c r="A990">
        <v>322691</v>
      </c>
      <c r="B990">
        <v>322700</v>
      </c>
      <c r="D990">
        <v>0</v>
      </c>
      <c r="E990" t="s">
        <v>6304</v>
      </c>
      <c r="F990" t="s">
        <v>6305</v>
      </c>
      <c r="G990" t="s">
        <v>6306</v>
      </c>
      <c r="H990" t="e" vm="453">
        <f>_FV(0,"03682779766567695")</f>
        <v>#VALUE!</v>
      </c>
      <c r="I990" t="s">
        <v>6307</v>
      </c>
      <c r="J990" t="s">
        <v>6308</v>
      </c>
      <c r="K990" t="s">
        <v>6309</v>
      </c>
      <c r="L990" t="s">
        <v>6303</v>
      </c>
    </row>
    <row r="991" spans="1:12" x14ac:dyDescent="0.25">
      <c r="A991">
        <v>322691</v>
      </c>
      <c r="B991">
        <v>322733</v>
      </c>
      <c r="D991">
        <v>0</v>
      </c>
      <c r="F991">
        <v>333113</v>
      </c>
      <c r="G991">
        <v>322691</v>
      </c>
      <c r="H991" t="s">
        <v>6310</v>
      </c>
      <c r="I991">
        <v>322733</v>
      </c>
      <c r="J991" t="s">
        <v>6310</v>
      </c>
      <c r="K991" t="s">
        <v>6311</v>
      </c>
      <c r="L991" t="s">
        <v>6310</v>
      </c>
    </row>
    <row r="992" spans="1:12" x14ac:dyDescent="0.25">
      <c r="A992">
        <v>322691</v>
      </c>
      <c r="B992">
        <v>725713</v>
      </c>
      <c r="D992">
        <v>0</v>
      </c>
      <c r="E992" t="s">
        <v>6313</v>
      </c>
      <c r="F992" t="s">
        <v>6314</v>
      </c>
      <c r="G992" t="s">
        <v>6315</v>
      </c>
      <c r="H992" t="s">
        <v>6316</v>
      </c>
      <c r="I992" t="s">
        <v>6317</v>
      </c>
      <c r="J992" t="s">
        <v>6318</v>
      </c>
      <c r="K992" t="s">
        <v>6319</v>
      </c>
      <c r="L992" t="s">
        <v>6312</v>
      </c>
    </row>
    <row r="993" spans="1:12" x14ac:dyDescent="0.25">
      <c r="A993">
        <v>322700</v>
      </c>
      <c r="B993">
        <v>725657</v>
      </c>
      <c r="D993">
        <v>0</v>
      </c>
      <c r="E993" t="s">
        <v>6321</v>
      </c>
      <c r="F993" t="s">
        <v>6322</v>
      </c>
      <c r="G993" t="s">
        <v>6323</v>
      </c>
      <c r="H993" t="e" vm="454">
        <f>_FV(0,"037494026006179994")</f>
        <v>#VALUE!</v>
      </c>
      <c r="I993" t="s">
        <v>6324</v>
      </c>
      <c r="J993" t="s">
        <v>6325</v>
      </c>
      <c r="K993" t="s">
        <v>6326</v>
      </c>
      <c r="L993" t="s">
        <v>6320</v>
      </c>
    </row>
    <row r="994" spans="1:12" x14ac:dyDescent="0.25">
      <c r="A994">
        <v>322714</v>
      </c>
      <c r="B994">
        <v>322727</v>
      </c>
      <c r="D994">
        <v>0</v>
      </c>
      <c r="E994" t="s">
        <v>6328</v>
      </c>
      <c r="F994" t="s">
        <v>6329</v>
      </c>
      <c r="G994" t="s">
        <v>6330</v>
      </c>
      <c r="H994" t="s">
        <v>6331</v>
      </c>
      <c r="I994" t="s">
        <v>6332</v>
      </c>
      <c r="J994" t="s">
        <v>6327</v>
      </c>
      <c r="K994" t="s">
        <v>6333</v>
      </c>
      <c r="L994" t="s">
        <v>6327</v>
      </c>
    </row>
    <row r="995" spans="1:12" x14ac:dyDescent="0.25">
      <c r="A995">
        <v>322714</v>
      </c>
      <c r="B995">
        <v>322861</v>
      </c>
      <c r="D995">
        <v>1</v>
      </c>
      <c r="E995" t="s">
        <v>6335</v>
      </c>
      <c r="F995" t="s">
        <v>6336</v>
      </c>
      <c r="G995" t="s">
        <v>6337</v>
      </c>
      <c r="H995" t="e" vm="455">
        <f>_FV(0,"14838509550307258")</f>
        <v>#VALUE!</v>
      </c>
      <c r="I995" t="s">
        <v>6338</v>
      </c>
      <c r="J995" t="s">
        <v>6339</v>
      </c>
      <c r="K995" t="s">
        <v>6340</v>
      </c>
      <c r="L995" t="s">
        <v>6334</v>
      </c>
    </row>
    <row r="996" spans="1:12" x14ac:dyDescent="0.25">
      <c r="A996">
        <v>322727</v>
      </c>
      <c r="B996">
        <v>322733</v>
      </c>
      <c r="D996">
        <v>0</v>
      </c>
      <c r="F996">
        <v>333105</v>
      </c>
      <c r="G996">
        <v>322733</v>
      </c>
      <c r="H996" t="s">
        <v>6341</v>
      </c>
      <c r="I996">
        <v>322727</v>
      </c>
      <c r="J996" t="s">
        <v>6341</v>
      </c>
      <c r="K996" t="s">
        <v>6342</v>
      </c>
      <c r="L996" t="s">
        <v>6341</v>
      </c>
    </row>
    <row r="997" spans="1:12" x14ac:dyDescent="0.25">
      <c r="A997">
        <v>322727</v>
      </c>
      <c r="B997">
        <v>322861</v>
      </c>
      <c r="D997">
        <v>1</v>
      </c>
      <c r="E997" t="s">
        <v>6344</v>
      </c>
      <c r="F997" t="s">
        <v>6345</v>
      </c>
      <c r="G997" t="s">
        <v>6346</v>
      </c>
      <c r="H997" t="e" vm="456">
        <f>_FV(0,"17248348825575902")</f>
        <v>#VALUE!</v>
      </c>
      <c r="I997" t="s">
        <v>6347</v>
      </c>
      <c r="J997" t="s">
        <v>6348</v>
      </c>
      <c r="K997" t="s">
        <v>6349</v>
      </c>
      <c r="L997" t="s">
        <v>6343</v>
      </c>
    </row>
    <row r="998" spans="1:12" x14ac:dyDescent="0.25">
      <c r="A998">
        <v>322733</v>
      </c>
      <c r="B998">
        <v>322944</v>
      </c>
      <c r="D998">
        <v>0</v>
      </c>
      <c r="E998" t="s">
        <v>6351</v>
      </c>
      <c r="F998" t="s">
        <v>6352</v>
      </c>
      <c r="G998" t="s">
        <v>6353</v>
      </c>
      <c r="H998" t="s">
        <v>6354</v>
      </c>
      <c r="I998" t="s">
        <v>6355</v>
      </c>
      <c r="J998" t="s">
        <v>6350</v>
      </c>
      <c r="K998" t="s">
        <v>6356</v>
      </c>
      <c r="L998" t="s">
        <v>6350</v>
      </c>
    </row>
    <row r="999" spans="1:12" x14ac:dyDescent="0.25">
      <c r="A999">
        <v>322861</v>
      </c>
      <c r="B999">
        <v>322867</v>
      </c>
      <c r="D999" t="s">
        <v>1839</v>
      </c>
      <c r="E999" t="s">
        <v>6358</v>
      </c>
      <c r="F999" t="s">
        <v>6359</v>
      </c>
      <c r="G999" t="s">
        <v>6360</v>
      </c>
      <c r="H999" t="e" vm="457">
        <f>_FV(0,"06405021176028092")</f>
        <v>#VALUE!</v>
      </c>
      <c r="I999" t="s">
        <v>6361</v>
      </c>
      <c r="J999" t="s">
        <v>6362</v>
      </c>
      <c r="K999" t="s">
        <v>6363</v>
      </c>
      <c r="L999" t="s">
        <v>6357</v>
      </c>
    </row>
    <row r="1000" spans="1:12" x14ac:dyDescent="0.25">
      <c r="A1000">
        <v>322944</v>
      </c>
      <c r="B1000">
        <v>725739</v>
      </c>
      <c r="D1000">
        <v>0</v>
      </c>
      <c r="E1000" t="s">
        <v>6365</v>
      </c>
      <c r="F1000" t="s">
        <v>6366</v>
      </c>
      <c r="G1000" t="s">
        <v>6368</v>
      </c>
      <c r="H1000" t="e" vm="458">
        <f>_FV(0,"036421448472402036")</f>
        <v>#VALUE!</v>
      </c>
      <c r="I1000" t="s">
        <v>6369</v>
      </c>
      <c r="J1000" t="s">
        <v>6370</v>
      </c>
      <c r="K1000" t="s">
        <v>6371</v>
      </c>
      <c r="L1000" t="s">
        <v>6364</v>
      </c>
    </row>
    <row r="1001" spans="1:12" x14ac:dyDescent="0.25">
      <c r="A1001">
        <v>322944</v>
      </c>
      <c r="B1001">
        <v>734488</v>
      </c>
      <c r="D1001">
        <v>0</v>
      </c>
      <c r="E1001" t="s">
        <v>6373</v>
      </c>
      <c r="F1001" t="s">
        <v>6374</v>
      </c>
      <c r="G1001" t="s">
        <v>6375</v>
      </c>
      <c r="H1001" t="s">
        <v>6376</v>
      </c>
      <c r="I1001" t="s">
        <v>6377</v>
      </c>
      <c r="J1001" t="s">
        <v>6378</v>
      </c>
      <c r="K1001" t="s">
        <v>6379</v>
      </c>
      <c r="L1001" t="s">
        <v>6372</v>
      </c>
    </row>
    <row r="1002" spans="1:12" x14ac:dyDescent="0.25">
      <c r="A1002">
        <v>323129</v>
      </c>
      <c r="B1002">
        <v>323187</v>
      </c>
      <c r="D1002">
        <v>0</v>
      </c>
      <c r="E1002" t="s">
        <v>6381</v>
      </c>
      <c r="F1002" t="s">
        <v>6382</v>
      </c>
      <c r="G1002" t="s">
        <v>6383</v>
      </c>
      <c r="H1002" t="e" vm="459">
        <f>_FV(0,"007467789802945943")</f>
        <v>#VALUE!</v>
      </c>
      <c r="I1002" t="s">
        <v>6384</v>
      </c>
      <c r="J1002" t="s">
        <v>6385</v>
      </c>
      <c r="K1002" t="s">
        <v>6386</v>
      </c>
      <c r="L1002" t="s">
        <v>6380</v>
      </c>
    </row>
    <row r="1003" spans="1:12" x14ac:dyDescent="0.25">
      <c r="A1003">
        <v>323129</v>
      </c>
      <c r="B1003">
        <v>323217</v>
      </c>
      <c r="D1003">
        <v>0</v>
      </c>
      <c r="F1003">
        <v>333674</v>
      </c>
      <c r="G1003">
        <v>323129</v>
      </c>
      <c r="H1003" t="s">
        <v>4848</v>
      </c>
      <c r="I1003">
        <v>323217</v>
      </c>
      <c r="J1003" t="s">
        <v>4848</v>
      </c>
      <c r="K1003" t="s">
        <v>6387</v>
      </c>
      <c r="L1003" t="s">
        <v>4848</v>
      </c>
    </row>
    <row r="1004" spans="1:12" x14ac:dyDescent="0.25">
      <c r="A1004">
        <v>323187</v>
      </c>
      <c r="B1004">
        <v>323207</v>
      </c>
      <c r="D1004">
        <v>0</v>
      </c>
      <c r="E1004" t="s">
        <v>6389</v>
      </c>
      <c r="F1004" t="s">
        <v>6390</v>
      </c>
      <c r="G1004" t="s">
        <v>6391</v>
      </c>
      <c r="H1004" t="s">
        <v>6392</v>
      </c>
      <c r="I1004" t="s">
        <v>6393</v>
      </c>
      <c r="J1004" t="s">
        <v>6388</v>
      </c>
      <c r="K1004" t="s">
        <v>6394</v>
      </c>
      <c r="L1004" t="s">
        <v>6388</v>
      </c>
    </row>
    <row r="1005" spans="1:12" x14ac:dyDescent="0.25">
      <c r="A1005">
        <v>323187</v>
      </c>
      <c r="B1005">
        <v>323242</v>
      </c>
      <c r="D1005">
        <v>0</v>
      </c>
      <c r="E1005" t="s">
        <v>6395</v>
      </c>
      <c r="F1005" t="s">
        <v>6396</v>
      </c>
      <c r="G1005" t="s">
        <v>6397</v>
      </c>
      <c r="H1005" t="e" vm="342">
        <f>_FV(0,"011")</f>
        <v>#VALUE!</v>
      </c>
      <c r="I1005" t="s">
        <v>6398</v>
      </c>
      <c r="J1005" t="s">
        <v>4848</v>
      </c>
      <c r="K1005" t="s">
        <v>6399</v>
      </c>
      <c r="L1005" t="e" vm="342">
        <f>_FV(0,"011")</f>
        <v>#VALUE!</v>
      </c>
    </row>
    <row r="1006" spans="1:12" x14ac:dyDescent="0.25">
      <c r="A1006">
        <v>323207</v>
      </c>
      <c r="B1006">
        <v>323217</v>
      </c>
      <c r="D1006">
        <v>0</v>
      </c>
      <c r="F1006">
        <v>333666</v>
      </c>
      <c r="G1006">
        <v>323217</v>
      </c>
      <c r="H1006" t="s">
        <v>241</v>
      </c>
      <c r="I1006">
        <v>323207</v>
      </c>
      <c r="J1006" t="s">
        <v>241</v>
      </c>
      <c r="K1006" t="s">
        <v>6400</v>
      </c>
      <c r="L1006" t="s">
        <v>241</v>
      </c>
    </row>
    <row r="1007" spans="1:12" x14ac:dyDescent="0.25">
      <c r="A1007">
        <v>323207</v>
      </c>
      <c r="B1007">
        <v>323242</v>
      </c>
      <c r="D1007">
        <v>0</v>
      </c>
      <c r="E1007" t="s">
        <v>6402</v>
      </c>
      <c r="F1007" t="s">
        <v>6403</v>
      </c>
      <c r="G1007" t="s">
        <v>6404</v>
      </c>
      <c r="H1007" t="e" vm="460">
        <f>_FV(0,"012356935970690578")</f>
        <v>#VALUE!</v>
      </c>
      <c r="I1007" t="s">
        <v>6405</v>
      </c>
      <c r="J1007" t="s">
        <v>6406</v>
      </c>
      <c r="K1007" t="s">
        <v>6407</v>
      </c>
      <c r="L1007" t="s">
        <v>6401</v>
      </c>
    </row>
    <row r="1008" spans="1:12" x14ac:dyDescent="0.25">
      <c r="A1008">
        <v>323242</v>
      </c>
      <c r="B1008">
        <v>323263</v>
      </c>
      <c r="D1008">
        <v>0</v>
      </c>
      <c r="E1008" t="s">
        <v>6409</v>
      </c>
      <c r="F1008" t="s">
        <v>6410</v>
      </c>
      <c r="G1008" t="s">
        <v>6411</v>
      </c>
      <c r="H1008" t="e" vm="461">
        <f>_FV(0,"031512265469968624")</f>
        <v>#VALUE!</v>
      </c>
      <c r="I1008" t="s">
        <v>6412</v>
      </c>
      <c r="J1008" t="s">
        <v>6413</v>
      </c>
      <c r="K1008" t="s">
        <v>6414</v>
      </c>
      <c r="L1008" t="s">
        <v>6408</v>
      </c>
    </row>
    <row r="1009" spans="1:12" x14ac:dyDescent="0.25">
      <c r="A1009">
        <v>323263</v>
      </c>
      <c r="B1009">
        <v>323274</v>
      </c>
      <c r="D1009">
        <v>0</v>
      </c>
      <c r="E1009" t="s">
        <v>6416</v>
      </c>
      <c r="F1009" t="s">
        <v>6417</v>
      </c>
      <c r="G1009" t="s">
        <v>6418</v>
      </c>
      <c r="H1009" t="e" vm="462">
        <f>_FV(0,"0422537148784705")</f>
        <v>#VALUE!</v>
      </c>
      <c r="I1009" t="s">
        <v>6419</v>
      </c>
      <c r="J1009" t="s">
        <v>6420</v>
      </c>
      <c r="K1009" t="s">
        <v>6421</v>
      </c>
      <c r="L1009" t="s">
        <v>6415</v>
      </c>
    </row>
    <row r="1010" spans="1:12" x14ac:dyDescent="0.25">
      <c r="A1010">
        <v>323263</v>
      </c>
      <c r="B1010">
        <v>323335</v>
      </c>
      <c r="D1010">
        <v>0</v>
      </c>
      <c r="E1010" t="s">
        <v>6423</v>
      </c>
      <c r="F1010" t="s">
        <v>6424</v>
      </c>
      <c r="G1010" t="s">
        <v>6425</v>
      </c>
      <c r="H1010" t="e" vm="463">
        <f>_FV(0,"03053583619880511")</f>
        <v>#VALUE!</v>
      </c>
      <c r="I1010" t="s">
        <v>6426</v>
      </c>
      <c r="J1010" t="s">
        <v>6427</v>
      </c>
      <c r="K1010" t="s">
        <v>6428</v>
      </c>
      <c r="L1010" t="s">
        <v>6422</v>
      </c>
    </row>
    <row r="1011" spans="1:12" x14ac:dyDescent="0.25">
      <c r="A1011">
        <v>323274</v>
      </c>
      <c r="B1011">
        <v>323275</v>
      </c>
      <c r="D1011">
        <v>0</v>
      </c>
      <c r="F1011">
        <v>333714</v>
      </c>
      <c r="G1011">
        <v>323275</v>
      </c>
      <c r="H1011" t="e" vm="464">
        <f>_FV(0,"05")</f>
        <v>#VALUE!</v>
      </c>
      <c r="I1011">
        <v>323274</v>
      </c>
      <c r="J1011" t="s">
        <v>6429</v>
      </c>
      <c r="K1011" t="s">
        <v>6430</v>
      </c>
      <c r="L1011" t="e" vm="464">
        <f>_FV(0,"05")</f>
        <v>#VALUE!</v>
      </c>
    </row>
    <row r="1012" spans="1:12" x14ac:dyDescent="0.25">
      <c r="A1012">
        <v>323274</v>
      </c>
      <c r="B1012">
        <v>323335</v>
      </c>
      <c r="D1012">
        <v>0</v>
      </c>
      <c r="E1012" t="s">
        <v>6432</v>
      </c>
      <c r="F1012" t="s">
        <v>6433</v>
      </c>
      <c r="G1012" t="s">
        <v>6434</v>
      </c>
      <c r="H1012" t="e" vm="465">
        <f>_FV(0,"029731816432979")</f>
        <v>#VALUE!</v>
      </c>
      <c r="I1012" t="s">
        <v>6435</v>
      </c>
      <c r="J1012" t="s">
        <v>6436</v>
      </c>
      <c r="K1012" t="s">
        <v>6437</v>
      </c>
      <c r="L1012" t="s">
        <v>6431</v>
      </c>
    </row>
    <row r="1013" spans="1:12" x14ac:dyDescent="0.25">
      <c r="A1013">
        <v>323275</v>
      </c>
      <c r="B1013">
        <v>323325</v>
      </c>
      <c r="D1013">
        <v>0</v>
      </c>
      <c r="E1013" t="s">
        <v>6439</v>
      </c>
      <c r="F1013" t="s">
        <v>6440</v>
      </c>
      <c r="G1013" t="s">
        <v>6441</v>
      </c>
      <c r="H1013" t="s">
        <v>6442</v>
      </c>
      <c r="I1013" t="s">
        <v>6443</v>
      </c>
      <c r="J1013" t="s">
        <v>6444</v>
      </c>
      <c r="K1013" t="s">
        <v>6445</v>
      </c>
      <c r="L1013" t="s">
        <v>6438</v>
      </c>
    </row>
    <row r="1014" spans="1:12" x14ac:dyDescent="0.25">
      <c r="A1014">
        <v>323285</v>
      </c>
      <c r="B1014">
        <v>323577</v>
      </c>
      <c r="D1014">
        <v>0</v>
      </c>
      <c r="F1014">
        <v>334153</v>
      </c>
      <c r="G1014">
        <v>323577</v>
      </c>
      <c r="H1014" t="e" vm="56">
        <f>_FV(0,"023")</f>
        <v>#VALUE!</v>
      </c>
      <c r="I1014">
        <v>323285</v>
      </c>
      <c r="J1014" t="s">
        <v>890</v>
      </c>
      <c r="K1014" t="s">
        <v>6446</v>
      </c>
      <c r="L1014" t="e" vm="56">
        <f>_FV(0,"023")</f>
        <v>#VALUE!</v>
      </c>
    </row>
    <row r="1015" spans="1:12" x14ac:dyDescent="0.25">
      <c r="A1015">
        <v>323285</v>
      </c>
      <c r="B1015">
        <v>323305</v>
      </c>
      <c r="D1015">
        <v>0</v>
      </c>
      <c r="E1015" t="s">
        <v>6448</v>
      </c>
      <c r="F1015" t="s">
        <v>6449</v>
      </c>
      <c r="G1015" t="s">
        <v>6450</v>
      </c>
      <c r="H1015" t="s">
        <v>6451</v>
      </c>
      <c r="I1015" t="s">
        <v>6452</v>
      </c>
      <c r="J1015" t="s">
        <v>6453</v>
      </c>
      <c r="K1015" t="s">
        <v>6454</v>
      </c>
      <c r="L1015" t="s">
        <v>6447</v>
      </c>
    </row>
    <row r="1016" spans="1:12" x14ac:dyDescent="0.25">
      <c r="A1016">
        <v>323285</v>
      </c>
      <c r="B1016">
        <v>1017026</v>
      </c>
      <c r="D1016" t="s">
        <v>6456</v>
      </c>
      <c r="E1016" t="s">
        <v>6457</v>
      </c>
      <c r="F1016" t="s">
        <v>6458</v>
      </c>
      <c r="G1016" t="s">
        <v>6459</v>
      </c>
      <c r="H1016" t="s">
        <v>6460</v>
      </c>
      <c r="I1016" t="s">
        <v>6461</v>
      </c>
      <c r="J1016" t="s">
        <v>6462</v>
      </c>
      <c r="K1016" t="s">
        <v>6463</v>
      </c>
      <c r="L1016" t="s">
        <v>6455</v>
      </c>
    </row>
    <row r="1017" spans="1:12" x14ac:dyDescent="0.25">
      <c r="A1017">
        <v>323305</v>
      </c>
      <c r="B1017">
        <v>323493</v>
      </c>
      <c r="D1017">
        <v>0</v>
      </c>
      <c r="E1017" t="s">
        <v>6465</v>
      </c>
      <c r="F1017" t="s">
        <v>6466</v>
      </c>
      <c r="G1017" t="s">
        <v>6467</v>
      </c>
      <c r="H1017" t="e" vm="466">
        <f>_FV(0,"07380152762509976")</f>
        <v>#VALUE!</v>
      </c>
      <c r="I1017" t="s">
        <v>6468</v>
      </c>
      <c r="J1017" t="s">
        <v>6469</v>
      </c>
      <c r="K1017" t="s">
        <v>6470</v>
      </c>
      <c r="L1017" t="s">
        <v>6464</v>
      </c>
    </row>
    <row r="1018" spans="1:12" x14ac:dyDescent="0.25">
      <c r="A1018">
        <v>323305</v>
      </c>
      <c r="B1018">
        <v>1854825</v>
      </c>
      <c r="C1018" t="s">
        <v>6471</v>
      </c>
      <c r="D1018">
        <v>0</v>
      </c>
      <c r="E1018" t="s">
        <v>6472</v>
      </c>
      <c r="H1018" t="s">
        <v>187</v>
      </c>
      <c r="J1018">
        <v>0</v>
      </c>
      <c r="K1018" t="s">
        <v>6473</v>
      </c>
      <c r="L1018">
        <v>0</v>
      </c>
    </row>
    <row r="1019" spans="1:12" x14ac:dyDescent="0.25">
      <c r="A1019">
        <v>323325</v>
      </c>
      <c r="B1019">
        <v>323335</v>
      </c>
      <c r="D1019">
        <v>0</v>
      </c>
      <c r="F1019">
        <v>333762</v>
      </c>
      <c r="G1019">
        <v>323335</v>
      </c>
      <c r="H1019" t="s">
        <v>6474</v>
      </c>
      <c r="I1019">
        <v>323325</v>
      </c>
      <c r="J1019" t="s">
        <v>6474</v>
      </c>
      <c r="K1019" t="s">
        <v>6475</v>
      </c>
      <c r="L1019" t="s">
        <v>6474</v>
      </c>
    </row>
    <row r="1020" spans="1:12" x14ac:dyDescent="0.25">
      <c r="A1020">
        <v>323493</v>
      </c>
      <c r="B1020">
        <v>323532</v>
      </c>
      <c r="D1020">
        <v>0</v>
      </c>
      <c r="E1020" t="s">
        <v>6477</v>
      </c>
      <c r="F1020" t="s">
        <v>6478</v>
      </c>
      <c r="G1020" t="s">
        <v>6479</v>
      </c>
      <c r="H1020" t="e" vm="467">
        <f>_FV(0,"10731062926227486")</f>
        <v>#VALUE!</v>
      </c>
      <c r="I1020" t="s">
        <v>6480</v>
      </c>
      <c r="J1020" t="s">
        <v>6481</v>
      </c>
      <c r="K1020" t="s">
        <v>6482</v>
      </c>
      <c r="L1020" t="s">
        <v>6476</v>
      </c>
    </row>
    <row r="1021" spans="1:12" x14ac:dyDescent="0.25">
      <c r="A1021">
        <v>323493</v>
      </c>
      <c r="B1021">
        <v>323564</v>
      </c>
      <c r="D1021">
        <v>0</v>
      </c>
      <c r="E1021" t="s">
        <v>6484</v>
      </c>
      <c r="F1021" t="s">
        <v>6485</v>
      </c>
      <c r="G1021" t="s">
        <v>6486</v>
      </c>
      <c r="H1021" t="e" vm="468">
        <f>_FV(0,"10911930696439763")</f>
        <v>#VALUE!</v>
      </c>
      <c r="I1021" t="s">
        <v>6487</v>
      </c>
      <c r="J1021" t="s">
        <v>6488</v>
      </c>
      <c r="K1021" t="s">
        <v>6489</v>
      </c>
      <c r="L1021" t="s">
        <v>6483</v>
      </c>
    </row>
    <row r="1022" spans="1:12" x14ac:dyDescent="0.25">
      <c r="A1022">
        <v>323532</v>
      </c>
      <c r="B1022">
        <v>323539</v>
      </c>
      <c r="D1022">
        <v>0</v>
      </c>
      <c r="F1022">
        <v>334001</v>
      </c>
      <c r="G1022">
        <v>323539</v>
      </c>
      <c r="H1022" t="e" vm="77">
        <f>_FV(0,"056")</f>
        <v>#VALUE!</v>
      </c>
      <c r="I1022">
        <v>323532</v>
      </c>
      <c r="J1022" t="s">
        <v>1194</v>
      </c>
      <c r="K1022" t="s">
        <v>6490</v>
      </c>
      <c r="L1022" t="e" vm="77">
        <f>_FV(0,"056")</f>
        <v>#VALUE!</v>
      </c>
    </row>
    <row r="1023" spans="1:12" x14ac:dyDescent="0.25">
      <c r="A1023">
        <v>323532</v>
      </c>
      <c r="B1023">
        <v>323564</v>
      </c>
      <c r="D1023">
        <v>0</v>
      </c>
      <c r="E1023" t="s">
        <v>6492</v>
      </c>
      <c r="F1023" t="s">
        <v>6493</v>
      </c>
      <c r="G1023" t="s">
        <v>6494</v>
      </c>
      <c r="H1023" t="s">
        <v>6495</v>
      </c>
      <c r="I1023" t="s">
        <v>6496</v>
      </c>
      <c r="J1023" t="s">
        <v>6491</v>
      </c>
      <c r="K1023" t="s">
        <v>6497</v>
      </c>
      <c r="L1023" t="s">
        <v>6491</v>
      </c>
    </row>
    <row r="1024" spans="1:12" x14ac:dyDescent="0.25">
      <c r="A1024">
        <v>323532</v>
      </c>
      <c r="B1024">
        <v>323577</v>
      </c>
      <c r="D1024">
        <v>0</v>
      </c>
      <c r="F1024">
        <v>334049</v>
      </c>
      <c r="G1024">
        <v>323532</v>
      </c>
      <c r="H1024" t="s">
        <v>1629</v>
      </c>
      <c r="I1024">
        <v>323577</v>
      </c>
      <c r="J1024" t="s">
        <v>1629</v>
      </c>
      <c r="K1024" t="s">
        <v>6498</v>
      </c>
      <c r="L1024" t="s">
        <v>1629</v>
      </c>
    </row>
    <row r="1025" spans="1:12" x14ac:dyDescent="0.25">
      <c r="A1025">
        <v>323539</v>
      </c>
      <c r="B1025">
        <v>323608</v>
      </c>
      <c r="C1025" t="s">
        <v>6500</v>
      </c>
      <c r="D1025">
        <v>0</v>
      </c>
      <c r="E1025" t="s">
        <v>6501</v>
      </c>
      <c r="F1025" t="s">
        <v>6502</v>
      </c>
      <c r="G1025" t="s">
        <v>6503</v>
      </c>
      <c r="H1025" t="s">
        <v>6504</v>
      </c>
      <c r="I1025" t="s">
        <v>6505</v>
      </c>
      <c r="J1025" t="s">
        <v>6499</v>
      </c>
      <c r="K1025" t="s">
        <v>6506</v>
      </c>
      <c r="L1025" t="s">
        <v>6499</v>
      </c>
    </row>
    <row r="1026" spans="1:12" x14ac:dyDescent="0.25">
      <c r="A1026">
        <v>323539</v>
      </c>
      <c r="B1026">
        <v>323564</v>
      </c>
      <c r="D1026">
        <v>0</v>
      </c>
      <c r="F1026">
        <v>334041</v>
      </c>
      <c r="G1026">
        <v>323539</v>
      </c>
      <c r="H1026" t="e" vm="469">
        <f>_FV(0,"082")</f>
        <v>#VALUE!</v>
      </c>
      <c r="I1026">
        <v>323564</v>
      </c>
      <c r="J1026" t="s">
        <v>6507</v>
      </c>
      <c r="K1026" t="s">
        <v>6508</v>
      </c>
      <c r="L1026" t="e" vm="469">
        <f>_FV(0,"082")</f>
        <v>#VALUE!</v>
      </c>
    </row>
    <row r="1027" spans="1:12" x14ac:dyDescent="0.25">
      <c r="A1027">
        <v>323539</v>
      </c>
      <c r="B1027">
        <v>323577</v>
      </c>
      <c r="D1027">
        <v>0</v>
      </c>
      <c r="F1027">
        <v>334097</v>
      </c>
      <c r="G1027">
        <v>323539</v>
      </c>
      <c r="H1027" t="s">
        <v>922</v>
      </c>
      <c r="I1027">
        <v>323577</v>
      </c>
      <c r="J1027" t="s">
        <v>922</v>
      </c>
      <c r="K1027" t="s">
        <v>6509</v>
      </c>
      <c r="L1027" t="s">
        <v>922</v>
      </c>
    </row>
    <row r="1028" spans="1:12" x14ac:dyDescent="0.25">
      <c r="A1028">
        <v>323564</v>
      </c>
      <c r="B1028">
        <v>323608</v>
      </c>
      <c r="D1028">
        <v>0</v>
      </c>
      <c r="E1028" t="s">
        <v>6511</v>
      </c>
      <c r="F1028" t="s">
        <v>6512</v>
      </c>
      <c r="G1028" t="s">
        <v>6513</v>
      </c>
      <c r="H1028" t="s">
        <v>6514</v>
      </c>
      <c r="I1028" t="s">
        <v>6515</v>
      </c>
      <c r="J1028" t="s">
        <v>6510</v>
      </c>
      <c r="K1028" t="s">
        <v>6516</v>
      </c>
      <c r="L1028" t="s">
        <v>6510</v>
      </c>
    </row>
    <row r="1029" spans="1:12" x14ac:dyDescent="0.25">
      <c r="A1029">
        <v>323608</v>
      </c>
      <c r="B1029">
        <v>1854795</v>
      </c>
      <c r="D1029">
        <v>0</v>
      </c>
      <c r="E1029" t="s">
        <v>6517</v>
      </c>
      <c r="H1029" t="s">
        <v>187</v>
      </c>
      <c r="J1029">
        <v>0</v>
      </c>
      <c r="K1029" t="s">
        <v>6518</v>
      </c>
      <c r="L1029">
        <v>0</v>
      </c>
    </row>
    <row r="1030" spans="1:12" x14ac:dyDescent="0.25">
      <c r="A1030">
        <v>325589</v>
      </c>
      <c r="B1030">
        <v>288077</v>
      </c>
      <c r="D1030">
        <v>0</v>
      </c>
      <c r="E1030" t="s">
        <v>6520</v>
      </c>
      <c r="F1030" t="s">
        <v>6521</v>
      </c>
      <c r="G1030" t="s">
        <v>6522</v>
      </c>
      <c r="H1030" t="s">
        <v>6523</v>
      </c>
      <c r="I1030" t="s">
        <v>6524</v>
      </c>
      <c r="J1030" t="s">
        <v>6519</v>
      </c>
      <c r="K1030" t="s">
        <v>6525</v>
      </c>
      <c r="L1030" t="s">
        <v>6519</v>
      </c>
    </row>
    <row r="1031" spans="1:12" x14ac:dyDescent="0.25">
      <c r="A1031">
        <v>325880</v>
      </c>
      <c r="B1031">
        <v>325898</v>
      </c>
      <c r="D1031">
        <v>0</v>
      </c>
      <c r="E1031" t="s">
        <v>6527</v>
      </c>
      <c r="F1031" t="s">
        <v>6528</v>
      </c>
      <c r="G1031" t="s">
        <v>6529</v>
      </c>
      <c r="H1031" t="e" vm="470">
        <f>_FV(0,"03735612155780731")</f>
        <v>#VALUE!</v>
      </c>
      <c r="I1031" t="s">
        <v>6530</v>
      </c>
      <c r="J1031" t="s">
        <v>6531</v>
      </c>
      <c r="K1031" t="s">
        <v>6532</v>
      </c>
      <c r="L1031" t="s">
        <v>6526</v>
      </c>
    </row>
    <row r="1032" spans="1:12" x14ac:dyDescent="0.25">
      <c r="A1032">
        <v>325880</v>
      </c>
      <c r="B1032">
        <v>325922</v>
      </c>
      <c r="D1032">
        <v>0</v>
      </c>
      <c r="E1032" t="s">
        <v>6534</v>
      </c>
      <c r="F1032" t="s">
        <v>6535</v>
      </c>
      <c r="G1032" t="s">
        <v>6536</v>
      </c>
      <c r="H1032" t="e" vm="471">
        <f>_FV(0,"0489367971563424")</f>
        <v>#VALUE!</v>
      </c>
      <c r="I1032" t="s">
        <v>6537</v>
      </c>
      <c r="J1032" t="s">
        <v>6538</v>
      </c>
      <c r="K1032" t="s">
        <v>6539</v>
      </c>
      <c r="L1032" t="s">
        <v>6533</v>
      </c>
    </row>
    <row r="1033" spans="1:12" x14ac:dyDescent="0.25">
      <c r="A1033">
        <v>325880</v>
      </c>
      <c r="B1033">
        <v>326204</v>
      </c>
      <c r="D1033" t="s">
        <v>330</v>
      </c>
      <c r="E1033" t="s">
        <v>6541</v>
      </c>
      <c r="F1033" t="s">
        <v>6542</v>
      </c>
      <c r="G1033" t="s">
        <v>6543</v>
      </c>
      <c r="H1033" t="e" vm="472">
        <f>_FV(0,"007979209135352284")</f>
        <v>#VALUE!</v>
      </c>
      <c r="I1033" t="s">
        <v>6544</v>
      </c>
      <c r="J1033" t="s">
        <v>6545</v>
      </c>
      <c r="K1033" t="s">
        <v>6546</v>
      </c>
      <c r="L1033" t="s">
        <v>6540</v>
      </c>
    </row>
    <row r="1034" spans="1:12" x14ac:dyDescent="0.25">
      <c r="A1034">
        <v>325894</v>
      </c>
      <c r="B1034">
        <v>325909</v>
      </c>
      <c r="D1034">
        <v>0</v>
      </c>
      <c r="E1034" t="s">
        <v>6548</v>
      </c>
      <c r="F1034" t="s">
        <v>6549</v>
      </c>
      <c r="G1034" t="s">
        <v>6550</v>
      </c>
      <c r="H1034" t="s">
        <v>6551</v>
      </c>
      <c r="I1034" t="s">
        <v>6552</v>
      </c>
      <c r="J1034" t="s">
        <v>6547</v>
      </c>
      <c r="K1034" t="s">
        <v>6553</v>
      </c>
      <c r="L1034" t="s">
        <v>6547</v>
      </c>
    </row>
    <row r="1035" spans="1:12" x14ac:dyDescent="0.25">
      <c r="A1035">
        <v>325894</v>
      </c>
      <c r="B1035">
        <v>948257</v>
      </c>
      <c r="D1035">
        <v>0</v>
      </c>
      <c r="E1035" t="s">
        <v>6555</v>
      </c>
      <c r="F1035" t="s">
        <v>6556</v>
      </c>
      <c r="G1035" t="s">
        <v>6557</v>
      </c>
      <c r="H1035" t="s">
        <v>6558</v>
      </c>
      <c r="I1035" t="s">
        <v>6559</v>
      </c>
      <c r="J1035" t="s">
        <v>6554</v>
      </c>
      <c r="K1035" t="s">
        <v>6560</v>
      </c>
      <c r="L1035" t="s">
        <v>6554</v>
      </c>
    </row>
    <row r="1036" spans="1:12" x14ac:dyDescent="0.25">
      <c r="A1036">
        <v>325894</v>
      </c>
      <c r="B1036">
        <v>945218</v>
      </c>
      <c r="D1036">
        <v>0</v>
      </c>
      <c r="E1036" t="s">
        <v>6562</v>
      </c>
      <c r="F1036" t="s">
        <v>6563</v>
      </c>
      <c r="G1036" t="s">
        <v>6564</v>
      </c>
      <c r="H1036" t="e" vm="473">
        <f>_FV(0,"20371061207864552")</f>
        <v>#VALUE!</v>
      </c>
      <c r="I1036" t="s">
        <v>6565</v>
      </c>
      <c r="J1036" t="s">
        <v>6566</v>
      </c>
      <c r="K1036" t="s">
        <v>6567</v>
      </c>
      <c r="L1036" t="s">
        <v>6561</v>
      </c>
    </row>
    <row r="1037" spans="1:12" x14ac:dyDescent="0.25">
      <c r="A1037">
        <v>325898</v>
      </c>
      <c r="B1037">
        <v>325922</v>
      </c>
      <c r="D1037">
        <v>0</v>
      </c>
      <c r="E1037" t="s">
        <v>6569</v>
      </c>
      <c r="F1037" t="s">
        <v>6570</v>
      </c>
      <c r="G1037" t="s">
        <v>6571</v>
      </c>
      <c r="H1037" t="e" vm="474">
        <f>_FV(0,"023595720196491792")</f>
        <v>#VALUE!</v>
      </c>
      <c r="I1037" t="s">
        <v>6572</v>
      </c>
      <c r="J1037" t="s">
        <v>6573</v>
      </c>
      <c r="K1037" t="s">
        <v>6574</v>
      </c>
      <c r="L1037" t="s">
        <v>6568</v>
      </c>
    </row>
    <row r="1038" spans="1:12" x14ac:dyDescent="0.25">
      <c r="A1038">
        <v>325898</v>
      </c>
      <c r="B1038">
        <v>326643</v>
      </c>
      <c r="D1038">
        <v>0</v>
      </c>
      <c r="E1038" t="s">
        <v>6576</v>
      </c>
      <c r="F1038" t="s">
        <v>6577</v>
      </c>
      <c r="G1038" t="s">
        <v>6578</v>
      </c>
      <c r="H1038" t="s">
        <v>6579</v>
      </c>
      <c r="I1038" t="s">
        <v>6580</v>
      </c>
      <c r="J1038" t="s">
        <v>6581</v>
      </c>
      <c r="K1038" t="s">
        <v>6582</v>
      </c>
      <c r="L1038" t="s">
        <v>6575</v>
      </c>
    </row>
    <row r="1039" spans="1:12" x14ac:dyDescent="0.25">
      <c r="A1039">
        <v>325909</v>
      </c>
      <c r="B1039">
        <v>945498</v>
      </c>
      <c r="D1039">
        <v>0</v>
      </c>
      <c r="E1039" t="s">
        <v>6584</v>
      </c>
      <c r="F1039" t="s">
        <v>6585</v>
      </c>
      <c r="G1039" t="s">
        <v>6586</v>
      </c>
      <c r="H1039" t="s">
        <v>6587</v>
      </c>
      <c r="I1039" t="s">
        <v>6588</v>
      </c>
      <c r="J1039" t="s">
        <v>6583</v>
      </c>
      <c r="K1039" t="s">
        <v>6589</v>
      </c>
      <c r="L1039" t="s">
        <v>6583</v>
      </c>
    </row>
    <row r="1040" spans="1:12" x14ac:dyDescent="0.25">
      <c r="A1040">
        <v>325909</v>
      </c>
      <c r="B1040">
        <v>948257</v>
      </c>
      <c r="D1040">
        <v>0</v>
      </c>
      <c r="E1040" t="s">
        <v>6591</v>
      </c>
      <c r="F1040" t="s">
        <v>6592</v>
      </c>
      <c r="G1040" t="s">
        <v>6593</v>
      </c>
      <c r="H1040" t="s">
        <v>6594</v>
      </c>
      <c r="I1040" t="s">
        <v>6595</v>
      </c>
      <c r="J1040" t="s">
        <v>6590</v>
      </c>
      <c r="K1040" t="s">
        <v>6596</v>
      </c>
      <c r="L1040" t="s">
        <v>6590</v>
      </c>
    </row>
    <row r="1041" spans="1:12" x14ac:dyDescent="0.25">
      <c r="A1041">
        <v>325922</v>
      </c>
      <c r="B1041">
        <v>326635</v>
      </c>
      <c r="D1041">
        <v>0</v>
      </c>
      <c r="F1041">
        <v>337487</v>
      </c>
      <c r="G1041">
        <v>326635</v>
      </c>
      <c r="H1041" t="e" vm="464">
        <f>_FV(0,"05")</f>
        <v>#VALUE!</v>
      </c>
      <c r="I1041">
        <v>325922</v>
      </c>
      <c r="J1041" t="s">
        <v>6429</v>
      </c>
      <c r="K1041" t="s">
        <v>6597</v>
      </c>
      <c r="L1041" t="e" vm="464">
        <f>_FV(0,"05")</f>
        <v>#VALUE!</v>
      </c>
    </row>
    <row r="1042" spans="1:12" x14ac:dyDescent="0.25">
      <c r="A1042">
        <v>325977</v>
      </c>
      <c r="B1042">
        <v>325985</v>
      </c>
      <c r="D1042">
        <v>0</v>
      </c>
      <c r="E1042" t="s">
        <v>6598</v>
      </c>
      <c r="F1042" t="s">
        <v>6599</v>
      </c>
      <c r="G1042" t="s">
        <v>6600</v>
      </c>
      <c r="H1042" t="s">
        <v>2916</v>
      </c>
      <c r="I1042" t="s">
        <v>6601</v>
      </c>
      <c r="J1042" t="s">
        <v>2916</v>
      </c>
      <c r="K1042" t="s">
        <v>6602</v>
      </c>
      <c r="L1042" t="s">
        <v>2916</v>
      </c>
    </row>
    <row r="1043" spans="1:12" x14ac:dyDescent="0.25">
      <c r="A1043">
        <v>325977</v>
      </c>
      <c r="B1043">
        <v>325991</v>
      </c>
      <c r="D1043">
        <v>0</v>
      </c>
      <c r="E1043" t="s">
        <v>6604</v>
      </c>
      <c r="F1043" t="s">
        <v>6605</v>
      </c>
      <c r="G1043" t="s">
        <v>6606</v>
      </c>
      <c r="H1043" t="e" vm="475">
        <f>_FV(0,"015940820928410784")</f>
        <v>#VALUE!</v>
      </c>
      <c r="I1043" t="s">
        <v>6607</v>
      </c>
      <c r="J1043" t="s">
        <v>6608</v>
      </c>
      <c r="K1043" t="s">
        <v>6609</v>
      </c>
      <c r="L1043" t="s">
        <v>6603</v>
      </c>
    </row>
    <row r="1044" spans="1:12" x14ac:dyDescent="0.25">
      <c r="A1044">
        <v>325977</v>
      </c>
      <c r="B1044">
        <v>326021</v>
      </c>
      <c r="D1044">
        <v>0</v>
      </c>
      <c r="F1044">
        <v>336903</v>
      </c>
      <c r="G1044">
        <v>325977</v>
      </c>
      <c r="H1044" t="s">
        <v>3317</v>
      </c>
      <c r="I1044">
        <v>326021</v>
      </c>
      <c r="J1044" t="s">
        <v>3317</v>
      </c>
      <c r="K1044" t="s">
        <v>6610</v>
      </c>
      <c r="L1044" t="s">
        <v>3317</v>
      </c>
    </row>
    <row r="1045" spans="1:12" x14ac:dyDescent="0.25">
      <c r="A1045">
        <v>325985</v>
      </c>
      <c r="B1045">
        <v>326008</v>
      </c>
      <c r="D1045" t="s">
        <v>204</v>
      </c>
      <c r="E1045" t="s">
        <v>6612</v>
      </c>
      <c r="F1045" t="s">
        <v>6613</v>
      </c>
      <c r="G1045" t="s">
        <v>6614</v>
      </c>
      <c r="H1045" t="s">
        <v>6615</v>
      </c>
      <c r="I1045" t="s">
        <v>6616</v>
      </c>
      <c r="J1045" t="s">
        <v>6611</v>
      </c>
      <c r="K1045" t="s">
        <v>6617</v>
      </c>
      <c r="L1045" t="s">
        <v>6611</v>
      </c>
    </row>
    <row r="1046" spans="1:12" x14ac:dyDescent="0.25">
      <c r="A1046">
        <v>325985</v>
      </c>
      <c r="B1046">
        <v>325991</v>
      </c>
      <c r="D1046">
        <v>0</v>
      </c>
      <c r="E1046" t="s">
        <v>6619</v>
      </c>
      <c r="F1046" t="s">
        <v>6620</v>
      </c>
      <c r="G1046" t="s">
        <v>6621</v>
      </c>
      <c r="H1046" t="s">
        <v>6622</v>
      </c>
      <c r="I1046" t="s">
        <v>6623</v>
      </c>
      <c r="J1046" t="s">
        <v>6618</v>
      </c>
      <c r="K1046" t="s">
        <v>6624</v>
      </c>
      <c r="L1046" t="s">
        <v>6618</v>
      </c>
    </row>
    <row r="1047" spans="1:12" x14ac:dyDescent="0.25">
      <c r="A1047">
        <v>325991</v>
      </c>
      <c r="B1047">
        <v>326013</v>
      </c>
      <c r="D1047">
        <v>0</v>
      </c>
      <c r="F1047">
        <v>336927</v>
      </c>
      <c r="G1047">
        <v>326013</v>
      </c>
      <c r="H1047" t="e" vm="185">
        <f>_FV(0,"033")</f>
        <v>#VALUE!</v>
      </c>
      <c r="I1047">
        <v>325991</v>
      </c>
      <c r="J1047" t="s">
        <v>2884</v>
      </c>
      <c r="K1047" t="s">
        <v>6625</v>
      </c>
      <c r="L1047" t="e" vm="185">
        <f>_FV(0,"033")</f>
        <v>#VALUE!</v>
      </c>
    </row>
    <row r="1048" spans="1:12" x14ac:dyDescent="0.25">
      <c r="A1048">
        <v>326008</v>
      </c>
      <c r="B1048">
        <v>326015</v>
      </c>
      <c r="D1048">
        <v>0</v>
      </c>
      <c r="E1048" t="s">
        <v>6627</v>
      </c>
      <c r="F1048" t="s">
        <v>6628</v>
      </c>
      <c r="G1048" t="s">
        <v>6629</v>
      </c>
      <c r="H1048" t="s">
        <v>6630</v>
      </c>
      <c r="I1048" t="s">
        <v>6631</v>
      </c>
      <c r="J1048" t="s">
        <v>6626</v>
      </c>
      <c r="K1048" t="s">
        <v>6632</v>
      </c>
      <c r="L1048" t="s">
        <v>6626</v>
      </c>
    </row>
    <row r="1049" spans="1:12" x14ac:dyDescent="0.25">
      <c r="A1049">
        <v>326008</v>
      </c>
      <c r="B1049">
        <v>326236</v>
      </c>
      <c r="D1049">
        <v>0</v>
      </c>
      <c r="E1049" t="s">
        <v>6634</v>
      </c>
      <c r="F1049" t="s">
        <v>6635</v>
      </c>
      <c r="G1049" t="s">
        <v>6636</v>
      </c>
      <c r="H1049" t="s">
        <v>6637</v>
      </c>
      <c r="I1049" t="s">
        <v>6638</v>
      </c>
      <c r="J1049" t="s">
        <v>6633</v>
      </c>
      <c r="K1049" t="s">
        <v>6639</v>
      </c>
      <c r="L1049" t="s">
        <v>6633</v>
      </c>
    </row>
    <row r="1050" spans="1:12" x14ac:dyDescent="0.25">
      <c r="A1050">
        <v>326013</v>
      </c>
      <c r="B1050">
        <v>326021</v>
      </c>
      <c r="D1050">
        <v>0</v>
      </c>
      <c r="E1050" t="s">
        <v>6641</v>
      </c>
      <c r="F1050" t="s">
        <v>6642</v>
      </c>
      <c r="G1050" t="s">
        <v>6643</v>
      </c>
      <c r="H1050" t="s">
        <v>6644</v>
      </c>
      <c r="I1050" t="s">
        <v>6645</v>
      </c>
      <c r="J1050" t="s">
        <v>6646</v>
      </c>
      <c r="K1050" t="s">
        <v>6647</v>
      </c>
      <c r="L1050" t="s">
        <v>6640</v>
      </c>
    </row>
    <row r="1051" spans="1:12" x14ac:dyDescent="0.25">
      <c r="A1051">
        <v>326013</v>
      </c>
      <c r="B1051">
        <v>326281</v>
      </c>
      <c r="D1051">
        <v>0</v>
      </c>
      <c r="E1051" t="s">
        <v>6649</v>
      </c>
      <c r="F1051" t="s">
        <v>6650</v>
      </c>
      <c r="G1051" t="s">
        <v>6651</v>
      </c>
      <c r="H1051" t="s">
        <v>6652</v>
      </c>
      <c r="I1051" t="s">
        <v>6653</v>
      </c>
      <c r="J1051" t="s">
        <v>6648</v>
      </c>
      <c r="K1051" t="s">
        <v>6654</v>
      </c>
      <c r="L1051" t="s">
        <v>6648</v>
      </c>
    </row>
    <row r="1052" spans="1:12" x14ac:dyDescent="0.25">
      <c r="A1052">
        <v>326015</v>
      </c>
      <c r="B1052">
        <v>326036</v>
      </c>
      <c r="D1052">
        <v>0</v>
      </c>
      <c r="F1052">
        <v>336983</v>
      </c>
      <c r="G1052">
        <v>326036</v>
      </c>
      <c r="H1052" t="s">
        <v>1599</v>
      </c>
      <c r="I1052">
        <v>326015</v>
      </c>
      <c r="J1052" t="s">
        <v>1599</v>
      </c>
      <c r="K1052" t="s">
        <v>6655</v>
      </c>
      <c r="L1052" t="s">
        <v>1599</v>
      </c>
    </row>
    <row r="1053" spans="1:12" x14ac:dyDescent="0.25">
      <c r="A1053">
        <v>326015</v>
      </c>
      <c r="B1053">
        <v>326236</v>
      </c>
      <c r="D1053">
        <v>0</v>
      </c>
      <c r="E1053" t="s">
        <v>6657</v>
      </c>
      <c r="F1053" t="s">
        <v>6658</v>
      </c>
      <c r="G1053" t="s">
        <v>6659</v>
      </c>
      <c r="H1053" t="s">
        <v>6660</v>
      </c>
      <c r="I1053" t="s">
        <v>6661</v>
      </c>
      <c r="J1053" t="s">
        <v>6656</v>
      </c>
      <c r="K1053" t="s">
        <v>6662</v>
      </c>
      <c r="L1053" t="s">
        <v>6656</v>
      </c>
    </row>
    <row r="1054" spans="1:12" x14ac:dyDescent="0.25">
      <c r="A1054">
        <v>326021</v>
      </c>
      <c r="B1054">
        <v>326302</v>
      </c>
      <c r="D1054">
        <v>0</v>
      </c>
      <c r="E1054" t="s">
        <v>6664</v>
      </c>
      <c r="F1054" t="s">
        <v>6665</v>
      </c>
      <c r="G1054" t="s">
        <v>6666</v>
      </c>
      <c r="H1054" t="s">
        <v>6667</v>
      </c>
      <c r="I1054" t="s">
        <v>6668</v>
      </c>
      <c r="J1054" t="s">
        <v>6669</v>
      </c>
      <c r="K1054" t="s">
        <v>6670</v>
      </c>
      <c r="L1054" t="s">
        <v>6663</v>
      </c>
    </row>
    <row r="1055" spans="1:12" x14ac:dyDescent="0.25">
      <c r="A1055">
        <v>326036</v>
      </c>
      <c r="B1055">
        <v>326063</v>
      </c>
      <c r="D1055">
        <v>0</v>
      </c>
      <c r="F1055">
        <v>336991</v>
      </c>
      <c r="G1055">
        <v>326063</v>
      </c>
      <c r="H1055" t="s">
        <v>899</v>
      </c>
      <c r="I1055">
        <v>326036</v>
      </c>
      <c r="J1055" t="s">
        <v>899</v>
      </c>
      <c r="K1055" t="s">
        <v>6671</v>
      </c>
      <c r="L1055" t="s">
        <v>899</v>
      </c>
    </row>
    <row r="1056" spans="1:12" x14ac:dyDescent="0.25">
      <c r="A1056">
        <v>326036</v>
      </c>
      <c r="B1056">
        <v>326255</v>
      </c>
      <c r="D1056">
        <v>0</v>
      </c>
      <c r="E1056" t="s">
        <v>6673</v>
      </c>
      <c r="F1056" t="s">
        <v>6674</v>
      </c>
      <c r="G1056" t="s">
        <v>6675</v>
      </c>
      <c r="H1056" t="e" vm="476">
        <f>_FV(0,"0170056873801634")</f>
        <v>#VALUE!</v>
      </c>
      <c r="I1056" t="s">
        <v>6676</v>
      </c>
      <c r="J1056" t="s">
        <v>6677</v>
      </c>
      <c r="K1056" t="s">
        <v>6678</v>
      </c>
      <c r="L1056" t="s">
        <v>6672</v>
      </c>
    </row>
    <row r="1057" spans="1:12" x14ac:dyDescent="0.25">
      <c r="A1057">
        <v>326063</v>
      </c>
      <c r="B1057">
        <v>326236</v>
      </c>
      <c r="D1057">
        <v>0</v>
      </c>
      <c r="E1057" t="s">
        <v>6680</v>
      </c>
      <c r="F1057" t="s">
        <v>6681</v>
      </c>
      <c r="G1057" t="s">
        <v>6682</v>
      </c>
      <c r="H1057" t="e" vm="477">
        <f>_FV(0,"014052770831404614")</f>
        <v>#VALUE!</v>
      </c>
      <c r="I1057" t="s">
        <v>6683</v>
      </c>
      <c r="J1057" t="s">
        <v>6684</v>
      </c>
      <c r="K1057" t="s">
        <v>6685</v>
      </c>
      <c r="L1057" t="s">
        <v>6679</v>
      </c>
    </row>
    <row r="1058" spans="1:12" x14ac:dyDescent="0.25">
      <c r="A1058">
        <v>326063</v>
      </c>
      <c r="B1058">
        <v>326260</v>
      </c>
      <c r="D1058">
        <v>0</v>
      </c>
      <c r="E1058" t="s">
        <v>6687</v>
      </c>
      <c r="F1058" t="s">
        <v>6688</v>
      </c>
      <c r="G1058" t="s">
        <v>6689</v>
      </c>
      <c r="H1058" t="s">
        <v>6690</v>
      </c>
      <c r="I1058" t="s">
        <v>6691</v>
      </c>
      <c r="J1058" t="s">
        <v>6686</v>
      </c>
      <c r="K1058" t="s">
        <v>6692</v>
      </c>
      <c r="L1058" t="s">
        <v>6686</v>
      </c>
    </row>
    <row r="1059" spans="1:12" x14ac:dyDescent="0.25">
      <c r="A1059">
        <v>326074</v>
      </c>
      <c r="B1059">
        <v>326129</v>
      </c>
      <c r="D1059">
        <v>0</v>
      </c>
      <c r="E1059" t="s">
        <v>6694</v>
      </c>
      <c r="F1059" t="s">
        <v>6695</v>
      </c>
      <c r="G1059" t="s">
        <v>6696</v>
      </c>
      <c r="H1059" t="e" vm="478">
        <f>_FV(0,"10934609243330036")</f>
        <v>#VALUE!</v>
      </c>
      <c r="I1059" t="s">
        <v>6697</v>
      </c>
      <c r="J1059" t="s">
        <v>6698</v>
      </c>
      <c r="K1059" t="s">
        <v>6699</v>
      </c>
      <c r="L1059" t="s">
        <v>6693</v>
      </c>
    </row>
    <row r="1060" spans="1:12" x14ac:dyDescent="0.25">
      <c r="A1060">
        <v>326074</v>
      </c>
      <c r="B1060">
        <v>326403</v>
      </c>
      <c r="D1060">
        <v>0</v>
      </c>
      <c r="E1060" t="s">
        <v>6701</v>
      </c>
      <c r="F1060" t="s">
        <v>6702</v>
      </c>
      <c r="G1060" t="s">
        <v>6703</v>
      </c>
      <c r="H1060" t="e" vm="479">
        <f>_FV(0,"0316759264026097")</f>
        <v>#VALUE!</v>
      </c>
      <c r="I1060" t="s">
        <v>6704</v>
      </c>
      <c r="J1060" t="s">
        <v>6705</v>
      </c>
      <c r="K1060" t="s">
        <v>6706</v>
      </c>
      <c r="L1060" t="s">
        <v>6700</v>
      </c>
    </row>
    <row r="1061" spans="1:12" x14ac:dyDescent="0.25">
      <c r="A1061">
        <v>326129</v>
      </c>
      <c r="B1061">
        <v>326477</v>
      </c>
      <c r="D1061">
        <v>0</v>
      </c>
      <c r="E1061" t="s">
        <v>6708</v>
      </c>
      <c r="F1061" t="s">
        <v>6709</v>
      </c>
      <c r="G1061" t="s">
        <v>6710</v>
      </c>
      <c r="H1061" t="s">
        <v>6711</v>
      </c>
      <c r="I1061" t="s">
        <v>6712</v>
      </c>
      <c r="J1061" t="s">
        <v>6713</v>
      </c>
      <c r="K1061" t="s">
        <v>6714</v>
      </c>
      <c r="L1061" t="s">
        <v>6707</v>
      </c>
    </row>
    <row r="1062" spans="1:12" x14ac:dyDescent="0.25">
      <c r="A1062">
        <v>326196</v>
      </c>
      <c r="B1062">
        <v>326204</v>
      </c>
      <c r="D1062">
        <v>0</v>
      </c>
      <c r="E1062" t="s">
        <v>6715</v>
      </c>
      <c r="F1062" t="s">
        <v>6716</v>
      </c>
      <c r="G1062" t="s">
        <v>6717</v>
      </c>
      <c r="H1062" t="s">
        <v>6718</v>
      </c>
      <c r="I1062" t="s">
        <v>6719</v>
      </c>
      <c r="J1062" t="s">
        <v>2891</v>
      </c>
      <c r="K1062" t="s">
        <v>6720</v>
      </c>
      <c r="L1062" t="s">
        <v>2891</v>
      </c>
    </row>
    <row r="1063" spans="1:12" x14ac:dyDescent="0.25">
      <c r="A1063">
        <v>326196</v>
      </c>
      <c r="B1063">
        <v>326210</v>
      </c>
      <c r="D1063">
        <v>0</v>
      </c>
      <c r="E1063" t="s">
        <v>6722</v>
      </c>
      <c r="F1063" t="s">
        <v>6723</v>
      </c>
      <c r="G1063" t="s">
        <v>6724</v>
      </c>
      <c r="H1063" t="e" vm="480">
        <f>_FV(0,"017664395725147008")</f>
        <v>#VALUE!</v>
      </c>
      <c r="I1063" t="s">
        <v>6725</v>
      </c>
      <c r="J1063" t="s">
        <v>6726</v>
      </c>
      <c r="K1063" t="s">
        <v>6727</v>
      </c>
      <c r="L1063" t="s">
        <v>6721</v>
      </c>
    </row>
    <row r="1064" spans="1:12" x14ac:dyDescent="0.25">
      <c r="A1064">
        <v>326196</v>
      </c>
      <c r="B1064">
        <v>326543</v>
      </c>
      <c r="D1064">
        <v>0</v>
      </c>
      <c r="F1064">
        <v>337399</v>
      </c>
      <c r="G1064">
        <v>326196</v>
      </c>
      <c r="H1064" t="s">
        <v>761</v>
      </c>
      <c r="I1064">
        <v>326543</v>
      </c>
      <c r="J1064" t="s">
        <v>761</v>
      </c>
      <c r="K1064" t="s">
        <v>6728</v>
      </c>
      <c r="L1064" t="s">
        <v>761</v>
      </c>
    </row>
    <row r="1065" spans="1:12" x14ac:dyDescent="0.25">
      <c r="A1065">
        <v>326204</v>
      </c>
      <c r="B1065">
        <v>326210</v>
      </c>
      <c r="D1065">
        <v>0</v>
      </c>
      <c r="E1065" t="s">
        <v>6730</v>
      </c>
      <c r="F1065" t="s">
        <v>6731</v>
      </c>
      <c r="G1065" t="s">
        <v>6732</v>
      </c>
      <c r="H1065" t="s">
        <v>6733</v>
      </c>
      <c r="I1065" t="s">
        <v>6734</v>
      </c>
      <c r="J1065" t="s">
        <v>6729</v>
      </c>
      <c r="K1065" t="s">
        <v>6735</v>
      </c>
      <c r="L1065" t="s">
        <v>6729</v>
      </c>
    </row>
    <row r="1066" spans="1:12" x14ac:dyDescent="0.25">
      <c r="A1066">
        <v>326210</v>
      </c>
      <c r="B1066">
        <v>326570</v>
      </c>
      <c r="D1066">
        <v>0</v>
      </c>
      <c r="F1066">
        <v>337423</v>
      </c>
      <c r="G1066">
        <v>326570</v>
      </c>
      <c r="H1066" t="e" vm="481">
        <f>_FV(0,"029")</f>
        <v>#VALUE!</v>
      </c>
      <c r="I1066">
        <v>326210</v>
      </c>
      <c r="J1066" t="s">
        <v>5410</v>
      </c>
      <c r="K1066" t="s">
        <v>6736</v>
      </c>
      <c r="L1066" t="e" vm="481">
        <f>_FV(0,"029")</f>
        <v>#VALUE!</v>
      </c>
    </row>
    <row r="1067" spans="1:12" x14ac:dyDescent="0.25">
      <c r="A1067">
        <v>326255</v>
      </c>
      <c r="B1067">
        <v>326260</v>
      </c>
      <c r="D1067">
        <v>0</v>
      </c>
      <c r="F1067">
        <v>337050</v>
      </c>
      <c r="G1067">
        <v>326260</v>
      </c>
      <c r="H1067" t="s">
        <v>194</v>
      </c>
      <c r="I1067">
        <v>326255</v>
      </c>
      <c r="J1067" t="s">
        <v>194</v>
      </c>
      <c r="K1067" t="s">
        <v>6737</v>
      </c>
      <c r="L1067" t="s">
        <v>194</v>
      </c>
    </row>
    <row r="1068" spans="1:12" x14ac:dyDescent="0.25">
      <c r="A1068">
        <v>326255</v>
      </c>
      <c r="B1068">
        <v>326368</v>
      </c>
      <c r="C1068" t="s">
        <v>6739</v>
      </c>
      <c r="D1068">
        <v>0</v>
      </c>
      <c r="E1068" t="s">
        <v>6740</v>
      </c>
      <c r="F1068" t="s">
        <v>6741</v>
      </c>
      <c r="G1068" t="s">
        <v>6742</v>
      </c>
      <c r="H1068" t="s">
        <v>6743</v>
      </c>
      <c r="I1068" t="s">
        <v>6744</v>
      </c>
      <c r="J1068" t="s">
        <v>6745</v>
      </c>
      <c r="K1068" t="s">
        <v>6746</v>
      </c>
      <c r="L1068" t="s">
        <v>6738</v>
      </c>
    </row>
    <row r="1069" spans="1:12" x14ac:dyDescent="0.25">
      <c r="A1069">
        <v>326260</v>
      </c>
      <c r="B1069">
        <v>648163</v>
      </c>
      <c r="D1069" t="s">
        <v>6748</v>
      </c>
      <c r="E1069" t="s">
        <v>6749</v>
      </c>
      <c r="F1069" t="s">
        <v>6750</v>
      </c>
      <c r="G1069" t="s">
        <v>6751</v>
      </c>
      <c r="H1069" t="s">
        <v>6752</v>
      </c>
      <c r="I1069" t="s">
        <v>6753</v>
      </c>
      <c r="J1069" t="s">
        <v>6754</v>
      </c>
      <c r="K1069" t="s">
        <v>6755</v>
      </c>
      <c r="L1069" t="s">
        <v>6747</v>
      </c>
    </row>
    <row r="1070" spans="1:12" x14ac:dyDescent="0.25">
      <c r="A1070">
        <v>326281</v>
      </c>
      <c r="B1070">
        <v>326302</v>
      </c>
      <c r="D1070">
        <v>0</v>
      </c>
      <c r="E1070" t="s">
        <v>6757</v>
      </c>
      <c r="F1070" t="s">
        <v>6758</v>
      </c>
      <c r="G1070" t="s">
        <v>6759</v>
      </c>
      <c r="H1070" t="s">
        <v>6760</v>
      </c>
      <c r="I1070" t="s">
        <v>6761</v>
      </c>
      <c r="J1070" t="s">
        <v>6762</v>
      </c>
      <c r="K1070" t="s">
        <v>6763</v>
      </c>
      <c r="L1070" t="s">
        <v>6756</v>
      </c>
    </row>
    <row r="1071" spans="1:12" x14ac:dyDescent="0.25">
      <c r="A1071">
        <v>326281</v>
      </c>
      <c r="B1071">
        <v>326447</v>
      </c>
      <c r="D1071">
        <v>0</v>
      </c>
      <c r="E1071" t="s">
        <v>6765</v>
      </c>
      <c r="F1071" t="s">
        <v>6766</v>
      </c>
      <c r="G1071" t="s">
        <v>6767</v>
      </c>
      <c r="H1071" t="s">
        <v>6768</v>
      </c>
      <c r="I1071" t="s">
        <v>6769</v>
      </c>
      <c r="J1071" t="s">
        <v>6770</v>
      </c>
      <c r="K1071" t="s">
        <v>6771</v>
      </c>
      <c r="L1071" t="s">
        <v>6764</v>
      </c>
    </row>
    <row r="1072" spans="1:12" x14ac:dyDescent="0.25">
      <c r="A1072">
        <v>326302</v>
      </c>
      <c r="B1072">
        <v>1797387</v>
      </c>
      <c r="D1072" t="s">
        <v>6773</v>
      </c>
      <c r="E1072" t="s">
        <v>6774</v>
      </c>
      <c r="F1072" t="s">
        <v>6775</v>
      </c>
      <c r="G1072" t="s">
        <v>6776</v>
      </c>
      <c r="H1072" t="s">
        <v>6777</v>
      </c>
      <c r="I1072" t="s">
        <v>6778</v>
      </c>
      <c r="J1072" t="s">
        <v>6779</v>
      </c>
      <c r="K1072" t="s">
        <v>6780</v>
      </c>
      <c r="L1072" t="s">
        <v>6772</v>
      </c>
    </row>
    <row r="1073" spans="1:12" x14ac:dyDescent="0.25">
      <c r="A1073">
        <v>326335</v>
      </c>
      <c r="B1073">
        <v>326400</v>
      </c>
      <c r="D1073">
        <v>0</v>
      </c>
      <c r="F1073">
        <v>337234</v>
      </c>
      <c r="G1073">
        <v>326400</v>
      </c>
      <c r="H1073" t="s">
        <v>1814</v>
      </c>
      <c r="I1073">
        <v>326335</v>
      </c>
      <c r="J1073" t="s">
        <v>1814</v>
      </c>
      <c r="K1073" t="s">
        <v>6781</v>
      </c>
      <c r="L1073" t="s">
        <v>1814</v>
      </c>
    </row>
    <row r="1074" spans="1:12" x14ac:dyDescent="0.25">
      <c r="A1074">
        <v>326335</v>
      </c>
      <c r="B1074">
        <v>326339</v>
      </c>
      <c r="D1074">
        <v>0</v>
      </c>
      <c r="E1074" t="s">
        <v>6783</v>
      </c>
      <c r="F1074" t="s">
        <v>6784</v>
      </c>
      <c r="G1074" t="s">
        <v>6785</v>
      </c>
      <c r="H1074" t="e" vm="482">
        <f>_FV(0,"0034935265618713076")</f>
        <v>#VALUE!</v>
      </c>
      <c r="I1074" t="s">
        <v>6786</v>
      </c>
      <c r="J1074" t="s">
        <v>6787</v>
      </c>
      <c r="K1074" t="s">
        <v>6788</v>
      </c>
      <c r="L1074" t="s">
        <v>6782</v>
      </c>
    </row>
    <row r="1075" spans="1:12" x14ac:dyDescent="0.25">
      <c r="A1075">
        <v>326339</v>
      </c>
      <c r="B1075">
        <v>326368</v>
      </c>
      <c r="D1075">
        <v>0</v>
      </c>
      <c r="E1075" t="s">
        <v>6790</v>
      </c>
      <c r="F1075" t="s">
        <v>6791</v>
      </c>
      <c r="G1075" t="s">
        <v>6792</v>
      </c>
      <c r="H1075" t="e" vm="483">
        <f>_FV(0,"009922708489609683")</f>
        <v>#VALUE!</v>
      </c>
      <c r="I1075" t="s">
        <v>6793</v>
      </c>
      <c r="J1075" t="s">
        <v>6794</v>
      </c>
      <c r="K1075" t="s">
        <v>6795</v>
      </c>
      <c r="L1075" t="s">
        <v>6789</v>
      </c>
    </row>
    <row r="1076" spans="1:12" x14ac:dyDescent="0.25">
      <c r="A1076">
        <v>326339</v>
      </c>
      <c r="B1076">
        <v>326635</v>
      </c>
      <c r="D1076">
        <v>0</v>
      </c>
      <c r="E1076" t="s">
        <v>6797</v>
      </c>
      <c r="F1076" t="s">
        <v>6798</v>
      </c>
      <c r="G1076" t="s">
        <v>6799</v>
      </c>
      <c r="H1076" t="s">
        <v>6800</v>
      </c>
      <c r="I1076" t="s">
        <v>6801</v>
      </c>
      <c r="J1076" t="s">
        <v>6802</v>
      </c>
      <c r="K1076" t="s">
        <v>6803</v>
      </c>
      <c r="L1076" t="s">
        <v>6796</v>
      </c>
    </row>
    <row r="1077" spans="1:12" x14ac:dyDescent="0.25">
      <c r="A1077">
        <v>326368</v>
      </c>
      <c r="B1077">
        <v>326643</v>
      </c>
      <c r="D1077">
        <v>0</v>
      </c>
      <c r="E1077" t="s">
        <v>6805</v>
      </c>
      <c r="F1077" t="s">
        <v>6806</v>
      </c>
      <c r="G1077" t="s">
        <v>6807</v>
      </c>
      <c r="H1077" t="s">
        <v>6808</v>
      </c>
      <c r="I1077" t="s">
        <v>6809</v>
      </c>
      <c r="J1077" t="s">
        <v>6810</v>
      </c>
      <c r="K1077" t="s">
        <v>6811</v>
      </c>
      <c r="L1077" t="s">
        <v>6804</v>
      </c>
    </row>
    <row r="1078" spans="1:12" x14ac:dyDescent="0.25">
      <c r="A1078">
        <v>326400</v>
      </c>
      <c r="B1078">
        <v>326447</v>
      </c>
      <c r="D1078">
        <v>0</v>
      </c>
      <c r="E1078" t="s">
        <v>6813</v>
      </c>
      <c r="F1078" t="s">
        <v>6814</v>
      </c>
      <c r="G1078" t="s">
        <v>6815</v>
      </c>
      <c r="H1078" t="e" vm="484">
        <f>_FV(0,"012852989537745602")</f>
        <v>#VALUE!</v>
      </c>
      <c r="I1078" t="s">
        <v>6816</v>
      </c>
      <c r="J1078" t="s">
        <v>6817</v>
      </c>
      <c r="K1078" t="s">
        <v>6818</v>
      </c>
      <c r="L1078" t="s">
        <v>6812</v>
      </c>
    </row>
    <row r="1079" spans="1:12" x14ac:dyDescent="0.25">
      <c r="A1079">
        <v>326400</v>
      </c>
      <c r="B1079">
        <v>326570</v>
      </c>
      <c r="D1079">
        <v>0</v>
      </c>
      <c r="E1079" t="s">
        <v>6820</v>
      </c>
      <c r="F1079" t="s">
        <v>6821</v>
      </c>
      <c r="G1079" t="s">
        <v>6822</v>
      </c>
      <c r="H1079" t="e" vm="485">
        <f>_FV(0,"021092161757253796")</f>
        <v>#VALUE!</v>
      </c>
      <c r="I1079" t="s">
        <v>6823</v>
      </c>
      <c r="J1079" t="s">
        <v>6824</v>
      </c>
      <c r="K1079" t="s">
        <v>6825</v>
      </c>
      <c r="L1079" t="s">
        <v>6819</v>
      </c>
    </row>
    <row r="1080" spans="1:12" x14ac:dyDescent="0.25">
      <c r="A1080">
        <v>326403</v>
      </c>
      <c r="B1080">
        <v>326477</v>
      </c>
      <c r="D1080">
        <v>0</v>
      </c>
      <c r="E1080" t="s">
        <v>6827</v>
      </c>
      <c r="F1080" t="s">
        <v>6828</v>
      </c>
      <c r="G1080" t="s">
        <v>6829</v>
      </c>
      <c r="H1080" t="s">
        <v>6830</v>
      </c>
      <c r="I1080" t="s">
        <v>6831</v>
      </c>
      <c r="J1080" t="s">
        <v>6826</v>
      </c>
      <c r="K1080" t="s">
        <v>6832</v>
      </c>
      <c r="L1080" t="s">
        <v>6826</v>
      </c>
    </row>
    <row r="1081" spans="1:12" x14ac:dyDescent="0.25">
      <c r="A1081">
        <v>326403</v>
      </c>
      <c r="B1081">
        <v>1797401</v>
      </c>
      <c r="D1081" t="s">
        <v>6834</v>
      </c>
      <c r="E1081" t="s">
        <v>6835</v>
      </c>
      <c r="F1081" t="s">
        <v>6836</v>
      </c>
      <c r="G1081" t="s">
        <v>6837</v>
      </c>
      <c r="H1081" t="s">
        <v>6838</v>
      </c>
      <c r="I1081" t="s">
        <v>6839</v>
      </c>
      <c r="J1081" t="s">
        <v>6840</v>
      </c>
      <c r="K1081" t="s">
        <v>6841</v>
      </c>
      <c r="L1081" t="s">
        <v>6833</v>
      </c>
    </row>
    <row r="1082" spans="1:12" x14ac:dyDescent="0.25">
      <c r="A1082">
        <v>326447</v>
      </c>
      <c r="B1082">
        <v>326543</v>
      </c>
      <c r="D1082">
        <v>0</v>
      </c>
      <c r="E1082" t="s">
        <v>6843</v>
      </c>
      <c r="F1082" t="s">
        <v>6844</v>
      </c>
      <c r="G1082" t="s">
        <v>6845</v>
      </c>
      <c r="H1082" t="e" vm="486">
        <f>_FV(0,"008610369959879342")</f>
        <v>#VALUE!</v>
      </c>
      <c r="I1082" t="s">
        <v>6846</v>
      </c>
      <c r="J1082" t="s">
        <v>6847</v>
      </c>
      <c r="K1082" t="s">
        <v>6848</v>
      </c>
      <c r="L1082" t="s">
        <v>6842</v>
      </c>
    </row>
    <row r="1083" spans="1:12" x14ac:dyDescent="0.25">
      <c r="A1083">
        <v>326477</v>
      </c>
      <c r="B1083">
        <v>648172</v>
      </c>
      <c r="C1083" t="s">
        <v>6850</v>
      </c>
      <c r="D1083" t="s">
        <v>6851</v>
      </c>
      <c r="E1083" t="s">
        <v>6852</v>
      </c>
      <c r="F1083" t="s">
        <v>6853</v>
      </c>
      <c r="G1083" t="s">
        <v>6854</v>
      </c>
      <c r="H1083" t="e" vm="487">
        <f>_FV(0,"000660416296490495")</f>
        <v>#VALUE!</v>
      </c>
      <c r="I1083" t="s">
        <v>6855</v>
      </c>
      <c r="J1083" t="s">
        <v>6856</v>
      </c>
      <c r="K1083" t="s">
        <v>6857</v>
      </c>
      <c r="L1083" t="s">
        <v>6849</v>
      </c>
    </row>
    <row r="1084" spans="1:12" x14ac:dyDescent="0.25">
      <c r="A1084">
        <v>326543</v>
      </c>
      <c r="B1084">
        <v>326570</v>
      </c>
      <c r="D1084">
        <v>0</v>
      </c>
      <c r="E1084" t="s">
        <v>6859</v>
      </c>
      <c r="F1084" t="s">
        <v>6860</v>
      </c>
      <c r="G1084" t="s">
        <v>6861</v>
      </c>
      <c r="H1084" t="s">
        <v>6862</v>
      </c>
      <c r="I1084" t="s">
        <v>6863</v>
      </c>
      <c r="J1084" t="s">
        <v>6864</v>
      </c>
      <c r="K1084" t="s">
        <v>6865</v>
      </c>
      <c r="L1084" t="s">
        <v>6858</v>
      </c>
    </row>
    <row r="1085" spans="1:12" x14ac:dyDescent="0.25">
      <c r="A1085">
        <v>326635</v>
      </c>
      <c r="B1085">
        <v>326643</v>
      </c>
      <c r="D1085">
        <v>0</v>
      </c>
      <c r="F1085">
        <v>337495</v>
      </c>
      <c r="G1085">
        <v>326643</v>
      </c>
      <c r="H1085" t="e" vm="488">
        <f>_FV(0,"047")</f>
        <v>#VALUE!</v>
      </c>
      <c r="I1085">
        <v>326635</v>
      </c>
      <c r="J1085" t="s">
        <v>2292</v>
      </c>
      <c r="K1085" t="s">
        <v>6866</v>
      </c>
      <c r="L1085" t="e" vm="488">
        <f>_FV(0,"047")</f>
        <v>#VALUE!</v>
      </c>
    </row>
    <row r="1086" spans="1:12" x14ac:dyDescent="0.25">
      <c r="A1086">
        <v>327985</v>
      </c>
      <c r="B1086">
        <v>328318</v>
      </c>
      <c r="D1086">
        <v>0</v>
      </c>
      <c r="F1086">
        <v>339652</v>
      </c>
      <c r="G1086">
        <v>328318</v>
      </c>
      <c r="H1086" t="s">
        <v>239</v>
      </c>
      <c r="I1086">
        <v>327985</v>
      </c>
      <c r="J1086" t="s">
        <v>239</v>
      </c>
      <c r="K1086" t="s">
        <v>6867</v>
      </c>
      <c r="L1086" t="s">
        <v>239</v>
      </c>
    </row>
    <row r="1087" spans="1:12" x14ac:dyDescent="0.25">
      <c r="A1087">
        <v>327985</v>
      </c>
      <c r="B1087">
        <v>328004</v>
      </c>
      <c r="D1087">
        <v>0</v>
      </c>
      <c r="E1087" t="s">
        <v>6869</v>
      </c>
      <c r="F1087" t="s">
        <v>6870</v>
      </c>
      <c r="G1087" t="s">
        <v>6871</v>
      </c>
      <c r="H1087" t="s">
        <v>6872</v>
      </c>
      <c r="I1087" t="s">
        <v>6873</v>
      </c>
      <c r="J1087" t="s">
        <v>6874</v>
      </c>
      <c r="K1087" t="s">
        <v>6875</v>
      </c>
      <c r="L1087" t="s">
        <v>6868</v>
      </c>
    </row>
    <row r="1088" spans="1:12" x14ac:dyDescent="0.25">
      <c r="A1088">
        <v>327985</v>
      </c>
      <c r="B1088">
        <v>328198</v>
      </c>
      <c r="D1088">
        <v>0</v>
      </c>
      <c r="E1088" t="s">
        <v>6877</v>
      </c>
      <c r="F1088" t="s">
        <v>6878</v>
      </c>
      <c r="G1088" t="s">
        <v>6879</v>
      </c>
      <c r="H1088" t="e" vm="489">
        <f>_FV(0,"0028949228251643993")</f>
        <v>#VALUE!</v>
      </c>
      <c r="I1088" t="s">
        <v>6880</v>
      </c>
      <c r="J1088" t="s">
        <v>6881</v>
      </c>
      <c r="K1088" t="s">
        <v>6882</v>
      </c>
      <c r="L1088" t="s">
        <v>6876</v>
      </c>
    </row>
    <row r="1089" spans="1:12" x14ac:dyDescent="0.25">
      <c r="A1089">
        <v>327985</v>
      </c>
      <c r="B1089">
        <v>328043</v>
      </c>
      <c r="D1089">
        <v>1</v>
      </c>
      <c r="F1089">
        <v>338924</v>
      </c>
      <c r="G1089">
        <v>327985</v>
      </c>
      <c r="H1089" t="e" vm="47">
        <f>_FV(0,"016")</f>
        <v>#VALUE!</v>
      </c>
      <c r="I1089">
        <v>328043</v>
      </c>
      <c r="J1089" t="s">
        <v>737</v>
      </c>
      <c r="K1089" t="s">
        <v>6883</v>
      </c>
      <c r="L1089" t="e" vm="47">
        <f>_FV(0,"016")</f>
        <v>#VALUE!</v>
      </c>
    </row>
    <row r="1090" spans="1:12" x14ac:dyDescent="0.25">
      <c r="A1090">
        <v>328004</v>
      </c>
      <c r="B1090">
        <v>328308</v>
      </c>
      <c r="C1090" t="s">
        <v>6885</v>
      </c>
      <c r="D1090" t="s">
        <v>6886</v>
      </c>
      <c r="E1090" t="s">
        <v>6887</v>
      </c>
      <c r="F1090" t="s">
        <v>6888</v>
      </c>
      <c r="G1090" t="s">
        <v>6889</v>
      </c>
      <c r="H1090" t="s">
        <v>6890</v>
      </c>
      <c r="I1090" t="s">
        <v>6891</v>
      </c>
      <c r="J1090" t="s">
        <v>6892</v>
      </c>
      <c r="K1090" t="s">
        <v>6893</v>
      </c>
      <c r="L1090" t="s">
        <v>6884</v>
      </c>
    </row>
    <row r="1091" spans="1:12" x14ac:dyDescent="0.25">
      <c r="A1091">
        <v>328004</v>
      </c>
      <c r="B1091">
        <v>328207</v>
      </c>
      <c r="D1091">
        <v>0</v>
      </c>
      <c r="E1091" t="s">
        <v>6895</v>
      </c>
      <c r="F1091" t="s">
        <v>6896</v>
      </c>
      <c r="G1091" t="s">
        <v>6897</v>
      </c>
      <c r="H1091" t="e" vm="490">
        <f>_FV(0,"0032013934697060617")</f>
        <v>#VALUE!</v>
      </c>
      <c r="I1091" t="s">
        <v>6898</v>
      </c>
      <c r="J1091" t="s">
        <v>6899</v>
      </c>
      <c r="K1091" t="s">
        <v>6900</v>
      </c>
      <c r="L1091" t="s">
        <v>6894</v>
      </c>
    </row>
    <row r="1092" spans="1:12" x14ac:dyDescent="0.25">
      <c r="A1092">
        <v>328043</v>
      </c>
      <c r="B1092">
        <v>328199</v>
      </c>
      <c r="D1092" t="s">
        <v>6902</v>
      </c>
      <c r="E1092" t="s">
        <v>6903</v>
      </c>
      <c r="F1092" t="s">
        <v>6904</v>
      </c>
      <c r="G1092" t="s">
        <v>6905</v>
      </c>
      <c r="H1092" t="s">
        <v>6906</v>
      </c>
      <c r="I1092" t="s">
        <v>6907</v>
      </c>
      <c r="J1092" t="s">
        <v>6908</v>
      </c>
      <c r="K1092" t="s">
        <v>6909</v>
      </c>
      <c r="L1092" t="s">
        <v>6901</v>
      </c>
    </row>
    <row r="1093" spans="1:12" x14ac:dyDescent="0.25">
      <c r="A1093">
        <v>328043</v>
      </c>
      <c r="B1093">
        <v>328697</v>
      </c>
      <c r="C1093" t="s">
        <v>6911</v>
      </c>
      <c r="D1093" t="s">
        <v>6912</v>
      </c>
      <c r="E1093" t="s">
        <v>6913</v>
      </c>
      <c r="F1093" t="s">
        <v>6914</v>
      </c>
      <c r="G1093" t="s">
        <v>6915</v>
      </c>
      <c r="H1093" t="e" vm="491">
        <f>_FV(0,"025456014046076142")</f>
        <v>#VALUE!</v>
      </c>
      <c r="I1093" t="s">
        <v>6916</v>
      </c>
      <c r="J1093" t="s">
        <v>6917</v>
      </c>
      <c r="K1093" t="s">
        <v>6918</v>
      </c>
      <c r="L1093" t="s">
        <v>6910</v>
      </c>
    </row>
    <row r="1094" spans="1:12" x14ac:dyDescent="0.25">
      <c r="A1094">
        <v>328068</v>
      </c>
      <c r="B1094">
        <v>328308</v>
      </c>
      <c r="D1094">
        <v>0</v>
      </c>
      <c r="E1094" t="s">
        <v>6920</v>
      </c>
      <c r="F1094" t="s">
        <v>6921</v>
      </c>
      <c r="G1094" t="s">
        <v>6922</v>
      </c>
      <c r="H1094" t="s">
        <v>6923</v>
      </c>
      <c r="I1094" t="s">
        <v>6924</v>
      </c>
      <c r="J1094" t="s">
        <v>6919</v>
      </c>
      <c r="K1094" t="s">
        <v>6925</v>
      </c>
      <c r="L1094" t="s">
        <v>6919</v>
      </c>
    </row>
    <row r="1095" spans="1:12" x14ac:dyDescent="0.25">
      <c r="A1095">
        <v>328121</v>
      </c>
      <c r="B1095">
        <v>328198</v>
      </c>
      <c r="D1095">
        <v>0</v>
      </c>
      <c r="F1095">
        <v>339150</v>
      </c>
      <c r="G1095">
        <v>328198</v>
      </c>
      <c r="H1095" t="s">
        <v>922</v>
      </c>
      <c r="I1095">
        <v>328121</v>
      </c>
      <c r="J1095" t="s">
        <v>922</v>
      </c>
      <c r="K1095" t="s">
        <v>6926</v>
      </c>
      <c r="L1095" t="s">
        <v>922</v>
      </c>
    </row>
    <row r="1096" spans="1:12" x14ac:dyDescent="0.25">
      <c r="A1096">
        <v>328121</v>
      </c>
      <c r="B1096">
        <v>328318</v>
      </c>
      <c r="D1096">
        <v>0</v>
      </c>
      <c r="E1096" t="s">
        <v>6928</v>
      </c>
      <c r="F1096" t="s">
        <v>6929</v>
      </c>
      <c r="G1096" t="s">
        <v>6930</v>
      </c>
      <c r="H1096" t="s">
        <v>6931</v>
      </c>
      <c r="I1096" t="s">
        <v>6932</v>
      </c>
      <c r="J1096" t="s">
        <v>6933</v>
      </c>
      <c r="K1096" t="s">
        <v>6934</v>
      </c>
      <c r="L1096" t="s">
        <v>6927</v>
      </c>
    </row>
    <row r="1097" spans="1:12" x14ac:dyDescent="0.25">
      <c r="A1097">
        <v>328121</v>
      </c>
      <c r="B1097">
        <v>328207</v>
      </c>
      <c r="D1097">
        <v>0</v>
      </c>
      <c r="E1097" t="s">
        <v>6936</v>
      </c>
      <c r="F1097" t="s">
        <v>6937</v>
      </c>
      <c r="G1097" t="s">
        <v>6938</v>
      </c>
      <c r="H1097" t="e" vm="492">
        <f>_FV(0,"004845987894988095")</f>
        <v>#VALUE!</v>
      </c>
      <c r="I1097" t="s">
        <v>6939</v>
      </c>
      <c r="J1097" t="s">
        <v>6940</v>
      </c>
      <c r="K1097" t="s">
        <v>6941</v>
      </c>
      <c r="L1097" t="s">
        <v>6935</v>
      </c>
    </row>
    <row r="1098" spans="1:12" x14ac:dyDescent="0.25">
      <c r="A1098">
        <v>328160</v>
      </c>
      <c r="B1098">
        <v>328242</v>
      </c>
      <c r="D1098">
        <v>0</v>
      </c>
      <c r="F1098">
        <v>339308</v>
      </c>
      <c r="G1098">
        <v>328242</v>
      </c>
      <c r="H1098" t="s">
        <v>697</v>
      </c>
      <c r="I1098">
        <v>328160</v>
      </c>
      <c r="J1098" t="s">
        <v>697</v>
      </c>
      <c r="K1098" t="s">
        <v>6942</v>
      </c>
      <c r="L1098" t="s">
        <v>697</v>
      </c>
    </row>
    <row r="1099" spans="1:12" x14ac:dyDescent="0.25">
      <c r="A1099">
        <v>328160</v>
      </c>
      <c r="B1099">
        <v>329309</v>
      </c>
      <c r="D1099">
        <v>0</v>
      </c>
      <c r="E1099" t="s">
        <v>6944</v>
      </c>
      <c r="F1099" t="s">
        <v>6945</v>
      </c>
      <c r="G1099" t="s">
        <v>6946</v>
      </c>
      <c r="H1099" t="s">
        <v>6947</v>
      </c>
      <c r="I1099" t="s">
        <v>6948</v>
      </c>
      <c r="J1099" t="s">
        <v>6949</v>
      </c>
      <c r="K1099" t="s">
        <v>6950</v>
      </c>
      <c r="L1099" t="s">
        <v>6943</v>
      </c>
    </row>
    <row r="1100" spans="1:12" x14ac:dyDescent="0.25">
      <c r="A1100">
        <v>328160</v>
      </c>
      <c r="B1100">
        <v>328350</v>
      </c>
      <c r="D1100">
        <v>0</v>
      </c>
      <c r="E1100" t="s">
        <v>6952</v>
      </c>
      <c r="F1100" t="s">
        <v>6953</v>
      </c>
      <c r="G1100" t="s">
        <v>6954</v>
      </c>
      <c r="H1100" t="s">
        <v>6955</v>
      </c>
      <c r="I1100" t="s">
        <v>6956</v>
      </c>
      <c r="J1100" t="s">
        <v>6957</v>
      </c>
      <c r="K1100" t="s">
        <v>6958</v>
      </c>
      <c r="L1100" t="s">
        <v>6951</v>
      </c>
    </row>
    <row r="1101" spans="1:12" x14ac:dyDescent="0.25">
      <c r="A1101">
        <v>328195</v>
      </c>
      <c r="B1101">
        <v>328196</v>
      </c>
      <c r="D1101">
        <v>1</v>
      </c>
      <c r="F1101">
        <v>339100</v>
      </c>
      <c r="G1101">
        <v>328196</v>
      </c>
      <c r="H1101" t="e" vm="493">
        <f>_FV(0,"025")</f>
        <v>#VALUE!</v>
      </c>
      <c r="I1101">
        <v>328195</v>
      </c>
      <c r="J1101" t="s">
        <v>899</v>
      </c>
      <c r="K1101" t="s">
        <v>6959</v>
      </c>
      <c r="L1101" t="e" vm="493">
        <f>_FV(0,"025")</f>
        <v>#VALUE!</v>
      </c>
    </row>
    <row r="1102" spans="1:12" x14ac:dyDescent="0.25">
      <c r="A1102">
        <v>328195</v>
      </c>
      <c r="B1102">
        <v>329055</v>
      </c>
      <c r="D1102">
        <v>0</v>
      </c>
      <c r="E1102" t="s">
        <v>6960</v>
      </c>
      <c r="F1102" t="s">
        <v>6961</v>
      </c>
      <c r="G1102" t="s">
        <v>6962</v>
      </c>
      <c r="H1102" t="e" vm="102">
        <f>_FV(0,"034")</f>
        <v>#VALUE!</v>
      </c>
      <c r="I1102" t="s">
        <v>6963</v>
      </c>
      <c r="J1102" t="s">
        <v>1599</v>
      </c>
      <c r="K1102" t="s">
        <v>6964</v>
      </c>
      <c r="L1102" t="e" vm="102">
        <f>_FV(0,"034")</f>
        <v>#VALUE!</v>
      </c>
    </row>
    <row r="1103" spans="1:12" x14ac:dyDescent="0.25">
      <c r="A1103">
        <v>328195</v>
      </c>
      <c r="B1103">
        <v>329068</v>
      </c>
      <c r="D1103">
        <v>0</v>
      </c>
      <c r="E1103" t="s">
        <v>6966</v>
      </c>
      <c r="F1103" t="s">
        <v>6967</v>
      </c>
      <c r="G1103" t="s">
        <v>6968</v>
      </c>
      <c r="H1103" t="e" vm="494">
        <f>_FV(0,"009530111734250299")</f>
        <v>#VALUE!</v>
      </c>
      <c r="I1103" t="s">
        <v>6969</v>
      </c>
      <c r="J1103" t="s">
        <v>6970</v>
      </c>
      <c r="K1103" t="s">
        <v>6971</v>
      </c>
      <c r="L1103" t="s">
        <v>6965</v>
      </c>
    </row>
    <row r="1104" spans="1:12" x14ac:dyDescent="0.25">
      <c r="A1104">
        <v>328196</v>
      </c>
      <c r="B1104">
        <v>328242</v>
      </c>
      <c r="D1104">
        <v>0</v>
      </c>
      <c r="E1104" t="s">
        <v>6973</v>
      </c>
      <c r="F1104" t="s">
        <v>6974</v>
      </c>
      <c r="G1104" t="s">
        <v>6975</v>
      </c>
      <c r="H1104" t="e" vm="495">
        <f>_FV(0,"012419101269734051")</f>
        <v>#VALUE!</v>
      </c>
      <c r="I1104" t="s">
        <v>6976</v>
      </c>
      <c r="J1104" t="s">
        <v>6977</v>
      </c>
      <c r="K1104" t="s">
        <v>6978</v>
      </c>
      <c r="L1104" t="s">
        <v>6972</v>
      </c>
    </row>
    <row r="1105" spans="1:12" x14ac:dyDescent="0.25">
      <c r="A1105">
        <v>328196</v>
      </c>
      <c r="B1105">
        <v>328257</v>
      </c>
      <c r="D1105">
        <v>0</v>
      </c>
      <c r="E1105" t="s">
        <v>6980</v>
      </c>
      <c r="F1105" t="s">
        <v>6981</v>
      </c>
      <c r="G1105" t="s">
        <v>6982</v>
      </c>
      <c r="H1105" t="e" vm="496">
        <f>_FV(0,"03575625810407733")</f>
        <v>#VALUE!</v>
      </c>
      <c r="I1105" t="s">
        <v>6983</v>
      </c>
      <c r="J1105" t="s">
        <v>5328</v>
      </c>
      <c r="K1105" t="s">
        <v>6984</v>
      </c>
      <c r="L1105" t="s">
        <v>6979</v>
      </c>
    </row>
    <row r="1106" spans="1:12" x14ac:dyDescent="0.25">
      <c r="A1106">
        <v>328198</v>
      </c>
      <c r="B1106">
        <v>328199</v>
      </c>
      <c r="D1106">
        <v>0</v>
      </c>
      <c r="F1106">
        <v>339102</v>
      </c>
      <c r="G1106">
        <v>328199</v>
      </c>
      <c r="H1106" t="s">
        <v>194</v>
      </c>
      <c r="I1106">
        <v>328198</v>
      </c>
      <c r="J1106" t="s">
        <v>194</v>
      </c>
      <c r="K1106" t="s">
        <v>6985</v>
      </c>
      <c r="L1106" t="s">
        <v>194</v>
      </c>
    </row>
    <row r="1107" spans="1:12" x14ac:dyDescent="0.25">
      <c r="A1107">
        <v>328199</v>
      </c>
      <c r="B1107">
        <v>328207</v>
      </c>
      <c r="D1107">
        <v>0</v>
      </c>
      <c r="F1107">
        <v>339110</v>
      </c>
      <c r="G1107">
        <v>328207</v>
      </c>
      <c r="H1107" t="e" vm="350">
        <f>_FV(0,"009")</f>
        <v>#VALUE!</v>
      </c>
      <c r="I1107">
        <v>328199</v>
      </c>
      <c r="J1107" t="s">
        <v>2068</v>
      </c>
      <c r="K1107" t="s">
        <v>6986</v>
      </c>
      <c r="L1107" t="e" vm="350">
        <f>_FV(0,"009")</f>
        <v>#VALUE!</v>
      </c>
    </row>
    <row r="1108" spans="1:12" x14ac:dyDescent="0.25">
      <c r="A1108">
        <v>328242</v>
      </c>
      <c r="B1108">
        <v>328257</v>
      </c>
      <c r="D1108">
        <v>0</v>
      </c>
      <c r="E1108" t="s">
        <v>6988</v>
      </c>
      <c r="F1108" t="s">
        <v>6989</v>
      </c>
      <c r="G1108" t="s">
        <v>6990</v>
      </c>
      <c r="H1108" t="e" vm="497">
        <f>_FV(0,"028190393213027586")</f>
        <v>#VALUE!</v>
      </c>
      <c r="I1108" t="s">
        <v>6991</v>
      </c>
      <c r="J1108" t="s">
        <v>6992</v>
      </c>
      <c r="K1108" t="s">
        <v>6993</v>
      </c>
      <c r="L1108" t="s">
        <v>6987</v>
      </c>
    </row>
    <row r="1109" spans="1:12" x14ac:dyDescent="0.25">
      <c r="A1109">
        <v>328257</v>
      </c>
      <c r="B1109">
        <v>328350</v>
      </c>
      <c r="D1109">
        <v>0</v>
      </c>
      <c r="F1109">
        <v>339268</v>
      </c>
      <c r="G1109">
        <v>328350</v>
      </c>
      <c r="H1109" t="e" vm="498">
        <f>_FV(0,"037")</f>
        <v>#VALUE!</v>
      </c>
      <c r="I1109">
        <v>328257</v>
      </c>
      <c r="J1109" t="s">
        <v>1589</v>
      </c>
      <c r="K1109" t="s">
        <v>6994</v>
      </c>
      <c r="L1109" t="e" vm="498">
        <f>_FV(0,"037")</f>
        <v>#VALUE!</v>
      </c>
    </row>
    <row r="1110" spans="1:12" x14ac:dyDescent="0.25">
      <c r="A1110">
        <v>328350</v>
      </c>
      <c r="B1110">
        <v>1053393</v>
      </c>
      <c r="D1110">
        <v>0</v>
      </c>
      <c r="E1110" t="s">
        <v>6996</v>
      </c>
      <c r="F1110" t="s">
        <v>6997</v>
      </c>
      <c r="G1110" t="s">
        <v>6998</v>
      </c>
      <c r="H1110" t="s">
        <v>6999</v>
      </c>
      <c r="I1110" t="s">
        <v>7000</v>
      </c>
      <c r="J1110" t="s">
        <v>6995</v>
      </c>
      <c r="K1110" t="s">
        <v>7001</v>
      </c>
      <c r="L1110" t="s">
        <v>6995</v>
      </c>
    </row>
    <row r="1111" spans="1:12" x14ac:dyDescent="0.25">
      <c r="A1111">
        <v>328440</v>
      </c>
      <c r="B1111">
        <v>328445</v>
      </c>
      <c r="D1111">
        <v>0</v>
      </c>
      <c r="E1111" t="s">
        <v>7003</v>
      </c>
      <c r="F1111" t="s">
        <v>7004</v>
      </c>
      <c r="G1111" t="s">
        <v>7005</v>
      </c>
      <c r="H1111" t="s">
        <v>7006</v>
      </c>
      <c r="I1111" t="s">
        <v>7007</v>
      </c>
      <c r="J1111" t="s">
        <v>7002</v>
      </c>
      <c r="K1111" t="s">
        <v>7008</v>
      </c>
      <c r="L1111" t="s">
        <v>7002</v>
      </c>
    </row>
    <row r="1112" spans="1:12" x14ac:dyDescent="0.25">
      <c r="A1112">
        <v>328440</v>
      </c>
      <c r="B1112">
        <v>328876</v>
      </c>
      <c r="D1112">
        <v>0</v>
      </c>
      <c r="E1112" t="s">
        <v>7010</v>
      </c>
      <c r="F1112" t="s">
        <v>7011</v>
      </c>
      <c r="G1112" t="s">
        <v>7012</v>
      </c>
      <c r="H1112" t="e" vm="499">
        <f>_FV(0,"023267942540581028")</f>
        <v>#VALUE!</v>
      </c>
      <c r="I1112" t="s">
        <v>7013</v>
      </c>
      <c r="J1112" t="s">
        <v>7014</v>
      </c>
      <c r="K1112" t="s">
        <v>7015</v>
      </c>
      <c r="L1112" t="s">
        <v>7009</v>
      </c>
    </row>
    <row r="1113" spans="1:12" x14ac:dyDescent="0.25">
      <c r="A1113">
        <v>328440</v>
      </c>
      <c r="B1113">
        <v>328491</v>
      </c>
      <c r="D1113">
        <v>0</v>
      </c>
      <c r="F1113">
        <v>339846</v>
      </c>
      <c r="G1113">
        <v>328440</v>
      </c>
      <c r="H1113" t="s">
        <v>1333</v>
      </c>
      <c r="I1113">
        <v>328491</v>
      </c>
      <c r="J1113" t="s">
        <v>1333</v>
      </c>
      <c r="K1113" t="s">
        <v>7016</v>
      </c>
      <c r="L1113" t="s">
        <v>1333</v>
      </c>
    </row>
    <row r="1114" spans="1:12" x14ac:dyDescent="0.25">
      <c r="A1114">
        <v>328445</v>
      </c>
      <c r="B1114">
        <v>328463</v>
      </c>
      <c r="D1114" t="s">
        <v>204</v>
      </c>
      <c r="E1114" t="s">
        <v>7018</v>
      </c>
      <c r="F1114" t="s">
        <v>7019</v>
      </c>
      <c r="G1114" t="s">
        <v>7020</v>
      </c>
      <c r="H1114" t="s">
        <v>7021</v>
      </c>
      <c r="I1114" t="s">
        <v>7022</v>
      </c>
      <c r="J1114" t="s">
        <v>7017</v>
      </c>
      <c r="K1114" t="s">
        <v>7023</v>
      </c>
      <c r="L1114" t="s">
        <v>7017</v>
      </c>
    </row>
    <row r="1115" spans="1:12" x14ac:dyDescent="0.25">
      <c r="A1115">
        <v>328445</v>
      </c>
      <c r="B1115">
        <v>328876</v>
      </c>
      <c r="D1115">
        <v>0</v>
      </c>
      <c r="E1115" t="s">
        <v>7025</v>
      </c>
      <c r="F1115" t="s">
        <v>7026</v>
      </c>
      <c r="G1115" t="s">
        <v>7027</v>
      </c>
      <c r="H1115" t="s">
        <v>7028</v>
      </c>
      <c r="I1115" t="s">
        <v>7029</v>
      </c>
      <c r="J1115" t="s">
        <v>7024</v>
      </c>
      <c r="K1115" t="s">
        <v>7030</v>
      </c>
      <c r="L1115" t="s">
        <v>7024</v>
      </c>
    </row>
    <row r="1116" spans="1:12" x14ac:dyDescent="0.25">
      <c r="A1116">
        <v>328463</v>
      </c>
      <c r="B1116">
        <v>328521</v>
      </c>
      <c r="D1116">
        <v>0</v>
      </c>
      <c r="E1116" t="s">
        <v>7032</v>
      </c>
      <c r="F1116" t="s">
        <v>7033</v>
      </c>
      <c r="G1116" t="s">
        <v>7034</v>
      </c>
      <c r="H1116" t="s">
        <v>7035</v>
      </c>
      <c r="I1116" t="s">
        <v>7036</v>
      </c>
      <c r="J1116" t="s">
        <v>7031</v>
      </c>
      <c r="K1116" t="s">
        <v>7037</v>
      </c>
      <c r="L1116" t="s">
        <v>7031</v>
      </c>
    </row>
    <row r="1117" spans="1:12" x14ac:dyDescent="0.25">
      <c r="A1117">
        <v>328463</v>
      </c>
      <c r="B1117">
        <v>328540</v>
      </c>
      <c r="D1117">
        <v>0</v>
      </c>
      <c r="E1117" t="s">
        <v>7039</v>
      </c>
      <c r="F1117" t="s">
        <v>7040</v>
      </c>
      <c r="G1117" t="s">
        <v>7041</v>
      </c>
      <c r="H1117" t="s">
        <v>7042</v>
      </c>
      <c r="I1117" t="s">
        <v>7043</v>
      </c>
      <c r="J1117" t="s">
        <v>7038</v>
      </c>
      <c r="K1117" t="s">
        <v>7044</v>
      </c>
      <c r="L1117" t="s">
        <v>7038</v>
      </c>
    </row>
    <row r="1118" spans="1:12" x14ac:dyDescent="0.25">
      <c r="A1118">
        <v>328473</v>
      </c>
      <c r="B1118">
        <v>328491</v>
      </c>
      <c r="D1118">
        <v>0</v>
      </c>
      <c r="F1118">
        <v>339838</v>
      </c>
      <c r="G1118">
        <v>328491</v>
      </c>
      <c r="H1118" t="s">
        <v>2871</v>
      </c>
      <c r="I1118">
        <v>328473</v>
      </c>
      <c r="J1118" t="s">
        <v>2871</v>
      </c>
      <c r="K1118" t="s">
        <v>7045</v>
      </c>
      <c r="L1118" t="s">
        <v>2871</v>
      </c>
    </row>
    <row r="1119" spans="1:12" x14ac:dyDescent="0.25">
      <c r="A1119">
        <v>328473</v>
      </c>
      <c r="B1119">
        <v>328710</v>
      </c>
      <c r="D1119">
        <v>0</v>
      </c>
      <c r="E1119" t="s">
        <v>7047</v>
      </c>
      <c r="F1119" t="s">
        <v>7048</v>
      </c>
      <c r="G1119" t="s">
        <v>7049</v>
      </c>
      <c r="H1119" t="s">
        <v>7050</v>
      </c>
      <c r="I1119" t="s">
        <v>7051</v>
      </c>
      <c r="J1119" t="s">
        <v>7052</v>
      </c>
      <c r="K1119" t="s">
        <v>7053</v>
      </c>
      <c r="L1119" t="s">
        <v>7046</v>
      </c>
    </row>
    <row r="1120" spans="1:12" x14ac:dyDescent="0.25">
      <c r="A1120">
        <v>328473</v>
      </c>
      <c r="B1120">
        <v>328876</v>
      </c>
      <c r="D1120">
        <v>0</v>
      </c>
      <c r="E1120" t="s">
        <v>7055</v>
      </c>
      <c r="F1120" t="s">
        <v>7056</v>
      </c>
      <c r="G1120" t="s">
        <v>7057</v>
      </c>
      <c r="H1120" t="e" vm="500">
        <f>_FV(0,"003768968413843329")</f>
        <v>#VALUE!</v>
      </c>
      <c r="I1120" t="s">
        <v>7058</v>
      </c>
      <c r="J1120" t="s">
        <v>7059</v>
      </c>
      <c r="K1120" t="s">
        <v>7060</v>
      </c>
      <c r="L1120" t="s">
        <v>7054</v>
      </c>
    </row>
    <row r="1121" spans="1:12" x14ac:dyDescent="0.25">
      <c r="A1121">
        <v>328491</v>
      </c>
      <c r="B1121">
        <v>328496</v>
      </c>
      <c r="D1121">
        <v>0</v>
      </c>
      <c r="E1121" t="s">
        <v>7062</v>
      </c>
      <c r="F1121" t="s">
        <v>7063</v>
      </c>
      <c r="G1121" t="s">
        <v>7064</v>
      </c>
      <c r="H1121" t="s">
        <v>7065</v>
      </c>
      <c r="I1121" t="s">
        <v>7066</v>
      </c>
      <c r="J1121" t="s">
        <v>7067</v>
      </c>
      <c r="K1121" t="s">
        <v>7068</v>
      </c>
      <c r="L1121" t="s">
        <v>7061</v>
      </c>
    </row>
    <row r="1122" spans="1:12" x14ac:dyDescent="0.25">
      <c r="A1122">
        <v>328496</v>
      </c>
      <c r="B1122">
        <v>328710</v>
      </c>
      <c r="D1122">
        <v>0</v>
      </c>
      <c r="E1122" t="s">
        <v>7070</v>
      </c>
      <c r="F1122" t="s">
        <v>7071</v>
      </c>
      <c r="G1122" t="s">
        <v>7072</v>
      </c>
      <c r="H1122" t="s">
        <v>7073</v>
      </c>
      <c r="I1122" t="s">
        <v>7074</v>
      </c>
      <c r="J1122" t="s">
        <v>7075</v>
      </c>
      <c r="K1122" t="s">
        <v>7076</v>
      </c>
      <c r="L1122" t="s">
        <v>7069</v>
      </c>
    </row>
    <row r="1123" spans="1:12" x14ac:dyDescent="0.25">
      <c r="A1123">
        <v>328496</v>
      </c>
      <c r="B1123">
        <v>1052884</v>
      </c>
      <c r="D1123" t="s">
        <v>7078</v>
      </c>
      <c r="E1123" t="s">
        <v>7079</v>
      </c>
      <c r="F1123" t="s">
        <v>7080</v>
      </c>
      <c r="G1123" t="s">
        <v>7081</v>
      </c>
      <c r="H1123" t="s">
        <v>7082</v>
      </c>
      <c r="I1123" t="s">
        <v>7083</v>
      </c>
      <c r="J1123" t="s">
        <v>7084</v>
      </c>
      <c r="K1123" t="s">
        <v>7085</v>
      </c>
      <c r="L1123" t="s">
        <v>7077</v>
      </c>
    </row>
    <row r="1124" spans="1:12" x14ac:dyDescent="0.25">
      <c r="A1124">
        <v>328505</v>
      </c>
      <c r="B1124">
        <v>328691</v>
      </c>
      <c r="D1124">
        <v>0</v>
      </c>
      <c r="E1124" t="s">
        <v>7087</v>
      </c>
      <c r="F1124" t="s">
        <v>7088</v>
      </c>
      <c r="G1124" t="s">
        <v>7089</v>
      </c>
      <c r="H1124" t="s">
        <v>7090</v>
      </c>
      <c r="I1124" t="s">
        <v>7091</v>
      </c>
      <c r="J1124" t="s">
        <v>7086</v>
      </c>
      <c r="K1124" t="s">
        <v>7092</v>
      </c>
      <c r="L1124" t="s">
        <v>7086</v>
      </c>
    </row>
    <row r="1125" spans="1:12" x14ac:dyDescent="0.25">
      <c r="A1125">
        <v>328505</v>
      </c>
      <c r="B1125">
        <v>328548</v>
      </c>
      <c r="D1125">
        <v>0</v>
      </c>
      <c r="E1125" t="s">
        <v>7094</v>
      </c>
      <c r="F1125" t="s">
        <v>7095</v>
      </c>
      <c r="G1125" t="s">
        <v>7096</v>
      </c>
      <c r="H1125" t="e" vm="501">
        <f>_FV(0,"02195150703983148")</f>
        <v>#VALUE!</v>
      </c>
      <c r="I1125" t="s">
        <v>7097</v>
      </c>
      <c r="J1125" t="s">
        <v>7098</v>
      </c>
      <c r="K1125" t="s">
        <v>7099</v>
      </c>
      <c r="L1125" t="s">
        <v>7093</v>
      </c>
    </row>
    <row r="1126" spans="1:12" x14ac:dyDescent="0.25">
      <c r="A1126">
        <v>328505</v>
      </c>
      <c r="B1126">
        <v>1052884</v>
      </c>
      <c r="D1126" t="s">
        <v>7101</v>
      </c>
      <c r="E1126" t="s">
        <v>7102</v>
      </c>
      <c r="F1126" t="s">
        <v>7103</v>
      </c>
      <c r="G1126" t="s">
        <v>7104</v>
      </c>
      <c r="H1126" t="s">
        <v>7105</v>
      </c>
      <c r="I1126" t="s">
        <v>7106</v>
      </c>
      <c r="J1126" t="s">
        <v>7107</v>
      </c>
      <c r="K1126" t="s">
        <v>7108</v>
      </c>
      <c r="L1126" t="s">
        <v>7100</v>
      </c>
    </row>
    <row r="1127" spans="1:12" x14ac:dyDescent="0.25">
      <c r="A1127">
        <v>328521</v>
      </c>
      <c r="B1127">
        <v>328548</v>
      </c>
      <c r="D1127">
        <v>0</v>
      </c>
      <c r="F1127">
        <v>339494</v>
      </c>
      <c r="G1127">
        <v>328548</v>
      </c>
      <c r="H1127" t="s">
        <v>2704</v>
      </c>
      <c r="I1127">
        <v>328521</v>
      </c>
      <c r="J1127" t="s">
        <v>2704</v>
      </c>
      <c r="K1127" t="s">
        <v>7109</v>
      </c>
      <c r="L1127" t="s">
        <v>2704</v>
      </c>
    </row>
    <row r="1128" spans="1:12" x14ac:dyDescent="0.25">
      <c r="A1128">
        <v>328521</v>
      </c>
      <c r="B1128">
        <v>328540</v>
      </c>
      <c r="D1128">
        <v>0</v>
      </c>
      <c r="E1128" t="s">
        <v>7111</v>
      </c>
      <c r="F1128" t="s">
        <v>7112</v>
      </c>
      <c r="G1128" t="s">
        <v>7113</v>
      </c>
      <c r="H1128" t="s">
        <v>7114</v>
      </c>
      <c r="I1128" t="s">
        <v>7115</v>
      </c>
      <c r="J1128" t="s">
        <v>7110</v>
      </c>
      <c r="K1128" t="s">
        <v>7116</v>
      </c>
      <c r="L1128" t="s">
        <v>7110</v>
      </c>
    </row>
    <row r="1129" spans="1:12" x14ac:dyDescent="0.25">
      <c r="A1129">
        <v>328540</v>
      </c>
      <c r="B1129">
        <v>328559</v>
      </c>
      <c r="D1129">
        <v>0</v>
      </c>
      <c r="E1129" t="s">
        <v>7118</v>
      </c>
      <c r="F1129" t="s">
        <v>7119</v>
      </c>
      <c r="G1129" t="s">
        <v>7120</v>
      </c>
      <c r="H1129" t="e" vm="502">
        <f>_FV(0,"014268040937977969")</f>
        <v>#VALUE!</v>
      </c>
      <c r="I1129" t="s">
        <v>7121</v>
      </c>
      <c r="J1129" t="s">
        <v>7122</v>
      </c>
      <c r="K1129" t="s">
        <v>7123</v>
      </c>
      <c r="L1129" t="s">
        <v>7117</v>
      </c>
    </row>
    <row r="1130" spans="1:12" x14ac:dyDescent="0.25">
      <c r="A1130">
        <v>328548</v>
      </c>
      <c r="B1130">
        <v>328559</v>
      </c>
      <c r="D1130">
        <v>0</v>
      </c>
      <c r="F1130">
        <v>339502</v>
      </c>
      <c r="G1130">
        <v>328559</v>
      </c>
      <c r="H1130" t="s">
        <v>890</v>
      </c>
      <c r="I1130">
        <v>328548</v>
      </c>
      <c r="J1130" t="s">
        <v>890</v>
      </c>
      <c r="K1130" t="s">
        <v>7124</v>
      </c>
      <c r="L1130" t="s">
        <v>890</v>
      </c>
    </row>
    <row r="1131" spans="1:12" x14ac:dyDescent="0.25">
      <c r="A1131">
        <v>328559</v>
      </c>
      <c r="B1131">
        <v>328691</v>
      </c>
      <c r="D1131">
        <v>0</v>
      </c>
      <c r="E1131" t="s">
        <v>7126</v>
      </c>
      <c r="F1131" t="s">
        <v>7127</v>
      </c>
      <c r="G1131" t="s">
        <v>7128</v>
      </c>
      <c r="H1131" t="e" vm="503">
        <f>_FV(0,"006936936449948819")</f>
        <v>#VALUE!</v>
      </c>
      <c r="I1131" t="s">
        <v>7129</v>
      </c>
      <c r="J1131" t="s">
        <v>7130</v>
      </c>
      <c r="K1131" t="s">
        <v>7131</v>
      </c>
      <c r="L1131" t="s">
        <v>7125</v>
      </c>
    </row>
    <row r="1132" spans="1:12" x14ac:dyDescent="0.25">
      <c r="A1132">
        <v>328691</v>
      </c>
      <c r="B1132">
        <v>329331</v>
      </c>
      <c r="C1132" t="s">
        <v>7133</v>
      </c>
      <c r="D1132" t="s">
        <v>7134</v>
      </c>
      <c r="E1132" t="s">
        <v>7135</v>
      </c>
      <c r="F1132" t="s">
        <v>7136</v>
      </c>
      <c r="G1132" t="s">
        <v>7137</v>
      </c>
      <c r="H1132" t="e" vm="504">
        <f>_FV(0,"0016007410117579073")</f>
        <v>#VALUE!</v>
      </c>
      <c r="I1132" t="s">
        <v>7138</v>
      </c>
      <c r="J1132" t="s">
        <v>7139</v>
      </c>
      <c r="K1132" t="s">
        <v>7140</v>
      </c>
      <c r="L1132" t="s">
        <v>7132</v>
      </c>
    </row>
    <row r="1133" spans="1:12" x14ac:dyDescent="0.25">
      <c r="A1133">
        <v>328697</v>
      </c>
      <c r="B1133">
        <v>329271</v>
      </c>
      <c r="D1133" t="s">
        <v>7142</v>
      </c>
      <c r="E1133" t="s">
        <v>7143</v>
      </c>
      <c r="F1133" t="s">
        <v>7144</v>
      </c>
      <c r="G1133" t="s">
        <v>7145</v>
      </c>
      <c r="H1133" t="s">
        <v>7146</v>
      </c>
      <c r="I1133" t="s">
        <v>7147</v>
      </c>
      <c r="J1133" t="s">
        <v>7148</v>
      </c>
      <c r="K1133" t="s">
        <v>7149</v>
      </c>
      <c r="L1133" t="s">
        <v>7141</v>
      </c>
    </row>
    <row r="1134" spans="1:12" x14ac:dyDescent="0.25">
      <c r="A1134">
        <v>328697</v>
      </c>
      <c r="B1134">
        <v>329309</v>
      </c>
      <c r="D1134" t="s">
        <v>7151</v>
      </c>
      <c r="E1134" t="s">
        <v>7152</v>
      </c>
      <c r="F1134" t="s">
        <v>7153</v>
      </c>
      <c r="G1134" t="s">
        <v>7154</v>
      </c>
      <c r="H1134" t="s">
        <v>7155</v>
      </c>
      <c r="I1134" t="s">
        <v>7156</v>
      </c>
      <c r="J1134" t="s">
        <v>7157</v>
      </c>
      <c r="K1134" t="s">
        <v>7158</v>
      </c>
      <c r="L1134" t="s">
        <v>7150</v>
      </c>
    </row>
    <row r="1135" spans="1:12" x14ac:dyDescent="0.25">
      <c r="A1135">
        <v>328710</v>
      </c>
      <c r="B1135">
        <v>1053393</v>
      </c>
      <c r="D1135" t="s">
        <v>7160</v>
      </c>
      <c r="E1135" t="s">
        <v>7161</v>
      </c>
      <c r="F1135" t="s">
        <v>7162</v>
      </c>
      <c r="G1135" t="s">
        <v>7163</v>
      </c>
      <c r="H1135" t="e" vm="505">
        <f>_FV(0,"0009444516337006708")</f>
        <v>#VALUE!</v>
      </c>
      <c r="I1135" t="s">
        <v>7164</v>
      </c>
      <c r="J1135" t="s">
        <v>7165</v>
      </c>
      <c r="K1135" t="s">
        <v>7166</v>
      </c>
      <c r="L1135" t="s">
        <v>7159</v>
      </c>
    </row>
    <row r="1136" spans="1:12" x14ac:dyDescent="0.25">
      <c r="A1136">
        <v>328977</v>
      </c>
      <c r="B1136">
        <v>329010</v>
      </c>
      <c r="D1136">
        <v>0</v>
      </c>
      <c r="E1136" t="s">
        <v>7168</v>
      </c>
      <c r="F1136" t="s">
        <v>7169</v>
      </c>
      <c r="G1136" t="s">
        <v>7170</v>
      </c>
      <c r="H1136" t="e" vm="506">
        <f>_FV(0,"2419563711412156")</f>
        <v>#VALUE!</v>
      </c>
      <c r="I1136" t="s">
        <v>7171</v>
      </c>
      <c r="J1136" t="s">
        <v>7172</v>
      </c>
      <c r="K1136" t="s">
        <v>7173</v>
      </c>
      <c r="L1136" t="s">
        <v>7167</v>
      </c>
    </row>
    <row r="1137" spans="1:12" x14ac:dyDescent="0.25">
      <c r="A1137">
        <v>329010</v>
      </c>
      <c r="B1137">
        <v>329046</v>
      </c>
      <c r="D1137">
        <v>0</v>
      </c>
      <c r="E1137" t="s">
        <v>7175</v>
      </c>
      <c r="F1137" t="s">
        <v>7176</v>
      </c>
      <c r="G1137" t="s">
        <v>7177</v>
      </c>
      <c r="H1137" t="e" vm="507">
        <f>_FV(0,"0238243411463873")</f>
        <v>#VALUE!</v>
      </c>
      <c r="I1137" t="s">
        <v>7178</v>
      </c>
      <c r="J1137" t="s">
        <v>7179</v>
      </c>
      <c r="K1137" t="s">
        <v>7180</v>
      </c>
      <c r="L1137" t="s">
        <v>7174</v>
      </c>
    </row>
    <row r="1138" spans="1:12" x14ac:dyDescent="0.25">
      <c r="A1138">
        <v>329010</v>
      </c>
      <c r="B1138">
        <v>328981</v>
      </c>
      <c r="D1138">
        <v>0</v>
      </c>
      <c r="E1138" t="s">
        <v>7182</v>
      </c>
      <c r="F1138" t="s">
        <v>7183</v>
      </c>
      <c r="G1138" t="s">
        <v>7184</v>
      </c>
      <c r="H1138" t="e" vm="508">
        <f>_FV(0,"7030300125311012")</f>
        <v>#VALUE!</v>
      </c>
      <c r="I1138" t="s">
        <v>7185</v>
      </c>
      <c r="J1138" t="s">
        <v>7186</v>
      </c>
      <c r="K1138" t="s">
        <v>7187</v>
      </c>
      <c r="L1138" t="s">
        <v>7181</v>
      </c>
    </row>
    <row r="1139" spans="1:12" x14ac:dyDescent="0.25">
      <c r="A1139">
        <v>328968</v>
      </c>
      <c r="B1139">
        <v>329037</v>
      </c>
      <c r="D1139">
        <v>0</v>
      </c>
      <c r="E1139" t="s">
        <v>7189</v>
      </c>
      <c r="F1139" t="s">
        <v>7190</v>
      </c>
      <c r="G1139" t="s">
        <v>7191</v>
      </c>
      <c r="H1139" t="s">
        <v>7192</v>
      </c>
      <c r="I1139" t="s">
        <v>7193</v>
      </c>
      <c r="J1139" t="s">
        <v>7188</v>
      </c>
      <c r="K1139" t="s">
        <v>7194</v>
      </c>
      <c r="L1139" t="s">
        <v>7188</v>
      </c>
    </row>
    <row r="1140" spans="1:12" x14ac:dyDescent="0.25">
      <c r="A1140">
        <v>329037</v>
      </c>
      <c r="B1140">
        <v>1052672</v>
      </c>
      <c r="D1140">
        <v>0</v>
      </c>
      <c r="E1140" t="s">
        <v>7196</v>
      </c>
      <c r="F1140" t="s">
        <v>7197</v>
      </c>
      <c r="G1140" t="s">
        <v>7198</v>
      </c>
      <c r="H1140" t="s">
        <v>7199</v>
      </c>
      <c r="I1140" t="s">
        <v>7200</v>
      </c>
      <c r="J1140" t="s">
        <v>7195</v>
      </c>
      <c r="K1140" t="s">
        <v>7201</v>
      </c>
      <c r="L1140" t="s">
        <v>7195</v>
      </c>
    </row>
    <row r="1141" spans="1:12" x14ac:dyDescent="0.25">
      <c r="A1141">
        <v>329037</v>
      </c>
      <c r="B1141">
        <v>1052664</v>
      </c>
      <c r="D1141">
        <v>0</v>
      </c>
      <c r="E1141" t="s">
        <v>7203</v>
      </c>
      <c r="F1141" t="s">
        <v>7204</v>
      </c>
      <c r="G1141" t="s">
        <v>7205</v>
      </c>
      <c r="H1141" t="s">
        <v>7206</v>
      </c>
      <c r="I1141" t="s">
        <v>7207</v>
      </c>
      <c r="J1141" t="s">
        <v>7208</v>
      </c>
      <c r="K1141" t="s">
        <v>7209</v>
      </c>
      <c r="L1141" t="s">
        <v>7202</v>
      </c>
    </row>
    <row r="1142" spans="1:12" x14ac:dyDescent="0.25">
      <c r="A1142">
        <v>329046</v>
      </c>
      <c r="B1142">
        <v>1052672</v>
      </c>
      <c r="D1142">
        <v>0</v>
      </c>
      <c r="E1142" t="s">
        <v>7211</v>
      </c>
      <c r="F1142" t="s">
        <v>7212</v>
      </c>
      <c r="G1142" t="s">
        <v>7213</v>
      </c>
      <c r="H1142" t="s">
        <v>7214</v>
      </c>
      <c r="I1142" t="s">
        <v>7215</v>
      </c>
      <c r="J1142" t="s">
        <v>7210</v>
      </c>
      <c r="K1142" t="s">
        <v>7216</v>
      </c>
      <c r="L1142" t="s">
        <v>7210</v>
      </c>
    </row>
    <row r="1143" spans="1:12" x14ac:dyDescent="0.25">
      <c r="A1143">
        <v>329046</v>
      </c>
      <c r="B1143">
        <v>1052664</v>
      </c>
      <c r="D1143">
        <v>0</v>
      </c>
      <c r="E1143" t="s">
        <v>7218</v>
      </c>
      <c r="F1143" t="s">
        <v>7219</v>
      </c>
      <c r="G1143" t="s">
        <v>7220</v>
      </c>
      <c r="H1143" t="s">
        <v>7221</v>
      </c>
      <c r="I1143" t="s">
        <v>7222</v>
      </c>
      <c r="J1143" t="s">
        <v>7223</v>
      </c>
      <c r="K1143" t="s">
        <v>7224</v>
      </c>
      <c r="L1143" t="s">
        <v>7217</v>
      </c>
    </row>
    <row r="1144" spans="1:12" x14ac:dyDescent="0.25">
      <c r="A1144">
        <v>329055</v>
      </c>
      <c r="B1144">
        <v>329113</v>
      </c>
      <c r="D1144">
        <v>0</v>
      </c>
      <c r="F1144">
        <v>340126</v>
      </c>
      <c r="G1144">
        <v>329113</v>
      </c>
      <c r="H1144" t="s">
        <v>7225</v>
      </c>
      <c r="I1144">
        <v>329055</v>
      </c>
      <c r="J1144" t="s">
        <v>7225</v>
      </c>
      <c r="K1144" t="s">
        <v>7226</v>
      </c>
      <c r="L1144" t="s">
        <v>7225</v>
      </c>
    </row>
    <row r="1145" spans="1:12" x14ac:dyDescent="0.25">
      <c r="A1145">
        <v>329055</v>
      </c>
      <c r="B1145">
        <v>329068</v>
      </c>
      <c r="D1145">
        <v>0</v>
      </c>
      <c r="E1145" t="s">
        <v>7228</v>
      </c>
      <c r="F1145" t="s">
        <v>7229</v>
      </c>
      <c r="G1145" t="s">
        <v>7230</v>
      </c>
      <c r="H1145" t="s">
        <v>7231</v>
      </c>
      <c r="I1145" t="s">
        <v>7232</v>
      </c>
      <c r="J1145" t="s">
        <v>7227</v>
      </c>
      <c r="K1145" t="s">
        <v>7233</v>
      </c>
      <c r="L1145" t="s">
        <v>7227</v>
      </c>
    </row>
    <row r="1146" spans="1:12" x14ac:dyDescent="0.25">
      <c r="A1146">
        <v>329068</v>
      </c>
      <c r="B1146">
        <v>329086</v>
      </c>
      <c r="D1146">
        <v>0</v>
      </c>
      <c r="F1146">
        <v>340102</v>
      </c>
      <c r="G1146">
        <v>329068</v>
      </c>
      <c r="H1146" t="e" vm="59">
        <f>_FV(0,"014")</f>
        <v>#VALUE!</v>
      </c>
      <c r="I1146">
        <v>329086</v>
      </c>
      <c r="J1146" t="s">
        <v>922</v>
      </c>
      <c r="K1146" t="s">
        <v>7234</v>
      </c>
      <c r="L1146" t="e" vm="59">
        <f>_FV(0,"014")</f>
        <v>#VALUE!</v>
      </c>
    </row>
    <row r="1147" spans="1:12" x14ac:dyDescent="0.25">
      <c r="A1147">
        <v>329086</v>
      </c>
      <c r="B1147">
        <v>329331</v>
      </c>
      <c r="D1147">
        <v>0</v>
      </c>
      <c r="E1147" t="s">
        <v>7236</v>
      </c>
      <c r="F1147" t="s">
        <v>7237</v>
      </c>
      <c r="G1147" t="s">
        <v>7238</v>
      </c>
      <c r="H1147" t="e" vm="509">
        <f>_FV(0,"0609227460296409")</f>
        <v>#VALUE!</v>
      </c>
      <c r="I1147" t="s">
        <v>7239</v>
      </c>
      <c r="J1147" t="s">
        <v>7240</v>
      </c>
      <c r="K1147" t="s">
        <v>7241</v>
      </c>
      <c r="L1147" t="s">
        <v>7235</v>
      </c>
    </row>
    <row r="1148" spans="1:12" x14ac:dyDescent="0.25">
      <c r="A1148">
        <v>329086</v>
      </c>
      <c r="B1148">
        <v>329113</v>
      </c>
      <c r="D1148">
        <v>0</v>
      </c>
      <c r="E1148" t="s">
        <v>7243</v>
      </c>
      <c r="F1148" t="s">
        <v>7244</v>
      </c>
      <c r="G1148" t="s">
        <v>7245</v>
      </c>
      <c r="H1148" t="e" vm="510">
        <f>_FV(0,"016673113826375006")</f>
        <v>#VALUE!</v>
      </c>
      <c r="I1148" t="s">
        <v>7246</v>
      </c>
      <c r="J1148" t="s">
        <v>7247</v>
      </c>
      <c r="K1148" t="s">
        <v>7248</v>
      </c>
      <c r="L1148" t="s">
        <v>7242</v>
      </c>
    </row>
    <row r="1149" spans="1:12" x14ac:dyDescent="0.25">
      <c r="A1149">
        <v>329113</v>
      </c>
      <c r="B1149">
        <v>329271</v>
      </c>
      <c r="D1149">
        <v>0</v>
      </c>
      <c r="E1149" t="s">
        <v>7250</v>
      </c>
      <c r="F1149" t="s">
        <v>7251</v>
      </c>
      <c r="G1149" t="s">
        <v>7252</v>
      </c>
      <c r="H1149" t="e" vm="511">
        <f>_FV(0,"01030300839026555")</f>
        <v>#VALUE!</v>
      </c>
      <c r="I1149" t="s">
        <v>7253</v>
      </c>
      <c r="J1149" t="s">
        <v>7254</v>
      </c>
      <c r="K1149" t="s">
        <v>7255</v>
      </c>
      <c r="L1149" t="s">
        <v>7249</v>
      </c>
    </row>
    <row r="1150" spans="1:12" x14ac:dyDescent="0.25">
      <c r="A1150">
        <v>329271</v>
      </c>
      <c r="B1150">
        <v>329331</v>
      </c>
      <c r="D1150">
        <v>0</v>
      </c>
      <c r="E1150" t="s">
        <v>7257</v>
      </c>
      <c r="F1150" t="s">
        <v>7258</v>
      </c>
      <c r="G1150" t="s">
        <v>7259</v>
      </c>
      <c r="H1150" t="s">
        <v>7260</v>
      </c>
      <c r="I1150" t="s">
        <v>7261</v>
      </c>
      <c r="J1150" t="s">
        <v>7262</v>
      </c>
      <c r="K1150" t="s">
        <v>7263</v>
      </c>
      <c r="L1150" t="s">
        <v>7256</v>
      </c>
    </row>
    <row r="1151" spans="1:12" x14ac:dyDescent="0.25">
      <c r="A1151">
        <v>329309</v>
      </c>
      <c r="B1151">
        <v>1053393</v>
      </c>
      <c r="D1151">
        <v>0</v>
      </c>
      <c r="F1151">
        <v>1113767</v>
      </c>
      <c r="G1151">
        <v>329309</v>
      </c>
      <c r="H1151" t="s">
        <v>1589</v>
      </c>
      <c r="I1151">
        <v>1053393</v>
      </c>
      <c r="J1151" t="s">
        <v>1589</v>
      </c>
      <c r="K1151" t="s">
        <v>7264</v>
      </c>
      <c r="L1151" t="s">
        <v>1589</v>
      </c>
    </row>
    <row r="1152" spans="1:12" x14ac:dyDescent="0.25">
      <c r="A1152">
        <v>329895</v>
      </c>
      <c r="B1152">
        <v>329901</v>
      </c>
      <c r="D1152">
        <v>0</v>
      </c>
      <c r="E1152" t="s">
        <v>7266</v>
      </c>
      <c r="F1152" t="s">
        <v>7267</v>
      </c>
      <c r="G1152" t="s">
        <v>7268</v>
      </c>
      <c r="H1152" t="s">
        <v>7269</v>
      </c>
      <c r="I1152" t="s">
        <v>7270</v>
      </c>
      <c r="J1152" t="s">
        <v>7271</v>
      </c>
      <c r="K1152" t="s">
        <v>7272</v>
      </c>
      <c r="L1152" t="s">
        <v>7265</v>
      </c>
    </row>
    <row r="1153" spans="1:12" x14ac:dyDescent="0.25">
      <c r="A1153">
        <v>329895</v>
      </c>
      <c r="B1153">
        <v>1703037</v>
      </c>
      <c r="D1153" t="s">
        <v>7274</v>
      </c>
      <c r="E1153" t="s">
        <v>7275</v>
      </c>
      <c r="F1153" t="s">
        <v>7276</v>
      </c>
      <c r="G1153" t="s">
        <v>7277</v>
      </c>
      <c r="H1153" t="e" vm="512">
        <f>_FV(0,"004201342449171735")</f>
        <v>#VALUE!</v>
      </c>
      <c r="I1153" t="s">
        <v>7278</v>
      </c>
      <c r="J1153" t="s">
        <v>7279</v>
      </c>
      <c r="K1153" t="s">
        <v>7280</v>
      </c>
      <c r="L1153" t="s">
        <v>7273</v>
      </c>
    </row>
    <row r="1154" spans="1:12" x14ac:dyDescent="0.25">
      <c r="A1154">
        <v>329895</v>
      </c>
      <c r="B1154">
        <v>329937</v>
      </c>
      <c r="C1154" t="s">
        <v>7282</v>
      </c>
      <c r="D1154" t="s">
        <v>7283</v>
      </c>
      <c r="E1154" t="s">
        <v>7284</v>
      </c>
      <c r="F1154" t="s">
        <v>7285</v>
      </c>
      <c r="G1154" t="s">
        <v>7286</v>
      </c>
      <c r="H1154" t="e" vm="513">
        <f>_FV(0,"0037286886940684216")</f>
        <v>#VALUE!</v>
      </c>
      <c r="I1154" t="s">
        <v>7287</v>
      </c>
      <c r="J1154" t="s">
        <v>7288</v>
      </c>
      <c r="K1154" t="s">
        <v>7289</v>
      </c>
      <c r="L1154" t="s">
        <v>7281</v>
      </c>
    </row>
    <row r="1155" spans="1:12" x14ac:dyDescent="0.25">
      <c r="A1155">
        <v>329897</v>
      </c>
      <c r="B1155">
        <v>1498817</v>
      </c>
      <c r="D1155">
        <v>0</v>
      </c>
      <c r="E1155" t="s">
        <v>7291</v>
      </c>
      <c r="F1155" t="s">
        <v>7292</v>
      </c>
      <c r="G1155" t="s">
        <v>7293</v>
      </c>
      <c r="H1155" t="e" vm="514">
        <f>_FV(0,"0006684153212363129")</f>
        <v>#VALUE!</v>
      </c>
      <c r="I1155" t="s">
        <v>7294</v>
      </c>
      <c r="J1155" t="s">
        <v>7295</v>
      </c>
      <c r="K1155" t="s">
        <v>7296</v>
      </c>
      <c r="L1155" t="s">
        <v>7290</v>
      </c>
    </row>
    <row r="1156" spans="1:12" x14ac:dyDescent="0.25">
      <c r="A1156">
        <v>329897</v>
      </c>
      <c r="B1156">
        <v>1498703</v>
      </c>
      <c r="C1156" t="s">
        <v>7298</v>
      </c>
      <c r="D1156" t="s">
        <v>7299</v>
      </c>
      <c r="E1156" t="s">
        <v>7300</v>
      </c>
      <c r="F1156" t="s">
        <v>7301</v>
      </c>
      <c r="G1156" t="s">
        <v>7302</v>
      </c>
      <c r="H1156" t="s">
        <v>7303</v>
      </c>
      <c r="I1156" t="s">
        <v>7304</v>
      </c>
      <c r="J1156" t="s">
        <v>7305</v>
      </c>
      <c r="K1156" t="s">
        <v>7306</v>
      </c>
      <c r="L1156" t="s">
        <v>7297</v>
      </c>
    </row>
    <row r="1157" spans="1:12" x14ac:dyDescent="0.25">
      <c r="A1157">
        <v>329897</v>
      </c>
      <c r="B1157">
        <v>1501718</v>
      </c>
      <c r="D1157">
        <v>0</v>
      </c>
      <c r="E1157" t="s">
        <v>7308</v>
      </c>
      <c r="F1157" t="s">
        <v>7309</v>
      </c>
      <c r="G1157" t="s">
        <v>7310</v>
      </c>
      <c r="H1157" t="e" vm="515">
        <f>_FV(0,"012126308688380777")</f>
        <v>#VALUE!</v>
      </c>
      <c r="I1157" t="s">
        <v>7311</v>
      </c>
      <c r="J1157" t="s">
        <v>7312</v>
      </c>
      <c r="K1157" t="s">
        <v>7313</v>
      </c>
      <c r="L1157" t="s">
        <v>7307</v>
      </c>
    </row>
    <row r="1158" spans="1:12" x14ac:dyDescent="0.25">
      <c r="A1158">
        <v>329909</v>
      </c>
      <c r="B1158">
        <v>329910</v>
      </c>
      <c r="D1158">
        <v>0</v>
      </c>
      <c r="F1158">
        <v>341176</v>
      </c>
      <c r="G1158">
        <v>329910</v>
      </c>
      <c r="H1158" t="e" vm="88">
        <f>_FV(0,"081")</f>
        <v>#VALUE!</v>
      </c>
      <c r="I1158">
        <v>329909</v>
      </c>
      <c r="J1158" t="s">
        <v>1359</v>
      </c>
      <c r="K1158" t="s">
        <v>7314</v>
      </c>
      <c r="L1158" t="e" vm="88">
        <f>_FV(0,"081")</f>
        <v>#VALUE!</v>
      </c>
    </row>
    <row r="1159" spans="1:12" x14ac:dyDescent="0.25">
      <c r="A1159">
        <v>329909</v>
      </c>
      <c r="B1159">
        <v>1696605</v>
      </c>
      <c r="D1159" t="s">
        <v>514</v>
      </c>
      <c r="E1159" t="s">
        <v>7316</v>
      </c>
      <c r="F1159" t="s">
        <v>7317</v>
      </c>
      <c r="G1159" t="s">
        <v>7318</v>
      </c>
      <c r="H1159" t="e" vm="516">
        <f>_FV(0,"200673494064326")</f>
        <v>#VALUE!</v>
      </c>
      <c r="I1159" t="s">
        <v>7319</v>
      </c>
      <c r="J1159" t="s">
        <v>7320</v>
      </c>
      <c r="K1159" t="s">
        <v>7321</v>
      </c>
      <c r="L1159" t="s">
        <v>7315</v>
      </c>
    </row>
    <row r="1160" spans="1:12" x14ac:dyDescent="0.25">
      <c r="A1160">
        <v>329909</v>
      </c>
      <c r="B1160">
        <v>1751461</v>
      </c>
      <c r="D1160">
        <v>0</v>
      </c>
      <c r="F1160">
        <v>1996047</v>
      </c>
      <c r="G1160">
        <v>329909</v>
      </c>
      <c r="H1160" t="s">
        <v>7322</v>
      </c>
      <c r="I1160">
        <v>1751461</v>
      </c>
      <c r="J1160" t="s">
        <v>7322</v>
      </c>
      <c r="K1160" t="s">
        <v>7323</v>
      </c>
      <c r="L1160" t="s">
        <v>7322</v>
      </c>
    </row>
    <row r="1161" spans="1:12" x14ac:dyDescent="0.25">
      <c r="A1161">
        <v>329919</v>
      </c>
      <c r="B1161">
        <v>329937</v>
      </c>
      <c r="D1161">
        <v>0</v>
      </c>
      <c r="F1161">
        <v>2056585</v>
      </c>
      <c r="G1161">
        <v>329937</v>
      </c>
      <c r="H1161" t="s">
        <v>761</v>
      </c>
      <c r="I1161">
        <v>329919</v>
      </c>
      <c r="J1161" t="s">
        <v>761</v>
      </c>
      <c r="K1161" t="s">
        <v>7324</v>
      </c>
      <c r="L1161" t="s">
        <v>761</v>
      </c>
    </row>
    <row r="1162" spans="1:12" x14ac:dyDescent="0.25">
      <c r="A1162">
        <v>329919</v>
      </c>
      <c r="B1162">
        <v>329937</v>
      </c>
      <c r="D1162">
        <v>0</v>
      </c>
      <c r="E1162" t="s">
        <v>7326</v>
      </c>
      <c r="F1162" t="s">
        <v>7327</v>
      </c>
      <c r="G1162" t="s">
        <v>7328</v>
      </c>
      <c r="H1162" t="s">
        <v>7329</v>
      </c>
      <c r="I1162" t="s">
        <v>7330</v>
      </c>
      <c r="J1162" t="s">
        <v>7331</v>
      </c>
      <c r="K1162" t="s">
        <v>7332</v>
      </c>
      <c r="L1162" t="s">
        <v>7325</v>
      </c>
    </row>
    <row r="1163" spans="1:12" x14ac:dyDescent="0.25">
      <c r="A1163">
        <v>329919</v>
      </c>
      <c r="B1163">
        <v>1751557</v>
      </c>
      <c r="D1163" t="s">
        <v>7334</v>
      </c>
      <c r="E1163" t="s">
        <v>7335</v>
      </c>
      <c r="F1163" t="s">
        <v>7336</v>
      </c>
      <c r="G1163" t="s">
        <v>7337</v>
      </c>
      <c r="H1163" t="s">
        <v>7338</v>
      </c>
      <c r="I1163" t="s">
        <v>7339</v>
      </c>
      <c r="J1163" t="s">
        <v>7340</v>
      </c>
      <c r="K1163" t="s">
        <v>7341</v>
      </c>
      <c r="L1163" t="s">
        <v>7333</v>
      </c>
    </row>
    <row r="1164" spans="1:12" x14ac:dyDescent="0.25">
      <c r="A1164">
        <v>330122</v>
      </c>
      <c r="B1164">
        <v>330138</v>
      </c>
      <c r="D1164">
        <v>0</v>
      </c>
      <c r="F1164">
        <v>2063400</v>
      </c>
      <c r="G1164">
        <v>330138</v>
      </c>
      <c r="H1164" t="s">
        <v>1814</v>
      </c>
      <c r="I1164">
        <v>330122</v>
      </c>
      <c r="J1164" t="s">
        <v>1814</v>
      </c>
      <c r="K1164" t="s">
        <v>7342</v>
      </c>
      <c r="L1164" t="s">
        <v>1814</v>
      </c>
    </row>
    <row r="1165" spans="1:12" x14ac:dyDescent="0.25">
      <c r="A1165">
        <v>330122</v>
      </c>
      <c r="B1165">
        <v>330138</v>
      </c>
      <c r="D1165">
        <v>0</v>
      </c>
      <c r="E1165" t="s">
        <v>7344</v>
      </c>
      <c r="F1165" t="s">
        <v>7345</v>
      </c>
      <c r="G1165" t="s">
        <v>7346</v>
      </c>
      <c r="H1165" t="s">
        <v>7347</v>
      </c>
      <c r="I1165" t="s">
        <v>7348</v>
      </c>
      <c r="J1165" t="s">
        <v>7349</v>
      </c>
      <c r="K1165" t="s">
        <v>7350</v>
      </c>
      <c r="L1165" t="s">
        <v>7343</v>
      </c>
    </row>
    <row r="1166" spans="1:12" x14ac:dyDescent="0.25">
      <c r="A1166">
        <v>330122</v>
      </c>
      <c r="B1166">
        <v>1589985</v>
      </c>
      <c r="D1166">
        <v>0</v>
      </c>
      <c r="E1166" t="s">
        <v>7352</v>
      </c>
      <c r="F1166" t="s">
        <v>7353</v>
      </c>
      <c r="G1166" t="s">
        <v>7354</v>
      </c>
      <c r="H1166" t="e" vm="517">
        <f>_FV(0,"018840116840155324")</f>
        <v>#VALUE!</v>
      </c>
      <c r="I1166" t="s">
        <v>7355</v>
      </c>
      <c r="J1166" t="s">
        <v>7356</v>
      </c>
      <c r="K1166" t="s">
        <v>7357</v>
      </c>
      <c r="L1166" t="s">
        <v>7351</v>
      </c>
    </row>
    <row r="1167" spans="1:12" x14ac:dyDescent="0.25">
      <c r="A1167">
        <v>330138</v>
      </c>
      <c r="B1167">
        <v>775322</v>
      </c>
      <c r="D1167">
        <v>0</v>
      </c>
      <c r="E1167" t="s">
        <v>7359</v>
      </c>
      <c r="F1167" t="s">
        <v>7360</v>
      </c>
      <c r="G1167" t="s">
        <v>7361</v>
      </c>
      <c r="H1167" t="s">
        <v>7362</v>
      </c>
      <c r="I1167" t="s">
        <v>7363</v>
      </c>
      <c r="J1167" t="s">
        <v>7364</v>
      </c>
      <c r="K1167" t="s">
        <v>7365</v>
      </c>
      <c r="L1167" t="s">
        <v>7358</v>
      </c>
    </row>
    <row r="1168" spans="1:12" x14ac:dyDescent="0.25">
      <c r="A1168">
        <v>330471</v>
      </c>
      <c r="B1168">
        <v>330472</v>
      </c>
      <c r="D1168">
        <v>0</v>
      </c>
      <c r="F1168">
        <v>341761</v>
      </c>
      <c r="G1168">
        <v>330472</v>
      </c>
      <c r="H1168" t="s">
        <v>187</v>
      </c>
      <c r="I1168">
        <v>330471</v>
      </c>
      <c r="J1168" t="s">
        <v>187</v>
      </c>
      <c r="K1168" t="s">
        <v>7366</v>
      </c>
      <c r="L1168" t="s">
        <v>187</v>
      </c>
    </row>
    <row r="1169" spans="1:12" x14ac:dyDescent="0.25">
      <c r="A1169">
        <v>330471</v>
      </c>
      <c r="B1169">
        <v>395203</v>
      </c>
      <c r="D1169">
        <v>0</v>
      </c>
      <c r="E1169" t="s">
        <v>7368</v>
      </c>
      <c r="F1169" t="s">
        <v>7369</v>
      </c>
      <c r="G1169" t="s">
        <v>7370</v>
      </c>
      <c r="H1169" t="s">
        <v>7371</v>
      </c>
      <c r="I1169" t="s">
        <v>7372</v>
      </c>
      <c r="J1169" t="s">
        <v>7367</v>
      </c>
      <c r="K1169" t="s">
        <v>7373</v>
      </c>
      <c r="L1169" t="s">
        <v>7367</v>
      </c>
    </row>
    <row r="1170" spans="1:12" x14ac:dyDescent="0.25">
      <c r="A1170">
        <v>330472</v>
      </c>
      <c r="B1170">
        <v>330683</v>
      </c>
      <c r="D1170">
        <v>0</v>
      </c>
      <c r="E1170" t="s">
        <v>7375</v>
      </c>
      <c r="F1170" t="s">
        <v>7376</v>
      </c>
      <c r="G1170" t="s">
        <v>7377</v>
      </c>
      <c r="H1170" t="e" vm="518">
        <f>_FV(0,"017582734549521792")</f>
        <v>#VALUE!</v>
      </c>
      <c r="I1170" t="s">
        <v>7378</v>
      </c>
      <c r="J1170" t="s">
        <v>7379</v>
      </c>
      <c r="K1170" t="s">
        <v>7380</v>
      </c>
      <c r="L1170" t="s">
        <v>7374</v>
      </c>
    </row>
    <row r="1171" spans="1:12" x14ac:dyDescent="0.25">
      <c r="A1171">
        <v>330472</v>
      </c>
      <c r="B1171">
        <v>330709</v>
      </c>
      <c r="D1171">
        <v>0</v>
      </c>
      <c r="E1171" t="s">
        <v>7382</v>
      </c>
      <c r="F1171" t="s">
        <v>7383</v>
      </c>
      <c r="G1171" t="s">
        <v>7384</v>
      </c>
      <c r="H1171" t="s">
        <v>7385</v>
      </c>
      <c r="I1171" t="s">
        <v>7386</v>
      </c>
      <c r="J1171" t="s">
        <v>7387</v>
      </c>
      <c r="K1171" t="s">
        <v>7388</v>
      </c>
      <c r="L1171" t="s">
        <v>7381</v>
      </c>
    </row>
    <row r="1172" spans="1:12" x14ac:dyDescent="0.25">
      <c r="A1172">
        <v>330683</v>
      </c>
      <c r="B1172">
        <v>330717</v>
      </c>
      <c r="D1172">
        <v>0</v>
      </c>
      <c r="F1172">
        <v>342088</v>
      </c>
      <c r="G1172">
        <v>330717</v>
      </c>
      <c r="H1172" t="e" vm="412">
        <f>_FV(0,"046")</f>
        <v>#VALUE!</v>
      </c>
      <c r="I1172">
        <v>330683</v>
      </c>
      <c r="J1172" t="s">
        <v>5837</v>
      </c>
      <c r="K1172" t="s">
        <v>7389</v>
      </c>
      <c r="L1172" t="e" vm="412">
        <f>_FV(0,"046")</f>
        <v>#VALUE!</v>
      </c>
    </row>
    <row r="1173" spans="1:12" x14ac:dyDescent="0.25">
      <c r="A1173">
        <v>330683</v>
      </c>
      <c r="B1173">
        <v>330709</v>
      </c>
      <c r="D1173">
        <v>0</v>
      </c>
      <c r="E1173" t="s">
        <v>7391</v>
      </c>
      <c r="F1173" t="s">
        <v>7392</v>
      </c>
      <c r="G1173" t="s">
        <v>7393</v>
      </c>
      <c r="H1173" t="e" vm="519">
        <f>_FV(0,"05692576450640643")</f>
        <v>#VALUE!</v>
      </c>
      <c r="I1173" t="s">
        <v>7394</v>
      </c>
      <c r="J1173" t="s">
        <v>7395</v>
      </c>
      <c r="K1173" t="s">
        <v>7396</v>
      </c>
      <c r="L1173" t="s">
        <v>7390</v>
      </c>
    </row>
    <row r="1174" spans="1:12" x14ac:dyDescent="0.25">
      <c r="A1174">
        <v>330709</v>
      </c>
      <c r="B1174">
        <v>330735</v>
      </c>
      <c r="D1174">
        <v>0</v>
      </c>
      <c r="E1174" t="s">
        <v>7398</v>
      </c>
      <c r="F1174" t="s">
        <v>7399</v>
      </c>
      <c r="G1174" t="s">
        <v>7400</v>
      </c>
      <c r="H1174" t="s">
        <v>7401</v>
      </c>
      <c r="I1174" t="s">
        <v>7402</v>
      </c>
      <c r="J1174" t="s">
        <v>7397</v>
      </c>
      <c r="K1174" t="s">
        <v>7403</v>
      </c>
      <c r="L1174" t="s">
        <v>7397</v>
      </c>
    </row>
    <row r="1175" spans="1:12" x14ac:dyDescent="0.25">
      <c r="A1175">
        <v>330717</v>
      </c>
      <c r="B1175">
        <v>330727</v>
      </c>
      <c r="D1175">
        <v>0</v>
      </c>
      <c r="E1175" t="s">
        <v>7405</v>
      </c>
      <c r="F1175" t="s">
        <v>7406</v>
      </c>
      <c r="G1175" t="s">
        <v>7407</v>
      </c>
      <c r="H1175" t="e" vm="520">
        <f>_FV(0,"055438157622603346")</f>
        <v>#VALUE!</v>
      </c>
      <c r="I1175" t="s">
        <v>7408</v>
      </c>
      <c r="J1175" t="s">
        <v>7409</v>
      </c>
      <c r="K1175" t="s">
        <v>7410</v>
      </c>
      <c r="L1175" t="s">
        <v>7404</v>
      </c>
    </row>
    <row r="1176" spans="1:12" x14ac:dyDescent="0.25">
      <c r="A1176">
        <v>330717</v>
      </c>
      <c r="B1176">
        <v>330735</v>
      </c>
      <c r="D1176">
        <v>0</v>
      </c>
      <c r="E1176" t="s">
        <v>7412</v>
      </c>
      <c r="F1176" t="s">
        <v>7413</v>
      </c>
      <c r="G1176" t="s">
        <v>7414</v>
      </c>
      <c r="H1176" t="s">
        <v>7415</v>
      </c>
      <c r="I1176" t="s">
        <v>7416</v>
      </c>
      <c r="J1176" t="s">
        <v>7417</v>
      </c>
      <c r="K1176" t="s">
        <v>7418</v>
      </c>
      <c r="L1176" t="s">
        <v>7411</v>
      </c>
    </row>
    <row r="1177" spans="1:12" x14ac:dyDescent="0.25">
      <c r="A1177">
        <v>330727</v>
      </c>
      <c r="B1177">
        <v>395173</v>
      </c>
      <c r="D1177" t="s">
        <v>2510</v>
      </c>
      <c r="E1177" t="s">
        <v>7420</v>
      </c>
      <c r="F1177" t="s">
        <v>7421</v>
      </c>
      <c r="G1177" t="s">
        <v>7422</v>
      </c>
      <c r="H1177" t="e" vm="521">
        <f>_FV(0,"0004330084599471693")</f>
        <v>#VALUE!</v>
      </c>
      <c r="I1177" t="s">
        <v>7423</v>
      </c>
      <c r="J1177" t="s">
        <v>7424</v>
      </c>
      <c r="K1177" t="s">
        <v>7425</v>
      </c>
      <c r="L1177" t="s">
        <v>7419</v>
      </c>
    </row>
    <row r="1178" spans="1:12" x14ac:dyDescent="0.25">
      <c r="A1178">
        <v>330727</v>
      </c>
      <c r="B1178">
        <v>330735</v>
      </c>
      <c r="D1178">
        <v>0</v>
      </c>
      <c r="E1178" t="s">
        <v>7427</v>
      </c>
      <c r="F1178" t="s">
        <v>7428</v>
      </c>
      <c r="G1178" t="s">
        <v>7429</v>
      </c>
      <c r="H1178" t="e" vm="522">
        <f>_FV(0,"054586875275763044")</f>
        <v>#VALUE!</v>
      </c>
      <c r="I1178" t="s">
        <v>7430</v>
      </c>
      <c r="J1178" t="s">
        <v>7431</v>
      </c>
      <c r="K1178" t="s">
        <v>7432</v>
      </c>
      <c r="L1178" t="s">
        <v>7426</v>
      </c>
    </row>
    <row r="1179" spans="1:12" x14ac:dyDescent="0.25">
      <c r="A1179">
        <v>331156</v>
      </c>
      <c r="B1179">
        <v>331168</v>
      </c>
      <c r="D1179">
        <v>0</v>
      </c>
      <c r="E1179" t="s">
        <v>7434</v>
      </c>
      <c r="F1179" t="s">
        <v>7435</v>
      </c>
      <c r="G1179" t="s">
        <v>7436</v>
      </c>
      <c r="H1179" t="s">
        <v>7437</v>
      </c>
      <c r="I1179" t="s">
        <v>7438</v>
      </c>
      <c r="J1179" t="s">
        <v>7433</v>
      </c>
      <c r="K1179" t="s">
        <v>7439</v>
      </c>
      <c r="L1179" t="s">
        <v>7433</v>
      </c>
    </row>
    <row r="1180" spans="1:12" x14ac:dyDescent="0.25">
      <c r="A1180">
        <v>331156</v>
      </c>
      <c r="B1180">
        <v>1499074</v>
      </c>
      <c r="D1180">
        <v>0</v>
      </c>
      <c r="E1180" t="s">
        <v>7441</v>
      </c>
      <c r="F1180" t="s">
        <v>7442</v>
      </c>
      <c r="G1180" t="s">
        <v>7443</v>
      </c>
      <c r="H1180" t="e" vm="523">
        <f>_FV(0,"0023397993838118678")</f>
        <v>#VALUE!</v>
      </c>
      <c r="I1180" t="s">
        <v>7444</v>
      </c>
      <c r="J1180" t="s">
        <v>7445</v>
      </c>
      <c r="K1180" t="s">
        <v>7446</v>
      </c>
      <c r="L1180" t="s">
        <v>7440</v>
      </c>
    </row>
    <row r="1181" spans="1:12" x14ac:dyDescent="0.25">
      <c r="A1181">
        <v>331156</v>
      </c>
      <c r="B1181">
        <v>1502554</v>
      </c>
      <c r="D1181">
        <v>0</v>
      </c>
      <c r="E1181" t="s">
        <v>7448</v>
      </c>
      <c r="F1181" t="s">
        <v>7449</v>
      </c>
      <c r="G1181" t="s">
        <v>7450</v>
      </c>
      <c r="H1181" t="e" vm="524">
        <f>_FV(0,"007922708517319566")</f>
        <v>#VALUE!</v>
      </c>
      <c r="I1181" t="s">
        <v>7451</v>
      </c>
      <c r="J1181" t="s">
        <v>7452</v>
      </c>
      <c r="K1181" t="s">
        <v>7453</v>
      </c>
      <c r="L1181" t="s">
        <v>7447</v>
      </c>
    </row>
    <row r="1182" spans="1:12" x14ac:dyDescent="0.25">
      <c r="A1182">
        <v>331162</v>
      </c>
      <c r="B1182">
        <v>1502547</v>
      </c>
      <c r="D1182">
        <v>0</v>
      </c>
      <c r="E1182" t="s">
        <v>7455</v>
      </c>
      <c r="F1182" t="s">
        <v>7456</v>
      </c>
      <c r="G1182" t="s">
        <v>7457</v>
      </c>
      <c r="H1182" t="e" vm="525">
        <f>_FV(0,"0034701121584236184")</f>
        <v>#VALUE!</v>
      </c>
      <c r="I1182" t="s">
        <v>7458</v>
      </c>
      <c r="J1182" t="s">
        <v>7459</v>
      </c>
      <c r="K1182" t="s">
        <v>7460</v>
      </c>
      <c r="L1182" t="s">
        <v>7454</v>
      </c>
    </row>
    <row r="1183" spans="1:12" x14ac:dyDescent="0.25">
      <c r="A1183">
        <v>331162</v>
      </c>
      <c r="B1183">
        <v>331175</v>
      </c>
      <c r="D1183">
        <v>0</v>
      </c>
      <c r="E1183" t="s">
        <v>7462</v>
      </c>
      <c r="F1183" t="s">
        <v>7463</v>
      </c>
      <c r="G1183" t="s">
        <v>7464</v>
      </c>
      <c r="H1183" t="s">
        <v>7465</v>
      </c>
      <c r="I1183" t="s">
        <v>7466</v>
      </c>
      <c r="J1183" t="s">
        <v>7467</v>
      </c>
      <c r="K1183" t="s">
        <v>7468</v>
      </c>
      <c r="L1183" t="s">
        <v>7461</v>
      </c>
    </row>
    <row r="1184" spans="1:12" x14ac:dyDescent="0.25">
      <c r="A1184">
        <v>331162</v>
      </c>
      <c r="B1184">
        <v>1518033</v>
      </c>
      <c r="C1184" t="s">
        <v>7470</v>
      </c>
      <c r="D1184">
        <v>0</v>
      </c>
      <c r="E1184" t="s">
        <v>7471</v>
      </c>
      <c r="F1184" t="s">
        <v>7472</v>
      </c>
      <c r="G1184" t="s">
        <v>7473</v>
      </c>
      <c r="H1184" t="e" vm="526">
        <f>_FV(0,"002305740920017143")</f>
        <v>#VALUE!</v>
      </c>
      <c r="I1184" t="s">
        <v>7474</v>
      </c>
      <c r="J1184" t="s">
        <v>7475</v>
      </c>
      <c r="K1184" t="s">
        <v>7476</v>
      </c>
      <c r="L1184" t="s">
        <v>7469</v>
      </c>
    </row>
    <row r="1185" spans="1:12" x14ac:dyDescent="0.25">
      <c r="A1185">
        <v>331168</v>
      </c>
      <c r="B1185">
        <v>1502554</v>
      </c>
      <c r="D1185">
        <v>0</v>
      </c>
      <c r="E1185" t="s">
        <v>7478</v>
      </c>
      <c r="F1185" t="s">
        <v>7479</v>
      </c>
      <c r="G1185" t="s">
        <v>7480</v>
      </c>
      <c r="H1185" t="s">
        <v>7481</v>
      </c>
      <c r="I1185" t="s">
        <v>7482</v>
      </c>
      <c r="J1185" t="s">
        <v>7483</v>
      </c>
      <c r="K1185" t="s">
        <v>7484</v>
      </c>
      <c r="L1185" t="s">
        <v>7477</v>
      </c>
    </row>
    <row r="1186" spans="1:12" x14ac:dyDescent="0.25">
      <c r="A1186">
        <v>331168</v>
      </c>
      <c r="B1186">
        <v>688471</v>
      </c>
      <c r="D1186" t="s">
        <v>1875</v>
      </c>
      <c r="E1186" t="s">
        <v>7486</v>
      </c>
      <c r="F1186" t="s">
        <v>7487</v>
      </c>
      <c r="G1186" t="s">
        <v>7488</v>
      </c>
      <c r="H1186" t="s">
        <v>7489</v>
      </c>
      <c r="I1186" t="s">
        <v>7490</v>
      </c>
      <c r="J1186" t="s">
        <v>7491</v>
      </c>
      <c r="K1186" t="s">
        <v>7492</v>
      </c>
      <c r="L1186" t="s">
        <v>7485</v>
      </c>
    </row>
    <row r="1187" spans="1:12" x14ac:dyDescent="0.25">
      <c r="A1187">
        <v>331175</v>
      </c>
      <c r="B1187">
        <v>688441</v>
      </c>
      <c r="D1187" t="s">
        <v>514</v>
      </c>
      <c r="E1187" t="s">
        <v>7494</v>
      </c>
      <c r="F1187" t="s">
        <v>7495</v>
      </c>
      <c r="G1187" t="s">
        <v>7496</v>
      </c>
      <c r="H1187" t="s">
        <v>7497</v>
      </c>
      <c r="I1187" t="s">
        <v>7498</v>
      </c>
      <c r="J1187" t="s">
        <v>7499</v>
      </c>
      <c r="K1187" t="s">
        <v>7500</v>
      </c>
      <c r="L1187" t="s">
        <v>7493</v>
      </c>
    </row>
    <row r="1188" spans="1:12" x14ac:dyDescent="0.25">
      <c r="A1188">
        <v>331175</v>
      </c>
      <c r="B1188">
        <v>1502547</v>
      </c>
      <c r="D1188">
        <v>0</v>
      </c>
      <c r="E1188" t="s">
        <v>7502</v>
      </c>
      <c r="F1188" t="s">
        <v>7503</v>
      </c>
      <c r="G1188" t="s">
        <v>7504</v>
      </c>
      <c r="H1188" t="s">
        <v>7505</v>
      </c>
      <c r="I1188" t="s">
        <v>7506</v>
      </c>
      <c r="J1188" t="s">
        <v>7507</v>
      </c>
      <c r="K1188" t="s">
        <v>7508</v>
      </c>
      <c r="L1188" t="s">
        <v>7501</v>
      </c>
    </row>
    <row r="1189" spans="1:12" x14ac:dyDescent="0.25">
      <c r="A1189">
        <v>331416</v>
      </c>
      <c r="B1189">
        <v>331423</v>
      </c>
      <c r="D1189">
        <v>0</v>
      </c>
      <c r="E1189" t="s">
        <v>7510</v>
      </c>
      <c r="F1189" t="s">
        <v>7511</v>
      </c>
      <c r="G1189" t="s">
        <v>7512</v>
      </c>
      <c r="H1189" t="e" vm="527">
        <f>_FV(0,"07082086091844403")</f>
        <v>#VALUE!</v>
      </c>
      <c r="I1189" t="s">
        <v>7513</v>
      </c>
      <c r="J1189" t="s">
        <v>7514</v>
      </c>
      <c r="K1189" t="s">
        <v>7515</v>
      </c>
      <c r="L1189" t="s">
        <v>7509</v>
      </c>
    </row>
    <row r="1190" spans="1:12" x14ac:dyDescent="0.25">
      <c r="A1190">
        <v>331416</v>
      </c>
      <c r="B1190">
        <v>331436</v>
      </c>
      <c r="D1190">
        <v>0</v>
      </c>
      <c r="E1190" t="s">
        <v>7517</v>
      </c>
      <c r="F1190" t="s">
        <v>7518</v>
      </c>
      <c r="G1190" t="s">
        <v>7519</v>
      </c>
      <c r="H1190" t="e" vm="528">
        <f>_FV(0,"05977830159184644")</f>
        <v>#VALUE!</v>
      </c>
      <c r="I1190" t="s">
        <v>7520</v>
      </c>
      <c r="J1190" t="s">
        <v>7521</v>
      </c>
      <c r="K1190" t="s">
        <v>7522</v>
      </c>
      <c r="L1190" t="s">
        <v>7516</v>
      </c>
    </row>
    <row r="1191" spans="1:12" x14ac:dyDescent="0.25">
      <c r="A1191">
        <v>331416</v>
      </c>
      <c r="B1191">
        <v>331512</v>
      </c>
      <c r="D1191">
        <v>0</v>
      </c>
      <c r="F1191">
        <v>432280</v>
      </c>
      <c r="G1191">
        <v>331416</v>
      </c>
      <c r="H1191" t="e" vm="529">
        <f>_FV(0,"089")</f>
        <v>#VALUE!</v>
      </c>
      <c r="I1191">
        <v>331512</v>
      </c>
      <c r="J1191" t="s">
        <v>7523</v>
      </c>
      <c r="K1191" t="s">
        <v>7524</v>
      </c>
      <c r="L1191" t="e" vm="529">
        <f>_FV(0,"089")</f>
        <v>#VALUE!</v>
      </c>
    </row>
    <row r="1192" spans="1:12" x14ac:dyDescent="0.25">
      <c r="A1192">
        <v>331423</v>
      </c>
      <c r="B1192">
        <v>431853</v>
      </c>
      <c r="C1192" t="s">
        <v>7526</v>
      </c>
      <c r="D1192" t="s">
        <v>7527</v>
      </c>
      <c r="E1192" t="s">
        <v>7528</v>
      </c>
      <c r="F1192" t="s">
        <v>7529</v>
      </c>
      <c r="G1192" t="s">
        <v>7530</v>
      </c>
      <c r="H1192" t="s">
        <v>7531</v>
      </c>
      <c r="I1192" t="s">
        <v>7532</v>
      </c>
      <c r="J1192" t="s">
        <v>7533</v>
      </c>
      <c r="K1192" t="s">
        <v>7534</v>
      </c>
      <c r="L1192" t="s">
        <v>7525</v>
      </c>
    </row>
    <row r="1193" spans="1:12" x14ac:dyDescent="0.25">
      <c r="A1193">
        <v>331423</v>
      </c>
      <c r="B1193">
        <v>331436</v>
      </c>
      <c r="D1193">
        <v>0</v>
      </c>
      <c r="E1193" t="s">
        <v>7536</v>
      </c>
      <c r="F1193" t="s">
        <v>7537</v>
      </c>
      <c r="G1193" t="s">
        <v>7538</v>
      </c>
      <c r="H1193" t="e" vm="530">
        <f>_FV(0,"044270968095716255")</f>
        <v>#VALUE!</v>
      </c>
      <c r="I1193" t="s">
        <v>7539</v>
      </c>
      <c r="J1193" t="s">
        <v>7540</v>
      </c>
      <c r="K1193" t="s">
        <v>7541</v>
      </c>
      <c r="L1193" t="s">
        <v>7535</v>
      </c>
    </row>
    <row r="1194" spans="1:12" x14ac:dyDescent="0.25">
      <c r="A1194">
        <v>331436</v>
      </c>
      <c r="B1194">
        <v>331458</v>
      </c>
      <c r="D1194">
        <v>0</v>
      </c>
      <c r="F1194">
        <v>432304</v>
      </c>
      <c r="G1194">
        <v>331458</v>
      </c>
      <c r="H1194" t="s">
        <v>7542</v>
      </c>
      <c r="I1194">
        <v>331436</v>
      </c>
      <c r="J1194" t="s">
        <v>7542</v>
      </c>
      <c r="K1194" t="s">
        <v>7543</v>
      </c>
      <c r="L1194" t="s">
        <v>7542</v>
      </c>
    </row>
    <row r="1195" spans="1:12" x14ac:dyDescent="0.25">
      <c r="A1195">
        <v>331452</v>
      </c>
      <c r="B1195">
        <v>331458</v>
      </c>
      <c r="D1195">
        <v>0</v>
      </c>
      <c r="E1195" t="s">
        <v>7545</v>
      </c>
      <c r="F1195" t="s">
        <v>7546</v>
      </c>
      <c r="G1195" t="s">
        <v>7547</v>
      </c>
      <c r="H1195" t="e" vm="531">
        <f>_FV(0,"0736037491263843")</f>
        <v>#VALUE!</v>
      </c>
      <c r="I1195" t="s">
        <v>7548</v>
      </c>
      <c r="J1195" t="s">
        <v>7549</v>
      </c>
      <c r="K1195" t="s">
        <v>7550</v>
      </c>
      <c r="L1195" t="s">
        <v>7544</v>
      </c>
    </row>
    <row r="1196" spans="1:12" x14ac:dyDescent="0.25">
      <c r="A1196">
        <v>331452</v>
      </c>
      <c r="B1196">
        <v>331476</v>
      </c>
      <c r="D1196">
        <v>0</v>
      </c>
      <c r="E1196" t="s">
        <v>7552</v>
      </c>
      <c r="F1196" t="s">
        <v>7553</v>
      </c>
      <c r="G1196" t="s">
        <v>7554</v>
      </c>
      <c r="H1196" t="e" vm="532">
        <f>_FV(0,"04846894726170554")</f>
        <v>#VALUE!</v>
      </c>
      <c r="I1196" t="s">
        <v>7555</v>
      </c>
      <c r="J1196" t="s">
        <v>7556</v>
      </c>
      <c r="K1196" t="s">
        <v>7557</v>
      </c>
      <c r="L1196" t="s">
        <v>7551</v>
      </c>
    </row>
    <row r="1197" spans="1:12" x14ac:dyDescent="0.25">
      <c r="A1197">
        <v>331452</v>
      </c>
      <c r="B1197">
        <v>1170457</v>
      </c>
      <c r="C1197" t="s">
        <v>7559</v>
      </c>
      <c r="D1197" t="s">
        <v>7560</v>
      </c>
      <c r="E1197" t="s">
        <v>7561</v>
      </c>
      <c r="F1197" t="s">
        <v>7562</v>
      </c>
      <c r="G1197" t="s">
        <v>7563</v>
      </c>
      <c r="H1197" t="e" vm="533">
        <f>_FV(0,"00504853650002678")</f>
        <v>#VALUE!</v>
      </c>
      <c r="I1197" t="s">
        <v>7564</v>
      </c>
      <c r="J1197" t="s">
        <v>7565</v>
      </c>
      <c r="K1197" t="s">
        <v>7566</v>
      </c>
      <c r="L1197" t="s">
        <v>7558</v>
      </c>
    </row>
    <row r="1198" spans="1:12" x14ac:dyDescent="0.25">
      <c r="A1198">
        <v>331458</v>
      </c>
      <c r="B1198">
        <v>331476</v>
      </c>
      <c r="D1198">
        <v>0</v>
      </c>
      <c r="E1198" t="s">
        <v>7568</v>
      </c>
      <c r="F1198" t="s">
        <v>7569</v>
      </c>
      <c r="G1198" t="s">
        <v>7570</v>
      </c>
      <c r="H1198" t="s">
        <v>7571</v>
      </c>
      <c r="I1198" t="s">
        <v>7572</v>
      </c>
      <c r="J1198" t="s">
        <v>7573</v>
      </c>
      <c r="K1198" t="s">
        <v>7574</v>
      </c>
      <c r="L1198" t="s">
        <v>7567</v>
      </c>
    </row>
    <row r="1199" spans="1:12" x14ac:dyDescent="0.25">
      <c r="A1199">
        <v>331476</v>
      </c>
      <c r="B1199">
        <v>331482</v>
      </c>
      <c r="D1199">
        <v>0</v>
      </c>
      <c r="F1199">
        <v>343032</v>
      </c>
      <c r="G1199">
        <v>331482</v>
      </c>
      <c r="H1199" t="e" vm="87">
        <f>_FV(0,"001")</f>
        <v>#VALUE!</v>
      </c>
      <c r="I1199">
        <v>331476</v>
      </c>
      <c r="J1199" t="s">
        <v>1333</v>
      </c>
      <c r="K1199" t="s">
        <v>7575</v>
      </c>
      <c r="L1199" t="e" vm="87">
        <f>_FV(0,"001")</f>
        <v>#VALUE!</v>
      </c>
    </row>
    <row r="1200" spans="1:12" x14ac:dyDescent="0.25">
      <c r="A1200">
        <v>331482</v>
      </c>
      <c r="B1200">
        <v>331497</v>
      </c>
      <c r="D1200">
        <v>0</v>
      </c>
      <c r="E1200" t="s">
        <v>7577</v>
      </c>
      <c r="F1200" t="s">
        <v>7578</v>
      </c>
      <c r="G1200" t="s">
        <v>7579</v>
      </c>
      <c r="H1200" t="s">
        <v>7580</v>
      </c>
      <c r="I1200" t="s">
        <v>7581</v>
      </c>
      <c r="J1200" t="s">
        <v>7576</v>
      </c>
      <c r="K1200" t="s">
        <v>7582</v>
      </c>
      <c r="L1200" t="s">
        <v>7576</v>
      </c>
    </row>
    <row r="1201" spans="1:12" x14ac:dyDescent="0.25">
      <c r="A1201">
        <v>331482</v>
      </c>
      <c r="B1201">
        <v>331512</v>
      </c>
      <c r="D1201">
        <v>0</v>
      </c>
      <c r="E1201" t="s">
        <v>7584</v>
      </c>
      <c r="F1201" t="s">
        <v>7585</v>
      </c>
      <c r="G1201" t="s">
        <v>7586</v>
      </c>
      <c r="H1201" t="e" vm="534">
        <f>_FV(0,"057200866580821116")</f>
        <v>#VALUE!</v>
      </c>
      <c r="I1201" t="s">
        <v>7587</v>
      </c>
      <c r="J1201" t="s">
        <v>7588</v>
      </c>
      <c r="K1201" t="s">
        <v>7589</v>
      </c>
      <c r="L1201" t="s">
        <v>7583</v>
      </c>
    </row>
    <row r="1202" spans="1:12" x14ac:dyDescent="0.25">
      <c r="A1202">
        <v>331497</v>
      </c>
      <c r="B1202">
        <v>331534</v>
      </c>
      <c r="D1202">
        <v>0</v>
      </c>
      <c r="E1202" t="s">
        <v>7591</v>
      </c>
      <c r="F1202" t="s">
        <v>7592</v>
      </c>
      <c r="G1202" t="s">
        <v>7593</v>
      </c>
      <c r="H1202" t="s">
        <v>7594</v>
      </c>
      <c r="I1202" t="s">
        <v>7595</v>
      </c>
      <c r="J1202" t="s">
        <v>7590</v>
      </c>
      <c r="K1202" t="s">
        <v>7596</v>
      </c>
      <c r="L1202" t="s">
        <v>7590</v>
      </c>
    </row>
    <row r="1203" spans="1:12" x14ac:dyDescent="0.25">
      <c r="A1203">
        <v>331497</v>
      </c>
      <c r="B1203">
        <v>331512</v>
      </c>
      <c r="D1203">
        <v>0</v>
      </c>
      <c r="E1203" t="s">
        <v>7598</v>
      </c>
      <c r="F1203" t="s">
        <v>7599</v>
      </c>
      <c r="G1203" t="s">
        <v>7600</v>
      </c>
      <c r="H1203" t="s">
        <v>7601</v>
      </c>
      <c r="I1203" t="s">
        <v>7602</v>
      </c>
      <c r="J1203" t="s">
        <v>7597</v>
      </c>
      <c r="K1203" t="s">
        <v>7603</v>
      </c>
      <c r="L1203" t="s">
        <v>7597</v>
      </c>
    </row>
    <row r="1204" spans="1:12" x14ac:dyDescent="0.25">
      <c r="A1204">
        <v>331508</v>
      </c>
      <c r="B1204">
        <v>331553</v>
      </c>
      <c r="D1204">
        <v>0</v>
      </c>
      <c r="E1204" t="s">
        <v>7605</v>
      </c>
      <c r="F1204" t="s">
        <v>7606</v>
      </c>
      <c r="G1204" t="s">
        <v>7607</v>
      </c>
      <c r="H1204" t="e" vm="535">
        <f>_FV(0,"005849805097245759")</f>
        <v>#VALUE!</v>
      </c>
      <c r="I1204" t="s">
        <v>7608</v>
      </c>
      <c r="J1204" t="s">
        <v>7609</v>
      </c>
      <c r="K1204" t="s">
        <v>7610</v>
      </c>
      <c r="L1204" t="s">
        <v>7604</v>
      </c>
    </row>
    <row r="1205" spans="1:12" x14ac:dyDescent="0.25">
      <c r="A1205">
        <v>331534</v>
      </c>
      <c r="B1205">
        <v>331541</v>
      </c>
      <c r="D1205">
        <v>0</v>
      </c>
      <c r="E1205" t="s">
        <v>7612</v>
      </c>
      <c r="F1205" t="s">
        <v>7613</v>
      </c>
      <c r="G1205" t="s">
        <v>7614</v>
      </c>
      <c r="H1205" t="s">
        <v>7615</v>
      </c>
      <c r="I1205" t="s">
        <v>7616</v>
      </c>
      <c r="J1205" t="s">
        <v>7611</v>
      </c>
      <c r="K1205" t="s">
        <v>7617</v>
      </c>
      <c r="L1205" t="s">
        <v>7611</v>
      </c>
    </row>
    <row r="1206" spans="1:12" x14ac:dyDescent="0.25">
      <c r="A1206">
        <v>331534</v>
      </c>
      <c r="B1206">
        <v>331566</v>
      </c>
      <c r="D1206">
        <v>0</v>
      </c>
      <c r="E1206" t="s">
        <v>7619</v>
      </c>
      <c r="F1206" t="s">
        <v>7620</v>
      </c>
      <c r="G1206" t="s">
        <v>7621</v>
      </c>
      <c r="H1206" t="s">
        <v>7622</v>
      </c>
      <c r="I1206" t="s">
        <v>7623</v>
      </c>
      <c r="J1206" t="s">
        <v>7624</v>
      </c>
      <c r="K1206" t="s">
        <v>7625</v>
      </c>
      <c r="L1206" t="s">
        <v>7618</v>
      </c>
    </row>
    <row r="1207" spans="1:12" x14ac:dyDescent="0.25">
      <c r="A1207">
        <v>331541</v>
      </c>
      <c r="B1207">
        <v>331576</v>
      </c>
      <c r="D1207">
        <v>0</v>
      </c>
      <c r="E1207" t="s">
        <v>7627</v>
      </c>
      <c r="F1207" t="s">
        <v>7628</v>
      </c>
      <c r="G1207" t="s">
        <v>7629</v>
      </c>
      <c r="H1207" t="s">
        <v>7630</v>
      </c>
      <c r="I1207" t="s">
        <v>7631</v>
      </c>
      <c r="J1207" t="s">
        <v>7632</v>
      </c>
      <c r="K1207" t="s">
        <v>7633</v>
      </c>
      <c r="L1207" t="s">
        <v>7626</v>
      </c>
    </row>
    <row r="1208" spans="1:12" x14ac:dyDescent="0.25">
      <c r="A1208">
        <v>331541</v>
      </c>
      <c r="B1208">
        <v>331566</v>
      </c>
      <c r="D1208">
        <v>0</v>
      </c>
      <c r="E1208" t="s">
        <v>7635</v>
      </c>
      <c r="F1208" t="s">
        <v>7636</v>
      </c>
      <c r="G1208" t="s">
        <v>7637</v>
      </c>
      <c r="H1208" t="s">
        <v>7638</v>
      </c>
      <c r="I1208" t="s">
        <v>7639</v>
      </c>
      <c r="J1208" t="s">
        <v>7640</v>
      </c>
      <c r="K1208" t="s">
        <v>7641</v>
      </c>
      <c r="L1208" t="s">
        <v>7634</v>
      </c>
    </row>
    <row r="1209" spans="1:12" x14ac:dyDescent="0.25">
      <c r="A1209">
        <v>331553</v>
      </c>
      <c r="B1209">
        <v>332126</v>
      </c>
      <c r="D1209" t="s">
        <v>7643</v>
      </c>
      <c r="E1209" t="s">
        <v>7644</v>
      </c>
      <c r="F1209" t="s">
        <v>7645</v>
      </c>
      <c r="G1209" t="s">
        <v>7646</v>
      </c>
      <c r="H1209" t="s">
        <v>7647</v>
      </c>
      <c r="I1209" t="s">
        <v>7648</v>
      </c>
      <c r="J1209" t="s">
        <v>7649</v>
      </c>
      <c r="K1209" t="s">
        <v>7650</v>
      </c>
      <c r="L1209" t="s">
        <v>7642</v>
      </c>
    </row>
    <row r="1210" spans="1:12" x14ac:dyDescent="0.25">
      <c r="A1210">
        <v>331566</v>
      </c>
      <c r="B1210">
        <v>331599</v>
      </c>
      <c r="D1210">
        <v>0</v>
      </c>
      <c r="F1210">
        <v>432240</v>
      </c>
      <c r="G1210">
        <v>331566</v>
      </c>
      <c r="H1210" t="e" vm="87">
        <f>_FV(0,"001")</f>
        <v>#VALUE!</v>
      </c>
      <c r="I1210">
        <v>331599</v>
      </c>
      <c r="J1210" t="s">
        <v>1333</v>
      </c>
      <c r="K1210" t="s">
        <v>7651</v>
      </c>
      <c r="L1210" t="e" vm="87">
        <f>_FV(0,"001")</f>
        <v>#VALUE!</v>
      </c>
    </row>
    <row r="1211" spans="1:12" x14ac:dyDescent="0.25">
      <c r="A1211">
        <v>331576</v>
      </c>
      <c r="B1211">
        <v>331577</v>
      </c>
      <c r="D1211">
        <v>0</v>
      </c>
      <c r="F1211">
        <v>342960</v>
      </c>
      <c r="G1211">
        <v>331577</v>
      </c>
      <c r="H1211" t="s">
        <v>30</v>
      </c>
      <c r="I1211">
        <v>331576</v>
      </c>
      <c r="J1211" t="s">
        <v>30</v>
      </c>
      <c r="K1211" t="s">
        <v>7652</v>
      </c>
      <c r="L1211" t="s">
        <v>30</v>
      </c>
    </row>
    <row r="1212" spans="1:12" x14ac:dyDescent="0.25">
      <c r="A1212">
        <v>331576</v>
      </c>
      <c r="B1212">
        <v>331599</v>
      </c>
      <c r="D1212">
        <v>0</v>
      </c>
      <c r="E1212" t="s">
        <v>7654</v>
      </c>
      <c r="F1212" t="s">
        <v>7655</v>
      </c>
      <c r="G1212" t="s">
        <v>7656</v>
      </c>
      <c r="H1212" t="e" vm="536">
        <f>_FV(0,"08418169404402463")</f>
        <v>#VALUE!</v>
      </c>
      <c r="I1212" t="s">
        <v>7657</v>
      </c>
      <c r="J1212" t="s">
        <v>7658</v>
      </c>
      <c r="K1212" t="s">
        <v>7659</v>
      </c>
      <c r="L1212" t="s">
        <v>7653</v>
      </c>
    </row>
    <row r="1213" spans="1:12" x14ac:dyDescent="0.25">
      <c r="A1213">
        <v>331577</v>
      </c>
      <c r="B1213">
        <v>917559</v>
      </c>
      <c r="C1213" t="s">
        <v>7661</v>
      </c>
      <c r="D1213" t="s">
        <v>7662</v>
      </c>
      <c r="E1213" t="s">
        <v>7663</v>
      </c>
      <c r="F1213" t="s">
        <v>7664</v>
      </c>
      <c r="G1213" t="s">
        <v>7665</v>
      </c>
      <c r="H1213" t="s">
        <v>7666</v>
      </c>
      <c r="I1213" t="s">
        <v>7667</v>
      </c>
      <c r="J1213" t="s">
        <v>7668</v>
      </c>
      <c r="K1213" t="s">
        <v>7669</v>
      </c>
      <c r="L1213" t="s">
        <v>7660</v>
      </c>
    </row>
    <row r="1214" spans="1:12" x14ac:dyDescent="0.25">
      <c r="A1214">
        <v>331577</v>
      </c>
      <c r="B1214">
        <v>331599</v>
      </c>
      <c r="D1214">
        <v>0</v>
      </c>
      <c r="F1214">
        <v>342984</v>
      </c>
      <c r="G1214">
        <v>331577</v>
      </c>
      <c r="H1214" t="s">
        <v>7670</v>
      </c>
      <c r="I1214">
        <v>331599</v>
      </c>
      <c r="J1214" t="s">
        <v>7670</v>
      </c>
      <c r="K1214" t="s">
        <v>7671</v>
      </c>
      <c r="L1214" t="s">
        <v>7670</v>
      </c>
    </row>
    <row r="1215" spans="1:12" x14ac:dyDescent="0.25">
      <c r="A1215">
        <v>331611</v>
      </c>
      <c r="B1215">
        <v>331663</v>
      </c>
      <c r="D1215">
        <v>0</v>
      </c>
      <c r="E1215" t="s">
        <v>7673</v>
      </c>
      <c r="F1215" t="s">
        <v>7674</v>
      </c>
      <c r="G1215" t="s">
        <v>7675</v>
      </c>
      <c r="H1215" t="s">
        <v>7676</v>
      </c>
      <c r="I1215" t="s">
        <v>7677</v>
      </c>
      <c r="J1215" t="s">
        <v>7678</v>
      </c>
      <c r="K1215" t="s">
        <v>7679</v>
      </c>
      <c r="L1215" t="s">
        <v>7672</v>
      </c>
    </row>
    <row r="1216" spans="1:12" x14ac:dyDescent="0.25">
      <c r="A1216">
        <v>331663</v>
      </c>
      <c r="B1216">
        <v>332224</v>
      </c>
      <c r="D1216" t="s">
        <v>7681</v>
      </c>
      <c r="E1216" t="s">
        <v>7682</v>
      </c>
      <c r="F1216" t="s">
        <v>7683</v>
      </c>
      <c r="G1216" t="s">
        <v>7684</v>
      </c>
      <c r="H1216" t="s">
        <v>7685</v>
      </c>
      <c r="I1216" t="s">
        <v>7686</v>
      </c>
      <c r="J1216" t="s">
        <v>7687</v>
      </c>
      <c r="K1216" t="s">
        <v>7688</v>
      </c>
      <c r="L1216" t="s">
        <v>7680</v>
      </c>
    </row>
    <row r="1217" spans="1:12" x14ac:dyDescent="0.25">
      <c r="A1217">
        <v>331836</v>
      </c>
      <c r="B1217">
        <v>332126</v>
      </c>
      <c r="D1217">
        <v>0</v>
      </c>
      <c r="E1217" t="s">
        <v>7690</v>
      </c>
      <c r="F1217" t="s">
        <v>7691</v>
      </c>
      <c r="G1217" t="s">
        <v>7692</v>
      </c>
      <c r="H1217" t="s">
        <v>7693</v>
      </c>
      <c r="I1217" t="s">
        <v>7694</v>
      </c>
      <c r="J1217" t="s">
        <v>7695</v>
      </c>
      <c r="K1217" t="s">
        <v>7696</v>
      </c>
      <c r="L1217" t="s">
        <v>7689</v>
      </c>
    </row>
    <row r="1218" spans="1:12" x14ac:dyDescent="0.25">
      <c r="A1218">
        <v>331836</v>
      </c>
      <c r="B1218">
        <v>331992</v>
      </c>
      <c r="C1218" t="s">
        <v>7698</v>
      </c>
      <c r="D1218" t="s">
        <v>7699</v>
      </c>
      <c r="E1218" t="s">
        <v>7700</v>
      </c>
      <c r="F1218" t="s">
        <v>7701</v>
      </c>
      <c r="G1218" t="s">
        <v>7702</v>
      </c>
      <c r="H1218" t="e" vm="537">
        <f>_FV(0,"0034521207147448657")</f>
        <v>#VALUE!</v>
      </c>
      <c r="I1218" t="s">
        <v>7703</v>
      </c>
      <c r="J1218" t="s">
        <v>7704</v>
      </c>
      <c r="K1218" t="s">
        <v>7705</v>
      </c>
      <c r="L1218" t="s">
        <v>7697</v>
      </c>
    </row>
    <row r="1219" spans="1:12" x14ac:dyDescent="0.25">
      <c r="A1219">
        <v>331992</v>
      </c>
      <c r="B1219">
        <v>332026</v>
      </c>
      <c r="D1219">
        <v>0</v>
      </c>
      <c r="E1219" t="s">
        <v>7707</v>
      </c>
      <c r="F1219" t="s">
        <v>7708</v>
      </c>
      <c r="G1219" t="s">
        <v>7709</v>
      </c>
      <c r="H1219" t="e" vm="538">
        <f>_FV(-3,"916235220720764e")-5</f>
        <v>#VALUE!</v>
      </c>
      <c r="I1219" t="s">
        <v>7710</v>
      </c>
      <c r="J1219" t="s">
        <v>7711</v>
      </c>
      <c r="K1219" t="s">
        <v>7712</v>
      </c>
      <c r="L1219" t="s">
        <v>7706</v>
      </c>
    </row>
    <row r="1220" spans="1:12" x14ac:dyDescent="0.25">
      <c r="A1220">
        <v>332224</v>
      </c>
      <c r="B1220">
        <v>332455</v>
      </c>
      <c r="D1220">
        <v>0</v>
      </c>
      <c r="E1220" t="s">
        <v>7714</v>
      </c>
      <c r="F1220" t="s">
        <v>7715</v>
      </c>
      <c r="G1220" t="s">
        <v>7716</v>
      </c>
      <c r="H1220" t="e" vm="539">
        <f>_FV(0,"0075432140919446215")</f>
        <v>#VALUE!</v>
      </c>
      <c r="I1220" t="s">
        <v>7717</v>
      </c>
      <c r="J1220" t="s">
        <v>7718</v>
      </c>
      <c r="K1220" t="s">
        <v>7719</v>
      </c>
      <c r="L1220" t="s">
        <v>7713</v>
      </c>
    </row>
    <row r="1221" spans="1:12" x14ac:dyDescent="0.25">
      <c r="A1221">
        <v>332564</v>
      </c>
      <c r="B1221">
        <v>332584</v>
      </c>
      <c r="C1221" t="s">
        <v>7721</v>
      </c>
      <c r="D1221">
        <v>0</v>
      </c>
      <c r="E1221" t="s">
        <v>7722</v>
      </c>
      <c r="F1221" t="s">
        <v>7723</v>
      </c>
      <c r="G1221" t="s">
        <v>7724</v>
      </c>
      <c r="H1221" t="s">
        <v>7725</v>
      </c>
      <c r="I1221" t="s">
        <v>7726</v>
      </c>
      <c r="J1221" t="s">
        <v>7727</v>
      </c>
      <c r="K1221" t="s">
        <v>7728</v>
      </c>
      <c r="L1221" t="s">
        <v>7720</v>
      </c>
    </row>
    <row r="1222" spans="1:12" x14ac:dyDescent="0.25">
      <c r="A1222">
        <v>332564</v>
      </c>
      <c r="B1222">
        <v>1363664</v>
      </c>
      <c r="D1222">
        <v>0</v>
      </c>
      <c r="E1222" t="s">
        <v>7730</v>
      </c>
      <c r="F1222" t="s">
        <v>7731</v>
      </c>
      <c r="G1222" t="s">
        <v>7732</v>
      </c>
      <c r="H1222" t="s">
        <v>7733</v>
      </c>
      <c r="I1222" t="s">
        <v>7734</v>
      </c>
      <c r="J1222" t="s">
        <v>7735</v>
      </c>
      <c r="K1222" t="s">
        <v>7736</v>
      </c>
      <c r="L1222" t="s">
        <v>7729</v>
      </c>
    </row>
    <row r="1223" spans="1:12" x14ac:dyDescent="0.25">
      <c r="A1223">
        <v>332584</v>
      </c>
      <c r="B1223">
        <v>1363794</v>
      </c>
      <c r="D1223" t="s">
        <v>7738</v>
      </c>
      <c r="E1223" t="s">
        <v>7739</v>
      </c>
      <c r="F1223" t="s">
        <v>7740</v>
      </c>
      <c r="G1223" t="s">
        <v>7741</v>
      </c>
      <c r="H1223" t="s">
        <v>7742</v>
      </c>
      <c r="I1223" t="s">
        <v>7743</v>
      </c>
      <c r="J1223" t="s">
        <v>7744</v>
      </c>
      <c r="K1223" t="s">
        <v>7745</v>
      </c>
      <c r="L1223" t="s">
        <v>7737</v>
      </c>
    </row>
    <row r="1224" spans="1:12" x14ac:dyDescent="0.25">
      <c r="A1224">
        <v>332952</v>
      </c>
      <c r="B1224">
        <v>1854796</v>
      </c>
      <c r="C1224" t="s">
        <v>7746</v>
      </c>
      <c r="D1224">
        <v>0</v>
      </c>
      <c r="E1224" t="s">
        <v>7747</v>
      </c>
      <c r="H1224" t="s">
        <v>187</v>
      </c>
      <c r="J1224">
        <v>0</v>
      </c>
      <c r="K1224" t="s">
        <v>7748</v>
      </c>
      <c r="L1224">
        <v>0</v>
      </c>
    </row>
    <row r="1225" spans="1:12" x14ac:dyDescent="0.25">
      <c r="A1225">
        <v>332952</v>
      </c>
      <c r="B1225">
        <v>726939</v>
      </c>
      <c r="D1225">
        <v>0</v>
      </c>
      <c r="E1225" t="s">
        <v>7750</v>
      </c>
      <c r="F1225" t="s">
        <v>7751</v>
      </c>
      <c r="G1225" t="s">
        <v>7752</v>
      </c>
      <c r="H1225" t="s">
        <v>7753</v>
      </c>
      <c r="I1225" t="s">
        <v>7754</v>
      </c>
      <c r="J1225" t="s">
        <v>7755</v>
      </c>
      <c r="K1225" t="s">
        <v>7756</v>
      </c>
      <c r="L1225" t="s">
        <v>7749</v>
      </c>
    </row>
    <row r="1226" spans="1:12" x14ac:dyDescent="0.25">
      <c r="A1226">
        <v>332952</v>
      </c>
      <c r="B1226">
        <v>726944</v>
      </c>
      <c r="D1226">
        <v>0</v>
      </c>
      <c r="E1226" t="s">
        <v>7758</v>
      </c>
      <c r="F1226" t="s">
        <v>7759</v>
      </c>
      <c r="G1226" t="s">
        <v>7760</v>
      </c>
      <c r="H1226" t="s">
        <v>7761</v>
      </c>
      <c r="I1226" t="s">
        <v>7762</v>
      </c>
      <c r="J1226" t="s">
        <v>7763</v>
      </c>
      <c r="K1226" t="s">
        <v>7764</v>
      </c>
      <c r="L1226" t="s">
        <v>7757</v>
      </c>
    </row>
    <row r="1227" spans="1:12" x14ac:dyDescent="0.25">
      <c r="A1227">
        <v>333222</v>
      </c>
      <c r="B1227">
        <v>1239796</v>
      </c>
      <c r="D1227">
        <v>0</v>
      </c>
      <c r="E1227" t="s">
        <v>7766</v>
      </c>
      <c r="F1227" t="s">
        <v>7767</v>
      </c>
      <c r="G1227" t="s">
        <v>7768</v>
      </c>
      <c r="H1227" t="e" vm="540">
        <f>_FV(0,"003695210773223967")</f>
        <v>#VALUE!</v>
      </c>
      <c r="I1227" t="s">
        <v>7769</v>
      </c>
      <c r="J1227" t="s">
        <v>7770</v>
      </c>
      <c r="K1227" t="s">
        <v>7771</v>
      </c>
      <c r="L1227" t="s">
        <v>7765</v>
      </c>
    </row>
    <row r="1228" spans="1:12" x14ac:dyDescent="0.25">
      <c r="A1228">
        <v>333222</v>
      </c>
      <c r="B1228">
        <v>1499753</v>
      </c>
      <c r="D1228" t="s">
        <v>3604</v>
      </c>
      <c r="E1228" t="s">
        <v>7773</v>
      </c>
      <c r="F1228" t="s">
        <v>7774</v>
      </c>
      <c r="G1228" t="s">
        <v>7775</v>
      </c>
      <c r="H1228" t="s">
        <v>7776</v>
      </c>
      <c r="I1228" t="s">
        <v>7777</v>
      </c>
      <c r="J1228" t="s">
        <v>7778</v>
      </c>
      <c r="K1228" t="s">
        <v>7779</v>
      </c>
      <c r="L1228" t="s">
        <v>7772</v>
      </c>
    </row>
    <row r="1229" spans="1:12" x14ac:dyDescent="0.25">
      <c r="A1229">
        <v>333222</v>
      </c>
      <c r="B1229">
        <v>1499593</v>
      </c>
      <c r="D1229" t="s">
        <v>7781</v>
      </c>
      <c r="E1229" t="s">
        <v>7782</v>
      </c>
      <c r="F1229" t="s">
        <v>7783</v>
      </c>
      <c r="G1229" t="s">
        <v>7784</v>
      </c>
      <c r="H1229" t="e" vm="541">
        <f>_FV(0,"011108020710681565")</f>
        <v>#VALUE!</v>
      </c>
      <c r="I1229" t="s">
        <v>7785</v>
      </c>
      <c r="J1229" t="s">
        <v>7786</v>
      </c>
      <c r="K1229" t="s">
        <v>7787</v>
      </c>
      <c r="L1229" t="s">
        <v>7780</v>
      </c>
    </row>
    <row r="1230" spans="1:12" x14ac:dyDescent="0.25">
      <c r="A1230">
        <v>335222</v>
      </c>
      <c r="B1230">
        <v>944789</v>
      </c>
      <c r="D1230">
        <v>0</v>
      </c>
      <c r="E1230" t="s">
        <v>7789</v>
      </c>
      <c r="F1230" t="s">
        <v>7790</v>
      </c>
      <c r="G1230" t="s">
        <v>7791</v>
      </c>
      <c r="H1230" t="e" vm="542">
        <f>_FV(0,"005443004003628599")</f>
        <v>#VALUE!</v>
      </c>
      <c r="I1230" t="s">
        <v>7792</v>
      </c>
      <c r="J1230" t="s">
        <v>7793</v>
      </c>
      <c r="K1230" t="s">
        <v>7794</v>
      </c>
      <c r="L1230" t="s">
        <v>7788</v>
      </c>
    </row>
    <row r="1231" spans="1:12" x14ac:dyDescent="0.25">
      <c r="A1231">
        <v>335222</v>
      </c>
      <c r="B1231">
        <v>344137</v>
      </c>
      <c r="D1231">
        <v>0</v>
      </c>
      <c r="E1231" t="s">
        <v>7796</v>
      </c>
      <c r="F1231" t="s">
        <v>7797</v>
      </c>
      <c r="G1231" t="s">
        <v>7798</v>
      </c>
      <c r="H1231" t="s">
        <v>7799</v>
      </c>
      <c r="I1231" t="s">
        <v>7800</v>
      </c>
      <c r="J1231" t="s">
        <v>7801</v>
      </c>
      <c r="K1231" t="s">
        <v>7802</v>
      </c>
      <c r="L1231" t="s">
        <v>7795</v>
      </c>
    </row>
    <row r="1232" spans="1:12" x14ac:dyDescent="0.25">
      <c r="A1232">
        <v>335222</v>
      </c>
      <c r="B1232">
        <v>945733</v>
      </c>
      <c r="D1232">
        <v>0</v>
      </c>
      <c r="E1232" t="s">
        <v>7804</v>
      </c>
      <c r="F1232" t="s">
        <v>7805</v>
      </c>
      <c r="G1232" t="s">
        <v>7806</v>
      </c>
      <c r="H1232" t="s">
        <v>7807</v>
      </c>
      <c r="I1232" t="s">
        <v>7808</v>
      </c>
      <c r="J1232" t="s">
        <v>7809</v>
      </c>
      <c r="K1232" t="s">
        <v>7810</v>
      </c>
      <c r="L1232" t="s">
        <v>7803</v>
      </c>
    </row>
    <row r="1233" spans="1:12" x14ac:dyDescent="0.25">
      <c r="A1233">
        <v>336715</v>
      </c>
      <c r="B1233">
        <v>362460</v>
      </c>
      <c r="D1233">
        <v>0</v>
      </c>
      <c r="E1233" t="s">
        <v>7812</v>
      </c>
      <c r="F1233" t="s">
        <v>7813</v>
      </c>
      <c r="G1233" t="s">
        <v>7814</v>
      </c>
      <c r="H1233" t="s">
        <v>7815</v>
      </c>
      <c r="I1233" t="s">
        <v>7816</v>
      </c>
      <c r="J1233" t="s">
        <v>7811</v>
      </c>
      <c r="K1233" t="s">
        <v>7817</v>
      </c>
      <c r="L1233" t="s">
        <v>7811</v>
      </c>
    </row>
    <row r="1234" spans="1:12" x14ac:dyDescent="0.25">
      <c r="A1234">
        <v>336748</v>
      </c>
      <c r="B1234">
        <v>361978</v>
      </c>
      <c r="D1234">
        <v>0</v>
      </c>
      <c r="E1234" t="s">
        <v>7819</v>
      </c>
      <c r="F1234" t="s">
        <v>7820</v>
      </c>
      <c r="G1234" t="s">
        <v>7821</v>
      </c>
      <c r="H1234" t="e" vm="543">
        <f>_FV(0,"007895309729207371")</f>
        <v>#VALUE!</v>
      </c>
      <c r="I1234" t="s">
        <v>7822</v>
      </c>
      <c r="J1234" t="s">
        <v>7823</v>
      </c>
      <c r="K1234" t="s">
        <v>7824</v>
      </c>
      <c r="L1234" t="s">
        <v>7818</v>
      </c>
    </row>
    <row r="1235" spans="1:12" x14ac:dyDescent="0.25">
      <c r="A1235">
        <v>336754</v>
      </c>
      <c r="B1235">
        <v>362485</v>
      </c>
      <c r="D1235" t="s">
        <v>514</v>
      </c>
      <c r="E1235" t="s">
        <v>7826</v>
      </c>
      <c r="F1235" t="s">
        <v>7827</v>
      </c>
      <c r="G1235" t="s">
        <v>7828</v>
      </c>
      <c r="H1235" t="e" vm="544">
        <f>_FV(0,"012982131091270985")</f>
        <v>#VALUE!</v>
      </c>
      <c r="I1235" t="s">
        <v>7829</v>
      </c>
      <c r="J1235" t="s">
        <v>7830</v>
      </c>
      <c r="K1235" t="s">
        <v>7831</v>
      </c>
      <c r="L1235" t="s">
        <v>7825</v>
      </c>
    </row>
    <row r="1236" spans="1:12" x14ac:dyDescent="0.25">
      <c r="A1236">
        <v>336874</v>
      </c>
      <c r="B1236">
        <v>336880</v>
      </c>
      <c r="D1236">
        <v>0</v>
      </c>
      <c r="E1236" t="s">
        <v>7833</v>
      </c>
      <c r="F1236" t="s">
        <v>7834</v>
      </c>
      <c r="G1236" t="s">
        <v>7835</v>
      </c>
      <c r="H1236" t="s">
        <v>7836</v>
      </c>
      <c r="I1236" t="s">
        <v>7837</v>
      </c>
      <c r="J1236" t="s">
        <v>7832</v>
      </c>
      <c r="K1236" t="s">
        <v>7838</v>
      </c>
      <c r="L1236" t="s">
        <v>7832</v>
      </c>
    </row>
    <row r="1237" spans="1:12" x14ac:dyDescent="0.25">
      <c r="A1237">
        <v>336874</v>
      </c>
      <c r="B1237">
        <v>362298</v>
      </c>
      <c r="D1237">
        <v>0</v>
      </c>
      <c r="E1237" t="s">
        <v>7840</v>
      </c>
      <c r="F1237" t="s">
        <v>7841</v>
      </c>
      <c r="G1237" t="s">
        <v>7842</v>
      </c>
      <c r="H1237" t="s">
        <v>7843</v>
      </c>
      <c r="I1237" t="s">
        <v>7844</v>
      </c>
      <c r="J1237" t="s">
        <v>1783</v>
      </c>
      <c r="K1237" t="s">
        <v>7845</v>
      </c>
      <c r="L1237" t="s">
        <v>7839</v>
      </c>
    </row>
    <row r="1238" spans="1:12" x14ac:dyDescent="0.25">
      <c r="A1238">
        <v>336874</v>
      </c>
      <c r="B1238">
        <v>362525</v>
      </c>
      <c r="D1238">
        <v>0</v>
      </c>
      <c r="E1238" t="s">
        <v>7847</v>
      </c>
      <c r="F1238" t="s">
        <v>7848</v>
      </c>
      <c r="G1238" t="s">
        <v>7849</v>
      </c>
      <c r="H1238" t="s">
        <v>7850</v>
      </c>
      <c r="I1238" t="s">
        <v>7851</v>
      </c>
      <c r="J1238" t="s">
        <v>7852</v>
      </c>
      <c r="K1238" t="s">
        <v>7853</v>
      </c>
      <c r="L1238" t="s">
        <v>7846</v>
      </c>
    </row>
    <row r="1239" spans="1:12" x14ac:dyDescent="0.25">
      <c r="A1239">
        <v>336880</v>
      </c>
      <c r="B1239">
        <v>362600</v>
      </c>
      <c r="D1239">
        <v>0</v>
      </c>
      <c r="F1239">
        <v>373579</v>
      </c>
      <c r="G1239">
        <v>362600</v>
      </c>
      <c r="H1239" t="e" vm="144">
        <f>_FV(0,"003")</f>
        <v>#VALUE!</v>
      </c>
      <c r="I1239">
        <v>336880</v>
      </c>
      <c r="J1239" t="s">
        <v>1783</v>
      </c>
      <c r="K1239" t="s">
        <v>7854</v>
      </c>
      <c r="L1239" t="e" vm="144">
        <f>_FV(0,"003")</f>
        <v>#VALUE!</v>
      </c>
    </row>
    <row r="1240" spans="1:12" x14ac:dyDescent="0.25">
      <c r="A1240">
        <v>336880</v>
      </c>
      <c r="B1240">
        <v>362201</v>
      </c>
      <c r="D1240" t="s">
        <v>7856</v>
      </c>
      <c r="E1240" t="s">
        <v>7857</v>
      </c>
      <c r="F1240" t="s">
        <v>7858</v>
      </c>
      <c r="G1240" t="s">
        <v>7859</v>
      </c>
      <c r="H1240" t="s">
        <v>7860</v>
      </c>
      <c r="I1240" t="s">
        <v>7861</v>
      </c>
      <c r="J1240" t="s">
        <v>7855</v>
      </c>
      <c r="K1240" t="s">
        <v>7862</v>
      </c>
      <c r="L1240" t="s">
        <v>7855</v>
      </c>
    </row>
    <row r="1241" spans="1:12" x14ac:dyDescent="0.25">
      <c r="A1241">
        <v>336901</v>
      </c>
      <c r="B1241">
        <v>362881</v>
      </c>
      <c r="D1241">
        <v>0</v>
      </c>
      <c r="F1241">
        <v>374204</v>
      </c>
      <c r="G1241">
        <v>362881</v>
      </c>
      <c r="H1241" t="e" vm="12">
        <f>_FV(0,"005")</f>
        <v>#VALUE!</v>
      </c>
      <c r="I1241">
        <v>336901</v>
      </c>
      <c r="J1241" t="s">
        <v>194</v>
      </c>
      <c r="K1241" t="s">
        <v>7863</v>
      </c>
      <c r="L1241" t="e" vm="12">
        <f>_FV(0,"005")</f>
        <v>#VALUE!</v>
      </c>
    </row>
    <row r="1242" spans="1:12" x14ac:dyDescent="0.25">
      <c r="A1242">
        <v>336901</v>
      </c>
      <c r="B1242">
        <v>361995</v>
      </c>
      <c r="D1242">
        <v>0</v>
      </c>
      <c r="E1242" t="s">
        <v>7865</v>
      </c>
      <c r="F1242" t="s">
        <v>7866</v>
      </c>
      <c r="G1242" t="s">
        <v>7867</v>
      </c>
      <c r="H1242" t="e" vm="545">
        <f>_FV(0,"001229462124515986")</f>
        <v>#VALUE!</v>
      </c>
      <c r="I1242" t="s">
        <v>7868</v>
      </c>
      <c r="J1242" t="s">
        <v>7869</v>
      </c>
      <c r="K1242" t="s">
        <v>7870</v>
      </c>
      <c r="L1242" t="s">
        <v>7864</v>
      </c>
    </row>
    <row r="1243" spans="1:12" x14ac:dyDescent="0.25">
      <c r="A1243">
        <v>336901</v>
      </c>
      <c r="B1243">
        <v>362648</v>
      </c>
      <c r="D1243">
        <v>0</v>
      </c>
      <c r="E1243" t="s">
        <v>7872</v>
      </c>
      <c r="F1243" t="s">
        <v>7873</v>
      </c>
      <c r="G1243" t="s">
        <v>7874</v>
      </c>
      <c r="H1243" t="e" vm="546">
        <f>_FV(0,"0035695195533883327")</f>
        <v>#VALUE!</v>
      </c>
      <c r="I1243" t="s">
        <v>7875</v>
      </c>
      <c r="J1243" t="s">
        <v>7876</v>
      </c>
      <c r="K1243" t="s">
        <v>7877</v>
      </c>
      <c r="L1243" t="s">
        <v>7871</v>
      </c>
    </row>
    <row r="1244" spans="1:12" x14ac:dyDescent="0.25">
      <c r="A1244">
        <v>336975</v>
      </c>
      <c r="B1244">
        <v>336984</v>
      </c>
      <c r="D1244">
        <v>0</v>
      </c>
      <c r="E1244" t="s">
        <v>7879</v>
      </c>
      <c r="F1244" t="s">
        <v>7880</v>
      </c>
      <c r="G1244" t="s">
        <v>7881</v>
      </c>
      <c r="H1244" t="s">
        <v>7882</v>
      </c>
      <c r="I1244" t="s">
        <v>7883</v>
      </c>
      <c r="J1244" t="s">
        <v>7884</v>
      </c>
      <c r="K1244" t="s">
        <v>7885</v>
      </c>
      <c r="L1244" t="s">
        <v>7878</v>
      </c>
    </row>
    <row r="1245" spans="1:12" x14ac:dyDescent="0.25">
      <c r="A1245">
        <v>336975</v>
      </c>
      <c r="B1245">
        <v>362656</v>
      </c>
      <c r="D1245">
        <v>0</v>
      </c>
      <c r="F1245">
        <v>373996</v>
      </c>
      <c r="G1245">
        <v>336975</v>
      </c>
      <c r="H1245" t="e" vm="47">
        <f>_FV(0,"016")</f>
        <v>#VALUE!</v>
      </c>
      <c r="I1245">
        <v>362656</v>
      </c>
      <c r="J1245" t="s">
        <v>737</v>
      </c>
      <c r="K1245" t="s">
        <v>7886</v>
      </c>
      <c r="L1245" t="e" vm="47">
        <f>_FV(0,"016")</f>
        <v>#VALUE!</v>
      </c>
    </row>
    <row r="1246" spans="1:12" x14ac:dyDescent="0.25">
      <c r="A1246">
        <v>336975</v>
      </c>
      <c r="B1246">
        <v>362779</v>
      </c>
      <c r="D1246">
        <v>0</v>
      </c>
      <c r="E1246" t="s">
        <v>7888</v>
      </c>
      <c r="F1246" t="s">
        <v>7889</v>
      </c>
      <c r="G1246" t="s">
        <v>7890</v>
      </c>
      <c r="H1246" t="s">
        <v>7891</v>
      </c>
      <c r="I1246" t="s">
        <v>7892</v>
      </c>
      <c r="J1246" t="s">
        <v>7893</v>
      </c>
      <c r="K1246" t="s">
        <v>7894</v>
      </c>
      <c r="L1246" t="s">
        <v>7887</v>
      </c>
    </row>
    <row r="1247" spans="1:12" x14ac:dyDescent="0.25">
      <c r="A1247">
        <v>336984</v>
      </c>
      <c r="B1247">
        <v>362735</v>
      </c>
      <c r="D1247">
        <v>0</v>
      </c>
      <c r="F1247">
        <v>374036</v>
      </c>
      <c r="G1247">
        <v>362735</v>
      </c>
      <c r="H1247" t="s">
        <v>2068</v>
      </c>
      <c r="I1247">
        <v>336984</v>
      </c>
      <c r="J1247" t="s">
        <v>2068</v>
      </c>
      <c r="K1247" t="s">
        <v>7895</v>
      </c>
      <c r="L1247" t="s">
        <v>2068</v>
      </c>
    </row>
    <row r="1248" spans="1:12" x14ac:dyDescent="0.25">
      <c r="A1248">
        <v>336984</v>
      </c>
      <c r="B1248">
        <v>362785</v>
      </c>
      <c r="D1248">
        <v>0</v>
      </c>
      <c r="E1248" t="s">
        <v>7897</v>
      </c>
      <c r="F1248" t="s">
        <v>7898</v>
      </c>
      <c r="G1248" t="s">
        <v>7899</v>
      </c>
      <c r="H1248" t="s">
        <v>7900</v>
      </c>
      <c r="I1248" t="s">
        <v>7901</v>
      </c>
      <c r="J1248" t="s">
        <v>7902</v>
      </c>
      <c r="K1248" t="s">
        <v>7903</v>
      </c>
      <c r="L1248" t="s">
        <v>7896</v>
      </c>
    </row>
    <row r="1249" spans="1:12" x14ac:dyDescent="0.25">
      <c r="A1249">
        <v>337011</v>
      </c>
      <c r="B1249">
        <v>337017</v>
      </c>
      <c r="D1249">
        <v>0</v>
      </c>
      <c r="E1249" t="s">
        <v>7905</v>
      </c>
      <c r="F1249" t="s">
        <v>7906</v>
      </c>
      <c r="G1249" t="s">
        <v>7907</v>
      </c>
      <c r="H1249" t="e" vm="547">
        <f>_FV(0,"006782310145637606")</f>
        <v>#VALUE!</v>
      </c>
      <c r="I1249" t="s">
        <v>7908</v>
      </c>
      <c r="J1249" t="s">
        <v>7909</v>
      </c>
      <c r="K1249" t="s">
        <v>7910</v>
      </c>
      <c r="L1249" t="s">
        <v>7904</v>
      </c>
    </row>
    <row r="1250" spans="1:12" x14ac:dyDescent="0.25">
      <c r="A1250">
        <v>337011</v>
      </c>
      <c r="B1250">
        <v>362114</v>
      </c>
      <c r="D1250">
        <v>0</v>
      </c>
      <c r="E1250" t="s">
        <v>7912</v>
      </c>
      <c r="F1250" t="s">
        <v>7913</v>
      </c>
      <c r="G1250" t="s">
        <v>7914</v>
      </c>
      <c r="H1250" t="e" vm="548">
        <f>_FV(0,"011976337892893962")</f>
        <v>#VALUE!</v>
      </c>
      <c r="I1250" t="s">
        <v>7915</v>
      </c>
      <c r="J1250" t="s">
        <v>7916</v>
      </c>
      <c r="K1250" t="s">
        <v>7917</v>
      </c>
      <c r="L1250" t="s">
        <v>7911</v>
      </c>
    </row>
    <row r="1251" spans="1:12" x14ac:dyDescent="0.25">
      <c r="A1251">
        <v>337011</v>
      </c>
      <c r="B1251">
        <v>363306</v>
      </c>
      <c r="D1251">
        <v>0</v>
      </c>
      <c r="F1251">
        <v>374396</v>
      </c>
      <c r="G1251">
        <v>337011</v>
      </c>
      <c r="H1251" t="s">
        <v>12</v>
      </c>
      <c r="I1251">
        <v>363306</v>
      </c>
      <c r="J1251" t="s">
        <v>12</v>
      </c>
      <c r="K1251" t="s">
        <v>7918</v>
      </c>
      <c r="L1251" t="s">
        <v>12</v>
      </c>
    </row>
    <row r="1252" spans="1:12" x14ac:dyDescent="0.25">
      <c r="A1252">
        <v>337017</v>
      </c>
      <c r="B1252">
        <v>362173</v>
      </c>
      <c r="D1252">
        <v>0</v>
      </c>
      <c r="F1252">
        <v>374372</v>
      </c>
      <c r="G1252">
        <v>362173</v>
      </c>
      <c r="H1252" t="e" vm="215">
        <f>_FV(0,"02")</f>
        <v>#VALUE!</v>
      </c>
      <c r="I1252">
        <v>337017</v>
      </c>
      <c r="J1252" t="s">
        <v>3317</v>
      </c>
      <c r="K1252" t="s">
        <v>7919</v>
      </c>
      <c r="L1252" t="e" vm="215">
        <f>_FV(0,"02")</f>
        <v>#VALUE!</v>
      </c>
    </row>
    <row r="1253" spans="1:12" x14ac:dyDescent="0.25">
      <c r="A1253">
        <v>337017</v>
      </c>
      <c r="B1253">
        <v>361987</v>
      </c>
      <c r="D1253">
        <v>0</v>
      </c>
      <c r="E1253" t="s">
        <v>7921</v>
      </c>
      <c r="F1253" t="s">
        <v>7922</v>
      </c>
      <c r="G1253" t="s">
        <v>7923</v>
      </c>
      <c r="H1253" t="e" vm="549">
        <f>_FV(0,"019908237879019065")</f>
        <v>#VALUE!</v>
      </c>
      <c r="I1253" t="s">
        <v>7924</v>
      </c>
      <c r="J1253" t="s">
        <v>7925</v>
      </c>
      <c r="K1253" t="s">
        <v>7926</v>
      </c>
      <c r="L1253" t="s">
        <v>7920</v>
      </c>
    </row>
    <row r="1254" spans="1:12" x14ac:dyDescent="0.25">
      <c r="A1254">
        <v>337162</v>
      </c>
      <c r="B1254">
        <v>337165</v>
      </c>
      <c r="D1254">
        <v>0</v>
      </c>
      <c r="E1254" t="s">
        <v>7928</v>
      </c>
      <c r="F1254" t="s">
        <v>7929</v>
      </c>
      <c r="G1254" t="s">
        <v>7930</v>
      </c>
      <c r="H1254" t="e" vm="550">
        <f>_FV(0,"011578767858967883")</f>
        <v>#VALUE!</v>
      </c>
      <c r="I1254" t="s">
        <v>7931</v>
      </c>
      <c r="J1254" t="s">
        <v>7932</v>
      </c>
      <c r="K1254" t="s">
        <v>7933</v>
      </c>
      <c r="L1254" t="s">
        <v>7927</v>
      </c>
    </row>
    <row r="1255" spans="1:12" x14ac:dyDescent="0.25">
      <c r="A1255">
        <v>337162</v>
      </c>
      <c r="B1255">
        <v>337331</v>
      </c>
      <c r="D1255">
        <v>0</v>
      </c>
      <c r="F1255">
        <v>349225</v>
      </c>
      <c r="G1255">
        <v>337162</v>
      </c>
      <c r="H1255" t="e" vm="201">
        <f>_FV(0,"002")</f>
        <v>#VALUE!</v>
      </c>
      <c r="I1255">
        <v>337331</v>
      </c>
      <c r="J1255" t="s">
        <v>1534</v>
      </c>
      <c r="K1255" t="s">
        <v>7934</v>
      </c>
      <c r="L1255" t="e" vm="201">
        <f>_FV(0,"002")</f>
        <v>#VALUE!</v>
      </c>
    </row>
    <row r="1256" spans="1:12" x14ac:dyDescent="0.25">
      <c r="A1256">
        <v>337162</v>
      </c>
      <c r="B1256">
        <v>358154</v>
      </c>
      <c r="D1256">
        <v>0</v>
      </c>
      <c r="E1256" t="s">
        <v>7936</v>
      </c>
      <c r="F1256" t="s">
        <v>7937</v>
      </c>
      <c r="G1256" t="s">
        <v>7938</v>
      </c>
      <c r="H1256" t="s">
        <v>7939</v>
      </c>
      <c r="I1256" t="s">
        <v>7940</v>
      </c>
      <c r="J1256" t="s">
        <v>7941</v>
      </c>
      <c r="K1256" t="s">
        <v>7942</v>
      </c>
      <c r="L1256" t="s">
        <v>7935</v>
      </c>
    </row>
    <row r="1257" spans="1:12" x14ac:dyDescent="0.25">
      <c r="A1257">
        <v>337165</v>
      </c>
      <c r="B1257">
        <v>337316</v>
      </c>
      <c r="D1257">
        <v>0</v>
      </c>
      <c r="F1257">
        <v>349201</v>
      </c>
      <c r="G1257">
        <v>337316</v>
      </c>
      <c r="H1257" t="s">
        <v>890</v>
      </c>
      <c r="I1257">
        <v>337165</v>
      </c>
      <c r="J1257" t="s">
        <v>890</v>
      </c>
      <c r="K1257" t="s">
        <v>7943</v>
      </c>
      <c r="L1257" t="s">
        <v>890</v>
      </c>
    </row>
    <row r="1258" spans="1:12" x14ac:dyDescent="0.25">
      <c r="A1258">
        <v>337165</v>
      </c>
      <c r="B1258">
        <v>357882</v>
      </c>
      <c r="D1258">
        <v>0</v>
      </c>
      <c r="E1258" t="s">
        <v>7945</v>
      </c>
      <c r="F1258" t="s">
        <v>7946</v>
      </c>
      <c r="G1258" t="s">
        <v>7947</v>
      </c>
      <c r="H1258" t="e" vm="551">
        <f>_FV(0,"020411496785081782")</f>
        <v>#VALUE!</v>
      </c>
      <c r="I1258" t="s">
        <v>7948</v>
      </c>
      <c r="J1258" t="s">
        <v>7949</v>
      </c>
      <c r="K1258" t="s">
        <v>7950</v>
      </c>
      <c r="L1258" t="s">
        <v>7944</v>
      </c>
    </row>
    <row r="1259" spans="1:12" x14ac:dyDescent="0.25">
      <c r="A1259">
        <v>337193</v>
      </c>
      <c r="B1259">
        <v>337201</v>
      </c>
      <c r="D1259">
        <v>0</v>
      </c>
      <c r="E1259" t="s">
        <v>7952</v>
      </c>
      <c r="F1259" t="s">
        <v>7953</v>
      </c>
      <c r="G1259" t="s">
        <v>7954</v>
      </c>
      <c r="H1259" t="s">
        <v>7955</v>
      </c>
      <c r="I1259" t="s">
        <v>7956</v>
      </c>
      <c r="J1259" t="s">
        <v>7957</v>
      </c>
      <c r="K1259" t="s">
        <v>7958</v>
      </c>
      <c r="L1259" t="s">
        <v>7951</v>
      </c>
    </row>
    <row r="1260" spans="1:12" x14ac:dyDescent="0.25">
      <c r="A1260">
        <v>337193</v>
      </c>
      <c r="B1260">
        <v>337269</v>
      </c>
      <c r="D1260">
        <v>0</v>
      </c>
      <c r="F1260">
        <v>349153</v>
      </c>
      <c r="G1260">
        <v>337193</v>
      </c>
      <c r="H1260" t="s">
        <v>1536</v>
      </c>
      <c r="I1260">
        <v>337269</v>
      </c>
      <c r="J1260" t="s">
        <v>1536</v>
      </c>
      <c r="K1260" t="s">
        <v>7959</v>
      </c>
      <c r="L1260" t="s">
        <v>1536</v>
      </c>
    </row>
    <row r="1261" spans="1:12" x14ac:dyDescent="0.25">
      <c r="A1261">
        <v>337193</v>
      </c>
      <c r="B1261">
        <v>358102</v>
      </c>
      <c r="D1261">
        <v>0</v>
      </c>
      <c r="E1261" t="s">
        <v>7961</v>
      </c>
      <c r="F1261" t="s">
        <v>7962</v>
      </c>
      <c r="G1261" t="s">
        <v>7963</v>
      </c>
      <c r="H1261" t="s">
        <v>7964</v>
      </c>
      <c r="I1261" t="s">
        <v>7965</v>
      </c>
      <c r="J1261" t="s">
        <v>7966</v>
      </c>
      <c r="K1261" t="s">
        <v>7967</v>
      </c>
      <c r="L1261" t="s">
        <v>7960</v>
      </c>
    </row>
    <row r="1262" spans="1:12" x14ac:dyDescent="0.25">
      <c r="A1262">
        <v>337201</v>
      </c>
      <c r="B1262">
        <v>337260</v>
      </c>
      <c r="D1262">
        <v>0</v>
      </c>
      <c r="F1262">
        <v>349129</v>
      </c>
      <c r="G1262">
        <v>337260</v>
      </c>
      <c r="H1262" t="e" vm="268">
        <f>_FV(0,"022")</f>
        <v>#VALUE!</v>
      </c>
      <c r="I1262">
        <v>337201</v>
      </c>
      <c r="J1262" t="s">
        <v>3940</v>
      </c>
      <c r="K1262" t="s">
        <v>7968</v>
      </c>
      <c r="L1262" t="e" vm="268">
        <f>_FV(0,"022")</f>
        <v>#VALUE!</v>
      </c>
    </row>
    <row r="1263" spans="1:12" x14ac:dyDescent="0.25">
      <c r="A1263">
        <v>337201</v>
      </c>
      <c r="B1263">
        <v>357899</v>
      </c>
      <c r="D1263">
        <v>0</v>
      </c>
      <c r="E1263" t="s">
        <v>7970</v>
      </c>
      <c r="F1263" t="s">
        <v>7971</v>
      </c>
      <c r="G1263" t="s">
        <v>7972</v>
      </c>
      <c r="H1263" t="e" vm="552">
        <f>_FV(0,"016520658910606705")</f>
        <v>#VALUE!</v>
      </c>
      <c r="I1263" t="s">
        <v>7973</v>
      </c>
      <c r="J1263" t="s">
        <v>7974</v>
      </c>
      <c r="K1263" t="s">
        <v>7975</v>
      </c>
      <c r="L1263" t="s">
        <v>7969</v>
      </c>
    </row>
    <row r="1264" spans="1:12" x14ac:dyDescent="0.25">
      <c r="A1264">
        <v>337260</v>
      </c>
      <c r="B1264">
        <v>337269</v>
      </c>
      <c r="D1264">
        <v>0</v>
      </c>
      <c r="E1264" t="s">
        <v>7977</v>
      </c>
      <c r="F1264" t="s">
        <v>7978</v>
      </c>
      <c r="G1264" t="s">
        <v>7979</v>
      </c>
      <c r="H1264" t="e" vm="553">
        <f>_FV(0,"0021800644382022616")</f>
        <v>#VALUE!</v>
      </c>
      <c r="I1264" t="s">
        <v>7980</v>
      </c>
      <c r="J1264" t="s">
        <v>7981</v>
      </c>
      <c r="K1264" t="s">
        <v>7982</v>
      </c>
      <c r="L1264" t="s">
        <v>7976</v>
      </c>
    </row>
    <row r="1265" spans="1:12" x14ac:dyDescent="0.25">
      <c r="A1265">
        <v>337260</v>
      </c>
      <c r="B1265">
        <v>362363</v>
      </c>
      <c r="D1265">
        <v>0</v>
      </c>
      <c r="E1265" t="s">
        <v>7984</v>
      </c>
      <c r="F1265" t="s">
        <v>7985</v>
      </c>
      <c r="G1265" t="s">
        <v>7986</v>
      </c>
      <c r="H1265" t="e" vm="554">
        <f>_FV(0,"0239678471125594")</f>
        <v>#VALUE!</v>
      </c>
      <c r="I1265" t="s">
        <v>7987</v>
      </c>
      <c r="J1265" t="s">
        <v>7988</v>
      </c>
      <c r="K1265" t="s">
        <v>7989</v>
      </c>
      <c r="L1265" t="s">
        <v>7983</v>
      </c>
    </row>
    <row r="1266" spans="1:12" x14ac:dyDescent="0.25">
      <c r="A1266">
        <v>337269</v>
      </c>
      <c r="B1266">
        <v>362363</v>
      </c>
      <c r="D1266">
        <v>0</v>
      </c>
      <c r="E1266" t="s">
        <v>7991</v>
      </c>
      <c r="F1266" t="s">
        <v>7992</v>
      </c>
      <c r="G1266" t="s">
        <v>7993</v>
      </c>
      <c r="H1266" t="e" vm="555">
        <f>_FV(0,"02450475465162993")</f>
        <v>#VALUE!</v>
      </c>
      <c r="I1266" t="s">
        <v>7994</v>
      </c>
      <c r="J1266" t="s">
        <v>7995</v>
      </c>
      <c r="K1266" t="s">
        <v>7996</v>
      </c>
      <c r="L1266" t="s">
        <v>7990</v>
      </c>
    </row>
    <row r="1267" spans="1:12" x14ac:dyDescent="0.25">
      <c r="A1267">
        <v>337316</v>
      </c>
      <c r="B1267">
        <v>337331</v>
      </c>
      <c r="D1267">
        <v>0</v>
      </c>
      <c r="E1267" t="s">
        <v>7998</v>
      </c>
      <c r="F1267" t="s">
        <v>7999</v>
      </c>
      <c r="G1267" t="s">
        <v>8000</v>
      </c>
      <c r="H1267" t="s">
        <v>8001</v>
      </c>
      <c r="I1267" t="s">
        <v>8002</v>
      </c>
      <c r="J1267" t="s">
        <v>7997</v>
      </c>
      <c r="K1267" t="s">
        <v>8003</v>
      </c>
      <c r="L1267" t="s">
        <v>7997</v>
      </c>
    </row>
    <row r="1268" spans="1:12" x14ac:dyDescent="0.25">
      <c r="A1268">
        <v>337316</v>
      </c>
      <c r="B1268">
        <v>358203</v>
      </c>
      <c r="D1268">
        <v>0</v>
      </c>
      <c r="E1268" t="s">
        <v>8005</v>
      </c>
      <c r="F1268" t="s">
        <v>8006</v>
      </c>
      <c r="G1268" t="s">
        <v>8007</v>
      </c>
      <c r="H1268" t="e" vm="556">
        <f>_FV(0,"023465445132160076")</f>
        <v>#VALUE!</v>
      </c>
      <c r="I1268" t="s">
        <v>8008</v>
      </c>
      <c r="J1268" t="s">
        <v>8009</v>
      </c>
      <c r="K1268" t="s">
        <v>8010</v>
      </c>
      <c r="L1268" t="s">
        <v>8004</v>
      </c>
    </row>
    <row r="1269" spans="1:12" x14ac:dyDescent="0.25">
      <c r="A1269">
        <v>337331</v>
      </c>
      <c r="B1269">
        <v>358203</v>
      </c>
      <c r="D1269">
        <v>0</v>
      </c>
      <c r="E1269" t="s">
        <v>8011</v>
      </c>
      <c r="F1269" t="s">
        <v>8012</v>
      </c>
      <c r="G1269" t="s">
        <v>8013</v>
      </c>
      <c r="H1269" t="e" vm="122">
        <f>_FV(0,"017")</f>
        <v>#VALUE!</v>
      </c>
      <c r="I1269" t="s">
        <v>8014</v>
      </c>
      <c r="J1269" t="s">
        <v>1814</v>
      </c>
      <c r="K1269" t="s">
        <v>8015</v>
      </c>
      <c r="L1269" t="e" vm="122">
        <f>_FV(0,"017")</f>
        <v>#VALUE!</v>
      </c>
    </row>
    <row r="1270" spans="1:12" x14ac:dyDescent="0.25">
      <c r="A1270">
        <v>337350</v>
      </c>
      <c r="B1270">
        <v>337356</v>
      </c>
      <c r="D1270">
        <v>0</v>
      </c>
      <c r="E1270" t="s">
        <v>8017</v>
      </c>
      <c r="F1270" t="s">
        <v>8018</v>
      </c>
      <c r="G1270" t="s">
        <v>8019</v>
      </c>
      <c r="H1270" t="s">
        <v>8020</v>
      </c>
      <c r="I1270" t="s">
        <v>8021</v>
      </c>
      <c r="J1270" t="s">
        <v>8022</v>
      </c>
      <c r="K1270" t="s">
        <v>8023</v>
      </c>
      <c r="L1270" t="s">
        <v>8016</v>
      </c>
    </row>
    <row r="1271" spans="1:12" x14ac:dyDescent="0.25">
      <c r="A1271">
        <v>337350</v>
      </c>
      <c r="B1271">
        <v>358164</v>
      </c>
      <c r="D1271">
        <v>0</v>
      </c>
      <c r="E1271" t="s">
        <v>8025</v>
      </c>
      <c r="F1271" t="s">
        <v>8026</v>
      </c>
      <c r="G1271" t="s">
        <v>8027</v>
      </c>
      <c r="H1271" t="s">
        <v>8028</v>
      </c>
      <c r="I1271" t="s">
        <v>8029</v>
      </c>
      <c r="J1271" t="s">
        <v>8030</v>
      </c>
      <c r="K1271" t="s">
        <v>8031</v>
      </c>
      <c r="L1271" t="s">
        <v>8024</v>
      </c>
    </row>
    <row r="1272" spans="1:12" x14ac:dyDescent="0.25">
      <c r="A1272">
        <v>337350</v>
      </c>
      <c r="B1272">
        <v>362612</v>
      </c>
      <c r="D1272">
        <v>0</v>
      </c>
      <c r="F1272">
        <v>1257053</v>
      </c>
      <c r="G1272">
        <v>337350</v>
      </c>
      <c r="H1272" t="e" vm="184">
        <f>_FV(0,"031")</f>
        <v>#VALUE!</v>
      </c>
      <c r="I1272">
        <v>362612</v>
      </c>
      <c r="J1272" t="s">
        <v>2871</v>
      </c>
      <c r="K1272" t="s">
        <v>8032</v>
      </c>
      <c r="L1272" t="e" vm="184">
        <f>_FV(0,"031")</f>
        <v>#VALUE!</v>
      </c>
    </row>
    <row r="1273" spans="1:12" x14ac:dyDescent="0.25">
      <c r="A1273">
        <v>337356</v>
      </c>
      <c r="B1273">
        <v>362581</v>
      </c>
      <c r="D1273">
        <v>0</v>
      </c>
      <c r="F1273">
        <v>1257023</v>
      </c>
      <c r="G1273">
        <v>362581</v>
      </c>
      <c r="H1273" t="e" vm="557">
        <f>_FV(0,"108")</f>
        <v>#VALUE!</v>
      </c>
      <c r="I1273">
        <v>337356</v>
      </c>
      <c r="J1273" t="s">
        <v>8033</v>
      </c>
      <c r="K1273" t="s">
        <v>8034</v>
      </c>
      <c r="L1273" t="e" vm="557">
        <f>_FV(0,"108")</f>
        <v>#VALUE!</v>
      </c>
    </row>
    <row r="1274" spans="1:12" x14ac:dyDescent="0.25">
      <c r="A1274">
        <v>337356</v>
      </c>
      <c r="B1274">
        <v>362801</v>
      </c>
      <c r="D1274">
        <v>0</v>
      </c>
      <c r="E1274" t="s">
        <v>8036</v>
      </c>
      <c r="F1274" t="s">
        <v>8037</v>
      </c>
      <c r="G1274" t="s">
        <v>8038</v>
      </c>
      <c r="H1274" t="e" vm="558">
        <f>_FV(0,"002754524684091206")</f>
        <v>#VALUE!</v>
      </c>
      <c r="I1274" t="s">
        <v>8039</v>
      </c>
      <c r="J1274" t="s">
        <v>8040</v>
      </c>
      <c r="K1274" t="s">
        <v>8041</v>
      </c>
      <c r="L1274" t="s">
        <v>8035</v>
      </c>
    </row>
    <row r="1275" spans="1:12" x14ac:dyDescent="0.25">
      <c r="A1275">
        <v>337396</v>
      </c>
      <c r="B1275">
        <v>337405</v>
      </c>
      <c r="D1275">
        <v>0</v>
      </c>
      <c r="E1275" t="s">
        <v>8043</v>
      </c>
      <c r="F1275" t="s">
        <v>8044</v>
      </c>
      <c r="G1275" t="s">
        <v>8045</v>
      </c>
      <c r="H1275" t="e" vm="559">
        <f>_FV(0,"026444980286255273")</f>
        <v>#VALUE!</v>
      </c>
      <c r="I1275" t="s">
        <v>8046</v>
      </c>
      <c r="J1275" t="s">
        <v>8047</v>
      </c>
      <c r="K1275" t="s">
        <v>8048</v>
      </c>
      <c r="L1275" t="s">
        <v>8042</v>
      </c>
    </row>
    <row r="1276" spans="1:12" x14ac:dyDescent="0.25">
      <c r="A1276">
        <v>337396</v>
      </c>
      <c r="B1276">
        <v>362606</v>
      </c>
      <c r="D1276">
        <v>0</v>
      </c>
      <c r="F1276">
        <v>2167838</v>
      </c>
      <c r="G1276">
        <v>337396</v>
      </c>
      <c r="H1276" t="e" vm="350">
        <f>_FV(0,"009")</f>
        <v>#VALUE!</v>
      </c>
      <c r="I1276">
        <v>362606</v>
      </c>
      <c r="J1276" t="s">
        <v>2068</v>
      </c>
      <c r="K1276" t="s">
        <v>8049</v>
      </c>
      <c r="L1276" t="e" vm="350">
        <f>_FV(0,"009")</f>
        <v>#VALUE!</v>
      </c>
    </row>
    <row r="1277" spans="1:12" x14ac:dyDescent="0.25">
      <c r="A1277">
        <v>337396</v>
      </c>
      <c r="B1277">
        <v>362794</v>
      </c>
      <c r="D1277">
        <v>0</v>
      </c>
      <c r="E1277" t="s">
        <v>8051</v>
      </c>
      <c r="F1277" t="s">
        <v>8052</v>
      </c>
      <c r="G1277" t="s">
        <v>8053</v>
      </c>
      <c r="H1277" t="e" vm="560">
        <f>_FV(0,"0029355032578571505")</f>
        <v>#VALUE!</v>
      </c>
      <c r="I1277" t="s">
        <v>8054</v>
      </c>
      <c r="J1277" t="s">
        <v>8055</v>
      </c>
      <c r="K1277" t="s">
        <v>8056</v>
      </c>
      <c r="L1277" t="s">
        <v>8050</v>
      </c>
    </row>
    <row r="1278" spans="1:12" x14ac:dyDescent="0.25">
      <c r="A1278">
        <v>337405</v>
      </c>
      <c r="B1278">
        <v>362649</v>
      </c>
      <c r="D1278">
        <v>0</v>
      </c>
      <c r="F1278">
        <v>2167863</v>
      </c>
      <c r="G1278">
        <v>362649</v>
      </c>
      <c r="H1278" t="s">
        <v>8057</v>
      </c>
      <c r="I1278">
        <v>337405</v>
      </c>
      <c r="J1278" t="s">
        <v>8057</v>
      </c>
      <c r="K1278" t="s">
        <v>8058</v>
      </c>
      <c r="L1278" t="s">
        <v>8057</v>
      </c>
    </row>
    <row r="1279" spans="1:12" x14ac:dyDescent="0.25">
      <c r="A1279">
        <v>337405</v>
      </c>
      <c r="B1279">
        <v>358128</v>
      </c>
      <c r="D1279">
        <v>0</v>
      </c>
      <c r="E1279" t="s">
        <v>8060</v>
      </c>
      <c r="F1279" t="s">
        <v>8061</v>
      </c>
      <c r="G1279" t="s">
        <v>8062</v>
      </c>
      <c r="H1279" t="e" vm="561">
        <f>_FV(0,"022629606840354644")</f>
        <v>#VALUE!</v>
      </c>
      <c r="I1279" t="s">
        <v>8063</v>
      </c>
      <c r="J1279" t="s">
        <v>8064</v>
      </c>
      <c r="K1279" t="s">
        <v>8065</v>
      </c>
      <c r="L1279" t="s">
        <v>8059</v>
      </c>
    </row>
    <row r="1280" spans="1:12" x14ac:dyDescent="0.25">
      <c r="A1280">
        <v>338533</v>
      </c>
      <c r="B1280">
        <v>338534</v>
      </c>
      <c r="D1280">
        <v>0</v>
      </c>
      <c r="F1280">
        <v>350471</v>
      </c>
      <c r="G1280">
        <v>338534</v>
      </c>
      <c r="H1280" t="s">
        <v>187</v>
      </c>
      <c r="I1280">
        <v>338533</v>
      </c>
      <c r="J1280" t="s">
        <v>187</v>
      </c>
      <c r="K1280" t="s">
        <v>8066</v>
      </c>
      <c r="L1280" t="s">
        <v>187</v>
      </c>
    </row>
    <row r="1281" spans="1:12" x14ac:dyDescent="0.25">
      <c r="A1281">
        <v>338534</v>
      </c>
      <c r="B1281">
        <v>338537</v>
      </c>
      <c r="D1281" t="s">
        <v>8068</v>
      </c>
      <c r="E1281" t="s">
        <v>8069</v>
      </c>
      <c r="F1281" t="s">
        <v>8070</v>
      </c>
      <c r="G1281" t="s">
        <v>8071</v>
      </c>
      <c r="H1281" t="e" vm="562">
        <f>_FV(0,"08573014894379707")</f>
        <v>#VALUE!</v>
      </c>
      <c r="I1281" t="s">
        <v>8072</v>
      </c>
      <c r="J1281" t="s">
        <v>8073</v>
      </c>
      <c r="K1281" t="s">
        <v>8074</v>
      </c>
      <c r="L1281" t="s">
        <v>8067</v>
      </c>
    </row>
    <row r="1282" spans="1:12" x14ac:dyDescent="0.25">
      <c r="A1282">
        <v>338534</v>
      </c>
      <c r="B1282">
        <v>338537</v>
      </c>
      <c r="D1282" t="s">
        <v>8076</v>
      </c>
      <c r="E1282" t="s">
        <v>8077</v>
      </c>
      <c r="F1282" t="s">
        <v>8078</v>
      </c>
      <c r="G1282" t="s">
        <v>8079</v>
      </c>
      <c r="H1282" t="e" vm="563">
        <f>_FV(0,"08686055877342017")</f>
        <v>#VALUE!</v>
      </c>
      <c r="I1282" t="s">
        <v>8080</v>
      </c>
      <c r="J1282" t="s">
        <v>8081</v>
      </c>
      <c r="K1282" t="s">
        <v>8082</v>
      </c>
      <c r="L1282" t="s">
        <v>8075</v>
      </c>
    </row>
    <row r="1283" spans="1:12" x14ac:dyDescent="0.25">
      <c r="A1283">
        <v>338537</v>
      </c>
      <c r="B1283">
        <v>338653</v>
      </c>
      <c r="D1283" t="s">
        <v>8084</v>
      </c>
      <c r="E1283" t="s">
        <v>8085</v>
      </c>
      <c r="F1283" t="s">
        <v>8086</v>
      </c>
      <c r="G1283" t="s">
        <v>8087</v>
      </c>
      <c r="H1283" t="e" vm="564">
        <f>_FV(0,"011620173940345304")</f>
        <v>#VALUE!</v>
      </c>
      <c r="I1283" t="s">
        <v>8088</v>
      </c>
      <c r="J1283" t="s">
        <v>8089</v>
      </c>
      <c r="K1283" t="s">
        <v>8090</v>
      </c>
      <c r="L1283" t="s">
        <v>8083</v>
      </c>
    </row>
    <row r="1284" spans="1:12" x14ac:dyDescent="0.25">
      <c r="A1284">
        <v>338653</v>
      </c>
      <c r="B1284">
        <v>1854792</v>
      </c>
      <c r="D1284">
        <v>0</v>
      </c>
      <c r="E1284" t="s">
        <v>8091</v>
      </c>
      <c r="H1284" t="s">
        <v>187</v>
      </c>
      <c r="J1284">
        <v>0</v>
      </c>
      <c r="K1284" t="s">
        <v>2673</v>
      </c>
      <c r="L1284">
        <v>0</v>
      </c>
    </row>
    <row r="1285" spans="1:12" x14ac:dyDescent="0.25">
      <c r="A1285">
        <v>340036</v>
      </c>
      <c r="B1285">
        <v>621357</v>
      </c>
      <c r="D1285" t="s">
        <v>1494</v>
      </c>
      <c r="E1285" t="s">
        <v>8093</v>
      </c>
      <c r="F1285" t="s">
        <v>8094</v>
      </c>
      <c r="G1285" t="s">
        <v>8095</v>
      </c>
      <c r="H1285" t="s">
        <v>8096</v>
      </c>
      <c r="I1285" t="s">
        <v>8097</v>
      </c>
      <c r="J1285" t="s">
        <v>8098</v>
      </c>
      <c r="K1285" t="s">
        <v>8099</v>
      </c>
      <c r="L1285" t="s">
        <v>8092</v>
      </c>
    </row>
    <row r="1286" spans="1:12" x14ac:dyDescent="0.25">
      <c r="A1286">
        <v>342711</v>
      </c>
      <c r="B1286">
        <v>1295087</v>
      </c>
      <c r="D1286">
        <v>0</v>
      </c>
      <c r="F1286">
        <v>1418228</v>
      </c>
      <c r="G1286">
        <v>1295087</v>
      </c>
      <c r="H1286" t="e" vm="565">
        <f>_FV(0,"409")</f>
        <v>#VALUE!</v>
      </c>
      <c r="I1286">
        <v>342711</v>
      </c>
      <c r="J1286" t="s">
        <v>8100</v>
      </c>
      <c r="K1286" t="s">
        <v>8101</v>
      </c>
      <c r="L1286" t="e" vm="565">
        <f>_FV(0,"409")</f>
        <v>#VALUE!</v>
      </c>
    </row>
    <row r="1287" spans="1:12" x14ac:dyDescent="0.25">
      <c r="A1287">
        <v>342711</v>
      </c>
      <c r="B1287">
        <v>342728</v>
      </c>
      <c r="D1287">
        <v>0</v>
      </c>
      <c r="E1287" t="s">
        <v>8103</v>
      </c>
      <c r="F1287" t="s">
        <v>8104</v>
      </c>
      <c r="G1287" t="s">
        <v>8105</v>
      </c>
      <c r="H1287" t="e" vm="566">
        <f>_FV(0,"00420670851210285")</f>
        <v>#VALUE!</v>
      </c>
      <c r="I1287" t="s">
        <v>8106</v>
      </c>
      <c r="J1287" t="s">
        <v>8107</v>
      </c>
      <c r="K1287" t="s">
        <v>8108</v>
      </c>
      <c r="L1287" t="s">
        <v>8102</v>
      </c>
    </row>
    <row r="1288" spans="1:12" x14ac:dyDescent="0.25">
      <c r="A1288">
        <v>342711</v>
      </c>
      <c r="B1288">
        <v>342733</v>
      </c>
      <c r="D1288">
        <v>0</v>
      </c>
      <c r="E1288" t="s">
        <v>8110</v>
      </c>
      <c r="F1288" t="s">
        <v>8111</v>
      </c>
      <c r="G1288" t="s">
        <v>8112</v>
      </c>
      <c r="H1288" t="e" vm="567">
        <f>_FV(0,"053128023942947154")</f>
        <v>#VALUE!</v>
      </c>
      <c r="I1288" t="s">
        <v>8113</v>
      </c>
      <c r="J1288" t="s">
        <v>8114</v>
      </c>
      <c r="K1288" t="s">
        <v>8115</v>
      </c>
      <c r="L1288" t="s">
        <v>8109</v>
      </c>
    </row>
    <row r="1289" spans="1:12" x14ac:dyDescent="0.25">
      <c r="A1289">
        <v>342728</v>
      </c>
      <c r="B1289">
        <v>342754</v>
      </c>
      <c r="D1289">
        <v>0</v>
      </c>
      <c r="E1289" t="s">
        <v>8117</v>
      </c>
      <c r="F1289" t="s">
        <v>8118</v>
      </c>
      <c r="G1289" t="s">
        <v>8119</v>
      </c>
      <c r="H1289" t="s">
        <v>8120</v>
      </c>
      <c r="I1289" t="s">
        <v>8121</v>
      </c>
      <c r="J1289" t="s">
        <v>8122</v>
      </c>
      <c r="K1289" t="s">
        <v>8123</v>
      </c>
      <c r="L1289" t="s">
        <v>8116</v>
      </c>
    </row>
    <row r="1290" spans="1:12" x14ac:dyDescent="0.25">
      <c r="A1290">
        <v>342728</v>
      </c>
      <c r="B1290">
        <v>342781</v>
      </c>
      <c r="D1290">
        <v>0</v>
      </c>
      <c r="F1290">
        <v>1418295</v>
      </c>
      <c r="G1290">
        <v>342728</v>
      </c>
      <c r="H1290" t="s">
        <v>890</v>
      </c>
      <c r="I1290">
        <v>342781</v>
      </c>
      <c r="J1290" t="s">
        <v>890</v>
      </c>
      <c r="K1290" t="s">
        <v>8124</v>
      </c>
      <c r="L1290" t="s">
        <v>890</v>
      </c>
    </row>
    <row r="1291" spans="1:12" x14ac:dyDescent="0.25">
      <c r="A1291">
        <v>342733</v>
      </c>
      <c r="B1291">
        <v>342754</v>
      </c>
      <c r="D1291">
        <v>0</v>
      </c>
      <c r="E1291" t="s">
        <v>8126</v>
      </c>
      <c r="F1291" t="s">
        <v>8127</v>
      </c>
      <c r="G1291" t="s">
        <v>8128</v>
      </c>
      <c r="H1291" t="e" vm="568">
        <f>_FV(0,"006636100622726911")</f>
        <v>#VALUE!</v>
      </c>
      <c r="I1291" t="s">
        <v>8129</v>
      </c>
      <c r="J1291" t="s">
        <v>8130</v>
      </c>
      <c r="K1291" t="s">
        <v>8131</v>
      </c>
      <c r="L1291" t="s">
        <v>8125</v>
      </c>
    </row>
    <row r="1292" spans="1:12" x14ac:dyDescent="0.25">
      <c r="A1292">
        <v>342733</v>
      </c>
      <c r="B1292">
        <v>1295068</v>
      </c>
      <c r="D1292">
        <v>0</v>
      </c>
      <c r="F1292">
        <v>1418204</v>
      </c>
      <c r="G1292">
        <v>342733</v>
      </c>
      <c r="H1292" t="s">
        <v>8132</v>
      </c>
      <c r="I1292">
        <v>1295068</v>
      </c>
      <c r="J1292" t="s">
        <v>8132</v>
      </c>
      <c r="K1292" t="s">
        <v>8133</v>
      </c>
      <c r="L1292" t="s">
        <v>8132</v>
      </c>
    </row>
    <row r="1293" spans="1:12" x14ac:dyDescent="0.25">
      <c r="A1293">
        <v>342754</v>
      </c>
      <c r="B1293">
        <v>342763</v>
      </c>
      <c r="D1293">
        <v>0</v>
      </c>
      <c r="E1293" t="s">
        <v>8135</v>
      </c>
      <c r="F1293" t="s">
        <v>8136</v>
      </c>
      <c r="G1293" t="s">
        <v>8137</v>
      </c>
      <c r="H1293" t="e" vm="569">
        <f>_FV(0,"02279187754683879")</f>
        <v>#VALUE!</v>
      </c>
      <c r="I1293" t="s">
        <v>8138</v>
      </c>
      <c r="J1293" t="s">
        <v>8139</v>
      </c>
      <c r="K1293" t="s">
        <v>8140</v>
      </c>
      <c r="L1293" t="s">
        <v>8134</v>
      </c>
    </row>
    <row r="1294" spans="1:12" x14ac:dyDescent="0.25">
      <c r="A1294">
        <v>342763</v>
      </c>
      <c r="B1294">
        <v>342780</v>
      </c>
      <c r="D1294">
        <v>0</v>
      </c>
      <c r="E1294" t="s">
        <v>8142</v>
      </c>
      <c r="F1294" t="s">
        <v>8143</v>
      </c>
      <c r="G1294" t="s">
        <v>8144</v>
      </c>
      <c r="H1294" t="e" vm="570">
        <f>_FV(0,"024693179053983657")</f>
        <v>#VALUE!</v>
      </c>
      <c r="I1294" t="s">
        <v>8145</v>
      </c>
      <c r="J1294" t="s">
        <v>8146</v>
      </c>
      <c r="K1294" t="s">
        <v>8147</v>
      </c>
      <c r="L1294" t="s">
        <v>8141</v>
      </c>
    </row>
    <row r="1295" spans="1:12" x14ac:dyDescent="0.25">
      <c r="A1295">
        <v>342763</v>
      </c>
      <c r="B1295">
        <v>342781</v>
      </c>
      <c r="D1295">
        <v>0</v>
      </c>
      <c r="E1295" t="s">
        <v>8149</v>
      </c>
      <c r="F1295" t="s">
        <v>8150</v>
      </c>
      <c r="G1295" t="s">
        <v>8151</v>
      </c>
      <c r="H1295" t="e" vm="571">
        <f>_FV(0,"005944206499701584")</f>
        <v>#VALUE!</v>
      </c>
      <c r="I1295" t="s">
        <v>8152</v>
      </c>
      <c r="J1295" t="s">
        <v>8153</v>
      </c>
      <c r="K1295" t="s">
        <v>8154</v>
      </c>
      <c r="L1295" t="s">
        <v>8148</v>
      </c>
    </row>
    <row r="1296" spans="1:12" x14ac:dyDescent="0.25">
      <c r="A1296">
        <v>342780</v>
      </c>
      <c r="B1296">
        <v>342851</v>
      </c>
      <c r="D1296">
        <v>0</v>
      </c>
      <c r="F1296">
        <v>1418319</v>
      </c>
      <c r="G1296">
        <v>342851</v>
      </c>
      <c r="H1296" t="e" vm="572">
        <f>_FV(0,"021")</f>
        <v>#VALUE!</v>
      </c>
      <c r="I1296">
        <v>342780</v>
      </c>
      <c r="J1296" t="s">
        <v>1536</v>
      </c>
      <c r="K1296" t="s">
        <v>8155</v>
      </c>
      <c r="L1296" t="e" vm="572">
        <f>_FV(0,"021")</f>
        <v>#VALUE!</v>
      </c>
    </row>
    <row r="1297" spans="1:12" x14ac:dyDescent="0.25">
      <c r="A1297">
        <v>342780</v>
      </c>
      <c r="B1297">
        <v>342810</v>
      </c>
      <c r="D1297">
        <v>0</v>
      </c>
      <c r="E1297" t="s">
        <v>8157</v>
      </c>
      <c r="F1297" t="s">
        <v>8158</v>
      </c>
      <c r="G1297" t="s">
        <v>8159</v>
      </c>
      <c r="H1297" t="s">
        <v>8160</v>
      </c>
      <c r="I1297" t="s">
        <v>8161</v>
      </c>
      <c r="J1297" t="s">
        <v>8162</v>
      </c>
      <c r="K1297" t="s">
        <v>8163</v>
      </c>
      <c r="L1297" t="s">
        <v>8156</v>
      </c>
    </row>
    <row r="1298" spans="1:12" x14ac:dyDescent="0.25">
      <c r="A1298">
        <v>342781</v>
      </c>
      <c r="B1298">
        <v>342810</v>
      </c>
      <c r="D1298">
        <v>0</v>
      </c>
      <c r="E1298" t="s">
        <v>8165</v>
      </c>
      <c r="F1298" t="s">
        <v>8166</v>
      </c>
      <c r="G1298" t="s">
        <v>8167</v>
      </c>
      <c r="H1298" t="e" vm="573">
        <f>_FV(0,"024911840416685534")</f>
        <v>#VALUE!</v>
      </c>
      <c r="I1298" t="s">
        <v>8168</v>
      </c>
      <c r="J1298" t="s">
        <v>8169</v>
      </c>
      <c r="K1298" t="s">
        <v>8170</v>
      </c>
      <c r="L1298" t="s">
        <v>8164</v>
      </c>
    </row>
    <row r="1299" spans="1:12" x14ac:dyDescent="0.25">
      <c r="A1299">
        <v>342810</v>
      </c>
      <c r="B1299">
        <v>1295165</v>
      </c>
      <c r="D1299">
        <v>0</v>
      </c>
      <c r="F1299">
        <v>1418358</v>
      </c>
      <c r="G1299">
        <v>342810</v>
      </c>
      <c r="H1299" t="e" vm="87">
        <f>_FV(0,"001")</f>
        <v>#VALUE!</v>
      </c>
      <c r="I1299">
        <v>1295165</v>
      </c>
      <c r="J1299" t="s">
        <v>1333</v>
      </c>
      <c r="K1299" t="s">
        <v>8171</v>
      </c>
      <c r="L1299" t="e" vm="87">
        <f>_FV(0,"001")</f>
        <v>#VALUE!</v>
      </c>
    </row>
    <row r="1300" spans="1:12" x14ac:dyDescent="0.25">
      <c r="A1300">
        <v>342851</v>
      </c>
      <c r="B1300">
        <v>342880</v>
      </c>
      <c r="D1300">
        <v>0</v>
      </c>
      <c r="E1300" t="s">
        <v>8173</v>
      </c>
      <c r="F1300" t="s">
        <v>8174</v>
      </c>
      <c r="G1300" t="s">
        <v>8175</v>
      </c>
      <c r="H1300" t="e" vm="574">
        <f>_FV(0,"0050828836199641935")</f>
        <v>#VALUE!</v>
      </c>
      <c r="I1300" t="s">
        <v>8176</v>
      </c>
      <c r="J1300" t="s">
        <v>8177</v>
      </c>
      <c r="K1300" t="s">
        <v>8178</v>
      </c>
      <c r="L1300" t="s">
        <v>8172</v>
      </c>
    </row>
    <row r="1301" spans="1:12" x14ac:dyDescent="0.25">
      <c r="A1301">
        <v>342851</v>
      </c>
      <c r="B1301">
        <v>342895</v>
      </c>
      <c r="D1301">
        <v>0</v>
      </c>
      <c r="E1301" t="s">
        <v>8180</v>
      </c>
      <c r="F1301" t="s">
        <v>8181</v>
      </c>
      <c r="G1301" t="s">
        <v>8182</v>
      </c>
      <c r="H1301" t="e" vm="575">
        <f>_FV(0,"0038563422589038727")</f>
        <v>#VALUE!</v>
      </c>
      <c r="I1301" t="s">
        <v>8183</v>
      </c>
      <c r="J1301" t="s">
        <v>8184</v>
      </c>
      <c r="K1301" t="s">
        <v>8185</v>
      </c>
      <c r="L1301" t="s">
        <v>8179</v>
      </c>
    </row>
    <row r="1302" spans="1:12" x14ac:dyDescent="0.25">
      <c r="A1302">
        <v>342895</v>
      </c>
      <c r="B1302">
        <v>1295159</v>
      </c>
      <c r="D1302">
        <v>0</v>
      </c>
      <c r="F1302">
        <v>1418343</v>
      </c>
      <c r="G1302">
        <v>1295159</v>
      </c>
      <c r="H1302" t="s">
        <v>8186</v>
      </c>
      <c r="I1302">
        <v>342895</v>
      </c>
      <c r="J1302" t="s">
        <v>8186</v>
      </c>
      <c r="K1302" t="s">
        <v>8187</v>
      </c>
      <c r="L1302" t="s">
        <v>8186</v>
      </c>
    </row>
    <row r="1303" spans="1:12" x14ac:dyDescent="0.25">
      <c r="A1303">
        <v>342895</v>
      </c>
      <c r="B1303">
        <v>342933</v>
      </c>
      <c r="D1303">
        <v>0</v>
      </c>
      <c r="E1303" t="s">
        <v>8189</v>
      </c>
      <c r="F1303" t="s">
        <v>8190</v>
      </c>
      <c r="G1303" t="s">
        <v>8191</v>
      </c>
      <c r="H1303" t="e" vm="576">
        <f>_FV(0,"005183815081548553")</f>
        <v>#VALUE!</v>
      </c>
      <c r="I1303" t="s">
        <v>8192</v>
      </c>
      <c r="J1303" t="s">
        <v>8193</v>
      </c>
      <c r="K1303" t="s">
        <v>8194</v>
      </c>
      <c r="L1303" t="s">
        <v>8188</v>
      </c>
    </row>
    <row r="1304" spans="1:12" x14ac:dyDescent="0.25">
      <c r="A1304">
        <v>342974</v>
      </c>
      <c r="B1304">
        <v>342997</v>
      </c>
      <c r="D1304">
        <v>1</v>
      </c>
      <c r="E1304" t="s">
        <v>8196</v>
      </c>
      <c r="F1304" t="s">
        <v>8197</v>
      </c>
      <c r="G1304" t="s">
        <v>8198</v>
      </c>
      <c r="H1304" t="s">
        <v>8199</v>
      </c>
      <c r="I1304" t="s">
        <v>8200</v>
      </c>
      <c r="J1304" t="s">
        <v>8201</v>
      </c>
      <c r="K1304" t="s">
        <v>8202</v>
      </c>
      <c r="L1304" t="s">
        <v>8195</v>
      </c>
    </row>
    <row r="1305" spans="1:12" x14ac:dyDescent="0.25">
      <c r="A1305">
        <v>342974</v>
      </c>
      <c r="B1305">
        <v>343064</v>
      </c>
      <c r="D1305">
        <v>1</v>
      </c>
      <c r="F1305">
        <v>354825</v>
      </c>
      <c r="G1305">
        <v>342974</v>
      </c>
      <c r="H1305" t="e" vm="493">
        <f>_FV(0,"025")</f>
        <v>#VALUE!</v>
      </c>
      <c r="I1305">
        <v>343064</v>
      </c>
      <c r="J1305" t="s">
        <v>899</v>
      </c>
      <c r="K1305" t="s">
        <v>8203</v>
      </c>
      <c r="L1305" t="e" vm="493">
        <f>_FV(0,"025")</f>
        <v>#VALUE!</v>
      </c>
    </row>
    <row r="1306" spans="1:12" x14ac:dyDescent="0.25">
      <c r="A1306">
        <v>342974</v>
      </c>
      <c r="B1306">
        <v>1295043</v>
      </c>
      <c r="D1306">
        <v>0</v>
      </c>
      <c r="E1306" t="s">
        <v>8205</v>
      </c>
      <c r="F1306" t="s">
        <v>8206</v>
      </c>
      <c r="G1306" t="s">
        <v>8207</v>
      </c>
      <c r="H1306" t="e" vm="577">
        <f>_FV(0,"004624894641888361")</f>
        <v>#VALUE!</v>
      </c>
      <c r="I1306" t="s">
        <v>8208</v>
      </c>
      <c r="J1306" t="s">
        <v>8209</v>
      </c>
      <c r="K1306" t="s">
        <v>8210</v>
      </c>
      <c r="L1306" t="s">
        <v>8204</v>
      </c>
    </row>
    <row r="1307" spans="1:12" x14ac:dyDescent="0.25">
      <c r="A1307">
        <v>342997</v>
      </c>
      <c r="B1307">
        <v>343009</v>
      </c>
      <c r="D1307">
        <v>1</v>
      </c>
      <c r="F1307">
        <v>354776</v>
      </c>
      <c r="G1307">
        <v>343009</v>
      </c>
      <c r="H1307" t="s">
        <v>2841</v>
      </c>
      <c r="I1307">
        <v>342997</v>
      </c>
      <c r="J1307" t="s">
        <v>2841</v>
      </c>
      <c r="K1307" t="s">
        <v>8211</v>
      </c>
      <c r="L1307" t="s">
        <v>2841</v>
      </c>
    </row>
    <row r="1308" spans="1:12" x14ac:dyDescent="0.25">
      <c r="A1308">
        <v>342997</v>
      </c>
      <c r="B1308">
        <v>1295062</v>
      </c>
      <c r="D1308">
        <v>0</v>
      </c>
      <c r="E1308" t="s">
        <v>8213</v>
      </c>
      <c r="F1308" t="s">
        <v>8214</v>
      </c>
      <c r="G1308" t="s">
        <v>8215</v>
      </c>
      <c r="H1308" t="e" vm="578">
        <f>_FV(0,"03229120823714503")</f>
        <v>#VALUE!</v>
      </c>
      <c r="I1308" t="s">
        <v>8216</v>
      </c>
      <c r="J1308" t="s">
        <v>8217</v>
      </c>
      <c r="K1308" t="s">
        <v>8218</v>
      </c>
      <c r="L1308" t="s">
        <v>8212</v>
      </c>
    </row>
    <row r="1309" spans="1:12" x14ac:dyDescent="0.25">
      <c r="A1309">
        <v>343009</v>
      </c>
      <c r="B1309">
        <v>343064</v>
      </c>
      <c r="D1309">
        <v>1</v>
      </c>
      <c r="E1309" t="s">
        <v>8220</v>
      </c>
      <c r="F1309" t="s">
        <v>8221</v>
      </c>
      <c r="G1309" t="s">
        <v>8222</v>
      </c>
      <c r="H1309" t="e" vm="579">
        <f>_FV(0,"0113858967979268")</f>
        <v>#VALUE!</v>
      </c>
      <c r="I1309" t="s">
        <v>8223</v>
      </c>
      <c r="J1309" t="s">
        <v>8224</v>
      </c>
      <c r="K1309" t="s">
        <v>8225</v>
      </c>
      <c r="L1309" t="s">
        <v>8219</v>
      </c>
    </row>
    <row r="1310" spans="1:12" x14ac:dyDescent="0.25">
      <c r="A1310">
        <v>343009</v>
      </c>
      <c r="B1310">
        <v>1295750</v>
      </c>
      <c r="D1310">
        <v>0</v>
      </c>
      <c r="E1310" t="s">
        <v>8227</v>
      </c>
      <c r="F1310" t="s">
        <v>8228</v>
      </c>
      <c r="G1310" t="s">
        <v>8229</v>
      </c>
      <c r="H1310" t="s">
        <v>8230</v>
      </c>
      <c r="I1310" t="s">
        <v>8231</v>
      </c>
      <c r="J1310" t="s">
        <v>8232</v>
      </c>
      <c r="K1310" t="s">
        <v>8233</v>
      </c>
      <c r="L1310" t="s">
        <v>8226</v>
      </c>
    </row>
    <row r="1311" spans="1:12" x14ac:dyDescent="0.25">
      <c r="A1311">
        <v>343064</v>
      </c>
      <c r="B1311">
        <v>1295765</v>
      </c>
      <c r="D1311">
        <v>0</v>
      </c>
      <c r="E1311" t="s">
        <v>8235</v>
      </c>
      <c r="F1311" t="s">
        <v>8236</v>
      </c>
      <c r="G1311" t="s">
        <v>8237</v>
      </c>
      <c r="H1311" t="s">
        <v>8238</v>
      </c>
      <c r="I1311" t="s">
        <v>8239</v>
      </c>
      <c r="J1311" t="s">
        <v>8240</v>
      </c>
      <c r="K1311" t="s">
        <v>8241</v>
      </c>
      <c r="L1311" t="s">
        <v>8234</v>
      </c>
    </row>
    <row r="1312" spans="1:12" x14ac:dyDescent="0.25">
      <c r="A1312">
        <v>343351</v>
      </c>
      <c r="B1312">
        <v>1295470</v>
      </c>
      <c r="D1312">
        <v>0</v>
      </c>
      <c r="E1312" t="s">
        <v>8243</v>
      </c>
      <c r="F1312" t="s">
        <v>8244</v>
      </c>
      <c r="G1312" t="s">
        <v>8245</v>
      </c>
      <c r="H1312" t="e" vm="580">
        <f>_FV(0,"009752418173402567")</f>
        <v>#VALUE!</v>
      </c>
      <c r="I1312" t="s">
        <v>8246</v>
      </c>
      <c r="J1312" t="s">
        <v>243</v>
      </c>
      <c r="K1312" t="s">
        <v>8247</v>
      </c>
      <c r="L1312" t="s">
        <v>8242</v>
      </c>
    </row>
    <row r="1313" spans="1:12" x14ac:dyDescent="0.25">
      <c r="A1313">
        <v>343717</v>
      </c>
      <c r="B1313">
        <v>343719</v>
      </c>
      <c r="D1313">
        <v>0</v>
      </c>
      <c r="E1313" t="s">
        <v>8249</v>
      </c>
      <c r="F1313" t="s">
        <v>8250</v>
      </c>
      <c r="G1313" t="s">
        <v>8251</v>
      </c>
      <c r="H1313" t="e" vm="581">
        <f>_FV(0,"012006714438357066")</f>
        <v>#VALUE!</v>
      </c>
      <c r="I1313" t="s">
        <v>8252</v>
      </c>
      <c r="J1313" t="s">
        <v>8253</v>
      </c>
      <c r="K1313" t="s">
        <v>8254</v>
      </c>
      <c r="L1313" t="s">
        <v>8248</v>
      </c>
    </row>
    <row r="1314" spans="1:12" x14ac:dyDescent="0.25">
      <c r="A1314">
        <v>343717</v>
      </c>
      <c r="B1314">
        <v>1298446</v>
      </c>
      <c r="D1314">
        <v>0</v>
      </c>
      <c r="E1314" t="s">
        <v>8256</v>
      </c>
      <c r="F1314" t="s">
        <v>8257</v>
      </c>
      <c r="G1314" t="s">
        <v>8258</v>
      </c>
      <c r="H1314" t="e" vm="582">
        <f>_FV(0,"017232307842560968")</f>
        <v>#VALUE!</v>
      </c>
      <c r="I1314" t="s">
        <v>8259</v>
      </c>
      <c r="J1314" t="s">
        <v>8260</v>
      </c>
      <c r="K1314" t="s">
        <v>8261</v>
      </c>
      <c r="L1314" t="s">
        <v>8255</v>
      </c>
    </row>
    <row r="1315" spans="1:12" x14ac:dyDescent="0.25">
      <c r="A1315">
        <v>343719</v>
      </c>
      <c r="B1315">
        <v>343766</v>
      </c>
      <c r="D1315">
        <v>0</v>
      </c>
      <c r="E1315" t="s">
        <v>8263</v>
      </c>
      <c r="F1315" t="s">
        <v>8264</v>
      </c>
      <c r="G1315" t="s">
        <v>8265</v>
      </c>
      <c r="H1315" t="s">
        <v>8266</v>
      </c>
      <c r="I1315" t="s">
        <v>8267</v>
      </c>
      <c r="J1315" t="s">
        <v>8268</v>
      </c>
      <c r="K1315" t="s">
        <v>8269</v>
      </c>
      <c r="L1315" t="s">
        <v>8262</v>
      </c>
    </row>
    <row r="1316" spans="1:12" x14ac:dyDescent="0.25">
      <c r="A1316">
        <v>343719</v>
      </c>
      <c r="B1316">
        <v>1295521</v>
      </c>
      <c r="D1316">
        <v>0</v>
      </c>
      <c r="E1316" t="s">
        <v>8271</v>
      </c>
      <c r="F1316" t="s">
        <v>8272</v>
      </c>
      <c r="G1316" t="s">
        <v>8273</v>
      </c>
      <c r="H1316" t="e" vm="583">
        <f>_FV(0,"02283540866868697")</f>
        <v>#VALUE!</v>
      </c>
      <c r="I1316" t="s">
        <v>8274</v>
      </c>
      <c r="J1316" t="s">
        <v>8275</v>
      </c>
      <c r="K1316" t="s">
        <v>8276</v>
      </c>
      <c r="L1316" t="s">
        <v>8270</v>
      </c>
    </row>
    <row r="1317" spans="1:12" x14ac:dyDescent="0.25">
      <c r="A1317">
        <v>343766</v>
      </c>
      <c r="B1317">
        <v>1295103</v>
      </c>
      <c r="D1317">
        <v>0</v>
      </c>
      <c r="F1317">
        <v>1418248</v>
      </c>
      <c r="G1317">
        <v>1295103</v>
      </c>
      <c r="H1317" t="e" vm="584">
        <f>_FV(0,"463")</f>
        <v>#VALUE!</v>
      </c>
      <c r="I1317">
        <v>343766</v>
      </c>
      <c r="J1317" t="s">
        <v>8277</v>
      </c>
      <c r="K1317" t="s">
        <v>8278</v>
      </c>
      <c r="L1317" t="e" vm="584">
        <f>_FV(0,"463")</f>
        <v>#VALUE!</v>
      </c>
    </row>
    <row r="1318" spans="1:12" x14ac:dyDescent="0.25">
      <c r="A1318">
        <v>343766</v>
      </c>
      <c r="B1318">
        <v>1295087</v>
      </c>
      <c r="D1318">
        <v>0</v>
      </c>
      <c r="E1318" t="s">
        <v>8280</v>
      </c>
      <c r="F1318" t="s">
        <v>8281</v>
      </c>
      <c r="G1318" t="s">
        <v>8282</v>
      </c>
      <c r="H1318" t="s">
        <v>8283</v>
      </c>
      <c r="I1318" t="s">
        <v>8284</v>
      </c>
      <c r="J1318" t="s">
        <v>8285</v>
      </c>
      <c r="K1318" t="s">
        <v>8286</v>
      </c>
      <c r="L1318" t="s">
        <v>8279</v>
      </c>
    </row>
    <row r="1319" spans="1:12" x14ac:dyDescent="0.25">
      <c r="A1319">
        <v>343909</v>
      </c>
      <c r="B1319">
        <v>343979</v>
      </c>
      <c r="D1319">
        <v>0</v>
      </c>
      <c r="E1319" t="s">
        <v>8288</v>
      </c>
      <c r="F1319" t="s">
        <v>8289</v>
      </c>
      <c r="G1319" t="s">
        <v>8290</v>
      </c>
      <c r="H1319" t="s">
        <v>8291</v>
      </c>
      <c r="I1319" t="s">
        <v>8292</v>
      </c>
      <c r="J1319" t="s">
        <v>8293</v>
      </c>
      <c r="K1319" t="s">
        <v>8294</v>
      </c>
      <c r="L1319" t="s">
        <v>8287</v>
      </c>
    </row>
    <row r="1320" spans="1:12" x14ac:dyDescent="0.25">
      <c r="A1320">
        <v>343909</v>
      </c>
      <c r="B1320">
        <v>343979</v>
      </c>
      <c r="D1320">
        <v>0</v>
      </c>
      <c r="E1320" t="s">
        <v>8296</v>
      </c>
      <c r="F1320" t="s">
        <v>8297</v>
      </c>
      <c r="G1320" t="s">
        <v>8298</v>
      </c>
      <c r="H1320" t="s">
        <v>8299</v>
      </c>
      <c r="I1320" t="s">
        <v>8300</v>
      </c>
      <c r="J1320" t="s">
        <v>8295</v>
      </c>
      <c r="K1320" t="s">
        <v>8301</v>
      </c>
      <c r="L1320" t="s">
        <v>8295</v>
      </c>
    </row>
    <row r="1321" spans="1:12" x14ac:dyDescent="0.25">
      <c r="A1321">
        <v>343909</v>
      </c>
      <c r="B1321">
        <v>356143</v>
      </c>
      <c r="C1321" t="s">
        <v>8303</v>
      </c>
      <c r="D1321" t="s">
        <v>8304</v>
      </c>
      <c r="E1321" t="s">
        <v>8305</v>
      </c>
      <c r="F1321" t="s">
        <v>8306</v>
      </c>
      <c r="G1321" t="s">
        <v>8307</v>
      </c>
      <c r="H1321" t="s">
        <v>8308</v>
      </c>
      <c r="I1321" t="s">
        <v>8309</v>
      </c>
      <c r="J1321" t="s">
        <v>8310</v>
      </c>
      <c r="K1321" t="s">
        <v>8311</v>
      </c>
      <c r="L1321" t="s">
        <v>8302</v>
      </c>
    </row>
    <row r="1322" spans="1:12" x14ac:dyDescent="0.25">
      <c r="A1322">
        <v>343924</v>
      </c>
      <c r="B1322">
        <v>945719</v>
      </c>
      <c r="D1322">
        <v>0</v>
      </c>
      <c r="F1322">
        <v>985655</v>
      </c>
      <c r="G1322">
        <v>945719</v>
      </c>
      <c r="H1322" t="e" vm="585">
        <f>_FV(0,"218")</f>
        <v>#VALUE!</v>
      </c>
      <c r="I1322">
        <v>343924</v>
      </c>
      <c r="J1322" t="s">
        <v>8312</v>
      </c>
      <c r="K1322" t="s">
        <v>8313</v>
      </c>
      <c r="L1322" t="e" vm="585">
        <f>_FV(0,"218")</f>
        <v>#VALUE!</v>
      </c>
    </row>
    <row r="1323" spans="1:12" x14ac:dyDescent="0.25">
      <c r="A1323">
        <v>343924</v>
      </c>
      <c r="B1323">
        <v>343926</v>
      </c>
      <c r="D1323">
        <v>0</v>
      </c>
      <c r="E1323" t="s">
        <v>8315</v>
      </c>
      <c r="F1323" t="s">
        <v>8316</v>
      </c>
      <c r="G1323" t="s">
        <v>8317</v>
      </c>
      <c r="H1323" t="s">
        <v>8318</v>
      </c>
      <c r="I1323" t="s">
        <v>8319</v>
      </c>
      <c r="J1323" t="s">
        <v>8314</v>
      </c>
      <c r="K1323" t="s">
        <v>8320</v>
      </c>
      <c r="L1323" t="s">
        <v>8314</v>
      </c>
    </row>
    <row r="1324" spans="1:12" x14ac:dyDescent="0.25">
      <c r="A1324">
        <v>343924</v>
      </c>
      <c r="B1324">
        <v>945705</v>
      </c>
      <c r="D1324">
        <v>0</v>
      </c>
      <c r="E1324" t="s">
        <v>8322</v>
      </c>
      <c r="F1324" t="s">
        <v>8323</v>
      </c>
      <c r="G1324" t="s">
        <v>8324</v>
      </c>
      <c r="H1324" t="s">
        <v>8325</v>
      </c>
      <c r="I1324" t="s">
        <v>8326</v>
      </c>
      <c r="J1324" t="s">
        <v>8327</v>
      </c>
      <c r="K1324" t="s">
        <v>8328</v>
      </c>
      <c r="L1324" t="s">
        <v>8321</v>
      </c>
    </row>
    <row r="1325" spans="1:12" x14ac:dyDescent="0.25">
      <c r="A1325">
        <v>343926</v>
      </c>
      <c r="B1325">
        <v>343936</v>
      </c>
      <c r="C1325" t="s">
        <v>8330</v>
      </c>
      <c r="D1325" t="s">
        <v>8331</v>
      </c>
      <c r="E1325" t="s">
        <v>8332</v>
      </c>
      <c r="F1325" t="s">
        <v>8333</v>
      </c>
      <c r="G1325" t="s">
        <v>8334</v>
      </c>
      <c r="H1325" t="s">
        <v>8335</v>
      </c>
      <c r="I1325" t="s">
        <v>8336</v>
      </c>
      <c r="J1325" t="s">
        <v>8337</v>
      </c>
      <c r="K1325" t="s">
        <v>8338</v>
      </c>
      <c r="L1325" t="s">
        <v>8329</v>
      </c>
    </row>
    <row r="1326" spans="1:12" x14ac:dyDescent="0.25">
      <c r="A1326">
        <v>343926</v>
      </c>
      <c r="B1326">
        <v>945705</v>
      </c>
      <c r="D1326">
        <v>0</v>
      </c>
      <c r="E1326" t="s">
        <v>8340</v>
      </c>
      <c r="F1326" t="s">
        <v>8341</v>
      </c>
      <c r="G1326" t="s">
        <v>8342</v>
      </c>
      <c r="H1326" t="s">
        <v>8343</v>
      </c>
      <c r="I1326" t="s">
        <v>8344</v>
      </c>
      <c r="J1326" t="s">
        <v>8339</v>
      </c>
      <c r="K1326" t="s">
        <v>8345</v>
      </c>
      <c r="L1326" t="s">
        <v>8339</v>
      </c>
    </row>
    <row r="1327" spans="1:12" x14ac:dyDescent="0.25">
      <c r="A1327">
        <v>343936</v>
      </c>
      <c r="B1327">
        <v>343938</v>
      </c>
      <c r="D1327">
        <v>0</v>
      </c>
      <c r="E1327" t="s">
        <v>8347</v>
      </c>
      <c r="F1327" t="s">
        <v>8348</v>
      </c>
      <c r="G1327" t="s">
        <v>8349</v>
      </c>
      <c r="H1327" t="s">
        <v>8350</v>
      </c>
      <c r="I1327" t="s">
        <v>8351</v>
      </c>
      <c r="J1327" t="s">
        <v>8346</v>
      </c>
      <c r="K1327" t="s">
        <v>8352</v>
      </c>
      <c r="L1327" t="s">
        <v>8346</v>
      </c>
    </row>
    <row r="1328" spans="1:12" x14ac:dyDescent="0.25">
      <c r="A1328">
        <v>343936</v>
      </c>
      <c r="B1328">
        <v>945732</v>
      </c>
      <c r="D1328">
        <v>0</v>
      </c>
      <c r="E1328" t="s">
        <v>8354</v>
      </c>
      <c r="F1328" t="s">
        <v>8355</v>
      </c>
      <c r="G1328" t="s">
        <v>8356</v>
      </c>
      <c r="H1328" t="s">
        <v>8357</v>
      </c>
      <c r="I1328" t="s">
        <v>8358</v>
      </c>
      <c r="J1328" t="s">
        <v>8353</v>
      </c>
      <c r="K1328" t="s">
        <v>8359</v>
      </c>
      <c r="L1328" t="s">
        <v>8353</v>
      </c>
    </row>
    <row r="1329" spans="1:12" x14ac:dyDescent="0.25">
      <c r="A1329">
        <v>343938</v>
      </c>
      <c r="B1329">
        <v>945732</v>
      </c>
      <c r="D1329">
        <v>0</v>
      </c>
      <c r="E1329" t="s">
        <v>8361</v>
      </c>
      <c r="F1329" t="s">
        <v>8362</v>
      </c>
      <c r="G1329" t="s">
        <v>8363</v>
      </c>
      <c r="H1329" t="s">
        <v>8364</v>
      </c>
      <c r="I1329" t="s">
        <v>8365</v>
      </c>
      <c r="J1329" t="s">
        <v>8360</v>
      </c>
      <c r="K1329" t="s">
        <v>8366</v>
      </c>
      <c r="L1329" t="s">
        <v>8360</v>
      </c>
    </row>
    <row r="1330" spans="1:12" x14ac:dyDescent="0.25">
      <c r="A1330">
        <v>343938</v>
      </c>
      <c r="B1330">
        <v>344137</v>
      </c>
      <c r="D1330">
        <v>0</v>
      </c>
      <c r="E1330" t="s">
        <v>8368</v>
      </c>
      <c r="F1330" t="s">
        <v>8369</v>
      </c>
      <c r="G1330" t="s">
        <v>8370</v>
      </c>
      <c r="H1330" t="e" vm="586">
        <f>_FV(0,"03221421243792978")</f>
        <v>#VALUE!</v>
      </c>
      <c r="I1330" t="s">
        <v>8371</v>
      </c>
      <c r="J1330" t="s">
        <v>8372</v>
      </c>
      <c r="K1330" t="s">
        <v>8373</v>
      </c>
      <c r="L1330" t="s">
        <v>8367</v>
      </c>
    </row>
    <row r="1331" spans="1:12" x14ac:dyDescent="0.25">
      <c r="A1331">
        <v>343979</v>
      </c>
      <c r="B1331">
        <v>1558508</v>
      </c>
      <c r="C1331" t="s">
        <v>8375</v>
      </c>
      <c r="D1331">
        <v>0</v>
      </c>
      <c r="E1331" t="s">
        <v>8376</v>
      </c>
      <c r="F1331" t="s">
        <v>8377</v>
      </c>
      <c r="G1331" t="s">
        <v>8378</v>
      </c>
      <c r="H1331" t="e" vm="587">
        <f>_FV(0,"008591612393931199")</f>
        <v>#VALUE!</v>
      </c>
      <c r="I1331" t="s">
        <v>8379</v>
      </c>
      <c r="J1331" t="s">
        <v>8380</v>
      </c>
      <c r="K1331" t="s">
        <v>8381</v>
      </c>
      <c r="L1331" t="s">
        <v>8374</v>
      </c>
    </row>
    <row r="1332" spans="1:12" x14ac:dyDescent="0.25">
      <c r="A1332">
        <v>344137</v>
      </c>
      <c r="B1332">
        <v>945733</v>
      </c>
      <c r="D1332">
        <v>0</v>
      </c>
      <c r="E1332" t="s">
        <v>8383</v>
      </c>
      <c r="F1332" t="s">
        <v>8384</v>
      </c>
      <c r="G1332" t="s">
        <v>8385</v>
      </c>
      <c r="H1332" t="e" vm="588">
        <f>_FV(0,"037704424256673516")</f>
        <v>#VALUE!</v>
      </c>
      <c r="I1332" t="s">
        <v>8386</v>
      </c>
      <c r="J1332" t="s">
        <v>8387</v>
      </c>
      <c r="K1332" t="s">
        <v>8388</v>
      </c>
      <c r="L1332" t="s">
        <v>8382</v>
      </c>
    </row>
    <row r="1333" spans="1:12" x14ac:dyDescent="0.25">
      <c r="A1333">
        <v>344359</v>
      </c>
      <c r="B1333">
        <v>1298694</v>
      </c>
      <c r="D1333">
        <v>0</v>
      </c>
      <c r="F1333">
        <v>1423643</v>
      </c>
      <c r="G1333">
        <v>1298694</v>
      </c>
      <c r="H1333" t="s">
        <v>5837</v>
      </c>
      <c r="I1333">
        <v>344359</v>
      </c>
      <c r="J1333" t="s">
        <v>5837</v>
      </c>
      <c r="K1333" t="s">
        <v>8389</v>
      </c>
      <c r="L1333" t="s">
        <v>5837</v>
      </c>
    </row>
    <row r="1334" spans="1:12" x14ac:dyDescent="0.25">
      <c r="A1334">
        <v>344359</v>
      </c>
      <c r="B1334">
        <v>344396</v>
      </c>
      <c r="D1334">
        <v>0</v>
      </c>
      <c r="E1334" t="s">
        <v>8391</v>
      </c>
      <c r="F1334" t="s">
        <v>8392</v>
      </c>
      <c r="G1334" t="s">
        <v>8393</v>
      </c>
      <c r="H1334" t="s">
        <v>8394</v>
      </c>
      <c r="I1334" t="s">
        <v>8395</v>
      </c>
      <c r="J1334" t="s">
        <v>8396</v>
      </c>
      <c r="K1334" t="s">
        <v>8397</v>
      </c>
      <c r="L1334" t="s">
        <v>8390</v>
      </c>
    </row>
    <row r="1335" spans="1:12" x14ac:dyDescent="0.25">
      <c r="A1335">
        <v>344359</v>
      </c>
      <c r="B1335">
        <v>344397</v>
      </c>
      <c r="D1335">
        <v>0</v>
      </c>
      <c r="E1335" t="s">
        <v>8399</v>
      </c>
      <c r="F1335" t="s">
        <v>8400</v>
      </c>
      <c r="G1335" t="s">
        <v>8401</v>
      </c>
      <c r="H1335" t="s">
        <v>8402</v>
      </c>
      <c r="I1335" t="s">
        <v>8403</v>
      </c>
      <c r="J1335" t="s">
        <v>8398</v>
      </c>
      <c r="K1335" t="s">
        <v>8404</v>
      </c>
      <c r="L1335" t="s">
        <v>8398</v>
      </c>
    </row>
    <row r="1336" spans="1:12" x14ac:dyDescent="0.25">
      <c r="A1336">
        <v>344396</v>
      </c>
      <c r="B1336">
        <v>1297863</v>
      </c>
      <c r="D1336" t="s">
        <v>204</v>
      </c>
      <c r="E1336" t="s">
        <v>8406</v>
      </c>
      <c r="F1336" t="s">
        <v>8407</v>
      </c>
      <c r="G1336" t="s">
        <v>8408</v>
      </c>
      <c r="H1336" t="s">
        <v>8409</v>
      </c>
      <c r="I1336" t="s">
        <v>8410</v>
      </c>
      <c r="J1336" t="s">
        <v>8411</v>
      </c>
      <c r="K1336" t="s">
        <v>8412</v>
      </c>
      <c r="L1336" t="s">
        <v>8405</v>
      </c>
    </row>
    <row r="1337" spans="1:12" x14ac:dyDescent="0.25">
      <c r="A1337">
        <v>344396</v>
      </c>
      <c r="B1337">
        <v>344397</v>
      </c>
      <c r="D1337">
        <v>0</v>
      </c>
      <c r="E1337" t="s">
        <v>8414</v>
      </c>
      <c r="F1337" t="s">
        <v>8415</v>
      </c>
      <c r="G1337" t="s">
        <v>8416</v>
      </c>
      <c r="H1337" t="s">
        <v>8417</v>
      </c>
      <c r="I1337" t="s">
        <v>8418</v>
      </c>
      <c r="J1337" t="s">
        <v>8419</v>
      </c>
      <c r="K1337" t="s">
        <v>8420</v>
      </c>
      <c r="L1337" t="s">
        <v>8413</v>
      </c>
    </row>
    <row r="1338" spans="1:12" x14ac:dyDescent="0.25">
      <c r="A1338">
        <v>344397</v>
      </c>
      <c r="B1338">
        <v>1298674</v>
      </c>
      <c r="D1338">
        <v>0</v>
      </c>
      <c r="E1338" t="s">
        <v>8422</v>
      </c>
      <c r="F1338" t="s">
        <v>8423</v>
      </c>
      <c r="G1338" t="s">
        <v>8424</v>
      </c>
      <c r="H1338" t="e" vm="589">
        <f>_FV(0,"0364449519215689")</f>
        <v>#VALUE!</v>
      </c>
      <c r="I1338" t="s">
        <v>8425</v>
      </c>
      <c r="J1338" t="s">
        <v>8426</v>
      </c>
      <c r="K1338" t="s">
        <v>8427</v>
      </c>
      <c r="L1338" t="s">
        <v>8421</v>
      </c>
    </row>
    <row r="1339" spans="1:12" x14ac:dyDescent="0.25">
      <c r="A1339">
        <v>344430</v>
      </c>
      <c r="B1339">
        <v>344521</v>
      </c>
      <c r="C1339" t="s">
        <v>8429</v>
      </c>
      <c r="D1339">
        <v>0</v>
      </c>
      <c r="E1339" t="s">
        <v>8430</v>
      </c>
      <c r="F1339" t="s">
        <v>8431</v>
      </c>
      <c r="G1339" t="s">
        <v>8432</v>
      </c>
      <c r="H1339" t="s">
        <v>8433</v>
      </c>
      <c r="I1339" t="s">
        <v>8434</v>
      </c>
      <c r="J1339" t="s">
        <v>8428</v>
      </c>
      <c r="K1339" t="s">
        <v>8435</v>
      </c>
      <c r="L1339" t="s">
        <v>8428</v>
      </c>
    </row>
    <row r="1340" spans="1:12" x14ac:dyDescent="0.25">
      <c r="A1340">
        <v>344430</v>
      </c>
      <c r="B1340">
        <v>646653</v>
      </c>
      <c r="D1340">
        <v>0</v>
      </c>
      <c r="E1340" t="s">
        <v>8437</v>
      </c>
      <c r="F1340" t="s">
        <v>8438</v>
      </c>
      <c r="G1340" t="s">
        <v>8439</v>
      </c>
      <c r="H1340" t="s">
        <v>8440</v>
      </c>
      <c r="I1340" t="s">
        <v>8441</v>
      </c>
      <c r="J1340" t="s">
        <v>8442</v>
      </c>
      <c r="K1340" t="s">
        <v>8443</v>
      </c>
      <c r="L1340" t="s">
        <v>8436</v>
      </c>
    </row>
    <row r="1341" spans="1:12" x14ac:dyDescent="0.25">
      <c r="A1341">
        <v>344430</v>
      </c>
      <c r="B1341">
        <v>646677</v>
      </c>
      <c r="D1341">
        <v>0</v>
      </c>
      <c r="E1341" t="s">
        <v>8445</v>
      </c>
      <c r="F1341" t="s">
        <v>8446</v>
      </c>
      <c r="G1341" t="s">
        <v>8447</v>
      </c>
      <c r="H1341" t="s">
        <v>8448</v>
      </c>
      <c r="I1341" t="s">
        <v>8449</v>
      </c>
      <c r="J1341" t="s">
        <v>8450</v>
      </c>
      <c r="K1341" t="s">
        <v>8451</v>
      </c>
      <c r="L1341" t="s">
        <v>8444</v>
      </c>
    </row>
    <row r="1342" spans="1:12" x14ac:dyDescent="0.25">
      <c r="A1342">
        <v>344521</v>
      </c>
      <c r="B1342">
        <v>344569</v>
      </c>
      <c r="D1342">
        <v>0</v>
      </c>
      <c r="E1342" t="s">
        <v>8453</v>
      </c>
      <c r="F1342" t="s">
        <v>8454</v>
      </c>
      <c r="G1342" t="s">
        <v>8455</v>
      </c>
      <c r="H1342" t="s">
        <v>8456</v>
      </c>
      <c r="I1342" t="s">
        <v>8457</v>
      </c>
      <c r="J1342" t="s">
        <v>8452</v>
      </c>
      <c r="K1342" t="s">
        <v>8458</v>
      </c>
      <c r="L1342" t="s">
        <v>8452</v>
      </c>
    </row>
    <row r="1343" spans="1:12" x14ac:dyDescent="0.25">
      <c r="A1343">
        <v>344521</v>
      </c>
      <c r="B1343">
        <v>945782</v>
      </c>
      <c r="D1343">
        <v>0</v>
      </c>
      <c r="E1343" t="s">
        <v>8460</v>
      </c>
      <c r="F1343" t="s">
        <v>8461</v>
      </c>
      <c r="G1343" t="s">
        <v>8462</v>
      </c>
      <c r="H1343" t="s">
        <v>8463</v>
      </c>
      <c r="I1343" t="s">
        <v>8464</v>
      </c>
      <c r="J1343" t="s">
        <v>8465</v>
      </c>
      <c r="K1343" t="s">
        <v>8466</v>
      </c>
      <c r="L1343" t="s">
        <v>8459</v>
      </c>
    </row>
    <row r="1344" spans="1:12" x14ac:dyDescent="0.25">
      <c r="A1344">
        <v>344569</v>
      </c>
      <c r="B1344">
        <v>945782</v>
      </c>
      <c r="D1344">
        <v>0</v>
      </c>
      <c r="E1344" t="s">
        <v>8468</v>
      </c>
      <c r="F1344" t="s">
        <v>8469</v>
      </c>
      <c r="G1344" t="s">
        <v>8470</v>
      </c>
      <c r="H1344" t="e" vm="590">
        <f>_FV(0,"15316510949581164")</f>
        <v>#VALUE!</v>
      </c>
      <c r="I1344" t="s">
        <v>8471</v>
      </c>
      <c r="J1344" t="s">
        <v>8472</v>
      </c>
      <c r="K1344" t="s">
        <v>8473</v>
      </c>
      <c r="L1344" t="s">
        <v>8467</v>
      </c>
    </row>
    <row r="1345" spans="1:12" x14ac:dyDescent="0.25">
      <c r="A1345">
        <v>344569</v>
      </c>
      <c r="B1345">
        <v>344663</v>
      </c>
      <c r="D1345">
        <v>0</v>
      </c>
      <c r="E1345" t="s">
        <v>8475</v>
      </c>
      <c r="F1345" t="s">
        <v>8476</v>
      </c>
      <c r="G1345" t="s">
        <v>8477</v>
      </c>
      <c r="H1345" t="e" vm="591">
        <f>_FV(0,"049408169906064225")</f>
        <v>#VALUE!</v>
      </c>
      <c r="I1345" t="s">
        <v>8478</v>
      </c>
      <c r="J1345" t="s">
        <v>8479</v>
      </c>
      <c r="K1345" t="s">
        <v>8480</v>
      </c>
      <c r="L1345" t="s">
        <v>8474</v>
      </c>
    </row>
    <row r="1346" spans="1:12" x14ac:dyDescent="0.25">
      <c r="A1346">
        <v>344663</v>
      </c>
      <c r="B1346">
        <v>344688</v>
      </c>
      <c r="D1346">
        <v>0</v>
      </c>
      <c r="E1346" t="s">
        <v>8482</v>
      </c>
      <c r="F1346" t="s">
        <v>8483</v>
      </c>
      <c r="G1346" t="s">
        <v>8484</v>
      </c>
      <c r="H1346" t="e" vm="592">
        <f>_FV(-5,"553961997971409e")-5</f>
        <v>#VALUE!</v>
      </c>
      <c r="I1346" t="s">
        <v>8485</v>
      </c>
      <c r="J1346" t="s">
        <v>8486</v>
      </c>
      <c r="K1346" t="s">
        <v>8487</v>
      </c>
      <c r="L1346" t="s">
        <v>8481</v>
      </c>
    </row>
    <row r="1347" spans="1:12" x14ac:dyDescent="0.25">
      <c r="A1347">
        <v>344663</v>
      </c>
      <c r="B1347">
        <v>945783</v>
      </c>
      <c r="D1347">
        <v>0</v>
      </c>
      <c r="E1347" t="s">
        <v>8489</v>
      </c>
      <c r="F1347" t="s">
        <v>8490</v>
      </c>
      <c r="G1347" t="s">
        <v>8491</v>
      </c>
      <c r="H1347" t="s">
        <v>8492</v>
      </c>
      <c r="I1347" t="s">
        <v>8493</v>
      </c>
      <c r="J1347" t="s">
        <v>8488</v>
      </c>
      <c r="K1347" t="s">
        <v>8494</v>
      </c>
      <c r="L1347" t="s">
        <v>8488</v>
      </c>
    </row>
    <row r="1348" spans="1:12" x14ac:dyDescent="0.25">
      <c r="A1348">
        <v>344688</v>
      </c>
      <c r="B1348">
        <v>344790</v>
      </c>
      <c r="C1348" t="s">
        <v>8496</v>
      </c>
      <c r="D1348">
        <v>0</v>
      </c>
      <c r="E1348" t="s">
        <v>8497</v>
      </c>
      <c r="F1348" t="s">
        <v>8498</v>
      </c>
      <c r="G1348" t="s">
        <v>8499</v>
      </c>
      <c r="H1348" t="e" vm="593">
        <f>_FV(0,"020734248572955083")</f>
        <v>#VALUE!</v>
      </c>
      <c r="I1348" t="s">
        <v>8500</v>
      </c>
      <c r="J1348" t="s">
        <v>8501</v>
      </c>
      <c r="K1348" t="s">
        <v>8502</v>
      </c>
      <c r="L1348" t="s">
        <v>8495</v>
      </c>
    </row>
    <row r="1349" spans="1:12" x14ac:dyDescent="0.25">
      <c r="A1349">
        <v>344688</v>
      </c>
      <c r="B1349">
        <v>945783</v>
      </c>
      <c r="D1349">
        <v>0</v>
      </c>
      <c r="E1349" t="s">
        <v>8504</v>
      </c>
      <c r="F1349" t="s">
        <v>8505</v>
      </c>
      <c r="G1349" t="s">
        <v>8506</v>
      </c>
      <c r="H1349" t="s">
        <v>8507</v>
      </c>
      <c r="I1349" t="s">
        <v>8508</v>
      </c>
      <c r="J1349" t="s">
        <v>8503</v>
      </c>
      <c r="K1349" t="s">
        <v>8509</v>
      </c>
      <c r="L1349" t="s">
        <v>8503</v>
      </c>
    </row>
    <row r="1350" spans="1:12" x14ac:dyDescent="0.25">
      <c r="A1350">
        <v>344790</v>
      </c>
      <c r="B1350">
        <v>344977</v>
      </c>
      <c r="D1350">
        <v>0</v>
      </c>
      <c r="E1350" t="s">
        <v>8511</v>
      </c>
      <c r="F1350" t="s">
        <v>8512</v>
      </c>
      <c r="G1350" t="s">
        <v>8513</v>
      </c>
      <c r="H1350" t="e" vm="594">
        <f>_FV(0,"006762257159703523")</f>
        <v>#VALUE!</v>
      </c>
      <c r="I1350" t="s">
        <v>8514</v>
      </c>
      <c r="J1350" t="s">
        <v>8515</v>
      </c>
      <c r="K1350" t="s">
        <v>8516</v>
      </c>
      <c r="L1350" t="s">
        <v>8510</v>
      </c>
    </row>
    <row r="1351" spans="1:12" x14ac:dyDescent="0.25">
      <c r="A1351">
        <v>344790</v>
      </c>
      <c r="B1351">
        <v>344977</v>
      </c>
      <c r="D1351">
        <v>0</v>
      </c>
      <c r="E1351" t="s">
        <v>8518</v>
      </c>
      <c r="F1351" t="s">
        <v>8519</v>
      </c>
      <c r="G1351" t="s">
        <v>8520</v>
      </c>
      <c r="H1351" t="e" vm="595">
        <f>_FV(0,"006858766754272482")</f>
        <v>#VALUE!</v>
      </c>
      <c r="I1351" t="s">
        <v>8521</v>
      </c>
      <c r="J1351" t="s">
        <v>8522</v>
      </c>
      <c r="K1351" t="s">
        <v>8523</v>
      </c>
      <c r="L1351" t="s">
        <v>8517</v>
      </c>
    </row>
    <row r="1352" spans="1:12" x14ac:dyDescent="0.25">
      <c r="A1352">
        <v>344977</v>
      </c>
      <c r="B1352">
        <v>345153</v>
      </c>
      <c r="C1352" t="s">
        <v>8525</v>
      </c>
      <c r="D1352">
        <v>0</v>
      </c>
      <c r="E1352" t="s">
        <v>8526</v>
      </c>
      <c r="F1352" t="s">
        <v>8527</v>
      </c>
      <c r="G1352" t="s">
        <v>8528</v>
      </c>
      <c r="H1352" t="e" vm="596">
        <f>_FV(0,"0054635182844200774")</f>
        <v>#VALUE!</v>
      </c>
      <c r="I1352" t="s">
        <v>8529</v>
      </c>
      <c r="J1352" t="s">
        <v>8530</v>
      </c>
      <c r="K1352" t="s">
        <v>8531</v>
      </c>
      <c r="L1352" t="s">
        <v>8524</v>
      </c>
    </row>
    <row r="1353" spans="1:12" x14ac:dyDescent="0.25">
      <c r="A1353">
        <v>345153</v>
      </c>
      <c r="B1353">
        <v>345228</v>
      </c>
      <c r="D1353">
        <v>0</v>
      </c>
      <c r="E1353" t="s">
        <v>8533</v>
      </c>
      <c r="F1353" t="s">
        <v>8534</v>
      </c>
      <c r="G1353" t="s">
        <v>8535</v>
      </c>
      <c r="H1353" t="s">
        <v>8536</v>
      </c>
      <c r="I1353" t="s">
        <v>8537</v>
      </c>
      <c r="J1353" t="s">
        <v>8538</v>
      </c>
      <c r="K1353" t="s">
        <v>8539</v>
      </c>
      <c r="L1353" t="s">
        <v>8532</v>
      </c>
    </row>
    <row r="1354" spans="1:12" x14ac:dyDescent="0.25">
      <c r="A1354">
        <v>345153</v>
      </c>
      <c r="B1354">
        <v>345228</v>
      </c>
      <c r="D1354">
        <v>0</v>
      </c>
      <c r="E1354" t="s">
        <v>8541</v>
      </c>
      <c r="F1354" t="s">
        <v>8542</v>
      </c>
      <c r="G1354" t="s">
        <v>8543</v>
      </c>
      <c r="H1354" t="s">
        <v>8544</v>
      </c>
      <c r="I1354" t="s">
        <v>8545</v>
      </c>
      <c r="J1354" t="s">
        <v>8546</v>
      </c>
      <c r="K1354" t="s">
        <v>8547</v>
      </c>
      <c r="L1354" t="s">
        <v>8540</v>
      </c>
    </row>
    <row r="1355" spans="1:12" x14ac:dyDescent="0.25">
      <c r="A1355">
        <v>345228</v>
      </c>
      <c r="B1355">
        <v>345325</v>
      </c>
      <c r="D1355">
        <v>0</v>
      </c>
      <c r="E1355" t="s">
        <v>8549</v>
      </c>
      <c r="F1355" t="s">
        <v>8550</v>
      </c>
      <c r="G1355" t="s">
        <v>8551</v>
      </c>
      <c r="H1355" t="e" vm="597">
        <f>_FV(0,"0035519447406686462")</f>
        <v>#VALUE!</v>
      </c>
      <c r="I1355" t="s">
        <v>8552</v>
      </c>
      <c r="J1355" t="s">
        <v>8553</v>
      </c>
      <c r="K1355" t="s">
        <v>8554</v>
      </c>
      <c r="L1355" t="s">
        <v>8548</v>
      </c>
    </row>
    <row r="1356" spans="1:12" x14ac:dyDescent="0.25">
      <c r="A1356">
        <v>345325</v>
      </c>
      <c r="B1356">
        <v>345378</v>
      </c>
      <c r="D1356">
        <v>0</v>
      </c>
      <c r="E1356" t="s">
        <v>8556</v>
      </c>
      <c r="F1356" t="s">
        <v>8557</v>
      </c>
      <c r="G1356" t="s">
        <v>8558</v>
      </c>
      <c r="H1356" t="s">
        <v>8559</v>
      </c>
      <c r="I1356" t="s">
        <v>8560</v>
      </c>
      <c r="J1356" t="s">
        <v>8561</v>
      </c>
      <c r="K1356" t="s">
        <v>8562</v>
      </c>
      <c r="L1356" t="s">
        <v>8555</v>
      </c>
    </row>
    <row r="1357" spans="1:12" x14ac:dyDescent="0.25">
      <c r="A1357">
        <v>345325</v>
      </c>
      <c r="B1357">
        <v>345378</v>
      </c>
      <c r="D1357">
        <v>0</v>
      </c>
      <c r="E1357" t="s">
        <v>8564</v>
      </c>
      <c r="F1357" t="s">
        <v>8565</v>
      </c>
      <c r="G1357" t="s">
        <v>8566</v>
      </c>
      <c r="H1357" t="s">
        <v>8567</v>
      </c>
      <c r="I1357" t="s">
        <v>8568</v>
      </c>
      <c r="J1357" t="s">
        <v>8569</v>
      </c>
      <c r="K1357" t="s">
        <v>8570</v>
      </c>
      <c r="L1357" t="s">
        <v>8563</v>
      </c>
    </row>
    <row r="1358" spans="1:12" x14ac:dyDescent="0.25">
      <c r="A1358">
        <v>345378</v>
      </c>
      <c r="B1358">
        <v>1115691</v>
      </c>
      <c r="D1358">
        <v>0</v>
      </c>
      <c r="E1358" t="s">
        <v>8572</v>
      </c>
      <c r="F1358" t="s">
        <v>8573</v>
      </c>
      <c r="G1358" t="s">
        <v>8574</v>
      </c>
      <c r="H1358" t="s">
        <v>8575</v>
      </c>
      <c r="I1358" t="s">
        <v>8576</v>
      </c>
      <c r="J1358" t="s">
        <v>7611</v>
      </c>
      <c r="K1358" t="s">
        <v>8577</v>
      </c>
      <c r="L1358" t="s">
        <v>8571</v>
      </c>
    </row>
    <row r="1359" spans="1:12" x14ac:dyDescent="0.25">
      <c r="A1359">
        <v>345441</v>
      </c>
      <c r="B1359">
        <v>621565</v>
      </c>
      <c r="D1359">
        <v>0</v>
      </c>
      <c r="E1359" t="s">
        <v>8579</v>
      </c>
      <c r="F1359" t="s">
        <v>8580</v>
      </c>
      <c r="G1359" t="s">
        <v>8581</v>
      </c>
      <c r="H1359" t="e" vm="598">
        <f>_FV(0,"03221571811289862")</f>
        <v>#VALUE!</v>
      </c>
      <c r="I1359" t="s">
        <v>8582</v>
      </c>
      <c r="J1359" t="s">
        <v>8583</v>
      </c>
      <c r="K1359" t="s">
        <v>8584</v>
      </c>
      <c r="L1359" t="s">
        <v>8578</v>
      </c>
    </row>
    <row r="1360" spans="1:12" x14ac:dyDescent="0.25">
      <c r="A1360">
        <v>345441</v>
      </c>
      <c r="B1360">
        <v>345478</v>
      </c>
      <c r="D1360">
        <v>0</v>
      </c>
      <c r="E1360" t="s">
        <v>8586</v>
      </c>
      <c r="F1360" t="s">
        <v>8587</v>
      </c>
      <c r="G1360" t="s">
        <v>8588</v>
      </c>
      <c r="H1360" t="e" vm="599">
        <f>_FV(0,"007581413994622806")</f>
        <v>#VALUE!</v>
      </c>
      <c r="I1360" t="s">
        <v>8589</v>
      </c>
      <c r="J1360" t="s">
        <v>8590</v>
      </c>
      <c r="K1360" t="s">
        <v>8591</v>
      </c>
      <c r="L1360" t="s">
        <v>8585</v>
      </c>
    </row>
    <row r="1361" spans="1:12" x14ac:dyDescent="0.25">
      <c r="A1361">
        <v>345478</v>
      </c>
      <c r="B1361">
        <v>621546</v>
      </c>
      <c r="D1361">
        <v>0</v>
      </c>
      <c r="E1361" t="s">
        <v>8593</v>
      </c>
      <c r="F1361" t="s">
        <v>8594</v>
      </c>
      <c r="G1361" t="s">
        <v>8595</v>
      </c>
      <c r="H1361" t="e" vm="600">
        <f>_FV(0,"012772910409277777")</f>
        <v>#VALUE!</v>
      </c>
      <c r="I1361" t="s">
        <v>8596</v>
      </c>
      <c r="J1361" t="s">
        <v>8597</v>
      </c>
      <c r="K1361" t="s">
        <v>8598</v>
      </c>
      <c r="L1361" t="s">
        <v>8592</v>
      </c>
    </row>
    <row r="1362" spans="1:12" x14ac:dyDescent="0.25">
      <c r="A1362">
        <v>345690</v>
      </c>
      <c r="B1362">
        <v>1854797</v>
      </c>
      <c r="C1362" t="s">
        <v>8599</v>
      </c>
      <c r="D1362">
        <v>0</v>
      </c>
      <c r="E1362" t="s">
        <v>8600</v>
      </c>
      <c r="H1362" t="s">
        <v>187</v>
      </c>
      <c r="J1362">
        <v>0</v>
      </c>
      <c r="K1362" t="s">
        <v>8601</v>
      </c>
      <c r="L1362">
        <v>0</v>
      </c>
    </row>
    <row r="1363" spans="1:12" x14ac:dyDescent="0.25">
      <c r="A1363">
        <v>345690</v>
      </c>
      <c r="B1363">
        <v>1435166</v>
      </c>
      <c r="D1363" t="s">
        <v>8603</v>
      </c>
      <c r="E1363" t="s">
        <v>8604</v>
      </c>
      <c r="F1363" t="s">
        <v>8605</v>
      </c>
      <c r="G1363" t="s">
        <v>8606</v>
      </c>
      <c r="H1363" t="s">
        <v>8607</v>
      </c>
      <c r="I1363" t="s">
        <v>8608</v>
      </c>
      <c r="J1363" t="s">
        <v>8609</v>
      </c>
      <c r="K1363" t="s">
        <v>8610</v>
      </c>
      <c r="L1363" t="s">
        <v>8602</v>
      </c>
    </row>
    <row r="1364" spans="1:12" x14ac:dyDescent="0.25">
      <c r="A1364">
        <v>345690</v>
      </c>
      <c r="B1364">
        <v>1435176</v>
      </c>
      <c r="D1364" t="s">
        <v>5486</v>
      </c>
      <c r="E1364" t="s">
        <v>8612</v>
      </c>
      <c r="F1364" t="s">
        <v>8613</v>
      </c>
      <c r="G1364" t="s">
        <v>8614</v>
      </c>
      <c r="H1364" t="s">
        <v>8615</v>
      </c>
      <c r="I1364" t="s">
        <v>8616</v>
      </c>
      <c r="J1364" t="s">
        <v>8617</v>
      </c>
      <c r="K1364" t="s">
        <v>8618</v>
      </c>
      <c r="L1364" t="s">
        <v>8611</v>
      </c>
    </row>
    <row r="1365" spans="1:12" x14ac:dyDescent="0.25">
      <c r="A1365">
        <v>345723</v>
      </c>
      <c r="B1365">
        <v>1173462</v>
      </c>
      <c r="D1365">
        <v>0</v>
      </c>
      <c r="E1365" t="s">
        <v>8620</v>
      </c>
      <c r="F1365" t="s">
        <v>8621</v>
      </c>
      <c r="G1365" t="s">
        <v>8622</v>
      </c>
      <c r="H1365" t="s">
        <v>8623</v>
      </c>
      <c r="I1365" t="s">
        <v>8624</v>
      </c>
      <c r="J1365" t="s">
        <v>8619</v>
      </c>
      <c r="K1365" t="s">
        <v>8625</v>
      </c>
      <c r="L1365" t="s">
        <v>8619</v>
      </c>
    </row>
    <row r="1366" spans="1:12" x14ac:dyDescent="0.25">
      <c r="A1366">
        <v>345723</v>
      </c>
      <c r="B1366">
        <v>1173457</v>
      </c>
      <c r="D1366">
        <v>0</v>
      </c>
      <c r="E1366" t="s">
        <v>8627</v>
      </c>
      <c r="F1366" t="s">
        <v>8628</v>
      </c>
      <c r="G1366" t="s">
        <v>8629</v>
      </c>
      <c r="H1366" t="s">
        <v>8630</v>
      </c>
      <c r="I1366" t="s">
        <v>8631</v>
      </c>
      <c r="J1366" t="s">
        <v>8626</v>
      </c>
      <c r="K1366" t="s">
        <v>8632</v>
      </c>
      <c r="L1366" t="s">
        <v>8626</v>
      </c>
    </row>
    <row r="1367" spans="1:12" x14ac:dyDescent="0.25">
      <c r="A1367">
        <v>345723</v>
      </c>
      <c r="B1367">
        <v>936216</v>
      </c>
      <c r="C1367" t="s">
        <v>8634</v>
      </c>
      <c r="D1367" t="s">
        <v>8635</v>
      </c>
      <c r="E1367" t="s">
        <v>8636</v>
      </c>
      <c r="F1367" t="s">
        <v>8637</v>
      </c>
      <c r="G1367" t="s">
        <v>8638</v>
      </c>
      <c r="H1367" t="s">
        <v>8639</v>
      </c>
      <c r="I1367" t="s">
        <v>8640</v>
      </c>
      <c r="J1367" t="s">
        <v>8641</v>
      </c>
      <c r="K1367" t="s">
        <v>8642</v>
      </c>
      <c r="L1367" t="s">
        <v>8633</v>
      </c>
    </row>
    <row r="1368" spans="1:12" x14ac:dyDescent="0.25">
      <c r="A1368">
        <v>345748</v>
      </c>
      <c r="B1368">
        <v>345756</v>
      </c>
      <c r="C1368" t="s">
        <v>8644</v>
      </c>
      <c r="D1368" t="s">
        <v>8645</v>
      </c>
      <c r="E1368" t="s">
        <v>8646</v>
      </c>
      <c r="F1368" t="s">
        <v>8647</v>
      </c>
      <c r="G1368" t="s">
        <v>8648</v>
      </c>
      <c r="H1368" t="s">
        <v>8649</v>
      </c>
      <c r="I1368" t="s">
        <v>8650</v>
      </c>
      <c r="J1368" t="s">
        <v>8651</v>
      </c>
      <c r="K1368" t="s">
        <v>8652</v>
      </c>
      <c r="L1368" t="s">
        <v>8643</v>
      </c>
    </row>
    <row r="1369" spans="1:12" x14ac:dyDescent="0.25">
      <c r="A1369">
        <v>345748</v>
      </c>
      <c r="B1369">
        <v>1173457</v>
      </c>
      <c r="D1369">
        <v>0</v>
      </c>
      <c r="E1369" t="s">
        <v>8654</v>
      </c>
      <c r="F1369" t="s">
        <v>8655</v>
      </c>
      <c r="G1369" t="s">
        <v>8656</v>
      </c>
      <c r="H1369" t="e" vm="601">
        <f>_FV(0,"05956075633771116")</f>
        <v>#VALUE!</v>
      </c>
      <c r="I1369" t="s">
        <v>8657</v>
      </c>
      <c r="J1369" t="s">
        <v>8658</v>
      </c>
      <c r="K1369" t="s">
        <v>8659</v>
      </c>
      <c r="L1369" t="s">
        <v>8653</v>
      </c>
    </row>
    <row r="1370" spans="1:12" x14ac:dyDescent="0.25">
      <c r="A1370">
        <v>345748</v>
      </c>
      <c r="B1370">
        <v>1173462</v>
      </c>
      <c r="D1370">
        <v>0</v>
      </c>
      <c r="E1370" t="s">
        <v>8661</v>
      </c>
      <c r="F1370" t="s">
        <v>8662</v>
      </c>
      <c r="G1370" t="s">
        <v>8663</v>
      </c>
      <c r="H1370" t="e" vm="602">
        <f>_FV(0,"08084021713316954")</f>
        <v>#VALUE!</v>
      </c>
      <c r="I1370" t="s">
        <v>8664</v>
      </c>
      <c r="J1370" t="s">
        <v>8665</v>
      </c>
      <c r="K1370" t="s">
        <v>8666</v>
      </c>
      <c r="L1370" t="s">
        <v>8660</v>
      </c>
    </row>
    <row r="1371" spans="1:12" x14ac:dyDescent="0.25">
      <c r="A1371">
        <v>345756</v>
      </c>
      <c r="B1371">
        <v>1214393</v>
      </c>
      <c r="D1371">
        <v>0</v>
      </c>
      <c r="E1371" t="s">
        <v>8668</v>
      </c>
      <c r="F1371" t="s">
        <v>8669</v>
      </c>
      <c r="G1371" t="s">
        <v>8670</v>
      </c>
      <c r="H1371" t="s">
        <v>8671</v>
      </c>
      <c r="I1371" t="s">
        <v>8672</v>
      </c>
      <c r="J1371" t="s">
        <v>8667</v>
      </c>
      <c r="K1371" t="s">
        <v>8673</v>
      </c>
      <c r="L1371" t="s">
        <v>8667</v>
      </c>
    </row>
    <row r="1372" spans="1:12" x14ac:dyDescent="0.25">
      <c r="A1372">
        <v>345756</v>
      </c>
      <c r="B1372">
        <v>1214388</v>
      </c>
      <c r="D1372">
        <v>0</v>
      </c>
      <c r="E1372" t="s">
        <v>8675</v>
      </c>
      <c r="F1372" t="s">
        <v>8676</v>
      </c>
      <c r="G1372" t="s">
        <v>8677</v>
      </c>
      <c r="H1372" t="s">
        <v>8678</v>
      </c>
      <c r="I1372" t="s">
        <v>8679</v>
      </c>
      <c r="J1372" t="s">
        <v>8674</v>
      </c>
      <c r="K1372" t="s">
        <v>8680</v>
      </c>
      <c r="L1372" t="s">
        <v>8674</v>
      </c>
    </row>
    <row r="1373" spans="1:12" x14ac:dyDescent="0.25">
      <c r="A1373">
        <v>345764</v>
      </c>
      <c r="B1373">
        <v>960480</v>
      </c>
      <c r="C1373" t="s">
        <v>8682</v>
      </c>
      <c r="D1373" t="s">
        <v>8683</v>
      </c>
      <c r="E1373" t="s">
        <v>8684</v>
      </c>
      <c r="F1373" t="s">
        <v>8685</v>
      </c>
      <c r="G1373" t="s">
        <v>8686</v>
      </c>
      <c r="H1373" t="e" vm="603">
        <f>_FV(0,"001914427975198362")</f>
        <v>#VALUE!</v>
      </c>
      <c r="I1373" t="s">
        <v>8687</v>
      </c>
      <c r="J1373" t="s">
        <v>8688</v>
      </c>
      <c r="K1373" t="s">
        <v>8689</v>
      </c>
      <c r="L1373" t="s">
        <v>8681</v>
      </c>
    </row>
    <row r="1374" spans="1:12" x14ac:dyDescent="0.25">
      <c r="A1374">
        <v>345764</v>
      </c>
      <c r="B1374">
        <v>1214393</v>
      </c>
      <c r="D1374">
        <v>0</v>
      </c>
      <c r="E1374" t="s">
        <v>8691</v>
      </c>
      <c r="F1374" t="s">
        <v>8692</v>
      </c>
      <c r="G1374" t="s">
        <v>8693</v>
      </c>
      <c r="H1374" t="s">
        <v>8694</v>
      </c>
      <c r="I1374" t="s">
        <v>8695</v>
      </c>
      <c r="J1374" t="s">
        <v>8696</v>
      </c>
      <c r="K1374" t="s">
        <v>8697</v>
      </c>
      <c r="L1374" t="s">
        <v>8690</v>
      </c>
    </row>
    <row r="1375" spans="1:12" x14ac:dyDescent="0.25">
      <c r="A1375">
        <v>345764</v>
      </c>
      <c r="B1375">
        <v>1214388</v>
      </c>
      <c r="C1375" t="s">
        <v>8699</v>
      </c>
      <c r="D1375">
        <v>0</v>
      </c>
      <c r="E1375" t="s">
        <v>8700</v>
      </c>
      <c r="F1375" t="s">
        <v>8701</v>
      </c>
      <c r="G1375" t="s">
        <v>8702</v>
      </c>
      <c r="H1375" t="s">
        <v>8703</v>
      </c>
      <c r="I1375" t="s">
        <v>8704</v>
      </c>
      <c r="J1375" t="s">
        <v>8705</v>
      </c>
      <c r="K1375" t="s">
        <v>8706</v>
      </c>
      <c r="L1375" t="s">
        <v>8698</v>
      </c>
    </row>
    <row r="1376" spans="1:12" x14ac:dyDescent="0.25">
      <c r="A1376">
        <v>346204</v>
      </c>
      <c r="B1376">
        <v>346249</v>
      </c>
      <c r="D1376">
        <v>0</v>
      </c>
      <c r="E1376" t="s">
        <v>8708</v>
      </c>
      <c r="F1376" t="s">
        <v>8709</v>
      </c>
      <c r="G1376" t="s">
        <v>8710</v>
      </c>
      <c r="H1376" t="e" vm="604">
        <f>_FV(0,"04690292777372434")</f>
        <v>#VALUE!</v>
      </c>
      <c r="I1376" t="s">
        <v>8711</v>
      </c>
      <c r="J1376" t="s">
        <v>8712</v>
      </c>
      <c r="K1376" t="s">
        <v>8713</v>
      </c>
      <c r="L1376" t="s">
        <v>8707</v>
      </c>
    </row>
    <row r="1377" spans="1:12" x14ac:dyDescent="0.25">
      <c r="A1377">
        <v>346204</v>
      </c>
      <c r="B1377">
        <v>346249</v>
      </c>
      <c r="D1377">
        <v>0</v>
      </c>
      <c r="E1377" t="s">
        <v>8715</v>
      </c>
      <c r="F1377" t="s">
        <v>8716</v>
      </c>
      <c r="G1377" t="s">
        <v>8717</v>
      </c>
      <c r="H1377" t="e" vm="605">
        <f>_FV(0,"04663288583520412")</f>
        <v>#VALUE!</v>
      </c>
      <c r="I1377" t="s">
        <v>8718</v>
      </c>
      <c r="J1377" t="s">
        <v>8719</v>
      </c>
      <c r="K1377" t="s">
        <v>8720</v>
      </c>
      <c r="L1377" t="s">
        <v>8714</v>
      </c>
    </row>
    <row r="1378" spans="1:12" x14ac:dyDescent="0.25">
      <c r="A1378">
        <v>346249</v>
      </c>
      <c r="B1378">
        <v>918875</v>
      </c>
      <c r="D1378">
        <v>0</v>
      </c>
      <c r="E1378" t="s">
        <v>8722</v>
      </c>
      <c r="F1378" t="s">
        <v>8723</v>
      </c>
      <c r="G1378" t="s">
        <v>8724</v>
      </c>
      <c r="H1378" t="s">
        <v>8725</v>
      </c>
      <c r="I1378" t="s">
        <v>8726</v>
      </c>
      <c r="J1378" t="s">
        <v>8727</v>
      </c>
      <c r="K1378" t="s">
        <v>8728</v>
      </c>
      <c r="L1378" t="s">
        <v>8721</v>
      </c>
    </row>
    <row r="1379" spans="1:12" x14ac:dyDescent="0.25">
      <c r="A1379">
        <v>346251</v>
      </c>
      <c r="B1379">
        <v>1068586</v>
      </c>
      <c r="C1379" t="s">
        <v>8730</v>
      </c>
      <c r="D1379">
        <v>0</v>
      </c>
      <c r="E1379" t="s">
        <v>8731</v>
      </c>
      <c r="F1379" t="s">
        <v>8732</v>
      </c>
      <c r="G1379" t="s">
        <v>8733</v>
      </c>
      <c r="H1379" t="e" vm="606">
        <f>_FV(0,"024739506477510543")</f>
        <v>#VALUE!</v>
      </c>
      <c r="I1379" t="s">
        <v>8734</v>
      </c>
      <c r="J1379" t="s">
        <v>8735</v>
      </c>
      <c r="K1379" t="s">
        <v>8736</v>
      </c>
      <c r="L1379" t="s">
        <v>8729</v>
      </c>
    </row>
    <row r="1380" spans="1:12" x14ac:dyDescent="0.25">
      <c r="A1380">
        <v>346251</v>
      </c>
      <c r="B1380">
        <v>1356628</v>
      </c>
      <c r="D1380">
        <v>0</v>
      </c>
      <c r="E1380" t="s">
        <v>8738</v>
      </c>
      <c r="F1380" t="s">
        <v>8739</v>
      </c>
      <c r="G1380" t="s">
        <v>8741</v>
      </c>
      <c r="H1380" t="e" vm="607">
        <f>_FV(0,"03835605428319474")</f>
        <v>#VALUE!</v>
      </c>
      <c r="I1380" t="s">
        <v>8742</v>
      </c>
      <c r="J1380" t="s">
        <v>8743</v>
      </c>
      <c r="K1380" t="s">
        <v>8744</v>
      </c>
      <c r="L1380" t="s">
        <v>8737</v>
      </c>
    </row>
    <row r="1381" spans="1:12" x14ac:dyDescent="0.25">
      <c r="A1381">
        <v>346251</v>
      </c>
      <c r="B1381">
        <v>346256</v>
      </c>
      <c r="D1381" t="s">
        <v>257</v>
      </c>
      <c r="E1381" t="s">
        <v>8746</v>
      </c>
      <c r="F1381" t="s">
        <v>8747</v>
      </c>
      <c r="G1381" t="s">
        <v>8748</v>
      </c>
      <c r="H1381" t="s">
        <v>8749</v>
      </c>
      <c r="I1381" t="s">
        <v>8750</v>
      </c>
      <c r="J1381" t="s">
        <v>8751</v>
      </c>
      <c r="K1381" t="s">
        <v>8752</v>
      </c>
      <c r="L1381" t="s">
        <v>8745</v>
      </c>
    </row>
    <row r="1382" spans="1:12" x14ac:dyDescent="0.25">
      <c r="A1382">
        <v>346256</v>
      </c>
      <c r="B1382">
        <v>1356471</v>
      </c>
      <c r="D1382">
        <v>0</v>
      </c>
      <c r="E1382" t="s">
        <v>8754</v>
      </c>
      <c r="F1382" t="s">
        <v>8755</v>
      </c>
      <c r="G1382" t="s">
        <v>8756</v>
      </c>
      <c r="H1382" t="s">
        <v>8757</v>
      </c>
      <c r="I1382" t="s">
        <v>8758</v>
      </c>
      <c r="J1382" t="s">
        <v>8759</v>
      </c>
      <c r="K1382" t="s">
        <v>8760</v>
      </c>
      <c r="L1382" t="s">
        <v>8753</v>
      </c>
    </row>
    <row r="1383" spans="1:12" x14ac:dyDescent="0.25">
      <c r="A1383">
        <v>346256</v>
      </c>
      <c r="B1383">
        <v>1356545</v>
      </c>
      <c r="D1383">
        <v>0</v>
      </c>
      <c r="E1383" t="s">
        <v>8762</v>
      </c>
      <c r="F1383" t="s">
        <v>8763</v>
      </c>
      <c r="G1383" t="s">
        <v>8764</v>
      </c>
      <c r="H1383" t="s">
        <v>8765</v>
      </c>
      <c r="I1383" t="s">
        <v>8766</v>
      </c>
      <c r="J1383" t="s">
        <v>8767</v>
      </c>
      <c r="K1383" t="s">
        <v>8768</v>
      </c>
      <c r="L1383" t="s">
        <v>8761</v>
      </c>
    </row>
    <row r="1384" spans="1:12" x14ac:dyDescent="0.25">
      <c r="A1384">
        <v>346304</v>
      </c>
      <c r="B1384">
        <v>346324</v>
      </c>
      <c r="D1384">
        <v>0</v>
      </c>
      <c r="E1384" t="s">
        <v>8770</v>
      </c>
      <c r="F1384" t="s">
        <v>8771</v>
      </c>
      <c r="G1384" t="s">
        <v>8772</v>
      </c>
      <c r="H1384" t="e" vm="608">
        <f>_FV(0,"0006240376773686061")</f>
        <v>#VALUE!</v>
      </c>
      <c r="I1384" t="s">
        <v>8773</v>
      </c>
      <c r="J1384" t="s">
        <v>8774</v>
      </c>
      <c r="K1384" t="s">
        <v>8775</v>
      </c>
      <c r="L1384" t="s">
        <v>8769</v>
      </c>
    </row>
    <row r="1385" spans="1:12" x14ac:dyDescent="0.25">
      <c r="A1385">
        <v>346304</v>
      </c>
      <c r="B1385">
        <v>1356730</v>
      </c>
      <c r="D1385">
        <v>0</v>
      </c>
      <c r="E1385" t="s">
        <v>8777</v>
      </c>
      <c r="F1385" t="s">
        <v>8778</v>
      </c>
      <c r="G1385" t="s">
        <v>8779</v>
      </c>
      <c r="H1385" t="s">
        <v>8780</v>
      </c>
      <c r="I1385" t="s">
        <v>8781</v>
      </c>
      <c r="J1385" t="s">
        <v>8782</v>
      </c>
      <c r="K1385" t="s">
        <v>8783</v>
      </c>
      <c r="L1385" t="s">
        <v>8776</v>
      </c>
    </row>
    <row r="1386" spans="1:12" x14ac:dyDescent="0.25">
      <c r="A1386">
        <v>346304</v>
      </c>
      <c r="B1386">
        <v>1406055</v>
      </c>
      <c r="D1386">
        <v>0</v>
      </c>
      <c r="E1386" t="s">
        <v>8785</v>
      </c>
      <c r="F1386" t="s">
        <v>8786</v>
      </c>
      <c r="G1386" t="s">
        <v>8787</v>
      </c>
      <c r="H1386" t="s">
        <v>8788</v>
      </c>
      <c r="I1386" t="s">
        <v>8789</v>
      </c>
      <c r="J1386" t="s">
        <v>8784</v>
      </c>
      <c r="K1386" t="s">
        <v>8790</v>
      </c>
      <c r="L1386" t="s">
        <v>8784</v>
      </c>
    </row>
    <row r="1387" spans="1:12" x14ac:dyDescent="0.25">
      <c r="A1387">
        <v>346324</v>
      </c>
      <c r="B1387">
        <v>472648</v>
      </c>
      <c r="D1387" t="s">
        <v>8792</v>
      </c>
      <c r="E1387" t="s">
        <v>8793</v>
      </c>
      <c r="F1387" t="s">
        <v>8794</v>
      </c>
      <c r="G1387" t="s">
        <v>8795</v>
      </c>
      <c r="H1387" t="e" vm="609">
        <f>_FV(0,"018002473652324547")</f>
        <v>#VALUE!</v>
      </c>
      <c r="I1387" t="s">
        <v>8796</v>
      </c>
      <c r="J1387" t="s">
        <v>8797</v>
      </c>
      <c r="K1387" t="s">
        <v>8798</v>
      </c>
      <c r="L1387" t="s">
        <v>8791</v>
      </c>
    </row>
    <row r="1388" spans="1:12" x14ac:dyDescent="0.25">
      <c r="A1388">
        <v>346324</v>
      </c>
      <c r="B1388">
        <v>1360975</v>
      </c>
      <c r="D1388" t="s">
        <v>2494</v>
      </c>
      <c r="E1388" t="s">
        <v>8800</v>
      </c>
      <c r="F1388" t="s">
        <v>8801</v>
      </c>
      <c r="G1388" t="s">
        <v>8803</v>
      </c>
      <c r="H1388" t="e" vm="610">
        <f>_FV(0,"03568885055077721")</f>
        <v>#VALUE!</v>
      </c>
      <c r="I1388" t="s">
        <v>8804</v>
      </c>
      <c r="J1388" t="s">
        <v>8805</v>
      </c>
      <c r="K1388" t="s">
        <v>8806</v>
      </c>
      <c r="L1388" t="s">
        <v>8799</v>
      </c>
    </row>
    <row r="1389" spans="1:12" x14ac:dyDescent="0.25">
      <c r="A1389">
        <v>346860</v>
      </c>
      <c r="B1389">
        <v>346897</v>
      </c>
      <c r="D1389">
        <v>0</v>
      </c>
      <c r="E1389" t="s">
        <v>8808</v>
      </c>
      <c r="F1389" t="s">
        <v>8809</v>
      </c>
      <c r="G1389" t="s">
        <v>8810</v>
      </c>
      <c r="H1389" t="e" vm="611">
        <f>_FV(0,"01882119639354403")</f>
        <v>#VALUE!</v>
      </c>
      <c r="I1389" t="s">
        <v>8811</v>
      </c>
      <c r="J1389" t="s">
        <v>8812</v>
      </c>
      <c r="K1389" t="s">
        <v>8813</v>
      </c>
      <c r="L1389" t="s">
        <v>8807</v>
      </c>
    </row>
    <row r="1390" spans="1:12" x14ac:dyDescent="0.25">
      <c r="A1390">
        <v>346860</v>
      </c>
      <c r="B1390">
        <v>346916</v>
      </c>
      <c r="D1390">
        <v>0</v>
      </c>
      <c r="E1390" t="s">
        <v>8815</v>
      </c>
      <c r="F1390" t="s">
        <v>8816</v>
      </c>
      <c r="G1390" t="s">
        <v>8817</v>
      </c>
      <c r="H1390" t="s">
        <v>8818</v>
      </c>
      <c r="I1390" t="s">
        <v>8819</v>
      </c>
      <c r="J1390" t="s">
        <v>8814</v>
      </c>
      <c r="K1390" t="s">
        <v>8820</v>
      </c>
      <c r="L1390" t="s">
        <v>8814</v>
      </c>
    </row>
    <row r="1391" spans="1:12" x14ac:dyDescent="0.25">
      <c r="A1391">
        <v>346860</v>
      </c>
      <c r="B1391">
        <v>346966</v>
      </c>
      <c r="D1391">
        <v>0</v>
      </c>
      <c r="E1391" t="s">
        <v>8822</v>
      </c>
      <c r="F1391" t="s">
        <v>8823</v>
      </c>
      <c r="G1391" t="s">
        <v>8824</v>
      </c>
      <c r="H1391" t="e" vm="612">
        <f>_FV(0,"007731749075970163")</f>
        <v>#VALUE!</v>
      </c>
      <c r="I1391" t="s">
        <v>8825</v>
      </c>
      <c r="J1391" t="s">
        <v>8826</v>
      </c>
      <c r="K1391" t="s">
        <v>8827</v>
      </c>
      <c r="L1391" t="s">
        <v>8821</v>
      </c>
    </row>
    <row r="1392" spans="1:12" x14ac:dyDescent="0.25">
      <c r="A1392">
        <v>346897</v>
      </c>
      <c r="B1392">
        <v>346908</v>
      </c>
      <c r="D1392">
        <v>0</v>
      </c>
      <c r="E1392" t="s">
        <v>8829</v>
      </c>
      <c r="F1392" t="s">
        <v>8830</v>
      </c>
      <c r="G1392" t="s">
        <v>8831</v>
      </c>
      <c r="H1392" t="e" vm="613">
        <f>_FV(0,"0404433116811602")</f>
        <v>#VALUE!</v>
      </c>
      <c r="I1392" t="s">
        <v>8832</v>
      </c>
      <c r="J1392" t="s">
        <v>8833</v>
      </c>
      <c r="K1392" t="s">
        <v>8834</v>
      </c>
      <c r="L1392" t="s">
        <v>8828</v>
      </c>
    </row>
    <row r="1393" spans="1:12" x14ac:dyDescent="0.25">
      <c r="A1393">
        <v>346897</v>
      </c>
      <c r="B1393">
        <v>347019</v>
      </c>
      <c r="D1393">
        <v>0</v>
      </c>
      <c r="E1393" t="s">
        <v>8836</v>
      </c>
      <c r="F1393" t="s">
        <v>8837</v>
      </c>
      <c r="G1393" t="s">
        <v>8838</v>
      </c>
      <c r="H1393" t="e" vm="614">
        <f>_FV(0,"04028797956527618")</f>
        <v>#VALUE!</v>
      </c>
      <c r="I1393" t="s">
        <v>8839</v>
      </c>
      <c r="J1393" t="s">
        <v>8840</v>
      </c>
      <c r="K1393" t="s">
        <v>8841</v>
      </c>
      <c r="L1393" t="s">
        <v>8835</v>
      </c>
    </row>
    <row r="1394" spans="1:12" x14ac:dyDescent="0.25">
      <c r="A1394">
        <v>346908</v>
      </c>
      <c r="B1394">
        <v>346916</v>
      </c>
      <c r="D1394">
        <v>0</v>
      </c>
      <c r="F1394">
        <v>358527</v>
      </c>
      <c r="G1394">
        <v>346916</v>
      </c>
      <c r="H1394" t="s">
        <v>3940</v>
      </c>
      <c r="I1394">
        <v>346908</v>
      </c>
      <c r="J1394" t="s">
        <v>3940</v>
      </c>
      <c r="K1394" t="s">
        <v>8842</v>
      </c>
      <c r="L1394" t="s">
        <v>3940</v>
      </c>
    </row>
    <row r="1395" spans="1:12" x14ac:dyDescent="0.25">
      <c r="A1395">
        <v>346908</v>
      </c>
      <c r="B1395">
        <v>347019</v>
      </c>
      <c r="D1395">
        <v>0</v>
      </c>
      <c r="E1395" t="s">
        <v>8844</v>
      </c>
      <c r="F1395" t="s">
        <v>8845</v>
      </c>
      <c r="G1395" t="s">
        <v>8846</v>
      </c>
      <c r="H1395" t="e" vm="615">
        <f>_FV(0,"0189354580825417")</f>
        <v>#VALUE!</v>
      </c>
      <c r="I1395" t="s">
        <v>8847</v>
      </c>
      <c r="J1395" t="s">
        <v>8848</v>
      </c>
      <c r="K1395" t="s">
        <v>8849</v>
      </c>
      <c r="L1395" t="s">
        <v>8843</v>
      </c>
    </row>
    <row r="1396" spans="1:12" x14ac:dyDescent="0.25">
      <c r="A1396">
        <v>346916</v>
      </c>
      <c r="B1396">
        <v>346966</v>
      </c>
      <c r="D1396">
        <v>0</v>
      </c>
      <c r="E1396" t="s">
        <v>8850</v>
      </c>
      <c r="F1396" t="s">
        <v>8851</v>
      </c>
      <c r="G1396" t="s">
        <v>8852</v>
      </c>
      <c r="H1396" t="e" vm="113">
        <f>_FV(0,"032")</f>
        <v>#VALUE!</v>
      </c>
      <c r="I1396" t="s">
        <v>8853</v>
      </c>
      <c r="J1396" t="s">
        <v>1687</v>
      </c>
      <c r="K1396" t="s">
        <v>8854</v>
      </c>
      <c r="L1396" t="e" vm="113">
        <f>_FV(0,"032")</f>
        <v>#VALUE!</v>
      </c>
    </row>
    <row r="1397" spans="1:12" x14ac:dyDescent="0.25">
      <c r="A1397">
        <v>347887</v>
      </c>
      <c r="B1397">
        <v>1114019</v>
      </c>
      <c r="D1397">
        <v>0</v>
      </c>
      <c r="E1397" t="s">
        <v>8856</v>
      </c>
      <c r="F1397" t="s">
        <v>8857</v>
      </c>
      <c r="G1397" t="s">
        <v>8858</v>
      </c>
      <c r="H1397" t="e" vm="616">
        <f>_FV(0,"012875923769234767")</f>
        <v>#VALUE!</v>
      </c>
      <c r="I1397" t="s">
        <v>8859</v>
      </c>
      <c r="J1397" t="s">
        <v>8860</v>
      </c>
      <c r="K1397" t="s">
        <v>8861</v>
      </c>
      <c r="L1397" t="s">
        <v>8855</v>
      </c>
    </row>
    <row r="1398" spans="1:12" x14ac:dyDescent="0.25">
      <c r="A1398">
        <v>347887</v>
      </c>
      <c r="B1398">
        <v>1112161</v>
      </c>
      <c r="D1398">
        <v>0</v>
      </c>
      <c r="E1398" t="s">
        <v>8863</v>
      </c>
      <c r="F1398" t="s">
        <v>8864</v>
      </c>
      <c r="G1398" t="s">
        <v>8865</v>
      </c>
      <c r="H1398" t="e" vm="617">
        <f>_FV(0,"024303332116634203")</f>
        <v>#VALUE!</v>
      </c>
      <c r="I1398" t="s">
        <v>8866</v>
      </c>
      <c r="J1398" t="s">
        <v>8867</v>
      </c>
      <c r="K1398" t="s">
        <v>8868</v>
      </c>
      <c r="L1398" t="s">
        <v>8862</v>
      </c>
    </row>
    <row r="1399" spans="1:12" x14ac:dyDescent="0.25">
      <c r="A1399">
        <v>347887</v>
      </c>
      <c r="B1399">
        <v>159316</v>
      </c>
      <c r="D1399">
        <v>0</v>
      </c>
      <c r="E1399" t="s">
        <v>8870</v>
      </c>
      <c r="F1399" t="s">
        <v>8871</v>
      </c>
      <c r="G1399" t="s">
        <v>8872</v>
      </c>
      <c r="H1399" t="s">
        <v>8873</v>
      </c>
      <c r="I1399" t="s">
        <v>8874</v>
      </c>
      <c r="J1399" t="s">
        <v>8869</v>
      </c>
      <c r="K1399" t="s">
        <v>8875</v>
      </c>
      <c r="L1399" t="s">
        <v>8869</v>
      </c>
    </row>
    <row r="1400" spans="1:12" x14ac:dyDescent="0.25">
      <c r="A1400">
        <v>348056</v>
      </c>
      <c r="B1400">
        <v>348077</v>
      </c>
      <c r="D1400">
        <v>0</v>
      </c>
      <c r="E1400" t="s">
        <v>8877</v>
      </c>
      <c r="F1400" t="s">
        <v>8878</v>
      </c>
      <c r="G1400" t="s">
        <v>8879</v>
      </c>
      <c r="H1400" t="e" vm="618">
        <f>_FV(0,"008318541540152706")</f>
        <v>#VALUE!</v>
      </c>
      <c r="I1400" t="s">
        <v>8880</v>
      </c>
      <c r="J1400" t="s">
        <v>8881</v>
      </c>
      <c r="K1400" t="s">
        <v>8882</v>
      </c>
      <c r="L1400" t="s">
        <v>8876</v>
      </c>
    </row>
    <row r="1401" spans="1:12" x14ac:dyDescent="0.25">
      <c r="A1401">
        <v>348056</v>
      </c>
      <c r="B1401">
        <v>348177</v>
      </c>
      <c r="D1401">
        <v>0</v>
      </c>
      <c r="E1401" t="s">
        <v>8884</v>
      </c>
      <c r="F1401" t="s">
        <v>8885</v>
      </c>
      <c r="G1401" t="s">
        <v>8886</v>
      </c>
      <c r="H1401" t="e" vm="619">
        <f>_FV(0,"02549327236911861")</f>
        <v>#VALUE!</v>
      </c>
      <c r="I1401" t="s">
        <v>8887</v>
      </c>
      <c r="J1401" t="s">
        <v>8888</v>
      </c>
      <c r="K1401" t="s">
        <v>8889</v>
      </c>
      <c r="L1401" t="s">
        <v>8883</v>
      </c>
    </row>
    <row r="1402" spans="1:12" x14ac:dyDescent="0.25">
      <c r="A1402">
        <v>348077</v>
      </c>
      <c r="B1402">
        <v>348178</v>
      </c>
      <c r="D1402">
        <v>0</v>
      </c>
      <c r="E1402" t="s">
        <v>8891</v>
      </c>
      <c r="F1402" t="s">
        <v>8892</v>
      </c>
      <c r="G1402" t="s">
        <v>8893</v>
      </c>
      <c r="H1402" t="s">
        <v>8894</v>
      </c>
      <c r="I1402" t="s">
        <v>8895</v>
      </c>
      <c r="J1402" t="s">
        <v>8890</v>
      </c>
      <c r="K1402" t="s">
        <v>8896</v>
      </c>
      <c r="L1402" t="s">
        <v>8890</v>
      </c>
    </row>
    <row r="1403" spans="1:12" x14ac:dyDescent="0.25">
      <c r="A1403">
        <v>348108</v>
      </c>
      <c r="B1403">
        <v>348120</v>
      </c>
      <c r="C1403" t="s">
        <v>8897</v>
      </c>
      <c r="D1403">
        <v>0</v>
      </c>
      <c r="F1403">
        <v>359666</v>
      </c>
      <c r="G1403">
        <v>348120</v>
      </c>
      <c r="H1403" t="s">
        <v>250</v>
      </c>
      <c r="I1403">
        <v>348108</v>
      </c>
      <c r="J1403" t="s">
        <v>250</v>
      </c>
      <c r="K1403" t="s">
        <v>8898</v>
      </c>
      <c r="L1403" t="s">
        <v>250</v>
      </c>
    </row>
    <row r="1404" spans="1:12" x14ac:dyDescent="0.25">
      <c r="A1404">
        <v>348108</v>
      </c>
      <c r="B1404">
        <v>1353744</v>
      </c>
      <c r="D1404">
        <v>0</v>
      </c>
      <c r="E1404" t="s">
        <v>8900</v>
      </c>
      <c r="F1404" t="s">
        <v>8901</v>
      </c>
      <c r="G1404" t="s">
        <v>8902</v>
      </c>
      <c r="H1404" t="s">
        <v>8903</v>
      </c>
      <c r="I1404" t="s">
        <v>8904</v>
      </c>
      <c r="J1404" t="s">
        <v>8899</v>
      </c>
      <c r="K1404" t="s">
        <v>8905</v>
      </c>
      <c r="L1404" t="s">
        <v>8899</v>
      </c>
    </row>
    <row r="1405" spans="1:12" x14ac:dyDescent="0.25">
      <c r="A1405">
        <v>348108</v>
      </c>
      <c r="B1405">
        <v>1361178</v>
      </c>
      <c r="D1405" t="s">
        <v>7856</v>
      </c>
      <c r="E1405" t="s">
        <v>8907</v>
      </c>
      <c r="F1405" t="s">
        <v>8908</v>
      </c>
      <c r="G1405" t="s">
        <v>8910</v>
      </c>
      <c r="H1405" t="s">
        <v>8911</v>
      </c>
      <c r="I1405" t="s">
        <v>8912</v>
      </c>
      <c r="J1405" t="s">
        <v>8913</v>
      </c>
      <c r="K1405" t="s">
        <v>8914</v>
      </c>
      <c r="L1405" t="s">
        <v>8906</v>
      </c>
    </row>
    <row r="1406" spans="1:12" x14ac:dyDescent="0.25">
      <c r="A1406">
        <v>348120</v>
      </c>
      <c r="B1406">
        <v>348147</v>
      </c>
      <c r="D1406" t="s">
        <v>4181</v>
      </c>
      <c r="E1406" t="s">
        <v>8916</v>
      </c>
      <c r="F1406" t="s">
        <v>8917</v>
      </c>
      <c r="G1406" t="s">
        <v>8918</v>
      </c>
      <c r="H1406" t="s">
        <v>8919</v>
      </c>
      <c r="I1406" t="s">
        <v>8920</v>
      </c>
      <c r="J1406" t="s">
        <v>8921</v>
      </c>
      <c r="K1406" t="s">
        <v>8922</v>
      </c>
      <c r="L1406" t="s">
        <v>8915</v>
      </c>
    </row>
    <row r="1407" spans="1:12" x14ac:dyDescent="0.25">
      <c r="A1407">
        <v>348120</v>
      </c>
      <c r="B1407">
        <v>367803</v>
      </c>
      <c r="D1407" t="s">
        <v>8909</v>
      </c>
      <c r="E1407" t="s">
        <v>8924</v>
      </c>
      <c r="F1407" t="s">
        <v>8925</v>
      </c>
      <c r="G1407" t="s">
        <v>8926</v>
      </c>
      <c r="H1407" t="s">
        <v>8927</v>
      </c>
      <c r="I1407" t="s">
        <v>8928</v>
      </c>
      <c r="J1407" t="s">
        <v>8923</v>
      </c>
      <c r="K1407" t="s">
        <v>8929</v>
      </c>
      <c r="L1407" t="s">
        <v>8923</v>
      </c>
    </row>
    <row r="1408" spans="1:12" x14ac:dyDescent="0.25">
      <c r="A1408">
        <v>348147</v>
      </c>
      <c r="B1408">
        <v>456742</v>
      </c>
      <c r="D1408">
        <v>1</v>
      </c>
      <c r="F1408">
        <v>458460</v>
      </c>
      <c r="G1408">
        <v>348147</v>
      </c>
      <c r="H1408" t="s">
        <v>4848</v>
      </c>
      <c r="I1408">
        <v>456742</v>
      </c>
      <c r="J1408" t="s">
        <v>4848</v>
      </c>
      <c r="K1408" t="s">
        <v>8930</v>
      </c>
      <c r="L1408" t="s">
        <v>4848</v>
      </c>
    </row>
    <row r="1409" spans="1:12" x14ac:dyDescent="0.25">
      <c r="A1409">
        <v>348150</v>
      </c>
      <c r="B1409">
        <v>348174</v>
      </c>
      <c r="D1409">
        <v>0</v>
      </c>
      <c r="E1409" t="s">
        <v>8932</v>
      </c>
      <c r="F1409" t="s">
        <v>8933</v>
      </c>
      <c r="G1409" t="s">
        <v>8935</v>
      </c>
      <c r="H1409" t="e" vm="620">
        <f>_FV(0,"007196960262934664")</f>
        <v>#VALUE!</v>
      </c>
      <c r="I1409" t="s">
        <v>8936</v>
      </c>
      <c r="J1409" t="s">
        <v>8937</v>
      </c>
      <c r="K1409" t="s">
        <v>8938</v>
      </c>
      <c r="L1409" t="s">
        <v>8931</v>
      </c>
    </row>
    <row r="1410" spans="1:12" x14ac:dyDescent="0.25">
      <c r="A1410">
        <v>348150</v>
      </c>
      <c r="B1410">
        <v>456658</v>
      </c>
      <c r="D1410" t="s">
        <v>8940</v>
      </c>
      <c r="E1410" t="s">
        <v>8941</v>
      </c>
      <c r="F1410" t="s">
        <v>8942</v>
      </c>
      <c r="G1410" t="s">
        <v>8943</v>
      </c>
      <c r="H1410" t="s">
        <v>8944</v>
      </c>
      <c r="I1410" t="s">
        <v>8945</v>
      </c>
      <c r="J1410" t="s">
        <v>8939</v>
      </c>
      <c r="K1410" t="s">
        <v>8946</v>
      </c>
      <c r="L1410" t="s">
        <v>8939</v>
      </c>
    </row>
    <row r="1411" spans="1:12" x14ac:dyDescent="0.25">
      <c r="A1411">
        <v>348150</v>
      </c>
      <c r="B1411">
        <v>456792</v>
      </c>
      <c r="D1411" t="s">
        <v>1845</v>
      </c>
      <c r="E1411" t="s">
        <v>8948</v>
      </c>
      <c r="F1411" t="s">
        <v>8949</v>
      </c>
      <c r="G1411" t="s">
        <v>8950</v>
      </c>
      <c r="H1411" t="s">
        <v>8951</v>
      </c>
      <c r="I1411" t="s">
        <v>8952</v>
      </c>
      <c r="J1411" t="s">
        <v>8947</v>
      </c>
      <c r="K1411" t="s">
        <v>8953</v>
      </c>
      <c r="L1411" t="s">
        <v>8947</v>
      </c>
    </row>
    <row r="1412" spans="1:12" x14ac:dyDescent="0.25">
      <c r="A1412">
        <v>348174</v>
      </c>
      <c r="B1412">
        <v>1361244</v>
      </c>
      <c r="D1412">
        <v>0</v>
      </c>
      <c r="E1412" t="s">
        <v>8955</v>
      </c>
      <c r="F1412" t="s">
        <v>8956</v>
      </c>
      <c r="G1412" t="s">
        <v>8957</v>
      </c>
      <c r="H1412" t="e" vm="621">
        <f>_FV(0,"04426684724038575")</f>
        <v>#VALUE!</v>
      </c>
      <c r="I1412" t="s">
        <v>8958</v>
      </c>
      <c r="J1412" t="s">
        <v>8959</v>
      </c>
      <c r="K1412" t="s">
        <v>8960</v>
      </c>
      <c r="L1412" t="s">
        <v>8954</v>
      </c>
    </row>
    <row r="1413" spans="1:12" x14ac:dyDescent="0.25">
      <c r="A1413">
        <v>348174</v>
      </c>
      <c r="B1413">
        <v>1361333</v>
      </c>
      <c r="D1413">
        <v>0</v>
      </c>
      <c r="E1413" t="s">
        <v>8962</v>
      </c>
      <c r="F1413" t="s">
        <v>8963</v>
      </c>
      <c r="G1413" t="s">
        <v>8964</v>
      </c>
      <c r="H1413" t="e" vm="622">
        <f>_FV(0,"1133262423848895")</f>
        <v>#VALUE!</v>
      </c>
      <c r="I1413" t="s">
        <v>8965</v>
      </c>
      <c r="J1413" t="s">
        <v>8966</v>
      </c>
      <c r="K1413" t="s">
        <v>8967</v>
      </c>
      <c r="L1413" t="s">
        <v>8961</v>
      </c>
    </row>
    <row r="1414" spans="1:12" x14ac:dyDescent="0.25">
      <c r="A1414">
        <v>348176</v>
      </c>
      <c r="B1414">
        <v>348177</v>
      </c>
      <c r="D1414">
        <v>0</v>
      </c>
      <c r="F1414">
        <v>359750</v>
      </c>
      <c r="G1414">
        <v>348177</v>
      </c>
      <c r="H1414" t="s">
        <v>187</v>
      </c>
      <c r="I1414">
        <v>348176</v>
      </c>
      <c r="J1414" t="s">
        <v>187</v>
      </c>
      <c r="K1414" t="s">
        <v>8968</v>
      </c>
      <c r="L1414" t="s">
        <v>187</v>
      </c>
    </row>
    <row r="1415" spans="1:12" x14ac:dyDescent="0.25">
      <c r="A1415">
        <v>348176</v>
      </c>
      <c r="B1415">
        <v>825224</v>
      </c>
      <c r="D1415" t="s">
        <v>8970</v>
      </c>
      <c r="E1415" t="s">
        <v>8971</v>
      </c>
      <c r="F1415" t="s">
        <v>8972</v>
      </c>
      <c r="G1415" t="s">
        <v>8973</v>
      </c>
      <c r="H1415" t="s">
        <v>8974</v>
      </c>
      <c r="I1415" t="s">
        <v>8975</v>
      </c>
      <c r="J1415" t="s">
        <v>8976</v>
      </c>
      <c r="K1415" t="s">
        <v>8977</v>
      </c>
      <c r="L1415" t="s">
        <v>8969</v>
      </c>
    </row>
    <row r="1416" spans="1:12" x14ac:dyDescent="0.25">
      <c r="A1416">
        <v>348177</v>
      </c>
      <c r="B1416">
        <v>348178</v>
      </c>
      <c r="D1416">
        <v>0</v>
      </c>
      <c r="F1416">
        <v>359751</v>
      </c>
      <c r="G1416">
        <v>348178</v>
      </c>
      <c r="H1416" t="s">
        <v>226</v>
      </c>
      <c r="I1416">
        <v>348177</v>
      </c>
      <c r="J1416" t="s">
        <v>226</v>
      </c>
      <c r="K1416" t="s">
        <v>8978</v>
      </c>
      <c r="L1416" t="s">
        <v>226</v>
      </c>
    </row>
    <row r="1417" spans="1:12" x14ac:dyDescent="0.25">
      <c r="A1417">
        <v>348178</v>
      </c>
      <c r="B1417">
        <v>456742</v>
      </c>
      <c r="D1417" t="s">
        <v>330</v>
      </c>
      <c r="E1417" t="s">
        <v>8980</v>
      </c>
      <c r="F1417" t="s">
        <v>8981</v>
      </c>
      <c r="G1417" t="s">
        <v>8982</v>
      </c>
      <c r="H1417" t="s">
        <v>8983</v>
      </c>
      <c r="I1417" t="s">
        <v>8984</v>
      </c>
      <c r="J1417" t="s">
        <v>8979</v>
      </c>
      <c r="K1417" t="s">
        <v>8985</v>
      </c>
      <c r="L1417" t="s">
        <v>8979</v>
      </c>
    </row>
    <row r="1418" spans="1:12" x14ac:dyDescent="0.25">
      <c r="A1418">
        <v>348200</v>
      </c>
      <c r="B1418">
        <v>925452</v>
      </c>
      <c r="D1418" t="s">
        <v>8987</v>
      </c>
      <c r="E1418" t="s">
        <v>8988</v>
      </c>
      <c r="F1418" t="s">
        <v>8989</v>
      </c>
      <c r="G1418" t="s">
        <v>8990</v>
      </c>
      <c r="H1418" t="s">
        <v>8991</v>
      </c>
      <c r="I1418" t="s">
        <v>8992</v>
      </c>
      <c r="J1418" t="s">
        <v>8993</v>
      </c>
      <c r="K1418" t="s">
        <v>8994</v>
      </c>
      <c r="L1418" t="s">
        <v>8986</v>
      </c>
    </row>
    <row r="1419" spans="1:12" x14ac:dyDescent="0.25">
      <c r="A1419">
        <v>348200</v>
      </c>
      <c r="B1419">
        <v>467849</v>
      </c>
      <c r="D1419">
        <v>0</v>
      </c>
      <c r="E1419" t="s">
        <v>8996</v>
      </c>
      <c r="F1419" t="s">
        <v>8997</v>
      </c>
      <c r="G1419" t="s">
        <v>8998</v>
      </c>
      <c r="H1419" t="s">
        <v>8999</v>
      </c>
      <c r="I1419" t="s">
        <v>9000</v>
      </c>
      <c r="J1419" t="s">
        <v>9001</v>
      </c>
      <c r="K1419" t="s">
        <v>9002</v>
      </c>
      <c r="L1419" t="s">
        <v>8995</v>
      </c>
    </row>
    <row r="1420" spans="1:12" x14ac:dyDescent="0.25">
      <c r="A1420">
        <v>348200</v>
      </c>
      <c r="B1420">
        <v>467849</v>
      </c>
      <c r="D1420">
        <v>0</v>
      </c>
      <c r="E1420" t="s">
        <v>9004</v>
      </c>
      <c r="F1420" t="s">
        <v>9005</v>
      </c>
      <c r="G1420" t="s">
        <v>9006</v>
      </c>
      <c r="H1420" t="s">
        <v>9007</v>
      </c>
      <c r="I1420" t="s">
        <v>9008</v>
      </c>
      <c r="J1420" t="s">
        <v>9009</v>
      </c>
      <c r="K1420" t="s">
        <v>9010</v>
      </c>
      <c r="L1420" t="s">
        <v>9003</v>
      </c>
    </row>
    <row r="1421" spans="1:12" x14ac:dyDescent="0.25">
      <c r="A1421">
        <v>348253</v>
      </c>
      <c r="B1421">
        <v>348344</v>
      </c>
      <c r="D1421">
        <v>0</v>
      </c>
      <c r="E1421" t="s">
        <v>9012</v>
      </c>
      <c r="F1421" t="s">
        <v>9013</v>
      </c>
      <c r="G1421" t="s">
        <v>9014</v>
      </c>
      <c r="H1421" t="s">
        <v>9015</v>
      </c>
      <c r="I1421" t="s">
        <v>9016</v>
      </c>
      <c r="J1421" t="s">
        <v>9017</v>
      </c>
      <c r="K1421" t="s">
        <v>9018</v>
      </c>
      <c r="L1421" t="s">
        <v>9011</v>
      </c>
    </row>
    <row r="1422" spans="1:12" x14ac:dyDescent="0.25">
      <c r="A1422">
        <v>348253</v>
      </c>
      <c r="B1422">
        <v>348344</v>
      </c>
      <c r="D1422">
        <v>0</v>
      </c>
      <c r="E1422" t="s">
        <v>9020</v>
      </c>
      <c r="F1422" t="s">
        <v>9021</v>
      </c>
      <c r="G1422" t="s">
        <v>9022</v>
      </c>
      <c r="H1422" t="s">
        <v>9023</v>
      </c>
      <c r="I1422" t="s">
        <v>9024</v>
      </c>
      <c r="J1422" t="s">
        <v>9025</v>
      </c>
      <c r="K1422" t="s">
        <v>9026</v>
      </c>
      <c r="L1422" t="s">
        <v>9019</v>
      </c>
    </row>
    <row r="1423" spans="1:12" x14ac:dyDescent="0.25">
      <c r="A1423">
        <v>348253</v>
      </c>
      <c r="B1423">
        <v>1012151</v>
      </c>
      <c r="D1423">
        <v>0</v>
      </c>
      <c r="E1423" t="s">
        <v>9028</v>
      </c>
      <c r="F1423" t="s">
        <v>9029</v>
      </c>
      <c r="G1423" t="s">
        <v>9030</v>
      </c>
      <c r="H1423" t="s">
        <v>9031</v>
      </c>
      <c r="I1423" t="s">
        <v>9032</v>
      </c>
      <c r="J1423" t="s">
        <v>9027</v>
      </c>
      <c r="K1423" t="s">
        <v>9033</v>
      </c>
      <c r="L1423" t="s">
        <v>9027</v>
      </c>
    </row>
    <row r="1424" spans="1:12" x14ac:dyDescent="0.25">
      <c r="A1424">
        <v>348344</v>
      </c>
      <c r="B1424">
        <v>1017402</v>
      </c>
      <c r="D1424" t="s">
        <v>9035</v>
      </c>
      <c r="E1424" t="s">
        <v>9036</v>
      </c>
      <c r="F1424" t="s">
        <v>9037</v>
      </c>
      <c r="G1424" t="s">
        <v>9038</v>
      </c>
      <c r="H1424" t="e" vm="623">
        <f>_FV(0,"017744527325946387")</f>
        <v>#VALUE!</v>
      </c>
      <c r="I1424" t="s">
        <v>9039</v>
      </c>
      <c r="J1424" t="s">
        <v>9040</v>
      </c>
      <c r="K1424" t="s">
        <v>9041</v>
      </c>
      <c r="L1424" t="s">
        <v>9034</v>
      </c>
    </row>
    <row r="1425" spans="1:12" x14ac:dyDescent="0.25">
      <c r="A1425">
        <v>348435</v>
      </c>
      <c r="B1425">
        <v>466280</v>
      </c>
      <c r="D1425">
        <v>0</v>
      </c>
      <c r="E1425" t="s">
        <v>9043</v>
      </c>
      <c r="F1425" t="s">
        <v>9044</v>
      </c>
      <c r="G1425" t="s">
        <v>9045</v>
      </c>
      <c r="H1425" t="s">
        <v>9046</v>
      </c>
      <c r="I1425" t="s">
        <v>9047</v>
      </c>
      <c r="J1425" t="s">
        <v>9042</v>
      </c>
      <c r="K1425" t="s">
        <v>9048</v>
      </c>
      <c r="L1425" t="s">
        <v>9042</v>
      </c>
    </row>
    <row r="1426" spans="1:12" x14ac:dyDescent="0.25">
      <c r="A1426">
        <v>348435</v>
      </c>
      <c r="B1426">
        <v>961913</v>
      </c>
      <c r="D1426">
        <v>0</v>
      </c>
      <c r="E1426" t="s">
        <v>9050</v>
      </c>
      <c r="F1426" t="s">
        <v>9051</v>
      </c>
      <c r="G1426" t="s">
        <v>9052</v>
      </c>
      <c r="H1426" t="e" vm="624">
        <f>_FV(0,"010971651810052422")</f>
        <v>#VALUE!</v>
      </c>
      <c r="I1426" t="s">
        <v>9053</v>
      </c>
      <c r="J1426" t="s">
        <v>9054</v>
      </c>
      <c r="K1426" t="s">
        <v>9055</v>
      </c>
      <c r="L1426" t="s">
        <v>9049</v>
      </c>
    </row>
    <row r="1427" spans="1:12" x14ac:dyDescent="0.25">
      <c r="A1427">
        <v>348435</v>
      </c>
      <c r="B1427">
        <v>961931</v>
      </c>
      <c r="D1427">
        <v>0</v>
      </c>
      <c r="F1427">
        <v>1005008</v>
      </c>
      <c r="G1427">
        <v>348435</v>
      </c>
      <c r="H1427" t="e" vm="625">
        <f>_FV(0,"015")</f>
        <v>#VALUE!</v>
      </c>
      <c r="I1427">
        <v>961931</v>
      </c>
      <c r="J1427" t="s">
        <v>6474</v>
      </c>
      <c r="K1427" t="s">
        <v>9056</v>
      </c>
      <c r="L1427" t="e" vm="625">
        <f>_FV(0,"015")</f>
        <v>#VALUE!</v>
      </c>
    </row>
    <row r="1428" spans="1:12" x14ac:dyDescent="0.25">
      <c r="A1428">
        <v>350592</v>
      </c>
      <c r="B1428">
        <v>350615</v>
      </c>
      <c r="D1428">
        <v>0</v>
      </c>
      <c r="E1428" t="s">
        <v>9058</v>
      </c>
      <c r="F1428" t="s">
        <v>9059</v>
      </c>
      <c r="G1428" t="s">
        <v>9060</v>
      </c>
      <c r="H1428" t="e" vm="626">
        <f>_FV(0,"010118253298016966")</f>
        <v>#VALUE!</v>
      </c>
      <c r="I1428" t="s">
        <v>9061</v>
      </c>
      <c r="J1428" t="s">
        <v>9062</v>
      </c>
      <c r="K1428" t="s">
        <v>9063</v>
      </c>
      <c r="L1428" t="s">
        <v>9057</v>
      </c>
    </row>
    <row r="1429" spans="1:12" x14ac:dyDescent="0.25">
      <c r="A1429">
        <v>350592</v>
      </c>
      <c r="B1429">
        <v>350641</v>
      </c>
      <c r="D1429">
        <v>0</v>
      </c>
      <c r="F1429">
        <v>362163</v>
      </c>
      <c r="G1429">
        <v>350592</v>
      </c>
      <c r="H1429" t="e" vm="59">
        <f>_FV(0,"014")</f>
        <v>#VALUE!</v>
      </c>
      <c r="I1429">
        <v>350641</v>
      </c>
      <c r="J1429" t="s">
        <v>922</v>
      </c>
      <c r="K1429" t="s">
        <v>9064</v>
      </c>
      <c r="L1429" t="e" vm="59">
        <f>_FV(0,"014")</f>
        <v>#VALUE!</v>
      </c>
    </row>
    <row r="1430" spans="1:12" x14ac:dyDescent="0.25">
      <c r="A1430">
        <v>350592</v>
      </c>
      <c r="B1430">
        <v>351455</v>
      </c>
      <c r="D1430">
        <v>0</v>
      </c>
      <c r="E1430" t="s">
        <v>9066</v>
      </c>
      <c r="F1430" t="s">
        <v>9067</v>
      </c>
      <c r="G1430" t="s">
        <v>9068</v>
      </c>
      <c r="H1430" t="e" vm="627">
        <f>_FV(0,"023150052381497005")</f>
        <v>#VALUE!</v>
      </c>
      <c r="I1430" t="s">
        <v>9069</v>
      </c>
      <c r="J1430" t="s">
        <v>9070</v>
      </c>
      <c r="K1430" t="s">
        <v>9071</v>
      </c>
      <c r="L1430" t="s">
        <v>9065</v>
      </c>
    </row>
    <row r="1431" spans="1:12" x14ac:dyDescent="0.25">
      <c r="A1431">
        <v>350615</v>
      </c>
      <c r="B1431">
        <v>350624</v>
      </c>
      <c r="D1431">
        <v>0</v>
      </c>
      <c r="F1431">
        <v>362138</v>
      </c>
      <c r="G1431">
        <v>350624</v>
      </c>
      <c r="H1431" t="s">
        <v>2916</v>
      </c>
      <c r="I1431">
        <v>350615</v>
      </c>
      <c r="J1431" t="s">
        <v>2916</v>
      </c>
      <c r="K1431" t="s">
        <v>9072</v>
      </c>
      <c r="L1431" t="s">
        <v>2916</v>
      </c>
    </row>
    <row r="1432" spans="1:12" x14ac:dyDescent="0.25">
      <c r="A1432">
        <v>350615</v>
      </c>
      <c r="B1432">
        <v>362669</v>
      </c>
      <c r="D1432" t="s">
        <v>9074</v>
      </c>
      <c r="E1432" t="s">
        <v>9075</v>
      </c>
      <c r="F1432" t="s">
        <v>9076</v>
      </c>
      <c r="G1432" t="s">
        <v>9077</v>
      </c>
      <c r="H1432" t="e" vm="628">
        <f>_FV(0,"032243121790335")</f>
        <v>#VALUE!</v>
      </c>
      <c r="I1432" t="s">
        <v>9078</v>
      </c>
      <c r="J1432" t="s">
        <v>9079</v>
      </c>
      <c r="K1432" t="s">
        <v>9080</v>
      </c>
      <c r="L1432" t="s">
        <v>9073</v>
      </c>
    </row>
    <row r="1433" spans="1:12" x14ac:dyDescent="0.25">
      <c r="A1433">
        <v>350624</v>
      </c>
      <c r="B1433">
        <v>350641</v>
      </c>
      <c r="D1433">
        <v>0</v>
      </c>
      <c r="E1433" t="s">
        <v>9082</v>
      </c>
      <c r="F1433" t="s">
        <v>9083</v>
      </c>
      <c r="G1433" t="s">
        <v>9084</v>
      </c>
      <c r="H1433" t="s">
        <v>9085</v>
      </c>
      <c r="I1433" t="s">
        <v>9086</v>
      </c>
      <c r="J1433" t="s">
        <v>9081</v>
      </c>
      <c r="K1433" t="s">
        <v>9087</v>
      </c>
      <c r="L1433" t="s">
        <v>9081</v>
      </c>
    </row>
    <row r="1434" spans="1:12" x14ac:dyDescent="0.25">
      <c r="A1434">
        <v>350624</v>
      </c>
      <c r="B1434">
        <v>350651</v>
      </c>
      <c r="D1434">
        <v>0</v>
      </c>
      <c r="E1434" t="s">
        <v>9089</v>
      </c>
      <c r="F1434" t="s">
        <v>9090</v>
      </c>
      <c r="G1434" t="s">
        <v>9091</v>
      </c>
      <c r="H1434" t="e" vm="629">
        <f>_FV(0,"02583398830502032")</f>
        <v>#VALUE!</v>
      </c>
      <c r="I1434" t="s">
        <v>9092</v>
      </c>
      <c r="J1434" t="s">
        <v>9093</v>
      </c>
      <c r="K1434" t="s">
        <v>9094</v>
      </c>
      <c r="L1434" t="s">
        <v>9088</v>
      </c>
    </row>
    <row r="1435" spans="1:12" x14ac:dyDescent="0.25">
      <c r="A1435">
        <v>350641</v>
      </c>
      <c r="B1435">
        <v>350651</v>
      </c>
      <c r="D1435">
        <v>0</v>
      </c>
      <c r="E1435" t="s">
        <v>9095</v>
      </c>
      <c r="F1435" t="s">
        <v>9096</v>
      </c>
      <c r="G1435" t="s">
        <v>9097</v>
      </c>
      <c r="H1435" t="e" vm="215">
        <f>_FV(0,"02")</f>
        <v>#VALUE!</v>
      </c>
      <c r="I1435" t="s">
        <v>9098</v>
      </c>
      <c r="J1435" t="s">
        <v>3317</v>
      </c>
      <c r="K1435" t="s">
        <v>9099</v>
      </c>
      <c r="L1435" t="e" vm="215">
        <f>_FV(0,"02")</f>
        <v>#VALUE!</v>
      </c>
    </row>
    <row r="1436" spans="1:12" x14ac:dyDescent="0.25">
      <c r="A1436">
        <v>350946</v>
      </c>
      <c r="B1436">
        <v>350966</v>
      </c>
      <c r="D1436">
        <v>0</v>
      </c>
      <c r="E1436" t="s">
        <v>9101</v>
      </c>
      <c r="F1436" t="s">
        <v>9102</v>
      </c>
      <c r="G1436" t="s">
        <v>9103</v>
      </c>
      <c r="H1436" t="s">
        <v>9104</v>
      </c>
      <c r="I1436" t="s">
        <v>9105</v>
      </c>
      <c r="J1436" t="s">
        <v>9100</v>
      </c>
      <c r="K1436" t="s">
        <v>9106</v>
      </c>
      <c r="L1436" t="s">
        <v>9100</v>
      </c>
    </row>
    <row r="1437" spans="1:12" x14ac:dyDescent="0.25">
      <c r="A1437">
        <v>350946</v>
      </c>
      <c r="B1437">
        <v>350966</v>
      </c>
      <c r="D1437">
        <v>0</v>
      </c>
      <c r="E1437" t="s">
        <v>9108</v>
      </c>
      <c r="F1437" t="s">
        <v>9109</v>
      </c>
      <c r="G1437" t="s">
        <v>9110</v>
      </c>
      <c r="H1437" t="s">
        <v>9111</v>
      </c>
      <c r="I1437" t="s">
        <v>9112</v>
      </c>
      <c r="J1437" t="s">
        <v>9113</v>
      </c>
      <c r="K1437" t="s">
        <v>9114</v>
      </c>
      <c r="L1437" t="s">
        <v>9107</v>
      </c>
    </row>
    <row r="1438" spans="1:12" x14ac:dyDescent="0.25">
      <c r="A1438">
        <v>350946</v>
      </c>
      <c r="B1438">
        <v>1291636</v>
      </c>
      <c r="D1438">
        <v>0</v>
      </c>
      <c r="E1438" t="s">
        <v>9116</v>
      </c>
      <c r="F1438" t="s">
        <v>9117</v>
      </c>
      <c r="G1438" t="s">
        <v>9118</v>
      </c>
      <c r="H1438" t="e" vm="630">
        <f>_FV(0,"07967647337419574")</f>
        <v>#VALUE!</v>
      </c>
      <c r="I1438" t="s">
        <v>9119</v>
      </c>
      <c r="J1438" t="s">
        <v>9120</v>
      </c>
      <c r="K1438" t="s">
        <v>9121</v>
      </c>
      <c r="L1438" t="s">
        <v>9115</v>
      </c>
    </row>
    <row r="1439" spans="1:12" x14ac:dyDescent="0.25">
      <c r="A1439">
        <v>350966</v>
      </c>
      <c r="B1439">
        <v>918860</v>
      </c>
      <c r="D1439">
        <v>0</v>
      </c>
      <c r="E1439" t="s">
        <v>9123</v>
      </c>
      <c r="F1439" t="s">
        <v>9124</v>
      </c>
      <c r="G1439" t="s">
        <v>9125</v>
      </c>
      <c r="H1439" t="e" vm="631">
        <f>_FV(0,"05812814760899181")</f>
        <v>#VALUE!</v>
      </c>
      <c r="I1439" t="s">
        <v>9126</v>
      </c>
      <c r="J1439" t="s">
        <v>9127</v>
      </c>
      <c r="K1439" t="s">
        <v>9128</v>
      </c>
      <c r="L1439" t="s">
        <v>9122</v>
      </c>
    </row>
    <row r="1440" spans="1:12" x14ac:dyDescent="0.25">
      <c r="A1440">
        <v>351082</v>
      </c>
      <c r="B1440">
        <v>351102</v>
      </c>
      <c r="D1440">
        <v>0</v>
      </c>
      <c r="F1440">
        <v>2168502</v>
      </c>
      <c r="G1440">
        <v>351102</v>
      </c>
      <c r="H1440" t="e" vm="632">
        <f>_FV(0,"035")</f>
        <v>#VALUE!</v>
      </c>
      <c r="I1440">
        <v>351082</v>
      </c>
      <c r="J1440" t="s">
        <v>7225</v>
      </c>
      <c r="K1440" t="s">
        <v>9129</v>
      </c>
      <c r="L1440" t="e" vm="632">
        <f>_FV(0,"035")</f>
        <v>#VALUE!</v>
      </c>
    </row>
    <row r="1441" spans="1:12" x14ac:dyDescent="0.25">
      <c r="A1441">
        <v>351082</v>
      </c>
      <c r="B1441">
        <v>351102</v>
      </c>
      <c r="D1441">
        <v>0</v>
      </c>
      <c r="E1441" t="s">
        <v>9131</v>
      </c>
      <c r="F1441" t="s">
        <v>9132</v>
      </c>
      <c r="G1441" t="s">
        <v>9133</v>
      </c>
      <c r="H1441" t="e" vm="633">
        <f>_FV(0,"03476524346248557")</f>
        <v>#VALUE!</v>
      </c>
      <c r="I1441" t="s">
        <v>9134</v>
      </c>
      <c r="J1441" t="s">
        <v>9135</v>
      </c>
      <c r="K1441" t="s">
        <v>9136</v>
      </c>
      <c r="L1441" t="s">
        <v>9130</v>
      </c>
    </row>
    <row r="1442" spans="1:12" x14ac:dyDescent="0.25">
      <c r="A1442">
        <v>351082</v>
      </c>
      <c r="B1442">
        <v>351267</v>
      </c>
      <c r="D1442">
        <v>0</v>
      </c>
      <c r="E1442" t="s">
        <v>9138</v>
      </c>
      <c r="F1442" t="s">
        <v>9139</v>
      </c>
      <c r="G1442" t="s">
        <v>9140</v>
      </c>
      <c r="H1442" t="e" vm="634">
        <f>_FV(0,"028132254573694244")</f>
        <v>#VALUE!</v>
      </c>
      <c r="I1442" t="s">
        <v>9141</v>
      </c>
      <c r="J1442" t="s">
        <v>9142</v>
      </c>
      <c r="K1442" t="s">
        <v>9143</v>
      </c>
      <c r="L1442" t="s">
        <v>9137</v>
      </c>
    </row>
    <row r="1443" spans="1:12" x14ac:dyDescent="0.25">
      <c r="A1443">
        <v>351102</v>
      </c>
      <c r="B1443">
        <v>1854790</v>
      </c>
      <c r="D1443">
        <v>0</v>
      </c>
      <c r="E1443" t="s">
        <v>9145</v>
      </c>
      <c r="F1443" t="s">
        <v>9146</v>
      </c>
      <c r="G1443" t="s">
        <v>9147</v>
      </c>
      <c r="H1443" t="e" vm="635">
        <f>_FV(0,"018030750655257548")</f>
        <v>#VALUE!</v>
      </c>
      <c r="I1443" t="s">
        <v>9148</v>
      </c>
      <c r="J1443" t="s">
        <v>9149</v>
      </c>
      <c r="K1443" t="s">
        <v>9150</v>
      </c>
      <c r="L1443" t="s">
        <v>9144</v>
      </c>
    </row>
    <row r="1444" spans="1:12" x14ac:dyDescent="0.25">
      <c r="A1444">
        <v>351244</v>
      </c>
      <c r="B1444">
        <v>351267</v>
      </c>
      <c r="D1444">
        <v>0</v>
      </c>
      <c r="E1444" t="s">
        <v>9152</v>
      </c>
      <c r="F1444" t="s">
        <v>9153</v>
      </c>
      <c r="G1444" t="s">
        <v>9154</v>
      </c>
      <c r="H1444" t="s">
        <v>9155</v>
      </c>
      <c r="I1444" t="s">
        <v>9156</v>
      </c>
      <c r="J1444" t="s">
        <v>9157</v>
      </c>
      <c r="K1444" t="s">
        <v>9158</v>
      </c>
      <c r="L1444" t="s">
        <v>9151</v>
      </c>
    </row>
    <row r="1445" spans="1:12" x14ac:dyDescent="0.25">
      <c r="A1445">
        <v>351244</v>
      </c>
      <c r="B1445">
        <v>1854776</v>
      </c>
      <c r="D1445">
        <v>0</v>
      </c>
      <c r="E1445" t="s">
        <v>9160</v>
      </c>
      <c r="F1445" t="s">
        <v>9161</v>
      </c>
      <c r="G1445" t="s">
        <v>9162</v>
      </c>
      <c r="H1445" t="e" vm="636">
        <f>_FV(0,"011337853975791335")</f>
        <v>#VALUE!</v>
      </c>
      <c r="I1445" t="s">
        <v>9163</v>
      </c>
      <c r="J1445" t="s">
        <v>9164</v>
      </c>
      <c r="K1445" t="s">
        <v>9165</v>
      </c>
      <c r="L1445" t="s">
        <v>9159</v>
      </c>
    </row>
    <row r="1446" spans="1:12" x14ac:dyDescent="0.25">
      <c r="A1446">
        <v>351267</v>
      </c>
      <c r="B1446">
        <v>351348</v>
      </c>
      <c r="D1446" t="s">
        <v>9167</v>
      </c>
      <c r="E1446" t="s">
        <v>9168</v>
      </c>
      <c r="F1446" t="s">
        <v>9169</v>
      </c>
      <c r="G1446" t="s">
        <v>9170</v>
      </c>
      <c r="H1446" t="e" vm="637">
        <f>_FV(0,"0079459782572473")</f>
        <v>#VALUE!</v>
      </c>
      <c r="I1446" t="s">
        <v>9171</v>
      </c>
      <c r="J1446" t="s">
        <v>9172</v>
      </c>
      <c r="K1446" t="s">
        <v>9173</v>
      </c>
      <c r="L1446" t="s">
        <v>9166</v>
      </c>
    </row>
    <row r="1447" spans="1:12" x14ac:dyDescent="0.25">
      <c r="A1447">
        <v>351348</v>
      </c>
      <c r="B1447">
        <v>351618</v>
      </c>
      <c r="D1447" t="s">
        <v>204</v>
      </c>
      <c r="E1447" t="s">
        <v>9175</v>
      </c>
      <c r="F1447" t="s">
        <v>9176</v>
      </c>
      <c r="G1447" t="s">
        <v>9177</v>
      </c>
      <c r="H1447" t="e" vm="638">
        <f>_FV(0,"030463393494704904")</f>
        <v>#VALUE!</v>
      </c>
      <c r="I1447" t="s">
        <v>9178</v>
      </c>
      <c r="J1447" t="s">
        <v>9179</v>
      </c>
      <c r="K1447" t="s">
        <v>9180</v>
      </c>
      <c r="L1447" t="s">
        <v>9174</v>
      </c>
    </row>
    <row r="1448" spans="1:12" x14ac:dyDescent="0.25">
      <c r="A1448">
        <v>351358</v>
      </c>
      <c r="B1448">
        <v>351455</v>
      </c>
      <c r="D1448" t="s">
        <v>9182</v>
      </c>
      <c r="E1448" t="s">
        <v>9183</v>
      </c>
      <c r="F1448" t="s">
        <v>9184</v>
      </c>
      <c r="G1448" t="s">
        <v>9185</v>
      </c>
      <c r="H1448" t="e" vm="639">
        <f>_FV(0,"00822531983845284")</f>
        <v>#VALUE!</v>
      </c>
      <c r="I1448" t="s">
        <v>9186</v>
      </c>
      <c r="J1448" t="s">
        <v>9187</v>
      </c>
      <c r="K1448" t="s">
        <v>9188</v>
      </c>
      <c r="L1448" t="s">
        <v>9181</v>
      </c>
    </row>
    <row r="1449" spans="1:12" x14ac:dyDescent="0.25">
      <c r="A1449">
        <v>351358</v>
      </c>
      <c r="B1449">
        <v>351564</v>
      </c>
      <c r="D1449">
        <v>0</v>
      </c>
      <c r="E1449" t="s">
        <v>9190</v>
      </c>
      <c r="F1449" t="s">
        <v>9191</v>
      </c>
      <c r="G1449" t="s">
        <v>9192</v>
      </c>
      <c r="H1449" t="s">
        <v>9193</v>
      </c>
      <c r="I1449" t="s">
        <v>9194</v>
      </c>
      <c r="J1449" t="s">
        <v>9189</v>
      </c>
      <c r="K1449" t="s">
        <v>9195</v>
      </c>
      <c r="L1449" t="s">
        <v>9189</v>
      </c>
    </row>
    <row r="1450" spans="1:12" x14ac:dyDescent="0.25">
      <c r="A1450">
        <v>351358</v>
      </c>
      <c r="B1450">
        <v>1854780</v>
      </c>
      <c r="D1450">
        <v>0</v>
      </c>
      <c r="E1450" t="s">
        <v>9197</v>
      </c>
      <c r="F1450" t="s">
        <v>9198</v>
      </c>
      <c r="G1450" t="s">
        <v>9199</v>
      </c>
      <c r="H1450" t="s">
        <v>9200</v>
      </c>
      <c r="I1450" t="s">
        <v>9201</v>
      </c>
      <c r="J1450" t="s">
        <v>9196</v>
      </c>
      <c r="K1450" t="s">
        <v>9202</v>
      </c>
      <c r="L1450" t="s">
        <v>9196</v>
      </c>
    </row>
    <row r="1451" spans="1:12" x14ac:dyDescent="0.25">
      <c r="A1451">
        <v>351455</v>
      </c>
      <c r="B1451">
        <v>362669</v>
      </c>
      <c r="D1451" t="s">
        <v>9204</v>
      </c>
      <c r="E1451" t="s">
        <v>9205</v>
      </c>
      <c r="F1451" t="s">
        <v>9206</v>
      </c>
      <c r="G1451" t="s">
        <v>9207</v>
      </c>
      <c r="H1451" t="e" vm="640">
        <f>_FV(0,"0277491350609564")</f>
        <v>#VALUE!</v>
      </c>
      <c r="I1451" t="s">
        <v>9208</v>
      </c>
      <c r="J1451" t="s">
        <v>9209</v>
      </c>
      <c r="K1451" t="s">
        <v>9210</v>
      </c>
      <c r="L1451" t="s">
        <v>9203</v>
      </c>
    </row>
    <row r="1452" spans="1:12" x14ac:dyDescent="0.25">
      <c r="A1452">
        <v>351513</v>
      </c>
      <c r="B1452">
        <v>351564</v>
      </c>
      <c r="D1452" t="s">
        <v>9212</v>
      </c>
      <c r="E1452" t="s">
        <v>9213</v>
      </c>
      <c r="F1452" t="s">
        <v>9214</v>
      </c>
      <c r="G1452" t="s">
        <v>9215</v>
      </c>
      <c r="H1452" t="s">
        <v>9216</v>
      </c>
      <c r="I1452" t="s">
        <v>9217</v>
      </c>
      <c r="J1452" t="s">
        <v>9218</v>
      </c>
      <c r="K1452" t="s">
        <v>9219</v>
      </c>
      <c r="L1452" t="s">
        <v>9211</v>
      </c>
    </row>
    <row r="1453" spans="1:12" x14ac:dyDescent="0.25">
      <c r="A1453">
        <v>351564</v>
      </c>
      <c r="B1453">
        <v>1854774</v>
      </c>
      <c r="D1453">
        <v>0</v>
      </c>
      <c r="E1453" t="s">
        <v>9221</v>
      </c>
      <c r="F1453" t="s">
        <v>9222</v>
      </c>
      <c r="G1453" t="s">
        <v>9223</v>
      </c>
      <c r="H1453" t="s">
        <v>9224</v>
      </c>
      <c r="I1453" t="s">
        <v>9225</v>
      </c>
      <c r="J1453" t="s">
        <v>9226</v>
      </c>
      <c r="K1453" t="s">
        <v>9227</v>
      </c>
      <c r="L1453" t="s">
        <v>9220</v>
      </c>
    </row>
    <row r="1454" spans="1:12" x14ac:dyDescent="0.25">
      <c r="A1454">
        <v>351618</v>
      </c>
      <c r="B1454">
        <v>362485</v>
      </c>
      <c r="D1454" t="s">
        <v>9229</v>
      </c>
      <c r="E1454" t="s">
        <v>9230</v>
      </c>
      <c r="F1454" t="s">
        <v>9231</v>
      </c>
      <c r="G1454" t="s">
        <v>9232</v>
      </c>
      <c r="H1454" t="e" vm="641">
        <f>_FV(0,"0009982548650091987")</f>
        <v>#VALUE!</v>
      </c>
      <c r="I1454" t="s">
        <v>9233</v>
      </c>
      <c r="J1454" t="s">
        <v>9234</v>
      </c>
      <c r="K1454" t="s">
        <v>9235</v>
      </c>
      <c r="L1454" t="s">
        <v>9228</v>
      </c>
    </row>
    <row r="1455" spans="1:12" x14ac:dyDescent="0.25">
      <c r="A1455">
        <v>351788</v>
      </c>
      <c r="B1455">
        <v>351797</v>
      </c>
      <c r="D1455">
        <v>0</v>
      </c>
      <c r="E1455" t="s">
        <v>9236</v>
      </c>
      <c r="F1455" t="s">
        <v>9237</v>
      </c>
      <c r="G1455" t="s">
        <v>9238</v>
      </c>
      <c r="H1455" t="s">
        <v>1687</v>
      </c>
      <c r="I1455" t="s">
        <v>9239</v>
      </c>
      <c r="J1455" t="s">
        <v>1687</v>
      </c>
      <c r="K1455" t="s">
        <v>9240</v>
      </c>
      <c r="L1455" t="s">
        <v>1687</v>
      </c>
    </row>
    <row r="1456" spans="1:12" x14ac:dyDescent="0.25">
      <c r="A1456">
        <v>351788</v>
      </c>
      <c r="B1456">
        <v>351810</v>
      </c>
      <c r="D1456">
        <v>0</v>
      </c>
      <c r="E1456" t="s">
        <v>9242</v>
      </c>
      <c r="F1456" t="s">
        <v>9243</v>
      </c>
      <c r="G1456" t="s">
        <v>9244</v>
      </c>
      <c r="H1456" t="s">
        <v>9245</v>
      </c>
      <c r="I1456" t="s">
        <v>9246</v>
      </c>
      <c r="J1456" t="s">
        <v>9241</v>
      </c>
      <c r="K1456" t="s">
        <v>9247</v>
      </c>
      <c r="L1456" t="s">
        <v>9241</v>
      </c>
    </row>
    <row r="1457" spans="1:12" x14ac:dyDescent="0.25">
      <c r="A1457">
        <v>351788</v>
      </c>
      <c r="B1457">
        <v>351827</v>
      </c>
      <c r="D1457" t="s">
        <v>204</v>
      </c>
      <c r="E1457" t="s">
        <v>9249</v>
      </c>
      <c r="F1457" t="s">
        <v>9250</v>
      </c>
      <c r="G1457" t="s">
        <v>9251</v>
      </c>
      <c r="H1457" t="s">
        <v>9252</v>
      </c>
      <c r="I1457" t="s">
        <v>9253</v>
      </c>
      <c r="J1457" t="s">
        <v>9248</v>
      </c>
      <c r="K1457" t="s">
        <v>9254</v>
      </c>
      <c r="L1457" t="s">
        <v>9248</v>
      </c>
    </row>
    <row r="1458" spans="1:12" x14ac:dyDescent="0.25">
      <c r="A1458">
        <v>351797</v>
      </c>
      <c r="B1458">
        <v>1854790</v>
      </c>
      <c r="D1458">
        <v>0</v>
      </c>
      <c r="F1458">
        <v>2168586</v>
      </c>
      <c r="G1458">
        <v>1854790</v>
      </c>
      <c r="H1458" t="s">
        <v>2674</v>
      </c>
      <c r="I1458">
        <v>351797</v>
      </c>
      <c r="J1458" t="s">
        <v>2674</v>
      </c>
      <c r="K1458" t="s">
        <v>9255</v>
      </c>
      <c r="L1458" t="s">
        <v>2674</v>
      </c>
    </row>
    <row r="1459" spans="1:12" x14ac:dyDescent="0.25">
      <c r="A1459">
        <v>351797</v>
      </c>
      <c r="B1459">
        <v>351810</v>
      </c>
      <c r="D1459">
        <v>0</v>
      </c>
      <c r="E1459" t="s">
        <v>9257</v>
      </c>
      <c r="F1459" t="s">
        <v>9258</v>
      </c>
      <c r="G1459" t="s">
        <v>9259</v>
      </c>
      <c r="H1459" t="s">
        <v>9260</v>
      </c>
      <c r="I1459" t="s">
        <v>9261</v>
      </c>
      <c r="J1459" t="s">
        <v>9256</v>
      </c>
      <c r="K1459" t="s">
        <v>9262</v>
      </c>
      <c r="L1459" t="s">
        <v>9256</v>
      </c>
    </row>
    <row r="1460" spans="1:12" x14ac:dyDescent="0.25">
      <c r="A1460">
        <v>351810</v>
      </c>
      <c r="B1460">
        <v>1854776</v>
      </c>
      <c r="D1460">
        <v>0</v>
      </c>
      <c r="F1460">
        <v>2168601</v>
      </c>
      <c r="G1460">
        <v>351810</v>
      </c>
      <c r="H1460" t="s">
        <v>239</v>
      </c>
      <c r="I1460">
        <v>1854776</v>
      </c>
      <c r="J1460" t="s">
        <v>239</v>
      </c>
      <c r="K1460" t="s">
        <v>9263</v>
      </c>
      <c r="L1460" t="s">
        <v>239</v>
      </c>
    </row>
    <row r="1461" spans="1:12" x14ac:dyDescent="0.25">
      <c r="A1461">
        <v>351818</v>
      </c>
      <c r="B1461">
        <v>351827</v>
      </c>
      <c r="D1461">
        <v>0</v>
      </c>
      <c r="E1461" t="s">
        <v>9265</v>
      </c>
      <c r="F1461" t="s">
        <v>9266</v>
      </c>
      <c r="G1461" t="s">
        <v>9267</v>
      </c>
      <c r="H1461" t="s">
        <v>9268</v>
      </c>
      <c r="I1461" t="s">
        <v>9269</v>
      </c>
      <c r="J1461" t="s">
        <v>9264</v>
      </c>
      <c r="K1461" t="s">
        <v>9270</v>
      </c>
      <c r="L1461" t="s">
        <v>9264</v>
      </c>
    </row>
    <row r="1462" spans="1:12" x14ac:dyDescent="0.25">
      <c r="A1462">
        <v>351818</v>
      </c>
      <c r="B1462">
        <v>351837</v>
      </c>
      <c r="D1462">
        <v>0</v>
      </c>
      <c r="E1462" t="s">
        <v>9272</v>
      </c>
      <c r="F1462" t="s">
        <v>9273</v>
      </c>
      <c r="G1462" t="s">
        <v>9274</v>
      </c>
      <c r="H1462" t="e" vm="642">
        <f>_FV(0,"014434788199998692")</f>
        <v>#VALUE!</v>
      </c>
      <c r="I1462" t="s">
        <v>9275</v>
      </c>
      <c r="J1462" t="s">
        <v>9276</v>
      </c>
      <c r="K1462" t="s">
        <v>9277</v>
      </c>
      <c r="L1462" t="s">
        <v>9271</v>
      </c>
    </row>
    <row r="1463" spans="1:12" x14ac:dyDescent="0.25">
      <c r="A1463">
        <v>351818</v>
      </c>
      <c r="B1463">
        <v>1854780</v>
      </c>
      <c r="D1463">
        <v>0</v>
      </c>
      <c r="F1463">
        <v>2168565</v>
      </c>
      <c r="G1463">
        <v>351818</v>
      </c>
      <c r="H1463" t="e" vm="201">
        <f>_FV(0,"002")</f>
        <v>#VALUE!</v>
      </c>
      <c r="I1463">
        <v>1854780</v>
      </c>
      <c r="J1463" t="s">
        <v>1534</v>
      </c>
      <c r="K1463" t="s">
        <v>9278</v>
      </c>
      <c r="L1463" t="e" vm="201">
        <f>_FV(0,"002")</f>
        <v>#VALUE!</v>
      </c>
    </row>
    <row r="1464" spans="1:12" x14ac:dyDescent="0.25">
      <c r="A1464">
        <v>351827</v>
      </c>
      <c r="B1464">
        <v>351837</v>
      </c>
      <c r="D1464">
        <v>0</v>
      </c>
      <c r="E1464" t="s">
        <v>9280</v>
      </c>
      <c r="F1464" t="s">
        <v>9281</v>
      </c>
      <c r="G1464" t="s">
        <v>9282</v>
      </c>
      <c r="H1464" t="s">
        <v>9283</v>
      </c>
      <c r="I1464" t="s">
        <v>9284</v>
      </c>
      <c r="J1464" t="s">
        <v>9279</v>
      </c>
      <c r="K1464" t="s">
        <v>9285</v>
      </c>
      <c r="L1464" t="s">
        <v>9279</v>
      </c>
    </row>
    <row r="1465" spans="1:12" x14ac:dyDescent="0.25">
      <c r="A1465">
        <v>351837</v>
      </c>
      <c r="B1465">
        <v>1854774</v>
      </c>
      <c r="D1465">
        <v>0</v>
      </c>
      <c r="F1465">
        <v>2168574</v>
      </c>
      <c r="G1465">
        <v>1854774</v>
      </c>
      <c r="H1465" t="e" vm="47">
        <f>_FV(0,"016")</f>
        <v>#VALUE!</v>
      </c>
      <c r="I1465">
        <v>351837</v>
      </c>
      <c r="J1465" t="s">
        <v>737</v>
      </c>
      <c r="K1465" t="s">
        <v>9286</v>
      </c>
      <c r="L1465" t="e" vm="47">
        <f>_FV(0,"016")</f>
        <v>#VALUE!</v>
      </c>
    </row>
    <row r="1466" spans="1:12" x14ac:dyDescent="0.25">
      <c r="A1466">
        <v>351985</v>
      </c>
      <c r="B1466">
        <v>351986</v>
      </c>
      <c r="D1466">
        <v>0</v>
      </c>
      <c r="F1466">
        <v>363589</v>
      </c>
      <c r="G1466">
        <v>351986</v>
      </c>
      <c r="H1466" t="e" vm="643">
        <f>_FV(0,"069")</f>
        <v>#VALUE!</v>
      </c>
      <c r="I1466">
        <v>351985</v>
      </c>
      <c r="J1466" t="s">
        <v>4038</v>
      </c>
      <c r="K1466" t="s">
        <v>9287</v>
      </c>
      <c r="L1466" t="e" vm="643">
        <f>_FV(0,"069")</f>
        <v>#VALUE!</v>
      </c>
    </row>
    <row r="1467" spans="1:12" x14ac:dyDescent="0.25">
      <c r="A1467">
        <v>351985</v>
      </c>
      <c r="B1467">
        <v>352016</v>
      </c>
      <c r="D1467">
        <v>0</v>
      </c>
      <c r="F1467">
        <v>1747597</v>
      </c>
      <c r="G1467">
        <v>352016</v>
      </c>
      <c r="H1467" t="s">
        <v>7542</v>
      </c>
      <c r="I1467">
        <v>351985</v>
      </c>
      <c r="J1467" t="s">
        <v>7542</v>
      </c>
      <c r="K1467" t="s">
        <v>9288</v>
      </c>
      <c r="L1467" t="s">
        <v>7542</v>
      </c>
    </row>
    <row r="1468" spans="1:12" x14ac:dyDescent="0.25">
      <c r="A1468">
        <v>351985</v>
      </c>
      <c r="B1468">
        <v>1547266</v>
      </c>
      <c r="D1468">
        <v>0</v>
      </c>
      <c r="E1468" t="s">
        <v>9290</v>
      </c>
      <c r="F1468" t="s">
        <v>9291</v>
      </c>
      <c r="G1468" t="s">
        <v>9292</v>
      </c>
      <c r="H1468" t="s">
        <v>9293</v>
      </c>
      <c r="I1468" t="s">
        <v>9294</v>
      </c>
      <c r="J1468" t="s">
        <v>9289</v>
      </c>
      <c r="K1468" t="s">
        <v>9295</v>
      </c>
      <c r="L1468" t="s">
        <v>9289</v>
      </c>
    </row>
    <row r="1469" spans="1:12" x14ac:dyDescent="0.25">
      <c r="A1469">
        <v>351999</v>
      </c>
      <c r="B1469">
        <v>352008</v>
      </c>
      <c r="D1469">
        <v>0</v>
      </c>
      <c r="E1469" t="s">
        <v>9297</v>
      </c>
      <c r="F1469" t="s">
        <v>9298</v>
      </c>
      <c r="G1469" t="s">
        <v>9299</v>
      </c>
      <c r="H1469" t="e" vm="644">
        <f>_FV(0,"05952638136912584")</f>
        <v>#VALUE!</v>
      </c>
      <c r="I1469" t="s">
        <v>9300</v>
      </c>
      <c r="J1469" t="s">
        <v>9301</v>
      </c>
      <c r="K1469" t="s">
        <v>9302</v>
      </c>
      <c r="L1469" t="s">
        <v>9296</v>
      </c>
    </row>
    <row r="1470" spans="1:12" x14ac:dyDescent="0.25">
      <c r="A1470">
        <v>352008</v>
      </c>
      <c r="B1470">
        <v>352041</v>
      </c>
      <c r="D1470">
        <v>0</v>
      </c>
      <c r="F1470">
        <v>1748175</v>
      </c>
      <c r="G1470">
        <v>352041</v>
      </c>
      <c r="H1470" t="s">
        <v>6299</v>
      </c>
      <c r="I1470">
        <v>352008</v>
      </c>
      <c r="J1470" t="s">
        <v>6299</v>
      </c>
      <c r="K1470" t="s">
        <v>9303</v>
      </c>
      <c r="L1470" t="s">
        <v>6299</v>
      </c>
    </row>
    <row r="1471" spans="1:12" x14ac:dyDescent="0.25">
      <c r="A1471">
        <v>352008</v>
      </c>
      <c r="B1471">
        <v>1547272</v>
      </c>
      <c r="D1471">
        <v>0</v>
      </c>
      <c r="F1471">
        <v>1748167</v>
      </c>
      <c r="G1471">
        <v>352008</v>
      </c>
      <c r="H1471" t="s">
        <v>279</v>
      </c>
      <c r="I1471">
        <v>1547272</v>
      </c>
      <c r="J1471" t="s">
        <v>279</v>
      </c>
      <c r="K1471" t="s">
        <v>9304</v>
      </c>
      <c r="L1471" t="s">
        <v>279</v>
      </c>
    </row>
    <row r="1472" spans="1:12" x14ac:dyDescent="0.25">
      <c r="A1472">
        <v>352016</v>
      </c>
      <c r="B1472">
        <v>352017</v>
      </c>
      <c r="D1472">
        <v>0</v>
      </c>
      <c r="F1472">
        <v>363621</v>
      </c>
      <c r="G1472">
        <v>352017</v>
      </c>
      <c r="H1472" t="s">
        <v>5410</v>
      </c>
      <c r="I1472">
        <v>352016</v>
      </c>
      <c r="J1472" t="s">
        <v>5410</v>
      </c>
      <c r="K1472" t="s">
        <v>9305</v>
      </c>
      <c r="L1472" t="s">
        <v>5410</v>
      </c>
    </row>
    <row r="1473" spans="1:12" x14ac:dyDescent="0.25">
      <c r="A1473">
        <v>352016</v>
      </c>
      <c r="B1473">
        <v>1549335</v>
      </c>
      <c r="C1473" t="s">
        <v>9307</v>
      </c>
      <c r="D1473">
        <v>0</v>
      </c>
      <c r="E1473" t="s">
        <v>9308</v>
      </c>
      <c r="F1473" t="s">
        <v>9309</v>
      </c>
      <c r="G1473" t="s">
        <v>9310</v>
      </c>
      <c r="H1473" t="s">
        <v>9311</v>
      </c>
      <c r="I1473" t="s">
        <v>9312</v>
      </c>
      <c r="J1473" t="s">
        <v>9313</v>
      </c>
      <c r="K1473" t="s">
        <v>9314</v>
      </c>
      <c r="L1473" t="s">
        <v>9306</v>
      </c>
    </row>
    <row r="1474" spans="1:12" x14ac:dyDescent="0.25">
      <c r="A1474">
        <v>352032</v>
      </c>
      <c r="B1474">
        <v>352041</v>
      </c>
      <c r="D1474">
        <v>0</v>
      </c>
      <c r="E1474" t="s">
        <v>9316</v>
      </c>
      <c r="F1474" t="s">
        <v>9317</v>
      </c>
      <c r="G1474" t="s">
        <v>9318</v>
      </c>
      <c r="H1474" t="s">
        <v>9319</v>
      </c>
      <c r="I1474" t="s">
        <v>9320</v>
      </c>
      <c r="J1474" t="s">
        <v>9315</v>
      </c>
      <c r="K1474" t="s">
        <v>9321</v>
      </c>
      <c r="L1474" t="s">
        <v>9315</v>
      </c>
    </row>
    <row r="1475" spans="1:12" x14ac:dyDescent="0.25">
      <c r="A1475">
        <v>352041</v>
      </c>
      <c r="B1475">
        <v>600471</v>
      </c>
      <c r="D1475">
        <v>0</v>
      </c>
      <c r="E1475" t="s">
        <v>9323</v>
      </c>
      <c r="F1475" t="s">
        <v>9324</v>
      </c>
      <c r="G1475" t="s">
        <v>9325</v>
      </c>
      <c r="H1475" t="s">
        <v>9326</v>
      </c>
      <c r="I1475" t="s">
        <v>9327</v>
      </c>
      <c r="J1475" t="s">
        <v>9328</v>
      </c>
      <c r="K1475" t="s">
        <v>9329</v>
      </c>
      <c r="L1475" t="s">
        <v>9322</v>
      </c>
    </row>
    <row r="1476" spans="1:12" x14ac:dyDescent="0.25">
      <c r="A1476">
        <v>352182</v>
      </c>
      <c r="B1476">
        <v>352237</v>
      </c>
      <c r="D1476" t="s">
        <v>9331</v>
      </c>
      <c r="E1476" t="s">
        <v>9332</v>
      </c>
      <c r="F1476" t="s">
        <v>9333</v>
      </c>
      <c r="G1476" t="s">
        <v>9334</v>
      </c>
      <c r="H1476" t="e" vm="645">
        <f>_FV(0,"00850324839020403")</f>
        <v>#VALUE!</v>
      </c>
      <c r="I1476" t="s">
        <v>9335</v>
      </c>
      <c r="J1476" t="s">
        <v>9336</v>
      </c>
      <c r="K1476" t="s">
        <v>9337</v>
      </c>
      <c r="L1476" t="s">
        <v>9330</v>
      </c>
    </row>
    <row r="1477" spans="1:12" x14ac:dyDescent="0.25">
      <c r="A1477">
        <v>352182</v>
      </c>
      <c r="B1477">
        <v>352382</v>
      </c>
      <c r="D1477" t="s">
        <v>204</v>
      </c>
      <c r="E1477" t="s">
        <v>9339</v>
      </c>
      <c r="F1477" t="s">
        <v>9340</v>
      </c>
      <c r="G1477" t="s">
        <v>9341</v>
      </c>
      <c r="H1477" t="s">
        <v>9342</v>
      </c>
      <c r="I1477" t="s">
        <v>9343</v>
      </c>
      <c r="J1477" t="s">
        <v>9344</v>
      </c>
      <c r="K1477" t="s">
        <v>9345</v>
      </c>
      <c r="L1477" t="s">
        <v>9338</v>
      </c>
    </row>
    <row r="1478" spans="1:12" x14ac:dyDescent="0.25">
      <c r="A1478">
        <v>352182</v>
      </c>
      <c r="B1478">
        <v>355738</v>
      </c>
      <c r="D1478">
        <v>0</v>
      </c>
      <c r="E1478" t="s">
        <v>9347</v>
      </c>
      <c r="F1478" t="s">
        <v>9348</v>
      </c>
      <c r="G1478" t="s">
        <v>9349</v>
      </c>
      <c r="H1478" t="e" vm="646">
        <f>_FV(0,"016846990767554283")</f>
        <v>#VALUE!</v>
      </c>
      <c r="I1478" t="s">
        <v>9350</v>
      </c>
      <c r="J1478" t="s">
        <v>9351</v>
      </c>
      <c r="K1478" t="s">
        <v>9352</v>
      </c>
      <c r="L1478" t="s">
        <v>9346</v>
      </c>
    </row>
    <row r="1479" spans="1:12" x14ac:dyDescent="0.25">
      <c r="A1479">
        <v>352237</v>
      </c>
      <c r="B1479">
        <v>352293</v>
      </c>
      <c r="D1479">
        <v>0</v>
      </c>
      <c r="E1479" t="s">
        <v>9354</v>
      </c>
      <c r="F1479" t="s">
        <v>9355</v>
      </c>
      <c r="G1479" t="s">
        <v>9356</v>
      </c>
      <c r="H1479" t="s">
        <v>9357</v>
      </c>
      <c r="I1479" t="s">
        <v>9358</v>
      </c>
      <c r="J1479" t="s">
        <v>9359</v>
      </c>
      <c r="K1479" t="s">
        <v>9360</v>
      </c>
      <c r="L1479" t="s">
        <v>9353</v>
      </c>
    </row>
    <row r="1480" spans="1:12" x14ac:dyDescent="0.25">
      <c r="A1480">
        <v>352237</v>
      </c>
      <c r="B1480">
        <v>352446</v>
      </c>
      <c r="D1480">
        <v>0</v>
      </c>
      <c r="E1480" t="s">
        <v>9362</v>
      </c>
      <c r="F1480" t="s">
        <v>9363</v>
      </c>
      <c r="G1480" t="s">
        <v>9364</v>
      </c>
      <c r="H1480" t="s">
        <v>9365</v>
      </c>
      <c r="I1480" t="s">
        <v>9366</v>
      </c>
      <c r="J1480" t="s">
        <v>9361</v>
      </c>
      <c r="K1480" t="s">
        <v>9367</v>
      </c>
      <c r="L1480" t="s">
        <v>9361</v>
      </c>
    </row>
    <row r="1481" spans="1:12" x14ac:dyDescent="0.25">
      <c r="A1481">
        <v>352369</v>
      </c>
      <c r="B1481">
        <v>352382</v>
      </c>
      <c r="D1481">
        <v>0</v>
      </c>
      <c r="E1481" t="s">
        <v>9369</v>
      </c>
      <c r="F1481" t="s">
        <v>9370</v>
      </c>
      <c r="G1481" t="s">
        <v>9371</v>
      </c>
      <c r="H1481" t="e" vm="647">
        <f>_FV(0,"08979962768875338")</f>
        <v>#VALUE!</v>
      </c>
      <c r="I1481" t="s">
        <v>9372</v>
      </c>
      <c r="J1481" t="s">
        <v>9373</v>
      </c>
      <c r="K1481" t="s">
        <v>9374</v>
      </c>
      <c r="L1481" t="s">
        <v>9368</v>
      </c>
    </row>
    <row r="1482" spans="1:12" x14ac:dyDescent="0.25">
      <c r="A1482">
        <v>352382</v>
      </c>
      <c r="B1482">
        <v>352446</v>
      </c>
      <c r="D1482">
        <v>0</v>
      </c>
      <c r="F1482">
        <v>367128</v>
      </c>
      <c r="G1482">
        <v>352446</v>
      </c>
      <c r="H1482" t="s">
        <v>2871</v>
      </c>
      <c r="I1482">
        <v>352382</v>
      </c>
      <c r="J1482" t="s">
        <v>2871</v>
      </c>
      <c r="K1482" t="s">
        <v>9375</v>
      </c>
      <c r="L1482" t="s">
        <v>2871</v>
      </c>
    </row>
    <row r="1483" spans="1:12" x14ac:dyDescent="0.25">
      <c r="A1483">
        <v>352446</v>
      </c>
      <c r="B1483">
        <v>352453</v>
      </c>
      <c r="D1483">
        <v>0</v>
      </c>
      <c r="E1483" t="s">
        <v>9377</v>
      </c>
      <c r="F1483" t="s">
        <v>9378</v>
      </c>
      <c r="G1483" t="s">
        <v>9379</v>
      </c>
      <c r="H1483" t="s">
        <v>9380</v>
      </c>
      <c r="I1483" t="s">
        <v>9381</v>
      </c>
      <c r="J1483" t="s">
        <v>9376</v>
      </c>
      <c r="K1483" t="s">
        <v>9382</v>
      </c>
      <c r="L1483" t="s">
        <v>9376</v>
      </c>
    </row>
    <row r="1484" spans="1:12" x14ac:dyDescent="0.25">
      <c r="A1484">
        <v>352453</v>
      </c>
      <c r="B1484">
        <v>352477</v>
      </c>
      <c r="D1484">
        <v>0</v>
      </c>
      <c r="E1484" t="s">
        <v>9384</v>
      </c>
      <c r="F1484" t="s">
        <v>9385</v>
      </c>
      <c r="G1484" t="s">
        <v>9386</v>
      </c>
      <c r="H1484" t="s">
        <v>9387</v>
      </c>
      <c r="I1484" t="s">
        <v>9388</v>
      </c>
      <c r="J1484" t="s">
        <v>9389</v>
      </c>
      <c r="K1484" t="s">
        <v>9390</v>
      </c>
      <c r="L1484" t="s">
        <v>9383</v>
      </c>
    </row>
    <row r="1485" spans="1:12" x14ac:dyDescent="0.25">
      <c r="A1485">
        <v>352453</v>
      </c>
      <c r="B1485">
        <v>783308</v>
      </c>
      <c r="D1485">
        <v>0</v>
      </c>
      <c r="E1485" t="s">
        <v>9392</v>
      </c>
      <c r="F1485" t="s">
        <v>9393</v>
      </c>
      <c r="G1485" t="s">
        <v>9394</v>
      </c>
      <c r="H1485" t="e" vm="648">
        <f>_FV(0,"0021150833312160804")</f>
        <v>#VALUE!</v>
      </c>
      <c r="I1485" t="s">
        <v>9395</v>
      </c>
      <c r="J1485" t="s">
        <v>9396</v>
      </c>
      <c r="K1485" t="s">
        <v>9397</v>
      </c>
      <c r="L1485" t="s">
        <v>9391</v>
      </c>
    </row>
    <row r="1486" spans="1:12" x14ac:dyDescent="0.25">
      <c r="A1486">
        <v>352537</v>
      </c>
      <c r="B1486">
        <v>352562</v>
      </c>
      <c r="D1486">
        <v>0</v>
      </c>
      <c r="E1486" t="s">
        <v>9399</v>
      </c>
      <c r="F1486" t="s">
        <v>9400</v>
      </c>
      <c r="G1486" t="s">
        <v>9401</v>
      </c>
      <c r="H1486" t="e" vm="649">
        <f>_FV(0,"01618056681594174")</f>
        <v>#VALUE!</v>
      </c>
      <c r="I1486" t="s">
        <v>9402</v>
      </c>
      <c r="J1486" t="s">
        <v>9403</v>
      </c>
      <c r="K1486" t="s">
        <v>9404</v>
      </c>
      <c r="L1486" t="s">
        <v>9398</v>
      </c>
    </row>
    <row r="1487" spans="1:12" x14ac:dyDescent="0.25">
      <c r="A1487">
        <v>352537</v>
      </c>
      <c r="B1487">
        <v>352644</v>
      </c>
      <c r="D1487">
        <v>0</v>
      </c>
      <c r="E1487" t="s">
        <v>9406</v>
      </c>
      <c r="F1487" t="s">
        <v>9407</v>
      </c>
      <c r="G1487" t="s">
        <v>9408</v>
      </c>
      <c r="H1487" t="e" vm="650">
        <f>_FV(0,"034427829452646684")</f>
        <v>#VALUE!</v>
      </c>
      <c r="I1487" t="s">
        <v>9409</v>
      </c>
      <c r="J1487" t="s">
        <v>9410</v>
      </c>
      <c r="K1487" t="s">
        <v>9411</v>
      </c>
      <c r="L1487" t="s">
        <v>9405</v>
      </c>
    </row>
    <row r="1488" spans="1:12" x14ac:dyDescent="0.25">
      <c r="A1488">
        <v>352537</v>
      </c>
      <c r="B1488">
        <v>783522</v>
      </c>
      <c r="D1488">
        <v>0</v>
      </c>
      <c r="E1488" t="s">
        <v>9413</v>
      </c>
      <c r="F1488" t="s">
        <v>9414</v>
      </c>
      <c r="G1488" t="s">
        <v>9415</v>
      </c>
      <c r="H1488" t="s">
        <v>9416</v>
      </c>
      <c r="I1488" t="s">
        <v>9417</v>
      </c>
      <c r="J1488" t="s">
        <v>9418</v>
      </c>
      <c r="K1488" t="s">
        <v>9419</v>
      </c>
      <c r="L1488" t="s">
        <v>9412</v>
      </c>
    </row>
    <row r="1489" spans="1:12" x14ac:dyDescent="0.25">
      <c r="A1489">
        <v>352562</v>
      </c>
      <c r="B1489">
        <v>352576</v>
      </c>
      <c r="D1489">
        <v>0</v>
      </c>
      <c r="E1489" t="s">
        <v>9421</v>
      </c>
      <c r="F1489" t="s">
        <v>9422</v>
      </c>
      <c r="G1489" t="s">
        <v>9423</v>
      </c>
      <c r="H1489" t="s">
        <v>9424</v>
      </c>
      <c r="I1489" t="s">
        <v>9425</v>
      </c>
      <c r="J1489" t="s">
        <v>9420</v>
      </c>
      <c r="K1489" t="s">
        <v>9426</v>
      </c>
      <c r="L1489" t="s">
        <v>9420</v>
      </c>
    </row>
    <row r="1490" spans="1:12" x14ac:dyDescent="0.25">
      <c r="A1490">
        <v>352562</v>
      </c>
      <c r="B1490">
        <v>352671</v>
      </c>
      <c r="D1490">
        <v>0</v>
      </c>
      <c r="E1490" t="s">
        <v>9428</v>
      </c>
      <c r="F1490" t="s">
        <v>9429</v>
      </c>
      <c r="G1490" t="s">
        <v>9430</v>
      </c>
      <c r="H1490" t="s">
        <v>9431</v>
      </c>
      <c r="I1490" t="s">
        <v>9432</v>
      </c>
      <c r="J1490" t="s">
        <v>9427</v>
      </c>
      <c r="K1490" t="s">
        <v>9433</v>
      </c>
      <c r="L1490" t="s">
        <v>9427</v>
      </c>
    </row>
    <row r="1491" spans="1:12" x14ac:dyDescent="0.25">
      <c r="A1491">
        <v>352622</v>
      </c>
      <c r="B1491">
        <v>352644</v>
      </c>
      <c r="D1491">
        <v>0</v>
      </c>
      <c r="E1491" t="s">
        <v>9435</v>
      </c>
      <c r="F1491" t="s">
        <v>9436</v>
      </c>
      <c r="G1491" t="s">
        <v>9437</v>
      </c>
      <c r="H1491" t="e" vm="651">
        <f>_FV(0,"03863096584829205")</f>
        <v>#VALUE!</v>
      </c>
      <c r="I1491" t="s">
        <v>9438</v>
      </c>
      <c r="J1491" t="s">
        <v>9439</v>
      </c>
      <c r="K1491" t="s">
        <v>9440</v>
      </c>
      <c r="L1491" t="s">
        <v>9434</v>
      </c>
    </row>
    <row r="1492" spans="1:12" x14ac:dyDescent="0.25">
      <c r="A1492">
        <v>352622</v>
      </c>
      <c r="B1492">
        <v>352755</v>
      </c>
      <c r="D1492">
        <v>0</v>
      </c>
      <c r="E1492" t="s">
        <v>9441</v>
      </c>
      <c r="F1492" t="s">
        <v>9442</v>
      </c>
      <c r="G1492" t="s">
        <v>9443</v>
      </c>
      <c r="H1492" t="s">
        <v>5410</v>
      </c>
      <c r="I1492" t="s">
        <v>9444</v>
      </c>
      <c r="J1492" t="s">
        <v>5410</v>
      </c>
      <c r="K1492" t="s">
        <v>9445</v>
      </c>
      <c r="L1492" t="s">
        <v>5410</v>
      </c>
    </row>
    <row r="1493" spans="1:12" x14ac:dyDescent="0.25">
      <c r="A1493">
        <v>352622</v>
      </c>
      <c r="B1493">
        <v>352734</v>
      </c>
      <c r="D1493">
        <v>0</v>
      </c>
      <c r="E1493" t="s">
        <v>9447</v>
      </c>
      <c r="F1493" t="s">
        <v>9448</v>
      </c>
      <c r="G1493" t="s">
        <v>9449</v>
      </c>
      <c r="H1493" t="e" vm="652">
        <f>_FV(0,"008342761167318812")</f>
        <v>#VALUE!</v>
      </c>
      <c r="I1493" t="s">
        <v>9450</v>
      </c>
      <c r="J1493" t="s">
        <v>9451</v>
      </c>
      <c r="K1493" t="s">
        <v>9452</v>
      </c>
      <c r="L1493" t="s">
        <v>9446</v>
      </c>
    </row>
    <row r="1494" spans="1:12" x14ac:dyDescent="0.25">
      <c r="A1494">
        <v>352644</v>
      </c>
      <c r="B1494">
        <v>352671</v>
      </c>
      <c r="D1494">
        <v>0</v>
      </c>
      <c r="F1494">
        <v>367336</v>
      </c>
      <c r="G1494">
        <v>352671</v>
      </c>
      <c r="H1494" t="s">
        <v>1939</v>
      </c>
      <c r="I1494">
        <v>352644</v>
      </c>
      <c r="J1494" t="s">
        <v>1939</v>
      </c>
      <c r="K1494" t="s">
        <v>9453</v>
      </c>
      <c r="L1494" t="s">
        <v>1939</v>
      </c>
    </row>
    <row r="1495" spans="1:12" x14ac:dyDescent="0.25">
      <c r="A1495">
        <v>352671</v>
      </c>
      <c r="B1495">
        <v>352734</v>
      </c>
      <c r="D1495">
        <v>0</v>
      </c>
      <c r="F1495">
        <v>367344</v>
      </c>
      <c r="G1495">
        <v>352734</v>
      </c>
      <c r="H1495" t="s">
        <v>3940</v>
      </c>
      <c r="I1495">
        <v>352671</v>
      </c>
      <c r="J1495" t="s">
        <v>3940</v>
      </c>
      <c r="K1495" t="s">
        <v>9454</v>
      </c>
      <c r="L1495" t="s">
        <v>3940</v>
      </c>
    </row>
    <row r="1496" spans="1:12" x14ac:dyDescent="0.25">
      <c r="A1496">
        <v>352734</v>
      </c>
      <c r="B1496">
        <v>356058</v>
      </c>
      <c r="D1496">
        <v>0</v>
      </c>
      <c r="E1496" t="s">
        <v>9456</v>
      </c>
      <c r="F1496" t="s">
        <v>9457</v>
      </c>
      <c r="G1496" t="s">
        <v>9458</v>
      </c>
      <c r="H1496" t="e" vm="653">
        <f>_FV(0,"0009959095860947833")</f>
        <v>#VALUE!</v>
      </c>
      <c r="I1496" t="s">
        <v>9459</v>
      </c>
      <c r="J1496" t="s">
        <v>9460</v>
      </c>
      <c r="K1496" t="s">
        <v>9461</v>
      </c>
      <c r="L1496" t="s">
        <v>9455</v>
      </c>
    </row>
    <row r="1497" spans="1:12" x14ac:dyDescent="0.25">
      <c r="A1497">
        <v>352755</v>
      </c>
      <c r="B1497">
        <v>354422</v>
      </c>
      <c r="D1497">
        <v>0</v>
      </c>
      <c r="E1497" t="s">
        <v>9463</v>
      </c>
      <c r="F1497" t="s">
        <v>9464</v>
      </c>
      <c r="G1497" t="s">
        <v>9465</v>
      </c>
      <c r="H1497" t="s">
        <v>9466</v>
      </c>
      <c r="I1497" t="s">
        <v>9467</v>
      </c>
      <c r="J1497" t="s">
        <v>9462</v>
      </c>
      <c r="K1497" t="s">
        <v>9468</v>
      </c>
      <c r="L1497" t="s">
        <v>9462</v>
      </c>
    </row>
    <row r="1498" spans="1:12" x14ac:dyDescent="0.25">
      <c r="A1498">
        <v>352755</v>
      </c>
      <c r="B1498">
        <v>354437</v>
      </c>
      <c r="D1498">
        <v>0</v>
      </c>
      <c r="E1498" t="s">
        <v>9470</v>
      </c>
      <c r="F1498" t="s">
        <v>9471</v>
      </c>
      <c r="G1498" t="s">
        <v>9472</v>
      </c>
      <c r="H1498" t="s">
        <v>9473</v>
      </c>
      <c r="I1498" t="s">
        <v>9474</v>
      </c>
      <c r="J1498" t="s">
        <v>9469</v>
      </c>
      <c r="K1498" t="s">
        <v>9475</v>
      </c>
      <c r="L1498" t="s">
        <v>9469</v>
      </c>
    </row>
    <row r="1499" spans="1:12" x14ac:dyDescent="0.25">
      <c r="A1499">
        <v>352795</v>
      </c>
      <c r="B1499">
        <v>352828</v>
      </c>
      <c r="D1499">
        <v>0</v>
      </c>
      <c r="E1499" t="s">
        <v>9477</v>
      </c>
      <c r="F1499" t="s">
        <v>9478</v>
      </c>
      <c r="G1499" t="s">
        <v>9479</v>
      </c>
      <c r="H1499" t="s">
        <v>9480</v>
      </c>
      <c r="I1499" t="s">
        <v>9481</v>
      </c>
      <c r="J1499" t="s">
        <v>9476</v>
      </c>
      <c r="K1499" t="s">
        <v>9482</v>
      </c>
      <c r="L1499" t="s">
        <v>9476</v>
      </c>
    </row>
    <row r="1500" spans="1:12" x14ac:dyDescent="0.25">
      <c r="A1500">
        <v>352795</v>
      </c>
      <c r="B1500">
        <v>352828</v>
      </c>
      <c r="D1500">
        <v>0</v>
      </c>
      <c r="E1500" t="s">
        <v>9484</v>
      </c>
      <c r="F1500" t="s">
        <v>9485</v>
      </c>
      <c r="G1500" t="s">
        <v>9486</v>
      </c>
      <c r="H1500" t="s">
        <v>9487</v>
      </c>
      <c r="I1500" t="s">
        <v>9488</v>
      </c>
      <c r="J1500" t="s">
        <v>9483</v>
      </c>
      <c r="K1500" t="s">
        <v>9489</v>
      </c>
      <c r="L1500" t="s">
        <v>9483</v>
      </c>
    </row>
    <row r="1501" spans="1:12" x14ac:dyDescent="0.25">
      <c r="A1501">
        <v>352795</v>
      </c>
      <c r="B1501">
        <v>353465</v>
      </c>
      <c r="D1501">
        <v>0</v>
      </c>
      <c r="F1501">
        <v>2088551</v>
      </c>
      <c r="G1501">
        <v>352795</v>
      </c>
      <c r="H1501" t="s">
        <v>239</v>
      </c>
      <c r="I1501">
        <v>353465</v>
      </c>
      <c r="J1501" t="s">
        <v>239</v>
      </c>
      <c r="K1501" t="s">
        <v>9490</v>
      </c>
      <c r="L1501" t="s">
        <v>239</v>
      </c>
    </row>
    <row r="1502" spans="1:12" x14ac:dyDescent="0.25">
      <c r="A1502">
        <v>352828</v>
      </c>
      <c r="B1502">
        <v>1571835</v>
      </c>
      <c r="D1502" t="s">
        <v>9492</v>
      </c>
      <c r="E1502" t="s">
        <v>9493</v>
      </c>
      <c r="F1502" t="s">
        <v>9494</v>
      </c>
      <c r="G1502" t="s">
        <v>9495</v>
      </c>
      <c r="H1502" t="e" vm="654">
        <f>_FV(0,"008295886784129215")</f>
        <v>#VALUE!</v>
      </c>
      <c r="I1502" t="s">
        <v>9496</v>
      </c>
      <c r="J1502" t="s">
        <v>9497</v>
      </c>
      <c r="K1502" t="s">
        <v>9498</v>
      </c>
      <c r="L1502" t="s">
        <v>9491</v>
      </c>
    </row>
    <row r="1503" spans="1:12" x14ac:dyDescent="0.25">
      <c r="A1503">
        <v>352859</v>
      </c>
      <c r="B1503">
        <v>356326</v>
      </c>
      <c r="D1503">
        <v>0</v>
      </c>
      <c r="F1503">
        <v>367616</v>
      </c>
      <c r="G1503">
        <v>356326</v>
      </c>
      <c r="H1503" t="e" vm="655">
        <f>_FV(0,"1")</f>
        <v>#VALUE!</v>
      </c>
      <c r="I1503">
        <v>352859</v>
      </c>
      <c r="J1503" t="s">
        <v>9499</v>
      </c>
      <c r="K1503" t="s">
        <v>9500</v>
      </c>
      <c r="L1503" t="e" vm="655">
        <f>_FV(0,"1")</f>
        <v>#VALUE!</v>
      </c>
    </row>
    <row r="1504" spans="1:12" x14ac:dyDescent="0.25">
      <c r="A1504">
        <v>352859</v>
      </c>
      <c r="B1504">
        <v>352867</v>
      </c>
      <c r="D1504">
        <v>0</v>
      </c>
      <c r="E1504" t="s">
        <v>9502</v>
      </c>
      <c r="F1504" t="s">
        <v>9503</v>
      </c>
      <c r="G1504" t="s">
        <v>9504</v>
      </c>
      <c r="H1504" t="s">
        <v>9505</v>
      </c>
      <c r="I1504" t="s">
        <v>9506</v>
      </c>
      <c r="J1504" t="s">
        <v>9501</v>
      </c>
      <c r="K1504" t="s">
        <v>9507</v>
      </c>
      <c r="L1504" t="s">
        <v>9501</v>
      </c>
    </row>
    <row r="1505" spans="1:12" x14ac:dyDescent="0.25">
      <c r="A1505">
        <v>352859</v>
      </c>
      <c r="B1505">
        <v>356058</v>
      </c>
      <c r="C1505" t="s">
        <v>9509</v>
      </c>
      <c r="D1505" t="s">
        <v>9510</v>
      </c>
      <c r="E1505" t="s">
        <v>9511</v>
      </c>
      <c r="F1505" t="s">
        <v>9512</v>
      </c>
      <c r="G1505" t="s">
        <v>9513</v>
      </c>
      <c r="H1505" t="s">
        <v>9514</v>
      </c>
      <c r="I1505" t="s">
        <v>9515</v>
      </c>
      <c r="J1505" t="s">
        <v>9516</v>
      </c>
      <c r="K1505" t="s">
        <v>9517</v>
      </c>
      <c r="L1505" t="s">
        <v>9508</v>
      </c>
    </row>
    <row r="1506" spans="1:12" x14ac:dyDescent="0.25">
      <c r="A1506">
        <v>352859</v>
      </c>
      <c r="B1506">
        <v>353925</v>
      </c>
      <c r="D1506">
        <v>0</v>
      </c>
      <c r="E1506" t="s">
        <v>9519</v>
      </c>
      <c r="F1506" t="s">
        <v>9520</v>
      </c>
      <c r="G1506" t="s">
        <v>9521</v>
      </c>
      <c r="H1506" t="s">
        <v>9522</v>
      </c>
      <c r="I1506" t="s">
        <v>9523</v>
      </c>
      <c r="J1506" t="s">
        <v>9524</v>
      </c>
      <c r="K1506" t="s">
        <v>9525</v>
      </c>
      <c r="L1506" t="s">
        <v>9518</v>
      </c>
    </row>
    <row r="1507" spans="1:12" x14ac:dyDescent="0.25">
      <c r="A1507">
        <v>352867</v>
      </c>
      <c r="B1507">
        <v>352880</v>
      </c>
      <c r="D1507">
        <v>0</v>
      </c>
      <c r="E1507" t="s">
        <v>9527</v>
      </c>
      <c r="F1507" t="s">
        <v>9528</v>
      </c>
      <c r="G1507" t="s">
        <v>9529</v>
      </c>
      <c r="H1507" t="s">
        <v>9530</v>
      </c>
      <c r="I1507" t="s">
        <v>9531</v>
      </c>
      <c r="J1507" t="s">
        <v>9526</v>
      </c>
      <c r="K1507" t="s">
        <v>9532</v>
      </c>
      <c r="L1507" t="s">
        <v>9526</v>
      </c>
    </row>
    <row r="1508" spans="1:12" x14ac:dyDescent="0.25">
      <c r="A1508">
        <v>352867</v>
      </c>
      <c r="B1508">
        <v>356326</v>
      </c>
      <c r="D1508">
        <v>0</v>
      </c>
      <c r="E1508" t="s">
        <v>9534</v>
      </c>
      <c r="F1508" t="s">
        <v>9535</v>
      </c>
      <c r="G1508" t="s">
        <v>9536</v>
      </c>
      <c r="H1508" t="s">
        <v>9537</v>
      </c>
      <c r="I1508" t="s">
        <v>9538</v>
      </c>
      <c r="J1508" t="s">
        <v>9533</v>
      </c>
      <c r="K1508" t="s">
        <v>9539</v>
      </c>
      <c r="L1508" t="s">
        <v>9533</v>
      </c>
    </row>
    <row r="1509" spans="1:12" x14ac:dyDescent="0.25">
      <c r="A1509">
        <v>352885</v>
      </c>
      <c r="B1509">
        <v>352886</v>
      </c>
      <c r="D1509">
        <v>0</v>
      </c>
      <c r="F1509">
        <v>364506</v>
      </c>
      <c r="G1509">
        <v>352886</v>
      </c>
      <c r="H1509" t="s">
        <v>241</v>
      </c>
      <c r="I1509">
        <v>352885</v>
      </c>
      <c r="J1509" t="s">
        <v>241</v>
      </c>
      <c r="K1509" t="s">
        <v>9540</v>
      </c>
      <c r="L1509" t="s">
        <v>241</v>
      </c>
    </row>
    <row r="1510" spans="1:12" x14ac:dyDescent="0.25">
      <c r="A1510">
        <v>352885</v>
      </c>
      <c r="B1510">
        <v>352940</v>
      </c>
      <c r="D1510">
        <v>0</v>
      </c>
      <c r="F1510">
        <v>364570</v>
      </c>
      <c r="G1510">
        <v>352885</v>
      </c>
      <c r="H1510" t="s">
        <v>922</v>
      </c>
      <c r="I1510">
        <v>352940</v>
      </c>
      <c r="J1510" t="s">
        <v>922</v>
      </c>
      <c r="K1510" t="s">
        <v>9541</v>
      </c>
      <c r="L1510" t="s">
        <v>922</v>
      </c>
    </row>
    <row r="1511" spans="1:12" x14ac:dyDescent="0.25">
      <c r="A1511">
        <v>352885</v>
      </c>
      <c r="B1511">
        <v>367537</v>
      </c>
      <c r="D1511">
        <v>0</v>
      </c>
      <c r="E1511" t="s">
        <v>9543</v>
      </c>
      <c r="F1511" t="s">
        <v>9544</v>
      </c>
      <c r="G1511" t="s">
        <v>9545</v>
      </c>
      <c r="H1511" t="e" vm="656">
        <f>_FV(0,"0018757746688095292")</f>
        <v>#VALUE!</v>
      </c>
      <c r="I1511" t="s">
        <v>9546</v>
      </c>
      <c r="J1511" t="s">
        <v>9547</v>
      </c>
      <c r="K1511" t="s">
        <v>9548</v>
      </c>
      <c r="L1511" t="s">
        <v>9542</v>
      </c>
    </row>
    <row r="1512" spans="1:12" x14ac:dyDescent="0.25">
      <c r="A1512">
        <v>352886</v>
      </c>
      <c r="B1512">
        <v>352906</v>
      </c>
      <c r="D1512">
        <v>0</v>
      </c>
      <c r="E1512" t="s">
        <v>9550</v>
      </c>
      <c r="F1512" t="s">
        <v>9551</v>
      </c>
      <c r="G1512" t="s">
        <v>9552</v>
      </c>
      <c r="H1512" t="e" vm="657">
        <f>_FV(0,"008288417900827185")</f>
        <v>#VALUE!</v>
      </c>
      <c r="I1512" t="s">
        <v>9553</v>
      </c>
      <c r="J1512" t="s">
        <v>9554</v>
      </c>
      <c r="K1512" t="s">
        <v>9555</v>
      </c>
      <c r="L1512" t="s">
        <v>9549</v>
      </c>
    </row>
    <row r="1513" spans="1:12" x14ac:dyDescent="0.25">
      <c r="A1513">
        <v>352886</v>
      </c>
      <c r="B1513">
        <v>367682</v>
      </c>
      <c r="D1513">
        <v>0</v>
      </c>
      <c r="E1513" t="s">
        <v>9557</v>
      </c>
      <c r="F1513" t="s">
        <v>9558</v>
      </c>
      <c r="G1513" t="s">
        <v>9559</v>
      </c>
      <c r="H1513" t="s">
        <v>9560</v>
      </c>
      <c r="I1513" t="s">
        <v>9561</v>
      </c>
      <c r="J1513" t="s">
        <v>9556</v>
      </c>
      <c r="K1513" t="s">
        <v>9562</v>
      </c>
      <c r="L1513" t="s">
        <v>9556</v>
      </c>
    </row>
    <row r="1514" spans="1:12" x14ac:dyDescent="0.25">
      <c r="A1514">
        <v>352906</v>
      </c>
      <c r="B1514">
        <v>352913</v>
      </c>
      <c r="D1514">
        <v>0</v>
      </c>
      <c r="F1514">
        <v>364538</v>
      </c>
      <c r="G1514">
        <v>352913</v>
      </c>
      <c r="H1514" t="e" vm="122">
        <f>_FV(0,"017")</f>
        <v>#VALUE!</v>
      </c>
      <c r="I1514">
        <v>352906</v>
      </c>
      <c r="J1514" t="s">
        <v>1814</v>
      </c>
      <c r="K1514" t="s">
        <v>9563</v>
      </c>
      <c r="L1514" t="e" vm="122">
        <f>_FV(0,"017")</f>
        <v>#VALUE!</v>
      </c>
    </row>
    <row r="1515" spans="1:12" x14ac:dyDescent="0.25">
      <c r="A1515">
        <v>352906</v>
      </c>
      <c r="B1515">
        <v>367682</v>
      </c>
      <c r="D1515">
        <v>0</v>
      </c>
      <c r="E1515" t="s">
        <v>9565</v>
      </c>
      <c r="F1515" t="s">
        <v>9566</v>
      </c>
      <c r="G1515" t="s">
        <v>9567</v>
      </c>
      <c r="H1515" t="s">
        <v>9568</v>
      </c>
      <c r="I1515" t="s">
        <v>9569</v>
      </c>
      <c r="J1515" t="s">
        <v>9570</v>
      </c>
      <c r="K1515" t="s">
        <v>9571</v>
      </c>
      <c r="L1515" t="s">
        <v>9564</v>
      </c>
    </row>
    <row r="1516" spans="1:12" x14ac:dyDescent="0.25">
      <c r="A1516">
        <v>352913</v>
      </c>
      <c r="B1516">
        <v>352940</v>
      </c>
      <c r="D1516">
        <v>0</v>
      </c>
      <c r="E1516" t="s">
        <v>9573</v>
      </c>
      <c r="F1516" t="s">
        <v>9574</v>
      </c>
      <c r="G1516" t="s">
        <v>9575</v>
      </c>
      <c r="H1516" t="s">
        <v>9576</v>
      </c>
      <c r="I1516" t="s">
        <v>9577</v>
      </c>
      <c r="J1516" t="s">
        <v>9572</v>
      </c>
      <c r="K1516" t="s">
        <v>9578</v>
      </c>
      <c r="L1516" t="s">
        <v>9572</v>
      </c>
    </row>
    <row r="1517" spans="1:12" x14ac:dyDescent="0.25">
      <c r="A1517">
        <v>352913</v>
      </c>
      <c r="B1517">
        <v>796518</v>
      </c>
      <c r="D1517">
        <v>0</v>
      </c>
      <c r="E1517" t="s">
        <v>9580</v>
      </c>
      <c r="F1517" t="s">
        <v>9581</v>
      </c>
      <c r="G1517" t="s">
        <v>9582</v>
      </c>
      <c r="H1517" t="s">
        <v>9583</v>
      </c>
      <c r="I1517" t="s">
        <v>9584</v>
      </c>
      <c r="J1517" t="s">
        <v>9585</v>
      </c>
      <c r="K1517" t="s">
        <v>9586</v>
      </c>
      <c r="L1517" t="s">
        <v>9579</v>
      </c>
    </row>
    <row r="1518" spans="1:12" x14ac:dyDescent="0.25">
      <c r="A1518">
        <v>352940</v>
      </c>
      <c r="B1518">
        <v>365513</v>
      </c>
      <c r="D1518">
        <v>0</v>
      </c>
      <c r="E1518" t="s">
        <v>9588</v>
      </c>
      <c r="F1518" t="s">
        <v>9589</v>
      </c>
      <c r="G1518" t="s">
        <v>9590</v>
      </c>
      <c r="H1518" t="s">
        <v>9591</v>
      </c>
      <c r="I1518" t="s">
        <v>9592</v>
      </c>
      <c r="J1518" t="s">
        <v>9587</v>
      </c>
      <c r="K1518" t="s">
        <v>9593</v>
      </c>
      <c r="L1518" t="s">
        <v>9587</v>
      </c>
    </row>
    <row r="1519" spans="1:12" x14ac:dyDescent="0.25">
      <c r="A1519">
        <v>353427</v>
      </c>
      <c r="B1519">
        <v>353465</v>
      </c>
      <c r="D1519">
        <v>0</v>
      </c>
      <c r="E1519" t="s">
        <v>9595</v>
      </c>
      <c r="F1519" t="s">
        <v>9596</v>
      </c>
      <c r="G1519" t="s">
        <v>9597</v>
      </c>
      <c r="H1519" t="s">
        <v>9598</v>
      </c>
      <c r="I1519" t="s">
        <v>9599</v>
      </c>
      <c r="J1519" t="s">
        <v>9600</v>
      </c>
      <c r="K1519" t="s">
        <v>9601</v>
      </c>
      <c r="L1519" t="s">
        <v>9594</v>
      </c>
    </row>
    <row r="1520" spans="1:12" x14ac:dyDescent="0.25">
      <c r="A1520">
        <v>353427</v>
      </c>
      <c r="B1520">
        <v>353465</v>
      </c>
      <c r="D1520">
        <v>0</v>
      </c>
      <c r="E1520" t="s">
        <v>9603</v>
      </c>
      <c r="F1520" t="s">
        <v>9604</v>
      </c>
      <c r="G1520" t="s">
        <v>9605</v>
      </c>
      <c r="H1520" t="s">
        <v>9606</v>
      </c>
      <c r="I1520" t="s">
        <v>9607</v>
      </c>
      <c r="J1520" t="s">
        <v>9608</v>
      </c>
      <c r="K1520" t="s">
        <v>9609</v>
      </c>
      <c r="L1520" t="s">
        <v>9602</v>
      </c>
    </row>
    <row r="1521" spans="1:12" x14ac:dyDescent="0.25">
      <c r="A1521">
        <v>353427</v>
      </c>
      <c r="B1521">
        <v>1566973</v>
      </c>
      <c r="D1521" t="s">
        <v>9611</v>
      </c>
      <c r="E1521" t="s">
        <v>9612</v>
      </c>
      <c r="F1521" t="s">
        <v>9613</v>
      </c>
      <c r="G1521" t="s">
        <v>9614</v>
      </c>
      <c r="H1521" t="s">
        <v>9615</v>
      </c>
      <c r="I1521" t="s">
        <v>9616</v>
      </c>
      <c r="J1521" t="s">
        <v>9617</v>
      </c>
      <c r="K1521" t="s">
        <v>9618</v>
      </c>
      <c r="L1521" t="s">
        <v>9610</v>
      </c>
    </row>
    <row r="1522" spans="1:12" x14ac:dyDescent="0.25">
      <c r="A1522">
        <v>353652</v>
      </c>
      <c r="B1522">
        <v>353679</v>
      </c>
      <c r="D1522">
        <v>0</v>
      </c>
      <c r="E1522" t="s">
        <v>9620</v>
      </c>
      <c r="F1522" t="s">
        <v>9621</v>
      </c>
      <c r="G1522" t="s">
        <v>9622</v>
      </c>
      <c r="H1522" t="e" vm="658">
        <f>_FV(0,"029638508143608883")</f>
        <v>#VALUE!</v>
      </c>
      <c r="I1522" t="s">
        <v>9623</v>
      </c>
      <c r="J1522" t="s">
        <v>9624</v>
      </c>
      <c r="K1522" t="s">
        <v>9625</v>
      </c>
      <c r="L1522" t="s">
        <v>9619</v>
      </c>
    </row>
    <row r="1523" spans="1:12" x14ac:dyDescent="0.25">
      <c r="A1523">
        <v>353652</v>
      </c>
      <c r="B1523">
        <v>353712</v>
      </c>
      <c r="D1523">
        <v>0</v>
      </c>
      <c r="E1523" t="s">
        <v>9627</v>
      </c>
      <c r="F1523" t="s">
        <v>9628</v>
      </c>
      <c r="G1523" t="s">
        <v>9629</v>
      </c>
      <c r="H1523" t="s">
        <v>9630</v>
      </c>
      <c r="I1523" t="s">
        <v>9631</v>
      </c>
      <c r="J1523" t="s">
        <v>9626</v>
      </c>
      <c r="K1523" t="s">
        <v>9632</v>
      </c>
      <c r="L1523" t="s">
        <v>9626</v>
      </c>
    </row>
    <row r="1524" spans="1:12" x14ac:dyDescent="0.25">
      <c r="A1524">
        <v>353652</v>
      </c>
      <c r="B1524">
        <v>783234</v>
      </c>
      <c r="D1524">
        <v>0</v>
      </c>
      <c r="E1524" t="s">
        <v>9634</v>
      </c>
      <c r="F1524" t="s">
        <v>9635</v>
      </c>
      <c r="G1524" t="s">
        <v>9636</v>
      </c>
      <c r="H1524" t="s">
        <v>9637</v>
      </c>
      <c r="I1524" t="s">
        <v>9638</v>
      </c>
      <c r="J1524" t="s">
        <v>9633</v>
      </c>
      <c r="K1524" t="s">
        <v>9639</v>
      </c>
      <c r="L1524" t="s">
        <v>9633</v>
      </c>
    </row>
    <row r="1525" spans="1:12" x14ac:dyDescent="0.25">
      <c r="A1525">
        <v>353679</v>
      </c>
      <c r="B1525">
        <v>353703</v>
      </c>
      <c r="D1525">
        <v>0</v>
      </c>
      <c r="E1525" t="s">
        <v>9641</v>
      </c>
      <c r="F1525" t="s">
        <v>9642</v>
      </c>
      <c r="G1525" t="s">
        <v>9643</v>
      </c>
      <c r="H1525" t="e" vm="659">
        <f>_FV(0,"08618545860979027")</f>
        <v>#VALUE!</v>
      </c>
      <c r="I1525" t="s">
        <v>9644</v>
      </c>
      <c r="J1525" t="s">
        <v>9645</v>
      </c>
      <c r="K1525" t="s">
        <v>9646</v>
      </c>
      <c r="L1525" t="s">
        <v>9640</v>
      </c>
    </row>
    <row r="1526" spans="1:12" x14ac:dyDescent="0.25">
      <c r="A1526">
        <v>353679</v>
      </c>
      <c r="B1526">
        <v>355461</v>
      </c>
      <c r="D1526">
        <v>0</v>
      </c>
      <c r="E1526" t="s">
        <v>9648</v>
      </c>
      <c r="F1526" t="s">
        <v>9649</v>
      </c>
      <c r="G1526" t="s">
        <v>9650</v>
      </c>
      <c r="H1526" t="e" vm="660">
        <f>_FV(0,"08276895691466143")</f>
        <v>#VALUE!</v>
      </c>
      <c r="I1526" t="s">
        <v>9651</v>
      </c>
      <c r="J1526" t="s">
        <v>9652</v>
      </c>
      <c r="K1526" t="s">
        <v>9653</v>
      </c>
      <c r="L1526" t="s">
        <v>9647</v>
      </c>
    </row>
    <row r="1527" spans="1:12" x14ac:dyDescent="0.25">
      <c r="A1527">
        <v>353703</v>
      </c>
      <c r="B1527">
        <v>353712</v>
      </c>
      <c r="D1527">
        <v>0</v>
      </c>
      <c r="F1527">
        <v>365293</v>
      </c>
      <c r="G1527">
        <v>353712</v>
      </c>
      <c r="H1527" t="s">
        <v>1629</v>
      </c>
      <c r="I1527">
        <v>353703</v>
      </c>
      <c r="J1527" t="s">
        <v>1629</v>
      </c>
      <c r="K1527" t="s">
        <v>9654</v>
      </c>
      <c r="L1527" t="s">
        <v>1629</v>
      </c>
    </row>
    <row r="1528" spans="1:12" x14ac:dyDescent="0.25">
      <c r="A1528">
        <v>353703</v>
      </c>
      <c r="B1528">
        <v>355461</v>
      </c>
      <c r="D1528">
        <v>0</v>
      </c>
      <c r="E1528" t="s">
        <v>9656</v>
      </c>
      <c r="F1528" t="s">
        <v>9657</v>
      </c>
      <c r="G1528" t="s">
        <v>9658</v>
      </c>
      <c r="H1528" t="e" vm="661">
        <f>_FV(0,"07162407310173352")</f>
        <v>#VALUE!</v>
      </c>
      <c r="I1528" t="s">
        <v>9659</v>
      </c>
      <c r="J1528" t="s">
        <v>9660</v>
      </c>
      <c r="K1528" t="s">
        <v>9661</v>
      </c>
      <c r="L1528" t="s">
        <v>9655</v>
      </c>
    </row>
    <row r="1529" spans="1:12" x14ac:dyDescent="0.25">
      <c r="A1529">
        <v>353712</v>
      </c>
      <c r="B1529">
        <v>783234</v>
      </c>
      <c r="D1529">
        <v>0</v>
      </c>
      <c r="E1529" t="s">
        <v>9663</v>
      </c>
      <c r="F1529" t="s">
        <v>9664</v>
      </c>
      <c r="G1529" t="s">
        <v>9665</v>
      </c>
      <c r="H1529" t="s">
        <v>9666</v>
      </c>
      <c r="I1529" t="s">
        <v>9667</v>
      </c>
      <c r="J1529" t="s">
        <v>9662</v>
      </c>
      <c r="K1529" t="s">
        <v>9668</v>
      </c>
      <c r="L1529" t="s">
        <v>9662</v>
      </c>
    </row>
    <row r="1530" spans="1:12" x14ac:dyDescent="0.25">
      <c r="A1530">
        <v>353732</v>
      </c>
      <c r="B1530">
        <v>353738</v>
      </c>
      <c r="D1530">
        <v>0</v>
      </c>
      <c r="E1530" t="s">
        <v>9670</v>
      </c>
      <c r="F1530" t="s">
        <v>9671</v>
      </c>
      <c r="G1530" t="s">
        <v>9672</v>
      </c>
      <c r="H1530" t="s">
        <v>9673</v>
      </c>
      <c r="I1530" t="s">
        <v>9674</v>
      </c>
      <c r="J1530" t="s">
        <v>9669</v>
      </c>
      <c r="K1530" t="s">
        <v>9675</v>
      </c>
      <c r="L1530" t="s">
        <v>9669</v>
      </c>
    </row>
    <row r="1531" spans="1:12" x14ac:dyDescent="0.25">
      <c r="A1531">
        <v>353738</v>
      </c>
      <c r="B1531">
        <v>353765</v>
      </c>
      <c r="D1531">
        <v>0</v>
      </c>
      <c r="E1531" t="s">
        <v>9677</v>
      </c>
      <c r="F1531" t="s">
        <v>9678</v>
      </c>
      <c r="G1531" t="s">
        <v>9679</v>
      </c>
      <c r="H1531" t="s">
        <v>9680</v>
      </c>
      <c r="I1531" t="s">
        <v>9681</v>
      </c>
      <c r="J1531" t="s">
        <v>9676</v>
      </c>
      <c r="K1531" t="s">
        <v>9682</v>
      </c>
      <c r="L1531" t="s">
        <v>9676</v>
      </c>
    </row>
    <row r="1532" spans="1:12" x14ac:dyDescent="0.25">
      <c r="A1532">
        <v>353738</v>
      </c>
      <c r="B1532">
        <v>353969</v>
      </c>
      <c r="D1532" t="s">
        <v>514</v>
      </c>
      <c r="E1532" t="s">
        <v>9684</v>
      </c>
      <c r="F1532" t="s">
        <v>9685</v>
      </c>
      <c r="G1532" t="s">
        <v>9686</v>
      </c>
      <c r="H1532" t="e" vm="662">
        <f>_FV(0,"014118306020682208")</f>
        <v>#VALUE!</v>
      </c>
      <c r="I1532" t="s">
        <v>9687</v>
      </c>
      <c r="J1532" t="s">
        <v>9688</v>
      </c>
      <c r="K1532" t="s">
        <v>9689</v>
      </c>
      <c r="L1532" t="s">
        <v>9683</v>
      </c>
    </row>
    <row r="1533" spans="1:12" x14ac:dyDescent="0.25">
      <c r="A1533">
        <v>353765</v>
      </c>
      <c r="B1533">
        <v>672933</v>
      </c>
      <c r="D1533">
        <v>0</v>
      </c>
      <c r="F1533">
        <v>681862</v>
      </c>
      <c r="G1533">
        <v>672933</v>
      </c>
      <c r="H1533" t="s">
        <v>187</v>
      </c>
      <c r="I1533">
        <v>353765</v>
      </c>
      <c r="J1533" t="s">
        <v>187</v>
      </c>
      <c r="K1533" t="s">
        <v>9690</v>
      </c>
      <c r="L1533" t="s">
        <v>187</v>
      </c>
    </row>
    <row r="1534" spans="1:12" x14ac:dyDescent="0.25">
      <c r="A1534">
        <v>353765</v>
      </c>
      <c r="B1534">
        <v>672922</v>
      </c>
      <c r="D1534">
        <v>0</v>
      </c>
      <c r="F1534">
        <v>681856</v>
      </c>
      <c r="G1534">
        <v>353765</v>
      </c>
      <c r="H1534" t="e" vm="263">
        <f>_FV(0,"024")</f>
        <v>#VALUE!</v>
      </c>
      <c r="I1534">
        <v>672922</v>
      </c>
      <c r="J1534" t="s">
        <v>2916</v>
      </c>
      <c r="K1534" t="s">
        <v>9691</v>
      </c>
      <c r="L1534" t="e" vm="263">
        <f>_FV(0,"024")</f>
        <v>#VALUE!</v>
      </c>
    </row>
    <row r="1535" spans="1:12" x14ac:dyDescent="0.25">
      <c r="A1535">
        <v>353772</v>
      </c>
      <c r="B1535">
        <v>353790</v>
      </c>
      <c r="D1535">
        <v>0</v>
      </c>
      <c r="E1535" t="s">
        <v>9693</v>
      </c>
      <c r="F1535" t="s">
        <v>9694</v>
      </c>
      <c r="G1535" t="s">
        <v>9695</v>
      </c>
      <c r="H1535" t="s">
        <v>9696</v>
      </c>
      <c r="I1535" t="s">
        <v>9697</v>
      </c>
      <c r="J1535" t="s">
        <v>9692</v>
      </c>
      <c r="K1535" t="s">
        <v>9698</v>
      </c>
      <c r="L1535" t="s">
        <v>9692</v>
      </c>
    </row>
    <row r="1536" spans="1:12" x14ac:dyDescent="0.25">
      <c r="A1536">
        <v>353772</v>
      </c>
      <c r="B1536">
        <v>673519</v>
      </c>
      <c r="D1536">
        <v>0</v>
      </c>
      <c r="E1536" t="s">
        <v>9700</v>
      </c>
      <c r="F1536" t="s">
        <v>9701</v>
      </c>
      <c r="G1536" t="s">
        <v>9702</v>
      </c>
      <c r="H1536" t="s">
        <v>9703</v>
      </c>
      <c r="I1536" t="s">
        <v>9704</v>
      </c>
      <c r="J1536" t="s">
        <v>9699</v>
      </c>
      <c r="K1536" t="s">
        <v>9705</v>
      </c>
      <c r="L1536" t="s">
        <v>9699</v>
      </c>
    </row>
    <row r="1537" spans="1:12" x14ac:dyDescent="0.25">
      <c r="A1537">
        <v>353772</v>
      </c>
      <c r="B1537">
        <v>672933</v>
      </c>
      <c r="D1537" t="s">
        <v>2793</v>
      </c>
      <c r="E1537" t="s">
        <v>9707</v>
      </c>
      <c r="F1537" t="s">
        <v>9708</v>
      </c>
      <c r="G1537" t="s">
        <v>9709</v>
      </c>
      <c r="H1537" t="e" vm="663">
        <f>_FV(0,"027897193571427344")</f>
        <v>#VALUE!</v>
      </c>
      <c r="I1537" t="s">
        <v>9710</v>
      </c>
      <c r="J1537" t="s">
        <v>9711</v>
      </c>
      <c r="K1537" t="s">
        <v>9712</v>
      </c>
      <c r="L1537" t="s">
        <v>9706</v>
      </c>
    </row>
    <row r="1538" spans="1:12" x14ac:dyDescent="0.25">
      <c r="A1538">
        <v>353790</v>
      </c>
      <c r="B1538">
        <v>353969</v>
      </c>
      <c r="D1538">
        <v>0</v>
      </c>
      <c r="F1538">
        <v>681888</v>
      </c>
      <c r="G1538">
        <v>353969</v>
      </c>
      <c r="H1538" t="s">
        <v>170</v>
      </c>
      <c r="I1538">
        <v>353790</v>
      </c>
      <c r="J1538" t="s">
        <v>170</v>
      </c>
      <c r="K1538" t="s">
        <v>9713</v>
      </c>
      <c r="L1538" t="s">
        <v>170</v>
      </c>
    </row>
    <row r="1539" spans="1:12" x14ac:dyDescent="0.25">
      <c r="A1539">
        <v>353790</v>
      </c>
      <c r="B1539">
        <v>672933</v>
      </c>
      <c r="D1539" t="s">
        <v>204</v>
      </c>
      <c r="E1539" t="s">
        <v>9715</v>
      </c>
      <c r="F1539" t="s">
        <v>9716</v>
      </c>
      <c r="G1539" t="s">
        <v>9717</v>
      </c>
      <c r="H1539" t="e" vm="664">
        <f>_FV(0,"019186969775519706")</f>
        <v>#VALUE!</v>
      </c>
      <c r="I1539" t="s">
        <v>9718</v>
      </c>
      <c r="J1539" t="s">
        <v>9719</v>
      </c>
      <c r="K1539" t="s">
        <v>9720</v>
      </c>
      <c r="L1539" t="s">
        <v>9714</v>
      </c>
    </row>
    <row r="1540" spans="1:12" x14ac:dyDescent="0.25">
      <c r="A1540">
        <v>353969</v>
      </c>
      <c r="B1540">
        <v>354156</v>
      </c>
      <c r="D1540">
        <v>0</v>
      </c>
      <c r="F1540">
        <v>681896</v>
      </c>
      <c r="G1540">
        <v>354156</v>
      </c>
      <c r="H1540" t="s">
        <v>6474</v>
      </c>
      <c r="I1540">
        <v>353969</v>
      </c>
      <c r="J1540" t="s">
        <v>6474</v>
      </c>
      <c r="K1540" t="s">
        <v>9721</v>
      </c>
      <c r="L1540" t="s">
        <v>6474</v>
      </c>
    </row>
    <row r="1541" spans="1:12" x14ac:dyDescent="0.25">
      <c r="A1541">
        <v>354081</v>
      </c>
      <c r="B1541">
        <v>354233</v>
      </c>
      <c r="D1541">
        <v>0</v>
      </c>
      <c r="F1541">
        <v>681904</v>
      </c>
      <c r="G1541">
        <v>354233</v>
      </c>
      <c r="H1541" t="e" vm="451">
        <f>_FV(0,"064")</f>
        <v>#VALUE!</v>
      </c>
      <c r="I1541">
        <v>354081</v>
      </c>
      <c r="J1541" t="s">
        <v>6299</v>
      </c>
      <c r="K1541" t="s">
        <v>9722</v>
      </c>
      <c r="L1541" t="e" vm="451">
        <f>_FV(0,"064")</f>
        <v>#VALUE!</v>
      </c>
    </row>
    <row r="1542" spans="1:12" x14ac:dyDescent="0.25">
      <c r="A1542">
        <v>354081</v>
      </c>
      <c r="B1542">
        <v>354093</v>
      </c>
      <c r="D1542">
        <v>0</v>
      </c>
      <c r="E1542" t="s">
        <v>9724</v>
      </c>
      <c r="F1542" t="s">
        <v>9725</v>
      </c>
      <c r="G1542" t="s">
        <v>9726</v>
      </c>
      <c r="H1542" t="e" vm="665">
        <f>_FV(0,"06432756792379037")</f>
        <v>#VALUE!</v>
      </c>
      <c r="I1542" t="s">
        <v>9727</v>
      </c>
      <c r="J1542" t="s">
        <v>9728</v>
      </c>
      <c r="K1542" t="s">
        <v>9729</v>
      </c>
      <c r="L1542" t="s">
        <v>9723</v>
      </c>
    </row>
    <row r="1543" spans="1:12" x14ac:dyDescent="0.25">
      <c r="A1543">
        <v>354081</v>
      </c>
      <c r="B1543">
        <v>354156</v>
      </c>
      <c r="D1543">
        <v>0</v>
      </c>
      <c r="F1543">
        <v>681901</v>
      </c>
      <c r="G1543">
        <v>354081</v>
      </c>
      <c r="H1543" t="e" vm="666">
        <f>_FV(0,"059")</f>
        <v>#VALUE!</v>
      </c>
      <c r="I1543">
        <v>354156</v>
      </c>
      <c r="J1543" t="s">
        <v>9730</v>
      </c>
      <c r="K1543" t="s">
        <v>9731</v>
      </c>
      <c r="L1543" t="e" vm="666">
        <f>_FV(0,"059")</f>
        <v>#VALUE!</v>
      </c>
    </row>
    <row r="1544" spans="1:12" x14ac:dyDescent="0.25">
      <c r="A1544">
        <v>354093</v>
      </c>
      <c r="B1544">
        <v>354103</v>
      </c>
      <c r="D1544">
        <v>0</v>
      </c>
      <c r="F1544">
        <v>365624</v>
      </c>
      <c r="G1544">
        <v>354103</v>
      </c>
      <c r="H1544" t="e" vm="263">
        <f>_FV(0,"024")</f>
        <v>#VALUE!</v>
      </c>
      <c r="I1544">
        <v>354093</v>
      </c>
      <c r="J1544" t="s">
        <v>2916</v>
      </c>
      <c r="K1544" t="s">
        <v>9732</v>
      </c>
      <c r="L1544" t="e" vm="263">
        <f>_FV(0,"024")</f>
        <v>#VALUE!</v>
      </c>
    </row>
    <row r="1545" spans="1:12" x14ac:dyDescent="0.25">
      <c r="A1545">
        <v>354093</v>
      </c>
      <c r="B1545">
        <v>354233</v>
      </c>
      <c r="D1545">
        <v>0</v>
      </c>
      <c r="E1545" t="s">
        <v>9734</v>
      </c>
      <c r="F1545" t="s">
        <v>9735</v>
      </c>
      <c r="G1545" t="s">
        <v>9736</v>
      </c>
      <c r="H1545" t="e" vm="667">
        <f>_FV(0,"008614101805892577")</f>
        <v>#VALUE!</v>
      </c>
      <c r="I1545" t="s">
        <v>9737</v>
      </c>
      <c r="J1545" t="s">
        <v>9738</v>
      </c>
      <c r="K1545" t="s">
        <v>9739</v>
      </c>
      <c r="L1545" t="s">
        <v>9733</v>
      </c>
    </row>
    <row r="1546" spans="1:12" x14ac:dyDescent="0.25">
      <c r="A1546">
        <v>354103</v>
      </c>
      <c r="B1546">
        <v>369971</v>
      </c>
      <c r="D1546">
        <v>0</v>
      </c>
      <c r="E1546" t="s">
        <v>9741</v>
      </c>
      <c r="F1546" t="s">
        <v>9742</v>
      </c>
      <c r="G1546" t="s">
        <v>9743</v>
      </c>
      <c r="H1546" t="e" vm="668">
        <f>_FV(0,"041400317279547384")</f>
        <v>#VALUE!</v>
      </c>
      <c r="I1546" t="s">
        <v>9744</v>
      </c>
      <c r="J1546" t="s">
        <v>9745</v>
      </c>
      <c r="K1546" t="s">
        <v>9746</v>
      </c>
      <c r="L1546" t="s">
        <v>9740</v>
      </c>
    </row>
    <row r="1547" spans="1:12" x14ac:dyDescent="0.25">
      <c r="A1547">
        <v>354103</v>
      </c>
      <c r="B1547">
        <v>1197597</v>
      </c>
      <c r="D1547">
        <v>0</v>
      </c>
      <c r="E1547" t="s">
        <v>9748</v>
      </c>
      <c r="F1547" t="s">
        <v>9749</v>
      </c>
      <c r="G1547" t="s">
        <v>9750</v>
      </c>
      <c r="H1547" t="e" vm="669">
        <f>_FV(0,"03858267952856631")</f>
        <v>#VALUE!</v>
      </c>
      <c r="I1547" t="s">
        <v>9751</v>
      </c>
      <c r="J1547" t="s">
        <v>9752</v>
      </c>
      <c r="K1547" t="s">
        <v>9753</v>
      </c>
      <c r="L1547" t="s">
        <v>9747</v>
      </c>
    </row>
    <row r="1548" spans="1:12" x14ac:dyDescent="0.25">
      <c r="A1548">
        <v>354134</v>
      </c>
      <c r="B1548">
        <v>354135</v>
      </c>
      <c r="D1548">
        <v>0</v>
      </c>
      <c r="F1548">
        <v>365648</v>
      </c>
      <c r="G1548">
        <v>354135</v>
      </c>
      <c r="H1548" t="s">
        <v>1939</v>
      </c>
      <c r="I1548">
        <v>354134</v>
      </c>
      <c r="J1548" t="s">
        <v>1939</v>
      </c>
      <c r="K1548" t="s">
        <v>9754</v>
      </c>
      <c r="L1548" t="s">
        <v>1939</v>
      </c>
    </row>
    <row r="1549" spans="1:12" x14ac:dyDescent="0.25">
      <c r="A1549">
        <v>354134</v>
      </c>
      <c r="B1549">
        <v>370088</v>
      </c>
      <c r="D1549">
        <v>0</v>
      </c>
      <c r="E1549" t="s">
        <v>9756</v>
      </c>
      <c r="F1549" t="s">
        <v>9757</v>
      </c>
      <c r="G1549" t="s">
        <v>9758</v>
      </c>
      <c r="H1549" t="s">
        <v>9759</v>
      </c>
      <c r="I1549" t="s">
        <v>9760</v>
      </c>
      <c r="J1549" t="s">
        <v>9755</v>
      </c>
      <c r="K1549" t="s">
        <v>9761</v>
      </c>
      <c r="L1549" t="s">
        <v>9755</v>
      </c>
    </row>
    <row r="1550" spans="1:12" x14ac:dyDescent="0.25">
      <c r="A1550">
        <v>354134</v>
      </c>
      <c r="B1550">
        <v>1197536</v>
      </c>
      <c r="D1550">
        <v>0</v>
      </c>
      <c r="E1550" t="s">
        <v>9763</v>
      </c>
      <c r="F1550" t="s">
        <v>9764</v>
      </c>
      <c r="G1550" t="s">
        <v>9765</v>
      </c>
      <c r="H1550" t="s">
        <v>9766</v>
      </c>
      <c r="I1550" t="s">
        <v>9767</v>
      </c>
      <c r="J1550" t="s">
        <v>9762</v>
      </c>
      <c r="K1550" t="s">
        <v>9768</v>
      </c>
      <c r="L1550" t="s">
        <v>9762</v>
      </c>
    </row>
    <row r="1551" spans="1:12" x14ac:dyDescent="0.25">
      <c r="A1551">
        <v>354135</v>
      </c>
      <c r="B1551">
        <v>354156</v>
      </c>
      <c r="D1551">
        <v>0</v>
      </c>
      <c r="E1551" t="s">
        <v>9770</v>
      </c>
      <c r="F1551" t="s">
        <v>9771</v>
      </c>
      <c r="G1551" t="s">
        <v>9772</v>
      </c>
      <c r="H1551" t="s">
        <v>9773</v>
      </c>
      <c r="I1551" t="s">
        <v>9774</v>
      </c>
      <c r="J1551" t="s">
        <v>9769</v>
      </c>
      <c r="K1551" t="s">
        <v>9775</v>
      </c>
      <c r="L1551" t="s">
        <v>9769</v>
      </c>
    </row>
    <row r="1552" spans="1:12" x14ac:dyDescent="0.25">
      <c r="A1552">
        <v>354135</v>
      </c>
      <c r="B1552">
        <v>354259</v>
      </c>
      <c r="D1552">
        <v>0</v>
      </c>
      <c r="E1552" t="s">
        <v>9777</v>
      </c>
      <c r="F1552" t="s">
        <v>9778</v>
      </c>
      <c r="G1552" t="s">
        <v>9779</v>
      </c>
      <c r="H1552" t="s">
        <v>9780</v>
      </c>
      <c r="I1552" t="s">
        <v>9781</v>
      </c>
      <c r="J1552" t="s">
        <v>9776</v>
      </c>
      <c r="K1552" t="s">
        <v>9782</v>
      </c>
      <c r="L1552" t="s">
        <v>9776</v>
      </c>
    </row>
    <row r="1553" spans="1:12" x14ac:dyDescent="0.25">
      <c r="A1553">
        <v>354233</v>
      </c>
      <c r="B1553">
        <v>354259</v>
      </c>
      <c r="D1553">
        <v>0</v>
      </c>
      <c r="E1553" t="s">
        <v>9784</v>
      </c>
      <c r="F1553" t="s">
        <v>9785</v>
      </c>
      <c r="G1553" t="s">
        <v>9786</v>
      </c>
      <c r="H1553" t="e" vm="670">
        <f>_FV(0,"029501102089023908")</f>
        <v>#VALUE!</v>
      </c>
      <c r="I1553" t="s">
        <v>9787</v>
      </c>
      <c r="J1553" t="s">
        <v>9788</v>
      </c>
      <c r="K1553" t="s">
        <v>9789</v>
      </c>
      <c r="L1553" t="s">
        <v>9783</v>
      </c>
    </row>
    <row r="1554" spans="1:12" x14ac:dyDescent="0.25">
      <c r="A1554">
        <v>354259</v>
      </c>
      <c r="B1554">
        <v>369798</v>
      </c>
      <c r="D1554">
        <v>0</v>
      </c>
      <c r="F1554">
        <v>681981</v>
      </c>
      <c r="G1554">
        <v>369798</v>
      </c>
      <c r="H1554" t="e" vm="1">
        <f>_FV(0,"03")</f>
        <v>#VALUE!</v>
      </c>
      <c r="I1554">
        <v>354259</v>
      </c>
      <c r="J1554" t="s">
        <v>12</v>
      </c>
      <c r="K1554" t="s">
        <v>9790</v>
      </c>
      <c r="L1554" t="e" vm="1">
        <f>_FV(0,"03")</f>
        <v>#VALUE!</v>
      </c>
    </row>
    <row r="1555" spans="1:12" x14ac:dyDescent="0.25">
      <c r="A1555">
        <v>354310</v>
      </c>
      <c r="B1555">
        <v>354345</v>
      </c>
      <c r="D1555">
        <v>0</v>
      </c>
      <c r="E1555" t="s">
        <v>9792</v>
      </c>
      <c r="F1555" t="s">
        <v>9793</v>
      </c>
      <c r="G1555" t="s">
        <v>9794</v>
      </c>
      <c r="H1555" t="e" vm="671">
        <f>_FV(0,"012078576391504956")</f>
        <v>#VALUE!</v>
      </c>
      <c r="I1555" t="s">
        <v>9795</v>
      </c>
      <c r="J1555" t="s">
        <v>9796</v>
      </c>
      <c r="K1555" t="s">
        <v>9797</v>
      </c>
      <c r="L1555" t="s">
        <v>9791</v>
      </c>
    </row>
    <row r="1556" spans="1:12" x14ac:dyDescent="0.25">
      <c r="A1556">
        <v>354310</v>
      </c>
      <c r="B1556">
        <v>354373</v>
      </c>
      <c r="D1556">
        <v>0</v>
      </c>
      <c r="E1556" t="s">
        <v>9799</v>
      </c>
      <c r="F1556" t="s">
        <v>9800</v>
      </c>
      <c r="G1556" t="s">
        <v>9801</v>
      </c>
      <c r="H1556" t="s">
        <v>9802</v>
      </c>
      <c r="I1556" t="s">
        <v>9803</v>
      </c>
      <c r="J1556" t="s">
        <v>9798</v>
      </c>
      <c r="K1556" t="s">
        <v>9804</v>
      </c>
      <c r="L1556" t="s">
        <v>9798</v>
      </c>
    </row>
    <row r="1557" spans="1:12" x14ac:dyDescent="0.25">
      <c r="A1557">
        <v>354310</v>
      </c>
      <c r="B1557">
        <v>1307366</v>
      </c>
      <c r="D1557">
        <v>0</v>
      </c>
      <c r="E1557" t="s">
        <v>9806</v>
      </c>
      <c r="F1557" t="s">
        <v>9807</v>
      </c>
      <c r="G1557" t="s">
        <v>9808</v>
      </c>
      <c r="H1557" t="s">
        <v>9809</v>
      </c>
      <c r="I1557" t="s">
        <v>9810</v>
      </c>
      <c r="J1557" t="s">
        <v>9805</v>
      </c>
      <c r="K1557" t="s">
        <v>9811</v>
      </c>
      <c r="L1557" t="s">
        <v>9805</v>
      </c>
    </row>
    <row r="1558" spans="1:12" x14ac:dyDescent="0.25">
      <c r="A1558">
        <v>354345</v>
      </c>
      <c r="B1558">
        <v>354364</v>
      </c>
      <c r="D1558">
        <v>0</v>
      </c>
      <c r="E1558" t="s">
        <v>9813</v>
      </c>
      <c r="F1558" t="s">
        <v>9814</v>
      </c>
      <c r="G1558" t="s">
        <v>9815</v>
      </c>
      <c r="H1558" t="e" vm="672">
        <f>_FV(0,"04386502300052215")</f>
        <v>#VALUE!</v>
      </c>
      <c r="I1558" t="s">
        <v>9816</v>
      </c>
      <c r="J1558" t="s">
        <v>9817</v>
      </c>
      <c r="K1558" t="s">
        <v>9818</v>
      </c>
      <c r="L1558" t="s">
        <v>9812</v>
      </c>
    </row>
    <row r="1559" spans="1:12" x14ac:dyDescent="0.25">
      <c r="A1559">
        <v>354345</v>
      </c>
      <c r="B1559">
        <v>369465</v>
      </c>
      <c r="D1559">
        <v>0</v>
      </c>
      <c r="E1559" t="s">
        <v>9820</v>
      </c>
      <c r="F1559" t="s">
        <v>9821</v>
      </c>
      <c r="G1559" t="s">
        <v>9822</v>
      </c>
      <c r="H1559" t="e" vm="673">
        <f>_FV(0,"004025148503320914")</f>
        <v>#VALUE!</v>
      </c>
      <c r="I1559" t="s">
        <v>9823</v>
      </c>
      <c r="J1559" t="s">
        <v>9824</v>
      </c>
      <c r="K1559" t="s">
        <v>9825</v>
      </c>
      <c r="L1559" t="s">
        <v>9819</v>
      </c>
    </row>
    <row r="1560" spans="1:12" x14ac:dyDescent="0.25">
      <c r="A1560">
        <v>354364</v>
      </c>
      <c r="B1560">
        <v>354373</v>
      </c>
      <c r="D1560">
        <v>0</v>
      </c>
      <c r="F1560">
        <v>365848</v>
      </c>
      <c r="G1560">
        <v>354373</v>
      </c>
      <c r="H1560" t="s">
        <v>239</v>
      </c>
      <c r="I1560">
        <v>354364</v>
      </c>
      <c r="J1560" t="s">
        <v>239</v>
      </c>
      <c r="K1560" t="s">
        <v>9826</v>
      </c>
      <c r="L1560" t="s">
        <v>239</v>
      </c>
    </row>
    <row r="1561" spans="1:12" x14ac:dyDescent="0.25">
      <c r="A1561">
        <v>354364</v>
      </c>
      <c r="B1561">
        <v>369465</v>
      </c>
      <c r="D1561">
        <v>0</v>
      </c>
      <c r="E1561" t="s">
        <v>9828</v>
      </c>
      <c r="F1561" t="s">
        <v>9829</v>
      </c>
      <c r="G1561" t="s">
        <v>9830</v>
      </c>
      <c r="H1561" t="s">
        <v>9831</v>
      </c>
      <c r="I1561" t="s">
        <v>9832</v>
      </c>
      <c r="J1561" t="s">
        <v>9833</v>
      </c>
      <c r="K1561" t="s">
        <v>9834</v>
      </c>
      <c r="L1561" t="s">
        <v>9827</v>
      </c>
    </row>
    <row r="1562" spans="1:12" x14ac:dyDescent="0.25">
      <c r="A1562">
        <v>354373</v>
      </c>
      <c r="B1562">
        <v>369405</v>
      </c>
      <c r="D1562">
        <v>0</v>
      </c>
      <c r="E1562" t="s">
        <v>9836</v>
      </c>
      <c r="F1562" t="s">
        <v>9837</v>
      </c>
      <c r="G1562" t="s">
        <v>9838</v>
      </c>
      <c r="H1562" t="e" vm="674">
        <f>_FV(0,"003449352328105715")</f>
        <v>#VALUE!</v>
      </c>
      <c r="I1562" t="s">
        <v>9839</v>
      </c>
      <c r="J1562" t="s">
        <v>9840</v>
      </c>
      <c r="K1562" t="s">
        <v>9841</v>
      </c>
      <c r="L1562" t="s">
        <v>9835</v>
      </c>
    </row>
    <row r="1563" spans="1:12" x14ac:dyDescent="0.25">
      <c r="A1563">
        <v>354422</v>
      </c>
      <c r="B1563">
        <v>354437</v>
      </c>
      <c r="D1563">
        <v>0</v>
      </c>
      <c r="E1563" t="s">
        <v>9843</v>
      </c>
      <c r="F1563" t="s">
        <v>9844</v>
      </c>
      <c r="G1563" t="s">
        <v>9845</v>
      </c>
      <c r="H1563" t="e" vm="675">
        <f>_FV(0,"007495271313801695")</f>
        <v>#VALUE!</v>
      </c>
      <c r="I1563" t="s">
        <v>9846</v>
      </c>
      <c r="J1563" t="s">
        <v>9847</v>
      </c>
      <c r="K1563" t="s">
        <v>9848</v>
      </c>
      <c r="L1563" t="s">
        <v>9842</v>
      </c>
    </row>
    <row r="1564" spans="1:12" x14ac:dyDescent="0.25">
      <c r="A1564">
        <v>354481</v>
      </c>
      <c r="B1564">
        <v>354504</v>
      </c>
      <c r="D1564">
        <v>0</v>
      </c>
      <c r="E1564" t="s">
        <v>9850</v>
      </c>
      <c r="F1564" t="s">
        <v>9851</v>
      </c>
      <c r="G1564" t="s">
        <v>9852</v>
      </c>
      <c r="H1564" t="s">
        <v>9853</v>
      </c>
      <c r="I1564" t="s">
        <v>9854</v>
      </c>
      <c r="J1564" t="s">
        <v>9855</v>
      </c>
      <c r="K1564" t="s">
        <v>9856</v>
      </c>
      <c r="L1564" t="s">
        <v>9849</v>
      </c>
    </row>
    <row r="1565" spans="1:12" x14ac:dyDescent="0.25">
      <c r="A1565">
        <v>354481</v>
      </c>
      <c r="B1565">
        <v>354561</v>
      </c>
      <c r="D1565">
        <v>0</v>
      </c>
      <c r="E1565" t="s">
        <v>9857</v>
      </c>
      <c r="F1565" t="s">
        <v>9858</v>
      </c>
      <c r="G1565" t="s">
        <v>9859</v>
      </c>
      <c r="H1565" t="s">
        <v>9860</v>
      </c>
      <c r="I1565" t="s">
        <v>9861</v>
      </c>
      <c r="J1565" t="s">
        <v>6136</v>
      </c>
      <c r="K1565" t="s">
        <v>9862</v>
      </c>
      <c r="L1565" t="s">
        <v>6136</v>
      </c>
    </row>
    <row r="1566" spans="1:12" x14ac:dyDescent="0.25">
      <c r="A1566">
        <v>354481</v>
      </c>
      <c r="B1566">
        <v>369541</v>
      </c>
      <c r="D1566">
        <v>0</v>
      </c>
      <c r="E1566" t="s">
        <v>9864</v>
      </c>
      <c r="F1566" t="s">
        <v>9865</v>
      </c>
      <c r="G1566" t="s">
        <v>9866</v>
      </c>
      <c r="H1566" t="s">
        <v>9867</v>
      </c>
      <c r="I1566" t="s">
        <v>9868</v>
      </c>
      <c r="J1566" t="s">
        <v>9869</v>
      </c>
      <c r="K1566" t="s">
        <v>9870</v>
      </c>
      <c r="L1566" t="s">
        <v>9863</v>
      </c>
    </row>
    <row r="1567" spans="1:12" x14ac:dyDescent="0.25">
      <c r="A1567">
        <v>354504</v>
      </c>
      <c r="B1567">
        <v>354522</v>
      </c>
      <c r="D1567">
        <v>0</v>
      </c>
      <c r="E1567" t="s">
        <v>9872</v>
      </c>
      <c r="F1567" t="s">
        <v>9873</v>
      </c>
      <c r="G1567" t="s">
        <v>9874</v>
      </c>
      <c r="H1567" t="e" vm="676">
        <f>_FV(0,"01602138177330298")</f>
        <v>#VALUE!</v>
      </c>
      <c r="I1567" t="s">
        <v>9875</v>
      </c>
      <c r="J1567" t="s">
        <v>9876</v>
      </c>
      <c r="K1567" t="s">
        <v>9877</v>
      </c>
      <c r="L1567" t="s">
        <v>9871</v>
      </c>
    </row>
    <row r="1568" spans="1:12" x14ac:dyDescent="0.25">
      <c r="A1568">
        <v>354504</v>
      </c>
      <c r="B1568">
        <v>1812154</v>
      </c>
      <c r="D1568" t="s">
        <v>9879</v>
      </c>
      <c r="E1568" t="s">
        <v>9880</v>
      </c>
      <c r="F1568" t="s">
        <v>9881</v>
      </c>
      <c r="G1568" t="s">
        <v>9882</v>
      </c>
      <c r="H1568" t="s">
        <v>9883</v>
      </c>
      <c r="I1568" t="s">
        <v>9884</v>
      </c>
      <c r="J1568" t="s">
        <v>9885</v>
      </c>
      <c r="K1568" t="s">
        <v>9886</v>
      </c>
      <c r="L1568" t="s">
        <v>9878</v>
      </c>
    </row>
    <row r="1569" spans="1:12" x14ac:dyDescent="0.25">
      <c r="A1569">
        <v>354522</v>
      </c>
      <c r="B1569">
        <v>354561</v>
      </c>
      <c r="D1569">
        <v>0</v>
      </c>
      <c r="E1569" t="s">
        <v>9888</v>
      </c>
      <c r="F1569" t="s">
        <v>9889</v>
      </c>
      <c r="G1569" t="s">
        <v>9890</v>
      </c>
      <c r="H1569" t="e" vm="677">
        <f>_FV(0,"0005695915148702848")</f>
        <v>#VALUE!</v>
      </c>
      <c r="I1569" t="s">
        <v>9891</v>
      </c>
      <c r="J1569" t="s">
        <v>9892</v>
      </c>
      <c r="K1569" t="s">
        <v>9893</v>
      </c>
      <c r="L1569" t="s">
        <v>9887</v>
      </c>
    </row>
    <row r="1570" spans="1:12" x14ac:dyDescent="0.25">
      <c r="A1570">
        <v>354522</v>
      </c>
      <c r="B1570">
        <v>1812162</v>
      </c>
      <c r="D1570" t="s">
        <v>1494</v>
      </c>
      <c r="E1570" t="s">
        <v>9895</v>
      </c>
      <c r="F1570" t="s">
        <v>9896</v>
      </c>
      <c r="G1570" t="s">
        <v>9897</v>
      </c>
      <c r="H1570" t="e" vm="678">
        <f>_FV(-3,"7249506510794755e")-5</f>
        <v>#VALUE!</v>
      </c>
      <c r="I1570" t="s">
        <v>9898</v>
      </c>
      <c r="J1570" t="s">
        <v>9899</v>
      </c>
      <c r="K1570" t="s">
        <v>9900</v>
      </c>
      <c r="L1570" t="s">
        <v>9894</v>
      </c>
    </row>
    <row r="1571" spans="1:12" x14ac:dyDescent="0.25">
      <c r="A1571">
        <v>354561</v>
      </c>
      <c r="B1571">
        <v>369541</v>
      </c>
      <c r="D1571">
        <v>0</v>
      </c>
      <c r="E1571" t="s">
        <v>9902</v>
      </c>
      <c r="F1571" t="s">
        <v>9903</v>
      </c>
      <c r="G1571" t="s">
        <v>9904</v>
      </c>
      <c r="H1571" t="s">
        <v>9905</v>
      </c>
      <c r="I1571" t="s">
        <v>9906</v>
      </c>
      <c r="J1571" t="s">
        <v>9907</v>
      </c>
      <c r="K1571" t="s">
        <v>9908</v>
      </c>
      <c r="L1571" t="s">
        <v>9901</v>
      </c>
    </row>
    <row r="1572" spans="1:12" x14ac:dyDescent="0.25">
      <c r="A1572">
        <v>354957</v>
      </c>
      <c r="B1572">
        <v>354996</v>
      </c>
      <c r="D1572">
        <v>0</v>
      </c>
      <c r="E1572" t="s">
        <v>9910</v>
      </c>
      <c r="F1572" t="s">
        <v>9911</v>
      </c>
      <c r="G1572" t="s">
        <v>9912</v>
      </c>
      <c r="H1572" t="e" vm="679">
        <f>_FV(0,"06317183203207039")</f>
        <v>#VALUE!</v>
      </c>
      <c r="I1572" t="s">
        <v>9913</v>
      </c>
      <c r="J1572" t="s">
        <v>9914</v>
      </c>
      <c r="K1572" t="s">
        <v>9915</v>
      </c>
      <c r="L1572" t="s">
        <v>9909</v>
      </c>
    </row>
    <row r="1573" spans="1:12" x14ac:dyDescent="0.25">
      <c r="A1573">
        <v>354957</v>
      </c>
      <c r="B1573">
        <v>354996</v>
      </c>
      <c r="D1573">
        <v>0</v>
      </c>
      <c r="E1573" t="s">
        <v>9917</v>
      </c>
      <c r="F1573" t="s">
        <v>9918</v>
      </c>
      <c r="G1573" t="s">
        <v>9919</v>
      </c>
      <c r="H1573" t="e" vm="680">
        <f>_FV(0,"06274815593299131")</f>
        <v>#VALUE!</v>
      </c>
      <c r="I1573" t="s">
        <v>9920</v>
      </c>
      <c r="J1573" t="s">
        <v>9921</v>
      </c>
      <c r="K1573" t="s">
        <v>9922</v>
      </c>
      <c r="L1573" t="s">
        <v>9916</v>
      </c>
    </row>
    <row r="1574" spans="1:12" x14ac:dyDescent="0.25">
      <c r="A1574">
        <v>354957</v>
      </c>
      <c r="B1574">
        <v>355303</v>
      </c>
      <c r="D1574" t="s">
        <v>9924</v>
      </c>
      <c r="E1574" t="s">
        <v>9925</v>
      </c>
      <c r="F1574" t="s">
        <v>9926</v>
      </c>
      <c r="G1574" t="s">
        <v>9927</v>
      </c>
      <c r="H1574" t="s">
        <v>9928</v>
      </c>
      <c r="I1574" t="s">
        <v>9929</v>
      </c>
      <c r="J1574" t="s">
        <v>9930</v>
      </c>
      <c r="K1574" t="s">
        <v>9931</v>
      </c>
      <c r="L1574" t="s">
        <v>9923</v>
      </c>
    </row>
    <row r="1575" spans="1:12" x14ac:dyDescent="0.25">
      <c r="A1575">
        <v>354996</v>
      </c>
      <c r="B1575">
        <v>355075</v>
      </c>
      <c r="D1575">
        <v>0</v>
      </c>
      <c r="E1575" t="s">
        <v>9933</v>
      </c>
      <c r="F1575" t="s">
        <v>9934</v>
      </c>
      <c r="G1575" t="s">
        <v>9935</v>
      </c>
      <c r="H1575" t="s">
        <v>9936</v>
      </c>
      <c r="I1575" t="s">
        <v>9937</v>
      </c>
      <c r="J1575" t="s">
        <v>9938</v>
      </c>
      <c r="K1575" t="s">
        <v>9939</v>
      </c>
      <c r="L1575" t="s">
        <v>9932</v>
      </c>
    </row>
    <row r="1576" spans="1:12" x14ac:dyDescent="0.25">
      <c r="A1576">
        <v>355075</v>
      </c>
      <c r="B1576">
        <v>355108</v>
      </c>
      <c r="D1576">
        <v>0</v>
      </c>
      <c r="E1576" t="s">
        <v>9941</v>
      </c>
      <c r="F1576" t="s">
        <v>9942</v>
      </c>
      <c r="G1576" t="s">
        <v>9943</v>
      </c>
      <c r="H1576" t="s">
        <v>9944</v>
      </c>
      <c r="I1576" t="s">
        <v>9945</v>
      </c>
      <c r="J1576" t="s">
        <v>9946</v>
      </c>
      <c r="K1576" t="s">
        <v>9947</v>
      </c>
      <c r="L1576" t="s">
        <v>9940</v>
      </c>
    </row>
    <row r="1577" spans="1:12" x14ac:dyDescent="0.25">
      <c r="A1577">
        <v>355075</v>
      </c>
      <c r="B1577">
        <v>355108</v>
      </c>
      <c r="D1577">
        <v>0</v>
      </c>
      <c r="E1577" t="s">
        <v>9949</v>
      </c>
      <c r="F1577" t="s">
        <v>9950</v>
      </c>
      <c r="G1577" t="s">
        <v>9951</v>
      </c>
      <c r="H1577" t="s">
        <v>9952</v>
      </c>
      <c r="I1577" t="s">
        <v>9953</v>
      </c>
      <c r="J1577" t="s">
        <v>9954</v>
      </c>
      <c r="K1577" t="s">
        <v>9955</v>
      </c>
      <c r="L1577" t="s">
        <v>9948</v>
      </c>
    </row>
    <row r="1578" spans="1:12" x14ac:dyDescent="0.25">
      <c r="A1578">
        <v>355108</v>
      </c>
      <c r="B1578">
        <v>355176</v>
      </c>
      <c r="D1578" t="s">
        <v>9957</v>
      </c>
      <c r="E1578" t="s">
        <v>9958</v>
      </c>
      <c r="F1578" t="s">
        <v>9959</v>
      </c>
      <c r="G1578" t="s">
        <v>9960</v>
      </c>
      <c r="H1578" t="e" vm="681">
        <f>_FV(0,"026713410346349397")</f>
        <v>#VALUE!</v>
      </c>
      <c r="I1578" t="s">
        <v>9961</v>
      </c>
      <c r="J1578" t="s">
        <v>9962</v>
      </c>
      <c r="K1578" t="s">
        <v>9963</v>
      </c>
      <c r="L1578" t="s">
        <v>9956</v>
      </c>
    </row>
    <row r="1579" spans="1:12" x14ac:dyDescent="0.25">
      <c r="A1579">
        <v>355176</v>
      </c>
      <c r="B1579">
        <v>355216</v>
      </c>
      <c r="D1579">
        <v>0</v>
      </c>
      <c r="E1579" t="s">
        <v>9965</v>
      </c>
      <c r="F1579" t="s">
        <v>9966</v>
      </c>
      <c r="G1579" t="s">
        <v>9967</v>
      </c>
      <c r="H1579" t="s">
        <v>9968</v>
      </c>
      <c r="I1579" t="s">
        <v>9969</v>
      </c>
      <c r="J1579" t="s">
        <v>9970</v>
      </c>
      <c r="K1579" t="s">
        <v>9971</v>
      </c>
      <c r="L1579" t="s">
        <v>9964</v>
      </c>
    </row>
    <row r="1580" spans="1:12" x14ac:dyDescent="0.25">
      <c r="A1580">
        <v>355176</v>
      </c>
      <c r="B1580">
        <v>355216</v>
      </c>
      <c r="D1580">
        <v>0</v>
      </c>
      <c r="E1580" t="s">
        <v>9973</v>
      </c>
      <c r="F1580" t="s">
        <v>9974</v>
      </c>
      <c r="G1580" t="s">
        <v>9975</v>
      </c>
      <c r="H1580" t="s">
        <v>9976</v>
      </c>
      <c r="I1580" t="s">
        <v>9977</v>
      </c>
      <c r="J1580" t="s">
        <v>9978</v>
      </c>
      <c r="K1580" t="s">
        <v>9979</v>
      </c>
      <c r="L1580" t="s">
        <v>9972</v>
      </c>
    </row>
    <row r="1581" spans="1:12" x14ac:dyDescent="0.25">
      <c r="A1581">
        <v>355216</v>
      </c>
      <c r="B1581">
        <v>467585</v>
      </c>
      <c r="D1581">
        <v>0</v>
      </c>
      <c r="E1581" t="s">
        <v>9981</v>
      </c>
      <c r="F1581" t="s">
        <v>9982</v>
      </c>
      <c r="G1581" t="s">
        <v>9983</v>
      </c>
      <c r="H1581" t="s">
        <v>9984</v>
      </c>
      <c r="I1581" t="s">
        <v>9985</v>
      </c>
      <c r="J1581" t="s">
        <v>9986</v>
      </c>
      <c r="K1581" t="s">
        <v>9987</v>
      </c>
      <c r="L1581" t="s">
        <v>9980</v>
      </c>
    </row>
    <row r="1582" spans="1:12" x14ac:dyDescent="0.25">
      <c r="A1582">
        <v>355251</v>
      </c>
      <c r="B1582">
        <v>518718</v>
      </c>
      <c r="D1582">
        <v>0</v>
      </c>
      <c r="E1582" t="s">
        <v>9989</v>
      </c>
      <c r="F1582" t="s">
        <v>9990</v>
      </c>
      <c r="G1582" t="s">
        <v>9992</v>
      </c>
      <c r="H1582" t="e" vm="682">
        <f>_FV(0,"0949820172612182")</f>
        <v>#VALUE!</v>
      </c>
      <c r="I1582" t="s">
        <v>9993</v>
      </c>
      <c r="J1582" t="s">
        <v>9994</v>
      </c>
      <c r="K1582" t="s">
        <v>9995</v>
      </c>
      <c r="L1582" t="s">
        <v>9988</v>
      </c>
    </row>
    <row r="1583" spans="1:12" x14ac:dyDescent="0.25">
      <c r="A1583">
        <v>355251</v>
      </c>
      <c r="B1583">
        <v>518640</v>
      </c>
      <c r="D1583">
        <v>0</v>
      </c>
      <c r="E1583" t="s">
        <v>9997</v>
      </c>
      <c r="F1583" t="s">
        <v>9998</v>
      </c>
      <c r="G1583" t="s">
        <v>9999</v>
      </c>
      <c r="H1583" t="s">
        <v>10000</v>
      </c>
      <c r="I1583" t="s">
        <v>10001</v>
      </c>
      <c r="J1583" t="s">
        <v>10002</v>
      </c>
      <c r="K1583" t="s">
        <v>10003</v>
      </c>
      <c r="L1583" t="s">
        <v>9996</v>
      </c>
    </row>
    <row r="1584" spans="1:12" x14ac:dyDescent="0.25">
      <c r="A1584">
        <v>355251</v>
      </c>
      <c r="B1584">
        <v>717602</v>
      </c>
      <c r="D1584" t="s">
        <v>1494</v>
      </c>
      <c r="E1584" t="s">
        <v>10005</v>
      </c>
      <c r="F1584" t="s">
        <v>10006</v>
      </c>
      <c r="G1584" t="s">
        <v>10008</v>
      </c>
      <c r="H1584" t="e" vm="683">
        <f>_FV(0,"04594593829262675")</f>
        <v>#VALUE!</v>
      </c>
      <c r="I1584" t="s">
        <v>10009</v>
      </c>
      <c r="J1584" t="s">
        <v>10010</v>
      </c>
      <c r="K1584" t="s">
        <v>10011</v>
      </c>
      <c r="L1584" t="s">
        <v>10004</v>
      </c>
    </row>
    <row r="1585" spans="1:12" x14ac:dyDescent="0.25">
      <c r="A1585">
        <v>355270</v>
      </c>
      <c r="B1585">
        <v>355303</v>
      </c>
      <c r="D1585">
        <v>0</v>
      </c>
      <c r="E1585" t="s">
        <v>10013</v>
      </c>
      <c r="F1585" t="s">
        <v>10014</v>
      </c>
      <c r="G1585" t="s">
        <v>10015</v>
      </c>
      <c r="H1585" t="s">
        <v>10016</v>
      </c>
      <c r="I1585" t="s">
        <v>10017</v>
      </c>
      <c r="J1585" t="s">
        <v>10012</v>
      </c>
      <c r="K1585" t="s">
        <v>10018</v>
      </c>
      <c r="L1585" t="s">
        <v>10012</v>
      </c>
    </row>
    <row r="1586" spans="1:12" x14ac:dyDescent="0.25">
      <c r="A1586">
        <v>355270</v>
      </c>
      <c r="B1586">
        <v>355303</v>
      </c>
      <c r="D1586">
        <v>0</v>
      </c>
      <c r="E1586" t="s">
        <v>10020</v>
      </c>
      <c r="F1586" t="s">
        <v>10021</v>
      </c>
      <c r="G1586" t="s">
        <v>10022</v>
      </c>
      <c r="H1586" t="s">
        <v>10023</v>
      </c>
      <c r="I1586" t="s">
        <v>10024</v>
      </c>
      <c r="J1586" t="s">
        <v>10019</v>
      </c>
      <c r="K1586" t="s">
        <v>10025</v>
      </c>
      <c r="L1586" t="s">
        <v>10019</v>
      </c>
    </row>
    <row r="1587" spans="1:12" x14ac:dyDescent="0.25">
      <c r="A1587">
        <v>355270</v>
      </c>
      <c r="B1587">
        <v>599379</v>
      </c>
      <c r="D1587">
        <v>0</v>
      </c>
      <c r="E1587" t="s">
        <v>10027</v>
      </c>
      <c r="F1587" t="s">
        <v>10028</v>
      </c>
      <c r="G1587" t="s">
        <v>10029</v>
      </c>
      <c r="H1587" t="e" vm="684">
        <f>_FV(0,"004040806090405187")</f>
        <v>#VALUE!</v>
      </c>
      <c r="I1587" t="s">
        <v>10030</v>
      </c>
      <c r="J1587" t="s">
        <v>10031</v>
      </c>
      <c r="K1587" t="s">
        <v>10032</v>
      </c>
      <c r="L1587" t="s">
        <v>10026</v>
      </c>
    </row>
    <row r="1588" spans="1:12" x14ac:dyDescent="0.25">
      <c r="A1588">
        <v>355333</v>
      </c>
      <c r="B1588">
        <v>355983</v>
      </c>
      <c r="D1588">
        <v>0</v>
      </c>
      <c r="E1588" t="s">
        <v>10034</v>
      </c>
      <c r="F1588" t="s">
        <v>10035</v>
      </c>
      <c r="G1588" t="s">
        <v>10036</v>
      </c>
      <c r="H1588" t="e" vm="685">
        <f>_FV(0,"02134674884797402")</f>
        <v>#VALUE!</v>
      </c>
      <c r="I1588" t="s">
        <v>10037</v>
      </c>
      <c r="J1588" t="s">
        <v>10038</v>
      </c>
      <c r="K1588" t="s">
        <v>10039</v>
      </c>
      <c r="L1588" t="s">
        <v>10033</v>
      </c>
    </row>
    <row r="1589" spans="1:12" x14ac:dyDescent="0.25">
      <c r="A1589">
        <v>355333</v>
      </c>
      <c r="B1589">
        <v>1174214</v>
      </c>
      <c r="D1589">
        <v>0</v>
      </c>
      <c r="E1589" t="s">
        <v>10041</v>
      </c>
      <c r="F1589" t="s">
        <v>10042</v>
      </c>
      <c r="G1589" t="s">
        <v>10043</v>
      </c>
      <c r="H1589" t="s">
        <v>10044</v>
      </c>
      <c r="I1589" t="s">
        <v>10045</v>
      </c>
      <c r="J1589" t="s">
        <v>10040</v>
      </c>
      <c r="K1589" t="s">
        <v>10046</v>
      </c>
      <c r="L1589" t="s">
        <v>10040</v>
      </c>
    </row>
    <row r="1590" spans="1:12" x14ac:dyDescent="0.25">
      <c r="A1590">
        <v>355333</v>
      </c>
      <c r="B1590">
        <v>355615</v>
      </c>
      <c r="D1590" t="s">
        <v>514</v>
      </c>
      <c r="E1590" t="s">
        <v>10048</v>
      </c>
      <c r="F1590" t="s">
        <v>10049</v>
      </c>
      <c r="G1590" t="s">
        <v>10050</v>
      </c>
      <c r="H1590" t="s">
        <v>10051</v>
      </c>
      <c r="I1590" t="s">
        <v>10052</v>
      </c>
      <c r="J1590" t="s">
        <v>10047</v>
      </c>
      <c r="K1590" t="s">
        <v>10053</v>
      </c>
      <c r="L1590" t="s">
        <v>10047</v>
      </c>
    </row>
    <row r="1591" spans="1:12" x14ac:dyDescent="0.25">
      <c r="A1591">
        <v>355375</v>
      </c>
      <c r="B1591">
        <v>355399</v>
      </c>
      <c r="D1591">
        <v>0</v>
      </c>
      <c r="E1591" t="s">
        <v>10055</v>
      </c>
      <c r="F1591" t="s">
        <v>10056</v>
      </c>
      <c r="G1591" t="s">
        <v>10057</v>
      </c>
      <c r="H1591" t="s">
        <v>10058</v>
      </c>
      <c r="I1591" t="s">
        <v>10059</v>
      </c>
      <c r="J1591" t="s">
        <v>10054</v>
      </c>
      <c r="K1591" t="s">
        <v>10060</v>
      </c>
      <c r="L1591" t="s">
        <v>10054</v>
      </c>
    </row>
    <row r="1592" spans="1:12" x14ac:dyDescent="0.25">
      <c r="A1592">
        <v>355375</v>
      </c>
      <c r="B1592">
        <v>356184</v>
      </c>
      <c r="D1592">
        <v>0</v>
      </c>
      <c r="E1592" t="s">
        <v>10062</v>
      </c>
      <c r="F1592" t="s">
        <v>10063</v>
      </c>
      <c r="G1592" t="s">
        <v>10064</v>
      </c>
      <c r="H1592" t="e" vm="686">
        <f>_FV(0,"027866334604938363")</f>
        <v>#VALUE!</v>
      </c>
      <c r="I1592" t="s">
        <v>10065</v>
      </c>
      <c r="J1592" t="s">
        <v>10066</v>
      </c>
      <c r="K1592" t="s">
        <v>10067</v>
      </c>
      <c r="L1592" t="s">
        <v>10061</v>
      </c>
    </row>
    <row r="1593" spans="1:12" x14ac:dyDescent="0.25">
      <c r="A1593">
        <v>355375</v>
      </c>
      <c r="B1593">
        <v>362114</v>
      </c>
      <c r="D1593" t="s">
        <v>10069</v>
      </c>
      <c r="E1593" t="s">
        <v>10070</v>
      </c>
      <c r="F1593" t="s">
        <v>10071</v>
      </c>
      <c r="G1593" t="s">
        <v>10072</v>
      </c>
      <c r="H1593" t="s">
        <v>10073</v>
      </c>
      <c r="I1593" t="s">
        <v>10074</v>
      </c>
      <c r="J1593" t="s">
        <v>10068</v>
      </c>
      <c r="K1593" t="s">
        <v>10075</v>
      </c>
      <c r="L1593" t="s">
        <v>10068</v>
      </c>
    </row>
    <row r="1594" spans="1:12" x14ac:dyDescent="0.25">
      <c r="A1594">
        <v>355399</v>
      </c>
      <c r="B1594">
        <v>356032</v>
      </c>
      <c r="D1594" t="s">
        <v>1875</v>
      </c>
      <c r="E1594" t="s">
        <v>10077</v>
      </c>
      <c r="F1594" t="s">
        <v>10078</v>
      </c>
      <c r="G1594" t="s">
        <v>10079</v>
      </c>
      <c r="H1594" t="s">
        <v>10080</v>
      </c>
      <c r="I1594" t="s">
        <v>10081</v>
      </c>
      <c r="J1594" t="s">
        <v>10076</v>
      </c>
      <c r="K1594" t="s">
        <v>10082</v>
      </c>
      <c r="L1594" t="s">
        <v>10076</v>
      </c>
    </row>
    <row r="1595" spans="1:12" x14ac:dyDescent="0.25">
      <c r="A1595">
        <v>355399</v>
      </c>
      <c r="B1595">
        <v>1593029</v>
      </c>
      <c r="D1595">
        <v>0</v>
      </c>
      <c r="E1595" t="s">
        <v>10084</v>
      </c>
      <c r="F1595" t="s">
        <v>10085</v>
      </c>
      <c r="G1595" t="s">
        <v>10086</v>
      </c>
      <c r="H1595" t="e" vm="687">
        <f>_FV(0,"020252789314450285")</f>
        <v>#VALUE!</v>
      </c>
      <c r="I1595" t="s">
        <v>10087</v>
      </c>
      <c r="J1595" t="s">
        <v>10088</v>
      </c>
      <c r="K1595" t="s">
        <v>10089</v>
      </c>
      <c r="L1595" t="s">
        <v>10083</v>
      </c>
    </row>
    <row r="1596" spans="1:12" x14ac:dyDescent="0.25">
      <c r="A1596">
        <v>355403</v>
      </c>
      <c r="B1596">
        <v>974427</v>
      </c>
      <c r="D1596">
        <v>0</v>
      </c>
      <c r="E1596" t="s">
        <v>10091</v>
      </c>
      <c r="F1596" t="s">
        <v>10092</v>
      </c>
      <c r="G1596" t="s">
        <v>10093</v>
      </c>
      <c r="H1596" t="s">
        <v>10094</v>
      </c>
      <c r="I1596" t="s">
        <v>10095</v>
      </c>
      <c r="J1596" t="s">
        <v>10090</v>
      </c>
      <c r="K1596" t="s">
        <v>10096</v>
      </c>
      <c r="L1596" t="s">
        <v>10090</v>
      </c>
    </row>
    <row r="1597" spans="1:12" x14ac:dyDescent="0.25">
      <c r="A1597">
        <v>355403</v>
      </c>
      <c r="B1597">
        <v>1055681</v>
      </c>
      <c r="D1597">
        <v>0</v>
      </c>
      <c r="E1597" t="s">
        <v>10098</v>
      </c>
      <c r="F1597" t="s">
        <v>10099</v>
      </c>
      <c r="G1597" t="s">
        <v>10100</v>
      </c>
      <c r="H1597" t="s">
        <v>10101</v>
      </c>
      <c r="I1597" t="s">
        <v>10102</v>
      </c>
      <c r="J1597" t="s">
        <v>10097</v>
      </c>
      <c r="K1597" t="s">
        <v>10103</v>
      </c>
      <c r="L1597" t="s">
        <v>10097</v>
      </c>
    </row>
    <row r="1598" spans="1:12" x14ac:dyDescent="0.25">
      <c r="A1598">
        <v>355403</v>
      </c>
      <c r="B1598">
        <v>1244227</v>
      </c>
      <c r="C1598" t="s">
        <v>10105</v>
      </c>
      <c r="D1598" t="s">
        <v>10106</v>
      </c>
      <c r="E1598" t="s">
        <v>10107</v>
      </c>
      <c r="F1598" t="s">
        <v>10108</v>
      </c>
      <c r="G1598" t="s">
        <v>10109</v>
      </c>
      <c r="H1598" t="e" vm="688">
        <f>_FV(0,"011539129872797893")</f>
        <v>#VALUE!</v>
      </c>
      <c r="I1598" t="s">
        <v>10110</v>
      </c>
      <c r="J1598" t="s">
        <v>10111</v>
      </c>
      <c r="K1598" t="s">
        <v>10112</v>
      </c>
      <c r="L1598" t="s">
        <v>10104</v>
      </c>
    </row>
    <row r="1599" spans="1:12" x14ac:dyDescent="0.25">
      <c r="A1599">
        <v>355461</v>
      </c>
      <c r="B1599">
        <v>355478</v>
      </c>
      <c r="D1599">
        <v>0</v>
      </c>
      <c r="E1599" t="s">
        <v>10114</v>
      </c>
      <c r="F1599" t="s">
        <v>10115</v>
      </c>
      <c r="G1599" t="s">
        <v>10116</v>
      </c>
      <c r="H1599" t="s">
        <v>10117</v>
      </c>
      <c r="I1599" t="s">
        <v>10118</v>
      </c>
      <c r="J1599" t="s">
        <v>10119</v>
      </c>
      <c r="K1599" t="s">
        <v>10120</v>
      </c>
      <c r="L1599" t="s">
        <v>10113</v>
      </c>
    </row>
    <row r="1600" spans="1:12" x14ac:dyDescent="0.25">
      <c r="A1600">
        <v>355478</v>
      </c>
      <c r="B1600">
        <v>355488</v>
      </c>
      <c r="D1600">
        <v>0</v>
      </c>
      <c r="E1600" t="s">
        <v>10122</v>
      </c>
      <c r="F1600" t="s">
        <v>10123</v>
      </c>
      <c r="G1600" t="s">
        <v>10124</v>
      </c>
      <c r="H1600" t="s">
        <v>10125</v>
      </c>
      <c r="I1600" t="s">
        <v>10126</v>
      </c>
      <c r="J1600" t="s">
        <v>10127</v>
      </c>
      <c r="K1600" t="s">
        <v>10128</v>
      </c>
      <c r="L1600" t="s">
        <v>10121</v>
      </c>
    </row>
    <row r="1601" spans="1:12" x14ac:dyDescent="0.25">
      <c r="A1601">
        <v>355478</v>
      </c>
      <c r="B1601">
        <v>355488</v>
      </c>
      <c r="D1601">
        <v>0</v>
      </c>
      <c r="E1601" t="s">
        <v>10130</v>
      </c>
      <c r="F1601" t="s">
        <v>10131</v>
      </c>
      <c r="G1601" t="s">
        <v>10132</v>
      </c>
      <c r="H1601" t="s">
        <v>10133</v>
      </c>
      <c r="I1601" t="s">
        <v>10134</v>
      </c>
      <c r="J1601" t="s">
        <v>10129</v>
      </c>
      <c r="K1601" t="s">
        <v>10135</v>
      </c>
      <c r="L1601" t="s">
        <v>10129</v>
      </c>
    </row>
    <row r="1602" spans="1:12" x14ac:dyDescent="0.25">
      <c r="A1602">
        <v>355488</v>
      </c>
      <c r="B1602">
        <v>355598</v>
      </c>
      <c r="D1602">
        <v>0</v>
      </c>
      <c r="E1602" t="s">
        <v>10137</v>
      </c>
      <c r="F1602" t="s">
        <v>10138</v>
      </c>
      <c r="G1602" t="s">
        <v>10139</v>
      </c>
      <c r="H1602" t="e" vm="689">
        <f>_FV(0,"00018561544532492877")</f>
        <v>#VALUE!</v>
      </c>
      <c r="I1602" t="s">
        <v>10140</v>
      </c>
      <c r="J1602" t="s">
        <v>10141</v>
      </c>
      <c r="K1602" t="s">
        <v>10142</v>
      </c>
      <c r="L1602" t="s">
        <v>10136</v>
      </c>
    </row>
    <row r="1603" spans="1:12" x14ac:dyDescent="0.25">
      <c r="A1603">
        <v>355549</v>
      </c>
      <c r="B1603">
        <v>355566</v>
      </c>
      <c r="D1603">
        <v>0</v>
      </c>
      <c r="E1603" t="s">
        <v>10144</v>
      </c>
      <c r="F1603" t="s">
        <v>10145</v>
      </c>
      <c r="G1603" t="s">
        <v>10146</v>
      </c>
      <c r="H1603" t="s">
        <v>10147</v>
      </c>
      <c r="I1603" t="s">
        <v>10148</v>
      </c>
      <c r="J1603" t="s">
        <v>10149</v>
      </c>
      <c r="K1603" t="s">
        <v>10150</v>
      </c>
      <c r="L1603" t="s">
        <v>10143</v>
      </c>
    </row>
    <row r="1604" spans="1:12" x14ac:dyDescent="0.25">
      <c r="A1604">
        <v>355549</v>
      </c>
      <c r="B1604">
        <v>369045</v>
      </c>
      <c r="D1604" t="s">
        <v>514</v>
      </c>
      <c r="E1604" t="s">
        <v>10152</v>
      </c>
      <c r="F1604" t="s">
        <v>10153</v>
      </c>
      <c r="G1604" t="s">
        <v>10154</v>
      </c>
      <c r="H1604" t="s">
        <v>10155</v>
      </c>
      <c r="I1604" t="s">
        <v>10156</v>
      </c>
      <c r="J1604" t="s">
        <v>10157</v>
      </c>
      <c r="K1604" t="s">
        <v>10158</v>
      </c>
      <c r="L1604" t="s">
        <v>10151</v>
      </c>
    </row>
    <row r="1605" spans="1:12" x14ac:dyDescent="0.25">
      <c r="A1605">
        <v>355566</v>
      </c>
      <c r="B1605">
        <v>1251914</v>
      </c>
      <c r="D1605">
        <v>0</v>
      </c>
      <c r="E1605" t="s">
        <v>10160</v>
      </c>
      <c r="F1605" t="s">
        <v>10161</v>
      </c>
      <c r="G1605" t="s">
        <v>10162</v>
      </c>
      <c r="H1605" t="e" vm="690">
        <f>_FV(0,"00021981880523663986")</f>
        <v>#VALUE!</v>
      </c>
      <c r="I1605" t="s">
        <v>10163</v>
      </c>
      <c r="J1605" t="s">
        <v>10164</v>
      </c>
      <c r="K1605" t="s">
        <v>10165</v>
      </c>
      <c r="L1605" t="s">
        <v>10159</v>
      </c>
    </row>
    <row r="1606" spans="1:12" x14ac:dyDescent="0.25">
      <c r="A1606">
        <v>355587</v>
      </c>
      <c r="B1606">
        <v>355615</v>
      </c>
      <c r="D1606">
        <v>0</v>
      </c>
      <c r="E1606" t="s">
        <v>10167</v>
      </c>
      <c r="F1606" t="s">
        <v>10168</v>
      </c>
      <c r="G1606" t="s">
        <v>10169</v>
      </c>
      <c r="H1606" t="s">
        <v>10170</v>
      </c>
      <c r="I1606" t="s">
        <v>10171</v>
      </c>
      <c r="J1606" t="s">
        <v>10166</v>
      </c>
      <c r="K1606" t="s">
        <v>10172</v>
      </c>
      <c r="L1606" t="s">
        <v>10166</v>
      </c>
    </row>
    <row r="1607" spans="1:12" x14ac:dyDescent="0.25">
      <c r="A1607">
        <v>355587</v>
      </c>
      <c r="B1607">
        <v>1813587</v>
      </c>
      <c r="D1607">
        <v>0</v>
      </c>
      <c r="E1607" t="s">
        <v>10174</v>
      </c>
      <c r="F1607" t="s">
        <v>10175</v>
      </c>
      <c r="G1607" t="s">
        <v>10176</v>
      </c>
      <c r="H1607" t="s">
        <v>10177</v>
      </c>
      <c r="I1607" t="s">
        <v>10178</v>
      </c>
      <c r="J1607" t="s">
        <v>10173</v>
      </c>
      <c r="K1607" t="s">
        <v>10179</v>
      </c>
      <c r="L1607" t="s">
        <v>10173</v>
      </c>
    </row>
    <row r="1608" spans="1:12" x14ac:dyDescent="0.25">
      <c r="A1608">
        <v>355587</v>
      </c>
      <c r="B1608">
        <v>362785</v>
      </c>
      <c r="D1608" t="s">
        <v>3716</v>
      </c>
      <c r="E1608" t="s">
        <v>10181</v>
      </c>
      <c r="F1608" t="s">
        <v>10182</v>
      </c>
      <c r="G1608" t="s">
        <v>10183</v>
      </c>
      <c r="H1608" t="s">
        <v>10184</v>
      </c>
      <c r="I1608" t="s">
        <v>10185</v>
      </c>
      <c r="J1608" t="s">
        <v>10180</v>
      </c>
      <c r="K1608" t="s">
        <v>10186</v>
      </c>
      <c r="L1608" t="s">
        <v>10180</v>
      </c>
    </row>
    <row r="1609" spans="1:12" x14ac:dyDescent="0.25">
      <c r="A1609">
        <v>355598</v>
      </c>
      <c r="B1609">
        <v>355609</v>
      </c>
      <c r="C1609" t="s">
        <v>10188</v>
      </c>
      <c r="D1609">
        <v>0</v>
      </c>
      <c r="E1609" t="s">
        <v>10189</v>
      </c>
      <c r="F1609" t="s">
        <v>10190</v>
      </c>
      <c r="G1609" t="s">
        <v>10191</v>
      </c>
      <c r="H1609" t="e" vm="691">
        <f>_FV(0,"02115781974154355")</f>
        <v>#VALUE!</v>
      </c>
      <c r="I1609" t="s">
        <v>10192</v>
      </c>
      <c r="J1609" t="s">
        <v>10193</v>
      </c>
      <c r="K1609" t="s">
        <v>10194</v>
      </c>
      <c r="L1609" t="s">
        <v>10187</v>
      </c>
    </row>
    <row r="1610" spans="1:12" x14ac:dyDescent="0.25">
      <c r="A1610">
        <v>355598</v>
      </c>
      <c r="B1610">
        <v>355609</v>
      </c>
      <c r="D1610">
        <v>0</v>
      </c>
      <c r="E1610" t="s">
        <v>10196</v>
      </c>
      <c r="F1610" t="s">
        <v>10197</v>
      </c>
      <c r="G1610" t="s">
        <v>10198</v>
      </c>
      <c r="H1610" t="e" vm="692">
        <f>_FV(0,"020753356094938606")</f>
        <v>#VALUE!</v>
      </c>
      <c r="I1610" t="s">
        <v>10199</v>
      </c>
      <c r="J1610" t="s">
        <v>10200</v>
      </c>
      <c r="K1610" t="s">
        <v>10201</v>
      </c>
      <c r="L1610" t="s">
        <v>10195</v>
      </c>
    </row>
    <row r="1611" spans="1:12" x14ac:dyDescent="0.25">
      <c r="A1611">
        <v>355609</v>
      </c>
      <c r="B1611">
        <v>1294611</v>
      </c>
      <c r="D1611">
        <v>0</v>
      </c>
      <c r="E1611" t="s">
        <v>10203</v>
      </c>
      <c r="F1611" t="s">
        <v>10204</v>
      </c>
      <c r="G1611" t="s">
        <v>10205</v>
      </c>
      <c r="H1611" t="e" vm="693">
        <f>_FV(0,"010328101456495768")</f>
        <v>#VALUE!</v>
      </c>
      <c r="I1611" t="s">
        <v>10206</v>
      </c>
      <c r="J1611" t="s">
        <v>10207</v>
      </c>
      <c r="K1611" t="s">
        <v>10208</v>
      </c>
      <c r="L1611" t="s">
        <v>10202</v>
      </c>
    </row>
    <row r="1612" spans="1:12" x14ac:dyDescent="0.25">
      <c r="A1612">
        <v>355615</v>
      </c>
      <c r="B1612">
        <v>1813604</v>
      </c>
      <c r="D1612">
        <v>0</v>
      </c>
      <c r="E1612" t="s">
        <v>10210</v>
      </c>
      <c r="F1612" t="s">
        <v>10211</v>
      </c>
      <c r="G1612" t="s">
        <v>10212</v>
      </c>
      <c r="H1612" t="s">
        <v>10213</v>
      </c>
      <c r="I1612" t="s">
        <v>10214</v>
      </c>
      <c r="J1612" t="s">
        <v>10215</v>
      </c>
      <c r="K1612" t="s">
        <v>10216</v>
      </c>
      <c r="L1612" t="s">
        <v>10209</v>
      </c>
    </row>
    <row r="1613" spans="1:12" x14ac:dyDescent="0.25">
      <c r="A1613">
        <v>355698</v>
      </c>
      <c r="B1613">
        <v>355731</v>
      </c>
      <c r="D1613" t="s">
        <v>2793</v>
      </c>
      <c r="E1613" t="s">
        <v>10218</v>
      </c>
      <c r="F1613" t="s">
        <v>10219</v>
      </c>
      <c r="G1613" t="s">
        <v>10220</v>
      </c>
      <c r="H1613" t="e" vm="694">
        <f>_FV(0,"0030524968216310722")</f>
        <v>#VALUE!</v>
      </c>
      <c r="I1613" t="s">
        <v>10221</v>
      </c>
      <c r="J1613" t="s">
        <v>10222</v>
      </c>
      <c r="K1613" t="s">
        <v>10223</v>
      </c>
      <c r="L1613" t="s">
        <v>10217</v>
      </c>
    </row>
    <row r="1614" spans="1:12" x14ac:dyDescent="0.25">
      <c r="A1614">
        <v>355698</v>
      </c>
      <c r="B1614">
        <v>1825897</v>
      </c>
      <c r="D1614" t="s">
        <v>514</v>
      </c>
      <c r="E1614" t="s">
        <v>10225</v>
      </c>
      <c r="F1614" t="s">
        <v>10226</v>
      </c>
      <c r="G1614" t="s">
        <v>10227</v>
      </c>
      <c r="H1614" t="s">
        <v>10228</v>
      </c>
      <c r="I1614" t="s">
        <v>10229</v>
      </c>
      <c r="J1614" t="s">
        <v>10224</v>
      </c>
      <c r="K1614" t="s">
        <v>10230</v>
      </c>
      <c r="L1614" t="s">
        <v>10224</v>
      </c>
    </row>
    <row r="1615" spans="1:12" x14ac:dyDescent="0.25">
      <c r="A1615">
        <v>355698</v>
      </c>
      <c r="B1615">
        <v>1294550</v>
      </c>
      <c r="D1615" t="s">
        <v>10232</v>
      </c>
      <c r="E1615" t="s">
        <v>10233</v>
      </c>
      <c r="F1615" t="s">
        <v>10234</v>
      </c>
      <c r="G1615" t="s">
        <v>10235</v>
      </c>
      <c r="H1615" t="s">
        <v>10236</v>
      </c>
      <c r="I1615" t="s">
        <v>10237</v>
      </c>
      <c r="J1615" t="s">
        <v>10238</v>
      </c>
      <c r="K1615" t="s">
        <v>10239</v>
      </c>
      <c r="L1615" t="s">
        <v>10231</v>
      </c>
    </row>
    <row r="1616" spans="1:12" x14ac:dyDescent="0.25">
      <c r="A1616">
        <v>355731</v>
      </c>
      <c r="B1616">
        <v>1825996</v>
      </c>
      <c r="D1616">
        <v>0</v>
      </c>
      <c r="F1616">
        <v>2117981</v>
      </c>
      <c r="G1616">
        <v>1825996</v>
      </c>
      <c r="H1616" t="s">
        <v>6429</v>
      </c>
      <c r="I1616">
        <v>355731</v>
      </c>
      <c r="J1616" t="s">
        <v>6429</v>
      </c>
      <c r="K1616" t="s">
        <v>10240</v>
      </c>
      <c r="L1616" t="s">
        <v>6429</v>
      </c>
    </row>
    <row r="1617" spans="1:12" x14ac:dyDescent="0.25">
      <c r="A1617">
        <v>355731</v>
      </c>
      <c r="B1617">
        <v>1825981</v>
      </c>
      <c r="D1617">
        <v>0</v>
      </c>
      <c r="E1617" t="s">
        <v>10242</v>
      </c>
      <c r="F1617" t="s">
        <v>10243</v>
      </c>
      <c r="G1617" t="s">
        <v>10244</v>
      </c>
      <c r="H1617" t="e" vm="695">
        <f>_FV(0,"0046542441876576265")</f>
        <v>#VALUE!</v>
      </c>
      <c r="I1617" t="s">
        <v>10245</v>
      </c>
      <c r="J1617" t="s">
        <v>10246</v>
      </c>
      <c r="K1617" t="s">
        <v>10247</v>
      </c>
      <c r="L1617" t="s">
        <v>10241</v>
      </c>
    </row>
    <row r="1618" spans="1:12" x14ac:dyDescent="0.25">
      <c r="A1618">
        <v>355738</v>
      </c>
      <c r="B1618">
        <v>1825981</v>
      </c>
      <c r="D1618">
        <v>0</v>
      </c>
      <c r="E1618" t="s">
        <v>10249</v>
      </c>
      <c r="F1618" t="s">
        <v>10250</v>
      </c>
      <c r="G1618" t="s">
        <v>10251</v>
      </c>
      <c r="H1618" t="e" vm="696">
        <f>_FV(0,"02342331401237667")</f>
        <v>#VALUE!</v>
      </c>
      <c r="I1618" t="s">
        <v>10252</v>
      </c>
      <c r="J1618" t="s">
        <v>10253</v>
      </c>
      <c r="K1618" t="s">
        <v>10254</v>
      </c>
      <c r="L1618" t="s">
        <v>10248</v>
      </c>
    </row>
    <row r="1619" spans="1:12" x14ac:dyDescent="0.25">
      <c r="A1619">
        <v>355738</v>
      </c>
      <c r="B1619">
        <v>1826007</v>
      </c>
      <c r="D1619">
        <v>0</v>
      </c>
      <c r="F1619">
        <v>2118013</v>
      </c>
      <c r="G1619">
        <v>355738</v>
      </c>
      <c r="H1619" t="e" vm="481">
        <f>_FV(0,"029")</f>
        <v>#VALUE!</v>
      </c>
      <c r="I1619">
        <v>1826007</v>
      </c>
      <c r="J1619" t="s">
        <v>5410</v>
      </c>
      <c r="K1619" t="s">
        <v>10255</v>
      </c>
      <c r="L1619" t="e" vm="481">
        <f>_FV(0,"029")</f>
        <v>#VALUE!</v>
      </c>
    </row>
    <row r="1620" spans="1:12" x14ac:dyDescent="0.25">
      <c r="A1620">
        <v>355792</v>
      </c>
      <c r="B1620">
        <v>358164</v>
      </c>
      <c r="D1620" t="s">
        <v>10257</v>
      </c>
      <c r="E1620" t="s">
        <v>10258</v>
      </c>
      <c r="F1620" t="s">
        <v>10259</v>
      </c>
      <c r="G1620" t="s">
        <v>10260</v>
      </c>
      <c r="H1620" t="s">
        <v>10261</v>
      </c>
      <c r="I1620" t="s">
        <v>10262</v>
      </c>
      <c r="J1620" t="s">
        <v>10263</v>
      </c>
      <c r="K1620" t="s">
        <v>10264</v>
      </c>
      <c r="L1620" t="s">
        <v>10256</v>
      </c>
    </row>
    <row r="1621" spans="1:12" x14ac:dyDescent="0.25">
      <c r="A1621">
        <v>355792</v>
      </c>
      <c r="B1621">
        <v>355915</v>
      </c>
      <c r="D1621" t="s">
        <v>2086</v>
      </c>
      <c r="E1621" t="s">
        <v>10266</v>
      </c>
      <c r="F1621" t="s">
        <v>10267</v>
      </c>
      <c r="G1621" t="s">
        <v>10268</v>
      </c>
      <c r="H1621" t="s">
        <v>10269</v>
      </c>
      <c r="I1621" t="s">
        <v>10270</v>
      </c>
      <c r="J1621" t="s">
        <v>10271</v>
      </c>
      <c r="K1621" t="s">
        <v>10272</v>
      </c>
      <c r="L1621" t="s">
        <v>10265</v>
      </c>
    </row>
    <row r="1622" spans="1:12" x14ac:dyDescent="0.25">
      <c r="A1622">
        <v>355792</v>
      </c>
      <c r="B1622">
        <v>1174617</v>
      </c>
      <c r="D1622">
        <v>0</v>
      </c>
      <c r="E1622" t="s">
        <v>10274</v>
      </c>
      <c r="F1622" t="s">
        <v>10275</v>
      </c>
      <c r="G1622" t="s">
        <v>10276</v>
      </c>
      <c r="H1622" t="e" vm="697">
        <f>_FV(0,"0019581027836842466")</f>
        <v>#VALUE!</v>
      </c>
      <c r="I1622" t="s">
        <v>10277</v>
      </c>
      <c r="J1622" t="s">
        <v>10278</v>
      </c>
      <c r="K1622" t="s">
        <v>10279</v>
      </c>
      <c r="L1622" t="s">
        <v>10273</v>
      </c>
    </row>
    <row r="1623" spans="1:12" x14ac:dyDescent="0.25">
      <c r="A1623">
        <v>355800</v>
      </c>
      <c r="B1623">
        <v>1174631</v>
      </c>
      <c r="D1623">
        <v>0</v>
      </c>
      <c r="E1623" t="s">
        <v>10281</v>
      </c>
      <c r="F1623" t="s">
        <v>10282</v>
      </c>
      <c r="G1623" t="s">
        <v>10283</v>
      </c>
      <c r="H1623" t="e" vm="698">
        <f>_FV(0,"0017367570395036005")</f>
        <v>#VALUE!</v>
      </c>
      <c r="I1623" t="s">
        <v>10284</v>
      </c>
      <c r="J1623" t="s">
        <v>10285</v>
      </c>
      <c r="K1623" t="s">
        <v>10286</v>
      </c>
      <c r="L1623" t="s">
        <v>10280</v>
      </c>
    </row>
    <row r="1624" spans="1:12" x14ac:dyDescent="0.25">
      <c r="A1624">
        <v>355800</v>
      </c>
      <c r="B1624">
        <v>358128</v>
      </c>
      <c r="D1624" t="s">
        <v>10288</v>
      </c>
      <c r="E1624" t="s">
        <v>10289</v>
      </c>
      <c r="F1624" t="s">
        <v>10290</v>
      </c>
      <c r="G1624" t="s">
        <v>10291</v>
      </c>
      <c r="H1624" t="s">
        <v>10292</v>
      </c>
      <c r="I1624" t="s">
        <v>10293</v>
      </c>
      <c r="J1624" t="s">
        <v>10294</v>
      </c>
      <c r="K1624" t="s">
        <v>10295</v>
      </c>
      <c r="L1624" t="s">
        <v>10287</v>
      </c>
    </row>
    <row r="1625" spans="1:12" x14ac:dyDescent="0.25">
      <c r="A1625">
        <v>355800</v>
      </c>
      <c r="B1625">
        <v>355924</v>
      </c>
      <c r="D1625" t="s">
        <v>3298</v>
      </c>
      <c r="E1625" t="s">
        <v>10297</v>
      </c>
      <c r="F1625" t="s">
        <v>10298</v>
      </c>
      <c r="G1625" t="s">
        <v>10299</v>
      </c>
      <c r="H1625" t="s">
        <v>10300</v>
      </c>
      <c r="I1625" t="s">
        <v>10301</v>
      </c>
      <c r="J1625" t="s">
        <v>10302</v>
      </c>
      <c r="K1625" t="s">
        <v>10303</v>
      </c>
      <c r="L1625" t="s">
        <v>10296</v>
      </c>
    </row>
    <row r="1626" spans="1:12" x14ac:dyDescent="0.25">
      <c r="A1626">
        <v>355915</v>
      </c>
      <c r="B1626">
        <v>1174604</v>
      </c>
      <c r="D1626">
        <v>0</v>
      </c>
      <c r="E1626" t="s">
        <v>10305</v>
      </c>
      <c r="F1626" t="s">
        <v>10306</v>
      </c>
      <c r="G1626" t="s">
        <v>10307</v>
      </c>
      <c r="H1626" t="s">
        <v>10308</v>
      </c>
      <c r="I1626" t="s">
        <v>10309</v>
      </c>
      <c r="J1626" t="s">
        <v>10304</v>
      </c>
      <c r="K1626" t="s">
        <v>10310</v>
      </c>
      <c r="L1626" t="s">
        <v>10304</v>
      </c>
    </row>
    <row r="1627" spans="1:12" x14ac:dyDescent="0.25">
      <c r="A1627">
        <v>355915</v>
      </c>
      <c r="B1627">
        <v>355983</v>
      </c>
      <c r="D1627" t="s">
        <v>10312</v>
      </c>
      <c r="E1627" t="s">
        <v>10313</v>
      </c>
      <c r="F1627" t="s">
        <v>10314</v>
      </c>
      <c r="G1627" t="s">
        <v>10315</v>
      </c>
      <c r="H1627" t="e" vm="699">
        <f>_FV(0,"019357986029464473")</f>
        <v>#VALUE!</v>
      </c>
      <c r="I1627" t="s">
        <v>10316</v>
      </c>
      <c r="J1627" t="s">
        <v>10317</v>
      </c>
      <c r="K1627" t="s">
        <v>10318</v>
      </c>
      <c r="L1627" t="s">
        <v>10311</v>
      </c>
    </row>
    <row r="1628" spans="1:12" x14ac:dyDescent="0.25">
      <c r="A1628">
        <v>355924</v>
      </c>
      <c r="B1628">
        <v>355991</v>
      </c>
      <c r="D1628" t="s">
        <v>10320</v>
      </c>
      <c r="E1628" t="s">
        <v>10321</v>
      </c>
      <c r="F1628" t="s">
        <v>10322</v>
      </c>
      <c r="G1628" t="s">
        <v>10323</v>
      </c>
      <c r="H1628" t="e" vm="700">
        <f>_FV(0,"023504605976436374")</f>
        <v>#VALUE!</v>
      </c>
      <c r="I1628" t="s">
        <v>10324</v>
      </c>
      <c r="J1628" t="s">
        <v>10325</v>
      </c>
      <c r="K1628" t="s">
        <v>10326</v>
      </c>
      <c r="L1628" t="s">
        <v>10319</v>
      </c>
    </row>
    <row r="1629" spans="1:12" x14ac:dyDescent="0.25">
      <c r="A1629">
        <v>355924</v>
      </c>
      <c r="B1629">
        <v>1174636</v>
      </c>
      <c r="D1629">
        <v>0</v>
      </c>
      <c r="E1629" t="s">
        <v>10328</v>
      </c>
      <c r="F1629" t="s">
        <v>10329</v>
      </c>
      <c r="G1629" t="s">
        <v>10330</v>
      </c>
      <c r="H1629" t="e" vm="701">
        <f>_FV(0,"005472191937827036")</f>
        <v>#VALUE!</v>
      </c>
      <c r="I1629" t="s">
        <v>10331</v>
      </c>
      <c r="J1629" t="s">
        <v>10332</v>
      </c>
      <c r="K1629" t="s">
        <v>10333</v>
      </c>
      <c r="L1629" t="s">
        <v>10327</v>
      </c>
    </row>
    <row r="1630" spans="1:12" x14ac:dyDescent="0.25">
      <c r="A1630">
        <v>355983</v>
      </c>
      <c r="B1630">
        <v>1174216</v>
      </c>
      <c r="D1630">
        <v>0</v>
      </c>
      <c r="E1630" t="s">
        <v>10335</v>
      </c>
      <c r="F1630" t="s">
        <v>10336</v>
      </c>
      <c r="G1630" t="s">
        <v>10337</v>
      </c>
      <c r="H1630" t="e" vm="702">
        <f>_FV(0,"04431797722873443")</f>
        <v>#VALUE!</v>
      </c>
      <c r="I1630" t="s">
        <v>10338</v>
      </c>
      <c r="J1630" t="s">
        <v>10339</v>
      </c>
      <c r="K1630" t="s">
        <v>10340</v>
      </c>
      <c r="L1630" t="s">
        <v>10334</v>
      </c>
    </row>
    <row r="1631" spans="1:12" x14ac:dyDescent="0.25">
      <c r="A1631">
        <v>355991</v>
      </c>
      <c r="B1631">
        <v>1174239</v>
      </c>
      <c r="D1631">
        <v>0</v>
      </c>
      <c r="E1631" t="s">
        <v>10342</v>
      </c>
      <c r="F1631" t="s">
        <v>10343</v>
      </c>
      <c r="G1631" t="s">
        <v>10344</v>
      </c>
      <c r="H1631" t="s">
        <v>10345</v>
      </c>
      <c r="I1631" t="s">
        <v>10346</v>
      </c>
      <c r="J1631" t="s">
        <v>10347</v>
      </c>
      <c r="K1631" t="s">
        <v>10348</v>
      </c>
      <c r="L1631" t="s">
        <v>10341</v>
      </c>
    </row>
    <row r="1632" spans="1:12" x14ac:dyDescent="0.25">
      <c r="A1632">
        <v>355991</v>
      </c>
      <c r="B1632">
        <v>356032</v>
      </c>
      <c r="D1632">
        <v>0</v>
      </c>
      <c r="E1632" t="s">
        <v>10350</v>
      </c>
      <c r="F1632" t="s">
        <v>10351</v>
      </c>
      <c r="G1632" t="s">
        <v>10352</v>
      </c>
      <c r="H1632" t="e" vm="703">
        <f>_FV(0,"0005645743229255477")</f>
        <v>#VALUE!</v>
      </c>
      <c r="I1632" t="s">
        <v>10353</v>
      </c>
      <c r="J1632" t="s">
        <v>10354</v>
      </c>
      <c r="K1632" t="s">
        <v>10355</v>
      </c>
      <c r="L1632" t="s">
        <v>10349</v>
      </c>
    </row>
    <row r="1633" spans="1:12" x14ac:dyDescent="0.25">
      <c r="A1633">
        <v>356032</v>
      </c>
      <c r="B1633">
        <v>1174245</v>
      </c>
      <c r="D1633">
        <v>0</v>
      </c>
      <c r="E1633" t="s">
        <v>10357</v>
      </c>
      <c r="F1633" t="s">
        <v>10358</v>
      </c>
      <c r="G1633" t="s">
        <v>10359</v>
      </c>
      <c r="H1633" t="e" vm="704">
        <f>_FV(0,"0014328825264327797")</f>
        <v>#VALUE!</v>
      </c>
      <c r="I1633" t="s">
        <v>10360</v>
      </c>
      <c r="J1633" t="s">
        <v>10361</v>
      </c>
      <c r="K1633" t="s">
        <v>10362</v>
      </c>
      <c r="L1633" t="s">
        <v>10356</v>
      </c>
    </row>
    <row r="1634" spans="1:12" x14ac:dyDescent="0.25">
      <c r="A1634">
        <v>356058</v>
      </c>
      <c r="B1634">
        <v>662056</v>
      </c>
      <c r="D1634">
        <v>0</v>
      </c>
      <c r="E1634" t="s">
        <v>10364</v>
      </c>
      <c r="F1634" t="s">
        <v>10365</v>
      </c>
      <c r="G1634" t="s">
        <v>10366</v>
      </c>
      <c r="H1634" t="s">
        <v>10367</v>
      </c>
      <c r="I1634" t="s">
        <v>10368</v>
      </c>
      <c r="J1634" t="s">
        <v>10369</v>
      </c>
      <c r="K1634" t="s">
        <v>10370</v>
      </c>
      <c r="L1634" t="s">
        <v>10363</v>
      </c>
    </row>
    <row r="1635" spans="1:12" x14ac:dyDescent="0.25">
      <c r="A1635">
        <v>356129</v>
      </c>
      <c r="B1635">
        <v>1174239</v>
      </c>
      <c r="D1635">
        <v>0</v>
      </c>
      <c r="F1635">
        <v>1255982</v>
      </c>
      <c r="G1635">
        <v>1174239</v>
      </c>
      <c r="H1635" t="s">
        <v>3279</v>
      </c>
      <c r="I1635">
        <v>356129</v>
      </c>
      <c r="J1635" t="s">
        <v>3279</v>
      </c>
      <c r="K1635" t="s">
        <v>10371</v>
      </c>
      <c r="L1635" t="s">
        <v>3279</v>
      </c>
    </row>
    <row r="1636" spans="1:12" x14ac:dyDescent="0.25">
      <c r="A1636">
        <v>356129</v>
      </c>
      <c r="B1636">
        <v>356142</v>
      </c>
      <c r="D1636">
        <v>0</v>
      </c>
      <c r="E1636" t="s">
        <v>10373</v>
      </c>
      <c r="F1636" t="s">
        <v>10374</v>
      </c>
      <c r="G1636" t="s">
        <v>10375</v>
      </c>
      <c r="H1636" t="s">
        <v>10376</v>
      </c>
      <c r="I1636" t="s">
        <v>10377</v>
      </c>
      <c r="J1636" t="s">
        <v>10372</v>
      </c>
      <c r="K1636" t="s">
        <v>10378</v>
      </c>
      <c r="L1636" t="s">
        <v>10372</v>
      </c>
    </row>
    <row r="1637" spans="1:12" x14ac:dyDescent="0.25">
      <c r="A1637">
        <v>356129</v>
      </c>
      <c r="B1637">
        <v>356494</v>
      </c>
      <c r="D1637">
        <v>0</v>
      </c>
      <c r="E1637" t="s">
        <v>10380</v>
      </c>
      <c r="F1637" t="s">
        <v>10381</v>
      </c>
      <c r="G1637" t="s">
        <v>10382</v>
      </c>
      <c r="H1637" t="s">
        <v>10383</v>
      </c>
      <c r="I1637" t="s">
        <v>10384</v>
      </c>
      <c r="J1637" t="s">
        <v>10385</v>
      </c>
      <c r="K1637" t="s">
        <v>10386</v>
      </c>
      <c r="L1637" t="s">
        <v>10379</v>
      </c>
    </row>
    <row r="1638" spans="1:12" x14ac:dyDescent="0.25">
      <c r="A1638">
        <v>356132</v>
      </c>
      <c r="B1638">
        <v>356143</v>
      </c>
      <c r="D1638">
        <v>0</v>
      </c>
      <c r="E1638" t="s">
        <v>10388</v>
      </c>
      <c r="F1638" t="s">
        <v>10389</v>
      </c>
      <c r="G1638" t="s">
        <v>10390</v>
      </c>
      <c r="H1638" t="e" vm="705">
        <f>_FV(0,"0072002925067053795")</f>
        <v>#VALUE!</v>
      </c>
      <c r="I1638" t="s">
        <v>10391</v>
      </c>
      <c r="J1638" t="s">
        <v>10392</v>
      </c>
      <c r="K1638" t="s">
        <v>10393</v>
      </c>
      <c r="L1638" t="s">
        <v>10387</v>
      </c>
    </row>
    <row r="1639" spans="1:12" x14ac:dyDescent="0.25">
      <c r="A1639">
        <v>356132</v>
      </c>
      <c r="B1639">
        <v>356143</v>
      </c>
      <c r="D1639">
        <v>0</v>
      </c>
      <c r="E1639" t="s">
        <v>10395</v>
      </c>
      <c r="F1639" t="s">
        <v>10396</v>
      </c>
      <c r="G1639" t="s">
        <v>10397</v>
      </c>
      <c r="H1639" t="e" vm="706">
        <f>_FV(0,"007379035520338303")</f>
        <v>#VALUE!</v>
      </c>
      <c r="I1639" t="s">
        <v>10398</v>
      </c>
      <c r="J1639" t="s">
        <v>10399</v>
      </c>
      <c r="K1639" t="s">
        <v>10400</v>
      </c>
      <c r="L1639" t="s">
        <v>10394</v>
      </c>
    </row>
    <row r="1640" spans="1:12" x14ac:dyDescent="0.25">
      <c r="A1640">
        <v>356132</v>
      </c>
      <c r="B1640">
        <v>736345</v>
      </c>
      <c r="C1640" t="s">
        <v>10402</v>
      </c>
      <c r="D1640">
        <v>0</v>
      </c>
      <c r="E1640" t="s">
        <v>10403</v>
      </c>
      <c r="F1640" t="s">
        <v>10404</v>
      </c>
      <c r="G1640" t="s">
        <v>10406</v>
      </c>
      <c r="H1640" t="s">
        <v>10407</v>
      </c>
      <c r="I1640" t="s">
        <v>10408</v>
      </c>
      <c r="J1640" t="s">
        <v>10409</v>
      </c>
      <c r="K1640" t="s">
        <v>10410</v>
      </c>
      <c r="L1640" t="s">
        <v>10401</v>
      </c>
    </row>
    <row r="1641" spans="1:12" x14ac:dyDescent="0.25">
      <c r="A1641">
        <v>356142</v>
      </c>
      <c r="B1641">
        <v>356511</v>
      </c>
      <c r="D1641" t="s">
        <v>1839</v>
      </c>
      <c r="E1641" t="s">
        <v>10412</v>
      </c>
      <c r="F1641" t="s">
        <v>10413</v>
      </c>
      <c r="G1641" t="s">
        <v>10414</v>
      </c>
      <c r="H1641" t="s">
        <v>10415</v>
      </c>
      <c r="I1641" t="s">
        <v>10416</v>
      </c>
      <c r="J1641" t="s">
        <v>10417</v>
      </c>
      <c r="K1641" t="s">
        <v>10418</v>
      </c>
      <c r="L1641" t="s">
        <v>10411</v>
      </c>
    </row>
    <row r="1642" spans="1:12" x14ac:dyDescent="0.25">
      <c r="A1642">
        <v>356142</v>
      </c>
      <c r="B1642">
        <v>356494</v>
      </c>
      <c r="D1642">
        <v>0</v>
      </c>
      <c r="E1642" t="s">
        <v>10419</v>
      </c>
      <c r="F1642" t="s">
        <v>10420</v>
      </c>
      <c r="G1642" t="s">
        <v>10421</v>
      </c>
      <c r="H1642" t="s">
        <v>2871</v>
      </c>
      <c r="I1642" t="s">
        <v>10422</v>
      </c>
      <c r="J1642" t="s">
        <v>2871</v>
      </c>
      <c r="K1642" t="s">
        <v>10423</v>
      </c>
      <c r="L1642" t="s">
        <v>2871</v>
      </c>
    </row>
    <row r="1643" spans="1:12" x14ac:dyDescent="0.25">
      <c r="A1643">
        <v>356184</v>
      </c>
      <c r="B1643">
        <v>1593026</v>
      </c>
      <c r="D1643">
        <v>0</v>
      </c>
      <c r="E1643" t="s">
        <v>10425</v>
      </c>
      <c r="F1643" t="s">
        <v>10426</v>
      </c>
      <c r="G1643" t="s">
        <v>10427</v>
      </c>
      <c r="H1643" t="s">
        <v>10428</v>
      </c>
      <c r="I1643" t="s">
        <v>10429</v>
      </c>
      <c r="J1643" t="s">
        <v>10424</v>
      </c>
      <c r="K1643" t="s">
        <v>10430</v>
      </c>
      <c r="L1643" t="s">
        <v>10424</v>
      </c>
    </row>
    <row r="1644" spans="1:12" x14ac:dyDescent="0.25">
      <c r="A1644">
        <v>356184</v>
      </c>
      <c r="B1644">
        <v>1593029</v>
      </c>
      <c r="D1644">
        <v>0</v>
      </c>
      <c r="E1644" t="s">
        <v>10432</v>
      </c>
      <c r="F1644" t="s">
        <v>10433</v>
      </c>
      <c r="G1644" t="s">
        <v>10434</v>
      </c>
      <c r="H1644" t="e" vm="707">
        <f>_FV(0,"05481611904481073")</f>
        <v>#VALUE!</v>
      </c>
      <c r="I1644" t="s">
        <v>10435</v>
      </c>
      <c r="J1644" t="s">
        <v>10436</v>
      </c>
      <c r="K1644" t="s">
        <v>10437</v>
      </c>
      <c r="L1644" t="s">
        <v>10431</v>
      </c>
    </row>
    <row r="1645" spans="1:12" x14ac:dyDescent="0.25">
      <c r="A1645">
        <v>356326</v>
      </c>
      <c r="B1645">
        <v>670285</v>
      </c>
      <c r="D1645">
        <v>0</v>
      </c>
      <c r="E1645" t="s">
        <v>10439</v>
      </c>
      <c r="F1645" t="s">
        <v>10440</v>
      </c>
      <c r="G1645" t="s">
        <v>10441</v>
      </c>
      <c r="H1645" t="e" vm="708">
        <f>_FV(0,"004921142280883713")</f>
        <v>#VALUE!</v>
      </c>
      <c r="I1645" t="s">
        <v>10442</v>
      </c>
      <c r="J1645" t="s">
        <v>10443</v>
      </c>
      <c r="K1645" t="s">
        <v>10444</v>
      </c>
      <c r="L1645" t="s">
        <v>10438</v>
      </c>
    </row>
    <row r="1646" spans="1:12" x14ac:dyDescent="0.25">
      <c r="A1646">
        <v>356455</v>
      </c>
      <c r="B1646">
        <v>1610274</v>
      </c>
      <c r="D1646">
        <v>0</v>
      </c>
      <c r="F1646">
        <v>1835406</v>
      </c>
      <c r="G1646">
        <v>1610274</v>
      </c>
      <c r="H1646" t="s">
        <v>194</v>
      </c>
      <c r="I1646">
        <v>356455</v>
      </c>
      <c r="J1646" t="s">
        <v>194</v>
      </c>
      <c r="K1646" t="s">
        <v>10445</v>
      </c>
      <c r="L1646" t="s">
        <v>194</v>
      </c>
    </row>
    <row r="1647" spans="1:12" x14ac:dyDescent="0.25">
      <c r="A1647">
        <v>356455</v>
      </c>
      <c r="B1647">
        <v>1714915</v>
      </c>
      <c r="D1647">
        <v>0</v>
      </c>
      <c r="E1647" t="s">
        <v>10447</v>
      </c>
      <c r="F1647" t="s">
        <v>10448</v>
      </c>
      <c r="G1647" t="s">
        <v>10449</v>
      </c>
      <c r="H1647" t="e" vm="709">
        <f>_FV(0,"002709811661802867")</f>
        <v>#VALUE!</v>
      </c>
      <c r="I1647" t="s">
        <v>10450</v>
      </c>
      <c r="J1647" t="s">
        <v>10451</v>
      </c>
      <c r="K1647" t="s">
        <v>10452</v>
      </c>
      <c r="L1647" t="s">
        <v>10446</v>
      </c>
    </row>
    <row r="1648" spans="1:12" x14ac:dyDescent="0.25">
      <c r="A1648">
        <v>356470</v>
      </c>
      <c r="B1648">
        <v>356523</v>
      </c>
      <c r="D1648">
        <v>0</v>
      </c>
      <c r="E1648" t="s">
        <v>10454</v>
      </c>
      <c r="F1648" t="s">
        <v>10455</v>
      </c>
      <c r="G1648" t="s">
        <v>10456</v>
      </c>
      <c r="H1648" t="e" vm="710">
        <f>_FV(0,"02231531141864921")</f>
        <v>#VALUE!</v>
      </c>
      <c r="I1648" t="s">
        <v>10457</v>
      </c>
      <c r="J1648" t="s">
        <v>10458</v>
      </c>
      <c r="K1648" t="s">
        <v>10459</v>
      </c>
      <c r="L1648" t="s">
        <v>10453</v>
      </c>
    </row>
    <row r="1649" spans="1:12" x14ac:dyDescent="0.25">
      <c r="A1649">
        <v>356470</v>
      </c>
      <c r="B1649">
        <v>519871</v>
      </c>
      <c r="C1649" t="s">
        <v>10461</v>
      </c>
      <c r="D1649">
        <v>0</v>
      </c>
      <c r="E1649" t="s">
        <v>10462</v>
      </c>
      <c r="F1649" t="s">
        <v>10463</v>
      </c>
      <c r="G1649" t="s">
        <v>10464</v>
      </c>
      <c r="H1649" t="s">
        <v>10465</v>
      </c>
      <c r="I1649" t="s">
        <v>10466</v>
      </c>
      <c r="J1649" t="s">
        <v>10467</v>
      </c>
      <c r="K1649" t="s">
        <v>10468</v>
      </c>
      <c r="L1649" t="s">
        <v>10460</v>
      </c>
    </row>
    <row r="1650" spans="1:12" x14ac:dyDescent="0.25">
      <c r="A1650">
        <v>356488</v>
      </c>
      <c r="B1650">
        <v>356761</v>
      </c>
      <c r="C1650" t="s">
        <v>10470</v>
      </c>
      <c r="D1650" t="s">
        <v>10471</v>
      </c>
      <c r="E1650" t="s">
        <v>10472</v>
      </c>
      <c r="F1650" t="s">
        <v>10473</v>
      </c>
      <c r="G1650" t="s">
        <v>10474</v>
      </c>
      <c r="H1650" t="s">
        <v>10475</v>
      </c>
      <c r="I1650" t="s">
        <v>10476</v>
      </c>
      <c r="J1650" t="s">
        <v>10477</v>
      </c>
      <c r="K1650" t="s">
        <v>10478</v>
      </c>
      <c r="L1650" t="s">
        <v>10469</v>
      </c>
    </row>
    <row r="1651" spans="1:12" x14ac:dyDescent="0.25">
      <c r="A1651">
        <v>356488</v>
      </c>
      <c r="B1651">
        <v>1714782</v>
      </c>
      <c r="D1651">
        <v>0</v>
      </c>
      <c r="E1651" t="s">
        <v>10480</v>
      </c>
      <c r="F1651" t="s">
        <v>10481</v>
      </c>
      <c r="G1651" t="s">
        <v>10482</v>
      </c>
      <c r="H1651" t="e" vm="711">
        <f>_FV(0,"12052666200040205")</f>
        <v>#VALUE!</v>
      </c>
      <c r="I1651" t="s">
        <v>10483</v>
      </c>
      <c r="J1651" t="s">
        <v>10484</v>
      </c>
      <c r="K1651" t="s">
        <v>10485</v>
      </c>
      <c r="L1651" t="s">
        <v>10479</v>
      </c>
    </row>
    <row r="1652" spans="1:12" x14ac:dyDescent="0.25">
      <c r="A1652">
        <v>356488</v>
      </c>
      <c r="B1652">
        <v>1714798</v>
      </c>
      <c r="D1652">
        <v>0</v>
      </c>
      <c r="E1652" t="s">
        <v>10487</v>
      </c>
      <c r="F1652" t="s">
        <v>10488</v>
      </c>
      <c r="G1652" t="s">
        <v>10489</v>
      </c>
      <c r="H1652" t="e" vm="712">
        <f>_FV(0,"24681964550832092")</f>
        <v>#VALUE!</v>
      </c>
      <c r="I1652" t="s">
        <v>10490</v>
      </c>
      <c r="J1652" t="s">
        <v>10491</v>
      </c>
      <c r="K1652" t="s">
        <v>10492</v>
      </c>
      <c r="L1652" t="s">
        <v>10486</v>
      </c>
    </row>
    <row r="1653" spans="1:12" x14ac:dyDescent="0.25">
      <c r="A1653">
        <v>356494</v>
      </c>
      <c r="B1653">
        <v>1174245</v>
      </c>
      <c r="D1653">
        <v>0</v>
      </c>
      <c r="F1653">
        <v>1256080</v>
      </c>
      <c r="G1653">
        <v>356494</v>
      </c>
      <c r="H1653" t="e" vm="488">
        <f>_FV(0,"047")</f>
        <v>#VALUE!</v>
      </c>
      <c r="I1653">
        <v>1174245</v>
      </c>
      <c r="J1653" t="s">
        <v>2292</v>
      </c>
      <c r="K1653" t="s">
        <v>10493</v>
      </c>
      <c r="L1653" t="e" vm="488">
        <f>_FV(0,"047")</f>
        <v>#VALUE!</v>
      </c>
    </row>
    <row r="1654" spans="1:12" x14ac:dyDescent="0.25">
      <c r="A1654">
        <v>356511</v>
      </c>
      <c r="B1654">
        <v>356519</v>
      </c>
      <c r="D1654">
        <v>0</v>
      </c>
      <c r="E1654" t="s">
        <v>10495</v>
      </c>
      <c r="F1654" t="s">
        <v>10496</v>
      </c>
      <c r="G1654" t="s">
        <v>10497</v>
      </c>
      <c r="H1654" t="s">
        <v>10498</v>
      </c>
      <c r="I1654" t="s">
        <v>10499</v>
      </c>
      <c r="J1654" t="s">
        <v>10494</v>
      </c>
      <c r="K1654" t="s">
        <v>10500</v>
      </c>
      <c r="L1654" t="s">
        <v>10494</v>
      </c>
    </row>
    <row r="1655" spans="1:12" x14ac:dyDescent="0.25">
      <c r="A1655">
        <v>356511</v>
      </c>
      <c r="B1655">
        <v>356622</v>
      </c>
      <c r="D1655">
        <v>0</v>
      </c>
      <c r="E1655" t="s">
        <v>10502</v>
      </c>
      <c r="F1655" t="s">
        <v>10503</v>
      </c>
      <c r="G1655" t="s">
        <v>10504</v>
      </c>
      <c r="H1655" t="s">
        <v>10505</v>
      </c>
      <c r="I1655" t="s">
        <v>10506</v>
      </c>
      <c r="J1655" t="s">
        <v>10501</v>
      </c>
      <c r="K1655" t="s">
        <v>10507</v>
      </c>
      <c r="L1655" t="s">
        <v>10501</v>
      </c>
    </row>
    <row r="1656" spans="1:12" x14ac:dyDescent="0.25">
      <c r="A1656">
        <v>356519</v>
      </c>
      <c r="B1656">
        <v>356622</v>
      </c>
      <c r="D1656">
        <v>0</v>
      </c>
      <c r="E1656" t="s">
        <v>10509</v>
      </c>
      <c r="F1656" t="s">
        <v>10510</v>
      </c>
      <c r="G1656" t="s">
        <v>10511</v>
      </c>
      <c r="H1656" t="s">
        <v>10512</v>
      </c>
      <c r="I1656" t="s">
        <v>10513</v>
      </c>
      <c r="J1656" t="s">
        <v>10514</v>
      </c>
      <c r="K1656" t="s">
        <v>10515</v>
      </c>
      <c r="L1656" t="s">
        <v>10508</v>
      </c>
    </row>
    <row r="1657" spans="1:12" x14ac:dyDescent="0.25">
      <c r="A1657">
        <v>356519</v>
      </c>
      <c r="B1657">
        <v>1174216</v>
      </c>
      <c r="D1657">
        <v>0</v>
      </c>
      <c r="F1657">
        <v>1256107</v>
      </c>
      <c r="G1657">
        <v>356519</v>
      </c>
      <c r="H1657" t="e" vm="713">
        <f>_FV(0,"227")</f>
        <v>#VALUE!</v>
      </c>
      <c r="I1657">
        <v>1174216</v>
      </c>
      <c r="J1657" t="s">
        <v>10516</v>
      </c>
      <c r="K1657" t="s">
        <v>10517</v>
      </c>
      <c r="L1657" t="e" vm="713">
        <f>_FV(0,"227")</f>
        <v>#VALUE!</v>
      </c>
    </row>
    <row r="1658" spans="1:12" x14ac:dyDescent="0.25">
      <c r="A1658">
        <v>356523</v>
      </c>
      <c r="B1658">
        <v>283417</v>
      </c>
      <c r="D1658" t="s">
        <v>10519</v>
      </c>
      <c r="E1658" t="s">
        <v>10520</v>
      </c>
      <c r="F1658" t="s">
        <v>10521</v>
      </c>
      <c r="G1658" t="s">
        <v>10523</v>
      </c>
      <c r="H1658" t="e" vm="714">
        <f>_FV(0,"05883708351702366")</f>
        <v>#VALUE!</v>
      </c>
      <c r="I1658" t="s">
        <v>10524</v>
      </c>
      <c r="J1658" t="s">
        <v>10525</v>
      </c>
      <c r="K1658" t="s">
        <v>10526</v>
      </c>
      <c r="L1658" t="s">
        <v>10518</v>
      </c>
    </row>
    <row r="1659" spans="1:12" x14ac:dyDescent="0.25">
      <c r="A1659">
        <v>356622</v>
      </c>
      <c r="B1659">
        <v>1174214</v>
      </c>
      <c r="D1659">
        <v>0</v>
      </c>
      <c r="F1659">
        <v>1256122</v>
      </c>
      <c r="G1659">
        <v>1174214</v>
      </c>
      <c r="H1659" t="s">
        <v>10527</v>
      </c>
      <c r="I1659">
        <v>356622</v>
      </c>
      <c r="J1659" t="s">
        <v>10527</v>
      </c>
      <c r="K1659" t="s">
        <v>10528</v>
      </c>
      <c r="L1659" t="s">
        <v>10527</v>
      </c>
    </row>
    <row r="1660" spans="1:12" x14ac:dyDescent="0.25">
      <c r="A1660">
        <v>356761</v>
      </c>
      <c r="B1660">
        <v>356849</v>
      </c>
      <c r="D1660">
        <v>0</v>
      </c>
      <c r="E1660" t="s">
        <v>10530</v>
      </c>
      <c r="F1660" t="s">
        <v>10531</v>
      </c>
      <c r="G1660" t="s">
        <v>10532</v>
      </c>
      <c r="H1660" t="e" vm="715">
        <f>_FV(0,"08067902371294183")</f>
        <v>#VALUE!</v>
      </c>
      <c r="I1660" t="s">
        <v>10533</v>
      </c>
      <c r="J1660" t="s">
        <v>10534</v>
      </c>
      <c r="K1660" t="s">
        <v>10535</v>
      </c>
      <c r="L1660" t="s">
        <v>10529</v>
      </c>
    </row>
    <row r="1661" spans="1:12" x14ac:dyDescent="0.25">
      <c r="A1661">
        <v>356761</v>
      </c>
      <c r="B1661">
        <v>672473</v>
      </c>
      <c r="D1661">
        <v>0</v>
      </c>
      <c r="F1661">
        <v>681470</v>
      </c>
      <c r="G1661">
        <v>356761</v>
      </c>
      <c r="H1661" t="e" vm="221">
        <f>_FV(0,"052")</f>
        <v>#VALUE!</v>
      </c>
      <c r="I1661">
        <v>672473</v>
      </c>
      <c r="J1661" t="s">
        <v>3378</v>
      </c>
      <c r="K1661" t="s">
        <v>10536</v>
      </c>
      <c r="L1661" t="e" vm="221">
        <f>_FV(0,"052")</f>
        <v>#VALUE!</v>
      </c>
    </row>
    <row r="1662" spans="1:12" x14ac:dyDescent="0.25">
      <c r="A1662">
        <v>356803</v>
      </c>
      <c r="B1662">
        <v>356849</v>
      </c>
      <c r="D1662" t="s">
        <v>10538</v>
      </c>
      <c r="E1662" t="s">
        <v>10539</v>
      </c>
      <c r="F1662" t="s">
        <v>10540</v>
      </c>
      <c r="G1662" t="s">
        <v>10541</v>
      </c>
      <c r="H1662" t="s">
        <v>10542</v>
      </c>
      <c r="I1662" t="s">
        <v>10543</v>
      </c>
      <c r="J1662" t="s">
        <v>10544</v>
      </c>
      <c r="K1662" t="s">
        <v>10545</v>
      </c>
      <c r="L1662" t="s">
        <v>10537</v>
      </c>
    </row>
    <row r="1663" spans="1:12" x14ac:dyDescent="0.25">
      <c r="A1663">
        <v>356803</v>
      </c>
      <c r="B1663">
        <v>672427</v>
      </c>
      <c r="D1663">
        <v>0</v>
      </c>
      <c r="E1663" t="s">
        <v>10547</v>
      </c>
      <c r="F1663" t="s">
        <v>10548</v>
      </c>
      <c r="G1663" t="s">
        <v>10549</v>
      </c>
      <c r="H1663" t="s">
        <v>10550</v>
      </c>
      <c r="I1663" t="s">
        <v>10551</v>
      </c>
      <c r="J1663" t="s">
        <v>10546</v>
      </c>
      <c r="K1663" t="s">
        <v>10552</v>
      </c>
      <c r="L1663" t="s">
        <v>10546</v>
      </c>
    </row>
    <row r="1664" spans="1:12" x14ac:dyDescent="0.25">
      <c r="A1664">
        <v>356803</v>
      </c>
      <c r="B1664">
        <v>672473</v>
      </c>
      <c r="D1664">
        <v>0</v>
      </c>
      <c r="E1664" t="s">
        <v>10554</v>
      </c>
      <c r="F1664" t="s">
        <v>10555</v>
      </c>
      <c r="G1664" t="s">
        <v>10556</v>
      </c>
      <c r="H1664" t="s">
        <v>10557</v>
      </c>
      <c r="I1664" t="s">
        <v>10558</v>
      </c>
      <c r="J1664" t="s">
        <v>10559</v>
      </c>
      <c r="K1664" t="s">
        <v>10560</v>
      </c>
      <c r="L1664" t="s">
        <v>10553</v>
      </c>
    </row>
    <row r="1665" spans="1:12" x14ac:dyDescent="0.25">
      <c r="A1665">
        <v>356849</v>
      </c>
      <c r="B1665">
        <v>1251681</v>
      </c>
      <c r="D1665">
        <v>0</v>
      </c>
      <c r="F1665">
        <v>2102676</v>
      </c>
      <c r="G1665">
        <v>1251681</v>
      </c>
      <c r="H1665" t="s">
        <v>1814</v>
      </c>
      <c r="I1665">
        <v>356849</v>
      </c>
      <c r="J1665" t="s">
        <v>1814</v>
      </c>
      <c r="K1665" t="s">
        <v>10561</v>
      </c>
      <c r="L1665" t="s">
        <v>1814</v>
      </c>
    </row>
    <row r="1666" spans="1:12" x14ac:dyDescent="0.25">
      <c r="A1666">
        <v>356907</v>
      </c>
      <c r="B1666">
        <v>356908</v>
      </c>
      <c r="D1666">
        <v>0</v>
      </c>
      <c r="F1666">
        <v>368137</v>
      </c>
      <c r="G1666">
        <v>356908</v>
      </c>
      <c r="H1666" t="e" vm="716">
        <f>_FV(0,"129")</f>
        <v>#VALUE!</v>
      </c>
      <c r="I1666">
        <v>356907</v>
      </c>
      <c r="J1666" t="s">
        <v>10562</v>
      </c>
      <c r="K1666" t="s">
        <v>10563</v>
      </c>
      <c r="L1666" t="e" vm="716">
        <f>_FV(0,"129")</f>
        <v>#VALUE!</v>
      </c>
    </row>
    <row r="1667" spans="1:12" x14ac:dyDescent="0.25">
      <c r="A1667">
        <v>356907</v>
      </c>
      <c r="B1667">
        <v>1055557</v>
      </c>
      <c r="D1667">
        <v>0</v>
      </c>
      <c r="E1667" t="s">
        <v>10565</v>
      </c>
      <c r="F1667" t="s">
        <v>10566</v>
      </c>
      <c r="G1667" t="s">
        <v>10567</v>
      </c>
      <c r="H1667" t="e" vm="717">
        <f>_FV(0,"22591150666433607")</f>
        <v>#VALUE!</v>
      </c>
      <c r="I1667" t="s">
        <v>10568</v>
      </c>
      <c r="J1667" t="s">
        <v>10569</v>
      </c>
      <c r="K1667" t="s">
        <v>10570</v>
      </c>
      <c r="L1667" t="s">
        <v>10564</v>
      </c>
    </row>
    <row r="1668" spans="1:12" x14ac:dyDescent="0.25">
      <c r="A1668">
        <v>356907</v>
      </c>
      <c r="B1668">
        <v>374676</v>
      </c>
      <c r="C1668" t="s">
        <v>10572</v>
      </c>
      <c r="D1668" t="s">
        <v>10573</v>
      </c>
      <c r="E1668" t="s">
        <v>10574</v>
      </c>
      <c r="F1668" t="s">
        <v>10575</v>
      </c>
      <c r="G1668" t="s">
        <v>10576</v>
      </c>
      <c r="H1668" t="s">
        <v>10577</v>
      </c>
      <c r="I1668" t="s">
        <v>10578</v>
      </c>
      <c r="J1668" t="s">
        <v>10579</v>
      </c>
      <c r="K1668" t="s">
        <v>10580</v>
      </c>
      <c r="L1668" t="s">
        <v>10571</v>
      </c>
    </row>
    <row r="1669" spans="1:12" x14ac:dyDescent="0.25">
      <c r="A1669">
        <v>357075</v>
      </c>
      <c r="B1669">
        <v>357105</v>
      </c>
      <c r="D1669">
        <v>0</v>
      </c>
      <c r="E1669" t="s">
        <v>10581</v>
      </c>
      <c r="F1669">
        <v>1427342</v>
      </c>
      <c r="G1669">
        <v>357075</v>
      </c>
      <c r="H1669" t="e" vm="718">
        <f>_FV(0,"11")</f>
        <v>#VALUE!</v>
      </c>
      <c r="I1669">
        <v>357105</v>
      </c>
      <c r="J1669" t="s">
        <v>10582</v>
      </c>
      <c r="K1669" t="s">
        <v>10583</v>
      </c>
      <c r="L1669" t="e" vm="718">
        <f>_FV(0,"11")</f>
        <v>#VALUE!</v>
      </c>
    </row>
    <row r="1670" spans="1:12" x14ac:dyDescent="0.25">
      <c r="A1670">
        <v>357075</v>
      </c>
      <c r="B1670">
        <v>664979</v>
      </c>
      <c r="D1670">
        <v>0</v>
      </c>
      <c r="E1670" t="s">
        <v>10585</v>
      </c>
      <c r="F1670" t="s">
        <v>10586</v>
      </c>
      <c r="G1670" t="s">
        <v>10587</v>
      </c>
      <c r="H1670" t="s">
        <v>10588</v>
      </c>
      <c r="I1670" t="s">
        <v>10589</v>
      </c>
      <c r="J1670" t="s">
        <v>10590</v>
      </c>
      <c r="K1670" t="s">
        <v>10591</v>
      </c>
      <c r="L1670" t="s">
        <v>10584</v>
      </c>
    </row>
    <row r="1671" spans="1:12" x14ac:dyDescent="0.25">
      <c r="A1671">
        <v>357075</v>
      </c>
      <c r="B1671">
        <v>951446</v>
      </c>
      <c r="D1671">
        <v>0</v>
      </c>
      <c r="E1671" t="s">
        <v>10593</v>
      </c>
      <c r="F1671" t="s">
        <v>10594</v>
      </c>
      <c r="G1671" t="s">
        <v>10595</v>
      </c>
      <c r="H1671" t="s">
        <v>10596</v>
      </c>
      <c r="I1671" t="s">
        <v>10597</v>
      </c>
      <c r="J1671" t="s">
        <v>10598</v>
      </c>
      <c r="K1671" t="s">
        <v>10599</v>
      </c>
      <c r="L1671" t="s">
        <v>10592</v>
      </c>
    </row>
    <row r="1672" spans="1:12" x14ac:dyDescent="0.25">
      <c r="A1672">
        <v>357105</v>
      </c>
      <c r="B1672">
        <v>951446</v>
      </c>
      <c r="D1672">
        <v>0</v>
      </c>
      <c r="E1672" t="s">
        <v>10601</v>
      </c>
      <c r="F1672" t="s">
        <v>10602</v>
      </c>
      <c r="G1672" t="s">
        <v>10603</v>
      </c>
      <c r="H1672" t="s">
        <v>10604</v>
      </c>
      <c r="I1672" t="s">
        <v>10605</v>
      </c>
      <c r="J1672" t="s">
        <v>10606</v>
      </c>
      <c r="K1672" t="s">
        <v>10607</v>
      </c>
      <c r="L1672" t="s">
        <v>10600</v>
      </c>
    </row>
    <row r="1673" spans="1:12" x14ac:dyDescent="0.25">
      <c r="A1673">
        <v>357714</v>
      </c>
      <c r="B1673">
        <v>357724</v>
      </c>
      <c r="D1673">
        <v>0</v>
      </c>
      <c r="F1673">
        <v>368890</v>
      </c>
      <c r="G1673">
        <v>357724</v>
      </c>
      <c r="H1673" t="s">
        <v>4848</v>
      </c>
      <c r="I1673">
        <v>357714</v>
      </c>
      <c r="J1673" t="s">
        <v>4848</v>
      </c>
      <c r="K1673" t="s">
        <v>10608</v>
      </c>
      <c r="L1673" t="s">
        <v>4848</v>
      </c>
    </row>
    <row r="1674" spans="1:12" x14ac:dyDescent="0.25">
      <c r="A1674">
        <v>357714</v>
      </c>
      <c r="B1674">
        <v>357724</v>
      </c>
      <c r="D1674">
        <v>0</v>
      </c>
      <c r="E1674" t="s">
        <v>10610</v>
      </c>
      <c r="F1674" t="s">
        <v>10611</v>
      </c>
      <c r="G1674" t="s">
        <v>10612</v>
      </c>
      <c r="H1674" t="s">
        <v>10613</v>
      </c>
      <c r="I1674" t="s">
        <v>10614</v>
      </c>
      <c r="J1674" t="s">
        <v>10615</v>
      </c>
      <c r="K1674" t="s">
        <v>10616</v>
      </c>
      <c r="L1674" t="s">
        <v>10609</v>
      </c>
    </row>
    <row r="1675" spans="1:12" x14ac:dyDescent="0.25">
      <c r="A1675">
        <v>357714</v>
      </c>
      <c r="B1675">
        <v>1854799</v>
      </c>
      <c r="C1675" t="s">
        <v>10617</v>
      </c>
      <c r="D1675">
        <v>0</v>
      </c>
      <c r="E1675" t="s">
        <v>10618</v>
      </c>
      <c r="H1675" t="s">
        <v>187</v>
      </c>
      <c r="J1675">
        <v>0</v>
      </c>
      <c r="K1675" t="s">
        <v>10619</v>
      </c>
      <c r="L1675">
        <v>0</v>
      </c>
    </row>
    <row r="1676" spans="1:12" x14ac:dyDescent="0.25">
      <c r="A1676">
        <v>357724</v>
      </c>
      <c r="B1676">
        <v>357958</v>
      </c>
      <c r="D1676">
        <v>0</v>
      </c>
      <c r="E1676" t="s">
        <v>10621</v>
      </c>
      <c r="F1676" t="s">
        <v>10622</v>
      </c>
      <c r="G1676" t="s">
        <v>10623</v>
      </c>
      <c r="H1676" t="e" vm="719">
        <f>_FV(0,"015937282741946168")</f>
        <v>#VALUE!</v>
      </c>
      <c r="I1676" t="s">
        <v>10624</v>
      </c>
      <c r="J1676" t="s">
        <v>10625</v>
      </c>
      <c r="K1676" t="s">
        <v>10626</v>
      </c>
      <c r="L1676" t="s">
        <v>10620</v>
      </c>
    </row>
    <row r="1677" spans="1:12" x14ac:dyDescent="0.25">
      <c r="A1677">
        <v>357882</v>
      </c>
      <c r="B1677">
        <v>365562</v>
      </c>
      <c r="D1677" t="s">
        <v>10628</v>
      </c>
      <c r="E1677" t="s">
        <v>10629</v>
      </c>
      <c r="F1677" t="s">
        <v>10630</v>
      </c>
      <c r="G1677" t="s">
        <v>10631</v>
      </c>
      <c r="H1677" t="e" vm="720">
        <f>_FV(0,"015852536686872764")</f>
        <v>#VALUE!</v>
      </c>
      <c r="I1677" t="s">
        <v>10632</v>
      </c>
      <c r="J1677" t="s">
        <v>10633</v>
      </c>
      <c r="K1677" t="s">
        <v>10634</v>
      </c>
      <c r="L1677" t="s">
        <v>10627</v>
      </c>
    </row>
    <row r="1678" spans="1:12" x14ac:dyDescent="0.25">
      <c r="A1678">
        <v>357882</v>
      </c>
      <c r="B1678">
        <v>358154</v>
      </c>
      <c r="D1678">
        <v>0</v>
      </c>
      <c r="E1678" t="s">
        <v>10636</v>
      </c>
      <c r="F1678" t="s">
        <v>10637</v>
      </c>
      <c r="G1678" t="s">
        <v>10638</v>
      </c>
      <c r="H1678" t="e" vm="721">
        <f>_FV(0,"007117023865388537")</f>
        <v>#VALUE!</v>
      </c>
      <c r="I1678" t="s">
        <v>10639</v>
      </c>
      <c r="J1678" t="s">
        <v>10640</v>
      </c>
      <c r="K1678" t="s">
        <v>10641</v>
      </c>
      <c r="L1678" t="s">
        <v>10635</v>
      </c>
    </row>
    <row r="1679" spans="1:12" x14ac:dyDescent="0.25">
      <c r="A1679">
        <v>357899</v>
      </c>
      <c r="B1679">
        <v>358102</v>
      </c>
      <c r="D1679">
        <v>0</v>
      </c>
      <c r="E1679" t="s">
        <v>10643</v>
      </c>
      <c r="F1679" t="s">
        <v>10644</v>
      </c>
      <c r="G1679" t="s">
        <v>10645</v>
      </c>
      <c r="H1679" t="e" vm="722">
        <f>_FV(0,"00690969594419227")</f>
        <v>#VALUE!</v>
      </c>
      <c r="I1679" t="s">
        <v>10646</v>
      </c>
      <c r="J1679" t="s">
        <v>10647</v>
      </c>
      <c r="K1679" t="s">
        <v>10648</v>
      </c>
      <c r="L1679" t="s">
        <v>10642</v>
      </c>
    </row>
    <row r="1680" spans="1:12" x14ac:dyDescent="0.25">
      <c r="A1680">
        <v>357899</v>
      </c>
      <c r="B1680">
        <v>362794</v>
      </c>
      <c r="D1680">
        <v>0</v>
      </c>
      <c r="E1680" t="s">
        <v>10650</v>
      </c>
      <c r="F1680" t="s">
        <v>10651</v>
      </c>
      <c r="G1680" t="s">
        <v>10652</v>
      </c>
      <c r="H1680" t="s">
        <v>10653</v>
      </c>
      <c r="I1680" t="s">
        <v>10654</v>
      </c>
      <c r="J1680" t="s">
        <v>10649</v>
      </c>
      <c r="K1680" t="s">
        <v>10655</v>
      </c>
      <c r="L1680" t="s">
        <v>10649</v>
      </c>
    </row>
    <row r="1681" spans="1:12" x14ac:dyDescent="0.25">
      <c r="A1681">
        <v>357958</v>
      </c>
      <c r="B1681">
        <v>1218215</v>
      </c>
      <c r="D1681">
        <v>0</v>
      </c>
      <c r="E1681" t="s">
        <v>10657</v>
      </c>
      <c r="F1681" t="s">
        <v>10658</v>
      </c>
      <c r="G1681" t="s">
        <v>10660</v>
      </c>
      <c r="H1681" t="s">
        <v>10661</v>
      </c>
      <c r="I1681" t="s">
        <v>10662</v>
      </c>
      <c r="J1681" t="s">
        <v>10663</v>
      </c>
      <c r="K1681" t="s">
        <v>10664</v>
      </c>
      <c r="L1681" t="s">
        <v>10656</v>
      </c>
    </row>
    <row r="1682" spans="1:12" x14ac:dyDescent="0.25">
      <c r="A1682">
        <v>357958</v>
      </c>
      <c r="B1682">
        <v>1218257</v>
      </c>
      <c r="D1682">
        <v>0</v>
      </c>
      <c r="E1682" t="s">
        <v>10666</v>
      </c>
      <c r="F1682" t="s">
        <v>10667</v>
      </c>
      <c r="G1682" t="s">
        <v>10668</v>
      </c>
      <c r="H1682" t="s">
        <v>10669</v>
      </c>
      <c r="I1682" t="s">
        <v>10670</v>
      </c>
      <c r="J1682" t="s">
        <v>10671</v>
      </c>
      <c r="K1682" t="s">
        <v>10672</v>
      </c>
      <c r="L1682" t="s">
        <v>10665</v>
      </c>
    </row>
    <row r="1683" spans="1:12" x14ac:dyDescent="0.25">
      <c r="A1683">
        <v>357969</v>
      </c>
      <c r="B1683">
        <v>358102</v>
      </c>
      <c r="D1683" t="s">
        <v>2086</v>
      </c>
      <c r="E1683" t="s">
        <v>10674</v>
      </c>
      <c r="F1683" t="s">
        <v>10675</v>
      </c>
      <c r="G1683" t="s">
        <v>10676</v>
      </c>
      <c r="H1683" t="e" vm="723">
        <f>_FV(0,"01978688541762106")</f>
        <v>#VALUE!</v>
      </c>
      <c r="I1683" t="s">
        <v>10677</v>
      </c>
      <c r="J1683" t="s">
        <v>10678</v>
      </c>
      <c r="K1683" t="s">
        <v>10679</v>
      </c>
      <c r="L1683" t="s">
        <v>10673</v>
      </c>
    </row>
    <row r="1684" spans="1:12" x14ac:dyDescent="0.25">
      <c r="A1684">
        <v>357969</v>
      </c>
      <c r="B1684">
        <v>366078</v>
      </c>
      <c r="D1684">
        <v>0</v>
      </c>
      <c r="E1684" t="s">
        <v>10681</v>
      </c>
      <c r="F1684" t="s">
        <v>10682</v>
      </c>
      <c r="G1684" t="s">
        <v>10683</v>
      </c>
      <c r="H1684" t="s">
        <v>10684</v>
      </c>
      <c r="I1684" t="s">
        <v>10685</v>
      </c>
      <c r="J1684" t="s">
        <v>10686</v>
      </c>
      <c r="K1684" t="s">
        <v>10687</v>
      </c>
      <c r="L1684" t="s">
        <v>10680</v>
      </c>
    </row>
    <row r="1685" spans="1:12" x14ac:dyDescent="0.25">
      <c r="A1685">
        <v>358057</v>
      </c>
      <c r="B1685">
        <v>1359667</v>
      </c>
      <c r="D1685" t="s">
        <v>10689</v>
      </c>
      <c r="E1685" t="s">
        <v>10690</v>
      </c>
      <c r="F1685" t="s">
        <v>10691</v>
      </c>
      <c r="G1685" t="s">
        <v>10692</v>
      </c>
      <c r="H1685" t="e" vm="724">
        <f>_FV(0,"00025792187506659935")</f>
        <v>#VALUE!</v>
      </c>
      <c r="I1685" t="s">
        <v>10693</v>
      </c>
      <c r="J1685" t="s">
        <v>10694</v>
      </c>
      <c r="K1685" t="s">
        <v>10695</v>
      </c>
      <c r="L1685" t="s">
        <v>10688</v>
      </c>
    </row>
    <row r="1686" spans="1:12" x14ac:dyDescent="0.25">
      <c r="A1686">
        <v>358057</v>
      </c>
      <c r="B1686">
        <v>465883</v>
      </c>
      <c r="C1686" t="s">
        <v>10697</v>
      </c>
      <c r="D1686" t="s">
        <v>10698</v>
      </c>
      <c r="E1686" t="s">
        <v>10699</v>
      </c>
      <c r="F1686" t="s">
        <v>10700</v>
      </c>
      <c r="G1686" t="s">
        <v>10701</v>
      </c>
      <c r="H1686" t="e" vm="725">
        <f>_FV(0,"0068110542567474345")</f>
        <v>#VALUE!</v>
      </c>
      <c r="I1686" t="s">
        <v>10702</v>
      </c>
      <c r="J1686" t="s">
        <v>10703</v>
      </c>
      <c r="K1686" t="s">
        <v>10704</v>
      </c>
      <c r="L1686" t="s">
        <v>10696</v>
      </c>
    </row>
    <row r="1687" spans="1:12" x14ac:dyDescent="0.25">
      <c r="A1687">
        <v>358057</v>
      </c>
      <c r="B1687">
        <v>465890</v>
      </c>
      <c r="D1687" t="s">
        <v>10706</v>
      </c>
      <c r="E1687" t="s">
        <v>10707</v>
      </c>
      <c r="F1687" t="s">
        <v>10708</v>
      </c>
      <c r="G1687" t="s">
        <v>10709</v>
      </c>
      <c r="H1687" t="e" vm="726">
        <f>_FV(0,"001138589887339991")</f>
        <v>#VALUE!</v>
      </c>
      <c r="I1687" t="s">
        <v>10710</v>
      </c>
      <c r="J1687" t="s">
        <v>10711</v>
      </c>
      <c r="K1687" t="s">
        <v>10712</v>
      </c>
      <c r="L1687" t="s">
        <v>10705</v>
      </c>
    </row>
    <row r="1688" spans="1:12" x14ac:dyDescent="0.25">
      <c r="A1688">
        <v>358075</v>
      </c>
      <c r="B1688">
        <v>358109</v>
      </c>
      <c r="D1688">
        <v>0</v>
      </c>
      <c r="E1688" t="s">
        <v>10714</v>
      </c>
      <c r="F1688" t="s">
        <v>10715</v>
      </c>
      <c r="G1688" t="s">
        <v>10716</v>
      </c>
      <c r="H1688" t="s">
        <v>10717</v>
      </c>
      <c r="I1688" t="s">
        <v>10718</v>
      </c>
      <c r="J1688" t="s">
        <v>10719</v>
      </c>
      <c r="K1688" t="s">
        <v>10720</v>
      </c>
      <c r="L1688" t="s">
        <v>10713</v>
      </c>
    </row>
    <row r="1689" spans="1:12" x14ac:dyDescent="0.25">
      <c r="A1689">
        <v>358075</v>
      </c>
      <c r="B1689">
        <v>1249607</v>
      </c>
      <c r="D1689">
        <v>0</v>
      </c>
      <c r="E1689" t="s">
        <v>10722</v>
      </c>
      <c r="F1689" t="s">
        <v>10723</v>
      </c>
      <c r="G1689" t="s">
        <v>10724</v>
      </c>
      <c r="H1689" t="e" vm="727">
        <f>_FV(0,"018158692577459834")</f>
        <v>#VALUE!</v>
      </c>
      <c r="I1689" t="s">
        <v>10725</v>
      </c>
      <c r="J1689" t="s">
        <v>10726</v>
      </c>
      <c r="K1689" t="s">
        <v>10727</v>
      </c>
      <c r="L1689" t="s">
        <v>10721</v>
      </c>
    </row>
    <row r="1690" spans="1:12" x14ac:dyDescent="0.25">
      <c r="A1690">
        <v>358075</v>
      </c>
      <c r="B1690">
        <v>1250987</v>
      </c>
      <c r="D1690">
        <v>0</v>
      </c>
      <c r="E1690" t="s">
        <v>10729</v>
      </c>
      <c r="F1690" t="s">
        <v>10730</v>
      </c>
      <c r="G1690" t="s">
        <v>10731</v>
      </c>
      <c r="H1690" t="e" vm="728">
        <f>_FV(0,"013316239533402875")</f>
        <v>#VALUE!</v>
      </c>
      <c r="I1690" t="s">
        <v>10732</v>
      </c>
      <c r="J1690" t="s">
        <v>10733</v>
      </c>
      <c r="K1690" t="s">
        <v>10734</v>
      </c>
      <c r="L1690" t="s">
        <v>10728</v>
      </c>
    </row>
    <row r="1691" spans="1:12" x14ac:dyDescent="0.25">
      <c r="A1691">
        <v>358109</v>
      </c>
      <c r="B1691">
        <v>1251042</v>
      </c>
      <c r="D1691">
        <v>0</v>
      </c>
      <c r="E1691" t="s">
        <v>10736</v>
      </c>
      <c r="F1691" t="s">
        <v>10737</v>
      </c>
      <c r="G1691" t="s">
        <v>10738</v>
      </c>
      <c r="H1691" t="s">
        <v>10739</v>
      </c>
      <c r="I1691" t="s">
        <v>10740</v>
      </c>
      <c r="J1691" t="s">
        <v>10735</v>
      </c>
      <c r="K1691" t="s">
        <v>10741</v>
      </c>
      <c r="L1691" t="s">
        <v>10735</v>
      </c>
    </row>
    <row r="1692" spans="1:12" x14ac:dyDescent="0.25">
      <c r="A1692">
        <v>358109</v>
      </c>
      <c r="B1692">
        <v>1251095</v>
      </c>
      <c r="D1692">
        <v>0</v>
      </c>
      <c r="E1692" t="s">
        <v>10743</v>
      </c>
      <c r="F1692" t="s">
        <v>10744</v>
      </c>
      <c r="G1692" t="s">
        <v>10745</v>
      </c>
      <c r="H1692" t="s">
        <v>10746</v>
      </c>
      <c r="I1692" t="s">
        <v>10747</v>
      </c>
      <c r="J1692" t="s">
        <v>10742</v>
      </c>
      <c r="K1692" t="s">
        <v>10748</v>
      </c>
      <c r="L1692" t="s">
        <v>10742</v>
      </c>
    </row>
    <row r="1693" spans="1:12" x14ac:dyDescent="0.25">
      <c r="A1693">
        <v>358126</v>
      </c>
      <c r="B1693">
        <v>358200</v>
      </c>
      <c r="D1693" t="s">
        <v>10750</v>
      </c>
      <c r="E1693" t="s">
        <v>10751</v>
      </c>
      <c r="F1693" t="s">
        <v>10752</v>
      </c>
      <c r="G1693" t="s">
        <v>10753</v>
      </c>
      <c r="H1693" t="s">
        <v>10754</v>
      </c>
      <c r="I1693" t="s">
        <v>10755</v>
      </c>
      <c r="J1693" t="s">
        <v>10756</v>
      </c>
      <c r="K1693" t="s">
        <v>10757</v>
      </c>
      <c r="L1693" t="s">
        <v>10749</v>
      </c>
    </row>
    <row r="1694" spans="1:12" x14ac:dyDescent="0.25">
      <c r="A1694">
        <v>358126</v>
      </c>
      <c r="B1694">
        <v>1251061</v>
      </c>
      <c r="D1694">
        <v>0</v>
      </c>
      <c r="E1694" t="s">
        <v>10759</v>
      </c>
      <c r="F1694" t="s">
        <v>10760</v>
      </c>
      <c r="G1694" t="s">
        <v>10761</v>
      </c>
      <c r="H1694" t="e" vm="729">
        <f>_FV(0,"10608538157878568")</f>
        <v>#VALUE!</v>
      </c>
      <c r="I1694" t="s">
        <v>10762</v>
      </c>
      <c r="J1694" t="s">
        <v>10763</v>
      </c>
      <c r="K1694" t="s">
        <v>10764</v>
      </c>
      <c r="L1694" t="s">
        <v>10758</v>
      </c>
    </row>
    <row r="1695" spans="1:12" x14ac:dyDescent="0.25">
      <c r="A1695">
        <v>358126</v>
      </c>
      <c r="B1695">
        <v>1251075</v>
      </c>
      <c r="D1695">
        <v>0</v>
      </c>
      <c r="E1695" t="s">
        <v>10766</v>
      </c>
      <c r="F1695" t="s">
        <v>10767</v>
      </c>
      <c r="G1695" t="s">
        <v>10768</v>
      </c>
      <c r="H1695" t="e" vm="730">
        <f>_FV(0,"09664578123513988")</f>
        <v>#VALUE!</v>
      </c>
      <c r="I1695" t="s">
        <v>10769</v>
      </c>
      <c r="J1695" t="s">
        <v>10770</v>
      </c>
      <c r="K1695" t="s">
        <v>10771</v>
      </c>
      <c r="L1695" t="s">
        <v>10765</v>
      </c>
    </row>
    <row r="1696" spans="1:12" x14ac:dyDescent="0.25">
      <c r="A1696">
        <v>358128</v>
      </c>
      <c r="B1696">
        <v>362794</v>
      </c>
      <c r="D1696">
        <v>0</v>
      </c>
      <c r="E1696" t="s">
        <v>10773</v>
      </c>
      <c r="F1696" t="s">
        <v>10774</v>
      </c>
      <c r="G1696" t="s">
        <v>10775</v>
      </c>
      <c r="H1696" t="s">
        <v>10776</v>
      </c>
      <c r="I1696" t="s">
        <v>10777</v>
      </c>
      <c r="J1696" t="s">
        <v>10778</v>
      </c>
      <c r="K1696" t="s">
        <v>10779</v>
      </c>
      <c r="L1696" t="s">
        <v>10772</v>
      </c>
    </row>
    <row r="1697" spans="1:12" x14ac:dyDescent="0.25">
      <c r="A1697">
        <v>358154</v>
      </c>
      <c r="B1697">
        <v>362801</v>
      </c>
      <c r="D1697">
        <v>0</v>
      </c>
      <c r="E1697" t="s">
        <v>10781</v>
      </c>
      <c r="F1697" t="s">
        <v>10782</v>
      </c>
      <c r="G1697" t="s">
        <v>10783</v>
      </c>
      <c r="H1697" t="s">
        <v>10784</v>
      </c>
      <c r="I1697" t="s">
        <v>10785</v>
      </c>
      <c r="J1697" t="s">
        <v>10780</v>
      </c>
      <c r="K1697" t="s">
        <v>10786</v>
      </c>
      <c r="L1697" t="s">
        <v>10780</v>
      </c>
    </row>
    <row r="1698" spans="1:12" x14ac:dyDescent="0.25">
      <c r="A1698">
        <v>358164</v>
      </c>
      <c r="B1698">
        <v>362801</v>
      </c>
      <c r="D1698">
        <v>0</v>
      </c>
      <c r="E1698" t="s">
        <v>10788</v>
      </c>
      <c r="F1698" t="s">
        <v>10789</v>
      </c>
      <c r="G1698" t="s">
        <v>10790</v>
      </c>
      <c r="H1698" t="s">
        <v>10791</v>
      </c>
      <c r="I1698" t="s">
        <v>10792</v>
      </c>
      <c r="J1698" t="s">
        <v>10793</v>
      </c>
      <c r="K1698" t="s">
        <v>10794</v>
      </c>
      <c r="L1698" t="s">
        <v>10787</v>
      </c>
    </row>
    <row r="1699" spans="1:12" x14ac:dyDescent="0.25">
      <c r="A1699">
        <v>358180</v>
      </c>
      <c r="B1699">
        <v>358234</v>
      </c>
      <c r="D1699" t="s">
        <v>10796</v>
      </c>
      <c r="E1699" t="s">
        <v>10797</v>
      </c>
      <c r="F1699" t="s">
        <v>10798</v>
      </c>
      <c r="G1699" t="s">
        <v>10800</v>
      </c>
      <c r="H1699" t="e" vm="731">
        <f>_FV(0,"026966496717702883")</f>
        <v>#VALUE!</v>
      </c>
      <c r="I1699" t="s">
        <v>10801</v>
      </c>
      <c r="J1699" t="s">
        <v>10802</v>
      </c>
      <c r="K1699" t="s">
        <v>10803</v>
      </c>
      <c r="L1699" t="s">
        <v>10795</v>
      </c>
    </row>
    <row r="1700" spans="1:12" x14ac:dyDescent="0.25">
      <c r="A1700">
        <v>358180</v>
      </c>
      <c r="B1700">
        <v>1218232</v>
      </c>
      <c r="D1700">
        <v>0</v>
      </c>
      <c r="E1700" t="s">
        <v>10805</v>
      </c>
      <c r="F1700" t="s">
        <v>10806</v>
      </c>
      <c r="G1700" t="s">
        <v>10807</v>
      </c>
      <c r="H1700" t="e" vm="732">
        <f>_FV(0,"02527287591983107")</f>
        <v>#VALUE!</v>
      </c>
      <c r="I1700" t="s">
        <v>10808</v>
      </c>
      <c r="J1700" t="s">
        <v>10809</v>
      </c>
      <c r="K1700" t="s">
        <v>10810</v>
      </c>
      <c r="L1700" t="s">
        <v>10804</v>
      </c>
    </row>
    <row r="1701" spans="1:12" x14ac:dyDescent="0.25">
      <c r="A1701">
        <v>358180</v>
      </c>
      <c r="B1701">
        <v>1218267</v>
      </c>
      <c r="D1701">
        <v>0</v>
      </c>
      <c r="E1701" t="s">
        <v>10812</v>
      </c>
      <c r="F1701" t="s">
        <v>10813</v>
      </c>
      <c r="G1701" t="s">
        <v>10814</v>
      </c>
      <c r="H1701" t="e" vm="733">
        <f>_FV(0,"025531220274884005")</f>
        <v>#VALUE!</v>
      </c>
      <c r="I1701" t="s">
        <v>10815</v>
      </c>
      <c r="J1701" t="s">
        <v>10816</v>
      </c>
      <c r="K1701" t="s">
        <v>10817</v>
      </c>
      <c r="L1701" t="s">
        <v>10811</v>
      </c>
    </row>
    <row r="1702" spans="1:12" x14ac:dyDescent="0.25">
      <c r="A1702">
        <v>358200</v>
      </c>
      <c r="B1702">
        <v>1176907</v>
      </c>
      <c r="D1702">
        <v>0</v>
      </c>
      <c r="E1702" t="s">
        <v>10819</v>
      </c>
      <c r="F1702" t="s">
        <v>10820</v>
      </c>
      <c r="G1702" t="s">
        <v>10821</v>
      </c>
      <c r="H1702" t="e" vm="734">
        <f>_FV(0,"01617180425450318")</f>
        <v>#VALUE!</v>
      </c>
      <c r="I1702" t="s">
        <v>10822</v>
      </c>
      <c r="J1702" t="s">
        <v>10823</v>
      </c>
      <c r="K1702" t="s">
        <v>10824</v>
      </c>
      <c r="L1702" t="s">
        <v>10818</v>
      </c>
    </row>
    <row r="1703" spans="1:12" x14ac:dyDescent="0.25">
      <c r="A1703">
        <v>358200</v>
      </c>
      <c r="B1703">
        <v>1176953</v>
      </c>
      <c r="D1703">
        <v>0</v>
      </c>
      <c r="E1703" t="s">
        <v>10826</v>
      </c>
      <c r="F1703" t="s">
        <v>10827</v>
      </c>
      <c r="G1703" t="s">
        <v>10828</v>
      </c>
      <c r="H1703" t="e" vm="735">
        <f>_FV(0,"0066117342006283145")</f>
        <v>#VALUE!</v>
      </c>
      <c r="I1703" t="s">
        <v>10829</v>
      </c>
      <c r="J1703" t="s">
        <v>10830</v>
      </c>
      <c r="K1703" t="s">
        <v>10831</v>
      </c>
      <c r="L1703" t="s">
        <v>10825</v>
      </c>
    </row>
    <row r="1704" spans="1:12" x14ac:dyDescent="0.25">
      <c r="A1704">
        <v>358203</v>
      </c>
      <c r="B1704">
        <v>362363</v>
      </c>
      <c r="D1704" t="s">
        <v>1839</v>
      </c>
      <c r="E1704" t="s">
        <v>10832</v>
      </c>
      <c r="F1704" t="s">
        <v>10833</v>
      </c>
      <c r="G1704" t="s">
        <v>10834</v>
      </c>
      <c r="H1704" t="e" vm="56">
        <f>_FV(0,"023")</f>
        <v>#VALUE!</v>
      </c>
      <c r="I1704" t="s">
        <v>10835</v>
      </c>
      <c r="J1704" t="s">
        <v>890</v>
      </c>
      <c r="K1704" t="s">
        <v>10836</v>
      </c>
      <c r="L1704" t="e" vm="56">
        <f>_FV(0,"023")</f>
        <v>#VALUE!</v>
      </c>
    </row>
    <row r="1705" spans="1:12" x14ac:dyDescent="0.25">
      <c r="A1705">
        <v>358209</v>
      </c>
      <c r="B1705">
        <v>1176917</v>
      </c>
      <c r="D1705">
        <v>0</v>
      </c>
      <c r="E1705" t="s">
        <v>10838</v>
      </c>
      <c r="F1705" t="s">
        <v>10839</v>
      </c>
      <c r="G1705" t="s">
        <v>10840</v>
      </c>
      <c r="H1705" t="e" vm="736">
        <f>_FV(0,"013673482302339068")</f>
        <v>#VALUE!</v>
      </c>
      <c r="I1705" t="s">
        <v>10841</v>
      </c>
      <c r="J1705" t="s">
        <v>10842</v>
      </c>
      <c r="K1705" t="s">
        <v>10843</v>
      </c>
      <c r="L1705" t="s">
        <v>10837</v>
      </c>
    </row>
    <row r="1706" spans="1:12" x14ac:dyDescent="0.25">
      <c r="A1706">
        <v>358209</v>
      </c>
      <c r="B1706">
        <v>1176926</v>
      </c>
      <c r="D1706">
        <v>0</v>
      </c>
      <c r="E1706" t="s">
        <v>10845</v>
      </c>
      <c r="F1706" t="s">
        <v>10846</v>
      </c>
      <c r="G1706" t="s">
        <v>10847</v>
      </c>
      <c r="H1706" t="e" vm="737">
        <f>_FV(0,"01463907626397774")</f>
        <v>#VALUE!</v>
      </c>
      <c r="I1706" t="s">
        <v>10848</v>
      </c>
      <c r="J1706" t="s">
        <v>10849</v>
      </c>
      <c r="K1706" t="s">
        <v>10850</v>
      </c>
      <c r="L1706" t="s">
        <v>10844</v>
      </c>
    </row>
    <row r="1707" spans="1:12" x14ac:dyDescent="0.25">
      <c r="A1707">
        <v>358234</v>
      </c>
      <c r="B1707">
        <v>358243</v>
      </c>
      <c r="D1707">
        <v>0</v>
      </c>
      <c r="E1707" t="s">
        <v>10852</v>
      </c>
      <c r="F1707" t="s">
        <v>10853</v>
      </c>
      <c r="G1707" t="s">
        <v>10854</v>
      </c>
      <c r="H1707" t="e" vm="738">
        <f>_FV(0,"002740363369188542")</f>
        <v>#VALUE!</v>
      </c>
      <c r="I1707" t="s">
        <v>10855</v>
      </c>
      <c r="J1707" t="s">
        <v>10856</v>
      </c>
      <c r="K1707" t="s">
        <v>10857</v>
      </c>
      <c r="L1707" t="s">
        <v>10851</v>
      </c>
    </row>
    <row r="1708" spans="1:12" x14ac:dyDescent="0.25">
      <c r="A1708">
        <v>358234</v>
      </c>
      <c r="B1708">
        <v>358243</v>
      </c>
      <c r="D1708">
        <v>0</v>
      </c>
      <c r="E1708" t="s">
        <v>10859</v>
      </c>
      <c r="F1708" t="s">
        <v>10860</v>
      </c>
      <c r="G1708" t="s">
        <v>10861</v>
      </c>
      <c r="H1708" t="e" vm="739">
        <f>_FV(0,"0024422202482937386")</f>
        <v>#VALUE!</v>
      </c>
      <c r="I1708" t="s">
        <v>10862</v>
      </c>
      <c r="J1708" t="s">
        <v>10863</v>
      </c>
      <c r="K1708" t="s">
        <v>10864</v>
      </c>
      <c r="L1708" t="s">
        <v>10858</v>
      </c>
    </row>
    <row r="1709" spans="1:12" x14ac:dyDescent="0.25">
      <c r="A1709">
        <v>358243</v>
      </c>
      <c r="B1709">
        <v>1742442</v>
      </c>
      <c r="D1709" t="s">
        <v>10866</v>
      </c>
      <c r="E1709" t="s">
        <v>10867</v>
      </c>
      <c r="F1709" t="s">
        <v>10868</v>
      </c>
      <c r="G1709" t="s">
        <v>10869</v>
      </c>
      <c r="H1709" t="s">
        <v>10870</v>
      </c>
      <c r="I1709" t="s">
        <v>10871</v>
      </c>
      <c r="J1709" t="s">
        <v>10872</v>
      </c>
      <c r="K1709" t="s">
        <v>10873</v>
      </c>
      <c r="L1709" t="s">
        <v>10865</v>
      </c>
    </row>
    <row r="1710" spans="1:12" x14ac:dyDescent="0.25">
      <c r="A1710">
        <v>358306</v>
      </c>
      <c r="B1710">
        <v>358325</v>
      </c>
      <c r="D1710">
        <v>0</v>
      </c>
      <c r="E1710" t="s">
        <v>10875</v>
      </c>
      <c r="F1710" t="s">
        <v>10876</v>
      </c>
      <c r="G1710" t="s">
        <v>10877</v>
      </c>
      <c r="H1710" t="e" vm="740">
        <f>_FV(0,"01569084593684197")</f>
        <v>#VALUE!</v>
      </c>
      <c r="I1710" t="s">
        <v>10878</v>
      </c>
      <c r="J1710" t="s">
        <v>10879</v>
      </c>
      <c r="K1710" t="s">
        <v>10880</v>
      </c>
      <c r="L1710" t="s">
        <v>10874</v>
      </c>
    </row>
    <row r="1711" spans="1:12" x14ac:dyDescent="0.25">
      <c r="A1711">
        <v>358306</v>
      </c>
      <c r="B1711">
        <v>1250668</v>
      </c>
      <c r="D1711">
        <v>0</v>
      </c>
      <c r="E1711" t="s">
        <v>10882</v>
      </c>
      <c r="F1711" t="s">
        <v>10883</v>
      </c>
      <c r="G1711" t="s">
        <v>10884</v>
      </c>
      <c r="H1711" t="s">
        <v>10885</v>
      </c>
      <c r="I1711" t="s">
        <v>10886</v>
      </c>
      <c r="J1711" t="s">
        <v>10887</v>
      </c>
      <c r="K1711" t="s">
        <v>10888</v>
      </c>
      <c r="L1711" t="s">
        <v>10881</v>
      </c>
    </row>
    <row r="1712" spans="1:12" x14ac:dyDescent="0.25">
      <c r="A1712">
        <v>358325</v>
      </c>
      <c r="B1712">
        <v>358390</v>
      </c>
      <c r="D1712" t="s">
        <v>1307</v>
      </c>
      <c r="E1712" t="s">
        <v>10890</v>
      </c>
      <c r="F1712" t="s">
        <v>10891</v>
      </c>
      <c r="G1712" t="s">
        <v>10892</v>
      </c>
      <c r="H1712" t="s">
        <v>10893</v>
      </c>
      <c r="I1712" t="s">
        <v>10894</v>
      </c>
      <c r="J1712" t="s">
        <v>10895</v>
      </c>
      <c r="K1712" t="s">
        <v>10896</v>
      </c>
      <c r="L1712" t="s">
        <v>10889</v>
      </c>
    </row>
    <row r="1713" spans="1:12" x14ac:dyDescent="0.25">
      <c r="A1713">
        <v>358325</v>
      </c>
      <c r="B1713">
        <v>1250719</v>
      </c>
      <c r="D1713">
        <v>0</v>
      </c>
      <c r="E1713" t="s">
        <v>10898</v>
      </c>
      <c r="F1713" t="s">
        <v>10899</v>
      </c>
      <c r="G1713" t="s">
        <v>10900</v>
      </c>
      <c r="H1713" t="e" vm="741">
        <f>_FV(0,"017930859290274746")</f>
        <v>#VALUE!</v>
      </c>
      <c r="I1713" t="s">
        <v>10901</v>
      </c>
      <c r="J1713" t="s">
        <v>10902</v>
      </c>
      <c r="K1713" t="s">
        <v>10903</v>
      </c>
      <c r="L1713" t="s">
        <v>10897</v>
      </c>
    </row>
    <row r="1714" spans="1:12" x14ac:dyDescent="0.25">
      <c r="A1714">
        <v>358390</v>
      </c>
      <c r="B1714">
        <v>358411</v>
      </c>
      <c r="D1714">
        <v>0</v>
      </c>
      <c r="E1714" t="s">
        <v>10905</v>
      </c>
      <c r="F1714" t="s">
        <v>10906</v>
      </c>
      <c r="G1714" t="s">
        <v>10907</v>
      </c>
      <c r="H1714" t="s">
        <v>10908</v>
      </c>
      <c r="I1714" t="s">
        <v>10909</v>
      </c>
      <c r="J1714" t="s">
        <v>10904</v>
      </c>
      <c r="K1714" t="s">
        <v>10910</v>
      </c>
      <c r="L1714" t="s">
        <v>10904</v>
      </c>
    </row>
    <row r="1715" spans="1:12" x14ac:dyDescent="0.25">
      <c r="A1715">
        <v>358390</v>
      </c>
      <c r="B1715">
        <v>1250777</v>
      </c>
      <c r="D1715" t="s">
        <v>7856</v>
      </c>
      <c r="E1715" t="s">
        <v>10912</v>
      </c>
      <c r="F1715" t="s">
        <v>10913</v>
      </c>
      <c r="G1715" t="s">
        <v>10914</v>
      </c>
      <c r="H1715" t="s">
        <v>10915</v>
      </c>
      <c r="I1715" t="s">
        <v>10916</v>
      </c>
      <c r="J1715" t="s">
        <v>10917</v>
      </c>
      <c r="K1715" t="s">
        <v>10918</v>
      </c>
      <c r="L1715" t="s">
        <v>10911</v>
      </c>
    </row>
    <row r="1716" spans="1:12" x14ac:dyDescent="0.25">
      <c r="A1716">
        <v>358411</v>
      </c>
      <c r="B1716">
        <v>358508</v>
      </c>
      <c r="C1716" t="s">
        <v>10920</v>
      </c>
      <c r="D1716" t="s">
        <v>10921</v>
      </c>
      <c r="E1716" t="s">
        <v>10922</v>
      </c>
      <c r="F1716" t="s">
        <v>10923</v>
      </c>
      <c r="G1716" t="s">
        <v>10924</v>
      </c>
      <c r="H1716" t="s">
        <v>10925</v>
      </c>
      <c r="I1716" t="s">
        <v>10926</v>
      </c>
      <c r="J1716" t="s">
        <v>10927</v>
      </c>
      <c r="K1716" t="s">
        <v>10928</v>
      </c>
      <c r="L1716" t="s">
        <v>10919</v>
      </c>
    </row>
    <row r="1717" spans="1:12" x14ac:dyDescent="0.25">
      <c r="A1717">
        <v>358411</v>
      </c>
      <c r="B1717">
        <v>1250834</v>
      </c>
      <c r="D1717">
        <v>0</v>
      </c>
      <c r="E1717" t="s">
        <v>10930</v>
      </c>
      <c r="F1717" t="s">
        <v>10931</v>
      </c>
      <c r="G1717" t="s">
        <v>10932</v>
      </c>
      <c r="H1717" t="e" vm="742">
        <f>_FV(0,"020445920047352354")</f>
        <v>#VALUE!</v>
      </c>
      <c r="I1717" t="s">
        <v>10933</v>
      </c>
      <c r="J1717" t="s">
        <v>10934</v>
      </c>
      <c r="K1717" t="s">
        <v>10935</v>
      </c>
      <c r="L1717" t="s">
        <v>10929</v>
      </c>
    </row>
    <row r="1718" spans="1:12" x14ac:dyDescent="0.25">
      <c r="A1718">
        <v>358508</v>
      </c>
      <c r="B1718">
        <v>1177041</v>
      </c>
      <c r="D1718">
        <v>0</v>
      </c>
      <c r="E1718" t="s">
        <v>10937</v>
      </c>
      <c r="F1718" t="s">
        <v>10938</v>
      </c>
      <c r="G1718" t="s">
        <v>10939</v>
      </c>
      <c r="H1718" t="s">
        <v>10940</v>
      </c>
      <c r="I1718" t="s">
        <v>10941</v>
      </c>
      <c r="J1718" t="s">
        <v>10942</v>
      </c>
      <c r="K1718" t="s">
        <v>10943</v>
      </c>
      <c r="L1718" t="s">
        <v>10936</v>
      </c>
    </row>
    <row r="1719" spans="1:12" x14ac:dyDescent="0.25">
      <c r="A1719">
        <v>358508</v>
      </c>
      <c r="B1719">
        <v>1177085</v>
      </c>
      <c r="D1719">
        <v>0</v>
      </c>
      <c r="E1719" t="s">
        <v>10945</v>
      </c>
      <c r="F1719" t="s">
        <v>10946</v>
      </c>
      <c r="G1719" t="s">
        <v>10947</v>
      </c>
      <c r="H1719" t="s">
        <v>10948</v>
      </c>
      <c r="I1719" t="s">
        <v>10949</v>
      </c>
      <c r="J1719" t="s">
        <v>10950</v>
      </c>
      <c r="K1719" t="s">
        <v>10951</v>
      </c>
      <c r="L1719" t="s">
        <v>10944</v>
      </c>
    </row>
    <row r="1720" spans="1:12" x14ac:dyDescent="0.25">
      <c r="A1720">
        <v>358561</v>
      </c>
      <c r="B1720">
        <v>1263909</v>
      </c>
      <c r="D1720" t="s">
        <v>204</v>
      </c>
      <c r="E1720" t="s">
        <v>10953</v>
      </c>
      <c r="F1720" t="s">
        <v>10954</v>
      </c>
      <c r="G1720" t="s">
        <v>10955</v>
      </c>
      <c r="H1720" t="s">
        <v>10956</v>
      </c>
      <c r="I1720" t="s">
        <v>10957</v>
      </c>
      <c r="J1720" t="s">
        <v>10958</v>
      </c>
      <c r="K1720" t="s">
        <v>10959</v>
      </c>
      <c r="L1720" t="s">
        <v>10952</v>
      </c>
    </row>
    <row r="1721" spans="1:12" x14ac:dyDescent="0.25">
      <c r="A1721">
        <v>358561</v>
      </c>
      <c r="B1721">
        <v>1767627</v>
      </c>
      <c r="D1721" t="s">
        <v>514</v>
      </c>
      <c r="E1721" t="s">
        <v>10961</v>
      </c>
      <c r="F1721" t="s">
        <v>10962</v>
      </c>
      <c r="G1721" t="s">
        <v>10963</v>
      </c>
      <c r="H1721" t="s">
        <v>10964</v>
      </c>
      <c r="I1721" t="s">
        <v>10965</v>
      </c>
      <c r="J1721" t="s">
        <v>10966</v>
      </c>
      <c r="K1721" t="s">
        <v>10967</v>
      </c>
      <c r="L1721" t="s">
        <v>10960</v>
      </c>
    </row>
    <row r="1722" spans="1:12" x14ac:dyDescent="0.25">
      <c r="A1722">
        <v>358561</v>
      </c>
      <c r="B1722">
        <v>1245273</v>
      </c>
      <c r="D1722" t="s">
        <v>204</v>
      </c>
      <c r="E1722" t="s">
        <v>10969</v>
      </c>
      <c r="F1722" t="s">
        <v>10970</v>
      </c>
      <c r="G1722" t="s">
        <v>10971</v>
      </c>
      <c r="H1722" t="s">
        <v>10972</v>
      </c>
      <c r="I1722" t="s">
        <v>10973</v>
      </c>
      <c r="J1722" t="s">
        <v>10968</v>
      </c>
      <c r="K1722" t="s">
        <v>10974</v>
      </c>
      <c r="L1722" t="s">
        <v>10968</v>
      </c>
    </row>
    <row r="1723" spans="1:12" x14ac:dyDescent="0.25">
      <c r="A1723">
        <v>358677</v>
      </c>
      <c r="B1723">
        <v>358711</v>
      </c>
      <c r="D1723">
        <v>0</v>
      </c>
      <c r="E1723" t="s">
        <v>10976</v>
      </c>
      <c r="F1723" t="s">
        <v>10977</v>
      </c>
      <c r="G1723" t="s">
        <v>10978</v>
      </c>
      <c r="H1723" t="e" vm="743">
        <f>_FV(0,"005721770193637074")</f>
        <v>#VALUE!</v>
      </c>
      <c r="I1723" t="s">
        <v>10979</v>
      </c>
      <c r="J1723" t="s">
        <v>10980</v>
      </c>
      <c r="K1723" t="s">
        <v>10981</v>
      </c>
      <c r="L1723" t="s">
        <v>10975</v>
      </c>
    </row>
    <row r="1724" spans="1:12" x14ac:dyDescent="0.25">
      <c r="A1724">
        <v>358677</v>
      </c>
      <c r="B1724">
        <v>358763</v>
      </c>
      <c r="D1724">
        <v>0</v>
      </c>
      <c r="E1724" t="s">
        <v>10983</v>
      </c>
      <c r="F1724" t="s">
        <v>10984</v>
      </c>
      <c r="G1724" t="s">
        <v>10985</v>
      </c>
      <c r="H1724" t="s">
        <v>10986</v>
      </c>
      <c r="I1724" t="s">
        <v>10987</v>
      </c>
      <c r="J1724" t="s">
        <v>10982</v>
      </c>
      <c r="K1724" t="s">
        <v>10988</v>
      </c>
      <c r="L1724" t="s">
        <v>10982</v>
      </c>
    </row>
    <row r="1725" spans="1:12" x14ac:dyDescent="0.25">
      <c r="A1725">
        <v>358677</v>
      </c>
      <c r="B1725">
        <v>369798</v>
      </c>
      <c r="D1725">
        <v>0</v>
      </c>
      <c r="E1725" t="s">
        <v>10990</v>
      </c>
      <c r="F1725" t="s">
        <v>10991</v>
      </c>
      <c r="G1725" t="s">
        <v>10992</v>
      </c>
      <c r="H1725" t="e" vm="744">
        <f>_FV(0,"027399893092669273")</f>
        <v>#VALUE!</v>
      </c>
      <c r="I1725" t="s">
        <v>10993</v>
      </c>
      <c r="J1725" t="s">
        <v>10994</v>
      </c>
      <c r="K1725" t="s">
        <v>10995</v>
      </c>
      <c r="L1725" t="s">
        <v>10989</v>
      </c>
    </row>
    <row r="1726" spans="1:12" x14ac:dyDescent="0.25">
      <c r="A1726">
        <v>358711</v>
      </c>
      <c r="B1726">
        <v>358728</v>
      </c>
      <c r="D1726">
        <v>0</v>
      </c>
      <c r="E1726" t="s">
        <v>10997</v>
      </c>
      <c r="F1726" t="s">
        <v>10998</v>
      </c>
      <c r="G1726" t="s">
        <v>10999</v>
      </c>
      <c r="H1726" t="e" vm="745">
        <f>_FV(0,"01299308056528563")</f>
        <v>#VALUE!</v>
      </c>
      <c r="I1726" t="s">
        <v>11000</v>
      </c>
      <c r="J1726" t="s">
        <v>11001</v>
      </c>
      <c r="K1726" t="s">
        <v>11002</v>
      </c>
      <c r="L1726" t="s">
        <v>10996</v>
      </c>
    </row>
    <row r="1727" spans="1:12" x14ac:dyDescent="0.25">
      <c r="A1727">
        <v>358711</v>
      </c>
      <c r="B1727">
        <v>369863</v>
      </c>
      <c r="D1727">
        <v>0</v>
      </c>
      <c r="E1727" t="s">
        <v>11004</v>
      </c>
      <c r="F1727" t="s">
        <v>11005</v>
      </c>
      <c r="G1727" t="s">
        <v>11006</v>
      </c>
      <c r="H1727" t="e" vm="746">
        <f>_FV(0,"007706264468874662")</f>
        <v>#VALUE!</v>
      </c>
      <c r="I1727" t="s">
        <v>11007</v>
      </c>
      <c r="J1727" t="s">
        <v>11008</v>
      </c>
      <c r="K1727" t="s">
        <v>11009</v>
      </c>
      <c r="L1727" t="s">
        <v>11003</v>
      </c>
    </row>
    <row r="1728" spans="1:12" x14ac:dyDescent="0.25">
      <c r="A1728">
        <v>358728</v>
      </c>
      <c r="B1728">
        <v>358763</v>
      </c>
      <c r="D1728">
        <v>0</v>
      </c>
      <c r="E1728" t="s">
        <v>11011</v>
      </c>
      <c r="F1728" t="s">
        <v>11012</v>
      </c>
      <c r="G1728" t="s">
        <v>11013</v>
      </c>
      <c r="H1728" t="s">
        <v>11014</v>
      </c>
      <c r="I1728" t="s">
        <v>11015</v>
      </c>
      <c r="J1728" t="s">
        <v>11016</v>
      </c>
      <c r="K1728" t="s">
        <v>11017</v>
      </c>
      <c r="L1728" t="s">
        <v>11010</v>
      </c>
    </row>
    <row r="1729" spans="1:12" x14ac:dyDescent="0.25">
      <c r="A1729">
        <v>358728</v>
      </c>
      <c r="B1729">
        <v>369863</v>
      </c>
      <c r="D1729">
        <v>0</v>
      </c>
      <c r="E1729" t="s">
        <v>11019</v>
      </c>
      <c r="F1729" t="s">
        <v>11020</v>
      </c>
      <c r="G1729" t="s">
        <v>11021</v>
      </c>
      <c r="H1729" t="e" vm="747">
        <f>_FV(0,"004345757644010316")</f>
        <v>#VALUE!</v>
      </c>
      <c r="I1729" t="s">
        <v>11022</v>
      </c>
      <c r="J1729" t="s">
        <v>11023</v>
      </c>
      <c r="K1729" t="s">
        <v>11024</v>
      </c>
      <c r="L1729" t="s">
        <v>11018</v>
      </c>
    </row>
    <row r="1730" spans="1:12" x14ac:dyDescent="0.25">
      <c r="A1730">
        <v>358763</v>
      </c>
      <c r="B1730">
        <v>369798</v>
      </c>
      <c r="D1730">
        <v>0</v>
      </c>
      <c r="E1730" t="s">
        <v>11025</v>
      </c>
      <c r="F1730" t="s">
        <v>11026</v>
      </c>
      <c r="G1730" t="s">
        <v>11027</v>
      </c>
      <c r="H1730" t="e" vm="113">
        <f>_FV(0,"032")</f>
        <v>#VALUE!</v>
      </c>
      <c r="I1730" t="s">
        <v>11028</v>
      </c>
      <c r="J1730" t="s">
        <v>1687</v>
      </c>
      <c r="K1730" t="s">
        <v>11029</v>
      </c>
      <c r="L1730" t="e" vm="113">
        <f>_FV(0,"032")</f>
        <v>#VALUE!</v>
      </c>
    </row>
    <row r="1731" spans="1:12" x14ac:dyDescent="0.25">
      <c r="A1731">
        <v>359572</v>
      </c>
      <c r="B1731">
        <v>359579</v>
      </c>
      <c r="D1731">
        <v>0</v>
      </c>
      <c r="E1731" t="s">
        <v>11031</v>
      </c>
      <c r="F1731" t="s">
        <v>11032</v>
      </c>
      <c r="G1731" t="s">
        <v>11033</v>
      </c>
      <c r="H1731" t="e" vm="748">
        <f>_FV(0,"008296396931484751")</f>
        <v>#VALUE!</v>
      </c>
      <c r="I1731" t="s">
        <v>11034</v>
      </c>
      <c r="J1731" t="s">
        <v>11035</v>
      </c>
      <c r="K1731" t="s">
        <v>11036</v>
      </c>
      <c r="L1731" t="s">
        <v>11030</v>
      </c>
    </row>
    <row r="1732" spans="1:12" x14ac:dyDescent="0.25">
      <c r="A1732">
        <v>359572</v>
      </c>
      <c r="B1732">
        <v>779519</v>
      </c>
      <c r="D1732">
        <v>0</v>
      </c>
      <c r="E1732" t="s">
        <v>11038</v>
      </c>
      <c r="F1732" t="s">
        <v>11039</v>
      </c>
      <c r="G1732" t="s">
        <v>11040</v>
      </c>
      <c r="H1732" t="e" vm="749">
        <f>_FV(0,"06540317529773781")</f>
        <v>#VALUE!</v>
      </c>
      <c r="I1732" t="s">
        <v>11041</v>
      </c>
      <c r="J1732" t="s">
        <v>11042</v>
      </c>
      <c r="K1732" t="s">
        <v>11043</v>
      </c>
      <c r="L1732" t="s">
        <v>11037</v>
      </c>
    </row>
    <row r="1733" spans="1:12" x14ac:dyDescent="0.25">
      <c r="A1733">
        <v>359572</v>
      </c>
      <c r="B1733">
        <v>1308573</v>
      </c>
      <c r="D1733">
        <v>0</v>
      </c>
      <c r="E1733" t="s">
        <v>11045</v>
      </c>
      <c r="F1733" t="s">
        <v>11046</v>
      </c>
      <c r="G1733" t="s">
        <v>11047</v>
      </c>
      <c r="H1733" t="s">
        <v>11048</v>
      </c>
      <c r="I1733" t="s">
        <v>11049</v>
      </c>
      <c r="J1733" t="s">
        <v>11044</v>
      </c>
      <c r="K1733" t="s">
        <v>11050</v>
      </c>
      <c r="L1733" t="s">
        <v>11044</v>
      </c>
    </row>
    <row r="1734" spans="1:12" x14ac:dyDescent="0.25">
      <c r="A1734">
        <v>359579</v>
      </c>
      <c r="B1734">
        <v>1212743</v>
      </c>
      <c r="D1734">
        <v>1</v>
      </c>
      <c r="F1734">
        <v>1840351</v>
      </c>
      <c r="G1734">
        <v>1212743</v>
      </c>
      <c r="H1734" t="e" vm="62">
        <f>_FV(0,"008")</f>
        <v>#VALUE!</v>
      </c>
      <c r="I1734">
        <v>359579</v>
      </c>
      <c r="J1734" t="s">
        <v>241</v>
      </c>
      <c r="K1734" t="s">
        <v>11051</v>
      </c>
      <c r="L1734" t="e" vm="62">
        <f>_FV(0,"008")</f>
        <v>#VALUE!</v>
      </c>
    </row>
    <row r="1735" spans="1:12" x14ac:dyDescent="0.25">
      <c r="A1735">
        <v>359579</v>
      </c>
      <c r="B1735">
        <v>779519</v>
      </c>
      <c r="D1735">
        <v>0</v>
      </c>
      <c r="E1735" t="s">
        <v>11053</v>
      </c>
      <c r="F1735" t="s">
        <v>11054</v>
      </c>
      <c r="G1735" t="s">
        <v>11055</v>
      </c>
      <c r="H1735" t="s">
        <v>11056</v>
      </c>
      <c r="I1735" t="s">
        <v>11057</v>
      </c>
      <c r="J1735" t="s">
        <v>11052</v>
      </c>
      <c r="K1735" t="s">
        <v>11058</v>
      </c>
      <c r="L1735" t="s">
        <v>11052</v>
      </c>
    </row>
    <row r="1736" spans="1:12" x14ac:dyDescent="0.25">
      <c r="A1736">
        <v>359628</v>
      </c>
      <c r="B1736">
        <v>1269067</v>
      </c>
      <c r="D1736">
        <v>0</v>
      </c>
      <c r="E1736" t="s">
        <v>11060</v>
      </c>
      <c r="F1736" t="s">
        <v>11061</v>
      </c>
      <c r="G1736" t="s">
        <v>11062</v>
      </c>
      <c r="H1736" t="e" vm="750">
        <f>_FV(0,"03429234163645256")</f>
        <v>#VALUE!</v>
      </c>
      <c r="I1736" t="s">
        <v>11063</v>
      </c>
      <c r="J1736" t="s">
        <v>11064</v>
      </c>
      <c r="K1736" t="s">
        <v>11065</v>
      </c>
      <c r="L1736" t="s">
        <v>11059</v>
      </c>
    </row>
    <row r="1737" spans="1:12" x14ac:dyDescent="0.25">
      <c r="A1737">
        <v>359628</v>
      </c>
      <c r="B1737">
        <v>1269091</v>
      </c>
      <c r="D1737">
        <v>0</v>
      </c>
      <c r="E1737" t="s">
        <v>11067</v>
      </c>
      <c r="F1737" t="s">
        <v>11068</v>
      </c>
      <c r="G1737" t="s">
        <v>11069</v>
      </c>
      <c r="H1737" t="e" vm="751">
        <f>_FV(0,"03190521163737265")</f>
        <v>#VALUE!</v>
      </c>
      <c r="I1737" t="s">
        <v>11070</v>
      </c>
      <c r="J1737" t="s">
        <v>11071</v>
      </c>
      <c r="K1737" t="s">
        <v>11072</v>
      </c>
      <c r="L1737" t="s">
        <v>11066</v>
      </c>
    </row>
    <row r="1738" spans="1:12" x14ac:dyDescent="0.25">
      <c r="A1738">
        <v>359628</v>
      </c>
      <c r="B1738">
        <v>1055519</v>
      </c>
      <c r="D1738" t="s">
        <v>11074</v>
      </c>
      <c r="E1738" t="s">
        <v>11075</v>
      </c>
      <c r="F1738" t="s">
        <v>11076</v>
      </c>
      <c r="G1738" t="s">
        <v>11077</v>
      </c>
      <c r="H1738" t="e" vm="752">
        <f>_FV(0,"0038411962511062394")</f>
        <v>#VALUE!</v>
      </c>
      <c r="I1738" t="s">
        <v>11078</v>
      </c>
      <c r="J1738" t="s">
        <v>11079</v>
      </c>
      <c r="K1738" t="s">
        <v>11080</v>
      </c>
      <c r="L1738" t="s">
        <v>11073</v>
      </c>
    </row>
    <row r="1739" spans="1:12" x14ac:dyDescent="0.25">
      <c r="A1739">
        <v>360325</v>
      </c>
      <c r="B1739">
        <v>360401</v>
      </c>
      <c r="D1739">
        <v>0</v>
      </c>
      <c r="E1739" t="s">
        <v>11082</v>
      </c>
      <c r="F1739" t="s">
        <v>11083</v>
      </c>
      <c r="G1739" t="s">
        <v>11084</v>
      </c>
      <c r="H1739" t="e" vm="753">
        <f>_FV(0,"06670818404009046")</f>
        <v>#VALUE!</v>
      </c>
      <c r="I1739" t="s">
        <v>11085</v>
      </c>
      <c r="J1739" t="s">
        <v>11086</v>
      </c>
      <c r="K1739" t="s">
        <v>11087</v>
      </c>
      <c r="L1739" t="s">
        <v>11081</v>
      </c>
    </row>
    <row r="1740" spans="1:12" x14ac:dyDescent="0.25">
      <c r="A1740">
        <v>360325</v>
      </c>
      <c r="B1740">
        <v>420669</v>
      </c>
      <c r="D1740">
        <v>0</v>
      </c>
      <c r="E1740" t="s">
        <v>11089</v>
      </c>
      <c r="F1740" t="s">
        <v>11090</v>
      </c>
      <c r="G1740" t="s">
        <v>11091</v>
      </c>
      <c r="H1740" t="e" vm="754">
        <f>_FV(0,"16258155532341348")</f>
        <v>#VALUE!</v>
      </c>
      <c r="I1740" t="s">
        <v>11092</v>
      </c>
      <c r="J1740" t="s">
        <v>11093</v>
      </c>
      <c r="K1740" t="s">
        <v>11094</v>
      </c>
      <c r="L1740" t="s">
        <v>11088</v>
      </c>
    </row>
    <row r="1741" spans="1:12" x14ac:dyDescent="0.25">
      <c r="A1741">
        <v>360325</v>
      </c>
      <c r="B1741">
        <v>420697</v>
      </c>
      <c r="D1741">
        <v>0</v>
      </c>
      <c r="E1741" t="s">
        <v>11096</v>
      </c>
      <c r="F1741" t="s">
        <v>11097</v>
      </c>
      <c r="G1741" t="s">
        <v>11098</v>
      </c>
      <c r="H1741" t="e" vm="755">
        <f>_FV(0,"1424564244466124")</f>
        <v>#VALUE!</v>
      </c>
      <c r="I1741" t="s">
        <v>11099</v>
      </c>
      <c r="J1741" t="s">
        <v>11100</v>
      </c>
      <c r="K1741" t="s">
        <v>11101</v>
      </c>
      <c r="L1741" t="s">
        <v>11095</v>
      </c>
    </row>
    <row r="1742" spans="1:12" x14ac:dyDescent="0.25">
      <c r="A1742">
        <v>360401</v>
      </c>
      <c r="B1742">
        <v>1531303</v>
      </c>
      <c r="D1742">
        <v>0</v>
      </c>
      <c r="E1742" t="s">
        <v>11103</v>
      </c>
      <c r="F1742" t="s">
        <v>11104</v>
      </c>
      <c r="G1742" t="s">
        <v>11105</v>
      </c>
      <c r="H1742" t="s">
        <v>11106</v>
      </c>
      <c r="I1742" t="s">
        <v>11107</v>
      </c>
      <c r="J1742" t="s">
        <v>11108</v>
      </c>
      <c r="K1742" t="s">
        <v>11109</v>
      </c>
      <c r="L1742" t="s">
        <v>11102</v>
      </c>
    </row>
    <row r="1743" spans="1:12" x14ac:dyDescent="0.25">
      <c r="A1743">
        <v>360401</v>
      </c>
      <c r="B1743">
        <v>1531268</v>
      </c>
      <c r="D1743">
        <v>0</v>
      </c>
      <c r="E1743" t="s">
        <v>11111</v>
      </c>
      <c r="F1743" t="s">
        <v>11112</v>
      </c>
      <c r="G1743" t="s">
        <v>11113</v>
      </c>
      <c r="H1743" t="s">
        <v>11114</v>
      </c>
      <c r="I1743" t="s">
        <v>11115</v>
      </c>
      <c r="J1743" t="s">
        <v>11110</v>
      </c>
      <c r="K1743" t="s">
        <v>11116</v>
      </c>
      <c r="L1743" t="s">
        <v>11110</v>
      </c>
    </row>
    <row r="1744" spans="1:12" x14ac:dyDescent="0.25">
      <c r="A1744">
        <v>360418</v>
      </c>
      <c r="B1744">
        <v>360429</v>
      </c>
      <c r="D1744">
        <v>0</v>
      </c>
      <c r="E1744" t="s">
        <v>11118</v>
      </c>
      <c r="F1744" t="s">
        <v>11119</v>
      </c>
      <c r="G1744" t="s">
        <v>11120</v>
      </c>
      <c r="H1744" t="e" vm="756">
        <f>_FV(0,"01794728087804029")</f>
        <v>#VALUE!</v>
      </c>
      <c r="I1744" t="s">
        <v>11121</v>
      </c>
      <c r="J1744" t="s">
        <v>11122</v>
      </c>
      <c r="K1744" t="s">
        <v>11123</v>
      </c>
      <c r="L1744" t="s">
        <v>11117</v>
      </c>
    </row>
    <row r="1745" spans="1:12" x14ac:dyDescent="0.25">
      <c r="A1745">
        <v>360418</v>
      </c>
      <c r="B1745">
        <v>360429</v>
      </c>
      <c r="D1745">
        <v>0</v>
      </c>
      <c r="E1745" t="s">
        <v>11125</v>
      </c>
      <c r="F1745" t="s">
        <v>11126</v>
      </c>
      <c r="G1745" t="s">
        <v>11127</v>
      </c>
      <c r="H1745" t="e" vm="757">
        <f>_FV(0,"01796118572552284")</f>
        <v>#VALUE!</v>
      </c>
      <c r="I1745" t="s">
        <v>11128</v>
      </c>
      <c r="J1745" t="s">
        <v>11129</v>
      </c>
      <c r="K1745" t="s">
        <v>11130</v>
      </c>
      <c r="L1745" t="s">
        <v>11124</v>
      </c>
    </row>
    <row r="1746" spans="1:12" x14ac:dyDescent="0.25">
      <c r="A1746">
        <v>360418</v>
      </c>
      <c r="B1746">
        <v>672986</v>
      </c>
      <c r="D1746">
        <v>0</v>
      </c>
      <c r="E1746" t="s">
        <v>11132</v>
      </c>
      <c r="F1746" t="s">
        <v>11133</v>
      </c>
      <c r="G1746" t="s">
        <v>11134</v>
      </c>
      <c r="H1746" t="s">
        <v>11135</v>
      </c>
      <c r="I1746" t="s">
        <v>11136</v>
      </c>
      <c r="J1746" t="s">
        <v>11137</v>
      </c>
      <c r="K1746" t="s">
        <v>11138</v>
      </c>
      <c r="L1746" t="s">
        <v>11131</v>
      </c>
    </row>
    <row r="1747" spans="1:12" x14ac:dyDescent="0.25">
      <c r="A1747">
        <v>360429</v>
      </c>
      <c r="B1747">
        <v>360430</v>
      </c>
      <c r="D1747">
        <v>0</v>
      </c>
      <c r="F1747">
        <v>371462</v>
      </c>
      <c r="G1747">
        <v>360430</v>
      </c>
      <c r="H1747" t="e" vm="62">
        <f>_FV(0,"008")</f>
        <v>#VALUE!</v>
      </c>
      <c r="I1747">
        <v>360429</v>
      </c>
      <c r="J1747" t="s">
        <v>241</v>
      </c>
      <c r="K1747" t="s">
        <v>11139</v>
      </c>
      <c r="L1747" t="e" vm="62">
        <f>_FV(0,"008")</f>
        <v>#VALUE!</v>
      </c>
    </row>
    <row r="1748" spans="1:12" x14ac:dyDescent="0.25">
      <c r="A1748">
        <v>360430</v>
      </c>
      <c r="B1748">
        <v>360436</v>
      </c>
      <c r="D1748">
        <v>0</v>
      </c>
      <c r="F1748">
        <v>371470</v>
      </c>
      <c r="G1748">
        <v>360436</v>
      </c>
      <c r="H1748" t="e" vm="87">
        <f>_FV(0,"001")</f>
        <v>#VALUE!</v>
      </c>
      <c r="I1748">
        <v>360430</v>
      </c>
      <c r="J1748" t="s">
        <v>1333</v>
      </c>
      <c r="K1748" t="s">
        <v>11140</v>
      </c>
      <c r="L1748" t="e" vm="87">
        <f>_FV(0,"001")</f>
        <v>#VALUE!</v>
      </c>
    </row>
    <row r="1749" spans="1:12" x14ac:dyDescent="0.25">
      <c r="A1749">
        <v>360430</v>
      </c>
      <c r="B1749">
        <v>1212998</v>
      </c>
      <c r="D1749">
        <v>0</v>
      </c>
      <c r="E1749" t="s">
        <v>11142</v>
      </c>
      <c r="F1749" t="s">
        <v>11143</v>
      </c>
      <c r="G1749" t="s">
        <v>11144</v>
      </c>
      <c r="H1749" t="e" vm="758">
        <f>_FV(0,"006300373300276569")</f>
        <v>#VALUE!</v>
      </c>
      <c r="I1749" t="s">
        <v>11145</v>
      </c>
      <c r="J1749" t="s">
        <v>11146</v>
      </c>
      <c r="K1749" t="s">
        <v>11147</v>
      </c>
      <c r="L1749" t="s">
        <v>11141</v>
      </c>
    </row>
    <row r="1750" spans="1:12" x14ac:dyDescent="0.25">
      <c r="A1750">
        <v>360436</v>
      </c>
      <c r="B1750">
        <v>360482</v>
      </c>
      <c r="D1750">
        <v>0</v>
      </c>
      <c r="E1750" t="s">
        <v>11149</v>
      </c>
      <c r="F1750" t="s">
        <v>11150</v>
      </c>
      <c r="G1750" t="s">
        <v>11151</v>
      </c>
      <c r="H1750" t="s">
        <v>11152</v>
      </c>
      <c r="I1750" t="s">
        <v>11153</v>
      </c>
      <c r="J1750" t="s">
        <v>11154</v>
      </c>
      <c r="K1750" t="s">
        <v>11155</v>
      </c>
      <c r="L1750" t="s">
        <v>11148</v>
      </c>
    </row>
    <row r="1751" spans="1:12" x14ac:dyDescent="0.25">
      <c r="A1751">
        <v>360436</v>
      </c>
      <c r="B1751">
        <v>1248111</v>
      </c>
      <c r="D1751">
        <v>0</v>
      </c>
      <c r="E1751" t="s">
        <v>11157</v>
      </c>
      <c r="F1751" t="s">
        <v>11158</v>
      </c>
      <c r="G1751" t="s">
        <v>11159</v>
      </c>
      <c r="H1751" t="s">
        <v>11160</v>
      </c>
      <c r="I1751" t="s">
        <v>11161</v>
      </c>
      <c r="J1751" t="s">
        <v>11162</v>
      </c>
      <c r="K1751" t="s">
        <v>11163</v>
      </c>
      <c r="L1751" t="s">
        <v>11156</v>
      </c>
    </row>
    <row r="1752" spans="1:12" x14ac:dyDescent="0.25">
      <c r="A1752">
        <v>360482</v>
      </c>
      <c r="B1752">
        <v>360488</v>
      </c>
      <c r="D1752">
        <v>0</v>
      </c>
      <c r="F1752">
        <v>371518</v>
      </c>
      <c r="G1752">
        <v>360488</v>
      </c>
      <c r="H1752" t="s">
        <v>3317</v>
      </c>
      <c r="I1752">
        <v>360482</v>
      </c>
      <c r="J1752" t="s">
        <v>3317</v>
      </c>
      <c r="K1752" t="s">
        <v>11164</v>
      </c>
      <c r="L1752" t="s">
        <v>3317</v>
      </c>
    </row>
    <row r="1753" spans="1:12" x14ac:dyDescent="0.25">
      <c r="A1753">
        <v>360482</v>
      </c>
      <c r="B1753">
        <v>1212998</v>
      </c>
      <c r="D1753">
        <v>0</v>
      </c>
      <c r="E1753" t="s">
        <v>11166</v>
      </c>
      <c r="F1753" t="s">
        <v>11167</v>
      </c>
      <c r="G1753" t="s">
        <v>11168</v>
      </c>
      <c r="H1753" t="s">
        <v>11169</v>
      </c>
      <c r="I1753" t="s">
        <v>11170</v>
      </c>
      <c r="J1753" t="s">
        <v>11171</v>
      </c>
      <c r="K1753" t="s">
        <v>11172</v>
      </c>
      <c r="L1753" t="s">
        <v>11165</v>
      </c>
    </row>
    <row r="1754" spans="1:12" x14ac:dyDescent="0.25">
      <c r="A1754">
        <v>360488</v>
      </c>
      <c r="B1754">
        <v>360497</v>
      </c>
      <c r="D1754">
        <v>0</v>
      </c>
      <c r="F1754">
        <v>371526</v>
      </c>
      <c r="G1754">
        <v>360497</v>
      </c>
      <c r="H1754" t="e" vm="759">
        <f>_FV(0,"079")</f>
        <v>#VALUE!</v>
      </c>
      <c r="I1754">
        <v>360488</v>
      </c>
      <c r="J1754" t="s">
        <v>4536</v>
      </c>
      <c r="K1754" t="s">
        <v>11173</v>
      </c>
      <c r="L1754" t="e" vm="759">
        <f>_FV(0,"079")</f>
        <v>#VALUE!</v>
      </c>
    </row>
    <row r="1755" spans="1:12" x14ac:dyDescent="0.25">
      <c r="A1755">
        <v>360488</v>
      </c>
      <c r="B1755">
        <v>1248156</v>
      </c>
      <c r="D1755">
        <v>0</v>
      </c>
      <c r="E1755" t="s">
        <v>11175</v>
      </c>
      <c r="F1755" t="s">
        <v>11176</v>
      </c>
      <c r="G1755" t="s">
        <v>11177</v>
      </c>
      <c r="H1755" t="e" vm="760">
        <f>_FV(0,"009836219219994275")</f>
        <v>#VALUE!</v>
      </c>
      <c r="I1755" t="s">
        <v>11178</v>
      </c>
      <c r="J1755" t="s">
        <v>11179</v>
      </c>
      <c r="K1755" t="s">
        <v>11180</v>
      </c>
      <c r="L1755" t="s">
        <v>11174</v>
      </c>
    </row>
    <row r="1756" spans="1:12" x14ac:dyDescent="0.25">
      <c r="A1756">
        <v>360497</v>
      </c>
      <c r="B1756">
        <v>360525</v>
      </c>
      <c r="D1756">
        <v>0</v>
      </c>
      <c r="E1756" t="s">
        <v>11182</v>
      </c>
      <c r="F1756" t="s">
        <v>11183</v>
      </c>
      <c r="G1756" t="s">
        <v>11184</v>
      </c>
      <c r="H1756" t="e" vm="761">
        <f>_FV(0,"020417549782405012")</f>
        <v>#VALUE!</v>
      </c>
      <c r="I1756" t="s">
        <v>11185</v>
      </c>
      <c r="J1756" t="s">
        <v>11186</v>
      </c>
      <c r="K1756" t="s">
        <v>11187</v>
      </c>
      <c r="L1756" t="s">
        <v>11181</v>
      </c>
    </row>
    <row r="1757" spans="1:12" x14ac:dyDescent="0.25">
      <c r="A1757">
        <v>360497</v>
      </c>
      <c r="B1757">
        <v>1248312</v>
      </c>
      <c r="D1757">
        <v>0</v>
      </c>
      <c r="E1757" t="s">
        <v>11189</v>
      </c>
      <c r="F1757" t="s">
        <v>11190</v>
      </c>
      <c r="G1757" t="s">
        <v>11191</v>
      </c>
      <c r="H1757" t="s">
        <v>11192</v>
      </c>
      <c r="I1757" t="s">
        <v>11193</v>
      </c>
      <c r="J1757" t="s">
        <v>11194</v>
      </c>
      <c r="K1757" t="s">
        <v>11195</v>
      </c>
      <c r="L1757" t="s">
        <v>11188</v>
      </c>
    </row>
    <row r="1758" spans="1:12" x14ac:dyDescent="0.25">
      <c r="A1758">
        <v>360525</v>
      </c>
      <c r="B1758">
        <v>360550</v>
      </c>
      <c r="D1758" t="s">
        <v>700</v>
      </c>
      <c r="E1758" t="s">
        <v>11197</v>
      </c>
      <c r="F1758" t="s">
        <v>11198</v>
      </c>
      <c r="G1758" t="s">
        <v>11199</v>
      </c>
      <c r="H1758" t="s">
        <v>11200</v>
      </c>
      <c r="I1758" t="s">
        <v>11201</v>
      </c>
      <c r="J1758" t="s">
        <v>11202</v>
      </c>
      <c r="K1758" t="s">
        <v>11203</v>
      </c>
      <c r="L1758" t="s">
        <v>11196</v>
      </c>
    </row>
    <row r="1759" spans="1:12" x14ac:dyDescent="0.25">
      <c r="A1759">
        <v>360525</v>
      </c>
      <c r="B1759">
        <v>1248246</v>
      </c>
      <c r="D1759">
        <v>0</v>
      </c>
      <c r="E1759" t="s">
        <v>11205</v>
      </c>
      <c r="F1759" t="s">
        <v>11206</v>
      </c>
      <c r="G1759" t="s">
        <v>11207</v>
      </c>
      <c r="H1759" t="e" vm="762">
        <f>_FV(0,"0044334166035229165")</f>
        <v>#VALUE!</v>
      </c>
      <c r="I1759" t="s">
        <v>11208</v>
      </c>
      <c r="J1759" t="s">
        <v>11209</v>
      </c>
      <c r="K1759" t="s">
        <v>11210</v>
      </c>
      <c r="L1759" t="s">
        <v>11204</v>
      </c>
    </row>
    <row r="1760" spans="1:12" x14ac:dyDescent="0.25">
      <c r="A1760">
        <v>360550</v>
      </c>
      <c r="B1760">
        <v>360570</v>
      </c>
      <c r="D1760" t="s">
        <v>1839</v>
      </c>
      <c r="E1760" t="s">
        <v>11212</v>
      </c>
      <c r="F1760" t="s">
        <v>11213</v>
      </c>
      <c r="G1760" t="s">
        <v>11214</v>
      </c>
      <c r="H1760" t="s">
        <v>11215</v>
      </c>
      <c r="I1760" t="s">
        <v>11216</v>
      </c>
      <c r="J1760" t="s">
        <v>11211</v>
      </c>
      <c r="K1760" t="s">
        <v>11217</v>
      </c>
      <c r="L1760" t="s">
        <v>11211</v>
      </c>
    </row>
    <row r="1761" spans="1:12" x14ac:dyDescent="0.25">
      <c r="A1761">
        <v>360550</v>
      </c>
      <c r="B1761">
        <v>1248312</v>
      </c>
      <c r="D1761">
        <v>0</v>
      </c>
      <c r="E1761" t="s">
        <v>11219</v>
      </c>
      <c r="F1761" t="s">
        <v>11220</v>
      </c>
      <c r="G1761" t="s">
        <v>11221</v>
      </c>
      <c r="H1761" t="e" vm="763">
        <f>_FV(0,"032872499882143705")</f>
        <v>#VALUE!</v>
      </c>
      <c r="I1761" t="s">
        <v>11222</v>
      </c>
      <c r="J1761" t="s">
        <v>11223</v>
      </c>
      <c r="K1761" t="s">
        <v>11224</v>
      </c>
      <c r="L1761" t="s">
        <v>11218</v>
      </c>
    </row>
    <row r="1762" spans="1:12" x14ac:dyDescent="0.25">
      <c r="A1762">
        <v>360570</v>
      </c>
      <c r="B1762">
        <v>360654</v>
      </c>
      <c r="D1762" t="s">
        <v>11226</v>
      </c>
      <c r="E1762" t="s">
        <v>11227</v>
      </c>
      <c r="F1762" t="s">
        <v>11228</v>
      </c>
      <c r="G1762" t="s">
        <v>11229</v>
      </c>
      <c r="H1762" t="e" vm="764">
        <f>_FV(0,"007906678265961798")</f>
        <v>#VALUE!</v>
      </c>
      <c r="I1762" t="s">
        <v>11230</v>
      </c>
      <c r="J1762" t="s">
        <v>11231</v>
      </c>
      <c r="K1762" t="s">
        <v>11232</v>
      </c>
      <c r="L1762" t="s">
        <v>11225</v>
      </c>
    </row>
    <row r="1763" spans="1:12" x14ac:dyDescent="0.25">
      <c r="A1763">
        <v>360570</v>
      </c>
      <c r="B1763">
        <v>1248246</v>
      </c>
      <c r="D1763" t="s">
        <v>514</v>
      </c>
      <c r="E1763" t="s">
        <v>11234</v>
      </c>
      <c r="F1763" t="s">
        <v>11235</v>
      </c>
      <c r="G1763" t="s">
        <v>11236</v>
      </c>
      <c r="H1763" t="s">
        <v>11237</v>
      </c>
      <c r="I1763" t="s">
        <v>11238</v>
      </c>
      <c r="J1763" t="s">
        <v>11239</v>
      </c>
      <c r="K1763" t="s">
        <v>11240</v>
      </c>
      <c r="L1763" t="s">
        <v>11233</v>
      </c>
    </row>
    <row r="1764" spans="1:12" x14ac:dyDescent="0.25">
      <c r="A1764">
        <v>360654</v>
      </c>
      <c r="B1764">
        <v>360691</v>
      </c>
      <c r="D1764" t="s">
        <v>2793</v>
      </c>
      <c r="E1764" t="s">
        <v>11242</v>
      </c>
      <c r="F1764" t="s">
        <v>11243</v>
      </c>
      <c r="G1764" t="s">
        <v>11244</v>
      </c>
      <c r="H1764" t="s">
        <v>11245</v>
      </c>
      <c r="I1764" t="s">
        <v>11246</v>
      </c>
      <c r="J1764" t="s">
        <v>11247</v>
      </c>
      <c r="K1764" t="s">
        <v>11248</v>
      </c>
      <c r="L1764" t="s">
        <v>11241</v>
      </c>
    </row>
    <row r="1765" spans="1:12" x14ac:dyDescent="0.25">
      <c r="A1765">
        <v>360654</v>
      </c>
      <c r="B1765">
        <v>1620526</v>
      </c>
      <c r="D1765" t="s">
        <v>2793</v>
      </c>
      <c r="E1765" t="s">
        <v>11250</v>
      </c>
      <c r="F1765" t="s">
        <v>11251</v>
      </c>
      <c r="G1765" t="s">
        <v>11252</v>
      </c>
      <c r="H1765" t="s">
        <v>11253</v>
      </c>
      <c r="I1765" t="s">
        <v>11254</v>
      </c>
      <c r="J1765" t="s">
        <v>11255</v>
      </c>
      <c r="K1765" t="s">
        <v>11256</v>
      </c>
      <c r="L1765" t="s">
        <v>11249</v>
      </c>
    </row>
    <row r="1766" spans="1:12" x14ac:dyDescent="0.25">
      <c r="A1766">
        <v>360691</v>
      </c>
      <c r="B1766">
        <v>360699</v>
      </c>
      <c r="D1766">
        <v>0</v>
      </c>
      <c r="F1766">
        <v>371702</v>
      </c>
      <c r="G1766">
        <v>360699</v>
      </c>
      <c r="H1766" t="e" vm="765">
        <f>_FV(0,"317")</f>
        <v>#VALUE!</v>
      </c>
      <c r="I1766">
        <v>360691</v>
      </c>
      <c r="J1766" t="s">
        <v>11257</v>
      </c>
      <c r="K1766" t="s">
        <v>11258</v>
      </c>
      <c r="L1766" t="e" vm="765">
        <f>_FV(0,"317")</f>
        <v>#VALUE!</v>
      </c>
    </row>
    <row r="1767" spans="1:12" x14ac:dyDescent="0.25">
      <c r="A1767">
        <v>360691</v>
      </c>
      <c r="B1767">
        <v>1176971</v>
      </c>
      <c r="D1767">
        <v>0</v>
      </c>
      <c r="E1767" t="s">
        <v>11260</v>
      </c>
      <c r="F1767" t="s">
        <v>11261</v>
      </c>
      <c r="G1767" t="s">
        <v>11262</v>
      </c>
      <c r="H1767" t="s">
        <v>11263</v>
      </c>
      <c r="I1767" t="s">
        <v>11264</v>
      </c>
      <c r="J1767" t="s">
        <v>11259</v>
      </c>
      <c r="K1767" t="s">
        <v>11265</v>
      </c>
      <c r="L1767" t="s">
        <v>11259</v>
      </c>
    </row>
    <row r="1768" spans="1:12" x14ac:dyDescent="0.25">
      <c r="A1768">
        <v>360699</v>
      </c>
      <c r="B1768">
        <v>360832</v>
      </c>
      <c r="D1768">
        <v>0</v>
      </c>
      <c r="E1768" t="s">
        <v>11267</v>
      </c>
      <c r="F1768" t="s">
        <v>11268</v>
      </c>
      <c r="G1768" t="s">
        <v>11269</v>
      </c>
      <c r="H1768" t="e" vm="766">
        <f>_FV(0,"006909240448278987")</f>
        <v>#VALUE!</v>
      </c>
      <c r="I1768" t="s">
        <v>11270</v>
      </c>
      <c r="J1768" t="s">
        <v>11271</v>
      </c>
      <c r="K1768" t="s">
        <v>11272</v>
      </c>
      <c r="L1768" t="s">
        <v>11266</v>
      </c>
    </row>
    <row r="1769" spans="1:12" x14ac:dyDescent="0.25">
      <c r="A1769">
        <v>360699</v>
      </c>
      <c r="B1769">
        <v>1620526</v>
      </c>
      <c r="D1769">
        <v>0</v>
      </c>
      <c r="E1769" t="s">
        <v>11274</v>
      </c>
      <c r="F1769" t="s">
        <v>11275</v>
      </c>
      <c r="G1769" t="s">
        <v>11276</v>
      </c>
      <c r="H1769" t="e" vm="767">
        <f>_FV(0,"20727622701975237")</f>
        <v>#VALUE!</v>
      </c>
      <c r="I1769" t="s">
        <v>11277</v>
      </c>
      <c r="J1769" t="s">
        <v>11278</v>
      </c>
      <c r="K1769" t="s">
        <v>11279</v>
      </c>
      <c r="L1769" t="s">
        <v>11273</v>
      </c>
    </row>
    <row r="1770" spans="1:12" x14ac:dyDescent="0.25">
      <c r="A1770">
        <v>360832</v>
      </c>
      <c r="B1770">
        <v>360841</v>
      </c>
      <c r="D1770">
        <v>0</v>
      </c>
      <c r="E1770" t="s">
        <v>11281</v>
      </c>
      <c r="F1770" t="s">
        <v>11282</v>
      </c>
      <c r="G1770" t="s">
        <v>11283</v>
      </c>
      <c r="H1770" t="e" vm="768">
        <f>_FV(0,"013943535343835954")</f>
        <v>#VALUE!</v>
      </c>
      <c r="I1770" t="s">
        <v>11284</v>
      </c>
      <c r="J1770" t="s">
        <v>11285</v>
      </c>
      <c r="K1770" t="s">
        <v>11286</v>
      </c>
      <c r="L1770" t="s">
        <v>11280</v>
      </c>
    </row>
    <row r="1771" spans="1:12" x14ac:dyDescent="0.25">
      <c r="A1771">
        <v>360832</v>
      </c>
      <c r="B1771">
        <v>360841</v>
      </c>
      <c r="D1771">
        <v>0</v>
      </c>
      <c r="E1771" t="s">
        <v>11288</v>
      </c>
      <c r="F1771" t="s">
        <v>11289</v>
      </c>
      <c r="G1771" t="s">
        <v>11290</v>
      </c>
      <c r="H1771" t="e" vm="769">
        <f>_FV(0,"01379994465988785")</f>
        <v>#VALUE!</v>
      </c>
      <c r="I1771" t="s">
        <v>11291</v>
      </c>
      <c r="J1771" t="s">
        <v>11292</v>
      </c>
      <c r="K1771" t="s">
        <v>11293</v>
      </c>
      <c r="L1771" t="s">
        <v>11287</v>
      </c>
    </row>
    <row r="1772" spans="1:12" x14ac:dyDescent="0.25">
      <c r="A1772">
        <v>360841</v>
      </c>
      <c r="B1772">
        <v>360954</v>
      </c>
      <c r="C1772" t="s">
        <v>11295</v>
      </c>
      <c r="D1772" t="s">
        <v>11296</v>
      </c>
      <c r="E1772" t="s">
        <v>11297</v>
      </c>
      <c r="F1772" t="s">
        <v>11298</v>
      </c>
      <c r="G1772" t="s">
        <v>11299</v>
      </c>
      <c r="H1772" t="e" vm="770">
        <f>_FV(0,"005698148964832875")</f>
        <v>#VALUE!</v>
      </c>
      <c r="I1772" t="s">
        <v>11300</v>
      </c>
      <c r="J1772" t="s">
        <v>11301</v>
      </c>
      <c r="K1772" t="s">
        <v>11302</v>
      </c>
      <c r="L1772" t="s">
        <v>11294</v>
      </c>
    </row>
    <row r="1773" spans="1:12" x14ac:dyDescent="0.25">
      <c r="A1773">
        <v>360954</v>
      </c>
      <c r="B1773">
        <v>1267545</v>
      </c>
      <c r="D1773">
        <v>0</v>
      </c>
      <c r="E1773" t="s">
        <v>11304</v>
      </c>
      <c r="F1773" t="s">
        <v>11305</v>
      </c>
      <c r="G1773" t="s">
        <v>11306</v>
      </c>
      <c r="H1773" t="e" vm="771">
        <f>_FV(0,"003658779947007991")</f>
        <v>#VALUE!</v>
      </c>
      <c r="I1773" t="s">
        <v>11307</v>
      </c>
      <c r="J1773" t="s">
        <v>11308</v>
      </c>
      <c r="K1773" t="s">
        <v>11309</v>
      </c>
      <c r="L1773" t="s">
        <v>11303</v>
      </c>
    </row>
    <row r="1774" spans="1:12" x14ac:dyDescent="0.25">
      <c r="A1774">
        <v>360954</v>
      </c>
      <c r="B1774">
        <v>1267547</v>
      </c>
      <c r="D1774">
        <v>0</v>
      </c>
      <c r="E1774" t="s">
        <v>11311</v>
      </c>
      <c r="F1774" t="s">
        <v>11312</v>
      </c>
      <c r="G1774" t="s">
        <v>11313</v>
      </c>
      <c r="H1774" t="e" vm="772">
        <f>_FV(0,"0022895581720808974")</f>
        <v>#VALUE!</v>
      </c>
      <c r="I1774" t="s">
        <v>11314</v>
      </c>
      <c r="J1774" t="s">
        <v>11315</v>
      </c>
      <c r="K1774" t="s">
        <v>11316</v>
      </c>
      <c r="L1774" t="s">
        <v>11310</v>
      </c>
    </row>
    <row r="1775" spans="1:12" x14ac:dyDescent="0.25">
      <c r="A1775">
        <v>361356</v>
      </c>
      <c r="B1775">
        <v>1251840</v>
      </c>
      <c r="D1775">
        <v>0</v>
      </c>
      <c r="E1775" t="s">
        <v>11317</v>
      </c>
      <c r="F1775" t="s">
        <v>11318</v>
      </c>
      <c r="G1775" t="s">
        <v>11319</v>
      </c>
      <c r="H1775" t="s">
        <v>239</v>
      </c>
      <c r="I1775" t="s">
        <v>11320</v>
      </c>
      <c r="J1775" t="s">
        <v>239</v>
      </c>
      <c r="K1775" t="s">
        <v>11321</v>
      </c>
      <c r="L1775" t="s">
        <v>239</v>
      </c>
    </row>
    <row r="1776" spans="1:12" x14ac:dyDescent="0.25">
      <c r="A1776">
        <v>361356</v>
      </c>
      <c r="B1776">
        <v>1055926</v>
      </c>
      <c r="D1776">
        <v>0</v>
      </c>
      <c r="E1776" t="s">
        <v>11323</v>
      </c>
      <c r="F1776" t="s">
        <v>11324</v>
      </c>
      <c r="G1776" t="s">
        <v>11325</v>
      </c>
      <c r="H1776" t="s">
        <v>11326</v>
      </c>
      <c r="I1776" t="s">
        <v>11327</v>
      </c>
      <c r="J1776" t="s">
        <v>11328</v>
      </c>
      <c r="K1776" t="s">
        <v>11329</v>
      </c>
      <c r="L1776" t="s">
        <v>11322</v>
      </c>
    </row>
    <row r="1777" spans="1:12" x14ac:dyDescent="0.25">
      <c r="A1777">
        <v>361356</v>
      </c>
      <c r="B1777">
        <v>1251827</v>
      </c>
      <c r="D1777">
        <v>0</v>
      </c>
      <c r="F1777">
        <v>1352007</v>
      </c>
      <c r="G1777">
        <v>361356</v>
      </c>
      <c r="H1777" t="s">
        <v>194</v>
      </c>
      <c r="I1777">
        <v>1251827</v>
      </c>
      <c r="J1777" t="s">
        <v>194</v>
      </c>
      <c r="K1777" t="s">
        <v>11330</v>
      </c>
      <c r="L1777" t="s">
        <v>194</v>
      </c>
    </row>
    <row r="1778" spans="1:12" x14ac:dyDescent="0.25">
      <c r="A1778">
        <v>361363</v>
      </c>
      <c r="B1778">
        <v>361383</v>
      </c>
      <c r="D1778" t="s">
        <v>204</v>
      </c>
      <c r="E1778" t="s">
        <v>11332</v>
      </c>
      <c r="F1778" t="s">
        <v>11333</v>
      </c>
      <c r="G1778" t="s">
        <v>11334</v>
      </c>
      <c r="H1778" t="s">
        <v>11335</v>
      </c>
      <c r="I1778" t="s">
        <v>11336</v>
      </c>
      <c r="J1778" t="s">
        <v>11337</v>
      </c>
      <c r="K1778" t="s">
        <v>11338</v>
      </c>
      <c r="L1778" t="s">
        <v>11331</v>
      </c>
    </row>
    <row r="1779" spans="1:12" x14ac:dyDescent="0.25">
      <c r="A1779">
        <v>361363</v>
      </c>
      <c r="B1779">
        <v>974682</v>
      </c>
      <c r="D1779">
        <v>0</v>
      </c>
      <c r="E1779" t="s">
        <v>11340</v>
      </c>
      <c r="F1779" t="s">
        <v>11341</v>
      </c>
      <c r="G1779" t="s">
        <v>11342</v>
      </c>
      <c r="H1779" t="e" vm="773">
        <f>_FV(0,"0009047946793241898")</f>
        <v>#VALUE!</v>
      </c>
      <c r="I1779" t="s">
        <v>11343</v>
      </c>
      <c r="J1779" t="s">
        <v>11344</v>
      </c>
      <c r="K1779" t="s">
        <v>11345</v>
      </c>
      <c r="L1779" t="s">
        <v>11339</v>
      </c>
    </row>
    <row r="1780" spans="1:12" x14ac:dyDescent="0.25">
      <c r="A1780">
        <v>361363</v>
      </c>
      <c r="B1780">
        <v>974734</v>
      </c>
      <c r="D1780">
        <v>0</v>
      </c>
      <c r="E1780" t="s">
        <v>11347</v>
      </c>
      <c r="F1780" t="s">
        <v>11348</v>
      </c>
      <c r="G1780" t="s">
        <v>11349</v>
      </c>
      <c r="H1780" t="s">
        <v>11350</v>
      </c>
      <c r="I1780" t="s">
        <v>11351</v>
      </c>
      <c r="J1780" t="s">
        <v>11346</v>
      </c>
      <c r="K1780" t="s">
        <v>11352</v>
      </c>
      <c r="L1780" t="s">
        <v>11346</v>
      </c>
    </row>
    <row r="1781" spans="1:12" x14ac:dyDescent="0.25">
      <c r="A1781">
        <v>361383</v>
      </c>
      <c r="B1781">
        <v>1251827</v>
      </c>
      <c r="D1781">
        <v>0</v>
      </c>
      <c r="E1781" t="s">
        <v>11353</v>
      </c>
      <c r="F1781" t="s">
        <v>11354</v>
      </c>
      <c r="G1781" t="s">
        <v>11355</v>
      </c>
      <c r="H1781" t="s">
        <v>11356</v>
      </c>
      <c r="I1781" t="s">
        <v>11357</v>
      </c>
      <c r="J1781" t="s">
        <v>4897</v>
      </c>
      <c r="K1781" t="s">
        <v>11358</v>
      </c>
      <c r="L1781" t="s">
        <v>4897</v>
      </c>
    </row>
    <row r="1782" spans="1:12" x14ac:dyDescent="0.25">
      <c r="A1782">
        <v>361383</v>
      </c>
      <c r="B1782">
        <v>1251880</v>
      </c>
      <c r="D1782">
        <v>0</v>
      </c>
      <c r="E1782" t="s">
        <v>11360</v>
      </c>
      <c r="F1782" t="s">
        <v>11361</v>
      </c>
      <c r="G1782" t="s">
        <v>11362</v>
      </c>
      <c r="H1782" t="s">
        <v>11363</v>
      </c>
      <c r="I1782" t="s">
        <v>11364</v>
      </c>
      <c r="J1782" t="s">
        <v>11365</v>
      </c>
      <c r="K1782" t="s">
        <v>11366</v>
      </c>
      <c r="L1782" t="s">
        <v>11359</v>
      </c>
    </row>
    <row r="1783" spans="1:12" x14ac:dyDescent="0.25">
      <c r="A1783">
        <v>361633</v>
      </c>
      <c r="B1783">
        <v>361634</v>
      </c>
      <c r="D1783">
        <v>0</v>
      </c>
      <c r="F1783">
        <v>372637</v>
      </c>
      <c r="G1783">
        <v>361634</v>
      </c>
      <c r="H1783" t="e" vm="339">
        <f>_FV(0,"0")</f>
        <v>#VALUE!</v>
      </c>
      <c r="I1783">
        <v>361633</v>
      </c>
      <c r="J1783" t="s">
        <v>187</v>
      </c>
      <c r="K1783" t="s">
        <v>11367</v>
      </c>
      <c r="L1783" t="e" vm="339">
        <f>_FV(0,"0")</f>
        <v>#VALUE!</v>
      </c>
    </row>
    <row r="1784" spans="1:12" x14ac:dyDescent="0.25">
      <c r="A1784">
        <v>361633</v>
      </c>
      <c r="B1784">
        <v>368845</v>
      </c>
      <c r="D1784">
        <v>0</v>
      </c>
      <c r="E1784" t="s">
        <v>11369</v>
      </c>
      <c r="F1784" t="s">
        <v>11370</v>
      </c>
      <c r="G1784" t="s">
        <v>11371</v>
      </c>
      <c r="H1784" t="e" vm="774">
        <f>_FV(0,"021080745741678748")</f>
        <v>#VALUE!</v>
      </c>
      <c r="I1784" t="s">
        <v>11372</v>
      </c>
      <c r="J1784" t="s">
        <v>11373</v>
      </c>
      <c r="K1784" t="s">
        <v>11374</v>
      </c>
      <c r="L1784" t="s">
        <v>11368</v>
      </c>
    </row>
    <row r="1785" spans="1:12" x14ac:dyDescent="0.25">
      <c r="A1785">
        <v>361633</v>
      </c>
      <c r="B1785">
        <v>1194001</v>
      </c>
      <c r="D1785">
        <v>0</v>
      </c>
      <c r="F1785">
        <v>1279610</v>
      </c>
      <c r="G1785">
        <v>361633</v>
      </c>
      <c r="H1785" t="e" vm="184">
        <f>_FV(0,"031")</f>
        <v>#VALUE!</v>
      </c>
      <c r="I1785">
        <v>1194001</v>
      </c>
      <c r="J1785" t="s">
        <v>2871</v>
      </c>
      <c r="K1785" t="s">
        <v>11375</v>
      </c>
      <c r="L1785" t="e" vm="184">
        <f>_FV(0,"031")</f>
        <v>#VALUE!</v>
      </c>
    </row>
    <row r="1786" spans="1:12" x14ac:dyDescent="0.25">
      <c r="A1786">
        <v>361634</v>
      </c>
      <c r="B1786">
        <v>361651</v>
      </c>
      <c r="D1786">
        <v>0</v>
      </c>
      <c r="E1786" t="s">
        <v>11376</v>
      </c>
      <c r="F1786" t="s">
        <v>11377</v>
      </c>
      <c r="G1786" t="s">
        <v>11378</v>
      </c>
      <c r="H1786" t="s">
        <v>1534</v>
      </c>
      <c r="I1786" t="s">
        <v>11379</v>
      </c>
      <c r="J1786" t="s">
        <v>1534</v>
      </c>
      <c r="K1786" t="s">
        <v>11380</v>
      </c>
      <c r="L1786" t="s">
        <v>1534</v>
      </c>
    </row>
    <row r="1787" spans="1:12" x14ac:dyDescent="0.25">
      <c r="A1787">
        <v>361634</v>
      </c>
      <c r="B1787">
        <v>1177175</v>
      </c>
      <c r="D1787" t="s">
        <v>10069</v>
      </c>
      <c r="E1787" t="s">
        <v>11382</v>
      </c>
      <c r="F1787" t="s">
        <v>11383</v>
      </c>
      <c r="G1787" t="s">
        <v>11384</v>
      </c>
      <c r="H1787" t="e" vm="775">
        <f>_FV(0,"003959398655672704")</f>
        <v>#VALUE!</v>
      </c>
      <c r="I1787" t="s">
        <v>11385</v>
      </c>
      <c r="J1787" t="s">
        <v>11386</v>
      </c>
      <c r="K1787" t="s">
        <v>11387</v>
      </c>
      <c r="L1787" t="s">
        <v>11381</v>
      </c>
    </row>
    <row r="1788" spans="1:12" x14ac:dyDescent="0.25">
      <c r="A1788">
        <v>361634</v>
      </c>
      <c r="B1788">
        <v>368845</v>
      </c>
      <c r="D1788">
        <v>0</v>
      </c>
      <c r="E1788" t="s">
        <v>11389</v>
      </c>
      <c r="F1788" t="s">
        <v>11390</v>
      </c>
      <c r="G1788" t="s">
        <v>11391</v>
      </c>
      <c r="H1788" t="s">
        <v>11392</v>
      </c>
      <c r="I1788" t="s">
        <v>11393</v>
      </c>
      <c r="J1788" t="s">
        <v>11394</v>
      </c>
      <c r="K1788" t="s">
        <v>11395</v>
      </c>
      <c r="L1788" t="s">
        <v>11388</v>
      </c>
    </row>
    <row r="1789" spans="1:12" x14ac:dyDescent="0.25">
      <c r="A1789">
        <v>361651</v>
      </c>
      <c r="B1789">
        <v>369935</v>
      </c>
      <c r="D1789" t="s">
        <v>3716</v>
      </c>
      <c r="E1789" t="s">
        <v>11397</v>
      </c>
      <c r="F1789" t="s">
        <v>11398</v>
      </c>
      <c r="G1789" t="s">
        <v>11399</v>
      </c>
      <c r="H1789" t="e" vm="776">
        <f>_FV(0,"0027347513898033126")</f>
        <v>#VALUE!</v>
      </c>
      <c r="I1789" t="s">
        <v>11400</v>
      </c>
      <c r="J1789" t="s">
        <v>11401</v>
      </c>
      <c r="K1789" t="s">
        <v>11402</v>
      </c>
      <c r="L1789" t="s">
        <v>11396</v>
      </c>
    </row>
    <row r="1790" spans="1:12" x14ac:dyDescent="0.25">
      <c r="A1790">
        <v>361651</v>
      </c>
      <c r="B1790">
        <v>368845</v>
      </c>
      <c r="D1790">
        <v>0</v>
      </c>
      <c r="F1790">
        <v>379710</v>
      </c>
      <c r="G1790">
        <v>361651</v>
      </c>
      <c r="H1790" t="s">
        <v>4038</v>
      </c>
      <c r="I1790">
        <v>368845</v>
      </c>
      <c r="J1790" t="s">
        <v>4038</v>
      </c>
      <c r="K1790" t="s">
        <v>11403</v>
      </c>
      <c r="L1790" t="s">
        <v>4038</v>
      </c>
    </row>
    <row r="1791" spans="1:12" x14ac:dyDescent="0.25">
      <c r="A1791">
        <v>361651</v>
      </c>
      <c r="B1791">
        <v>369881</v>
      </c>
      <c r="D1791">
        <v>0</v>
      </c>
      <c r="E1791" t="s">
        <v>11405</v>
      </c>
      <c r="F1791" t="s">
        <v>11406</v>
      </c>
      <c r="G1791" t="s">
        <v>11407</v>
      </c>
      <c r="H1791" t="e" vm="777">
        <f>_FV(0,"006926938944746202")</f>
        <v>#VALUE!</v>
      </c>
      <c r="I1791" t="s">
        <v>11408</v>
      </c>
      <c r="J1791" t="s">
        <v>11409</v>
      </c>
      <c r="K1791" t="s">
        <v>11410</v>
      </c>
      <c r="L1791" t="s">
        <v>11404</v>
      </c>
    </row>
    <row r="1792" spans="1:12" x14ac:dyDescent="0.25">
      <c r="A1792">
        <v>361978</v>
      </c>
      <c r="B1792">
        <v>361995</v>
      </c>
      <c r="D1792" t="s">
        <v>330</v>
      </c>
      <c r="E1792" t="s">
        <v>11412</v>
      </c>
      <c r="F1792" t="s">
        <v>11413</v>
      </c>
      <c r="G1792" t="s">
        <v>11414</v>
      </c>
      <c r="H1792" t="s">
        <v>11415</v>
      </c>
      <c r="I1792" t="s">
        <v>11416</v>
      </c>
      <c r="J1792" t="s">
        <v>11417</v>
      </c>
      <c r="K1792" t="s">
        <v>11418</v>
      </c>
      <c r="L1792" t="s">
        <v>11411</v>
      </c>
    </row>
    <row r="1793" spans="1:12" x14ac:dyDescent="0.25">
      <c r="A1793">
        <v>361978</v>
      </c>
      <c r="B1793">
        <v>362485</v>
      </c>
      <c r="D1793" t="s">
        <v>330</v>
      </c>
      <c r="E1793" t="s">
        <v>11420</v>
      </c>
      <c r="F1793" t="s">
        <v>11421</v>
      </c>
      <c r="G1793" t="s">
        <v>11422</v>
      </c>
      <c r="H1793" t="s">
        <v>11423</v>
      </c>
      <c r="I1793" t="s">
        <v>11424</v>
      </c>
      <c r="J1793" t="s">
        <v>11419</v>
      </c>
      <c r="K1793" t="s">
        <v>11425</v>
      </c>
      <c r="L1793" t="s">
        <v>11419</v>
      </c>
    </row>
    <row r="1794" spans="1:12" x14ac:dyDescent="0.25">
      <c r="A1794">
        <v>361987</v>
      </c>
      <c r="B1794">
        <v>362114</v>
      </c>
      <c r="D1794">
        <v>0</v>
      </c>
      <c r="E1794" t="s">
        <v>11427</v>
      </c>
      <c r="F1794" t="s">
        <v>11428</v>
      </c>
      <c r="G1794" t="s">
        <v>11429</v>
      </c>
      <c r="H1794" t="s">
        <v>11430</v>
      </c>
      <c r="I1794" t="s">
        <v>11431</v>
      </c>
      <c r="J1794" t="s">
        <v>11426</v>
      </c>
      <c r="K1794" t="s">
        <v>11432</v>
      </c>
      <c r="L1794" t="s">
        <v>11426</v>
      </c>
    </row>
    <row r="1795" spans="1:12" x14ac:dyDescent="0.25">
      <c r="A1795">
        <v>361987</v>
      </c>
      <c r="B1795">
        <v>361995</v>
      </c>
      <c r="D1795">
        <v>0</v>
      </c>
      <c r="E1795" t="s">
        <v>11434</v>
      </c>
      <c r="F1795" t="s">
        <v>11435</v>
      </c>
      <c r="G1795" t="s">
        <v>11436</v>
      </c>
      <c r="H1795" t="s">
        <v>11437</v>
      </c>
      <c r="I1795" t="s">
        <v>11438</v>
      </c>
      <c r="J1795" t="s">
        <v>11439</v>
      </c>
      <c r="K1795" t="s">
        <v>11440</v>
      </c>
      <c r="L1795" t="s">
        <v>11433</v>
      </c>
    </row>
    <row r="1796" spans="1:12" x14ac:dyDescent="0.25">
      <c r="A1796">
        <v>362021</v>
      </c>
      <c r="B1796">
        <v>362865</v>
      </c>
      <c r="D1796">
        <v>0</v>
      </c>
      <c r="E1796" t="s">
        <v>11442</v>
      </c>
      <c r="F1796" t="s">
        <v>11443</v>
      </c>
      <c r="G1796" t="s">
        <v>11444</v>
      </c>
      <c r="H1796" t="e" vm="778">
        <f>_FV(0,"0030567485265792266")</f>
        <v>#VALUE!</v>
      </c>
      <c r="I1796" t="s">
        <v>11445</v>
      </c>
      <c r="J1796" t="s">
        <v>11446</v>
      </c>
      <c r="K1796" t="s">
        <v>11447</v>
      </c>
      <c r="L1796" t="s">
        <v>11441</v>
      </c>
    </row>
    <row r="1797" spans="1:12" x14ac:dyDescent="0.25">
      <c r="A1797">
        <v>362159</v>
      </c>
      <c r="B1797">
        <v>630485</v>
      </c>
      <c r="D1797">
        <v>0</v>
      </c>
      <c r="E1797" t="s">
        <v>11449</v>
      </c>
      <c r="F1797" t="s">
        <v>11450</v>
      </c>
      <c r="G1797" t="s">
        <v>11451</v>
      </c>
      <c r="H1797" t="s">
        <v>11452</v>
      </c>
      <c r="I1797" t="s">
        <v>11453</v>
      </c>
      <c r="J1797" t="s">
        <v>11454</v>
      </c>
      <c r="K1797" t="s">
        <v>11455</v>
      </c>
      <c r="L1797" t="s">
        <v>11448</v>
      </c>
    </row>
    <row r="1798" spans="1:12" x14ac:dyDescent="0.25">
      <c r="A1798">
        <v>362159</v>
      </c>
      <c r="B1798">
        <v>621894</v>
      </c>
      <c r="D1798">
        <v>0</v>
      </c>
      <c r="E1798" t="s">
        <v>11457</v>
      </c>
      <c r="F1798" t="s">
        <v>11458</v>
      </c>
      <c r="G1798" t="s">
        <v>11459</v>
      </c>
      <c r="H1798" t="s">
        <v>11460</v>
      </c>
      <c r="I1798" t="s">
        <v>11461</v>
      </c>
      <c r="J1798" t="s">
        <v>11462</v>
      </c>
      <c r="K1798" t="s">
        <v>11463</v>
      </c>
      <c r="L1798" t="s">
        <v>11456</v>
      </c>
    </row>
    <row r="1799" spans="1:12" x14ac:dyDescent="0.25">
      <c r="A1799">
        <v>362159</v>
      </c>
      <c r="B1799">
        <v>622414</v>
      </c>
      <c r="D1799">
        <v>0</v>
      </c>
      <c r="E1799" t="s">
        <v>11465</v>
      </c>
      <c r="F1799" t="s">
        <v>11466</v>
      </c>
      <c r="G1799" t="s">
        <v>11467</v>
      </c>
      <c r="H1799" t="s">
        <v>11468</v>
      </c>
      <c r="I1799" t="s">
        <v>11469</v>
      </c>
      <c r="J1799" t="s">
        <v>11470</v>
      </c>
      <c r="K1799" t="s">
        <v>11471</v>
      </c>
      <c r="L1799" t="s">
        <v>11464</v>
      </c>
    </row>
    <row r="1800" spans="1:12" x14ac:dyDescent="0.25">
      <c r="A1800">
        <v>362173</v>
      </c>
      <c r="B1800">
        <v>362181</v>
      </c>
      <c r="D1800">
        <v>0</v>
      </c>
      <c r="E1800" t="s">
        <v>11472</v>
      </c>
      <c r="F1800" t="s">
        <v>11473</v>
      </c>
      <c r="G1800" t="s">
        <v>11474</v>
      </c>
      <c r="H1800" t="e" vm="263">
        <f>_FV(0,"024")</f>
        <v>#VALUE!</v>
      </c>
      <c r="I1800" t="s">
        <v>11475</v>
      </c>
      <c r="J1800" t="s">
        <v>2916</v>
      </c>
      <c r="K1800" t="s">
        <v>11476</v>
      </c>
      <c r="L1800" t="e" vm="263">
        <f>_FV(0,"024")</f>
        <v>#VALUE!</v>
      </c>
    </row>
    <row r="1801" spans="1:12" x14ac:dyDescent="0.25">
      <c r="A1801">
        <v>362173</v>
      </c>
      <c r="B1801">
        <v>363306</v>
      </c>
      <c r="D1801">
        <v>0</v>
      </c>
      <c r="E1801" t="s">
        <v>11478</v>
      </c>
      <c r="F1801" t="s">
        <v>11479</v>
      </c>
      <c r="G1801" t="s">
        <v>11480</v>
      </c>
      <c r="H1801" t="s">
        <v>11481</v>
      </c>
      <c r="I1801" t="s">
        <v>11482</v>
      </c>
      <c r="J1801" t="s">
        <v>763</v>
      </c>
      <c r="K1801" t="s">
        <v>11483</v>
      </c>
      <c r="L1801" t="s">
        <v>11477</v>
      </c>
    </row>
    <row r="1802" spans="1:12" x14ac:dyDescent="0.25">
      <c r="A1802">
        <v>362181</v>
      </c>
      <c r="B1802">
        <v>362663</v>
      </c>
      <c r="D1802" t="s">
        <v>204</v>
      </c>
      <c r="E1802" t="s">
        <v>11485</v>
      </c>
      <c r="F1802" t="s">
        <v>11486</v>
      </c>
      <c r="G1802" t="s">
        <v>11487</v>
      </c>
      <c r="H1802" t="e" vm="779">
        <f>_FV(0,"02181543663972047")</f>
        <v>#VALUE!</v>
      </c>
      <c r="I1802" t="s">
        <v>11488</v>
      </c>
      <c r="J1802" t="s">
        <v>11489</v>
      </c>
      <c r="K1802" t="s">
        <v>11490</v>
      </c>
      <c r="L1802" t="s">
        <v>11484</v>
      </c>
    </row>
    <row r="1803" spans="1:12" x14ac:dyDescent="0.25">
      <c r="A1803">
        <v>362181</v>
      </c>
      <c r="B1803">
        <v>363306</v>
      </c>
      <c r="D1803">
        <v>0</v>
      </c>
      <c r="E1803" t="s">
        <v>11492</v>
      </c>
      <c r="F1803" t="s">
        <v>11493</v>
      </c>
      <c r="G1803" t="s">
        <v>11494</v>
      </c>
      <c r="H1803" t="e" vm="780">
        <f>_FV(0,"026990617248850723")</f>
        <v>#VALUE!</v>
      </c>
      <c r="I1803" t="s">
        <v>11495</v>
      </c>
      <c r="J1803" t="s">
        <v>11496</v>
      </c>
      <c r="K1803" t="s">
        <v>11497</v>
      </c>
      <c r="L1803" t="s">
        <v>11491</v>
      </c>
    </row>
    <row r="1804" spans="1:12" x14ac:dyDescent="0.25">
      <c r="A1804">
        <v>362201</v>
      </c>
      <c r="B1804">
        <v>362779</v>
      </c>
      <c r="D1804">
        <v>0</v>
      </c>
      <c r="E1804" t="s">
        <v>11499</v>
      </c>
      <c r="F1804" t="s">
        <v>11500</v>
      </c>
      <c r="G1804" t="s">
        <v>11501</v>
      </c>
      <c r="H1804" t="s">
        <v>11502</v>
      </c>
      <c r="I1804" t="s">
        <v>11503</v>
      </c>
      <c r="J1804" t="s">
        <v>11504</v>
      </c>
      <c r="K1804" t="s">
        <v>11505</v>
      </c>
      <c r="L1804" t="s">
        <v>11498</v>
      </c>
    </row>
    <row r="1805" spans="1:12" x14ac:dyDescent="0.25">
      <c r="A1805">
        <v>362201</v>
      </c>
      <c r="B1805">
        <v>362298</v>
      </c>
      <c r="D1805">
        <v>0</v>
      </c>
      <c r="E1805" t="s">
        <v>11506</v>
      </c>
      <c r="F1805" t="s">
        <v>11507</v>
      </c>
      <c r="G1805" t="s">
        <v>11508</v>
      </c>
      <c r="H1805" t="s">
        <v>11509</v>
      </c>
      <c r="I1805" t="s">
        <v>11510</v>
      </c>
      <c r="J1805" t="s">
        <v>6123</v>
      </c>
      <c r="K1805" t="s">
        <v>11511</v>
      </c>
      <c r="L1805" t="s">
        <v>6123</v>
      </c>
    </row>
    <row r="1806" spans="1:12" x14ac:dyDescent="0.25">
      <c r="A1806">
        <v>362208</v>
      </c>
      <c r="B1806">
        <v>363114</v>
      </c>
      <c r="D1806" t="s">
        <v>7856</v>
      </c>
      <c r="E1806" t="s">
        <v>11513</v>
      </c>
      <c r="F1806" t="s">
        <v>11514</v>
      </c>
      <c r="G1806" t="s">
        <v>11515</v>
      </c>
      <c r="H1806" t="s">
        <v>11516</v>
      </c>
      <c r="I1806" t="s">
        <v>11517</v>
      </c>
      <c r="J1806" t="s">
        <v>11512</v>
      </c>
      <c r="K1806" t="s">
        <v>11518</v>
      </c>
      <c r="L1806" t="s">
        <v>11512</v>
      </c>
    </row>
    <row r="1807" spans="1:12" x14ac:dyDescent="0.25">
      <c r="A1807">
        <v>362208</v>
      </c>
      <c r="B1807">
        <v>362460</v>
      </c>
      <c r="D1807" t="s">
        <v>9492</v>
      </c>
      <c r="E1807" t="s">
        <v>11520</v>
      </c>
      <c r="F1807" t="s">
        <v>11521</v>
      </c>
      <c r="G1807" t="s">
        <v>11522</v>
      </c>
      <c r="H1807" t="s">
        <v>11523</v>
      </c>
      <c r="I1807" t="s">
        <v>11524</v>
      </c>
      <c r="J1807" t="s">
        <v>11519</v>
      </c>
      <c r="K1807" t="s">
        <v>11525</v>
      </c>
      <c r="L1807" t="s">
        <v>11519</v>
      </c>
    </row>
    <row r="1808" spans="1:12" x14ac:dyDescent="0.25">
      <c r="A1808">
        <v>362208</v>
      </c>
      <c r="B1808">
        <v>362669</v>
      </c>
      <c r="D1808" t="s">
        <v>2793</v>
      </c>
      <c r="E1808" t="s">
        <v>11527</v>
      </c>
      <c r="F1808" t="s">
        <v>11528</v>
      </c>
      <c r="G1808" t="s">
        <v>11529</v>
      </c>
      <c r="H1808" t="s">
        <v>11530</v>
      </c>
      <c r="I1808" t="s">
        <v>11531</v>
      </c>
      <c r="J1808" t="s">
        <v>11526</v>
      </c>
      <c r="K1808" t="s">
        <v>11532</v>
      </c>
      <c r="L1808" t="s">
        <v>11526</v>
      </c>
    </row>
    <row r="1809" spans="1:12" x14ac:dyDescent="0.25">
      <c r="A1809">
        <v>362298</v>
      </c>
      <c r="B1809">
        <v>362460</v>
      </c>
      <c r="D1809" t="s">
        <v>330</v>
      </c>
      <c r="E1809" t="s">
        <v>11534</v>
      </c>
      <c r="F1809" t="s">
        <v>11535</v>
      </c>
      <c r="G1809" t="s">
        <v>11536</v>
      </c>
      <c r="H1809" t="s">
        <v>11537</v>
      </c>
      <c r="I1809" t="s">
        <v>11538</v>
      </c>
      <c r="J1809" t="s">
        <v>11539</v>
      </c>
      <c r="K1809" t="s">
        <v>11540</v>
      </c>
      <c r="L1809" t="s">
        <v>11533</v>
      </c>
    </row>
    <row r="1810" spans="1:12" x14ac:dyDescent="0.25">
      <c r="A1810">
        <v>362525</v>
      </c>
      <c r="B1810">
        <v>362600</v>
      </c>
      <c r="D1810">
        <v>0</v>
      </c>
      <c r="E1810" t="s">
        <v>11541</v>
      </c>
      <c r="F1810" t="s">
        <v>11542</v>
      </c>
      <c r="G1810" t="s">
        <v>11543</v>
      </c>
      <c r="H1810" t="e" vm="781">
        <f>_FV(0,"002491781739305734")</f>
        <v>#VALUE!</v>
      </c>
      <c r="I1810" t="s">
        <v>11544</v>
      </c>
      <c r="J1810" t="s">
        <v>1829</v>
      </c>
      <c r="K1810" t="s">
        <v>11545</v>
      </c>
      <c r="L1810" t="s">
        <v>1823</v>
      </c>
    </row>
    <row r="1811" spans="1:12" x14ac:dyDescent="0.25">
      <c r="A1811">
        <v>362525</v>
      </c>
      <c r="B1811">
        <v>362703</v>
      </c>
      <c r="D1811">
        <v>0</v>
      </c>
      <c r="E1811" t="s">
        <v>11546</v>
      </c>
      <c r="F1811" t="s">
        <v>11547</v>
      </c>
      <c r="G1811" t="s">
        <v>11548</v>
      </c>
      <c r="H1811" t="s">
        <v>11549</v>
      </c>
      <c r="I1811" t="s">
        <v>11550</v>
      </c>
      <c r="J1811" t="s">
        <v>6123</v>
      </c>
      <c r="K1811" t="s">
        <v>11551</v>
      </c>
      <c r="L1811" t="s">
        <v>6123</v>
      </c>
    </row>
    <row r="1812" spans="1:12" x14ac:dyDescent="0.25">
      <c r="A1812">
        <v>362581</v>
      </c>
      <c r="B1812">
        <v>362591</v>
      </c>
      <c r="D1812">
        <v>0</v>
      </c>
      <c r="E1812" t="s">
        <v>11553</v>
      </c>
      <c r="F1812" t="s">
        <v>11554</v>
      </c>
      <c r="G1812" t="s">
        <v>11555</v>
      </c>
      <c r="H1812" t="e" vm="782">
        <f>_FV(0,"0959649441522264")</f>
        <v>#VALUE!</v>
      </c>
      <c r="I1812" t="s">
        <v>11556</v>
      </c>
      <c r="J1812" t="s">
        <v>11557</v>
      </c>
      <c r="K1812" t="s">
        <v>11558</v>
      </c>
      <c r="L1812" t="s">
        <v>11552</v>
      </c>
    </row>
    <row r="1813" spans="1:12" x14ac:dyDescent="0.25">
      <c r="A1813">
        <v>362581</v>
      </c>
      <c r="B1813">
        <v>362612</v>
      </c>
      <c r="D1813">
        <v>0</v>
      </c>
      <c r="E1813" t="s">
        <v>11560</v>
      </c>
      <c r="F1813" t="s">
        <v>11561</v>
      </c>
      <c r="G1813" t="s">
        <v>11562</v>
      </c>
      <c r="H1813" t="e" vm="783">
        <f>_FV(0,"06088176408230832")</f>
        <v>#VALUE!</v>
      </c>
      <c r="I1813" t="s">
        <v>11563</v>
      </c>
      <c r="J1813" t="s">
        <v>11564</v>
      </c>
      <c r="K1813" t="s">
        <v>11565</v>
      </c>
      <c r="L1813" t="s">
        <v>11559</v>
      </c>
    </row>
    <row r="1814" spans="1:12" x14ac:dyDescent="0.25">
      <c r="A1814">
        <v>362591</v>
      </c>
      <c r="B1814">
        <v>362597</v>
      </c>
      <c r="D1814" t="s">
        <v>204</v>
      </c>
      <c r="E1814" t="s">
        <v>11567</v>
      </c>
      <c r="F1814" t="s">
        <v>11568</v>
      </c>
      <c r="G1814" t="s">
        <v>11569</v>
      </c>
      <c r="H1814" t="e" vm="784">
        <f>_FV(0,"06391509338378128")</f>
        <v>#VALUE!</v>
      </c>
      <c r="I1814" t="s">
        <v>11570</v>
      </c>
      <c r="J1814" t="s">
        <v>11571</v>
      </c>
      <c r="K1814" t="s">
        <v>11572</v>
      </c>
      <c r="L1814" t="s">
        <v>11566</v>
      </c>
    </row>
    <row r="1815" spans="1:12" x14ac:dyDescent="0.25">
      <c r="A1815">
        <v>362591</v>
      </c>
      <c r="B1815">
        <v>362612</v>
      </c>
      <c r="D1815">
        <v>0</v>
      </c>
      <c r="E1815" t="s">
        <v>11574</v>
      </c>
      <c r="F1815" t="s">
        <v>11575</v>
      </c>
      <c r="G1815" t="s">
        <v>11576</v>
      </c>
      <c r="H1815" t="e" vm="785">
        <f>_FV(0,"06483371979384599")</f>
        <v>#VALUE!</v>
      </c>
      <c r="I1815" t="s">
        <v>11577</v>
      </c>
      <c r="J1815" t="s">
        <v>11578</v>
      </c>
      <c r="K1815" t="s">
        <v>11579</v>
      </c>
      <c r="L1815" t="s">
        <v>11573</v>
      </c>
    </row>
    <row r="1816" spans="1:12" x14ac:dyDescent="0.25">
      <c r="A1816">
        <v>362597</v>
      </c>
      <c r="B1816">
        <v>362606</v>
      </c>
      <c r="D1816">
        <v>0</v>
      </c>
      <c r="E1816" t="s">
        <v>11581</v>
      </c>
      <c r="F1816" t="s">
        <v>11582</v>
      </c>
      <c r="G1816" t="s">
        <v>11583</v>
      </c>
      <c r="H1816" t="e" vm="786">
        <f>_FV(0,"03225124947453251")</f>
        <v>#VALUE!</v>
      </c>
      <c r="I1816" t="s">
        <v>11584</v>
      </c>
      <c r="J1816" t="s">
        <v>11585</v>
      </c>
      <c r="K1816" t="s">
        <v>11586</v>
      </c>
      <c r="L1816" t="s">
        <v>11580</v>
      </c>
    </row>
    <row r="1817" spans="1:12" x14ac:dyDescent="0.25">
      <c r="A1817">
        <v>362597</v>
      </c>
      <c r="B1817">
        <v>362649</v>
      </c>
      <c r="D1817">
        <v>0</v>
      </c>
      <c r="E1817" t="s">
        <v>11588</v>
      </c>
      <c r="F1817" t="s">
        <v>11589</v>
      </c>
      <c r="G1817" t="s">
        <v>11590</v>
      </c>
      <c r="H1817" t="e" vm="787">
        <f>_FV(0,"05551843976695225")</f>
        <v>#VALUE!</v>
      </c>
      <c r="I1817" t="s">
        <v>11591</v>
      </c>
      <c r="J1817" t="s">
        <v>11592</v>
      </c>
      <c r="K1817" t="s">
        <v>11593</v>
      </c>
      <c r="L1817" t="s">
        <v>11587</v>
      </c>
    </row>
    <row r="1818" spans="1:12" x14ac:dyDescent="0.25">
      <c r="A1818">
        <v>362600</v>
      </c>
      <c r="B1818">
        <v>362703</v>
      </c>
      <c r="D1818">
        <v>0</v>
      </c>
      <c r="E1818" t="s">
        <v>11594</v>
      </c>
      <c r="F1818" t="s">
        <v>11595</v>
      </c>
      <c r="G1818" t="s">
        <v>11596</v>
      </c>
      <c r="H1818" t="s">
        <v>1534</v>
      </c>
      <c r="I1818" t="s">
        <v>11597</v>
      </c>
      <c r="J1818" t="s">
        <v>1534</v>
      </c>
      <c r="K1818" t="s">
        <v>11598</v>
      </c>
      <c r="L1818" t="s">
        <v>1534</v>
      </c>
    </row>
    <row r="1819" spans="1:12" x14ac:dyDescent="0.25">
      <c r="A1819">
        <v>362606</v>
      </c>
      <c r="B1819">
        <v>362649</v>
      </c>
      <c r="D1819">
        <v>0</v>
      </c>
      <c r="E1819" t="s">
        <v>11600</v>
      </c>
      <c r="F1819" t="s">
        <v>11601</v>
      </c>
      <c r="G1819" t="s">
        <v>11602</v>
      </c>
      <c r="H1819" t="s">
        <v>11603</v>
      </c>
      <c r="I1819" t="s">
        <v>11604</v>
      </c>
      <c r="J1819" t="s">
        <v>11599</v>
      </c>
      <c r="K1819" t="s">
        <v>11605</v>
      </c>
      <c r="L1819" t="s">
        <v>11599</v>
      </c>
    </row>
    <row r="1820" spans="1:12" x14ac:dyDescent="0.25">
      <c r="A1820">
        <v>362633</v>
      </c>
      <c r="B1820">
        <v>362648</v>
      </c>
      <c r="D1820">
        <v>0</v>
      </c>
      <c r="E1820" t="s">
        <v>11607</v>
      </c>
      <c r="F1820" t="s">
        <v>11608</v>
      </c>
      <c r="G1820" t="s">
        <v>11609</v>
      </c>
      <c r="H1820" t="s">
        <v>11610</v>
      </c>
      <c r="I1820" t="s">
        <v>11611</v>
      </c>
      <c r="J1820" t="s">
        <v>11606</v>
      </c>
      <c r="K1820" t="s">
        <v>11612</v>
      </c>
      <c r="L1820" t="s">
        <v>11606</v>
      </c>
    </row>
    <row r="1821" spans="1:12" x14ac:dyDescent="0.25">
      <c r="A1821">
        <v>362633</v>
      </c>
      <c r="B1821">
        <v>362865</v>
      </c>
      <c r="D1821" t="s">
        <v>330</v>
      </c>
      <c r="E1821" t="s">
        <v>11614</v>
      </c>
      <c r="F1821" t="s">
        <v>11615</v>
      </c>
      <c r="G1821" t="s">
        <v>11616</v>
      </c>
      <c r="H1821" t="e" vm="788">
        <f>_FV(0,"004358764608166217")</f>
        <v>#VALUE!</v>
      </c>
      <c r="I1821" t="s">
        <v>11617</v>
      </c>
      <c r="J1821" t="s">
        <v>11618</v>
      </c>
      <c r="K1821" t="s">
        <v>11619</v>
      </c>
      <c r="L1821" t="s">
        <v>11613</v>
      </c>
    </row>
    <row r="1822" spans="1:12" x14ac:dyDescent="0.25">
      <c r="A1822">
        <v>362633</v>
      </c>
      <c r="B1822">
        <v>363174</v>
      </c>
      <c r="D1822">
        <v>0</v>
      </c>
      <c r="F1822">
        <v>374228</v>
      </c>
      <c r="G1822">
        <v>362633</v>
      </c>
      <c r="H1822" t="s">
        <v>2068</v>
      </c>
      <c r="I1822">
        <v>363174</v>
      </c>
      <c r="J1822" t="s">
        <v>2068</v>
      </c>
      <c r="K1822" t="s">
        <v>11620</v>
      </c>
      <c r="L1822" t="s">
        <v>2068</v>
      </c>
    </row>
    <row r="1823" spans="1:12" x14ac:dyDescent="0.25">
      <c r="A1823">
        <v>362648</v>
      </c>
      <c r="B1823">
        <v>362865</v>
      </c>
      <c r="D1823" t="s">
        <v>330</v>
      </c>
      <c r="E1823" t="s">
        <v>11622</v>
      </c>
      <c r="F1823" t="s">
        <v>11623</v>
      </c>
      <c r="G1823" t="s">
        <v>11624</v>
      </c>
      <c r="H1823" t="e" vm="789">
        <f>_FV(0,"0027288930153920588")</f>
        <v>#VALUE!</v>
      </c>
      <c r="I1823" t="s">
        <v>11625</v>
      </c>
      <c r="J1823" t="s">
        <v>11626</v>
      </c>
      <c r="K1823" t="s">
        <v>11627</v>
      </c>
      <c r="L1823" t="s">
        <v>11621</v>
      </c>
    </row>
    <row r="1824" spans="1:12" x14ac:dyDescent="0.25">
      <c r="A1824">
        <v>362656</v>
      </c>
      <c r="B1824">
        <v>362663</v>
      </c>
      <c r="D1824">
        <v>0</v>
      </c>
      <c r="E1824" t="s">
        <v>11629</v>
      </c>
      <c r="F1824" t="s">
        <v>11630</v>
      </c>
      <c r="G1824" t="s">
        <v>11631</v>
      </c>
      <c r="H1824" t="e" vm="790">
        <f>_FV(0,"018361258062444236")</f>
        <v>#VALUE!</v>
      </c>
      <c r="I1824" t="s">
        <v>11632</v>
      </c>
      <c r="J1824" t="s">
        <v>11633</v>
      </c>
      <c r="K1824" t="s">
        <v>11634</v>
      </c>
      <c r="L1824" t="s">
        <v>11628</v>
      </c>
    </row>
    <row r="1825" spans="1:12" x14ac:dyDescent="0.25">
      <c r="A1825">
        <v>362656</v>
      </c>
      <c r="B1825">
        <v>362735</v>
      </c>
      <c r="D1825">
        <v>0</v>
      </c>
      <c r="E1825" t="s">
        <v>11636</v>
      </c>
      <c r="F1825" t="s">
        <v>11637</v>
      </c>
      <c r="G1825" t="s">
        <v>11638</v>
      </c>
      <c r="H1825" t="e" vm="791">
        <f>_FV(0,"0013344876579683628")</f>
        <v>#VALUE!</v>
      </c>
      <c r="I1825" t="s">
        <v>11639</v>
      </c>
      <c r="J1825" t="s">
        <v>11640</v>
      </c>
      <c r="K1825" t="s">
        <v>11641</v>
      </c>
      <c r="L1825" t="s">
        <v>11635</v>
      </c>
    </row>
    <row r="1826" spans="1:12" x14ac:dyDescent="0.25">
      <c r="A1826">
        <v>362663</v>
      </c>
      <c r="B1826">
        <v>362735</v>
      </c>
      <c r="D1826">
        <v>0</v>
      </c>
      <c r="E1826" t="s">
        <v>11643</v>
      </c>
      <c r="F1826" t="s">
        <v>11644</v>
      </c>
      <c r="G1826" t="s">
        <v>11645</v>
      </c>
      <c r="H1826" t="e" vm="792">
        <f>_FV(0,"016779085992425922")</f>
        <v>#VALUE!</v>
      </c>
      <c r="I1826" t="s">
        <v>11646</v>
      </c>
      <c r="J1826" t="s">
        <v>648</v>
      </c>
      <c r="K1826" t="s">
        <v>11647</v>
      </c>
      <c r="L1826" t="s">
        <v>11642</v>
      </c>
    </row>
    <row r="1827" spans="1:12" x14ac:dyDescent="0.25">
      <c r="A1827">
        <v>362692</v>
      </c>
      <c r="B1827">
        <v>362703</v>
      </c>
      <c r="D1827" t="s">
        <v>1839</v>
      </c>
      <c r="E1827" t="s">
        <v>11649</v>
      </c>
      <c r="F1827" t="s">
        <v>11650</v>
      </c>
      <c r="G1827" t="s">
        <v>11651</v>
      </c>
      <c r="H1827" t="e" vm="793">
        <f>_FV(0,"00013029052267890295")</f>
        <v>#VALUE!</v>
      </c>
      <c r="I1827" t="s">
        <v>11652</v>
      </c>
      <c r="J1827" t="s">
        <v>6123</v>
      </c>
      <c r="K1827" t="s">
        <v>11653</v>
      </c>
      <c r="L1827" t="s">
        <v>11648</v>
      </c>
    </row>
    <row r="1828" spans="1:12" x14ac:dyDescent="0.25">
      <c r="A1828">
        <v>362692</v>
      </c>
      <c r="B1828">
        <v>362881</v>
      </c>
      <c r="D1828">
        <v>0</v>
      </c>
      <c r="E1828" t="s">
        <v>11654</v>
      </c>
      <c r="F1828" t="s">
        <v>11655</v>
      </c>
      <c r="G1828" t="s">
        <v>11656</v>
      </c>
      <c r="H1828" t="e" vm="12">
        <f>_FV(0,"005")</f>
        <v>#VALUE!</v>
      </c>
      <c r="I1828" t="s">
        <v>11657</v>
      </c>
      <c r="J1828" t="s">
        <v>194</v>
      </c>
      <c r="K1828" t="s">
        <v>11658</v>
      </c>
      <c r="L1828" t="e" vm="12">
        <f>_FV(0,"005")</f>
        <v>#VALUE!</v>
      </c>
    </row>
    <row r="1829" spans="1:12" x14ac:dyDescent="0.25">
      <c r="A1829">
        <v>362692</v>
      </c>
      <c r="B1829">
        <v>363174</v>
      </c>
      <c r="D1829">
        <v>0</v>
      </c>
      <c r="E1829" t="s">
        <v>11660</v>
      </c>
      <c r="F1829" t="s">
        <v>11661</v>
      </c>
      <c r="G1829" t="s">
        <v>11662</v>
      </c>
      <c r="H1829" t="e" vm="794">
        <f>_FV(0,"007242307047045454")</f>
        <v>#VALUE!</v>
      </c>
      <c r="I1829" t="s">
        <v>11663</v>
      </c>
      <c r="J1829" t="s">
        <v>5981</v>
      </c>
      <c r="K1829" t="s">
        <v>11664</v>
      </c>
      <c r="L1829" t="s">
        <v>11659</v>
      </c>
    </row>
    <row r="1830" spans="1:12" x14ac:dyDescent="0.25">
      <c r="A1830">
        <v>362740</v>
      </c>
      <c r="B1830">
        <v>362741</v>
      </c>
      <c r="D1830">
        <v>0</v>
      </c>
      <c r="F1830">
        <v>373720</v>
      </c>
      <c r="G1830">
        <v>362741</v>
      </c>
      <c r="H1830" t="s">
        <v>187</v>
      </c>
      <c r="I1830">
        <v>362740</v>
      </c>
      <c r="J1830" t="s">
        <v>187</v>
      </c>
      <c r="K1830" t="s">
        <v>11665</v>
      </c>
      <c r="L1830" t="s">
        <v>187</v>
      </c>
    </row>
    <row r="1831" spans="1:12" x14ac:dyDescent="0.25">
      <c r="A1831">
        <v>362740</v>
      </c>
      <c r="B1831">
        <v>1177758</v>
      </c>
      <c r="D1831" t="s">
        <v>9074</v>
      </c>
      <c r="E1831" t="s">
        <v>11667</v>
      </c>
      <c r="F1831" t="s">
        <v>11668</v>
      </c>
      <c r="G1831" t="s">
        <v>11669</v>
      </c>
      <c r="H1831" t="e" vm="795">
        <f>_FV(0,"007145527799328579")</f>
        <v>#VALUE!</v>
      </c>
      <c r="I1831" t="s">
        <v>11670</v>
      </c>
      <c r="J1831" t="s">
        <v>11671</v>
      </c>
      <c r="K1831" t="s">
        <v>11672</v>
      </c>
      <c r="L1831" t="s">
        <v>11666</v>
      </c>
    </row>
    <row r="1832" spans="1:12" x14ac:dyDescent="0.25">
      <c r="A1832">
        <v>362741</v>
      </c>
      <c r="B1832">
        <v>362768</v>
      </c>
      <c r="D1832" t="s">
        <v>204</v>
      </c>
      <c r="E1832" t="s">
        <v>11674</v>
      </c>
      <c r="F1832" t="s">
        <v>11675</v>
      </c>
      <c r="G1832" t="s">
        <v>11676</v>
      </c>
      <c r="H1832" t="e" vm="796">
        <f>_FV(0,"01702064660034847")</f>
        <v>#VALUE!</v>
      </c>
      <c r="I1832" t="s">
        <v>11677</v>
      </c>
      <c r="J1832" t="s">
        <v>11678</v>
      </c>
      <c r="K1832" t="s">
        <v>11679</v>
      </c>
      <c r="L1832" t="s">
        <v>11673</v>
      </c>
    </row>
    <row r="1833" spans="1:12" x14ac:dyDescent="0.25">
      <c r="A1833">
        <v>362741</v>
      </c>
      <c r="B1833">
        <v>1177298</v>
      </c>
      <c r="D1833">
        <v>0</v>
      </c>
      <c r="E1833" t="s">
        <v>11681</v>
      </c>
      <c r="F1833" t="s">
        <v>11682</v>
      </c>
      <c r="G1833" t="s">
        <v>11683</v>
      </c>
      <c r="H1833" t="s">
        <v>11684</v>
      </c>
      <c r="I1833" t="s">
        <v>11685</v>
      </c>
      <c r="J1833" t="s">
        <v>11686</v>
      </c>
      <c r="K1833" t="s">
        <v>11687</v>
      </c>
      <c r="L1833" t="s">
        <v>11680</v>
      </c>
    </row>
    <row r="1834" spans="1:12" x14ac:dyDescent="0.25">
      <c r="A1834">
        <v>362768</v>
      </c>
      <c r="B1834">
        <v>363094</v>
      </c>
      <c r="D1834">
        <v>0</v>
      </c>
      <c r="E1834" t="s">
        <v>11689</v>
      </c>
      <c r="F1834" t="s">
        <v>11690</v>
      </c>
      <c r="G1834" t="s">
        <v>11691</v>
      </c>
      <c r="H1834" t="s">
        <v>11692</v>
      </c>
      <c r="I1834" t="s">
        <v>11693</v>
      </c>
      <c r="J1834" t="s">
        <v>11688</v>
      </c>
      <c r="K1834" t="s">
        <v>11694</v>
      </c>
      <c r="L1834" t="s">
        <v>11688</v>
      </c>
    </row>
    <row r="1835" spans="1:12" x14ac:dyDescent="0.25">
      <c r="A1835">
        <v>362768</v>
      </c>
      <c r="B1835">
        <v>1169989</v>
      </c>
      <c r="D1835" t="s">
        <v>514</v>
      </c>
      <c r="E1835" t="s">
        <v>11696</v>
      </c>
      <c r="F1835" t="s">
        <v>11697</v>
      </c>
      <c r="G1835" t="s">
        <v>11698</v>
      </c>
      <c r="H1835" t="s">
        <v>11699</v>
      </c>
      <c r="I1835" t="s">
        <v>11700</v>
      </c>
      <c r="J1835" t="s">
        <v>11701</v>
      </c>
      <c r="K1835" t="s">
        <v>11702</v>
      </c>
      <c r="L1835" t="s">
        <v>11695</v>
      </c>
    </row>
    <row r="1836" spans="1:12" x14ac:dyDescent="0.25">
      <c r="A1836">
        <v>362779</v>
      </c>
      <c r="B1836">
        <v>362785</v>
      </c>
      <c r="D1836">
        <v>0</v>
      </c>
      <c r="E1836" t="s">
        <v>11704</v>
      </c>
      <c r="F1836" t="s">
        <v>11705</v>
      </c>
      <c r="G1836" t="s">
        <v>11706</v>
      </c>
      <c r="H1836" t="s">
        <v>11707</v>
      </c>
      <c r="I1836" t="s">
        <v>11708</v>
      </c>
      <c r="J1836" t="s">
        <v>11703</v>
      </c>
      <c r="K1836" t="s">
        <v>11709</v>
      </c>
      <c r="L1836" t="s">
        <v>11703</v>
      </c>
    </row>
    <row r="1837" spans="1:12" x14ac:dyDescent="0.25">
      <c r="A1837">
        <v>362789</v>
      </c>
      <c r="B1837">
        <v>362920</v>
      </c>
      <c r="D1837">
        <v>0</v>
      </c>
      <c r="F1837">
        <v>1260160</v>
      </c>
      <c r="G1837">
        <v>362920</v>
      </c>
      <c r="H1837" t="e" vm="19">
        <f>_FV(0,"036")</f>
        <v>#VALUE!</v>
      </c>
      <c r="I1837">
        <v>362789</v>
      </c>
      <c r="J1837" t="s">
        <v>279</v>
      </c>
      <c r="K1837" t="s">
        <v>11710</v>
      </c>
      <c r="L1837" t="e" vm="19">
        <f>_FV(0,"036")</f>
        <v>#VALUE!</v>
      </c>
    </row>
    <row r="1838" spans="1:12" x14ac:dyDescent="0.25">
      <c r="A1838">
        <v>362789</v>
      </c>
      <c r="B1838">
        <v>362805</v>
      </c>
      <c r="D1838">
        <v>0</v>
      </c>
      <c r="E1838" t="s">
        <v>11712</v>
      </c>
      <c r="F1838" t="s">
        <v>11713</v>
      </c>
      <c r="G1838" t="s">
        <v>11714</v>
      </c>
      <c r="H1838" t="e" vm="797">
        <f>_FV(0,"11501030912337039")</f>
        <v>#VALUE!</v>
      </c>
      <c r="I1838" t="s">
        <v>11715</v>
      </c>
      <c r="J1838" t="s">
        <v>11716</v>
      </c>
      <c r="K1838" t="s">
        <v>11717</v>
      </c>
      <c r="L1838" t="s">
        <v>11711</v>
      </c>
    </row>
    <row r="1839" spans="1:12" x14ac:dyDescent="0.25">
      <c r="A1839">
        <v>362789</v>
      </c>
      <c r="B1839">
        <v>362852</v>
      </c>
      <c r="D1839">
        <v>0</v>
      </c>
      <c r="E1839" t="s">
        <v>11719</v>
      </c>
      <c r="F1839" t="s">
        <v>11720</v>
      </c>
      <c r="G1839" t="s">
        <v>11721</v>
      </c>
      <c r="H1839" t="e" vm="798">
        <f>_FV(0,"0009259541723991385")</f>
        <v>#VALUE!</v>
      </c>
      <c r="I1839" t="s">
        <v>11722</v>
      </c>
      <c r="J1839" t="s">
        <v>11723</v>
      </c>
      <c r="K1839" t="s">
        <v>11724</v>
      </c>
      <c r="L1839" t="s">
        <v>11718</v>
      </c>
    </row>
    <row r="1840" spans="1:12" x14ac:dyDescent="0.25">
      <c r="A1840">
        <v>362820</v>
      </c>
      <c r="B1840">
        <v>362962</v>
      </c>
      <c r="C1840" t="s">
        <v>11726</v>
      </c>
      <c r="D1840" t="s">
        <v>8603</v>
      </c>
      <c r="E1840" t="s">
        <v>11727</v>
      </c>
      <c r="F1840" t="s">
        <v>11728</v>
      </c>
      <c r="G1840" t="s">
        <v>11729</v>
      </c>
      <c r="H1840" t="e" vm="799">
        <f>_FV(0,"009152739361725368")</f>
        <v>#VALUE!</v>
      </c>
      <c r="I1840" t="s">
        <v>11730</v>
      </c>
      <c r="J1840" t="s">
        <v>11731</v>
      </c>
      <c r="K1840" t="s">
        <v>11732</v>
      </c>
      <c r="L1840" t="s">
        <v>11725</v>
      </c>
    </row>
    <row r="1841" spans="1:12" x14ac:dyDescent="0.25">
      <c r="A1841">
        <v>362852</v>
      </c>
      <c r="B1841">
        <v>362860</v>
      </c>
      <c r="D1841">
        <v>0</v>
      </c>
      <c r="E1841" t="s">
        <v>11734</v>
      </c>
      <c r="F1841" t="s">
        <v>11735</v>
      </c>
      <c r="G1841" t="s">
        <v>11736</v>
      </c>
      <c r="H1841" t="e" vm="800">
        <f>_FV(0,"11055034520880137")</f>
        <v>#VALUE!</v>
      </c>
      <c r="I1841" t="s">
        <v>11737</v>
      </c>
      <c r="J1841" t="s">
        <v>11738</v>
      </c>
      <c r="K1841" t="s">
        <v>11739</v>
      </c>
      <c r="L1841" t="s">
        <v>11733</v>
      </c>
    </row>
    <row r="1842" spans="1:12" x14ac:dyDescent="0.25">
      <c r="A1842">
        <v>362852</v>
      </c>
      <c r="B1842">
        <v>362920</v>
      </c>
      <c r="D1842">
        <v>0</v>
      </c>
      <c r="E1842" t="s">
        <v>11741</v>
      </c>
      <c r="F1842" t="s">
        <v>11742</v>
      </c>
      <c r="G1842" t="s">
        <v>11743</v>
      </c>
      <c r="H1842" t="s">
        <v>11744</v>
      </c>
      <c r="I1842" t="s">
        <v>11745</v>
      </c>
      <c r="J1842" t="s">
        <v>11746</v>
      </c>
      <c r="K1842" t="s">
        <v>11747</v>
      </c>
      <c r="L1842" t="s">
        <v>11740</v>
      </c>
    </row>
    <row r="1843" spans="1:12" x14ac:dyDescent="0.25">
      <c r="A1843">
        <v>362860</v>
      </c>
      <c r="B1843">
        <v>362870</v>
      </c>
      <c r="D1843" t="s">
        <v>1119</v>
      </c>
      <c r="E1843" t="s">
        <v>11749</v>
      </c>
      <c r="F1843" t="s">
        <v>11750</v>
      </c>
      <c r="G1843" t="s">
        <v>11751</v>
      </c>
      <c r="H1843" t="e" vm="801">
        <f>_FV(0,"05980753544643632")</f>
        <v>#VALUE!</v>
      </c>
      <c r="I1843" t="s">
        <v>11752</v>
      </c>
      <c r="J1843" t="s">
        <v>11753</v>
      </c>
      <c r="K1843" t="s">
        <v>11754</v>
      </c>
      <c r="L1843" t="s">
        <v>11748</v>
      </c>
    </row>
    <row r="1844" spans="1:12" x14ac:dyDescent="0.25">
      <c r="A1844">
        <v>362860</v>
      </c>
      <c r="B1844">
        <v>362920</v>
      </c>
      <c r="D1844">
        <v>0</v>
      </c>
      <c r="E1844" t="s">
        <v>11756</v>
      </c>
      <c r="F1844" t="s">
        <v>11757</v>
      </c>
      <c r="G1844" t="s">
        <v>11758</v>
      </c>
      <c r="H1844" t="e" vm="802">
        <f>_FV(0,"08336163775725555")</f>
        <v>#VALUE!</v>
      </c>
      <c r="I1844" t="s">
        <v>11759</v>
      </c>
      <c r="J1844" t="s">
        <v>11760</v>
      </c>
      <c r="K1844" t="s">
        <v>11761</v>
      </c>
      <c r="L1844" t="s">
        <v>11755</v>
      </c>
    </row>
    <row r="1845" spans="1:12" x14ac:dyDescent="0.25">
      <c r="A1845">
        <v>362870</v>
      </c>
      <c r="B1845">
        <v>362886</v>
      </c>
      <c r="D1845" t="s">
        <v>715</v>
      </c>
      <c r="E1845" t="s">
        <v>11763</v>
      </c>
      <c r="F1845" t="s">
        <v>11764</v>
      </c>
      <c r="G1845" t="s">
        <v>11765</v>
      </c>
      <c r="H1845" t="e" vm="803">
        <f>_FV(0,"06711292171095791")</f>
        <v>#VALUE!</v>
      </c>
      <c r="I1845" t="s">
        <v>11766</v>
      </c>
      <c r="J1845" t="s">
        <v>11767</v>
      </c>
      <c r="K1845" t="s">
        <v>11768</v>
      </c>
      <c r="L1845" t="s">
        <v>11762</v>
      </c>
    </row>
    <row r="1846" spans="1:12" x14ac:dyDescent="0.25">
      <c r="A1846">
        <v>362870</v>
      </c>
      <c r="B1846">
        <v>362913</v>
      </c>
      <c r="D1846" t="s">
        <v>715</v>
      </c>
      <c r="E1846" t="s">
        <v>11770</v>
      </c>
      <c r="F1846" t="s">
        <v>11771</v>
      </c>
      <c r="G1846" t="s">
        <v>11772</v>
      </c>
      <c r="H1846" t="e" vm="804">
        <f>_FV(0,"02187876167029179")</f>
        <v>#VALUE!</v>
      </c>
      <c r="I1846" t="s">
        <v>11773</v>
      </c>
      <c r="J1846" t="s">
        <v>11774</v>
      </c>
      <c r="K1846" t="s">
        <v>11775</v>
      </c>
      <c r="L1846" t="s">
        <v>11769</v>
      </c>
    </row>
    <row r="1847" spans="1:12" x14ac:dyDescent="0.25">
      <c r="A1847">
        <v>362881</v>
      </c>
      <c r="B1847">
        <v>363174</v>
      </c>
      <c r="D1847">
        <v>0</v>
      </c>
      <c r="E1847" t="s">
        <v>11777</v>
      </c>
      <c r="F1847" t="s">
        <v>11778</v>
      </c>
      <c r="G1847" t="s">
        <v>11779</v>
      </c>
      <c r="H1847" t="s">
        <v>11780</v>
      </c>
      <c r="I1847" t="s">
        <v>11781</v>
      </c>
      <c r="J1847" t="s">
        <v>11776</v>
      </c>
      <c r="K1847" t="s">
        <v>11782</v>
      </c>
      <c r="L1847" t="s">
        <v>11776</v>
      </c>
    </row>
    <row r="1848" spans="1:12" x14ac:dyDescent="0.25">
      <c r="A1848">
        <v>362886</v>
      </c>
      <c r="B1848">
        <v>1177635</v>
      </c>
      <c r="D1848">
        <v>0</v>
      </c>
      <c r="F1848">
        <v>1260097</v>
      </c>
      <c r="G1848">
        <v>1177635</v>
      </c>
      <c r="H1848" t="s">
        <v>11783</v>
      </c>
      <c r="I1848">
        <v>362886</v>
      </c>
      <c r="J1848" t="s">
        <v>11783</v>
      </c>
      <c r="K1848" t="s">
        <v>11784</v>
      </c>
      <c r="L1848" t="s">
        <v>11783</v>
      </c>
    </row>
    <row r="1849" spans="1:12" x14ac:dyDescent="0.25">
      <c r="A1849">
        <v>362886</v>
      </c>
      <c r="B1849">
        <v>362913</v>
      </c>
      <c r="D1849">
        <v>0</v>
      </c>
      <c r="E1849" t="s">
        <v>11786</v>
      </c>
      <c r="F1849" t="s">
        <v>11787</v>
      </c>
      <c r="G1849" t="s">
        <v>11788</v>
      </c>
      <c r="H1849" t="e" vm="805">
        <f>_FV(0,"08194147730796186")</f>
        <v>#VALUE!</v>
      </c>
      <c r="I1849" t="s">
        <v>11789</v>
      </c>
      <c r="J1849" t="s">
        <v>11790</v>
      </c>
      <c r="K1849" t="s">
        <v>11791</v>
      </c>
      <c r="L1849" t="s">
        <v>11785</v>
      </c>
    </row>
    <row r="1850" spans="1:12" x14ac:dyDescent="0.25">
      <c r="A1850">
        <v>362913</v>
      </c>
      <c r="B1850">
        <v>975604</v>
      </c>
      <c r="D1850">
        <v>0</v>
      </c>
      <c r="F1850">
        <v>1260131</v>
      </c>
      <c r="G1850">
        <v>362913</v>
      </c>
      <c r="H1850" t="e" vm="806">
        <f>_FV(0,"164")</f>
        <v>#VALUE!</v>
      </c>
      <c r="I1850">
        <v>975604</v>
      </c>
      <c r="J1850" t="s">
        <v>11792</v>
      </c>
      <c r="K1850" t="s">
        <v>11793</v>
      </c>
      <c r="L1850" t="e" vm="806">
        <f>_FV(0,"164")</f>
        <v>#VALUE!</v>
      </c>
    </row>
    <row r="1851" spans="1:12" x14ac:dyDescent="0.25">
      <c r="A1851">
        <v>362945</v>
      </c>
      <c r="B1851">
        <v>362962</v>
      </c>
      <c r="D1851" t="s">
        <v>204</v>
      </c>
      <c r="E1851" t="s">
        <v>11795</v>
      </c>
      <c r="F1851" t="s">
        <v>11796</v>
      </c>
      <c r="G1851" t="s">
        <v>11797</v>
      </c>
      <c r="H1851" t="s">
        <v>11798</v>
      </c>
      <c r="I1851" t="s">
        <v>11799</v>
      </c>
      <c r="J1851" t="s">
        <v>11794</v>
      </c>
      <c r="K1851" t="s">
        <v>11800</v>
      </c>
      <c r="L1851" t="s">
        <v>11794</v>
      </c>
    </row>
    <row r="1852" spans="1:12" x14ac:dyDescent="0.25">
      <c r="A1852">
        <v>362945</v>
      </c>
      <c r="B1852">
        <v>363094</v>
      </c>
      <c r="D1852">
        <v>0</v>
      </c>
      <c r="E1852" t="s">
        <v>11802</v>
      </c>
      <c r="F1852" t="s">
        <v>11803</v>
      </c>
      <c r="G1852" t="s">
        <v>11804</v>
      </c>
      <c r="H1852" t="e" vm="807">
        <f>_FV(0,"0002965286603087912")</f>
        <v>#VALUE!</v>
      </c>
      <c r="I1852" t="s">
        <v>11805</v>
      </c>
      <c r="J1852" t="s">
        <v>11806</v>
      </c>
      <c r="K1852" t="s">
        <v>11807</v>
      </c>
      <c r="L1852" t="s">
        <v>11801</v>
      </c>
    </row>
    <row r="1853" spans="1:12" x14ac:dyDescent="0.25">
      <c r="A1853">
        <v>362990</v>
      </c>
      <c r="B1853">
        <v>363213</v>
      </c>
      <c r="D1853" t="s">
        <v>11809</v>
      </c>
      <c r="E1853" t="s">
        <v>11810</v>
      </c>
      <c r="F1853" t="s">
        <v>11811</v>
      </c>
      <c r="G1853" t="s">
        <v>11813</v>
      </c>
      <c r="H1853" t="s">
        <v>11814</v>
      </c>
      <c r="I1853" t="s">
        <v>11815</v>
      </c>
      <c r="J1853" t="s">
        <v>11816</v>
      </c>
      <c r="K1853" t="s">
        <v>11817</v>
      </c>
      <c r="L1853" t="s">
        <v>11808</v>
      </c>
    </row>
    <row r="1854" spans="1:12" x14ac:dyDescent="0.25">
      <c r="A1854">
        <v>362990</v>
      </c>
      <c r="B1854">
        <v>363147</v>
      </c>
      <c r="D1854" t="s">
        <v>204</v>
      </c>
      <c r="E1854" t="s">
        <v>11819</v>
      </c>
      <c r="F1854" t="s">
        <v>11820</v>
      </c>
      <c r="G1854" t="s">
        <v>11821</v>
      </c>
      <c r="H1854" t="e" vm="808">
        <f>_FV(0,"029709537971614554")</f>
        <v>#VALUE!</v>
      </c>
      <c r="I1854" t="s">
        <v>11822</v>
      </c>
      <c r="J1854" t="s">
        <v>11823</v>
      </c>
      <c r="K1854" t="s">
        <v>11824</v>
      </c>
      <c r="L1854" t="s">
        <v>11818</v>
      </c>
    </row>
    <row r="1855" spans="1:12" x14ac:dyDescent="0.25">
      <c r="A1855">
        <v>362990</v>
      </c>
      <c r="B1855">
        <v>1177518</v>
      </c>
      <c r="D1855">
        <v>0</v>
      </c>
      <c r="E1855" t="s">
        <v>11826</v>
      </c>
      <c r="F1855" t="s">
        <v>11827</v>
      </c>
      <c r="G1855" t="s">
        <v>11828</v>
      </c>
      <c r="H1855" t="e" vm="809">
        <f>_FV(0,"02641182663269567")</f>
        <v>#VALUE!</v>
      </c>
      <c r="I1855" t="s">
        <v>11829</v>
      </c>
      <c r="J1855" t="s">
        <v>11830</v>
      </c>
      <c r="K1855" t="s">
        <v>11831</v>
      </c>
      <c r="L1855" t="s">
        <v>11825</v>
      </c>
    </row>
    <row r="1856" spans="1:12" x14ac:dyDescent="0.25">
      <c r="A1856">
        <v>363111</v>
      </c>
      <c r="B1856">
        <v>1177635</v>
      </c>
      <c r="C1856" t="s">
        <v>11833</v>
      </c>
      <c r="D1856" t="s">
        <v>11834</v>
      </c>
      <c r="E1856" t="s">
        <v>11835</v>
      </c>
      <c r="F1856" t="s">
        <v>11836</v>
      </c>
      <c r="G1856" t="s">
        <v>11837</v>
      </c>
      <c r="H1856" t="s">
        <v>11838</v>
      </c>
      <c r="I1856" t="s">
        <v>11839</v>
      </c>
      <c r="J1856" t="s">
        <v>11840</v>
      </c>
      <c r="K1856" t="s">
        <v>11841</v>
      </c>
      <c r="L1856" t="s">
        <v>11832</v>
      </c>
    </row>
    <row r="1857" spans="1:12" x14ac:dyDescent="0.25">
      <c r="A1857">
        <v>363111</v>
      </c>
      <c r="B1857">
        <v>363213</v>
      </c>
      <c r="D1857" t="s">
        <v>2793</v>
      </c>
      <c r="E1857" t="s">
        <v>11843</v>
      </c>
      <c r="F1857" t="s">
        <v>11844</v>
      </c>
      <c r="G1857" t="s">
        <v>11845</v>
      </c>
      <c r="H1857" t="e" vm="810">
        <f>_FV(0,"005226201473761366")</f>
        <v>#VALUE!</v>
      </c>
      <c r="I1857" t="s">
        <v>11846</v>
      </c>
      <c r="J1857" t="s">
        <v>11847</v>
      </c>
      <c r="K1857" t="s">
        <v>11848</v>
      </c>
      <c r="L1857" t="s">
        <v>11842</v>
      </c>
    </row>
    <row r="1858" spans="1:12" x14ac:dyDescent="0.25">
      <c r="A1858">
        <v>363111</v>
      </c>
      <c r="B1858">
        <v>1177324</v>
      </c>
      <c r="D1858" t="s">
        <v>330</v>
      </c>
      <c r="E1858" t="s">
        <v>11850</v>
      </c>
      <c r="F1858" t="s">
        <v>11851</v>
      </c>
      <c r="G1858" t="s">
        <v>11852</v>
      </c>
      <c r="H1858" t="e" vm="811">
        <f>_FV(0,"003895691418027859")</f>
        <v>#VALUE!</v>
      </c>
      <c r="I1858" t="s">
        <v>11853</v>
      </c>
      <c r="J1858" t="s">
        <v>11854</v>
      </c>
      <c r="K1858" t="s">
        <v>11855</v>
      </c>
      <c r="L1858" t="s">
        <v>11849</v>
      </c>
    </row>
    <row r="1859" spans="1:12" x14ac:dyDescent="0.25">
      <c r="A1859">
        <v>363127</v>
      </c>
      <c r="B1859">
        <v>366815</v>
      </c>
      <c r="D1859">
        <v>0</v>
      </c>
      <c r="E1859" t="s">
        <v>11857</v>
      </c>
      <c r="F1859" t="s">
        <v>11858</v>
      </c>
      <c r="G1859" t="s">
        <v>11859</v>
      </c>
      <c r="H1859" t="s">
        <v>11860</v>
      </c>
      <c r="I1859" t="s">
        <v>11861</v>
      </c>
      <c r="J1859" t="s">
        <v>11862</v>
      </c>
      <c r="K1859" t="s">
        <v>11863</v>
      </c>
      <c r="L1859" t="s">
        <v>11856</v>
      </c>
    </row>
    <row r="1860" spans="1:12" x14ac:dyDescent="0.25">
      <c r="A1860">
        <v>363127</v>
      </c>
      <c r="B1860">
        <v>1177758</v>
      </c>
      <c r="D1860" t="s">
        <v>2793</v>
      </c>
      <c r="E1860" t="s">
        <v>11865</v>
      </c>
      <c r="F1860" t="s">
        <v>11866</v>
      </c>
      <c r="G1860" t="s">
        <v>11867</v>
      </c>
      <c r="H1860" t="e" vm="812">
        <f>_FV(0,"009787112696768649")</f>
        <v>#VALUE!</v>
      </c>
      <c r="I1860" t="s">
        <v>11868</v>
      </c>
      <c r="J1860" t="s">
        <v>11869</v>
      </c>
      <c r="K1860" t="s">
        <v>11870</v>
      </c>
      <c r="L1860" t="s">
        <v>11864</v>
      </c>
    </row>
    <row r="1861" spans="1:12" x14ac:dyDescent="0.25">
      <c r="A1861">
        <v>363127</v>
      </c>
      <c r="B1861">
        <v>363265</v>
      </c>
      <c r="D1861" t="s">
        <v>204</v>
      </c>
      <c r="E1861" t="s">
        <v>11872</v>
      </c>
      <c r="F1861" t="s">
        <v>11873</v>
      </c>
      <c r="G1861" t="s">
        <v>11874</v>
      </c>
      <c r="H1861" t="e" vm="813">
        <f>_FV(0,"039770644651701256")</f>
        <v>#VALUE!</v>
      </c>
      <c r="I1861" t="s">
        <v>11875</v>
      </c>
      <c r="J1861" t="s">
        <v>11876</v>
      </c>
      <c r="K1861" t="s">
        <v>11877</v>
      </c>
      <c r="L1861" t="s">
        <v>11871</v>
      </c>
    </row>
    <row r="1862" spans="1:12" x14ac:dyDescent="0.25">
      <c r="A1862">
        <v>363147</v>
      </c>
      <c r="B1862">
        <v>366750</v>
      </c>
      <c r="D1862" t="s">
        <v>7856</v>
      </c>
      <c r="E1862" t="s">
        <v>11879</v>
      </c>
      <c r="F1862" t="s">
        <v>11880</v>
      </c>
      <c r="G1862" t="s">
        <v>11881</v>
      </c>
      <c r="H1862" t="s">
        <v>11882</v>
      </c>
      <c r="I1862" t="s">
        <v>11883</v>
      </c>
      <c r="J1862" t="s">
        <v>11884</v>
      </c>
      <c r="K1862" t="s">
        <v>11885</v>
      </c>
      <c r="L1862" t="s">
        <v>11878</v>
      </c>
    </row>
    <row r="1863" spans="1:12" x14ac:dyDescent="0.25">
      <c r="A1863">
        <v>363147</v>
      </c>
      <c r="B1863">
        <v>1168672</v>
      </c>
      <c r="D1863" t="s">
        <v>11887</v>
      </c>
      <c r="E1863" t="s">
        <v>11888</v>
      </c>
      <c r="F1863" t="s">
        <v>11889</v>
      </c>
      <c r="G1863" t="s">
        <v>11890</v>
      </c>
      <c r="H1863" t="e" vm="814">
        <f>_FV(0,"0026615071208647566")</f>
        <v>#VALUE!</v>
      </c>
      <c r="I1863" t="s">
        <v>11891</v>
      </c>
      <c r="J1863" t="s">
        <v>11892</v>
      </c>
      <c r="K1863" t="s">
        <v>11893</v>
      </c>
      <c r="L1863" t="s">
        <v>11886</v>
      </c>
    </row>
    <row r="1864" spans="1:12" x14ac:dyDescent="0.25">
      <c r="A1864">
        <v>363184</v>
      </c>
      <c r="B1864">
        <v>363266</v>
      </c>
      <c r="C1864" t="s">
        <v>11895</v>
      </c>
      <c r="D1864">
        <v>0</v>
      </c>
      <c r="E1864" t="s">
        <v>11896</v>
      </c>
      <c r="F1864" t="s">
        <v>11897</v>
      </c>
      <c r="G1864" t="s">
        <v>11898</v>
      </c>
      <c r="H1864" t="e" vm="815">
        <f>_FV(0,"026383743936091022")</f>
        <v>#VALUE!</v>
      </c>
      <c r="I1864" t="s">
        <v>11899</v>
      </c>
      <c r="J1864" t="s">
        <v>11900</v>
      </c>
      <c r="K1864" t="s">
        <v>11901</v>
      </c>
      <c r="L1864" t="s">
        <v>11894</v>
      </c>
    </row>
    <row r="1865" spans="1:12" x14ac:dyDescent="0.25">
      <c r="A1865">
        <v>363184</v>
      </c>
      <c r="B1865">
        <v>1168662</v>
      </c>
      <c r="D1865" t="s">
        <v>11903</v>
      </c>
      <c r="E1865" t="s">
        <v>11904</v>
      </c>
      <c r="F1865" t="s">
        <v>11905</v>
      </c>
      <c r="G1865" t="s">
        <v>11906</v>
      </c>
      <c r="H1865" t="e" vm="816">
        <f>_FV(0,"008994571848854252")</f>
        <v>#VALUE!</v>
      </c>
      <c r="I1865" t="s">
        <v>11907</v>
      </c>
      <c r="J1865" t="s">
        <v>11908</v>
      </c>
      <c r="K1865" t="s">
        <v>11909</v>
      </c>
      <c r="L1865" t="s">
        <v>11902</v>
      </c>
    </row>
    <row r="1866" spans="1:12" x14ac:dyDescent="0.25">
      <c r="A1866">
        <v>363213</v>
      </c>
      <c r="B1866">
        <v>366613</v>
      </c>
      <c r="D1866">
        <v>0</v>
      </c>
      <c r="E1866" t="s">
        <v>11911</v>
      </c>
      <c r="F1866" t="s">
        <v>11912</v>
      </c>
      <c r="G1866" t="s">
        <v>11913</v>
      </c>
      <c r="H1866" t="e" vm="817">
        <f>_FV(0,"08438051791669968")</f>
        <v>#VALUE!</v>
      </c>
      <c r="I1866" t="s">
        <v>11914</v>
      </c>
      <c r="J1866" t="s">
        <v>11915</v>
      </c>
      <c r="K1866" t="s">
        <v>11916</v>
      </c>
      <c r="L1866" t="s">
        <v>11910</v>
      </c>
    </row>
    <row r="1867" spans="1:12" x14ac:dyDescent="0.25">
      <c r="A1867">
        <v>363265</v>
      </c>
      <c r="B1867">
        <v>363266</v>
      </c>
      <c r="D1867">
        <v>0</v>
      </c>
      <c r="F1867">
        <v>374336</v>
      </c>
      <c r="G1867">
        <v>363266</v>
      </c>
      <c r="H1867" t="s">
        <v>187</v>
      </c>
      <c r="I1867">
        <v>363265</v>
      </c>
      <c r="J1867" t="s">
        <v>187</v>
      </c>
      <c r="K1867" t="s">
        <v>11917</v>
      </c>
      <c r="L1867" t="s">
        <v>187</v>
      </c>
    </row>
    <row r="1868" spans="1:12" x14ac:dyDescent="0.25">
      <c r="A1868">
        <v>363266</v>
      </c>
      <c r="B1868">
        <v>1177423</v>
      </c>
      <c r="D1868" t="s">
        <v>330</v>
      </c>
      <c r="E1868" t="s">
        <v>11919</v>
      </c>
      <c r="F1868" t="s">
        <v>11920</v>
      </c>
      <c r="G1868" t="s">
        <v>11921</v>
      </c>
      <c r="H1868" t="s">
        <v>11922</v>
      </c>
      <c r="I1868" t="s">
        <v>11923</v>
      </c>
      <c r="J1868" t="s">
        <v>11918</v>
      </c>
      <c r="K1868" t="s">
        <v>11924</v>
      </c>
      <c r="L1868" t="s">
        <v>11918</v>
      </c>
    </row>
    <row r="1869" spans="1:12" x14ac:dyDescent="0.25">
      <c r="A1869">
        <v>365412</v>
      </c>
      <c r="B1869">
        <v>365457</v>
      </c>
      <c r="D1869">
        <v>0</v>
      </c>
      <c r="E1869" t="s">
        <v>11926</v>
      </c>
      <c r="F1869" t="s">
        <v>11927</v>
      </c>
      <c r="G1869" t="s">
        <v>11928</v>
      </c>
      <c r="H1869" t="e" vm="818">
        <f>_FV(0,"0001665038902049386")</f>
        <v>#VALUE!</v>
      </c>
      <c r="I1869" t="s">
        <v>11929</v>
      </c>
      <c r="J1869" t="s">
        <v>11930</v>
      </c>
      <c r="K1869" t="s">
        <v>11931</v>
      </c>
      <c r="L1869" t="s">
        <v>11925</v>
      </c>
    </row>
    <row r="1870" spans="1:12" x14ac:dyDescent="0.25">
      <c r="A1870">
        <v>365412</v>
      </c>
      <c r="B1870">
        <v>796400</v>
      </c>
      <c r="D1870">
        <v>0</v>
      </c>
      <c r="E1870" t="s">
        <v>11933</v>
      </c>
      <c r="F1870" t="s">
        <v>11934</v>
      </c>
      <c r="G1870" t="s">
        <v>11935</v>
      </c>
      <c r="H1870" t="e" vm="819">
        <f>_FV(0,"017518343299653332")</f>
        <v>#VALUE!</v>
      </c>
      <c r="I1870" t="s">
        <v>11936</v>
      </c>
      <c r="J1870" t="s">
        <v>11937</v>
      </c>
      <c r="K1870" t="s">
        <v>11938</v>
      </c>
      <c r="L1870" t="s">
        <v>11932</v>
      </c>
    </row>
    <row r="1871" spans="1:12" x14ac:dyDescent="0.25">
      <c r="A1871">
        <v>365412</v>
      </c>
      <c r="B1871">
        <v>782457</v>
      </c>
      <c r="D1871">
        <v>0</v>
      </c>
      <c r="F1871">
        <v>1261988</v>
      </c>
      <c r="G1871">
        <v>365412</v>
      </c>
      <c r="H1871" t="e" vm="47">
        <f>_FV(0,"016")</f>
        <v>#VALUE!</v>
      </c>
      <c r="I1871">
        <v>782457</v>
      </c>
      <c r="J1871" t="s">
        <v>737</v>
      </c>
      <c r="K1871" t="s">
        <v>11939</v>
      </c>
      <c r="L1871" t="e" vm="47">
        <f>_FV(0,"016")</f>
        <v>#VALUE!</v>
      </c>
    </row>
    <row r="1872" spans="1:12" x14ac:dyDescent="0.25">
      <c r="A1872">
        <v>365457</v>
      </c>
      <c r="B1872">
        <v>365513</v>
      </c>
      <c r="D1872">
        <v>0</v>
      </c>
      <c r="F1872">
        <v>1262046</v>
      </c>
      <c r="G1872">
        <v>365513</v>
      </c>
      <c r="H1872" t="e" vm="201">
        <f>_FV(0,"002")</f>
        <v>#VALUE!</v>
      </c>
      <c r="I1872">
        <v>365457</v>
      </c>
      <c r="J1872" t="s">
        <v>1534</v>
      </c>
      <c r="K1872" t="s">
        <v>11940</v>
      </c>
      <c r="L1872" t="e" vm="201">
        <f>_FV(0,"002")</f>
        <v>#VALUE!</v>
      </c>
    </row>
    <row r="1873" spans="1:12" x14ac:dyDescent="0.25">
      <c r="A1873">
        <v>365457</v>
      </c>
      <c r="B1873">
        <v>796432</v>
      </c>
      <c r="D1873">
        <v>0</v>
      </c>
      <c r="E1873" t="s">
        <v>11942</v>
      </c>
      <c r="F1873" t="s">
        <v>11943</v>
      </c>
      <c r="G1873" t="s">
        <v>11944</v>
      </c>
      <c r="H1873" t="s">
        <v>11945</v>
      </c>
      <c r="I1873" t="s">
        <v>11946</v>
      </c>
      <c r="J1873" t="s">
        <v>11947</v>
      </c>
      <c r="K1873" t="s">
        <v>11948</v>
      </c>
      <c r="L1873" t="s">
        <v>11941</v>
      </c>
    </row>
    <row r="1874" spans="1:12" x14ac:dyDescent="0.25">
      <c r="A1874">
        <v>365513</v>
      </c>
      <c r="B1874">
        <v>796518</v>
      </c>
      <c r="D1874">
        <v>0</v>
      </c>
      <c r="E1874" t="s">
        <v>11950</v>
      </c>
      <c r="F1874" t="s">
        <v>11951</v>
      </c>
      <c r="G1874" t="s">
        <v>11952</v>
      </c>
      <c r="H1874" t="e" vm="820">
        <f>_FV(0,"011135864108768026")</f>
        <v>#VALUE!</v>
      </c>
      <c r="I1874" t="s">
        <v>11953</v>
      </c>
      <c r="J1874" t="s">
        <v>11954</v>
      </c>
      <c r="K1874" t="s">
        <v>11955</v>
      </c>
      <c r="L1874" t="s">
        <v>11949</v>
      </c>
    </row>
    <row r="1875" spans="1:12" x14ac:dyDescent="0.25">
      <c r="A1875">
        <v>365525</v>
      </c>
      <c r="B1875">
        <v>365756</v>
      </c>
      <c r="D1875">
        <v>0</v>
      </c>
      <c r="F1875">
        <v>376782</v>
      </c>
      <c r="G1875">
        <v>365756</v>
      </c>
      <c r="H1875" t="e" vm="632">
        <f>_FV(0,"035")</f>
        <v>#VALUE!</v>
      </c>
      <c r="I1875">
        <v>365525</v>
      </c>
      <c r="J1875" t="s">
        <v>7225</v>
      </c>
      <c r="K1875" t="s">
        <v>11956</v>
      </c>
      <c r="L1875" t="e" vm="632">
        <f>_FV(0,"035")</f>
        <v>#VALUE!</v>
      </c>
    </row>
    <row r="1876" spans="1:12" x14ac:dyDescent="0.25">
      <c r="A1876">
        <v>365525</v>
      </c>
      <c r="B1876">
        <v>365871</v>
      </c>
      <c r="D1876">
        <v>0</v>
      </c>
      <c r="E1876" t="s">
        <v>11958</v>
      </c>
      <c r="F1876" t="s">
        <v>11959</v>
      </c>
      <c r="G1876" t="s">
        <v>11960</v>
      </c>
      <c r="H1876" t="s">
        <v>11961</v>
      </c>
      <c r="I1876" t="s">
        <v>11962</v>
      </c>
      <c r="J1876" t="s">
        <v>11963</v>
      </c>
      <c r="K1876" t="s">
        <v>11964</v>
      </c>
      <c r="L1876" t="s">
        <v>11957</v>
      </c>
    </row>
    <row r="1877" spans="1:12" x14ac:dyDescent="0.25">
      <c r="A1877">
        <v>365525</v>
      </c>
      <c r="B1877">
        <v>365570</v>
      </c>
      <c r="D1877" t="s">
        <v>2086</v>
      </c>
      <c r="E1877" t="s">
        <v>11966</v>
      </c>
      <c r="F1877" t="s">
        <v>11967</v>
      </c>
      <c r="G1877" t="s">
        <v>11968</v>
      </c>
      <c r="H1877" t="e" vm="821">
        <f>_FV(0,"006425077029179697")</f>
        <v>#VALUE!</v>
      </c>
      <c r="I1877" t="s">
        <v>11969</v>
      </c>
      <c r="J1877" t="s">
        <v>11970</v>
      </c>
      <c r="K1877" t="s">
        <v>11971</v>
      </c>
      <c r="L1877" t="s">
        <v>11965</v>
      </c>
    </row>
    <row r="1878" spans="1:12" x14ac:dyDescent="0.25">
      <c r="A1878">
        <v>365562</v>
      </c>
      <c r="B1878">
        <v>365765</v>
      </c>
      <c r="D1878" t="s">
        <v>514</v>
      </c>
      <c r="E1878" t="s">
        <v>11973</v>
      </c>
      <c r="F1878" t="s">
        <v>11974</v>
      </c>
      <c r="G1878" t="s">
        <v>11975</v>
      </c>
      <c r="H1878" t="e" vm="822">
        <f>_FV(0,"004294518298099984")</f>
        <v>#VALUE!</v>
      </c>
      <c r="I1878" t="s">
        <v>11976</v>
      </c>
      <c r="J1878" t="s">
        <v>11977</v>
      </c>
      <c r="K1878" t="s">
        <v>11978</v>
      </c>
      <c r="L1878" t="s">
        <v>11972</v>
      </c>
    </row>
    <row r="1879" spans="1:12" x14ac:dyDescent="0.25">
      <c r="A1879">
        <v>365562</v>
      </c>
      <c r="B1879">
        <v>365756</v>
      </c>
      <c r="D1879" t="s">
        <v>7856</v>
      </c>
      <c r="E1879" t="s">
        <v>11980</v>
      </c>
      <c r="F1879" t="s">
        <v>11981</v>
      </c>
      <c r="G1879" t="s">
        <v>11982</v>
      </c>
      <c r="H1879" t="e" vm="823">
        <f>_FV(0,"018630210625548805")</f>
        <v>#VALUE!</v>
      </c>
      <c r="I1879" t="s">
        <v>11983</v>
      </c>
      <c r="J1879" t="s">
        <v>11984</v>
      </c>
      <c r="K1879" t="s">
        <v>11985</v>
      </c>
      <c r="L1879" t="s">
        <v>11979</v>
      </c>
    </row>
    <row r="1880" spans="1:12" x14ac:dyDescent="0.25">
      <c r="A1880">
        <v>365570</v>
      </c>
      <c r="B1880">
        <v>365830</v>
      </c>
      <c r="D1880">
        <v>0</v>
      </c>
      <c r="E1880" t="s">
        <v>11987</v>
      </c>
      <c r="F1880" t="s">
        <v>11988</v>
      </c>
      <c r="G1880" t="s">
        <v>11989</v>
      </c>
      <c r="H1880" t="s">
        <v>11990</v>
      </c>
      <c r="I1880" t="s">
        <v>11991</v>
      </c>
      <c r="J1880" t="s">
        <v>11986</v>
      </c>
      <c r="K1880" t="s">
        <v>11992</v>
      </c>
      <c r="L1880" t="s">
        <v>11986</v>
      </c>
    </row>
    <row r="1881" spans="1:12" x14ac:dyDescent="0.25">
      <c r="A1881">
        <v>365570</v>
      </c>
      <c r="B1881">
        <v>366078</v>
      </c>
      <c r="D1881">
        <v>0</v>
      </c>
      <c r="F1881">
        <v>818982</v>
      </c>
      <c r="G1881">
        <v>365570</v>
      </c>
      <c r="H1881" t="e" vm="10">
        <f>_FV(0,"057")</f>
        <v>#VALUE!</v>
      </c>
      <c r="I1881">
        <v>366078</v>
      </c>
      <c r="J1881" t="s">
        <v>170</v>
      </c>
      <c r="K1881" t="s">
        <v>11993</v>
      </c>
      <c r="L1881" t="e" vm="10">
        <f>_FV(0,"057")</f>
        <v>#VALUE!</v>
      </c>
    </row>
    <row r="1882" spans="1:12" x14ac:dyDescent="0.25">
      <c r="A1882">
        <v>365756</v>
      </c>
      <c r="B1882">
        <v>365813</v>
      </c>
      <c r="D1882">
        <v>0</v>
      </c>
      <c r="E1882" t="s">
        <v>11995</v>
      </c>
      <c r="F1882" t="s">
        <v>11996</v>
      </c>
      <c r="G1882" t="s">
        <v>11997</v>
      </c>
      <c r="H1882" t="e" vm="824">
        <f>_FV(0,"027044566784903634")</f>
        <v>#VALUE!</v>
      </c>
      <c r="I1882" t="s">
        <v>11998</v>
      </c>
      <c r="J1882" t="s">
        <v>11999</v>
      </c>
      <c r="K1882" t="s">
        <v>12000</v>
      </c>
      <c r="L1882" t="s">
        <v>11994</v>
      </c>
    </row>
    <row r="1883" spans="1:12" x14ac:dyDescent="0.25">
      <c r="A1883">
        <v>365968</v>
      </c>
      <c r="B1883">
        <v>366000</v>
      </c>
      <c r="D1883">
        <v>0</v>
      </c>
      <c r="E1883" t="s">
        <v>12002</v>
      </c>
      <c r="F1883" t="s">
        <v>12003</v>
      </c>
      <c r="G1883" t="s">
        <v>12004</v>
      </c>
      <c r="H1883" t="e" vm="825">
        <f>_FV(0,"00826403568743375")</f>
        <v>#VALUE!</v>
      </c>
      <c r="I1883" t="s">
        <v>12005</v>
      </c>
      <c r="J1883" t="s">
        <v>12006</v>
      </c>
      <c r="K1883" t="s">
        <v>12007</v>
      </c>
      <c r="L1883" t="s">
        <v>12001</v>
      </c>
    </row>
    <row r="1884" spans="1:12" x14ac:dyDescent="0.25">
      <c r="A1884">
        <v>365968</v>
      </c>
      <c r="B1884">
        <v>366000</v>
      </c>
      <c r="D1884">
        <v>0</v>
      </c>
      <c r="E1884" t="s">
        <v>12009</v>
      </c>
      <c r="F1884" t="s">
        <v>12010</v>
      </c>
      <c r="G1884" t="s">
        <v>12011</v>
      </c>
      <c r="H1884" t="e" vm="826">
        <f>_FV(0,"008348506332077406")</f>
        <v>#VALUE!</v>
      </c>
      <c r="I1884" t="s">
        <v>12012</v>
      </c>
      <c r="J1884" t="s">
        <v>12013</v>
      </c>
      <c r="K1884" t="s">
        <v>12014</v>
      </c>
      <c r="L1884" t="s">
        <v>12008</v>
      </c>
    </row>
    <row r="1885" spans="1:12" x14ac:dyDescent="0.25">
      <c r="A1885">
        <v>365968</v>
      </c>
      <c r="B1885">
        <v>1067779</v>
      </c>
      <c r="D1885">
        <v>0</v>
      </c>
      <c r="E1885" t="s">
        <v>12016</v>
      </c>
      <c r="F1885" t="s">
        <v>12017</v>
      </c>
      <c r="G1885" t="s">
        <v>12018</v>
      </c>
      <c r="H1885" t="s">
        <v>12019</v>
      </c>
      <c r="I1885" t="s">
        <v>12020</v>
      </c>
      <c r="J1885" t="s">
        <v>12021</v>
      </c>
      <c r="K1885" t="s">
        <v>12022</v>
      </c>
      <c r="L1885" t="s">
        <v>12015</v>
      </c>
    </row>
    <row r="1886" spans="1:12" x14ac:dyDescent="0.25">
      <c r="A1886">
        <v>366000</v>
      </c>
      <c r="B1886">
        <v>1806461</v>
      </c>
      <c r="D1886" t="s">
        <v>12024</v>
      </c>
      <c r="E1886" t="s">
        <v>12025</v>
      </c>
      <c r="F1886" t="s">
        <v>12026</v>
      </c>
      <c r="G1886" t="s">
        <v>12027</v>
      </c>
      <c r="H1886" t="s">
        <v>12028</v>
      </c>
      <c r="I1886" t="s">
        <v>12029</v>
      </c>
      <c r="J1886" t="s">
        <v>12030</v>
      </c>
      <c r="K1886" t="s">
        <v>12031</v>
      </c>
      <c r="L1886" t="s">
        <v>12023</v>
      </c>
    </row>
    <row r="1887" spans="1:12" x14ac:dyDescent="0.25">
      <c r="A1887">
        <v>366303</v>
      </c>
      <c r="B1887">
        <v>366321</v>
      </c>
      <c r="D1887">
        <v>0</v>
      </c>
      <c r="E1887" t="s">
        <v>12033</v>
      </c>
      <c r="F1887" t="s">
        <v>12034</v>
      </c>
      <c r="G1887" t="s">
        <v>12035</v>
      </c>
      <c r="H1887" t="s">
        <v>12036</v>
      </c>
      <c r="I1887" t="s">
        <v>12037</v>
      </c>
      <c r="J1887" t="s">
        <v>12032</v>
      </c>
      <c r="K1887" t="s">
        <v>12038</v>
      </c>
      <c r="L1887" t="s">
        <v>12032</v>
      </c>
    </row>
    <row r="1888" spans="1:12" x14ac:dyDescent="0.25">
      <c r="A1888">
        <v>366321</v>
      </c>
      <c r="B1888">
        <v>1307759</v>
      </c>
      <c r="D1888">
        <v>0</v>
      </c>
      <c r="F1888">
        <v>1438918</v>
      </c>
      <c r="G1888">
        <v>1307759</v>
      </c>
      <c r="H1888" t="e" vm="827">
        <f>_FV(0,"294")</f>
        <v>#VALUE!</v>
      </c>
      <c r="I1888">
        <v>366321</v>
      </c>
      <c r="J1888" t="s">
        <v>12039</v>
      </c>
      <c r="K1888" t="s">
        <v>12040</v>
      </c>
      <c r="L1888" t="e" vm="827">
        <f>_FV(0,"294")</f>
        <v>#VALUE!</v>
      </c>
    </row>
    <row r="1889" spans="1:12" x14ac:dyDescent="0.25">
      <c r="A1889">
        <v>366321</v>
      </c>
      <c r="B1889">
        <v>366326</v>
      </c>
      <c r="D1889" t="s">
        <v>1866</v>
      </c>
      <c r="E1889" t="s">
        <v>12042</v>
      </c>
      <c r="F1889" t="s">
        <v>12043</v>
      </c>
      <c r="G1889" t="s">
        <v>12044</v>
      </c>
      <c r="H1889" t="s">
        <v>12045</v>
      </c>
      <c r="I1889" t="s">
        <v>12046</v>
      </c>
      <c r="J1889" t="s">
        <v>12041</v>
      </c>
      <c r="K1889" t="s">
        <v>12047</v>
      </c>
      <c r="L1889" t="s">
        <v>12041</v>
      </c>
    </row>
    <row r="1890" spans="1:12" x14ac:dyDescent="0.25">
      <c r="A1890">
        <v>366321</v>
      </c>
      <c r="B1890">
        <v>367952</v>
      </c>
      <c r="D1890">
        <v>0</v>
      </c>
      <c r="E1890" t="s">
        <v>12049</v>
      </c>
      <c r="F1890" t="s">
        <v>12050</v>
      </c>
      <c r="G1890" t="s">
        <v>12051</v>
      </c>
      <c r="H1890" t="e" vm="828">
        <f>_FV(0,"012528495586272453")</f>
        <v>#VALUE!</v>
      </c>
      <c r="I1890" t="s">
        <v>12052</v>
      </c>
      <c r="J1890" t="s">
        <v>12053</v>
      </c>
      <c r="K1890" t="s">
        <v>12054</v>
      </c>
      <c r="L1890" t="s">
        <v>12048</v>
      </c>
    </row>
    <row r="1891" spans="1:12" x14ac:dyDescent="0.25">
      <c r="A1891">
        <v>366503</v>
      </c>
      <c r="B1891">
        <v>647963</v>
      </c>
      <c r="D1891">
        <v>0</v>
      </c>
      <c r="E1891" t="s">
        <v>12056</v>
      </c>
      <c r="F1891" t="s">
        <v>12057</v>
      </c>
      <c r="G1891" t="s">
        <v>12058</v>
      </c>
      <c r="H1891" t="s">
        <v>12059</v>
      </c>
      <c r="I1891" t="s">
        <v>12060</v>
      </c>
      <c r="J1891" t="s">
        <v>12061</v>
      </c>
      <c r="K1891" t="s">
        <v>12062</v>
      </c>
      <c r="L1891" t="s">
        <v>12055</v>
      </c>
    </row>
    <row r="1892" spans="1:12" x14ac:dyDescent="0.25">
      <c r="A1892">
        <v>366708</v>
      </c>
      <c r="B1892">
        <v>366726</v>
      </c>
      <c r="D1892">
        <v>0</v>
      </c>
      <c r="E1892" t="s">
        <v>12064</v>
      </c>
      <c r="F1892" t="s">
        <v>12065</v>
      </c>
      <c r="G1892" t="s">
        <v>12066</v>
      </c>
      <c r="H1892" t="e" vm="829">
        <f>_FV(0,"026809709859667696")</f>
        <v>#VALUE!</v>
      </c>
      <c r="I1892" t="s">
        <v>12067</v>
      </c>
      <c r="J1892" t="s">
        <v>12068</v>
      </c>
      <c r="K1892" t="s">
        <v>12069</v>
      </c>
      <c r="L1892" t="s">
        <v>12063</v>
      </c>
    </row>
    <row r="1893" spans="1:12" x14ac:dyDescent="0.25">
      <c r="A1893">
        <v>366708</v>
      </c>
      <c r="B1893">
        <v>366751</v>
      </c>
      <c r="D1893">
        <v>0</v>
      </c>
      <c r="E1893" t="s">
        <v>12071</v>
      </c>
      <c r="F1893" t="s">
        <v>12072</v>
      </c>
      <c r="G1893" t="s">
        <v>12073</v>
      </c>
      <c r="H1893" t="s">
        <v>12074</v>
      </c>
      <c r="I1893" t="s">
        <v>12075</v>
      </c>
      <c r="J1893" t="s">
        <v>12076</v>
      </c>
      <c r="K1893" t="s">
        <v>12077</v>
      </c>
      <c r="L1893" t="s">
        <v>12070</v>
      </c>
    </row>
    <row r="1894" spans="1:12" x14ac:dyDescent="0.25">
      <c r="A1894">
        <v>366708</v>
      </c>
      <c r="B1894">
        <v>366764</v>
      </c>
      <c r="D1894">
        <v>0</v>
      </c>
      <c r="E1894" t="s">
        <v>12079</v>
      </c>
      <c r="F1894" t="s">
        <v>12080</v>
      </c>
      <c r="G1894" t="s">
        <v>12081</v>
      </c>
      <c r="H1894" t="e" vm="830">
        <f>_FV(0,"006412314567433201")</f>
        <v>#VALUE!</v>
      </c>
      <c r="I1894" t="s">
        <v>12082</v>
      </c>
      <c r="J1894" t="s">
        <v>12083</v>
      </c>
      <c r="K1894" t="s">
        <v>12084</v>
      </c>
      <c r="L1894" t="s">
        <v>12078</v>
      </c>
    </row>
    <row r="1895" spans="1:12" x14ac:dyDescent="0.25">
      <c r="A1895">
        <v>366726</v>
      </c>
      <c r="B1895">
        <v>366873</v>
      </c>
      <c r="D1895">
        <v>0</v>
      </c>
      <c r="E1895" t="s">
        <v>12086</v>
      </c>
      <c r="F1895" t="s">
        <v>12087</v>
      </c>
      <c r="G1895" t="s">
        <v>12088</v>
      </c>
      <c r="H1895" t="e" vm="831">
        <f>_FV(0,"04596404573779162")</f>
        <v>#VALUE!</v>
      </c>
      <c r="I1895" t="s">
        <v>12089</v>
      </c>
      <c r="J1895" t="s">
        <v>12090</v>
      </c>
      <c r="K1895" t="s">
        <v>12091</v>
      </c>
      <c r="L1895" t="s">
        <v>12085</v>
      </c>
    </row>
    <row r="1896" spans="1:12" x14ac:dyDescent="0.25">
      <c r="A1896">
        <v>366726</v>
      </c>
      <c r="B1896">
        <v>366804</v>
      </c>
      <c r="D1896">
        <v>0</v>
      </c>
      <c r="E1896" t="s">
        <v>12093</v>
      </c>
      <c r="F1896" t="s">
        <v>12094</v>
      </c>
      <c r="G1896" t="s">
        <v>12095</v>
      </c>
      <c r="H1896" t="e" vm="832">
        <f>_FV(0,"08919252916293843")</f>
        <v>#VALUE!</v>
      </c>
      <c r="I1896" t="s">
        <v>12096</v>
      </c>
      <c r="J1896" t="s">
        <v>12097</v>
      </c>
      <c r="K1896" t="s">
        <v>12098</v>
      </c>
      <c r="L1896" t="s">
        <v>12092</v>
      </c>
    </row>
    <row r="1897" spans="1:12" x14ac:dyDescent="0.25">
      <c r="A1897">
        <v>366750</v>
      </c>
      <c r="B1897">
        <v>366751</v>
      </c>
      <c r="D1897">
        <v>0</v>
      </c>
      <c r="F1897">
        <v>377732</v>
      </c>
      <c r="G1897">
        <v>366751</v>
      </c>
      <c r="H1897" t="s">
        <v>11783</v>
      </c>
      <c r="I1897">
        <v>366750</v>
      </c>
      <c r="J1897" t="s">
        <v>11783</v>
      </c>
      <c r="K1897" t="s">
        <v>12099</v>
      </c>
      <c r="L1897" t="s">
        <v>11783</v>
      </c>
    </row>
    <row r="1898" spans="1:12" x14ac:dyDescent="0.25">
      <c r="A1898">
        <v>366750</v>
      </c>
      <c r="B1898">
        <v>366797</v>
      </c>
      <c r="D1898">
        <v>0</v>
      </c>
      <c r="F1898">
        <v>377801</v>
      </c>
      <c r="G1898">
        <v>366750</v>
      </c>
      <c r="H1898" t="s">
        <v>2916</v>
      </c>
      <c r="I1898">
        <v>366797</v>
      </c>
      <c r="J1898" t="s">
        <v>2916</v>
      </c>
      <c r="K1898" t="s">
        <v>12100</v>
      </c>
      <c r="L1898" t="s">
        <v>2916</v>
      </c>
    </row>
    <row r="1899" spans="1:12" x14ac:dyDescent="0.25">
      <c r="A1899">
        <v>366751</v>
      </c>
      <c r="B1899">
        <v>366764</v>
      </c>
      <c r="D1899">
        <v>0</v>
      </c>
      <c r="E1899" t="s">
        <v>12102</v>
      </c>
      <c r="F1899" t="s">
        <v>12103</v>
      </c>
      <c r="G1899" t="s">
        <v>12104</v>
      </c>
      <c r="H1899" t="s">
        <v>12105</v>
      </c>
      <c r="I1899" t="s">
        <v>12106</v>
      </c>
      <c r="J1899" t="s">
        <v>12101</v>
      </c>
      <c r="K1899" t="s">
        <v>12107</v>
      </c>
      <c r="L1899" t="s">
        <v>12101</v>
      </c>
    </row>
    <row r="1900" spans="1:12" x14ac:dyDescent="0.25">
      <c r="A1900">
        <v>366764</v>
      </c>
      <c r="B1900">
        <v>366788</v>
      </c>
      <c r="D1900">
        <v>0</v>
      </c>
      <c r="E1900" t="s">
        <v>12109</v>
      </c>
      <c r="F1900" t="s">
        <v>12110</v>
      </c>
      <c r="G1900" t="s">
        <v>12111</v>
      </c>
      <c r="H1900" t="e" vm="833">
        <f>_FV(0,"03208377484607801")</f>
        <v>#VALUE!</v>
      </c>
      <c r="I1900" t="s">
        <v>12112</v>
      </c>
      <c r="J1900" t="s">
        <v>12113</v>
      </c>
      <c r="K1900" t="s">
        <v>12114</v>
      </c>
      <c r="L1900" t="s">
        <v>12108</v>
      </c>
    </row>
    <row r="1901" spans="1:12" x14ac:dyDescent="0.25">
      <c r="A1901">
        <v>366788</v>
      </c>
      <c r="B1901">
        <v>366793</v>
      </c>
      <c r="D1901">
        <v>0</v>
      </c>
      <c r="E1901" t="s">
        <v>12116</v>
      </c>
      <c r="F1901" t="s">
        <v>12117</v>
      </c>
      <c r="G1901" t="s">
        <v>12118</v>
      </c>
      <c r="H1901" t="e" vm="834">
        <f>_FV(0,"09377087878699704")</f>
        <v>#VALUE!</v>
      </c>
      <c r="I1901" t="s">
        <v>12119</v>
      </c>
      <c r="J1901" t="s">
        <v>12120</v>
      </c>
      <c r="K1901" t="s">
        <v>12121</v>
      </c>
      <c r="L1901" t="s">
        <v>12115</v>
      </c>
    </row>
    <row r="1902" spans="1:12" x14ac:dyDescent="0.25">
      <c r="A1902">
        <v>366788</v>
      </c>
      <c r="B1902">
        <v>367381</v>
      </c>
      <c r="D1902">
        <v>0</v>
      </c>
      <c r="E1902" t="s">
        <v>12123</v>
      </c>
      <c r="F1902" t="s">
        <v>12124</v>
      </c>
      <c r="G1902" t="s">
        <v>12125</v>
      </c>
      <c r="H1902" t="s">
        <v>12126</v>
      </c>
      <c r="I1902" t="s">
        <v>12127</v>
      </c>
      <c r="J1902" t="s">
        <v>12128</v>
      </c>
      <c r="K1902" t="s">
        <v>12129</v>
      </c>
      <c r="L1902" t="s">
        <v>12122</v>
      </c>
    </row>
    <row r="1903" spans="1:12" x14ac:dyDescent="0.25">
      <c r="A1903">
        <v>366793</v>
      </c>
      <c r="B1903">
        <v>366797</v>
      </c>
      <c r="D1903">
        <v>0</v>
      </c>
      <c r="F1903">
        <v>377793</v>
      </c>
      <c r="G1903">
        <v>366797</v>
      </c>
      <c r="H1903" t="e" vm="488">
        <f>_FV(0,"047")</f>
        <v>#VALUE!</v>
      </c>
      <c r="I1903">
        <v>366793</v>
      </c>
      <c r="J1903" t="s">
        <v>2292</v>
      </c>
      <c r="K1903" t="s">
        <v>12130</v>
      </c>
      <c r="L1903" t="e" vm="488">
        <f>_FV(0,"047")</f>
        <v>#VALUE!</v>
      </c>
    </row>
    <row r="1904" spans="1:12" x14ac:dyDescent="0.25">
      <c r="A1904">
        <v>366793</v>
      </c>
      <c r="B1904">
        <v>367381</v>
      </c>
      <c r="D1904">
        <v>0</v>
      </c>
      <c r="E1904" t="s">
        <v>12132</v>
      </c>
      <c r="F1904" t="s">
        <v>12133</v>
      </c>
      <c r="G1904" t="s">
        <v>12134</v>
      </c>
      <c r="H1904" t="s">
        <v>12135</v>
      </c>
      <c r="I1904" t="s">
        <v>12136</v>
      </c>
      <c r="J1904" t="s">
        <v>12137</v>
      </c>
      <c r="K1904" t="s">
        <v>12138</v>
      </c>
      <c r="L1904" t="s">
        <v>12131</v>
      </c>
    </row>
    <row r="1905" spans="1:12" x14ac:dyDescent="0.25">
      <c r="A1905">
        <v>366797</v>
      </c>
      <c r="B1905">
        <v>1177506</v>
      </c>
      <c r="D1905">
        <v>0</v>
      </c>
      <c r="E1905" t="s">
        <v>12140</v>
      </c>
      <c r="F1905" t="s">
        <v>12141</v>
      </c>
      <c r="G1905" t="s">
        <v>12142</v>
      </c>
      <c r="H1905" t="e" vm="835">
        <f>_FV(0,"08088275768425801")</f>
        <v>#VALUE!</v>
      </c>
      <c r="I1905" t="s">
        <v>12143</v>
      </c>
      <c r="J1905" t="s">
        <v>12144</v>
      </c>
      <c r="K1905" t="s">
        <v>12145</v>
      </c>
      <c r="L1905" t="s">
        <v>12139</v>
      </c>
    </row>
    <row r="1906" spans="1:12" x14ac:dyDescent="0.25">
      <c r="A1906">
        <v>366804</v>
      </c>
      <c r="B1906">
        <v>366805</v>
      </c>
      <c r="D1906">
        <v>0</v>
      </c>
      <c r="F1906">
        <v>377802</v>
      </c>
      <c r="G1906">
        <v>366805</v>
      </c>
      <c r="H1906" t="e" vm="836">
        <f>_FV(0,"083")</f>
        <v>#VALUE!</v>
      </c>
      <c r="I1906">
        <v>366804</v>
      </c>
      <c r="J1906" t="s">
        <v>12146</v>
      </c>
      <c r="K1906" t="s">
        <v>12147</v>
      </c>
      <c r="L1906" t="e" vm="836">
        <f>_FV(0,"083")</f>
        <v>#VALUE!</v>
      </c>
    </row>
    <row r="1907" spans="1:12" x14ac:dyDescent="0.25">
      <c r="A1907">
        <v>366804</v>
      </c>
      <c r="B1907">
        <v>366873</v>
      </c>
      <c r="D1907">
        <v>0</v>
      </c>
      <c r="E1907" t="s">
        <v>12149</v>
      </c>
      <c r="F1907" t="s">
        <v>12150</v>
      </c>
      <c r="G1907" t="s">
        <v>12151</v>
      </c>
      <c r="H1907" t="e" vm="837">
        <f>_FV(0,"0737371137476682")</f>
        <v>#VALUE!</v>
      </c>
      <c r="I1907" t="s">
        <v>12152</v>
      </c>
      <c r="J1907" t="s">
        <v>12153</v>
      </c>
      <c r="K1907" t="s">
        <v>12154</v>
      </c>
      <c r="L1907" t="s">
        <v>12148</v>
      </c>
    </row>
    <row r="1908" spans="1:12" x14ac:dyDescent="0.25">
      <c r="A1908">
        <v>366805</v>
      </c>
      <c r="B1908">
        <v>366815</v>
      </c>
      <c r="D1908">
        <v>0</v>
      </c>
      <c r="F1908">
        <v>377815</v>
      </c>
      <c r="G1908">
        <v>366815</v>
      </c>
      <c r="H1908" t="s">
        <v>187</v>
      </c>
      <c r="I1908">
        <v>366805</v>
      </c>
      <c r="J1908" t="s">
        <v>187</v>
      </c>
      <c r="K1908" t="s">
        <v>12155</v>
      </c>
      <c r="L1908" t="s">
        <v>187</v>
      </c>
    </row>
    <row r="1909" spans="1:12" x14ac:dyDescent="0.25">
      <c r="A1909">
        <v>366805</v>
      </c>
      <c r="B1909">
        <v>1177408</v>
      </c>
      <c r="D1909">
        <v>0</v>
      </c>
      <c r="E1909" t="s">
        <v>12157</v>
      </c>
      <c r="F1909" t="s">
        <v>12158</v>
      </c>
      <c r="G1909" t="s">
        <v>12159</v>
      </c>
      <c r="H1909" t="e" vm="838">
        <f>_FV(0,"06679987314659773")</f>
        <v>#VALUE!</v>
      </c>
      <c r="I1909" t="s">
        <v>12160</v>
      </c>
      <c r="J1909" t="s">
        <v>12161</v>
      </c>
      <c r="K1909" t="s">
        <v>12162</v>
      </c>
      <c r="L1909" t="s">
        <v>12156</v>
      </c>
    </row>
    <row r="1910" spans="1:12" x14ac:dyDescent="0.25">
      <c r="A1910">
        <v>366815</v>
      </c>
      <c r="B1910">
        <v>366873</v>
      </c>
      <c r="D1910">
        <v>0</v>
      </c>
      <c r="E1910" t="s">
        <v>12164</v>
      </c>
      <c r="F1910" t="s">
        <v>12165</v>
      </c>
      <c r="G1910" t="s">
        <v>12166</v>
      </c>
      <c r="H1910" t="s">
        <v>12167</v>
      </c>
      <c r="I1910" t="s">
        <v>12168</v>
      </c>
      <c r="J1910" t="s">
        <v>12169</v>
      </c>
      <c r="K1910" t="s">
        <v>12170</v>
      </c>
      <c r="L1910" t="s">
        <v>12163</v>
      </c>
    </row>
    <row r="1911" spans="1:12" x14ac:dyDescent="0.25">
      <c r="A1911">
        <v>367380</v>
      </c>
      <c r="B1911">
        <v>367381</v>
      </c>
      <c r="D1911">
        <v>0</v>
      </c>
      <c r="F1911">
        <v>378452</v>
      </c>
      <c r="G1911">
        <v>367381</v>
      </c>
      <c r="H1911" t="s">
        <v>12171</v>
      </c>
      <c r="I1911">
        <v>367380</v>
      </c>
      <c r="J1911" t="s">
        <v>12171</v>
      </c>
      <c r="K1911" t="s">
        <v>12172</v>
      </c>
      <c r="L1911" t="s">
        <v>12171</v>
      </c>
    </row>
    <row r="1912" spans="1:12" x14ac:dyDescent="0.25">
      <c r="A1912">
        <v>367380</v>
      </c>
      <c r="B1912">
        <v>367224</v>
      </c>
      <c r="D1912">
        <v>0</v>
      </c>
      <c r="E1912" t="s">
        <v>12174</v>
      </c>
      <c r="F1912" t="s">
        <v>12175</v>
      </c>
      <c r="G1912" t="s">
        <v>12176</v>
      </c>
      <c r="H1912" t="s">
        <v>12177</v>
      </c>
      <c r="I1912" t="s">
        <v>12178</v>
      </c>
      <c r="J1912" t="s">
        <v>12173</v>
      </c>
      <c r="K1912" t="s">
        <v>12179</v>
      </c>
      <c r="L1912" t="s">
        <v>12173</v>
      </c>
    </row>
    <row r="1913" spans="1:12" x14ac:dyDescent="0.25">
      <c r="A1913">
        <v>367380</v>
      </c>
      <c r="B1913">
        <v>367242</v>
      </c>
      <c r="D1913">
        <v>0</v>
      </c>
      <c r="E1913" t="s">
        <v>12181</v>
      </c>
      <c r="F1913" t="s">
        <v>12182</v>
      </c>
      <c r="G1913" t="s">
        <v>12183</v>
      </c>
      <c r="H1913" t="s">
        <v>12184</v>
      </c>
      <c r="I1913" t="s">
        <v>12185</v>
      </c>
      <c r="J1913" t="s">
        <v>12180</v>
      </c>
      <c r="K1913" t="s">
        <v>12186</v>
      </c>
      <c r="L1913" t="s">
        <v>12180</v>
      </c>
    </row>
    <row r="1914" spans="1:12" x14ac:dyDescent="0.25">
      <c r="A1914">
        <v>367411</v>
      </c>
      <c r="B1914">
        <v>367537</v>
      </c>
      <c r="D1914">
        <v>0</v>
      </c>
      <c r="E1914" t="s">
        <v>12188</v>
      </c>
      <c r="F1914" t="s">
        <v>12189</v>
      </c>
      <c r="G1914" t="s">
        <v>12190</v>
      </c>
      <c r="H1914" t="e" vm="839">
        <f>_FV(0,"011210522270784378")</f>
        <v>#VALUE!</v>
      </c>
      <c r="I1914" t="s">
        <v>12191</v>
      </c>
      <c r="J1914" t="s">
        <v>12192</v>
      </c>
      <c r="K1914" t="s">
        <v>12193</v>
      </c>
      <c r="L1914" t="s">
        <v>12187</v>
      </c>
    </row>
    <row r="1915" spans="1:12" x14ac:dyDescent="0.25">
      <c r="A1915">
        <v>367411</v>
      </c>
      <c r="B1915">
        <v>782195</v>
      </c>
      <c r="D1915">
        <v>0</v>
      </c>
      <c r="E1915" t="s">
        <v>12195</v>
      </c>
      <c r="F1915" t="s">
        <v>12196</v>
      </c>
      <c r="G1915" t="s">
        <v>12197</v>
      </c>
      <c r="H1915" t="e" vm="840">
        <f>_FV(0,"0053944740737220135")</f>
        <v>#VALUE!</v>
      </c>
      <c r="I1915" t="s">
        <v>12198</v>
      </c>
      <c r="J1915" t="s">
        <v>12199</v>
      </c>
      <c r="K1915" t="s">
        <v>12200</v>
      </c>
      <c r="L1915" t="s">
        <v>12194</v>
      </c>
    </row>
    <row r="1916" spans="1:12" x14ac:dyDescent="0.25">
      <c r="A1916">
        <v>367411</v>
      </c>
      <c r="B1916">
        <v>1056139</v>
      </c>
      <c r="D1916">
        <v>0</v>
      </c>
      <c r="E1916" t="s">
        <v>12202</v>
      </c>
      <c r="F1916" t="s">
        <v>12203</v>
      </c>
      <c r="G1916" t="s">
        <v>12204</v>
      </c>
      <c r="H1916" t="s">
        <v>12205</v>
      </c>
      <c r="I1916" t="s">
        <v>12206</v>
      </c>
      <c r="J1916" t="s">
        <v>12207</v>
      </c>
      <c r="K1916" t="s">
        <v>12208</v>
      </c>
      <c r="L1916" t="s">
        <v>12201</v>
      </c>
    </row>
    <row r="1917" spans="1:12" x14ac:dyDescent="0.25">
      <c r="A1917">
        <v>367487</v>
      </c>
      <c r="B1917">
        <v>1271672</v>
      </c>
      <c r="D1917">
        <v>0</v>
      </c>
      <c r="E1917" t="s">
        <v>12210</v>
      </c>
      <c r="F1917" t="s">
        <v>12211</v>
      </c>
      <c r="G1917" t="s">
        <v>12212</v>
      </c>
      <c r="H1917" t="e" vm="841">
        <f>_FV(0,"0071013706272559434")</f>
        <v>#VALUE!</v>
      </c>
      <c r="I1917" t="s">
        <v>12213</v>
      </c>
      <c r="J1917" t="s">
        <v>12214</v>
      </c>
      <c r="K1917" t="s">
        <v>12215</v>
      </c>
      <c r="L1917" t="s">
        <v>12209</v>
      </c>
    </row>
    <row r="1918" spans="1:12" x14ac:dyDescent="0.25">
      <c r="A1918">
        <v>367487</v>
      </c>
      <c r="B1918">
        <v>367572</v>
      </c>
      <c r="D1918">
        <v>0</v>
      </c>
      <c r="E1918" t="s">
        <v>12217</v>
      </c>
      <c r="F1918" t="s">
        <v>12218</v>
      </c>
      <c r="G1918" t="s">
        <v>12219</v>
      </c>
      <c r="H1918" t="e" vm="842">
        <f>_FV(0,"011134985415695197")</f>
        <v>#VALUE!</v>
      </c>
      <c r="I1918" t="s">
        <v>12220</v>
      </c>
      <c r="J1918" t="s">
        <v>12221</v>
      </c>
      <c r="K1918" t="s">
        <v>12222</v>
      </c>
      <c r="L1918" t="s">
        <v>12216</v>
      </c>
    </row>
    <row r="1919" spans="1:12" x14ac:dyDescent="0.25">
      <c r="A1919">
        <v>367487</v>
      </c>
      <c r="B1919">
        <v>974896</v>
      </c>
      <c r="D1919">
        <v>0</v>
      </c>
      <c r="E1919" t="s">
        <v>12224</v>
      </c>
      <c r="F1919" t="s">
        <v>12225</v>
      </c>
      <c r="G1919" t="s">
        <v>12226</v>
      </c>
      <c r="H1919" t="s">
        <v>12227</v>
      </c>
      <c r="I1919" t="s">
        <v>12228</v>
      </c>
      <c r="J1919" t="s">
        <v>12229</v>
      </c>
      <c r="K1919" t="s">
        <v>12230</v>
      </c>
      <c r="L1919" t="s">
        <v>12223</v>
      </c>
    </row>
    <row r="1920" spans="1:12" x14ac:dyDescent="0.25">
      <c r="A1920">
        <v>367537</v>
      </c>
      <c r="B1920">
        <v>367898</v>
      </c>
      <c r="D1920" t="s">
        <v>12232</v>
      </c>
      <c r="E1920" t="s">
        <v>12233</v>
      </c>
      <c r="F1920" t="s">
        <v>12234</v>
      </c>
      <c r="G1920" t="s">
        <v>12235</v>
      </c>
      <c r="H1920" t="s">
        <v>12236</v>
      </c>
      <c r="I1920" t="s">
        <v>12237</v>
      </c>
      <c r="J1920" t="s">
        <v>12238</v>
      </c>
      <c r="K1920" t="s">
        <v>12239</v>
      </c>
      <c r="L1920" t="s">
        <v>12231</v>
      </c>
    </row>
    <row r="1921" spans="1:12" x14ac:dyDescent="0.25">
      <c r="A1921">
        <v>367572</v>
      </c>
      <c r="B1921">
        <v>367780</v>
      </c>
      <c r="D1921" t="s">
        <v>6902</v>
      </c>
      <c r="E1921" t="s">
        <v>12241</v>
      </c>
      <c r="F1921" t="s">
        <v>12242</v>
      </c>
      <c r="G1921" t="s">
        <v>12243</v>
      </c>
      <c r="H1921" t="s">
        <v>12244</v>
      </c>
      <c r="I1921" t="s">
        <v>12245</v>
      </c>
      <c r="J1921" t="s">
        <v>12246</v>
      </c>
      <c r="K1921" t="s">
        <v>12247</v>
      </c>
      <c r="L1921" t="s">
        <v>12240</v>
      </c>
    </row>
    <row r="1922" spans="1:12" x14ac:dyDescent="0.25">
      <c r="A1922">
        <v>367572</v>
      </c>
      <c r="B1922">
        <v>782228</v>
      </c>
      <c r="D1922">
        <v>0</v>
      </c>
      <c r="E1922" t="s">
        <v>12249</v>
      </c>
      <c r="F1922" t="s">
        <v>12250</v>
      </c>
      <c r="G1922" t="s">
        <v>12251</v>
      </c>
      <c r="H1922" t="s">
        <v>12252</v>
      </c>
      <c r="I1922" t="s">
        <v>12253</v>
      </c>
      <c r="J1922" t="s">
        <v>12248</v>
      </c>
      <c r="K1922" t="s">
        <v>12254</v>
      </c>
      <c r="L1922" t="s">
        <v>12248</v>
      </c>
    </row>
    <row r="1923" spans="1:12" x14ac:dyDescent="0.25">
      <c r="A1923">
        <v>367583</v>
      </c>
      <c r="B1923">
        <v>367599</v>
      </c>
      <c r="D1923">
        <v>0</v>
      </c>
      <c r="E1923" t="s">
        <v>12256</v>
      </c>
      <c r="F1923" t="s">
        <v>12257</v>
      </c>
      <c r="G1923" t="s">
        <v>12258</v>
      </c>
      <c r="H1923" t="e" vm="843">
        <f>_FV(0,"0068847542478069745")</f>
        <v>#VALUE!</v>
      </c>
      <c r="I1923" t="s">
        <v>12259</v>
      </c>
      <c r="J1923" t="s">
        <v>12260</v>
      </c>
      <c r="K1923" t="s">
        <v>12261</v>
      </c>
      <c r="L1923" t="s">
        <v>12255</v>
      </c>
    </row>
    <row r="1924" spans="1:12" x14ac:dyDescent="0.25">
      <c r="A1924">
        <v>367583</v>
      </c>
      <c r="B1924">
        <v>1306066</v>
      </c>
      <c r="D1924">
        <v>0</v>
      </c>
      <c r="E1924" t="s">
        <v>12263</v>
      </c>
      <c r="F1924" t="s">
        <v>12264</v>
      </c>
      <c r="G1924" t="s">
        <v>12265</v>
      </c>
      <c r="H1924" t="e" vm="844">
        <f>_FV(0,"016610178657119234")</f>
        <v>#VALUE!</v>
      </c>
      <c r="I1924" t="s">
        <v>12266</v>
      </c>
      <c r="J1924" t="s">
        <v>12267</v>
      </c>
      <c r="K1924" t="s">
        <v>12268</v>
      </c>
      <c r="L1924" t="s">
        <v>12262</v>
      </c>
    </row>
    <row r="1925" spans="1:12" x14ac:dyDescent="0.25">
      <c r="A1925">
        <v>367583</v>
      </c>
      <c r="B1925">
        <v>1168630</v>
      </c>
      <c r="D1925">
        <v>0</v>
      </c>
      <c r="E1925" t="s">
        <v>12270</v>
      </c>
      <c r="F1925" t="s">
        <v>12271</v>
      </c>
      <c r="G1925" t="s">
        <v>12272</v>
      </c>
      <c r="H1925" t="e" vm="845">
        <f>_FV(0,"04428480141066089")</f>
        <v>#VALUE!</v>
      </c>
      <c r="I1925" t="s">
        <v>12273</v>
      </c>
      <c r="J1925" t="s">
        <v>12274</v>
      </c>
      <c r="K1925" t="s">
        <v>12275</v>
      </c>
      <c r="L1925" t="s">
        <v>12269</v>
      </c>
    </row>
    <row r="1926" spans="1:12" x14ac:dyDescent="0.25">
      <c r="A1926">
        <v>367682</v>
      </c>
      <c r="B1926">
        <v>782312</v>
      </c>
      <c r="D1926" t="s">
        <v>1845</v>
      </c>
      <c r="E1926" t="s">
        <v>12277</v>
      </c>
      <c r="F1926" t="s">
        <v>12278</v>
      </c>
      <c r="G1926" t="s">
        <v>12279</v>
      </c>
      <c r="H1926" t="e" vm="846">
        <f>_FV(0,"11723154523744761")</f>
        <v>#VALUE!</v>
      </c>
      <c r="I1926" t="s">
        <v>12280</v>
      </c>
      <c r="J1926" t="s">
        <v>12281</v>
      </c>
      <c r="K1926" t="s">
        <v>12282</v>
      </c>
      <c r="L1926" t="s">
        <v>12276</v>
      </c>
    </row>
    <row r="1927" spans="1:12" x14ac:dyDescent="0.25">
      <c r="A1927">
        <v>367780</v>
      </c>
      <c r="B1927">
        <v>782457</v>
      </c>
      <c r="D1927" t="s">
        <v>12284</v>
      </c>
      <c r="E1927" t="s">
        <v>12285</v>
      </c>
      <c r="F1927" t="s">
        <v>12286</v>
      </c>
      <c r="G1927" t="s">
        <v>12287</v>
      </c>
      <c r="H1927" t="e" vm="847">
        <f>_FV(0,"03475226914048029")</f>
        <v>#VALUE!</v>
      </c>
      <c r="I1927" t="s">
        <v>12288</v>
      </c>
      <c r="J1927" t="s">
        <v>12289</v>
      </c>
      <c r="K1927" t="s">
        <v>12290</v>
      </c>
      <c r="L1927" t="s">
        <v>12283</v>
      </c>
    </row>
    <row r="1928" spans="1:12" x14ac:dyDescent="0.25">
      <c r="A1928">
        <v>367780</v>
      </c>
      <c r="B1928">
        <v>975074</v>
      </c>
      <c r="D1928" t="s">
        <v>12292</v>
      </c>
      <c r="E1928" t="s">
        <v>12293</v>
      </c>
      <c r="F1928" t="s">
        <v>12294</v>
      </c>
      <c r="G1928" t="s">
        <v>12295</v>
      </c>
      <c r="H1928" t="s">
        <v>12296</v>
      </c>
      <c r="I1928" t="s">
        <v>12297</v>
      </c>
      <c r="J1928" t="s">
        <v>12298</v>
      </c>
      <c r="K1928" t="s">
        <v>12299</v>
      </c>
      <c r="L1928" t="s">
        <v>12291</v>
      </c>
    </row>
    <row r="1929" spans="1:12" x14ac:dyDescent="0.25">
      <c r="A1929">
        <v>367843</v>
      </c>
      <c r="B1929">
        <v>782312</v>
      </c>
      <c r="D1929" t="s">
        <v>700</v>
      </c>
      <c r="E1929" t="s">
        <v>12301</v>
      </c>
      <c r="F1929" t="s">
        <v>12302</v>
      </c>
      <c r="G1929" t="s">
        <v>12303</v>
      </c>
      <c r="H1929" t="e" vm="848">
        <f>_FV(0,"04078923657471138")</f>
        <v>#VALUE!</v>
      </c>
      <c r="I1929" t="s">
        <v>12304</v>
      </c>
      <c r="J1929" t="s">
        <v>12305</v>
      </c>
      <c r="K1929" t="s">
        <v>12306</v>
      </c>
      <c r="L1929" t="s">
        <v>12300</v>
      </c>
    </row>
    <row r="1930" spans="1:12" x14ac:dyDescent="0.25">
      <c r="A1930">
        <v>367898</v>
      </c>
      <c r="B1930">
        <v>367952</v>
      </c>
      <c r="C1930" t="s">
        <v>12308</v>
      </c>
      <c r="D1930">
        <v>0</v>
      </c>
      <c r="E1930" t="s">
        <v>12309</v>
      </c>
      <c r="F1930" t="s">
        <v>12310</v>
      </c>
      <c r="G1930" t="s">
        <v>12311</v>
      </c>
      <c r="H1930" t="s">
        <v>12312</v>
      </c>
      <c r="I1930" t="s">
        <v>12313</v>
      </c>
      <c r="J1930" t="s">
        <v>12314</v>
      </c>
      <c r="K1930" t="s">
        <v>12315</v>
      </c>
      <c r="L1930" t="s">
        <v>12307</v>
      </c>
    </row>
    <row r="1931" spans="1:12" x14ac:dyDescent="0.25">
      <c r="A1931">
        <v>367898</v>
      </c>
      <c r="B1931">
        <v>782312</v>
      </c>
      <c r="D1931" t="s">
        <v>12317</v>
      </c>
      <c r="E1931" t="s">
        <v>12318</v>
      </c>
      <c r="F1931" t="s">
        <v>12319</v>
      </c>
      <c r="G1931" t="s">
        <v>12320</v>
      </c>
      <c r="H1931" t="s">
        <v>12321</v>
      </c>
      <c r="I1931" t="s">
        <v>12322</v>
      </c>
      <c r="J1931" t="s">
        <v>12323</v>
      </c>
      <c r="K1931" t="s">
        <v>12324</v>
      </c>
      <c r="L1931" t="s">
        <v>12316</v>
      </c>
    </row>
    <row r="1932" spans="1:12" x14ac:dyDescent="0.25">
      <c r="A1932">
        <v>367952</v>
      </c>
      <c r="B1932">
        <v>1056333</v>
      </c>
      <c r="D1932">
        <v>0</v>
      </c>
      <c r="E1932" t="s">
        <v>12326</v>
      </c>
      <c r="F1932" t="s">
        <v>12327</v>
      </c>
      <c r="G1932" t="s">
        <v>12329</v>
      </c>
      <c r="H1932" t="e" vm="849">
        <f>_FV(0,"01679151069235308")</f>
        <v>#VALUE!</v>
      </c>
      <c r="I1932" t="s">
        <v>12330</v>
      </c>
      <c r="J1932" t="s">
        <v>12331</v>
      </c>
      <c r="K1932" t="s">
        <v>12332</v>
      </c>
      <c r="L1932" t="s">
        <v>12325</v>
      </c>
    </row>
    <row r="1933" spans="1:12" x14ac:dyDescent="0.25">
      <c r="A1933">
        <v>367967</v>
      </c>
      <c r="B1933">
        <v>975074</v>
      </c>
      <c r="D1933">
        <v>0</v>
      </c>
      <c r="E1933" t="s">
        <v>12334</v>
      </c>
      <c r="F1933" t="s">
        <v>12335</v>
      </c>
      <c r="G1933" t="s">
        <v>12336</v>
      </c>
      <c r="H1933" t="e" vm="850">
        <f>_FV(0,"000500268836860961")</f>
        <v>#VALUE!</v>
      </c>
      <c r="I1933" t="s">
        <v>12337</v>
      </c>
      <c r="J1933" t="s">
        <v>12338</v>
      </c>
      <c r="K1933" t="s">
        <v>12339</v>
      </c>
      <c r="L1933" t="s">
        <v>12333</v>
      </c>
    </row>
    <row r="1934" spans="1:12" x14ac:dyDescent="0.25">
      <c r="A1934">
        <v>367967</v>
      </c>
      <c r="B1934">
        <v>1308078</v>
      </c>
      <c r="D1934">
        <v>0</v>
      </c>
      <c r="F1934">
        <v>1440004</v>
      </c>
      <c r="G1934">
        <v>367967</v>
      </c>
      <c r="H1934" t="s">
        <v>12340</v>
      </c>
      <c r="I1934">
        <v>1308078</v>
      </c>
      <c r="J1934" t="s">
        <v>12340</v>
      </c>
      <c r="K1934" t="s">
        <v>12341</v>
      </c>
      <c r="L1934" t="s">
        <v>12340</v>
      </c>
    </row>
    <row r="1935" spans="1:12" x14ac:dyDescent="0.25">
      <c r="A1935">
        <v>367967</v>
      </c>
      <c r="B1935">
        <v>1308078</v>
      </c>
      <c r="D1935">
        <v>0</v>
      </c>
      <c r="E1935" t="s">
        <v>12343</v>
      </c>
      <c r="F1935" t="s">
        <v>12344</v>
      </c>
      <c r="G1935" t="s">
        <v>12345</v>
      </c>
      <c r="H1935" t="s">
        <v>12346</v>
      </c>
      <c r="I1935" t="s">
        <v>12347</v>
      </c>
      <c r="J1935" t="s">
        <v>12348</v>
      </c>
      <c r="K1935" t="s">
        <v>12349</v>
      </c>
      <c r="L1935" t="s">
        <v>12342</v>
      </c>
    </row>
    <row r="1936" spans="1:12" x14ac:dyDescent="0.25">
      <c r="A1936">
        <v>368012</v>
      </c>
      <c r="B1936">
        <v>368078</v>
      </c>
      <c r="D1936">
        <v>0</v>
      </c>
      <c r="E1936" t="s">
        <v>12351</v>
      </c>
      <c r="F1936" t="s">
        <v>12352</v>
      </c>
      <c r="G1936" t="s">
        <v>12353</v>
      </c>
      <c r="H1936" t="e" vm="851">
        <f>_FV(0,"005845676534316258")</f>
        <v>#VALUE!</v>
      </c>
      <c r="I1936" t="s">
        <v>12354</v>
      </c>
      <c r="J1936" t="s">
        <v>12355</v>
      </c>
      <c r="K1936" t="s">
        <v>12356</v>
      </c>
      <c r="L1936" t="s">
        <v>12350</v>
      </c>
    </row>
    <row r="1937" spans="1:12" x14ac:dyDescent="0.25">
      <c r="A1937">
        <v>368012</v>
      </c>
      <c r="B1937">
        <v>368078</v>
      </c>
      <c r="D1937">
        <v>0</v>
      </c>
      <c r="E1937" t="s">
        <v>12358</v>
      </c>
      <c r="F1937" t="s">
        <v>12359</v>
      </c>
      <c r="G1937" t="s">
        <v>12360</v>
      </c>
      <c r="H1937" t="e" vm="852">
        <f>_FV(0,"005601016927890387")</f>
        <v>#VALUE!</v>
      </c>
      <c r="I1937" t="s">
        <v>12361</v>
      </c>
      <c r="J1937" t="s">
        <v>12362</v>
      </c>
      <c r="K1937" t="s">
        <v>12363</v>
      </c>
      <c r="L1937" t="s">
        <v>12357</v>
      </c>
    </row>
    <row r="1938" spans="1:12" x14ac:dyDescent="0.25">
      <c r="A1938">
        <v>368012</v>
      </c>
      <c r="B1938">
        <v>960414</v>
      </c>
      <c r="D1938">
        <v>0</v>
      </c>
      <c r="E1938" t="s">
        <v>12365</v>
      </c>
      <c r="F1938" t="s">
        <v>12366</v>
      </c>
      <c r="G1938" t="s">
        <v>12367</v>
      </c>
      <c r="H1938" t="e" vm="853">
        <f>_FV(0,"011468486526499452")</f>
        <v>#VALUE!</v>
      </c>
      <c r="I1938" t="s">
        <v>12368</v>
      </c>
      <c r="J1938" t="s">
        <v>12369</v>
      </c>
      <c r="K1938" t="s">
        <v>12370</v>
      </c>
      <c r="L1938" t="s">
        <v>12364</v>
      </c>
    </row>
    <row r="1939" spans="1:12" x14ac:dyDescent="0.25">
      <c r="A1939">
        <v>368068</v>
      </c>
      <c r="B1939">
        <v>1854848</v>
      </c>
      <c r="D1939">
        <v>0</v>
      </c>
      <c r="E1939" t="s">
        <v>12371</v>
      </c>
      <c r="H1939" t="s">
        <v>187</v>
      </c>
      <c r="J1939">
        <v>0</v>
      </c>
      <c r="K1939" t="s">
        <v>12372</v>
      </c>
      <c r="L1939">
        <v>0</v>
      </c>
    </row>
    <row r="1940" spans="1:12" x14ac:dyDescent="0.25">
      <c r="A1940">
        <v>368068</v>
      </c>
      <c r="B1940">
        <v>368090</v>
      </c>
      <c r="D1940" t="s">
        <v>12374</v>
      </c>
      <c r="E1940" t="s">
        <v>12375</v>
      </c>
      <c r="F1940" t="s">
        <v>12376</v>
      </c>
      <c r="G1940" t="s">
        <v>12377</v>
      </c>
      <c r="H1940" t="s">
        <v>12378</v>
      </c>
      <c r="I1940" t="s">
        <v>12379</v>
      </c>
      <c r="J1940" t="s">
        <v>12380</v>
      </c>
      <c r="K1940" t="s">
        <v>12381</v>
      </c>
      <c r="L1940" t="s">
        <v>12373</v>
      </c>
    </row>
    <row r="1941" spans="1:12" x14ac:dyDescent="0.25">
      <c r="A1941">
        <v>368068</v>
      </c>
      <c r="B1941">
        <v>368090</v>
      </c>
      <c r="D1941" t="s">
        <v>12383</v>
      </c>
      <c r="E1941" t="s">
        <v>12384</v>
      </c>
      <c r="F1941" t="s">
        <v>12385</v>
      </c>
      <c r="G1941" t="s">
        <v>12386</v>
      </c>
      <c r="H1941" t="s">
        <v>12387</v>
      </c>
      <c r="I1941" t="s">
        <v>12388</v>
      </c>
      <c r="J1941" t="s">
        <v>12389</v>
      </c>
      <c r="K1941" t="s">
        <v>12390</v>
      </c>
      <c r="L1941" t="s">
        <v>12382</v>
      </c>
    </row>
    <row r="1942" spans="1:12" x14ac:dyDescent="0.25">
      <c r="A1942">
        <v>368078</v>
      </c>
      <c r="B1942">
        <v>1854799</v>
      </c>
      <c r="C1942" t="s">
        <v>12391</v>
      </c>
      <c r="D1942">
        <v>0</v>
      </c>
      <c r="E1942" t="s">
        <v>12392</v>
      </c>
      <c r="H1942" t="s">
        <v>187</v>
      </c>
      <c r="J1942">
        <v>0</v>
      </c>
      <c r="K1942" t="s">
        <v>10619</v>
      </c>
      <c r="L1942">
        <v>0</v>
      </c>
    </row>
    <row r="1943" spans="1:12" x14ac:dyDescent="0.25">
      <c r="A1943">
        <v>368090</v>
      </c>
      <c r="B1943">
        <v>665648</v>
      </c>
      <c r="D1943" t="s">
        <v>12394</v>
      </c>
      <c r="E1943" t="s">
        <v>12395</v>
      </c>
      <c r="F1943" t="s">
        <v>12396</v>
      </c>
      <c r="G1943" t="s">
        <v>12397</v>
      </c>
      <c r="H1943" t="e" vm="854">
        <f>_FV(0,"0005087546375056163")</f>
        <v>#VALUE!</v>
      </c>
      <c r="I1943" t="s">
        <v>12398</v>
      </c>
      <c r="J1943" t="s">
        <v>12399</v>
      </c>
      <c r="K1943" t="s">
        <v>12400</v>
      </c>
      <c r="L1943" t="s">
        <v>12393</v>
      </c>
    </row>
    <row r="1944" spans="1:12" x14ac:dyDescent="0.25">
      <c r="A1944">
        <v>368382</v>
      </c>
      <c r="B1944">
        <v>1287788</v>
      </c>
      <c r="D1944">
        <v>0</v>
      </c>
      <c r="F1944">
        <v>2122956</v>
      </c>
      <c r="G1944">
        <v>1287788</v>
      </c>
      <c r="H1944" t="e" vm="16">
        <f>_FV(0,"007")</f>
        <v>#VALUE!</v>
      </c>
      <c r="I1944">
        <v>368382</v>
      </c>
      <c r="J1944" t="s">
        <v>226</v>
      </c>
      <c r="K1944" t="s">
        <v>12401</v>
      </c>
      <c r="L1944" t="e" vm="16">
        <f>_FV(0,"007")</f>
        <v>#VALUE!</v>
      </c>
    </row>
    <row r="1945" spans="1:12" x14ac:dyDescent="0.25">
      <c r="A1945">
        <v>368382</v>
      </c>
      <c r="B1945">
        <v>597259</v>
      </c>
      <c r="D1945">
        <v>0</v>
      </c>
      <c r="E1945" t="s">
        <v>12403</v>
      </c>
      <c r="F1945" t="s">
        <v>12404</v>
      </c>
      <c r="G1945" t="s">
        <v>12405</v>
      </c>
      <c r="H1945" t="s">
        <v>12406</v>
      </c>
      <c r="I1945" t="s">
        <v>12407</v>
      </c>
      <c r="J1945" t="s">
        <v>12402</v>
      </c>
      <c r="K1945" t="s">
        <v>12408</v>
      </c>
      <c r="L1945" t="s">
        <v>12402</v>
      </c>
    </row>
    <row r="1946" spans="1:12" x14ac:dyDescent="0.25">
      <c r="A1946">
        <v>368382</v>
      </c>
      <c r="B1946">
        <v>1287780</v>
      </c>
      <c r="D1946">
        <v>0</v>
      </c>
      <c r="F1946">
        <v>2122948</v>
      </c>
      <c r="G1946">
        <v>368382</v>
      </c>
      <c r="H1946" t="e" vm="56">
        <f>_FV(0,"023")</f>
        <v>#VALUE!</v>
      </c>
      <c r="I1946">
        <v>1287780</v>
      </c>
      <c r="J1946" t="s">
        <v>890</v>
      </c>
      <c r="K1946" t="s">
        <v>12409</v>
      </c>
      <c r="L1946" t="e" vm="56">
        <f>_FV(0,"023")</f>
        <v>#VALUE!</v>
      </c>
    </row>
    <row r="1947" spans="1:12" x14ac:dyDescent="0.25">
      <c r="A1947">
        <v>368717</v>
      </c>
      <c r="B1947">
        <v>368727</v>
      </c>
      <c r="D1947">
        <v>0</v>
      </c>
      <c r="E1947" t="s">
        <v>12411</v>
      </c>
      <c r="F1947" t="s">
        <v>12412</v>
      </c>
      <c r="G1947" t="s">
        <v>12413</v>
      </c>
      <c r="H1947" t="s">
        <v>12414</v>
      </c>
      <c r="I1947" t="s">
        <v>12415</v>
      </c>
      <c r="J1947" t="s">
        <v>12410</v>
      </c>
      <c r="K1947" t="s">
        <v>12416</v>
      </c>
      <c r="L1947" t="s">
        <v>12410</v>
      </c>
    </row>
    <row r="1948" spans="1:12" x14ac:dyDescent="0.25">
      <c r="A1948">
        <v>368717</v>
      </c>
      <c r="B1948">
        <v>368727</v>
      </c>
      <c r="D1948">
        <v>0</v>
      </c>
      <c r="E1948" t="s">
        <v>12418</v>
      </c>
      <c r="F1948" t="s">
        <v>12419</v>
      </c>
      <c r="G1948" t="s">
        <v>12420</v>
      </c>
      <c r="H1948" t="s">
        <v>12421</v>
      </c>
      <c r="I1948" t="s">
        <v>12422</v>
      </c>
      <c r="J1948" t="s">
        <v>12417</v>
      </c>
      <c r="K1948" t="s">
        <v>12423</v>
      </c>
      <c r="L1948" t="s">
        <v>12417</v>
      </c>
    </row>
    <row r="1949" spans="1:12" x14ac:dyDescent="0.25">
      <c r="A1949">
        <v>368717</v>
      </c>
      <c r="B1949">
        <v>475631</v>
      </c>
      <c r="C1949" t="s">
        <v>12425</v>
      </c>
      <c r="D1949">
        <v>0</v>
      </c>
      <c r="E1949" t="s">
        <v>12426</v>
      </c>
      <c r="F1949" t="s">
        <v>12427</v>
      </c>
      <c r="G1949" t="s">
        <v>12428</v>
      </c>
      <c r="H1949" t="s">
        <v>12429</v>
      </c>
      <c r="I1949" t="s">
        <v>12430</v>
      </c>
      <c r="J1949" t="s">
        <v>12431</v>
      </c>
      <c r="K1949" t="s">
        <v>12432</v>
      </c>
      <c r="L1949" t="s">
        <v>12424</v>
      </c>
    </row>
    <row r="1950" spans="1:12" x14ac:dyDescent="0.25">
      <c r="A1950">
        <v>368727</v>
      </c>
      <c r="B1950">
        <v>690247</v>
      </c>
      <c r="D1950" t="s">
        <v>3624</v>
      </c>
      <c r="E1950" t="s">
        <v>12434</v>
      </c>
      <c r="F1950" t="s">
        <v>12435</v>
      </c>
      <c r="G1950" t="s">
        <v>12436</v>
      </c>
      <c r="H1950" t="e" vm="855">
        <f>_FV(0,"02586973479944885")</f>
        <v>#VALUE!</v>
      </c>
      <c r="I1950" t="s">
        <v>12437</v>
      </c>
      <c r="J1950" t="s">
        <v>12438</v>
      </c>
      <c r="K1950" t="s">
        <v>12439</v>
      </c>
      <c r="L1950" t="s">
        <v>12433</v>
      </c>
    </row>
    <row r="1951" spans="1:12" x14ac:dyDescent="0.25">
      <c r="A1951">
        <v>368845</v>
      </c>
      <c r="B1951">
        <v>369881</v>
      </c>
      <c r="D1951">
        <v>0</v>
      </c>
      <c r="E1951" t="s">
        <v>12441</v>
      </c>
      <c r="F1951" t="s">
        <v>12442</v>
      </c>
      <c r="G1951" t="s">
        <v>12443</v>
      </c>
      <c r="H1951" t="e" vm="856">
        <f>_FV(0,"017894638733409293")</f>
        <v>#VALUE!</v>
      </c>
      <c r="I1951" t="s">
        <v>12444</v>
      </c>
      <c r="J1951" t="s">
        <v>9241</v>
      </c>
      <c r="K1951" t="s">
        <v>12445</v>
      </c>
      <c r="L1951" t="s">
        <v>12440</v>
      </c>
    </row>
    <row r="1952" spans="1:12" x14ac:dyDescent="0.25">
      <c r="A1952">
        <v>369019</v>
      </c>
      <c r="B1952">
        <v>369027</v>
      </c>
      <c r="D1952">
        <v>0</v>
      </c>
      <c r="E1952" t="s">
        <v>12446</v>
      </c>
      <c r="F1952" t="s">
        <v>12447</v>
      </c>
      <c r="G1952" t="s">
        <v>12448</v>
      </c>
      <c r="H1952" t="e" vm="131">
        <f>_FV(0,"012")</f>
        <v>#VALUE!</v>
      </c>
      <c r="I1952" t="s">
        <v>12449</v>
      </c>
      <c r="J1952" t="s">
        <v>1939</v>
      </c>
      <c r="K1952" t="s">
        <v>12450</v>
      </c>
      <c r="L1952" t="e" vm="131">
        <f>_FV(0,"012")</f>
        <v>#VALUE!</v>
      </c>
    </row>
    <row r="1953" spans="1:12" x14ac:dyDescent="0.25">
      <c r="A1953">
        <v>369019</v>
      </c>
      <c r="B1953">
        <v>1251880</v>
      </c>
      <c r="D1953">
        <v>0</v>
      </c>
      <c r="E1953" t="s">
        <v>12452</v>
      </c>
      <c r="F1953" t="s">
        <v>12453</v>
      </c>
      <c r="G1953" t="s">
        <v>12454</v>
      </c>
      <c r="H1953" t="s">
        <v>12455</v>
      </c>
      <c r="I1953" t="s">
        <v>12456</v>
      </c>
      <c r="J1953" t="s">
        <v>12457</v>
      </c>
      <c r="K1953" t="s">
        <v>12458</v>
      </c>
      <c r="L1953" t="s">
        <v>12451</v>
      </c>
    </row>
    <row r="1954" spans="1:12" x14ac:dyDescent="0.25">
      <c r="A1954">
        <v>369019</v>
      </c>
      <c r="B1954">
        <v>1251840</v>
      </c>
      <c r="D1954">
        <v>0</v>
      </c>
      <c r="E1954" t="s">
        <v>12460</v>
      </c>
      <c r="F1954" t="s">
        <v>12461</v>
      </c>
      <c r="G1954" t="s">
        <v>12462</v>
      </c>
      <c r="H1954" t="e" vm="857">
        <f>_FV(0,"08690422143207603")</f>
        <v>#VALUE!</v>
      </c>
      <c r="I1954" t="s">
        <v>12463</v>
      </c>
      <c r="J1954" t="s">
        <v>12464</v>
      </c>
      <c r="K1954" t="s">
        <v>12465</v>
      </c>
      <c r="L1954" t="s">
        <v>12459</v>
      </c>
    </row>
    <row r="1955" spans="1:12" x14ac:dyDescent="0.25">
      <c r="A1955">
        <v>369027</v>
      </c>
      <c r="B1955">
        <v>369034</v>
      </c>
      <c r="D1955">
        <v>0</v>
      </c>
      <c r="E1955" t="s">
        <v>12467</v>
      </c>
      <c r="F1955" t="s">
        <v>12468</v>
      </c>
      <c r="G1955" t="s">
        <v>12469</v>
      </c>
      <c r="H1955" t="e" vm="858">
        <f>_FV(0,"0025065989912539666")</f>
        <v>#VALUE!</v>
      </c>
      <c r="I1955" t="s">
        <v>12470</v>
      </c>
      <c r="J1955" t="s">
        <v>12471</v>
      </c>
      <c r="K1955" t="s">
        <v>12472</v>
      </c>
      <c r="L1955" t="s">
        <v>12466</v>
      </c>
    </row>
    <row r="1956" spans="1:12" x14ac:dyDescent="0.25">
      <c r="A1956">
        <v>369027</v>
      </c>
      <c r="B1956">
        <v>1055983</v>
      </c>
      <c r="D1956">
        <v>0</v>
      </c>
      <c r="E1956" t="s">
        <v>12474</v>
      </c>
      <c r="F1956" t="s">
        <v>12475</v>
      </c>
      <c r="G1956" t="s">
        <v>12476</v>
      </c>
      <c r="H1956" t="e" vm="859">
        <f>_FV(0,"0017261223778711147")</f>
        <v>#VALUE!</v>
      </c>
      <c r="I1956" t="s">
        <v>12477</v>
      </c>
      <c r="J1956" t="s">
        <v>12478</v>
      </c>
      <c r="K1956" t="s">
        <v>12479</v>
      </c>
      <c r="L1956" t="s">
        <v>12473</v>
      </c>
    </row>
    <row r="1957" spans="1:12" x14ac:dyDescent="0.25">
      <c r="A1957">
        <v>369034</v>
      </c>
      <c r="B1957">
        <v>1251897</v>
      </c>
      <c r="D1957">
        <v>0</v>
      </c>
      <c r="E1957" t="s">
        <v>12481</v>
      </c>
      <c r="F1957" t="s">
        <v>12482</v>
      </c>
      <c r="G1957" t="s">
        <v>12483</v>
      </c>
      <c r="H1957" t="s">
        <v>12484</v>
      </c>
      <c r="I1957" t="s">
        <v>12485</v>
      </c>
      <c r="J1957" t="s">
        <v>12480</v>
      </c>
      <c r="K1957" t="s">
        <v>12486</v>
      </c>
      <c r="L1957" t="s">
        <v>12480</v>
      </c>
    </row>
    <row r="1958" spans="1:12" x14ac:dyDescent="0.25">
      <c r="A1958">
        <v>369034</v>
      </c>
      <c r="B1958">
        <v>369045</v>
      </c>
      <c r="D1958">
        <v>0</v>
      </c>
      <c r="F1958">
        <v>1352143</v>
      </c>
      <c r="G1958">
        <v>369034</v>
      </c>
      <c r="H1958" t="e" vm="122">
        <f>_FV(0,"017")</f>
        <v>#VALUE!</v>
      </c>
      <c r="I1958">
        <v>369045</v>
      </c>
      <c r="J1958" t="s">
        <v>1814</v>
      </c>
      <c r="K1958" t="s">
        <v>12487</v>
      </c>
      <c r="L1958" t="e" vm="122">
        <f>_FV(0,"017")</f>
        <v>#VALUE!</v>
      </c>
    </row>
    <row r="1959" spans="1:12" x14ac:dyDescent="0.25">
      <c r="A1959">
        <v>369045</v>
      </c>
      <c r="B1959">
        <v>1251914</v>
      </c>
      <c r="D1959">
        <v>0</v>
      </c>
      <c r="E1959" t="s">
        <v>12489</v>
      </c>
      <c r="F1959" t="s">
        <v>12490</v>
      </c>
      <c r="G1959" t="s">
        <v>12491</v>
      </c>
      <c r="H1959" t="e" vm="860">
        <f>_FV(0,"021769378898326853")</f>
        <v>#VALUE!</v>
      </c>
      <c r="I1959" t="s">
        <v>12492</v>
      </c>
      <c r="J1959" t="s">
        <v>12493</v>
      </c>
      <c r="K1959" t="s">
        <v>12494</v>
      </c>
      <c r="L1959" t="s">
        <v>12488</v>
      </c>
    </row>
    <row r="1960" spans="1:12" x14ac:dyDescent="0.25">
      <c r="A1960">
        <v>369340</v>
      </c>
      <c r="B1960">
        <v>1822960</v>
      </c>
      <c r="D1960">
        <v>0</v>
      </c>
      <c r="E1960" t="s">
        <v>12496</v>
      </c>
      <c r="F1960" t="s">
        <v>12497</v>
      </c>
      <c r="G1960" t="s">
        <v>12498</v>
      </c>
      <c r="H1960" t="e" vm="861">
        <f>_FV(0,"0002301420362501129")</f>
        <v>#VALUE!</v>
      </c>
      <c r="I1960" t="s">
        <v>12499</v>
      </c>
      <c r="J1960" t="s">
        <v>12500</v>
      </c>
      <c r="K1960" t="s">
        <v>12501</v>
      </c>
      <c r="L1960" t="s">
        <v>12495</v>
      </c>
    </row>
    <row r="1961" spans="1:12" x14ac:dyDescent="0.25">
      <c r="A1961">
        <v>369340</v>
      </c>
      <c r="B1961">
        <v>1694778</v>
      </c>
      <c r="D1961">
        <v>0</v>
      </c>
      <c r="E1961" t="s">
        <v>12503</v>
      </c>
      <c r="F1961" t="s">
        <v>12504</v>
      </c>
      <c r="G1961" t="s">
        <v>12505</v>
      </c>
      <c r="H1961" t="s">
        <v>12506</v>
      </c>
      <c r="I1961" t="s">
        <v>12507</v>
      </c>
      <c r="J1961" t="s">
        <v>12502</v>
      </c>
      <c r="K1961" t="s">
        <v>12508</v>
      </c>
      <c r="L1961" t="s">
        <v>12502</v>
      </c>
    </row>
    <row r="1962" spans="1:12" x14ac:dyDescent="0.25">
      <c r="A1962">
        <v>369340</v>
      </c>
      <c r="B1962">
        <v>1694778</v>
      </c>
      <c r="D1962">
        <v>0</v>
      </c>
      <c r="E1962" t="s">
        <v>12510</v>
      </c>
      <c r="F1962" t="s">
        <v>12511</v>
      </c>
      <c r="G1962" t="s">
        <v>12512</v>
      </c>
      <c r="H1962" t="s">
        <v>12513</v>
      </c>
      <c r="I1962" t="s">
        <v>12514</v>
      </c>
      <c r="J1962" t="s">
        <v>12515</v>
      </c>
      <c r="K1962" t="s">
        <v>12516</v>
      </c>
      <c r="L1962" t="s">
        <v>12509</v>
      </c>
    </row>
    <row r="1963" spans="1:12" x14ac:dyDescent="0.25">
      <c r="A1963">
        <v>369405</v>
      </c>
      <c r="B1963">
        <v>1058810</v>
      </c>
      <c r="D1963">
        <v>0</v>
      </c>
      <c r="E1963" t="s">
        <v>12518</v>
      </c>
      <c r="F1963" t="s">
        <v>12519</v>
      </c>
      <c r="G1963" t="s">
        <v>12520</v>
      </c>
      <c r="H1963" t="e" vm="862">
        <f>_FV(0,"021730912668517992")</f>
        <v>#VALUE!</v>
      </c>
      <c r="I1963" t="s">
        <v>12521</v>
      </c>
      <c r="J1963" t="s">
        <v>12522</v>
      </c>
      <c r="K1963" t="s">
        <v>12523</v>
      </c>
      <c r="L1963" t="s">
        <v>12517</v>
      </c>
    </row>
    <row r="1964" spans="1:12" x14ac:dyDescent="0.25">
      <c r="A1964">
        <v>369465</v>
      </c>
      <c r="B1964">
        <v>672660</v>
      </c>
      <c r="D1964">
        <v>0</v>
      </c>
      <c r="E1964" t="s">
        <v>12525</v>
      </c>
      <c r="F1964" t="s">
        <v>12526</v>
      </c>
      <c r="G1964" t="s">
        <v>12527</v>
      </c>
      <c r="H1964" t="s">
        <v>12528</v>
      </c>
      <c r="I1964" t="s">
        <v>12529</v>
      </c>
      <c r="J1964" t="s">
        <v>12530</v>
      </c>
      <c r="K1964" t="s">
        <v>12531</v>
      </c>
      <c r="L1964" t="s">
        <v>12524</v>
      </c>
    </row>
    <row r="1965" spans="1:12" x14ac:dyDescent="0.25">
      <c r="A1965">
        <v>369541</v>
      </c>
      <c r="B1965">
        <v>672697</v>
      </c>
      <c r="C1965" t="s">
        <v>12533</v>
      </c>
      <c r="D1965">
        <v>0</v>
      </c>
      <c r="E1965" t="s">
        <v>12534</v>
      </c>
      <c r="F1965" t="s">
        <v>12535</v>
      </c>
      <c r="G1965" t="s">
        <v>12536</v>
      </c>
      <c r="H1965" t="e" vm="863">
        <f>_FV(0,"0011216958175829842")</f>
        <v>#VALUE!</v>
      </c>
      <c r="I1965" t="s">
        <v>12537</v>
      </c>
      <c r="J1965" t="s">
        <v>12538</v>
      </c>
      <c r="K1965" t="s">
        <v>12539</v>
      </c>
      <c r="L1965" t="s">
        <v>12532</v>
      </c>
    </row>
    <row r="1966" spans="1:12" x14ac:dyDescent="0.25">
      <c r="A1966">
        <v>369720</v>
      </c>
      <c r="B1966">
        <v>369797</v>
      </c>
      <c r="D1966">
        <v>0</v>
      </c>
      <c r="E1966" t="s">
        <v>12541</v>
      </c>
      <c r="F1966" t="s">
        <v>12542</v>
      </c>
      <c r="G1966" t="s">
        <v>12543</v>
      </c>
      <c r="H1966" t="s">
        <v>12544</v>
      </c>
      <c r="I1966" t="s">
        <v>12545</v>
      </c>
      <c r="J1966" t="s">
        <v>12540</v>
      </c>
      <c r="K1966" t="s">
        <v>12546</v>
      </c>
      <c r="L1966" t="s">
        <v>12540</v>
      </c>
    </row>
    <row r="1967" spans="1:12" x14ac:dyDescent="0.25">
      <c r="A1967">
        <v>369720</v>
      </c>
      <c r="B1967">
        <v>369797</v>
      </c>
      <c r="D1967">
        <v>0</v>
      </c>
      <c r="E1967" t="s">
        <v>12548</v>
      </c>
      <c r="F1967" t="s">
        <v>12549</v>
      </c>
      <c r="G1967" t="s">
        <v>12550</v>
      </c>
      <c r="H1967" t="s">
        <v>12551</v>
      </c>
      <c r="I1967" t="s">
        <v>12552</v>
      </c>
      <c r="J1967" t="s">
        <v>12547</v>
      </c>
      <c r="K1967" t="s">
        <v>12553</v>
      </c>
      <c r="L1967" t="s">
        <v>12547</v>
      </c>
    </row>
    <row r="1968" spans="1:12" x14ac:dyDescent="0.25">
      <c r="A1968">
        <v>369720</v>
      </c>
      <c r="B1968">
        <v>373525</v>
      </c>
      <c r="D1968">
        <v>0</v>
      </c>
      <c r="E1968" t="s">
        <v>12555</v>
      </c>
      <c r="F1968" t="s">
        <v>12556</v>
      </c>
      <c r="G1968" t="s">
        <v>12557</v>
      </c>
      <c r="H1968" t="s">
        <v>12558</v>
      </c>
      <c r="I1968" t="s">
        <v>12559</v>
      </c>
      <c r="J1968" t="s">
        <v>12560</v>
      </c>
      <c r="K1968" t="s">
        <v>12561</v>
      </c>
      <c r="L1968" t="s">
        <v>12554</v>
      </c>
    </row>
    <row r="1969" spans="1:12" x14ac:dyDescent="0.25">
      <c r="A1969">
        <v>369797</v>
      </c>
      <c r="B1969">
        <v>672870</v>
      </c>
      <c r="C1969" t="s">
        <v>12563</v>
      </c>
      <c r="D1969" t="s">
        <v>12564</v>
      </c>
      <c r="E1969" t="s">
        <v>12565</v>
      </c>
      <c r="F1969" t="s">
        <v>12566</v>
      </c>
      <c r="G1969" t="s">
        <v>12567</v>
      </c>
      <c r="H1969" t="e" vm="864">
        <f>_FV(0,"031272219717554596")</f>
        <v>#VALUE!</v>
      </c>
      <c r="I1969" t="s">
        <v>12568</v>
      </c>
      <c r="J1969" t="s">
        <v>12569</v>
      </c>
      <c r="K1969" t="s">
        <v>12570</v>
      </c>
      <c r="L1969" t="s">
        <v>12562</v>
      </c>
    </row>
    <row r="1970" spans="1:12" x14ac:dyDescent="0.25">
      <c r="A1970">
        <v>369863</v>
      </c>
      <c r="B1970">
        <v>369881</v>
      </c>
      <c r="C1970" t="s">
        <v>12571</v>
      </c>
      <c r="D1970">
        <v>0</v>
      </c>
      <c r="F1970">
        <v>681982</v>
      </c>
      <c r="G1970">
        <v>369881</v>
      </c>
      <c r="H1970" t="e" vm="350">
        <f>_FV(0,"009")</f>
        <v>#VALUE!</v>
      </c>
      <c r="I1970">
        <v>369863</v>
      </c>
      <c r="J1970" t="s">
        <v>2068</v>
      </c>
      <c r="K1970" t="s">
        <v>12572</v>
      </c>
      <c r="L1970" t="e" vm="350">
        <f>_FV(0,"009")</f>
        <v>#VALUE!</v>
      </c>
    </row>
    <row r="1971" spans="1:12" x14ac:dyDescent="0.25">
      <c r="A1971">
        <v>369935</v>
      </c>
      <c r="B1971">
        <v>1177175</v>
      </c>
      <c r="D1971">
        <v>0</v>
      </c>
      <c r="E1971" t="s">
        <v>12574</v>
      </c>
      <c r="F1971" t="s">
        <v>12575</v>
      </c>
      <c r="G1971" t="s">
        <v>12576</v>
      </c>
      <c r="H1971" t="e" vm="865">
        <f>_FV(0,"01352722377973164")</f>
        <v>#VALUE!</v>
      </c>
      <c r="I1971" t="s">
        <v>12577</v>
      </c>
      <c r="J1971" t="s">
        <v>12578</v>
      </c>
      <c r="K1971" t="s">
        <v>12579</v>
      </c>
      <c r="L1971" t="s">
        <v>12573</v>
      </c>
    </row>
    <row r="1972" spans="1:12" x14ac:dyDescent="0.25">
      <c r="A1972">
        <v>369935</v>
      </c>
      <c r="B1972">
        <v>1177168</v>
      </c>
      <c r="D1972">
        <v>0</v>
      </c>
      <c r="F1972">
        <v>1259494</v>
      </c>
      <c r="G1972">
        <v>369935</v>
      </c>
      <c r="H1972" t="s">
        <v>12580</v>
      </c>
      <c r="I1972">
        <v>1177168</v>
      </c>
      <c r="J1972" t="s">
        <v>12580</v>
      </c>
      <c r="K1972" t="s">
        <v>12581</v>
      </c>
      <c r="L1972" t="s">
        <v>12580</v>
      </c>
    </row>
    <row r="1973" spans="1:12" x14ac:dyDescent="0.25">
      <c r="A1973">
        <v>369942</v>
      </c>
      <c r="B1973">
        <v>1302231</v>
      </c>
      <c r="D1973" t="s">
        <v>2086</v>
      </c>
      <c r="E1973" t="s">
        <v>12583</v>
      </c>
      <c r="F1973" t="s">
        <v>12584</v>
      </c>
      <c r="G1973" t="s">
        <v>12585</v>
      </c>
      <c r="H1973" t="e" vm="866">
        <f>_FV(0,"10277768664703767")</f>
        <v>#VALUE!</v>
      </c>
      <c r="I1973" t="s">
        <v>12586</v>
      </c>
      <c r="J1973" t="s">
        <v>12587</v>
      </c>
      <c r="K1973" t="s">
        <v>12588</v>
      </c>
      <c r="L1973" t="s">
        <v>12582</v>
      </c>
    </row>
    <row r="1974" spans="1:12" x14ac:dyDescent="0.25">
      <c r="A1974">
        <v>369942</v>
      </c>
      <c r="B1974">
        <v>672915</v>
      </c>
      <c r="D1974">
        <v>0</v>
      </c>
      <c r="E1974" t="s">
        <v>12590</v>
      </c>
      <c r="F1974" t="s">
        <v>12591</v>
      </c>
      <c r="G1974" t="s">
        <v>12592</v>
      </c>
      <c r="H1974" t="e" vm="867">
        <f>_FV(0,"029089632698636268")</f>
        <v>#VALUE!</v>
      </c>
      <c r="I1974" t="s">
        <v>12593</v>
      </c>
      <c r="J1974" t="s">
        <v>12594</v>
      </c>
      <c r="K1974" t="s">
        <v>12595</v>
      </c>
      <c r="L1974" t="s">
        <v>12589</v>
      </c>
    </row>
    <row r="1975" spans="1:12" x14ac:dyDescent="0.25">
      <c r="A1975">
        <v>371616</v>
      </c>
      <c r="B1975">
        <v>371650</v>
      </c>
      <c r="D1975">
        <v>0</v>
      </c>
      <c r="E1975" t="s">
        <v>12597</v>
      </c>
      <c r="F1975" t="s">
        <v>12598</v>
      </c>
      <c r="G1975" t="s">
        <v>12599</v>
      </c>
      <c r="H1975" t="s">
        <v>12600</v>
      </c>
      <c r="I1975" t="s">
        <v>12601</v>
      </c>
      <c r="J1975" t="s">
        <v>12596</v>
      </c>
      <c r="K1975" t="s">
        <v>12602</v>
      </c>
      <c r="L1975" t="s">
        <v>12596</v>
      </c>
    </row>
    <row r="1976" spans="1:12" x14ac:dyDescent="0.25">
      <c r="A1976">
        <v>371616</v>
      </c>
      <c r="B1976">
        <v>371626</v>
      </c>
      <c r="D1976">
        <v>0</v>
      </c>
      <c r="E1976" t="s">
        <v>12604</v>
      </c>
      <c r="F1976" t="s">
        <v>12605</v>
      </c>
      <c r="G1976" t="s">
        <v>12606</v>
      </c>
      <c r="H1976" t="s">
        <v>12607</v>
      </c>
      <c r="I1976" t="s">
        <v>12608</v>
      </c>
      <c r="J1976" t="s">
        <v>12609</v>
      </c>
      <c r="K1976" t="s">
        <v>12610</v>
      </c>
      <c r="L1976" t="s">
        <v>12603</v>
      </c>
    </row>
    <row r="1977" spans="1:12" x14ac:dyDescent="0.25">
      <c r="A1977">
        <v>371616</v>
      </c>
      <c r="B1977">
        <v>824789</v>
      </c>
      <c r="D1977">
        <v>0</v>
      </c>
      <c r="E1977" t="s">
        <v>12612</v>
      </c>
      <c r="F1977" t="s">
        <v>12613</v>
      </c>
      <c r="G1977" t="s">
        <v>12614</v>
      </c>
      <c r="H1977" t="s">
        <v>12615</v>
      </c>
      <c r="I1977" t="s">
        <v>12616</v>
      </c>
      <c r="J1977" t="s">
        <v>12611</v>
      </c>
      <c r="K1977" t="s">
        <v>12617</v>
      </c>
      <c r="L1977" t="s">
        <v>12611</v>
      </c>
    </row>
    <row r="1978" spans="1:12" x14ac:dyDescent="0.25">
      <c r="A1978">
        <v>371626</v>
      </c>
      <c r="B1978">
        <v>371674</v>
      </c>
      <c r="D1978">
        <v>0</v>
      </c>
      <c r="E1978" t="s">
        <v>12619</v>
      </c>
      <c r="F1978" t="s">
        <v>12620</v>
      </c>
      <c r="G1978" t="s">
        <v>12621</v>
      </c>
      <c r="H1978" t="e" vm="868">
        <f>_FV(0,"051997899605317345")</f>
        <v>#VALUE!</v>
      </c>
      <c r="I1978" t="s">
        <v>12622</v>
      </c>
      <c r="J1978" t="s">
        <v>12623</v>
      </c>
      <c r="K1978" t="s">
        <v>12624</v>
      </c>
      <c r="L1978" t="s">
        <v>12618</v>
      </c>
    </row>
    <row r="1979" spans="1:12" x14ac:dyDescent="0.25">
      <c r="A1979">
        <v>371626</v>
      </c>
      <c r="B1979">
        <v>824789</v>
      </c>
      <c r="D1979">
        <v>0</v>
      </c>
      <c r="E1979" t="s">
        <v>12626</v>
      </c>
      <c r="F1979" t="s">
        <v>12627</v>
      </c>
      <c r="G1979" t="s">
        <v>12628</v>
      </c>
      <c r="H1979" t="s">
        <v>12629</v>
      </c>
      <c r="I1979" t="s">
        <v>12630</v>
      </c>
      <c r="J1979" t="s">
        <v>12625</v>
      </c>
      <c r="K1979" t="s">
        <v>12631</v>
      </c>
      <c r="L1979" t="s">
        <v>12625</v>
      </c>
    </row>
    <row r="1980" spans="1:12" x14ac:dyDescent="0.25">
      <c r="A1980">
        <v>371650</v>
      </c>
      <c r="B1980">
        <v>1388976</v>
      </c>
      <c r="D1980">
        <v>0</v>
      </c>
      <c r="E1980" t="s">
        <v>12633</v>
      </c>
      <c r="F1980" t="s">
        <v>12634</v>
      </c>
      <c r="G1980" t="s">
        <v>12635</v>
      </c>
      <c r="H1980" t="e" vm="869">
        <f>_FV(0,"021715858897149488")</f>
        <v>#VALUE!</v>
      </c>
      <c r="I1980" t="s">
        <v>12636</v>
      </c>
      <c r="J1980" t="s">
        <v>12637</v>
      </c>
      <c r="K1980" t="s">
        <v>12638</v>
      </c>
      <c r="L1980" t="s">
        <v>12632</v>
      </c>
    </row>
    <row r="1981" spans="1:12" x14ac:dyDescent="0.25">
      <c r="A1981">
        <v>371650</v>
      </c>
      <c r="B1981">
        <v>371674</v>
      </c>
      <c r="D1981">
        <v>0</v>
      </c>
      <c r="E1981" t="s">
        <v>12640</v>
      </c>
      <c r="F1981" t="s">
        <v>12641</v>
      </c>
      <c r="G1981" t="s">
        <v>12642</v>
      </c>
      <c r="H1981" t="e" vm="870">
        <f>_FV(0,"019524056609802616")</f>
        <v>#VALUE!</v>
      </c>
      <c r="I1981" t="s">
        <v>12643</v>
      </c>
      <c r="J1981" t="s">
        <v>12644</v>
      </c>
      <c r="K1981" t="s">
        <v>12645</v>
      </c>
      <c r="L1981" t="s">
        <v>12639</v>
      </c>
    </row>
    <row r="1982" spans="1:12" x14ac:dyDescent="0.25">
      <c r="A1982">
        <v>371674</v>
      </c>
      <c r="B1982">
        <v>1388976</v>
      </c>
      <c r="D1982">
        <v>0</v>
      </c>
      <c r="E1982" t="s">
        <v>12647</v>
      </c>
      <c r="F1982" t="s">
        <v>12648</v>
      </c>
      <c r="G1982" t="s">
        <v>12649</v>
      </c>
      <c r="H1982" t="e" vm="871">
        <f>_FV(0,"0212950851078272")</f>
        <v>#VALUE!</v>
      </c>
      <c r="I1982" t="s">
        <v>12650</v>
      </c>
      <c r="J1982" t="s">
        <v>12651</v>
      </c>
      <c r="K1982" t="s">
        <v>12652</v>
      </c>
      <c r="L1982" t="s">
        <v>12646</v>
      </c>
    </row>
    <row r="1983" spans="1:12" x14ac:dyDescent="0.25">
      <c r="A1983">
        <v>371772</v>
      </c>
      <c r="B1983">
        <v>371794</v>
      </c>
      <c r="D1983">
        <v>0</v>
      </c>
      <c r="E1983" t="s">
        <v>12653</v>
      </c>
      <c r="F1983" t="s">
        <v>12654</v>
      </c>
      <c r="G1983" t="s">
        <v>12655</v>
      </c>
      <c r="H1983" t="s">
        <v>12656</v>
      </c>
      <c r="I1983" t="s">
        <v>12657</v>
      </c>
      <c r="J1983" t="s">
        <v>5058</v>
      </c>
      <c r="K1983" t="s">
        <v>12658</v>
      </c>
      <c r="L1983" t="s">
        <v>5058</v>
      </c>
    </row>
    <row r="1984" spans="1:12" x14ac:dyDescent="0.25">
      <c r="A1984">
        <v>371772</v>
      </c>
      <c r="B1984">
        <v>371863</v>
      </c>
      <c r="D1984">
        <v>0</v>
      </c>
      <c r="F1984">
        <v>382572</v>
      </c>
      <c r="G1984">
        <v>371772</v>
      </c>
      <c r="H1984" t="e" vm="355">
        <f>_FV(0,"048")</f>
        <v>#VALUE!</v>
      </c>
      <c r="I1984">
        <v>371863</v>
      </c>
      <c r="J1984" t="s">
        <v>3758</v>
      </c>
      <c r="K1984" t="s">
        <v>12659</v>
      </c>
      <c r="L1984" t="e" vm="355">
        <f>_FV(0,"048")</f>
        <v>#VALUE!</v>
      </c>
    </row>
    <row r="1985" spans="1:12" x14ac:dyDescent="0.25">
      <c r="A1985">
        <v>371772</v>
      </c>
      <c r="B1985">
        <v>1358098</v>
      </c>
      <c r="D1985">
        <v>0</v>
      </c>
      <c r="E1985" t="s">
        <v>12661</v>
      </c>
      <c r="F1985" t="s">
        <v>12662</v>
      </c>
      <c r="G1985" t="s">
        <v>12663</v>
      </c>
      <c r="H1985" t="s">
        <v>12664</v>
      </c>
      <c r="I1985" t="s">
        <v>12665</v>
      </c>
      <c r="J1985" t="s">
        <v>12660</v>
      </c>
      <c r="K1985" t="s">
        <v>12666</v>
      </c>
      <c r="L1985" t="s">
        <v>12660</v>
      </c>
    </row>
    <row r="1986" spans="1:12" x14ac:dyDescent="0.25">
      <c r="A1986">
        <v>371794</v>
      </c>
      <c r="B1986">
        <v>371880</v>
      </c>
      <c r="D1986">
        <v>0</v>
      </c>
      <c r="F1986">
        <v>382604</v>
      </c>
      <c r="G1986">
        <v>371880</v>
      </c>
      <c r="H1986" t="s">
        <v>3094</v>
      </c>
      <c r="I1986">
        <v>371794</v>
      </c>
      <c r="J1986" t="s">
        <v>3094</v>
      </c>
      <c r="K1986" t="s">
        <v>12667</v>
      </c>
      <c r="L1986" t="s">
        <v>3094</v>
      </c>
    </row>
    <row r="1987" spans="1:12" x14ac:dyDescent="0.25">
      <c r="A1987">
        <v>371794</v>
      </c>
      <c r="B1987">
        <v>1358098</v>
      </c>
      <c r="D1987">
        <v>0</v>
      </c>
      <c r="E1987" t="s">
        <v>12669</v>
      </c>
      <c r="F1987" t="s">
        <v>12670</v>
      </c>
      <c r="G1987" t="s">
        <v>12671</v>
      </c>
      <c r="H1987" t="s">
        <v>12672</v>
      </c>
      <c r="I1987" t="s">
        <v>12673</v>
      </c>
      <c r="J1987" t="s">
        <v>12668</v>
      </c>
      <c r="K1987" t="s">
        <v>12674</v>
      </c>
      <c r="L1987" t="s">
        <v>12668</v>
      </c>
    </row>
    <row r="1988" spans="1:12" x14ac:dyDescent="0.25">
      <c r="A1988">
        <v>371863</v>
      </c>
      <c r="B1988">
        <v>1571849</v>
      </c>
      <c r="D1988">
        <v>0</v>
      </c>
      <c r="E1988" t="s">
        <v>12676</v>
      </c>
      <c r="F1988" t="s">
        <v>12677</v>
      </c>
      <c r="G1988" t="s">
        <v>12678</v>
      </c>
      <c r="H1988" t="s">
        <v>12679</v>
      </c>
      <c r="I1988" t="s">
        <v>12680</v>
      </c>
      <c r="J1988" t="s">
        <v>12675</v>
      </c>
      <c r="K1988" t="s">
        <v>12681</v>
      </c>
      <c r="L1988" t="s">
        <v>12675</v>
      </c>
    </row>
    <row r="1989" spans="1:12" x14ac:dyDescent="0.25">
      <c r="A1989">
        <v>371863</v>
      </c>
      <c r="B1989">
        <v>371880</v>
      </c>
      <c r="D1989">
        <v>0</v>
      </c>
      <c r="E1989" t="s">
        <v>12683</v>
      </c>
      <c r="F1989" t="s">
        <v>12684</v>
      </c>
      <c r="G1989" t="s">
        <v>12685</v>
      </c>
      <c r="H1989" t="e" vm="872">
        <f>_FV(0,"045473075403297425")</f>
        <v>#VALUE!</v>
      </c>
      <c r="I1989" t="s">
        <v>12686</v>
      </c>
      <c r="J1989" t="s">
        <v>12687</v>
      </c>
      <c r="K1989" t="s">
        <v>12688</v>
      </c>
      <c r="L1989" t="s">
        <v>12682</v>
      </c>
    </row>
    <row r="1990" spans="1:12" x14ac:dyDescent="0.25">
      <c r="A1990">
        <v>371880</v>
      </c>
      <c r="B1990">
        <v>1571849</v>
      </c>
      <c r="D1990">
        <v>0</v>
      </c>
      <c r="E1990" t="s">
        <v>12690</v>
      </c>
      <c r="F1990" t="s">
        <v>12691</v>
      </c>
      <c r="G1990" t="s">
        <v>12692</v>
      </c>
      <c r="H1990" t="s">
        <v>12693</v>
      </c>
      <c r="I1990" t="s">
        <v>12694</v>
      </c>
      <c r="J1990" t="s">
        <v>12689</v>
      </c>
      <c r="K1990" t="s">
        <v>12695</v>
      </c>
      <c r="L1990" t="s">
        <v>12689</v>
      </c>
    </row>
    <row r="1991" spans="1:12" x14ac:dyDescent="0.25">
      <c r="A1991">
        <v>372460</v>
      </c>
      <c r="B1991">
        <v>458700</v>
      </c>
      <c r="D1991" t="s">
        <v>1494</v>
      </c>
      <c r="E1991" t="s">
        <v>12697</v>
      </c>
      <c r="F1991" t="s">
        <v>12698</v>
      </c>
      <c r="G1991" t="s">
        <v>12699</v>
      </c>
      <c r="H1991" t="s">
        <v>12700</v>
      </c>
      <c r="I1991" t="s">
        <v>12701</v>
      </c>
      <c r="J1991" t="s">
        <v>12702</v>
      </c>
      <c r="K1991" t="s">
        <v>12703</v>
      </c>
      <c r="L1991" t="s">
        <v>12696</v>
      </c>
    </row>
    <row r="1992" spans="1:12" x14ac:dyDescent="0.25">
      <c r="A1992">
        <v>372460</v>
      </c>
      <c r="B1992">
        <v>1296649</v>
      </c>
      <c r="D1992" t="s">
        <v>9074</v>
      </c>
      <c r="E1992" t="s">
        <v>12705</v>
      </c>
      <c r="F1992" t="s">
        <v>12706</v>
      </c>
      <c r="G1992" t="s">
        <v>12707</v>
      </c>
      <c r="H1992" t="e" vm="873">
        <f>_FV(0,"015624249592415259")</f>
        <v>#VALUE!</v>
      </c>
      <c r="I1992" t="s">
        <v>12708</v>
      </c>
      <c r="J1992" t="s">
        <v>12709</v>
      </c>
      <c r="K1992" t="s">
        <v>12710</v>
      </c>
      <c r="L1992" t="s">
        <v>12704</v>
      </c>
    </row>
    <row r="1993" spans="1:12" x14ac:dyDescent="0.25">
      <c r="A1993">
        <v>372460</v>
      </c>
      <c r="B1993">
        <v>1296759</v>
      </c>
      <c r="D1993" t="s">
        <v>1852</v>
      </c>
      <c r="E1993" t="s">
        <v>12712</v>
      </c>
      <c r="F1993" t="s">
        <v>12713</v>
      </c>
      <c r="G1993" t="s">
        <v>12714</v>
      </c>
      <c r="H1993" t="e" vm="874">
        <f>_FV(0,"026801352826768293")</f>
        <v>#VALUE!</v>
      </c>
      <c r="I1993" t="s">
        <v>12715</v>
      </c>
      <c r="J1993" t="s">
        <v>12716</v>
      </c>
      <c r="K1993" t="s">
        <v>12717</v>
      </c>
      <c r="L1993" t="s">
        <v>12711</v>
      </c>
    </row>
    <row r="1994" spans="1:12" x14ac:dyDescent="0.25">
      <c r="A1994">
        <v>373446</v>
      </c>
      <c r="B1994">
        <v>373466</v>
      </c>
      <c r="D1994">
        <v>0</v>
      </c>
      <c r="E1994" t="s">
        <v>12719</v>
      </c>
      <c r="F1994" t="s">
        <v>12720</v>
      </c>
      <c r="G1994" t="s">
        <v>12721</v>
      </c>
      <c r="H1994" t="s">
        <v>12722</v>
      </c>
      <c r="I1994" t="s">
        <v>12723</v>
      </c>
      <c r="J1994" t="s">
        <v>12718</v>
      </c>
      <c r="K1994" t="s">
        <v>12724</v>
      </c>
      <c r="L1994" t="s">
        <v>12718</v>
      </c>
    </row>
    <row r="1995" spans="1:12" x14ac:dyDescent="0.25">
      <c r="A1995">
        <v>373446</v>
      </c>
      <c r="B1995">
        <v>373478</v>
      </c>
      <c r="D1995">
        <v>0</v>
      </c>
      <c r="E1995" t="s">
        <v>12726</v>
      </c>
      <c r="F1995" t="s">
        <v>12727</v>
      </c>
      <c r="G1995" t="s">
        <v>12728</v>
      </c>
      <c r="H1995" t="e" vm="875">
        <f>_FV(0,"04305411104732653")</f>
        <v>#VALUE!</v>
      </c>
      <c r="I1995" t="s">
        <v>12729</v>
      </c>
      <c r="J1995" t="s">
        <v>12730</v>
      </c>
      <c r="K1995" t="s">
        <v>12731</v>
      </c>
      <c r="L1995" t="s">
        <v>12725</v>
      </c>
    </row>
    <row r="1996" spans="1:12" x14ac:dyDescent="0.25">
      <c r="A1996">
        <v>373446</v>
      </c>
      <c r="B1996">
        <v>1169472</v>
      </c>
      <c r="D1996">
        <v>0</v>
      </c>
      <c r="E1996" t="s">
        <v>12733</v>
      </c>
      <c r="F1996" t="s">
        <v>12734</v>
      </c>
      <c r="G1996" t="s">
        <v>12735</v>
      </c>
      <c r="H1996" t="e" vm="876">
        <f>_FV(0,"007497742613976657")</f>
        <v>#VALUE!</v>
      </c>
      <c r="I1996" t="s">
        <v>12736</v>
      </c>
      <c r="J1996" t="s">
        <v>12737</v>
      </c>
      <c r="K1996" t="s">
        <v>12738</v>
      </c>
      <c r="L1996" t="s">
        <v>12732</v>
      </c>
    </row>
    <row r="1997" spans="1:12" x14ac:dyDescent="0.25">
      <c r="A1997">
        <v>373456</v>
      </c>
      <c r="B1997">
        <v>373525</v>
      </c>
      <c r="D1997">
        <v>0</v>
      </c>
      <c r="E1997" t="s">
        <v>12740</v>
      </c>
      <c r="F1997" t="s">
        <v>12741</v>
      </c>
      <c r="G1997" t="s">
        <v>12742</v>
      </c>
      <c r="H1997" t="s">
        <v>12743</v>
      </c>
      <c r="I1997" t="s">
        <v>12744</v>
      </c>
      <c r="J1997" t="s">
        <v>12739</v>
      </c>
      <c r="K1997" t="s">
        <v>12745</v>
      </c>
      <c r="L1997" t="s">
        <v>12739</v>
      </c>
    </row>
    <row r="1998" spans="1:12" x14ac:dyDescent="0.25">
      <c r="A1998">
        <v>373456</v>
      </c>
      <c r="B1998">
        <v>373478</v>
      </c>
      <c r="D1998">
        <v>0</v>
      </c>
      <c r="E1998" t="s">
        <v>12747</v>
      </c>
      <c r="F1998" t="s">
        <v>12748</v>
      </c>
      <c r="G1998" t="s">
        <v>12749</v>
      </c>
      <c r="H1998" t="s">
        <v>12750</v>
      </c>
      <c r="I1998" t="s">
        <v>12751</v>
      </c>
      <c r="J1998" t="s">
        <v>12752</v>
      </c>
      <c r="K1998" t="s">
        <v>12753</v>
      </c>
      <c r="L1998" t="s">
        <v>12746</v>
      </c>
    </row>
    <row r="1999" spans="1:12" x14ac:dyDescent="0.25">
      <c r="A1999">
        <v>373456</v>
      </c>
      <c r="B1999">
        <v>1223192</v>
      </c>
      <c r="D1999" t="s">
        <v>12755</v>
      </c>
      <c r="E1999" t="s">
        <v>12756</v>
      </c>
      <c r="F1999" t="s">
        <v>12757</v>
      </c>
      <c r="G1999" t="s">
        <v>12758</v>
      </c>
      <c r="H1999" t="e" vm="877">
        <f>_FV(0,"027581401815691763")</f>
        <v>#VALUE!</v>
      </c>
      <c r="I1999" t="s">
        <v>12759</v>
      </c>
      <c r="J1999" t="s">
        <v>12760</v>
      </c>
      <c r="K1999" t="s">
        <v>12761</v>
      </c>
      <c r="L1999" t="s">
        <v>12754</v>
      </c>
    </row>
    <row r="2000" spans="1:12" x14ac:dyDescent="0.25">
      <c r="A2000">
        <v>373466</v>
      </c>
      <c r="B2000">
        <v>373525</v>
      </c>
      <c r="D2000">
        <v>0</v>
      </c>
      <c r="F2000">
        <v>383927</v>
      </c>
      <c r="G2000">
        <v>373525</v>
      </c>
      <c r="H2000" t="s">
        <v>3378</v>
      </c>
      <c r="I2000">
        <v>373466</v>
      </c>
      <c r="J2000" t="s">
        <v>3378</v>
      </c>
      <c r="K2000" t="s">
        <v>12762</v>
      </c>
      <c r="L2000" t="s">
        <v>3378</v>
      </c>
    </row>
    <row r="2001" spans="1:12" x14ac:dyDescent="0.25">
      <c r="A2001">
        <v>373466</v>
      </c>
      <c r="B2001">
        <v>1169472</v>
      </c>
      <c r="D2001">
        <v>0</v>
      </c>
      <c r="E2001" t="s">
        <v>12764</v>
      </c>
      <c r="F2001" t="s">
        <v>12765</v>
      </c>
      <c r="G2001" t="s">
        <v>12766</v>
      </c>
      <c r="H2001" t="e" vm="878">
        <f>_FV(0,"04539644720495436")</f>
        <v>#VALUE!</v>
      </c>
      <c r="I2001" t="s">
        <v>12767</v>
      </c>
      <c r="J2001" t="s">
        <v>12768</v>
      </c>
      <c r="K2001" t="s">
        <v>12769</v>
      </c>
      <c r="L2001" t="s">
        <v>12763</v>
      </c>
    </row>
    <row r="2002" spans="1:12" x14ac:dyDescent="0.25">
      <c r="A2002">
        <v>373478</v>
      </c>
      <c r="B2002">
        <v>1223192</v>
      </c>
      <c r="D2002">
        <v>0</v>
      </c>
      <c r="F2002">
        <v>1315914</v>
      </c>
      <c r="G2002">
        <v>373478</v>
      </c>
      <c r="H2002" t="e" vm="879">
        <f>_FV(0,"692")</f>
        <v>#VALUE!</v>
      </c>
      <c r="I2002">
        <v>1223192</v>
      </c>
      <c r="J2002" t="s">
        <v>12770</v>
      </c>
      <c r="K2002" t="s">
        <v>12771</v>
      </c>
      <c r="L2002" t="e" vm="879">
        <f>_FV(0,"692")</f>
        <v>#VALUE!</v>
      </c>
    </row>
    <row r="2003" spans="1:12" x14ac:dyDescent="0.25">
      <c r="A2003">
        <v>373598</v>
      </c>
      <c r="B2003">
        <v>1092178</v>
      </c>
      <c r="D2003">
        <v>0</v>
      </c>
      <c r="E2003" t="s">
        <v>12773</v>
      </c>
      <c r="F2003" t="s">
        <v>12774</v>
      </c>
      <c r="G2003" t="s">
        <v>12775</v>
      </c>
      <c r="H2003" t="e" vm="880">
        <f>_FV(0,"011564242794088493")</f>
        <v>#VALUE!</v>
      </c>
      <c r="I2003" t="s">
        <v>12776</v>
      </c>
      <c r="J2003" t="s">
        <v>12777</v>
      </c>
      <c r="K2003" t="s">
        <v>12778</v>
      </c>
      <c r="L2003" t="s">
        <v>12772</v>
      </c>
    </row>
    <row r="2004" spans="1:12" x14ac:dyDescent="0.25">
      <c r="A2004">
        <v>373598</v>
      </c>
      <c r="B2004">
        <v>1092001</v>
      </c>
      <c r="D2004">
        <v>0</v>
      </c>
      <c r="E2004" t="s">
        <v>12780</v>
      </c>
      <c r="F2004" t="s">
        <v>12781</v>
      </c>
      <c r="G2004" t="s">
        <v>12782</v>
      </c>
      <c r="H2004" t="e" vm="881">
        <f>_FV(0,"06304409478914552")</f>
        <v>#VALUE!</v>
      </c>
      <c r="I2004" t="s">
        <v>12783</v>
      </c>
      <c r="J2004" t="s">
        <v>12784</v>
      </c>
      <c r="K2004" t="s">
        <v>12785</v>
      </c>
      <c r="L2004" t="s">
        <v>12779</v>
      </c>
    </row>
    <row r="2005" spans="1:12" x14ac:dyDescent="0.25">
      <c r="A2005">
        <v>373598</v>
      </c>
      <c r="B2005">
        <v>672870</v>
      </c>
      <c r="D2005">
        <v>0</v>
      </c>
      <c r="F2005">
        <v>1157181</v>
      </c>
      <c r="G2005">
        <v>373598</v>
      </c>
      <c r="H2005" t="s">
        <v>4536</v>
      </c>
      <c r="I2005">
        <v>672870</v>
      </c>
      <c r="J2005" t="s">
        <v>4536</v>
      </c>
      <c r="K2005" t="s">
        <v>12786</v>
      </c>
      <c r="L2005" t="s">
        <v>4536</v>
      </c>
    </row>
    <row r="2006" spans="1:12" x14ac:dyDescent="0.25">
      <c r="A2006">
        <v>374620</v>
      </c>
      <c r="B2006">
        <v>374652</v>
      </c>
      <c r="D2006">
        <v>0</v>
      </c>
      <c r="E2006" t="s">
        <v>12788</v>
      </c>
      <c r="F2006" t="s">
        <v>12789</v>
      </c>
      <c r="G2006" t="s">
        <v>12790</v>
      </c>
      <c r="H2006" t="e" vm="882">
        <f>_FV(0,"012367236447222749")</f>
        <v>#VALUE!</v>
      </c>
      <c r="I2006" t="s">
        <v>12791</v>
      </c>
      <c r="J2006" t="s">
        <v>12792</v>
      </c>
      <c r="K2006" t="s">
        <v>12793</v>
      </c>
      <c r="L2006" t="s">
        <v>12787</v>
      </c>
    </row>
    <row r="2007" spans="1:12" x14ac:dyDescent="0.25">
      <c r="A2007">
        <v>374620</v>
      </c>
      <c r="B2007">
        <v>374652</v>
      </c>
      <c r="D2007">
        <v>0</v>
      </c>
      <c r="E2007" t="s">
        <v>12795</v>
      </c>
      <c r="F2007" t="s">
        <v>12796</v>
      </c>
      <c r="G2007" t="s">
        <v>12797</v>
      </c>
      <c r="H2007" t="e" vm="883">
        <f>_FV(0,"012042966238217118")</f>
        <v>#VALUE!</v>
      </c>
      <c r="I2007" t="s">
        <v>12798</v>
      </c>
      <c r="J2007" t="s">
        <v>12799</v>
      </c>
      <c r="K2007" t="s">
        <v>12800</v>
      </c>
      <c r="L2007" t="s">
        <v>12794</v>
      </c>
    </row>
    <row r="2008" spans="1:12" x14ac:dyDescent="0.25">
      <c r="A2008">
        <v>374620</v>
      </c>
      <c r="B2008">
        <v>1571858</v>
      </c>
      <c r="D2008">
        <v>0</v>
      </c>
      <c r="E2008" t="s">
        <v>12802</v>
      </c>
      <c r="F2008" t="s">
        <v>12803</v>
      </c>
      <c r="G2008" t="s">
        <v>12804</v>
      </c>
      <c r="H2008" t="s">
        <v>12805</v>
      </c>
      <c r="I2008" t="s">
        <v>12806</v>
      </c>
      <c r="J2008" t="s">
        <v>12807</v>
      </c>
      <c r="K2008" t="s">
        <v>12808</v>
      </c>
      <c r="L2008" t="s">
        <v>12801</v>
      </c>
    </row>
    <row r="2009" spans="1:12" x14ac:dyDescent="0.25">
      <c r="A2009">
        <v>374652</v>
      </c>
      <c r="B2009">
        <v>599379</v>
      </c>
      <c r="D2009" t="s">
        <v>12810</v>
      </c>
      <c r="E2009" t="s">
        <v>12811</v>
      </c>
      <c r="F2009" t="s">
        <v>12812</v>
      </c>
      <c r="G2009" t="s">
        <v>12813</v>
      </c>
      <c r="H2009" t="s">
        <v>12814</v>
      </c>
      <c r="I2009" t="s">
        <v>12815</v>
      </c>
      <c r="J2009" t="s">
        <v>12816</v>
      </c>
      <c r="K2009" t="s">
        <v>12817</v>
      </c>
      <c r="L2009" t="s">
        <v>12809</v>
      </c>
    </row>
    <row r="2010" spans="1:12" x14ac:dyDescent="0.25">
      <c r="A2010">
        <v>374676</v>
      </c>
      <c r="B2010">
        <v>1269059</v>
      </c>
      <c r="D2010" t="s">
        <v>1990</v>
      </c>
      <c r="E2010" t="s">
        <v>12819</v>
      </c>
      <c r="F2010" t="s">
        <v>12820</v>
      </c>
      <c r="G2010" t="s">
        <v>12821</v>
      </c>
      <c r="H2010" t="e" vm="884">
        <f>_FV(0,"05619642814914771")</f>
        <v>#VALUE!</v>
      </c>
      <c r="I2010" t="s">
        <v>12822</v>
      </c>
      <c r="J2010" t="s">
        <v>12823</v>
      </c>
      <c r="K2010" t="s">
        <v>12824</v>
      </c>
      <c r="L2010" t="s">
        <v>12818</v>
      </c>
    </row>
    <row r="2011" spans="1:12" x14ac:dyDescent="0.25">
      <c r="A2011">
        <v>374676</v>
      </c>
      <c r="B2011">
        <v>1269083</v>
      </c>
      <c r="D2011" t="s">
        <v>2086</v>
      </c>
      <c r="E2011" t="s">
        <v>12826</v>
      </c>
      <c r="F2011" t="s">
        <v>12827</v>
      </c>
      <c r="G2011" t="s">
        <v>12828</v>
      </c>
      <c r="H2011" t="e" vm="885">
        <f>_FV(0,"06515010466307139")</f>
        <v>#VALUE!</v>
      </c>
      <c r="I2011" t="s">
        <v>12829</v>
      </c>
      <c r="J2011" t="s">
        <v>12830</v>
      </c>
      <c r="K2011" t="s">
        <v>12831</v>
      </c>
      <c r="L2011" t="s">
        <v>12825</v>
      </c>
    </row>
    <row r="2012" spans="1:12" x14ac:dyDescent="0.25">
      <c r="A2012">
        <v>375163</v>
      </c>
      <c r="B2012">
        <v>375235</v>
      </c>
      <c r="D2012">
        <v>0</v>
      </c>
      <c r="E2012" t="s">
        <v>12833</v>
      </c>
      <c r="F2012" t="s">
        <v>12834</v>
      </c>
      <c r="G2012" t="s">
        <v>12835</v>
      </c>
      <c r="H2012" t="e" vm="886">
        <f>_FV(0,"017437869427076497")</f>
        <v>#VALUE!</v>
      </c>
      <c r="I2012" t="s">
        <v>12836</v>
      </c>
      <c r="J2012" t="s">
        <v>12837</v>
      </c>
      <c r="K2012" t="s">
        <v>12838</v>
      </c>
      <c r="L2012" t="s">
        <v>12832</v>
      </c>
    </row>
    <row r="2013" spans="1:12" x14ac:dyDescent="0.25">
      <c r="A2013">
        <v>375163</v>
      </c>
      <c r="B2013">
        <v>375235</v>
      </c>
      <c r="D2013">
        <v>0</v>
      </c>
      <c r="E2013" t="s">
        <v>12840</v>
      </c>
      <c r="F2013" t="s">
        <v>12841</v>
      </c>
      <c r="G2013" t="s">
        <v>12842</v>
      </c>
      <c r="H2013" t="e" vm="887">
        <f>_FV(0,"017016847483673464")</f>
        <v>#VALUE!</v>
      </c>
      <c r="I2013" t="s">
        <v>12843</v>
      </c>
      <c r="J2013" t="s">
        <v>12844</v>
      </c>
      <c r="K2013" t="s">
        <v>12845</v>
      </c>
      <c r="L2013" t="s">
        <v>12839</v>
      </c>
    </row>
    <row r="2014" spans="1:12" x14ac:dyDescent="0.25">
      <c r="A2014">
        <v>375163</v>
      </c>
      <c r="B2014">
        <v>375471</v>
      </c>
      <c r="D2014" t="s">
        <v>12847</v>
      </c>
      <c r="E2014" t="s">
        <v>12848</v>
      </c>
      <c r="F2014" t="s">
        <v>12849</v>
      </c>
      <c r="G2014" t="s">
        <v>12850</v>
      </c>
      <c r="H2014" t="s">
        <v>12851</v>
      </c>
      <c r="I2014" t="s">
        <v>12852</v>
      </c>
      <c r="J2014" t="s">
        <v>12853</v>
      </c>
      <c r="K2014" t="s">
        <v>12854</v>
      </c>
      <c r="L2014" t="s">
        <v>12846</v>
      </c>
    </row>
    <row r="2015" spans="1:12" x14ac:dyDescent="0.25">
      <c r="A2015">
        <v>375235</v>
      </c>
      <c r="B2015">
        <v>1186105</v>
      </c>
      <c r="D2015" t="s">
        <v>12856</v>
      </c>
      <c r="E2015" t="s">
        <v>12857</v>
      </c>
      <c r="F2015" t="s">
        <v>12858</v>
      </c>
      <c r="G2015" t="s">
        <v>12859</v>
      </c>
      <c r="H2015" t="e" vm="888">
        <f>_FV(0,"004451596837907752")</f>
        <v>#VALUE!</v>
      </c>
      <c r="I2015" t="s">
        <v>12860</v>
      </c>
      <c r="J2015" t="s">
        <v>12861</v>
      </c>
      <c r="K2015" t="s">
        <v>12862</v>
      </c>
      <c r="L2015" t="s">
        <v>12855</v>
      </c>
    </row>
    <row r="2016" spans="1:12" x14ac:dyDescent="0.25">
      <c r="A2016">
        <v>375433</v>
      </c>
      <c r="B2016">
        <v>375471</v>
      </c>
      <c r="D2016">
        <v>0</v>
      </c>
      <c r="E2016" t="s">
        <v>12864</v>
      </c>
      <c r="F2016" t="s">
        <v>12865</v>
      </c>
      <c r="G2016" t="s">
        <v>12866</v>
      </c>
      <c r="H2016" t="e" vm="889">
        <f>_FV(0,"0058474321811700525")</f>
        <v>#VALUE!</v>
      </c>
      <c r="I2016" t="s">
        <v>12867</v>
      </c>
      <c r="J2016" t="s">
        <v>12868</v>
      </c>
      <c r="K2016" t="s">
        <v>12869</v>
      </c>
      <c r="L2016" t="s">
        <v>12863</v>
      </c>
    </row>
    <row r="2017" spans="1:12" x14ac:dyDescent="0.25">
      <c r="A2017">
        <v>375433</v>
      </c>
      <c r="B2017">
        <v>375471</v>
      </c>
      <c r="D2017">
        <v>0</v>
      </c>
      <c r="E2017" t="s">
        <v>12871</v>
      </c>
      <c r="F2017" t="s">
        <v>12872</v>
      </c>
      <c r="G2017" t="s">
        <v>12873</v>
      </c>
      <c r="H2017" t="e" vm="890">
        <f>_FV(0,"006204736984074751")</f>
        <v>#VALUE!</v>
      </c>
      <c r="I2017" t="s">
        <v>12874</v>
      </c>
      <c r="J2017" t="s">
        <v>12875</v>
      </c>
      <c r="K2017" t="s">
        <v>12876</v>
      </c>
      <c r="L2017" t="s">
        <v>12870</v>
      </c>
    </row>
    <row r="2018" spans="1:12" x14ac:dyDescent="0.25">
      <c r="A2018">
        <v>375433</v>
      </c>
      <c r="B2018">
        <v>674334</v>
      </c>
      <c r="D2018" t="s">
        <v>12878</v>
      </c>
      <c r="E2018" t="s">
        <v>12879</v>
      </c>
      <c r="F2018" t="s">
        <v>12880</v>
      </c>
      <c r="G2018" t="s">
        <v>12881</v>
      </c>
      <c r="H2018" t="e" vm="891">
        <f>_FV(0,"0077363087379868425")</f>
        <v>#VALUE!</v>
      </c>
      <c r="I2018" t="s">
        <v>12882</v>
      </c>
      <c r="J2018" t="s">
        <v>12883</v>
      </c>
      <c r="K2018" t="s">
        <v>12884</v>
      </c>
      <c r="L2018" t="s">
        <v>12877</v>
      </c>
    </row>
    <row r="2019" spans="1:12" x14ac:dyDescent="0.25">
      <c r="A2019">
        <v>378167</v>
      </c>
      <c r="B2019">
        <v>378304</v>
      </c>
      <c r="D2019" t="s">
        <v>1866</v>
      </c>
      <c r="E2019" t="s">
        <v>12886</v>
      </c>
      <c r="F2019" t="s">
        <v>12887</v>
      </c>
      <c r="G2019" t="s">
        <v>12888</v>
      </c>
      <c r="H2019" t="e" vm="892">
        <f>_FV(0,"15263166764399846")</f>
        <v>#VALUE!</v>
      </c>
      <c r="I2019" t="s">
        <v>12889</v>
      </c>
      <c r="J2019" t="s">
        <v>12890</v>
      </c>
      <c r="K2019" t="s">
        <v>12891</v>
      </c>
      <c r="L2019" t="s">
        <v>12885</v>
      </c>
    </row>
    <row r="2020" spans="1:12" x14ac:dyDescent="0.25">
      <c r="A2020">
        <v>378167</v>
      </c>
      <c r="B2020">
        <v>378200</v>
      </c>
      <c r="D2020">
        <v>0</v>
      </c>
      <c r="E2020" t="s">
        <v>12893</v>
      </c>
      <c r="F2020" t="s">
        <v>12894</v>
      </c>
      <c r="G2020" t="s">
        <v>12895</v>
      </c>
      <c r="H2020" t="e" vm="893">
        <f>_FV(0,"04206595816804259")</f>
        <v>#VALUE!</v>
      </c>
      <c r="I2020" t="s">
        <v>12896</v>
      </c>
      <c r="J2020" t="s">
        <v>12897</v>
      </c>
      <c r="K2020" t="s">
        <v>12898</v>
      </c>
      <c r="L2020" t="s">
        <v>12892</v>
      </c>
    </row>
    <row r="2021" spans="1:12" x14ac:dyDescent="0.25">
      <c r="A2021">
        <v>378167</v>
      </c>
      <c r="B2021">
        <v>443013</v>
      </c>
      <c r="D2021" t="s">
        <v>514</v>
      </c>
      <c r="E2021" t="s">
        <v>12900</v>
      </c>
      <c r="F2021" t="s">
        <v>12901</v>
      </c>
      <c r="G2021" t="s">
        <v>12902</v>
      </c>
      <c r="H2021" t="s">
        <v>12903</v>
      </c>
      <c r="I2021" t="s">
        <v>12904</v>
      </c>
      <c r="J2021" t="s">
        <v>12905</v>
      </c>
      <c r="K2021" t="s">
        <v>12906</v>
      </c>
      <c r="L2021" t="s">
        <v>12899</v>
      </c>
    </row>
    <row r="2022" spans="1:12" x14ac:dyDescent="0.25">
      <c r="A2022">
        <v>378176</v>
      </c>
      <c r="B2022">
        <v>1447922</v>
      </c>
      <c r="D2022" t="s">
        <v>2793</v>
      </c>
      <c r="E2022" t="s">
        <v>12908</v>
      </c>
      <c r="F2022" t="s">
        <v>12909</v>
      </c>
      <c r="G2022" t="s">
        <v>12910</v>
      </c>
      <c r="H2022" t="e" vm="894">
        <f>_FV(0,"08023545802266814")</f>
        <v>#VALUE!</v>
      </c>
      <c r="I2022" t="s">
        <v>12911</v>
      </c>
      <c r="J2022" t="s">
        <v>12912</v>
      </c>
      <c r="K2022" t="s">
        <v>12913</v>
      </c>
      <c r="L2022" t="s">
        <v>12907</v>
      </c>
    </row>
    <row r="2023" spans="1:12" x14ac:dyDescent="0.25">
      <c r="A2023">
        <v>378176</v>
      </c>
      <c r="B2023">
        <v>378304</v>
      </c>
      <c r="D2023" t="s">
        <v>12915</v>
      </c>
      <c r="E2023" t="s">
        <v>12916</v>
      </c>
      <c r="F2023" t="s">
        <v>12917</v>
      </c>
      <c r="G2023" t="s">
        <v>12918</v>
      </c>
      <c r="H2023" t="e" vm="895">
        <f>_FV(0,"15419884131408587")</f>
        <v>#VALUE!</v>
      </c>
      <c r="I2023" t="s">
        <v>12919</v>
      </c>
      <c r="J2023" t="s">
        <v>12920</v>
      </c>
      <c r="K2023" t="s">
        <v>12921</v>
      </c>
      <c r="L2023" t="s">
        <v>12914</v>
      </c>
    </row>
    <row r="2024" spans="1:12" x14ac:dyDescent="0.25">
      <c r="A2024">
        <v>378176</v>
      </c>
      <c r="B2024">
        <v>378200</v>
      </c>
      <c r="D2024">
        <v>0</v>
      </c>
      <c r="E2024" t="s">
        <v>12923</v>
      </c>
      <c r="F2024" t="s">
        <v>12924</v>
      </c>
      <c r="G2024" t="s">
        <v>12925</v>
      </c>
      <c r="H2024" t="e" vm="896">
        <f>_FV(0,"04817898641650246")</f>
        <v>#VALUE!</v>
      </c>
      <c r="I2024" t="s">
        <v>12926</v>
      </c>
      <c r="J2024" t="s">
        <v>12927</v>
      </c>
      <c r="K2024" t="s">
        <v>12928</v>
      </c>
      <c r="L2024" t="s">
        <v>12922</v>
      </c>
    </row>
    <row r="2025" spans="1:12" x14ac:dyDescent="0.25">
      <c r="A2025">
        <v>378200</v>
      </c>
      <c r="B2025">
        <v>1119242</v>
      </c>
      <c r="D2025" t="s">
        <v>12930</v>
      </c>
      <c r="E2025" t="s">
        <v>12931</v>
      </c>
      <c r="F2025" t="s">
        <v>12932</v>
      </c>
      <c r="G2025" t="s">
        <v>12933</v>
      </c>
      <c r="H2025" t="e" vm="897">
        <f>_FV(0,"009448487417093405")</f>
        <v>#VALUE!</v>
      </c>
      <c r="I2025" t="s">
        <v>12934</v>
      </c>
      <c r="J2025" t="s">
        <v>12935</v>
      </c>
      <c r="K2025" t="s">
        <v>12936</v>
      </c>
      <c r="L2025" t="s">
        <v>12929</v>
      </c>
    </row>
    <row r="2026" spans="1:12" x14ac:dyDescent="0.25">
      <c r="A2026">
        <v>378304</v>
      </c>
      <c r="B2026">
        <v>1253113</v>
      </c>
      <c r="D2026">
        <v>0</v>
      </c>
      <c r="E2026" t="s">
        <v>12938</v>
      </c>
      <c r="F2026" t="s">
        <v>12939</v>
      </c>
      <c r="G2026" t="s">
        <v>12941</v>
      </c>
      <c r="H2026" t="s">
        <v>12942</v>
      </c>
      <c r="I2026" t="s">
        <v>12943</v>
      </c>
      <c r="J2026" t="s">
        <v>12944</v>
      </c>
      <c r="K2026" t="s">
        <v>12945</v>
      </c>
      <c r="L2026" t="s">
        <v>12937</v>
      </c>
    </row>
    <row r="2027" spans="1:12" x14ac:dyDescent="0.25">
      <c r="A2027">
        <v>380271</v>
      </c>
      <c r="B2027">
        <v>1360613</v>
      </c>
      <c r="D2027">
        <v>0</v>
      </c>
      <c r="E2027" t="s">
        <v>12947</v>
      </c>
      <c r="F2027" t="s">
        <v>12948</v>
      </c>
      <c r="G2027" t="s">
        <v>12949</v>
      </c>
      <c r="H2027" t="e" vm="898">
        <f>_FV(0,"015617720098292893")</f>
        <v>#VALUE!</v>
      </c>
      <c r="I2027" t="s">
        <v>12950</v>
      </c>
      <c r="J2027" t="s">
        <v>12951</v>
      </c>
      <c r="K2027" t="s">
        <v>12952</v>
      </c>
      <c r="L2027" t="s">
        <v>12946</v>
      </c>
    </row>
    <row r="2028" spans="1:12" x14ac:dyDescent="0.25">
      <c r="A2028">
        <v>380271</v>
      </c>
      <c r="B2028">
        <v>1393732</v>
      </c>
      <c r="C2028" t="s">
        <v>12954</v>
      </c>
      <c r="D2028">
        <v>0</v>
      </c>
      <c r="E2028" t="s">
        <v>12955</v>
      </c>
      <c r="F2028" t="s">
        <v>12956</v>
      </c>
      <c r="G2028" t="s">
        <v>12957</v>
      </c>
      <c r="H2028" t="s">
        <v>12958</v>
      </c>
      <c r="I2028" t="s">
        <v>12959</v>
      </c>
      <c r="J2028" t="s">
        <v>12960</v>
      </c>
      <c r="K2028" t="s">
        <v>12961</v>
      </c>
      <c r="L2028" t="s">
        <v>12953</v>
      </c>
    </row>
    <row r="2029" spans="1:12" x14ac:dyDescent="0.25">
      <c r="A2029">
        <v>380271</v>
      </c>
      <c r="B2029">
        <v>1393621</v>
      </c>
      <c r="D2029">
        <v>0</v>
      </c>
      <c r="F2029">
        <v>1542660</v>
      </c>
      <c r="G2029">
        <v>380271</v>
      </c>
      <c r="H2029" t="s">
        <v>241</v>
      </c>
      <c r="I2029">
        <v>1393621</v>
      </c>
      <c r="J2029" t="s">
        <v>241</v>
      </c>
      <c r="K2029" t="s">
        <v>12962</v>
      </c>
      <c r="L2029" t="s">
        <v>241</v>
      </c>
    </row>
    <row r="2030" spans="1:12" x14ac:dyDescent="0.25">
      <c r="A2030">
        <v>380275</v>
      </c>
      <c r="B2030">
        <v>1401504</v>
      </c>
      <c r="C2030" t="s">
        <v>12964</v>
      </c>
      <c r="D2030">
        <v>0</v>
      </c>
      <c r="E2030" t="s">
        <v>12965</v>
      </c>
      <c r="F2030" t="s">
        <v>12966</v>
      </c>
      <c r="G2030" t="s">
        <v>12967</v>
      </c>
      <c r="H2030" t="s">
        <v>12968</v>
      </c>
      <c r="I2030" t="s">
        <v>12969</v>
      </c>
      <c r="J2030" t="s">
        <v>12970</v>
      </c>
      <c r="K2030" t="s">
        <v>12971</v>
      </c>
      <c r="L2030" t="s">
        <v>12963</v>
      </c>
    </row>
    <row r="2031" spans="1:12" x14ac:dyDescent="0.25">
      <c r="A2031">
        <v>380275</v>
      </c>
      <c r="B2031">
        <v>1401426</v>
      </c>
      <c r="D2031" t="s">
        <v>715</v>
      </c>
      <c r="E2031" t="s">
        <v>12973</v>
      </c>
      <c r="F2031" t="s">
        <v>12974</v>
      </c>
      <c r="G2031" t="s">
        <v>12975</v>
      </c>
      <c r="H2031" t="s">
        <v>12976</v>
      </c>
      <c r="I2031" t="s">
        <v>12977</v>
      </c>
      <c r="J2031" t="s">
        <v>12972</v>
      </c>
      <c r="K2031" t="s">
        <v>12978</v>
      </c>
      <c r="L2031" t="s">
        <v>12972</v>
      </c>
    </row>
    <row r="2032" spans="1:12" x14ac:dyDescent="0.25">
      <c r="A2032">
        <v>380275</v>
      </c>
      <c r="B2032">
        <v>1813848</v>
      </c>
      <c r="D2032" t="s">
        <v>12980</v>
      </c>
      <c r="E2032" t="s">
        <v>12981</v>
      </c>
      <c r="F2032" t="s">
        <v>12982</v>
      </c>
      <c r="G2032" t="s">
        <v>12984</v>
      </c>
      <c r="H2032" t="e" vm="899">
        <f>_FV(0,"011773361391993342")</f>
        <v>#VALUE!</v>
      </c>
      <c r="I2032" t="s">
        <v>12985</v>
      </c>
      <c r="J2032" t="s">
        <v>12986</v>
      </c>
      <c r="K2032" t="s">
        <v>12987</v>
      </c>
      <c r="L2032" t="s">
        <v>12979</v>
      </c>
    </row>
    <row r="2033" spans="1:12" x14ac:dyDescent="0.25">
      <c r="A2033">
        <v>381759</v>
      </c>
      <c r="B2033">
        <v>381770</v>
      </c>
      <c r="D2033" t="s">
        <v>1839</v>
      </c>
      <c r="E2033" t="s">
        <v>12989</v>
      </c>
      <c r="F2033" t="s">
        <v>12990</v>
      </c>
      <c r="G2033" t="s">
        <v>12991</v>
      </c>
      <c r="H2033" t="e" vm="900">
        <f>_FV(0,"00695773150162518")</f>
        <v>#VALUE!</v>
      </c>
      <c r="I2033" t="s">
        <v>12992</v>
      </c>
      <c r="J2033" t="s">
        <v>12993</v>
      </c>
      <c r="K2033" t="s">
        <v>12994</v>
      </c>
      <c r="L2033" t="s">
        <v>12988</v>
      </c>
    </row>
    <row r="2034" spans="1:12" x14ac:dyDescent="0.25">
      <c r="A2034">
        <v>381759</v>
      </c>
      <c r="B2034">
        <v>1337503</v>
      </c>
      <c r="D2034">
        <v>0</v>
      </c>
      <c r="E2034" t="s">
        <v>12996</v>
      </c>
      <c r="F2034" t="s">
        <v>12997</v>
      </c>
      <c r="G2034" t="s">
        <v>12998</v>
      </c>
      <c r="H2034" t="s">
        <v>12999</v>
      </c>
      <c r="I2034" t="s">
        <v>13000</v>
      </c>
      <c r="J2034" t="s">
        <v>13001</v>
      </c>
      <c r="K2034" t="s">
        <v>13002</v>
      </c>
      <c r="L2034" t="s">
        <v>12995</v>
      </c>
    </row>
    <row r="2035" spans="1:12" x14ac:dyDescent="0.25">
      <c r="A2035">
        <v>381759</v>
      </c>
      <c r="B2035">
        <v>1569293</v>
      </c>
      <c r="D2035">
        <v>0</v>
      </c>
      <c r="E2035" t="s">
        <v>13004</v>
      </c>
      <c r="F2035" t="s">
        <v>13005</v>
      </c>
      <c r="G2035" t="s">
        <v>13006</v>
      </c>
      <c r="H2035" t="s">
        <v>13007</v>
      </c>
      <c r="I2035" t="s">
        <v>13008</v>
      </c>
      <c r="J2035" t="s">
        <v>13009</v>
      </c>
      <c r="K2035" t="s">
        <v>13010</v>
      </c>
      <c r="L2035" t="s">
        <v>13003</v>
      </c>
    </row>
    <row r="2036" spans="1:12" x14ac:dyDescent="0.25">
      <c r="A2036">
        <v>381770</v>
      </c>
      <c r="B2036">
        <v>450606</v>
      </c>
      <c r="D2036">
        <v>0</v>
      </c>
      <c r="E2036" t="s">
        <v>13012</v>
      </c>
      <c r="F2036" t="s">
        <v>13013</v>
      </c>
      <c r="G2036" t="s">
        <v>13014</v>
      </c>
      <c r="H2036" t="s">
        <v>13015</v>
      </c>
      <c r="I2036" t="s">
        <v>13016</v>
      </c>
      <c r="J2036" t="s">
        <v>13011</v>
      </c>
      <c r="K2036" t="s">
        <v>13017</v>
      </c>
      <c r="L2036" t="s">
        <v>13011</v>
      </c>
    </row>
    <row r="2037" spans="1:12" x14ac:dyDescent="0.25">
      <c r="A2037">
        <v>381770</v>
      </c>
      <c r="B2037">
        <v>450560</v>
      </c>
      <c r="D2037">
        <v>0</v>
      </c>
      <c r="E2037" t="s">
        <v>13019</v>
      </c>
      <c r="F2037" t="s">
        <v>13020</v>
      </c>
      <c r="G2037" t="s">
        <v>13021</v>
      </c>
      <c r="H2037" t="s">
        <v>13022</v>
      </c>
      <c r="I2037" t="s">
        <v>13023</v>
      </c>
      <c r="J2037" t="s">
        <v>13024</v>
      </c>
      <c r="K2037" t="s">
        <v>13025</v>
      </c>
      <c r="L2037" t="s">
        <v>13018</v>
      </c>
    </row>
    <row r="2038" spans="1:12" x14ac:dyDescent="0.25">
      <c r="A2038">
        <v>395173</v>
      </c>
      <c r="B2038">
        <v>396197</v>
      </c>
      <c r="D2038">
        <v>0</v>
      </c>
      <c r="E2038" t="s">
        <v>13027</v>
      </c>
      <c r="F2038" t="s">
        <v>13028</v>
      </c>
      <c r="G2038" t="s">
        <v>13029</v>
      </c>
      <c r="H2038" t="e" vm="901">
        <f>_FV(0,"001080151594059694")</f>
        <v>#VALUE!</v>
      </c>
      <c r="I2038" t="s">
        <v>13030</v>
      </c>
      <c r="J2038" t="s">
        <v>13031</v>
      </c>
      <c r="K2038" t="s">
        <v>13032</v>
      </c>
      <c r="L2038" t="s">
        <v>13026</v>
      </c>
    </row>
    <row r="2039" spans="1:12" x14ac:dyDescent="0.25">
      <c r="A2039">
        <v>395203</v>
      </c>
      <c r="B2039">
        <v>420056</v>
      </c>
      <c r="D2039">
        <v>0</v>
      </c>
      <c r="F2039">
        <v>422359</v>
      </c>
      <c r="G2039">
        <v>420056</v>
      </c>
      <c r="H2039" t="e" vm="12">
        <f>_FV(0,"005")</f>
        <v>#VALUE!</v>
      </c>
      <c r="I2039">
        <v>395203</v>
      </c>
      <c r="J2039" t="s">
        <v>194</v>
      </c>
      <c r="K2039" t="s">
        <v>13033</v>
      </c>
      <c r="L2039" t="e" vm="12">
        <f>_FV(0,"005")</f>
        <v>#VALUE!</v>
      </c>
    </row>
    <row r="2040" spans="1:12" x14ac:dyDescent="0.25">
      <c r="A2040">
        <v>395203</v>
      </c>
      <c r="B2040">
        <v>976673</v>
      </c>
      <c r="D2040">
        <v>0</v>
      </c>
      <c r="F2040">
        <v>1201072</v>
      </c>
      <c r="G2040">
        <v>976673</v>
      </c>
      <c r="H2040" t="s">
        <v>761</v>
      </c>
      <c r="I2040">
        <v>395203</v>
      </c>
      <c r="J2040" t="s">
        <v>761</v>
      </c>
      <c r="K2040" t="s">
        <v>13034</v>
      </c>
      <c r="L2040" t="s">
        <v>761</v>
      </c>
    </row>
    <row r="2041" spans="1:12" x14ac:dyDescent="0.25">
      <c r="A2041">
        <v>396197</v>
      </c>
      <c r="B2041">
        <v>600782</v>
      </c>
      <c r="D2041">
        <v>0</v>
      </c>
      <c r="E2041" t="s">
        <v>13036</v>
      </c>
      <c r="F2041" t="s">
        <v>13037</v>
      </c>
      <c r="G2041" t="s">
        <v>13038</v>
      </c>
      <c r="H2041" t="s">
        <v>13039</v>
      </c>
      <c r="I2041" t="s">
        <v>13040</v>
      </c>
      <c r="J2041" t="s">
        <v>13041</v>
      </c>
      <c r="K2041" t="s">
        <v>13042</v>
      </c>
      <c r="L2041" t="s">
        <v>13035</v>
      </c>
    </row>
    <row r="2042" spans="1:12" x14ac:dyDescent="0.25">
      <c r="A2042">
        <v>415877</v>
      </c>
      <c r="B2042">
        <v>415878</v>
      </c>
      <c r="D2042">
        <v>0</v>
      </c>
      <c r="F2042">
        <v>419224</v>
      </c>
      <c r="G2042">
        <v>415878</v>
      </c>
      <c r="H2042" t="s">
        <v>241</v>
      </c>
      <c r="I2042">
        <v>415877</v>
      </c>
      <c r="J2042" t="s">
        <v>241</v>
      </c>
      <c r="K2042" t="s">
        <v>13043</v>
      </c>
      <c r="L2042" t="s">
        <v>241</v>
      </c>
    </row>
    <row r="2043" spans="1:12" x14ac:dyDescent="0.25">
      <c r="A2043">
        <v>415877</v>
      </c>
      <c r="B2043">
        <v>1540900</v>
      </c>
      <c r="D2043">
        <v>0</v>
      </c>
      <c r="E2043" t="s">
        <v>13044</v>
      </c>
      <c r="F2043" t="s">
        <v>13045</v>
      </c>
      <c r="G2043" t="s">
        <v>13046</v>
      </c>
      <c r="H2043" t="s">
        <v>761</v>
      </c>
      <c r="I2043" t="s">
        <v>13047</v>
      </c>
      <c r="J2043" t="s">
        <v>761</v>
      </c>
      <c r="K2043" t="s">
        <v>13048</v>
      </c>
      <c r="L2043" t="s">
        <v>761</v>
      </c>
    </row>
    <row r="2044" spans="1:12" x14ac:dyDescent="0.25">
      <c r="A2044">
        <v>415877</v>
      </c>
      <c r="B2044">
        <v>1540904</v>
      </c>
      <c r="D2044">
        <v>0</v>
      </c>
      <c r="E2044" t="s">
        <v>13049</v>
      </c>
      <c r="F2044" t="s">
        <v>13050</v>
      </c>
      <c r="G2044" t="s">
        <v>13051</v>
      </c>
      <c r="H2044" t="s">
        <v>13052</v>
      </c>
      <c r="I2044" t="s">
        <v>13053</v>
      </c>
      <c r="J2044" t="s">
        <v>4897</v>
      </c>
      <c r="K2044" t="s">
        <v>13054</v>
      </c>
      <c r="L2044" t="s">
        <v>4897</v>
      </c>
    </row>
    <row r="2045" spans="1:12" x14ac:dyDescent="0.25">
      <c r="A2045">
        <v>415878</v>
      </c>
      <c r="B2045">
        <v>415889</v>
      </c>
      <c r="D2045">
        <v>0</v>
      </c>
      <c r="E2045" t="s">
        <v>13056</v>
      </c>
      <c r="F2045" t="s">
        <v>13057</v>
      </c>
      <c r="G2045" t="s">
        <v>13058</v>
      </c>
      <c r="H2045" t="s">
        <v>13059</v>
      </c>
      <c r="I2045" t="s">
        <v>13060</v>
      </c>
      <c r="J2045" t="s">
        <v>13055</v>
      </c>
      <c r="K2045" t="s">
        <v>13061</v>
      </c>
      <c r="L2045" t="s">
        <v>13055</v>
      </c>
    </row>
    <row r="2046" spans="1:12" x14ac:dyDescent="0.25">
      <c r="A2046">
        <v>415878</v>
      </c>
      <c r="B2046">
        <v>415889</v>
      </c>
      <c r="D2046">
        <v>0</v>
      </c>
      <c r="E2046" t="s">
        <v>13063</v>
      </c>
      <c r="F2046" t="s">
        <v>13064</v>
      </c>
      <c r="G2046" t="s">
        <v>13065</v>
      </c>
      <c r="H2046" t="s">
        <v>13066</v>
      </c>
      <c r="I2046" t="s">
        <v>13067</v>
      </c>
      <c r="J2046" t="s">
        <v>13062</v>
      </c>
      <c r="K2046" t="s">
        <v>13068</v>
      </c>
      <c r="L2046" t="s">
        <v>13062</v>
      </c>
    </row>
    <row r="2047" spans="1:12" x14ac:dyDescent="0.25">
      <c r="A2047">
        <v>415889</v>
      </c>
      <c r="B2047">
        <v>1354120</v>
      </c>
      <c r="D2047">
        <v>0</v>
      </c>
      <c r="E2047" t="s">
        <v>13070</v>
      </c>
      <c r="F2047" t="s">
        <v>13071</v>
      </c>
      <c r="G2047" t="s">
        <v>13072</v>
      </c>
      <c r="H2047" t="e" vm="902">
        <f>_FV(0,"0017824022641425546")</f>
        <v>#VALUE!</v>
      </c>
      <c r="I2047" t="s">
        <v>13073</v>
      </c>
      <c r="J2047" t="s">
        <v>13074</v>
      </c>
      <c r="K2047" t="s">
        <v>13075</v>
      </c>
      <c r="L2047" t="s">
        <v>13069</v>
      </c>
    </row>
    <row r="2048" spans="1:12" x14ac:dyDescent="0.25">
      <c r="A2048">
        <v>417583</v>
      </c>
      <c r="B2048">
        <v>417666</v>
      </c>
      <c r="D2048">
        <v>0</v>
      </c>
      <c r="E2048" t="s">
        <v>13077</v>
      </c>
      <c r="F2048" t="s">
        <v>13078</v>
      </c>
      <c r="G2048" t="s">
        <v>13079</v>
      </c>
      <c r="H2048" t="s">
        <v>13080</v>
      </c>
      <c r="I2048" t="s">
        <v>13081</v>
      </c>
      <c r="J2048" t="s">
        <v>13076</v>
      </c>
      <c r="K2048" t="s">
        <v>13082</v>
      </c>
      <c r="L2048" t="s">
        <v>13076</v>
      </c>
    </row>
    <row r="2049" spans="1:12" x14ac:dyDescent="0.25">
      <c r="A2049">
        <v>417583</v>
      </c>
      <c r="B2049">
        <v>417746</v>
      </c>
      <c r="D2049">
        <v>0</v>
      </c>
      <c r="E2049" t="s">
        <v>13083</v>
      </c>
      <c r="F2049" t="s">
        <v>13084</v>
      </c>
      <c r="G2049" t="s">
        <v>13085</v>
      </c>
      <c r="H2049" t="s">
        <v>1333</v>
      </c>
      <c r="I2049" t="s">
        <v>13086</v>
      </c>
      <c r="J2049" t="s">
        <v>1333</v>
      </c>
      <c r="K2049" t="s">
        <v>13087</v>
      </c>
      <c r="L2049" t="s">
        <v>1333</v>
      </c>
    </row>
    <row r="2050" spans="1:12" x14ac:dyDescent="0.25">
      <c r="A2050">
        <v>417583</v>
      </c>
      <c r="B2050">
        <v>1276144</v>
      </c>
      <c r="D2050">
        <v>0</v>
      </c>
      <c r="E2050" t="s">
        <v>13089</v>
      </c>
      <c r="F2050" t="s">
        <v>13090</v>
      </c>
      <c r="G2050" t="s">
        <v>13091</v>
      </c>
      <c r="H2050" t="s">
        <v>13092</v>
      </c>
      <c r="I2050" t="s">
        <v>13093</v>
      </c>
      <c r="J2050" t="s">
        <v>4786</v>
      </c>
      <c r="K2050" t="s">
        <v>13094</v>
      </c>
      <c r="L2050" t="s">
        <v>13088</v>
      </c>
    </row>
    <row r="2051" spans="1:12" x14ac:dyDescent="0.25">
      <c r="A2051">
        <v>417666</v>
      </c>
      <c r="B2051">
        <v>417678</v>
      </c>
      <c r="D2051">
        <v>0</v>
      </c>
      <c r="E2051" t="s">
        <v>13096</v>
      </c>
      <c r="F2051" t="s">
        <v>13097</v>
      </c>
      <c r="G2051" t="s">
        <v>13098</v>
      </c>
      <c r="H2051" t="e" vm="903">
        <f>_FV(0,"0014750433843689719")</f>
        <v>#VALUE!</v>
      </c>
      <c r="I2051" t="s">
        <v>13099</v>
      </c>
      <c r="J2051" t="s">
        <v>6123</v>
      </c>
      <c r="K2051" t="s">
        <v>13100</v>
      </c>
      <c r="L2051" t="s">
        <v>13095</v>
      </c>
    </row>
    <row r="2052" spans="1:12" x14ac:dyDescent="0.25">
      <c r="A2052">
        <v>417666</v>
      </c>
      <c r="B2052">
        <v>1276220</v>
      </c>
      <c r="D2052">
        <v>0</v>
      </c>
      <c r="E2052" t="s">
        <v>13101</v>
      </c>
      <c r="F2052" t="s">
        <v>13102</v>
      </c>
      <c r="G2052" t="s">
        <v>13103</v>
      </c>
      <c r="H2052" t="s">
        <v>1534</v>
      </c>
      <c r="I2052" t="s">
        <v>13104</v>
      </c>
      <c r="J2052" t="s">
        <v>1534</v>
      </c>
      <c r="K2052" t="s">
        <v>13105</v>
      </c>
      <c r="L2052" t="s">
        <v>1534</v>
      </c>
    </row>
    <row r="2053" spans="1:12" x14ac:dyDescent="0.25">
      <c r="A2053">
        <v>417678</v>
      </c>
      <c r="B2053">
        <v>417746</v>
      </c>
      <c r="D2053">
        <v>0</v>
      </c>
      <c r="E2053" t="s">
        <v>13107</v>
      </c>
      <c r="F2053" t="s">
        <v>13108</v>
      </c>
      <c r="G2053" t="s">
        <v>13109</v>
      </c>
      <c r="H2053" t="e" vm="904">
        <f>_FV(0,"0008128569843493115")</f>
        <v>#VALUE!</v>
      </c>
      <c r="I2053" t="s">
        <v>13110</v>
      </c>
      <c r="J2053" t="s">
        <v>13111</v>
      </c>
      <c r="K2053" t="s">
        <v>13112</v>
      </c>
      <c r="L2053" t="s">
        <v>13106</v>
      </c>
    </row>
    <row r="2054" spans="1:12" x14ac:dyDescent="0.25">
      <c r="A2054">
        <v>417678</v>
      </c>
      <c r="B2054">
        <v>1276220</v>
      </c>
      <c r="D2054">
        <v>0</v>
      </c>
      <c r="E2054" t="s">
        <v>13114</v>
      </c>
      <c r="F2054" t="s">
        <v>13115</v>
      </c>
      <c r="G2054" t="s">
        <v>13116</v>
      </c>
      <c r="H2054" t="s">
        <v>13117</v>
      </c>
      <c r="I2054" t="s">
        <v>13118</v>
      </c>
      <c r="J2054" t="s">
        <v>13113</v>
      </c>
      <c r="K2054" t="s">
        <v>13119</v>
      </c>
      <c r="L2054" t="s">
        <v>13113</v>
      </c>
    </row>
    <row r="2055" spans="1:12" x14ac:dyDescent="0.25">
      <c r="A2055">
        <v>417746</v>
      </c>
      <c r="B2055">
        <v>1276144</v>
      </c>
      <c r="D2055">
        <v>0</v>
      </c>
      <c r="E2055" t="s">
        <v>13120</v>
      </c>
      <c r="F2055" t="s">
        <v>13121</v>
      </c>
      <c r="G2055" t="s">
        <v>13122</v>
      </c>
      <c r="H2055" t="s">
        <v>13123</v>
      </c>
      <c r="I2055" t="s">
        <v>13124</v>
      </c>
      <c r="J2055" t="s">
        <v>4786</v>
      </c>
      <c r="K2055" t="s">
        <v>13125</v>
      </c>
      <c r="L2055" t="s">
        <v>13088</v>
      </c>
    </row>
    <row r="2056" spans="1:12" x14ac:dyDescent="0.25">
      <c r="A2056">
        <v>420056</v>
      </c>
      <c r="B2056">
        <v>976673</v>
      </c>
      <c r="D2056">
        <v>0</v>
      </c>
      <c r="E2056" t="s">
        <v>13126</v>
      </c>
      <c r="F2056" t="s">
        <v>13127</v>
      </c>
      <c r="G2056" t="s">
        <v>13128</v>
      </c>
      <c r="H2056" t="s">
        <v>13129</v>
      </c>
      <c r="I2056" t="s">
        <v>13130</v>
      </c>
      <c r="J2056" t="s">
        <v>4682</v>
      </c>
      <c r="K2056" t="s">
        <v>13131</v>
      </c>
      <c r="L2056" t="s">
        <v>4682</v>
      </c>
    </row>
    <row r="2057" spans="1:12" x14ac:dyDescent="0.25">
      <c r="A2057">
        <v>420056</v>
      </c>
      <c r="B2057">
        <v>489117</v>
      </c>
      <c r="D2057">
        <v>0</v>
      </c>
      <c r="E2057" t="s">
        <v>13133</v>
      </c>
      <c r="F2057" t="s">
        <v>13134</v>
      </c>
      <c r="G2057" t="s">
        <v>13135</v>
      </c>
      <c r="H2057" t="e" vm="905">
        <f>_FV(0,"011862535306004177")</f>
        <v>#VALUE!</v>
      </c>
      <c r="I2057" t="s">
        <v>13136</v>
      </c>
      <c r="J2057" t="s">
        <v>13137</v>
      </c>
      <c r="K2057" t="s">
        <v>13138</v>
      </c>
      <c r="L2057" t="s">
        <v>13132</v>
      </c>
    </row>
    <row r="2058" spans="1:12" x14ac:dyDescent="0.25">
      <c r="A2058">
        <v>420193</v>
      </c>
      <c r="B2058">
        <v>420194</v>
      </c>
      <c r="D2058">
        <v>0</v>
      </c>
      <c r="F2058">
        <v>422462</v>
      </c>
      <c r="G2058">
        <v>420194</v>
      </c>
      <c r="H2058" t="e" vm="12">
        <f>_FV(0,"005")</f>
        <v>#VALUE!</v>
      </c>
      <c r="I2058">
        <v>420193</v>
      </c>
      <c r="J2058" t="s">
        <v>194</v>
      </c>
      <c r="K2058" t="s">
        <v>13139</v>
      </c>
      <c r="L2058" t="e" vm="12">
        <f>_FV(0,"005")</f>
        <v>#VALUE!</v>
      </c>
    </row>
    <row r="2059" spans="1:12" x14ac:dyDescent="0.25">
      <c r="A2059">
        <v>420193</v>
      </c>
      <c r="B2059">
        <v>449377</v>
      </c>
      <c r="D2059">
        <v>0</v>
      </c>
      <c r="E2059" t="s">
        <v>13141</v>
      </c>
      <c r="F2059" t="s">
        <v>13142</v>
      </c>
      <c r="G2059" t="s">
        <v>13143</v>
      </c>
      <c r="H2059" t="e" vm="906">
        <f>_FV(0,"03769830299632579")</f>
        <v>#VALUE!</v>
      </c>
      <c r="I2059" t="s">
        <v>13144</v>
      </c>
      <c r="J2059" t="s">
        <v>13145</v>
      </c>
      <c r="K2059" t="s">
        <v>13146</v>
      </c>
      <c r="L2059" t="s">
        <v>13140</v>
      </c>
    </row>
    <row r="2060" spans="1:12" x14ac:dyDescent="0.25">
      <c r="A2060">
        <v>420193</v>
      </c>
      <c r="B2060">
        <v>488618</v>
      </c>
      <c r="D2060">
        <v>0</v>
      </c>
      <c r="E2060" t="s">
        <v>13148</v>
      </c>
      <c r="F2060" t="s">
        <v>13149</v>
      </c>
      <c r="G2060" t="s">
        <v>13150</v>
      </c>
      <c r="H2060" t="s">
        <v>13151</v>
      </c>
      <c r="I2060" t="s">
        <v>13152</v>
      </c>
      <c r="J2060" t="s">
        <v>13153</v>
      </c>
      <c r="K2060" t="s">
        <v>13154</v>
      </c>
      <c r="L2060" t="s">
        <v>13147</v>
      </c>
    </row>
    <row r="2061" spans="1:12" x14ac:dyDescent="0.25">
      <c r="A2061">
        <v>420194</v>
      </c>
      <c r="B2061">
        <v>449389</v>
      </c>
      <c r="D2061">
        <v>0</v>
      </c>
      <c r="E2061" t="s">
        <v>13156</v>
      </c>
      <c r="F2061" t="s">
        <v>13157</v>
      </c>
      <c r="G2061" t="s">
        <v>13158</v>
      </c>
      <c r="H2061" t="e" vm="907">
        <f>_FV(0,"01740167765773352")</f>
        <v>#VALUE!</v>
      </c>
      <c r="I2061" t="s">
        <v>13159</v>
      </c>
      <c r="J2061" t="s">
        <v>13160</v>
      </c>
      <c r="K2061" t="s">
        <v>13161</v>
      </c>
      <c r="L2061" t="s">
        <v>13155</v>
      </c>
    </row>
    <row r="2062" spans="1:12" x14ac:dyDescent="0.25">
      <c r="A2062">
        <v>420194</v>
      </c>
      <c r="B2062">
        <v>449378</v>
      </c>
      <c r="D2062">
        <v>0</v>
      </c>
      <c r="E2062" t="s">
        <v>13163</v>
      </c>
      <c r="F2062" t="s">
        <v>13164</v>
      </c>
      <c r="G2062" t="s">
        <v>13165</v>
      </c>
      <c r="H2062" t="e" vm="908">
        <f>_FV(0,"04194427320281629")</f>
        <v>#VALUE!</v>
      </c>
      <c r="I2062" t="s">
        <v>13166</v>
      </c>
      <c r="J2062" t="s">
        <v>13167</v>
      </c>
      <c r="K2062" t="s">
        <v>13168</v>
      </c>
      <c r="L2062" t="s">
        <v>13162</v>
      </c>
    </row>
    <row r="2063" spans="1:12" x14ac:dyDescent="0.25">
      <c r="A2063">
        <v>420194</v>
      </c>
      <c r="B2063">
        <v>488618</v>
      </c>
      <c r="D2063">
        <v>0</v>
      </c>
      <c r="E2063" t="s">
        <v>13170</v>
      </c>
      <c r="F2063" t="s">
        <v>13171</v>
      </c>
      <c r="G2063" t="s">
        <v>13172</v>
      </c>
      <c r="H2063" t="s">
        <v>13173</v>
      </c>
      <c r="I2063" t="s">
        <v>13174</v>
      </c>
      <c r="J2063" t="s">
        <v>13175</v>
      </c>
      <c r="K2063" t="s">
        <v>13176</v>
      </c>
      <c r="L2063" t="s">
        <v>13169</v>
      </c>
    </row>
    <row r="2064" spans="1:12" x14ac:dyDescent="0.25">
      <c r="A2064">
        <v>420249</v>
      </c>
      <c r="B2064">
        <v>420282</v>
      </c>
      <c r="D2064">
        <v>0</v>
      </c>
      <c r="E2064" t="s">
        <v>13178</v>
      </c>
      <c r="F2064" t="s">
        <v>13179</v>
      </c>
      <c r="G2064" t="s">
        <v>13180</v>
      </c>
      <c r="H2064" t="s">
        <v>13181</v>
      </c>
      <c r="I2064" t="s">
        <v>13182</v>
      </c>
      <c r="J2064" t="s">
        <v>13183</v>
      </c>
      <c r="K2064" t="s">
        <v>13184</v>
      </c>
      <c r="L2064" t="s">
        <v>13177</v>
      </c>
    </row>
    <row r="2065" spans="1:12" x14ac:dyDescent="0.25">
      <c r="A2065">
        <v>420249</v>
      </c>
      <c r="B2065">
        <v>592221</v>
      </c>
      <c r="D2065">
        <v>0</v>
      </c>
      <c r="E2065" t="s">
        <v>13186</v>
      </c>
      <c r="F2065" t="s">
        <v>13187</v>
      </c>
      <c r="G2065" t="s">
        <v>13188</v>
      </c>
      <c r="H2065" t="s">
        <v>13189</v>
      </c>
      <c r="I2065" t="s">
        <v>13190</v>
      </c>
      <c r="J2065" t="s">
        <v>13185</v>
      </c>
      <c r="K2065" t="s">
        <v>13191</v>
      </c>
      <c r="L2065" t="s">
        <v>13185</v>
      </c>
    </row>
    <row r="2066" spans="1:12" x14ac:dyDescent="0.25">
      <c r="A2066">
        <v>420282</v>
      </c>
      <c r="B2066">
        <v>1300689</v>
      </c>
      <c r="D2066">
        <v>0</v>
      </c>
      <c r="E2066" t="s">
        <v>13193</v>
      </c>
      <c r="F2066" t="s">
        <v>13194</v>
      </c>
      <c r="G2066" t="s">
        <v>13195</v>
      </c>
      <c r="H2066" t="s">
        <v>13196</v>
      </c>
      <c r="I2066" t="s">
        <v>13197</v>
      </c>
      <c r="J2066" t="s">
        <v>13192</v>
      </c>
      <c r="K2066" t="s">
        <v>13198</v>
      </c>
      <c r="L2066" t="s">
        <v>13192</v>
      </c>
    </row>
    <row r="2067" spans="1:12" x14ac:dyDescent="0.25">
      <c r="A2067">
        <v>420571</v>
      </c>
      <c r="B2067">
        <v>420581</v>
      </c>
      <c r="D2067">
        <v>0</v>
      </c>
      <c r="E2067" t="s">
        <v>13200</v>
      </c>
      <c r="F2067" t="s">
        <v>13201</v>
      </c>
      <c r="G2067" t="s">
        <v>13202</v>
      </c>
      <c r="H2067" t="e" vm="909">
        <f>_FV(0,"0026349822767403764")</f>
        <v>#VALUE!</v>
      </c>
      <c r="I2067" t="s">
        <v>13203</v>
      </c>
      <c r="J2067" t="s">
        <v>13204</v>
      </c>
      <c r="K2067" t="s">
        <v>13205</v>
      </c>
      <c r="L2067" t="s">
        <v>13199</v>
      </c>
    </row>
    <row r="2068" spans="1:12" x14ac:dyDescent="0.25">
      <c r="A2068">
        <v>420571</v>
      </c>
      <c r="B2068">
        <v>1460410</v>
      </c>
      <c r="D2068">
        <v>0</v>
      </c>
      <c r="E2068" t="s">
        <v>13207</v>
      </c>
      <c r="F2068" t="s">
        <v>13208</v>
      </c>
      <c r="G2068" t="s">
        <v>13209</v>
      </c>
      <c r="H2068" t="s">
        <v>13210</v>
      </c>
      <c r="I2068" t="s">
        <v>13211</v>
      </c>
      <c r="J2068" t="s">
        <v>13212</v>
      </c>
      <c r="K2068" t="s">
        <v>13213</v>
      </c>
      <c r="L2068" t="s">
        <v>13206</v>
      </c>
    </row>
    <row r="2069" spans="1:12" x14ac:dyDescent="0.25">
      <c r="A2069">
        <v>420581</v>
      </c>
      <c r="B2069">
        <v>1109982</v>
      </c>
      <c r="D2069">
        <v>0</v>
      </c>
      <c r="E2069" t="s">
        <v>13215</v>
      </c>
      <c r="F2069" t="s">
        <v>13216</v>
      </c>
      <c r="G2069" t="s">
        <v>13217</v>
      </c>
      <c r="H2069" t="e" vm="910">
        <f>_FV(0,"021970695971115346")</f>
        <v>#VALUE!</v>
      </c>
      <c r="I2069" t="s">
        <v>13218</v>
      </c>
      <c r="J2069" t="s">
        <v>13219</v>
      </c>
      <c r="K2069" t="s">
        <v>13220</v>
      </c>
      <c r="L2069" t="s">
        <v>13214</v>
      </c>
    </row>
    <row r="2070" spans="1:12" x14ac:dyDescent="0.25">
      <c r="A2070">
        <v>420638</v>
      </c>
      <c r="B2070">
        <v>420669</v>
      </c>
      <c r="D2070">
        <v>0</v>
      </c>
      <c r="E2070" t="s">
        <v>13222</v>
      </c>
      <c r="F2070" t="s">
        <v>13223</v>
      </c>
      <c r="G2070" t="s">
        <v>13224</v>
      </c>
      <c r="H2070" t="e" vm="911">
        <f>_FV(0,"018464436053378906")</f>
        <v>#VALUE!</v>
      </c>
      <c r="I2070" t="s">
        <v>13225</v>
      </c>
      <c r="J2070" t="s">
        <v>13226</v>
      </c>
      <c r="K2070" t="s">
        <v>13227</v>
      </c>
      <c r="L2070" t="s">
        <v>13221</v>
      </c>
    </row>
    <row r="2071" spans="1:12" x14ac:dyDescent="0.25">
      <c r="A2071">
        <v>420638</v>
      </c>
      <c r="B2071">
        <v>420752</v>
      </c>
      <c r="D2071">
        <v>0</v>
      </c>
      <c r="E2071" t="s">
        <v>13229</v>
      </c>
      <c r="F2071" t="s">
        <v>13230</v>
      </c>
      <c r="G2071" t="s">
        <v>13231</v>
      </c>
      <c r="H2071" t="s">
        <v>13232</v>
      </c>
      <c r="I2071" t="s">
        <v>13233</v>
      </c>
      <c r="J2071" t="s">
        <v>13228</v>
      </c>
      <c r="K2071" t="s">
        <v>13234</v>
      </c>
      <c r="L2071" t="s">
        <v>13228</v>
      </c>
    </row>
    <row r="2072" spans="1:12" x14ac:dyDescent="0.25">
      <c r="A2072">
        <v>420638</v>
      </c>
      <c r="B2072">
        <v>420987</v>
      </c>
      <c r="D2072">
        <v>0</v>
      </c>
      <c r="E2072" t="s">
        <v>13236</v>
      </c>
      <c r="F2072" t="s">
        <v>13237</v>
      </c>
      <c r="G2072" t="s">
        <v>13238</v>
      </c>
      <c r="H2072" t="s">
        <v>13239</v>
      </c>
      <c r="I2072" t="s">
        <v>13240</v>
      </c>
      <c r="J2072" t="s">
        <v>13241</v>
      </c>
      <c r="K2072" t="s">
        <v>13242</v>
      </c>
      <c r="L2072" t="s">
        <v>13235</v>
      </c>
    </row>
    <row r="2073" spans="1:12" x14ac:dyDescent="0.25">
      <c r="A2073">
        <v>420669</v>
      </c>
      <c r="B2073">
        <v>420697</v>
      </c>
      <c r="D2073">
        <v>0</v>
      </c>
      <c r="E2073" t="s">
        <v>13244</v>
      </c>
      <c r="F2073" t="s">
        <v>13245</v>
      </c>
      <c r="G2073" t="s">
        <v>13246</v>
      </c>
      <c r="H2073" t="e" vm="912">
        <f>_FV(0,"08666146497106528")</f>
        <v>#VALUE!</v>
      </c>
      <c r="I2073" t="s">
        <v>13247</v>
      </c>
      <c r="J2073" t="s">
        <v>13248</v>
      </c>
      <c r="K2073" t="s">
        <v>13249</v>
      </c>
      <c r="L2073" t="s">
        <v>13243</v>
      </c>
    </row>
    <row r="2074" spans="1:12" x14ac:dyDescent="0.25">
      <c r="A2074">
        <v>420697</v>
      </c>
      <c r="B2074">
        <v>420752</v>
      </c>
      <c r="D2074">
        <v>0</v>
      </c>
      <c r="E2074" t="s">
        <v>13251</v>
      </c>
      <c r="F2074" t="s">
        <v>13252</v>
      </c>
      <c r="G2074" t="s">
        <v>13253</v>
      </c>
      <c r="H2074" t="s">
        <v>13254</v>
      </c>
      <c r="I2074" t="s">
        <v>13255</v>
      </c>
      <c r="J2074" t="s">
        <v>13256</v>
      </c>
      <c r="K2074" t="s">
        <v>13257</v>
      </c>
      <c r="L2074" t="s">
        <v>13250</v>
      </c>
    </row>
    <row r="2075" spans="1:12" x14ac:dyDescent="0.25">
      <c r="A2075">
        <v>420752</v>
      </c>
      <c r="B2075">
        <v>420877</v>
      </c>
      <c r="D2075">
        <v>0</v>
      </c>
      <c r="E2075" t="s">
        <v>13259</v>
      </c>
      <c r="F2075" t="s">
        <v>13260</v>
      </c>
      <c r="G2075" t="s">
        <v>13261</v>
      </c>
      <c r="H2075" t="s">
        <v>13262</v>
      </c>
      <c r="I2075" t="s">
        <v>13263</v>
      </c>
      <c r="J2075" t="s">
        <v>13264</v>
      </c>
      <c r="K2075" t="s">
        <v>13265</v>
      </c>
      <c r="L2075" t="s">
        <v>13258</v>
      </c>
    </row>
    <row r="2076" spans="1:12" x14ac:dyDescent="0.25">
      <c r="A2076">
        <v>420877</v>
      </c>
      <c r="B2076">
        <v>974427</v>
      </c>
      <c r="D2076">
        <v>0</v>
      </c>
      <c r="E2076" t="s">
        <v>13267</v>
      </c>
      <c r="F2076" t="s">
        <v>13268</v>
      </c>
      <c r="G2076" t="s">
        <v>13269</v>
      </c>
      <c r="H2076" t="e" vm="913">
        <f>_FV(0,"6346331784661432")</f>
        <v>#VALUE!</v>
      </c>
      <c r="I2076" t="s">
        <v>13270</v>
      </c>
      <c r="J2076" t="s">
        <v>13271</v>
      </c>
      <c r="K2076" t="s">
        <v>13272</v>
      </c>
      <c r="L2076" t="s">
        <v>13266</v>
      </c>
    </row>
    <row r="2077" spans="1:12" x14ac:dyDescent="0.25">
      <c r="A2077">
        <v>420877</v>
      </c>
      <c r="B2077">
        <v>420987</v>
      </c>
      <c r="D2077">
        <v>0</v>
      </c>
      <c r="E2077" t="s">
        <v>13274</v>
      </c>
      <c r="F2077" t="s">
        <v>13275</v>
      </c>
      <c r="G2077" t="s">
        <v>13276</v>
      </c>
      <c r="H2077" t="e" vm="914">
        <f>_FV(0,"04778066169949113")</f>
        <v>#VALUE!</v>
      </c>
      <c r="I2077" t="s">
        <v>13277</v>
      </c>
      <c r="J2077" t="s">
        <v>13278</v>
      </c>
      <c r="K2077" t="s">
        <v>13279</v>
      </c>
      <c r="L2077" t="s">
        <v>13273</v>
      </c>
    </row>
    <row r="2078" spans="1:12" x14ac:dyDescent="0.25">
      <c r="A2078">
        <v>420987</v>
      </c>
      <c r="B2078">
        <v>1055681</v>
      </c>
      <c r="D2078">
        <v>0</v>
      </c>
      <c r="E2078" t="s">
        <v>13281</v>
      </c>
      <c r="F2078" t="s">
        <v>13282</v>
      </c>
      <c r="G2078" t="s">
        <v>13283</v>
      </c>
      <c r="H2078" t="s">
        <v>13284</v>
      </c>
      <c r="I2078" t="s">
        <v>13285</v>
      </c>
      <c r="J2078" t="s">
        <v>13280</v>
      </c>
      <c r="K2078" t="s">
        <v>13286</v>
      </c>
      <c r="L2078" t="s">
        <v>13280</v>
      </c>
    </row>
    <row r="2079" spans="1:12" x14ac:dyDescent="0.25">
      <c r="A2079">
        <v>421123</v>
      </c>
      <c r="B2079">
        <v>421147</v>
      </c>
      <c r="D2079">
        <v>0</v>
      </c>
      <c r="E2079" t="s">
        <v>13287</v>
      </c>
      <c r="F2079" t="s">
        <v>13288</v>
      </c>
      <c r="G2079" t="s">
        <v>13289</v>
      </c>
      <c r="H2079" t="s">
        <v>1333</v>
      </c>
      <c r="I2079" t="s">
        <v>13290</v>
      </c>
      <c r="J2079" t="s">
        <v>1333</v>
      </c>
      <c r="K2079" t="s">
        <v>13291</v>
      </c>
      <c r="L2079" t="s">
        <v>1333</v>
      </c>
    </row>
    <row r="2080" spans="1:12" x14ac:dyDescent="0.25">
      <c r="A2080">
        <v>421123</v>
      </c>
      <c r="B2080">
        <v>421191</v>
      </c>
      <c r="D2080">
        <v>0</v>
      </c>
      <c r="E2080" t="s">
        <v>13292</v>
      </c>
      <c r="F2080" t="s">
        <v>13293</v>
      </c>
      <c r="G2080" t="s">
        <v>13294</v>
      </c>
      <c r="H2080" t="e" vm="339">
        <f>_FV(0,"0")</f>
        <v>#VALUE!</v>
      </c>
      <c r="I2080" t="s">
        <v>13295</v>
      </c>
      <c r="J2080" t="s">
        <v>187</v>
      </c>
      <c r="K2080" t="s">
        <v>13296</v>
      </c>
      <c r="L2080" t="e" vm="339">
        <f>_FV(0,"0")</f>
        <v>#VALUE!</v>
      </c>
    </row>
    <row r="2081" spans="1:12" x14ac:dyDescent="0.25">
      <c r="A2081">
        <v>421123</v>
      </c>
      <c r="B2081">
        <v>421244</v>
      </c>
      <c r="D2081" t="s">
        <v>13298</v>
      </c>
      <c r="E2081" t="s">
        <v>13299</v>
      </c>
      <c r="F2081" t="s">
        <v>13300</v>
      </c>
      <c r="G2081" t="s">
        <v>13301</v>
      </c>
      <c r="H2081" t="e" vm="915">
        <f>_FV(-1,"3511220878866106e")-6</f>
        <v>#VALUE!</v>
      </c>
      <c r="I2081" t="s">
        <v>13302</v>
      </c>
      <c r="J2081" t="s">
        <v>13303</v>
      </c>
      <c r="K2081" t="s">
        <v>13304</v>
      </c>
      <c r="L2081" t="s">
        <v>13297</v>
      </c>
    </row>
    <row r="2082" spans="1:12" x14ac:dyDescent="0.25">
      <c r="A2082">
        <v>421147</v>
      </c>
      <c r="B2082">
        <v>421149</v>
      </c>
      <c r="D2082">
        <v>0</v>
      </c>
      <c r="E2082" t="s">
        <v>13306</v>
      </c>
      <c r="F2082" t="s">
        <v>13307</v>
      </c>
      <c r="G2082" t="s">
        <v>13308</v>
      </c>
      <c r="H2082" t="s">
        <v>13309</v>
      </c>
      <c r="I2082" t="s">
        <v>13310</v>
      </c>
      <c r="J2082" t="s">
        <v>4947</v>
      </c>
      <c r="K2082" t="s">
        <v>13311</v>
      </c>
      <c r="L2082" t="s">
        <v>13305</v>
      </c>
    </row>
    <row r="2083" spans="1:12" x14ac:dyDescent="0.25">
      <c r="A2083">
        <v>421147</v>
      </c>
      <c r="B2083">
        <v>421593</v>
      </c>
      <c r="D2083">
        <v>0</v>
      </c>
      <c r="E2083" t="s">
        <v>13312</v>
      </c>
      <c r="F2083" t="s">
        <v>13313</v>
      </c>
      <c r="G2083" t="s">
        <v>13314</v>
      </c>
      <c r="H2083" t="s">
        <v>1534</v>
      </c>
      <c r="I2083" t="s">
        <v>13315</v>
      </c>
      <c r="J2083" t="s">
        <v>1534</v>
      </c>
      <c r="K2083" t="s">
        <v>13316</v>
      </c>
      <c r="L2083" t="s">
        <v>1534</v>
      </c>
    </row>
    <row r="2084" spans="1:12" x14ac:dyDescent="0.25">
      <c r="A2084">
        <v>421149</v>
      </c>
      <c r="B2084">
        <v>421191</v>
      </c>
      <c r="D2084">
        <v>0</v>
      </c>
      <c r="E2084" t="s">
        <v>13317</v>
      </c>
      <c r="F2084" t="s">
        <v>13318</v>
      </c>
      <c r="G2084" t="s">
        <v>13319</v>
      </c>
      <c r="H2084" t="e" vm="87">
        <f>_FV(0,"001")</f>
        <v>#VALUE!</v>
      </c>
      <c r="I2084" t="s">
        <v>13320</v>
      </c>
      <c r="J2084" t="s">
        <v>1333</v>
      </c>
      <c r="K2084" t="s">
        <v>13321</v>
      </c>
      <c r="L2084" t="e" vm="87">
        <f>_FV(0,"001")</f>
        <v>#VALUE!</v>
      </c>
    </row>
    <row r="2085" spans="1:12" x14ac:dyDescent="0.25">
      <c r="A2085">
        <v>421149</v>
      </c>
      <c r="B2085">
        <v>421593</v>
      </c>
      <c r="D2085">
        <v>0</v>
      </c>
      <c r="E2085" t="s">
        <v>13322</v>
      </c>
      <c r="F2085" t="s">
        <v>13323</v>
      </c>
      <c r="G2085" t="s">
        <v>13324</v>
      </c>
      <c r="H2085" t="s">
        <v>1534</v>
      </c>
      <c r="I2085" t="s">
        <v>13325</v>
      </c>
      <c r="J2085" t="s">
        <v>1534</v>
      </c>
      <c r="K2085" t="s">
        <v>13326</v>
      </c>
      <c r="L2085" t="s">
        <v>1534</v>
      </c>
    </row>
    <row r="2086" spans="1:12" x14ac:dyDescent="0.25">
      <c r="A2086">
        <v>421191</v>
      </c>
      <c r="B2086">
        <v>421234</v>
      </c>
      <c r="C2086" t="s">
        <v>13328</v>
      </c>
      <c r="D2086" t="s">
        <v>13298</v>
      </c>
      <c r="E2086" t="s">
        <v>13329</v>
      </c>
      <c r="F2086" t="s">
        <v>13330</v>
      </c>
      <c r="G2086" t="s">
        <v>13331</v>
      </c>
      <c r="H2086" t="e" vm="916">
        <f>_FV(-8,"020634454093583e")-5</f>
        <v>#VALUE!</v>
      </c>
      <c r="I2086" t="s">
        <v>13332</v>
      </c>
      <c r="J2086" t="s">
        <v>13333</v>
      </c>
      <c r="K2086" t="s">
        <v>13334</v>
      </c>
      <c r="L2086" t="s">
        <v>13327</v>
      </c>
    </row>
    <row r="2087" spans="1:12" x14ac:dyDescent="0.25">
      <c r="A2087">
        <v>421214</v>
      </c>
      <c r="B2087">
        <v>421234</v>
      </c>
      <c r="C2087" t="s">
        <v>13336</v>
      </c>
      <c r="D2087">
        <v>0</v>
      </c>
      <c r="E2087" t="s">
        <v>13337</v>
      </c>
      <c r="F2087" t="s">
        <v>13338</v>
      </c>
      <c r="G2087" t="s">
        <v>13339</v>
      </c>
      <c r="H2087" t="e" vm="917">
        <f>_FV(0,"010206325165984841")</f>
        <v>#VALUE!</v>
      </c>
      <c r="I2087" t="s">
        <v>13340</v>
      </c>
      <c r="J2087" t="s">
        <v>6249</v>
      </c>
      <c r="K2087" t="s">
        <v>13341</v>
      </c>
      <c r="L2087" t="s">
        <v>13335</v>
      </c>
    </row>
    <row r="2088" spans="1:12" x14ac:dyDescent="0.25">
      <c r="A2088">
        <v>421214</v>
      </c>
      <c r="B2088">
        <v>421656</v>
      </c>
      <c r="D2088">
        <v>0</v>
      </c>
      <c r="E2088" t="s">
        <v>13343</v>
      </c>
      <c r="F2088" t="s">
        <v>13344</v>
      </c>
      <c r="G2088" t="s">
        <v>13345</v>
      </c>
      <c r="H2088" t="s">
        <v>13346</v>
      </c>
      <c r="I2088" t="s">
        <v>13347</v>
      </c>
      <c r="J2088" t="s">
        <v>13348</v>
      </c>
      <c r="K2088" t="s">
        <v>13349</v>
      </c>
      <c r="L2088" t="s">
        <v>13342</v>
      </c>
    </row>
    <row r="2089" spans="1:12" x14ac:dyDescent="0.25">
      <c r="A2089">
        <v>421214</v>
      </c>
      <c r="B2089">
        <v>604721</v>
      </c>
      <c r="D2089" t="s">
        <v>13351</v>
      </c>
      <c r="E2089" t="s">
        <v>13352</v>
      </c>
      <c r="F2089" t="s">
        <v>13353</v>
      </c>
      <c r="G2089" t="s">
        <v>13354</v>
      </c>
      <c r="H2089" t="s">
        <v>13355</v>
      </c>
      <c r="I2089" t="s">
        <v>13356</v>
      </c>
      <c r="J2089" t="s">
        <v>13357</v>
      </c>
      <c r="K2089" t="s">
        <v>13358</v>
      </c>
      <c r="L2089" t="s">
        <v>13350</v>
      </c>
    </row>
    <row r="2090" spans="1:12" x14ac:dyDescent="0.25">
      <c r="A2090">
        <v>421234</v>
      </c>
      <c r="B2090">
        <v>421656</v>
      </c>
      <c r="D2090">
        <v>0</v>
      </c>
      <c r="E2090" t="s">
        <v>13360</v>
      </c>
      <c r="F2090" t="s">
        <v>13361</v>
      </c>
      <c r="G2090" t="s">
        <v>13362</v>
      </c>
      <c r="H2090" t="s">
        <v>13363</v>
      </c>
      <c r="I2090" t="s">
        <v>13364</v>
      </c>
      <c r="J2090" t="s">
        <v>13359</v>
      </c>
      <c r="K2090" t="s">
        <v>13365</v>
      </c>
      <c r="L2090" t="s">
        <v>13359</v>
      </c>
    </row>
    <row r="2091" spans="1:12" x14ac:dyDescent="0.25">
      <c r="A2091">
        <v>421243</v>
      </c>
      <c r="B2091">
        <v>421244</v>
      </c>
      <c r="C2091" t="s">
        <v>13366</v>
      </c>
      <c r="D2091">
        <v>0</v>
      </c>
      <c r="F2091">
        <v>423312</v>
      </c>
      <c r="G2091">
        <v>421244</v>
      </c>
      <c r="H2091" t="e" vm="47">
        <f>_FV(0,"016")</f>
        <v>#VALUE!</v>
      </c>
      <c r="I2091">
        <v>421243</v>
      </c>
      <c r="J2091" t="s">
        <v>737</v>
      </c>
      <c r="K2091" t="s">
        <v>13367</v>
      </c>
      <c r="L2091" t="e" vm="47">
        <f>_FV(0,"016")</f>
        <v>#VALUE!</v>
      </c>
    </row>
    <row r="2092" spans="1:12" x14ac:dyDescent="0.25">
      <c r="A2092">
        <v>421243</v>
      </c>
      <c r="B2092">
        <v>421667</v>
      </c>
      <c r="D2092">
        <v>0</v>
      </c>
      <c r="E2092" t="s">
        <v>13369</v>
      </c>
      <c r="F2092" t="s">
        <v>13370</v>
      </c>
      <c r="G2092" t="s">
        <v>13371</v>
      </c>
      <c r="H2092" t="e" vm="918">
        <f>_FV(0,"01272095979953117")</f>
        <v>#VALUE!</v>
      </c>
      <c r="I2092" t="s">
        <v>13372</v>
      </c>
      <c r="J2092" t="s">
        <v>13373</v>
      </c>
      <c r="K2092" t="s">
        <v>13374</v>
      </c>
      <c r="L2092" t="s">
        <v>13368</v>
      </c>
    </row>
    <row r="2093" spans="1:12" x14ac:dyDescent="0.25">
      <c r="A2093">
        <v>421243</v>
      </c>
      <c r="B2093">
        <v>604762</v>
      </c>
      <c r="D2093" t="s">
        <v>13376</v>
      </c>
      <c r="E2093" t="s">
        <v>13377</v>
      </c>
      <c r="F2093" t="s">
        <v>13378</v>
      </c>
      <c r="G2093" t="s">
        <v>13379</v>
      </c>
      <c r="H2093" t="s">
        <v>13380</v>
      </c>
      <c r="I2093" t="s">
        <v>13381</v>
      </c>
      <c r="J2093" t="s">
        <v>13382</v>
      </c>
      <c r="K2093" t="s">
        <v>13383</v>
      </c>
      <c r="L2093" t="s">
        <v>13375</v>
      </c>
    </row>
    <row r="2094" spans="1:12" x14ac:dyDescent="0.25">
      <c r="A2094">
        <v>421244</v>
      </c>
      <c r="B2094">
        <v>421667</v>
      </c>
      <c r="D2094">
        <v>0</v>
      </c>
      <c r="E2094" t="s">
        <v>13385</v>
      </c>
      <c r="F2094" t="s">
        <v>13386</v>
      </c>
      <c r="G2094" t="s">
        <v>13387</v>
      </c>
      <c r="H2094" t="e" vm="919">
        <f>_FV(0,"01831129655522197")</f>
        <v>#VALUE!</v>
      </c>
      <c r="I2094" t="s">
        <v>13388</v>
      </c>
      <c r="J2094" t="s">
        <v>13389</v>
      </c>
      <c r="K2094" t="s">
        <v>13390</v>
      </c>
      <c r="L2094" t="s">
        <v>13384</v>
      </c>
    </row>
    <row r="2095" spans="1:12" x14ac:dyDescent="0.25">
      <c r="A2095">
        <v>421593</v>
      </c>
      <c r="B2095">
        <v>1540872</v>
      </c>
      <c r="D2095">
        <v>0</v>
      </c>
      <c r="E2095" t="s">
        <v>13392</v>
      </c>
      <c r="F2095" t="s">
        <v>13393</v>
      </c>
      <c r="G2095" t="s">
        <v>13394</v>
      </c>
      <c r="H2095" t="e" vm="920">
        <f>_FV(0,"0006490231112247961")</f>
        <v>#VALUE!</v>
      </c>
      <c r="I2095" t="s">
        <v>13395</v>
      </c>
      <c r="J2095" t="s">
        <v>13396</v>
      </c>
      <c r="K2095" t="s">
        <v>13397</v>
      </c>
      <c r="L2095" t="s">
        <v>13391</v>
      </c>
    </row>
    <row r="2096" spans="1:12" x14ac:dyDescent="0.25">
      <c r="A2096">
        <v>421656</v>
      </c>
      <c r="B2096">
        <v>1362670</v>
      </c>
      <c r="D2096">
        <v>0</v>
      </c>
      <c r="F2096">
        <v>1506850</v>
      </c>
      <c r="G2096">
        <v>1362670</v>
      </c>
      <c r="H2096" t="s">
        <v>4331</v>
      </c>
      <c r="I2096">
        <v>421656</v>
      </c>
      <c r="J2096" t="s">
        <v>4331</v>
      </c>
      <c r="K2096" t="s">
        <v>13398</v>
      </c>
      <c r="L2096" t="s">
        <v>4331</v>
      </c>
    </row>
    <row r="2097" spans="1:12" x14ac:dyDescent="0.25">
      <c r="A2097">
        <v>421656</v>
      </c>
      <c r="B2097">
        <v>421667</v>
      </c>
      <c r="D2097" t="s">
        <v>204</v>
      </c>
      <c r="E2097" t="s">
        <v>13400</v>
      </c>
      <c r="F2097" t="s">
        <v>13401</v>
      </c>
      <c r="G2097" t="s">
        <v>13402</v>
      </c>
      <c r="H2097" t="s">
        <v>13403</v>
      </c>
      <c r="I2097" t="s">
        <v>13404</v>
      </c>
      <c r="J2097" t="s">
        <v>13405</v>
      </c>
      <c r="K2097" t="s">
        <v>13406</v>
      </c>
      <c r="L2097" t="s">
        <v>13399</v>
      </c>
    </row>
    <row r="2098" spans="1:12" x14ac:dyDescent="0.25">
      <c r="A2098">
        <v>421667</v>
      </c>
      <c r="B2098">
        <v>1355042</v>
      </c>
      <c r="D2098">
        <v>0</v>
      </c>
      <c r="E2098" t="s">
        <v>13408</v>
      </c>
      <c r="F2098" t="s">
        <v>13409</v>
      </c>
      <c r="G2098" t="s">
        <v>13410</v>
      </c>
      <c r="H2098" t="e" vm="921">
        <f>_FV(0,"015921259218712284")</f>
        <v>#VALUE!</v>
      </c>
      <c r="I2098" t="s">
        <v>13411</v>
      </c>
      <c r="J2098" t="s">
        <v>13412</v>
      </c>
      <c r="K2098" t="s">
        <v>13413</v>
      </c>
      <c r="L2098" t="s">
        <v>13407</v>
      </c>
    </row>
    <row r="2099" spans="1:12" x14ac:dyDescent="0.25">
      <c r="A2099">
        <v>421667</v>
      </c>
      <c r="B2099">
        <v>1355067</v>
      </c>
      <c r="D2099">
        <v>0</v>
      </c>
      <c r="E2099" t="s">
        <v>13415</v>
      </c>
      <c r="F2099" t="s">
        <v>13416</v>
      </c>
      <c r="G2099" t="s">
        <v>13417</v>
      </c>
      <c r="H2099" t="e" vm="922">
        <f>_FV(0,"023484598099734664")</f>
        <v>#VALUE!</v>
      </c>
      <c r="I2099" t="s">
        <v>13418</v>
      </c>
      <c r="J2099" t="s">
        <v>13419</v>
      </c>
      <c r="K2099" t="s">
        <v>13420</v>
      </c>
      <c r="L2099" t="s">
        <v>13414</v>
      </c>
    </row>
    <row r="2100" spans="1:12" x14ac:dyDescent="0.25">
      <c r="A2100">
        <v>424416</v>
      </c>
      <c r="B2100">
        <v>424445</v>
      </c>
      <c r="D2100">
        <v>0</v>
      </c>
      <c r="E2100" t="s">
        <v>13422</v>
      </c>
      <c r="F2100" t="s">
        <v>13423</v>
      </c>
      <c r="G2100" t="s">
        <v>13424</v>
      </c>
      <c r="H2100" t="e" vm="923">
        <f>_FV(0,"02401924199703099")</f>
        <v>#VALUE!</v>
      </c>
      <c r="I2100" t="s">
        <v>13425</v>
      </c>
      <c r="J2100" t="s">
        <v>13426</v>
      </c>
      <c r="K2100" t="s">
        <v>13427</v>
      </c>
      <c r="L2100" t="s">
        <v>13421</v>
      </c>
    </row>
    <row r="2101" spans="1:12" x14ac:dyDescent="0.25">
      <c r="A2101">
        <v>424416</v>
      </c>
      <c r="B2101">
        <v>424499</v>
      </c>
      <c r="D2101">
        <v>0</v>
      </c>
      <c r="E2101" t="s">
        <v>13429</v>
      </c>
      <c r="F2101" t="s">
        <v>13430</v>
      </c>
      <c r="G2101" t="s">
        <v>13431</v>
      </c>
      <c r="H2101" t="s">
        <v>13432</v>
      </c>
      <c r="I2101" t="s">
        <v>13433</v>
      </c>
      <c r="J2101" t="s">
        <v>13428</v>
      </c>
      <c r="K2101" t="s">
        <v>13434</v>
      </c>
      <c r="L2101" t="s">
        <v>13428</v>
      </c>
    </row>
    <row r="2102" spans="1:12" x14ac:dyDescent="0.25">
      <c r="A2102">
        <v>424416</v>
      </c>
      <c r="B2102">
        <v>424575</v>
      </c>
      <c r="D2102">
        <v>0</v>
      </c>
      <c r="E2102" t="s">
        <v>13436</v>
      </c>
      <c r="F2102" t="s">
        <v>13437</v>
      </c>
      <c r="G2102" t="s">
        <v>13438</v>
      </c>
      <c r="H2102" t="e" vm="924">
        <f>_FV(0,"011549988864034555")</f>
        <v>#VALUE!</v>
      </c>
      <c r="I2102" t="s">
        <v>13439</v>
      </c>
      <c r="J2102" t="s">
        <v>13440</v>
      </c>
      <c r="K2102" t="s">
        <v>13441</v>
      </c>
      <c r="L2102" t="s">
        <v>13435</v>
      </c>
    </row>
    <row r="2103" spans="1:12" x14ac:dyDescent="0.25">
      <c r="A2103">
        <v>424445</v>
      </c>
      <c r="B2103">
        <v>424463</v>
      </c>
      <c r="D2103">
        <v>0</v>
      </c>
      <c r="E2103" t="s">
        <v>13443</v>
      </c>
      <c r="F2103" t="s">
        <v>13444</v>
      </c>
      <c r="G2103" t="s">
        <v>13445</v>
      </c>
      <c r="H2103" t="e" vm="925">
        <f>_FV(0,"07050201993498777")</f>
        <v>#VALUE!</v>
      </c>
      <c r="I2103" t="s">
        <v>13446</v>
      </c>
      <c r="J2103" t="s">
        <v>13447</v>
      </c>
      <c r="K2103" t="s">
        <v>13448</v>
      </c>
      <c r="L2103" t="s">
        <v>13442</v>
      </c>
    </row>
    <row r="2104" spans="1:12" x14ac:dyDescent="0.25">
      <c r="A2104">
        <v>424445</v>
      </c>
      <c r="B2104">
        <v>424527</v>
      </c>
      <c r="D2104">
        <v>0</v>
      </c>
      <c r="E2104" t="s">
        <v>13449</v>
      </c>
      <c r="F2104" t="s">
        <v>13450</v>
      </c>
      <c r="G2104" t="s">
        <v>13451</v>
      </c>
      <c r="H2104" t="e" vm="926">
        <f>_FV(0,"04127548447148002")</f>
        <v>#VALUE!</v>
      </c>
      <c r="I2104" t="s">
        <v>13452</v>
      </c>
      <c r="J2104" t="s">
        <v>9752</v>
      </c>
      <c r="K2104" t="s">
        <v>13453</v>
      </c>
      <c r="L2104" t="s">
        <v>9747</v>
      </c>
    </row>
    <row r="2105" spans="1:12" x14ac:dyDescent="0.25">
      <c r="A2105">
        <v>424463</v>
      </c>
      <c r="B2105">
        <v>424473</v>
      </c>
      <c r="D2105">
        <v>0</v>
      </c>
      <c r="F2105">
        <v>426402</v>
      </c>
      <c r="G2105">
        <v>424473</v>
      </c>
      <c r="H2105" t="e" vm="268">
        <f>_FV(0,"022")</f>
        <v>#VALUE!</v>
      </c>
      <c r="I2105">
        <v>424463</v>
      </c>
      <c r="J2105" t="s">
        <v>3940</v>
      </c>
      <c r="K2105" t="s">
        <v>13454</v>
      </c>
      <c r="L2105" t="e" vm="268">
        <f>_FV(0,"022")</f>
        <v>#VALUE!</v>
      </c>
    </row>
    <row r="2106" spans="1:12" x14ac:dyDescent="0.25">
      <c r="A2106">
        <v>424463</v>
      </c>
      <c r="B2106">
        <v>424527</v>
      </c>
      <c r="D2106">
        <v>0</v>
      </c>
      <c r="E2106" t="s">
        <v>13456</v>
      </c>
      <c r="F2106" t="s">
        <v>13457</v>
      </c>
      <c r="G2106" t="s">
        <v>13458</v>
      </c>
      <c r="H2106" t="e" vm="927">
        <f>_FV(0,"00268152549593416")</f>
        <v>#VALUE!</v>
      </c>
      <c r="I2106" t="s">
        <v>13459</v>
      </c>
      <c r="J2106" t="s">
        <v>4817</v>
      </c>
      <c r="K2106" t="s">
        <v>13460</v>
      </c>
      <c r="L2106" t="s">
        <v>13455</v>
      </c>
    </row>
    <row r="2107" spans="1:12" x14ac:dyDescent="0.25">
      <c r="A2107">
        <v>424473</v>
      </c>
      <c r="B2107">
        <v>424491</v>
      </c>
      <c r="D2107">
        <v>0</v>
      </c>
      <c r="E2107" t="s">
        <v>13462</v>
      </c>
      <c r="F2107" t="s">
        <v>13463</v>
      </c>
      <c r="G2107" t="s">
        <v>13464</v>
      </c>
      <c r="H2107" t="s">
        <v>13465</v>
      </c>
      <c r="I2107" t="s">
        <v>13466</v>
      </c>
      <c r="J2107" t="s">
        <v>13461</v>
      </c>
      <c r="K2107" t="s">
        <v>13467</v>
      </c>
      <c r="L2107" t="s">
        <v>13461</v>
      </c>
    </row>
    <row r="2108" spans="1:12" x14ac:dyDescent="0.25">
      <c r="A2108">
        <v>424473</v>
      </c>
      <c r="B2108">
        <v>1453439</v>
      </c>
      <c r="D2108">
        <v>0</v>
      </c>
      <c r="E2108" t="s">
        <v>13469</v>
      </c>
      <c r="F2108" t="s">
        <v>13470</v>
      </c>
      <c r="G2108" t="s">
        <v>13471</v>
      </c>
      <c r="H2108" t="e" vm="928">
        <f>_FV(0,"04737608555002321")</f>
        <v>#VALUE!</v>
      </c>
      <c r="I2108" t="s">
        <v>13472</v>
      </c>
      <c r="J2108" t="s">
        <v>13473</v>
      </c>
      <c r="K2108" t="s">
        <v>13474</v>
      </c>
      <c r="L2108" t="s">
        <v>13468</v>
      </c>
    </row>
    <row r="2109" spans="1:12" x14ac:dyDescent="0.25">
      <c r="A2109">
        <v>424491</v>
      </c>
      <c r="B2109">
        <v>424499</v>
      </c>
      <c r="D2109">
        <v>0</v>
      </c>
      <c r="F2109">
        <v>426426</v>
      </c>
      <c r="G2109">
        <v>424499</v>
      </c>
      <c r="H2109" t="s">
        <v>4038</v>
      </c>
      <c r="I2109">
        <v>424491</v>
      </c>
      <c r="J2109" t="s">
        <v>4038</v>
      </c>
      <c r="K2109" t="s">
        <v>13475</v>
      </c>
      <c r="L2109" t="s">
        <v>4038</v>
      </c>
    </row>
    <row r="2110" spans="1:12" x14ac:dyDescent="0.25">
      <c r="A2110">
        <v>424491</v>
      </c>
      <c r="B2110">
        <v>1453439</v>
      </c>
      <c r="D2110">
        <v>0</v>
      </c>
      <c r="E2110" t="s">
        <v>13477</v>
      </c>
      <c r="F2110" t="s">
        <v>13478</v>
      </c>
      <c r="G2110" t="s">
        <v>13479</v>
      </c>
      <c r="H2110" t="e" vm="929">
        <f>_FV(0,"07072717567971328")</f>
        <v>#VALUE!</v>
      </c>
      <c r="I2110" t="s">
        <v>13480</v>
      </c>
      <c r="J2110" t="s">
        <v>13481</v>
      </c>
      <c r="K2110" t="s">
        <v>13482</v>
      </c>
      <c r="L2110" t="s">
        <v>13476</v>
      </c>
    </row>
    <row r="2111" spans="1:12" x14ac:dyDescent="0.25">
      <c r="A2111">
        <v>424499</v>
      </c>
      <c r="B2111">
        <v>424575</v>
      </c>
      <c r="D2111">
        <v>0</v>
      </c>
      <c r="E2111" t="s">
        <v>13484</v>
      </c>
      <c r="F2111" t="s">
        <v>13485</v>
      </c>
      <c r="G2111" t="s">
        <v>13486</v>
      </c>
      <c r="H2111" t="e" vm="930">
        <f>_FV(0,"0442092501846036")</f>
        <v>#VALUE!</v>
      </c>
      <c r="I2111" t="s">
        <v>13487</v>
      </c>
      <c r="J2111" t="s">
        <v>13488</v>
      </c>
      <c r="K2111" t="s">
        <v>13489</v>
      </c>
      <c r="L2111" t="s">
        <v>13483</v>
      </c>
    </row>
    <row r="2112" spans="1:12" x14ac:dyDescent="0.25">
      <c r="A2112">
        <v>424527</v>
      </c>
      <c r="B2112">
        <v>1025265</v>
      </c>
      <c r="D2112">
        <v>0</v>
      </c>
      <c r="E2112" t="s">
        <v>13491</v>
      </c>
      <c r="F2112" t="s">
        <v>13492</v>
      </c>
      <c r="G2112" t="s">
        <v>13493</v>
      </c>
      <c r="H2112" t="e" vm="931">
        <f>_FV(0,"017399753662910387")</f>
        <v>#VALUE!</v>
      </c>
      <c r="I2112" t="s">
        <v>13494</v>
      </c>
      <c r="J2112" t="s">
        <v>13495</v>
      </c>
      <c r="K2112" t="s">
        <v>13496</v>
      </c>
      <c r="L2112" t="s">
        <v>13490</v>
      </c>
    </row>
    <row r="2113" spans="1:12" x14ac:dyDescent="0.25">
      <c r="A2113">
        <v>424575</v>
      </c>
      <c r="B2113">
        <v>986829</v>
      </c>
      <c r="D2113">
        <v>0</v>
      </c>
      <c r="E2113" t="s">
        <v>13498</v>
      </c>
      <c r="F2113" t="s">
        <v>13499</v>
      </c>
      <c r="G2113" t="s">
        <v>13500</v>
      </c>
      <c r="H2113" t="e" vm="932">
        <f>_FV(0,"001507284813050905")</f>
        <v>#VALUE!</v>
      </c>
      <c r="I2113" t="s">
        <v>13501</v>
      </c>
      <c r="J2113" t="s">
        <v>13502</v>
      </c>
      <c r="K2113" t="s">
        <v>13503</v>
      </c>
      <c r="L2113" t="s">
        <v>13497</v>
      </c>
    </row>
    <row r="2114" spans="1:12" x14ac:dyDescent="0.25">
      <c r="A2114">
        <v>425412</v>
      </c>
      <c r="B2114">
        <v>425421</v>
      </c>
      <c r="D2114">
        <v>0</v>
      </c>
      <c r="E2114" t="s">
        <v>13505</v>
      </c>
      <c r="F2114" t="s">
        <v>13506</v>
      </c>
      <c r="G2114" t="s">
        <v>13507</v>
      </c>
      <c r="H2114" t="e" vm="933">
        <f>_FV(0,"026268038848519963")</f>
        <v>#VALUE!</v>
      </c>
      <c r="I2114" t="s">
        <v>13508</v>
      </c>
      <c r="J2114" t="s">
        <v>13509</v>
      </c>
      <c r="K2114" t="s">
        <v>13510</v>
      </c>
      <c r="L2114" t="s">
        <v>13504</v>
      </c>
    </row>
    <row r="2115" spans="1:12" x14ac:dyDescent="0.25">
      <c r="A2115">
        <v>425412</v>
      </c>
      <c r="B2115">
        <v>425421</v>
      </c>
      <c r="D2115">
        <v>0</v>
      </c>
      <c r="E2115" t="s">
        <v>13512</v>
      </c>
      <c r="F2115" t="s">
        <v>13513</v>
      </c>
      <c r="G2115" t="s">
        <v>13514</v>
      </c>
      <c r="H2115" t="e" vm="934">
        <f>_FV(0,"025915425769483087")</f>
        <v>#VALUE!</v>
      </c>
      <c r="I2115" t="s">
        <v>13515</v>
      </c>
      <c r="J2115" t="s">
        <v>13516</v>
      </c>
      <c r="K2115" t="s">
        <v>13517</v>
      </c>
      <c r="L2115" t="s">
        <v>13511</v>
      </c>
    </row>
    <row r="2116" spans="1:12" x14ac:dyDescent="0.25">
      <c r="A2116">
        <v>425412</v>
      </c>
      <c r="B2116">
        <v>1854919</v>
      </c>
      <c r="C2116" t="s">
        <v>13518</v>
      </c>
      <c r="D2116">
        <v>0</v>
      </c>
      <c r="E2116" t="s">
        <v>13519</v>
      </c>
      <c r="H2116" t="s">
        <v>187</v>
      </c>
      <c r="J2116">
        <v>0</v>
      </c>
      <c r="K2116" t="s">
        <v>13520</v>
      </c>
      <c r="L2116">
        <v>0</v>
      </c>
    </row>
    <row r="2117" spans="1:12" x14ac:dyDescent="0.25">
      <c r="A2117">
        <v>425421</v>
      </c>
      <c r="B2117">
        <v>1274011</v>
      </c>
      <c r="D2117" t="s">
        <v>13522</v>
      </c>
      <c r="E2117" t="s">
        <v>13523</v>
      </c>
      <c r="F2117" t="s">
        <v>13524</v>
      </c>
      <c r="G2117" t="s">
        <v>13525</v>
      </c>
      <c r="H2117" t="e" vm="935">
        <f>_FV(0,"0032924784789368647")</f>
        <v>#VALUE!</v>
      </c>
      <c r="I2117" t="s">
        <v>13526</v>
      </c>
      <c r="J2117" t="s">
        <v>13527</v>
      </c>
      <c r="K2117" t="s">
        <v>13528</v>
      </c>
      <c r="L2117" t="s">
        <v>13521</v>
      </c>
    </row>
    <row r="2118" spans="1:12" x14ac:dyDescent="0.25">
      <c r="A2118">
        <v>426202</v>
      </c>
      <c r="B2118">
        <v>426211</v>
      </c>
      <c r="D2118">
        <v>0</v>
      </c>
      <c r="E2118" t="s">
        <v>13530</v>
      </c>
      <c r="F2118" t="s">
        <v>13531</v>
      </c>
      <c r="G2118" t="s">
        <v>13532</v>
      </c>
      <c r="H2118" t="e" vm="936">
        <f>_FV(0,"026374301623045496")</f>
        <v>#VALUE!</v>
      </c>
      <c r="I2118" t="s">
        <v>13533</v>
      </c>
      <c r="J2118" t="s">
        <v>13534</v>
      </c>
      <c r="K2118" t="s">
        <v>13535</v>
      </c>
      <c r="L2118" t="s">
        <v>13529</v>
      </c>
    </row>
    <row r="2119" spans="1:12" x14ac:dyDescent="0.25">
      <c r="A2119">
        <v>426202</v>
      </c>
      <c r="B2119">
        <v>426211</v>
      </c>
      <c r="D2119">
        <v>0</v>
      </c>
      <c r="E2119" t="s">
        <v>13537</v>
      </c>
      <c r="F2119" t="s">
        <v>13538</v>
      </c>
      <c r="G2119" t="s">
        <v>13539</v>
      </c>
      <c r="H2119" t="e" vm="937">
        <f>_FV(0,"026551227252299085")</f>
        <v>#VALUE!</v>
      </c>
      <c r="I2119" t="s">
        <v>13540</v>
      </c>
      <c r="J2119" t="s">
        <v>13541</v>
      </c>
      <c r="K2119" t="s">
        <v>13542</v>
      </c>
      <c r="L2119" t="s">
        <v>13536</v>
      </c>
    </row>
    <row r="2120" spans="1:12" x14ac:dyDescent="0.25">
      <c r="A2120">
        <v>426202</v>
      </c>
      <c r="B2120">
        <v>1854891</v>
      </c>
      <c r="D2120">
        <v>0</v>
      </c>
      <c r="E2120" t="s">
        <v>13543</v>
      </c>
      <c r="H2120" t="s">
        <v>187</v>
      </c>
      <c r="J2120">
        <v>0</v>
      </c>
      <c r="K2120" t="s">
        <v>13544</v>
      </c>
      <c r="L2120">
        <v>0</v>
      </c>
    </row>
    <row r="2121" spans="1:12" x14ac:dyDescent="0.25">
      <c r="A2121">
        <v>426211</v>
      </c>
      <c r="B2121">
        <v>480048</v>
      </c>
      <c r="D2121">
        <v>0</v>
      </c>
      <c r="E2121" t="s">
        <v>13546</v>
      </c>
      <c r="F2121" t="s">
        <v>13547</v>
      </c>
      <c r="G2121" t="s">
        <v>13548</v>
      </c>
      <c r="H2121" t="e" vm="938">
        <f>_FV(0,"01657249871202207")</f>
        <v>#VALUE!</v>
      </c>
      <c r="I2121" t="s">
        <v>13549</v>
      </c>
      <c r="J2121" t="s">
        <v>13550</v>
      </c>
      <c r="K2121" t="s">
        <v>13551</v>
      </c>
      <c r="L2121" t="s">
        <v>13545</v>
      </c>
    </row>
    <row r="2122" spans="1:12" x14ac:dyDescent="0.25">
      <c r="A2122">
        <v>427850</v>
      </c>
      <c r="B2122">
        <v>427851</v>
      </c>
      <c r="D2122">
        <v>0</v>
      </c>
      <c r="F2122">
        <v>429660</v>
      </c>
      <c r="G2122">
        <v>427851</v>
      </c>
      <c r="H2122" t="s">
        <v>1629</v>
      </c>
      <c r="I2122">
        <v>427850</v>
      </c>
      <c r="J2122" t="s">
        <v>1629</v>
      </c>
      <c r="K2122" t="s">
        <v>13552</v>
      </c>
      <c r="L2122" t="s">
        <v>1629</v>
      </c>
    </row>
    <row r="2123" spans="1:12" x14ac:dyDescent="0.25">
      <c r="A2123">
        <v>427850</v>
      </c>
      <c r="B2123">
        <v>430567</v>
      </c>
      <c r="D2123">
        <v>0</v>
      </c>
      <c r="E2123" t="s">
        <v>13554</v>
      </c>
      <c r="F2123" t="s">
        <v>13555</v>
      </c>
      <c r="G2123" t="s">
        <v>13556</v>
      </c>
      <c r="H2123" t="s">
        <v>13557</v>
      </c>
      <c r="I2123" t="s">
        <v>13558</v>
      </c>
      <c r="J2123" t="s">
        <v>13559</v>
      </c>
      <c r="K2123" t="s">
        <v>13560</v>
      </c>
      <c r="L2123" t="s">
        <v>13553</v>
      </c>
    </row>
    <row r="2124" spans="1:12" x14ac:dyDescent="0.25">
      <c r="A2124">
        <v>427851</v>
      </c>
      <c r="B2124">
        <v>427856</v>
      </c>
      <c r="D2124">
        <v>0</v>
      </c>
      <c r="F2124">
        <v>432341</v>
      </c>
      <c r="G2124">
        <v>427856</v>
      </c>
      <c r="H2124" t="s">
        <v>1536</v>
      </c>
      <c r="I2124">
        <v>427851</v>
      </c>
      <c r="J2124" t="s">
        <v>1536</v>
      </c>
      <c r="K2124" t="s">
        <v>13561</v>
      </c>
      <c r="L2124" t="s">
        <v>1536</v>
      </c>
    </row>
    <row r="2125" spans="1:12" x14ac:dyDescent="0.25">
      <c r="A2125">
        <v>427851</v>
      </c>
      <c r="B2125">
        <v>430596</v>
      </c>
      <c r="D2125">
        <v>0</v>
      </c>
      <c r="F2125">
        <v>432357</v>
      </c>
      <c r="G2125">
        <v>427851</v>
      </c>
      <c r="H2125" t="e" vm="339">
        <f>_FV(0,"0")</f>
        <v>#VALUE!</v>
      </c>
      <c r="I2125">
        <v>430596</v>
      </c>
      <c r="J2125" t="s">
        <v>187</v>
      </c>
      <c r="K2125" t="s">
        <v>13562</v>
      </c>
      <c r="L2125" t="e" vm="339">
        <f>_FV(0,"0")</f>
        <v>#VALUE!</v>
      </c>
    </row>
    <row r="2126" spans="1:12" x14ac:dyDescent="0.25">
      <c r="A2126">
        <v>427856</v>
      </c>
      <c r="B2126">
        <v>430596</v>
      </c>
      <c r="D2126">
        <v>0</v>
      </c>
      <c r="F2126">
        <v>432349</v>
      </c>
      <c r="G2126">
        <v>430596</v>
      </c>
      <c r="H2126" t="e" vm="939">
        <f>_FV(0,"043")</f>
        <v>#VALUE!</v>
      </c>
      <c r="I2126">
        <v>427856</v>
      </c>
      <c r="J2126" t="s">
        <v>12171</v>
      </c>
      <c r="K2126" t="s">
        <v>13563</v>
      </c>
      <c r="L2126" t="e" vm="939">
        <f>_FV(0,"043")</f>
        <v>#VALUE!</v>
      </c>
    </row>
    <row r="2127" spans="1:12" x14ac:dyDescent="0.25">
      <c r="A2127">
        <v>427933</v>
      </c>
      <c r="B2127">
        <v>430509</v>
      </c>
      <c r="D2127">
        <v>0</v>
      </c>
      <c r="E2127" t="s">
        <v>13565</v>
      </c>
      <c r="F2127" t="s">
        <v>13566</v>
      </c>
      <c r="G2127" t="s">
        <v>13567</v>
      </c>
      <c r="H2127" t="s">
        <v>13568</v>
      </c>
      <c r="I2127" t="s">
        <v>13569</v>
      </c>
      <c r="J2127" t="s">
        <v>13570</v>
      </c>
      <c r="K2127" t="s">
        <v>13571</v>
      </c>
      <c r="L2127" t="s">
        <v>13564</v>
      </c>
    </row>
    <row r="2128" spans="1:12" x14ac:dyDescent="0.25">
      <c r="A2128">
        <v>427933</v>
      </c>
      <c r="B2128">
        <v>430547</v>
      </c>
      <c r="C2128" t="s">
        <v>13573</v>
      </c>
      <c r="D2128">
        <v>0</v>
      </c>
      <c r="E2128" t="s">
        <v>13574</v>
      </c>
      <c r="F2128" t="s">
        <v>13575</v>
      </c>
      <c r="G2128" t="s">
        <v>13576</v>
      </c>
      <c r="H2128" t="s">
        <v>13577</v>
      </c>
      <c r="I2128" t="s">
        <v>13578</v>
      </c>
      <c r="J2128" t="s">
        <v>13579</v>
      </c>
      <c r="K2128" t="s">
        <v>13580</v>
      </c>
      <c r="L2128" t="s">
        <v>13572</v>
      </c>
    </row>
    <row r="2129" spans="1:12" x14ac:dyDescent="0.25">
      <c r="A2129">
        <v>429099</v>
      </c>
      <c r="B2129">
        <v>429135</v>
      </c>
      <c r="D2129">
        <v>0</v>
      </c>
      <c r="E2129" t="s">
        <v>13582</v>
      </c>
      <c r="F2129" t="s">
        <v>13583</v>
      </c>
      <c r="G2129" t="s">
        <v>13584</v>
      </c>
      <c r="H2129" t="s">
        <v>13585</v>
      </c>
      <c r="I2129" t="s">
        <v>13586</v>
      </c>
      <c r="J2129" t="s">
        <v>13581</v>
      </c>
      <c r="K2129" t="s">
        <v>13587</v>
      </c>
      <c r="L2129" t="s">
        <v>13581</v>
      </c>
    </row>
    <row r="2130" spans="1:12" x14ac:dyDescent="0.25">
      <c r="A2130">
        <v>429099</v>
      </c>
      <c r="B2130">
        <v>619605</v>
      </c>
      <c r="C2130" t="s">
        <v>13589</v>
      </c>
      <c r="D2130" t="s">
        <v>13590</v>
      </c>
      <c r="E2130" t="s">
        <v>13591</v>
      </c>
      <c r="F2130" t="s">
        <v>13592</v>
      </c>
      <c r="G2130" t="s">
        <v>13593</v>
      </c>
      <c r="H2130" t="s">
        <v>13594</v>
      </c>
      <c r="I2130" t="s">
        <v>13595</v>
      </c>
      <c r="J2130" t="s">
        <v>13596</v>
      </c>
      <c r="K2130" t="s">
        <v>13597</v>
      </c>
      <c r="L2130" t="s">
        <v>13588</v>
      </c>
    </row>
    <row r="2131" spans="1:12" x14ac:dyDescent="0.25">
      <c r="A2131">
        <v>429099</v>
      </c>
      <c r="B2131">
        <v>1764767</v>
      </c>
      <c r="D2131" t="s">
        <v>13599</v>
      </c>
      <c r="E2131" t="s">
        <v>13600</v>
      </c>
      <c r="F2131" t="s">
        <v>13601</v>
      </c>
      <c r="G2131" t="s">
        <v>13602</v>
      </c>
      <c r="H2131" t="e" vm="940">
        <f>_FV(0,"009325677690696366")</f>
        <v>#VALUE!</v>
      </c>
      <c r="I2131" t="s">
        <v>13603</v>
      </c>
      <c r="J2131" t="s">
        <v>13604</v>
      </c>
      <c r="K2131" t="s">
        <v>13605</v>
      </c>
      <c r="L2131" t="s">
        <v>13598</v>
      </c>
    </row>
    <row r="2132" spans="1:12" x14ac:dyDescent="0.25">
      <c r="A2132">
        <v>429183</v>
      </c>
      <c r="B2132">
        <v>405920</v>
      </c>
      <c r="D2132">
        <v>0</v>
      </c>
      <c r="E2132" t="s">
        <v>13607</v>
      </c>
      <c r="F2132" t="s">
        <v>13608</v>
      </c>
      <c r="G2132" t="s">
        <v>13609</v>
      </c>
      <c r="H2132" t="s">
        <v>13610</v>
      </c>
      <c r="I2132" t="s">
        <v>13611</v>
      </c>
      <c r="J2132" t="s">
        <v>13612</v>
      </c>
      <c r="K2132" t="s">
        <v>13613</v>
      </c>
      <c r="L2132" t="s">
        <v>13606</v>
      </c>
    </row>
    <row r="2133" spans="1:12" x14ac:dyDescent="0.25">
      <c r="A2133">
        <v>429183</v>
      </c>
      <c r="B2133">
        <v>477756</v>
      </c>
      <c r="D2133">
        <v>0</v>
      </c>
      <c r="E2133" t="s">
        <v>13615</v>
      </c>
      <c r="F2133" t="s">
        <v>13616</v>
      </c>
      <c r="G2133" t="s">
        <v>13617</v>
      </c>
      <c r="H2133" t="s">
        <v>13618</v>
      </c>
      <c r="I2133" t="s">
        <v>13619</v>
      </c>
      <c r="J2133" t="s">
        <v>13620</v>
      </c>
      <c r="K2133" t="s">
        <v>13621</v>
      </c>
      <c r="L2133" t="s">
        <v>13614</v>
      </c>
    </row>
    <row r="2134" spans="1:12" x14ac:dyDescent="0.25">
      <c r="A2134">
        <v>429183</v>
      </c>
      <c r="B2134">
        <v>477778</v>
      </c>
      <c r="D2134">
        <v>0</v>
      </c>
      <c r="E2134" t="s">
        <v>13623</v>
      </c>
      <c r="F2134" t="s">
        <v>13624</v>
      </c>
      <c r="G2134" t="s">
        <v>13625</v>
      </c>
      <c r="H2134" t="s">
        <v>13626</v>
      </c>
      <c r="I2134" t="s">
        <v>13627</v>
      </c>
      <c r="J2134" t="s">
        <v>13628</v>
      </c>
      <c r="K2134" t="s">
        <v>13629</v>
      </c>
      <c r="L2134" t="s">
        <v>13622</v>
      </c>
    </row>
    <row r="2135" spans="1:12" x14ac:dyDescent="0.25">
      <c r="A2135">
        <v>429248</v>
      </c>
      <c r="B2135">
        <v>429330</v>
      </c>
      <c r="D2135">
        <v>0</v>
      </c>
      <c r="E2135" t="s">
        <v>13631</v>
      </c>
      <c r="F2135" t="s">
        <v>13632</v>
      </c>
      <c r="G2135" t="s">
        <v>13633</v>
      </c>
      <c r="H2135" t="s">
        <v>13634</v>
      </c>
      <c r="I2135" t="s">
        <v>13635</v>
      </c>
      <c r="J2135" t="s">
        <v>13630</v>
      </c>
      <c r="K2135" t="s">
        <v>13636</v>
      </c>
      <c r="L2135" t="s">
        <v>13630</v>
      </c>
    </row>
    <row r="2136" spans="1:12" x14ac:dyDescent="0.25">
      <c r="A2136">
        <v>429248</v>
      </c>
      <c r="B2136">
        <v>1095056</v>
      </c>
      <c r="C2136" t="s">
        <v>13638</v>
      </c>
      <c r="D2136" t="s">
        <v>13639</v>
      </c>
      <c r="E2136" t="s">
        <v>13640</v>
      </c>
      <c r="F2136" t="s">
        <v>13641</v>
      </c>
      <c r="G2136" t="s">
        <v>13642</v>
      </c>
      <c r="H2136" t="s">
        <v>13643</v>
      </c>
      <c r="I2136" t="s">
        <v>13644</v>
      </c>
      <c r="J2136" t="s">
        <v>13645</v>
      </c>
      <c r="K2136" t="s">
        <v>13646</v>
      </c>
      <c r="L2136" t="s">
        <v>13637</v>
      </c>
    </row>
    <row r="2137" spans="1:12" x14ac:dyDescent="0.25">
      <c r="A2137">
        <v>429248</v>
      </c>
      <c r="B2137">
        <v>477807</v>
      </c>
      <c r="D2137">
        <v>0</v>
      </c>
      <c r="E2137" t="s">
        <v>13648</v>
      </c>
      <c r="F2137" t="s">
        <v>13649</v>
      </c>
      <c r="G2137" t="s">
        <v>13650</v>
      </c>
      <c r="H2137" t="e" vm="941">
        <f>_FV(0,"00038768962326421436")</f>
        <v>#VALUE!</v>
      </c>
      <c r="I2137" t="s">
        <v>13651</v>
      </c>
      <c r="J2137" t="s">
        <v>13652</v>
      </c>
      <c r="K2137" t="s">
        <v>13653</v>
      </c>
      <c r="L2137" t="s">
        <v>13647</v>
      </c>
    </row>
    <row r="2138" spans="1:12" x14ac:dyDescent="0.25">
      <c r="A2138">
        <v>429341</v>
      </c>
      <c r="B2138">
        <v>429372</v>
      </c>
      <c r="D2138">
        <v>0</v>
      </c>
      <c r="F2138">
        <v>431186</v>
      </c>
      <c r="G2138">
        <v>429372</v>
      </c>
      <c r="H2138" t="e" vm="1">
        <f>_FV(0,"03")</f>
        <v>#VALUE!</v>
      </c>
      <c r="I2138">
        <v>429341</v>
      </c>
      <c r="J2138" t="s">
        <v>12</v>
      </c>
      <c r="K2138" t="s">
        <v>13654</v>
      </c>
      <c r="L2138" t="e" vm="1">
        <f>_FV(0,"03")</f>
        <v>#VALUE!</v>
      </c>
    </row>
    <row r="2139" spans="1:12" x14ac:dyDescent="0.25">
      <c r="A2139">
        <v>429341</v>
      </c>
      <c r="B2139">
        <v>429450</v>
      </c>
      <c r="D2139">
        <v>0</v>
      </c>
      <c r="E2139" t="s">
        <v>13656</v>
      </c>
      <c r="F2139" t="s">
        <v>13657</v>
      </c>
      <c r="G2139" t="s">
        <v>13658</v>
      </c>
      <c r="H2139" t="e" vm="942">
        <f>_FV(0,"00431078720671933")</f>
        <v>#VALUE!</v>
      </c>
      <c r="I2139" t="s">
        <v>13659</v>
      </c>
      <c r="J2139" t="s">
        <v>5583</v>
      </c>
      <c r="K2139" t="s">
        <v>13660</v>
      </c>
      <c r="L2139" t="s">
        <v>13655</v>
      </c>
    </row>
    <row r="2140" spans="1:12" x14ac:dyDescent="0.25">
      <c r="A2140">
        <v>429341</v>
      </c>
      <c r="B2140">
        <v>595726</v>
      </c>
      <c r="D2140">
        <v>0</v>
      </c>
      <c r="F2140">
        <v>590621</v>
      </c>
      <c r="G2140">
        <v>429341</v>
      </c>
      <c r="H2140" t="e" vm="353">
        <f>_FV(0,"045")</f>
        <v>#VALUE!</v>
      </c>
      <c r="I2140">
        <v>595726</v>
      </c>
      <c r="J2140" t="s">
        <v>4979</v>
      </c>
      <c r="K2140" t="s">
        <v>13661</v>
      </c>
      <c r="L2140" t="e" vm="353">
        <f>_FV(0,"045")</f>
        <v>#VALUE!</v>
      </c>
    </row>
    <row r="2141" spans="1:12" x14ac:dyDescent="0.25">
      <c r="A2141">
        <v>429372</v>
      </c>
      <c r="B2141">
        <v>429381</v>
      </c>
      <c r="D2141">
        <v>0</v>
      </c>
      <c r="E2141" t="s">
        <v>13662</v>
      </c>
      <c r="F2141" t="s">
        <v>13663</v>
      </c>
      <c r="G2141" t="s">
        <v>13664</v>
      </c>
      <c r="H2141" t="e" vm="943">
        <f>_FV(0,"032500035056710286")</f>
        <v>#VALUE!</v>
      </c>
      <c r="I2141" t="s">
        <v>13665</v>
      </c>
      <c r="J2141" t="s">
        <v>3368</v>
      </c>
      <c r="K2141" t="s">
        <v>13666</v>
      </c>
      <c r="L2141" t="s">
        <v>3363</v>
      </c>
    </row>
    <row r="2142" spans="1:12" x14ac:dyDescent="0.25">
      <c r="A2142">
        <v>429372</v>
      </c>
      <c r="B2142">
        <v>595737</v>
      </c>
      <c r="D2142" t="s">
        <v>1119</v>
      </c>
      <c r="E2142" t="s">
        <v>13668</v>
      </c>
      <c r="F2142" t="s">
        <v>13669</v>
      </c>
      <c r="G2142" t="s">
        <v>13670</v>
      </c>
      <c r="H2142" t="e" vm="944">
        <f>_FV(0,"006435552940519178")</f>
        <v>#VALUE!</v>
      </c>
      <c r="I2142" t="s">
        <v>13671</v>
      </c>
      <c r="J2142" t="s">
        <v>13672</v>
      </c>
      <c r="K2142" t="s">
        <v>13673</v>
      </c>
      <c r="L2142" t="s">
        <v>13667</v>
      </c>
    </row>
    <row r="2143" spans="1:12" x14ac:dyDescent="0.25">
      <c r="A2143">
        <v>429381</v>
      </c>
      <c r="B2143">
        <v>429450</v>
      </c>
      <c r="D2143">
        <v>0</v>
      </c>
      <c r="E2143" t="s">
        <v>13675</v>
      </c>
      <c r="F2143" t="s">
        <v>13676</v>
      </c>
      <c r="G2143" t="s">
        <v>13677</v>
      </c>
      <c r="H2143" t="s">
        <v>13678</v>
      </c>
      <c r="I2143" t="s">
        <v>13679</v>
      </c>
      <c r="J2143" t="s">
        <v>13680</v>
      </c>
      <c r="K2143" t="s">
        <v>13681</v>
      </c>
      <c r="L2143" t="s">
        <v>13674</v>
      </c>
    </row>
    <row r="2144" spans="1:12" x14ac:dyDescent="0.25">
      <c r="A2144">
        <v>429381</v>
      </c>
      <c r="B2144">
        <v>595737</v>
      </c>
      <c r="D2144" t="s">
        <v>1119</v>
      </c>
      <c r="E2144" t="s">
        <v>13683</v>
      </c>
      <c r="F2144" t="s">
        <v>13684</v>
      </c>
      <c r="G2144" t="s">
        <v>13685</v>
      </c>
      <c r="H2144" t="s">
        <v>13686</v>
      </c>
      <c r="I2144" t="s">
        <v>13687</v>
      </c>
      <c r="J2144" t="s">
        <v>13688</v>
      </c>
      <c r="K2144" t="s">
        <v>13689</v>
      </c>
      <c r="L2144" t="s">
        <v>13682</v>
      </c>
    </row>
    <row r="2145" spans="1:12" x14ac:dyDescent="0.25">
      <c r="A2145">
        <v>429450</v>
      </c>
      <c r="B2145">
        <v>595726</v>
      </c>
      <c r="D2145">
        <v>0</v>
      </c>
      <c r="F2145">
        <v>590615</v>
      </c>
      <c r="G2145">
        <v>429450</v>
      </c>
      <c r="H2145" t="e" vm="945">
        <f>_FV(0,"049")</f>
        <v>#VALUE!</v>
      </c>
      <c r="I2145">
        <v>595726</v>
      </c>
      <c r="J2145" t="s">
        <v>304</v>
      </c>
      <c r="K2145" t="s">
        <v>13690</v>
      </c>
      <c r="L2145" t="e" vm="945">
        <f>_FV(0,"049")</f>
        <v>#VALUE!</v>
      </c>
    </row>
    <row r="2146" spans="1:12" x14ac:dyDescent="0.25">
      <c r="A2146">
        <v>429461</v>
      </c>
      <c r="B2146">
        <v>429470</v>
      </c>
      <c r="D2146">
        <v>0</v>
      </c>
      <c r="F2146">
        <v>431265</v>
      </c>
      <c r="G2146">
        <v>429470</v>
      </c>
      <c r="H2146" t="s">
        <v>226</v>
      </c>
      <c r="I2146">
        <v>429461</v>
      </c>
      <c r="J2146" t="s">
        <v>226</v>
      </c>
      <c r="K2146" t="s">
        <v>13691</v>
      </c>
      <c r="L2146" t="s">
        <v>226</v>
      </c>
    </row>
    <row r="2147" spans="1:12" x14ac:dyDescent="0.25">
      <c r="A2147">
        <v>429461</v>
      </c>
      <c r="B2147">
        <v>429532</v>
      </c>
      <c r="D2147">
        <v>0</v>
      </c>
      <c r="E2147" t="s">
        <v>13693</v>
      </c>
      <c r="F2147" t="s">
        <v>13694</v>
      </c>
      <c r="G2147" t="s">
        <v>13695</v>
      </c>
      <c r="H2147" t="s">
        <v>13696</v>
      </c>
      <c r="I2147" t="s">
        <v>13697</v>
      </c>
      <c r="J2147" t="s">
        <v>13692</v>
      </c>
      <c r="K2147" t="s">
        <v>13698</v>
      </c>
      <c r="L2147" t="s">
        <v>13692</v>
      </c>
    </row>
    <row r="2148" spans="1:12" x14ac:dyDescent="0.25">
      <c r="A2148">
        <v>429461</v>
      </c>
      <c r="B2148">
        <v>447422</v>
      </c>
      <c r="D2148">
        <v>0</v>
      </c>
      <c r="E2148" t="s">
        <v>13700</v>
      </c>
      <c r="F2148" t="s">
        <v>13701</v>
      </c>
      <c r="G2148" t="s">
        <v>13702</v>
      </c>
      <c r="H2148" t="e" vm="946">
        <f>_FV(0,"11512741124466261")</f>
        <v>#VALUE!</v>
      </c>
      <c r="I2148" t="s">
        <v>13703</v>
      </c>
      <c r="J2148" t="s">
        <v>13704</v>
      </c>
      <c r="K2148" t="s">
        <v>13705</v>
      </c>
      <c r="L2148" t="s">
        <v>13699</v>
      </c>
    </row>
    <row r="2149" spans="1:12" x14ac:dyDescent="0.25">
      <c r="A2149">
        <v>429470</v>
      </c>
      <c r="B2149">
        <v>429490</v>
      </c>
      <c r="D2149">
        <v>0</v>
      </c>
      <c r="E2149" t="s">
        <v>13707</v>
      </c>
      <c r="F2149" t="s">
        <v>13708</v>
      </c>
      <c r="G2149" t="s">
        <v>13709</v>
      </c>
      <c r="H2149" t="e" vm="947">
        <f>_FV(0,"04933650154728595")</f>
        <v>#VALUE!</v>
      </c>
      <c r="I2149" t="s">
        <v>13710</v>
      </c>
      <c r="J2149" t="s">
        <v>13711</v>
      </c>
      <c r="K2149" t="s">
        <v>13712</v>
      </c>
      <c r="L2149" t="s">
        <v>13706</v>
      </c>
    </row>
    <row r="2150" spans="1:12" x14ac:dyDescent="0.25">
      <c r="A2150">
        <v>429470</v>
      </c>
      <c r="B2150">
        <v>447638</v>
      </c>
      <c r="D2150">
        <v>0</v>
      </c>
      <c r="E2150" t="s">
        <v>13714</v>
      </c>
      <c r="F2150" t="s">
        <v>13715</v>
      </c>
      <c r="G2150" t="s">
        <v>13716</v>
      </c>
      <c r="H2150" t="s">
        <v>13717</v>
      </c>
      <c r="I2150" t="s">
        <v>13718</v>
      </c>
      <c r="J2150" t="s">
        <v>13719</v>
      </c>
      <c r="K2150" t="s">
        <v>13720</v>
      </c>
      <c r="L2150" t="s">
        <v>13713</v>
      </c>
    </row>
    <row r="2151" spans="1:12" x14ac:dyDescent="0.25">
      <c r="A2151">
        <v>429490</v>
      </c>
      <c r="B2151">
        <v>429532</v>
      </c>
      <c r="D2151">
        <v>0</v>
      </c>
      <c r="E2151" t="s">
        <v>13722</v>
      </c>
      <c r="F2151" t="s">
        <v>13723</v>
      </c>
      <c r="G2151" t="s">
        <v>13724</v>
      </c>
      <c r="H2151" t="e" vm="948">
        <f>_FV(0,"007921347999914237")</f>
        <v>#VALUE!</v>
      </c>
      <c r="I2151" t="s">
        <v>13725</v>
      </c>
      <c r="J2151" t="s">
        <v>13726</v>
      </c>
      <c r="K2151" t="s">
        <v>13727</v>
      </c>
      <c r="L2151" t="s">
        <v>13721</v>
      </c>
    </row>
    <row r="2152" spans="1:12" x14ac:dyDescent="0.25">
      <c r="A2152">
        <v>429490</v>
      </c>
      <c r="B2152">
        <v>447638</v>
      </c>
      <c r="D2152">
        <v>0</v>
      </c>
      <c r="E2152" t="s">
        <v>13729</v>
      </c>
      <c r="F2152" t="s">
        <v>13730</v>
      </c>
      <c r="G2152" t="s">
        <v>13731</v>
      </c>
      <c r="H2152" t="s">
        <v>13732</v>
      </c>
      <c r="I2152" t="s">
        <v>13733</v>
      </c>
      <c r="J2152" t="s">
        <v>13734</v>
      </c>
      <c r="K2152" t="s">
        <v>13735</v>
      </c>
      <c r="L2152" t="s">
        <v>13728</v>
      </c>
    </row>
    <row r="2153" spans="1:12" x14ac:dyDescent="0.25">
      <c r="A2153">
        <v>429532</v>
      </c>
      <c r="B2153">
        <v>447422</v>
      </c>
      <c r="D2153">
        <v>0</v>
      </c>
      <c r="E2153" t="s">
        <v>13737</v>
      </c>
      <c r="F2153" t="s">
        <v>13738</v>
      </c>
      <c r="G2153" t="s">
        <v>13739</v>
      </c>
      <c r="H2153" t="e" vm="949">
        <f>_FV(0,"13169109540388868")</f>
        <v>#VALUE!</v>
      </c>
      <c r="I2153" t="s">
        <v>13740</v>
      </c>
      <c r="J2153" t="s">
        <v>13741</v>
      </c>
      <c r="K2153" t="s">
        <v>13742</v>
      </c>
      <c r="L2153" t="s">
        <v>13736</v>
      </c>
    </row>
    <row r="2154" spans="1:12" x14ac:dyDescent="0.25">
      <c r="A2154">
        <v>429551</v>
      </c>
      <c r="B2154">
        <v>429600</v>
      </c>
      <c r="D2154">
        <v>0</v>
      </c>
      <c r="E2154" t="s">
        <v>13744</v>
      </c>
      <c r="F2154" t="s">
        <v>13745</v>
      </c>
      <c r="G2154" t="s">
        <v>13746</v>
      </c>
      <c r="H2154" t="s">
        <v>13747</v>
      </c>
      <c r="I2154" t="s">
        <v>13748</v>
      </c>
      <c r="J2154" t="s">
        <v>13749</v>
      </c>
      <c r="K2154" t="s">
        <v>13750</v>
      </c>
      <c r="L2154" t="s">
        <v>13743</v>
      </c>
    </row>
    <row r="2155" spans="1:12" x14ac:dyDescent="0.25">
      <c r="A2155">
        <v>429551</v>
      </c>
      <c r="B2155">
        <v>429629</v>
      </c>
      <c r="D2155">
        <v>0</v>
      </c>
      <c r="E2155" t="s">
        <v>13752</v>
      </c>
      <c r="F2155" t="s">
        <v>13753</v>
      </c>
      <c r="G2155" t="s">
        <v>13754</v>
      </c>
      <c r="H2155" t="s">
        <v>13755</v>
      </c>
      <c r="I2155" t="s">
        <v>13756</v>
      </c>
      <c r="J2155" t="s">
        <v>13751</v>
      </c>
      <c r="K2155" t="s">
        <v>13757</v>
      </c>
      <c r="L2155" t="s">
        <v>13751</v>
      </c>
    </row>
    <row r="2156" spans="1:12" x14ac:dyDescent="0.25">
      <c r="A2156">
        <v>429551</v>
      </c>
      <c r="B2156">
        <v>450508</v>
      </c>
      <c r="D2156">
        <v>0</v>
      </c>
      <c r="E2156" t="s">
        <v>13759</v>
      </c>
      <c r="F2156" t="s">
        <v>13760</v>
      </c>
      <c r="G2156" t="s">
        <v>13761</v>
      </c>
      <c r="H2156" t="s">
        <v>13762</v>
      </c>
      <c r="I2156" t="s">
        <v>13763</v>
      </c>
      <c r="J2156" t="s">
        <v>13764</v>
      </c>
      <c r="K2156" t="s">
        <v>13765</v>
      </c>
      <c r="L2156" t="s">
        <v>13758</v>
      </c>
    </row>
    <row r="2157" spans="1:12" x14ac:dyDescent="0.25">
      <c r="A2157">
        <v>429600</v>
      </c>
      <c r="B2157">
        <v>429621</v>
      </c>
      <c r="D2157">
        <v>0</v>
      </c>
      <c r="E2157" t="s">
        <v>13767</v>
      </c>
      <c r="F2157" t="s">
        <v>13768</v>
      </c>
      <c r="G2157" t="s">
        <v>13769</v>
      </c>
      <c r="H2157" t="e" vm="950">
        <f>_FV(0,"08258033985575669")</f>
        <v>#VALUE!</v>
      </c>
      <c r="I2157" t="s">
        <v>13770</v>
      </c>
      <c r="J2157" t="s">
        <v>13771</v>
      </c>
      <c r="K2157" t="s">
        <v>13772</v>
      </c>
      <c r="L2157" t="s">
        <v>13766</v>
      </c>
    </row>
    <row r="2158" spans="1:12" x14ac:dyDescent="0.25">
      <c r="A2158">
        <v>429600</v>
      </c>
      <c r="B2158">
        <v>429650</v>
      </c>
      <c r="D2158">
        <v>0</v>
      </c>
      <c r="E2158" t="s">
        <v>13774</v>
      </c>
      <c r="F2158" t="s">
        <v>13775</v>
      </c>
      <c r="G2158" t="s">
        <v>13776</v>
      </c>
      <c r="H2158" t="s">
        <v>13777</v>
      </c>
      <c r="I2158" t="s">
        <v>13778</v>
      </c>
      <c r="J2158" t="s">
        <v>13779</v>
      </c>
      <c r="K2158" t="s">
        <v>13780</v>
      </c>
      <c r="L2158" t="s">
        <v>13773</v>
      </c>
    </row>
    <row r="2159" spans="1:12" x14ac:dyDescent="0.25">
      <c r="A2159">
        <v>429621</v>
      </c>
      <c r="B2159">
        <v>429629</v>
      </c>
      <c r="D2159">
        <v>0</v>
      </c>
      <c r="F2159">
        <v>431396</v>
      </c>
      <c r="G2159">
        <v>429629</v>
      </c>
      <c r="H2159" t="e" vm="144">
        <f>_FV(0,"003")</f>
        <v>#VALUE!</v>
      </c>
      <c r="I2159">
        <v>429621</v>
      </c>
      <c r="J2159" t="s">
        <v>1783</v>
      </c>
      <c r="K2159" t="s">
        <v>13781</v>
      </c>
      <c r="L2159" t="e" vm="144">
        <f>_FV(0,"003")</f>
        <v>#VALUE!</v>
      </c>
    </row>
    <row r="2160" spans="1:12" x14ac:dyDescent="0.25">
      <c r="A2160">
        <v>429621</v>
      </c>
      <c r="B2160">
        <v>429744</v>
      </c>
      <c r="D2160">
        <v>0</v>
      </c>
      <c r="E2160" t="s">
        <v>13783</v>
      </c>
      <c r="F2160" t="s">
        <v>13784</v>
      </c>
      <c r="G2160" t="s">
        <v>13785</v>
      </c>
      <c r="H2160" t="s">
        <v>13786</v>
      </c>
      <c r="I2160" t="s">
        <v>13787</v>
      </c>
      <c r="J2160" t="s">
        <v>13788</v>
      </c>
      <c r="K2160" t="s">
        <v>13789</v>
      </c>
      <c r="L2160" t="s">
        <v>13782</v>
      </c>
    </row>
    <row r="2161" spans="1:12" x14ac:dyDescent="0.25">
      <c r="A2161">
        <v>429629</v>
      </c>
      <c r="B2161">
        <v>450508</v>
      </c>
      <c r="D2161">
        <v>0</v>
      </c>
      <c r="E2161" t="s">
        <v>13791</v>
      </c>
      <c r="F2161" t="s">
        <v>13792</v>
      </c>
      <c r="G2161" t="s">
        <v>13793</v>
      </c>
      <c r="H2161" t="s">
        <v>13794</v>
      </c>
      <c r="I2161" t="s">
        <v>13795</v>
      </c>
      <c r="J2161" t="s">
        <v>13796</v>
      </c>
      <c r="K2161" t="s">
        <v>13797</v>
      </c>
      <c r="L2161" t="s">
        <v>13790</v>
      </c>
    </row>
    <row r="2162" spans="1:12" x14ac:dyDescent="0.25">
      <c r="A2162">
        <v>429650</v>
      </c>
      <c r="B2162">
        <v>429658</v>
      </c>
      <c r="D2162">
        <v>0</v>
      </c>
      <c r="F2162">
        <v>431420</v>
      </c>
      <c r="G2162">
        <v>429658</v>
      </c>
      <c r="H2162" t="s">
        <v>3940</v>
      </c>
      <c r="I2162">
        <v>429650</v>
      </c>
      <c r="J2162" t="s">
        <v>3940</v>
      </c>
      <c r="K2162" t="s">
        <v>13798</v>
      </c>
      <c r="L2162" t="s">
        <v>3940</v>
      </c>
    </row>
    <row r="2163" spans="1:12" x14ac:dyDescent="0.25">
      <c r="A2163">
        <v>429650</v>
      </c>
      <c r="B2163">
        <v>429744</v>
      </c>
      <c r="D2163">
        <v>0</v>
      </c>
      <c r="E2163" t="s">
        <v>13800</v>
      </c>
      <c r="F2163" t="s">
        <v>13801</v>
      </c>
      <c r="G2163" t="s">
        <v>13802</v>
      </c>
      <c r="H2163" t="s">
        <v>13803</v>
      </c>
      <c r="I2163" t="s">
        <v>13804</v>
      </c>
      <c r="J2163" t="s">
        <v>13799</v>
      </c>
      <c r="K2163" t="s">
        <v>13805</v>
      </c>
      <c r="L2163" t="s">
        <v>13799</v>
      </c>
    </row>
    <row r="2164" spans="1:12" x14ac:dyDescent="0.25">
      <c r="A2164">
        <v>429658</v>
      </c>
      <c r="B2164">
        <v>429678</v>
      </c>
      <c r="D2164">
        <v>0</v>
      </c>
      <c r="E2164" t="s">
        <v>13807</v>
      </c>
      <c r="F2164" t="s">
        <v>13808</v>
      </c>
      <c r="G2164" t="s">
        <v>13809</v>
      </c>
      <c r="H2164" t="e" vm="951">
        <f>_FV(0,"022728970528509022")</f>
        <v>#VALUE!</v>
      </c>
      <c r="I2164" t="s">
        <v>13810</v>
      </c>
      <c r="J2164" t="s">
        <v>13811</v>
      </c>
      <c r="K2164" t="s">
        <v>13812</v>
      </c>
      <c r="L2164" t="s">
        <v>13806</v>
      </c>
    </row>
    <row r="2165" spans="1:12" x14ac:dyDescent="0.25">
      <c r="A2165">
        <v>429658</v>
      </c>
      <c r="B2165">
        <v>926783</v>
      </c>
      <c r="D2165">
        <v>0</v>
      </c>
      <c r="E2165" t="s">
        <v>13814</v>
      </c>
      <c r="F2165" t="s">
        <v>13815</v>
      </c>
      <c r="G2165" t="s">
        <v>13816</v>
      </c>
      <c r="H2165" t="s">
        <v>13817</v>
      </c>
      <c r="I2165" t="s">
        <v>13818</v>
      </c>
      <c r="J2165" t="s">
        <v>13819</v>
      </c>
      <c r="K2165" t="s">
        <v>13820</v>
      </c>
      <c r="L2165" t="s">
        <v>13813</v>
      </c>
    </row>
    <row r="2166" spans="1:12" x14ac:dyDescent="0.25">
      <c r="A2166">
        <v>429678</v>
      </c>
      <c r="B2166">
        <v>429685</v>
      </c>
      <c r="D2166">
        <v>0</v>
      </c>
      <c r="F2166">
        <v>431444</v>
      </c>
      <c r="G2166">
        <v>429685</v>
      </c>
      <c r="H2166" t="e" vm="952">
        <f>_FV(0,"066")</f>
        <v>#VALUE!</v>
      </c>
      <c r="I2166">
        <v>429678</v>
      </c>
      <c r="J2166" t="s">
        <v>8057</v>
      </c>
      <c r="K2166" t="s">
        <v>13821</v>
      </c>
      <c r="L2166" t="e" vm="952">
        <f>_FV(0,"066")</f>
        <v>#VALUE!</v>
      </c>
    </row>
    <row r="2167" spans="1:12" x14ac:dyDescent="0.25">
      <c r="A2167">
        <v>429678</v>
      </c>
      <c r="B2167">
        <v>926783</v>
      </c>
      <c r="D2167">
        <v>0</v>
      </c>
      <c r="E2167" t="s">
        <v>13823</v>
      </c>
      <c r="F2167" t="s">
        <v>13824</v>
      </c>
      <c r="G2167" t="s">
        <v>13825</v>
      </c>
      <c r="H2167" t="s">
        <v>13826</v>
      </c>
      <c r="I2167" t="s">
        <v>13827</v>
      </c>
      <c r="J2167" t="s">
        <v>13828</v>
      </c>
      <c r="K2167" t="s">
        <v>13829</v>
      </c>
      <c r="L2167" t="s">
        <v>13822</v>
      </c>
    </row>
    <row r="2168" spans="1:12" x14ac:dyDescent="0.25">
      <c r="A2168">
        <v>429685</v>
      </c>
      <c r="B2168">
        <v>450640</v>
      </c>
      <c r="D2168">
        <v>0</v>
      </c>
      <c r="F2168">
        <v>452031</v>
      </c>
      <c r="G2168">
        <v>450640</v>
      </c>
      <c r="H2168" t="e" vm="953">
        <f>_FV(0,"489")</f>
        <v>#VALUE!</v>
      </c>
      <c r="I2168">
        <v>429685</v>
      </c>
      <c r="J2168" t="s">
        <v>13830</v>
      </c>
      <c r="K2168" t="s">
        <v>13831</v>
      </c>
      <c r="L2168" t="e" vm="953">
        <f>_FV(0,"489")</f>
        <v>#VALUE!</v>
      </c>
    </row>
    <row r="2169" spans="1:12" x14ac:dyDescent="0.25">
      <c r="A2169">
        <v>429685</v>
      </c>
      <c r="B2169">
        <v>429704</v>
      </c>
      <c r="D2169">
        <v>0</v>
      </c>
      <c r="E2169" t="s">
        <v>13833</v>
      </c>
      <c r="F2169" t="s">
        <v>13834</v>
      </c>
      <c r="G2169" t="s">
        <v>13835</v>
      </c>
      <c r="H2169" t="e" vm="954">
        <f>_FV(0,"05465349046504789")</f>
        <v>#VALUE!</v>
      </c>
      <c r="I2169" t="s">
        <v>13836</v>
      </c>
      <c r="J2169" t="s">
        <v>13837</v>
      </c>
      <c r="K2169" t="s">
        <v>13838</v>
      </c>
      <c r="L2169" t="s">
        <v>13832</v>
      </c>
    </row>
    <row r="2170" spans="1:12" x14ac:dyDescent="0.25">
      <c r="A2170">
        <v>429704</v>
      </c>
      <c r="B2170">
        <v>450862</v>
      </c>
      <c r="D2170">
        <v>0</v>
      </c>
      <c r="F2170">
        <v>452273</v>
      </c>
      <c r="G2170">
        <v>450862</v>
      </c>
      <c r="H2170" t="e" vm="955">
        <f>_FV(0,"297")</f>
        <v>#VALUE!</v>
      </c>
      <c r="I2170">
        <v>429704</v>
      </c>
      <c r="J2170" t="s">
        <v>13839</v>
      </c>
      <c r="K2170" t="s">
        <v>13840</v>
      </c>
      <c r="L2170" t="e" vm="955">
        <f>_FV(0,"297")</f>
        <v>#VALUE!</v>
      </c>
    </row>
    <row r="2171" spans="1:12" x14ac:dyDescent="0.25">
      <c r="A2171">
        <v>429704</v>
      </c>
      <c r="B2171">
        <v>429744</v>
      </c>
      <c r="D2171">
        <v>0</v>
      </c>
      <c r="E2171" t="s">
        <v>13842</v>
      </c>
      <c r="F2171" t="s">
        <v>13843</v>
      </c>
      <c r="G2171" t="s">
        <v>13844</v>
      </c>
      <c r="H2171" t="s">
        <v>13845</v>
      </c>
      <c r="I2171" t="s">
        <v>13846</v>
      </c>
      <c r="J2171" t="s">
        <v>13847</v>
      </c>
      <c r="K2171" t="s">
        <v>13848</v>
      </c>
      <c r="L2171" t="s">
        <v>13841</v>
      </c>
    </row>
    <row r="2172" spans="1:12" x14ac:dyDescent="0.25">
      <c r="A2172">
        <v>429873</v>
      </c>
      <c r="B2172">
        <v>429906</v>
      </c>
      <c r="D2172">
        <v>0</v>
      </c>
      <c r="E2172" t="s">
        <v>13850</v>
      </c>
      <c r="F2172" t="s">
        <v>13851</v>
      </c>
      <c r="G2172" t="s">
        <v>13852</v>
      </c>
      <c r="H2172" t="e" vm="956">
        <f>_FV(0,"0004966191183673063")</f>
        <v>#VALUE!</v>
      </c>
      <c r="I2172" t="s">
        <v>13853</v>
      </c>
      <c r="J2172" t="s">
        <v>13854</v>
      </c>
      <c r="K2172" t="s">
        <v>13855</v>
      </c>
      <c r="L2172" t="s">
        <v>13849</v>
      </c>
    </row>
    <row r="2173" spans="1:12" x14ac:dyDescent="0.25">
      <c r="A2173">
        <v>429873</v>
      </c>
      <c r="B2173">
        <v>429961</v>
      </c>
      <c r="D2173">
        <v>0</v>
      </c>
      <c r="E2173" t="s">
        <v>13857</v>
      </c>
      <c r="F2173" t="s">
        <v>13858</v>
      </c>
      <c r="G2173" t="s">
        <v>13859</v>
      </c>
      <c r="H2173" t="e" vm="957">
        <f>_FV(0,"0045069047757655")</f>
        <v>#VALUE!</v>
      </c>
      <c r="I2173" t="s">
        <v>13860</v>
      </c>
      <c r="J2173" t="s">
        <v>4817</v>
      </c>
      <c r="K2173" t="s">
        <v>13861</v>
      </c>
      <c r="L2173" t="s">
        <v>13856</v>
      </c>
    </row>
    <row r="2174" spans="1:12" x14ac:dyDescent="0.25">
      <c r="A2174">
        <v>429873</v>
      </c>
      <c r="B2174">
        <v>926858</v>
      </c>
      <c r="D2174">
        <v>0</v>
      </c>
      <c r="F2174">
        <v>961234</v>
      </c>
      <c r="G2174">
        <v>429873</v>
      </c>
      <c r="H2174" t="s">
        <v>1333</v>
      </c>
      <c r="I2174">
        <v>926858</v>
      </c>
      <c r="J2174" t="s">
        <v>1333</v>
      </c>
      <c r="K2174" t="s">
        <v>13862</v>
      </c>
      <c r="L2174" t="s">
        <v>1333</v>
      </c>
    </row>
    <row r="2175" spans="1:12" x14ac:dyDescent="0.25">
      <c r="A2175">
        <v>429906</v>
      </c>
      <c r="B2175">
        <v>926875</v>
      </c>
      <c r="D2175">
        <v>0</v>
      </c>
      <c r="F2175">
        <v>961258</v>
      </c>
      <c r="G2175">
        <v>926875</v>
      </c>
      <c r="H2175" t="s">
        <v>226</v>
      </c>
      <c r="I2175">
        <v>429906</v>
      </c>
      <c r="J2175" t="s">
        <v>226</v>
      </c>
      <c r="K2175" t="s">
        <v>13863</v>
      </c>
      <c r="L2175" t="s">
        <v>226</v>
      </c>
    </row>
    <row r="2176" spans="1:12" x14ac:dyDescent="0.25">
      <c r="A2176">
        <v>429906</v>
      </c>
      <c r="B2176">
        <v>429922</v>
      </c>
      <c r="D2176">
        <v>0</v>
      </c>
      <c r="E2176" t="s">
        <v>13864</v>
      </c>
      <c r="F2176" t="s">
        <v>13865</v>
      </c>
      <c r="G2176" t="s">
        <v>13866</v>
      </c>
      <c r="H2176" t="s">
        <v>13867</v>
      </c>
      <c r="I2176" t="s">
        <v>13868</v>
      </c>
      <c r="J2176" t="s">
        <v>11640</v>
      </c>
      <c r="K2176" t="s">
        <v>13869</v>
      </c>
      <c r="L2176" t="s">
        <v>11640</v>
      </c>
    </row>
    <row r="2177" spans="1:12" x14ac:dyDescent="0.25">
      <c r="A2177">
        <v>429922</v>
      </c>
      <c r="B2177">
        <v>926875</v>
      </c>
      <c r="D2177">
        <v>0</v>
      </c>
      <c r="F2177">
        <v>961266</v>
      </c>
      <c r="G2177">
        <v>926875</v>
      </c>
      <c r="H2177" t="s">
        <v>250</v>
      </c>
      <c r="I2177">
        <v>429922</v>
      </c>
      <c r="J2177" t="s">
        <v>250</v>
      </c>
      <c r="K2177" t="s">
        <v>13870</v>
      </c>
      <c r="L2177" t="s">
        <v>250</v>
      </c>
    </row>
    <row r="2178" spans="1:12" x14ac:dyDescent="0.25">
      <c r="A2178">
        <v>429922</v>
      </c>
      <c r="B2178">
        <v>429961</v>
      </c>
      <c r="D2178">
        <v>0</v>
      </c>
      <c r="E2178" t="s">
        <v>13872</v>
      </c>
      <c r="F2178" t="s">
        <v>13873</v>
      </c>
      <c r="G2178" t="s">
        <v>13874</v>
      </c>
      <c r="H2178" t="s">
        <v>13875</v>
      </c>
      <c r="I2178" t="s">
        <v>13876</v>
      </c>
      <c r="J2178" t="s">
        <v>13877</v>
      </c>
      <c r="K2178" t="s">
        <v>13878</v>
      </c>
      <c r="L2178" t="s">
        <v>13871</v>
      </c>
    </row>
    <row r="2179" spans="1:12" x14ac:dyDescent="0.25">
      <c r="A2179">
        <v>429961</v>
      </c>
      <c r="B2179">
        <v>926858</v>
      </c>
      <c r="D2179">
        <v>0</v>
      </c>
      <c r="F2179">
        <v>961226</v>
      </c>
      <c r="G2179">
        <v>429961</v>
      </c>
      <c r="H2179" t="s">
        <v>1783</v>
      </c>
      <c r="I2179">
        <v>926858</v>
      </c>
      <c r="J2179" t="s">
        <v>1783</v>
      </c>
      <c r="K2179" t="s">
        <v>13879</v>
      </c>
      <c r="L2179" t="s">
        <v>1783</v>
      </c>
    </row>
    <row r="2180" spans="1:12" x14ac:dyDescent="0.25">
      <c r="A2180">
        <v>429982</v>
      </c>
      <c r="B2180">
        <v>430004</v>
      </c>
      <c r="D2180">
        <v>0</v>
      </c>
      <c r="E2180" t="s">
        <v>13881</v>
      </c>
      <c r="F2180" t="s">
        <v>13882</v>
      </c>
      <c r="G2180" t="s">
        <v>13883</v>
      </c>
      <c r="H2180" t="s">
        <v>13884</v>
      </c>
      <c r="I2180" t="s">
        <v>13885</v>
      </c>
      <c r="J2180" t="s">
        <v>13880</v>
      </c>
      <c r="K2180" t="s">
        <v>13886</v>
      </c>
      <c r="L2180" t="s">
        <v>13880</v>
      </c>
    </row>
    <row r="2181" spans="1:12" x14ac:dyDescent="0.25">
      <c r="A2181">
        <v>429982</v>
      </c>
      <c r="B2181">
        <v>430053</v>
      </c>
      <c r="D2181">
        <v>0</v>
      </c>
      <c r="E2181" t="s">
        <v>13888</v>
      </c>
      <c r="F2181" t="s">
        <v>13889</v>
      </c>
      <c r="G2181" t="s">
        <v>13890</v>
      </c>
      <c r="H2181" t="s">
        <v>13891</v>
      </c>
      <c r="I2181" t="s">
        <v>13892</v>
      </c>
      <c r="J2181" t="s">
        <v>13887</v>
      </c>
      <c r="K2181" t="s">
        <v>13893</v>
      </c>
      <c r="L2181" t="s">
        <v>13887</v>
      </c>
    </row>
    <row r="2182" spans="1:12" x14ac:dyDescent="0.25">
      <c r="A2182">
        <v>429982</v>
      </c>
      <c r="B2182">
        <v>450262</v>
      </c>
      <c r="D2182">
        <v>0</v>
      </c>
      <c r="F2182">
        <v>451565</v>
      </c>
      <c r="G2182">
        <v>429982</v>
      </c>
      <c r="H2182" t="s">
        <v>1194</v>
      </c>
      <c r="I2182">
        <v>450262</v>
      </c>
      <c r="J2182" t="s">
        <v>1194</v>
      </c>
      <c r="K2182" t="s">
        <v>13894</v>
      </c>
      <c r="L2182" t="s">
        <v>1194</v>
      </c>
    </row>
    <row r="2183" spans="1:12" x14ac:dyDescent="0.25">
      <c r="A2183">
        <v>430004</v>
      </c>
      <c r="B2183">
        <v>430023</v>
      </c>
      <c r="D2183">
        <v>0</v>
      </c>
      <c r="E2183" t="s">
        <v>13896</v>
      </c>
      <c r="F2183" t="s">
        <v>13897</v>
      </c>
      <c r="G2183" t="s">
        <v>13898</v>
      </c>
      <c r="H2183" t="e" vm="958">
        <f>_FV(0,"00858411431389536")</f>
        <v>#VALUE!</v>
      </c>
      <c r="I2183" t="s">
        <v>13899</v>
      </c>
      <c r="J2183" t="s">
        <v>13900</v>
      </c>
      <c r="K2183" t="s">
        <v>13901</v>
      </c>
      <c r="L2183" t="s">
        <v>13895</v>
      </c>
    </row>
    <row r="2184" spans="1:12" x14ac:dyDescent="0.25">
      <c r="A2184">
        <v>430004</v>
      </c>
      <c r="B2184">
        <v>450288</v>
      </c>
      <c r="D2184">
        <v>0</v>
      </c>
      <c r="E2184" t="s">
        <v>13903</v>
      </c>
      <c r="F2184" t="s">
        <v>13904</v>
      </c>
      <c r="G2184" t="s">
        <v>13905</v>
      </c>
      <c r="H2184" t="e" vm="959">
        <f>_FV(0,"051335167786341736")</f>
        <v>#VALUE!</v>
      </c>
      <c r="I2184" t="s">
        <v>13906</v>
      </c>
      <c r="J2184" t="s">
        <v>13907</v>
      </c>
      <c r="K2184" t="s">
        <v>13908</v>
      </c>
      <c r="L2184" t="s">
        <v>13902</v>
      </c>
    </row>
    <row r="2185" spans="1:12" x14ac:dyDescent="0.25">
      <c r="A2185">
        <v>430023</v>
      </c>
      <c r="B2185">
        <v>430053</v>
      </c>
      <c r="D2185">
        <v>0</v>
      </c>
      <c r="E2185" t="s">
        <v>13910</v>
      </c>
      <c r="F2185" t="s">
        <v>13911</v>
      </c>
      <c r="G2185" t="s">
        <v>13912</v>
      </c>
      <c r="H2185" t="e" vm="960">
        <f>_FV(0,"007730916196016187")</f>
        <v>#VALUE!</v>
      </c>
      <c r="I2185" t="s">
        <v>13913</v>
      </c>
      <c r="J2185" t="s">
        <v>13914</v>
      </c>
      <c r="K2185" t="s">
        <v>13915</v>
      </c>
      <c r="L2185" t="s">
        <v>13909</v>
      </c>
    </row>
    <row r="2186" spans="1:12" x14ac:dyDescent="0.25">
      <c r="A2186">
        <v>430023</v>
      </c>
      <c r="B2186">
        <v>450288</v>
      </c>
      <c r="D2186">
        <v>0</v>
      </c>
      <c r="E2186" t="s">
        <v>13917</v>
      </c>
      <c r="F2186" t="s">
        <v>13918</v>
      </c>
      <c r="G2186" t="s">
        <v>13919</v>
      </c>
      <c r="H2186" t="e" vm="961">
        <f>_FV(0,"04457643157695171")</f>
        <v>#VALUE!</v>
      </c>
      <c r="I2186" t="s">
        <v>13920</v>
      </c>
      <c r="J2186" t="s">
        <v>13921</v>
      </c>
      <c r="K2186" t="s">
        <v>13922</v>
      </c>
      <c r="L2186" t="s">
        <v>13916</v>
      </c>
    </row>
    <row r="2187" spans="1:12" x14ac:dyDescent="0.25">
      <c r="A2187">
        <v>430053</v>
      </c>
      <c r="B2187">
        <v>450262</v>
      </c>
      <c r="D2187">
        <v>0</v>
      </c>
      <c r="F2187">
        <v>451557</v>
      </c>
      <c r="G2187">
        <v>430053</v>
      </c>
      <c r="H2187" t="s">
        <v>7670</v>
      </c>
      <c r="I2187">
        <v>450262</v>
      </c>
      <c r="J2187" t="s">
        <v>7670</v>
      </c>
      <c r="K2187" t="s">
        <v>13923</v>
      </c>
      <c r="L2187" t="s">
        <v>7670</v>
      </c>
    </row>
    <row r="2188" spans="1:12" x14ac:dyDescent="0.25">
      <c r="A2188">
        <v>430065</v>
      </c>
      <c r="B2188">
        <v>430066</v>
      </c>
      <c r="D2188">
        <v>0</v>
      </c>
      <c r="F2188">
        <v>431788</v>
      </c>
      <c r="G2188">
        <v>430066</v>
      </c>
      <c r="H2188" t="s">
        <v>226</v>
      </c>
      <c r="I2188">
        <v>430065</v>
      </c>
      <c r="J2188" t="s">
        <v>226</v>
      </c>
      <c r="K2188" t="s">
        <v>13924</v>
      </c>
      <c r="L2188" t="s">
        <v>226</v>
      </c>
    </row>
    <row r="2189" spans="1:12" x14ac:dyDescent="0.25">
      <c r="A2189">
        <v>430065</v>
      </c>
      <c r="B2189">
        <v>430135</v>
      </c>
      <c r="D2189">
        <v>0</v>
      </c>
      <c r="E2189" t="s">
        <v>13926</v>
      </c>
      <c r="F2189" t="s">
        <v>13927</v>
      </c>
      <c r="G2189" t="s">
        <v>13928</v>
      </c>
      <c r="H2189" t="s">
        <v>13929</v>
      </c>
      <c r="I2189" t="s">
        <v>13930</v>
      </c>
      <c r="J2189" t="s">
        <v>5572</v>
      </c>
      <c r="K2189" t="s">
        <v>13931</v>
      </c>
      <c r="L2189" t="s">
        <v>13925</v>
      </c>
    </row>
    <row r="2190" spans="1:12" x14ac:dyDescent="0.25">
      <c r="A2190">
        <v>430065</v>
      </c>
      <c r="B2190">
        <v>490716</v>
      </c>
      <c r="D2190">
        <v>0</v>
      </c>
      <c r="E2190" t="s">
        <v>13933</v>
      </c>
      <c r="F2190" t="s">
        <v>13934</v>
      </c>
      <c r="G2190" t="s">
        <v>13935</v>
      </c>
      <c r="H2190" t="e" vm="962">
        <f>_FV(0,"030666800816958526")</f>
        <v>#VALUE!</v>
      </c>
      <c r="I2190" t="s">
        <v>13936</v>
      </c>
      <c r="J2190" t="s">
        <v>13937</v>
      </c>
      <c r="K2190" t="s">
        <v>13938</v>
      </c>
      <c r="L2190" t="s">
        <v>13932</v>
      </c>
    </row>
    <row r="2191" spans="1:12" x14ac:dyDescent="0.25">
      <c r="A2191">
        <v>430066</v>
      </c>
      <c r="B2191">
        <v>430080</v>
      </c>
      <c r="D2191">
        <v>0</v>
      </c>
      <c r="E2191" t="s">
        <v>13940</v>
      </c>
      <c r="F2191" t="s">
        <v>13941</v>
      </c>
      <c r="G2191" t="s">
        <v>13942</v>
      </c>
      <c r="H2191" t="e" vm="963">
        <f>_FV(0,"0008508496312380873")</f>
        <v>#VALUE!</v>
      </c>
      <c r="I2191" t="s">
        <v>13943</v>
      </c>
      <c r="J2191" t="s">
        <v>13113</v>
      </c>
      <c r="K2191" t="s">
        <v>13944</v>
      </c>
      <c r="L2191" t="s">
        <v>13939</v>
      </c>
    </row>
    <row r="2192" spans="1:12" x14ac:dyDescent="0.25">
      <c r="A2192">
        <v>430066</v>
      </c>
      <c r="B2192">
        <v>984851</v>
      </c>
      <c r="D2192" t="s">
        <v>700</v>
      </c>
      <c r="E2192" t="s">
        <v>13946</v>
      </c>
      <c r="F2192" t="s">
        <v>13947</v>
      </c>
      <c r="G2192" t="s">
        <v>13948</v>
      </c>
      <c r="H2192" t="e" vm="964">
        <f>_FV(0,"014003181211902171")</f>
        <v>#VALUE!</v>
      </c>
      <c r="I2192" t="s">
        <v>13949</v>
      </c>
      <c r="J2192" t="s">
        <v>13950</v>
      </c>
      <c r="K2192" t="s">
        <v>13951</v>
      </c>
      <c r="L2192" t="s">
        <v>13945</v>
      </c>
    </row>
    <row r="2193" spans="1:12" x14ac:dyDescent="0.25">
      <c r="A2193">
        <v>430080</v>
      </c>
      <c r="B2193">
        <v>430088</v>
      </c>
      <c r="D2193">
        <v>0</v>
      </c>
      <c r="F2193">
        <v>431812</v>
      </c>
      <c r="G2193">
        <v>430088</v>
      </c>
      <c r="H2193" t="e" vm="16">
        <f>_FV(0,"007")</f>
        <v>#VALUE!</v>
      </c>
      <c r="I2193">
        <v>430080</v>
      </c>
      <c r="J2193" t="s">
        <v>226</v>
      </c>
      <c r="K2193" t="s">
        <v>13952</v>
      </c>
      <c r="L2193" t="e" vm="16">
        <f>_FV(0,"007")</f>
        <v>#VALUE!</v>
      </c>
    </row>
    <row r="2194" spans="1:12" x14ac:dyDescent="0.25">
      <c r="A2194">
        <v>430080</v>
      </c>
      <c r="B2194">
        <v>984851</v>
      </c>
      <c r="D2194" t="s">
        <v>700</v>
      </c>
      <c r="E2194" t="s">
        <v>13954</v>
      </c>
      <c r="F2194" t="s">
        <v>13955</v>
      </c>
      <c r="G2194" t="s">
        <v>13956</v>
      </c>
      <c r="H2194" t="e" vm="965">
        <f>_FV(0,"013036315581315005")</f>
        <v>#VALUE!</v>
      </c>
      <c r="I2194" t="s">
        <v>13957</v>
      </c>
      <c r="J2194" t="s">
        <v>13958</v>
      </c>
      <c r="K2194" t="s">
        <v>13959</v>
      </c>
      <c r="L2194" t="s">
        <v>13953</v>
      </c>
    </row>
    <row r="2195" spans="1:12" x14ac:dyDescent="0.25">
      <c r="A2195">
        <v>430088</v>
      </c>
      <c r="B2195">
        <v>490718</v>
      </c>
      <c r="D2195">
        <v>0</v>
      </c>
      <c r="F2195">
        <v>1029140</v>
      </c>
      <c r="G2195">
        <v>490718</v>
      </c>
      <c r="H2195" t="e" vm="184">
        <f>_FV(0,"031")</f>
        <v>#VALUE!</v>
      </c>
      <c r="I2195">
        <v>430088</v>
      </c>
      <c r="J2195" t="s">
        <v>2871</v>
      </c>
      <c r="K2195" t="s">
        <v>13960</v>
      </c>
      <c r="L2195" t="e" vm="184">
        <f>_FV(0,"031")</f>
        <v>#VALUE!</v>
      </c>
    </row>
    <row r="2196" spans="1:12" x14ac:dyDescent="0.25">
      <c r="A2196">
        <v>430088</v>
      </c>
      <c r="B2196">
        <v>430101</v>
      </c>
      <c r="D2196">
        <v>0</v>
      </c>
      <c r="E2196" t="s">
        <v>13962</v>
      </c>
      <c r="F2196" t="s">
        <v>13963</v>
      </c>
      <c r="G2196" t="s">
        <v>13964</v>
      </c>
      <c r="H2196" t="e" vm="966">
        <f>_FV(0,"004132663529600389")</f>
        <v>#VALUE!</v>
      </c>
      <c r="I2196" t="s">
        <v>13965</v>
      </c>
      <c r="J2196" t="s">
        <v>13966</v>
      </c>
      <c r="K2196" t="s">
        <v>13967</v>
      </c>
      <c r="L2196" t="s">
        <v>13961</v>
      </c>
    </row>
    <row r="2197" spans="1:12" x14ac:dyDescent="0.25">
      <c r="A2197">
        <v>430101</v>
      </c>
      <c r="B2197">
        <v>430110</v>
      </c>
      <c r="D2197">
        <v>0</v>
      </c>
      <c r="F2197">
        <v>431836</v>
      </c>
      <c r="G2197">
        <v>430110</v>
      </c>
      <c r="H2197" t="e" vm="87">
        <f>_FV(0,"001")</f>
        <v>#VALUE!</v>
      </c>
      <c r="I2197">
        <v>430101</v>
      </c>
      <c r="J2197" t="s">
        <v>1333</v>
      </c>
      <c r="K2197" t="s">
        <v>13968</v>
      </c>
      <c r="L2197" t="e" vm="87">
        <f>_FV(0,"001")</f>
        <v>#VALUE!</v>
      </c>
    </row>
    <row r="2198" spans="1:12" x14ac:dyDescent="0.25">
      <c r="A2198">
        <v>430101</v>
      </c>
      <c r="B2198">
        <v>490718</v>
      </c>
      <c r="D2198">
        <v>0</v>
      </c>
      <c r="F2198">
        <v>490262</v>
      </c>
      <c r="G2198">
        <v>490718</v>
      </c>
      <c r="H2198" t="e" vm="967">
        <f>_FV(0,"028")</f>
        <v>#VALUE!</v>
      </c>
      <c r="I2198">
        <v>430101</v>
      </c>
      <c r="J2198" t="s">
        <v>2704</v>
      </c>
      <c r="K2198" t="s">
        <v>13969</v>
      </c>
      <c r="L2198" t="e" vm="967">
        <f>_FV(0,"028")</f>
        <v>#VALUE!</v>
      </c>
    </row>
    <row r="2199" spans="1:12" x14ac:dyDescent="0.25">
      <c r="A2199">
        <v>430110</v>
      </c>
      <c r="B2199">
        <v>430127</v>
      </c>
      <c r="D2199">
        <v>0</v>
      </c>
      <c r="E2199" t="s">
        <v>13970</v>
      </c>
      <c r="F2199" t="s">
        <v>13971</v>
      </c>
      <c r="G2199" t="s">
        <v>13972</v>
      </c>
      <c r="H2199" t="s">
        <v>13973</v>
      </c>
      <c r="I2199" t="s">
        <v>13974</v>
      </c>
      <c r="J2199" t="s">
        <v>4772</v>
      </c>
      <c r="K2199" t="s">
        <v>13975</v>
      </c>
      <c r="L2199" t="s">
        <v>4772</v>
      </c>
    </row>
    <row r="2200" spans="1:12" x14ac:dyDescent="0.25">
      <c r="A2200">
        <v>430110</v>
      </c>
      <c r="B2200">
        <v>489103</v>
      </c>
      <c r="D2200">
        <v>0</v>
      </c>
      <c r="E2200" t="s">
        <v>13977</v>
      </c>
      <c r="F2200" t="s">
        <v>13978</v>
      </c>
      <c r="G2200" t="s">
        <v>13979</v>
      </c>
      <c r="H2200" t="e" vm="968">
        <f>_FV(0,"03280486980233839")</f>
        <v>#VALUE!</v>
      </c>
      <c r="I2200" t="s">
        <v>13980</v>
      </c>
      <c r="J2200" t="s">
        <v>13981</v>
      </c>
      <c r="K2200" t="s">
        <v>13982</v>
      </c>
      <c r="L2200" t="s">
        <v>13976</v>
      </c>
    </row>
    <row r="2201" spans="1:12" x14ac:dyDescent="0.25">
      <c r="A2201">
        <v>430127</v>
      </c>
      <c r="B2201">
        <v>430135</v>
      </c>
      <c r="D2201">
        <v>0</v>
      </c>
      <c r="F2201">
        <v>431860</v>
      </c>
      <c r="G2201">
        <v>430135</v>
      </c>
      <c r="H2201" t="e" vm="87">
        <f>_FV(0,"001")</f>
        <v>#VALUE!</v>
      </c>
      <c r="I2201">
        <v>430127</v>
      </c>
      <c r="J2201" t="s">
        <v>1333</v>
      </c>
      <c r="K2201" t="s">
        <v>13983</v>
      </c>
      <c r="L2201" t="e" vm="87">
        <f>_FV(0,"001")</f>
        <v>#VALUE!</v>
      </c>
    </row>
    <row r="2202" spans="1:12" x14ac:dyDescent="0.25">
      <c r="A2202">
        <v>430127</v>
      </c>
      <c r="B2202">
        <v>489103</v>
      </c>
      <c r="D2202">
        <v>0</v>
      </c>
      <c r="E2202" t="s">
        <v>13985</v>
      </c>
      <c r="F2202" t="s">
        <v>13986</v>
      </c>
      <c r="G2202" t="s">
        <v>13987</v>
      </c>
      <c r="H2202" t="e" vm="969">
        <f>_FV(0,"032731329820470466")</f>
        <v>#VALUE!</v>
      </c>
      <c r="I2202" t="s">
        <v>13988</v>
      </c>
      <c r="J2202" t="s">
        <v>13989</v>
      </c>
      <c r="K2202" t="s">
        <v>13990</v>
      </c>
      <c r="L2202" t="s">
        <v>13984</v>
      </c>
    </row>
    <row r="2203" spans="1:12" x14ac:dyDescent="0.25">
      <c r="A2203">
        <v>430135</v>
      </c>
      <c r="B2203">
        <v>490716</v>
      </c>
      <c r="D2203">
        <v>0</v>
      </c>
      <c r="E2203" t="s">
        <v>13992</v>
      </c>
      <c r="F2203" t="s">
        <v>13993</v>
      </c>
      <c r="G2203" t="s">
        <v>13994</v>
      </c>
      <c r="H2203" t="e" vm="970">
        <f>_FV(0,"031660801560619116")</f>
        <v>#VALUE!</v>
      </c>
      <c r="I2203" t="s">
        <v>13995</v>
      </c>
      <c r="J2203" t="s">
        <v>13996</v>
      </c>
      <c r="K2203" t="s">
        <v>13997</v>
      </c>
      <c r="L2203" t="s">
        <v>13991</v>
      </c>
    </row>
    <row r="2204" spans="1:12" x14ac:dyDescent="0.25">
      <c r="A2204">
        <v>430159</v>
      </c>
      <c r="B2204">
        <v>430192</v>
      </c>
      <c r="D2204">
        <v>0</v>
      </c>
      <c r="E2204" t="s">
        <v>13999</v>
      </c>
      <c r="F2204" t="s">
        <v>14000</v>
      </c>
      <c r="G2204" t="s">
        <v>14001</v>
      </c>
      <c r="H2204" t="e" vm="971">
        <f>_FV(0,"05076156163238329")</f>
        <v>#VALUE!</v>
      </c>
      <c r="I2204" t="s">
        <v>14002</v>
      </c>
      <c r="J2204" t="s">
        <v>14003</v>
      </c>
      <c r="K2204" t="s">
        <v>14004</v>
      </c>
      <c r="L2204" t="s">
        <v>13998</v>
      </c>
    </row>
    <row r="2205" spans="1:12" x14ac:dyDescent="0.25">
      <c r="A2205">
        <v>430159</v>
      </c>
      <c r="B2205">
        <v>430248</v>
      </c>
      <c r="D2205">
        <v>0</v>
      </c>
      <c r="E2205" t="s">
        <v>14006</v>
      </c>
      <c r="F2205" t="s">
        <v>14007</v>
      </c>
      <c r="G2205" t="s">
        <v>14008</v>
      </c>
      <c r="H2205" t="s">
        <v>14009</v>
      </c>
      <c r="I2205" t="s">
        <v>14010</v>
      </c>
      <c r="J2205" t="s">
        <v>14011</v>
      </c>
      <c r="K2205" t="s">
        <v>14012</v>
      </c>
      <c r="L2205" t="s">
        <v>14005</v>
      </c>
    </row>
    <row r="2206" spans="1:12" x14ac:dyDescent="0.25">
      <c r="A2206">
        <v>430159</v>
      </c>
      <c r="B2206">
        <v>450370</v>
      </c>
      <c r="D2206">
        <v>0</v>
      </c>
      <c r="F2206">
        <v>451718</v>
      </c>
      <c r="G2206">
        <v>430159</v>
      </c>
      <c r="H2206" t="e" vm="400">
        <f>_FV(0,"143")</f>
        <v>#VALUE!</v>
      </c>
      <c r="I2206">
        <v>450370</v>
      </c>
      <c r="J2206" t="s">
        <v>5707</v>
      </c>
      <c r="K2206" t="s">
        <v>14013</v>
      </c>
      <c r="L2206" t="e" vm="400">
        <f>_FV(0,"143")</f>
        <v>#VALUE!</v>
      </c>
    </row>
    <row r="2207" spans="1:12" x14ac:dyDescent="0.25">
      <c r="A2207">
        <v>430192</v>
      </c>
      <c r="B2207">
        <v>450383</v>
      </c>
      <c r="D2207">
        <v>0</v>
      </c>
      <c r="F2207">
        <v>451734</v>
      </c>
      <c r="G2207">
        <v>450383</v>
      </c>
      <c r="H2207" t="s">
        <v>14014</v>
      </c>
      <c r="I2207">
        <v>430192</v>
      </c>
      <c r="J2207" t="s">
        <v>14014</v>
      </c>
      <c r="K2207" t="s">
        <v>14015</v>
      </c>
      <c r="L2207" t="s">
        <v>14014</v>
      </c>
    </row>
    <row r="2208" spans="1:12" x14ac:dyDescent="0.25">
      <c r="A2208">
        <v>430192</v>
      </c>
      <c r="B2208">
        <v>430210</v>
      </c>
      <c r="D2208">
        <v>0</v>
      </c>
      <c r="E2208" t="s">
        <v>14017</v>
      </c>
      <c r="F2208" t="s">
        <v>14018</v>
      </c>
      <c r="G2208" t="s">
        <v>14019</v>
      </c>
      <c r="H2208" t="e" vm="972">
        <f>_FV(0,"010240726009802898")</f>
        <v>#VALUE!</v>
      </c>
      <c r="I2208" t="s">
        <v>14020</v>
      </c>
      <c r="J2208" t="s">
        <v>14021</v>
      </c>
      <c r="K2208" t="s">
        <v>14022</v>
      </c>
      <c r="L2208" t="s">
        <v>14016</v>
      </c>
    </row>
    <row r="2209" spans="1:12" x14ac:dyDescent="0.25">
      <c r="A2209">
        <v>430210</v>
      </c>
      <c r="B2209">
        <v>450383</v>
      </c>
      <c r="D2209">
        <v>0</v>
      </c>
      <c r="F2209">
        <v>451742</v>
      </c>
      <c r="G2209">
        <v>450383</v>
      </c>
      <c r="H2209" t="s">
        <v>14023</v>
      </c>
      <c r="I2209">
        <v>430210</v>
      </c>
      <c r="J2209" t="s">
        <v>14023</v>
      </c>
      <c r="K2209" t="s">
        <v>14024</v>
      </c>
      <c r="L2209" t="s">
        <v>14023</v>
      </c>
    </row>
    <row r="2210" spans="1:12" x14ac:dyDescent="0.25">
      <c r="A2210">
        <v>430210</v>
      </c>
      <c r="B2210">
        <v>430248</v>
      </c>
      <c r="D2210">
        <v>0</v>
      </c>
      <c r="E2210" t="s">
        <v>14026</v>
      </c>
      <c r="F2210" t="s">
        <v>14027</v>
      </c>
      <c r="G2210" t="s">
        <v>14028</v>
      </c>
      <c r="H2210" t="s">
        <v>14029</v>
      </c>
      <c r="I2210" t="s">
        <v>14030</v>
      </c>
      <c r="J2210" t="s">
        <v>14025</v>
      </c>
      <c r="K2210" t="s">
        <v>14031</v>
      </c>
      <c r="L2210" t="s">
        <v>14025</v>
      </c>
    </row>
    <row r="2211" spans="1:12" x14ac:dyDescent="0.25">
      <c r="A2211">
        <v>430248</v>
      </c>
      <c r="B2211">
        <v>450370</v>
      </c>
      <c r="D2211">
        <v>0</v>
      </c>
      <c r="F2211">
        <v>451726</v>
      </c>
      <c r="G2211">
        <v>430248</v>
      </c>
      <c r="H2211" t="e" vm="973">
        <f>_FV(0,"14")</f>
        <v>#VALUE!</v>
      </c>
      <c r="I2211">
        <v>450370</v>
      </c>
      <c r="J2211" t="s">
        <v>14032</v>
      </c>
      <c r="K2211" t="s">
        <v>14033</v>
      </c>
      <c r="L2211" t="e" vm="973">
        <f>_FV(0,"14")</f>
        <v>#VALUE!</v>
      </c>
    </row>
    <row r="2212" spans="1:12" x14ac:dyDescent="0.25">
      <c r="A2212">
        <v>430262</v>
      </c>
      <c r="B2212">
        <v>430263</v>
      </c>
      <c r="D2212">
        <v>0</v>
      </c>
      <c r="F2212">
        <v>431980</v>
      </c>
      <c r="G2212">
        <v>430263</v>
      </c>
      <c r="H2212" t="s">
        <v>14034</v>
      </c>
      <c r="I2212">
        <v>430262</v>
      </c>
      <c r="J2212" t="s">
        <v>14034</v>
      </c>
      <c r="K2212" t="s">
        <v>14035</v>
      </c>
      <c r="L2212" t="s">
        <v>14034</v>
      </c>
    </row>
    <row r="2213" spans="1:12" x14ac:dyDescent="0.25">
      <c r="A2213">
        <v>430262</v>
      </c>
      <c r="B2213">
        <v>430307</v>
      </c>
      <c r="D2213">
        <v>0</v>
      </c>
      <c r="E2213" t="s">
        <v>14037</v>
      </c>
      <c r="F2213" t="s">
        <v>14038</v>
      </c>
      <c r="G2213" t="s">
        <v>14039</v>
      </c>
      <c r="H2213" t="e" vm="974">
        <f>_FV(0,"013495991562924433")</f>
        <v>#VALUE!</v>
      </c>
      <c r="I2213" t="s">
        <v>14040</v>
      </c>
      <c r="J2213" t="s">
        <v>14041</v>
      </c>
      <c r="K2213" t="s">
        <v>14042</v>
      </c>
      <c r="L2213" t="s">
        <v>14036</v>
      </c>
    </row>
    <row r="2214" spans="1:12" x14ac:dyDescent="0.25">
      <c r="A2214">
        <v>430262</v>
      </c>
      <c r="B2214">
        <v>490719</v>
      </c>
      <c r="D2214">
        <v>0</v>
      </c>
      <c r="F2214">
        <v>1029148</v>
      </c>
      <c r="G2214">
        <v>430262</v>
      </c>
      <c r="H2214" t="e" vm="975">
        <f>_FV(0,"135")</f>
        <v>#VALUE!</v>
      </c>
      <c r="I2214">
        <v>490719</v>
      </c>
      <c r="J2214" t="s">
        <v>14043</v>
      </c>
      <c r="K2214" t="s">
        <v>14044</v>
      </c>
      <c r="L2214" t="e" vm="975">
        <f>_FV(0,"135")</f>
        <v>#VALUE!</v>
      </c>
    </row>
    <row r="2215" spans="1:12" x14ac:dyDescent="0.25">
      <c r="A2215">
        <v>430263</v>
      </c>
      <c r="B2215">
        <v>475631</v>
      </c>
      <c r="D2215">
        <v>0</v>
      </c>
      <c r="F2215">
        <v>1029156</v>
      </c>
      <c r="G2215">
        <v>475631</v>
      </c>
      <c r="H2215" t="s">
        <v>14045</v>
      </c>
      <c r="I2215">
        <v>430263</v>
      </c>
      <c r="J2215" t="s">
        <v>14045</v>
      </c>
      <c r="K2215" t="s">
        <v>14046</v>
      </c>
      <c r="L2215" t="s">
        <v>14045</v>
      </c>
    </row>
    <row r="2216" spans="1:12" x14ac:dyDescent="0.25">
      <c r="A2216">
        <v>430263</v>
      </c>
      <c r="B2216">
        <v>430277</v>
      </c>
      <c r="D2216">
        <v>0</v>
      </c>
      <c r="E2216" t="s">
        <v>14048</v>
      </c>
      <c r="F2216" t="s">
        <v>14049</v>
      </c>
      <c r="G2216" t="s">
        <v>14050</v>
      </c>
      <c r="H2216" t="s">
        <v>14051</v>
      </c>
      <c r="I2216" t="s">
        <v>14052</v>
      </c>
      <c r="J2216" t="s">
        <v>14047</v>
      </c>
      <c r="K2216" t="s">
        <v>14053</v>
      </c>
      <c r="L2216" t="s">
        <v>14047</v>
      </c>
    </row>
    <row r="2217" spans="1:12" x14ac:dyDescent="0.25">
      <c r="A2217">
        <v>430277</v>
      </c>
      <c r="B2217">
        <v>475631</v>
      </c>
      <c r="D2217">
        <v>0</v>
      </c>
      <c r="F2217">
        <v>490264</v>
      </c>
      <c r="G2217">
        <v>475631</v>
      </c>
      <c r="H2217" t="s">
        <v>6299</v>
      </c>
      <c r="I2217">
        <v>430277</v>
      </c>
      <c r="J2217" t="s">
        <v>6299</v>
      </c>
      <c r="K2217" t="s">
        <v>14054</v>
      </c>
      <c r="L2217" t="s">
        <v>6299</v>
      </c>
    </row>
    <row r="2218" spans="1:12" x14ac:dyDescent="0.25">
      <c r="A2218">
        <v>430277</v>
      </c>
      <c r="B2218">
        <v>430307</v>
      </c>
      <c r="D2218">
        <v>0</v>
      </c>
      <c r="E2218" t="s">
        <v>14056</v>
      </c>
      <c r="F2218" t="s">
        <v>14057</v>
      </c>
      <c r="G2218" t="s">
        <v>14058</v>
      </c>
      <c r="H2218" t="e" vm="976">
        <f>_FV(0,"02956598946532359")</f>
        <v>#VALUE!</v>
      </c>
      <c r="I2218" t="s">
        <v>14059</v>
      </c>
      <c r="J2218" t="s">
        <v>14060</v>
      </c>
      <c r="K2218" t="s">
        <v>14061</v>
      </c>
      <c r="L2218" t="s">
        <v>14055</v>
      </c>
    </row>
    <row r="2219" spans="1:12" x14ac:dyDescent="0.25">
      <c r="A2219">
        <v>430307</v>
      </c>
      <c r="B2219">
        <v>490719</v>
      </c>
      <c r="D2219">
        <v>0</v>
      </c>
      <c r="F2219">
        <v>490263</v>
      </c>
      <c r="G2219">
        <v>430307</v>
      </c>
      <c r="H2219" t="e" vm="232">
        <f>_FV(0,"127")</f>
        <v>#VALUE!</v>
      </c>
      <c r="I2219">
        <v>490719</v>
      </c>
      <c r="J2219" t="s">
        <v>3503</v>
      </c>
      <c r="K2219" t="s">
        <v>14062</v>
      </c>
      <c r="L2219" t="e" vm="232">
        <f>_FV(0,"127")</f>
        <v>#VALUE!</v>
      </c>
    </row>
    <row r="2220" spans="1:12" x14ac:dyDescent="0.25">
      <c r="A2220">
        <v>430415</v>
      </c>
      <c r="B2220">
        <v>430426</v>
      </c>
      <c r="D2220">
        <v>0</v>
      </c>
      <c r="F2220">
        <v>432156</v>
      </c>
      <c r="G2220">
        <v>430426</v>
      </c>
      <c r="H2220" t="s">
        <v>8132</v>
      </c>
      <c r="I2220">
        <v>430415</v>
      </c>
      <c r="J2220" t="s">
        <v>8132</v>
      </c>
      <c r="K2220" t="s">
        <v>14063</v>
      </c>
      <c r="L2220" t="s">
        <v>8132</v>
      </c>
    </row>
    <row r="2221" spans="1:12" x14ac:dyDescent="0.25">
      <c r="A2221">
        <v>430415</v>
      </c>
      <c r="B2221">
        <v>430493</v>
      </c>
      <c r="D2221">
        <v>0</v>
      </c>
      <c r="E2221" t="s">
        <v>14065</v>
      </c>
      <c r="F2221" t="s">
        <v>14066</v>
      </c>
      <c r="G2221" t="s">
        <v>14067</v>
      </c>
      <c r="H2221" t="s">
        <v>14068</v>
      </c>
      <c r="I2221" t="s">
        <v>14069</v>
      </c>
      <c r="J2221" t="s">
        <v>14064</v>
      </c>
      <c r="K2221" t="s">
        <v>14070</v>
      </c>
      <c r="L2221" t="s">
        <v>14064</v>
      </c>
    </row>
    <row r="2222" spans="1:12" x14ac:dyDescent="0.25">
      <c r="A2222">
        <v>430415</v>
      </c>
      <c r="B2222">
        <v>598298</v>
      </c>
      <c r="D2222">
        <v>0</v>
      </c>
      <c r="E2222" t="s">
        <v>14072</v>
      </c>
      <c r="F2222" t="s">
        <v>14073</v>
      </c>
      <c r="G2222" t="s">
        <v>14074</v>
      </c>
      <c r="H2222" t="s">
        <v>14075</v>
      </c>
      <c r="I2222" t="s">
        <v>14076</v>
      </c>
      <c r="J2222" t="s">
        <v>14071</v>
      </c>
      <c r="K2222" t="s">
        <v>14077</v>
      </c>
      <c r="L2222" t="s">
        <v>14071</v>
      </c>
    </row>
    <row r="2223" spans="1:12" x14ac:dyDescent="0.25">
      <c r="A2223">
        <v>430426</v>
      </c>
      <c r="B2223">
        <v>430440</v>
      </c>
      <c r="D2223">
        <v>0</v>
      </c>
      <c r="E2223" t="s">
        <v>14079</v>
      </c>
      <c r="F2223" t="s">
        <v>14080</v>
      </c>
      <c r="G2223" t="s">
        <v>14081</v>
      </c>
      <c r="H2223" t="s">
        <v>14082</v>
      </c>
      <c r="I2223" t="s">
        <v>14083</v>
      </c>
      <c r="J2223" t="s">
        <v>14084</v>
      </c>
      <c r="K2223" t="s">
        <v>14085</v>
      </c>
      <c r="L2223" t="s">
        <v>14078</v>
      </c>
    </row>
    <row r="2224" spans="1:12" x14ac:dyDescent="0.25">
      <c r="A2224">
        <v>430426</v>
      </c>
      <c r="B2224">
        <v>1275772</v>
      </c>
      <c r="D2224">
        <v>0</v>
      </c>
      <c r="E2224" t="s">
        <v>14087</v>
      </c>
      <c r="F2224" t="s">
        <v>14088</v>
      </c>
      <c r="G2224" t="s">
        <v>14089</v>
      </c>
      <c r="H2224" t="s">
        <v>14090</v>
      </c>
      <c r="I2224" t="s">
        <v>14091</v>
      </c>
      <c r="J2224" t="s">
        <v>14092</v>
      </c>
      <c r="K2224" t="s">
        <v>14093</v>
      </c>
      <c r="L2224" t="s">
        <v>14086</v>
      </c>
    </row>
    <row r="2225" spans="1:12" x14ac:dyDescent="0.25">
      <c r="A2225">
        <v>430440</v>
      </c>
      <c r="B2225">
        <v>430493</v>
      </c>
      <c r="D2225">
        <v>0</v>
      </c>
      <c r="E2225" t="s">
        <v>14095</v>
      </c>
      <c r="F2225" t="s">
        <v>14096</v>
      </c>
      <c r="G2225" t="s">
        <v>14097</v>
      </c>
      <c r="H2225" t="e" vm="977">
        <f>_FV(0,"035451758370647735")</f>
        <v>#VALUE!</v>
      </c>
      <c r="I2225" t="s">
        <v>14098</v>
      </c>
      <c r="J2225" t="s">
        <v>14099</v>
      </c>
      <c r="K2225" t="s">
        <v>14100</v>
      </c>
      <c r="L2225" t="s">
        <v>14094</v>
      </c>
    </row>
    <row r="2226" spans="1:12" x14ac:dyDescent="0.25">
      <c r="A2226">
        <v>430440</v>
      </c>
      <c r="B2226">
        <v>1275772</v>
      </c>
      <c r="D2226">
        <v>0</v>
      </c>
      <c r="E2226" t="s">
        <v>14102</v>
      </c>
      <c r="F2226" t="s">
        <v>14103</v>
      </c>
      <c r="G2226" t="s">
        <v>14104</v>
      </c>
      <c r="H2226" t="s">
        <v>14105</v>
      </c>
      <c r="I2226" t="s">
        <v>14106</v>
      </c>
      <c r="J2226" t="s">
        <v>14107</v>
      </c>
      <c r="K2226" t="s">
        <v>14108</v>
      </c>
      <c r="L2226" t="s">
        <v>14101</v>
      </c>
    </row>
    <row r="2227" spans="1:12" x14ac:dyDescent="0.25">
      <c r="A2227">
        <v>430493</v>
      </c>
      <c r="B2227">
        <v>598298</v>
      </c>
      <c r="D2227">
        <v>0</v>
      </c>
      <c r="E2227" t="s">
        <v>14110</v>
      </c>
      <c r="F2227" t="s">
        <v>14111</v>
      </c>
      <c r="G2227" t="s">
        <v>14112</v>
      </c>
      <c r="H2227" t="s">
        <v>14113</v>
      </c>
      <c r="I2227" t="s">
        <v>14114</v>
      </c>
      <c r="J2227" t="s">
        <v>14109</v>
      </c>
      <c r="K2227" t="s">
        <v>14115</v>
      </c>
      <c r="L2227" t="s">
        <v>14109</v>
      </c>
    </row>
    <row r="2228" spans="1:12" x14ac:dyDescent="0.25">
      <c r="A2228">
        <v>430509</v>
      </c>
      <c r="B2228">
        <v>430510</v>
      </c>
      <c r="D2228">
        <v>0</v>
      </c>
      <c r="F2228">
        <v>432244</v>
      </c>
      <c r="G2228">
        <v>430510</v>
      </c>
      <c r="H2228" t="s">
        <v>3279</v>
      </c>
      <c r="I2228">
        <v>430509</v>
      </c>
      <c r="J2228" t="s">
        <v>3279</v>
      </c>
      <c r="K2228" t="s">
        <v>14116</v>
      </c>
      <c r="L2228" t="s">
        <v>3279</v>
      </c>
    </row>
    <row r="2229" spans="1:12" x14ac:dyDescent="0.25">
      <c r="A2229">
        <v>430509</v>
      </c>
      <c r="B2229">
        <v>430547</v>
      </c>
      <c r="D2229">
        <v>0</v>
      </c>
      <c r="E2229" t="s">
        <v>14118</v>
      </c>
      <c r="F2229" t="s">
        <v>14119</v>
      </c>
      <c r="G2229" t="s">
        <v>14120</v>
      </c>
      <c r="H2229" t="s">
        <v>14121</v>
      </c>
      <c r="I2229" t="s">
        <v>14122</v>
      </c>
      <c r="J2229" t="s">
        <v>14117</v>
      </c>
      <c r="K2229" t="s">
        <v>14123</v>
      </c>
      <c r="L2229" t="s">
        <v>14117</v>
      </c>
    </row>
    <row r="2230" spans="1:12" x14ac:dyDescent="0.25">
      <c r="A2230">
        <v>430510</v>
      </c>
      <c r="B2230">
        <v>430522</v>
      </c>
      <c r="D2230">
        <v>0</v>
      </c>
      <c r="E2230" t="s">
        <v>14125</v>
      </c>
      <c r="F2230" t="s">
        <v>14126</v>
      </c>
      <c r="G2230" t="s">
        <v>14127</v>
      </c>
      <c r="H2230" t="e" vm="978">
        <f>_FV(0,"08589150431202634")</f>
        <v>#VALUE!</v>
      </c>
      <c r="I2230" t="s">
        <v>14128</v>
      </c>
      <c r="J2230" t="s">
        <v>14129</v>
      </c>
      <c r="K2230" t="s">
        <v>14130</v>
      </c>
      <c r="L2230" t="s">
        <v>14124</v>
      </c>
    </row>
    <row r="2231" spans="1:12" x14ac:dyDescent="0.25">
      <c r="A2231">
        <v>430510</v>
      </c>
      <c r="B2231">
        <v>488607</v>
      </c>
      <c r="D2231">
        <v>0</v>
      </c>
      <c r="E2231" t="s">
        <v>14132</v>
      </c>
      <c r="F2231" t="s">
        <v>14133</v>
      </c>
      <c r="G2231" t="s">
        <v>14134</v>
      </c>
      <c r="H2231" t="s">
        <v>14135</v>
      </c>
      <c r="I2231" t="s">
        <v>14136</v>
      </c>
      <c r="J2231" t="s">
        <v>14131</v>
      </c>
      <c r="K2231" t="s">
        <v>14137</v>
      </c>
      <c r="L2231" t="s">
        <v>14131</v>
      </c>
    </row>
    <row r="2232" spans="1:12" x14ac:dyDescent="0.25">
      <c r="A2232">
        <v>430522</v>
      </c>
      <c r="B2232">
        <v>430547</v>
      </c>
      <c r="D2232">
        <v>0</v>
      </c>
      <c r="E2232" t="s">
        <v>14139</v>
      </c>
      <c r="F2232" t="s">
        <v>14140</v>
      </c>
      <c r="G2232" t="s">
        <v>14141</v>
      </c>
      <c r="H2232" t="e" vm="979">
        <f>_FV(0,"045175086719213005")</f>
        <v>#VALUE!</v>
      </c>
      <c r="I2232" t="s">
        <v>14142</v>
      </c>
      <c r="J2232" t="s">
        <v>14143</v>
      </c>
      <c r="K2232" t="s">
        <v>14144</v>
      </c>
      <c r="L2232" t="s">
        <v>14138</v>
      </c>
    </row>
    <row r="2233" spans="1:12" x14ac:dyDescent="0.25">
      <c r="A2233">
        <v>430522</v>
      </c>
      <c r="B2233">
        <v>488607</v>
      </c>
      <c r="D2233">
        <v>0</v>
      </c>
      <c r="E2233" t="s">
        <v>14146</v>
      </c>
      <c r="F2233" t="s">
        <v>14147</v>
      </c>
      <c r="G2233" t="s">
        <v>14148</v>
      </c>
      <c r="H2233" t="s">
        <v>14149</v>
      </c>
      <c r="I2233" t="s">
        <v>14150</v>
      </c>
      <c r="J2233" t="s">
        <v>14145</v>
      </c>
      <c r="K2233" t="s">
        <v>14151</v>
      </c>
      <c r="L2233" t="s">
        <v>14145</v>
      </c>
    </row>
    <row r="2234" spans="1:12" x14ac:dyDescent="0.25">
      <c r="A2234">
        <v>430596</v>
      </c>
      <c r="B2234">
        <v>997219</v>
      </c>
      <c r="D2234">
        <v>0</v>
      </c>
      <c r="E2234" t="s">
        <v>14153</v>
      </c>
      <c r="F2234" t="s">
        <v>14154</v>
      </c>
      <c r="G2234" t="s">
        <v>14155</v>
      </c>
      <c r="H2234" t="e" vm="980">
        <f>_FV(0,"008065723196728027")</f>
        <v>#VALUE!</v>
      </c>
      <c r="I2234" t="s">
        <v>14156</v>
      </c>
      <c r="J2234" t="s">
        <v>14157</v>
      </c>
      <c r="K2234" t="s">
        <v>14158</v>
      </c>
      <c r="L2234" t="s">
        <v>14152</v>
      </c>
    </row>
    <row r="2235" spans="1:12" x14ac:dyDescent="0.25">
      <c r="A2235">
        <v>430614</v>
      </c>
      <c r="B2235">
        <v>1225626</v>
      </c>
      <c r="C2235" t="s">
        <v>14160</v>
      </c>
      <c r="D2235" t="s">
        <v>14161</v>
      </c>
      <c r="E2235" t="s">
        <v>14162</v>
      </c>
      <c r="F2235" t="s">
        <v>14163</v>
      </c>
      <c r="G2235" t="s">
        <v>14164</v>
      </c>
      <c r="H2235" t="e" vm="981">
        <f>_FV(0,"015242732159970877")</f>
        <v>#VALUE!</v>
      </c>
      <c r="I2235" t="s">
        <v>14165</v>
      </c>
      <c r="J2235" t="s">
        <v>14166</v>
      </c>
      <c r="K2235" t="s">
        <v>14167</v>
      </c>
      <c r="L2235" t="s">
        <v>14159</v>
      </c>
    </row>
    <row r="2236" spans="1:12" x14ac:dyDescent="0.25">
      <c r="A2236">
        <v>431853</v>
      </c>
      <c r="B2236">
        <v>431864</v>
      </c>
      <c r="D2236">
        <v>0</v>
      </c>
      <c r="E2236" t="s">
        <v>14169</v>
      </c>
      <c r="F2236" t="s">
        <v>14170</v>
      </c>
      <c r="G2236" t="s">
        <v>14171</v>
      </c>
      <c r="H2236" t="s">
        <v>14172</v>
      </c>
      <c r="I2236" t="s">
        <v>14173</v>
      </c>
      <c r="J2236" t="s">
        <v>14174</v>
      </c>
      <c r="K2236" t="s">
        <v>14175</v>
      </c>
      <c r="L2236" t="s">
        <v>14168</v>
      </c>
    </row>
    <row r="2237" spans="1:12" x14ac:dyDescent="0.25">
      <c r="A2237">
        <v>431853</v>
      </c>
      <c r="B2237">
        <v>431864</v>
      </c>
      <c r="D2237">
        <v>0</v>
      </c>
      <c r="E2237" t="s">
        <v>14177</v>
      </c>
      <c r="F2237" t="s">
        <v>14178</v>
      </c>
      <c r="G2237" t="s">
        <v>14179</v>
      </c>
      <c r="H2237" t="s">
        <v>14180</v>
      </c>
      <c r="I2237" t="s">
        <v>14181</v>
      </c>
      <c r="J2237" t="s">
        <v>14182</v>
      </c>
      <c r="K2237" t="s">
        <v>14183</v>
      </c>
      <c r="L2237" t="s">
        <v>14176</v>
      </c>
    </row>
    <row r="2238" spans="1:12" x14ac:dyDescent="0.25">
      <c r="A2238">
        <v>431864</v>
      </c>
      <c r="B2238">
        <v>432000</v>
      </c>
      <c r="D2238" t="s">
        <v>14185</v>
      </c>
      <c r="E2238" t="s">
        <v>14186</v>
      </c>
      <c r="F2238" t="s">
        <v>14187</v>
      </c>
      <c r="G2238" t="s">
        <v>14188</v>
      </c>
      <c r="H2238" t="s">
        <v>14189</v>
      </c>
      <c r="I2238" t="s">
        <v>14190</v>
      </c>
      <c r="J2238" t="s">
        <v>14191</v>
      </c>
      <c r="K2238" t="s">
        <v>14192</v>
      </c>
      <c r="L2238" t="s">
        <v>14184</v>
      </c>
    </row>
    <row r="2239" spans="1:12" x14ac:dyDescent="0.25">
      <c r="A2239">
        <v>432000</v>
      </c>
      <c r="B2239">
        <v>432008</v>
      </c>
      <c r="D2239">
        <v>0</v>
      </c>
      <c r="E2239" t="s">
        <v>14194</v>
      </c>
      <c r="F2239" t="s">
        <v>14195</v>
      </c>
      <c r="G2239" t="s">
        <v>14196</v>
      </c>
      <c r="H2239" t="s">
        <v>14197</v>
      </c>
      <c r="I2239" t="s">
        <v>14198</v>
      </c>
      <c r="J2239" t="s">
        <v>14193</v>
      </c>
      <c r="K2239" t="s">
        <v>14199</v>
      </c>
      <c r="L2239" t="s">
        <v>14193</v>
      </c>
    </row>
    <row r="2240" spans="1:12" x14ac:dyDescent="0.25">
      <c r="A2240">
        <v>432000</v>
      </c>
      <c r="B2240">
        <v>432008</v>
      </c>
      <c r="D2240">
        <v>0</v>
      </c>
      <c r="E2240" t="s">
        <v>14201</v>
      </c>
      <c r="F2240" t="s">
        <v>14202</v>
      </c>
      <c r="G2240" t="s">
        <v>14203</v>
      </c>
      <c r="H2240" t="s">
        <v>14204</v>
      </c>
      <c r="I2240" t="s">
        <v>14205</v>
      </c>
      <c r="J2240" t="s">
        <v>14200</v>
      </c>
      <c r="K2240" t="s">
        <v>14206</v>
      </c>
      <c r="L2240" t="s">
        <v>14200</v>
      </c>
    </row>
    <row r="2241" spans="1:12" x14ac:dyDescent="0.25">
      <c r="A2241">
        <v>432008</v>
      </c>
      <c r="B2241">
        <v>439222</v>
      </c>
      <c r="D2241" t="s">
        <v>14208</v>
      </c>
      <c r="E2241" t="s">
        <v>14209</v>
      </c>
      <c r="F2241" t="s">
        <v>14210</v>
      </c>
      <c r="G2241" t="s">
        <v>14211</v>
      </c>
      <c r="H2241" t="e" vm="982">
        <f>_FV(0,"003997263655220416")</f>
        <v>#VALUE!</v>
      </c>
      <c r="I2241" t="s">
        <v>14212</v>
      </c>
      <c r="J2241" t="s">
        <v>14213</v>
      </c>
      <c r="K2241" t="s">
        <v>14214</v>
      </c>
      <c r="L2241" t="s">
        <v>14207</v>
      </c>
    </row>
    <row r="2242" spans="1:12" x14ac:dyDescent="0.25">
      <c r="A2242">
        <v>432412</v>
      </c>
      <c r="B2242">
        <v>439419</v>
      </c>
      <c r="D2242">
        <v>0</v>
      </c>
      <c r="E2242" t="s">
        <v>14216</v>
      </c>
      <c r="F2242" t="s">
        <v>14217</v>
      </c>
      <c r="G2242" t="s">
        <v>14218</v>
      </c>
      <c r="H2242" t="e" vm="983">
        <f>_FV(0,"004720829111307927")</f>
        <v>#VALUE!</v>
      </c>
      <c r="I2242" t="s">
        <v>14219</v>
      </c>
      <c r="J2242" t="s">
        <v>14220</v>
      </c>
      <c r="K2242" t="s">
        <v>14221</v>
      </c>
      <c r="L2242" t="s">
        <v>14215</v>
      </c>
    </row>
    <row r="2243" spans="1:12" x14ac:dyDescent="0.25">
      <c r="A2243">
        <v>432412</v>
      </c>
      <c r="B2243">
        <v>439499</v>
      </c>
      <c r="D2243">
        <v>0</v>
      </c>
      <c r="E2243" t="s">
        <v>14223</v>
      </c>
      <c r="F2243" t="s">
        <v>14224</v>
      </c>
      <c r="G2243" t="s">
        <v>14225</v>
      </c>
      <c r="H2243" t="e" vm="984">
        <f>_FV(0,"00498162309777296")</f>
        <v>#VALUE!</v>
      </c>
      <c r="I2243" t="s">
        <v>14226</v>
      </c>
      <c r="J2243" t="s">
        <v>14227</v>
      </c>
      <c r="K2243" t="s">
        <v>14228</v>
      </c>
      <c r="L2243" t="s">
        <v>14222</v>
      </c>
    </row>
    <row r="2244" spans="1:12" x14ac:dyDescent="0.25">
      <c r="A2244">
        <v>432412</v>
      </c>
      <c r="B2244">
        <v>1854800</v>
      </c>
      <c r="D2244">
        <v>0</v>
      </c>
      <c r="E2244" t="s">
        <v>14229</v>
      </c>
      <c r="H2244" t="s">
        <v>187</v>
      </c>
      <c r="J2244">
        <v>0</v>
      </c>
      <c r="K2244" t="s">
        <v>14230</v>
      </c>
      <c r="L2244">
        <v>0</v>
      </c>
    </row>
    <row r="2245" spans="1:12" x14ac:dyDescent="0.25">
      <c r="A2245">
        <v>432420</v>
      </c>
      <c r="B2245">
        <v>1012611</v>
      </c>
      <c r="D2245" t="s">
        <v>14232</v>
      </c>
      <c r="E2245" t="s">
        <v>14233</v>
      </c>
      <c r="F2245" t="s">
        <v>14234</v>
      </c>
      <c r="G2245" t="s">
        <v>14235</v>
      </c>
      <c r="H2245" t="e" vm="985">
        <f>_FV(0,"00034919472303486325")</f>
        <v>#VALUE!</v>
      </c>
      <c r="I2245" t="s">
        <v>14236</v>
      </c>
      <c r="J2245" t="s">
        <v>14237</v>
      </c>
      <c r="K2245" t="s">
        <v>14238</v>
      </c>
      <c r="L2245" t="s">
        <v>14231</v>
      </c>
    </row>
    <row r="2246" spans="1:12" x14ac:dyDescent="0.25">
      <c r="A2246">
        <v>432420</v>
      </c>
      <c r="B2246">
        <v>439440</v>
      </c>
      <c r="D2246">
        <v>0</v>
      </c>
      <c r="E2246" t="s">
        <v>14240</v>
      </c>
      <c r="F2246" t="s">
        <v>14241</v>
      </c>
      <c r="G2246" t="s">
        <v>14242</v>
      </c>
      <c r="H2246" t="e" vm="986">
        <f>_FV(0,"001228263840157262")</f>
        <v>#VALUE!</v>
      </c>
      <c r="I2246" t="s">
        <v>14243</v>
      </c>
      <c r="J2246" t="s">
        <v>14244</v>
      </c>
      <c r="K2246" t="s">
        <v>14245</v>
      </c>
      <c r="L2246" t="s">
        <v>14239</v>
      </c>
    </row>
    <row r="2247" spans="1:12" x14ac:dyDescent="0.25">
      <c r="A2247">
        <v>432420</v>
      </c>
      <c r="B2247">
        <v>439521</v>
      </c>
      <c r="D2247">
        <v>0</v>
      </c>
      <c r="E2247" t="s">
        <v>14247</v>
      </c>
      <c r="F2247" t="s">
        <v>14248</v>
      </c>
      <c r="G2247" t="s">
        <v>14249</v>
      </c>
      <c r="H2247" t="e" vm="987">
        <f>_FV(0,"0006216724667633854")</f>
        <v>#VALUE!</v>
      </c>
      <c r="I2247" t="s">
        <v>14250</v>
      </c>
      <c r="J2247" t="s">
        <v>14251</v>
      </c>
      <c r="K2247" t="s">
        <v>14252</v>
      </c>
      <c r="L2247" t="s">
        <v>14246</v>
      </c>
    </row>
    <row r="2248" spans="1:12" x14ac:dyDescent="0.25">
      <c r="A2248">
        <v>435391</v>
      </c>
      <c r="B2248">
        <v>435415</v>
      </c>
      <c r="D2248">
        <v>0</v>
      </c>
      <c r="E2248" t="s">
        <v>14254</v>
      </c>
      <c r="F2248" t="s">
        <v>14255</v>
      </c>
      <c r="G2248" t="s">
        <v>14256</v>
      </c>
      <c r="H2248" t="e" vm="988">
        <f>_FV(-3,"5177585380188345e")-5</f>
        <v>#VALUE!</v>
      </c>
      <c r="I2248" t="s">
        <v>14257</v>
      </c>
      <c r="J2248" t="s">
        <v>14258</v>
      </c>
      <c r="K2248" t="s">
        <v>14259</v>
      </c>
      <c r="L2248" t="s">
        <v>14253</v>
      </c>
    </row>
    <row r="2249" spans="1:12" x14ac:dyDescent="0.25">
      <c r="A2249">
        <v>435391</v>
      </c>
      <c r="B2249">
        <v>1229532</v>
      </c>
      <c r="D2249">
        <v>0</v>
      </c>
      <c r="E2249" t="s">
        <v>14261</v>
      </c>
      <c r="F2249" t="s">
        <v>14262</v>
      </c>
      <c r="G2249" t="s">
        <v>14263</v>
      </c>
      <c r="H2249" t="s">
        <v>14264</v>
      </c>
      <c r="I2249" t="s">
        <v>14265</v>
      </c>
      <c r="J2249" t="s">
        <v>14266</v>
      </c>
      <c r="K2249" t="s">
        <v>14267</v>
      </c>
      <c r="L2249" t="s">
        <v>14260</v>
      </c>
    </row>
    <row r="2250" spans="1:12" x14ac:dyDescent="0.25">
      <c r="A2250">
        <v>435415</v>
      </c>
      <c r="B2250">
        <v>435423</v>
      </c>
      <c r="D2250">
        <v>0</v>
      </c>
      <c r="F2250">
        <v>436644</v>
      </c>
      <c r="G2250">
        <v>435423</v>
      </c>
      <c r="H2250" t="e" vm="106">
        <f>_FV(0,"019")</f>
        <v>#VALUE!</v>
      </c>
      <c r="I2250">
        <v>435415</v>
      </c>
      <c r="J2250" t="s">
        <v>1629</v>
      </c>
      <c r="K2250" t="s">
        <v>14268</v>
      </c>
      <c r="L2250" t="e" vm="106">
        <f>_FV(0,"019")</f>
        <v>#VALUE!</v>
      </c>
    </row>
    <row r="2251" spans="1:12" x14ac:dyDescent="0.25">
      <c r="A2251">
        <v>435415</v>
      </c>
      <c r="B2251">
        <v>1229525</v>
      </c>
      <c r="D2251">
        <v>0</v>
      </c>
      <c r="E2251" t="s">
        <v>14270</v>
      </c>
      <c r="F2251" t="s">
        <v>14271</v>
      </c>
      <c r="G2251" t="s">
        <v>14272</v>
      </c>
      <c r="H2251" t="e" vm="989">
        <f>_FV(0,"0026603174317260353")</f>
        <v>#VALUE!</v>
      </c>
      <c r="I2251" t="s">
        <v>14273</v>
      </c>
      <c r="J2251" t="s">
        <v>14274</v>
      </c>
      <c r="K2251" t="s">
        <v>14275</v>
      </c>
      <c r="L2251" t="s">
        <v>14269</v>
      </c>
    </row>
    <row r="2252" spans="1:12" x14ac:dyDescent="0.25">
      <c r="A2252">
        <v>435463</v>
      </c>
      <c r="B2252">
        <v>1153906</v>
      </c>
      <c r="D2252">
        <v>0</v>
      </c>
      <c r="E2252" t="s">
        <v>14277</v>
      </c>
      <c r="F2252" t="s">
        <v>14278</v>
      </c>
      <c r="G2252" t="s">
        <v>14279</v>
      </c>
      <c r="H2252" t="e" vm="990">
        <f>_FV(0,"001371224050054069")</f>
        <v>#VALUE!</v>
      </c>
      <c r="I2252" t="s">
        <v>14280</v>
      </c>
      <c r="J2252" t="s">
        <v>14281</v>
      </c>
      <c r="K2252" t="s">
        <v>14282</v>
      </c>
      <c r="L2252" t="s">
        <v>14276</v>
      </c>
    </row>
    <row r="2253" spans="1:12" x14ac:dyDescent="0.25">
      <c r="A2253">
        <v>439222</v>
      </c>
      <c r="B2253">
        <v>439279</v>
      </c>
      <c r="D2253">
        <v>0</v>
      </c>
      <c r="E2253" t="s">
        <v>14284</v>
      </c>
      <c r="F2253" t="s">
        <v>14285</v>
      </c>
      <c r="G2253" t="s">
        <v>14286</v>
      </c>
      <c r="H2253" t="e" vm="991">
        <f>_FV(0,"0339878324168716")</f>
        <v>#VALUE!</v>
      </c>
      <c r="I2253" t="s">
        <v>14287</v>
      </c>
      <c r="J2253" t="s">
        <v>14288</v>
      </c>
      <c r="K2253" t="s">
        <v>14289</v>
      </c>
      <c r="L2253" t="s">
        <v>14283</v>
      </c>
    </row>
    <row r="2254" spans="1:12" x14ac:dyDescent="0.25">
      <c r="A2254">
        <v>439222</v>
      </c>
      <c r="B2254">
        <v>439279</v>
      </c>
      <c r="D2254">
        <v>0</v>
      </c>
      <c r="E2254" t="s">
        <v>14291</v>
      </c>
      <c r="F2254" t="s">
        <v>14292</v>
      </c>
      <c r="G2254" t="s">
        <v>14293</v>
      </c>
      <c r="H2254" t="e" vm="992">
        <f>_FV(0,"03372763261221358")</f>
        <v>#VALUE!</v>
      </c>
      <c r="I2254" t="s">
        <v>14294</v>
      </c>
      <c r="J2254" t="s">
        <v>14295</v>
      </c>
      <c r="K2254" t="s">
        <v>14296</v>
      </c>
      <c r="L2254" t="s">
        <v>14290</v>
      </c>
    </row>
    <row r="2255" spans="1:12" x14ac:dyDescent="0.25">
      <c r="A2255">
        <v>439279</v>
      </c>
      <c r="B2255">
        <v>1854800</v>
      </c>
      <c r="D2255">
        <v>0</v>
      </c>
      <c r="E2255" t="s">
        <v>14297</v>
      </c>
      <c r="H2255" t="s">
        <v>187</v>
      </c>
      <c r="J2255">
        <v>0</v>
      </c>
      <c r="K2255" t="s">
        <v>14230</v>
      </c>
      <c r="L2255">
        <v>0</v>
      </c>
    </row>
    <row r="2256" spans="1:12" x14ac:dyDescent="0.25">
      <c r="A2256">
        <v>439419</v>
      </c>
      <c r="B2256">
        <v>439499</v>
      </c>
      <c r="D2256">
        <v>0</v>
      </c>
      <c r="F2256">
        <v>440372</v>
      </c>
      <c r="G2256">
        <v>439499</v>
      </c>
      <c r="H2256" t="e" vm="18">
        <f>_FV(0,"004")</f>
        <v>#VALUE!</v>
      </c>
      <c r="I2256">
        <v>439419</v>
      </c>
      <c r="J2256" t="s">
        <v>239</v>
      </c>
      <c r="K2256" t="s">
        <v>14298</v>
      </c>
      <c r="L2256" t="e" vm="18">
        <f>_FV(0,"004")</f>
        <v>#VALUE!</v>
      </c>
    </row>
    <row r="2257" spans="1:12" x14ac:dyDescent="0.25">
      <c r="A2257">
        <v>439419</v>
      </c>
      <c r="B2257">
        <v>439440</v>
      </c>
      <c r="D2257">
        <v>0</v>
      </c>
      <c r="E2257" t="s">
        <v>14299</v>
      </c>
      <c r="F2257" t="s">
        <v>14300</v>
      </c>
      <c r="G2257" t="s">
        <v>14301</v>
      </c>
      <c r="H2257" t="s">
        <v>187</v>
      </c>
      <c r="I2257" t="s">
        <v>14302</v>
      </c>
      <c r="J2257" t="s">
        <v>187</v>
      </c>
      <c r="K2257" t="s">
        <v>14303</v>
      </c>
      <c r="L2257" t="s">
        <v>187</v>
      </c>
    </row>
    <row r="2258" spans="1:12" x14ac:dyDescent="0.25">
      <c r="A2258">
        <v>439440</v>
      </c>
      <c r="B2258">
        <v>439521</v>
      </c>
      <c r="D2258">
        <v>0</v>
      </c>
      <c r="F2258">
        <v>440343</v>
      </c>
      <c r="G2258">
        <v>439521</v>
      </c>
      <c r="H2258" t="e" vm="18">
        <f>_FV(0,"004")</f>
        <v>#VALUE!</v>
      </c>
      <c r="I2258">
        <v>439440</v>
      </c>
      <c r="J2258" t="s">
        <v>239</v>
      </c>
      <c r="K2258" t="s">
        <v>14304</v>
      </c>
      <c r="L2258" t="e" vm="18">
        <f>_FV(0,"004")</f>
        <v>#VALUE!</v>
      </c>
    </row>
    <row r="2259" spans="1:12" x14ac:dyDescent="0.25">
      <c r="A2259">
        <v>439499</v>
      </c>
      <c r="B2259">
        <v>439521</v>
      </c>
      <c r="D2259">
        <v>0</v>
      </c>
      <c r="E2259" t="s">
        <v>14305</v>
      </c>
      <c r="F2259" t="s">
        <v>14306</v>
      </c>
      <c r="G2259" t="s">
        <v>14307</v>
      </c>
      <c r="H2259" t="e" vm="339">
        <f>_FV(0,"0")</f>
        <v>#VALUE!</v>
      </c>
      <c r="I2259" t="s">
        <v>14308</v>
      </c>
      <c r="J2259" t="s">
        <v>187</v>
      </c>
      <c r="K2259" t="s">
        <v>14309</v>
      </c>
      <c r="L2259" t="e" vm="339">
        <f>_FV(0,"0")</f>
        <v>#VALUE!</v>
      </c>
    </row>
    <row r="2260" spans="1:12" x14ac:dyDescent="0.25">
      <c r="A2260">
        <v>439499</v>
      </c>
      <c r="B2260">
        <v>490103</v>
      </c>
      <c r="D2260">
        <v>0</v>
      </c>
      <c r="E2260" t="s">
        <v>14311</v>
      </c>
      <c r="F2260" t="s">
        <v>14312</v>
      </c>
      <c r="G2260" t="s">
        <v>14313</v>
      </c>
      <c r="H2260" t="s">
        <v>14314</v>
      </c>
      <c r="I2260" t="s">
        <v>14315</v>
      </c>
      <c r="J2260" t="s">
        <v>14316</v>
      </c>
      <c r="K2260" t="s">
        <v>14317</v>
      </c>
      <c r="L2260" t="s">
        <v>14310</v>
      </c>
    </row>
    <row r="2261" spans="1:12" x14ac:dyDescent="0.25">
      <c r="A2261">
        <v>439518</v>
      </c>
      <c r="B2261">
        <v>439557</v>
      </c>
      <c r="D2261">
        <v>0</v>
      </c>
      <c r="E2261" t="s">
        <v>14319</v>
      </c>
      <c r="F2261" t="s">
        <v>14320</v>
      </c>
      <c r="G2261" t="s">
        <v>14321</v>
      </c>
      <c r="H2261" t="s">
        <v>14322</v>
      </c>
      <c r="I2261" t="s">
        <v>14323</v>
      </c>
      <c r="J2261" t="s">
        <v>14324</v>
      </c>
      <c r="K2261" t="s">
        <v>14325</v>
      </c>
      <c r="L2261" t="s">
        <v>14318</v>
      </c>
    </row>
    <row r="2262" spans="1:12" x14ac:dyDescent="0.25">
      <c r="A2262">
        <v>439518</v>
      </c>
      <c r="B2262">
        <v>439583</v>
      </c>
      <c r="D2262">
        <v>0</v>
      </c>
      <c r="F2262">
        <v>440379</v>
      </c>
      <c r="G2262">
        <v>439518</v>
      </c>
      <c r="H2262" t="e" vm="16">
        <f>_FV(0,"007")</f>
        <v>#VALUE!</v>
      </c>
      <c r="I2262">
        <v>439583</v>
      </c>
      <c r="J2262" t="s">
        <v>226</v>
      </c>
      <c r="K2262" t="s">
        <v>14326</v>
      </c>
      <c r="L2262" t="e" vm="16">
        <f>_FV(0,"007")</f>
        <v>#VALUE!</v>
      </c>
    </row>
    <row r="2263" spans="1:12" x14ac:dyDescent="0.25">
      <c r="A2263">
        <v>439518</v>
      </c>
      <c r="B2263">
        <v>1229706</v>
      </c>
      <c r="D2263">
        <v>0</v>
      </c>
      <c r="E2263" t="s">
        <v>14328</v>
      </c>
      <c r="F2263" t="s">
        <v>14329</v>
      </c>
      <c r="G2263" t="s">
        <v>14330</v>
      </c>
      <c r="H2263" t="e" vm="993">
        <f>_FV(0,"0014969244625048176")</f>
        <v>#VALUE!</v>
      </c>
      <c r="I2263" t="s">
        <v>14331</v>
      </c>
      <c r="J2263" t="s">
        <v>14332</v>
      </c>
      <c r="K2263" t="s">
        <v>14333</v>
      </c>
      <c r="L2263" t="s">
        <v>14327</v>
      </c>
    </row>
    <row r="2264" spans="1:12" x14ac:dyDescent="0.25">
      <c r="A2264">
        <v>439521</v>
      </c>
      <c r="B2264">
        <v>490103</v>
      </c>
      <c r="D2264">
        <v>0</v>
      </c>
      <c r="E2264" t="s">
        <v>14334</v>
      </c>
      <c r="F2264" t="s">
        <v>14335</v>
      </c>
      <c r="G2264" t="s">
        <v>14336</v>
      </c>
      <c r="H2264" t="s">
        <v>14337</v>
      </c>
      <c r="I2264" t="s">
        <v>14338</v>
      </c>
      <c r="J2264" t="s">
        <v>14316</v>
      </c>
      <c r="K2264" t="s">
        <v>14339</v>
      </c>
      <c r="L2264" t="s">
        <v>14310</v>
      </c>
    </row>
    <row r="2265" spans="1:12" x14ac:dyDescent="0.25">
      <c r="A2265">
        <v>439557</v>
      </c>
      <c r="B2265">
        <v>439565</v>
      </c>
      <c r="D2265">
        <v>0</v>
      </c>
      <c r="F2265">
        <v>440349</v>
      </c>
      <c r="G2265">
        <v>439565</v>
      </c>
      <c r="H2265" t="s">
        <v>250</v>
      </c>
      <c r="I2265">
        <v>439557</v>
      </c>
      <c r="J2265" t="s">
        <v>250</v>
      </c>
      <c r="K2265" t="s">
        <v>14340</v>
      </c>
      <c r="L2265" t="s">
        <v>250</v>
      </c>
    </row>
    <row r="2266" spans="1:12" x14ac:dyDescent="0.25">
      <c r="A2266">
        <v>439557</v>
      </c>
      <c r="B2266">
        <v>1229711</v>
      </c>
      <c r="D2266">
        <v>0</v>
      </c>
      <c r="E2266" t="s">
        <v>14342</v>
      </c>
      <c r="F2266" t="s">
        <v>14343</v>
      </c>
      <c r="G2266" t="s">
        <v>14344</v>
      </c>
      <c r="H2266" t="e" vm="994">
        <f>_FV(0,"003221277332570464")</f>
        <v>#VALUE!</v>
      </c>
      <c r="I2266" t="s">
        <v>14345</v>
      </c>
      <c r="J2266" t="s">
        <v>14346</v>
      </c>
      <c r="K2266" t="s">
        <v>14347</v>
      </c>
      <c r="L2266" t="s">
        <v>14341</v>
      </c>
    </row>
    <row r="2267" spans="1:12" x14ac:dyDescent="0.25">
      <c r="A2267">
        <v>439565</v>
      </c>
      <c r="B2267">
        <v>439583</v>
      </c>
      <c r="D2267">
        <v>0</v>
      </c>
      <c r="E2267" t="s">
        <v>14349</v>
      </c>
      <c r="F2267" t="s">
        <v>14350</v>
      </c>
      <c r="G2267" t="s">
        <v>14351</v>
      </c>
      <c r="H2267" t="e" vm="995">
        <f>_FV(0,"005088085030033511")</f>
        <v>#VALUE!</v>
      </c>
      <c r="I2267" t="s">
        <v>14352</v>
      </c>
      <c r="J2267" t="s">
        <v>763</v>
      </c>
      <c r="K2267" t="s">
        <v>14353</v>
      </c>
      <c r="L2267" t="s">
        <v>14348</v>
      </c>
    </row>
    <row r="2268" spans="1:12" x14ac:dyDescent="0.25">
      <c r="A2268">
        <v>439565</v>
      </c>
      <c r="B2268">
        <v>1152182</v>
      </c>
      <c r="D2268" t="s">
        <v>715</v>
      </c>
      <c r="E2268" t="s">
        <v>14355</v>
      </c>
      <c r="F2268" t="s">
        <v>14356</v>
      </c>
      <c r="G2268" t="s">
        <v>14357</v>
      </c>
      <c r="H2268" t="e" vm="996">
        <f>_FV(0,"019319750879353843")</f>
        <v>#VALUE!</v>
      </c>
      <c r="I2268" t="s">
        <v>14358</v>
      </c>
      <c r="J2268" t="s">
        <v>14359</v>
      </c>
      <c r="K2268" t="s">
        <v>14360</v>
      </c>
      <c r="L2268" t="s">
        <v>14354</v>
      </c>
    </row>
    <row r="2269" spans="1:12" x14ac:dyDescent="0.25">
      <c r="A2269">
        <v>439583</v>
      </c>
      <c r="B2269">
        <v>1152182</v>
      </c>
      <c r="D2269" t="s">
        <v>715</v>
      </c>
      <c r="E2269" t="s">
        <v>14362</v>
      </c>
      <c r="F2269" t="s">
        <v>14363</v>
      </c>
      <c r="G2269" t="s">
        <v>14364</v>
      </c>
      <c r="H2269" t="e" vm="997">
        <f>_FV(0,"022240805667181066")</f>
        <v>#VALUE!</v>
      </c>
      <c r="I2269" t="s">
        <v>14365</v>
      </c>
      <c r="J2269" t="s">
        <v>14366</v>
      </c>
      <c r="K2269" t="s">
        <v>14367</v>
      </c>
      <c r="L2269" t="s">
        <v>14361</v>
      </c>
    </row>
    <row r="2270" spans="1:12" x14ac:dyDescent="0.25">
      <c r="A2270">
        <v>441114</v>
      </c>
      <c r="B2270">
        <v>1153865</v>
      </c>
      <c r="D2270">
        <v>0</v>
      </c>
      <c r="E2270" t="s">
        <v>14369</v>
      </c>
      <c r="F2270" t="s">
        <v>14370</v>
      </c>
      <c r="G2270" t="s">
        <v>14371</v>
      </c>
      <c r="H2270" t="s">
        <v>14372</v>
      </c>
      <c r="I2270" t="s">
        <v>14373</v>
      </c>
      <c r="J2270" t="s">
        <v>14374</v>
      </c>
      <c r="K2270" t="s">
        <v>14375</v>
      </c>
      <c r="L2270" t="s">
        <v>14368</v>
      </c>
    </row>
    <row r="2271" spans="1:12" x14ac:dyDescent="0.25">
      <c r="A2271">
        <v>442791</v>
      </c>
      <c r="B2271">
        <v>442800</v>
      </c>
      <c r="D2271">
        <v>0</v>
      </c>
      <c r="E2271" t="s">
        <v>14377</v>
      </c>
      <c r="F2271" t="s">
        <v>14378</v>
      </c>
      <c r="G2271" t="s">
        <v>14379</v>
      </c>
      <c r="H2271" t="e" vm="998">
        <f>_FV(0,"006803733869138288")</f>
        <v>#VALUE!</v>
      </c>
      <c r="I2271" t="s">
        <v>14380</v>
      </c>
      <c r="J2271" t="s">
        <v>14381</v>
      </c>
      <c r="K2271" t="s">
        <v>14382</v>
      </c>
      <c r="L2271" t="s">
        <v>14376</v>
      </c>
    </row>
    <row r="2272" spans="1:12" x14ac:dyDescent="0.25">
      <c r="A2272">
        <v>442791</v>
      </c>
      <c r="B2272">
        <v>442899</v>
      </c>
      <c r="D2272">
        <v>0</v>
      </c>
      <c r="E2272" t="s">
        <v>14384</v>
      </c>
      <c r="F2272" t="s">
        <v>14385</v>
      </c>
      <c r="G2272" t="s">
        <v>14386</v>
      </c>
      <c r="H2272" t="e" vm="999">
        <f>_FV(0,"05206894959034428")</f>
        <v>#VALUE!</v>
      </c>
      <c r="I2272" t="s">
        <v>14387</v>
      </c>
      <c r="J2272" t="s">
        <v>14388</v>
      </c>
      <c r="K2272" t="s">
        <v>14389</v>
      </c>
      <c r="L2272" t="s">
        <v>14383</v>
      </c>
    </row>
    <row r="2273" spans="1:12" x14ac:dyDescent="0.25">
      <c r="A2273">
        <v>442791</v>
      </c>
      <c r="B2273">
        <v>613259</v>
      </c>
      <c r="D2273">
        <v>0</v>
      </c>
      <c r="E2273" t="s">
        <v>14391</v>
      </c>
      <c r="F2273" t="s">
        <v>14392</v>
      </c>
      <c r="G2273" t="s">
        <v>14393</v>
      </c>
      <c r="H2273" t="e" vm="1000">
        <f>_FV(0,"039729744046532164")</f>
        <v>#VALUE!</v>
      </c>
      <c r="I2273" t="s">
        <v>14394</v>
      </c>
      <c r="J2273" t="s">
        <v>14395</v>
      </c>
      <c r="K2273" t="s">
        <v>14396</v>
      </c>
      <c r="L2273" t="s">
        <v>14390</v>
      </c>
    </row>
    <row r="2274" spans="1:12" x14ac:dyDescent="0.25">
      <c r="A2274">
        <v>442800</v>
      </c>
      <c r="B2274">
        <v>442818</v>
      </c>
      <c r="D2274">
        <v>0</v>
      </c>
      <c r="E2274" t="s">
        <v>14398</v>
      </c>
      <c r="F2274" t="s">
        <v>14399</v>
      </c>
      <c r="G2274" t="s">
        <v>14400</v>
      </c>
      <c r="H2274" t="s">
        <v>14401</v>
      </c>
      <c r="I2274" t="s">
        <v>14402</v>
      </c>
      <c r="J2274" t="s">
        <v>14403</v>
      </c>
      <c r="K2274" t="s">
        <v>14404</v>
      </c>
      <c r="L2274" t="s">
        <v>14397</v>
      </c>
    </row>
    <row r="2275" spans="1:12" x14ac:dyDescent="0.25">
      <c r="A2275">
        <v>442800</v>
      </c>
      <c r="B2275">
        <v>613314</v>
      </c>
      <c r="D2275" t="s">
        <v>12940</v>
      </c>
      <c r="E2275" t="s">
        <v>14406</v>
      </c>
      <c r="F2275" t="s">
        <v>14407</v>
      </c>
      <c r="G2275" t="s">
        <v>14408</v>
      </c>
      <c r="H2275" t="s">
        <v>14409</v>
      </c>
      <c r="I2275" t="s">
        <v>14410</v>
      </c>
      <c r="J2275" t="s">
        <v>14411</v>
      </c>
      <c r="K2275" t="s">
        <v>14412</v>
      </c>
      <c r="L2275" t="s">
        <v>14405</v>
      </c>
    </row>
    <row r="2276" spans="1:12" x14ac:dyDescent="0.25">
      <c r="A2276">
        <v>442818</v>
      </c>
      <c r="B2276">
        <v>442899</v>
      </c>
      <c r="D2276">
        <v>0</v>
      </c>
      <c r="E2276" t="s">
        <v>14414</v>
      </c>
      <c r="F2276" t="s">
        <v>14415</v>
      </c>
      <c r="G2276" t="s">
        <v>14416</v>
      </c>
      <c r="H2276" t="s">
        <v>14417</v>
      </c>
      <c r="I2276" t="s">
        <v>14418</v>
      </c>
      <c r="J2276" t="s">
        <v>14419</v>
      </c>
      <c r="K2276" t="s">
        <v>14420</v>
      </c>
      <c r="L2276" t="s">
        <v>14413</v>
      </c>
    </row>
    <row r="2277" spans="1:12" x14ac:dyDescent="0.25">
      <c r="A2277">
        <v>442818</v>
      </c>
      <c r="B2277">
        <v>613314</v>
      </c>
      <c r="D2277" t="s">
        <v>12940</v>
      </c>
      <c r="E2277" t="s">
        <v>14422</v>
      </c>
      <c r="F2277" t="s">
        <v>14423</v>
      </c>
      <c r="G2277" t="s">
        <v>14424</v>
      </c>
      <c r="H2277" t="s">
        <v>14425</v>
      </c>
      <c r="I2277" t="s">
        <v>14426</v>
      </c>
      <c r="J2277" t="s">
        <v>14427</v>
      </c>
      <c r="K2277" t="s">
        <v>14428</v>
      </c>
      <c r="L2277" t="s">
        <v>14421</v>
      </c>
    </row>
    <row r="2278" spans="1:12" x14ac:dyDescent="0.25">
      <c r="A2278">
        <v>442899</v>
      </c>
      <c r="B2278">
        <v>613259</v>
      </c>
      <c r="D2278">
        <v>0</v>
      </c>
      <c r="E2278" t="s">
        <v>14430</v>
      </c>
      <c r="F2278" t="s">
        <v>14431</v>
      </c>
      <c r="G2278" t="s">
        <v>14432</v>
      </c>
      <c r="H2278" t="e" vm="1001">
        <f>_FV(0,"036767630025906585")</f>
        <v>#VALUE!</v>
      </c>
      <c r="I2278" t="s">
        <v>14433</v>
      </c>
      <c r="J2278" t="s">
        <v>14434</v>
      </c>
      <c r="K2278" t="s">
        <v>14435</v>
      </c>
      <c r="L2278" t="s">
        <v>14429</v>
      </c>
    </row>
    <row r="2279" spans="1:12" x14ac:dyDescent="0.25">
      <c r="A2279">
        <v>443012</v>
      </c>
      <c r="B2279">
        <v>443013</v>
      </c>
      <c r="D2279">
        <v>0</v>
      </c>
      <c r="F2279">
        <v>443990</v>
      </c>
      <c r="G2279">
        <v>443013</v>
      </c>
      <c r="H2279" t="e" vm="407">
        <f>_FV(0,"094")</f>
        <v>#VALUE!</v>
      </c>
      <c r="I2279">
        <v>443012</v>
      </c>
      <c r="J2279" t="s">
        <v>14436</v>
      </c>
      <c r="K2279" t="s">
        <v>14437</v>
      </c>
      <c r="L2279" t="e" vm="407">
        <f>_FV(0,"094")</f>
        <v>#VALUE!</v>
      </c>
    </row>
    <row r="2280" spans="1:12" x14ac:dyDescent="0.25">
      <c r="A2280">
        <v>443012</v>
      </c>
      <c r="B2280">
        <v>443068</v>
      </c>
      <c r="D2280">
        <v>0</v>
      </c>
      <c r="E2280" t="s">
        <v>14439</v>
      </c>
      <c r="F2280" t="s">
        <v>14440</v>
      </c>
      <c r="G2280" t="s">
        <v>14441</v>
      </c>
      <c r="H2280" t="e" vm="1002">
        <f>_FV(0,"10449668795278373")</f>
        <v>#VALUE!</v>
      </c>
      <c r="I2280" t="s">
        <v>14442</v>
      </c>
      <c r="J2280" t="s">
        <v>14443</v>
      </c>
      <c r="K2280" t="s">
        <v>14444</v>
      </c>
      <c r="L2280" t="s">
        <v>14438</v>
      </c>
    </row>
    <row r="2281" spans="1:12" x14ac:dyDescent="0.25">
      <c r="A2281">
        <v>443012</v>
      </c>
      <c r="B2281">
        <v>1115020</v>
      </c>
      <c r="D2281">
        <v>0</v>
      </c>
      <c r="E2281" t="s">
        <v>14446</v>
      </c>
      <c r="F2281" t="s">
        <v>14447</v>
      </c>
      <c r="G2281" t="s">
        <v>14448</v>
      </c>
      <c r="H2281" t="e" vm="1003">
        <f>_FV(0,"03230425605470784")</f>
        <v>#VALUE!</v>
      </c>
      <c r="I2281" t="s">
        <v>14449</v>
      </c>
      <c r="J2281" t="s">
        <v>14450</v>
      </c>
      <c r="K2281" t="s">
        <v>14451</v>
      </c>
      <c r="L2281" t="s">
        <v>14445</v>
      </c>
    </row>
    <row r="2282" spans="1:12" x14ac:dyDescent="0.25">
      <c r="A2282">
        <v>443013</v>
      </c>
      <c r="B2282">
        <v>443024</v>
      </c>
      <c r="D2282">
        <v>0</v>
      </c>
      <c r="F2282">
        <v>443999</v>
      </c>
      <c r="G2282">
        <v>443024</v>
      </c>
      <c r="H2282" t="e" vm="353">
        <f>_FV(0,"045")</f>
        <v>#VALUE!</v>
      </c>
      <c r="I2282">
        <v>443013</v>
      </c>
      <c r="J2282" t="s">
        <v>4979</v>
      </c>
      <c r="K2282" t="s">
        <v>14452</v>
      </c>
      <c r="L2282" t="e" vm="353">
        <f>_FV(0,"045")</f>
        <v>#VALUE!</v>
      </c>
    </row>
    <row r="2283" spans="1:12" x14ac:dyDescent="0.25">
      <c r="A2283">
        <v>443024</v>
      </c>
      <c r="B2283">
        <v>443068</v>
      </c>
      <c r="D2283">
        <v>0</v>
      </c>
      <c r="E2283" t="s">
        <v>14454</v>
      </c>
      <c r="F2283" t="s">
        <v>14455</v>
      </c>
      <c r="G2283" t="s">
        <v>14456</v>
      </c>
      <c r="H2283" t="s">
        <v>14457</v>
      </c>
      <c r="I2283" t="s">
        <v>14458</v>
      </c>
      <c r="J2283" t="s">
        <v>14453</v>
      </c>
      <c r="K2283" t="s">
        <v>14459</v>
      </c>
      <c r="L2283" t="s">
        <v>14453</v>
      </c>
    </row>
    <row r="2284" spans="1:12" x14ac:dyDescent="0.25">
      <c r="A2284">
        <v>443024</v>
      </c>
      <c r="B2284">
        <v>1253118</v>
      </c>
      <c r="D2284">
        <v>0</v>
      </c>
      <c r="E2284" t="s">
        <v>14461</v>
      </c>
      <c r="F2284" t="s">
        <v>14462</v>
      </c>
      <c r="G2284" t="s">
        <v>14463</v>
      </c>
      <c r="H2284" t="e" vm="1004">
        <f>_FV(0,"05476247678036964")</f>
        <v>#VALUE!</v>
      </c>
      <c r="I2284" t="s">
        <v>14464</v>
      </c>
      <c r="J2284" t="s">
        <v>14465</v>
      </c>
      <c r="K2284" t="s">
        <v>14466</v>
      </c>
      <c r="L2284" t="s">
        <v>14460</v>
      </c>
    </row>
    <row r="2285" spans="1:12" x14ac:dyDescent="0.25">
      <c r="A2285">
        <v>443068</v>
      </c>
      <c r="B2285">
        <v>1115020</v>
      </c>
      <c r="D2285">
        <v>0</v>
      </c>
      <c r="E2285" t="s">
        <v>14468</v>
      </c>
      <c r="F2285" t="s">
        <v>14469</v>
      </c>
      <c r="G2285" t="s">
        <v>14470</v>
      </c>
      <c r="H2285" t="s">
        <v>14471</v>
      </c>
      <c r="I2285" t="s">
        <v>14472</v>
      </c>
      <c r="J2285" t="s">
        <v>14473</v>
      </c>
      <c r="K2285" t="s">
        <v>14474</v>
      </c>
      <c r="L2285" t="s">
        <v>14467</v>
      </c>
    </row>
    <row r="2286" spans="1:12" x14ac:dyDescent="0.25">
      <c r="A2286">
        <v>443901</v>
      </c>
      <c r="B2286">
        <v>443926</v>
      </c>
      <c r="D2286">
        <v>0</v>
      </c>
      <c r="E2286" t="s">
        <v>14476</v>
      </c>
      <c r="F2286" t="s">
        <v>14477</v>
      </c>
      <c r="G2286" t="s">
        <v>14478</v>
      </c>
      <c r="H2286" t="e" vm="1005">
        <f>_FV(0,"0039699792430285645")</f>
        <v>#VALUE!</v>
      </c>
      <c r="I2286" t="s">
        <v>14479</v>
      </c>
      <c r="J2286" t="s">
        <v>14480</v>
      </c>
      <c r="K2286" t="s">
        <v>14481</v>
      </c>
      <c r="L2286" t="s">
        <v>14475</v>
      </c>
    </row>
    <row r="2287" spans="1:12" x14ac:dyDescent="0.25">
      <c r="A2287">
        <v>443901</v>
      </c>
      <c r="B2287">
        <v>443984</v>
      </c>
      <c r="D2287">
        <v>0</v>
      </c>
      <c r="E2287" t="s">
        <v>14482</v>
      </c>
      <c r="F2287" t="s">
        <v>14483</v>
      </c>
      <c r="G2287" t="s">
        <v>14484</v>
      </c>
      <c r="H2287" t="s">
        <v>14485</v>
      </c>
      <c r="I2287" t="s">
        <v>14486</v>
      </c>
      <c r="J2287" t="s">
        <v>11633</v>
      </c>
      <c r="K2287" t="s">
        <v>14487</v>
      </c>
      <c r="L2287" t="s">
        <v>11633</v>
      </c>
    </row>
    <row r="2288" spans="1:12" x14ac:dyDescent="0.25">
      <c r="A2288">
        <v>443901</v>
      </c>
      <c r="B2288">
        <v>444183</v>
      </c>
      <c r="D2288">
        <v>0</v>
      </c>
      <c r="E2288" t="s">
        <v>14488</v>
      </c>
      <c r="F2288" t="s">
        <v>14489</v>
      </c>
      <c r="G2288" t="s">
        <v>14490</v>
      </c>
      <c r="H2288" t="e" vm="1006">
        <f>_FV(0,"006")</f>
        <v>#VALUE!</v>
      </c>
      <c r="I2288" t="s">
        <v>14491</v>
      </c>
      <c r="J2288" t="s">
        <v>250</v>
      </c>
      <c r="K2288" t="s">
        <v>14492</v>
      </c>
      <c r="L2288" t="e" vm="1006">
        <f>_FV(0,"006")</f>
        <v>#VALUE!</v>
      </c>
    </row>
    <row r="2289" spans="1:12" x14ac:dyDescent="0.25">
      <c r="A2289">
        <v>443926</v>
      </c>
      <c r="B2289">
        <v>443934</v>
      </c>
      <c r="D2289">
        <v>0</v>
      </c>
      <c r="E2289" t="s">
        <v>14494</v>
      </c>
      <c r="F2289" t="s">
        <v>14495</v>
      </c>
      <c r="G2289" t="s">
        <v>14496</v>
      </c>
      <c r="H2289" t="e" vm="1007">
        <f>_FV(0,"017750399820463735")</f>
        <v>#VALUE!</v>
      </c>
      <c r="I2289" t="s">
        <v>14497</v>
      </c>
      <c r="J2289" t="s">
        <v>14498</v>
      </c>
      <c r="K2289" t="s">
        <v>14499</v>
      </c>
      <c r="L2289" t="s">
        <v>14493</v>
      </c>
    </row>
    <row r="2290" spans="1:12" x14ac:dyDescent="0.25">
      <c r="A2290">
        <v>443926</v>
      </c>
      <c r="B2290">
        <v>444219</v>
      </c>
      <c r="D2290">
        <v>0</v>
      </c>
      <c r="E2290" t="s">
        <v>14501</v>
      </c>
      <c r="F2290" t="s">
        <v>14502</v>
      </c>
      <c r="G2290" t="s">
        <v>14503</v>
      </c>
      <c r="H2290" t="s">
        <v>14504</v>
      </c>
      <c r="I2290" t="s">
        <v>14505</v>
      </c>
      <c r="J2290" t="s">
        <v>14506</v>
      </c>
      <c r="K2290" t="s">
        <v>14507</v>
      </c>
      <c r="L2290" t="s">
        <v>14500</v>
      </c>
    </row>
    <row r="2291" spans="1:12" x14ac:dyDescent="0.25">
      <c r="A2291">
        <v>443934</v>
      </c>
      <c r="B2291">
        <v>443984</v>
      </c>
      <c r="D2291">
        <v>0</v>
      </c>
      <c r="E2291" t="s">
        <v>14509</v>
      </c>
      <c r="F2291" t="s">
        <v>14510</v>
      </c>
      <c r="G2291" t="s">
        <v>14511</v>
      </c>
      <c r="H2291" t="s">
        <v>14512</v>
      </c>
      <c r="I2291" t="s">
        <v>14513</v>
      </c>
      <c r="J2291" t="s">
        <v>14514</v>
      </c>
      <c r="K2291" t="s">
        <v>14515</v>
      </c>
      <c r="L2291" t="s">
        <v>14508</v>
      </c>
    </row>
    <row r="2292" spans="1:12" x14ac:dyDescent="0.25">
      <c r="A2292">
        <v>443934</v>
      </c>
      <c r="B2292">
        <v>444219</v>
      </c>
      <c r="D2292">
        <v>0</v>
      </c>
      <c r="E2292" t="s">
        <v>14517</v>
      </c>
      <c r="F2292" t="s">
        <v>14518</v>
      </c>
      <c r="G2292" t="s">
        <v>14519</v>
      </c>
      <c r="H2292" t="s">
        <v>14520</v>
      </c>
      <c r="I2292" t="s">
        <v>14521</v>
      </c>
      <c r="J2292" t="s">
        <v>14522</v>
      </c>
      <c r="K2292" t="s">
        <v>14523</v>
      </c>
      <c r="L2292" t="s">
        <v>14516</v>
      </c>
    </row>
    <row r="2293" spans="1:12" x14ac:dyDescent="0.25">
      <c r="A2293">
        <v>443984</v>
      </c>
      <c r="B2293">
        <v>444183</v>
      </c>
      <c r="D2293">
        <v>0</v>
      </c>
      <c r="E2293" t="s">
        <v>14525</v>
      </c>
      <c r="F2293" t="s">
        <v>14526</v>
      </c>
      <c r="G2293" t="s">
        <v>14527</v>
      </c>
      <c r="H2293" t="e" vm="1008">
        <f>_FV(0,"011129711869857983")</f>
        <v>#VALUE!</v>
      </c>
      <c r="I2293" t="s">
        <v>14528</v>
      </c>
      <c r="J2293" t="s">
        <v>14529</v>
      </c>
      <c r="K2293" t="s">
        <v>14530</v>
      </c>
      <c r="L2293" t="s">
        <v>14524</v>
      </c>
    </row>
    <row r="2294" spans="1:12" x14ac:dyDescent="0.25">
      <c r="A2294">
        <v>443992</v>
      </c>
      <c r="B2294">
        <v>444024</v>
      </c>
      <c r="D2294">
        <v>0</v>
      </c>
      <c r="E2294" t="s">
        <v>14532</v>
      </c>
      <c r="F2294" t="s">
        <v>14533</v>
      </c>
      <c r="G2294" t="s">
        <v>14534</v>
      </c>
      <c r="H2294" t="s">
        <v>14535</v>
      </c>
      <c r="I2294" t="s">
        <v>14536</v>
      </c>
      <c r="J2294" t="s">
        <v>14537</v>
      </c>
      <c r="K2294" t="s">
        <v>14538</v>
      </c>
      <c r="L2294" t="s">
        <v>14531</v>
      </c>
    </row>
    <row r="2295" spans="1:12" x14ac:dyDescent="0.25">
      <c r="A2295">
        <v>443992</v>
      </c>
      <c r="B2295">
        <v>444061</v>
      </c>
      <c r="D2295">
        <v>0</v>
      </c>
      <c r="E2295" t="s">
        <v>14540</v>
      </c>
      <c r="F2295" t="s">
        <v>14541</v>
      </c>
      <c r="G2295" t="s">
        <v>14542</v>
      </c>
      <c r="H2295" t="e" vm="1009">
        <f>_FV(0,"024045740846535216")</f>
        <v>#VALUE!</v>
      </c>
      <c r="I2295" t="s">
        <v>14543</v>
      </c>
      <c r="J2295" t="s">
        <v>14544</v>
      </c>
      <c r="K2295" t="s">
        <v>14545</v>
      </c>
      <c r="L2295" t="s">
        <v>14539</v>
      </c>
    </row>
    <row r="2296" spans="1:12" x14ac:dyDescent="0.25">
      <c r="A2296">
        <v>443992</v>
      </c>
      <c r="B2296">
        <v>444209</v>
      </c>
      <c r="D2296">
        <v>0</v>
      </c>
      <c r="E2296" t="s">
        <v>14546</v>
      </c>
      <c r="F2296" t="s">
        <v>14547</v>
      </c>
      <c r="G2296" t="s">
        <v>14548</v>
      </c>
      <c r="H2296" t="s">
        <v>14549</v>
      </c>
      <c r="I2296" t="s">
        <v>14550</v>
      </c>
      <c r="J2296" t="s">
        <v>9451</v>
      </c>
      <c r="K2296" t="s">
        <v>14551</v>
      </c>
      <c r="L2296" t="s">
        <v>9451</v>
      </c>
    </row>
    <row r="2297" spans="1:12" x14ac:dyDescent="0.25">
      <c r="A2297">
        <v>444024</v>
      </c>
      <c r="B2297">
        <v>444048</v>
      </c>
      <c r="D2297">
        <v>0</v>
      </c>
      <c r="E2297" t="s">
        <v>14553</v>
      </c>
      <c r="F2297" t="s">
        <v>14554</v>
      </c>
      <c r="G2297" t="s">
        <v>14555</v>
      </c>
      <c r="H2297" t="s">
        <v>14556</v>
      </c>
      <c r="I2297" t="s">
        <v>14557</v>
      </c>
      <c r="J2297" t="s">
        <v>14552</v>
      </c>
      <c r="K2297" t="s">
        <v>14558</v>
      </c>
      <c r="L2297" t="s">
        <v>14552</v>
      </c>
    </row>
    <row r="2298" spans="1:12" x14ac:dyDescent="0.25">
      <c r="A2298">
        <v>444024</v>
      </c>
      <c r="B2298">
        <v>444252</v>
      </c>
      <c r="D2298">
        <v>0</v>
      </c>
      <c r="E2298" t="s">
        <v>14560</v>
      </c>
      <c r="F2298" t="s">
        <v>14561</v>
      </c>
      <c r="G2298" t="s">
        <v>14562</v>
      </c>
      <c r="H2298" t="s">
        <v>14563</v>
      </c>
      <c r="I2298" t="s">
        <v>14564</v>
      </c>
      <c r="J2298" t="s">
        <v>14565</v>
      </c>
      <c r="K2298" t="s">
        <v>14566</v>
      </c>
      <c r="L2298" t="s">
        <v>14559</v>
      </c>
    </row>
    <row r="2299" spans="1:12" x14ac:dyDescent="0.25">
      <c r="A2299">
        <v>444048</v>
      </c>
      <c r="B2299">
        <v>444061</v>
      </c>
      <c r="D2299">
        <v>0</v>
      </c>
      <c r="E2299" t="s">
        <v>14568</v>
      </c>
      <c r="F2299" t="s">
        <v>14569</v>
      </c>
      <c r="G2299" t="s">
        <v>14570</v>
      </c>
      <c r="H2299" t="e" vm="1010">
        <f>_FV(0,"008252750477227927")</f>
        <v>#VALUE!</v>
      </c>
      <c r="I2299" t="s">
        <v>14571</v>
      </c>
      <c r="J2299" t="s">
        <v>14572</v>
      </c>
      <c r="K2299" t="s">
        <v>14573</v>
      </c>
      <c r="L2299" t="s">
        <v>14567</v>
      </c>
    </row>
    <row r="2300" spans="1:12" x14ac:dyDescent="0.25">
      <c r="A2300">
        <v>444048</v>
      </c>
      <c r="B2300">
        <v>444252</v>
      </c>
      <c r="D2300">
        <v>0</v>
      </c>
      <c r="E2300" t="s">
        <v>14575</v>
      </c>
      <c r="F2300" t="s">
        <v>14576</v>
      </c>
      <c r="G2300" t="s">
        <v>14577</v>
      </c>
      <c r="H2300" t="e" vm="1011">
        <f>_FV(0,"0031370561929519184")</f>
        <v>#VALUE!</v>
      </c>
      <c r="I2300" t="s">
        <v>14578</v>
      </c>
      <c r="J2300" t="s">
        <v>14579</v>
      </c>
      <c r="K2300" t="s">
        <v>14580</v>
      </c>
      <c r="L2300" t="s">
        <v>14574</v>
      </c>
    </row>
    <row r="2301" spans="1:12" x14ac:dyDescent="0.25">
      <c r="A2301">
        <v>444061</v>
      </c>
      <c r="B2301">
        <v>444209</v>
      </c>
      <c r="D2301">
        <v>0</v>
      </c>
      <c r="E2301" t="s">
        <v>14581</v>
      </c>
      <c r="F2301" t="s">
        <v>14582</v>
      </c>
      <c r="G2301" t="s">
        <v>14583</v>
      </c>
      <c r="H2301" t="s">
        <v>14584</v>
      </c>
      <c r="I2301" t="s">
        <v>14585</v>
      </c>
      <c r="J2301" t="s">
        <v>14498</v>
      </c>
      <c r="K2301" t="s">
        <v>14586</v>
      </c>
      <c r="L2301" t="s">
        <v>14498</v>
      </c>
    </row>
    <row r="2302" spans="1:12" x14ac:dyDescent="0.25">
      <c r="A2302">
        <v>444070</v>
      </c>
      <c r="B2302">
        <v>444084</v>
      </c>
      <c r="D2302">
        <v>0</v>
      </c>
      <c r="E2302" t="s">
        <v>14588</v>
      </c>
      <c r="F2302" t="s">
        <v>14589</v>
      </c>
      <c r="G2302" t="s">
        <v>14590</v>
      </c>
      <c r="H2302" t="s">
        <v>14591</v>
      </c>
      <c r="I2302" t="s">
        <v>14592</v>
      </c>
      <c r="J2302" t="s">
        <v>14593</v>
      </c>
      <c r="K2302" t="s">
        <v>14594</v>
      </c>
      <c r="L2302" t="s">
        <v>14587</v>
      </c>
    </row>
    <row r="2303" spans="1:12" x14ac:dyDescent="0.25">
      <c r="A2303">
        <v>444070</v>
      </c>
      <c r="B2303">
        <v>444161</v>
      </c>
      <c r="D2303">
        <v>0</v>
      </c>
      <c r="E2303" t="s">
        <v>14596</v>
      </c>
      <c r="F2303" t="s">
        <v>14597</v>
      </c>
      <c r="G2303" t="s">
        <v>14598</v>
      </c>
      <c r="H2303" t="e" vm="1012">
        <f>_FV(0,"03296817918112556")</f>
        <v>#VALUE!</v>
      </c>
      <c r="I2303" t="s">
        <v>14599</v>
      </c>
      <c r="J2303" t="s">
        <v>14600</v>
      </c>
      <c r="K2303" t="s">
        <v>14601</v>
      </c>
      <c r="L2303" t="s">
        <v>14595</v>
      </c>
    </row>
    <row r="2304" spans="1:12" x14ac:dyDescent="0.25">
      <c r="A2304">
        <v>444070</v>
      </c>
      <c r="B2304">
        <v>444243</v>
      </c>
      <c r="D2304">
        <v>0</v>
      </c>
      <c r="E2304" t="s">
        <v>14603</v>
      </c>
      <c r="F2304" t="s">
        <v>14604</v>
      </c>
      <c r="G2304" t="s">
        <v>14605</v>
      </c>
      <c r="H2304" t="e" vm="1013">
        <f>_FV(0,"0050426110447002875")</f>
        <v>#VALUE!</v>
      </c>
      <c r="I2304" t="s">
        <v>14606</v>
      </c>
      <c r="J2304" t="s">
        <v>14607</v>
      </c>
      <c r="K2304" t="s">
        <v>14608</v>
      </c>
      <c r="L2304" t="s">
        <v>14602</v>
      </c>
    </row>
    <row r="2305" spans="1:12" x14ac:dyDescent="0.25">
      <c r="A2305">
        <v>444084</v>
      </c>
      <c r="B2305">
        <v>444107</v>
      </c>
      <c r="D2305">
        <v>0</v>
      </c>
      <c r="E2305" t="s">
        <v>14610</v>
      </c>
      <c r="F2305" t="s">
        <v>14611</v>
      </c>
      <c r="G2305" t="s">
        <v>14612</v>
      </c>
      <c r="H2305" t="s">
        <v>14613</v>
      </c>
      <c r="I2305" t="s">
        <v>14614</v>
      </c>
      <c r="J2305" t="s">
        <v>14609</v>
      </c>
      <c r="K2305" t="s">
        <v>14615</v>
      </c>
      <c r="L2305" t="s">
        <v>14609</v>
      </c>
    </row>
    <row r="2306" spans="1:12" x14ac:dyDescent="0.25">
      <c r="A2306">
        <v>444084</v>
      </c>
      <c r="B2306">
        <v>1834710</v>
      </c>
      <c r="D2306">
        <v>0</v>
      </c>
      <c r="E2306" t="s">
        <v>14617</v>
      </c>
      <c r="F2306" t="s">
        <v>14618</v>
      </c>
      <c r="G2306" t="s">
        <v>14619</v>
      </c>
      <c r="H2306" t="s">
        <v>14620</v>
      </c>
      <c r="I2306" t="s">
        <v>14621</v>
      </c>
      <c r="J2306" t="s">
        <v>14616</v>
      </c>
      <c r="K2306" t="s">
        <v>14622</v>
      </c>
      <c r="L2306" t="s">
        <v>14616</v>
      </c>
    </row>
    <row r="2307" spans="1:12" x14ac:dyDescent="0.25">
      <c r="A2307">
        <v>444107</v>
      </c>
      <c r="B2307">
        <v>444161</v>
      </c>
      <c r="D2307">
        <v>0</v>
      </c>
      <c r="E2307" t="s">
        <v>14624</v>
      </c>
      <c r="F2307" t="s">
        <v>14625</v>
      </c>
      <c r="G2307" t="s">
        <v>14626</v>
      </c>
      <c r="H2307" t="e" vm="1014">
        <f>_FV(0,"003816654266948671")</f>
        <v>#VALUE!</v>
      </c>
      <c r="I2307" t="s">
        <v>14627</v>
      </c>
      <c r="J2307" t="s">
        <v>14628</v>
      </c>
      <c r="K2307" t="s">
        <v>14629</v>
      </c>
      <c r="L2307" t="s">
        <v>14623</v>
      </c>
    </row>
    <row r="2308" spans="1:12" x14ac:dyDescent="0.25">
      <c r="A2308">
        <v>444107</v>
      </c>
      <c r="B2308">
        <v>1834710</v>
      </c>
      <c r="D2308">
        <v>0</v>
      </c>
      <c r="E2308" t="s">
        <v>14631</v>
      </c>
      <c r="F2308" t="s">
        <v>14632</v>
      </c>
      <c r="G2308" t="s">
        <v>14633</v>
      </c>
      <c r="H2308" t="s">
        <v>14634</v>
      </c>
      <c r="I2308" t="s">
        <v>14635</v>
      </c>
      <c r="J2308" t="s">
        <v>14630</v>
      </c>
      <c r="K2308" t="s">
        <v>14636</v>
      </c>
      <c r="L2308" t="s">
        <v>14630</v>
      </c>
    </row>
    <row r="2309" spans="1:12" x14ac:dyDescent="0.25">
      <c r="A2309">
        <v>444161</v>
      </c>
      <c r="B2309">
        <v>444243</v>
      </c>
      <c r="D2309">
        <v>0</v>
      </c>
      <c r="E2309" t="s">
        <v>14637</v>
      </c>
      <c r="F2309" t="s">
        <v>14638</v>
      </c>
      <c r="G2309" t="s">
        <v>14639</v>
      </c>
      <c r="H2309" t="s">
        <v>14640</v>
      </c>
      <c r="I2309" t="s">
        <v>14641</v>
      </c>
      <c r="J2309" t="s">
        <v>1597</v>
      </c>
      <c r="K2309" t="s">
        <v>14642</v>
      </c>
      <c r="L2309" t="s">
        <v>1597</v>
      </c>
    </row>
    <row r="2310" spans="1:12" x14ac:dyDescent="0.25">
      <c r="A2310">
        <v>444178</v>
      </c>
      <c r="B2310">
        <v>444179</v>
      </c>
      <c r="C2310" t="s">
        <v>14644</v>
      </c>
      <c r="D2310">
        <v>0</v>
      </c>
      <c r="E2310" t="s">
        <v>14645</v>
      </c>
      <c r="F2310" t="s">
        <v>14646</v>
      </c>
      <c r="G2310" t="s">
        <v>14647</v>
      </c>
      <c r="H2310" t="s">
        <v>14648</v>
      </c>
      <c r="I2310" t="s">
        <v>14649</v>
      </c>
      <c r="J2310" t="s">
        <v>14643</v>
      </c>
      <c r="K2310" t="s">
        <v>14650</v>
      </c>
      <c r="L2310" t="s">
        <v>14643</v>
      </c>
    </row>
    <row r="2311" spans="1:12" x14ac:dyDescent="0.25">
      <c r="A2311">
        <v>444178</v>
      </c>
      <c r="B2311">
        <v>444179</v>
      </c>
      <c r="D2311">
        <v>0</v>
      </c>
      <c r="E2311" t="s">
        <v>14652</v>
      </c>
      <c r="F2311" t="s">
        <v>14653</v>
      </c>
      <c r="G2311" t="s">
        <v>14654</v>
      </c>
      <c r="H2311" t="s">
        <v>14655</v>
      </c>
      <c r="I2311" t="s">
        <v>14656</v>
      </c>
      <c r="J2311" t="s">
        <v>14651</v>
      </c>
      <c r="K2311" t="s">
        <v>14657</v>
      </c>
      <c r="L2311" t="s">
        <v>14651</v>
      </c>
    </row>
    <row r="2312" spans="1:12" x14ac:dyDescent="0.25">
      <c r="A2312">
        <v>444178</v>
      </c>
      <c r="B2312">
        <v>1854890</v>
      </c>
      <c r="D2312">
        <v>0</v>
      </c>
      <c r="E2312" t="s">
        <v>14658</v>
      </c>
      <c r="H2312" t="s">
        <v>187</v>
      </c>
      <c r="J2312">
        <v>0</v>
      </c>
      <c r="K2312" t="s">
        <v>14659</v>
      </c>
      <c r="L2312">
        <v>0</v>
      </c>
    </row>
    <row r="2313" spans="1:12" x14ac:dyDescent="0.25">
      <c r="A2313">
        <v>444179</v>
      </c>
      <c r="B2313">
        <v>444183</v>
      </c>
      <c r="D2313" t="s">
        <v>14661</v>
      </c>
      <c r="E2313" t="s">
        <v>14662</v>
      </c>
      <c r="F2313" t="s">
        <v>14663</v>
      </c>
      <c r="G2313" t="s">
        <v>14664</v>
      </c>
      <c r="H2313" t="s">
        <v>14665</v>
      </c>
      <c r="I2313" t="s">
        <v>14666</v>
      </c>
      <c r="J2313" t="s">
        <v>14667</v>
      </c>
      <c r="K2313" t="s">
        <v>14668</v>
      </c>
      <c r="L2313" t="s">
        <v>14660</v>
      </c>
    </row>
    <row r="2314" spans="1:12" x14ac:dyDescent="0.25">
      <c r="A2314">
        <v>444209</v>
      </c>
      <c r="B2314">
        <v>444219</v>
      </c>
      <c r="D2314">
        <v>0</v>
      </c>
      <c r="E2314" t="s">
        <v>14670</v>
      </c>
      <c r="F2314" t="s">
        <v>14671</v>
      </c>
      <c r="G2314" t="s">
        <v>14672</v>
      </c>
      <c r="H2314" t="s">
        <v>14673</v>
      </c>
      <c r="I2314" t="s">
        <v>14674</v>
      </c>
      <c r="J2314" t="s">
        <v>14669</v>
      </c>
      <c r="K2314" t="s">
        <v>14675</v>
      </c>
      <c r="L2314" t="s">
        <v>14669</v>
      </c>
    </row>
    <row r="2315" spans="1:12" x14ac:dyDescent="0.25">
      <c r="A2315">
        <v>444243</v>
      </c>
      <c r="B2315">
        <v>444252</v>
      </c>
      <c r="D2315">
        <v>0</v>
      </c>
      <c r="F2315">
        <v>445291</v>
      </c>
      <c r="G2315">
        <v>444243</v>
      </c>
      <c r="H2315" t="s">
        <v>1534</v>
      </c>
      <c r="I2315">
        <v>444252</v>
      </c>
      <c r="J2315" t="s">
        <v>1534</v>
      </c>
      <c r="K2315" t="s">
        <v>14676</v>
      </c>
      <c r="L2315" t="s">
        <v>1534</v>
      </c>
    </row>
    <row r="2316" spans="1:12" x14ac:dyDescent="0.25">
      <c r="A2316">
        <v>447314</v>
      </c>
      <c r="B2316">
        <v>749584</v>
      </c>
      <c r="D2316">
        <v>0</v>
      </c>
      <c r="E2316" t="s">
        <v>14678</v>
      </c>
      <c r="F2316" t="s">
        <v>14679</v>
      </c>
      <c r="G2316" t="s">
        <v>14680</v>
      </c>
      <c r="H2316" t="e" vm="1015">
        <f>_FV(0,"019108769964698902")</f>
        <v>#VALUE!</v>
      </c>
      <c r="I2316" t="s">
        <v>14681</v>
      </c>
      <c r="J2316" t="s">
        <v>14682</v>
      </c>
      <c r="K2316" t="s">
        <v>14683</v>
      </c>
      <c r="L2316" t="s">
        <v>14677</v>
      </c>
    </row>
    <row r="2317" spans="1:12" x14ac:dyDescent="0.25">
      <c r="A2317">
        <v>447314</v>
      </c>
      <c r="B2317">
        <v>733315</v>
      </c>
      <c r="D2317">
        <v>0</v>
      </c>
      <c r="E2317" t="s">
        <v>14685</v>
      </c>
      <c r="F2317" t="s">
        <v>14686</v>
      </c>
      <c r="G2317" t="s">
        <v>14687</v>
      </c>
      <c r="H2317" t="e" vm="1016">
        <f>_FV(0,"015206764030035937")</f>
        <v>#VALUE!</v>
      </c>
      <c r="I2317" t="s">
        <v>14688</v>
      </c>
      <c r="J2317" t="s">
        <v>14689</v>
      </c>
      <c r="K2317" t="s">
        <v>14690</v>
      </c>
      <c r="L2317" t="s">
        <v>14684</v>
      </c>
    </row>
    <row r="2318" spans="1:12" x14ac:dyDescent="0.25">
      <c r="A2318">
        <v>447314</v>
      </c>
      <c r="B2318">
        <v>735292</v>
      </c>
      <c r="D2318" t="s">
        <v>14692</v>
      </c>
      <c r="E2318" t="s">
        <v>14693</v>
      </c>
      <c r="F2318" t="s">
        <v>14694</v>
      </c>
      <c r="G2318" t="s">
        <v>14695</v>
      </c>
      <c r="H2318" t="s">
        <v>14696</v>
      </c>
      <c r="I2318" t="s">
        <v>14697</v>
      </c>
      <c r="J2318" t="s">
        <v>14698</v>
      </c>
      <c r="K2318" t="s">
        <v>14699</v>
      </c>
      <c r="L2318" t="s">
        <v>14691</v>
      </c>
    </row>
    <row r="2319" spans="1:12" x14ac:dyDescent="0.25">
      <c r="A2319">
        <v>447422</v>
      </c>
      <c r="B2319">
        <v>932372</v>
      </c>
      <c r="D2319">
        <v>0</v>
      </c>
      <c r="F2319">
        <v>1196056</v>
      </c>
      <c r="G2319">
        <v>447422</v>
      </c>
      <c r="H2319" t="s">
        <v>2871</v>
      </c>
      <c r="I2319">
        <v>932372</v>
      </c>
      <c r="J2319" t="s">
        <v>2871</v>
      </c>
      <c r="K2319" t="s">
        <v>14700</v>
      </c>
      <c r="L2319" t="s">
        <v>2871</v>
      </c>
    </row>
    <row r="2320" spans="1:12" x14ac:dyDescent="0.25">
      <c r="A2320">
        <v>447638</v>
      </c>
      <c r="B2320">
        <v>448103</v>
      </c>
      <c r="C2320" t="s">
        <v>14701</v>
      </c>
      <c r="D2320">
        <v>0</v>
      </c>
      <c r="F2320">
        <v>474764</v>
      </c>
      <c r="G2320">
        <v>448103</v>
      </c>
      <c r="H2320" t="s">
        <v>922</v>
      </c>
      <c r="I2320">
        <v>447638</v>
      </c>
      <c r="J2320" t="s">
        <v>922</v>
      </c>
      <c r="K2320" t="s">
        <v>14702</v>
      </c>
      <c r="L2320" t="s">
        <v>922</v>
      </c>
    </row>
    <row r="2321" spans="1:12" x14ac:dyDescent="0.25">
      <c r="A2321">
        <v>448103</v>
      </c>
      <c r="B2321">
        <v>448138</v>
      </c>
      <c r="D2321">
        <v>0</v>
      </c>
      <c r="E2321" t="s">
        <v>14704</v>
      </c>
      <c r="F2321" t="s">
        <v>14705</v>
      </c>
      <c r="G2321" t="s">
        <v>14706</v>
      </c>
      <c r="H2321" t="e" vm="1017">
        <f>_FV(0,"035671996060056804")</f>
        <v>#VALUE!</v>
      </c>
      <c r="I2321" t="s">
        <v>14707</v>
      </c>
      <c r="J2321" t="s">
        <v>14708</v>
      </c>
      <c r="K2321" t="s">
        <v>14709</v>
      </c>
      <c r="L2321" t="s">
        <v>14703</v>
      </c>
    </row>
    <row r="2322" spans="1:12" x14ac:dyDescent="0.25">
      <c r="A2322">
        <v>448103</v>
      </c>
      <c r="B2322">
        <v>448138</v>
      </c>
      <c r="D2322">
        <v>0</v>
      </c>
      <c r="E2322" t="s">
        <v>14711</v>
      </c>
      <c r="F2322" t="s">
        <v>14712</v>
      </c>
      <c r="G2322" t="s">
        <v>14713</v>
      </c>
      <c r="H2322" t="e" vm="1018">
        <f>_FV(0,"03547626164746282")</f>
        <v>#VALUE!</v>
      </c>
      <c r="I2322" t="s">
        <v>14714</v>
      </c>
      <c r="J2322" t="s">
        <v>14715</v>
      </c>
      <c r="K2322" t="s">
        <v>14716</v>
      </c>
      <c r="L2322" t="s">
        <v>14710</v>
      </c>
    </row>
    <row r="2323" spans="1:12" x14ac:dyDescent="0.25">
      <c r="A2323">
        <v>448138</v>
      </c>
      <c r="B2323">
        <v>448263</v>
      </c>
      <c r="D2323">
        <v>0</v>
      </c>
      <c r="F2323">
        <v>474772</v>
      </c>
      <c r="G2323">
        <v>448263</v>
      </c>
      <c r="H2323" t="e" vm="572">
        <f>_FV(0,"021")</f>
        <v>#VALUE!</v>
      </c>
      <c r="I2323">
        <v>448138</v>
      </c>
      <c r="J2323" t="s">
        <v>1536</v>
      </c>
      <c r="K2323" t="s">
        <v>14717</v>
      </c>
      <c r="L2323" t="e" vm="572">
        <f>_FV(0,"021")</f>
        <v>#VALUE!</v>
      </c>
    </row>
    <row r="2324" spans="1:12" x14ac:dyDescent="0.25">
      <c r="A2324">
        <v>448263</v>
      </c>
      <c r="B2324">
        <v>448296</v>
      </c>
      <c r="D2324">
        <v>0</v>
      </c>
      <c r="E2324" t="s">
        <v>14719</v>
      </c>
      <c r="F2324" t="s">
        <v>14720</v>
      </c>
      <c r="G2324" t="s">
        <v>14721</v>
      </c>
      <c r="H2324" t="e" vm="1019">
        <f>_FV(0,"00489944747059785")</f>
        <v>#VALUE!</v>
      </c>
      <c r="I2324" t="s">
        <v>14722</v>
      </c>
      <c r="J2324" t="s">
        <v>14723</v>
      </c>
      <c r="K2324" t="s">
        <v>14724</v>
      </c>
      <c r="L2324" t="s">
        <v>14718</v>
      </c>
    </row>
    <row r="2325" spans="1:12" x14ac:dyDescent="0.25">
      <c r="A2325">
        <v>448263</v>
      </c>
      <c r="B2325">
        <v>448296</v>
      </c>
      <c r="D2325">
        <v>0</v>
      </c>
      <c r="E2325" t="s">
        <v>14726</v>
      </c>
      <c r="F2325" t="s">
        <v>14727</v>
      </c>
      <c r="G2325" t="s">
        <v>14728</v>
      </c>
      <c r="H2325" t="e" vm="1020">
        <f>_FV(0,"004866037236415241")</f>
        <v>#VALUE!</v>
      </c>
      <c r="I2325" t="s">
        <v>14729</v>
      </c>
      <c r="J2325" t="s">
        <v>14730</v>
      </c>
      <c r="K2325" t="s">
        <v>14731</v>
      </c>
      <c r="L2325" t="s">
        <v>14725</v>
      </c>
    </row>
    <row r="2326" spans="1:12" x14ac:dyDescent="0.25">
      <c r="A2326">
        <v>448296</v>
      </c>
      <c r="B2326">
        <v>473270</v>
      </c>
      <c r="D2326">
        <v>0</v>
      </c>
      <c r="F2326">
        <v>474780</v>
      </c>
      <c r="G2326">
        <v>473270</v>
      </c>
      <c r="H2326" t="e" vm="122">
        <f>_FV(0,"017")</f>
        <v>#VALUE!</v>
      </c>
      <c r="I2326">
        <v>448296</v>
      </c>
      <c r="J2326" t="s">
        <v>1814</v>
      </c>
      <c r="K2326" t="s">
        <v>14732</v>
      </c>
      <c r="L2326" t="e" vm="122">
        <f>_FV(0,"017")</f>
        <v>#VALUE!</v>
      </c>
    </row>
    <row r="2327" spans="1:12" x14ac:dyDescent="0.25">
      <c r="A2327">
        <v>448449</v>
      </c>
      <c r="B2327">
        <v>448573</v>
      </c>
      <c r="D2327">
        <v>0</v>
      </c>
      <c r="E2327" t="s">
        <v>14734</v>
      </c>
      <c r="F2327" t="s">
        <v>14735</v>
      </c>
      <c r="G2327" t="s">
        <v>14736</v>
      </c>
      <c r="H2327" t="s">
        <v>14737</v>
      </c>
      <c r="I2327" t="s">
        <v>14738</v>
      </c>
      <c r="J2327" t="s">
        <v>14739</v>
      </c>
      <c r="K2327" t="s">
        <v>14740</v>
      </c>
      <c r="L2327" t="s">
        <v>14733</v>
      </c>
    </row>
    <row r="2328" spans="1:12" x14ac:dyDescent="0.25">
      <c r="A2328">
        <v>448449</v>
      </c>
      <c r="B2328">
        <v>448573</v>
      </c>
      <c r="D2328">
        <v>0</v>
      </c>
      <c r="E2328" t="s">
        <v>14742</v>
      </c>
      <c r="F2328" t="s">
        <v>14743</v>
      </c>
      <c r="G2328" t="s">
        <v>14744</v>
      </c>
      <c r="H2328" t="s">
        <v>14745</v>
      </c>
      <c r="I2328" t="s">
        <v>14746</v>
      </c>
      <c r="J2328" t="s">
        <v>14747</v>
      </c>
      <c r="K2328" t="s">
        <v>14748</v>
      </c>
      <c r="L2328" t="s">
        <v>14741</v>
      </c>
    </row>
    <row r="2329" spans="1:12" x14ac:dyDescent="0.25">
      <c r="A2329">
        <v>448449</v>
      </c>
      <c r="B2329">
        <v>473280</v>
      </c>
      <c r="D2329">
        <v>0</v>
      </c>
      <c r="E2329" t="s">
        <v>14750</v>
      </c>
      <c r="F2329" t="s">
        <v>14751</v>
      </c>
      <c r="G2329" t="s">
        <v>14752</v>
      </c>
      <c r="H2329" t="s">
        <v>14753</v>
      </c>
      <c r="I2329" t="s">
        <v>14754</v>
      </c>
      <c r="J2329" t="s">
        <v>14749</v>
      </c>
      <c r="K2329" t="s">
        <v>14755</v>
      </c>
      <c r="L2329" t="s">
        <v>14749</v>
      </c>
    </row>
    <row r="2330" spans="1:12" x14ac:dyDescent="0.25">
      <c r="A2330">
        <v>448573</v>
      </c>
      <c r="B2330">
        <v>473323</v>
      </c>
      <c r="D2330">
        <v>0</v>
      </c>
      <c r="E2330" t="s">
        <v>14757</v>
      </c>
      <c r="F2330" t="s">
        <v>14758</v>
      </c>
      <c r="G2330" t="s">
        <v>14759</v>
      </c>
      <c r="H2330" t="s">
        <v>14760</v>
      </c>
      <c r="I2330" t="s">
        <v>14761</v>
      </c>
      <c r="J2330" t="s">
        <v>14756</v>
      </c>
      <c r="K2330" t="s">
        <v>14762</v>
      </c>
      <c r="L2330" t="s">
        <v>14756</v>
      </c>
    </row>
    <row r="2331" spans="1:12" x14ac:dyDescent="0.25">
      <c r="A2331">
        <v>449377</v>
      </c>
      <c r="B2331">
        <v>449378</v>
      </c>
      <c r="D2331">
        <v>0</v>
      </c>
      <c r="F2331">
        <v>450618</v>
      </c>
      <c r="G2331">
        <v>449378</v>
      </c>
      <c r="H2331" t="e" vm="131">
        <f>_FV(0,"012")</f>
        <v>#VALUE!</v>
      </c>
      <c r="I2331">
        <v>449377</v>
      </c>
      <c r="J2331" t="s">
        <v>1939</v>
      </c>
      <c r="K2331" t="s">
        <v>14763</v>
      </c>
      <c r="L2331" t="e" vm="131">
        <f>_FV(0,"012")</f>
        <v>#VALUE!</v>
      </c>
    </row>
    <row r="2332" spans="1:12" x14ac:dyDescent="0.25">
      <c r="A2332">
        <v>449377</v>
      </c>
      <c r="B2332">
        <v>488885</v>
      </c>
      <c r="D2332" t="s">
        <v>14765</v>
      </c>
      <c r="E2332" t="s">
        <v>14766</v>
      </c>
      <c r="F2332" t="s">
        <v>14767</v>
      </c>
      <c r="G2332" t="s">
        <v>14768</v>
      </c>
      <c r="H2332" t="e" vm="1021">
        <f>_FV(0,"043027939173361465")</f>
        <v>#VALUE!</v>
      </c>
      <c r="I2332" t="s">
        <v>14769</v>
      </c>
      <c r="J2332" t="s">
        <v>14770</v>
      </c>
      <c r="K2332" t="s">
        <v>14771</v>
      </c>
      <c r="L2332" t="s">
        <v>14764</v>
      </c>
    </row>
    <row r="2333" spans="1:12" x14ac:dyDescent="0.25">
      <c r="A2333">
        <v>449378</v>
      </c>
      <c r="B2333">
        <v>449389</v>
      </c>
      <c r="D2333">
        <v>0</v>
      </c>
      <c r="E2333" t="s">
        <v>14773</v>
      </c>
      <c r="F2333" t="s">
        <v>14774</v>
      </c>
      <c r="G2333" t="s">
        <v>14775</v>
      </c>
      <c r="H2333" t="e" vm="1022">
        <f>_FV(0,"007462072849901225")</f>
        <v>#VALUE!</v>
      </c>
      <c r="I2333" t="s">
        <v>14776</v>
      </c>
      <c r="J2333" t="s">
        <v>14777</v>
      </c>
      <c r="K2333" t="s">
        <v>14778</v>
      </c>
      <c r="L2333" t="s">
        <v>14772</v>
      </c>
    </row>
    <row r="2334" spans="1:12" x14ac:dyDescent="0.25">
      <c r="A2334">
        <v>449378</v>
      </c>
      <c r="B2334">
        <v>488885</v>
      </c>
      <c r="D2334" t="s">
        <v>14780</v>
      </c>
      <c r="E2334" t="s">
        <v>14781</v>
      </c>
      <c r="F2334" t="s">
        <v>14782</v>
      </c>
      <c r="G2334" t="s">
        <v>14783</v>
      </c>
      <c r="H2334" t="e" vm="1023">
        <f>_FV(0,"04352435785306257")</f>
        <v>#VALUE!</v>
      </c>
      <c r="I2334" t="s">
        <v>14784</v>
      </c>
      <c r="J2334" t="s">
        <v>14785</v>
      </c>
      <c r="K2334" t="s">
        <v>14786</v>
      </c>
      <c r="L2334" t="s">
        <v>14779</v>
      </c>
    </row>
    <row r="2335" spans="1:12" x14ac:dyDescent="0.25">
      <c r="A2335">
        <v>449389</v>
      </c>
      <c r="B2335">
        <v>386136</v>
      </c>
      <c r="D2335">
        <v>0</v>
      </c>
      <c r="E2335" t="s">
        <v>14788</v>
      </c>
      <c r="F2335" t="s">
        <v>14789</v>
      </c>
      <c r="G2335" t="s">
        <v>14790</v>
      </c>
      <c r="H2335" t="e" vm="1024">
        <f>_FV(0,"05527051005105914")</f>
        <v>#VALUE!</v>
      </c>
      <c r="I2335" t="s">
        <v>14791</v>
      </c>
      <c r="J2335" t="s">
        <v>14792</v>
      </c>
      <c r="K2335" t="s">
        <v>14793</v>
      </c>
      <c r="L2335" t="s">
        <v>14787</v>
      </c>
    </row>
    <row r="2336" spans="1:12" x14ac:dyDescent="0.25">
      <c r="A2336">
        <v>450262</v>
      </c>
      <c r="B2336">
        <v>926875</v>
      </c>
      <c r="D2336">
        <v>0</v>
      </c>
      <c r="E2336" t="s">
        <v>14795</v>
      </c>
      <c r="F2336" t="s">
        <v>14796</v>
      </c>
      <c r="G2336" t="s">
        <v>14797</v>
      </c>
      <c r="H2336" t="s">
        <v>14798</v>
      </c>
      <c r="I2336" t="s">
        <v>14799</v>
      </c>
      <c r="J2336" t="s">
        <v>14800</v>
      </c>
      <c r="K2336" t="s">
        <v>14801</v>
      </c>
      <c r="L2336" t="s">
        <v>14794</v>
      </c>
    </row>
    <row r="2337" spans="1:12" x14ac:dyDescent="0.25">
      <c r="A2337">
        <v>450288</v>
      </c>
      <c r="B2337">
        <v>450461</v>
      </c>
      <c r="C2337" t="s">
        <v>14803</v>
      </c>
      <c r="D2337">
        <v>0</v>
      </c>
      <c r="E2337" t="s">
        <v>14804</v>
      </c>
      <c r="F2337" t="s">
        <v>14805</v>
      </c>
      <c r="G2337" t="s">
        <v>14806</v>
      </c>
      <c r="H2337" t="e" vm="1025">
        <f>_FV(0,"015346340503789984")</f>
        <v>#VALUE!</v>
      </c>
      <c r="I2337" t="s">
        <v>14807</v>
      </c>
      <c r="J2337" t="s">
        <v>14808</v>
      </c>
      <c r="K2337" t="s">
        <v>14809</v>
      </c>
      <c r="L2337" t="s">
        <v>14802</v>
      </c>
    </row>
    <row r="2338" spans="1:12" x14ac:dyDescent="0.25">
      <c r="A2338">
        <v>450370</v>
      </c>
      <c r="B2338">
        <v>490718</v>
      </c>
      <c r="D2338">
        <v>0</v>
      </c>
      <c r="E2338" t="s">
        <v>14810</v>
      </c>
      <c r="F2338" t="s">
        <v>14811</v>
      </c>
      <c r="G2338" t="s">
        <v>14812</v>
      </c>
      <c r="H2338" t="e" vm="1026">
        <f>_FV(0,"001117104646259221")</f>
        <v>#VALUE!</v>
      </c>
      <c r="I2338" t="s">
        <v>14813</v>
      </c>
      <c r="J2338" t="s">
        <v>1131</v>
      </c>
      <c r="K2338" t="s">
        <v>14814</v>
      </c>
      <c r="L2338" t="s">
        <v>1126</v>
      </c>
    </row>
    <row r="2339" spans="1:12" x14ac:dyDescent="0.25">
      <c r="A2339">
        <v>450383</v>
      </c>
      <c r="B2339">
        <v>490719</v>
      </c>
      <c r="D2339" t="s">
        <v>1839</v>
      </c>
      <c r="E2339" t="s">
        <v>14816</v>
      </c>
      <c r="F2339" t="s">
        <v>14817</v>
      </c>
      <c r="G2339" t="s">
        <v>14818</v>
      </c>
      <c r="H2339" t="e" vm="1027">
        <f>_FV(0,"019397723282674268")</f>
        <v>#VALUE!</v>
      </c>
      <c r="I2339" t="s">
        <v>14819</v>
      </c>
      <c r="J2339" t="s">
        <v>14820</v>
      </c>
      <c r="K2339" t="s">
        <v>14821</v>
      </c>
      <c r="L2339" t="s">
        <v>14815</v>
      </c>
    </row>
    <row r="2340" spans="1:12" x14ac:dyDescent="0.25">
      <c r="A2340">
        <v>450461</v>
      </c>
      <c r="B2340">
        <v>450473</v>
      </c>
      <c r="D2340">
        <v>0</v>
      </c>
      <c r="E2340" t="s">
        <v>14823</v>
      </c>
      <c r="F2340" t="s">
        <v>14824</v>
      </c>
      <c r="G2340" t="s">
        <v>14825</v>
      </c>
      <c r="H2340" t="e" vm="1028">
        <f>_FV(0,"026991640997920154")</f>
        <v>#VALUE!</v>
      </c>
      <c r="I2340" t="s">
        <v>14826</v>
      </c>
      <c r="J2340" t="s">
        <v>14827</v>
      </c>
      <c r="K2340" t="s">
        <v>14828</v>
      </c>
      <c r="L2340" t="s">
        <v>14822</v>
      </c>
    </row>
    <row r="2341" spans="1:12" x14ac:dyDescent="0.25">
      <c r="A2341">
        <v>450461</v>
      </c>
      <c r="B2341">
        <v>450473</v>
      </c>
      <c r="D2341">
        <v>0</v>
      </c>
      <c r="E2341" t="s">
        <v>14830</v>
      </c>
      <c r="F2341" t="s">
        <v>14831</v>
      </c>
      <c r="G2341" t="s">
        <v>14832</v>
      </c>
      <c r="H2341" t="e" vm="1029">
        <f>_FV(0,"02692872197662019")</f>
        <v>#VALUE!</v>
      </c>
      <c r="I2341" t="s">
        <v>14833</v>
      </c>
      <c r="J2341" t="s">
        <v>14834</v>
      </c>
      <c r="K2341" t="s">
        <v>14835</v>
      </c>
      <c r="L2341" t="s">
        <v>14829</v>
      </c>
    </row>
    <row r="2342" spans="1:12" x14ac:dyDescent="0.25">
      <c r="A2342">
        <v>450473</v>
      </c>
      <c r="B2342">
        <v>490716</v>
      </c>
      <c r="D2342">
        <v>0</v>
      </c>
      <c r="F2342">
        <v>1196800</v>
      </c>
      <c r="G2342">
        <v>490716</v>
      </c>
      <c r="H2342" t="e" vm="1">
        <f>_FV(0,"03")</f>
        <v>#VALUE!</v>
      </c>
      <c r="I2342">
        <v>450473</v>
      </c>
      <c r="J2342" t="s">
        <v>12</v>
      </c>
      <c r="K2342" t="s">
        <v>14836</v>
      </c>
      <c r="L2342" t="e" vm="1">
        <f>_FV(0,"03")</f>
        <v>#VALUE!</v>
      </c>
    </row>
    <row r="2343" spans="1:12" x14ac:dyDescent="0.25">
      <c r="A2343">
        <v>450493</v>
      </c>
      <c r="B2343">
        <v>450494</v>
      </c>
      <c r="D2343">
        <v>0</v>
      </c>
      <c r="F2343">
        <v>451882</v>
      </c>
      <c r="G2343">
        <v>450494</v>
      </c>
      <c r="H2343" t="e" vm="56">
        <f>_FV(0,"023")</f>
        <v>#VALUE!</v>
      </c>
      <c r="I2343">
        <v>450493</v>
      </c>
      <c r="J2343" t="s">
        <v>890</v>
      </c>
      <c r="K2343" t="s">
        <v>14837</v>
      </c>
      <c r="L2343" t="e" vm="56">
        <f>_FV(0,"023")</f>
        <v>#VALUE!</v>
      </c>
    </row>
    <row r="2344" spans="1:12" x14ac:dyDescent="0.25">
      <c r="A2344">
        <v>450493</v>
      </c>
      <c r="B2344">
        <v>450606</v>
      </c>
      <c r="D2344">
        <v>0</v>
      </c>
      <c r="E2344" t="s">
        <v>14839</v>
      </c>
      <c r="F2344" t="s">
        <v>14840</v>
      </c>
      <c r="G2344" t="s">
        <v>14841</v>
      </c>
      <c r="H2344" t="s">
        <v>14842</v>
      </c>
      <c r="I2344" t="s">
        <v>14843</v>
      </c>
      <c r="J2344" t="s">
        <v>14838</v>
      </c>
      <c r="K2344" t="s">
        <v>14844</v>
      </c>
      <c r="L2344" t="s">
        <v>14838</v>
      </c>
    </row>
    <row r="2345" spans="1:12" x14ac:dyDescent="0.25">
      <c r="A2345">
        <v>450493</v>
      </c>
      <c r="B2345">
        <v>450560</v>
      </c>
      <c r="D2345">
        <v>0</v>
      </c>
      <c r="E2345" t="s">
        <v>14846</v>
      </c>
      <c r="F2345" t="s">
        <v>14847</v>
      </c>
      <c r="G2345" t="s">
        <v>14848</v>
      </c>
      <c r="H2345" t="e" vm="1030">
        <f>_FV(0,"005899614736000797")</f>
        <v>#VALUE!</v>
      </c>
      <c r="I2345" t="s">
        <v>14849</v>
      </c>
      <c r="J2345" t="s">
        <v>14850</v>
      </c>
      <c r="K2345" t="s">
        <v>14851</v>
      </c>
      <c r="L2345" t="s">
        <v>14845</v>
      </c>
    </row>
    <row r="2346" spans="1:12" x14ac:dyDescent="0.25">
      <c r="A2346">
        <v>450494</v>
      </c>
      <c r="B2346">
        <v>450541</v>
      </c>
      <c r="D2346">
        <v>0</v>
      </c>
      <c r="E2346" t="s">
        <v>14853</v>
      </c>
      <c r="F2346" t="s">
        <v>14854</v>
      </c>
      <c r="G2346" t="s">
        <v>14855</v>
      </c>
      <c r="H2346" t="s">
        <v>14856</v>
      </c>
      <c r="I2346" t="s">
        <v>14857</v>
      </c>
      <c r="J2346" t="s">
        <v>14858</v>
      </c>
      <c r="K2346" t="s">
        <v>14859</v>
      </c>
      <c r="L2346" t="s">
        <v>14852</v>
      </c>
    </row>
    <row r="2347" spans="1:12" x14ac:dyDescent="0.25">
      <c r="A2347">
        <v>450494</v>
      </c>
      <c r="B2347">
        <v>1058976</v>
      </c>
      <c r="D2347">
        <v>0</v>
      </c>
      <c r="E2347" t="s">
        <v>14861</v>
      </c>
      <c r="F2347" t="s">
        <v>14862</v>
      </c>
      <c r="G2347" t="s">
        <v>14863</v>
      </c>
      <c r="H2347" t="e" vm="1031">
        <f>_FV(0,"031599917483689094")</f>
        <v>#VALUE!</v>
      </c>
      <c r="I2347" t="s">
        <v>14864</v>
      </c>
      <c r="J2347" t="s">
        <v>14865</v>
      </c>
      <c r="K2347" t="s">
        <v>14866</v>
      </c>
      <c r="L2347" t="s">
        <v>14860</v>
      </c>
    </row>
    <row r="2348" spans="1:12" x14ac:dyDescent="0.25">
      <c r="A2348">
        <v>450508</v>
      </c>
      <c r="B2348">
        <v>475605</v>
      </c>
      <c r="D2348">
        <v>0</v>
      </c>
      <c r="E2348" t="s">
        <v>14868</v>
      </c>
      <c r="F2348" t="s">
        <v>14869</v>
      </c>
      <c r="G2348" t="s">
        <v>14870</v>
      </c>
      <c r="H2348" t="e" vm="1032">
        <f>_FV(0,"0036397463034731035")</f>
        <v>#VALUE!</v>
      </c>
      <c r="I2348" t="s">
        <v>14871</v>
      </c>
      <c r="J2348" t="s">
        <v>14872</v>
      </c>
      <c r="K2348" t="s">
        <v>14873</v>
      </c>
      <c r="L2348" t="s">
        <v>14867</v>
      </c>
    </row>
    <row r="2349" spans="1:12" x14ac:dyDescent="0.25">
      <c r="A2349">
        <v>450541</v>
      </c>
      <c r="B2349">
        <v>450560</v>
      </c>
      <c r="D2349">
        <v>0</v>
      </c>
      <c r="E2349" t="s">
        <v>14875</v>
      </c>
      <c r="F2349" t="s">
        <v>14876</v>
      </c>
      <c r="G2349" t="s">
        <v>14877</v>
      </c>
      <c r="H2349" t="s">
        <v>14878</v>
      </c>
      <c r="I2349" t="s">
        <v>14879</v>
      </c>
      <c r="J2349" t="s">
        <v>14874</v>
      </c>
      <c r="K2349" t="s">
        <v>14880</v>
      </c>
      <c r="L2349" t="s">
        <v>14874</v>
      </c>
    </row>
    <row r="2350" spans="1:12" x14ac:dyDescent="0.25">
      <c r="A2350">
        <v>450541</v>
      </c>
      <c r="B2350">
        <v>1058933</v>
      </c>
      <c r="D2350">
        <v>0</v>
      </c>
      <c r="E2350" t="s">
        <v>14882</v>
      </c>
      <c r="F2350" t="s">
        <v>14883</v>
      </c>
      <c r="G2350" t="s">
        <v>14884</v>
      </c>
      <c r="H2350" t="s">
        <v>14885</v>
      </c>
      <c r="I2350" t="s">
        <v>14886</v>
      </c>
      <c r="J2350" t="s">
        <v>14887</v>
      </c>
      <c r="K2350" t="s">
        <v>14888</v>
      </c>
      <c r="L2350" t="s">
        <v>14881</v>
      </c>
    </row>
    <row r="2351" spans="1:12" x14ac:dyDescent="0.25">
      <c r="A2351">
        <v>450606</v>
      </c>
      <c r="B2351">
        <v>1058987</v>
      </c>
      <c r="D2351">
        <v>0</v>
      </c>
      <c r="E2351" t="s">
        <v>14890</v>
      </c>
      <c r="F2351" t="s">
        <v>14891</v>
      </c>
      <c r="G2351" t="s">
        <v>14892</v>
      </c>
      <c r="H2351" t="e" vm="1033">
        <f>_FV(0,"013223835372967088")</f>
        <v>#VALUE!</v>
      </c>
      <c r="I2351" t="s">
        <v>14893</v>
      </c>
      <c r="J2351" t="s">
        <v>14894</v>
      </c>
      <c r="K2351" t="s">
        <v>14895</v>
      </c>
      <c r="L2351" t="s">
        <v>14889</v>
      </c>
    </row>
    <row r="2352" spans="1:12" x14ac:dyDescent="0.25">
      <c r="A2352">
        <v>451912</v>
      </c>
      <c r="B2352">
        <v>451921</v>
      </c>
      <c r="D2352">
        <v>0</v>
      </c>
      <c r="F2352">
        <v>453341</v>
      </c>
      <c r="G2352">
        <v>451921</v>
      </c>
      <c r="H2352" t="e" vm="498">
        <f>_FV(0,"037")</f>
        <v>#VALUE!</v>
      </c>
      <c r="I2352">
        <v>451912</v>
      </c>
      <c r="J2352" t="s">
        <v>1589</v>
      </c>
      <c r="K2352" t="s">
        <v>14896</v>
      </c>
      <c r="L2352" t="e" vm="498">
        <f>_FV(0,"037")</f>
        <v>#VALUE!</v>
      </c>
    </row>
    <row r="2353" spans="1:12" x14ac:dyDescent="0.25">
      <c r="A2353">
        <v>451912</v>
      </c>
      <c r="B2353">
        <v>452268</v>
      </c>
      <c r="D2353">
        <v>0</v>
      </c>
      <c r="E2353" t="s">
        <v>14898</v>
      </c>
      <c r="F2353" t="s">
        <v>14899</v>
      </c>
      <c r="G2353" t="s">
        <v>14900</v>
      </c>
      <c r="H2353" t="s">
        <v>14901</v>
      </c>
      <c r="I2353" t="s">
        <v>14902</v>
      </c>
      <c r="J2353" t="s">
        <v>14903</v>
      </c>
      <c r="K2353" t="s">
        <v>14904</v>
      </c>
      <c r="L2353" t="s">
        <v>14897</v>
      </c>
    </row>
    <row r="2354" spans="1:12" x14ac:dyDescent="0.25">
      <c r="A2354">
        <v>451912</v>
      </c>
      <c r="B2354">
        <v>451945</v>
      </c>
      <c r="D2354">
        <v>0</v>
      </c>
      <c r="E2354" t="s">
        <v>14906</v>
      </c>
      <c r="F2354" t="s">
        <v>14907</v>
      </c>
      <c r="G2354" t="s">
        <v>14908</v>
      </c>
      <c r="H2354" t="s">
        <v>14909</v>
      </c>
      <c r="I2354" t="s">
        <v>14910</v>
      </c>
      <c r="J2354" t="s">
        <v>14905</v>
      </c>
      <c r="K2354" t="s">
        <v>14911</v>
      </c>
      <c r="L2354" t="s">
        <v>14905</v>
      </c>
    </row>
    <row r="2355" spans="1:12" x14ac:dyDescent="0.25">
      <c r="A2355">
        <v>451921</v>
      </c>
      <c r="B2355">
        <v>451937</v>
      </c>
      <c r="D2355">
        <v>0</v>
      </c>
      <c r="E2355" t="s">
        <v>14913</v>
      </c>
      <c r="F2355" t="s">
        <v>14914</v>
      </c>
      <c r="G2355" t="s">
        <v>14915</v>
      </c>
      <c r="H2355" t="e" vm="1034">
        <f>_FV(0,"036463655694476335")</f>
        <v>#VALUE!</v>
      </c>
      <c r="I2355" t="s">
        <v>14916</v>
      </c>
      <c r="J2355" t="s">
        <v>14917</v>
      </c>
      <c r="K2355" t="s">
        <v>14918</v>
      </c>
      <c r="L2355" t="s">
        <v>14912</v>
      </c>
    </row>
    <row r="2356" spans="1:12" x14ac:dyDescent="0.25">
      <c r="A2356">
        <v>451921</v>
      </c>
      <c r="B2356">
        <v>451996</v>
      </c>
      <c r="D2356">
        <v>0</v>
      </c>
      <c r="E2356" t="s">
        <v>14920</v>
      </c>
      <c r="F2356" t="s">
        <v>14921</v>
      </c>
      <c r="G2356" t="s">
        <v>14922</v>
      </c>
      <c r="H2356" t="s">
        <v>14923</v>
      </c>
      <c r="I2356" t="s">
        <v>14924</v>
      </c>
      <c r="J2356" t="s">
        <v>14925</v>
      </c>
      <c r="K2356" t="s">
        <v>14926</v>
      </c>
      <c r="L2356" t="s">
        <v>14919</v>
      </c>
    </row>
    <row r="2357" spans="1:12" x14ac:dyDescent="0.25">
      <c r="A2357">
        <v>451937</v>
      </c>
      <c r="B2357">
        <v>451945</v>
      </c>
      <c r="D2357">
        <v>0</v>
      </c>
      <c r="F2357">
        <v>453365</v>
      </c>
      <c r="G2357">
        <v>451945</v>
      </c>
      <c r="H2357" t="e" vm="263">
        <f>_FV(0,"024")</f>
        <v>#VALUE!</v>
      </c>
      <c r="I2357">
        <v>451937</v>
      </c>
      <c r="J2357" t="s">
        <v>2916</v>
      </c>
      <c r="K2357" t="s">
        <v>14927</v>
      </c>
      <c r="L2357" t="e" vm="263">
        <f>_FV(0,"024")</f>
        <v>#VALUE!</v>
      </c>
    </row>
    <row r="2358" spans="1:12" x14ac:dyDescent="0.25">
      <c r="A2358">
        <v>451937</v>
      </c>
      <c r="B2358">
        <v>452040</v>
      </c>
      <c r="D2358">
        <v>0</v>
      </c>
      <c r="E2358" t="s">
        <v>14929</v>
      </c>
      <c r="F2358" t="s">
        <v>14930</v>
      </c>
      <c r="G2358" t="s">
        <v>14931</v>
      </c>
      <c r="H2358" t="s">
        <v>14932</v>
      </c>
      <c r="I2358" t="s">
        <v>14933</v>
      </c>
      <c r="J2358" t="s">
        <v>14934</v>
      </c>
      <c r="K2358" t="s">
        <v>14935</v>
      </c>
      <c r="L2358" t="s">
        <v>14928</v>
      </c>
    </row>
    <row r="2359" spans="1:12" x14ac:dyDescent="0.25">
      <c r="A2359">
        <v>451945</v>
      </c>
      <c r="B2359">
        <v>452556</v>
      </c>
      <c r="D2359">
        <v>0</v>
      </c>
      <c r="E2359" t="s">
        <v>14937</v>
      </c>
      <c r="F2359" t="s">
        <v>14938</v>
      </c>
      <c r="G2359" t="s">
        <v>14939</v>
      </c>
      <c r="H2359" t="s">
        <v>14940</v>
      </c>
      <c r="I2359" t="s">
        <v>14941</v>
      </c>
      <c r="J2359" t="s">
        <v>14942</v>
      </c>
      <c r="K2359" t="s">
        <v>14943</v>
      </c>
      <c r="L2359" t="s">
        <v>14936</v>
      </c>
    </row>
    <row r="2360" spans="1:12" x14ac:dyDescent="0.25">
      <c r="A2360">
        <v>451996</v>
      </c>
      <c r="B2360">
        <v>451997</v>
      </c>
      <c r="D2360">
        <v>0</v>
      </c>
      <c r="F2360">
        <v>453413</v>
      </c>
      <c r="G2360">
        <v>451997</v>
      </c>
      <c r="H2360" t="s">
        <v>1814</v>
      </c>
      <c r="I2360">
        <v>451996</v>
      </c>
      <c r="J2360" t="s">
        <v>1814</v>
      </c>
      <c r="K2360" t="s">
        <v>14944</v>
      </c>
      <c r="L2360" t="s">
        <v>1814</v>
      </c>
    </row>
    <row r="2361" spans="1:12" x14ac:dyDescent="0.25">
      <c r="A2361">
        <v>451996</v>
      </c>
      <c r="B2361">
        <v>452040</v>
      </c>
      <c r="D2361">
        <v>0</v>
      </c>
      <c r="E2361" t="s">
        <v>14946</v>
      </c>
      <c r="F2361" t="s">
        <v>14947</v>
      </c>
      <c r="G2361" t="s">
        <v>14948</v>
      </c>
      <c r="H2361" t="s">
        <v>14949</v>
      </c>
      <c r="I2361" t="s">
        <v>14950</v>
      </c>
      <c r="J2361" t="s">
        <v>14945</v>
      </c>
      <c r="K2361" t="s">
        <v>14951</v>
      </c>
      <c r="L2361" t="s">
        <v>14945</v>
      </c>
    </row>
    <row r="2362" spans="1:12" x14ac:dyDescent="0.25">
      <c r="A2362">
        <v>451997</v>
      </c>
      <c r="B2362">
        <v>452030</v>
      </c>
      <c r="D2362">
        <v>0</v>
      </c>
      <c r="E2362" t="s">
        <v>14953</v>
      </c>
      <c r="F2362" t="s">
        <v>14954</v>
      </c>
      <c r="G2362" t="s">
        <v>14955</v>
      </c>
      <c r="H2362" t="e" vm="1035">
        <f>_FV(0,"02528064464402229")</f>
        <v>#VALUE!</v>
      </c>
      <c r="I2362" t="s">
        <v>14956</v>
      </c>
      <c r="J2362" t="s">
        <v>14957</v>
      </c>
      <c r="K2362" t="s">
        <v>14958</v>
      </c>
      <c r="L2362" t="s">
        <v>14952</v>
      </c>
    </row>
    <row r="2363" spans="1:12" x14ac:dyDescent="0.25">
      <c r="A2363">
        <v>451997</v>
      </c>
      <c r="B2363">
        <v>452232</v>
      </c>
      <c r="D2363">
        <v>0</v>
      </c>
      <c r="E2363" t="s">
        <v>14960</v>
      </c>
      <c r="F2363" t="s">
        <v>14961</v>
      </c>
      <c r="G2363" t="s">
        <v>14962</v>
      </c>
      <c r="H2363" t="e" vm="1036">
        <f>_FV(0,"020883667663036426")</f>
        <v>#VALUE!</v>
      </c>
      <c r="I2363" t="s">
        <v>14963</v>
      </c>
      <c r="J2363" t="s">
        <v>14964</v>
      </c>
      <c r="K2363" t="s">
        <v>14965</v>
      </c>
      <c r="L2363" t="s">
        <v>14959</v>
      </c>
    </row>
    <row r="2364" spans="1:12" x14ac:dyDescent="0.25">
      <c r="A2364">
        <v>452030</v>
      </c>
      <c r="B2364">
        <v>452040</v>
      </c>
      <c r="D2364">
        <v>0</v>
      </c>
      <c r="F2364">
        <v>453453</v>
      </c>
      <c r="G2364">
        <v>452040</v>
      </c>
      <c r="H2364" t="s">
        <v>226</v>
      </c>
      <c r="I2364">
        <v>452030</v>
      </c>
      <c r="J2364" t="s">
        <v>226</v>
      </c>
      <c r="K2364" t="s">
        <v>14966</v>
      </c>
      <c r="L2364" t="s">
        <v>226</v>
      </c>
    </row>
    <row r="2365" spans="1:12" x14ac:dyDescent="0.25">
      <c r="A2365">
        <v>452030</v>
      </c>
      <c r="B2365">
        <v>452563</v>
      </c>
      <c r="D2365" t="s">
        <v>514</v>
      </c>
      <c r="E2365" t="s">
        <v>14968</v>
      </c>
      <c r="F2365" t="s">
        <v>14969</v>
      </c>
      <c r="G2365" t="s">
        <v>14970</v>
      </c>
      <c r="H2365" t="e" vm="1037">
        <f>_FV(0,"004584160403692901")</f>
        <v>#VALUE!</v>
      </c>
      <c r="I2365" t="s">
        <v>14971</v>
      </c>
      <c r="J2365" t="s">
        <v>14972</v>
      </c>
      <c r="K2365" t="s">
        <v>14973</v>
      </c>
      <c r="L2365" t="s">
        <v>14967</v>
      </c>
    </row>
    <row r="2366" spans="1:12" x14ac:dyDescent="0.25">
      <c r="A2366">
        <v>452069</v>
      </c>
      <c r="B2366">
        <v>452079</v>
      </c>
      <c r="D2366">
        <v>0</v>
      </c>
      <c r="F2366">
        <v>453485</v>
      </c>
      <c r="G2366">
        <v>452079</v>
      </c>
      <c r="H2366" t="s">
        <v>241</v>
      </c>
      <c r="I2366">
        <v>452069</v>
      </c>
      <c r="J2366" t="s">
        <v>241</v>
      </c>
      <c r="K2366" t="s">
        <v>14974</v>
      </c>
      <c r="L2366" t="s">
        <v>241</v>
      </c>
    </row>
    <row r="2367" spans="1:12" x14ac:dyDescent="0.25">
      <c r="A2367">
        <v>452069</v>
      </c>
      <c r="B2367">
        <v>931902</v>
      </c>
      <c r="D2367">
        <v>0</v>
      </c>
      <c r="E2367" t="s">
        <v>14976</v>
      </c>
      <c r="F2367" t="s">
        <v>14977</v>
      </c>
      <c r="G2367" t="s">
        <v>14978</v>
      </c>
      <c r="H2367" t="e" vm="1038">
        <f>_FV(0,"01184410428974703")</f>
        <v>#VALUE!</v>
      </c>
      <c r="I2367" t="s">
        <v>14979</v>
      </c>
      <c r="J2367" t="s">
        <v>14980</v>
      </c>
      <c r="K2367" t="s">
        <v>14981</v>
      </c>
      <c r="L2367" t="s">
        <v>14975</v>
      </c>
    </row>
    <row r="2368" spans="1:12" x14ac:dyDescent="0.25">
      <c r="A2368">
        <v>452069</v>
      </c>
      <c r="B2368">
        <v>452103</v>
      </c>
      <c r="D2368">
        <v>0</v>
      </c>
      <c r="E2368" t="s">
        <v>14983</v>
      </c>
      <c r="F2368" t="s">
        <v>14984</v>
      </c>
      <c r="G2368" t="s">
        <v>14985</v>
      </c>
      <c r="H2368" t="e" vm="1039">
        <f>_FV(0,"013981754872884361")</f>
        <v>#VALUE!</v>
      </c>
      <c r="I2368" t="s">
        <v>14986</v>
      </c>
      <c r="J2368" t="s">
        <v>14987</v>
      </c>
      <c r="K2368" t="s">
        <v>14988</v>
      </c>
      <c r="L2368" t="s">
        <v>14982</v>
      </c>
    </row>
    <row r="2369" spans="1:12" x14ac:dyDescent="0.25">
      <c r="A2369">
        <v>452079</v>
      </c>
      <c r="B2369">
        <v>452095</v>
      </c>
      <c r="D2369">
        <v>0</v>
      </c>
      <c r="E2369" t="s">
        <v>14990</v>
      </c>
      <c r="F2369" t="s">
        <v>14991</v>
      </c>
      <c r="G2369" t="s">
        <v>14992</v>
      </c>
      <c r="H2369" t="s">
        <v>14993</v>
      </c>
      <c r="I2369" t="s">
        <v>14994</v>
      </c>
      <c r="J2369" t="s">
        <v>14989</v>
      </c>
      <c r="K2369" t="s">
        <v>14995</v>
      </c>
      <c r="L2369" t="s">
        <v>14989</v>
      </c>
    </row>
    <row r="2370" spans="1:12" x14ac:dyDescent="0.25">
      <c r="A2370">
        <v>452079</v>
      </c>
      <c r="B2370">
        <v>880807</v>
      </c>
      <c r="D2370">
        <v>0</v>
      </c>
      <c r="E2370" t="s">
        <v>14997</v>
      </c>
      <c r="F2370" t="s">
        <v>14998</v>
      </c>
      <c r="G2370" t="s">
        <v>14999</v>
      </c>
      <c r="H2370" t="s">
        <v>15000</v>
      </c>
      <c r="I2370" t="s">
        <v>15001</v>
      </c>
      <c r="J2370" t="s">
        <v>14996</v>
      </c>
      <c r="K2370" t="s">
        <v>15002</v>
      </c>
      <c r="L2370" t="s">
        <v>14996</v>
      </c>
    </row>
    <row r="2371" spans="1:12" x14ac:dyDescent="0.25">
      <c r="A2371">
        <v>452095</v>
      </c>
      <c r="B2371">
        <v>452103</v>
      </c>
      <c r="D2371">
        <v>0</v>
      </c>
      <c r="F2371">
        <v>453509</v>
      </c>
      <c r="G2371">
        <v>452103</v>
      </c>
      <c r="H2371" t="s">
        <v>4848</v>
      </c>
      <c r="I2371">
        <v>452095</v>
      </c>
      <c r="J2371" t="s">
        <v>4848</v>
      </c>
      <c r="K2371" t="s">
        <v>15003</v>
      </c>
      <c r="L2371" t="s">
        <v>4848</v>
      </c>
    </row>
    <row r="2372" spans="1:12" x14ac:dyDescent="0.25">
      <c r="A2372">
        <v>452095</v>
      </c>
      <c r="B2372">
        <v>880807</v>
      </c>
      <c r="D2372">
        <v>0</v>
      </c>
      <c r="E2372" t="s">
        <v>15005</v>
      </c>
      <c r="F2372" t="s">
        <v>15006</v>
      </c>
      <c r="G2372" t="s">
        <v>15007</v>
      </c>
      <c r="H2372" t="s">
        <v>15008</v>
      </c>
      <c r="I2372" t="s">
        <v>15009</v>
      </c>
      <c r="J2372" t="s">
        <v>15010</v>
      </c>
      <c r="K2372" t="s">
        <v>15011</v>
      </c>
      <c r="L2372" t="s">
        <v>15004</v>
      </c>
    </row>
    <row r="2373" spans="1:12" x14ac:dyDescent="0.25">
      <c r="A2373">
        <v>452103</v>
      </c>
      <c r="B2373">
        <v>938346</v>
      </c>
      <c r="D2373">
        <v>0</v>
      </c>
      <c r="E2373" t="s">
        <v>15013</v>
      </c>
      <c r="F2373" t="s">
        <v>15014</v>
      </c>
      <c r="G2373" t="s">
        <v>15015</v>
      </c>
      <c r="H2373" t="e" vm="1040">
        <f>_FV(0,"00424600901004161")</f>
        <v>#VALUE!</v>
      </c>
      <c r="I2373" t="s">
        <v>15016</v>
      </c>
      <c r="J2373" t="s">
        <v>15017</v>
      </c>
      <c r="K2373" t="s">
        <v>15018</v>
      </c>
      <c r="L2373" t="s">
        <v>15012</v>
      </c>
    </row>
    <row r="2374" spans="1:12" x14ac:dyDescent="0.25">
      <c r="A2374">
        <v>452137</v>
      </c>
      <c r="B2374">
        <v>452138</v>
      </c>
      <c r="D2374">
        <v>0</v>
      </c>
      <c r="F2374">
        <v>453541</v>
      </c>
      <c r="G2374">
        <v>452138</v>
      </c>
      <c r="H2374" t="e" vm="47">
        <f>_FV(0,"016")</f>
        <v>#VALUE!</v>
      </c>
      <c r="I2374">
        <v>452137</v>
      </c>
      <c r="J2374" t="s">
        <v>737</v>
      </c>
      <c r="K2374" t="s">
        <v>15019</v>
      </c>
      <c r="L2374" t="e" vm="47">
        <f>_FV(0,"016")</f>
        <v>#VALUE!</v>
      </c>
    </row>
    <row r="2375" spans="1:12" x14ac:dyDescent="0.25">
      <c r="A2375">
        <v>452137</v>
      </c>
      <c r="B2375">
        <v>452183</v>
      </c>
      <c r="D2375">
        <v>0</v>
      </c>
      <c r="E2375" t="s">
        <v>15021</v>
      </c>
      <c r="F2375" t="s">
        <v>15022</v>
      </c>
      <c r="G2375" t="s">
        <v>15023</v>
      </c>
      <c r="H2375" t="e" vm="1041">
        <f>_FV(0,"01137749368161064")</f>
        <v>#VALUE!</v>
      </c>
      <c r="I2375" t="s">
        <v>15024</v>
      </c>
      <c r="J2375" t="s">
        <v>4385</v>
      </c>
      <c r="K2375" t="s">
        <v>15025</v>
      </c>
      <c r="L2375" t="s">
        <v>15020</v>
      </c>
    </row>
    <row r="2376" spans="1:12" x14ac:dyDescent="0.25">
      <c r="A2376">
        <v>452137</v>
      </c>
      <c r="B2376">
        <v>452606</v>
      </c>
      <c r="D2376">
        <v>0</v>
      </c>
      <c r="E2376" t="s">
        <v>15027</v>
      </c>
      <c r="F2376" t="s">
        <v>15028</v>
      </c>
      <c r="G2376" t="s">
        <v>15029</v>
      </c>
      <c r="H2376" t="e" vm="1042">
        <f>_FV(0,"012609795728282192")</f>
        <v>#VALUE!</v>
      </c>
      <c r="I2376" t="s">
        <v>15030</v>
      </c>
      <c r="J2376" t="s">
        <v>15031</v>
      </c>
      <c r="K2376" t="s">
        <v>15032</v>
      </c>
      <c r="L2376" t="s">
        <v>15026</v>
      </c>
    </row>
    <row r="2377" spans="1:12" x14ac:dyDescent="0.25">
      <c r="A2377">
        <v>452138</v>
      </c>
      <c r="B2377">
        <v>452142</v>
      </c>
      <c r="D2377">
        <v>0</v>
      </c>
      <c r="F2377">
        <v>453549</v>
      </c>
      <c r="G2377">
        <v>452142</v>
      </c>
      <c r="H2377" t="e" vm="62">
        <f>_FV(0,"008")</f>
        <v>#VALUE!</v>
      </c>
      <c r="I2377">
        <v>452138</v>
      </c>
      <c r="J2377" t="s">
        <v>241</v>
      </c>
      <c r="K2377" t="s">
        <v>15033</v>
      </c>
      <c r="L2377" t="e" vm="62">
        <f>_FV(0,"008")</f>
        <v>#VALUE!</v>
      </c>
    </row>
    <row r="2378" spans="1:12" x14ac:dyDescent="0.25">
      <c r="A2378">
        <v>452138</v>
      </c>
      <c r="B2378">
        <v>932076</v>
      </c>
      <c r="D2378">
        <v>0</v>
      </c>
      <c r="E2378" t="s">
        <v>15035</v>
      </c>
      <c r="F2378" t="s">
        <v>15036</v>
      </c>
      <c r="G2378" t="s">
        <v>15037</v>
      </c>
      <c r="H2378" t="s">
        <v>15038</v>
      </c>
      <c r="I2378" t="s">
        <v>15039</v>
      </c>
      <c r="J2378" t="s">
        <v>15040</v>
      </c>
      <c r="K2378" t="s">
        <v>15041</v>
      </c>
      <c r="L2378" t="s">
        <v>15034</v>
      </c>
    </row>
    <row r="2379" spans="1:12" x14ac:dyDescent="0.25">
      <c r="A2379">
        <v>452142</v>
      </c>
      <c r="B2379">
        <v>452183</v>
      </c>
      <c r="D2379">
        <v>0</v>
      </c>
      <c r="E2379" t="s">
        <v>15043</v>
      </c>
      <c r="F2379" t="s">
        <v>15044</v>
      </c>
      <c r="G2379" t="s">
        <v>15045</v>
      </c>
      <c r="H2379" t="s">
        <v>15046</v>
      </c>
      <c r="I2379" t="s">
        <v>15047</v>
      </c>
      <c r="J2379" t="s">
        <v>15048</v>
      </c>
      <c r="K2379" t="s">
        <v>15049</v>
      </c>
      <c r="L2379" t="s">
        <v>15042</v>
      </c>
    </row>
    <row r="2380" spans="1:12" x14ac:dyDescent="0.25">
      <c r="A2380">
        <v>452142</v>
      </c>
      <c r="B2380">
        <v>931889</v>
      </c>
      <c r="D2380">
        <v>0</v>
      </c>
      <c r="E2380" t="s">
        <v>15051</v>
      </c>
      <c r="F2380" t="s">
        <v>15052</v>
      </c>
      <c r="G2380" t="s">
        <v>15053</v>
      </c>
      <c r="H2380" t="s">
        <v>15054</v>
      </c>
      <c r="I2380" t="s">
        <v>15055</v>
      </c>
      <c r="J2380" t="s">
        <v>15050</v>
      </c>
      <c r="K2380" t="s">
        <v>15056</v>
      </c>
      <c r="L2380" t="s">
        <v>15050</v>
      </c>
    </row>
    <row r="2381" spans="1:12" x14ac:dyDescent="0.25">
      <c r="A2381">
        <v>452144</v>
      </c>
      <c r="B2381">
        <v>452152</v>
      </c>
      <c r="D2381">
        <v>0</v>
      </c>
      <c r="E2381" t="s">
        <v>15057</v>
      </c>
      <c r="F2381" t="s">
        <v>15058</v>
      </c>
      <c r="G2381" t="s">
        <v>15059</v>
      </c>
      <c r="H2381" t="s">
        <v>15060</v>
      </c>
      <c r="I2381" t="s">
        <v>15061</v>
      </c>
      <c r="J2381" t="s">
        <v>10647</v>
      </c>
      <c r="K2381" t="s">
        <v>15062</v>
      </c>
      <c r="L2381" t="s">
        <v>10647</v>
      </c>
    </row>
    <row r="2382" spans="1:12" x14ac:dyDescent="0.25">
      <c r="A2382">
        <v>452144</v>
      </c>
      <c r="B2382">
        <v>452152</v>
      </c>
      <c r="D2382">
        <v>0</v>
      </c>
      <c r="E2382" t="s">
        <v>15063</v>
      </c>
      <c r="F2382" t="s">
        <v>15064</v>
      </c>
      <c r="G2382" t="s">
        <v>15065</v>
      </c>
      <c r="H2382" t="s">
        <v>15066</v>
      </c>
      <c r="I2382" t="s">
        <v>15067</v>
      </c>
      <c r="J2382" t="s">
        <v>2850</v>
      </c>
      <c r="K2382" t="s">
        <v>15068</v>
      </c>
      <c r="L2382" t="s">
        <v>2850</v>
      </c>
    </row>
    <row r="2383" spans="1:12" x14ac:dyDescent="0.25">
      <c r="A2383">
        <v>452152</v>
      </c>
      <c r="B2383">
        <v>1620935</v>
      </c>
      <c r="C2383" t="s">
        <v>15070</v>
      </c>
      <c r="D2383">
        <v>0</v>
      </c>
      <c r="E2383" t="s">
        <v>15071</v>
      </c>
      <c r="F2383" t="s">
        <v>15072</v>
      </c>
      <c r="G2383" t="s">
        <v>15073</v>
      </c>
      <c r="H2383" t="s">
        <v>15074</v>
      </c>
      <c r="I2383" t="s">
        <v>15075</v>
      </c>
      <c r="J2383" t="s">
        <v>15076</v>
      </c>
      <c r="K2383" t="s">
        <v>15077</v>
      </c>
      <c r="L2383" t="s">
        <v>15069</v>
      </c>
    </row>
    <row r="2384" spans="1:12" x14ac:dyDescent="0.25">
      <c r="A2384">
        <v>452183</v>
      </c>
      <c r="B2384">
        <v>452606</v>
      </c>
      <c r="D2384">
        <v>0</v>
      </c>
      <c r="E2384" t="s">
        <v>15079</v>
      </c>
      <c r="F2384" t="s">
        <v>15080</v>
      </c>
      <c r="G2384" t="s">
        <v>15081</v>
      </c>
      <c r="H2384" t="e" vm="1043">
        <f>_FV(0,"0064094597813587695")</f>
        <v>#VALUE!</v>
      </c>
      <c r="I2384" t="s">
        <v>15082</v>
      </c>
      <c r="J2384" t="s">
        <v>7624</v>
      </c>
      <c r="K2384" t="s">
        <v>15083</v>
      </c>
      <c r="L2384" t="s">
        <v>15078</v>
      </c>
    </row>
    <row r="2385" spans="1:12" x14ac:dyDescent="0.25">
      <c r="A2385">
        <v>452232</v>
      </c>
      <c r="B2385">
        <v>452563</v>
      </c>
      <c r="D2385" t="s">
        <v>10538</v>
      </c>
      <c r="E2385" t="s">
        <v>15085</v>
      </c>
      <c r="F2385" t="s">
        <v>15086</v>
      </c>
      <c r="G2385" t="s">
        <v>15087</v>
      </c>
      <c r="H2385" t="e" vm="1044">
        <f>_FV(0,"012773618691841787")</f>
        <v>#VALUE!</v>
      </c>
      <c r="I2385" t="s">
        <v>15088</v>
      </c>
      <c r="J2385" t="s">
        <v>15089</v>
      </c>
      <c r="K2385" t="s">
        <v>15090</v>
      </c>
      <c r="L2385" t="s">
        <v>15084</v>
      </c>
    </row>
    <row r="2386" spans="1:12" x14ac:dyDescent="0.25">
      <c r="A2386">
        <v>452232</v>
      </c>
      <c r="B2386">
        <v>816210</v>
      </c>
      <c r="D2386" t="s">
        <v>514</v>
      </c>
      <c r="E2386" t="s">
        <v>15092</v>
      </c>
      <c r="F2386" t="s">
        <v>15093</v>
      </c>
      <c r="G2386" t="s">
        <v>15094</v>
      </c>
      <c r="H2386" t="e" vm="1045">
        <f>_FV(0,"012417355808978195")</f>
        <v>#VALUE!</v>
      </c>
      <c r="I2386" t="s">
        <v>15095</v>
      </c>
      <c r="J2386" t="s">
        <v>15096</v>
      </c>
      <c r="K2386" t="s">
        <v>15097</v>
      </c>
      <c r="L2386" t="s">
        <v>15091</v>
      </c>
    </row>
    <row r="2387" spans="1:12" x14ac:dyDescent="0.25">
      <c r="A2387">
        <v>452268</v>
      </c>
      <c r="B2387">
        <v>452556</v>
      </c>
      <c r="D2387" t="s">
        <v>2793</v>
      </c>
      <c r="E2387" t="s">
        <v>15099</v>
      </c>
      <c r="F2387" t="s">
        <v>15100</v>
      </c>
      <c r="G2387" t="s">
        <v>15101</v>
      </c>
      <c r="H2387" t="e" vm="1046">
        <f>_FV(0,"01719852145311626")</f>
        <v>#VALUE!</v>
      </c>
      <c r="I2387" t="s">
        <v>15102</v>
      </c>
      <c r="J2387" t="s">
        <v>15103</v>
      </c>
      <c r="K2387" t="s">
        <v>15104</v>
      </c>
      <c r="L2387" t="s">
        <v>15098</v>
      </c>
    </row>
    <row r="2388" spans="1:12" x14ac:dyDescent="0.25">
      <c r="A2388">
        <v>452268</v>
      </c>
      <c r="B2388">
        <v>816167</v>
      </c>
      <c r="C2388" t="s">
        <v>15106</v>
      </c>
      <c r="D2388" t="s">
        <v>3298</v>
      </c>
      <c r="E2388" t="s">
        <v>15107</v>
      </c>
      <c r="F2388" t="s">
        <v>15108</v>
      </c>
      <c r="G2388" t="s">
        <v>15109</v>
      </c>
      <c r="H2388" t="e" vm="1047">
        <f>_FV(0,"011261927082252762")</f>
        <v>#VALUE!</v>
      </c>
      <c r="I2388" t="s">
        <v>15110</v>
      </c>
      <c r="J2388" t="s">
        <v>15111</v>
      </c>
      <c r="K2388" t="s">
        <v>15112</v>
      </c>
      <c r="L2388" t="s">
        <v>15105</v>
      </c>
    </row>
    <row r="2389" spans="1:12" x14ac:dyDescent="0.25">
      <c r="A2389">
        <v>452556</v>
      </c>
      <c r="B2389">
        <v>931902</v>
      </c>
      <c r="D2389" t="s">
        <v>715</v>
      </c>
      <c r="E2389" t="s">
        <v>15114</v>
      </c>
      <c r="F2389" t="s">
        <v>15115</v>
      </c>
      <c r="G2389" t="s">
        <v>15116</v>
      </c>
      <c r="H2389" t="s">
        <v>15117</v>
      </c>
      <c r="I2389" t="s">
        <v>15118</v>
      </c>
      <c r="J2389" t="s">
        <v>15113</v>
      </c>
      <c r="K2389" t="s">
        <v>15119</v>
      </c>
      <c r="L2389" t="s">
        <v>15113</v>
      </c>
    </row>
    <row r="2390" spans="1:12" x14ac:dyDescent="0.25">
      <c r="A2390">
        <v>452563</v>
      </c>
      <c r="B2390">
        <v>931889</v>
      </c>
      <c r="D2390">
        <v>0</v>
      </c>
      <c r="E2390" t="s">
        <v>15120</v>
      </c>
      <c r="F2390" t="s">
        <v>15121</v>
      </c>
      <c r="G2390" t="s">
        <v>15122</v>
      </c>
      <c r="H2390" t="s">
        <v>15123</v>
      </c>
      <c r="I2390" t="s">
        <v>15124</v>
      </c>
      <c r="J2390" t="s">
        <v>6123</v>
      </c>
      <c r="K2390" t="s">
        <v>15125</v>
      </c>
      <c r="L2390" t="s">
        <v>6117</v>
      </c>
    </row>
    <row r="2391" spans="1:12" x14ac:dyDescent="0.25">
      <c r="A2391">
        <v>452606</v>
      </c>
      <c r="B2391">
        <v>880807</v>
      </c>
      <c r="D2391" t="s">
        <v>204</v>
      </c>
      <c r="E2391" t="s">
        <v>15127</v>
      </c>
      <c r="F2391" t="s">
        <v>15128</v>
      </c>
      <c r="G2391" t="s">
        <v>15129</v>
      </c>
      <c r="H2391" t="e" vm="1048">
        <f>_FV(0,"02587327804512385")</f>
        <v>#VALUE!</v>
      </c>
      <c r="I2391" t="s">
        <v>15130</v>
      </c>
      <c r="J2391" t="s">
        <v>15131</v>
      </c>
      <c r="K2391" t="s">
        <v>15132</v>
      </c>
      <c r="L2391" t="s">
        <v>15126</v>
      </c>
    </row>
    <row r="2392" spans="1:12" x14ac:dyDescent="0.25">
      <c r="A2392">
        <v>452758</v>
      </c>
      <c r="B2392">
        <v>452846</v>
      </c>
      <c r="D2392">
        <v>0</v>
      </c>
      <c r="F2392">
        <v>454439</v>
      </c>
      <c r="G2392">
        <v>452846</v>
      </c>
      <c r="H2392" t="e" vm="1049">
        <f>_FV(0,"078")</f>
        <v>#VALUE!</v>
      </c>
      <c r="I2392">
        <v>452758</v>
      </c>
      <c r="J2392" t="s">
        <v>3094</v>
      </c>
      <c r="K2392" t="s">
        <v>15133</v>
      </c>
      <c r="L2392" t="e" vm="1049">
        <f>_FV(0,"078")</f>
        <v>#VALUE!</v>
      </c>
    </row>
    <row r="2393" spans="1:12" x14ac:dyDescent="0.25">
      <c r="A2393">
        <v>452758</v>
      </c>
      <c r="B2393">
        <v>452787</v>
      </c>
      <c r="D2393">
        <v>0</v>
      </c>
      <c r="E2393" t="s">
        <v>15135</v>
      </c>
      <c r="F2393" t="s">
        <v>15136</v>
      </c>
      <c r="G2393" t="s">
        <v>15137</v>
      </c>
      <c r="H2393" t="e" vm="1050">
        <f>_FV(0,"02050943634782166")</f>
        <v>#VALUE!</v>
      </c>
      <c r="I2393" t="s">
        <v>15138</v>
      </c>
      <c r="J2393" t="s">
        <v>15139</v>
      </c>
      <c r="K2393" t="s">
        <v>15140</v>
      </c>
      <c r="L2393" t="s">
        <v>15134</v>
      </c>
    </row>
    <row r="2394" spans="1:12" x14ac:dyDescent="0.25">
      <c r="A2394">
        <v>452758</v>
      </c>
      <c r="B2394">
        <v>452839</v>
      </c>
      <c r="D2394">
        <v>0</v>
      </c>
      <c r="E2394" t="s">
        <v>15142</v>
      </c>
      <c r="F2394" t="s">
        <v>15143</v>
      </c>
      <c r="G2394" t="s">
        <v>15144</v>
      </c>
      <c r="H2394" t="e" vm="1051">
        <f>_FV(0,"017998271213276715")</f>
        <v>#VALUE!</v>
      </c>
      <c r="I2394" t="s">
        <v>15145</v>
      </c>
      <c r="J2394" t="s">
        <v>15146</v>
      </c>
      <c r="K2394" t="s">
        <v>15147</v>
      </c>
      <c r="L2394" t="s">
        <v>15141</v>
      </c>
    </row>
    <row r="2395" spans="1:12" x14ac:dyDescent="0.25">
      <c r="A2395">
        <v>452787</v>
      </c>
      <c r="B2395">
        <v>452798</v>
      </c>
      <c r="D2395">
        <v>0</v>
      </c>
      <c r="E2395" t="s">
        <v>15149</v>
      </c>
      <c r="F2395" t="s">
        <v>15150</v>
      </c>
      <c r="G2395" t="s">
        <v>15151</v>
      </c>
      <c r="H2395" t="e" vm="1052">
        <f>_FV(0,"05947587382746886")</f>
        <v>#VALUE!</v>
      </c>
      <c r="I2395" t="s">
        <v>15152</v>
      </c>
      <c r="J2395" t="s">
        <v>15153</v>
      </c>
      <c r="K2395" t="s">
        <v>15154</v>
      </c>
      <c r="L2395" t="s">
        <v>15148</v>
      </c>
    </row>
    <row r="2396" spans="1:12" x14ac:dyDescent="0.25">
      <c r="A2396">
        <v>452787</v>
      </c>
      <c r="B2396">
        <v>452816</v>
      </c>
      <c r="D2396">
        <v>0</v>
      </c>
      <c r="E2396" t="s">
        <v>15156</v>
      </c>
      <c r="F2396" t="s">
        <v>15157</v>
      </c>
      <c r="G2396" t="s">
        <v>15158</v>
      </c>
      <c r="H2396" t="s">
        <v>15159</v>
      </c>
      <c r="I2396" t="s">
        <v>15160</v>
      </c>
      <c r="J2396" t="s">
        <v>15155</v>
      </c>
      <c r="K2396" t="s">
        <v>15161</v>
      </c>
      <c r="L2396" t="s">
        <v>15155</v>
      </c>
    </row>
    <row r="2397" spans="1:12" x14ac:dyDescent="0.25">
      <c r="A2397">
        <v>452798</v>
      </c>
      <c r="B2397">
        <v>624215</v>
      </c>
      <c r="D2397">
        <v>0</v>
      </c>
      <c r="E2397" t="s">
        <v>15163</v>
      </c>
      <c r="F2397" t="s">
        <v>15164</v>
      </c>
      <c r="G2397" t="s">
        <v>15165</v>
      </c>
      <c r="H2397" t="e" vm="1053">
        <f>_FV(0,"07492946261423998")</f>
        <v>#VALUE!</v>
      </c>
      <c r="I2397" t="s">
        <v>15166</v>
      </c>
      <c r="J2397" t="s">
        <v>15167</v>
      </c>
      <c r="K2397" t="s">
        <v>15168</v>
      </c>
      <c r="L2397" t="s">
        <v>15162</v>
      </c>
    </row>
    <row r="2398" spans="1:12" x14ac:dyDescent="0.25">
      <c r="A2398">
        <v>452798</v>
      </c>
      <c r="B2398">
        <v>452874</v>
      </c>
      <c r="D2398">
        <v>0</v>
      </c>
      <c r="E2398" t="s">
        <v>15170</v>
      </c>
      <c r="F2398" t="s">
        <v>15171</v>
      </c>
      <c r="G2398" t="s">
        <v>15172</v>
      </c>
      <c r="H2398" t="e" vm="1054">
        <f>_FV(0,"005478055390762563")</f>
        <v>#VALUE!</v>
      </c>
      <c r="I2398" t="s">
        <v>15173</v>
      </c>
      <c r="J2398" t="s">
        <v>15174</v>
      </c>
      <c r="K2398" t="s">
        <v>15175</v>
      </c>
      <c r="L2398" t="s">
        <v>15169</v>
      </c>
    </row>
    <row r="2399" spans="1:12" x14ac:dyDescent="0.25">
      <c r="A2399">
        <v>452816</v>
      </c>
      <c r="B2399">
        <v>452822</v>
      </c>
      <c r="D2399">
        <v>0</v>
      </c>
      <c r="E2399" t="s">
        <v>15177</v>
      </c>
      <c r="F2399" t="s">
        <v>15178</v>
      </c>
      <c r="G2399" t="s">
        <v>15179</v>
      </c>
      <c r="H2399" t="e" vm="1055">
        <f>_FV(0,"0572190865232978")</f>
        <v>#VALUE!</v>
      </c>
      <c r="I2399" t="s">
        <v>15180</v>
      </c>
      <c r="J2399" t="s">
        <v>15181</v>
      </c>
      <c r="K2399" t="s">
        <v>15182</v>
      </c>
      <c r="L2399" t="s">
        <v>15176</v>
      </c>
    </row>
    <row r="2400" spans="1:12" x14ac:dyDescent="0.25">
      <c r="A2400">
        <v>452816</v>
      </c>
      <c r="B2400">
        <v>71007</v>
      </c>
      <c r="D2400" t="s">
        <v>963</v>
      </c>
      <c r="E2400" t="s">
        <v>15184</v>
      </c>
      <c r="F2400" t="s">
        <v>15185</v>
      </c>
      <c r="G2400" t="s">
        <v>15186</v>
      </c>
      <c r="H2400" t="e" vm="1056">
        <f>_FV(0,"03757839003402524")</f>
        <v>#VALUE!</v>
      </c>
      <c r="I2400" t="s">
        <v>15187</v>
      </c>
      <c r="J2400" t="s">
        <v>15188</v>
      </c>
      <c r="K2400" t="s">
        <v>15189</v>
      </c>
      <c r="L2400" t="s">
        <v>15183</v>
      </c>
    </row>
    <row r="2401" spans="1:12" x14ac:dyDescent="0.25">
      <c r="A2401">
        <v>452822</v>
      </c>
      <c r="B2401">
        <v>452874</v>
      </c>
      <c r="D2401">
        <v>0</v>
      </c>
      <c r="E2401" t="s">
        <v>15191</v>
      </c>
      <c r="F2401" t="s">
        <v>15192</v>
      </c>
      <c r="G2401" t="s">
        <v>15193</v>
      </c>
      <c r="H2401" t="e" vm="1057">
        <f>_FV(0,"16726537269459624")</f>
        <v>#VALUE!</v>
      </c>
      <c r="I2401" t="s">
        <v>15194</v>
      </c>
      <c r="J2401" t="s">
        <v>15195</v>
      </c>
      <c r="K2401" t="s">
        <v>15196</v>
      </c>
      <c r="L2401" t="s">
        <v>15190</v>
      </c>
    </row>
    <row r="2402" spans="1:12" x14ac:dyDescent="0.25">
      <c r="A2402">
        <v>452822</v>
      </c>
      <c r="B2402">
        <v>452846</v>
      </c>
      <c r="D2402">
        <v>0</v>
      </c>
      <c r="E2402" t="s">
        <v>15198</v>
      </c>
      <c r="F2402" t="s">
        <v>15199</v>
      </c>
      <c r="G2402" t="s">
        <v>15200</v>
      </c>
      <c r="H2402" t="s">
        <v>15201</v>
      </c>
      <c r="I2402" t="s">
        <v>15202</v>
      </c>
      <c r="J2402" t="s">
        <v>15197</v>
      </c>
      <c r="K2402" t="s">
        <v>15203</v>
      </c>
      <c r="L2402" t="s">
        <v>15197</v>
      </c>
    </row>
    <row r="2403" spans="1:12" x14ac:dyDescent="0.25">
      <c r="A2403">
        <v>452839</v>
      </c>
      <c r="B2403">
        <v>452992</v>
      </c>
      <c r="D2403">
        <v>0</v>
      </c>
      <c r="F2403">
        <v>571286</v>
      </c>
      <c r="G2403">
        <v>452992</v>
      </c>
      <c r="H2403" t="s">
        <v>2871</v>
      </c>
      <c r="I2403">
        <v>452839</v>
      </c>
      <c r="J2403" t="s">
        <v>2871</v>
      </c>
      <c r="K2403" t="s">
        <v>15204</v>
      </c>
      <c r="L2403" t="s">
        <v>2871</v>
      </c>
    </row>
    <row r="2404" spans="1:12" x14ac:dyDescent="0.25">
      <c r="A2404">
        <v>452839</v>
      </c>
      <c r="B2404">
        <v>579112</v>
      </c>
      <c r="D2404">
        <v>0</v>
      </c>
      <c r="F2404">
        <v>571278</v>
      </c>
      <c r="G2404">
        <v>452839</v>
      </c>
      <c r="H2404" t="s">
        <v>1814</v>
      </c>
      <c r="I2404">
        <v>579112</v>
      </c>
      <c r="J2404" t="s">
        <v>1814</v>
      </c>
      <c r="K2404" t="s">
        <v>15205</v>
      </c>
      <c r="L2404" t="s">
        <v>1814</v>
      </c>
    </row>
    <row r="2405" spans="1:12" x14ac:dyDescent="0.25">
      <c r="A2405">
        <v>452846</v>
      </c>
      <c r="B2405">
        <v>452874</v>
      </c>
      <c r="D2405">
        <v>0</v>
      </c>
      <c r="E2405" t="s">
        <v>15207</v>
      </c>
      <c r="F2405" t="s">
        <v>15208</v>
      </c>
      <c r="G2405" t="s">
        <v>15209</v>
      </c>
      <c r="H2405" t="e" vm="1058">
        <f>_FV(0,"15760474463055502")</f>
        <v>#VALUE!</v>
      </c>
      <c r="I2405" t="s">
        <v>15210</v>
      </c>
      <c r="J2405" t="s">
        <v>15211</v>
      </c>
      <c r="K2405" t="s">
        <v>15212</v>
      </c>
      <c r="L2405" t="s">
        <v>15206</v>
      </c>
    </row>
    <row r="2406" spans="1:12" x14ac:dyDescent="0.25">
      <c r="A2406">
        <v>71007</v>
      </c>
      <c r="B2406">
        <v>452992</v>
      </c>
      <c r="D2406">
        <v>0</v>
      </c>
      <c r="E2406" t="s">
        <v>15214</v>
      </c>
      <c r="F2406" t="s">
        <v>15215</v>
      </c>
      <c r="G2406" t="s">
        <v>15216</v>
      </c>
      <c r="H2406" t="e" vm="1059">
        <f>_FV(0,"00042682149275509977")</f>
        <v>#VALUE!</v>
      </c>
      <c r="I2406" t="s">
        <v>15217</v>
      </c>
      <c r="J2406" t="s">
        <v>15218</v>
      </c>
      <c r="K2406" t="s">
        <v>15219</v>
      </c>
      <c r="L2406" t="s">
        <v>15213</v>
      </c>
    </row>
    <row r="2407" spans="1:12" x14ac:dyDescent="0.25">
      <c r="A2407">
        <v>71007</v>
      </c>
      <c r="B2407">
        <v>453001</v>
      </c>
      <c r="D2407">
        <v>0</v>
      </c>
      <c r="E2407" t="s">
        <v>15221</v>
      </c>
      <c r="F2407" t="s">
        <v>15222</v>
      </c>
      <c r="G2407" t="s">
        <v>15223</v>
      </c>
      <c r="H2407" t="s">
        <v>15224</v>
      </c>
      <c r="I2407" t="s">
        <v>15225</v>
      </c>
      <c r="J2407" t="s">
        <v>15220</v>
      </c>
      <c r="K2407" t="s">
        <v>15226</v>
      </c>
      <c r="L2407" t="s">
        <v>15220</v>
      </c>
    </row>
    <row r="2408" spans="1:12" x14ac:dyDescent="0.25">
      <c r="A2408">
        <v>452992</v>
      </c>
      <c r="B2408">
        <v>579130</v>
      </c>
      <c r="D2408" t="s">
        <v>2793</v>
      </c>
      <c r="E2408" t="s">
        <v>15228</v>
      </c>
      <c r="F2408" t="s">
        <v>15229</v>
      </c>
      <c r="G2408" t="s">
        <v>15230</v>
      </c>
      <c r="H2408" t="s">
        <v>15231</v>
      </c>
      <c r="I2408" t="s">
        <v>15232</v>
      </c>
      <c r="J2408" t="s">
        <v>15233</v>
      </c>
      <c r="K2408" t="s">
        <v>15234</v>
      </c>
      <c r="L2408" t="s">
        <v>15227</v>
      </c>
    </row>
    <row r="2409" spans="1:12" x14ac:dyDescent="0.25">
      <c r="A2409">
        <v>453001</v>
      </c>
      <c r="B2409">
        <v>579112</v>
      </c>
      <c r="D2409">
        <v>0</v>
      </c>
      <c r="E2409" t="s">
        <v>15236</v>
      </c>
      <c r="F2409" t="s">
        <v>15237</v>
      </c>
      <c r="G2409" t="s">
        <v>15238</v>
      </c>
      <c r="H2409" t="s">
        <v>15239</v>
      </c>
      <c r="I2409" t="s">
        <v>15240</v>
      </c>
      <c r="J2409" t="s">
        <v>15235</v>
      </c>
      <c r="K2409" t="s">
        <v>15241</v>
      </c>
      <c r="L2409" t="s">
        <v>15235</v>
      </c>
    </row>
    <row r="2410" spans="1:12" x14ac:dyDescent="0.25">
      <c r="A2410">
        <v>453001</v>
      </c>
      <c r="B2410">
        <v>949431</v>
      </c>
      <c r="D2410" t="s">
        <v>12755</v>
      </c>
      <c r="E2410" t="s">
        <v>15243</v>
      </c>
      <c r="F2410" t="s">
        <v>15244</v>
      </c>
      <c r="G2410" t="s">
        <v>15245</v>
      </c>
      <c r="H2410" t="s">
        <v>15246</v>
      </c>
      <c r="I2410" t="s">
        <v>15247</v>
      </c>
      <c r="J2410" t="s">
        <v>15248</v>
      </c>
      <c r="K2410" t="s">
        <v>15249</v>
      </c>
      <c r="L2410" t="s">
        <v>15242</v>
      </c>
    </row>
    <row r="2411" spans="1:12" x14ac:dyDescent="0.25">
      <c r="A2411">
        <v>456037</v>
      </c>
      <c r="B2411">
        <v>456045</v>
      </c>
      <c r="D2411">
        <v>0</v>
      </c>
      <c r="E2411" t="s">
        <v>15251</v>
      </c>
      <c r="F2411" t="s">
        <v>15252</v>
      </c>
      <c r="G2411" t="s">
        <v>15253</v>
      </c>
      <c r="H2411" t="e" vm="1060">
        <f>_FV(0,"10744637017727288")</f>
        <v>#VALUE!</v>
      </c>
      <c r="I2411" t="s">
        <v>15254</v>
      </c>
      <c r="J2411" t="s">
        <v>15255</v>
      </c>
      <c r="K2411" t="s">
        <v>15256</v>
      </c>
      <c r="L2411" t="s">
        <v>15250</v>
      </c>
    </row>
    <row r="2412" spans="1:12" x14ac:dyDescent="0.25">
      <c r="A2412">
        <v>456037</v>
      </c>
      <c r="B2412">
        <v>456045</v>
      </c>
      <c r="D2412">
        <v>0</v>
      </c>
      <c r="E2412" t="s">
        <v>15258</v>
      </c>
      <c r="F2412" t="s">
        <v>15259</v>
      </c>
      <c r="G2412" t="s">
        <v>15260</v>
      </c>
      <c r="H2412" t="e" vm="1061">
        <f>_FV(0,"1087693740603762")</f>
        <v>#VALUE!</v>
      </c>
      <c r="I2412" t="s">
        <v>15261</v>
      </c>
      <c r="J2412" t="s">
        <v>15262</v>
      </c>
      <c r="K2412" t="s">
        <v>15263</v>
      </c>
      <c r="L2412" t="s">
        <v>15257</v>
      </c>
    </row>
    <row r="2413" spans="1:12" x14ac:dyDescent="0.25">
      <c r="A2413">
        <v>456037</v>
      </c>
      <c r="B2413">
        <v>1178154</v>
      </c>
      <c r="D2413" t="s">
        <v>15265</v>
      </c>
      <c r="E2413" t="s">
        <v>15266</v>
      </c>
      <c r="F2413" t="s">
        <v>15267</v>
      </c>
      <c r="G2413" t="s">
        <v>15268</v>
      </c>
      <c r="H2413" t="e" vm="1062">
        <f>_FV(0,"0031314389032863744")</f>
        <v>#VALUE!</v>
      </c>
      <c r="I2413" t="s">
        <v>15269</v>
      </c>
      <c r="J2413" t="s">
        <v>15270</v>
      </c>
      <c r="K2413" t="s">
        <v>15271</v>
      </c>
      <c r="L2413" t="s">
        <v>15264</v>
      </c>
    </row>
    <row r="2414" spans="1:12" x14ac:dyDescent="0.25">
      <c r="A2414">
        <v>456045</v>
      </c>
      <c r="B2414">
        <v>456366</v>
      </c>
      <c r="D2414">
        <v>0</v>
      </c>
      <c r="E2414" t="s">
        <v>15273</v>
      </c>
      <c r="F2414" t="s">
        <v>15274</v>
      </c>
      <c r="G2414" t="s">
        <v>15275</v>
      </c>
      <c r="H2414" t="e" vm="1063">
        <f>_FV(0,"015998564408670313")</f>
        <v>#VALUE!</v>
      </c>
      <c r="I2414" t="s">
        <v>15276</v>
      </c>
      <c r="J2414" t="s">
        <v>15277</v>
      </c>
      <c r="K2414" t="s">
        <v>15278</v>
      </c>
      <c r="L2414" t="s">
        <v>15272</v>
      </c>
    </row>
    <row r="2415" spans="1:12" x14ac:dyDescent="0.25">
      <c r="A2415">
        <v>456094</v>
      </c>
      <c r="B2415">
        <v>456125</v>
      </c>
      <c r="D2415">
        <v>0</v>
      </c>
      <c r="E2415" t="s">
        <v>15280</v>
      </c>
      <c r="F2415" t="s">
        <v>15281</v>
      </c>
      <c r="G2415" t="s">
        <v>15282</v>
      </c>
      <c r="H2415" t="e" vm="1064">
        <f>_FV(0,"011724886415794085")</f>
        <v>#VALUE!</v>
      </c>
      <c r="I2415" t="s">
        <v>15283</v>
      </c>
      <c r="J2415" t="s">
        <v>15284</v>
      </c>
      <c r="K2415" t="s">
        <v>15285</v>
      </c>
      <c r="L2415" t="s">
        <v>15279</v>
      </c>
    </row>
    <row r="2416" spans="1:12" x14ac:dyDescent="0.25">
      <c r="A2416">
        <v>456125</v>
      </c>
      <c r="B2416">
        <v>456231</v>
      </c>
      <c r="D2416">
        <v>0</v>
      </c>
      <c r="E2416" t="s">
        <v>15287</v>
      </c>
      <c r="F2416" t="s">
        <v>15288</v>
      </c>
      <c r="G2416" t="s">
        <v>15289</v>
      </c>
      <c r="H2416" t="e" vm="1065">
        <f>_FV(0,"012419499701716135")</f>
        <v>#VALUE!</v>
      </c>
      <c r="I2416" t="s">
        <v>15290</v>
      </c>
      <c r="J2416" t="s">
        <v>15291</v>
      </c>
      <c r="K2416" t="s">
        <v>15292</v>
      </c>
      <c r="L2416" t="s">
        <v>15286</v>
      </c>
    </row>
    <row r="2417" spans="1:12" x14ac:dyDescent="0.25">
      <c r="A2417">
        <v>456125</v>
      </c>
      <c r="B2417">
        <v>456626</v>
      </c>
      <c r="D2417">
        <v>0</v>
      </c>
      <c r="E2417" t="s">
        <v>15294</v>
      </c>
      <c r="F2417" t="s">
        <v>15295</v>
      </c>
      <c r="G2417" t="s">
        <v>15296</v>
      </c>
      <c r="H2417" t="s">
        <v>15297</v>
      </c>
      <c r="I2417" t="s">
        <v>15298</v>
      </c>
      <c r="J2417" t="s">
        <v>15299</v>
      </c>
      <c r="K2417" t="s">
        <v>15300</v>
      </c>
      <c r="L2417" t="s">
        <v>15293</v>
      </c>
    </row>
    <row r="2418" spans="1:12" x14ac:dyDescent="0.25">
      <c r="A2418">
        <v>456231</v>
      </c>
      <c r="B2418">
        <v>1581707</v>
      </c>
      <c r="D2418" t="s">
        <v>15302</v>
      </c>
      <c r="E2418" t="s">
        <v>15303</v>
      </c>
      <c r="F2418" t="s">
        <v>15304</v>
      </c>
      <c r="G2418" t="s">
        <v>15305</v>
      </c>
      <c r="H2418" t="s">
        <v>15306</v>
      </c>
      <c r="I2418" t="s">
        <v>15307</v>
      </c>
      <c r="J2418" t="s">
        <v>15308</v>
      </c>
      <c r="K2418" t="s">
        <v>15309</v>
      </c>
      <c r="L2418" t="s">
        <v>15301</v>
      </c>
    </row>
    <row r="2419" spans="1:12" x14ac:dyDescent="0.25">
      <c r="A2419">
        <v>456231</v>
      </c>
      <c r="B2419">
        <v>456373</v>
      </c>
      <c r="D2419">
        <v>0</v>
      </c>
      <c r="E2419" t="s">
        <v>15311</v>
      </c>
      <c r="F2419" t="s">
        <v>15312</v>
      </c>
      <c r="G2419" t="s">
        <v>15314</v>
      </c>
      <c r="H2419" t="e" vm="1066">
        <f>_FV(0,"022697890650824063")</f>
        <v>#VALUE!</v>
      </c>
      <c r="I2419" t="s">
        <v>15315</v>
      </c>
      <c r="J2419" t="s">
        <v>15316</v>
      </c>
      <c r="K2419" t="s">
        <v>15317</v>
      </c>
      <c r="L2419" t="s">
        <v>15310</v>
      </c>
    </row>
    <row r="2420" spans="1:12" x14ac:dyDescent="0.25">
      <c r="A2420">
        <v>456366</v>
      </c>
      <c r="B2420">
        <v>456533</v>
      </c>
      <c r="D2420">
        <v>0</v>
      </c>
      <c r="F2420">
        <v>458046</v>
      </c>
      <c r="G2420">
        <v>456533</v>
      </c>
      <c r="H2420" t="e" vm="493">
        <f>_FV(0,"025")</f>
        <v>#VALUE!</v>
      </c>
      <c r="I2420">
        <v>456366</v>
      </c>
      <c r="J2420" t="s">
        <v>899</v>
      </c>
      <c r="K2420" t="s">
        <v>15318</v>
      </c>
      <c r="L2420" t="e" vm="493">
        <f>_FV(0,"025")</f>
        <v>#VALUE!</v>
      </c>
    </row>
    <row r="2421" spans="1:12" x14ac:dyDescent="0.25">
      <c r="A2421">
        <v>456366</v>
      </c>
      <c r="B2421">
        <v>456573</v>
      </c>
      <c r="D2421">
        <v>0</v>
      </c>
      <c r="E2421" t="s">
        <v>15320</v>
      </c>
      <c r="F2421" t="s">
        <v>15321</v>
      </c>
      <c r="G2421" t="s">
        <v>15322</v>
      </c>
      <c r="H2421" t="e" vm="1067">
        <f>_FV(0,"0017244948924462448")</f>
        <v>#VALUE!</v>
      </c>
      <c r="I2421" t="s">
        <v>15323</v>
      </c>
      <c r="J2421" t="s">
        <v>15324</v>
      </c>
      <c r="K2421" t="s">
        <v>15325</v>
      </c>
      <c r="L2421" t="s">
        <v>15319</v>
      </c>
    </row>
    <row r="2422" spans="1:12" x14ac:dyDescent="0.25">
      <c r="A2422">
        <v>456373</v>
      </c>
      <c r="B2422">
        <v>456549</v>
      </c>
      <c r="D2422">
        <v>0</v>
      </c>
      <c r="F2422">
        <v>458070</v>
      </c>
      <c r="G2422">
        <v>456373</v>
      </c>
      <c r="H2422" t="s">
        <v>226</v>
      </c>
      <c r="I2422">
        <v>456549</v>
      </c>
      <c r="J2422" t="s">
        <v>226</v>
      </c>
      <c r="K2422" t="s">
        <v>15326</v>
      </c>
      <c r="L2422" t="s">
        <v>226</v>
      </c>
    </row>
    <row r="2423" spans="1:12" x14ac:dyDescent="0.25">
      <c r="A2423">
        <v>456373</v>
      </c>
      <c r="B2423">
        <v>456573</v>
      </c>
      <c r="D2423">
        <v>0</v>
      </c>
      <c r="F2423">
        <v>458094</v>
      </c>
      <c r="G2423">
        <v>456373</v>
      </c>
      <c r="H2423" t="e" vm="122">
        <f>_FV(0,"017")</f>
        <v>#VALUE!</v>
      </c>
      <c r="I2423">
        <v>456573</v>
      </c>
      <c r="J2423" t="s">
        <v>1814</v>
      </c>
      <c r="K2423" t="s">
        <v>15327</v>
      </c>
      <c r="L2423" t="e" vm="122">
        <f>_FV(0,"017")</f>
        <v>#VALUE!</v>
      </c>
    </row>
    <row r="2424" spans="1:12" x14ac:dyDescent="0.25">
      <c r="A2424">
        <v>456533</v>
      </c>
      <c r="B2424">
        <v>456573</v>
      </c>
      <c r="D2424">
        <v>0</v>
      </c>
      <c r="F2424">
        <v>458158</v>
      </c>
      <c r="G2424">
        <v>456573</v>
      </c>
      <c r="H2424" t="s">
        <v>15328</v>
      </c>
      <c r="I2424">
        <v>456533</v>
      </c>
      <c r="J2424" t="s">
        <v>15328</v>
      </c>
      <c r="K2424" t="s">
        <v>15329</v>
      </c>
      <c r="L2424" t="s">
        <v>15328</v>
      </c>
    </row>
    <row r="2425" spans="1:12" x14ac:dyDescent="0.25">
      <c r="A2425">
        <v>456533</v>
      </c>
      <c r="B2425">
        <v>456549</v>
      </c>
      <c r="D2425">
        <v>0</v>
      </c>
      <c r="E2425" t="s">
        <v>15330</v>
      </c>
      <c r="F2425" t="s">
        <v>15331</v>
      </c>
      <c r="G2425" t="s">
        <v>15332</v>
      </c>
      <c r="H2425" t="s">
        <v>15333</v>
      </c>
      <c r="I2425" t="s">
        <v>15334</v>
      </c>
      <c r="J2425" t="s">
        <v>6081</v>
      </c>
      <c r="K2425" t="s">
        <v>15335</v>
      </c>
      <c r="L2425" t="s">
        <v>6081</v>
      </c>
    </row>
    <row r="2426" spans="1:12" x14ac:dyDescent="0.25">
      <c r="A2426">
        <v>456533</v>
      </c>
      <c r="B2426">
        <v>456626</v>
      </c>
      <c r="D2426">
        <v>0</v>
      </c>
      <c r="E2426" t="s">
        <v>15337</v>
      </c>
      <c r="F2426" t="s">
        <v>15338</v>
      </c>
      <c r="G2426" t="s">
        <v>15339</v>
      </c>
      <c r="H2426" t="s">
        <v>15340</v>
      </c>
      <c r="I2426" t="s">
        <v>15341</v>
      </c>
      <c r="J2426" t="s">
        <v>15342</v>
      </c>
      <c r="K2426" t="s">
        <v>15343</v>
      </c>
      <c r="L2426" t="s">
        <v>15336</v>
      </c>
    </row>
    <row r="2427" spans="1:12" x14ac:dyDescent="0.25">
      <c r="A2427">
        <v>456536</v>
      </c>
      <c r="B2427">
        <v>456544</v>
      </c>
      <c r="D2427">
        <v>0</v>
      </c>
      <c r="E2427" t="s">
        <v>15345</v>
      </c>
      <c r="F2427" t="s">
        <v>15346</v>
      </c>
      <c r="G2427" t="s">
        <v>15347</v>
      </c>
      <c r="H2427" t="s">
        <v>15348</v>
      </c>
      <c r="I2427" t="s">
        <v>15349</v>
      </c>
      <c r="J2427" t="s">
        <v>15350</v>
      </c>
      <c r="K2427" t="s">
        <v>15351</v>
      </c>
      <c r="L2427" t="s">
        <v>15344</v>
      </c>
    </row>
    <row r="2428" spans="1:12" x14ac:dyDescent="0.25">
      <c r="A2428">
        <v>456536</v>
      </c>
      <c r="B2428">
        <v>456649</v>
      </c>
      <c r="D2428">
        <v>0</v>
      </c>
      <c r="E2428" t="s">
        <v>15353</v>
      </c>
      <c r="F2428" t="s">
        <v>15354</v>
      </c>
      <c r="G2428" t="s">
        <v>15355</v>
      </c>
      <c r="H2428" t="s">
        <v>15356</v>
      </c>
      <c r="I2428" t="s">
        <v>15357</v>
      </c>
      <c r="J2428" t="s">
        <v>15352</v>
      </c>
      <c r="K2428" t="s">
        <v>15358</v>
      </c>
      <c r="L2428" t="s">
        <v>15352</v>
      </c>
    </row>
    <row r="2429" spans="1:12" x14ac:dyDescent="0.25">
      <c r="A2429">
        <v>456544</v>
      </c>
      <c r="B2429">
        <v>456595</v>
      </c>
      <c r="D2429" t="s">
        <v>330</v>
      </c>
      <c r="E2429" t="s">
        <v>15360</v>
      </c>
      <c r="F2429" t="s">
        <v>15361</v>
      </c>
      <c r="G2429" t="s">
        <v>15362</v>
      </c>
      <c r="H2429" t="e" vm="1068">
        <f>_FV(0,"003192940580968692")</f>
        <v>#VALUE!</v>
      </c>
      <c r="I2429" t="s">
        <v>15363</v>
      </c>
      <c r="J2429" t="s">
        <v>15364</v>
      </c>
      <c r="K2429" t="s">
        <v>15365</v>
      </c>
      <c r="L2429" t="s">
        <v>15359</v>
      </c>
    </row>
    <row r="2430" spans="1:12" x14ac:dyDescent="0.25">
      <c r="A2430">
        <v>456549</v>
      </c>
      <c r="B2430">
        <v>456573</v>
      </c>
      <c r="D2430">
        <v>0</v>
      </c>
      <c r="F2430">
        <v>458182</v>
      </c>
      <c r="G2430">
        <v>456573</v>
      </c>
      <c r="H2430" t="s">
        <v>15366</v>
      </c>
      <c r="I2430">
        <v>456549</v>
      </c>
      <c r="J2430" t="s">
        <v>15366</v>
      </c>
      <c r="K2430" t="s">
        <v>15367</v>
      </c>
      <c r="L2430" t="s">
        <v>15366</v>
      </c>
    </row>
    <row r="2431" spans="1:12" x14ac:dyDescent="0.25">
      <c r="A2431">
        <v>456549</v>
      </c>
      <c r="B2431">
        <v>456626</v>
      </c>
      <c r="D2431">
        <v>0</v>
      </c>
      <c r="E2431" t="s">
        <v>15369</v>
      </c>
      <c r="F2431" t="s">
        <v>15370</v>
      </c>
      <c r="G2431" t="s">
        <v>15371</v>
      </c>
      <c r="H2431" t="s">
        <v>15372</v>
      </c>
      <c r="I2431" t="s">
        <v>15373</v>
      </c>
      <c r="J2431" t="s">
        <v>15374</v>
      </c>
      <c r="K2431" t="s">
        <v>15375</v>
      </c>
      <c r="L2431" t="s">
        <v>15368</v>
      </c>
    </row>
    <row r="2432" spans="1:12" x14ac:dyDescent="0.25">
      <c r="A2432">
        <v>456595</v>
      </c>
      <c r="B2432">
        <v>456649</v>
      </c>
      <c r="D2432">
        <v>0</v>
      </c>
      <c r="F2432">
        <v>458380</v>
      </c>
      <c r="G2432">
        <v>456649</v>
      </c>
      <c r="H2432" t="s">
        <v>1939</v>
      </c>
      <c r="I2432">
        <v>456595</v>
      </c>
      <c r="J2432" t="s">
        <v>1939</v>
      </c>
      <c r="K2432" t="s">
        <v>15376</v>
      </c>
      <c r="L2432" t="s">
        <v>1939</v>
      </c>
    </row>
    <row r="2433" spans="1:12" x14ac:dyDescent="0.25">
      <c r="A2433">
        <v>456595</v>
      </c>
      <c r="B2433">
        <v>456852</v>
      </c>
      <c r="D2433">
        <v>0</v>
      </c>
      <c r="F2433">
        <v>458366</v>
      </c>
      <c r="G2433">
        <v>456595</v>
      </c>
      <c r="H2433" t="s">
        <v>187</v>
      </c>
      <c r="I2433">
        <v>456852</v>
      </c>
      <c r="J2433" t="s">
        <v>187</v>
      </c>
      <c r="K2433" t="s">
        <v>15377</v>
      </c>
      <c r="L2433" t="s">
        <v>187</v>
      </c>
    </row>
    <row r="2434" spans="1:12" x14ac:dyDescent="0.25">
      <c r="A2434">
        <v>456649</v>
      </c>
      <c r="B2434">
        <v>456658</v>
      </c>
      <c r="D2434" t="s">
        <v>1119</v>
      </c>
      <c r="E2434" t="s">
        <v>15378</v>
      </c>
      <c r="F2434" t="s">
        <v>15379</v>
      </c>
      <c r="G2434" t="s">
        <v>15380</v>
      </c>
      <c r="H2434" t="s">
        <v>15381</v>
      </c>
      <c r="I2434" t="s">
        <v>15382</v>
      </c>
      <c r="J2434" t="s">
        <v>4154</v>
      </c>
      <c r="K2434" t="s">
        <v>15383</v>
      </c>
      <c r="L2434" t="s">
        <v>4154</v>
      </c>
    </row>
    <row r="2435" spans="1:12" x14ac:dyDescent="0.25">
      <c r="A2435">
        <v>456658</v>
      </c>
      <c r="B2435">
        <v>456691</v>
      </c>
      <c r="D2435" t="s">
        <v>12284</v>
      </c>
      <c r="E2435" t="s">
        <v>15385</v>
      </c>
      <c r="F2435" t="s">
        <v>15386</v>
      </c>
      <c r="G2435" t="s">
        <v>15387</v>
      </c>
      <c r="H2435" t="s">
        <v>15388</v>
      </c>
      <c r="I2435" t="s">
        <v>15389</v>
      </c>
      <c r="J2435" t="s">
        <v>15384</v>
      </c>
      <c r="K2435" t="s">
        <v>15390</v>
      </c>
      <c r="L2435" t="s">
        <v>15384</v>
      </c>
    </row>
    <row r="2436" spans="1:12" x14ac:dyDescent="0.25">
      <c r="A2436">
        <v>456697</v>
      </c>
      <c r="B2436">
        <v>456742</v>
      </c>
      <c r="D2436" t="s">
        <v>15392</v>
      </c>
      <c r="E2436" t="s">
        <v>15393</v>
      </c>
      <c r="F2436" t="s">
        <v>15394</v>
      </c>
      <c r="G2436" t="s">
        <v>15395</v>
      </c>
      <c r="H2436" t="e" vm="1069">
        <f>_FV(0,"015424880378276669")</f>
        <v>#VALUE!</v>
      </c>
      <c r="I2436" t="s">
        <v>15396</v>
      </c>
      <c r="J2436" t="s">
        <v>15397</v>
      </c>
      <c r="K2436" t="s">
        <v>15398</v>
      </c>
      <c r="L2436" t="s">
        <v>15391</v>
      </c>
    </row>
    <row r="2437" spans="1:12" x14ac:dyDescent="0.25">
      <c r="A2437">
        <v>456852</v>
      </c>
      <c r="B2437">
        <v>824295</v>
      </c>
      <c r="D2437" t="s">
        <v>15400</v>
      </c>
      <c r="E2437" t="s">
        <v>15401</v>
      </c>
      <c r="F2437" t="s">
        <v>15402</v>
      </c>
      <c r="G2437" t="s">
        <v>15403</v>
      </c>
      <c r="H2437" t="s">
        <v>15404</v>
      </c>
      <c r="I2437" t="s">
        <v>15405</v>
      </c>
      <c r="J2437" t="s">
        <v>15406</v>
      </c>
      <c r="K2437" t="s">
        <v>15407</v>
      </c>
      <c r="L2437" t="s">
        <v>15399</v>
      </c>
    </row>
    <row r="2438" spans="1:12" x14ac:dyDescent="0.25">
      <c r="A2438">
        <v>458593</v>
      </c>
      <c r="B2438">
        <v>458634</v>
      </c>
      <c r="D2438" t="s">
        <v>9879</v>
      </c>
      <c r="E2438" t="s">
        <v>15409</v>
      </c>
      <c r="F2438" t="s">
        <v>15410</v>
      </c>
      <c r="G2438" t="s">
        <v>15411</v>
      </c>
      <c r="H2438" t="s">
        <v>15412</v>
      </c>
      <c r="I2438" t="s">
        <v>15413</v>
      </c>
      <c r="J2438" t="s">
        <v>15414</v>
      </c>
      <c r="K2438" t="s">
        <v>15415</v>
      </c>
      <c r="L2438" t="s">
        <v>15408</v>
      </c>
    </row>
    <row r="2439" spans="1:12" x14ac:dyDescent="0.25">
      <c r="A2439">
        <v>458593</v>
      </c>
      <c r="B2439">
        <v>1296455</v>
      </c>
      <c r="D2439" t="s">
        <v>1494</v>
      </c>
      <c r="E2439" t="s">
        <v>15417</v>
      </c>
      <c r="F2439" t="s">
        <v>15418</v>
      </c>
      <c r="G2439" t="s">
        <v>15419</v>
      </c>
      <c r="H2439" t="s">
        <v>15420</v>
      </c>
      <c r="I2439" t="s">
        <v>15421</v>
      </c>
      <c r="J2439" t="s">
        <v>15422</v>
      </c>
      <c r="K2439" t="s">
        <v>15423</v>
      </c>
      <c r="L2439" t="s">
        <v>15416</v>
      </c>
    </row>
    <row r="2440" spans="1:12" x14ac:dyDescent="0.25">
      <c r="A2440">
        <v>458593</v>
      </c>
      <c r="B2440">
        <v>1296777</v>
      </c>
      <c r="D2440" t="s">
        <v>15425</v>
      </c>
      <c r="E2440" t="s">
        <v>15426</v>
      </c>
      <c r="F2440" t="s">
        <v>15427</v>
      </c>
      <c r="G2440" t="s">
        <v>15428</v>
      </c>
      <c r="H2440" t="s">
        <v>15429</v>
      </c>
      <c r="I2440" t="s">
        <v>15430</v>
      </c>
      <c r="J2440" t="s">
        <v>15431</v>
      </c>
      <c r="K2440" t="s">
        <v>15432</v>
      </c>
      <c r="L2440" t="s">
        <v>15424</v>
      </c>
    </row>
    <row r="2441" spans="1:12" x14ac:dyDescent="0.25">
      <c r="A2441">
        <v>458600</v>
      </c>
      <c r="B2441">
        <v>1815419</v>
      </c>
      <c r="D2441">
        <v>0</v>
      </c>
      <c r="F2441">
        <v>2103371</v>
      </c>
      <c r="G2441">
        <v>1815419</v>
      </c>
      <c r="H2441" t="e" vm="201">
        <f>_FV(0,"002")</f>
        <v>#VALUE!</v>
      </c>
      <c r="I2441">
        <v>458600</v>
      </c>
      <c r="J2441" t="s">
        <v>1534</v>
      </c>
      <c r="K2441" t="s">
        <v>15433</v>
      </c>
      <c r="L2441" t="e" vm="201">
        <f>_FV(0,"002")</f>
        <v>#VALUE!</v>
      </c>
    </row>
    <row r="2442" spans="1:12" x14ac:dyDescent="0.25">
      <c r="A2442">
        <v>458600</v>
      </c>
      <c r="B2442">
        <v>458610</v>
      </c>
      <c r="D2442">
        <v>0</v>
      </c>
      <c r="E2442" t="s">
        <v>15435</v>
      </c>
      <c r="F2442" t="s">
        <v>15436</v>
      </c>
      <c r="G2442" t="s">
        <v>15437</v>
      </c>
      <c r="H2442" t="s">
        <v>15438</v>
      </c>
      <c r="I2442" t="s">
        <v>15439</v>
      </c>
      <c r="J2442" t="s">
        <v>15434</v>
      </c>
      <c r="K2442" t="s">
        <v>15440</v>
      </c>
      <c r="L2442" t="s">
        <v>15434</v>
      </c>
    </row>
    <row r="2443" spans="1:12" x14ac:dyDescent="0.25">
      <c r="A2443">
        <v>458600</v>
      </c>
      <c r="B2443">
        <v>1301608</v>
      </c>
      <c r="D2443">
        <v>0</v>
      </c>
      <c r="E2443" t="s">
        <v>15442</v>
      </c>
      <c r="F2443" t="s">
        <v>15443</v>
      </c>
      <c r="G2443" t="s">
        <v>15444</v>
      </c>
      <c r="H2443" t="e" vm="1070">
        <f>_FV(0,"01610549240598104")</f>
        <v>#VALUE!</v>
      </c>
      <c r="I2443" t="s">
        <v>15445</v>
      </c>
      <c r="J2443" t="s">
        <v>15446</v>
      </c>
      <c r="K2443" t="s">
        <v>15447</v>
      </c>
      <c r="L2443" t="s">
        <v>15441</v>
      </c>
    </row>
    <row r="2444" spans="1:12" x14ac:dyDescent="0.25">
      <c r="A2444">
        <v>458610</v>
      </c>
      <c r="B2444">
        <v>458611</v>
      </c>
      <c r="D2444" t="s">
        <v>204</v>
      </c>
      <c r="E2444" t="s">
        <v>15449</v>
      </c>
      <c r="F2444" t="s">
        <v>15450</v>
      </c>
      <c r="G2444" t="s">
        <v>15451</v>
      </c>
      <c r="H2444" t="s">
        <v>15452</v>
      </c>
      <c r="I2444" t="s">
        <v>15453</v>
      </c>
      <c r="J2444" t="s">
        <v>15454</v>
      </c>
      <c r="K2444" t="s">
        <v>15455</v>
      </c>
      <c r="L2444" t="s">
        <v>15448</v>
      </c>
    </row>
    <row r="2445" spans="1:12" x14ac:dyDescent="0.25">
      <c r="A2445">
        <v>458610</v>
      </c>
      <c r="B2445">
        <v>1301608</v>
      </c>
      <c r="D2445">
        <v>0</v>
      </c>
      <c r="E2445" t="s">
        <v>15457</v>
      </c>
      <c r="F2445" t="s">
        <v>15458</v>
      </c>
      <c r="G2445" t="s">
        <v>15459</v>
      </c>
      <c r="H2445" t="s">
        <v>15460</v>
      </c>
      <c r="I2445" t="s">
        <v>15461</v>
      </c>
      <c r="J2445" t="s">
        <v>15456</v>
      </c>
      <c r="K2445" t="s">
        <v>15462</v>
      </c>
      <c r="L2445" t="s">
        <v>15456</v>
      </c>
    </row>
    <row r="2446" spans="1:12" x14ac:dyDescent="0.25">
      <c r="A2446">
        <v>458611</v>
      </c>
      <c r="B2446">
        <v>458618</v>
      </c>
      <c r="D2446">
        <v>0</v>
      </c>
      <c r="E2446" t="s">
        <v>15464</v>
      </c>
      <c r="F2446" t="s">
        <v>15465</v>
      </c>
      <c r="G2446" t="s">
        <v>15466</v>
      </c>
      <c r="H2446" t="s">
        <v>15467</v>
      </c>
      <c r="I2446" t="s">
        <v>15468</v>
      </c>
      <c r="J2446" t="s">
        <v>15463</v>
      </c>
      <c r="K2446" t="s">
        <v>15469</v>
      </c>
      <c r="L2446" t="s">
        <v>15463</v>
      </c>
    </row>
    <row r="2447" spans="1:12" x14ac:dyDescent="0.25">
      <c r="A2447">
        <v>458611</v>
      </c>
      <c r="B2447">
        <v>1301663</v>
      </c>
      <c r="D2447">
        <v>0</v>
      </c>
      <c r="E2447" t="s">
        <v>15471</v>
      </c>
      <c r="F2447" t="s">
        <v>15472</v>
      </c>
      <c r="G2447" t="s">
        <v>15473</v>
      </c>
      <c r="H2447" t="s">
        <v>15474</v>
      </c>
      <c r="I2447" t="s">
        <v>15475</v>
      </c>
      <c r="J2447" t="s">
        <v>15470</v>
      </c>
      <c r="K2447" t="s">
        <v>15476</v>
      </c>
      <c r="L2447" t="s">
        <v>15470</v>
      </c>
    </row>
    <row r="2448" spans="1:12" x14ac:dyDescent="0.25">
      <c r="A2448">
        <v>458618</v>
      </c>
      <c r="B2448">
        <v>1301663</v>
      </c>
      <c r="D2448">
        <v>0</v>
      </c>
      <c r="E2448" t="s">
        <v>15478</v>
      </c>
      <c r="F2448" t="s">
        <v>15479</v>
      </c>
      <c r="G2448" t="s">
        <v>15480</v>
      </c>
      <c r="H2448" t="s">
        <v>15481</v>
      </c>
      <c r="I2448" t="s">
        <v>15482</v>
      </c>
      <c r="J2448" t="s">
        <v>15483</v>
      </c>
      <c r="K2448" t="s">
        <v>15484</v>
      </c>
      <c r="L2448" t="s">
        <v>15477</v>
      </c>
    </row>
    <row r="2449" spans="1:12" x14ac:dyDescent="0.25">
      <c r="A2449">
        <v>458618</v>
      </c>
      <c r="B2449">
        <v>1815492</v>
      </c>
      <c r="D2449">
        <v>0</v>
      </c>
      <c r="F2449">
        <v>2103596</v>
      </c>
      <c r="G2449">
        <v>458618</v>
      </c>
      <c r="H2449" t="e" vm="59">
        <f>_FV(0,"014")</f>
        <v>#VALUE!</v>
      </c>
      <c r="I2449">
        <v>1815492</v>
      </c>
      <c r="J2449" t="s">
        <v>922</v>
      </c>
      <c r="K2449" t="s">
        <v>15485</v>
      </c>
      <c r="L2449" t="e" vm="59">
        <f>_FV(0,"014")</f>
        <v>#VALUE!</v>
      </c>
    </row>
    <row r="2450" spans="1:12" x14ac:dyDescent="0.25">
      <c r="A2450">
        <v>458634</v>
      </c>
      <c r="B2450">
        <v>1055873</v>
      </c>
      <c r="D2450">
        <v>0</v>
      </c>
      <c r="E2450" t="s">
        <v>15487</v>
      </c>
      <c r="F2450" t="s">
        <v>15488</v>
      </c>
      <c r="G2450" t="s">
        <v>15489</v>
      </c>
      <c r="H2450" t="e" vm="1071">
        <f>_FV(0,"01084780890065969")</f>
        <v>#VALUE!</v>
      </c>
      <c r="I2450" t="s">
        <v>15490</v>
      </c>
      <c r="J2450" t="s">
        <v>15491</v>
      </c>
      <c r="K2450" t="s">
        <v>15492</v>
      </c>
      <c r="L2450" t="s">
        <v>15486</v>
      </c>
    </row>
    <row r="2451" spans="1:12" x14ac:dyDescent="0.25">
      <c r="A2451">
        <v>458634</v>
      </c>
      <c r="B2451">
        <v>1055873</v>
      </c>
      <c r="D2451" t="s">
        <v>15494</v>
      </c>
      <c r="E2451" t="s">
        <v>15495</v>
      </c>
      <c r="F2451" t="s">
        <v>15496</v>
      </c>
      <c r="G2451" t="s">
        <v>15497</v>
      </c>
      <c r="H2451" t="e" vm="1072">
        <f>_FV(0,"007621514782907295")</f>
        <v>#VALUE!</v>
      </c>
      <c r="I2451" t="s">
        <v>15498</v>
      </c>
      <c r="J2451" t="s">
        <v>15499</v>
      </c>
      <c r="K2451" t="s">
        <v>15500</v>
      </c>
      <c r="L2451" t="s">
        <v>15493</v>
      </c>
    </row>
    <row r="2452" spans="1:12" x14ac:dyDescent="0.25">
      <c r="A2452">
        <v>458700</v>
      </c>
      <c r="B2452">
        <v>458744</v>
      </c>
      <c r="C2452" t="s">
        <v>15502</v>
      </c>
      <c r="D2452" t="s">
        <v>963</v>
      </c>
      <c r="E2452" t="s">
        <v>15503</v>
      </c>
      <c r="F2452" t="s">
        <v>15504</v>
      </c>
      <c r="G2452" t="s">
        <v>15505</v>
      </c>
      <c r="H2452" t="e" vm="1073">
        <f>_FV(0,"007834018417552439")</f>
        <v>#VALUE!</v>
      </c>
      <c r="I2452" t="s">
        <v>15506</v>
      </c>
      <c r="J2452" t="s">
        <v>15507</v>
      </c>
      <c r="K2452" t="s">
        <v>15508</v>
      </c>
      <c r="L2452" t="s">
        <v>15501</v>
      </c>
    </row>
    <row r="2453" spans="1:12" x14ac:dyDescent="0.25">
      <c r="A2453">
        <v>458700</v>
      </c>
      <c r="B2453">
        <v>1296655</v>
      </c>
      <c r="D2453">
        <v>0</v>
      </c>
      <c r="E2453" t="s">
        <v>15510</v>
      </c>
      <c r="F2453" t="s">
        <v>15511</v>
      </c>
      <c r="G2453" t="s">
        <v>15512</v>
      </c>
      <c r="H2453" t="e" vm="1074">
        <f>_FV(0,"0423066168100586")</f>
        <v>#VALUE!</v>
      </c>
      <c r="I2453" t="s">
        <v>15513</v>
      </c>
      <c r="J2453" t="s">
        <v>15514</v>
      </c>
      <c r="K2453" t="s">
        <v>15515</v>
      </c>
      <c r="L2453" t="s">
        <v>15509</v>
      </c>
    </row>
    <row r="2454" spans="1:12" x14ac:dyDescent="0.25">
      <c r="A2454">
        <v>458744</v>
      </c>
      <c r="B2454">
        <v>974613</v>
      </c>
      <c r="D2454">
        <v>0</v>
      </c>
      <c r="E2454" t="s">
        <v>15517</v>
      </c>
      <c r="F2454" t="s">
        <v>15518</v>
      </c>
      <c r="G2454" t="s">
        <v>15519</v>
      </c>
      <c r="H2454" t="e" vm="1075">
        <f>_FV(0,"0008208916764408994")</f>
        <v>#VALUE!</v>
      </c>
      <c r="I2454" t="s">
        <v>15520</v>
      </c>
      <c r="J2454" t="s">
        <v>15521</v>
      </c>
      <c r="K2454" t="s">
        <v>15522</v>
      </c>
      <c r="L2454" t="s">
        <v>15516</v>
      </c>
    </row>
    <row r="2455" spans="1:12" x14ac:dyDescent="0.25">
      <c r="A2455">
        <v>460424</v>
      </c>
      <c r="B2455">
        <v>460432</v>
      </c>
      <c r="D2455">
        <v>0</v>
      </c>
      <c r="E2455" t="s">
        <v>15524</v>
      </c>
      <c r="F2455" t="s">
        <v>15525</v>
      </c>
      <c r="G2455" t="s">
        <v>15526</v>
      </c>
      <c r="H2455" t="s">
        <v>15527</v>
      </c>
      <c r="I2455" t="s">
        <v>15528</v>
      </c>
      <c r="J2455" t="s">
        <v>15529</v>
      </c>
      <c r="K2455" t="s">
        <v>15530</v>
      </c>
      <c r="L2455" t="s">
        <v>15523</v>
      </c>
    </row>
    <row r="2456" spans="1:12" x14ac:dyDescent="0.25">
      <c r="A2456">
        <v>460424</v>
      </c>
      <c r="B2456">
        <v>460432</v>
      </c>
      <c r="D2456">
        <v>0</v>
      </c>
      <c r="E2456" t="s">
        <v>15532</v>
      </c>
      <c r="F2456" t="s">
        <v>15533</v>
      </c>
      <c r="G2456" t="s">
        <v>15534</v>
      </c>
      <c r="H2456" t="s">
        <v>15535</v>
      </c>
      <c r="I2456" t="s">
        <v>15536</v>
      </c>
      <c r="J2456" t="s">
        <v>15537</v>
      </c>
      <c r="K2456" t="s">
        <v>15538</v>
      </c>
      <c r="L2456" t="s">
        <v>15531</v>
      </c>
    </row>
    <row r="2457" spans="1:12" x14ac:dyDescent="0.25">
      <c r="A2457">
        <v>460424</v>
      </c>
      <c r="B2457">
        <v>1342897</v>
      </c>
      <c r="D2457">
        <v>0</v>
      </c>
      <c r="E2457" t="s">
        <v>15540</v>
      </c>
      <c r="F2457" t="s">
        <v>15541</v>
      </c>
      <c r="G2457" t="s">
        <v>15542</v>
      </c>
      <c r="H2457" t="e" vm="1076">
        <f>_FV(0,"04900409731715248")</f>
        <v>#VALUE!</v>
      </c>
      <c r="I2457" t="s">
        <v>15543</v>
      </c>
      <c r="J2457" t="s">
        <v>15544</v>
      </c>
      <c r="K2457" t="s">
        <v>15545</v>
      </c>
      <c r="L2457" t="s">
        <v>15539</v>
      </c>
    </row>
    <row r="2458" spans="1:12" x14ac:dyDescent="0.25">
      <c r="A2458">
        <v>460432</v>
      </c>
      <c r="B2458">
        <v>1854801</v>
      </c>
      <c r="D2458">
        <v>0</v>
      </c>
      <c r="E2458" t="s">
        <v>15546</v>
      </c>
      <c r="H2458" t="s">
        <v>187</v>
      </c>
      <c r="J2458">
        <v>0</v>
      </c>
      <c r="K2458" t="s">
        <v>15547</v>
      </c>
      <c r="L2458">
        <v>0</v>
      </c>
    </row>
    <row r="2459" spans="1:12" x14ac:dyDescent="0.25">
      <c r="A2459">
        <v>460875</v>
      </c>
      <c r="B2459">
        <v>460884</v>
      </c>
      <c r="D2459">
        <v>0</v>
      </c>
      <c r="E2459" t="s">
        <v>15549</v>
      </c>
      <c r="F2459" t="s">
        <v>15550</v>
      </c>
      <c r="G2459" t="s">
        <v>15551</v>
      </c>
      <c r="H2459" t="e" vm="1077">
        <f>_FV(0,"02232127573996252")</f>
        <v>#VALUE!</v>
      </c>
      <c r="I2459" t="s">
        <v>15552</v>
      </c>
      <c r="J2459" t="s">
        <v>15553</v>
      </c>
      <c r="K2459" t="s">
        <v>15554</v>
      </c>
      <c r="L2459" t="s">
        <v>15548</v>
      </c>
    </row>
    <row r="2460" spans="1:12" x14ac:dyDescent="0.25">
      <c r="A2460">
        <v>460884</v>
      </c>
      <c r="B2460">
        <v>1357131</v>
      </c>
      <c r="D2460">
        <v>0</v>
      </c>
      <c r="E2460" t="s">
        <v>15556</v>
      </c>
      <c r="F2460" t="s">
        <v>15557</v>
      </c>
      <c r="G2460" t="s">
        <v>15558</v>
      </c>
      <c r="H2460" t="e" vm="1078">
        <f>_FV(0,"10234004097406448")</f>
        <v>#VALUE!</v>
      </c>
      <c r="I2460" t="s">
        <v>15559</v>
      </c>
      <c r="J2460" t="s">
        <v>15560</v>
      </c>
      <c r="K2460" t="s">
        <v>15561</v>
      </c>
      <c r="L2460" t="s">
        <v>15555</v>
      </c>
    </row>
    <row r="2461" spans="1:12" x14ac:dyDescent="0.25">
      <c r="A2461">
        <v>460884</v>
      </c>
      <c r="B2461">
        <v>1365668</v>
      </c>
      <c r="D2461">
        <v>0</v>
      </c>
      <c r="E2461" t="s">
        <v>15563</v>
      </c>
      <c r="F2461" t="s">
        <v>15564</v>
      </c>
      <c r="G2461" t="s">
        <v>15565</v>
      </c>
      <c r="H2461" t="e" vm="1079">
        <f>_FV(0,"030145076170501668")</f>
        <v>#VALUE!</v>
      </c>
      <c r="I2461" t="s">
        <v>15566</v>
      </c>
      <c r="J2461" t="s">
        <v>15567</v>
      </c>
      <c r="K2461" t="s">
        <v>15568</v>
      </c>
      <c r="L2461" t="s">
        <v>15562</v>
      </c>
    </row>
    <row r="2462" spans="1:12" x14ac:dyDescent="0.25">
      <c r="A2462">
        <v>460892</v>
      </c>
      <c r="B2462">
        <v>460914</v>
      </c>
      <c r="D2462">
        <v>0</v>
      </c>
      <c r="E2462" t="s">
        <v>15570</v>
      </c>
      <c r="F2462" t="s">
        <v>15571</v>
      </c>
      <c r="G2462" t="s">
        <v>15572</v>
      </c>
      <c r="H2462" t="e" vm="1080">
        <f>_FV(0,"0034438729142655324")</f>
        <v>#VALUE!</v>
      </c>
      <c r="I2462" t="s">
        <v>15573</v>
      </c>
      <c r="J2462" t="s">
        <v>15574</v>
      </c>
      <c r="K2462" t="s">
        <v>15575</v>
      </c>
      <c r="L2462" t="s">
        <v>15569</v>
      </c>
    </row>
    <row r="2463" spans="1:12" x14ac:dyDescent="0.25">
      <c r="A2463">
        <v>460892</v>
      </c>
      <c r="B2463">
        <v>677139</v>
      </c>
      <c r="D2463">
        <v>0</v>
      </c>
      <c r="E2463" t="s">
        <v>15577</v>
      </c>
      <c r="F2463" t="s">
        <v>15578</v>
      </c>
      <c r="G2463" t="s">
        <v>15579</v>
      </c>
      <c r="H2463" t="s">
        <v>15580</v>
      </c>
      <c r="I2463" t="s">
        <v>15581</v>
      </c>
      <c r="J2463" t="s">
        <v>15582</v>
      </c>
      <c r="K2463" t="s">
        <v>15583</v>
      </c>
      <c r="L2463" t="s">
        <v>15576</v>
      </c>
    </row>
    <row r="2464" spans="1:12" x14ac:dyDescent="0.25">
      <c r="A2464">
        <v>460892</v>
      </c>
      <c r="B2464">
        <v>461039</v>
      </c>
      <c r="D2464">
        <v>0</v>
      </c>
      <c r="E2464" t="s">
        <v>15585</v>
      </c>
      <c r="F2464" t="s">
        <v>15586</v>
      </c>
      <c r="G2464" t="s">
        <v>15587</v>
      </c>
      <c r="H2464" t="s">
        <v>15588</v>
      </c>
      <c r="I2464" t="s">
        <v>15589</v>
      </c>
      <c r="J2464" t="s">
        <v>15584</v>
      </c>
      <c r="K2464" t="s">
        <v>15590</v>
      </c>
      <c r="L2464" t="s">
        <v>15584</v>
      </c>
    </row>
    <row r="2465" spans="1:12" x14ac:dyDescent="0.25">
      <c r="A2465">
        <v>460892</v>
      </c>
      <c r="B2465">
        <v>670285</v>
      </c>
      <c r="D2465">
        <v>0</v>
      </c>
      <c r="E2465" t="s">
        <v>15592</v>
      </c>
      <c r="F2465" t="s">
        <v>15593</v>
      </c>
      <c r="G2465" t="s">
        <v>15594</v>
      </c>
      <c r="H2465" t="s">
        <v>15595</v>
      </c>
      <c r="I2465" t="s">
        <v>15596</v>
      </c>
      <c r="J2465" t="s">
        <v>15591</v>
      </c>
      <c r="K2465" t="s">
        <v>15597</v>
      </c>
      <c r="L2465" t="s">
        <v>15591</v>
      </c>
    </row>
    <row r="2466" spans="1:12" x14ac:dyDescent="0.25">
      <c r="A2466">
        <v>460914</v>
      </c>
      <c r="B2466">
        <v>461039</v>
      </c>
      <c r="D2466">
        <v>0</v>
      </c>
      <c r="E2466" t="s">
        <v>15599</v>
      </c>
      <c r="F2466" t="s">
        <v>15600</v>
      </c>
      <c r="G2466" t="s">
        <v>15601</v>
      </c>
      <c r="H2466" t="s">
        <v>15602</v>
      </c>
      <c r="I2466" t="s">
        <v>15603</v>
      </c>
      <c r="J2466" t="s">
        <v>15598</v>
      </c>
      <c r="K2466" t="s">
        <v>15604</v>
      </c>
      <c r="L2466" t="s">
        <v>15598</v>
      </c>
    </row>
    <row r="2467" spans="1:12" x14ac:dyDescent="0.25">
      <c r="A2467">
        <v>460914</v>
      </c>
      <c r="B2467">
        <v>1170291</v>
      </c>
      <c r="D2467">
        <v>0</v>
      </c>
      <c r="E2467" t="s">
        <v>15606</v>
      </c>
      <c r="F2467" t="s">
        <v>15607</v>
      </c>
      <c r="G2467" t="s">
        <v>15608</v>
      </c>
      <c r="H2467" t="e" vm="1081">
        <f>_FV(0,"030786541621177086")</f>
        <v>#VALUE!</v>
      </c>
      <c r="I2467" t="s">
        <v>15609</v>
      </c>
      <c r="J2467" t="s">
        <v>15610</v>
      </c>
      <c r="K2467" t="s">
        <v>15611</v>
      </c>
      <c r="L2467" t="s">
        <v>15605</v>
      </c>
    </row>
    <row r="2468" spans="1:12" x14ac:dyDescent="0.25">
      <c r="A2468">
        <v>460932</v>
      </c>
      <c r="B2468">
        <v>460937</v>
      </c>
      <c r="D2468">
        <v>0</v>
      </c>
      <c r="E2468" t="s">
        <v>15613</v>
      </c>
      <c r="F2468" t="s">
        <v>15614</v>
      </c>
      <c r="G2468" t="s">
        <v>15615</v>
      </c>
      <c r="H2468" t="e" vm="1082">
        <f>_FV(0,"002730141305915222")</f>
        <v>#VALUE!</v>
      </c>
      <c r="I2468" t="s">
        <v>15616</v>
      </c>
      <c r="J2468" t="s">
        <v>15617</v>
      </c>
      <c r="K2468" t="s">
        <v>15618</v>
      </c>
      <c r="L2468" t="s">
        <v>15612</v>
      </c>
    </row>
    <row r="2469" spans="1:12" x14ac:dyDescent="0.25">
      <c r="A2469">
        <v>460932</v>
      </c>
      <c r="B2469">
        <v>783484</v>
      </c>
      <c r="D2469" t="s">
        <v>15620</v>
      </c>
      <c r="E2469" t="s">
        <v>15621</v>
      </c>
      <c r="F2469" t="s">
        <v>15622</v>
      </c>
      <c r="G2469" t="s">
        <v>15623</v>
      </c>
      <c r="H2469" t="s">
        <v>15624</v>
      </c>
      <c r="I2469" t="s">
        <v>15625</v>
      </c>
      <c r="J2469" t="s">
        <v>15626</v>
      </c>
      <c r="K2469" t="s">
        <v>15627</v>
      </c>
      <c r="L2469" t="s">
        <v>15619</v>
      </c>
    </row>
    <row r="2470" spans="1:12" x14ac:dyDescent="0.25">
      <c r="A2470">
        <v>460932</v>
      </c>
      <c r="B2470">
        <v>461013</v>
      </c>
      <c r="D2470">
        <v>0</v>
      </c>
      <c r="E2470" t="s">
        <v>15629</v>
      </c>
      <c r="F2470" t="s">
        <v>15630</v>
      </c>
      <c r="G2470" t="s">
        <v>15631</v>
      </c>
      <c r="H2470" t="e" vm="1083">
        <f>_FV(0,"0025576055632540546")</f>
        <v>#VALUE!</v>
      </c>
      <c r="I2470" t="s">
        <v>15632</v>
      </c>
      <c r="J2470" t="s">
        <v>15633</v>
      </c>
      <c r="K2470" t="s">
        <v>15634</v>
      </c>
      <c r="L2470" t="s">
        <v>15628</v>
      </c>
    </row>
    <row r="2471" spans="1:12" x14ac:dyDescent="0.25">
      <c r="A2471">
        <v>460937</v>
      </c>
      <c r="B2471">
        <v>460945</v>
      </c>
      <c r="D2471">
        <v>0</v>
      </c>
      <c r="F2471">
        <v>462651</v>
      </c>
      <c r="G2471">
        <v>460945</v>
      </c>
      <c r="H2471" t="e" vm="87">
        <f>_FV(0,"001")</f>
        <v>#VALUE!</v>
      </c>
      <c r="I2471">
        <v>460937</v>
      </c>
      <c r="J2471" t="s">
        <v>1333</v>
      </c>
      <c r="K2471" t="s">
        <v>15635</v>
      </c>
      <c r="L2471" t="e" vm="87">
        <f>_FV(0,"001")</f>
        <v>#VALUE!</v>
      </c>
    </row>
    <row r="2472" spans="1:12" x14ac:dyDescent="0.25">
      <c r="A2472">
        <v>460937</v>
      </c>
      <c r="B2472">
        <v>460971</v>
      </c>
      <c r="D2472">
        <v>0</v>
      </c>
      <c r="F2472">
        <v>462675</v>
      </c>
      <c r="G2472">
        <v>460971</v>
      </c>
      <c r="H2472" t="s">
        <v>1783</v>
      </c>
      <c r="I2472">
        <v>460937</v>
      </c>
      <c r="J2472" t="s">
        <v>1783</v>
      </c>
      <c r="K2472" t="s">
        <v>15636</v>
      </c>
      <c r="L2472" t="s">
        <v>1783</v>
      </c>
    </row>
    <row r="2473" spans="1:12" x14ac:dyDescent="0.25">
      <c r="A2473">
        <v>460945</v>
      </c>
      <c r="B2473">
        <v>460963</v>
      </c>
      <c r="D2473">
        <v>0</v>
      </c>
      <c r="E2473" t="s">
        <v>15637</v>
      </c>
      <c r="F2473" t="s">
        <v>15638</v>
      </c>
      <c r="G2473" t="s">
        <v>15639</v>
      </c>
      <c r="H2473" t="s">
        <v>194</v>
      </c>
      <c r="I2473" t="s">
        <v>15640</v>
      </c>
      <c r="J2473" t="s">
        <v>194</v>
      </c>
      <c r="K2473" t="s">
        <v>15641</v>
      </c>
      <c r="L2473" t="s">
        <v>194</v>
      </c>
    </row>
    <row r="2474" spans="1:12" x14ac:dyDescent="0.25">
      <c r="A2474">
        <v>460945</v>
      </c>
      <c r="B2474">
        <v>460976</v>
      </c>
      <c r="D2474">
        <v>0</v>
      </c>
      <c r="F2474">
        <v>462683</v>
      </c>
      <c r="G2474">
        <v>460945</v>
      </c>
      <c r="H2474" t="e" vm="1084">
        <f>_FV(0,"018")</f>
        <v>#VALUE!</v>
      </c>
      <c r="I2474">
        <v>460976</v>
      </c>
      <c r="J2474" t="s">
        <v>697</v>
      </c>
      <c r="K2474" t="s">
        <v>15642</v>
      </c>
      <c r="L2474" t="e" vm="1084">
        <f>_FV(0,"018")</f>
        <v>#VALUE!</v>
      </c>
    </row>
    <row r="2475" spans="1:12" x14ac:dyDescent="0.25">
      <c r="A2475">
        <v>460963</v>
      </c>
      <c r="B2475">
        <v>460983</v>
      </c>
      <c r="D2475">
        <v>0</v>
      </c>
      <c r="E2475" t="s">
        <v>15644</v>
      </c>
      <c r="F2475" t="s">
        <v>15645</v>
      </c>
      <c r="G2475" t="s">
        <v>15646</v>
      </c>
      <c r="H2475" t="e" vm="1085">
        <f>_FV(0,"00021765617527043235")</f>
        <v>#VALUE!</v>
      </c>
      <c r="I2475" t="s">
        <v>15647</v>
      </c>
      <c r="J2475" t="s">
        <v>15648</v>
      </c>
      <c r="K2475" t="s">
        <v>15649</v>
      </c>
      <c r="L2475" t="s">
        <v>15643</v>
      </c>
    </row>
    <row r="2476" spans="1:12" x14ac:dyDescent="0.25">
      <c r="A2476">
        <v>460963</v>
      </c>
      <c r="B2476">
        <v>783308</v>
      </c>
      <c r="C2476" t="s">
        <v>15651</v>
      </c>
      <c r="D2476">
        <v>0</v>
      </c>
      <c r="E2476" t="s">
        <v>15652</v>
      </c>
      <c r="F2476" t="s">
        <v>15653</v>
      </c>
      <c r="G2476" t="s">
        <v>15654</v>
      </c>
      <c r="H2476" t="e" vm="1086">
        <f>_FV(0,"009799489579258708")</f>
        <v>#VALUE!</v>
      </c>
      <c r="I2476" t="s">
        <v>15655</v>
      </c>
      <c r="J2476" t="s">
        <v>15656</v>
      </c>
      <c r="K2476" t="s">
        <v>15657</v>
      </c>
      <c r="L2476" t="s">
        <v>15650</v>
      </c>
    </row>
    <row r="2477" spans="1:12" x14ac:dyDescent="0.25">
      <c r="A2477">
        <v>460971</v>
      </c>
      <c r="B2477">
        <v>461013</v>
      </c>
      <c r="D2477">
        <v>0</v>
      </c>
      <c r="F2477">
        <v>462715</v>
      </c>
      <c r="G2477">
        <v>461013</v>
      </c>
      <c r="H2477" t="s">
        <v>4848</v>
      </c>
      <c r="I2477">
        <v>460971</v>
      </c>
      <c r="J2477" t="s">
        <v>4848</v>
      </c>
      <c r="K2477" t="s">
        <v>15658</v>
      </c>
      <c r="L2477" t="s">
        <v>4848</v>
      </c>
    </row>
    <row r="2478" spans="1:12" x14ac:dyDescent="0.25">
      <c r="A2478">
        <v>460971</v>
      </c>
      <c r="B2478">
        <v>460976</v>
      </c>
      <c r="D2478">
        <v>0</v>
      </c>
      <c r="E2478" t="s">
        <v>15660</v>
      </c>
      <c r="F2478" t="s">
        <v>15661</v>
      </c>
      <c r="G2478" t="s">
        <v>15662</v>
      </c>
      <c r="H2478" t="e" vm="1087">
        <f>_FV(0,"0008566229703964893")</f>
        <v>#VALUE!</v>
      </c>
      <c r="I2478" t="s">
        <v>15663</v>
      </c>
      <c r="J2478" t="s">
        <v>15664</v>
      </c>
      <c r="K2478" t="s">
        <v>15665</v>
      </c>
      <c r="L2478" t="s">
        <v>15659</v>
      </c>
    </row>
    <row r="2479" spans="1:12" x14ac:dyDescent="0.25">
      <c r="A2479">
        <v>460976</v>
      </c>
      <c r="B2479">
        <v>460983</v>
      </c>
      <c r="D2479">
        <v>0</v>
      </c>
      <c r="F2479">
        <v>462691</v>
      </c>
      <c r="G2479">
        <v>460976</v>
      </c>
      <c r="H2479" t="e" vm="201">
        <f>_FV(0,"002")</f>
        <v>#VALUE!</v>
      </c>
      <c r="I2479">
        <v>460983</v>
      </c>
      <c r="J2479" t="s">
        <v>1534</v>
      </c>
      <c r="K2479" t="s">
        <v>15666</v>
      </c>
      <c r="L2479" t="e" vm="201">
        <f>_FV(0,"002")</f>
        <v>#VALUE!</v>
      </c>
    </row>
    <row r="2480" spans="1:12" x14ac:dyDescent="0.25">
      <c r="A2480">
        <v>460983</v>
      </c>
      <c r="B2480">
        <v>783369</v>
      </c>
      <c r="D2480">
        <v>0</v>
      </c>
      <c r="F2480">
        <v>804961</v>
      </c>
      <c r="G2480">
        <v>783369</v>
      </c>
      <c r="H2480" t="s">
        <v>15667</v>
      </c>
      <c r="I2480">
        <v>460983</v>
      </c>
      <c r="J2480" t="s">
        <v>15667</v>
      </c>
      <c r="K2480" t="s">
        <v>15668</v>
      </c>
      <c r="L2480" t="s">
        <v>15667</v>
      </c>
    </row>
    <row r="2481" spans="1:12" x14ac:dyDescent="0.25">
      <c r="A2481">
        <v>461013</v>
      </c>
      <c r="B2481">
        <v>783369</v>
      </c>
      <c r="D2481">
        <v>0</v>
      </c>
      <c r="E2481" t="s">
        <v>15670</v>
      </c>
      <c r="F2481" t="s">
        <v>15671</v>
      </c>
      <c r="G2481" t="s">
        <v>15672</v>
      </c>
      <c r="H2481" t="e" vm="1088">
        <f>_FV(0,"006351714386260485")</f>
        <v>#VALUE!</v>
      </c>
      <c r="I2481" t="s">
        <v>15673</v>
      </c>
      <c r="J2481" t="s">
        <v>15674</v>
      </c>
      <c r="K2481" t="s">
        <v>15675</v>
      </c>
      <c r="L2481" t="s">
        <v>15669</v>
      </c>
    </row>
    <row r="2482" spans="1:12" x14ac:dyDescent="0.25">
      <c r="A2482">
        <v>461039</v>
      </c>
      <c r="B2482">
        <v>677129</v>
      </c>
      <c r="D2482">
        <v>0</v>
      </c>
      <c r="E2482" t="s">
        <v>15677</v>
      </c>
      <c r="F2482" t="s">
        <v>15678</v>
      </c>
      <c r="G2482" t="s">
        <v>15679</v>
      </c>
      <c r="H2482" t="e" vm="1089">
        <f>_FV(0,"0018202493046344376")</f>
        <v>#VALUE!</v>
      </c>
      <c r="I2482" t="s">
        <v>15680</v>
      </c>
      <c r="J2482" t="s">
        <v>15681</v>
      </c>
      <c r="K2482" t="s">
        <v>15682</v>
      </c>
      <c r="L2482" t="s">
        <v>15676</v>
      </c>
    </row>
    <row r="2483" spans="1:12" x14ac:dyDescent="0.25">
      <c r="A2483">
        <v>461367</v>
      </c>
      <c r="B2483">
        <v>1017229</v>
      </c>
      <c r="D2483">
        <v>0</v>
      </c>
      <c r="E2483" t="s">
        <v>15684</v>
      </c>
      <c r="F2483" t="s">
        <v>15685</v>
      </c>
      <c r="G2483" t="s">
        <v>15686</v>
      </c>
      <c r="H2483" t="e" vm="1090">
        <f>_FV(0,"0042345273634198455")</f>
        <v>#VALUE!</v>
      </c>
      <c r="I2483" t="s">
        <v>15687</v>
      </c>
      <c r="J2483" t="s">
        <v>15688</v>
      </c>
      <c r="K2483" t="s">
        <v>15689</v>
      </c>
      <c r="L2483" t="s">
        <v>15683</v>
      </c>
    </row>
    <row r="2484" spans="1:12" x14ac:dyDescent="0.25">
      <c r="A2484">
        <v>461367</v>
      </c>
      <c r="B2484">
        <v>461376</v>
      </c>
      <c r="D2484">
        <v>0</v>
      </c>
      <c r="E2484" t="s">
        <v>15691</v>
      </c>
      <c r="F2484" t="s">
        <v>15692</v>
      </c>
      <c r="G2484" t="s">
        <v>15693</v>
      </c>
      <c r="H2484" t="e" vm="1091">
        <f>_FV(0,"0004428929146508659")</f>
        <v>#VALUE!</v>
      </c>
      <c r="I2484" t="s">
        <v>15694</v>
      </c>
      <c r="J2484" t="s">
        <v>15695</v>
      </c>
      <c r="K2484" t="s">
        <v>15696</v>
      </c>
      <c r="L2484" t="s">
        <v>15690</v>
      </c>
    </row>
    <row r="2485" spans="1:12" x14ac:dyDescent="0.25">
      <c r="A2485">
        <v>461367</v>
      </c>
      <c r="B2485">
        <v>461376</v>
      </c>
      <c r="D2485">
        <v>0</v>
      </c>
      <c r="E2485" t="s">
        <v>15698</v>
      </c>
      <c r="F2485" t="s">
        <v>15699</v>
      </c>
      <c r="G2485" t="s">
        <v>15700</v>
      </c>
      <c r="H2485" t="e" vm="1092">
        <f>_FV(0,"00028723416347241435")</f>
        <v>#VALUE!</v>
      </c>
      <c r="I2485" t="s">
        <v>15701</v>
      </c>
      <c r="J2485" t="s">
        <v>15702</v>
      </c>
      <c r="K2485" t="s">
        <v>15703</v>
      </c>
      <c r="L2485" t="s">
        <v>15697</v>
      </c>
    </row>
    <row r="2486" spans="1:12" x14ac:dyDescent="0.25">
      <c r="A2486">
        <v>461843</v>
      </c>
      <c r="B2486">
        <v>1602641</v>
      </c>
      <c r="D2486">
        <v>0</v>
      </c>
      <c r="F2486">
        <v>1823539</v>
      </c>
      <c r="G2486">
        <v>1602641</v>
      </c>
      <c r="H2486" t="s">
        <v>279</v>
      </c>
      <c r="I2486">
        <v>461843</v>
      </c>
      <c r="J2486" t="s">
        <v>279</v>
      </c>
      <c r="K2486" t="s">
        <v>15704</v>
      </c>
      <c r="L2486" t="s">
        <v>279</v>
      </c>
    </row>
    <row r="2487" spans="1:12" x14ac:dyDescent="0.25">
      <c r="A2487">
        <v>461843</v>
      </c>
      <c r="B2487">
        <v>1498856</v>
      </c>
      <c r="D2487" t="s">
        <v>15706</v>
      </c>
      <c r="E2487" t="s">
        <v>15707</v>
      </c>
      <c r="F2487" t="s">
        <v>15708</v>
      </c>
      <c r="G2487" t="s">
        <v>15709</v>
      </c>
      <c r="H2487" t="e" vm="1093">
        <f>_FV(0,"004548475410314644")</f>
        <v>#VALUE!</v>
      </c>
      <c r="I2487" t="s">
        <v>15710</v>
      </c>
      <c r="J2487" t="s">
        <v>15711</v>
      </c>
      <c r="K2487" t="s">
        <v>15712</v>
      </c>
      <c r="L2487" t="s">
        <v>15705</v>
      </c>
    </row>
    <row r="2488" spans="1:12" x14ac:dyDescent="0.25">
      <c r="A2488">
        <v>461843</v>
      </c>
      <c r="B2488">
        <v>1602649</v>
      </c>
      <c r="D2488">
        <v>0</v>
      </c>
      <c r="F2488">
        <v>1823532</v>
      </c>
      <c r="G2488">
        <v>461843</v>
      </c>
      <c r="H2488" t="s">
        <v>2292</v>
      </c>
      <c r="I2488">
        <v>1602649</v>
      </c>
      <c r="J2488" t="s">
        <v>2292</v>
      </c>
      <c r="K2488" t="s">
        <v>15713</v>
      </c>
      <c r="L2488" t="s">
        <v>2292</v>
      </c>
    </row>
    <row r="2489" spans="1:12" x14ac:dyDescent="0.25">
      <c r="A2489">
        <v>462606</v>
      </c>
      <c r="B2489">
        <v>462617</v>
      </c>
      <c r="D2489">
        <v>0</v>
      </c>
      <c r="E2489" t="s">
        <v>15715</v>
      </c>
      <c r="F2489" t="s">
        <v>15716</v>
      </c>
      <c r="G2489" t="s">
        <v>15717</v>
      </c>
      <c r="H2489" t="s">
        <v>15718</v>
      </c>
      <c r="I2489" t="s">
        <v>15719</v>
      </c>
      <c r="J2489" t="s">
        <v>15714</v>
      </c>
      <c r="K2489" t="s">
        <v>15720</v>
      </c>
      <c r="L2489" t="s">
        <v>15714</v>
      </c>
    </row>
    <row r="2490" spans="1:12" x14ac:dyDescent="0.25">
      <c r="A2490">
        <v>462606</v>
      </c>
      <c r="B2490">
        <v>462625</v>
      </c>
      <c r="C2490" t="s">
        <v>15722</v>
      </c>
      <c r="D2490">
        <v>0</v>
      </c>
      <c r="E2490" t="s">
        <v>15723</v>
      </c>
      <c r="F2490" t="s">
        <v>15724</v>
      </c>
      <c r="G2490" t="s">
        <v>15725</v>
      </c>
      <c r="H2490" t="s">
        <v>15726</v>
      </c>
      <c r="I2490" t="s">
        <v>15727</v>
      </c>
      <c r="J2490" t="s">
        <v>15721</v>
      </c>
      <c r="K2490" t="s">
        <v>15728</v>
      </c>
      <c r="L2490" t="s">
        <v>15721</v>
      </c>
    </row>
    <row r="2491" spans="1:12" x14ac:dyDescent="0.25">
      <c r="A2491">
        <v>462606</v>
      </c>
      <c r="B2491">
        <v>1084173</v>
      </c>
      <c r="C2491" t="s">
        <v>15730</v>
      </c>
      <c r="D2491" t="s">
        <v>1307</v>
      </c>
      <c r="E2491" t="s">
        <v>15731</v>
      </c>
      <c r="F2491" t="s">
        <v>15732</v>
      </c>
      <c r="G2491" t="s">
        <v>15733</v>
      </c>
      <c r="H2491" t="s">
        <v>15734</v>
      </c>
      <c r="I2491" t="s">
        <v>15735</v>
      </c>
      <c r="J2491" t="s">
        <v>15736</v>
      </c>
      <c r="K2491" t="s">
        <v>15737</v>
      </c>
      <c r="L2491" t="s">
        <v>15729</v>
      </c>
    </row>
    <row r="2492" spans="1:12" x14ac:dyDescent="0.25">
      <c r="A2492">
        <v>462617</v>
      </c>
      <c r="B2492">
        <v>462625</v>
      </c>
      <c r="D2492">
        <v>0</v>
      </c>
      <c r="E2492" t="s">
        <v>15739</v>
      </c>
      <c r="F2492" t="s">
        <v>15740</v>
      </c>
      <c r="G2492" t="s">
        <v>15741</v>
      </c>
      <c r="H2492" t="s">
        <v>15742</v>
      </c>
      <c r="I2492" t="s">
        <v>15743</v>
      </c>
      <c r="J2492" t="s">
        <v>15738</v>
      </c>
      <c r="K2492" t="s">
        <v>15744</v>
      </c>
      <c r="L2492" t="s">
        <v>15738</v>
      </c>
    </row>
    <row r="2493" spans="1:12" x14ac:dyDescent="0.25">
      <c r="A2493">
        <v>462617</v>
      </c>
      <c r="B2493">
        <v>462627</v>
      </c>
      <c r="D2493">
        <v>0</v>
      </c>
      <c r="F2493">
        <v>464533</v>
      </c>
      <c r="G2493">
        <v>462617</v>
      </c>
      <c r="H2493" t="e" vm="59">
        <f>_FV(0,"014")</f>
        <v>#VALUE!</v>
      </c>
      <c r="I2493">
        <v>462627</v>
      </c>
      <c r="J2493" t="s">
        <v>922</v>
      </c>
      <c r="K2493" t="s">
        <v>15745</v>
      </c>
      <c r="L2493" t="e" vm="59">
        <f>_FV(0,"014")</f>
        <v>#VALUE!</v>
      </c>
    </row>
    <row r="2494" spans="1:12" x14ac:dyDescent="0.25">
      <c r="A2494">
        <v>462625</v>
      </c>
      <c r="B2494">
        <v>462676</v>
      </c>
      <c r="D2494">
        <v>0</v>
      </c>
      <c r="F2494">
        <v>464484</v>
      </c>
      <c r="G2494">
        <v>462676</v>
      </c>
      <c r="H2494" t="s">
        <v>2841</v>
      </c>
      <c r="I2494">
        <v>462625</v>
      </c>
      <c r="J2494" t="s">
        <v>2841</v>
      </c>
      <c r="K2494" t="s">
        <v>15746</v>
      </c>
      <c r="L2494" t="s">
        <v>2841</v>
      </c>
    </row>
    <row r="2495" spans="1:12" x14ac:dyDescent="0.25">
      <c r="A2495">
        <v>462627</v>
      </c>
      <c r="B2495">
        <v>462634</v>
      </c>
      <c r="D2495">
        <v>0</v>
      </c>
      <c r="E2495" t="s">
        <v>15748</v>
      </c>
      <c r="F2495" t="s">
        <v>15749</v>
      </c>
      <c r="G2495" t="s">
        <v>15750</v>
      </c>
      <c r="H2495" t="s">
        <v>15751</v>
      </c>
      <c r="I2495" t="s">
        <v>15752</v>
      </c>
      <c r="J2495" t="s">
        <v>15747</v>
      </c>
      <c r="K2495" t="s">
        <v>15753</v>
      </c>
      <c r="L2495" t="s">
        <v>15747</v>
      </c>
    </row>
    <row r="2496" spans="1:12" x14ac:dyDescent="0.25">
      <c r="A2496">
        <v>462627</v>
      </c>
      <c r="B2496">
        <v>462644</v>
      </c>
      <c r="D2496">
        <v>0</v>
      </c>
      <c r="E2496" t="s">
        <v>15755</v>
      </c>
      <c r="F2496" t="s">
        <v>15756</v>
      </c>
      <c r="G2496" t="s">
        <v>15757</v>
      </c>
      <c r="H2496" t="e" vm="1094">
        <f>_FV(0,"019437769552881425")</f>
        <v>#VALUE!</v>
      </c>
      <c r="I2496" t="s">
        <v>15758</v>
      </c>
      <c r="J2496" t="s">
        <v>15759</v>
      </c>
      <c r="K2496" t="s">
        <v>15760</v>
      </c>
      <c r="L2496" t="s">
        <v>15754</v>
      </c>
    </row>
    <row r="2497" spans="1:12" x14ac:dyDescent="0.25">
      <c r="A2497">
        <v>462634</v>
      </c>
      <c r="B2497">
        <v>1812615</v>
      </c>
      <c r="D2497">
        <v>0</v>
      </c>
      <c r="E2497" t="s">
        <v>15762</v>
      </c>
      <c r="F2497" t="s">
        <v>15763</v>
      </c>
      <c r="G2497" t="s">
        <v>15764</v>
      </c>
      <c r="H2497" t="e" vm="1095">
        <f>_FV(0,"00126393884444876")</f>
        <v>#VALUE!</v>
      </c>
      <c r="I2497" t="s">
        <v>15765</v>
      </c>
      <c r="J2497" t="s">
        <v>15766</v>
      </c>
      <c r="K2497" t="s">
        <v>15767</v>
      </c>
      <c r="L2497" t="s">
        <v>15761</v>
      </c>
    </row>
    <row r="2498" spans="1:12" x14ac:dyDescent="0.25">
      <c r="A2498">
        <v>462634</v>
      </c>
      <c r="B2498">
        <v>462644</v>
      </c>
      <c r="D2498">
        <v>0</v>
      </c>
      <c r="E2498" t="s">
        <v>15768</v>
      </c>
      <c r="F2498" t="s">
        <v>15769</v>
      </c>
      <c r="G2498" t="s">
        <v>15770</v>
      </c>
      <c r="H2498" t="e" vm="1096">
        <f>_FV(0,"0016923056874461437")</f>
        <v>#VALUE!</v>
      </c>
      <c r="I2498" t="s">
        <v>15771</v>
      </c>
      <c r="J2498" t="s">
        <v>1438</v>
      </c>
      <c r="K2498" t="s">
        <v>15772</v>
      </c>
      <c r="L2498" t="s">
        <v>1433</v>
      </c>
    </row>
    <row r="2499" spans="1:12" x14ac:dyDescent="0.25">
      <c r="A2499">
        <v>462644</v>
      </c>
      <c r="B2499">
        <v>462658</v>
      </c>
      <c r="D2499">
        <v>0</v>
      </c>
      <c r="F2499">
        <v>464508</v>
      </c>
      <c r="G2499">
        <v>462644</v>
      </c>
      <c r="H2499" t="e" vm="12">
        <f>_FV(0,"005")</f>
        <v>#VALUE!</v>
      </c>
      <c r="I2499">
        <v>462658</v>
      </c>
      <c r="J2499" t="s">
        <v>194</v>
      </c>
      <c r="K2499" t="s">
        <v>15773</v>
      </c>
      <c r="L2499" t="e" vm="12">
        <f>_FV(0,"005")</f>
        <v>#VALUE!</v>
      </c>
    </row>
    <row r="2500" spans="1:12" x14ac:dyDescent="0.25">
      <c r="A2500">
        <v>462658</v>
      </c>
      <c r="B2500">
        <v>462668</v>
      </c>
      <c r="D2500">
        <v>0</v>
      </c>
      <c r="E2500" t="s">
        <v>15774</v>
      </c>
      <c r="F2500" t="s">
        <v>15775</v>
      </c>
      <c r="G2500" t="s">
        <v>15776</v>
      </c>
      <c r="H2500" t="s">
        <v>15777</v>
      </c>
      <c r="I2500" t="s">
        <v>15778</v>
      </c>
      <c r="J2500" t="s">
        <v>11633</v>
      </c>
      <c r="K2500" t="s">
        <v>15779</v>
      </c>
      <c r="L2500" t="s">
        <v>11633</v>
      </c>
    </row>
    <row r="2501" spans="1:12" x14ac:dyDescent="0.25">
      <c r="A2501">
        <v>462658</v>
      </c>
      <c r="B2501">
        <v>462676</v>
      </c>
      <c r="D2501">
        <v>0</v>
      </c>
      <c r="E2501" t="s">
        <v>15781</v>
      </c>
      <c r="F2501" t="s">
        <v>15782</v>
      </c>
      <c r="G2501" t="s">
        <v>15783</v>
      </c>
      <c r="H2501" t="s">
        <v>15784</v>
      </c>
      <c r="I2501" t="s">
        <v>15785</v>
      </c>
      <c r="J2501" t="s">
        <v>15780</v>
      </c>
      <c r="K2501" t="s">
        <v>15786</v>
      </c>
      <c r="L2501" t="s">
        <v>15780</v>
      </c>
    </row>
    <row r="2502" spans="1:12" x14ac:dyDescent="0.25">
      <c r="A2502">
        <v>462668</v>
      </c>
      <c r="B2502">
        <v>1213863</v>
      </c>
      <c r="C2502" t="s">
        <v>15788</v>
      </c>
      <c r="D2502" t="s">
        <v>15789</v>
      </c>
      <c r="E2502" t="s">
        <v>15790</v>
      </c>
      <c r="F2502" t="s">
        <v>15791</v>
      </c>
      <c r="G2502" t="s">
        <v>15792</v>
      </c>
      <c r="H2502" t="e" vm="1097">
        <f>_FV(0,"01263850086692457")</f>
        <v>#VALUE!</v>
      </c>
      <c r="I2502" t="s">
        <v>15793</v>
      </c>
      <c r="J2502" t="s">
        <v>15794</v>
      </c>
      <c r="K2502" t="s">
        <v>15795</v>
      </c>
      <c r="L2502" t="s">
        <v>15787</v>
      </c>
    </row>
    <row r="2503" spans="1:12" x14ac:dyDescent="0.25">
      <c r="A2503">
        <v>462668</v>
      </c>
      <c r="B2503">
        <v>462676</v>
      </c>
      <c r="D2503">
        <v>0</v>
      </c>
      <c r="E2503" t="s">
        <v>15796</v>
      </c>
      <c r="F2503" t="s">
        <v>15797</v>
      </c>
      <c r="G2503" t="s">
        <v>15798</v>
      </c>
      <c r="H2503" t="s">
        <v>15799</v>
      </c>
      <c r="I2503" t="s">
        <v>15800</v>
      </c>
      <c r="J2503" t="s">
        <v>15721</v>
      </c>
      <c r="K2503" t="s">
        <v>15801</v>
      </c>
      <c r="L2503" t="s">
        <v>15721</v>
      </c>
    </row>
    <row r="2504" spans="1:12" x14ac:dyDescent="0.25">
      <c r="A2504">
        <v>464856</v>
      </c>
      <c r="B2504">
        <v>925645</v>
      </c>
      <c r="D2504">
        <v>0</v>
      </c>
      <c r="E2504" t="s">
        <v>15803</v>
      </c>
      <c r="F2504" t="s">
        <v>15804</v>
      </c>
      <c r="G2504" t="s">
        <v>15805</v>
      </c>
      <c r="H2504" t="s">
        <v>15806</v>
      </c>
      <c r="I2504" t="s">
        <v>15807</v>
      </c>
      <c r="J2504" t="s">
        <v>15808</v>
      </c>
      <c r="K2504" t="s">
        <v>15809</v>
      </c>
      <c r="L2504" t="s">
        <v>15802</v>
      </c>
    </row>
    <row r="2505" spans="1:12" x14ac:dyDescent="0.25">
      <c r="A2505">
        <v>464856</v>
      </c>
      <c r="B2505">
        <v>464882</v>
      </c>
      <c r="D2505">
        <v>0</v>
      </c>
      <c r="E2505" t="s">
        <v>15811</v>
      </c>
      <c r="F2505" t="s">
        <v>15812</v>
      </c>
      <c r="G2505" t="s">
        <v>15813</v>
      </c>
      <c r="H2505" t="s">
        <v>15814</v>
      </c>
      <c r="I2505" t="s">
        <v>15815</v>
      </c>
      <c r="J2505" t="s">
        <v>15810</v>
      </c>
      <c r="K2505" t="s">
        <v>15816</v>
      </c>
      <c r="L2505" t="s">
        <v>15810</v>
      </c>
    </row>
    <row r="2506" spans="1:12" x14ac:dyDescent="0.25">
      <c r="A2506">
        <v>464856</v>
      </c>
      <c r="B2506">
        <v>925325</v>
      </c>
      <c r="D2506">
        <v>0</v>
      </c>
      <c r="E2506" t="s">
        <v>15818</v>
      </c>
      <c r="F2506" t="s">
        <v>15819</v>
      </c>
      <c r="G2506" t="s">
        <v>15820</v>
      </c>
      <c r="H2506" t="s">
        <v>15821</v>
      </c>
      <c r="I2506" t="s">
        <v>15822</v>
      </c>
      <c r="J2506" t="s">
        <v>15823</v>
      </c>
      <c r="K2506" t="s">
        <v>15824</v>
      </c>
      <c r="L2506" t="s">
        <v>15817</v>
      </c>
    </row>
    <row r="2507" spans="1:12" x14ac:dyDescent="0.25">
      <c r="A2507">
        <v>464882</v>
      </c>
      <c r="B2507">
        <v>925366</v>
      </c>
      <c r="D2507">
        <v>0</v>
      </c>
      <c r="F2507">
        <v>958852</v>
      </c>
      <c r="G2507">
        <v>925366</v>
      </c>
      <c r="H2507" t="e" vm="625">
        <f>_FV(0,"015")</f>
        <v>#VALUE!</v>
      </c>
      <c r="I2507">
        <v>464882</v>
      </c>
      <c r="J2507" t="s">
        <v>6474</v>
      </c>
      <c r="K2507" t="s">
        <v>15825</v>
      </c>
      <c r="L2507" t="e" vm="625">
        <f>_FV(0,"015")</f>
        <v>#VALUE!</v>
      </c>
    </row>
    <row r="2508" spans="1:12" x14ac:dyDescent="0.25">
      <c r="A2508">
        <v>464882</v>
      </c>
      <c r="B2508">
        <v>925520</v>
      </c>
      <c r="D2508">
        <v>0</v>
      </c>
      <c r="E2508" t="s">
        <v>15827</v>
      </c>
      <c r="F2508" t="s">
        <v>15828</v>
      </c>
      <c r="G2508" t="s">
        <v>15829</v>
      </c>
      <c r="H2508" t="s">
        <v>15830</v>
      </c>
      <c r="I2508" t="s">
        <v>15831</v>
      </c>
      <c r="J2508" t="s">
        <v>15832</v>
      </c>
      <c r="K2508" t="s">
        <v>15833</v>
      </c>
      <c r="L2508" t="s">
        <v>15826</v>
      </c>
    </row>
    <row r="2509" spans="1:12" x14ac:dyDescent="0.25">
      <c r="A2509">
        <v>465850</v>
      </c>
      <c r="B2509">
        <v>1600506</v>
      </c>
      <c r="D2509" t="s">
        <v>7142</v>
      </c>
      <c r="E2509" t="s">
        <v>15835</v>
      </c>
      <c r="F2509" t="s">
        <v>15836</v>
      </c>
      <c r="G2509" t="s">
        <v>15837</v>
      </c>
      <c r="H2509" t="e" vm="1098">
        <f>_FV(0,"023519991627614617")</f>
        <v>#VALUE!</v>
      </c>
      <c r="I2509" t="s">
        <v>15838</v>
      </c>
      <c r="J2509" t="s">
        <v>15839</v>
      </c>
      <c r="K2509" t="s">
        <v>15840</v>
      </c>
      <c r="L2509" t="s">
        <v>15834</v>
      </c>
    </row>
    <row r="2510" spans="1:12" x14ac:dyDescent="0.25">
      <c r="A2510">
        <v>465850</v>
      </c>
      <c r="B2510">
        <v>645664</v>
      </c>
      <c r="D2510">
        <v>0</v>
      </c>
      <c r="E2510" t="s">
        <v>15842</v>
      </c>
      <c r="F2510" t="s">
        <v>15843</v>
      </c>
      <c r="G2510" t="s">
        <v>15844</v>
      </c>
      <c r="H2510" t="s">
        <v>15845</v>
      </c>
      <c r="I2510" t="s">
        <v>15846</v>
      </c>
      <c r="J2510" t="s">
        <v>15847</v>
      </c>
      <c r="K2510" t="s">
        <v>15848</v>
      </c>
      <c r="L2510" t="s">
        <v>15841</v>
      </c>
    </row>
    <row r="2511" spans="1:12" x14ac:dyDescent="0.25">
      <c r="A2511">
        <v>465850</v>
      </c>
      <c r="B2511">
        <v>1535514</v>
      </c>
      <c r="C2511" t="s">
        <v>15850</v>
      </c>
      <c r="D2511" t="s">
        <v>15851</v>
      </c>
      <c r="E2511" t="s">
        <v>15852</v>
      </c>
      <c r="F2511" t="s">
        <v>15853</v>
      </c>
      <c r="G2511" t="s">
        <v>15854</v>
      </c>
      <c r="H2511" t="s">
        <v>15855</v>
      </c>
      <c r="I2511" t="s">
        <v>15856</v>
      </c>
      <c r="J2511" t="s">
        <v>15857</v>
      </c>
      <c r="K2511" t="s">
        <v>15858</v>
      </c>
      <c r="L2511" t="s">
        <v>15849</v>
      </c>
    </row>
    <row r="2512" spans="1:12" x14ac:dyDescent="0.25">
      <c r="A2512">
        <v>465862</v>
      </c>
      <c r="B2512">
        <v>465868</v>
      </c>
      <c r="C2512" t="s">
        <v>15860</v>
      </c>
      <c r="D2512" t="s">
        <v>15861</v>
      </c>
      <c r="E2512" t="s">
        <v>15862</v>
      </c>
      <c r="F2512" t="s">
        <v>15863</v>
      </c>
      <c r="G2512" t="s">
        <v>15864</v>
      </c>
      <c r="H2512" t="e" vm="1099">
        <f>_FV(0,"02029462931676729")</f>
        <v>#VALUE!</v>
      </c>
      <c r="I2512" t="s">
        <v>15865</v>
      </c>
      <c r="J2512" t="s">
        <v>15866</v>
      </c>
      <c r="K2512" t="s">
        <v>15867</v>
      </c>
      <c r="L2512" t="s">
        <v>15859</v>
      </c>
    </row>
    <row r="2513" spans="1:12" x14ac:dyDescent="0.25">
      <c r="A2513">
        <v>465862</v>
      </c>
      <c r="B2513">
        <v>645576</v>
      </c>
      <c r="D2513">
        <v>0</v>
      </c>
      <c r="E2513" t="s">
        <v>15869</v>
      </c>
      <c r="F2513" t="s">
        <v>15870</v>
      </c>
      <c r="G2513" t="s">
        <v>15871</v>
      </c>
      <c r="H2513" t="s">
        <v>15872</v>
      </c>
      <c r="I2513" t="s">
        <v>15873</v>
      </c>
      <c r="J2513" t="s">
        <v>15874</v>
      </c>
      <c r="K2513" t="s">
        <v>15875</v>
      </c>
      <c r="L2513" t="s">
        <v>15868</v>
      </c>
    </row>
    <row r="2514" spans="1:12" x14ac:dyDescent="0.25">
      <c r="A2514">
        <v>465862</v>
      </c>
      <c r="B2514">
        <v>1535744</v>
      </c>
      <c r="D2514" t="s">
        <v>15313</v>
      </c>
      <c r="E2514" t="s">
        <v>15877</v>
      </c>
      <c r="F2514" t="s">
        <v>15878</v>
      </c>
      <c r="G2514" t="s">
        <v>15879</v>
      </c>
      <c r="H2514" t="e" vm="1100">
        <f>_FV(0,"018574043070642247")</f>
        <v>#VALUE!</v>
      </c>
      <c r="I2514" t="s">
        <v>15880</v>
      </c>
      <c r="J2514" t="s">
        <v>15881</v>
      </c>
      <c r="K2514" t="s">
        <v>15882</v>
      </c>
      <c r="L2514" t="s">
        <v>15876</v>
      </c>
    </row>
    <row r="2515" spans="1:12" x14ac:dyDescent="0.25">
      <c r="A2515">
        <v>465868</v>
      </c>
      <c r="B2515">
        <v>646026</v>
      </c>
      <c r="D2515" t="s">
        <v>3604</v>
      </c>
      <c r="E2515" t="s">
        <v>15884</v>
      </c>
      <c r="F2515" t="s">
        <v>15885</v>
      </c>
      <c r="G2515" t="s">
        <v>15886</v>
      </c>
      <c r="H2515" t="s">
        <v>15887</v>
      </c>
      <c r="I2515" t="s">
        <v>15888</v>
      </c>
      <c r="J2515" t="s">
        <v>15889</v>
      </c>
      <c r="K2515" t="s">
        <v>15890</v>
      </c>
      <c r="L2515" t="s">
        <v>15883</v>
      </c>
    </row>
    <row r="2516" spans="1:12" x14ac:dyDescent="0.25">
      <c r="A2516">
        <v>465868</v>
      </c>
      <c r="B2516">
        <v>465883</v>
      </c>
      <c r="D2516" t="s">
        <v>3604</v>
      </c>
      <c r="E2516" t="s">
        <v>15892</v>
      </c>
      <c r="F2516" t="s">
        <v>15893</v>
      </c>
      <c r="G2516" t="s">
        <v>15894</v>
      </c>
      <c r="H2516" t="s">
        <v>15895</v>
      </c>
      <c r="I2516" t="s">
        <v>15896</v>
      </c>
      <c r="J2516" t="s">
        <v>15897</v>
      </c>
      <c r="K2516" t="s">
        <v>15898</v>
      </c>
      <c r="L2516" t="s">
        <v>15891</v>
      </c>
    </row>
    <row r="2517" spans="1:12" x14ac:dyDescent="0.25">
      <c r="A2517">
        <v>465877</v>
      </c>
      <c r="B2517">
        <v>465890</v>
      </c>
      <c r="D2517" t="s">
        <v>15900</v>
      </c>
      <c r="E2517" t="s">
        <v>15901</v>
      </c>
      <c r="F2517" t="s">
        <v>15902</v>
      </c>
      <c r="G2517" t="s">
        <v>15903</v>
      </c>
      <c r="H2517" t="s">
        <v>15904</v>
      </c>
      <c r="I2517" t="s">
        <v>15905</v>
      </c>
      <c r="J2517" t="s">
        <v>15906</v>
      </c>
      <c r="K2517" t="s">
        <v>15907</v>
      </c>
      <c r="L2517" t="s">
        <v>15899</v>
      </c>
    </row>
    <row r="2518" spans="1:12" x14ac:dyDescent="0.25">
      <c r="A2518">
        <v>465877</v>
      </c>
      <c r="B2518">
        <v>645922</v>
      </c>
      <c r="D2518" t="s">
        <v>15909</v>
      </c>
      <c r="E2518" t="s">
        <v>15910</v>
      </c>
      <c r="F2518" t="s">
        <v>15911</v>
      </c>
      <c r="G2518" t="s">
        <v>15912</v>
      </c>
      <c r="H2518" t="e" vm="1101">
        <f>_FV(0,"005895814119107548")</f>
        <v>#VALUE!</v>
      </c>
      <c r="I2518" t="s">
        <v>15913</v>
      </c>
      <c r="J2518" t="s">
        <v>15914</v>
      </c>
      <c r="K2518" t="s">
        <v>15915</v>
      </c>
      <c r="L2518" t="s">
        <v>15908</v>
      </c>
    </row>
    <row r="2519" spans="1:12" x14ac:dyDescent="0.25">
      <c r="A2519">
        <v>465877</v>
      </c>
      <c r="B2519">
        <v>1600506</v>
      </c>
      <c r="D2519" t="s">
        <v>9331</v>
      </c>
      <c r="E2519" t="s">
        <v>15917</v>
      </c>
      <c r="F2519" t="s">
        <v>15918</v>
      </c>
      <c r="G2519" t="s">
        <v>15919</v>
      </c>
      <c r="H2519" t="e" vm="1102">
        <f>_FV(0,"019749309816464472")</f>
        <v>#VALUE!</v>
      </c>
      <c r="I2519" t="s">
        <v>15920</v>
      </c>
      <c r="J2519" t="s">
        <v>15921</v>
      </c>
      <c r="K2519" t="s">
        <v>15922</v>
      </c>
      <c r="L2519" t="s">
        <v>15916</v>
      </c>
    </row>
    <row r="2520" spans="1:12" x14ac:dyDescent="0.25">
      <c r="A2520">
        <v>465883</v>
      </c>
      <c r="B2520">
        <v>646017</v>
      </c>
      <c r="D2520">
        <v>0</v>
      </c>
      <c r="E2520" t="s">
        <v>15924</v>
      </c>
      <c r="F2520" t="s">
        <v>15925</v>
      </c>
      <c r="G2520" t="s">
        <v>15926</v>
      </c>
      <c r="H2520" t="s">
        <v>15927</v>
      </c>
      <c r="I2520" t="s">
        <v>15928</v>
      </c>
      <c r="J2520" t="s">
        <v>15923</v>
      </c>
      <c r="K2520" t="s">
        <v>15929</v>
      </c>
      <c r="L2520" t="s">
        <v>15923</v>
      </c>
    </row>
    <row r="2521" spans="1:12" x14ac:dyDescent="0.25">
      <c r="A2521">
        <v>465890</v>
      </c>
      <c r="B2521">
        <v>645929</v>
      </c>
      <c r="D2521">
        <v>0</v>
      </c>
      <c r="E2521" t="s">
        <v>15931</v>
      </c>
      <c r="F2521" t="s">
        <v>15932</v>
      </c>
      <c r="G2521" t="s">
        <v>15933</v>
      </c>
      <c r="H2521" t="e" vm="1103">
        <f>_FV(0,"06358664968751877")</f>
        <v>#VALUE!</v>
      </c>
      <c r="I2521" t="s">
        <v>15934</v>
      </c>
      <c r="J2521" t="s">
        <v>15935</v>
      </c>
      <c r="K2521" t="s">
        <v>15936</v>
      </c>
      <c r="L2521" t="s">
        <v>15930</v>
      </c>
    </row>
    <row r="2522" spans="1:12" x14ac:dyDescent="0.25">
      <c r="A2522">
        <v>467585</v>
      </c>
      <c r="B2522">
        <v>961913</v>
      </c>
      <c r="D2522">
        <v>0</v>
      </c>
      <c r="E2522" t="s">
        <v>15938</v>
      </c>
      <c r="F2522" t="s">
        <v>15939</v>
      </c>
      <c r="G2522" t="s">
        <v>15940</v>
      </c>
      <c r="H2522" t="s">
        <v>15941</v>
      </c>
      <c r="I2522" t="s">
        <v>15942</v>
      </c>
      <c r="J2522" t="s">
        <v>15937</v>
      </c>
      <c r="K2522" t="s">
        <v>15943</v>
      </c>
      <c r="L2522" t="s">
        <v>15937</v>
      </c>
    </row>
    <row r="2523" spans="1:12" x14ac:dyDescent="0.25">
      <c r="A2523">
        <v>467585</v>
      </c>
      <c r="B2523">
        <v>961950</v>
      </c>
      <c r="D2523">
        <v>0</v>
      </c>
      <c r="E2523" t="s">
        <v>15945</v>
      </c>
      <c r="F2523" t="s">
        <v>15946</v>
      </c>
      <c r="G2523" t="s">
        <v>15947</v>
      </c>
      <c r="H2523" t="s">
        <v>15948</v>
      </c>
      <c r="I2523" t="s">
        <v>15949</v>
      </c>
      <c r="J2523" t="s">
        <v>15944</v>
      </c>
      <c r="K2523" t="s">
        <v>15950</v>
      </c>
      <c r="L2523" t="s">
        <v>15944</v>
      </c>
    </row>
    <row r="2524" spans="1:12" x14ac:dyDescent="0.25">
      <c r="A2524">
        <v>467606</v>
      </c>
      <c r="B2524">
        <v>467676</v>
      </c>
      <c r="D2524" t="s">
        <v>1768</v>
      </c>
      <c r="E2524" t="s">
        <v>15952</v>
      </c>
      <c r="F2524" t="s">
        <v>15953</v>
      </c>
      <c r="G2524" t="s">
        <v>15954</v>
      </c>
      <c r="H2524" t="s">
        <v>15955</v>
      </c>
      <c r="I2524" t="s">
        <v>15956</v>
      </c>
      <c r="J2524" t="s">
        <v>15957</v>
      </c>
      <c r="K2524" t="s">
        <v>15958</v>
      </c>
      <c r="L2524" t="s">
        <v>15951</v>
      </c>
    </row>
    <row r="2525" spans="1:12" x14ac:dyDescent="0.25">
      <c r="A2525">
        <v>467606</v>
      </c>
      <c r="B2525">
        <v>961931</v>
      </c>
      <c r="D2525">
        <v>0</v>
      </c>
      <c r="E2525" t="s">
        <v>15960</v>
      </c>
      <c r="F2525" t="s">
        <v>15961</v>
      </c>
      <c r="G2525" t="s">
        <v>15962</v>
      </c>
      <c r="H2525" t="s">
        <v>15963</v>
      </c>
      <c r="I2525" t="s">
        <v>15964</v>
      </c>
      <c r="J2525" t="s">
        <v>15959</v>
      </c>
      <c r="K2525" t="s">
        <v>15965</v>
      </c>
      <c r="L2525" t="s">
        <v>15959</v>
      </c>
    </row>
    <row r="2526" spans="1:12" x14ac:dyDescent="0.25">
      <c r="A2526">
        <v>467606</v>
      </c>
      <c r="B2526">
        <v>961950</v>
      </c>
      <c r="D2526">
        <v>0</v>
      </c>
      <c r="E2526" t="s">
        <v>15967</v>
      </c>
      <c r="F2526" t="s">
        <v>15968</v>
      </c>
      <c r="G2526" t="s">
        <v>15969</v>
      </c>
      <c r="H2526" t="s">
        <v>15970</v>
      </c>
      <c r="I2526" t="s">
        <v>15971</v>
      </c>
      <c r="J2526" t="s">
        <v>15966</v>
      </c>
      <c r="K2526" t="s">
        <v>15972</v>
      </c>
      <c r="L2526" t="s">
        <v>15966</v>
      </c>
    </row>
    <row r="2527" spans="1:12" x14ac:dyDescent="0.25">
      <c r="A2527">
        <v>467676</v>
      </c>
      <c r="B2527">
        <v>467677</v>
      </c>
      <c r="D2527">
        <v>0</v>
      </c>
      <c r="E2527" t="s">
        <v>15974</v>
      </c>
      <c r="F2527" t="s">
        <v>15975</v>
      </c>
      <c r="G2527" t="s">
        <v>15976</v>
      </c>
      <c r="H2527" t="s">
        <v>15977</v>
      </c>
      <c r="I2527" t="s">
        <v>15978</v>
      </c>
      <c r="J2527" t="s">
        <v>15973</v>
      </c>
      <c r="K2527" t="s">
        <v>15979</v>
      </c>
      <c r="L2527" t="s">
        <v>15973</v>
      </c>
    </row>
    <row r="2528" spans="1:12" x14ac:dyDescent="0.25">
      <c r="A2528">
        <v>467676</v>
      </c>
      <c r="B2528">
        <v>467677</v>
      </c>
      <c r="D2528">
        <v>0</v>
      </c>
      <c r="E2528" t="s">
        <v>15981</v>
      </c>
      <c r="F2528" t="s">
        <v>15982</v>
      </c>
      <c r="G2528" t="s">
        <v>15983</v>
      </c>
      <c r="H2528" t="s">
        <v>15984</v>
      </c>
      <c r="I2528" t="s">
        <v>15985</v>
      </c>
      <c r="J2528" t="s">
        <v>15980</v>
      </c>
      <c r="K2528" t="s">
        <v>15986</v>
      </c>
      <c r="L2528" t="s">
        <v>15980</v>
      </c>
    </row>
    <row r="2529" spans="1:12" x14ac:dyDescent="0.25">
      <c r="A2529">
        <v>467677</v>
      </c>
      <c r="B2529">
        <v>467849</v>
      </c>
      <c r="D2529" t="s">
        <v>15988</v>
      </c>
      <c r="E2529" t="s">
        <v>15989</v>
      </c>
      <c r="F2529" t="s">
        <v>15990</v>
      </c>
      <c r="G2529" t="s">
        <v>15991</v>
      </c>
      <c r="H2529" t="s">
        <v>15992</v>
      </c>
      <c r="I2529" t="s">
        <v>15993</v>
      </c>
      <c r="J2529" t="s">
        <v>15994</v>
      </c>
      <c r="K2529" t="s">
        <v>15995</v>
      </c>
      <c r="L2529" t="s">
        <v>15987</v>
      </c>
    </row>
    <row r="2530" spans="1:12" x14ac:dyDescent="0.25">
      <c r="A2530">
        <v>469707</v>
      </c>
      <c r="B2530">
        <v>469742</v>
      </c>
      <c r="D2530">
        <v>0</v>
      </c>
      <c r="E2530" t="s">
        <v>15997</v>
      </c>
      <c r="F2530" t="s">
        <v>15998</v>
      </c>
      <c r="G2530" t="s">
        <v>15999</v>
      </c>
      <c r="H2530" t="s">
        <v>16000</v>
      </c>
      <c r="I2530" t="s">
        <v>16001</v>
      </c>
      <c r="J2530" t="s">
        <v>16002</v>
      </c>
      <c r="K2530" t="s">
        <v>16003</v>
      </c>
      <c r="L2530" t="s">
        <v>15996</v>
      </c>
    </row>
    <row r="2531" spans="1:12" x14ac:dyDescent="0.25">
      <c r="A2531">
        <v>469707</v>
      </c>
      <c r="B2531">
        <v>469783</v>
      </c>
      <c r="D2531">
        <v>0</v>
      </c>
      <c r="E2531" t="s">
        <v>16005</v>
      </c>
      <c r="F2531" t="s">
        <v>16006</v>
      </c>
      <c r="G2531" t="s">
        <v>16007</v>
      </c>
      <c r="H2531" t="s">
        <v>16008</v>
      </c>
      <c r="I2531" t="s">
        <v>16009</v>
      </c>
      <c r="J2531" t="s">
        <v>16010</v>
      </c>
      <c r="K2531" t="s">
        <v>16011</v>
      </c>
      <c r="L2531" t="s">
        <v>16004</v>
      </c>
    </row>
    <row r="2532" spans="1:12" x14ac:dyDescent="0.25">
      <c r="A2532">
        <v>469707</v>
      </c>
      <c r="B2532">
        <v>469799</v>
      </c>
      <c r="D2532">
        <v>0</v>
      </c>
      <c r="E2532" t="s">
        <v>16013</v>
      </c>
      <c r="F2532" t="s">
        <v>16014</v>
      </c>
      <c r="G2532" t="s">
        <v>16015</v>
      </c>
      <c r="H2532" t="s">
        <v>16016</v>
      </c>
      <c r="I2532" t="s">
        <v>16017</v>
      </c>
      <c r="J2532" t="s">
        <v>16018</v>
      </c>
      <c r="K2532" t="s">
        <v>16019</v>
      </c>
      <c r="L2532" t="s">
        <v>16012</v>
      </c>
    </row>
    <row r="2533" spans="1:12" x14ac:dyDescent="0.25">
      <c r="A2533">
        <v>469742</v>
      </c>
      <c r="B2533">
        <v>1169218</v>
      </c>
      <c r="D2533">
        <v>0</v>
      </c>
      <c r="E2533" t="s">
        <v>16021</v>
      </c>
      <c r="F2533" t="s">
        <v>16022</v>
      </c>
      <c r="G2533" t="s">
        <v>16023</v>
      </c>
      <c r="H2533" t="s">
        <v>16024</v>
      </c>
      <c r="I2533" t="s">
        <v>16025</v>
      </c>
      <c r="J2533" t="s">
        <v>16026</v>
      </c>
      <c r="K2533" t="s">
        <v>16027</v>
      </c>
      <c r="L2533" t="s">
        <v>16020</v>
      </c>
    </row>
    <row r="2534" spans="1:12" x14ac:dyDescent="0.25">
      <c r="A2534">
        <v>469742</v>
      </c>
      <c r="B2534">
        <v>1169265</v>
      </c>
      <c r="D2534">
        <v>0</v>
      </c>
      <c r="E2534" t="s">
        <v>16029</v>
      </c>
      <c r="F2534" t="s">
        <v>16030</v>
      </c>
      <c r="G2534" t="s">
        <v>16031</v>
      </c>
      <c r="H2534" t="s">
        <v>16032</v>
      </c>
      <c r="I2534" t="s">
        <v>16033</v>
      </c>
      <c r="J2534" t="s">
        <v>16034</v>
      </c>
      <c r="K2534" t="s">
        <v>16035</v>
      </c>
      <c r="L2534" t="s">
        <v>16028</v>
      </c>
    </row>
    <row r="2535" spans="1:12" x14ac:dyDescent="0.25">
      <c r="A2535">
        <v>469754</v>
      </c>
      <c r="B2535">
        <v>469783</v>
      </c>
      <c r="D2535">
        <v>0</v>
      </c>
      <c r="E2535" t="s">
        <v>16037</v>
      </c>
      <c r="F2535" t="s">
        <v>16038</v>
      </c>
      <c r="G2535" t="s">
        <v>16039</v>
      </c>
      <c r="H2535" t="e" vm="1104">
        <f>_FV(0,"03637003573631595")</f>
        <v>#VALUE!</v>
      </c>
      <c r="I2535" t="s">
        <v>16040</v>
      </c>
      <c r="J2535" t="s">
        <v>16041</v>
      </c>
      <c r="K2535" t="s">
        <v>16042</v>
      </c>
      <c r="L2535" t="s">
        <v>16036</v>
      </c>
    </row>
    <row r="2536" spans="1:12" x14ac:dyDescent="0.25">
      <c r="A2536">
        <v>469754</v>
      </c>
      <c r="B2536">
        <v>469808</v>
      </c>
      <c r="D2536">
        <v>0</v>
      </c>
      <c r="E2536" t="s">
        <v>16044</v>
      </c>
      <c r="F2536" t="s">
        <v>16045</v>
      </c>
      <c r="G2536" t="s">
        <v>16046</v>
      </c>
      <c r="H2536" t="s">
        <v>16047</v>
      </c>
      <c r="I2536" t="s">
        <v>16048</v>
      </c>
      <c r="J2536" t="s">
        <v>16043</v>
      </c>
      <c r="K2536" t="s">
        <v>16049</v>
      </c>
      <c r="L2536" t="s">
        <v>16043</v>
      </c>
    </row>
    <row r="2537" spans="1:12" x14ac:dyDescent="0.25">
      <c r="A2537">
        <v>469754</v>
      </c>
      <c r="B2537">
        <v>469848</v>
      </c>
      <c r="D2537">
        <v>0</v>
      </c>
      <c r="E2537" t="s">
        <v>16051</v>
      </c>
      <c r="F2537" t="s">
        <v>16052</v>
      </c>
      <c r="G2537" t="s">
        <v>16053</v>
      </c>
      <c r="H2537" t="e" vm="1105">
        <f>_FV(0,"01507089927212113")</f>
        <v>#VALUE!</v>
      </c>
      <c r="I2537" t="s">
        <v>16054</v>
      </c>
      <c r="J2537" t="s">
        <v>16055</v>
      </c>
      <c r="K2537" t="s">
        <v>16056</v>
      </c>
      <c r="L2537" t="s">
        <v>16050</v>
      </c>
    </row>
    <row r="2538" spans="1:12" x14ac:dyDescent="0.25">
      <c r="A2538">
        <v>469783</v>
      </c>
      <c r="B2538">
        <v>469799</v>
      </c>
      <c r="D2538">
        <v>0</v>
      </c>
      <c r="E2538" t="s">
        <v>16058</v>
      </c>
      <c r="F2538" t="s">
        <v>16059</v>
      </c>
      <c r="G2538" t="s">
        <v>16060</v>
      </c>
      <c r="H2538" t="e" vm="1106">
        <f>_FV(0,"0554071093447018")</f>
        <v>#VALUE!</v>
      </c>
      <c r="I2538" t="s">
        <v>16061</v>
      </c>
      <c r="J2538" t="s">
        <v>16062</v>
      </c>
      <c r="K2538" t="s">
        <v>16063</v>
      </c>
      <c r="L2538" t="s">
        <v>16057</v>
      </c>
    </row>
    <row r="2539" spans="1:12" x14ac:dyDescent="0.25">
      <c r="A2539">
        <v>469799</v>
      </c>
      <c r="B2539">
        <v>469808</v>
      </c>
      <c r="D2539">
        <v>0</v>
      </c>
      <c r="F2539">
        <v>471362</v>
      </c>
      <c r="G2539">
        <v>469808</v>
      </c>
      <c r="H2539" t="s">
        <v>2152</v>
      </c>
      <c r="I2539">
        <v>469799</v>
      </c>
      <c r="J2539" t="s">
        <v>2152</v>
      </c>
      <c r="K2539" t="s">
        <v>16064</v>
      </c>
      <c r="L2539" t="s">
        <v>2152</v>
      </c>
    </row>
    <row r="2540" spans="1:12" x14ac:dyDescent="0.25">
      <c r="A2540">
        <v>469808</v>
      </c>
      <c r="B2540">
        <v>469848</v>
      </c>
      <c r="D2540">
        <v>0</v>
      </c>
      <c r="E2540" t="s">
        <v>16066</v>
      </c>
      <c r="F2540" t="s">
        <v>16067</v>
      </c>
      <c r="G2540" t="s">
        <v>16068</v>
      </c>
      <c r="H2540" t="e" vm="1107">
        <f>_FV(0,"052735150533383804")</f>
        <v>#VALUE!</v>
      </c>
      <c r="I2540" t="s">
        <v>16069</v>
      </c>
      <c r="J2540" t="s">
        <v>16070</v>
      </c>
      <c r="K2540" t="s">
        <v>16071</v>
      </c>
      <c r="L2540" t="s">
        <v>16065</v>
      </c>
    </row>
    <row r="2541" spans="1:12" x14ac:dyDescent="0.25">
      <c r="A2541">
        <v>469837</v>
      </c>
      <c r="B2541">
        <v>469848</v>
      </c>
      <c r="D2541">
        <v>0</v>
      </c>
      <c r="E2541" t="s">
        <v>16073</v>
      </c>
      <c r="F2541" t="s">
        <v>16074</v>
      </c>
      <c r="G2541" t="s">
        <v>16075</v>
      </c>
      <c r="H2541" t="e" vm="1108">
        <f>_FV(0,"0030323056474844796")</f>
        <v>#VALUE!</v>
      </c>
      <c r="I2541" t="s">
        <v>16076</v>
      </c>
      <c r="J2541" t="s">
        <v>16077</v>
      </c>
      <c r="K2541" t="s">
        <v>16078</v>
      </c>
      <c r="L2541" t="s">
        <v>16072</v>
      </c>
    </row>
    <row r="2542" spans="1:12" x14ac:dyDescent="0.25">
      <c r="A2542">
        <v>469837</v>
      </c>
      <c r="B2542">
        <v>1250125</v>
      </c>
      <c r="D2542">
        <v>0</v>
      </c>
      <c r="E2542" t="s">
        <v>16080</v>
      </c>
      <c r="F2542" t="s">
        <v>16081</v>
      </c>
      <c r="G2542" t="s">
        <v>16082</v>
      </c>
      <c r="H2542" t="e" vm="1109">
        <f>_FV(0,"2501097494631688")</f>
        <v>#VALUE!</v>
      </c>
      <c r="I2542" t="s">
        <v>16083</v>
      </c>
      <c r="J2542" t="s">
        <v>16084</v>
      </c>
      <c r="K2542" t="s">
        <v>16085</v>
      </c>
      <c r="L2542" t="s">
        <v>16079</v>
      </c>
    </row>
    <row r="2543" spans="1:12" x14ac:dyDescent="0.25">
      <c r="A2543">
        <v>472344</v>
      </c>
      <c r="B2543">
        <v>1810201</v>
      </c>
      <c r="D2543">
        <v>0</v>
      </c>
      <c r="E2543" t="s">
        <v>16087</v>
      </c>
      <c r="F2543" t="s">
        <v>16088</v>
      </c>
      <c r="G2543" t="s">
        <v>16089</v>
      </c>
      <c r="H2543" t="s">
        <v>16090</v>
      </c>
      <c r="I2543" t="s">
        <v>16091</v>
      </c>
      <c r="J2543" t="s">
        <v>16092</v>
      </c>
      <c r="K2543" t="s">
        <v>16093</v>
      </c>
      <c r="L2543" t="s">
        <v>16086</v>
      </c>
    </row>
    <row r="2544" spans="1:12" x14ac:dyDescent="0.25">
      <c r="A2544">
        <v>472605</v>
      </c>
      <c r="B2544">
        <v>1244075</v>
      </c>
      <c r="D2544">
        <v>0</v>
      </c>
      <c r="E2544" t="s">
        <v>16095</v>
      </c>
      <c r="F2544" t="s">
        <v>16096</v>
      </c>
      <c r="G2544" t="s">
        <v>16097</v>
      </c>
      <c r="H2544" t="e" vm="1110">
        <f>_FV(0,"01491044707184211")</f>
        <v>#VALUE!</v>
      </c>
      <c r="I2544" t="s">
        <v>16098</v>
      </c>
      <c r="J2544" t="s">
        <v>16099</v>
      </c>
      <c r="K2544" t="s">
        <v>16100</v>
      </c>
      <c r="L2544" t="s">
        <v>16094</v>
      </c>
    </row>
    <row r="2545" spans="1:12" x14ac:dyDescent="0.25">
      <c r="A2545">
        <v>472605</v>
      </c>
      <c r="B2545">
        <v>1447426</v>
      </c>
      <c r="C2545" t="s">
        <v>16102</v>
      </c>
      <c r="D2545" t="s">
        <v>11226</v>
      </c>
      <c r="E2545" t="s">
        <v>16103</v>
      </c>
      <c r="F2545" t="s">
        <v>16104</v>
      </c>
      <c r="G2545" t="s">
        <v>16105</v>
      </c>
      <c r="H2545" t="e" vm="1111">
        <f>_FV(0,"004854099418256964")</f>
        <v>#VALUE!</v>
      </c>
      <c r="I2545" t="s">
        <v>16106</v>
      </c>
      <c r="J2545" t="s">
        <v>16107</v>
      </c>
      <c r="K2545" t="s">
        <v>16108</v>
      </c>
      <c r="L2545" t="s">
        <v>16101</v>
      </c>
    </row>
    <row r="2546" spans="1:12" x14ac:dyDescent="0.25">
      <c r="A2546">
        <v>472648</v>
      </c>
      <c r="B2546">
        <v>1361908</v>
      </c>
      <c r="C2546" t="s">
        <v>16110</v>
      </c>
      <c r="D2546">
        <v>0</v>
      </c>
      <c r="E2546" t="s">
        <v>16111</v>
      </c>
      <c r="F2546" t="s">
        <v>16112</v>
      </c>
      <c r="G2546" t="s">
        <v>16113</v>
      </c>
      <c r="H2546" t="e" vm="1112">
        <f>_FV(0,"009428941699248275")</f>
        <v>#VALUE!</v>
      </c>
      <c r="I2546" t="s">
        <v>16114</v>
      </c>
      <c r="J2546" t="s">
        <v>16115</v>
      </c>
      <c r="K2546" t="s">
        <v>16116</v>
      </c>
      <c r="L2546" t="s">
        <v>16109</v>
      </c>
    </row>
    <row r="2547" spans="1:12" x14ac:dyDescent="0.25">
      <c r="A2547">
        <v>472648</v>
      </c>
      <c r="B2547">
        <v>1356527</v>
      </c>
      <c r="D2547">
        <v>0</v>
      </c>
      <c r="E2547" t="s">
        <v>16118</v>
      </c>
      <c r="F2547" t="s">
        <v>16119</v>
      </c>
      <c r="G2547" t="s">
        <v>16120</v>
      </c>
      <c r="H2547" t="s">
        <v>16121</v>
      </c>
      <c r="I2547" t="s">
        <v>16122</v>
      </c>
      <c r="J2547" t="s">
        <v>16117</v>
      </c>
      <c r="K2547" t="s">
        <v>16123</v>
      </c>
      <c r="L2547" t="s">
        <v>16117</v>
      </c>
    </row>
    <row r="2548" spans="1:12" x14ac:dyDescent="0.25">
      <c r="A2548">
        <v>472756</v>
      </c>
      <c r="B2548">
        <v>1356762</v>
      </c>
      <c r="D2548">
        <v>0</v>
      </c>
      <c r="F2548">
        <v>1536482</v>
      </c>
      <c r="G2548">
        <v>1356762</v>
      </c>
      <c r="H2548" t="e" vm="1113">
        <f>_FV(0,"565")</f>
        <v>#VALUE!</v>
      </c>
      <c r="I2548">
        <v>472756</v>
      </c>
      <c r="J2548" t="s">
        <v>16124</v>
      </c>
      <c r="K2548" t="s">
        <v>16125</v>
      </c>
      <c r="L2548" t="e" vm="1113">
        <f>_FV(0,"565")</f>
        <v>#VALUE!</v>
      </c>
    </row>
    <row r="2549" spans="1:12" x14ac:dyDescent="0.25">
      <c r="A2549">
        <v>472756</v>
      </c>
      <c r="B2549">
        <v>1068469</v>
      </c>
      <c r="D2549">
        <v>0</v>
      </c>
      <c r="E2549" t="s">
        <v>16127</v>
      </c>
      <c r="F2549" t="s">
        <v>16128</v>
      </c>
      <c r="G2549" t="s">
        <v>16129</v>
      </c>
      <c r="H2549" t="s">
        <v>16130</v>
      </c>
      <c r="I2549" t="s">
        <v>16131</v>
      </c>
      <c r="J2549" t="s">
        <v>16132</v>
      </c>
      <c r="K2549" t="s">
        <v>16133</v>
      </c>
      <c r="L2549" t="s">
        <v>16126</v>
      </c>
    </row>
    <row r="2550" spans="1:12" x14ac:dyDescent="0.25">
      <c r="A2550">
        <v>472756</v>
      </c>
      <c r="B2550">
        <v>1356754</v>
      </c>
      <c r="D2550">
        <v>0</v>
      </c>
      <c r="E2550" t="s">
        <v>16135</v>
      </c>
      <c r="F2550" t="s">
        <v>16136</v>
      </c>
      <c r="G2550" t="s">
        <v>16137</v>
      </c>
      <c r="H2550" t="s">
        <v>16138</v>
      </c>
      <c r="I2550" t="s">
        <v>16139</v>
      </c>
      <c r="J2550" t="s">
        <v>16140</v>
      </c>
      <c r="K2550" t="s">
        <v>16141</v>
      </c>
      <c r="L2550" t="s">
        <v>16134</v>
      </c>
    </row>
    <row r="2551" spans="1:12" x14ac:dyDescent="0.25">
      <c r="A2551">
        <v>472811</v>
      </c>
      <c r="B2551">
        <v>473403</v>
      </c>
      <c r="D2551">
        <v>0</v>
      </c>
      <c r="E2551" t="s">
        <v>16143</v>
      </c>
      <c r="F2551" t="s">
        <v>16144</v>
      </c>
      <c r="G2551" t="s">
        <v>16145</v>
      </c>
      <c r="H2551" t="e" vm="1114">
        <f>_FV(0,"0037725558745604812")</f>
        <v>#VALUE!</v>
      </c>
      <c r="I2551" t="s">
        <v>16146</v>
      </c>
      <c r="J2551" t="s">
        <v>16147</v>
      </c>
      <c r="K2551" t="s">
        <v>16148</v>
      </c>
      <c r="L2551" t="s">
        <v>16142</v>
      </c>
    </row>
    <row r="2552" spans="1:12" x14ac:dyDescent="0.25">
      <c r="A2552">
        <v>472811</v>
      </c>
      <c r="B2552">
        <v>473309</v>
      </c>
      <c r="D2552">
        <v>0</v>
      </c>
      <c r="E2552" t="s">
        <v>16150</v>
      </c>
      <c r="F2552" t="s">
        <v>16151</v>
      </c>
      <c r="G2552" t="s">
        <v>16152</v>
      </c>
      <c r="H2552" t="s">
        <v>16153</v>
      </c>
      <c r="I2552" t="s">
        <v>16154</v>
      </c>
      <c r="J2552" t="s">
        <v>16149</v>
      </c>
      <c r="K2552" t="s">
        <v>16155</v>
      </c>
      <c r="L2552" t="s">
        <v>16149</v>
      </c>
    </row>
    <row r="2553" spans="1:12" x14ac:dyDescent="0.25">
      <c r="A2553">
        <v>472811</v>
      </c>
      <c r="B2553">
        <v>1361096</v>
      </c>
      <c r="D2553" t="s">
        <v>1845</v>
      </c>
      <c r="E2553" t="s">
        <v>16157</v>
      </c>
      <c r="F2553" t="s">
        <v>16158</v>
      </c>
      <c r="G2553" t="s">
        <v>16159</v>
      </c>
      <c r="H2553" t="s">
        <v>16160</v>
      </c>
      <c r="I2553" t="s">
        <v>16161</v>
      </c>
      <c r="J2553" t="s">
        <v>16162</v>
      </c>
      <c r="K2553" t="s">
        <v>16163</v>
      </c>
      <c r="L2553" t="s">
        <v>16156</v>
      </c>
    </row>
    <row r="2554" spans="1:12" x14ac:dyDescent="0.25">
      <c r="A2554">
        <v>472818</v>
      </c>
      <c r="B2554">
        <v>473249</v>
      </c>
      <c r="D2554">
        <v>0</v>
      </c>
      <c r="F2554">
        <v>474759</v>
      </c>
      <c r="G2554">
        <v>473249</v>
      </c>
      <c r="H2554" t="e" vm="77">
        <f>_FV(0,"056")</f>
        <v>#VALUE!</v>
      </c>
      <c r="I2554">
        <v>472818</v>
      </c>
      <c r="J2554" t="s">
        <v>1194</v>
      </c>
      <c r="K2554" t="s">
        <v>16164</v>
      </c>
      <c r="L2554" t="e" vm="77">
        <f>_FV(0,"056")</f>
        <v>#VALUE!</v>
      </c>
    </row>
    <row r="2555" spans="1:12" x14ac:dyDescent="0.25">
      <c r="A2555">
        <v>472818</v>
      </c>
      <c r="B2555">
        <v>1363657</v>
      </c>
      <c r="D2555">
        <v>0</v>
      </c>
      <c r="E2555" t="s">
        <v>16166</v>
      </c>
      <c r="F2555" t="s">
        <v>16167</v>
      </c>
      <c r="G2555" t="s">
        <v>16168</v>
      </c>
      <c r="H2555" t="e" vm="1115">
        <f>_FV(0,"02981736678060659")</f>
        <v>#VALUE!</v>
      </c>
      <c r="I2555" t="s">
        <v>16169</v>
      </c>
      <c r="J2555" t="s">
        <v>16170</v>
      </c>
      <c r="K2555" t="s">
        <v>16171</v>
      </c>
      <c r="L2555" t="s">
        <v>16165</v>
      </c>
    </row>
    <row r="2556" spans="1:12" x14ac:dyDescent="0.25">
      <c r="A2556">
        <v>472818</v>
      </c>
      <c r="B2556">
        <v>473274</v>
      </c>
      <c r="D2556">
        <v>0</v>
      </c>
      <c r="E2556" t="s">
        <v>16173</v>
      </c>
      <c r="F2556" t="s">
        <v>16174</v>
      </c>
      <c r="G2556" t="s">
        <v>16175</v>
      </c>
      <c r="H2556" t="s">
        <v>16176</v>
      </c>
      <c r="I2556" t="s">
        <v>16177</v>
      </c>
      <c r="J2556" t="s">
        <v>16178</v>
      </c>
      <c r="K2556" t="s">
        <v>16179</v>
      </c>
      <c r="L2556" t="s">
        <v>16172</v>
      </c>
    </row>
    <row r="2557" spans="1:12" x14ac:dyDescent="0.25">
      <c r="A2557">
        <v>472921</v>
      </c>
      <c r="B2557">
        <v>472922</v>
      </c>
      <c r="D2557">
        <v>1</v>
      </c>
      <c r="F2557">
        <v>474495</v>
      </c>
      <c r="G2557">
        <v>472922</v>
      </c>
      <c r="H2557" t="e" vm="355">
        <f>_FV(0,"048")</f>
        <v>#VALUE!</v>
      </c>
      <c r="I2557">
        <v>472921</v>
      </c>
      <c r="J2557" t="s">
        <v>3758</v>
      </c>
      <c r="K2557" t="s">
        <v>16180</v>
      </c>
      <c r="L2557" t="e" vm="355">
        <f>_FV(0,"048")</f>
        <v>#VALUE!</v>
      </c>
    </row>
    <row r="2558" spans="1:12" x14ac:dyDescent="0.25">
      <c r="A2558">
        <v>472921</v>
      </c>
      <c r="B2558">
        <v>473257</v>
      </c>
      <c r="D2558">
        <v>0</v>
      </c>
      <c r="E2558" t="s">
        <v>16182</v>
      </c>
      <c r="F2558" t="s">
        <v>16183</v>
      </c>
      <c r="G2558" t="s">
        <v>16184</v>
      </c>
      <c r="H2558" t="e" vm="1116">
        <f>_FV(0,"051579955571163856")</f>
        <v>#VALUE!</v>
      </c>
      <c r="I2558" t="s">
        <v>16185</v>
      </c>
      <c r="J2558" t="s">
        <v>16186</v>
      </c>
      <c r="K2558" t="s">
        <v>16187</v>
      </c>
      <c r="L2558" t="s">
        <v>16181</v>
      </c>
    </row>
    <row r="2559" spans="1:12" x14ac:dyDescent="0.25">
      <c r="A2559">
        <v>472921</v>
      </c>
      <c r="B2559">
        <v>473274</v>
      </c>
      <c r="D2559">
        <v>0</v>
      </c>
      <c r="E2559" t="s">
        <v>16189</v>
      </c>
      <c r="F2559" t="s">
        <v>16190</v>
      </c>
      <c r="G2559" t="s">
        <v>16191</v>
      </c>
      <c r="H2559" t="e" vm="1117">
        <f>_FV(0,"07297276328185305")</f>
        <v>#VALUE!</v>
      </c>
      <c r="I2559" t="s">
        <v>16192</v>
      </c>
      <c r="J2559" t="s">
        <v>16193</v>
      </c>
      <c r="K2559" t="s">
        <v>16194</v>
      </c>
      <c r="L2559" t="s">
        <v>16188</v>
      </c>
    </row>
    <row r="2560" spans="1:12" x14ac:dyDescent="0.25">
      <c r="A2560">
        <v>472922</v>
      </c>
      <c r="B2560">
        <v>473308</v>
      </c>
      <c r="D2560">
        <v>0</v>
      </c>
      <c r="E2560" t="s">
        <v>16196</v>
      </c>
      <c r="F2560" t="s">
        <v>16197</v>
      </c>
      <c r="G2560" t="s">
        <v>16198</v>
      </c>
      <c r="H2560" t="s">
        <v>16199</v>
      </c>
      <c r="I2560" t="s">
        <v>16200</v>
      </c>
      <c r="J2560" t="s">
        <v>16201</v>
      </c>
      <c r="K2560" t="s">
        <v>16202</v>
      </c>
      <c r="L2560" t="s">
        <v>16195</v>
      </c>
    </row>
    <row r="2561" spans="1:12" x14ac:dyDescent="0.25">
      <c r="A2561">
        <v>472922</v>
      </c>
      <c r="B2561">
        <v>473403</v>
      </c>
      <c r="D2561">
        <v>0</v>
      </c>
      <c r="E2561" t="s">
        <v>16204</v>
      </c>
      <c r="F2561" t="s">
        <v>16205</v>
      </c>
      <c r="G2561" t="s">
        <v>16206</v>
      </c>
      <c r="H2561" t="s">
        <v>16207</v>
      </c>
      <c r="I2561" t="s">
        <v>16208</v>
      </c>
      <c r="J2561" t="s">
        <v>16209</v>
      </c>
      <c r="K2561" t="s">
        <v>16210</v>
      </c>
      <c r="L2561" t="s">
        <v>16203</v>
      </c>
    </row>
    <row r="2562" spans="1:12" x14ac:dyDescent="0.25">
      <c r="A2562">
        <v>473215</v>
      </c>
      <c r="B2562">
        <v>473226</v>
      </c>
      <c r="D2562">
        <v>0</v>
      </c>
      <c r="E2562" t="s">
        <v>16212</v>
      </c>
      <c r="F2562" t="s">
        <v>16213</v>
      </c>
      <c r="G2562" t="s">
        <v>16214</v>
      </c>
      <c r="H2562" t="s">
        <v>16215</v>
      </c>
      <c r="I2562" t="s">
        <v>16216</v>
      </c>
      <c r="J2562" t="s">
        <v>16217</v>
      </c>
      <c r="K2562" t="s">
        <v>16218</v>
      </c>
      <c r="L2562" t="s">
        <v>16211</v>
      </c>
    </row>
    <row r="2563" spans="1:12" x14ac:dyDescent="0.25">
      <c r="A2563">
        <v>473215</v>
      </c>
      <c r="B2563">
        <v>473226</v>
      </c>
      <c r="D2563">
        <v>0</v>
      </c>
      <c r="E2563" t="s">
        <v>16220</v>
      </c>
      <c r="F2563" t="s">
        <v>16221</v>
      </c>
      <c r="G2563" t="s">
        <v>16222</v>
      </c>
      <c r="H2563" t="s">
        <v>16223</v>
      </c>
      <c r="I2563" t="s">
        <v>16224</v>
      </c>
      <c r="J2563" t="s">
        <v>16225</v>
      </c>
      <c r="K2563" t="s">
        <v>16226</v>
      </c>
      <c r="L2563" t="s">
        <v>16219</v>
      </c>
    </row>
    <row r="2564" spans="1:12" x14ac:dyDescent="0.25">
      <c r="A2564">
        <v>473215</v>
      </c>
      <c r="B2564">
        <v>1854806</v>
      </c>
      <c r="C2564" t="s">
        <v>16227</v>
      </c>
      <c r="D2564">
        <v>0</v>
      </c>
      <c r="E2564" t="s">
        <v>16228</v>
      </c>
      <c r="H2564" t="s">
        <v>187</v>
      </c>
      <c r="J2564">
        <v>0</v>
      </c>
      <c r="K2564" t="s">
        <v>16229</v>
      </c>
      <c r="L2564">
        <v>0</v>
      </c>
    </row>
    <row r="2565" spans="1:12" x14ac:dyDescent="0.25">
      <c r="A2565">
        <v>473226</v>
      </c>
      <c r="B2565">
        <v>1122561</v>
      </c>
      <c r="D2565" t="s">
        <v>1990</v>
      </c>
      <c r="E2565" t="s">
        <v>16231</v>
      </c>
      <c r="F2565" t="s">
        <v>16232</v>
      </c>
      <c r="G2565" t="s">
        <v>16233</v>
      </c>
      <c r="H2565" t="e" vm="1118">
        <f>_FV(0,"004591792046639298")</f>
        <v>#VALUE!</v>
      </c>
      <c r="I2565" t="s">
        <v>16234</v>
      </c>
      <c r="J2565" t="s">
        <v>16235</v>
      </c>
      <c r="K2565" t="s">
        <v>16236</v>
      </c>
      <c r="L2565" t="s">
        <v>16230</v>
      </c>
    </row>
    <row r="2566" spans="1:12" x14ac:dyDescent="0.25">
      <c r="A2566">
        <v>473249</v>
      </c>
      <c r="B2566">
        <v>473257</v>
      </c>
      <c r="D2566">
        <v>0</v>
      </c>
      <c r="F2566">
        <v>474767</v>
      </c>
      <c r="G2566">
        <v>473257</v>
      </c>
      <c r="H2566" t="e" vm="1">
        <f>_FV(0,"03")</f>
        <v>#VALUE!</v>
      </c>
      <c r="I2566">
        <v>473249</v>
      </c>
      <c r="J2566" t="s">
        <v>12</v>
      </c>
      <c r="K2566" t="s">
        <v>16237</v>
      </c>
      <c r="L2566" t="e" vm="1">
        <f>_FV(0,"03")</f>
        <v>#VALUE!</v>
      </c>
    </row>
    <row r="2567" spans="1:12" x14ac:dyDescent="0.25">
      <c r="A2567">
        <v>473249</v>
      </c>
      <c r="B2567">
        <v>1363664</v>
      </c>
      <c r="D2567">
        <v>0</v>
      </c>
      <c r="E2567" t="s">
        <v>16239</v>
      </c>
      <c r="F2567" t="s">
        <v>16240</v>
      </c>
      <c r="G2567" t="s">
        <v>16241</v>
      </c>
      <c r="H2567" t="s">
        <v>16242</v>
      </c>
      <c r="I2567" t="s">
        <v>16243</v>
      </c>
      <c r="J2567" t="s">
        <v>16244</v>
      </c>
      <c r="K2567" t="s">
        <v>16245</v>
      </c>
      <c r="L2567" t="s">
        <v>16238</v>
      </c>
    </row>
    <row r="2568" spans="1:12" x14ac:dyDescent="0.25">
      <c r="A2568">
        <v>473257</v>
      </c>
      <c r="B2568">
        <v>473274</v>
      </c>
      <c r="D2568">
        <v>0</v>
      </c>
      <c r="E2568" t="s">
        <v>16247</v>
      </c>
      <c r="F2568" t="s">
        <v>16248</v>
      </c>
      <c r="G2568" t="s">
        <v>16249</v>
      </c>
      <c r="H2568" t="s">
        <v>16250</v>
      </c>
      <c r="I2568" t="s">
        <v>16251</v>
      </c>
      <c r="J2568" t="s">
        <v>16246</v>
      </c>
      <c r="K2568" t="s">
        <v>16252</v>
      </c>
      <c r="L2568" t="s">
        <v>16246</v>
      </c>
    </row>
    <row r="2569" spans="1:12" x14ac:dyDescent="0.25">
      <c r="A2569">
        <v>473270</v>
      </c>
      <c r="B2569">
        <v>473280</v>
      </c>
      <c r="D2569">
        <v>0</v>
      </c>
      <c r="E2569" t="s">
        <v>16254</v>
      </c>
      <c r="F2569" t="s">
        <v>16255</v>
      </c>
      <c r="G2569" t="s">
        <v>16256</v>
      </c>
      <c r="H2569" t="e" vm="1119">
        <f>_FV(0,"004479080759318157")</f>
        <v>#VALUE!</v>
      </c>
      <c r="I2569" t="s">
        <v>16257</v>
      </c>
      <c r="J2569" t="s">
        <v>16258</v>
      </c>
      <c r="K2569" t="s">
        <v>16259</v>
      </c>
      <c r="L2569" t="s">
        <v>16253</v>
      </c>
    </row>
    <row r="2570" spans="1:12" x14ac:dyDescent="0.25">
      <c r="A2570">
        <v>473270</v>
      </c>
      <c r="B2570">
        <v>473280</v>
      </c>
      <c r="D2570">
        <v>0</v>
      </c>
      <c r="E2570" t="s">
        <v>16261</v>
      </c>
      <c r="F2570" t="s">
        <v>16262</v>
      </c>
      <c r="G2570" t="s">
        <v>16263</v>
      </c>
      <c r="H2570" t="e" vm="1120">
        <f>_FV(0,"004249886994331287")</f>
        <v>#VALUE!</v>
      </c>
      <c r="I2570" t="s">
        <v>16264</v>
      </c>
      <c r="J2570" t="s">
        <v>16265</v>
      </c>
      <c r="K2570" t="s">
        <v>16266</v>
      </c>
      <c r="L2570" t="s">
        <v>16260</v>
      </c>
    </row>
    <row r="2571" spans="1:12" x14ac:dyDescent="0.25">
      <c r="A2571">
        <v>473308</v>
      </c>
      <c r="B2571">
        <v>473309</v>
      </c>
      <c r="D2571">
        <v>0</v>
      </c>
      <c r="F2571">
        <v>474815</v>
      </c>
      <c r="G2571">
        <v>473309</v>
      </c>
      <c r="H2571" t="s">
        <v>194</v>
      </c>
      <c r="I2571">
        <v>473308</v>
      </c>
      <c r="J2571" t="s">
        <v>194</v>
      </c>
      <c r="K2571" t="s">
        <v>16267</v>
      </c>
      <c r="L2571" t="s">
        <v>194</v>
      </c>
    </row>
    <row r="2572" spans="1:12" x14ac:dyDescent="0.25">
      <c r="A2572">
        <v>473308</v>
      </c>
      <c r="B2572">
        <v>473403</v>
      </c>
      <c r="D2572">
        <v>0</v>
      </c>
      <c r="E2572" t="s">
        <v>16268</v>
      </c>
      <c r="F2572" t="s">
        <v>16269</v>
      </c>
      <c r="G2572" t="s">
        <v>16270</v>
      </c>
      <c r="H2572" t="e" vm="87">
        <f>_FV(0,"001")</f>
        <v>#VALUE!</v>
      </c>
      <c r="I2572" t="s">
        <v>16271</v>
      </c>
      <c r="J2572" t="s">
        <v>1333</v>
      </c>
      <c r="K2572" t="s">
        <v>16272</v>
      </c>
      <c r="L2572" t="e" vm="87">
        <f>_FV(0,"001")</f>
        <v>#VALUE!</v>
      </c>
    </row>
    <row r="2573" spans="1:12" x14ac:dyDescent="0.25">
      <c r="A2573">
        <v>473309</v>
      </c>
      <c r="B2573">
        <v>1361153</v>
      </c>
      <c r="D2573" t="s">
        <v>2961</v>
      </c>
      <c r="E2573" t="s">
        <v>16274</v>
      </c>
      <c r="F2573" t="s">
        <v>16275</v>
      </c>
      <c r="G2573" t="s">
        <v>16276</v>
      </c>
      <c r="H2573" t="s">
        <v>16277</v>
      </c>
      <c r="I2573" t="s">
        <v>16278</v>
      </c>
      <c r="J2573" t="s">
        <v>16279</v>
      </c>
      <c r="K2573" t="s">
        <v>16280</v>
      </c>
      <c r="L2573" t="s">
        <v>16273</v>
      </c>
    </row>
    <row r="2574" spans="1:12" x14ac:dyDescent="0.25">
      <c r="A2574">
        <v>473323</v>
      </c>
      <c r="B2574">
        <v>473332</v>
      </c>
      <c r="D2574">
        <v>0</v>
      </c>
      <c r="E2574" t="s">
        <v>16282</v>
      </c>
      <c r="F2574" t="s">
        <v>16283</v>
      </c>
      <c r="G2574" t="s">
        <v>16284</v>
      </c>
      <c r="H2574" t="s">
        <v>16285</v>
      </c>
      <c r="I2574" t="s">
        <v>16286</v>
      </c>
      <c r="J2574" t="s">
        <v>16281</v>
      </c>
      <c r="K2574" t="s">
        <v>16287</v>
      </c>
      <c r="L2574" t="s">
        <v>16281</v>
      </c>
    </row>
    <row r="2575" spans="1:12" x14ac:dyDescent="0.25">
      <c r="A2575">
        <v>473323</v>
      </c>
      <c r="B2575">
        <v>473332</v>
      </c>
      <c r="D2575">
        <v>0</v>
      </c>
      <c r="E2575" t="s">
        <v>16289</v>
      </c>
      <c r="F2575" t="s">
        <v>16290</v>
      </c>
      <c r="G2575" t="s">
        <v>16291</v>
      </c>
      <c r="H2575" t="s">
        <v>16292</v>
      </c>
      <c r="I2575" t="s">
        <v>16293</v>
      </c>
      <c r="J2575" t="s">
        <v>16288</v>
      </c>
      <c r="K2575" t="s">
        <v>16294</v>
      </c>
      <c r="L2575" t="s">
        <v>16288</v>
      </c>
    </row>
    <row r="2576" spans="1:12" x14ac:dyDescent="0.25">
      <c r="A2576">
        <v>473332</v>
      </c>
      <c r="B2576">
        <v>659061</v>
      </c>
      <c r="D2576" t="s">
        <v>10659</v>
      </c>
      <c r="E2576" t="s">
        <v>16296</v>
      </c>
      <c r="F2576" t="s">
        <v>16297</v>
      </c>
      <c r="G2576" t="s">
        <v>16298</v>
      </c>
      <c r="H2576" t="e" vm="1121">
        <f>_FV(0,"001633914420988252")</f>
        <v>#VALUE!</v>
      </c>
      <c r="I2576" t="s">
        <v>16299</v>
      </c>
      <c r="J2576" t="s">
        <v>16300</v>
      </c>
      <c r="K2576" t="s">
        <v>16301</v>
      </c>
      <c r="L2576" t="s">
        <v>16295</v>
      </c>
    </row>
    <row r="2577" spans="1:12" x14ac:dyDescent="0.25">
      <c r="A2577">
        <v>474029</v>
      </c>
      <c r="B2577">
        <v>474038</v>
      </c>
      <c r="D2577" t="s">
        <v>16303</v>
      </c>
      <c r="E2577" t="s">
        <v>16304</v>
      </c>
      <c r="F2577" t="s">
        <v>16305</v>
      </c>
      <c r="G2577" t="s">
        <v>16306</v>
      </c>
      <c r="H2577" t="e" vm="1122">
        <f>_FV(0,"0034658601693126553")</f>
        <v>#VALUE!</v>
      </c>
      <c r="I2577" t="s">
        <v>16307</v>
      </c>
      <c r="J2577" t="s">
        <v>16308</v>
      </c>
      <c r="K2577" t="s">
        <v>16309</v>
      </c>
      <c r="L2577" t="s">
        <v>16302</v>
      </c>
    </row>
    <row r="2578" spans="1:12" x14ac:dyDescent="0.25">
      <c r="A2578">
        <v>474029</v>
      </c>
      <c r="B2578">
        <v>474038</v>
      </c>
      <c r="D2578" t="s">
        <v>9492</v>
      </c>
      <c r="E2578" t="s">
        <v>16311</v>
      </c>
      <c r="F2578" t="s">
        <v>16312</v>
      </c>
      <c r="G2578" t="s">
        <v>16313</v>
      </c>
      <c r="H2578" t="e" vm="1123">
        <f>_FV(0,"0035747046841559686")</f>
        <v>#VALUE!</v>
      </c>
      <c r="I2578" t="s">
        <v>16314</v>
      </c>
      <c r="J2578" t="s">
        <v>16315</v>
      </c>
      <c r="K2578" t="s">
        <v>16316</v>
      </c>
      <c r="L2578" t="s">
        <v>16310</v>
      </c>
    </row>
    <row r="2579" spans="1:12" x14ac:dyDescent="0.25">
      <c r="A2579">
        <v>474029</v>
      </c>
      <c r="B2579">
        <v>658978</v>
      </c>
      <c r="D2579" t="s">
        <v>16318</v>
      </c>
      <c r="E2579" t="s">
        <v>16319</v>
      </c>
      <c r="F2579" t="s">
        <v>16320</v>
      </c>
      <c r="G2579" t="s">
        <v>16321</v>
      </c>
      <c r="H2579" t="e" vm="1124">
        <f>_FV(0,"0046234517572524385")</f>
        <v>#VALUE!</v>
      </c>
      <c r="I2579" t="s">
        <v>16322</v>
      </c>
      <c r="J2579" t="s">
        <v>16323</v>
      </c>
      <c r="K2579" t="s">
        <v>16324</v>
      </c>
      <c r="L2579" t="s">
        <v>16317</v>
      </c>
    </row>
    <row r="2580" spans="1:12" x14ac:dyDescent="0.25">
      <c r="A2580">
        <v>474038</v>
      </c>
      <c r="B2580">
        <v>474058</v>
      </c>
      <c r="C2580" t="s">
        <v>16326</v>
      </c>
      <c r="D2580">
        <v>0</v>
      </c>
      <c r="E2580" t="s">
        <v>16327</v>
      </c>
      <c r="F2580" t="s">
        <v>16328</v>
      </c>
      <c r="G2580" t="s">
        <v>16329</v>
      </c>
      <c r="H2580" t="s">
        <v>16330</v>
      </c>
      <c r="I2580" t="s">
        <v>16331</v>
      </c>
      <c r="J2580" t="s">
        <v>16325</v>
      </c>
      <c r="K2580" t="s">
        <v>16332</v>
      </c>
      <c r="L2580" t="s">
        <v>16325</v>
      </c>
    </row>
    <row r="2581" spans="1:12" x14ac:dyDescent="0.25">
      <c r="A2581">
        <v>474058</v>
      </c>
      <c r="B2581">
        <v>474067</v>
      </c>
      <c r="D2581" t="s">
        <v>16334</v>
      </c>
      <c r="E2581" t="s">
        <v>16335</v>
      </c>
      <c r="F2581" t="s">
        <v>16336</v>
      </c>
      <c r="G2581" t="s">
        <v>16337</v>
      </c>
      <c r="H2581" t="s">
        <v>16338</v>
      </c>
      <c r="I2581" t="s">
        <v>16339</v>
      </c>
      <c r="J2581" t="s">
        <v>16333</v>
      </c>
      <c r="K2581" t="s">
        <v>16340</v>
      </c>
      <c r="L2581" t="s">
        <v>16333</v>
      </c>
    </row>
    <row r="2582" spans="1:12" x14ac:dyDescent="0.25">
      <c r="A2582">
        <v>474058</v>
      </c>
      <c r="B2582">
        <v>474067</v>
      </c>
      <c r="D2582" t="s">
        <v>16342</v>
      </c>
      <c r="E2582" t="s">
        <v>16343</v>
      </c>
      <c r="F2582" t="s">
        <v>16344</v>
      </c>
      <c r="G2582" t="s">
        <v>16345</v>
      </c>
      <c r="H2582" t="s">
        <v>16346</v>
      </c>
      <c r="I2582" t="s">
        <v>16347</v>
      </c>
      <c r="J2582" t="s">
        <v>16341</v>
      </c>
      <c r="K2582" t="s">
        <v>16348</v>
      </c>
      <c r="L2582" t="s">
        <v>16341</v>
      </c>
    </row>
    <row r="2583" spans="1:12" x14ac:dyDescent="0.25">
      <c r="A2583">
        <v>474067</v>
      </c>
      <c r="B2583">
        <v>474526</v>
      </c>
      <c r="C2583" t="s">
        <v>16350</v>
      </c>
      <c r="D2583" t="s">
        <v>16351</v>
      </c>
      <c r="E2583" t="s">
        <v>16352</v>
      </c>
      <c r="F2583" t="s">
        <v>16353</v>
      </c>
      <c r="G2583" t="s">
        <v>16354</v>
      </c>
      <c r="H2583" t="e" vm="1125">
        <f>_FV(0,"01204114225873395")</f>
        <v>#VALUE!</v>
      </c>
      <c r="I2583" t="s">
        <v>16355</v>
      </c>
      <c r="J2583" t="s">
        <v>16356</v>
      </c>
      <c r="K2583" t="s">
        <v>16357</v>
      </c>
      <c r="L2583" t="s">
        <v>16349</v>
      </c>
    </row>
    <row r="2584" spans="1:12" x14ac:dyDescent="0.25">
      <c r="A2584">
        <v>474526</v>
      </c>
      <c r="B2584">
        <v>474537</v>
      </c>
      <c r="D2584">
        <v>0</v>
      </c>
      <c r="E2584" t="s">
        <v>16359</v>
      </c>
      <c r="F2584" t="s">
        <v>16360</v>
      </c>
      <c r="G2584" t="s">
        <v>16361</v>
      </c>
      <c r="H2584" t="s">
        <v>16362</v>
      </c>
      <c r="I2584" t="s">
        <v>16363</v>
      </c>
      <c r="J2584" t="s">
        <v>16364</v>
      </c>
      <c r="K2584" t="s">
        <v>16365</v>
      </c>
      <c r="L2584" t="s">
        <v>16358</v>
      </c>
    </row>
    <row r="2585" spans="1:12" x14ac:dyDescent="0.25">
      <c r="A2585">
        <v>474526</v>
      </c>
      <c r="B2585">
        <v>474537</v>
      </c>
      <c r="D2585">
        <v>0</v>
      </c>
      <c r="E2585" t="s">
        <v>16367</v>
      </c>
      <c r="F2585" t="s">
        <v>16368</v>
      </c>
      <c r="G2585" t="s">
        <v>16369</v>
      </c>
      <c r="H2585" t="s">
        <v>16370</v>
      </c>
      <c r="I2585" t="s">
        <v>16371</v>
      </c>
      <c r="J2585" t="s">
        <v>16372</v>
      </c>
      <c r="K2585" t="s">
        <v>16373</v>
      </c>
      <c r="L2585" t="s">
        <v>16366</v>
      </c>
    </row>
    <row r="2586" spans="1:12" x14ac:dyDescent="0.25">
      <c r="A2586">
        <v>474537</v>
      </c>
      <c r="B2586">
        <v>474552</v>
      </c>
      <c r="D2586">
        <v>0</v>
      </c>
      <c r="E2586" t="s">
        <v>16375</v>
      </c>
      <c r="F2586" t="s">
        <v>16376</v>
      </c>
      <c r="G2586" t="s">
        <v>16377</v>
      </c>
      <c r="H2586" t="e" vm="1126">
        <f>_FV(0,"006355773915093921")</f>
        <v>#VALUE!</v>
      </c>
      <c r="I2586" t="s">
        <v>16378</v>
      </c>
      <c r="J2586" t="s">
        <v>16379</v>
      </c>
      <c r="K2586" t="s">
        <v>16380</v>
      </c>
      <c r="L2586" t="s">
        <v>16374</v>
      </c>
    </row>
    <row r="2587" spans="1:12" x14ac:dyDescent="0.25">
      <c r="A2587">
        <v>474552</v>
      </c>
      <c r="B2587">
        <v>474559</v>
      </c>
      <c r="D2587">
        <v>0</v>
      </c>
      <c r="E2587" t="s">
        <v>16382</v>
      </c>
      <c r="F2587" t="s">
        <v>16383</v>
      </c>
      <c r="G2587" t="s">
        <v>16384</v>
      </c>
      <c r="H2587" t="e" vm="1127">
        <f>_FV(0,"0010042297220965999")</f>
        <v>#VALUE!</v>
      </c>
      <c r="I2587" t="s">
        <v>16385</v>
      </c>
      <c r="J2587" t="s">
        <v>16386</v>
      </c>
      <c r="K2587" t="s">
        <v>16387</v>
      </c>
      <c r="L2587" t="s">
        <v>16381</v>
      </c>
    </row>
    <row r="2588" spans="1:12" x14ac:dyDescent="0.25">
      <c r="A2588">
        <v>474552</v>
      </c>
      <c r="B2588">
        <v>474559</v>
      </c>
      <c r="D2588">
        <v>0</v>
      </c>
      <c r="E2588" t="s">
        <v>16389</v>
      </c>
      <c r="F2588" t="s">
        <v>16390</v>
      </c>
      <c r="G2588" t="s">
        <v>16391</v>
      </c>
      <c r="H2588" t="e" vm="1128">
        <f>_FV(0,"0009984774969593049")</f>
        <v>#VALUE!</v>
      </c>
      <c r="I2588" t="s">
        <v>16392</v>
      </c>
      <c r="J2588" t="s">
        <v>16393</v>
      </c>
      <c r="K2588" t="s">
        <v>16394</v>
      </c>
      <c r="L2588" t="s">
        <v>16388</v>
      </c>
    </row>
    <row r="2589" spans="1:12" x14ac:dyDescent="0.25">
      <c r="A2589">
        <v>474559</v>
      </c>
      <c r="B2589">
        <v>437364</v>
      </c>
      <c r="D2589" t="s">
        <v>16396</v>
      </c>
      <c r="E2589" t="s">
        <v>16397</v>
      </c>
      <c r="F2589" t="s">
        <v>16398</v>
      </c>
      <c r="G2589" t="s">
        <v>16399</v>
      </c>
      <c r="H2589" t="s">
        <v>16400</v>
      </c>
      <c r="I2589" t="s">
        <v>16401</v>
      </c>
      <c r="J2589" t="s">
        <v>16402</v>
      </c>
      <c r="K2589" t="s">
        <v>16403</v>
      </c>
      <c r="L2589" t="s">
        <v>16395</v>
      </c>
    </row>
    <row r="2590" spans="1:12" x14ac:dyDescent="0.25">
      <c r="A2590">
        <v>437364</v>
      </c>
      <c r="B2590">
        <v>474745</v>
      </c>
      <c r="D2590">
        <v>0</v>
      </c>
      <c r="E2590" t="s">
        <v>16405</v>
      </c>
      <c r="F2590" t="s">
        <v>16406</v>
      </c>
      <c r="G2590" t="s">
        <v>16407</v>
      </c>
      <c r="H2590" t="e" vm="1129">
        <f>_FV(0,"015156440912128656")</f>
        <v>#VALUE!</v>
      </c>
      <c r="I2590" t="s">
        <v>16408</v>
      </c>
      <c r="J2590" t="s">
        <v>16409</v>
      </c>
      <c r="K2590" t="s">
        <v>16410</v>
      </c>
      <c r="L2590" t="s">
        <v>16404</v>
      </c>
    </row>
    <row r="2591" spans="1:12" x14ac:dyDescent="0.25">
      <c r="A2591">
        <v>437364</v>
      </c>
      <c r="B2591">
        <v>474745</v>
      </c>
      <c r="D2591">
        <v>0</v>
      </c>
      <c r="E2591" t="s">
        <v>16412</v>
      </c>
      <c r="F2591" t="s">
        <v>16413</v>
      </c>
      <c r="G2591" t="s">
        <v>16414</v>
      </c>
      <c r="H2591" t="e" vm="1130">
        <f>_FV(0,"01528491541423062")</f>
        <v>#VALUE!</v>
      </c>
      <c r="I2591" t="s">
        <v>16415</v>
      </c>
      <c r="J2591" t="s">
        <v>16416</v>
      </c>
      <c r="K2591" t="s">
        <v>16417</v>
      </c>
      <c r="L2591" t="s">
        <v>16411</v>
      </c>
    </row>
    <row r="2592" spans="1:12" x14ac:dyDescent="0.25">
      <c r="A2592">
        <v>474745</v>
      </c>
      <c r="B2592">
        <v>474781</v>
      </c>
      <c r="D2592">
        <v>0</v>
      </c>
      <c r="E2592" t="s">
        <v>16419</v>
      </c>
      <c r="F2592" t="s">
        <v>16420</v>
      </c>
      <c r="G2592" t="s">
        <v>16421</v>
      </c>
      <c r="H2592" t="s">
        <v>16422</v>
      </c>
      <c r="I2592" t="s">
        <v>16423</v>
      </c>
      <c r="J2592" t="s">
        <v>16424</v>
      </c>
      <c r="K2592" t="s">
        <v>16425</v>
      </c>
      <c r="L2592" t="s">
        <v>16418</v>
      </c>
    </row>
    <row r="2593" spans="1:12" x14ac:dyDescent="0.25">
      <c r="A2593">
        <v>474781</v>
      </c>
      <c r="B2593">
        <v>474788</v>
      </c>
      <c r="D2593">
        <v>0</v>
      </c>
      <c r="E2593" t="s">
        <v>16427</v>
      </c>
      <c r="F2593" t="s">
        <v>16428</v>
      </c>
      <c r="G2593" t="s">
        <v>16429</v>
      </c>
      <c r="H2593" t="e" vm="1131">
        <f>_FV(0,"0546012757605927")</f>
        <v>#VALUE!</v>
      </c>
      <c r="I2593" t="s">
        <v>16430</v>
      </c>
      <c r="J2593" t="s">
        <v>16431</v>
      </c>
      <c r="K2593" t="s">
        <v>16432</v>
      </c>
      <c r="L2593" t="s">
        <v>16426</v>
      </c>
    </row>
    <row r="2594" spans="1:12" x14ac:dyDescent="0.25">
      <c r="A2594">
        <v>474781</v>
      </c>
      <c r="B2594">
        <v>474788</v>
      </c>
      <c r="D2594">
        <v>0</v>
      </c>
      <c r="E2594" t="s">
        <v>16434</v>
      </c>
      <c r="F2594" t="s">
        <v>16435</v>
      </c>
      <c r="G2594" t="s">
        <v>16436</v>
      </c>
      <c r="H2594" t="e" vm="1132">
        <f>_FV(0,"05433300061638968")</f>
        <v>#VALUE!</v>
      </c>
      <c r="I2594" t="s">
        <v>16437</v>
      </c>
      <c r="J2594" t="s">
        <v>16438</v>
      </c>
      <c r="K2594" t="s">
        <v>16439</v>
      </c>
      <c r="L2594" t="s">
        <v>16433</v>
      </c>
    </row>
    <row r="2595" spans="1:12" x14ac:dyDescent="0.25">
      <c r="A2595">
        <v>474788</v>
      </c>
      <c r="B2595">
        <v>475173</v>
      </c>
      <c r="D2595" t="s">
        <v>16441</v>
      </c>
      <c r="E2595" t="s">
        <v>16442</v>
      </c>
      <c r="F2595" t="s">
        <v>16443</v>
      </c>
      <c r="G2595" t="s">
        <v>16444</v>
      </c>
      <c r="H2595" t="e" vm="1133">
        <f>_FV(0,"00142551606658685")</f>
        <v>#VALUE!</v>
      </c>
      <c r="I2595" t="s">
        <v>16445</v>
      </c>
      <c r="J2595" t="s">
        <v>16446</v>
      </c>
      <c r="K2595" t="s">
        <v>16447</v>
      </c>
      <c r="L2595" t="s">
        <v>16440</v>
      </c>
    </row>
    <row r="2596" spans="1:12" x14ac:dyDescent="0.25">
      <c r="A2596">
        <v>475173</v>
      </c>
      <c r="B2596">
        <v>475180</v>
      </c>
      <c r="D2596">
        <v>0</v>
      </c>
      <c r="E2596" t="s">
        <v>16449</v>
      </c>
      <c r="F2596" t="s">
        <v>16450</v>
      </c>
      <c r="G2596" t="s">
        <v>16451</v>
      </c>
      <c r="H2596" t="s">
        <v>16452</v>
      </c>
      <c r="I2596" t="s">
        <v>16453</v>
      </c>
      <c r="J2596" t="s">
        <v>16454</v>
      </c>
      <c r="K2596" t="s">
        <v>16455</v>
      </c>
      <c r="L2596" t="s">
        <v>16448</v>
      </c>
    </row>
    <row r="2597" spans="1:12" x14ac:dyDescent="0.25">
      <c r="A2597">
        <v>475173</v>
      </c>
      <c r="B2597">
        <v>475180</v>
      </c>
      <c r="D2597">
        <v>0</v>
      </c>
      <c r="E2597" t="s">
        <v>16457</v>
      </c>
      <c r="F2597" t="s">
        <v>16458</v>
      </c>
      <c r="G2597" t="s">
        <v>16459</v>
      </c>
      <c r="H2597" t="s">
        <v>16460</v>
      </c>
      <c r="I2597" t="s">
        <v>16461</v>
      </c>
      <c r="J2597" t="s">
        <v>16462</v>
      </c>
      <c r="K2597" t="s">
        <v>16463</v>
      </c>
      <c r="L2597" t="s">
        <v>16456</v>
      </c>
    </row>
    <row r="2598" spans="1:12" x14ac:dyDescent="0.25">
      <c r="A2598">
        <v>475180</v>
      </c>
      <c r="B2598">
        <v>475424</v>
      </c>
      <c r="C2598" t="s">
        <v>16465</v>
      </c>
      <c r="D2598">
        <v>0</v>
      </c>
      <c r="E2598" t="s">
        <v>16466</v>
      </c>
      <c r="F2598" t="s">
        <v>16467</v>
      </c>
      <c r="G2598" t="s">
        <v>16468</v>
      </c>
      <c r="H2598" t="s">
        <v>16469</v>
      </c>
      <c r="I2598" t="s">
        <v>16470</v>
      </c>
      <c r="J2598" t="s">
        <v>16471</v>
      </c>
      <c r="K2598" t="s">
        <v>16472</v>
      </c>
      <c r="L2598" t="s">
        <v>16464</v>
      </c>
    </row>
    <row r="2599" spans="1:12" x14ac:dyDescent="0.25">
      <c r="A2599">
        <v>475424</v>
      </c>
      <c r="B2599">
        <v>475432</v>
      </c>
      <c r="D2599">
        <v>0</v>
      </c>
      <c r="E2599" t="s">
        <v>16474</v>
      </c>
      <c r="F2599" t="s">
        <v>16475</v>
      </c>
      <c r="G2599" t="s">
        <v>16476</v>
      </c>
      <c r="H2599" t="e" vm="1134">
        <f>_FV(0,"00425252074698952")</f>
        <v>#VALUE!</v>
      </c>
      <c r="I2599" t="s">
        <v>16477</v>
      </c>
      <c r="J2599" t="s">
        <v>16478</v>
      </c>
      <c r="K2599" t="s">
        <v>16479</v>
      </c>
      <c r="L2599" t="s">
        <v>16473</v>
      </c>
    </row>
    <row r="2600" spans="1:12" x14ac:dyDescent="0.25">
      <c r="A2600">
        <v>475424</v>
      </c>
      <c r="B2600">
        <v>475432</v>
      </c>
      <c r="D2600">
        <v>0</v>
      </c>
      <c r="E2600" t="s">
        <v>16481</v>
      </c>
      <c r="F2600" t="s">
        <v>16482</v>
      </c>
      <c r="G2600" t="s">
        <v>16483</v>
      </c>
      <c r="H2600" t="e" vm="1135">
        <f>_FV(0,"003984664554333692")</f>
        <v>#VALUE!</v>
      </c>
      <c r="I2600" t="s">
        <v>16484</v>
      </c>
      <c r="J2600" t="s">
        <v>16485</v>
      </c>
      <c r="K2600" t="s">
        <v>16486</v>
      </c>
      <c r="L2600" t="s">
        <v>16480</v>
      </c>
    </row>
    <row r="2601" spans="1:12" x14ac:dyDescent="0.25">
      <c r="A2601">
        <v>475432</v>
      </c>
      <c r="B2601">
        <v>475506</v>
      </c>
      <c r="D2601">
        <v>0</v>
      </c>
      <c r="E2601" t="s">
        <v>16488</v>
      </c>
      <c r="F2601" t="s">
        <v>16489</v>
      </c>
      <c r="G2601" t="s">
        <v>16490</v>
      </c>
      <c r="H2601" t="s">
        <v>16491</v>
      </c>
      <c r="I2601" t="s">
        <v>16492</v>
      </c>
      <c r="J2601" t="s">
        <v>16493</v>
      </c>
      <c r="K2601" t="s">
        <v>16494</v>
      </c>
      <c r="L2601" t="s">
        <v>16487</v>
      </c>
    </row>
    <row r="2602" spans="1:12" x14ac:dyDescent="0.25">
      <c r="A2602">
        <v>475459</v>
      </c>
      <c r="B2602">
        <v>475460</v>
      </c>
      <c r="D2602">
        <v>0</v>
      </c>
      <c r="F2602">
        <v>476768</v>
      </c>
      <c r="G2602">
        <v>475460</v>
      </c>
      <c r="H2602" t="e" vm="12">
        <f>_FV(0,"005")</f>
        <v>#VALUE!</v>
      </c>
      <c r="I2602">
        <v>475459</v>
      </c>
      <c r="J2602" t="s">
        <v>194</v>
      </c>
      <c r="K2602" t="s">
        <v>16495</v>
      </c>
      <c r="L2602" t="e" vm="12">
        <f>_FV(0,"005")</f>
        <v>#VALUE!</v>
      </c>
    </row>
    <row r="2603" spans="1:12" x14ac:dyDescent="0.25">
      <c r="A2603">
        <v>475459</v>
      </c>
      <c r="B2603">
        <v>1364713</v>
      </c>
      <c r="D2603">
        <v>0</v>
      </c>
      <c r="E2603" t="s">
        <v>16497</v>
      </c>
      <c r="F2603" t="s">
        <v>16498</v>
      </c>
      <c r="G2603" t="s">
        <v>16499</v>
      </c>
      <c r="H2603" t="s">
        <v>16500</v>
      </c>
      <c r="I2603" t="s">
        <v>16501</v>
      </c>
      <c r="J2603" t="s">
        <v>16502</v>
      </c>
      <c r="K2603" t="s">
        <v>16503</v>
      </c>
      <c r="L2603" t="s">
        <v>16496</v>
      </c>
    </row>
    <row r="2604" spans="1:12" x14ac:dyDescent="0.25">
      <c r="A2604">
        <v>475459</v>
      </c>
      <c r="B2604">
        <v>475488</v>
      </c>
      <c r="D2604">
        <v>0</v>
      </c>
      <c r="E2604" t="s">
        <v>16505</v>
      </c>
      <c r="F2604" t="s">
        <v>16506</v>
      </c>
      <c r="G2604" t="s">
        <v>16507</v>
      </c>
      <c r="H2604" t="e" vm="1136">
        <f>_FV(0,"011769285073992022")</f>
        <v>#VALUE!</v>
      </c>
      <c r="I2604" t="s">
        <v>16508</v>
      </c>
      <c r="J2604" t="s">
        <v>16509</v>
      </c>
      <c r="K2604" t="s">
        <v>16510</v>
      </c>
      <c r="L2604" t="s">
        <v>16504</v>
      </c>
    </row>
    <row r="2605" spans="1:12" x14ac:dyDescent="0.25">
      <c r="A2605">
        <v>475460</v>
      </c>
      <c r="B2605">
        <v>475480</v>
      </c>
      <c r="D2605">
        <v>0</v>
      </c>
      <c r="E2605" t="s">
        <v>16511</v>
      </c>
      <c r="F2605" t="s">
        <v>16512</v>
      </c>
      <c r="G2605" t="s">
        <v>16513</v>
      </c>
      <c r="H2605" t="s">
        <v>16514</v>
      </c>
      <c r="I2605" t="s">
        <v>16515</v>
      </c>
      <c r="J2605" t="s">
        <v>9276</v>
      </c>
      <c r="K2605" t="s">
        <v>16516</v>
      </c>
      <c r="L2605" t="s">
        <v>9276</v>
      </c>
    </row>
    <row r="2606" spans="1:12" x14ac:dyDescent="0.25">
      <c r="A2606">
        <v>475460</v>
      </c>
      <c r="B2606">
        <v>475527</v>
      </c>
      <c r="D2606" t="s">
        <v>12980</v>
      </c>
      <c r="E2606" t="s">
        <v>16518</v>
      </c>
      <c r="F2606" t="s">
        <v>16519</v>
      </c>
      <c r="G2606" t="s">
        <v>16520</v>
      </c>
      <c r="H2606" t="e" vm="1137">
        <f>_FV(0,"003263796564069022")</f>
        <v>#VALUE!</v>
      </c>
      <c r="I2606" t="s">
        <v>16521</v>
      </c>
      <c r="J2606" t="s">
        <v>16522</v>
      </c>
      <c r="K2606" t="s">
        <v>16523</v>
      </c>
      <c r="L2606" t="s">
        <v>16517</v>
      </c>
    </row>
    <row r="2607" spans="1:12" x14ac:dyDescent="0.25">
      <c r="A2607">
        <v>475480</v>
      </c>
      <c r="B2607">
        <v>475488</v>
      </c>
      <c r="D2607">
        <v>0</v>
      </c>
      <c r="F2607">
        <v>476799</v>
      </c>
      <c r="G2607">
        <v>475488</v>
      </c>
      <c r="H2607" t="s">
        <v>761</v>
      </c>
      <c r="I2607">
        <v>475480</v>
      </c>
      <c r="J2607" t="s">
        <v>761</v>
      </c>
      <c r="K2607" t="s">
        <v>16524</v>
      </c>
      <c r="L2607" t="s">
        <v>761</v>
      </c>
    </row>
    <row r="2608" spans="1:12" x14ac:dyDescent="0.25">
      <c r="A2608">
        <v>475480</v>
      </c>
      <c r="B2608">
        <v>475570</v>
      </c>
      <c r="D2608" t="s">
        <v>12980</v>
      </c>
      <c r="E2608" t="s">
        <v>16526</v>
      </c>
      <c r="F2608" t="s">
        <v>16527</v>
      </c>
      <c r="G2608" t="s">
        <v>16528</v>
      </c>
      <c r="H2608" t="e" vm="1138">
        <f>_FV(0,"005626252686906055")</f>
        <v>#VALUE!</v>
      </c>
      <c r="I2608" t="s">
        <v>16529</v>
      </c>
      <c r="J2608" t="s">
        <v>16530</v>
      </c>
      <c r="K2608" t="s">
        <v>16531</v>
      </c>
      <c r="L2608" t="s">
        <v>16525</v>
      </c>
    </row>
    <row r="2609" spans="1:12" x14ac:dyDescent="0.25">
      <c r="A2609">
        <v>475488</v>
      </c>
      <c r="B2609">
        <v>1364730</v>
      </c>
      <c r="D2609">
        <v>0</v>
      </c>
      <c r="E2609" t="s">
        <v>16533</v>
      </c>
      <c r="F2609" t="s">
        <v>16534</v>
      </c>
      <c r="G2609" t="s">
        <v>16535</v>
      </c>
      <c r="H2609" t="s">
        <v>16536</v>
      </c>
      <c r="I2609" t="s">
        <v>16537</v>
      </c>
      <c r="J2609" t="s">
        <v>16538</v>
      </c>
      <c r="K2609" t="s">
        <v>16539</v>
      </c>
      <c r="L2609" t="s">
        <v>16532</v>
      </c>
    </row>
    <row r="2610" spans="1:12" x14ac:dyDescent="0.25">
      <c r="A2610">
        <v>475506</v>
      </c>
      <c r="B2610">
        <v>475514</v>
      </c>
      <c r="D2610" t="s">
        <v>9074</v>
      </c>
      <c r="E2610" t="s">
        <v>16541</v>
      </c>
      <c r="F2610" t="s">
        <v>16542</v>
      </c>
      <c r="G2610" t="s">
        <v>16543</v>
      </c>
      <c r="H2610" t="s">
        <v>16544</v>
      </c>
      <c r="I2610" t="s">
        <v>16545</v>
      </c>
      <c r="J2610" t="s">
        <v>16546</v>
      </c>
      <c r="K2610" t="s">
        <v>16547</v>
      </c>
      <c r="L2610" t="s">
        <v>16540</v>
      </c>
    </row>
    <row r="2611" spans="1:12" x14ac:dyDescent="0.25">
      <c r="A2611">
        <v>475506</v>
      </c>
      <c r="B2611">
        <v>475514</v>
      </c>
      <c r="D2611" t="s">
        <v>15620</v>
      </c>
      <c r="E2611" t="s">
        <v>16549</v>
      </c>
      <c r="F2611" t="s">
        <v>16550</v>
      </c>
      <c r="G2611" t="s">
        <v>16551</v>
      </c>
      <c r="H2611" t="s">
        <v>16552</v>
      </c>
      <c r="I2611" t="s">
        <v>16553</v>
      </c>
      <c r="J2611" t="s">
        <v>16554</v>
      </c>
      <c r="K2611" t="s">
        <v>16555</v>
      </c>
      <c r="L2611" t="s">
        <v>16548</v>
      </c>
    </row>
    <row r="2612" spans="1:12" x14ac:dyDescent="0.25">
      <c r="A2612">
        <v>475514</v>
      </c>
      <c r="B2612">
        <v>1494993</v>
      </c>
      <c r="C2612" t="s">
        <v>16557</v>
      </c>
      <c r="D2612">
        <v>0</v>
      </c>
      <c r="E2612" t="s">
        <v>16558</v>
      </c>
      <c r="F2612" t="s">
        <v>16559</v>
      </c>
      <c r="G2612" t="s">
        <v>16560</v>
      </c>
      <c r="H2612" t="s">
        <v>16561</v>
      </c>
      <c r="I2612" t="s">
        <v>16562</v>
      </c>
      <c r="J2612" t="s">
        <v>16563</v>
      </c>
      <c r="K2612" t="s">
        <v>16564</v>
      </c>
      <c r="L2612" t="s">
        <v>16556</v>
      </c>
    </row>
    <row r="2613" spans="1:12" x14ac:dyDescent="0.25">
      <c r="A2613">
        <v>475527</v>
      </c>
      <c r="B2613">
        <v>475528</v>
      </c>
      <c r="D2613">
        <v>0</v>
      </c>
      <c r="F2613">
        <v>476839</v>
      </c>
      <c r="G2613">
        <v>475528</v>
      </c>
      <c r="H2613" t="e" vm="16">
        <f>_FV(0,"007")</f>
        <v>#VALUE!</v>
      </c>
      <c r="I2613">
        <v>475527</v>
      </c>
      <c r="J2613" t="s">
        <v>226</v>
      </c>
      <c r="K2613" t="s">
        <v>16565</v>
      </c>
      <c r="L2613" t="e" vm="16">
        <f>_FV(0,"007")</f>
        <v>#VALUE!</v>
      </c>
    </row>
    <row r="2614" spans="1:12" x14ac:dyDescent="0.25">
      <c r="A2614">
        <v>475527</v>
      </c>
      <c r="B2614">
        <v>475570</v>
      </c>
      <c r="D2614">
        <v>0</v>
      </c>
      <c r="E2614" t="s">
        <v>16566</v>
      </c>
      <c r="F2614" t="s">
        <v>16567</v>
      </c>
      <c r="G2614" t="s">
        <v>16568</v>
      </c>
      <c r="H2614" t="e" vm="1139">
        <f>_FV(0,"0008036696606902756")</f>
        <v>#VALUE!</v>
      </c>
      <c r="I2614" t="s">
        <v>16569</v>
      </c>
      <c r="J2614" t="s">
        <v>13041</v>
      </c>
      <c r="K2614" t="s">
        <v>16570</v>
      </c>
      <c r="L2614" t="s">
        <v>13035</v>
      </c>
    </row>
    <row r="2615" spans="1:12" x14ac:dyDescent="0.25">
      <c r="A2615">
        <v>475528</v>
      </c>
      <c r="B2615">
        <v>475562</v>
      </c>
      <c r="D2615">
        <v>0</v>
      </c>
      <c r="E2615" t="s">
        <v>16572</v>
      </c>
      <c r="F2615" t="s">
        <v>16573</v>
      </c>
      <c r="G2615" t="s">
        <v>16574</v>
      </c>
      <c r="H2615" t="e" vm="1140">
        <f>_FV(0,"0011358742804029678")</f>
        <v>#VALUE!</v>
      </c>
      <c r="I2615" t="s">
        <v>16575</v>
      </c>
      <c r="J2615" t="s">
        <v>16576</v>
      </c>
      <c r="K2615" t="s">
        <v>16577</v>
      </c>
      <c r="L2615" t="s">
        <v>16571</v>
      </c>
    </row>
    <row r="2616" spans="1:12" x14ac:dyDescent="0.25">
      <c r="A2616">
        <v>475528</v>
      </c>
      <c r="B2616">
        <v>1361685</v>
      </c>
      <c r="D2616">
        <v>0</v>
      </c>
      <c r="E2616" t="s">
        <v>16579</v>
      </c>
      <c r="F2616" t="s">
        <v>16580</v>
      </c>
      <c r="G2616" t="s">
        <v>16581</v>
      </c>
      <c r="H2616" t="e" vm="1141">
        <f>_FV(0,"0005663134178881613")</f>
        <v>#VALUE!</v>
      </c>
      <c r="I2616" t="s">
        <v>16582</v>
      </c>
      <c r="J2616" t="s">
        <v>16583</v>
      </c>
      <c r="K2616" t="s">
        <v>16584</v>
      </c>
      <c r="L2616" t="s">
        <v>16578</v>
      </c>
    </row>
    <row r="2617" spans="1:12" x14ac:dyDescent="0.25">
      <c r="A2617">
        <v>475562</v>
      </c>
      <c r="B2617">
        <v>475570</v>
      </c>
      <c r="D2617">
        <v>0</v>
      </c>
      <c r="F2617">
        <v>476879</v>
      </c>
      <c r="G2617">
        <v>475570</v>
      </c>
      <c r="H2617" t="s">
        <v>761</v>
      </c>
      <c r="I2617">
        <v>475562</v>
      </c>
      <c r="J2617" t="s">
        <v>761</v>
      </c>
      <c r="K2617" t="s">
        <v>16585</v>
      </c>
      <c r="L2617" t="s">
        <v>761</v>
      </c>
    </row>
    <row r="2618" spans="1:12" x14ac:dyDescent="0.25">
      <c r="A2618">
        <v>475562</v>
      </c>
      <c r="B2618">
        <v>1361738</v>
      </c>
      <c r="D2618">
        <v>0</v>
      </c>
      <c r="E2618" t="s">
        <v>16587</v>
      </c>
      <c r="F2618" t="s">
        <v>16588</v>
      </c>
      <c r="G2618" t="s">
        <v>16589</v>
      </c>
      <c r="H2618" t="e" vm="1142">
        <f>_FV(0,"0207546514387407")</f>
        <v>#VALUE!</v>
      </c>
      <c r="I2618" t="s">
        <v>16590</v>
      </c>
      <c r="J2618" t="s">
        <v>16591</v>
      </c>
      <c r="K2618" t="s">
        <v>16592</v>
      </c>
      <c r="L2618" t="s">
        <v>16586</v>
      </c>
    </row>
    <row r="2619" spans="1:12" x14ac:dyDescent="0.25">
      <c r="A2619">
        <v>475605</v>
      </c>
      <c r="B2619">
        <v>1494993</v>
      </c>
      <c r="D2619">
        <v>0</v>
      </c>
      <c r="E2619" t="s">
        <v>16594</v>
      </c>
      <c r="F2619" t="s">
        <v>16595</v>
      </c>
      <c r="G2619" t="s">
        <v>16596</v>
      </c>
      <c r="H2619" t="s">
        <v>16597</v>
      </c>
      <c r="I2619" t="s">
        <v>16598</v>
      </c>
      <c r="J2619" t="s">
        <v>16593</v>
      </c>
      <c r="K2619" t="s">
        <v>16599</v>
      </c>
      <c r="L2619" t="s">
        <v>16593</v>
      </c>
    </row>
    <row r="2620" spans="1:12" x14ac:dyDescent="0.25">
      <c r="A2620">
        <v>475605</v>
      </c>
      <c r="B2620">
        <v>1494993</v>
      </c>
      <c r="D2620">
        <v>0</v>
      </c>
      <c r="E2620" t="s">
        <v>16601</v>
      </c>
      <c r="F2620" t="s">
        <v>16602</v>
      </c>
      <c r="G2620" t="s">
        <v>16603</v>
      </c>
      <c r="H2620" t="s">
        <v>16604</v>
      </c>
      <c r="I2620" t="s">
        <v>16605</v>
      </c>
      <c r="J2620" t="s">
        <v>16606</v>
      </c>
      <c r="K2620" t="s">
        <v>16607</v>
      </c>
      <c r="L2620" t="s">
        <v>16600</v>
      </c>
    </row>
    <row r="2621" spans="1:12" x14ac:dyDescent="0.25">
      <c r="A2621">
        <v>476541</v>
      </c>
      <c r="B2621">
        <v>476550</v>
      </c>
      <c r="D2621">
        <v>0</v>
      </c>
      <c r="E2621" t="s">
        <v>16609</v>
      </c>
      <c r="F2621" t="s">
        <v>16610</v>
      </c>
      <c r="G2621" t="s">
        <v>16611</v>
      </c>
      <c r="H2621" t="e" vm="1143">
        <f>_FV(0,"09779304619430744")</f>
        <v>#VALUE!</v>
      </c>
      <c r="I2621" t="s">
        <v>16612</v>
      </c>
      <c r="J2621" t="s">
        <v>16613</v>
      </c>
      <c r="K2621" t="s">
        <v>16614</v>
      </c>
      <c r="L2621" t="s">
        <v>16608</v>
      </c>
    </row>
    <row r="2622" spans="1:12" x14ac:dyDescent="0.25">
      <c r="A2622">
        <v>476541</v>
      </c>
      <c r="B2622">
        <v>476550</v>
      </c>
      <c r="D2622">
        <v>0</v>
      </c>
      <c r="E2622" t="s">
        <v>16616</v>
      </c>
      <c r="F2622" t="s">
        <v>16617</v>
      </c>
      <c r="G2622" t="s">
        <v>16618</v>
      </c>
      <c r="H2622" t="e" vm="1144">
        <f>_FV(0,"09748280403247246")</f>
        <v>#VALUE!</v>
      </c>
      <c r="I2622" t="s">
        <v>16619</v>
      </c>
      <c r="J2622" t="s">
        <v>16620</v>
      </c>
      <c r="K2622" t="s">
        <v>16621</v>
      </c>
      <c r="L2622" t="s">
        <v>16615</v>
      </c>
    </row>
    <row r="2623" spans="1:12" x14ac:dyDescent="0.25">
      <c r="A2623">
        <v>476541</v>
      </c>
      <c r="B2623">
        <v>957794</v>
      </c>
      <c r="D2623">
        <v>0</v>
      </c>
      <c r="E2623" t="s">
        <v>16623</v>
      </c>
      <c r="F2623" t="s">
        <v>16624</v>
      </c>
      <c r="G2623" t="s">
        <v>16625</v>
      </c>
      <c r="H2623" t="e" vm="1145">
        <f>_FV(0,"04562961231447337")</f>
        <v>#VALUE!</v>
      </c>
      <c r="I2623" t="s">
        <v>16626</v>
      </c>
      <c r="J2623" t="s">
        <v>16627</v>
      </c>
      <c r="K2623" t="s">
        <v>16628</v>
      </c>
      <c r="L2623" t="s">
        <v>16622</v>
      </c>
    </row>
    <row r="2624" spans="1:12" x14ac:dyDescent="0.25">
      <c r="A2624">
        <v>476550</v>
      </c>
      <c r="B2624">
        <v>476859</v>
      </c>
      <c r="D2624" t="s">
        <v>13522</v>
      </c>
      <c r="E2624" t="s">
        <v>16630</v>
      </c>
      <c r="F2624" t="s">
        <v>16631</v>
      </c>
      <c r="G2624" t="s">
        <v>16632</v>
      </c>
      <c r="H2624" t="e" vm="1146">
        <f>_FV(0,"00411832839563624")</f>
        <v>#VALUE!</v>
      </c>
      <c r="I2624" t="s">
        <v>16633</v>
      </c>
      <c r="J2624" t="s">
        <v>16634</v>
      </c>
      <c r="K2624" t="s">
        <v>16635</v>
      </c>
      <c r="L2624" t="s">
        <v>16629</v>
      </c>
    </row>
    <row r="2625" spans="1:12" x14ac:dyDescent="0.25">
      <c r="A2625">
        <v>476859</v>
      </c>
      <c r="B2625">
        <v>476864</v>
      </c>
      <c r="D2625">
        <v>0</v>
      </c>
      <c r="E2625" t="s">
        <v>16637</v>
      </c>
      <c r="F2625" t="s">
        <v>16638</v>
      </c>
      <c r="G2625" t="s">
        <v>16639</v>
      </c>
      <c r="H2625" t="s">
        <v>16640</v>
      </c>
      <c r="I2625" t="s">
        <v>16641</v>
      </c>
      <c r="J2625" t="s">
        <v>16642</v>
      </c>
      <c r="K2625" t="s">
        <v>16643</v>
      </c>
      <c r="L2625" t="s">
        <v>16636</v>
      </c>
    </row>
    <row r="2626" spans="1:12" x14ac:dyDescent="0.25">
      <c r="A2626">
        <v>476859</v>
      </c>
      <c r="B2626">
        <v>476864</v>
      </c>
      <c r="D2626">
        <v>0</v>
      </c>
      <c r="E2626" t="s">
        <v>16645</v>
      </c>
      <c r="F2626" t="s">
        <v>16646</v>
      </c>
      <c r="G2626" t="s">
        <v>16647</v>
      </c>
      <c r="H2626" t="s">
        <v>16648</v>
      </c>
      <c r="I2626" t="s">
        <v>16649</v>
      </c>
      <c r="J2626" t="s">
        <v>16650</v>
      </c>
      <c r="K2626" t="s">
        <v>16651</v>
      </c>
      <c r="L2626" t="s">
        <v>16644</v>
      </c>
    </row>
    <row r="2627" spans="1:12" x14ac:dyDescent="0.25">
      <c r="A2627">
        <v>476864</v>
      </c>
      <c r="B2627">
        <v>476865</v>
      </c>
      <c r="D2627">
        <v>0</v>
      </c>
      <c r="F2627">
        <v>478157</v>
      </c>
      <c r="G2627">
        <v>476865</v>
      </c>
      <c r="H2627" t="e" vm="144">
        <f>_FV(0,"003")</f>
        <v>#VALUE!</v>
      </c>
      <c r="I2627">
        <v>476864</v>
      </c>
      <c r="J2627" t="s">
        <v>1783</v>
      </c>
      <c r="K2627" t="s">
        <v>16652</v>
      </c>
      <c r="L2627" t="e" vm="144">
        <f>_FV(0,"003")</f>
        <v>#VALUE!</v>
      </c>
    </row>
    <row r="2628" spans="1:12" x14ac:dyDescent="0.25">
      <c r="A2628">
        <v>476865</v>
      </c>
      <c r="B2628">
        <v>476875</v>
      </c>
      <c r="D2628">
        <v>0</v>
      </c>
      <c r="E2628" t="s">
        <v>16654</v>
      </c>
      <c r="F2628" t="s">
        <v>16655</v>
      </c>
      <c r="G2628" t="s">
        <v>16656</v>
      </c>
      <c r="H2628" t="e" vm="1147">
        <f>_FV(0,"0065572202688774055")</f>
        <v>#VALUE!</v>
      </c>
      <c r="I2628" t="s">
        <v>16657</v>
      </c>
      <c r="J2628" t="s">
        <v>16658</v>
      </c>
      <c r="K2628" t="s">
        <v>16659</v>
      </c>
      <c r="L2628" t="s">
        <v>16653</v>
      </c>
    </row>
    <row r="2629" spans="1:12" x14ac:dyDescent="0.25">
      <c r="A2629">
        <v>476865</v>
      </c>
      <c r="B2629">
        <v>476875</v>
      </c>
      <c r="D2629">
        <v>0</v>
      </c>
      <c r="E2629" t="s">
        <v>16661</v>
      </c>
      <c r="F2629" t="s">
        <v>16662</v>
      </c>
      <c r="G2629" t="s">
        <v>16663</v>
      </c>
      <c r="H2629" t="e" vm="1148">
        <f>_FV(0,"006553776146466986")</f>
        <v>#VALUE!</v>
      </c>
      <c r="I2629" t="s">
        <v>16664</v>
      </c>
      <c r="J2629" t="s">
        <v>16665</v>
      </c>
      <c r="K2629" t="s">
        <v>16666</v>
      </c>
      <c r="L2629" t="s">
        <v>16660</v>
      </c>
    </row>
    <row r="2630" spans="1:12" x14ac:dyDescent="0.25">
      <c r="A2630">
        <v>476875</v>
      </c>
      <c r="B2630">
        <v>476876</v>
      </c>
      <c r="D2630">
        <v>0</v>
      </c>
      <c r="F2630">
        <v>478165</v>
      </c>
      <c r="G2630">
        <v>476876</v>
      </c>
      <c r="H2630" t="e" vm="16">
        <f>_FV(0,"007")</f>
        <v>#VALUE!</v>
      </c>
      <c r="I2630">
        <v>476875</v>
      </c>
      <c r="J2630" t="s">
        <v>226</v>
      </c>
      <c r="K2630" t="s">
        <v>16667</v>
      </c>
      <c r="L2630" t="e" vm="16">
        <f>_FV(0,"007")</f>
        <v>#VALUE!</v>
      </c>
    </row>
    <row r="2631" spans="1:12" x14ac:dyDescent="0.25">
      <c r="A2631">
        <v>476876</v>
      </c>
      <c r="B2631">
        <v>476884</v>
      </c>
      <c r="D2631">
        <v>0</v>
      </c>
      <c r="E2631" t="s">
        <v>16669</v>
      </c>
      <c r="F2631" t="s">
        <v>16670</v>
      </c>
      <c r="G2631" t="s">
        <v>16671</v>
      </c>
      <c r="H2631" t="e" vm="1149">
        <f>_FV(0,"00011225340230474044")</f>
        <v>#VALUE!</v>
      </c>
      <c r="I2631" t="s">
        <v>16672</v>
      </c>
      <c r="J2631" t="s">
        <v>16673</v>
      </c>
      <c r="K2631" t="s">
        <v>16674</v>
      </c>
      <c r="L2631" t="s">
        <v>16668</v>
      </c>
    </row>
    <row r="2632" spans="1:12" x14ac:dyDescent="0.25">
      <c r="A2632">
        <v>476876</v>
      </c>
      <c r="B2632">
        <v>476884</v>
      </c>
      <c r="D2632">
        <v>0</v>
      </c>
      <c r="E2632" t="s">
        <v>16676</v>
      </c>
      <c r="F2632" t="s">
        <v>16677</v>
      </c>
      <c r="G2632" t="s">
        <v>16678</v>
      </c>
      <c r="H2632" t="e" vm="1150">
        <f>_FV(0,"00013349117822381067")</f>
        <v>#VALUE!</v>
      </c>
      <c r="I2632" t="s">
        <v>16679</v>
      </c>
      <c r="J2632" t="s">
        <v>16680</v>
      </c>
      <c r="K2632" t="s">
        <v>16681</v>
      </c>
      <c r="L2632" t="s">
        <v>16675</v>
      </c>
    </row>
    <row r="2633" spans="1:12" x14ac:dyDescent="0.25">
      <c r="A2633">
        <v>476884</v>
      </c>
      <c r="B2633">
        <v>476941</v>
      </c>
      <c r="D2633">
        <v>0</v>
      </c>
      <c r="E2633" t="s">
        <v>16683</v>
      </c>
      <c r="F2633" t="s">
        <v>16684</v>
      </c>
      <c r="G2633" t="s">
        <v>16685</v>
      </c>
      <c r="H2633" t="e" vm="1151">
        <f>_FV(0,"006532271030827358")</f>
        <v>#VALUE!</v>
      </c>
      <c r="I2633" t="s">
        <v>16686</v>
      </c>
      <c r="J2633" t="s">
        <v>16687</v>
      </c>
      <c r="K2633" t="s">
        <v>16688</v>
      </c>
      <c r="L2633" t="s">
        <v>16682</v>
      </c>
    </row>
    <row r="2634" spans="1:12" x14ac:dyDescent="0.25">
      <c r="A2634">
        <v>476930</v>
      </c>
      <c r="B2634">
        <v>476947</v>
      </c>
      <c r="D2634" t="s">
        <v>204</v>
      </c>
      <c r="E2634" t="s">
        <v>16690</v>
      </c>
      <c r="F2634" t="s">
        <v>16691</v>
      </c>
      <c r="G2634" t="s">
        <v>16692</v>
      </c>
      <c r="H2634" t="s">
        <v>16693</v>
      </c>
      <c r="I2634" t="s">
        <v>16694</v>
      </c>
      <c r="J2634" t="s">
        <v>16695</v>
      </c>
      <c r="K2634" t="s">
        <v>16696</v>
      </c>
      <c r="L2634" t="s">
        <v>16689</v>
      </c>
    </row>
    <row r="2635" spans="1:12" x14ac:dyDescent="0.25">
      <c r="A2635">
        <v>476930</v>
      </c>
      <c r="B2635">
        <v>477288</v>
      </c>
      <c r="D2635">
        <v>0</v>
      </c>
      <c r="E2635" t="s">
        <v>16698</v>
      </c>
      <c r="F2635" t="s">
        <v>16699</v>
      </c>
      <c r="G2635" t="s">
        <v>16700</v>
      </c>
      <c r="H2635" t="e" vm="1152">
        <f>_FV(0,"03948340219262305")</f>
        <v>#VALUE!</v>
      </c>
      <c r="I2635" t="s">
        <v>16701</v>
      </c>
      <c r="J2635" t="s">
        <v>16702</v>
      </c>
      <c r="K2635" t="s">
        <v>16703</v>
      </c>
      <c r="L2635" t="s">
        <v>16697</v>
      </c>
    </row>
    <row r="2636" spans="1:12" x14ac:dyDescent="0.25">
      <c r="A2636">
        <v>476930</v>
      </c>
      <c r="B2636">
        <v>477789</v>
      </c>
      <c r="D2636">
        <v>0</v>
      </c>
      <c r="E2636" t="s">
        <v>16705</v>
      </c>
      <c r="F2636" t="s">
        <v>16706</v>
      </c>
      <c r="G2636" t="s">
        <v>16707</v>
      </c>
      <c r="H2636" t="e" vm="1153">
        <f>_FV(0,"051229577716843604")</f>
        <v>#VALUE!</v>
      </c>
      <c r="I2636" t="s">
        <v>16708</v>
      </c>
      <c r="J2636" t="s">
        <v>16709</v>
      </c>
      <c r="K2636" t="s">
        <v>16710</v>
      </c>
      <c r="L2636" t="s">
        <v>16704</v>
      </c>
    </row>
    <row r="2637" spans="1:12" x14ac:dyDescent="0.25">
      <c r="A2637">
        <v>476941</v>
      </c>
      <c r="B2637">
        <v>476948</v>
      </c>
      <c r="D2637">
        <v>0</v>
      </c>
      <c r="E2637" t="s">
        <v>16712</v>
      </c>
      <c r="F2637" t="s">
        <v>16713</v>
      </c>
      <c r="G2637" t="s">
        <v>16714</v>
      </c>
      <c r="H2637" t="e" vm="1154">
        <f>_FV(0,"0013887524320465197")</f>
        <v>#VALUE!</v>
      </c>
      <c r="I2637" t="s">
        <v>16715</v>
      </c>
      <c r="J2637" t="s">
        <v>16716</v>
      </c>
      <c r="K2637" t="s">
        <v>16717</v>
      </c>
      <c r="L2637" t="s">
        <v>16711</v>
      </c>
    </row>
    <row r="2638" spans="1:12" x14ac:dyDescent="0.25">
      <c r="A2638">
        <v>476941</v>
      </c>
      <c r="B2638">
        <v>476948</v>
      </c>
      <c r="D2638">
        <v>0</v>
      </c>
      <c r="E2638" t="s">
        <v>16719</v>
      </c>
      <c r="F2638" t="s">
        <v>16720</v>
      </c>
      <c r="G2638" t="s">
        <v>16721</v>
      </c>
      <c r="H2638" t="e" vm="1155">
        <f>_FV(0,"0012919787414587723")</f>
        <v>#VALUE!</v>
      </c>
      <c r="I2638" t="s">
        <v>16722</v>
      </c>
      <c r="J2638" t="s">
        <v>16723</v>
      </c>
      <c r="K2638" t="s">
        <v>16724</v>
      </c>
      <c r="L2638" t="s">
        <v>16718</v>
      </c>
    </row>
    <row r="2639" spans="1:12" x14ac:dyDescent="0.25">
      <c r="A2639">
        <v>476947</v>
      </c>
      <c r="B2639">
        <v>477311</v>
      </c>
      <c r="D2639">
        <v>0</v>
      </c>
      <c r="E2639" t="s">
        <v>16726</v>
      </c>
      <c r="F2639" t="s">
        <v>16727</v>
      </c>
      <c r="G2639" t="s">
        <v>16728</v>
      </c>
      <c r="H2639" t="s">
        <v>16729</v>
      </c>
      <c r="I2639" t="s">
        <v>16730</v>
      </c>
      <c r="J2639" t="s">
        <v>16725</v>
      </c>
      <c r="K2639" t="s">
        <v>16731</v>
      </c>
      <c r="L2639" t="s">
        <v>16725</v>
      </c>
    </row>
    <row r="2640" spans="1:12" x14ac:dyDescent="0.25">
      <c r="A2640">
        <v>476947</v>
      </c>
      <c r="B2640">
        <v>522565</v>
      </c>
      <c r="D2640">
        <v>0</v>
      </c>
      <c r="E2640" t="s">
        <v>16733</v>
      </c>
      <c r="F2640" t="s">
        <v>16734</v>
      </c>
      <c r="G2640" t="s">
        <v>16735</v>
      </c>
      <c r="H2640" t="s">
        <v>16736</v>
      </c>
      <c r="I2640" t="s">
        <v>16737</v>
      </c>
      <c r="J2640" t="s">
        <v>16732</v>
      </c>
      <c r="K2640" t="s">
        <v>16738</v>
      </c>
      <c r="L2640" t="s">
        <v>16732</v>
      </c>
    </row>
    <row r="2641" spans="1:12" x14ac:dyDescent="0.25">
      <c r="A2641">
        <v>476948</v>
      </c>
      <c r="B2641">
        <v>477095</v>
      </c>
      <c r="C2641" t="s">
        <v>16740</v>
      </c>
      <c r="D2641" t="s">
        <v>16741</v>
      </c>
      <c r="E2641" t="s">
        <v>16742</v>
      </c>
      <c r="F2641" t="s">
        <v>16743</v>
      </c>
      <c r="G2641" t="s">
        <v>16744</v>
      </c>
      <c r="H2641" t="e" vm="1156">
        <f>_FV(0,"0016040023776963915")</f>
        <v>#VALUE!</v>
      </c>
      <c r="I2641" t="s">
        <v>16745</v>
      </c>
      <c r="J2641" t="s">
        <v>16746</v>
      </c>
      <c r="K2641" t="s">
        <v>16747</v>
      </c>
      <c r="L2641" t="s">
        <v>16739</v>
      </c>
    </row>
    <row r="2642" spans="1:12" x14ac:dyDescent="0.25">
      <c r="A2642">
        <v>477095</v>
      </c>
      <c r="B2642">
        <v>477106</v>
      </c>
      <c r="D2642" t="s">
        <v>16303</v>
      </c>
      <c r="E2642" t="s">
        <v>16749</v>
      </c>
      <c r="F2642" t="s">
        <v>16750</v>
      </c>
      <c r="G2642" t="s">
        <v>16751</v>
      </c>
      <c r="H2642" t="e" vm="1157">
        <f>_FV(0,"005730383184401391")</f>
        <v>#VALUE!</v>
      </c>
      <c r="I2642" t="s">
        <v>16752</v>
      </c>
      <c r="J2642" t="s">
        <v>16753</v>
      </c>
      <c r="K2642" t="s">
        <v>16754</v>
      </c>
      <c r="L2642" t="s">
        <v>16748</v>
      </c>
    </row>
    <row r="2643" spans="1:12" x14ac:dyDescent="0.25">
      <c r="A2643">
        <v>477095</v>
      </c>
      <c r="B2643">
        <v>477106</v>
      </c>
      <c r="D2643" t="s">
        <v>16756</v>
      </c>
      <c r="E2643" t="s">
        <v>16757</v>
      </c>
      <c r="F2643" t="s">
        <v>16758</v>
      </c>
      <c r="G2643" t="s">
        <v>16759</v>
      </c>
      <c r="H2643" t="e" vm="1158">
        <f>_FV(0,"005872580236121177")</f>
        <v>#VALUE!</v>
      </c>
      <c r="I2643" t="s">
        <v>16760</v>
      </c>
      <c r="J2643" t="s">
        <v>16761</v>
      </c>
      <c r="K2643" t="s">
        <v>16762</v>
      </c>
      <c r="L2643" t="s">
        <v>16755</v>
      </c>
    </row>
    <row r="2644" spans="1:12" x14ac:dyDescent="0.25">
      <c r="A2644">
        <v>477106</v>
      </c>
      <c r="B2644">
        <v>477134</v>
      </c>
      <c r="D2644">
        <v>0</v>
      </c>
      <c r="E2644" t="s">
        <v>16764</v>
      </c>
      <c r="F2644" t="s">
        <v>16765</v>
      </c>
      <c r="G2644" t="s">
        <v>16766</v>
      </c>
      <c r="H2644" t="e" vm="1159">
        <f>_FV(0,"0002624658117026861")</f>
        <v>#VALUE!</v>
      </c>
      <c r="I2644" t="s">
        <v>16767</v>
      </c>
      <c r="J2644" t="s">
        <v>16768</v>
      </c>
      <c r="K2644" t="s">
        <v>16769</v>
      </c>
      <c r="L2644" t="s">
        <v>16763</v>
      </c>
    </row>
    <row r="2645" spans="1:12" x14ac:dyDescent="0.25">
      <c r="A2645">
        <v>477134</v>
      </c>
      <c r="B2645">
        <v>477144</v>
      </c>
      <c r="D2645">
        <v>0</v>
      </c>
      <c r="E2645" t="s">
        <v>16771</v>
      </c>
      <c r="F2645" t="s">
        <v>16772</v>
      </c>
      <c r="G2645" t="s">
        <v>16773</v>
      </c>
      <c r="H2645" t="e" vm="1160">
        <f>_FV(0,"0034041774960545754")</f>
        <v>#VALUE!</v>
      </c>
      <c r="I2645" t="s">
        <v>16774</v>
      </c>
      <c r="J2645" t="s">
        <v>16775</v>
      </c>
      <c r="K2645" t="s">
        <v>16776</v>
      </c>
      <c r="L2645" t="s">
        <v>16770</v>
      </c>
    </row>
    <row r="2646" spans="1:12" x14ac:dyDescent="0.25">
      <c r="A2646">
        <v>477134</v>
      </c>
      <c r="B2646">
        <v>477144</v>
      </c>
      <c r="D2646">
        <v>0</v>
      </c>
      <c r="E2646" t="s">
        <v>16778</v>
      </c>
      <c r="F2646" t="s">
        <v>16779</v>
      </c>
      <c r="G2646" t="s">
        <v>16780</v>
      </c>
      <c r="H2646" t="e" vm="1161">
        <f>_FV(0,"0032789743323510616")</f>
        <v>#VALUE!</v>
      </c>
      <c r="I2646" t="s">
        <v>16781</v>
      </c>
      <c r="J2646" t="s">
        <v>16782</v>
      </c>
      <c r="K2646" t="s">
        <v>16783</v>
      </c>
      <c r="L2646" t="s">
        <v>16777</v>
      </c>
    </row>
    <row r="2647" spans="1:12" x14ac:dyDescent="0.25">
      <c r="A2647">
        <v>477144</v>
      </c>
      <c r="B2647">
        <v>477157</v>
      </c>
      <c r="D2647">
        <v>0</v>
      </c>
      <c r="E2647" t="s">
        <v>16784</v>
      </c>
      <c r="F2647" t="s">
        <v>16785</v>
      </c>
      <c r="G2647" t="s">
        <v>16786</v>
      </c>
      <c r="H2647" t="e" vm="339">
        <f>_FV(0,"0")</f>
        <v>#VALUE!</v>
      </c>
      <c r="I2647" t="s">
        <v>16787</v>
      </c>
      <c r="J2647" t="s">
        <v>187</v>
      </c>
      <c r="K2647" t="s">
        <v>16788</v>
      </c>
      <c r="L2647" t="e" vm="339">
        <f>_FV(0,"0")</f>
        <v>#VALUE!</v>
      </c>
    </row>
    <row r="2648" spans="1:12" x14ac:dyDescent="0.25">
      <c r="A2648">
        <v>477157</v>
      </c>
      <c r="B2648">
        <v>477163</v>
      </c>
      <c r="D2648">
        <v>0</v>
      </c>
      <c r="E2648" t="s">
        <v>16790</v>
      </c>
      <c r="F2648" t="s">
        <v>16791</v>
      </c>
      <c r="G2648" t="s">
        <v>16792</v>
      </c>
      <c r="H2648" t="s">
        <v>16793</v>
      </c>
      <c r="I2648" t="s">
        <v>16794</v>
      </c>
      <c r="J2648" t="s">
        <v>16795</v>
      </c>
      <c r="K2648" t="s">
        <v>16796</v>
      </c>
      <c r="L2648" t="s">
        <v>16789</v>
      </c>
    </row>
    <row r="2649" spans="1:12" x14ac:dyDescent="0.25">
      <c r="A2649">
        <v>477157</v>
      </c>
      <c r="B2649">
        <v>477163</v>
      </c>
      <c r="D2649">
        <v>0</v>
      </c>
      <c r="E2649" t="s">
        <v>16798</v>
      </c>
      <c r="F2649" t="s">
        <v>16799</v>
      </c>
      <c r="G2649" t="s">
        <v>16800</v>
      </c>
      <c r="H2649" t="e" vm="1162">
        <f>_FV(0,"0002574014623990543")</f>
        <v>#VALUE!</v>
      </c>
      <c r="I2649" t="s">
        <v>16801</v>
      </c>
      <c r="J2649" t="s">
        <v>16802</v>
      </c>
      <c r="K2649" t="s">
        <v>16803</v>
      </c>
      <c r="L2649" t="s">
        <v>16797</v>
      </c>
    </row>
    <row r="2650" spans="1:12" x14ac:dyDescent="0.25">
      <c r="A2650">
        <v>477163</v>
      </c>
      <c r="B2650">
        <v>1854802</v>
      </c>
      <c r="C2650" t="s">
        <v>16804</v>
      </c>
      <c r="D2650">
        <v>0</v>
      </c>
      <c r="E2650" t="s">
        <v>16805</v>
      </c>
      <c r="H2650" t="s">
        <v>187</v>
      </c>
      <c r="J2650">
        <v>0</v>
      </c>
      <c r="K2650" t="s">
        <v>16806</v>
      </c>
      <c r="L2650">
        <v>0</v>
      </c>
    </row>
    <row r="2651" spans="1:12" x14ac:dyDescent="0.25">
      <c r="A2651">
        <v>477288</v>
      </c>
      <c r="B2651">
        <v>477818</v>
      </c>
      <c r="D2651">
        <v>0</v>
      </c>
      <c r="F2651">
        <v>478996</v>
      </c>
      <c r="G2651">
        <v>477818</v>
      </c>
      <c r="H2651" t="s">
        <v>2916</v>
      </c>
      <c r="I2651">
        <v>477288</v>
      </c>
      <c r="J2651" t="s">
        <v>2916</v>
      </c>
      <c r="K2651" t="s">
        <v>16807</v>
      </c>
      <c r="L2651" t="s">
        <v>2916</v>
      </c>
    </row>
    <row r="2652" spans="1:12" x14ac:dyDescent="0.25">
      <c r="A2652">
        <v>477288</v>
      </c>
      <c r="B2652">
        <v>477789</v>
      </c>
      <c r="D2652">
        <v>0</v>
      </c>
      <c r="E2652" t="s">
        <v>16809</v>
      </c>
      <c r="F2652" t="s">
        <v>16810</v>
      </c>
      <c r="G2652" t="s">
        <v>16811</v>
      </c>
      <c r="H2652" t="e" vm="1163">
        <f>_FV(0,"019001045700945254")</f>
        <v>#VALUE!</v>
      </c>
      <c r="I2652" t="s">
        <v>16812</v>
      </c>
      <c r="J2652" t="s">
        <v>16813</v>
      </c>
      <c r="K2652" t="s">
        <v>16814</v>
      </c>
      <c r="L2652" t="s">
        <v>16808</v>
      </c>
    </row>
    <row r="2653" spans="1:12" x14ac:dyDescent="0.25">
      <c r="A2653">
        <v>477311</v>
      </c>
      <c r="B2653">
        <v>522565</v>
      </c>
      <c r="D2653">
        <v>0</v>
      </c>
      <c r="E2653" t="s">
        <v>16816</v>
      </c>
      <c r="F2653" t="s">
        <v>16817</v>
      </c>
      <c r="G2653" t="s">
        <v>16818</v>
      </c>
      <c r="H2653" t="s">
        <v>16819</v>
      </c>
      <c r="I2653" t="s">
        <v>16820</v>
      </c>
      <c r="J2653" t="s">
        <v>16821</v>
      </c>
      <c r="K2653" t="s">
        <v>16822</v>
      </c>
      <c r="L2653" t="s">
        <v>16815</v>
      </c>
    </row>
    <row r="2654" spans="1:12" x14ac:dyDescent="0.25">
      <c r="A2654">
        <v>477311</v>
      </c>
      <c r="B2654">
        <v>1359887</v>
      </c>
      <c r="D2654">
        <v>0</v>
      </c>
      <c r="F2654">
        <v>1532810</v>
      </c>
      <c r="G2654">
        <v>477311</v>
      </c>
      <c r="H2654" t="e" vm="30">
        <f>_FV(0,"027")</f>
        <v>#VALUE!</v>
      </c>
      <c r="I2654">
        <v>1359887</v>
      </c>
      <c r="J2654" t="s">
        <v>467</v>
      </c>
      <c r="K2654" t="s">
        <v>16823</v>
      </c>
      <c r="L2654" t="e" vm="30">
        <f>_FV(0,"027")</f>
        <v>#VALUE!</v>
      </c>
    </row>
    <row r="2655" spans="1:12" x14ac:dyDescent="0.25">
      <c r="A2655">
        <v>477756</v>
      </c>
      <c r="B2655">
        <v>477778</v>
      </c>
      <c r="D2655">
        <v>0</v>
      </c>
      <c r="E2655" t="s">
        <v>16824</v>
      </c>
      <c r="F2655" t="s">
        <v>16825</v>
      </c>
      <c r="G2655" t="s">
        <v>16826</v>
      </c>
      <c r="H2655" t="s">
        <v>1783</v>
      </c>
      <c r="I2655" t="s">
        <v>16827</v>
      </c>
      <c r="J2655" t="s">
        <v>1783</v>
      </c>
      <c r="K2655" t="s">
        <v>16828</v>
      </c>
      <c r="L2655" t="s">
        <v>1783</v>
      </c>
    </row>
    <row r="2656" spans="1:12" x14ac:dyDescent="0.25">
      <c r="A2656">
        <v>477756</v>
      </c>
      <c r="B2656">
        <v>1275772</v>
      </c>
      <c r="D2656">
        <v>0</v>
      </c>
      <c r="E2656" t="s">
        <v>16830</v>
      </c>
      <c r="F2656" t="s">
        <v>16831</v>
      </c>
      <c r="G2656" t="s">
        <v>16832</v>
      </c>
      <c r="H2656" t="s">
        <v>16833</v>
      </c>
      <c r="I2656" t="s">
        <v>16834</v>
      </c>
      <c r="J2656" t="s">
        <v>16829</v>
      </c>
      <c r="K2656" t="s">
        <v>16835</v>
      </c>
      <c r="L2656" t="s">
        <v>16829</v>
      </c>
    </row>
    <row r="2657" spans="1:12" x14ac:dyDescent="0.25">
      <c r="A2657">
        <v>477778</v>
      </c>
      <c r="B2657">
        <v>477798</v>
      </c>
      <c r="D2657">
        <v>0</v>
      </c>
      <c r="E2657" t="s">
        <v>16837</v>
      </c>
      <c r="F2657" t="s">
        <v>16838</v>
      </c>
      <c r="G2657" t="s">
        <v>16839</v>
      </c>
      <c r="H2657" t="e" vm="1164">
        <f>_FV(0,"014977477506442299")</f>
        <v>#VALUE!</v>
      </c>
      <c r="I2657" t="s">
        <v>16840</v>
      </c>
      <c r="J2657" t="s">
        <v>16841</v>
      </c>
      <c r="K2657" t="s">
        <v>16842</v>
      </c>
      <c r="L2657" t="s">
        <v>16836</v>
      </c>
    </row>
    <row r="2658" spans="1:12" x14ac:dyDescent="0.25">
      <c r="A2658">
        <v>477789</v>
      </c>
      <c r="B2658">
        <v>477826</v>
      </c>
      <c r="D2658">
        <v>0</v>
      </c>
      <c r="E2658" t="s">
        <v>16844</v>
      </c>
      <c r="F2658" t="s">
        <v>16845</v>
      </c>
      <c r="G2658" t="s">
        <v>16846</v>
      </c>
      <c r="H2658" t="e" vm="1165">
        <f>_FV(0,"00976756217874547")</f>
        <v>#VALUE!</v>
      </c>
      <c r="I2658" t="s">
        <v>16847</v>
      </c>
      <c r="J2658" t="s">
        <v>16848</v>
      </c>
      <c r="K2658" t="s">
        <v>16849</v>
      </c>
      <c r="L2658" t="s">
        <v>16843</v>
      </c>
    </row>
    <row r="2659" spans="1:12" x14ac:dyDescent="0.25">
      <c r="A2659">
        <v>477798</v>
      </c>
      <c r="B2659">
        <v>477807</v>
      </c>
      <c r="D2659">
        <v>0</v>
      </c>
      <c r="E2659" t="s">
        <v>16851</v>
      </c>
      <c r="F2659" t="s">
        <v>16852</v>
      </c>
      <c r="G2659" t="s">
        <v>16853</v>
      </c>
      <c r="H2659" t="e" vm="1166">
        <f>_FV(0,"023658645653174583")</f>
        <v>#VALUE!</v>
      </c>
      <c r="I2659" t="s">
        <v>16854</v>
      </c>
      <c r="J2659" t="s">
        <v>16855</v>
      </c>
      <c r="K2659" t="s">
        <v>16856</v>
      </c>
      <c r="L2659" t="s">
        <v>16850</v>
      </c>
    </row>
    <row r="2660" spans="1:12" x14ac:dyDescent="0.25">
      <c r="A2660">
        <v>477798</v>
      </c>
      <c r="B2660">
        <v>477807</v>
      </c>
      <c r="D2660">
        <v>0</v>
      </c>
      <c r="E2660" t="s">
        <v>16858</v>
      </c>
      <c r="F2660" t="s">
        <v>16859</v>
      </c>
      <c r="G2660" t="s">
        <v>16860</v>
      </c>
      <c r="H2660" t="e" vm="1167">
        <f>_FV(0,"02432329243867594")</f>
        <v>#VALUE!</v>
      </c>
      <c r="I2660" t="s">
        <v>16861</v>
      </c>
      <c r="J2660" t="s">
        <v>16862</v>
      </c>
      <c r="K2660" t="s">
        <v>16863</v>
      </c>
      <c r="L2660" t="s">
        <v>16857</v>
      </c>
    </row>
    <row r="2661" spans="1:12" x14ac:dyDescent="0.25">
      <c r="A2661">
        <v>477818</v>
      </c>
      <c r="B2661">
        <v>477826</v>
      </c>
      <c r="D2661">
        <v>0</v>
      </c>
      <c r="F2661">
        <v>479004</v>
      </c>
      <c r="G2661">
        <v>477826</v>
      </c>
      <c r="H2661" t="s">
        <v>5837</v>
      </c>
      <c r="I2661">
        <v>477818</v>
      </c>
      <c r="J2661" t="s">
        <v>5837</v>
      </c>
      <c r="K2661" t="s">
        <v>16864</v>
      </c>
      <c r="L2661" t="s">
        <v>5837</v>
      </c>
    </row>
    <row r="2662" spans="1:12" x14ac:dyDescent="0.25">
      <c r="A2662">
        <v>477818</v>
      </c>
      <c r="B2662">
        <v>1059419</v>
      </c>
      <c r="D2662">
        <v>0</v>
      </c>
      <c r="E2662" t="s">
        <v>16866</v>
      </c>
      <c r="F2662" t="s">
        <v>16867</v>
      </c>
      <c r="G2662" t="s">
        <v>16868</v>
      </c>
      <c r="H2662" t="s">
        <v>16869</v>
      </c>
      <c r="I2662" t="s">
        <v>16870</v>
      </c>
      <c r="J2662" t="s">
        <v>16865</v>
      </c>
      <c r="K2662" t="s">
        <v>16871</v>
      </c>
      <c r="L2662" t="s">
        <v>16865</v>
      </c>
    </row>
    <row r="2663" spans="1:12" x14ac:dyDescent="0.25">
      <c r="A2663">
        <v>477826</v>
      </c>
      <c r="B2663">
        <v>1059398</v>
      </c>
      <c r="D2663">
        <v>0</v>
      </c>
      <c r="E2663" t="s">
        <v>16873</v>
      </c>
      <c r="F2663" t="s">
        <v>16874</v>
      </c>
      <c r="G2663" t="s">
        <v>16875</v>
      </c>
      <c r="H2663" t="s">
        <v>16876</v>
      </c>
      <c r="I2663" t="s">
        <v>16877</v>
      </c>
      <c r="J2663" t="s">
        <v>16878</v>
      </c>
      <c r="K2663" t="s">
        <v>16879</v>
      </c>
      <c r="L2663" t="s">
        <v>16872</v>
      </c>
    </row>
    <row r="2664" spans="1:12" x14ac:dyDescent="0.25">
      <c r="A2664">
        <v>480048</v>
      </c>
      <c r="B2664">
        <v>480059</v>
      </c>
      <c r="D2664">
        <v>0</v>
      </c>
      <c r="E2664" t="s">
        <v>16881</v>
      </c>
      <c r="F2664" t="s">
        <v>16882</v>
      </c>
      <c r="G2664" t="s">
        <v>16883</v>
      </c>
      <c r="H2664" t="s">
        <v>16884</v>
      </c>
      <c r="I2664" t="s">
        <v>16885</v>
      </c>
      <c r="J2664" t="s">
        <v>16886</v>
      </c>
      <c r="K2664" t="s">
        <v>16887</v>
      </c>
      <c r="L2664" t="s">
        <v>16880</v>
      </c>
    </row>
    <row r="2665" spans="1:12" x14ac:dyDescent="0.25">
      <c r="A2665">
        <v>480048</v>
      </c>
      <c r="B2665">
        <v>480059</v>
      </c>
      <c r="D2665">
        <v>0</v>
      </c>
      <c r="E2665" t="s">
        <v>16889</v>
      </c>
      <c r="F2665" t="s">
        <v>16890</v>
      </c>
      <c r="G2665" t="s">
        <v>16891</v>
      </c>
      <c r="H2665" t="s">
        <v>16892</v>
      </c>
      <c r="I2665" t="s">
        <v>16893</v>
      </c>
      <c r="J2665" t="s">
        <v>16894</v>
      </c>
      <c r="K2665" t="s">
        <v>16895</v>
      </c>
      <c r="L2665" t="s">
        <v>16888</v>
      </c>
    </row>
    <row r="2666" spans="1:12" x14ac:dyDescent="0.25">
      <c r="A2666">
        <v>480059</v>
      </c>
      <c r="B2666">
        <v>480347</v>
      </c>
      <c r="C2666" t="s">
        <v>16897</v>
      </c>
      <c r="D2666" t="s">
        <v>16898</v>
      </c>
      <c r="E2666" t="s">
        <v>16899</v>
      </c>
      <c r="F2666" t="s">
        <v>16900</v>
      </c>
      <c r="G2666" t="s">
        <v>16901</v>
      </c>
      <c r="H2666" t="e" vm="1168">
        <f>_FV(0,"0009028624294983547")</f>
        <v>#VALUE!</v>
      </c>
      <c r="I2666" t="s">
        <v>16902</v>
      </c>
      <c r="J2666" t="s">
        <v>16903</v>
      </c>
      <c r="K2666" t="s">
        <v>16904</v>
      </c>
      <c r="L2666" t="s">
        <v>16896</v>
      </c>
    </row>
    <row r="2667" spans="1:12" x14ac:dyDescent="0.25">
      <c r="A2667">
        <v>480347</v>
      </c>
      <c r="B2667">
        <v>480357</v>
      </c>
      <c r="D2667">
        <v>0</v>
      </c>
      <c r="E2667" t="s">
        <v>16906</v>
      </c>
      <c r="F2667" t="s">
        <v>16907</v>
      </c>
      <c r="G2667" t="s">
        <v>16908</v>
      </c>
      <c r="H2667" t="e" vm="1169">
        <f>_FV(0,"02594443271339634")</f>
        <v>#VALUE!</v>
      </c>
      <c r="I2667" t="s">
        <v>16909</v>
      </c>
      <c r="J2667" t="s">
        <v>16910</v>
      </c>
      <c r="K2667" t="s">
        <v>16911</v>
      </c>
      <c r="L2667" t="s">
        <v>16905</v>
      </c>
    </row>
    <row r="2668" spans="1:12" x14ac:dyDescent="0.25">
      <c r="A2668">
        <v>480347</v>
      </c>
      <c r="B2668">
        <v>480357</v>
      </c>
      <c r="D2668">
        <v>0</v>
      </c>
      <c r="E2668" t="s">
        <v>16913</v>
      </c>
      <c r="F2668" t="s">
        <v>16914</v>
      </c>
      <c r="G2668" t="s">
        <v>16915</v>
      </c>
      <c r="H2668" t="e" vm="1170">
        <f>_FV(0,"026738572364163535")</f>
        <v>#VALUE!</v>
      </c>
      <c r="I2668" t="s">
        <v>16916</v>
      </c>
      <c r="J2668" t="s">
        <v>16917</v>
      </c>
      <c r="K2668" t="s">
        <v>16918</v>
      </c>
      <c r="L2668" t="s">
        <v>16912</v>
      </c>
    </row>
    <row r="2669" spans="1:12" x14ac:dyDescent="0.25">
      <c r="A2669">
        <v>480357</v>
      </c>
      <c r="B2669">
        <v>1000179</v>
      </c>
      <c r="D2669" t="s">
        <v>16920</v>
      </c>
      <c r="E2669" t="s">
        <v>16921</v>
      </c>
      <c r="F2669" t="s">
        <v>16922</v>
      </c>
      <c r="G2669" t="s">
        <v>16923</v>
      </c>
      <c r="H2669" t="s">
        <v>16924</v>
      </c>
      <c r="I2669" t="s">
        <v>16925</v>
      </c>
      <c r="J2669" t="s">
        <v>16926</v>
      </c>
      <c r="K2669" t="s">
        <v>16927</v>
      </c>
      <c r="L2669" t="s">
        <v>16919</v>
      </c>
    </row>
    <row r="2670" spans="1:12" x14ac:dyDescent="0.25">
      <c r="A2670">
        <v>488387</v>
      </c>
      <c r="B2670">
        <v>488424</v>
      </c>
      <c r="D2670">
        <v>0</v>
      </c>
      <c r="E2670" t="s">
        <v>16929</v>
      </c>
      <c r="F2670" t="s">
        <v>16930</v>
      </c>
      <c r="G2670" t="s">
        <v>16931</v>
      </c>
      <c r="H2670" t="s">
        <v>16932</v>
      </c>
      <c r="I2670" t="s">
        <v>16933</v>
      </c>
      <c r="J2670" t="s">
        <v>16934</v>
      </c>
      <c r="K2670" t="s">
        <v>16935</v>
      </c>
      <c r="L2670" t="s">
        <v>16928</v>
      </c>
    </row>
    <row r="2671" spans="1:12" x14ac:dyDescent="0.25">
      <c r="A2671">
        <v>488387</v>
      </c>
      <c r="B2671">
        <v>488424</v>
      </c>
      <c r="D2671">
        <v>0</v>
      </c>
      <c r="E2671" t="s">
        <v>16937</v>
      </c>
      <c r="F2671" t="s">
        <v>16938</v>
      </c>
      <c r="G2671" t="s">
        <v>16939</v>
      </c>
      <c r="H2671" t="s">
        <v>16940</v>
      </c>
      <c r="I2671" t="s">
        <v>16941</v>
      </c>
      <c r="J2671" t="s">
        <v>16942</v>
      </c>
      <c r="K2671" t="s">
        <v>16943</v>
      </c>
      <c r="L2671" t="s">
        <v>16936</v>
      </c>
    </row>
    <row r="2672" spans="1:12" x14ac:dyDescent="0.25">
      <c r="A2672">
        <v>488424</v>
      </c>
      <c r="B2672">
        <v>488425</v>
      </c>
      <c r="D2672">
        <v>0</v>
      </c>
      <c r="F2672">
        <v>1021538</v>
      </c>
      <c r="G2672">
        <v>488425</v>
      </c>
      <c r="H2672" t="s">
        <v>2841</v>
      </c>
      <c r="I2672">
        <v>488424</v>
      </c>
      <c r="J2672" t="s">
        <v>2841</v>
      </c>
      <c r="K2672" t="s">
        <v>16944</v>
      </c>
      <c r="L2672" t="s">
        <v>2841</v>
      </c>
    </row>
    <row r="2673" spans="1:12" x14ac:dyDescent="0.25">
      <c r="A2673">
        <v>488425</v>
      </c>
      <c r="B2673">
        <v>488429</v>
      </c>
      <c r="D2673">
        <v>0</v>
      </c>
      <c r="E2673" t="s">
        <v>16946</v>
      </c>
      <c r="F2673" t="s">
        <v>16947</v>
      </c>
      <c r="G2673" t="s">
        <v>16948</v>
      </c>
      <c r="H2673" t="e" vm="1171">
        <f>_FV(0,"00996876624819745")</f>
        <v>#VALUE!</v>
      </c>
      <c r="I2673" t="s">
        <v>16949</v>
      </c>
      <c r="J2673" t="s">
        <v>16950</v>
      </c>
      <c r="K2673" t="s">
        <v>16951</v>
      </c>
      <c r="L2673" t="s">
        <v>16945</v>
      </c>
    </row>
    <row r="2674" spans="1:12" x14ac:dyDescent="0.25">
      <c r="A2674">
        <v>488425</v>
      </c>
      <c r="B2674">
        <v>488429</v>
      </c>
      <c r="D2674">
        <v>0</v>
      </c>
      <c r="E2674" t="s">
        <v>16953</v>
      </c>
      <c r="F2674" t="s">
        <v>16954</v>
      </c>
      <c r="G2674" t="s">
        <v>16955</v>
      </c>
      <c r="H2674" t="e" vm="1172">
        <f>_FV(0,"010002854496579982")</f>
        <v>#VALUE!</v>
      </c>
      <c r="I2674" t="s">
        <v>16956</v>
      </c>
      <c r="J2674" t="s">
        <v>16957</v>
      </c>
      <c r="K2674" t="s">
        <v>16958</v>
      </c>
      <c r="L2674" t="s">
        <v>16952</v>
      </c>
    </row>
    <row r="2675" spans="1:12" x14ac:dyDescent="0.25">
      <c r="A2675">
        <v>488429</v>
      </c>
      <c r="B2675">
        <v>488432</v>
      </c>
      <c r="D2675">
        <v>0</v>
      </c>
      <c r="E2675" t="s">
        <v>16960</v>
      </c>
      <c r="F2675" t="s">
        <v>16961</v>
      </c>
      <c r="G2675" t="s">
        <v>16962</v>
      </c>
      <c r="H2675" t="e" vm="1173">
        <f>_FV(0,"01066469547571325")</f>
        <v>#VALUE!</v>
      </c>
      <c r="I2675" t="s">
        <v>16963</v>
      </c>
      <c r="J2675" t="s">
        <v>16964</v>
      </c>
      <c r="K2675" t="s">
        <v>16965</v>
      </c>
      <c r="L2675" t="s">
        <v>16959</v>
      </c>
    </row>
    <row r="2676" spans="1:12" x14ac:dyDescent="0.25">
      <c r="A2676">
        <v>488432</v>
      </c>
      <c r="B2676">
        <v>488448</v>
      </c>
      <c r="D2676">
        <v>0</v>
      </c>
      <c r="E2676" t="s">
        <v>16967</v>
      </c>
      <c r="F2676" t="s">
        <v>16968</v>
      </c>
      <c r="G2676" t="s">
        <v>16969</v>
      </c>
      <c r="H2676" t="s">
        <v>16970</v>
      </c>
      <c r="I2676" t="s">
        <v>16971</v>
      </c>
      <c r="J2676" t="s">
        <v>16972</v>
      </c>
      <c r="K2676" t="s">
        <v>16973</v>
      </c>
      <c r="L2676" t="s">
        <v>16966</v>
      </c>
    </row>
    <row r="2677" spans="1:12" x14ac:dyDescent="0.25">
      <c r="A2677">
        <v>488432</v>
      </c>
      <c r="B2677">
        <v>488448</v>
      </c>
      <c r="D2677">
        <v>0</v>
      </c>
      <c r="E2677" t="s">
        <v>16975</v>
      </c>
      <c r="F2677" t="s">
        <v>16976</v>
      </c>
      <c r="G2677" t="s">
        <v>16977</v>
      </c>
      <c r="H2677" t="s">
        <v>16978</v>
      </c>
      <c r="I2677" t="s">
        <v>16979</v>
      </c>
      <c r="J2677" t="s">
        <v>16980</v>
      </c>
      <c r="K2677" t="s">
        <v>16981</v>
      </c>
      <c r="L2677" t="s">
        <v>16974</v>
      </c>
    </row>
    <row r="2678" spans="1:12" x14ac:dyDescent="0.25">
      <c r="A2678">
        <v>488607</v>
      </c>
      <c r="B2678">
        <v>488618</v>
      </c>
      <c r="D2678">
        <v>0</v>
      </c>
      <c r="E2678" t="s">
        <v>16983</v>
      </c>
      <c r="F2678" t="s">
        <v>16984</v>
      </c>
      <c r="G2678" t="s">
        <v>16985</v>
      </c>
      <c r="H2678" t="s">
        <v>16986</v>
      </c>
      <c r="I2678" t="s">
        <v>16987</v>
      </c>
      <c r="J2678" t="s">
        <v>16988</v>
      </c>
      <c r="K2678" t="s">
        <v>16989</v>
      </c>
      <c r="L2678" t="s">
        <v>16982</v>
      </c>
    </row>
    <row r="2679" spans="1:12" x14ac:dyDescent="0.25">
      <c r="A2679">
        <v>488885</v>
      </c>
      <c r="B2679">
        <v>1571298</v>
      </c>
      <c r="D2679">
        <v>0</v>
      </c>
      <c r="E2679" t="s">
        <v>16991</v>
      </c>
      <c r="F2679" t="s">
        <v>16992</v>
      </c>
      <c r="G2679" t="s">
        <v>16993</v>
      </c>
      <c r="H2679" t="s">
        <v>16994</v>
      </c>
      <c r="I2679" t="s">
        <v>16995</v>
      </c>
      <c r="J2679" t="s">
        <v>16990</v>
      </c>
      <c r="K2679" t="s">
        <v>16996</v>
      </c>
      <c r="L2679" t="s">
        <v>16990</v>
      </c>
    </row>
    <row r="2680" spans="1:12" x14ac:dyDescent="0.25">
      <c r="A2680">
        <v>488904</v>
      </c>
      <c r="B2680">
        <v>489013</v>
      </c>
      <c r="D2680">
        <v>0</v>
      </c>
      <c r="E2680" t="s">
        <v>16998</v>
      </c>
      <c r="F2680" t="s">
        <v>16999</v>
      </c>
      <c r="G2680" t="s">
        <v>17000</v>
      </c>
      <c r="H2680" t="s">
        <v>17001</v>
      </c>
      <c r="I2680" t="s">
        <v>17002</v>
      </c>
      <c r="J2680" t="s">
        <v>17003</v>
      </c>
      <c r="K2680" t="s">
        <v>17004</v>
      </c>
      <c r="L2680" t="s">
        <v>16997</v>
      </c>
    </row>
    <row r="2681" spans="1:12" x14ac:dyDescent="0.25">
      <c r="A2681">
        <v>488904</v>
      </c>
      <c r="B2681">
        <v>489013</v>
      </c>
      <c r="D2681">
        <v>0</v>
      </c>
      <c r="E2681" t="s">
        <v>17006</v>
      </c>
      <c r="F2681" t="s">
        <v>17007</v>
      </c>
      <c r="G2681" t="s">
        <v>17008</v>
      </c>
      <c r="H2681" t="s">
        <v>17009</v>
      </c>
      <c r="I2681" t="s">
        <v>17010</v>
      </c>
      <c r="J2681" t="s">
        <v>17011</v>
      </c>
      <c r="K2681" t="s">
        <v>17012</v>
      </c>
      <c r="L2681" t="s">
        <v>17005</v>
      </c>
    </row>
    <row r="2682" spans="1:12" x14ac:dyDescent="0.25">
      <c r="A2682">
        <v>488904</v>
      </c>
      <c r="B2682">
        <v>822430</v>
      </c>
      <c r="D2682" t="s">
        <v>10069</v>
      </c>
      <c r="E2682" t="s">
        <v>17014</v>
      </c>
      <c r="F2682" t="s">
        <v>17015</v>
      </c>
      <c r="G2682" t="s">
        <v>17016</v>
      </c>
      <c r="H2682" t="s">
        <v>17017</v>
      </c>
      <c r="I2682" t="s">
        <v>17018</v>
      </c>
      <c r="J2682" t="s">
        <v>17019</v>
      </c>
      <c r="K2682" t="s">
        <v>17020</v>
      </c>
      <c r="L2682" t="s">
        <v>17013</v>
      </c>
    </row>
    <row r="2683" spans="1:12" x14ac:dyDescent="0.25">
      <c r="A2683">
        <v>489013</v>
      </c>
      <c r="B2683">
        <v>1854849</v>
      </c>
      <c r="C2683" t="s">
        <v>17021</v>
      </c>
      <c r="D2683">
        <v>0</v>
      </c>
      <c r="E2683" t="s">
        <v>17022</v>
      </c>
      <c r="H2683" t="s">
        <v>187</v>
      </c>
      <c r="J2683">
        <v>0</v>
      </c>
      <c r="K2683" t="s">
        <v>4853</v>
      </c>
      <c r="L2683">
        <v>0</v>
      </c>
    </row>
    <row r="2684" spans="1:12" x14ac:dyDescent="0.25">
      <c r="A2684">
        <v>489103</v>
      </c>
      <c r="B2684">
        <v>489116</v>
      </c>
      <c r="D2684">
        <v>0</v>
      </c>
      <c r="F2684">
        <v>1031336</v>
      </c>
      <c r="G2684">
        <v>489116</v>
      </c>
      <c r="H2684" t="s">
        <v>1939</v>
      </c>
      <c r="I2684">
        <v>489103</v>
      </c>
      <c r="J2684" t="s">
        <v>1939</v>
      </c>
      <c r="K2684" t="s">
        <v>17023</v>
      </c>
      <c r="L2684" t="s">
        <v>1939</v>
      </c>
    </row>
    <row r="2685" spans="1:12" x14ac:dyDescent="0.25">
      <c r="A2685">
        <v>489116</v>
      </c>
      <c r="B2685">
        <v>489117</v>
      </c>
      <c r="D2685">
        <v>0</v>
      </c>
      <c r="F2685">
        <v>488856</v>
      </c>
      <c r="G2685">
        <v>489117</v>
      </c>
      <c r="H2685" t="e" vm="481">
        <f>_FV(0,"029")</f>
        <v>#VALUE!</v>
      </c>
      <c r="I2685">
        <v>489116</v>
      </c>
      <c r="J2685" t="s">
        <v>5410</v>
      </c>
      <c r="K2685" t="s">
        <v>17024</v>
      </c>
      <c r="L2685" t="e" vm="481">
        <f>_FV(0,"029")</f>
        <v>#VALUE!</v>
      </c>
    </row>
    <row r="2686" spans="1:12" x14ac:dyDescent="0.25">
      <c r="A2686">
        <v>489116</v>
      </c>
      <c r="B2686">
        <v>491693</v>
      </c>
      <c r="D2686">
        <v>0</v>
      </c>
      <c r="F2686">
        <v>491166</v>
      </c>
      <c r="G2686">
        <v>491693</v>
      </c>
      <c r="H2686" t="e" vm="184">
        <f>_FV(0,"031")</f>
        <v>#VALUE!</v>
      </c>
      <c r="I2686">
        <v>489116</v>
      </c>
      <c r="J2686" t="s">
        <v>2871</v>
      </c>
      <c r="K2686" t="s">
        <v>17025</v>
      </c>
      <c r="L2686" t="e" vm="184">
        <f>_FV(0,"031")</f>
        <v>#VALUE!</v>
      </c>
    </row>
    <row r="2687" spans="1:12" x14ac:dyDescent="0.25">
      <c r="A2687">
        <v>489117</v>
      </c>
      <c r="B2687">
        <v>491693</v>
      </c>
      <c r="D2687">
        <v>0</v>
      </c>
      <c r="E2687" t="s">
        <v>17027</v>
      </c>
      <c r="F2687" t="s">
        <v>17028</v>
      </c>
      <c r="G2687" t="s">
        <v>17029</v>
      </c>
      <c r="H2687" t="e" vm="1174">
        <f>_FV(0,"000864980817785457")</f>
        <v>#VALUE!</v>
      </c>
      <c r="I2687" t="s">
        <v>17030</v>
      </c>
      <c r="J2687" t="s">
        <v>2068</v>
      </c>
      <c r="K2687" t="s">
        <v>17031</v>
      </c>
      <c r="L2687" t="s">
        <v>17026</v>
      </c>
    </row>
    <row r="2688" spans="1:12" x14ac:dyDescent="0.25">
      <c r="A2688">
        <v>490103</v>
      </c>
      <c r="B2688">
        <v>439585</v>
      </c>
      <c r="C2688" t="s">
        <v>17033</v>
      </c>
      <c r="D2688">
        <v>0</v>
      </c>
      <c r="E2688" t="s">
        <v>17034</v>
      </c>
      <c r="F2688" t="s">
        <v>17035</v>
      </c>
      <c r="G2688" t="s">
        <v>17036</v>
      </c>
      <c r="H2688" t="e" vm="1175">
        <f>_FV(0,"0005706645405814623")</f>
        <v>#VALUE!</v>
      </c>
      <c r="I2688" t="s">
        <v>17037</v>
      </c>
      <c r="J2688" t="s">
        <v>17038</v>
      </c>
      <c r="K2688" t="s">
        <v>17039</v>
      </c>
      <c r="L2688" t="s">
        <v>17032</v>
      </c>
    </row>
    <row r="2689" spans="1:12" x14ac:dyDescent="0.25">
      <c r="A2689">
        <v>491693</v>
      </c>
      <c r="B2689">
        <v>976673</v>
      </c>
      <c r="D2689">
        <v>0</v>
      </c>
      <c r="F2689">
        <v>1021246</v>
      </c>
      <c r="G2689">
        <v>491693</v>
      </c>
      <c r="H2689" t="s">
        <v>890</v>
      </c>
      <c r="I2689">
        <v>976673</v>
      </c>
      <c r="J2689" t="s">
        <v>890</v>
      </c>
      <c r="K2689" t="s">
        <v>17040</v>
      </c>
      <c r="L2689" t="s">
        <v>890</v>
      </c>
    </row>
    <row r="2690" spans="1:12" x14ac:dyDescent="0.25">
      <c r="A2690">
        <v>475258</v>
      </c>
      <c r="B2690">
        <v>673225</v>
      </c>
      <c r="D2690">
        <v>0</v>
      </c>
      <c r="E2690" t="s">
        <v>17042</v>
      </c>
      <c r="F2690" t="s">
        <v>17043</v>
      </c>
      <c r="G2690" t="s">
        <v>17044</v>
      </c>
      <c r="H2690" t="s">
        <v>17045</v>
      </c>
      <c r="I2690" t="s">
        <v>17046</v>
      </c>
      <c r="J2690" t="s">
        <v>17047</v>
      </c>
      <c r="K2690" t="s">
        <v>17048</v>
      </c>
      <c r="L2690" t="s">
        <v>17041</v>
      </c>
    </row>
    <row r="2691" spans="1:12" x14ac:dyDescent="0.25">
      <c r="A2691">
        <v>509426</v>
      </c>
      <c r="B2691">
        <v>509456</v>
      </c>
      <c r="D2691">
        <v>0</v>
      </c>
      <c r="E2691" t="s">
        <v>17050</v>
      </c>
      <c r="F2691" t="s">
        <v>17051</v>
      </c>
      <c r="G2691" t="s">
        <v>17052</v>
      </c>
      <c r="H2691" t="s">
        <v>17053</v>
      </c>
      <c r="I2691" t="s">
        <v>17054</v>
      </c>
      <c r="J2691" t="s">
        <v>17049</v>
      </c>
      <c r="K2691" t="s">
        <v>17055</v>
      </c>
      <c r="L2691" t="s">
        <v>17049</v>
      </c>
    </row>
    <row r="2692" spans="1:12" x14ac:dyDescent="0.25">
      <c r="A2692">
        <v>509426</v>
      </c>
      <c r="B2692">
        <v>885208</v>
      </c>
      <c r="D2692">
        <v>0</v>
      </c>
      <c r="E2692" t="s">
        <v>17056</v>
      </c>
      <c r="F2692" t="s">
        <v>17057</v>
      </c>
      <c r="G2692" t="s">
        <v>17058</v>
      </c>
      <c r="H2692" t="s">
        <v>17059</v>
      </c>
      <c r="I2692" t="s">
        <v>17060</v>
      </c>
      <c r="J2692" t="s">
        <v>648</v>
      </c>
      <c r="K2692" t="s">
        <v>17061</v>
      </c>
      <c r="L2692" t="s">
        <v>648</v>
      </c>
    </row>
    <row r="2693" spans="1:12" x14ac:dyDescent="0.25">
      <c r="A2693">
        <v>509426</v>
      </c>
      <c r="B2693">
        <v>885221</v>
      </c>
      <c r="D2693">
        <v>0</v>
      </c>
      <c r="E2693" t="s">
        <v>17063</v>
      </c>
      <c r="F2693" t="s">
        <v>17064</v>
      </c>
      <c r="G2693" t="s">
        <v>17065</v>
      </c>
      <c r="H2693" t="s">
        <v>17066</v>
      </c>
      <c r="I2693" t="s">
        <v>17067</v>
      </c>
      <c r="J2693" t="s">
        <v>17062</v>
      </c>
      <c r="K2693" t="s">
        <v>17068</v>
      </c>
      <c r="L2693" t="s">
        <v>17062</v>
      </c>
    </row>
    <row r="2694" spans="1:12" x14ac:dyDescent="0.25">
      <c r="A2694">
        <v>509456</v>
      </c>
      <c r="B2694">
        <v>509456</v>
      </c>
      <c r="D2694">
        <v>0</v>
      </c>
      <c r="E2694" t="s">
        <v>17070</v>
      </c>
      <c r="F2694" t="s">
        <v>17071</v>
      </c>
      <c r="G2694" t="s">
        <v>17072</v>
      </c>
      <c r="H2694" t="s">
        <v>17073</v>
      </c>
      <c r="I2694" t="s">
        <v>17074</v>
      </c>
      <c r="J2694" t="s">
        <v>17075</v>
      </c>
      <c r="K2694" t="s">
        <v>17076</v>
      </c>
      <c r="L2694" t="s">
        <v>17069</v>
      </c>
    </row>
    <row r="2695" spans="1:12" x14ac:dyDescent="0.25">
      <c r="A2695">
        <v>509670</v>
      </c>
      <c r="B2695">
        <v>509699</v>
      </c>
      <c r="D2695">
        <v>0</v>
      </c>
      <c r="E2695" t="s">
        <v>17078</v>
      </c>
      <c r="F2695" t="s">
        <v>17079</v>
      </c>
      <c r="G2695" t="s">
        <v>17080</v>
      </c>
      <c r="H2695" t="s">
        <v>17081</v>
      </c>
      <c r="I2695" t="s">
        <v>17082</v>
      </c>
      <c r="J2695" t="s">
        <v>17083</v>
      </c>
      <c r="K2695" t="s">
        <v>17084</v>
      </c>
      <c r="L2695" t="s">
        <v>17077</v>
      </c>
    </row>
    <row r="2696" spans="1:12" x14ac:dyDescent="0.25">
      <c r="A2696">
        <v>509670</v>
      </c>
      <c r="B2696">
        <v>509753</v>
      </c>
      <c r="D2696">
        <v>0</v>
      </c>
      <c r="E2696" t="s">
        <v>17086</v>
      </c>
      <c r="F2696" t="s">
        <v>17087</v>
      </c>
      <c r="G2696" t="s">
        <v>17088</v>
      </c>
      <c r="H2696" t="s">
        <v>17089</v>
      </c>
      <c r="I2696" t="s">
        <v>17090</v>
      </c>
      <c r="J2696" t="s">
        <v>17085</v>
      </c>
      <c r="K2696" t="s">
        <v>17091</v>
      </c>
      <c r="L2696" t="s">
        <v>17085</v>
      </c>
    </row>
    <row r="2697" spans="1:12" x14ac:dyDescent="0.25">
      <c r="A2697">
        <v>509670</v>
      </c>
      <c r="B2697">
        <v>518781</v>
      </c>
      <c r="D2697">
        <v>0</v>
      </c>
      <c r="E2697" t="s">
        <v>17093</v>
      </c>
      <c r="F2697" t="s">
        <v>17094</v>
      </c>
      <c r="G2697" t="s">
        <v>17095</v>
      </c>
      <c r="H2697" t="e" vm="1176">
        <f>_FV(0,"00920781189206088")</f>
        <v>#VALUE!</v>
      </c>
      <c r="I2697" t="s">
        <v>17096</v>
      </c>
      <c r="J2697" t="s">
        <v>17097</v>
      </c>
      <c r="K2697" t="s">
        <v>17098</v>
      </c>
      <c r="L2697" t="s">
        <v>17092</v>
      </c>
    </row>
    <row r="2698" spans="1:12" x14ac:dyDescent="0.25">
      <c r="A2698">
        <v>509699</v>
      </c>
      <c r="B2698">
        <v>509720</v>
      </c>
      <c r="D2698">
        <v>0</v>
      </c>
      <c r="E2698" t="s">
        <v>17100</v>
      </c>
      <c r="F2698" t="s">
        <v>17101</v>
      </c>
      <c r="G2698" t="s">
        <v>17102</v>
      </c>
      <c r="H2698" t="e" vm="1177">
        <f>_FV(0,"05085366527390367")</f>
        <v>#VALUE!</v>
      </c>
      <c r="I2698" t="s">
        <v>17103</v>
      </c>
      <c r="J2698" t="s">
        <v>17104</v>
      </c>
      <c r="K2698" t="s">
        <v>17105</v>
      </c>
      <c r="L2698" t="s">
        <v>17099</v>
      </c>
    </row>
    <row r="2699" spans="1:12" x14ac:dyDescent="0.25">
      <c r="A2699">
        <v>509699</v>
      </c>
      <c r="B2699">
        <v>518859</v>
      </c>
      <c r="D2699">
        <v>0</v>
      </c>
      <c r="E2699" t="s">
        <v>17107</v>
      </c>
      <c r="F2699" t="s">
        <v>17108</v>
      </c>
      <c r="G2699" t="s">
        <v>17109</v>
      </c>
      <c r="H2699" t="e" vm="1178">
        <f>_FV(0,"06281454844144692")</f>
        <v>#VALUE!</v>
      </c>
      <c r="I2699" t="s">
        <v>17110</v>
      </c>
      <c r="J2699" t="s">
        <v>17111</v>
      </c>
      <c r="K2699" t="s">
        <v>17112</v>
      </c>
      <c r="L2699" t="s">
        <v>17106</v>
      </c>
    </row>
    <row r="2700" spans="1:12" x14ac:dyDescent="0.25">
      <c r="A2700">
        <v>509720</v>
      </c>
      <c r="B2700">
        <v>509753</v>
      </c>
      <c r="D2700">
        <v>0</v>
      </c>
      <c r="E2700" t="s">
        <v>17114</v>
      </c>
      <c r="F2700" t="s">
        <v>17115</v>
      </c>
      <c r="G2700" t="s">
        <v>17116</v>
      </c>
      <c r="H2700" t="e" vm="1179">
        <f>_FV(0,"020564446688064657")</f>
        <v>#VALUE!</v>
      </c>
      <c r="I2700" t="s">
        <v>17117</v>
      </c>
      <c r="J2700" t="s">
        <v>17118</v>
      </c>
      <c r="K2700" t="s">
        <v>17119</v>
      </c>
      <c r="L2700" t="s">
        <v>17113</v>
      </c>
    </row>
    <row r="2701" spans="1:12" x14ac:dyDescent="0.25">
      <c r="A2701">
        <v>509720</v>
      </c>
      <c r="B2701">
        <v>518859</v>
      </c>
      <c r="D2701">
        <v>0</v>
      </c>
      <c r="E2701" t="s">
        <v>17121</v>
      </c>
      <c r="F2701" t="s">
        <v>17122</v>
      </c>
      <c r="G2701" t="s">
        <v>17123</v>
      </c>
      <c r="H2701" t="e" vm="1180">
        <f>_FV(0,"035760975389659326")</f>
        <v>#VALUE!</v>
      </c>
      <c r="I2701" t="s">
        <v>17124</v>
      </c>
      <c r="J2701" t="s">
        <v>17125</v>
      </c>
      <c r="K2701" t="s">
        <v>17126</v>
      </c>
      <c r="L2701" t="s">
        <v>17120</v>
      </c>
    </row>
    <row r="2702" spans="1:12" x14ac:dyDescent="0.25">
      <c r="A2702">
        <v>509753</v>
      </c>
      <c r="B2702">
        <v>518781</v>
      </c>
      <c r="D2702">
        <v>0</v>
      </c>
      <c r="E2702" t="s">
        <v>17128</v>
      </c>
      <c r="F2702" t="s">
        <v>17129</v>
      </c>
      <c r="G2702" t="s">
        <v>17130</v>
      </c>
      <c r="H2702" t="e" vm="1181">
        <f>_FV(0,"014368416926286626")</f>
        <v>#VALUE!</v>
      </c>
      <c r="I2702" t="s">
        <v>17131</v>
      </c>
      <c r="J2702" t="s">
        <v>17132</v>
      </c>
      <c r="K2702" t="s">
        <v>17133</v>
      </c>
      <c r="L2702" t="s">
        <v>17127</v>
      </c>
    </row>
    <row r="2703" spans="1:12" x14ac:dyDescent="0.25">
      <c r="A2703">
        <v>518287</v>
      </c>
      <c r="B2703">
        <v>518297</v>
      </c>
      <c r="D2703">
        <v>0</v>
      </c>
      <c r="F2703">
        <v>512344</v>
      </c>
      <c r="G2703">
        <v>518297</v>
      </c>
      <c r="H2703" t="s">
        <v>7225</v>
      </c>
      <c r="I2703">
        <v>518287</v>
      </c>
      <c r="J2703" t="s">
        <v>7225</v>
      </c>
      <c r="K2703" t="s">
        <v>17134</v>
      </c>
      <c r="L2703" t="s">
        <v>7225</v>
      </c>
    </row>
    <row r="2704" spans="1:12" x14ac:dyDescent="0.25">
      <c r="A2704">
        <v>518287</v>
      </c>
      <c r="B2704">
        <v>733299</v>
      </c>
      <c r="D2704">
        <v>0</v>
      </c>
      <c r="E2704" t="s">
        <v>17136</v>
      </c>
      <c r="F2704" t="s">
        <v>17137</v>
      </c>
      <c r="G2704" t="s">
        <v>17138</v>
      </c>
      <c r="H2704" t="s">
        <v>17139</v>
      </c>
      <c r="I2704" t="s">
        <v>17140</v>
      </c>
      <c r="J2704" t="s">
        <v>17141</v>
      </c>
      <c r="K2704" t="s">
        <v>17142</v>
      </c>
      <c r="L2704" t="s">
        <v>17135</v>
      </c>
    </row>
    <row r="2705" spans="1:12" x14ac:dyDescent="0.25">
      <c r="A2705">
        <v>518287</v>
      </c>
      <c r="B2705">
        <v>763014</v>
      </c>
      <c r="C2705" t="s">
        <v>17144</v>
      </c>
      <c r="D2705" t="s">
        <v>4301</v>
      </c>
      <c r="E2705" t="s">
        <v>17145</v>
      </c>
      <c r="F2705" t="s">
        <v>17146</v>
      </c>
      <c r="G2705" t="s">
        <v>17147</v>
      </c>
      <c r="H2705" t="s">
        <v>17148</v>
      </c>
      <c r="I2705" t="s">
        <v>17149</v>
      </c>
      <c r="J2705" t="s">
        <v>17150</v>
      </c>
      <c r="K2705" t="s">
        <v>17151</v>
      </c>
      <c r="L2705" t="s">
        <v>17143</v>
      </c>
    </row>
    <row r="2706" spans="1:12" x14ac:dyDescent="0.25">
      <c r="A2706">
        <v>518290</v>
      </c>
      <c r="B2706">
        <v>518291</v>
      </c>
      <c r="D2706">
        <v>0</v>
      </c>
      <c r="F2706">
        <v>512338</v>
      </c>
      <c r="G2706">
        <v>518291</v>
      </c>
      <c r="H2706" t="e" vm="12">
        <f>_FV(0,"005")</f>
        <v>#VALUE!</v>
      </c>
      <c r="I2706">
        <v>518290</v>
      </c>
      <c r="J2706" t="s">
        <v>194</v>
      </c>
      <c r="K2706" t="s">
        <v>17152</v>
      </c>
      <c r="L2706" t="e" vm="12">
        <f>_FV(0,"005")</f>
        <v>#VALUE!</v>
      </c>
    </row>
    <row r="2707" spans="1:12" x14ac:dyDescent="0.25">
      <c r="A2707">
        <v>518290</v>
      </c>
      <c r="B2707">
        <v>861726</v>
      </c>
      <c r="D2707">
        <v>0</v>
      </c>
      <c r="E2707" t="s">
        <v>17154</v>
      </c>
      <c r="F2707" t="s">
        <v>17155</v>
      </c>
      <c r="G2707" t="s">
        <v>17156</v>
      </c>
      <c r="H2707" t="e" vm="1182">
        <f>_FV(0,"03578891322036211")</f>
        <v>#VALUE!</v>
      </c>
      <c r="I2707" t="s">
        <v>17157</v>
      </c>
      <c r="J2707" t="s">
        <v>17158</v>
      </c>
      <c r="K2707" t="s">
        <v>17159</v>
      </c>
      <c r="L2707" t="s">
        <v>17153</v>
      </c>
    </row>
    <row r="2708" spans="1:12" x14ac:dyDescent="0.25">
      <c r="A2708">
        <v>518290</v>
      </c>
      <c r="B2708">
        <v>884140</v>
      </c>
      <c r="C2708" t="s">
        <v>17161</v>
      </c>
      <c r="D2708" t="s">
        <v>17162</v>
      </c>
      <c r="E2708" t="s">
        <v>17163</v>
      </c>
      <c r="F2708" t="s">
        <v>17164</v>
      </c>
      <c r="G2708" t="s">
        <v>17165</v>
      </c>
      <c r="H2708" t="e" vm="1183">
        <f>_FV(0,"0021113222790571")</f>
        <v>#VALUE!</v>
      </c>
      <c r="I2708" t="s">
        <v>17166</v>
      </c>
      <c r="J2708" t="s">
        <v>17167</v>
      </c>
      <c r="K2708" t="s">
        <v>17168</v>
      </c>
      <c r="L2708" t="s">
        <v>17160</v>
      </c>
    </row>
    <row r="2709" spans="1:12" x14ac:dyDescent="0.25">
      <c r="A2709">
        <v>518291</v>
      </c>
      <c r="B2709">
        <v>518311</v>
      </c>
      <c r="D2709">
        <v>0</v>
      </c>
      <c r="E2709" t="s">
        <v>17170</v>
      </c>
      <c r="F2709" t="s">
        <v>17171</v>
      </c>
      <c r="G2709" t="s">
        <v>17172</v>
      </c>
      <c r="H2709" t="e" vm="1184">
        <f>_FV(0,"04947450292336973")</f>
        <v>#VALUE!</v>
      </c>
      <c r="I2709" t="s">
        <v>17173</v>
      </c>
      <c r="J2709" t="s">
        <v>17174</v>
      </c>
      <c r="K2709" t="s">
        <v>17175</v>
      </c>
      <c r="L2709" t="s">
        <v>17169</v>
      </c>
    </row>
    <row r="2710" spans="1:12" x14ac:dyDescent="0.25">
      <c r="A2710">
        <v>518291</v>
      </c>
      <c r="B2710">
        <v>861711</v>
      </c>
      <c r="D2710">
        <v>0</v>
      </c>
      <c r="E2710" t="s">
        <v>17177</v>
      </c>
      <c r="F2710" t="s">
        <v>17178</v>
      </c>
      <c r="G2710" t="s">
        <v>17179</v>
      </c>
      <c r="H2710" t="e" vm="1185">
        <f>_FV(0,"04114278424548648")</f>
        <v>#VALUE!</v>
      </c>
      <c r="I2710" t="s">
        <v>17180</v>
      </c>
      <c r="J2710" t="s">
        <v>17181</v>
      </c>
      <c r="K2710" t="s">
        <v>17182</v>
      </c>
      <c r="L2710" t="s">
        <v>17176</v>
      </c>
    </row>
    <row r="2711" spans="1:12" x14ac:dyDescent="0.25">
      <c r="A2711">
        <v>518297</v>
      </c>
      <c r="B2711">
        <v>518358</v>
      </c>
      <c r="D2711">
        <v>0</v>
      </c>
      <c r="E2711" t="s">
        <v>17184</v>
      </c>
      <c r="F2711" t="s">
        <v>17185</v>
      </c>
      <c r="G2711" t="s">
        <v>17186</v>
      </c>
      <c r="H2711" t="e" vm="1186">
        <f>_FV(0,"01412815010511003")</f>
        <v>#VALUE!</v>
      </c>
      <c r="I2711" t="s">
        <v>17187</v>
      </c>
      <c r="J2711" t="s">
        <v>17188</v>
      </c>
      <c r="K2711" t="s">
        <v>17189</v>
      </c>
      <c r="L2711" t="s">
        <v>17183</v>
      </c>
    </row>
    <row r="2712" spans="1:12" x14ac:dyDescent="0.25">
      <c r="A2712">
        <v>518297</v>
      </c>
      <c r="B2712">
        <v>733331</v>
      </c>
      <c r="D2712">
        <v>0</v>
      </c>
      <c r="E2712" t="s">
        <v>17191</v>
      </c>
      <c r="F2712" t="s">
        <v>17192</v>
      </c>
      <c r="G2712" t="s">
        <v>17193</v>
      </c>
      <c r="H2712" t="s">
        <v>17194</v>
      </c>
      <c r="I2712" t="s">
        <v>17195</v>
      </c>
      <c r="J2712" t="s">
        <v>17196</v>
      </c>
      <c r="K2712" t="s">
        <v>17197</v>
      </c>
      <c r="L2712" t="s">
        <v>17190</v>
      </c>
    </row>
    <row r="2713" spans="1:12" x14ac:dyDescent="0.25">
      <c r="A2713">
        <v>518311</v>
      </c>
      <c r="B2713">
        <v>518321</v>
      </c>
      <c r="D2713">
        <v>0</v>
      </c>
      <c r="F2713">
        <v>512362</v>
      </c>
      <c r="G2713">
        <v>518321</v>
      </c>
      <c r="H2713" t="e" vm="1187">
        <f>_FV(0,"041")</f>
        <v>#VALUE!</v>
      </c>
      <c r="I2713">
        <v>518311</v>
      </c>
      <c r="J2713" t="s">
        <v>14034</v>
      </c>
      <c r="K2713" t="s">
        <v>17198</v>
      </c>
      <c r="L2713" t="e" vm="1187">
        <f>_FV(0,"041")</f>
        <v>#VALUE!</v>
      </c>
    </row>
    <row r="2714" spans="1:12" x14ac:dyDescent="0.25">
      <c r="A2714">
        <v>518311</v>
      </c>
      <c r="B2714">
        <v>861726</v>
      </c>
      <c r="D2714">
        <v>0</v>
      </c>
      <c r="F2714">
        <v>887920</v>
      </c>
      <c r="G2714">
        <v>861726</v>
      </c>
      <c r="H2714" t="s">
        <v>688</v>
      </c>
      <c r="I2714">
        <v>518311</v>
      </c>
      <c r="J2714" t="s">
        <v>688</v>
      </c>
      <c r="K2714" t="s">
        <v>17199</v>
      </c>
      <c r="L2714" t="s">
        <v>688</v>
      </c>
    </row>
    <row r="2715" spans="1:12" x14ac:dyDescent="0.25">
      <c r="A2715">
        <v>518311</v>
      </c>
      <c r="B2715">
        <v>861711</v>
      </c>
      <c r="D2715">
        <v>0</v>
      </c>
      <c r="E2715" t="s">
        <v>17201</v>
      </c>
      <c r="F2715" t="s">
        <v>17202</v>
      </c>
      <c r="G2715" t="s">
        <v>17203</v>
      </c>
      <c r="H2715" t="e" vm="1188">
        <f>_FV(0,"007173750543252653")</f>
        <v>#VALUE!</v>
      </c>
      <c r="I2715" t="s">
        <v>17204</v>
      </c>
      <c r="J2715" t="s">
        <v>17205</v>
      </c>
      <c r="K2715" t="s">
        <v>17206</v>
      </c>
      <c r="L2715" t="s">
        <v>17200</v>
      </c>
    </row>
    <row r="2716" spans="1:12" x14ac:dyDescent="0.25">
      <c r="A2716">
        <v>518321</v>
      </c>
      <c r="B2716">
        <v>861726</v>
      </c>
      <c r="D2716">
        <v>0</v>
      </c>
      <c r="F2716">
        <v>926521</v>
      </c>
      <c r="G2716">
        <v>861726</v>
      </c>
      <c r="H2716" t="s">
        <v>7523</v>
      </c>
      <c r="I2716">
        <v>518321</v>
      </c>
      <c r="J2716" t="s">
        <v>7523</v>
      </c>
      <c r="K2716" t="s">
        <v>17207</v>
      </c>
      <c r="L2716" t="s">
        <v>7523</v>
      </c>
    </row>
    <row r="2717" spans="1:12" x14ac:dyDescent="0.25">
      <c r="A2717">
        <v>518321</v>
      </c>
      <c r="B2717">
        <v>518382</v>
      </c>
      <c r="D2717">
        <v>0</v>
      </c>
      <c r="E2717" t="s">
        <v>17209</v>
      </c>
      <c r="F2717" t="s">
        <v>17210</v>
      </c>
      <c r="G2717" t="s">
        <v>17211</v>
      </c>
      <c r="H2717" t="s">
        <v>17212</v>
      </c>
      <c r="I2717" t="s">
        <v>17213</v>
      </c>
      <c r="J2717" t="s">
        <v>17214</v>
      </c>
      <c r="K2717" t="s">
        <v>17215</v>
      </c>
      <c r="L2717" t="s">
        <v>17208</v>
      </c>
    </row>
    <row r="2718" spans="1:12" x14ac:dyDescent="0.25">
      <c r="A2718">
        <v>518321</v>
      </c>
      <c r="B2718">
        <v>861711</v>
      </c>
      <c r="D2718">
        <v>0</v>
      </c>
      <c r="E2718" t="s">
        <v>17217</v>
      </c>
      <c r="F2718" t="s">
        <v>17218</v>
      </c>
      <c r="G2718" t="s">
        <v>17219</v>
      </c>
      <c r="H2718" t="e" vm="1189">
        <f>_FV(0,"01329602543150763")</f>
        <v>#VALUE!</v>
      </c>
      <c r="I2718" t="s">
        <v>17220</v>
      </c>
      <c r="J2718" t="s">
        <v>17221</v>
      </c>
      <c r="K2718" t="s">
        <v>17222</v>
      </c>
      <c r="L2718" t="s">
        <v>17216</v>
      </c>
    </row>
    <row r="2719" spans="1:12" x14ac:dyDescent="0.25">
      <c r="A2719">
        <v>518358</v>
      </c>
      <c r="B2719">
        <v>735276</v>
      </c>
      <c r="C2719" t="s">
        <v>17224</v>
      </c>
      <c r="D2719" t="s">
        <v>17225</v>
      </c>
      <c r="E2719" t="s">
        <v>17226</v>
      </c>
      <c r="F2719" t="s">
        <v>17227</v>
      </c>
      <c r="G2719" t="s">
        <v>17228</v>
      </c>
      <c r="H2719" t="e" vm="1190">
        <f>_FV(0,"02034734233159713")</f>
        <v>#VALUE!</v>
      </c>
      <c r="I2719" t="s">
        <v>17229</v>
      </c>
      <c r="J2719" t="s">
        <v>17230</v>
      </c>
      <c r="K2719" t="s">
        <v>17231</v>
      </c>
      <c r="L2719" t="s">
        <v>17223</v>
      </c>
    </row>
    <row r="2720" spans="1:12" x14ac:dyDescent="0.25">
      <c r="A2720">
        <v>518358</v>
      </c>
      <c r="B2720">
        <v>716967</v>
      </c>
      <c r="D2720">
        <v>0</v>
      </c>
      <c r="E2720" t="s">
        <v>17233</v>
      </c>
      <c r="F2720" t="s">
        <v>17234</v>
      </c>
      <c r="G2720" t="s">
        <v>17235</v>
      </c>
      <c r="H2720" t="e" vm="1191">
        <f>_FV(0,"025672101169114652")</f>
        <v>#VALUE!</v>
      </c>
      <c r="I2720" t="s">
        <v>17236</v>
      </c>
      <c r="J2720" t="s">
        <v>17237</v>
      </c>
      <c r="K2720" t="s">
        <v>17238</v>
      </c>
      <c r="L2720" t="s">
        <v>17232</v>
      </c>
    </row>
    <row r="2721" spans="1:12" x14ac:dyDescent="0.25">
      <c r="A2721">
        <v>518382</v>
      </c>
      <c r="B2721">
        <v>887369</v>
      </c>
      <c r="D2721">
        <v>0</v>
      </c>
      <c r="E2721" t="s">
        <v>17240</v>
      </c>
      <c r="F2721" t="s">
        <v>17241</v>
      </c>
      <c r="G2721" t="s">
        <v>17242</v>
      </c>
      <c r="H2721" t="s">
        <v>17243</v>
      </c>
      <c r="I2721" t="s">
        <v>17244</v>
      </c>
      <c r="J2721" t="s">
        <v>17239</v>
      </c>
      <c r="K2721" t="s">
        <v>17245</v>
      </c>
      <c r="L2721" t="s">
        <v>17239</v>
      </c>
    </row>
    <row r="2722" spans="1:12" x14ac:dyDescent="0.25">
      <c r="A2722">
        <v>518382</v>
      </c>
      <c r="B2722">
        <v>861726</v>
      </c>
      <c r="D2722">
        <v>0</v>
      </c>
      <c r="E2722" t="s">
        <v>17247</v>
      </c>
      <c r="F2722" t="s">
        <v>17248</v>
      </c>
      <c r="G2722" t="s">
        <v>17249</v>
      </c>
      <c r="H2722" t="s">
        <v>17250</v>
      </c>
      <c r="I2722" t="s">
        <v>17251</v>
      </c>
      <c r="J2722" t="s">
        <v>17252</v>
      </c>
      <c r="K2722" t="s">
        <v>17253</v>
      </c>
      <c r="L2722" t="s">
        <v>17246</v>
      </c>
    </row>
    <row r="2723" spans="1:12" x14ac:dyDescent="0.25">
      <c r="A2723">
        <v>518394</v>
      </c>
      <c r="B2723">
        <v>518407</v>
      </c>
      <c r="D2723">
        <v>0</v>
      </c>
      <c r="E2723" t="s">
        <v>17255</v>
      </c>
      <c r="F2723" t="s">
        <v>17256</v>
      </c>
      <c r="G2723" t="s">
        <v>17257</v>
      </c>
      <c r="H2723" t="s">
        <v>17258</v>
      </c>
      <c r="I2723" t="s">
        <v>17259</v>
      </c>
      <c r="J2723" t="s">
        <v>17254</v>
      </c>
      <c r="K2723" t="s">
        <v>17260</v>
      </c>
      <c r="L2723" t="s">
        <v>17254</v>
      </c>
    </row>
    <row r="2724" spans="1:12" x14ac:dyDescent="0.25">
      <c r="A2724">
        <v>518394</v>
      </c>
      <c r="B2724">
        <v>951989</v>
      </c>
      <c r="D2724" t="s">
        <v>17262</v>
      </c>
      <c r="E2724" t="s">
        <v>17263</v>
      </c>
      <c r="F2724" t="s">
        <v>17264</v>
      </c>
      <c r="G2724" t="s">
        <v>17265</v>
      </c>
      <c r="H2724" t="s">
        <v>17266</v>
      </c>
      <c r="I2724" t="s">
        <v>17267</v>
      </c>
      <c r="J2724" t="s">
        <v>17268</v>
      </c>
      <c r="K2724" t="s">
        <v>17269</v>
      </c>
      <c r="L2724" t="s">
        <v>17261</v>
      </c>
    </row>
    <row r="2725" spans="1:12" x14ac:dyDescent="0.25">
      <c r="A2725">
        <v>518401</v>
      </c>
      <c r="B2725">
        <v>518424</v>
      </c>
      <c r="D2725">
        <v>0</v>
      </c>
      <c r="E2725" t="s">
        <v>17271</v>
      </c>
      <c r="F2725" t="s">
        <v>17272</v>
      </c>
      <c r="G2725" t="s">
        <v>17273</v>
      </c>
      <c r="H2725" t="e" vm="1192">
        <f>_FV(0,"04234263666433126")</f>
        <v>#VALUE!</v>
      </c>
      <c r="I2725" t="s">
        <v>17274</v>
      </c>
      <c r="J2725" t="s">
        <v>17275</v>
      </c>
      <c r="K2725" t="s">
        <v>17276</v>
      </c>
      <c r="L2725" t="s">
        <v>17270</v>
      </c>
    </row>
    <row r="2726" spans="1:12" x14ac:dyDescent="0.25">
      <c r="A2726">
        <v>518401</v>
      </c>
      <c r="B2726">
        <v>733378</v>
      </c>
      <c r="D2726">
        <v>1</v>
      </c>
      <c r="E2726" t="s">
        <v>17278</v>
      </c>
      <c r="F2726" t="s">
        <v>17279</v>
      </c>
      <c r="G2726" t="s">
        <v>17280</v>
      </c>
      <c r="H2726" t="e" vm="1193">
        <f>_FV(0,"0499485453564691")</f>
        <v>#VALUE!</v>
      </c>
      <c r="I2726" t="s">
        <v>17281</v>
      </c>
      <c r="J2726" t="s">
        <v>17282</v>
      </c>
      <c r="K2726" t="s">
        <v>17283</v>
      </c>
      <c r="L2726" t="s">
        <v>17277</v>
      </c>
    </row>
    <row r="2727" spans="1:12" x14ac:dyDescent="0.25">
      <c r="A2727">
        <v>518401</v>
      </c>
      <c r="B2727">
        <v>518435</v>
      </c>
      <c r="D2727">
        <v>0</v>
      </c>
      <c r="E2727" t="s">
        <v>17285</v>
      </c>
      <c r="F2727" t="s">
        <v>17286</v>
      </c>
      <c r="G2727" t="s">
        <v>17287</v>
      </c>
      <c r="H2727" t="s">
        <v>17288</v>
      </c>
      <c r="I2727" t="s">
        <v>17289</v>
      </c>
      <c r="J2727" t="s">
        <v>17290</v>
      </c>
      <c r="K2727" t="s">
        <v>17291</v>
      </c>
      <c r="L2727" t="s">
        <v>17284</v>
      </c>
    </row>
    <row r="2728" spans="1:12" x14ac:dyDescent="0.25">
      <c r="A2728">
        <v>518407</v>
      </c>
      <c r="B2728">
        <v>873603</v>
      </c>
      <c r="D2728">
        <v>0</v>
      </c>
      <c r="F2728">
        <v>899195</v>
      </c>
      <c r="G2728">
        <v>873603</v>
      </c>
      <c r="H2728" t="e" vm="1194">
        <f>_FV(0,"121")</f>
        <v>#VALUE!</v>
      </c>
      <c r="I2728">
        <v>518407</v>
      </c>
      <c r="J2728" t="s">
        <v>17292</v>
      </c>
      <c r="K2728" t="s">
        <v>17293</v>
      </c>
      <c r="L2728" t="e" vm="1194">
        <f>_FV(0,"121")</f>
        <v>#VALUE!</v>
      </c>
    </row>
    <row r="2729" spans="1:12" x14ac:dyDescent="0.25">
      <c r="A2729">
        <v>518407</v>
      </c>
      <c r="B2729">
        <v>887440</v>
      </c>
      <c r="D2729">
        <v>0</v>
      </c>
      <c r="E2729" t="s">
        <v>17295</v>
      </c>
      <c r="F2729" t="s">
        <v>17296</v>
      </c>
      <c r="G2729" t="s">
        <v>17297</v>
      </c>
      <c r="H2729" t="s">
        <v>17298</v>
      </c>
      <c r="I2729" t="s">
        <v>17299</v>
      </c>
      <c r="J2729" t="s">
        <v>17300</v>
      </c>
      <c r="K2729" t="s">
        <v>17301</v>
      </c>
      <c r="L2729" t="s">
        <v>17294</v>
      </c>
    </row>
    <row r="2730" spans="1:12" x14ac:dyDescent="0.25">
      <c r="A2730">
        <v>518424</v>
      </c>
      <c r="B2730">
        <v>518435</v>
      </c>
      <c r="D2730">
        <v>0</v>
      </c>
      <c r="F2730">
        <v>512446</v>
      </c>
      <c r="G2730">
        <v>518435</v>
      </c>
      <c r="H2730" t="s">
        <v>890</v>
      </c>
      <c r="I2730">
        <v>518424</v>
      </c>
      <c r="J2730" t="s">
        <v>890</v>
      </c>
      <c r="K2730" t="s">
        <v>17302</v>
      </c>
      <c r="L2730" t="s">
        <v>890</v>
      </c>
    </row>
    <row r="2731" spans="1:12" x14ac:dyDescent="0.25">
      <c r="A2731">
        <v>518424</v>
      </c>
      <c r="B2731">
        <v>733379</v>
      </c>
      <c r="D2731">
        <v>1</v>
      </c>
      <c r="E2731" t="s">
        <v>17304</v>
      </c>
      <c r="F2731" t="s">
        <v>17305</v>
      </c>
      <c r="G2731" t="s">
        <v>17306</v>
      </c>
      <c r="H2731" t="e" vm="1195">
        <f>_FV(0,"04335232794253359")</f>
        <v>#VALUE!</v>
      </c>
      <c r="I2731" t="s">
        <v>17307</v>
      </c>
      <c r="J2731" t="s">
        <v>17308</v>
      </c>
      <c r="K2731" t="s">
        <v>17309</v>
      </c>
      <c r="L2731" t="s">
        <v>17303</v>
      </c>
    </row>
    <row r="2732" spans="1:12" x14ac:dyDescent="0.25">
      <c r="A2732">
        <v>518435</v>
      </c>
      <c r="B2732">
        <v>733373</v>
      </c>
      <c r="D2732">
        <v>0</v>
      </c>
      <c r="E2732" t="s">
        <v>17311</v>
      </c>
      <c r="F2732" t="s">
        <v>17312</v>
      </c>
      <c r="G2732" t="s">
        <v>17313</v>
      </c>
      <c r="H2732" t="s">
        <v>17314</v>
      </c>
      <c r="I2732" t="s">
        <v>17315</v>
      </c>
      <c r="J2732" t="s">
        <v>17316</v>
      </c>
      <c r="K2732" t="s">
        <v>17317</v>
      </c>
      <c r="L2732" t="s">
        <v>17310</v>
      </c>
    </row>
    <row r="2733" spans="1:12" x14ac:dyDescent="0.25">
      <c r="A2733">
        <v>518441</v>
      </c>
      <c r="B2733">
        <v>518451</v>
      </c>
      <c r="D2733">
        <v>0</v>
      </c>
      <c r="E2733" t="s">
        <v>17319</v>
      </c>
      <c r="F2733" t="s">
        <v>17320</v>
      </c>
      <c r="G2733" t="s">
        <v>17321</v>
      </c>
      <c r="H2733" t="s">
        <v>17322</v>
      </c>
      <c r="I2733" t="s">
        <v>17323</v>
      </c>
      <c r="J2733" t="s">
        <v>17318</v>
      </c>
      <c r="K2733" t="s">
        <v>17324</v>
      </c>
      <c r="L2733" t="s">
        <v>17318</v>
      </c>
    </row>
    <row r="2734" spans="1:12" x14ac:dyDescent="0.25">
      <c r="A2734">
        <v>518441</v>
      </c>
      <c r="B2734">
        <v>873604</v>
      </c>
      <c r="D2734">
        <v>0</v>
      </c>
      <c r="E2734" t="s">
        <v>17326</v>
      </c>
      <c r="F2734" t="s">
        <v>17327</v>
      </c>
      <c r="G2734" t="s">
        <v>17328</v>
      </c>
      <c r="H2734" t="e" vm="1196">
        <f>_FV(0,"4214316377854575")</f>
        <v>#VALUE!</v>
      </c>
      <c r="I2734" t="s">
        <v>17329</v>
      </c>
      <c r="J2734" t="s">
        <v>17330</v>
      </c>
      <c r="K2734" t="s">
        <v>17331</v>
      </c>
      <c r="L2734" t="s">
        <v>17325</v>
      </c>
    </row>
    <row r="2735" spans="1:12" x14ac:dyDescent="0.25">
      <c r="A2735">
        <v>518441</v>
      </c>
      <c r="B2735">
        <v>884247</v>
      </c>
      <c r="D2735">
        <v>0</v>
      </c>
      <c r="F2735">
        <v>910730</v>
      </c>
      <c r="G2735">
        <v>518441</v>
      </c>
      <c r="H2735" t="s">
        <v>17332</v>
      </c>
      <c r="I2735">
        <v>884247</v>
      </c>
      <c r="J2735" t="s">
        <v>17332</v>
      </c>
      <c r="K2735" t="s">
        <v>17333</v>
      </c>
      <c r="L2735" t="s">
        <v>17332</v>
      </c>
    </row>
    <row r="2736" spans="1:12" x14ac:dyDescent="0.25">
      <c r="A2736">
        <v>518451</v>
      </c>
      <c r="B2736">
        <v>518461</v>
      </c>
      <c r="D2736">
        <v>0</v>
      </c>
      <c r="E2736" t="s">
        <v>17335</v>
      </c>
      <c r="F2736" t="s">
        <v>17336</v>
      </c>
      <c r="G2736" t="s">
        <v>17337</v>
      </c>
      <c r="H2736" t="s">
        <v>17338</v>
      </c>
      <c r="I2736" t="s">
        <v>17339</v>
      </c>
      <c r="J2736" t="s">
        <v>17340</v>
      </c>
      <c r="K2736" t="s">
        <v>17341</v>
      </c>
      <c r="L2736" t="s">
        <v>17334</v>
      </c>
    </row>
    <row r="2737" spans="1:12" x14ac:dyDescent="0.25">
      <c r="A2737">
        <v>518451</v>
      </c>
      <c r="B2737">
        <v>873604</v>
      </c>
      <c r="D2737">
        <v>0</v>
      </c>
      <c r="E2737" t="s">
        <v>17343</v>
      </c>
      <c r="F2737" t="s">
        <v>17344</v>
      </c>
      <c r="G2737" t="s">
        <v>17345</v>
      </c>
      <c r="H2737" t="s">
        <v>17346</v>
      </c>
      <c r="I2737" t="s">
        <v>17347</v>
      </c>
      <c r="J2737" t="s">
        <v>17342</v>
      </c>
      <c r="K2737" t="s">
        <v>17348</v>
      </c>
      <c r="L2737" t="s">
        <v>17342</v>
      </c>
    </row>
    <row r="2738" spans="1:12" x14ac:dyDescent="0.25">
      <c r="A2738">
        <v>518461</v>
      </c>
      <c r="B2738">
        <v>1277018</v>
      </c>
      <c r="D2738">
        <v>0</v>
      </c>
      <c r="E2738" t="s">
        <v>17350</v>
      </c>
      <c r="F2738" t="s">
        <v>17351</v>
      </c>
      <c r="G2738" t="s">
        <v>17352</v>
      </c>
      <c r="H2738" t="s">
        <v>17353</v>
      </c>
      <c r="I2738" t="s">
        <v>17354</v>
      </c>
      <c r="J2738" t="s">
        <v>17355</v>
      </c>
      <c r="K2738" t="s">
        <v>17356</v>
      </c>
      <c r="L2738" t="s">
        <v>17349</v>
      </c>
    </row>
    <row r="2739" spans="1:12" x14ac:dyDescent="0.25">
      <c r="A2739">
        <v>518461</v>
      </c>
      <c r="B2739">
        <v>1277008</v>
      </c>
      <c r="D2739">
        <v>0</v>
      </c>
      <c r="E2739" t="s">
        <v>17358</v>
      </c>
      <c r="F2739" t="s">
        <v>17359</v>
      </c>
      <c r="G2739" t="s">
        <v>17360</v>
      </c>
      <c r="H2739" t="s">
        <v>17361</v>
      </c>
      <c r="I2739" t="s">
        <v>17362</v>
      </c>
      <c r="J2739" t="s">
        <v>17363</v>
      </c>
      <c r="K2739" t="s">
        <v>17364</v>
      </c>
      <c r="L2739" t="s">
        <v>17357</v>
      </c>
    </row>
    <row r="2740" spans="1:12" x14ac:dyDescent="0.25">
      <c r="A2740">
        <v>518475</v>
      </c>
      <c r="B2740">
        <v>518476</v>
      </c>
      <c r="D2740">
        <v>0</v>
      </c>
      <c r="F2740">
        <v>512478</v>
      </c>
      <c r="G2740">
        <v>518476</v>
      </c>
      <c r="H2740" t="s">
        <v>4848</v>
      </c>
      <c r="I2740">
        <v>518475</v>
      </c>
      <c r="J2740" t="s">
        <v>4848</v>
      </c>
      <c r="K2740" t="s">
        <v>17365</v>
      </c>
      <c r="L2740" t="s">
        <v>4848</v>
      </c>
    </row>
    <row r="2741" spans="1:12" x14ac:dyDescent="0.25">
      <c r="A2741">
        <v>518475</v>
      </c>
      <c r="B2741">
        <v>518553</v>
      </c>
      <c r="D2741">
        <v>0</v>
      </c>
      <c r="E2741" t="s">
        <v>17367</v>
      </c>
      <c r="F2741" t="s">
        <v>17368</v>
      </c>
      <c r="G2741" t="s">
        <v>17369</v>
      </c>
      <c r="H2741" t="s">
        <v>17370</v>
      </c>
      <c r="I2741" t="s">
        <v>17371</v>
      </c>
      <c r="J2741" t="s">
        <v>17366</v>
      </c>
      <c r="K2741" t="s">
        <v>17372</v>
      </c>
      <c r="L2741" t="s">
        <v>17366</v>
      </c>
    </row>
    <row r="2742" spans="1:12" x14ac:dyDescent="0.25">
      <c r="A2742">
        <v>518475</v>
      </c>
      <c r="B2742">
        <v>733378</v>
      </c>
      <c r="D2742">
        <v>0</v>
      </c>
      <c r="F2742">
        <v>753374</v>
      </c>
      <c r="G2742">
        <v>518475</v>
      </c>
      <c r="H2742" t="s">
        <v>288</v>
      </c>
      <c r="I2742">
        <v>733378</v>
      </c>
      <c r="J2742" t="s">
        <v>288</v>
      </c>
      <c r="K2742" t="s">
        <v>17373</v>
      </c>
      <c r="L2742" t="s">
        <v>288</v>
      </c>
    </row>
    <row r="2743" spans="1:12" x14ac:dyDescent="0.25">
      <c r="A2743">
        <v>518476</v>
      </c>
      <c r="B2743">
        <v>518486</v>
      </c>
      <c r="D2743">
        <v>0</v>
      </c>
      <c r="F2743">
        <v>512486</v>
      </c>
      <c r="G2743">
        <v>518486</v>
      </c>
      <c r="H2743" t="e" vm="263">
        <f>_FV(0,"024")</f>
        <v>#VALUE!</v>
      </c>
      <c r="I2743">
        <v>518476</v>
      </c>
      <c r="J2743" t="s">
        <v>2916</v>
      </c>
      <c r="K2743" t="s">
        <v>17374</v>
      </c>
      <c r="L2743" t="e" vm="263">
        <f>_FV(0,"024")</f>
        <v>#VALUE!</v>
      </c>
    </row>
    <row r="2744" spans="1:12" x14ac:dyDescent="0.25">
      <c r="A2744">
        <v>518476</v>
      </c>
      <c r="B2744">
        <v>733396</v>
      </c>
      <c r="D2744" t="s">
        <v>2471</v>
      </c>
      <c r="E2744" t="s">
        <v>17376</v>
      </c>
      <c r="F2744" t="s">
        <v>17377</v>
      </c>
      <c r="G2744" t="s">
        <v>17378</v>
      </c>
      <c r="H2744" t="s">
        <v>17379</v>
      </c>
      <c r="I2744" t="s">
        <v>17380</v>
      </c>
      <c r="J2744" t="s">
        <v>17381</v>
      </c>
      <c r="K2744" t="s">
        <v>17382</v>
      </c>
      <c r="L2744" t="s">
        <v>17375</v>
      </c>
    </row>
    <row r="2745" spans="1:12" x14ac:dyDescent="0.25">
      <c r="A2745">
        <v>518486</v>
      </c>
      <c r="B2745">
        <v>518553</v>
      </c>
      <c r="D2745">
        <v>0</v>
      </c>
      <c r="E2745" t="s">
        <v>17384</v>
      </c>
      <c r="F2745" t="s">
        <v>17385</v>
      </c>
      <c r="G2745" t="s">
        <v>17386</v>
      </c>
      <c r="H2745" t="e" vm="1197">
        <f>_FV(0,"0164484763911409")</f>
        <v>#VALUE!</v>
      </c>
      <c r="I2745" t="s">
        <v>17387</v>
      </c>
      <c r="J2745" t="s">
        <v>17388</v>
      </c>
      <c r="K2745" t="s">
        <v>17389</v>
      </c>
      <c r="L2745" t="s">
        <v>17383</v>
      </c>
    </row>
    <row r="2746" spans="1:12" x14ac:dyDescent="0.25">
      <c r="A2746">
        <v>518486</v>
      </c>
      <c r="B2746">
        <v>733403</v>
      </c>
      <c r="D2746">
        <v>0</v>
      </c>
      <c r="E2746" t="s">
        <v>17391</v>
      </c>
      <c r="F2746" t="s">
        <v>17392</v>
      </c>
      <c r="G2746" t="s">
        <v>17393</v>
      </c>
      <c r="H2746" t="e" vm="1198">
        <f>_FV(0,"0018339152534516217")</f>
        <v>#VALUE!</v>
      </c>
      <c r="I2746" t="s">
        <v>17394</v>
      </c>
      <c r="J2746" t="s">
        <v>17395</v>
      </c>
      <c r="K2746" t="s">
        <v>17396</v>
      </c>
      <c r="L2746" t="s">
        <v>17390</v>
      </c>
    </row>
    <row r="2747" spans="1:12" x14ac:dyDescent="0.25">
      <c r="A2747">
        <v>518488</v>
      </c>
      <c r="B2747">
        <v>518507</v>
      </c>
      <c r="D2747">
        <v>0</v>
      </c>
      <c r="E2747" t="s">
        <v>17398</v>
      </c>
      <c r="F2747" t="s">
        <v>17399</v>
      </c>
      <c r="G2747" t="s">
        <v>17400</v>
      </c>
      <c r="H2747" t="s">
        <v>17401</v>
      </c>
      <c r="I2747" t="s">
        <v>17402</v>
      </c>
      <c r="J2747" t="s">
        <v>17397</v>
      </c>
      <c r="K2747" t="s">
        <v>17403</v>
      </c>
      <c r="L2747" t="s">
        <v>17397</v>
      </c>
    </row>
    <row r="2748" spans="1:12" x14ac:dyDescent="0.25">
      <c r="A2748">
        <v>518488</v>
      </c>
      <c r="B2748">
        <v>714694</v>
      </c>
      <c r="D2748">
        <v>0</v>
      </c>
      <c r="E2748" t="s">
        <v>17405</v>
      </c>
      <c r="F2748" t="s">
        <v>17406</v>
      </c>
      <c r="G2748" t="s">
        <v>17407</v>
      </c>
      <c r="H2748" t="s">
        <v>17408</v>
      </c>
      <c r="I2748" t="s">
        <v>17409</v>
      </c>
      <c r="J2748" t="s">
        <v>17410</v>
      </c>
      <c r="K2748" t="s">
        <v>17411</v>
      </c>
      <c r="L2748" t="s">
        <v>17404</v>
      </c>
    </row>
    <row r="2749" spans="1:12" x14ac:dyDescent="0.25">
      <c r="A2749">
        <v>518488</v>
      </c>
      <c r="B2749">
        <v>735292</v>
      </c>
      <c r="C2749" t="s">
        <v>17413</v>
      </c>
      <c r="D2749">
        <v>0</v>
      </c>
      <c r="E2749" t="s">
        <v>17414</v>
      </c>
      <c r="F2749" t="s">
        <v>17415</v>
      </c>
      <c r="G2749" t="s">
        <v>17416</v>
      </c>
      <c r="H2749" t="s">
        <v>17417</v>
      </c>
      <c r="I2749" t="s">
        <v>17418</v>
      </c>
      <c r="J2749" t="s">
        <v>17419</v>
      </c>
      <c r="K2749" t="s">
        <v>17420</v>
      </c>
      <c r="L2749" t="s">
        <v>17412</v>
      </c>
    </row>
    <row r="2750" spans="1:12" x14ac:dyDescent="0.25">
      <c r="A2750">
        <v>518491</v>
      </c>
      <c r="B2750">
        <v>887596</v>
      </c>
      <c r="D2750">
        <v>0</v>
      </c>
      <c r="E2750" t="s">
        <v>17422</v>
      </c>
      <c r="F2750" t="s">
        <v>17423</v>
      </c>
      <c r="G2750" t="s">
        <v>17424</v>
      </c>
      <c r="H2750" t="s">
        <v>17425</v>
      </c>
      <c r="I2750" t="s">
        <v>17426</v>
      </c>
      <c r="J2750" t="s">
        <v>17427</v>
      </c>
      <c r="K2750" t="s">
        <v>17428</v>
      </c>
      <c r="L2750" t="s">
        <v>17421</v>
      </c>
    </row>
    <row r="2751" spans="1:12" x14ac:dyDescent="0.25">
      <c r="A2751">
        <v>518507</v>
      </c>
      <c r="B2751">
        <v>518534</v>
      </c>
      <c r="D2751">
        <v>0</v>
      </c>
      <c r="E2751" t="s">
        <v>17430</v>
      </c>
      <c r="F2751" t="s">
        <v>17431</v>
      </c>
      <c r="G2751" t="s">
        <v>17432</v>
      </c>
      <c r="H2751" t="e" vm="1199">
        <f>_FV(0,"03176405695368338")</f>
        <v>#VALUE!</v>
      </c>
      <c r="I2751" t="s">
        <v>17433</v>
      </c>
      <c r="J2751" t="s">
        <v>17434</v>
      </c>
      <c r="K2751" t="s">
        <v>17435</v>
      </c>
      <c r="L2751" t="s">
        <v>17429</v>
      </c>
    </row>
    <row r="2752" spans="1:12" x14ac:dyDescent="0.25">
      <c r="A2752">
        <v>518507</v>
      </c>
      <c r="B2752">
        <v>714686</v>
      </c>
      <c r="D2752">
        <v>0</v>
      </c>
      <c r="E2752" t="s">
        <v>17437</v>
      </c>
      <c r="F2752" t="s">
        <v>17438</v>
      </c>
      <c r="G2752" t="s">
        <v>17439</v>
      </c>
      <c r="H2752" t="s">
        <v>17440</v>
      </c>
      <c r="I2752" t="s">
        <v>17441</v>
      </c>
      <c r="J2752" t="s">
        <v>17442</v>
      </c>
      <c r="K2752" t="s">
        <v>17443</v>
      </c>
      <c r="L2752" t="s">
        <v>17436</v>
      </c>
    </row>
    <row r="2753" spans="1:12" x14ac:dyDescent="0.25">
      <c r="A2753">
        <v>518509</v>
      </c>
      <c r="B2753">
        <v>518528</v>
      </c>
      <c r="D2753" t="s">
        <v>204</v>
      </c>
      <c r="E2753" t="s">
        <v>17445</v>
      </c>
      <c r="F2753" t="s">
        <v>17446</v>
      </c>
      <c r="G2753" t="s">
        <v>17447</v>
      </c>
      <c r="H2753" t="s">
        <v>17448</v>
      </c>
      <c r="I2753" t="s">
        <v>17449</v>
      </c>
      <c r="J2753" t="s">
        <v>17444</v>
      </c>
      <c r="K2753" t="s">
        <v>17450</v>
      </c>
      <c r="L2753" t="s">
        <v>17444</v>
      </c>
    </row>
    <row r="2754" spans="1:12" x14ac:dyDescent="0.25">
      <c r="A2754">
        <v>518509</v>
      </c>
      <c r="B2754">
        <v>873651</v>
      </c>
      <c r="D2754">
        <v>0</v>
      </c>
      <c r="E2754" t="s">
        <v>17452</v>
      </c>
      <c r="F2754" t="s">
        <v>17453</v>
      </c>
      <c r="G2754" t="s">
        <v>17454</v>
      </c>
      <c r="H2754" t="e" vm="1200">
        <f>_FV(0,"1926778235890202")</f>
        <v>#VALUE!</v>
      </c>
      <c r="I2754" t="s">
        <v>17455</v>
      </c>
      <c r="J2754" t="s">
        <v>17456</v>
      </c>
      <c r="K2754" t="s">
        <v>17457</v>
      </c>
      <c r="L2754" t="s">
        <v>17451</v>
      </c>
    </row>
    <row r="2755" spans="1:12" x14ac:dyDescent="0.25">
      <c r="A2755">
        <v>518509</v>
      </c>
      <c r="B2755">
        <v>884183</v>
      </c>
      <c r="D2755">
        <v>0</v>
      </c>
      <c r="F2755">
        <v>910634</v>
      </c>
      <c r="G2755">
        <v>518509</v>
      </c>
      <c r="H2755" t="s">
        <v>17458</v>
      </c>
      <c r="I2755">
        <v>884183</v>
      </c>
      <c r="J2755" t="s">
        <v>17458</v>
      </c>
      <c r="K2755" t="s">
        <v>17459</v>
      </c>
      <c r="L2755" t="s">
        <v>17458</v>
      </c>
    </row>
    <row r="2756" spans="1:12" x14ac:dyDescent="0.25">
      <c r="A2756">
        <v>518528</v>
      </c>
      <c r="B2756">
        <v>884204</v>
      </c>
      <c r="D2756">
        <v>0</v>
      </c>
      <c r="F2756">
        <v>910666</v>
      </c>
      <c r="G2756">
        <v>884204</v>
      </c>
      <c r="H2756" t="e" vm="1201">
        <f>_FV(0,"349")</f>
        <v>#VALUE!</v>
      </c>
      <c r="I2756">
        <v>518528</v>
      </c>
      <c r="J2756" t="s">
        <v>17460</v>
      </c>
      <c r="K2756" t="s">
        <v>17461</v>
      </c>
      <c r="L2756" t="e" vm="1201">
        <f>_FV(0,"349")</f>
        <v>#VALUE!</v>
      </c>
    </row>
    <row r="2757" spans="1:12" x14ac:dyDescent="0.25">
      <c r="A2757">
        <v>518528</v>
      </c>
      <c r="B2757">
        <v>873669</v>
      </c>
      <c r="D2757">
        <v>0</v>
      </c>
      <c r="E2757" t="s">
        <v>17463</v>
      </c>
      <c r="F2757" t="s">
        <v>17464</v>
      </c>
      <c r="G2757" t="s">
        <v>17465</v>
      </c>
      <c r="H2757" t="s">
        <v>17466</v>
      </c>
      <c r="I2757" t="s">
        <v>17467</v>
      </c>
      <c r="J2757" t="s">
        <v>17462</v>
      </c>
      <c r="K2757" t="s">
        <v>17468</v>
      </c>
      <c r="L2757" t="s">
        <v>17462</v>
      </c>
    </row>
    <row r="2758" spans="1:12" x14ac:dyDescent="0.25">
      <c r="A2758">
        <v>518534</v>
      </c>
      <c r="B2758">
        <v>733315</v>
      </c>
      <c r="D2758" t="s">
        <v>17470</v>
      </c>
      <c r="E2758" t="s">
        <v>17471</v>
      </c>
      <c r="F2758" t="s">
        <v>17472</v>
      </c>
      <c r="G2758" t="s">
        <v>17473</v>
      </c>
      <c r="H2758" t="e" vm="1202">
        <f>_FV(0,"0024041789645383714")</f>
        <v>#VALUE!</v>
      </c>
      <c r="I2758" t="s">
        <v>17474</v>
      </c>
      <c r="J2758" t="s">
        <v>17475</v>
      </c>
      <c r="K2758" t="s">
        <v>17476</v>
      </c>
      <c r="L2758" t="s">
        <v>17469</v>
      </c>
    </row>
    <row r="2759" spans="1:12" x14ac:dyDescent="0.25">
      <c r="A2759">
        <v>518534</v>
      </c>
      <c r="B2759">
        <v>733326</v>
      </c>
      <c r="D2759">
        <v>0</v>
      </c>
      <c r="E2759" t="s">
        <v>17478</v>
      </c>
      <c r="F2759" t="s">
        <v>17479</v>
      </c>
      <c r="G2759" t="s">
        <v>17480</v>
      </c>
      <c r="H2759" t="e" vm="1203">
        <f>_FV(0,"019169006496601873")</f>
        <v>#VALUE!</v>
      </c>
      <c r="I2759" t="s">
        <v>17481</v>
      </c>
      <c r="J2759" t="s">
        <v>17482</v>
      </c>
      <c r="K2759" t="s">
        <v>17483</v>
      </c>
      <c r="L2759" t="s">
        <v>17477</v>
      </c>
    </row>
    <row r="2760" spans="1:12" x14ac:dyDescent="0.25">
      <c r="A2760">
        <v>518553</v>
      </c>
      <c r="B2760">
        <v>733379</v>
      </c>
      <c r="D2760">
        <v>0</v>
      </c>
      <c r="F2760">
        <v>755523</v>
      </c>
      <c r="G2760">
        <v>518553</v>
      </c>
      <c r="H2760" t="s">
        <v>1589</v>
      </c>
      <c r="I2760">
        <v>733379</v>
      </c>
      <c r="J2760" t="s">
        <v>1589</v>
      </c>
      <c r="K2760" t="s">
        <v>17484</v>
      </c>
      <c r="L2760" t="s">
        <v>1589</v>
      </c>
    </row>
    <row r="2761" spans="1:12" x14ac:dyDescent="0.25">
      <c r="A2761">
        <v>518598</v>
      </c>
      <c r="B2761">
        <v>518661</v>
      </c>
      <c r="D2761">
        <v>0</v>
      </c>
      <c r="E2761" t="s">
        <v>17486</v>
      </c>
      <c r="F2761" t="s">
        <v>17487</v>
      </c>
      <c r="G2761" t="s">
        <v>17488</v>
      </c>
      <c r="H2761" t="e" vm="1204">
        <f>_FV(0,"07492964202767669")</f>
        <v>#VALUE!</v>
      </c>
      <c r="I2761" t="s">
        <v>17489</v>
      </c>
      <c r="J2761" t="s">
        <v>17490</v>
      </c>
      <c r="K2761" t="s">
        <v>17491</v>
      </c>
      <c r="L2761" t="s">
        <v>17485</v>
      </c>
    </row>
    <row r="2762" spans="1:12" x14ac:dyDescent="0.25">
      <c r="A2762">
        <v>518598</v>
      </c>
      <c r="B2762">
        <v>518661</v>
      </c>
      <c r="D2762">
        <v>0</v>
      </c>
      <c r="E2762" t="s">
        <v>17493</v>
      </c>
      <c r="F2762" t="s">
        <v>17494</v>
      </c>
      <c r="G2762" t="s">
        <v>17495</v>
      </c>
      <c r="H2762" t="e" vm="1205">
        <f>_FV(0,"07701693916566311")</f>
        <v>#VALUE!</v>
      </c>
      <c r="I2762" t="s">
        <v>17496</v>
      </c>
      <c r="J2762" t="s">
        <v>17497</v>
      </c>
      <c r="K2762" t="s">
        <v>17498</v>
      </c>
      <c r="L2762" t="s">
        <v>17492</v>
      </c>
    </row>
    <row r="2763" spans="1:12" x14ac:dyDescent="0.25">
      <c r="A2763">
        <v>518598</v>
      </c>
      <c r="B2763">
        <v>946421</v>
      </c>
      <c r="D2763">
        <v>0</v>
      </c>
      <c r="E2763" t="s">
        <v>17500</v>
      </c>
      <c r="F2763" t="s">
        <v>17501</v>
      </c>
      <c r="G2763" t="s">
        <v>17502</v>
      </c>
      <c r="H2763" t="e" vm="1206">
        <f>_FV(0,"04790760788749084")</f>
        <v>#VALUE!</v>
      </c>
      <c r="I2763" t="s">
        <v>17503</v>
      </c>
      <c r="J2763" t="s">
        <v>17504</v>
      </c>
      <c r="K2763" t="s">
        <v>17505</v>
      </c>
      <c r="L2763" t="s">
        <v>17499</v>
      </c>
    </row>
    <row r="2764" spans="1:12" x14ac:dyDescent="0.25">
      <c r="A2764">
        <v>518640</v>
      </c>
      <c r="B2764">
        <v>734538</v>
      </c>
      <c r="D2764">
        <v>0</v>
      </c>
      <c r="F2764">
        <v>753248</v>
      </c>
      <c r="G2764">
        <v>734538</v>
      </c>
      <c r="H2764" t="s">
        <v>9730</v>
      </c>
      <c r="I2764">
        <v>518640</v>
      </c>
      <c r="J2764" t="s">
        <v>9730</v>
      </c>
      <c r="K2764" t="s">
        <v>17506</v>
      </c>
      <c r="L2764" t="s">
        <v>9730</v>
      </c>
    </row>
    <row r="2765" spans="1:12" x14ac:dyDescent="0.25">
      <c r="A2765">
        <v>518640</v>
      </c>
      <c r="B2765">
        <v>519787</v>
      </c>
      <c r="D2765">
        <v>0</v>
      </c>
      <c r="E2765" t="s">
        <v>17508</v>
      </c>
      <c r="F2765" t="s">
        <v>17509</v>
      </c>
      <c r="G2765" t="s">
        <v>17510</v>
      </c>
      <c r="H2765" t="s">
        <v>17511</v>
      </c>
      <c r="I2765" t="s">
        <v>17512</v>
      </c>
      <c r="J2765" t="s">
        <v>17507</v>
      </c>
      <c r="K2765" t="s">
        <v>17513</v>
      </c>
      <c r="L2765" t="s">
        <v>17507</v>
      </c>
    </row>
    <row r="2766" spans="1:12" x14ac:dyDescent="0.25">
      <c r="A2766">
        <v>518649</v>
      </c>
      <c r="B2766">
        <v>519795</v>
      </c>
      <c r="D2766">
        <v>0</v>
      </c>
      <c r="F2766">
        <v>753296</v>
      </c>
      <c r="G2766">
        <v>519795</v>
      </c>
      <c r="H2766" t="e" vm="1207">
        <f>_FV(0,"184")</f>
        <v>#VALUE!</v>
      </c>
      <c r="I2766">
        <v>518649</v>
      </c>
      <c r="J2766" t="s">
        <v>17514</v>
      </c>
      <c r="K2766" t="s">
        <v>17515</v>
      </c>
      <c r="L2766" t="e" vm="1207">
        <f>_FV(0,"184")</f>
        <v>#VALUE!</v>
      </c>
    </row>
    <row r="2767" spans="1:12" x14ac:dyDescent="0.25">
      <c r="A2767">
        <v>518649</v>
      </c>
      <c r="B2767">
        <v>1609668</v>
      </c>
      <c r="D2767">
        <v>0</v>
      </c>
      <c r="E2767" t="s">
        <v>17517</v>
      </c>
      <c r="F2767" t="s">
        <v>17518</v>
      </c>
      <c r="G2767" t="s">
        <v>17519</v>
      </c>
      <c r="H2767" t="e" vm="1208">
        <f>_FV(0,"10844410477604541")</f>
        <v>#VALUE!</v>
      </c>
      <c r="I2767" t="s">
        <v>17520</v>
      </c>
      <c r="J2767" t="s">
        <v>17521</v>
      </c>
      <c r="K2767" t="s">
        <v>17522</v>
      </c>
      <c r="L2767" t="s">
        <v>17516</v>
      </c>
    </row>
    <row r="2768" spans="1:12" x14ac:dyDescent="0.25">
      <c r="A2768">
        <v>518649</v>
      </c>
      <c r="B2768">
        <v>734567</v>
      </c>
      <c r="D2768">
        <v>0</v>
      </c>
      <c r="F2768">
        <v>753288</v>
      </c>
      <c r="G2768">
        <v>518649</v>
      </c>
      <c r="H2768" t="e" vm="1209">
        <f>_FV(0,"042")</f>
        <v>#VALUE!</v>
      </c>
      <c r="I2768">
        <v>734567</v>
      </c>
      <c r="J2768" t="s">
        <v>3161</v>
      </c>
      <c r="K2768" t="s">
        <v>17523</v>
      </c>
      <c r="L2768" t="e" vm="1209">
        <f>_FV(0,"042")</f>
        <v>#VALUE!</v>
      </c>
    </row>
    <row r="2769" spans="1:12" x14ac:dyDescent="0.25">
      <c r="A2769">
        <v>518661</v>
      </c>
      <c r="B2769">
        <v>518669</v>
      </c>
      <c r="C2769" t="s">
        <v>17524</v>
      </c>
      <c r="D2769">
        <v>0</v>
      </c>
      <c r="F2769">
        <v>986968</v>
      </c>
      <c r="G2769">
        <v>518669</v>
      </c>
      <c r="H2769" t="e" vm="493">
        <f>_FV(0,"025")</f>
        <v>#VALUE!</v>
      </c>
      <c r="I2769">
        <v>518661</v>
      </c>
      <c r="J2769" t="s">
        <v>899</v>
      </c>
      <c r="K2769" t="s">
        <v>17525</v>
      </c>
      <c r="L2769" t="e" vm="493">
        <f>_FV(0,"025")</f>
        <v>#VALUE!</v>
      </c>
    </row>
    <row r="2770" spans="1:12" x14ac:dyDescent="0.25">
      <c r="A2770">
        <v>518669</v>
      </c>
      <c r="B2770">
        <v>518709</v>
      </c>
      <c r="D2770">
        <v>0</v>
      </c>
      <c r="E2770" t="s">
        <v>17527</v>
      </c>
      <c r="F2770" t="s">
        <v>17528</v>
      </c>
      <c r="G2770" t="s">
        <v>17529</v>
      </c>
      <c r="H2770" t="e" vm="1210">
        <f>_FV(0,"04287550288745099")</f>
        <v>#VALUE!</v>
      </c>
      <c r="I2770" t="s">
        <v>17530</v>
      </c>
      <c r="J2770" t="s">
        <v>17531</v>
      </c>
      <c r="K2770" t="s">
        <v>17532</v>
      </c>
      <c r="L2770" t="s">
        <v>17526</v>
      </c>
    </row>
    <row r="2771" spans="1:12" x14ac:dyDescent="0.25">
      <c r="A2771">
        <v>518669</v>
      </c>
      <c r="B2771">
        <v>518709</v>
      </c>
      <c r="D2771">
        <v>0</v>
      </c>
      <c r="E2771" t="s">
        <v>17534</v>
      </c>
      <c r="F2771" t="s">
        <v>17535</v>
      </c>
      <c r="G2771" t="s">
        <v>17536</v>
      </c>
      <c r="H2771" t="e" vm="1211">
        <f>_FV(0,"042098575198958564")</f>
        <v>#VALUE!</v>
      </c>
      <c r="I2771" t="s">
        <v>17537</v>
      </c>
      <c r="J2771" t="s">
        <v>17538</v>
      </c>
      <c r="K2771" t="s">
        <v>17539</v>
      </c>
      <c r="L2771" t="s">
        <v>17533</v>
      </c>
    </row>
    <row r="2772" spans="1:12" x14ac:dyDescent="0.25">
      <c r="A2772">
        <v>518709</v>
      </c>
      <c r="B2772">
        <v>518721</v>
      </c>
      <c r="D2772">
        <v>0</v>
      </c>
      <c r="F2772">
        <v>986979</v>
      </c>
      <c r="G2772">
        <v>518721</v>
      </c>
      <c r="H2772" t="e" vm="1212">
        <f>_FV(0,"054")</f>
        <v>#VALUE!</v>
      </c>
      <c r="I2772">
        <v>518709</v>
      </c>
      <c r="J2772" t="s">
        <v>8186</v>
      </c>
      <c r="K2772" t="s">
        <v>17540</v>
      </c>
      <c r="L2772" t="e" vm="1212">
        <f>_FV(0,"054")</f>
        <v>#VALUE!</v>
      </c>
    </row>
    <row r="2773" spans="1:12" x14ac:dyDescent="0.25">
      <c r="A2773">
        <v>518718</v>
      </c>
      <c r="B2773">
        <v>520036</v>
      </c>
      <c r="D2773">
        <v>0</v>
      </c>
      <c r="E2773" t="s">
        <v>17542</v>
      </c>
      <c r="F2773" t="s">
        <v>17543</v>
      </c>
      <c r="G2773" t="s">
        <v>17544</v>
      </c>
      <c r="H2773" t="e" vm="1213">
        <f>_FV(0,"1616801762435231")</f>
        <v>#VALUE!</v>
      </c>
      <c r="I2773" t="s">
        <v>17545</v>
      </c>
      <c r="J2773" t="s">
        <v>17546</v>
      </c>
      <c r="K2773" t="s">
        <v>17547</v>
      </c>
      <c r="L2773" t="s">
        <v>17541</v>
      </c>
    </row>
    <row r="2774" spans="1:12" x14ac:dyDescent="0.25">
      <c r="A2774">
        <v>518718</v>
      </c>
      <c r="B2774">
        <v>518727</v>
      </c>
      <c r="D2774">
        <v>0</v>
      </c>
      <c r="F2774">
        <v>513808</v>
      </c>
      <c r="G2774">
        <v>518718</v>
      </c>
      <c r="H2774" t="s">
        <v>2152</v>
      </c>
      <c r="I2774">
        <v>518727</v>
      </c>
      <c r="J2774" t="s">
        <v>2152</v>
      </c>
      <c r="K2774" t="s">
        <v>17548</v>
      </c>
      <c r="L2774" t="s">
        <v>2152</v>
      </c>
    </row>
    <row r="2775" spans="1:12" x14ac:dyDescent="0.25">
      <c r="A2775">
        <v>518721</v>
      </c>
      <c r="B2775">
        <v>518771</v>
      </c>
      <c r="D2775">
        <v>0</v>
      </c>
      <c r="E2775" t="s">
        <v>17550</v>
      </c>
      <c r="F2775" t="s">
        <v>17551</v>
      </c>
      <c r="G2775" t="s">
        <v>17552</v>
      </c>
      <c r="H2775" t="e" vm="1214">
        <f>_FV(0,"03616945203296349")</f>
        <v>#VALUE!</v>
      </c>
      <c r="I2775" t="s">
        <v>17553</v>
      </c>
      <c r="J2775" t="s">
        <v>17554</v>
      </c>
      <c r="K2775" t="s">
        <v>17555</v>
      </c>
      <c r="L2775" t="s">
        <v>17549</v>
      </c>
    </row>
    <row r="2776" spans="1:12" x14ac:dyDescent="0.25">
      <c r="A2776">
        <v>518721</v>
      </c>
      <c r="B2776">
        <v>518771</v>
      </c>
      <c r="D2776">
        <v>0</v>
      </c>
      <c r="E2776" t="s">
        <v>17557</v>
      </c>
      <c r="F2776" t="s">
        <v>17558</v>
      </c>
      <c r="G2776" t="s">
        <v>17559</v>
      </c>
      <c r="H2776" t="e" vm="1215">
        <f>_FV(0,"03543701885491749")</f>
        <v>#VALUE!</v>
      </c>
      <c r="I2776" t="s">
        <v>17560</v>
      </c>
      <c r="J2776" t="s">
        <v>17561</v>
      </c>
      <c r="K2776" t="s">
        <v>17562</v>
      </c>
      <c r="L2776" t="s">
        <v>17556</v>
      </c>
    </row>
    <row r="2777" spans="1:12" x14ac:dyDescent="0.25">
      <c r="A2777">
        <v>518727</v>
      </c>
      <c r="B2777">
        <v>1609668</v>
      </c>
      <c r="D2777">
        <v>0</v>
      </c>
      <c r="E2777" t="s">
        <v>17564</v>
      </c>
      <c r="F2777" t="s">
        <v>17565</v>
      </c>
      <c r="G2777" t="s">
        <v>17567</v>
      </c>
      <c r="H2777" t="s">
        <v>17568</v>
      </c>
      <c r="I2777" t="s">
        <v>17569</v>
      </c>
      <c r="J2777" t="s">
        <v>17570</v>
      </c>
      <c r="K2777" t="s">
        <v>17571</v>
      </c>
      <c r="L2777" t="s">
        <v>17563</v>
      </c>
    </row>
    <row r="2778" spans="1:12" x14ac:dyDescent="0.25">
      <c r="A2778">
        <v>518727</v>
      </c>
      <c r="B2778">
        <v>520043</v>
      </c>
      <c r="D2778">
        <v>0</v>
      </c>
      <c r="F2778">
        <v>513800</v>
      </c>
      <c r="G2778">
        <v>518727</v>
      </c>
      <c r="H2778" t="s">
        <v>17572</v>
      </c>
      <c r="I2778">
        <v>520043</v>
      </c>
      <c r="J2778" t="s">
        <v>17572</v>
      </c>
      <c r="K2778" t="s">
        <v>17573</v>
      </c>
      <c r="L2778" t="s">
        <v>17572</v>
      </c>
    </row>
    <row r="2779" spans="1:12" x14ac:dyDescent="0.25">
      <c r="A2779">
        <v>518771</v>
      </c>
      <c r="B2779">
        <v>518781</v>
      </c>
      <c r="D2779">
        <v>0</v>
      </c>
      <c r="E2779" t="s">
        <v>17575</v>
      </c>
      <c r="F2779" t="s">
        <v>17576</v>
      </c>
      <c r="G2779" t="s">
        <v>17577</v>
      </c>
      <c r="H2779" t="e" vm="1216">
        <f>_FV(0,"0273858729111034")</f>
        <v>#VALUE!</v>
      </c>
      <c r="I2779" t="s">
        <v>17578</v>
      </c>
      <c r="J2779" t="s">
        <v>17579</v>
      </c>
      <c r="K2779" t="s">
        <v>17580</v>
      </c>
      <c r="L2779" t="s">
        <v>17574</v>
      </c>
    </row>
    <row r="2780" spans="1:12" x14ac:dyDescent="0.25">
      <c r="A2780">
        <v>518828</v>
      </c>
      <c r="B2780">
        <v>518846</v>
      </c>
      <c r="D2780">
        <v>0</v>
      </c>
      <c r="E2780" t="s">
        <v>17582</v>
      </c>
      <c r="F2780" t="s">
        <v>17583</v>
      </c>
      <c r="G2780" t="s">
        <v>17584</v>
      </c>
      <c r="H2780" t="e" vm="1217">
        <f>_FV(0,"08816734735294154")</f>
        <v>#VALUE!</v>
      </c>
      <c r="I2780" t="s">
        <v>17585</v>
      </c>
      <c r="J2780" t="s">
        <v>17586</v>
      </c>
      <c r="K2780" t="s">
        <v>17587</v>
      </c>
      <c r="L2780" t="s">
        <v>17581</v>
      </c>
    </row>
    <row r="2781" spans="1:12" x14ac:dyDescent="0.25">
      <c r="A2781">
        <v>518828</v>
      </c>
      <c r="B2781">
        <v>734655</v>
      </c>
      <c r="D2781">
        <v>0</v>
      </c>
      <c r="E2781" t="s">
        <v>17589</v>
      </c>
      <c r="F2781" t="s">
        <v>17590</v>
      </c>
      <c r="G2781" t="s">
        <v>17591</v>
      </c>
      <c r="H2781" t="e" vm="1218">
        <f>_FV(0,"030266231903014557")</f>
        <v>#VALUE!</v>
      </c>
      <c r="I2781" t="s">
        <v>17592</v>
      </c>
      <c r="J2781" t="s">
        <v>17593</v>
      </c>
      <c r="K2781" t="s">
        <v>17594</v>
      </c>
      <c r="L2781" t="s">
        <v>17588</v>
      </c>
    </row>
    <row r="2782" spans="1:12" x14ac:dyDescent="0.25">
      <c r="A2782">
        <v>518828</v>
      </c>
      <c r="B2782">
        <v>518866</v>
      </c>
      <c r="D2782">
        <v>0</v>
      </c>
      <c r="E2782" t="s">
        <v>17596</v>
      </c>
      <c r="F2782" t="s">
        <v>17597</v>
      </c>
      <c r="G2782" t="s">
        <v>17598</v>
      </c>
      <c r="H2782" t="e" vm="1219">
        <f>_FV(0,"01752097319900431")</f>
        <v>#VALUE!</v>
      </c>
      <c r="I2782" t="s">
        <v>17599</v>
      </c>
      <c r="J2782" t="s">
        <v>17600</v>
      </c>
      <c r="K2782" t="s">
        <v>17601</v>
      </c>
      <c r="L2782" t="s">
        <v>17595</v>
      </c>
    </row>
    <row r="2783" spans="1:12" x14ac:dyDescent="0.25">
      <c r="A2783">
        <v>518828</v>
      </c>
      <c r="B2783">
        <v>734641</v>
      </c>
      <c r="D2783">
        <v>0</v>
      </c>
      <c r="E2783" t="s">
        <v>17603</v>
      </c>
      <c r="F2783" t="s">
        <v>17604</v>
      </c>
      <c r="G2783" t="s">
        <v>17605</v>
      </c>
      <c r="H2783" t="e" vm="1220">
        <f>_FV(0,"044199593268253574")</f>
        <v>#VALUE!</v>
      </c>
      <c r="I2783" t="s">
        <v>17606</v>
      </c>
      <c r="J2783" t="s">
        <v>17607</v>
      </c>
      <c r="K2783" t="s">
        <v>17608</v>
      </c>
      <c r="L2783" t="s">
        <v>17602</v>
      </c>
    </row>
    <row r="2784" spans="1:12" x14ac:dyDescent="0.25">
      <c r="A2784">
        <v>518859</v>
      </c>
      <c r="B2784">
        <v>518869</v>
      </c>
      <c r="D2784" t="s">
        <v>1866</v>
      </c>
      <c r="E2784" t="s">
        <v>17610</v>
      </c>
      <c r="F2784" t="s">
        <v>17611</v>
      </c>
      <c r="G2784" t="s">
        <v>17612</v>
      </c>
      <c r="H2784" t="e" vm="1221">
        <f>_FV(0,"011621708370462176")</f>
        <v>#VALUE!</v>
      </c>
      <c r="I2784" t="s">
        <v>17613</v>
      </c>
      <c r="J2784" t="s">
        <v>17614</v>
      </c>
      <c r="K2784" t="s">
        <v>17615</v>
      </c>
      <c r="L2784" t="s">
        <v>17609</v>
      </c>
    </row>
    <row r="2785" spans="1:12" x14ac:dyDescent="0.25">
      <c r="A2785">
        <v>518866</v>
      </c>
      <c r="B2785">
        <v>1363672</v>
      </c>
      <c r="D2785">
        <v>0</v>
      </c>
      <c r="E2785" t="s">
        <v>17617</v>
      </c>
      <c r="F2785" t="s">
        <v>17618</v>
      </c>
      <c r="G2785" t="s">
        <v>17619</v>
      </c>
      <c r="H2785" t="s">
        <v>17620</v>
      </c>
      <c r="I2785" t="s">
        <v>17621</v>
      </c>
      <c r="J2785" t="s">
        <v>17622</v>
      </c>
      <c r="K2785" t="s">
        <v>17623</v>
      </c>
      <c r="L2785" t="s">
        <v>17616</v>
      </c>
    </row>
    <row r="2786" spans="1:12" x14ac:dyDescent="0.25">
      <c r="A2786">
        <v>518866</v>
      </c>
      <c r="B2786">
        <v>735844</v>
      </c>
      <c r="D2786">
        <v>0</v>
      </c>
      <c r="E2786" t="s">
        <v>17625</v>
      </c>
      <c r="F2786" t="s">
        <v>17626</v>
      </c>
      <c r="G2786" t="s">
        <v>17627</v>
      </c>
      <c r="H2786" t="s">
        <v>17628</v>
      </c>
      <c r="I2786" t="s">
        <v>17629</v>
      </c>
      <c r="J2786" t="s">
        <v>17624</v>
      </c>
      <c r="K2786" t="s">
        <v>17630</v>
      </c>
      <c r="L2786" t="s">
        <v>17624</v>
      </c>
    </row>
    <row r="2787" spans="1:12" x14ac:dyDescent="0.25">
      <c r="A2787">
        <v>518869</v>
      </c>
      <c r="B2787">
        <v>518975</v>
      </c>
      <c r="D2787">
        <v>0</v>
      </c>
      <c r="E2787" t="s">
        <v>17632</v>
      </c>
      <c r="F2787" t="s">
        <v>17633</v>
      </c>
      <c r="G2787" t="s">
        <v>17634</v>
      </c>
      <c r="H2787" t="s">
        <v>17635</v>
      </c>
      <c r="I2787" t="s">
        <v>17636</v>
      </c>
      <c r="J2787" t="s">
        <v>17631</v>
      </c>
      <c r="K2787" t="s">
        <v>17637</v>
      </c>
      <c r="L2787" t="s">
        <v>17631</v>
      </c>
    </row>
    <row r="2788" spans="1:12" x14ac:dyDescent="0.25">
      <c r="A2788">
        <v>518869</v>
      </c>
      <c r="B2788">
        <v>518975</v>
      </c>
      <c r="D2788">
        <v>0</v>
      </c>
      <c r="E2788" t="s">
        <v>17639</v>
      </c>
      <c r="F2788" t="s">
        <v>17640</v>
      </c>
      <c r="G2788" t="s">
        <v>17641</v>
      </c>
      <c r="H2788" t="s">
        <v>17642</v>
      </c>
      <c r="I2788" t="s">
        <v>17643</v>
      </c>
      <c r="J2788" t="s">
        <v>17644</v>
      </c>
      <c r="K2788" t="s">
        <v>17645</v>
      </c>
      <c r="L2788" t="s">
        <v>17638</v>
      </c>
    </row>
    <row r="2789" spans="1:12" x14ac:dyDescent="0.25">
      <c r="A2789">
        <v>518963</v>
      </c>
      <c r="B2789">
        <v>519028</v>
      </c>
      <c r="D2789">
        <v>0</v>
      </c>
      <c r="E2789" t="s">
        <v>17647</v>
      </c>
      <c r="F2789" t="s">
        <v>17648</v>
      </c>
      <c r="G2789" t="s">
        <v>17649</v>
      </c>
      <c r="H2789" t="s">
        <v>17650</v>
      </c>
      <c r="I2789" t="s">
        <v>17651</v>
      </c>
      <c r="J2789" t="s">
        <v>17652</v>
      </c>
      <c r="K2789" t="s">
        <v>17653</v>
      </c>
      <c r="L2789" t="s">
        <v>17646</v>
      </c>
    </row>
    <row r="2790" spans="1:12" x14ac:dyDescent="0.25">
      <c r="A2790">
        <v>518963</v>
      </c>
      <c r="B2790">
        <v>717464</v>
      </c>
      <c r="D2790">
        <v>0</v>
      </c>
      <c r="F2790">
        <v>728612</v>
      </c>
      <c r="G2790">
        <v>518963</v>
      </c>
      <c r="H2790" t="e" vm="1222">
        <f>_FV(0,"341")</f>
        <v>#VALUE!</v>
      </c>
      <c r="I2790">
        <v>717464</v>
      </c>
      <c r="J2790" t="s">
        <v>17654</v>
      </c>
      <c r="K2790" t="s">
        <v>17655</v>
      </c>
      <c r="L2790" t="e" vm="1222">
        <f>_FV(0,"341")</f>
        <v>#VALUE!</v>
      </c>
    </row>
    <row r="2791" spans="1:12" x14ac:dyDescent="0.25">
      <c r="A2791">
        <v>518963</v>
      </c>
      <c r="B2791">
        <v>734676</v>
      </c>
      <c r="D2791">
        <v>0</v>
      </c>
      <c r="E2791" t="s">
        <v>17657</v>
      </c>
      <c r="F2791" t="s">
        <v>17658</v>
      </c>
      <c r="G2791" t="s">
        <v>17659</v>
      </c>
      <c r="H2791" t="s">
        <v>17660</v>
      </c>
      <c r="I2791" t="s">
        <v>17661</v>
      </c>
      <c r="J2791" t="s">
        <v>17662</v>
      </c>
      <c r="K2791" t="s">
        <v>17663</v>
      </c>
      <c r="L2791" t="s">
        <v>17656</v>
      </c>
    </row>
    <row r="2792" spans="1:12" x14ac:dyDescent="0.25">
      <c r="A2792">
        <v>518975</v>
      </c>
      <c r="B2792">
        <v>518981</v>
      </c>
      <c r="C2792" t="s">
        <v>17665</v>
      </c>
      <c r="D2792">
        <v>0</v>
      </c>
      <c r="E2792" t="s">
        <v>17666</v>
      </c>
      <c r="F2792" t="s">
        <v>17667</v>
      </c>
      <c r="G2792" t="s">
        <v>17668</v>
      </c>
      <c r="H2792" t="e" vm="1223">
        <f>_FV(0,"002815908686025463")</f>
        <v>#VALUE!</v>
      </c>
      <c r="I2792" t="s">
        <v>17669</v>
      </c>
      <c r="J2792" t="s">
        <v>17670</v>
      </c>
      <c r="K2792" t="s">
        <v>17671</v>
      </c>
      <c r="L2792" t="s">
        <v>17664</v>
      </c>
    </row>
    <row r="2793" spans="1:12" x14ac:dyDescent="0.25">
      <c r="A2793">
        <v>518979</v>
      </c>
      <c r="B2793">
        <v>519007</v>
      </c>
      <c r="D2793">
        <v>0</v>
      </c>
      <c r="E2793" t="s">
        <v>17673</v>
      </c>
      <c r="F2793" t="s">
        <v>17674</v>
      </c>
      <c r="G2793" t="s">
        <v>17675</v>
      </c>
      <c r="H2793" t="e" vm="1224">
        <f>_FV(0,"012913791453433535")</f>
        <v>#VALUE!</v>
      </c>
      <c r="I2793" t="s">
        <v>17676</v>
      </c>
      <c r="J2793" t="s">
        <v>17677</v>
      </c>
      <c r="K2793" t="s">
        <v>17678</v>
      </c>
      <c r="L2793" t="s">
        <v>17672</v>
      </c>
    </row>
    <row r="2794" spans="1:12" x14ac:dyDescent="0.25">
      <c r="A2794">
        <v>518979</v>
      </c>
      <c r="B2794">
        <v>717544</v>
      </c>
      <c r="D2794">
        <v>0</v>
      </c>
      <c r="F2794">
        <v>728732</v>
      </c>
      <c r="G2794">
        <v>518979</v>
      </c>
      <c r="H2794" t="e" vm="211">
        <f>_FV(0,"111")</f>
        <v>#VALUE!</v>
      </c>
      <c r="I2794">
        <v>717544</v>
      </c>
      <c r="J2794" t="s">
        <v>3194</v>
      </c>
      <c r="K2794" t="s">
        <v>17679</v>
      </c>
      <c r="L2794" t="e" vm="211">
        <f>_FV(0,"111")</f>
        <v>#VALUE!</v>
      </c>
    </row>
    <row r="2795" spans="1:12" x14ac:dyDescent="0.25">
      <c r="A2795">
        <v>518979</v>
      </c>
      <c r="B2795">
        <v>735861</v>
      </c>
      <c r="D2795">
        <v>0</v>
      </c>
      <c r="E2795" t="s">
        <v>17681</v>
      </c>
      <c r="F2795" t="s">
        <v>17682</v>
      </c>
      <c r="G2795" t="s">
        <v>17683</v>
      </c>
      <c r="H2795" t="e" vm="1225">
        <f>_FV(0,"025899708124622167")</f>
        <v>#VALUE!</v>
      </c>
      <c r="I2795" t="s">
        <v>17684</v>
      </c>
      <c r="J2795" t="s">
        <v>17685</v>
      </c>
      <c r="K2795" t="s">
        <v>17686</v>
      </c>
      <c r="L2795" t="s">
        <v>17680</v>
      </c>
    </row>
    <row r="2796" spans="1:12" x14ac:dyDescent="0.25">
      <c r="A2796">
        <v>518981</v>
      </c>
      <c r="B2796">
        <v>519021</v>
      </c>
      <c r="D2796">
        <v>0</v>
      </c>
      <c r="E2796" t="s">
        <v>17688</v>
      </c>
      <c r="F2796" t="s">
        <v>17689</v>
      </c>
      <c r="G2796" t="s">
        <v>17690</v>
      </c>
      <c r="H2796" t="s">
        <v>17691</v>
      </c>
      <c r="I2796" t="s">
        <v>17692</v>
      </c>
      <c r="J2796" t="s">
        <v>17693</v>
      </c>
      <c r="K2796" t="s">
        <v>17694</v>
      </c>
      <c r="L2796" t="s">
        <v>17687</v>
      </c>
    </row>
    <row r="2797" spans="1:12" x14ac:dyDescent="0.25">
      <c r="A2797">
        <v>518981</v>
      </c>
      <c r="B2797">
        <v>519021</v>
      </c>
      <c r="D2797">
        <v>0</v>
      </c>
      <c r="E2797" t="s">
        <v>17696</v>
      </c>
      <c r="F2797" t="s">
        <v>17697</v>
      </c>
      <c r="G2797" t="s">
        <v>17698</v>
      </c>
      <c r="H2797" t="s">
        <v>17699</v>
      </c>
      <c r="I2797" t="s">
        <v>17700</v>
      </c>
      <c r="J2797" t="s">
        <v>17701</v>
      </c>
      <c r="K2797" t="s">
        <v>17702</v>
      </c>
      <c r="L2797" t="s">
        <v>17695</v>
      </c>
    </row>
    <row r="2798" spans="1:12" x14ac:dyDescent="0.25">
      <c r="A2798">
        <v>518987</v>
      </c>
      <c r="B2798">
        <v>518997</v>
      </c>
      <c r="C2798" t="s">
        <v>17704</v>
      </c>
      <c r="D2798" t="s">
        <v>1839</v>
      </c>
      <c r="E2798" t="s">
        <v>17705</v>
      </c>
      <c r="F2798" t="s">
        <v>17706</v>
      </c>
      <c r="G2798" t="s">
        <v>17707</v>
      </c>
      <c r="H2798" t="e" vm="1226">
        <f>_FV(0,"04069240481141521")</f>
        <v>#VALUE!</v>
      </c>
      <c r="I2798" t="s">
        <v>17708</v>
      </c>
      <c r="J2798" t="s">
        <v>17709</v>
      </c>
      <c r="K2798" t="s">
        <v>17710</v>
      </c>
      <c r="L2798" t="s">
        <v>17703</v>
      </c>
    </row>
    <row r="2799" spans="1:12" x14ac:dyDescent="0.25">
      <c r="A2799">
        <v>518987</v>
      </c>
      <c r="B2799">
        <v>717531</v>
      </c>
      <c r="D2799">
        <v>0</v>
      </c>
      <c r="E2799" t="s">
        <v>17712</v>
      </c>
      <c r="F2799" t="s">
        <v>17713</v>
      </c>
      <c r="G2799" t="s">
        <v>17714</v>
      </c>
      <c r="H2799" t="e" vm="1227">
        <f>_FV(0,"1582078202198601")</f>
        <v>#VALUE!</v>
      </c>
      <c r="I2799" t="s">
        <v>17715</v>
      </c>
      <c r="J2799" t="s">
        <v>17716</v>
      </c>
      <c r="K2799" t="s">
        <v>17717</v>
      </c>
      <c r="L2799" t="s">
        <v>17711</v>
      </c>
    </row>
    <row r="2800" spans="1:12" x14ac:dyDescent="0.25">
      <c r="A2800">
        <v>518987</v>
      </c>
      <c r="B2800">
        <v>717544</v>
      </c>
      <c r="D2800">
        <v>0</v>
      </c>
      <c r="E2800" t="s">
        <v>17719</v>
      </c>
      <c r="F2800" t="s">
        <v>17720</v>
      </c>
      <c r="G2800" t="s">
        <v>17721</v>
      </c>
      <c r="H2800" t="e" vm="1228">
        <f>_FV(0,"1524997631012301")</f>
        <v>#VALUE!</v>
      </c>
      <c r="I2800" t="s">
        <v>17722</v>
      </c>
      <c r="J2800" t="s">
        <v>17723</v>
      </c>
      <c r="K2800" t="s">
        <v>17724</v>
      </c>
      <c r="L2800" t="s">
        <v>17718</v>
      </c>
    </row>
    <row r="2801" spans="1:12" x14ac:dyDescent="0.25">
      <c r="A2801">
        <v>518997</v>
      </c>
      <c r="B2801">
        <v>717464</v>
      </c>
      <c r="D2801">
        <v>0</v>
      </c>
      <c r="E2801" t="s">
        <v>17726</v>
      </c>
      <c r="F2801" t="s">
        <v>17727</v>
      </c>
      <c r="G2801" t="s">
        <v>17728</v>
      </c>
      <c r="H2801" t="s">
        <v>17729</v>
      </c>
      <c r="I2801" t="s">
        <v>17730</v>
      </c>
      <c r="J2801" t="s">
        <v>17731</v>
      </c>
      <c r="K2801" t="s">
        <v>17732</v>
      </c>
      <c r="L2801" t="s">
        <v>17725</v>
      </c>
    </row>
    <row r="2802" spans="1:12" x14ac:dyDescent="0.25">
      <c r="A2802">
        <v>518997</v>
      </c>
      <c r="B2802">
        <v>717493</v>
      </c>
      <c r="D2802">
        <v>0</v>
      </c>
      <c r="E2802" t="s">
        <v>17734</v>
      </c>
      <c r="F2802" t="s">
        <v>17735</v>
      </c>
      <c r="G2802" t="s">
        <v>17736</v>
      </c>
      <c r="H2802" t="s">
        <v>17737</v>
      </c>
      <c r="I2802" t="s">
        <v>17738</v>
      </c>
      <c r="J2802" t="s">
        <v>17739</v>
      </c>
      <c r="K2802" t="s">
        <v>17740</v>
      </c>
      <c r="L2802" t="s">
        <v>17733</v>
      </c>
    </row>
    <row r="2803" spans="1:12" x14ac:dyDescent="0.25">
      <c r="A2803">
        <v>519007</v>
      </c>
      <c r="B2803">
        <v>717531</v>
      </c>
      <c r="D2803">
        <v>0</v>
      </c>
      <c r="F2803">
        <v>728708</v>
      </c>
      <c r="G2803">
        <v>717531</v>
      </c>
      <c r="H2803" t="s">
        <v>17741</v>
      </c>
      <c r="I2803">
        <v>519007</v>
      </c>
      <c r="J2803" t="s">
        <v>17741</v>
      </c>
      <c r="K2803" t="s">
        <v>17742</v>
      </c>
      <c r="L2803" t="s">
        <v>17741</v>
      </c>
    </row>
    <row r="2804" spans="1:12" x14ac:dyDescent="0.25">
      <c r="A2804">
        <v>519007</v>
      </c>
      <c r="B2804">
        <v>735910</v>
      </c>
      <c r="D2804">
        <v>0</v>
      </c>
      <c r="E2804" t="s">
        <v>17744</v>
      </c>
      <c r="F2804" t="s">
        <v>17745</v>
      </c>
      <c r="G2804" t="s">
        <v>17746</v>
      </c>
      <c r="H2804" t="e" vm="1229">
        <f>_FV(0,"04383680242963602")</f>
        <v>#VALUE!</v>
      </c>
      <c r="I2804" t="s">
        <v>17747</v>
      </c>
      <c r="J2804" t="s">
        <v>17748</v>
      </c>
      <c r="K2804" t="s">
        <v>17749</v>
      </c>
      <c r="L2804" t="s">
        <v>17743</v>
      </c>
    </row>
    <row r="2805" spans="1:12" x14ac:dyDescent="0.25">
      <c r="A2805">
        <v>519021</v>
      </c>
      <c r="B2805">
        <v>1275989</v>
      </c>
      <c r="D2805">
        <v>0</v>
      </c>
      <c r="E2805" t="s">
        <v>17751</v>
      </c>
      <c r="F2805" t="s">
        <v>17752</v>
      </c>
      <c r="G2805" t="s">
        <v>17753</v>
      </c>
      <c r="H2805" t="s">
        <v>17754</v>
      </c>
      <c r="I2805" t="s">
        <v>17755</v>
      </c>
      <c r="J2805" t="s">
        <v>17756</v>
      </c>
      <c r="K2805" t="s">
        <v>17757</v>
      </c>
      <c r="L2805" t="s">
        <v>17750</v>
      </c>
    </row>
    <row r="2806" spans="1:12" x14ac:dyDescent="0.25">
      <c r="A2806">
        <v>519028</v>
      </c>
      <c r="B2806">
        <v>717493</v>
      </c>
      <c r="D2806">
        <v>0</v>
      </c>
      <c r="F2806">
        <v>728652</v>
      </c>
      <c r="G2806">
        <v>717493</v>
      </c>
      <c r="H2806" t="s">
        <v>17758</v>
      </c>
      <c r="I2806">
        <v>519028</v>
      </c>
      <c r="J2806" t="s">
        <v>17758</v>
      </c>
      <c r="K2806" t="s">
        <v>17759</v>
      </c>
      <c r="L2806" t="s">
        <v>17758</v>
      </c>
    </row>
    <row r="2807" spans="1:12" x14ac:dyDescent="0.25">
      <c r="A2807">
        <v>519028</v>
      </c>
      <c r="B2807">
        <v>734712</v>
      </c>
      <c r="C2807" t="s">
        <v>17761</v>
      </c>
      <c r="D2807">
        <v>0</v>
      </c>
      <c r="E2807" t="s">
        <v>17762</v>
      </c>
      <c r="F2807" t="s">
        <v>17763</v>
      </c>
      <c r="G2807" t="s">
        <v>17764</v>
      </c>
      <c r="H2807" t="s">
        <v>17765</v>
      </c>
      <c r="I2807" t="s">
        <v>17766</v>
      </c>
      <c r="J2807" t="s">
        <v>17760</v>
      </c>
      <c r="K2807" t="s">
        <v>17767</v>
      </c>
      <c r="L2807" t="s">
        <v>17760</v>
      </c>
    </row>
    <row r="2808" spans="1:12" x14ac:dyDescent="0.25">
      <c r="A2808">
        <v>519032</v>
      </c>
      <c r="B2808">
        <v>519114</v>
      </c>
      <c r="D2808">
        <v>0</v>
      </c>
      <c r="E2808" t="s">
        <v>17769</v>
      </c>
      <c r="F2808" t="s">
        <v>17770</v>
      </c>
      <c r="G2808" t="s">
        <v>17771</v>
      </c>
      <c r="H2808" t="e" vm="1230">
        <f>_FV(0,"006913220079736993")</f>
        <v>#VALUE!</v>
      </c>
      <c r="I2808" t="s">
        <v>17772</v>
      </c>
      <c r="J2808" t="s">
        <v>17773</v>
      </c>
      <c r="K2808" t="s">
        <v>17774</v>
      </c>
      <c r="L2808" t="s">
        <v>17768</v>
      </c>
    </row>
    <row r="2809" spans="1:12" x14ac:dyDescent="0.25">
      <c r="A2809">
        <v>519032</v>
      </c>
      <c r="B2809">
        <v>519114</v>
      </c>
      <c r="D2809">
        <v>0</v>
      </c>
      <c r="E2809" t="s">
        <v>17776</v>
      </c>
      <c r="F2809" t="s">
        <v>17777</v>
      </c>
      <c r="G2809" t="s">
        <v>17778</v>
      </c>
      <c r="H2809" t="e" vm="1231">
        <f>_FV(0,"0069328858487911985")</f>
        <v>#VALUE!</v>
      </c>
      <c r="I2809" t="s">
        <v>17779</v>
      </c>
      <c r="J2809" t="s">
        <v>17780</v>
      </c>
      <c r="K2809" t="s">
        <v>17781</v>
      </c>
      <c r="L2809" t="s">
        <v>17775</v>
      </c>
    </row>
    <row r="2810" spans="1:12" x14ac:dyDescent="0.25">
      <c r="A2810">
        <v>519032</v>
      </c>
      <c r="B2810">
        <v>946758</v>
      </c>
      <c r="D2810">
        <v>0</v>
      </c>
      <c r="E2810" t="s">
        <v>17783</v>
      </c>
      <c r="F2810" t="s">
        <v>17784</v>
      </c>
      <c r="G2810" t="s">
        <v>17785</v>
      </c>
      <c r="H2810" t="s">
        <v>17786</v>
      </c>
      <c r="I2810" t="s">
        <v>17787</v>
      </c>
      <c r="J2810" t="s">
        <v>17788</v>
      </c>
      <c r="K2810" t="s">
        <v>17789</v>
      </c>
      <c r="L2810" t="s">
        <v>17782</v>
      </c>
    </row>
    <row r="2811" spans="1:12" x14ac:dyDescent="0.25">
      <c r="A2811">
        <v>519114</v>
      </c>
      <c r="B2811">
        <v>519124</v>
      </c>
      <c r="D2811" t="s">
        <v>17791</v>
      </c>
      <c r="E2811" t="s">
        <v>17792</v>
      </c>
      <c r="F2811" t="s">
        <v>17793</v>
      </c>
      <c r="G2811" t="s">
        <v>17794</v>
      </c>
      <c r="H2811" t="s">
        <v>17795</v>
      </c>
      <c r="I2811" t="s">
        <v>17796</v>
      </c>
      <c r="J2811" t="s">
        <v>17797</v>
      </c>
      <c r="K2811" t="s">
        <v>17798</v>
      </c>
      <c r="L2811" t="s">
        <v>17790</v>
      </c>
    </row>
    <row r="2812" spans="1:12" x14ac:dyDescent="0.25">
      <c r="A2812">
        <v>519124</v>
      </c>
      <c r="B2812">
        <v>519215</v>
      </c>
      <c r="D2812">
        <v>0</v>
      </c>
      <c r="E2812" t="s">
        <v>17800</v>
      </c>
      <c r="F2812" t="s">
        <v>17801</v>
      </c>
      <c r="G2812" t="s">
        <v>17802</v>
      </c>
      <c r="H2812" t="e" vm="1232">
        <f>_FV(0,"007994504574383068")</f>
        <v>#VALUE!</v>
      </c>
      <c r="I2812" t="s">
        <v>17803</v>
      </c>
      <c r="J2812" t="s">
        <v>17804</v>
      </c>
      <c r="K2812" t="s">
        <v>17805</v>
      </c>
      <c r="L2812" t="s">
        <v>17799</v>
      </c>
    </row>
    <row r="2813" spans="1:12" x14ac:dyDescent="0.25">
      <c r="A2813">
        <v>519124</v>
      </c>
      <c r="B2813">
        <v>519215</v>
      </c>
      <c r="D2813">
        <v>0</v>
      </c>
      <c r="E2813" t="s">
        <v>17807</v>
      </c>
      <c r="F2813" t="s">
        <v>17808</v>
      </c>
      <c r="G2813" t="s">
        <v>17809</v>
      </c>
      <c r="H2813" t="e" vm="1233">
        <f>_FV(0,"008096291349385033")</f>
        <v>#VALUE!</v>
      </c>
      <c r="I2813" t="s">
        <v>17810</v>
      </c>
      <c r="J2813" t="s">
        <v>17811</v>
      </c>
      <c r="K2813" t="s">
        <v>17812</v>
      </c>
      <c r="L2813" t="s">
        <v>17806</v>
      </c>
    </row>
    <row r="2814" spans="1:12" x14ac:dyDescent="0.25">
      <c r="A2814">
        <v>519212</v>
      </c>
      <c r="B2814">
        <v>519309</v>
      </c>
      <c r="D2814">
        <v>0</v>
      </c>
      <c r="F2814">
        <v>696608</v>
      </c>
      <c r="G2814">
        <v>519212</v>
      </c>
      <c r="H2814" t="e" vm="411">
        <f>_FV(0,"096")</f>
        <v>#VALUE!</v>
      </c>
      <c r="I2814">
        <v>519309</v>
      </c>
      <c r="J2814" t="s">
        <v>5835</v>
      </c>
      <c r="K2814" t="s">
        <v>17813</v>
      </c>
      <c r="L2814" t="e" vm="411">
        <f>_FV(0,"096")</f>
        <v>#VALUE!</v>
      </c>
    </row>
    <row r="2815" spans="1:12" x14ac:dyDescent="0.25">
      <c r="A2815">
        <v>519212</v>
      </c>
      <c r="B2815">
        <v>734738</v>
      </c>
      <c r="D2815">
        <v>0</v>
      </c>
      <c r="E2815" t="s">
        <v>17815</v>
      </c>
      <c r="F2815" t="s">
        <v>17816</v>
      </c>
      <c r="G2815" t="s">
        <v>17817</v>
      </c>
      <c r="H2815" t="e" vm="1234">
        <f>_FV(0,"01551804824121281")</f>
        <v>#VALUE!</v>
      </c>
      <c r="I2815" t="s">
        <v>17818</v>
      </c>
      <c r="J2815" t="s">
        <v>17819</v>
      </c>
      <c r="K2815" t="s">
        <v>17820</v>
      </c>
      <c r="L2815" t="s">
        <v>17814</v>
      </c>
    </row>
    <row r="2816" spans="1:12" x14ac:dyDescent="0.25">
      <c r="A2816">
        <v>519215</v>
      </c>
      <c r="B2816">
        <v>519223</v>
      </c>
      <c r="D2816" t="s">
        <v>17822</v>
      </c>
      <c r="E2816" t="s">
        <v>17823</v>
      </c>
      <c r="F2816" t="s">
        <v>17824</v>
      </c>
      <c r="G2816" t="s">
        <v>17825</v>
      </c>
      <c r="H2816" t="s">
        <v>17826</v>
      </c>
      <c r="I2816" t="s">
        <v>17827</v>
      </c>
      <c r="J2816" t="s">
        <v>17828</v>
      </c>
      <c r="K2816" t="s">
        <v>17829</v>
      </c>
      <c r="L2816" t="s">
        <v>17821</v>
      </c>
    </row>
    <row r="2817" spans="1:12" x14ac:dyDescent="0.25">
      <c r="A2817">
        <v>519223</v>
      </c>
      <c r="B2817">
        <v>519399</v>
      </c>
      <c r="D2817">
        <v>0</v>
      </c>
      <c r="E2817" t="s">
        <v>17831</v>
      </c>
      <c r="F2817" t="s">
        <v>17832</v>
      </c>
      <c r="G2817" t="s">
        <v>17833</v>
      </c>
      <c r="H2817" t="e" vm="1235">
        <f>_FV(0,"0032600462074684816")</f>
        <v>#VALUE!</v>
      </c>
      <c r="I2817" t="s">
        <v>17834</v>
      </c>
      <c r="J2817" t="s">
        <v>17835</v>
      </c>
      <c r="K2817" t="s">
        <v>17836</v>
      </c>
      <c r="L2817" t="s">
        <v>17830</v>
      </c>
    </row>
    <row r="2818" spans="1:12" x14ac:dyDescent="0.25">
      <c r="A2818">
        <v>519223</v>
      </c>
      <c r="B2818">
        <v>519399</v>
      </c>
      <c r="D2818">
        <v>0</v>
      </c>
      <c r="E2818" t="s">
        <v>17838</v>
      </c>
      <c r="F2818" t="s">
        <v>17839</v>
      </c>
      <c r="G2818" t="s">
        <v>17840</v>
      </c>
      <c r="H2818" t="e" vm="1236">
        <f>_FV(0,"0032321333833572226")</f>
        <v>#VALUE!</v>
      </c>
      <c r="I2818" t="s">
        <v>17841</v>
      </c>
      <c r="J2818" t="s">
        <v>17842</v>
      </c>
      <c r="K2818" t="s">
        <v>17843</v>
      </c>
      <c r="L2818" t="s">
        <v>17837</v>
      </c>
    </row>
    <row r="2819" spans="1:12" x14ac:dyDescent="0.25">
      <c r="A2819">
        <v>519245</v>
      </c>
      <c r="B2819">
        <v>735949</v>
      </c>
      <c r="D2819" t="s">
        <v>963</v>
      </c>
      <c r="E2819" t="s">
        <v>17845</v>
      </c>
      <c r="F2819" t="s">
        <v>17846</v>
      </c>
      <c r="G2819" t="s">
        <v>17847</v>
      </c>
      <c r="H2819" t="e" vm="1237">
        <f>_FV(0,"019050794770957096")</f>
        <v>#VALUE!</v>
      </c>
      <c r="I2819" t="s">
        <v>17848</v>
      </c>
      <c r="J2819" t="s">
        <v>17849</v>
      </c>
      <c r="K2819" t="s">
        <v>17850</v>
      </c>
      <c r="L2819" t="s">
        <v>17844</v>
      </c>
    </row>
    <row r="2820" spans="1:12" x14ac:dyDescent="0.25">
      <c r="A2820">
        <v>519245</v>
      </c>
      <c r="B2820">
        <v>519309</v>
      </c>
      <c r="D2820">
        <v>0</v>
      </c>
      <c r="E2820" t="s">
        <v>17852</v>
      </c>
      <c r="F2820" t="s">
        <v>17853</v>
      </c>
      <c r="G2820" t="s">
        <v>17854</v>
      </c>
      <c r="H2820" t="e" vm="1238">
        <f>_FV(0,"06342022097747975")</f>
        <v>#VALUE!</v>
      </c>
      <c r="I2820" t="s">
        <v>17855</v>
      </c>
      <c r="J2820" t="s">
        <v>17856</v>
      </c>
      <c r="K2820" t="s">
        <v>17857</v>
      </c>
      <c r="L2820" t="s">
        <v>17851</v>
      </c>
    </row>
    <row r="2821" spans="1:12" x14ac:dyDescent="0.25">
      <c r="A2821">
        <v>519245</v>
      </c>
      <c r="B2821">
        <v>735957</v>
      </c>
      <c r="D2821">
        <v>0</v>
      </c>
      <c r="E2821" t="s">
        <v>17859</v>
      </c>
      <c r="F2821" t="s">
        <v>17860</v>
      </c>
      <c r="G2821" t="s">
        <v>17861</v>
      </c>
      <c r="H2821" t="s">
        <v>17862</v>
      </c>
      <c r="I2821" t="s">
        <v>17863</v>
      </c>
      <c r="J2821" t="s">
        <v>17858</v>
      </c>
      <c r="K2821" t="s">
        <v>17864</v>
      </c>
      <c r="L2821" t="s">
        <v>17858</v>
      </c>
    </row>
    <row r="2822" spans="1:12" x14ac:dyDescent="0.25">
      <c r="A2822">
        <v>519309</v>
      </c>
      <c r="B2822">
        <v>734760</v>
      </c>
      <c r="D2822" t="s">
        <v>2494</v>
      </c>
      <c r="E2822" t="s">
        <v>17866</v>
      </c>
      <c r="F2822" t="s">
        <v>17867</v>
      </c>
      <c r="G2822" t="s">
        <v>17868</v>
      </c>
      <c r="H2822" t="s">
        <v>17869</v>
      </c>
      <c r="I2822" t="s">
        <v>17870</v>
      </c>
      <c r="J2822" t="s">
        <v>17871</v>
      </c>
      <c r="K2822" t="s">
        <v>17872</v>
      </c>
      <c r="L2822" t="s">
        <v>17865</v>
      </c>
    </row>
    <row r="2823" spans="1:12" x14ac:dyDescent="0.25">
      <c r="A2823">
        <v>519399</v>
      </c>
      <c r="B2823">
        <v>1854804</v>
      </c>
      <c r="C2823" t="s">
        <v>17873</v>
      </c>
      <c r="D2823">
        <v>0</v>
      </c>
      <c r="E2823" t="s">
        <v>17874</v>
      </c>
      <c r="H2823" t="s">
        <v>187</v>
      </c>
      <c r="J2823">
        <v>0</v>
      </c>
      <c r="K2823" t="s">
        <v>17875</v>
      </c>
      <c r="L2823">
        <v>0</v>
      </c>
    </row>
    <row r="2824" spans="1:12" x14ac:dyDescent="0.25">
      <c r="A2824">
        <v>519405</v>
      </c>
      <c r="B2824">
        <v>519536</v>
      </c>
      <c r="D2824">
        <v>0</v>
      </c>
      <c r="E2824" t="s">
        <v>17877</v>
      </c>
      <c r="F2824" t="s">
        <v>17878</v>
      </c>
      <c r="G2824" t="s">
        <v>17879</v>
      </c>
      <c r="H2824" t="e" vm="1239">
        <f>_FV(0,"030471812211717006")</f>
        <v>#VALUE!</v>
      </c>
      <c r="I2824" t="s">
        <v>17880</v>
      </c>
      <c r="J2824" t="s">
        <v>17881</v>
      </c>
      <c r="K2824" t="s">
        <v>17882</v>
      </c>
      <c r="L2824" t="s">
        <v>17876</v>
      </c>
    </row>
    <row r="2825" spans="1:12" x14ac:dyDescent="0.25">
      <c r="A2825">
        <v>519405</v>
      </c>
      <c r="B2825">
        <v>519536</v>
      </c>
      <c r="D2825">
        <v>0</v>
      </c>
      <c r="E2825" t="s">
        <v>17884</v>
      </c>
      <c r="F2825" t="s">
        <v>17885</v>
      </c>
      <c r="G2825" t="s">
        <v>17886</v>
      </c>
      <c r="H2825" t="e" vm="1240">
        <f>_FV(0,"02993515019571114")</f>
        <v>#VALUE!</v>
      </c>
      <c r="I2825" t="s">
        <v>17887</v>
      </c>
      <c r="J2825" t="s">
        <v>17888</v>
      </c>
      <c r="K2825" t="s">
        <v>17889</v>
      </c>
      <c r="L2825" t="s">
        <v>17883</v>
      </c>
    </row>
    <row r="2826" spans="1:12" x14ac:dyDescent="0.25">
      <c r="A2826">
        <v>519405</v>
      </c>
      <c r="B2826">
        <v>1854804</v>
      </c>
      <c r="C2826" t="s">
        <v>17890</v>
      </c>
      <c r="D2826">
        <v>0</v>
      </c>
      <c r="E2826" t="s">
        <v>17891</v>
      </c>
      <c r="H2826" t="s">
        <v>187</v>
      </c>
      <c r="J2826">
        <v>0</v>
      </c>
      <c r="K2826" t="s">
        <v>17875</v>
      </c>
      <c r="L2826">
        <v>0</v>
      </c>
    </row>
    <row r="2827" spans="1:12" x14ac:dyDescent="0.25">
      <c r="A2827">
        <v>519480</v>
      </c>
      <c r="B2827">
        <v>717584</v>
      </c>
      <c r="D2827">
        <v>0</v>
      </c>
      <c r="F2827">
        <v>728820</v>
      </c>
      <c r="G2827">
        <v>717584</v>
      </c>
      <c r="H2827" t="e" vm="1241">
        <f>_FV(0,"272")</f>
        <v>#VALUE!</v>
      </c>
      <c r="I2827">
        <v>519480</v>
      </c>
      <c r="J2827" t="s">
        <v>17892</v>
      </c>
      <c r="K2827" t="s">
        <v>17893</v>
      </c>
      <c r="L2827" t="e" vm="1241">
        <f>_FV(0,"272")</f>
        <v>#VALUE!</v>
      </c>
    </row>
    <row r="2828" spans="1:12" x14ac:dyDescent="0.25">
      <c r="A2828">
        <v>519480</v>
      </c>
      <c r="B2828">
        <v>519561</v>
      </c>
      <c r="D2828">
        <v>0</v>
      </c>
      <c r="F2828">
        <v>728860</v>
      </c>
      <c r="G2828">
        <v>519480</v>
      </c>
      <c r="H2828" t="e" vm="967">
        <f>_FV(0,"028")</f>
        <v>#VALUE!</v>
      </c>
      <c r="I2828">
        <v>519561</v>
      </c>
      <c r="J2828" t="s">
        <v>2704</v>
      </c>
      <c r="K2828" t="s">
        <v>17894</v>
      </c>
      <c r="L2828" t="e" vm="967">
        <f>_FV(0,"028")</f>
        <v>#VALUE!</v>
      </c>
    </row>
    <row r="2829" spans="1:12" x14ac:dyDescent="0.25">
      <c r="A2829">
        <v>519480</v>
      </c>
      <c r="B2829">
        <v>734783</v>
      </c>
      <c r="D2829" t="s">
        <v>1494</v>
      </c>
      <c r="E2829" t="s">
        <v>17896</v>
      </c>
      <c r="F2829" t="s">
        <v>17897</v>
      </c>
      <c r="G2829" t="s">
        <v>17898</v>
      </c>
      <c r="H2829" t="s">
        <v>17899</v>
      </c>
      <c r="I2829" t="s">
        <v>17900</v>
      </c>
      <c r="J2829" t="s">
        <v>17901</v>
      </c>
      <c r="K2829" t="s">
        <v>17902</v>
      </c>
      <c r="L2829" t="s">
        <v>17895</v>
      </c>
    </row>
    <row r="2830" spans="1:12" x14ac:dyDescent="0.25">
      <c r="A2830">
        <v>519489</v>
      </c>
      <c r="B2830">
        <v>519500</v>
      </c>
      <c r="C2830" t="s">
        <v>17904</v>
      </c>
      <c r="D2830">
        <v>0</v>
      </c>
      <c r="E2830" t="s">
        <v>17905</v>
      </c>
      <c r="F2830" t="s">
        <v>17906</v>
      </c>
      <c r="G2830" t="s">
        <v>17907</v>
      </c>
      <c r="H2830" t="e" vm="1242">
        <f>_FV(0,"044122621006422")</f>
        <v>#VALUE!</v>
      </c>
      <c r="I2830" t="s">
        <v>17908</v>
      </c>
      <c r="J2830" t="s">
        <v>17909</v>
      </c>
      <c r="K2830" t="s">
        <v>17910</v>
      </c>
      <c r="L2830" t="s">
        <v>17903</v>
      </c>
    </row>
    <row r="2831" spans="1:12" x14ac:dyDescent="0.25">
      <c r="A2831">
        <v>519489</v>
      </c>
      <c r="B2831">
        <v>717584</v>
      </c>
      <c r="D2831">
        <v>0</v>
      </c>
      <c r="E2831" t="s">
        <v>17912</v>
      </c>
      <c r="F2831" t="s">
        <v>17913</v>
      </c>
      <c r="G2831" t="s">
        <v>17914</v>
      </c>
      <c r="H2831" t="s">
        <v>17915</v>
      </c>
      <c r="I2831" t="s">
        <v>17916</v>
      </c>
      <c r="J2831" t="s">
        <v>17917</v>
      </c>
      <c r="K2831" t="s">
        <v>17918</v>
      </c>
      <c r="L2831" t="s">
        <v>17911</v>
      </c>
    </row>
    <row r="2832" spans="1:12" x14ac:dyDescent="0.25">
      <c r="A2832">
        <v>519489</v>
      </c>
      <c r="B2832">
        <v>717590</v>
      </c>
      <c r="D2832">
        <v>0</v>
      </c>
      <c r="E2832" t="s">
        <v>17920</v>
      </c>
      <c r="F2832" t="s">
        <v>17921</v>
      </c>
      <c r="G2832" t="s">
        <v>17922</v>
      </c>
      <c r="H2832" t="s">
        <v>17923</v>
      </c>
      <c r="I2832" t="s">
        <v>17924</v>
      </c>
      <c r="J2832" t="s">
        <v>17925</v>
      </c>
      <c r="K2832" t="s">
        <v>17926</v>
      </c>
      <c r="L2832" t="s">
        <v>17919</v>
      </c>
    </row>
    <row r="2833" spans="1:12" x14ac:dyDescent="0.25">
      <c r="A2833">
        <v>519500</v>
      </c>
      <c r="B2833">
        <v>717549</v>
      </c>
      <c r="D2833">
        <v>0</v>
      </c>
      <c r="E2833" t="s">
        <v>17928</v>
      </c>
      <c r="F2833" t="s">
        <v>17929</v>
      </c>
      <c r="G2833" t="s">
        <v>17930</v>
      </c>
      <c r="H2833" t="e" vm="1243">
        <f>_FV(0,"04403730414477797")</f>
        <v>#VALUE!</v>
      </c>
      <c r="I2833" t="s">
        <v>17931</v>
      </c>
      <c r="J2833" t="s">
        <v>17932</v>
      </c>
      <c r="K2833" t="s">
        <v>17933</v>
      </c>
      <c r="L2833" t="s">
        <v>17927</v>
      </c>
    </row>
    <row r="2834" spans="1:12" x14ac:dyDescent="0.25">
      <c r="A2834">
        <v>519500</v>
      </c>
      <c r="B2834">
        <v>717569</v>
      </c>
      <c r="D2834">
        <v>0</v>
      </c>
      <c r="E2834" t="s">
        <v>17935</v>
      </c>
      <c r="F2834" t="s">
        <v>17936</v>
      </c>
      <c r="G2834" t="s">
        <v>17937</v>
      </c>
      <c r="H2834" t="e" vm="1244">
        <f>_FV(0,"06033629172959242")</f>
        <v>#VALUE!</v>
      </c>
      <c r="I2834" t="s">
        <v>17938</v>
      </c>
      <c r="J2834" t="s">
        <v>17939</v>
      </c>
      <c r="K2834" t="s">
        <v>17940</v>
      </c>
      <c r="L2834" t="s">
        <v>17934</v>
      </c>
    </row>
    <row r="2835" spans="1:12" x14ac:dyDescent="0.25">
      <c r="A2835">
        <v>519510</v>
      </c>
      <c r="B2835">
        <v>519636</v>
      </c>
      <c r="D2835">
        <v>0</v>
      </c>
      <c r="F2835">
        <v>728748</v>
      </c>
      <c r="G2835">
        <v>519636</v>
      </c>
      <c r="H2835" t="s">
        <v>17941</v>
      </c>
      <c r="I2835">
        <v>519510</v>
      </c>
      <c r="J2835" t="s">
        <v>17941</v>
      </c>
      <c r="K2835" t="s">
        <v>17942</v>
      </c>
      <c r="L2835" t="s">
        <v>17941</v>
      </c>
    </row>
    <row r="2836" spans="1:12" x14ac:dyDescent="0.25">
      <c r="A2836">
        <v>519510</v>
      </c>
      <c r="B2836">
        <v>735985</v>
      </c>
      <c r="D2836" t="s">
        <v>2086</v>
      </c>
      <c r="E2836" t="s">
        <v>17944</v>
      </c>
      <c r="F2836" t="s">
        <v>17945</v>
      </c>
      <c r="G2836" t="s">
        <v>17946</v>
      </c>
      <c r="H2836" t="e" vm="1245">
        <f>_FV(0,"010684855788536226")</f>
        <v>#VALUE!</v>
      </c>
      <c r="I2836" t="s">
        <v>17947</v>
      </c>
      <c r="J2836" t="s">
        <v>17948</v>
      </c>
      <c r="K2836" t="s">
        <v>17949</v>
      </c>
      <c r="L2836" t="s">
        <v>17943</v>
      </c>
    </row>
    <row r="2837" spans="1:12" x14ac:dyDescent="0.25">
      <c r="A2837">
        <v>519510</v>
      </c>
      <c r="B2837">
        <v>717549</v>
      </c>
      <c r="D2837">
        <v>0</v>
      </c>
      <c r="F2837">
        <v>728740</v>
      </c>
      <c r="G2837">
        <v>519510</v>
      </c>
      <c r="H2837" t="s">
        <v>17950</v>
      </c>
      <c r="I2837">
        <v>717549</v>
      </c>
      <c r="J2837" t="s">
        <v>17950</v>
      </c>
      <c r="K2837" t="s">
        <v>17951</v>
      </c>
      <c r="L2837" t="s">
        <v>17950</v>
      </c>
    </row>
    <row r="2838" spans="1:12" x14ac:dyDescent="0.25">
      <c r="A2838">
        <v>519536</v>
      </c>
      <c r="B2838">
        <v>519545</v>
      </c>
      <c r="D2838" t="s">
        <v>204</v>
      </c>
      <c r="E2838" t="s">
        <v>17953</v>
      </c>
      <c r="F2838" t="s">
        <v>17954</v>
      </c>
      <c r="G2838" t="s">
        <v>17955</v>
      </c>
      <c r="H2838" t="e" vm="1246">
        <f>_FV(-9,"511126297595276e")-5</f>
        <v>#VALUE!</v>
      </c>
      <c r="I2838" t="s">
        <v>17956</v>
      </c>
      <c r="J2838" t="s">
        <v>17957</v>
      </c>
      <c r="K2838" t="s">
        <v>17958</v>
      </c>
      <c r="L2838" t="s">
        <v>17952</v>
      </c>
    </row>
    <row r="2839" spans="1:12" x14ac:dyDescent="0.25">
      <c r="A2839">
        <v>519545</v>
      </c>
      <c r="B2839">
        <v>519657</v>
      </c>
      <c r="D2839" t="s">
        <v>17960</v>
      </c>
      <c r="E2839" t="s">
        <v>17961</v>
      </c>
      <c r="F2839" t="s">
        <v>17962</v>
      </c>
      <c r="G2839" t="s">
        <v>17963</v>
      </c>
      <c r="H2839" t="s">
        <v>17964</v>
      </c>
      <c r="I2839" t="s">
        <v>17965</v>
      </c>
      <c r="J2839" t="s">
        <v>17966</v>
      </c>
      <c r="K2839" t="s">
        <v>17967</v>
      </c>
      <c r="L2839" t="s">
        <v>17959</v>
      </c>
    </row>
    <row r="2840" spans="1:12" x14ac:dyDescent="0.25">
      <c r="A2840">
        <v>519545</v>
      </c>
      <c r="B2840">
        <v>519657</v>
      </c>
      <c r="D2840" t="s">
        <v>11812</v>
      </c>
      <c r="E2840" t="s">
        <v>17969</v>
      </c>
      <c r="F2840" t="s">
        <v>17970</v>
      </c>
      <c r="G2840" t="s">
        <v>17971</v>
      </c>
      <c r="H2840" t="s">
        <v>17972</v>
      </c>
      <c r="I2840" t="s">
        <v>17973</v>
      </c>
      <c r="J2840" t="s">
        <v>17974</v>
      </c>
      <c r="K2840" t="s">
        <v>17975</v>
      </c>
      <c r="L2840" t="s">
        <v>17968</v>
      </c>
    </row>
    <row r="2841" spans="1:12" x14ac:dyDescent="0.25">
      <c r="A2841">
        <v>519561</v>
      </c>
      <c r="B2841">
        <v>734819</v>
      </c>
      <c r="D2841">
        <v>0</v>
      </c>
      <c r="E2841" t="s">
        <v>17977</v>
      </c>
      <c r="F2841" t="s">
        <v>17978</v>
      </c>
      <c r="G2841" t="s">
        <v>17979</v>
      </c>
      <c r="H2841" t="s">
        <v>17980</v>
      </c>
      <c r="I2841" t="s">
        <v>17981</v>
      </c>
      <c r="J2841" t="s">
        <v>17982</v>
      </c>
      <c r="K2841" t="s">
        <v>17983</v>
      </c>
      <c r="L2841" t="s">
        <v>17976</v>
      </c>
    </row>
    <row r="2842" spans="1:12" x14ac:dyDescent="0.25">
      <c r="A2842">
        <v>519561</v>
      </c>
      <c r="B2842">
        <v>717590</v>
      </c>
      <c r="D2842">
        <v>0</v>
      </c>
      <c r="E2842" t="s">
        <v>17985</v>
      </c>
      <c r="F2842" t="s">
        <v>17986</v>
      </c>
      <c r="G2842" t="s">
        <v>17987</v>
      </c>
      <c r="H2842" t="s">
        <v>17988</v>
      </c>
      <c r="I2842" t="s">
        <v>17989</v>
      </c>
      <c r="J2842" t="s">
        <v>17984</v>
      </c>
      <c r="K2842" t="s">
        <v>17990</v>
      </c>
      <c r="L2842" t="s">
        <v>17984</v>
      </c>
    </row>
    <row r="2843" spans="1:12" x14ac:dyDescent="0.25">
      <c r="A2843">
        <v>519636</v>
      </c>
      <c r="B2843">
        <v>717569</v>
      </c>
      <c r="D2843">
        <v>0</v>
      </c>
      <c r="E2843" t="s">
        <v>17992</v>
      </c>
      <c r="F2843" t="s">
        <v>17993</v>
      </c>
      <c r="G2843" t="s">
        <v>17994</v>
      </c>
      <c r="H2843" t="e" vm="1247">
        <f>_FV(0,"26735224285551057")</f>
        <v>#VALUE!</v>
      </c>
      <c r="I2843" t="s">
        <v>17995</v>
      </c>
      <c r="J2843" t="s">
        <v>17996</v>
      </c>
      <c r="K2843" t="s">
        <v>17997</v>
      </c>
      <c r="L2843" t="s">
        <v>17991</v>
      </c>
    </row>
    <row r="2844" spans="1:12" x14ac:dyDescent="0.25">
      <c r="A2844">
        <v>519636</v>
      </c>
      <c r="B2844">
        <v>735996</v>
      </c>
      <c r="D2844">
        <v>0</v>
      </c>
      <c r="E2844" t="s">
        <v>17999</v>
      </c>
      <c r="F2844" t="s">
        <v>18000</v>
      </c>
      <c r="G2844" t="s">
        <v>18001</v>
      </c>
      <c r="H2844" t="e" vm="1248">
        <f>_FV(0,"03695533991444872")</f>
        <v>#VALUE!</v>
      </c>
      <c r="I2844" t="s">
        <v>18002</v>
      </c>
      <c r="J2844" t="s">
        <v>18003</v>
      </c>
      <c r="K2844" t="s">
        <v>18004</v>
      </c>
      <c r="L2844" t="s">
        <v>17998</v>
      </c>
    </row>
    <row r="2845" spans="1:12" x14ac:dyDescent="0.25">
      <c r="A2845">
        <v>519657</v>
      </c>
      <c r="B2845">
        <v>519667</v>
      </c>
      <c r="D2845">
        <v>0</v>
      </c>
      <c r="E2845" t="s">
        <v>18006</v>
      </c>
      <c r="F2845" t="s">
        <v>18007</v>
      </c>
      <c r="G2845" t="s">
        <v>18008</v>
      </c>
      <c r="H2845" t="s">
        <v>18009</v>
      </c>
      <c r="I2845" t="s">
        <v>18010</v>
      </c>
      <c r="J2845" t="s">
        <v>18011</v>
      </c>
      <c r="K2845" t="s">
        <v>18012</v>
      </c>
      <c r="L2845" t="s">
        <v>18005</v>
      </c>
    </row>
    <row r="2846" spans="1:12" x14ac:dyDescent="0.25">
      <c r="A2846">
        <v>519667</v>
      </c>
      <c r="B2846">
        <v>519818</v>
      </c>
      <c r="D2846" t="s">
        <v>18014</v>
      </c>
      <c r="E2846" t="s">
        <v>18015</v>
      </c>
      <c r="F2846" t="s">
        <v>18016</v>
      </c>
      <c r="G2846" t="s">
        <v>18017</v>
      </c>
      <c r="H2846" t="s">
        <v>18018</v>
      </c>
      <c r="I2846" t="s">
        <v>18019</v>
      </c>
      <c r="J2846" t="s">
        <v>18020</v>
      </c>
      <c r="K2846" t="s">
        <v>18021</v>
      </c>
      <c r="L2846" t="s">
        <v>18013</v>
      </c>
    </row>
    <row r="2847" spans="1:12" x14ac:dyDescent="0.25">
      <c r="A2847">
        <v>519667</v>
      </c>
      <c r="B2847">
        <v>519818</v>
      </c>
      <c r="D2847" t="s">
        <v>18023</v>
      </c>
      <c r="E2847" t="s">
        <v>18024</v>
      </c>
      <c r="F2847" t="s">
        <v>18025</v>
      </c>
      <c r="G2847" t="s">
        <v>18026</v>
      </c>
      <c r="H2847" t="s">
        <v>18027</v>
      </c>
      <c r="I2847" t="s">
        <v>18028</v>
      </c>
      <c r="J2847" t="s">
        <v>18029</v>
      </c>
      <c r="K2847" t="s">
        <v>18030</v>
      </c>
      <c r="L2847" t="s">
        <v>18022</v>
      </c>
    </row>
    <row r="2848" spans="1:12" x14ac:dyDescent="0.25">
      <c r="A2848">
        <v>519675</v>
      </c>
      <c r="B2848">
        <v>356552</v>
      </c>
      <c r="D2848">
        <v>0</v>
      </c>
      <c r="E2848" t="s">
        <v>18032</v>
      </c>
      <c r="F2848" t="s">
        <v>18033</v>
      </c>
      <c r="G2848" t="s">
        <v>18034</v>
      </c>
      <c r="H2848" t="e" vm="1249">
        <f>_FV(0,"07814479048071278")</f>
        <v>#VALUE!</v>
      </c>
      <c r="I2848" t="s">
        <v>18035</v>
      </c>
      <c r="J2848" t="s">
        <v>18036</v>
      </c>
      <c r="K2848" t="s">
        <v>18037</v>
      </c>
      <c r="L2848" t="s">
        <v>18031</v>
      </c>
    </row>
    <row r="2849" spans="1:12" x14ac:dyDescent="0.25">
      <c r="A2849">
        <v>519675</v>
      </c>
      <c r="B2849">
        <v>520036</v>
      </c>
      <c r="D2849">
        <v>0</v>
      </c>
      <c r="E2849" t="s">
        <v>18039</v>
      </c>
      <c r="F2849" t="s">
        <v>18040</v>
      </c>
      <c r="G2849" t="s">
        <v>18041</v>
      </c>
      <c r="H2849" t="e" vm="1250">
        <f>_FV(0,"02936853843175643")</f>
        <v>#VALUE!</v>
      </c>
      <c r="I2849" t="s">
        <v>18042</v>
      </c>
      <c r="J2849" t="s">
        <v>18043</v>
      </c>
      <c r="K2849" t="s">
        <v>18044</v>
      </c>
      <c r="L2849" t="s">
        <v>18038</v>
      </c>
    </row>
    <row r="2850" spans="1:12" x14ac:dyDescent="0.25">
      <c r="A2850">
        <v>519675</v>
      </c>
      <c r="B2850">
        <v>520043</v>
      </c>
      <c r="D2850">
        <v>0</v>
      </c>
      <c r="E2850" t="s">
        <v>18046</v>
      </c>
      <c r="F2850" t="s">
        <v>18047</v>
      </c>
      <c r="G2850" t="s">
        <v>18048</v>
      </c>
      <c r="H2850" t="e" vm="1251">
        <f>_FV(0,"13268944537957883")</f>
        <v>#VALUE!</v>
      </c>
      <c r="I2850" t="s">
        <v>18049</v>
      </c>
      <c r="J2850" t="s">
        <v>18050</v>
      </c>
      <c r="K2850" t="s">
        <v>18051</v>
      </c>
      <c r="L2850" t="s">
        <v>18045</v>
      </c>
    </row>
    <row r="2851" spans="1:12" x14ac:dyDescent="0.25">
      <c r="A2851">
        <v>356552</v>
      </c>
      <c r="B2851">
        <v>734627</v>
      </c>
      <c r="D2851" t="s">
        <v>18053</v>
      </c>
      <c r="E2851" t="s">
        <v>18054</v>
      </c>
      <c r="F2851" t="s">
        <v>18055</v>
      </c>
      <c r="G2851" t="s">
        <v>18056</v>
      </c>
      <c r="H2851" t="e" vm="1252">
        <f>_FV(0,"03135070141018833")</f>
        <v>#VALUE!</v>
      </c>
      <c r="I2851" t="s">
        <v>18057</v>
      </c>
      <c r="J2851" t="s">
        <v>18058</v>
      </c>
      <c r="K2851" t="s">
        <v>18059</v>
      </c>
      <c r="L2851" t="s">
        <v>18052</v>
      </c>
    </row>
    <row r="2852" spans="1:12" x14ac:dyDescent="0.25">
      <c r="A2852">
        <v>356552</v>
      </c>
      <c r="B2852">
        <v>734595</v>
      </c>
      <c r="D2852" t="s">
        <v>17566</v>
      </c>
      <c r="E2852" t="s">
        <v>18061</v>
      </c>
      <c r="F2852" t="s">
        <v>18062</v>
      </c>
      <c r="G2852" t="s">
        <v>18063</v>
      </c>
      <c r="H2852" t="e" vm="1253">
        <f>_FV(0,"0318140529565538")</f>
        <v>#VALUE!</v>
      </c>
      <c r="I2852" t="s">
        <v>18064</v>
      </c>
      <c r="J2852" t="s">
        <v>18065</v>
      </c>
      <c r="K2852" t="s">
        <v>18066</v>
      </c>
      <c r="L2852" t="s">
        <v>18060</v>
      </c>
    </row>
    <row r="2853" spans="1:12" x14ac:dyDescent="0.25">
      <c r="A2853">
        <v>519702</v>
      </c>
      <c r="B2853">
        <v>1259662</v>
      </c>
      <c r="D2853" t="s">
        <v>1845</v>
      </c>
      <c r="E2853" t="s">
        <v>18068</v>
      </c>
      <c r="F2853" t="s">
        <v>18069</v>
      </c>
      <c r="G2853" t="s">
        <v>18070</v>
      </c>
      <c r="H2853" t="s">
        <v>18071</v>
      </c>
      <c r="I2853" t="s">
        <v>18072</v>
      </c>
      <c r="J2853" t="s">
        <v>18067</v>
      </c>
      <c r="K2853" t="s">
        <v>18073</v>
      </c>
      <c r="L2853" t="s">
        <v>18067</v>
      </c>
    </row>
    <row r="2854" spans="1:12" x14ac:dyDescent="0.25">
      <c r="A2854">
        <v>519702</v>
      </c>
      <c r="B2854">
        <v>519795</v>
      </c>
      <c r="C2854" t="s">
        <v>18075</v>
      </c>
      <c r="D2854" t="s">
        <v>5007</v>
      </c>
      <c r="E2854" t="s">
        <v>18076</v>
      </c>
      <c r="F2854" t="s">
        <v>18077</v>
      </c>
      <c r="G2854" t="s">
        <v>18078</v>
      </c>
      <c r="H2854" t="e" vm="1254">
        <f>_FV(0,"026099991987176982")</f>
        <v>#VALUE!</v>
      </c>
      <c r="I2854" t="s">
        <v>18079</v>
      </c>
      <c r="J2854" t="s">
        <v>18080</v>
      </c>
      <c r="K2854" t="s">
        <v>18081</v>
      </c>
      <c r="L2854" t="s">
        <v>18074</v>
      </c>
    </row>
    <row r="2855" spans="1:12" x14ac:dyDescent="0.25">
      <c r="A2855">
        <v>519702</v>
      </c>
      <c r="B2855">
        <v>520106</v>
      </c>
      <c r="D2855" t="s">
        <v>18083</v>
      </c>
      <c r="E2855" t="s">
        <v>18084</v>
      </c>
      <c r="F2855" t="s">
        <v>18085</v>
      </c>
      <c r="G2855" t="s">
        <v>18086</v>
      </c>
      <c r="H2855" t="s">
        <v>18087</v>
      </c>
      <c r="I2855" t="s">
        <v>18088</v>
      </c>
      <c r="J2855" t="s">
        <v>18089</v>
      </c>
      <c r="K2855" t="s">
        <v>18090</v>
      </c>
      <c r="L2855" t="s">
        <v>18082</v>
      </c>
    </row>
    <row r="2856" spans="1:12" x14ac:dyDescent="0.25">
      <c r="A2856">
        <v>519702</v>
      </c>
      <c r="B2856">
        <v>520120</v>
      </c>
      <c r="D2856" t="s">
        <v>18083</v>
      </c>
      <c r="E2856" t="s">
        <v>18092</v>
      </c>
      <c r="F2856" t="s">
        <v>18093</v>
      </c>
      <c r="G2856" t="s">
        <v>18094</v>
      </c>
      <c r="H2856" t="s">
        <v>18095</v>
      </c>
      <c r="I2856" t="s">
        <v>18096</v>
      </c>
      <c r="J2856" t="s">
        <v>18097</v>
      </c>
      <c r="K2856" t="s">
        <v>18098</v>
      </c>
      <c r="L2856" t="s">
        <v>18091</v>
      </c>
    </row>
    <row r="2857" spans="1:12" x14ac:dyDescent="0.25">
      <c r="A2857">
        <v>519732</v>
      </c>
      <c r="B2857">
        <v>723694</v>
      </c>
      <c r="D2857">
        <v>0</v>
      </c>
      <c r="F2857">
        <v>753328</v>
      </c>
      <c r="G2857">
        <v>723694</v>
      </c>
      <c r="H2857" t="s">
        <v>226</v>
      </c>
      <c r="I2857">
        <v>519732</v>
      </c>
      <c r="J2857" t="s">
        <v>226</v>
      </c>
      <c r="K2857" t="s">
        <v>18099</v>
      </c>
      <c r="L2857" t="s">
        <v>226</v>
      </c>
    </row>
    <row r="2858" spans="1:12" x14ac:dyDescent="0.25">
      <c r="A2858">
        <v>519732</v>
      </c>
      <c r="B2858">
        <v>519787</v>
      </c>
      <c r="D2858">
        <v>0</v>
      </c>
      <c r="E2858" t="s">
        <v>18101</v>
      </c>
      <c r="F2858" t="s">
        <v>18102</v>
      </c>
      <c r="G2858" t="s">
        <v>18103</v>
      </c>
      <c r="H2858" t="s">
        <v>18104</v>
      </c>
      <c r="I2858" t="s">
        <v>18105</v>
      </c>
      <c r="J2858" t="s">
        <v>18100</v>
      </c>
      <c r="K2858" t="s">
        <v>18106</v>
      </c>
      <c r="L2858" t="s">
        <v>18100</v>
      </c>
    </row>
    <row r="2859" spans="1:12" x14ac:dyDescent="0.25">
      <c r="A2859">
        <v>519732</v>
      </c>
      <c r="B2859">
        <v>734595</v>
      </c>
      <c r="D2859">
        <v>0</v>
      </c>
      <c r="F2859">
        <v>753320</v>
      </c>
      <c r="G2859">
        <v>519732</v>
      </c>
      <c r="H2859" t="s">
        <v>18107</v>
      </c>
      <c r="I2859">
        <v>734595</v>
      </c>
      <c r="J2859" t="s">
        <v>18107</v>
      </c>
      <c r="K2859" t="s">
        <v>18108</v>
      </c>
      <c r="L2859" t="s">
        <v>18107</v>
      </c>
    </row>
    <row r="2860" spans="1:12" x14ac:dyDescent="0.25">
      <c r="A2860">
        <v>519787</v>
      </c>
      <c r="B2860">
        <v>1259654</v>
      </c>
      <c r="C2860" t="s">
        <v>18110</v>
      </c>
      <c r="D2860" t="s">
        <v>4520</v>
      </c>
      <c r="E2860" t="s">
        <v>18111</v>
      </c>
      <c r="F2860" t="s">
        <v>18112</v>
      </c>
      <c r="G2860" t="s">
        <v>18113</v>
      </c>
      <c r="H2860" t="s">
        <v>18114</v>
      </c>
      <c r="I2860" t="s">
        <v>18115</v>
      </c>
      <c r="J2860" t="s">
        <v>18116</v>
      </c>
      <c r="K2860" t="s">
        <v>18117</v>
      </c>
      <c r="L2860" t="s">
        <v>18109</v>
      </c>
    </row>
    <row r="2861" spans="1:12" x14ac:dyDescent="0.25">
      <c r="A2861">
        <v>519795</v>
      </c>
      <c r="B2861">
        <v>1259662</v>
      </c>
      <c r="C2861" t="s">
        <v>18119</v>
      </c>
      <c r="D2861" t="s">
        <v>700</v>
      </c>
      <c r="E2861" t="s">
        <v>18120</v>
      </c>
      <c r="F2861" t="s">
        <v>18121</v>
      </c>
      <c r="G2861" t="s">
        <v>18122</v>
      </c>
      <c r="H2861" t="s">
        <v>18123</v>
      </c>
      <c r="I2861" t="s">
        <v>18124</v>
      </c>
      <c r="J2861" t="s">
        <v>18125</v>
      </c>
      <c r="K2861" t="s">
        <v>18126</v>
      </c>
      <c r="L2861" t="s">
        <v>18118</v>
      </c>
    </row>
    <row r="2862" spans="1:12" x14ac:dyDescent="0.25">
      <c r="A2862">
        <v>519818</v>
      </c>
      <c r="B2862">
        <v>519826</v>
      </c>
      <c r="C2862" t="s">
        <v>18128</v>
      </c>
      <c r="D2862">
        <v>0</v>
      </c>
      <c r="E2862" t="s">
        <v>18129</v>
      </c>
      <c r="F2862" t="s">
        <v>18130</v>
      </c>
      <c r="G2862" t="s">
        <v>18131</v>
      </c>
      <c r="H2862" t="s">
        <v>18132</v>
      </c>
      <c r="I2862" t="s">
        <v>18133</v>
      </c>
      <c r="J2862" t="s">
        <v>18134</v>
      </c>
      <c r="K2862" t="s">
        <v>18135</v>
      </c>
      <c r="L2862" t="s">
        <v>18127</v>
      </c>
    </row>
    <row r="2863" spans="1:12" x14ac:dyDescent="0.25">
      <c r="A2863">
        <v>519826</v>
      </c>
      <c r="B2863">
        <v>519871</v>
      </c>
      <c r="D2863">
        <v>0</v>
      </c>
      <c r="E2863" t="s">
        <v>18137</v>
      </c>
      <c r="F2863" t="s">
        <v>18138</v>
      </c>
      <c r="G2863" t="s">
        <v>18139</v>
      </c>
      <c r="H2863" t="e" vm="1255">
        <f>_FV(0,"00031141652724786973")</f>
        <v>#VALUE!</v>
      </c>
      <c r="I2863" t="s">
        <v>18140</v>
      </c>
      <c r="J2863" t="s">
        <v>18141</v>
      </c>
      <c r="K2863" t="s">
        <v>18142</v>
      </c>
      <c r="L2863" t="s">
        <v>18136</v>
      </c>
    </row>
    <row r="2864" spans="1:12" x14ac:dyDescent="0.25">
      <c r="A2864">
        <v>519826</v>
      </c>
      <c r="B2864">
        <v>519871</v>
      </c>
      <c r="D2864">
        <v>0</v>
      </c>
      <c r="E2864" t="s">
        <v>18144</v>
      </c>
      <c r="F2864" t="s">
        <v>18145</v>
      </c>
      <c r="G2864" t="s">
        <v>18146</v>
      </c>
      <c r="H2864" t="s">
        <v>18147</v>
      </c>
      <c r="I2864" t="s">
        <v>18148</v>
      </c>
      <c r="J2864" t="s">
        <v>18149</v>
      </c>
      <c r="K2864" t="s">
        <v>18150</v>
      </c>
      <c r="L2864" t="s">
        <v>18143</v>
      </c>
    </row>
    <row r="2865" spans="1:12" x14ac:dyDescent="0.25">
      <c r="A2865">
        <v>519878</v>
      </c>
      <c r="B2865">
        <v>520142</v>
      </c>
      <c r="D2865">
        <v>0</v>
      </c>
      <c r="E2865" t="s">
        <v>18152</v>
      </c>
      <c r="F2865" t="s">
        <v>18153</v>
      </c>
      <c r="G2865" t="s">
        <v>18154</v>
      </c>
      <c r="H2865" t="s">
        <v>18155</v>
      </c>
      <c r="I2865" t="s">
        <v>18156</v>
      </c>
      <c r="J2865" t="s">
        <v>18157</v>
      </c>
      <c r="K2865" t="s">
        <v>18158</v>
      </c>
      <c r="L2865" t="s">
        <v>18151</v>
      </c>
    </row>
    <row r="2866" spans="1:12" x14ac:dyDescent="0.25">
      <c r="A2866">
        <v>519878</v>
      </c>
      <c r="B2866">
        <v>520142</v>
      </c>
      <c r="D2866">
        <v>0</v>
      </c>
      <c r="E2866" t="s">
        <v>18160</v>
      </c>
      <c r="F2866" t="s">
        <v>18161</v>
      </c>
      <c r="G2866" t="s">
        <v>18162</v>
      </c>
      <c r="H2866" t="s">
        <v>18163</v>
      </c>
      <c r="I2866" t="s">
        <v>18164</v>
      </c>
      <c r="J2866" t="s">
        <v>18165</v>
      </c>
      <c r="K2866" t="s">
        <v>18166</v>
      </c>
      <c r="L2866" t="s">
        <v>18159</v>
      </c>
    </row>
    <row r="2867" spans="1:12" x14ac:dyDescent="0.25">
      <c r="A2867">
        <v>519878</v>
      </c>
      <c r="B2867">
        <v>1218464</v>
      </c>
      <c r="C2867" t="s">
        <v>8303</v>
      </c>
      <c r="D2867" t="s">
        <v>18168</v>
      </c>
      <c r="E2867" t="s">
        <v>18169</v>
      </c>
      <c r="F2867" t="s">
        <v>18170</v>
      </c>
      <c r="G2867" t="s">
        <v>18171</v>
      </c>
      <c r="H2867" t="e" vm="1256">
        <f>_FV(0,"0073748295984714255")</f>
        <v>#VALUE!</v>
      </c>
      <c r="I2867" t="s">
        <v>18172</v>
      </c>
      <c r="J2867" t="s">
        <v>18173</v>
      </c>
      <c r="K2867" t="s">
        <v>18174</v>
      </c>
      <c r="L2867" t="s">
        <v>18167</v>
      </c>
    </row>
    <row r="2868" spans="1:12" x14ac:dyDescent="0.25">
      <c r="A2868">
        <v>519892</v>
      </c>
      <c r="B2868">
        <v>519910</v>
      </c>
      <c r="D2868">
        <v>0</v>
      </c>
      <c r="E2868" t="s">
        <v>18176</v>
      </c>
      <c r="F2868" t="s">
        <v>18177</v>
      </c>
      <c r="G2868" t="s">
        <v>18178</v>
      </c>
      <c r="H2868" t="s">
        <v>18179</v>
      </c>
      <c r="I2868" t="s">
        <v>18180</v>
      </c>
      <c r="J2868" t="s">
        <v>18175</v>
      </c>
      <c r="K2868" t="s">
        <v>18181</v>
      </c>
      <c r="L2868" t="s">
        <v>18175</v>
      </c>
    </row>
    <row r="2869" spans="1:12" x14ac:dyDescent="0.25">
      <c r="A2869">
        <v>519892</v>
      </c>
      <c r="B2869">
        <v>723626</v>
      </c>
      <c r="D2869">
        <v>0</v>
      </c>
      <c r="E2869" t="s">
        <v>18183</v>
      </c>
      <c r="F2869" t="s">
        <v>18184</v>
      </c>
      <c r="G2869" t="s">
        <v>18185</v>
      </c>
      <c r="H2869" t="e" vm="1257">
        <f>_FV(0,"014356266480830614")</f>
        <v>#VALUE!</v>
      </c>
      <c r="I2869" t="s">
        <v>18186</v>
      </c>
      <c r="J2869" t="s">
        <v>18187</v>
      </c>
      <c r="K2869" t="s">
        <v>18188</v>
      </c>
      <c r="L2869" t="s">
        <v>18182</v>
      </c>
    </row>
    <row r="2870" spans="1:12" x14ac:dyDescent="0.25">
      <c r="A2870">
        <v>519892</v>
      </c>
      <c r="B2870">
        <v>519927</v>
      </c>
      <c r="D2870">
        <v>0</v>
      </c>
      <c r="E2870" t="s">
        <v>18190</v>
      </c>
      <c r="F2870" t="s">
        <v>18191</v>
      </c>
      <c r="G2870" t="s">
        <v>18192</v>
      </c>
      <c r="H2870" t="e" vm="1258">
        <f>_FV(0,"019199706178125345")</f>
        <v>#VALUE!</v>
      </c>
      <c r="I2870" t="s">
        <v>18193</v>
      </c>
      <c r="J2870" t="s">
        <v>18194</v>
      </c>
      <c r="K2870" t="s">
        <v>18195</v>
      </c>
      <c r="L2870" t="s">
        <v>18189</v>
      </c>
    </row>
    <row r="2871" spans="1:12" x14ac:dyDescent="0.25">
      <c r="A2871">
        <v>519910</v>
      </c>
      <c r="B2871">
        <v>519918</v>
      </c>
      <c r="D2871">
        <v>0</v>
      </c>
      <c r="F2871">
        <v>513672</v>
      </c>
      <c r="G2871">
        <v>519918</v>
      </c>
      <c r="H2871" t="s">
        <v>1589</v>
      </c>
      <c r="I2871">
        <v>519910</v>
      </c>
      <c r="J2871" t="s">
        <v>1589</v>
      </c>
      <c r="K2871" t="s">
        <v>18196</v>
      </c>
      <c r="L2871" t="s">
        <v>1589</v>
      </c>
    </row>
    <row r="2872" spans="1:12" x14ac:dyDescent="0.25">
      <c r="A2872">
        <v>519910</v>
      </c>
      <c r="B2872">
        <v>723626</v>
      </c>
      <c r="D2872">
        <v>0</v>
      </c>
      <c r="E2872" t="s">
        <v>18198</v>
      </c>
      <c r="F2872" t="s">
        <v>18199</v>
      </c>
      <c r="G2872" t="s">
        <v>18200</v>
      </c>
      <c r="H2872" t="e" vm="1259">
        <f>_FV(0,"07102452758092098")</f>
        <v>#VALUE!</v>
      </c>
      <c r="I2872" t="s">
        <v>18201</v>
      </c>
      <c r="J2872" t="s">
        <v>18202</v>
      </c>
      <c r="K2872" t="s">
        <v>18203</v>
      </c>
      <c r="L2872" t="s">
        <v>18197</v>
      </c>
    </row>
    <row r="2873" spans="1:12" x14ac:dyDescent="0.25">
      <c r="A2873">
        <v>519918</v>
      </c>
      <c r="B2873">
        <v>519927</v>
      </c>
      <c r="D2873">
        <v>0</v>
      </c>
      <c r="F2873">
        <v>513680</v>
      </c>
      <c r="G2873">
        <v>519927</v>
      </c>
      <c r="H2873" t="e" vm="184">
        <f>_FV(0,"031")</f>
        <v>#VALUE!</v>
      </c>
      <c r="I2873">
        <v>519918</v>
      </c>
      <c r="J2873" t="s">
        <v>2871</v>
      </c>
      <c r="K2873" t="s">
        <v>18204</v>
      </c>
      <c r="L2873" t="e" vm="184">
        <f>_FV(0,"031")</f>
        <v>#VALUE!</v>
      </c>
    </row>
    <row r="2874" spans="1:12" x14ac:dyDescent="0.25">
      <c r="A2874">
        <v>519918</v>
      </c>
      <c r="B2874">
        <v>1259667</v>
      </c>
      <c r="D2874">
        <v>0</v>
      </c>
      <c r="E2874" t="s">
        <v>18206</v>
      </c>
      <c r="F2874" t="s">
        <v>18207</v>
      </c>
      <c r="G2874" t="s">
        <v>18209</v>
      </c>
      <c r="H2874" t="e" vm="1260">
        <f>_FV(0,"002625952579088326")</f>
        <v>#VALUE!</v>
      </c>
      <c r="I2874" t="s">
        <v>18210</v>
      </c>
      <c r="J2874" t="s">
        <v>18211</v>
      </c>
      <c r="K2874" t="s">
        <v>18212</v>
      </c>
      <c r="L2874" t="s">
        <v>18205</v>
      </c>
    </row>
    <row r="2875" spans="1:12" x14ac:dyDescent="0.25">
      <c r="A2875">
        <v>519924</v>
      </c>
      <c r="B2875">
        <v>519924</v>
      </c>
      <c r="D2875">
        <v>0</v>
      </c>
      <c r="E2875" t="s">
        <v>18214</v>
      </c>
      <c r="F2875" t="s">
        <v>18215</v>
      </c>
      <c r="G2875" t="s">
        <v>18216</v>
      </c>
      <c r="H2875" t="e" vm="1261">
        <f>_FV(-5,"972587710187782e")-5</f>
        <v>#VALUE!</v>
      </c>
      <c r="I2875" t="s">
        <v>18217</v>
      </c>
      <c r="J2875" t="s">
        <v>18218</v>
      </c>
      <c r="K2875" t="s">
        <v>18219</v>
      </c>
      <c r="L2875" t="s">
        <v>18213</v>
      </c>
    </row>
    <row r="2876" spans="1:12" x14ac:dyDescent="0.25">
      <c r="A2876">
        <v>519924</v>
      </c>
      <c r="B2876">
        <v>1391875</v>
      </c>
      <c r="D2876">
        <v>0</v>
      </c>
      <c r="E2876" t="s">
        <v>18221</v>
      </c>
      <c r="F2876" t="s">
        <v>18222</v>
      </c>
      <c r="G2876" t="s">
        <v>18223</v>
      </c>
      <c r="H2876" t="s">
        <v>18224</v>
      </c>
      <c r="I2876" t="s">
        <v>18225</v>
      </c>
      <c r="J2876" t="s">
        <v>18226</v>
      </c>
      <c r="K2876" t="s">
        <v>18227</v>
      </c>
      <c r="L2876" t="s">
        <v>18220</v>
      </c>
    </row>
    <row r="2877" spans="1:12" x14ac:dyDescent="0.25">
      <c r="A2877">
        <v>519927</v>
      </c>
      <c r="B2877">
        <v>723525</v>
      </c>
      <c r="D2877">
        <v>0</v>
      </c>
      <c r="E2877" t="s">
        <v>18229</v>
      </c>
      <c r="F2877" t="s">
        <v>18230</v>
      </c>
      <c r="G2877" t="s">
        <v>18231</v>
      </c>
      <c r="H2877" t="e" vm="1262">
        <f>_FV(0,"03888161504018509")</f>
        <v>#VALUE!</v>
      </c>
      <c r="I2877" t="s">
        <v>18232</v>
      </c>
      <c r="J2877" t="s">
        <v>18233</v>
      </c>
      <c r="K2877" t="s">
        <v>18234</v>
      </c>
      <c r="L2877" t="s">
        <v>18228</v>
      </c>
    </row>
    <row r="2878" spans="1:12" x14ac:dyDescent="0.25">
      <c r="A2878">
        <v>519943</v>
      </c>
      <c r="B2878">
        <v>519992</v>
      </c>
      <c r="D2878">
        <v>0</v>
      </c>
      <c r="E2878" t="s">
        <v>18236</v>
      </c>
      <c r="F2878" t="s">
        <v>18237</v>
      </c>
      <c r="G2878" t="s">
        <v>18238</v>
      </c>
      <c r="H2878" t="s">
        <v>18239</v>
      </c>
      <c r="I2878" t="s">
        <v>18240</v>
      </c>
      <c r="J2878" t="s">
        <v>18241</v>
      </c>
      <c r="K2878" t="s">
        <v>18242</v>
      </c>
      <c r="L2878" t="s">
        <v>18235</v>
      </c>
    </row>
    <row r="2879" spans="1:12" x14ac:dyDescent="0.25">
      <c r="A2879">
        <v>519943</v>
      </c>
      <c r="B2879">
        <v>520011</v>
      </c>
      <c r="D2879">
        <v>0</v>
      </c>
      <c r="E2879" t="s">
        <v>18244</v>
      </c>
      <c r="F2879" t="s">
        <v>18245</v>
      </c>
      <c r="G2879" t="s">
        <v>18246</v>
      </c>
      <c r="H2879" t="e" vm="1263">
        <f>_FV(0,"003918406926166513")</f>
        <v>#VALUE!</v>
      </c>
      <c r="I2879" t="s">
        <v>18247</v>
      </c>
      <c r="J2879" t="s">
        <v>18248</v>
      </c>
      <c r="K2879" t="s">
        <v>18249</v>
      </c>
      <c r="L2879" t="s">
        <v>18243</v>
      </c>
    </row>
    <row r="2880" spans="1:12" x14ac:dyDescent="0.25">
      <c r="A2880">
        <v>519943</v>
      </c>
      <c r="B2880">
        <v>723627</v>
      </c>
      <c r="D2880">
        <v>0</v>
      </c>
      <c r="E2880" t="s">
        <v>18250</v>
      </c>
      <c r="F2880" t="s">
        <v>18251</v>
      </c>
      <c r="G2880" t="s">
        <v>18252</v>
      </c>
      <c r="H2880" t="s">
        <v>18253</v>
      </c>
      <c r="I2880" t="s">
        <v>18254</v>
      </c>
      <c r="J2880" t="s">
        <v>1948</v>
      </c>
      <c r="K2880" t="s">
        <v>18255</v>
      </c>
      <c r="L2880" t="s">
        <v>1948</v>
      </c>
    </row>
    <row r="2881" spans="1:12" x14ac:dyDescent="0.25">
      <c r="A2881">
        <v>519992</v>
      </c>
      <c r="B2881">
        <v>520001</v>
      </c>
      <c r="D2881">
        <v>0</v>
      </c>
      <c r="F2881">
        <v>513752</v>
      </c>
      <c r="G2881">
        <v>520001</v>
      </c>
      <c r="H2881" t="e" vm="219">
        <f>_FV(0,"026")</f>
        <v>#VALUE!</v>
      </c>
      <c r="I2881">
        <v>519992</v>
      </c>
      <c r="J2881" t="s">
        <v>2841</v>
      </c>
      <c r="K2881" t="s">
        <v>18256</v>
      </c>
      <c r="L2881" t="e" vm="219">
        <f>_FV(0,"026")</f>
        <v>#VALUE!</v>
      </c>
    </row>
    <row r="2882" spans="1:12" x14ac:dyDescent="0.25">
      <c r="A2882">
        <v>519992</v>
      </c>
      <c r="B2882">
        <v>723576</v>
      </c>
      <c r="D2882">
        <v>0</v>
      </c>
      <c r="E2882" t="s">
        <v>18258</v>
      </c>
      <c r="F2882" t="s">
        <v>18259</v>
      </c>
      <c r="G2882" t="s">
        <v>18260</v>
      </c>
      <c r="H2882" t="s">
        <v>18261</v>
      </c>
      <c r="I2882" t="s">
        <v>18262</v>
      </c>
      <c r="J2882" t="s">
        <v>18257</v>
      </c>
      <c r="K2882" t="s">
        <v>18263</v>
      </c>
      <c r="L2882" t="s">
        <v>18257</v>
      </c>
    </row>
    <row r="2883" spans="1:12" x14ac:dyDescent="0.25">
      <c r="A2883">
        <v>520001</v>
      </c>
      <c r="B2883">
        <v>520011</v>
      </c>
      <c r="D2883">
        <v>0</v>
      </c>
      <c r="F2883">
        <v>513760</v>
      </c>
      <c r="G2883">
        <v>520011</v>
      </c>
      <c r="H2883" t="e" vm="18">
        <f>_FV(0,"004")</f>
        <v>#VALUE!</v>
      </c>
      <c r="I2883">
        <v>520001</v>
      </c>
      <c r="J2883" t="s">
        <v>239</v>
      </c>
      <c r="K2883" t="s">
        <v>18264</v>
      </c>
      <c r="L2883" t="e" vm="18">
        <f>_FV(0,"004")</f>
        <v>#VALUE!</v>
      </c>
    </row>
    <row r="2884" spans="1:12" x14ac:dyDescent="0.25">
      <c r="A2884">
        <v>520001</v>
      </c>
      <c r="B2884">
        <v>1259673</v>
      </c>
      <c r="D2884">
        <v>0</v>
      </c>
      <c r="E2884" t="s">
        <v>18266</v>
      </c>
      <c r="F2884" t="s">
        <v>18267</v>
      </c>
      <c r="G2884" t="s">
        <v>18268</v>
      </c>
      <c r="H2884" t="s">
        <v>18269</v>
      </c>
      <c r="I2884" t="s">
        <v>18270</v>
      </c>
      <c r="J2884" t="s">
        <v>18271</v>
      </c>
      <c r="K2884" t="s">
        <v>18272</v>
      </c>
      <c r="L2884" t="s">
        <v>18265</v>
      </c>
    </row>
    <row r="2885" spans="1:12" x14ac:dyDescent="0.25">
      <c r="A2885">
        <v>520011</v>
      </c>
      <c r="B2885">
        <v>723627</v>
      </c>
      <c r="D2885">
        <v>0</v>
      </c>
      <c r="E2885" t="s">
        <v>18274</v>
      </c>
      <c r="F2885" t="s">
        <v>18275</v>
      </c>
      <c r="G2885" t="s">
        <v>18276</v>
      </c>
      <c r="H2885" t="s">
        <v>18277</v>
      </c>
      <c r="I2885" t="s">
        <v>18278</v>
      </c>
      <c r="J2885" t="s">
        <v>18279</v>
      </c>
      <c r="K2885" t="s">
        <v>18280</v>
      </c>
      <c r="L2885" t="s">
        <v>18273</v>
      </c>
    </row>
    <row r="2886" spans="1:12" x14ac:dyDescent="0.25">
      <c r="A2886">
        <v>520034</v>
      </c>
      <c r="B2886">
        <v>520039</v>
      </c>
      <c r="D2886">
        <v>0</v>
      </c>
      <c r="E2886" t="s">
        <v>18282</v>
      </c>
      <c r="F2886" t="s">
        <v>18283</v>
      </c>
      <c r="G2886" t="s">
        <v>18284</v>
      </c>
      <c r="H2886" t="e" vm="1264">
        <f>_FV(0,"009951302898255554")</f>
        <v>#VALUE!</v>
      </c>
      <c r="I2886" t="s">
        <v>18285</v>
      </c>
      <c r="J2886" t="s">
        <v>18286</v>
      </c>
      <c r="K2886" t="s">
        <v>18287</v>
      </c>
      <c r="L2886" t="s">
        <v>18281</v>
      </c>
    </row>
    <row r="2887" spans="1:12" x14ac:dyDescent="0.25">
      <c r="A2887">
        <v>520034</v>
      </c>
      <c r="B2887">
        <v>1391882</v>
      </c>
      <c r="D2887">
        <v>0</v>
      </c>
      <c r="E2887" t="s">
        <v>18289</v>
      </c>
      <c r="F2887" t="s">
        <v>18290</v>
      </c>
      <c r="G2887" t="s">
        <v>18291</v>
      </c>
      <c r="H2887" t="e" vm="1265">
        <f>_FV(0,"01944424405531351")</f>
        <v>#VALUE!</v>
      </c>
      <c r="I2887" t="s">
        <v>18292</v>
      </c>
      <c r="J2887" t="s">
        <v>18293</v>
      </c>
      <c r="K2887" t="s">
        <v>18294</v>
      </c>
      <c r="L2887" t="s">
        <v>18288</v>
      </c>
    </row>
    <row r="2888" spans="1:12" x14ac:dyDescent="0.25">
      <c r="A2888">
        <v>520036</v>
      </c>
      <c r="B2888">
        <v>520043</v>
      </c>
      <c r="D2888">
        <v>0</v>
      </c>
      <c r="E2888" t="s">
        <v>18296</v>
      </c>
      <c r="F2888" t="s">
        <v>18297</v>
      </c>
      <c r="G2888" t="s">
        <v>18298</v>
      </c>
      <c r="H2888" t="s">
        <v>18299</v>
      </c>
      <c r="I2888" t="s">
        <v>18300</v>
      </c>
      <c r="J2888" t="s">
        <v>18295</v>
      </c>
      <c r="K2888" t="s">
        <v>18301</v>
      </c>
      <c r="L2888" t="s">
        <v>18295</v>
      </c>
    </row>
    <row r="2889" spans="1:12" x14ac:dyDescent="0.25">
      <c r="A2889">
        <v>520039</v>
      </c>
      <c r="B2889">
        <v>1391887</v>
      </c>
      <c r="D2889">
        <v>0</v>
      </c>
      <c r="E2889" t="s">
        <v>18303</v>
      </c>
      <c r="F2889" t="s">
        <v>18304</v>
      </c>
      <c r="G2889" t="s">
        <v>18305</v>
      </c>
      <c r="H2889" t="e" vm="1266">
        <f>_FV(0,"043588747840041436")</f>
        <v>#VALUE!</v>
      </c>
      <c r="I2889" t="s">
        <v>18306</v>
      </c>
      <c r="J2889" t="s">
        <v>18307</v>
      </c>
      <c r="K2889" t="s">
        <v>18308</v>
      </c>
      <c r="L2889" t="s">
        <v>18302</v>
      </c>
    </row>
    <row r="2890" spans="1:12" x14ac:dyDescent="0.25">
      <c r="A2890">
        <v>520105</v>
      </c>
      <c r="B2890">
        <v>520106</v>
      </c>
      <c r="D2890">
        <v>1</v>
      </c>
      <c r="F2890">
        <v>513848</v>
      </c>
      <c r="G2890">
        <v>520106</v>
      </c>
      <c r="H2890" t="s">
        <v>8132</v>
      </c>
      <c r="I2890">
        <v>520105</v>
      </c>
      <c r="J2890" t="s">
        <v>8132</v>
      </c>
      <c r="K2890" t="s">
        <v>18309</v>
      </c>
      <c r="L2890" t="s">
        <v>8132</v>
      </c>
    </row>
    <row r="2891" spans="1:12" x14ac:dyDescent="0.25">
      <c r="A2891">
        <v>520105</v>
      </c>
      <c r="B2891">
        <v>520155</v>
      </c>
      <c r="D2891">
        <v>1</v>
      </c>
      <c r="E2891" t="s">
        <v>18311</v>
      </c>
      <c r="F2891" t="s">
        <v>18312</v>
      </c>
      <c r="G2891" t="s">
        <v>18313</v>
      </c>
      <c r="H2891" t="s">
        <v>18314</v>
      </c>
      <c r="I2891" t="s">
        <v>18315</v>
      </c>
      <c r="J2891" t="s">
        <v>18310</v>
      </c>
      <c r="K2891" t="s">
        <v>18316</v>
      </c>
      <c r="L2891" t="s">
        <v>18310</v>
      </c>
    </row>
    <row r="2892" spans="1:12" x14ac:dyDescent="0.25">
      <c r="A2892">
        <v>520105</v>
      </c>
      <c r="B2892">
        <v>734607</v>
      </c>
      <c r="D2892">
        <v>1</v>
      </c>
      <c r="E2892" t="s">
        <v>18318</v>
      </c>
      <c r="F2892" t="s">
        <v>18319</v>
      </c>
      <c r="G2892" t="s">
        <v>18320</v>
      </c>
      <c r="H2892" t="e" vm="1267">
        <f>_FV(0,"04291497821800662")</f>
        <v>#VALUE!</v>
      </c>
      <c r="I2892" t="s">
        <v>18321</v>
      </c>
      <c r="J2892" t="s">
        <v>18322</v>
      </c>
      <c r="K2892" t="s">
        <v>18323</v>
      </c>
      <c r="L2892" t="s">
        <v>18317</v>
      </c>
    </row>
    <row r="2893" spans="1:12" x14ac:dyDescent="0.25">
      <c r="A2893">
        <v>520106</v>
      </c>
      <c r="B2893">
        <v>520120</v>
      </c>
      <c r="D2893">
        <v>1</v>
      </c>
      <c r="E2893" t="s">
        <v>18325</v>
      </c>
      <c r="F2893" t="s">
        <v>18326</v>
      </c>
      <c r="G2893" t="s">
        <v>18327</v>
      </c>
      <c r="H2893" t="e" vm="1268">
        <f>_FV(0,"029974738208763434")</f>
        <v>#VALUE!</v>
      </c>
      <c r="I2893" t="s">
        <v>18328</v>
      </c>
      <c r="J2893" t="s">
        <v>18329</v>
      </c>
      <c r="K2893" t="s">
        <v>18330</v>
      </c>
      <c r="L2893" t="s">
        <v>18324</v>
      </c>
    </row>
    <row r="2894" spans="1:12" x14ac:dyDescent="0.25">
      <c r="A2894">
        <v>520120</v>
      </c>
      <c r="B2894">
        <v>520155</v>
      </c>
      <c r="D2894">
        <v>1</v>
      </c>
      <c r="E2894" t="s">
        <v>18332</v>
      </c>
      <c r="F2894" t="s">
        <v>18333</v>
      </c>
      <c r="G2894" t="s">
        <v>18334</v>
      </c>
      <c r="H2894" t="e" vm="1269">
        <f>_FV(0,"08787995151543283")</f>
        <v>#VALUE!</v>
      </c>
      <c r="I2894" t="s">
        <v>18335</v>
      </c>
      <c r="J2894" t="s">
        <v>18336</v>
      </c>
      <c r="K2894" t="s">
        <v>18337</v>
      </c>
      <c r="L2894" t="s">
        <v>18331</v>
      </c>
    </row>
    <row r="2895" spans="1:12" x14ac:dyDescent="0.25">
      <c r="A2895">
        <v>520142</v>
      </c>
      <c r="B2895">
        <v>950581</v>
      </c>
      <c r="D2895">
        <v>0</v>
      </c>
      <c r="E2895" t="s">
        <v>18339</v>
      </c>
      <c r="F2895" t="s">
        <v>18340</v>
      </c>
      <c r="G2895" t="s">
        <v>18341</v>
      </c>
      <c r="H2895" t="s">
        <v>18342</v>
      </c>
      <c r="I2895" t="s">
        <v>18343</v>
      </c>
      <c r="J2895" t="s">
        <v>18344</v>
      </c>
      <c r="K2895" t="s">
        <v>18345</v>
      </c>
      <c r="L2895" t="s">
        <v>18338</v>
      </c>
    </row>
    <row r="2896" spans="1:12" x14ac:dyDescent="0.25">
      <c r="A2896">
        <v>520150</v>
      </c>
      <c r="B2896">
        <v>520266</v>
      </c>
      <c r="D2896">
        <v>0</v>
      </c>
      <c r="E2896" t="s">
        <v>18347</v>
      </c>
      <c r="F2896" t="s">
        <v>18348</v>
      </c>
      <c r="G2896" t="s">
        <v>18349</v>
      </c>
      <c r="H2896" t="s">
        <v>18350</v>
      </c>
      <c r="I2896" t="s">
        <v>18351</v>
      </c>
      <c r="J2896" t="s">
        <v>18352</v>
      </c>
      <c r="K2896" t="s">
        <v>18353</v>
      </c>
      <c r="L2896" t="s">
        <v>18346</v>
      </c>
    </row>
    <row r="2897" spans="1:12" x14ac:dyDescent="0.25">
      <c r="A2897">
        <v>520150</v>
      </c>
      <c r="B2897">
        <v>520266</v>
      </c>
      <c r="D2897">
        <v>0</v>
      </c>
      <c r="E2897" t="s">
        <v>18355</v>
      </c>
      <c r="F2897" t="s">
        <v>18356</v>
      </c>
      <c r="G2897" t="s">
        <v>18357</v>
      </c>
      <c r="H2897" t="s">
        <v>18358</v>
      </c>
      <c r="I2897" t="s">
        <v>18359</v>
      </c>
      <c r="J2897" t="s">
        <v>18360</v>
      </c>
      <c r="K2897" t="s">
        <v>18361</v>
      </c>
      <c r="L2897" t="s">
        <v>18354</v>
      </c>
    </row>
    <row r="2898" spans="1:12" x14ac:dyDescent="0.25">
      <c r="A2898">
        <v>520150</v>
      </c>
      <c r="B2898">
        <v>885221</v>
      </c>
      <c r="D2898" t="s">
        <v>18363</v>
      </c>
      <c r="E2898" t="s">
        <v>18364</v>
      </c>
      <c r="F2898" t="s">
        <v>18365</v>
      </c>
      <c r="G2898" t="s">
        <v>18366</v>
      </c>
      <c r="H2898" t="s">
        <v>18367</v>
      </c>
      <c r="I2898" t="s">
        <v>18368</v>
      </c>
      <c r="J2898" t="s">
        <v>18369</v>
      </c>
      <c r="K2898" t="s">
        <v>18370</v>
      </c>
      <c r="L2898" t="s">
        <v>18362</v>
      </c>
    </row>
    <row r="2899" spans="1:12" x14ac:dyDescent="0.25">
      <c r="A2899">
        <v>520155</v>
      </c>
      <c r="B2899">
        <v>734619</v>
      </c>
      <c r="D2899">
        <v>1</v>
      </c>
      <c r="E2899" t="s">
        <v>18372</v>
      </c>
      <c r="F2899" t="s">
        <v>18373</v>
      </c>
      <c r="G2899" t="s">
        <v>18374</v>
      </c>
      <c r="H2899" t="e" vm="1270">
        <f>_FV(0,"043409232242405935")</f>
        <v>#VALUE!</v>
      </c>
      <c r="I2899" t="s">
        <v>18375</v>
      </c>
      <c r="J2899" t="s">
        <v>18376</v>
      </c>
      <c r="K2899" t="s">
        <v>18377</v>
      </c>
      <c r="L2899" t="s">
        <v>18371</v>
      </c>
    </row>
    <row r="2900" spans="1:12" x14ac:dyDescent="0.25">
      <c r="A2900">
        <v>520266</v>
      </c>
      <c r="B2900">
        <v>1854850</v>
      </c>
      <c r="D2900">
        <v>0</v>
      </c>
      <c r="E2900" t="s">
        <v>18378</v>
      </c>
      <c r="H2900" t="s">
        <v>187</v>
      </c>
      <c r="J2900">
        <v>0</v>
      </c>
      <c r="K2900" t="s">
        <v>18379</v>
      </c>
      <c r="L2900">
        <v>0</v>
      </c>
    </row>
    <row r="2901" spans="1:12" x14ac:dyDescent="0.25">
      <c r="A2901">
        <v>520362</v>
      </c>
      <c r="B2901">
        <v>520382</v>
      </c>
      <c r="D2901">
        <v>0</v>
      </c>
      <c r="E2901" t="s">
        <v>18381</v>
      </c>
      <c r="F2901" t="s">
        <v>18382</v>
      </c>
      <c r="G2901" t="s">
        <v>18383</v>
      </c>
      <c r="H2901" t="e" vm="1271">
        <f>_FV(0,"02525183357105725")</f>
        <v>#VALUE!</v>
      </c>
      <c r="I2901" t="s">
        <v>18384</v>
      </c>
      <c r="J2901" t="s">
        <v>18385</v>
      </c>
      <c r="K2901" t="s">
        <v>18386</v>
      </c>
      <c r="L2901" t="s">
        <v>18380</v>
      </c>
    </row>
    <row r="2902" spans="1:12" x14ac:dyDescent="0.25">
      <c r="A2902">
        <v>520362</v>
      </c>
      <c r="B2902">
        <v>520437</v>
      </c>
      <c r="D2902" t="s">
        <v>330</v>
      </c>
      <c r="E2902" t="s">
        <v>18388</v>
      </c>
      <c r="F2902" t="s">
        <v>18389</v>
      </c>
      <c r="G2902" t="s">
        <v>18390</v>
      </c>
      <c r="H2902" t="e" vm="1272">
        <f>_FV(0,"07613270777107987")</f>
        <v>#VALUE!</v>
      </c>
      <c r="I2902" t="s">
        <v>18391</v>
      </c>
      <c r="J2902" t="s">
        <v>18392</v>
      </c>
      <c r="K2902" t="s">
        <v>18393</v>
      </c>
      <c r="L2902" t="s">
        <v>18387</v>
      </c>
    </row>
    <row r="2903" spans="1:12" x14ac:dyDescent="0.25">
      <c r="A2903">
        <v>520362</v>
      </c>
      <c r="B2903">
        <v>520401</v>
      </c>
      <c r="D2903">
        <v>0</v>
      </c>
      <c r="E2903" t="s">
        <v>18395</v>
      </c>
      <c r="F2903" t="s">
        <v>18396</v>
      </c>
      <c r="G2903" t="s">
        <v>18397</v>
      </c>
      <c r="H2903" t="e" vm="1273">
        <f>_FV(0,"031878058047754516")</f>
        <v>#VALUE!</v>
      </c>
      <c r="I2903" t="s">
        <v>18398</v>
      </c>
      <c r="J2903" t="s">
        <v>18399</v>
      </c>
      <c r="K2903" t="s">
        <v>18400</v>
      </c>
      <c r="L2903" t="s">
        <v>18394</v>
      </c>
    </row>
    <row r="2904" spans="1:12" x14ac:dyDescent="0.25">
      <c r="A2904">
        <v>520382</v>
      </c>
      <c r="B2904">
        <v>520391</v>
      </c>
      <c r="D2904">
        <v>0</v>
      </c>
      <c r="F2904">
        <v>514104</v>
      </c>
      <c r="G2904">
        <v>520391</v>
      </c>
      <c r="H2904" t="s">
        <v>1987</v>
      </c>
      <c r="I2904">
        <v>520382</v>
      </c>
      <c r="J2904" t="s">
        <v>1987</v>
      </c>
      <c r="K2904" t="s">
        <v>18401</v>
      </c>
      <c r="L2904" t="s">
        <v>1987</v>
      </c>
    </row>
    <row r="2905" spans="1:12" x14ac:dyDescent="0.25">
      <c r="A2905">
        <v>520382</v>
      </c>
      <c r="B2905">
        <v>520481</v>
      </c>
      <c r="D2905" t="s">
        <v>330</v>
      </c>
      <c r="E2905" t="s">
        <v>18403</v>
      </c>
      <c r="F2905" t="s">
        <v>18404</v>
      </c>
      <c r="G2905" t="s">
        <v>18405</v>
      </c>
      <c r="H2905" t="e" vm="1274">
        <f>_FV(0,"07415376457038757")</f>
        <v>#VALUE!</v>
      </c>
      <c r="I2905" t="s">
        <v>18406</v>
      </c>
      <c r="J2905" t="s">
        <v>18407</v>
      </c>
      <c r="K2905" t="s">
        <v>18408</v>
      </c>
      <c r="L2905" t="s">
        <v>18402</v>
      </c>
    </row>
    <row r="2906" spans="1:12" x14ac:dyDescent="0.25">
      <c r="A2906">
        <v>520391</v>
      </c>
      <c r="B2906">
        <v>520401</v>
      </c>
      <c r="D2906">
        <v>0</v>
      </c>
      <c r="F2906">
        <v>514112</v>
      </c>
      <c r="G2906">
        <v>520401</v>
      </c>
      <c r="H2906" t="s">
        <v>18409</v>
      </c>
      <c r="I2906">
        <v>520391</v>
      </c>
      <c r="J2906" t="s">
        <v>18409</v>
      </c>
      <c r="K2906" t="s">
        <v>18410</v>
      </c>
      <c r="L2906" t="s">
        <v>18409</v>
      </c>
    </row>
    <row r="2907" spans="1:12" x14ac:dyDescent="0.25">
      <c r="A2907">
        <v>520391</v>
      </c>
      <c r="B2907">
        <v>717094</v>
      </c>
      <c r="D2907" t="s">
        <v>2793</v>
      </c>
      <c r="E2907" t="s">
        <v>18412</v>
      </c>
      <c r="F2907" t="s">
        <v>18413</v>
      </c>
      <c r="G2907" t="s">
        <v>18414</v>
      </c>
      <c r="H2907" t="e" vm="1275">
        <f>_FV(0,"10138399845200191")</f>
        <v>#VALUE!</v>
      </c>
      <c r="I2907" t="s">
        <v>18415</v>
      </c>
      <c r="J2907" t="s">
        <v>18416</v>
      </c>
      <c r="K2907" t="s">
        <v>18417</v>
      </c>
      <c r="L2907" t="s">
        <v>18411</v>
      </c>
    </row>
    <row r="2908" spans="1:12" x14ac:dyDescent="0.25">
      <c r="A2908">
        <v>520401</v>
      </c>
      <c r="B2908">
        <v>717057</v>
      </c>
      <c r="D2908">
        <v>0</v>
      </c>
      <c r="E2908" t="s">
        <v>18419</v>
      </c>
      <c r="F2908" t="s">
        <v>18420</v>
      </c>
      <c r="G2908" t="s">
        <v>18421</v>
      </c>
      <c r="H2908" t="s">
        <v>18422</v>
      </c>
      <c r="I2908" t="s">
        <v>18423</v>
      </c>
      <c r="J2908" t="s">
        <v>18418</v>
      </c>
      <c r="K2908" t="s">
        <v>18424</v>
      </c>
      <c r="L2908" t="s">
        <v>18418</v>
      </c>
    </row>
    <row r="2909" spans="1:12" x14ac:dyDescent="0.25">
      <c r="A2909">
        <v>520437</v>
      </c>
      <c r="B2909">
        <v>520438</v>
      </c>
      <c r="D2909">
        <v>0</v>
      </c>
      <c r="F2909">
        <v>514144</v>
      </c>
      <c r="G2909">
        <v>520438</v>
      </c>
      <c r="H2909" t="e" vm="1209">
        <f>_FV(0,"042")</f>
        <v>#VALUE!</v>
      </c>
      <c r="I2909">
        <v>520437</v>
      </c>
      <c r="J2909" t="s">
        <v>3161</v>
      </c>
      <c r="K2909" t="s">
        <v>18425</v>
      </c>
      <c r="L2909" t="e" vm="1209">
        <f>_FV(0,"042")</f>
        <v>#VALUE!</v>
      </c>
    </row>
    <row r="2910" spans="1:12" x14ac:dyDescent="0.25">
      <c r="A2910">
        <v>520437</v>
      </c>
      <c r="B2910">
        <v>520481</v>
      </c>
      <c r="D2910">
        <v>0</v>
      </c>
      <c r="E2910" t="s">
        <v>18427</v>
      </c>
      <c r="F2910" t="s">
        <v>18428</v>
      </c>
      <c r="G2910" t="s">
        <v>18429</v>
      </c>
      <c r="H2910" t="e" vm="1276">
        <f>_FV(0,"012413640154152276")</f>
        <v>#VALUE!</v>
      </c>
      <c r="I2910" t="s">
        <v>18430</v>
      </c>
      <c r="J2910" t="s">
        <v>18431</v>
      </c>
      <c r="K2910" t="s">
        <v>18432</v>
      </c>
      <c r="L2910" t="s">
        <v>18426</v>
      </c>
    </row>
    <row r="2911" spans="1:12" x14ac:dyDescent="0.25">
      <c r="A2911">
        <v>520438</v>
      </c>
      <c r="B2911">
        <v>520469</v>
      </c>
      <c r="D2911">
        <v>0</v>
      </c>
      <c r="E2911" t="s">
        <v>18434</v>
      </c>
      <c r="F2911" t="s">
        <v>18435</v>
      </c>
      <c r="G2911" t="s">
        <v>18436</v>
      </c>
      <c r="H2911" t="s">
        <v>18437</v>
      </c>
      <c r="I2911" t="s">
        <v>18438</v>
      </c>
      <c r="J2911" t="s">
        <v>18439</v>
      </c>
      <c r="K2911" t="s">
        <v>18440</v>
      </c>
      <c r="L2911" t="s">
        <v>18433</v>
      </c>
    </row>
    <row r="2912" spans="1:12" x14ac:dyDescent="0.25">
      <c r="A2912">
        <v>520438</v>
      </c>
      <c r="B2912">
        <v>733369</v>
      </c>
      <c r="D2912">
        <v>0</v>
      </c>
      <c r="E2912" t="s">
        <v>18442</v>
      </c>
      <c r="F2912" t="s">
        <v>18443</v>
      </c>
      <c r="G2912" t="s">
        <v>18444</v>
      </c>
      <c r="H2912" t="s">
        <v>18445</v>
      </c>
      <c r="I2912" t="s">
        <v>18446</v>
      </c>
      <c r="J2912" t="s">
        <v>18447</v>
      </c>
      <c r="K2912" t="s">
        <v>18448</v>
      </c>
      <c r="L2912" t="s">
        <v>18441</v>
      </c>
    </row>
    <row r="2913" spans="1:12" x14ac:dyDescent="0.25">
      <c r="A2913">
        <v>520469</v>
      </c>
      <c r="B2913">
        <v>520481</v>
      </c>
      <c r="D2913">
        <v>0</v>
      </c>
      <c r="F2913">
        <v>514184</v>
      </c>
      <c r="G2913">
        <v>520481</v>
      </c>
      <c r="H2913" t="s">
        <v>12171</v>
      </c>
      <c r="I2913">
        <v>520469</v>
      </c>
      <c r="J2913" t="s">
        <v>12171</v>
      </c>
      <c r="K2913" t="s">
        <v>18449</v>
      </c>
      <c r="L2913" t="s">
        <v>12171</v>
      </c>
    </row>
    <row r="2914" spans="1:12" x14ac:dyDescent="0.25">
      <c r="A2914">
        <v>520469</v>
      </c>
      <c r="B2914">
        <v>733360</v>
      </c>
      <c r="D2914">
        <v>0</v>
      </c>
      <c r="E2914" t="s">
        <v>18451</v>
      </c>
      <c r="F2914" t="s">
        <v>18452</v>
      </c>
      <c r="G2914" t="s">
        <v>18453</v>
      </c>
      <c r="H2914" t="e" vm="1277">
        <f>_FV(0,"021120887069394755")</f>
        <v>#VALUE!</v>
      </c>
      <c r="I2914" t="s">
        <v>18454</v>
      </c>
      <c r="J2914" t="s">
        <v>18455</v>
      </c>
      <c r="K2914" t="s">
        <v>18456</v>
      </c>
      <c r="L2914" t="s">
        <v>18450</v>
      </c>
    </row>
    <row r="2915" spans="1:12" x14ac:dyDescent="0.25">
      <c r="A2915">
        <v>520728</v>
      </c>
      <c r="B2915">
        <v>733128</v>
      </c>
      <c r="D2915">
        <v>0</v>
      </c>
      <c r="F2915">
        <v>751490</v>
      </c>
      <c r="G2915">
        <v>733128</v>
      </c>
      <c r="H2915" t="e" vm="1278">
        <f>_FV(0,"732")</f>
        <v>#VALUE!</v>
      </c>
      <c r="I2915">
        <v>520728</v>
      </c>
      <c r="J2915" t="s">
        <v>18457</v>
      </c>
      <c r="K2915" t="s">
        <v>18458</v>
      </c>
      <c r="L2915" t="e" vm="1278">
        <f>_FV(0,"732")</f>
        <v>#VALUE!</v>
      </c>
    </row>
    <row r="2916" spans="1:12" x14ac:dyDescent="0.25">
      <c r="A2916">
        <v>520728</v>
      </c>
      <c r="B2916">
        <v>716426</v>
      </c>
      <c r="D2916">
        <v>0</v>
      </c>
      <c r="E2916" t="s">
        <v>18460</v>
      </c>
      <c r="F2916" t="s">
        <v>18461</v>
      </c>
      <c r="G2916" t="s">
        <v>18462</v>
      </c>
      <c r="H2916" t="e" vm="1279">
        <f>_FV(0,"010938776898506633")</f>
        <v>#VALUE!</v>
      </c>
      <c r="I2916" t="s">
        <v>18463</v>
      </c>
      <c r="J2916" t="s">
        <v>18464</v>
      </c>
      <c r="K2916" t="s">
        <v>18465</v>
      </c>
      <c r="L2916" t="s">
        <v>18459</v>
      </c>
    </row>
    <row r="2917" spans="1:12" x14ac:dyDescent="0.25">
      <c r="A2917">
        <v>520728</v>
      </c>
      <c r="B2917">
        <v>733112</v>
      </c>
      <c r="D2917">
        <v>0</v>
      </c>
      <c r="E2917" t="s">
        <v>18467</v>
      </c>
      <c r="F2917" t="s">
        <v>18468</v>
      </c>
      <c r="G2917" t="s">
        <v>18469</v>
      </c>
      <c r="H2917" t="e" vm="1280">
        <f>_FV(0,"0018968113157632526")</f>
        <v>#VALUE!</v>
      </c>
      <c r="I2917" t="s">
        <v>18470</v>
      </c>
      <c r="J2917" t="s">
        <v>18471</v>
      </c>
      <c r="K2917" t="s">
        <v>18472</v>
      </c>
      <c r="L2917" t="s">
        <v>18466</v>
      </c>
    </row>
    <row r="2918" spans="1:12" x14ac:dyDescent="0.25">
      <c r="A2918">
        <v>520728</v>
      </c>
      <c r="B2918">
        <v>733145</v>
      </c>
      <c r="D2918">
        <v>0</v>
      </c>
      <c r="F2918">
        <v>751506</v>
      </c>
      <c r="G2918">
        <v>520728</v>
      </c>
      <c r="H2918" t="s">
        <v>18473</v>
      </c>
      <c r="I2918">
        <v>733145</v>
      </c>
      <c r="J2918" t="s">
        <v>18473</v>
      </c>
      <c r="K2918" t="s">
        <v>18474</v>
      </c>
      <c r="L2918" t="s">
        <v>18473</v>
      </c>
    </row>
    <row r="2919" spans="1:12" x14ac:dyDescent="0.25">
      <c r="A2919">
        <v>520736</v>
      </c>
      <c r="B2919">
        <v>733151</v>
      </c>
      <c r="D2919">
        <v>0</v>
      </c>
      <c r="F2919">
        <v>751514</v>
      </c>
      <c r="G2919">
        <v>733151</v>
      </c>
      <c r="H2919" t="e" vm="1281">
        <f>_FV(0,"77")</f>
        <v>#VALUE!</v>
      </c>
      <c r="I2919">
        <v>520736</v>
      </c>
      <c r="J2919" t="s">
        <v>18475</v>
      </c>
      <c r="K2919" t="s">
        <v>18476</v>
      </c>
      <c r="L2919" t="e" vm="1281">
        <f>_FV(0,"77")</f>
        <v>#VALUE!</v>
      </c>
    </row>
    <row r="2920" spans="1:12" x14ac:dyDescent="0.25">
      <c r="A2920">
        <v>520736</v>
      </c>
      <c r="B2920">
        <v>748560</v>
      </c>
      <c r="C2920" t="s">
        <v>18478</v>
      </c>
      <c r="D2920">
        <v>0</v>
      </c>
      <c r="E2920" t="s">
        <v>18479</v>
      </c>
      <c r="F2920" t="s">
        <v>18480</v>
      </c>
      <c r="G2920" t="s">
        <v>18481</v>
      </c>
      <c r="H2920" t="s">
        <v>18482</v>
      </c>
      <c r="I2920" t="s">
        <v>18483</v>
      </c>
      <c r="J2920" t="s">
        <v>18484</v>
      </c>
      <c r="K2920" t="s">
        <v>18485</v>
      </c>
      <c r="L2920" t="s">
        <v>18477</v>
      </c>
    </row>
    <row r="2921" spans="1:12" x14ac:dyDescent="0.25">
      <c r="A2921">
        <v>520736</v>
      </c>
      <c r="B2921">
        <v>716435</v>
      </c>
      <c r="D2921">
        <v>0</v>
      </c>
      <c r="E2921" t="s">
        <v>18487</v>
      </c>
      <c r="F2921" t="s">
        <v>18488</v>
      </c>
      <c r="G2921" t="s">
        <v>18489</v>
      </c>
      <c r="H2921" t="s">
        <v>18490</v>
      </c>
      <c r="I2921" t="s">
        <v>18491</v>
      </c>
      <c r="J2921" t="s">
        <v>18492</v>
      </c>
      <c r="K2921" t="s">
        <v>18493</v>
      </c>
      <c r="L2921" t="s">
        <v>18486</v>
      </c>
    </row>
    <row r="2922" spans="1:12" x14ac:dyDescent="0.25">
      <c r="A2922">
        <v>520736</v>
      </c>
      <c r="B2922">
        <v>733136</v>
      </c>
      <c r="D2922">
        <v>0</v>
      </c>
      <c r="F2922">
        <v>751498</v>
      </c>
      <c r="G2922">
        <v>520736</v>
      </c>
      <c r="H2922" t="s">
        <v>18494</v>
      </c>
      <c r="I2922">
        <v>733136</v>
      </c>
      <c r="J2922" t="s">
        <v>18494</v>
      </c>
      <c r="K2922" t="s">
        <v>18495</v>
      </c>
      <c r="L2922" t="s">
        <v>18494</v>
      </c>
    </row>
    <row r="2923" spans="1:12" x14ac:dyDescent="0.25">
      <c r="A2923">
        <v>520929</v>
      </c>
      <c r="B2923">
        <v>733162</v>
      </c>
      <c r="D2923">
        <v>0</v>
      </c>
      <c r="F2923">
        <v>751522</v>
      </c>
      <c r="G2923">
        <v>733162</v>
      </c>
      <c r="H2923" t="s">
        <v>17458</v>
      </c>
      <c r="I2923">
        <v>520929</v>
      </c>
      <c r="J2923" t="s">
        <v>17458</v>
      </c>
      <c r="K2923" t="s">
        <v>18496</v>
      </c>
      <c r="L2923" t="s">
        <v>17458</v>
      </c>
    </row>
    <row r="2924" spans="1:12" x14ac:dyDescent="0.25">
      <c r="A2924">
        <v>520929</v>
      </c>
      <c r="B2924">
        <v>520950</v>
      </c>
      <c r="D2924">
        <v>0</v>
      </c>
      <c r="E2924" t="s">
        <v>18498</v>
      </c>
      <c r="F2924" t="s">
        <v>18499</v>
      </c>
      <c r="G2924" t="s">
        <v>18500</v>
      </c>
      <c r="H2924" t="s">
        <v>18501</v>
      </c>
      <c r="I2924" t="s">
        <v>18502</v>
      </c>
      <c r="J2924" t="s">
        <v>18503</v>
      </c>
      <c r="K2924" t="s">
        <v>18504</v>
      </c>
      <c r="L2924" t="s">
        <v>18497</v>
      </c>
    </row>
    <row r="2925" spans="1:12" x14ac:dyDescent="0.25">
      <c r="A2925">
        <v>520929</v>
      </c>
      <c r="B2925">
        <v>716502</v>
      </c>
      <c r="D2925">
        <v>0</v>
      </c>
      <c r="E2925" t="s">
        <v>18506</v>
      </c>
      <c r="F2925" t="s">
        <v>18507</v>
      </c>
      <c r="G2925" t="s">
        <v>18508</v>
      </c>
      <c r="H2925" t="s">
        <v>18509</v>
      </c>
      <c r="I2925" t="s">
        <v>18510</v>
      </c>
      <c r="J2925" t="s">
        <v>18511</v>
      </c>
      <c r="K2925" t="s">
        <v>18512</v>
      </c>
      <c r="L2925" t="s">
        <v>18505</v>
      </c>
    </row>
    <row r="2926" spans="1:12" x14ac:dyDescent="0.25">
      <c r="A2926">
        <v>520929</v>
      </c>
      <c r="B2926">
        <v>733464</v>
      </c>
      <c r="D2926">
        <v>0</v>
      </c>
      <c r="F2926">
        <v>751914</v>
      </c>
      <c r="G2926">
        <v>520929</v>
      </c>
      <c r="H2926" t="e" vm="1282">
        <f>_FV(0,"092")</f>
        <v>#VALUE!</v>
      </c>
      <c r="I2926">
        <v>733464</v>
      </c>
      <c r="J2926" t="s">
        <v>4552</v>
      </c>
      <c r="K2926" t="s">
        <v>18513</v>
      </c>
      <c r="L2926" t="e" vm="1282">
        <f>_FV(0,"092")</f>
        <v>#VALUE!</v>
      </c>
    </row>
    <row r="2927" spans="1:12" x14ac:dyDescent="0.25">
      <c r="A2927">
        <v>521003</v>
      </c>
      <c r="B2927">
        <v>733470</v>
      </c>
      <c r="D2927">
        <v>0</v>
      </c>
      <c r="E2927" t="s">
        <v>18515</v>
      </c>
      <c r="F2927" t="s">
        <v>18516</v>
      </c>
      <c r="G2927" t="s">
        <v>18517</v>
      </c>
      <c r="H2927" t="s">
        <v>18518</v>
      </c>
      <c r="I2927" t="s">
        <v>18519</v>
      </c>
      <c r="J2927" t="s">
        <v>18514</v>
      </c>
      <c r="K2927" t="s">
        <v>18520</v>
      </c>
      <c r="L2927" t="s">
        <v>18514</v>
      </c>
    </row>
    <row r="2928" spans="1:12" x14ac:dyDescent="0.25">
      <c r="A2928">
        <v>522565</v>
      </c>
      <c r="B2928">
        <v>1359923</v>
      </c>
      <c r="D2928">
        <v>0</v>
      </c>
      <c r="E2928" t="s">
        <v>18522</v>
      </c>
      <c r="F2928" t="s">
        <v>18523</v>
      </c>
      <c r="G2928" t="s">
        <v>18524</v>
      </c>
      <c r="H2928" t="e" vm="1283">
        <f>_FV(0,"004643424393430152")</f>
        <v>#VALUE!</v>
      </c>
      <c r="I2928" t="s">
        <v>18525</v>
      </c>
      <c r="J2928" t="s">
        <v>18526</v>
      </c>
      <c r="K2928" t="s">
        <v>18527</v>
      </c>
      <c r="L2928" t="s">
        <v>18521</v>
      </c>
    </row>
    <row r="2929" spans="1:12" x14ac:dyDescent="0.25">
      <c r="A2929">
        <v>541253</v>
      </c>
      <c r="B2929">
        <v>541329</v>
      </c>
      <c r="D2929">
        <v>0</v>
      </c>
      <c r="E2929" t="s">
        <v>18529</v>
      </c>
      <c r="F2929" t="s">
        <v>18530</v>
      </c>
      <c r="G2929" t="s">
        <v>18531</v>
      </c>
      <c r="H2929" t="s">
        <v>18532</v>
      </c>
      <c r="I2929" t="s">
        <v>18533</v>
      </c>
      <c r="J2929" t="s">
        <v>18534</v>
      </c>
      <c r="K2929" t="s">
        <v>18535</v>
      </c>
      <c r="L2929" t="s">
        <v>18528</v>
      </c>
    </row>
    <row r="2930" spans="1:12" x14ac:dyDescent="0.25">
      <c r="A2930">
        <v>541253</v>
      </c>
      <c r="B2930">
        <v>600786</v>
      </c>
      <c r="D2930">
        <v>0</v>
      </c>
      <c r="E2930" t="s">
        <v>18537</v>
      </c>
      <c r="F2930" t="s">
        <v>18538</v>
      </c>
      <c r="G2930" t="s">
        <v>18539</v>
      </c>
      <c r="H2930" t="s">
        <v>18540</v>
      </c>
      <c r="I2930" t="s">
        <v>18541</v>
      </c>
      <c r="J2930" t="s">
        <v>18542</v>
      </c>
      <c r="K2930" t="s">
        <v>18543</v>
      </c>
      <c r="L2930" t="s">
        <v>18536</v>
      </c>
    </row>
    <row r="2931" spans="1:12" x14ac:dyDescent="0.25">
      <c r="A2931">
        <v>541329</v>
      </c>
      <c r="B2931">
        <v>624887</v>
      </c>
      <c r="C2931" t="s">
        <v>18545</v>
      </c>
      <c r="D2931">
        <v>0</v>
      </c>
      <c r="E2931" t="s">
        <v>18546</v>
      </c>
      <c r="F2931" t="s">
        <v>18547</v>
      </c>
      <c r="G2931" t="s">
        <v>18548</v>
      </c>
      <c r="H2931" t="e" vm="1284">
        <f>_FV(0,"0046596243744349095")</f>
        <v>#VALUE!</v>
      </c>
      <c r="I2931" t="s">
        <v>18549</v>
      </c>
      <c r="J2931" t="s">
        <v>18550</v>
      </c>
      <c r="K2931" t="s">
        <v>18551</v>
      </c>
      <c r="L2931" t="s">
        <v>18544</v>
      </c>
    </row>
    <row r="2932" spans="1:12" x14ac:dyDescent="0.25">
      <c r="A2932">
        <v>541329</v>
      </c>
      <c r="B2932">
        <v>600817</v>
      </c>
      <c r="D2932">
        <v>0</v>
      </c>
      <c r="E2932" t="s">
        <v>18553</v>
      </c>
      <c r="F2932" t="s">
        <v>18554</v>
      </c>
      <c r="G2932" t="s">
        <v>18555</v>
      </c>
      <c r="H2932" t="e" vm="1285">
        <f>_FV(0,"011153012166635657")</f>
        <v>#VALUE!</v>
      </c>
      <c r="I2932" t="s">
        <v>18556</v>
      </c>
      <c r="J2932" t="s">
        <v>18557</v>
      </c>
      <c r="K2932" t="s">
        <v>18558</v>
      </c>
      <c r="L2932" t="s">
        <v>18552</v>
      </c>
    </row>
    <row r="2933" spans="1:12" x14ac:dyDescent="0.25">
      <c r="A2933">
        <v>541335</v>
      </c>
      <c r="B2933">
        <v>1328512</v>
      </c>
      <c r="D2933">
        <v>0</v>
      </c>
      <c r="E2933" t="s">
        <v>18560</v>
      </c>
      <c r="F2933" t="s">
        <v>18561</v>
      </c>
      <c r="G2933" t="s">
        <v>18562</v>
      </c>
      <c r="H2933" t="s">
        <v>18563</v>
      </c>
      <c r="I2933" t="s">
        <v>18564</v>
      </c>
      <c r="J2933" t="s">
        <v>18565</v>
      </c>
      <c r="K2933" t="s">
        <v>18566</v>
      </c>
      <c r="L2933" t="s">
        <v>18559</v>
      </c>
    </row>
    <row r="2934" spans="1:12" x14ac:dyDescent="0.25">
      <c r="A2934">
        <v>541335</v>
      </c>
      <c r="B2934">
        <v>1328512</v>
      </c>
      <c r="D2934">
        <v>0</v>
      </c>
      <c r="E2934" t="s">
        <v>18568</v>
      </c>
      <c r="F2934" t="s">
        <v>18569</v>
      </c>
      <c r="G2934" t="s">
        <v>18570</v>
      </c>
      <c r="H2934" t="s">
        <v>18571</v>
      </c>
      <c r="I2934" t="s">
        <v>18572</v>
      </c>
      <c r="J2934" t="s">
        <v>18573</v>
      </c>
      <c r="K2934" t="s">
        <v>18574</v>
      </c>
      <c r="L2934" t="s">
        <v>18567</v>
      </c>
    </row>
    <row r="2935" spans="1:12" x14ac:dyDescent="0.25">
      <c r="A2935">
        <v>541335</v>
      </c>
      <c r="B2935">
        <v>628154</v>
      </c>
      <c r="C2935" t="s">
        <v>18576</v>
      </c>
      <c r="D2935" t="s">
        <v>18577</v>
      </c>
      <c r="E2935" t="s">
        <v>18578</v>
      </c>
      <c r="F2935" t="s">
        <v>18579</v>
      </c>
      <c r="G2935" t="s">
        <v>18580</v>
      </c>
      <c r="H2935" t="s">
        <v>18581</v>
      </c>
      <c r="I2935" t="s">
        <v>18582</v>
      </c>
      <c r="J2935" t="s">
        <v>18583</v>
      </c>
      <c r="K2935" t="s">
        <v>18584</v>
      </c>
      <c r="L2935" t="s">
        <v>18575</v>
      </c>
    </row>
    <row r="2936" spans="1:12" x14ac:dyDescent="0.25">
      <c r="A2936">
        <v>541516</v>
      </c>
      <c r="B2936">
        <v>825880</v>
      </c>
      <c r="C2936" t="s">
        <v>18586</v>
      </c>
      <c r="D2936">
        <v>0</v>
      </c>
      <c r="E2936" t="s">
        <v>18587</v>
      </c>
      <c r="F2936" t="s">
        <v>18588</v>
      </c>
      <c r="G2936" t="s">
        <v>18589</v>
      </c>
      <c r="H2936" t="e" vm="1286">
        <f>_FV(0,"011527796097793332")</f>
        <v>#VALUE!</v>
      </c>
      <c r="I2936" t="s">
        <v>18590</v>
      </c>
      <c r="J2936" t="s">
        <v>18591</v>
      </c>
      <c r="K2936" t="s">
        <v>18592</v>
      </c>
      <c r="L2936" t="s">
        <v>18585</v>
      </c>
    </row>
    <row r="2937" spans="1:12" x14ac:dyDescent="0.25">
      <c r="A2937">
        <v>541516</v>
      </c>
      <c r="B2937">
        <v>825880</v>
      </c>
      <c r="D2937" t="s">
        <v>18594</v>
      </c>
      <c r="E2937" t="s">
        <v>18595</v>
      </c>
      <c r="F2937" t="s">
        <v>18596</v>
      </c>
      <c r="G2937" t="s">
        <v>18597</v>
      </c>
      <c r="H2937" t="e" vm="1287">
        <f>_FV(0,"004390915360591034")</f>
        <v>#VALUE!</v>
      </c>
      <c r="I2937" t="s">
        <v>18598</v>
      </c>
      <c r="J2937" t="s">
        <v>18599</v>
      </c>
      <c r="K2937" t="s">
        <v>18600</v>
      </c>
      <c r="L2937" t="s">
        <v>18593</v>
      </c>
    </row>
    <row r="2938" spans="1:12" x14ac:dyDescent="0.25">
      <c r="A2938">
        <v>541516</v>
      </c>
      <c r="B2938">
        <v>628919</v>
      </c>
      <c r="D2938">
        <v>0</v>
      </c>
      <c r="E2938" t="s">
        <v>18602</v>
      </c>
      <c r="F2938" t="s">
        <v>18603</v>
      </c>
      <c r="G2938" t="s">
        <v>18604</v>
      </c>
      <c r="H2938" t="s">
        <v>18605</v>
      </c>
      <c r="I2938" t="s">
        <v>18606</v>
      </c>
      <c r="J2938" t="s">
        <v>18607</v>
      </c>
      <c r="K2938" t="s">
        <v>18608</v>
      </c>
      <c r="L2938" t="s">
        <v>18601</v>
      </c>
    </row>
    <row r="2939" spans="1:12" x14ac:dyDescent="0.25">
      <c r="A2939">
        <v>541553</v>
      </c>
      <c r="B2939">
        <v>541562</v>
      </c>
      <c r="D2939">
        <v>0</v>
      </c>
      <c r="E2939" t="s">
        <v>18610</v>
      </c>
      <c r="F2939" t="s">
        <v>18611</v>
      </c>
      <c r="G2939" t="s">
        <v>18612</v>
      </c>
      <c r="H2939" t="e" vm="1288">
        <f>_FV(0,"008999349346492526")</f>
        <v>#VALUE!</v>
      </c>
      <c r="I2939" t="s">
        <v>18613</v>
      </c>
      <c r="J2939" t="s">
        <v>18614</v>
      </c>
      <c r="K2939" t="s">
        <v>18615</v>
      </c>
      <c r="L2939" t="s">
        <v>18609</v>
      </c>
    </row>
    <row r="2940" spans="1:12" x14ac:dyDescent="0.25">
      <c r="A2940">
        <v>541553</v>
      </c>
      <c r="B2940">
        <v>601229</v>
      </c>
      <c r="D2940">
        <v>0</v>
      </c>
      <c r="E2940" t="s">
        <v>18617</v>
      </c>
      <c r="F2940" t="s">
        <v>18618</v>
      </c>
      <c r="G2940" t="s">
        <v>18619</v>
      </c>
      <c r="H2940" t="s">
        <v>18620</v>
      </c>
      <c r="I2940" t="s">
        <v>18621</v>
      </c>
      <c r="J2940" t="s">
        <v>18616</v>
      </c>
      <c r="K2940" t="s">
        <v>18622</v>
      </c>
      <c r="L2940" t="s">
        <v>18616</v>
      </c>
    </row>
    <row r="2941" spans="1:12" x14ac:dyDescent="0.25">
      <c r="A2941">
        <v>541553</v>
      </c>
      <c r="B2941">
        <v>825976</v>
      </c>
      <c r="D2941">
        <v>0</v>
      </c>
      <c r="E2941" t="s">
        <v>18624</v>
      </c>
      <c r="F2941" t="s">
        <v>18625</v>
      </c>
      <c r="G2941" t="s">
        <v>18626</v>
      </c>
      <c r="H2941" t="s">
        <v>18627</v>
      </c>
      <c r="I2941" t="s">
        <v>18628</v>
      </c>
      <c r="J2941" t="s">
        <v>18629</v>
      </c>
      <c r="K2941" t="s">
        <v>18630</v>
      </c>
      <c r="L2941" t="s">
        <v>18623</v>
      </c>
    </row>
    <row r="2942" spans="1:12" x14ac:dyDescent="0.25">
      <c r="A2942">
        <v>541562</v>
      </c>
      <c r="B2942">
        <v>541600</v>
      </c>
      <c r="D2942" t="s">
        <v>1875</v>
      </c>
      <c r="E2942" t="s">
        <v>18632</v>
      </c>
      <c r="F2942" t="s">
        <v>18633</v>
      </c>
      <c r="G2942" t="s">
        <v>18634</v>
      </c>
      <c r="H2942" t="e" vm="1289">
        <f>_FV(0,"011071911760807617")</f>
        <v>#VALUE!</v>
      </c>
      <c r="I2942" t="s">
        <v>18635</v>
      </c>
      <c r="J2942" t="s">
        <v>18636</v>
      </c>
      <c r="K2942" t="s">
        <v>18637</v>
      </c>
      <c r="L2942" t="s">
        <v>18631</v>
      </c>
    </row>
    <row r="2943" spans="1:12" x14ac:dyDescent="0.25">
      <c r="A2943">
        <v>541562</v>
      </c>
      <c r="B2943">
        <v>601215</v>
      </c>
      <c r="D2943">
        <v>0</v>
      </c>
      <c r="E2943" t="s">
        <v>18639</v>
      </c>
      <c r="F2943" t="s">
        <v>18640</v>
      </c>
      <c r="G2943" t="s">
        <v>18641</v>
      </c>
      <c r="H2943" t="e" vm="1290">
        <f>_FV(0,"006733069111112099")</f>
        <v>#VALUE!</v>
      </c>
      <c r="I2943" t="s">
        <v>18642</v>
      </c>
      <c r="J2943" t="s">
        <v>18643</v>
      </c>
      <c r="K2943" t="s">
        <v>18644</v>
      </c>
      <c r="L2943" t="s">
        <v>18638</v>
      </c>
    </row>
    <row r="2944" spans="1:12" x14ac:dyDescent="0.25">
      <c r="A2944">
        <v>541600</v>
      </c>
      <c r="B2944">
        <v>628971</v>
      </c>
      <c r="D2944">
        <v>0</v>
      </c>
      <c r="E2944" t="s">
        <v>18646</v>
      </c>
      <c r="F2944" t="s">
        <v>18647</v>
      </c>
      <c r="G2944" t="s">
        <v>18648</v>
      </c>
      <c r="H2944" t="e" vm="1291">
        <f>_FV(0,"04150199408042772")</f>
        <v>#VALUE!</v>
      </c>
      <c r="I2944" t="s">
        <v>18649</v>
      </c>
      <c r="J2944" t="s">
        <v>18650</v>
      </c>
      <c r="K2944" t="s">
        <v>18651</v>
      </c>
      <c r="L2944" t="s">
        <v>18645</v>
      </c>
    </row>
    <row r="2945" spans="1:12" x14ac:dyDescent="0.25">
      <c r="A2945">
        <v>541600</v>
      </c>
      <c r="B2945">
        <v>601215</v>
      </c>
      <c r="D2945" t="s">
        <v>1875</v>
      </c>
      <c r="E2945" t="s">
        <v>18653</v>
      </c>
      <c r="F2945" t="s">
        <v>18654</v>
      </c>
      <c r="G2945" t="s">
        <v>18655</v>
      </c>
      <c r="H2945" t="e" vm="1292">
        <f>_FV(0,"008026339849776916")</f>
        <v>#VALUE!</v>
      </c>
      <c r="I2945" t="s">
        <v>18656</v>
      </c>
      <c r="J2945" t="s">
        <v>18657</v>
      </c>
      <c r="K2945" t="s">
        <v>18658</v>
      </c>
      <c r="L2945" t="s">
        <v>18652</v>
      </c>
    </row>
    <row r="2946" spans="1:12" x14ac:dyDescent="0.25">
      <c r="A2946">
        <v>541607</v>
      </c>
      <c r="B2946">
        <v>541684</v>
      </c>
      <c r="D2946">
        <v>0</v>
      </c>
      <c r="E2946" t="s">
        <v>18660</v>
      </c>
      <c r="F2946" t="s">
        <v>18661</v>
      </c>
      <c r="G2946" t="s">
        <v>18662</v>
      </c>
      <c r="H2946" t="s">
        <v>18663</v>
      </c>
      <c r="I2946" t="s">
        <v>18664</v>
      </c>
      <c r="J2946" t="s">
        <v>18659</v>
      </c>
      <c r="K2946" t="s">
        <v>18665</v>
      </c>
      <c r="L2946" t="s">
        <v>18659</v>
      </c>
    </row>
    <row r="2947" spans="1:12" x14ac:dyDescent="0.25">
      <c r="A2947">
        <v>541607</v>
      </c>
      <c r="B2947">
        <v>541684</v>
      </c>
      <c r="D2947">
        <v>0</v>
      </c>
      <c r="E2947" t="s">
        <v>18667</v>
      </c>
      <c r="F2947" t="s">
        <v>18668</v>
      </c>
      <c r="G2947" t="s">
        <v>18669</v>
      </c>
      <c r="H2947" t="s">
        <v>18670</v>
      </c>
      <c r="I2947" t="s">
        <v>18671</v>
      </c>
      <c r="J2947" t="s">
        <v>18666</v>
      </c>
      <c r="K2947" t="s">
        <v>18672</v>
      </c>
      <c r="L2947" t="s">
        <v>18666</v>
      </c>
    </row>
    <row r="2948" spans="1:12" x14ac:dyDescent="0.25">
      <c r="A2948">
        <v>541607</v>
      </c>
      <c r="B2948">
        <v>628981</v>
      </c>
      <c r="C2948" t="s">
        <v>18674</v>
      </c>
      <c r="D2948" t="s">
        <v>18675</v>
      </c>
      <c r="E2948" t="s">
        <v>18676</v>
      </c>
      <c r="F2948" t="s">
        <v>18677</v>
      </c>
      <c r="G2948" t="s">
        <v>18678</v>
      </c>
      <c r="H2948" t="e" vm="1293">
        <f>_FV(0,"003613842229071276")</f>
        <v>#VALUE!</v>
      </c>
      <c r="I2948" t="s">
        <v>18679</v>
      </c>
      <c r="J2948" t="s">
        <v>18680</v>
      </c>
      <c r="K2948" t="s">
        <v>18681</v>
      </c>
      <c r="L2948" t="s">
        <v>18673</v>
      </c>
    </row>
    <row r="2949" spans="1:12" x14ac:dyDescent="0.25">
      <c r="A2949">
        <v>541684</v>
      </c>
      <c r="B2949">
        <v>541694</v>
      </c>
      <c r="D2949">
        <v>0</v>
      </c>
      <c r="E2949" t="s">
        <v>18683</v>
      </c>
      <c r="F2949" t="s">
        <v>18684</v>
      </c>
      <c r="G2949" t="s">
        <v>18685</v>
      </c>
      <c r="H2949" t="e" vm="1294">
        <f>_FV(0,"008073397676602503")</f>
        <v>#VALUE!</v>
      </c>
      <c r="I2949" t="s">
        <v>18686</v>
      </c>
      <c r="J2949" t="s">
        <v>18687</v>
      </c>
      <c r="K2949" t="s">
        <v>18688</v>
      </c>
      <c r="L2949" t="s">
        <v>18682</v>
      </c>
    </row>
    <row r="2950" spans="1:12" x14ac:dyDescent="0.25">
      <c r="A2950">
        <v>541694</v>
      </c>
      <c r="B2950">
        <v>541703</v>
      </c>
      <c r="D2950">
        <v>0</v>
      </c>
      <c r="E2950" t="s">
        <v>18689</v>
      </c>
      <c r="F2950" t="s">
        <v>18690</v>
      </c>
      <c r="G2950" t="s">
        <v>18691</v>
      </c>
      <c r="H2950" t="e" vm="339">
        <f>_FV(0,"0")</f>
        <v>#VALUE!</v>
      </c>
      <c r="I2950" t="s">
        <v>18692</v>
      </c>
      <c r="J2950" t="s">
        <v>187</v>
      </c>
      <c r="K2950" t="s">
        <v>18693</v>
      </c>
      <c r="L2950" t="e" vm="339">
        <f>_FV(0,"0")</f>
        <v>#VALUE!</v>
      </c>
    </row>
    <row r="2951" spans="1:12" x14ac:dyDescent="0.25">
      <c r="A2951">
        <v>541694</v>
      </c>
      <c r="B2951">
        <v>672198</v>
      </c>
      <c r="D2951">
        <v>0</v>
      </c>
      <c r="E2951" t="s">
        <v>18695</v>
      </c>
      <c r="F2951" t="s">
        <v>18696</v>
      </c>
      <c r="G2951" t="s">
        <v>18697</v>
      </c>
      <c r="H2951" t="e" vm="1295">
        <f>_FV(0,"00037144024600177343")</f>
        <v>#VALUE!</v>
      </c>
      <c r="I2951" t="s">
        <v>18698</v>
      </c>
      <c r="J2951" t="s">
        <v>18699</v>
      </c>
      <c r="K2951" t="s">
        <v>18700</v>
      </c>
      <c r="L2951" t="s">
        <v>18694</v>
      </c>
    </row>
    <row r="2952" spans="1:12" x14ac:dyDescent="0.25">
      <c r="A2952">
        <v>541703</v>
      </c>
      <c r="B2952">
        <v>541763</v>
      </c>
      <c r="C2952" t="s">
        <v>18702</v>
      </c>
      <c r="D2952">
        <v>0</v>
      </c>
      <c r="E2952" t="s">
        <v>18703</v>
      </c>
      <c r="F2952" t="s">
        <v>18704</v>
      </c>
      <c r="G2952" t="s">
        <v>18705</v>
      </c>
      <c r="H2952" t="s">
        <v>18706</v>
      </c>
      <c r="I2952" t="s">
        <v>18707</v>
      </c>
      <c r="J2952" t="s">
        <v>18708</v>
      </c>
      <c r="K2952" t="s">
        <v>18709</v>
      </c>
      <c r="L2952" t="s">
        <v>18701</v>
      </c>
    </row>
    <row r="2953" spans="1:12" x14ac:dyDescent="0.25">
      <c r="A2953">
        <v>541703</v>
      </c>
      <c r="B2953">
        <v>601093</v>
      </c>
      <c r="C2953" t="s">
        <v>18711</v>
      </c>
      <c r="D2953">
        <v>0</v>
      </c>
      <c r="E2953" t="s">
        <v>18712</v>
      </c>
      <c r="F2953" t="s">
        <v>18713</v>
      </c>
      <c r="G2953" t="s">
        <v>18714</v>
      </c>
      <c r="H2953" t="e" vm="1296">
        <f>_FV(0,"0026754259053459076")</f>
        <v>#VALUE!</v>
      </c>
      <c r="I2953" t="s">
        <v>18715</v>
      </c>
      <c r="J2953" t="s">
        <v>18716</v>
      </c>
      <c r="K2953" t="s">
        <v>18717</v>
      </c>
      <c r="L2953" t="s">
        <v>18710</v>
      </c>
    </row>
    <row r="2954" spans="1:12" x14ac:dyDescent="0.25">
      <c r="A2954">
        <v>541763</v>
      </c>
      <c r="B2954">
        <v>541786</v>
      </c>
      <c r="D2954">
        <v>0</v>
      </c>
      <c r="E2954" t="s">
        <v>18719</v>
      </c>
      <c r="F2954" t="s">
        <v>18720</v>
      </c>
      <c r="G2954" t="s">
        <v>18721</v>
      </c>
      <c r="H2954" t="s">
        <v>18722</v>
      </c>
      <c r="I2954" t="s">
        <v>18723</v>
      </c>
      <c r="J2954" t="s">
        <v>18718</v>
      </c>
      <c r="K2954" t="s">
        <v>18724</v>
      </c>
      <c r="L2954" t="s">
        <v>18718</v>
      </c>
    </row>
    <row r="2955" spans="1:12" x14ac:dyDescent="0.25">
      <c r="A2955">
        <v>541763</v>
      </c>
      <c r="B2955">
        <v>601093</v>
      </c>
      <c r="C2955" t="s">
        <v>18726</v>
      </c>
      <c r="D2955">
        <v>0</v>
      </c>
      <c r="E2955" t="s">
        <v>18727</v>
      </c>
      <c r="F2955" t="s">
        <v>18728</v>
      </c>
      <c r="G2955" t="s">
        <v>18729</v>
      </c>
      <c r="H2955" t="s">
        <v>18730</v>
      </c>
      <c r="I2955" t="s">
        <v>18731</v>
      </c>
      <c r="J2955" t="s">
        <v>18725</v>
      </c>
      <c r="K2955" t="s">
        <v>18732</v>
      </c>
      <c r="L2955" t="s">
        <v>18725</v>
      </c>
    </row>
    <row r="2956" spans="1:12" x14ac:dyDescent="0.25">
      <c r="A2956">
        <v>541786</v>
      </c>
      <c r="B2956">
        <v>541794</v>
      </c>
      <c r="D2956" t="s">
        <v>18734</v>
      </c>
      <c r="E2956" t="s">
        <v>18735</v>
      </c>
      <c r="F2956" t="s">
        <v>18736</v>
      </c>
      <c r="G2956" t="s">
        <v>18737</v>
      </c>
      <c r="H2956" t="s">
        <v>18738</v>
      </c>
      <c r="I2956" t="s">
        <v>18739</v>
      </c>
      <c r="J2956" t="s">
        <v>18740</v>
      </c>
      <c r="K2956" t="s">
        <v>18741</v>
      </c>
      <c r="L2956" t="s">
        <v>18733</v>
      </c>
    </row>
    <row r="2957" spans="1:12" x14ac:dyDescent="0.25">
      <c r="A2957">
        <v>541786</v>
      </c>
      <c r="B2957">
        <v>622399</v>
      </c>
      <c r="D2957">
        <v>0</v>
      </c>
      <c r="E2957" t="s">
        <v>18743</v>
      </c>
      <c r="F2957" t="s">
        <v>18744</v>
      </c>
      <c r="G2957" t="s">
        <v>18745</v>
      </c>
      <c r="H2957" t="s">
        <v>18746</v>
      </c>
      <c r="I2957" t="s">
        <v>18747</v>
      </c>
      <c r="J2957" t="s">
        <v>18748</v>
      </c>
      <c r="K2957" t="s">
        <v>18749</v>
      </c>
      <c r="L2957" t="s">
        <v>18742</v>
      </c>
    </row>
    <row r="2958" spans="1:12" x14ac:dyDescent="0.25">
      <c r="A2958">
        <v>541794</v>
      </c>
      <c r="B2958">
        <v>541900</v>
      </c>
      <c r="D2958">
        <v>0</v>
      </c>
      <c r="E2958" t="s">
        <v>18751</v>
      </c>
      <c r="F2958" t="s">
        <v>18752</v>
      </c>
      <c r="G2958" t="s">
        <v>18753</v>
      </c>
      <c r="H2958" t="s">
        <v>18754</v>
      </c>
      <c r="I2958" t="s">
        <v>18755</v>
      </c>
      <c r="J2958" t="s">
        <v>18750</v>
      </c>
      <c r="K2958" t="s">
        <v>18756</v>
      </c>
      <c r="L2958" t="s">
        <v>18750</v>
      </c>
    </row>
    <row r="2959" spans="1:12" x14ac:dyDescent="0.25">
      <c r="A2959">
        <v>541794</v>
      </c>
      <c r="B2959">
        <v>541900</v>
      </c>
      <c r="D2959">
        <v>0</v>
      </c>
      <c r="E2959" t="s">
        <v>18758</v>
      </c>
      <c r="F2959" t="s">
        <v>18759</v>
      </c>
      <c r="G2959" t="s">
        <v>18760</v>
      </c>
      <c r="H2959" t="s">
        <v>18761</v>
      </c>
      <c r="I2959" t="s">
        <v>18762</v>
      </c>
      <c r="J2959" t="s">
        <v>18757</v>
      </c>
      <c r="K2959" t="s">
        <v>18763</v>
      </c>
      <c r="L2959" t="s">
        <v>18757</v>
      </c>
    </row>
    <row r="2960" spans="1:12" x14ac:dyDescent="0.25">
      <c r="A2960">
        <v>541900</v>
      </c>
      <c r="B2960">
        <v>629779</v>
      </c>
      <c r="D2960">
        <v>0</v>
      </c>
      <c r="E2960" t="s">
        <v>18765</v>
      </c>
      <c r="F2960" t="s">
        <v>18766</v>
      </c>
      <c r="G2960" t="s">
        <v>18767</v>
      </c>
      <c r="H2960" t="s">
        <v>18768</v>
      </c>
      <c r="I2960" t="s">
        <v>18769</v>
      </c>
      <c r="J2960" t="s">
        <v>18770</v>
      </c>
      <c r="K2960" t="s">
        <v>18771</v>
      </c>
      <c r="L2960" t="s">
        <v>18764</v>
      </c>
    </row>
    <row r="2961" spans="1:12" x14ac:dyDescent="0.25">
      <c r="A2961">
        <v>552255</v>
      </c>
      <c r="B2961">
        <v>601834</v>
      </c>
      <c r="D2961">
        <v>0</v>
      </c>
      <c r="E2961" t="s">
        <v>18773</v>
      </c>
      <c r="F2961" t="s">
        <v>18774</v>
      </c>
      <c r="G2961" t="s">
        <v>18775</v>
      </c>
      <c r="H2961" t="s">
        <v>18776</v>
      </c>
      <c r="I2961" t="s">
        <v>18777</v>
      </c>
      <c r="J2961" t="s">
        <v>18778</v>
      </c>
      <c r="K2961" t="s">
        <v>18779</v>
      </c>
      <c r="L2961" t="s">
        <v>18772</v>
      </c>
    </row>
    <row r="2962" spans="1:12" x14ac:dyDescent="0.25">
      <c r="A2962">
        <v>552255</v>
      </c>
      <c r="B2962">
        <v>799009</v>
      </c>
      <c r="D2962">
        <v>0</v>
      </c>
      <c r="E2962" t="s">
        <v>18781</v>
      </c>
      <c r="F2962" t="s">
        <v>18782</v>
      </c>
      <c r="G2962" t="s">
        <v>18783</v>
      </c>
      <c r="H2962" t="s">
        <v>18784</v>
      </c>
      <c r="I2962" t="s">
        <v>18785</v>
      </c>
      <c r="J2962" t="s">
        <v>18780</v>
      </c>
      <c r="K2962" t="s">
        <v>18786</v>
      </c>
      <c r="L2962" t="s">
        <v>18780</v>
      </c>
    </row>
    <row r="2963" spans="1:12" x14ac:dyDescent="0.25">
      <c r="A2963">
        <v>552255</v>
      </c>
      <c r="B2963">
        <v>799090</v>
      </c>
      <c r="D2963">
        <v>0</v>
      </c>
      <c r="E2963" t="s">
        <v>18788</v>
      </c>
      <c r="F2963" t="s">
        <v>18789</v>
      </c>
      <c r="G2963" t="s">
        <v>18790</v>
      </c>
      <c r="H2963" t="s">
        <v>18791</v>
      </c>
      <c r="I2963" t="s">
        <v>18792</v>
      </c>
      <c r="J2963" t="s">
        <v>18787</v>
      </c>
      <c r="K2963" t="s">
        <v>18793</v>
      </c>
      <c r="L2963" t="s">
        <v>18787</v>
      </c>
    </row>
    <row r="2964" spans="1:12" x14ac:dyDescent="0.25">
      <c r="A2964">
        <v>553481</v>
      </c>
      <c r="B2964">
        <v>553487</v>
      </c>
      <c r="D2964">
        <v>0</v>
      </c>
      <c r="E2964" t="s">
        <v>18795</v>
      </c>
      <c r="F2964" t="s">
        <v>18796</v>
      </c>
      <c r="G2964" t="s">
        <v>18797</v>
      </c>
      <c r="H2964" t="s">
        <v>18798</v>
      </c>
      <c r="I2964" t="s">
        <v>18799</v>
      </c>
      <c r="J2964" t="s">
        <v>18800</v>
      </c>
      <c r="K2964" t="s">
        <v>18801</v>
      </c>
      <c r="L2964" t="s">
        <v>18794</v>
      </c>
    </row>
    <row r="2965" spans="1:12" x14ac:dyDescent="0.25">
      <c r="A2965">
        <v>553481</v>
      </c>
      <c r="B2965">
        <v>1328490</v>
      </c>
      <c r="D2965">
        <v>0</v>
      </c>
      <c r="E2965" t="s">
        <v>18803</v>
      </c>
      <c r="F2965" t="s">
        <v>18804</v>
      </c>
      <c r="G2965" t="s">
        <v>18805</v>
      </c>
      <c r="H2965" t="e" vm="1297">
        <f>_FV(0,"43298005024396974")</f>
        <v>#VALUE!</v>
      </c>
      <c r="I2965" t="s">
        <v>18806</v>
      </c>
      <c r="J2965" t="s">
        <v>18807</v>
      </c>
      <c r="K2965" t="s">
        <v>18808</v>
      </c>
      <c r="L2965" t="s">
        <v>18802</v>
      </c>
    </row>
    <row r="2966" spans="1:12" x14ac:dyDescent="0.25">
      <c r="A2966">
        <v>553487</v>
      </c>
      <c r="B2966">
        <v>1328512</v>
      </c>
      <c r="D2966">
        <v>0</v>
      </c>
      <c r="E2966" t="s">
        <v>18810</v>
      </c>
      <c r="F2966" t="s">
        <v>18811</v>
      </c>
      <c r="G2966" t="s">
        <v>18812</v>
      </c>
      <c r="H2966" t="s">
        <v>18813</v>
      </c>
      <c r="I2966" t="s">
        <v>18814</v>
      </c>
      <c r="J2966" t="s">
        <v>18815</v>
      </c>
      <c r="K2966" t="s">
        <v>18816</v>
      </c>
      <c r="L2966" t="s">
        <v>18809</v>
      </c>
    </row>
    <row r="2967" spans="1:12" x14ac:dyDescent="0.25">
      <c r="A2967">
        <v>556360</v>
      </c>
      <c r="B2967">
        <v>556379</v>
      </c>
      <c r="D2967" t="s">
        <v>2793</v>
      </c>
      <c r="E2967" t="s">
        <v>18818</v>
      </c>
      <c r="F2967" t="s">
        <v>18819</v>
      </c>
      <c r="G2967" t="s">
        <v>18820</v>
      </c>
      <c r="H2967" t="e" vm="1298">
        <f>_FV(0,"007936596005382626")</f>
        <v>#VALUE!</v>
      </c>
      <c r="I2967" t="s">
        <v>18821</v>
      </c>
      <c r="J2967" t="s">
        <v>18822</v>
      </c>
      <c r="K2967" t="s">
        <v>18823</v>
      </c>
      <c r="L2967" t="s">
        <v>18817</v>
      </c>
    </row>
    <row r="2968" spans="1:12" x14ac:dyDescent="0.25">
      <c r="A2968">
        <v>556360</v>
      </c>
      <c r="B2968">
        <v>595491</v>
      </c>
      <c r="D2968">
        <v>0</v>
      </c>
      <c r="E2968" t="s">
        <v>18824</v>
      </c>
      <c r="F2968" t="s">
        <v>18825</v>
      </c>
      <c r="G2968" t="s">
        <v>18826</v>
      </c>
      <c r="H2968" t="e" vm="1299">
        <f>_FV(0,"004494426017086148")</f>
        <v>#VALUE!</v>
      </c>
      <c r="I2968" t="s">
        <v>18827</v>
      </c>
      <c r="J2968" t="s">
        <v>13966</v>
      </c>
      <c r="K2968" t="s">
        <v>18828</v>
      </c>
      <c r="L2968" t="s">
        <v>13961</v>
      </c>
    </row>
    <row r="2969" spans="1:12" x14ac:dyDescent="0.25">
      <c r="A2969">
        <v>556360</v>
      </c>
      <c r="B2969">
        <v>595476</v>
      </c>
      <c r="D2969">
        <v>0</v>
      </c>
      <c r="F2969">
        <v>590388</v>
      </c>
      <c r="G2969">
        <v>556360</v>
      </c>
      <c r="H2969" t="e" vm="1300">
        <f>_FV(0,"013")</f>
        <v>#VALUE!</v>
      </c>
      <c r="I2969">
        <v>595476</v>
      </c>
      <c r="J2969" t="s">
        <v>30</v>
      </c>
      <c r="K2969" t="s">
        <v>18829</v>
      </c>
      <c r="L2969" t="e" vm="1300">
        <f>_FV(0,"013")</f>
        <v>#VALUE!</v>
      </c>
    </row>
    <row r="2970" spans="1:12" x14ac:dyDescent="0.25">
      <c r="A2970">
        <v>556379</v>
      </c>
      <c r="B2970">
        <v>595550</v>
      </c>
      <c r="D2970">
        <v>0</v>
      </c>
      <c r="F2970">
        <v>590442</v>
      </c>
      <c r="G2970">
        <v>595550</v>
      </c>
      <c r="H2970" t="s">
        <v>194</v>
      </c>
      <c r="I2970">
        <v>556379</v>
      </c>
      <c r="J2970" t="s">
        <v>194</v>
      </c>
      <c r="K2970" t="s">
        <v>18830</v>
      </c>
      <c r="L2970" t="s">
        <v>194</v>
      </c>
    </row>
    <row r="2971" spans="1:12" x14ac:dyDescent="0.25">
      <c r="A2971">
        <v>556379</v>
      </c>
      <c r="B2971">
        <v>595598</v>
      </c>
      <c r="D2971">
        <v>0</v>
      </c>
      <c r="E2971" t="s">
        <v>18832</v>
      </c>
      <c r="F2971" t="s">
        <v>18833</v>
      </c>
      <c r="G2971" t="s">
        <v>18834</v>
      </c>
      <c r="H2971" t="s">
        <v>18835</v>
      </c>
      <c r="I2971" t="s">
        <v>18836</v>
      </c>
      <c r="J2971" t="s">
        <v>18831</v>
      </c>
      <c r="K2971" t="s">
        <v>18837</v>
      </c>
      <c r="L2971" t="s">
        <v>18831</v>
      </c>
    </row>
    <row r="2972" spans="1:12" x14ac:dyDescent="0.25">
      <c r="A2972">
        <v>556449</v>
      </c>
      <c r="B2972">
        <v>556460</v>
      </c>
      <c r="D2972">
        <v>0</v>
      </c>
      <c r="E2972" t="s">
        <v>18839</v>
      </c>
      <c r="F2972" t="s">
        <v>18840</v>
      </c>
      <c r="G2972" t="s">
        <v>18841</v>
      </c>
      <c r="H2972" t="e" vm="1301">
        <f>_FV(0,"02491019503298656")</f>
        <v>#VALUE!</v>
      </c>
      <c r="I2972" t="s">
        <v>18842</v>
      </c>
      <c r="J2972" t="s">
        <v>18843</v>
      </c>
      <c r="K2972" t="s">
        <v>18844</v>
      </c>
      <c r="L2972" t="s">
        <v>18838</v>
      </c>
    </row>
    <row r="2973" spans="1:12" x14ac:dyDescent="0.25">
      <c r="A2973">
        <v>556449</v>
      </c>
      <c r="B2973">
        <v>597346</v>
      </c>
      <c r="D2973">
        <v>0</v>
      </c>
      <c r="E2973" t="s">
        <v>18845</v>
      </c>
      <c r="F2973" t="s">
        <v>18846</v>
      </c>
      <c r="G2973" t="s">
        <v>18847</v>
      </c>
      <c r="H2973" t="e" vm="1302">
        <f>_FV(0,"0007622308717118399")</f>
        <v>#VALUE!</v>
      </c>
      <c r="I2973" t="s">
        <v>18848</v>
      </c>
      <c r="J2973" t="s">
        <v>7981</v>
      </c>
      <c r="K2973" t="s">
        <v>18849</v>
      </c>
      <c r="L2973" t="s">
        <v>7976</v>
      </c>
    </row>
    <row r="2974" spans="1:12" x14ac:dyDescent="0.25">
      <c r="A2974">
        <v>556460</v>
      </c>
      <c r="B2974">
        <v>556473</v>
      </c>
      <c r="D2974">
        <v>0</v>
      </c>
      <c r="F2974">
        <v>591243</v>
      </c>
      <c r="G2974">
        <v>556473</v>
      </c>
      <c r="H2974" t="e" vm="219">
        <f>_FV(0,"026")</f>
        <v>#VALUE!</v>
      </c>
      <c r="I2974">
        <v>556460</v>
      </c>
      <c r="J2974" t="s">
        <v>2841</v>
      </c>
      <c r="K2974" t="s">
        <v>18850</v>
      </c>
      <c r="L2974" t="e" vm="219">
        <f>_FV(0,"026")</f>
        <v>#VALUE!</v>
      </c>
    </row>
    <row r="2975" spans="1:12" x14ac:dyDescent="0.25">
      <c r="A2975">
        <v>556460</v>
      </c>
      <c r="B2975">
        <v>597346</v>
      </c>
      <c r="D2975">
        <v>0</v>
      </c>
      <c r="E2975" t="s">
        <v>18851</v>
      </c>
      <c r="F2975" t="s">
        <v>18852</v>
      </c>
      <c r="G2975" t="s">
        <v>18853</v>
      </c>
      <c r="H2975" t="e" vm="1303">
        <f>_FV(0,"024909859430872247")</f>
        <v>#VALUE!</v>
      </c>
      <c r="I2975" t="s">
        <v>18854</v>
      </c>
      <c r="J2975" t="s">
        <v>18843</v>
      </c>
      <c r="K2975" t="s">
        <v>18855</v>
      </c>
      <c r="L2975" t="s">
        <v>18838</v>
      </c>
    </row>
    <row r="2976" spans="1:12" x14ac:dyDescent="0.25">
      <c r="A2976">
        <v>556473</v>
      </c>
      <c r="B2976">
        <v>556476</v>
      </c>
      <c r="D2976">
        <v>0</v>
      </c>
      <c r="E2976" t="s">
        <v>18857</v>
      </c>
      <c r="F2976" t="s">
        <v>18858</v>
      </c>
      <c r="G2976" t="s">
        <v>18859</v>
      </c>
      <c r="H2976" t="e" vm="1304">
        <f>_FV(0,"024665259655580554")</f>
        <v>#VALUE!</v>
      </c>
      <c r="I2976" t="s">
        <v>18860</v>
      </c>
      <c r="J2976" t="s">
        <v>18861</v>
      </c>
      <c r="K2976" t="s">
        <v>18862</v>
      </c>
      <c r="L2976" t="s">
        <v>18856</v>
      </c>
    </row>
    <row r="2977" spans="1:12" x14ac:dyDescent="0.25">
      <c r="A2977">
        <v>556473</v>
      </c>
      <c r="B2977">
        <v>611980</v>
      </c>
      <c r="D2977">
        <v>0</v>
      </c>
      <c r="E2977" t="s">
        <v>18864</v>
      </c>
      <c r="F2977" t="s">
        <v>18865</v>
      </c>
      <c r="G2977" t="s">
        <v>18866</v>
      </c>
      <c r="H2977" t="e" vm="1305">
        <f>_FV(0,"02817059339049716")</f>
        <v>#VALUE!</v>
      </c>
      <c r="I2977" t="s">
        <v>18867</v>
      </c>
      <c r="J2977" t="s">
        <v>18868</v>
      </c>
      <c r="K2977" t="s">
        <v>18869</v>
      </c>
      <c r="L2977" t="s">
        <v>18863</v>
      </c>
    </row>
    <row r="2978" spans="1:12" x14ac:dyDescent="0.25">
      <c r="A2978">
        <v>556476</v>
      </c>
      <c r="B2978">
        <v>556483</v>
      </c>
      <c r="D2978">
        <v>0</v>
      </c>
      <c r="E2978" t="s">
        <v>18871</v>
      </c>
      <c r="F2978" t="s">
        <v>18872</v>
      </c>
      <c r="G2978" t="s">
        <v>18873</v>
      </c>
      <c r="H2978" t="e" vm="1306">
        <f>_FV(0,"03813158857636334")</f>
        <v>#VALUE!</v>
      </c>
      <c r="I2978" t="s">
        <v>18874</v>
      </c>
      <c r="J2978" t="s">
        <v>18875</v>
      </c>
      <c r="K2978" t="s">
        <v>18876</v>
      </c>
      <c r="L2978" t="s">
        <v>18870</v>
      </c>
    </row>
    <row r="2979" spans="1:12" x14ac:dyDescent="0.25">
      <c r="A2979">
        <v>556476</v>
      </c>
      <c r="B2979">
        <v>611980</v>
      </c>
      <c r="D2979">
        <v>0</v>
      </c>
      <c r="E2979" t="s">
        <v>18878</v>
      </c>
      <c r="F2979" t="s">
        <v>18879</v>
      </c>
      <c r="G2979" t="s">
        <v>18880</v>
      </c>
      <c r="H2979" t="s">
        <v>18881</v>
      </c>
      <c r="I2979" t="s">
        <v>18882</v>
      </c>
      <c r="J2979" t="s">
        <v>18883</v>
      </c>
      <c r="K2979" t="s">
        <v>18884</v>
      </c>
      <c r="L2979" t="s">
        <v>18877</v>
      </c>
    </row>
    <row r="2980" spans="1:12" x14ac:dyDescent="0.25">
      <c r="A2980">
        <v>556483</v>
      </c>
      <c r="B2980">
        <v>556486</v>
      </c>
      <c r="D2980">
        <v>0</v>
      </c>
      <c r="E2980" t="s">
        <v>18886</v>
      </c>
      <c r="F2980" t="s">
        <v>18887</v>
      </c>
      <c r="G2980" t="s">
        <v>18888</v>
      </c>
      <c r="H2980" t="e" vm="1307">
        <f>_FV(0,"07720809552018575")</f>
        <v>#VALUE!</v>
      </c>
      <c r="I2980" t="s">
        <v>18889</v>
      </c>
      <c r="J2980" t="s">
        <v>18890</v>
      </c>
      <c r="K2980" t="s">
        <v>18891</v>
      </c>
      <c r="L2980" t="s">
        <v>18885</v>
      </c>
    </row>
    <row r="2981" spans="1:12" x14ac:dyDescent="0.25">
      <c r="A2981">
        <v>556483</v>
      </c>
      <c r="B2981">
        <v>611960</v>
      </c>
      <c r="D2981">
        <v>0</v>
      </c>
      <c r="E2981" t="s">
        <v>18893</v>
      </c>
      <c r="F2981" t="s">
        <v>18894</v>
      </c>
      <c r="G2981" t="s">
        <v>18895</v>
      </c>
      <c r="H2981" t="e" vm="1308">
        <f>_FV(0,"001513333898898376")</f>
        <v>#VALUE!</v>
      </c>
      <c r="I2981" t="s">
        <v>18896</v>
      </c>
      <c r="J2981" t="s">
        <v>18897</v>
      </c>
      <c r="K2981" t="s">
        <v>18898</v>
      </c>
      <c r="L2981" t="s">
        <v>18892</v>
      </c>
    </row>
    <row r="2982" spans="1:12" x14ac:dyDescent="0.25">
      <c r="A2982">
        <v>556486</v>
      </c>
      <c r="B2982">
        <v>610925</v>
      </c>
      <c r="D2982" t="s">
        <v>1875</v>
      </c>
      <c r="E2982" t="s">
        <v>18900</v>
      </c>
      <c r="F2982" t="s">
        <v>18901</v>
      </c>
      <c r="G2982" t="s">
        <v>18902</v>
      </c>
      <c r="H2982" t="e" vm="1309">
        <f>_FV(0,"014856588995785387")</f>
        <v>#VALUE!</v>
      </c>
      <c r="I2982" t="s">
        <v>18903</v>
      </c>
      <c r="J2982" t="s">
        <v>18904</v>
      </c>
      <c r="K2982" t="s">
        <v>18905</v>
      </c>
      <c r="L2982" t="s">
        <v>18899</v>
      </c>
    </row>
    <row r="2983" spans="1:12" x14ac:dyDescent="0.25">
      <c r="A2983">
        <v>556486</v>
      </c>
      <c r="B2983">
        <v>611960</v>
      </c>
      <c r="D2983">
        <v>0</v>
      </c>
      <c r="E2983" t="s">
        <v>18907</v>
      </c>
      <c r="F2983" t="s">
        <v>18908</v>
      </c>
      <c r="G2983" t="s">
        <v>18909</v>
      </c>
      <c r="H2983" t="e" vm="1310">
        <f>_FV(0,"07247826881694852")</f>
        <v>#VALUE!</v>
      </c>
      <c r="I2983" t="s">
        <v>18910</v>
      </c>
      <c r="J2983" t="s">
        <v>18911</v>
      </c>
      <c r="K2983" t="s">
        <v>18912</v>
      </c>
      <c r="L2983" t="s">
        <v>18906</v>
      </c>
    </row>
    <row r="2984" spans="1:12" x14ac:dyDescent="0.25">
      <c r="A2984">
        <v>556935</v>
      </c>
      <c r="B2984">
        <v>1204437</v>
      </c>
      <c r="D2984">
        <v>0</v>
      </c>
      <c r="E2984" t="s">
        <v>18914</v>
      </c>
      <c r="F2984" t="s">
        <v>18915</v>
      </c>
      <c r="G2984" t="s">
        <v>18916</v>
      </c>
      <c r="H2984" t="e" vm="1311">
        <f>_FV(0,"015192776484013168")</f>
        <v>#VALUE!</v>
      </c>
      <c r="I2984" t="s">
        <v>18917</v>
      </c>
      <c r="J2984" t="s">
        <v>18918</v>
      </c>
      <c r="K2984" t="s">
        <v>18919</v>
      </c>
      <c r="L2984" t="s">
        <v>18913</v>
      </c>
    </row>
    <row r="2985" spans="1:12" x14ac:dyDescent="0.25">
      <c r="A2985">
        <v>556935</v>
      </c>
      <c r="B2985">
        <v>556936</v>
      </c>
      <c r="D2985">
        <v>0</v>
      </c>
      <c r="F2985">
        <v>598231</v>
      </c>
      <c r="G2985">
        <v>556935</v>
      </c>
      <c r="H2985" t="s">
        <v>18920</v>
      </c>
      <c r="I2985">
        <v>556936</v>
      </c>
      <c r="J2985" t="s">
        <v>18920</v>
      </c>
      <c r="K2985" t="s">
        <v>18921</v>
      </c>
      <c r="L2985" t="s">
        <v>18920</v>
      </c>
    </row>
    <row r="2986" spans="1:12" x14ac:dyDescent="0.25">
      <c r="A2986">
        <v>556935</v>
      </c>
      <c r="B2986">
        <v>556936</v>
      </c>
      <c r="D2986">
        <v>0</v>
      </c>
      <c r="E2986" t="s">
        <v>18923</v>
      </c>
      <c r="F2986" t="s">
        <v>18924</v>
      </c>
      <c r="G2986" t="s">
        <v>18925</v>
      </c>
      <c r="H2986" t="s">
        <v>18926</v>
      </c>
      <c r="I2986" t="s">
        <v>18927</v>
      </c>
      <c r="J2986" t="s">
        <v>18928</v>
      </c>
      <c r="K2986" t="s">
        <v>18929</v>
      </c>
      <c r="L2986" t="s">
        <v>18922</v>
      </c>
    </row>
    <row r="2987" spans="1:12" x14ac:dyDescent="0.25">
      <c r="A2987">
        <v>556936</v>
      </c>
      <c r="B2987">
        <v>601310</v>
      </c>
      <c r="D2987" t="s">
        <v>2437</v>
      </c>
      <c r="E2987" t="s">
        <v>18931</v>
      </c>
      <c r="F2987" t="s">
        <v>18932</v>
      </c>
      <c r="G2987" t="s">
        <v>18933</v>
      </c>
      <c r="H2987" t="s">
        <v>18934</v>
      </c>
      <c r="I2987" t="s">
        <v>18935</v>
      </c>
      <c r="J2987" t="s">
        <v>18936</v>
      </c>
      <c r="K2987" t="s">
        <v>18937</v>
      </c>
      <c r="L2987" t="s">
        <v>18930</v>
      </c>
    </row>
    <row r="2988" spans="1:12" x14ac:dyDescent="0.25">
      <c r="A2988">
        <v>557764</v>
      </c>
      <c r="B2988">
        <v>557791</v>
      </c>
      <c r="D2988" t="s">
        <v>514</v>
      </c>
      <c r="E2988" t="s">
        <v>18939</v>
      </c>
      <c r="F2988" t="s">
        <v>18940</v>
      </c>
      <c r="G2988" t="s">
        <v>18941</v>
      </c>
      <c r="H2988" t="s">
        <v>18942</v>
      </c>
      <c r="I2988" t="s">
        <v>18943</v>
      </c>
      <c r="J2988" t="s">
        <v>18938</v>
      </c>
      <c r="K2988" t="s">
        <v>18944</v>
      </c>
      <c r="L2988" t="s">
        <v>18938</v>
      </c>
    </row>
    <row r="2989" spans="1:12" x14ac:dyDescent="0.25">
      <c r="A2989">
        <v>557764</v>
      </c>
      <c r="B2989">
        <v>580665</v>
      </c>
      <c r="D2989">
        <v>0</v>
      </c>
      <c r="E2989" t="s">
        <v>18946</v>
      </c>
      <c r="F2989" t="s">
        <v>18947</v>
      </c>
      <c r="G2989" t="s">
        <v>18948</v>
      </c>
      <c r="H2989" t="s">
        <v>18949</v>
      </c>
      <c r="I2989" t="s">
        <v>18950</v>
      </c>
      <c r="J2989" t="s">
        <v>18951</v>
      </c>
      <c r="K2989" t="s">
        <v>18952</v>
      </c>
      <c r="L2989" t="s">
        <v>18945</v>
      </c>
    </row>
    <row r="2990" spans="1:12" x14ac:dyDescent="0.25">
      <c r="A2990">
        <v>557764</v>
      </c>
      <c r="B2990">
        <v>579669</v>
      </c>
      <c r="D2990">
        <v>0</v>
      </c>
      <c r="E2990" t="s">
        <v>18954</v>
      </c>
      <c r="F2990" t="s">
        <v>18955</v>
      </c>
      <c r="G2990" t="s">
        <v>18956</v>
      </c>
      <c r="H2990" t="e" vm="1312">
        <f>_FV(0,"23418581491410345")</f>
        <v>#VALUE!</v>
      </c>
      <c r="I2990" t="s">
        <v>18957</v>
      </c>
      <c r="J2990" t="s">
        <v>18958</v>
      </c>
      <c r="K2990" t="s">
        <v>18959</v>
      </c>
      <c r="L2990" t="s">
        <v>18953</v>
      </c>
    </row>
    <row r="2991" spans="1:12" x14ac:dyDescent="0.25">
      <c r="A2991">
        <v>557791</v>
      </c>
      <c r="B2991">
        <v>579692</v>
      </c>
      <c r="D2991">
        <v>0</v>
      </c>
      <c r="E2991" t="s">
        <v>18961</v>
      </c>
      <c r="F2991" t="s">
        <v>18962</v>
      </c>
      <c r="G2991" t="s">
        <v>18963</v>
      </c>
      <c r="H2991" t="s">
        <v>18964</v>
      </c>
      <c r="I2991" t="s">
        <v>18965</v>
      </c>
      <c r="J2991" t="s">
        <v>18966</v>
      </c>
      <c r="K2991" t="s">
        <v>18967</v>
      </c>
      <c r="L2991" t="s">
        <v>18960</v>
      </c>
    </row>
    <row r="2992" spans="1:12" x14ac:dyDescent="0.25">
      <c r="A2992">
        <v>557791</v>
      </c>
      <c r="B2992">
        <v>580657</v>
      </c>
      <c r="D2992">
        <v>0</v>
      </c>
      <c r="E2992" t="s">
        <v>18969</v>
      </c>
      <c r="F2992" t="s">
        <v>18970</v>
      </c>
      <c r="G2992" t="s">
        <v>18971</v>
      </c>
      <c r="H2992" t="e" vm="1313">
        <f>_FV(0,"16417368322462078")</f>
        <v>#VALUE!</v>
      </c>
      <c r="I2992" t="s">
        <v>18972</v>
      </c>
      <c r="J2992" t="s">
        <v>18973</v>
      </c>
      <c r="K2992" t="s">
        <v>18974</v>
      </c>
      <c r="L2992" t="s">
        <v>18968</v>
      </c>
    </row>
    <row r="2993" spans="1:12" x14ac:dyDescent="0.25">
      <c r="A2993">
        <v>558078</v>
      </c>
      <c r="B2993">
        <v>558087</v>
      </c>
      <c r="D2993">
        <v>0</v>
      </c>
      <c r="F2993">
        <v>551030</v>
      </c>
      <c r="G2993">
        <v>558087</v>
      </c>
      <c r="H2993" t="s">
        <v>187</v>
      </c>
      <c r="I2993">
        <v>558078</v>
      </c>
      <c r="J2993" t="s">
        <v>187</v>
      </c>
      <c r="K2993" t="s">
        <v>18975</v>
      </c>
      <c r="L2993" t="s">
        <v>187</v>
      </c>
    </row>
    <row r="2994" spans="1:12" x14ac:dyDescent="0.25">
      <c r="A2994">
        <v>558087</v>
      </c>
      <c r="B2994">
        <v>558131</v>
      </c>
      <c r="D2994">
        <v>0</v>
      </c>
      <c r="E2994" t="s">
        <v>18977</v>
      </c>
      <c r="F2994" t="s">
        <v>18978</v>
      </c>
      <c r="G2994" t="s">
        <v>18979</v>
      </c>
      <c r="H2994" t="s">
        <v>18980</v>
      </c>
      <c r="I2994" t="s">
        <v>18981</v>
      </c>
      <c r="J2994" t="s">
        <v>18982</v>
      </c>
      <c r="K2994" t="s">
        <v>18983</v>
      </c>
      <c r="L2994" t="s">
        <v>18976</v>
      </c>
    </row>
    <row r="2995" spans="1:12" x14ac:dyDescent="0.25">
      <c r="A2995">
        <v>558087</v>
      </c>
      <c r="B2995">
        <v>623029</v>
      </c>
      <c r="D2995" t="s">
        <v>8792</v>
      </c>
      <c r="E2995" t="s">
        <v>18985</v>
      </c>
      <c r="F2995" t="s">
        <v>18986</v>
      </c>
      <c r="G2995" t="s">
        <v>18987</v>
      </c>
      <c r="H2995" t="s">
        <v>18988</v>
      </c>
      <c r="I2995" t="s">
        <v>18989</v>
      </c>
      <c r="J2995" t="s">
        <v>18990</v>
      </c>
      <c r="K2995" t="s">
        <v>18991</v>
      </c>
      <c r="L2995" t="s">
        <v>18984</v>
      </c>
    </row>
    <row r="2996" spans="1:12" x14ac:dyDescent="0.25">
      <c r="A2996">
        <v>558087</v>
      </c>
      <c r="B2996">
        <v>579836</v>
      </c>
      <c r="D2996">
        <v>0</v>
      </c>
      <c r="F2996">
        <v>626438</v>
      </c>
      <c r="G2996">
        <v>558087</v>
      </c>
      <c r="H2996" t="s">
        <v>18992</v>
      </c>
      <c r="I2996">
        <v>579836</v>
      </c>
      <c r="J2996" t="s">
        <v>18992</v>
      </c>
      <c r="K2996" t="s">
        <v>18993</v>
      </c>
      <c r="L2996" t="s">
        <v>18992</v>
      </c>
    </row>
    <row r="2997" spans="1:12" x14ac:dyDescent="0.25">
      <c r="A2997">
        <v>558131</v>
      </c>
      <c r="B2997">
        <v>621204</v>
      </c>
      <c r="D2997">
        <v>0</v>
      </c>
      <c r="E2997" t="s">
        <v>18995</v>
      </c>
      <c r="F2997" t="s">
        <v>18996</v>
      </c>
      <c r="G2997" t="s">
        <v>18997</v>
      </c>
      <c r="H2997" t="e" vm="1314">
        <f>_FV(0,"0025938415170487445")</f>
        <v>#VALUE!</v>
      </c>
      <c r="I2997" t="s">
        <v>18998</v>
      </c>
      <c r="J2997" t="s">
        <v>18999</v>
      </c>
      <c r="K2997" t="s">
        <v>19000</v>
      </c>
      <c r="L2997" t="s">
        <v>18994</v>
      </c>
    </row>
    <row r="2998" spans="1:12" x14ac:dyDescent="0.25">
      <c r="A2998">
        <v>567512</v>
      </c>
      <c r="B2998">
        <v>567512</v>
      </c>
      <c r="D2998">
        <v>0</v>
      </c>
      <c r="E2998" t="s">
        <v>19002</v>
      </c>
      <c r="F2998" t="s">
        <v>19003</v>
      </c>
      <c r="G2998" t="s">
        <v>19004</v>
      </c>
      <c r="H2998" t="e" vm="1315">
        <f>_FV(-7,"853371688109691e")-5</f>
        <v>#VALUE!</v>
      </c>
      <c r="I2998" t="s">
        <v>19005</v>
      </c>
      <c r="J2998" t="s">
        <v>19006</v>
      </c>
      <c r="K2998" t="s">
        <v>19007</v>
      </c>
      <c r="L2998" t="s">
        <v>19001</v>
      </c>
    </row>
    <row r="2999" spans="1:12" x14ac:dyDescent="0.25">
      <c r="A2999">
        <v>567512</v>
      </c>
      <c r="B2999">
        <v>621106</v>
      </c>
      <c r="D2999">
        <v>0</v>
      </c>
      <c r="E2999" t="s">
        <v>19009</v>
      </c>
      <c r="F2999" t="s">
        <v>19010</v>
      </c>
      <c r="G2999" t="s">
        <v>19011</v>
      </c>
      <c r="H2999" t="e" vm="1316">
        <f>_FV(0,"0056634413217358")</f>
        <v>#VALUE!</v>
      </c>
      <c r="I2999" t="s">
        <v>19012</v>
      </c>
      <c r="J2999" t="s">
        <v>19013</v>
      </c>
      <c r="K2999" t="s">
        <v>19014</v>
      </c>
      <c r="L2999" t="s">
        <v>19008</v>
      </c>
    </row>
    <row r="3000" spans="1:12" x14ac:dyDescent="0.25">
      <c r="A3000">
        <v>578126</v>
      </c>
      <c r="B3000">
        <v>578148</v>
      </c>
      <c r="D3000">
        <v>0</v>
      </c>
      <c r="E3000" t="s">
        <v>19016</v>
      </c>
      <c r="F3000" t="s">
        <v>19017</v>
      </c>
      <c r="G3000" t="s">
        <v>19018</v>
      </c>
      <c r="H3000" t="e" vm="1317">
        <f>_FV(0,"042325126426220834")</f>
        <v>#VALUE!</v>
      </c>
      <c r="I3000" t="s">
        <v>19019</v>
      </c>
      <c r="J3000" t="s">
        <v>19020</v>
      </c>
      <c r="K3000" t="s">
        <v>19021</v>
      </c>
      <c r="L3000" t="s">
        <v>19015</v>
      </c>
    </row>
    <row r="3001" spans="1:12" x14ac:dyDescent="0.25">
      <c r="A3001">
        <v>578126</v>
      </c>
      <c r="B3001">
        <v>578148</v>
      </c>
      <c r="D3001">
        <v>0</v>
      </c>
      <c r="E3001" t="s">
        <v>19023</v>
      </c>
      <c r="F3001" t="s">
        <v>19024</v>
      </c>
      <c r="G3001" t="s">
        <v>19025</v>
      </c>
      <c r="H3001" t="e" vm="1318">
        <f>_FV(0,"04283451859358114")</f>
        <v>#VALUE!</v>
      </c>
      <c r="I3001" t="s">
        <v>19026</v>
      </c>
      <c r="J3001" t="s">
        <v>19027</v>
      </c>
      <c r="K3001" t="s">
        <v>19028</v>
      </c>
      <c r="L3001" t="s">
        <v>19022</v>
      </c>
    </row>
    <row r="3002" spans="1:12" x14ac:dyDescent="0.25">
      <c r="A3002">
        <v>578126</v>
      </c>
      <c r="B3002">
        <v>600419</v>
      </c>
      <c r="D3002" t="s">
        <v>19030</v>
      </c>
      <c r="E3002" t="s">
        <v>19031</v>
      </c>
      <c r="F3002" t="s">
        <v>19032</v>
      </c>
      <c r="G3002" t="s">
        <v>19033</v>
      </c>
      <c r="H3002" t="e" vm="1319">
        <f>_FV(0,"006707933111494279")</f>
        <v>#VALUE!</v>
      </c>
      <c r="I3002" t="s">
        <v>19034</v>
      </c>
      <c r="J3002" t="s">
        <v>19035</v>
      </c>
      <c r="K3002" t="s">
        <v>19036</v>
      </c>
      <c r="L3002" t="s">
        <v>19029</v>
      </c>
    </row>
    <row r="3003" spans="1:12" x14ac:dyDescent="0.25">
      <c r="A3003">
        <v>578148</v>
      </c>
      <c r="B3003">
        <v>1114288</v>
      </c>
      <c r="D3003" t="s">
        <v>19038</v>
      </c>
      <c r="E3003" t="s">
        <v>19039</v>
      </c>
      <c r="F3003" t="s">
        <v>19040</v>
      </c>
      <c r="G3003" t="s">
        <v>19041</v>
      </c>
      <c r="H3003" t="s">
        <v>19042</v>
      </c>
      <c r="I3003" t="s">
        <v>19043</v>
      </c>
      <c r="J3003" t="s">
        <v>19044</v>
      </c>
      <c r="K3003" t="s">
        <v>19045</v>
      </c>
      <c r="L3003" t="s">
        <v>19037</v>
      </c>
    </row>
    <row r="3004" spans="1:12" x14ac:dyDescent="0.25">
      <c r="A3004">
        <v>578339</v>
      </c>
      <c r="B3004">
        <v>621736</v>
      </c>
      <c r="D3004" t="s">
        <v>19047</v>
      </c>
      <c r="E3004" t="s">
        <v>19048</v>
      </c>
      <c r="F3004" t="s">
        <v>19049</v>
      </c>
      <c r="G3004" t="s">
        <v>19050</v>
      </c>
      <c r="H3004" t="e" vm="1320">
        <f>_FV(0,"03844397330342683")</f>
        <v>#VALUE!</v>
      </c>
      <c r="I3004" t="s">
        <v>19051</v>
      </c>
      <c r="J3004" t="s">
        <v>19052</v>
      </c>
      <c r="K3004" t="s">
        <v>19053</v>
      </c>
      <c r="L3004" t="s">
        <v>19046</v>
      </c>
    </row>
    <row r="3005" spans="1:12" x14ac:dyDescent="0.25">
      <c r="A3005">
        <v>578952</v>
      </c>
      <c r="B3005">
        <v>578966</v>
      </c>
      <c r="D3005" t="s">
        <v>19055</v>
      </c>
      <c r="E3005" t="s">
        <v>19056</v>
      </c>
      <c r="F3005" t="s">
        <v>19057</v>
      </c>
      <c r="G3005" t="s">
        <v>19058</v>
      </c>
      <c r="H3005" t="e" vm="1321">
        <f>_FV(0,"02724569358395464")</f>
        <v>#VALUE!</v>
      </c>
      <c r="I3005" t="s">
        <v>19059</v>
      </c>
      <c r="J3005" t="s">
        <v>19060</v>
      </c>
      <c r="K3005" t="s">
        <v>19061</v>
      </c>
      <c r="L3005" t="s">
        <v>19054</v>
      </c>
    </row>
    <row r="3006" spans="1:12" x14ac:dyDescent="0.25">
      <c r="A3006">
        <v>578952</v>
      </c>
      <c r="B3006">
        <v>579866</v>
      </c>
      <c r="D3006">
        <v>0</v>
      </c>
      <c r="E3006" t="s">
        <v>19063</v>
      </c>
      <c r="F3006" t="s">
        <v>19064</v>
      </c>
      <c r="G3006" t="s">
        <v>19065</v>
      </c>
      <c r="H3006" t="e" vm="1322">
        <f>_FV(0,"015137885179123253")</f>
        <v>#VALUE!</v>
      </c>
      <c r="I3006" t="s">
        <v>19066</v>
      </c>
      <c r="J3006" t="s">
        <v>19067</v>
      </c>
      <c r="K3006" t="s">
        <v>19068</v>
      </c>
      <c r="L3006" t="s">
        <v>19062</v>
      </c>
    </row>
    <row r="3007" spans="1:12" x14ac:dyDescent="0.25">
      <c r="A3007">
        <v>578952</v>
      </c>
      <c r="B3007">
        <v>621778</v>
      </c>
      <c r="D3007">
        <v>0</v>
      </c>
      <c r="E3007" t="s">
        <v>19070</v>
      </c>
      <c r="F3007" t="s">
        <v>19071</v>
      </c>
      <c r="G3007" t="s">
        <v>19072</v>
      </c>
      <c r="H3007" t="e" vm="1323">
        <f>_FV(0,"04685856597153876")</f>
        <v>#VALUE!</v>
      </c>
      <c r="I3007" t="s">
        <v>19073</v>
      </c>
      <c r="J3007" t="s">
        <v>19074</v>
      </c>
      <c r="K3007" t="s">
        <v>19075</v>
      </c>
      <c r="L3007" t="s">
        <v>19069</v>
      </c>
    </row>
    <row r="3008" spans="1:12" x14ac:dyDescent="0.25">
      <c r="A3008">
        <v>578966</v>
      </c>
      <c r="B3008">
        <v>621785</v>
      </c>
      <c r="D3008" t="s">
        <v>4520</v>
      </c>
      <c r="E3008" t="s">
        <v>19077</v>
      </c>
      <c r="F3008" t="s">
        <v>19078</v>
      </c>
      <c r="G3008" t="s">
        <v>19079</v>
      </c>
      <c r="H3008" t="e" vm="1324">
        <f>_FV(-1,"542980104548808e")-5</f>
        <v>#VALUE!</v>
      </c>
      <c r="I3008" t="s">
        <v>19080</v>
      </c>
      <c r="J3008" t="s">
        <v>19081</v>
      </c>
      <c r="K3008" t="s">
        <v>19082</v>
      </c>
      <c r="L3008" t="s">
        <v>19076</v>
      </c>
    </row>
    <row r="3009" spans="1:12" x14ac:dyDescent="0.25">
      <c r="A3009">
        <v>578966</v>
      </c>
      <c r="B3009">
        <v>799189</v>
      </c>
      <c r="D3009" t="s">
        <v>2961</v>
      </c>
      <c r="E3009" t="s">
        <v>19084</v>
      </c>
      <c r="F3009" t="s">
        <v>19085</v>
      </c>
      <c r="G3009" t="s">
        <v>19086</v>
      </c>
      <c r="H3009" t="e" vm="1325">
        <f>_FV(0,"0024961617003920887")</f>
        <v>#VALUE!</v>
      </c>
      <c r="I3009" t="s">
        <v>19087</v>
      </c>
      <c r="J3009" t="s">
        <v>19088</v>
      </c>
      <c r="K3009" t="s">
        <v>19089</v>
      </c>
      <c r="L3009" t="s">
        <v>19083</v>
      </c>
    </row>
    <row r="3010" spans="1:12" x14ac:dyDescent="0.25">
      <c r="A3010">
        <v>579009</v>
      </c>
      <c r="B3010">
        <v>579107</v>
      </c>
      <c r="C3010" t="s">
        <v>19091</v>
      </c>
      <c r="D3010">
        <v>0</v>
      </c>
      <c r="E3010" t="s">
        <v>19092</v>
      </c>
      <c r="F3010" t="s">
        <v>19093</v>
      </c>
      <c r="G3010" t="s">
        <v>19094</v>
      </c>
      <c r="H3010" t="e" vm="1326">
        <f>_FV(0,"009781482127315813")</f>
        <v>#VALUE!</v>
      </c>
      <c r="I3010" t="s">
        <v>19095</v>
      </c>
      <c r="J3010" t="s">
        <v>19096</v>
      </c>
      <c r="K3010" t="s">
        <v>19097</v>
      </c>
      <c r="L3010" t="s">
        <v>19090</v>
      </c>
    </row>
    <row r="3011" spans="1:12" x14ac:dyDescent="0.25">
      <c r="A3011">
        <v>579009</v>
      </c>
      <c r="B3011">
        <v>824189</v>
      </c>
      <c r="D3011">
        <v>0</v>
      </c>
      <c r="E3011" t="s">
        <v>19099</v>
      </c>
      <c r="F3011" t="s">
        <v>19100</v>
      </c>
      <c r="G3011" t="s">
        <v>19101</v>
      </c>
      <c r="H3011" t="s">
        <v>19102</v>
      </c>
      <c r="I3011" t="s">
        <v>19103</v>
      </c>
      <c r="J3011" t="s">
        <v>19104</v>
      </c>
      <c r="K3011" t="s">
        <v>19105</v>
      </c>
      <c r="L3011" t="s">
        <v>19098</v>
      </c>
    </row>
    <row r="3012" spans="1:12" x14ac:dyDescent="0.25">
      <c r="A3012">
        <v>579107</v>
      </c>
      <c r="B3012">
        <v>621849</v>
      </c>
      <c r="D3012">
        <v>0</v>
      </c>
      <c r="E3012" t="s">
        <v>19107</v>
      </c>
      <c r="F3012" t="s">
        <v>19108</v>
      </c>
      <c r="G3012" t="s">
        <v>19109</v>
      </c>
      <c r="H3012" t="e" vm="1327">
        <f>_FV(0,"012797331230510524")</f>
        <v>#VALUE!</v>
      </c>
      <c r="I3012" t="s">
        <v>19110</v>
      </c>
      <c r="J3012" t="s">
        <v>19111</v>
      </c>
      <c r="K3012" t="s">
        <v>19112</v>
      </c>
      <c r="L3012" t="s">
        <v>19106</v>
      </c>
    </row>
    <row r="3013" spans="1:12" x14ac:dyDescent="0.25">
      <c r="A3013">
        <v>579107</v>
      </c>
      <c r="B3013">
        <v>623147</v>
      </c>
      <c r="D3013">
        <v>0</v>
      </c>
      <c r="E3013" t="s">
        <v>19114</v>
      </c>
      <c r="F3013" t="s">
        <v>19115</v>
      </c>
      <c r="G3013" t="s">
        <v>19116</v>
      </c>
      <c r="H3013" t="s">
        <v>19117</v>
      </c>
      <c r="I3013" t="s">
        <v>19118</v>
      </c>
      <c r="J3013" t="s">
        <v>19119</v>
      </c>
      <c r="K3013" t="s">
        <v>19120</v>
      </c>
      <c r="L3013" t="s">
        <v>19113</v>
      </c>
    </row>
    <row r="3014" spans="1:12" x14ac:dyDescent="0.25">
      <c r="A3014">
        <v>579112</v>
      </c>
      <c r="B3014">
        <v>624215</v>
      </c>
      <c r="D3014">
        <v>0</v>
      </c>
      <c r="E3014" t="s">
        <v>19122</v>
      </c>
      <c r="F3014" t="s">
        <v>19123</v>
      </c>
      <c r="G3014" t="s">
        <v>19124</v>
      </c>
      <c r="H3014" t="s">
        <v>19125</v>
      </c>
      <c r="I3014" t="s">
        <v>19126</v>
      </c>
      <c r="J3014" t="s">
        <v>19121</v>
      </c>
      <c r="K3014" t="s">
        <v>19127</v>
      </c>
      <c r="L3014" t="s">
        <v>19121</v>
      </c>
    </row>
    <row r="3015" spans="1:12" x14ac:dyDescent="0.25">
      <c r="A3015">
        <v>579130</v>
      </c>
      <c r="B3015">
        <v>622044</v>
      </c>
      <c r="D3015">
        <v>0</v>
      </c>
      <c r="E3015" t="s">
        <v>19129</v>
      </c>
      <c r="F3015" t="s">
        <v>19130</v>
      </c>
      <c r="G3015" t="s">
        <v>19131</v>
      </c>
      <c r="H3015" t="s">
        <v>19132</v>
      </c>
      <c r="I3015" t="s">
        <v>19133</v>
      </c>
      <c r="J3015" t="s">
        <v>19134</v>
      </c>
      <c r="K3015" t="s">
        <v>19135</v>
      </c>
      <c r="L3015" t="s">
        <v>19128</v>
      </c>
    </row>
    <row r="3016" spans="1:12" x14ac:dyDescent="0.25">
      <c r="A3016">
        <v>579130</v>
      </c>
      <c r="B3016">
        <v>623183</v>
      </c>
      <c r="D3016">
        <v>0</v>
      </c>
      <c r="E3016" t="s">
        <v>19137</v>
      </c>
      <c r="F3016" t="s">
        <v>19138</v>
      </c>
      <c r="G3016" t="s">
        <v>19139</v>
      </c>
      <c r="H3016" t="s">
        <v>19140</v>
      </c>
      <c r="I3016" t="s">
        <v>19141</v>
      </c>
      <c r="J3016" t="s">
        <v>19142</v>
      </c>
      <c r="K3016" t="s">
        <v>19143</v>
      </c>
      <c r="L3016" t="s">
        <v>19136</v>
      </c>
    </row>
    <row r="3017" spans="1:12" x14ac:dyDescent="0.25">
      <c r="A3017">
        <v>579131</v>
      </c>
      <c r="B3017">
        <v>579231</v>
      </c>
      <c r="C3017" t="s">
        <v>19145</v>
      </c>
      <c r="D3017" t="s">
        <v>19146</v>
      </c>
      <c r="E3017" t="s">
        <v>19147</v>
      </c>
      <c r="F3017" t="s">
        <v>19148</v>
      </c>
      <c r="G3017" t="s">
        <v>19149</v>
      </c>
      <c r="H3017" t="e" vm="1328">
        <f>_FV(0,"02759857877285273")</f>
        <v>#VALUE!</v>
      </c>
      <c r="I3017" t="s">
        <v>19150</v>
      </c>
      <c r="J3017" t="s">
        <v>19151</v>
      </c>
      <c r="K3017" t="s">
        <v>19152</v>
      </c>
      <c r="L3017" t="s">
        <v>19144</v>
      </c>
    </row>
    <row r="3018" spans="1:12" x14ac:dyDescent="0.25">
      <c r="A3018">
        <v>579131</v>
      </c>
      <c r="B3018">
        <v>623192</v>
      </c>
      <c r="D3018">
        <v>0</v>
      </c>
      <c r="E3018" t="s">
        <v>19154</v>
      </c>
      <c r="F3018" t="s">
        <v>19155</v>
      </c>
      <c r="G3018" t="s">
        <v>19156</v>
      </c>
      <c r="H3018" t="e" vm="1329">
        <f>_FV(0,"04192315857677194")</f>
        <v>#VALUE!</v>
      </c>
      <c r="I3018" t="s">
        <v>19157</v>
      </c>
      <c r="J3018" t="s">
        <v>19158</v>
      </c>
      <c r="K3018" t="s">
        <v>19159</v>
      </c>
      <c r="L3018" t="s">
        <v>19153</v>
      </c>
    </row>
    <row r="3019" spans="1:12" x14ac:dyDescent="0.25">
      <c r="A3019">
        <v>579131</v>
      </c>
      <c r="B3019">
        <v>1205572</v>
      </c>
      <c r="D3019">
        <v>0</v>
      </c>
      <c r="E3019" t="s">
        <v>19161</v>
      </c>
      <c r="F3019" t="s">
        <v>19162</v>
      </c>
      <c r="G3019" t="s">
        <v>19163</v>
      </c>
      <c r="H3019" t="e" vm="1330">
        <f>_FV(0,"02547826345181172")</f>
        <v>#VALUE!</v>
      </c>
      <c r="I3019" t="s">
        <v>19164</v>
      </c>
      <c r="J3019" t="s">
        <v>19165</v>
      </c>
      <c r="K3019" t="s">
        <v>19166</v>
      </c>
      <c r="L3019" t="s">
        <v>19160</v>
      </c>
    </row>
    <row r="3020" spans="1:12" x14ac:dyDescent="0.25">
      <c r="A3020">
        <v>579231</v>
      </c>
      <c r="B3020">
        <v>622137</v>
      </c>
      <c r="D3020" t="s">
        <v>19168</v>
      </c>
      <c r="E3020" t="s">
        <v>19169</v>
      </c>
      <c r="F3020" t="s">
        <v>19170</v>
      </c>
      <c r="G3020" t="s">
        <v>19171</v>
      </c>
      <c r="H3020" t="s">
        <v>19172</v>
      </c>
      <c r="I3020" t="s">
        <v>19173</v>
      </c>
      <c r="J3020" t="s">
        <v>19174</v>
      </c>
      <c r="K3020" t="s">
        <v>19175</v>
      </c>
      <c r="L3020" t="s">
        <v>19167</v>
      </c>
    </row>
    <row r="3021" spans="1:12" x14ac:dyDescent="0.25">
      <c r="A3021">
        <v>579231</v>
      </c>
      <c r="B3021">
        <v>623212</v>
      </c>
      <c r="D3021" t="s">
        <v>19177</v>
      </c>
      <c r="E3021" t="s">
        <v>19178</v>
      </c>
      <c r="F3021" t="s">
        <v>19179</v>
      </c>
      <c r="G3021" t="s">
        <v>19180</v>
      </c>
      <c r="H3021" t="e" vm="1331">
        <f>_FV(0,"016192269951212007")</f>
        <v>#VALUE!</v>
      </c>
      <c r="I3021" t="s">
        <v>19181</v>
      </c>
      <c r="J3021" t="s">
        <v>19182</v>
      </c>
      <c r="K3021" t="s">
        <v>19183</v>
      </c>
      <c r="L3021" t="s">
        <v>19176</v>
      </c>
    </row>
    <row r="3022" spans="1:12" x14ac:dyDescent="0.25">
      <c r="A3022">
        <v>579254</v>
      </c>
      <c r="B3022">
        <v>623219</v>
      </c>
      <c r="D3022">
        <v>0</v>
      </c>
      <c r="E3022" t="s">
        <v>19185</v>
      </c>
      <c r="F3022" t="s">
        <v>19186</v>
      </c>
      <c r="G3022" t="s">
        <v>19187</v>
      </c>
      <c r="H3022" t="e" vm="1332">
        <f>_FV(0,"1764617212535558")</f>
        <v>#VALUE!</v>
      </c>
      <c r="I3022" t="s">
        <v>19188</v>
      </c>
      <c r="J3022" t="s">
        <v>19189</v>
      </c>
      <c r="K3022" t="s">
        <v>19190</v>
      </c>
      <c r="L3022" t="s">
        <v>19184</v>
      </c>
    </row>
    <row r="3023" spans="1:12" x14ac:dyDescent="0.25">
      <c r="A3023">
        <v>579254</v>
      </c>
      <c r="B3023">
        <v>1277697</v>
      </c>
      <c r="D3023">
        <v>0</v>
      </c>
      <c r="E3023" t="s">
        <v>19192</v>
      </c>
      <c r="F3023" t="s">
        <v>19193</v>
      </c>
      <c r="G3023" t="s">
        <v>19194</v>
      </c>
      <c r="H3023" t="e" vm="1333">
        <f>_FV(-1,"7593131909156499")</f>
        <v>#VALUE!</v>
      </c>
      <c r="I3023" t="s">
        <v>19195</v>
      </c>
      <c r="J3023" t="s">
        <v>19196</v>
      </c>
      <c r="K3023" t="s">
        <v>19197</v>
      </c>
      <c r="L3023" t="s">
        <v>19191</v>
      </c>
    </row>
    <row r="3024" spans="1:12" x14ac:dyDescent="0.25">
      <c r="A3024">
        <v>579669</v>
      </c>
      <c r="B3024">
        <v>579692</v>
      </c>
      <c r="D3024" t="s">
        <v>514</v>
      </c>
      <c r="E3024" t="s">
        <v>19199</v>
      </c>
      <c r="F3024" t="s">
        <v>19200</v>
      </c>
      <c r="G3024" t="s">
        <v>19201</v>
      </c>
      <c r="H3024" t="s">
        <v>19202</v>
      </c>
      <c r="I3024" t="s">
        <v>19203</v>
      </c>
      <c r="J3024" t="s">
        <v>19204</v>
      </c>
      <c r="K3024" t="s">
        <v>19205</v>
      </c>
      <c r="L3024" t="s">
        <v>19198</v>
      </c>
    </row>
    <row r="3025" spans="1:12" x14ac:dyDescent="0.25">
      <c r="A3025">
        <v>579669</v>
      </c>
      <c r="B3025">
        <v>580720</v>
      </c>
      <c r="D3025">
        <v>0</v>
      </c>
      <c r="F3025">
        <v>1570250</v>
      </c>
      <c r="G3025">
        <v>579669</v>
      </c>
      <c r="H3025" t="e" vm="1334">
        <f>_FV(0,"074")</f>
        <v>#VALUE!</v>
      </c>
      <c r="I3025">
        <v>580720</v>
      </c>
      <c r="J3025" t="s">
        <v>19206</v>
      </c>
      <c r="K3025" t="s">
        <v>19207</v>
      </c>
      <c r="L3025" t="e" vm="1334">
        <f>_FV(0,"074")</f>
        <v>#VALUE!</v>
      </c>
    </row>
    <row r="3026" spans="1:12" x14ac:dyDescent="0.25">
      <c r="A3026">
        <v>579679</v>
      </c>
      <c r="B3026">
        <v>595598</v>
      </c>
      <c r="D3026">
        <v>0</v>
      </c>
      <c r="F3026">
        <v>590490</v>
      </c>
      <c r="G3026">
        <v>595598</v>
      </c>
      <c r="H3026" t="s">
        <v>1333</v>
      </c>
      <c r="I3026">
        <v>579679</v>
      </c>
      <c r="J3026" t="s">
        <v>1333</v>
      </c>
      <c r="K3026" t="s">
        <v>19208</v>
      </c>
      <c r="L3026" t="s">
        <v>1333</v>
      </c>
    </row>
    <row r="3027" spans="1:12" x14ac:dyDescent="0.25">
      <c r="A3027">
        <v>579679</v>
      </c>
      <c r="B3027">
        <v>981960</v>
      </c>
      <c r="D3027" t="s">
        <v>19168</v>
      </c>
      <c r="E3027" t="s">
        <v>19210</v>
      </c>
      <c r="F3027" t="s">
        <v>19211</v>
      </c>
      <c r="G3027" t="s">
        <v>19212</v>
      </c>
      <c r="H3027" t="s">
        <v>19213</v>
      </c>
      <c r="I3027" t="s">
        <v>19214</v>
      </c>
      <c r="J3027" t="s">
        <v>19215</v>
      </c>
      <c r="K3027" t="s">
        <v>19216</v>
      </c>
      <c r="L3027" t="s">
        <v>19209</v>
      </c>
    </row>
    <row r="3028" spans="1:12" x14ac:dyDescent="0.25">
      <c r="A3028">
        <v>579679</v>
      </c>
      <c r="B3028">
        <v>595550</v>
      </c>
      <c r="D3028">
        <v>0</v>
      </c>
      <c r="E3028" t="s">
        <v>19218</v>
      </c>
      <c r="F3028" t="s">
        <v>19219</v>
      </c>
      <c r="G3028" t="s">
        <v>19220</v>
      </c>
      <c r="H3028" t="e" vm="1335">
        <f>_FV(0,"004846815613340421")</f>
        <v>#VALUE!</v>
      </c>
      <c r="I3028" t="s">
        <v>19221</v>
      </c>
      <c r="J3028" t="s">
        <v>19222</v>
      </c>
      <c r="K3028" t="s">
        <v>19223</v>
      </c>
      <c r="L3028" t="s">
        <v>19217</v>
      </c>
    </row>
    <row r="3029" spans="1:12" x14ac:dyDescent="0.25">
      <c r="A3029">
        <v>579692</v>
      </c>
      <c r="B3029">
        <v>580742</v>
      </c>
      <c r="D3029">
        <v>0</v>
      </c>
      <c r="F3029">
        <v>1570594</v>
      </c>
      <c r="G3029">
        <v>580742</v>
      </c>
      <c r="H3029" t="s">
        <v>19224</v>
      </c>
      <c r="I3029">
        <v>579692</v>
      </c>
      <c r="J3029" t="s">
        <v>19224</v>
      </c>
      <c r="K3029" t="s">
        <v>19225</v>
      </c>
      <c r="L3029" t="s">
        <v>19224</v>
      </c>
    </row>
    <row r="3030" spans="1:12" x14ac:dyDescent="0.25">
      <c r="A3030">
        <v>579725</v>
      </c>
      <c r="B3030">
        <v>621008</v>
      </c>
      <c r="D3030">
        <v>0</v>
      </c>
      <c r="E3030" t="s">
        <v>19227</v>
      </c>
      <c r="F3030" t="s">
        <v>19228</v>
      </c>
      <c r="G3030" t="s">
        <v>19229</v>
      </c>
      <c r="H3030" t="e" vm="1336">
        <f>_FV(0,"02172719928231729")</f>
        <v>#VALUE!</v>
      </c>
      <c r="I3030" t="s">
        <v>19230</v>
      </c>
      <c r="J3030" t="s">
        <v>19231</v>
      </c>
      <c r="K3030" t="s">
        <v>19232</v>
      </c>
      <c r="L3030" t="s">
        <v>19226</v>
      </c>
    </row>
    <row r="3031" spans="1:12" x14ac:dyDescent="0.25">
      <c r="A3031">
        <v>556603</v>
      </c>
      <c r="B3031">
        <v>622852</v>
      </c>
      <c r="D3031">
        <v>0</v>
      </c>
      <c r="E3031" t="s">
        <v>19234</v>
      </c>
      <c r="F3031" t="s">
        <v>19235</v>
      </c>
      <c r="G3031" t="s">
        <v>19236</v>
      </c>
      <c r="H3031" t="s">
        <v>19237</v>
      </c>
      <c r="I3031" t="s">
        <v>19238</v>
      </c>
      <c r="J3031" t="s">
        <v>19239</v>
      </c>
      <c r="K3031" t="s">
        <v>19240</v>
      </c>
      <c r="L3031" t="s">
        <v>19233</v>
      </c>
    </row>
    <row r="3032" spans="1:12" x14ac:dyDescent="0.25">
      <c r="A3032">
        <v>579772</v>
      </c>
      <c r="B3032">
        <v>622858</v>
      </c>
      <c r="D3032">
        <v>0</v>
      </c>
      <c r="E3032" t="s">
        <v>19242</v>
      </c>
      <c r="F3032" t="s">
        <v>19243</v>
      </c>
      <c r="G3032" t="s">
        <v>19244</v>
      </c>
      <c r="H3032" t="s">
        <v>19245</v>
      </c>
      <c r="I3032" t="s">
        <v>19246</v>
      </c>
      <c r="J3032" t="s">
        <v>19247</v>
      </c>
      <c r="K3032" t="s">
        <v>19248</v>
      </c>
      <c r="L3032" t="s">
        <v>19241</v>
      </c>
    </row>
    <row r="3033" spans="1:12" x14ac:dyDescent="0.25">
      <c r="A3033">
        <v>579776</v>
      </c>
      <c r="B3033">
        <v>621023</v>
      </c>
      <c r="D3033">
        <v>0</v>
      </c>
      <c r="E3033" t="s">
        <v>19250</v>
      </c>
      <c r="F3033" t="s">
        <v>19251</v>
      </c>
      <c r="G3033" t="s">
        <v>19252</v>
      </c>
      <c r="H3033" t="e" vm="1337">
        <f>_FV(0,"004931577400974931")</f>
        <v>#VALUE!</v>
      </c>
      <c r="I3033" t="s">
        <v>19253</v>
      </c>
      <c r="J3033" t="s">
        <v>19254</v>
      </c>
      <c r="K3033" t="s">
        <v>19255</v>
      </c>
      <c r="L3033" t="s">
        <v>19249</v>
      </c>
    </row>
    <row r="3034" spans="1:12" x14ac:dyDescent="0.25">
      <c r="A3034">
        <v>579828</v>
      </c>
      <c r="B3034">
        <v>579836</v>
      </c>
      <c r="D3034">
        <v>0</v>
      </c>
      <c r="F3034">
        <v>572222</v>
      </c>
      <c r="G3034">
        <v>579836</v>
      </c>
      <c r="H3034" t="s">
        <v>187</v>
      </c>
      <c r="I3034">
        <v>579828</v>
      </c>
      <c r="J3034" t="s">
        <v>187</v>
      </c>
      <c r="K3034" t="s">
        <v>19256</v>
      </c>
      <c r="L3034" t="s">
        <v>187</v>
      </c>
    </row>
    <row r="3035" spans="1:12" x14ac:dyDescent="0.25">
      <c r="A3035">
        <v>579836</v>
      </c>
      <c r="B3035">
        <v>621211</v>
      </c>
      <c r="D3035">
        <v>0</v>
      </c>
      <c r="E3035" t="s">
        <v>19258</v>
      </c>
      <c r="F3035" t="s">
        <v>19259</v>
      </c>
      <c r="G3035" t="s">
        <v>19260</v>
      </c>
      <c r="H3035" t="e" vm="1338">
        <f>_FV(0,"005572352111254794")</f>
        <v>#VALUE!</v>
      </c>
      <c r="I3035" t="s">
        <v>19261</v>
      </c>
      <c r="J3035" t="s">
        <v>19262</v>
      </c>
      <c r="K3035" t="s">
        <v>19263</v>
      </c>
      <c r="L3035" t="s">
        <v>19257</v>
      </c>
    </row>
    <row r="3036" spans="1:12" x14ac:dyDescent="0.25">
      <c r="A3036">
        <v>579866</v>
      </c>
      <c r="B3036">
        <v>606600</v>
      </c>
      <c r="D3036">
        <v>0</v>
      </c>
      <c r="E3036" t="s">
        <v>19264</v>
      </c>
      <c r="F3036" t="s">
        <v>19265</v>
      </c>
      <c r="G3036" t="s">
        <v>19266</v>
      </c>
      <c r="H3036" t="e" vm="350">
        <f>_FV(0,"009")</f>
        <v>#VALUE!</v>
      </c>
      <c r="I3036" t="s">
        <v>19267</v>
      </c>
      <c r="J3036" t="s">
        <v>2068</v>
      </c>
      <c r="K3036" t="s">
        <v>19268</v>
      </c>
      <c r="L3036" t="e" vm="350">
        <f>_FV(0,"009")</f>
        <v>#VALUE!</v>
      </c>
    </row>
    <row r="3037" spans="1:12" x14ac:dyDescent="0.25">
      <c r="A3037">
        <v>579866</v>
      </c>
      <c r="B3037">
        <v>626535</v>
      </c>
      <c r="D3037">
        <v>0</v>
      </c>
      <c r="E3037" t="s">
        <v>19270</v>
      </c>
      <c r="F3037" t="s">
        <v>19271</v>
      </c>
      <c r="G3037" t="s">
        <v>19272</v>
      </c>
      <c r="H3037" t="e" vm="1339">
        <f>_FV(0,"1028722999869915")</f>
        <v>#VALUE!</v>
      </c>
      <c r="I3037" t="s">
        <v>19273</v>
      </c>
      <c r="J3037" t="s">
        <v>19274</v>
      </c>
      <c r="K3037" t="s">
        <v>19275</v>
      </c>
      <c r="L3037" t="s">
        <v>19269</v>
      </c>
    </row>
    <row r="3038" spans="1:12" x14ac:dyDescent="0.25">
      <c r="A3038">
        <v>579911</v>
      </c>
      <c r="B3038">
        <v>606624</v>
      </c>
      <c r="D3038">
        <v>0</v>
      </c>
      <c r="E3038" t="s">
        <v>19277</v>
      </c>
      <c r="F3038" t="s">
        <v>19278</v>
      </c>
      <c r="G3038" t="s">
        <v>19279</v>
      </c>
      <c r="H3038" t="s">
        <v>19280</v>
      </c>
      <c r="I3038" t="s">
        <v>19281</v>
      </c>
      <c r="J3038" t="s">
        <v>19276</v>
      </c>
      <c r="K3038" t="s">
        <v>19282</v>
      </c>
      <c r="L3038" t="s">
        <v>19276</v>
      </c>
    </row>
    <row r="3039" spans="1:12" x14ac:dyDescent="0.25">
      <c r="A3039">
        <v>579911</v>
      </c>
      <c r="B3039">
        <v>626540</v>
      </c>
      <c r="D3039">
        <v>0</v>
      </c>
      <c r="E3039" t="s">
        <v>19284</v>
      </c>
      <c r="F3039" t="s">
        <v>19285</v>
      </c>
      <c r="G3039" t="s">
        <v>19286</v>
      </c>
      <c r="H3039" t="s">
        <v>19287</v>
      </c>
      <c r="I3039" t="s">
        <v>19288</v>
      </c>
      <c r="J3039" t="s">
        <v>19283</v>
      </c>
      <c r="K3039" t="s">
        <v>19289</v>
      </c>
      <c r="L3039" t="s">
        <v>19283</v>
      </c>
    </row>
    <row r="3040" spans="1:12" x14ac:dyDescent="0.25">
      <c r="A3040">
        <v>579911</v>
      </c>
      <c r="B3040">
        <v>622922</v>
      </c>
      <c r="D3040" t="s">
        <v>2793</v>
      </c>
      <c r="E3040" t="s">
        <v>19291</v>
      </c>
      <c r="F3040" t="s">
        <v>19292</v>
      </c>
      <c r="G3040" t="s">
        <v>19293</v>
      </c>
      <c r="H3040" t="e" vm="1340">
        <f>_FV(0,"03189328630900486")</f>
        <v>#VALUE!</v>
      </c>
      <c r="I3040" t="s">
        <v>19294</v>
      </c>
      <c r="J3040" t="s">
        <v>19295</v>
      </c>
      <c r="K3040" t="s">
        <v>19296</v>
      </c>
      <c r="L3040" t="s">
        <v>19290</v>
      </c>
    </row>
    <row r="3041" spans="1:12" x14ac:dyDescent="0.25">
      <c r="A3041">
        <v>550044</v>
      </c>
      <c r="B3041">
        <v>596812</v>
      </c>
      <c r="D3041">
        <v>0</v>
      </c>
      <c r="E3041" t="s">
        <v>19298</v>
      </c>
      <c r="F3041" t="s">
        <v>19299</v>
      </c>
      <c r="G3041" t="s">
        <v>19300</v>
      </c>
      <c r="H3041" t="s">
        <v>19301</v>
      </c>
      <c r="I3041" t="s">
        <v>19302</v>
      </c>
      <c r="J3041" t="s">
        <v>19297</v>
      </c>
      <c r="K3041" t="s">
        <v>19303</v>
      </c>
      <c r="L3041" t="s">
        <v>19297</v>
      </c>
    </row>
    <row r="3042" spans="1:12" x14ac:dyDescent="0.25">
      <c r="A3042">
        <v>580351</v>
      </c>
      <c r="B3042">
        <v>580411</v>
      </c>
      <c r="D3042">
        <v>0</v>
      </c>
      <c r="E3042" t="s">
        <v>19305</v>
      </c>
      <c r="F3042" t="s">
        <v>19306</v>
      </c>
      <c r="G3042" t="s">
        <v>19307</v>
      </c>
      <c r="H3042" t="e" vm="1341">
        <f>_FV(0,"00015146064923538086")</f>
        <v>#VALUE!</v>
      </c>
      <c r="I3042" t="s">
        <v>19308</v>
      </c>
      <c r="J3042" t="s">
        <v>19309</v>
      </c>
      <c r="K3042" t="s">
        <v>19310</v>
      </c>
      <c r="L3042" t="s">
        <v>19304</v>
      </c>
    </row>
    <row r="3043" spans="1:12" x14ac:dyDescent="0.25">
      <c r="A3043">
        <v>580351</v>
      </c>
      <c r="B3043">
        <v>580361</v>
      </c>
      <c r="D3043">
        <v>1</v>
      </c>
      <c r="F3043">
        <v>1586525</v>
      </c>
      <c r="G3043">
        <v>580351</v>
      </c>
      <c r="H3043" t="s">
        <v>1629</v>
      </c>
      <c r="I3043">
        <v>580361</v>
      </c>
      <c r="J3043" t="s">
        <v>1629</v>
      </c>
      <c r="K3043" t="s">
        <v>19311</v>
      </c>
      <c r="L3043" t="s">
        <v>1629</v>
      </c>
    </row>
    <row r="3044" spans="1:12" x14ac:dyDescent="0.25">
      <c r="A3044">
        <v>580351</v>
      </c>
      <c r="B3044">
        <v>621440</v>
      </c>
      <c r="D3044">
        <v>0</v>
      </c>
      <c r="E3044" t="s">
        <v>19313</v>
      </c>
      <c r="F3044" t="s">
        <v>19314</v>
      </c>
      <c r="G3044" t="s">
        <v>19315</v>
      </c>
      <c r="H3044" t="s">
        <v>19316</v>
      </c>
      <c r="I3044" t="s">
        <v>19317</v>
      </c>
      <c r="J3044" t="s">
        <v>19318</v>
      </c>
      <c r="K3044" t="s">
        <v>19319</v>
      </c>
      <c r="L3044" t="s">
        <v>19312</v>
      </c>
    </row>
    <row r="3045" spans="1:12" x14ac:dyDescent="0.25">
      <c r="A3045">
        <v>580361</v>
      </c>
      <c r="B3045">
        <v>623076</v>
      </c>
      <c r="D3045">
        <v>0</v>
      </c>
      <c r="E3045" t="s">
        <v>19321</v>
      </c>
      <c r="F3045" t="s">
        <v>19322</v>
      </c>
      <c r="G3045" t="s">
        <v>19323</v>
      </c>
      <c r="H3045" t="e" vm="1342">
        <f>_FV(0,"01709738349881908")</f>
        <v>#VALUE!</v>
      </c>
      <c r="I3045" t="s">
        <v>19324</v>
      </c>
      <c r="J3045" t="s">
        <v>19325</v>
      </c>
      <c r="K3045" t="s">
        <v>19326</v>
      </c>
      <c r="L3045" t="s">
        <v>19320</v>
      </c>
    </row>
    <row r="3046" spans="1:12" x14ac:dyDescent="0.25">
      <c r="A3046">
        <v>580361</v>
      </c>
      <c r="B3046">
        <v>580405</v>
      </c>
      <c r="D3046">
        <v>0</v>
      </c>
      <c r="E3046" t="s">
        <v>19328</v>
      </c>
      <c r="F3046" t="s">
        <v>19329</v>
      </c>
      <c r="G3046" t="s">
        <v>19330</v>
      </c>
      <c r="H3046" t="e" vm="1343">
        <f>_FV(0,"04059084890979525")</f>
        <v>#VALUE!</v>
      </c>
      <c r="I3046" t="s">
        <v>19331</v>
      </c>
      <c r="J3046" t="s">
        <v>19332</v>
      </c>
      <c r="K3046" t="s">
        <v>19333</v>
      </c>
      <c r="L3046" t="s">
        <v>19327</v>
      </c>
    </row>
    <row r="3047" spans="1:12" x14ac:dyDescent="0.25">
      <c r="A3047">
        <v>580405</v>
      </c>
      <c r="B3047">
        <v>580411</v>
      </c>
      <c r="D3047">
        <v>1</v>
      </c>
      <c r="F3047">
        <v>1586565</v>
      </c>
      <c r="G3047">
        <v>580405</v>
      </c>
      <c r="H3047" t="s">
        <v>30</v>
      </c>
      <c r="I3047">
        <v>580411</v>
      </c>
      <c r="J3047" t="s">
        <v>30</v>
      </c>
      <c r="K3047" t="s">
        <v>19334</v>
      </c>
      <c r="L3047" t="s">
        <v>30</v>
      </c>
    </row>
    <row r="3048" spans="1:12" x14ac:dyDescent="0.25">
      <c r="A3048">
        <v>580405</v>
      </c>
      <c r="B3048">
        <v>623083</v>
      </c>
      <c r="D3048">
        <v>0</v>
      </c>
      <c r="E3048" t="s">
        <v>19336</v>
      </c>
      <c r="F3048" t="s">
        <v>19337</v>
      </c>
      <c r="G3048" t="s">
        <v>19338</v>
      </c>
      <c r="H3048" t="e" vm="1344">
        <f>_FV(0,"024784711022972562")</f>
        <v>#VALUE!</v>
      </c>
      <c r="I3048" t="s">
        <v>19339</v>
      </c>
      <c r="J3048" t="s">
        <v>19340</v>
      </c>
      <c r="K3048" t="s">
        <v>19341</v>
      </c>
      <c r="L3048" t="s">
        <v>19335</v>
      </c>
    </row>
    <row r="3049" spans="1:12" x14ac:dyDescent="0.25">
      <c r="A3049">
        <v>580411</v>
      </c>
      <c r="B3049">
        <v>621454</v>
      </c>
      <c r="D3049">
        <v>0</v>
      </c>
      <c r="E3049" t="s">
        <v>19343</v>
      </c>
      <c r="F3049" t="s">
        <v>19344</v>
      </c>
      <c r="G3049" t="s">
        <v>19345</v>
      </c>
      <c r="H3049" t="s">
        <v>19346</v>
      </c>
      <c r="I3049" t="s">
        <v>19347</v>
      </c>
      <c r="J3049" t="s">
        <v>19348</v>
      </c>
      <c r="K3049" t="s">
        <v>19349</v>
      </c>
      <c r="L3049" t="s">
        <v>19342</v>
      </c>
    </row>
    <row r="3050" spans="1:12" x14ac:dyDescent="0.25">
      <c r="A3050">
        <v>580470</v>
      </c>
      <c r="B3050">
        <v>1592206</v>
      </c>
      <c r="D3050">
        <v>0</v>
      </c>
      <c r="F3050">
        <v>2154560</v>
      </c>
      <c r="G3050">
        <v>1592206</v>
      </c>
      <c r="H3050" t="s">
        <v>3194</v>
      </c>
      <c r="I3050">
        <v>580470</v>
      </c>
      <c r="J3050" t="s">
        <v>3194</v>
      </c>
      <c r="K3050" t="s">
        <v>19350</v>
      </c>
      <c r="L3050" t="s">
        <v>3194</v>
      </c>
    </row>
    <row r="3051" spans="1:12" x14ac:dyDescent="0.25">
      <c r="A3051">
        <v>580470</v>
      </c>
      <c r="B3051">
        <v>955573</v>
      </c>
      <c r="D3051" t="s">
        <v>9879</v>
      </c>
      <c r="E3051" t="s">
        <v>19352</v>
      </c>
      <c r="F3051" t="s">
        <v>19353</v>
      </c>
      <c r="G3051" t="s">
        <v>19354</v>
      </c>
      <c r="H3051" t="e" vm="1345">
        <f>_FV(0,"01737532087767235")</f>
        <v>#VALUE!</v>
      </c>
      <c r="I3051" t="s">
        <v>19355</v>
      </c>
      <c r="J3051" t="s">
        <v>19356</v>
      </c>
      <c r="K3051" t="s">
        <v>19357</v>
      </c>
      <c r="L3051" t="s">
        <v>19351</v>
      </c>
    </row>
    <row r="3052" spans="1:12" x14ac:dyDescent="0.25">
      <c r="A3052">
        <v>580470</v>
      </c>
      <c r="B3052">
        <v>1797154</v>
      </c>
      <c r="D3052">
        <v>0</v>
      </c>
      <c r="F3052">
        <v>2154552</v>
      </c>
      <c r="G3052">
        <v>580470</v>
      </c>
      <c r="H3052" t="e" vm="1346">
        <f>_FV(0,"292")</f>
        <v>#VALUE!</v>
      </c>
      <c r="I3052">
        <v>1797154</v>
      </c>
      <c r="J3052" t="s">
        <v>19358</v>
      </c>
      <c r="K3052" t="s">
        <v>19359</v>
      </c>
      <c r="L3052" t="e" vm="1346">
        <f>_FV(0,"292")</f>
        <v>#VALUE!</v>
      </c>
    </row>
    <row r="3053" spans="1:12" x14ac:dyDescent="0.25">
      <c r="A3053">
        <v>580543</v>
      </c>
      <c r="B3053">
        <v>673839</v>
      </c>
      <c r="D3053">
        <v>0</v>
      </c>
      <c r="E3053" t="s">
        <v>19361</v>
      </c>
      <c r="F3053" t="s">
        <v>19362</v>
      </c>
      <c r="G3053" t="s">
        <v>19363</v>
      </c>
      <c r="H3053" t="e" vm="1347">
        <f>_FV(0,"013978623931807072")</f>
        <v>#VALUE!</v>
      </c>
      <c r="I3053" t="s">
        <v>19364</v>
      </c>
      <c r="J3053" t="s">
        <v>19365</v>
      </c>
      <c r="K3053" t="s">
        <v>19366</v>
      </c>
      <c r="L3053" t="s">
        <v>19360</v>
      </c>
    </row>
    <row r="3054" spans="1:12" x14ac:dyDescent="0.25">
      <c r="A3054">
        <v>580543</v>
      </c>
      <c r="B3054">
        <v>580544</v>
      </c>
      <c r="D3054" t="s">
        <v>204</v>
      </c>
      <c r="E3054" t="s">
        <v>19368</v>
      </c>
      <c r="F3054" t="s">
        <v>19369</v>
      </c>
      <c r="G3054" t="s">
        <v>19370</v>
      </c>
      <c r="H3054" t="s">
        <v>19371</v>
      </c>
      <c r="I3054" t="s">
        <v>19372</v>
      </c>
      <c r="J3054" t="s">
        <v>19373</v>
      </c>
      <c r="K3054" t="s">
        <v>19374</v>
      </c>
      <c r="L3054" t="s">
        <v>19367</v>
      </c>
    </row>
    <row r="3055" spans="1:12" x14ac:dyDescent="0.25">
      <c r="A3055">
        <v>580544</v>
      </c>
      <c r="B3055">
        <v>621637</v>
      </c>
      <c r="D3055">
        <v>0</v>
      </c>
      <c r="E3055" t="s">
        <v>19376</v>
      </c>
      <c r="F3055" t="s">
        <v>19377</v>
      </c>
      <c r="G3055" t="s">
        <v>19378</v>
      </c>
      <c r="H3055" t="e" vm="1348">
        <f>_FV(0,"012513257840360819")</f>
        <v>#VALUE!</v>
      </c>
      <c r="I3055" t="s">
        <v>19379</v>
      </c>
      <c r="J3055" t="s">
        <v>19380</v>
      </c>
      <c r="K3055" t="s">
        <v>19381</v>
      </c>
      <c r="L3055" t="s">
        <v>19375</v>
      </c>
    </row>
    <row r="3056" spans="1:12" x14ac:dyDescent="0.25">
      <c r="A3056">
        <v>580626</v>
      </c>
      <c r="B3056">
        <v>623104</v>
      </c>
      <c r="D3056">
        <v>0</v>
      </c>
      <c r="E3056" t="s">
        <v>19383</v>
      </c>
      <c r="F3056" t="s">
        <v>19384</v>
      </c>
      <c r="G3056" t="s">
        <v>19385</v>
      </c>
      <c r="H3056" t="e" vm="1349">
        <f>_FV(0,"0423592834190709")</f>
        <v>#VALUE!</v>
      </c>
      <c r="I3056" t="s">
        <v>19386</v>
      </c>
      <c r="J3056" t="s">
        <v>19387</v>
      </c>
      <c r="K3056" t="s">
        <v>19388</v>
      </c>
      <c r="L3056" t="s">
        <v>19382</v>
      </c>
    </row>
    <row r="3057" spans="1:12" x14ac:dyDescent="0.25">
      <c r="A3057">
        <v>580657</v>
      </c>
      <c r="B3057">
        <v>580742</v>
      </c>
      <c r="D3057">
        <v>0</v>
      </c>
      <c r="F3057">
        <v>1570530</v>
      </c>
      <c r="G3057">
        <v>580657</v>
      </c>
      <c r="H3057" t="s">
        <v>3317</v>
      </c>
      <c r="I3057">
        <v>580742</v>
      </c>
      <c r="J3057" t="s">
        <v>3317</v>
      </c>
      <c r="K3057" t="s">
        <v>19389</v>
      </c>
      <c r="L3057" t="s">
        <v>3317</v>
      </c>
    </row>
    <row r="3058" spans="1:12" x14ac:dyDescent="0.25">
      <c r="A3058">
        <v>580657</v>
      </c>
      <c r="B3058">
        <v>621474</v>
      </c>
      <c r="D3058">
        <v>0</v>
      </c>
      <c r="E3058" t="s">
        <v>19391</v>
      </c>
      <c r="F3058" t="s">
        <v>19392</v>
      </c>
      <c r="G3058" t="s">
        <v>19393</v>
      </c>
      <c r="H3058" t="s">
        <v>19394</v>
      </c>
      <c r="I3058" t="s">
        <v>19395</v>
      </c>
      <c r="J3058" t="s">
        <v>19396</v>
      </c>
      <c r="K3058" t="s">
        <v>19397</v>
      </c>
      <c r="L3058" t="s">
        <v>19390</v>
      </c>
    </row>
    <row r="3059" spans="1:12" x14ac:dyDescent="0.25">
      <c r="A3059">
        <v>580665</v>
      </c>
      <c r="B3059">
        <v>580720</v>
      </c>
      <c r="D3059">
        <v>0</v>
      </c>
      <c r="F3059">
        <v>1570242</v>
      </c>
      <c r="G3059">
        <v>580720</v>
      </c>
      <c r="H3059" t="s">
        <v>187</v>
      </c>
      <c r="I3059">
        <v>580665</v>
      </c>
      <c r="J3059" t="s">
        <v>187</v>
      </c>
      <c r="K3059" t="s">
        <v>19398</v>
      </c>
      <c r="L3059" t="s">
        <v>187</v>
      </c>
    </row>
    <row r="3060" spans="1:12" x14ac:dyDescent="0.25">
      <c r="A3060">
        <v>580665</v>
      </c>
      <c r="B3060">
        <v>623121</v>
      </c>
      <c r="D3060">
        <v>0</v>
      </c>
      <c r="E3060" t="s">
        <v>19400</v>
      </c>
      <c r="F3060" t="s">
        <v>19401</v>
      </c>
      <c r="G3060" t="s">
        <v>19402</v>
      </c>
      <c r="H3060" t="e" vm="1350">
        <f>_FV(0,"030696519197572828")</f>
        <v>#VALUE!</v>
      </c>
      <c r="I3060" t="s">
        <v>19403</v>
      </c>
      <c r="J3060" t="s">
        <v>19404</v>
      </c>
      <c r="K3060" t="s">
        <v>19405</v>
      </c>
      <c r="L3060" t="s">
        <v>19399</v>
      </c>
    </row>
    <row r="3061" spans="1:12" x14ac:dyDescent="0.25">
      <c r="A3061">
        <v>580720</v>
      </c>
      <c r="B3061">
        <v>623126</v>
      </c>
      <c r="D3061">
        <v>0</v>
      </c>
      <c r="E3061" t="s">
        <v>19407</v>
      </c>
      <c r="F3061" t="s">
        <v>19408</v>
      </c>
      <c r="G3061" t="s">
        <v>19409</v>
      </c>
      <c r="H3061" t="s">
        <v>19410</v>
      </c>
      <c r="I3061" t="s">
        <v>19411</v>
      </c>
      <c r="J3061" t="s">
        <v>19406</v>
      </c>
      <c r="K3061" t="s">
        <v>19412</v>
      </c>
      <c r="L3061" t="s">
        <v>19406</v>
      </c>
    </row>
    <row r="3062" spans="1:12" x14ac:dyDescent="0.25">
      <c r="A3062">
        <v>580742</v>
      </c>
      <c r="B3062">
        <v>621503</v>
      </c>
      <c r="D3062">
        <v>0</v>
      </c>
      <c r="E3062" t="s">
        <v>19414</v>
      </c>
      <c r="F3062" t="s">
        <v>19415</v>
      </c>
      <c r="G3062" t="s">
        <v>19416</v>
      </c>
      <c r="H3062" t="e" vm="1351">
        <f>_FV(0,"012858350858910543")</f>
        <v>#VALUE!</v>
      </c>
      <c r="I3062" t="s">
        <v>19417</v>
      </c>
      <c r="J3062" t="s">
        <v>19418</v>
      </c>
      <c r="K3062" t="s">
        <v>19419</v>
      </c>
      <c r="L3062" t="s">
        <v>19413</v>
      </c>
    </row>
    <row r="3063" spans="1:12" x14ac:dyDescent="0.25">
      <c r="A3063">
        <v>580840</v>
      </c>
      <c r="B3063">
        <v>580841</v>
      </c>
      <c r="D3063">
        <v>0</v>
      </c>
      <c r="F3063">
        <v>573340</v>
      </c>
      <c r="G3063">
        <v>580841</v>
      </c>
      <c r="H3063" t="e" vm="1352">
        <f>_FV(0,"055")</f>
        <v>#VALUE!</v>
      </c>
      <c r="I3063">
        <v>580840</v>
      </c>
      <c r="J3063" t="s">
        <v>19420</v>
      </c>
      <c r="K3063" t="s">
        <v>19421</v>
      </c>
      <c r="L3063" t="e" vm="1352">
        <f>_FV(0,"055")</f>
        <v>#VALUE!</v>
      </c>
    </row>
    <row r="3064" spans="1:12" x14ac:dyDescent="0.25">
      <c r="A3064">
        <v>580840</v>
      </c>
      <c r="B3064">
        <v>949431</v>
      </c>
      <c r="D3064">
        <v>0</v>
      </c>
      <c r="E3064" t="s">
        <v>19423</v>
      </c>
      <c r="F3064" t="s">
        <v>19424</v>
      </c>
      <c r="G3064" t="s">
        <v>19425</v>
      </c>
      <c r="H3064" t="e" vm="1353">
        <f>_FV(0,"031024466193221082")</f>
        <v>#VALUE!</v>
      </c>
      <c r="I3064" t="s">
        <v>19426</v>
      </c>
      <c r="J3064" t="s">
        <v>19427</v>
      </c>
      <c r="K3064" t="s">
        <v>19428</v>
      </c>
      <c r="L3064" t="s">
        <v>19422</v>
      </c>
    </row>
    <row r="3065" spans="1:12" x14ac:dyDescent="0.25">
      <c r="A3065">
        <v>580840</v>
      </c>
      <c r="B3065">
        <v>949588</v>
      </c>
      <c r="D3065">
        <v>0</v>
      </c>
      <c r="E3065" t="s">
        <v>19430</v>
      </c>
      <c r="F3065" t="s">
        <v>19431</v>
      </c>
      <c r="G3065" t="s">
        <v>19432</v>
      </c>
      <c r="H3065" t="e" vm="1354">
        <f>_FV(0,"06720137303819598")</f>
        <v>#VALUE!</v>
      </c>
      <c r="I3065" t="s">
        <v>19433</v>
      </c>
      <c r="J3065" t="s">
        <v>19434</v>
      </c>
      <c r="K3065" t="s">
        <v>19435</v>
      </c>
      <c r="L3065" t="s">
        <v>19429</v>
      </c>
    </row>
    <row r="3066" spans="1:12" x14ac:dyDescent="0.25">
      <c r="A3066">
        <v>580841</v>
      </c>
      <c r="B3066">
        <v>575553</v>
      </c>
      <c r="D3066">
        <v>0</v>
      </c>
      <c r="E3066" t="s">
        <v>19437</v>
      </c>
      <c r="F3066" t="s">
        <v>19438</v>
      </c>
      <c r="G3066" t="s">
        <v>19439</v>
      </c>
      <c r="H3066" t="e" vm="1355">
        <f>_FV(0,"05873364433690237")</f>
        <v>#VALUE!</v>
      </c>
      <c r="I3066" t="s">
        <v>19440</v>
      </c>
      <c r="J3066" t="s">
        <v>19441</v>
      </c>
      <c r="K3066" t="s">
        <v>19442</v>
      </c>
      <c r="L3066" t="s">
        <v>19436</v>
      </c>
    </row>
    <row r="3067" spans="1:12" x14ac:dyDescent="0.25">
      <c r="A3067">
        <v>580841</v>
      </c>
      <c r="B3067">
        <v>580886</v>
      </c>
      <c r="D3067">
        <v>0</v>
      </c>
      <c r="E3067" t="s">
        <v>19444</v>
      </c>
      <c r="F3067" t="s">
        <v>19445</v>
      </c>
      <c r="G3067" t="s">
        <v>19446</v>
      </c>
      <c r="H3067" t="s">
        <v>19447</v>
      </c>
      <c r="I3067" t="s">
        <v>19448</v>
      </c>
      <c r="J3067" t="s">
        <v>19449</v>
      </c>
      <c r="K3067" t="s">
        <v>19450</v>
      </c>
      <c r="L3067" t="s">
        <v>19443</v>
      </c>
    </row>
    <row r="3068" spans="1:12" x14ac:dyDescent="0.25">
      <c r="A3068">
        <v>581002</v>
      </c>
      <c r="B3068">
        <v>581026</v>
      </c>
      <c r="D3068">
        <v>0</v>
      </c>
      <c r="E3068" t="s">
        <v>19452</v>
      </c>
      <c r="F3068" t="s">
        <v>19453</v>
      </c>
      <c r="G3068" t="s">
        <v>19454</v>
      </c>
      <c r="H3068" t="e" vm="1356">
        <f>_FV(0,"32598939498593765")</f>
        <v>#VALUE!</v>
      </c>
      <c r="I3068" t="s">
        <v>19455</v>
      </c>
      <c r="J3068" t="s">
        <v>19456</v>
      </c>
      <c r="K3068" t="s">
        <v>19457</v>
      </c>
      <c r="L3068" t="s">
        <v>19451</v>
      </c>
    </row>
    <row r="3069" spans="1:12" x14ac:dyDescent="0.25">
      <c r="A3069">
        <v>581002</v>
      </c>
      <c r="B3069">
        <v>1277697</v>
      </c>
      <c r="D3069">
        <v>0</v>
      </c>
      <c r="E3069" t="s">
        <v>19459</v>
      </c>
      <c r="F3069" t="s">
        <v>19460</v>
      </c>
      <c r="G3069" t="s">
        <v>19461</v>
      </c>
      <c r="H3069" t="s">
        <v>19462</v>
      </c>
      <c r="I3069" t="s">
        <v>19463</v>
      </c>
      <c r="J3069" t="s">
        <v>19464</v>
      </c>
      <c r="K3069" t="s">
        <v>19465</v>
      </c>
      <c r="L3069" t="s">
        <v>19458</v>
      </c>
    </row>
    <row r="3070" spans="1:12" x14ac:dyDescent="0.25">
      <c r="A3070">
        <v>581002</v>
      </c>
      <c r="B3070">
        <v>622137</v>
      </c>
      <c r="D3070">
        <v>0</v>
      </c>
      <c r="E3070" t="s">
        <v>19467</v>
      </c>
      <c r="F3070" t="s">
        <v>19468</v>
      </c>
      <c r="G3070" t="s">
        <v>19469</v>
      </c>
      <c r="H3070" t="s">
        <v>19470</v>
      </c>
      <c r="I3070" t="s">
        <v>19471</v>
      </c>
      <c r="J3070" t="s">
        <v>19472</v>
      </c>
      <c r="K3070" t="s">
        <v>19473</v>
      </c>
      <c r="L3070" t="s">
        <v>19466</v>
      </c>
    </row>
    <row r="3071" spans="1:12" x14ac:dyDescent="0.25">
      <c r="A3071">
        <v>581026</v>
      </c>
      <c r="B3071">
        <v>581033</v>
      </c>
      <c r="D3071">
        <v>0</v>
      </c>
      <c r="F3071">
        <v>573573</v>
      </c>
      <c r="G3071">
        <v>581033</v>
      </c>
      <c r="H3071" t="e" vm="1357">
        <f>_FV(0,"268")</f>
        <v>#VALUE!</v>
      </c>
      <c r="I3071">
        <v>581026</v>
      </c>
      <c r="J3071" t="s">
        <v>19474</v>
      </c>
      <c r="K3071" t="s">
        <v>19475</v>
      </c>
      <c r="L3071" t="e" vm="1357">
        <f>_FV(0,"268")</f>
        <v>#VALUE!</v>
      </c>
    </row>
    <row r="3072" spans="1:12" x14ac:dyDescent="0.25">
      <c r="A3072">
        <v>581026</v>
      </c>
      <c r="B3072">
        <v>623219</v>
      </c>
      <c r="D3072">
        <v>0</v>
      </c>
      <c r="E3072" t="s">
        <v>19477</v>
      </c>
      <c r="F3072" t="s">
        <v>19478</v>
      </c>
      <c r="G3072" t="s">
        <v>19479</v>
      </c>
      <c r="H3072" t="e" vm="1358">
        <f>_FV(0,"022103515921989995")</f>
        <v>#VALUE!</v>
      </c>
      <c r="I3072" t="s">
        <v>19480</v>
      </c>
      <c r="J3072" t="s">
        <v>19481</v>
      </c>
      <c r="K3072" t="s">
        <v>19482</v>
      </c>
      <c r="L3072" t="s">
        <v>19476</v>
      </c>
    </row>
    <row r="3073" spans="1:12" x14ac:dyDescent="0.25">
      <c r="A3073">
        <v>581033</v>
      </c>
      <c r="B3073">
        <v>581046</v>
      </c>
      <c r="D3073">
        <v>0</v>
      </c>
      <c r="E3073" t="s">
        <v>19484</v>
      </c>
      <c r="F3073" t="s">
        <v>19485</v>
      </c>
      <c r="G3073" t="s">
        <v>19486</v>
      </c>
      <c r="H3073" t="e" vm="1359">
        <f>_FV(0,"23458632065408228")</f>
        <v>#VALUE!</v>
      </c>
      <c r="I3073" t="s">
        <v>19487</v>
      </c>
      <c r="J3073" t="s">
        <v>19488</v>
      </c>
      <c r="K3073" t="s">
        <v>19489</v>
      </c>
      <c r="L3073" t="s">
        <v>19483</v>
      </c>
    </row>
    <row r="3074" spans="1:12" x14ac:dyDescent="0.25">
      <c r="A3074">
        <v>581033</v>
      </c>
      <c r="B3074">
        <v>581070</v>
      </c>
      <c r="D3074">
        <v>0</v>
      </c>
      <c r="E3074" t="s">
        <v>19491</v>
      </c>
      <c r="F3074" t="s">
        <v>19492</v>
      </c>
      <c r="G3074" t="s">
        <v>19493</v>
      </c>
      <c r="H3074" t="e" vm="1360">
        <f>_FV(0,"012032555642367368")</f>
        <v>#VALUE!</v>
      </c>
      <c r="I3074" t="s">
        <v>19494</v>
      </c>
      <c r="J3074" t="s">
        <v>19495</v>
      </c>
      <c r="K3074" t="s">
        <v>19496</v>
      </c>
      <c r="L3074" t="s">
        <v>19490</v>
      </c>
    </row>
    <row r="3075" spans="1:12" x14ac:dyDescent="0.25">
      <c r="A3075">
        <v>581046</v>
      </c>
      <c r="B3075">
        <v>581052</v>
      </c>
      <c r="D3075">
        <v>0</v>
      </c>
      <c r="E3075" t="s">
        <v>19498</v>
      </c>
      <c r="F3075" t="s">
        <v>19499</v>
      </c>
      <c r="G3075" t="s">
        <v>19500</v>
      </c>
      <c r="H3075" t="e" vm="1361">
        <f>_FV(0,"05470822226533282")</f>
        <v>#VALUE!</v>
      </c>
      <c r="I3075" t="s">
        <v>19501</v>
      </c>
      <c r="J3075" t="s">
        <v>19502</v>
      </c>
      <c r="K3075" t="s">
        <v>19503</v>
      </c>
      <c r="L3075" t="s">
        <v>19497</v>
      </c>
    </row>
    <row r="3076" spans="1:12" x14ac:dyDescent="0.25">
      <c r="A3076">
        <v>581046</v>
      </c>
      <c r="B3076">
        <v>581070</v>
      </c>
      <c r="D3076">
        <v>0</v>
      </c>
      <c r="E3076" t="s">
        <v>19505</v>
      </c>
      <c r="F3076" t="s">
        <v>19506</v>
      </c>
      <c r="G3076" t="s">
        <v>19507</v>
      </c>
      <c r="H3076" t="s">
        <v>19508</v>
      </c>
      <c r="I3076" t="s">
        <v>19509</v>
      </c>
      <c r="J3076" t="s">
        <v>19504</v>
      </c>
      <c r="K3076" t="s">
        <v>19510</v>
      </c>
      <c r="L3076" t="s">
        <v>19504</v>
      </c>
    </row>
    <row r="3077" spans="1:12" x14ac:dyDescent="0.25">
      <c r="A3077">
        <v>581052</v>
      </c>
      <c r="B3077">
        <v>774913</v>
      </c>
      <c r="D3077" t="s">
        <v>10069</v>
      </c>
      <c r="E3077" t="s">
        <v>19512</v>
      </c>
      <c r="F3077" t="s">
        <v>19513</v>
      </c>
      <c r="G3077" t="s">
        <v>19514</v>
      </c>
      <c r="H3077" t="e" vm="1362">
        <f>_FV(0,"023203166078551125")</f>
        <v>#VALUE!</v>
      </c>
      <c r="I3077" t="s">
        <v>19515</v>
      </c>
      <c r="J3077" t="s">
        <v>19516</v>
      </c>
      <c r="K3077" t="s">
        <v>19517</v>
      </c>
      <c r="L3077" t="s">
        <v>19511</v>
      </c>
    </row>
    <row r="3078" spans="1:12" x14ac:dyDescent="0.25">
      <c r="A3078">
        <v>581052</v>
      </c>
      <c r="B3078">
        <v>775023</v>
      </c>
      <c r="D3078" t="s">
        <v>257</v>
      </c>
      <c r="E3078" t="s">
        <v>19519</v>
      </c>
      <c r="F3078" t="s">
        <v>19520</v>
      </c>
      <c r="G3078" t="s">
        <v>19521</v>
      </c>
      <c r="H3078" t="e" vm="1363">
        <f>_FV(0,"025861492162571973")</f>
        <v>#VALUE!</v>
      </c>
      <c r="I3078" t="s">
        <v>19522</v>
      </c>
      <c r="J3078" t="s">
        <v>19523</v>
      </c>
      <c r="K3078" t="s">
        <v>19524</v>
      </c>
      <c r="L3078" t="s">
        <v>19518</v>
      </c>
    </row>
    <row r="3079" spans="1:12" x14ac:dyDescent="0.25">
      <c r="A3079">
        <v>581070</v>
      </c>
      <c r="B3079">
        <v>623212</v>
      </c>
      <c r="D3079">
        <v>0</v>
      </c>
      <c r="E3079" t="s">
        <v>19526</v>
      </c>
      <c r="F3079" t="s">
        <v>19527</v>
      </c>
      <c r="G3079" t="s">
        <v>19528</v>
      </c>
      <c r="H3079" t="s">
        <v>19529</v>
      </c>
      <c r="I3079" t="s">
        <v>19530</v>
      </c>
      <c r="J3079" t="s">
        <v>19531</v>
      </c>
      <c r="K3079" t="s">
        <v>19532</v>
      </c>
      <c r="L3079" t="s">
        <v>19525</v>
      </c>
    </row>
    <row r="3080" spans="1:12" x14ac:dyDescent="0.25">
      <c r="A3080">
        <v>581371</v>
      </c>
      <c r="B3080">
        <v>581380</v>
      </c>
      <c r="D3080">
        <v>0</v>
      </c>
      <c r="F3080">
        <v>573982</v>
      </c>
      <c r="G3080">
        <v>581380</v>
      </c>
      <c r="H3080" t="s">
        <v>2916</v>
      </c>
      <c r="I3080">
        <v>581371</v>
      </c>
      <c r="J3080" t="s">
        <v>2916</v>
      </c>
      <c r="K3080" t="s">
        <v>19533</v>
      </c>
      <c r="L3080" t="s">
        <v>2916</v>
      </c>
    </row>
    <row r="3081" spans="1:12" x14ac:dyDescent="0.25">
      <c r="A3081">
        <v>581371</v>
      </c>
      <c r="B3081">
        <v>581434</v>
      </c>
      <c r="D3081">
        <v>0</v>
      </c>
      <c r="E3081" t="s">
        <v>19535</v>
      </c>
      <c r="F3081" t="s">
        <v>19536</v>
      </c>
      <c r="G3081" t="s">
        <v>19537</v>
      </c>
      <c r="H3081" t="e" vm="1364">
        <f>_FV(0,"011396158797867496")</f>
        <v>#VALUE!</v>
      </c>
      <c r="I3081" t="s">
        <v>19538</v>
      </c>
      <c r="J3081" t="s">
        <v>19539</v>
      </c>
      <c r="K3081" t="s">
        <v>19540</v>
      </c>
      <c r="L3081" t="s">
        <v>19534</v>
      </c>
    </row>
    <row r="3082" spans="1:12" x14ac:dyDescent="0.25">
      <c r="A3082">
        <v>581371</v>
      </c>
      <c r="B3082">
        <v>656745</v>
      </c>
      <c r="D3082" t="s">
        <v>10257</v>
      </c>
      <c r="E3082" t="s">
        <v>19542</v>
      </c>
      <c r="F3082" t="s">
        <v>19543</v>
      </c>
      <c r="G3082" t="s">
        <v>19544</v>
      </c>
      <c r="H3082" t="e" vm="1365">
        <f>_FV(0,"015648271712651016")</f>
        <v>#VALUE!</v>
      </c>
      <c r="I3082" t="s">
        <v>19545</v>
      </c>
      <c r="J3082" t="s">
        <v>19546</v>
      </c>
      <c r="K3082" t="s">
        <v>19547</v>
      </c>
      <c r="L3082" t="s">
        <v>19541</v>
      </c>
    </row>
    <row r="3083" spans="1:12" x14ac:dyDescent="0.25">
      <c r="A3083">
        <v>581380</v>
      </c>
      <c r="B3083">
        <v>581434</v>
      </c>
      <c r="D3083" t="s">
        <v>2793</v>
      </c>
      <c r="E3083" t="s">
        <v>19549</v>
      </c>
      <c r="F3083" t="s">
        <v>19550</v>
      </c>
      <c r="G3083" t="s">
        <v>19551</v>
      </c>
      <c r="H3083" t="s">
        <v>19552</v>
      </c>
      <c r="I3083" t="s">
        <v>19553</v>
      </c>
      <c r="J3083" t="s">
        <v>19554</v>
      </c>
      <c r="K3083" t="s">
        <v>19555</v>
      </c>
      <c r="L3083" t="s">
        <v>19548</v>
      </c>
    </row>
    <row r="3084" spans="1:12" x14ac:dyDescent="0.25">
      <c r="A3084">
        <v>581380</v>
      </c>
      <c r="B3084">
        <v>581441</v>
      </c>
      <c r="D3084">
        <v>0</v>
      </c>
      <c r="E3084" t="s">
        <v>19557</v>
      </c>
      <c r="F3084" t="s">
        <v>19558</v>
      </c>
      <c r="G3084" t="s">
        <v>19559</v>
      </c>
      <c r="H3084" t="s">
        <v>19560</v>
      </c>
      <c r="I3084" t="s">
        <v>19561</v>
      </c>
      <c r="J3084" t="s">
        <v>19562</v>
      </c>
      <c r="K3084" t="s">
        <v>19563</v>
      </c>
      <c r="L3084" t="s">
        <v>19556</v>
      </c>
    </row>
    <row r="3085" spans="1:12" x14ac:dyDescent="0.25">
      <c r="A3085">
        <v>581434</v>
      </c>
      <c r="B3085">
        <v>581441</v>
      </c>
      <c r="D3085">
        <v>0</v>
      </c>
      <c r="F3085">
        <v>574042</v>
      </c>
      <c r="G3085">
        <v>581441</v>
      </c>
      <c r="H3085" t="s">
        <v>194</v>
      </c>
      <c r="I3085">
        <v>581434</v>
      </c>
      <c r="J3085" t="s">
        <v>194</v>
      </c>
      <c r="K3085" t="s">
        <v>19564</v>
      </c>
      <c r="L3085" t="s">
        <v>194</v>
      </c>
    </row>
    <row r="3086" spans="1:12" x14ac:dyDescent="0.25">
      <c r="A3086">
        <v>581441</v>
      </c>
      <c r="B3086">
        <v>581535</v>
      </c>
      <c r="C3086" t="s">
        <v>19566</v>
      </c>
      <c r="D3086" t="s">
        <v>2494</v>
      </c>
      <c r="E3086" t="s">
        <v>19567</v>
      </c>
      <c r="F3086" t="s">
        <v>19568</v>
      </c>
      <c r="G3086" t="s">
        <v>19569</v>
      </c>
      <c r="H3086" t="e" vm="1366">
        <f>_FV(0,"0014323616132170512")</f>
        <v>#VALUE!</v>
      </c>
      <c r="I3086" t="s">
        <v>19570</v>
      </c>
      <c r="J3086" t="s">
        <v>19571</v>
      </c>
      <c r="K3086" t="s">
        <v>19572</v>
      </c>
      <c r="L3086" t="s">
        <v>19565</v>
      </c>
    </row>
    <row r="3087" spans="1:12" x14ac:dyDescent="0.25">
      <c r="A3087">
        <v>581535</v>
      </c>
      <c r="B3087">
        <v>581536</v>
      </c>
      <c r="D3087">
        <v>0</v>
      </c>
      <c r="F3087">
        <v>574137</v>
      </c>
      <c r="G3087">
        <v>581536</v>
      </c>
      <c r="H3087" t="s">
        <v>1939</v>
      </c>
      <c r="I3087">
        <v>581535</v>
      </c>
      <c r="J3087" t="s">
        <v>1939</v>
      </c>
      <c r="K3087" t="s">
        <v>19573</v>
      </c>
      <c r="L3087" t="s">
        <v>1939</v>
      </c>
    </row>
    <row r="3088" spans="1:12" x14ac:dyDescent="0.25">
      <c r="A3088">
        <v>581535</v>
      </c>
      <c r="B3088">
        <v>581563</v>
      </c>
      <c r="D3088">
        <v>0</v>
      </c>
      <c r="E3088" t="s">
        <v>19575</v>
      </c>
      <c r="F3088" t="s">
        <v>19576</v>
      </c>
      <c r="G3088" t="s">
        <v>19577</v>
      </c>
      <c r="H3088" t="e" vm="1367">
        <f>_FV(0,"003613806079435753")</f>
        <v>#VALUE!</v>
      </c>
      <c r="I3088" t="s">
        <v>19578</v>
      </c>
      <c r="J3088" t="s">
        <v>19579</v>
      </c>
      <c r="K3088" t="s">
        <v>19580</v>
      </c>
      <c r="L3088" t="s">
        <v>19574</v>
      </c>
    </row>
    <row r="3089" spans="1:12" x14ac:dyDescent="0.25">
      <c r="A3089">
        <v>581536</v>
      </c>
      <c r="B3089">
        <v>581563</v>
      </c>
      <c r="D3089">
        <v>0</v>
      </c>
      <c r="E3089" t="s">
        <v>19582</v>
      </c>
      <c r="F3089" t="s">
        <v>19583</v>
      </c>
      <c r="G3089" t="s">
        <v>19584</v>
      </c>
      <c r="H3089" t="s">
        <v>19585</v>
      </c>
      <c r="I3089" t="s">
        <v>19586</v>
      </c>
      <c r="J3089" t="s">
        <v>1518</v>
      </c>
      <c r="K3089" t="s">
        <v>19587</v>
      </c>
      <c r="L3089" t="s">
        <v>19581</v>
      </c>
    </row>
    <row r="3090" spans="1:12" x14ac:dyDescent="0.25">
      <c r="A3090">
        <v>581536</v>
      </c>
      <c r="B3090">
        <v>581565</v>
      </c>
      <c r="D3090">
        <v>0</v>
      </c>
      <c r="E3090" t="s">
        <v>19589</v>
      </c>
      <c r="F3090" t="s">
        <v>19590</v>
      </c>
      <c r="G3090" t="s">
        <v>19591</v>
      </c>
      <c r="H3090" t="s">
        <v>19592</v>
      </c>
      <c r="I3090" t="s">
        <v>19593</v>
      </c>
      <c r="J3090" t="s">
        <v>19594</v>
      </c>
      <c r="K3090" t="s">
        <v>19595</v>
      </c>
      <c r="L3090" t="s">
        <v>19588</v>
      </c>
    </row>
    <row r="3091" spans="1:12" x14ac:dyDescent="0.25">
      <c r="A3091">
        <v>581563</v>
      </c>
      <c r="B3091">
        <v>581565</v>
      </c>
      <c r="D3091">
        <v>0</v>
      </c>
      <c r="E3091" t="s">
        <v>19597</v>
      </c>
      <c r="F3091" t="s">
        <v>19598</v>
      </c>
      <c r="G3091" t="s">
        <v>19599</v>
      </c>
      <c r="H3091" t="s">
        <v>19600</v>
      </c>
      <c r="I3091" t="s">
        <v>19601</v>
      </c>
      <c r="J3091" t="s">
        <v>19596</v>
      </c>
      <c r="K3091" t="s">
        <v>19602</v>
      </c>
      <c r="L3091" t="s">
        <v>19596</v>
      </c>
    </row>
    <row r="3092" spans="1:12" x14ac:dyDescent="0.25">
      <c r="A3092">
        <v>581565</v>
      </c>
      <c r="B3092">
        <v>581625</v>
      </c>
      <c r="C3092" t="s">
        <v>19604</v>
      </c>
      <c r="D3092">
        <v>0</v>
      </c>
      <c r="E3092" t="s">
        <v>19605</v>
      </c>
      <c r="F3092" t="s">
        <v>19606</v>
      </c>
      <c r="G3092" t="s">
        <v>19607</v>
      </c>
      <c r="H3092" t="s">
        <v>19608</v>
      </c>
      <c r="I3092" t="s">
        <v>19609</v>
      </c>
      <c r="J3092" t="s">
        <v>19610</v>
      </c>
      <c r="K3092" t="s">
        <v>19611</v>
      </c>
      <c r="L3092" t="s">
        <v>19603</v>
      </c>
    </row>
    <row r="3093" spans="1:12" x14ac:dyDescent="0.25">
      <c r="A3093">
        <v>581625</v>
      </c>
      <c r="B3093">
        <v>581633</v>
      </c>
      <c r="D3093" t="s">
        <v>1119</v>
      </c>
      <c r="E3093" t="s">
        <v>19613</v>
      </c>
      <c r="F3093" t="s">
        <v>19614</v>
      </c>
      <c r="G3093" t="s">
        <v>19615</v>
      </c>
      <c r="H3093" t="e" vm="1368">
        <f>_FV(0,"06856704160837795")</f>
        <v>#VALUE!</v>
      </c>
      <c r="I3093" t="s">
        <v>19616</v>
      </c>
      <c r="J3093" t="s">
        <v>19617</v>
      </c>
      <c r="K3093" t="s">
        <v>19618</v>
      </c>
      <c r="L3093" t="s">
        <v>19612</v>
      </c>
    </row>
    <row r="3094" spans="1:12" x14ac:dyDescent="0.25">
      <c r="A3094">
        <v>581625</v>
      </c>
      <c r="B3094">
        <v>581659</v>
      </c>
      <c r="D3094" t="s">
        <v>19620</v>
      </c>
      <c r="E3094" t="s">
        <v>19621</v>
      </c>
      <c r="F3094" t="s">
        <v>19622</v>
      </c>
      <c r="G3094" t="s">
        <v>19623</v>
      </c>
      <c r="H3094" t="s">
        <v>19624</v>
      </c>
      <c r="I3094" t="s">
        <v>19625</v>
      </c>
      <c r="J3094" t="s">
        <v>19626</v>
      </c>
      <c r="K3094" t="s">
        <v>19627</v>
      </c>
      <c r="L3094" t="s">
        <v>19619</v>
      </c>
    </row>
    <row r="3095" spans="1:12" x14ac:dyDescent="0.25">
      <c r="A3095">
        <v>581633</v>
      </c>
      <c r="B3095">
        <v>581659</v>
      </c>
      <c r="D3095" t="s">
        <v>8940</v>
      </c>
      <c r="E3095" t="s">
        <v>19629</v>
      </c>
      <c r="F3095" t="s">
        <v>19630</v>
      </c>
      <c r="G3095" t="s">
        <v>19631</v>
      </c>
      <c r="H3095" t="s">
        <v>19632</v>
      </c>
      <c r="I3095" t="s">
        <v>19633</v>
      </c>
      <c r="J3095" t="s">
        <v>19634</v>
      </c>
      <c r="K3095" t="s">
        <v>19635</v>
      </c>
      <c r="L3095" t="s">
        <v>19628</v>
      </c>
    </row>
    <row r="3096" spans="1:12" x14ac:dyDescent="0.25">
      <c r="A3096">
        <v>581633</v>
      </c>
      <c r="B3096">
        <v>581698</v>
      </c>
      <c r="D3096" t="s">
        <v>19620</v>
      </c>
      <c r="E3096" t="s">
        <v>19637</v>
      </c>
      <c r="F3096" t="s">
        <v>19638</v>
      </c>
      <c r="G3096" t="s">
        <v>19639</v>
      </c>
      <c r="H3096" t="s">
        <v>19640</v>
      </c>
      <c r="I3096" t="s">
        <v>19641</v>
      </c>
      <c r="J3096" t="s">
        <v>19642</v>
      </c>
      <c r="K3096" t="s">
        <v>19643</v>
      </c>
      <c r="L3096" t="s">
        <v>19636</v>
      </c>
    </row>
    <row r="3097" spans="1:12" x14ac:dyDescent="0.25">
      <c r="A3097">
        <v>581659</v>
      </c>
      <c r="B3097">
        <v>581698</v>
      </c>
      <c r="D3097" t="s">
        <v>12317</v>
      </c>
      <c r="E3097" t="s">
        <v>19645</v>
      </c>
      <c r="F3097" t="s">
        <v>19646</v>
      </c>
      <c r="G3097" t="s">
        <v>19647</v>
      </c>
      <c r="H3097" t="s">
        <v>19648</v>
      </c>
      <c r="I3097" t="s">
        <v>19649</v>
      </c>
      <c r="J3097" t="s">
        <v>19650</v>
      </c>
      <c r="K3097" t="s">
        <v>19651</v>
      </c>
      <c r="L3097" t="s">
        <v>19644</v>
      </c>
    </row>
    <row r="3098" spans="1:12" x14ac:dyDescent="0.25">
      <c r="A3098">
        <v>581698</v>
      </c>
      <c r="B3098">
        <v>581806</v>
      </c>
      <c r="C3098" t="s">
        <v>19653</v>
      </c>
      <c r="D3098" t="s">
        <v>19654</v>
      </c>
      <c r="E3098" t="s">
        <v>19655</v>
      </c>
      <c r="F3098" t="s">
        <v>19656</v>
      </c>
      <c r="G3098" t="s">
        <v>19657</v>
      </c>
      <c r="H3098" t="e" vm="1369">
        <f>_FV(0,"005054514092154554")</f>
        <v>#VALUE!</v>
      </c>
      <c r="I3098" t="s">
        <v>19658</v>
      </c>
      <c r="J3098" t="s">
        <v>19659</v>
      </c>
      <c r="K3098" t="s">
        <v>19660</v>
      </c>
      <c r="L3098" t="s">
        <v>19652</v>
      </c>
    </row>
    <row r="3099" spans="1:12" x14ac:dyDescent="0.25">
      <c r="A3099">
        <v>581806</v>
      </c>
      <c r="B3099">
        <v>581811</v>
      </c>
      <c r="D3099" t="s">
        <v>1119</v>
      </c>
      <c r="E3099" t="s">
        <v>19661</v>
      </c>
      <c r="F3099" t="s">
        <v>19662</v>
      </c>
      <c r="G3099" t="s">
        <v>19663</v>
      </c>
      <c r="H3099" t="e" vm="1370">
        <f>_FV(0,"03276642584697033")</f>
        <v>#VALUE!</v>
      </c>
      <c r="I3099" t="s">
        <v>19664</v>
      </c>
      <c r="J3099" t="s">
        <v>1417</v>
      </c>
      <c r="K3099" t="s">
        <v>19665</v>
      </c>
      <c r="L3099" t="s">
        <v>1412</v>
      </c>
    </row>
    <row r="3100" spans="1:12" x14ac:dyDescent="0.25">
      <c r="A3100">
        <v>581806</v>
      </c>
      <c r="B3100">
        <v>581825</v>
      </c>
      <c r="D3100" t="s">
        <v>16334</v>
      </c>
      <c r="E3100" t="s">
        <v>19667</v>
      </c>
      <c r="F3100" t="s">
        <v>19668</v>
      </c>
      <c r="G3100" t="s">
        <v>19669</v>
      </c>
      <c r="H3100" t="e" vm="1371">
        <f>_FV(0,"017227010771585442")</f>
        <v>#VALUE!</v>
      </c>
      <c r="I3100" t="s">
        <v>19670</v>
      </c>
      <c r="J3100" t="s">
        <v>19671</v>
      </c>
      <c r="K3100" t="s">
        <v>19672</v>
      </c>
      <c r="L3100" t="s">
        <v>19666</v>
      </c>
    </row>
    <row r="3101" spans="1:12" x14ac:dyDescent="0.25">
      <c r="A3101">
        <v>581811</v>
      </c>
      <c r="B3101">
        <v>581825</v>
      </c>
      <c r="D3101" t="s">
        <v>1839</v>
      </c>
      <c r="E3101" t="s">
        <v>19674</v>
      </c>
      <c r="F3101" t="s">
        <v>19675</v>
      </c>
      <c r="G3101" t="s">
        <v>19676</v>
      </c>
      <c r="H3101" t="s">
        <v>19677</v>
      </c>
      <c r="I3101" t="s">
        <v>19678</v>
      </c>
      <c r="J3101" t="s">
        <v>19673</v>
      </c>
      <c r="K3101" t="s">
        <v>19679</v>
      </c>
      <c r="L3101" t="s">
        <v>19673</v>
      </c>
    </row>
    <row r="3102" spans="1:12" x14ac:dyDescent="0.25">
      <c r="A3102">
        <v>581811</v>
      </c>
      <c r="B3102">
        <v>581827</v>
      </c>
      <c r="D3102" t="s">
        <v>19681</v>
      </c>
      <c r="E3102" t="s">
        <v>19682</v>
      </c>
      <c r="F3102" t="s">
        <v>19683</v>
      </c>
      <c r="G3102" t="s">
        <v>19684</v>
      </c>
      <c r="H3102" t="s">
        <v>19685</v>
      </c>
      <c r="I3102" t="s">
        <v>19686</v>
      </c>
      <c r="J3102" t="s">
        <v>19687</v>
      </c>
      <c r="K3102" t="s">
        <v>19688</v>
      </c>
      <c r="L3102" t="s">
        <v>19680</v>
      </c>
    </row>
    <row r="3103" spans="1:12" x14ac:dyDescent="0.25">
      <c r="A3103">
        <v>581825</v>
      </c>
      <c r="B3103">
        <v>581827</v>
      </c>
      <c r="D3103">
        <v>0</v>
      </c>
      <c r="F3103">
        <v>574426</v>
      </c>
      <c r="G3103">
        <v>581827</v>
      </c>
      <c r="H3103" t="s">
        <v>8057</v>
      </c>
      <c r="I3103">
        <v>581825</v>
      </c>
      <c r="J3103" t="s">
        <v>8057</v>
      </c>
      <c r="K3103" t="s">
        <v>19689</v>
      </c>
      <c r="L3103" t="s">
        <v>8057</v>
      </c>
    </row>
    <row r="3104" spans="1:12" x14ac:dyDescent="0.25">
      <c r="A3104">
        <v>581827</v>
      </c>
      <c r="B3104">
        <v>582037</v>
      </c>
      <c r="C3104" t="s">
        <v>19691</v>
      </c>
      <c r="D3104" t="s">
        <v>19692</v>
      </c>
      <c r="E3104" t="s">
        <v>19693</v>
      </c>
      <c r="F3104" t="s">
        <v>19694</v>
      </c>
      <c r="G3104" t="s">
        <v>19695</v>
      </c>
      <c r="H3104" t="e" vm="1372">
        <f>_FV(0,"0004688218840596102")</f>
        <v>#VALUE!</v>
      </c>
      <c r="I3104" t="s">
        <v>19696</v>
      </c>
      <c r="J3104" t="s">
        <v>19697</v>
      </c>
      <c r="K3104" t="s">
        <v>19698</v>
      </c>
      <c r="L3104" t="s">
        <v>19690</v>
      </c>
    </row>
    <row r="3105" spans="1:12" x14ac:dyDescent="0.25">
      <c r="A3105">
        <v>582037</v>
      </c>
      <c r="B3105">
        <v>583692</v>
      </c>
      <c r="D3105">
        <v>0</v>
      </c>
      <c r="F3105">
        <v>599561</v>
      </c>
      <c r="G3105">
        <v>583692</v>
      </c>
      <c r="H3105" t="s">
        <v>250</v>
      </c>
      <c r="I3105">
        <v>582037</v>
      </c>
      <c r="J3105" t="s">
        <v>250</v>
      </c>
      <c r="K3105" t="s">
        <v>19699</v>
      </c>
      <c r="L3105" t="s">
        <v>250</v>
      </c>
    </row>
    <row r="3106" spans="1:12" x14ac:dyDescent="0.25">
      <c r="A3106">
        <v>582037</v>
      </c>
      <c r="B3106">
        <v>571077</v>
      </c>
      <c r="D3106">
        <v>0</v>
      </c>
      <c r="E3106" t="s">
        <v>19701</v>
      </c>
      <c r="F3106" t="s">
        <v>19702</v>
      </c>
      <c r="G3106" t="s">
        <v>19703</v>
      </c>
      <c r="H3106" t="e" vm="1373">
        <f>_FV(0,"009919790365429247")</f>
        <v>#VALUE!</v>
      </c>
      <c r="I3106" t="s">
        <v>19704</v>
      </c>
      <c r="J3106" t="s">
        <v>19705</v>
      </c>
      <c r="K3106" t="s">
        <v>19706</v>
      </c>
      <c r="L3106" t="s">
        <v>19700</v>
      </c>
    </row>
    <row r="3107" spans="1:12" x14ac:dyDescent="0.25">
      <c r="A3107">
        <v>583670</v>
      </c>
      <c r="B3107">
        <v>583729</v>
      </c>
      <c r="D3107">
        <v>0</v>
      </c>
      <c r="F3107">
        <v>576553</v>
      </c>
      <c r="G3107">
        <v>583729</v>
      </c>
      <c r="H3107" t="e" vm="1374">
        <f>_FV(0,"173")</f>
        <v>#VALUE!</v>
      </c>
      <c r="I3107">
        <v>583670</v>
      </c>
      <c r="J3107" t="s">
        <v>19707</v>
      </c>
      <c r="K3107" t="s">
        <v>19708</v>
      </c>
      <c r="L3107" t="e" vm="1374">
        <f>_FV(0,"173")</f>
        <v>#VALUE!</v>
      </c>
    </row>
    <row r="3108" spans="1:12" x14ac:dyDescent="0.25">
      <c r="A3108">
        <v>583670</v>
      </c>
      <c r="B3108">
        <v>583692</v>
      </c>
      <c r="D3108">
        <v>0</v>
      </c>
      <c r="E3108" t="s">
        <v>19710</v>
      </c>
      <c r="F3108" t="s">
        <v>19711</v>
      </c>
      <c r="G3108" t="s">
        <v>19712</v>
      </c>
      <c r="H3108" t="s">
        <v>19713</v>
      </c>
      <c r="I3108" t="s">
        <v>19714</v>
      </c>
      <c r="J3108" t="s">
        <v>19715</v>
      </c>
      <c r="K3108" t="s">
        <v>19716</v>
      </c>
      <c r="L3108" t="s">
        <v>19709</v>
      </c>
    </row>
    <row r="3109" spans="1:12" x14ac:dyDescent="0.25">
      <c r="A3109">
        <v>583670</v>
      </c>
      <c r="B3109">
        <v>583704</v>
      </c>
      <c r="D3109">
        <v>0</v>
      </c>
      <c r="E3109" t="s">
        <v>19718</v>
      </c>
      <c r="F3109" t="s">
        <v>19719</v>
      </c>
      <c r="G3109" t="s">
        <v>19720</v>
      </c>
      <c r="H3109" t="s">
        <v>19721</v>
      </c>
      <c r="I3109" t="s">
        <v>19722</v>
      </c>
      <c r="J3109" t="s">
        <v>19717</v>
      </c>
      <c r="K3109" t="s">
        <v>19723</v>
      </c>
      <c r="L3109" t="s">
        <v>19717</v>
      </c>
    </row>
    <row r="3110" spans="1:12" x14ac:dyDescent="0.25">
      <c r="A3110">
        <v>583692</v>
      </c>
      <c r="B3110">
        <v>583704</v>
      </c>
      <c r="D3110" t="s">
        <v>330</v>
      </c>
      <c r="E3110" t="s">
        <v>19725</v>
      </c>
      <c r="F3110" t="s">
        <v>19726</v>
      </c>
      <c r="G3110" t="s">
        <v>19727</v>
      </c>
      <c r="H3110" t="e" vm="1375">
        <f>_FV(0,"02462375535438545")</f>
        <v>#VALUE!</v>
      </c>
      <c r="I3110" t="s">
        <v>19728</v>
      </c>
      <c r="J3110" t="s">
        <v>19729</v>
      </c>
      <c r="K3110" t="s">
        <v>19730</v>
      </c>
      <c r="L3110" t="s">
        <v>19724</v>
      </c>
    </row>
    <row r="3111" spans="1:12" x14ac:dyDescent="0.25">
      <c r="A3111">
        <v>583704</v>
      </c>
      <c r="B3111">
        <v>583768</v>
      </c>
      <c r="D3111">
        <v>0</v>
      </c>
      <c r="F3111">
        <v>599601</v>
      </c>
      <c r="G3111">
        <v>583768</v>
      </c>
      <c r="H3111" t="s">
        <v>4848</v>
      </c>
      <c r="I3111">
        <v>583704</v>
      </c>
      <c r="J3111" t="s">
        <v>4848</v>
      </c>
      <c r="K3111" t="s">
        <v>19731</v>
      </c>
      <c r="L3111" t="s">
        <v>4848</v>
      </c>
    </row>
    <row r="3112" spans="1:12" x14ac:dyDescent="0.25">
      <c r="A3112">
        <v>583729</v>
      </c>
      <c r="B3112">
        <v>571102</v>
      </c>
      <c r="D3112">
        <v>0</v>
      </c>
      <c r="E3112" t="s">
        <v>19733</v>
      </c>
      <c r="F3112" t="s">
        <v>19734</v>
      </c>
      <c r="G3112" t="s">
        <v>19735</v>
      </c>
      <c r="H3112" t="e" vm="1376">
        <f>_FV(0,"15772330035037924")</f>
        <v>#VALUE!</v>
      </c>
      <c r="I3112" t="s">
        <v>19736</v>
      </c>
      <c r="J3112" t="s">
        <v>19737</v>
      </c>
      <c r="K3112" t="s">
        <v>19738</v>
      </c>
      <c r="L3112" t="s">
        <v>19732</v>
      </c>
    </row>
    <row r="3113" spans="1:12" x14ac:dyDescent="0.25">
      <c r="A3113">
        <v>583729</v>
      </c>
      <c r="B3113">
        <v>583768</v>
      </c>
      <c r="D3113">
        <v>0</v>
      </c>
      <c r="E3113" t="s">
        <v>19740</v>
      </c>
      <c r="F3113" t="s">
        <v>19741</v>
      </c>
      <c r="G3113" t="s">
        <v>19742</v>
      </c>
      <c r="H3113" t="e" vm="1377">
        <f>_FV(0,"0035164174230138566")</f>
        <v>#VALUE!</v>
      </c>
      <c r="I3113" t="s">
        <v>19743</v>
      </c>
      <c r="J3113" t="s">
        <v>19744</v>
      </c>
      <c r="K3113" t="s">
        <v>19745</v>
      </c>
      <c r="L3113" t="s">
        <v>19739</v>
      </c>
    </row>
    <row r="3114" spans="1:12" x14ac:dyDescent="0.25">
      <c r="A3114">
        <v>583768</v>
      </c>
      <c r="B3114">
        <v>602423</v>
      </c>
      <c r="D3114" t="s">
        <v>12940</v>
      </c>
      <c r="E3114" t="s">
        <v>19747</v>
      </c>
      <c r="F3114" t="s">
        <v>19748</v>
      </c>
      <c r="G3114" t="s">
        <v>19749</v>
      </c>
      <c r="H3114" t="e" vm="1378">
        <f>_FV(0,"0048186682185946215")</f>
        <v>#VALUE!</v>
      </c>
      <c r="I3114" t="s">
        <v>19750</v>
      </c>
      <c r="J3114" t="s">
        <v>19751</v>
      </c>
      <c r="K3114" t="s">
        <v>19752</v>
      </c>
      <c r="L3114" t="s">
        <v>19746</v>
      </c>
    </row>
    <row r="3115" spans="1:12" x14ac:dyDescent="0.25">
      <c r="A3115">
        <v>587711</v>
      </c>
      <c r="B3115">
        <v>960488</v>
      </c>
      <c r="D3115" t="s">
        <v>19754</v>
      </c>
      <c r="E3115" t="s">
        <v>19755</v>
      </c>
      <c r="F3115" t="s">
        <v>19756</v>
      </c>
      <c r="G3115" t="s">
        <v>19757</v>
      </c>
      <c r="H3115" t="e" vm="1379">
        <f>_FV(0,"0004522580093628927")</f>
        <v>#VALUE!</v>
      </c>
      <c r="I3115" t="s">
        <v>19758</v>
      </c>
      <c r="J3115" t="s">
        <v>19759</v>
      </c>
      <c r="K3115" t="s">
        <v>19760</v>
      </c>
      <c r="L3115" t="s">
        <v>19753</v>
      </c>
    </row>
    <row r="3116" spans="1:12" x14ac:dyDescent="0.25">
      <c r="A3116">
        <v>587711</v>
      </c>
      <c r="B3116">
        <v>1854889</v>
      </c>
      <c r="D3116">
        <v>0</v>
      </c>
      <c r="E3116" t="s">
        <v>19761</v>
      </c>
      <c r="H3116" t="s">
        <v>187</v>
      </c>
      <c r="J3116">
        <v>0</v>
      </c>
      <c r="K3116" t="s">
        <v>19762</v>
      </c>
      <c r="L3116">
        <v>0</v>
      </c>
    </row>
    <row r="3117" spans="1:12" x14ac:dyDescent="0.25">
      <c r="A3117">
        <v>590963</v>
      </c>
      <c r="B3117">
        <v>651465</v>
      </c>
      <c r="D3117">
        <v>0</v>
      </c>
      <c r="E3117" t="s">
        <v>19764</v>
      </c>
      <c r="F3117" t="s">
        <v>19765</v>
      </c>
      <c r="G3117" t="s">
        <v>19766</v>
      </c>
      <c r="H3117" t="s">
        <v>19767</v>
      </c>
      <c r="I3117" t="s">
        <v>19768</v>
      </c>
      <c r="J3117" t="s">
        <v>19763</v>
      </c>
      <c r="K3117" t="s">
        <v>19769</v>
      </c>
      <c r="L3117" t="s">
        <v>19763</v>
      </c>
    </row>
    <row r="3118" spans="1:12" x14ac:dyDescent="0.25">
      <c r="A3118">
        <v>590963</v>
      </c>
      <c r="B3118">
        <v>651532</v>
      </c>
      <c r="D3118">
        <v>0</v>
      </c>
      <c r="E3118" t="s">
        <v>19771</v>
      </c>
      <c r="F3118" t="s">
        <v>19772</v>
      </c>
      <c r="G3118" t="s">
        <v>19773</v>
      </c>
      <c r="H3118" t="s">
        <v>19774</v>
      </c>
      <c r="I3118" t="s">
        <v>19775</v>
      </c>
      <c r="J3118" t="s">
        <v>19770</v>
      </c>
      <c r="K3118" t="s">
        <v>19776</v>
      </c>
      <c r="L3118" t="s">
        <v>19770</v>
      </c>
    </row>
    <row r="3119" spans="1:12" x14ac:dyDescent="0.25">
      <c r="A3119">
        <v>590963</v>
      </c>
      <c r="B3119">
        <v>652520</v>
      </c>
      <c r="D3119" t="s">
        <v>18083</v>
      </c>
      <c r="E3119" t="s">
        <v>19778</v>
      </c>
      <c r="F3119" t="s">
        <v>19779</v>
      </c>
      <c r="G3119" t="s">
        <v>19780</v>
      </c>
      <c r="H3119" t="s">
        <v>19781</v>
      </c>
      <c r="I3119" t="s">
        <v>19782</v>
      </c>
      <c r="J3119" t="s">
        <v>19783</v>
      </c>
      <c r="K3119" t="s">
        <v>19784</v>
      </c>
      <c r="L3119" t="s">
        <v>19777</v>
      </c>
    </row>
    <row r="3120" spans="1:12" x14ac:dyDescent="0.25">
      <c r="A3120">
        <v>591378</v>
      </c>
      <c r="B3120">
        <v>591394</v>
      </c>
      <c r="D3120">
        <v>0</v>
      </c>
      <c r="E3120" t="s">
        <v>19786</v>
      </c>
      <c r="F3120" t="s">
        <v>19787</v>
      </c>
      <c r="G3120" t="s">
        <v>19788</v>
      </c>
      <c r="H3120" t="s">
        <v>19789</v>
      </c>
      <c r="I3120" t="s">
        <v>19790</v>
      </c>
      <c r="J3120" t="s">
        <v>19785</v>
      </c>
      <c r="K3120" t="s">
        <v>19791</v>
      </c>
      <c r="L3120" t="s">
        <v>19785</v>
      </c>
    </row>
    <row r="3121" spans="1:12" x14ac:dyDescent="0.25">
      <c r="A3121">
        <v>591378</v>
      </c>
      <c r="B3121">
        <v>591556</v>
      </c>
      <c r="D3121">
        <v>0</v>
      </c>
      <c r="E3121" t="s">
        <v>19793</v>
      </c>
      <c r="F3121" t="s">
        <v>19794</v>
      </c>
      <c r="G3121" t="s">
        <v>19795</v>
      </c>
      <c r="H3121" t="e" vm="1380">
        <f>_FV(0,"07464727885799531")</f>
        <v>#VALUE!</v>
      </c>
      <c r="I3121" t="s">
        <v>19796</v>
      </c>
      <c r="J3121" t="s">
        <v>19797</v>
      </c>
      <c r="K3121" t="s">
        <v>19798</v>
      </c>
      <c r="L3121" t="s">
        <v>19792</v>
      </c>
    </row>
    <row r="3122" spans="1:12" x14ac:dyDescent="0.25">
      <c r="A3122">
        <v>591378</v>
      </c>
      <c r="B3122">
        <v>591402</v>
      </c>
      <c r="D3122">
        <v>0</v>
      </c>
      <c r="E3122" t="s">
        <v>19800</v>
      </c>
      <c r="F3122" t="s">
        <v>19801</v>
      </c>
      <c r="G3122" t="s">
        <v>19802</v>
      </c>
      <c r="H3122" t="e" vm="1381">
        <f>_FV(0,"06260170453890658")</f>
        <v>#VALUE!</v>
      </c>
      <c r="I3122" t="s">
        <v>19803</v>
      </c>
      <c r="J3122" t="s">
        <v>19804</v>
      </c>
      <c r="K3122" t="s">
        <v>19805</v>
      </c>
      <c r="L3122" t="s">
        <v>19799</v>
      </c>
    </row>
    <row r="3123" spans="1:12" x14ac:dyDescent="0.25">
      <c r="A3123">
        <v>591394</v>
      </c>
      <c r="B3123">
        <v>591402</v>
      </c>
      <c r="D3123">
        <v>0</v>
      </c>
      <c r="F3123">
        <v>585708</v>
      </c>
      <c r="G3123">
        <v>591402</v>
      </c>
      <c r="H3123" t="s">
        <v>19806</v>
      </c>
      <c r="I3123">
        <v>591394</v>
      </c>
      <c r="J3123" t="s">
        <v>19806</v>
      </c>
      <c r="K3123" t="s">
        <v>19807</v>
      </c>
      <c r="L3123" t="s">
        <v>19806</v>
      </c>
    </row>
    <row r="3124" spans="1:12" x14ac:dyDescent="0.25">
      <c r="A3124">
        <v>591394</v>
      </c>
      <c r="B3124">
        <v>591556</v>
      </c>
      <c r="D3124">
        <v>0</v>
      </c>
      <c r="E3124" t="s">
        <v>19809</v>
      </c>
      <c r="F3124" t="s">
        <v>19810</v>
      </c>
      <c r="G3124" t="s">
        <v>19811</v>
      </c>
      <c r="H3124" t="e" vm="1382">
        <f>_FV(0,"12186176794567709")</f>
        <v>#VALUE!</v>
      </c>
      <c r="I3124" t="s">
        <v>19812</v>
      </c>
      <c r="J3124" t="s">
        <v>19813</v>
      </c>
      <c r="K3124" t="s">
        <v>19814</v>
      </c>
      <c r="L3124" t="s">
        <v>19808</v>
      </c>
    </row>
    <row r="3125" spans="1:12" x14ac:dyDescent="0.25">
      <c r="A3125">
        <v>591402</v>
      </c>
      <c r="B3125">
        <v>1457801</v>
      </c>
      <c r="D3125">
        <v>0</v>
      </c>
      <c r="E3125" t="s">
        <v>19816</v>
      </c>
      <c r="F3125" t="s">
        <v>19817</v>
      </c>
      <c r="G3125" t="s">
        <v>19818</v>
      </c>
      <c r="H3125" t="e" vm="1383">
        <f>_FV(0,"013089990414810017")</f>
        <v>#VALUE!</v>
      </c>
      <c r="I3125" t="s">
        <v>19819</v>
      </c>
      <c r="J3125" t="s">
        <v>19820</v>
      </c>
      <c r="K3125" t="s">
        <v>19821</v>
      </c>
      <c r="L3125" t="s">
        <v>19815</v>
      </c>
    </row>
    <row r="3126" spans="1:12" x14ac:dyDescent="0.25">
      <c r="A3126">
        <v>591438</v>
      </c>
      <c r="B3126">
        <v>591465</v>
      </c>
      <c r="D3126">
        <v>0</v>
      </c>
      <c r="E3126" t="s">
        <v>19823</v>
      </c>
      <c r="F3126" t="s">
        <v>19824</v>
      </c>
      <c r="G3126" t="s">
        <v>19825</v>
      </c>
      <c r="H3126" t="e" vm="1384">
        <f>_FV(0,"1429442352830259")</f>
        <v>#VALUE!</v>
      </c>
      <c r="I3126" t="s">
        <v>19826</v>
      </c>
      <c r="J3126" t="s">
        <v>19827</v>
      </c>
      <c r="K3126" t="s">
        <v>19828</v>
      </c>
      <c r="L3126" t="s">
        <v>19822</v>
      </c>
    </row>
    <row r="3127" spans="1:12" x14ac:dyDescent="0.25">
      <c r="A3127">
        <v>591438</v>
      </c>
      <c r="B3127">
        <v>591471</v>
      </c>
      <c r="D3127">
        <v>0</v>
      </c>
      <c r="E3127" t="s">
        <v>19830</v>
      </c>
      <c r="F3127" t="s">
        <v>19831</v>
      </c>
      <c r="G3127" t="s">
        <v>19832</v>
      </c>
      <c r="H3127" t="s">
        <v>19833</v>
      </c>
      <c r="I3127" t="s">
        <v>19834</v>
      </c>
      <c r="J3127" t="s">
        <v>19829</v>
      </c>
      <c r="K3127" t="s">
        <v>19835</v>
      </c>
      <c r="L3127" t="s">
        <v>19829</v>
      </c>
    </row>
    <row r="3128" spans="1:12" x14ac:dyDescent="0.25">
      <c r="A3128">
        <v>591438</v>
      </c>
      <c r="B3128">
        <v>1457715</v>
      </c>
      <c r="D3128">
        <v>0</v>
      </c>
      <c r="E3128" t="s">
        <v>19837</v>
      </c>
      <c r="F3128" t="s">
        <v>19838</v>
      </c>
      <c r="G3128" t="s">
        <v>19839</v>
      </c>
      <c r="H3128" t="s">
        <v>19840</v>
      </c>
      <c r="I3128" t="s">
        <v>19841</v>
      </c>
      <c r="J3128" t="s">
        <v>19836</v>
      </c>
      <c r="K3128" t="s">
        <v>19842</v>
      </c>
      <c r="L3128" t="s">
        <v>19836</v>
      </c>
    </row>
    <row r="3129" spans="1:12" x14ac:dyDescent="0.25">
      <c r="A3129">
        <v>591465</v>
      </c>
      <c r="B3129">
        <v>591471</v>
      </c>
      <c r="D3129">
        <v>0</v>
      </c>
      <c r="F3129">
        <v>585788</v>
      </c>
      <c r="G3129">
        <v>591471</v>
      </c>
      <c r="H3129" t="s">
        <v>19843</v>
      </c>
      <c r="I3129">
        <v>591465</v>
      </c>
      <c r="J3129" t="s">
        <v>19843</v>
      </c>
      <c r="K3129" t="s">
        <v>19844</v>
      </c>
      <c r="L3129" t="s">
        <v>19843</v>
      </c>
    </row>
    <row r="3130" spans="1:12" x14ac:dyDescent="0.25">
      <c r="A3130">
        <v>591465</v>
      </c>
      <c r="B3130">
        <v>1457814</v>
      </c>
      <c r="D3130">
        <v>0</v>
      </c>
      <c r="E3130" t="s">
        <v>19846</v>
      </c>
      <c r="F3130" t="s">
        <v>19847</v>
      </c>
      <c r="G3130" t="s">
        <v>19848</v>
      </c>
      <c r="H3130" t="s">
        <v>19849</v>
      </c>
      <c r="I3130" t="s">
        <v>19850</v>
      </c>
      <c r="J3130" t="s">
        <v>19851</v>
      </c>
      <c r="K3130" t="s">
        <v>19852</v>
      </c>
      <c r="L3130" t="s">
        <v>19845</v>
      </c>
    </row>
    <row r="3131" spans="1:12" x14ac:dyDescent="0.25">
      <c r="A3131">
        <v>591471</v>
      </c>
      <c r="B3131">
        <v>1457715</v>
      </c>
      <c r="D3131">
        <v>0</v>
      </c>
      <c r="E3131" t="s">
        <v>19854</v>
      </c>
      <c r="F3131" t="s">
        <v>19855</v>
      </c>
      <c r="G3131" t="s">
        <v>19856</v>
      </c>
      <c r="H3131" t="s">
        <v>19857</v>
      </c>
      <c r="I3131" t="s">
        <v>19858</v>
      </c>
      <c r="J3131" t="s">
        <v>19859</v>
      </c>
      <c r="K3131" t="s">
        <v>19860</v>
      </c>
      <c r="L3131" t="s">
        <v>19853</v>
      </c>
    </row>
    <row r="3132" spans="1:12" x14ac:dyDescent="0.25">
      <c r="A3132">
        <v>591487</v>
      </c>
      <c r="B3132">
        <v>591488</v>
      </c>
      <c r="D3132">
        <v>0</v>
      </c>
      <c r="F3132">
        <v>585812</v>
      </c>
      <c r="G3132">
        <v>591488</v>
      </c>
      <c r="H3132" t="s">
        <v>5410</v>
      </c>
      <c r="I3132">
        <v>591487</v>
      </c>
      <c r="J3132" t="s">
        <v>5410</v>
      </c>
      <c r="K3132" t="s">
        <v>19861</v>
      </c>
      <c r="L3132" t="s">
        <v>5410</v>
      </c>
    </row>
    <row r="3133" spans="1:12" x14ac:dyDescent="0.25">
      <c r="A3133">
        <v>591487</v>
      </c>
      <c r="B3133">
        <v>1110008</v>
      </c>
      <c r="D3133" t="s">
        <v>715</v>
      </c>
      <c r="E3133" t="s">
        <v>19863</v>
      </c>
      <c r="F3133" t="s">
        <v>19864</v>
      </c>
      <c r="G3133" t="s">
        <v>19865</v>
      </c>
      <c r="H3133" t="s">
        <v>19866</v>
      </c>
      <c r="I3133" t="s">
        <v>19867</v>
      </c>
      <c r="J3133" t="s">
        <v>19862</v>
      </c>
      <c r="K3133" t="s">
        <v>19868</v>
      </c>
      <c r="L3133" t="s">
        <v>19862</v>
      </c>
    </row>
    <row r="3134" spans="1:12" x14ac:dyDescent="0.25">
      <c r="A3134">
        <v>591487</v>
      </c>
      <c r="B3134">
        <v>1110064</v>
      </c>
      <c r="D3134">
        <v>0</v>
      </c>
      <c r="E3134" t="s">
        <v>19870</v>
      </c>
      <c r="F3134" t="s">
        <v>19871</v>
      </c>
      <c r="G3134" t="s">
        <v>19872</v>
      </c>
      <c r="H3134" t="s">
        <v>19873</v>
      </c>
      <c r="I3134" t="s">
        <v>19874</v>
      </c>
      <c r="J3134" t="s">
        <v>19869</v>
      </c>
      <c r="K3134" t="s">
        <v>19875</v>
      </c>
      <c r="L3134" t="s">
        <v>19869</v>
      </c>
    </row>
    <row r="3135" spans="1:12" x14ac:dyDescent="0.25">
      <c r="A3135">
        <v>591487</v>
      </c>
      <c r="B3135">
        <v>1457875</v>
      </c>
      <c r="D3135">
        <v>0</v>
      </c>
      <c r="F3135">
        <v>1630330</v>
      </c>
      <c r="G3135">
        <v>591487</v>
      </c>
      <c r="H3135" t="s">
        <v>1814</v>
      </c>
      <c r="I3135">
        <v>1457875</v>
      </c>
      <c r="J3135" t="s">
        <v>1814</v>
      </c>
      <c r="K3135" t="s">
        <v>19876</v>
      </c>
      <c r="L3135" t="s">
        <v>1814</v>
      </c>
    </row>
    <row r="3136" spans="1:12" x14ac:dyDescent="0.25">
      <c r="A3136">
        <v>591488</v>
      </c>
      <c r="B3136">
        <v>1457792</v>
      </c>
      <c r="D3136" t="s">
        <v>2793</v>
      </c>
      <c r="E3136" t="s">
        <v>19878</v>
      </c>
      <c r="F3136" t="s">
        <v>19879</v>
      </c>
      <c r="G3136" t="s">
        <v>19880</v>
      </c>
      <c r="H3136" t="s">
        <v>19881</v>
      </c>
      <c r="I3136" t="s">
        <v>19882</v>
      </c>
      <c r="J3136" t="s">
        <v>19883</v>
      </c>
      <c r="K3136" t="s">
        <v>19884</v>
      </c>
      <c r="L3136" t="s">
        <v>19877</v>
      </c>
    </row>
    <row r="3137" spans="1:12" x14ac:dyDescent="0.25">
      <c r="A3137">
        <v>591488</v>
      </c>
      <c r="B3137">
        <v>1300646</v>
      </c>
      <c r="D3137">
        <v>0</v>
      </c>
      <c r="E3137" t="s">
        <v>19886</v>
      </c>
      <c r="F3137" t="s">
        <v>19887</v>
      </c>
      <c r="G3137" t="s">
        <v>19888</v>
      </c>
      <c r="H3137" t="s">
        <v>19889</v>
      </c>
      <c r="I3137" t="s">
        <v>19890</v>
      </c>
      <c r="J3137" t="s">
        <v>19885</v>
      </c>
      <c r="K3137" t="s">
        <v>19891</v>
      </c>
      <c r="L3137" t="s">
        <v>19885</v>
      </c>
    </row>
    <row r="3138" spans="1:12" x14ac:dyDescent="0.25">
      <c r="A3138">
        <v>591512</v>
      </c>
      <c r="B3138">
        <v>1273578</v>
      </c>
      <c r="D3138">
        <v>0</v>
      </c>
      <c r="E3138" t="s">
        <v>19893</v>
      </c>
      <c r="F3138" t="s">
        <v>19894</v>
      </c>
      <c r="G3138" t="s">
        <v>19895</v>
      </c>
      <c r="H3138" t="e" vm="1385">
        <f>_FV(0,"05486295607056963")</f>
        <v>#VALUE!</v>
      </c>
      <c r="I3138" t="s">
        <v>19896</v>
      </c>
      <c r="J3138" t="s">
        <v>19897</v>
      </c>
      <c r="K3138" t="s">
        <v>19898</v>
      </c>
      <c r="L3138" t="s">
        <v>19892</v>
      </c>
    </row>
    <row r="3139" spans="1:12" x14ac:dyDescent="0.25">
      <c r="A3139">
        <v>591512</v>
      </c>
      <c r="B3139">
        <v>1164013</v>
      </c>
      <c r="D3139">
        <v>0</v>
      </c>
      <c r="E3139" t="s">
        <v>19900</v>
      </c>
      <c r="F3139" t="s">
        <v>19901</v>
      </c>
      <c r="G3139" t="s">
        <v>19902</v>
      </c>
      <c r="H3139" t="e" vm="1386">
        <f>_FV(0,"0504042033054887")</f>
        <v>#VALUE!</v>
      </c>
      <c r="I3139" t="s">
        <v>19903</v>
      </c>
      <c r="J3139" t="s">
        <v>19904</v>
      </c>
      <c r="K3139" t="s">
        <v>19905</v>
      </c>
      <c r="L3139" t="s">
        <v>19899</v>
      </c>
    </row>
    <row r="3140" spans="1:12" x14ac:dyDescent="0.25">
      <c r="A3140">
        <v>591556</v>
      </c>
      <c r="B3140">
        <v>1457715</v>
      </c>
      <c r="D3140">
        <v>0</v>
      </c>
      <c r="F3140">
        <v>1630101</v>
      </c>
      <c r="G3140">
        <v>1457715</v>
      </c>
      <c r="H3140" t="s">
        <v>170</v>
      </c>
      <c r="I3140">
        <v>591556</v>
      </c>
      <c r="J3140" t="s">
        <v>170</v>
      </c>
      <c r="K3140" t="s">
        <v>19906</v>
      </c>
      <c r="L3140" t="s">
        <v>170</v>
      </c>
    </row>
    <row r="3141" spans="1:12" x14ac:dyDescent="0.25">
      <c r="A3141">
        <v>591603</v>
      </c>
      <c r="B3141">
        <v>1273578</v>
      </c>
      <c r="D3141">
        <v>0</v>
      </c>
      <c r="E3141" t="s">
        <v>19908</v>
      </c>
      <c r="F3141" t="s">
        <v>19909</v>
      </c>
      <c r="G3141" t="s">
        <v>19910</v>
      </c>
      <c r="H3141" t="s">
        <v>19911</v>
      </c>
      <c r="I3141" t="s">
        <v>19912</v>
      </c>
      <c r="J3141" t="s">
        <v>19907</v>
      </c>
      <c r="K3141" t="s">
        <v>19913</v>
      </c>
      <c r="L3141" t="s">
        <v>19907</v>
      </c>
    </row>
    <row r="3142" spans="1:12" x14ac:dyDescent="0.25">
      <c r="A3142">
        <v>591643</v>
      </c>
      <c r="B3142">
        <v>1273494</v>
      </c>
      <c r="D3142">
        <v>0</v>
      </c>
      <c r="E3142" t="s">
        <v>19915</v>
      </c>
      <c r="F3142" t="s">
        <v>19916</v>
      </c>
      <c r="G3142" t="s">
        <v>19917</v>
      </c>
      <c r="H3142" t="s">
        <v>19918</v>
      </c>
      <c r="I3142" t="s">
        <v>19919</v>
      </c>
      <c r="J3142" t="s">
        <v>19914</v>
      </c>
      <c r="K3142" t="s">
        <v>19920</v>
      </c>
      <c r="L3142" t="s">
        <v>19914</v>
      </c>
    </row>
    <row r="3143" spans="1:12" x14ac:dyDescent="0.25">
      <c r="A3143">
        <v>591868</v>
      </c>
      <c r="B3143">
        <v>591875</v>
      </c>
      <c r="D3143">
        <v>0</v>
      </c>
      <c r="E3143" t="s">
        <v>19922</v>
      </c>
      <c r="F3143" t="s">
        <v>19923</v>
      </c>
      <c r="G3143" t="s">
        <v>19924</v>
      </c>
      <c r="H3143" t="s">
        <v>19925</v>
      </c>
      <c r="I3143" t="s">
        <v>19926</v>
      </c>
      <c r="J3143" t="s">
        <v>19921</v>
      </c>
      <c r="K3143" t="s">
        <v>19927</v>
      </c>
      <c r="L3143" t="s">
        <v>19921</v>
      </c>
    </row>
    <row r="3144" spans="1:12" x14ac:dyDescent="0.25">
      <c r="A3144">
        <v>591868</v>
      </c>
      <c r="B3144">
        <v>1531845</v>
      </c>
      <c r="D3144">
        <v>0</v>
      </c>
      <c r="E3144" t="s">
        <v>19929</v>
      </c>
      <c r="F3144" t="s">
        <v>19930</v>
      </c>
      <c r="G3144" t="s">
        <v>19931</v>
      </c>
      <c r="H3144" t="s">
        <v>19932</v>
      </c>
      <c r="I3144" t="s">
        <v>19933</v>
      </c>
      <c r="J3144" t="s">
        <v>19934</v>
      </c>
      <c r="K3144" t="s">
        <v>19935</v>
      </c>
      <c r="L3144" t="s">
        <v>19928</v>
      </c>
    </row>
    <row r="3145" spans="1:12" x14ac:dyDescent="0.25">
      <c r="A3145">
        <v>591868</v>
      </c>
      <c r="B3145">
        <v>1461773</v>
      </c>
      <c r="D3145">
        <v>0</v>
      </c>
      <c r="F3145">
        <v>2094476</v>
      </c>
      <c r="G3145">
        <v>591868</v>
      </c>
      <c r="H3145" t="e" vm="1387">
        <f>_FV(0,"148")</f>
        <v>#VALUE!</v>
      </c>
      <c r="I3145">
        <v>1461773</v>
      </c>
      <c r="J3145" t="s">
        <v>19936</v>
      </c>
      <c r="K3145" t="s">
        <v>19937</v>
      </c>
      <c r="L3145" t="e" vm="1387">
        <f>_FV(0,"148")</f>
        <v>#VALUE!</v>
      </c>
    </row>
    <row r="3146" spans="1:12" x14ac:dyDescent="0.25">
      <c r="A3146">
        <v>591875</v>
      </c>
      <c r="B3146">
        <v>591920</v>
      </c>
      <c r="D3146">
        <v>0</v>
      </c>
      <c r="F3146">
        <v>1638905</v>
      </c>
      <c r="G3146">
        <v>591920</v>
      </c>
      <c r="H3146" t="s">
        <v>239</v>
      </c>
      <c r="I3146">
        <v>591875</v>
      </c>
      <c r="J3146" t="s">
        <v>239</v>
      </c>
      <c r="K3146" t="s">
        <v>19938</v>
      </c>
      <c r="L3146" t="s">
        <v>239</v>
      </c>
    </row>
    <row r="3147" spans="1:12" x14ac:dyDescent="0.25">
      <c r="A3147">
        <v>591875</v>
      </c>
      <c r="B3147">
        <v>1531845</v>
      </c>
      <c r="D3147">
        <v>0</v>
      </c>
      <c r="E3147" t="s">
        <v>19939</v>
      </c>
      <c r="F3147" t="s">
        <v>19940</v>
      </c>
      <c r="G3147" t="s">
        <v>19941</v>
      </c>
      <c r="H3147" t="e" vm="1388">
        <f>_FV(0,"0015221003635398145")</f>
        <v>#VALUE!</v>
      </c>
      <c r="I3147" t="s">
        <v>19942</v>
      </c>
      <c r="J3147" t="s">
        <v>1438</v>
      </c>
      <c r="K3147" t="s">
        <v>19943</v>
      </c>
      <c r="L3147" t="s">
        <v>1433</v>
      </c>
    </row>
    <row r="3148" spans="1:12" x14ac:dyDescent="0.25">
      <c r="A3148">
        <v>591920</v>
      </c>
      <c r="B3148">
        <v>591925</v>
      </c>
      <c r="D3148">
        <v>0</v>
      </c>
      <c r="E3148" t="s">
        <v>19945</v>
      </c>
      <c r="F3148" t="s">
        <v>19946</v>
      </c>
      <c r="G3148" t="s">
        <v>19947</v>
      </c>
      <c r="H3148" t="e" vm="1389">
        <f>_FV(0,"006790614755750062")</f>
        <v>#VALUE!</v>
      </c>
      <c r="I3148" t="s">
        <v>19948</v>
      </c>
      <c r="J3148" t="s">
        <v>15434</v>
      </c>
      <c r="K3148" t="s">
        <v>19949</v>
      </c>
      <c r="L3148" t="s">
        <v>19944</v>
      </c>
    </row>
    <row r="3149" spans="1:12" x14ac:dyDescent="0.25">
      <c r="A3149">
        <v>591920</v>
      </c>
      <c r="B3149">
        <v>1531927</v>
      </c>
      <c r="D3149">
        <v>0</v>
      </c>
      <c r="E3149" t="s">
        <v>19950</v>
      </c>
      <c r="F3149" t="s">
        <v>19951</v>
      </c>
      <c r="G3149" t="s">
        <v>19952</v>
      </c>
      <c r="H3149" t="s">
        <v>19953</v>
      </c>
      <c r="I3149" t="s">
        <v>19954</v>
      </c>
      <c r="J3149" t="s">
        <v>9276</v>
      </c>
      <c r="K3149" t="s">
        <v>19955</v>
      </c>
      <c r="L3149" t="s">
        <v>9276</v>
      </c>
    </row>
    <row r="3150" spans="1:12" x14ac:dyDescent="0.25">
      <c r="A3150">
        <v>591925</v>
      </c>
      <c r="B3150">
        <v>1461895</v>
      </c>
      <c r="D3150">
        <v>0</v>
      </c>
      <c r="F3150">
        <v>2094481</v>
      </c>
      <c r="G3150">
        <v>1461895</v>
      </c>
      <c r="H3150" t="s">
        <v>14034</v>
      </c>
      <c r="I3150">
        <v>591925</v>
      </c>
      <c r="J3150" t="s">
        <v>14034</v>
      </c>
      <c r="K3150" t="s">
        <v>19956</v>
      </c>
      <c r="L3150" t="s">
        <v>14034</v>
      </c>
    </row>
    <row r="3151" spans="1:12" x14ac:dyDescent="0.25">
      <c r="A3151">
        <v>591925</v>
      </c>
      <c r="B3151">
        <v>1531927</v>
      </c>
      <c r="D3151">
        <v>0</v>
      </c>
      <c r="E3151" t="s">
        <v>19958</v>
      </c>
      <c r="F3151" t="s">
        <v>19959</v>
      </c>
      <c r="G3151" t="s">
        <v>19960</v>
      </c>
      <c r="H3151" t="e" vm="1390">
        <f>_FV(0,"036576933972583235")</f>
        <v>#VALUE!</v>
      </c>
      <c r="I3151" t="s">
        <v>19961</v>
      </c>
      <c r="J3151" t="s">
        <v>19962</v>
      </c>
      <c r="K3151" t="s">
        <v>19963</v>
      </c>
      <c r="L3151" t="s">
        <v>19957</v>
      </c>
    </row>
    <row r="3152" spans="1:12" x14ac:dyDescent="0.25">
      <c r="A3152">
        <v>591986</v>
      </c>
      <c r="B3152">
        <v>592047</v>
      </c>
      <c r="D3152">
        <v>1</v>
      </c>
      <c r="F3152">
        <v>586566</v>
      </c>
      <c r="G3152">
        <v>592047</v>
      </c>
      <c r="H3152" t="e" vm="1391">
        <f>_FV(-8,"392")</f>
        <v>#VALUE!</v>
      </c>
      <c r="I3152">
        <v>591986</v>
      </c>
      <c r="J3152" t="s">
        <v>19964</v>
      </c>
      <c r="K3152" t="s">
        <v>19965</v>
      </c>
      <c r="L3152" t="e" vm="1391">
        <f>_FV(-8,"392")</f>
        <v>#VALUE!</v>
      </c>
    </row>
    <row r="3153" spans="1:12" x14ac:dyDescent="0.25">
      <c r="A3153">
        <v>591986</v>
      </c>
      <c r="B3153">
        <v>1655795</v>
      </c>
      <c r="C3153" t="s">
        <v>19967</v>
      </c>
      <c r="D3153" t="s">
        <v>19968</v>
      </c>
      <c r="E3153" t="s">
        <v>19969</v>
      </c>
      <c r="F3153" t="s">
        <v>19970</v>
      </c>
      <c r="G3153" t="s">
        <v>19971</v>
      </c>
      <c r="H3153" t="e" vm="1392">
        <f>_FV(0,"020288689379776455")</f>
        <v>#VALUE!</v>
      </c>
      <c r="I3153" t="s">
        <v>19972</v>
      </c>
      <c r="J3153" t="s">
        <v>19973</v>
      </c>
      <c r="K3153" t="s">
        <v>19974</v>
      </c>
      <c r="L3153" t="s">
        <v>19966</v>
      </c>
    </row>
    <row r="3154" spans="1:12" x14ac:dyDescent="0.25">
      <c r="A3154">
        <v>591991</v>
      </c>
      <c r="B3154">
        <v>1432935</v>
      </c>
      <c r="D3154" t="s">
        <v>19976</v>
      </c>
      <c r="E3154" t="s">
        <v>19977</v>
      </c>
      <c r="F3154" t="s">
        <v>19978</v>
      </c>
      <c r="G3154" t="s">
        <v>19979</v>
      </c>
      <c r="H3154" t="s">
        <v>19980</v>
      </c>
      <c r="I3154" t="s">
        <v>19981</v>
      </c>
      <c r="J3154" t="s">
        <v>19982</v>
      </c>
      <c r="K3154" t="s">
        <v>19983</v>
      </c>
      <c r="L3154" t="s">
        <v>19975</v>
      </c>
    </row>
    <row r="3155" spans="1:12" x14ac:dyDescent="0.25">
      <c r="A3155">
        <v>591991</v>
      </c>
      <c r="B3155">
        <v>1457801</v>
      </c>
      <c r="D3155">
        <v>0</v>
      </c>
      <c r="E3155" t="s">
        <v>19985</v>
      </c>
      <c r="F3155" t="s">
        <v>19986</v>
      </c>
      <c r="G3155" t="s">
        <v>19987</v>
      </c>
      <c r="H3155" t="s">
        <v>19988</v>
      </c>
      <c r="I3155" t="s">
        <v>19989</v>
      </c>
      <c r="J3155" t="s">
        <v>19984</v>
      </c>
      <c r="K3155" t="s">
        <v>19990</v>
      </c>
      <c r="L3155" t="s">
        <v>19984</v>
      </c>
    </row>
    <row r="3156" spans="1:12" x14ac:dyDescent="0.25">
      <c r="A3156">
        <v>591991</v>
      </c>
      <c r="B3156">
        <v>1465770</v>
      </c>
      <c r="D3156">
        <v>0</v>
      </c>
      <c r="E3156" t="s">
        <v>19992</v>
      </c>
      <c r="F3156" t="s">
        <v>19993</v>
      </c>
      <c r="G3156" t="s">
        <v>19994</v>
      </c>
      <c r="H3156" t="s">
        <v>19995</v>
      </c>
      <c r="I3156" t="s">
        <v>19996</v>
      </c>
      <c r="J3156" t="s">
        <v>19997</v>
      </c>
      <c r="K3156" t="s">
        <v>19998</v>
      </c>
      <c r="L3156" t="s">
        <v>19991</v>
      </c>
    </row>
    <row r="3157" spans="1:12" x14ac:dyDescent="0.25">
      <c r="A3157">
        <v>592047</v>
      </c>
      <c r="B3157">
        <v>941568</v>
      </c>
      <c r="C3157" t="s">
        <v>20000</v>
      </c>
      <c r="D3157" t="s">
        <v>20001</v>
      </c>
      <c r="E3157" t="s">
        <v>20002</v>
      </c>
      <c r="F3157" t="s">
        <v>20003</v>
      </c>
      <c r="G3157" t="s">
        <v>20004</v>
      </c>
      <c r="H3157" t="e" vm="1393">
        <f>_FV(0,"011029525596206591")</f>
        <v>#VALUE!</v>
      </c>
      <c r="I3157" t="s">
        <v>20005</v>
      </c>
      <c r="J3157" t="s">
        <v>20006</v>
      </c>
      <c r="K3157" t="s">
        <v>20007</v>
      </c>
      <c r="L3157" t="s">
        <v>19999</v>
      </c>
    </row>
    <row r="3158" spans="1:12" x14ac:dyDescent="0.25">
      <c r="A3158">
        <v>592221</v>
      </c>
      <c r="B3158">
        <v>1300646</v>
      </c>
      <c r="D3158">
        <v>0</v>
      </c>
      <c r="F3158">
        <v>1427037</v>
      </c>
      <c r="G3158">
        <v>1300646</v>
      </c>
      <c r="H3158" t="s">
        <v>1599</v>
      </c>
      <c r="I3158">
        <v>592221</v>
      </c>
      <c r="J3158" t="s">
        <v>1599</v>
      </c>
      <c r="K3158" t="s">
        <v>20008</v>
      </c>
      <c r="L3158" t="s">
        <v>1599</v>
      </c>
    </row>
    <row r="3159" spans="1:12" x14ac:dyDescent="0.25">
      <c r="A3159">
        <v>592221</v>
      </c>
      <c r="B3159">
        <v>1300689</v>
      </c>
      <c r="D3159">
        <v>0</v>
      </c>
      <c r="E3159" t="s">
        <v>20010</v>
      </c>
      <c r="F3159" t="s">
        <v>20011</v>
      </c>
      <c r="G3159" t="s">
        <v>20012</v>
      </c>
      <c r="H3159" t="s">
        <v>20013</v>
      </c>
      <c r="I3159" t="s">
        <v>20014</v>
      </c>
      <c r="J3159" t="s">
        <v>20009</v>
      </c>
      <c r="K3159" t="s">
        <v>20015</v>
      </c>
      <c r="L3159" t="s">
        <v>20009</v>
      </c>
    </row>
    <row r="3160" spans="1:12" x14ac:dyDescent="0.25">
      <c r="A3160">
        <v>592876</v>
      </c>
      <c r="B3160">
        <v>593078</v>
      </c>
      <c r="D3160" t="s">
        <v>5510</v>
      </c>
      <c r="E3160" t="s">
        <v>20017</v>
      </c>
      <c r="F3160" t="s">
        <v>20018</v>
      </c>
      <c r="G3160" t="s">
        <v>20019</v>
      </c>
      <c r="H3160" t="e" vm="1394">
        <f>_FV(0,"005696408577849977")</f>
        <v>#VALUE!</v>
      </c>
      <c r="I3160" t="s">
        <v>20020</v>
      </c>
      <c r="J3160" t="s">
        <v>20021</v>
      </c>
      <c r="K3160" t="s">
        <v>20022</v>
      </c>
      <c r="L3160" t="s">
        <v>20016</v>
      </c>
    </row>
    <row r="3161" spans="1:12" x14ac:dyDescent="0.25">
      <c r="A3161">
        <v>592876</v>
      </c>
      <c r="B3161">
        <v>593207</v>
      </c>
      <c r="D3161" t="s">
        <v>1839</v>
      </c>
      <c r="E3161" t="s">
        <v>20024</v>
      </c>
      <c r="F3161" t="s">
        <v>20025</v>
      </c>
      <c r="G3161" t="s">
        <v>20026</v>
      </c>
      <c r="H3161" t="s">
        <v>20027</v>
      </c>
      <c r="I3161" t="s">
        <v>20028</v>
      </c>
      <c r="J3161" t="s">
        <v>20023</v>
      </c>
      <c r="K3161" t="s">
        <v>20029</v>
      </c>
      <c r="L3161" t="s">
        <v>20023</v>
      </c>
    </row>
    <row r="3162" spans="1:12" x14ac:dyDescent="0.25">
      <c r="A3162">
        <v>592876</v>
      </c>
      <c r="B3162">
        <v>592884</v>
      </c>
      <c r="D3162" t="s">
        <v>700</v>
      </c>
      <c r="E3162" t="s">
        <v>20031</v>
      </c>
      <c r="F3162" t="s">
        <v>20032</v>
      </c>
      <c r="G3162" t="s">
        <v>20033</v>
      </c>
      <c r="H3162" t="e" vm="1395">
        <f>_FV(0,"0021570796365708053")</f>
        <v>#VALUE!</v>
      </c>
      <c r="I3162" t="s">
        <v>20034</v>
      </c>
      <c r="J3162" t="s">
        <v>20035</v>
      </c>
      <c r="K3162" t="s">
        <v>20036</v>
      </c>
      <c r="L3162" t="s">
        <v>20030</v>
      </c>
    </row>
    <row r="3163" spans="1:12" x14ac:dyDescent="0.25">
      <c r="A3163">
        <v>592884</v>
      </c>
      <c r="B3163">
        <v>601285</v>
      </c>
      <c r="C3163" t="s">
        <v>20038</v>
      </c>
      <c r="D3163">
        <v>0</v>
      </c>
      <c r="E3163" t="s">
        <v>20039</v>
      </c>
      <c r="F3163" t="s">
        <v>20040</v>
      </c>
      <c r="G3163" t="s">
        <v>20041</v>
      </c>
      <c r="H3163" t="s">
        <v>20042</v>
      </c>
      <c r="I3163" t="s">
        <v>20043</v>
      </c>
      <c r="J3163" t="s">
        <v>20044</v>
      </c>
      <c r="K3163" t="s">
        <v>20045</v>
      </c>
      <c r="L3163" t="s">
        <v>20037</v>
      </c>
    </row>
    <row r="3164" spans="1:12" x14ac:dyDescent="0.25">
      <c r="A3164">
        <v>592884</v>
      </c>
      <c r="B3164">
        <v>593078</v>
      </c>
      <c r="D3164">
        <v>0</v>
      </c>
      <c r="E3164" t="s">
        <v>20047</v>
      </c>
      <c r="F3164" t="s">
        <v>20048</v>
      </c>
      <c r="G3164" t="s">
        <v>20049</v>
      </c>
      <c r="H3164" t="s">
        <v>20050</v>
      </c>
      <c r="I3164" t="s">
        <v>20051</v>
      </c>
      <c r="J3164" t="s">
        <v>20046</v>
      </c>
      <c r="K3164" t="s">
        <v>20052</v>
      </c>
      <c r="L3164" t="s">
        <v>20046</v>
      </c>
    </row>
    <row r="3165" spans="1:12" x14ac:dyDescent="0.25">
      <c r="A3165">
        <v>593063</v>
      </c>
      <c r="B3165">
        <v>1280487</v>
      </c>
      <c r="D3165">
        <v>0</v>
      </c>
      <c r="E3165" t="s">
        <v>20054</v>
      </c>
      <c r="F3165" t="s">
        <v>20055</v>
      </c>
      <c r="G3165" t="s">
        <v>20056</v>
      </c>
      <c r="H3165" t="s">
        <v>20057</v>
      </c>
      <c r="I3165" t="s">
        <v>20058</v>
      </c>
      <c r="J3165" t="s">
        <v>20059</v>
      </c>
      <c r="K3165" t="s">
        <v>20060</v>
      </c>
      <c r="L3165" t="s">
        <v>20053</v>
      </c>
    </row>
    <row r="3166" spans="1:12" x14ac:dyDescent="0.25">
      <c r="A3166">
        <v>593063</v>
      </c>
      <c r="B3166">
        <v>593071</v>
      </c>
      <c r="D3166">
        <v>0</v>
      </c>
      <c r="E3166" t="s">
        <v>20062</v>
      </c>
      <c r="F3166" t="s">
        <v>20063</v>
      </c>
      <c r="G3166" t="s">
        <v>20064</v>
      </c>
      <c r="H3166" t="s">
        <v>20065</v>
      </c>
      <c r="I3166" t="s">
        <v>20066</v>
      </c>
      <c r="J3166" t="s">
        <v>20061</v>
      </c>
      <c r="K3166" t="s">
        <v>20067</v>
      </c>
      <c r="L3166" t="s">
        <v>20061</v>
      </c>
    </row>
    <row r="3167" spans="1:12" x14ac:dyDescent="0.25">
      <c r="A3167">
        <v>593063</v>
      </c>
      <c r="B3167">
        <v>593207</v>
      </c>
      <c r="D3167">
        <v>0</v>
      </c>
      <c r="F3167">
        <v>1398336</v>
      </c>
      <c r="G3167">
        <v>593063</v>
      </c>
      <c r="H3167" t="s">
        <v>1814</v>
      </c>
      <c r="I3167">
        <v>593207</v>
      </c>
      <c r="J3167" t="s">
        <v>1814</v>
      </c>
      <c r="K3167" t="s">
        <v>20068</v>
      </c>
      <c r="L3167" t="s">
        <v>1814</v>
      </c>
    </row>
    <row r="3168" spans="1:12" x14ac:dyDescent="0.25">
      <c r="A3168">
        <v>593071</v>
      </c>
      <c r="B3168">
        <v>593191</v>
      </c>
      <c r="D3168">
        <v>0</v>
      </c>
      <c r="E3168" t="s">
        <v>20070</v>
      </c>
      <c r="F3168" t="s">
        <v>20071</v>
      </c>
      <c r="G3168" t="s">
        <v>20072</v>
      </c>
      <c r="H3168" t="s">
        <v>20073</v>
      </c>
      <c r="I3168" t="s">
        <v>20074</v>
      </c>
      <c r="J3168" t="s">
        <v>20069</v>
      </c>
      <c r="K3168" t="s">
        <v>20075</v>
      </c>
      <c r="L3168" t="s">
        <v>20069</v>
      </c>
    </row>
    <row r="3169" spans="1:12" x14ac:dyDescent="0.25">
      <c r="A3169">
        <v>593191</v>
      </c>
      <c r="B3169">
        <v>601241</v>
      </c>
      <c r="D3169">
        <v>0</v>
      </c>
      <c r="E3169" t="s">
        <v>20077</v>
      </c>
      <c r="F3169" t="s">
        <v>20078</v>
      </c>
      <c r="G3169" t="s">
        <v>20079</v>
      </c>
      <c r="H3169" t="s">
        <v>20080</v>
      </c>
      <c r="I3169" t="s">
        <v>20081</v>
      </c>
      <c r="J3169" t="s">
        <v>20082</v>
      </c>
      <c r="K3169" t="s">
        <v>20083</v>
      </c>
      <c r="L3169" t="s">
        <v>20076</v>
      </c>
    </row>
    <row r="3170" spans="1:12" x14ac:dyDescent="0.25">
      <c r="A3170">
        <v>593191</v>
      </c>
      <c r="B3170">
        <v>1280487</v>
      </c>
      <c r="D3170">
        <v>0</v>
      </c>
      <c r="E3170" t="s">
        <v>20085</v>
      </c>
      <c r="F3170" t="s">
        <v>20086</v>
      </c>
      <c r="G3170" t="s">
        <v>20087</v>
      </c>
      <c r="H3170" t="e" vm="1396">
        <f>_FV(0,"003775440216219353")</f>
        <v>#VALUE!</v>
      </c>
      <c r="I3170" t="s">
        <v>20088</v>
      </c>
      <c r="J3170" t="s">
        <v>20089</v>
      </c>
      <c r="K3170" t="s">
        <v>20090</v>
      </c>
      <c r="L3170" t="s">
        <v>20084</v>
      </c>
    </row>
    <row r="3171" spans="1:12" x14ac:dyDescent="0.25">
      <c r="A3171">
        <v>593207</v>
      </c>
      <c r="B3171">
        <v>1280487</v>
      </c>
      <c r="D3171">
        <v>0</v>
      </c>
      <c r="F3171">
        <v>1398328</v>
      </c>
      <c r="G3171">
        <v>593207</v>
      </c>
      <c r="H3171" t="e" vm="1397">
        <f>_FV(0,"262")</f>
        <v>#VALUE!</v>
      </c>
      <c r="I3171">
        <v>1280487</v>
      </c>
      <c r="J3171" t="s">
        <v>20091</v>
      </c>
      <c r="K3171" t="s">
        <v>20092</v>
      </c>
      <c r="L3171" t="e" vm="1397">
        <f>_FV(0,"262")</f>
        <v>#VALUE!</v>
      </c>
    </row>
    <row r="3172" spans="1:12" x14ac:dyDescent="0.25">
      <c r="A3172">
        <v>594543</v>
      </c>
      <c r="B3172">
        <v>1301117</v>
      </c>
      <c r="D3172">
        <v>0</v>
      </c>
      <c r="E3172" t="s">
        <v>20094</v>
      </c>
      <c r="F3172" t="s">
        <v>20095</v>
      </c>
      <c r="G3172" t="s">
        <v>20096</v>
      </c>
      <c r="H3172" t="s">
        <v>20097</v>
      </c>
      <c r="I3172" t="s">
        <v>20098</v>
      </c>
      <c r="J3172" t="s">
        <v>20093</v>
      </c>
      <c r="K3172" t="s">
        <v>20099</v>
      </c>
      <c r="L3172" t="s">
        <v>20093</v>
      </c>
    </row>
    <row r="3173" spans="1:12" x14ac:dyDescent="0.25">
      <c r="A3173">
        <v>594712</v>
      </c>
      <c r="B3173">
        <v>1303484</v>
      </c>
      <c r="D3173">
        <v>0</v>
      </c>
      <c r="E3173" t="s">
        <v>20101</v>
      </c>
      <c r="F3173" t="s">
        <v>20102</v>
      </c>
      <c r="G3173" t="s">
        <v>20103</v>
      </c>
      <c r="H3173" t="e" vm="1398">
        <f>_FV(0,"007072990157612838")</f>
        <v>#VALUE!</v>
      </c>
      <c r="I3173" t="s">
        <v>20104</v>
      </c>
      <c r="J3173" t="s">
        <v>20105</v>
      </c>
      <c r="K3173" t="s">
        <v>20106</v>
      </c>
      <c r="L3173" t="s">
        <v>20100</v>
      </c>
    </row>
    <row r="3174" spans="1:12" x14ac:dyDescent="0.25">
      <c r="A3174">
        <v>595476</v>
      </c>
      <c r="B3174">
        <v>621046</v>
      </c>
      <c r="D3174">
        <v>0</v>
      </c>
      <c r="E3174" t="s">
        <v>20108</v>
      </c>
      <c r="F3174" t="s">
        <v>20109</v>
      </c>
      <c r="G3174" t="s">
        <v>20110</v>
      </c>
      <c r="H3174" t="e" vm="1399">
        <f>_FV(0,"008213152871706335")</f>
        <v>#VALUE!</v>
      </c>
      <c r="I3174" t="s">
        <v>20111</v>
      </c>
      <c r="J3174" t="s">
        <v>20112</v>
      </c>
      <c r="K3174" t="s">
        <v>20113</v>
      </c>
      <c r="L3174" t="s">
        <v>20107</v>
      </c>
    </row>
    <row r="3175" spans="1:12" x14ac:dyDescent="0.25">
      <c r="A3175">
        <v>595476</v>
      </c>
      <c r="B3175">
        <v>595493</v>
      </c>
      <c r="D3175">
        <v>0</v>
      </c>
      <c r="E3175" t="s">
        <v>20115</v>
      </c>
      <c r="F3175" t="s">
        <v>20116</v>
      </c>
      <c r="G3175" t="s">
        <v>20117</v>
      </c>
      <c r="H3175" t="s">
        <v>20118</v>
      </c>
      <c r="I3175" t="s">
        <v>20119</v>
      </c>
      <c r="J3175" t="s">
        <v>20120</v>
      </c>
      <c r="K3175" t="s">
        <v>20121</v>
      </c>
      <c r="L3175" t="s">
        <v>20114</v>
      </c>
    </row>
    <row r="3176" spans="1:12" x14ac:dyDescent="0.25">
      <c r="A3176">
        <v>595491</v>
      </c>
      <c r="B3176">
        <v>595493</v>
      </c>
      <c r="D3176">
        <v>0</v>
      </c>
      <c r="E3176" t="s">
        <v>20123</v>
      </c>
      <c r="F3176" t="s">
        <v>20124</v>
      </c>
      <c r="G3176" t="s">
        <v>20125</v>
      </c>
      <c r="H3176" t="s">
        <v>20126</v>
      </c>
      <c r="I3176" t="s">
        <v>20127</v>
      </c>
      <c r="J3176" t="s">
        <v>20122</v>
      </c>
      <c r="K3176" t="s">
        <v>20128</v>
      </c>
      <c r="L3176" t="s">
        <v>20122</v>
      </c>
    </row>
    <row r="3177" spans="1:12" x14ac:dyDescent="0.25">
      <c r="A3177">
        <v>595491</v>
      </c>
      <c r="B3177">
        <v>595598</v>
      </c>
      <c r="D3177" t="s">
        <v>2793</v>
      </c>
      <c r="E3177" t="s">
        <v>20130</v>
      </c>
      <c r="F3177" t="s">
        <v>20131</v>
      </c>
      <c r="G3177" t="s">
        <v>20132</v>
      </c>
      <c r="H3177" t="e" vm="1400">
        <f>_FV(0,"008184094662972196")</f>
        <v>#VALUE!</v>
      </c>
      <c r="I3177" t="s">
        <v>20133</v>
      </c>
      <c r="J3177" t="s">
        <v>20134</v>
      </c>
      <c r="K3177" t="s">
        <v>20135</v>
      </c>
      <c r="L3177" t="s">
        <v>20129</v>
      </c>
    </row>
    <row r="3178" spans="1:12" x14ac:dyDescent="0.25">
      <c r="A3178">
        <v>595493</v>
      </c>
      <c r="B3178">
        <v>982084</v>
      </c>
      <c r="D3178" t="s">
        <v>7856</v>
      </c>
      <c r="E3178" t="s">
        <v>20137</v>
      </c>
      <c r="F3178" t="s">
        <v>20138</v>
      </c>
      <c r="G3178" t="s">
        <v>20139</v>
      </c>
      <c r="H3178" t="e" vm="1401">
        <f>_FV(0,"00026220166075909625")</f>
        <v>#VALUE!</v>
      </c>
      <c r="I3178" t="s">
        <v>20140</v>
      </c>
      <c r="J3178" t="s">
        <v>20141</v>
      </c>
      <c r="K3178" t="s">
        <v>20142</v>
      </c>
      <c r="L3178" t="s">
        <v>20136</v>
      </c>
    </row>
    <row r="3179" spans="1:12" x14ac:dyDescent="0.25">
      <c r="A3179">
        <v>595550</v>
      </c>
      <c r="B3179">
        <v>623449</v>
      </c>
      <c r="D3179">
        <v>0</v>
      </c>
      <c r="E3179" t="s">
        <v>20144</v>
      </c>
      <c r="F3179" t="s">
        <v>20145</v>
      </c>
      <c r="G3179" t="s">
        <v>20146</v>
      </c>
      <c r="H3179" t="s">
        <v>20147</v>
      </c>
      <c r="I3179" t="s">
        <v>20148</v>
      </c>
      <c r="J3179" t="s">
        <v>20149</v>
      </c>
      <c r="K3179" t="s">
        <v>20150</v>
      </c>
      <c r="L3179" t="s">
        <v>20143</v>
      </c>
    </row>
    <row r="3180" spans="1:12" x14ac:dyDescent="0.25">
      <c r="A3180">
        <v>595726</v>
      </c>
      <c r="B3180">
        <v>1122573</v>
      </c>
      <c r="D3180">
        <v>0</v>
      </c>
      <c r="F3180">
        <v>1196040</v>
      </c>
      <c r="G3180">
        <v>595726</v>
      </c>
      <c r="H3180" t="e" vm="30">
        <f>_FV(0,"027")</f>
        <v>#VALUE!</v>
      </c>
      <c r="I3180">
        <v>1122573</v>
      </c>
      <c r="J3180" t="s">
        <v>467</v>
      </c>
      <c r="K3180" t="s">
        <v>20151</v>
      </c>
      <c r="L3180" t="e" vm="30">
        <f>_FV(0,"027")</f>
        <v>#VALUE!</v>
      </c>
    </row>
    <row r="3181" spans="1:12" x14ac:dyDescent="0.25">
      <c r="A3181">
        <v>595737</v>
      </c>
      <c r="B3181">
        <v>932344</v>
      </c>
      <c r="D3181">
        <v>0</v>
      </c>
      <c r="F3181">
        <v>1196048</v>
      </c>
      <c r="G3181">
        <v>932344</v>
      </c>
      <c r="H3181" t="s">
        <v>1939</v>
      </c>
      <c r="I3181">
        <v>595737</v>
      </c>
      <c r="J3181" t="s">
        <v>1939</v>
      </c>
      <c r="K3181" t="s">
        <v>20152</v>
      </c>
      <c r="L3181" t="s">
        <v>1939</v>
      </c>
    </row>
    <row r="3182" spans="1:12" x14ac:dyDescent="0.25">
      <c r="A3182">
        <v>596812</v>
      </c>
      <c r="B3182">
        <v>621785</v>
      </c>
      <c r="D3182" t="s">
        <v>20154</v>
      </c>
      <c r="E3182" t="s">
        <v>20155</v>
      </c>
      <c r="F3182" t="s">
        <v>20156</v>
      </c>
      <c r="G3182" t="s">
        <v>20157</v>
      </c>
      <c r="H3182" t="e" vm="1402">
        <f>_FV(0,"0323658147232331")</f>
        <v>#VALUE!</v>
      </c>
      <c r="I3182" t="s">
        <v>20158</v>
      </c>
      <c r="J3182" t="s">
        <v>20159</v>
      </c>
      <c r="K3182" t="s">
        <v>20160</v>
      </c>
      <c r="L3182" t="s">
        <v>20153</v>
      </c>
    </row>
    <row r="3183" spans="1:12" x14ac:dyDescent="0.25">
      <c r="A3183">
        <v>596812</v>
      </c>
      <c r="B3183">
        <v>622986</v>
      </c>
      <c r="D3183">
        <v>0</v>
      </c>
      <c r="E3183" t="s">
        <v>20162</v>
      </c>
      <c r="F3183" t="s">
        <v>20163</v>
      </c>
      <c r="G3183" t="s">
        <v>20164</v>
      </c>
      <c r="H3183" t="e" vm="1403">
        <f>_FV(0,"04110929359410053")</f>
        <v>#VALUE!</v>
      </c>
      <c r="I3183" t="s">
        <v>20165</v>
      </c>
      <c r="J3183" t="s">
        <v>20166</v>
      </c>
      <c r="K3183" t="s">
        <v>20167</v>
      </c>
      <c r="L3183" t="s">
        <v>20161</v>
      </c>
    </row>
    <row r="3184" spans="1:12" x14ac:dyDescent="0.25">
      <c r="A3184">
        <v>597087</v>
      </c>
      <c r="B3184">
        <v>597181</v>
      </c>
      <c r="D3184">
        <v>0</v>
      </c>
      <c r="F3184">
        <v>592963</v>
      </c>
      <c r="G3184">
        <v>597181</v>
      </c>
      <c r="H3184" t="s">
        <v>5410</v>
      </c>
      <c r="I3184">
        <v>597087</v>
      </c>
      <c r="J3184" t="s">
        <v>5410</v>
      </c>
      <c r="K3184" t="s">
        <v>20168</v>
      </c>
      <c r="L3184" t="s">
        <v>5410</v>
      </c>
    </row>
    <row r="3185" spans="1:12" x14ac:dyDescent="0.25">
      <c r="A3185">
        <v>597087</v>
      </c>
      <c r="B3185">
        <v>1291070</v>
      </c>
      <c r="D3185">
        <v>0</v>
      </c>
      <c r="E3185" t="s">
        <v>20170</v>
      </c>
      <c r="F3185" t="s">
        <v>20171</v>
      </c>
      <c r="G3185" t="s">
        <v>20172</v>
      </c>
      <c r="H3185" t="e" vm="1404">
        <f>_FV(0,"018998976997499743")</f>
        <v>#VALUE!</v>
      </c>
      <c r="I3185" t="s">
        <v>20173</v>
      </c>
      <c r="J3185" t="s">
        <v>20174</v>
      </c>
      <c r="K3185" t="s">
        <v>20175</v>
      </c>
      <c r="L3185" t="s">
        <v>20169</v>
      </c>
    </row>
    <row r="3186" spans="1:12" x14ac:dyDescent="0.25">
      <c r="A3186">
        <v>597087</v>
      </c>
      <c r="B3186">
        <v>1291096</v>
      </c>
      <c r="D3186">
        <v>0</v>
      </c>
      <c r="E3186" t="s">
        <v>20177</v>
      </c>
      <c r="F3186" t="s">
        <v>20178</v>
      </c>
      <c r="G3186" t="s">
        <v>20179</v>
      </c>
      <c r="H3186" t="e" vm="1405">
        <f>_FV(0,"014516523457054533")</f>
        <v>#VALUE!</v>
      </c>
      <c r="I3186" t="s">
        <v>20180</v>
      </c>
      <c r="J3186" t="s">
        <v>14506</v>
      </c>
      <c r="K3186" t="s">
        <v>20181</v>
      </c>
      <c r="L3186" t="s">
        <v>20176</v>
      </c>
    </row>
    <row r="3187" spans="1:12" x14ac:dyDescent="0.25">
      <c r="A3187">
        <v>597195</v>
      </c>
      <c r="B3187">
        <v>597252</v>
      </c>
      <c r="D3187">
        <v>0</v>
      </c>
      <c r="E3187" t="s">
        <v>20183</v>
      </c>
      <c r="F3187" t="s">
        <v>20184</v>
      </c>
      <c r="G3187" t="s">
        <v>20185</v>
      </c>
      <c r="H3187" t="e" vm="1406">
        <f>_FV(0,"05038027189910452")</f>
        <v>#VALUE!</v>
      </c>
      <c r="I3187" t="s">
        <v>20186</v>
      </c>
      <c r="J3187" t="s">
        <v>20187</v>
      </c>
      <c r="K3187" t="s">
        <v>20188</v>
      </c>
      <c r="L3187" t="s">
        <v>20182</v>
      </c>
    </row>
    <row r="3188" spans="1:12" x14ac:dyDescent="0.25">
      <c r="A3188">
        <v>597195</v>
      </c>
      <c r="B3188">
        <v>597364</v>
      </c>
      <c r="D3188">
        <v>0</v>
      </c>
      <c r="E3188" t="s">
        <v>20190</v>
      </c>
      <c r="F3188" t="s">
        <v>20191</v>
      </c>
      <c r="G3188" t="s">
        <v>20192</v>
      </c>
      <c r="H3188" t="e" vm="1407">
        <f>_FV(0,"04461345623802666")</f>
        <v>#VALUE!</v>
      </c>
      <c r="I3188" t="s">
        <v>20193</v>
      </c>
      <c r="J3188" t="s">
        <v>20194</v>
      </c>
      <c r="K3188" t="s">
        <v>20195</v>
      </c>
      <c r="L3188" t="s">
        <v>20189</v>
      </c>
    </row>
    <row r="3189" spans="1:12" x14ac:dyDescent="0.25">
      <c r="A3189">
        <v>597195</v>
      </c>
      <c r="B3189">
        <v>665872</v>
      </c>
      <c r="D3189">
        <v>0</v>
      </c>
      <c r="E3189" t="s">
        <v>20197</v>
      </c>
      <c r="F3189" t="s">
        <v>20198</v>
      </c>
      <c r="G3189" t="s">
        <v>20199</v>
      </c>
      <c r="H3189" t="s">
        <v>20200</v>
      </c>
      <c r="I3189" t="s">
        <v>20201</v>
      </c>
      <c r="J3189" t="s">
        <v>20202</v>
      </c>
      <c r="K3189" t="s">
        <v>20203</v>
      </c>
      <c r="L3189" t="s">
        <v>20196</v>
      </c>
    </row>
    <row r="3190" spans="1:12" x14ac:dyDescent="0.25">
      <c r="A3190">
        <v>597259</v>
      </c>
      <c r="B3190">
        <v>597274</v>
      </c>
      <c r="D3190">
        <v>0</v>
      </c>
      <c r="E3190" t="s">
        <v>20205</v>
      </c>
      <c r="F3190" t="s">
        <v>20206</v>
      </c>
      <c r="G3190" t="s">
        <v>20207</v>
      </c>
      <c r="H3190" t="e" vm="1408">
        <f>_FV(0,"031183426737453016")</f>
        <v>#VALUE!</v>
      </c>
      <c r="I3190" t="s">
        <v>20208</v>
      </c>
      <c r="J3190" t="s">
        <v>20209</v>
      </c>
      <c r="K3190" t="s">
        <v>20210</v>
      </c>
      <c r="L3190" t="s">
        <v>20204</v>
      </c>
    </row>
    <row r="3191" spans="1:12" x14ac:dyDescent="0.25">
      <c r="A3191">
        <v>597259</v>
      </c>
      <c r="B3191">
        <v>597321</v>
      </c>
      <c r="D3191">
        <v>0</v>
      </c>
      <c r="E3191" t="s">
        <v>20212</v>
      </c>
      <c r="F3191" t="s">
        <v>20213</v>
      </c>
      <c r="G3191" t="s">
        <v>20214</v>
      </c>
      <c r="H3191" t="s">
        <v>20215</v>
      </c>
      <c r="I3191" t="s">
        <v>20216</v>
      </c>
      <c r="J3191" t="s">
        <v>20217</v>
      </c>
      <c r="K3191" t="s">
        <v>20218</v>
      </c>
      <c r="L3191" t="s">
        <v>20211</v>
      </c>
    </row>
    <row r="3192" spans="1:12" x14ac:dyDescent="0.25">
      <c r="A3192">
        <v>597282</v>
      </c>
      <c r="B3192">
        <v>597304</v>
      </c>
      <c r="D3192" t="s">
        <v>330</v>
      </c>
      <c r="E3192" t="s">
        <v>20220</v>
      </c>
      <c r="F3192" t="s">
        <v>20221</v>
      </c>
      <c r="G3192" t="s">
        <v>20222</v>
      </c>
      <c r="H3192" t="e" vm="1409">
        <f>_FV(0,"05072578943204543")</f>
        <v>#VALUE!</v>
      </c>
      <c r="I3192" t="s">
        <v>20223</v>
      </c>
      <c r="J3192" t="s">
        <v>20224</v>
      </c>
      <c r="K3192" t="s">
        <v>20225</v>
      </c>
      <c r="L3192" t="s">
        <v>20219</v>
      </c>
    </row>
    <row r="3193" spans="1:12" x14ac:dyDescent="0.25">
      <c r="A3193">
        <v>597321</v>
      </c>
      <c r="B3193">
        <v>665872</v>
      </c>
      <c r="D3193">
        <v>0</v>
      </c>
      <c r="F3193">
        <v>1407514</v>
      </c>
      <c r="G3193">
        <v>665872</v>
      </c>
      <c r="H3193" t="e" vm="1410">
        <f>_FV(0,"183")</f>
        <v>#VALUE!</v>
      </c>
      <c r="I3193">
        <v>597321</v>
      </c>
      <c r="J3193" t="s">
        <v>20226</v>
      </c>
      <c r="K3193" t="s">
        <v>20227</v>
      </c>
      <c r="L3193" t="e" vm="1410">
        <f>_FV(0,"183")</f>
        <v>#VALUE!</v>
      </c>
    </row>
    <row r="3194" spans="1:12" x14ac:dyDescent="0.25">
      <c r="A3194">
        <v>597321</v>
      </c>
      <c r="B3194">
        <v>1287674</v>
      </c>
      <c r="D3194" t="s">
        <v>20229</v>
      </c>
      <c r="E3194" t="s">
        <v>20230</v>
      </c>
      <c r="F3194" t="s">
        <v>20231</v>
      </c>
      <c r="G3194" t="s">
        <v>20232</v>
      </c>
      <c r="H3194" t="s">
        <v>20233</v>
      </c>
      <c r="I3194" t="s">
        <v>20234</v>
      </c>
      <c r="J3194" t="s">
        <v>20235</v>
      </c>
      <c r="K3194" t="s">
        <v>20236</v>
      </c>
      <c r="L3194" t="s">
        <v>20228</v>
      </c>
    </row>
    <row r="3195" spans="1:12" x14ac:dyDescent="0.25">
      <c r="A3195">
        <v>597364</v>
      </c>
      <c r="B3195">
        <v>1530672</v>
      </c>
      <c r="D3195" t="s">
        <v>20238</v>
      </c>
      <c r="E3195" t="s">
        <v>20239</v>
      </c>
      <c r="F3195" t="s">
        <v>20240</v>
      </c>
      <c r="G3195" t="s">
        <v>20241</v>
      </c>
      <c r="H3195" t="e" vm="1411">
        <f>_FV(0,"00836327373002191")</f>
        <v>#VALUE!</v>
      </c>
      <c r="I3195" t="s">
        <v>20242</v>
      </c>
      <c r="J3195" t="s">
        <v>20243</v>
      </c>
      <c r="K3195" t="s">
        <v>20244</v>
      </c>
      <c r="L3195" t="s">
        <v>20237</v>
      </c>
    </row>
    <row r="3196" spans="1:12" x14ac:dyDescent="0.25">
      <c r="A3196">
        <v>597364</v>
      </c>
      <c r="B3196">
        <v>1287788</v>
      </c>
      <c r="D3196">
        <v>0</v>
      </c>
      <c r="E3196" t="s">
        <v>20246</v>
      </c>
      <c r="F3196" t="s">
        <v>20247</v>
      </c>
      <c r="G3196" t="s">
        <v>20248</v>
      </c>
      <c r="H3196" t="e" vm="1412">
        <f>_FV(0,"09647081494545423")</f>
        <v>#VALUE!</v>
      </c>
      <c r="I3196" t="s">
        <v>20249</v>
      </c>
      <c r="J3196" t="s">
        <v>20250</v>
      </c>
      <c r="K3196" t="s">
        <v>20251</v>
      </c>
      <c r="L3196" t="s">
        <v>20245</v>
      </c>
    </row>
    <row r="3197" spans="1:12" x14ac:dyDescent="0.25">
      <c r="A3197">
        <v>597416</v>
      </c>
      <c r="B3197">
        <v>597421</v>
      </c>
      <c r="D3197">
        <v>0</v>
      </c>
      <c r="F3197">
        <v>593267</v>
      </c>
      <c r="G3197">
        <v>597421</v>
      </c>
      <c r="H3197" t="s">
        <v>899</v>
      </c>
      <c r="I3197">
        <v>597416</v>
      </c>
      <c r="J3197" t="s">
        <v>899</v>
      </c>
      <c r="K3197" t="s">
        <v>20252</v>
      </c>
      <c r="L3197" t="s">
        <v>899</v>
      </c>
    </row>
    <row r="3198" spans="1:12" x14ac:dyDescent="0.25">
      <c r="A3198">
        <v>597416</v>
      </c>
      <c r="B3198">
        <v>634091</v>
      </c>
      <c r="D3198">
        <v>0</v>
      </c>
      <c r="E3198" t="s">
        <v>20254</v>
      </c>
      <c r="F3198" t="s">
        <v>20255</v>
      </c>
      <c r="G3198" t="s">
        <v>20256</v>
      </c>
      <c r="H3198" t="e" vm="1413">
        <f>_FV(0,"025896431783106726")</f>
        <v>#VALUE!</v>
      </c>
      <c r="I3198" t="s">
        <v>20257</v>
      </c>
      <c r="J3198" t="s">
        <v>20258</v>
      </c>
      <c r="K3198" t="s">
        <v>20259</v>
      </c>
      <c r="L3198" t="s">
        <v>20253</v>
      </c>
    </row>
    <row r="3199" spans="1:12" x14ac:dyDescent="0.25">
      <c r="A3199">
        <v>597416</v>
      </c>
      <c r="B3199">
        <v>634066</v>
      </c>
      <c r="D3199">
        <v>0</v>
      </c>
      <c r="E3199" t="s">
        <v>20261</v>
      </c>
      <c r="F3199" t="s">
        <v>20262</v>
      </c>
      <c r="G3199" t="s">
        <v>20263</v>
      </c>
      <c r="H3199" t="s">
        <v>20264</v>
      </c>
      <c r="I3199" t="s">
        <v>20265</v>
      </c>
      <c r="J3199" t="s">
        <v>20260</v>
      </c>
      <c r="K3199" t="s">
        <v>20266</v>
      </c>
      <c r="L3199" t="s">
        <v>20260</v>
      </c>
    </row>
    <row r="3200" spans="1:12" x14ac:dyDescent="0.25">
      <c r="A3200">
        <v>597421</v>
      </c>
      <c r="B3200">
        <v>452988</v>
      </c>
      <c r="D3200">
        <v>0</v>
      </c>
      <c r="E3200" t="s">
        <v>20268</v>
      </c>
      <c r="F3200" t="s">
        <v>20269</v>
      </c>
      <c r="G3200" t="s">
        <v>20270</v>
      </c>
      <c r="H3200" t="s">
        <v>20271</v>
      </c>
      <c r="I3200" t="s">
        <v>20272</v>
      </c>
      <c r="J3200" t="s">
        <v>20273</v>
      </c>
      <c r="K3200" t="s">
        <v>20274</v>
      </c>
      <c r="L3200" t="s">
        <v>20267</v>
      </c>
    </row>
    <row r="3201" spans="1:12" x14ac:dyDescent="0.25">
      <c r="A3201">
        <v>597421</v>
      </c>
      <c r="B3201">
        <v>453008</v>
      </c>
      <c r="D3201">
        <v>0</v>
      </c>
      <c r="E3201" t="s">
        <v>20276</v>
      </c>
      <c r="F3201" t="s">
        <v>20277</v>
      </c>
      <c r="G3201" t="s">
        <v>20278</v>
      </c>
      <c r="H3201" t="e" vm="1414">
        <f>_FV(0,"005492288017631921")</f>
        <v>#VALUE!</v>
      </c>
      <c r="I3201" t="s">
        <v>20279</v>
      </c>
      <c r="J3201" t="s">
        <v>20280</v>
      </c>
      <c r="K3201" t="s">
        <v>20281</v>
      </c>
      <c r="L3201" t="s">
        <v>20275</v>
      </c>
    </row>
    <row r="3202" spans="1:12" x14ac:dyDescent="0.25">
      <c r="A3202">
        <v>597465</v>
      </c>
      <c r="B3202">
        <v>597468</v>
      </c>
      <c r="D3202">
        <v>0</v>
      </c>
      <c r="F3202">
        <v>593347</v>
      </c>
      <c r="G3202">
        <v>597468</v>
      </c>
      <c r="H3202" t="e" vm="12">
        <f>_FV(0,"005")</f>
        <v>#VALUE!</v>
      </c>
      <c r="I3202">
        <v>597465</v>
      </c>
      <c r="J3202" t="s">
        <v>194</v>
      </c>
      <c r="K3202" t="s">
        <v>20282</v>
      </c>
      <c r="L3202" t="e" vm="12">
        <f>_FV(0,"005")</f>
        <v>#VALUE!</v>
      </c>
    </row>
    <row r="3203" spans="1:12" x14ac:dyDescent="0.25">
      <c r="A3203">
        <v>597465</v>
      </c>
      <c r="B3203">
        <v>1291443</v>
      </c>
      <c r="D3203">
        <v>0</v>
      </c>
      <c r="E3203" t="s">
        <v>20284</v>
      </c>
      <c r="F3203" t="s">
        <v>20285</v>
      </c>
      <c r="G3203" t="s">
        <v>20286</v>
      </c>
      <c r="H3203" t="e" vm="1415">
        <f>_FV(-8,"565703782216446e")-5</f>
        <v>#VALUE!</v>
      </c>
      <c r="I3203" t="s">
        <v>20287</v>
      </c>
      <c r="J3203" t="s">
        <v>20288</v>
      </c>
      <c r="K3203" t="s">
        <v>20289</v>
      </c>
      <c r="L3203" t="s">
        <v>20283</v>
      </c>
    </row>
    <row r="3204" spans="1:12" x14ac:dyDescent="0.25">
      <c r="A3204">
        <v>597465</v>
      </c>
      <c r="B3204">
        <v>1291336</v>
      </c>
      <c r="D3204">
        <v>0</v>
      </c>
      <c r="E3204" t="s">
        <v>20291</v>
      </c>
      <c r="F3204" t="s">
        <v>20292</v>
      </c>
      <c r="G3204" t="s">
        <v>20293</v>
      </c>
      <c r="H3204" t="s">
        <v>20294</v>
      </c>
      <c r="I3204" t="s">
        <v>20295</v>
      </c>
      <c r="J3204" t="s">
        <v>20290</v>
      </c>
      <c r="K3204" t="s">
        <v>20296</v>
      </c>
      <c r="L3204" t="s">
        <v>20290</v>
      </c>
    </row>
    <row r="3205" spans="1:12" x14ac:dyDescent="0.25">
      <c r="A3205">
        <v>597468</v>
      </c>
      <c r="B3205">
        <v>453052</v>
      </c>
      <c r="D3205">
        <v>0</v>
      </c>
      <c r="E3205" t="s">
        <v>20298</v>
      </c>
      <c r="F3205" t="s">
        <v>20299</v>
      </c>
      <c r="G3205" t="s">
        <v>20300</v>
      </c>
      <c r="H3205" t="s">
        <v>20301</v>
      </c>
      <c r="I3205" t="s">
        <v>20302</v>
      </c>
      <c r="J3205" t="s">
        <v>20303</v>
      </c>
      <c r="K3205" t="s">
        <v>20304</v>
      </c>
      <c r="L3205" t="s">
        <v>20297</v>
      </c>
    </row>
    <row r="3206" spans="1:12" x14ac:dyDescent="0.25">
      <c r="A3206">
        <v>597468</v>
      </c>
      <c r="B3206">
        <v>453036</v>
      </c>
      <c r="D3206">
        <v>0</v>
      </c>
      <c r="E3206" t="s">
        <v>20306</v>
      </c>
      <c r="F3206" t="s">
        <v>20307</v>
      </c>
      <c r="G3206" t="s">
        <v>20308</v>
      </c>
      <c r="H3206" t="s">
        <v>20309</v>
      </c>
      <c r="I3206" t="s">
        <v>20310</v>
      </c>
      <c r="J3206" t="s">
        <v>20311</v>
      </c>
      <c r="K3206" t="s">
        <v>20312</v>
      </c>
      <c r="L3206" t="s">
        <v>20305</v>
      </c>
    </row>
    <row r="3207" spans="1:12" x14ac:dyDescent="0.25">
      <c r="A3207">
        <v>598071</v>
      </c>
      <c r="B3207">
        <v>598072</v>
      </c>
      <c r="D3207">
        <v>0</v>
      </c>
      <c r="F3207">
        <v>594137</v>
      </c>
      <c r="G3207">
        <v>598072</v>
      </c>
      <c r="H3207" t="s">
        <v>194</v>
      </c>
      <c r="I3207">
        <v>598071</v>
      </c>
      <c r="J3207" t="s">
        <v>194</v>
      </c>
      <c r="K3207" t="s">
        <v>20313</v>
      </c>
      <c r="L3207" t="s">
        <v>194</v>
      </c>
    </row>
    <row r="3208" spans="1:12" x14ac:dyDescent="0.25">
      <c r="A3208">
        <v>598071</v>
      </c>
      <c r="B3208">
        <v>598097</v>
      </c>
      <c r="D3208">
        <v>0</v>
      </c>
      <c r="E3208" t="s">
        <v>20315</v>
      </c>
      <c r="F3208" t="s">
        <v>20316</v>
      </c>
      <c r="G3208" t="s">
        <v>20317</v>
      </c>
      <c r="H3208" t="s">
        <v>20318</v>
      </c>
      <c r="I3208" t="s">
        <v>20319</v>
      </c>
      <c r="J3208" t="s">
        <v>20314</v>
      </c>
      <c r="K3208" t="s">
        <v>20320</v>
      </c>
      <c r="L3208" t="s">
        <v>20314</v>
      </c>
    </row>
    <row r="3209" spans="1:12" x14ac:dyDescent="0.25">
      <c r="A3209">
        <v>598071</v>
      </c>
      <c r="B3209">
        <v>598221</v>
      </c>
      <c r="D3209">
        <v>0</v>
      </c>
      <c r="E3209" t="s">
        <v>20322</v>
      </c>
      <c r="F3209" t="s">
        <v>20323</v>
      </c>
      <c r="G3209" t="s">
        <v>20324</v>
      </c>
      <c r="H3209" t="s">
        <v>20325</v>
      </c>
      <c r="I3209" t="s">
        <v>20326</v>
      </c>
      <c r="J3209" t="s">
        <v>20321</v>
      </c>
      <c r="K3209" t="s">
        <v>20327</v>
      </c>
      <c r="L3209" t="s">
        <v>20321</v>
      </c>
    </row>
    <row r="3210" spans="1:12" x14ac:dyDescent="0.25">
      <c r="A3210">
        <v>598072</v>
      </c>
      <c r="B3210">
        <v>598075</v>
      </c>
      <c r="D3210">
        <v>0</v>
      </c>
      <c r="E3210" t="s">
        <v>20329</v>
      </c>
      <c r="F3210" t="s">
        <v>20330</v>
      </c>
      <c r="G3210" t="s">
        <v>20331</v>
      </c>
      <c r="H3210" t="e" vm="1416">
        <f>_FV(0,"07369671261019148")</f>
        <v>#VALUE!</v>
      </c>
      <c r="I3210" t="s">
        <v>20332</v>
      </c>
      <c r="J3210" t="s">
        <v>20333</v>
      </c>
      <c r="K3210" t="s">
        <v>20334</v>
      </c>
      <c r="L3210" t="s">
        <v>20328</v>
      </c>
    </row>
    <row r="3211" spans="1:12" x14ac:dyDescent="0.25">
      <c r="A3211">
        <v>598072</v>
      </c>
      <c r="B3211">
        <v>598270</v>
      </c>
      <c r="D3211">
        <v>0</v>
      </c>
      <c r="E3211" t="s">
        <v>20336</v>
      </c>
      <c r="F3211" t="s">
        <v>20337</v>
      </c>
      <c r="G3211" t="s">
        <v>20338</v>
      </c>
      <c r="H3211" t="e" vm="1417">
        <f>_FV(0,"013650450683490422")</f>
        <v>#VALUE!</v>
      </c>
      <c r="I3211" t="s">
        <v>20339</v>
      </c>
      <c r="J3211" t="s">
        <v>20340</v>
      </c>
      <c r="K3211" t="s">
        <v>20341</v>
      </c>
      <c r="L3211" t="s">
        <v>20335</v>
      </c>
    </row>
    <row r="3212" spans="1:12" x14ac:dyDescent="0.25">
      <c r="A3212">
        <v>598075</v>
      </c>
      <c r="B3212">
        <v>598097</v>
      </c>
      <c r="D3212">
        <v>0</v>
      </c>
      <c r="E3212" t="s">
        <v>20343</v>
      </c>
      <c r="F3212" t="s">
        <v>20344</v>
      </c>
      <c r="G3212" t="s">
        <v>20345</v>
      </c>
      <c r="H3212" t="e" vm="1418">
        <f>_FV(0,"002956210244872577")</f>
        <v>#VALUE!</v>
      </c>
      <c r="I3212" t="s">
        <v>20346</v>
      </c>
      <c r="J3212" t="s">
        <v>20347</v>
      </c>
      <c r="K3212" t="s">
        <v>20348</v>
      </c>
      <c r="L3212" t="s">
        <v>20342</v>
      </c>
    </row>
    <row r="3213" spans="1:12" x14ac:dyDescent="0.25">
      <c r="A3213">
        <v>598075</v>
      </c>
      <c r="B3213">
        <v>598270</v>
      </c>
      <c r="D3213">
        <v>0</v>
      </c>
      <c r="E3213" t="s">
        <v>20350</v>
      </c>
      <c r="F3213" t="s">
        <v>20351</v>
      </c>
      <c r="G3213" t="s">
        <v>20352</v>
      </c>
      <c r="H3213" t="s">
        <v>20353</v>
      </c>
      <c r="I3213" t="s">
        <v>20354</v>
      </c>
      <c r="J3213" t="s">
        <v>20349</v>
      </c>
      <c r="K3213" t="s">
        <v>20355</v>
      </c>
      <c r="L3213" t="s">
        <v>20349</v>
      </c>
    </row>
    <row r="3214" spans="1:12" x14ac:dyDescent="0.25">
      <c r="A3214">
        <v>598097</v>
      </c>
      <c r="B3214">
        <v>598221</v>
      </c>
      <c r="D3214">
        <v>0</v>
      </c>
      <c r="E3214" t="s">
        <v>20356</v>
      </c>
      <c r="F3214" t="s">
        <v>20357</v>
      </c>
      <c r="G3214" t="s">
        <v>20358</v>
      </c>
      <c r="H3214" t="s">
        <v>20359</v>
      </c>
      <c r="I3214" t="s">
        <v>20360</v>
      </c>
      <c r="J3214" t="s">
        <v>13041</v>
      </c>
      <c r="K3214" t="s">
        <v>20361</v>
      </c>
      <c r="L3214" t="s">
        <v>13035</v>
      </c>
    </row>
    <row r="3215" spans="1:12" x14ac:dyDescent="0.25">
      <c r="A3215">
        <v>598221</v>
      </c>
      <c r="B3215">
        <v>1303459</v>
      </c>
      <c r="D3215" t="s">
        <v>20363</v>
      </c>
      <c r="E3215" t="s">
        <v>20364</v>
      </c>
      <c r="F3215" t="s">
        <v>20365</v>
      </c>
      <c r="G3215" t="s">
        <v>20366</v>
      </c>
      <c r="H3215" t="s">
        <v>20367</v>
      </c>
      <c r="I3215" t="s">
        <v>20368</v>
      </c>
      <c r="J3215" t="s">
        <v>20369</v>
      </c>
      <c r="K3215" t="s">
        <v>20370</v>
      </c>
      <c r="L3215" t="s">
        <v>20362</v>
      </c>
    </row>
    <row r="3216" spans="1:12" x14ac:dyDescent="0.25">
      <c r="A3216">
        <v>598270</v>
      </c>
      <c r="B3216">
        <v>598298</v>
      </c>
      <c r="D3216">
        <v>0</v>
      </c>
      <c r="E3216" t="s">
        <v>20372</v>
      </c>
      <c r="F3216" t="s">
        <v>20373</v>
      </c>
      <c r="G3216" t="s">
        <v>20374</v>
      </c>
      <c r="H3216" t="s">
        <v>20375</v>
      </c>
      <c r="I3216" t="s">
        <v>20376</v>
      </c>
      <c r="J3216" t="s">
        <v>20377</v>
      </c>
      <c r="K3216" t="s">
        <v>20378</v>
      </c>
      <c r="L3216" t="s">
        <v>20371</v>
      </c>
    </row>
    <row r="3217" spans="1:12" x14ac:dyDescent="0.25">
      <c r="A3217">
        <v>599379</v>
      </c>
      <c r="B3217">
        <v>599339</v>
      </c>
      <c r="D3217">
        <v>0</v>
      </c>
      <c r="F3217">
        <v>1027702</v>
      </c>
      <c r="G3217">
        <v>599339</v>
      </c>
      <c r="H3217" t="s">
        <v>19420</v>
      </c>
      <c r="I3217">
        <v>599379</v>
      </c>
      <c r="J3217" t="s">
        <v>19420</v>
      </c>
      <c r="K3217" t="s">
        <v>20379</v>
      </c>
      <c r="L3217" t="s">
        <v>19420</v>
      </c>
    </row>
    <row r="3218" spans="1:12" x14ac:dyDescent="0.25">
      <c r="A3218">
        <v>497797</v>
      </c>
      <c r="B3218">
        <v>831001</v>
      </c>
      <c r="D3218">
        <v>0</v>
      </c>
      <c r="E3218" t="s">
        <v>20381</v>
      </c>
      <c r="F3218" t="s">
        <v>20382</v>
      </c>
      <c r="G3218" t="s">
        <v>20383</v>
      </c>
      <c r="H3218" t="s">
        <v>20384</v>
      </c>
      <c r="I3218" t="s">
        <v>20385</v>
      </c>
      <c r="J3218" t="s">
        <v>20386</v>
      </c>
      <c r="K3218" t="s">
        <v>20387</v>
      </c>
      <c r="L3218" t="s">
        <v>20380</v>
      </c>
    </row>
    <row r="3219" spans="1:12" x14ac:dyDescent="0.25">
      <c r="A3219">
        <v>600105</v>
      </c>
      <c r="B3219">
        <v>600113</v>
      </c>
      <c r="D3219">
        <v>0</v>
      </c>
      <c r="E3219" t="s">
        <v>20389</v>
      </c>
      <c r="F3219" t="s">
        <v>20390</v>
      </c>
      <c r="G3219" t="s">
        <v>20391</v>
      </c>
      <c r="H3219" t="e" vm="1419">
        <f>_FV(0,"009222492903872236")</f>
        <v>#VALUE!</v>
      </c>
      <c r="I3219" t="s">
        <v>20392</v>
      </c>
      <c r="J3219" t="s">
        <v>20393</v>
      </c>
      <c r="K3219" t="s">
        <v>20394</v>
      </c>
      <c r="L3219" t="s">
        <v>20388</v>
      </c>
    </row>
    <row r="3220" spans="1:12" x14ac:dyDescent="0.25">
      <c r="A3220">
        <v>600105</v>
      </c>
      <c r="B3220">
        <v>601308</v>
      </c>
      <c r="D3220">
        <v>0</v>
      </c>
      <c r="E3220" t="s">
        <v>20396</v>
      </c>
      <c r="F3220" t="s">
        <v>20397</v>
      </c>
      <c r="G3220" t="s">
        <v>20398</v>
      </c>
      <c r="H3220" t="e" vm="1420">
        <f>_FV(0,"021459676873001432")</f>
        <v>#VALUE!</v>
      </c>
      <c r="I3220" t="s">
        <v>20399</v>
      </c>
      <c r="J3220" t="s">
        <v>20400</v>
      </c>
      <c r="K3220" t="s">
        <v>20401</v>
      </c>
      <c r="L3220" t="s">
        <v>20395</v>
      </c>
    </row>
    <row r="3221" spans="1:12" x14ac:dyDescent="0.25">
      <c r="A3221">
        <v>600105</v>
      </c>
      <c r="B3221">
        <v>601321</v>
      </c>
      <c r="D3221">
        <v>0</v>
      </c>
      <c r="E3221" t="s">
        <v>20403</v>
      </c>
      <c r="F3221" t="s">
        <v>20404</v>
      </c>
      <c r="G3221" t="s">
        <v>20405</v>
      </c>
      <c r="H3221" t="e" vm="1421">
        <f>_FV(0,"012310774728952032")</f>
        <v>#VALUE!</v>
      </c>
      <c r="I3221" t="s">
        <v>20406</v>
      </c>
      <c r="J3221" t="s">
        <v>20407</v>
      </c>
      <c r="K3221" t="s">
        <v>20408</v>
      </c>
      <c r="L3221" t="s">
        <v>20402</v>
      </c>
    </row>
    <row r="3222" spans="1:12" x14ac:dyDescent="0.25">
      <c r="A3222">
        <v>600113</v>
      </c>
      <c r="B3222">
        <v>601371</v>
      </c>
      <c r="D3222">
        <v>0</v>
      </c>
      <c r="E3222" t="s">
        <v>20410</v>
      </c>
      <c r="F3222" t="s">
        <v>20411</v>
      </c>
      <c r="G3222" t="s">
        <v>20412</v>
      </c>
      <c r="H3222" t="s">
        <v>20413</v>
      </c>
      <c r="I3222" t="s">
        <v>20414</v>
      </c>
      <c r="J3222" t="s">
        <v>20415</v>
      </c>
      <c r="K3222" t="s">
        <v>20416</v>
      </c>
      <c r="L3222" t="s">
        <v>20409</v>
      </c>
    </row>
    <row r="3223" spans="1:12" x14ac:dyDescent="0.25">
      <c r="A3223">
        <v>600113</v>
      </c>
      <c r="B3223">
        <v>601432</v>
      </c>
      <c r="D3223">
        <v>0</v>
      </c>
      <c r="E3223" t="s">
        <v>20418</v>
      </c>
      <c r="F3223" t="s">
        <v>20419</v>
      </c>
      <c r="G3223" t="s">
        <v>20420</v>
      </c>
      <c r="H3223" t="s">
        <v>20421</v>
      </c>
      <c r="I3223" t="s">
        <v>20422</v>
      </c>
      <c r="J3223" t="s">
        <v>20423</v>
      </c>
      <c r="K3223" t="s">
        <v>20424</v>
      </c>
      <c r="L3223" t="s">
        <v>20417</v>
      </c>
    </row>
    <row r="3224" spans="1:12" x14ac:dyDescent="0.25">
      <c r="A3224">
        <v>600118</v>
      </c>
      <c r="B3224">
        <v>600119</v>
      </c>
      <c r="D3224">
        <v>1</v>
      </c>
      <c r="F3224">
        <v>596562</v>
      </c>
      <c r="G3224">
        <v>600119</v>
      </c>
      <c r="H3224" t="e" vm="12">
        <f>_FV(0,"005")</f>
        <v>#VALUE!</v>
      </c>
      <c r="I3224">
        <v>600118</v>
      </c>
      <c r="J3224" t="s">
        <v>194</v>
      </c>
      <c r="K3224" t="s">
        <v>20425</v>
      </c>
      <c r="L3224" t="e" vm="12">
        <f>_FV(0,"005")</f>
        <v>#VALUE!</v>
      </c>
    </row>
    <row r="3225" spans="1:12" x14ac:dyDescent="0.25">
      <c r="A3225">
        <v>600118</v>
      </c>
      <c r="B3225">
        <v>601474</v>
      </c>
      <c r="D3225" t="s">
        <v>1119</v>
      </c>
      <c r="E3225" t="s">
        <v>20427</v>
      </c>
      <c r="F3225" t="s">
        <v>20428</v>
      </c>
      <c r="G3225" t="s">
        <v>20429</v>
      </c>
      <c r="H3225" t="s">
        <v>20430</v>
      </c>
      <c r="I3225" t="s">
        <v>20431</v>
      </c>
      <c r="J3225" t="s">
        <v>20432</v>
      </c>
      <c r="K3225" t="s">
        <v>20433</v>
      </c>
      <c r="L3225" t="s">
        <v>20426</v>
      </c>
    </row>
    <row r="3226" spans="1:12" x14ac:dyDescent="0.25">
      <c r="A3226">
        <v>600118</v>
      </c>
      <c r="B3226">
        <v>601485</v>
      </c>
      <c r="D3226" t="s">
        <v>1119</v>
      </c>
      <c r="E3226" t="s">
        <v>20435</v>
      </c>
      <c r="F3226" t="s">
        <v>20436</v>
      </c>
      <c r="G3226" t="s">
        <v>20437</v>
      </c>
      <c r="H3226" t="s">
        <v>20438</v>
      </c>
      <c r="I3226" t="s">
        <v>20439</v>
      </c>
      <c r="J3226" t="s">
        <v>20440</v>
      </c>
      <c r="K3226" t="s">
        <v>20441</v>
      </c>
      <c r="L3226" t="s">
        <v>20434</v>
      </c>
    </row>
    <row r="3227" spans="1:12" x14ac:dyDescent="0.25">
      <c r="A3227">
        <v>600119</v>
      </c>
      <c r="B3227">
        <v>621677</v>
      </c>
      <c r="D3227">
        <v>0</v>
      </c>
      <c r="E3227" t="s">
        <v>20443</v>
      </c>
      <c r="F3227" t="s">
        <v>20444</v>
      </c>
      <c r="G3227" t="s">
        <v>20445</v>
      </c>
      <c r="H3227" t="s">
        <v>20446</v>
      </c>
      <c r="I3227" t="s">
        <v>20447</v>
      </c>
      <c r="J3227" t="s">
        <v>20442</v>
      </c>
      <c r="K3227" t="s">
        <v>20448</v>
      </c>
      <c r="L3227" t="s">
        <v>20442</v>
      </c>
    </row>
    <row r="3228" spans="1:12" x14ac:dyDescent="0.25">
      <c r="A3228">
        <v>600119</v>
      </c>
      <c r="B3228">
        <v>634258</v>
      </c>
      <c r="C3228" t="s">
        <v>20450</v>
      </c>
      <c r="D3228">
        <v>0</v>
      </c>
      <c r="E3228" t="s">
        <v>20451</v>
      </c>
      <c r="F3228" t="s">
        <v>20452</v>
      </c>
      <c r="G3228" t="s">
        <v>20453</v>
      </c>
      <c r="H3228" t="s">
        <v>20454</v>
      </c>
      <c r="I3228" t="s">
        <v>20455</v>
      </c>
      <c r="J3228" t="s">
        <v>20449</v>
      </c>
      <c r="K3228" t="s">
        <v>20456</v>
      </c>
      <c r="L3228" t="s">
        <v>20449</v>
      </c>
    </row>
    <row r="3229" spans="1:12" x14ac:dyDescent="0.25">
      <c r="A3229">
        <v>600127</v>
      </c>
      <c r="B3229">
        <v>600128</v>
      </c>
      <c r="D3229">
        <v>0</v>
      </c>
      <c r="F3229">
        <v>596570</v>
      </c>
      <c r="G3229">
        <v>600128</v>
      </c>
      <c r="H3229" t="s">
        <v>12</v>
      </c>
      <c r="I3229">
        <v>600127</v>
      </c>
      <c r="J3229" t="s">
        <v>12</v>
      </c>
      <c r="K3229" t="s">
        <v>20457</v>
      </c>
      <c r="L3229" t="s">
        <v>12</v>
      </c>
    </row>
    <row r="3230" spans="1:12" x14ac:dyDescent="0.25">
      <c r="A3230">
        <v>600127</v>
      </c>
      <c r="B3230">
        <v>621683</v>
      </c>
      <c r="D3230">
        <v>0</v>
      </c>
      <c r="E3230" t="s">
        <v>20459</v>
      </c>
      <c r="F3230" t="s">
        <v>20460</v>
      </c>
      <c r="G3230" t="s">
        <v>20461</v>
      </c>
      <c r="H3230" t="s">
        <v>20462</v>
      </c>
      <c r="I3230" t="s">
        <v>20463</v>
      </c>
      <c r="J3230" t="s">
        <v>20458</v>
      </c>
      <c r="K3230" t="s">
        <v>20464</v>
      </c>
      <c r="L3230" t="s">
        <v>20458</v>
      </c>
    </row>
    <row r="3231" spans="1:12" x14ac:dyDescent="0.25">
      <c r="A3231">
        <v>600127</v>
      </c>
      <c r="B3231">
        <v>634220</v>
      </c>
      <c r="D3231">
        <v>0</v>
      </c>
      <c r="E3231" t="s">
        <v>20465</v>
      </c>
      <c r="F3231" t="s">
        <v>20466</v>
      </c>
      <c r="G3231" t="s">
        <v>20467</v>
      </c>
      <c r="H3231" t="s">
        <v>20468</v>
      </c>
      <c r="I3231" t="s">
        <v>20469</v>
      </c>
      <c r="J3231" t="s">
        <v>6081</v>
      </c>
      <c r="K3231" t="s">
        <v>20470</v>
      </c>
      <c r="L3231" t="s">
        <v>6081</v>
      </c>
    </row>
    <row r="3232" spans="1:12" x14ac:dyDescent="0.25">
      <c r="A3232">
        <v>600128</v>
      </c>
      <c r="B3232">
        <v>621744</v>
      </c>
      <c r="D3232" t="s">
        <v>6367</v>
      </c>
      <c r="E3232" t="s">
        <v>20472</v>
      </c>
      <c r="F3232" t="s">
        <v>20473</v>
      </c>
      <c r="G3232" t="s">
        <v>20474</v>
      </c>
      <c r="H3232" t="s">
        <v>20475</v>
      </c>
      <c r="I3232" t="s">
        <v>20476</v>
      </c>
      <c r="J3232" t="s">
        <v>20471</v>
      </c>
      <c r="K3232" t="s">
        <v>20477</v>
      </c>
      <c r="L3232" t="s">
        <v>20471</v>
      </c>
    </row>
    <row r="3233" spans="1:12" x14ac:dyDescent="0.25">
      <c r="A3233">
        <v>600128</v>
      </c>
      <c r="B3233">
        <v>634328</v>
      </c>
      <c r="D3233" t="s">
        <v>330</v>
      </c>
      <c r="E3233" t="s">
        <v>20479</v>
      </c>
      <c r="F3233" t="s">
        <v>20480</v>
      </c>
      <c r="G3233" t="s">
        <v>20481</v>
      </c>
      <c r="H3233" t="s">
        <v>20482</v>
      </c>
      <c r="I3233" t="s">
        <v>20483</v>
      </c>
      <c r="J3233" t="s">
        <v>20478</v>
      </c>
      <c r="K3233" t="s">
        <v>20484</v>
      </c>
      <c r="L3233" t="s">
        <v>20478</v>
      </c>
    </row>
    <row r="3234" spans="1:12" x14ac:dyDescent="0.25">
      <c r="A3234">
        <v>600412</v>
      </c>
      <c r="B3234">
        <v>600419</v>
      </c>
      <c r="D3234">
        <v>0</v>
      </c>
      <c r="E3234" t="s">
        <v>20486</v>
      </c>
      <c r="F3234" t="s">
        <v>20487</v>
      </c>
      <c r="G3234" t="s">
        <v>20488</v>
      </c>
      <c r="H3234" t="s">
        <v>20489</v>
      </c>
      <c r="I3234" t="s">
        <v>20490</v>
      </c>
      <c r="J3234" t="s">
        <v>20491</v>
      </c>
      <c r="K3234" t="s">
        <v>20492</v>
      </c>
      <c r="L3234" t="s">
        <v>20485</v>
      </c>
    </row>
    <row r="3235" spans="1:12" x14ac:dyDescent="0.25">
      <c r="A3235">
        <v>600412</v>
      </c>
      <c r="B3235">
        <v>600419</v>
      </c>
      <c r="D3235">
        <v>0</v>
      </c>
      <c r="E3235" t="s">
        <v>20494</v>
      </c>
      <c r="F3235" t="s">
        <v>20495</v>
      </c>
      <c r="G3235" t="s">
        <v>20496</v>
      </c>
      <c r="H3235" t="s">
        <v>20497</v>
      </c>
      <c r="I3235" t="s">
        <v>20498</v>
      </c>
      <c r="J3235" t="s">
        <v>20499</v>
      </c>
      <c r="K3235" t="s">
        <v>20500</v>
      </c>
      <c r="L3235" t="s">
        <v>20493</v>
      </c>
    </row>
    <row r="3236" spans="1:12" x14ac:dyDescent="0.25">
      <c r="A3236">
        <v>600412</v>
      </c>
      <c r="B3236">
        <v>1834710</v>
      </c>
      <c r="C3236" t="s">
        <v>20502</v>
      </c>
      <c r="D3236">
        <v>0</v>
      </c>
      <c r="E3236" t="s">
        <v>20503</v>
      </c>
      <c r="F3236" t="s">
        <v>20504</v>
      </c>
      <c r="G3236" t="s">
        <v>20505</v>
      </c>
      <c r="H3236" t="s">
        <v>20506</v>
      </c>
      <c r="I3236" t="s">
        <v>20507</v>
      </c>
      <c r="J3236" t="s">
        <v>20501</v>
      </c>
      <c r="K3236" t="s">
        <v>20508</v>
      </c>
      <c r="L3236" t="s">
        <v>20501</v>
      </c>
    </row>
    <row r="3237" spans="1:12" x14ac:dyDescent="0.25">
      <c r="A3237">
        <v>600471</v>
      </c>
      <c r="B3237">
        <v>1547278</v>
      </c>
      <c r="D3237">
        <v>0</v>
      </c>
      <c r="E3237" t="s">
        <v>20510</v>
      </c>
      <c r="F3237" t="s">
        <v>20511</v>
      </c>
      <c r="G3237" t="s">
        <v>20512</v>
      </c>
      <c r="H3237" t="e" vm="1422">
        <f>_FV(0,"01108393207667087")</f>
        <v>#VALUE!</v>
      </c>
      <c r="I3237" t="s">
        <v>20513</v>
      </c>
      <c r="J3237" t="s">
        <v>20514</v>
      </c>
      <c r="K3237" t="s">
        <v>20515</v>
      </c>
      <c r="L3237" t="s">
        <v>20509</v>
      </c>
    </row>
    <row r="3238" spans="1:12" x14ac:dyDescent="0.25">
      <c r="A3238">
        <v>600588</v>
      </c>
      <c r="B3238">
        <v>1277098</v>
      </c>
      <c r="D3238">
        <v>0</v>
      </c>
      <c r="E3238" t="s">
        <v>20517</v>
      </c>
      <c r="F3238" t="s">
        <v>20518</v>
      </c>
      <c r="G3238" t="s">
        <v>20519</v>
      </c>
      <c r="H3238" t="e" vm="1423">
        <f>_FV(0,"04645923199556855")</f>
        <v>#VALUE!</v>
      </c>
      <c r="I3238" t="s">
        <v>20520</v>
      </c>
      <c r="J3238" t="s">
        <v>20521</v>
      </c>
      <c r="K3238" t="s">
        <v>20522</v>
      </c>
      <c r="L3238" t="s">
        <v>20516</v>
      </c>
    </row>
    <row r="3239" spans="1:12" x14ac:dyDescent="0.25">
      <c r="A3239">
        <v>600684</v>
      </c>
      <c r="B3239">
        <v>1277249</v>
      </c>
      <c r="D3239">
        <v>0</v>
      </c>
      <c r="F3239">
        <v>1393319</v>
      </c>
      <c r="G3239">
        <v>1277249</v>
      </c>
      <c r="H3239" t="e" vm="1424">
        <f>_FV(0,"269")</f>
        <v>#VALUE!</v>
      </c>
      <c r="I3239">
        <v>600684</v>
      </c>
      <c r="J3239" t="s">
        <v>20523</v>
      </c>
      <c r="K3239" t="s">
        <v>20524</v>
      </c>
      <c r="L3239" t="e" vm="1424">
        <f>_FV(0,"269")</f>
        <v>#VALUE!</v>
      </c>
    </row>
    <row r="3240" spans="1:12" x14ac:dyDescent="0.25">
      <c r="A3240">
        <v>600684</v>
      </c>
      <c r="B3240">
        <v>1277270</v>
      </c>
      <c r="D3240">
        <v>0</v>
      </c>
      <c r="E3240" t="s">
        <v>20526</v>
      </c>
      <c r="F3240" t="s">
        <v>20527</v>
      </c>
      <c r="G3240" t="s">
        <v>20528</v>
      </c>
      <c r="H3240" t="s">
        <v>20529</v>
      </c>
      <c r="I3240" t="s">
        <v>20530</v>
      </c>
      <c r="J3240" t="s">
        <v>20531</v>
      </c>
      <c r="K3240" t="s">
        <v>20532</v>
      </c>
      <c r="L3240" t="s">
        <v>20525</v>
      </c>
    </row>
    <row r="3241" spans="1:12" x14ac:dyDescent="0.25">
      <c r="A3241">
        <v>600786</v>
      </c>
      <c r="B3241">
        <v>600846</v>
      </c>
      <c r="C3241" t="s">
        <v>20534</v>
      </c>
      <c r="D3241" t="s">
        <v>330</v>
      </c>
      <c r="E3241" t="s">
        <v>20535</v>
      </c>
      <c r="F3241" t="s">
        <v>20536</v>
      </c>
      <c r="G3241" t="s">
        <v>20537</v>
      </c>
      <c r="H3241" t="e" vm="1425">
        <f>_FV(0,"0075717769341230624")</f>
        <v>#VALUE!</v>
      </c>
      <c r="I3241" t="s">
        <v>20538</v>
      </c>
      <c r="J3241" t="s">
        <v>20539</v>
      </c>
      <c r="K3241" t="s">
        <v>20540</v>
      </c>
      <c r="L3241" t="s">
        <v>20533</v>
      </c>
    </row>
    <row r="3242" spans="1:12" x14ac:dyDescent="0.25">
      <c r="A3242">
        <v>600786</v>
      </c>
      <c r="B3242">
        <v>600817</v>
      </c>
      <c r="D3242">
        <v>0</v>
      </c>
      <c r="E3242" t="s">
        <v>20542</v>
      </c>
      <c r="F3242" t="s">
        <v>20543</v>
      </c>
      <c r="G3242" t="s">
        <v>20544</v>
      </c>
      <c r="H3242" t="s">
        <v>20545</v>
      </c>
      <c r="I3242" t="s">
        <v>20546</v>
      </c>
      <c r="J3242" t="s">
        <v>20541</v>
      </c>
      <c r="K3242" t="s">
        <v>20547</v>
      </c>
      <c r="L3242" t="s">
        <v>20541</v>
      </c>
    </row>
    <row r="3243" spans="1:12" x14ac:dyDescent="0.25">
      <c r="A3243">
        <v>600792</v>
      </c>
      <c r="B3243">
        <v>600817</v>
      </c>
      <c r="D3243" t="s">
        <v>2793</v>
      </c>
      <c r="E3243" t="s">
        <v>20549</v>
      </c>
      <c r="F3243" t="s">
        <v>20550</v>
      </c>
      <c r="G3243" t="s">
        <v>20551</v>
      </c>
      <c r="H3243" t="s">
        <v>20552</v>
      </c>
      <c r="I3243" t="s">
        <v>20553</v>
      </c>
      <c r="J3243" t="s">
        <v>20548</v>
      </c>
      <c r="K3243" t="s">
        <v>20554</v>
      </c>
      <c r="L3243" t="s">
        <v>20548</v>
      </c>
    </row>
    <row r="3244" spans="1:12" x14ac:dyDescent="0.25">
      <c r="A3244">
        <v>600792</v>
      </c>
      <c r="B3244">
        <v>1307339</v>
      </c>
      <c r="D3244">
        <v>0</v>
      </c>
      <c r="E3244" t="s">
        <v>20556</v>
      </c>
      <c r="F3244" t="s">
        <v>20557</v>
      </c>
      <c r="G3244" t="s">
        <v>20558</v>
      </c>
      <c r="H3244" t="e" vm="1426">
        <f>_FV(0,"01261462146464934")</f>
        <v>#VALUE!</v>
      </c>
      <c r="I3244" t="s">
        <v>20559</v>
      </c>
      <c r="J3244" t="s">
        <v>20560</v>
      </c>
      <c r="K3244" t="s">
        <v>20561</v>
      </c>
      <c r="L3244" t="s">
        <v>20555</v>
      </c>
    </row>
    <row r="3245" spans="1:12" x14ac:dyDescent="0.25">
      <c r="A3245">
        <v>600846</v>
      </c>
      <c r="B3245">
        <v>601125</v>
      </c>
      <c r="D3245">
        <v>0</v>
      </c>
      <c r="E3245" t="s">
        <v>20563</v>
      </c>
      <c r="F3245" t="s">
        <v>20564</v>
      </c>
      <c r="G3245" t="s">
        <v>20565</v>
      </c>
      <c r="H3245" t="e" vm="1427">
        <f>_FV(0,"01172830540041692")</f>
        <v>#VALUE!</v>
      </c>
      <c r="I3245" t="s">
        <v>20566</v>
      </c>
      <c r="J3245" t="s">
        <v>20567</v>
      </c>
      <c r="K3245" t="s">
        <v>20568</v>
      </c>
      <c r="L3245" t="s">
        <v>20562</v>
      </c>
    </row>
    <row r="3246" spans="1:12" x14ac:dyDescent="0.25">
      <c r="A3246">
        <v>600846</v>
      </c>
      <c r="B3246">
        <v>601174</v>
      </c>
      <c r="D3246">
        <v>0</v>
      </c>
      <c r="E3246" t="s">
        <v>20570</v>
      </c>
      <c r="F3246" t="s">
        <v>20571</v>
      </c>
      <c r="G3246" t="s">
        <v>20572</v>
      </c>
      <c r="H3246" t="s">
        <v>20573</v>
      </c>
      <c r="I3246" t="s">
        <v>20574</v>
      </c>
      <c r="J3246" t="s">
        <v>20575</v>
      </c>
      <c r="K3246" t="s">
        <v>20576</v>
      </c>
      <c r="L3246" t="s">
        <v>20569</v>
      </c>
    </row>
    <row r="3247" spans="1:12" x14ac:dyDescent="0.25">
      <c r="A3247">
        <v>600853</v>
      </c>
      <c r="B3247">
        <v>545211</v>
      </c>
      <c r="D3247">
        <v>0</v>
      </c>
      <c r="E3247" t="s">
        <v>20577</v>
      </c>
      <c r="F3247" t="s">
        <v>20578</v>
      </c>
      <c r="G3247" t="s">
        <v>20579</v>
      </c>
      <c r="H3247" t="s">
        <v>20580</v>
      </c>
      <c r="I3247" t="s">
        <v>20581</v>
      </c>
      <c r="J3247" t="s">
        <v>1829</v>
      </c>
      <c r="K3247" t="s">
        <v>20582</v>
      </c>
      <c r="L3247" t="s">
        <v>1829</v>
      </c>
    </row>
    <row r="3248" spans="1:12" x14ac:dyDescent="0.25">
      <c r="A3248">
        <v>600853</v>
      </c>
      <c r="B3248">
        <v>601157</v>
      </c>
      <c r="D3248">
        <v>0</v>
      </c>
      <c r="E3248" t="s">
        <v>20584</v>
      </c>
      <c r="F3248" t="s">
        <v>20585</v>
      </c>
      <c r="G3248" t="s">
        <v>20586</v>
      </c>
      <c r="H3248" t="s">
        <v>20587</v>
      </c>
      <c r="I3248" t="s">
        <v>20588</v>
      </c>
      <c r="J3248" t="s">
        <v>20583</v>
      </c>
      <c r="K3248" t="s">
        <v>20589</v>
      </c>
      <c r="L3248" t="s">
        <v>20583</v>
      </c>
    </row>
    <row r="3249" spans="1:12" x14ac:dyDescent="0.25">
      <c r="A3249">
        <v>600853</v>
      </c>
      <c r="B3249">
        <v>601170</v>
      </c>
      <c r="D3249">
        <v>0</v>
      </c>
      <c r="E3249" t="s">
        <v>20591</v>
      </c>
      <c r="F3249" t="s">
        <v>20592</v>
      </c>
      <c r="G3249" t="s">
        <v>20593</v>
      </c>
      <c r="H3249" t="s">
        <v>20594</v>
      </c>
      <c r="I3249" t="s">
        <v>20595</v>
      </c>
      <c r="J3249" t="s">
        <v>20596</v>
      </c>
      <c r="K3249" t="s">
        <v>20597</v>
      </c>
      <c r="L3249" t="s">
        <v>20590</v>
      </c>
    </row>
    <row r="3250" spans="1:12" x14ac:dyDescent="0.25">
      <c r="A3250">
        <v>600925</v>
      </c>
      <c r="B3250">
        <v>600928</v>
      </c>
      <c r="D3250">
        <v>0</v>
      </c>
      <c r="E3250" t="s">
        <v>20599</v>
      </c>
      <c r="F3250" t="s">
        <v>20600</v>
      </c>
      <c r="G3250" t="s">
        <v>20601</v>
      </c>
      <c r="H3250" t="s">
        <v>20602</v>
      </c>
      <c r="I3250" t="s">
        <v>20603</v>
      </c>
      <c r="J3250" t="s">
        <v>20604</v>
      </c>
      <c r="K3250" t="s">
        <v>20605</v>
      </c>
      <c r="L3250" t="s">
        <v>20598</v>
      </c>
    </row>
    <row r="3251" spans="1:12" x14ac:dyDescent="0.25">
      <c r="A3251">
        <v>600925</v>
      </c>
      <c r="B3251">
        <v>600928</v>
      </c>
      <c r="D3251">
        <v>0</v>
      </c>
      <c r="E3251" t="s">
        <v>20607</v>
      </c>
      <c r="F3251" t="s">
        <v>20608</v>
      </c>
      <c r="G3251" t="s">
        <v>20609</v>
      </c>
      <c r="H3251" t="s">
        <v>20610</v>
      </c>
      <c r="I3251" t="s">
        <v>20611</v>
      </c>
      <c r="J3251" t="s">
        <v>20612</v>
      </c>
      <c r="K3251" t="s">
        <v>20613</v>
      </c>
      <c r="L3251" t="s">
        <v>20606</v>
      </c>
    </row>
    <row r="3252" spans="1:12" x14ac:dyDescent="0.25">
      <c r="A3252">
        <v>600925</v>
      </c>
      <c r="B3252">
        <v>1114300</v>
      </c>
      <c r="C3252" t="s">
        <v>20615</v>
      </c>
      <c r="D3252" t="s">
        <v>20616</v>
      </c>
      <c r="E3252" t="s">
        <v>20617</v>
      </c>
      <c r="F3252" t="s">
        <v>20618</v>
      </c>
      <c r="G3252" t="s">
        <v>20619</v>
      </c>
      <c r="H3252" t="s">
        <v>20620</v>
      </c>
      <c r="I3252" t="s">
        <v>20621</v>
      </c>
      <c r="J3252" t="s">
        <v>20622</v>
      </c>
      <c r="K3252" t="s">
        <v>20623</v>
      </c>
      <c r="L3252" t="s">
        <v>20614</v>
      </c>
    </row>
    <row r="3253" spans="1:12" x14ac:dyDescent="0.25">
      <c r="A3253">
        <v>600928</v>
      </c>
      <c r="B3253">
        <v>621775</v>
      </c>
      <c r="D3253" t="s">
        <v>20625</v>
      </c>
      <c r="E3253" t="s">
        <v>20626</v>
      </c>
      <c r="F3253" t="s">
        <v>20627</v>
      </c>
      <c r="G3253" t="s">
        <v>20628</v>
      </c>
      <c r="H3253" t="e" vm="1428">
        <f>_FV(0,"0033808602092053742")</f>
        <v>#VALUE!</v>
      </c>
      <c r="I3253" t="s">
        <v>20629</v>
      </c>
      <c r="J3253" t="s">
        <v>20630</v>
      </c>
      <c r="K3253" t="s">
        <v>20631</v>
      </c>
      <c r="L3253" t="s">
        <v>20624</v>
      </c>
    </row>
    <row r="3254" spans="1:12" x14ac:dyDescent="0.25">
      <c r="A3254">
        <v>532028</v>
      </c>
      <c r="B3254">
        <v>825888</v>
      </c>
      <c r="D3254">
        <v>0</v>
      </c>
      <c r="E3254" t="s">
        <v>20633</v>
      </c>
      <c r="F3254" t="s">
        <v>20634</v>
      </c>
      <c r="G3254" t="s">
        <v>20635</v>
      </c>
      <c r="H3254" t="e" vm="1429">
        <f>_FV(0,"02075807065768329")</f>
        <v>#VALUE!</v>
      </c>
      <c r="I3254" t="s">
        <v>20636</v>
      </c>
      <c r="J3254" t="s">
        <v>20637</v>
      </c>
      <c r="K3254" t="s">
        <v>20638</v>
      </c>
      <c r="L3254" t="s">
        <v>20632</v>
      </c>
    </row>
    <row r="3255" spans="1:12" x14ac:dyDescent="0.25">
      <c r="A3255">
        <v>601093</v>
      </c>
      <c r="B3255">
        <v>601098</v>
      </c>
      <c r="D3255">
        <v>0</v>
      </c>
      <c r="F3255">
        <v>597860</v>
      </c>
      <c r="G3255">
        <v>601098</v>
      </c>
      <c r="H3255" t="e" vm="1006">
        <f>_FV(0,"006")</f>
        <v>#VALUE!</v>
      </c>
      <c r="I3255">
        <v>601093</v>
      </c>
      <c r="J3255" t="s">
        <v>250</v>
      </c>
      <c r="K3255" t="s">
        <v>20639</v>
      </c>
      <c r="L3255" t="e" vm="1006">
        <f>_FV(0,"006")</f>
        <v>#VALUE!</v>
      </c>
    </row>
    <row r="3256" spans="1:12" x14ac:dyDescent="0.25">
      <c r="A3256">
        <v>601098</v>
      </c>
      <c r="B3256">
        <v>1183932</v>
      </c>
      <c r="D3256">
        <v>0</v>
      </c>
      <c r="E3256" t="s">
        <v>20641</v>
      </c>
      <c r="F3256" t="s">
        <v>20642</v>
      </c>
      <c r="G3256" t="s">
        <v>20643</v>
      </c>
      <c r="H3256" t="e" vm="1430">
        <f>_FV(0,"008424346652735098")</f>
        <v>#VALUE!</v>
      </c>
      <c r="I3256" t="s">
        <v>20644</v>
      </c>
      <c r="J3256" t="s">
        <v>20645</v>
      </c>
      <c r="K3256" t="s">
        <v>20646</v>
      </c>
      <c r="L3256" t="s">
        <v>20640</v>
      </c>
    </row>
    <row r="3257" spans="1:12" x14ac:dyDescent="0.25">
      <c r="A3257">
        <v>601098</v>
      </c>
      <c r="B3257">
        <v>1184086</v>
      </c>
      <c r="D3257">
        <v>0</v>
      </c>
      <c r="E3257" t="s">
        <v>20648</v>
      </c>
      <c r="F3257" t="s">
        <v>20649</v>
      </c>
      <c r="G3257" t="s">
        <v>20650</v>
      </c>
      <c r="H3257" t="e" vm="1431">
        <f>_FV(0,"008754551121491042")</f>
        <v>#VALUE!</v>
      </c>
      <c r="I3257" t="s">
        <v>20651</v>
      </c>
      <c r="J3257" t="s">
        <v>20652</v>
      </c>
      <c r="K3257" t="s">
        <v>20653</v>
      </c>
      <c r="L3257" t="s">
        <v>20647</v>
      </c>
    </row>
    <row r="3258" spans="1:12" x14ac:dyDescent="0.25">
      <c r="A3258">
        <v>601125</v>
      </c>
      <c r="B3258">
        <v>601157</v>
      </c>
      <c r="D3258">
        <v>0</v>
      </c>
      <c r="E3258" t="s">
        <v>20655</v>
      </c>
      <c r="F3258" t="s">
        <v>20656</v>
      </c>
      <c r="G3258" t="s">
        <v>20657</v>
      </c>
      <c r="H3258" t="s">
        <v>20658</v>
      </c>
      <c r="I3258" t="s">
        <v>20659</v>
      </c>
      <c r="J3258" t="s">
        <v>20660</v>
      </c>
      <c r="K3258" t="s">
        <v>20661</v>
      </c>
      <c r="L3258" t="s">
        <v>20654</v>
      </c>
    </row>
    <row r="3259" spans="1:12" x14ac:dyDescent="0.25">
      <c r="A3259">
        <v>601125</v>
      </c>
      <c r="B3259">
        <v>601174</v>
      </c>
      <c r="D3259">
        <v>0</v>
      </c>
      <c r="E3259" t="s">
        <v>20663</v>
      </c>
      <c r="F3259" t="s">
        <v>20664</v>
      </c>
      <c r="G3259" t="s">
        <v>20665</v>
      </c>
      <c r="H3259" t="e" vm="1432">
        <f>_FV(0,"04057452311585494")</f>
        <v>#VALUE!</v>
      </c>
      <c r="I3259" t="s">
        <v>20666</v>
      </c>
      <c r="J3259" t="s">
        <v>20667</v>
      </c>
      <c r="K3259" t="s">
        <v>20668</v>
      </c>
      <c r="L3259" t="s">
        <v>20662</v>
      </c>
    </row>
    <row r="3260" spans="1:12" x14ac:dyDescent="0.25">
      <c r="A3260">
        <v>601157</v>
      </c>
      <c r="B3260">
        <v>601170</v>
      </c>
      <c r="D3260">
        <v>0</v>
      </c>
      <c r="E3260" t="s">
        <v>20670</v>
      </c>
      <c r="F3260" t="s">
        <v>20671</v>
      </c>
      <c r="G3260" t="s">
        <v>20672</v>
      </c>
      <c r="H3260" t="s">
        <v>20673</v>
      </c>
      <c r="I3260" t="s">
        <v>20674</v>
      </c>
      <c r="J3260" t="s">
        <v>20675</v>
      </c>
      <c r="K3260" t="s">
        <v>20676</v>
      </c>
      <c r="L3260" t="s">
        <v>20669</v>
      </c>
    </row>
    <row r="3261" spans="1:12" x14ac:dyDescent="0.25">
      <c r="A3261">
        <v>601170</v>
      </c>
      <c r="B3261">
        <v>601174</v>
      </c>
      <c r="D3261">
        <v>0</v>
      </c>
      <c r="F3261">
        <v>597964</v>
      </c>
      <c r="G3261">
        <v>601174</v>
      </c>
      <c r="H3261" t="e" vm="201">
        <f>_FV(0,"002")</f>
        <v>#VALUE!</v>
      </c>
      <c r="I3261">
        <v>601170</v>
      </c>
      <c r="J3261" t="s">
        <v>1534</v>
      </c>
      <c r="K3261" t="s">
        <v>20677</v>
      </c>
      <c r="L3261" t="e" vm="201">
        <f>_FV(0,"002")</f>
        <v>#VALUE!</v>
      </c>
    </row>
    <row r="3262" spans="1:12" x14ac:dyDescent="0.25">
      <c r="A3262">
        <v>601215</v>
      </c>
      <c r="B3262">
        <v>601229</v>
      </c>
      <c r="D3262">
        <v>0</v>
      </c>
      <c r="E3262" t="s">
        <v>20679</v>
      </c>
      <c r="F3262" t="s">
        <v>20680</v>
      </c>
      <c r="G3262" t="s">
        <v>20681</v>
      </c>
      <c r="H3262" t="s">
        <v>20682</v>
      </c>
      <c r="I3262" t="s">
        <v>20683</v>
      </c>
      <c r="J3262" t="s">
        <v>20678</v>
      </c>
      <c r="K3262" t="s">
        <v>20684</v>
      </c>
      <c r="L3262" t="s">
        <v>20678</v>
      </c>
    </row>
    <row r="3263" spans="1:12" x14ac:dyDescent="0.25">
      <c r="A3263">
        <v>601229</v>
      </c>
      <c r="B3263">
        <v>825953</v>
      </c>
      <c r="D3263">
        <v>0</v>
      </c>
      <c r="E3263" t="s">
        <v>20686</v>
      </c>
      <c r="F3263" t="s">
        <v>20687</v>
      </c>
      <c r="G3263" t="s">
        <v>20688</v>
      </c>
      <c r="H3263" t="s">
        <v>20689</v>
      </c>
      <c r="I3263" t="s">
        <v>20690</v>
      </c>
      <c r="J3263" t="s">
        <v>20691</v>
      </c>
      <c r="K3263" t="s">
        <v>20692</v>
      </c>
      <c r="L3263" t="s">
        <v>20685</v>
      </c>
    </row>
    <row r="3264" spans="1:12" x14ac:dyDescent="0.25">
      <c r="A3264">
        <v>601241</v>
      </c>
      <c r="B3264">
        <v>601262</v>
      </c>
      <c r="D3264">
        <v>0</v>
      </c>
      <c r="E3264" t="s">
        <v>20694</v>
      </c>
      <c r="F3264" t="s">
        <v>20695</v>
      </c>
      <c r="G3264" t="s">
        <v>20696</v>
      </c>
      <c r="H3264" t="e" vm="1433">
        <f>_FV(0,"07641825791273547")</f>
        <v>#VALUE!</v>
      </c>
      <c r="I3264" t="s">
        <v>20697</v>
      </c>
      <c r="J3264" t="s">
        <v>20698</v>
      </c>
      <c r="K3264" t="s">
        <v>20699</v>
      </c>
      <c r="L3264" t="s">
        <v>20693</v>
      </c>
    </row>
    <row r="3265" spans="1:12" x14ac:dyDescent="0.25">
      <c r="A3265">
        <v>601241</v>
      </c>
      <c r="B3265">
        <v>601285</v>
      </c>
      <c r="D3265">
        <v>0</v>
      </c>
      <c r="E3265" t="s">
        <v>20701</v>
      </c>
      <c r="F3265" t="s">
        <v>20702</v>
      </c>
      <c r="G3265" t="s">
        <v>20703</v>
      </c>
      <c r="H3265" t="e" vm="1434">
        <f>_FV(0,"014229951622884218")</f>
        <v>#VALUE!</v>
      </c>
      <c r="I3265" t="s">
        <v>20704</v>
      </c>
      <c r="J3265" t="s">
        <v>20705</v>
      </c>
      <c r="K3265" t="s">
        <v>20706</v>
      </c>
      <c r="L3265" t="s">
        <v>20700</v>
      </c>
    </row>
    <row r="3266" spans="1:12" x14ac:dyDescent="0.25">
      <c r="A3266">
        <v>601243</v>
      </c>
      <c r="B3266">
        <v>601249</v>
      </c>
      <c r="D3266">
        <v>0</v>
      </c>
      <c r="E3266" t="s">
        <v>20708</v>
      </c>
      <c r="F3266" t="s">
        <v>20709</v>
      </c>
      <c r="G3266" t="s">
        <v>20710</v>
      </c>
      <c r="H3266" t="e" vm="1435">
        <f>_FV(0,"010122285867021383")</f>
        <v>#VALUE!</v>
      </c>
      <c r="I3266" t="s">
        <v>20711</v>
      </c>
      <c r="J3266" t="s">
        <v>20712</v>
      </c>
      <c r="K3266" t="s">
        <v>20713</v>
      </c>
      <c r="L3266" t="s">
        <v>20707</v>
      </c>
    </row>
    <row r="3267" spans="1:12" x14ac:dyDescent="0.25">
      <c r="A3267">
        <v>601243</v>
      </c>
      <c r="B3267">
        <v>601249</v>
      </c>
      <c r="D3267">
        <v>0</v>
      </c>
      <c r="E3267" t="s">
        <v>20715</v>
      </c>
      <c r="F3267" t="s">
        <v>20716</v>
      </c>
      <c r="G3267" t="s">
        <v>20717</v>
      </c>
      <c r="H3267" t="e" vm="1436">
        <f>_FV(0,"01034532147023892")</f>
        <v>#VALUE!</v>
      </c>
      <c r="I3267" t="s">
        <v>20718</v>
      </c>
      <c r="J3267" t="s">
        <v>20719</v>
      </c>
      <c r="K3267" t="s">
        <v>20720</v>
      </c>
      <c r="L3267" t="s">
        <v>20714</v>
      </c>
    </row>
    <row r="3268" spans="1:12" x14ac:dyDescent="0.25">
      <c r="A3268">
        <v>601243</v>
      </c>
      <c r="B3268">
        <v>660264</v>
      </c>
      <c r="C3268" t="s">
        <v>20722</v>
      </c>
      <c r="D3268" t="s">
        <v>20723</v>
      </c>
      <c r="E3268" t="s">
        <v>20724</v>
      </c>
      <c r="F3268" t="s">
        <v>20725</v>
      </c>
      <c r="G3268" t="s">
        <v>20726</v>
      </c>
      <c r="H3268" t="e" vm="1437">
        <f>_FV(0,"013473090182632215")</f>
        <v>#VALUE!</v>
      </c>
      <c r="I3268" t="s">
        <v>20727</v>
      </c>
      <c r="J3268" t="s">
        <v>20728</v>
      </c>
      <c r="K3268" t="s">
        <v>20729</v>
      </c>
      <c r="L3268" t="s">
        <v>20721</v>
      </c>
    </row>
    <row r="3269" spans="1:12" x14ac:dyDescent="0.25">
      <c r="A3269">
        <v>601249</v>
      </c>
      <c r="B3269">
        <v>601303</v>
      </c>
      <c r="D3269">
        <v>0</v>
      </c>
      <c r="E3269" t="s">
        <v>20731</v>
      </c>
      <c r="F3269" t="s">
        <v>20732</v>
      </c>
      <c r="G3269" t="s">
        <v>20733</v>
      </c>
      <c r="H3269" t="e" vm="1438">
        <f>_FV(0,"006428572274849779")</f>
        <v>#VALUE!</v>
      </c>
      <c r="I3269" t="s">
        <v>20734</v>
      </c>
      <c r="J3269" t="s">
        <v>20735</v>
      </c>
      <c r="K3269" t="s">
        <v>20736</v>
      </c>
      <c r="L3269" t="s">
        <v>20730</v>
      </c>
    </row>
    <row r="3270" spans="1:12" x14ac:dyDescent="0.25">
      <c r="A3270">
        <v>601262</v>
      </c>
      <c r="B3270">
        <v>601277</v>
      </c>
      <c r="D3270">
        <v>0</v>
      </c>
      <c r="E3270" t="s">
        <v>20738</v>
      </c>
      <c r="F3270" t="s">
        <v>20739</v>
      </c>
      <c r="G3270" t="s">
        <v>20740</v>
      </c>
      <c r="H3270" t="s">
        <v>20741</v>
      </c>
      <c r="I3270" t="s">
        <v>20742</v>
      </c>
      <c r="J3270" t="s">
        <v>20743</v>
      </c>
      <c r="K3270" t="s">
        <v>20744</v>
      </c>
      <c r="L3270" t="s">
        <v>20737</v>
      </c>
    </row>
    <row r="3271" spans="1:12" x14ac:dyDescent="0.25">
      <c r="A3271">
        <v>601262</v>
      </c>
      <c r="B3271">
        <v>621544</v>
      </c>
      <c r="D3271">
        <v>0</v>
      </c>
      <c r="E3271" t="s">
        <v>20746</v>
      </c>
      <c r="F3271" t="s">
        <v>20747</v>
      </c>
      <c r="G3271" t="s">
        <v>20748</v>
      </c>
      <c r="H3271" t="e" vm="1439">
        <f>_FV(0,"059623598208331186")</f>
        <v>#VALUE!</v>
      </c>
      <c r="I3271" t="s">
        <v>20749</v>
      </c>
      <c r="J3271" t="s">
        <v>20750</v>
      </c>
      <c r="K3271" t="s">
        <v>20751</v>
      </c>
      <c r="L3271" t="s">
        <v>20745</v>
      </c>
    </row>
    <row r="3272" spans="1:12" x14ac:dyDescent="0.25">
      <c r="A3272">
        <v>601277</v>
      </c>
      <c r="B3272">
        <v>601285</v>
      </c>
      <c r="D3272">
        <v>0</v>
      </c>
      <c r="F3272">
        <v>598133</v>
      </c>
      <c r="G3272">
        <v>601285</v>
      </c>
      <c r="H3272" t="s">
        <v>19206</v>
      </c>
      <c r="I3272">
        <v>601277</v>
      </c>
      <c r="J3272" t="s">
        <v>19206</v>
      </c>
      <c r="K3272" t="s">
        <v>20752</v>
      </c>
      <c r="L3272" t="s">
        <v>19206</v>
      </c>
    </row>
    <row r="3273" spans="1:12" x14ac:dyDescent="0.25">
      <c r="A3273">
        <v>601277</v>
      </c>
      <c r="B3273">
        <v>621544</v>
      </c>
      <c r="D3273">
        <v>0</v>
      </c>
      <c r="E3273" t="s">
        <v>20754</v>
      </c>
      <c r="F3273" t="s">
        <v>20755</v>
      </c>
      <c r="G3273" t="s">
        <v>20756</v>
      </c>
      <c r="H3273" t="e" vm="1440">
        <f>_FV(0,"06863619373216294")</f>
        <v>#VALUE!</v>
      </c>
      <c r="I3273" t="s">
        <v>20757</v>
      </c>
      <c r="J3273" t="s">
        <v>20758</v>
      </c>
      <c r="K3273" t="s">
        <v>20759</v>
      </c>
      <c r="L3273" t="s">
        <v>20753</v>
      </c>
    </row>
    <row r="3274" spans="1:12" x14ac:dyDescent="0.25">
      <c r="A3274">
        <v>601303</v>
      </c>
      <c r="B3274">
        <v>622852</v>
      </c>
      <c r="D3274">
        <v>0</v>
      </c>
      <c r="F3274">
        <v>626958</v>
      </c>
      <c r="G3274">
        <v>622852</v>
      </c>
      <c r="H3274" t="s">
        <v>279</v>
      </c>
      <c r="I3274">
        <v>601303</v>
      </c>
      <c r="J3274" t="s">
        <v>279</v>
      </c>
      <c r="K3274" t="s">
        <v>20760</v>
      </c>
      <c r="L3274" t="s">
        <v>279</v>
      </c>
    </row>
    <row r="3275" spans="1:12" x14ac:dyDescent="0.25">
      <c r="A3275">
        <v>601303</v>
      </c>
      <c r="B3275">
        <v>621008</v>
      </c>
      <c r="D3275">
        <v>0</v>
      </c>
      <c r="E3275" t="s">
        <v>20762</v>
      </c>
      <c r="F3275" t="s">
        <v>20763</v>
      </c>
      <c r="G3275" t="s">
        <v>20764</v>
      </c>
      <c r="H3275" t="s">
        <v>20765</v>
      </c>
      <c r="I3275" t="s">
        <v>20766</v>
      </c>
      <c r="J3275" t="s">
        <v>20767</v>
      </c>
      <c r="K3275" t="s">
        <v>20768</v>
      </c>
      <c r="L3275" t="s">
        <v>20761</v>
      </c>
    </row>
    <row r="3276" spans="1:12" x14ac:dyDescent="0.25">
      <c r="A3276">
        <v>601307</v>
      </c>
      <c r="B3276">
        <v>601308</v>
      </c>
      <c r="D3276">
        <v>0</v>
      </c>
      <c r="F3276">
        <v>598165</v>
      </c>
      <c r="G3276">
        <v>601308</v>
      </c>
      <c r="H3276" t="e" vm="201">
        <f>_FV(0,"002")</f>
        <v>#VALUE!</v>
      </c>
      <c r="I3276">
        <v>601307</v>
      </c>
      <c r="J3276" t="s">
        <v>1534</v>
      </c>
      <c r="K3276" t="s">
        <v>20769</v>
      </c>
      <c r="L3276" t="e" vm="201">
        <f>_FV(0,"002")</f>
        <v>#VALUE!</v>
      </c>
    </row>
    <row r="3277" spans="1:12" x14ac:dyDescent="0.25">
      <c r="A3277">
        <v>601307</v>
      </c>
      <c r="B3277">
        <v>601351</v>
      </c>
      <c r="D3277">
        <v>0</v>
      </c>
      <c r="E3277" t="s">
        <v>20770</v>
      </c>
      <c r="F3277" t="s">
        <v>20771</v>
      </c>
      <c r="G3277" t="s">
        <v>20772</v>
      </c>
      <c r="H3277" t="s">
        <v>20773</v>
      </c>
      <c r="I3277" t="s">
        <v>20774</v>
      </c>
      <c r="J3277" t="s">
        <v>15714</v>
      </c>
      <c r="K3277" t="s">
        <v>20775</v>
      </c>
      <c r="L3277" t="s">
        <v>15714</v>
      </c>
    </row>
    <row r="3278" spans="1:12" x14ac:dyDescent="0.25">
      <c r="A3278">
        <v>601307</v>
      </c>
      <c r="B3278">
        <v>621548</v>
      </c>
      <c r="D3278">
        <v>0</v>
      </c>
      <c r="E3278" t="s">
        <v>20777</v>
      </c>
      <c r="F3278" t="s">
        <v>20778</v>
      </c>
      <c r="G3278" t="s">
        <v>20779</v>
      </c>
      <c r="H3278" t="s">
        <v>20780</v>
      </c>
      <c r="I3278" t="s">
        <v>20781</v>
      </c>
      <c r="J3278" t="s">
        <v>20776</v>
      </c>
      <c r="K3278" t="s">
        <v>20782</v>
      </c>
      <c r="L3278" t="s">
        <v>20776</v>
      </c>
    </row>
    <row r="3279" spans="1:12" x14ac:dyDescent="0.25">
      <c r="A3279">
        <v>601308</v>
      </c>
      <c r="B3279">
        <v>601321</v>
      </c>
      <c r="D3279">
        <v>0</v>
      </c>
      <c r="E3279" t="s">
        <v>20784</v>
      </c>
      <c r="F3279" t="s">
        <v>20785</v>
      </c>
      <c r="G3279" t="s">
        <v>20786</v>
      </c>
      <c r="H3279" t="e" vm="1441">
        <f>_FV(0,"022396571900370674")</f>
        <v>#VALUE!</v>
      </c>
      <c r="I3279" t="s">
        <v>20787</v>
      </c>
      <c r="J3279" t="s">
        <v>20788</v>
      </c>
      <c r="K3279" t="s">
        <v>20789</v>
      </c>
      <c r="L3279" t="s">
        <v>20783</v>
      </c>
    </row>
    <row r="3280" spans="1:12" x14ac:dyDescent="0.25">
      <c r="A3280">
        <v>601310</v>
      </c>
      <c r="B3280">
        <v>621023</v>
      </c>
      <c r="D3280">
        <v>0</v>
      </c>
      <c r="F3280">
        <v>624016</v>
      </c>
      <c r="G3280">
        <v>601310</v>
      </c>
      <c r="H3280" t="e" vm="493">
        <f>_FV(0,"025")</f>
        <v>#VALUE!</v>
      </c>
      <c r="I3280">
        <v>621023</v>
      </c>
      <c r="J3280" t="s">
        <v>899</v>
      </c>
      <c r="K3280" t="s">
        <v>20790</v>
      </c>
      <c r="L3280" t="e" vm="493">
        <f>_FV(0,"025")</f>
        <v>#VALUE!</v>
      </c>
    </row>
    <row r="3281" spans="1:12" x14ac:dyDescent="0.25">
      <c r="A3281">
        <v>601310</v>
      </c>
      <c r="B3281">
        <v>622858</v>
      </c>
      <c r="D3281">
        <v>0</v>
      </c>
      <c r="E3281" t="s">
        <v>20792</v>
      </c>
      <c r="F3281" t="s">
        <v>20793</v>
      </c>
      <c r="G3281" t="s">
        <v>20794</v>
      </c>
      <c r="H3281" t="e" vm="1442">
        <f>_FV(0,"01353085168028634")</f>
        <v>#VALUE!</v>
      </c>
      <c r="I3281" t="s">
        <v>20795</v>
      </c>
      <c r="J3281" t="s">
        <v>20796</v>
      </c>
      <c r="K3281" t="s">
        <v>20797</v>
      </c>
      <c r="L3281" t="s">
        <v>20791</v>
      </c>
    </row>
    <row r="3282" spans="1:12" x14ac:dyDescent="0.25">
      <c r="A3282">
        <v>601321</v>
      </c>
      <c r="B3282">
        <v>601351</v>
      </c>
      <c r="D3282">
        <v>0</v>
      </c>
      <c r="E3282" t="s">
        <v>20799</v>
      </c>
      <c r="F3282" t="s">
        <v>20800</v>
      </c>
      <c r="G3282" t="s">
        <v>20801</v>
      </c>
      <c r="H3282" t="s">
        <v>20802</v>
      </c>
      <c r="I3282" t="s">
        <v>20803</v>
      </c>
      <c r="J3282" t="s">
        <v>20804</v>
      </c>
      <c r="K3282" t="s">
        <v>20805</v>
      </c>
      <c r="L3282" t="s">
        <v>20798</v>
      </c>
    </row>
    <row r="3283" spans="1:12" x14ac:dyDescent="0.25">
      <c r="A3283">
        <v>601351</v>
      </c>
      <c r="B3283">
        <v>621548</v>
      </c>
      <c r="D3283">
        <v>0</v>
      </c>
      <c r="E3283" t="s">
        <v>20807</v>
      </c>
      <c r="F3283" t="s">
        <v>20808</v>
      </c>
      <c r="G3283" t="s">
        <v>20809</v>
      </c>
      <c r="H3283" t="s">
        <v>20810</v>
      </c>
      <c r="I3283" t="s">
        <v>20811</v>
      </c>
      <c r="J3283" t="s">
        <v>20812</v>
      </c>
      <c r="K3283" t="s">
        <v>20813</v>
      </c>
      <c r="L3283" t="s">
        <v>20806</v>
      </c>
    </row>
    <row r="3284" spans="1:12" x14ac:dyDescent="0.25">
      <c r="A3284">
        <v>601371</v>
      </c>
      <c r="B3284">
        <v>601392</v>
      </c>
      <c r="D3284">
        <v>0</v>
      </c>
      <c r="E3284" t="s">
        <v>20815</v>
      </c>
      <c r="F3284" t="s">
        <v>20816</v>
      </c>
      <c r="G3284" t="s">
        <v>20817</v>
      </c>
      <c r="H3284" t="e" vm="1443">
        <f>_FV(0,"022281798607649953")</f>
        <v>#VALUE!</v>
      </c>
      <c r="I3284" t="s">
        <v>20818</v>
      </c>
      <c r="J3284" t="s">
        <v>20819</v>
      </c>
      <c r="K3284" t="s">
        <v>20820</v>
      </c>
      <c r="L3284" t="s">
        <v>20814</v>
      </c>
    </row>
    <row r="3285" spans="1:12" x14ac:dyDescent="0.25">
      <c r="A3285">
        <v>601371</v>
      </c>
      <c r="B3285">
        <v>601432</v>
      </c>
      <c r="D3285">
        <v>0</v>
      </c>
      <c r="E3285" t="s">
        <v>20822</v>
      </c>
      <c r="F3285" t="s">
        <v>20823</v>
      </c>
      <c r="G3285" t="s">
        <v>20824</v>
      </c>
      <c r="H3285" t="s">
        <v>20825</v>
      </c>
      <c r="I3285" t="s">
        <v>20826</v>
      </c>
      <c r="J3285" t="s">
        <v>20821</v>
      </c>
      <c r="K3285" t="s">
        <v>20827</v>
      </c>
      <c r="L3285" t="s">
        <v>20821</v>
      </c>
    </row>
    <row r="3286" spans="1:12" x14ac:dyDescent="0.25">
      <c r="A3286">
        <v>601392</v>
      </c>
      <c r="B3286">
        <v>601404</v>
      </c>
      <c r="D3286">
        <v>0</v>
      </c>
      <c r="E3286" t="s">
        <v>20829</v>
      </c>
      <c r="F3286" t="s">
        <v>20830</v>
      </c>
      <c r="G3286" t="s">
        <v>20831</v>
      </c>
      <c r="H3286" t="e" vm="1444">
        <f>_FV(0,"010236711290979346")</f>
        <v>#VALUE!</v>
      </c>
      <c r="I3286" t="s">
        <v>20832</v>
      </c>
      <c r="J3286" t="s">
        <v>20833</v>
      </c>
      <c r="K3286" t="s">
        <v>20834</v>
      </c>
      <c r="L3286" t="s">
        <v>20828</v>
      </c>
    </row>
    <row r="3287" spans="1:12" x14ac:dyDescent="0.25">
      <c r="A3287">
        <v>601392</v>
      </c>
      <c r="B3287">
        <v>601453</v>
      </c>
      <c r="D3287">
        <v>0</v>
      </c>
      <c r="E3287" t="s">
        <v>20836</v>
      </c>
      <c r="F3287" t="s">
        <v>20837</v>
      </c>
      <c r="G3287" t="s">
        <v>20838</v>
      </c>
      <c r="H3287" t="e" vm="1445">
        <f>_FV(0,"016834672020783613")</f>
        <v>#VALUE!</v>
      </c>
      <c r="I3287" t="s">
        <v>20839</v>
      </c>
      <c r="J3287" t="s">
        <v>20840</v>
      </c>
      <c r="K3287" t="s">
        <v>20841</v>
      </c>
      <c r="L3287" t="s">
        <v>20835</v>
      </c>
    </row>
    <row r="3288" spans="1:12" x14ac:dyDescent="0.25">
      <c r="A3288">
        <v>601404</v>
      </c>
      <c r="B3288">
        <v>601432</v>
      </c>
      <c r="D3288">
        <v>0</v>
      </c>
      <c r="E3288" t="s">
        <v>20843</v>
      </c>
      <c r="F3288" t="s">
        <v>20844</v>
      </c>
      <c r="G3288" t="s">
        <v>20845</v>
      </c>
      <c r="H3288" t="s">
        <v>20846</v>
      </c>
      <c r="I3288" t="s">
        <v>20847</v>
      </c>
      <c r="J3288" t="s">
        <v>20842</v>
      </c>
      <c r="K3288" t="s">
        <v>20848</v>
      </c>
      <c r="L3288" t="s">
        <v>20842</v>
      </c>
    </row>
    <row r="3289" spans="1:12" x14ac:dyDescent="0.25">
      <c r="A3289">
        <v>601404</v>
      </c>
      <c r="B3289">
        <v>601510</v>
      </c>
      <c r="D3289">
        <v>0</v>
      </c>
      <c r="E3289" t="s">
        <v>20850</v>
      </c>
      <c r="F3289" t="s">
        <v>20851</v>
      </c>
      <c r="G3289" t="s">
        <v>20852</v>
      </c>
      <c r="H3289" t="e" vm="1446">
        <f>_FV(0,"01630608193772061")</f>
        <v>#VALUE!</v>
      </c>
      <c r="I3289" t="s">
        <v>20853</v>
      </c>
      <c r="J3289" t="s">
        <v>20854</v>
      </c>
      <c r="K3289" t="s">
        <v>20855</v>
      </c>
      <c r="L3289" t="s">
        <v>20849</v>
      </c>
    </row>
    <row r="3290" spans="1:12" x14ac:dyDescent="0.25">
      <c r="A3290">
        <v>601453</v>
      </c>
      <c r="B3290">
        <v>601474</v>
      </c>
      <c r="D3290">
        <v>0</v>
      </c>
      <c r="E3290" t="s">
        <v>20857</v>
      </c>
      <c r="F3290" t="s">
        <v>20858</v>
      </c>
      <c r="G3290" t="s">
        <v>20859</v>
      </c>
      <c r="H3290" t="e" vm="1447">
        <f>_FV(0,"010878778355015613")</f>
        <v>#VALUE!</v>
      </c>
      <c r="I3290" t="s">
        <v>20860</v>
      </c>
      <c r="J3290" t="s">
        <v>20861</v>
      </c>
      <c r="K3290" t="s">
        <v>20862</v>
      </c>
      <c r="L3290" t="s">
        <v>20856</v>
      </c>
    </row>
    <row r="3291" spans="1:12" x14ac:dyDescent="0.25">
      <c r="A3291">
        <v>601453</v>
      </c>
      <c r="B3291">
        <v>601510</v>
      </c>
      <c r="D3291">
        <v>0</v>
      </c>
      <c r="E3291" t="s">
        <v>20864</v>
      </c>
      <c r="F3291" t="s">
        <v>20865</v>
      </c>
      <c r="G3291" t="s">
        <v>20866</v>
      </c>
      <c r="H3291" t="e" vm="1448">
        <f>_FV(0,"00010617499577100248")</f>
        <v>#VALUE!</v>
      </c>
      <c r="I3291" t="s">
        <v>20867</v>
      </c>
      <c r="J3291" t="s">
        <v>239</v>
      </c>
      <c r="K3291" t="s">
        <v>20868</v>
      </c>
      <c r="L3291" t="s">
        <v>20863</v>
      </c>
    </row>
    <row r="3292" spans="1:12" x14ac:dyDescent="0.25">
      <c r="A3292">
        <v>601474</v>
      </c>
      <c r="B3292">
        <v>601485</v>
      </c>
      <c r="D3292">
        <v>0</v>
      </c>
      <c r="E3292" t="s">
        <v>20869</v>
      </c>
      <c r="F3292" t="s">
        <v>20870</v>
      </c>
      <c r="G3292" t="s">
        <v>20871</v>
      </c>
      <c r="H3292" t="s">
        <v>187</v>
      </c>
      <c r="I3292" t="s">
        <v>20872</v>
      </c>
      <c r="J3292" t="s">
        <v>187</v>
      </c>
      <c r="K3292" t="s">
        <v>20873</v>
      </c>
      <c r="L3292" t="s">
        <v>187</v>
      </c>
    </row>
    <row r="3293" spans="1:12" x14ac:dyDescent="0.25">
      <c r="A3293">
        <v>601485</v>
      </c>
      <c r="B3293">
        <v>601510</v>
      </c>
      <c r="D3293">
        <v>0</v>
      </c>
      <c r="E3293" t="s">
        <v>20875</v>
      </c>
      <c r="F3293" t="s">
        <v>20876</v>
      </c>
      <c r="G3293" t="s">
        <v>20877</v>
      </c>
      <c r="H3293" t="s">
        <v>20878</v>
      </c>
      <c r="I3293" t="s">
        <v>20879</v>
      </c>
      <c r="J3293" t="s">
        <v>20874</v>
      </c>
      <c r="K3293" t="s">
        <v>20880</v>
      </c>
      <c r="L3293" t="s">
        <v>20874</v>
      </c>
    </row>
    <row r="3294" spans="1:12" x14ac:dyDescent="0.25">
      <c r="A3294">
        <v>601528</v>
      </c>
      <c r="B3294">
        <v>601529</v>
      </c>
      <c r="D3294">
        <v>0</v>
      </c>
      <c r="F3294">
        <v>598430</v>
      </c>
      <c r="G3294">
        <v>601529</v>
      </c>
      <c r="H3294" t="e" vm="1449">
        <f>_FV(0,"099")</f>
        <v>#VALUE!</v>
      </c>
      <c r="I3294">
        <v>601528</v>
      </c>
      <c r="J3294" t="s">
        <v>20881</v>
      </c>
      <c r="K3294" t="s">
        <v>20882</v>
      </c>
      <c r="L3294" t="e" vm="1449">
        <f>_FV(0,"099")</f>
        <v>#VALUE!</v>
      </c>
    </row>
    <row r="3295" spans="1:12" x14ac:dyDescent="0.25">
      <c r="A3295">
        <v>601528</v>
      </c>
      <c r="B3295">
        <v>601562</v>
      </c>
      <c r="D3295">
        <v>0</v>
      </c>
      <c r="E3295" t="s">
        <v>20884</v>
      </c>
      <c r="F3295" t="s">
        <v>20885</v>
      </c>
      <c r="G3295" t="s">
        <v>20886</v>
      </c>
      <c r="H3295" t="e" vm="1450">
        <f>_FV(0,"0350373242309137")</f>
        <v>#VALUE!</v>
      </c>
      <c r="I3295" t="s">
        <v>20887</v>
      </c>
      <c r="J3295" t="s">
        <v>8387</v>
      </c>
      <c r="K3295" t="s">
        <v>20888</v>
      </c>
      <c r="L3295" t="s">
        <v>20883</v>
      </c>
    </row>
    <row r="3296" spans="1:12" x14ac:dyDescent="0.25">
      <c r="A3296">
        <v>601528</v>
      </c>
      <c r="B3296">
        <v>621751</v>
      </c>
      <c r="C3296" t="s">
        <v>20890</v>
      </c>
      <c r="D3296" t="s">
        <v>20891</v>
      </c>
      <c r="E3296" t="s">
        <v>20892</v>
      </c>
      <c r="F3296" t="s">
        <v>20893</v>
      </c>
      <c r="G3296" t="s">
        <v>20894</v>
      </c>
      <c r="H3296" t="s">
        <v>20895</v>
      </c>
      <c r="I3296" t="s">
        <v>20896</v>
      </c>
      <c r="J3296" t="s">
        <v>20897</v>
      </c>
      <c r="K3296" t="s">
        <v>20898</v>
      </c>
      <c r="L3296" t="s">
        <v>20889</v>
      </c>
    </row>
    <row r="3297" spans="1:12" x14ac:dyDescent="0.25">
      <c r="A3297">
        <v>601529</v>
      </c>
      <c r="B3297">
        <v>601542</v>
      </c>
      <c r="D3297">
        <v>0</v>
      </c>
      <c r="E3297" t="s">
        <v>20900</v>
      </c>
      <c r="F3297" t="s">
        <v>20901</v>
      </c>
      <c r="G3297" t="s">
        <v>20902</v>
      </c>
      <c r="H3297" t="s">
        <v>20903</v>
      </c>
      <c r="I3297" t="s">
        <v>20904</v>
      </c>
      <c r="J3297" t="s">
        <v>20905</v>
      </c>
      <c r="K3297" t="s">
        <v>20906</v>
      </c>
      <c r="L3297" t="s">
        <v>20899</v>
      </c>
    </row>
    <row r="3298" spans="1:12" x14ac:dyDescent="0.25">
      <c r="A3298">
        <v>601529</v>
      </c>
      <c r="B3298">
        <v>621861</v>
      </c>
      <c r="D3298">
        <v>0</v>
      </c>
      <c r="E3298" t="s">
        <v>20908</v>
      </c>
      <c r="F3298" t="s">
        <v>20909</v>
      </c>
      <c r="G3298" t="s">
        <v>20910</v>
      </c>
      <c r="H3298" t="e" vm="1451">
        <f>_FV(0,"07083356531174625")</f>
        <v>#VALUE!</v>
      </c>
      <c r="I3298" t="s">
        <v>20911</v>
      </c>
      <c r="J3298" t="s">
        <v>20912</v>
      </c>
      <c r="K3298" t="s">
        <v>20913</v>
      </c>
      <c r="L3298" t="s">
        <v>20907</v>
      </c>
    </row>
    <row r="3299" spans="1:12" x14ac:dyDescent="0.25">
      <c r="A3299">
        <v>601542</v>
      </c>
      <c r="B3299">
        <v>601562</v>
      </c>
      <c r="D3299">
        <v>0</v>
      </c>
      <c r="E3299" t="s">
        <v>20915</v>
      </c>
      <c r="F3299" t="s">
        <v>20916</v>
      </c>
      <c r="G3299" t="s">
        <v>20917</v>
      </c>
      <c r="H3299" t="s">
        <v>20918</v>
      </c>
      <c r="I3299" t="s">
        <v>20919</v>
      </c>
      <c r="J3299" t="s">
        <v>20914</v>
      </c>
      <c r="K3299" t="s">
        <v>20920</v>
      </c>
      <c r="L3299" t="s">
        <v>20914</v>
      </c>
    </row>
    <row r="3300" spans="1:12" x14ac:dyDescent="0.25">
      <c r="A3300">
        <v>601542</v>
      </c>
      <c r="B3300">
        <v>621861</v>
      </c>
      <c r="D3300">
        <v>0</v>
      </c>
      <c r="E3300" t="s">
        <v>20922</v>
      </c>
      <c r="F3300" t="s">
        <v>20923</v>
      </c>
      <c r="G3300" t="s">
        <v>20924</v>
      </c>
      <c r="H3300" t="e" vm="1452">
        <f>_FV(0,"07890344557600365")</f>
        <v>#VALUE!</v>
      </c>
      <c r="I3300" t="s">
        <v>20925</v>
      </c>
      <c r="J3300" t="s">
        <v>20926</v>
      </c>
      <c r="K3300" t="s">
        <v>20927</v>
      </c>
      <c r="L3300" t="s">
        <v>20921</v>
      </c>
    </row>
    <row r="3301" spans="1:12" x14ac:dyDescent="0.25">
      <c r="A3301">
        <v>601562</v>
      </c>
      <c r="B3301">
        <v>634304</v>
      </c>
      <c r="D3301" t="s">
        <v>20891</v>
      </c>
      <c r="E3301" t="s">
        <v>20929</v>
      </c>
      <c r="F3301" t="s">
        <v>20930</v>
      </c>
      <c r="G3301" t="s">
        <v>20931</v>
      </c>
      <c r="H3301" t="s">
        <v>20932</v>
      </c>
      <c r="I3301" t="s">
        <v>20933</v>
      </c>
      <c r="J3301" t="s">
        <v>20934</v>
      </c>
      <c r="K3301" t="s">
        <v>20935</v>
      </c>
      <c r="L3301" t="s">
        <v>20928</v>
      </c>
    </row>
    <row r="3302" spans="1:12" x14ac:dyDescent="0.25">
      <c r="A3302">
        <v>601834</v>
      </c>
      <c r="B3302">
        <v>621336</v>
      </c>
      <c r="D3302">
        <v>0</v>
      </c>
      <c r="E3302" t="s">
        <v>20937</v>
      </c>
      <c r="F3302" t="s">
        <v>20938</v>
      </c>
      <c r="G3302" t="s">
        <v>20939</v>
      </c>
      <c r="H3302" t="s">
        <v>20940</v>
      </c>
      <c r="I3302" t="s">
        <v>20941</v>
      </c>
      <c r="J3302" t="s">
        <v>20942</v>
      </c>
      <c r="K3302" t="s">
        <v>20943</v>
      </c>
      <c r="L3302" t="s">
        <v>20936</v>
      </c>
    </row>
    <row r="3303" spans="1:12" x14ac:dyDescent="0.25">
      <c r="A3303">
        <v>601834</v>
      </c>
      <c r="B3303">
        <v>621325</v>
      </c>
      <c r="D3303">
        <v>0</v>
      </c>
      <c r="E3303" t="s">
        <v>20945</v>
      </c>
      <c r="F3303" t="s">
        <v>20946</v>
      </c>
      <c r="G3303" t="s">
        <v>20947</v>
      </c>
      <c r="H3303" t="s">
        <v>20948</v>
      </c>
      <c r="I3303" t="s">
        <v>20949</v>
      </c>
      <c r="J3303" t="s">
        <v>20950</v>
      </c>
      <c r="K3303" t="s">
        <v>20951</v>
      </c>
      <c r="L3303" t="s">
        <v>20944</v>
      </c>
    </row>
    <row r="3304" spans="1:12" x14ac:dyDescent="0.25">
      <c r="A3304">
        <v>601845</v>
      </c>
      <c r="B3304">
        <v>601899</v>
      </c>
      <c r="D3304">
        <v>0</v>
      </c>
      <c r="E3304" t="s">
        <v>20953</v>
      </c>
      <c r="F3304" t="s">
        <v>20954</v>
      </c>
      <c r="G3304" t="s">
        <v>20955</v>
      </c>
      <c r="H3304" t="e" vm="1453">
        <f>_FV(0,"010573534339714311")</f>
        <v>#VALUE!</v>
      </c>
      <c r="I3304" t="s">
        <v>20956</v>
      </c>
      <c r="J3304" t="s">
        <v>20957</v>
      </c>
      <c r="K3304" t="s">
        <v>20958</v>
      </c>
      <c r="L3304" t="s">
        <v>20952</v>
      </c>
    </row>
    <row r="3305" spans="1:12" x14ac:dyDescent="0.25">
      <c r="A3305">
        <v>601845</v>
      </c>
      <c r="B3305">
        <v>621325</v>
      </c>
      <c r="D3305">
        <v>0</v>
      </c>
      <c r="E3305" t="s">
        <v>20960</v>
      </c>
      <c r="F3305" t="s">
        <v>20961</v>
      </c>
      <c r="G3305" t="s">
        <v>20962</v>
      </c>
      <c r="H3305" t="e" vm="1454">
        <f>_FV(0,"0038297935030326535")</f>
        <v>#VALUE!</v>
      </c>
      <c r="I3305" t="s">
        <v>20963</v>
      </c>
      <c r="J3305" t="s">
        <v>20964</v>
      </c>
      <c r="K3305" t="s">
        <v>20965</v>
      </c>
      <c r="L3305" t="s">
        <v>20959</v>
      </c>
    </row>
    <row r="3306" spans="1:12" x14ac:dyDescent="0.25">
      <c r="A3306">
        <v>601845</v>
      </c>
      <c r="B3306">
        <v>621785</v>
      </c>
      <c r="D3306">
        <v>0</v>
      </c>
      <c r="E3306" t="s">
        <v>20967</v>
      </c>
      <c r="F3306" t="s">
        <v>20968</v>
      </c>
      <c r="G3306" t="s">
        <v>20969</v>
      </c>
      <c r="H3306" t="e" vm="1455">
        <f>_FV(0,"0029762225016228805")</f>
        <v>#VALUE!</v>
      </c>
      <c r="I3306" t="s">
        <v>20970</v>
      </c>
      <c r="J3306" t="s">
        <v>20971</v>
      </c>
      <c r="K3306" t="s">
        <v>20972</v>
      </c>
      <c r="L3306" t="s">
        <v>20966</v>
      </c>
    </row>
    <row r="3307" spans="1:12" x14ac:dyDescent="0.25">
      <c r="A3307">
        <v>601899</v>
      </c>
      <c r="B3307">
        <v>601906</v>
      </c>
      <c r="D3307">
        <v>0</v>
      </c>
      <c r="E3307" t="s">
        <v>20974</v>
      </c>
      <c r="F3307" t="s">
        <v>20975</v>
      </c>
      <c r="G3307" t="s">
        <v>20976</v>
      </c>
      <c r="H3307" t="e" vm="1456">
        <f>_FV(0,"03887940963640195")</f>
        <v>#VALUE!</v>
      </c>
      <c r="I3307" t="s">
        <v>20977</v>
      </c>
      <c r="J3307" t="s">
        <v>20978</v>
      </c>
      <c r="K3307" t="s">
        <v>20979</v>
      </c>
      <c r="L3307" t="s">
        <v>20973</v>
      </c>
    </row>
    <row r="3308" spans="1:12" x14ac:dyDescent="0.25">
      <c r="A3308">
        <v>601899</v>
      </c>
      <c r="B3308">
        <v>601906</v>
      </c>
      <c r="D3308">
        <v>0</v>
      </c>
      <c r="E3308" t="s">
        <v>20981</v>
      </c>
      <c r="F3308" t="s">
        <v>20982</v>
      </c>
      <c r="G3308" t="s">
        <v>20983</v>
      </c>
      <c r="H3308" t="e" vm="1457">
        <f>_FV(0,"038540819254105144")</f>
        <v>#VALUE!</v>
      </c>
      <c r="I3308" t="s">
        <v>20984</v>
      </c>
      <c r="J3308" t="s">
        <v>20985</v>
      </c>
      <c r="K3308" t="s">
        <v>20986</v>
      </c>
      <c r="L3308" t="s">
        <v>20980</v>
      </c>
    </row>
    <row r="3309" spans="1:12" x14ac:dyDescent="0.25">
      <c r="A3309">
        <v>601906</v>
      </c>
      <c r="B3309">
        <v>601924</v>
      </c>
      <c r="D3309" t="s">
        <v>12915</v>
      </c>
      <c r="E3309" t="s">
        <v>20988</v>
      </c>
      <c r="F3309" t="s">
        <v>20989</v>
      </c>
      <c r="G3309" t="s">
        <v>20990</v>
      </c>
      <c r="H3309" t="e" vm="1458">
        <f>_FV(0,"003938394201527749")</f>
        <v>#VALUE!</v>
      </c>
      <c r="I3309" t="s">
        <v>20991</v>
      </c>
      <c r="J3309" t="s">
        <v>20992</v>
      </c>
      <c r="K3309" t="s">
        <v>20993</v>
      </c>
      <c r="L3309" t="s">
        <v>20987</v>
      </c>
    </row>
    <row r="3310" spans="1:12" x14ac:dyDescent="0.25">
      <c r="A3310">
        <v>601924</v>
      </c>
      <c r="B3310">
        <v>601930</v>
      </c>
      <c r="D3310">
        <v>0</v>
      </c>
      <c r="E3310" t="s">
        <v>20995</v>
      </c>
      <c r="F3310" t="s">
        <v>20996</v>
      </c>
      <c r="G3310" t="s">
        <v>20997</v>
      </c>
      <c r="H3310" t="s">
        <v>20998</v>
      </c>
      <c r="I3310" t="s">
        <v>20999</v>
      </c>
      <c r="J3310" t="s">
        <v>21000</v>
      </c>
      <c r="K3310" t="s">
        <v>21001</v>
      </c>
      <c r="L3310" t="s">
        <v>20994</v>
      </c>
    </row>
    <row r="3311" spans="1:12" x14ac:dyDescent="0.25">
      <c r="A3311">
        <v>601924</v>
      </c>
      <c r="B3311">
        <v>601930</v>
      </c>
      <c r="D3311">
        <v>0</v>
      </c>
      <c r="E3311" t="s">
        <v>21003</v>
      </c>
      <c r="F3311" t="s">
        <v>21004</v>
      </c>
      <c r="G3311" t="s">
        <v>21005</v>
      </c>
      <c r="H3311" t="s">
        <v>21006</v>
      </c>
      <c r="I3311" t="s">
        <v>21007</v>
      </c>
      <c r="J3311" t="s">
        <v>21008</v>
      </c>
      <c r="K3311" t="s">
        <v>21009</v>
      </c>
      <c r="L3311" t="s">
        <v>21002</v>
      </c>
    </row>
    <row r="3312" spans="1:12" x14ac:dyDescent="0.25">
      <c r="A3312">
        <v>601930</v>
      </c>
      <c r="B3312">
        <v>1591175</v>
      </c>
      <c r="C3312" t="s">
        <v>21011</v>
      </c>
      <c r="D3312">
        <v>0</v>
      </c>
      <c r="E3312" t="s">
        <v>21012</v>
      </c>
      <c r="F3312" t="s">
        <v>21013</v>
      </c>
      <c r="G3312" t="s">
        <v>21014</v>
      </c>
      <c r="H3312" t="e" vm="1459">
        <f>_FV(0,"011399074329727537")</f>
        <v>#VALUE!</v>
      </c>
      <c r="I3312" t="s">
        <v>21015</v>
      </c>
      <c r="J3312" t="s">
        <v>21016</v>
      </c>
      <c r="K3312" t="s">
        <v>21017</v>
      </c>
      <c r="L3312" t="s">
        <v>21010</v>
      </c>
    </row>
    <row r="3313" spans="1:12" x14ac:dyDescent="0.25">
      <c r="A3313">
        <v>602181</v>
      </c>
      <c r="B3313">
        <v>602188</v>
      </c>
      <c r="D3313">
        <v>0</v>
      </c>
      <c r="E3313" t="s">
        <v>21019</v>
      </c>
      <c r="F3313" t="s">
        <v>21020</v>
      </c>
      <c r="G3313" t="s">
        <v>21021</v>
      </c>
      <c r="H3313" t="s">
        <v>21022</v>
      </c>
      <c r="I3313" t="s">
        <v>21023</v>
      </c>
      <c r="J3313" t="s">
        <v>21018</v>
      </c>
      <c r="K3313" t="s">
        <v>21024</v>
      </c>
      <c r="L3313" t="s">
        <v>21018</v>
      </c>
    </row>
    <row r="3314" spans="1:12" x14ac:dyDescent="0.25">
      <c r="A3314">
        <v>602181</v>
      </c>
      <c r="B3314">
        <v>602188</v>
      </c>
      <c r="D3314">
        <v>0</v>
      </c>
      <c r="E3314" t="s">
        <v>21026</v>
      </c>
      <c r="F3314" t="s">
        <v>21027</v>
      </c>
      <c r="G3314" t="s">
        <v>21028</v>
      </c>
      <c r="H3314" t="s">
        <v>21029</v>
      </c>
      <c r="I3314" t="s">
        <v>21030</v>
      </c>
      <c r="J3314" t="s">
        <v>21025</v>
      </c>
      <c r="K3314" t="s">
        <v>21031</v>
      </c>
      <c r="L3314" t="s">
        <v>21025</v>
      </c>
    </row>
    <row r="3315" spans="1:12" x14ac:dyDescent="0.25">
      <c r="A3315">
        <v>602181</v>
      </c>
      <c r="B3315">
        <v>1854882</v>
      </c>
      <c r="D3315">
        <v>0</v>
      </c>
      <c r="E3315" t="s">
        <v>21032</v>
      </c>
      <c r="H3315" t="s">
        <v>187</v>
      </c>
      <c r="J3315">
        <v>0</v>
      </c>
      <c r="K3315" t="s">
        <v>21033</v>
      </c>
      <c r="L3315">
        <v>0</v>
      </c>
    </row>
    <row r="3316" spans="1:12" x14ac:dyDescent="0.25">
      <c r="A3316">
        <v>602188</v>
      </c>
      <c r="B3316">
        <v>602303</v>
      </c>
      <c r="C3316" t="s">
        <v>21035</v>
      </c>
      <c r="D3316" t="s">
        <v>21036</v>
      </c>
      <c r="E3316" t="s">
        <v>21037</v>
      </c>
      <c r="F3316" t="s">
        <v>21038</v>
      </c>
      <c r="G3316" t="s">
        <v>21039</v>
      </c>
      <c r="H3316" t="s">
        <v>21040</v>
      </c>
      <c r="I3316" t="s">
        <v>21041</v>
      </c>
      <c r="J3316" t="s">
        <v>21042</v>
      </c>
      <c r="K3316" t="s">
        <v>21043</v>
      </c>
      <c r="L3316" t="s">
        <v>21034</v>
      </c>
    </row>
    <row r="3317" spans="1:12" x14ac:dyDescent="0.25">
      <c r="A3317">
        <v>602308</v>
      </c>
      <c r="B3317">
        <v>602323</v>
      </c>
      <c r="D3317">
        <v>0</v>
      </c>
      <c r="E3317" t="s">
        <v>21045</v>
      </c>
      <c r="F3317" t="s">
        <v>21046</v>
      </c>
      <c r="G3317" t="s">
        <v>21047</v>
      </c>
      <c r="H3317" t="e" vm="1460">
        <f>_FV(0,"005998173407549689")</f>
        <v>#VALUE!</v>
      </c>
      <c r="I3317" t="s">
        <v>21048</v>
      </c>
      <c r="J3317" t="s">
        <v>21049</v>
      </c>
      <c r="K3317" t="s">
        <v>21050</v>
      </c>
      <c r="L3317" t="s">
        <v>21044</v>
      </c>
    </row>
    <row r="3318" spans="1:12" x14ac:dyDescent="0.25">
      <c r="A3318">
        <v>602308</v>
      </c>
      <c r="B3318">
        <v>602358</v>
      </c>
      <c r="D3318">
        <v>0</v>
      </c>
      <c r="E3318" t="s">
        <v>21052</v>
      </c>
      <c r="F3318" t="s">
        <v>21053</v>
      </c>
      <c r="G3318" t="s">
        <v>21054</v>
      </c>
      <c r="H3318" t="s">
        <v>21055</v>
      </c>
      <c r="I3318" t="s">
        <v>21056</v>
      </c>
      <c r="J3318" t="s">
        <v>21051</v>
      </c>
      <c r="K3318" t="s">
        <v>21057</v>
      </c>
      <c r="L3318" t="s">
        <v>21051</v>
      </c>
    </row>
    <row r="3319" spans="1:12" x14ac:dyDescent="0.25">
      <c r="A3319">
        <v>602308</v>
      </c>
      <c r="B3319">
        <v>1835749</v>
      </c>
      <c r="D3319">
        <v>0</v>
      </c>
      <c r="E3319" t="s">
        <v>21059</v>
      </c>
      <c r="F3319" t="s">
        <v>21060</v>
      </c>
      <c r="G3319" t="s">
        <v>21061</v>
      </c>
      <c r="H3319" t="s">
        <v>21062</v>
      </c>
      <c r="I3319" t="s">
        <v>21063</v>
      </c>
      <c r="J3319" t="s">
        <v>21058</v>
      </c>
      <c r="K3319" t="s">
        <v>21064</v>
      </c>
      <c r="L3319" t="s">
        <v>21058</v>
      </c>
    </row>
    <row r="3320" spans="1:12" x14ac:dyDescent="0.25">
      <c r="A3320">
        <v>602323</v>
      </c>
      <c r="B3320">
        <v>602337</v>
      </c>
      <c r="D3320">
        <v>0</v>
      </c>
      <c r="E3320" t="s">
        <v>21066</v>
      </c>
      <c r="F3320" t="s">
        <v>21067</v>
      </c>
      <c r="G3320" t="s">
        <v>21068</v>
      </c>
      <c r="H3320" t="e" vm="1461">
        <f>_FV(0,"010202160909673581")</f>
        <v>#VALUE!</v>
      </c>
      <c r="I3320" t="s">
        <v>21069</v>
      </c>
      <c r="J3320" t="s">
        <v>21070</v>
      </c>
      <c r="K3320" t="s">
        <v>21071</v>
      </c>
      <c r="L3320" t="s">
        <v>21065</v>
      </c>
    </row>
    <row r="3321" spans="1:12" x14ac:dyDescent="0.25">
      <c r="A3321">
        <v>602323</v>
      </c>
      <c r="B3321">
        <v>622445</v>
      </c>
      <c r="D3321">
        <v>0</v>
      </c>
      <c r="E3321" t="s">
        <v>21072</v>
      </c>
      <c r="F3321" t="s">
        <v>21073</v>
      </c>
      <c r="G3321" t="s">
        <v>21074</v>
      </c>
      <c r="H3321" t="e" vm="1462">
        <f>_FV(0,"007372234709394863")</f>
        <v>#VALUE!</v>
      </c>
      <c r="I3321" t="s">
        <v>21075</v>
      </c>
      <c r="J3321" t="s">
        <v>6029</v>
      </c>
      <c r="K3321" t="s">
        <v>21076</v>
      </c>
      <c r="L3321" t="s">
        <v>6024</v>
      </c>
    </row>
    <row r="3322" spans="1:12" x14ac:dyDescent="0.25">
      <c r="A3322">
        <v>602337</v>
      </c>
      <c r="B3322">
        <v>602358</v>
      </c>
      <c r="D3322">
        <v>0</v>
      </c>
      <c r="E3322" t="s">
        <v>21078</v>
      </c>
      <c r="F3322" t="s">
        <v>21079</v>
      </c>
      <c r="G3322" t="s">
        <v>21080</v>
      </c>
      <c r="H3322" t="s">
        <v>21081</v>
      </c>
      <c r="I3322" t="s">
        <v>21082</v>
      </c>
      <c r="J3322" t="s">
        <v>21083</v>
      </c>
      <c r="K3322" t="s">
        <v>21084</v>
      </c>
      <c r="L3322" t="s">
        <v>21077</v>
      </c>
    </row>
    <row r="3323" spans="1:12" x14ac:dyDescent="0.25">
      <c r="A3323">
        <v>602337</v>
      </c>
      <c r="B3323">
        <v>622445</v>
      </c>
      <c r="D3323">
        <v>0</v>
      </c>
      <c r="E3323" t="s">
        <v>21086</v>
      </c>
      <c r="F3323" t="s">
        <v>21087</v>
      </c>
      <c r="G3323" t="s">
        <v>21088</v>
      </c>
      <c r="H3323" t="e" vm="1463">
        <f>_FV(0,"003067036811099393")</f>
        <v>#VALUE!</v>
      </c>
      <c r="I3323" t="s">
        <v>21089</v>
      </c>
      <c r="J3323" t="s">
        <v>21090</v>
      </c>
      <c r="K3323" t="s">
        <v>21091</v>
      </c>
      <c r="L3323" t="s">
        <v>21085</v>
      </c>
    </row>
    <row r="3324" spans="1:12" x14ac:dyDescent="0.25">
      <c r="A3324">
        <v>602358</v>
      </c>
      <c r="B3324">
        <v>1835761</v>
      </c>
      <c r="D3324">
        <v>0</v>
      </c>
      <c r="E3324" t="s">
        <v>21093</v>
      </c>
      <c r="F3324" t="s">
        <v>21094</v>
      </c>
      <c r="G3324" t="s">
        <v>21095</v>
      </c>
      <c r="H3324" t="s">
        <v>21096</v>
      </c>
      <c r="I3324" t="s">
        <v>21097</v>
      </c>
      <c r="J3324" t="s">
        <v>21092</v>
      </c>
      <c r="K3324" t="s">
        <v>21098</v>
      </c>
      <c r="L3324" t="s">
        <v>21092</v>
      </c>
    </row>
    <row r="3325" spans="1:12" x14ac:dyDescent="0.25">
      <c r="A3325">
        <v>602423</v>
      </c>
      <c r="B3325">
        <v>602428</v>
      </c>
      <c r="D3325">
        <v>0</v>
      </c>
      <c r="E3325" t="s">
        <v>21100</v>
      </c>
      <c r="F3325" t="s">
        <v>21101</v>
      </c>
      <c r="G3325" t="s">
        <v>21102</v>
      </c>
      <c r="H3325" t="e" vm="1464">
        <f>_FV(0,"013484387958368082")</f>
        <v>#VALUE!</v>
      </c>
      <c r="I3325" t="s">
        <v>21103</v>
      </c>
      <c r="J3325" t="s">
        <v>21104</v>
      </c>
      <c r="K3325" t="s">
        <v>21105</v>
      </c>
      <c r="L3325" t="s">
        <v>21099</v>
      </c>
    </row>
    <row r="3326" spans="1:12" x14ac:dyDescent="0.25">
      <c r="A3326">
        <v>602423</v>
      </c>
      <c r="B3326">
        <v>602428</v>
      </c>
      <c r="D3326">
        <v>0</v>
      </c>
      <c r="E3326" t="s">
        <v>21107</v>
      </c>
      <c r="F3326" t="s">
        <v>21108</v>
      </c>
      <c r="G3326" t="s">
        <v>21109</v>
      </c>
      <c r="H3326" t="e" vm="1465">
        <f>_FV(0,"013502535901201066")</f>
        <v>#VALUE!</v>
      </c>
      <c r="I3326" t="s">
        <v>21110</v>
      </c>
      <c r="J3326" t="s">
        <v>21111</v>
      </c>
      <c r="K3326" t="s">
        <v>21112</v>
      </c>
      <c r="L3326" t="s">
        <v>21106</v>
      </c>
    </row>
    <row r="3327" spans="1:12" x14ac:dyDescent="0.25">
      <c r="A3327">
        <v>604721</v>
      </c>
      <c r="B3327">
        <v>1355006</v>
      </c>
      <c r="D3327">
        <v>0</v>
      </c>
      <c r="E3327" t="s">
        <v>21114</v>
      </c>
      <c r="F3327" t="s">
        <v>21115</v>
      </c>
      <c r="G3327" t="s">
        <v>21116</v>
      </c>
      <c r="H3327" t="s">
        <v>21117</v>
      </c>
      <c r="I3327" t="s">
        <v>21118</v>
      </c>
      <c r="J3327" t="s">
        <v>21113</v>
      </c>
      <c r="K3327" t="s">
        <v>21119</v>
      </c>
      <c r="L3327" t="s">
        <v>21113</v>
      </c>
    </row>
    <row r="3328" spans="1:12" x14ac:dyDescent="0.25">
      <c r="A3328">
        <v>604721</v>
      </c>
      <c r="B3328">
        <v>604762</v>
      </c>
      <c r="D3328">
        <v>0</v>
      </c>
      <c r="E3328" t="s">
        <v>21121</v>
      </c>
      <c r="F3328" t="s">
        <v>21122</v>
      </c>
      <c r="G3328" t="s">
        <v>21123</v>
      </c>
      <c r="H3328" t="e" vm="1466">
        <f>_FV(0,"01723550105155079")</f>
        <v>#VALUE!</v>
      </c>
      <c r="I3328" t="s">
        <v>21124</v>
      </c>
      <c r="J3328" t="s">
        <v>21125</v>
      </c>
      <c r="K3328" t="s">
        <v>21126</v>
      </c>
      <c r="L3328" t="s">
        <v>21120</v>
      </c>
    </row>
    <row r="3329" spans="1:12" x14ac:dyDescent="0.25">
      <c r="A3329">
        <v>604762</v>
      </c>
      <c r="B3329">
        <v>1354917</v>
      </c>
      <c r="D3329">
        <v>0</v>
      </c>
      <c r="E3329" t="s">
        <v>21128</v>
      </c>
      <c r="F3329" t="s">
        <v>21129</v>
      </c>
      <c r="G3329" t="s">
        <v>21130</v>
      </c>
      <c r="H3329" t="e" vm="1467">
        <f>_FV(0,"07062477421253596")</f>
        <v>#VALUE!</v>
      </c>
      <c r="I3329" t="s">
        <v>21131</v>
      </c>
      <c r="J3329" t="s">
        <v>21132</v>
      </c>
      <c r="K3329" t="s">
        <v>21133</v>
      </c>
      <c r="L3329" t="s">
        <v>21127</v>
      </c>
    </row>
    <row r="3330" spans="1:12" x14ac:dyDescent="0.25">
      <c r="A3330">
        <v>610779</v>
      </c>
      <c r="B3330">
        <v>1183932</v>
      </c>
      <c r="D3330">
        <v>0</v>
      </c>
      <c r="F3330">
        <v>1267434</v>
      </c>
      <c r="G3330">
        <v>1183932</v>
      </c>
      <c r="H3330" t="e" vm="62">
        <f>_FV(0,"008")</f>
        <v>#VALUE!</v>
      </c>
      <c r="I3330">
        <v>610779</v>
      </c>
      <c r="J3330" t="s">
        <v>241</v>
      </c>
      <c r="K3330" t="s">
        <v>21134</v>
      </c>
      <c r="L3330" t="e" vm="62">
        <f>_FV(0,"008")</f>
        <v>#VALUE!</v>
      </c>
    </row>
    <row r="3331" spans="1:12" x14ac:dyDescent="0.25">
      <c r="A3331">
        <v>610779</v>
      </c>
      <c r="B3331">
        <v>1184086</v>
      </c>
      <c r="D3331">
        <v>0</v>
      </c>
      <c r="F3331">
        <v>1267654</v>
      </c>
      <c r="G3331">
        <v>1184086</v>
      </c>
      <c r="H3331" t="e" vm="16">
        <f>_FV(0,"007")</f>
        <v>#VALUE!</v>
      </c>
      <c r="I3331">
        <v>610779</v>
      </c>
      <c r="J3331" t="s">
        <v>226</v>
      </c>
      <c r="K3331" t="s">
        <v>21135</v>
      </c>
      <c r="L3331" t="e" vm="16">
        <f>_FV(0,"007")</f>
        <v>#VALUE!</v>
      </c>
    </row>
    <row r="3332" spans="1:12" x14ac:dyDescent="0.25">
      <c r="A3332">
        <v>610779</v>
      </c>
      <c r="B3332">
        <v>822035</v>
      </c>
      <c r="D3332" t="s">
        <v>204</v>
      </c>
      <c r="E3332" t="s">
        <v>21137</v>
      </c>
      <c r="F3332" t="s">
        <v>21138</v>
      </c>
      <c r="G3332" t="s">
        <v>21139</v>
      </c>
      <c r="H3332" t="e" vm="1468">
        <f>_FV(0,"013790159569029396")</f>
        <v>#VALUE!</v>
      </c>
      <c r="I3332" t="s">
        <v>21140</v>
      </c>
      <c r="J3332" t="s">
        <v>21141</v>
      </c>
      <c r="K3332" t="s">
        <v>21142</v>
      </c>
      <c r="L3332" t="s">
        <v>21136</v>
      </c>
    </row>
    <row r="3333" spans="1:12" x14ac:dyDescent="0.25">
      <c r="A3333">
        <v>610925</v>
      </c>
      <c r="B3333">
        <v>1253793</v>
      </c>
      <c r="D3333">
        <v>0</v>
      </c>
      <c r="E3333" t="s">
        <v>21144</v>
      </c>
      <c r="F3333" t="s">
        <v>21145</v>
      </c>
      <c r="G3333" t="s">
        <v>21146</v>
      </c>
      <c r="H3333" t="s">
        <v>21147</v>
      </c>
      <c r="I3333" t="s">
        <v>21148</v>
      </c>
      <c r="J3333" t="s">
        <v>21143</v>
      </c>
      <c r="K3333" t="s">
        <v>21149</v>
      </c>
      <c r="L3333" t="s">
        <v>21143</v>
      </c>
    </row>
    <row r="3334" spans="1:12" x14ac:dyDescent="0.25">
      <c r="A3334">
        <v>610925</v>
      </c>
      <c r="B3334">
        <v>1253875</v>
      </c>
      <c r="D3334">
        <v>0</v>
      </c>
      <c r="E3334" t="s">
        <v>21151</v>
      </c>
      <c r="F3334" t="s">
        <v>21152</v>
      </c>
      <c r="G3334" t="s">
        <v>21153</v>
      </c>
      <c r="H3334" t="s">
        <v>21154</v>
      </c>
      <c r="I3334" t="s">
        <v>21155</v>
      </c>
      <c r="J3334" t="s">
        <v>21150</v>
      </c>
      <c r="K3334" t="s">
        <v>21156</v>
      </c>
      <c r="L3334" t="s">
        <v>21150</v>
      </c>
    </row>
    <row r="3335" spans="1:12" x14ac:dyDescent="0.25">
      <c r="A3335">
        <v>610930</v>
      </c>
      <c r="B3335">
        <v>610996</v>
      </c>
      <c r="D3335">
        <v>0</v>
      </c>
      <c r="E3335" t="s">
        <v>21158</v>
      </c>
      <c r="F3335" t="s">
        <v>21159</v>
      </c>
      <c r="G3335" t="s">
        <v>21160</v>
      </c>
      <c r="H3335" t="s">
        <v>21161</v>
      </c>
      <c r="I3335" t="s">
        <v>21162</v>
      </c>
      <c r="J3335" t="s">
        <v>21163</v>
      </c>
      <c r="K3335" t="s">
        <v>21164</v>
      </c>
      <c r="L3335" t="s">
        <v>21157</v>
      </c>
    </row>
    <row r="3336" spans="1:12" x14ac:dyDescent="0.25">
      <c r="A3336">
        <v>610930</v>
      </c>
      <c r="B3336">
        <v>1253821</v>
      </c>
      <c r="D3336">
        <v>0</v>
      </c>
      <c r="E3336" t="s">
        <v>21165</v>
      </c>
      <c r="F3336" t="s">
        <v>21166</v>
      </c>
      <c r="G3336" t="s">
        <v>21167</v>
      </c>
      <c r="H3336" t="s">
        <v>1783</v>
      </c>
      <c r="I3336" t="s">
        <v>21168</v>
      </c>
      <c r="J3336" t="s">
        <v>1783</v>
      </c>
      <c r="K3336" t="s">
        <v>21169</v>
      </c>
      <c r="L3336" t="s">
        <v>1783</v>
      </c>
    </row>
    <row r="3337" spans="1:12" x14ac:dyDescent="0.25">
      <c r="A3337">
        <v>610930</v>
      </c>
      <c r="B3337">
        <v>1253835</v>
      </c>
      <c r="D3337">
        <v>0</v>
      </c>
      <c r="E3337" t="s">
        <v>21171</v>
      </c>
      <c r="F3337" t="s">
        <v>21172</v>
      </c>
      <c r="G3337" t="s">
        <v>21173</v>
      </c>
      <c r="H3337" t="s">
        <v>21174</v>
      </c>
      <c r="I3337" t="s">
        <v>21175</v>
      </c>
      <c r="J3337" t="s">
        <v>21170</v>
      </c>
      <c r="K3337" t="s">
        <v>21176</v>
      </c>
      <c r="L3337" t="s">
        <v>21170</v>
      </c>
    </row>
    <row r="3338" spans="1:12" x14ac:dyDescent="0.25">
      <c r="A3338">
        <v>610996</v>
      </c>
      <c r="B3338">
        <v>612442</v>
      </c>
      <c r="D3338">
        <v>0</v>
      </c>
      <c r="E3338" t="s">
        <v>21178</v>
      </c>
      <c r="F3338" t="s">
        <v>21179</v>
      </c>
      <c r="G3338" t="s">
        <v>21180</v>
      </c>
      <c r="H3338" t="s">
        <v>21181</v>
      </c>
      <c r="I3338" t="s">
        <v>21182</v>
      </c>
      <c r="J3338" t="s">
        <v>21183</v>
      </c>
      <c r="K3338" t="s">
        <v>21184</v>
      </c>
      <c r="L3338" t="s">
        <v>21177</v>
      </c>
    </row>
    <row r="3339" spans="1:12" x14ac:dyDescent="0.25">
      <c r="A3339">
        <v>610996</v>
      </c>
      <c r="B3339">
        <v>612442</v>
      </c>
      <c r="D3339">
        <v>0</v>
      </c>
      <c r="E3339" t="s">
        <v>21186</v>
      </c>
      <c r="F3339" t="s">
        <v>21187</v>
      </c>
      <c r="G3339" t="s">
        <v>21188</v>
      </c>
      <c r="H3339" t="s">
        <v>21189</v>
      </c>
      <c r="I3339" t="s">
        <v>21190</v>
      </c>
      <c r="J3339" t="s">
        <v>21191</v>
      </c>
      <c r="K3339" t="s">
        <v>21192</v>
      </c>
      <c r="L3339" t="s">
        <v>21185</v>
      </c>
    </row>
    <row r="3340" spans="1:12" x14ac:dyDescent="0.25">
      <c r="A3340">
        <v>611960</v>
      </c>
      <c r="B3340">
        <v>611980</v>
      </c>
      <c r="D3340">
        <v>0</v>
      </c>
      <c r="E3340" t="s">
        <v>21194</v>
      </c>
      <c r="F3340" t="s">
        <v>21195</v>
      </c>
      <c r="G3340" t="s">
        <v>21196</v>
      </c>
      <c r="H3340" t="s">
        <v>21197</v>
      </c>
      <c r="I3340" t="s">
        <v>21198</v>
      </c>
      <c r="J3340" t="s">
        <v>21193</v>
      </c>
      <c r="K3340" t="s">
        <v>21199</v>
      </c>
      <c r="L3340" t="s">
        <v>21193</v>
      </c>
    </row>
    <row r="3341" spans="1:12" x14ac:dyDescent="0.25">
      <c r="A3341">
        <v>612324</v>
      </c>
      <c r="B3341">
        <v>612349</v>
      </c>
      <c r="D3341">
        <v>0</v>
      </c>
      <c r="E3341" t="s">
        <v>21201</v>
      </c>
      <c r="F3341" t="s">
        <v>21202</v>
      </c>
      <c r="G3341" t="s">
        <v>21203</v>
      </c>
      <c r="H3341" t="s">
        <v>21204</v>
      </c>
      <c r="I3341" t="s">
        <v>21205</v>
      </c>
      <c r="J3341" t="s">
        <v>21206</v>
      </c>
      <c r="K3341" t="s">
        <v>21207</v>
      </c>
      <c r="L3341" t="s">
        <v>21200</v>
      </c>
    </row>
    <row r="3342" spans="1:12" x14ac:dyDescent="0.25">
      <c r="A3342">
        <v>612324</v>
      </c>
      <c r="B3342">
        <v>1072160</v>
      </c>
      <c r="D3342">
        <v>0</v>
      </c>
      <c r="E3342" t="s">
        <v>21209</v>
      </c>
      <c r="F3342" t="s">
        <v>21210</v>
      </c>
      <c r="G3342" t="s">
        <v>21211</v>
      </c>
      <c r="H3342" t="s">
        <v>21212</v>
      </c>
      <c r="I3342" t="s">
        <v>21213</v>
      </c>
      <c r="J3342" t="s">
        <v>21214</v>
      </c>
      <c r="K3342" t="s">
        <v>21215</v>
      </c>
      <c r="L3342" t="s">
        <v>21208</v>
      </c>
    </row>
    <row r="3343" spans="1:12" x14ac:dyDescent="0.25">
      <c r="A3343">
        <v>612324</v>
      </c>
      <c r="B3343">
        <v>1072243</v>
      </c>
      <c r="D3343">
        <v>0</v>
      </c>
      <c r="E3343" t="s">
        <v>21217</v>
      </c>
      <c r="F3343" t="s">
        <v>21218</v>
      </c>
      <c r="G3343" t="s">
        <v>21219</v>
      </c>
      <c r="H3343" t="s">
        <v>21220</v>
      </c>
      <c r="I3343" t="s">
        <v>21221</v>
      </c>
      <c r="J3343" t="s">
        <v>21222</v>
      </c>
      <c r="K3343" t="s">
        <v>21223</v>
      </c>
      <c r="L3343" t="s">
        <v>21216</v>
      </c>
    </row>
    <row r="3344" spans="1:12" x14ac:dyDescent="0.25">
      <c r="A3344">
        <v>612349</v>
      </c>
      <c r="B3344">
        <v>731635</v>
      </c>
      <c r="D3344">
        <v>0</v>
      </c>
      <c r="E3344" t="s">
        <v>21225</v>
      </c>
      <c r="F3344" t="s">
        <v>21226</v>
      </c>
      <c r="G3344" t="s">
        <v>21227</v>
      </c>
      <c r="H3344" t="e" vm="1469">
        <f>_FV(0,"06347140311534684")</f>
        <v>#VALUE!</v>
      </c>
      <c r="I3344" t="s">
        <v>21228</v>
      </c>
      <c r="J3344" t="s">
        <v>21229</v>
      </c>
      <c r="K3344" t="s">
        <v>21230</v>
      </c>
      <c r="L3344" t="s">
        <v>21224</v>
      </c>
    </row>
    <row r="3345" spans="1:12" x14ac:dyDescent="0.25">
      <c r="A3345">
        <v>612349</v>
      </c>
      <c r="B3345">
        <v>1114141</v>
      </c>
      <c r="D3345">
        <v>0</v>
      </c>
      <c r="E3345" t="s">
        <v>21232</v>
      </c>
      <c r="F3345" t="s">
        <v>21233</v>
      </c>
      <c r="G3345" t="s">
        <v>21234</v>
      </c>
      <c r="H3345" t="e" vm="1470">
        <f>_FV(0,"024597914333486858")</f>
        <v>#VALUE!</v>
      </c>
      <c r="I3345" t="s">
        <v>21235</v>
      </c>
      <c r="J3345" t="s">
        <v>21236</v>
      </c>
      <c r="K3345" t="s">
        <v>21237</v>
      </c>
      <c r="L3345" t="s">
        <v>21231</v>
      </c>
    </row>
    <row r="3346" spans="1:12" x14ac:dyDescent="0.25">
      <c r="A3346">
        <v>612380</v>
      </c>
      <c r="B3346">
        <v>612516</v>
      </c>
      <c r="C3346" t="s">
        <v>21239</v>
      </c>
      <c r="D3346">
        <v>0</v>
      </c>
      <c r="E3346" t="s">
        <v>21240</v>
      </c>
      <c r="F3346" t="s">
        <v>21241</v>
      </c>
      <c r="G3346" t="s">
        <v>21242</v>
      </c>
      <c r="H3346" t="e" vm="1471">
        <f>_FV(0,"010107666619337458")</f>
        <v>#VALUE!</v>
      </c>
      <c r="I3346" t="s">
        <v>21243</v>
      </c>
      <c r="J3346" t="s">
        <v>21244</v>
      </c>
      <c r="K3346" t="s">
        <v>21245</v>
      </c>
      <c r="L3346" t="s">
        <v>21238</v>
      </c>
    </row>
    <row r="3347" spans="1:12" x14ac:dyDescent="0.25">
      <c r="A3347">
        <v>612380</v>
      </c>
      <c r="B3347">
        <v>731682</v>
      </c>
      <c r="D3347">
        <v>0</v>
      </c>
      <c r="E3347" t="s">
        <v>21247</v>
      </c>
      <c r="F3347" t="s">
        <v>21248</v>
      </c>
      <c r="G3347" t="s">
        <v>21249</v>
      </c>
      <c r="H3347" t="s">
        <v>21250</v>
      </c>
      <c r="I3347" t="s">
        <v>21251</v>
      </c>
      <c r="J3347" t="s">
        <v>21246</v>
      </c>
      <c r="K3347" t="s">
        <v>21252</v>
      </c>
      <c r="L3347" t="s">
        <v>21246</v>
      </c>
    </row>
    <row r="3348" spans="1:12" x14ac:dyDescent="0.25">
      <c r="A3348">
        <v>612442</v>
      </c>
      <c r="B3348">
        <v>1208516</v>
      </c>
      <c r="C3348" t="s">
        <v>21254</v>
      </c>
      <c r="D3348" t="s">
        <v>21255</v>
      </c>
      <c r="E3348" t="s">
        <v>21256</v>
      </c>
      <c r="F3348" t="s">
        <v>21257</v>
      </c>
      <c r="G3348" t="s">
        <v>21258</v>
      </c>
      <c r="H3348" t="s">
        <v>21259</v>
      </c>
      <c r="I3348" t="s">
        <v>21260</v>
      </c>
      <c r="J3348" t="s">
        <v>21261</v>
      </c>
      <c r="K3348" t="s">
        <v>21262</v>
      </c>
      <c r="L3348" t="s">
        <v>21253</v>
      </c>
    </row>
    <row r="3349" spans="1:12" x14ac:dyDescent="0.25">
      <c r="A3349">
        <v>612516</v>
      </c>
      <c r="B3349">
        <v>975600</v>
      </c>
      <c r="D3349">
        <v>0</v>
      </c>
      <c r="F3349">
        <v>1019884</v>
      </c>
      <c r="G3349">
        <v>612516</v>
      </c>
      <c r="H3349" t="e" vm="1472">
        <f>_FV(0,"44")</f>
        <v>#VALUE!</v>
      </c>
      <c r="I3349">
        <v>975600</v>
      </c>
      <c r="J3349" t="s">
        <v>21263</v>
      </c>
      <c r="K3349" t="s">
        <v>21264</v>
      </c>
      <c r="L3349" t="e" vm="1472">
        <f>_FV(0,"44")</f>
        <v>#VALUE!</v>
      </c>
    </row>
    <row r="3350" spans="1:12" x14ac:dyDescent="0.25">
      <c r="A3350">
        <v>613061</v>
      </c>
      <c r="B3350">
        <v>613106</v>
      </c>
      <c r="D3350">
        <v>0</v>
      </c>
      <c r="E3350" t="s">
        <v>21266</v>
      </c>
      <c r="F3350" t="s">
        <v>21267</v>
      </c>
      <c r="G3350" t="s">
        <v>21268</v>
      </c>
      <c r="H3350" t="s">
        <v>21269</v>
      </c>
      <c r="I3350" t="s">
        <v>21270</v>
      </c>
      <c r="J3350" t="s">
        <v>21271</v>
      </c>
      <c r="K3350" t="s">
        <v>21272</v>
      </c>
      <c r="L3350" t="s">
        <v>21265</v>
      </c>
    </row>
    <row r="3351" spans="1:12" x14ac:dyDescent="0.25">
      <c r="A3351">
        <v>613061</v>
      </c>
      <c r="B3351">
        <v>613106</v>
      </c>
      <c r="D3351">
        <v>0</v>
      </c>
      <c r="E3351" t="s">
        <v>21274</v>
      </c>
      <c r="F3351" t="s">
        <v>21275</v>
      </c>
      <c r="G3351" t="s">
        <v>21276</v>
      </c>
      <c r="H3351" t="s">
        <v>21277</v>
      </c>
      <c r="I3351" t="s">
        <v>21278</v>
      </c>
      <c r="J3351" t="s">
        <v>21279</v>
      </c>
      <c r="K3351" t="s">
        <v>21280</v>
      </c>
      <c r="L3351" t="s">
        <v>21273</v>
      </c>
    </row>
    <row r="3352" spans="1:12" x14ac:dyDescent="0.25">
      <c r="A3352">
        <v>613061</v>
      </c>
      <c r="B3352">
        <v>1250131</v>
      </c>
      <c r="D3352">
        <v>0</v>
      </c>
      <c r="F3352">
        <v>1349413</v>
      </c>
      <c r="G3352">
        <v>613061</v>
      </c>
      <c r="H3352" t="e" vm="171">
        <f>_FV(0,"04")</f>
        <v>#VALUE!</v>
      </c>
      <c r="I3352">
        <v>1250131</v>
      </c>
      <c r="J3352" t="s">
        <v>2674</v>
      </c>
      <c r="K3352" t="s">
        <v>21281</v>
      </c>
      <c r="L3352" t="e" vm="171">
        <f>_FV(0,"04")</f>
        <v>#VALUE!</v>
      </c>
    </row>
    <row r="3353" spans="1:12" x14ac:dyDescent="0.25">
      <c r="A3353">
        <v>613106</v>
      </c>
      <c r="B3353">
        <v>613109</v>
      </c>
      <c r="C3353" t="s">
        <v>21283</v>
      </c>
      <c r="D3353">
        <v>0</v>
      </c>
      <c r="E3353" t="s">
        <v>21284</v>
      </c>
      <c r="F3353" t="s">
        <v>21285</v>
      </c>
      <c r="G3353" t="s">
        <v>21286</v>
      </c>
      <c r="H3353" t="s">
        <v>21287</v>
      </c>
      <c r="I3353" t="s">
        <v>21288</v>
      </c>
      <c r="J3353" t="s">
        <v>21289</v>
      </c>
      <c r="K3353" t="s">
        <v>21290</v>
      </c>
      <c r="L3353" t="s">
        <v>21282</v>
      </c>
    </row>
    <row r="3354" spans="1:12" x14ac:dyDescent="0.25">
      <c r="A3354">
        <v>613109</v>
      </c>
      <c r="B3354">
        <v>613168</v>
      </c>
      <c r="D3354" t="s">
        <v>21292</v>
      </c>
      <c r="E3354" t="s">
        <v>21293</v>
      </c>
      <c r="F3354" t="s">
        <v>21294</v>
      </c>
      <c r="G3354" t="s">
        <v>21295</v>
      </c>
      <c r="H3354" t="e" vm="1473">
        <f>_FV(0,"02640650284210205")</f>
        <v>#VALUE!</v>
      </c>
      <c r="I3354" t="s">
        <v>21296</v>
      </c>
      <c r="J3354" t="s">
        <v>21297</v>
      </c>
      <c r="K3354" t="s">
        <v>21298</v>
      </c>
      <c r="L3354" t="s">
        <v>21291</v>
      </c>
    </row>
    <row r="3355" spans="1:12" x14ac:dyDescent="0.25">
      <c r="A3355">
        <v>613109</v>
      </c>
      <c r="B3355">
        <v>1114554</v>
      </c>
      <c r="D3355" t="s">
        <v>21300</v>
      </c>
      <c r="E3355" t="s">
        <v>21301</v>
      </c>
      <c r="F3355" t="s">
        <v>21302</v>
      </c>
      <c r="G3355" t="s">
        <v>21303</v>
      </c>
      <c r="H3355" t="e" vm="1474">
        <f>_FV(0,"026099829118644124")</f>
        <v>#VALUE!</v>
      </c>
      <c r="I3355" t="s">
        <v>21304</v>
      </c>
      <c r="J3355" t="s">
        <v>21305</v>
      </c>
      <c r="K3355" t="s">
        <v>21306</v>
      </c>
      <c r="L3355" t="s">
        <v>21299</v>
      </c>
    </row>
    <row r="3356" spans="1:12" x14ac:dyDescent="0.25">
      <c r="A3356">
        <v>613168</v>
      </c>
      <c r="B3356">
        <v>1096606</v>
      </c>
      <c r="D3356">
        <v>0</v>
      </c>
      <c r="F3356">
        <v>1162138</v>
      </c>
      <c r="G3356">
        <v>1096606</v>
      </c>
      <c r="H3356" t="s">
        <v>2068</v>
      </c>
      <c r="I3356">
        <v>613168</v>
      </c>
      <c r="J3356" t="s">
        <v>2068</v>
      </c>
      <c r="K3356" t="s">
        <v>21307</v>
      </c>
      <c r="L3356" t="s">
        <v>2068</v>
      </c>
    </row>
    <row r="3357" spans="1:12" x14ac:dyDescent="0.25">
      <c r="A3357">
        <v>613168</v>
      </c>
      <c r="B3357">
        <v>613187</v>
      </c>
      <c r="D3357" t="s">
        <v>4181</v>
      </c>
      <c r="E3357" t="s">
        <v>21309</v>
      </c>
      <c r="F3357" t="s">
        <v>21310</v>
      </c>
      <c r="G3357" t="s">
        <v>21311</v>
      </c>
      <c r="H3357" t="s">
        <v>21312</v>
      </c>
      <c r="I3357" t="s">
        <v>21313</v>
      </c>
      <c r="J3357" t="s">
        <v>21308</v>
      </c>
      <c r="K3357" t="s">
        <v>21314</v>
      </c>
      <c r="L3357" t="s">
        <v>21308</v>
      </c>
    </row>
    <row r="3358" spans="1:12" x14ac:dyDescent="0.25">
      <c r="A3358">
        <v>613168</v>
      </c>
      <c r="B3358">
        <v>1114554</v>
      </c>
      <c r="D3358">
        <v>0</v>
      </c>
      <c r="E3358" t="s">
        <v>21316</v>
      </c>
      <c r="F3358" t="s">
        <v>21317</v>
      </c>
      <c r="G3358" t="s">
        <v>21318</v>
      </c>
      <c r="H3358" t="e" vm="1475">
        <f>_FV(0,"002243129343777346")</f>
        <v>#VALUE!</v>
      </c>
      <c r="I3358" t="s">
        <v>21319</v>
      </c>
      <c r="J3358" t="s">
        <v>7433</v>
      </c>
      <c r="K3358" t="s">
        <v>21320</v>
      </c>
      <c r="L3358" t="s">
        <v>21315</v>
      </c>
    </row>
    <row r="3359" spans="1:12" x14ac:dyDescent="0.25">
      <c r="A3359">
        <v>613187</v>
      </c>
      <c r="B3359">
        <v>613192</v>
      </c>
      <c r="D3359">
        <v>0</v>
      </c>
      <c r="E3359" t="s">
        <v>21322</v>
      </c>
      <c r="F3359" t="s">
        <v>21323</v>
      </c>
      <c r="G3359" t="s">
        <v>21324</v>
      </c>
      <c r="H3359" t="s">
        <v>21325</v>
      </c>
      <c r="I3359" t="s">
        <v>21326</v>
      </c>
      <c r="J3359" t="s">
        <v>21327</v>
      </c>
      <c r="K3359" t="s">
        <v>21328</v>
      </c>
      <c r="L3359" t="s">
        <v>21321</v>
      </c>
    </row>
    <row r="3360" spans="1:12" x14ac:dyDescent="0.25">
      <c r="A3360">
        <v>613187</v>
      </c>
      <c r="B3360">
        <v>1096606</v>
      </c>
      <c r="D3360" t="s">
        <v>4181</v>
      </c>
      <c r="E3360" t="s">
        <v>21330</v>
      </c>
      <c r="F3360" t="s">
        <v>21331</v>
      </c>
      <c r="G3360" t="s">
        <v>21332</v>
      </c>
      <c r="H3360" t="s">
        <v>21333</v>
      </c>
      <c r="I3360" t="s">
        <v>21334</v>
      </c>
      <c r="J3360" t="s">
        <v>21329</v>
      </c>
      <c r="K3360" t="s">
        <v>21335</v>
      </c>
      <c r="L3360" t="s">
        <v>21329</v>
      </c>
    </row>
    <row r="3361" spans="1:12" x14ac:dyDescent="0.25">
      <c r="A3361">
        <v>613192</v>
      </c>
      <c r="B3361">
        <v>613240</v>
      </c>
      <c r="D3361">
        <v>0</v>
      </c>
      <c r="E3361" t="s">
        <v>21337</v>
      </c>
      <c r="F3361" t="s">
        <v>21338</v>
      </c>
      <c r="G3361" t="s">
        <v>21339</v>
      </c>
      <c r="H3361" t="e" vm="1476">
        <f>_FV(0,"003130557154010031")</f>
        <v>#VALUE!</v>
      </c>
      <c r="I3361" t="s">
        <v>21340</v>
      </c>
      <c r="J3361" t="s">
        <v>21341</v>
      </c>
      <c r="K3361" t="s">
        <v>21342</v>
      </c>
      <c r="L3361" t="s">
        <v>21336</v>
      </c>
    </row>
    <row r="3362" spans="1:12" x14ac:dyDescent="0.25">
      <c r="A3362">
        <v>613192</v>
      </c>
      <c r="B3362">
        <v>613240</v>
      </c>
      <c r="D3362">
        <v>0</v>
      </c>
      <c r="E3362" t="s">
        <v>21344</v>
      </c>
      <c r="F3362" t="s">
        <v>21345</v>
      </c>
      <c r="G3362" t="s">
        <v>21346</v>
      </c>
      <c r="H3362" t="e" vm="1477">
        <f>_FV(0,"0029186794852157")</f>
        <v>#VALUE!</v>
      </c>
      <c r="I3362" t="s">
        <v>21347</v>
      </c>
      <c r="J3362" t="s">
        <v>21348</v>
      </c>
      <c r="K3362" t="s">
        <v>21349</v>
      </c>
      <c r="L3362" t="s">
        <v>21343</v>
      </c>
    </row>
    <row r="3363" spans="1:12" x14ac:dyDescent="0.25">
      <c r="A3363">
        <v>613240</v>
      </c>
      <c r="B3363">
        <v>613259</v>
      </c>
      <c r="C3363" t="s">
        <v>21351</v>
      </c>
      <c r="D3363" t="s">
        <v>21352</v>
      </c>
      <c r="E3363" t="s">
        <v>21353</v>
      </c>
      <c r="F3363" t="s">
        <v>21354</v>
      </c>
      <c r="G3363" t="s">
        <v>21355</v>
      </c>
      <c r="H3363" t="e" vm="1478">
        <f>_FV(0,"0008126243499506669")</f>
        <v>#VALUE!</v>
      </c>
      <c r="I3363" t="s">
        <v>21356</v>
      </c>
      <c r="J3363" t="s">
        <v>21357</v>
      </c>
      <c r="K3363" t="s">
        <v>21358</v>
      </c>
      <c r="L3363" t="s">
        <v>21350</v>
      </c>
    </row>
    <row r="3364" spans="1:12" x14ac:dyDescent="0.25">
      <c r="A3364">
        <v>613314</v>
      </c>
      <c r="B3364">
        <v>1077405</v>
      </c>
      <c r="D3364" t="s">
        <v>21360</v>
      </c>
      <c r="E3364" t="s">
        <v>21361</v>
      </c>
      <c r="F3364" t="s">
        <v>21362</v>
      </c>
      <c r="G3364" t="s">
        <v>21363</v>
      </c>
      <c r="H3364" t="s">
        <v>21364</v>
      </c>
      <c r="I3364" t="s">
        <v>21365</v>
      </c>
      <c r="J3364" t="s">
        <v>21366</v>
      </c>
      <c r="K3364" t="s">
        <v>21367</v>
      </c>
      <c r="L3364" t="s">
        <v>21359</v>
      </c>
    </row>
    <row r="3365" spans="1:12" x14ac:dyDescent="0.25">
      <c r="A3365">
        <v>619158</v>
      </c>
      <c r="B3365">
        <v>619175</v>
      </c>
      <c r="D3365">
        <v>0</v>
      </c>
      <c r="E3365" t="s">
        <v>21369</v>
      </c>
      <c r="F3365" t="s">
        <v>21370</v>
      </c>
      <c r="G3365" t="s">
        <v>21371</v>
      </c>
      <c r="H3365" t="e" vm="1479">
        <f>_FV(0,"04058102393559219")</f>
        <v>#VALUE!</v>
      </c>
      <c r="I3365" t="s">
        <v>21372</v>
      </c>
      <c r="J3365" t="s">
        <v>21373</v>
      </c>
      <c r="K3365" t="s">
        <v>21374</v>
      </c>
      <c r="L3365" t="s">
        <v>21368</v>
      </c>
    </row>
    <row r="3366" spans="1:12" x14ac:dyDescent="0.25">
      <c r="A3366">
        <v>619158</v>
      </c>
      <c r="B3366">
        <v>619175</v>
      </c>
      <c r="D3366">
        <v>0</v>
      </c>
      <c r="E3366" t="s">
        <v>21376</v>
      </c>
      <c r="F3366" t="s">
        <v>21377</v>
      </c>
      <c r="G3366" t="s">
        <v>21378</v>
      </c>
      <c r="H3366" t="e" vm="1480">
        <f>_FV(0,"039067068000133556")</f>
        <v>#VALUE!</v>
      </c>
      <c r="I3366" t="s">
        <v>21379</v>
      </c>
      <c r="J3366" t="s">
        <v>21380</v>
      </c>
      <c r="K3366" t="s">
        <v>21381</v>
      </c>
      <c r="L3366" t="s">
        <v>21375</v>
      </c>
    </row>
    <row r="3367" spans="1:12" x14ac:dyDescent="0.25">
      <c r="A3367">
        <v>619158</v>
      </c>
      <c r="B3367">
        <v>1204259</v>
      </c>
      <c r="D3367">
        <v>0</v>
      </c>
      <c r="E3367" t="s">
        <v>21383</v>
      </c>
      <c r="F3367" t="s">
        <v>21384</v>
      </c>
      <c r="G3367" t="s">
        <v>21385</v>
      </c>
      <c r="H3367" t="e" vm="1481">
        <f>_FV(0,"03341844007146852")</f>
        <v>#VALUE!</v>
      </c>
      <c r="I3367" t="s">
        <v>21386</v>
      </c>
      <c r="J3367" t="s">
        <v>21387</v>
      </c>
      <c r="K3367" t="s">
        <v>21388</v>
      </c>
      <c r="L3367" t="s">
        <v>21382</v>
      </c>
    </row>
    <row r="3368" spans="1:12" x14ac:dyDescent="0.25">
      <c r="A3368">
        <v>619175</v>
      </c>
      <c r="B3368">
        <v>619187</v>
      </c>
      <c r="D3368">
        <v>0</v>
      </c>
      <c r="E3368" t="s">
        <v>21390</v>
      </c>
      <c r="F3368" t="s">
        <v>21391</v>
      </c>
      <c r="G3368" t="s">
        <v>21392</v>
      </c>
      <c r="H3368" t="e" vm="1482">
        <f>_FV(0,"0016187617769793307")</f>
        <v>#VALUE!</v>
      </c>
      <c r="I3368" t="s">
        <v>21393</v>
      </c>
      <c r="J3368" t="s">
        <v>21394</v>
      </c>
      <c r="K3368" t="s">
        <v>21395</v>
      </c>
      <c r="L3368" t="s">
        <v>21389</v>
      </c>
    </row>
    <row r="3369" spans="1:12" x14ac:dyDescent="0.25">
      <c r="A3369">
        <v>619187</v>
      </c>
      <c r="B3369">
        <v>778667</v>
      </c>
      <c r="D3369">
        <v>0</v>
      </c>
      <c r="E3369" t="s">
        <v>21397</v>
      </c>
      <c r="F3369" t="s">
        <v>21398</v>
      </c>
      <c r="G3369" t="s">
        <v>21399</v>
      </c>
      <c r="H3369" t="e" vm="1483">
        <f>_FV(0,"030843890221014972")</f>
        <v>#VALUE!</v>
      </c>
      <c r="I3369" t="s">
        <v>21400</v>
      </c>
      <c r="J3369" t="s">
        <v>21401</v>
      </c>
      <c r="K3369" t="s">
        <v>21402</v>
      </c>
      <c r="L3369" t="s">
        <v>21396</v>
      </c>
    </row>
    <row r="3370" spans="1:12" x14ac:dyDescent="0.25">
      <c r="A3370">
        <v>619187</v>
      </c>
      <c r="B3370">
        <v>441708</v>
      </c>
      <c r="D3370">
        <v>0</v>
      </c>
      <c r="E3370" t="s">
        <v>21404</v>
      </c>
      <c r="F3370" t="s">
        <v>21405</v>
      </c>
      <c r="G3370" t="s">
        <v>21406</v>
      </c>
      <c r="H3370" t="s">
        <v>21407</v>
      </c>
      <c r="I3370" t="s">
        <v>21408</v>
      </c>
      <c r="J3370" t="s">
        <v>21403</v>
      </c>
      <c r="K3370" t="s">
        <v>21409</v>
      </c>
      <c r="L3370" t="s">
        <v>21403</v>
      </c>
    </row>
    <row r="3371" spans="1:12" x14ac:dyDescent="0.25">
      <c r="A3371">
        <v>619605</v>
      </c>
      <c r="B3371">
        <v>619647</v>
      </c>
      <c r="D3371">
        <v>0</v>
      </c>
      <c r="E3371" t="s">
        <v>21411</v>
      </c>
      <c r="F3371" t="s">
        <v>21412</v>
      </c>
      <c r="G3371" t="s">
        <v>21413</v>
      </c>
      <c r="H3371" t="s">
        <v>21414</v>
      </c>
      <c r="I3371" t="s">
        <v>21415</v>
      </c>
      <c r="J3371" t="s">
        <v>21410</v>
      </c>
      <c r="K3371" t="s">
        <v>21416</v>
      </c>
      <c r="L3371" t="s">
        <v>21410</v>
      </c>
    </row>
    <row r="3372" spans="1:12" x14ac:dyDescent="0.25">
      <c r="A3372">
        <v>619605</v>
      </c>
      <c r="B3372">
        <v>619647</v>
      </c>
      <c r="D3372">
        <v>0</v>
      </c>
      <c r="E3372" t="s">
        <v>21418</v>
      </c>
      <c r="F3372" t="s">
        <v>21419</v>
      </c>
      <c r="G3372" t="s">
        <v>21420</v>
      </c>
      <c r="H3372" t="s">
        <v>21421</v>
      </c>
      <c r="I3372" t="s">
        <v>21422</v>
      </c>
      <c r="J3372" t="s">
        <v>21423</v>
      </c>
      <c r="K3372" t="s">
        <v>21424</v>
      </c>
      <c r="L3372" t="s">
        <v>21417</v>
      </c>
    </row>
    <row r="3373" spans="1:12" x14ac:dyDescent="0.25">
      <c r="A3373">
        <v>619647</v>
      </c>
      <c r="B3373">
        <v>1854806</v>
      </c>
      <c r="D3373">
        <v>0</v>
      </c>
      <c r="E3373" t="s">
        <v>21425</v>
      </c>
      <c r="H3373" t="s">
        <v>187</v>
      </c>
      <c r="J3373">
        <v>0</v>
      </c>
      <c r="K3373" t="s">
        <v>16229</v>
      </c>
      <c r="L3373">
        <v>0</v>
      </c>
    </row>
    <row r="3374" spans="1:12" x14ac:dyDescent="0.25">
      <c r="A3374">
        <v>619977</v>
      </c>
      <c r="B3374">
        <v>619985</v>
      </c>
      <c r="D3374">
        <v>0</v>
      </c>
      <c r="E3374" t="s">
        <v>21427</v>
      </c>
      <c r="F3374" t="s">
        <v>21428</v>
      </c>
      <c r="G3374" t="s">
        <v>21429</v>
      </c>
      <c r="H3374" t="e" vm="1484">
        <f>_FV(0,"14674081488681068")</f>
        <v>#VALUE!</v>
      </c>
      <c r="I3374" t="s">
        <v>21430</v>
      </c>
      <c r="J3374" t="s">
        <v>21431</v>
      </c>
      <c r="K3374" t="s">
        <v>21432</v>
      </c>
      <c r="L3374" t="s">
        <v>21426</v>
      </c>
    </row>
    <row r="3375" spans="1:12" x14ac:dyDescent="0.25">
      <c r="A3375">
        <v>619977</v>
      </c>
      <c r="B3375">
        <v>1385707</v>
      </c>
      <c r="D3375">
        <v>0</v>
      </c>
      <c r="E3375" t="s">
        <v>21434</v>
      </c>
      <c r="F3375" t="s">
        <v>21435</v>
      </c>
      <c r="G3375" t="s">
        <v>21436</v>
      </c>
      <c r="H3375" t="e" vm="1485">
        <f>_FV(0,"13279257903937255")</f>
        <v>#VALUE!</v>
      </c>
      <c r="I3375" t="s">
        <v>21437</v>
      </c>
      <c r="J3375" t="s">
        <v>21438</v>
      </c>
      <c r="K3375" t="s">
        <v>21439</v>
      </c>
      <c r="L3375" t="s">
        <v>21433</v>
      </c>
    </row>
    <row r="3376" spans="1:12" x14ac:dyDescent="0.25">
      <c r="A3376">
        <v>619977</v>
      </c>
      <c r="B3376">
        <v>1613340</v>
      </c>
      <c r="D3376">
        <v>0</v>
      </c>
      <c r="E3376" t="s">
        <v>21441</v>
      </c>
      <c r="F3376" t="s">
        <v>21442</v>
      </c>
      <c r="G3376" t="s">
        <v>21443</v>
      </c>
      <c r="H3376" t="e" vm="1486">
        <f>_FV(0,"01825560515701082")</f>
        <v>#VALUE!</v>
      </c>
      <c r="I3376" t="s">
        <v>21444</v>
      </c>
      <c r="J3376" t="s">
        <v>21445</v>
      </c>
      <c r="K3376" t="s">
        <v>21446</v>
      </c>
      <c r="L3376" t="s">
        <v>21440</v>
      </c>
    </row>
    <row r="3377" spans="1:12" x14ac:dyDescent="0.25">
      <c r="A3377">
        <v>620810</v>
      </c>
      <c r="B3377">
        <v>932197</v>
      </c>
      <c r="D3377">
        <v>0</v>
      </c>
      <c r="F3377">
        <v>968746</v>
      </c>
      <c r="G3377">
        <v>932197</v>
      </c>
      <c r="H3377" t="e" vm="1487">
        <f>_FV(0,"284")</f>
        <v>#VALUE!</v>
      </c>
      <c r="I3377">
        <v>620810</v>
      </c>
      <c r="J3377" t="s">
        <v>15328</v>
      </c>
      <c r="K3377" t="s">
        <v>21447</v>
      </c>
      <c r="L3377" t="e" vm="1487">
        <f>_FV(0,"284")</f>
        <v>#VALUE!</v>
      </c>
    </row>
    <row r="3378" spans="1:12" x14ac:dyDescent="0.25">
      <c r="A3378">
        <v>620810</v>
      </c>
      <c r="B3378">
        <v>1036510</v>
      </c>
      <c r="D3378" t="s">
        <v>257</v>
      </c>
      <c r="E3378" t="s">
        <v>21449</v>
      </c>
      <c r="F3378" t="s">
        <v>21450</v>
      </c>
      <c r="G3378" t="s">
        <v>21451</v>
      </c>
      <c r="H3378" t="s">
        <v>21452</v>
      </c>
      <c r="I3378" t="s">
        <v>21453</v>
      </c>
      <c r="J3378" t="s">
        <v>21448</v>
      </c>
      <c r="K3378" t="s">
        <v>21454</v>
      </c>
      <c r="L3378" t="s">
        <v>21448</v>
      </c>
    </row>
    <row r="3379" spans="1:12" x14ac:dyDescent="0.25">
      <c r="A3379">
        <v>620810</v>
      </c>
      <c r="B3379">
        <v>1036502</v>
      </c>
      <c r="D3379">
        <v>0</v>
      </c>
      <c r="E3379" t="s">
        <v>21456</v>
      </c>
      <c r="F3379" t="s">
        <v>21457</v>
      </c>
      <c r="G3379" t="s">
        <v>21458</v>
      </c>
      <c r="H3379" t="s">
        <v>21459</v>
      </c>
      <c r="I3379" t="s">
        <v>21460</v>
      </c>
      <c r="J3379" t="s">
        <v>21461</v>
      </c>
      <c r="K3379" t="s">
        <v>21462</v>
      </c>
      <c r="L3379" t="s">
        <v>21455</v>
      </c>
    </row>
    <row r="3380" spans="1:12" x14ac:dyDescent="0.25">
      <c r="A3380">
        <v>621008</v>
      </c>
      <c r="B3380">
        <v>621023</v>
      </c>
      <c r="D3380">
        <v>0</v>
      </c>
      <c r="E3380" t="s">
        <v>21464</v>
      </c>
      <c r="F3380" t="s">
        <v>21465</v>
      </c>
      <c r="G3380" t="s">
        <v>21466</v>
      </c>
      <c r="H3380" t="e" vm="1488">
        <f>_FV(0,"0182496779229798")</f>
        <v>#VALUE!</v>
      </c>
      <c r="I3380" t="s">
        <v>21467</v>
      </c>
      <c r="J3380" t="s">
        <v>21468</v>
      </c>
      <c r="K3380" t="s">
        <v>21469</v>
      </c>
      <c r="L3380" t="s">
        <v>21463</v>
      </c>
    </row>
    <row r="3381" spans="1:12" x14ac:dyDescent="0.25">
      <c r="A3381">
        <v>621046</v>
      </c>
      <c r="B3381">
        <v>621071</v>
      </c>
      <c r="C3381" t="s">
        <v>21471</v>
      </c>
      <c r="D3381" t="s">
        <v>2793</v>
      </c>
      <c r="E3381" t="s">
        <v>21472</v>
      </c>
      <c r="F3381" t="s">
        <v>21473</v>
      </c>
      <c r="G3381" t="s">
        <v>21474</v>
      </c>
      <c r="H3381" t="s">
        <v>21475</v>
      </c>
      <c r="I3381" t="s">
        <v>21476</v>
      </c>
      <c r="J3381" t="s">
        <v>21477</v>
      </c>
      <c r="K3381" t="s">
        <v>21478</v>
      </c>
      <c r="L3381" t="s">
        <v>21470</v>
      </c>
    </row>
    <row r="3382" spans="1:12" x14ac:dyDescent="0.25">
      <c r="A3382">
        <v>621046</v>
      </c>
      <c r="B3382">
        <v>982084</v>
      </c>
      <c r="D3382" t="s">
        <v>2361</v>
      </c>
      <c r="E3382" t="s">
        <v>21480</v>
      </c>
      <c r="F3382" t="s">
        <v>21481</v>
      </c>
      <c r="G3382" t="s">
        <v>21482</v>
      </c>
      <c r="H3382" t="e" vm="1489">
        <f>_FV(0,"003289186980891181")</f>
        <v>#VALUE!</v>
      </c>
      <c r="I3382" t="s">
        <v>21483</v>
      </c>
      <c r="J3382" t="s">
        <v>21484</v>
      </c>
      <c r="K3382" t="s">
        <v>21485</v>
      </c>
      <c r="L3382" t="s">
        <v>21479</v>
      </c>
    </row>
    <row r="3383" spans="1:12" x14ac:dyDescent="0.25">
      <c r="A3383">
        <v>621071</v>
      </c>
      <c r="B3383">
        <v>621106</v>
      </c>
      <c r="D3383">
        <v>0</v>
      </c>
      <c r="E3383" t="s">
        <v>21487</v>
      </c>
      <c r="F3383" t="s">
        <v>21488</v>
      </c>
      <c r="G3383" t="s">
        <v>21489</v>
      </c>
      <c r="H3383" t="s">
        <v>21490</v>
      </c>
      <c r="I3383" t="s">
        <v>21491</v>
      </c>
      <c r="J3383" t="s">
        <v>21492</v>
      </c>
      <c r="K3383" t="s">
        <v>21493</v>
      </c>
      <c r="L3383" t="s">
        <v>21486</v>
      </c>
    </row>
    <row r="3384" spans="1:12" x14ac:dyDescent="0.25">
      <c r="A3384">
        <v>621071</v>
      </c>
      <c r="B3384">
        <v>567437</v>
      </c>
      <c r="D3384">
        <v>0</v>
      </c>
      <c r="E3384" t="s">
        <v>21495</v>
      </c>
      <c r="F3384" t="s">
        <v>21496</v>
      </c>
      <c r="G3384" t="s">
        <v>21497</v>
      </c>
      <c r="H3384" t="s">
        <v>21498</v>
      </c>
      <c r="I3384" t="s">
        <v>21499</v>
      </c>
      <c r="J3384" t="s">
        <v>21500</v>
      </c>
      <c r="K3384" t="s">
        <v>21501</v>
      </c>
      <c r="L3384" t="s">
        <v>21494</v>
      </c>
    </row>
    <row r="3385" spans="1:12" x14ac:dyDescent="0.25">
      <c r="A3385">
        <v>621106</v>
      </c>
      <c r="B3385">
        <v>673778</v>
      </c>
      <c r="D3385" t="s">
        <v>21503</v>
      </c>
      <c r="E3385" t="s">
        <v>21504</v>
      </c>
      <c r="F3385" t="s">
        <v>21505</v>
      </c>
      <c r="G3385" t="s">
        <v>21506</v>
      </c>
      <c r="H3385" t="s">
        <v>21507</v>
      </c>
      <c r="I3385" t="s">
        <v>21508</v>
      </c>
      <c r="J3385" t="s">
        <v>21509</v>
      </c>
      <c r="K3385" t="s">
        <v>21510</v>
      </c>
      <c r="L3385" t="s">
        <v>21502</v>
      </c>
    </row>
    <row r="3386" spans="1:12" x14ac:dyDescent="0.25">
      <c r="A3386">
        <v>621204</v>
      </c>
      <c r="B3386">
        <v>621211</v>
      </c>
      <c r="D3386">
        <v>0</v>
      </c>
      <c r="F3386">
        <v>624233</v>
      </c>
      <c r="G3386">
        <v>621211</v>
      </c>
      <c r="H3386" t="e" vm="56">
        <f>_FV(0,"023")</f>
        <v>#VALUE!</v>
      </c>
      <c r="I3386">
        <v>621204</v>
      </c>
      <c r="J3386" t="s">
        <v>890</v>
      </c>
      <c r="K3386" t="s">
        <v>21511</v>
      </c>
      <c r="L3386" t="e" vm="56">
        <f>_FV(0,"023")</f>
        <v>#VALUE!</v>
      </c>
    </row>
    <row r="3387" spans="1:12" x14ac:dyDescent="0.25">
      <c r="A3387">
        <v>621204</v>
      </c>
      <c r="B3387">
        <v>648992</v>
      </c>
      <c r="D3387" t="s">
        <v>21513</v>
      </c>
      <c r="E3387" t="s">
        <v>21514</v>
      </c>
      <c r="F3387" t="s">
        <v>21515</v>
      </c>
      <c r="G3387" t="s">
        <v>21516</v>
      </c>
      <c r="H3387" t="e" vm="1490">
        <f>_FV(0,"012115172192797433")</f>
        <v>#VALUE!</v>
      </c>
      <c r="I3387" t="s">
        <v>21517</v>
      </c>
      <c r="J3387" t="s">
        <v>21518</v>
      </c>
      <c r="K3387" t="s">
        <v>21519</v>
      </c>
      <c r="L3387" t="s">
        <v>21512</v>
      </c>
    </row>
    <row r="3388" spans="1:12" x14ac:dyDescent="0.25">
      <c r="A3388">
        <v>621211</v>
      </c>
      <c r="B3388">
        <v>621252</v>
      </c>
      <c r="D3388">
        <v>0</v>
      </c>
      <c r="E3388" t="s">
        <v>21521</v>
      </c>
      <c r="F3388" t="s">
        <v>21522</v>
      </c>
      <c r="G3388" t="s">
        <v>21523</v>
      </c>
      <c r="H3388" t="e" vm="1491">
        <f>_FV(0,"054382212981860266")</f>
        <v>#VALUE!</v>
      </c>
      <c r="I3388" t="s">
        <v>21524</v>
      </c>
      <c r="J3388" t="s">
        <v>21525</v>
      </c>
      <c r="K3388" t="s">
        <v>21526</v>
      </c>
      <c r="L3388" t="s">
        <v>21520</v>
      </c>
    </row>
    <row r="3389" spans="1:12" x14ac:dyDescent="0.25">
      <c r="A3389">
        <v>621252</v>
      </c>
      <c r="B3389">
        <v>623054</v>
      </c>
      <c r="D3389">
        <v>0</v>
      </c>
      <c r="F3389">
        <v>626510</v>
      </c>
      <c r="G3389">
        <v>623054</v>
      </c>
      <c r="H3389" t="e" vm="1492">
        <f>_FV(0,"06")</f>
        <v>#VALUE!</v>
      </c>
      <c r="I3389">
        <v>621252</v>
      </c>
      <c r="J3389" t="s">
        <v>21527</v>
      </c>
      <c r="K3389" t="s">
        <v>21528</v>
      </c>
      <c r="L3389" t="e" vm="1492">
        <f>_FV(0,"06")</f>
        <v>#VALUE!</v>
      </c>
    </row>
    <row r="3390" spans="1:12" x14ac:dyDescent="0.25">
      <c r="A3390">
        <v>621252</v>
      </c>
      <c r="B3390">
        <v>621325</v>
      </c>
      <c r="C3390" t="s">
        <v>21530</v>
      </c>
      <c r="D3390" t="s">
        <v>21531</v>
      </c>
      <c r="E3390" t="s">
        <v>21532</v>
      </c>
      <c r="F3390" t="s">
        <v>21533</v>
      </c>
      <c r="G3390" t="s">
        <v>21534</v>
      </c>
      <c r="H3390" t="s">
        <v>21535</v>
      </c>
      <c r="I3390" t="s">
        <v>21536</v>
      </c>
      <c r="J3390" t="s">
        <v>21537</v>
      </c>
      <c r="K3390" t="s">
        <v>21538</v>
      </c>
      <c r="L3390" t="s">
        <v>21529</v>
      </c>
    </row>
    <row r="3391" spans="1:12" x14ac:dyDescent="0.25">
      <c r="A3391">
        <v>621336</v>
      </c>
      <c r="B3391">
        <v>621357</v>
      </c>
      <c r="D3391" t="s">
        <v>330</v>
      </c>
      <c r="E3391" t="s">
        <v>21540</v>
      </c>
      <c r="F3391" t="s">
        <v>21541</v>
      </c>
      <c r="G3391" t="s">
        <v>21542</v>
      </c>
      <c r="H3391" t="s">
        <v>21543</v>
      </c>
      <c r="I3391" t="s">
        <v>21544</v>
      </c>
      <c r="J3391" t="s">
        <v>21539</v>
      </c>
      <c r="K3391" t="s">
        <v>21545</v>
      </c>
      <c r="L3391" t="s">
        <v>21539</v>
      </c>
    </row>
    <row r="3392" spans="1:12" x14ac:dyDescent="0.25">
      <c r="A3392">
        <v>621336</v>
      </c>
      <c r="B3392">
        <v>606671</v>
      </c>
      <c r="D3392">
        <v>0</v>
      </c>
      <c r="E3392" t="s">
        <v>21547</v>
      </c>
      <c r="F3392" t="s">
        <v>21548</v>
      </c>
      <c r="G3392" t="s">
        <v>21549</v>
      </c>
      <c r="H3392" t="s">
        <v>21550</v>
      </c>
      <c r="I3392" t="s">
        <v>21551</v>
      </c>
      <c r="J3392" t="s">
        <v>21546</v>
      </c>
      <c r="K3392" t="s">
        <v>21552</v>
      </c>
      <c r="L3392" t="s">
        <v>21546</v>
      </c>
    </row>
    <row r="3393" spans="1:12" x14ac:dyDescent="0.25">
      <c r="A3393">
        <v>621357</v>
      </c>
      <c r="B3393">
        <v>621440</v>
      </c>
      <c r="C3393" t="s">
        <v>21554</v>
      </c>
      <c r="D3393" t="s">
        <v>15909</v>
      </c>
      <c r="E3393" t="s">
        <v>21555</v>
      </c>
      <c r="F3393" t="s">
        <v>21556</v>
      </c>
      <c r="G3393" t="s">
        <v>21557</v>
      </c>
      <c r="H3393" t="s">
        <v>21558</v>
      </c>
      <c r="I3393" t="s">
        <v>21559</v>
      </c>
      <c r="J3393" t="s">
        <v>21553</v>
      </c>
      <c r="K3393" t="s">
        <v>21560</v>
      </c>
      <c r="L3393" t="s">
        <v>21553</v>
      </c>
    </row>
    <row r="3394" spans="1:12" x14ac:dyDescent="0.25">
      <c r="A3394">
        <v>621440</v>
      </c>
      <c r="B3394">
        <v>621454</v>
      </c>
      <c r="D3394">
        <v>0</v>
      </c>
      <c r="E3394" t="s">
        <v>21562</v>
      </c>
      <c r="F3394" t="s">
        <v>21563</v>
      </c>
      <c r="G3394" t="s">
        <v>21564</v>
      </c>
      <c r="H3394" t="s">
        <v>21565</v>
      </c>
      <c r="I3394" t="s">
        <v>21566</v>
      </c>
      <c r="J3394" t="s">
        <v>21561</v>
      </c>
      <c r="K3394" t="s">
        <v>21567</v>
      </c>
      <c r="L3394" t="s">
        <v>21561</v>
      </c>
    </row>
    <row r="3395" spans="1:12" x14ac:dyDescent="0.25">
      <c r="A3395">
        <v>621454</v>
      </c>
      <c r="B3395">
        <v>621474</v>
      </c>
      <c r="C3395" t="s">
        <v>21569</v>
      </c>
      <c r="D3395">
        <v>0</v>
      </c>
      <c r="E3395" t="s">
        <v>21570</v>
      </c>
      <c r="F3395" t="s">
        <v>21571</v>
      </c>
      <c r="G3395" t="s">
        <v>21572</v>
      </c>
      <c r="H3395" t="s">
        <v>21573</v>
      </c>
      <c r="I3395" t="s">
        <v>21574</v>
      </c>
      <c r="J3395" t="s">
        <v>21568</v>
      </c>
      <c r="K3395" t="s">
        <v>21575</v>
      </c>
      <c r="L3395" t="s">
        <v>21568</v>
      </c>
    </row>
    <row r="3396" spans="1:12" x14ac:dyDescent="0.25">
      <c r="A3396">
        <v>621474</v>
      </c>
      <c r="B3396">
        <v>621503</v>
      </c>
      <c r="D3396">
        <v>0</v>
      </c>
      <c r="E3396" t="s">
        <v>21577</v>
      </c>
      <c r="F3396" t="s">
        <v>21578</v>
      </c>
      <c r="G3396" t="s">
        <v>21579</v>
      </c>
      <c r="H3396" t="s">
        <v>21580</v>
      </c>
      <c r="I3396" t="s">
        <v>21581</v>
      </c>
      <c r="J3396" t="s">
        <v>21582</v>
      </c>
      <c r="K3396" t="s">
        <v>21583</v>
      </c>
      <c r="L3396" t="s">
        <v>21576</v>
      </c>
    </row>
    <row r="3397" spans="1:12" x14ac:dyDescent="0.25">
      <c r="A3397">
        <v>621503</v>
      </c>
      <c r="B3397">
        <v>621546</v>
      </c>
      <c r="D3397" t="s">
        <v>9879</v>
      </c>
      <c r="E3397" t="s">
        <v>21585</v>
      </c>
      <c r="F3397" t="s">
        <v>21586</v>
      </c>
      <c r="G3397" t="s">
        <v>21587</v>
      </c>
      <c r="H3397" t="e" vm="1493">
        <f>_FV(0,"020986582051346646")</f>
        <v>#VALUE!</v>
      </c>
      <c r="I3397" t="s">
        <v>21588</v>
      </c>
      <c r="J3397" t="s">
        <v>21589</v>
      </c>
      <c r="K3397" t="s">
        <v>21590</v>
      </c>
      <c r="L3397" t="s">
        <v>21584</v>
      </c>
    </row>
    <row r="3398" spans="1:12" x14ac:dyDescent="0.25">
      <c r="A3398">
        <v>621544</v>
      </c>
      <c r="B3398">
        <v>621548</v>
      </c>
      <c r="D3398" t="s">
        <v>21592</v>
      </c>
      <c r="E3398" t="s">
        <v>21593</v>
      </c>
      <c r="F3398" t="s">
        <v>21594</v>
      </c>
      <c r="G3398" t="s">
        <v>21596</v>
      </c>
      <c r="H3398" t="s">
        <v>21597</v>
      </c>
      <c r="I3398" t="s">
        <v>21598</v>
      </c>
      <c r="J3398" t="s">
        <v>21599</v>
      </c>
      <c r="K3398" t="s">
        <v>21600</v>
      </c>
      <c r="L3398" t="s">
        <v>21591</v>
      </c>
    </row>
    <row r="3399" spans="1:12" x14ac:dyDescent="0.25">
      <c r="A3399">
        <v>621546</v>
      </c>
      <c r="B3399">
        <v>621565</v>
      </c>
      <c r="D3399">
        <v>0</v>
      </c>
      <c r="E3399" t="s">
        <v>21602</v>
      </c>
      <c r="F3399" t="s">
        <v>21603</v>
      </c>
      <c r="G3399" t="s">
        <v>21604</v>
      </c>
      <c r="H3399" t="e" vm="1494">
        <f>_FV(0,"024604490035766053")</f>
        <v>#VALUE!</v>
      </c>
      <c r="I3399" t="s">
        <v>21605</v>
      </c>
      <c r="J3399" t="s">
        <v>21606</v>
      </c>
      <c r="K3399" t="s">
        <v>21607</v>
      </c>
      <c r="L3399" t="s">
        <v>21601</v>
      </c>
    </row>
    <row r="3400" spans="1:12" x14ac:dyDescent="0.25">
      <c r="A3400">
        <v>621565</v>
      </c>
      <c r="B3400">
        <v>955573</v>
      </c>
      <c r="D3400" t="s">
        <v>10069</v>
      </c>
      <c r="E3400" t="s">
        <v>21609</v>
      </c>
      <c r="F3400" t="s">
        <v>21610</v>
      </c>
      <c r="G3400" t="s">
        <v>21611</v>
      </c>
      <c r="H3400" t="e" vm="1495">
        <f>_FV(0,"021064850093489816")</f>
        <v>#VALUE!</v>
      </c>
      <c r="I3400" t="s">
        <v>21612</v>
      </c>
      <c r="J3400" t="s">
        <v>21613</v>
      </c>
      <c r="K3400" t="s">
        <v>21614</v>
      </c>
      <c r="L3400" t="s">
        <v>21608</v>
      </c>
    </row>
    <row r="3401" spans="1:12" x14ac:dyDescent="0.25">
      <c r="A3401">
        <v>621605</v>
      </c>
      <c r="B3401">
        <v>621637</v>
      </c>
      <c r="D3401">
        <v>0</v>
      </c>
      <c r="E3401" t="s">
        <v>21616</v>
      </c>
      <c r="F3401" t="s">
        <v>21617</v>
      </c>
      <c r="G3401" t="s">
        <v>21618</v>
      </c>
      <c r="H3401" t="e" vm="1496">
        <f>_FV(0,"010138702996941477")</f>
        <v>#VALUE!</v>
      </c>
      <c r="I3401" t="s">
        <v>21619</v>
      </c>
      <c r="J3401" t="s">
        <v>21620</v>
      </c>
      <c r="K3401" t="s">
        <v>21621</v>
      </c>
      <c r="L3401" t="s">
        <v>21615</v>
      </c>
    </row>
    <row r="3402" spans="1:12" x14ac:dyDescent="0.25">
      <c r="A3402">
        <v>621605</v>
      </c>
      <c r="B3402">
        <v>955598</v>
      </c>
      <c r="D3402">
        <v>0</v>
      </c>
      <c r="E3402" t="s">
        <v>21623</v>
      </c>
      <c r="F3402" t="s">
        <v>21624</v>
      </c>
      <c r="G3402" t="s">
        <v>21625</v>
      </c>
      <c r="H3402" t="e" vm="1497">
        <f>_FV(0,"026175237518362978")</f>
        <v>#VALUE!</v>
      </c>
      <c r="I3402" t="s">
        <v>21626</v>
      </c>
      <c r="J3402" t="s">
        <v>21627</v>
      </c>
      <c r="K3402" t="s">
        <v>21628</v>
      </c>
      <c r="L3402" t="s">
        <v>21622</v>
      </c>
    </row>
    <row r="3403" spans="1:12" x14ac:dyDescent="0.25">
      <c r="A3403">
        <v>621605</v>
      </c>
      <c r="B3403">
        <v>1052730</v>
      </c>
      <c r="D3403">
        <v>0</v>
      </c>
      <c r="E3403" t="s">
        <v>21630</v>
      </c>
      <c r="F3403" t="s">
        <v>21631</v>
      </c>
      <c r="G3403" t="s">
        <v>21632</v>
      </c>
      <c r="H3403" t="e" vm="1498">
        <f>_FV(0,"045284174257661895")</f>
        <v>#VALUE!</v>
      </c>
      <c r="I3403" t="s">
        <v>21633</v>
      </c>
      <c r="J3403" t="s">
        <v>21634</v>
      </c>
      <c r="K3403" t="s">
        <v>21635</v>
      </c>
      <c r="L3403" t="s">
        <v>21629</v>
      </c>
    </row>
    <row r="3404" spans="1:12" x14ac:dyDescent="0.25">
      <c r="A3404">
        <v>621677</v>
      </c>
      <c r="B3404">
        <v>621683</v>
      </c>
      <c r="D3404">
        <v>0</v>
      </c>
      <c r="E3404" t="s">
        <v>21637</v>
      </c>
      <c r="F3404" t="s">
        <v>21638</v>
      </c>
      <c r="G3404" t="s">
        <v>21639</v>
      </c>
      <c r="H3404" t="s">
        <v>21640</v>
      </c>
      <c r="I3404" t="s">
        <v>21641</v>
      </c>
      <c r="J3404" t="s">
        <v>21636</v>
      </c>
      <c r="K3404" t="s">
        <v>21642</v>
      </c>
      <c r="L3404" t="s">
        <v>21636</v>
      </c>
    </row>
    <row r="3405" spans="1:12" x14ac:dyDescent="0.25">
      <c r="A3405">
        <v>621677</v>
      </c>
      <c r="B3405">
        <v>634258</v>
      </c>
      <c r="D3405">
        <v>0</v>
      </c>
      <c r="E3405" t="s">
        <v>21644</v>
      </c>
      <c r="F3405" t="s">
        <v>21645</v>
      </c>
      <c r="G3405" t="s">
        <v>21646</v>
      </c>
      <c r="H3405" t="e" vm="1499">
        <f>_FV(0,"1234860619142939")</f>
        <v>#VALUE!</v>
      </c>
      <c r="I3405" t="s">
        <v>21647</v>
      </c>
      <c r="J3405" t="s">
        <v>21648</v>
      </c>
      <c r="K3405" t="s">
        <v>21649</v>
      </c>
      <c r="L3405" t="s">
        <v>21643</v>
      </c>
    </row>
    <row r="3406" spans="1:12" x14ac:dyDescent="0.25">
      <c r="A3406">
        <v>621683</v>
      </c>
      <c r="B3406">
        <v>634220</v>
      </c>
      <c r="D3406">
        <v>0</v>
      </c>
      <c r="E3406" t="s">
        <v>21651</v>
      </c>
      <c r="F3406" t="s">
        <v>21652</v>
      </c>
      <c r="G3406" t="s">
        <v>21653</v>
      </c>
      <c r="H3406" t="s">
        <v>21654</v>
      </c>
      <c r="I3406" t="s">
        <v>21655</v>
      </c>
      <c r="J3406" t="s">
        <v>21656</v>
      </c>
      <c r="K3406" t="s">
        <v>21657</v>
      </c>
      <c r="L3406" t="s">
        <v>21650</v>
      </c>
    </row>
    <row r="3407" spans="1:12" x14ac:dyDescent="0.25">
      <c r="A3407">
        <v>621736</v>
      </c>
      <c r="B3407">
        <v>660252</v>
      </c>
      <c r="D3407">
        <v>0</v>
      </c>
      <c r="E3407" t="s">
        <v>21659</v>
      </c>
      <c r="F3407" t="s">
        <v>21660</v>
      </c>
      <c r="G3407" t="s">
        <v>21661</v>
      </c>
      <c r="H3407" t="e" vm="1500">
        <f>_FV(0,"02549252919865189")</f>
        <v>#VALUE!</v>
      </c>
      <c r="I3407" t="s">
        <v>21662</v>
      </c>
      <c r="J3407" t="s">
        <v>21663</v>
      </c>
      <c r="K3407" t="s">
        <v>21664</v>
      </c>
      <c r="L3407" t="s">
        <v>21658</v>
      </c>
    </row>
    <row r="3408" spans="1:12" x14ac:dyDescent="0.25">
      <c r="A3408">
        <v>621736</v>
      </c>
      <c r="B3408">
        <v>621747</v>
      </c>
      <c r="D3408" t="s">
        <v>2793</v>
      </c>
      <c r="E3408" t="s">
        <v>21666</v>
      </c>
      <c r="F3408" t="s">
        <v>21667</v>
      </c>
      <c r="G3408" t="s">
        <v>21668</v>
      </c>
      <c r="H3408" t="e" vm="1501">
        <f>_FV(0,"08542932157666465")</f>
        <v>#VALUE!</v>
      </c>
      <c r="I3408" t="s">
        <v>21669</v>
      </c>
      <c r="J3408" t="s">
        <v>21670</v>
      </c>
      <c r="K3408" t="s">
        <v>21671</v>
      </c>
      <c r="L3408" t="s">
        <v>21665</v>
      </c>
    </row>
    <row r="3409" spans="1:12" x14ac:dyDescent="0.25">
      <c r="A3409">
        <v>621744</v>
      </c>
      <c r="B3409">
        <v>621751</v>
      </c>
      <c r="D3409">
        <v>0</v>
      </c>
      <c r="E3409" t="s">
        <v>21673</v>
      </c>
      <c r="F3409" t="s">
        <v>21674</v>
      </c>
      <c r="G3409" t="s">
        <v>21675</v>
      </c>
      <c r="H3409" t="s">
        <v>21676</v>
      </c>
      <c r="I3409" t="s">
        <v>21677</v>
      </c>
      <c r="J3409" t="s">
        <v>21678</v>
      </c>
      <c r="K3409" t="s">
        <v>21679</v>
      </c>
      <c r="L3409" t="s">
        <v>21672</v>
      </c>
    </row>
    <row r="3410" spans="1:12" x14ac:dyDescent="0.25">
      <c r="A3410">
        <v>621744</v>
      </c>
      <c r="B3410">
        <v>634328</v>
      </c>
      <c r="D3410">
        <v>0</v>
      </c>
      <c r="E3410" t="s">
        <v>21681</v>
      </c>
      <c r="F3410" t="s">
        <v>21682</v>
      </c>
      <c r="G3410" t="s">
        <v>21683</v>
      </c>
      <c r="H3410" t="e" vm="1502">
        <f>_FV(0,"1559877129954401")</f>
        <v>#VALUE!</v>
      </c>
      <c r="I3410" t="s">
        <v>21684</v>
      </c>
      <c r="J3410" t="s">
        <v>21685</v>
      </c>
      <c r="K3410" t="s">
        <v>21686</v>
      </c>
      <c r="L3410" t="s">
        <v>21680</v>
      </c>
    </row>
    <row r="3411" spans="1:12" x14ac:dyDescent="0.25">
      <c r="A3411">
        <v>621747</v>
      </c>
      <c r="B3411">
        <v>621775</v>
      </c>
      <c r="D3411">
        <v>0</v>
      </c>
      <c r="E3411" t="s">
        <v>21688</v>
      </c>
      <c r="F3411" t="s">
        <v>21689</v>
      </c>
      <c r="G3411" t="s">
        <v>21690</v>
      </c>
      <c r="H3411" t="e" vm="1503">
        <f>_FV(0,"012257522313921592")</f>
        <v>#VALUE!</v>
      </c>
      <c r="I3411" t="s">
        <v>21691</v>
      </c>
      <c r="J3411" t="s">
        <v>21692</v>
      </c>
      <c r="K3411" t="s">
        <v>21693</v>
      </c>
      <c r="L3411" t="s">
        <v>21687</v>
      </c>
    </row>
    <row r="3412" spans="1:12" x14ac:dyDescent="0.25">
      <c r="A3412">
        <v>621747</v>
      </c>
      <c r="B3412">
        <v>621775</v>
      </c>
      <c r="D3412">
        <v>0</v>
      </c>
      <c r="E3412" t="s">
        <v>21695</v>
      </c>
      <c r="F3412" t="s">
        <v>21696</v>
      </c>
      <c r="G3412" t="s">
        <v>21697</v>
      </c>
      <c r="H3412" t="e" vm="1504">
        <f>_FV(0,"012490391272175756")</f>
        <v>#VALUE!</v>
      </c>
      <c r="I3412" t="s">
        <v>21698</v>
      </c>
      <c r="J3412" t="s">
        <v>21699</v>
      </c>
      <c r="K3412" t="s">
        <v>21700</v>
      </c>
      <c r="L3412" t="s">
        <v>21694</v>
      </c>
    </row>
    <row r="3413" spans="1:12" x14ac:dyDescent="0.25">
      <c r="A3413">
        <v>621751</v>
      </c>
      <c r="B3413">
        <v>634304</v>
      </c>
      <c r="D3413">
        <v>0</v>
      </c>
      <c r="E3413" t="s">
        <v>21702</v>
      </c>
      <c r="F3413" t="s">
        <v>21703</v>
      </c>
      <c r="G3413" t="s">
        <v>21704</v>
      </c>
      <c r="H3413" t="s">
        <v>21705</v>
      </c>
      <c r="I3413" t="s">
        <v>21706</v>
      </c>
      <c r="J3413" t="s">
        <v>21707</v>
      </c>
      <c r="K3413" t="s">
        <v>21708</v>
      </c>
      <c r="L3413" t="s">
        <v>21701</v>
      </c>
    </row>
    <row r="3414" spans="1:12" x14ac:dyDescent="0.25">
      <c r="A3414">
        <v>621778</v>
      </c>
      <c r="B3414">
        <v>622922</v>
      </c>
      <c r="D3414" t="s">
        <v>2793</v>
      </c>
      <c r="E3414" t="s">
        <v>21710</v>
      </c>
      <c r="F3414" t="s">
        <v>21711</v>
      </c>
      <c r="G3414" t="s">
        <v>21712</v>
      </c>
      <c r="H3414" t="s">
        <v>21713</v>
      </c>
      <c r="I3414" t="s">
        <v>21714</v>
      </c>
      <c r="J3414" t="s">
        <v>21715</v>
      </c>
      <c r="K3414" t="s">
        <v>21716</v>
      </c>
      <c r="L3414" t="s">
        <v>21709</v>
      </c>
    </row>
    <row r="3415" spans="1:12" x14ac:dyDescent="0.25">
      <c r="A3415">
        <v>621849</v>
      </c>
      <c r="B3415">
        <v>621873</v>
      </c>
      <c r="D3415">
        <v>0</v>
      </c>
      <c r="E3415" t="s">
        <v>21718</v>
      </c>
      <c r="F3415" t="s">
        <v>21719</v>
      </c>
      <c r="G3415" t="s">
        <v>21720</v>
      </c>
      <c r="H3415" t="s">
        <v>21721</v>
      </c>
      <c r="I3415" t="s">
        <v>21722</v>
      </c>
      <c r="J3415" t="s">
        <v>21717</v>
      </c>
      <c r="K3415" t="s">
        <v>21723</v>
      </c>
      <c r="L3415" t="s">
        <v>21717</v>
      </c>
    </row>
    <row r="3416" spans="1:12" x14ac:dyDescent="0.25">
      <c r="A3416">
        <v>621849</v>
      </c>
      <c r="B3416">
        <v>621873</v>
      </c>
      <c r="D3416">
        <v>0</v>
      </c>
      <c r="E3416" t="s">
        <v>21725</v>
      </c>
      <c r="F3416" t="s">
        <v>21726</v>
      </c>
      <c r="G3416" t="s">
        <v>21727</v>
      </c>
      <c r="H3416" t="s">
        <v>21728</v>
      </c>
      <c r="I3416" t="s">
        <v>21729</v>
      </c>
      <c r="J3416" t="s">
        <v>21724</v>
      </c>
      <c r="K3416" t="s">
        <v>21730</v>
      </c>
      <c r="L3416" t="s">
        <v>21724</v>
      </c>
    </row>
    <row r="3417" spans="1:12" x14ac:dyDescent="0.25">
      <c r="A3417">
        <v>621861</v>
      </c>
      <c r="B3417">
        <v>621868</v>
      </c>
      <c r="D3417" t="s">
        <v>9957</v>
      </c>
      <c r="E3417" t="s">
        <v>21732</v>
      </c>
      <c r="F3417" t="s">
        <v>21733</v>
      </c>
      <c r="G3417" t="s">
        <v>21734</v>
      </c>
      <c r="H3417" t="s">
        <v>21735</v>
      </c>
      <c r="I3417" t="s">
        <v>21736</v>
      </c>
      <c r="J3417" t="s">
        <v>21737</v>
      </c>
      <c r="K3417" t="s">
        <v>21738</v>
      </c>
      <c r="L3417" t="s">
        <v>21731</v>
      </c>
    </row>
    <row r="3418" spans="1:12" x14ac:dyDescent="0.25">
      <c r="A3418">
        <v>621868</v>
      </c>
      <c r="B3418">
        <v>621894</v>
      </c>
      <c r="D3418" t="s">
        <v>330</v>
      </c>
      <c r="E3418" t="s">
        <v>21740</v>
      </c>
      <c r="F3418" t="s">
        <v>21741</v>
      </c>
      <c r="G3418" t="s">
        <v>21742</v>
      </c>
      <c r="H3418" t="s">
        <v>21743</v>
      </c>
      <c r="I3418" t="s">
        <v>21744</v>
      </c>
      <c r="J3418" t="s">
        <v>21739</v>
      </c>
      <c r="K3418" t="s">
        <v>21745</v>
      </c>
      <c r="L3418" t="s">
        <v>21739</v>
      </c>
    </row>
    <row r="3419" spans="1:12" x14ac:dyDescent="0.25">
      <c r="A3419">
        <v>621868</v>
      </c>
      <c r="B3419">
        <v>622414</v>
      </c>
      <c r="D3419" t="s">
        <v>257</v>
      </c>
      <c r="E3419" t="s">
        <v>21747</v>
      </c>
      <c r="F3419" t="s">
        <v>21748</v>
      </c>
      <c r="G3419" t="s">
        <v>21749</v>
      </c>
      <c r="H3419" t="s">
        <v>21750</v>
      </c>
      <c r="I3419" t="s">
        <v>21751</v>
      </c>
      <c r="J3419" t="s">
        <v>21746</v>
      </c>
      <c r="K3419" t="s">
        <v>21752</v>
      </c>
      <c r="L3419" t="s">
        <v>21746</v>
      </c>
    </row>
    <row r="3420" spans="1:12" x14ac:dyDescent="0.25">
      <c r="A3420">
        <v>621873</v>
      </c>
      <c r="B3420">
        <v>949431</v>
      </c>
      <c r="D3420" t="s">
        <v>21754</v>
      </c>
      <c r="E3420" t="s">
        <v>21755</v>
      </c>
      <c r="F3420" t="s">
        <v>21756</v>
      </c>
      <c r="G3420" t="s">
        <v>21757</v>
      </c>
      <c r="H3420" t="e" vm="1505">
        <f>_FV(0,"015520783822334424")</f>
        <v>#VALUE!</v>
      </c>
      <c r="I3420" t="s">
        <v>21758</v>
      </c>
      <c r="J3420" t="s">
        <v>21759</v>
      </c>
      <c r="K3420" t="s">
        <v>21760</v>
      </c>
      <c r="L3420" t="s">
        <v>21753</v>
      </c>
    </row>
    <row r="3421" spans="1:12" x14ac:dyDescent="0.25">
      <c r="A3421">
        <v>621894</v>
      </c>
      <c r="B3421">
        <v>622414</v>
      </c>
      <c r="D3421">
        <v>0</v>
      </c>
      <c r="E3421" t="s">
        <v>21762</v>
      </c>
      <c r="F3421" t="s">
        <v>21763</v>
      </c>
      <c r="G3421" t="s">
        <v>21764</v>
      </c>
      <c r="H3421" t="e" vm="1506">
        <f>_FV(0,"0018152932412905123")</f>
        <v>#VALUE!</v>
      </c>
      <c r="I3421" t="s">
        <v>21765</v>
      </c>
      <c r="J3421" t="s">
        <v>21766</v>
      </c>
      <c r="K3421" t="s">
        <v>21767</v>
      </c>
      <c r="L3421" t="s">
        <v>21761</v>
      </c>
    </row>
    <row r="3422" spans="1:12" x14ac:dyDescent="0.25">
      <c r="A3422">
        <v>621923</v>
      </c>
      <c r="B3422">
        <v>621971</v>
      </c>
      <c r="D3422">
        <v>0</v>
      </c>
      <c r="E3422" t="s">
        <v>21769</v>
      </c>
      <c r="F3422" t="s">
        <v>21770</v>
      </c>
      <c r="G3422" t="s">
        <v>21771</v>
      </c>
      <c r="H3422" t="e" vm="1507">
        <f>_FV(0,"015567771783551327")</f>
        <v>#VALUE!</v>
      </c>
      <c r="I3422" t="s">
        <v>21772</v>
      </c>
      <c r="J3422" t="s">
        <v>21773</v>
      </c>
      <c r="K3422" t="s">
        <v>21774</v>
      </c>
      <c r="L3422" t="s">
        <v>21768</v>
      </c>
    </row>
    <row r="3423" spans="1:12" x14ac:dyDescent="0.25">
      <c r="A3423">
        <v>621923</v>
      </c>
      <c r="B3423">
        <v>621971</v>
      </c>
      <c r="D3423">
        <v>0</v>
      </c>
      <c r="E3423" t="s">
        <v>21776</v>
      </c>
      <c r="F3423" t="s">
        <v>21777</v>
      </c>
      <c r="G3423" t="s">
        <v>21778</v>
      </c>
      <c r="H3423" t="e" vm="1508">
        <f>_FV(0,"015472215005979595")</f>
        <v>#VALUE!</v>
      </c>
      <c r="I3423" t="s">
        <v>21779</v>
      </c>
      <c r="J3423" t="s">
        <v>21780</v>
      </c>
      <c r="K3423" t="s">
        <v>21781</v>
      </c>
      <c r="L3423" t="s">
        <v>21775</v>
      </c>
    </row>
    <row r="3424" spans="1:12" x14ac:dyDescent="0.25">
      <c r="A3424">
        <v>621923</v>
      </c>
      <c r="B3424">
        <v>630485</v>
      </c>
      <c r="D3424">
        <v>0</v>
      </c>
      <c r="E3424" t="s">
        <v>21783</v>
      </c>
      <c r="F3424" t="s">
        <v>21784</v>
      </c>
      <c r="G3424" t="s">
        <v>21785</v>
      </c>
      <c r="H3424" t="e" vm="1509">
        <f>_FV(0,"014658529185218906")</f>
        <v>#VALUE!</v>
      </c>
      <c r="I3424" t="s">
        <v>21786</v>
      </c>
      <c r="J3424" t="s">
        <v>21787</v>
      </c>
      <c r="K3424" t="s">
        <v>21788</v>
      </c>
      <c r="L3424" t="s">
        <v>21782</v>
      </c>
    </row>
    <row r="3425" spans="1:12" x14ac:dyDescent="0.25">
      <c r="A3425">
        <v>621971</v>
      </c>
      <c r="B3425">
        <v>1854851</v>
      </c>
      <c r="C3425" t="s">
        <v>21789</v>
      </c>
      <c r="D3425">
        <v>0</v>
      </c>
      <c r="E3425" t="s">
        <v>21790</v>
      </c>
      <c r="H3425" t="s">
        <v>187</v>
      </c>
      <c r="J3425">
        <v>0</v>
      </c>
      <c r="K3425" t="s">
        <v>21791</v>
      </c>
      <c r="L3425">
        <v>0</v>
      </c>
    </row>
    <row r="3426" spans="1:12" x14ac:dyDescent="0.25">
      <c r="A3426">
        <v>621978</v>
      </c>
      <c r="B3426">
        <v>622046</v>
      </c>
      <c r="D3426">
        <v>0</v>
      </c>
      <c r="E3426" t="s">
        <v>21793</v>
      </c>
      <c r="F3426" t="s">
        <v>21794</v>
      </c>
      <c r="G3426" t="s">
        <v>21795</v>
      </c>
      <c r="H3426" t="e" vm="1510">
        <f>_FV(0,"01808774229709662")</f>
        <v>#VALUE!</v>
      </c>
      <c r="I3426" t="s">
        <v>21796</v>
      </c>
      <c r="J3426" t="s">
        <v>21797</v>
      </c>
      <c r="K3426" t="s">
        <v>21798</v>
      </c>
      <c r="L3426" t="s">
        <v>21792</v>
      </c>
    </row>
    <row r="3427" spans="1:12" x14ac:dyDescent="0.25">
      <c r="A3427">
        <v>621978</v>
      </c>
      <c r="B3427">
        <v>622046</v>
      </c>
      <c r="D3427">
        <v>0</v>
      </c>
      <c r="E3427" t="s">
        <v>21800</v>
      </c>
      <c r="F3427" t="s">
        <v>21801</v>
      </c>
      <c r="G3427" t="s">
        <v>21802</v>
      </c>
      <c r="H3427" t="e" vm="1511">
        <f>_FV(0,"017884003795694898")</f>
        <v>#VALUE!</v>
      </c>
      <c r="I3427" t="s">
        <v>21803</v>
      </c>
      <c r="J3427" t="s">
        <v>21804</v>
      </c>
      <c r="K3427" t="s">
        <v>21805</v>
      </c>
      <c r="L3427" t="s">
        <v>21799</v>
      </c>
    </row>
    <row r="3428" spans="1:12" x14ac:dyDescent="0.25">
      <c r="A3428">
        <v>621978</v>
      </c>
      <c r="B3428">
        <v>1854874</v>
      </c>
      <c r="D3428">
        <v>0</v>
      </c>
      <c r="E3428" t="s">
        <v>21806</v>
      </c>
      <c r="H3428" t="s">
        <v>187</v>
      </c>
      <c r="J3428">
        <v>0</v>
      </c>
      <c r="K3428" t="s">
        <v>21791</v>
      </c>
      <c r="L3428">
        <v>0</v>
      </c>
    </row>
    <row r="3429" spans="1:12" x14ac:dyDescent="0.25">
      <c r="A3429">
        <v>622044</v>
      </c>
      <c r="B3429">
        <v>1205572</v>
      </c>
      <c r="D3429">
        <v>0</v>
      </c>
      <c r="E3429" t="s">
        <v>21808</v>
      </c>
      <c r="F3429" t="s">
        <v>21809</v>
      </c>
      <c r="G3429" t="s">
        <v>21810</v>
      </c>
      <c r="H3429" t="e" vm="1512">
        <f>_FV(0,"07718567944690906")</f>
        <v>#VALUE!</v>
      </c>
      <c r="I3429" t="s">
        <v>21811</v>
      </c>
      <c r="J3429" t="s">
        <v>21812</v>
      </c>
      <c r="K3429" t="s">
        <v>21813</v>
      </c>
      <c r="L3429" t="s">
        <v>21807</v>
      </c>
    </row>
    <row r="3430" spans="1:12" x14ac:dyDescent="0.25">
      <c r="A3430">
        <v>622044</v>
      </c>
      <c r="B3430">
        <v>1205572</v>
      </c>
      <c r="D3430">
        <v>0</v>
      </c>
      <c r="E3430" t="s">
        <v>21815</v>
      </c>
      <c r="F3430" t="s">
        <v>21816</v>
      </c>
      <c r="G3430" t="s">
        <v>21817</v>
      </c>
      <c r="H3430" t="e" vm="1513">
        <f>_FV(0,"07739345973091755")</f>
        <v>#VALUE!</v>
      </c>
      <c r="I3430" t="s">
        <v>21818</v>
      </c>
      <c r="J3430" t="s">
        <v>21819</v>
      </c>
      <c r="K3430" t="s">
        <v>21820</v>
      </c>
      <c r="L3430" t="s">
        <v>21814</v>
      </c>
    </row>
    <row r="3431" spans="1:12" x14ac:dyDescent="0.25">
      <c r="A3431">
        <v>622046</v>
      </c>
      <c r="B3431">
        <v>622054</v>
      </c>
      <c r="D3431" t="s">
        <v>21822</v>
      </c>
      <c r="E3431" t="s">
        <v>21823</v>
      </c>
      <c r="F3431" t="s">
        <v>21824</v>
      </c>
      <c r="G3431" t="s">
        <v>21825</v>
      </c>
      <c r="H3431" t="e" vm="1514">
        <f>_FV(0,"010764923391079326")</f>
        <v>#VALUE!</v>
      </c>
      <c r="I3431" t="s">
        <v>21826</v>
      </c>
      <c r="J3431" t="s">
        <v>21827</v>
      </c>
      <c r="K3431" t="s">
        <v>21828</v>
      </c>
      <c r="L3431" t="s">
        <v>21821</v>
      </c>
    </row>
    <row r="3432" spans="1:12" x14ac:dyDescent="0.25">
      <c r="A3432">
        <v>622054</v>
      </c>
      <c r="B3432">
        <v>622125</v>
      </c>
      <c r="D3432" t="s">
        <v>21830</v>
      </c>
      <c r="E3432" t="s">
        <v>21831</v>
      </c>
      <c r="F3432" t="s">
        <v>21832</v>
      </c>
      <c r="G3432" t="s">
        <v>21833</v>
      </c>
      <c r="H3432" t="e" vm="1515">
        <f>_FV(0,"07051449815778446")</f>
        <v>#VALUE!</v>
      </c>
      <c r="I3432" t="s">
        <v>21834</v>
      </c>
      <c r="J3432" t="s">
        <v>21835</v>
      </c>
      <c r="K3432" t="s">
        <v>21836</v>
      </c>
      <c r="L3432" t="s">
        <v>21829</v>
      </c>
    </row>
    <row r="3433" spans="1:12" x14ac:dyDescent="0.25">
      <c r="A3433">
        <v>622054</v>
      </c>
      <c r="B3433">
        <v>622125</v>
      </c>
      <c r="D3433" t="s">
        <v>8076</v>
      </c>
      <c r="E3433" t="s">
        <v>21838</v>
      </c>
      <c r="F3433" t="s">
        <v>21839</v>
      </c>
      <c r="G3433" t="s">
        <v>21840</v>
      </c>
      <c r="H3433" t="e" vm="1516">
        <f>_FV(0,"06968347279307556")</f>
        <v>#VALUE!</v>
      </c>
      <c r="I3433" t="s">
        <v>21841</v>
      </c>
      <c r="J3433" t="s">
        <v>21842</v>
      </c>
      <c r="K3433" t="s">
        <v>21843</v>
      </c>
      <c r="L3433" t="s">
        <v>21837</v>
      </c>
    </row>
    <row r="3434" spans="1:12" x14ac:dyDescent="0.25">
      <c r="A3434">
        <v>622125</v>
      </c>
      <c r="B3434">
        <v>622130</v>
      </c>
      <c r="D3434" t="s">
        <v>21845</v>
      </c>
      <c r="E3434" t="s">
        <v>21846</v>
      </c>
      <c r="F3434" t="s">
        <v>21847</v>
      </c>
      <c r="G3434" t="s">
        <v>21848</v>
      </c>
      <c r="H3434" t="e" vm="1517">
        <f>_FV(0,"0004261196868507747")</f>
        <v>#VALUE!</v>
      </c>
      <c r="I3434" t="s">
        <v>21849</v>
      </c>
      <c r="J3434" t="s">
        <v>21850</v>
      </c>
      <c r="K3434" t="s">
        <v>21851</v>
      </c>
      <c r="L3434" t="s">
        <v>21844</v>
      </c>
    </row>
    <row r="3435" spans="1:12" x14ac:dyDescent="0.25">
      <c r="A3435">
        <v>622130</v>
      </c>
      <c r="B3435">
        <v>622201</v>
      </c>
      <c r="D3435">
        <v>0</v>
      </c>
      <c r="E3435" t="s">
        <v>21853</v>
      </c>
      <c r="F3435" t="s">
        <v>21854</v>
      </c>
      <c r="G3435" t="s">
        <v>21855</v>
      </c>
      <c r="H3435" t="s">
        <v>21856</v>
      </c>
      <c r="I3435" t="s">
        <v>21857</v>
      </c>
      <c r="J3435" t="s">
        <v>21852</v>
      </c>
      <c r="K3435" t="s">
        <v>21858</v>
      </c>
      <c r="L3435" t="s">
        <v>21852</v>
      </c>
    </row>
    <row r="3436" spans="1:12" x14ac:dyDescent="0.25">
      <c r="A3436">
        <v>622130</v>
      </c>
      <c r="B3436">
        <v>622201</v>
      </c>
      <c r="D3436">
        <v>0</v>
      </c>
      <c r="E3436" t="s">
        <v>21860</v>
      </c>
      <c r="F3436" t="s">
        <v>21861</v>
      </c>
      <c r="G3436" t="s">
        <v>21862</v>
      </c>
      <c r="H3436" t="s">
        <v>21863</v>
      </c>
      <c r="I3436" t="s">
        <v>21864</v>
      </c>
      <c r="J3436" t="s">
        <v>21859</v>
      </c>
      <c r="K3436" t="s">
        <v>21865</v>
      </c>
      <c r="L3436" t="s">
        <v>21859</v>
      </c>
    </row>
    <row r="3437" spans="1:12" x14ac:dyDescent="0.25">
      <c r="A3437">
        <v>622137</v>
      </c>
      <c r="B3437">
        <v>1277697</v>
      </c>
      <c r="D3437">
        <v>0</v>
      </c>
      <c r="E3437" t="s">
        <v>21867</v>
      </c>
      <c r="F3437" t="s">
        <v>21868</v>
      </c>
      <c r="G3437" t="s">
        <v>21869</v>
      </c>
      <c r="H3437" t="s">
        <v>21870</v>
      </c>
      <c r="I3437" t="s">
        <v>21871</v>
      </c>
      <c r="J3437" t="s">
        <v>21872</v>
      </c>
      <c r="K3437" t="s">
        <v>21873</v>
      </c>
      <c r="L3437" t="s">
        <v>21866</v>
      </c>
    </row>
    <row r="3438" spans="1:12" x14ac:dyDescent="0.25">
      <c r="A3438">
        <v>622201</v>
      </c>
      <c r="B3438">
        <v>622207</v>
      </c>
      <c r="D3438">
        <v>0</v>
      </c>
      <c r="E3438" t="s">
        <v>21875</v>
      </c>
      <c r="F3438" t="s">
        <v>21876</v>
      </c>
      <c r="G3438" t="s">
        <v>21877</v>
      </c>
      <c r="H3438" t="s">
        <v>21878</v>
      </c>
      <c r="I3438" t="s">
        <v>21879</v>
      </c>
      <c r="J3438" t="s">
        <v>21880</v>
      </c>
      <c r="K3438" t="s">
        <v>21881</v>
      </c>
      <c r="L3438" t="s">
        <v>21874</v>
      </c>
    </row>
    <row r="3439" spans="1:12" x14ac:dyDescent="0.25">
      <c r="A3439">
        <v>622207</v>
      </c>
      <c r="B3439">
        <v>622281</v>
      </c>
      <c r="D3439">
        <v>0</v>
      </c>
      <c r="E3439" t="s">
        <v>21883</v>
      </c>
      <c r="F3439" t="s">
        <v>21884</v>
      </c>
      <c r="G3439" t="s">
        <v>21885</v>
      </c>
      <c r="H3439" t="s">
        <v>21886</v>
      </c>
      <c r="I3439" t="s">
        <v>21887</v>
      </c>
      <c r="J3439" t="s">
        <v>21888</v>
      </c>
      <c r="K3439" t="s">
        <v>21889</v>
      </c>
      <c r="L3439" t="s">
        <v>21882</v>
      </c>
    </row>
    <row r="3440" spans="1:12" x14ac:dyDescent="0.25">
      <c r="A3440">
        <v>622207</v>
      </c>
      <c r="B3440">
        <v>622281</v>
      </c>
      <c r="D3440">
        <v>0</v>
      </c>
      <c r="E3440" t="s">
        <v>21891</v>
      </c>
      <c r="F3440" t="s">
        <v>21892</v>
      </c>
      <c r="G3440" t="s">
        <v>21893</v>
      </c>
      <c r="H3440" t="s">
        <v>21894</v>
      </c>
      <c r="I3440" t="s">
        <v>21895</v>
      </c>
      <c r="J3440" t="s">
        <v>21896</v>
      </c>
      <c r="K3440" t="s">
        <v>21897</v>
      </c>
      <c r="L3440" t="s">
        <v>21890</v>
      </c>
    </row>
    <row r="3441" spans="1:12" x14ac:dyDescent="0.25">
      <c r="A3441">
        <v>622281</v>
      </c>
      <c r="B3441">
        <v>1854852</v>
      </c>
      <c r="C3441" t="s">
        <v>21898</v>
      </c>
      <c r="D3441">
        <v>0</v>
      </c>
      <c r="E3441" t="s">
        <v>21899</v>
      </c>
      <c r="H3441" t="s">
        <v>187</v>
      </c>
      <c r="J3441">
        <v>0</v>
      </c>
      <c r="K3441" t="s">
        <v>21900</v>
      </c>
      <c r="L3441">
        <v>0</v>
      </c>
    </row>
    <row r="3442" spans="1:12" x14ac:dyDescent="0.25">
      <c r="A3442">
        <v>622372</v>
      </c>
      <c r="B3442">
        <v>1072471</v>
      </c>
      <c r="C3442" t="s">
        <v>21902</v>
      </c>
      <c r="D3442">
        <v>0</v>
      </c>
      <c r="E3442" t="s">
        <v>21903</v>
      </c>
      <c r="F3442" t="s">
        <v>21904</v>
      </c>
      <c r="G3442" t="s">
        <v>21905</v>
      </c>
      <c r="H3442" t="s">
        <v>21906</v>
      </c>
      <c r="I3442" t="s">
        <v>21907</v>
      </c>
      <c r="J3442" t="s">
        <v>21908</v>
      </c>
      <c r="K3442" t="s">
        <v>21909</v>
      </c>
      <c r="L3442" t="s">
        <v>21901</v>
      </c>
    </row>
    <row r="3443" spans="1:12" x14ac:dyDescent="0.25">
      <c r="A3443">
        <v>622372</v>
      </c>
      <c r="B3443">
        <v>825888</v>
      </c>
      <c r="D3443">
        <v>0</v>
      </c>
      <c r="E3443" t="s">
        <v>21911</v>
      </c>
      <c r="F3443" t="s">
        <v>21912</v>
      </c>
      <c r="G3443" t="s">
        <v>21913</v>
      </c>
      <c r="H3443" t="s">
        <v>21914</v>
      </c>
      <c r="I3443" t="s">
        <v>21915</v>
      </c>
      <c r="J3443" t="s">
        <v>21916</v>
      </c>
      <c r="K3443" t="s">
        <v>21917</v>
      </c>
      <c r="L3443" t="s">
        <v>21910</v>
      </c>
    </row>
    <row r="3444" spans="1:12" x14ac:dyDescent="0.25">
      <c r="A3444">
        <v>622381</v>
      </c>
      <c r="B3444">
        <v>622386</v>
      </c>
      <c r="D3444">
        <v>0</v>
      </c>
      <c r="E3444" t="s">
        <v>21919</v>
      </c>
      <c r="F3444" t="s">
        <v>21920</v>
      </c>
      <c r="G3444" t="s">
        <v>21921</v>
      </c>
      <c r="H3444" t="e" vm="1518">
        <f>_FV(0,"013693811153386535")</f>
        <v>#VALUE!</v>
      </c>
      <c r="I3444" t="s">
        <v>21922</v>
      </c>
      <c r="J3444" t="s">
        <v>21923</v>
      </c>
      <c r="K3444" t="s">
        <v>21924</v>
      </c>
      <c r="L3444" t="s">
        <v>21918</v>
      </c>
    </row>
    <row r="3445" spans="1:12" x14ac:dyDescent="0.25">
      <c r="A3445">
        <v>622381</v>
      </c>
      <c r="B3445">
        <v>1365666</v>
      </c>
      <c r="D3445">
        <v>0</v>
      </c>
      <c r="E3445" t="s">
        <v>21926</v>
      </c>
      <c r="F3445" t="s">
        <v>21927</v>
      </c>
      <c r="G3445" t="s">
        <v>21928</v>
      </c>
      <c r="H3445" t="s">
        <v>21929</v>
      </c>
      <c r="I3445" t="s">
        <v>21930</v>
      </c>
      <c r="J3445" t="s">
        <v>21931</v>
      </c>
      <c r="K3445" t="s">
        <v>21932</v>
      </c>
      <c r="L3445" t="s">
        <v>21925</v>
      </c>
    </row>
    <row r="3446" spans="1:12" x14ac:dyDescent="0.25">
      <c r="A3446">
        <v>622381</v>
      </c>
      <c r="B3446">
        <v>622401</v>
      </c>
      <c r="D3446">
        <v>0</v>
      </c>
      <c r="E3446" t="s">
        <v>21934</v>
      </c>
      <c r="F3446" t="s">
        <v>21935</v>
      </c>
      <c r="G3446" t="s">
        <v>21936</v>
      </c>
      <c r="H3446" t="s">
        <v>21937</v>
      </c>
      <c r="I3446" t="s">
        <v>21938</v>
      </c>
      <c r="J3446" t="s">
        <v>21939</v>
      </c>
      <c r="K3446" t="s">
        <v>21940</v>
      </c>
      <c r="L3446" t="s">
        <v>21933</v>
      </c>
    </row>
    <row r="3447" spans="1:12" x14ac:dyDescent="0.25">
      <c r="A3447">
        <v>622386</v>
      </c>
      <c r="B3447">
        <v>1363792</v>
      </c>
      <c r="D3447">
        <v>0</v>
      </c>
      <c r="F3447">
        <v>1571842</v>
      </c>
      <c r="G3447">
        <v>1363792</v>
      </c>
      <c r="H3447" t="e" vm="47">
        <f>_FV(0,"016")</f>
        <v>#VALUE!</v>
      </c>
      <c r="I3447">
        <v>622386</v>
      </c>
      <c r="J3447" t="s">
        <v>737</v>
      </c>
      <c r="K3447" t="s">
        <v>21941</v>
      </c>
      <c r="L3447" t="e" vm="47">
        <f>_FV(0,"016")</f>
        <v>#VALUE!</v>
      </c>
    </row>
    <row r="3448" spans="1:12" x14ac:dyDescent="0.25">
      <c r="A3448">
        <v>622386</v>
      </c>
      <c r="B3448">
        <v>622401</v>
      </c>
      <c r="D3448">
        <v>0</v>
      </c>
      <c r="E3448" t="s">
        <v>21943</v>
      </c>
      <c r="F3448" t="s">
        <v>21944</v>
      </c>
      <c r="G3448" t="s">
        <v>21945</v>
      </c>
      <c r="H3448" t="e" vm="1519">
        <f>_FV(0,"0015234773735811993")</f>
        <v>#VALUE!</v>
      </c>
      <c r="I3448" t="s">
        <v>21946</v>
      </c>
      <c r="J3448" t="s">
        <v>21947</v>
      </c>
      <c r="K3448" t="s">
        <v>21948</v>
      </c>
      <c r="L3448" t="s">
        <v>21942</v>
      </c>
    </row>
    <row r="3449" spans="1:12" x14ac:dyDescent="0.25">
      <c r="A3449">
        <v>622399</v>
      </c>
      <c r="B3449">
        <v>821962</v>
      </c>
      <c r="C3449" t="s">
        <v>21950</v>
      </c>
      <c r="D3449">
        <v>0</v>
      </c>
      <c r="E3449" t="s">
        <v>21951</v>
      </c>
      <c r="F3449" t="s">
        <v>21952</v>
      </c>
      <c r="G3449" t="s">
        <v>21953</v>
      </c>
      <c r="H3449" t="s">
        <v>21954</v>
      </c>
      <c r="I3449" t="s">
        <v>21955</v>
      </c>
      <c r="J3449" t="s">
        <v>21949</v>
      </c>
      <c r="K3449" t="s">
        <v>21956</v>
      </c>
      <c r="L3449" t="s">
        <v>21949</v>
      </c>
    </row>
    <row r="3450" spans="1:12" x14ac:dyDescent="0.25">
      <c r="A3450">
        <v>622399</v>
      </c>
      <c r="B3450">
        <v>672198</v>
      </c>
      <c r="C3450" t="s">
        <v>21958</v>
      </c>
      <c r="D3450">
        <v>0</v>
      </c>
      <c r="E3450" t="s">
        <v>21959</v>
      </c>
      <c r="F3450" t="s">
        <v>21960</v>
      </c>
      <c r="G3450" t="s">
        <v>21961</v>
      </c>
      <c r="H3450" t="s">
        <v>21962</v>
      </c>
      <c r="I3450" t="s">
        <v>21963</v>
      </c>
      <c r="J3450" t="s">
        <v>21964</v>
      </c>
      <c r="K3450" t="s">
        <v>21965</v>
      </c>
      <c r="L3450" t="s">
        <v>21957</v>
      </c>
    </row>
    <row r="3451" spans="1:12" x14ac:dyDescent="0.25">
      <c r="A3451">
        <v>622401</v>
      </c>
      <c r="B3451">
        <v>1365600</v>
      </c>
      <c r="D3451">
        <v>0</v>
      </c>
      <c r="E3451" t="s">
        <v>21967</v>
      </c>
      <c r="F3451" t="s">
        <v>21968</v>
      </c>
      <c r="G3451" t="s">
        <v>21969</v>
      </c>
      <c r="H3451" t="s">
        <v>21970</v>
      </c>
      <c r="I3451" t="s">
        <v>21971</v>
      </c>
      <c r="J3451" t="s">
        <v>21966</v>
      </c>
      <c r="K3451" t="s">
        <v>21972</v>
      </c>
      <c r="L3451" t="s">
        <v>21966</v>
      </c>
    </row>
    <row r="3452" spans="1:12" x14ac:dyDescent="0.25">
      <c r="A3452">
        <v>622445</v>
      </c>
      <c r="B3452">
        <v>622453</v>
      </c>
      <c r="D3452">
        <v>0</v>
      </c>
      <c r="F3452">
        <v>639888</v>
      </c>
      <c r="G3452">
        <v>622453</v>
      </c>
      <c r="H3452" t="s">
        <v>1333</v>
      </c>
      <c r="I3452">
        <v>622445</v>
      </c>
      <c r="J3452" t="s">
        <v>1333</v>
      </c>
      <c r="K3452" t="s">
        <v>21973</v>
      </c>
      <c r="L3452" t="s">
        <v>1333</v>
      </c>
    </row>
    <row r="3453" spans="1:12" x14ac:dyDescent="0.25">
      <c r="A3453">
        <v>622453</v>
      </c>
      <c r="B3453">
        <v>622531</v>
      </c>
      <c r="D3453">
        <v>0</v>
      </c>
      <c r="E3453" t="s">
        <v>21975</v>
      </c>
      <c r="F3453" t="s">
        <v>21976</v>
      </c>
      <c r="G3453" t="s">
        <v>21977</v>
      </c>
      <c r="H3453" t="s">
        <v>21978</v>
      </c>
      <c r="I3453" t="s">
        <v>21979</v>
      </c>
      <c r="J3453" t="s">
        <v>21974</v>
      </c>
      <c r="K3453" t="s">
        <v>21980</v>
      </c>
      <c r="L3453" t="s">
        <v>21974</v>
      </c>
    </row>
    <row r="3454" spans="1:12" x14ac:dyDescent="0.25">
      <c r="A3454">
        <v>622453</v>
      </c>
      <c r="B3454">
        <v>622531</v>
      </c>
      <c r="D3454">
        <v>0</v>
      </c>
      <c r="E3454" t="s">
        <v>21982</v>
      </c>
      <c r="F3454" t="s">
        <v>21983</v>
      </c>
      <c r="G3454" t="s">
        <v>21984</v>
      </c>
      <c r="H3454" t="s">
        <v>21985</v>
      </c>
      <c r="I3454" t="s">
        <v>21986</v>
      </c>
      <c r="J3454" t="s">
        <v>21987</v>
      </c>
      <c r="K3454" t="s">
        <v>21988</v>
      </c>
      <c r="L3454" t="s">
        <v>21981</v>
      </c>
    </row>
    <row r="3455" spans="1:12" x14ac:dyDescent="0.25">
      <c r="A3455">
        <v>622531</v>
      </c>
      <c r="B3455">
        <v>982297</v>
      </c>
      <c r="D3455">
        <v>0</v>
      </c>
      <c r="E3455" t="s">
        <v>21990</v>
      </c>
      <c r="F3455" t="s">
        <v>21991</v>
      </c>
      <c r="G3455" t="s">
        <v>21992</v>
      </c>
      <c r="H3455" t="e" vm="1520">
        <f>_FV(0,"013327381523336358")</f>
        <v>#VALUE!</v>
      </c>
      <c r="I3455" t="s">
        <v>21993</v>
      </c>
      <c r="J3455" t="s">
        <v>21994</v>
      </c>
      <c r="K3455" t="s">
        <v>21995</v>
      </c>
      <c r="L3455" t="s">
        <v>21989</v>
      </c>
    </row>
    <row r="3456" spans="1:12" x14ac:dyDescent="0.25">
      <c r="A3456">
        <v>622852</v>
      </c>
      <c r="B3456">
        <v>622858</v>
      </c>
      <c r="D3456">
        <v>0</v>
      </c>
      <c r="E3456" t="s">
        <v>21997</v>
      </c>
      <c r="F3456" t="s">
        <v>21998</v>
      </c>
      <c r="G3456" t="s">
        <v>21999</v>
      </c>
      <c r="H3456" t="e" vm="1521">
        <f>_FV(0,"01711781223768407")</f>
        <v>#VALUE!</v>
      </c>
      <c r="I3456" t="s">
        <v>22000</v>
      </c>
      <c r="J3456" t="s">
        <v>22001</v>
      </c>
      <c r="K3456" t="s">
        <v>22002</v>
      </c>
      <c r="L3456" t="s">
        <v>21996</v>
      </c>
    </row>
    <row r="3457" spans="1:12" x14ac:dyDescent="0.25">
      <c r="A3457">
        <v>622875</v>
      </c>
      <c r="B3457">
        <v>622880</v>
      </c>
      <c r="D3457">
        <v>0</v>
      </c>
      <c r="E3457" t="s">
        <v>22004</v>
      </c>
      <c r="F3457" t="s">
        <v>22005</v>
      </c>
      <c r="G3457" t="s">
        <v>22006</v>
      </c>
      <c r="H3457" t="s">
        <v>22007</v>
      </c>
      <c r="I3457" t="s">
        <v>22008</v>
      </c>
      <c r="J3457" t="s">
        <v>22003</v>
      </c>
      <c r="K3457" t="s">
        <v>22009</v>
      </c>
      <c r="L3457" t="s">
        <v>22003</v>
      </c>
    </row>
    <row r="3458" spans="1:12" x14ac:dyDescent="0.25">
      <c r="A3458">
        <v>622880</v>
      </c>
      <c r="B3458">
        <v>622890</v>
      </c>
      <c r="D3458">
        <v>0</v>
      </c>
      <c r="E3458" t="s">
        <v>22011</v>
      </c>
      <c r="F3458" t="s">
        <v>22012</v>
      </c>
      <c r="G3458" t="s">
        <v>22013</v>
      </c>
      <c r="H3458" t="e" vm="1522">
        <f>_FV(0,"01948577976233409")</f>
        <v>#VALUE!</v>
      </c>
      <c r="I3458" t="s">
        <v>22014</v>
      </c>
      <c r="J3458" t="s">
        <v>22015</v>
      </c>
      <c r="K3458" t="s">
        <v>22016</v>
      </c>
      <c r="L3458" t="s">
        <v>22010</v>
      </c>
    </row>
    <row r="3459" spans="1:12" x14ac:dyDescent="0.25">
      <c r="A3459">
        <v>622880</v>
      </c>
      <c r="B3459">
        <v>623126</v>
      </c>
      <c r="C3459" t="s">
        <v>22018</v>
      </c>
      <c r="D3459" t="s">
        <v>19168</v>
      </c>
      <c r="E3459" t="s">
        <v>22019</v>
      </c>
      <c r="F3459" t="s">
        <v>22020</v>
      </c>
      <c r="G3459" t="s">
        <v>22021</v>
      </c>
      <c r="H3459" t="e" vm="1523">
        <f>_FV(0,"01705382678075079")</f>
        <v>#VALUE!</v>
      </c>
      <c r="I3459" t="s">
        <v>22022</v>
      </c>
      <c r="J3459" t="s">
        <v>22023</v>
      </c>
      <c r="K3459" t="s">
        <v>22024</v>
      </c>
      <c r="L3459" t="s">
        <v>22017</v>
      </c>
    </row>
    <row r="3460" spans="1:12" x14ac:dyDescent="0.25">
      <c r="A3460">
        <v>622890</v>
      </c>
      <c r="B3460">
        <v>595532</v>
      </c>
      <c r="D3460">
        <v>0</v>
      </c>
      <c r="E3460" t="s">
        <v>22026</v>
      </c>
      <c r="F3460" t="s">
        <v>22027</v>
      </c>
      <c r="G3460" t="s">
        <v>22028</v>
      </c>
      <c r="H3460" t="e" vm="1524">
        <f>_FV(0,"00974004995595796")</f>
        <v>#VALUE!</v>
      </c>
      <c r="I3460" t="s">
        <v>22029</v>
      </c>
      <c r="J3460" t="s">
        <v>22030</v>
      </c>
      <c r="K3460" t="s">
        <v>22031</v>
      </c>
      <c r="L3460" t="s">
        <v>22025</v>
      </c>
    </row>
    <row r="3461" spans="1:12" x14ac:dyDescent="0.25">
      <c r="A3461">
        <v>622890</v>
      </c>
      <c r="B3461">
        <v>623977</v>
      </c>
      <c r="D3461" t="s">
        <v>1875</v>
      </c>
      <c r="E3461" t="s">
        <v>22033</v>
      </c>
      <c r="F3461" t="s">
        <v>22034</v>
      </c>
      <c r="G3461" t="s">
        <v>22035</v>
      </c>
      <c r="H3461" t="e" vm="1525">
        <f>_FV(0,"0232747191414161")</f>
        <v>#VALUE!</v>
      </c>
      <c r="I3461" t="s">
        <v>22036</v>
      </c>
      <c r="J3461" t="s">
        <v>22037</v>
      </c>
      <c r="K3461" t="s">
        <v>22038</v>
      </c>
      <c r="L3461" t="s">
        <v>22032</v>
      </c>
    </row>
    <row r="3462" spans="1:12" x14ac:dyDescent="0.25">
      <c r="A3462">
        <v>622922</v>
      </c>
      <c r="B3462">
        <v>623076</v>
      </c>
      <c r="D3462" t="s">
        <v>1069</v>
      </c>
      <c r="E3462" t="s">
        <v>22040</v>
      </c>
      <c r="F3462" t="s">
        <v>22041</v>
      </c>
      <c r="G3462" t="s">
        <v>22042</v>
      </c>
      <c r="H3462" t="s">
        <v>22043</v>
      </c>
      <c r="I3462" t="s">
        <v>22044</v>
      </c>
      <c r="J3462" t="s">
        <v>22039</v>
      </c>
      <c r="K3462" t="s">
        <v>22045</v>
      </c>
      <c r="L3462" t="s">
        <v>22039</v>
      </c>
    </row>
    <row r="3463" spans="1:12" x14ac:dyDescent="0.25">
      <c r="A3463">
        <v>557387</v>
      </c>
      <c r="B3463">
        <v>648861</v>
      </c>
      <c r="D3463">
        <v>0</v>
      </c>
      <c r="E3463" t="s">
        <v>22047</v>
      </c>
      <c r="F3463" t="s">
        <v>22048</v>
      </c>
      <c r="G3463" t="s">
        <v>22049</v>
      </c>
      <c r="H3463" t="s">
        <v>22050</v>
      </c>
      <c r="I3463" t="s">
        <v>22051</v>
      </c>
      <c r="J3463" t="s">
        <v>22046</v>
      </c>
      <c r="K3463" t="s">
        <v>22052</v>
      </c>
      <c r="L3463" t="s">
        <v>22046</v>
      </c>
    </row>
    <row r="3464" spans="1:12" x14ac:dyDescent="0.25">
      <c r="A3464">
        <v>557380</v>
      </c>
      <c r="B3464">
        <v>1828019</v>
      </c>
      <c r="D3464">
        <v>0</v>
      </c>
      <c r="E3464" t="s">
        <v>22054</v>
      </c>
      <c r="F3464" t="s">
        <v>22055</v>
      </c>
      <c r="G3464" t="s">
        <v>22056</v>
      </c>
      <c r="H3464" t="e" vm="1526">
        <f>_FV(0,"015812254202310555")</f>
        <v>#VALUE!</v>
      </c>
      <c r="I3464" t="s">
        <v>22057</v>
      </c>
      <c r="J3464" t="s">
        <v>22058</v>
      </c>
      <c r="K3464" t="s">
        <v>22059</v>
      </c>
      <c r="L3464" t="s">
        <v>22053</v>
      </c>
    </row>
    <row r="3465" spans="1:12" x14ac:dyDescent="0.25">
      <c r="A3465">
        <v>622986</v>
      </c>
      <c r="B3465">
        <v>579822</v>
      </c>
      <c r="D3465">
        <v>0</v>
      </c>
      <c r="E3465" t="s">
        <v>22061</v>
      </c>
      <c r="F3465" t="s">
        <v>22062</v>
      </c>
      <c r="G3465" t="s">
        <v>22063</v>
      </c>
      <c r="H3465" t="s">
        <v>22064</v>
      </c>
      <c r="I3465" t="s">
        <v>22065</v>
      </c>
      <c r="J3465" t="s">
        <v>22066</v>
      </c>
      <c r="K3465" t="s">
        <v>22067</v>
      </c>
      <c r="L3465" t="s">
        <v>22060</v>
      </c>
    </row>
    <row r="3466" spans="1:12" x14ac:dyDescent="0.25">
      <c r="A3466">
        <v>622986</v>
      </c>
      <c r="B3466">
        <v>623029</v>
      </c>
      <c r="D3466" t="s">
        <v>963</v>
      </c>
      <c r="E3466" t="s">
        <v>22069</v>
      </c>
      <c r="F3466" t="s">
        <v>22070</v>
      </c>
      <c r="G3466" t="s">
        <v>22071</v>
      </c>
      <c r="H3466" t="e" vm="1527">
        <f>_FV(0,"019266176947858128")</f>
        <v>#VALUE!</v>
      </c>
      <c r="I3466" t="s">
        <v>22072</v>
      </c>
      <c r="J3466" t="s">
        <v>22073</v>
      </c>
      <c r="K3466" t="s">
        <v>22074</v>
      </c>
      <c r="L3466" t="s">
        <v>22068</v>
      </c>
    </row>
    <row r="3467" spans="1:12" x14ac:dyDescent="0.25">
      <c r="A3467">
        <v>623029</v>
      </c>
      <c r="B3467">
        <v>649004</v>
      </c>
      <c r="D3467" t="s">
        <v>2793</v>
      </c>
      <c r="E3467" t="s">
        <v>22076</v>
      </c>
      <c r="F3467" t="s">
        <v>22077</v>
      </c>
      <c r="G3467" t="s">
        <v>22078</v>
      </c>
      <c r="H3467" t="e" vm="1528">
        <f>_FV(0,"012312284256279922")</f>
        <v>#VALUE!</v>
      </c>
      <c r="I3467" t="s">
        <v>22079</v>
      </c>
      <c r="J3467" t="s">
        <v>22080</v>
      </c>
      <c r="K3467" t="s">
        <v>22081</v>
      </c>
      <c r="L3467" t="s">
        <v>22075</v>
      </c>
    </row>
    <row r="3468" spans="1:12" x14ac:dyDescent="0.25">
      <c r="A3468">
        <v>623076</v>
      </c>
      <c r="B3468">
        <v>623083</v>
      </c>
      <c r="D3468">
        <v>0</v>
      </c>
      <c r="E3468" t="s">
        <v>22083</v>
      </c>
      <c r="F3468" t="s">
        <v>22084</v>
      </c>
      <c r="G3468" t="s">
        <v>22085</v>
      </c>
      <c r="H3468" t="s">
        <v>22086</v>
      </c>
      <c r="I3468" t="s">
        <v>22087</v>
      </c>
      <c r="J3468" t="s">
        <v>22082</v>
      </c>
      <c r="K3468" t="s">
        <v>22088</v>
      </c>
      <c r="L3468" t="s">
        <v>22082</v>
      </c>
    </row>
    <row r="3469" spans="1:12" x14ac:dyDescent="0.25">
      <c r="A3469">
        <v>623083</v>
      </c>
      <c r="B3469">
        <v>623121</v>
      </c>
      <c r="D3469">
        <v>0</v>
      </c>
      <c r="E3469" t="s">
        <v>22090</v>
      </c>
      <c r="F3469" t="s">
        <v>22091</v>
      </c>
      <c r="G3469" t="s">
        <v>22092</v>
      </c>
      <c r="H3469" t="s">
        <v>22093</v>
      </c>
      <c r="I3469" t="s">
        <v>22094</v>
      </c>
      <c r="J3469" t="s">
        <v>22089</v>
      </c>
      <c r="K3469" t="s">
        <v>22095</v>
      </c>
      <c r="L3469" t="s">
        <v>22089</v>
      </c>
    </row>
    <row r="3470" spans="1:12" x14ac:dyDescent="0.25">
      <c r="A3470">
        <v>623104</v>
      </c>
      <c r="B3470">
        <v>824189</v>
      </c>
      <c r="D3470">
        <v>0</v>
      </c>
      <c r="E3470" t="s">
        <v>22097</v>
      </c>
      <c r="F3470" t="s">
        <v>22098</v>
      </c>
      <c r="G3470" t="s">
        <v>22099</v>
      </c>
      <c r="H3470" t="s">
        <v>22100</v>
      </c>
      <c r="I3470" t="s">
        <v>22101</v>
      </c>
      <c r="J3470" t="s">
        <v>22102</v>
      </c>
      <c r="K3470" t="s">
        <v>22103</v>
      </c>
      <c r="L3470" t="s">
        <v>22096</v>
      </c>
    </row>
    <row r="3471" spans="1:12" x14ac:dyDescent="0.25">
      <c r="A3471">
        <v>623121</v>
      </c>
      <c r="B3471">
        <v>623126</v>
      </c>
      <c r="D3471">
        <v>0</v>
      </c>
      <c r="E3471" t="s">
        <v>22105</v>
      </c>
      <c r="F3471" t="s">
        <v>22106</v>
      </c>
      <c r="G3471" t="s">
        <v>22107</v>
      </c>
      <c r="H3471" t="s">
        <v>22108</v>
      </c>
      <c r="I3471" t="s">
        <v>22109</v>
      </c>
      <c r="J3471" t="s">
        <v>22110</v>
      </c>
      <c r="K3471" t="s">
        <v>22111</v>
      </c>
      <c r="L3471" t="s">
        <v>22104</v>
      </c>
    </row>
    <row r="3472" spans="1:12" x14ac:dyDescent="0.25">
      <c r="A3472">
        <v>623147</v>
      </c>
      <c r="B3472">
        <v>623153</v>
      </c>
      <c r="D3472">
        <v>0</v>
      </c>
      <c r="E3472" t="s">
        <v>22113</v>
      </c>
      <c r="F3472" t="s">
        <v>22114</v>
      </c>
      <c r="G3472" t="s">
        <v>22115</v>
      </c>
      <c r="H3472" t="e" vm="1529">
        <f>_FV(0,"026518738567877946")</f>
        <v>#VALUE!</v>
      </c>
      <c r="I3472" t="s">
        <v>22116</v>
      </c>
      <c r="J3472" t="s">
        <v>22117</v>
      </c>
      <c r="K3472" t="s">
        <v>22118</v>
      </c>
      <c r="L3472" t="s">
        <v>22112</v>
      </c>
    </row>
    <row r="3473" spans="1:12" x14ac:dyDescent="0.25">
      <c r="A3473">
        <v>623153</v>
      </c>
      <c r="B3473">
        <v>949588</v>
      </c>
      <c r="D3473" t="s">
        <v>22120</v>
      </c>
      <c r="E3473" t="s">
        <v>22121</v>
      </c>
      <c r="F3473" t="s">
        <v>22122</v>
      </c>
      <c r="G3473" t="s">
        <v>22123</v>
      </c>
      <c r="H3473" t="e" vm="1530">
        <f>_FV(0,"005806385711005982")</f>
        <v>#VALUE!</v>
      </c>
      <c r="I3473" t="s">
        <v>22124</v>
      </c>
      <c r="J3473" t="s">
        <v>22125</v>
      </c>
      <c r="K3473" t="s">
        <v>22126</v>
      </c>
      <c r="L3473" t="s">
        <v>22119</v>
      </c>
    </row>
    <row r="3474" spans="1:12" x14ac:dyDescent="0.25">
      <c r="A3474">
        <v>623183</v>
      </c>
      <c r="B3474">
        <v>623192</v>
      </c>
      <c r="D3474">
        <v>0</v>
      </c>
      <c r="E3474" t="s">
        <v>22128</v>
      </c>
      <c r="F3474" t="s">
        <v>22129</v>
      </c>
      <c r="G3474" t="s">
        <v>22130</v>
      </c>
      <c r="H3474" t="s">
        <v>22131</v>
      </c>
      <c r="I3474" t="s">
        <v>22132</v>
      </c>
      <c r="J3474" t="s">
        <v>22133</v>
      </c>
      <c r="K3474" t="s">
        <v>22134</v>
      </c>
      <c r="L3474" t="s">
        <v>22127</v>
      </c>
    </row>
    <row r="3475" spans="1:12" x14ac:dyDescent="0.25">
      <c r="A3475">
        <v>623212</v>
      </c>
      <c r="B3475">
        <v>623219</v>
      </c>
      <c r="D3475">
        <v>0</v>
      </c>
      <c r="E3475" t="s">
        <v>22136</v>
      </c>
      <c r="F3475" t="s">
        <v>22137</v>
      </c>
      <c r="G3475" t="s">
        <v>22138</v>
      </c>
      <c r="H3475" t="s">
        <v>22139</v>
      </c>
      <c r="I3475" t="s">
        <v>22140</v>
      </c>
      <c r="J3475" t="s">
        <v>22141</v>
      </c>
      <c r="K3475" t="s">
        <v>22142</v>
      </c>
      <c r="L3475" t="s">
        <v>22135</v>
      </c>
    </row>
    <row r="3476" spans="1:12" x14ac:dyDescent="0.25">
      <c r="A3476">
        <v>623449</v>
      </c>
      <c r="B3476">
        <v>1050156</v>
      </c>
      <c r="D3476" t="s">
        <v>22144</v>
      </c>
      <c r="E3476" t="s">
        <v>22145</v>
      </c>
      <c r="F3476" t="s">
        <v>22146</v>
      </c>
      <c r="G3476" t="s">
        <v>22147</v>
      </c>
      <c r="H3476" t="s">
        <v>22148</v>
      </c>
      <c r="I3476" t="s">
        <v>22149</v>
      </c>
      <c r="J3476" t="s">
        <v>22150</v>
      </c>
      <c r="K3476" t="s">
        <v>22151</v>
      </c>
      <c r="L3476" t="s">
        <v>22143</v>
      </c>
    </row>
    <row r="3477" spans="1:12" x14ac:dyDescent="0.25">
      <c r="A3477">
        <v>623449</v>
      </c>
      <c r="B3477">
        <v>981960</v>
      </c>
      <c r="D3477" t="s">
        <v>2510</v>
      </c>
      <c r="E3477" t="s">
        <v>22153</v>
      </c>
      <c r="F3477" t="s">
        <v>22154</v>
      </c>
      <c r="G3477" t="s">
        <v>22155</v>
      </c>
      <c r="H3477" t="e" vm="1531">
        <f>_FV(0,"003827476134409208")</f>
        <v>#VALUE!</v>
      </c>
      <c r="I3477" t="s">
        <v>22156</v>
      </c>
      <c r="J3477" t="s">
        <v>22157</v>
      </c>
      <c r="K3477" t="s">
        <v>22158</v>
      </c>
      <c r="L3477" t="s">
        <v>22152</v>
      </c>
    </row>
    <row r="3478" spans="1:12" x14ac:dyDescent="0.25">
      <c r="A3478">
        <v>623977</v>
      </c>
      <c r="B3478">
        <v>1052261</v>
      </c>
      <c r="D3478" t="s">
        <v>1007</v>
      </c>
      <c r="E3478" t="s">
        <v>22160</v>
      </c>
      <c r="F3478" t="s">
        <v>22161</v>
      </c>
      <c r="G3478" t="s">
        <v>22162</v>
      </c>
      <c r="H3478" t="e" vm="1532">
        <f>_FV(0,"022008383116815255")</f>
        <v>#VALUE!</v>
      </c>
      <c r="I3478" t="s">
        <v>22163</v>
      </c>
      <c r="J3478" t="s">
        <v>22164</v>
      </c>
      <c r="K3478" t="s">
        <v>22165</v>
      </c>
      <c r="L3478" t="s">
        <v>22159</v>
      </c>
    </row>
    <row r="3479" spans="1:12" x14ac:dyDescent="0.25">
      <c r="A3479">
        <v>623977</v>
      </c>
      <c r="B3479">
        <v>1797143</v>
      </c>
      <c r="D3479">
        <v>0</v>
      </c>
      <c r="E3479" t="s">
        <v>22167</v>
      </c>
      <c r="F3479" t="s">
        <v>22168</v>
      </c>
      <c r="G3479" t="s">
        <v>22169</v>
      </c>
      <c r="H3479" t="s">
        <v>22170</v>
      </c>
      <c r="I3479" t="s">
        <v>22171</v>
      </c>
      <c r="J3479" t="s">
        <v>22166</v>
      </c>
      <c r="K3479" t="s">
        <v>22172</v>
      </c>
      <c r="L3479" t="s">
        <v>22166</v>
      </c>
    </row>
    <row r="3480" spans="1:12" x14ac:dyDescent="0.25">
      <c r="A3480">
        <v>624026</v>
      </c>
      <c r="B3480">
        <v>673855</v>
      </c>
      <c r="D3480">
        <v>0</v>
      </c>
      <c r="E3480" t="s">
        <v>22174</v>
      </c>
      <c r="F3480" t="s">
        <v>22175</v>
      </c>
      <c r="G3480" t="s">
        <v>22176</v>
      </c>
      <c r="H3480" t="e" vm="1533">
        <f>_FV(0,"011242013920639355")</f>
        <v>#VALUE!</v>
      </c>
      <c r="I3480" t="s">
        <v>22177</v>
      </c>
      <c r="J3480" t="s">
        <v>22178</v>
      </c>
      <c r="K3480" t="s">
        <v>22179</v>
      </c>
      <c r="L3480" t="s">
        <v>22173</v>
      </c>
    </row>
    <row r="3481" spans="1:12" x14ac:dyDescent="0.25">
      <c r="A3481">
        <v>624026</v>
      </c>
      <c r="B3481">
        <v>1052295</v>
      </c>
      <c r="D3481">
        <v>0</v>
      </c>
      <c r="E3481" t="s">
        <v>22181</v>
      </c>
      <c r="F3481" t="s">
        <v>22182</v>
      </c>
      <c r="G3481" t="s">
        <v>22183</v>
      </c>
      <c r="H3481" t="e" vm="1534">
        <f>_FV(0,"009962032048928053")</f>
        <v>#VALUE!</v>
      </c>
      <c r="I3481" t="s">
        <v>22184</v>
      </c>
      <c r="J3481" t="s">
        <v>22185</v>
      </c>
      <c r="K3481" t="s">
        <v>22186</v>
      </c>
      <c r="L3481" t="s">
        <v>22180</v>
      </c>
    </row>
    <row r="3482" spans="1:12" x14ac:dyDescent="0.25">
      <c r="A3482">
        <v>624215</v>
      </c>
      <c r="B3482">
        <v>949588</v>
      </c>
      <c r="D3482">
        <v>0</v>
      </c>
      <c r="E3482" t="s">
        <v>22188</v>
      </c>
      <c r="F3482" t="s">
        <v>22189</v>
      </c>
      <c r="G3482" t="s">
        <v>22190</v>
      </c>
      <c r="H3482" t="s">
        <v>22191</v>
      </c>
      <c r="I3482" t="s">
        <v>22192</v>
      </c>
      <c r="J3482" t="s">
        <v>22187</v>
      </c>
      <c r="K3482" t="s">
        <v>22193</v>
      </c>
      <c r="L3482" t="s">
        <v>22187</v>
      </c>
    </row>
    <row r="3483" spans="1:12" x14ac:dyDescent="0.25">
      <c r="A3483">
        <v>624887</v>
      </c>
      <c r="B3483">
        <v>624911</v>
      </c>
      <c r="D3483">
        <v>0</v>
      </c>
      <c r="E3483" t="s">
        <v>22195</v>
      </c>
      <c r="F3483" t="s">
        <v>22196</v>
      </c>
      <c r="G3483" t="s">
        <v>22197</v>
      </c>
      <c r="H3483" t="s">
        <v>22198</v>
      </c>
      <c r="I3483" t="s">
        <v>22199</v>
      </c>
      <c r="J3483" t="s">
        <v>22194</v>
      </c>
      <c r="K3483" t="s">
        <v>22200</v>
      </c>
      <c r="L3483" t="s">
        <v>22194</v>
      </c>
    </row>
    <row r="3484" spans="1:12" x14ac:dyDescent="0.25">
      <c r="A3484">
        <v>624887</v>
      </c>
      <c r="B3484">
        <v>1835660</v>
      </c>
      <c r="D3484">
        <v>0</v>
      </c>
      <c r="E3484" t="s">
        <v>22202</v>
      </c>
      <c r="F3484" t="s">
        <v>22203</v>
      </c>
      <c r="G3484" t="s">
        <v>22204</v>
      </c>
      <c r="H3484" t="s">
        <v>22205</v>
      </c>
      <c r="I3484" t="s">
        <v>22206</v>
      </c>
      <c r="J3484" t="s">
        <v>22201</v>
      </c>
      <c r="K3484" t="s">
        <v>22207</v>
      </c>
      <c r="L3484" t="s">
        <v>22201</v>
      </c>
    </row>
    <row r="3485" spans="1:12" x14ac:dyDescent="0.25">
      <c r="A3485">
        <v>624911</v>
      </c>
      <c r="B3485">
        <v>1785504</v>
      </c>
      <c r="D3485">
        <v>0</v>
      </c>
      <c r="F3485">
        <v>2051415</v>
      </c>
      <c r="G3485">
        <v>1785504</v>
      </c>
      <c r="H3485" t="s">
        <v>22208</v>
      </c>
      <c r="I3485">
        <v>624911</v>
      </c>
      <c r="J3485" t="s">
        <v>22208</v>
      </c>
      <c r="K3485" t="s">
        <v>22209</v>
      </c>
      <c r="L3485" t="s">
        <v>22208</v>
      </c>
    </row>
    <row r="3486" spans="1:12" x14ac:dyDescent="0.25">
      <c r="A3486">
        <v>624911</v>
      </c>
      <c r="B3486">
        <v>624945</v>
      </c>
      <c r="D3486">
        <v>0</v>
      </c>
      <c r="E3486" t="s">
        <v>22211</v>
      </c>
      <c r="F3486" t="s">
        <v>22212</v>
      </c>
      <c r="G3486" t="s">
        <v>22213</v>
      </c>
      <c r="H3486" t="s">
        <v>22214</v>
      </c>
      <c r="I3486" t="s">
        <v>22215</v>
      </c>
      <c r="J3486" t="s">
        <v>22216</v>
      </c>
      <c r="K3486" t="s">
        <v>22217</v>
      </c>
      <c r="L3486" t="s">
        <v>22210</v>
      </c>
    </row>
    <row r="3487" spans="1:12" x14ac:dyDescent="0.25">
      <c r="A3487">
        <v>624930</v>
      </c>
      <c r="B3487">
        <v>1457875</v>
      </c>
      <c r="D3487">
        <v>0</v>
      </c>
      <c r="F3487">
        <v>1630324</v>
      </c>
      <c r="G3487">
        <v>1457875</v>
      </c>
      <c r="H3487" t="e" vm="1535">
        <f>_FV(0,"18")</f>
        <v>#VALUE!</v>
      </c>
      <c r="I3487">
        <v>624930</v>
      </c>
      <c r="J3487" t="s">
        <v>22218</v>
      </c>
      <c r="K3487" t="s">
        <v>22219</v>
      </c>
      <c r="L3487" t="e" vm="1535">
        <f>_FV(0,"18")</f>
        <v>#VALUE!</v>
      </c>
    </row>
    <row r="3488" spans="1:12" x14ac:dyDescent="0.25">
      <c r="A3488">
        <v>624930</v>
      </c>
      <c r="B3488">
        <v>624946</v>
      </c>
      <c r="D3488">
        <v>0</v>
      </c>
      <c r="E3488" t="s">
        <v>22221</v>
      </c>
      <c r="F3488" t="s">
        <v>22222</v>
      </c>
      <c r="G3488" t="s">
        <v>22223</v>
      </c>
      <c r="H3488" t="e" vm="1536">
        <f>_FV(0,"0001570977935634475")</f>
        <v>#VALUE!</v>
      </c>
      <c r="I3488" t="s">
        <v>22224</v>
      </c>
      <c r="J3488" t="s">
        <v>22225</v>
      </c>
      <c r="K3488" t="s">
        <v>22226</v>
      </c>
      <c r="L3488" t="s">
        <v>22220</v>
      </c>
    </row>
    <row r="3489" spans="1:12" x14ac:dyDescent="0.25">
      <c r="A3489">
        <v>624945</v>
      </c>
      <c r="B3489">
        <v>625026</v>
      </c>
      <c r="D3489">
        <v>0</v>
      </c>
      <c r="E3489" t="s">
        <v>22228</v>
      </c>
      <c r="F3489" t="s">
        <v>22229</v>
      </c>
      <c r="G3489" t="s">
        <v>22230</v>
      </c>
      <c r="H3489" t="e" vm="1537">
        <f>_FV(0,"00500543598582914")</f>
        <v>#VALUE!</v>
      </c>
      <c r="I3489" t="s">
        <v>22231</v>
      </c>
      <c r="J3489" t="s">
        <v>22232</v>
      </c>
      <c r="K3489" t="s">
        <v>22233</v>
      </c>
      <c r="L3489" t="s">
        <v>22227</v>
      </c>
    </row>
    <row r="3490" spans="1:12" x14ac:dyDescent="0.25">
      <c r="A3490">
        <v>624945</v>
      </c>
      <c r="B3490">
        <v>1550914</v>
      </c>
      <c r="D3490">
        <v>0</v>
      </c>
      <c r="E3490" t="s">
        <v>22235</v>
      </c>
      <c r="F3490" t="s">
        <v>22236</v>
      </c>
      <c r="G3490" t="s">
        <v>22237</v>
      </c>
      <c r="H3490" t="e" vm="1538">
        <f>_FV(0,"005428285959723597")</f>
        <v>#VALUE!</v>
      </c>
      <c r="I3490" t="s">
        <v>22238</v>
      </c>
      <c r="J3490" t="s">
        <v>22239</v>
      </c>
      <c r="K3490" t="s">
        <v>22240</v>
      </c>
      <c r="L3490" t="s">
        <v>22234</v>
      </c>
    </row>
    <row r="3491" spans="1:12" x14ac:dyDescent="0.25">
      <c r="A3491">
        <v>624946</v>
      </c>
      <c r="B3491">
        <v>1457792</v>
      </c>
      <c r="D3491" t="s">
        <v>204</v>
      </c>
      <c r="E3491" t="s">
        <v>22242</v>
      </c>
      <c r="F3491" t="s">
        <v>22243</v>
      </c>
      <c r="G3491" t="s">
        <v>22244</v>
      </c>
      <c r="H3491" t="e" vm="1539">
        <f>_FV(0,"0007875018919286074")</f>
        <v>#VALUE!</v>
      </c>
      <c r="I3491" t="s">
        <v>22245</v>
      </c>
      <c r="J3491" t="s">
        <v>22246</v>
      </c>
      <c r="K3491" t="s">
        <v>22247</v>
      </c>
      <c r="L3491" t="s">
        <v>22241</v>
      </c>
    </row>
    <row r="3492" spans="1:12" x14ac:dyDescent="0.25">
      <c r="A3492">
        <v>624954</v>
      </c>
      <c r="B3492">
        <v>624973</v>
      </c>
      <c r="D3492">
        <v>0</v>
      </c>
      <c r="E3492" t="s">
        <v>22249</v>
      </c>
      <c r="F3492" t="s">
        <v>22250</v>
      </c>
      <c r="G3492" t="s">
        <v>22251</v>
      </c>
      <c r="H3492" t="s">
        <v>22252</v>
      </c>
      <c r="I3492" t="s">
        <v>22253</v>
      </c>
      <c r="J3492" t="s">
        <v>22254</v>
      </c>
      <c r="K3492" t="s">
        <v>22255</v>
      </c>
      <c r="L3492" t="s">
        <v>22248</v>
      </c>
    </row>
    <row r="3493" spans="1:12" x14ac:dyDescent="0.25">
      <c r="A3493">
        <v>624954</v>
      </c>
      <c r="B3493">
        <v>625026</v>
      </c>
      <c r="D3493">
        <v>0</v>
      </c>
      <c r="E3493" t="s">
        <v>22257</v>
      </c>
      <c r="F3493" t="s">
        <v>22258</v>
      </c>
      <c r="G3493" t="s">
        <v>22259</v>
      </c>
      <c r="H3493" t="e" vm="1540">
        <f>_FV(0,"02511807999428269")</f>
        <v>#VALUE!</v>
      </c>
      <c r="I3493" t="s">
        <v>22260</v>
      </c>
      <c r="J3493" t="s">
        <v>22261</v>
      </c>
      <c r="K3493" t="s">
        <v>22262</v>
      </c>
      <c r="L3493" t="s">
        <v>22256</v>
      </c>
    </row>
    <row r="3494" spans="1:12" x14ac:dyDescent="0.25">
      <c r="A3494">
        <v>624954</v>
      </c>
      <c r="B3494">
        <v>1785515</v>
      </c>
      <c r="D3494">
        <v>0</v>
      </c>
      <c r="F3494">
        <v>2051442</v>
      </c>
      <c r="G3494">
        <v>624954</v>
      </c>
      <c r="H3494" t="e" vm="407">
        <f>_FV(0,"094")</f>
        <v>#VALUE!</v>
      </c>
      <c r="I3494">
        <v>1785515</v>
      </c>
      <c r="J3494" t="s">
        <v>14436</v>
      </c>
      <c r="K3494" t="s">
        <v>22263</v>
      </c>
      <c r="L3494" t="e" vm="407">
        <f>_FV(0,"094")</f>
        <v>#VALUE!</v>
      </c>
    </row>
    <row r="3495" spans="1:12" x14ac:dyDescent="0.25">
      <c r="A3495">
        <v>624973</v>
      </c>
      <c r="B3495">
        <v>1244751</v>
      </c>
      <c r="C3495" t="s">
        <v>22265</v>
      </c>
      <c r="D3495">
        <v>0</v>
      </c>
      <c r="E3495" t="s">
        <v>22266</v>
      </c>
      <c r="F3495" t="s">
        <v>22267</v>
      </c>
      <c r="G3495" t="s">
        <v>22268</v>
      </c>
      <c r="H3495" t="s">
        <v>22269</v>
      </c>
      <c r="I3495" t="s">
        <v>22270</v>
      </c>
      <c r="J3495" t="s">
        <v>22271</v>
      </c>
      <c r="K3495" t="s">
        <v>22272</v>
      </c>
      <c r="L3495" t="s">
        <v>22264</v>
      </c>
    </row>
    <row r="3496" spans="1:12" x14ac:dyDescent="0.25">
      <c r="A3496">
        <v>624973</v>
      </c>
      <c r="B3496">
        <v>1835632</v>
      </c>
      <c r="D3496">
        <v>0</v>
      </c>
      <c r="E3496" t="s">
        <v>22274</v>
      </c>
      <c r="F3496" t="s">
        <v>22275</v>
      </c>
      <c r="G3496" t="s">
        <v>22276</v>
      </c>
      <c r="H3496" t="e" vm="1541">
        <f>_FV(0,"014153257966369303")</f>
        <v>#VALUE!</v>
      </c>
      <c r="I3496" t="s">
        <v>22277</v>
      </c>
      <c r="J3496" t="s">
        <v>22278</v>
      </c>
      <c r="K3496" t="s">
        <v>22279</v>
      </c>
      <c r="L3496" t="s">
        <v>22273</v>
      </c>
    </row>
    <row r="3497" spans="1:12" x14ac:dyDescent="0.25">
      <c r="A3497">
        <v>625026</v>
      </c>
      <c r="B3497">
        <v>1244855</v>
      </c>
      <c r="D3497">
        <v>0</v>
      </c>
      <c r="E3497" t="s">
        <v>22281</v>
      </c>
      <c r="F3497" t="s">
        <v>22282</v>
      </c>
      <c r="G3497" t="s">
        <v>22283</v>
      </c>
      <c r="H3497" t="s">
        <v>22284</v>
      </c>
      <c r="I3497" t="s">
        <v>22285</v>
      </c>
      <c r="J3497" t="s">
        <v>22286</v>
      </c>
      <c r="K3497" t="s">
        <v>22287</v>
      </c>
      <c r="L3497" t="s">
        <v>22280</v>
      </c>
    </row>
    <row r="3498" spans="1:12" x14ac:dyDescent="0.25">
      <c r="A3498">
        <v>625111</v>
      </c>
      <c r="B3498">
        <v>1605433</v>
      </c>
      <c r="D3498" t="s">
        <v>204</v>
      </c>
      <c r="E3498" t="s">
        <v>22289</v>
      </c>
      <c r="F3498" t="s">
        <v>22290</v>
      </c>
      <c r="G3498" t="s">
        <v>22291</v>
      </c>
      <c r="H3498" t="s">
        <v>22292</v>
      </c>
      <c r="I3498" t="s">
        <v>22293</v>
      </c>
      <c r="J3498" t="s">
        <v>22294</v>
      </c>
      <c r="K3498" t="s">
        <v>22295</v>
      </c>
      <c r="L3498" t="s">
        <v>22288</v>
      </c>
    </row>
    <row r="3499" spans="1:12" x14ac:dyDescent="0.25">
      <c r="A3499">
        <v>625111</v>
      </c>
      <c r="B3499">
        <v>1306751</v>
      </c>
      <c r="D3499" t="s">
        <v>22297</v>
      </c>
      <c r="E3499" t="s">
        <v>22298</v>
      </c>
      <c r="F3499" t="s">
        <v>22299</v>
      </c>
      <c r="G3499" t="s">
        <v>22300</v>
      </c>
      <c r="H3499" t="s">
        <v>22301</v>
      </c>
      <c r="I3499" t="s">
        <v>22302</v>
      </c>
      <c r="J3499" t="s">
        <v>22303</v>
      </c>
      <c r="K3499" t="s">
        <v>22304</v>
      </c>
      <c r="L3499" t="s">
        <v>22296</v>
      </c>
    </row>
    <row r="3500" spans="1:12" x14ac:dyDescent="0.25">
      <c r="A3500">
        <v>625111</v>
      </c>
      <c r="B3500">
        <v>1307137</v>
      </c>
      <c r="D3500" t="s">
        <v>22306</v>
      </c>
      <c r="E3500" t="s">
        <v>22307</v>
      </c>
      <c r="F3500" t="s">
        <v>22308</v>
      </c>
      <c r="G3500" t="s">
        <v>22309</v>
      </c>
      <c r="H3500" t="s">
        <v>22310</v>
      </c>
      <c r="I3500" t="s">
        <v>22311</v>
      </c>
      <c r="J3500" t="s">
        <v>22312</v>
      </c>
      <c r="K3500" t="s">
        <v>22313</v>
      </c>
      <c r="L3500" t="s">
        <v>22305</v>
      </c>
    </row>
    <row r="3501" spans="1:12" x14ac:dyDescent="0.25">
      <c r="A3501">
        <v>625303</v>
      </c>
      <c r="B3501">
        <v>625449</v>
      </c>
      <c r="D3501">
        <v>0</v>
      </c>
      <c r="E3501" t="s">
        <v>22315</v>
      </c>
      <c r="F3501" t="s">
        <v>22316</v>
      </c>
      <c r="G3501" t="s">
        <v>22317</v>
      </c>
      <c r="H3501" t="s">
        <v>22318</v>
      </c>
      <c r="I3501" t="s">
        <v>22319</v>
      </c>
      <c r="J3501" t="s">
        <v>22314</v>
      </c>
      <c r="K3501" t="s">
        <v>22320</v>
      </c>
      <c r="L3501" t="s">
        <v>22314</v>
      </c>
    </row>
    <row r="3502" spans="1:12" x14ac:dyDescent="0.25">
      <c r="A3502">
        <v>625449</v>
      </c>
      <c r="B3502">
        <v>628790</v>
      </c>
      <c r="D3502">
        <v>0</v>
      </c>
      <c r="F3502">
        <v>760720</v>
      </c>
      <c r="G3502">
        <v>628790</v>
      </c>
      <c r="H3502" t="e" vm="498">
        <f>_FV(0,"037")</f>
        <v>#VALUE!</v>
      </c>
      <c r="I3502">
        <v>625449</v>
      </c>
      <c r="J3502" t="s">
        <v>1589</v>
      </c>
      <c r="K3502" t="s">
        <v>22321</v>
      </c>
      <c r="L3502" t="e" vm="498">
        <f>_FV(0,"037")</f>
        <v>#VALUE!</v>
      </c>
    </row>
    <row r="3503" spans="1:12" x14ac:dyDescent="0.25">
      <c r="A3503">
        <v>625449</v>
      </c>
      <c r="B3503">
        <v>625456</v>
      </c>
      <c r="D3503">
        <v>0</v>
      </c>
      <c r="E3503" t="s">
        <v>22323</v>
      </c>
      <c r="F3503" t="s">
        <v>22324</v>
      </c>
      <c r="G3503" t="s">
        <v>22325</v>
      </c>
      <c r="H3503" t="e" vm="1542">
        <f>_FV(0,"02298823349088958")</f>
        <v>#VALUE!</v>
      </c>
      <c r="I3503" t="s">
        <v>22326</v>
      </c>
      <c r="J3503" t="s">
        <v>22327</v>
      </c>
      <c r="K3503" t="s">
        <v>22328</v>
      </c>
      <c r="L3503" t="s">
        <v>22322</v>
      </c>
    </row>
    <row r="3504" spans="1:12" x14ac:dyDescent="0.25">
      <c r="A3504">
        <v>625456</v>
      </c>
      <c r="B3504">
        <v>625495</v>
      </c>
      <c r="D3504">
        <v>0</v>
      </c>
      <c r="E3504" t="s">
        <v>22330</v>
      </c>
      <c r="F3504" t="s">
        <v>22331</v>
      </c>
      <c r="G3504" t="s">
        <v>22332</v>
      </c>
      <c r="H3504" t="e" vm="1543">
        <f>_FV(0,"013639943236814906")</f>
        <v>#VALUE!</v>
      </c>
      <c r="I3504" t="s">
        <v>22333</v>
      </c>
      <c r="J3504" t="s">
        <v>22334</v>
      </c>
      <c r="K3504" t="s">
        <v>22335</v>
      </c>
      <c r="L3504" t="s">
        <v>22329</v>
      </c>
    </row>
    <row r="3505" spans="1:12" x14ac:dyDescent="0.25">
      <c r="A3505">
        <v>625456</v>
      </c>
      <c r="B3505">
        <v>625470</v>
      </c>
      <c r="D3505">
        <v>0</v>
      </c>
      <c r="E3505" t="s">
        <v>22337</v>
      </c>
      <c r="F3505" t="s">
        <v>22338</v>
      </c>
      <c r="G3505" t="s">
        <v>22339</v>
      </c>
      <c r="H3505" t="e" vm="1544">
        <f>_FV(0,"028470076694195212")</f>
        <v>#VALUE!</v>
      </c>
      <c r="I3505" t="s">
        <v>22340</v>
      </c>
      <c r="J3505" t="s">
        <v>22341</v>
      </c>
      <c r="K3505" t="s">
        <v>22342</v>
      </c>
      <c r="L3505" t="s">
        <v>22336</v>
      </c>
    </row>
    <row r="3506" spans="1:12" x14ac:dyDescent="0.25">
      <c r="A3506">
        <v>625470</v>
      </c>
      <c r="B3506">
        <v>628790</v>
      </c>
      <c r="D3506">
        <v>0</v>
      </c>
      <c r="E3506" t="s">
        <v>22344</v>
      </c>
      <c r="F3506" t="s">
        <v>22345</v>
      </c>
      <c r="G3506" t="s">
        <v>22346</v>
      </c>
      <c r="H3506" t="e" vm="1545">
        <f>_FV(0,"025604684959142778")</f>
        <v>#VALUE!</v>
      </c>
      <c r="I3506" t="s">
        <v>22347</v>
      </c>
      <c r="J3506" t="s">
        <v>22348</v>
      </c>
      <c r="K3506" t="s">
        <v>22349</v>
      </c>
      <c r="L3506" t="s">
        <v>22343</v>
      </c>
    </row>
    <row r="3507" spans="1:12" x14ac:dyDescent="0.25">
      <c r="A3507">
        <v>625470</v>
      </c>
      <c r="B3507">
        <v>625484</v>
      </c>
      <c r="D3507">
        <v>0</v>
      </c>
      <c r="E3507" t="s">
        <v>22351</v>
      </c>
      <c r="F3507" t="s">
        <v>22352</v>
      </c>
      <c r="G3507" t="s">
        <v>22353</v>
      </c>
      <c r="H3507" t="s">
        <v>22354</v>
      </c>
      <c r="I3507" t="s">
        <v>22355</v>
      </c>
      <c r="J3507" t="s">
        <v>22356</v>
      </c>
      <c r="K3507" t="s">
        <v>22357</v>
      </c>
      <c r="L3507" t="s">
        <v>22350</v>
      </c>
    </row>
    <row r="3508" spans="1:12" x14ac:dyDescent="0.25">
      <c r="A3508">
        <v>625484</v>
      </c>
      <c r="B3508">
        <v>625495</v>
      </c>
      <c r="D3508">
        <v>0</v>
      </c>
      <c r="E3508" t="s">
        <v>22359</v>
      </c>
      <c r="F3508" t="s">
        <v>22360</v>
      </c>
      <c r="G3508" t="s">
        <v>22361</v>
      </c>
      <c r="H3508" t="s">
        <v>22362</v>
      </c>
      <c r="I3508" t="s">
        <v>22363</v>
      </c>
      <c r="J3508" t="s">
        <v>22358</v>
      </c>
      <c r="K3508" t="s">
        <v>22364</v>
      </c>
      <c r="L3508" t="s">
        <v>22358</v>
      </c>
    </row>
    <row r="3509" spans="1:12" x14ac:dyDescent="0.25">
      <c r="A3509">
        <v>626207</v>
      </c>
      <c r="B3509">
        <v>1835024</v>
      </c>
      <c r="D3509">
        <v>0</v>
      </c>
      <c r="E3509" t="s">
        <v>22366</v>
      </c>
      <c r="F3509" t="s">
        <v>22367</v>
      </c>
      <c r="G3509" t="s">
        <v>22368</v>
      </c>
      <c r="H3509" t="s">
        <v>22369</v>
      </c>
      <c r="I3509" t="s">
        <v>22370</v>
      </c>
      <c r="J3509" t="s">
        <v>22371</v>
      </c>
      <c r="K3509" t="s">
        <v>22372</v>
      </c>
      <c r="L3509" t="s">
        <v>22365</v>
      </c>
    </row>
    <row r="3510" spans="1:12" x14ac:dyDescent="0.25">
      <c r="A3510">
        <v>626207</v>
      </c>
      <c r="B3510">
        <v>626235</v>
      </c>
      <c r="D3510">
        <v>0</v>
      </c>
      <c r="E3510" t="s">
        <v>22374</v>
      </c>
      <c r="F3510" t="s">
        <v>22375</v>
      </c>
      <c r="G3510" t="s">
        <v>22376</v>
      </c>
      <c r="H3510" t="e" vm="1546">
        <f>_FV(0,"013193671572096196")</f>
        <v>#VALUE!</v>
      </c>
      <c r="I3510" t="s">
        <v>22377</v>
      </c>
      <c r="J3510" t="s">
        <v>22378</v>
      </c>
      <c r="K3510" t="s">
        <v>22379</v>
      </c>
      <c r="L3510" t="s">
        <v>22373</v>
      </c>
    </row>
    <row r="3511" spans="1:12" x14ac:dyDescent="0.25">
      <c r="A3511">
        <v>626207</v>
      </c>
      <c r="B3511">
        <v>1156136</v>
      </c>
      <c r="D3511">
        <v>0</v>
      </c>
      <c r="E3511" t="s">
        <v>22381</v>
      </c>
      <c r="F3511" t="s">
        <v>22382</v>
      </c>
      <c r="G3511" t="s">
        <v>22383</v>
      </c>
      <c r="H3511" t="e" vm="1547">
        <f>_FV(0,"001942264190298227")</f>
        <v>#VALUE!</v>
      </c>
      <c r="I3511" t="s">
        <v>22384</v>
      </c>
      <c r="J3511" t="s">
        <v>22385</v>
      </c>
      <c r="K3511" t="s">
        <v>22386</v>
      </c>
      <c r="L3511" t="s">
        <v>22380</v>
      </c>
    </row>
    <row r="3512" spans="1:12" x14ac:dyDescent="0.25">
      <c r="A3512">
        <v>626221</v>
      </c>
      <c r="B3512">
        <v>626304</v>
      </c>
      <c r="D3512">
        <v>0</v>
      </c>
      <c r="E3512" t="s">
        <v>22388</v>
      </c>
      <c r="F3512" t="s">
        <v>22389</v>
      </c>
      <c r="G3512" t="s">
        <v>22390</v>
      </c>
      <c r="H3512" t="e" vm="1548">
        <f>_FV(0,"007030068831038121")</f>
        <v>#VALUE!</v>
      </c>
      <c r="I3512" t="s">
        <v>22391</v>
      </c>
      <c r="J3512" t="s">
        <v>22392</v>
      </c>
      <c r="K3512" t="s">
        <v>22393</v>
      </c>
      <c r="L3512" t="s">
        <v>22387</v>
      </c>
    </row>
    <row r="3513" spans="1:12" x14ac:dyDescent="0.25">
      <c r="A3513">
        <v>626221</v>
      </c>
      <c r="B3513">
        <v>1153147</v>
      </c>
      <c r="D3513">
        <v>0</v>
      </c>
      <c r="E3513" t="s">
        <v>22395</v>
      </c>
      <c r="F3513" t="s">
        <v>22396</v>
      </c>
      <c r="G3513" t="s">
        <v>22397</v>
      </c>
      <c r="H3513" t="e" vm="1549">
        <f>_FV(0,"017154095071564353")</f>
        <v>#VALUE!</v>
      </c>
      <c r="I3513" t="s">
        <v>22398</v>
      </c>
      <c r="J3513" t="s">
        <v>22399</v>
      </c>
      <c r="K3513" t="s">
        <v>22400</v>
      </c>
      <c r="L3513" t="s">
        <v>22394</v>
      </c>
    </row>
    <row r="3514" spans="1:12" x14ac:dyDescent="0.25">
      <c r="A3514">
        <v>626221</v>
      </c>
      <c r="B3514">
        <v>1153759</v>
      </c>
      <c r="D3514">
        <v>0</v>
      </c>
      <c r="E3514" t="s">
        <v>22402</v>
      </c>
      <c r="F3514" t="s">
        <v>22403</v>
      </c>
      <c r="G3514" t="s">
        <v>22404</v>
      </c>
      <c r="H3514" t="e" vm="1550">
        <f>_FV(0,"009252018879058802")</f>
        <v>#VALUE!</v>
      </c>
      <c r="I3514" t="s">
        <v>22405</v>
      </c>
      <c r="J3514" t="s">
        <v>22406</v>
      </c>
      <c r="K3514" t="s">
        <v>22407</v>
      </c>
      <c r="L3514" t="s">
        <v>22401</v>
      </c>
    </row>
    <row r="3515" spans="1:12" x14ac:dyDescent="0.25">
      <c r="A3515">
        <v>626235</v>
      </c>
      <c r="B3515">
        <v>1152434</v>
      </c>
      <c r="D3515">
        <v>0</v>
      </c>
      <c r="E3515" t="s">
        <v>22409</v>
      </c>
      <c r="F3515" t="s">
        <v>22410</v>
      </c>
      <c r="G3515" t="s">
        <v>22411</v>
      </c>
      <c r="H3515" t="e" vm="1551">
        <f>_FV(0,"031096092383971877")</f>
        <v>#VALUE!</v>
      </c>
      <c r="I3515" t="s">
        <v>22412</v>
      </c>
      <c r="J3515" t="s">
        <v>22413</v>
      </c>
      <c r="K3515" t="s">
        <v>22414</v>
      </c>
      <c r="L3515" t="s">
        <v>22408</v>
      </c>
    </row>
    <row r="3516" spans="1:12" x14ac:dyDescent="0.25">
      <c r="A3516">
        <v>626235</v>
      </c>
      <c r="B3516">
        <v>1153752</v>
      </c>
      <c r="D3516">
        <v>0</v>
      </c>
      <c r="E3516" t="s">
        <v>22416</v>
      </c>
      <c r="F3516" t="s">
        <v>22417</v>
      </c>
      <c r="G3516" t="s">
        <v>22418</v>
      </c>
      <c r="H3516" t="e" vm="1552">
        <f>_FV(0,"008905279007498709")</f>
        <v>#VALUE!</v>
      </c>
      <c r="I3516" t="s">
        <v>22419</v>
      </c>
      <c r="J3516" t="s">
        <v>22420</v>
      </c>
      <c r="K3516" t="s">
        <v>22421</v>
      </c>
      <c r="L3516" t="s">
        <v>22415</v>
      </c>
    </row>
    <row r="3517" spans="1:12" x14ac:dyDescent="0.25">
      <c r="A3517">
        <v>626304</v>
      </c>
      <c r="B3517">
        <v>1834979</v>
      </c>
      <c r="D3517">
        <v>0</v>
      </c>
      <c r="E3517" t="s">
        <v>22423</v>
      </c>
      <c r="F3517" t="s">
        <v>22424</v>
      </c>
      <c r="G3517" t="s">
        <v>22425</v>
      </c>
      <c r="H3517" t="s">
        <v>22426</v>
      </c>
      <c r="I3517" t="s">
        <v>22427</v>
      </c>
      <c r="J3517" t="s">
        <v>22428</v>
      </c>
      <c r="K3517" t="s">
        <v>22429</v>
      </c>
      <c r="L3517" t="s">
        <v>22422</v>
      </c>
    </row>
    <row r="3518" spans="1:12" x14ac:dyDescent="0.25">
      <c r="A3518">
        <v>626304</v>
      </c>
      <c r="B3518">
        <v>1156038</v>
      </c>
      <c r="D3518">
        <v>0</v>
      </c>
      <c r="E3518" t="s">
        <v>22431</v>
      </c>
      <c r="F3518" t="s">
        <v>22432</v>
      </c>
      <c r="G3518" t="s">
        <v>22433</v>
      </c>
      <c r="H3518" t="s">
        <v>22434</v>
      </c>
      <c r="I3518" t="s">
        <v>22435</v>
      </c>
      <c r="J3518" t="s">
        <v>22430</v>
      </c>
      <c r="K3518" t="s">
        <v>22436</v>
      </c>
      <c r="L3518" t="s">
        <v>22430</v>
      </c>
    </row>
    <row r="3519" spans="1:12" x14ac:dyDescent="0.25">
      <c r="A3519">
        <v>627691</v>
      </c>
      <c r="B3519">
        <v>627813</v>
      </c>
      <c r="D3519">
        <v>0</v>
      </c>
      <c r="E3519" t="s">
        <v>22438</v>
      </c>
      <c r="F3519" t="s">
        <v>22439</v>
      </c>
      <c r="G3519" t="s">
        <v>22440</v>
      </c>
      <c r="H3519" t="s">
        <v>22441</v>
      </c>
      <c r="I3519" t="s">
        <v>22442</v>
      </c>
      <c r="J3519" t="s">
        <v>22443</v>
      </c>
      <c r="K3519" t="s">
        <v>22444</v>
      </c>
      <c r="L3519" t="s">
        <v>22437</v>
      </c>
    </row>
    <row r="3520" spans="1:12" x14ac:dyDescent="0.25">
      <c r="A3520">
        <v>627691</v>
      </c>
      <c r="B3520">
        <v>1850595</v>
      </c>
      <c r="D3520">
        <v>0</v>
      </c>
      <c r="E3520" t="s">
        <v>22446</v>
      </c>
      <c r="F3520" t="s">
        <v>22447</v>
      </c>
      <c r="G3520" t="s">
        <v>22448</v>
      </c>
      <c r="H3520" t="s">
        <v>22449</v>
      </c>
      <c r="I3520" t="s">
        <v>22450</v>
      </c>
      <c r="J3520" t="s">
        <v>22445</v>
      </c>
      <c r="K3520" t="s">
        <v>22451</v>
      </c>
      <c r="L3520" t="s">
        <v>22445</v>
      </c>
    </row>
    <row r="3521" spans="1:12" x14ac:dyDescent="0.25">
      <c r="A3521">
        <v>627691</v>
      </c>
      <c r="B3521">
        <v>1850801</v>
      </c>
      <c r="D3521">
        <v>0</v>
      </c>
      <c r="E3521" t="s">
        <v>22453</v>
      </c>
      <c r="F3521" t="s">
        <v>22454</v>
      </c>
      <c r="G3521" t="s">
        <v>22455</v>
      </c>
      <c r="H3521" t="s">
        <v>22456</v>
      </c>
      <c r="I3521" t="s">
        <v>22457</v>
      </c>
      <c r="J3521" t="s">
        <v>22452</v>
      </c>
      <c r="K3521" t="s">
        <v>22458</v>
      </c>
      <c r="L3521" t="s">
        <v>22452</v>
      </c>
    </row>
    <row r="3522" spans="1:12" x14ac:dyDescent="0.25">
      <c r="A3522">
        <v>627813</v>
      </c>
      <c r="B3522">
        <v>1170429</v>
      </c>
      <c r="D3522">
        <v>0</v>
      </c>
      <c r="E3522" t="s">
        <v>22460</v>
      </c>
      <c r="F3522" t="s">
        <v>22461</v>
      </c>
      <c r="G3522" t="s">
        <v>22462</v>
      </c>
      <c r="H3522" t="e" vm="1553">
        <f>_FV(0,"02847883965121879")</f>
        <v>#VALUE!</v>
      </c>
      <c r="I3522" t="s">
        <v>22463</v>
      </c>
      <c r="J3522" t="s">
        <v>22464</v>
      </c>
      <c r="K3522" t="s">
        <v>22465</v>
      </c>
      <c r="L3522" t="s">
        <v>22459</v>
      </c>
    </row>
    <row r="3523" spans="1:12" x14ac:dyDescent="0.25">
      <c r="A3523">
        <v>627813</v>
      </c>
      <c r="B3523">
        <v>1170383</v>
      </c>
      <c r="D3523">
        <v>0</v>
      </c>
      <c r="E3523" t="s">
        <v>22467</v>
      </c>
      <c r="F3523" t="s">
        <v>22468</v>
      </c>
      <c r="G3523" t="s">
        <v>22469</v>
      </c>
      <c r="H3523" t="e" vm="1554">
        <f>_FV(0,"03607852543442525")</f>
        <v>#VALUE!</v>
      </c>
      <c r="I3523" t="s">
        <v>22470</v>
      </c>
      <c r="J3523" t="s">
        <v>22471</v>
      </c>
      <c r="K3523" t="s">
        <v>22472</v>
      </c>
      <c r="L3523" t="s">
        <v>22466</v>
      </c>
    </row>
    <row r="3524" spans="1:12" x14ac:dyDescent="0.25">
      <c r="A3524">
        <v>627828</v>
      </c>
      <c r="B3524">
        <v>1170401</v>
      </c>
      <c r="D3524">
        <v>0</v>
      </c>
      <c r="E3524" t="s">
        <v>22474</v>
      </c>
      <c r="F3524" t="s">
        <v>22475</v>
      </c>
      <c r="G3524" t="s">
        <v>22476</v>
      </c>
      <c r="H3524" t="s">
        <v>22477</v>
      </c>
      <c r="I3524" t="s">
        <v>22478</v>
      </c>
      <c r="J3524" t="s">
        <v>22473</v>
      </c>
      <c r="K3524" t="s">
        <v>22479</v>
      </c>
      <c r="L3524" t="s">
        <v>22473</v>
      </c>
    </row>
    <row r="3525" spans="1:12" x14ac:dyDescent="0.25">
      <c r="A3525">
        <v>627828</v>
      </c>
      <c r="B3525">
        <v>1170414</v>
      </c>
      <c r="D3525">
        <v>0</v>
      </c>
      <c r="E3525" t="s">
        <v>22481</v>
      </c>
      <c r="F3525" t="s">
        <v>22482</v>
      </c>
      <c r="G3525" t="s">
        <v>22483</v>
      </c>
      <c r="H3525" t="s">
        <v>22484</v>
      </c>
      <c r="I3525" t="s">
        <v>22485</v>
      </c>
      <c r="J3525" t="s">
        <v>22480</v>
      </c>
      <c r="K3525" t="s">
        <v>22486</v>
      </c>
      <c r="L3525" t="s">
        <v>22480</v>
      </c>
    </row>
    <row r="3526" spans="1:12" x14ac:dyDescent="0.25">
      <c r="A3526">
        <v>628008</v>
      </c>
      <c r="B3526">
        <v>628147</v>
      </c>
      <c r="C3526" t="s">
        <v>22488</v>
      </c>
      <c r="D3526" t="s">
        <v>22489</v>
      </c>
      <c r="E3526" t="s">
        <v>22490</v>
      </c>
      <c r="F3526" t="s">
        <v>22491</v>
      </c>
      <c r="G3526" t="s">
        <v>22492</v>
      </c>
      <c r="H3526" t="e" vm="1555">
        <f>_FV(0,"015724185513945464")</f>
        <v>#VALUE!</v>
      </c>
      <c r="I3526" t="s">
        <v>22493</v>
      </c>
      <c r="J3526" t="s">
        <v>22494</v>
      </c>
      <c r="K3526" t="s">
        <v>22495</v>
      </c>
      <c r="L3526" t="s">
        <v>22487</v>
      </c>
    </row>
    <row r="3527" spans="1:12" x14ac:dyDescent="0.25">
      <c r="A3527">
        <v>628147</v>
      </c>
      <c r="B3527">
        <v>1770623</v>
      </c>
      <c r="D3527">
        <v>0</v>
      </c>
      <c r="E3527" t="s">
        <v>22497</v>
      </c>
      <c r="F3527" t="s">
        <v>22498</v>
      </c>
      <c r="G3527" t="s">
        <v>22499</v>
      </c>
      <c r="H3527" t="s">
        <v>22500</v>
      </c>
      <c r="I3527" t="s">
        <v>22501</v>
      </c>
      <c r="J3527" t="s">
        <v>22496</v>
      </c>
      <c r="K3527" t="s">
        <v>22502</v>
      </c>
      <c r="L3527" t="s">
        <v>22496</v>
      </c>
    </row>
    <row r="3528" spans="1:12" x14ac:dyDescent="0.25">
      <c r="A3528">
        <v>628147</v>
      </c>
      <c r="B3528">
        <v>1770637</v>
      </c>
      <c r="D3528">
        <v>0</v>
      </c>
      <c r="E3528" t="s">
        <v>22504</v>
      </c>
      <c r="F3528" t="s">
        <v>22505</v>
      </c>
      <c r="G3528" t="s">
        <v>22506</v>
      </c>
      <c r="H3528" t="s">
        <v>22507</v>
      </c>
      <c r="I3528" t="s">
        <v>22508</v>
      </c>
      <c r="J3528" t="s">
        <v>22509</v>
      </c>
      <c r="K3528" t="s">
        <v>22510</v>
      </c>
      <c r="L3528" t="s">
        <v>22503</v>
      </c>
    </row>
    <row r="3529" spans="1:12" x14ac:dyDescent="0.25">
      <c r="A3529">
        <v>628154</v>
      </c>
      <c r="B3529">
        <v>1770592</v>
      </c>
      <c r="D3529">
        <v>0</v>
      </c>
      <c r="E3529" t="s">
        <v>22512</v>
      </c>
      <c r="F3529" t="s">
        <v>22513</v>
      </c>
      <c r="G3529" t="s">
        <v>22514</v>
      </c>
      <c r="H3529" t="e" vm="1556">
        <f>_FV(-1,"5699073456952273")</f>
        <v>#VALUE!</v>
      </c>
      <c r="I3529" t="s">
        <v>22515</v>
      </c>
      <c r="J3529" t="s">
        <v>22516</v>
      </c>
      <c r="K3529" t="s">
        <v>22517</v>
      </c>
      <c r="L3529" t="s">
        <v>22511</v>
      </c>
    </row>
    <row r="3530" spans="1:12" x14ac:dyDescent="0.25">
      <c r="A3530">
        <v>628154</v>
      </c>
      <c r="B3530">
        <v>1770608</v>
      </c>
      <c r="D3530">
        <v>0</v>
      </c>
      <c r="E3530" t="s">
        <v>22519</v>
      </c>
      <c r="F3530" t="s">
        <v>22520</v>
      </c>
      <c r="G3530" t="s">
        <v>22521</v>
      </c>
      <c r="H3530" t="e" vm="1557">
        <f>_FV(-1,"4598837519751822")</f>
        <v>#VALUE!</v>
      </c>
      <c r="I3530" t="s">
        <v>22522</v>
      </c>
      <c r="J3530" t="s">
        <v>22523</v>
      </c>
      <c r="K3530" t="s">
        <v>22524</v>
      </c>
      <c r="L3530" t="s">
        <v>22518</v>
      </c>
    </row>
    <row r="3531" spans="1:12" x14ac:dyDescent="0.25">
      <c r="A3531">
        <v>628790</v>
      </c>
      <c r="B3531">
        <v>628919</v>
      </c>
      <c r="D3531">
        <v>0</v>
      </c>
      <c r="E3531" t="s">
        <v>22526</v>
      </c>
      <c r="F3531" t="s">
        <v>22527</v>
      </c>
      <c r="G3531" t="s">
        <v>22528</v>
      </c>
      <c r="H3531" t="e" vm="1558">
        <f>_FV(0,"009709579045291624")</f>
        <v>#VALUE!</v>
      </c>
      <c r="I3531" t="s">
        <v>22529</v>
      </c>
      <c r="J3531" t="s">
        <v>22530</v>
      </c>
      <c r="K3531" t="s">
        <v>22531</v>
      </c>
      <c r="L3531" t="s">
        <v>22525</v>
      </c>
    </row>
    <row r="3532" spans="1:12" x14ac:dyDescent="0.25">
      <c r="A3532">
        <v>628919</v>
      </c>
      <c r="B3532">
        <v>1072471</v>
      </c>
      <c r="D3532">
        <v>0</v>
      </c>
      <c r="E3532" t="s">
        <v>22533</v>
      </c>
      <c r="F3532" t="s">
        <v>22534</v>
      </c>
      <c r="G3532" t="s">
        <v>22535</v>
      </c>
      <c r="H3532" t="s">
        <v>22536</v>
      </c>
      <c r="I3532" t="s">
        <v>22537</v>
      </c>
      <c r="J3532" t="s">
        <v>22538</v>
      </c>
      <c r="K3532" t="s">
        <v>22539</v>
      </c>
      <c r="L3532" t="s">
        <v>22532</v>
      </c>
    </row>
    <row r="3533" spans="1:12" x14ac:dyDescent="0.25">
      <c r="A3533">
        <v>628971</v>
      </c>
      <c r="B3533">
        <v>628981</v>
      </c>
      <c r="D3533">
        <v>0</v>
      </c>
      <c r="E3533" t="s">
        <v>22541</v>
      </c>
      <c r="F3533" t="s">
        <v>22542</v>
      </c>
      <c r="G3533" t="s">
        <v>22543</v>
      </c>
      <c r="H3533" t="s">
        <v>22544</v>
      </c>
      <c r="I3533" t="s">
        <v>22545</v>
      </c>
      <c r="J3533" t="s">
        <v>22546</v>
      </c>
      <c r="K3533" t="s">
        <v>22547</v>
      </c>
      <c r="L3533" t="s">
        <v>22540</v>
      </c>
    </row>
    <row r="3534" spans="1:12" x14ac:dyDescent="0.25">
      <c r="A3534">
        <v>628971</v>
      </c>
      <c r="B3534">
        <v>628981</v>
      </c>
      <c r="D3534">
        <v>0</v>
      </c>
      <c r="E3534" t="s">
        <v>22549</v>
      </c>
      <c r="F3534" t="s">
        <v>22550</v>
      </c>
      <c r="G3534" t="s">
        <v>22551</v>
      </c>
      <c r="H3534" t="s">
        <v>22552</v>
      </c>
      <c r="I3534" t="s">
        <v>22553</v>
      </c>
      <c r="J3534" t="s">
        <v>22554</v>
      </c>
      <c r="K3534" t="s">
        <v>22555</v>
      </c>
      <c r="L3534" t="s">
        <v>22548</v>
      </c>
    </row>
    <row r="3535" spans="1:12" x14ac:dyDescent="0.25">
      <c r="A3535">
        <v>629779</v>
      </c>
      <c r="B3535">
        <v>630261</v>
      </c>
      <c r="D3535">
        <v>0</v>
      </c>
      <c r="E3535" t="s">
        <v>22557</v>
      </c>
      <c r="F3535" t="s">
        <v>22558</v>
      </c>
      <c r="G3535" t="s">
        <v>22559</v>
      </c>
      <c r="H3535" t="e" vm="1559">
        <f>_FV(0,"012314953320245276")</f>
        <v>#VALUE!</v>
      </c>
      <c r="I3535" t="s">
        <v>22560</v>
      </c>
      <c r="J3535" t="s">
        <v>22561</v>
      </c>
      <c r="K3535" t="s">
        <v>22562</v>
      </c>
      <c r="L3535" t="s">
        <v>22556</v>
      </c>
    </row>
    <row r="3536" spans="1:12" x14ac:dyDescent="0.25">
      <c r="A3536">
        <v>629779</v>
      </c>
      <c r="B3536">
        <v>567100</v>
      </c>
      <c r="D3536">
        <v>0</v>
      </c>
      <c r="E3536" t="s">
        <v>22564</v>
      </c>
      <c r="F3536" t="s">
        <v>22565</v>
      </c>
      <c r="G3536" t="s">
        <v>22566</v>
      </c>
      <c r="H3536" t="s">
        <v>22567</v>
      </c>
      <c r="I3536" t="s">
        <v>22568</v>
      </c>
      <c r="J3536" t="s">
        <v>22569</v>
      </c>
      <c r="K3536" t="s">
        <v>22570</v>
      </c>
      <c r="L3536" t="s">
        <v>22563</v>
      </c>
    </row>
    <row r="3537" spans="1:12" x14ac:dyDescent="0.25">
      <c r="A3537">
        <v>630485</v>
      </c>
      <c r="B3537">
        <v>1176203</v>
      </c>
      <c r="D3537">
        <v>0</v>
      </c>
      <c r="F3537">
        <v>1258348</v>
      </c>
      <c r="G3537">
        <v>1176203</v>
      </c>
      <c r="H3537" t="s">
        <v>22571</v>
      </c>
      <c r="I3537">
        <v>630485</v>
      </c>
      <c r="J3537" t="s">
        <v>22571</v>
      </c>
      <c r="K3537" t="s">
        <v>22572</v>
      </c>
      <c r="L3537" t="s">
        <v>22571</v>
      </c>
    </row>
    <row r="3538" spans="1:12" x14ac:dyDescent="0.25">
      <c r="A3538">
        <v>632042</v>
      </c>
      <c r="B3538">
        <v>632058</v>
      </c>
      <c r="D3538">
        <v>0</v>
      </c>
      <c r="E3538" t="s">
        <v>22574</v>
      </c>
      <c r="F3538" t="s">
        <v>22575</v>
      </c>
      <c r="G3538" t="s">
        <v>22576</v>
      </c>
      <c r="H3538" t="s">
        <v>22577</v>
      </c>
      <c r="I3538" t="s">
        <v>22578</v>
      </c>
      <c r="J3538" t="s">
        <v>22579</v>
      </c>
      <c r="K3538" t="s">
        <v>22580</v>
      </c>
      <c r="L3538" t="s">
        <v>22573</v>
      </c>
    </row>
    <row r="3539" spans="1:12" x14ac:dyDescent="0.25">
      <c r="A3539">
        <v>632042</v>
      </c>
      <c r="B3539">
        <v>924946</v>
      </c>
      <c r="D3539">
        <v>0</v>
      </c>
      <c r="E3539" t="s">
        <v>22582</v>
      </c>
      <c r="F3539" t="s">
        <v>22583</v>
      </c>
      <c r="G3539" t="s">
        <v>22584</v>
      </c>
      <c r="H3539" t="e" vm="1560">
        <f>_FV(0,"22680113353129966")</f>
        <v>#VALUE!</v>
      </c>
      <c r="I3539" t="s">
        <v>22585</v>
      </c>
      <c r="J3539" t="s">
        <v>22586</v>
      </c>
      <c r="K3539" t="s">
        <v>22587</v>
      </c>
      <c r="L3539" t="s">
        <v>22581</v>
      </c>
    </row>
    <row r="3540" spans="1:12" x14ac:dyDescent="0.25">
      <c r="A3540">
        <v>632042</v>
      </c>
      <c r="B3540">
        <v>931449</v>
      </c>
      <c r="D3540">
        <v>0</v>
      </c>
      <c r="E3540" t="s">
        <v>22589</v>
      </c>
      <c r="F3540" t="s">
        <v>22590</v>
      </c>
      <c r="G3540" t="s">
        <v>22591</v>
      </c>
      <c r="H3540" t="e" vm="1561">
        <f>_FV(0,"21129206661793842")</f>
        <v>#VALUE!</v>
      </c>
      <c r="I3540" t="s">
        <v>22592</v>
      </c>
      <c r="J3540" t="s">
        <v>22593</v>
      </c>
      <c r="K3540" t="s">
        <v>22594</v>
      </c>
      <c r="L3540" t="s">
        <v>22588</v>
      </c>
    </row>
    <row r="3541" spans="1:12" x14ac:dyDescent="0.25">
      <c r="A3541">
        <v>632058</v>
      </c>
      <c r="B3541">
        <v>632079</v>
      </c>
      <c r="D3541" t="s">
        <v>204</v>
      </c>
      <c r="E3541" t="s">
        <v>22596</v>
      </c>
      <c r="F3541" t="s">
        <v>22597</v>
      </c>
      <c r="G3541" t="s">
        <v>22598</v>
      </c>
      <c r="H3541" t="e" vm="1562">
        <f>_FV(0,"10583376894276453")</f>
        <v>#VALUE!</v>
      </c>
      <c r="I3541" t="s">
        <v>22599</v>
      </c>
      <c r="J3541" t="s">
        <v>22600</v>
      </c>
      <c r="K3541" t="s">
        <v>22601</v>
      </c>
      <c r="L3541" t="s">
        <v>22595</v>
      </c>
    </row>
    <row r="3542" spans="1:12" x14ac:dyDescent="0.25">
      <c r="A3542">
        <v>632058</v>
      </c>
      <c r="B3542">
        <v>1147726</v>
      </c>
      <c r="D3542">
        <v>0</v>
      </c>
      <c r="E3542" t="s">
        <v>22603</v>
      </c>
      <c r="F3542" t="s">
        <v>22604</v>
      </c>
      <c r="G3542" t="s">
        <v>22605</v>
      </c>
      <c r="H3542" t="e" vm="1563">
        <f>_FV(0,"01693355488778085")</f>
        <v>#VALUE!</v>
      </c>
      <c r="I3542" t="s">
        <v>22606</v>
      </c>
      <c r="J3542" t="s">
        <v>22607</v>
      </c>
      <c r="K3542" t="s">
        <v>22608</v>
      </c>
      <c r="L3542" t="s">
        <v>22602</v>
      </c>
    </row>
    <row r="3543" spans="1:12" x14ac:dyDescent="0.25">
      <c r="A3543">
        <v>632079</v>
      </c>
      <c r="B3543">
        <v>632085</v>
      </c>
      <c r="D3543">
        <v>0</v>
      </c>
      <c r="F3543">
        <v>637242</v>
      </c>
      <c r="G3543">
        <v>632085</v>
      </c>
      <c r="H3543" t="s">
        <v>19420</v>
      </c>
      <c r="I3543">
        <v>632079</v>
      </c>
      <c r="J3543" t="s">
        <v>19420</v>
      </c>
      <c r="K3543" t="s">
        <v>22609</v>
      </c>
      <c r="L3543" t="s">
        <v>19420</v>
      </c>
    </row>
    <row r="3544" spans="1:12" x14ac:dyDescent="0.25">
      <c r="A3544">
        <v>632079</v>
      </c>
      <c r="B3544">
        <v>1161884</v>
      </c>
      <c r="D3544">
        <v>0</v>
      </c>
      <c r="E3544" t="s">
        <v>22611</v>
      </c>
      <c r="F3544" t="s">
        <v>22612</v>
      </c>
      <c r="G3544" t="s">
        <v>22613</v>
      </c>
      <c r="H3544" t="e" vm="1564">
        <f>_FV(0,"0005764556386451943")</f>
        <v>#VALUE!</v>
      </c>
      <c r="I3544" t="s">
        <v>22614</v>
      </c>
      <c r="J3544" t="s">
        <v>22615</v>
      </c>
      <c r="K3544" t="s">
        <v>22616</v>
      </c>
      <c r="L3544" t="s">
        <v>22610</v>
      </c>
    </row>
    <row r="3545" spans="1:12" x14ac:dyDescent="0.25">
      <c r="A3545">
        <v>632085</v>
      </c>
      <c r="B3545">
        <v>632092</v>
      </c>
      <c r="D3545">
        <v>0</v>
      </c>
      <c r="F3545">
        <v>637250</v>
      </c>
      <c r="G3545">
        <v>632092</v>
      </c>
      <c r="H3545" t="s">
        <v>2916</v>
      </c>
      <c r="I3545">
        <v>632085</v>
      </c>
      <c r="J3545" t="s">
        <v>2916</v>
      </c>
      <c r="K3545" t="s">
        <v>22617</v>
      </c>
      <c r="L3545" t="s">
        <v>2916</v>
      </c>
    </row>
    <row r="3546" spans="1:12" x14ac:dyDescent="0.25">
      <c r="A3546">
        <v>632085</v>
      </c>
      <c r="B3546">
        <v>1161884</v>
      </c>
      <c r="D3546">
        <v>0</v>
      </c>
      <c r="E3546" t="s">
        <v>22619</v>
      </c>
      <c r="F3546" t="s">
        <v>22620</v>
      </c>
      <c r="G3546" t="s">
        <v>22621</v>
      </c>
      <c r="H3546" t="s">
        <v>22622</v>
      </c>
      <c r="I3546" t="s">
        <v>22623</v>
      </c>
      <c r="J3546" t="s">
        <v>22618</v>
      </c>
      <c r="K3546" t="s">
        <v>22624</v>
      </c>
      <c r="L3546" t="s">
        <v>22618</v>
      </c>
    </row>
    <row r="3547" spans="1:12" x14ac:dyDescent="0.25">
      <c r="A3547">
        <v>632092</v>
      </c>
      <c r="B3547">
        <v>632207</v>
      </c>
      <c r="C3547" t="s">
        <v>22626</v>
      </c>
      <c r="D3547" t="s">
        <v>22627</v>
      </c>
      <c r="E3547" t="s">
        <v>22628</v>
      </c>
      <c r="F3547" t="s">
        <v>22629</v>
      </c>
      <c r="G3547" t="s">
        <v>22631</v>
      </c>
      <c r="H3547" t="e" vm="1565">
        <f>_FV(0,"009279658536996574")</f>
        <v>#VALUE!</v>
      </c>
      <c r="I3547" t="s">
        <v>22632</v>
      </c>
      <c r="J3547" t="s">
        <v>22633</v>
      </c>
      <c r="K3547" t="s">
        <v>22634</v>
      </c>
      <c r="L3547" t="s">
        <v>22625</v>
      </c>
    </row>
    <row r="3548" spans="1:12" x14ac:dyDescent="0.25">
      <c r="A3548">
        <v>632092</v>
      </c>
      <c r="B3548">
        <v>1143527</v>
      </c>
      <c r="D3548">
        <v>0</v>
      </c>
      <c r="E3548" t="s">
        <v>22636</v>
      </c>
      <c r="F3548" t="s">
        <v>22637</v>
      </c>
      <c r="G3548" t="s">
        <v>22638</v>
      </c>
      <c r="H3548" t="s">
        <v>22639</v>
      </c>
      <c r="I3548" t="s">
        <v>22640</v>
      </c>
      <c r="J3548" t="s">
        <v>22635</v>
      </c>
      <c r="K3548" t="s">
        <v>22641</v>
      </c>
      <c r="L3548" t="s">
        <v>22635</v>
      </c>
    </row>
    <row r="3549" spans="1:12" x14ac:dyDescent="0.25">
      <c r="A3549">
        <v>632207</v>
      </c>
      <c r="B3549">
        <v>632214</v>
      </c>
      <c r="D3549">
        <v>0</v>
      </c>
      <c r="F3549">
        <v>637394</v>
      </c>
      <c r="G3549">
        <v>632214</v>
      </c>
      <c r="H3549" t="e" vm="47">
        <f>_FV(0,"016")</f>
        <v>#VALUE!</v>
      </c>
      <c r="I3549">
        <v>632207</v>
      </c>
      <c r="J3549" t="s">
        <v>737</v>
      </c>
      <c r="K3549" t="s">
        <v>22642</v>
      </c>
      <c r="L3549" t="e" vm="47">
        <f>_FV(0,"016")</f>
        <v>#VALUE!</v>
      </c>
    </row>
    <row r="3550" spans="1:12" x14ac:dyDescent="0.25">
      <c r="A3550">
        <v>632207</v>
      </c>
      <c r="B3550">
        <v>1148220</v>
      </c>
      <c r="D3550">
        <v>0</v>
      </c>
      <c r="E3550" t="s">
        <v>22644</v>
      </c>
      <c r="F3550" t="s">
        <v>22645</v>
      </c>
      <c r="G3550" t="s">
        <v>22646</v>
      </c>
      <c r="H3550" t="s">
        <v>22647</v>
      </c>
      <c r="I3550" t="s">
        <v>22648</v>
      </c>
      <c r="J3550" t="s">
        <v>22649</v>
      </c>
      <c r="K3550" t="s">
        <v>22650</v>
      </c>
      <c r="L3550" t="s">
        <v>22643</v>
      </c>
    </row>
    <row r="3551" spans="1:12" x14ac:dyDescent="0.25">
      <c r="A3551">
        <v>632214</v>
      </c>
      <c r="B3551">
        <v>632222</v>
      </c>
      <c r="D3551">
        <v>0</v>
      </c>
      <c r="F3551">
        <v>637402</v>
      </c>
      <c r="G3551">
        <v>632222</v>
      </c>
      <c r="H3551" t="s">
        <v>6474</v>
      </c>
      <c r="I3551">
        <v>632214</v>
      </c>
      <c r="J3551" t="s">
        <v>6474</v>
      </c>
      <c r="K3551" t="s">
        <v>22651</v>
      </c>
      <c r="L3551" t="s">
        <v>6474</v>
      </c>
    </row>
    <row r="3552" spans="1:12" x14ac:dyDescent="0.25">
      <c r="A3552">
        <v>632214</v>
      </c>
      <c r="B3552">
        <v>1145784</v>
      </c>
      <c r="D3552">
        <v>0</v>
      </c>
      <c r="E3552" t="s">
        <v>22653</v>
      </c>
      <c r="F3552" t="s">
        <v>22654</v>
      </c>
      <c r="G3552" t="s">
        <v>22655</v>
      </c>
      <c r="H3552" t="e" vm="1566">
        <f>_FV(0,"1495651486172529")</f>
        <v>#VALUE!</v>
      </c>
      <c r="I3552" t="s">
        <v>22656</v>
      </c>
      <c r="J3552" t="s">
        <v>22657</v>
      </c>
      <c r="K3552" t="s">
        <v>22658</v>
      </c>
      <c r="L3552" t="s">
        <v>22652</v>
      </c>
    </row>
    <row r="3553" spans="1:12" x14ac:dyDescent="0.25">
      <c r="A3553">
        <v>632222</v>
      </c>
      <c r="B3553">
        <v>632227</v>
      </c>
      <c r="D3553">
        <v>0</v>
      </c>
      <c r="F3553">
        <v>637410</v>
      </c>
      <c r="G3553">
        <v>632227</v>
      </c>
      <c r="H3553" t="s">
        <v>30</v>
      </c>
      <c r="I3553">
        <v>632222</v>
      </c>
      <c r="J3553" t="s">
        <v>30</v>
      </c>
      <c r="K3553" t="s">
        <v>22659</v>
      </c>
      <c r="L3553" t="s">
        <v>30</v>
      </c>
    </row>
    <row r="3554" spans="1:12" x14ac:dyDescent="0.25">
      <c r="A3554">
        <v>632222</v>
      </c>
      <c r="B3554">
        <v>1148220</v>
      </c>
      <c r="D3554">
        <v>0</v>
      </c>
      <c r="E3554" t="s">
        <v>22661</v>
      </c>
      <c r="F3554" t="s">
        <v>22662</v>
      </c>
      <c r="G3554" t="s">
        <v>22663</v>
      </c>
      <c r="H3554" t="e" vm="1567">
        <f>_FV(0,"14016441102117988")</f>
        <v>#VALUE!</v>
      </c>
      <c r="I3554" t="s">
        <v>22664</v>
      </c>
      <c r="J3554" t="s">
        <v>22665</v>
      </c>
      <c r="K3554" t="s">
        <v>22666</v>
      </c>
      <c r="L3554" t="s">
        <v>22660</v>
      </c>
    </row>
    <row r="3555" spans="1:12" x14ac:dyDescent="0.25">
      <c r="A3555">
        <v>632227</v>
      </c>
      <c r="B3555">
        <v>1145784</v>
      </c>
      <c r="D3555">
        <v>0</v>
      </c>
      <c r="E3555" t="s">
        <v>22668</v>
      </c>
      <c r="F3555" t="s">
        <v>22669</v>
      </c>
      <c r="G3555" t="s">
        <v>22670</v>
      </c>
      <c r="H3555" t="s">
        <v>22671</v>
      </c>
      <c r="I3555" t="s">
        <v>22672</v>
      </c>
      <c r="J3555" t="s">
        <v>22667</v>
      </c>
      <c r="K3555" t="s">
        <v>22673</v>
      </c>
      <c r="L3555" t="s">
        <v>22667</v>
      </c>
    </row>
    <row r="3556" spans="1:12" x14ac:dyDescent="0.25">
      <c r="A3556">
        <v>633548</v>
      </c>
      <c r="B3556">
        <v>633556</v>
      </c>
      <c r="D3556">
        <v>0</v>
      </c>
      <c r="F3556">
        <v>638956</v>
      </c>
      <c r="G3556">
        <v>633556</v>
      </c>
      <c r="H3556" t="e" vm="355">
        <f>_FV(0,"048")</f>
        <v>#VALUE!</v>
      </c>
      <c r="I3556">
        <v>633548</v>
      </c>
      <c r="J3556" t="s">
        <v>3758</v>
      </c>
      <c r="K3556" t="s">
        <v>22674</v>
      </c>
      <c r="L3556" t="e" vm="355">
        <f>_FV(0,"048")</f>
        <v>#VALUE!</v>
      </c>
    </row>
    <row r="3557" spans="1:12" x14ac:dyDescent="0.25">
      <c r="A3557">
        <v>633548</v>
      </c>
      <c r="B3557">
        <v>1551469</v>
      </c>
      <c r="D3557">
        <v>0</v>
      </c>
      <c r="E3557" t="s">
        <v>22676</v>
      </c>
      <c r="F3557" t="s">
        <v>22677</v>
      </c>
      <c r="G3557" t="s">
        <v>22678</v>
      </c>
      <c r="H3557" t="s">
        <v>22679</v>
      </c>
      <c r="I3557" t="s">
        <v>22680</v>
      </c>
      <c r="J3557" t="s">
        <v>22675</v>
      </c>
      <c r="K3557" t="s">
        <v>22681</v>
      </c>
      <c r="L3557" t="s">
        <v>22675</v>
      </c>
    </row>
    <row r="3558" spans="1:12" x14ac:dyDescent="0.25">
      <c r="A3558">
        <v>633548</v>
      </c>
      <c r="B3558">
        <v>633563</v>
      </c>
      <c r="D3558">
        <v>0</v>
      </c>
      <c r="E3558" t="s">
        <v>22683</v>
      </c>
      <c r="F3558" t="s">
        <v>22684</v>
      </c>
      <c r="G3558" t="s">
        <v>22685</v>
      </c>
      <c r="H3558" t="s">
        <v>22686</v>
      </c>
      <c r="I3558" t="s">
        <v>22687</v>
      </c>
      <c r="J3558" t="s">
        <v>22688</v>
      </c>
      <c r="K3558" t="s">
        <v>22689</v>
      </c>
      <c r="L3558" t="s">
        <v>22682</v>
      </c>
    </row>
    <row r="3559" spans="1:12" x14ac:dyDescent="0.25">
      <c r="A3559">
        <v>633556</v>
      </c>
      <c r="B3559">
        <v>633563</v>
      </c>
      <c r="D3559">
        <v>0</v>
      </c>
      <c r="F3559">
        <v>638964</v>
      </c>
      <c r="G3559">
        <v>633563</v>
      </c>
      <c r="H3559" t="e" vm="625">
        <f>_FV(0,"015")</f>
        <v>#VALUE!</v>
      </c>
      <c r="I3559">
        <v>633556</v>
      </c>
      <c r="J3559" t="s">
        <v>6474</v>
      </c>
      <c r="K3559" t="s">
        <v>22690</v>
      </c>
      <c r="L3559" t="e" vm="625">
        <f>_FV(0,"015")</f>
        <v>#VALUE!</v>
      </c>
    </row>
    <row r="3560" spans="1:12" x14ac:dyDescent="0.25">
      <c r="A3560">
        <v>633556</v>
      </c>
      <c r="B3560">
        <v>1280442</v>
      </c>
      <c r="D3560" t="s">
        <v>514</v>
      </c>
      <c r="E3560" t="s">
        <v>22692</v>
      </c>
      <c r="F3560" t="s">
        <v>22693</v>
      </c>
      <c r="G3560" t="s">
        <v>22694</v>
      </c>
      <c r="H3560" t="e" vm="1568">
        <f>_FV(0,"00749729390878274")</f>
        <v>#VALUE!</v>
      </c>
      <c r="I3560" t="s">
        <v>22695</v>
      </c>
      <c r="J3560" t="s">
        <v>22696</v>
      </c>
      <c r="K3560" t="s">
        <v>22697</v>
      </c>
      <c r="L3560" t="s">
        <v>22691</v>
      </c>
    </row>
    <row r="3561" spans="1:12" x14ac:dyDescent="0.25">
      <c r="A3561">
        <v>633563</v>
      </c>
      <c r="B3561">
        <v>1280437</v>
      </c>
      <c r="D3561" t="s">
        <v>514</v>
      </c>
      <c r="E3561" t="s">
        <v>22699</v>
      </c>
      <c r="F3561" t="s">
        <v>22700</v>
      </c>
      <c r="G3561" t="s">
        <v>22701</v>
      </c>
      <c r="H3561" t="e" vm="1569">
        <f>_FV(0,"06789755384433702")</f>
        <v>#VALUE!</v>
      </c>
      <c r="I3561" t="s">
        <v>22702</v>
      </c>
      <c r="J3561" t="s">
        <v>22703</v>
      </c>
      <c r="K3561" t="s">
        <v>22704</v>
      </c>
      <c r="L3561" t="s">
        <v>22698</v>
      </c>
    </row>
    <row r="3562" spans="1:12" x14ac:dyDescent="0.25">
      <c r="A3562">
        <v>634037</v>
      </c>
      <c r="B3562">
        <v>634065</v>
      </c>
      <c r="D3562">
        <v>0</v>
      </c>
      <c r="F3562">
        <v>1407810</v>
      </c>
      <c r="G3562">
        <v>634065</v>
      </c>
      <c r="H3562" t="s">
        <v>194</v>
      </c>
      <c r="I3562">
        <v>634037</v>
      </c>
      <c r="J3562" t="s">
        <v>194</v>
      </c>
      <c r="K3562" t="s">
        <v>22705</v>
      </c>
      <c r="L3562" t="s">
        <v>194</v>
      </c>
    </row>
    <row r="3563" spans="1:12" x14ac:dyDescent="0.25">
      <c r="A3563">
        <v>634046</v>
      </c>
      <c r="B3563">
        <v>634052</v>
      </c>
      <c r="D3563">
        <v>0</v>
      </c>
      <c r="E3563" t="s">
        <v>22707</v>
      </c>
      <c r="F3563" t="s">
        <v>22708</v>
      </c>
      <c r="G3563" t="s">
        <v>22709</v>
      </c>
      <c r="H3563" t="e" vm="1570">
        <f>_FV(0,"012583677228674425")</f>
        <v>#VALUE!</v>
      </c>
      <c r="I3563" t="s">
        <v>22710</v>
      </c>
      <c r="J3563" t="s">
        <v>22711</v>
      </c>
      <c r="K3563" t="s">
        <v>22712</v>
      </c>
      <c r="L3563" t="s">
        <v>22706</v>
      </c>
    </row>
    <row r="3564" spans="1:12" x14ac:dyDescent="0.25">
      <c r="A3564">
        <v>634046</v>
      </c>
      <c r="B3564">
        <v>634052</v>
      </c>
      <c r="D3564">
        <v>0</v>
      </c>
      <c r="E3564" t="s">
        <v>22714</v>
      </c>
      <c r="F3564" t="s">
        <v>22715</v>
      </c>
      <c r="G3564" t="s">
        <v>22716</v>
      </c>
      <c r="H3564" t="e" vm="1571">
        <f>_FV(0,"012717592647182781")</f>
        <v>#VALUE!</v>
      </c>
      <c r="I3564" t="s">
        <v>22717</v>
      </c>
      <c r="J3564" t="s">
        <v>22718</v>
      </c>
      <c r="K3564" t="s">
        <v>22719</v>
      </c>
      <c r="L3564" t="s">
        <v>22713</v>
      </c>
    </row>
    <row r="3565" spans="1:12" x14ac:dyDescent="0.25">
      <c r="A3565">
        <v>634046</v>
      </c>
      <c r="B3565">
        <v>1854875</v>
      </c>
      <c r="C3565" t="s">
        <v>22720</v>
      </c>
      <c r="D3565">
        <v>0</v>
      </c>
      <c r="E3565" t="s">
        <v>22721</v>
      </c>
      <c r="H3565" t="s">
        <v>187</v>
      </c>
      <c r="J3565">
        <v>0</v>
      </c>
      <c r="K3565" t="s">
        <v>21900</v>
      </c>
      <c r="L3565">
        <v>0</v>
      </c>
    </row>
    <row r="3566" spans="1:12" x14ac:dyDescent="0.25">
      <c r="A3566">
        <v>634052</v>
      </c>
      <c r="B3566">
        <v>1854809</v>
      </c>
      <c r="D3566">
        <v>0</v>
      </c>
      <c r="E3566" t="s">
        <v>22722</v>
      </c>
      <c r="H3566" t="s">
        <v>187</v>
      </c>
      <c r="J3566">
        <v>0</v>
      </c>
      <c r="K3566" t="s">
        <v>22723</v>
      </c>
      <c r="L3566">
        <v>0</v>
      </c>
    </row>
    <row r="3567" spans="1:12" x14ac:dyDescent="0.25">
      <c r="A3567">
        <v>634065</v>
      </c>
      <c r="B3567">
        <v>634066</v>
      </c>
      <c r="D3567">
        <v>0</v>
      </c>
      <c r="F3567">
        <v>639512</v>
      </c>
      <c r="G3567">
        <v>634066</v>
      </c>
      <c r="H3567" t="s">
        <v>2916</v>
      </c>
      <c r="I3567">
        <v>634065</v>
      </c>
      <c r="J3567" t="s">
        <v>2916</v>
      </c>
      <c r="K3567" t="s">
        <v>22724</v>
      </c>
      <c r="L3567" t="s">
        <v>2916</v>
      </c>
    </row>
    <row r="3568" spans="1:12" x14ac:dyDescent="0.25">
      <c r="A3568">
        <v>634065</v>
      </c>
      <c r="B3568">
        <v>1291443</v>
      </c>
      <c r="D3568">
        <v>0</v>
      </c>
      <c r="E3568" t="s">
        <v>22726</v>
      </c>
      <c r="F3568" t="s">
        <v>22727</v>
      </c>
      <c r="G3568" t="s">
        <v>22728</v>
      </c>
      <c r="H3568" t="s">
        <v>22729</v>
      </c>
      <c r="I3568" t="s">
        <v>22730</v>
      </c>
      <c r="J3568" t="s">
        <v>22731</v>
      </c>
      <c r="K3568" t="s">
        <v>22732</v>
      </c>
      <c r="L3568" t="s">
        <v>22725</v>
      </c>
    </row>
    <row r="3569" spans="1:12" x14ac:dyDescent="0.25">
      <c r="A3569">
        <v>634066</v>
      </c>
      <c r="B3569">
        <v>634091</v>
      </c>
      <c r="D3569">
        <v>0</v>
      </c>
      <c r="E3569" t="s">
        <v>22734</v>
      </c>
      <c r="F3569" t="s">
        <v>22735</v>
      </c>
      <c r="G3569" t="s">
        <v>22736</v>
      </c>
      <c r="H3569" t="s">
        <v>22737</v>
      </c>
      <c r="I3569" t="s">
        <v>22738</v>
      </c>
      <c r="J3569" t="s">
        <v>22733</v>
      </c>
      <c r="K3569" t="s">
        <v>22739</v>
      </c>
      <c r="L3569" t="s">
        <v>22733</v>
      </c>
    </row>
    <row r="3570" spans="1:12" x14ac:dyDescent="0.25">
      <c r="A3570">
        <v>634091</v>
      </c>
      <c r="B3570">
        <v>634132</v>
      </c>
      <c r="D3570">
        <v>0</v>
      </c>
      <c r="E3570" t="s">
        <v>22741</v>
      </c>
      <c r="F3570" t="s">
        <v>22742</v>
      </c>
      <c r="G3570" t="s">
        <v>22743</v>
      </c>
      <c r="H3570" t="e" vm="1572">
        <f>_FV(0,"0026055599410771554")</f>
        <v>#VALUE!</v>
      </c>
      <c r="I3570" t="s">
        <v>22744</v>
      </c>
      <c r="J3570" t="s">
        <v>22745</v>
      </c>
      <c r="K3570" t="s">
        <v>22746</v>
      </c>
      <c r="L3570" t="s">
        <v>22740</v>
      </c>
    </row>
    <row r="3571" spans="1:12" x14ac:dyDescent="0.25">
      <c r="A3571">
        <v>634132</v>
      </c>
      <c r="B3571">
        <v>634185</v>
      </c>
      <c r="D3571" t="s">
        <v>22748</v>
      </c>
      <c r="E3571" t="s">
        <v>22749</v>
      </c>
      <c r="F3571" t="s">
        <v>22750</v>
      </c>
      <c r="G3571" t="s">
        <v>22751</v>
      </c>
      <c r="H3571" t="s">
        <v>22752</v>
      </c>
      <c r="I3571" t="s">
        <v>22753</v>
      </c>
      <c r="J3571" t="s">
        <v>22754</v>
      </c>
      <c r="K3571" t="s">
        <v>22755</v>
      </c>
      <c r="L3571" t="s">
        <v>22747</v>
      </c>
    </row>
    <row r="3572" spans="1:12" x14ac:dyDescent="0.25">
      <c r="A3572">
        <v>634132</v>
      </c>
      <c r="B3572">
        <v>1291336</v>
      </c>
      <c r="D3572">
        <v>0</v>
      </c>
      <c r="F3572">
        <v>2123413</v>
      </c>
      <c r="G3572">
        <v>634132</v>
      </c>
      <c r="H3572" t="s">
        <v>21527</v>
      </c>
      <c r="I3572">
        <v>1291336</v>
      </c>
      <c r="J3572" t="s">
        <v>21527</v>
      </c>
      <c r="K3572" t="s">
        <v>22756</v>
      </c>
      <c r="L3572" t="s">
        <v>21527</v>
      </c>
    </row>
    <row r="3573" spans="1:12" x14ac:dyDescent="0.25">
      <c r="A3573">
        <v>634214</v>
      </c>
      <c r="B3573">
        <v>1035179</v>
      </c>
      <c r="D3573" t="s">
        <v>22758</v>
      </c>
      <c r="E3573" t="s">
        <v>22759</v>
      </c>
      <c r="F3573" t="s">
        <v>22760</v>
      </c>
      <c r="G3573" t="s">
        <v>22761</v>
      </c>
      <c r="H3573" t="s">
        <v>22762</v>
      </c>
      <c r="I3573" t="s">
        <v>22763</v>
      </c>
      <c r="J3573" t="s">
        <v>22764</v>
      </c>
      <c r="K3573" t="s">
        <v>22765</v>
      </c>
      <c r="L3573" t="s">
        <v>22757</v>
      </c>
    </row>
    <row r="3574" spans="1:12" x14ac:dyDescent="0.25">
      <c r="A3574">
        <v>634220</v>
      </c>
      <c r="B3574">
        <v>634258</v>
      </c>
      <c r="D3574">
        <v>0</v>
      </c>
      <c r="E3574" t="s">
        <v>22767</v>
      </c>
      <c r="F3574" t="s">
        <v>22768</v>
      </c>
      <c r="G3574" t="s">
        <v>22769</v>
      </c>
      <c r="H3574" t="s">
        <v>22770</v>
      </c>
      <c r="I3574" t="s">
        <v>22771</v>
      </c>
      <c r="J3574" t="s">
        <v>22772</v>
      </c>
      <c r="K3574" t="s">
        <v>22773</v>
      </c>
      <c r="L3574" t="s">
        <v>22766</v>
      </c>
    </row>
    <row r="3575" spans="1:12" x14ac:dyDescent="0.25">
      <c r="A3575">
        <v>634285</v>
      </c>
      <c r="B3575">
        <v>1303484</v>
      </c>
      <c r="D3575" t="s">
        <v>10405</v>
      </c>
      <c r="E3575" t="s">
        <v>22775</v>
      </c>
      <c r="F3575" t="s">
        <v>22776</v>
      </c>
      <c r="G3575" t="s">
        <v>22777</v>
      </c>
      <c r="H3575" t="s">
        <v>22778</v>
      </c>
      <c r="I3575" t="s">
        <v>22779</v>
      </c>
      <c r="J3575" t="s">
        <v>22774</v>
      </c>
      <c r="K3575" t="s">
        <v>22780</v>
      </c>
      <c r="L3575" t="s">
        <v>22774</v>
      </c>
    </row>
    <row r="3576" spans="1:12" x14ac:dyDescent="0.25">
      <c r="A3576">
        <v>634304</v>
      </c>
      <c r="B3576">
        <v>634328</v>
      </c>
      <c r="D3576">
        <v>0</v>
      </c>
      <c r="E3576" t="s">
        <v>22782</v>
      </c>
      <c r="F3576" t="s">
        <v>22783</v>
      </c>
      <c r="G3576" t="s">
        <v>22784</v>
      </c>
      <c r="H3576" t="e" vm="1573">
        <f>_FV(0,"04262654578793375")</f>
        <v>#VALUE!</v>
      </c>
      <c r="I3576" t="s">
        <v>22785</v>
      </c>
      <c r="J3576" t="s">
        <v>22786</v>
      </c>
      <c r="K3576" t="s">
        <v>22787</v>
      </c>
      <c r="L3576" t="s">
        <v>22781</v>
      </c>
    </row>
    <row r="3577" spans="1:12" x14ac:dyDescent="0.25">
      <c r="A3577">
        <v>636874</v>
      </c>
      <c r="B3577">
        <v>636884</v>
      </c>
      <c r="C3577" t="s">
        <v>22789</v>
      </c>
      <c r="D3577">
        <v>0</v>
      </c>
      <c r="E3577" t="s">
        <v>22790</v>
      </c>
      <c r="F3577" t="s">
        <v>22791</v>
      </c>
      <c r="G3577" t="s">
        <v>22792</v>
      </c>
      <c r="H3577" t="e" vm="1574">
        <f>_FV(0,"0038682066593107006")</f>
        <v>#VALUE!</v>
      </c>
      <c r="I3577" t="s">
        <v>22793</v>
      </c>
      <c r="J3577" t="s">
        <v>3872</v>
      </c>
      <c r="K3577" t="s">
        <v>22794</v>
      </c>
      <c r="L3577" t="s">
        <v>22788</v>
      </c>
    </row>
    <row r="3578" spans="1:12" x14ac:dyDescent="0.25">
      <c r="A3578">
        <v>636874</v>
      </c>
      <c r="B3578">
        <v>1753950</v>
      </c>
      <c r="D3578" t="s">
        <v>1866</v>
      </c>
      <c r="E3578" t="s">
        <v>22796</v>
      </c>
      <c r="F3578" t="s">
        <v>22797</v>
      </c>
      <c r="G3578" t="s">
        <v>22798</v>
      </c>
      <c r="H3578" t="s">
        <v>22799</v>
      </c>
      <c r="I3578" t="s">
        <v>22800</v>
      </c>
      <c r="J3578" t="s">
        <v>22801</v>
      </c>
      <c r="K3578" t="s">
        <v>22802</v>
      </c>
      <c r="L3578" t="s">
        <v>22795</v>
      </c>
    </row>
    <row r="3579" spans="1:12" x14ac:dyDescent="0.25">
      <c r="A3579">
        <v>636874</v>
      </c>
      <c r="B3579">
        <v>636937</v>
      </c>
      <c r="D3579">
        <v>0</v>
      </c>
      <c r="E3579" t="s">
        <v>22804</v>
      </c>
      <c r="F3579" t="s">
        <v>22805</v>
      </c>
      <c r="G3579" t="s">
        <v>22806</v>
      </c>
      <c r="H3579" t="e" vm="1575">
        <f>_FV(0,"042973936409210045")</f>
        <v>#VALUE!</v>
      </c>
      <c r="I3579" t="s">
        <v>22807</v>
      </c>
      <c r="J3579" t="s">
        <v>22808</v>
      </c>
      <c r="K3579" t="s">
        <v>22809</v>
      </c>
      <c r="L3579" t="s">
        <v>22803</v>
      </c>
    </row>
    <row r="3580" spans="1:12" x14ac:dyDescent="0.25">
      <c r="A3580">
        <v>636884</v>
      </c>
      <c r="B3580">
        <v>1633182</v>
      </c>
      <c r="D3580" t="s">
        <v>22811</v>
      </c>
      <c r="E3580" t="s">
        <v>22812</v>
      </c>
      <c r="F3580" t="s">
        <v>22813</v>
      </c>
      <c r="G3580" t="s">
        <v>22814</v>
      </c>
      <c r="H3580" t="s">
        <v>22815</v>
      </c>
      <c r="I3580" t="s">
        <v>22816</v>
      </c>
      <c r="J3580" t="s">
        <v>22817</v>
      </c>
      <c r="K3580" t="s">
        <v>22818</v>
      </c>
      <c r="L3580" t="s">
        <v>22810</v>
      </c>
    </row>
    <row r="3581" spans="1:12" x14ac:dyDescent="0.25">
      <c r="A3581">
        <v>636884</v>
      </c>
      <c r="B3581">
        <v>636918</v>
      </c>
      <c r="D3581">
        <v>0</v>
      </c>
      <c r="E3581" t="s">
        <v>22820</v>
      </c>
      <c r="F3581" t="s">
        <v>22821</v>
      </c>
      <c r="G3581" t="s">
        <v>22822</v>
      </c>
      <c r="H3581" t="e" vm="1576">
        <f>_FV(0,"006208099755102608")</f>
        <v>#VALUE!</v>
      </c>
      <c r="I3581" t="s">
        <v>22823</v>
      </c>
      <c r="J3581" t="s">
        <v>22824</v>
      </c>
      <c r="K3581" t="s">
        <v>22825</v>
      </c>
      <c r="L3581" t="s">
        <v>22819</v>
      </c>
    </row>
    <row r="3582" spans="1:12" x14ac:dyDescent="0.25">
      <c r="A3582">
        <v>636884</v>
      </c>
      <c r="B3582">
        <v>636937</v>
      </c>
      <c r="C3582" t="s">
        <v>22827</v>
      </c>
      <c r="D3582">
        <v>0</v>
      </c>
      <c r="E3582" t="s">
        <v>22828</v>
      </c>
      <c r="F3582" t="s">
        <v>22829</v>
      </c>
      <c r="G3582" t="s">
        <v>22830</v>
      </c>
      <c r="H3582" t="e" vm="1577">
        <f>_FV(0,"029871095297128968")</f>
        <v>#VALUE!</v>
      </c>
      <c r="I3582" t="s">
        <v>22831</v>
      </c>
      <c r="J3582" t="s">
        <v>22832</v>
      </c>
      <c r="K3582" t="s">
        <v>22833</v>
      </c>
      <c r="L3582" t="s">
        <v>22826</v>
      </c>
    </row>
    <row r="3583" spans="1:12" x14ac:dyDescent="0.25">
      <c r="A3583">
        <v>636895</v>
      </c>
      <c r="B3583">
        <v>636911</v>
      </c>
      <c r="C3583" t="s">
        <v>22835</v>
      </c>
      <c r="D3583">
        <v>0</v>
      </c>
      <c r="E3583" t="s">
        <v>22836</v>
      </c>
      <c r="F3583" t="s">
        <v>22837</v>
      </c>
      <c r="G3583" t="s">
        <v>22838</v>
      </c>
      <c r="H3583" t="s">
        <v>22839</v>
      </c>
      <c r="I3583" t="s">
        <v>22840</v>
      </c>
      <c r="J3583" t="s">
        <v>22834</v>
      </c>
      <c r="K3583" t="s">
        <v>22841</v>
      </c>
      <c r="L3583" t="s">
        <v>22834</v>
      </c>
    </row>
    <row r="3584" spans="1:12" x14ac:dyDescent="0.25">
      <c r="A3584">
        <v>636895</v>
      </c>
      <c r="B3584">
        <v>1753950</v>
      </c>
      <c r="D3584">
        <v>0</v>
      </c>
      <c r="E3584" t="s">
        <v>22843</v>
      </c>
      <c r="F3584" t="s">
        <v>22844</v>
      </c>
      <c r="G3584" t="s">
        <v>22845</v>
      </c>
      <c r="H3584" t="s">
        <v>22846</v>
      </c>
      <c r="I3584" t="s">
        <v>22847</v>
      </c>
      <c r="J3584" t="s">
        <v>22848</v>
      </c>
      <c r="K3584" t="s">
        <v>22849</v>
      </c>
      <c r="L3584" t="s">
        <v>22842</v>
      </c>
    </row>
    <row r="3585" spans="1:12" x14ac:dyDescent="0.25">
      <c r="A3585">
        <v>636895</v>
      </c>
      <c r="B3585">
        <v>1753953</v>
      </c>
      <c r="D3585">
        <v>0</v>
      </c>
      <c r="E3585" t="s">
        <v>22851</v>
      </c>
      <c r="F3585" t="s">
        <v>22852</v>
      </c>
      <c r="G3585" t="s">
        <v>22853</v>
      </c>
      <c r="H3585" t="e" vm="1578">
        <f>_FV(0,"8898238720986542")</f>
        <v>#VALUE!</v>
      </c>
      <c r="I3585" t="s">
        <v>22854</v>
      </c>
      <c r="J3585" t="s">
        <v>22855</v>
      </c>
      <c r="K3585" t="s">
        <v>22856</v>
      </c>
      <c r="L3585" t="s">
        <v>22850</v>
      </c>
    </row>
    <row r="3586" spans="1:12" x14ac:dyDescent="0.25">
      <c r="A3586">
        <v>636911</v>
      </c>
      <c r="B3586">
        <v>636937</v>
      </c>
      <c r="D3586">
        <v>0</v>
      </c>
      <c r="E3586" t="s">
        <v>22858</v>
      </c>
      <c r="F3586" t="s">
        <v>22859</v>
      </c>
      <c r="G3586" t="s">
        <v>22860</v>
      </c>
      <c r="H3586" t="e" vm="1579">
        <f>_FV(0,"07987379562318864")</f>
        <v>#VALUE!</v>
      </c>
      <c r="I3586" t="s">
        <v>22861</v>
      </c>
      <c r="J3586" t="s">
        <v>22862</v>
      </c>
      <c r="K3586" t="s">
        <v>22863</v>
      </c>
      <c r="L3586" t="s">
        <v>22857</v>
      </c>
    </row>
    <row r="3587" spans="1:12" x14ac:dyDescent="0.25">
      <c r="A3587">
        <v>636911</v>
      </c>
      <c r="B3587">
        <v>1753932</v>
      </c>
      <c r="D3587">
        <v>0</v>
      </c>
      <c r="E3587" t="s">
        <v>22865</v>
      </c>
      <c r="F3587" t="s">
        <v>22866</v>
      </c>
      <c r="G3587" t="s">
        <v>22867</v>
      </c>
      <c r="H3587" t="e" vm="1580">
        <f>_FV(0,"0033604877140056433")</f>
        <v>#VALUE!</v>
      </c>
      <c r="I3587" t="s">
        <v>22868</v>
      </c>
      <c r="J3587" t="s">
        <v>22869</v>
      </c>
      <c r="K3587" t="s">
        <v>22870</v>
      </c>
      <c r="L3587" t="s">
        <v>22864</v>
      </c>
    </row>
    <row r="3588" spans="1:12" x14ac:dyDescent="0.25">
      <c r="A3588">
        <v>636918</v>
      </c>
      <c r="B3588">
        <v>1757641</v>
      </c>
      <c r="D3588">
        <v>0</v>
      </c>
      <c r="E3588" t="s">
        <v>22872</v>
      </c>
      <c r="F3588" t="s">
        <v>22873</v>
      </c>
      <c r="G3588" t="s">
        <v>22874</v>
      </c>
      <c r="H3588" t="s">
        <v>22875</v>
      </c>
      <c r="I3588" t="s">
        <v>22876</v>
      </c>
      <c r="J3588" t="s">
        <v>22877</v>
      </c>
      <c r="K3588" t="s">
        <v>22878</v>
      </c>
      <c r="L3588" t="s">
        <v>22871</v>
      </c>
    </row>
    <row r="3589" spans="1:12" x14ac:dyDescent="0.25">
      <c r="A3589">
        <v>636918</v>
      </c>
      <c r="B3589">
        <v>1753953</v>
      </c>
      <c r="D3589">
        <v>0</v>
      </c>
      <c r="F3589">
        <v>2007824</v>
      </c>
      <c r="G3589">
        <v>636918</v>
      </c>
      <c r="H3589" t="e" vm="1581">
        <f>_FV(0,"862")</f>
        <v>#VALUE!</v>
      </c>
      <c r="I3589">
        <v>1753953</v>
      </c>
      <c r="J3589" t="s">
        <v>22879</v>
      </c>
      <c r="K3589" t="s">
        <v>22880</v>
      </c>
      <c r="L3589" t="e" vm="1581">
        <f>_FV(0,"862")</f>
        <v>#VALUE!</v>
      </c>
    </row>
    <row r="3590" spans="1:12" x14ac:dyDescent="0.25">
      <c r="A3590">
        <v>638909</v>
      </c>
      <c r="B3590">
        <v>1086235</v>
      </c>
      <c r="D3590">
        <v>0</v>
      </c>
      <c r="E3590" t="s">
        <v>22882</v>
      </c>
      <c r="F3590" t="s">
        <v>22883</v>
      </c>
      <c r="G3590" t="s">
        <v>22884</v>
      </c>
      <c r="H3590" t="e" vm="1582">
        <f>_FV(0,"004362302090556648")</f>
        <v>#VALUE!</v>
      </c>
      <c r="I3590" t="s">
        <v>22885</v>
      </c>
      <c r="J3590" t="s">
        <v>22886</v>
      </c>
      <c r="K3590" t="s">
        <v>22887</v>
      </c>
      <c r="L3590" t="s">
        <v>22881</v>
      </c>
    </row>
    <row r="3591" spans="1:12" x14ac:dyDescent="0.25">
      <c r="A3591">
        <v>638909</v>
      </c>
      <c r="B3591">
        <v>736316</v>
      </c>
      <c r="D3591">
        <v>0</v>
      </c>
      <c r="E3591" t="s">
        <v>22889</v>
      </c>
      <c r="F3591" t="s">
        <v>22890</v>
      </c>
      <c r="G3591" t="s">
        <v>22891</v>
      </c>
      <c r="H3591" t="e" vm="1583">
        <f>_FV(0,"0008278393167618033")</f>
        <v>#VALUE!</v>
      </c>
      <c r="I3591" t="s">
        <v>22892</v>
      </c>
      <c r="J3591" t="s">
        <v>4947</v>
      </c>
      <c r="K3591" t="s">
        <v>22893</v>
      </c>
      <c r="L3591" t="s">
        <v>22888</v>
      </c>
    </row>
    <row r="3592" spans="1:12" x14ac:dyDescent="0.25">
      <c r="A3592">
        <v>638909</v>
      </c>
      <c r="B3592">
        <v>736303</v>
      </c>
      <c r="D3592">
        <v>0</v>
      </c>
      <c r="F3592">
        <v>755609</v>
      </c>
      <c r="G3592">
        <v>638909</v>
      </c>
      <c r="H3592" t="s">
        <v>737</v>
      </c>
      <c r="I3592">
        <v>736303</v>
      </c>
      <c r="J3592" t="s">
        <v>737</v>
      </c>
      <c r="K3592" t="s">
        <v>22894</v>
      </c>
      <c r="L3592" t="s">
        <v>737</v>
      </c>
    </row>
    <row r="3593" spans="1:12" x14ac:dyDescent="0.25">
      <c r="A3593">
        <v>640084</v>
      </c>
      <c r="B3593">
        <v>1270193</v>
      </c>
      <c r="D3593">
        <v>0</v>
      </c>
      <c r="F3593">
        <v>1380577</v>
      </c>
      <c r="G3593">
        <v>1270193</v>
      </c>
      <c r="H3593" t="s">
        <v>899</v>
      </c>
      <c r="I3593">
        <v>640084</v>
      </c>
      <c r="J3593" t="s">
        <v>899</v>
      </c>
      <c r="K3593" t="s">
        <v>22895</v>
      </c>
      <c r="L3593" t="s">
        <v>899</v>
      </c>
    </row>
    <row r="3594" spans="1:12" x14ac:dyDescent="0.25">
      <c r="A3594">
        <v>640084</v>
      </c>
      <c r="B3594">
        <v>640093</v>
      </c>
      <c r="D3594">
        <v>0</v>
      </c>
      <c r="E3594" t="s">
        <v>22897</v>
      </c>
      <c r="F3594" t="s">
        <v>22898</v>
      </c>
      <c r="G3594" t="s">
        <v>22899</v>
      </c>
      <c r="H3594" t="s">
        <v>22900</v>
      </c>
      <c r="I3594" t="s">
        <v>22901</v>
      </c>
      <c r="J3594" t="s">
        <v>22896</v>
      </c>
      <c r="K3594" t="s">
        <v>22902</v>
      </c>
      <c r="L3594" t="s">
        <v>22896</v>
      </c>
    </row>
    <row r="3595" spans="1:12" x14ac:dyDescent="0.25">
      <c r="A3595">
        <v>640084</v>
      </c>
      <c r="B3595">
        <v>1270177</v>
      </c>
      <c r="D3595">
        <v>0</v>
      </c>
      <c r="F3595">
        <v>1380569</v>
      </c>
      <c r="G3595">
        <v>640084</v>
      </c>
      <c r="H3595" t="s">
        <v>1939</v>
      </c>
      <c r="I3595">
        <v>1270177</v>
      </c>
      <c r="J3595" t="s">
        <v>1939</v>
      </c>
      <c r="K3595" t="s">
        <v>22903</v>
      </c>
      <c r="L3595" t="s">
        <v>1939</v>
      </c>
    </row>
    <row r="3596" spans="1:12" x14ac:dyDescent="0.25">
      <c r="A3596">
        <v>640093</v>
      </c>
      <c r="B3596">
        <v>749787</v>
      </c>
      <c r="D3596">
        <v>0</v>
      </c>
      <c r="E3596" t="s">
        <v>22905</v>
      </c>
      <c r="F3596" t="s">
        <v>22906</v>
      </c>
      <c r="G3596" t="s">
        <v>22907</v>
      </c>
      <c r="H3596" t="s">
        <v>22908</v>
      </c>
      <c r="I3596" t="s">
        <v>22909</v>
      </c>
      <c r="J3596" t="s">
        <v>22904</v>
      </c>
      <c r="K3596" t="s">
        <v>22910</v>
      </c>
      <c r="L3596" t="s">
        <v>22904</v>
      </c>
    </row>
    <row r="3597" spans="1:12" x14ac:dyDescent="0.25">
      <c r="A3597">
        <v>640093</v>
      </c>
      <c r="B3597">
        <v>1270102</v>
      </c>
      <c r="D3597">
        <v>0</v>
      </c>
      <c r="E3597" t="s">
        <v>22912</v>
      </c>
      <c r="F3597" t="s">
        <v>22913</v>
      </c>
      <c r="G3597" t="s">
        <v>22914</v>
      </c>
      <c r="H3597" t="s">
        <v>22915</v>
      </c>
      <c r="I3597" t="s">
        <v>22916</v>
      </c>
      <c r="J3597" t="s">
        <v>22911</v>
      </c>
      <c r="K3597" t="s">
        <v>22917</v>
      </c>
      <c r="L3597" t="s">
        <v>22911</v>
      </c>
    </row>
    <row r="3598" spans="1:12" x14ac:dyDescent="0.25">
      <c r="A3598">
        <v>642730</v>
      </c>
      <c r="B3598">
        <v>1242074</v>
      </c>
      <c r="D3598">
        <v>0</v>
      </c>
      <c r="E3598" t="s">
        <v>22919</v>
      </c>
      <c r="F3598" t="s">
        <v>22920</v>
      </c>
      <c r="G3598" t="s">
        <v>22921</v>
      </c>
      <c r="H3598" t="e" vm="1584">
        <f>_FV(0,"03521307959181564")</f>
        <v>#VALUE!</v>
      </c>
      <c r="I3598" t="s">
        <v>22922</v>
      </c>
      <c r="J3598" t="s">
        <v>22923</v>
      </c>
      <c r="K3598" t="s">
        <v>22924</v>
      </c>
      <c r="L3598" t="s">
        <v>22918</v>
      </c>
    </row>
    <row r="3599" spans="1:12" x14ac:dyDescent="0.25">
      <c r="A3599">
        <v>642730</v>
      </c>
      <c r="B3599">
        <v>1098477</v>
      </c>
      <c r="D3599">
        <v>0</v>
      </c>
      <c r="E3599" t="s">
        <v>22926</v>
      </c>
      <c r="F3599" t="s">
        <v>22927</v>
      </c>
      <c r="G3599" t="s">
        <v>22928</v>
      </c>
      <c r="H3599" t="e" vm="1585">
        <f>_FV(0,"009722443530997472")</f>
        <v>#VALUE!</v>
      </c>
      <c r="I3599" t="s">
        <v>22929</v>
      </c>
      <c r="J3599" t="s">
        <v>22930</v>
      </c>
      <c r="K3599" t="s">
        <v>22931</v>
      </c>
      <c r="L3599" t="s">
        <v>22925</v>
      </c>
    </row>
    <row r="3600" spans="1:12" x14ac:dyDescent="0.25">
      <c r="A3600">
        <v>642730</v>
      </c>
      <c r="B3600">
        <v>1105372</v>
      </c>
      <c r="D3600">
        <v>0</v>
      </c>
      <c r="E3600" t="s">
        <v>22933</v>
      </c>
      <c r="F3600" t="s">
        <v>22934</v>
      </c>
      <c r="G3600" t="s">
        <v>22935</v>
      </c>
      <c r="H3600" t="e" vm="1586">
        <f>_FV(0,"018089625149662395")</f>
        <v>#VALUE!</v>
      </c>
      <c r="I3600" t="s">
        <v>22936</v>
      </c>
      <c r="J3600" t="s">
        <v>22937</v>
      </c>
      <c r="K3600" t="s">
        <v>22938</v>
      </c>
      <c r="L3600" t="s">
        <v>22932</v>
      </c>
    </row>
    <row r="3601" spans="1:12" x14ac:dyDescent="0.25">
      <c r="A3601">
        <v>642952</v>
      </c>
      <c r="B3601">
        <v>642953</v>
      </c>
      <c r="D3601">
        <v>0</v>
      </c>
      <c r="F3601">
        <v>650646</v>
      </c>
      <c r="G3601">
        <v>642953</v>
      </c>
      <c r="H3601" t="e" vm="350">
        <f>_FV(0,"009")</f>
        <v>#VALUE!</v>
      </c>
      <c r="I3601">
        <v>642952</v>
      </c>
      <c r="J3601" t="s">
        <v>2068</v>
      </c>
      <c r="K3601" t="s">
        <v>22939</v>
      </c>
      <c r="L3601" t="e" vm="350">
        <f>_FV(0,"009")</f>
        <v>#VALUE!</v>
      </c>
    </row>
    <row r="3602" spans="1:12" x14ac:dyDescent="0.25">
      <c r="A3602">
        <v>642952</v>
      </c>
      <c r="B3602">
        <v>642988</v>
      </c>
      <c r="D3602">
        <v>0</v>
      </c>
      <c r="E3602" t="s">
        <v>22941</v>
      </c>
      <c r="F3602" t="s">
        <v>22942</v>
      </c>
      <c r="G3602" t="s">
        <v>22943</v>
      </c>
      <c r="H3602" t="e" vm="1587">
        <f>_FV(0,"027064141895136676")</f>
        <v>#VALUE!</v>
      </c>
      <c r="I3602" t="s">
        <v>22944</v>
      </c>
      <c r="J3602" t="s">
        <v>22945</v>
      </c>
      <c r="K3602" t="s">
        <v>22946</v>
      </c>
      <c r="L3602" t="s">
        <v>22940</v>
      </c>
    </row>
    <row r="3603" spans="1:12" x14ac:dyDescent="0.25">
      <c r="A3603">
        <v>642953</v>
      </c>
      <c r="B3603">
        <v>1532406</v>
      </c>
      <c r="D3603">
        <v>0</v>
      </c>
      <c r="F3603">
        <v>1719597</v>
      </c>
      <c r="G3603">
        <v>1532406</v>
      </c>
      <c r="H3603" t="s">
        <v>226</v>
      </c>
      <c r="I3603">
        <v>642953</v>
      </c>
      <c r="J3603" t="s">
        <v>226</v>
      </c>
      <c r="K3603" t="s">
        <v>22947</v>
      </c>
      <c r="L3603" t="s">
        <v>226</v>
      </c>
    </row>
    <row r="3604" spans="1:12" x14ac:dyDescent="0.25">
      <c r="A3604">
        <v>642953</v>
      </c>
      <c r="B3604">
        <v>1265436</v>
      </c>
      <c r="D3604">
        <v>0</v>
      </c>
      <c r="E3604" t="s">
        <v>22949</v>
      </c>
      <c r="F3604" t="s">
        <v>22950</v>
      </c>
      <c r="G3604" t="s">
        <v>22951</v>
      </c>
      <c r="H3604" t="s">
        <v>22952</v>
      </c>
      <c r="I3604" t="s">
        <v>22953</v>
      </c>
      <c r="J3604" t="s">
        <v>22954</v>
      </c>
      <c r="K3604" t="s">
        <v>22955</v>
      </c>
      <c r="L3604" t="s">
        <v>22948</v>
      </c>
    </row>
    <row r="3605" spans="1:12" x14ac:dyDescent="0.25">
      <c r="A3605">
        <v>642970</v>
      </c>
      <c r="B3605">
        <v>642988</v>
      </c>
      <c r="D3605">
        <v>0</v>
      </c>
      <c r="E3605" t="s">
        <v>22957</v>
      </c>
      <c r="F3605" t="s">
        <v>22958</v>
      </c>
      <c r="G3605" t="s">
        <v>22959</v>
      </c>
      <c r="H3605" t="e" vm="1588">
        <f>_FV(0,"0019864468462773223")</f>
        <v>#VALUE!</v>
      </c>
      <c r="I3605" t="s">
        <v>22960</v>
      </c>
      <c r="J3605" t="s">
        <v>22961</v>
      </c>
      <c r="K3605" t="s">
        <v>22962</v>
      </c>
      <c r="L3605" t="s">
        <v>22956</v>
      </c>
    </row>
    <row r="3606" spans="1:12" x14ac:dyDescent="0.25">
      <c r="A3606">
        <v>642970</v>
      </c>
      <c r="B3606">
        <v>642988</v>
      </c>
      <c r="D3606">
        <v>0</v>
      </c>
      <c r="E3606" t="s">
        <v>22964</v>
      </c>
      <c r="F3606" t="s">
        <v>22965</v>
      </c>
      <c r="G3606" t="s">
        <v>22966</v>
      </c>
      <c r="H3606" t="e" vm="1589">
        <f>_FV(0,"0016858607854669271")</f>
        <v>#VALUE!</v>
      </c>
      <c r="I3606" t="s">
        <v>22967</v>
      </c>
      <c r="J3606" t="s">
        <v>22968</v>
      </c>
      <c r="K3606" t="s">
        <v>22969</v>
      </c>
      <c r="L3606" t="s">
        <v>22963</v>
      </c>
    </row>
    <row r="3607" spans="1:12" x14ac:dyDescent="0.25">
      <c r="A3607">
        <v>642970</v>
      </c>
      <c r="B3607">
        <v>1294102</v>
      </c>
      <c r="C3607" t="s">
        <v>22971</v>
      </c>
      <c r="D3607">
        <v>0</v>
      </c>
      <c r="E3607" t="s">
        <v>22972</v>
      </c>
      <c r="F3607" t="s">
        <v>22973</v>
      </c>
      <c r="G3607" t="s">
        <v>22974</v>
      </c>
      <c r="H3607" t="s">
        <v>22975</v>
      </c>
      <c r="I3607" t="s">
        <v>22976</v>
      </c>
      <c r="J3607" t="s">
        <v>22977</v>
      </c>
      <c r="K3607" t="s">
        <v>22978</v>
      </c>
      <c r="L3607" t="s">
        <v>22970</v>
      </c>
    </row>
    <row r="3608" spans="1:12" x14ac:dyDescent="0.25">
      <c r="A3608">
        <v>644770</v>
      </c>
      <c r="B3608">
        <v>644771</v>
      </c>
      <c r="D3608">
        <v>0</v>
      </c>
      <c r="F3608">
        <v>652673</v>
      </c>
      <c r="G3608">
        <v>644771</v>
      </c>
      <c r="H3608" t="e" vm="493">
        <f>_FV(0,"025")</f>
        <v>#VALUE!</v>
      </c>
      <c r="I3608">
        <v>644770</v>
      </c>
      <c r="J3608" t="s">
        <v>899</v>
      </c>
      <c r="K3608" t="s">
        <v>22979</v>
      </c>
      <c r="L3608" t="e" vm="493">
        <f>_FV(0,"025")</f>
        <v>#VALUE!</v>
      </c>
    </row>
    <row r="3609" spans="1:12" x14ac:dyDescent="0.25">
      <c r="A3609">
        <v>644770</v>
      </c>
      <c r="B3609">
        <v>644779</v>
      </c>
      <c r="D3609">
        <v>0</v>
      </c>
      <c r="F3609">
        <v>652681</v>
      </c>
      <c r="G3609">
        <v>644779</v>
      </c>
      <c r="H3609" t="e" vm="342">
        <f>_FV(0,"011")</f>
        <v>#VALUE!</v>
      </c>
      <c r="I3609">
        <v>644770</v>
      </c>
      <c r="J3609" t="s">
        <v>4848</v>
      </c>
      <c r="K3609" t="s">
        <v>22980</v>
      </c>
      <c r="L3609" t="e" vm="342">
        <f>_FV(0,"011")</f>
        <v>#VALUE!</v>
      </c>
    </row>
    <row r="3610" spans="1:12" x14ac:dyDescent="0.25">
      <c r="A3610">
        <v>644770</v>
      </c>
      <c r="B3610">
        <v>1011342</v>
      </c>
      <c r="D3610">
        <v>0</v>
      </c>
      <c r="E3610" t="s">
        <v>22982</v>
      </c>
      <c r="F3610" t="s">
        <v>22983</v>
      </c>
      <c r="G3610" t="s">
        <v>22984</v>
      </c>
      <c r="H3610" t="s">
        <v>22985</v>
      </c>
      <c r="I3610" t="s">
        <v>22986</v>
      </c>
      <c r="J3610" t="s">
        <v>22981</v>
      </c>
      <c r="K3610" t="s">
        <v>22987</v>
      </c>
      <c r="L3610" t="s">
        <v>22981</v>
      </c>
    </row>
    <row r="3611" spans="1:12" x14ac:dyDescent="0.25">
      <c r="A3611">
        <v>644770</v>
      </c>
      <c r="B3611">
        <v>1016914</v>
      </c>
      <c r="D3611" t="s">
        <v>10069</v>
      </c>
      <c r="E3611" t="s">
        <v>22989</v>
      </c>
      <c r="F3611" t="s">
        <v>22990</v>
      </c>
      <c r="G3611" t="s">
        <v>22991</v>
      </c>
      <c r="H3611" t="s">
        <v>22992</v>
      </c>
      <c r="I3611" t="s">
        <v>22993</v>
      </c>
      <c r="J3611" t="s">
        <v>22994</v>
      </c>
      <c r="K3611" t="s">
        <v>22995</v>
      </c>
      <c r="L3611" t="s">
        <v>22988</v>
      </c>
    </row>
    <row r="3612" spans="1:12" x14ac:dyDescent="0.25">
      <c r="A3612">
        <v>644771</v>
      </c>
      <c r="B3612">
        <v>644779</v>
      </c>
      <c r="D3612">
        <v>0</v>
      </c>
      <c r="F3612">
        <v>652689</v>
      </c>
      <c r="G3612">
        <v>644779</v>
      </c>
      <c r="H3612" t="s">
        <v>1536</v>
      </c>
      <c r="I3612">
        <v>644771</v>
      </c>
      <c r="J3612" t="s">
        <v>1536</v>
      </c>
      <c r="K3612" t="s">
        <v>22996</v>
      </c>
      <c r="L3612" t="s">
        <v>1536</v>
      </c>
    </row>
    <row r="3613" spans="1:12" x14ac:dyDescent="0.25">
      <c r="A3613">
        <v>644771</v>
      </c>
      <c r="B3613">
        <v>1016951</v>
      </c>
      <c r="D3613">
        <v>0</v>
      </c>
      <c r="E3613" t="s">
        <v>22998</v>
      </c>
      <c r="F3613" t="s">
        <v>22999</v>
      </c>
      <c r="G3613" t="s">
        <v>23000</v>
      </c>
      <c r="H3613" t="s">
        <v>23001</v>
      </c>
      <c r="I3613" t="s">
        <v>23002</v>
      </c>
      <c r="J3613" t="s">
        <v>23003</v>
      </c>
      <c r="K3613" t="s">
        <v>23004</v>
      </c>
      <c r="L3613" t="s">
        <v>22997</v>
      </c>
    </row>
    <row r="3614" spans="1:12" x14ac:dyDescent="0.25">
      <c r="A3614">
        <v>644771</v>
      </c>
      <c r="B3614">
        <v>1016914</v>
      </c>
      <c r="D3614" t="s">
        <v>3716</v>
      </c>
      <c r="E3614" t="s">
        <v>23006</v>
      </c>
      <c r="F3614" t="s">
        <v>23007</v>
      </c>
      <c r="G3614" t="s">
        <v>23008</v>
      </c>
      <c r="H3614" t="s">
        <v>23009</v>
      </c>
      <c r="I3614" t="s">
        <v>23010</v>
      </c>
      <c r="J3614" t="s">
        <v>23011</v>
      </c>
      <c r="K3614" t="s">
        <v>23012</v>
      </c>
      <c r="L3614" t="s">
        <v>23005</v>
      </c>
    </row>
    <row r="3615" spans="1:12" x14ac:dyDescent="0.25">
      <c r="A3615">
        <v>644779</v>
      </c>
      <c r="B3615">
        <v>1011342</v>
      </c>
      <c r="D3615">
        <v>0</v>
      </c>
      <c r="E3615" t="s">
        <v>23014</v>
      </c>
      <c r="F3615" t="s">
        <v>23015</v>
      </c>
      <c r="G3615" t="s">
        <v>23016</v>
      </c>
      <c r="H3615" t="s">
        <v>23017</v>
      </c>
      <c r="I3615" t="s">
        <v>23018</v>
      </c>
      <c r="J3615" t="s">
        <v>23013</v>
      </c>
      <c r="K3615" t="s">
        <v>23019</v>
      </c>
      <c r="L3615" t="s">
        <v>23013</v>
      </c>
    </row>
    <row r="3616" spans="1:12" x14ac:dyDescent="0.25">
      <c r="A3616">
        <v>644779</v>
      </c>
      <c r="B3616">
        <v>1016951</v>
      </c>
      <c r="D3616">
        <v>0</v>
      </c>
      <c r="E3616" t="s">
        <v>23021</v>
      </c>
      <c r="F3616" t="s">
        <v>23022</v>
      </c>
      <c r="G3616" t="s">
        <v>23023</v>
      </c>
      <c r="H3616" t="e" vm="1590">
        <f>_FV(0,"002392197553749287")</f>
        <v>#VALUE!</v>
      </c>
      <c r="I3616" t="s">
        <v>23024</v>
      </c>
      <c r="J3616" t="s">
        <v>23025</v>
      </c>
      <c r="K3616" t="s">
        <v>23026</v>
      </c>
      <c r="L3616" t="s">
        <v>23020</v>
      </c>
    </row>
    <row r="3617" spans="1:12" x14ac:dyDescent="0.25">
      <c r="A3617">
        <v>645165</v>
      </c>
      <c r="B3617">
        <v>645174</v>
      </c>
      <c r="D3617">
        <v>0</v>
      </c>
      <c r="E3617" t="s">
        <v>23028</v>
      </c>
      <c r="F3617" t="s">
        <v>23029</v>
      </c>
      <c r="G3617" t="s">
        <v>23030</v>
      </c>
      <c r="H3617" t="s">
        <v>23031</v>
      </c>
      <c r="I3617" t="s">
        <v>23032</v>
      </c>
      <c r="J3617" t="s">
        <v>23027</v>
      </c>
      <c r="K3617" t="s">
        <v>23033</v>
      </c>
      <c r="L3617" t="s">
        <v>23027</v>
      </c>
    </row>
    <row r="3618" spans="1:12" x14ac:dyDescent="0.25">
      <c r="A3618">
        <v>645165</v>
      </c>
      <c r="B3618">
        <v>645174</v>
      </c>
      <c r="D3618">
        <v>0</v>
      </c>
      <c r="E3618" t="s">
        <v>23035</v>
      </c>
      <c r="F3618" t="s">
        <v>23036</v>
      </c>
      <c r="G3618" t="s">
        <v>23037</v>
      </c>
      <c r="H3618" t="s">
        <v>23038</v>
      </c>
      <c r="I3618" t="s">
        <v>23039</v>
      </c>
      <c r="J3618" t="s">
        <v>23034</v>
      </c>
      <c r="K3618" t="s">
        <v>23040</v>
      </c>
      <c r="L3618" t="s">
        <v>23034</v>
      </c>
    </row>
    <row r="3619" spans="1:12" x14ac:dyDescent="0.25">
      <c r="A3619">
        <v>645165</v>
      </c>
      <c r="B3619">
        <v>943505</v>
      </c>
      <c r="D3619">
        <v>0</v>
      </c>
      <c r="E3619" t="s">
        <v>23042</v>
      </c>
      <c r="F3619" t="s">
        <v>23043</v>
      </c>
      <c r="G3619" t="s">
        <v>23044</v>
      </c>
      <c r="H3619" t="e" vm="1591">
        <f>_FV(0,"04859290414865331")</f>
        <v>#VALUE!</v>
      </c>
      <c r="I3619" t="s">
        <v>23045</v>
      </c>
      <c r="J3619" t="s">
        <v>23046</v>
      </c>
      <c r="K3619" t="s">
        <v>23047</v>
      </c>
      <c r="L3619" t="s">
        <v>23041</v>
      </c>
    </row>
    <row r="3620" spans="1:12" x14ac:dyDescent="0.25">
      <c r="A3620">
        <v>645174</v>
      </c>
      <c r="B3620">
        <v>1220506</v>
      </c>
      <c r="D3620">
        <v>0</v>
      </c>
      <c r="E3620" t="s">
        <v>23049</v>
      </c>
      <c r="F3620" t="s">
        <v>23050</v>
      </c>
      <c r="G3620" t="s">
        <v>23051</v>
      </c>
      <c r="H3620" t="s">
        <v>23052</v>
      </c>
      <c r="I3620" t="s">
        <v>23053</v>
      </c>
      <c r="J3620" t="s">
        <v>23054</v>
      </c>
      <c r="K3620" t="s">
        <v>23055</v>
      </c>
      <c r="L3620" t="s">
        <v>23048</v>
      </c>
    </row>
    <row r="3621" spans="1:12" x14ac:dyDescent="0.25">
      <c r="A3621">
        <v>645567</v>
      </c>
      <c r="B3621">
        <v>645639</v>
      </c>
      <c r="D3621">
        <v>0</v>
      </c>
      <c r="F3621">
        <v>653575</v>
      </c>
      <c r="G3621">
        <v>645639</v>
      </c>
      <c r="H3621" t="s">
        <v>4331</v>
      </c>
      <c r="I3621">
        <v>645567</v>
      </c>
      <c r="J3621" t="s">
        <v>4331</v>
      </c>
      <c r="K3621" t="s">
        <v>23056</v>
      </c>
      <c r="L3621" t="s">
        <v>4331</v>
      </c>
    </row>
    <row r="3622" spans="1:12" x14ac:dyDescent="0.25">
      <c r="A3622">
        <v>645567</v>
      </c>
      <c r="B3622">
        <v>645627</v>
      </c>
      <c r="D3622">
        <v>0</v>
      </c>
      <c r="F3622">
        <v>653567</v>
      </c>
      <c r="G3622">
        <v>645567</v>
      </c>
      <c r="H3622" t="s">
        <v>3279</v>
      </c>
      <c r="I3622">
        <v>645627</v>
      </c>
      <c r="J3622" t="s">
        <v>3279</v>
      </c>
      <c r="K3622" t="s">
        <v>23057</v>
      </c>
      <c r="L3622" t="s">
        <v>3279</v>
      </c>
    </row>
    <row r="3623" spans="1:12" x14ac:dyDescent="0.25">
      <c r="A3623">
        <v>645567</v>
      </c>
      <c r="B3623">
        <v>1600506</v>
      </c>
      <c r="D3623">
        <v>0</v>
      </c>
      <c r="E3623" t="s">
        <v>23059</v>
      </c>
      <c r="F3623" t="s">
        <v>23060</v>
      </c>
      <c r="G3623" t="s">
        <v>23061</v>
      </c>
      <c r="H3623" t="e" vm="1592">
        <f>_FV(0,"0017167790415275525")</f>
        <v>#VALUE!</v>
      </c>
      <c r="I3623" t="s">
        <v>23062</v>
      </c>
      <c r="J3623" t="s">
        <v>23063</v>
      </c>
      <c r="K3623" t="s">
        <v>23064</v>
      </c>
      <c r="L3623" t="s">
        <v>23058</v>
      </c>
    </row>
    <row r="3624" spans="1:12" x14ac:dyDescent="0.25">
      <c r="A3624">
        <v>645576</v>
      </c>
      <c r="B3624">
        <v>1600423</v>
      </c>
      <c r="D3624">
        <v>0</v>
      </c>
      <c r="F3624">
        <v>1820387</v>
      </c>
      <c r="G3624">
        <v>1600423</v>
      </c>
      <c r="H3624" t="s">
        <v>2884</v>
      </c>
      <c r="I3624">
        <v>645576</v>
      </c>
      <c r="J3624" t="s">
        <v>2884</v>
      </c>
      <c r="K3624" t="s">
        <v>23065</v>
      </c>
      <c r="L3624" t="s">
        <v>2884</v>
      </c>
    </row>
    <row r="3625" spans="1:12" x14ac:dyDescent="0.25">
      <c r="A3625">
        <v>645576</v>
      </c>
      <c r="B3625">
        <v>1600416</v>
      </c>
      <c r="D3625">
        <v>0</v>
      </c>
      <c r="E3625" t="s">
        <v>23067</v>
      </c>
      <c r="F3625" t="s">
        <v>23068</v>
      </c>
      <c r="G3625" t="s">
        <v>23069</v>
      </c>
      <c r="H3625" t="e" vm="1593">
        <f>_FV(0,"009516226505248812")</f>
        <v>#VALUE!</v>
      </c>
      <c r="I3625" t="s">
        <v>23070</v>
      </c>
      <c r="J3625" t="s">
        <v>23071</v>
      </c>
      <c r="K3625" t="s">
        <v>23072</v>
      </c>
      <c r="L3625" t="s">
        <v>23066</v>
      </c>
    </row>
    <row r="3626" spans="1:12" x14ac:dyDescent="0.25">
      <c r="A3626">
        <v>645594</v>
      </c>
      <c r="B3626">
        <v>645595</v>
      </c>
      <c r="D3626">
        <v>0</v>
      </c>
      <c r="F3626">
        <v>653535</v>
      </c>
      <c r="G3626">
        <v>645595</v>
      </c>
      <c r="H3626" t="e" vm="488">
        <f>_FV(0,"047")</f>
        <v>#VALUE!</v>
      </c>
      <c r="I3626">
        <v>645594</v>
      </c>
      <c r="J3626" t="s">
        <v>2292</v>
      </c>
      <c r="K3626" t="s">
        <v>23073</v>
      </c>
      <c r="L3626" t="e" vm="488">
        <f>_FV(0,"047")</f>
        <v>#VALUE!</v>
      </c>
    </row>
    <row r="3627" spans="1:12" x14ac:dyDescent="0.25">
      <c r="A3627">
        <v>645594</v>
      </c>
      <c r="B3627">
        <v>645607</v>
      </c>
      <c r="D3627">
        <v>0</v>
      </c>
      <c r="E3627" t="s">
        <v>23075</v>
      </c>
      <c r="F3627" t="s">
        <v>23076</v>
      </c>
      <c r="G3627" t="s">
        <v>23077</v>
      </c>
      <c r="H3627" t="e" vm="1594">
        <f>_FV(0,"04736562594213026")</f>
        <v>#VALUE!</v>
      </c>
      <c r="I3627" t="s">
        <v>23078</v>
      </c>
      <c r="J3627" t="s">
        <v>23079</v>
      </c>
      <c r="K3627" t="s">
        <v>23080</v>
      </c>
      <c r="L3627" t="s">
        <v>23074</v>
      </c>
    </row>
    <row r="3628" spans="1:12" x14ac:dyDescent="0.25">
      <c r="A3628">
        <v>645594</v>
      </c>
      <c r="B3628">
        <v>645627</v>
      </c>
      <c r="D3628">
        <v>0</v>
      </c>
      <c r="E3628" t="s">
        <v>23082</v>
      </c>
      <c r="F3628" t="s">
        <v>23083</v>
      </c>
      <c r="G3628" t="s">
        <v>23084</v>
      </c>
      <c r="H3628" t="e" vm="1595">
        <f>_FV(0,"05289077614770492")</f>
        <v>#VALUE!</v>
      </c>
      <c r="I3628" t="s">
        <v>23085</v>
      </c>
      <c r="J3628" t="s">
        <v>23086</v>
      </c>
      <c r="K3628" t="s">
        <v>23087</v>
      </c>
      <c r="L3628" t="s">
        <v>23081</v>
      </c>
    </row>
    <row r="3629" spans="1:12" x14ac:dyDescent="0.25">
      <c r="A3629">
        <v>645595</v>
      </c>
      <c r="B3629">
        <v>1600436</v>
      </c>
      <c r="D3629">
        <v>0</v>
      </c>
      <c r="E3629" t="s">
        <v>23089</v>
      </c>
      <c r="F3629" t="s">
        <v>23090</v>
      </c>
      <c r="G3629" t="s">
        <v>23091</v>
      </c>
      <c r="H3629" t="e" vm="1596">
        <f>_FV(0,"043970106413385994")</f>
        <v>#VALUE!</v>
      </c>
      <c r="I3629" t="s">
        <v>23092</v>
      </c>
      <c r="J3629" t="s">
        <v>23093</v>
      </c>
      <c r="K3629" t="s">
        <v>23094</v>
      </c>
      <c r="L3629" t="s">
        <v>23088</v>
      </c>
    </row>
    <row r="3630" spans="1:12" x14ac:dyDescent="0.25">
      <c r="A3630">
        <v>645595</v>
      </c>
      <c r="B3630">
        <v>1600423</v>
      </c>
      <c r="D3630">
        <v>0</v>
      </c>
      <c r="E3630" t="s">
        <v>23096</v>
      </c>
      <c r="F3630" t="s">
        <v>23097</v>
      </c>
      <c r="G3630" t="s">
        <v>23098</v>
      </c>
      <c r="H3630" t="e" vm="1597">
        <f>_FV(0,"04741068619041666")</f>
        <v>#VALUE!</v>
      </c>
      <c r="I3630" t="s">
        <v>23099</v>
      </c>
      <c r="J3630" t="s">
        <v>23100</v>
      </c>
      <c r="K3630" t="s">
        <v>23101</v>
      </c>
      <c r="L3630" t="s">
        <v>23095</v>
      </c>
    </row>
    <row r="3631" spans="1:12" x14ac:dyDescent="0.25">
      <c r="A3631">
        <v>645607</v>
      </c>
      <c r="B3631">
        <v>645627</v>
      </c>
      <c r="D3631">
        <v>0</v>
      </c>
      <c r="E3631" t="s">
        <v>23103</v>
      </c>
      <c r="F3631" t="s">
        <v>23104</v>
      </c>
      <c r="G3631" t="s">
        <v>23105</v>
      </c>
      <c r="H3631" t="s">
        <v>23106</v>
      </c>
      <c r="I3631" t="s">
        <v>23107</v>
      </c>
      <c r="J3631" t="s">
        <v>23108</v>
      </c>
      <c r="K3631" t="s">
        <v>23109</v>
      </c>
      <c r="L3631" t="s">
        <v>23102</v>
      </c>
    </row>
    <row r="3632" spans="1:12" x14ac:dyDescent="0.25">
      <c r="A3632">
        <v>645607</v>
      </c>
      <c r="B3632">
        <v>645664</v>
      </c>
      <c r="D3632">
        <v>0</v>
      </c>
      <c r="E3632" t="s">
        <v>23111</v>
      </c>
      <c r="F3632" t="s">
        <v>23112</v>
      </c>
      <c r="G3632" t="s">
        <v>23113</v>
      </c>
      <c r="H3632" t="e" vm="1598">
        <f>_FV(0,"04341979804257361")</f>
        <v>#VALUE!</v>
      </c>
      <c r="I3632" t="s">
        <v>23114</v>
      </c>
      <c r="J3632" t="s">
        <v>23115</v>
      </c>
      <c r="K3632" t="s">
        <v>23116</v>
      </c>
      <c r="L3632" t="s">
        <v>23110</v>
      </c>
    </row>
    <row r="3633" spans="1:12" x14ac:dyDescent="0.25">
      <c r="A3633">
        <v>645639</v>
      </c>
      <c r="B3633">
        <v>645655</v>
      </c>
      <c r="D3633">
        <v>0</v>
      </c>
      <c r="E3633" t="s">
        <v>23118</v>
      </c>
      <c r="F3633" t="s">
        <v>23119</v>
      </c>
      <c r="G3633" t="s">
        <v>23120</v>
      </c>
      <c r="H3633" t="e" vm="1599">
        <f>_FV(0,"0026159629015037413")</f>
        <v>#VALUE!</v>
      </c>
      <c r="I3633" t="s">
        <v>23121</v>
      </c>
      <c r="J3633" t="s">
        <v>737</v>
      </c>
      <c r="K3633" t="s">
        <v>23122</v>
      </c>
      <c r="L3633" t="s">
        <v>23117</v>
      </c>
    </row>
    <row r="3634" spans="1:12" x14ac:dyDescent="0.25">
      <c r="A3634">
        <v>645639</v>
      </c>
      <c r="B3634">
        <v>645797</v>
      </c>
      <c r="D3634">
        <v>0</v>
      </c>
      <c r="E3634" t="s">
        <v>23124</v>
      </c>
      <c r="F3634" t="s">
        <v>23125</v>
      </c>
      <c r="G3634" t="s">
        <v>23126</v>
      </c>
      <c r="H3634" t="e" vm="1600">
        <f>_FV(0,"04920762876398803")</f>
        <v>#VALUE!</v>
      </c>
      <c r="I3634" t="s">
        <v>23127</v>
      </c>
      <c r="J3634" t="s">
        <v>23128</v>
      </c>
      <c r="K3634" t="s">
        <v>23129</v>
      </c>
      <c r="L3634" t="s">
        <v>23123</v>
      </c>
    </row>
    <row r="3635" spans="1:12" x14ac:dyDescent="0.25">
      <c r="A3635">
        <v>645655</v>
      </c>
      <c r="B3635">
        <v>645664</v>
      </c>
      <c r="D3635">
        <v>0</v>
      </c>
      <c r="F3635">
        <v>653599</v>
      </c>
      <c r="G3635">
        <v>645664</v>
      </c>
      <c r="H3635" t="e" vm="30">
        <f>_FV(0,"027")</f>
        <v>#VALUE!</v>
      </c>
      <c r="I3635">
        <v>645655</v>
      </c>
      <c r="J3635" t="s">
        <v>467</v>
      </c>
      <c r="K3635" t="s">
        <v>23130</v>
      </c>
      <c r="L3635" t="e" vm="30">
        <f>_FV(0,"027")</f>
        <v>#VALUE!</v>
      </c>
    </row>
    <row r="3636" spans="1:12" x14ac:dyDescent="0.25">
      <c r="A3636">
        <v>645655</v>
      </c>
      <c r="B3636">
        <v>645797</v>
      </c>
      <c r="D3636">
        <v>0</v>
      </c>
      <c r="E3636" t="s">
        <v>23132</v>
      </c>
      <c r="F3636" t="s">
        <v>23133</v>
      </c>
      <c r="G3636" t="s">
        <v>23134</v>
      </c>
      <c r="H3636" t="e" vm="1601">
        <f>_FV(0,"048359156455989")</f>
        <v>#VALUE!</v>
      </c>
      <c r="I3636" t="s">
        <v>23135</v>
      </c>
      <c r="J3636" t="s">
        <v>23136</v>
      </c>
      <c r="K3636" t="s">
        <v>23137</v>
      </c>
      <c r="L3636" t="s">
        <v>23131</v>
      </c>
    </row>
    <row r="3637" spans="1:12" x14ac:dyDescent="0.25">
      <c r="A3637">
        <v>645755</v>
      </c>
      <c r="B3637">
        <v>645797</v>
      </c>
      <c r="D3637">
        <v>0</v>
      </c>
      <c r="E3637" t="s">
        <v>23139</v>
      </c>
      <c r="F3637" t="s">
        <v>23140</v>
      </c>
      <c r="G3637" t="s">
        <v>23141</v>
      </c>
      <c r="H3637" t="e" vm="1602">
        <f>_FV(0,"005245600756168019")</f>
        <v>#VALUE!</v>
      </c>
      <c r="I3637" t="s">
        <v>23142</v>
      </c>
      <c r="J3637" t="s">
        <v>23143</v>
      </c>
      <c r="K3637" t="s">
        <v>23144</v>
      </c>
      <c r="L3637" t="s">
        <v>23138</v>
      </c>
    </row>
    <row r="3638" spans="1:12" x14ac:dyDescent="0.25">
      <c r="A3638">
        <v>645903</v>
      </c>
      <c r="B3638">
        <v>645904</v>
      </c>
      <c r="D3638">
        <v>0</v>
      </c>
      <c r="F3638">
        <v>653920</v>
      </c>
      <c r="G3638">
        <v>645904</v>
      </c>
      <c r="H3638" t="s">
        <v>5410</v>
      </c>
      <c r="I3638">
        <v>645903</v>
      </c>
      <c r="J3638" t="s">
        <v>5410</v>
      </c>
      <c r="K3638" t="s">
        <v>23145</v>
      </c>
      <c r="L3638" t="s">
        <v>5410</v>
      </c>
    </row>
    <row r="3639" spans="1:12" x14ac:dyDescent="0.25">
      <c r="A3639">
        <v>645903</v>
      </c>
      <c r="B3639">
        <v>645915</v>
      </c>
      <c r="D3639">
        <v>0</v>
      </c>
      <c r="F3639">
        <v>1820517</v>
      </c>
      <c r="G3639">
        <v>645903</v>
      </c>
      <c r="H3639" t="e" vm="481">
        <f>_FV(0,"029")</f>
        <v>#VALUE!</v>
      </c>
      <c r="I3639">
        <v>645915</v>
      </c>
      <c r="J3639" t="s">
        <v>5410</v>
      </c>
      <c r="K3639" t="s">
        <v>23146</v>
      </c>
      <c r="L3639" t="e" vm="481">
        <f>_FV(0,"029")</f>
        <v>#VALUE!</v>
      </c>
    </row>
    <row r="3640" spans="1:12" x14ac:dyDescent="0.25">
      <c r="A3640">
        <v>645903</v>
      </c>
      <c r="B3640">
        <v>645978</v>
      </c>
      <c r="D3640">
        <v>0</v>
      </c>
      <c r="F3640">
        <v>1820516</v>
      </c>
      <c r="G3640">
        <v>645903</v>
      </c>
      <c r="H3640" t="s">
        <v>194</v>
      </c>
      <c r="I3640">
        <v>645978</v>
      </c>
      <c r="J3640" t="s">
        <v>194</v>
      </c>
      <c r="K3640" t="s">
        <v>23147</v>
      </c>
      <c r="L3640" t="s">
        <v>194</v>
      </c>
    </row>
    <row r="3641" spans="1:12" x14ac:dyDescent="0.25">
      <c r="A3641">
        <v>645904</v>
      </c>
      <c r="B3641">
        <v>646047</v>
      </c>
      <c r="D3641">
        <v>0</v>
      </c>
      <c r="F3641">
        <v>1820487</v>
      </c>
      <c r="G3641">
        <v>646047</v>
      </c>
      <c r="H3641" t="s">
        <v>241</v>
      </c>
      <c r="I3641">
        <v>645904</v>
      </c>
      <c r="J3641" t="s">
        <v>241</v>
      </c>
      <c r="K3641" t="s">
        <v>23148</v>
      </c>
      <c r="L3641" t="s">
        <v>241</v>
      </c>
    </row>
    <row r="3642" spans="1:12" x14ac:dyDescent="0.25">
      <c r="A3642">
        <v>645904</v>
      </c>
      <c r="B3642">
        <v>646035</v>
      </c>
      <c r="D3642">
        <v>0</v>
      </c>
      <c r="F3642">
        <v>1820495</v>
      </c>
      <c r="G3642">
        <v>646035</v>
      </c>
      <c r="H3642" t="s">
        <v>8186</v>
      </c>
      <c r="I3642">
        <v>645904</v>
      </c>
      <c r="J3642" t="s">
        <v>8186</v>
      </c>
      <c r="K3642" t="s">
        <v>23149</v>
      </c>
      <c r="L3642" t="s">
        <v>8186</v>
      </c>
    </row>
    <row r="3643" spans="1:12" x14ac:dyDescent="0.25">
      <c r="A3643">
        <v>645915</v>
      </c>
      <c r="B3643">
        <v>645922</v>
      </c>
      <c r="D3643">
        <v>0</v>
      </c>
      <c r="F3643">
        <v>653936</v>
      </c>
      <c r="G3643">
        <v>645922</v>
      </c>
      <c r="H3643" t="s">
        <v>3758</v>
      </c>
      <c r="I3643">
        <v>645915</v>
      </c>
      <c r="J3643" t="s">
        <v>3758</v>
      </c>
      <c r="K3643" t="s">
        <v>23150</v>
      </c>
      <c r="L3643" t="s">
        <v>3758</v>
      </c>
    </row>
    <row r="3644" spans="1:12" x14ac:dyDescent="0.25">
      <c r="A3644">
        <v>645915</v>
      </c>
      <c r="B3644">
        <v>645978</v>
      </c>
      <c r="D3644">
        <v>0</v>
      </c>
      <c r="E3644" t="s">
        <v>23152</v>
      </c>
      <c r="F3644" t="s">
        <v>23153</v>
      </c>
      <c r="G3644" t="s">
        <v>23154</v>
      </c>
      <c r="H3644" t="s">
        <v>23155</v>
      </c>
      <c r="I3644" t="s">
        <v>23156</v>
      </c>
      <c r="J3644" t="s">
        <v>23151</v>
      </c>
      <c r="K3644" t="s">
        <v>23157</v>
      </c>
      <c r="L3644" t="s">
        <v>23151</v>
      </c>
    </row>
    <row r="3645" spans="1:12" x14ac:dyDescent="0.25">
      <c r="A3645">
        <v>645922</v>
      </c>
      <c r="B3645">
        <v>645929</v>
      </c>
      <c r="D3645">
        <v>0</v>
      </c>
      <c r="F3645">
        <v>653944</v>
      </c>
      <c r="G3645">
        <v>645929</v>
      </c>
      <c r="H3645" t="s">
        <v>6474</v>
      </c>
      <c r="I3645">
        <v>645922</v>
      </c>
      <c r="J3645" t="s">
        <v>6474</v>
      </c>
      <c r="K3645" t="s">
        <v>23158</v>
      </c>
      <c r="L3645" t="s">
        <v>6474</v>
      </c>
    </row>
    <row r="3646" spans="1:12" x14ac:dyDescent="0.25">
      <c r="A3646">
        <v>645929</v>
      </c>
      <c r="B3646">
        <v>645978</v>
      </c>
      <c r="D3646">
        <v>0</v>
      </c>
      <c r="E3646" t="s">
        <v>23160</v>
      </c>
      <c r="F3646" t="s">
        <v>23161</v>
      </c>
      <c r="G3646" t="s">
        <v>23162</v>
      </c>
      <c r="H3646" t="e" vm="1603">
        <f>_FV(0,"02756442229247366")</f>
        <v>#VALUE!</v>
      </c>
      <c r="I3646" t="s">
        <v>23163</v>
      </c>
      <c r="J3646" t="s">
        <v>23164</v>
      </c>
      <c r="K3646" t="s">
        <v>23165</v>
      </c>
      <c r="L3646" t="s">
        <v>23159</v>
      </c>
    </row>
    <row r="3647" spans="1:12" x14ac:dyDescent="0.25">
      <c r="A3647">
        <v>646017</v>
      </c>
      <c r="B3647">
        <v>646026</v>
      </c>
      <c r="D3647">
        <v>0</v>
      </c>
      <c r="F3647">
        <v>654064</v>
      </c>
      <c r="G3647">
        <v>646026</v>
      </c>
      <c r="H3647" t="e" vm="498">
        <f>_FV(0,"037")</f>
        <v>#VALUE!</v>
      </c>
      <c r="I3647">
        <v>646017</v>
      </c>
      <c r="J3647" t="s">
        <v>1589</v>
      </c>
      <c r="K3647" t="s">
        <v>23166</v>
      </c>
      <c r="L3647" t="e" vm="498">
        <f>_FV(0,"037")</f>
        <v>#VALUE!</v>
      </c>
    </row>
    <row r="3648" spans="1:12" x14ac:dyDescent="0.25">
      <c r="A3648">
        <v>646017</v>
      </c>
      <c r="B3648">
        <v>646047</v>
      </c>
      <c r="D3648">
        <v>0</v>
      </c>
      <c r="E3648" t="s">
        <v>23168</v>
      </c>
      <c r="F3648" t="s">
        <v>23169</v>
      </c>
      <c r="G3648" t="s">
        <v>23170</v>
      </c>
      <c r="H3648" t="s">
        <v>23171</v>
      </c>
      <c r="I3648" t="s">
        <v>23172</v>
      </c>
      <c r="J3648" t="s">
        <v>23167</v>
      </c>
      <c r="K3648" t="s">
        <v>23173</v>
      </c>
      <c r="L3648" t="s">
        <v>23167</v>
      </c>
    </row>
    <row r="3649" spans="1:12" x14ac:dyDescent="0.25">
      <c r="A3649">
        <v>646026</v>
      </c>
      <c r="B3649">
        <v>646035</v>
      </c>
      <c r="D3649">
        <v>0</v>
      </c>
      <c r="F3649">
        <v>654072</v>
      </c>
      <c r="G3649">
        <v>646035</v>
      </c>
      <c r="H3649" t="e" vm="1049">
        <f>_FV(0,"078")</f>
        <v>#VALUE!</v>
      </c>
      <c r="I3649">
        <v>646026</v>
      </c>
      <c r="J3649" t="s">
        <v>3094</v>
      </c>
      <c r="K3649" t="s">
        <v>23174</v>
      </c>
      <c r="L3649" t="e" vm="1049">
        <f>_FV(0,"078")</f>
        <v>#VALUE!</v>
      </c>
    </row>
    <row r="3650" spans="1:12" x14ac:dyDescent="0.25">
      <c r="A3650">
        <v>646035</v>
      </c>
      <c r="B3650">
        <v>646047</v>
      </c>
      <c r="D3650">
        <v>0</v>
      </c>
      <c r="E3650" t="s">
        <v>23176</v>
      </c>
      <c r="F3650" t="s">
        <v>23177</v>
      </c>
      <c r="G3650" t="s">
        <v>23178</v>
      </c>
      <c r="H3650" t="e" vm="1604">
        <f>_FV(0,"0693089953461521")</f>
        <v>#VALUE!</v>
      </c>
      <c r="I3650" t="s">
        <v>23179</v>
      </c>
      <c r="J3650" t="s">
        <v>23180</v>
      </c>
      <c r="K3650" t="s">
        <v>23181</v>
      </c>
      <c r="L3650" t="s">
        <v>23175</v>
      </c>
    </row>
    <row r="3651" spans="1:12" x14ac:dyDescent="0.25">
      <c r="A3651">
        <v>646653</v>
      </c>
      <c r="B3651">
        <v>646677</v>
      </c>
      <c r="D3651">
        <v>0</v>
      </c>
      <c r="F3651">
        <v>654825</v>
      </c>
      <c r="G3651">
        <v>646677</v>
      </c>
      <c r="H3651" t="s">
        <v>187</v>
      </c>
      <c r="I3651">
        <v>646653</v>
      </c>
      <c r="J3651" t="s">
        <v>187</v>
      </c>
      <c r="K3651" t="s">
        <v>23182</v>
      </c>
      <c r="L3651" t="s">
        <v>187</v>
      </c>
    </row>
    <row r="3652" spans="1:12" x14ac:dyDescent="0.25">
      <c r="A3652">
        <v>646653</v>
      </c>
      <c r="B3652">
        <v>944789</v>
      </c>
      <c r="D3652">
        <v>0</v>
      </c>
      <c r="E3652" t="s">
        <v>23184</v>
      </c>
      <c r="F3652" t="s">
        <v>23185</v>
      </c>
      <c r="G3652" t="s">
        <v>23186</v>
      </c>
      <c r="H3652" t="s">
        <v>23187</v>
      </c>
      <c r="I3652" t="s">
        <v>23188</v>
      </c>
      <c r="J3652" t="s">
        <v>23183</v>
      </c>
      <c r="K3652" t="s">
        <v>23189</v>
      </c>
      <c r="L3652" t="s">
        <v>23183</v>
      </c>
    </row>
    <row r="3653" spans="1:12" x14ac:dyDescent="0.25">
      <c r="A3653">
        <v>646677</v>
      </c>
      <c r="B3653">
        <v>944789</v>
      </c>
      <c r="D3653">
        <v>0</v>
      </c>
      <c r="E3653" t="s">
        <v>23191</v>
      </c>
      <c r="F3653" t="s">
        <v>23192</v>
      </c>
      <c r="G3653" t="s">
        <v>23193</v>
      </c>
      <c r="H3653" t="s">
        <v>23194</v>
      </c>
      <c r="I3653" t="s">
        <v>23195</v>
      </c>
      <c r="J3653" t="s">
        <v>23196</v>
      </c>
      <c r="K3653" t="s">
        <v>23197</v>
      </c>
      <c r="L3653" t="s">
        <v>23190</v>
      </c>
    </row>
    <row r="3654" spans="1:12" x14ac:dyDescent="0.25">
      <c r="A3654">
        <v>647963</v>
      </c>
      <c r="B3654">
        <v>647964</v>
      </c>
      <c r="D3654">
        <v>0</v>
      </c>
      <c r="F3654">
        <v>656422</v>
      </c>
      <c r="G3654">
        <v>647964</v>
      </c>
      <c r="H3654" t="s">
        <v>1333</v>
      </c>
      <c r="I3654">
        <v>647963</v>
      </c>
      <c r="J3654" t="s">
        <v>1333</v>
      </c>
      <c r="K3654" t="s">
        <v>23198</v>
      </c>
      <c r="L3654" t="s">
        <v>1333</v>
      </c>
    </row>
    <row r="3655" spans="1:12" x14ac:dyDescent="0.25">
      <c r="A3655">
        <v>647963</v>
      </c>
      <c r="B3655">
        <v>736707</v>
      </c>
      <c r="D3655">
        <v>0</v>
      </c>
      <c r="E3655" t="s">
        <v>23200</v>
      </c>
      <c r="F3655" t="s">
        <v>23201</v>
      </c>
      <c r="G3655" t="s">
        <v>23202</v>
      </c>
      <c r="H3655" t="s">
        <v>23203</v>
      </c>
      <c r="I3655" t="s">
        <v>23204</v>
      </c>
      <c r="J3655" t="s">
        <v>23199</v>
      </c>
      <c r="K3655" t="s">
        <v>23205</v>
      </c>
      <c r="L3655" t="s">
        <v>23199</v>
      </c>
    </row>
    <row r="3656" spans="1:12" x14ac:dyDescent="0.25">
      <c r="A3656">
        <v>647964</v>
      </c>
      <c r="B3656">
        <v>366498</v>
      </c>
      <c r="C3656" t="s">
        <v>23207</v>
      </c>
      <c r="D3656">
        <v>0</v>
      </c>
      <c r="E3656" t="s">
        <v>23208</v>
      </c>
      <c r="F3656" t="s">
        <v>23209</v>
      </c>
      <c r="G3656" t="s">
        <v>23210</v>
      </c>
      <c r="H3656" t="e" vm="1605">
        <f>_FV(0,"002093435892533774")</f>
        <v>#VALUE!</v>
      </c>
      <c r="I3656" t="s">
        <v>23211</v>
      </c>
      <c r="J3656" t="s">
        <v>23212</v>
      </c>
      <c r="K3656" t="s">
        <v>23213</v>
      </c>
      <c r="L3656" t="s">
        <v>23206</v>
      </c>
    </row>
    <row r="3657" spans="1:12" x14ac:dyDescent="0.25">
      <c r="A3657">
        <v>648163</v>
      </c>
      <c r="B3657">
        <v>648172</v>
      </c>
      <c r="D3657">
        <v>0</v>
      </c>
      <c r="E3657" t="s">
        <v>23214</v>
      </c>
      <c r="F3657" t="s">
        <v>23215</v>
      </c>
      <c r="G3657" t="s">
        <v>23216</v>
      </c>
      <c r="H3657" t="s">
        <v>23217</v>
      </c>
      <c r="I3657" t="s">
        <v>23218</v>
      </c>
      <c r="J3657" t="s">
        <v>20280</v>
      </c>
      <c r="K3657" t="s">
        <v>23219</v>
      </c>
      <c r="L3657" t="s">
        <v>20280</v>
      </c>
    </row>
    <row r="3658" spans="1:12" x14ac:dyDescent="0.25">
      <c r="A3658">
        <v>648163</v>
      </c>
      <c r="B3658">
        <v>1797437</v>
      </c>
      <c r="D3658">
        <v>0</v>
      </c>
      <c r="E3658" t="s">
        <v>23221</v>
      </c>
      <c r="F3658" t="s">
        <v>23222</v>
      </c>
      <c r="G3658" t="s">
        <v>23223</v>
      </c>
      <c r="H3658" t="e" vm="1606">
        <f>_FV(0,"017136256762991676")</f>
        <v>#VALUE!</v>
      </c>
      <c r="I3658" t="s">
        <v>23224</v>
      </c>
      <c r="J3658" t="s">
        <v>23225</v>
      </c>
      <c r="K3658" t="s">
        <v>23226</v>
      </c>
      <c r="L3658" t="s">
        <v>23220</v>
      </c>
    </row>
    <row r="3659" spans="1:12" x14ac:dyDescent="0.25">
      <c r="A3659">
        <v>648172</v>
      </c>
      <c r="B3659">
        <v>1797491</v>
      </c>
      <c r="D3659">
        <v>0</v>
      </c>
      <c r="E3659" t="s">
        <v>23228</v>
      </c>
      <c r="F3659" t="s">
        <v>23229</v>
      </c>
      <c r="G3659" t="s">
        <v>23230</v>
      </c>
      <c r="H3659" t="e" vm="1607">
        <f>_FV(0,"010010740911311785")</f>
        <v>#VALUE!</v>
      </c>
      <c r="I3659" t="s">
        <v>23231</v>
      </c>
      <c r="J3659" t="s">
        <v>23232</v>
      </c>
      <c r="K3659" t="s">
        <v>23233</v>
      </c>
      <c r="L3659" t="s">
        <v>23227</v>
      </c>
    </row>
    <row r="3660" spans="1:12" x14ac:dyDescent="0.25">
      <c r="A3660">
        <v>648476</v>
      </c>
      <c r="B3660">
        <v>648530</v>
      </c>
      <c r="D3660">
        <v>0</v>
      </c>
      <c r="E3660" t="s">
        <v>23235</v>
      </c>
      <c r="F3660" t="s">
        <v>23236</v>
      </c>
      <c r="G3660" t="s">
        <v>23237</v>
      </c>
      <c r="H3660" t="e" vm="1608">
        <f>_FV(0,"024879430977301616")</f>
        <v>#VALUE!</v>
      </c>
      <c r="I3660" t="s">
        <v>23238</v>
      </c>
      <c r="J3660" t="s">
        <v>23239</v>
      </c>
      <c r="K3660" t="s">
        <v>23240</v>
      </c>
      <c r="L3660" t="s">
        <v>23234</v>
      </c>
    </row>
    <row r="3661" spans="1:12" x14ac:dyDescent="0.25">
      <c r="A3661">
        <v>648476</v>
      </c>
      <c r="B3661">
        <v>1831911</v>
      </c>
      <c r="D3661">
        <v>0</v>
      </c>
      <c r="F3661">
        <v>2128267</v>
      </c>
      <c r="G3661">
        <v>648476</v>
      </c>
      <c r="H3661" t="e" vm="1609">
        <f>_FV(0,"338")</f>
        <v>#VALUE!</v>
      </c>
      <c r="I3661">
        <v>1831911</v>
      </c>
      <c r="J3661" t="s">
        <v>23241</v>
      </c>
      <c r="K3661" t="s">
        <v>23242</v>
      </c>
      <c r="L3661" t="e" vm="1609">
        <f>_FV(0,"338")</f>
        <v>#VALUE!</v>
      </c>
    </row>
    <row r="3662" spans="1:12" x14ac:dyDescent="0.25">
      <c r="A3662">
        <v>648476</v>
      </c>
      <c r="B3662">
        <v>1850595</v>
      </c>
      <c r="D3662">
        <v>0</v>
      </c>
      <c r="E3662" t="s">
        <v>23244</v>
      </c>
      <c r="F3662" t="s">
        <v>23245</v>
      </c>
      <c r="G3662" t="s">
        <v>23246</v>
      </c>
      <c r="H3662" t="e" vm="1610">
        <f>_FV(0,"03895820087407763")</f>
        <v>#VALUE!</v>
      </c>
      <c r="I3662" t="s">
        <v>23247</v>
      </c>
      <c r="J3662" t="s">
        <v>23248</v>
      </c>
      <c r="K3662" t="s">
        <v>23249</v>
      </c>
      <c r="L3662" t="s">
        <v>23243</v>
      </c>
    </row>
    <row r="3663" spans="1:12" x14ac:dyDescent="0.25">
      <c r="A3663">
        <v>648519</v>
      </c>
      <c r="B3663">
        <v>648521</v>
      </c>
      <c r="D3663">
        <v>0</v>
      </c>
      <c r="E3663" t="s">
        <v>23251</v>
      </c>
      <c r="F3663" t="s">
        <v>23252</v>
      </c>
      <c r="G3663" t="s">
        <v>23253</v>
      </c>
      <c r="H3663" t="s">
        <v>23254</v>
      </c>
      <c r="I3663" t="s">
        <v>23255</v>
      </c>
      <c r="J3663" t="s">
        <v>23256</v>
      </c>
      <c r="K3663" t="s">
        <v>23257</v>
      </c>
      <c r="L3663" t="s">
        <v>23250</v>
      </c>
    </row>
    <row r="3664" spans="1:12" x14ac:dyDescent="0.25">
      <c r="A3664">
        <v>648519</v>
      </c>
      <c r="B3664">
        <v>1831888</v>
      </c>
      <c r="D3664">
        <v>0</v>
      </c>
      <c r="F3664">
        <v>2128235</v>
      </c>
      <c r="G3664">
        <v>648519</v>
      </c>
      <c r="H3664" t="e" vm="1611">
        <f>_FV(0,"241")</f>
        <v>#VALUE!</v>
      </c>
      <c r="I3664">
        <v>1831888</v>
      </c>
      <c r="J3664" t="s">
        <v>23258</v>
      </c>
      <c r="K3664" t="s">
        <v>23259</v>
      </c>
      <c r="L3664" t="e" vm="1611">
        <f>_FV(0,"241")</f>
        <v>#VALUE!</v>
      </c>
    </row>
    <row r="3665" spans="1:12" x14ac:dyDescent="0.25">
      <c r="A3665">
        <v>648519</v>
      </c>
      <c r="B3665">
        <v>1850554</v>
      </c>
      <c r="D3665">
        <v>0</v>
      </c>
      <c r="E3665" t="s">
        <v>23261</v>
      </c>
      <c r="F3665" t="s">
        <v>23262</v>
      </c>
      <c r="G3665" t="s">
        <v>23263</v>
      </c>
      <c r="H3665" t="s">
        <v>23264</v>
      </c>
      <c r="I3665" t="s">
        <v>23265</v>
      </c>
      <c r="J3665" t="s">
        <v>23260</v>
      </c>
      <c r="K3665" t="s">
        <v>23266</v>
      </c>
      <c r="L3665" t="s">
        <v>23260</v>
      </c>
    </row>
    <row r="3666" spans="1:12" x14ac:dyDescent="0.25">
      <c r="A3666">
        <v>648521</v>
      </c>
      <c r="B3666">
        <v>1831880</v>
      </c>
      <c r="D3666">
        <v>0</v>
      </c>
      <c r="F3666">
        <v>2128211</v>
      </c>
      <c r="G3666">
        <v>1831880</v>
      </c>
      <c r="H3666" t="s">
        <v>23267</v>
      </c>
      <c r="I3666">
        <v>648521</v>
      </c>
      <c r="J3666" t="s">
        <v>23267</v>
      </c>
      <c r="K3666" t="s">
        <v>23268</v>
      </c>
      <c r="L3666" t="s">
        <v>23267</v>
      </c>
    </row>
    <row r="3667" spans="1:12" x14ac:dyDescent="0.25">
      <c r="A3667">
        <v>648521</v>
      </c>
      <c r="B3667">
        <v>1850801</v>
      </c>
      <c r="D3667">
        <v>0</v>
      </c>
      <c r="E3667" t="s">
        <v>23270</v>
      </c>
      <c r="F3667" t="s">
        <v>23271</v>
      </c>
      <c r="G3667" t="s">
        <v>23272</v>
      </c>
      <c r="H3667" t="s">
        <v>23273</v>
      </c>
      <c r="I3667" t="s">
        <v>23274</v>
      </c>
      <c r="J3667" t="s">
        <v>23269</v>
      </c>
      <c r="K3667" t="s">
        <v>23275</v>
      </c>
      <c r="L3667" t="s">
        <v>23269</v>
      </c>
    </row>
    <row r="3668" spans="1:12" x14ac:dyDescent="0.25">
      <c r="A3668">
        <v>648530</v>
      </c>
      <c r="B3668">
        <v>1831943</v>
      </c>
      <c r="D3668">
        <v>0</v>
      </c>
      <c r="F3668">
        <v>2128307</v>
      </c>
      <c r="G3668">
        <v>1831943</v>
      </c>
      <c r="H3668" t="s">
        <v>23276</v>
      </c>
      <c r="I3668">
        <v>648530</v>
      </c>
      <c r="J3668" t="s">
        <v>23276</v>
      </c>
      <c r="K3668" t="s">
        <v>23277</v>
      </c>
      <c r="L3668" t="s">
        <v>23276</v>
      </c>
    </row>
    <row r="3669" spans="1:12" x14ac:dyDescent="0.25">
      <c r="A3669">
        <v>648530</v>
      </c>
      <c r="B3669">
        <v>1850591</v>
      </c>
      <c r="D3669">
        <v>0</v>
      </c>
      <c r="E3669" t="s">
        <v>23279</v>
      </c>
      <c r="F3669" t="s">
        <v>23280</v>
      </c>
      <c r="G3669" t="s">
        <v>23281</v>
      </c>
      <c r="H3669" t="e" vm="1612">
        <f>_FV(0,"018950550456057532")</f>
        <v>#VALUE!</v>
      </c>
      <c r="I3669" t="s">
        <v>23282</v>
      </c>
      <c r="J3669" t="s">
        <v>23283</v>
      </c>
      <c r="K3669" t="s">
        <v>23284</v>
      </c>
      <c r="L3669" t="s">
        <v>23278</v>
      </c>
    </row>
    <row r="3670" spans="1:12" x14ac:dyDescent="0.25">
      <c r="A3670">
        <v>648692</v>
      </c>
      <c r="B3670">
        <v>1827940</v>
      </c>
      <c r="D3670">
        <v>0</v>
      </c>
      <c r="F3670">
        <v>2121306</v>
      </c>
      <c r="G3670">
        <v>1827940</v>
      </c>
      <c r="H3670" t="e" vm="1613">
        <f>_FV(0,"086")</f>
        <v>#VALUE!</v>
      </c>
      <c r="I3670">
        <v>648692</v>
      </c>
      <c r="J3670" t="s">
        <v>23285</v>
      </c>
      <c r="K3670" t="s">
        <v>23286</v>
      </c>
      <c r="L3670" t="e" vm="1613">
        <f>_FV(0,"086")</f>
        <v>#VALUE!</v>
      </c>
    </row>
    <row r="3671" spans="1:12" x14ac:dyDescent="0.25">
      <c r="A3671">
        <v>648692</v>
      </c>
      <c r="B3671">
        <v>1828019</v>
      </c>
      <c r="D3671" t="s">
        <v>10659</v>
      </c>
      <c r="E3671" t="s">
        <v>23288</v>
      </c>
      <c r="F3671" t="s">
        <v>23289</v>
      </c>
      <c r="G3671" t="s">
        <v>23290</v>
      </c>
      <c r="H3671" t="e" vm="1614">
        <f>_FV(0,"01286569112990924")</f>
        <v>#VALUE!</v>
      </c>
      <c r="I3671" t="s">
        <v>23291</v>
      </c>
      <c r="J3671" t="s">
        <v>23292</v>
      </c>
      <c r="K3671" t="s">
        <v>23293</v>
      </c>
      <c r="L3671" t="s">
        <v>23287</v>
      </c>
    </row>
    <row r="3672" spans="1:12" x14ac:dyDescent="0.25">
      <c r="A3672">
        <v>648692</v>
      </c>
      <c r="B3672">
        <v>648835</v>
      </c>
      <c r="D3672">
        <v>0</v>
      </c>
      <c r="E3672" t="s">
        <v>23295</v>
      </c>
      <c r="F3672" t="s">
        <v>23296</v>
      </c>
      <c r="G3672" t="s">
        <v>23297</v>
      </c>
      <c r="H3672" t="e" vm="1615">
        <f>_FV(0,"008562227728252329")</f>
        <v>#VALUE!</v>
      </c>
      <c r="I3672" t="s">
        <v>23298</v>
      </c>
      <c r="J3672" t="s">
        <v>23299</v>
      </c>
      <c r="K3672" t="s">
        <v>23300</v>
      </c>
      <c r="L3672" t="s">
        <v>23294</v>
      </c>
    </row>
    <row r="3673" spans="1:12" x14ac:dyDescent="0.25">
      <c r="A3673">
        <v>648709</v>
      </c>
      <c r="B3673">
        <v>1827985</v>
      </c>
      <c r="D3673">
        <v>0</v>
      </c>
      <c r="F3673">
        <v>2121402</v>
      </c>
      <c r="G3673">
        <v>1827985</v>
      </c>
      <c r="H3673" t="e" vm="713">
        <f>_FV(0,"227")</f>
        <v>#VALUE!</v>
      </c>
      <c r="I3673">
        <v>648709</v>
      </c>
      <c r="J3673" t="s">
        <v>10516</v>
      </c>
      <c r="K3673" t="s">
        <v>23301</v>
      </c>
      <c r="L3673" t="e" vm="713">
        <f>_FV(0,"227")</f>
        <v>#VALUE!</v>
      </c>
    </row>
    <row r="3674" spans="1:12" x14ac:dyDescent="0.25">
      <c r="A3674">
        <v>648709</v>
      </c>
      <c r="B3674">
        <v>649016</v>
      </c>
      <c r="D3674">
        <v>0</v>
      </c>
      <c r="E3674" t="s">
        <v>23303</v>
      </c>
      <c r="F3674" t="s">
        <v>23304</v>
      </c>
      <c r="G3674" t="s">
        <v>23305</v>
      </c>
      <c r="H3674" t="s">
        <v>23306</v>
      </c>
      <c r="I3674" t="s">
        <v>23307</v>
      </c>
      <c r="J3674" t="s">
        <v>23308</v>
      </c>
      <c r="K3674" t="s">
        <v>23309</v>
      </c>
      <c r="L3674" t="s">
        <v>23302</v>
      </c>
    </row>
    <row r="3675" spans="1:12" x14ac:dyDescent="0.25">
      <c r="A3675">
        <v>648709</v>
      </c>
      <c r="B3675">
        <v>649190</v>
      </c>
      <c r="D3675">
        <v>0</v>
      </c>
      <c r="E3675" t="s">
        <v>23311</v>
      </c>
      <c r="F3675" t="s">
        <v>23312</v>
      </c>
      <c r="G3675" t="s">
        <v>23313</v>
      </c>
      <c r="H3675" t="s">
        <v>23314</v>
      </c>
      <c r="I3675" t="s">
        <v>23315</v>
      </c>
      <c r="J3675" t="s">
        <v>23316</v>
      </c>
      <c r="K3675" t="s">
        <v>23317</v>
      </c>
      <c r="L3675" t="s">
        <v>23310</v>
      </c>
    </row>
    <row r="3676" spans="1:12" x14ac:dyDescent="0.25">
      <c r="A3676">
        <v>648835</v>
      </c>
      <c r="B3676">
        <v>648936</v>
      </c>
      <c r="D3676">
        <v>0</v>
      </c>
      <c r="E3676" t="s">
        <v>23319</v>
      </c>
      <c r="F3676" t="s">
        <v>23320</v>
      </c>
      <c r="G3676" t="s">
        <v>23321</v>
      </c>
      <c r="H3676" t="e" vm="1616">
        <f>_FV(0,"013096027829038757")</f>
        <v>#VALUE!</v>
      </c>
      <c r="I3676" t="s">
        <v>23322</v>
      </c>
      <c r="J3676" t="s">
        <v>23323</v>
      </c>
      <c r="K3676" t="s">
        <v>23324</v>
      </c>
      <c r="L3676" t="s">
        <v>23318</v>
      </c>
    </row>
    <row r="3677" spans="1:12" x14ac:dyDescent="0.25">
      <c r="A3677">
        <v>648835</v>
      </c>
      <c r="B3677">
        <v>1827948</v>
      </c>
      <c r="D3677">
        <v>0</v>
      </c>
      <c r="F3677">
        <v>2121330</v>
      </c>
      <c r="G3677">
        <v>648835</v>
      </c>
      <c r="H3677" t="s">
        <v>1359</v>
      </c>
      <c r="I3677">
        <v>1827948</v>
      </c>
      <c r="J3677" t="s">
        <v>1359</v>
      </c>
      <c r="K3677" t="s">
        <v>23325</v>
      </c>
      <c r="L3677" t="s">
        <v>1359</v>
      </c>
    </row>
    <row r="3678" spans="1:12" x14ac:dyDescent="0.25">
      <c r="A3678">
        <v>648861</v>
      </c>
      <c r="B3678">
        <v>649190</v>
      </c>
      <c r="D3678" t="s">
        <v>10069</v>
      </c>
      <c r="E3678" t="s">
        <v>23327</v>
      </c>
      <c r="F3678" t="s">
        <v>23328</v>
      </c>
      <c r="G3678" t="s">
        <v>23329</v>
      </c>
      <c r="H3678" t="s">
        <v>23330</v>
      </c>
      <c r="I3678" t="s">
        <v>23331</v>
      </c>
      <c r="J3678" t="s">
        <v>23326</v>
      </c>
      <c r="K3678" t="s">
        <v>23332</v>
      </c>
      <c r="L3678" t="s">
        <v>23326</v>
      </c>
    </row>
    <row r="3679" spans="1:12" x14ac:dyDescent="0.25">
      <c r="A3679">
        <v>648861</v>
      </c>
      <c r="B3679">
        <v>649004</v>
      </c>
      <c r="D3679">
        <v>0</v>
      </c>
      <c r="E3679" t="s">
        <v>23333</v>
      </c>
      <c r="F3679" t="s">
        <v>23334</v>
      </c>
      <c r="G3679" t="s">
        <v>23335</v>
      </c>
      <c r="H3679" t="s">
        <v>23336</v>
      </c>
      <c r="I3679" t="s">
        <v>23337</v>
      </c>
      <c r="J3679" t="s">
        <v>20280</v>
      </c>
      <c r="K3679" t="s">
        <v>23338</v>
      </c>
      <c r="L3679" t="s">
        <v>20280</v>
      </c>
    </row>
    <row r="3680" spans="1:12" x14ac:dyDescent="0.25">
      <c r="A3680">
        <v>648936</v>
      </c>
      <c r="B3680">
        <v>648992</v>
      </c>
      <c r="D3680" t="s">
        <v>23340</v>
      </c>
      <c r="E3680" t="s">
        <v>23341</v>
      </c>
      <c r="F3680" t="s">
        <v>23342</v>
      </c>
      <c r="G3680" t="s">
        <v>23343</v>
      </c>
      <c r="H3680" t="e" vm="1617">
        <f>_FV(0,"013243675931973328")</f>
        <v>#VALUE!</v>
      </c>
      <c r="I3680" t="s">
        <v>23344</v>
      </c>
      <c r="J3680" t="s">
        <v>23345</v>
      </c>
      <c r="K3680" t="s">
        <v>23346</v>
      </c>
      <c r="L3680" t="s">
        <v>23339</v>
      </c>
    </row>
    <row r="3681" spans="1:12" x14ac:dyDescent="0.25">
      <c r="A3681">
        <v>648936</v>
      </c>
      <c r="B3681">
        <v>1050182</v>
      </c>
      <c r="D3681">
        <v>0</v>
      </c>
      <c r="E3681" t="s">
        <v>23348</v>
      </c>
      <c r="F3681" t="s">
        <v>23349</v>
      </c>
      <c r="G3681" t="s">
        <v>23350</v>
      </c>
      <c r="H3681" t="e" vm="1618">
        <f>_FV(0,"003796084225894226")</f>
        <v>#VALUE!</v>
      </c>
      <c r="I3681" t="s">
        <v>23351</v>
      </c>
      <c r="J3681" t="s">
        <v>23352</v>
      </c>
      <c r="K3681" t="s">
        <v>23353</v>
      </c>
      <c r="L3681" t="s">
        <v>23347</v>
      </c>
    </row>
    <row r="3682" spans="1:12" x14ac:dyDescent="0.25">
      <c r="A3682">
        <v>648992</v>
      </c>
      <c r="B3682">
        <v>1828019</v>
      </c>
      <c r="D3682">
        <v>0</v>
      </c>
      <c r="E3682" t="s">
        <v>23355</v>
      </c>
      <c r="F3682" t="s">
        <v>23356</v>
      </c>
      <c r="G3682" t="s">
        <v>23357</v>
      </c>
      <c r="H3682" t="e" vm="1619">
        <f>_FV(0,"01391450809827205")</f>
        <v>#VALUE!</v>
      </c>
      <c r="I3682" t="s">
        <v>23358</v>
      </c>
      <c r="J3682" t="s">
        <v>23359</v>
      </c>
      <c r="K3682" t="s">
        <v>23360</v>
      </c>
      <c r="L3682" t="s">
        <v>23354</v>
      </c>
    </row>
    <row r="3683" spans="1:12" x14ac:dyDescent="0.25">
      <c r="A3683">
        <v>649004</v>
      </c>
      <c r="B3683">
        <v>649016</v>
      </c>
      <c r="D3683" t="s">
        <v>23362</v>
      </c>
      <c r="E3683" t="s">
        <v>23363</v>
      </c>
      <c r="F3683" t="s">
        <v>23364</v>
      </c>
      <c r="G3683" t="s">
        <v>23365</v>
      </c>
      <c r="H3683" t="e" vm="1620">
        <f>_FV(0,"011710763729499148")</f>
        <v>#VALUE!</v>
      </c>
      <c r="I3683" t="s">
        <v>23366</v>
      </c>
      <c r="J3683" t="s">
        <v>23367</v>
      </c>
      <c r="K3683" t="s">
        <v>23368</v>
      </c>
      <c r="L3683" t="s">
        <v>23361</v>
      </c>
    </row>
    <row r="3684" spans="1:12" x14ac:dyDescent="0.25">
      <c r="A3684">
        <v>649016</v>
      </c>
      <c r="B3684">
        <v>1050042</v>
      </c>
      <c r="D3684">
        <v>0</v>
      </c>
      <c r="E3684" t="s">
        <v>23370</v>
      </c>
      <c r="F3684" t="s">
        <v>23371</v>
      </c>
      <c r="G3684" t="s">
        <v>23372</v>
      </c>
      <c r="H3684" t="e" vm="1621">
        <f>_FV(0,"004580987746495928")</f>
        <v>#VALUE!</v>
      </c>
      <c r="I3684" t="s">
        <v>23373</v>
      </c>
      <c r="J3684" t="s">
        <v>23374</v>
      </c>
      <c r="K3684" t="s">
        <v>23375</v>
      </c>
      <c r="L3684" t="s">
        <v>23369</v>
      </c>
    </row>
    <row r="3685" spans="1:12" x14ac:dyDescent="0.25">
      <c r="A3685">
        <v>649190</v>
      </c>
      <c r="B3685">
        <v>1827971</v>
      </c>
      <c r="D3685">
        <v>0</v>
      </c>
      <c r="F3685">
        <v>2121378</v>
      </c>
      <c r="G3685">
        <v>649190</v>
      </c>
      <c r="H3685" t="s">
        <v>23376</v>
      </c>
      <c r="I3685">
        <v>1827971</v>
      </c>
      <c r="J3685" t="s">
        <v>23376</v>
      </c>
      <c r="K3685" t="s">
        <v>23377</v>
      </c>
      <c r="L3685" t="s">
        <v>23376</v>
      </c>
    </row>
    <row r="3686" spans="1:12" x14ac:dyDescent="0.25">
      <c r="A3686">
        <v>651465</v>
      </c>
      <c r="B3686">
        <v>651466</v>
      </c>
      <c r="D3686">
        <v>0</v>
      </c>
      <c r="F3686">
        <v>660299</v>
      </c>
      <c r="G3686">
        <v>651466</v>
      </c>
      <c r="H3686" t="s">
        <v>2871</v>
      </c>
      <c r="I3686">
        <v>651465</v>
      </c>
      <c r="J3686" t="s">
        <v>2871</v>
      </c>
      <c r="K3686" t="s">
        <v>23378</v>
      </c>
      <c r="L3686" t="s">
        <v>2871</v>
      </c>
    </row>
    <row r="3687" spans="1:12" x14ac:dyDescent="0.25">
      <c r="A3687">
        <v>651465</v>
      </c>
      <c r="B3687">
        <v>651532</v>
      </c>
      <c r="D3687">
        <v>0</v>
      </c>
      <c r="E3687" t="s">
        <v>23380</v>
      </c>
      <c r="F3687" t="s">
        <v>23381</v>
      </c>
      <c r="G3687" t="s">
        <v>23382</v>
      </c>
      <c r="H3687" t="e" vm="1622">
        <f>_FV(0,"00966798482312685")</f>
        <v>#VALUE!</v>
      </c>
      <c r="I3687" t="s">
        <v>23383</v>
      </c>
      <c r="J3687" t="s">
        <v>23384</v>
      </c>
      <c r="K3687" t="s">
        <v>23385</v>
      </c>
      <c r="L3687" t="s">
        <v>23379</v>
      </c>
    </row>
    <row r="3688" spans="1:12" x14ac:dyDescent="0.25">
      <c r="A3688">
        <v>651466</v>
      </c>
      <c r="B3688">
        <v>651476</v>
      </c>
      <c r="D3688">
        <v>0</v>
      </c>
      <c r="F3688">
        <v>660307</v>
      </c>
      <c r="G3688">
        <v>651476</v>
      </c>
      <c r="H3688" t="s">
        <v>668</v>
      </c>
      <c r="I3688">
        <v>651466</v>
      </c>
      <c r="J3688" t="s">
        <v>668</v>
      </c>
      <c r="K3688" t="s">
        <v>23386</v>
      </c>
      <c r="L3688" t="s">
        <v>668</v>
      </c>
    </row>
    <row r="3689" spans="1:12" x14ac:dyDescent="0.25">
      <c r="A3689">
        <v>651466</v>
      </c>
      <c r="B3689">
        <v>673499</v>
      </c>
      <c r="D3689">
        <v>0</v>
      </c>
      <c r="E3689" t="s">
        <v>23388</v>
      </c>
      <c r="F3689" t="s">
        <v>23389</v>
      </c>
      <c r="G3689" t="s">
        <v>23390</v>
      </c>
      <c r="H3689" t="e" vm="1623">
        <f>_FV(0,"003949753171794952")</f>
        <v>#VALUE!</v>
      </c>
      <c r="I3689" t="s">
        <v>23391</v>
      </c>
      <c r="J3689" t="s">
        <v>23392</v>
      </c>
      <c r="K3689" t="s">
        <v>23393</v>
      </c>
      <c r="L3689" t="s">
        <v>23387</v>
      </c>
    </row>
    <row r="3690" spans="1:12" x14ac:dyDescent="0.25">
      <c r="A3690">
        <v>651476</v>
      </c>
      <c r="B3690">
        <v>651532</v>
      </c>
      <c r="D3690">
        <v>0</v>
      </c>
      <c r="E3690" t="s">
        <v>23395</v>
      </c>
      <c r="F3690" t="s">
        <v>23396</v>
      </c>
      <c r="G3690" t="s">
        <v>23397</v>
      </c>
      <c r="H3690" t="e" vm="1624">
        <f>_FV(0,"019700582896943427")</f>
        <v>#VALUE!</v>
      </c>
      <c r="I3690" t="s">
        <v>23398</v>
      </c>
      <c r="J3690" t="s">
        <v>23399</v>
      </c>
      <c r="K3690" t="s">
        <v>23400</v>
      </c>
      <c r="L3690" t="s">
        <v>23394</v>
      </c>
    </row>
    <row r="3691" spans="1:12" x14ac:dyDescent="0.25">
      <c r="A3691">
        <v>651476</v>
      </c>
      <c r="B3691">
        <v>673244</v>
      </c>
      <c r="D3691">
        <v>0</v>
      </c>
      <c r="E3691" t="s">
        <v>23402</v>
      </c>
      <c r="F3691" t="s">
        <v>23403</v>
      </c>
      <c r="G3691" t="s">
        <v>23404</v>
      </c>
      <c r="H3691" t="s">
        <v>23405</v>
      </c>
      <c r="I3691" t="s">
        <v>23406</v>
      </c>
      <c r="J3691" t="s">
        <v>23407</v>
      </c>
      <c r="K3691" t="s">
        <v>23408</v>
      </c>
      <c r="L3691" t="s">
        <v>23401</v>
      </c>
    </row>
    <row r="3692" spans="1:12" x14ac:dyDescent="0.25">
      <c r="A3692">
        <v>651903</v>
      </c>
      <c r="B3692">
        <v>651911</v>
      </c>
      <c r="D3692">
        <v>0</v>
      </c>
      <c r="E3692" t="s">
        <v>23410</v>
      </c>
      <c r="F3692" t="s">
        <v>23411</v>
      </c>
      <c r="G3692" t="s">
        <v>23412</v>
      </c>
      <c r="H3692" t="s">
        <v>23413</v>
      </c>
      <c r="I3692" t="s">
        <v>23414</v>
      </c>
      <c r="J3692" t="s">
        <v>23415</v>
      </c>
      <c r="K3692" t="s">
        <v>23416</v>
      </c>
      <c r="L3692" t="s">
        <v>23409</v>
      </c>
    </row>
    <row r="3693" spans="1:12" x14ac:dyDescent="0.25">
      <c r="A3693">
        <v>651903</v>
      </c>
      <c r="B3693">
        <v>1291241</v>
      </c>
      <c r="D3693" t="s">
        <v>514</v>
      </c>
      <c r="E3693" t="s">
        <v>23418</v>
      </c>
      <c r="F3693" t="s">
        <v>23419</v>
      </c>
      <c r="G3693" t="s">
        <v>23420</v>
      </c>
      <c r="H3693" t="s">
        <v>23421</v>
      </c>
      <c r="I3693" t="s">
        <v>23422</v>
      </c>
      <c r="J3693" t="s">
        <v>23417</v>
      </c>
      <c r="K3693" t="s">
        <v>23423</v>
      </c>
      <c r="L3693" t="s">
        <v>23417</v>
      </c>
    </row>
    <row r="3694" spans="1:12" x14ac:dyDescent="0.25">
      <c r="A3694">
        <v>651911</v>
      </c>
      <c r="B3694">
        <v>1602247</v>
      </c>
      <c r="D3694">
        <v>0</v>
      </c>
      <c r="E3694" t="s">
        <v>23425</v>
      </c>
      <c r="F3694" t="s">
        <v>23426</v>
      </c>
      <c r="G3694" t="s">
        <v>23427</v>
      </c>
      <c r="H3694" t="e" vm="1625">
        <f>_FV(0,"09525672851846949")</f>
        <v>#VALUE!</v>
      </c>
      <c r="I3694" t="s">
        <v>23428</v>
      </c>
      <c r="J3694" t="s">
        <v>23429</v>
      </c>
      <c r="K3694" t="s">
        <v>23430</v>
      </c>
      <c r="L3694" t="s">
        <v>23424</v>
      </c>
    </row>
    <row r="3695" spans="1:12" x14ac:dyDescent="0.25">
      <c r="A3695">
        <v>652355</v>
      </c>
      <c r="B3695">
        <v>652356</v>
      </c>
      <c r="D3695">
        <v>0</v>
      </c>
      <c r="F3695">
        <v>661149</v>
      </c>
      <c r="G3695">
        <v>652356</v>
      </c>
      <c r="H3695" t="s">
        <v>6474</v>
      </c>
      <c r="I3695">
        <v>652355</v>
      </c>
      <c r="J3695" t="s">
        <v>6474</v>
      </c>
      <c r="K3695" t="s">
        <v>23431</v>
      </c>
      <c r="L3695" t="s">
        <v>6474</v>
      </c>
    </row>
    <row r="3696" spans="1:12" x14ac:dyDescent="0.25">
      <c r="A3696">
        <v>652355</v>
      </c>
      <c r="B3696">
        <v>652390</v>
      </c>
      <c r="D3696">
        <v>0</v>
      </c>
      <c r="E3696" t="s">
        <v>23433</v>
      </c>
      <c r="F3696" t="s">
        <v>23434</v>
      </c>
      <c r="G3696" t="s">
        <v>23435</v>
      </c>
      <c r="H3696" t="e" vm="1626">
        <f>_FV(0,"006830068299555654")</f>
        <v>#VALUE!</v>
      </c>
      <c r="I3696" t="s">
        <v>23436</v>
      </c>
      <c r="J3696" t="s">
        <v>23437</v>
      </c>
      <c r="K3696" t="s">
        <v>23438</v>
      </c>
      <c r="L3696" t="s">
        <v>23432</v>
      </c>
    </row>
    <row r="3697" spans="1:12" x14ac:dyDescent="0.25">
      <c r="A3697">
        <v>652355</v>
      </c>
      <c r="B3697">
        <v>652431</v>
      </c>
      <c r="D3697">
        <v>0</v>
      </c>
      <c r="E3697" t="s">
        <v>23440</v>
      </c>
      <c r="F3697" t="s">
        <v>23441</v>
      </c>
      <c r="G3697" t="s">
        <v>23442</v>
      </c>
      <c r="H3697" t="s">
        <v>23443</v>
      </c>
      <c r="I3697" t="s">
        <v>23444</v>
      </c>
      <c r="J3697" t="s">
        <v>23439</v>
      </c>
      <c r="K3697" t="s">
        <v>23445</v>
      </c>
      <c r="L3697" t="s">
        <v>23439</v>
      </c>
    </row>
    <row r="3698" spans="1:12" x14ac:dyDescent="0.25">
      <c r="A3698">
        <v>652356</v>
      </c>
      <c r="B3698">
        <v>652365</v>
      </c>
      <c r="D3698">
        <v>0</v>
      </c>
      <c r="F3698">
        <v>661157</v>
      </c>
      <c r="G3698">
        <v>652365</v>
      </c>
      <c r="H3698" t="e" vm="201">
        <f>_FV(0,"002")</f>
        <v>#VALUE!</v>
      </c>
      <c r="I3698">
        <v>652356</v>
      </c>
      <c r="J3698" t="s">
        <v>1534</v>
      </c>
      <c r="K3698" t="s">
        <v>23446</v>
      </c>
      <c r="L3698" t="e" vm="201">
        <f>_FV(0,"002")</f>
        <v>#VALUE!</v>
      </c>
    </row>
    <row r="3699" spans="1:12" x14ac:dyDescent="0.25">
      <c r="A3699">
        <v>652356</v>
      </c>
      <c r="B3699">
        <v>673409</v>
      </c>
      <c r="D3699">
        <v>0</v>
      </c>
      <c r="E3699" t="s">
        <v>23448</v>
      </c>
      <c r="F3699" t="s">
        <v>23449</v>
      </c>
      <c r="G3699" t="s">
        <v>23450</v>
      </c>
      <c r="H3699" t="e" vm="1627">
        <f>_FV(0,"037279961767055385")</f>
        <v>#VALUE!</v>
      </c>
      <c r="I3699" t="s">
        <v>23451</v>
      </c>
      <c r="J3699" t="s">
        <v>23452</v>
      </c>
      <c r="K3699" t="s">
        <v>23453</v>
      </c>
      <c r="L3699" t="s">
        <v>23447</v>
      </c>
    </row>
    <row r="3700" spans="1:12" x14ac:dyDescent="0.25">
      <c r="A3700">
        <v>652365</v>
      </c>
      <c r="B3700">
        <v>652383</v>
      </c>
      <c r="D3700">
        <v>0</v>
      </c>
      <c r="E3700" t="s">
        <v>23454</v>
      </c>
      <c r="F3700" t="s">
        <v>23455</v>
      </c>
      <c r="G3700" t="s">
        <v>23456</v>
      </c>
      <c r="H3700" t="e" vm="122">
        <f>_FV(0,"017")</f>
        <v>#VALUE!</v>
      </c>
      <c r="I3700" t="s">
        <v>23457</v>
      </c>
      <c r="J3700" t="s">
        <v>1814</v>
      </c>
      <c r="K3700" t="s">
        <v>23458</v>
      </c>
      <c r="L3700" t="e" vm="122">
        <f>_FV(0,"017")</f>
        <v>#VALUE!</v>
      </c>
    </row>
    <row r="3701" spans="1:12" x14ac:dyDescent="0.25">
      <c r="A3701">
        <v>652365</v>
      </c>
      <c r="B3701">
        <v>652520</v>
      </c>
      <c r="D3701" t="s">
        <v>700</v>
      </c>
      <c r="E3701" t="s">
        <v>23460</v>
      </c>
      <c r="F3701" t="s">
        <v>23461</v>
      </c>
      <c r="G3701" t="s">
        <v>23462</v>
      </c>
      <c r="H3701" t="e" vm="1628">
        <f>_FV(0,"0017996570524884516")</f>
        <v>#VALUE!</v>
      </c>
      <c r="I3701" t="s">
        <v>23463</v>
      </c>
      <c r="J3701" t="s">
        <v>23464</v>
      </c>
      <c r="K3701" t="s">
        <v>23465</v>
      </c>
      <c r="L3701" t="s">
        <v>23459</v>
      </c>
    </row>
    <row r="3702" spans="1:12" x14ac:dyDescent="0.25">
      <c r="A3702">
        <v>652383</v>
      </c>
      <c r="B3702">
        <v>652390</v>
      </c>
      <c r="D3702">
        <v>0</v>
      </c>
      <c r="F3702">
        <v>661181</v>
      </c>
      <c r="G3702">
        <v>652390</v>
      </c>
      <c r="H3702" t="e" vm="215">
        <f>_FV(0,"02")</f>
        <v>#VALUE!</v>
      </c>
      <c r="I3702">
        <v>652383</v>
      </c>
      <c r="J3702" t="s">
        <v>3317</v>
      </c>
      <c r="K3702" t="s">
        <v>23466</v>
      </c>
      <c r="L3702" t="e" vm="215">
        <f>_FV(0,"02")</f>
        <v>#VALUE!</v>
      </c>
    </row>
    <row r="3703" spans="1:12" x14ac:dyDescent="0.25">
      <c r="A3703">
        <v>652383</v>
      </c>
      <c r="B3703">
        <v>652520</v>
      </c>
      <c r="D3703" t="s">
        <v>700</v>
      </c>
      <c r="E3703" t="s">
        <v>23468</v>
      </c>
      <c r="F3703" t="s">
        <v>23469</v>
      </c>
      <c r="G3703" t="s">
        <v>23470</v>
      </c>
      <c r="H3703" t="s">
        <v>23471</v>
      </c>
      <c r="I3703" t="s">
        <v>23472</v>
      </c>
      <c r="J3703" t="s">
        <v>23467</v>
      </c>
      <c r="K3703" t="s">
        <v>23473</v>
      </c>
      <c r="L3703" t="s">
        <v>23467</v>
      </c>
    </row>
    <row r="3704" spans="1:12" x14ac:dyDescent="0.25">
      <c r="A3704">
        <v>652390</v>
      </c>
      <c r="B3704">
        <v>652440</v>
      </c>
      <c r="D3704">
        <v>0</v>
      </c>
      <c r="E3704" t="s">
        <v>23475</v>
      </c>
      <c r="F3704" t="s">
        <v>23476</v>
      </c>
      <c r="G3704" t="s">
        <v>23477</v>
      </c>
      <c r="H3704" t="s">
        <v>23478</v>
      </c>
      <c r="I3704" t="s">
        <v>23479</v>
      </c>
      <c r="J3704" t="s">
        <v>23474</v>
      </c>
      <c r="K3704" t="s">
        <v>23480</v>
      </c>
      <c r="L3704" t="s">
        <v>23474</v>
      </c>
    </row>
    <row r="3705" spans="1:12" x14ac:dyDescent="0.25">
      <c r="A3705">
        <v>652431</v>
      </c>
      <c r="B3705">
        <v>652440</v>
      </c>
      <c r="D3705">
        <v>0</v>
      </c>
      <c r="E3705" t="s">
        <v>23481</v>
      </c>
      <c r="F3705" t="s">
        <v>23482</v>
      </c>
      <c r="G3705" t="s">
        <v>23483</v>
      </c>
      <c r="H3705" t="s">
        <v>23484</v>
      </c>
      <c r="I3705" t="s">
        <v>23485</v>
      </c>
      <c r="J3705" t="s">
        <v>4817</v>
      </c>
      <c r="K3705" t="s">
        <v>23486</v>
      </c>
      <c r="L3705" t="s">
        <v>13455</v>
      </c>
    </row>
    <row r="3706" spans="1:12" x14ac:dyDescent="0.25">
      <c r="A3706">
        <v>652431</v>
      </c>
      <c r="B3706">
        <v>652447</v>
      </c>
      <c r="D3706">
        <v>0</v>
      </c>
      <c r="E3706" t="s">
        <v>23488</v>
      </c>
      <c r="F3706" t="s">
        <v>23489</v>
      </c>
      <c r="G3706" t="s">
        <v>23490</v>
      </c>
      <c r="H3706" t="s">
        <v>23491</v>
      </c>
      <c r="I3706" t="s">
        <v>23492</v>
      </c>
      <c r="J3706" t="s">
        <v>23493</v>
      </c>
      <c r="K3706" t="s">
        <v>23494</v>
      </c>
      <c r="L3706" t="s">
        <v>23487</v>
      </c>
    </row>
    <row r="3707" spans="1:12" x14ac:dyDescent="0.25">
      <c r="A3707">
        <v>652440</v>
      </c>
      <c r="B3707">
        <v>652447</v>
      </c>
      <c r="D3707">
        <v>0</v>
      </c>
      <c r="F3707">
        <v>661246</v>
      </c>
      <c r="G3707">
        <v>652447</v>
      </c>
      <c r="H3707" t="e" vm="59">
        <f>_FV(0,"014")</f>
        <v>#VALUE!</v>
      </c>
      <c r="I3707">
        <v>652440</v>
      </c>
      <c r="J3707" t="s">
        <v>922</v>
      </c>
      <c r="K3707" t="s">
        <v>23495</v>
      </c>
      <c r="L3707" t="e" vm="59">
        <f>_FV(0,"014")</f>
        <v>#VALUE!</v>
      </c>
    </row>
    <row r="3708" spans="1:12" x14ac:dyDescent="0.25">
      <c r="A3708">
        <v>652447</v>
      </c>
      <c r="B3708">
        <v>673434</v>
      </c>
      <c r="D3708">
        <v>0</v>
      </c>
      <c r="E3708" t="s">
        <v>23497</v>
      </c>
      <c r="F3708" t="s">
        <v>23498</v>
      </c>
      <c r="G3708" t="s">
        <v>23499</v>
      </c>
      <c r="H3708" t="e" vm="1629">
        <f>_FV(0,"020057439013701002")</f>
        <v>#VALUE!</v>
      </c>
      <c r="I3708" t="s">
        <v>23500</v>
      </c>
      <c r="J3708" t="s">
        <v>23501</v>
      </c>
      <c r="K3708" t="s">
        <v>23502</v>
      </c>
      <c r="L3708" t="s">
        <v>23496</v>
      </c>
    </row>
    <row r="3709" spans="1:12" x14ac:dyDescent="0.25">
      <c r="A3709">
        <v>654095</v>
      </c>
      <c r="B3709">
        <v>654112</v>
      </c>
      <c r="D3709">
        <v>0</v>
      </c>
      <c r="E3709" t="s">
        <v>23504</v>
      </c>
      <c r="F3709" t="s">
        <v>23505</v>
      </c>
      <c r="G3709" t="s">
        <v>23506</v>
      </c>
      <c r="H3709" t="e" vm="1630">
        <f>_FV(0,"0767008171683055")</f>
        <v>#VALUE!</v>
      </c>
      <c r="I3709" t="s">
        <v>23507</v>
      </c>
      <c r="J3709" t="s">
        <v>23508</v>
      </c>
      <c r="K3709" t="s">
        <v>23509</v>
      </c>
      <c r="L3709" t="s">
        <v>23503</v>
      </c>
    </row>
    <row r="3710" spans="1:12" x14ac:dyDescent="0.25">
      <c r="A3710">
        <v>654095</v>
      </c>
      <c r="B3710">
        <v>654127</v>
      </c>
      <c r="D3710">
        <v>0</v>
      </c>
      <c r="E3710" t="s">
        <v>23511</v>
      </c>
      <c r="F3710" t="s">
        <v>23512</v>
      </c>
      <c r="G3710" t="s">
        <v>23513</v>
      </c>
      <c r="H3710" t="e" vm="1631">
        <f>_FV(0,"050296137180145306")</f>
        <v>#VALUE!</v>
      </c>
      <c r="I3710" t="s">
        <v>23514</v>
      </c>
      <c r="J3710" t="s">
        <v>23515</v>
      </c>
      <c r="K3710" t="s">
        <v>23516</v>
      </c>
      <c r="L3710" t="s">
        <v>23510</v>
      </c>
    </row>
    <row r="3711" spans="1:12" x14ac:dyDescent="0.25">
      <c r="A3711">
        <v>654095</v>
      </c>
      <c r="B3711">
        <v>1854823</v>
      </c>
      <c r="D3711">
        <v>0</v>
      </c>
      <c r="E3711" t="s">
        <v>23517</v>
      </c>
      <c r="H3711" t="s">
        <v>187</v>
      </c>
      <c r="J3711">
        <v>0</v>
      </c>
      <c r="K3711" t="s">
        <v>23518</v>
      </c>
      <c r="L3711">
        <v>0</v>
      </c>
    </row>
    <row r="3712" spans="1:12" x14ac:dyDescent="0.25">
      <c r="A3712">
        <v>654112</v>
      </c>
      <c r="B3712">
        <v>654132</v>
      </c>
      <c r="D3712">
        <v>0</v>
      </c>
      <c r="F3712">
        <v>663227</v>
      </c>
      <c r="G3712">
        <v>654132</v>
      </c>
      <c r="H3712" t="e" vm="1632">
        <f>_FV(0,"071")</f>
        <v>#VALUE!</v>
      </c>
      <c r="I3712">
        <v>654112</v>
      </c>
      <c r="J3712" t="s">
        <v>23519</v>
      </c>
      <c r="K3712" t="s">
        <v>23520</v>
      </c>
      <c r="L3712" t="e" vm="1632">
        <f>_FV(0,"071")</f>
        <v>#VALUE!</v>
      </c>
    </row>
    <row r="3713" spans="1:12" x14ac:dyDescent="0.25">
      <c r="A3713">
        <v>654112</v>
      </c>
      <c r="B3713">
        <v>654127</v>
      </c>
      <c r="D3713">
        <v>0</v>
      </c>
      <c r="E3713" t="s">
        <v>23522</v>
      </c>
      <c r="F3713" t="s">
        <v>23523</v>
      </c>
      <c r="G3713" t="s">
        <v>23524</v>
      </c>
      <c r="H3713" t="e" vm="1633">
        <f>_FV(0,"042332374300597934")</f>
        <v>#VALUE!</v>
      </c>
      <c r="I3713" t="s">
        <v>23525</v>
      </c>
      <c r="J3713" t="s">
        <v>2159</v>
      </c>
      <c r="K3713" t="s">
        <v>23526</v>
      </c>
      <c r="L3713" t="s">
        <v>23521</v>
      </c>
    </row>
    <row r="3714" spans="1:12" x14ac:dyDescent="0.25">
      <c r="A3714">
        <v>654127</v>
      </c>
      <c r="B3714">
        <v>654178</v>
      </c>
      <c r="D3714">
        <v>0</v>
      </c>
      <c r="E3714" t="s">
        <v>23528</v>
      </c>
      <c r="F3714" t="s">
        <v>23529</v>
      </c>
      <c r="G3714" t="s">
        <v>23530</v>
      </c>
      <c r="H3714" t="s">
        <v>23531</v>
      </c>
      <c r="I3714" t="s">
        <v>23532</v>
      </c>
      <c r="J3714" t="s">
        <v>23527</v>
      </c>
      <c r="K3714" t="s">
        <v>23533</v>
      </c>
      <c r="L3714" t="s">
        <v>23527</v>
      </c>
    </row>
    <row r="3715" spans="1:12" x14ac:dyDescent="0.25">
      <c r="A3715">
        <v>654132</v>
      </c>
      <c r="B3715">
        <v>654177</v>
      </c>
      <c r="D3715" t="s">
        <v>2086</v>
      </c>
      <c r="E3715" t="s">
        <v>23535</v>
      </c>
      <c r="F3715" t="s">
        <v>23536</v>
      </c>
      <c r="G3715" t="s">
        <v>23537</v>
      </c>
      <c r="H3715" t="s">
        <v>23538</v>
      </c>
      <c r="I3715" t="s">
        <v>23539</v>
      </c>
      <c r="J3715" t="s">
        <v>23540</v>
      </c>
      <c r="K3715" t="s">
        <v>23541</v>
      </c>
      <c r="L3715" t="s">
        <v>23534</v>
      </c>
    </row>
    <row r="3716" spans="1:12" x14ac:dyDescent="0.25">
      <c r="A3716">
        <v>654132</v>
      </c>
      <c r="B3716">
        <v>654178</v>
      </c>
      <c r="D3716">
        <v>0</v>
      </c>
      <c r="E3716" t="s">
        <v>23543</v>
      </c>
      <c r="F3716" t="s">
        <v>23544</v>
      </c>
      <c r="G3716" t="s">
        <v>23545</v>
      </c>
      <c r="H3716" t="e" vm="1634">
        <f>_FV(0,"021523615101061138")</f>
        <v>#VALUE!</v>
      </c>
      <c r="I3716" t="s">
        <v>23546</v>
      </c>
      <c r="J3716" t="s">
        <v>23547</v>
      </c>
      <c r="K3716" t="s">
        <v>23548</v>
      </c>
      <c r="L3716" t="s">
        <v>23542</v>
      </c>
    </row>
    <row r="3717" spans="1:12" x14ac:dyDescent="0.25">
      <c r="A3717">
        <v>654177</v>
      </c>
      <c r="B3717">
        <v>654306</v>
      </c>
      <c r="D3717">
        <v>0</v>
      </c>
      <c r="F3717">
        <v>663326</v>
      </c>
      <c r="G3717">
        <v>654306</v>
      </c>
      <c r="H3717" t="s">
        <v>23549</v>
      </c>
      <c r="I3717">
        <v>654177</v>
      </c>
      <c r="J3717" t="s">
        <v>23549</v>
      </c>
      <c r="K3717" t="s">
        <v>23550</v>
      </c>
      <c r="L3717" t="s">
        <v>23549</v>
      </c>
    </row>
    <row r="3718" spans="1:12" x14ac:dyDescent="0.25">
      <c r="A3718">
        <v>654177</v>
      </c>
      <c r="B3718">
        <v>654219</v>
      </c>
      <c r="D3718">
        <v>0</v>
      </c>
      <c r="E3718" t="s">
        <v>23552</v>
      </c>
      <c r="F3718" t="s">
        <v>23553</v>
      </c>
      <c r="G3718" t="s">
        <v>23554</v>
      </c>
      <c r="H3718" t="e" vm="1635">
        <f>_FV(0,"025286996826977527")</f>
        <v>#VALUE!</v>
      </c>
      <c r="I3718" t="s">
        <v>23555</v>
      </c>
      <c r="J3718" t="s">
        <v>23556</v>
      </c>
      <c r="K3718" t="s">
        <v>23557</v>
      </c>
      <c r="L3718" t="s">
        <v>23551</v>
      </c>
    </row>
    <row r="3719" spans="1:12" x14ac:dyDescent="0.25">
      <c r="A3719">
        <v>654178</v>
      </c>
      <c r="B3719">
        <v>654219</v>
      </c>
      <c r="D3719" t="s">
        <v>2086</v>
      </c>
      <c r="E3719" t="s">
        <v>23559</v>
      </c>
      <c r="F3719" t="s">
        <v>23560</v>
      </c>
      <c r="G3719" t="s">
        <v>23561</v>
      </c>
      <c r="H3719" t="s">
        <v>23562</v>
      </c>
      <c r="I3719" t="s">
        <v>23563</v>
      </c>
      <c r="J3719" t="s">
        <v>23564</v>
      </c>
      <c r="K3719" t="s">
        <v>23565</v>
      </c>
      <c r="L3719" t="s">
        <v>23558</v>
      </c>
    </row>
    <row r="3720" spans="1:12" x14ac:dyDescent="0.25">
      <c r="A3720">
        <v>654219</v>
      </c>
      <c r="B3720">
        <v>654338</v>
      </c>
      <c r="D3720">
        <v>0</v>
      </c>
      <c r="E3720" t="s">
        <v>23567</v>
      </c>
      <c r="F3720" t="s">
        <v>23568</v>
      </c>
      <c r="G3720" t="s">
        <v>23569</v>
      </c>
      <c r="H3720" t="e" vm="1636">
        <f>_FV(0,"08528508091626624")</f>
        <v>#VALUE!</v>
      </c>
      <c r="I3720" t="s">
        <v>23570</v>
      </c>
      <c r="J3720" t="s">
        <v>23571</v>
      </c>
      <c r="K3720" t="s">
        <v>23572</v>
      </c>
      <c r="L3720" t="s">
        <v>23566</v>
      </c>
    </row>
    <row r="3721" spans="1:12" x14ac:dyDescent="0.25">
      <c r="A3721">
        <v>654306</v>
      </c>
      <c r="B3721">
        <v>654338</v>
      </c>
      <c r="D3721">
        <v>0</v>
      </c>
      <c r="E3721" t="s">
        <v>23574</v>
      </c>
      <c r="F3721" t="s">
        <v>23575</v>
      </c>
      <c r="G3721" t="s">
        <v>23576</v>
      </c>
      <c r="H3721" t="s">
        <v>23577</v>
      </c>
      <c r="I3721" t="s">
        <v>23578</v>
      </c>
      <c r="J3721" t="s">
        <v>23573</v>
      </c>
      <c r="K3721" t="s">
        <v>23579</v>
      </c>
      <c r="L3721" t="s">
        <v>23573</v>
      </c>
    </row>
    <row r="3722" spans="1:12" x14ac:dyDescent="0.25">
      <c r="A3722">
        <v>654306</v>
      </c>
      <c r="B3722">
        <v>675246</v>
      </c>
      <c r="D3722">
        <v>0</v>
      </c>
      <c r="E3722" t="s">
        <v>23581</v>
      </c>
      <c r="F3722" t="s">
        <v>23582</v>
      </c>
      <c r="G3722" t="s">
        <v>23583</v>
      </c>
      <c r="H3722" t="s">
        <v>23584</v>
      </c>
      <c r="I3722" t="s">
        <v>23585</v>
      </c>
      <c r="J3722" t="s">
        <v>23580</v>
      </c>
      <c r="K3722" t="s">
        <v>23586</v>
      </c>
      <c r="L3722" t="s">
        <v>23580</v>
      </c>
    </row>
    <row r="3723" spans="1:12" x14ac:dyDescent="0.25">
      <c r="A3723">
        <v>654338</v>
      </c>
      <c r="B3723">
        <v>675246</v>
      </c>
      <c r="D3723">
        <v>0</v>
      </c>
      <c r="E3723" t="s">
        <v>23588</v>
      </c>
      <c r="F3723" t="s">
        <v>23589</v>
      </c>
      <c r="G3723" t="s">
        <v>23590</v>
      </c>
      <c r="H3723" t="e" vm="1637">
        <f>_FV(0,"05774329120116853")</f>
        <v>#VALUE!</v>
      </c>
      <c r="I3723" t="s">
        <v>23591</v>
      </c>
      <c r="J3723" t="s">
        <v>23592</v>
      </c>
      <c r="K3723" t="s">
        <v>23593</v>
      </c>
      <c r="L3723" t="s">
        <v>23587</v>
      </c>
    </row>
    <row r="3724" spans="1:12" x14ac:dyDescent="0.25">
      <c r="A3724">
        <v>655059</v>
      </c>
      <c r="B3724">
        <v>794428</v>
      </c>
      <c r="D3724" t="s">
        <v>23595</v>
      </c>
      <c r="E3724" t="s">
        <v>23596</v>
      </c>
      <c r="F3724" t="s">
        <v>23597</v>
      </c>
      <c r="G3724" t="s">
        <v>23598</v>
      </c>
      <c r="H3724" t="e" vm="1638">
        <f>_FV(0,"011092435752403006")</f>
        <v>#VALUE!</v>
      </c>
      <c r="I3724" t="s">
        <v>23599</v>
      </c>
      <c r="J3724" t="s">
        <v>23600</v>
      </c>
      <c r="K3724" t="s">
        <v>23601</v>
      </c>
      <c r="L3724" t="s">
        <v>23594</v>
      </c>
    </row>
    <row r="3725" spans="1:12" x14ac:dyDescent="0.25">
      <c r="A3725">
        <v>655059</v>
      </c>
      <c r="B3725">
        <v>720901</v>
      </c>
      <c r="D3725" t="s">
        <v>15861</v>
      </c>
      <c r="E3725" t="s">
        <v>23603</v>
      </c>
      <c r="F3725" t="s">
        <v>23604</v>
      </c>
      <c r="G3725" t="s">
        <v>23605</v>
      </c>
      <c r="H3725" t="e" vm="1639">
        <f>_FV(0,"04221496532211226")</f>
        <v>#VALUE!</v>
      </c>
      <c r="I3725" t="s">
        <v>23606</v>
      </c>
      <c r="J3725" t="s">
        <v>23607</v>
      </c>
      <c r="K3725" t="s">
        <v>23608</v>
      </c>
      <c r="L3725" t="s">
        <v>23602</v>
      </c>
    </row>
    <row r="3726" spans="1:12" x14ac:dyDescent="0.25">
      <c r="A3726">
        <v>655251</v>
      </c>
      <c r="B3726">
        <v>655359</v>
      </c>
      <c r="D3726">
        <v>0</v>
      </c>
      <c r="E3726" t="s">
        <v>23610</v>
      </c>
      <c r="F3726" t="s">
        <v>23611</v>
      </c>
      <c r="G3726" t="s">
        <v>23612</v>
      </c>
      <c r="H3726" t="e" vm="1640">
        <f>_FV(0,"012537258824807962")</f>
        <v>#VALUE!</v>
      </c>
      <c r="I3726" t="s">
        <v>23613</v>
      </c>
      <c r="J3726" t="s">
        <v>23614</v>
      </c>
      <c r="K3726" t="s">
        <v>23615</v>
      </c>
      <c r="L3726" t="s">
        <v>23609</v>
      </c>
    </row>
    <row r="3727" spans="1:12" x14ac:dyDescent="0.25">
      <c r="A3727">
        <v>655251</v>
      </c>
      <c r="B3727">
        <v>655421</v>
      </c>
      <c r="D3727">
        <v>0</v>
      </c>
      <c r="E3727" t="s">
        <v>23617</v>
      </c>
      <c r="F3727" t="s">
        <v>23618</v>
      </c>
      <c r="G3727" t="s">
        <v>23619</v>
      </c>
      <c r="H3727" t="e" vm="1641">
        <f>_FV(0,"017508094959652745")</f>
        <v>#VALUE!</v>
      </c>
      <c r="I3727" t="s">
        <v>23620</v>
      </c>
      <c r="J3727" t="s">
        <v>23621</v>
      </c>
      <c r="K3727" t="s">
        <v>23622</v>
      </c>
      <c r="L3727" t="s">
        <v>23616</v>
      </c>
    </row>
    <row r="3728" spans="1:12" x14ac:dyDescent="0.25">
      <c r="A3728">
        <v>655251</v>
      </c>
      <c r="B3728">
        <v>1812596</v>
      </c>
      <c r="D3728">
        <v>0</v>
      </c>
      <c r="E3728" t="s">
        <v>23624</v>
      </c>
      <c r="F3728" t="s">
        <v>23625</v>
      </c>
      <c r="G3728" t="s">
        <v>23626</v>
      </c>
      <c r="H3728" t="e" vm="1642">
        <f>_FV(0,"011627992105866382")</f>
        <v>#VALUE!</v>
      </c>
      <c r="I3728" t="s">
        <v>23627</v>
      </c>
      <c r="J3728" t="s">
        <v>23628</v>
      </c>
      <c r="K3728" t="s">
        <v>23629</v>
      </c>
      <c r="L3728" t="s">
        <v>23623</v>
      </c>
    </row>
    <row r="3729" spans="1:12" x14ac:dyDescent="0.25">
      <c r="A3729">
        <v>655285</v>
      </c>
      <c r="B3729">
        <v>1098131</v>
      </c>
      <c r="C3729" t="s">
        <v>23631</v>
      </c>
      <c r="D3729">
        <v>0</v>
      </c>
      <c r="E3729" t="s">
        <v>23632</v>
      </c>
      <c r="F3729" t="s">
        <v>23633</v>
      </c>
      <c r="G3729" t="s">
        <v>23634</v>
      </c>
      <c r="H3729" t="e" vm="1643">
        <f>_FV(0,"013664274396699568")</f>
        <v>#VALUE!</v>
      </c>
      <c r="I3729" t="s">
        <v>23635</v>
      </c>
      <c r="J3729" t="s">
        <v>23636</v>
      </c>
      <c r="K3729" t="s">
        <v>23637</v>
      </c>
      <c r="L3729" t="s">
        <v>23630</v>
      </c>
    </row>
    <row r="3730" spans="1:12" x14ac:dyDescent="0.25">
      <c r="A3730">
        <v>655285</v>
      </c>
      <c r="B3730">
        <v>655460</v>
      </c>
      <c r="D3730">
        <v>0</v>
      </c>
      <c r="E3730" t="s">
        <v>23639</v>
      </c>
      <c r="F3730" t="s">
        <v>23640</v>
      </c>
      <c r="G3730" t="s">
        <v>23641</v>
      </c>
      <c r="H3730" t="e" vm="1644">
        <f>_FV(0,"02144259179778444")</f>
        <v>#VALUE!</v>
      </c>
      <c r="I3730" t="s">
        <v>23642</v>
      </c>
      <c r="J3730" t="s">
        <v>23643</v>
      </c>
      <c r="K3730" t="s">
        <v>23644</v>
      </c>
      <c r="L3730" t="s">
        <v>23638</v>
      </c>
    </row>
    <row r="3731" spans="1:12" x14ac:dyDescent="0.25">
      <c r="A3731">
        <v>655285</v>
      </c>
      <c r="B3731">
        <v>655471</v>
      </c>
      <c r="C3731" t="s">
        <v>23646</v>
      </c>
      <c r="D3731">
        <v>0</v>
      </c>
      <c r="E3731" t="s">
        <v>23647</v>
      </c>
      <c r="F3731" t="s">
        <v>23648</v>
      </c>
      <c r="G3731" t="s">
        <v>23649</v>
      </c>
      <c r="H3731" t="e" vm="1645">
        <f>_FV(0,"0002457194673064008")</f>
        <v>#VALUE!</v>
      </c>
      <c r="I3731" t="s">
        <v>23650</v>
      </c>
      <c r="J3731" t="s">
        <v>4765</v>
      </c>
      <c r="K3731" t="s">
        <v>23651</v>
      </c>
      <c r="L3731" t="s">
        <v>23645</v>
      </c>
    </row>
    <row r="3732" spans="1:12" x14ac:dyDescent="0.25">
      <c r="A3732">
        <v>655359</v>
      </c>
      <c r="B3732">
        <v>655460</v>
      </c>
      <c r="D3732">
        <v>0</v>
      </c>
      <c r="E3732" t="s">
        <v>23653</v>
      </c>
      <c r="F3732" t="s">
        <v>23654</v>
      </c>
      <c r="G3732" t="s">
        <v>23655</v>
      </c>
      <c r="H3732" t="e" vm="1646">
        <f>_FV(0,"01870799842372993")</f>
        <v>#VALUE!</v>
      </c>
      <c r="I3732" t="s">
        <v>23656</v>
      </c>
      <c r="J3732" t="s">
        <v>23657</v>
      </c>
      <c r="K3732" t="s">
        <v>23658</v>
      </c>
      <c r="L3732" t="s">
        <v>23652</v>
      </c>
    </row>
    <row r="3733" spans="1:12" x14ac:dyDescent="0.25">
      <c r="A3733">
        <v>655359</v>
      </c>
      <c r="B3733">
        <v>655421</v>
      </c>
      <c r="D3733">
        <v>0</v>
      </c>
      <c r="E3733" t="s">
        <v>23660</v>
      </c>
      <c r="F3733" t="s">
        <v>23661</v>
      </c>
      <c r="G3733" t="s">
        <v>23662</v>
      </c>
      <c r="H3733" t="s">
        <v>23663</v>
      </c>
      <c r="I3733" t="s">
        <v>23664</v>
      </c>
      <c r="J3733" t="s">
        <v>23659</v>
      </c>
      <c r="K3733" t="s">
        <v>23665</v>
      </c>
      <c r="L3733" t="s">
        <v>23659</v>
      </c>
    </row>
    <row r="3734" spans="1:12" x14ac:dyDescent="0.25">
      <c r="A3734">
        <v>655421</v>
      </c>
      <c r="B3734">
        <v>655471</v>
      </c>
      <c r="D3734">
        <v>0</v>
      </c>
      <c r="E3734" t="s">
        <v>23667</v>
      </c>
      <c r="F3734" t="s">
        <v>23668</v>
      </c>
      <c r="G3734" t="s">
        <v>23669</v>
      </c>
      <c r="H3734" t="s">
        <v>23670</v>
      </c>
      <c r="I3734" t="s">
        <v>23671</v>
      </c>
      <c r="J3734" t="s">
        <v>23672</v>
      </c>
      <c r="K3734" t="s">
        <v>23673</v>
      </c>
      <c r="L3734" t="s">
        <v>23666</v>
      </c>
    </row>
    <row r="3735" spans="1:12" x14ac:dyDescent="0.25">
      <c r="A3735">
        <v>655460</v>
      </c>
      <c r="B3735">
        <v>655471</v>
      </c>
      <c r="D3735">
        <v>0</v>
      </c>
      <c r="E3735" t="s">
        <v>23675</v>
      </c>
      <c r="F3735" t="s">
        <v>23676</v>
      </c>
      <c r="G3735" t="s">
        <v>23677</v>
      </c>
      <c r="H3735" t="e" vm="1647">
        <f>_FV(0,"037527605594534545")</f>
        <v>#VALUE!</v>
      </c>
      <c r="I3735" t="s">
        <v>23678</v>
      </c>
      <c r="J3735" t="s">
        <v>23679</v>
      </c>
      <c r="K3735" t="s">
        <v>23680</v>
      </c>
      <c r="L3735" t="s">
        <v>23674</v>
      </c>
    </row>
    <row r="3736" spans="1:12" x14ac:dyDescent="0.25">
      <c r="A3736">
        <v>656404</v>
      </c>
      <c r="B3736">
        <v>656453</v>
      </c>
      <c r="D3736">
        <v>0</v>
      </c>
      <c r="E3736" t="s">
        <v>23682</v>
      </c>
      <c r="F3736" t="s">
        <v>23683</v>
      </c>
      <c r="G3736" t="s">
        <v>23684</v>
      </c>
      <c r="H3736" t="s">
        <v>23685</v>
      </c>
      <c r="I3736" t="s">
        <v>23686</v>
      </c>
      <c r="J3736" t="s">
        <v>23681</v>
      </c>
      <c r="K3736" t="s">
        <v>23687</v>
      </c>
      <c r="L3736" t="s">
        <v>23681</v>
      </c>
    </row>
    <row r="3737" spans="1:12" x14ac:dyDescent="0.25">
      <c r="A3737">
        <v>656410</v>
      </c>
      <c r="B3737">
        <v>656459</v>
      </c>
      <c r="D3737">
        <v>0</v>
      </c>
      <c r="E3737" t="s">
        <v>23689</v>
      </c>
      <c r="F3737" t="s">
        <v>23690</v>
      </c>
      <c r="G3737" t="s">
        <v>23691</v>
      </c>
      <c r="H3737" t="s">
        <v>23692</v>
      </c>
      <c r="I3737" t="s">
        <v>23693</v>
      </c>
      <c r="J3737" t="s">
        <v>23688</v>
      </c>
      <c r="K3737" t="s">
        <v>23694</v>
      </c>
      <c r="L3737" t="s">
        <v>23688</v>
      </c>
    </row>
    <row r="3738" spans="1:12" x14ac:dyDescent="0.25">
      <c r="A3738">
        <v>656413</v>
      </c>
      <c r="B3738">
        <v>733236</v>
      </c>
      <c r="D3738">
        <v>0</v>
      </c>
      <c r="E3738" t="s">
        <v>23696</v>
      </c>
      <c r="F3738" t="s">
        <v>23697</v>
      </c>
      <c r="G3738" t="s">
        <v>23698</v>
      </c>
      <c r="H3738" t="s">
        <v>23699</v>
      </c>
      <c r="I3738" t="s">
        <v>23700</v>
      </c>
      <c r="J3738" t="s">
        <v>23701</v>
      </c>
      <c r="K3738" t="s">
        <v>23702</v>
      </c>
      <c r="L3738" t="s">
        <v>23695</v>
      </c>
    </row>
    <row r="3739" spans="1:12" x14ac:dyDescent="0.25">
      <c r="A3739">
        <v>656413</v>
      </c>
      <c r="B3739">
        <v>718824</v>
      </c>
      <c r="D3739">
        <v>0</v>
      </c>
      <c r="E3739" t="s">
        <v>23704</v>
      </c>
      <c r="F3739" t="s">
        <v>23705</v>
      </c>
      <c r="G3739" t="s">
        <v>23706</v>
      </c>
      <c r="H3739" t="s">
        <v>23707</v>
      </c>
      <c r="I3739" t="s">
        <v>23708</v>
      </c>
      <c r="J3739" t="s">
        <v>23709</v>
      </c>
      <c r="K3739" t="s">
        <v>23710</v>
      </c>
      <c r="L3739" t="s">
        <v>23703</v>
      </c>
    </row>
    <row r="3740" spans="1:12" x14ac:dyDescent="0.25">
      <c r="A3740">
        <v>656453</v>
      </c>
      <c r="B3740">
        <v>656459</v>
      </c>
      <c r="D3740">
        <v>0</v>
      </c>
      <c r="E3740" t="s">
        <v>23712</v>
      </c>
      <c r="F3740" t="s">
        <v>23713</v>
      </c>
      <c r="G3740" t="s">
        <v>23714</v>
      </c>
      <c r="H3740" t="e" vm="1648">
        <f>_FV(0,"03140985518326037")</f>
        <v>#VALUE!</v>
      </c>
      <c r="I3740" t="s">
        <v>23715</v>
      </c>
      <c r="J3740" t="s">
        <v>23716</v>
      </c>
      <c r="K3740" t="s">
        <v>23717</v>
      </c>
      <c r="L3740" t="s">
        <v>23711</v>
      </c>
    </row>
    <row r="3741" spans="1:12" x14ac:dyDescent="0.25">
      <c r="A3741">
        <v>656453</v>
      </c>
      <c r="B3741">
        <v>733170</v>
      </c>
      <c r="D3741">
        <v>0</v>
      </c>
      <c r="E3741" t="s">
        <v>23719</v>
      </c>
      <c r="F3741" t="s">
        <v>23720</v>
      </c>
      <c r="G3741" t="s">
        <v>23721</v>
      </c>
      <c r="H3741" t="e" vm="1649">
        <f>_FV(0,"011096505422157739")</f>
        <v>#VALUE!</v>
      </c>
      <c r="I3741" t="s">
        <v>23722</v>
      </c>
      <c r="J3741" t="s">
        <v>23723</v>
      </c>
      <c r="K3741" t="s">
        <v>23724</v>
      </c>
      <c r="L3741" t="s">
        <v>23718</v>
      </c>
    </row>
    <row r="3742" spans="1:12" x14ac:dyDescent="0.25">
      <c r="A3742">
        <v>656459</v>
      </c>
      <c r="B3742">
        <v>733236</v>
      </c>
      <c r="D3742">
        <v>0</v>
      </c>
      <c r="E3742" t="s">
        <v>23726</v>
      </c>
      <c r="F3742" t="s">
        <v>23727</v>
      </c>
      <c r="G3742" t="s">
        <v>23728</v>
      </c>
      <c r="H3742" t="e" vm="1650">
        <f>_FV(0,"048107493582319645")</f>
        <v>#VALUE!</v>
      </c>
      <c r="I3742" t="s">
        <v>23729</v>
      </c>
      <c r="J3742" t="s">
        <v>23730</v>
      </c>
      <c r="K3742" t="s">
        <v>23731</v>
      </c>
      <c r="L3742" t="s">
        <v>23725</v>
      </c>
    </row>
    <row r="3743" spans="1:12" x14ac:dyDescent="0.25">
      <c r="A3743">
        <v>656524</v>
      </c>
      <c r="B3743">
        <v>656542</v>
      </c>
      <c r="D3743">
        <v>0</v>
      </c>
      <c r="F3743">
        <v>666108</v>
      </c>
      <c r="G3743">
        <v>656542</v>
      </c>
      <c r="H3743" t="e" vm="263">
        <f>_FV(0,"024")</f>
        <v>#VALUE!</v>
      </c>
      <c r="I3743">
        <v>656524</v>
      </c>
      <c r="J3743" t="s">
        <v>2916</v>
      </c>
      <c r="K3743" t="s">
        <v>23732</v>
      </c>
      <c r="L3743" t="e" vm="263">
        <f>_FV(0,"024")</f>
        <v>#VALUE!</v>
      </c>
    </row>
    <row r="3744" spans="1:12" x14ac:dyDescent="0.25">
      <c r="A3744">
        <v>656524</v>
      </c>
      <c r="B3744">
        <v>673584</v>
      </c>
      <c r="D3744" t="s">
        <v>4181</v>
      </c>
      <c r="E3744" t="s">
        <v>23734</v>
      </c>
      <c r="F3744" t="s">
        <v>23735</v>
      </c>
      <c r="G3744" t="s">
        <v>23736</v>
      </c>
      <c r="H3744" t="e" vm="1651">
        <f>_FV(0,"007161910039929176")</f>
        <v>#VALUE!</v>
      </c>
      <c r="I3744" t="s">
        <v>23737</v>
      </c>
      <c r="J3744" t="s">
        <v>23738</v>
      </c>
      <c r="K3744" t="s">
        <v>23739</v>
      </c>
      <c r="L3744" t="s">
        <v>23733</v>
      </c>
    </row>
    <row r="3745" spans="1:12" x14ac:dyDescent="0.25">
      <c r="A3745">
        <v>656524</v>
      </c>
      <c r="B3745">
        <v>656586</v>
      </c>
      <c r="D3745">
        <v>0</v>
      </c>
      <c r="E3745" t="s">
        <v>23741</v>
      </c>
      <c r="F3745" t="s">
        <v>23742</v>
      </c>
      <c r="G3745" t="s">
        <v>23743</v>
      </c>
      <c r="H3745" t="e" vm="1652">
        <f>_FV(0,"010239617731456287")</f>
        <v>#VALUE!</v>
      </c>
      <c r="I3745" t="s">
        <v>23744</v>
      </c>
      <c r="J3745" t="s">
        <v>23745</v>
      </c>
      <c r="K3745" t="s">
        <v>23746</v>
      </c>
      <c r="L3745" t="s">
        <v>23740</v>
      </c>
    </row>
    <row r="3746" spans="1:12" x14ac:dyDescent="0.25">
      <c r="A3746">
        <v>656542</v>
      </c>
      <c r="B3746">
        <v>656662</v>
      </c>
      <c r="D3746">
        <v>0</v>
      </c>
      <c r="E3746" t="s">
        <v>23748</v>
      </c>
      <c r="F3746" t="s">
        <v>23749</v>
      </c>
      <c r="G3746" t="s">
        <v>23750</v>
      </c>
      <c r="H3746" t="s">
        <v>23751</v>
      </c>
      <c r="I3746" t="s">
        <v>23752</v>
      </c>
      <c r="J3746" t="s">
        <v>23753</v>
      </c>
      <c r="K3746" t="s">
        <v>23754</v>
      </c>
      <c r="L3746" t="s">
        <v>23747</v>
      </c>
    </row>
    <row r="3747" spans="1:12" x14ac:dyDescent="0.25">
      <c r="A3747">
        <v>656542</v>
      </c>
      <c r="B3747">
        <v>673778</v>
      </c>
      <c r="D3747" t="s">
        <v>1494</v>
      </c>
      <c r="E3747" t="s">
        <v>23756</v>
      </c>
      <c r="F3747" t="s">
        <v>23757</v>
      </c>
      <c r="G3747" t="s">
        <v>23758</v>
      </c>
      <c r="H3747" t="s">
        <v>23759</v>
      </c>
      <c r="I3747" t="s">
        <v>23760</v>
      </c>
      <c r="J3747" t="s">
        <v>23761</v>
      </c>
      <c r="K3747" t="s">
        <v>23762</v>
      </c>
      <c r="L3747" t="s">
        <v>23755</v>
      </c>
    </row>
    <row r="3748" spans="1:12" x14ac:dyDescent="0.25">
      <c r="A3748">
        <v>656586</v>
      </c>
      <c r="B3748">
        <v>656662</v>
      </c>
      <c r="D3748">
        <v>0</v>
      </c>
      <c r="E3748" t="s">
        <v>23764</v>
      </c>
      <c r="F3748" t="s">
        <v>23765</v>
      </c>
      <c r="G3748" t="s">
        <v>23766</v>
      </c>
      <c r="H3748" t="s">
        <v>23767</v>
      </c>
      <c r="I3748" t="s">
        <v>23768</v>
      </c>
      <c r="J3748" t="s">
        <v>23763</v>
      </c>
      <c r="K3748" t="s">
        <v>23769</v>
      </c>
      <c r="L3748" t="s">
        <v>23763</v>
      </c>
    </row>
    <row r="3749" spans="1:12" x14ac:dyDescent="0.25">
      <c r="A3749">
        <v>656586</v>
      </c>
      <c r="B3749">
        <v>656694</v>
      </c>
      <c r="D3749">
        <v>0</v>
      </c>
      <c r="E3749" t="s">
        <v>23771</v>
      </c>
      <c r="F3749" t="s">
        <v>23772</v>
      </c>
      <c r="G3749" t="s">
        <v>23773</v>
      </c>
      <c r="H3749" t="e" vm="1653">
        <f>_FV(0,"001185912813222265")</f>
        <v>#VALUE!</v>
      </c>
      <c r="I3749" t="s">
        <v>23774</v>
      </c>
      <c r="J3749" t="s">
        <v>23775</v>
      </c>
      <c r="K3749" t="s">
        <v>23776</v>
      </c>
      <c r="L3749" t="s">
        <v>23770</v>
      </c>
    </row>
    <row r="3750" spans="1:12" x14ac:dyDescent="0.25">
      <c r="A3750">
        <v>656662</v>
      </c>
      <c r="B3750">
        <v>656705</v>
      </c>
      <c r="D3750">
        <v>0</v>
      </c>
      <c r="E3750" t="s">
        <v>23778</v>
      </c>
      <c r="F3750" t="s">
        <v>23779</v>
      </c>
      <c r="G3750" t="s">
        <v>23780</v>
      </c>
      <c r="H3750" t="e" vm="1654">
        <f>_FV(0,"003130398021024893")</f>
        <v>#VALUE!</v>
      </c>
      <c r="I3750" t="s">
        <v>23781</v>
      </c>
      <c r="J3750" t="s">
        <v>23782</v>
      </c>
      <c r="K3750" t="s">
        <v>23783</v>
      </c>
      <c r="L3750" t="s">
        <v>23777</v>
      </c>
    </row>
    <row r="3751" spans="1:12" x14ac:dyDescent="0.25">
      <c r="A3751">
        <v>656681</v>
      </c>
      <c r="B3751">
        <v>656693</v>
      </c>
      <c r="D3751">
        <v>0</v>
      </c>
      <c r="E3751" t="s">
        <v>23785</v>
      </c>
      <c r="F3751" t="s">
        <v>23786</v>
      </c>
      <c r="G3751" t="s">
        <v>23787</v>
      </c>
      <c r="H3751" t="s">
        <v>23788</v>
      </c>
      <c r="I3751" t="s">
        <v>23789</v>
      </c>
      <c r="J3751" t="s">
        <v>23437</v>
      </c>
      <c r="K3751" t="s">
        <v>23790</v>
      </c>
      <c r="L3751" t="s">
        <v>23784</v>
      </c>
    </row>
    <row r="3752" spans="1:12" x14ac:dyDescent="0.25">
      <c r="A3752">
        <v>656681</v>
      </c>
      <c r="B3752">
        <v>656745</v>
      </c>
      <c r="D3752">
        <v>0</v>
      </c>
      <c r="E3752" t="s">
        <v>23792</v>
      </c>
      <c r="F3752" t="s">
        <v>23793</v>
      </c>
      <c r="G3752" t="s">
        <v>23794</v>
      </c>
      <c r="H3752" t="s">
        <v>23795</v>
      </c>
      <c r="I3752" t="s">
        <v>23796</v>
      </c>
      <c r="J3752" t="s">
        <v>23791</v>
      </c>
      <c r="K3752" t="s">
        <v>23797</v>
      </c>
      <c r="L3752" t="s">
        <v>23791</v>
      </c>
    </row>
    <row r="3753" spans="1:12" x14ac:dyDescent="0.25">
      <c r="A3753">
        <v>656681</v>
      </c>
      <c r="B3753">
        <v>656727</v>
      </c>
      <c r="D3753">
        <v>0</v>
      </c>
      <c r="E3753" t="s">
        <v>23799</v>
      </c>
      <c r="F3753" t="s">
        <v>23800</v>
      </c>
      <c r="G3753" t="s">
        <v>23801</v>
      </c>
      <c r="H3753" t="e" vm="1655">
        <f>_FV(0,"018034711689087376")</f>
        <v>#VALUE!</v>
      </c>
      <c r="I3753" t="s">
        <v>23802</v>
      </c>
      <c r="J3753" t="s">
        <v>23803</v>
      </c>
      <c r="K3753" t="s">
        <v>23804</v>
      </c>
      <c r="L3753" t="s">
        <v>23798</v>
      </c>
    </row>
    <row r="3754" spans="1:12" x14ac:dyDescent="0.25">
      <c r="A3754">
        <v>656693</v>
      </c>
      <c r="B3754">
        <v>656694</v>
      </c>
      <c r="D3754">
        <v>0</v>
      </c>
      <c r="F3754">
        <v>666204</v>
      </c>
      <c r="G3754">
        <v>656694</v>
      </c>
      <c r="H3754" t="e" vm="1084">
        <f>_FV(0,"018")</f>
        <v>#VALUE!</v>
      </c>
      <c r="I3754">
        <v>656693</v>
      </c>
      <c r="J3754" t="s">
        <v>697</v>
      </c>
      <c r="K3754" t="s">
        <v>23805</v>
      </c>
      <c r="L3754" t="e" vm="1084">
        <f>_FV(0,"018")</f>
        <v>#VALUE!</v>
      </c>
    </row>
    <row r="3755" spans="1:12" x14ac:dyDescent="0.25">
      <c r="A3755">
        <v>656693</v>
      </c>
      <c r="B3755">
        <v>656745</v>
      </c>
      <c r="D3755">
        <v>0</v>
      </c>
      <c r="E3755" t="s">
        <v>23807</v>
      </c>
      <c r="F3755" t="s">
        <v>23808</v>
      </c>
      <c r="G3755" t="s">
        <v>23809</v>
      </c>
      <c r="H3755" t="s">
        <v>23810</v>
      </c>
      <c r="I3755" t="s">
        <v>23811</v>
      </c>
      <c r="J3755" t="s">
        <v>23806</v>
      </c>
      <c r="K3755" t="s">
        <v>23812</v>
      </c>
      <c r="L3755" t="s">
        <v>23806</v>
      </c>
    </row>
    <row r="3756" spans="1:12" x14ac:dyDescent="0.25">
      <c r="A3756">
        <v>656694</v>
      </c>
      <c r="B3756">
        <v>656705</v>
      </c>
      <c r="D3756">
        <v>0</v>
      </c>
      <c r="E3756" t="s">
        <v>23814</v>
      </c>
      <c r="F3756" t="s">
        <v>23815</v>
      </c>
      <c r="G3756" t="s">
        <v>23816</v>
      </c>
      <c r="H3756" t="e" vm="1656">
        <f>_FV(0,"011880097643467424")</f>
        <v>#VALUE!</v>
      </c>
      <c r="I3756" t="s">
        <v>23817</v>
      </c>
      <c r="J3756" t="s">
        <v>23818</v>
      </c>
      <c r="K3756" t="s">
        <v>23819</v>
      </c>
      <c r="L3756" t="s">
        <v>23813</v>
      </c>
    </row>
    <row r="3757" spans="1:12" x14ac:dyDescent="0.25">
      <c r="A3757">
        <v>656705</v>
      </c>
      <c r="B3757">
        <v>656715</v>
      </c>
      <c r="D3757">
        <v>0</v>
      </c>
      <c r="F3757">
        <v>666227</v>
      </c>
      <c r="G3757">
        <v>656715</v>
      </c>
      <c r="H3757" t="s">
        <v>4979</v>
      </c>
      <c r="I3757">
        <v>656705</v>
      </c>
      <c r="J3757" t="s">
        <v>4979</v>
      </c>
      <c r="K3757" t="s">
        <v>23820</v>
      </c>
      <c r="L3757" t="s">
        <v>4979</v>
      </c>
    </row>
    <row r="3758" spans="1:12" x14ac:dyDescent="0.25">
      <c r="A3758">
        <v>656715</v>
      </c>
      <c r="B3758">
        <v>656727</v>
      </c>
      <c r="D3758">
        <v>0</v>
      </c>
      <c r="F3758">
        <v>666236</v>
      </c>
      <c r="G3758">
        <v>656727</v>
      </c>
      <c r="H3758" t="s">
        <v>1687</v>
      </c>
      <c r="I3758">
        <v>656715</v>
      </c>
      <c r="J3758" t="s">
        <v>1687</v>
      </c>
      <c r="K3758" t="s">
        <v>23821</v>
      </c>
      <c r="L3758" t="s">
        <v>1687</v>
      </c>
    </row>
    <row r="3759" spans="1:12" x14ac:dyDescent="0.25">
      <c r="A3759">
        <v>656715</v>
      </c>
      <c r="B3759">
        <v>673388</v>
      </c>
      <c r="D3759" t="s">
        <v>23823</v>
      </c>
      <c r="E3759" t="s">
        <v>23824</v>
      </c>
      <c r="F3759" t="s">
        <v>23825</v>
      </c>
      <c r="G3759" t="s">
        <v>23826</v>
      </c>
      <c r="H3759" t="s">
        <v>23827</v>
      </c>
      <c r="I3759" t="s">
        <v>23828</v>
      </c>
      <c r="J3759" t="s">
        <v>23829</v>
      </c>
      <c r="K3759" t="s">
        <v>23830</v>
      </c>
      <c r="L3759" t="s">
        <v>23822</v>
      </c>
    </row>
    <row r="3760" spans="1:12" x14ac:dyDescent="0.25">
      <c r="A3760">
        <v>656727</v>
      </c>
      <c r="B3760">
        <v>1050101</v>
      </c>
      <c r="D3760">
        <v>0</v>
      </c>
      <c r="E3760" t="s">
        <v>23832</v>
      </c>
      <c r="F3760" t="s">
        <v>23833</v>
      </c>
      <c r="G3760" t="s">
        <v>23834</v>
      </c>
      <c r="H3760" t="e" vm="1657">
        <f>_FV(0,"013651956496794165")</f>
        <v>#VALUE!</v>
      </c>
      <c r="I3760" t="s">
        <v>23835</v>
      </c>
      <c r="J3760" t="s">
        <v>23836</v>
      </c>
      <c r="K3760" t="s">
        <v>23837</v>
      </c>
      <c r="L3760" t="s">
        <v>23831</v>
      </c>
    </row>
    <row r="3761" spans="1:12" x14ac:dyDescent="0.25">
      <c r="A3761">
        <v>656811</v>
      </c>
      <c r="B3761">
        <v>656811</v>
      </c>
      <c r="D3761">
        <v>0</v>
      </c>
      <c r="E3761" t="s">
        <v>23839</v>
      </c>
      <c r="F3761" t="s">
        <v>23840</v>
      </c>
      <c r="G3761" t="s">
        <v>23841</v>
      </c>
      <c r="H3761" t="e" vm="1658">
        <f>_FV(0,"00012261745873710488")</f>
        <v>#VALUE!</v>
      </c>
      <c r="I3761" t="s">
        <v>23842</v>
      </c>
      <c r="J3761" t="s">
        <v>23843</v>
      </c>
      <c r="K3761" t="s">
        <v>23844</v>
      </c>
      <c r="L3761" t="s">
        <v>23838</v>
      </c>
    </row>
    <row r="3762" spans="1:12" x14ac:dyDescent="0.25">
      <c r="A3762">
        <v>656811</v>
      </c>
      <c r="B3762">
        <v>1050156</v>
      </c>
      <c r="D3762">
        <v>0</v>
      </c>
      <c r="E3762" t="s">
        <v>23846</v>
      </c>
      <c r="F3762" t="s">
        <v>23847</v>
      </c>
      <c r="G3762" t="s">
        <v>23848</v>
      </c>
      <c r="H3762" t="e" vm="1659">
        <f>_FV(0,"009211696273062297")</f>
        <v>#VALUE!</v>
      </c>
      <c r="I3762" t="s">
        <v>23849</v>
      </c>
      <c r="J3762" t="s">
        <v>23850</v>
      </c>
      <c r="K3762" t="s">
        <v>23851</v>
      </c>
      <c r="L3762" t="s">
        <v>23845</v>
      </c>
    </row>
    <row r="3763" spans="1:12" x14ac:dyDescent="0.25">
      <c r="A3763">
        <v>658638</v>
      </c>
      <c r="B3763">
        <v>658647</v>
      </c>
      <c r="D3763">
        <v>0</v>
      </c>
      <c r="E3763" t="s">
        <v>23853</v>
      </c>
      <c r="F3763" t="s">
        <v>23854</v>
      </c>
      <c r="G3763" t="s">
        <v>23855</v>
      </c>
      <c r="H3763" t="s">
        <v>23856</v>
      </c>
      <c r="I3763" t="s">
        <v>23857</v>
      </c>
      <c r="J3763" t="s">
        <v>23852</v>
      </c>
      <c r="K3763" t="s">
        <v>23858</v>
      </c>
      <c r="L3763" t="s">
        <v>23852</v>
      </c>
    </row>
    <row r="3764" spans="1:12" x14ac:dyDescent="0.25">
      <c r="A3764">
        <v>658638</v>
      </c>
      <c r="B3764">
        <v>658647</v>
      </c>
      <c r="D3764">
        <v>0</v>
      </c>
      <c r="E3764" t="s">
        <v>23860</v>
      </c>
      <c r="F3764" t="s">
        <v>23861</v>
      </c>
      <c r="G3764" t="s">
        <v>23862</v>
      </c>
      <c r="H3764" t="s">
        <v>23863</v>
      </c>
      <c r="I3764" t="s">
        <v>23864</v>
      </c>
      <c r="J3764" t="s">
        <v>23859</v>
      </c>
      <c r="K3764" t="s">
        <v>23865</v>
      </c>
      <c r="L3764" t="s">
        <v>23859</v>
      </c>
    </row>
    <row r="3765" spans="1:12" x14ac:dyDescent="0.25">
      <c r="A3765">
        <v>658638</v>
      </c>
      <c r="B3765">
        <v>1235508</v>
      </c>
      <c r="D3765" t="s">
        <v>23867</v>
      </c>
      <c r="E3765" t="s">
        <v>23868</v>
      </c>
      <c r="F3765" t="s">
        <v>23869</v>
      </c>
      <c r="G3765" t="s">
        <v>23870</v>
      </c>
      <c r="H3765" t="s">
        <v>23871</v>
      </c>
      <c r="I3765" t="s">
        <v>23872</v>
      </c>
      <c r="J3765" t="s">
        <v>23873</v>
      </c>
      <c r="K3765" t="s">
        <v>23874</v>
      </c>
      <c r="L3765" t="s">
        <v>23866</v>
      </c>
    </row>
    <row r="3766" spans="1:12" x14ac:dyDescent="0.25">
      <c r="A3766">
        <v>658647</v>
      </c>
      <c r="B3766">
        <v>658683</v>
      </c>
      <c r="D3766">
        <v>0</v>
      </c>
      <c r="E3766" t="s">
        <v>23876</v>
      </c>
      <c r="F3766" t="s">
        <v>23877</v>
      </c>
      <c r="G3766" t="s">
        <v>23878</v>
      </c>
      <c r="H3766" t="e" vm="1660">
        <f>_FV(0,"0052496349111905245")</f>
        <v>#VALUE!</v>
      </c>
      <c r="I3766" t="s">
        <v>23879</v>
      </c>
      <c r="J3766" t="s">
        <v>23880</v>
      </c>
      <c r="K3766" t="s">
        <v>23881</v>
      </c>
      <c r="L3766" t="s">
        <v>23875</v>
      </c>
    </row>
    <row r="3767" spans="1:12" x14ac:dyDescent="0.25">
      <c r="A3767">
        <v>658683</v>
      </c>
      <c r="B3767">
        <v>658696</v>
      </c>
      <c r="D3767" t="s">
        <v>11226</v>
      </c>
      <c r="E3767" t="s">
        <v>23883</v>
      </c>
      <c r="F3767" t="s">
        <v>23884</v>
      </c>
      <c r="G3767" t="s">
        <v>23885</v>
      </c>
      <c r="H3767" t="e" vm="1661">
        <f>_FV(0,"011796193466759204")</f>
        <v>#VALUE!</v>
      </c>
      <c r="I3767" t="s">
        <v>23886</v>
      </c>
      <c r="J3767" t="s">
        <v>23887</v>
      </c>
      <c r="K3767" t="s">
        <v>23888</v>
      </c>
      <c r="L3767" t="s">
        <v>23882</v>
      </c>
    </row>
    <row r="3768" spans="1:12" x14ac:dyDescent="0.25">
      <c r="A3768">
        <v>658683</v>
      </c>
      <c r="B3768">
        <v>658696</v>
      </c>
      <c r="D3768" t="s">
        <v>10659</v>
      </c>
      <c r="E3768" t="s">
        <v>23890</v>
      </c>
      <c r="F3768" t="s">
        <v>23891</v>
      </c>
      <c r="G3768" t="s">
        <v>23892</v>
      </c>
      <c r="H3768" t="e" vm="1662">
        <f>_FV(0,"011714741357762352")</f>
        <v>#VALUE!</v>
      </c>
      <c r="I3768" t="s">
        <v>23893</v>
      </c>
      <c r="J3768" t="s">
        <v>23894</v>
      </c>
      <c r="K3768" t="s">
        <v>23895</v>
      </c>
      <c r="L3768" t="s">
        <v>23889</v>
      </c>
    </row>
    <row r="3769" spans="1:12" x14ac:dyDescent="0.25">
      <c r="A3769">
        <v>658696</v>
      </c>
      <c r="B3769">
        <v>658705</v>
      </c>
      <c r="D3769">
        <v>0</v>
      </c>
      <c r="E3769" t="s">
        <v>23897</v>
      </c>
      <c r="F3769" t="s">
        <v>23898</v>
      </c>
      <c r="G3769" t="s">
        <v>23899</v>
      </c>
      <c r="H3769" t="e" vm="1663">
        <f>_FV(0,"003717118062640698")</f>
        <v>#VALUE!</v>
      </c>
      <c r="I3769" t="s">
        <v>23900</v>
      </c>
      <c r="J3769" t="s">
        <v>23901</v>
      </c>
      <c r="K3769" t="s">
        <v>23902</v>
      </c>
      <c r="L3769" t="s">
        <v>23896</v>
      </c>
    </row>
    <row r="3770" spans="1:12" x14ac:dyDescent="0.25">
      <c r="A3770">
        <v>658705</v>
      </c>
      <c r="B3770">
        <v>658712</v>
      </c>
      <c r="D3770">
        <v>0</v>
      </c>
      <c r="E3770" t="s">
        <v>23904</v>
      </c>
      <c r="F3770" t="s">
        <v>23905</v>
      </c>
      <c r="G3770" t="s">
        <v>23906</v>
      </c>
      <c r="H3770" t="e" vm="1664">
        <f>_FV(-4,"6152741162187675e")-5</f>
        <v>#VALUE!</v>
      </c>
      <c r="I3770" t="s">
        <v>23907</v>
      </c>
      <c r="J3770" t="s">
        <v>23908</v>
      </c>
      <c r="K3770" t="s">
        <v>23909</v>
      </c>
      <c r="L3770" t="s">
        <v>23903</v>
      </c>
    </row>
    <row r="3771" spans="1:12" x14ac:dyDescent="0.25">
      <c r="A3771">
        <v>658705</v>
      </c>
      <c r="B3771">
        <v>658712</v>
      </c>
      <c r="D3771">
        <v>0</v>
      </c>
      <c r="E3771" t="s">
        <v>23911</v>
      </c>
      <c r="F3771" t="s">
        <v>23912</v>
      </c>
      <c r="G3771" t="s">
        <v>23913</v>
      </c>
      <c r="H3771" t="e" vm="1665">
        <f>_FV(0,"0002269410888573097")</f>
        <v>#VALUE!</v>
      </c>
      <c r="I3771" t="s">
        <v>23914</v>
      </c>
      <c r="J3771" t="s">
        <v>23915</v>
      </c>
      <c r="K3771" t="s">
        <v>23916</v>
      </c>
      <c r="L3771" t="s">
        <v>23910</v>
      </c>
    </row>
    <row r="3772" spans="1:12" x14ac:dyDescent="0.25">
      <c r="A3772">
        <v>658712</v>
      </c>
      <c r="B3772">
        <v>658725</v>
      </c>
      <c r="D3772">
        <v>0</v>
      </c>
      <c r="E3772" t="s">
        <v>23918</v>
      </c>
      <c r="F3772" t="s">
        <v>23919</v>
      </c>
      <c r="G3772" t="s">
        <v>23920</v>
      </c>
      <c r="H3772" t="s">
        <v>23921</v>
      </c>
      <c r="I3772" t="s">
        <v>23922</v>
      </c>
      <c r="J3772" t="s">
        <v>23923</v>
      </c>
      <c r="K3772" t="s">
        <v>23924</v>
      </c>
      <c r="L3772" t="s">
        <v>23917</v>
      </c>
    </row>
    <row r="3773" spans="1:12" x14ac:dyDescent="0.25">
      <c r="A3773">
        <v>658725</v>
      </c>
      <c r="B3773">
        <v>658731</v>
      </c>
      <c r="D3773" t="s">
        <v>10069</v>
      </c>
      <c r="E3773" t="s">
        <v>23926</v>
      </c>
      <c r="F3773" t="s">
        <v>23927</v>
      </c>
      <c r="G3773" t="s">
        <v>23928</v>
      </c>
      <c r="H3773" t="s">
        <v>23929</v>
      </c>
      <c r="I3773" t="s">
        <v>23930</v>
      </c>
      <c r="J3773" t="s">
        <v>23931</v>
      </c>
      <c r="K3773" t="s">
        <v>23932</v>
      </c>
      <c r="L3773" t="s">
        <v>23925</v>
      </c>
    </row>
    <row r="3774" spans="1:12" x14ac:dyDescent="0.25">
      <c r="A3774">
        <v>658725</v>
      </c>
      <c r="B3774">
        <v>658731</v>
      </c>
      <c r="D3774" t="s">
        <v>10069</v>
      </c>
      <c r="E3774" t="s">
        <v>23934</v>
      </c>
      <c r="F3774" t="s">
        <v>23935</v>
      </c>
      <c r="G3774" t="s">
        <v>23936</v>
      </c>
      <c r="H3774" t="s">
        <v>23937</v>
      </c>
      <c r="I3774" t="s">
        <v>23938</v>
      </c>
      <c r="J3774" t="s">
        <v>23939</v>
      </c>
      <c r="K3774" t="s">
        <v>23940</v>
      </c>
      <c r="L3774" t="s">
        <v>23933</v>
      </c>
    </row>
    <row r="3775" spans="1:12" x14ac:dyDescent="0.25">
      <c r="A3775">
        <v>658731</v>
      </c>
      <c r="B3775">
        <v>658732</v>
      </c>
      <c r="D3775">
        <v>0</v>
      </c>
      <c r="F3775">
        <v>668364</v>
      </c>
      <c r="G3775">
        <v>658732</v>
      </c>
      <c r="H3775" t="e" vm="109">
        <f>_FV(0,"01")</f>
        <v>#VALUE!</v>
      </c>
      <c r="I3775">
        <v>658731</v>
      </c>
      <c r="J3775" t="s">
        <v>761</v>
      </c>
      <c r="K3775" t="s">
        <v>23941</v>
      </c>
      <c r="L3775" t="e" vm="109">
        <f>_FV(0,"01")</f>
        <v>#VALUE!</v>
      </c>
    </row>
    <row r="3776" spans="1:12" x14ac:dyDescent="0.25">
      <c r="A3776">
        <v>658732</v>
      </c>
      <c r="B3776">
        <v>658738</v>
      </c>
      <c r="D3776" t="s">
        <v>3716</v>
      </c>
      <c r="E3776" t="s">
        <v>23943</v>
      </c>
      <c r="F3776" t="s">
        <v>23944</v>
      </c>
      <c r="G3776" t="s">
        <v>23945</v>
      </c>
      <c r="H3776" t="e" vm="1666">
        <f>_FV(0,"005515071078254072")</f>
        <v>#VALUE!</v>
      </c>
      <c r="I3776" t="s">
        <v>23946</v>
      </c>
      <c r="J3776" t="s">
        <v>23947</v>
      </c>
      <c r="K3776" t="s">
        <v>23948</v>
      </c>
      <c r="L3776" t="s">
        <v>23942</v>
      </c>
    </row>
    <row r="3777" spans="1:12" x14ac:dyDescent="0.25">
      <c r="A3777">
        <v>658732</v>
      </c>
      <c r="B3777">
        <v>658738</v>
      </c>
      <c r="D3777" t="s">
        <v>3716</v>
      </c>
      <c r="E3777" t="s">
        <v>23950</v>
      </c>
      <c r="F3777" t="s">
        <v>23951</v>
      </c>
      <c r="G3777" t="s">
        <v>23952</v>
      </c>
      <c r="H3777" t="e" vm="1667">
        <f>_FV(0,"005646935015507505")</f>
        <v>#VALUE!</v>
      </c>
      <c r="I3777" t="s">
        <v>23953</v>
      </c>
      <c r="J3777" t="s">
        <v>23954</v>
      </c>
      <c r="K3777" t="s">
        <v>23955</v>
      </c>
      <c r="L3777" t="s">
        <v>23949</v>
      </c>
    </row>
    <row r="3778" spans="1:12" x14ac:dyDescent="0.25">
      <c r="A3778">
        <v>658738</v>
      </c>
      <c r="B3778">
        <v>658913</v>
      </c>
      <c r="D3778" t="s">
        <v>23957</v>
      </c>
      <c r="E3778" t="s">
        <v>23958</v>
      </c>
      <c r="F3778" t="s">
        <v>23959</v>
      </c>
      <c r="G3778" t="s">
        <v>23960</v>
      </c>
      <c r="H3778" t="s">
        <v>23961</v>
      </c>
      <c r="I3778" t="s">
        <v>23962</v>
      </c>
      <c r="J3778" t="s">
        <v>23963</v>
      </c>
      <c r="K3778" t="s">
        <v>23964</v>
      </c>
      <c r="L3778" t="s">
        <v>23956</v>
      </c>
    </row>
    <row r="3779" spans="1:12" x14ac:dyDescent="0.25">
      <c r="A3779">
        <v>658913</v>
      </c>
      <c r="B3779">
        <v>658914</v>
      </c>
      <c r="D3779">
        <v>0</v>
      </c>
      <c r="E3779" t="s">
        <v>23966</v>
      </c>
      <c r="F3779" t="s">
        <v>23967</v>
      </c>
      <c r="G3779" t="s">
        <v>23968</v>
      </c>
      <c r="H3779" t="e" vm="1668">
        <f>_FV(0,"014960976102043664")</f>
        <v>#VALUE!</v>
      </c>
      <c r="I3779" t="s">
        <v>23969</v>
      </c>
      <c r="J3779" t="s">
        <v>23970</v>
      </c>
      <c r="K3779" t="s">
        <v>23971</v>
      </c>
      <c r="L3779" t="s">
        <v>23965</v>
      </c>
    </row>
    <row r="3780" spans="1:12" x14ac:dyDescent="0.25">
      <c r="A3780">
        <v>658913</v>
      </c>
      <c r="B3780">
        <v>658914</v>
      </c>
      <c r="D3780">
        <v>0</v>
      </c>
      <c r="E3780" t="s">
        <v>23973</v>
      </c>
      <c r="F3780" t="s">
        <v>23974</v>
      </c>
      <c r="G3780" t="s">
        <v>23975</v>
      </c>
      <c r="H3780" t="e" vm="1669">
        <f>_FV(0,"014801566626410195")</f>
        <v>#VALUE!</v>
      </c>
      <c r="I3780" t="s">
        <v>23976</v>
      </c>
      <c r="J3780" t="s">
        <v>23977</v>
      </c>
      <c r="K3780" t="s">
        <v>23978</v>
      </c>
      <c r="L3780" t="s">
        <v>23972</v>
      </c>
    </row>
    <row r="3781" spans="1:12" x14ac:dyDescent="0.25">
      <c r="A3781">
        <v>658914</v>
      </c>
      <c r="B3781">
        <v>658941</v>
      </c>
      <c r="D3781" t="s">
        <v>23980</v>
      </c>
      <c r="E3781" t="s">
        <v>23981</v>
      </c>
      <c r="F3781" t="s">
        <v>23982</v>
      </c>
      <c r="G3781" t="s">
        <v>23983</v>
      </c>
      <c r="H3781" t="s">
        <v>23984</v>
      </c>
      <c r="I3781" t="s">
        <v>23985</v>
      </c>
      <c r="J3781" t="s">
        <v>23986</v>
      </c>
      <c r="K3781" t="s">
        <v>23987</v>
      </c>
      <c r="L3781" t="s">
        <v>23979</v>
      </c>
    </row>
    <row r="3782" spans="1:12" x14ac:dyDescent="0.25">
      <c r="A3782">
        <v>658941</v>
      </c>
      <c r="B3782">
        <v>658947</v>
      </c>
      <c r="D3782">
        <v>0</v>
      </c>
      <c r="E3782" t="s">
        <v>23989</v>
      </c>
      <c r="F3782" t="s">
        <v>23990</v>
      </c>
      <c r="G3782" t="s">
        <v>23991</v>
      </c>
      <c r="H3782" t="s">
        <v>23992</v>
      </c>
      <c r="I3782" t="s">
        <v>23993</v>
      </c>
      <c r="J3782" t="s">
        <v>23988</v>
      </c>
      <c r="K3782" t="s">
        <v>23994</v>
      </c>
      <c r="L3782" t="s">
        <v>23988</v>
      </c>
    </row>
    <row r="3783" spans="1:12" x14ac:dyDescent="0.25">
      <c r="A3783">
        <v>658941</v>
      </c>
      <c r="B3783">
        <v>658947</v>
      </c>
      <c r="D3783">
        <v>0</v>
      </c>
      <c r="E3783" t="s">
        <v>23996</v>
      </c>
      <c r="F3783" t="s">
        <v>23997</v>
      </c>
      <c r="G3783" t="s">
        <v>23998</v>
      </c>
      <c r="H3783" t="s">
        <v>23999</v>
      </c>
      <c r="I3783" t="s">
        <v>24000</v>
      </c>
      <c r="J3783" t="s">
        <v>23995</v>
      </c>
      <c r="K3783" t="s">
        <v>24001</v>
      </c>
      <c r="L3783" t="s">
        <v>23995</v>
      </c>
    </row>
    <row r="3784" spans="1:12" x14ac:dyDescent="0.25">
      <c r="A3784">
        <v>658947</v>
      </c>
      <c r="B3784">
        <v>658969</v>
      </c>
      <c r="D3784" t="s">
        <v>257</v>
      </c>
      <c r="E3784" t="s">
        <v>24003</v>
      </c>
      <c r="F3784" t="s">
        <v>24004</v>
      </c>
      <c r="G3784" t="s">
        <v>24005</v>
      </c>
      <c r="H3784" t="s">
        <v>24006</v>
      </c>
      <c r="I3784" t="s">
        <v>24007</v>
      </c>
      <c r="J3784" t="s">
        <v>24008</v>
      </c>
      <c r="K3784" t="s">
        <v>24009</v>
      </c>
      <c r="L3784" t="s">
        <v>24002</v>
      </c>
    </row>
    <row r="3785" spans="1:12" x14ac:dyDescent="0.25">
      <c r="A3785">
        <v>658969</v>
      </c>
      <c r="B3785">
        <v>658978</v>
      </c>
      <c r="D3785">
        <v>0</v>
      </c>
      <c r="E3785" t="s">
        <v>24011</v>
      </c>
      <c r="F3785" t="s">
        <v>24012</v>
      </c>
      <c r="G3785" t="s">
        <v>24013</v>
      </c>
      <c r="H3785" t="s">
        <v>24014</v>
      </c>
      <c r="I3785" t="s">
        <v>24015</v>
      </c>
      <c r="J3785" t="s">
        <v>24016</v>
      </c>
      <c r="K3785" t="s">
        <v>24017</v>
      </c>
      <c r="L3785" t="s">
        <v>24010</v>
      </c>
    </row>
    <row r="3786" spans="1:12" x14ac:dyDescent="0.25">
      <c r="A3786">
        <v>658969</v>
      </c>
      <c r="B3786">
        <v>658978</v>
      </c>
      <c r="D3786">
        <v>0</v>
      </c>
      <c r="E3786" t="s">
        <v>24019</v>
      </c>
      <c r="F3786" t="s">
        <v>24020</v>
      </c>
      <c r="G3786" t="s">
        <v>24021</v>
      </c>
      <c r="H3786" t="s">
        <v>24022</v>
      </c>
      <c r="I3786" t="s">
        <v>24023</v>
      </c>
      <c r="J3786" t="s">
        <v>24024</v>
      </c>
      <c r="K3786" t="s">
        <v>24025</v>
      </c>
      <c r="L3786" t="s">
        <v>24018</v>
      </c>
    </row>
    <row r="3787" spans="1:12" x14ac:dyDescent="0.25">
      <c r="A3787">
        <v>659061</v>
      </c>
      <c r="B3787">
        <v>659063</v>
      </c>
      <c r="D3787">
        <v>0</v>
      </c>
      <c r="E3787" t="s">
        <v>24027</v>
      </c>
      <c r="F3787" t="s">
        <v>24028</v>
      </c>
      <c r="G3787" t="s">
        <v>24029</v>
      </c>
      <c r="H3787" t="s">
        <v>24030</v>
      </c>
      <c r="I3787" t="s">
        <v>24031</v>
      </c>
      <c r="J3787" t="s">
        <v>24026</v>
      </c>
      <c r="K3787" t="s">
        <v>24032</v>
      </c>
      <c r="L3787" t="s">
        <v>24026</v>
      </c>
    </row>
    <row r="3788" spans="1:12" x14ac:dyDescent="0.25">
      <c r="A3788">
        <v>659061</v>
      </c>
      <c r="B3788">
        <v>659080</v>
      </c>
      <c r="D3788">
        <v>0</v>
      </c>
      <c r="E3788" t="s">
        <v>24033</v>
      </c>
      <c r="F3788" t="s">
        <v>24034</v>
      </c>
      <c r="G3788" t="s">
        <v>24035</v>
      </c>
      <c r="H3788" t="s">
        <v>24036</v>
      </c>
      <c r="I3788" t="s">
        <v>24037</v>
      </c>
      <c r="J3788" t="s">
        <v>6150</v>
      </c>
      <c r="K3788" t="s">
        <v>24038</v>
      </c>
      <c r="L3788" t="s">
        <v>6150</v>
      </c>
    </row>
    <row r="3789" spans="1:12" x14ac:dyDescent="0.25">
      <c r="A3789">
        <v>659063</v>
      </c>
      <c r="B3789">
        <v>659073</v>
      </c>
      <c r="D3789">
        <v>0</v>
      </c>
      <c r="E3789" t="s">
        <v>24040</v>
      </c>
      <c r="F3789" t="s">
        <v>24041</v>
      </c>
      <c r="G3789" t="s">
        <v>24042</v>
      </c>
      <c r="H3789" t="s">
        <v>24043</v>
      </c>
      <c r="I3789" t="s">
        <v>24044</v>
      </c>
      <c r="J3789" t="s">
        <v>24039</v>
      </c>
      <c r="K3789" t="s">
        <v>24045</v>
      </c>
      <c r="L3789" t="s">
        <v>24039</v>
      </c>
    </row>
    <row r="3790" spans="1:12" x14ac:dyDescent="0.25">
      <c r="A3790">
        <v>659063</v>
      </c>
      <c r="B3790">
        <v>659080</v>
      </c>
      <c r="D3790">
        <v>0</v>
      </c>
      <c r="E3790" t="s">
        <v>24046</v>
      </c>
      <c r="F3790" t="s">
        <v>24047</v>
      </c>
      <c r="G3790" t="s">
        <v>24048</v>
      </c>
      <c r="H3790" t="s">
        <v>24049</v>
      </c>
      <c r="I3790" t="s">
        <v>24050</v>
      </c>
      <c r="J3790" t="s">
        <v>4480</v>
      </c>
      <c r="K3790" t="s">
        <v>24051</v>
      </c>
      <c r="L3790" t="s">
        <v>4480</v>
      </c>
    </row>
    <row r="3791" spans="1:12" x14ac:dyDescent="0.25">
      <c r="A3791">
        <v>659068</v>
      </c>
      <c r="B3791">
        <v>659070</v>
      </c>
      <c r="D3791">
        <v>0</v>
      </c>
      <c r="E3791" t="s">
        <v>24052</v>
      </c>
      <c r="F3791" t="s">
        <v>24053</v>
      </c>
      <c r="G3791" t="s">
        <v>24054</v>
      </c>
      <c r="H3791" t="s">
        <v>24055</v>
      </c>
      <c r="I3791" t="s">
        <v>24056</v>
      </c>
      <c r="J3791" t="s">
        <v>14989</v>
      </c>
      <c r="K3791" t="s">
        <v>24057</v>
      </c>
      <c r="L3791" t="s">
        <v>14989</v>
      </c>
    </row>
    <row r="3792" spans="1:12" x14ac:dyDescent="0.25">
      <c r="A3792">
        <v>659068</v>
      </c>
      <c r="B3792">
        <v>659080</v>
      </c>
      <c r="D3792">
        <v>0</v>
      </c>
      <c r="E3792" t="s">
        <v>24059</v>
      </c>
      <c r="F3792" t="s">
        <v>24060</v>
      </c>
      <c r="G3792" t="s">
        <v>24061</v>
      </c>
      <c r="H3792" t="e" vm="1670">
        <f>_FV(0,"01580680307230924")</f>
        <v>#VALUE!</v>
      </c>
      <c r="I3792" t="s">
        <v>24062</v>
      </c>
      <c r="J3792" t="s">
        <v>24063</v>
      </c>
      <c r="K3792" t="s">
        <v>24064</v>
      </c>
      <c r="L3792" t="s">
        <v>24058</v>
      </c>
    </row>
    <row r="3793" spans="1:12" x14ac:dyDescent="0.25">
      <c r="A3793">
        <v>659068</v>
      </c>
      <c r="B3793">
        <v>659073</v>
      </c>
      <c r="D3793">
        <v>0</v>
      </c>
      <c r="E3793" t="s">
        <v>24066</v>
      </c>
      <c r="F3793" t="s">
        <v>24067</v>
      </c>
      <c r="G3793" t="s">
        <v>24068</v>
      </c>
      <c r="H3793" t="e" vm="1671">
        <f>_FV(0,"012543670196104008")</f>
        <v>#VALUE!</v>
      </c>
      <c r="I3793" t="s">
        <v>24069</v>
      </c>
      <c r="J3793" t="s">
        <v>24070</v>
      </c>
      <c r="K3793" t="s">
        <v>24071</v>
      </c>
      <c r="L3793" t="s">
        <v>24065</v>
      </c>
    </row>
    <row r="3794" spans="1:12" x14ac:dyDescent="0.25">
      <c r="A3794">
        <v>659070</v>
      </c>
      <c r="B3794">
        <v>1235499</v>
      </c>
      <c r="C3794" t="s">
        <v>24073</v>
      </c>
      <c r="D3794" t="s">
        <v>11226</v>
      </c>
      <c r="E3794" t="s">
        <v>24074</v>
      </c>
      <c r="F3794" t="s">
        <v>24075</v>
      </c>
      <c r="G3794" t="s">
        <v>24076</v>
      </c>
      <c r="H3794" t="e" vm="1672">
        <f>_FV(0,"01555990240350581")</f>
        <v>#VALUE!</v>
      </c>
      <c r="I3794" t="s">
        <v>24077</v>
      </c>
      <c r="J3794" t="s">
        <v>24078</v>
      </c>
      <c r="K3794" t="s">
        <v>24079</v>
      </c>
      <c r="L3794" t="s">
        <v>24072</v>
      </c>
    </row>
    <row r="3795" spans="1:12" x14ac:dyDescent="0.25">
      <c r="A3795">
        <v>659070</v>
      </c>
      <c r="B3795">
        <v>659073</v>
      </c>
      <c r="D3795">
        <v>0</v>
      </c>
      <c r="E3795" t="s">
        <v>24081</v>
      </c>
      <c r="F3795" t="s">
        <v>24082</v>
      </c>
      <c r="G3795" t="s">
        <v>24083</v>
      </c>
      <c r="H3795" t="s">
        <v>24084</v>
      </c>
      <c r="I3795" t="s">
        <v>24085</v>
      </c>
      <c r="J3795" t="s">
        <v>24080</v>
      </c>
      <c r="K3795" t="s">
        <v>24086</v>
      </c>
      <c r="L3795" t="s">
        <v>24080</v>
      </c>
    </row>
    <row r="3796" spans="1:12" x14ac:dyDescent="0.25">
      <c r="A3796">
        <v>660252</v>
      </c>
      <c r="B3796">
        <v>660669</v>
      </c>
      <c r="D3796" t="s">
        <v>330</v>
      </c>
      <c r="E3796" t="s">
        <v>24088</v>
      </c>
      <c r="F3796" t="s">
        <v>24089</v>
      </c>
      <c r="G3796" t="s">
        <v>24090</v>
      </c>
      <c r="H3796" t="e" vm="1673">
        <f>_FV(0,"055965859787237546")</f>
        <v>#VALUE!</v>
      </c>
      <c r="I3796" t="s">
        <v>24091</v>
      </c>
      <c r="J3796" t="s">
        <v>24092</v>
      </c>
      <c r="K3796" t="s">
        <v>24093</v>
      </c>
      <c r="L3796" t="s">
        <v>24087</v>
      </c>
    </row>
    <row r="3797" spans="1:12" x14ac:dyDescent="0.25">
      <c r="A3797">
        <v>660252</v>
      </c>
      <c r="B3797">
        <v>660703</v>
      </c>
      <c r="D3797" t="s">
        <v>257</v>
      </c>
      <c r="E3797" t="s">
        <v>24095</v>
      </c>
      <c r="F3797" t="s">
        <v>24096</v>
      </c>
      <c r="G3797" t="s">
        <v>24097</v>
      </c>
      <c r="H3797" t="e" vm="1674">
        <f>_FV(0,"05683057724955781")</f>
        <v>#VALUE!</v>
      </c>
      <c r="I3797" t="s">
        <v>24098</v>
      </c>
      <c r="J3797" t="s">
        <v>24099</v>
      </c>
      <c r="K3797" t="s">
        <v>24100</v>
      </c>
      <c r="L3797" t="s">
        <v>24094</v>
      </c>
    </row>
    <row r="3798" spans="1:12" x14ac:dyDescent="0.25">
      <c r="A3798">
        <v>660263</v>
      </c>
      <c r="B3798">
        <v>660264</v>
      </c>
      <c r="D3798">
        <v>0</v>
      </c>
      <c r="F3798">
        <v>670163</v>
      </c>
      <c r="G3798">
        <v>660264</v>
      </c>
      <c r="H3798" t="e" vm="1675">
        <f>_FV(0,"038")</f>
        <v>#VALUE!</v>
      </c>
      <c r="I3798">
        <v>660263</v>
      </c>
      <c r="J3798" t="s">
        <v>2152</v>
      </c>
      <c r="K3798" t="s">
        <v>24101</v>
      </c>
      <c r="L3798" t="e" vm="1675">
        <f>_FV(0,"038")</f>
        <v>#VALUE!</v>
      </c>
    </row>
    <row r="3799" spans="1:12" x14ac:dyDescent="0.25">
      <c r="A3799">
        <v>660263</v>
      </c>
      <c r="B3799">
        <v>660669</v>
      </c>
      <c r="D3799">
        <v>0</v>
      </c>
      <c r="E3799" t="s">
        <v>24103</v>
      </c>
      <c r="F3799" t="s">
        <v>24104</v>
      </c>
      <c r="G3799" t="s">
        <v>24105</v>
      </c>
      <c r="H3799" t="e" vm="1676">
        <f>_FV(0,"0102874162230504")</f>
        <v>#VALUE!</v>
      </c>
      <c r="I3799" t="s">
        <v>24106</v>
      </c>
      <c r="J3799" t="s">
        <v>24107</v>
      </c>
      <c r="K3799" t="s">
        <v>24108</v>
      </c>
      <c r="L3799" t="s">
        <v>24102</v>
      </c>
    </row>
    <row r="3800" spans="1:12" x14ac:dyDescent="0.25">
      <c r="A3800">
        <v>660263</v>
      </c>
      <c r="B3800">
        <v>660703</v>
      </c>
      <c r="D3800">
        <v>0</v>
      </c>
      <c r="E3800" t="s">
        <v>24110</v>
      </c>
      <c r="F3800" t="s">
        <v>24111</v>
      </c>
      <c r="G3800" t="s">
        <v>24112</v>
      </c>
      <c r="H3800" t="e" vm="1677">
        <f>_FV(0,"00827903754871194")</f>
        <v>#VALUE!</v>
      </c>
      <c r="I3800" t="s">
        <v>24113</v>
      </c>
      <c r="J3800" t="s">
        <v>24114</v>
      </c>
      <c r="K3800" t="s">
        <v>24115</v>
      </c>
      <c r="L3800" t="s">
        <v>24109</v>
      </c>
    </row>
    <row r="3801" spans="1:12" x14ac:dyDescent="0.25">
      <c r="A3801">
        <v>660264</v>
      </c>
      <c r="B3801">
        <v>660365</v>
      </c>
      <c r="D3801">
        <v>0</v>
      </c>
      <c r="E3801" t="s">
        <v>24117</v>
      </c>
      <c r="F3801" t="s">
        <v>24118</v>
      </c>
      <c r="G3801" t="s">
        <v>24119</v>
      </c>
      <c r="H3801" t="s">
        <v>24120</v>
      </c>
      <c r="I3801" t="s">
        <v>24121</v>
      </c>
      <c r="J3801" t="s">
        <v>24116</v>
      </c>
      <c r="K3801" t="s">
        <v>24122</v>
      </c>
      <c r="L3801" t="s">
        <v>24116</v>
      </c>
    </row>
    <row r="3802" spans="1:12" x14ac:dyDescent="0.25">
      <c r="A3802">
        <v>660264</v>
      </c>
      <c r="B3802">
        <v>660338</v>
      </c>
      <c r="D3802" t="s">
        <v>5510</v>
      </c>
      <c r="E3802" t="s">
        <v>24124</v>
      </c>
      <c r="F3802" t="s">
        <v>24125</v>
      </c>
      <c r="G3802" t="s">
        <v>24126</v>
      </c>
      <c r="H3802" t="e" vm="1678">
        <f>_FV(0,"026993315258911212")</f>
        <v>#VALUE!</v>
      </c>
      <c r="I3802" t="s">
        <v>24127</v>
      </c>
      <c r="J3802" t="s">
        <v>24128</v>
      </c>
      <c r="K3802" t="s">
        <v>24129</v>
      </c>
      <c r="L3802" t="s">
        <v>24123</v>
      </c>
    </row>
    <row r="3803" spans="1:12" x14ac:dyDescent="0.25">
      <c r="A3803">
        <v>660337</v>
      </c>
      <c r="B3803">
        <v>660338</v>
      </c>
      <c r="D3803">
        <v>1</v>
      </c>
      <c r="F3803">
        <v>670241</v>
      </c>
      <c r="G3803">
        <v>660338</v>
      </c>
      <c r="H3803" t="e" vm="1084">
        <f>_FV(0,"018")</f>
        <v>#VALUE!</v>
      </c>
      <c r="I3803">
        <v>660337</v>
      </c>
      <c r="J3803" t="s">
        <v>697</v>
      </c>
      <c r="K3803" t="s">
        <v>24130</v>
      </c>
      <c r="L3803" t="e" vm="1084">
        <f>_FV(0,"018")</f>
        <v>#VALUE!</v>
      </c>
    </row>
    <row r="3804" spans="1:12" x14ac:dyDescent="0.25">
      <c r="A3804">
        <v>660337</v>
      </c>
      <c r="B3804">
        <v>660402</v>
      </c>
      <c r="D3804" t="s">
        <v>19055</v>
      </c>
      <c r="E3804" t="s">
        <v>24132</v>
      </c>
      <c r="F3804" t="s">
        <v>24133</v>
      </c>
      <c r="G3804" t="s">
        <v>24134</v>
      </c>
      <c r="H3804" t="e" vm="1679">
        <f>_FV(0,"11045120494696602")</f>
        <v>#VALUE!</v>
      </c>
      <c r="I3804" t="s">
        <v>24135</v>
      </c>
      <c r="J3804" t="s">
        <v>24136</v>
      </c>
      <c r="K3804" t="s">
        <v>24137</v>
      </c>
      <c r="L3804" t="s">
        <v>24131</v>
      </c>
    </row>
    <row r="3805" spans="1:12" x14ac:dyDescent="0.25">
      <c r="A3805">
        <v>660337</v>
      </c>
      <c r="B3805">
        <v>660703</v>
      </c>
      <c r="D3805" t="s">
        <v>1845</v>
      </c>
      <c r="E3805" t="s">
        <v>24139</v>
      </c>
      <c r="F3805" t="s">
        <v>24140</v>
      </c>
      <c r="G3805" t="s">
        <v>24141</v>
      </c>
      <c r="H3805" t="s">
        <v>24142</v>
      </c>
      <c r="I3805" t="s">
        <v>24143</v>
      </c>
      <c r="J3805" t="s">
        <v>24144</v>
      </c>
      <c r="K3805" t="s">
        <v>24145</v>
      </c>
      <c r="L3805" t="s">
        <v>24138</v>
      </c>
    </row>
    <row r="3806" spans="1:12" x14ac:dyDescent="0.25">
      <c r="A3806">
        <v>660338</v>
      </c>
      <c r="B3806">
        <v>660365</v>
      </c>
      <c r="D3806" t="s">
        <v>1839</v>
      </c>
      <c r="E3806" t="s">
        <v>24147</v>
      </c>
      <c r="F3806" t="s">
        <v>24148</v>
      </c>
      <c r="G3806" t="s">
        <v>24149</v>
      </c>
      <c r="H3806" t="s">
        <v>24150</v>
      </c>
      <c r="I3806" t="s">
        <v>24151</v>
      </c>
      <c r="J3806" t="s">
        <v>24146</v>
      </c>
      <c r="K3806" t="s">
        <v>24152</v>
      </c>
      <c r="L3806" t="s">
        <v>24146</v>
      </c>
    </row>
    <row r="3807" spans="1:12" x14ac:dyDescent="0.25">
      <c r="A3807">
        <v>660365</v>
      </c>
      <c r="B3807">
        <v>660402</v>
      </c>
      <c r="D3807">
        <v>0</v>
      </c>
      <c r="E3807" t="s">
        <v>24154</v>
      </c>
      <c r="F3807" t="s">
        <v>24155</v>
      </c>
      <c r="G3807" t="s">
        <v>24156</v>
      </c>
      <c r="H3807" t="s">
        <v>24157</v>
      </c>
      <c r="I3807" t="s">
        <v>24158</v>
      </c>
      <c r="J3807" t="s">
        <v>24159</v>
      </c>
      <c r="K3807" t="s">
        <v>24160</v>
      </c>
      <c r="L3807" t="s">
        <v>24153</v>
      </c>
    </row>
    <row r="3808" spans="1:12" x14ac:dyDescent="0.25">
      <c r="A3808">
        <v>660402</v>
      </c>
      <c r="B3808">
        <v>660669</v>
      </c>
      <c r="D3808">
        <v>0</v>
      </c>
      <c r="E3808" t="s">
        <v>24162</v>
      </c>
      <c r="F3808" t="s">
        <v>24163</v>
      </c>
      <c r="G3808" t="s">
        <v>24164</v>
      </c>
      <c r="H3808" t="e" vm="1680">
        <f>_FV(0,"01102332614384036")</f>
        <v>#VALUE!</v>
      </c>
      <c r="I3808" t="s">
        <v>24165</v>
      </c>
      <c r="J3808" t="s">
        <v>24166</v>
      </c>
      <c r="K3808" t="s">
        <v>24167</v>
      </c>
      <c r="L3808" t="s">
        <v>24161</v>
      </c>
    </row>
    <row r="3809" spans="1:12" x14ac:dyDescent="0.25">
      <c r="A3809">
        <v>662034</v>
      </c>
      <c r="B3809">
        <v>662052</v>
      </c>
      <c r="D3809">
        <v>0</v>
      </c>
      <c r="E3809" t="s">
        <v>24169</v>
      </c>
      <c r="F3809" t="s">
        <v>24170</v>
      </c>
      <c r="G3809" t="s">
        <v>24171</v>
      </c>
      <c r="H3809" t="s">
        <v>24172</v>
      </c>
      <c r="I3809" t="s">
        <v>24173</v>
      </c>
      <c r="J3809" t="s">
        <v>24168</v>
      </c>
      <c r="K3809" t="s">
        <v>24174</v>
      </c>
      <c r="L3809" t="s">
        <v>24168</v>
      </c>
    </row>
    <row r="3810" spans="1:12" x14ac:dyDescent="0.25">
      <c r="A3810">
        <v>662034</v>
      </c>
      <c r="B3810">
        <v>1250970</v>
      </c>
      <c r="D3810">
        <v>0</v>
      </c>
      <c r="E3810" t="s">
        <v>24176</v>
      </c>
      <c r="F3810" t="s">
        <v>24177</v>
      </c>
      <c r="G3810" t="s">
        <v>24178</v>
      </c>
      <c r="H3810" t="e" vm="1681">
        <f>_FV(0,"018949349920398883")</f>
        <v>#VALUE!</v>
      </c>
      <c r="I3810" t="s">
        <v>24179</v>
      </c>
      <c r="J3810" t="s">
        <v>24180</v>
      </c>
      <c r="K3810" t="s">
        <v>24181</v>
      </c>
      <c r="L3810" t="s">
        <v>24175</v>
      </c>
    </row>
    <row r="3811" spans="1:12" x14ac:dyDescent="0.25">
      <c r="A3811">
        <v>662034</v>
      </c>
      <c r="B3811">
        <v>1251008</v>
      </c>
      <c r="D3811">
        <v>0</v>
      </c>
      <c r="E3811" t="s">
        <v>24183</v>
      </c>
      <c r="F3811" t="s">
        <v>24184</v>
      </c>
      <c r="G3811" t="s">
        <v>24185</v>
      </c>
      <c r="H3811" t="s">
        <v>24186</v>
      </c>
      <c r="I3811" t="s">
        <v>24187</v>
      </c>
      <c r="J3811" t="s">
        <v>24188</v>
      </c>
      <c r="K3811" t="s">
        <v>24189</v>
      </c>
      <c r="L3811" t="s">
        <v>24182</v>
      </c>
    </row>
    <row r="3812" spans="1:12" x14ac:dyDescent="0.25">
      <c r="A3812">
        <v>662052</v>
      </c>
      <c r="B3812">
        <v>1306941</v>
      </c>
      <c r="D3812">
        <v>0</v>
      </c>
      <c r="E3812" t="s">
        <v>24191</v>
      </c>
      <c r="F3812" t="s">
        <v>24192</v>
      </c>
      <c r="G3812" t="s">
        <v>24193</v>
      </c>
      <c r="H3812" t="s">
        <v>24194</v>
      </c>
      <c r="I3812" t="s">
        <v>24195</v>
      </c>
      <c r="J3812" t="s">
        <v>24196</v>
      </c>
      <c r="K3812" t="s">
        <v>24197</v>
      </c>
      <c r="L3812" t="s">
        <v>24190</v>
      </c>
    </row>
    <row r="3813" spans="1:12" x14ac:dyDescent="0.25">
      <c r="A3813">
        <v>662052</v>
      </c>
      <c r="B3813">
        <v>1251008</v>
      </c>
      <c r="D3813">
        <v>0</v>
      </c>
      <c r="E3813" t="s">
        <v>24199</v>
      </c>
      <c r="F3813" t="s">
        <v>24200</v>
      </c>
      <c r="G3813" t="s">
        <v>24201</v>
      </c>
      <c r="H3813" t="s">
        <v>24202</v>
      </c>
      <c r="I3813" t="s">
        <v>24203</v>
      </c>
      <c r="J3813" t="s">
        <v>24204</v>
      </c>
      <c r="K3813" t="s">
        <v>24205</v>
      </c>
      <c r="L3813" t="s">
        <v>24198</v>
      </c>
    </row>
    <row r="3814" spans="1:12" x14ac:dyDescent="0.25">
      <c r="A3814">
        <v>664358</v>
      </c>
      <c r="B3814">
        <v>982084</v>
      </c>
      <c r="D3814">
        <v>0</v>
      </c>
      <c r="E3814" t="s">
        <v>24207</v>
      </c>
      <c r="F3814" t="s">
        <v>24208</v>
      </c>
      <c r="G3814" t="s">
        <v>24209</v>
      </c>
      <c r="H3814" t="e" vm="1682">
        <f>_FV(0,"0037337747896425493")</f>
        <v>#VALUE!</v>
      </c>
      <c r="I3814" t="s">
        <v>24210</v>
      </c>
      <c r="J3814" t="s">
        <v>24211</v>
      </c>
      <c r="K3814" t="s">
        <v>24212</v>
      </c>
      <c r="L3814" t="s">
        <v>24206</v>
      </c>
    </row>
    <row r="3815" spans="1:12" x14ac:dyDescent="0.25">
      <c r="A3815">
        <v>664358</v>
      </c>
      <c r="B3815">
        <v>664445</v>
      </c>
      <c r="D3815">
        <v>0</v>
      </c>
      <c r="E3815" t="s">
        <v>24214</v>
      </c>
      <c r="F3815" t="s">
        <v>24215</v>
      </c>
      <c r="G3815" t="s">
        <v>24216</v>
      </c>
      <c r="H3815" t="e" vm="1683">
        <f>_FV(0,"015977729376920817")</f>
        <v>#VALUE!</v>
      </c>
      <c r="I3815" t="s">
        <v>24217</v>
      </c>
      <c r="J3815" t="s">
        <v>24218</v>
      </c>
      <c r="K3815" t="s">
        <v>24219</v>
      </c>
      <c r="L3815" t="s">
        <v>24213</v>
      </c>
    </row>
    <row r="3816" spans="1:12" x14ac:dyDescent="0.25">
      <c r="A3816">
        <v>664358</v>
      </c>
      <c r="B3816">
        <v>664669</v>
      </c>
      <c r="C3816" t="s">
        <v>24221</v>
      </c>
      <c r="D3816">
        <v>0</v>
      </c>
      <c r="E3816" t="s">
        <v>24222</v>
      </c>
      <c r="F3816" t="s">
        <v>24223</v>
      </c>
      <c r="G3816" t="s">
        <v>24224</v>
      </c>
      <c r="H3816" t="e" vm="1684">
        <f>_FV(0,"0010422680515788862")</f>
        <v>#VALUE!</v>
      </c>
      <c r="I3816" t="s">
        <v>24225</v>
      </c>
      <c r="J3816" t="s">
        <v>24226</v>
      </c>
      <c r="K3816" t="s">
        <v>24227</v>
      </c>
      <c r="L3816" t="s">
        <v>24220</v>
      </c>
    </row>
    <row r="3817" spans="1:12" x14ac:dyDescent="0.25">
      <c r="A3817">
        <v>664433</v>
      </c>
      <c r="B3817">
        <v>981960</v>
      </c>
      <c r="D3817">
        <v>0</v>
      </c>
      <c r="E3817" t="s">
        <v>24229</v>
      </c>
      <c r="F3817" t="s">
        <v>24230</v>
      </c>
      <c r="G3817" t="s">
        <v>24231</v>
      </c>
      <c r="H3817" t="e" vm="1685">
        <f>_FV(0,"0022516902677321674")</f>
        <v>#VALUE!</v>
      </c>
      <c r="I3817" t="s">
        <v>24232</v>
      </c>
      <c r="J3817" t="s">
        <v>24233</v>
      </c>
      <c r="K3817" t="s">
        <v>24234</v>
      </c>
      <c r="L3817" t="s">
        <v>24228</v>
      </c>
    </row>
    <row r="3818" spans="1:12" x14ac:dyDescent="0.25">
      <c r="A3818">
        <v>664433</v>
      </c>
      <c r="B3818">
        <v>664660</v>
      </c>
      <c r="D3818">
        <v>0</v>
      </c>
      <c r="E3818" t="s">
        <v>24236</v>
      </c>
      <c r="F3818" t="s">
        <v>24237</v>
      </c>
      <c r="G3818" t="s">
        <v>24238</v>
      </c>
      <c r="H3818" t="s">
        <v>24239</v>
      </c>
      <c r="I3818" t="s">
        <v>24240</v>
      </c>
      <c r="J3818" t="s">
        <v>24241</v>
      </c>
      <c r="K3818" t="s">
        <v>24242</v>
      </c>
      <c r="L3818" t="s">
        <v>24235</v>
      </c>
    </row>
    <row r="3819" spans="1:12" x14ac:dyDescent="0.25">
      <c r="A3819">
        <v>664433</v>
      </c>
      <c r="B3819">
        <v>664567</v>
      </c>
      <c r="D3819">
        <v>0</v>
      </c>
      <c r="E3819" t="s">
        <v>24244</v>
      </c>
      <c r="F3819" t="s">
        <v>24245</v>
      </c>
      <c r="G3819" t="s">
        <v>24246</v>
      </c>
      <c r="H3819" t="e" vm="1686">
        <f>_FV(0,"02254678690050478")</f>
        <v>#VALUE!</v>
      </c>
      <c r="I3819" t="s">
        <v>24247</v>
      </c>
      <c r="J3819" t="s">
        <v>24248</v>
      </c>
      <c r="K3819" t="s">
        <v>24249</v>
      </c>
      <c r="L3819" t="s">
        <v>24243</v>
      </c>
    </row>
    <row r="3820" spans="1:12" x14ac:dyDescent="0.25">
      <c r="A3820">
        <v>664445</v>
      </c>
      <c r="B3820">
        <v>664714</v>
      </c>
      <c r="D3820">
        <v>0</v>
      </c>
      <c r="E3820" t="s">
        <v>24251</v>
      </c>
      <c r="F3820" t="s">
        <v>24252</v>
      </c>
      <c r="G3820" t="s">
        <v>24253</v>
      </c>
      <c r="H3820" t="e" vm="1687">
        <f>_FV(0,"03593877381805128")</f>
        <v>#VALUE!</v>
      </c>
      <c r="I3820" t="s">
        <v>24254</v>
      </c>
      <c r="J3820" t="s">
        <v>24255</v>
      </c>
      <c r="K3820" t="s">
        <v>24256</v>
      </c>
      <c r="L3820" t="s">
        <v>24250</v>
      </c>
    </row>
    <row r="3821" spans="1:12" x14ac:dyDescent="0.25">
      <c r="A3821">
        <v>664445</v>
      </c>
      <c r="B3821">
        <v>981995</v>
      </c>
      <c r="D3821" t="s">
        <v>16756</v>
      </c>
      <c r="E3821" t="s">
        <v>24258</v>
      </c>
      <c r="F3821" t="s">
        <v>24259</v>
      </c>
      <c r="G3821" t="s">
        <v>24260</v>
      </c>
      <c r="H3821" t="e" vm="1688">
        <f>_FV(0,"0007992516747792024")</f>
        <v>#VALUE!</v>
      </c>
      <c r="I3821" t="s">
        <v>24261</v>
      </c>
      <c r="J3821" t="s">
        <v>24262</v>
      </c>
      <c r="K3821" t="s">
        <v>24263</v>
      </c>
      <c r="L3821" t="s">
        <v>24257</v>
      </c>
    </row>
    <row r="3822" spans="1:12" x14ac:dyDescent="0.25">
      <c r="A3822">
        <v>664526</v>
      </c>
      <c r="B3822">
        <v>664846</v>
      </c>
      <c r="D3822">
        <v>0</v>
      </c>
      <c r="F3822">
        <v>674803</v>
      </c>
      <c r="G3822">
        <v>664846</v>
      </c>
      <c r="H3822" t="e" vm="625">
        <f>_FV(0,"015")</f>
        <v>#VALUE!</v>
      </c>
      <c r="I3822">
        <v>664526</v>
      </c>
      <c r="J3822" t="s">
        <v>6474</v>
      </c>
      <c r="K3822" t="s">
        <v>24264</v>
      </c>
      <c r="L3822" t="e" vm="625">
        <f>_FV(0,"015")</f>
        <v>#VALUE!</v>
      </c>
    </row>
    <row r="3823" spans="1:12" x14ac:dyDescent="0.25">
      <c r="A3823">
        <v>664526</v>
      </c>
      <c r="B3823">
        <v>664567</v>
      </c>
      <c r="D3823">
        <v>0</v>
      </c>
      <c r="E3823" t="s">
        <v>24266</v>
      </c>
      <c r="F3823" t="s">
        <v>24267</v>
      </c>
      <c r="G3823" t="s">
        <v>24268</v>
      </c>
      <c r="H3823" t="s">
        <v>24269</v>
      </c>
      <c r="I3823" t="s">
        <v>24270</v>
      </c>
      <c r="J3823" t="s">
        <v>24271</v>
      </c>
      <c r="K3823" t="s">
        <v>24272</v>
      </c>
      <c r="L3823" t="s">
        <v>24265</v>
      </c>
    </row>
    <row r="3824" spans="1:12" x14ac:dyDescent="0.25">
      <c r="A3824">
        <v>664526</v>
      </c>
      <c r="B3824">
        <v>664746</v>
      </c>
      <c r="D3824">
        <v>0</v>
      </c>
      <c r="E3824" t="s">
        <v>24274</v>
      </c>
      <c r="F3824" t="s">
        <v>24275</v>
      </c>
      <c r="G3824" t="s">
        <v>24276</v>
      </c>
      <c r="H3824" t="s">
        <v>24277</v>
      </c>
      <c r="I3824" t="s">
        <v>24278</v>
      </c>
      <c r="J3824" t="s">
        <v>24273</v>
      </c>
      <c r="K3824" t="s">
        <v>24279</v>
      </c>
      <c r="L3824" t="s">
        <v>24273</v>
      </c>
    </row>
    <row r="3825" spans="1:12" x14ac:dyDescent="0.25">
      <c r="A3825">
        <v>664567</v>
      </c>
      <c r="B3825">
        <v>981995</v>
      </c>
      <c r="D3825" t="s">
        <v>3716</v>
      </c>
      <c r="E3825" t="s">
        <v>24281</v>
      </c>
      <c r="F3825" t="s">
        <v>24282</v>
      </c>
      <c r="G3825" t="s">
        <v>24283</v>
      </c>
      <c r="H3825" t="e" vm="1689">
        <f>_FV(0,"0013548444173038796")</f>
        <v>#VALUE!</v>
      </c>
      <c r="I3825" t="s">
        <v>24284</v>
      </c>
      <c r="J3825" t="s">
        <v>24285</v>
      </c>
      <c r="K3825" t="s">
        <v>24286</v>
      </c>
      <c r="L3825" t="s">
        <v>24280</v>
      </c>
    </row>
    <row r="3826" spans="1:12" x14ac:dyDescent="0.25">
      <c r="A3826">
        <v>664660</v>
      </c>
      <c r="B3826">
        <v>664794</v>
      </c>
      <c r="D3826">
        <v>0</v>
      </c>
      <c r="F3826">
        <v>674734</v>
      </c>
      <c r="G3826">
        <v>664794</v>
      </c>
      <c r="H3826" t="s">
        <v>1333</v>
      </c>
      <c r="I3826">
        <v>664660</v>
      </c>
      <c r="J3826" t="s">
        <v>1333</v>
      </c>
      <c r="K3826" t="s">
        <v>24287</v>
      </c>
      <c r="L3826" t="s">
        <v>1333</v>
      </c>
    </row>
    <row r="3827" spans="1:12" x14ac:dyDescent="0.25">
      <c r="A3827">
        <v>664660</v>
      </c>
      <c r="B3827">
        <v>664787</v>
      </c>
      <c r="D3827">
        <v>0</v>
      </c>
      <c r="F3827">
        <v>674726</v>
      </c>
      <c r="G3827">
        <v>664660</v>
      </c>
      <c r="H3827" t="e" vm="184">
        <f>_FV(0,"031")</f>
        <v>#VALUE!</v>
      </c>
      <c r="I3827">
        <v>664787</v>
      </c>
      <c r="J3827" t="s">
        <v>2871</v>
      </c>
      <c r="K3827" t="s">
        <v>24288</v>
      </c>
      <c r="L3827" t="e" vm="184">
        <f>_FV(0,"031")</f>
        <v>#VALUE!</v>
      </c>
    </row>
    <row r="3828" spans="1:12" x14ac:dyDescent="0.25">
      <c r="A3828">
        <v>664669</v>
      </c>
      <c r="B3828">
        <v>664894</v>
      </c>
      <c r="D3828">
        <v>0</v>
      </c>
      <c r="F3828">
        <v>674859</v>
      </c>
      <c r="G3828">
        <v>664894</v>
      </c>
      <c r="H3828" t="s">
        <v>1783</v>
      </c>
      <c r="I3828">
        <v>664669</v>
      </c>
      <c r="J3828" t="s">
        <v>1783</v>
      </c>
      <c r="K3828" t="s">
        <v>24289</v>
      </c>
      <c r="L3828" t="s">
        <v>1783</v>
      </c>
    </row>
    <row r="3829" spans="1:12" x14ac:dyDescent="0.25">
      <c r="A3829">
        <v>664669</v>
      </c>
      <c r="B3829">
        <v>664714</v>
      </c>
      <c r="D3829">
        <v>0</v>
      </c>
      <c r="F3829">
        <v>674851</v>
      </c>
      <c r="G3829">
        <v>664669</v>
      </c>
      <c r="H3829" t="e" vm="44">
        <f>_FV(0,"053")</f>
        <v>#VALUE!</v>
      </c>
      <c r="I3829">
        <v>664714</v>
      </c>
      <c r="J3829" t="s">
        <v>688</v>
      </c>
      <c r="K3829" t="s">
        <v>24290</v>
      </c>
      <c r="L3829" t="e" vm="44">
        <f>_FV(0,"053")</f>
        <v>#VALUE!</v>
      </c>
    </row>
    <row r="3830" spans="1:12" x14ac:dyDescent="0.25">
      <c r="A3830">
        <v>664714</v>
      </c>
      <c r="B3830">
        <v>664908</v>
      </c>
      <c r="D3830">
        <v>0</v>
      </c>
      <c r="F3830">
        <v>674884</v>
      </c>
      <c r="G3830">
        <v>664714</v>
      </c>
      <c r="H3830" t="s">
        <v>19206</v>
      </c>
      <c r="I3830">
        <v>664908</v>
      </c>
      <c r="J3830" t="s">
        <v>19206</v>
      </c>
      <c r="K3830" t="s">
        <v>24291</v>
      </c>
      <c r="L3830" t="s">
        <v>19206</v>
      </c>
    </row>
    <row r="3831" spans="1:12" x14ac:dyDescent="0.25">
      <c r="A3831">
        <v>664746</v>
      </c>
      <c r="B3831">
        <v>664780</v>
      </c>
      <c r="D3831">
        <v>0</v>
      </c>
      <c r="E3831" t="s">
        <v>24293</v>
      </c>
      <c r="F3831" t="s">
        <v>24294</v>
      </c>
      <c r="G3831" t="s">
        <v>24295</v>
      </c>
      <c r="H3831" t="e" vm="1690">
        <f>_FV(0,"04151260381074688")</f>
        <v>#VALUE!</v>
      </c>
      <c r="I3831" t="s">
        <v>24296</v>
      </c>
      <c r="J3831" t="s">
        <v>24297</v>
      </c>
      <c r="K3831" t="s">
        <v>24298</v>
      </c>
      <c r="L3831" t="s">
        <v>24292</v>
      </c>
    </row>
    <row r="3832" spans="1:12" x14ac:dyDescent="0.25">
      <c r="A3832">
        <v>664746</v>
      </c>
      <c r="B3832">
        <v>664794</v>
      </c>
      <c r="D3832">
        <v>0</v>
      </c>
      <c r="E3832" t="s">
        <v>24300</v>
      </c>
      <c r="F3832" t="s">
        <v>24301</v>
      </c>
      <c r="G3832" t="s">
        <v>24302</v>
      </c>
      <c r="H3832" t="s">
        <v>24303</v>
      </c>
      <c r="I3832" t="s">
        <v>24304</v>
      </c>
      <c r="J3832" t="s">
        <v>24299</v>
      </c>
      <c r="K3832" t="s">
        <v>24305</v>
      </c>
      <c r="L3832" t="s">
        <v>24299</v>
      </c>
    </row>
    <row r="3833" spans="1:12" x14ac:dyDescent="0.25">
      <c r="A3833">
        <v>664780</v>
      </c>
      <c r="B3833">
        <v>981906</v>
      </c>
      <c r="D3833">
        <v>0</v>
      </c>
      <c r="E3833" t="s">
        <v>24307</v>
      </c>
      <c r="F3833" t="s">
        <v>24308</v>
      </c>
      <c r="G3833" t="s">
        <v>24309</v>
      </c>
      <c r="H3833" t="s">
        <v>24310</v>
      </c>
      <c r="I3833" t="s">
        <v>24311</v>
      </c>
      <c r="J3833" t="s">
        <v>24312</v>
      </c>
      <c r="K3833" t="s">
        <v>24313</v>
      </c>
      <c r="L3833" t="s">
        <v>24306</v>
      </c>
    </row>
    <row r="3834" spans="1:12" x14ac:dyDescent="0.25">
      <c r="A3834">
        <v>664780</v>
      </c>
      <c r="B3834">
        <v>664794</v>
      </c>
      <c r="D3834">
        <v>0</v>
      </c>
      <c r="E3834" t="s">
        <v>24315</v>
      </c>
      <c r="F3834" t="s">
        <v>24316</v>
      </c>
      <c r="G3834" t="s">
        <v>24317</v>
      </c>
      <c r="H3834" t="e" vm="1691">
        <f>_FV(0,"03886788601851076")</f>
        <v>#VALUE!</v>
      </c>
      <c r="I3834" t="s">
        <v>24318</v>
      </c>
      <c r="J3834" t="s">
        <v>24319</v>
      </c>
      <c r="K3834" t="s">
        <v>24320</v>
      </c>
      <c r="L3834" t="s">
        <v>24314</v>
      </c>
    </row>
    <row r="3835" spans="1:12" x14ac:dyDescent="0.25">
      <c r="A3835">
        <v>664787</v>
      </c>
      <c r="B3835">
        <v>664846</v>
      </c>
      <c r="D3835">
        <v>0</v>
      </c>
      <c r="E3835" t="s">
        <v>24322</v>
      </c>
      <c r="F3835" t="s">
        <v>24323</v>
      </c>
      <c r="G3835" t="s">
        <v>24324</v>
      </c>
      <c r="H3835" t="e" vm="1692">
        <f>_FV(0,"03891725761460432")</f>
        <v>#VALUE!</v>
      </c>
      <c r="I3835" t="s">
        <v>24325</v>
      </c>
      <c r="J3835" t="s">
        <v>24326</v>
      </c>
      <c r="K3835" t="s">
        <v>24327</v>
      </c>
      <c r="L3835" t="s">
        <v>24321</v>
      </c>
    </row>
    <row r="3836" spans="1:12" x14ac:dyDescent="0.25">
      <c r="A3836">
        <v>664787</v>
      </c>
      <c r="B3836">
        <v>664920</v>
      </c>
      <c r="D3836" t="s">
        <v>715</v>
      </c>
      <c r="E3836" t="s">
        <v>24329</v>
      </c>
      <c r="F3836" t="s">
        <v>24330</v>
      </c>
      <c r="G3836" t="s">
        <v>24331</v>
      </c>
      <c r="H3836" t="e" vm="1693">
        <f>_FV(0,"02668878628855407")</f>
        <v>#VALUE!</v>
      </c>
      <c r="I3836" t="s">
        <v>24332</v>
      </c>
      <c r="J3836" t="s">
        <v>24333</v>
      </c>
      <c r="K3836" t="s">
        <v>24334</v>
      </c>
      <c r="L3836" t="s">
        <v>24328</v>
      </c>
    </row>
    <row r="3837" spans="1:12" x14ac:dyDescent="0.25">
      <c r="A3837">
        <v>664846</v>
      </c>
      <c r="B3837">
        <v>664920</v>
      </c>
      <c r="D3837" t="s">
        <v>715</v>
      </c>
      <c r="E3837" t="s">
        <v>24336</v>
      </c>
      <c r="F3837" t="s">
        <v>24337</v>
      </c>
      <c r="G3837" t="s">
        <v>24338</v>
      </c>
      <c r="H3837" t="s">
        <v>24339</v>
      </c>
      <c r="I3837" t="s">
        <v>24340</v>
      </c>
      <c r="J3837" t="s">
        <v>24341</v>
      </c>
      <c r="K3837" t="s">
        <v>24342</v>
      </c>
      <c r="L3837" t="s">
        <v>24335</v>
      </c>
    </row>
    <row r="3838" spans="1:12" x14ac:dyDescent="0.25">
      <c r="A3838">
        <v>664894</v>
      </c>
      <c r="B3838">
        <v>664908</v>
      </c>
      <c r="D3838">
        <v>0</v>
      </c>
      <c r="E3838" t="s">
        <v>24344</v>
      </c>
      <c r="F3838" t="s">
        <v>24345</v>
      </c>
      <c r="G3838" t="s">
        <v>24346</v>
      </c>
      <c r="H3838" t="s">
        <v>24347</v>
      </c>
      <c r="I3838" t="s">
        <v>24348</v>
      </c>
      <c r="J3838" t="s">
        <v>24343</v>
      </c>
      <c r="K3838" t="s">
        <v>24349</v>
      </c>
      <c r="L3838" t="s">
        <v>24343</v>
      </c>
    </row>
    <row r="3839" spans="1:12" x14ac:dyDescent="0.25">
      <c r="A3839">
        <v>664894</v>
      </c>
      <c r="B3839">
        <v>664919</v>
      </c>
      <c r="D3839" t="s">
        <v>700</v>
      </c>
      <c r="E3839" t="s">
        <v>24351</v>
      </c>
      <c r="F3839" t="s">
        <v>24352</v>
      </c>
      <c r="G3839" t="s">
        <v>24353</v>
      </c>
      <c r="H3839" t="s">
        <v>24354</v>
      </c>
      <c r="I3839" t="s">
        <v>24355</v>
      </c>
      <c r="J3839" t="s">
        <v>24356</v>
      </c>
      <c r="K3839" t="s">
        <v>24357</v>
      </c>
      <c r="L3839" t="s">
        <v>24350</v>
      </c>
    </row>
    <row r="3840" spans="1:12" x14ac:dyDescent="0.25">
      <c r="A3840">
        <v>664908</v>
      </c>
      <c r="B3840">
        <v>664919</v>
      </c>
      <c r="D3840" t="s">
        <v>700</v>
      </c>
      <c r="E3840" t="s">
        <v>24359</v>
      </c>
      <c r="F3840" t="s">
        <v>24360</v>
      </c>
      <c r="G3840" t="s">
        <v>24361</v>
      </c>
      <c r="H3840" t="e" vm="1694">
        <f>_FV(0,"023758787838813057")</f>
        <v>#VALUE!</v>
      </c>
      <c r="I3840" t="s">
        <v>24362</v>
      </c>
      <c r="J3840" t="s">
        <v>24363</v>
      </c>
      <c r="K3840" t="s">
        <v>24364</v>
      </c>
      <c r="L3840" t="s">
        <v>24358</v>
      </c>
    </row>
    <row r="3841" spans="1:12" x14ac:dyDescent="0.25">
      <c r="A3841">
        <v>664919</v>
      </c>
      <c r="B3841">
        <v>664920</v>
      </c>
      <c r="D3841">
        <v>1</v>
      </c>
      <c r="F3841">
        <v>674892</v>
      </c>
      <c r="G3841">
        <v>664920</v>
      </c>
      <c r="H3841" t="e" vm="131">
        <f>_FV(0,"012")</f>
        <v>#VALUE!</v>
      </c>
      <c r="I3841">
        <v>664919</v>
      </c>
      <c r="J3841" t="s">
        <v>1939</v>
      </c>
      <c r="K3841" t="s">
        <v>24365</v>
      </c>
      <c r="L3841" t="e" vm="131">
        <f>_FV(0,"012")</f>
        <v>#VALUE!</v>
      </c>
    </row>
    <row r="3842" spans="1:12" x14ac:dyDescent="0.25">
      <c r="A3842">
        <v>664979</v>
      </c>
      <c r="B3842">
        <v>664993</v>
      </c>
      <c r="D3842">
        <v>0</v>
      </c>
      <c r="E3842" t="s">
        <v>24367</v>
      </c>
      <c r="F3842" t="s">
        <v>24368</v>
      </c>
      <c r="G3842" t="s">
        <v>24369</v>
      </c>
      <c r="H3842" t="s">
        <v>24370</v>
      </c>
      <c r="I3842" t="s">
        <v>24371</v>
      </c>
      <c r="J3842" t="s">
        <v>24366</v>
      </c>
      <c r="K3842" t="s">
        <v>24372</v>
      </c>
      <c r="L3842" t="s">
        <v>24366</v>
      </c>
    </row>
    <row r="3843" spans="1:12" x14ac:dyDescent="0.25">
      <c r="A3843">
        <v>664979</v>
      </c>
      <c r="B3843">
        <v>664993</v>
      </c>
      <c r="D3843">
        <v>0</v>
      </c>
      <c r="E3843" t="s">
        <v>24374</v>
      </c>
      <c r="F3843" t="s">
        <v>24375</v>
      </c>
      <c r="G3843" t="s">
        <v>24376</v>
      </c>
      <c r="H3843" t="s">
        <v>24377</v>
      </c>
      <c r="I3843" t="s">
        <v>24378</v>
      </c>
      <c r="J3843" t="s">
        <v>24379</v>
      </c>
      <c r="K3843" t="s">
        <v>24380</v>
      </c>
      <c r="L3843" t="s">
        <v>24373</v>
      </c>
    </row>
    <row r="3844" spans="1:12" x14ac:dyDescent="0.25">
      <c r="A3844">
        <v>664993</v>
      </c>
      <c r="B3844">
        <v>1656119</v>
      </c>
      <c r="D3844" t="s">
        <v>24382</v>
      </c>
      <c r="E3844" t="s">
        <v>24383</v>
      </c>
      <c r="F3844" t="s">
        <v>24384</v>
      </c>
      <c r="G3844" t="s">
        <v>24385</v>
      </c>
      <c r="H3844" t="e" vm="1695">
        <f>_FV(0,"0005010912756627759")</f>
        <v>#VALUE!</v>
      </c>
      <c r="I3844" t="s">
        <v>24386</v>
      </c>
      <c r="J3844" t="s">
        <v>24387</v>
      </c>
      <c r="K3844" t="s">
        <v>24388</v>
      </c>
      <c r="L3844" t="s">
        <v>24381</v>
      </c>
    </row>
    <row r="3845" spans="1:12" x14ac:dyDescent="0.25">
      <c r="A3845">
        <v>665364</v>
      </c>
      <c r="B3845">
        <v>665373</v>
      </c>
      <c r="D3845">
        <v>0</v>
      </c>
      <c r="F3845">
        <v>675466</v>
      </c>
      <c r="G3845">
        <v>665373</v>
      </c>
      <c r="H3845" t="s">
        <v>24389</v>
      </c>
      <c r="I3845">
        <v>665364</v>
      </c>
      <c r="J3845" t="s">
        <v>24389</v>
      </c>
      <c r="K3845" t="s">
        <v>24390</v>
      </c>
      <c r="L3845" t="s">
        <v>24389</v>
      </c>
    </row>
    <row r="3846" spans="1:12" x14ac:dyDescent="0.25">
      <c r="A3846">
        <v>665364</v>
      </c>
      <c r="B3846">
        <v>665422</v>
      </c>
      <c r="D3846">
        <v>0</v>
      </c>
      <c r="E3846" t="s">
        <v>24392</v>
      </c>
      <c r="F3846" t="s">
        <v>24393</v>
      </c>
      <c r="G3846" t="s">
        <v>24394</v>
      </c>
      <c r="H3846" t="s">
        <v>24395</v>
      </c>
      <c r="I3846" t="s">
        <v>24396</v>
      </c>
      <c r="J3846" t="s">
        <v>24391</v>
      </c>
      <c r="K3846" t="s">
        <v>24397</v>
      </c>
      <c r="L3846" t="s">
        <v>24391</v>
      </c>
    </row>
    <row r="3847" spans="1:12" x14ac:dyDescent="0.25">
      <c r="A3847">
        <v>665364</v>
      </c>
      <c r="B3847">
        <v>824502</v>
      </c>
      <c r="D3847" t="s">
        <v>2437</v>
      </c>
      <c r="E3847" t="s">
        <v>24399</v>
      </c>
      <c r="F3847" t="s">
        <v>24400</v>
      </c>
      <c r="G3847" t="s">
        <v>24401</v>
      </c>
      <c r="H3847" t="s">
        <v>24402</v>
      </c>
      <c r="I3847" t="s">
        <v>24403</v>
      </c>
      <c r="J3847" t="s">
        <v>24404</v>
      </c>
      <c r="K3847" t="s">
        <v>24405</v>
      </c>
      <c r="L3847" t="s">
        <v>24398</v>
      </c>
    </row>
    <row r="3848" spans="1:12" x14ac:dyDescent="0.25">
      <c r="A3848">
        <v>665373</v>
      </c>
      <c r="B3848">
        <v>336016</v>
      </c>
      <c r="D3848" t="s">
        <v>1875</v>
      </c>
      <c r="E3848" t="s">
        <v>24407</v>
      </c>
      <c r="F3848" t="s">
        <v>24408</v>
      </c>
      <c r="G3848" t="s">
        <v>24409</v>
      </c>
      <c r="H3848" t="s">
        <v>24410</v>
      </c>
      <c r="I3848" t="s">
        <v>24411</v>
      </c>
      <c r="J3848" t="s">
        <v>24412</v>
      </c>
      <c r="K3848" t="s">
        <v>24413</v>
      </c>
      <c r="L3848" t="s">
        <v>24406</v>
      </c>
    </row>
    <row r="3849" spans="1:12" x14ac:dyDescent="0.25">
      <c r="A3849">
        <v>665373</v>
      </c>
      <c r="B3849">
        <v>665392</v>
      </c>
      <c r="D3849">
        <v>0</v>
      </c>
      <c r="E3849" t="s">
        <v>24415</v>
      </c>
      <c r="F3849" t="s">
        <v>24416</v>
      </c>
      <c r="G3849" t="s">
        <v>24417</v>
      </c>
      <c r="H3849" t="e" vm="1696">
        <f>_FV(0,"03884102957940283")</f>
        <v>#VALUE!</v>
      </c>
      <c r="I3849" t="s">
        <v>24418</v>
      </c>
      <c r="J3849" t="s">
        <v>24419</v>
      </c>
      <c r="K3849" t="s">
        <v>24420</v>
      </c>
      <c r="L3849" t="s">
        <v>24414</v>
      </c>
    </row>
    <row r="3850" spans="1:12" x14ac:dyDescent="0.25">
      <c r="A3850">
        <v>665392</v>
      </c>
      <c r="B3850">
        <v>665422</v>
      </c>
      <c r="D3850">
        <v>0</v>
      </c>
      <c r="F3850">
        <v>675442</v>
      </c>
      <c r="G3850">
        <v>665422</v>
      </c>
      <c r="H3850" t="e" vm="1697">
        <f>_FV(0,"063")</f>
        <v>#VALUE!</v>
      </c>
      <c r="I3850">
        <v>665392</v>
      </c>
      <c r="J3850" t="s">
        <v>7542</v>
      </c>
      <c r="K3850" t="s">
        <v>24421</v>
      </c>
      <c r="L3850" t="e" vm="1697">
        <f>_FV(0,"063")</f>
        <v>#VALUE!</v>
      </c>
    </row>
    <row r="3851" spans="1:12" x14ac:dyDescent="0.25">
      <c r="A3851">
        <v>665392</v>
      </c>
      <c r="B3851">
        <v>336016</v>
      </c>
      <c r="D3851" t="s">
        <v>1875</v>
      </c>
      <c r="E3851" t="s">
        <v>24423</v>
      </c>
      <c r="F3851" t="s">
        <v>24424</v>
      </c>
      <c r="G3851" t="s">
        <v>24425</v>
      </c>
      <c r="H3851" t="s">
        <v>24426</v>
      </c>
      <c r="I3851" t="s">
        <v>24427</v>
      </c>
      <c r="J3851" t="s">
        <v>24428</v>
      </c>
      <c r="K3851" t="s">
        <v>24429</v>
      </c>
      <c r="L3851" t="s">
        <v>24422</v>
      </c>
    </row>
    <row r="3852" spans="1:12" x14ac:dyDescent="0.25">
      <c r="A3852">
        <v>665422</v>
      </c>
      <c r="B3852">
        <v>824666</v>
      </c>
      <c r="D3852">
        <v>0</v>
      </c>
      <c r="E3852" t="s">
        <v>24431</v>
      </c>
      <c r="F3852" t="s">
        <v>24432</v>
      </c>
      <c r="G3852" t="s">
        <v>24433</v>
      </c>
      <c r="H3852" t="s">
        <v>24434</v>
      </c>
      <c r="I3852" t="s">
        <v>24435</v>
      </c>
      <c r="J3852" t="s">
        <v>24436</v>
      </c>
      <c r="K3852" t="s">
        <v>24437</v>
      </c>
      <c r="L3852" t="s">
        <v>24430</v>
      </c>
    </row>
    <row r="3853" spans="1:12" x14ac:dyDescent="0.25">
      <c r="A3853">
        <v>665620</v>
      </c>
      <c r="B3853">
        <v>665648</v>
      </c>
      <c r="D3853">
        <v>0</v>
      </c>
      <c r="E3853" t="s">
        <v>24439</v>
      </c>
      <c r="F3853" t="s">
        <v>24440</v>
      </c>
      <c r="G3853" t="s">
        <v>24441</v>
      </c>
      <c r="H3853" t="s">
        <v>24442</v>
      </c>
      <c r="I3853" t="s">
        <v>24443</v>
      </c>
      <c r="J3853" t="s">
        <v>24438</v>
      </c>
      <c r="K3853" t="s">
        <v>24444</v>
      </c>
      <c r="L3853" t="s">
        <v>24438</v>
      </c>
    </row>
    <row r="3854" spans="1:12" x14ac:dyDescent="0.25">
      <c r="A3854">
        <v>665620</v>
      </c>
      <c r="B3854">
        <v>665648</v>
      </c>
      <c r="D3854">
        <v>0</v>
      </c>
      <c r="E3854" t="s">
        <v>24446</v>
      </c>
      <c r="F3854" t="s">
        <v>24447</v>
      </c>
      <c r="G3854" t="s">
        <v>24448</v>
      </c>
      <c r="H3854" t="s">
        <v>24449</v>
      </c>
      <c r="I3854" t="s">
        <v>24450</v>
      </c>
      <c r="J3854" t="s">
        <v>24445</v>
      </c>
      <c r="K3854" t="s">
        <v>24451</v>
      </c>
      <c r="L3854" t="s">
        <v>24445</v>
      </c>
    </row>
    <row r="3855" spans="1:12" x14ac:dyDescent="0.25">
      <c r="A3855">
        <v>665620</v>
      </c>
      <c r="B3855">
        <v>665731</v>
      </c>
      <c r="D3855">
        <v>0</v>
      </c>
      <c r="E3855" t="s">
        <v>24452</v>
      </c>
      <c r="F3855" t="s">
        <v>24453</v>
      </c>
      <c r="G3855" t="s">
        <v>24454</v>
      </c>
      <c r="H3855" t="s">
        <v>24455</v>
      </c>
      <c r="I3855" t="s">
        <v>24456</v>
      </c>
      <c r="J3855" t="s">
        <v>15434</v>
      </c>
      <c r="K3855" t="s">
        <v>24457</v>
      </c>
      <c r="L3855" t="s">
        <v>15434</v>
      </c>
    </row>
    <row r="3856" spans="1:12" x14ac:dyDescent="0.25">
      <c r="A3856">
        <v>665697</v>
      </c>
      <c r="B3856">
        <v>665731</v>
      </c>
      <c r="D3856">
        <v>0</v>
      </c>
      <c r="E3856" t="s">
        <v>24459</v>
      </c>
      <c r="F3856" t="s">
        <v>24460</v>
      </c>
      <c r="G3856" t="s">
        <v>24461</v>
      </c>
      <c r="H3856" t="s">
        <v>24462</v>
      </c>
      <c r="I3856" t="s">
        <v>24463</v>
      </c>
      <c r="J3856" t="s">
        <v>24464</v>
      </c>
      <c r="K3856" t="s">
        <v>24465</v>
      </c>
      <c r="L3856" t="s">
        <v>24458</v>
      </c>
    </row>
    <row r="3857" spans="1:12" x14ac:dyDescent="0.25">
      <c r="A3857">
        <v>665697</v>
      </c>
      <c r="B3857">
        <v>665731</v>
      </c>
      <c r="D3857">
        <v>0</v>
      </c>
      <c r="E3857" t="s">
        <v>24467</v>
      </c>
      <c r="F3857" t="s">
        <v>24468</v>
      </c>
      <c r="G3857" t="s">
        <v>24469</v>
      </c>
      <c r="H3857" t="s">
        <v>24470</v>
      </c>
      <c r="I3857" t="s">
        <v>24471</v>
      </c>
      <c r="J3857" t="s">
        <v>24472</v>
      </c>
      <c r="K3857" t="s">
        <v>24473</v>
      </c>
      <c r="L3857" t="s">
        <v>24466</v>
      </c>
    </row>
    <row r="3858" spans="1:12" x14ac:dyDescent="0.25">
      <c r="A3858">
        <v>665697</v>
      </c>
      <c r="B3858">
        <v>1854795</v>
      </c>
      <c r="C3858" t="s">
        <v>24474</v>
      </c>
      <c r="D3858">
        <v>0</v>
      </c>
      <c r="E3858" t="s">
        <v>24475</v>
      </c>
      <c r="H3858" t="s">
        <v>187</v>
      </c>
      <c r="J3858">
        <v>0</v>
      </c>
      <c r="K3858" t="s">
        <v>6518</v>
      </c>
      <c r="L3858">
        <v>0</v>
      </c>
    </row>
    <row r="3859" spans="1:12" x14ac:dyDescent="0.25">
      <c r="A3859">
        <v>665872</v>
      </c>
      <c r="B3859">
        <v>1287780</v>
      </c>
      <c r="D3859">
        <v>0</v>
      </c>
      <c r="F3859">
        <v>1407522</v>
      </c>
      <c r="G3859">
        <v>1287780</v>
      </c>
      <c r="H3859" t="s">
        <v>3418</v>
      </c>
      <c r="I3859">
        <v>665872</v>
      </c>
      <c r="J3859" t="s">
        <v>3418</v>
      </c>
      <c r="K3859" t="s">
        <v>24476</v>
      </c>
      <c r="L3859" t="s">
        <v>3418</v>
      </c>
    </row>
    <row r="3860" spans="1:12" x14ac:dyDescent="0.25">
      <c r="A3860">
        <v>665874</v>
      </c>
      <c r="B3860">
        <v>1530717</v>
      </c>
      <c r="D3860">
        <v>0</v>
      </c>
      <c r="E3860" t="s">
        <v>24478</v>
      </c>
      <c r="F3860" t="s">
        <v>24479</v>
      </c>
      <c r="G3860" t="s">
        <v>24480</v>
      </c>
      <c r="H3860" t="s">
        <v>24481</v>
      </c>
      <c r="I3860" t="s">
        <v>24482</v>
      </c>
      <c r="J3860" t="s">
        <v>24477</v>
      </c>
      <c r="K3860" t="s">
        <v>24483</v>
      </c>
      <c r="L3860" t="s">
        <v>24477</v>
      </c>
    </row>
    <row r="3861" spans="1:12" x14ac:dyDescent="0.25">
      <c r="A3861">
        <v>665874</v>
      </c>
      <c r="B3861">
        <v>1530645</v>
      </c>
      <c r="D3861">
        <v>0</v>
      </c>
      <c r="E3861" t="s">
        <v>24485</v>
      </c>
      <c r="F3861" t="s">
        <v>24486</v>
      </c>
      <c r="G3861" t="s">
        <v>24487</v>
      </c>
      <c r="H3861" t="e" vm="1698">
        <f>_FV(0,"06680642297591767")</f>
        <v>#VALUE!</v>
      </c>
      <c r="I3861" t="s">
        <v>24488</v>
      </c>
      <c r="J3861" t="s">
        <v>24489</v>
      </c>
      <c r="K3861" t="s">
        <v>24490</v>
      </c>
      <c r="L3861" t="s">
        <v>24484</v>
      </c>
    </row>
    <row r="3862" spans="1:12" x14ac:dyDescent="0.25">
      <c r="A3862">
        <v>665874</v>
      </c>
      <c r="B3862">
        <v>1530672</v>
      </c>
      <c r="D3862">
        <v>0</v>
      </c>
      <c r="F3862">
        <v>1716814</v>
      </c>
      <c r="G3862">
        <v>665874</v>
      </c>
      <c r="H3862" t="e" vm="44">
        <f>_FV(0,"053")</f>
        <v>#VALUE!</v>
      </c>
      <c r="I3862">
        <v>1530672</v>
      </c>
      <c r="J3862" t="s">
        <v>688</v>
      </c>
      <c r="K3862" t="s">
        <v>24491</v>
      </c>
      <c r="L3862" t="e" vm="44">
        <f>_FV(0,"053")</f>
        <v>#VALUE!</v>
      </c>
    </row>
    <row r="3863" spans="1:12" x14ac:dyDescent="0.25">
      <c r="A3863">
        <v>670285</v>
      </c>
      <c r="B3863">
        <v>670332</v>
      </c>
      <c r="D3863">
        <v>0</v>
      </c>
      <c r="E3863" t="s">
        <v>24493</v>
      </c>
      <c r="F3863" t="s">
        <v>24494</v>
      </c>
      <c r="G3863" t="s">
        <v>24495</v>
      </c>
      <c r="H3863" t="s">
        <v>24496</v>
      </c>
      <c r="I3863" t="s">
        <v>24497</v>
      </c>
      <c r="J3863" t="s">
        <v>24498</v>
      </c>
      <c r="K3863" t="s">
        <v>24499</v>
      </c>
      <c r="L3863" t="s">
        <v>24492</v>
      </c>
    </row>
    <row r="3864" spans="1:12" x14ac:dyDescent="0.25">
      <c r="A3864">
        <v>670332</v>
      </c>
      <c r="B3864">
        <v>1170291</v>
      </c>
      <c r="D3864">
        <v>0</v>
      </c>
      <c r="E3864" t="s">
        <v>24501</v>
      </c>
      <c r="F3864" t="s">
        <v>24502</v>
      </c>
      <c r="G3864" t="s">
        <v>24503</v>
      </c>
      <c r="H3864" t="e" vm="1699">
        <f>_FV(0,"007454497914053183")</f>
        <v>#VALUE!</v>
      </c>
      <c r="I3864" t="s">
        <v>24504</v>
      </c>
      <c r="J3864" t="s">
        <v>24505</v>
      </c>
      <c r="K3864" t="s">
        <v>24506</v>
      </c>
      <c r="L3864" t="s">
        <v>24500</v>
      </c>
    </row>
    <row r="3865" spans="1:12" x14ac:dyDescent="0.25">
      <c r="A3865">
        <v>670332</v>
      </c>
      <c r="B3865">
        <v>1817647</v>
      </c>
      <c r="D3865">
        <v>0</v>
      </c>
      <c r="F3865">
        <v>2103118</v>
      </c>
      <c r="G3865">
        <v>670332</v>
      </c>
      <c r="H3865" t="e" vm="1700">
        <f>_FV(-1,"211")</f>
        <v>#VALUE!</v>
      </c>
      <c r="I3865">
        <v>1817647</v>
      </c>
      <c r="J3865" t="s">
        <v>24507</v>
      </c>
      <c r="K3865" t="s">
        <v>24508</v>
      </c>
      <c r="L3865" t="e" vm="1700">
        <f>_FV(-1,"211")</f>
        <v>#VALUE!</v>
      </c>
    </row>
    <row r="3866" spans="1:12" x14ac:dyDescent="0.25">
      <c r="A3866">
        <v>672198</v>
      </c>
      <c r="B3866">
        <v>821961</v>
      </c>
      <c r="D3866">
        <v>0</v>
      </c>
      <c r="E3866" t="s">
        <v>24510</v>
      </c>
      <c r="F3866" t="s">
        <v>24511</v>
      </c>
      <c r="G3866" t="s">
        <v>24512</v>
      </c>
      <c r="H3866" t="e" vm="1701">
        <f>_FV(0,"0044709442683427926")</f>
        <v>#VALUE!</v>
      </c>
      <c r="I3866" t="s">
        <v>24513</v>
      </c>
      <c r="J3866" t="s">
        <v>24514</v>
      </c>
      <c r="K3866" t="s">
        <v>24515</v>
      </c>
      <c r="L3866" t="s">
        <v>24509</v>
      </c>
    </row>
    <row r="3867" spans="1:12" x14ac:dyDescent="0.25">
      <c r="A3867">
        <v>672413</v>
      </c>
      <c r="B3867">
        <v>672414</v>
      </c>
      <c r="D3867">
        <v>0</v>
      </c>
      <c r="F3867">
        <v>1352263</v>
      </c>
      <c r="G3867">
        <v>672413</v>
      </c>
      <c r="H3867" t="s">
        <v>3503</v>
      </c>
      <c r="I3867">
        <v>672414</v>
      </c>
      <c r="J3867" t="s">
        <v>3503</v>
      </c>
      <c r="K3867" t="s">
        <v>24516</v>
      </c>
      <c r="L3867" t="s">
        <v>3503</v>
      </c>
    </row>
    <row r="3868" spans="1:12" x14ac:dyDescent="0.25">
      <c r="A3868">
        <v>672413</v>
      </c>
      <c r="B3868">
        <v>1742443</v>
      </c>
      <c r="C3868" t="s">
        <v>24518</v>
      </c>
      <c r="D3868">
        <v>0</v>
      </c>
      <c r="E3868" t="s">
        <v>24519</v>
      </c>
      <c r="F3868" t="s">
        <v>24520</v>
      </c>
      <c r="G3868" t="s">
        <v>24521</v>
      </c>
      <c r="H3868" t="s">
        <v>24522</v>
      </c>
      <c r="I3868" t="s">
        <v>24523</v>
      </c>
      <c r="J3868" t="s">
        <v>24524</v>
      </c>
      <c r="K3868" t="s">
        <v>24525</v>
      </c>
      <c r="L3868" t="s">
        <v>24517</v>
      </c>
    </row>
    <row r="3869" spans="1:12" x14ac:dyDescent="0.25">
      <c r="A3869">
        <v>672414</v>
      </c>
      <c r="B3869">
        <v>672427</v>
      </c>
      <c r="D3869">
        <v>0</v>
      </c>
      <c r="F3869">
        <v>681425</v>
      </c>
      <c r="G3869">
        <v>672427</v>
      </c>
      <c r="H3869" t="e" vm="1702">
        <f>_FV(0,"136")</f>
        <v>#VALUE!</v>
      </c>
      <c r="I3869">
        <v>672414</v>
      </c>
      <c r="J3869" t="s">
        <v>24526</v>
      </c>
      <c r="K3869" t="s">
        <v>24527</v>
      </c>
      <c r="L3869" t="e" vm="1702">
        <f>_FV(0,"136")</f>
        <v>#VALUE!</v>
      </c>
    </row>
    <row r="3870" spans="1:12" x14ac:dyDescent="0.25">
      <c r="A3870">
        <v>672427</v>
      </c>
      <c r="B3870">
        <v>672432</v>
      </c>
      <c r="D3870">
        <v>0</v>
      </c>
      <c r="F3870">
        <v>681430</v>
      </c>
      <c r="G3870">
        <v>672432</v>
      </c>
      <c r="H3870" t="e" vm="1703">
        <f>_FV(0,"133")</f>
        <v>#VALUE!</v>
      </c>
      <c r="I3870">
        <v>672427</v>
      </c>
      <c r="J3870" t="s">
        <v>24528</v>
      </c>
      <c r="K3870" t="s">
        <v>24529</v>
      </c>
      <c r="L3870" t="e" vm="1703">
        <f>_FV(0,"133")</f>
        <v>#VALUE!</v>
      </c>
    </row>
    <row r="3871" spans="1:12" x14ac:dyDescent="0.25">
      <c r="A3871">
        <v>672432</v>
      </c>
      <c r="B3871">
        <v>672473</v>
      </c>
      <c r="D3871">
        <v>0</v>
      </c>
      <c r="E3871" t="s">
        <v>24531</v>
      </c>
      <c r="F3871" t="s">
        <v>24532</v>
      </c>
      <c r="G3871" t="s">
        <v>24533</v>
      </c>
      <c r="H3871" t="e" vm="1704">
        <f>_FV(0,"06333303703636978")</f>
        <v>#VALUE!</v>
      </c>
      <c r="I3871" t="s">
        <v>24534</v>
      </c>
      <c r="J3871" t="s">
        <v>24535</v>
      </c>
      <c r="K3871" t="s">
        <v>24536</v>
      </c>
      <c r="L3871" t="s">
        <v>24530</v>
      </c>
    </row>
    <row r="3872" spans="1:12" x14ac:dyDescent="0.25">
      <c r="A3872">
        <v>672432</v>
      </c>
      <c r="B3872">
        <v>1251681</v>
      </c>
      <c r="D3872">
        <v>0</v>
      </c>
      <c r="E3872" t="s">
        <v>24538</v>
      </c>
      <c r="F3872" t="s">
        <v>24539</v>
      </c>
      <c r="G3872" t="s">
        <v>24540</v>
      </c>
      <c r="H3872" t="s">
        <v>24541</v>
      </c>
      <c r="I3872" t="s">
        <v>24542</v>
      </c>
      <c r="J3872" t="s">
        <v>24543</v>
      </c>
      <c r="K3872" t="s">
        <v>24544</v>
      </c>
      <c r="L3872" t="s">
        <v>24537</v>
      </c>
    </row>
    <row r="3873" spans="1:12" x14ac:dyDescent="0.25">
      <c r="A3873">
        <v>672660</v>
      </c>
      <c r="B3873">
        <v>672697</v>
      </c>
      <c r="D3873">
        <v>0</v>
      </c>
      <c r="F3873">
        <v>681675</v>
      </c>
      <c r="G3873">
        <v>672697</v>
      </c>
      <c r="H3873" t="e" vm="144">
        <f>_FV(0,"003")</f>
        <v>#VALUE!</v>
      </c>
      <c r="I3873">
        <v>672660</v>
      </c>
      <c r="J3873" t="s">
        <v>1783</v>
      </c>
      <c r="K3873" t="s">
        <v>24545</v>
      </c>
      <c r="L3873" t="e" vm="144">
        <f>_FV(0,"003")</f>
        <v>#VALUE!</v>
      </c>
    </row>
    <row r="3874" spans="1:12" x14ac:dyDescent="0.25">
      <c r="A3874">
        <v>672660</v>
      </c>
      <c r="B3874">
        <v>673072</v>
      </c>
      <c r="D3874">
        <v>0</v>
      </c>
      <c r="E3874" t="s">
        <v>24547</v>
      </c>
      <c r="F3874" t="s">
        <v>24548</v>
      </c>
      <c r="G3874" t="s">
        <v>24549</v>
      </c>
      <c r="H3874" t="e" vm="1705">
        <f>_FV(0,"017066712278623115")</f>
        <v>#VALUE!</v>
      </c>
      <c r="I3874" t="s">
        <v>24550</v>
      </c>
      <c r="J3874" t="s">
        <v>24551</v>
      </c>
      <c r="K3874" t="s">
        <v>24552</v>
      </c>
      <c r="L3874" t="s">
        <v>24546</v>
      </c>
    </row>
    <row r="3875" spans="1:12" x14ac:dyDescent="0.25">
      <c r="A3875">
        <v>672697</v>
      </c>
      <c r="B3875">
        <v>673080</v>
      </c>
      <c r="D3875">
        <v>0</v>
      </c>
      <c r="E3875" t="s">
        <v>24554</v>
      </c>
      <c r="F3875" t="s">
        <v>24555</v>
      </c>
      <c r="G3875" t="s">
        <v>24556</v>
      </c>
      <c r="H3875" t="s">
        <v>24557</v>
      </c>
      <c r="I3875" t="s">
        <v>24558</v>
      </c>
      <c r="J3875" t="s">
        <v>24559</v>
      </c>
      <c r="K3875" t="s">
        <v>24560</v>
      </c>
      <c r="L3875" t="s">
        <v>24553</v>
      </c>
    </row>
    <row r="3876" spans="1:12" x14ac:dyDescent="0.25">
      <c r="A3876">
        <v>672745</v>
      </c>
      <c r="B3876">
        <v>1223192</v>
      </c>
      <c r="D3876">
        <v>0</v>
      </c>
      <c r="E3876" t="s">
        <v>24562</v>
      </c>
      <c r="F3876" t="s">
        <v>24563</v>
      </c>
      <c r="G3876" t="s">
        <v>24564</v>
      </c>
      <c r="H3876" t="e" vm="1706">
        <f>_FV(0,"06098241858378833")</f>
        <v>#VALUE!</v>
      </c>
      <c r="I3876" t="s">
        <v>24565</v>
      </c>
      <c r="J3876" t="s">
        <v>24566</v>
      </c>
      <c r="K3876" t="s">
        <v>24567</v>
      </c>
      <c r="L3876" t="s">
        <v>24561</v>
      </c>
    </row>
    <row r="3877" spans="1:12" x14ac:dyDescent="0.25">
      <c r="A3877">
        <v>672745</v>
      </c>
      <c r="B3877">
        <v>1812048</v>
      </c>
      <c r="D3877">
        <v>0</v>
      </c>
      <c r="E3877" t="s">
        <v>24569</v>
      </c>
      <c r="F3877" t="s">
        <v>24570</v>
      </c>
      <c r="G3877" t="s">
        <v>24571</v>
      </c>
      <c r="H3877" t="e" vm="1707">
        <f>_FV(0,"04543843303704558")</f>
        <v>#VALUE!</v>
      </c>
      <c r="I3877" t="s">
        <v>24572</v>
      </c>
      <c r="J3877" t="s">
        <v>24573</v>
      </c>
      <c r="K3877" t="s">
        <v>24574</v>
      </c>
      <c r="L3877" t="s">
        <v>24568</v>
      </c>
    </row>
    <row r="3878" spans="1:12" x14ac:dyDescent="0.25">
      <c r="A3878">
        <v>672745</v>
      </c>
      <c r="B3878">
        <v>1812094</v>
      </c>
      <c r="D3878">
        <v>0</v>
      </c>
      <c r="E3878" t="s">
        <v>24576</v>
      </c>
      <c r="F3878" t="s">
        <v>24577</v>
      </c>
      <c r="G3878" t="s">
        <v>24578</v>
      </c>
      <c r="H3878" t="e" vm="1708">
        <f>_FV(0,"008245336783438549")</f>
        <v>#VALUE!</v>
      </c>
      <c r="I3878" t="s">
        <v>24579</v>
      </c>
      <c r="J3878" t="s">
        <v>24580</v>
      </c>
      <c r="K3878" t="s">
        <v>24581</v>
      </c>
      <c r="L3878" t="s">
        <v>24575</v>
      </c>
    </row>
    <row r="3879" spans="1:12" x14ac:dyDescent="0.25">
      <c r="A3879">
        <v>672745</v>
      </c>
      <c r="B3879">
        <v>1812154</v>
      </c>
      <c r="D3879">
        <v>0</v>
      </c>
      <c r="E3879" t="s">
        <v>24583</v>
      </c>
      <c r="F3879" t="s">
        <v>24584</v>
      </c>
      <c r="G3879" t="s">
        <v>24585</v>
      </c>
      <c r="H3879" t="e" vm="1709">
        <f>_FV(0,"004768362345915707")</f>
        <v>#VALUE!</v>
      </c>
      <c r="I3879" t="s">
        <v>24586</v>
      </c>
      <c r="J3879" t="s">
        <v>24587</v>
      </c>
      <c r="K3879" t="s">
        <v>24588</v>
      </c>
      <c r="L3879" t="s">
        <v>24582</v>
      </c>
    </row>
    <row r="3880" spans="1:12" x14ac:dyDescent="0.25">
      <c r="A3880">
        <v>672745</v>
      </c>
      <c r="B3880">
        <v>1812162</v>
      </c>
      <c r="D3880">
        <v>0</v>
      </c>
      <c r="E3880" t="s">
        <v>24590</v>
      </c>
      <c r="F3880" t="s">
        <v>24591</v>
      </c>
      <c r="G3880" t="s">
        <v>24592</v>
      </c>
      <c r="H3880" t="e" vm="1710">
        <f>_FV(0,"0043388727774474")</f>
        <v>#VALUE!</v>
      </c>
      <c r="I3880" t="s">
        <v>24593</v>
      </c>
      <c r="J3880" t="s">
        <v>24594</v>
      </c>
      <c r="K3880" t="s">
        <v>24595</v>
      </c>
      <c r="L3880" t="s">
        <v>24589</v>
      </c>
    </row>
    <row r="3881" spans="1:12" x14ac:dyDescent="0.25">
      <c r="A3881">
        <v>672870</v>
      </c>
      <c r="B3881">
        <v>1091844</v>
      </c>
      <c r="D3881">
        <v>0</v>
      </c>
      <c r="E3881" t="s">
        <v>24597</v>
      </c>
      <c r="F3881" t="s">
        <v>24598</v>
      </c>
      <c r="G3881" t="s">
        <v>24599</v>
      </c>
      <c r="H3881" t="s">
        <v>24600</v>
      </c>
      <c r="I3881" t="s">
        <v>24601</v>
      </c>
      <c r="J3881" t="s">
        <v>24602</v>
      </c>
      <c r="K3881" t="s">
        <v>24603</v>
      </c>
      <c r="L3881" t="s">
        <v>24596</v>
      </c>
    </row>
    <row r="3882" spans="1:12" x14ac:dyDescent="0.25">
      <c r="A3882">
        <v>672879</v>
      </c>
      <c r="B3882">
        <v>672915</v>
      </c>
      <c r="D3882">
        <v>0</v>
      </c>
      <c r="E3882" t="s">
        <v>24605</v>
      </c>
      <c r="F3882" t="s">
        <v>24606</v>
      </c>
      <c r="G3882" t="s">
        <v>24607</v>
      </c>
      <c r="H3882" t="e" vm="1711">
        <f>_FV(0,"011016203238570775")</f>
        <v>#VALUE!</v>
      </c>
      <c r="I3882" t="s">
        <v>24608</v>
      </c>
      <c r="J3882" t="s">
        <v>24609</v>
      </c>
      <c r="K3882" t="s">
        <v>24610</v>
      </c>
      <c r="L3882" t="s">
        <v>24604</v>
      </c>
    </row>
    <row r="3883" spans="1:12" x14ac:dyDescent="0.25">
      <c r="A3883">
        <v>672879</v>
      </c>
      <c r="B3883">
        <v>1092017</v>
      </c>
      <c r="D3883">
        <v>0</v>
      </c>
      <c r="E3883" t="s">
        <v>24612</v>
      </c>
      <c r="F3883" t="s">
        <v>24613</v>
      </c>
      <c r="G3883" t="s">
        <v>24614</v>
      </c>
      <c r="H3883" t="s">
        <v>24615</v>
      </c>
      <c r="I3883" t="s">
        <v>24616</v>
      </c>
      <c r="J3883" t="s">
        <v>24617</v>
      </c>
      <c r="K3883" t="s">
        <v>24618</v>
      </c>
      <c r="L3883" t="s">
        <v>24611</v>
      </c>
    </row>
    <row r="3884" spans="1:12" x14ac:dyDescent="0.25">
      <c r="A3884">
        <v>672879</v>
      </c>
      <c r="B3884">
        <v>1092185</v>
      </c>
      <c r="D3884">
        <v>0</v>
      </c>
      <c r="E3884" t="s">
        <v>24620</v>
      </c>
      <c r="F3884" t="s">
        <v>24621</v>
      </c>
      <c r="G3884" t="s">
        <v>24622</v>
      </c>
      <c r="H3884" t="s">
        <v>24623</v>
      </c>
      <c r="I3884" t="s">
        <v>24624</v>
      </c>
      <c r="J3884" t="s">
        <v>24625</v>
      </c>
      <c r="K3884" t="s">
        <v>24626</v>
      </c>
      <c r="L3884" t="s">
        <v>24619</v>
      </c>
    </row>
    <row r="3885" spans="1:12" x14ac:dyDescent="0.25">
      <c r="A3885">
        <v>672915</v>
      </c>
      <c r="B3885">
        <v>672922</v>
      </c>
      <c r="D3885">
        <v>0</v>
      </c>
      <c r="F3885">
        <v>681853</v>
      </c>
      <c r="G3885">
        <v>672922</v>
      </c>
      <c r="H3885" t="e" vm="59">
        <f>_FV(0,"014")</f>
        <v>#VALUE!</v>
      </c>
      <c r="I3885">
        <v>672915</v>
      </c>
      <c r="J3885" t="s">
        <v>922</v>
      </c>
      <c r="K3885" t="s">
        <v>24627</v>
      </c>
      <c r="L3885" t="e" vm="59">
        <f>_FV(0,"014")</f>
        <v>#VALUE!</v>
      </c>
    </row>
    <row r="3886" spans="1:12" x14ac:dyDescent="0.25">
      <c r="A3886">
        <v>672922</v>
      </c>
      <c r="B3886">
        <v>1302244</v>
      </c>
      <c r="D3886">
        <v>0</v>
      </c>
      <c r="E3886" t="s">
        <v>24629</v>
      </c>
      <c r="F3886" t="s">
        <v>24630</v>
      </c>
      <c r="G3886" t="s">
        <v>24631</v>
      </c>
      <c r="H3886" t="s">
        <v>24632</v>
      </c>
      <c r="I3886" t="s">
        <v>24633</v>
      </c>
      <c r="J3886" t="s">
        <v>24634</v>
      </c>
      <c r="K3886" t="s">
        <v>24635</v>
      </c>
      <c r="L3886" t="s">
        <v>24628</v>
      </c>
    </row>
    <row r="3887" spans="1:12" x14ac:dyDescent="0.25">
      <c r="A3887">
        <v>672986</v>
      </c>
      <c r="B3887">
        <v>1531269</v>
      </c>
      <c r="D3887">
        <v>0</v>
      </c>
      <c r="E3887" t="s">
        <v>24637</v>
      </c>
      <c r="F3887" t="s">
        <v>24638</v>
      </c>
      <c r="G3887" t="s">
        <v>24639</v>
      </c>
      <c r="H3887" t="e" vm="1712">
        <f>_FV(0,"2015562259752355")</f>
        <v>#VALUE!</v>
      </c>
      <c r="I3887" t="s">
        <v>24640</v>
      </c>
      <c r="J3887" t="s">
        <v>24641</v>
      </c>
      <c r="K3887" t="s">
        <v>24642</v>
      </c>
      <c r="L3887" t="s">
        <v>24636</v>
      </c>
    </row>
    <row r="3888" spans="1:12" x14ac:dyDescent="0.25">
      <c r="A3888">
        <v>672986</v>
      </c>
      <c r="B3888">
        <v>1531281</v>
      </c>
      <c r="D3888">
        <v>0</v>
      </c>
      <c r="E3888" t="s">
        <v>24644</v>
      </c>
      <c r="F3888" t="s">
        <v>24645</v>
      </c>
      <c r="G3888" t="s">
        <v>24646</v>
      </c>
      <c r="H3888" t="e" vm="1713">
        <f>_FV(0,"11533383402230281")</f>
        <v>#VALUE!</v>
      </c>
      <c r="I3888" t="s">
        <v>24647</v>
      </c>
      <c r="J3888" t="s">
        <v>24648</v>
      </c>
      <c r="K3888" t="s">
        <v>24649</v>
      </c>
      <c r="L3888" t="s">
        <v>24643</v>
      </c>
    </row>
    <row r="3889" spans="1:12" x14ac:dyDescent="0.25">
      <c r="A3889">
        <v>673072</v>
      </c>
      <c r="B3889">
        <v>1206482</v>
      </c>
      <c r="D3889" t="s">
        <v>204</v>
      </c>
      <c r="E3889" t="s">
        <v>24651</v>
      </c>
      <c r="F3889" t="s">
        <v>24652</v>
      </c>
      <c r="G3889" t="s">
        <v>24653</v>
      </c>
      <c r="H3889" t="s">
        <v>24654</v>
      </c>
      <c r="I3889" t="s">
        <v>24655</v>
      </c>
      <c r="J3889" t="s">
        <v>24656</v>
      </c>
      <c r="K3889" t="s">
        <v>24657</v>
      </c>
      <c r="L3889" t="s">
        <v>24650</v>
      </c>
    </row>
    <row r="3890" spans="1:12" x14ac:dyDescent="0.25">
      <c r="A3890">
        <v>673225</v>
      </c>
      <c r="B3890">
        <v>673244</v>
      </c>
      <c r="D3890">
        <v>0</v>
      </c>
      <c r="E3890" t="s">
        <v>24659</v>
      </c>
      <c r="F3890" t="s">
        <v>24660</v>
      </c>
      <c r="G3890" t="s">
        <v>24661</v>
      </c>
      <c r="H3890" t="s">
        <v>24662</v>
      </c>
      <c r="I3890" t="s">
        <v>24663</v>
      </c>
      <c r="J3890" t="s">
        <v>24658</v>
      </c>
      <c r="K3890" t="s">
        <v>24664</v>
      </c>
      <c r="L3890" t="s">
        <v>24658</v>
      </c>
    </row>
    <row r="3891" spans="1:12" x14ac:dyDescent="0.25">
      <c r="A3891">
        <v>673225</v>
      </c>
      <c r="B3891">
        <v>673595</v>
      </c>
      <c r="D3891">
        <v>0</v>
      </c>
      <c r="E3891" t="s">
        <v>24666</v>
      </c>
      <c r="F3891" t="s">
        <v>24667</v>
      </c>
      <c r="G3891" t="s">
        <v>24668</v>
      </c>
      <c r="H3891" t="s">
        <v>24669</v>
      </c>
      <c r="I3891" t="s">
        <v>24670</v>
      </c>
      <c r="J3891" t="s">
        <v>24665</v>
      </c>
      <c r="K3891" t="s">
        <v>24671</v>
      </c>
      <c r="L3891" t="s">
        <v>24665</v>
      </c>
    </row>
    <row r="3892" spans="1:12" x14ac:dyDescent="0.25">
      <c r="A3892">
        <v>673244</v>
      </c>
      <c r="B3892">
        <v>673488</v>
      </c>
      <c r="D3892">
        <v>0</v>
      </c>
      <c r="E3892" t="s">
        <v>24673</v>
      </c>
      <c r="F3892" t="s">
        <v>24674</v>
      </c>
      <c r="G3892" t="s">
        <v>24675</v>
      </c>
      <c r="H3892" t="s">
        <v>24676</v>
      </c>
      <c r="I3892" t="s">
        <v>24677</v>
      </c>
      <c r="J3892" t="s">
        <v>24672</v>
      </c>
      <c r="K3892" t="s">
        <v>24678</v>
      </c>
      <c r="L3892" t="s">
        <v>24672</v>
      </c>
    </row>
    <row r="3893" spans="1:12" x14ac:dyDescent="0.25">
      <c r="A3893">
        <v>673388</v>
      </c>
      <c r="B3893">
        <v>673595</v>
      </c>
      <c r="C3893" t="s">
        <v>24680</v>
      </c>
      <c r="D3893">
        <v>0</v>
      </c>
      <c r="E3893" t="s">
        <v>24681</v>
      </c>
      <c r="F3893" t="s">
        <v>24682</v>
      </c>
      <c r="G3893" t="s">
        <v>24683</v>
      </c>
      <c r="H3893" t="s">
        <v>24684</v>
      </c>
      <c r="I3893" t="s">
        <v>24685</v>
      </c>
      <c r="J3893" t="s">
        <v>24679</v>
      </c>
      <c r="K3893" t="s">
        <v>24686</v>
      </c>
      <c r="L3893" t="s">
        <v>24679</v>
      </c>
    </row>
    <row r="3894" spans="1:12" x14ac:dyDescent="0.25">
      <c r="A3894">
        <v>673388</v>
      </c>
      <c r="B3894">
        <v>673778</v>
      </c>
      <c r="D3894" t="s">
        <v>24688</v>
      </c>
      <c r="E3894" t="s">
        <v>24689</v>
      </c>
      <c r="F3894" t="s">
        <v>24690</v>
      </c>
      <c r="G3894" t="s">
        <v>24691</v>
      </c>
      <c r="H3894" t="s">
        <v>24692</v>
      </c>
      <c r="I3894" t="s">
        <v>24693</v>
      </c>
      <c r="J3894" t="s">
        <v>24687</v>
      </c>
      <c r="K3894" t="s">
        <v>24694</v>
      </c>
      <c r="L3894" t="s">
        <v>24687</v>
      </c>
    </row>
    <row r="3895" spans="1:12" x14ac:dyDescent="0.25">
      <c r="A3895">
        <v>673409</v>
      </c>
      <c r="B3895">
        <v>673434</v>
      </c>
      <c r="D3895">
        <v>0</v>
      </c>
      <c r="E3895" t="s">
        <v>24696</v>
      </c>
      <c r="F3895" t="s">
        <v>24697</v>
      </c>
      <c r="G3895" t="s">
        <v>24698</v>
      </c>
      <c r="H3895" t="s">
        <v>24699</v>
      </c>
      <c r="I3895" t="s">
        <v>24700</v>
      </c>
      <c r="J3895" t="s">
        <v>24695</v>
      </c>
      <c r="K3895" t="s">
        <v>24701</v>
      </c>
      <c r="L3895" t="s">
        <v>24695</v>
      </c>
    </row>
    <row r="3896" spans="1:12" x14ac:dyDescent="0.25">
      <c r="A3896">
        <v>673409</v>
      </c>
      <c r="B3896">
        <v>1050101</v>
      </c>
      <c r="D3896">
        <v>0</v>
      </c>
      <c r="E3896" t="s">
        <v>24703</v>
      </c>
      <c r="F3896" t="s">
        <v>24704</v>
      </c>
      <c r="G3896" t="s">
        <v>24705</v>
      </c>
      <c r="H3896" t="s">
        <v>24706</v>
      </c>
      <c r="I3896" t="s">
        <v>24707</v>
      </c>
      <c r="J3896" t="s">
        <v>24702</v>
      </c>
      <c r="K3896" t="s">
        <v>24708</v>
      </c>
      <c r="L3896" t="s">
        <v>24702</v>
      </c>
    </row>
    <row r="3897" spans="1:12" x14ac:dyDescent="0.25">
      <c r="A3897">
        <v>673434</v>
      </c>
      <c r="B3897">
        <v>1050036</v>
      </c>
      <c r="D3897">
        <v>0</v>
      </c>
      <c r="E3897" t="s">
        <v>24710</v>
      </c>
      <c r="F3897" t="s">
        <v>24711</v>
      </c>
      <c r="G3897" t="s">
        <v>24712</v>
      </c>
      <c r="H3897" t="s">
        <v>24713</v>
      </c>
      <c r="I3897" t="s">
        <v>24714</v>
      </c>
      <c r="J3897" t="s">
        <v>24715</v>
      </c>
      <c r="K3897" t="s">
        <v>24716</v>
      </c>
      <c r="L3897" t="s">
        <v>24709</v>
      </c>
    </row>
    <row r="3898" spans="1:12" x14ac:dyDescent="0.25">
      <c r="A3898">
        <v>673488</v>
      </c>
      <c r="B3898">
        <v>673499</v>
      </c>
      <c r="D3898">
        <v>0</v>
      </c>
      <c r="F3898">
        <v>682384</v>
      </c>
      <c r="G3898">
        <v>673499</v>
      </c>
      <c r="H3898" t="s">
        <v>3940</v>
      </c>
      <c r="I3898">
        <v>673488</v>
      </c>
      <c r="J3898" t="s">
        <v>3940</v>
      </c>
      <c r="K3898" t="s">
        <v>24717</v>
      </c>
      <c r="L3898" t="s">
        <v>3940</v>
      </c>
    </row>
    <row r="3899" spans="1:12" x14ac:dyDescent="0.25">
      <c r="A3899">
        <v>673488</v>
      </c>
      <c r="B3899">
        <v>673595</v>
      </c>
      <c r="D3899">
        <v>0</v>
      </c>
      <c r="E3899" t="s">
        <v>24719</v>
      </c>
      <c r="F3899" t="s">
        <v>24720</v>
      </c>
      <c r="G3899" t="s">
        <v>24721</v>
      </c>
      <c r="H3899" t="s">
        <v>24722</v>
      </c>
      <c r="I3899" t="s">
        <v>24723</v>
      </c>
      <c r="J3899" t="s">
        <v>24718</v>
      </c>
      <c r="K3899" t="s">
        <v>24724</v>
      </c>
      <c r="L3899" t="s">
        <v>24718</v>
      </c>
    </row>
    <row r="3900" spans="1:12" x14ac:dyDescent="0.25">
      <c r="A3900">
        <v>673499</v>
      </c>
      <c r="B3900">
        <v>1050165</v>
      </c>
      <c r="D3900">
        <v>0</v>
      </c>
      <c r="E3900" t="s">
        <v>24726</v>
      </c>
      <c r="F3900" t="s">
        <v>24727</v>
      </c>
      <c r="G3900" t="s">
        <v>24728</v>
      </c>
      <c r="H3900" t="s">
        <v>24729</v>
      </c>
      <c r="I3900" t="s">
        <v>24730</v>
      </c>
      <c r="J3900" t="s">
        <v>24731</v>
      </c>
      <c r="K3900" t="s">
        <v>24732</v>
      </c>
      <c r="L3900" t="s">
        <v>24725</v>
      </c>
    </row>
    <row r="3901" spans="1:12" x14ac:dyDescent="0.25">
      <c r="A3901">
        <v>673584</v>
      </c>
      <c r="B3901">
        <v>1050101</v>
      </c>
      <c r="D3901" t="s">
        <v>24734</v>
      </c>
      <c r="E3901" t="s">
        <v>24735</v>
      </c>
      <c r="F3901" t="s">
        <v>24736</v>
      </c>
      <c r="G3901" t="s">
        <v>24737</v>
      </c>
      <c r="H3901" t="s">
        <v>24738</v>
      </c>
      <c r="I3901" t="s">
        <v>24739</v>
      </c>
      <c r="J3901" t="s">
        <v>24733</v>
      </c>
      <c r="K3901" t="s">
        <v>24740</v>
      </c>
      <c r="L3901" t="s">
        <v>24733</v>
      </c>
    </row>
    <row r="3902" spans="1:12" x14ac:dyDescent="0.25">
      <c r="A3902">
        <v>673584</v>
      </c>
      <c r="B3902">
        <v>1050156</v>
      </c>
      <c r="D3902" t="s">
        <v>24742</v>
      </c>
      <c r="E3902" t="s">
        <v>24743</v>
      </c>
      <c r="F3902" t="s">
        <v>24744</v>
      </c>
      <c r="G3902" t="s">
        <v>24745</v>
      </c>
      <c r="H3902" t="s">
        <v>24746</v>
      </c>
      <c r="I3902" t="s">
        <v>24747</v>
      </c>
      <c r="J3902" t="s">
        <v>24741</v>
      </c>
      <c r="K3902" t="s">
        <v>24748</v>
      </c>
      <c r="L3902" t="s">
        <v>24741</v>
      </c>
    </row>
    <row r="3903" spans="1:12" x14ac:dyDescent="0.25">
      <c r="A3903">
        <v>673954</v>
      </c>
      <c r="B3903">
        <v>673996</v>
      </c>
      <c r="D3903">
        <v>0</v>
      </c>
      <c r="E3903" t="s">
        <v>24750</v>
      </c>
      <c r="F3903" t="s">
        <v>24751</v>
      </c>
      <c r="G3903" t="s">
        <v>24752</v>
      </c>
      <c r="H3903" t="s">
        <v>24753</v>
      </c>
      <c r="I3903" t="s">
        <v>24754</v>
      </c>
      <c r="J3903" t="s">
        <v>24749</v>
      </c>
      <c r="K3903" t="s">
        <v>24755</v>
      </c>
      <c r="L3903" t="s">
        <v>24749</v>
      </c>
    </row>
    <row r="3904" spans="1:12" x14ac:dyDescent="0.25">
      <c r="A3904">
        <v>673954</v>
      </c>
      <c r="B3904">
        <v>673996</v>
      </c>
      <c r="D3904">
        <v>0</v>
      </c>
      <c r="E3904" t="s">
        <v>24757</v>
      </c>
      <c r="F3904" t="s">
        <v>24758</v>
      </c>
      <c r="G3904" t="s">
        <v>24759</v>
      </c>
      <c r="H3904" t="s">
        <v>24760</v>
      </c>
      <c r="I3904" t="s">
        <v>24761</v>
      </c>
      <c r="J3904" t="s">
        <v>24756</v>
      </c>
      <c r="K3904" t="s">
        <v>24762</v>
      </c>
      <c r="L3904" t="s">
        <v>24756</v>
      </c>
    </row>
    <row r="3905" spans="1:12" x14ac:dyDescent="0.25">
      <c r="A3905">
        <v>673954</v>
      </c>
      <c r="B3905">
        <v>690257</v>
      </c>
      <c r="D3905" t="s">
        <v>204</v>
      </c>
      <c r="E3905" t="s">
        <v>24764</v>
      </c>
      <c r="F3905" t="s">
        <v>24765</v>
      </c>
      <c r="G3905" t="s">
        <v>24766</v>
      </c>
      <c r="H3905" t="s">
        <v>24767</v>
      </c>
      <c r="I3905" t="s">
        <v>24768</v>
      </c>
      <c r="J3905" t="s">
        <v>24763</v>
      </c>
      <c r="K3905" t="s">
        <v>24769</v>
      </c>
      <c r="L3905" t="s">
        <v>24763</v>
      </c>
    </row>
    <row r="3906" spans="1:12" x14ac:dyDescent="0.25">
      <c r="A3906">
        <v>673996</v>
      </c>
      <c r="B3906">
        <v>1570377</v>
      </c>
      <c r="D3906" t="s">
        <v>24771</v>
      </c>
      <c r="E3906" t="s">
        <v>24772</v>
      </c>
      <c r="F3906" t="s">
        <v>24773</v>
      </c>
      <c r="G3906" t="s">
        <v>24774</v>
      </c>
      <c r="H3906" t="s">
        <v>24775</v>
      </c>
      <c r="I3906" t="s">
        <v>24776</v>
      </c>
      <c r="J3906" t="s">
        <v>24777</v>
      </c>
      <c r="K3906" t="s">
        <v>24778</v>
      </c>
      <c r="L3906" t="s">
        <v>24770</v>
      </c>
    </row>
    <row r="3907" spans="1:12" x14ac:dyDescent="0.25">
      <c r="A3907">
        <v>674327</v>
      </c>
      <c r="B3907">
        <v>674334</v>
      </c>
      <c r="D3907">
        <v>0</v>
      </c>
      <c r="E3907" t="s">
        <v>24780</v>
      </c>
      <c r="F3907" t="s">
        <v>24781</v>
      </c>
      <c r="G3907" t="s">
        <v>24782</v>
      </c>
      <c r="H3907" t="e" vm="1714">
        <f>_FV(0,"009278752609684086")</f>
        <v>#VALUE!</v>
      </c>
      <c r="I3907" t="s">
        <v>24783</v>
      </c>
      <c r="J3907" t="s">
        <v>24784</v>
      </c>
      <c r="K3907" t="s">
        <v>24785</v>
      </c>
      <c r="L3907" t="s">
        <v>24779</v>
      </c>
    </row>
    <row r="3908" spans="1:12" x14ac:dyDescent="0.25">
      <c r="A3908">
        <v>674327</v>
      </c>
      <c r="B3908">
        <v>674334</v>
      </c>
      <c r="D3908">
        <v>0</v>
      </c>
      <c r="E3908" t="s">
        <v>24787</v>
      </c>
      <c r="F3908" t="s">
        <v>24788</v>
      </c>
      <c r="G3908" t="s">
        <v>24789</v>
      </c>
      <c r="H3908" t="e" vm="1715">
        <f>_FV(0,"00887368815769836")</f>
        <v>#VALUE!</v>
      </c>
      <c r="I3908" t="s">
        <v>24790</v>
      </c>
      <c r="J3908" t="s">
        <v>24791</v>
      </c>
      <c r="K3908" t="s">
        <v>24792</v>
      </c>
      <c r="L3908" t="s">
        <v>24786</v>
      </c>
    </row>
    <row r="3909" spans="1:12" x14ac:dyDescent="0.25">
      <c r="A3909">
        <v>674327</v>
      </c>
      <c r="B3909">
        <v>826286</v>
      </c>
      <c r="D3909" t="s">
        <v>24794</v>
      </c>
      <c r="E3909" t="s">
        <v>24795</v>
      </c>
      <c r="F3909" t="s">
        <v>24796</v>
      </c>
      <c r="G3909" t="s">
        <v>24797</v>
      </c>
      <c r="H3909" t="e" vm="1716">
        <f>_FV(0,"0073926115808569046")</f>
        <v>#VALUE!</v>
      </c>
      <c r="I3909" t="s">
        <v>24798</v>
      </c>
      <c r="J3909" t="s">
        <v>24799</v>
      </c>
      <c r="K3909" t="s">
        <v>24800</v>
      </c>
      <c r="L3909" t="s">
        <v>24793</v>
      </c>
    </row>
    <row r="3910" spans="1:12" x14ac:dyDescent="0.25">
      <c r="A3910">
        <v>675246</v>
      </c>
      <c r="B3910">
        <v>979285</v>
      </c>
      <c r="D3910">
        <v>0</v>
      </c>
      <c r="E3910" t="s">
        <v>24802</v>
      </c>
      <c r="F3910" t="s">
        <v>24803</v>
      </c>
      <c r="G3910" t="s">
        <v>24804</v>
      </c>
      <c r="H3910" t="s">
        <v>24805</v>
      </c>
      <c r="I3910" t="s">
        <v>24806</v>
      </c>
      <c r="J3910" t="s">
        <v>24807</v>
      </c>
      <c r="K3910" t="s">
        <v>24808</v>
      </c>
      <c r="L3910" t="s">
        <v>24801</v>
      </c>
    </row>
    <row r="3911" spans="1:12" x14ac:dyDescent="0.25">
      <c r="A3911">
        <v>677129</v>
      </c>
      <c r="B3911">
        <v>783800</v>
      </c>
      <c r="D3911">
        <v>0</v>
      </c>
      <c r="E3911" t="s">
        <v>24810</v>
      </c>
      <c r="F3911" t="s">
        <v>24811</v>
      </c>
      <c r="G3911" t="s">
        <v>24812</v>
      </c>
      <c r="H3911" t="e" vm="1717">
        <f>_FV(0,"05365864410429438")</f>
        <v>#VALUE!</v>
      </c>
      <c r="I3911" t="s">
        <v>24813</v>
      </c>
      <c r="J3911" t="s">
        <v>24814</v>
      </c>
      <c r="K3911" t="s">
        <v>24815</v>
      </c>
      <c r="L3911" t="s">
        <v>24809</v>
      </c>
    </row>
    <row r="3912" spans="1:12" x14ac:dyDescent="0.25">
      <c r="A3912">
        <v>677129</v>
      </c>
      <c r="B3912">
        <v>677139</v>
      </c>
      <c r="D3912">
        <v>0</v>
      </c>
      <c r="F3912">
        <v>685564</v>
      </c>
      <c r="G3912">
        <v>677129</v>
      </c>
      <c r="H3912" t="e" vm="185">
        <f>_FV(0,"033")</f>
        <v>#VALUE!</v>
      </c>
      <c r="I3912">
        <v>677139</v>
      </c>
      <c r="J3912" t="s">
        <v>2884</v>
      </c>
      <c r="K3912" t="s">
        <v>24816</v>
      </c>
      <c r="L3912" t="e" vm="185">
        <f>_FV(0,"033")</f>
        <v>#VALUE!</v>
      </c>
    </row>
    <row r="3913" spans="1:12" x14ac:dyDescent="0.25">
      <c r="A3913">
        <v>677139</v>
      </c>
      <c r="B3913">
        <v>785699</v>
      </c>
      <c r="D3913">
        <v>0</v>
      </c>
      <c r="F3913">
        <v>1422548</v>
      </c>
      <c r="G3913">
        <v>677139</v>
      </c>
      <c r="H3913" t="s">
        <v>24817</v>
      </c>
      <c r="I3913">
        <v>785699</v>
      </c>
      <c r="J3913" t="s">
        <v>24817</v>
      </c>
      <c r="K3913" t="s">
        <v>24818</v>
      </c>
      <c r="L3913" t="s">
        <v>24817</v>
      </c>
    </row>
    <row r="3914" spans="1:12" x14ac:dyDescent="0.25">
      <c r="A3914">
        <v>687472</v>
      </c>
      <c r="B3914">
        <v>1173565</v>
      </c>
      <c r="D3914">
        <v>0</v>
      </c>
      <c r="E3914" t="s">
        <v>24820</v>
      </c>
      <c r="F3914" t="s">
        <v>24821</v>
      </c>
      <c r="G3914" t="s">
        <v>24822</v>
      </c>
      <c r="H3914" t="e" vm="1718">
        <f>_FV(0,"08265886437277366")</f>
        <v>#VALUE!</v>
      </c>
      <c r="I3914" t="s">
        <v>24823</v>
      </c>
      <c r="J3914" t="s">
        <v>24824</v>
      </c>
      <c r="K3914" t="s">
        <v>24825</v>
      </c>
      <c r="L3914" t="s">
        <v>24819</v>
      </c>
    </row>
    <row r="3915" spans="1:12" x14ac:dyDescent="0.25">
      <c r="A3915">
        <v>687472</v>
      </c>
      <c r="B3915">
        <v>1757076</v>
      </c>
      <c r="D3915">
        <v>0</v>
      </c>
      <c r="E3915" t="s">
        <v>24827</v>
      </c>
      <c r="F3915" t="s">
        <v>24828</v>
      </c>
      <c r="G3915" t="s">
        <v>24829</v>
      </c>
      <c r="H3915" t="e" vm="1719">
        <f>_FV(0,"0852589337003685")</f>
        <v>#VALUE!</v>
      </c>
      <c r="I3915" t="s">
        <v>24830</v>
      </c>
      <c r="J3915" t="s">
        <v>24831</v>
      </c>
      <c r="K3915" t="s">
        <v>24832</v>
      </c>
      <c r="L3915" t="s">
        <v>24826</v>
      </c>
    </row>
    <row r="3916" spans="1:12" x14ac:dyDescent="0.25">
      <c r="A3916">
        <v>687472</v>
      </c>
      <c r="B3916">
        <v>1854845</v>
      </c>
      <c r="C3916" t="s">
        <v>24833</v>
      </c>
      <c r="D3916">
        <v>0</v>
      </c>
      <c r="E3916" t="s">
        <v>24834</v>
      </c>
      <c r="H3916" t="s">
        <v>187</v>
      </c>
      <c r="J3916">
        <v>0</v>
      </c>
      <c r="K3916" t="s">
        <v>24835</v>
      </c>
      <c r="L3916">
        <v>0</v>
      </c>
    </row>
    <row r="3917" spans="1:12" x14ac:dyDescent="0.25">
      <c r="A3917">
        <v>688441</v>
      </c>
      <c r="B3917">
        <v>688458</v>
      </c>
      <c r="D3917">
        <v>0</v>
      </c>
      <c r="E3917" t="s">
        <v>24837</v>
      </c>
      <c r="F3917" t="s">
        <v>24838</v>
      </c>
      <c r="G3917" t="s">
        <v>24839</v>
      </c>
      <c r="H3917" t="e" vm="1720">
        <f>_FV(0,"00693686361288736")</f>
        <v>#VALUE!</v>
      </c>
      <c r="I3917" t="s">
        <v>24840</v>
      </c>
      <c r="J3917" t="s">
        <v>24841</v>
      </c>
      <c r="K3917" t="s">
        <v>24842</v>
      </c>
      <c r="L3917" t="s">
        <v>24836</v>
      </c>
    </row>
    <row r="3918" spans="1:12" x14ac:dyDescent="0.25">
      <c r="A3918">
        <v>688441</v>
      </c>
      <c r="B3918">
        <v>688458</v>
      </c>
      <c r="D3918" t="s">
        <v>11226</v>
      </c>
      <c r="E3918" t="s">
        <v>24844</v>
      </c>
      <c r="F3918" t="s">
        <v>24845</v>
      </c>
      <c r="G3918" t="s">
        <v>24846</v>
      </c>
      <c r="H3918" t="e" vm="1721">
        <f>_FV(0,"007848402068086888")</f>
        <v>#VALUE!</v>
      </c>
      <c r="I3918" t="s">
        <v>24847</v>
      </c>
      <c r="J3918" t="s">
        <v>24848</v>
      </c>
      <c r="K3918" t="s">
        <v>24849</v>
      </c>
      <c r="L3918" t="s">
        <v>24843</v>
      </c>
    </row>
    <row r="3919" spans="1:12" x14ac:dyDescent="0.25">
      <c r="A3919">
        <v>688458</v>
      </c>
      <c r="B3919">
        <v>829208</v>
      </c>
      <c r="D3919" t="s">
        <v>2793</v>
      </c>
      <c r="E3919" t="s">
        <v>24851</v>
      </c>
      <c r="F3919" t="s">
        <v>24852</v>
      </c>
      <c r="G3919" t="s">
        <v>24853</v>
      </c>
      <c r="H3919" t="s">
        <v>24854</v>
      </c>
      <c r="I3919" t="s">
        <v>24855</v>
      </c>
      <c r="J3919" t="s">
        <v>24850</v>
      </c>
      <c r="K3919" t="s">
        <v>24856</v>
      </c>
      <c r="L3919" t="s">
        <v>24850</v>
      </c>
    </row>
    <row r="3920" spans="1:12" x14ac:dyDescent="0.25">
      <c r="A3920">
        <v>688465</v>
      </c>
      <c r="B3920">
        <v>688471</v>
      </c>
      <c r="D3920">
        <v>0</v>
      </c>
      <c r="E3920" t="s">
        <v>24858</v>
      </c>
      <c r="F3920" t="s">
        <v>24859</v>
      </c>
      <c r="G3920" t="s">
        <v>24860</v>
      </c>
      <c r="H3920" t="e" vm="1722">
        <f>_FV(0,"007106480684128765")</f>
        <v>#VALUE!</v>
      </c>
      <c r="I3920" t="s">
        <v>24861</v>
      </c>
      <c r="J3920" t="s">
        <v>24862</v>
      </c>
      <c r="K3920" t="s">
        <v>24863</v>
      </c>
      <c r="L3920" t="s">
        <v>24857</v>
      </c>
    </row>
    <row r="3921" spans="1:12" x14ac:dyDescent="0.25">
      <c r="A3921">
        <v>688465</v>
      </c>
      <c r="B3921">
        <v>829200</v>
      </c>
      <c r="D3921" t="s">
        <v>23340</v>
      </c>
      <c r="E3921" t="s">
        <v>24865</v>
      </c>
      <c r="F3921" t="s">
        <v>24866</v>
      </c>
      <c r="G3921" t="s">
        <v>24867</v>
      </c>
      <c r="H3921" t="s">
        <v>24868</v>
      </c>
      <c r="I3921" t="s">
        <v>24869</v>
      </c>
      <c r="J3921" t="s">
        <v>24870</v>
      </c>
      <c r="K3921" t="s">
        <v>24871</v>
      </c>
      <c r="L3921" t="s">
        <v>24864</v>
      </c>
    </row>
    <row r="3922" spans="1:12" x14ac:dyDescent="0.25">
      <c r="A3922">
        <v>690247</v>
      </c>
      <c r="B3922">
        <v>690257</v>
      </c>
      <c r="D3922">
        <v>0</v>
      </c>
      <c r="E3922" t="s">
        <v>24873</v>
      </c>
      <c r="F3922" t="s">
        <v>24874</v>
      </c>
      <c r="G3922" t="s">
        <v>24875</v>
      </c>
      <c r="H3922" t="e" vm="1723">
        <f>_FV(0,"0002798024524832058")</f>
        <v>#VALUE!</v>
      </c>
      <c r="I3922" t="s">
        <v>24876</v>
      </c>
      <c r="J3922" t="s">
        <v>24877</v>
      </c>
      <c r="K3922" t="s">
        <v>24878</v>
      </c>
      <c r="L3922" t="s">
        <v>24872</v>
      </c>
    </row>
    <row r="3923" spans="1:12" x14ac:dyDescent="0.25">
      <c r="A3923">
        <v>690247</v>
      </c>
      <c r="B3923">
        <v>690257</v>
      </c>
      <c r="D3923">
        <v>0</v>
      </c>
      <c r="E3923" t="s">
        <v>24880</v>
      </c>
      <c r="F3923" t="s">
        <v>24881</v>
      </c>
      <c r="G3923" t="s">
        <v>24882</v>
      </c>
      <c r="H3923" t="e" vm="1724">
        <f>_FV(0,"00017516786603740897")</f>
        <v>#VALUE!</v>
      </c>
      <c r="I3923" t="s">
        <v>24883</v>
      </c>
      <c r="J3923" t="s">
        <v>24884</v>
      </c>
      <c r="K3923" t="s">
        <v>24885</v>
      </c>
      <c r="L3923" t="s">
        <v>24879</v>
      </c>
    </row>
    <row r="3924" spans="1:12" x14ac:dyDescent="0.25">
      <c r="A3924">
        <v>523187</v>
      </c>
      <c r="B3924">
        <v>462133</v>
      </c>
      <c r="D3924">
        <v>0</v>
      </c>
      <c r="E3924" t="s">
        <v>24887</v>
      </c>
      <c r="F3924" t="s">
        <v>24888</v>
      </c>
      <c r="G3924" t="s">
        <v>24889</v>
      </c>
      <c r="H3924" t="s">
        <v>24890</v>
      </c>
      <c r="I3924" t="s">
        <v>24891</v>
      </c>
      <c r="J3924" t="s">
        <v>24892</v>
      </c>
      <c r="K3924" t="s">
        <v>24893</v>
      </c>
      <c r="L3924" t="s">
        <v>24886</v>
      </c>
    </row>
    <row r="3925" spans="1:12" x14ac:dyDescent="0.25">
      <c r="A3925">
        <v>698483</v>
      </c>
      <c r="B3925">
        <v>698484</v>
      </c>
      <c r="D3925">
        <v>0</v>
      </c>
      <c r="F3925">
        <v>705014</v>
      </c>
      <c r="G3925">
        <v>698484</v>
      </c>
      <c r="H3925" t="e" vm="1725">
        <f>_FV(0,"179")</f>
        <v>#VALUE!</v>
      </c>
      <c r="I3925">
        <v>698483</v>
      </c>
      <c r="J3925" t="s">
        <v>24894</v>
      </c>
      <c r="K3925" t="s">
        <v>24895</v>
      </c>
      <c r="L3925" t="e" vm="1725">
        <f>_FV(0,"179")</f>
        <v>#VALUE!</v>
      </c>
    </row>
    <row r="3926" spans="1:12" x14ac:dyDescent="0.25">
      <c r="A3926">
        <v>698483</v>
      </c>
      <c r="B3926">
        <v>732993</v>
      </c>
      <c r="D3926">
        <v>0</v>
      </c>
      <c r="E3926" t="s">
        <v>24897</v>
      </c>
      <c r="F3926" t="s">
        <v>24898</v>
      </c>
      <c r="G3926" t="s">
        <v>24899</v>
      </c>
      <c r="H3926" t="e" vm="1726">
        <f>_FV(0,"08374430215843855")</f>
        <v>#VALUE!</v>
      </c>
      <c r="I3926" t="s">
        <v>24900</v>
      </c>
      <c r="J3926" t="s">
        <v>24901</v>
      </c>
      <c r="K3926" t="s">
        <v>24902</v>
      </c>
      <c r="L3926" t="s">
        <v>24896</v>
      </c>
    </row>
    <row r="3927" spans="1:12" x14ac:dyDescent="0.25">
      <c r="A3927">
        <v>698483</v>
      </c>
      <c r="B3927">
        <v>735357</v>
      </c>
      <c r="D3927">
        <v>0</v>
      </c>
      <c r="E3927" t="s">
        <v>24904</v>
      </c>
      <c r="F3927" t="s">
        <v>24905</v>
      </c>
      <c r="G3927" t="s">
        <v>24906</v>
      </c>
      <c r="H3927" t="e" vm="1727">
        <f>_FV(0,"025822447147382896")</f>
        <v>#VALUE!</v>
      </c>
      <c r="I3927" t="s">
        <v>24907</v>
      </c>
      <c r="J3927" t="s">
        <v>24908</v>
      </c>
      <c r="K3927" t="s">
        <v>24909</v>
      </c>
      <c r="L3927" t="s">
        <v>24903</v>
      </c>
    </row>
    <row r="3928" spans="1:12" x14ac:dyDescent="0.25">
      <c r="A3928">
        <v>698484</v>
      </c>
      <c r="B3928">
        <v>698496</v>
      </c>
      <c r="D3928" t="s">
        <v>1119</v>
      </c>
      <c r="E3928" t="s">
        <v>24911</v>
      </c>
      <c r="F3928" t="s">
        <v>24912</v>
      </c>
      <c r="G3928" t="s">
        <v>24913</v>
      </c>
      <c r="H3928" t="e" vm="1728">
        <f>_FV(0,"16999638637263229")</f>
        <v>#VALUE!</v>
      </c>
      <c r="I3928" t="s">
        <v>24914</v>
      </c>
      <c r="J3928" t="s">
        <v>24915</v>
      </c>
      <c r="K3928" t="s">
        <v>24916</v>
      </c>
      <c r="L3928" t="s">
        <v>24910</v>
      </c>
    </row>
    <row r="3929" spans="1:12" x14ac:dyDescent="0.25">
      <c r="A3929">
        <v>698484</v>
      </c>
      <c r="B3929">
        <v>716304</v>
      </c>
      <c r="D3929">
        <v>0</v>
      </c>
      <c r="E3929" t="s">
        <v>24918</v>
      </c>
      <c r="F3929" t="s">
        <v>24919</v>
      </c>
      <c r="G3929" t="s">
        <v>24920</v>
      </c>
      <c r="H3929" t="e" vm="1729">
        <f>_FV(0,"027326175007719593")</f>
        <v>#VALUE!</v>
      </c>
      <c r="I3929" t="s">
        <v>24921</v>
      </c>
      <c r="J3929" t="s">
        <v>24922</v>
      </c>
      <c r="K3929" t="s">
        <v>24923</v>
      </c>
      <c r="L3929" t="s">
        <v>24917</v>
      </c>
    </row>
    <row r="3930" spans="1:12" x14ac:dyDescent="0.25">
      <c r="A3930">
        <v>698496</v>
      </c>
      <c r="B3930">
        <v>698505</v>
      </c>
      <c r="D3930">
        <v>1</v>
      </c>
      <c r="F3930">
        <v>705038</v>
      </c>
      <c r="G3930">
        <v>698505</v>
      </c>
      <c r="H3930" t="e" vm="1730">
        <f>_FV(0,"09")</f>
        <v>#VALUE!</v>
      </c>
      <c r="I3930">
        <v>698496</v>
      </c>
      <c r="J3930" t="s">
        <v>24924</v>
      </c>
      <c r="K3930" t="s">
        <v>24925</v>
      </c>
      <c r="L3930" t="e" vm="1730">
        <f>_FV(0,"09")</f>
        <v>#VALUE!</v>
      </c>
    </row>
    <row r="3931" spans="1:12" x14ac:dyDescent="0.25">
      <c r="A3931">
        <v>698496</v>
      </c>
      <c r="B3931">
        <v>716304</v>
      </c>
      <c r="D3931">
        <v>0</v>
      </c>
      <c r="E3931" t="s">
        <v>24927</v>
      </c>
      <c r="F3931" t="s">
        <v>24928</v>
      </c>
      <c r="G3931" t="s">
        <v>24929</v>
      </c>
      <c r="H3931" t="e" vm="1731">
        <f>_FV(0,"1283500216070849")</f>
        <v>#VALUE!</v>
      </c>
      <c r="I3931" t="s">
        <v>24930</v>
      </c>
      <c r="J3931" t="s">
        <v>24931</v>
      </c>
      <c r="K3931" t="s">
        <v>24932</v>
      </c>
      <c r="L3931" t="s">
        <v>24926</v>
      </c>
    </row>
    <row r="3932" spans="1:12" x14ac:dyDescent="0.25">
      <c r="A3932">
        <v>698505</v>
      </c>
      <c r="B3932">
        <v>733008</v>
      </c>
      <c r="D3932">
        <v>0</v>
      </c>
      <c r="F3932">
        <v>753308</v>
      </c>
      <c r="G3932">
        <v>733008</v>
      </c>
      <c r="H3932" t="s">
        <v>241</v>
      </c>
      <c r="I3932">
        <v>698505</v>
      </c>
      <c r="J3932" t="s">
        <v>241</v>
      </c>
      <c r="K3932" t="s">
        <v>24933</v>
      </c>
      <c r="L3932" t="s">
        <v>241</v>
      </c>
    </row>
    <row r="3933" spans="1:12" x14ac:dyDescent="0.25">
      <c r="A3933">
        <v>698505</v>
      </c>
      <c r="B3933">
        <v>732988</v>
      </c>
      <c r="D3933">
        <v>0</v>
      </c>
      <c r="F3933">
        <v>754407</v>
      </c>
      <c r="G3933">
        <v>732988</v>
      </c>
      <c r="H3933" t="s">
        <v>761</v>
      </c>
      <c r="I3933">
        <v>698505</v>
      </c>
      <c r="J3933" t="s">
        <v>761</v>
      </c>
      <c r="K3933" t="s">
        <v>24934</v>
      </c>
      <c r="L3933" t="s">
        <v>761</v>
      </c>
    </row>
    <row r="3934" spans="1:12" x14ac:dyDescent="0.25">
      <c r="A3934">
        <v>701121</v>
      </c>
      <c r="B3934">
        <v>701153</v>
      </c>
      <c r="D3934">
        <v>0</v>
      </c>
      <c r="E3934" t="s">
        <v>24936</v>
      </c>
      <c r="F3934" t="s">
        <v>24937</v>
      </c>
      <c r="G3934" t="s">
        <v>24938</v>
      </c>
      <c r="H3934" t="e" vm="1732">
        <f>_FV(0,"02476497849761204")</f>
        <v>#VALUE!</v>
      </c>
      <c r="I3934" t="s">
        <v>24939</v>
      </c>
      <c r="J3934" t="s">
        <v>24940</v>
      </c>
      <c r="K3934" t="s">
        <v>24941</v>
      </c>
      <c r="L3934" t="s">
        <v>24935</v>
      </c>
    </row>
    <row r="3935" spans="1:12" x14ac:dyDescent="0.25">
      <c r="A3935">
        <v>701121</v>
      </c>
      <c r="B3935">
        <v>701160</v>
      </c>
      <c r="D3935">
        <v>0</v>
      </c>
      <c r="E3935" t="s">
        <v>24943</v>
      </c>
      <c r="F3935" t="s">
        <v>24944</v>
      </c>
      <c r="G3935" t="s">
        <v>24945</v>
      </c>
      <c r="H3935" t="s">
        <v>24946</v>
      </c>
      <c r="I3935" t="s">
        <v>24947</v>
      </c>
      <c r="J3935" t="s">
        <v>24942</v>
      </c>
      <c r="K3935" t="s">
        <v>24948</v>
      </c>
      <c r="L3935" t="s">
        <v>24942</v>
      </c>
    </row>
    <row r="3936" spans="1:12" x14ac:dyDescent="0.25">
      <c r="A3936">
        <v>701121</v>
      </c>
      <c r="B3936">
        <v>733427</v>
      </c>
      <c r="C3936" t="s">
        <v>24950</v>
      </c>
      <c r="D3936">
        <v>0</v>
      </c>
      <c r="E3936" t="s">
        <v>24951</v>
      </c>
      <c r="F3936" t="s">
        <v>24952</v>
      </c>
      <c r="G3936" t="s">
        <v>24953</v>
      </c>
      <c r="H3936" t="s">
        <v>24954</v>
      </c>
      <c r="I3936" t="s">
        <v>24955</v>
      </c>
      <c r="J3936" t="s">
        <v>24949</v>
      </c>
      <c r="K3936" t="s">
        <v>24956</v>
      </c>
      <c r="L3936" t="s">
        <v>24949</v>
      </c>
    </row>
    <row r="3937" spans="1:12" x14ac:dyDescent="0.25">
      <c r="A3937">
        <v>701153</v>
      </c>
      <c r="B3937">
        <v>701160</v>
      </c>
      <c r="D3937">
        <v>0</v>
      </c>
      <c r="F3937">
        <v>708117</v>
      </c>
      <c r="G3937">
        <v>701160</v>
      </c>
      <c r="H3937" t="s">
        <v>8057</v>
      </c>
      <c r="I3937">
        <v>701153</v>
      </c>
      <c r="J3937" t="s">
        <v>8057</v>
      </c>
      <c r="K3937" t="s">
        <v>24957</v>
      </c>
      <c r="L3937" t="s">
        <v>8057</v>
      </c>
    </row>
    <row r="3938" spans="1:12" x14ac:dyDescent="0.25">
      <c r="A3938">
        <v>701153</v>
      </c>
      <c r="B3938">
        <v>733414</v>
      </c>
      <c r="D3938">
        <v>0</v>
      </c>
      <c r="E3938" t="s">
        <v>24959</v>
      </c>
      <c r="F3938" t="s">
        <v>24960</v>
      </c>
      <c r="G3938" t="s">
        <v>24961</v>
      </c>
      <c r="H3938" t="s">
        <v>24962</v>
      </c>
      <c r="I3938" t="s">
        <v>24963</v>
      </c>
      <c r="J3938" t="s">
        <v>24958</v>
      </c>
      <c r="K3938" t="s">
        <v>24964</v>
      </c>
      <c r="L3938" t="s">
        <v>24958</v>
      </c>
    </row>
    <row r="3939" spans="1:12" x14ac:dyDescent="0.25">
      <c r="A3939">
        <v>701160</v>
      </c>
      <c r="B3939">
        <v>733427</v>
      </c>
      <c r="D3939">
        <v>0</v>
      </c>
      <c r="F3939">
        <v>764640</v>
      </c>
      <c r="G3939">
        <v>701160</v>
      </c>
      <c r="H3939" t="s">
        <v>1333</v>
      </c>
      <c r="I3939">
        <v>733427</v>
      </c>
      <c r="J3939" t="s">
        <v>1333</v>
      </c>
      <c r="K3939" t="s">
        <v>24965</v>
      </c>
      <c r="L3939" t="s">
        <v>1333</v>
      </c>
    </row>
    <row r="3940" spans="1:12" x14ac:dyDescent="0.25">
      <c r="A3940">
        <v>703261</v>
      </c>
      <c r="B3940">
        <v>703262</v>
      </c>
      <c r="D3940">
        <v>0</v>
      </c>
      <c r="F3940">
        <v>710681</v>
      </c>
      <c r="G3940">
        <v>703262</v>
      </c>
      <c r="H3940" t="e" vm="113">
        <f>_FV(0,"032")</f>
        <v>#VALUE!</v>
      </c>
      <c r="I3940">
        <v>703261</v>
      </c>
      <c r="J3940" t="s">
        <v>1687</v>
      </c>
      <c r="K3940" t="s">
        <v>24966</v>
      </c>
      <c r="L3940" t="e" vm="113">
        <f>_FV(0,"032")</f>
        <v>#VALUE!</v>
      </c>
    </row>
    <row r="3941" spans="1:12" x14ac:dyDescent="0.25">
      <c r="A3941">
        <v>703261</v>
      </c>
      <c r="B3941">
        <v>734879</v>
      </c>
      <c r="D3941">
        <v>0</v>
      </c>
      <c r="F3941">
        <v>753822</v>
      </c>
      <c r="G3941">
        <v>703261</v>
      </c>
      <c r="H3941" t="s">
        <v>12171</v>
      </c>
      <c r="I3941">
        <v>734879</v>
      </c>
      <c r="J3941" t="s">
        <v>12171</v>
      </c>
      <c r="K3941" t="s">
        <v>24967</v>
      </c>
      <c r="L3941" t="s">
        <v>12171</v>
      </c>
    </row>
    <row r="3942" spans="1:12" x14ac:dyDescent="0.25">
      <c r="A3942">
        <v>703261</v>
      </c>
      <c r="B3942">
        <v>734886</v>
      </c>
      <c r="D3942">
        <v>0</v>
      </c>
      <c r="F3942">
        <v>761358</v>
      </c>
      <c r="G3942">
        <v>703261</v>
      </c>
      <c r="H3942" t="s">
        <v>3758</v>
      </c>
      <c r="I3942">
        <v>734886</v>
      </c>
      <c r="J3942" t="s">
        <v>3758</v>
      </c>
      <c r="K3942" t="s">
        <v>24968</v>
      </c>
      <c r="L3942" t="s">
        <v>3758</v>
      </c>
    </row>
    <row r="3943" spans="1:12" x14ac:dyDescent="0.25">
      <c r="A3943">
        <v>703262</v>
      </c>
      <c r="B3943">
        <v>721706</v>
      </c>
      <c r="D3943" t="s">
        <v>19055</v>
      </c>
      <c r="E3943" t="s">
        <v>24970</v>
      </c>
      <c r="F3943" t="s">
        <v>24971</v>
      </c>
      <c r="G3943" t="s">
        <v>24972</v>
      </c>
      <c r="H3943" t="s">
        <v>24973</v>
      </c>
      <c r="I3943" t="s">
        <v>24974</v>
      </c>
      <c r="J3943" t="s">
        <v>24975</v>
      </c>
      <c r="K3943" t="s">
        <v>24976</v>
      </c>
      <c r="L3943" t="s">
        <v>24969</v>
      </c>
    </row>
    <row r="3944" spans="1:12" x14ac:dyDescent="0.25">
      <c r="A3944">
        <v>703262</v>
      </c>
      <c r="B3944">
        <v>721719</v>
      </c>
      <c r="D3944">
        <v>0</v>
      </c>
      <c r="E3944" t="s">
        <v>24978</v>
      </c>
      <c r="F3944" t="s">
        <v>24979</v>
      </c>
      <c r="G3944" t="s">
        <v>24980</v>
      </c>
      <c r="H3944" t="s">
        <v>24981</v>
      </c>
      <c r="I3944" t="s">
        <v>24982</v>
      </c>
      <c r="J3944" t="s">
        <v>24983</v>
      </c>
      <c r="K3944" t="s">
        <v>24984</v>
      </c>
      <c r="L3944" t="s">
        <v>24977</v>
      </c>
    </row>
    <row r="3945" spans="1:12" x14ac:dyDescent="0.25">
      <c r="A3945">
        <v>711897</v>
      </c>
      <c r="B3945">
        <v>711903</v>
      </c>
      <c r="D3945">
        <v>0</v>
      </c>
      <c r="E3945" t="s">
        <v>24985</v>
      </c>
      <c r="F3945" t="s">
        <v>24986</v>
      </c>
      <c r="G3945" t="s">
        <v>24987</v>
      </c>
      <c r="H3945" t="s">
        <v>239</v>
      </c>
      <c r="I3945" t="s">
        <v>24988</v>
      </c>
      <c r="J3945" t="s">
        <v>239</v>
      </c>
      <c r="K3945" t="s">
        <v>24989</v>
      </c>
      <c r="L3945" t="s">
        <v>239</v>
      </c>
    </row>
    <row r="3946" spans="1:12" x14ac:dyDescent="0.25">
      <c r="A3946">
        <v>711897</v>
      </c>
      <c r="B3946">
        <v>738188</v>
      </c>
      <c r="D3946">
        <v>0</v>
      </c>
      <c r="E3946" t="s">
        <v>24991</v>
      </c>
      <c r="F3946" t="s">
        <v>24992</v>
      </c>
      <c r="G3946" t="s">
        <v>24993</v>
      </c>
      <c r="H3946" t="e" vm="1733">
        <f>_FV(0,"08816055925055206")</f>
        <v>#VALUE!</v>
      </c>
      <c r="I3946" t="s">
        <v>24994</v>
      </c>
      <c r="J3946" t="s">
        <v>24995</v>
      </c>
      <c r="K3946" t="s">
        <v>24996</v>
      </c>
      <c r="L3946" t="s">
        <v>24990</v>
      </c>
    </row>
    <row r="3947" spans="1:12" x14ac:dyDescent="0.25">
      <c r="A3947">
        <v>711897</v>
      </c>
      <c r="B3947">
        <v>738060</v>
      </c>
      <c r="D3947">
        <v>0</v>
      </c>
      <c r="F3947">
        <v>764039</v>
      </c>
      <c r="G3947">
        <v>711897</v>
      </c>
      <c r="H3947" t="s">
        <v>187</v>
      </c>
      <c r="I3947">
        <v>738060</v>
      </c>
      <c r="J3947" t="s">
        <v>187</v>
      </c>
      <c r="K3947" t="s">
        <v>24997</v>
      </c>
      <c r="L3947" t="s">
        <v>187</v>
      </c>
    </row>
    <row r="3948" spans="1:12" x14ac:dyDescent="0.25">
      <c r="A3948">
        <v>711903</v>
      </c>
      <c r="B3948">
        <v>736353</v>
      </c>
      <c r="D3948">
        <v>0</v>
      </c>
      <c r="F3948">
        <v>755697</v>
      </c>
      <c r="G3948">
        <v>711903</v>
      </c>
      <c r="H3948" t="s">
        <v>1939</v>
      </c>
      <c r="I3948">
        <v>736353</v>
      </c>
      <c r="J3948" t="s">
        <v>1939</v>
      </c>
      <c r="K3948" t="s">
        <v>24998</v>
      </c>
      <c r="L3948" t="s">
        <v>1939</v>
      </c>
    </row>
    <row r="3949" spans="1:12" x14ac:dyDescent="0.25">
      <c r="A3949">
        <v>714553</v>
      </c>
      <c r="B3949">
        <v>714557</v>
      </c>
      <c r="D3949">
        <v>0</v>
      </c>
      <c r="E3949" t="s">
        <v>24999</v>
      </c>
      <c r="F3949" t="s">
        <v>25000</v>
      </c>
      <c r="G3949" t="s">
        <v>25001</v>
      </c>
      <c r="H3949" t="e" vm="1734">
        <f>_FV(0,"0065035996392510875")</f>
        <v>#VALUE!</v>
      </c>
      <c r="I3949" t="s">
        <v>25002</v>
      </c>
      <c r="J3949" t="s">
        <v>18248</v>
      </c>
      <c r="K3949" t="s">
        <v>25003</v>
      </c>
      <c r="L3949" t="s">
        <v>18243</v>
      </c>
    </row>
    <row r="3950" spans="1:12" x14ac:dyDescent="0.25">
      <c r="A3950">
        <v>714553</v>
      </c>
      <c r="B3950">
        <v>735215</v>
      </c>
      <c r="D3950" t="s">
        <v>5510</v>
      </c>
      <c r="E3950" t="s">
        <v>25005</v>
      </c>
      <c r="F3950" t="s">
        <v>25006</v>
      </c>
      <c r="G3950" t="s">
        <v>25007</v>
      </c>
      <c r="H3950" t="s">
        <v>25008</v>
      </c>
      <c r="I3950" t="s">
        <v>25009</v>
      </c>
      <c r="J3950" t="s">
        <v>25010</v>
      </c>
      <c r="K3950" t="s">
        <v>25011</v>
      </c>
      <c r="L3950" t="s">
        <v>25004</v>
      </c>
    </row>
    <row r="3951" spans="1:12" x14ac:dyDescent="0.25">
      <c r="A3951">
        <v>714553</v>
      </c>
      <c r="B3951">
        <v>745557</v>
      </c>
      <c r="D3951" t="s">
        <v>4380</v>
      </c>
      <c r="E3951" t="s">
        <v>25013</v>
      </c>
      <c r="F3951" t="s">
        <v>25014</v>
      </c>
      <c r="G3951" t="s">
        <v>25015</v>
      </c>
      <c r="H3951" t="s">
        <v>25016</v>
      </c>
      <c r="I3951" t="s">
        <v>25017</v>
      </c>
      <c r="J3951" t="s">
        <v>25018</v>
      </c>
      <c r="K3951" t="s">
        <v>25019</v>
      </c>
      <c r="L3951" t="s">
        <v>25012</v>
      </c>
    </row>
    <row r="3952" spans="1:12" x14ac:dyDescent="0.25">
      <c r="A3952">
        <v>714557</v>
      </c>
      <c r="B3952">
        <v>714685</v>
      </c>
      <c r="D3952">
        <v>0</v>
      </c>
      <c r="F3952">
        <v>754267</v>
      </c>
      <c r="G3952">
        <v>714685</v>
      </c>
      <c r="H3952" t="s">
        <v>761</v>
      </c>
      <c r="I3952">
        <v>714557</v>
      </c>
      <c r="J3952" t="s">
        <v>761</v>
      </c>
      <c r="K3952" t="s">
        <v>25020</v>
      </c>
      <c r="L3952" t="s">
        <v>761</v>
      </c>
    </row>
    <row r="3953" spans="1:12" x14ac:dyDescent="0.25">
      <c r="A3953">
        <v>714557</v>
      </c>
      <c r="B3953">
        <v>714714</v>
      </c>
      <c r="D3953">
        <v>0</v>
      </c>
      <c r="F3953">
        <v>1845881</v>
      </c>
      <c r="G3953">
        <v>714714</v>
      </c>
      <c r="H3953" t="s">
        <v>194</v>
      </c>
      <c r="I3953">
        <v>714557</v>
      </c>
      <c r="J3953" t="s">
        <v>194</v>
      </c>
      <c r="K3953" t="s">
        <v>25021</v>
      </c>
      <c r="L3953" t="s">
        <v>194</v>
      </c>
    </row>
    <row r="3954" spans="1:12" x14ac:dyDescent="0.25">
      <c r="A3954">
        <v>714685</v>
      </c>
      <c r="B3954">
        <v>714686</v>
      </c>
      <c r="D3954">
        <v>0</v>
      </c>
      <c r="F3954">
        <v>724693</v>
      </c>
      <c r="G3954">
        <v>714686</v>
      </c>
      <c r="H3954" t="s">
        <v>1687</v>
      </c>
      <c r="I3954">
        <v>714685</v>
      </c>
      <c r="J3954" t="s">
        <v>1687</v>
      </c>
      <c r="K3954" t="s">
        <v>25022</v>
      </c>
      <c r="L3954" t="s">
        <v>1687</v>
      </c>
    </row>
    <row r="3955" spans="1:12" x14ac:dyDescent="0.25">
      <c r="A3955">
        <v>714685</v>
      </c>
      <c r="B3955">
        <v>714714</v>
      </c>
      <c r="D3955">
        <v>0</v>
      </c>
      <c r="E3955" t="s">
        <v>25024</v>
      </c>
      <c r="F3955" t="s">
        <v>25025</v>
      </c>
      <c r="G3955" t="s">
        <v>25026</v>
      </c>
      <c r="H3955" t="s">
        <v>25027</v>
      </c>
      <c r="I3955" t="s">
        <v>25028</v>
      </c>
      <c r="J3955" t="s">
        <v>25023</v>
      </c>
      <c r="K3955" t="s">
        <v>25029</v>
      </c>
      <c r="L3955" t="s">
        <v>25023</v>
      </c>
    </row>
    <row r="3956" spans="1:12" x14ac:dyDescent="0.25">
      <c r="A3956">
        <v>714686</v>
      </c>
      <c r="B3956">
        <v>714694</v>
      </c>
      <c r="D3956">
        <v>0</v>
      </c>
      <c r="F3956">
        <v>724701</v>
      </c>
      <c r="G3956">
        <v>714694</v>
      </c>
      <c r="H3956" t="s">
        <v>3940</v>
      </c>
      <c r="I3956">
        <v>714686</v>
      </c>
      <c r="J3956" t="s">
        <v>3940</v>
      </c>
      <c r="K3956" t="s">
        <v>25030</v>
      </c>
      <c r="L3956" t="s">
        <v>3940</v>
      </c>
    </row>
    <row r="3957" spans="1:12" x14ac:dyDescent="0.25">
      <c r="A3957">
        <v>714694</v>
      </c>
      <c r="B3957">
        <v>714714</v>
      </c>
      <c r="D3957">
        <v>0</v>
      </c>
      <c r="E3957" t="s">
        <v>25032</v>
      </c>
      <c r="F3957" t="s">
        <v>25033</v>
      </c>
      <c r="G3957" t="s">
        <v>25034</v>
      </c>
      <c r="H3957" t="e" vm="1735">
        <f>_FV(0,"022678588724090454")</f>
        <v>#VALUE!</v>
      </c>
      <c r="I3957" t="s">
        <v>25035</v>
      </c>
      <c r="J3957" t="s">
        <v>25036</v>
      </c>
      <c r="K3957" t="s">
        <v>25037</v>
      </c>
      <c r="L3957" t="s">
        <v>25031</v>
      </c>
    </row>
    <row r="3958" spans="1:12" x14ac:dyDescent="0.25">
      <c r="A3958">
        <v>716304</v>
      </c>
      <c r="B3958">
        <v>733032</v>
      </c>
      <c r="D3958">
        <v>0</v>
      </c>
      <c r="E3958" t="s">
        <v>25039</v>
      </c>
      <c r="F3958" t="s">
        <v>25040</v>
      </c>
      <c r="G3958" t="s">
        <v>25041</v>
      </c>
      <c r="H3958" t="s">
        <v>25042</v>
      </c>
      <c r="I3958" t="s">
        <v>25043</v>
      </c>
      <c r="J3958" t="s">
        <v>25044</v>
      </c>
      <c r="K3958" t="s">
        <v>25045</v>
      </c>
      <c r="L3958" t="s">
        <v>25038</v>
      </c>
    </row>
    <row r="3959" spans="1:12" x14ac:dyDescent="0.25">
      <c r="A3959">
        <v>716426</v>
      </c>
      <c r="B3959">
        <v>716483</v>
      </c>
      <c r="D3959">
        <v>0</v>
      </c>
      <c r="E3959" t="s">
        <v>25047</v>
      </c>
      <c r="F3959" t="s">
        <v>25048</v>
      </c>
      <c r="G3959" t="s">
        <v>25049</v>
      </c>
      <c r="H3959" t="e" vm="1736">
        <f>_FV(0,"005838702463008633")</f>
        <v>#VALUE!</v>
      </c>
      <c r="I3959" t="s">
        <v>25050</v>
      </c>
      <c r="J3959" t="s">
        <v>25051</v>
      </c>
      <c r="K3959" t="s">
        <v>25052</v>
      </c>
      <c r="L3959" t="s">
        <v>25046</v>
      </c>
    </row>
    <row r="3960" spans="1:12" x14ac:dyDescent="0.25">
      <c r="A3960">
        <v>716426</v>
      </c>
      <c r="B3960">
        <v>716435</v>
      </c>
      <c r="D3960">
        <v>0</v>
      </c>
      <c r="F3960">
        <v>728916</v>
      </c>
      <c r="G3960">
        <v>716426</v>
      </c>
      <c r="H3960" t="s">
        <v>241</v>
      </c>
      <c r="I3960">
        <v>716435</v>
      </c>
      <c r="J3960" t="s">
        <v>241</v>
      </c>
      <c r="K3960" t="s">
        <v>25053</v>
      </c>
      <c r="L3960" t="s">
        <v>241</v>
      </c>
    </row>
    <row r="3961" spans="1:12" x14ac:dyDescent="0.25">
      <c r="A3961">
        <v>716435</v>
      </c>
      <c r="B3961">
        <v>717607</v>
      </c>
      <c r="D3961">
        <v>0</v>
      </c>
      <c r="E3961" t="s">
        <v>25055</v>
      </c>
      <c r="F3961" t="s">
        <v>25056</v>
      </c>
      <c r="G3961" t="s">
        <v>25057</v>
      </c>
      <c r="H3961" t="s">
        <v>25058</v>
      </c>
      <c r="I3961" t="s">
        <v>25059</v>
      </c>
      <c r="J3961" t="s">
        <v>25060</v>
      </c>
      <c r="K3961" t="s">
        <v>25061</v>
      </c>
      <c r="L3961" t="s">
        <v>25054</v>
      </c>
    </row>
    <row r="3962" spans="1:12" x14ac:dyDescent="0.25">
      <c r="A3962">
        <v>716483</v>
      </c>
      <c r="B3962">
        <v>716569</v>
      </c>
      <c r="D3962">
        <v>0</v>
      </c>
      <c r="F3962">
        <v>728956</v>
      </c>
      <c r="G3962">
        <v>716569</v>
      </c>
      <c r="H3962" t="e" vm="122">
        <f>_FV(0,"017")</f>
        <v>#VALUE!</v>
      </c>
      <c r="I3962">
        <v>716483</v>
      </c>
      <c r="J3962" t="s">
        <v>1814</v>
      </c>
      <c r="K3962" t="s">
        <v>25062</v>
      </c>
      <c r="L3962" t="e" vm="122">
        <f>_FV(0,"017")</f>
        <v>#VALUE!</v>
      </c>
    </row>
    <row r="3963" spans="1:12" x14ac:dyDescent="0.25">
      <c r="A3963">
        <v>716483</v>
      </c>
      <c r="B3963">
        <v>716490</v>
      </c>
      <c r="D3963">
        <v>0</v>
      </c>
      <c r="E3963" t="s">
        <v>25064</v>
      </c>
      <c r="F3963" t="s">
        <v>25065</v>
      </c>
      <c r="G3963" t="s">
        <v>25066</v>
      </c>
      <c r="H3963" t="e" vm="1737">
        <f>_FV(0,"03164055148088431")</f>
        <v>#VALUE!</v>
      </c>
      <c r="I3963" t="s">
        <v>25067</v>
      </c>
      <c r="J3963" t="s">
        <v>25068</v>
      </c>
      <c r="K3963" t="s">
        <v>25069</v>
      </c>
      <c r="L3963" t="s">
        <v>25063</v>
      </c>
    </row>
    <row r="3964" spans="1:12" x14ac:dyDescent="0.25">
      <c r="A3964">
        <v>716490</v>
      </c>
      <c r="B3964">
        <v>716502</v>
      </c>
      <c r="D3964">
        <v>0</v>
      </c>
      <c r="E3964" t="s">
        <v>25071</v>
      </c>
      <c r="F3964" t="s">
        <v>25072</v>
      </c>
      <c r="G3964" t="s">
        <v>25073</v>
      </c>
      <c r="H3964" t="e" vm="1738">
        <f>_FV(0,"025008477868080355")</f>
        <v>#VALUE!</v>
      </c>
      <c r="I3964" t="s">
        <v>25074</v>
      </c>
      <c r="J3964" t="s">
        <v>25075</v>
      </c>
      <c r="K3964" t="s">
        <v>25076</v>
      </c>
      <c r="L3964" t="s">
        <v>25070</v>
      </c>
    </row>
    <row r="3965" spans="1:12" x14ac:dyDescent="0.25">
      <c r="A3965">
        <v>716490</v>
      </c>
      <c r="B3965">
        <v>1823981</v>
      </c>
      <c r="D3965">
        <v>0</v>
      </c>
      <c r="E3965" t="s">
        <v>25078</v>
      </c>
      <c r="F3965" t="s">
        <v>25079</v>
      </c>
      <c r="G3965" t="s">
        <v>25080</v>
      </c>
      <c r="H3965" t="e" vm="1739">
        <f>_FV(0,"30204455196540114")</f>
        <v>#VALUE!</v>
      </c>
      <c r="I3965" t="s">
        <v>25081</v>
      </c>
      <c r="J3965" t="s">
        <v>25082</v>
      </c>
      <c r="K3965" t="s">
        <v>25083</v>
      </c>
      <c r="L3965" t="s">
        <v>25077</v>
      </c>
    </row>
    <row r="3966" spans="1:12" x14ac:dyDescent="0.25">
      <c r="A3966">
        <v>716502</v>
      </c>
      <c r="B3966">
        <v>775947</v>
      </c>
      <c r="D3966">
        <v>0</v>
      </c>
      <c r="F3966">
        <v>796881</v>
      </c>
      <c r="G3966">
        <v>716502</v>
      </c>
      <c r="H3966" t="s">
        <v>4536</v>
      </c>
      <c r="I3966">
        <v>775947</v>
      </c>
      <c r="J3966" t="s">
        <v>4536</v>
      </c>
      <c r="K3966" t="s">
        <v>25084</v>
      </c>
      <c r="L3966" t="s">
        <v>4536</v>
      </c>
    </row>
    <row r="3967" spans="1:12" x14ac:dyDescent="0.25">
      <c r="A3967">
        <v>716545</v>
      </c>
      <c r="B3967">
        <v>716569</v>
      </c>
      <c r="D3967">
        <v>0</v>
      </c>
      <c r="E3967" t="s">
        <v>25086</v>
      </c>
      <c r="F3967" t="s">
        <v>25087</v>
      </c>
      <c r="G3967" t="s">
        <v>25088</v>
      </c>
      <c r="H3967" t="s">
        <v>25089</v>
      </c>
      <c r="I3967" t="s">
        <v>25090</v>
      </c>
      <c r="J3967" t="s">
        <v>25085</v>
      </c>
      <c r="K3967" t="s">
        <v>25091</v>
      </c>
      <c r="L3967" t="s">
        <v>25085</v>
      </c>
    </row>
    <row r="3968" spans="1:12" x14ac:dyDescent="0.25">
      <c r="A3968">
        <v>716545</v>
      </c>
      <c r="B3968">
        <v>733170</v>
      </c>
      <c r="D3968">
        <v>0</v>
      </c>
      <c r="E3968" t="s">
        <v>25093</v>
      </c>
      <c r="F3968" t="s">
        <v>25094</v>
      </c>
      <c r="G3968" t="s">
        <v>25095</v>
      </c>
      <c r="H3968" t="e" vm="1740">
        <f>_FV(0,"018632528581892297")</f>
        <v>#VALUE!</v>
      </c>
      <c r="I3968" t="s">
        <v>25096</v>
      </c>
      <c r="J3968" t="s">
        <v>25097</v>
      </c>
      <c r="K3968" t="s">
        <v>25098</v>
      </c>
      <c r="L3968" t="s">
        <v>25092</v>
      </c>
    </row>
    <row r="3969" spans="1:12" x14ac:dyDescent="0.25">
      <c r="A3969">
        <v>716545</v>
      </c>
      <c r="B3969">
        <v>775947</v>
      </c>
      <c r="D3969">
        <v>0</v>
      </c>
      <c r="E3969" t="s">
        <v>25100</v>
      </c>
      <c r="F3969" t="s">
        <v>25101</v>
      </c>
      <c r="G3969" t="s">
        <v>25102</v>
      </c>
      <c r="H3969" t="s">
        <v>25103</v>
      </c>
      <c r="I3969" t="s">
        <v>25104</v>
      </c>
      <c r="J3969" t="s">
        <v>25099</v>
      </c>
      <c r="K3969" t="s">
        <v>25105</v>
      </c>
      <c r="L3969" t="s">
        <v>25099</v>
      </c>
    </row>
    <row r="3970" spans="1:12" x14ac:dyDescent="0.25">
      <c r="A3970">
        <v>716569</v>
      </c>
      <c r="B3970">
        <v>717602</v>
      </c>
      <c r="D3970">
        <v>0</v>
      </c>
      <c r="F3970">
        <v>728964</v>
      </c>
      <c r="G3970">
        <v>717602</v>
      </c>
      <c r="H3970" t="e" vm="12">
        <f>_FV(0,"005")</f>
        <v>#VALUE!</v>
      </c>
      <c r="I3970">
        <v>716569</v>
      </c>
      <c r="J3970" t="s">
        <v>194</v>
      </c>
      <c r="K3970" t="s">
        <v>25106</v>
      </c>
      <c r="L3970" t="e" vm="12">
        <f>_FV(0,"005")</f>
        <v>#VALUE!</v>
      </c>
    </row>
    <row r="3971" spans="1:12" x14ac:dyDescent="0.25">
      <c r="A3971">
        <v>716601</v>
      </c>
      <c r="B3971">
        <v>719186</v>
      </c>
      <c r="D3971">
        <v>0</v>
      </c>
      <c r="E3971" t="s">
        <v>25108</v>
      </c>
      <c r="F3971" t="s">
        <v>25109</v>
      </c>
      <c r="G3971" t="s">
        <v>25110</v>
      </c>
      <c r="H3971" t="s">
        <v>25111</v>
      </c>
      <c r="I3971" t="s">
        <v>25112</v>
      </c>
      <c r="J3971" t="s">
        <v>25113</v>
      </c>
      <c r="K3971" t="s">
        <v>25114</v>
      </c>
      <c r="L3971" t="s">
        <v>25107</v>
      </c>
    </row>
    <row r="3972" spans="1:12" x14ac:dyDescent="0.25">
      <c r="A3972">
        <v>716601</v>
      </c>
      <c r="B3972">
        <v>716616</v>
      </c>
      <c r="D3972">
        <v>0</v>
      </c>
      <c r="F3972">
        <v>731352</v>
      </c>
      <c r="G3972">
        <v>716601</v>
      </c>
      <c r="H3972" t="e" vm="87">
        <f>_FV(0,"001")</f>
        <v>#VALUE!</v>
      </c>
      <c r="I3972">
        <v>716616</v>
      </c>
      <c r="J3972" t="s">
        <v>1333</v>
      </c>
      <c r="K3972" t="s">
        <v>25115</v>
      </c>
      <c r="L3972" t="e" vm="87">
        <f>_FV(0,"001")</f>
        <v>#VALUE!</v>
      </c>
    </row>
    <row r="3973" spans="1:12" x14ac:dyDescent="0.25">
      <c r="A3973">
        <v>716601</v>
      </c>
      <c r="B3973">
        <v>733177</v>
      </c>
      <c r="D3973">
        <v>0</v>
      </c>
      <c r="E3973" t="s">
        <v>25117</v>
      </c>
      <c r="F3973" t="s">
        <v>25118</v>
      </c>
      <c r="G3973" t="s">
        <v>25119</v>
      </c>
      <c r="H3973" t="e" vm="1741">
        <f>_FV(0,"05555638467101244")</f>
        <v>#VALUE!</v>
      </c>
      <c r="I3973" t="s">
        <v>25120</v>
      </c>
      <c r="J3973" t="s">
        <v>25121</v>
      </c>
      <c r="K3973" t="s">
        <v>25122</v>
      </c>
      <c r="L3973" t="s">
        <v>25116</v>
      </c>
    </row>
    <row r="3974" spans="1:12" x14ac:dyDescent="0.25">
      <c r="A3974">
        <v>716616</v>
      </c>
      <c r="B3974">
        <v>780372</v>
      </c>
      <c r="D3974">
        <v>0</v>
      </c>
      <c r="E3974" t="s">
        <v>25124</v>
      </c>
      <c r="F3974" t="s">
        <v>25125</v>
      </c>
      <c r="G3974" t="s">
        <v>25126</v>
      </c>
      <c r="H3974" t="s">
        <v>25127</v>
      </c>
      <c r="I3974" t="s">
        <v>25128</v>
      </c>
      <c r="J3974" t="s">
        <v>25129</v>
      </c>
      <c r="K3974" t="s">
        <v>25130</v>
      </c>
      <c r="L3974" t="s">
        <v>25123</v>
      </c>
    </row>
    <row r="3975" spans="1:12" x14ac:dyDescent="0.25">
      <c r="A3975">
        <v>716616</v>
      </c>
      <c r="B3975">
        <v>719129</v>
      </c>
      <c r="D3975">
        <v>0</v>
      </c>
      <c r="F3975">
        <v>731344</v>
      </c>
      <c r="G3975">
        <v>716616</v>
      </c>
      <c r="H3975" t="e" vm="1742">
        <f>_FV(-2,"314")</f>
        <v>#VALUE!</v>
      </c>
      <c r="I3975">
        <v>719129</v>
      </c>
      <c r="J3975" t="s">
        <v>25131</v>
      </c>
      <c r="K3975" t="s">
        <v>25132</v>
      </c>
      <c r="L3975" t="e" vm="1742">
        <f>_FV(-2,"314")</f>
        <v>#VALUE!</v>
      </c>
    </row>
    <row r="3976" spans="1:12" x14ac:dyDescent="0.25">
      <c r="A3976">
        <v>716661</v>
      </c>
      <c r="B3976">
        <v>716783</v>
      </c>
      <c r="D3976">
        <v>0</v>
      </c>
      <c r="F3976">
        <v>751650</v>
      </c>
      <c r="G3976">
        <v>716783</v>
      </c>
      <c r="H3976" t="e" vm="488">
        <f>_FV(0,"047")</f>
        <v>#VALUE!</v>
      </c>
      <c r="I3976">
        <v>716661</v>
      </c>
      <c r="J3976" t="s">
        <v>2292</v>
      </c>
      <c r="K3976" t="s">
        <v>25133</v>
      </c>
      <c r="L3976" t="e" vm="488">
        <f>_FV(0,"047")</f>
        <v>#VALUE!</v>
      </c>
    </row>
    <row r="3977" spans="1:12" x14ac:dyDescent="0.25">
      <c r="A3977">
        <v>716661</v>
      </c>
      <c r="B3977">
        <v>716681</v>
      </c>
      <c r="D3977">
        <v>0</v>
      </c>
      <c r="E3977" t="s">
        <v>25135</v>
      </c>
      <c r="F3977" t="s">
        <v>25136</v>
      </c>
      <c r="G3977" t="s">
        <v>25137</v>
      </c>
      <c r="H3977" t="e" vm="1743">
        <f>_FV(0,"022595392569660422")</f>
        <v>#VALUE!</v>
      </c>
      <c r="I3977" t="s">
        <v>25138</v>
      </c>
      <c r="J3977" t="s">
        <v>25139</v>
      </c>
      <c r="K3977" t="s">
        <v>25140</v>
      </c>
      <c r="L3977" t="s">
        <v>25134</v>
      </c>
    </row>
    <row r="3978" spans="1:12" x14ac:dyDescent="0.25">
      <c r="A3978">
        <v>716661</v>
      </c>
      <c r="B3978">
        <v>716714</v>
      </c>
      <c r="D3978">
        <v>0</v>
      </c>
      <c r="E3978" t="s">
        <v>25142</v>
      </c>
      <c r="F3978" t="s">
        <v>25143</v>
      </c>
      <c r="G3978" t="s">
        <v>25144</v>
      </c>
      <c r="H3978" t="e" vm="1744">
        <f>_FV(0,"009596730130460317")</f>
        <v>#VALUE!</v>
      </c>
      <c r="I3978" t="s">
        <v>25145</v>
      </c>
      <c r="J3978" t="s">
        <v>25146</v>
      </c>
      <c r="K3978" t="s">
        <v>25147</v>
      </c>
      <c r="L3978" t="s">
        <v>25141</v>
      </c>
    </row>
    <row r="3979" spans="1:12" x14ac:dyDescent="0.25">
      <c r="A3979">
        <v>716661</v>
      </c>
      <c r="B3979">
        <v>716775</v>
      </c>
      <c r="D3979">
        <v>0</v>
      </c>
      <c r="F3979">
        <v>751626</v>
      </c>
      <c r="G3979">
        <v>716661</v>
      </c>
      <c r="H3979" t="s">
        <v>3161</v>
      </c>
      <c r="I3979">
        <v>716775</v>
      </c>
      <c r="J3979" t="s">
        <v>3161</v>
      </c>
      <c r="K3979" t="s">
        <v>25148</v>
      </c>
      <c r="L3979" t="s">
        <v>3161</v>
      </c>
    </row>
    <row r="3980" spans="1:12" x14ac:dyDescent="0.25">
      <c r="A3980">
        <v>716681</v>
      </c>
      <c r="B3980">
        <v>719528</v>
      </c>
      <c r="D3980">
        <v>0</v>
      </c>
      <c r="E3980" t="s">
        <v>25150</v>
      </c>
      <c r="F3980" t="s">
        <v>25151</v>
      </c>
      <c r="G3980" t="s">
        <v>25152</v>
      </c>
      <c r="H3980" t="e" vm="1745">
        <f>_FV(0,"011326251029631423")</f>
        <v>#VALUE!</v>
      </c>
      <c r="I3980" t="s">
        <v>25153</v>
      </c>
      <c r="J3980" t="s">
        <v>25154</v>
      </c>
      <c r="K3980" t="s">
        <v>25155</v>
      </c>
      <c r="L3980" t="s">
        <v>25149</v>
      </c>
    </row>
    <row r="3981" spans="1:12" x14ac:dyDescent="0.25">
      <c r="A3981">
        <v>716686</v>
      </c>
      <c r="B3981">
        <v>716714</v>
      </c>
      <c r="D3981">
        <v>0</v>
      </c>
      <c r="E3981" t="s">
        <v>25157</v>
      </c>
      <c r="F3981" t="s">
        <v>25158</v>
      </c>
      <c r="G3981" t="s">
        <v>25159</v>
      </c>
      <c r="H3981" t="e" vm="1746">
        <f>_FV(0,"03811352145950693")</f>
        <v>#VALUE!</v>
      </c>
      <c r="I3981" t="s">
        <v>25160</v>
      </c>
      <c r="J3981" t="s">
        <v>25161</v>
      </c>
      <c r="K3981" t="s">
        <v>25162</v>
      </c>
      <c r="L3981" t="s">
        <v>25156</v>
      </c>
    </row>
    <row r="3982" spans="1:12" x14ac:dyDescent="0.25">
      <c r="A3982">
        <v>716686</v>
      </c>
      <c r="B3982">
        <v>718213</v>
      </c>
      <c r="D3982">
        <v>0</v>
      </c>
      <c r="E3982" t="s">
        <v>25164</v>
      </c>
      <c r="F3982" t="s">
        <v>25165</v>
      </c>
      <c r="G3982" t="s">
        <v>25166</v>
      </c>
      <c r="H3982" t="e" vm="1747">
        <f>_FV(0,"024896469453925995")</f>
        <v>#VALUE!</v>
      </c>
      <c r="I3982" t="s">
        <v>25167</v>
      </c>
      <c r="J3982" t="s">
        <v>25168</v>
      </c>
      <c r="K3982" t="s">
        <v>25169</v>
      </c>
      <c r="L3982" t="s">
        <v>25163</v>
      </c>
    </row>
    <row r="3983" spans="1:12" x14ac:dyDescent="0.25">
      <c r="A3983">
        <v>716686</v>
      </c>
      <c r="B3983">
        <v>718222</v>
      </c>
      <c r="D3983">
        <v>0</v>
      </c>
      <c r="E3983" t="s">
        <v>25171</v>
      </c>
      <c r="F3983" t="s">
        <v>25172</v>
      </c>
      <c r="G3983" t="s">
        <v>25173</v>
      </c>
      <c r="H3983" t="e" vm="1748">
        <f>_FV(0,"025239223921607445")</f>
        <v>#VALUE!</v>
      </c>
      <c r="I3983" t="s">
        <v>25174</v>
      </c>
      <c r="J3983" t="s">
        <v>25175</v>
      </c>
      <c r="K3983" t="s">
        <v>25176</v>
      </c>
      <c r="L3983" t="s">
        <v>25170</v>
      </c>
    </row>
    <row r="3984" spans="1:12" x14ac:dyDescent="0.25">
      <c r="A3984">
        <v>716714</v>
      </c>
      <c r="B3984">
        <v>716762</v>
      </c>
      <c r="D3984">
        <v>0</v>
      </c>
      <c r="E3984" t="s">
        <v>25178</v>
      </c>
      <c r="F3984" t="s">
        <v>25179</v>
      </c>
      <c r="G3984" t="s">
        <v>25180</v>
      </c>
      <c r="H3984" t="s">
        <v>25181</v>
      </c>
      <c r="I3984" t="s">
        <v>25182</v>
      </c>
      <c r="J3984" t="s">
        <v>25183</v>
      </c>
      <c r="K3984" t="s">
        <v>25184</v>
      </c>
      <c r="L3984" t="s">
        <v>25177</v>
      </c>
    </row>
    <row r="3985" spans="1:12" x14ac:dyDescent="0.25">
      <c r="A3985">
        <v>716762</v>
      </c>
      <c r="B3985">
        <v>716775</v>
      </c>
      <c r="D3985">
        <v>0</v>
      </c>
      <c r="E3985" t="s">
        <v>25186</v>
      </c>
      <c r="F3985" t="s">
        <v>25187</v>
      </c>
      <c r="G3985" t="s">
        <v>25188</v>
      </c>
      <c r="H3985" t="e" vm="1749">
        <f>_FV(0,"0033528064236181374")</f>
        <v>#VALUE!</v>
      </c>
      <c r="I3985" t="s">
        <v>25189</v>
      </c>
      <c r="J3985" t="s">
        <v>25190</v>
      </c>
      <c r="K3985" t="s">
        <v>25191</v>
      </c>
      <c r="L3985" t="s">
        <v>25185</v>
      </c>
    </row>
    <row r="3986" spans="1:12" x14ac:dyDescent="0.25">
      <c r="A3986">
        <v>716762</v>
      </c>
      <c r="B3986">
        <v>733288</v>
      </c>
      <c r="D3986">
        <v>0</v>
      </c>
      <c r="E3986" t="s">
        <v>25193</v>
      </c>
      <c r="F3986" t="s">
        <v>25194</v>
      </c>
      <c r="G3986" t="s">
        <v>25195</v>
      </c>
      <c r="H3986" t="e" vm="1750">
        <f>_FV(0,"03871905759077662")</f>
        <v>#VALUE!</v>
      </c>
      <c r="I3986" t="s">
        <v>25196</v>
      </c>
      <c r="J3986" t="s">
        <v>25197</v>
      </c>
      <c r="K3986" t="s">
        <v>25198</v>
      </c>
      <c r="L3986" t="s">
        <v>25192</v>
      </c>
    </row>
    <row r="3987" spans="1:12" x14ac:dyDescent="0.25">
      <c r="A3987">
        <v>716775</v>
      </c>
      <c r="B3987">
        <v>716783</v>
      </c>
      <c r="D3987">
        <v>0</v>
      </c>
      <c r="F3987">
        <v>727596</v>
      </c>
      <c r="G3987">
        <v>716783</v>
      </c>
      <c r="H3987" t="e" vm="18">
        <f>_FV(0,"004")</f>
        <v>#VALUE!</v>
      </c>
      <c r="I3987">
        <v>716775</v>
      </c>
      <c r="J3987" t="s">
        <v>239</v>
      </c>
      <c r="K3987" t="s">
        <v>25199</v>
      </c>
      <c r="L3987" t="e" vm="18">
        <f>_FV(0,"004")</f>
        <v>#VALUE!</v>
      </c>
    </row>
    <row r="3988" spans="1:12" x14ac:dyDescent="0.25">
      <c r="A3988">
        <v>716783</v>
      </c>
      <c r="B3988">
        <v>733283</v>
      </c>
      <c r="D3988">
        <v>0</v>
      </c>
      <c r="E3988" t="s">
        <v>25201</v>
      </c>
      <c r="F3988" t="s">
        <v>25202</v>
      </c>
      <c r="G3988" t="s">
        <v>25203</v>
      </c>
      <c r="H3988" t="e" vm="1751">
        <f>_FV(0,"01358203092461544")</f>
        <v>#VALUE!</v>
      </c>
      <c r="I3988" t="s">
        <v>25204</v>
      </c>
      <c r="J3988" t="s">
        <v>25205</v>
      </c>
      <c r="K3988" t="s">
        <v>25206</v>
      </c>
      <c r="L3988" t="s">
        <v>25200</v>
      </c>
    </row>
    <row r="3989" spans="1:12" x14ac:dyDescent="0.25">
      <c r="A3989">
        <v>716967</v>
      </c>
      <c r="B3989">
        <v>717008</v>
      </c>
      <c r="D3989">
        <v>0</v>
      </c>
      <c r="E3989" t="s">
        <v>25208</v>
      </c>
      <c r="F3989" t="s">
        <v>25209</v>
      </c>
      <c r="G3989" t="s">
        <v>25210</v>
      </c>
      <c r="H3989" t="s">
        <v>25211</v>
      </c>
      <c r="I3989" t="s">
        <v>25212</v>
      </c>
      <c r="J3989" t="s">
        <v>25213</v>
      </c>
      <c r="K3989" t="s">
        <v>25214</v>
      </c>
      <c r="L3989" t="s">
        <v>25207</v>
      </c>
    </row>
    <row r="3990" spans="1:12" x14ac:dyDescent="0.25">
      <c r="A3990">
        <v>716967</v>
      </c>
      <c r="B3990">
        <v>733343</v>
      </c>
      <c r="D3990">
        <v>0</v>
      </c>
      <c r="E3990" t="s">
        <v>25216</v>
      </c>
      <c r="F3990" t="s">
        <v>25217</v>
      </c>
      <c r="G3990" t="s">
        <v>25218</v>
      </c>
      <c r="H3990" t="e" vm="1752">
        <f>_FV(0,"05677521915066399")</f>
        <v>#VALUE!</v>
      </c>
      <c r="I3990" t="s">
        <v>25219</v>
      </c>
      <c r="J3990" t="s">
        <v>25220</v>
      </c>
      <c r="K3990" t="s">
        <v>25221</v>
      </c>
      <c r="L3990" t="s">
        <v>25215</v>
      </c>
    </row>
    <row r="3991" spans="1:12" x14ac:dyDescent="0.25">
      <c r="A3991">
        <v>717034</v>
      </c>
      <c r="B3991">
        <v>717057</v>
      </c>
      <c r="D3991" t="s">
        <v>25223</v>
      </c>
      <c r="E3991" t="s">
        <v>25224</v>
      </c>
      <c r="F3991" t="s">
        <v>25225</v>
      </c>
      <c r="G3991" t="s">
        <v>25226</v>
      </c>
      <c r="H3991" t="s">
        <v>25227</v>
      </c>
      <c r="I3991" t="s">
        <v>25228</v>
      </c>
      <c r="J3991" t="s">
        <v>25222</v>
      </c>
      <c r="K3991" t="s">
        <v>25229</v>
      </c>
      <c r="L3991" t="s">
        <v>25222</v>
      </c>
    </row>
    <row r="3992" spans="1:12" x14ac:dyDescent="0.25">
      <c r="A3992">
        <v>717034</v>
      </c>
      <c r="B3992">
        <v>717094</v>
      </c>
      <c r="D3992">
        <v>0</v>
      </c>
      <c r="E3992" t="s">
        <v>25231</v>
      </c>
      <c r="F3992" t="s">
        <v>25232</v>
      </c>
      <c r="G3992" t="s">
        <v>25233</v>
      </c>
      <c r="H3992" t="s">
        <v>25234</v>
      </c>
      <c r="I3992" t="s">
        <v>25235</v>
      </c>
      <c r="J3992" t="s">
        <v>25236</v>
      </c>
      <c r="K3992" t="s">
        <v>25237</v>
      </c>
      <c r="L3992" t="s">
        <v>25230</v>
      </c>
    </row>
    <row r="3993" spans="1:12" x14ac:dyDescent="0.25">
      <c r="A3993">
        <v>717034</v>
      </c>
      <c r="B3993">
        <v>733353</v>
      </c>
      <c r="D3993">
        <v>0</v>
      </c>
      <c r="E3993" t="s">
        <v>25239</v>
      </c>
      <c r="F3993" t="s">
        <v>25240</v>
      </c>
      <c r="G3993" t="s">
        <v>25241</v>
      </c>
      <c r="H3993" t="s">
        <v>25242</v>
      </c>
      <c r="I3993" t="s">
        <v>25243</v>
      </c>
      <c r="J3993" t="s">
        <v>25244</v>
      </c>
      <c r="K3993" t="s">
        <v>25245</v>
      </c>
      <c r="L3993" t="s">
        <v>25238</v>
      </c>
    </row>
    <row r="3994" spans="1:12" x14ac:dyDescent="0.25">
      <c r="A3994">
        <v>717057</v>
      </c>
      <c r="B3994">
        <v>717109</v>
      </c>
      <c r="D3994">
        <v>0</v>
      </c>
      <c r="E3994" t="s">
        <v>25247</v>
      </c>
      <c r="F3994" t="s">
        <v>25248</v>
      </c>
      <c r="G3994" t="s">
        <v>25249</v>
      </c>
      <c r="H3994" t="s">
        <v>25250</v>
      </c>
      <c r="I3994" t="s">
        <v>25251</v>
      </c>
      <c r="J3994" t="s">
        <v>25246</v>
      </c>
      <c r="K3994" t="s">
        <v>25252</v>
      </c>
      <c r="L3994" t="s">
        <v>25246</v>
      </c>
    </row>
    <row r="3995" spans="1:12" x14ac:dyDescent="0.25">
      <c r="A3995">
        <v>717094</v>
      </c>
      <c r="B3995">
        <v>733364</v>
      </c>
      <c r="D3995">
        <v>0</v>
      </c>
      <c r="E3995" t="s">
        <v>25254</v>
      </c>
      <c r="F3995" t="s">
        <v>25255</v>
      </c>
      <c r="G3995" t="s">
        <v>25256</v>
      </c>
      <c r="H3995" t="e" vm="1753">
        <f>_FV(0,"017981819263161395")</f>
        <v>#VALUE!</v>
      </c>
      <c r="I3995" t="s">
        <v>25257</v>
      </c>
      <c r="J3995" t="s">
        <v>25258</v>
      </c>
      <c r="K3995" t="s">
        <v>25259</v>
      </c>
      <c r="L3995" t="s">
        <v>25253</v>
      </c>
    </row>
    <row r="3996" spans="1:12" x14ac:dyDescent="0.25">
      <c r="A3996">
        <v>717464</v>
      </c>
      <c r="B3996">
        <v>717493</v>
      </c>
      <c r="D3996">
        <v>0</v>
      </c>
      <c r="E3996" t="s">
        <v>25261</v>
      </c>
      <c r="F3996" t="s">
        <v>25262</v>
      </c>
      <c r="G3996" t="s">
        <v>25263</v>
      </c>
      <c r="H3996" t="e" vm="1754">
        <f>_FV(0,"04915646355856505")</f>
        <v>#VALUE!</v>
      </c>
      <c r="I3996" t="s">
        <v>25264</v>
      </c>
      <c r="J3996" t="s">
        <v>25265</v>
      </c>
      <c r="K3996" t="s">
        <v>25266</v>
      </c>
      <c r="L3996" t="s">
        <v>25260</v>
      </c>
    </row>
    <row r="3997" spans="1:12" x14ac:dyDescent="0.25">
      <c r="A3997">
        <v>717531</v>
      </c>
      <c r="B3997">
        <v>717544</v>
      </c>
      <c r="D3997">
        <v>0</v>
      </c>
      <c r="E3997" t="s">
        <v>25268</v>
      </c>
      <c r="F3997" t="s">
        <v>25269</v>
      </c>
      <c r="G3997" t="s">
        <v>25270</v>
      </c>
      <c r="H3997" t="e" vm="1755">
        <f>_FV(0,"013482841113407138")</f>
        <v>#VALUE!</v>
      </c>
      <c r="I3997" t="s">
        <v>25271</v>
      </c>
      <c r="J3997" t="s">
        <v>25272</v>
      </c>
      <c r="K3997" t="s">
        <v>25273</v>
      </c>
      <c r="L3997" t="s">
        <v>25267</v>
      </c>
    </row>
    <row r="3998" spans="1:12" x14ac:dyDescent="0.25">
      <c r="A3998">
        <v>717549</v>
      </c>
      <c r="B3998">
        <v>717569</v>
      </c>
      <c r="D3998">
        <v>0</v>
      </c>
      <c r="E3998" t="s">
        <v>25275</v>
      </c>
      <c r="F3998" t="s">
        <v>25276</v>
      </c>
      <c r="G3998" t="s">
        <v>25277</v>
      </c>
      <c r="H3998" t="s">
        <v>25278</v>
      </c>
      <c r="I3998" t="s">
        <v>25279</v>
      </c>
      <c r="J3998" t="s">
        <v>25274</v>
      </c>
      <c r="K3998" t="s">
        <v>25280</v>
      </c>
      <c r="L3998" t="s">
        <v>25274</v>
      </c>
    </row>
    <row r="3999" spans="1:12" x14ac:dyDescent="0.25">
      <c r="A3999">
        <v>717584</v>
      </c>
      <c r="B3999">
        <v>717590</v>
      </c>
      <c r="D3999">
        <v>0</v>
      </c>
      <c r="E3999" t="s">
        <v>25282</v>
      </c>
      <c r="F3999" t="s">
        <v>25283</v>
      </c>
      <c r="G3999" t="s">
        <v>25284</v>
      </c>
      <c r="H3999" t="s">
        <v>25285</v>
      </c>
      <c r="I3999" t="s">
        <v>25286</v>
      </c>
      <c r="J3999" t="s">
        <v>25281</v>
      </c>
      <c r="K3999" t="s">
        <v>25287</v>
      </c>
      <c r="L3999" t="s">
        <v>25281</v>
      </c>
    </row>
    <row r="4000" spans="1:12" x14ac:dyDescent="0.25">
      <c r="A4000">
        <v>717602</v>
      </c>
      <c r="B4000">
        <v>717607</v>
      </c>
      <c r="D4000">
        <v>0</v>
      </c>
      <c r="E4000" t="s">
        <v>25289</v>
      </c>
      <c r="F4000" t="s">
        <v>25290</v>
      </c>
      <c r="G4000" t="s">
        <v>25291</v>
      </c>
      <c r="H4000" t="e" vm="1756">
        <f>_FV(0,"0014075226267003548")</f>
        <v>#VALUE!</v>
      </c>
      <c r="I4000" t="s">
        <v>25292</v>
      </c>
      <c r="J4000" t="s">
        <v>11606</v>
      </c>
      <c r="K4000" t="s">
        <v>25293</v>
      </c>
      <c r="L4000" t="s">
        <v>25288</v>
      </c>
    </row>
    <row r="4001" spans="1:12" x14ac:dyDescent="0.25">
      <c r="A4001">
        <v>717607</v>
      </c>
      <c r="B4001">
        <v>1609668</v>
      </c>
      <c r="D4001" t="s">
        <v>25295</v>
      </c>
      <c r="E4001" t="s">
        <v>25296</v>
      </c>
      <c r="F4001" t="s">
        <v>25297</v>
      </c>
      <c r="G4001" t="s">
        <v>25298</v>
      </c>
      <c r="H4001" t="s">
        <v>25299</v>
      </c>
      <c r="I4001" t="s">
        <v>25300</v>
      </c>
      <c r="J4001" t="s">
        <v>25294</v>
      </c>
      <c r="K4001" t="s">
        <v>25301</v>
      </c>
      <c r="L4001" t="s">
        <v>25294</v>
      </c>
    </row>
    <row r="4002" spans="1:12" x14ac:dyDescent="0.25">
      <c r="A4002">
        <v>717654</v>
      </c>
      <c r="B4002">
        <v>717664</v>
      </c>
      <c r="D4002">
        <v>0</v>
      </c>
      <c r="E4002" t="s">
        <v>25303</v>
      </c>
      <c r="F4002" t="s">
        <v>25304</v>
      </c>
      <c r="G4002" t="s">
        <v>25305</v>
      </c>
      <c r="H4002" t="s">
        <v>25306</v>
      </c>
      <c r="I4002" t="s">
        <v>25307</v>
      </c>
      <c r="J4002" t="s">
        <v>25308</v>
      </c>
      <c r="K4002" t="s">
        <v>25309</v>
      </c>
      <c r="L4002" t="s">
        <v>25302</v>
      </c>
    </row>
    <row r="4003" spans="1:12" x14ac:dyDescent="0.25">
      <c r="A4003">
        <v>717654</v>
      </c>
      <c r="B4003">
        <v>733578</v>
      </c>
      <c r="D4003">
        <v>0</v>
      </c>
      <c r="E4003" t="s">
        <v>25311</v>
      </c>
      <c r="F4003" t="s">
        <v>25312</v>
      </c>
      <c r="G4003" t="s">
        <v>25313</v>
      </c>
      <c r="H4003" t="e" vm="1757">
        <f>_FV(0,"011286193852542533")</f>
        <v>#VALUE!</v>
      </c>
      <c r="I4003" t="s">
        <v>25314</v>
      </c>
      <c r="J4003" t="s">
        <v>25315</v>
      </c>
      <c r="K4003" t="s">
        <v>25316</v>
      </c>
      <c r="L4003" t="s">
        <v>25310</v>
      </c>
    </row>
    <row r="4004" spans="1:12" x14ac:dyDescent="0.25">
      <c r="A4004">
        <v>717654</v>
      </c>
      <c r="B4004">
        <v>734755</v>
      </c>
      <c r="D4004">
        <v>0</v>
      </c>
      <c r="E4004" t="s">
        <v>25318</v>
      </c>
      <c r="F4004" t="s">
        <v>25319</v>
      </c>
      <c r="G4004" t="s">
        <v>25320</v>
      </c>
      <c r="H4004" t="e" vm="1758">
        <f>_FV(0,"009987507346573714")</f>
        <v>#VALUE!</v>
      </c>
      <c r="I4004" t="s">
        <v>25321</v>
      </c>
      <c r="J4004" t="s">
        <v>25322</v>
      </c>
      <c r="K4004" t="s">
        <v>25323</v>
      </c>
      <c r="L4004" t="s">
        <v>25317</v>
      </c>
    </row>
    <row r="4005" spans="1:12" x14ac:dyDescent="0.25">
      <c r="A4005">
        <v>717664</v>
      </c>
      <c r="B4005">
        <v>717665</v>
      </c>
      <c r="D4005">
        <v>0</v>
      </c>
      <c r="E4005" t="s">
        <v>25325</v>
      </c>
      <c r="F4005" t="s">
        <v>25326</v>
      </c>
      <c r="G4005" t="s">
        <v>25327</v>
      </c>
      <c r="H4005" t="s">
        <v>25328</v>
      </c>
      <c r="I4005" t="s">
        <v>25329</v>
      </c>
      <c r="J4005" t="s">
        <v>25330</v>
      </c>
      <c r="K4005" t="s">
        <v>25331</v>
      </c>
      <c r="L4005" t="s">
        <v>25324</v>
      </c>
    </row>
    <row r="4006" spans="1:12" x14ac:dyDescent="0.25">
      <c r="A4006">
        <v>717664</v>
      </c>
      <c r="B4006">
        <v>717665</v>
      </c>
      <c r="D4006">
        <v>0</v>
      </c>
      <c r="E4006" t="s">
        <v>25333</v>
      </c>
      <c r="F4006" t="s">
        <v>25334</v>
      </c>
      <c r="G4006" t="s">
        <v>25335</v>
      </c>
      <c r="H4006" t="s">
        <v>25336</v>
      </c>
      <c r="I4006" t="s">
        <v>25337</v>
      </c>
      <c r="J4006" t="s">
        <v>25338</v>
      </c>
      <c r="K4006" t="s">
        <v>25339</v>
      </c>
      <c r="L4006" t="s">
        <v>25332</v>
      </c>
    </row>
    <row r="4007" spans="1:12" x14ac:dyDescent="0.25">
      <c r="A4007">
        <v>717665</v>
      </c>
      <c r="B4007">
        <v>717666</v>
      </c>
      <c r="D4007">
        <v>0</v>
      </c>
      <c r="F4007">
        <v>729004</v>
      </c>
      <c r="G4007">
        <v>717666</v>
      </c>
      <c r="H4007" t="e" vm="1084">
        <f>_FV(0,"018")</f>
        <v>#VALUE!</v>
      </c>
      <c r="I4007">
        <v>717665</v>
      </c>
      <c r="J4007" t="s">
        <v>697</v>
      </c>
      <c r="K4007" t="s">
        <v>25340</v>
      </c>
      <c r="L4007" t="e" vm="1084">
        <f>_FV(0,"018")</f>
        <v>#VALUE!</v>
      </c>
    </row>
    <row r="4008" spans="1:12" x14ac:dyDescent="0.25">
      <c r="A4008">
        <v>717666</v>
      </c>
      <c r="B4008">
        <v>717670</v>
      </c>
      <c r="D4008">
        <v>0</v>
      </c>
      <c r="E4008" t="s">
        <v>25342</v>
      </c>
      <c r="F4008" t="s">
        <v>25343</v>
      </c>
      <c r="G4008" t="s">
        <v>25344</v>
      </c>
      <c r="H4008" t="e" vm="1759">
        <f>_FV(0,"001358898783833627")</f>
        <v>#VALUE!</v>
      </c>
      <c r="I4008" t="s">
        <v>25345</v>
      </c>
      <c r="J4008" t="s">
        <v>25346</v>
      </c>
      <c r="K4008" t="s">
        <v>25347</v>
      </c>
      <c r="L4008" t="s">
        <v>25341</v>
      </c>
    </row>
    <row r="4009" spans="1:12" x14ac:dyDescent="0.25">
      <c r="A4009">
        <v>717666</v>
      </c>
      <c r="B4009">
        <v>717670</v>
      </c>
      <c r="D4009">
        <v>0</v>
      </c>
      <c r="E4009" t="s">
        <v>25349</v>
      </c>
      <c r="F4009" t="s">
        <v>25350</v>
      </c>
      <c r="G4009" t="s">
        <v>25351</v>
      </c>
      <c r="H4009" t="e" vm="1760">
        <f>_FV(0,"0015187702864195662")</f>
        <v>#VALUE!</v>
      </c>
      <c r="I4009" t="s">
        <v>25352</v>
      </c>
      <c r="J4009" t="s">
        <v>25353</v>
      </c>
      <c r="K4009" t="s">
        <v>25354</v>
      </c>
      <c r="L4009" t="s">
        <v>25348</v>
      </c>
    </row>
    <row r="4010" spans="1:12" x14ac:dyDescent="0.25">
      <c r="A4010">
        <v>717670</v>
      </c>
      <c r="B4010">
        <v>717699</v>
      </c>
      <c r="D4010">
        <v>0</v>
      </c>
      <c r="E4010" t="s">
        <v>25356</v>
      </c>
      <c r="F4010" t="s">
        <v>25357</v>
      </c>
      <c r="G4010" t="s">
        <v>25358</v>
      </c>
      <c r="H4010" t="s">
        <v>25359</v>
      </c>
      <c r="I4010" t="s">
        <v>25360</v>
      </c>
      <c r="J4010" t="s">
        <v>25361</v>
      </c>
      <c r="K4010" t="s">
        <v>25362</v>
      </c>
      <c r="L4010" t="s">
        <v>25355</v>
      </c>
    </row>
    <row r="4011" spans="1:12" x14ac:dyDescent="0.25">
      <c r="A4011">
        <v>717699</v>
      </c>
      <c r="B4011">
        <v>717702</v>
      </c>
      <c r="D4011">
        <v>0</v>
      </c>
      <c r="E4011" t="s">
        <v>25364</v>
      </c>
      <c r="F4011" t="s">
        <v>25365</v>
      </c>
      <c r="G4011" t="s">
        <v>25366</v>
      </c>
      <c r="H4011" t="s">
        <v>25367</v>
      </c>
      <c r="I4011" t="s">
        <v>25368</v>
      </c>
      <c r="J4011" t="s">
        <v>25369</v>
      </c>
      <c r="K4011" t="s">
        <v>25370</v>
      </c>
      <c r="L4011" t="s">
        <v>25363</v>
      </c>
    </row>
    <row r="4012" spans="1:12" x14ac:dyDescent="0.25">
      <c r="A4012">
        <v>717699</v>
      </c>
      <c r="B4012">
        <v>717702</v>
      </c>
      <c r="D4012">
        <v>0</v>
      </c>
      <c r="E4012" t="s">
        <v>25372</v>
      </c>
      <c r="F4012" t="s">
        <v>25373</v>
      </c>
      <c r="G4012" t="s">
        <v>25374</v>
      </c>
      <c r="H4012" t="s">
        <v>25375</v>
      </c>
      <c r="I4012" t="s">
        <v>25376</v>
      </c>
      <c r="J4012" t="s">
        <v>25377</v>
      </c>
      <c r="K4012" t="s">
        <v>25378</v>
      </c>
      <c r="L4012" t="s">
        <v>25371</v>
      </c>
    </row>
    <row r="4013" spans="1:12" x14ac:dyDescent="0.25">
      <c r="A4013">
        <v>717702</v>
      </c>
      <c r="B4013">
        <v>717740</v>
      </c>
      <c r="D4013">
        <v>0</v>
      </c>
      <c r="E4013" t="s">
        <v>25380</v>
      </c>
      <c r="F4013" t="s">
        <v>25381</v>
      </c>
      <c r="G4013" t="s">
        <v>25382</v>
      </c>
      <c r="H4013" t="s">
        <v>25383</v>
      </c>
      <c r="I4013" t="s">
        <v>25384</v>
      </c>
      <c r="J4013" t="s">
        <v>25385</v>
      </c>
      <c r="K4013" t="s">
        <v>25386</v>
      </c>
      <c r="L4013" t="s">
        <v>25379</v>
      </c>
    </row>
    <row r="4014" spans="1:12" x14ac:dyDescent="0.25">
      <c r="A4014">
        <v>717740</v>
      </c>
      <c r="B4014">
        <v>703449</v>
      </c>
      <c r="D4014">
        <v>0</v>
      </c>
      <c r="E4014" t="s">
        <v>25388</v>
      </c>
      <c r="F4014" t="s">
        <v>25389</v>
      </c>
      <c r="G4014" t="s">
        <v>25390</v>
      </c>
      <c r="H4014" t="e" vm="1761">
        <f>_FV(0,"01194607201144266")</f>
        <v>#VALUE!</v>
      </c>
      <c r="I4014" t="s">
        <v>25391</v>
      </c>
      <c r="J4014" t="s">
        <v>25392</v>
      </c>
      <c r="K4014" t="s">
        <v>25393</v>
      </c>
      <c r="L4014" t="s">
        <v>25387</v>
      </c>
    </row>
    <row r="4015" spans="1:12" x14ac:dyDescent="0.25">
      <c r="A4015">
        <v>717740</v>
      </c>
      <c r="B4015">
        <v>703449</v>
      </c>
      <c r="D4015">
        <v>0</v>
      </c>
      <c r="E4015" t="s">
        <v>25395</v>
      </c>
      <c r="F4015" t="s">
        <v>25396</v>
      </c>
      <c r="G4015" t="s">
        <v>25397</v>
      </c>
      <c r="H4015" t="e" vm="1762">
        <f>_FV(0,"012231415912889714")</f>
        <v>#VALUE!</v>
      </c>
      <c r="I4015" t="s">
        <v>25398</v>
      </c>
      <c r="J4015" t="s">
        <v>25399</v>
      </c>
      <c r="K4015" t="s">
        <v>25400</v>
      </c>
      <c r="L4015" t="s">
        <v>25394</v>
      </c>
    </row>
    <row r="4016" spans="1:12" x14ac:dyDescent="0.25">
      <c r="A4016">
        <v>703449</v>
      </c>
      <c r="B4016">
        <v>717754</v>
      </c>
      <c r="D4016">
        <v>0</v>
      </c>
      <c r="E4016" t="s">
        <v>25402</v>
      </c>
      <c r="F4016" t="s">
        <v>25403</v>
      </c>
      <c r="G4016" t="s">
        <v>25404</v>
      </c>
      <c r="H4016" t="e" vm="1763">
        <f>_FV(0,"016506861143917622")</f>
        <v>#VALUE!</v>
      </c>
      <c r="I4016" t="s">
        <v>25405</v>
      </c>
      <c r="J4016" t="s">
        <v>25406</v>
      </c>
      <c r="K4016" t="s">
        <v>25407</v>
      </c>
      <c r="L4016" t="s">
        <v>25401</v>
      </c>
    </row>
    <row r="4017" spans="1:12" x14ac:dyDescent="0.25">
      <c r="A4017">
        <v>717754</v>
      </c>
      <c r="B4017">
        <v>734475</v>
      </c>
      <c r="D4017">
        <v>0</v>
      </c>
      <c r="F4017">
        <v>780882</v>
      </c>
      <c r="G4017">
        <v>734475</v>
      </c>
      <c r="H4017" t="s">
        <v>25408</v>
      </c>
      <c r="I4017">
        <v>717754</v>
      </c>
      <c r="J4017" t="s">
        <v>25408</v>
      </c>
      <c r="K4017" t="s">
        <v>25409</v>
      </c>
      <c r="L4017" t="s">
        <v>25408</v>
      </c>
    </row>
    <row r="4018" spans="1:12" x14ac:dyDescent="0.25">
      <c r="A4018">
        <v>717754</v>
      </c>
      <c r="B4018">
        <v>733838</v>
      </c>
      <c r="D4018">
        <v>0</v>
      </c>
      <c r="E4018" t="s">
        <v>25411</v>
      </c>
      <c r="F4018" t="s">
        <v>25412</v>
      </c>
      <c r="G4018" t="s">
        <v>25413</v>
      </c>
      <c r="H4018" t="s">
        <v>25414</v>
      </c>
      <c r="I4018" t="s">
        <v>25415</v>
      </c>
      <c r="J4018" t="s">
        <v>25416</v>
      </c>
      <c r="K4018" t="s">
        <v>25417</v>
      </c>
      <c r="L4018" t="s">
        <v>25410</v>
      </c>
    </row>
    <row r="4019" spans="1:12" x14ac:dyDescent="0.25">
      <c r="A4019">
        <v>717759</v>
      </c>
      <c r="B4019">
        <v>717798</v>
      </c>
      <c r="D4019">
        <v>0</v>
      </c>
      <c r="F4019">
        <v>780906</v>
      </c>
      <c r="G4019">
        <v>717798</v>
      </c>
      <c r="H4019" t="e" vm="131">
        <f>_FV(0,"012")</f>
        <v>#VALUE!</v>
      </c>
      <c r="I4019">
        <v>717759</v>
      </c>
      <c r="J4019" t="s">
        <v>1939</v>
      </c>
      <c r="K4019" t="s">
        <v>25418</v>
      </c>
      <c r="L4019" t="e" vm="131">
        <f>_FV(0,"012")</f>
        <v>#VALUE!</v>
      </c>
    </row>
    <row r="4020" spans="1:12" x14ac:dyDescent="0.25">
      <c r="A4020">
        <v>717759</v>
      </c>
      <c r="B4020">
        <v>717766</v>
      </c>
      <c r="D4020">
        <v>0</v>
      </c>
      <c r="E4020" t="s">
        <v>25420</v>
      </c>
      <c r="F4020" t="s">
        <v>25421</v>
      </c>
      <c r="G4020" t="s">
        <v>25422</v>
      </c>
      <c r="H4020" t="e" vm="1764">
        <f>_FV(0,"2308699360525527")</f>
        <v>#VALUE!</v>
      </c>
      <c r="I4020" t="s">
        <v>25423</v>
      </c>
      <c r="J4020" t="s">
        <v>25424</v>
      </c>
      <c r="K4020" t="s">
        <v>25425</v>
      </c>
      <c r="L4020" t="s">
        <v>25419</v>
      </c>
    </row>
    <row r="4021" spans="1:12" x14ac:dyDescent="0.25">
      <c r="A4021">
        <v>717759</v>
      </c>
      <c r="B4021">
        <v>733838</v>
      </c>
      <c r="D4021">
        <v>0</v>
      </c>
      <c r="E4021" t="s">
        <v>25427</v>
      </c>
      <c r="F4021" t="s">
        <v>25428</v>
      </c>
      <c r="G4021" t="s">
        <v>25429</v>
      </c>
      <c r="H4021" t="e" vm="1765">
        <f>_FV(0,"5064629468435696")</f>
        <v>#VALUE!</v>
      </c>
      <c r="I4021" t="s">
        <v>25430</v>
      </c>
      <c r="J4021" t="s">
        <v>25431</v>
      </c>
      <c r="K4021" t="s">
        <v>25432</v>
      </c>
      <c r="L4021" t="s">
        <v>25426</v>
      </c>
    </row>
    <row r="4022" spans="1:12" x14ac:dyDescent="0.25">
      <c r="A4022">
        <v>717759</v>
      </c>
      <c r="B4022">
        <v>734475</v>
      </c>
      <c r="D4022">
        <v>0</v>
      </c>
      <c r="E4022" t="s">
        <v>25434</v>
      </c>
      <c r="F4022" t="s">
        <v>25435</v>
      </c>
      <c r="G4022" t="s">
        <v>25436</v>
      </c>
      <c r="H4022" t="e" vm="1766">
        <f>_FV(0,"23291272670329585")</f>
        <v>#VALUE!</v>
      </c>
      <c r="I4022" t="s">
        <v>25437</v>
      </c>
      <c r="J4022" t="s">
        <v>25438</v>
      </c>
      <c r="K4022" t="s">
        <v>25439</v>
      </c>
      <c r="L4022" t="s">
        <v>25433</v>
      </c>
    </row>
    <row r="4023" spans="1:12" x14ac:dyDescent="0.25">
      <c r="A4023">
        <v>717766</v>
      </c>
      <c r="B4023">
        <v>734475</v>
      </c>
      <c r="D4023">
        <v>0</v>
      </c>
      <c r="E4023" t="s">
        <v>25441</v>
      </c>
      <c r="F4023" t="s">
        <v>25442</v>
      </c>
      <c r="G4023" t="s">
        <v>25443</v>
      </c>
      <c r="H4023" t="s">
        <v>25444</v>
      </c>
      <c r="I4023" t="s">
        <v>25445</v>
      </c>
      <c r="J4023" t="s">
        <v>25440</v>
      </c>
      <c r="K4023" t="s">
        <v>25446</v>
      </c>
      <c r="L4023" t="s">
        <v>25440</v>
      </c>
    </row>
    <row r="4024" spans="1:12" x14ac:dyDescent="0.25">
      <c r="A4024">
        <v>717766</v>
      </c>
      <c r="B4024">
        <v>717788</v>
      </c>
      <c r="D4024">
        <v>0</v>
      </c>
      <c r="E4024" t="s">
        <v>25448</v>
      </c>
      <c r="F4024" t="s">
        <v>25449</v>
      </c>
      <c r="G4024" t="s">
        <v>25450</v>
      </c>
      <c r="H4024" t="s">
        <v>25451</v>
      </c>
      <c r="I4024" t="s">
        <v>25452</v>
      </c>
      <c r="J4024" t="s">
        <v>25453</v>
      </c>
      <c r="K4024" t="s">
        <v>25454</v>
      </c>
      <c r="L4024" t="s">
        <v>25447</v>
      </c>
    </row>
    <row r="4025" spans="1:12" x14ac:dyDescent="0.25">
      <c r="A4025">
        <v>717788</v>
      </c>
      <c r="B4025">
        <v>717798</v>
      </c>
      <c r="D4025">
        <v>0</v>
      </c>
      <c r="E4025" t="s">
        <v>25456</v>
      </c>
      <c r="F4025" t="s">
        <v>25457</v>
      </c>
      <c r="G4025" t="s">
        <v>25458</v>
      </c>
      <c r="H4025" t="s">
        <v>25459</v>
      </c>
      <c r="I4025" t="s">
        <v>25460</v>
      </c>
      <c r="J4025" t="s">
        <v>25455</v>
      </c>
      <c r="K4025" t="s">
        <v>25461</v>
      </c>
      <c r="L4025" t="s">
        <v>25455</v>
      </c>
    </row>
    <row r="4026" spans="1:12" x14ac:dyDescent="0.25">
      <c r="A4026">
        <v>717788</v>
      </c>
      <c r="B4026">
        <v>734488</v>
      </c>
      <c r="D4026">
        <v>0</v>
      </c>
      <c r="E4026" t="s">
        <v>25463</v>
      </c>
      <c r="F4026" t="s">
        <v>25464</v>
      </c>
      <c r="G4026" t="s">
        <v>25465</v>
      </c>
      <c r="H4026" t="e" vm="1767">
        <f>_FV(0,"15111955286900935")</f>
        <v>#VALUE!</v>
      </c>
      <c r="I4026" t="s">
        <v>25466</v>
      </c>
      <c r="J4026" t="s">
        <v>25467</v>
      </c>
      <c r="K4026" t="s">
        <v>25468</v>
      </c>
      <c r="L4026" t="s">
        <v>25462</v>
      </c>
    </row>
    <row r="4027" spans="1:12" x14ac:dyDescent="0.25">
      <c r="A4027">
        <v>717798</v>
      </c>
      <c r="B4027">
        <v>734488</v>
      </c>
      <c r="D4027">
        <v>0</v>
      </c>
      <c r="F4027">
        <v>780914</v>
      </c>
      <c r="G4027">
        <v>734488</v>
      </c>
      <c r="H4027" t="s">
        <v>25469</v>
      </c>
      <c r="I4027">
        <v>717798</v>
      </c>
      <c r="J4027" t="s">
        <v>25469</v>
      </c>
      <c r="K4027" t="s">
        <v>25470</v>
      </c>
      <c r="L4027" t="s">
        <v>25469</v>
      </c>
    </row>
    <row r="4028" spans="1:12" x14ac:dyDescent="0.25">
      <c r="A4028">
        <v>717798</v>
      </c>
      <c r="B4028">
        <v>733844</v>
      </c>
      <c r="D4028">
        <v>0</v>
      </c>
      <c r="E4028" t="s">
        <v>25472</v>
      </c>
      <c r="F4028" t="s">
        <v>25473</v>
      </c>
      <c r="G4028" t="s">
        <v>25474</v>
      </c>
      <c r="H4028" t="s">
        <v>25475</v>
      </c>
      <c r="I4028" t="s">
        <v>25476</v>
      </c>
      <c r="J4028" t="s">
        <v>25471</v>
      </c>
      <c r="K4028" t="s">
        <v>25477</v>
      </c>
      <c r="L4028" t="s">
        <v>25471</v>
      </c>
    </row>
    <row r="4029" spans="1:12" x14ac:dyDescent="0.25">
      <c r="A4029">
        <v>717866</v>
      </c>
      <c r="B4029">
        <v>729870</v>
      </c>
      <c r="D4029">
        <v>0</v>
      </c>
      <c r="E4029" t="s">
        <v>25479</v>
      </c>
      <c r="F4029" t="s">
        <v>25480</v>
      </c>
      <c r="G4029" t="s">
        <v>25481</v>
      </c>
      <c r="H4029" t="s">
        <v>25482</v>
      </c>
      <c r="I4029" t="s">
        <v>25483</v>
      </c>
      <c r="J4029" t="s">
        <v>25484</v>
      </c>
      <c r="K4029" t="s">
        <v>25485</v>
      </c>
      <c r="L4029" t="s">
        <v>25478</v>
      </c>
    </row>
    <row r="4030" spans="1:12" x14ac:dyDescent="0.25">
      <c r="A4030">
        <v>717866</v>
      </c>
      <c r="B4030">
        <v>729893</v>
      </c>
      <c r="D4030">
        <v>0</v>
      </c>
      <c r="F4030">
        <v>747420</v>
      </c>
      <c r="G4030">
        <v>717866</v>
      </c>
      <c r="H4030" t="e" vm="327">
        <f>_FV(0,"396")</f>
        <v>#VALUE!</v>
      </c>
      <c r="I4030">
        <v>729893</v>
      </c>
      <c r="J4030" t="s">
        <v>4697</v>
      </c>
      <c r="K4030" t="s">
        <v>25486</v>
      </c>
      <c r="L4030" t="e" vm="327">
        <f>_FV(0,"396")</f>
        <v>#VALUE!</v>
      </c>
    </row>
    <row r="4031" spans="1:12" x14ac:dyDescent="0.25">
      <c r="A4031">
        <v>717866</v>
      </c>
      <c r="B4031">
        <v>733546</v>
      </c>
      <c r="D4031">
        <v>0</v>
      </c>
      <c r="E4031" t="s">
        <v>25488</v>
      </c>
      <c r="F4031" t="s">
        <v>25489</v>
      </c>
      <c r="G4031" t="s">
        <v>25490</v>
      </c>
      <c r="H4031" t="e" vm="1768">
        <f>_FV(0,"008020681700986068")</f>
        <v>#VALUE!</v>
      </c>
      <c r="I4031" t="s">
        <v>25491</v>
      </c>
      <c r="J4031" t="s">
        <v>25492</v>
      </c>
      <c r="K4031" t="s">
        <v>25493</v>
      </c>
      <c r="L4031" t="s">
        <v>25487</v>
      </c>
    </row>
    <row r="4032" spans="1:12" x14ac:dyDescent="0.25">
      <c r="A4032">
        <v>717871</v>
      </c>
      <c r="B4032">
        <v>717890</v>
      </c>
      <c r="D4032">
        <v>0</v>
      </c>
      <c r="E4032" t="s">
        <v>25495</v>
      </c>
      <c r="F4032" t="s">
        <v>25496</v>
      </c>
      <c r="G4032" t="s">
        <v>25497</v>
      </c>
      <c r="H4032" t="s">
        <v>25498</v>
      </c>
      <c r="I4032" t="s">
        <v>25499</v>
      </c>
      <c r="J4032" t="s">
        <v>25494</v>
      </c>
      <c r="K4032" t="s">
        <v>25500</v>
      </c>
      <c r="L4032" t="s">
        <v>25494</v>
      </c>
    </row>
    <row r="4033" spans="1:12" x14ac:dyDescent="0.25">
      <c r="A4033">
        <v>717890</v>
      </c>
      <c r="B4033">
        <v>734737</v>
      </c>
      <c r="D4033">
        <v>0</v>
      </c>
      <c r="E4033" t="s">
        <v>25502</v>
      </c>
      <c r="F4033" t="s">
        <v>25503</v>
      </c>
      <c r="G4033" t="s">
        <v>25504</v>
      </c>
      <c r="H4033" t="s">
        <v>25505</v>
      </c>
      <c r="I4033" t="s">
        <v>25506</v>
      </c>
      <c r="J4033" t="s">
        <v>25501</v>
      </c>
      <c r="K4033" t="s">
        <v>25507</v>
      </c>
      <c r="L4033" t="s">
        <v>25501</v>
      </c>
    </row>
    <row r="4034" spans="1:12" x14ac:dyDescent="0.25">
      <c r="A4034">
        <v>717890</v>
      </c>
      <c r="B4034">
        <v>717937</v>
      </c>
      <c r="D4034">
        <v>0</v>
      </c>
      <c r="E4034" t="s">
        <v>25509</v>
      </c>
      <c r="F4034" t="s">
        <v>25510</v>
      </c>
      <c r="G4034" t="s">
        <v>25511</v>
      </c>
      <c r="H4034" t="e" vm="1769">
        <f>_FV(0,"012328875354040808")</f>
        <v>#VALUE!</v>
      </c>
      <c r="I4034" t="s">
        <v>25512</v>
      </c>
      <c r="J4034" t="s">
        <v>25513</v>
      </c>
      <c r="K4034" t="s">
        <v>25514</v>
      </c>
      <c r="L4034" t="s">
        <v>25508</v>
      </c>
    </row>
    <row r="4035" spans="1:12" x14ac:dyDescent="0.25">
      <c r="A4035">
        <v>717937</v>
      </c>
      <c r="B4035">
        <v>729957</v>
      </c>
      <c r="D4035">
        <v>0</v>
      </c>
      <c r="F4035">
        <v>747508</v>
      </c>
      <c r="G4035">
        <v>729957</v>
      </c>
      <c r="H4035" t="s">
        <v>279</v>
      </c>
      <c r="I4035">
        <v>717937</v>
      </c>
      <c r="J4035" t="s">
        <v>279</v>
      </c>
      <c r="K4035" t="s">
        <v>25515</v>
      </c>
      <c r="L4035" t="s">
        <v>279</v>
      </c>
    </row>
    <row r="4036" spans="1:12" x14ac:dyDescent="0.25">
      <c r="A4036">
        <v>717937</v>
      </c>
      <c r="B4036">
        <v>729930</v>
      </c>
      <c r="D4036">
        <v>0</v>
      </c>
      <c r="E4036" t="s">
        <v>25517</v>
      </c>
      <c r="F4036" t="s">
        <v>25518</v>
      </c>
      <c r="G4036" t="s">
        <v>25519</v>
      </c>
      <c r="H4036" t="s">
        <v>25520</v>
      </c>
      <c r="I4036" t="s">
        <v>25521</v>
      </c>
      <c r="J4036" t="s">
        <v>25522</v>
      </c>
      <c r="K4036" t="s">
        <v>25523</v>
      </c>
      <c r="L4036" t="s">
        <v>25516</v>
      </c>
    </row>
    <row r="4037" spans="1:12" x14ac:dyDescent="0.25">
      <c r="A4037">
        <v>718213</v>
      </c>
      <c r="B4037">
        <v>718222</v>
      </c>
      <c r="D4037">
        <v>0</v>
      </c>
      <c r="E4037" t="s">
        <v>25525</v>
      </c>
      <c r="F4037" t="s">
        <v>25526</v>
      </c>
      <c r="G4037" t="s">
        <v>25527</v>
      </c>
      <c r="H4037" t="e" vm="1770">
        <f>_FV(0,"0001241625096219917")</f>
        <v>#VALUE!</v>
      </c>
      <c r="I4037" t="s">
        <v>25528</v>
      </c>
      <c r="J4037" t="s">
        <v>25529</v>
      </c>
      <c r="K4037" t="s">
        <v>25530</v>
      </c>
      <c r="L4037" t="s">
        <v>25524</v>
      </c>
    </row>
    <row r="4038" spans="1:12" x14ac:dyDescent="0.25">
      <c r="A4038">
        <v>718824</v>
      </c>
      <c r="B4038">
        <v>719186</v>
      </c>
      <c r="D4038">
        <v>0</v>
      </c>
      <c r="F4038">
        <v>767053</v>
      </c>
      <c r="G4038">
        <v>719186</v>
      </c>
      <c r="H4038" t="s">
        <v>3279</v>
      </c>
      <c r="I4038">
        <v>718824</v>
      </c>
      <c r="J4038" t="s">
        <v>3279</v>
      </c>
      <c r="K4038" t="s">
        <v>25531</v>
      </c>
      <c r="L4038" t="s">
        <v>3279</v>
      </c>
    </row>
    <row r="4039" spans="1:12" x14ac:dyDescent="0.25">
      <c r="A4039">
        <v>718824</v>
      </c>
      <c r="B4039">
        <v>719129</v>
      </c>
      <c r="D4039">
        <v>0</v>
      </c>
      <c r="F4039">
        <v>771197</v>
      </c>
      <c r="G4039">
        <v>719129</v>
      </c>
      <c r="H4039" t="s">
        <v>2841</v>
      </c>
      <c r="I4039">
        <v>718824</v>
      </c>
      <c r="J4039" t="s">
        <v>2841</v>
      </c>
      <c r="K4039" t="s">
        <v>25532</v>
      </c>
      <c r="L4039" t="s">
        <v>2841</v>
      </c>
    </row>
    <row r="4040" spans="1:12" x14ac:dyDescent="0.25">
      <c r="A4040">
        <v>719129</v>
      </c>
      <c r="B4040">
        <v>719186</v>
      </c>
      <c r="D4040">
        <v>0</v>
      </c>
      <c r="E4040" t="s">
        <v>25534</v>
      </c>
      <c r="F4040" t="s">
        <v>25535</v>
      </c>
      <c r="G4040" t="s">
        <v>25536</v>
      </c>
      <c r="H4040" t="e" vm="1771">
        <f>_FV(0,"04076566912711498")</f>
        <v>#VALUE!</v>
      </c>
      <c r="I4040" t="s">
        <v>25537</v>
      </c>
      <c r="J4040" t="s">
        <v>25538</v>
      </c>
      <c r="K4040" t="s">
        <v>25539</v>
      </c>
      <c r="L4040" t="s">
        <v>25533</v>
      </c>
    </row>
    <row r="4041" spans="1:12" x14ac:dyDescent="0.25">
      <c r="A4041">
        <v>720042</v>
      </c>
      <c r="B4041">
        <v>734847</v>
      </c>
      <c r="D4041">
        <v>0</v>
      </c>
      <c r="F4041">
        <v>753703</v>
      </c>
      <c r="G4041">
        <v>734847</v>
      </c>
      <c r="H4041" t="s">
        <v>1536</v>
      </c>
      <c r="I4041">
        <v>720042</v>
      </c>
      <c r="J4041" t="s">
        <v>1536</v>
      </c>
      <c r="K4041" t="s">
        <v>25540</v>
      </c>
      <c r="L4041" t="s">
        <v>1536</v>
      </c>
    </row>
    <row r="4042" spans="1:12" x14ac:dyDescent="0.25">
      <c r="A4042">
        <v>720042</v>
      </c>
      <c r="B4042">
        <v>720065</v>
      </c>
      <c r="D4042">
        <v>0</v>
      </c>
      <c r="E4042" t="s">
        <v>25542</v>
      </c>
      <c r="F4042" t="s">
        <v>25543</v>
      </c>
      <c r="G4042" t="s">
        <v>25544</v>
      </c>
      <c r="H4042" t="s">
        <v>25545</v>
      </c>
      <c r="I4042" t="s">
        <v>25546</v>
      </c>
      <c r="J4042" t="s">
        <v>25547</v>
      </c>
      <c r="K4042" t="s">
        <v>25548</v>
      </c>
      <c r="L4042" t="s">
        <v>25541</v>
      </c>
    </row>
    <row r="4043" spans="1:12" x14ac:dyDescent="0.25">
      <c r="A4043">
        <v>720042</v>
      </c>
      <c r="B4043">
        <v>720186</v>
      </c>
      <c r="D4043">
        <v>0</v>
      </c>
      <c r="E4043" t="s">
        <v>25550</v>
      </c>
      <c r="F4043" t="s">
        <v>25551</v>
      </c>
      <c r="G4043" t="s">
        <v>25552</v>
      </c>
      <c r="H4043" t="e" vm="1772">
        <f>_FV(0,"008160467526279743")</f>
        <v>#VALUE!</v>
      </c>
      <c r="I4043" t="s">
        <v>25553</v>
      </c>
      <c r="J4043" t="s">
        <v>9276</v>
      </c>
      <c r="K4043" t="s">
        <v>25554</v>
      </c>
      <c r="L4043" t="s">
        <v>25549</v>
      </c>
    </row>
    <row r="4044" spans="1:12" x14ac:dyDescent="0.25">
      <c r="A4044">
        <v>720042</v>
      </c>
      <c r="B4044">
        <v>734782</v>
      </c>
      <c r="D4044">
        <v>0</v>
      </c>
      <c r="F4044">
        <v>753607</v>
      </c>
      <c r="G4044">
        <v>720042</v>
      </c>
      <c r="H4044" t="e" vm="268">
        <f>_FV(0,"022")</f>
        <v>#VALUE!</v>
      </c>
      <c r="I4044">
        <v>734782</v>
      </c>
      <c r="J4044" t="s">
        <v>3940</v>
      </c>
      <c r="K4044" t="s">
        <v>25555</v>
      </c>
      <c r="L4044" t="e" vm="268">
        <f>_FV(0,"022")</f>
        <v>#VALUE!</v>
      </c>
    </row>
    <row r="4045" spans="1:12" x14ac:dyDescent="0.25">
      <c r="A4045">
        <v>720065</v>
      </c>
      <c r="B4045">
        <v>720071</v>
      </c>
      <c r="D4045">
        <v>0</v>
      </c>
      <c r="E4045" t="s">
        <v>25556</v>
      </c>
      <c r="F4045">
        <v>734045</v>
      </c>
      <c r="G4045">
        <v>720065</v>
      </c>
      <c r="H4045" t="e" vm="1300">
        <f>_FV(0,"013")</f>
        <v>#VALUE!</v>
      </c>
      <c r="I4045">
        <v>720071</v>
      </c>
      <c r="J4045" t="s">
        <v>30</v>
      </c>
      <c r="K4045" t="s">
        <v>25557</v>
      </c>
      <c r="L4045" t="e" vm="1300">
        <f>_FV(0,"013")</f>
        <v>#VALUE!</v>
      </c>
    </row>
    <row r="4046" spans="1:12" x14ac:dyDescent="0.25">
      <c r="A4046">
        <v>720071</v>
      </c>
      <c r="B4046">
        <v>720094</v>
      </c>
      <c r="D4046">
        <v>0</v>
      </c>
      <c r="E4046" t="s">
        <v>25559</v>
      </c>
      <c r="F4046" t="s">
        <v>25560</v>
      </c>
      <c r="G4046" t="s">
        <v>25561</v>
      </c>
      <c r="H4046" t="e" vm="1773">
        <f>_FV(0,"00477047836226216")</f>
        <v>#VALUE!</v>
      </c>
      <c r="I4046" t="s">
        <v>25562</v>
      </c>
      <c r="J4046" t="s">
        <v>25563</v>
      </c>
      <c r="K4046" t="s">
        <v>25564</v>
      </c>
      <c r="L4046" t="s">
        <v>25558</v>
      </c>
    </row>
    <row r="4047" spans="1:12" x14ac:dyDescent="0.25">
      <c r="A4047">
        <v>720094</v>
      </c>
      <c r="B4047">
        <v>720174</v>
      </c>
      <c r="D4047">
        <v>0</v>
      </c>
      <c r="F4047">
        <v>732941</v>
      </c>
      <c r="G4047">
        <v>720174</v>
      </c>
      <c r="H4047" t="s">
        <v>3317</v>
      </c>
      <c r="I4047">
        <v>720094</v>
      </c>
      <c r="J4047" t="s">
        <v>3317</v>
      </c>
      <c r="K4047" t="s">
        <v>25565</v>
      </c>
      <c r="L4047" t="s">
        <v>3317</v>
      </c>
    </row>
    <row r="4048" spans="1:12" x14ac:dyDescent="0.25">
      <c r="A4048">
        <v>720094</v>
      </c>
      <c r="B4048">
        <v>734047</v>
      </c>
      <c r="D4048">
        <v>0</v>
      </c>
      <c r="F4048">
        <v>753615</v>
      </c>
      <c r="G4048">
        <v>734047</v>
      </c>
      <c r="H4048" t="s">
        <v>2916</v>
      </c>
      <c r="I4048">
        <v>720094</v>
      </c>
      <c r="J4048" t="s">
        <v>2916</v>
      </c>
      <c r="K4048" t="s">
        <v>25566</v>
      </c>
      <c r="L4048" t="s">
        <v>2916</v>
      </c>
    </row>
    <row r="4049" spans="1:12" x14ac:dyDescent="0.25">
      <c r="A4049">
        <v>720094</v>
      </c>
      <c r="B4049">
        <v>734040</v>
      </c>
      <c r="D4049">
        <v>0</v>
      </c>
      <c r="F4049">
        <v>753695</v>
      </c>
      <c r="G4049">
        <v>720094</v>
      </c>
      <c r="H4049" t="e" vm="30">
        <f>_FV(0,"027")</f>
        <v>#VALUE!</v>
      </c>
      <c r="I4049">
        <v>734040</v>
      </c>
      <c r="J4049" t="s">
        <v>467</v>
      </c>
      <c r="K4049" t="s">
        <v>25567</v>
      </c>
      <c r="L4049" t="e" vm="30">
        <f>_FV(0,"027")</f>
        <v>#VALUE!</v>
      </c>
    </row>
    <row r="4050" spans="1:12" x14ac:dyDescent="0.25">
      <c r="A4050">
        <v>720174</v>
      </c>
      <c r="B4050">
        <v>720186</v>
      </c>
      <c r="D4050">
        <v>0</v>
      </c>
      <c r="E4050" t="s">
        <v>25569</v>
      </c>
      <c r="F4050" t="s">
        <v>25570</v>
      </c>
      <c r="G4050" t="s">
        <v>25571</v>
      </c>
      <c r="H4050" t="e" vm="1774">
        <f>_FV(0,"0014467460216363833")</f>
        <v>#VALUE!</v>
      </c>
      <c r="I4050" t="s">
        <v>25572</v>
      </c>
      <c r="J4050" t="s">
        <v>25573</v>
      </c>
      <c r="K4050" t="s">
        <v>25574</v>
      </c>
      <c r="L4050" t="s">
        <v>25568</v>
      </c>
    </row>
    <row r="4051" spans="1:12" x14ac:dyDescent="0.25">
      <c r="A4051">
        <v>720174</v>
      </c>
      <c r="B4051">
        <v>720217</v>
      </c>
      <c r="D4051">
        <v>0</v>
      </c>
      <c r="E4051" t="s">
        <v>25576</v>
      </c>
      <c r="F4051" t="s">
        <v>25577</v>
      </c>
      <c r="G4051" t="s">
        <v>25578</v>
      </c>
      <c r="H4051" t="e" vm="1775">
        <f>_FV(0,"004755213472009073")</f>
        <v>#VALUE!</v>
      </c>
      <c r="I4051" t="s">
        <v>25579</v>
      </c>
      <c r="J4051" t="s">
        <v>25580</v>
      </c>
      <c r="K4051" t="s">
        <v>25581</v>
      </c>
      <c r="L4051" t="s">
        <v>25575</v>
      </c>
    </row>
    <row r="4052" spans="1:12" x14ac:dyDescent="0.25">
      <c r="A4052">
        <v>720186</v>
      </c>
      <c r="B4052">
        <v>720220</v>
      </c>
      <c r="D4052">
        <v>0</v>
      </c>
      <c r="E4052" t="s">
        <v>25583</v>
      </c>
      <c r="F4052" t="s">
        <v>25584</v>
      </c>
      <c r="G4052" t="s">
        <v>25585</v>
      </c>
      <c r="H4052" t="s">
        <v>25586</v>
      </c>
      <c r="I4052" t="s">
        <v>25587</v>
      </c>
      <c r="J4052" t="s">
        <v>25582</v>
      </c>
      <c r="K4052" t="s">
        <v>25588</v>
      </c>
      <c r="L4052" t="s">
        <v>25582</v>
      </c>
    </row>
    <row r="4053" spans="1:12" x14ac:dyDescent="0.25">
      <c r="A4053">
        <v>720217</v>
      </c>
      <c r="B4053">
        <v>720241</v>
      </c>
      <c r="D4053">
        <v>0</v>
      </c>
      <c r="F4053">
        <v>735318</v>
      </c>
      <c r="G4053">
        <v>720241</v>
      </c>
      <c r="H4053" t="e" vm="1084">
        <f>_FV(0,"018")</f>
        <v>#VALUE!</v>
      </c>
      <c r="I4053">
        <v>720217</v>
      </c>
      <c r="J4053" t="s">
        <v>697</v>
      </c>
      <c r="K4053" t="s">
        <v>25589</v>
      </c>
      <c r="L4053" t="e" vm="1084">
        <f>_FV(0,"018")</f>
        <v>#VALUE!</v>
      </c>
    </row>
    <row r="4054" spans="1:12" x14ac:dyDescent="0.25">
      <c r="A4054">
        <v>720217</v>
      </c>
      <c r="B4054">
        <v>720220</v>
      </c>
      <c r="D4054">
        <v>0</v>
      </c>
      <c r="F4054">
        <v>735390</v>
      </c>
      <c r="G4054">
        <v>720217</v>
      </c>
      <c r="H4054" t="s">
        <v>226</v>
      </c>
      <c r="I4054">
        <v>720220</v>
      </c>
      <c r="J4054" t="s">
        <v>226</v>
      </c>
      <c r="K4054" t="s">
        <v>25590</v>
      </c>
      <c r="L4054" t="s">
        <v>226</v>
      </c>
    </row>
    <row r="4055" spans="1:12" x14ac:dyDescent="0.25">
      <c r="A4055">
        <v>720220</v>
      </c>
      <c r="B4055">
        <v>720297</v>
      </c>
      <c r="D4055">
        <v>0</v>
      </c>
      <c r="E4055" t="s">
        <v>25592</v>
      </c>
      <c r="F4055" t="s">
        <v>25593</v>
      </c>
      <c r="G4055" t="s">
        <v>25594</v>
      </c>
      <c r="H4055" t="s">
        <v>25595</v>
      </c>
      <c r="I4055" t="s">
        <v>25596</v>
      </c>
      <c r="J4055" t="s">
        <v>25591</v>
      </c>
      <c r="K4055" t="s">
        <v>25597</v>
      </c>
      <c r="L4055" t="s">
        <v>25591</v>
      </c>
    </row>
    <row r="4056" spans="1:12" x14ac:dyDescent="0.25">
      <c r="A4056">
        <v>720241</v>
      </c>
      <c r="B4056">
        <v>720297</v>
      </c>
      <c r="D4056">
        <v>0</v>
      </c>
      <c r="F4056">
        <v>735326</v>
      </c>
      <c r="G4056">
        <v>720297</v>
      </c>
      <c r="H4056" t="e" vm="1300">
        <f>_FV(0,"013")</f>
        <v>#VALUE!</v>
      </c>
      <c r="I4056">
        <v>720241</v>
      </c>
      <c r="J4056" t="s">
        <v>30</v>
      </c>
      <c r="K4056" t="s">
        <v>25598</v>
      </c>
      <c r="L4056" t="e" vm="1300">
        <f>_FV(0,"013")</f>
        <v>#VALUE!</v>
      </c>
    </row>
    <row r="4057" spans="1:12" x14ac:dyDescent="0.25">
      <c r="A4057">
        <v>720241</v>
      </c>
      <c r="B4057">
        <v>734142</v>
      </c>
      <c r="D4057">
        <v>0</v>
      </c>
      <c r="E4057" t="s">
        <v>25600</v>
      </c>
      <c r="F4057" t="s">
        <v>25601</v>
      </c>
      <c r="G4057" t="s">
        <v>25602</v>
      </c>
      <c r="H4057" t="e" vm="1776">
        <f>_FV(0,"0038316269563665895")</f>
        <v>#VALUE!</v>
      </c>
      <c r="I4057" t="s">
        <v>25603</v>
      </c>
      <c r="J4057" t="s">
        <v>25604</v>
      </c>
      <c r="K4057" t="s">
        <v>25605</v>
      </c>
      <c r="L4057" t="s">
        <v>25599</v>
      </c>
    </row>
    <row r="4058" spans="1:12" x14ac:dyDescent="0.25">
      <c r="A4058">
        <v>720297</v>
      </c>
      <c r="B4058">
        <v>734870</v>
      </c>
      <c r="C4058" t="s">
        <v>25607</v>
      </c>
      <c r="D4058">
        <v>0</v>
      </c>
      <c r="E4058" t="s">
        <v>25608</v>
      </c>
      <c r="F4058" t="s">
        <v>25609</v>
      </c>
      <c r="G4058" t="s">
        <v>25610</v>
      </c>
      <c r="H4058" t="s">
        <v>25611</v>
      </c>
      <c r="I4058" t="s">
        <v>25612</v>
      </c>
      <c r="J4058" t="s">
        <v>25613</v>
      </c>
      <c r="K4058" t="s">
        <v>25614</v>
      </c>
      <c r="L4058" t="s">
        <v>25606</v>
      </c>
    </row>
    <row r="4059" spans="1:12" x14ac:dyDescent="0.25">
      <c r="A4059">
        <v>720318</v>
      </c>
      <c r="B4059">
        <v>734879</v>
      </c>
      <c r="D4059">
        <v>0</v>
      </c>
      <c r="E4059" t="s">
        <v>25616</v>
      </c>
      <c r="F4059" t="s">
        <v>25617</v>
      </c>
      <c r="G4059" t="s">
        <v>25618</v>
      </c>
      <c r="H4059" t="e" vm="1777">
        <f>_FV(0,"006654239689466142")</f>
        <v>#VALUE!</v>
      </c>
      <c r="I4059" t="s">
        <v>25619</v>
      </c>
      <c r="J4059" t="s">
        <v>25620</v>
      </c>
      <c r="K4059" t="s">
        <v>25621</v>
      </c>
      <c r="L4059" t="s">
        <v>25615</v>
      </c>
    </row>
    <row r="4060" spans="1:12" x14ac:dyDescent="0.25">
      <c r="A4060">
        <v>720318</v>
      </c>
      <c r="B4060">
        <v>734891</v>
      </c>
      <c r="D4060">
        <v>0</v>
      </c>
      <c r="E4060" t="s">
        <v>25623</v>
      </c>
      <c r="F4060" t="s">
        <v>25624</v>
      </c>
      <c r="G4060" t="s">
        <v>25625</v>
      </c>
      <c r="H4060" t="e" vm="1778">
        <f>_FV(0,"0007901373156493977")</f>
        <v>#VALUE!</v>
      </c>
      <c r="I4060" t="s">
        <v>25626</v>
      </c>
      <c r="J4060" t="s">
        <v>25627</v>
      </c>
      <c r="K4060" t="s">
        <v>25628</v>
      </c>
      <c r="L4060" t="s">
        <v>25622</v>
      </c>
    </row>
    <row r="4061" spans="1:12" x14ac:dyDescent="0.25">
      <c r="A4061">
        <v>720318</v>
      </c>
      <c r="B4061">
        <v>734173</v>
      </c>
      <c r="D4061">
        <v>0</v>
      </c>
      <c r="E4061" t="s">
        <v>25630</v>
      </c>
      <c r="F4061" t="s">
        <v>25631</v>
      </c>
      <c r="G4061" t="s">
        <v>25632</v>
      </c>
      <c r="H4061" t="s">
        <v>25633</v>
      </c>
      <c r="I4061" t="s">
        <v>25634</v>
      </c>
      <c r="J4061" t="s">
        <v>25635</v>
      </c>
      <c r="K4061" t="s">
        <v>25636</v>
      </c>
      <c r="L4061" t="s">
        <v>25629</v>
      </c>
    </row>
    <row r="4062" spans="1:12" x14ac:dyDescent="0.25">
      <c r="A4062">
        <v>720333</v>
      </c>
      <c r="B4062">
        <v>721706</v>
      </c>
      <c r="D4062">
        <v>1</v>
      </c>
      <c r="F4062">
        <v>735398</v>
      </c>
      <c r="G4062">
        <v>721706</v>
      </c>
      <c r="H4062" t="e" vm="18">
        <f>_FV(0,"004")</f>
        <v>#VALUE!</v>
      </c>
      <c r="I4062">
        <v>720333</v>
      </c>
      <c r="J4062" t="s">
        <v>239</v>
      </c>
      <c r="K4062" t="s">
        <v>25637</v>
      </c>
      <c r="L4062" t="e" vm="18">
        <f>_FV(0,"004")</f>
        <v>#VALUE!</v>
      </c>
    </row>
    <row r="4063" spans="1:12" x14ac:dyDescent="0.25">
      <c r="A4063">
        <v>720333</v>
      </c>
      <c r="B4063">
        <v>734896</v>
      </c>
      <c r="D4063">
        <v>0</v>
      </c>
      <c r="E4063" t="s">
        <v>25639</v>
      </c>
      <c r="F4063" t="s">
        <v>25640</v>
      </c>
      <c r="G4063" t="s">
        <v>25641</v>
      </c>
      <c r="H4063" t="e" vm="1779">
        <f>_FV(0,"00269280549601853")</f>
        <v>#VALUE!</v>
      </c>
      <c r="I4063" t="s">
        <v>25642</v>
      </c>
      <c r="J4063" t="s">
        <v>25643</v>
      </c>
      <c r="K4063" t="s">
        <v>25644</v>
      </c>
      <c r="L4063" t="s">
        <v>25638</v>
      </c>
    </row>
    <row r="4064" spans="1:12" x14ac:dyDescent="0.25">
      <c r="A4064">
        <v>720333</v>
      </c>
      <c r="B4064">
        <v>720427</v>
      </c>
      <c r="D4064">
        <v>0</v>
      </c>
      <c r="E4064" t="s">
        <v>25646</v>
      </c>
      <c r="F4064" t="s">
        <v>25647</v>
      </c>
      <c r="G4064" t="s">
        <v>25648</v>
      </c>
      <c r="H4064" t="e" vm="1780">
        <f>_FV(0,"009824215530784029")</f>
        <v>#VALUE!</v>
      </c>
      <c r="I4064" t="s">
        <v>25649</v>
      </c>
      <c r="J4064" t="s">
        <v>25650</v>
      </c>
      <c r="K4064" t="s">
        <v>25651</v>
      </c>
      <c r="L4064" t="s">
        <v>25645</v>
      </c>
    </row>
    <row r="4065" spans="1:12" x14ac:dyDescent="0.25">
      <c r="A4065">
        <v>720356</v>
      </c>
      <c r="B4065">
        <v>720427</v>
      </c>
      <c r="D4065">
        <v>1</v>
      </c>
      <c r="F4065">
        <v>735454</v>
      </c>
      <c r="G4065">
        <v>720427</v>
      </c>
      <c r="H4065" t="s">
        <v>239</v>
      </c>
      <c r="I4065">
        <v>720356</v>
      </c>
      <c r="J4065" t="s">
        <v>239</v>
      </c>
      <c r="K4065" t="s">
        <v>25652</v>
      </c>
      <c r="L4065" t="s">
        <v>239</v>
      </c>
    </row>
    <row r="4066" spans="1:12" x14ac:dyDescent="0.25">
      <c r="A4066">
        <v>720356</v>
      </c>
      <c r="B4066">
        <v>734214</v>
      </c>
      <c r="D4066">
        <v>0</v>
      </c>
      <c r="E4066" t="s">
        <v>25654</v>
      </c>
      <c r="F4066" t="s">
        <v>25655</v>
      </c>
      <c r="G4066" t="s">
        <v>25656</v>
      </c>
      <c r="H4066" t="e" vm="1781">
        <f>_FV(0,"0011224355754008584")</f>
        <v>#VALUE!</v>
      </c>
      <c r="I4066" t="s">
        <v>25657</v>
      </c>
      <c r="J4066" t="s">
        <v>25658</v>
      </c>
      <c r="K4066" t="s">
        <v>25659</v>
      </c>
      <c r="L4066" t="s">
        <v>25653</v>
      </c>
    </row>
    <row r="4067" spans="1:12" x14ac:dyDescent="0.25">
      <c r="A4067">
        <v>720356</v>
      </c>
      <c r="B4067">
        <v>721719</v>
      </c>
      <c r="D4067">
        <v>0</v>
      </c>
      <c r="E4067" t="s">
        <v>25661</v>
      </c>
      <c r="F4067" t="s">
        <v>25662</v>
      </c>
      <c r="G4067" t="s">
        <v>25663</v>
      </c>
      <c r="H4067" t="s">
        <v>25664</v>
      </c>
      <c r="I4067" t="s">
        <v>25665</v>
      </c>
      <c r="J4067" t="s">
        <v>25660</v>
      </c>
      <c r="K4067" t="s">
        <v>25666</v>
      </c>
      <c r="L4067" t="s">
        <v>25660</v>
      </c>
    </row>
    <row r="4068" spans="1:12" x14ac:dyDescent="0.25">
      <c r="A4068">
        <v>720386</v>
      </c>
      <c r="B4068">
        <v>744348</v>
      </c>
      <c r="D4068">
        <v>0</v>
      </c>
      <c r="F4068">
        <v>765230</v>
      </c>
      <c r="G4068">
        <v>744348</v>
      </c>
      <c r="H4068" t="s">
        <v>5804</v>
      </c>
      <c r="I4068">
        <v>720386</v>
      </c>
      <c r="J4068" t="s">
        <v>5804</v>
      </c>
      <c r="K4068" t="s">
        <v>25667</v>
      </c>
      <c r="L4068" t="s">
        <v>5804</v>
      </c>
    </row>
    <row r="4069" spans="1:12" x14ac:dyDescent="0.25">
      <c r="A4069">
        <v>720386</v>
      </c>
      <c r="B4069">
        <v>720427</v>
      </c>
      <c r="D4069">
        <v>0</v>
      </c>
      <c r="E4069" t="s">
        <v>25669</v>
      </c>
      <c r="F4069" t="s">
        <v>25670</v>
      </c>
      <c r="G4069" t="s">
        <v>25671</v>
      </c>
      <c r="H4069" t="e" vm="1782">
        <f>_FV(0,"0029946611233183746")</f>
        <v>#VALUE!</v>
      </c>
      <c r="I4069" t="s">
        <v>25672</v>
      </c>
      <c r="J4069" t="s">
        <v>25673</v>
      </c>
      <c r="K4069" t="s">
        <v>25674</v>
      </c>
      <c r="L4069" t="s">
        <v>25668</v>
      </c>
    </row>
    <row r="4070" spans="1:12" x14ac:dyDescent="0.25">
      <c r="A4070">
        <v>720386</v>
      </c>
      <c r="B4070">
        <v>734905</v>
      </c>
      <c r="D4070">
        <v>0</v>
      </c>
      <c r="F4070">
        <v>753791</v>
      </c>
      <c r="G4070">
        <v>720386</v>
      </c>
      <c r="H4070" t="e" vm="1783">
        <f>_FV(0,"856")</f>
        <v>#VALUE!</v>
      </c>
      <c r="I4070">
        <v>734905</v>
      </c>
      <c r="J4070" t="s">
        <v>25675</v>
      </c>
      <c r="K4070" t="s">
        <v>25676</v>
      </c>
      <c r="L4070" t="e" vm="1783">
        <f>_FV(0,"856")</f>
        <v>#VALUE!</v>
      </c>
    </row>
    <row r="4071" spans="1:12" x14ac:dyDescent="0.25">
      <c r="A4071">
        <v>720386</v>
      </c>
      <c r="B4071">
        <v>1159929</v>
      </c>
      <c r="D4071">
        <v>0</v>
      </c>
      <c r="E4071" t="s">
        <v>25678</v>
      </c>
      <c r="F4071" t="s">
        <v>25679</v>
      </c>
      <c r="G4071" t="s">
        <v>25680</v>
      </c>
      <c r="H4071" t="e" vm="1784">
        <f>_FV(-2,"6680263469498567e")-5</f>
        <v>#VALUE!</v>
      </c>
      <c r="I4071" t="s">
        <v>25681</v>
      </c>
      <c r="J4071" t="s">
        <v>25682</v>
      </c>
      <c r="K4071" t="s">
        <v>25683</v>
      </c>
      <c r="L4071" t="s">
        <v>25677</v>
      </c>
    </row>
    <row r="4072" spans="1:12" x14ac:dyDescent="0.25">
      <c r="A4072">
        <v>720468</v>
      </c>
      <c r="B4072">
        <v>720511</v>
      </c>
      <c r="D4072">
        <v>0</v>
      </c>
      <c r="E4072" t="s">
        <v>25685</v>
      </c>
      <c r="F4072" t="s">
        <v>25686</v>
      </c>
      <c r="G4072" t="s">
        <v>25687</v>
      </c>
      <c r="H4072" t="s">
        <v>25688</v>
      </c>
      <c r="I4072" t="s">
        <v>25689</v>
      </c>
      <c r="J4072" t="s">
        <v>25684</v>
      </c>
      <c r="K4072" t="s">
        <v>25690</v>
      </c>
      <c r="L4072" t="s">
        <v>25684</v>
      </c>
    </row>
    <row r="4073" spans="1:12" x14ac:dyDescent="0.25">
      <c r="A4073">
        <v>720468</v>
      </c>
      <c r="B4073">
        <v>720476</v>
      </c>
      <c r="D4073">
        <v>0</v>
      </c>
      <c r="E4073" t="s">
        <v>25692</v>
      </c>
      <c r="F4073" t="s">
        <v>25693</v>
      </c>
      <c r="G4073" t="s">
        <v>25694</v>
      </c>
      <c r="H4073" t="e" vm="1785">
        <f>_FV(0,"011945766589375847")</f>
        <v>#VALUE!</v>
      </c>
      <c r="I4073" t="s">
        <v>25695</v>
      </c>
      <c r="J4073" t="s">
        <v>25696</v>
      </c>
      <c r="K4073" t="s">
        <v>25697</v>
      </c>
      <c r="L4073" t="s">
        <v>25691</v>
      </c>
    </row>
    <row r="4074" spans="1:12" x14ac:dyDescent="0.25">
      <c r="A4074">
        <v>720468</v>
      </c>
      <c r="B4074">
        <v>734246</v>
      </c>
      <c r="D4074">
        <v>0</v>
      </c>
      <c r="E4074" t="s">
        <v>25699</v>
      </c>
      <c r="F4074" t="s">
        <v>25700</v>
      </c>
      <c r="G4074" t="s">
        <v>25701</v>
      </c>
      <c r="H4074" t="s">
        <v>25702</v>
      </c>
      <c r="I4074" t="s">
        <v>25703</v>
      </c>
      <c r="J4074" t="s">
        <v>25704</v>
      </c>
      <c r="K4074" t="s">
        <v>25705</v>
      </c>
      <c r="L4074" t="s">
        <v>25698</v>
      </c>
    </row>
    <row r="4075" spans="1:12" x14ac:dyDescent="0.25">
      <c r="A4075">
        <v>720476</v>
      </c>
      <c r="B4075">
        <v>720544</v>
      </c>
      <c r="D4075">
        <v>0</v>
      </c>
      <c r="F4075">
        <v>1239009</v>
      </c>
      <c r="G4075">
        <v>720544</v>
      </c>
      <c r="H4075" t="s">
        <v>3378</v>
      </c>
      <c r="I4075">
        <v>720476</v>
      </c>
      <c r="J4075" t="s">
        <v>3378</v>
      </c>
      <c r="K4075" t="s">
        <v>25706</v>
      </c>
      <c r="L4075" t="s">
        <v>3378</v>
      </c>
    </row>
    <row r="4076" spans="1:12" x14ac:dyDescent="0.25">
      <c r="A4076">
        <v>720476</v>
      </c>
      <c r="B4076">
        <v>1159929</v>
      </c>
      <c r="D4076">
        <v>0</v>
      </c>
      <c r="F4076">
        <v>1238997</v>
      </c>
      <c r="G4076">
        <v>720476</v>
      </c>
      <c r="H4076" t="s">
        <v>6474</v>
      </c>
      <c r="I4076">
        <v>1159929</v>
      </c>
      <c r="J4076" t="s">
        <v>6474</v>
      </c>
      <c r="K4076" t="s">
        <v>25707</v>
      </c>
      <c r="L4076" t="s">
        <v>6474</v>
      </c>
    </row>
    <row r="4077" spans="1:12" x14ac:dyDescent="0.25">
      <c r="A4077">
        <v>720511</v>
      </c>
      <c r="B4077">
        <v>720577</v>
      </c>
      <c r="D4077">
        <v>0</v>
      </c>
      <c r="E4077" t="s">
        <v>25709</v>
      </c>
      <c r="F4077" t="s">
        <v>25710</v>
      </c>
      <c r="G4077" t="s">
        <v>25711</v>
      </c>
      <c r="H4077" t="s">
        <v>25712</v>
      </c>
      <c r="I4077" t="s">
        <v>25713</v>
      </c>
      <c r="J4077" t="s">
        <v>25714</v>
      </c>
      <c r="K4077" t="s">
        <v>25715</v>
      </c>
      <c r="L4077" t="s">
        <v>25708</v>
      </c>
    </row>
    <row r="4078" spans="1:12" x14ac:dyDescent="0.25">
      <c r="A4078">
        <v>720511</v>
      </c>
      <c r="B4078">
        <v>720519</v>
      </c>
      <c r="D4078">
        <v>0</v>
      </c>
      <c r="F4078">
        <v>749060</v>
      </c>
      <c r="G4078">
        <v>720511</v>
      </c>
      <c r="H4078" t="e" vm="350">
        <f>_FV(0,"009")</f>
        <v>#VALUE!</v>
      </c>
      <c r="I4078">
        <v>720519</v>
      </c>
      <c r="J4078" t="s">
        <v>2068</v>
      </c>
      <c r="K4078" t="s">
        <v>25716</v>
      </c>
      <c r="L4078" t="e" vm="350">
        <f>_FV(0,"009")</f>
        <v>#VALUE!</v>
      </c>
    </row>
    <row r="4079" spans="1:12" x14ac:dyDescent="0.25">
      <c r="A4079">
        <v>720519</v>
      </c>
      <c r="B4079">
        <v>720544</v>
      </c>
      <c r="D4079">
        <v>0</v>
      </c>
      <c r="E4079" t="s">
        <v>25718</v>
      </c>
      <c r="F4079" t="s">
        <v>25719</v>
      </c>
      <c r="G4079" t="s">
        <v>25720</v>
      </c>
      <c r="H4079" t="s">
        <v>25721</v>
      </c>
      <c r="I4079" t="s">
        <v>25722</v>
      </c>
      <c r="J4079" t="s">
        <v>25723</v>
      </c>
      <c r="K4079" t="s">
        <v>25724</v>
      </c>
      <c r="L4079" t="s">
        <v>25717</v>
      </c>
    </row>
    <row r="4080" spans="1:12" x14ac:dyDescent="0.25">
      <c r="A4080">
        <v>720519</v>
      </c>
      <c r="B4080">
        <v>720577</v>
      </c>
      <c r="D4080">
        <v>0</v>
      </c>
      <c r="F4080">
        <v>749052</v>
      </c>
      <c r="G4080">
        <v>720519</v>
      </c>
      <c r="H4080" t="e" vm="109">
        <f>_FV(0,"01")</f>
        <v>#VALUE!</v>
      </c>
      <c r="I4080">
        <v>720577</v>
      </c>
      <c r="J4080" t="s">
        <v>761</v>
      </c>
      <c r="K4080" t="s">
        <v>25725</v>
      </c>
      <c r="L4080" t="e" vm="109">
        <f>_FV(0,"01")</f>
        <v>#VALUE!</v>
      </c>
    </row>
    <row r="4081" spans="1:12" x14ac:dyDescent="0.25">
      <c r="A4081">
        <v>720544</v>
      </c>
      <c r="B4081">
        <v>1159969</v>
      </c>
      <c r="D4081">
        <v>0</v>
      </c>
      <c r="F4081">
        <v>1239010</v>
      </c>
      <c r="G4081">
        <v>1159969</v>
      </c>
      <c r="H4081" t="e" vm="131">
        <f>_FV(0,"012")</f>
        <v>#VALUE!</v>
      </c>
      <c r="I4081">
        <v>720544</v>
      </c>
      <c r="J4081" t="s">
        <v>1939</v>
      </c>
      <c r="K4081" t="s">
        <v>25726</v>
      </c>
      <c r="L4081" t="e" vm="131">
        <f>_FV(0,"012")</f>
        <v>#VALUE!</v>
      </c>
    </row>
    <row r="4082" spans="1:12" x14ac:dyDescent="0.25">
      <c r="A4082">
        <v>720577</v>
      </c>
      <c r="B4082">
        <v>734310</v>
      </c>
      <c r="D4082">
        <v>0</v>
      </c>
      <c r="E4082" t="s">
        <v>25728</v>
      </c>
      <c r="F4082" t="s">
        <v>25729</v>
      </c>
      <c r="G4082" t="s">
        <v>25730</v>
      </c>
      <c r="H4082" t="s">
        <v>25731</v>
      </c>
      <c r="I4082" t="s">
        <v>25732</v>
      </c>
      <c r="J4082" t="s">
        <v>25733</v>
      </c>
      <c r="K4082" t="s">
        <v>25734</v>
      </c>
      <c r="L4082" t="s">
        <v>25727</v>
      </c>
    </row>
    <row r="4083" spans="1:12" x14ac:dyDescent="0.25">
      <c r="A4083">
        <v>720619</v>
      </c>
      <c r="B4083">
        <v>720658</v>
      </c>
      <c r="D4083">
        <v>0</v>
      </c>
      <c r="E4083" t="s">
        <v>25736</v>
      </c>
      <c r="F4083" t="s">
        <v>25737</v>
      </c>
      <c r="G4083" t="s">
        <v>25738</v>
      </c>
      <c r="H4083" t="s">
        <v>25739</v>
      </c>
      <c r="I4083" t="s">
        <v>25740</v>
      </c>
      <c r="J4083" t="s">
        <v>25741</v>
      </c>
      <c r="K4083" t="s">
        <v>25742</v>
      </c>
      <c r="L4083" t="s">
        <v>25735</v>
      </c>
    </row>
    <row r="4084" spans="1:12" x14ac:dyDescent="0.25">
      <c r="A4084">
        <v>720619</v>
      </c>
      <c r="B4084">
        <v>720769</v>
      </c>
      <c r="D4084">
        <v>0</v>
      </c>
      <c r="E4084" t="s">
        <v>25744</v>
      </c>
      <c r="F4084" t="s">
        <v>25745</v>
      </c>
      <c r="G4084" t="s">
        <v>25746</v>
      </c>
      <c r="H4084" t="s">
        <v>25747</v>
      </c>
      <c r="I4084" t="s">
        <v>25748</v>
      </c>
      <c r="J4084" t="s">
        <v>25743</v>
      </c>
      <c r="K4084" t="s">
        <v>25749</v>
      </c>
      <c r="L4084" t="s">
        <v>25743</v>
      </c>
    </row>
    <row r="4085" spans="1:12" x14ac:dyDescent="0.25">
      <c r="A4085">
        <v>720619</v>
      </c>
      <c r="B4085">
        <v>734391</v>
      </c>
      <c r="D4085">
        <v>0</v>
      </c>
      <c r="E4085" t="s">
        <v>25751</v>
      </c>
      <c r="F4085" t="s">
        <v>25752</v>
      </c>
      <c r="G4085" t="s">
        <v>25753</v>
      </c>
      <c r="H4085" t="s">
        <v>25754</v>
      </c>
      <c r="I4085" t="s">
        <v>25755</v>
      </c>
      <c r="J4085" t="s">
        <v>25750</v>
      </c>
      <c r="K4085" t="s">
        <v>25756</v>
      </c>
      <c r="L4085" t="s">
        <v>25750</v>
      </c>
    </row>
    <row r="4086" spans="1:12" x14ac:dyDescent="0.25">
      <c r="A4086">
        <v>720658</v>
      </c>
      <c r="B4086">
        <v>720666</v>
      </c>
      <c r="D4086">
        <v>0</v>
      </c>
      <c r="E4086" t="s">
        <v>25758</v>
      </c>
      <c r="F4086" t="s">
        <v>25759</v>
      </c>
      <c r="G4086" t="s">
        <v>25760</v>
      </c>
      <c r="H4086" t="e" vm="1786">
        <f>_FV(0,"033255224297891975")</f>
        <v>#VALUE!</v>
      </c>
      <c r="I4086" t="s">
        <v>25761</v>
      </c>
      <c r="J4086" t="s">
        <v>25762</v>
      </c>
      <c r="K4086" t="s">
        <v>25763</v>
      </c>
      <c r="L4086" t="s">
        <v>25757</v>
      </c>
    </row>
    <row r="4087" spans="1:12" x14ac:dyDescent="0.25">
      <c r="A4087">
        <v>720658</v>
      </c>
      <c r="B4087">
        <v>720740</v>
      </c>
      <c r="D4087">
        <v>0</v>
      </c>
      <c r="E4087" t="s">
        <v>25765</v>
      </c>
      <c r="F4087" t="s">
        <v>25766</v>
      </c>
      <c r="G4087" t="s">
        <v>25767</v>
      </c>
      <c r="H4087" t="e" vm="1787">
        <f>_FV(0,"025419039700420476")</f>
        <v>#VALUE!</v>
      </c>
      <c r="I4087" t="s">
        <v>25768</v>
      </c>
      <c r="J4087" t="s">
        <v>25769</v>
      </c>
      <c r="K4087" t="s">
        <v>25770</v>
      </c>
      <c r="L4087" t="s">
        <v>25764</v>
      </c>
    </row>
    <row r="4088" spans="1:12" x14ac:dyDescent="0.25">
      <c r="A4088">
        <v>720666</v>
      </c>
      <c r="B4088">
        <v>720685</v>
      </c>
      <c r="D4088">
        <v>0</v>
      </c>
      <c r="E4088" t="s">
        <v>25772</v>
      </c>
      <c r="F4088" t="s">
        <v>25773</v>
      </c>
      <c r="G4088" t="s">
        <v>25774</v>
      </c>
      <c r="H4088" t="e" vm="1788">
        <f>_FV(0,"014504204108245461")</f>
        <v>#VALUE!</v>
      </c>
      <c r="I4088" t="s">
        <v>25775</v>
      </c>
      <c r="J4088" t="s">
        <v>25776</v>
      </c>
      <c r="K4088" t="s">
        <v>25777</v>
      </c>
      <c r="L4088" t="s">
        <v>25771</v>
      </c>
    </row>
    <row r="4089" spans="1:12" x14ac:dyDescent="0.25">
      <c r="A4089">
        <v>720666</v>
      </c>
      <c r="B4089">
        <v>744392</v>
      </c>
      <c r="D4089">
        <v>0</v>
      </c>
      <c r="E4089" t="s">
        <v>25779</v>
      </c>
      <c r="F4089" t="s">
        <v>25780</v>
      </c>
      <c r="G4089" t="s">
        <v>25781</v>
      </c>
      <c r="H4089" t="s">
        <v>25782</v>
      </c>
      <c r="I4089" t="s">
        <v>25783</v>
      </c>
      <c r="J4089" t="s">
        <v>25784</v>
      </c>
      <c r="K4089" t="s">
        <v>25785</v>
      </c>
      <c r="L4089" t="s">
        <v>25778</v>
      </c>
    </row>
    <row r="4090" spans="1:12" x14ac:dyDescent="0.25">
      <c r="A4090">
        <v>720685</v>
      </c>
      <c r="B4090">
        <v>720690</v>
      </c>
      <c r="D4090">
        <v>0</v>
      </c>
      <c r="F4090">
        <v>735494</v>
      </c>
      <c r="G4090">
        <v>720690</v>
      </c>
      <c r="H4090" t="e" vm="215">
        <f>_FV(0,"02")</f>
        <v>#VALUE!</v>
      </c>
      <c r="I4090">
        <v>720685</v>
      </c>
      <c r="J4090" t="s">
        <v>3317</v>
      </c>
      <c r="K4090" t="s">
        <v>25786</v>
      </c>
      <c r="L4090" t="e" vm="215">
        <f>_FV(0,"02")</f>
        <v>#VALUE!</v>
      </c>
    </row>
    <row r="4091" spans="1:12" x14ac:dyDescent="0.25">
      <c r="A4091">
        <v>720685</v>
      </c>
      <c r="B4091">
        <v>720719</v>
      </c>
      <c r="D4091">
        <v>0</v>
      </c>
      <c r="F4091">
        <v>735558</v>
      </c>
      <c r="G4091">
        <v>720685</v>
      </c>
      <c r="H4091" t="e" vm="77">
        <f>_FV(0,"056")</f>
        <v>#VALUE!</v>
      </c>
      <c r="I4091">
        <v>720719</v>
      </c>
      <c r="J4091" t="s">
        <v>1194</v>
      </c>
      <c r="K4091" t="s">
        <v>25787</v>
      </c>
      <c r="L4091" t="e" vm="77">
        <f>_FV(0,"056")</f>
        <v>#VALUE!</v>
      </c>
    </row>
    <row r="4092" spans="1:12" x14ac:dyDescent="0.25">
      <c r="A4092">
        <v>720690</v>
      </c>
      <c r="B4092">
        <v>720757</v>
      </c>
      <c r="D4092" t="s">
        <v>18053</v>
      </c>
      <c r="E4092" t="s">
        <v>25789</v>
      </c>
      <c r="F4092" t="s">
        <v>25790</v>
      </c>
      <c r="G4092" t="s">
        <v>25791</v>
      </c>
      <c r="H4092" t="s">
        <v>25792</v>
      </c>
      <c r="I4092" t="s">
        <v>25793</v>
      </c>
      <c r="J4092" t="s">
        <v>25794</v>
      </c>
      <c r="K4092" t="s">
        <v>25795</v>
      </c>
      <c r="L4092" t="s">
        <v>25788</v>
      </c>
    </row>
    <row r="4093" spans="1:12" x14ac:dyDescent="0.25">
      <c r="A4093">
        <v>720690</v>
      </c>
      <c r="B4093">
        <v>720719</v>
      </c>
      <c r="D4093">
        <v>0</v>
      </c>
      <c r="E4093" t="s">
        <v>25797</v>
      </c>
      <c r="F4093" t="s">
        <v>25798</v>
      </c>
      <c r="G4093" t="s">
        <v>25799</v>
      </c>
      <c r="H4093" t="s">
        <v>25800</v>
      </c>
      <c r="I4093" t="s">
        <v>25801</v>
      </c>
      <c r="J4093" t="s">
        <v>25802</v>
      </c>
      <c r="K4093" t="s">
        <v>25803</v>
      </c>
      <c r="L4093" t="s">
        <v>25796</v>
      </c>
    </row>
    <row r="4094" spans="1:12" x14ac:dyDescent="0.25">
      <c r="A4094">
        <v>720719</v>
      </c>
      <c r="B4094">
        <v>720740</v>
      </c>
      <c r="D4094">
        <v>0</v>
      </c>
      <c r="E4094" t="s">
        <v>25805</v>
      </c>
      <c r="F4094" t="s">
        <v>25806</v>
      </c>
      <c r="G4094" t="s">
        <v>25807</v>
      </c>
      <c r="H4094" t="s">
        <v>25808</v>
      </c>
      <c r="I4094" t="s">
        <v>25809</v>
      </c>
      <c r="J4094" t="s">
        <v>25810</v>
      </c>
      <c r="K4094" t="s">
        <v>25811</v>
      </c>
      <c r="L4094" t="s">
        <v>25804</v>
      </c>
    </row>
    <row r="4095" spans="1:12" x14ac:dyDescent="0.25">
      <c r="A4095">
        <v>720740</v>
      </c>
      <c r="B4095">
        <v>744378</v>
      </c>
      <c r="D4095">
        <v>0</v>
      </c>
      <c r="E4095" t="s">
        <v>25813</v>
      </c>
      <c r="F4095" t="s">
        <v>25814</v>
      </c>
      <c r="G4095" t="s">
        <v>25815</v>
      </c>
      <c r="H4095" t="e" vm="1789">
        <f>_FV(0,"0038614465216085174")</f>
        <v>#VALUE!</v>
      </c>
      <c r="I4095" t="s">
        <v>25816</v>
      </c>
      <c r="J4095" t="s">
        <v>25817</v>
      </c>
      <c r="K4095" t="s">
        <v>25818</v>
      </c>
      <c r="L4095" t="s">
        <v>25812</v>
      </c>
    </row>
    <row r="4096" spans="1:12" x14ac:dyDescent="0.25">
      <c r="A4096">
        <v>720757</v>
      </c>
      <c r="B4096">
        <v>720769</v>
      </c>
      <c r="D4096" t="s">
        <v>1839</v>
      </c>
      <c r="E4096" t="s">
        <v>25820</v>
      </c>
      <c r="F4096" t="s">
        <v>25821</v>
      </c>
      <c r="G4096" t="s">
        <v>25822</v>
      </c>
      <c r="H4096" t="s">
        <v>25823</v>
      </c>
      <c r="I4096" t="s">
        <v>25824</v>
      </c>
      <c r="J4096" t="s">
        <v>25819</v>
      </c>
      <c r="K4096" t="s">
        <v>25825</v>
      </c>
      <c r="L4096" t="s">
        <v>25819</v>
      </c>
    </row>
    <row r="4097" spans="1:12" x14ac:dyDescent="0.25">
      <c r="A4097">
        <v>720757</v>
      </c>
      <c r="B4097">
        <v>720837</v>
      </c>
      <c r="D4097">
        <v>1</v>
      </c>
      <c r="E4097" t="s">
        <v>25827</v>
      </c>
      <c r="F4097" t="s">
        <v>25828</v>
      </c>
      <c r="G4097" t="s">
        <v>25829</v>
      </c>
      <c r="H4097" t="s">
        <v>25830</v>
      </c>
      <c r="I4097" t="s">
        <v>25831</v>
      </c>
      <c r="J4097" t="s">
        <v>25826</v>
      </c>
      <c r="K4097" t="s">
        <v>25832</v>
      </c>
      <c r="L4097" t="s">
        <v>25826</v>
      </c>
    </row>
    <row r="4098" spans="1:12" x14ac:dyDescent="0.25">
      <c r="A4098">
        <v>720769</v>
      </c>
      <c r="B4098">
        <v>734416</v>
      </c>
      <c r="D4098">
        <v>0</v>
      </c>
      <c r="E4098" t="s">
        <v>25834</v>
      </c>
      <c r="F4098" t="s">
        <v>25835</v>
      </c>
      <c r="G4098" t="s">
        <v>25836</v>
      </c>
      <c r="H4098" t="e" vm="1790">
        <f>_FV(0,"0006470676981394394")</f>
        <v>#VALUE!</v>
      </c>
      <c r="I4098" t="s">
        <v>25837</v>
      </c>
      <c r="J4098" t="s">
        <v>25838</v>
      </c>
      <c r="K4098" t="s">
        <v>25839</v>
      </c>
      <c r="L4098" t="s">
        <v>25833</v>
      </c>
    </row>
    <row r="4099" spans="1:12" x14ac:dyDescent="0.25">
      <c r="A4099">
        <v>701485</v>
      </c>
      <c r="B4099">
        <v>734438</v>
      </c>
      <c r="D4099">
        <v>0</v>
      </c>
      <c r="E4099" t="s">
        <v>25840</v>
      </c>
      <c r="F4099" t="s">
        <v>25841</v>
      </c>
      <c r="G4099" t="s">
        <v>25842</v>
      </c>
      <c r="H4099" t="e" vm="1791">
        <f>_FV(0,"018716476533980706")</f>
        <v>#VALUE!</v>
      </c>
      <c r="I4099" t="s">
        <v>25843</v>
      </c>
      <c r="J4099" t="s">
        <v>682</v>
      </c>
      <c r="K4099" t="s">
        <v>25844</v>
      </c>
      <c r="L4099" t="s">
        <v>677</v>
      </c>
    </row>
    <row r="4100" spans="1:12" x14ac:dyDescent="0.25">
      <c r="A4100">
        <v>720873</v>
      </c>
      <c r="B4100">
        <v>362919</v>
      </c>
      <c r="D4100">
        <v>0</v>
      </c>
      <c r="E4100" t="s">
        <v>25846</v>
      </c>
      <c r="F4100" t="s">
        <v>25847</v>
      </c>
      <c r="G4100" t="s">
        <v>25848</v>
      </c>
      <c r="H4100" t="s">
        <v>25849</v>
      </c>
      <c r="I4100" t="s">
        <v>25850</v>
      </c>
      <c r="J4100" t="s">
        <v>25845</v>
      </c>
      <c r="K4100" t="s">
        <v>25851</v>
      </c>
      <c r="L4100" t="s">
        <v>25845</v>
      </c>
    </row>
    <row r="4101" spans="1:12" x14ac:dyDescent="0.25">
      <c r="A4101">
        <v>720873</v>
      </c>
      <c r="B4101">
        <v>720901</v>
      </c>
      <c r="D4101">
        <v>0</v>
      </c>
      <c r="E4101" t="s">
        <v>25853</v>
      </c>
      <c r="F4101" t="s">
        <v>25854</v>
      </c>
      <c r="G4101" t="s">
        <v>25855</v>
      </c>
      <c r="H4101" t="e" vm="1792">
        <f>_FV(0,"003708351668915524")</f>
        <v>#VALUE!</v>
      </c>
      <c r="I4101" t="s">
        <v>25856</v>
      </c>
      <c r="J4101" t="s">
        <v>25857</v>
      </c>
      <c r="K4101" t="s">
        <v>25858</v>
      </c>
      <c r="L4101" t="s">
        <v>25852</v>
      </c>
    </row>
    <row r="4102" spans="1:12" x14ac:dyDescent="0.25">
      <c r="A4102">
        <v>720873</v>
      </c>
      <c r="B4102">
        <v>794436</v>
      </c>
      <c r="D4102" t="s">
        <v>25860</v>
      </c>
      <c r="E4102" t="s">
        <v>25861</v>
      </c>
      <c r="F4102" t="s">
        <v>25862</v>
      </c>
      <c r="G4102" t="s">
        <v>25863</v>
      </c>
      <c r="H4102" t="e" vm="1793">
        <f>_FV(0,"0005322352438752587")</f>
        <v>#VALUE!</v>
      </c>
      <c r="I4102" t="s">
        <v>25864</v>
      </c>
      <c r="J4102" t="s">
        <v>25865</v>
      </c>
      <c r="K4102" t="s">
        <v>25866</v>
      </c>
      <c r="L4102" t="s">
        <v>25859</v>
      </c>
    </row>
    <row r="4103" spans="1:12" x14ac:dyDescent="0.25">
      <c r="A4103">
        <v>362919</v>
      </c>
      <c r="B4103">
        <v>362911</v>
      </c>
      <c r="D4103">
        <v>0</v>
      </c>
      <c r="E4103" t="s">
        <v>25868</v>
      </c>
      <c r="F4103" t="s">
        <v>25869</v>
      </c>
      <c r="G4103" t="s">
        <v>25870</v>
      </c>
      <c r="H4103" t="e" vm="1794">
        <f>_FV(0,"00817542259964924")</f>
        <v>#VALUE!</v>
      </c>
      <c r="I4103" t="s">
        <v>25871</v>
      </c>
      <c r="J4103" t="s">
        <v>25872</v>
      </c>
      <c r="K4103" t="s">
        <v>25873</v>
      </c>
      <c r="L4103" t="s">
        <v>25867</v>
      </c>
    </row>
    <row r="4104" spans="1:12" x14ac:dyDescent="0.25">
      <c r="A4104">
        <v>362919</v>
      </c>
      <c r="B4104">
        <v>741134</v>
      </c>
      <c r="D4104">
        <v>0</v>
      </c>
      <c r="E4104" t="s">
        <v>25875</v>
      </c>
      <c r="F4104" t="s">
        <v>25876</v>
      </c>
      <c r="G4104" t="s">
        <v>25877</v>
      </c>
      <c r="H4104" t="s">
        <v>25878</v>
      </c>
      <c r="I4104" t="s">
        <v>25879</v>
      </c>
      <c r="J4104" t="s">
        <v>25874</v>
      </c>
      <c r="K4104" t="s">
        <v>25880</v>
      </c>
      <c r="L4104" t="s">
        <v>25874</v>
      </c>
    </row>
    <row r="4105" spans="1:12" x14ac:dyDescent="0.25">
      <c r="A4105">
        <v>362911</v>
      </c>
      <c r="B4105">
        <v>720901</v>
      </c>
      <c r="D4105">
        <v>0</v>
      </c>
      <c r="F4105">
        <v>733949</v>
      </c>
      <c r="G4105">
        <v>720901</v>
      </c>
      <c r="H4105" t="e" vm="47">
        <f>_FV(0,"016")</f>
        <v>#VALUE!</v>
      </c>
      <c r="I4105">
        <v>362911</v>
      </c>
      <c r="J4105" t="s">
        <v>737</v>
      </c>
      <c r="K4105" t="s">
        <v>25881</v>
      </c>
      <c r="L4105" t="e" vm="47">
        <f>_FV(0,"016")</f>
        <v>#VALUE!</v>
      </c>
    </row>
    <row r="4106" spans="1:12" x14ac:dyDescent="0.25">
      <c r="A4106">
        <v>362911</v>
      </c>
      <c r="B4106">
        <v>741143</v>
      </c>
      <c r="D4106">
        <v>0</v>
      </c>
      <c r="E4106" t="s">
        <v>25883</v>
      </c>
      <c r="F4106" t="s">
        <v>25884</v>
      </c>
      <c r="G4106" t="s">
        <v>25885</v>
      </c>
      <c r="H4106" t="s">
        <v>25886</v>
      </c>
      <c r="I4106" t="s">
        <v>25887</v>
      </c>
      <c r="J4106" t="s">
        <v>25882</v>
      </c>
      <c r="K4106" t="s">
        <v>25888</v>
      </c>
      <c r="L4106" t="s">
        <v>25882</v>
      </c>
    </row>
    <row r="4107" spans="1:12" x14ac:dyDescent="0.25">
      <c r="A4107">
        <v>721706</v>
      </c>
      <c r="B4107">
        <v>721719</v>
      </c>
      <c r="D4107">
        <v>1</v>
      </c>
      <c r="E4107" t="s">
        <v>25889</v>
      </c>
      <c r="F4107" t="s">
        <v>25890</v>
      </c>
      <c r="G4107" t="s">
        <v>25891</v>
      </c>
      <c r="H4107" t="e" vm="1795">
        <f>_FV(0,"001372885429069274")</f>
        <v>#VALUE!</v>
      </c>
      <c r="I4107" t="s">
        <v>25892</v>
      </c>
      <c r="J4107" t="s">
        <v>4801</v>
      </c>
      <c r="K4107" t="s">
        <v>25893</v>
      </c>
      <c r="L4107" t="s">
        <v>4796</v>
      </c>
    </row>
    <row r="4108" spans="1:12" x14ac:dyDescent="0.25">
      <c r="A4108">
        <v>723477</v>
      </c>
      <c r="B4108">
        <v>723521</v>
      </c>
      <c r="D4108">
        <v>0</v>
      </c>
      <c r="E4108" t="s">
        <v>25895</v>
      </c>
      <c r="F4108" t="s">
        <v>25896</v>
      </c>
      <c r="G4108" t="s">
        <v>25897</v>
      </c>
      <c r="H4108" t="e" vm="1796">
        <f>_FV(0,"03759373630266708")</f>
        <v>#VALUE!</v>
      </c>
      <c r="I4108" t="s">
        <v>25898</v>
      </c>
      <c r="J4108" t="s">
        <v>25899</v>
      </c>
      <c r="K4108" t="s">
        <v>25900</v>
      </c>
      <c r="L4108" t="s">
        <v>25894</v>
      </c>
    </row>
    <row r="4109" spans="1:12" x14ac:dyDescent="0.25">
      <c r="A4109">
        <v>723477</v>
      </c>
      <c r="B4109">
        <v>723483</v>
      </c>
      <c r="D4109">
        <v>0</v>
      </c>
      <c r="E4109" t="s">
        <v>25902</v>
      </c>
      <c r="F4109" t="s">
        <v>25903</v>
      </c>
      <c r="G4109" t="s">
        <v>25904</v>
      </c>
      <c r="H4109" t="e" vm="1797">
        <f>_FV(0,"012528540942997218")</f>
        <v>#VALUE!</v>
      </c>
      <c r="I4109" t="s">
        <v>25905</v>
      </c>
      <c r="J4109" t="s">
        <v>10879</v>
      </c>
      <c r="K4109" t="s">
        <v>25906</v>
      </c>
      <c r="L4109" t="s">
        <v>25901</v>
      </c>
    </row>
    <row r="4110" spans="1:12" x14ac:dyDescent="0.25">
      <c r="A4110">
        <v>723477</v>
      </c>
      <c r="B4110">
        <v>749584</v>
      </c>
      <c r="D4110">
        <v>0</v>
      </c>
      <c r="E4110" t="s">
        <v>25908</v>
      </c>
      <c r="F4110" t="s">
        <v>25909</v>
      </c>
      <c r="G4110" t="s">
        <v>25910</v>
      </c>
      <c r="H4110" t="e" vm="1798">
        <f>_FV(0,"02110383487875445")</f>
        <v>#VALUE!</v>
      </c>
      <c r="I4110" t="s">
        <v>25911</v>
      </c>
      <c r="J4110" t="s">
        <v>25912</v>
      </c>
      <c r="K4110" t="s">
        <v>25913</v>
      </c>
      <c r="L4110" t="s">
        <v>25907</v>
      </c>
    </row>
    <row r="4111" spans="1:12" x14ac:dyDescent="0.25">
      <c r="A4111">
        <v>723483</v>
      </c>
      <c r="B4111">
        <v>723509</v>
      </c>
      <c r="D4111">
        <v>0</v>
      </c>
      <c r="E4111" t="s">
        <v>25915</v>
      </c>
      <c r="F4111" t="s">
        <v>25916</v>
      </c>
      <c r="G4111" t="s">
        <v>25917</v>
      </c>
      <c r="H4111" t="s">
        <v>25918</v>
      </c>
      <c r="I4111" t="s">
        <v>25919</v>
      </c>
      <c r="J4111" t="s">
        <v>25914</v>
      </c>
      <c r="K4111" t="s">
        <v>25920</v>
      </c>
      <c r="L4111" t="s">
        <v>25914</v>
      </c>
    </row>
    <row r="4112" spans="1:12" x14ac:dyDescent="0.25">
      <c r="A4112">
        <v>723483</v>
      </c>
      <c r="B4112">
        <v>723521</v>
      </c>
      <c r="C4112" t="s">
        <v>25922</v>
      </c>
      <c r="D4112">
        <v>0</v>
      </c>
      <c r="E4112" t="s">
        <v>25923</v>
      </c>
      <c r="F4112" t="s">
        <v>25924</v>
      </c>
      <c r="G4112" t="s">
        <v>25925</v>
      </c>
      <c r="H4112" t="e" vm="1799">
        <f>_FV(0,"03682433812614281")</f>
        <v>#VALUE!</v>
      </c>
      <c r="I4112" t="s">
        <v>25926</v>
      </c>
      <c r="J4112" t="s">
        <v>25927</v>
      </c>
      <c r="K4112" t="s">
        <v>25928</v>
      </c>
      <c r="L4112" t="s">
        <v>25921</v>
      </c>
    </row>
    <row r="4113" spans="1:12" x14ac:dyDescent="0.25">
      <c r="A4113">
        <v>723509</v>
      </c>
      <c r="B4113">
        <v>735467</v>
      </c>
      <c r="D4113">
        <v>0</v>
      </c>
      <c r="E4113" t="s">
        <v>25930</v>
      </c>
      <c r="F4113" t="s">
        <v>25931</v>
      </c>
      <c r="G4113" t="s">
        <v>25932</v>
      </c>
      <c r="H4113" t="s">
        <v>25933</v>
      </c>
      <c r="I4113" t="s">
        <v>25934</v>
      </c>
      <c r="J4113" t="s">
        <v>25935</v>
      </c>
      <c r="K4113" t="s">
        <v>25936</v>
      </c>
      <c r="L4113" t="s">
        <v>25929</v>
      </c>
    </row>
    <row r="4114" spans="1:12" x14ac:dyDescent="0.25">
      <c r="A4114">
        <v>723509</v>
      </c>
      <c r="B4114">
        <v>735467</v>
      </c>
      <c r="D4114">
        <v>0</v>
      </c>
      <c r="E4114" t="s">
        <v>25938</v>
      </c>
      <c r="F4114" t="s">
        <v>25939</v>
      </c>
      <c r="G4114" t="s">
        <v>25940</v>
      </c>
      <c r="H4114" t="s">
        <v>25941</v>
      </c>
      <c r="I4114" t="s">
        <v>25942</v>
      </c>
      <c r="J4114" t="s">
        <v>25943</v>
      </c>
      <c r="K4114" t="s">
        <v>25944</v>
      </c>
      <c r="L4114" t="s">
        <v>25937</v>
      </c>
    </row>
    <row r="4115" spans="1:12" x14ac:dyDescent="0.25">
      <c r="A4115">
        <v>723521</v>
      </c>
      <c r="B4115">
        <v>723525</v>
      </c>
      <c r="D4115">
        <v>0</v>
      </c>
      <c r="F4115">
        <v>738305</v>
      </c>
      <c r="G4115">
        <v>723525</v>
      </c>
      <c r="H4115" t="e" vm="353">
        <f>_FV(0,"045")</f>
        <v>#VALUE!</v>
      </c>
      <c r="I4115">
        <v>723521</v>
      </c>
      <c r="J4115" t="s">
        <v>4979</v>
      </c>
      <c r="K4115" t="s">
        <v>25945</v>
      </c>
      <c r="L4115" t="e" vm="353">
        <f>_FV(0,"045")</f>
        <v>#VALUE!</v>
      </c>
    </row>
    <row r="4116" spans="1:12" x14ac:dyDescent="0.25">
      <c r="A4116">
        <v>723525</v>
      </c>
      <c r="B4116">
        <v>749672</v>
      </c>
      <c r="D4116">
        <v>0</v>
      </c>
      <c r="F4116">
        <v>770336</v>
      </c>
      <c r="G4116">
        <v>749672</v>
      </c>
      <c r="H4116" t="e" vm="1334">
        <f>_FV(0,"074")</f>
        <v>#VALUE!</v>
      </c>
      <c r="I4116">
        <v>723525</v>
      </c>
      <c r="J4116" t="s">
        <v>19206</v>
      </c>
      <c r="K4116" t="s">
        <v>25946</v>
      </c>
      <c r="L4116" t="e" vm="1334">
        <f>_FV(0,"074")</f>
        <v>#VALUE!</v>
      </c>
    </row>
    <row r="4117" spans="1:12" x14ac:dyDescent="0.25">
      <c r="A4117">
        <v>723525</v>
      </c>
      <c r="B4117">
        <v>749662</v>
      </c>
      <c r="D4117">
        <v>0</v>
      </c>
      <c r="F4117">
        <v>770415</v>
      </c>
      <c r="G4117">
        <v>723525</v>
      </c>
      <c r="H4117" t="e" vm="47">
        <f>_FV(0,"016")</f>
        <v>#VALUE!</v>
      </c>
      <c r="I4117">
        <v>749662</v>
      </c>
      <c r="J4117" t="s">
        <v>737</v>
      </c>
      <c r="K4117" t="s">
        <v>25947</v>
      </c>
      <c r="L4117" t="e" vm="47">
        <f>_FV(0,"016")</f>
        <v>#VALUE!</v>
      </c>
    </row>
    <row r="4118" spans="1:12" x14ac:dyDescent="0.25">
      <c r="A4118">
        <v>723528</v>
      </c>
      <c r="B4118">
        <v>1270193</v>
      </c>
      <c r="D4118">
        <v>0</v>
      </c>
      <c r="E4118" t="s">
        <v>25949</v>
      </c>
      <c r="F4118" t="s">
        <v>25950</v>
      </c>
      <c r="G4118" t="s">
        <v>25951</v>
      </c>
      <c r="H4118" t="e" vm="1800">
        <f>_FV(0,"01776095188112298")</f>
        <v>#VALUE!</v>
      </c>
      <c r="I4118" t="s">
        <v>25952</v>
      </c>
      <c r="J4118" t="s">
        <v>25953</v>
      </c>
      <c r="K4118" t="s">
        <v>25954</v>
      </c>
      <c r="L4118" t="s">
        <v>25948</v>
      </c>
    </row>
    <row r="4119" spans="1:12" x14ac:dyDescent="0.25">
      <c r="A4119">
        <v>723528</v>
      </c>
      <c r="B4119">
        <v>749817</v>
      </c>
      <c r="D4119">
        <v>0</v>
      </c>
      <c r="E4119" t="s">
        <v>25956</v>
      </c>
      <c r="F4119" t="s">
        <v>25957</v>
      </c>
      <c r="G4119" t="s">
        <v>25958</v>
      </c>
      <c r="H4119" t="e" vm="1801">
        <f>_FV(0,"03846215231038787")</f>
        <v>#VALUE!</v>
      </c>
      <c r="I4119" t="s">
        <v>25959</v>
      </c>
      <c r="J4119" t="s">
        <v>25960</v>
      </c>
      <c r="K4119" t="s">
        <v>25961</v>
      </c>
      <c r="L4119" t="s">
        <v>25955</v>
      </c>
    </row>
    <row r="4120" spans="1:12" x14ac:dyDescent="0.25">
      <c r="A4120">
        <v>723528</v>
      </c>
      <c r="B4120">
        <v>1270157</v>
      </c>
      <c r="D4120">
        <v>0</v>
      </c>
      <c r="E4120" t="s">
        <v>25963</v>
      </c>
      <c r="F4120" t="s">
        <v>25964</v>
      </c>
      <c r="G4120" t="s">
        <v>25965</v>
      </c>
      <c r="H4120" t="e" vm="1802">
        <f>_FV(0,"007513988624745384")</f>
        <v>#VALUE!</v>
      </c>
      <c r="I4120" t="s">
        <v>25966</v>
      </c>
      <c r="J4120" t="s">
        <v>25967</v>
      </c>
      <c r="K4120" t="s">
        <v>25968</v>
      </c>
      <c r="L4120" t="s">
        <v>25962</v>
      </c>
    </row>
    <row r="4121" spans="1:12" x14ac:dyDescent="0.25">
      <c r="A4121">
        <v>723576</v>
      </c>
      <c r="B4121">
        <v>742716</v>
      </c>
      <c r="D4121">
        <v>0</v>
      </c>
      <c r="F4121">
        <v>770466</v>
      </c>
      <c r="G4121">
        <v>742716</v>
      </c>
      <c r="H4121" t="s">
        <v>7542</v>
      </c>
      <c r="I4121">
        <v>723576</v>
      </c>
      <c r="J4121" t="s">
        <v>7542</v>
      </c>
      <c r="K4121" t="s">
        <v>25969</v>
      </c>
      <c r="L4121" t="s">
        <v>7542</v>
      </c>
    </row>
    <row r="4122" spans="1:12" x14ac:dyDescent="0.25">
      <c r="A4122">
        <v>723576</v>
      </c>
      <c r="B4122">
        <v>1270102</v>
      </c>
      <c r="C4122" t="s">
        <v>25971</v>
      </c>
      <c r="D4122">
        <v>0</v>
      </c>
      <c r="E4122" t="s">
        <v>25972</v>
      </c>
      <c r="F4122" t="s">
        <v>25973</v>
      </c>
      <c r="G4122" t="s">
        <v>25974</v>
      </c>
      <c r="H4122" t="s">
        <v>25975</v>
      </c>
      <c r="I4122" t="s">
        <v>25976</v>
      </c>
      <c r="J4122" t="s">
        <v>25970</v>
      </c>
      <c r="K4122" t="s">
        <v>25977</v>
      </c>
      <c r="L4122" t="s">
        <v>25970</v>
      </c>
    </row>
    <row r="4123" spans="1:12" x14ac:dyDescent="0.25">
      <c r="A4123">
        <v>723576</v>
      </c>
      <c r="B4123">
        <v>742721</v>
      </c>
      <c r="D4123">
        <v>0</v>
      </c>
      <c r="F4123">
        <v>770362</v>
      </c>
      <c r="G4123">
        <v>723576</v>
      </c>
      <c r="H4123" t="s">
        <v>19420</v>
      </c>
      <c r="I4123">
        <v>742721</v>
      </c>
      <c r="J4123" t="s">
        <v>19420</v>
      </c>
      <c r="K4123" t="s">
        <v>25978</v>
      </c>
      <c r="L4123" t="s">
        <v>19420</v>
      </c>
    </row>
    <row r="4124" spans="1:12" x14ac:dyDescent="0.25">
      <c r="A4124">
        <v>723626</v>
      </c>
      <c r="B4124">
        <v>723627</v>
      </c>
      <c r="D4124">
        <v>0</v>
      </c>
      <c r="F4124">
        <v>738449</v>
      </c>
      <c r="G4124">
        <v>723627</v>
      </c>
      <c r="H4124" t="s">
        <v>12</v>
      </c>
      <c r="I4124">
        <v>723626</v>
      </c>
      <c r="J4124" t="s">
        <v>12</v>
      </c>
      <c r="K4124" t="s">
        <v>25979</v>
      </c>
      <c r="L4124" t="s">
        <v>12</v>
      </c>
    </row>
    <row r="4125" spans="1:12" x14ac:dyDescent="0.25">
      <c r="A4125">
        <v>723694</v>
      </c>
      <c r="B4125">
        <v>734607</v>
      </c>
      <c r="D4125">
        <v>0</v>
      </c>
      <c r="F4125">
        <v>753336</v>
      </c>
      <c r="G4125">
        <v>734607</v>
      </c>
      <c r="H4125" t="e" vm="1803">
        <f>_FV(0,"472")</f>
        <v>#VALUE!</v>
      </c>
      <c r="I4125">
        <v>723694</v>
      </c>
      <c r="J4125" t="s">
        <v>25980</v>
      </c>
      <c r="K4125" t="s">
        <v>25981</v>
      </c>
      <c r="L4125" t="e" vm="1803">
        <f>_FV(0,"472")</f>
        <v>#VALUE!</v>
      </c>
    </row>
    <row r="4126" spans="1:12" x14ac:dyDescent="0.25">
      <c r="A4126">
        <v>723694</v>
      </c>
      <c r="B4126">
        <v>1259654</v>
      </c>
      <c r="D4126" t="s">
        <v>5510</v>
      </c>
      <c r="E4126" t="s">
        <v>25983</v>
      </c>
      <c r="F4126" t="s">
        <v>25984</v>
      </c>
      <c r="G4126" t="s">
        <v>25985</v>
      </c>
      <c r="H4126" t="e" vm="1804">
        <f>_FV(0,"0068297264997477306")</f>
        <v>#VALUE!</v>
      </c>
      <c r="I4126" t="s">
        <v>25986</v>
      </c>
      <c r="J4126" t="s">
        <v>25987</v>
      </c>
      <c r="K4126" t="s">
        <v>25988</v>
      </c>
      <c r="L4126" t="s">
        <v>25982</v>
      </c>
    </row>
    <row r="4127" spans="1:12" x14ac:dyDescent="0.25">
      <c r="A4127">
        <v>725657</v>
      </c>
      <c r="B4127">
        <v>725718</v>
      </c>
      <c r="D4127">
        <v>0</v>
      </c>
      <c r="F4127">
        <v>741409</v>
      </c>
      <c r="G4127">
        <v>725718</v>
      </c>
      <c r="H4127" t="e" vm="1805">
        <f>_FV(0,"239")</f>
        <v>#VALUE!</v>
      </c>
      <c r="I4127">
        <v>725657</v>
      </c>
      <c r="J4127" t="s">
        <v>18992</v>
      </c>
      <c r="K4127" t="s">
        <v>25989</v>
      </c>
      <c r="L4127" t="e" vm="1805">
        <f>_FV(0,"239")</f>
        <v>#VALUE!</v>
      </c>
    </row>
    <row r="4128" spans="1:12" x14ac:dyDescent="0.25">
      <c r="A4128">
        <v>725657</v>
      </c>
      <c r="B4128">
        <v>728196</v>
      </c>
      <c r="D4128">
        <v>0</v>
      </c>
      <c r="E4128" t="s">
        <v>25991</v>
      </c>
      <c r="F4128" t="s">
        <v>25992</v>
      </c>
      <c r="G4128" t="s">
        <v>25993</v>
      </c>
      <c r="H4128" t="s">
        <v>25994</v>
      </c>
      <c r="I4128" t="s">
        <v>25995</v>
      </c>
      <c r="J4128" t="s">
        <v>25990</v>
      </c>
      <c r="K4128" t="s">
        <v>25996</v>
      </c>
      <c r="L4128" t="s">
        <v>25990</v>
      </c>
    </row>
    <row r="4129" spans="1:12" x14ac:dyDescent="0.25">
      <c r="A4129">
        <v>725657</v>
      </c>
      <c r="B4129">
        <v>725725</v>
      </c>
      <c r="D4129">
        <v>0</v>
      </c>
      <c r="F4129">
        <v>741417</v>
      </c>
      <c r="G4129">
        <v>725657</v>
      </c>
      <c r="H4129" t="s">
        <v>25997</v>
      </c>
      <c r="I4129">
        <v>725725</v>
      </c>
      <c r="J4129" t="s">
        <v>25997</v>
      </c>
      <c r="K4129" t="s">
        <v>25998</v>
      </c>
      <c r="L4129" t="s">
        <v>25997</v>
      </c>
    </row>
    <row r="4130" spans="1:12" x14ac:dyDescent="0.25">
      <c r="A4130">
        <v>725713</v>
      </c>
      <c r="B4130">
        <v>725725</v>
      </c>
      <c r="D4130">
        <v>0</v>
      </c>
      <c r="E4130" t="s">
        <v>26000</v>
      </c>
      <c r="F4130" t="s">
        <v>26001</v>
      </c>
      <c r="G4130" t="s">
        <v>26002</v>
      </c>
      <c r="H4130" t="e" vm="1806">
        <f>_FV(0,"014976711042381675")</f>
        <v>#VALUE!</v>
      </c>
      <c r="I4130" t="s">
        <v>26003</v>
      </c>
      <c r="J4130" t="s">
        <v>26004</v>
      </c>
      <c r="K4130" t="s">
        <v>26005</v>
      </c>
      <c r="L4130" t="s">
        <v>25999</v>
      </c>
    </row>
    <row r="4131" spans="1:12" x14ac:dyDescent="0.25">
      <c r="A4131">
        <v>725713</v>
      </c>
      <c r="B4131">
        <v>733844</v>
      </c>
      <c r="D4131">
        <v>0</v>
      </c>
      <c r="E4131" t="s">
        <v>26007</v>
      </c>
      <c r="F4131" t="s">
        <v>26008</v>
      </c>
      <c r="G4131" t="s">
        <v>26009</v>
      </c>
      <c r="H4131" t="s">
        <v>26010</v>
      </c>
      <c r="I4131" t="s">
        <v>26011</v>
      </c>
      <c r="J4131" t="s">
        <v>26012</v>
      </c>
      <c r="K4131" t="s">
        <v>26013</v>
      </c>
      <c r="L4131" t="s">
        <v>26006</v>
      </c>
    </row>
    <row r="4132" spans="1:12" x14ac:dyDescent="0.25">
      <c r="A4132">
        <v>725718</v>
      </c>
      <c r="B4132">
        <v>1692549</v>
      </c>
      <c r="D4132">
        <v>0</v>
      </c>
      <c r="E4132" t="s">
        <v>26015</v>
      </c>
      <c r="F4132" t="s">
        <v>26016</v>
      </c>
      <c r="G4132" t="s">
        <v>26017</v>
      </c>
      <c r="H4132" t="s">
        <v>26018</v>
      </c>
      <c r="I4132" t="s">
        <v>26019</v>
      </c>
      <c r="J4132" t="s">
        <v>26020</v>
      </c>
      <c r="K4132" t="s">
        <v>26021</v>
      </c>
      <c r="L4132" t="s">
        <v>26014</v>
      </c>
    </row>
    <row r="4133" spans="1:12" x14ac:dyDescent="0.25">
      <c r="A4133">
        <v>725718</v>
      </c>
      <c r="B4133">
        <v>725725</v>
      </c>
      <c r="D4133">
        <v>0</v>
      </c>
      <c r="F4133">
        <v>1928849</v>
      </c>
      <c r="G4133">
        <v>725718</v>
      </c>
      <c r="H4133" t="s">
        <v>250</v>
      </c>
      <c r="I4133">
        <v>725725</v>
      </c>
      <c r="J4133" t="s">
        <v>250</v>
      </c>
      <c r="K4133" t="s">
        <v>26022</v>
      </c>
      <c r="L4133" t="s">
        <v>250</v>
      </c>
    </row>
    <row r="4134" spans="1:12" x14ac:dyDescent="0.25">
      <c r="A4134">
        <v>725731</v>
      </c>
      <c r="B4134">
        <v>1086193</v>
      </c>
      <c r="D4134">
        <v>0</v>
      </c>
      <c r="E4134" t="s">
        <v>26024</v>
      </c>
      <c r="F4134" t="s">
        <v>26025</v>
      </c>
      <c r="G4134" t="s">
        <v>26026</v>
      </c>
      <c r="H4134" t="s">
        <v>26027</v>
      </c>
      <c r="I4134" t="s">
        <v>26028</v>
      </c>
      <c r="J4134" t="s">
        <v>26029</v>
      </c>
      <c r="K4134" t="s">
        <v>26030</v>
      </c>
      <c r="L4134" t="s">
        <v>26023</v>
      </c>
    </row>
    <row r="4135" spans="1:12" x14ac:dyDescent="0.25">
      <c r="A4135">
        <v>725731</v>
      </c>
      <c r="B4135">
        <v>725739</v>
      </c>
      <c r="D4135">
        <v>0</v>
      </c>
      <c r="F4135">
        <v>1151016</v>
      </c>
      <c r="G4135">
        <v>725731</v>
      </c>
      <c r="H4135" t="e" vm="106">
        <f>_FV(0,"019")</f>
        <v>#VALUE!</v>
      </c>
      <c r="I4135">
        <v>725739</v>
      </c>
      <c r="J4135" t="s">
        <v>1629</v>
      </c>
      <c r="K4135" t="s">
        <v>26031</v>
      </c>
      <c r="L4135" t="e" vm="106">
        <f>_FV(0,"019")</f>
        <v>#VALUE!</v>
      </c>
    </row>
    <row r="4136" spans="1:12" x14ac:dyDescent="0.25">
      <c r="A4136">
        <v>726939</v>
      </c>
      <c r="B4136">
        <v>726944</v>
      </c>
      <c r="D4136">
        <v>0</v>
      </c>
      <c r="F4136">
        <v>743346</v>
      </c>
      <c r="G4136">
        <v>726939</v>
      </c>
      <c r="H4136" t="e" vm="1006">
        <f>_FV(0,"006")</f>
        <v>#VALUE!</v>
      </c>
      <c r="I4136">
        <v>726944</v>
      </c>
      <c r="J4136" t="s">
        <v>250</v>
      </c>
      <c r="K4136" t="s">
        <v>26032</v>
      </c>
      <c r="L4136" t="e" vm="1006">
        <f>_FV(0,"006")</f>
        <v>#VALUE!</v>
      </c>
    </row>
    <row r="4137" spans="1:12" x14ac:dyDescent="0.25">
      <c r="A4137">
        <v>726939</v>
      </c>
      <c r="B4137">
        <v>1208946</v>
      </c>
      <c r="D4137">
        <v>0</v>
      </c>
      <c r="E4137" t="s">
        <v>26034</v>
      </c>
      <c r="F4137" t="s">
        <v>26035</v>
      </c>
      <c r="G4137" t="s">
        <v>26036</v>
      </c>
      <c r="H4137" t="e" vm="1807">
        <f>_FV(0,"060464851794904406")</f>
        <v>#VALUE!</v>
      </c>
      <c r="I4137" t="s">
        <v>26037</v>
      </c>
      <c r="J4137" t="s">
        <v>26038</v>
      </c>
      <c r="K4137" t="s">
        <v>26039</v>
      </c>
      <c r="L4137" t="s">
        <v>26033</v>
      </c>
    </row>
    <row r="4138" spans="1:12" x14ac:dyDescent="0.25">
      <c r="A4138">
        <v>726944</v>
      </c>
      <c r="B4138">
        <v>1208946</v>
      </c>
      <c r="D4138">
        <v>0</v>
      </c>
      <c r="E4138" t="s">
        <v>26041</v>
      </c>
      <c r="F4138" t="s">
        <v>26042</v>
      </c>
      <c r="G4138" t="s">
        <v>26043</v>
      </c>
      <c r="H4138" t="e" vm="1808">
        <f>_FV(0,"07490174969781778")</f>
        <v>#VALUE!</v>
      </c>
      <c r="I4138" t="s">
        <v>26044</v>
      </c>
      <c r="J4138" t="s">
        <v>26045</v>
      </c>
      <c r="K4138" t="s">
        <v>26046</v>
      </c>
      <c r="L4138" t="s">
        <v>26040</v>
      </c>
    </row>
    <row r="4139" spans="1:12" x14ac:dyDescent="0.25">
      <c r="A4139">
        <v>728146</v>
      </c>
      <c r="B4139">
        <v>728191</v>
      </c>
      <c r="D4139">
        <v>0</v>
      </c>
      <c r="E4139" t="s">
        <v>26048</v>
      </c>
      <c r="F4139" t="s">
        <v>26049</v>
      </c>
      <c r="G4139" t="s">
        <v>26050</v>
      </c>
      <c r="H4139" t="e" vm="1809">
        <f>_FV(0,"1564874868361157")</f>
        <v>#VALUE!</v>
      </c>
      <c r="I4139" t="s">
        <v>26051</v>
      </c>
      <c r="J4139" t="s">
        <v>26052</v>
      </c>
      <c r="K4139" t="s">
        <v>26053</v>
      </c>
      <c r="L4139" t="s">
        <v>26047</v>
      </c>
    </row>
    <row r="4140" spans="1:12" x14ac:dyDescent="0.25">
      <c r="A4140">
        <v>728146</v>
      </c>
      <c r="B4140">
        <v>728206</v>
      </c>
      <c r="D4140">
        <v>0</v>
      </c>
      <c r="F4140">
        <v>744943</v>
      </c>
      <c r="G4140">
        <v>728146</v>
      </c>
      <c r="H4140" t="s">
        <v>19936</v>
      </c>
      <c r="I4140">
        <v>728206</v>
      </c>
      <c r="J4140" t="s">
        <v>19936</v>
      </c>
      <c r="K4140" t="s">
        <v>26054</v>
      </c>
      <c r="L4140" t="s">
        <v>19936</v>
      </c>
    </row>
    <row r="4141" spans="1:12" x14ac:dyDescent="0.25">
      <c r="A4141">
        <v>728146</v>
      </c>
      <c r="B4141">
        <v>734538</v>
      </c>
      <c r="D4141">
        <v>0</v>
      </c>
      <c r="E4141" t="s">
        <v>26056</v>
      </c>
      <c r="F4141" t="s">
        <v>26057</v>
      </c>
      <c r="G4141" t="s">
        <v>26059</v>
      </c>
      <c r="H4141" t="e" vm="1810">
        <f>_FV(0,"16060527176312697")</f>
        <v>#VALUE!</v>
      </c>
      <c r="I4141" t="s">
        <v>26060</v>
      </c>
      <c r="J4141" t="s">
        <v>26061</v>
      </c>
      <c r="K4141" t="s">
        <v>26062</v>
      </c>
      <c r="L4141" t="s">
        <v>26055</v>
      </c>
    </row>
    <row r="4142" spans="1:12" x14ac:dyDescent="0.25">
      <c r="A4142">
        <v>728191</v>
      </c>
      <c r="B4142">
        <v>728196</v>
      </c>
      <c r="D4142">
        <v>0</v>
      </c>
      <c r="F4142">
        <v>744930</v>
      </c>
      <c r="G4142">
        <v>728196</v>
      </c>
      <c r="H4142" t="s">
        <v>5671</v>
      </c>
      <c r="I4142">
        <v>728191</v>
      </c>
      <c r="J4142" t="s">
        <v>5671</v>
      </c>
      <c r="K4142" t="s">
        <v>26063</v>
      </c>
      <c r="L4142" t="s">
        <v>5671</v>
      </c>
    </row>
    <row r="4143" spans="1:12" x14ac:dyDescent="0.25">
      <c r="A4143">
        <v>728196</v>
      </c>
      <c r="B4143">
        <v>728206</v>
      </c>
      <c r="D4143">
        <v>0</v>
      </c>
      <c r="E4143" t="s">
        <v>26065</v>
      </c>
      <c r="F4143" t="s">
        <v>26066</v>
      </c>
      <c r="G4143" t="s">
        <v>26067</v>
      </c>
      <c r="H4143" t="s">
        <v>26068</v>
      </c>
      <c r="I4143" t="s">
        <v>26069</v>
      </c>
      <c r="J4143" t="s">
        <v>26064</v>
      </c>
      <c r="K4143" t="s">
        <v>26070</v>
      </c>
      <c r="L4143" t="s">
        <v>26064</v>
      </c>
    </row>
    <row r="4144" spans="1:12" x14ac:dyDescent="0.25">
      <c r="A4144">
        <v>728206</v>
      </c>
      <c r="B4144">
        <v>734567</v>
      </c>
      <c r="D4144">
        <v>0</v>
      </c>
      <c r="E4144" t="s">
        <v>26072</v>
      </c>
      <c r="F4144" t="s">
        <v>26073</v>
      </c>
      <c r="G4144" t="s">
        <v>26074</v>
      </c>
      <c r="H4144" t="s">
        <v>26075</v>
      </c>
      <c r="I4144" t="s">
        <v>26076</v>
      </c>
      <c r="J4144" t="s">
        <v>26071</v>
      </c>
      <c r="K4144" t="s">
        <v>26077</v>
      </c>
      <c r="L4144" t="s">
        <v>26071</v>
      </c>
    </row>
    <row r="4145" spans="1:12" x14ac:dyDescent="0.25">
      <c r="A4145">
        <v>729870</v>
      </c>
      <c r="B4145">
        <v>729886</v>
      </c>
      <c r="D4145">
        <v>0</v>
      </c>
      <c r="E4145" t="s">
        <v>26079</v>
      </c>
      <c r="F4145" t="s">
        <v>26080</v>
      </c>
      <c r="G4145" t="s">
        <v>26081</v>
      </c>
      <c r="H4145" t="s">
        <v>26082</v>
      </c>
      <c r="I4145" t="s">
        <v>26083</v>
      </c>
      <c r="J4145" t="s">
        <v>26078</v>
      </c>
      <c r="K4145" t="s">
        <v>26084</v>
      </c>
      <c r="L4145" t="s">
        <v>26078</v>
      </c>
    </row>
    <row r="4146" spans="1:12" x14ac:dyDescent="0.25">
      <c r="A4146">
        <v>729870</v>
      </c>
      <c r="B4146">
        <v>729929</v>
      </c>
      <c r="D4146" t="s">
        <v>17262</v>
      </c>
      <c r="E4146" t="s">
        <v>26086</v>
      </c>
      <c r="F4146" t="s">
        <v>26087</v>
      </c>
      <c r="G4146" t="s">
        <v>26088</v>
      </c>
      <c r="H4146" t="e" vm="1811">
        <f>_FV(0,"031085189563456992")</f>
        <v>#VALUE!</v>
      </c>
      <c r="I4146" t="s">
        <v>26089</v>
      </c>
      <c r="J4146" t="s">
        <v>26090</v>
      </c>
      <c r="K4146" t="s">
        <v>26091</v>
      </c>
      <c r="L4146" t="s">
        <v>26085</v>
      </c>
    </row>
    <row r="4147" spans="1:12" x14ac:dyDescent="0.25">
      <c r="A4147">
        <v>729886</v>
      </c>
      <c r="B4147">
        <v>729893</v>
      </c>
      <c r="D4147">
        <v>0</v>
      </c>
      <c r="F4147">
        <v>747412</v>
      </c>
      <c r="G4147">
        <v>729893</v>
      </c>
      <c r="H4147" t="s">
        <v>10562</v>
      </c>
      <c r="I4147">
        <v>729886</v>
      </c>
      <c r="J4147" t="s">
        <v>10562</v>
      </c>
      <c r="K4147" t="s">
        <v>26092</v>
      </c>
      <c r="L4147" t="s">
        <v>10562</v>
      </c>
    </row>
    <row r="4148" spans="1:12" x14ac:dyDescent="0.25">
      <c r="A4148">
        <v>729886</v>
      </c>
      <c r="B4148">
        <v>729957</v>
      </c>
      <c r="D4148" t="s">
        <v>12980</v>
      </c>
      <c r="E4148" t="s">
        <v>26094</v>
      </c>
      <c r="F4148" t="s">
        <v>26095</v>
      </c>
      <c r="G4148" t="s">
        <v>26096</v>
      </c>
      <c r="H4148" t="e" vm="1812">
        <f>_FV(0,"03281822666486653")</f>
        <v>#VALUE!</v>
      </c>
      <c r="I4148" t="s">
        <v>26097</v>
      </c>
      <c r="J4148" t="s">
        <v>26098</v>
      </c>
      <c r="K4148" t="s">
        <v>26099</v>
      </c>
      <c r="L4148" t="s">
        <v>26093</v>
      </c>
    </row>
    <row r="4149" spans="1:12" x14ac:dyDescent="0.25">
      <c r="A4149">
        <v>729893</v>
      </c>
      <c r="B4149">
        <v>733578</v>
      </c>
      <c r="D4149">
        <v>0</v>
      </c>
      <c r="E4149" t="s">
        <v>26101</v>
      </c>
      <c r="F4149" t="s">
        <v>26102</v>
      </c>
      <c r="G4149" t="s">
        <v>26103</v>
      </c>
      <c r="H4149" t="e" vm="1813">
        <f>_FV(0,"05030160128407293")</f>
        <v>#VALUE!</v>
      </c>
      <c r="I4149" t="s">
        <v>26104</v>
      </c>
      <c r="J4149" t="s">
        <v>26105</v>
      </c>
      <c r="K4149" t="s">
        <v>26106</v>
      </c>
      <c r="L4149" t="s">
        <v>26100</v>
      </c>
    </row>
    <row r="4150" spans="1:12" x14ac:dyDescent="0.25">
      <c r="A4150">
        <v>729929</v>
      </c>
      <c r="B4150">
        <v>729930</v>
      </c>
      <c r="D4150">
        <v>0</v>
      </c>
      <c r="F4150">
        <v>747460</v>
      </c>
      <c r="G4150">
        <v>729930</v>
      </c>
      <c r="H4150" t="e" vm="1352">
        <f>_FV(0,"055")</f>
        <v>#VALUE!</v>
      </c>
      <c r="I4150">
        <v>729929</v>
      </c>
      <c r="J4150" t="s">
        <v>19420</v>
      </c>
      <c r="K4150" t="s">
        <v>26107</v>
      </c>
      <c r="L4150" t="e" vm="1352">
        <f>_FV(0,"055")</f>
        <v>#VALUE!</v>
      </c>
    </row>
    <row r="4151" spans="1:12" x14ac:dyDescent="0.25">
      <c r="A4151">
        <v>729929</v>
      </c>
      <c r="B4151">
        <v>729957</v>
      </c>
      <c r="D4151">
        <v>0</v>
      </c>
      <c r="E4151" t="s">
        <v>26109</v>
      </c>
      <c r="F4151" t="s">
        <v>26110</v>
      </c>
      <c r="G4151" t="s">
        <v>26111</v>
      </c>
      <c r="H4151" t="e" vm="1814">
        <f>_FV(0,"05627171259157979")</f>
        <v>#VALUE!</v>
      </c>
      <c r="I4151" t="s">
        <v>26112</v>
      </c>
      <c r="J4151" t="s">
        <v>26113</v>
      </c>
      <c r="K4151" t="s">
        <v>26114</v>
      </c>
      <c r="L4151" t="s">
        <v>26108</v>
      </c>
    </row>
    <row r="4152" spans="1:12" x14ac:dyDescent="0.25">
      <c r="A4152">
        <v>729930</v>
      </c>
      <c r="B4152">
        <v>734755</v>
      </c>
      <c r="D4152">
        <v>0</v>
      </c>
      <c r="E4152" t="s">
        <v>26116</v>
      </c>
      <c r="F4152" t="s">
        <v>26117</v>
      </c>
      <c r="G4152" t="s">
        <v>26118</v>
      </c>
      <c r="H4152" t="s">
        <v>26119</v>
      </c>
      <c r="I4152" t="s">
        <v>26120</v>
      </c>
      <c r="J4152" t="s">
        <v>26121</v>
      </c>
      <c r="K4152" t="s">
        <v>26122</v>
      </c>
      <c r="L4152" t="s">
        <v>26115</v>
      </c>
    </row>
    <row r="4153" spans="1:12" x14ac:dyDescent="0.25">
      <c r="A4153">
        <v>729971</v>
      </c>
      <c r="B4153">
        <v>1357276</v>
      </c>
      <c r="D4153">
        <v>0</v>
      </c>
      <c r="E4153" t="s">
        <v>26124</v>
      </c>
      <c r="F4153" t="s">
        <v>26125</v>
      </c>
      <c r="G4153" t="s">
        <v>26126</v>
      </c>
      <c r="H4153" t="e" vm="1815">
        <f>_FV(0,"001410904282767394")</f>
        <v>#VALUE!</v>
      </c>
      <c r="I4153" t="s">
        <v>26127</v>
      </c>
      <c r="J4153" t="s">
        <v>26128</v>
      </c>
      <c r="K4153" t="s">
        <v>26129</v>
      </c>
      <c r="L4153" t="s">
        <v>26123</v>
      </c>
    </row>
    <row r="4154" spans="1:12" x14ac:dyDescent="0.25">
      <c r="A4154">
        <v>729971</v>
      </c>
      <c r="B4154">
        <v>1366887</v>
      </c>
      <c r="D4154">
        <v>0</v>
      </c>
      <c r="E4154" t="s">
        <v>26131</v>
      </c>
      <c r="F4154" t="s">
        <v>26132</v>
      </c>
      <c r="G4154" t="s">
        <v>26133</v>
      </c>
      <c r="H4154" t="s">
        <v>26134</v>
      </c>
      <c r="I4154" t="s">
        <v>26135</v>
      </c>
      <c r="J4154" t="s">
        <v>26136</v>
      </c>
      <c r="K4154" t="s">
        <v>26137</v>
      </c>
      <c r="L4154" t="s">
        <v>26130</v>
      </c>
    </row>
    <row r="4155" spans="1:12" x14ac:dyDescent="0.25">
      <c r="A4155">
        <v>729971</v>
      </c>
      <c r="B4155">
        <v>735605</v>
      </c>
      <c r="D4155" t="s">
        <v>1875</v>
      </c>
      <c r="E4155" t="s">
        <v>26139</v>
      </c>
      <c r="F4155" t="s">
        <v>26140</v>
      </c>
      <c r="G4155" t="s">
        <v>26141</v>
      </c>
      <c r="H4155" t="e" vm="1816">
        <f>_FV(0,"02237086753730714")</f>
        <v>#VALUE!</v>
      </c>
      <c r="I4155" t="s">
        <v>26142</v>
      </c>
      <c r="J4155" t="s">
        <v>26143</v>
      </c>
      <c r="K4155" t="s">
        <v>26144</v>
      </c>
      <c r="L4155" t="s">
        <v>26138</v>
      </c>
    </row>
    <row r="4156" spans="1:12" x14ac:dyDescent="0.25">
      <c r="A4156">
        <v>730001</v>
      </c>
      <c r="B4156">
        <v>744227</v>
      </c>
      <c r="D4156" t="s">
        <v>17470</v>
      </c>
      <c r="E4156" t="s">
        <v>26146</v>
      </c>
      <c r="F4156" t="s">
        <v>26147</v>
      </c>
      <c r="G4156" t="s">
        <v>26148</v>
      </c>
      <c r="H4156" t="s">
        <v>26149</v>
      </c>
      <c r="I4156" t="s">
        <v>26150</v>
      </c>
      <c r="J4156" t="s">
        <v>26151</v>
      </c>
      <c r="K4156" t="s">
        <v>26152</v>
      </c>
      <c r="L4156" t="s">
        <v>26145</v>
      </c>
    </row>
    <row r="4157" spans="1:12" x14ac:dyDescent="0.25">
      <c r="A4157">
        <v>730001</v>
      </c>
      <c r="B4157">
        <v>744218</v>
      </c>
      <c r="D4157">
        <v>0</v>
      </c>
      <c r="E4157" t="s">
        <v>26154</v>
      </c>
      <c r="F4157" t="s">
        <v>26155</v>
      </c>
      <c r="G4157" t="s">
        <v>26156</v>
      </c>
      <c r="H4157" t="s">
        <v>26157</v>
      </c>
      <c r="I4157" t="s">
        <v>26158</v>
      </c>
      <c r="J4157" t="s">
        <v>26153</v>
      </c>
      <c r="K4157" t="s">
        <v>26159</v>
      </c>
      <c r="L4157" t="s">
        <v>26153</v>
      </c>
    </row>
    <row r="4158" spans="1:12" x14ac:dyDescent="0.25">
      <c r="A4158">
        <v>730001</v>
      </c>
      <c r="B4158">
        <v>1357361</v>
      </c>
      <c r="D4158">
        <v>0</v>
      </c>
      <c r="E4158" t="s">
        <v>26161</v>
      </c>
      <c r="F4158" t="s">
        <v>26162</v>
      </c>
      <c r="G4158" t="s">
        <v>26163</v>
      </c>
      <c r="H4158" t="e" vm="1817">
        <f>_FV(0,"00017431462621085375")</f>
        <v>#VALUE!</v>
      </c>
      <c r="I4158" t="s">
        <v>26164</v>
      </c>
      <c r="J4158" t="s">
        <v>26165</v>
      </c>
      <c r="K4158" t="s">
        <v>26166</v>
      </c>
      <c r="L4158" t="s">
        <v>26160</v>
      </c>
    </row>
    <row r="4159" spans="1:12" x14ac:dyDescent="0.25">
      <c r="A4159">
        <v>730776</v>
      </c>
      <c r="B4159">
        <v>1153102</v>
      </c>
      <c r="D4159">
        <v>0</v>
      </c>
      <c r="F4159">
        <v>1756387</v>
      </c>
      <c r="G4159">
        <v>1153102</v>
      </c>
      <c r="H4159" t="s">
        <v>467</v>
      </c>
      <c r="I4159">
        <v>730776</v>
      </c>
      <c r="J4159" t="s">
        <v>467</v>
      </c>
      <c r="K4159" t="s">
        <v>26167</v>
      </c>
      <c r="L4159" t="s">
        <v>467</v>
      </c>
    </row>
    <row r="4160" spans="1:12" x14ac:dyDescent="0.25">
      <c r="A4160">
        <v>730776</v>
      </c>
      <c r="B4160">
        <v>1152773</v>
      </c>
      <c r="D4160">
        <v>0</v>
      </c>
      <c r="E4160" t="s">
        <v>26169</v>
      </c>
      <c r="F4160" t="s">
        <v>26170</v>
      </c>
      <c r="G4160" t="s">
        <v>26171</v>
      </c>
      <c r="H4160" t="s">
        <v>26172</v>
      </c>
      <c r="I4160" t="s">
        <v>26173</v>
      </c>
      <c r="J4160" t="s">
        <v>26174</v>
      </c>
      <c r="K4160" t="s">
        <v>26175</v>
      </c>
      <c r="L4160" t="s">
        <v>26168</v>
      </c>
    </row>
    <row r="4161" spans="1:12" x14ac:dyDescent="0.25">
      <c r="A4161">
        <v>730776</v>
      </c>
      <c r="B4161">
        <v>1166895</v>
      </c>
      <c r="D4161" t="s">
        <v>2086</v>
      </c>
      <c r="E4161" t="s">
        <v>26177</v>
      </c>
      <c r="F4161" t="s">
        <v>26178</v>
      </c>
      <c r="G4161" t="s">
        <v>26179</v>
      </c>
      <c r="H4161" t="e" vm="1818">
        <f>_FV(0,"05353911671378222")</f>
        <v>#VALUE!</v>
      </c>
      <c r="I4161" t="s">
        <v>26180</v>
      </c>
      <c r="J4161" t="s">
        <v>26181</v>
      </c>
      <c r="K4161" t="s">
        <v>26182</v>
      </c>
      <c r="L4161" t="s">
        <v>26176</v>
      </c>
    </row>
    <row r="4162" spans="1:12" x14ac:dyDescent="0.25">
      <c r="A4162">
        <v>730907</v>
      </c>
      <c r="B4162">
        <v>1211358</v>
      </c>
      <c r="D4162" t="s">
        <v>26184</v>
      </c>
      <c r="E4162" t="s">
        <v>26185</v>
      </c>
      <c r="F4162" t="s">
        <v>26186</v>
      </c>
      <c r="G4162" t="s">
        <v>26187</v>
      </c>
      <c r="H4162" t="e" vm="1819">
        <f>_FV(0,"014505963339020819")</f>
        <v>#VALUE!</v>
      </c>
      <c r="I4162" t="s">
        <v>26188</v>
      </c>
      <c r="J4162" t="s">
        <v>26189</v>
      </c>
      <c r="K4162" t="s">
        <v>26190</v>
      </c>
      <c r="L4162" t="s">
        <v>26183</v>
      </c>
    </row>
    <row r="4163" spans="1:12" x14ac:dyDescent="0.25">
      <c r="A4163">
        <v>730907</v>
      </c>
      <c r="B4163">
        <v>1819833</v>
      </c>
      <c r="C4163" t="s">
        <v>26192</v>
      </c>
      <c r="D4163" t="s">
        <v>26193</v>
      </c>
      <c r="E4163" t="s">
        <v>26194</v>
      </c>
      <c r="F4163" t="s">
        <v>26195</v>
      </c>
      <c r="G4163" t="s">
        <v>26196</v>
      </c>
      <c r="H4163" t="e" vm="1820">
        <f>_FV(0,"004953069029824773")</f>
        <v>#VALUE!</v>
      </c>
      <c r="I4163" t="s">
        <v>26197</v>
      </c>
      <c r="J4163" t="s">
        <v>26198</v>
      </c>
      <c r="K4163" t="s">
        <v>26199</v>
      </c>
      <c r="L4163" t="s">
        <v>26191</v>
      </c>
    </row>
    <row r="4164" spans="1:12" x14ac:dyDescent="0.25">
      <c r="A4164">
        <v>731627</v>
      </c>
      <c r="B4164">
        <v>1114154</v>
      </c>
      <c r="D4164">
        <v>0</v>
      </c>
      <c r="E4164" t="s">
        <v>26201</v>
      </c>
      <c r="F4164" t="s">
        <v>26202</v>
      </c>
      <c r="G4164" t="s">
        <v>26203</v>
      </c>
      <c r="H4164" t="s">
        <v>26204</v>
      </c>
      <c r="I4164" t="s">
        <v>26205</v>
      </c>
      <c r="J4164" t="s">
        <v>26200</v>
      </c>
      <c r="K4164" t="s">
        <v>26206</v>
      </c>
      <c r="L4164" t="s">
        <v>26200</v>
      </c>
    </row>
    <row r="4165" spans="1:12" x14ac:dyDescent="0.25">
      <c r="A4165">
        <v>731627</v>
      </c>
      <c r="B4165">
        <v>731699</v>
      </c>
      <c r="D4165">
        <v>0</v>
      </c>
      <c r="E4165" t="s">
        <v>26208</v>
      </c>
      <c r="F4165" t="s">
        <v>26209</v>
      </c>
      <c r="G4165" t="s">
        <v>26210</v>
      </c>
      <c r="H4165" t="s">
        <v>26211</v>
      </c>
      <c r="I4165" t="s">
        <v>26212</v>
      </c>
      <c r="J4165" t="s">
        <v>26213</v>
      </c>
      <c r="K4165" t="s">
        <v>26214</v>
      </c>
      <c r="L4165" t="s">
        <v>26207</v>
      </c>
    </row>
    <row r="4166" spans="1:12" x14ac:dyDescent="0.25">
      <c r="A4166">
        <v>731635</v>
      </c>
      <c r="B4166">
        <v>731682</v>
      </c>
      <c r="D4166">
        <v>0</v>
      </c>
      <c r="E4166" t="s">
        <v>26216</v>
      </c>
      <c r="F4166" t="s">
        <v>26217</v>
      </c>
      <c r="G4166" t="s">
        <v>26218</v>
      </c>
      <c r="H4166" t="s">
        <v>26219</v>
      </c>
      <c r="I4166" t="s">
        <v>26220</v>
      </c>
      <c r="J4166" t="s">
        <v>26221</v>
      </c>
      <c r="K4166" t="s">
        <v>26222</v>
      </c>
      <c r="L4166" t="s">
        <v>26215</v>
      </c>
    </row>
    <row r="4167" spans="1:12" x14ac:dyDescent="0.25">
      <c r="A4167">
        <v>731635</v>
      </c>
      <c r="B4167">
        <v>731699</v>
      </c>
      <c r="D4167">
        <v>0</v>
      </c>
      <c r="E4167" t="s">
        <v>26224</v>
      </c>
      <c r="F4167" t="s">
        <v>26225</v>
      </c>
      <c r="G4167" t="s">
        <v>26226</v>
      </c>
      <c r="H4167" t="s">
        <v>26227</v>
      </c>
      <c r="I4167" t="s">
        <v>26228</v>
      </c>
      <c r="J4167" t="s">
        <v>26229</v>
      </c>
      <c r="K4167" t="s">
        <v>26230</v>
      </c>
      <c r="L4167" t="s">
        <v>26223</v>
      </c>
    </row>
    <row r="4168" spans="1:12" x14ac:dyDescent="0.25">
      <c r="A4168">
        <v>731699</v>
      </c>
      <c r="B4168">
        <v>1114141</v>
      </c>
      <c r="D4168">
        <v>0</v>
      </c>
      <c r="E4168" t="s">
        <v>26232</v>
      </c>
      <c r="F4168" t="s">
        <v>26233</v>
      </c>
      <c r="G4168" t="s">
        <v>26234</v>
      </c>
      <c r="H4168" t="s">
        <v>26235</v>
      </c>
      <c r="I4168" t="s">
        <v>26236</v>
      </c>
      <c r="J4168" t="s">
        <v>26237</v>
      </c>
      <c r="K4168" t="s">
        <v>26238</v>
      </c>
      <c r="L4168" t="s">
        <v>26231</v>
      </c>
    </row>
    <row r="4169" spans="1:12" x14ac:dyDescent="0.25">
      <c r="A4169">
        <v>732988</v>
      </c>
      <c r="B4169">
        <v>733008</v>
      </c>
      <c r="D4169">
        <v>0</v>
      </c>
      <c r="F4169">
        <v>751378</v>
      </c>
      <c r="G4169">
        <v>733008</v>
      </c>
      <c r="H4169" t="e" vm="215">
        <f>_FV(0,"02")</f>
        <v>#VALUE!</v>
      </c>
      <c r="I4169">
        <v>732988</v>
      </c>
      <c r="J4169" t="s">
        <v>3317</v>
      </c>
      <c r="K4169" t="s">
        <v>26239</v>
      </c>
      <c r="L4169" t="e" vm="215">
        <f>_FV(0,"02")</f>
        <v>#VALUE!</v>
      </c>
    </row>
    <row r="4170" spans="1:12" x14ac:dyDescent="0.25">
      <c r="A4170">
        <v>732988</v>
      </c>
      <c r="B4170">
        <v>734848</v>
      </c>
      <c r="D4170">
        <v>0</v>
      </c>
      <c r="E4170" t="s">
        <v>26241</v>
      </c>
      <c r="F4170" t="s">
        <v>26242</v>
      </c>
      <c r="G4170" t="s">
        <v>26243</v>
      </c>
      <c r="H4170" t="e" vm="1821">
        <f>_FV(0,"029259628813158835")</f>
        <v>#VALUE!</v>
      </c>
      <c r="I4170" t="s">
        <v>26244</v>
      </c>
      <c r="J4170" t="s">
        <v>26245</v>
      </c>
      <c r="K4170" t="s">
        <v>26246</v>
      </c>
      <c r="L4170" t="s">
        <v>26240</v>
      </c>
    </row>
    <row r="4171" spans="1:12" x14ac:dyDescent="0.25">
      <c r="A4171">
        <v>732992</v>
      </c>
      <c r="B4171">
        <v>732993</v>
      </c>
      <c r="D4171">
        <v>0</v>
      </c>
      <c r="F4171">
        <v>751354</v>
      </c>
      <c r="G4171">
        <v>732993</v>
      </c>
      <c r="H4171" t="s">
        <v>187</v>
      </c>
      <c r="I4171">
        <v>732992</v>
      </c>
      <c r="J4171" t="s">
        <v>187</v>
      </c>
      <c r="K4171" t="s">
        <v>26247</v>
      </c>
      <c r="L4171" t="s">
        <v>187</v>
      </c>
    </row>
    <row r="4172" spans="1:12" x14ac:dyDescent="0.25">
      <c r="A4172">
        <v>732993</v>
      </c>
      <c r="B4172">
        <v>733003</v>
      </c>
      <c r="D4172">
        <v>0</v>
      </c>
      <c r="E4172" t="s">
        <v>26249</v>
      </c>
      <c r="F4172" t="s">
        <v>26250</v>
      </c>
      <c r="G4172" t="s">
        <v>26251</v>
      </c>
      <c r="H4172" t="e" vm="1822">
        <f>_FV(0,"03765739802743831")</f>
        <v>#VALUE!</v>
      </c>
      <c r="I4172" t="s">
        <v>26252</v>
      </c>
      <c r="J4172" t="s">
        <v>26253</v>
      </c>
      <c r="K4172" t="s">
        <v>26254</v>
      </c>
      <c r="L4172" t="s">
        <v>26248</v>
      </c>
    </row>
    <row r="4173" spans="1:12" x14ac:dyDescent="0.25">
      <c r="A4173">
        <v>733003</v>
      </c>
      <c r="B4173">
        <v>733032</v>
      </c>
      <c r="D4173">
        <v>0</v>
      </c>
      <c r="E4173" t="s">
        <v>26256</v>
      </c>
      <c r="F4173" t="s">
        <v>26257</v>
      </c>
      <c r="G4173" t="s">
        <v>26258</v>
      </c>
      <c r="H4173" t="e" vm="1823">
        <f>_FV(0,"001170821328134703")</f>
        <v>#VALUE!</v>
      </c>
      <c r="I4173" t="s">
        <v>26259</v>
      </c>
      <c r="J4173" t="s">
        <v>26260</v>
      </c>
      <c r="K4173" t="s">
        <v>26261</v>
      </c>
      <c r="L4173" t="s">
        <v>26255</v>
      </c>
    </row>
    <row r="4174" spans="1:12" x14ac:dyDescent="0.25">
      <c r="A4174">
        <v>733003</v>
      </c>
      <c r="B4174">
        <v>735996</v>
      </c>
      <c r="D4174">
        <v>0</v>
      </c>
      <c r="E4174" t="s">
        <v>26263</v>
      </c>
      <c r="F4174" t="s">
        <v>26264</v>
      </c>
      <c r="G4174" t="s">
        <v>26265</v>
      </c>
      <c r="H4174" t="s">
        <v>26266</v>
      </c>
      <c r="I4174" t="s">
        <v>26267</v>
      </c>
      <c r="J4174" t="s">
        <v>26268</v>
      </c>
      <c r="K4174" t="s">
        <v>26269</v>
      </c>
      <c r="L4174" t="s">
        <v>26262</v>
      </c>
    </row>
    <row r="4175" spans="1:12" x14ac:dyDescent="0.25">
      <c r="A4175">
        <v>733008</v>
      </c>
      <c r="B4175">
        <v>734592</v>
      </c>
      <c r="D4175">
        <v>0</v>
      </c>
      <c r="F4175">
        <v>753316</v>
      </c>
      <c r="G4175">
        <v>734592</v>
      </c>
      <c r="H4175" t="s">
        <v>7225</v>
      </c>
      <c r="I4175">
        <v>733008</v>
      </c>
      <c r="J4175" t="s">
        <v>7225</v>
      </c>
      <c r="K4175" t="s">
        <v>26270</v>
      </c>
      <c r="L4175" t="s">
        <v>7225</v>
      </c>
    </row>
    <row r="4176" spans="1:12" x14ac:dyDescent="0.25">
      <c r="A4176">
        <v>733008</v>
      </c>
      <c r="B4176">
        <v>733025</v>
      </c>
      <c r="D4176">
        <v>0</v>
      </c>
      <c r="E4176" t="s">
        <v>26272</v>
      </c>
      <c r="F4176" t="s">
        <v>26273</v>
      </c>
      <c r="G4176" t="s">
        <v>26274</v>
      </c>
      <c r="H4176" t="s">
        <v>26275</v>
      </c>
      <c r="I4176" t="s">
        <v>26276</v>
      </c>
      <c r="J4176" t="s">
        <v>26277</v>
      </c>
      <c r="K4176" t="s">
        <v>26278</v>
      </c>
      <c r="L4176" t="s">
        <v>26271</v>
      </c>
    </row>
    <row r="4177" spans="1:12" x14ac:dyDescent="0.25">
      <c r="A4177">
        <v>733025</v>
      </c>
      <c r="B4177">
        <v>733040</v>
      </c>
      <c r="D4177">
        <v>0</v>
      </c>
      <c r="E4177" t="s">
        <v>26280</v>
      </c>
      <c r="F4177" t="s">
        <v>26281</v>
      </c>
      <c r="G4177" t="s">
        <v>26282</v>
      </c>
      <c r="H4177" t="s">
        <v>26283</v>
      </c>
      <c r="I4177" t="s">
        <v>26284</v>
      </c>
      <c r="J4177" t="s">
        <v>26285</v>
      </c>
      <c r="K4177" t="s">
        <v>26286</v>
      </c>
      <c r="L4177" t="s">
        <v>26279</v>
      </c>
    </row>
    <row r="4178" spans="1:12" x14ac:dyDescent="0.25">
      <c r="A4178">
        <v>733025</v>
      </c>
      <c r="B4178">
        <v>734848</v>
      </c>
      <c r="D4178">
        <v>0</v>
      </c>
      <c r="E4178" t="s">
        <v>26288</v>
      </c>
      <c r="F4178" t="s">
        <v>26289</v>
      </c>
      <c r="G4178" t="s">
        <v>26290</v>
      </c>
      <c r="H4178" t="e" vm="1824">
        <f>_FV(0,"007718271483202677")</f>
        <v>#VALUE!</v>
      </c>
      <c r="I4178" t="s">
        <v>26291</v>
      </c>
      <c r="J4178" t="s">
        <v>26292</v>
      </c>
      <c r="K4178" t="s">
        <v>26293</v>
      </c>
      <c r="L4178" t="s">
        <v>26287</v>
      </c>
    </row>
    <row r="4179" spans="1:12" x14ac:dyDescent="0.25">
      <c r="A4179">
        <v>733032</v>
      </c>
      <c r="B4179">
        <v>733100</v>
      </c>
      <c r="D4179">
        <v>0</v>
      </c>
      <c r="E4179" t="s">
        <v>26295</v>
      </c>
      <c r="F4179" t="s">
        <v>26296</v>
      </c>
      <c r="G4179" t="s">
        <v>26297</v>
      </c>
      <c r="H4179" t="s">
        <v>26298</v>
      </c>
      <c r="I4179" t="s">
        <v>26299</v>
      </c>
      <c r="J4179" t="s">
        <v>26300</v>
      </c>
      <c r="K4179" t="s">
        <v>26301</v>
      </c>
      <c r="L4179" t="s">
        <v>26294</v>
      </c>
    </row>
    <row r="4180" spans="1:12" x14ac:dyDescent="0.25">
      <c r="A4180">
        <v>733040</v>
      </c>
      <c r="B4180">
        <v>733047</v>
      </c>
      <c r="D4180">
        <v>0</v>
      </c>
      <c r="E4180" t="s">
        <v>26303</v>
      </c>
      <c r="F4180" t="s">
        <v>26304</v>
      </c>
      <c r="G4180" t="s">
        <v>26305</v>
      </c>
      <c r="H4180" t="e" vm="1825">
        <f>_FV(0,"006000211845331644")</f>
        <v>#VALUE!</v>
      </c>
      <c r="I4180" t="s">
        <v>26306</v>
      </c>
      <c r="J4180" t="s">
        <v>26307</v>
      </c>
      <c r="K4180" t="s">
        <v>26308</v>
      </c>
      <c r="L4180" t="s">
        <v>26302</v>
      </c>
    </row>
    <row r="4181" spans="1:12" x14ac:dyDescent="0.25">
      <c r="A4181">
        <v>733040</v>
      </c>
      <c r="B4181">
        <v>733145</v>
      </c>
      <c r="D4181">
        <v>0</v>
      </c>
      <c r="E4181" t="s">
        <v>26310</v>
      </c>
      <c r="F4181" t="s">
        <v>26311</v>
      </c>
      <c r="G4181" t="s">
        <v>26312</v>
      </c>
      <c r="H4181" t="e" vm="1826">
        <f>_FV(0,"015968725233710783")</f>
        <v>#VALUE!</v>
      </c>
      <c r="I4181" t="s">
        <v>26313</v>
      </c>
      <c r="J4181" t="s">
        <v>26314</v>
      </c>
      <c r="K4181" t="s">
        <v>26315</v>
      </c>
      <c r="L4181" t="s">
        <v>26309</v>
      </c>
    </row>
    <row r="4182" spans="1:12" x14ac:dyDescent="0.25">
      <c r="A4182">
        <v>733044</v>
      </c>
      <c r="B4182">
        <v>1262962</v>
      </c>
      <c r="D4182" t="s">
        <v>7856</v>
      </c>
      <c r="E4182" t="s">
        <v>26317</v>
      </c>
      <c r="F4182" t="s">
        <v>26318</v>
      </c>
      <c r="G4182" t="s">
        <v>26319</v>
      </c>
      <c r="H4182" t="e" vm="1827">
        <f>_FV(0,"010611799973805909")</f>
        <v>#VALUE!</v>
      </c>
      <c r="I4182" t="s">
        <v>26320</v>
      </c>
      <c r="J4182" t="s">
        <v>26321</v>
      </c>
      <c r="K4182" t="s">
        <v>26322</v>
      </c>
      <c r="L4182" t="s">
        <v>26316</v>
      </c>
    </row>
    <row r="4183" spans="1:12" x14ac:dyDescent="0.25">
      <c r="A4183">
        <v>733044</v>
      </c>
      <c r="B4183">
        <v>1110126</v>
      </c>
      <c r="C4183" t="s">
        <v>26324</v>
      </c>
      <c r="D4183" t="s">
        <v>26325</v>
      </c>
      <c r="E4183" t="s">
        <v>26326</v>
      </c>
      <c r="F4183" t="s">
        <v>26327</v>
      </c>
      <c r="G4183" t="s">
        <v>26328</v>
      </c>
      <c r="H4183" t="e" vm="1828">
        <f>_FV(0,"006645340815563673")</f>
        <v>#VALUE!</v>
      </c>
      <c r="I4183" t="s">
        <v>26329</v>
      </c>
      <c r="J4183" t="s">
        <v>26330</v>
      </c>
      <c r="K4183" t="s">
        <v>26331</v>
      </c>
      <c r="L4183" t="s">
        <v>26323</v>
      </c>
    </row>
    <row r="4184" spans="1:12" x14ac:dyDescent="0.25">
      <c r="A4184">
        <v>733044</v>
      </c>
      <c r="B4184">
        <v>1175795</v>
      </c>
      <c r="D4184" t="s">
        <v>7643</v>
      </c>
      <c r="E4184" t="s">
        <v>26333</v>
      </c>
      <c r="F4184" t="s">
        <v>26334</v>
      </c>
      <c r="G4184" t="s">
        <v>26335</v>
      </c>
      <c r="H4184" t="s">
        <v>26336</v>
      </c>
      <c r="I4184" t="s">
        <v>26337</v>
      </c>
      <c r="J4184" t="s">
        <v>26338</v>
      </c>
      <c r="K4184" t="s">
        <v>26339</v>
      </c>
      <c r="L4184" t="s">
        <v>26332</v>
      </c>
    </row>
    <row r="4185" spans="1:12" x14ac:dyDescent="0.25">
      <c r="A4185">
        <v>733047</v>
      </c>
      <c r="B4185">
        <v>733058</v>
      </c>
      <c r="D4185">
        <v>0</v>
      </c>
      <c r="F4185">
        <v>751426</v>
      </c>
      <c r="G4185">
        <v>733058</v>
      </c>
      <c r="H4185" t="s">
        <v>12</v>
      </c>
      <c r="I4185">
        <v>733047</v>
      </c>
      <c r="J4185" t="s">
        <v>12</v>
      </c>
      <c r="K4185" t="s">
        <v>26340</v>
      </c>
      <c r="L4185" t="s">
        <v>12</v>
      </c>
    </row>
    <row r="4186" spans="1:12" x14ac:dyDescent="0.25">
      <c r="A4186">
        <v>733047</v>
      </c>
      <c r="B4186">
        <v>733112</v>
      </c>
      <c r="D4186">
        <v>0</v>
      </c>
      <c r="F4186">
        <v>769410</v>
      </c>
      <c r="G4186">
        <v>733112</v>
      </c>
      <c r="H4186" t="s">
        <v>2884</v>
      </c>
      <c r="I4186">
        <v>733047</v>
      </c>
      <c r="J4186" t="s">
        <v>2884</v>
      </c>
      <c r="K4186" t="s">
        <v>26341</v>
      </c>
      <c r="L4186" t="s">
        <v>2884</v>
      </c>
    </row>
    <row r="4187" spans="1:12" x14ac:dyDescent="0.25">
      <c r="A4187">
        <v>733047</v>
      </c>
      <c r="B4187">
        <v>733067</v>
      </c>
      <c r="D4187" t="s">
        <v>204</v>
      </c>
      <c r="E4187" t="s">
        <v>26343</v>
      </c>
      <c r="F4187" t="s">
        <v>26344</v>
      </c>
      <c r="G4187" t="s">
        <v>26345</v>
      </c>
      <c r="H4187" t="e" vm="1829">
        <f>_FV(0,"030540744660609388")</f>
        <v>#VALUE!</v>
      </c>
      <c r="I4187" t="s">
        <v>26346</v>
      </c>
      <c r="J4187" t="s">
        <v>26347</v>
      </c>
      <c r="K4187" t="s">
        <v>26348</v>
      </c>
      <c r="L4187" t="s">
        <v>26342</v>
      </c>
    </row>
    <row r="4188" spans="1:12" x14ac:dyDescent="0.25">
      <c r="A4188">
        <v>733058</v>
      </c>
      <c r="B4188">
        <v>747176</v>
      </c>
      <c r="D4188">
        <v>0</v>
      </c>
      <c r="F4188">
        <v>768068</v>
      </c>
      <c r="G4188">
        <v>747176</v>
      </c>
      <c r="H4188" t="s">
        <v>26349</v>
      </c>
      <c r="I4188">
        <v>733058</v>
      </c>
      <c r="J4188" t="s">
        <v>26349</v>
      </c>
      <c r="K4188" t="s">
        <v>26350</v>
      </c>
      <c r="L4188" t="s">
        <v>26349</v>
      </c>
    </row>
    <row r="4189" spans="1:12" x14ac:dyDescent="0.25">
      <c r="A4189">
        <v>733058</v>
      </c>
      <c r="B4189">
        <v>733066</v>
      </c>
      <c r="C4189" t="s">
        <v>26352</v>
      </c>
      <c r="D4189" t="s">
        <v>330</v>
      </c>
      <c r="E4189" t="s">
        <v>26353</v>
      </c>
      <c r="F4189" t="s">
        <v>26354</v>
      </c>
      <c r="G4189" t="s">
        <v>26355</v>
      </c>
      <c r="H4189" t="e" vm="1830">
        <f>_FV(0,"03109504515544949")</f>
        <v>#VALUE!</v>
      </c>
      <c r="I4189" t="s">
        <v>26356</v>
      </c>
      <c r="J4189" t="s">
        <v>26357</v>
      </c>
      <c r="K4189" t="s">
        <v>26358</v>
      </c>
      <c r="L4189" t="s">
        <v>26351</v>
      </c>
    </row>
    <row r="4190" spans="1:12" x14ac:dyDescent="0.25">
      <c r="A4190">
        <v>733066</v>
      </c>
      <c r="B4190">
        <v>733067</v>
      </c>
      <c r="D4190">
        <v>0</v>
      </c>
      <c r="F4190">
        <v>751434</v>
      </c>
      <c r="G4190">
        <v>733067</v>
      </c>
      <c r="H4190" t="e" vm="464">
        <f>_FV(0,"05")</f>
        <v>#VALUE!</v>
      </c>
      <c r="I4190">
        <v>733066</v>
      </c>
      <c r="J4190" t="s">
        <v>6429</v>
      </c>
      <c r="K4190" t="s">
        <v>26359</v>
      </c>
      <c r="L4190" t="e" vm="464">
        <f>_FV(0,"05")</f>
        <v>#VALUE!</v>
      </c>
    </row>
    <row r="4191" spans="1:12" x14ac:dyDescent="0.25">
      <c r="A4191">
        <v>733066</v>
      </c>
      <c r="B4191">
        <v>748560</v>
      </c>
      <c r="D4191">
        <v>0</v>
      </c>
      <c r="E4191" t="s">
        <v>26361</v>
      </c>
      <c r="F4191" t="s">
        <v>26362</v>
      </c>
      <c r="G4191" t="s">
        <v>26363</v>
      </c>
      <c r="H4191" t="s">
        <v>26364</v>
      </c>
      <c r="I4191" t="s">
        <v>26365</v>
      </c>
      <c r="J4191" t="s">
        <v>26366</v>
      </c>
      <c r="K4191" t="s">
        <v>26367</v>
      </c>
      <c r="L4191" t="s">
        <v>26360</v>
      </c>
    </row>
    <row r="4192" spans="1:12" x14ac:dyDescent="0.25">
      <c r="A4192">
        <v>733067</v>
      </c>
      <c r="B4192">
        <v>733100</v>
      </c>
      <c r="D4192">
        <v>0</v>
      </c>
      <c r="E4192" t="s">
        <v>26369</v>
      </c>
      <c r="F4192" t="s">
        <v>26370</v>
      </c>
      <c r="G4192" t="s">
        <v>26371</v>
      </c>
      <c r="H4192" t="e" vm="1831">
        <f>_FV(0,"012580700777417176")</f>
        <v>#VALUE!</v>
      </c>
      <c r="I4192" t="s">
        <v>26372</v>
      </c>
      <c r="J4192" t="s">
        <v>26373</v>
      </c>
      <c r="K4192" t="s">
        <v>26374</v>
      </c>
      <c r="L4192" t="s">
        <v>26368</v>
      </c>
    </row>
    <row r="4193" spans="1:12" x14ac:dyDescent="0.25">
      <c r="A4193">
        <v>733067</v>
      </c>
      <c r="B4193">
        <v>748560</v>
      </c>
      <c r="D4193">
        <v>0</v>
      </c>
      <c r="F4193">
        <v>769367</v>
      </c>
      <c r="G4193">
        <v>733067</v>
      </c>
      <c r="H4193" t="s">
        <v>4536</v>
      </c>
      <c r="I4193">
        <v>748560</v>
      </c>
      <c r="J4193" t="s">
        <v>4536</v>
      </c>
      <c r="K4193" t="s">
        <v>26375</v>
      </c>
      <c r="L4193" t="s">
        <v>4536</v>
      </c>
    </row>
    <row r="4194" spans="1:12" x14ac:dyDescent="0.25">
      <c r="A4194">
        <v>733100</v>
      </c>
      <c r="B4194">
        <v>733151</v>
      </c>
      <c r="D4194">
        <v>0</v>
      </c>
      <c r="E4194" t="s">
        <v>26377</v>
      </c>
      <c r="F4194" t="s">
        <v>26378</v>
      </c>
      <c r="G4194" t="s">
        <v>26379</v>
      </c>
      <c r="H4194" t="e" vm="1832">
        <f>_FV(0,"011388211305343718")</f>
        <v>#VALUE!</v>
      </c>
      <c r="I4194" t="s">
        <v>26380</v>
      </c>
      <c r="J4194" t="s">
        <v>26381</v>
      </c>
      <c r="K4194" t="s">
        <v>26382</v>
      </c>
      <c r="L4194" t="s">
        <v>26376</v>
      </c>
    </row>
    <row r="4195" spans="1:12" x14ac:dyDescent="0.25">
      <c r="A4195">
        <v>733111</v>
      </c>
      <c r="B4195">
        <v>733112</v>
      </c>
      <c r="D4195">
        <v>0</v>
      </c>
      <c r="F4195">
        <v>751474</v>
      </c>
      <c r="G4195">
        <v>733112</v>
      </c>
      <c r="H4195" t="s">
        <v>187</v>
      </c>
      <c r="I4195">
        <v>733111</v>
      </c>
      <c r="J4195" t="s">
        <v>187</v>
      </c>
      <c r="K4195" t="s">
        <v>26383</v>
      </c>
      <c r="L4195" t="s">
        <v>187</v>
      </c>
    </row>
    <row r="4196" spans="1:12" x14ac:dyDescent="0.25">
      <c r="A4196">
        <v>733128</v>
      </c>
      <c r="B4196">
        <v>733464</v>
      </c>
      <c r="D4196">
        <v>0</v>
      </c>
      <c r="E4196" t="s">
        <v>26385</v>
      </c>
      <c r="F4196" t="s">
        <v>26386</v>
      </c>
      <c r="G4196" t="s">
        <v>26387</v>
      </c>
      <c r="H4196" t="e" vm="1833">
        <f>_FV(0,"0003628925884697597")</f>
        <v>#VALUE!</v>
      </c>
      <c r="I4196" t="s">
        <v>26388</v>
      </c>
      <c r="J4196" t="s">
        <v>26389</v>
      </c>
      <c r="K4196" t="s">
        <v>26390</v>
      </c>
      <c r="L4196" t="s">
        <v>26384</v>
      </c>
    </row>
    <row r="4197" spans="1:12" x14ac:dyDescent="0.25">
      <c r="A4197">
        <v>733128</v>
      </c>
      <c r="B4197">
        <v>733145</v>
      </c>
      <c r="D4197">
        <v>0</v>
      </c>
      <c r="F4197">
        <v>753864</v>
      </c>
      <c r="G4197">
        <v>733128</v>
      </c>
      <c r="H4197" t="s">
        <v>737</v>
      </c>
      <c r="I4197">
        <v>733145</v>
      </c>
      <c r="J4197" t="s">
        <v>737</v>
      </c>
      <c r="K4197" t="s">
        <v>26391</v>
      </c>
      <c r="L4197" t="s">
        <v>737</v>
      </c>
    </row>
    <row r="4198" spans="1:12" x14ac:dyDescent="0.25">
      <c r="A4198">
        <v>733136</v>
      </c>
      <c r="B4198">
        <v>733170</v>
      </c>
      <c r="D4198">
        <v>0</v>
      </c>
      <c r="E4198" t="s">
        <v>26393</v>
      </c>
      <c r="F4198" t="s">
        <v>26394</v>
      </c>
      <c r="G4198" t="s">
        <v>26395</v>
      </c>
      <c r="H4198" t="s">
        <v>26396</v>
      </c>
      <c r="I4198" t="s">
        <v>26397</v>
      </c>
      <c r="J4198" t="s">
        <v>26398</v>
      </c>
      <c r="K4198" t="s">
        <v>26399</v>
      </c>
      <c r="L4198" t="s">
        <v>26392</v>
      </c>
    </row>
    <row r="4199" spans="1:12" x14ac:dyDescent="0.25">
      <c r="A4199">
        <v>733136</v>
      </c>
      <c r="B4199">
        <v>733151</v>
      </c>
      <c r="D4199">
        <v>0</v>
      </c>
      <c r="F4199">
        <v>779293</v>
      </c>
      <c r="G4199">
        <v>733136</v>
      </c>
      <c r="H4199" t="s">
        <v>226</v>
      </c>
      <c r="I4199">
        <v>733151</v>
      </c>
      <c r="J4199" t="s">
        <v>226</v>
      </c>
      <c r="K4199" t="s">
        <v>26400</v>
      </c>
      <c r="L4199" t="s">
        <v>226</v>
      </c>
    </row>
    <row r="4200" spans="1:12" x14ac:dyDescent="0.25">
      <c r="A4200">
        <v>733162</v>
      </c>
      <c r="B4200">
        <v>733470</v>
      </c>
      <c r="D4200">
        <v>0</v>
      </c>
      <c r="E4200" t="s">
        <v>26402</v>
      </c>
      <c r="F4200" t="s">
        <v>26403</v>
      </c>
      <c r="G4200" t="s">
        <v>26404</v>
      </c>
      <c r="H4200" t="e" vm="1834">
        <f>_FV(0,"00978992759186183")</f>
        <v>#VALUE!</v>
      </c>
      <c r="I4200" t="s">
        <v>26405</v>
      </c>
      <c r="J4200" t="s">
        <v>26406</v>
      </c>
      <c r="K4200" t="s">
        <v>26407</v>
      </c>
      <c r="L4200" t="s">
        <v>26401</v>
      </c>
    </row>
    <row r="4201" spans="1:12" x14ac:dyDescent="0.25">
      <c r="A4201">
        <v>733162</v>
      </c>
      <c r="B4201">
        <v>733464</v>
      </c>
      <c r="D4201">
        <v>0</v>
      </c>
      <c r="F4201">
        <v>753968</v>
      </c>
      <c r="G4201">
        <v>733162</v>
      </c>
      <c r="H4201" t="s">
        <v>26408</v>
      </c>
      <c r="I4201">
        <v>733464</v>
      </c>
      <c r="J4201" t="s">
        <v>26408</v>
      </c>
      <c r="K4201" t="s">
        <v>26409</v>
      </c>
      <c r="L4201" t="s">
        <v>26408</v>
      </c>
    </row>
    <row r="4202" spans="1:12" x14ac:dyDescent="0.25">
      <c r="A4202">
        <v>733177</v>
      </c>
      <c r="B4202">
        <v>780372</v>
      </c>
      <c r="D4202">
        <v>0</v>
      </c>
      <c r="E4202" t="s">
        <v>26411</v>
      </c>
      <c r="F4202" t="s">
        <v>26412</v>
      </c>
      <c r="G4202" t="s">
        <v>26413</v>
      </c>
      <c r="H4202" t="e" vm="1835">
        <f>_FV(0,"015992816535640848")</f>
        <v>#VALUE!</v>
      </c>
      <c r="I4202" t="s">
        <v>26414</v>
      </c>
      <c r="J4202" t="s">
        <v>26415</v>
      </c>
      <c r="K4202" t="s">
        <v>26416</v>
      </c>
      <c r="L4202" t="s">
        <v>26410</v>
      </c>
    </row>
    <row r="4203" spans="1:12" x14ac:dyDescent="0.25">
      <c r="A4203">
        <v>733177</v>
      </c>
      <c r="B4203">
        <v>733470</v>
      </c>
      <c r="C4203" t="s">
        <v>26418</v>
      </c>
      <c r="D4203">
        <v>0</v>
      </c>
      <c r="E4203" t="s">
        <v>26419</v>
      </c>
      <c r="F4203" t="s">
        <v>26420</v>
      </c>
      <c r="G4203" t="s">
        <v>26421</v>
      </c>
      <c r="H4203" t="e" vm="1836">
        <f>_FV(0,"04304603301487202")</f>
        <v>#VALUE!</v>
      </c>
      <c r="I4203" t="s">
        <v>26422</v>
      </c>
      <c r="J4203" t="s">
        <v>26423</v>
      </c>
      <c r="K4203" t="s">
        <v>26424</v>
      </c>
      <c r="L4203" t="s">
        <v>26417</v>
      </c>
    </row>
    <row r="4204" spans="1:12" x14ac:dyDescent="0.25">
      <c r="A4204">
        <v>733236</v>
      </c>
      <c r="B4204">
        <v>759648</v>
      </c>
      <c r="D4204">
        <v>0</v>
      </c>
      <c r="E4204" t="s">
        <v>26426</v>
      </c>
      <c r="F4204" t="s">
        <v>26427</v>
      </c>
      <c r="G4204" t="s">
        <v>26428</v>
      </c>
      <c r="H4204" t="e" vm="1837">
        <f>_FV(0,"10346934139667295")</f>
        <v>#VALUE!</v>
      </c>
      <c r="I4204" t="s">
        <v>26429</v>
      </c>
      <c r="J4204" t="s">
        <v>26430</v>
      </c>
      <c r="K4204" t="s">
        <v>26431</v>
      </c>
      <c r="L4204" t="s">
        <v>26425</v>
      </c>
    </row>
    <row r="4205" spans="1:12" x14ac:dyDescent="0.25">
      <c r="A4205">
        <v>733245</v>
      </c>
      <c r="B4205">
        <v>735183</v>
      </c>
      <c r="C4205" t="s">
        <v>26433</v>
      </c>
      <c r="D4205">
        <v>0</v>
      </c>
      <c r="E4205" t="s">
        <v>26434</v>
      </c>
      <c r="F4205" t="s">
        <v>26435</v>
      </c>
      <c r="G4205" t="s">
        <v>26436</v>
      </c>
      <c r="H4205" t="s">
        <v>26437</v>
      </c>
      <c r="I4205" t="s">
        <v>26438</v>
      </c>
      <c r="J4205" t="s">
        <v>26432</v>
      </c>
      <c r="K4205" t="s">
        <v>26439</v>
      </c>
      <c r="L4205" t="s">
        <v>26432</v>
      </c>
    </row>
    <row r="4206" spans="1:12" x14ac:dyDescent="0.25">
      <c r="A4206">
        <v>733245</v>
      </c>
      <c r="B4206">
        <v>780372</v>
      </c>
      <c r="D4206" t="s">
        <v>1007</v>
      </c>
      <c r="E4206" t="s">
        <v>26441</v>
      </c>
      <c r="F4206" t="s">
        <v>26442</v>
      </c>
      <c r="G4206" t="s">
        <v>26443</v>
      </c>
      <c r="H4206" t="e" vm="1838">
        <f>_FV(0,"02717374547730092")</f>
        <v>#VALUE!</v>
      </c>
      <c r="I4206" t="s">
        <v>26444</v>
      </c>
      <c r="J4206" t="s">
        <v>26445</v>
      </c>
      <c r="K4206" t="s">
        <v>26446</v>
      </c>
      <c r="L4206" t="s">
        <v>26440</v>
      </c>
    </row>
    <row r="4207" spans="1:12" x14ac:dyDescent="0.25">
      <c r="A4207">
        <v>733278</v>
      </c>
      <c r="B4207">
        <v>735183</v>
      </c>
      <c r="C4207" t="s">
        <v>26448</v>
      </c>
      <c r="D4207">
        <v>0</v>
      </c>
      <c r="E4207" t="s">
        <v>26449</v>
      </c>
      <c r="F4207" t="s">
        <v>26450</v>
      </c>
      <c r="G4207" t="s">
        <v>26451</v>
      </c>
      <c r="H4207" t="s">
        <v>26452</v>
      </c>
      <c r="I4207" t="s">
        <v>26453</v>
      </c>
      <c r="J4207" t="s">
        <v>26454</v>
      </c>
      <c r="K4207" t="s">
        <v>26455</v>
      </c>
      <c r="L4207" t="s">
        <v>26447</v>
      </c>
    </row>
    <row r="4208" spans="1:12" x14ac:dyDescent="0.25">
      <c r="A4208">
        <v>733283</v>
      </c>
      <c r="B4208">
        <v>733288</v>
      </c>
      <c r="D4208">
        <v>0</v>
      </c>
      <c r="E4208" t="s">
        <v>26457</v>
      </c>
      <c r="F4208" t="s">
        <v>26458</v>
      </c>
      <c r="G4208" t="s">
        <v>26459</v>
      </c>
      <c r="H4208" t="s">
        <v>26460</v>
      </c>
      <c r="I4208" t="s">
        <v>26461</v>
      </c>
      <c r="J4208" t="s">
        <v>26462</v>
      </c>
      <c r="K4208" t="s">
        <v>26463</v>
      </c>
      <c r="L4208" t="s">
        <v>26456</v>
      </c>
    </row>
    <row r="4209" spans="1:12" x14ac:dyDescent="0.25">
      <c r="A4209">
        <v>733283</v>
      </c>
      <c r="B4209">
        <v>759658</v>
      </c>
      <c r="D4209" t="s">
        <v>1839</v>
      </c>
      <c r="E4209" t="s">
        <v>26465</v>
      </c>
      <c r="F4209" t="s">
        <v>26466</v>
      </c>
      <c r="G4209" t="s">
        <v>26467</v>
      </c>
      <c r="H4209" t="s">
        <v>26468</v>
      </c>
      <c r="I4209" t="s">
        <v>26469</v>
      </c>
      <c r="J4209" t="s">
        <v>26464</v>
      </c>
      <c r="K4209" t="s">
        <v>26470</v>
      </c>
      <c r="L4209" t="s">
        <v>26464</v>
      </c>
    </row>
    <row r="4210" spans="1:12" x14ac:dyDescent="0.25">
      <c r="A4210">
        <v>733288</v>
      </c>
      <c r="B4210">
        <v>733315</v>
      </c>
      <c r="D4210">
        <v>0</v>
      </c>
      <c r="E4210" t="s">
        <v>26472</v>
      </c>
      <c r="F4210" t="s">
        <v>26473</v>
      </c>
      <c r="G4210" t="s">
        <v>26474</v>
      </c>
      <c r="H4210" t="s">
        <v>26475</v>
      </c>
      <c r="I4210" t="s">
        <v>26476</v>
      </c>
      <c r="J4210" t="s">
        <v>26477</v>
      </c>
      <c r="K4210" t="s">
        <v>26478</v>
      </c>
      <c r="L4210" t="s">
        <v>26471</v>
      </c>
    </row>
    <row r="4211" spans="1:12" x14ac:dyDescent="0.25">
      <c r="A4211">
        <v>733297</v>
      </c>
      <c r="B4211">
        <v>733299</v>
      </c>
      <c r="D4211">
        <v>0</v>
      </c>
      <c r="E4211" t="s">
        <v>26480</v>
      </c>
      <c r="F4211" t="s">
        <v>26481</v>
      </c>
      <c r="G4211" t="s">
        <v>26482</v>
      </c>
      <c r="H4211" t="e" vm="1839">
        <f>_FV(0,"0038727947424556557")</f>
        <v>#VALUE!</v>
      </c>
      <c r="I4211" t="s">
        <v>26483</v>
      </c>
      <c r="J4211" t="s">
        <v>26484</v>
      </c>
      <c r="K4211" t="s">
        <v>26485</v>
      </c>
      <c r="L4211" t="s">
        <v>26479</v>
      </c>
    </row>
    <row r="4212" spans="1:12" x14ac:dyDescent="0.25">
      <c r="A4212">
        <v>733297</v>
      </c>
      <c r="B4212">
        <v>742659</v>
      </c>
      <c r="D4212" t="s">
        <v>12983</v>
      </c>
      <c r="E4212" t="s">
        <v>26487</v>
      </c>
      <c r="F4212" t="s">
        <v>26488</v>
      </c>
      <c r="G4212" t="s">
        <v>26489</v>
      </c>
      <c r="H4212" t="e" vm="1840">
        <f>_FV(0,"025677268548723386")</f>
        <v>#VALUE!</v>
      </c>
      <c r="I4212" t="s">
        <v>26490</v>
      </c>
      <c r="J4212" t="s">
        <v>26491</v>
      </c>
      <c r="K4212" t="s">
        <v>26492</v>
      </c>
      <c r="L4212" t="s">
        <v>26486</v>
      </c>
    </row>
    <row r="4213" spans="1:12" x14ac:dyDescent="0.25">
      <c r="A4213">
        <v>733297</v>
      </c>
      <c r="B4213">
        <v>735276</v>
      </c>
      <c r="D4213" t="s">
        <v>26494</v>
      </c>
      <c r="E4213" t="s">
        <v>26495</v>
      </c>
      <c r="F4213" t="s">
        <v>26496</v>
      </c>
      <c r="G4213" t="s">
        <v>26497</v>
      </c>
      <c r="H4213" t="s">
        <v>26498</v>
      </c>
      <c r="I4213" t="s">
        <v>26499</v>
      </c>
      <c r="J4213" t="s">
        <v>26500</v>
      </c>
      <c r="K4213" t="s">
        <v>26501</v>
      </c>
      <c r="L4213" t="s">
        <v>26493</v>
      </c>
    </row>
    <row r="4214" spans="1:12" x14ac:dyDescent="0.25">
      <c r="A4214">
        <v>733299</v>
      </c>
      <c r="B4214">
        <v>733307</v>
      </c>
      <c r="D4214">
        <v>0</v>
      </c>
      <c r="F4214">
        <v>751698</v>
      </c>
      <c r="G4214">
        <v>733307</v>
      </c>
      <c r="H4214" t="s">
        <v>30</v>
      </c>
      <c r="I4214">
        <v>733299</v>
      </c>
      <c r="J4214" t="s">
        <v>30</v>
      </c>
      <c r="K4214" t="s">
        <v>26502</v>
      </c>
      <c r="L4214" t="s">
        <v>30</v>
      </c>
    </row>
    <row r="4215" spans="1:12" x14ac:dyDescent="0.25">
      <c r="A4215">
        <v>733299</v>
      </c>
      <c r="B4215">
        <v>735183</v>
      </c>
      <c r="D4215">
        <v>0</v>
      </c>
      <c r="E4215" t="s">
        <v>26504</v>
      </c>
      <c r="F4215" t="s">
        <v>26505</v>
      </c>
      <c r="G4215" t="s">
        <v>26506</v>
      </c>
      <c r="H4215" t="e" vm="1841">
        <f>_FV(0,"002661907826894607")</f>
        <v>#VALUE!</v>
      </c>
      <c r="I4215" t="s">
        <v>26507</v>
      </c>
      <c r="J4215" t="s">
        <v>26508</v>
      </c>
      <c r="K4215" t="s">
        <v>26509</v>
      </c>
      <c r="L4215" t="s">
        <v>26503</v>
      </c>
    </row>
    <row r="4216" spans="1:12" x14ac:dyDescent="0.25">
      <c r="A4216">
        <v>733314</v>
      </c>
      <c r="B4216">
        <v>733315</v>
      </c>
      <c r="D4216">
        <v>0</v>
      </c>
      <c r="F4216">
        <v>751706</v>
      </c>
      <c r="G4216">
        <v>733315</v>
      </c>
      <c r="H4216" t="s">
        <v>187</v>
      </c>
      <c r="I4216">
        <v>733314</v>
      </c>
      <c r="J4216" t="s">
        <v>187</v>
      </c>
      <c r="K4216" t="s">
        <v>26510</v>
      </c>
      <c r="L4216" t="s">
        <v>187</v>
      </c>
    </row>
    <row r="4217" spans="1:12" x14ac:dyDescent="0.25">
      <c r="A4217">
        <v>733331</v>
      </c>
      <c r="B4217">
        <v>733336</v>
      </c>
      <c r="D4217">
        <v>0</v>
      </c>
      <c r="F4217">
        <v>751738</v>
      </c>
      <c r="G4217">
        <v>733336</v>
      </c>
      <c r="H4217" t="s">
        <v>8057</v>
      </c>
      <c r="I4217">
        <v>733331</v>
      </c>
      <c r="J4217" t="s">
        <v>8057</v>
      </c>
      <c r="K4217" t="s">
        <v>26511</v>
      </c>
      <c r="L4217" t="s">
        <v>8057</v>
      </c>
    </row>
    <row r="4218" spans="1:12" x14ac:dyDescent="0.25">
      <c r="A4218">
        <v>733331</v>
      </c>
      <c r="B4218">
        <v>733343</v>
      </c>
      <c r="D4218">
        <v>0</v>
      </c>
      <c r="F4218">
        <v>766476</v>
      </c>
      <c r="G4218">
        <v>733343</v>
      </c>
      <c r="H4218" t="s">
        <v>12171</v>
      </c>
      <c r="I4218">
        <v>733331</v>
      </c>
      <c r="J4218" t="s">
        <v>12171</v>
      </c>
      <c r="K4218" t="s">
        <v>26512</v>
      </c>
      <c r="L4218" t="s">
        <v>12171</v>
      </c>
    </row>
    <row r="4219" spans="1:12" x14ac:dyDescent="0.25">
      <c r="A4219">
        <v>733331</v>
      </c>
      <c r="B4219">
        <v>745557</v>
      </c>
      <c r="D4219" t="s">
        <v>12284</v>
      </c>
      <c r="E4219" t="s">
        <v>26514</v>
      </c>
      <c r="F4219" t="s">
        <v>26515</v>
      </c>
      <c r="G4219" t="s">
        <v>26516</v>
      </c>
      <c r="H4219" t="s">
        <v>26517</v>
      </c>
      <c r="I4219" t="s">
        <v>26518</v>
      </c>
      <c r="J4219" t="s">
        <v>26519</v>
      </c>
      <c r="K4219" t="s">
        <v>26520</v>
      </c>
      <c r="L4219" t="s">
        <v>26513</v>
      </c>
    </row>
    <row r="4220" spans="1:12" x14ac:dyDescent="0.25">
      <c r="A4220">
        <v>733336</v>
      </c>
      <c r="B4220">
        <v>733343</v>
      </c>
      <c r="D4220">
        <v>0</v>
      </c>
      <c r="F4220">
        <v>751746</v>
      </c>
      <c r="G4220">
        <v>733343</v>
      </c>
      <c r="H4220" t="e" vm="19">
        <f>_FV(0,"036")</f>
        <v>#VALUE!</v>
      </c>
      <c r="I4220">
        <v>733336</v>
      </c>
      <c r="J4220" t="s">
        <v>279</v>
      </c>
      <c r="K4220" t="s">
        <v>26521</v>
      </c>
      <c r="L4220" t="e" vm="19">
        <f>_FV(0,"036")</f>
        <v>#VALUE!</v>
      </c>
    </row>
    <row r="4221" spans="1:12" x14ac:dyDescent="0.25">
      <c r="A4221">
        <v>733336</v>
      </c>
      <c r="B4221">
        <v>745032</v>
      </c>
      <c r="D4221" t="s">
        <v>12983</v>
      </c>
      <c r="E4221" t="s">
        <v>26523</v>
      </c>
      <c r="F4221" t="s">
        <v>26524</v>
      </c>
      <c r="G4221" t="s">
        <v>26525</v>
      </c>
      <c r="H4221" t="s">
        <v>26526</v>
      </c>
      <c r="I4221" t="s">
        <v>26527</v>
      </c>
      <c r="J4221" t="s">
        <v>26522</v>
      </c>
      <c r="K4221" t="s">
        <v>26528</v>
      </c>
      <c r="L4221" t="s">
        <v>26522</v>
      </c>
    </row>
    <row r="4222" spans="1:12" x14ac:dyDescent="0.25">
      <c r="A4222">
        <v>733353</v>
      </c>
      <c r="B4222">
        <v>733364</v>
      </c>
      <c r="D4222">
        <v>0</v>
      </c>
      <c r="E4222" t="s">
        <v>26530</v>
      </c>
      <c r="F4222" t="s">
        <v>26531</v>
      </c>
      <c r="G4222" t="s">
        <v>26532</v>
      </c>
      <c r="H4222" t="e" vm="1842">
        <f>_FV(0,"0025697204946143475")</f>
        <v>#VALUE!</v>
      </c>
      <c r="I4222" t="s">
        <v>26533</v>
      </c>
      <c r="J4222" t="s">
        <v>26534</v>
      </c>
      <c r="K4222" t="s">
        <v>26535</v>
      </c>
      <c r="L4222" t="s">
        <v>26529</v>
      </c>
    </row>
    <row r="4223" spans="1:12" x14ac:dyDescent="0.25">
      <c r="A4223">
        <v>733353</v>
      </c>
      <c r="B4223">
        <v>735276</v>
      </c>
      <c r="D4223" t="s">
        <v>12878</v>
      </c>
      <c r="E4223" t="s">
        <v>26537</v>
      </c>
      <c r="F4223" t="s">
        <v>26538</v>
      </c>
      <c r="G4223" t="s">
        <v>26539</v>
      </c>
      <c r="H4223" t="s">
        <v>26540</v>
      </c>
      <c r="I4223" t="s">
        <v>26541</v>
      </c>
      <c r="J4223" t="s">
        <v>26542</v>
      </c>
      <c r="K4223" t="s">
        <v>26543</v>
      </c>
      <c r="L4223" t="s">
        <v>26536</v>
      </c>
    </row>
    <row r="4224" spans="1:12" x14ac:dyDescent="0.25">
      <c r="A4224">
        <v>733360</v>
      </c>
      <c r="B4224">
        <v>733369</v>
      </c>
      <c r="D4224">
        <v>0</v>
      </c>
      <c r="E4224" t="s">
        <v>26545</v>
      </c>
      <c r="F4224" t="s">
        <v>26546</v>
      </c>
      <c r="G4224" t="s">
        <v>26547</v>
      </c>
      <c r="H4224" t="s">
        <v>26548</v>
      </c>
      <c r="I4224" t="s">
        <v>26549</v>
      </c>
      <c r="J4224" t="s">
        <v>26550</v>
      </c>
      <c r="K4224" t="s">
        <v>26551</v>
      </c>
      <c r="L4224" t="s">
        <v>26544</v>
      </c>
    </row>
    <row r="4225" spans="1:12" x14ac:dyDescent="0.25">
      <c r="A4225">
        <v>733360</v>
      </c>
      <c r="B4225">
        <v>733477</v>
      </c>
      <c r="D4225" t="s">
        <v>9991</v>
      </c>
      <c r="E4225" t="s">
        <v>26553</v>
      </c>
      <c r="F4225" t="s">
        <v>26554</v>
      </c>
      <c r="G4225" t="s">
        <v>26555</v>
      </c>
      <c r="H4225" t="s">
        <v>26556</v>
      </c>
      <c r="I4225" t="s">
        <v>26557</v>
      </c>
      <c r="J4225" t="s">
        <v>26558</v>
      </c>
      <c r="K4225" t="s">
        <v>26559</v>
      </c>
      <c r="L4225" t="s">
        <v>26552</v>
      </c>
    </row>
    <row r="4226" spans="1:12" x14ac:dyDescent="0.25">
      <c r="A4226">
        <v>733364</v>
      </c>
      <c r="B4226">
        <v>733373</v>
      </c>
      <c r="D4226">
        <v>0</v>
      </c>
      <c r="E4226" t="s">
        <v>26561</v>
      </c>
      <c r="F4226" t="s">
        <v>26562</v>
      </c>
      <c r="G4226" t="s">
        <v>26563</v>
      </c>
      <c r="H4226" t="s">
        <v>26564</v>
      </c>
      <c r="I4226" t="s">
        <v>26565</v>
      </c>
      <c r="J4226" t="s">
        <v>26560</v>
      </c>
      <c r="K4226" t="s">
        <v>26566</v>
      </c>
      <c r="L4226" t="s">
        <v>26560</v>
      </c>
    </row>
    <row r="4227" spans="1:12" x14ac:dyDescent="0.25">
      <c r="A4227">
        <v>733369</v>
      </c>
      <c r="B4227">
        <v>733387</v>
      </c>
      <c r="D4227">
        <v>0</v>
      </c>
      <c r="E4227" t="s">
        <v>26568</v>
      </c>
      <c r="F4227" t="s">
        <v>26569</v>
      </c>
      <c r="G4227" t="s">
        <v>26570</v>
      </c>
      <c r="H4227" t="s">
        <v>26571</v>
      </c>
      <c r="I4227" t="s">
        <v>26572</v>
      </c>
      <c r="J4227" t="s">
        <v>26573</v>
      </c>
      <c r="K4227" t="s">
        <v>26574</v>
      </c>
      <c r="L4227" t="s">
        <v>26567</v>
      </c>
    </row>
    <row r="4228" spans="1:12" x14ac:dyDescent="0.25">
      <c r="A4228">
        <v>733373</v>
      </c>
      <c r="B4228">
        <v>733396</v>
      </c>
      <c r="D4228">
        <v>0</v>
      </c>
      <c r="E4228" t="s">
        <v>26576</v>
      </c>
      <c r="F4228" t="s">
        <v>26577</v>
      </c>
      <c r="G4228" t="s">
        <v>26578</v>
      </c>
      <c r="H4228" t="s">
        <v>26579</v>
      </c>
      <c r="I4228" t="s">
        <v>26580</v>
      </c>
      <c r="J4228" t="s">
        <v>26581</v>
      </c>
      <c r="K4228" t="s">
        <v>26582</v>
      </c>
      <c r="L4228" t="s">
        <v>26575</v>
      </c>
    </row>
    <row r="4229" spans="1:12" x14ac:dyDescent="0.25">
      <c r="A4229">
        <v>733378</v>
      </c>
      <c r="B4229">
        <v>733379</v>
      </c>
      <c r="D4229">
        <v>0</v>
      </c>
      <c r="F4229">
        <v>751802</v>
      </c>
      <c r="G4229">
        <v>733379</v>
      </c>
      <c r="H4229" t="e" vm="342">
        <f>_FV(0,"011")</f>
        <v>#VALUE!</v>
      </c>
      <c r="I4229">
        <v>733378</v>
      </c>
      <c r="J4229" t="s">
        <v>4848</v>
      </c>
      <c r="K4229" t="s">
        <v>26583</v>
      </c>
      <c r="L4229" t="e" vm="342">
        <f>_FV(0,"011")</f>
        <v>#VALUE!</v>
      </c>
    </row>
    <row r="4230" spans="1:12" x14ac:dyDescent="0.25">
      <c r="A4230">
        <v>733379</v>
      </c>
      <c r="B4230">
        <v>733387</v>
      </c>
      <c r="C4230" t="s">
        <v>26585</v>
      </c>
      <c r="D4230">
        <v>0</v>
      </c>
      <c r="E4230" t="s">
        <v>26586</v>
      </c>
      <c r="F4230" t="s">
        <v>26587</v>
      </c>
      <c r="G4230" t="s">
        <v>26588</v>
      </c>
      <c r="H4230" t="e" vm="1843">
        <f>_FV(0,"03116163673922405")</f>
        <v>#VALUE!</v>
      </c>
      <c r="I4230" t="s">
        <v>26589</v>
      </c>
      <c r="J4230" t="s">
        <v>26590</v>
      </c>
      <c r="K4230" t="s">
        <v>26591</v>
      </c>
      <c r="L4230" t="s">
        <v>26584</v>
      </c>
    </row>
    <row r="4231" spans="1:12" x14ac:dyDescent="0.25">
      <c r="A4231">
        <v>733387</v>
      </c>
      <c r="B4231">
        <v>733403</v>
      </c>
      <c r="C4231" t="s">
        <v>26593</v>
      </c>
      <c r="D4231">
        <v>0</v>
      </c>
      <c r="E4231" t="s">
        <v>26594</v>
      </c>
      <c r="F4231" t="s">
        <v>26595</v>
      </c>
      <c r="G4231" t="s">
        <v>26596</v>
      </c>
      <c r="H4231" t="s">
        <v>26597</v>
      </c>
      <c r="I4231" t="s">
        <v>26598</v>
      </c>
      <c r="J4231" t="s">
        <v>26599</v>
      </c>
      <c r="K4231" t="s">
        <v>26600</v>
      </c>
      <c r="L4231" t="s">
        <v>26592</v>
      </c>
    </row>
    <row r="4232" spans="1:12" x14ac:dyDescent="0.25">
      <c r="A4232">
        <v>733396</v>
      </c>
      <c r="B4232">
        <v>735605</v>
      </c>
      <c r="D4232" t="s">
        <v>7643</v>
      </c>
      <c r="E4232" t="s">
        <v>26602</v>
      </c>
      <c r="F4232" t="s">
        <v>26603</v>
      </c>
      <c r="G4232" t="s">
        <v>26604</v>
      </c>
      <c r="H4232" t="s">
        <v>26605</v>
      </c>
      <c r="I4232" t="s">
        <v>26606</v>
      </c>
      <c r="J4232" t="s">
        <v>26607</v>
      </c>
      <c r="K4232" t="s">
        <v>26608</v>
      </c>
      <c r="L4232" t="s">
        <v>26601</v>
      </c>
    </row>
    <row r="4233" spans="1:12" x14ac:dyDescent="0.25">
      <c r="A4233">
        <v>733403</v>
      </c>
      <c r="B4233">
        <v>744227</v>
      </c>
      <c r="D4233" t="s">
        <v>26610</v>
      </c>
      <c r="E4233" t="s">
        <v>26611</v>
      </c>
      <c r="F4233" t="s">
        <v>26612</v>
      </c>
      <c r="G4233" t="s">
        <v>26613</v>
      </c>
      <c r="H4233" t="s">
        <v>26614</v>
      </c>
      <c r="I4233" t="s">
        <v>26615</v>
      </c>
      <c r="J4233" t="s">
        <v>26616</v>
      </c>
      <c r="K4233" t="s">
        <v>26617</v>
      </c>
      <c r="L4233" t="s">
        <v>26609</v>
      </c>
    </row>
    <row r="4234" spans="1:12" x14ac:dyDescent="0.25">
      <c r="A4234">
        <v>733414</v>
      </c>
      <c r="B4234">
        <v>733448</v>
      </c>
      <c r="D4234" t="s">
        <v>26619</v>
      </c>
      <c r="E4234" t="s">
        <v>26620</v>
      </c>
      <c r="F4234" t="s">
        <v>26621</v>
      </c>
      <c r="G4234" t="s">
        <v>26622</v>
      </c>
      <c r="H4234" t="s">
        <v>26623</v>
      </c>
      <c r="I4234" t="s">
        <v>26624</v>
      </c>
      <c r="J4234" t="s">
        <v>26625</v>
      </c>
      <c r="K4234" t="s">
        <v>26626</v>
      </c>
      <c r="L4234" t="s">
        <v>26618</v>
      </c>
    </row>
    <row r="4235" spans="1:12" x14ac:dyDescent="0.25">
      <c r="A4235">
        <v>733414</v>
      </c>
      <c r="B4235">
        <v>735605</v>
      </c>
      <c r="D4235" t="s">
        <v>26628</v>
      </c>
      <c r="E4235" t="s">
        <v>26629</v>
      </c>
      <c r="F4235" t="s">
        <v>26630</v>
      </c>
      <c r="G4235" t="s">
        <v>26631</v>
      </c>
      <c r="H4235" t="s">
        <v>26632</v>
      </c>
      <c r="I4235" t="s">
        <v>26633</v>
      </c>
      <c r="J4235" t="s">
        <v>26634</v>
      </c>
      <c r="K4235" t="s">
        <v>26635</v>
      </c>
      <c r="L4235" t="s">
        <v>26627</v>
      </c>
    </row>
    <row r="4236" spans="1:12" x14ac:dyDescent="0.25">
      <c r="A4236">
        <v>733420</v>
      </c>
      <c r="B4236">
        <v>733427</v>
      </c>
      <c r="D4236">
        <v>0</v>
      </c>
      <c r="E4236" t="s">
        <v>26637</v>
      </c>
      <c r="F4236" t="s">
        <v>26638</v>
      </c>
      <c r="G4236" t="s">
        <v>26639</v>
      </c>
      <c r="H4236" t="e" vm="1844">
        <f>_FV(0,"017338955584433553")</f>
        <v>#VALUE!</v>
      </c>
      <c r="I4236" t="s">
        <v>26640</v>
      </c>
      <c r="J4236" t="s">
        <v>26641</v>
      </c>
      <c r="K4236" t="s">
        <v>26642</v>
      </c>
      <c r="L4236" t="s">
        <v>26636</v>
      </c>
    </row>
    <row r="4237" spans="1:12" x14ac:dyDescent="0.25">
      <c r="A4237">
        <v>733420</v>
      </c>
      <c r="B4237">
        <v>733455</v>
      </c>
      <c r="D4237" t="s">
        <v>26644</v>
      </c>
      <c r="E4237" t="s">
        <v>26645</v>
      </c>
      <c r="F4237" t="s">
        <v>26646</v>
      </c>
      <c r="G4237" t="s">
        <v>26647</v>
      </c>
      <c r="H4237" t="s">
        <v>26648</v>
      </c>
      <c r="I4237" t="s">
        <v>26649</v>
      </c>
      <c r="J4237" t="s">
        <v>26650</v>
      </c>
      <c r="K4237" t="s">
        <v>26651</v>
      </c>
      <c r="L4237" t="s">
        <v>26643</v>
      </c>
    </row>
    <row r="4238" spans="1:12" x14ac:dyDescent="0.25">
      <c r="A4238">
        <v>733420</v>
      </c>
      <c r="B4238">
        <v>744227</v>
      </c>
      <c r="D4238" t="s">
        <v>26653</v>
      </c>
      <c r="E4238" t="s">
        <v>26654</v>
      </c>
      <c r="F4238" t="s">
        <v>26655</v>
      </c>
      <c r="G4238" t="s">
        <v>26656</v>
      </c>
      <c r="H4238" t="s">
        <v>26657</v>
      </c>
      <c r="I4238" t="s">
        <v>26658</v>
      </c>
      <c r="J4238" t="s">
        <v>26659</v>
      </c>
      <c r="K4238" t="s">
        <v>26660</v>
      </c>
      <c r="L4238" t="s">
        <v>26652</v>
      </c>
    </row>
    <row r="4239" spans="1:12" x14ac:dyDescent="0.25">
      <c r="A4239">
        <v>733439</v>
      </c>
      <c r="B4239">
        <v>733448</v>
      </c>
      <c r="C4239" t="s">
        <v>26662</v>
      </c>
      <c r="D4239" t="s">
        <v>1990</v>
      </c>
      <c r="E4239" t="s">
        <v>26663</v>
      </c>
      <c r="F4239" t="s">
        <v>26664</v>
      </c>
      <c r="G4239" t="s">
        <v>26665</v>
      </c>
      <c r="H4239" t="s">
        <v>26666</v>
      </c>
      <c r="I4239" t="s">
        <v>26667</v>
      </c>
      <c r="J4239" t="s">
        <v>26668</v>
      </c>
      <c r="K4239" t="s">
        <v>26669</v>
      </c>
      <c r="L4239" t="s">
        <v>26661</v>
      </c>
    </row>
    <row r="4240" spans="1:12" x14ac:dyDescent="0.25">
      <c r="A4240">
        <v>733448</v>
      </c>
      <c r="B4240">
        <v>1362327</v>
      </c>
      <c r="C4240" t="s">
        <v>26671</v>
      </c>
      <c r="D4240" t="s">
        <v>26672</v>
      </c>
      <c r="E4240" t="s">
        <v>26673</v>
      </c>
      <c r="F4240" t="s">
        <v>26674</v>
      </c>
      <c r="G4240" t="s">
        <v>26675</v>
      </c>
      <c r="H4240" t="e" vm="1845">
        <f>_FV(0,"016692494535520238")</f>
        <v>#VALUE!</v>
      </c>
      <c r="I4240" t="s">
        <v>26676</v>
      </c>
      <c r="J4240" t="s">
        <v>26677</v>
      </c>
      <c r="K4240" t="s">
        <v>26678</v>
      </c>
      <c r="L4240" t="s">
        <v>26670</v>
      </c>
    </row>
    <row r="4241" spans="1:12" x14ac:dyDescent="0.25">
      <c r="A4241">
        <v>733455</v>
      </c>
      <c r="B4241">
        <v>733459</v>
      </c>
      <c r="D4241">
        <v>0</v>
      </c>
      <c r="E4241" t="s">
        <v>26680</v>
      </c>
      <c r="F4241" t="s">
        <v>26681</v>
      </c>
      <c r="G4241" t="s">
        <v>26682</v>
      </c>
      <c r="H4241" t="e" vm="1846">
        <f>_FV(0,"010329409122728164")</f>
        <v>#VALUE!</v>
      </c>
      <c r="I4241" t="s">
        <v>26683</v>
      </c>
      <c r="J4241" t="s">
        <v>26684</v>
      </c>
      <c r="K4241" t="s">
        <v>26685</v>
      </c>
      <c r="L4241" t="s">
        <v>26679</v>
      </c>
    </row>
    <row r="4242" spans="1:12" x14ac:dyDescent="0.25">
      <c r="A4242">
        <v>733455</v>
      </c>
      <c r="B4242">
        <v>1406400</v>
      </c>
      <c r="D4242" t="s">
        <v>26687</v>
      </c>
      <c r="E4242" t="s">
        <v>26688</v>
      </c>
      <c r="F4242" t="s">
        <v>26689</v>
      </c>
      <c r="G4242" t="s">
        <v>26690</v>
      </c>
      <c r="H4242" t="e" vm="1847">
        <f>_FV(0,"017019404028992807")</f>
        <v>#VALUE!</v>
      </c>
      <c r="I4242" t="s">
        <v>26691</v>
      </c>
      <c r="J4242" t="s">
        <v>26692</v>
      </c>
      <c r="K4242" t="s">
        <v>26693</v>
      </c>
      <c r="L4242" t="s">
        <v>26686</v>
      </c>
    </row>
    <row r="4243" spans="1:12" x14ac:dyDescent="0.25">
      <c r="A4243">
        <v>733477</v>
      </c>
      <c r="B4243">
        <v>733487</v>
      </c>
      <c r="D4243">
        <v>0</v>
      </c>
      <c r="E4243" t="s">
        <v>26695</v>
      </c>
      <c r="F4243" t="s">
        <v>26696</v>
      </c>
      <c r="G4243" t="s">
        <v>26697</v>
      </c>
      <c r="H4243" t="s">
        <v>26698</v>
      </c>
      <c r="I4243" t="s">
        <v>26699</v>
      </c>
      <c r="J4243" t="s">
        <v>26700</v>
      </c>
      <c r="K4243" t="s">
        <v>26701</v>
      </c>
      <c r="L4243" t="s">
        <v>26694</v>
      </c>
    </row>
    <row r="4244" spans="1:12" x14ac:dyDescent="0.25">
      <c r="A4244">
        <v>733487</v>
      </c>
      <c r="B4244">
        <v>735292</v>
      </c>
      <c r="D4244">
        <v>0</v>
      </c>
      <c r="E4244" t="s">
        <v>26703</v>
      </c>
      <c r="F4244" t="s">
        <v>26704</v>
      </c>
      <c r="G4244" t="s">
        <v>26705</v>
      </c>
      <c r="H4244" t="s">
        <v>26706</v>
      </c>
      <c r="I4244" t="s">
        <v>26707</v>
      </c>
      <c r="J4244" t="s">
        <v>26702</v>
      </c>
      <c r="K4244" t="s">
        <v>26708</v>
      </c>
      <c r="L4244" t="s">
        <v>26702</v>
      </c>
    </row>
    <row r="4245" spans="1:12" x14ac:dyDescent="0.25">
      <c r="A4245">
        <v>733524</v>
      </c>
      <c r="B4245">
        <v>733546</v>
      </c>
      <c r="C4245" t="s">
        <v>26710</v>
      </c>
      <c r="D4245">
        <v>0</v>
      </c>
      <c r="E4245" t="s">
        <v>26711</v>
      </c>
      <c r="F4245" t="s">
        <v>26712</v>
      </c>
      <c r="G4245" t="s">
        <v>26713</v>
      </c>
      <c r="H4245" t="e" vm="1848">
        <f>_FV(0,"03160426841437747")</f>
        <v>#VALUE!</v>
      </c>
      <c r="I4245" t="s">
        <v>26714</v>
      </c>
      <c r="J4245" t="s">
        <v>26715</v>
      </c>
      <c r="K4245" t="s">
        <v>26716</v>
      </c>
      <c r="L4245" t="s">
        <v>26709</v>
      </c>
    </row>
    <row r="4246" spans="1:12" x14ac:dyDescent="0.25">
      <c r="A4246">
        <v>733524</v>
      </c>
      <c r="B4246">
        <v>1359996</v>
      </c>
      <c r="D4246">
        <v>0</v>
      </c>
      <c r="E4246" t="s">
        <v>26718</v>
      </c>
      <c r="F4246" t="s">
        <v>26719</v>
      </c>
      <c r="G4246" t="s">
        <v>26720</v>
      </c>
      <c r="H4246" t="s">
        <v>26721</v>
      </c>
      <c r="I4246" t="s">
        <v>26722</v>
      </c>
      <c r="J4246" t="s">
        <v>26723</v>
      </c>
      <c r="K4246" t="s">
        <v>26724</v>
      </c>
      <c r="L4246" t="s">
        <v>26717</v>
      </c>
    </row>
    <row r="4247" spans="1:12" x14ac:dyDescent="0.25">
      <c r="A4247">
        <v>733524</v>
      </c>
      <c r="B4247">
        <v>1401200</v>
      </c>
      <c r="D4247" t="s">
        <v>26726</v>
      </c>
      <c r="E4247" t="s">
        <v>26727</v>
      </c>
      <c r="F4247" t="s">
        <v>26728</v>
      </c>
      <c r="G4247" t="s">
        <v>26729</v>
      </c>
      <c r="H4247" t="e" vm="1849">
        <f>_FV(0,"00916170404588709")</f>
        <v>#VALUE!</v>
      </c>
      <c r="I4247" t="s">
        <v>26730</v>
      </c>
      <c r="J4247" t="s">
        <v>26731</v>
      </c>
      <c r="K4247" t="s">
        <v>26732</v>
      </c>
      <c r="L4247" t="s">
        <v>26725</v>
      </c>
    </row>
    <row r="4248" spans="1:12" x14ac:dyDescent="0.25">
      <c r="A4248">
        <v>733546</v>
      </c>
      <c r="B4248">
        <v>733578</v>
      </c>
      <c r="D4248">
        <v>0</v>
      </c>
      <c r="E4248" t="s">
        <v>26734</v>
      </c>
      <c r="F4248" t="s">
        <v>26735</v>
      </c>
      <c r="G4248" t="s">
        <v>26736</v>
      </c>
      <c r="H4248" t="e" vm="1850">
        <f>_FV(0,"031075157579543003")</f>
        <v>#VALUE!</v>
      </c>
      <c r="I4248" t="s">
        <v>26737</v>
      </c>
      <c r="J4248" t="s">
        <v>26738</v>
      </c>
      <c r="K4248" t="s">
        <v>26739</v>
      </c>
      <c r="L4248" t="s">
        <v>26733</v>
      </c>
    </row>
    <row r="4249" spans="1:12" x14ac:dyDescent="0.25">
      <c r="A4249">
        <v>733838</v>
      </c>
      <c r="B4249">
        <v>733844</v>
      </c>
      <c r="D4249">
        <v>0</v>
      </c>
      <c r="F4249">
        <v>752426</v>
      </c>
      <c r="G4249">
        <v>733844</v>
      </c>
      <c r="H4249" t="e" vm="1851">
        <f>_FV(0,"051")</f>
        <v>#VALUE!</v>
      </c>
      <c r="I4249">
        <v>733838</v>
      </c>
      <c r="J4249" t="s">
        <v>7670</v>
      </c>
      <c r="K4249" t="s">
        <v>26740</v>
      </c>
      <c r="L4249" t="e" vm="1851">
        <f>_FV(0,"051")</f>
        <v>#VALUE!</v>
      </c>
    </row>
    <row r="4250" spans="1:12" x14ac:dyDescent="0.25">
      <c r="A4250">
        <v>734040</v>
      </c>
      <c r="B4250">
        <v>734047</v>
      </c>
      <c r="D4250">
        <v>0</v>
      </c>
      <c r="F4250">
        <v>752691</v>
      </c>
      <c r="G4250">
        <v>734047</v>
      </c>
      <c r="H4250" t="e" vm="201">
        <f>_FV(0,"002")</f>
        <v>#VALUE!</v>
      </c>
      <c r="I4250">
        <v>734040</v>
      </c>
      <c r="J4250" t="s">
        <v>1534</v>
      </c>
      <c r="K4250" t="s">
        <v>26741</v>
      </c>
      <c r="L4250" t="e" vm="201">
        <f>_FV(0,"002")</f>
        <v>#VALUE!</v>
      </c>
    </row>
    <row r="4251" spans="1:12" x14ac:dyDescent="0.25">
      <c r="A4251">
        <v>734040</v>
      </c>
      <c r="B4251">
        <v>794436</v>
      </c>
      <c r="D4251">
        <v>0</v>
      </c>
      <c r="E4251" t="s">
        <v>26743</v>
      </c>
      <c r="F4251" t="s">
        <v>26744</v>
      </c>
      <c r="G4251" t="s">
        <v>26745</v>
      </c>
      <c r="H4251" t="e" vm="1852">
        <f>_FV(0,"0033414460710393386")</f>
        <v>#VALUE!</v>
      </c>
      <c r="I4251" t="s">
        <v>26746</v>
      </c>
      <c r="J4251" t="s">
        <v>26747</v>
      </c>
      <c r="K4251" t="s">
        <v>26748</v>
      </c>
      <c r="L4251" t="s">
        <v>26742</v>
      </c>
    </row>
    <row r="4252" spans="1:12" x14ac:dyDescent="0.25">
      <c r="A4252">
        <v>734047</v>
      </c>
      <c r="B4252">
        <v>734142</v>
      </c>
      <c r="D4252">
        <v>0</v>
      </c>
      <c r="E4252" t="s">
        <v>26750</v>
      </c>
      <c r="F4252" t="s">
        <v>26751</v>
      </c>
      <c r="G4252" t="s">
        <v>26752</v>
      </c>
      <c r="H4252" t="e" vm="1853">
        <f>_FV(0,"0018957586744028762")</f>
        <v>#VALUE!</v>
      </c>
      <c r="I4252" t="s">
        <v>26753</v>
      </c>
      <c r="J4252" t="s">
        <v>26754</v>
      </c>
      <c r="K4252" t="s">
        <v>26755</v>
      </c>
      <c r="L4252" t="s">
        <v>26749</v>
      </c>
    </row>
    <row r="4253" spans="1:12" x14ac:dyDescent="0.25">
      <c r="A4253">
        <v>734142</v>
      </c>
      <c r="B4253">
        <v>734173</v>
      </c>
      <c r="C4253" t="s">
        <v>26757</v>
      </c>
      <c r="D4253">
        <v>0</v>
      </c>
      <c r="E4253" t="s">
        <v>26758</v>
      </c>
      <c r="F4253" t="s">
        <v>26759</v>
      </c>
      <c r="G4253" t="s">
        <v>26760</v>
      </c>
      <c r="H4253" t="s">
        <v>26761</v>
      </c>
      <c r="I4253" t="s">
        <v>26762</v>
      </c>
      <c r="J4253" t="s">
        <v>26763</v>
      </c>
      <c r="K4253" t="s">
        <v>26764</v>
      </c>
      <c r="L4253" t="s">
        <v>26756</v>
      </c>
    </row>
    <row r="4254" spans="1:12" x14ac:dyDescent="0.25">
      <c r="A4254">
        <v>734173</v>
      </c>
      <c r="B4254">
        <v>734214</v>
      </c>
      <c r="D4254">
        <v>0</v>
      </c>
      <c r="E4254" t="s">
        <v>26766</v>
      </c>
      <c r="F4254" t="s">
        <v>26767</v>
      </c>
      <c r="G4254" t="s">
        <v>26768</v>
      </c>
      <c r="H4254" t="s">
        <v>26769</v>
      </c>
      <c r="I4254" t="s">
        <v>26770</v>
      </c>
      <c r="J4254" t="s">
        <v>26771</v>
      </c>
      <c r="K4254" t="s">
        <v>26772</v>
      </c>
      <c r="L4254" t="s">
        <v>26765</v>
      </c>
    </row>
    <row r="4255" spans="1:12" x14ac:dyDescent="0.25">
      <c r="A4255">
        <v>734214</v>
      </c>
      <c r="B4255">
        <v>734246</v>
      </c>
      <c r="D4255">
        <v>0</v>
      </c>
      <c r="E4255" t="s">
        <v>26774</v>
      </c>
      <c r="F4255" t="s">
        <v>26775</v>
      </c>
      <c r="G4255" t="s">
        <v>26776</v>
      </c>
      <c r="H4255" t="s">
        <v>26777</v>
      </c>
      <c r="I4255" t="s">
        <v>26778</v>
      </c>
      <c r="J4255" t="s">
        <v>26779</v>
      </c>
      <c r="K4255" t="s">
        <v>26780</v>
      </c>
      <c r="L4255" t="s">
        <v>26773</v>
      </c>
    </row>
    <row r="4256" spans="1:12" x14ac:dyDescent="0.25">
      <c r="A4256">
        <v>734246</v>
      </c>
      <c r="B4256">
        <v>734310</v>
      </c>
      <c r="D4256" t="s">
        <v>1990</v>
      </c>
      <c r="E4256" t="s">
        <v>26782</v>
      </c>
      <c r="F4256" t="s">
        <v>26783</v>
      </c>
      <c r="G4256" t="s">
        <v>26784</v>
      </c>
      <c r="H4256" t="s">
        <v>26785</v>
      </c>
      <c r="I4256" t="s">
        <v>26786</v>
      </c>
      <c r="J4256" t="s">
        <v>26787</v>
      </c>
      <c r="K4256" t="s">
        <v>26788</v>
      </c>
      <c r="L4256" t="s">
        <v>26781</v>
      </c>
    </row>
    <row r="4257" spans="1:12" x14ac:dyDescent="0.25">
      <c r="A4257">
        <v>734310</v>
      </c>
      <c r="B4257">
        <v>734343</v>
      </c>
      <c r="D4257">
        <v>0</v>
      </c>
      <c r="E4257" t="s">
        <v>26790</v>
      </c>
      <c r="F4257" t="s">
        <v>26791</v>
      </c>
      <c r="G4257" t="s">
        <v>26792</v>
      </c>
      <c r="H4257" t="e" vm="1854">
        <f>_FV(0,"0069569485882421764")</f>
        <v>#VALUE!</v>
      </c>
      <c r="I4257" t="s">
        <v>26793</v>
      </c>
      <c r="J4257" t="s">
        <v>26794</v>
      </c>
      <c r="K4257" t="s">
        <v>26795</v>
      </c>
      <c r="L4257" t="s">
        <v>26789</v>
      </c>
    </row>
    <row r="4258" spans="1:12" x14ac:dyDescent="0.25">
      <c r="A4258">
        <v>734343</v>
      </c>
      <c r="B4258">
        <v>734354</v>
      </c>
      <c r="D4258">
        <v>0</v>
      </c>
      <c r="E4258" t="s">
        <v>26797</v>
      </c>
      <c r="F4258" t="s">
        <v>26798</v>
      </c>
      <c r="G4258" t="s">
        <v>26799</v>
      </c>
      <c r="H4258" t="s">
        <v>26800</v>
      </c>
      <c r="I4258" t="s">
        <v>26801</v>
      </c>
      <c r="J4258" t="s">
        <v>26796</v>
      </c>
      <c r="K4258" t="s">
        <v>26802</v>
      </c>
      <c r="L4258" t="s">
        <v>26796</v>
      </c>
    </row>
    <row r="4259" spans="1:12" x14ac:dyDescent="0.25">
      <c r="A4259">
        <v>734343</v>
      </c>
      <c r="B4259">
        <v>734354</v>
      </c>
      <c r="D4259">
        <v>0</v>
      </c>
      <c r="E4259" t="s">
        <v>26804</v>
      </c>
      <c r="F4259" t="s">
        <v>26805</v>
      </c>
      <c r="G4259" t="s">
        <v>26806</v>
      </c>
      <c r="H4259" t="s">
        <v>26807</v>
      </c>
      <c r="I4259" t="s">
        <v>26808</v>
      </c>
      <c r="J4259" t="s">
        <v>26809</v>
      </c>
      <c r="K4259" t="s">
        <v>26810</v>
      </c>
      <c r="L4259" t="s">
        <v>26803</v>
      </c>
    </row>
    <row r="4260" spans="1:12" x14ac:dyDescent="0.25">
      <c r="A4260">
        <v>734354</v>
      </c>
      <c r="B4260">
        <v>734391</v>
      </c>
      <c r="D4260">
        <v>0</v>
      </c>
      <c r="E4260" t="s">
        <v>26812</v>
      </c>
      <c r="F4260" t="s">
        <v>26813</v>
      </c>
      <c r="G4260" t="s">
        <v>26814</v>
      </c>
      <c r="H4260" t="s">
        <v>26815</v>
      </c>
      <c r="I4260" t="s">
        <v>26816</v>
      </c>
      <c r="J4260" t="s">
        <v>26817</v>
      </c>
      <c r="K4260" t="s">
        <v>26818</v>
      </c>
      <c r="L4260" t="s">
        <v>26811</v>
      </c>
    </row>
    <row r="4261" spans="1:12" x14ac:dyDescent="0.25">
      <c r="A4261">
        <v>734391</v>
      </c>
      <c r="B4261">
        <v>734416</v>
      </c>
      <c r="D4261">
        <v>0</v>
      </c>
      <c r="E4261" t="s">
        <v>26820</v>
      </c>
      <c r="F4261" t="s">
        <v>26821</v>
      </c>
      <c r="G4261" t="s">
        <v>26822</v>
      </c>
      <c r="H4261" t="s">
        <v>26823</v>
      </c>
      <c r="I4261" t="s">
        <v>26824</v>
      </c>
      <c r="J4261" t="s">
        <v>26825</v>
      </c>
      <c r="K4261" t="s">
        <v>26826</v>
      </c>
      <c r="L4261" t="s">
        <v>26819</v>
      </c>
    </row>
    <row r="4262" spans="1:12" x14ac:dyDescent="0.25">
      <c r="A4262">
        <v>734416</v>
      </c>
      <c r="B4262">
        <v>734438</v>
      </c>
      <c r="D4262">
        <v>0</v>
      </c>
      <c r="E4262" t="s">
        <v>26828</v>
      </c>
      <c r="F4262" t="s">
        <v>26829</v>
      </c>
      <c r="G4262" t="s">
        <v>26830</v>
      </c>
      <c r="H4262" t="e" vm="1855">
        <f>_FV(0,"022179294423613796")</f>
        <v>#VALUE!</v>
      </c>
      <c r="I4262" t="s">
        <v>26831</v>
      </c>
      <c r="J4262" t="s">
        <v>26832</v>
      </c>
      <c r="K4262" t="s">
        <v>26833</v>
      </c>
      <c r="L4262" t="s">
        <v>26827</v>
      </c>
    </row>
    <row r="4263" spans="1:12" x14ac:dyDescent="0.25">
      <c r="A4263">
        <v>734494</v>
      </c>
      <c r="B4263">
        <v>1360022</v>
      </c>
      <c r="D4263">
        <v>0</v>
      </c>
      <c r="E4263" t="s">
        <v>26835</v>
      </c>
      <c r="F4263" t="s">
        <v>26836</v>
      </c>
      <c r="G4263" t="s">
        <v>26837</v>
      </c>
      <c r="H4263" t="e" vm="1856">
        <f>_FV(0,"006393700122133339")</f>
        <v>#VALUE!</v>
      </c>
      <c r="I4263" t="s">
        <v>26838</v>
      </c>
      <c r="J4263" t="s">
        <v>26839</v>
      </c>
      <c r="K4263" t="s">
        <v>26840</v>
      </c>
      <c r="L4263" t="s">
        <v>26834</v>
      </c>
    </row>
    <row r="4264" spans="1:12" x14ac:dyDescent="0.25">
      <c r="A4264">
        <v>734494</v>
      </c>
      <c r="B4264">
        <v>734737</v>
      </c>
      <c r="D4264">
        <v>0</v>
      </c>
      <c r="E4264" t="s">
        <v>26842</v>
      </c>
      <c r="F4264" t="s">
        <v>26843</v>
      </c>
      <c r="G4264" t="s">
        <v>26844</v>
      </c>
      <c r="H4264" t="e" vm="1857">
        <f>_FV(0,"028420268048173117")</f>
        <v>#VALUE!</v>
      </c>
      <c r="I4264" t="s">
        <v>26845</v>
      </c>
      <c r="J4264" t="s">
        <v>26846</v>
      </c>
      <c r="K4264" t="s">
        <v>26847</v>
      </c>
      <c r="L4264" t="s">
        <v>26841</v>
      </c>
    </row>
    <row r="4265" spans="1:12" x14ac:dyDescent="0.25">
      <c r="A4265">
        <v>734494</v>
      </c>
      <c r="B4265">
        <v>1393358</v>
      </c>
      <c r="D4265" t="s">
        <v>9879</v>
      </c>
      <c r="E4265" t="s">
        <v>26849</v>
      </c>
      <c r="F4265" t="s">
        <v>26850</v>
      </c>
      <c r="G4265" t="s">
        <v>26851</v>
      </c>
      <c r="H4265" t="e" vm="1858">
        <f>_FV(0,"0034303599251607406")</f>
        <v>#VALUE!</v>
      </c>
      <c r="I4265" t="s">
        <v>26852</v>
      </c>
      <c r="J4265" t="s">
        <v>26853</v>
      </c>
      <c r="K4265" t="s">
        <v>26854</v>
      </c>
      <c r="L4265" t="s">
        <v>26848</v>
      </c>
    </row>
    <row r="4266" spans="1:12" x14ac:dyDescent="0.25">
      <c r="A4266">
        <v>734538</v>
      </c>
      <c r="B4266">
        <v>1692454</v>
      </c>
      <c r="D4266">
        <v>0</v>
      </c>
      <c r="E4266" t="s">
        <v>26856</v>
      </c>
      <c r="F4266" t="s">
        <v>26857</v>
      </c>
      <c r="G4266" t="s">
        <v>26858</v>
      </c>
      <c r="H4266" t="e" vm="1859">
        <f>_FV(0,"13117022120330887")</f>
        <v>#VALUE!</v>
      </c>
      <c r="I4266" t="s">
        <v>26859</v>
      </c>
      <c r="J4266" t="s">
        <v>26860</v>
      </c>
      <c r="K4266" t="s">
        <v>26861</v>
      </c>
      <c r="L4266" t="s">
        <v>26855</v>
      </c>
    </row>
    <row r="4267" spans="1:12" x14ac:dyDescent="0.25">
      <c r="A4267">
        <v>734559</v>
      </c>
      <c r="B4267">
        <v>1086237</v>
      </c>
      <c r="D4267">
        <v>0</v>
      </c>
      <c r="F4267">
        <v>1380455</v>
      </c>
      <c r="G4267">
        <v>1086237</v>
      </c>
      <c r="H4267" t="e" vm="1860">
        <f>_FV(0,"926")</f>
        <v>#VALUE!</v>
      </c>
      <c r="I4267">
        <v>734559</v>
      </c>
      <c r="J4267" t="s">
        <v>26862</v>
      </c>
      <c r="K4267" t="s">
        <v>26863</v>
      </c>
      <c r="L4267" t="e" vm="1860">
        <f>_FV(0,"926")</f>
        <v>#VALUE!</v>
      </c>
    </row>
    <row r="4268" spans="1:12" x14ac:dyDescent="0.25">
      <c r="A4268">
        <v>734559</v>
      </c>
      <c r="B4268">
        <v>734567</v>
      </c>
      <c r="D4268">
        <v>0</v>
      </c>
      <c r="E4268" t="s">
        <v>26865</v>
      </c>
      <c r="F4268" t="s">
        <v>26866</v>
      </c>
      <c r="G4268" t="s">
        <v>26867</v>
      </c>
      <c r="H4268" t="s">
        <v>26868</v>
      </c>
      <c r="I4268" t="s">
        <v>26869</v>
      </c>
      <c r="J4268" t="s">
        <v>26864</v>
      </c>
      <c r="K4268" t="s">
        <v>26870</v>
      </c>
      <c r="L4268" t="s">
        <v>26864</v>
      </c>
    </row>
    <row r="4269" spans="1:12" x14ac:dyDescent="0.25">
      <c r="A4269">
        <v>734595</v>
      </c>
      <c r="B4269">
        <v>734627</v>
      </c>
      <c r="D4269">
        <v>0</v>
      </c>
      <c r="E4269" t="s">
        <v>26872</v>
      </c>
      <c r="F4269" t="s">
        <v>26873</v>
      </c>
      <c r="G4269" t="s">
        <v>26874</v>
      </c>
      <c r="H4269" t="s">
        <v>26875</v>
      </c>
      <c r="I4269" t="s">
        <v>26876</v>
      </c>
      <c r="J4269" t="s">
        <v>26871</v>
      </c>
      <c r="K4269" t="s">
        <v>26877</v>
      </c>
      <c r="L4269" t="s">
        <v>26871</v>
      </c>
    </row>
    <row r="4270" spans="1:12" x14ac:dyDescent="0.25">
      <c r="A4270">
        <v>734607</v>
      </c>
      <c r="B4270">
        <v>734619</v>
      </c>
      <c r="D4270">
        <v>0</v>
      </c>
      <c r="E4270" t="s">
        <v>26879</v>
      </c>
      <c r="F4270" t="s">
        <v>26880</v>
      </c>
      <c r="G4270" t="s">
        <v>26881</v>
      </c>
      <c r="H4270" t="e" vm="1861">
        <f>_FV(0,"09876445665648767")</f>
        <v>#VALUE!</v>
      </c>
      <c r="I4270" t="s">
        <v>26882</v>
      </c>
      <c r="J4270" t="s">
        <v>26883</v>
      </c>
      <c r="K4270" t="s">
        <v>26884</v>
      </c>
      <c r="L4270" t="s">
        <v>26878</v>
      </c>
    </row>
    <row r="4271" spans="1:12" x14ac:dyDescent="0.25">
      <c r="A4271">
        <v>734619</v>
      </c>
      <c r="B4271">
        <v>734627</v>
      </c>
      <c r="D4271">
        <v>0</v>
      </c>
      <c r="F4271">
        <v>753360</v>
      </c>
      <c r="G4271">
        <v>734627</v>
      </c>
      <c r="H4271" t="e" vm="144">
        <f>_FV(0,"003")</f>
        <v>#VALUE!</v>
      </c>
      <c r="I4271">
        <v>734619</v>
      </c>
      <c r="J4271" t="s">
        <v>1783</v>
      </c>
      <c r="K4271" t="s">
        <v>26885</v>
      </c>
      <c r="L4271" t="e" vm="144">
        <f>_FV(0,"003")</f>
        <v>#VALUE!</v>
      </c>
    </row>
    <row r="4272" spans="1:12" x14ac:dyDescent="0.25">
      <c r="A4272">
        <v>734641</v>
      </c>
      <c r="B4272">
        <v>734655</v>
      </c>
      <c r="D4272" t="s">
        <v>204</v>
      </c>
      <c r="E4272" t="s">
        <v>26887</v>
      </c>
      <c r="F4272" t="s">
        <v>26888</v>
      </c>
      <c r="G4272" t="s">
        <v>26889</v>
      </c>
      <c r="H4272" t="e" vm="1862">
        <f>_FV(0,"04318515858510517")</f>
        <v>#VALUE!</v>
      </c>
      <c r="I4272" t="s">
        <v>26890</v>
      </c>
      <c r="J4272" t="s">
        <v>26891</v>
      </c>
      <c r="K4272" t="s">
        <v>26892</v>
      </c>
      <c r="L4272" t="s">
        <v>26886</v>
      </c>
    </row>
    <row r="4273" spans="1:12" x14ac:dyDescent="0.25">
      <c r="A4273">
        <v>734641</v>
      </c>
      <c r="B4273">
        <v>1362133</v>
      </c>
      <c r="C4273" t="s">
        <v>26894</v>
      </c>
      <c r="D4273">
        <v>0</v>
      </c>
      <c r="E4273" t="s">
        <v>26895</v>
      </c>
      <c r="F4273" t="s">
        <v>26896</v>
      </c>
      <c r="G4273" t="s">
        <v>26897</v>
      </c>
      <c r="H4273" t="s">
        <v>26898</v>
      </c>
      <c r="I4273" t="s">
        <v>26899</v>
      </c>
      <c r="J4273" t="s">
        <v>26900</v>
      </c>
      <c r="K4273" t="s">
        <v>26901</v>
      </c>
      <c r="L4273" t="s">
        <v>26893</v>
      </c>
    </row>
    <row r="4274" spans="1:12" x14ac:dyDescent="0.25">
      <c r="A4274">
        <v>734655</v>
      </c>
      <c r="B4274">
        <v>734676</v>
      </c>
      <c r="C4274" t="s">
        <v>26903</v>
      </c>
      <c r="D4274" t="s">
        <v>12940</v>
      </c>
      <c r="E4274" t="s">
        <v>26904</v>
      </c>
      <c r="F4274" t="s">
        <v>26905</v>
      </c>
      <c r="G4274" t="s">
        <v>26906</v>
      </c>
      <c r="H4274" t="e" vm="1863">
        <f>_FV(0,"01863870120135464")</f>
        <v>#VALUE!</v>
      </c>
      <c r="I4274" t="s">
        <v>26907</v>
      </c>
      <c r="J4274" t="s">
        <v>26908</v>
      </c>
      <c r="K4274" t="s">
        <v>26909</v>
      </c>
      <c r="L4274" t="s">
        <v>26902</v>
      </c>
    </row>
    <row r="4275" spans="1:12" x14ac:dyDescent="0.25">
      <c r="A4275">
        <v>734676</v>
      </c>
      <c r="B4275">
        <v>734712</v>
      </c>
      <c r="C4275" t="s">
        <v>26911</v>
      </c>
      <c r="D4275">
        <v>0</v>
      </c>
      <c r="E4275" t="s">
        <v>26912</v>
      </c>
      <c r="F4275" t="s">
        <v>26913</v>
      </c>
      <c r="G4275" t="s">
        <v>26914</v>
      </c>
      <c r="H4275" t="s">
        <v>26915</v>
      </c>
      <c r="I4275" t="s">
        <v>26916</v>
      </c>
      <c r="J4275" t="s">
        <v>26910</v>
      </c>
      <c r="K4275" t="s">
        <v>26917</v>
      </c>
      <c r="L4275" t="s">
        <v>26910</v>
      </c>
    </row>
    <row r="4276" spans="1:12" x14ac:dyDescent="0.25">
      <c r="A4276">
        <v>734712</v>
      </c>
      <c r="B4276">
        <v>734738</v>
      </c>
      <c r="D4276" t="s">
        <v>3298</v>
      </c>
      <c r="E4276" t="s">
        <v>26919</v>
      </c>
      <c r="F4276" t="s">
        <v>26920</v>
      </c>
      <c r="G4276" t="s">
        <v>26921</v>
      </c>
      <c r="H4276" t="s">
        <v>26922</v>
      </c>
      <c r="I4276" t="s">
        <v>26923</v>
      </c>
      <c r="J4276" t="s">
        <v>26924</v>
      </c>
      <c r="K4276" t="s">
        <v>26925</v>
      </c>
      <c r="L4276" t="s">
        <v>26918</v>
      </c>
    </row>
    <row r="4277" spans="1:12" x14ac:dyDescent="0.25">
      <c r="A4277">
        <v>734737</v>
      </c>
      <c r="B4277">
        <v>734755</v>
      </c>
      <c r="D4277">
        <v>0</v>
      </c>
      <c r="E4277" t="s">
        <v>26927</v>
      </c>
      <c r="F4277" t="s">
        <v>26928</v>
      </c>
      <c r="G4277" t="s">
        <v>26929</v>
      </c>
      <c r="H4277" t="e" vm="1864">
        <f>_FV(0,"020828811959975293")</f>
        <v>#VALUE!</v>
      </c>
      <c r="I4277" t="s">
        <v>26930</v>
      </c>
      <c r="J4277" t="s">
        <v>26931</v>
      </c>
      <c r="K4277" t="s">
        <v>26932</v>
      </c>
      <c r="L4277" t="s">
        <v>26926</v>
      </c>
    </row>
    <row r="4278" spans="1:12" x14ac:dyDescent="0.25">
      <c r="A4278">
        <v>734738</v>
      </c>
      <c r="B4278">
        <v>734760</v>
      </c>
      <c r="D4278" t="s">
        <v>2793</v>
      </c>
      <c r="E4278" t="s">
        <v>26934</v>
      </c>
      <c r="F4278" t="s">
        <v>26935</v>
      </c>
      <c r="G4278" t="s">
        <v>26936</v>
      </c>
      <c r="H4278" t="s">
        <v>26937</v>
      </c>
      <c r="I4278" t="s">
        <v>26938</v>
      </c>
      <c r="J4278" t="s">
        <v>26939</v>
      </c>
      <c r="K4278" t="s">
        <v>26940</v>
      </c>
      <c r="L4278" t="s">
        <v>26933</v>
      </c>
    </row>
    <row r="4279" spans="1:12" x14ac:dyDescent="0.25">
      <c r="A4279">
        <v>734760</v>
      </c>
      <c r="B4279">
        <v>734783</v>
      </c>
      <c r="D4279">
        <v>0</v>
      </c>
      <c r="E4279" t="s">
        <v>26942</v>
      </c>
      <c r="F4279" t="s">
        <v>26943</v>
      </c>
      <c r="G4279" t="s">
        <v>26944</v>
      </c>
      <c r="H4279" t="e" vm="1865">
        <f>_FV(0,"04184145035815434")</f>
        <v>#VALUE!</v>
      </c>
      <c r="I4279" t="s">
        <v>26945</v>
      </c>
      <c r="J4279" t="s">
        <v>26946</v>
      </c>
      <c r="K4279" t="s">
        <v>26947</v>
      </c>
      <c r="L4279" t="s">
        <v>26941</v>
      </c>
    </row>
    <row r="4280" spans="1:12" x14ac:dyDescent="0.25">
      <c r="A4280">
        <v>734782</v>
      </c>
      <c r="B4280">
        <v>734870</v>
      </c>
      <c r="D4280">
        <v>0</v>
      </c>
      <c r="E4280" t="s">
        <v>26949</v>
      </c>
      <c r="F4280" t="s">
        <v>26950</v>
      </c>
      <c r="G4280" t="s">
        <v>26951</v>
      </c>
      <c r="H4280" t="e" vm="1866">
        <f>_FV(0,"0015197423004985739")</f>
        <v>#VALUE!</v>
      </c>
      <c r="I4280" t="s">
        <v>26952</v>
      </c>
      <c r="J4280" t="s">
        <v>26953</v>
      </c>
      <c r="K4280" t="s">
        <v>26954</v>
      </c>
      <c r="L4280" t="s">
        <v>26948</v>
      </c>
    </row>
    <row r="4281" spans="1:12" x14ac:dyDescent="0.25">
      <c r="A4281">
        <v>734782</v>
      </c>
      <c r="B4281">
        <v>734847</v>
      </c>
      <c r="D4281">
        <v>0</v>
      </c>
      <c r="F4281">
        <v>781146</v>
      </c>
      <c r="G4281">
        <v>734782</v>
      </c>
      <c r="H4281" t="e" vm="339">
        <f>_FV(0,"0")</f>
        <v>#VALUE!</v>
      </c>
      <c r="I4281">
        <v>734847</v>
      </c>
      <c r="J4281" t="s">
        <v>187</v>
      </c>
      <c r="K4281" t="s">
        <v>26955</v>
      </c>
      <c r="L4281" t="e" vm="339">
        <f>_FV(0,"0")</f>
        <v>#VALUE!</v>
      </c>
    </row>
    <row r="4282" spans="1:12" x14ac:dyDescent="0.25">
      <c r="A4282">
        <v>734783</v>
      </c>
      <c r="B4282">
        <v>734819</v>
      </c>
      <c r="D4282" t="s">
        <v>10069</v>
      </c>
      <c r="E4282" t="s">
        <v>26957</v>
      </c>
      <c r="F4282" t="s">
        <v>26958</v>
      </c>
      <c r="G4282" t="s">
        <v>26959</v>
      </c>
      <c r="H4282" t="s">
        <v>26960</v>
      </c>
      <c r="I4282" t="s">
        <v>26961</v>
      </c>
      <c r="J4282" t="s">
        <v>26962</v>
      </c>
      <c r="K4282" t="s">
        <v>26963</v>
      </c>
      <c r="L4282" t="s">
        <v>26956</v>
      </c>
    </row>
    <row r="4283" spans="1:12" x14ac:dyDescent="0.25">
      <c r="A4283">
        <v>734819</v>
      </c>
      <c r="B4283">
        <v>734848</v>
      </c>
      <c r="C4283" t="s">
        <v>26965</v>
      </c>
      <c r="D4283">
        <v>0</v>
      </c>
      <c r="E4283" t="s">
        <v>26966</v>
      </c>
      <c r="F4283" t="s">
        <v>26967</v>
      </c>
      <c r="G4283" t="s">
        <v>26968</v>
      </c>
      <c r="H4283" t="s">
        <v>26969</v>
      </c>
      <c r="I4283" t="s">
        <v>26970</v>
      </c>
      <c r="J4283" t="s">
        <v>26964</v>
      </c>
      <c r="K4283" t="s">
        <v>26971</v>
      </c>
      <c r="L4283" t="s">
        <v>26964</v>
      </c>
    </row>
    <row r="4284" spans="1:12" x14ac:dyDescent="0.25">
      <c r="A4284">
        <v>734847</v>
      </c>
      <c r="B4284">
        <v>761267</v>
      </c>
      <c r="D4284">
        <v>0</v>
      </c>
      <c r="E4284" t="s">
        <v>26973</v>
      </c>
      <c r="F4284" t="s">
        <v>26974</v>
      </c>
      <c r="G4284" t="s">
        <v>26975</v>
      </c>
      <c r="H4284" t="s">
        <v>26976</v>
      </c>
      <c r="I4284" t="s">
        <v>26977</v>
      </c>
      <c r="J4284" t="s">
        <v>26972</v>
      </c>
      <c r="K4284" t="s">
        <v>26978</v>
      </c>
      <c r="L4284" t="s">
        <v>26972</v>
      </c>
    </row>
    <row r="4285" spans="1:12" x14ac:dyDescent="0.25">
      <c r="A4285">
        <v>734870</v>
      </c>
      <c r="B4285">
        <v>734896</v>
      </c>
      <c r="D4285">
        <v>0</v>
      </c>
      <c r="E4285" t="s">
        <v>26980</v>
      </c>
      <c r="F4285" t="s">
        <v>26981</v>
      </c>
      <c r="G4285" t="s">
        <v>26982</v>
      </c>
      <c r="H4285" t="e" vm="1867">
        <f>_FV(-8,"74350944562505e")-5</f>
        <v>#VALUE!</v>
      </c>
      <c r="I4285" t="s">
        <v>26983</v>
      </c>
      <c r="J4285" t="s">
        <v>26984</v>
      </c>
      <c r="K4285" t="s">
        <v>26985</v>
      </c>
      <c r="L4285" t="s">
        <v>26979</v>
      </c>
    </row>
    <row r="4286" spans="1:12" x14ac:dyDescent="0.25">
      <c r="A4286">
        <v>734879</v>
      </c>
      <c r="B4286">
        <v>734886</v>
      </c>
      <c r="D4286">
        <v>0</v>
      </c>
      <c r="F4286">
        <v>753759</v>
      </c>
      <c r="G4286">
        <v>734886</v>
      </c>
      <c r="H4286" t="s">
        <v>250</v>
      </c>
      <c r="I4286">
        <v>734879</v>
      </c>
      <c r="J4286" t="s">
        <v>250</v>
      </c>
      <c r="K4286" t="s">
        <v>26986</v>
      </c>
      <c r="L4286" t="s">
        <v>250</v>
      </c>
    </row>
    <row r="4287" spans="1:12" x14ac:dyDescent="0.25">
      <c r="A4287">
        <v>734886</v>
      </c>
      <c r="B4287">
        <v>740669</v>
      </c>
      <c r="D4287">
        <v>0</v>
      </c>
      <c r="F4287">
        <v>761350</v>
      </c>
      <c r="G4287">
        <v>734886</v>
      </c>
      <c r="H4287" t="s">
        <v>187</v>
      </c>
      <c r="I4287">
        <v>740669</v>
      </c>
      <c r="J4287" t="s">
        <v>187</v>
      </c>
      <c r="K4287" t="s">
        <v>26987</v>
      </c>
      <c r="L4287" t="s">
        <v>187</v>
      </c>
    </row>
    <row r="4288" spans="1:12" x14ac:dyDescent="0.25">
      <c r="A4288">
        <v>734896</v>
      </c>
      <c r="B4288">
        <v>744348</v>
      </c>
      <c r="D4288">
        <v>0</v>
      </c>
      <c r="E4288" t="s">
        <v>26989</v>
      </c>
      <c r="F4288" t="s">
        <v>26990</v>
      </c>
      <c r="G4288" t="s">
        <v>26991</v>
      </c>
      <c r="H4288" t="s">
        <v>26992</v>
      </c>
      <c r="I4288" t="s">
        <v>26993</v>
      </c>
      <c r="J4288" t="s">
        <v>26994</v>
      </c>
      <c r="K4288" t="s">
        <v>26995</v>
      </c>
      <c r="L4288" t="s">
        <v>26988</v>
      </c>
    </row>
    <row r="4289" spans="1:12" x14ac:dyDescent="0.25">
      <c r="A4289">
        <v>734905</v>
      </c>
      <c r="B4289">
        <v>761571</v>
      </c>
      <c r="D4289" t="s">
        <v>4301</v>
      </c>
      <c r="E4289" t="s">
        <v>26997</v>
      </c>
      <c r="F4289" t="s">
        <v>26998</v>
      </c>
      <c r="G4289" t="s">
        <v>26999</v>
      </c>
      <c r="H4289" t="e" vm="1868">
        <f>_FV(-5,"1031239046024674e")-5</f>
        <v>#VALUE!</v>
      </c>
      <c r="I4289" t="s">
        <v>27000</v>
      </c>
      <c r="J4289" t="s">
        <v>27001</v>
      </c>
      <c r="K4289" t="s">
        <v>27002</v>
      </c>
      <c r="L4289" t="s">
        <v>26996</v>
      </c>
    </row>
    <row r="4290" spans="1:12" x14ac:dyDescent="0.25">
      <c r="A4290">
        <v>734905</v>
      </c>
      <c r="B4290">
        <v>744348</v>
      </c>
      <c r="D4290">
        <v>0</v>
      </c>
      <c r="E4290" t="s">
        <v>27004</v>
      </c>
      <c r="F4290" t="s">
        <v>27005</v>
      </c>
      <c r="G4290" t="s">
        <v>27006</v>
      </c>
      <c r="H4290" t="e" vm="1869">
        <f>_FV(0,"16208910746249777")</f>
        <v>#VALUE!</v>
      </c>
      <c r="I4290" t="s">
        <v>27007</v>
      </c>
      <c r="J4290" t="s">
        <v>27008</v>
      </c>
      <c r="K4290" t="s">
        <v>27009</v>
      </c>
      <c r="L4290" t="s">
        <v>27003</v>
      </c>
    </row>
    <row r="4291" spans="1:12" x14ac:dyDescent="0.25">
      <c r="A4291">
        <v>735844</v>
      </c>
      <c r="B4291">
        <v>735910</v>
      </c>
      <c r="D4291" t="s">
        <v>204</v>
      </c>
      <c r="E4291" t="s">
        <v>27011</v>
      </c>
      <c r="F4291" t="s">
        <v>27012</v>
      </c>
      <c r="G4291" t="s">
        <v>27013</v>
      </c>
      <c r="H4291" t="e" vm="1870">
        <f>_FV(0,"01910690179571565")</f>
        <v>#VALUE!</v>
      </c>
      <c r="I4291" t="s">
        <v>27014</v>
      </c>
      <c r="J4291" t="s">
        <v>27015</v>
      </c>
      <c r="K4291" t="s">
        <v>27016</v>
      </c>
      <c r="L4291" t="s">
        <v>27010</v>
      </c>
    </row>
    <row r="4292" spans="1:12" x14ac:dyDescent="0.25">
      <c r="A4292">
        <v>735844</v>
      </c>
      <c r="B4292">
        <v>1363672</v>
      </c>
      <c r="D4292" t="s">
        <v>27018</v>
      </c>
      <c r="E4292" t="s">
        <v>27019</v>
      </c>
      <c r="F4292" t="s">
        <v>27020</v>
      </c>
      <c r="G4292" t="s">
        <v>27021</v>
      </c>
      <c r="H4292" t="e" vm="1871">
        <f>_FV(0,"019158772169880364")</f>
        <v>#VALUE!</v>
      </c>
      <c r="I4292" t="s">
        <v>27022</v>
      </c>
      <c r="J4292" t="s">
        <v>27023</v>
      </c>
      <c r="K4292" t="s">
        <v>27024</v>
      </c>
      <c r="L4292" t="s">
        <v>27017</v>
      </c>
    </row>
    <row r="4293" spans="1:12" x14ac:dyDescent="0.25">
      <c r="A4293">
        <v>735861</v>
      </c>
      <c r="B4293">
        <v>735949</v>
      </c>
      <c r="D4293" t="s">
        <v>1007</v>
      </c>
      <c r="E4293" t="s">
        <v>27026</v>
      </c>
      <c r="F4293" t="s">
        <v>27027</v>
      </c>
      <c r="G4293" t="s">
        <v>27028</v>
      </c>
      <c r="H4293" t="s">
        <v>27029</v>
      </c>
      <c r="I4293" t="s">
        <v>27030</v>
      </c>
      <c r="J4293" t="s">
        <v>27031</v>
      </c>
      <c r="K4293" t="s">
        <v>27032</v>
      </c>
      <c r="L4293" t="s">
        <v>27025</v>
      </c>
    </row>
    <row r="4294" spans="1:12" x14ac:dyDescent="0.25">
      <c r="A4294">
        <v>735861</v>
      </c>
      <c r="B4294">
        <v>735910</v>
      </c>
      <c r="D4294">
        <v>0</v>
      </c>
      <c r="E4294" t="s">
        <v>27034</v>
      </c>
      <c r="F4294" t="s">
        <v>27035</v>
      </c>
      <c r="G4294" t="s">
        <v>27036</v>
      </c>
      <c r="H4294" t="s">
        <v>27037</v>
      </c>
      <c r="I4294" t="s">
        <v>27038</v>
      </c>
      <c r="J4294" t="s">
        <v>27033</v>
      </c>
      <c r="K4294" t="s">
        <v>27039</v>
      </c>
      <c r="L4294" t="s">
        <v>27033</v>
      </c>
    </row>
    <row r="4295" spans="1:12" x14ac:dyDescent="0.25">
      <c r="A4295">
        <v>735949</v>
      </c>
      <c r="B4295">
        <v>735957</v>
      </c>
      <c r="D4295" t="s">
        <v>257</v>
      </c>
      <c r="E4295" t="s">
        <v>27041</v>
      </c>
      <c r="F4295" t="s">
        <v>27042</v>
      </c>
      <c r="G4295" t="s">
        <v>27043</v>
      </c>
      <c r="H4295" t="s">
        <v>27044</v>
      </c>
      <c r="I4295" t="s">
        <v>27045</v>
      </c>
      <c r="J4295" t="s">
        <v>27046</v>
      </c>
      <c r="K4295" t="s">
        <v>27047</v>
      </c>
      <c r="L4295" t="s">
        <v>27040</v>
      </c>
    </row>
    <row r="4296" spans="1:12" x14ac:dyDescent="0.25">
      <c r="A4296">
        <v>735957</v>
      </c>
      <c r="B4296">
        <v>735985</v>
      </c>
      <c r="D4296">
        <v>0</v>
      </c>
      <c r="E4296" t="s">
        <v>27049</v>
      </c>
      <c r="F4296" t="s">
        <v>27050</v>
      </c>
      <c r="G4296" t="s">
        <v>27051</v>
      </c>
      <c r="H4296" t="e" vm="1872">
        <f>_FV(0,"054187132616676056")</f>
        <v>#VALUE!</v>
      </c>
      <c r="I4296" t="s">
        <v>27052</v>
      </c>
      <c r="J4296" t="s">
        <v>27053</v>
      </c>
      <c r="K4296" t="s">
        <v>27054</v>
      </c>
      <c r="L4296" t="s">
        <v>27048</v>
      </c>
    </row>
    <row r="4297" spans="1:12" x14ac:dyDescent="0.25">
      <c r="A4297">
        <v>735985</v>
      </c>
      <c r="B4297">
        <v>735996</v>
      </c>
      <c r="C4297" t="s">
        <v>27056</v>
      </c>
      <c r="D4297" t="s">
        <v>12915</v>
      </c>
      <c r="E4297" t="s">
        <v>27057</v>
      </c>
      <c r="F4297" t="s">
        <v>27058</v>
      </c>
      <c r="G4297" t="s">
        <v>27059</v>
      </c>
      <c r="H4297" t="s">
        <v>27060</v>
      </c>
      <c r="I4297" t="s">
        <v>27061</v>
      </c>
      <c r="J4297" t="s">
        <v>27062</v>
      </c>
      <c r="K4297" t="s">
        <v>27063</v>
      </c>
      <c r="L4297" t="s">
        <v>27055</v>
      </c>
    </row>
    <row r="4298" spans="1:12" x14ac:dyDescent="0.25">
      <c r="A4298">
        <v>736251</v>
      </c>
      <c r="B4298">
        <v>736258</v>
      </c>
      <c r="D4298">
        <v>0</v>
      </c>
      <c r="E4298" t="s">
        <v>27064</v>
      </c>
      <c r="F4298" t="s">
        <v>27065</v>
      </c>
      <c r="G4298" t="s">
        <v>27066</v>
      </c>
      <c r="H4298" t="s">
        <v>27067</v>
      </c>
      <c r="I4298" t="s">
        <v>27068</v>
      </c>
      <c r="J4298" t="s">
        <v>6157</v>
      </c>
      <c r="K4298" t="s">
        <v>27069</v>
      </c>
      <c r="L4298" t="s">
        <v>6157</v>
      </c>
    </row>
    <row r="4299" spans="1:12" x14ac:dyDescent="0.25">
      <c r="A4299">
        <v>736251</v>
      </c>
      <c r="B4299">
        <v>736289</v>
      </c>
      <c r="D4299">
        <v>0</v>
      </c>
      <c r="E4299" t="s">
        <v>27071</v>
      </c>
      <c r="F4299" t="s">
        <v>27072</v>
      </c>
      <c r="G4299" t="s">
        <v>27073</v>
      </c>
      <c r="H4299" t="e" vm="1873">
        <f>_FV(0,"0019984905412161412")</f>
        <v>#VALUE!</v>
      </c>
      <c r="I4299" t="s">
        <v>27074</v>
      </c>
      <c r="J4299" t="s">
        <v>2914</v>
      </c>
      <c r="K4299" t="s">
        <v>27075</v>
      </c>
      <c r="L4299" t="s">
        <v>27070</v>
      </c>
    </row>
    <row r="4300" spans="1:12" x14ac:dyDescent="0.25">
      <c r="A4300">
        <v>736251</v>
      </c>
      <c r="B4300">
        <v>736392</v>
      </c>
      <c r="D4300">
        <v>0</v>
      </c>
      <c r="E4300" t="s">
        <v>27076</v>
      </c>
      <c r="F4300" t="s">
        <v>27077</v>
      </c>
      <c r="G4300" t="s">
        <v>27078</v>
      </c>
      <c r="H4300" t="s">
        <v>1534</v>
      </c>
      <c r="I4300" t="s">
        <v>27079</v>
      </c>
      <c r="J4300" t="s">
        <v>1534</v>
      </c>
      <c r="K4300" t="s">
        <v>27080</v>
      </c>
      <c r="L4300" t="s">
        <v>1534</v>
      </c>
    </row>
    <row r="4301" spans="1:12" x14ac:dyDescent="0.25">
      <c r="A4301">
        <v>736258</v>
      </c>
      <c r="B4301">
        <v>736268</v>
      </c>
      <c r="D4301">
        <v>0</v>
      </c>
      <c r="E4301" t="s">
        <v>27081</v>
      </c>
      <c r="F4301" t="s">
        <v>27082</v>
      </c>
      <c r="G4301" t="s">
        <v>27083</v>
      </c>
      <c r="H4301" t="s">
        <v>27084</v>
      </c>
      <c r="I4301" t="s">
        <v>27085</v>
      </c>
      <c r="J4301" t="s">
        <v>18748</v>
      </c>
      <c r="K4301" t="s">
        <v>27086</v>
      </c>
      <c r="L4301" t="s">
        <v>18748</v>
      </c>
    </row>
    <row r="4302" spans="1:12" x14ac:dyDescent="0.25">
      <c r="A4302">
        <v>736258</v>
      </c>
      <c r="B4302">
        <v>736399</v>
      </c>
      <c r="D4302">
        <v>0</v>
      </c>
      <c r="E4302" t="s">
        <v>27087</v>
      </c>
      <c r="F4302" t="s">
        <v>27088</v>
      </c>
      <c r="G4302" t="s">
        <v>27089</v>
      </c>
      <c r="H4302" t="s">
        <v>27090</v>
      </c>
      <c r="I4302" t="s">
        <v>27091</v>
      </c>
      <c r="J4302" t="s">
        <v>15434</v>
      </c>
      <c r="K4302" t="s">
        <v>27092</v>
      </c>
      <c r="L4302" t="s">
        <v>15434</v>
      </c>
    </row>
    <row r="4303" spans="1:12" x14ac:dyDescent="0.25">
      <c r="A4303">
        <v>736268</v>
      </c>
      <c r="B4303">
        <v>736289</v>
      </c>
      <c r="D4303">
        <v>0</v>
      </c>
      <c r="E4303" t="s">
        <v>27094</v>
      </c>
      <c r="F4303" t="s">
        <v>27095</v>
      </c>
      <c r="G4303" t="s">
        <v>27096</v>
      </c>
      <c r="H4303" t="e" vm="1874">
        <f>_FV(0,"002709767459816871")</f>
        <v>#VALUE!</v>
      </c>
      <c r="I4303" t="s">
        <v>27097</v>
      </c>
      <c r="J4303" t="s">
        <v>27098</v>
      </c>
      <c r="K4303" t="s">
        <v>27099</v>
      </c>
      <c r="L4303" t="s">
        <v>27093</v>
      </c>
    </row>
    <row r="4304" spans="1:12" x14ac:dyDescent="0.25">
      <c r="A4304">
        <v>736268</v>
      </c>
      <c r="B4304">
        <v>736399</v>
      </c>
      <c r="D4304">
        <v>0</v>
      </c>
      <c r="E4304" t="s">
        <v>27101</v>
      </c>
      <c r="F4304" t="s">
        <v>27102</v>
      </c>
      <c r="G4304" t="s">
        <v>27103</v>
      </c>
      <c r="H4304" t="s">
        <v>27104</v>
      </c>
      <c r="I4304" t="s">
        <v>27105</v>
      </c>
      <c r="J4304" t="s">
        <v>27100</v>
      </c>
      <c r="K4304" t="s">
        <v>27106</v>
      </c>
      <c r="L4304" t="s">
        <v>27100</v>
      </c>
    </row>
    <row r="4305" spans="1:12" x14ac:dyDescent="0.25">
      <c r="A4305">
        <v>736289</v>
      </c>
      <c r="B4305">
        <v>736392</v>
      </c>
      <c r="D4305">
        <v>0</v>
      </c>
      <c r="E4305" t="s">
        <v>27107</v>
      </c>
      <c r="F4305" t="s">
        <v>27108</v>
      </c>
      <c r="G4305" t="s">
        <v>27109</v>
      </c>
      <c r="H4305" t="s">
        <v>1783</v>
      </c>
      <c r="I4305" t="s">
        <v>27110</v>
      </c>
      <c r="J4305" t="s">
        <v>1783</v>
      </c>
      <c r="K4305" t="s">
        <v>27111</v>
      </c>
      <c r="L4305" t="s">
        <v>1783</v>
      </c>
    </row>
    <row r="4306" spans="1:12" x14ac:dyDescent="0.25">
      <c r="A4306">
        <v>736303</v>
      </c>
      <c r="B4306">
        <v>736331</v>
      </c>
      <c r="D4306">
        <v>0</v>
      </c>
      <c r="E4306" t="s">
        <v>27112</v>
      </c>
      <c r="F4306" t="s">
        <v>27113</v>
      </c>
      <c r="G4306" t="s">
        <v>27114</v>
      </c>
      <c r="H4306" t="s">
        <v>27115</v>
      </c>
      <c r="I4306" t="s">
        <v>27116</v>
      </c>
      <c r="J4306" t="s">
        <v>13041</v>
      </c>
      <c r="K4306" t="s">
        <v>27117</v>
      </c>
      <c r="L4306" t="s">
        <v>13041</v>
      </c>
    </row>
    <row r="4307" spans="1:12" x14ac:dyDescent="0.25">
      <c r="A4307">
        <v>736303</v>
      </c>
      <c r="B4307">
        <v>736400</v>
      </c>
      <c r="D4307">
        <v>0</v>
      </c>
      <c r="E4307" t="s">
        <v>27118</v>
      </c>
      <c r="F4307" t="s">
        <v>27119</v>
      </c>
      <c r="G4307" t="s">
        <v>27120</v>
      </c>
      <c r="H4307" t="s">
        <v>27121</v>
      </c>
      <c r="I4307" t="s">
        <v>27122</v>
      </c>
      <c r="J4307" t="s">
        <v>4947</v>
      </c>
      <c r="K4307" t="s">
        <v>27123</v>
      </c>
      <c r="L4307" t="s">
        <v>4947</v>
      </c>
    </row>
    <row r="4308" spans="1:12" x14ac:dyDescent="0.25">
      <c r="A4308">
        <v>736316</v>
      </c>
      <c r="B4308">
        <v>736326</v>
      </c>
      <c r="D4308">
        <v>0</v>
      </c>
      <c r="E4308" t="s">
        <v>27125</v>
      </c>
      <c r="F4308" t="s">
        <v>27126</v>
      </c>
      <c r="G4308" t="s">
        <v>27127</v>
      </c>
      <c r="H4308" t="e" vm="1875">
        <f>_FV(0,"006597105655815956")</f>
        <v>#VALUE!</v>
      </c>
      <c r="I4308" t="s">
        <v>27128</v>
      </c>
      <c r="J4308" t="s">
        <v>27129</v>
      </c>
      <c r="K4308" t="s">
        <v>27130</v>
      </c>
      <c r="L4308" t="s">
        <v>27124</v>
      </c>
    </row>
    <row r="4309" spans="1:12" x14ac:dyDescent="0.25">
      <c r="A4309">
        <v>736316</v>
      </c>
      <c r="B4309">
        <v>736353</v>
      </c>
      <c r="D4309">
        <v>0</v>
      </c>
      <c r="E4309" t="s">
        <v>27132</v>
      </c>
      <c r="F4309" t="s">
        <v>27133</v>
      </c>
      <c r="G4309" t="s">
        <v>27134</v>
      </c>
      <c r="H4309" t="s">
        <v>27135</v>
      </c>
      <c r="I4309" t="s">
        <v>27136</v>
      </c>
      <c r="J4309" t="s">
        <v>27131</v>
      </c>
      <c r="K4309" t="s">
        <v>27137</v>
      </c>
      <c r="L4309" t="s">
        <v>27131</v>
      </c>
    </row>
    <row r="4310" spans="1:12" x14ac:dyDescent="0.25">
      <c r="A4310">
        <v>736326</v>
      </c>
      <c r="B4310">
        <v>736331</v>
      </c>
      <c r="D4310">
        <v>0</v>
      </c>
      <c r="F4310">
        <v>755649</v>
      </c>
      <c r="G4310">
        <v>736331</v>
      </c>
      <c r="H4310" t="e" vm="12">
        <f>_FV(0,"005")</f>
        <v>#VALUE!</v>
      </c>
      <c r="I4310">
        <v>736326</v>
      </c>
      <c r="J4310" t="s">
        <v>194</v>
      </c>
      <c r="K4310" t="s">
        <v>27138</v>
      </c>
      <c r="L4310" t="e" vm="12">
        <f>_FV(0,"005")</f>
        <v>#VALUE!</v>
      </c>
    </row>
    <row r="4311" spans="1:12" x14ac:dyDescent="0.25">
      <c r="A4311">
        <v>736326</v>
      </c>
      <c r="B4311">
        <v>736353</v>
      </c>
      <c r="D4311">
        <v>0</v>
      </c>
      <c r="E4311" t="s">
        <v>27140</v>
      </c>
      <c r="F4311" t="s">
        <v>27141</v>
      </c>
      <c r="G4311" t="s">
        <v>27142</v>
      </c>
      <c r="H4311" t="s">
        <v>27143</v>
      </c>
      <c r="I4311" t="s">
        <v>27144</v>
      </c>
      <c r="J4311" t="s">
        <v>27139</v>
      </c>
      <c r="K4311" t="s">
        <v>27145</v>
      </c>
      <c r="L4311" t="s">
        <v>27139</v>
      </c>
    </row>
    <row r="4312" spans="1:12" x14ac:dyDescent="0.25">
      <c r="A4312">
        <v>736331</v>
      </c>
      <c r="B4312">
        <v>736400</v>
      </c>
      <c r="D4312">
        <v>0</v>
      </c>
      <c r="E4312" t="s">
        <v>27146</v>
      </c>
      <c r="F4312" t="s">
        <v>27147</v>
      </c>
      <c r="G4312" t="s">
        <v>27148</v>
      </c>
      <c r="H4312" t="e" vm="1876">
        <f>_FV(0,"0007517027324687963")</f>
        <v>#VALUE!</v>
      </c>
      <c r="I4312" t="s">
        <v>27149</v>
      </c>
      <c r="J4312" t="s">
        <v>4947</v>
      </c>
      <c r="K4312" t="s">
        <v>27150</v>
      </c>
      <c r="L4312" t="s">
        <v>22888</v>
      </c>
    </row>
    <row r="4313" spans="1:12" x14ac:dyDescent="0.25">
      <c r="A4313">
        <v>736380</v>
      </c>
      <c r="B4313">
        <v>736392</v>
      </c>
      <c r="D4313">
        <v>0</v>
      </c>
      <c r="E4313" t="s">
        <v>27152</v>
      </c>
      <c r="F4313" t="s">
        <v>27153</v>
      </c>
      <c r="G4313" t="s">
        <v>27154</v>
      </c>
      <c r="H4313" t="s">
        <v>27155</v>
      </c>
      <c r="I4313" t="s">
        <v>27156</v>
      </c>
      <c r="J4313" t="s">
        <v>27151</v>
      </c>
      <c r="K4313" t="s">
        <v>27157</v>
      </c>
      <c r="L4313" t="s">
        <v>27151</v>
      </c>
    </row>
    <row r="4314" spans="1:12" x14ac:dyDescent="0.25">
      <c r="A4314">
        <v>736380</v>
      </c>
      <c r="B4314">
        <v>462133</v>
      </c>
      <c r="D4314">
        <v>0</v>
      </c>
      <c r="E4314" t="s">
        <v>27159</v>
      </c>
      <c r="F4314" t="s">
        <v>27160</v>
      </c>
      <c r="G4314" t="s">
        <v>27161</v>
      </c>
      <c r="H4314" t="s">
        <v>27162</v>
      </c>
      <c r="I4314" t="s">
        <v>27163</v>
      </c>
      <c r="J4314" t="s">
        <v>27164</v>
      </c>
      <c r="K4314" t="s">
        <v>27165</v>
      </c>
      <c r="L4314" t="s">
        <v>27158</v>
      </c>
    </row>
    <row r="4315" spans="1:12" x14ac:dyDescent="0.25">
      <c r="A4315">
        <v>736380</v>
      </c>
      <c r="B4315">
        <v>740687</v>
      </c>
      <c r="D4315">
        <v>0</v>
      </c>
      <c r="E4315" t="s">
        <v>27167</v>
      </c>
      <c r="F4315" t="s">
        <v>27168</v>
      </c>
      <c r="G4315" t="s">
        <v>27169</v>
      </c>
      <c r="H4315" t="s">
        <v>27170</v>
      </c>
      <c r="I4315" t="s">
        <v>27171</v>
      </c>
      <c r="J4315" t="s">
        <v>27172</v>
      </c>
      <c r="K4315" t="s">
        <v>27173</v>
      </c>
      <c r="L4315" t="s">
        <v>27166</v>
      </c>
    </row>
    <row r="4316" spans="1:12" x14ac:dyDescent="0.25">
      <c r="A4316">
        <v>736399</v>
      </c>
      <c r="B4316">
        <v>736400</v>
      </c>
      <c r="D4316">
        <v>0</v>
      </c>
      <c r="F4316">
        <v>755745</v>
      </c>
      <c r="G4316">
        <v>736400</v>
      </c>
      <c r="H4316" t="s">
        <v>1534</v>
      </c>
      <c r="I4316">
        <v>736399</v>
      </c>
      <c r="J4316" t="s">
        <v>1534</v>
      </c>
      <c r="K4316" t="s">
        <v>27174</v>
      </c>
      <c r="L4316" t="s">
        <v>1534</v>
      </c>
    </row>
    <row r="4317" spans="1:12" x14ac:dyDescent="0.25">
      <c r="A4317">
        <v>736707</v>
      </c>
      <c r="B4317">
        <v>740687</v>
      </c>
      <c r="D4317">
        <v>0</v>
      </c>
      <c r="E4317" t="s">
        <v>27176</v>
      </c>
      <c r="F4317" t="s">
        <v>27177</v>
      </c>
      <c r="G4317" t="s">
        <v>27178</v>
      </c>
      <c r="H4317" t="e" vm="1877">
        <f>_FV(0,"009396930177375397")</f>
        <v>#VALUE!</v>
      </c>
      <c r="I4317" t="s">
        <v>27179</v>
      </c>
      <c r="J4317" t="s">
        <v>27180</v>
      </c>
      <c r="K4317" t="s">
        <v>27181</v>
      </c>
      <c r="L4317" t="s">
        <v>27175</v>
      </c>
    </row>
    <row r="4318" spans="1:12" x14ac:dyDescent="0.25">
      <c r="A4318">
        <v>739490</v>
      </c>
      <c r="B4318">
        <v>739549</v>
      </c>
      <c r="D4318">
        <v>0</v>
      </c>
      <c r="E4318" t="s">
        <v>27183</v>
      </c>
      <c r="F4318" t="s">
        <v>27184</v>
      </c>
      <c r="G4318" t="s">
        <v>27185</v>
      </c>
      <c r="H4318" t="e" vm="1878">
        <f>_FV(0,"006081321521946699")</f>
        <v>#VALUE!</v>
      </c>
      <c r="I4318" t="s">
        <v>27186</v>
      </c>
      <c r="J4318" t="s">
        <v>27187</v>
      </c>
      <c r="K4318" t="s">
        <v>27188</v>
      </c>
      <c r="L4318" t="s">
        <v>27182</v>
      </c>
    </row>
    <row r="4319" spans="1:12" x14ac:dyDescent="0.25">
      <c r="A4319">
        <v>739490</v>
      </c>
      <c r="B4319">
        <v>739549</v>
      </c>
      <c r="D4319">
        <v>0</v>
      </c>
      <c r="E4319" t="s">
        <v>27190</v>
      </c>
      <c r="F4319" t="s">
        <v>27191</v>
      </c>
      <c r="G4319" t="s">
        <v>27192</v>
      </c>
      <c r="H4319" t="e" vm="1879">
        <f>_FV(0,"005890864409061578")</f>
        <v>#VALUE!</v>
      </c>
      <c r="I4319" t="s">
        <v>27193</v>
      </c>
      <c r="J4319" t="s">
        <v>27194</v>
      </c>
      <c r="K4319" t="s">
        <v>27195</v>
      </c>
      <c r="L4319" t="s">
        <v>27189</v>
      </c>
    </row>
    <row r="4320" spans="1:12" x14ac:dyDescent="0.25">
      <c r="A4320">
        <v>739490</v>
      </c>
      <c r="B4320">
        <v>1806469</v>
      </c>
      <c r="C4320" t="s">
        <v>27197</v>
      </c>
      <c r="D4320">
        <v>0</v>
      </c>
      <c r="E4320" t="s">
        <v>27198</v>
      </c>
      <c r="F4320" t="s">
        <v>27199</v>
      </c>
      <c r="G4320" t="s">
        <v>27200</v>
      </c>
      <c r="H4320" t="e" vm="1880">
        <f>_FV(0,"007790262209264285")</f>
        <v>#VALUE!</v>
      </c>
      <c r="I4320" t="s">
        <v>27201</v>
      </c>
      <c r="J4320" t="s">
        <v>27202</v>
      </c>
      <c r="K4320" t="s">
        <v>27203</v>
      </c>
      <c r="L4320" t="s">
        <v>27196</v>
      </c>
    </row>
    <row r="4321" spans="1:12" x14ac:dyDescent="0.25">
      <c r="A4321">
        <v>739549</v>
      </c>
      <c r="B4321">
        <v>1616680</v>
      </c>
      <c r="C4321" t="s">
        <v>27205</v>
      </c>
      <c r="D4321" t="s">
        <v>27206</v>
      </c>
      <c r="E4321" t="s">
        <v>27207</v>
      </c>
      <c r="F4321" t="s">
        <v>27208</v>
      </c>
      <c r="G4321" t="s">
        <v>27209</v>
      </c>
      <c r="H4321" t="s">
        <v>27210</v>
      </c>
      <c r="I4321" t="s">
        <v>27211</v>
      </c>
      <c r="J4321" t="s">
        <v>27212</v>
      </c>
      <c r="K4321" t="s">
        <v>27213</v>
      </c>
      <c r="L4321" t="s">
        <v>27204</v>
      </c>
    </row>
    <row r="4322" spans="1:12" x14ac:dyDescent="0.25">
      <c r="A4322">
        <v>462133</v>
      </c>
      <c r="B4322">
        <v>794410</v>
      </c>
      <c r="D4322">
        <v>0</v>
      </c>
      <c r="E4322" t="s">
        <v>27215</v>
      </c>
      <c r="F4322" t="s">
        <v>27216</v>
      </c>
      <c r="G4322" t="s">
        <v>27217</v>
      </c>
      <c r="H4322" t="e" vm="1881">
        <f>_FV(0,"010669490113813716")</f>
        <v>#VALUE!</v>
      </c>
      <c r="I4322" t="s">
        <v>27218</v>
      </c>
      <c r="J4322" t="s">
        <v>27219</v>
      </c>
      <c r="K4322" t="s">
        <v>27220</v>
      </c>
      <c r="L4322" t="s">
        <v>27214</v>
      </c>
    </row>
    <row r="4323" spans="1:12" x14ac:dyDescent="0.25">
      <c r="A4323">
        <v>741131</v>
      </c>
      <c r="B4323">
        <v>1106296</v>
      </c>
      <c r="D4323">
        <v>0</v>
      </c>
      <c r="E4323" t="s">
        <v>27222</v>
      </c>
      <c r="F4323" t="s">
        <v>27223</v>
      </c>
      <c r="G4323" t="s">
        <v>27224</v>
      </c>
      <c r="H4323" t="e" vm="1882">
        <f>_FV(0,"038097484838428466")</f>
        <v>#VALUE!</v>
      </c>
      <c r="I4323" t="s">
        <v>27225</v>
      </c>
      <c r="J4323" t="s">
        <v>27226</v>
      </c>
      <c r="K4323" t="s">
        <v>27227</v>
      </c>
      <c r="L4323" t="s">
        <v>27221</v>
      </c>
    </row>
    <row r="4324" spans="1:12" x14ac:dyDescent="0.25">
      <c r="A4324">
        <v>182158</v>
      </c>
      <c r="B4324">
        <v>1106352</v>
      </c>
      <c r="D4324">
        <v>0</v>
      </c>
      <c r="E4324" t="s">
        <v>27229</v>
      </c>
      <c r="F4324" t="s">
        <v>27230</v>
      </c>
      <c r="G4324" t="s">
        <v>27231</v>
      </c>
      <c r="H4324" t="s">
        <v>27232</v>
      </c>
      <c r="I4324" t="s">
        <v>27233</v>
      </c>
      <c r="J4324" t="s">
        <v>27228</v>
      </c>
      <c r="K4324" t="s">
        <v>27234</v>
      </c>
      <c r="L4324" t="s">
        <v>27228</v>
      </c>
    </row>
    <row r="4325" spans="1:12" x14ac:dyDescent="0.25">
      <c r="A4325">
        <v>742659</v>
      </c>
      <c r="B4325">
        <v>742716</v>
      </c>
      <c r="D4325">
        <v>0</v>
      </c>
      <c r="E4325" t="s">
        <v>27236</v>
      </c>
      <c r="F4325" t="s">
        <v>27237</v>
      </c>
      <c r="G4325" t="s">
        <v>27238</v>
      </c>
      <c r="H4325" t="e" vm="1883">
        <f>_FV(0,"026192372170724666")</f>
        <v>#VALUE!</v>
      </c>
      <c r="I4325" t="s">
        <v>27239</v>
      </c>
      <c r="J4325" t="s">
        <v>27240</v>
      </c>
      <c r="K4325" t="s">
        <v>27241</v>
      </c>
      <c r="L4325" t="s">
        <v>27235</v>
      </c>
    </row>
    <row r="4326" spans="1:12" x14ac:dyDescent="0.25">
      <c r="A4326">
        <v>742659</v>
      </c>
      <c r="B4326">
        <v>1270219</v>
      </c>
      <c r="D4326">
        <v>0</v>
      </c>
      <c r="E4326" t="s">
        <v>27243</v>
      </c>
      <c r="F4326" t="s">
        <v>27244</v>
      </c>
      <c r="G4326" t="s">
        <v>27245</v>
      </c>
      <c r="H4326" t="s">
        <v>27246</v>
      </c>
      <c r="I4326" t="s">
        <v>27247</v>
      </c>
      <c r="J4326" t="s">
        <v>27242</v>
      </c>
      <c r="K4326" t="s">
        <v>27248</v>
      </c>
      <c r="L4326" t="s">
        <v>27242</v>
      </c>
    </row>
    <row r="4327" spans="1:12" x14ac:dyDescent="0.25">
      <c r="A4327">
        <v>742716</v>
      </c>
      <c r="B4327">
        <v>742721</v>
      </c>
      <c r="D4327">
        <v>0</v>
      </c>
      <c r="F4327">
        <v>763511</v>
      </c>
      <c r="G4327">
        <v>742721</v>
      </c>
      <c r="H4327" t="e" vm="451">
        <f>_FV(0,"064")</f>
        <v>#VALUE!</v>
      </c>
      <c r="I4327">
        <v>742716</v>
      </c>
      <c r="J4327" t="s">
        <v>6299</v>
      </c>
      <c r="K4327" t="s">
        <v>27249</v>
      </c>
      <c r="L4327" t="e" vm="451">
        <f>_FV(0,"064")</f>
        <v>#VALUE!</v>
      </c>
    </row>
    <row r="4328" spans="1:12" x14ac:dyDescent="0.25">
      <c r="A4328">
        <v>742721</v>
      </c>
      <c r="B4328">
        <v>742743</v>
      </c>
      <c r="D4328">
        <v>0</v>
      </c>
      <c r="E4328" t="s">
        <v>27251</v>
      </c>
      <c r="F4328" t="s">
        <v>27252</v>
      </c>
      <c r="G4328" t="s">
        <v>27253</v>
      </c>
      <c r="H4328" t="e" vm="1884">
        <f>_FV(0,"044342936621716955")</f>
        <v>#VALUE!</v>
      </c>
      <c r="I4328" t="s">
        <v>27254</v>
      </c>
      <c r="J4328" t="s">
        <v>27255</v>
      </c>
      <c r="K4328" t="s">
        <v>27256</v>
      </c>
      <c r="L4328" t="s">
        <v>27250</v>
      </c>
    </row>
    <row r="4329" spans="1:12" x14ac:dyDescent="0.25">
      <c r="A4329">
        <v>742743</v>
      </c>
      <c r="B4329">
        <v>1259673</v>
      </c>
      <c r="D4329">
        <v>0</v>
      </c>
      <c r="E4329" t="s">
        <v>27258</v>
      </c>
      <c r="F4329" t="s">
        <v>27259</v>
      </c>
      <c r="G4329" t="s">
        <v>27260</v>
      </c>
      <c r="H4329" t="s">
        <v>27261</v>
      </c>
      <c r="I4329" t="s">
        <v>27262</v>
      </c>
      <c r="J4329" t="s">
        <v>27263</v>
      </c>
      <c r="K4329" t="s">
        <v>27264</v>
      </c>
      <c r="L4329" t="s">
        <v>27257</v>
      </c>
    </row>
    <row r="4330" spans="1:12" x14ac:dyDescent="0.25">
      <c r="A4330">
        <v>744218</v>
      </c>
      <c r="B4330">
        <v>1367534</v>
      </c>
      <c r="D4330">
        <v>0</v>
      </c>
      <c r="E4330" t="s">
        <v>27266</v>
      </c>
      <c r="F4330" t="s">
        <v>27267</v>
      </c>
      <c r="G4330" t="s">
        <v>27268</v>
      </c>
      <c r="H4330" t="s">
        <v>27269</v>
      </c>
      <c r="I4330" t="s">
        <v>27270</v>
      </c>
      <c r="J4330" t="s">
        <v>27271</v>
      </c>
      <c r="K4330" t="s">
        <v>27272</v>
      </c>
      <c r="L4330" t="s">
        <v>27265</v>
      </c>
    </row>
    <row r="4331" spans="1:12" x14ac:dyDescent="0.25">
      <c r="A4331">
        <v>744378</v>
      </c>
      <c r="B4331">
        <v>744392</v>
      </c>
      <c r="D4331">
        <v>0</v>
      </c>
      <c r="E4331" t="s">
        <v>27274</v>
      </c>
      <c r="F4331" t="s">
        <v>27275</v>
      </c>
      <c r="G4331" t="s">
        <v>27276</v>
      </c>
      <c r="H4331" t="e" vm="1885">
        <f>_FV(0,"012047951902837695")</f>
        <v>#VALUE!</v>
      </c>
      <c r="I4331" t="s">
        <v>27277</v>
      </c>
      <c r="J4331" t="s">
        <v>27278</v>
      </c>
      <c r="K4331" t="s">
        <v>27279</v>
      </c>
      <c r="L4331" t="s">
        <v>27273</v>
      </c>
    </row>
    <row r="4332" spans="1:12" x14ac:dyDescent="0.25">
      <c r="A4332">
        <v>744378</v>
      </c>
      <c r="B4332">
        <v>761571</v>
      </c>
      <c r="C4332" t="s">
        <v>27281</v>
      </c>
      <c r="D4332">
        <v>0</v>
      </c>
      <c r="E4332" t="s">
        <v>27282</v>
      </c>
      <c r="F4332" t="s">
        <v>27283</v>
      </c>
      <c r="G4332" t="s">
        <v>27284</v>
      </c>
      <c r="H4332" t="s">
        <v>27285</v>
      </c>
      <c r="I4332" t="s">
        <v>27286</v>
      </c>
      <c r="J4332" t="s">
        <v>27287</v>
      </c>
      <c r="K4332" t="s">
        <v>27288</v>
      </c>
      <c r="L4332" t="s">
        <v>27280</v>
      </c>
    </row>
    <row r="4333" spans="1:12" x14ac:dyDescent="0.25">
      <c r="A4333">
        <v>744392</v>
      </c>
      <c r="B4333">
        <v>1393480</v>
      </c>
      <c r="C4333" t="s">
        <v>27290</v>
      </c>
      <c r="D4333" t="s">
        <v>27291</v>
      </c>
      <c r="E4333" t="s">
        <v>27292</v>
      </c>
      <c r="F4333" t="s">
        <v>27293</v>
      </c>
      <c r="G4333" t="s">
        <v>27294</v>
      </c>
      <c r="H4333" t="s">
        <v>27295</v>
      </c>
      <c r="I4333" t="s">
        <v>27296</v>
      </c>
      <c r="J4333" t="s">
        <v>27297</v>
      </c>
      <c r="K4333" t="s">
        <v>27298</v>
      </c>
      <c r="L4333" t="s">
        <v>27289</v>
      </c>
    </row>
    <row r="4334" spans="1:12" x14ac:dyDescent="0.25">
      <c r="A4334">
        <v>744645</v>
      </c>
      <c r="B4334">
        <v>644897</v>
      </c>
      <c r="D4334">
        <v>0</v>
      </c>
      <c r="E4334" t="s">
        <v>27300</v>
      </c>
      <c r="F4334" t="s">
        <v>27301</v>
      </c>
      <c r="G4334" t="s">
        <v>27302</v>
      </c>
      <c r="H4334" t="e" vm="1886">
        <f>_FV(0,"035407350845565726")</f>
        <v>#VALUE!</v>
      </c>
      <c r="I4334" t="s">
        <v>27303</v>
      </c>
      <c r="J4334" t="s">
        <v>27304</v>
      </c>
      <c r="K4334" t="s">
        <v>27305</v>
      </c>
      <c r="L4334" t="s">
        <v>27299</v>
      </c>
    </row>
    <row r="4335" spans="1:12" x14ac:dyDescent="0.25">
      <c r="A4335">
        <v>745032</v>
      </c>
      <c r="B4335">
        <v>745557</v>
      </c>
      <c r="D4335">
        <v>1</v>
      </c>
      <c r="E4335" t="s">
        <v>27307</v>
      </c>
      <c r="F4335" t="s">
        <v>27308</v>
      </c>
      <c r="G4335" t="s">
        <v>27309</v>
      </c>
      <c r="H4335" t="s">
        <v>27310</v>
      </c>
      <c r="I4335" t="s">
        <v>27311</v>
      </c>
      <c r="J4335" t="s">
        <v>27312</v>
      </c>
      <c r="K4335" t="s">
        <v>27313</v>
      </c>
      <c r="L4335" t="s">
        <v>27306</v>
      </c>
    </row>
    <row r="4336" spans="1:12" x14ac:dyDescent="0.25">
      <c r="A4336">
        <v>745543</v>
      </c>
      <c r="B4336">
        <v>745557</v>
      </c>
      <c r="D4336">
        <v>1</v>
      </c>
      <c r="E4336" t="s">
        <v>27315</v>
      </c>
      <c r="F4336" t="s">
        <v>27316</v>
      </c>
      <c r="G4336" t="s">
        <v>27317</v>
      </c>
      <c r="H4336" t="e" vm="1887">
        <f>_FV(0,"06576199028539542")</f>
        <v>#VALUE!</v>
      </c>
      <c r="I4336" t="s">
        <v>27318</v>
      </c>
      <c r="J4336" t="s">
        <v>27319</v>
      </c>
      <c r="K4336" t="s">
        <v>27320</v>
      </c>
      <c r="L4336" t="s">
        <v>27314</v>
      </c>
    </row>
    <row r="4337" spans="1:12" x14ac:dyDescent="0.25">
      <c r="A4337">
        <v>749584</v>
      </c>
      <c r="B4337">
        <v>749662</v>
      </c>
      <c r="C4337" t="s">
        <v>27322</v>
      </c>
      <c r="D4337">
        <v>0</v>
      </c>
      <c r="E4337" t="s">
        <v>27323</v>
      </c>
      <c r="F4337" t="s">
        <v>27324</v>
      </c>
      <c r="G4337" t="s">
        <v>27325</v>
      </c>
      <c r="H4337" t="e" vm="1888">
        <f>_FV(0,"029945992431223516")</f>
        <v>#VALUE!</v>
      </c>
      <c r="I4337" t="s">
        <v>27326</v>
      </c>
      <c r="J4337" t="s">
        <v>27327</v>
      </c>
      <c r="K4337" t="s">
        <v>27328</v>
      </c>
      <c r="L4337" t="s">
        <v>27321</v>
      </c>
    </row>
    <row r="4338" spans="1:12" x14ac:dyDescent="0.25">
      <c r="A4338">
        <v>749662</v>
      </c>
      <c r="B4338">
        <v>749672</v>
      </c>
      <c r="D4338">
        <v>0</v>
      </c>
      <c r="F4338">
        <v>770279</v>
      </c>
      <c r="G4338">
        <v>749672</v>
      </c>
      <c r="H4338" t="e" vm="355">
        <f>_FV(0,"048")</f>
        <v>#VALUE!</v>
      </c>
      <c r="I4338">
        <v>749662</v>
      </c>
      <c r="J4338" t="s">
        <v>3758</v>
      </c>
      <c r="K4338" t="s">
        <v>27329</v>
      </c>
      <c r="L4338" t="e" vm="355">
        <f>_FV(0,"048")</f>
        <v>#VALUE!</v>
      </c>
    </row>
    <row r="4339" spans="1:12" x14ac:dyDescent="0.25">
      <c r="A4339">
        <v>749672</v>
      </c>
      <c r="B4339">
        <v>1259667</v>
      </c>
      <c r="D4339">
        <v>0</v>
      </c>
      <c r="E4339" t="s">
        <v>27331</v>
      </c>
      <c r="F4339" t="s">
        <v>27332</v>
      </c>
      <c r="G4339" t="s">
        <v>27333</v>
      </c>
      <c r="H4339" t="e" vm="1889">
        <f>_FV(0,"02731459018401773")</f>
        <v>#VALUE!</v>
      </c>
      <c r="I4339" t="s">
        <v>27334</v>
      </c>
      <c r="J4339" t="s">
        <v>27335</v>
      </c>
      <c r="K4339" t="s">
        <v>27336</v>
      </c>
      <c r="L4339" t="s">
        <v>27330</v>
      </c>
    </row>
    <row r="4340" spans="1:12" x14ac:dyDescent="0.25">
      <c r="A4340">
        <v>759648</v>
      </c>
      <c r="B4340">
        <v>759658</v>
      </c>
      <c r="D4340">
        <v>0</v>
      </c>
      <c r="E4340" t="s">
        <v>27338</v>
      </c>
      <c r="F4340" t="s">
        <v>27339</v>
      </c>
      <c r="G4340" t="s">
        <v>27340</v>
      </c>
      <c r="H4340" t="s">
        <v>27341</v>
      </c>
      <c r="I4340" t="s">
        <v>27342</v>
      </c>
      <c r="J4340" t="s">
        <v>27343</v>
      </c>
      <c r="K4340" t="s">
        <v>27344</v>
      </c>
      <c r="L4340" t="s">
        <v>27337</v>
      </c>
    </row>
    <row r="4341" spans="1:12" x14ac:dyDescent="0.25">
      <c r="A4341">
        <v>761267</v>
      </c>
      <c r="B4341">
        <v>794428</v>
      </c>
      <c r="D4341">
        <v>0</v>
      </c>
      <c r="E4341" t="s">
        <v>27346</v>
      </c>
      <c r="F4341" t="s">
        <v>27347</v>
      </c>
      <c r="G4341" t="s">
        <v>27348</v>
      </c>
      <c r="H4341" t="e" vm="1890">
        <f>_FV(-4,"92795767593358e")-6</f>
        <v>#VALUE!</v>
      </c>
      <c r="I4341" t="s">
        <v>27349</v>
      </c>
      <c r="J4341" t="s">
        <v>27350</v>
      </c>
      <c r="K4341" t="s">
        <v>27351</v>
      </c>
      <c r="L4341" t="s">
        <v>27345</v>
      </c>
    </row>
    <row r="4342" spans="1:12" x14ac:dyDescent="0.25">
      <c r="A4342">
        <v>761571</v>
      </c>
      <c r="B4342">
        <v>1159969</v>
      </c>
      <c r="D4342">
        <v>0</v>
      </c>
      <c r="E4342" t="s">
        <v>27353</v>
      </c>
      <c r="F4342" t="s">
        <v>27354</v>
      </c>
      <c r="G4342" t="s">
        <v>27355</v>
      </c>
      <c r="H4342" t="e" vm="1891">
        <f>_FV(0,"0055033619936455174")</f>
        <v>#VALUE!</v>
      </c>
      <c r="I4342" t="s">
        <v>27356</v>
      </c>
      <c r="J4342" t="s">
        <v>27357</v>
      </c>
      <c r="K4342" t="s">
        <v>27358</v>
      </c>
      <c r="L4342" t="s">
        <v>27352</v>
      </c>
    </row>
    <row r="4343" spans="1:12" x14ac:dyDescent="0.25">
      <c r="A4343">
        <v>770231</v>
      </c>
      <c r="B4343">
        <v>770242</v>
      </c>
      <c r="D4343">
        <v>0</v>
      </c>
      <c r="E4343" t="s">
        <v>27359</v>
      </c>
      <c r="F4343" t="s">
        <v>27360</v>
      </c>
      <c r="G4343" t="s">
        <v>27361</v>
      </c>
      <c r="H4343" t="s">
        <v>27362</v>
      </c>
      <c r="I4343" t="s">
        <v>27363</v>
      </c>
      <c r="J4343" t="s">
        <v>13113</v>
      </c>
      <c r="K4343" t="s">
        <v>27364</v>
      </c>
      <c r="L4343" t="s">
        <v>13113</v>
      </c>
    </row>
    <row r="4344" spans="1:12" x14ac:dyDescent="0.25">
      <c r="A4344">
        <v>770231</v>
      </c>
      <c r="B4344">
        <v>770319</v>
      </c>
      <c r="D4344">
        <v>0</v>
      </c>
      <c r="E4344" t="s">
        <v>27366</v>
      </c>
      <c r="F4344" t="s">
        <v>27367</v>
      </c>
      <c r="G4344" t="s">
        <v>27368</v>
      </c>
      <c r="H4344" t="s">
        <v>27369</v>
      </c>
      <c r="I4344" t="s">
        <v>27370</v>
      </c>
      <c r="J4344" t="s">
        <v>27371</v>
      </c>
      <c r="K4344" t="s">
        <v>27372</v>
      </c>
      <c r="L4344" t="s">
        <v>27365</v>
      </c>
    </row>
    <row r="4345" spans="1:12" x14ac:dyDescent="0.25">
      <c r="A4345">
        <v>770231</v>
      </c>
      <c r="B4345">
        <v>770250</v>
      </c>
      <c r="D4345">
        <v>0</v>
      </c>
      <c r="E4345" t="s">
        <v>27373</v>
      </c>
      <c r="F4345" t="s">
        <v>27374</v>
      </c>
      <c r="G4345" t="s">
        <v>27375</v>
      </c>
      <c r="H4345" t="e" vm="1892">
        <f>_FV(0,"004505802605485053")</f>
        <v>#VALUE!</v>
      </c>
      <c r="I4345" t="s">
        <v>27376</v>
      </c>
      <c r="J4345" t="s">
        <v>4897</v>
      </c>
      <c r="K4345" t="s">
        <v>27377</v>
      </c>
      <c r="L4345" t="s">
        <v>4892</v>
      </c>
    </row>
    <row r="4346" spans="1:12" x14ac:dyDescent="0.25">
      <c r="A4346">
        <v>770242</v>
      </c>
      <c r="B4346">
        <v>1298209</v>
      </c>
      <c r="D4346" t="s">
        <v>1875</v>
      </c>
      <c r="E4346" t="s">
        <v>27379</v>
      </c>
      <c r="F4346" t="s">
        <v>27380</v>
      </c>
      <c r="G4346" t="s">
        <v>27381</v>
      </c>
      <c r="H4346" t="s">
        <v>27382</v>
      </c>
      <c r="I4346" t="s">
        <v>27383</v>
      </c>
      <c r="J4346" t="s">
        <v>27378</v>
      </c>
      <c r="K4346" t="s">
        <v>27384</v>
      </c>
      <c r="L4346" t="s">
        <v>27378</v>
      </c>
    </row>
    <row r="4347" spans="1:12" x14ac:dyDescent="0.25">
      <c r="A4347">
        <v>770242</v>
      </c>
      <c r="B4347">
        <v>770250</v>
      </c>
      <c r="D4347">
        <v>0</v>
      </c>
      <c r="E4347" t="s">
        <v>27385</v>
      </c>
      <c r="F4347" t="s">
        <v>27386</v>
      </c>
      <c r="G4347" t="s">
        <v>27387</v>
      </c>
      <c r="H4347" t="s">
        <v>27388</v>
      </c>
      <c r="I4347" t="s">
        <v>27389</v>
      </c>
      <c r="J4347" t="s">
        <v>1438</v>
      </c>
      <c r="K4347" t="s">
        <v>27390</v>
      </c>
      <c r="L4347" t="s">
        <v>1438</v>
      </c>
    </row>
    <row r="4348" spans="1:12" x14ac:dyDescent="0.25">
      <c r="A4348">
        <v>770250</v>
      </c>
      <c r="B4348">
        <v>770267</v>
      </c>
      <c r="D4348">
        <v>0</v>
      </c>
      <c r="F4348">
        <v>790628</v>
      </c>
      <c r="G4348">
        <v>770250</v>
      </c>
      <c r="H4348" t="e" vm="87">
        <f>_FV(0,"001")</f>
        <v>#VALUE!</v>
      </c>
      <c r="I4348">
        <v>770267</v>
      </c>
      <c r="J4348" t="s">
        <v>1333</v>
      </c>
      <c r="K4348" t="s">
        <v>27391</v>
      </c>
      <c r="L4348" t="e" vm="87">
        <f>_FV(0,"001")</f>
        <v>#VALUE!</v>
      </c>
    </row>
    <row r="4349" spans="1:12" x14ac:dyDescent="0.25">
      <c r="A4349">
        <v>770267</v>
      </c>
      <c r="B4349">
        <v>770319</v>
      </c>
      <c r="D4349">
        <v>0</v>
      </c>
      <c r="E4349" t="s">
        <v>27392</v>
      </c>
      <c r="F4349" t="s">
        <v>27393</v>
      </c>
      <c r="G4349" t="s">
        <v>27394</v>
      </c>
      <c r="H4349" t="s">
        <v>27395</v>
      </c>
      <c r="I4349" t="s">
        <v>27396</v>
      </c>
      <c r="J4349" t="s">
        <v>4972</v>
      </c>
      <c r="K4349" t="s">
        <v>27397</v>
      </c>
      <c r="L4349" t="s">
        <v>4972</v>
      </c>
    </row>
    <row r="4350" spans="1:12" x14ac:dyDescent="0.25">
      <c r="A4350">
        <v>770267</v>
      </c>
      <c r="B4350">
        <v>770378</v>
      </c>
      <c r="D4350">
        <v>0</v>
      </c>
      <c r="E4350" t="s">
        <v>27398</v>
      </c>
      <c r="F4350" t="s">
        <v>27399</v>
      </c>
      <c r="G4350" t="s">
        <v>27400</v>
      </c>
      <c r="H4350" t="e" vm="339">
        <f>_FV(0,"0")</f>
        <v>#VALUE!</v>
      </c>
      <c r="I4350" t="s">
        <v>27401</v>
      </c>
      <c r="J4350" t="s">
        <v>187</v>
      </c>
      <c r="K4350" t="s">
        <v>27402</v>
      </c>
      <c r="L4350" t="e" vm="339">
        <f>_FV(0,"0")</f>
        <v>#VALUE!</v>
      </c>
    </row>
    <row r="4351" spans="1:12" x14ac:dyDescent="0.25">
      <c r="A4351">
        <v>770319</v>
      </c>
      <c r="B4351">
        <v>770378</v>
      </c>
      <c r="D4351">
        <v>0</v>
      </c>
      <c r="E4351" t="s">
        <v>27404</v>
      </c>
      <c r="F4351" t="s">
        <v>27405</v>
      </c>
      <c r="G4351" t="s">
        <v>27406</v>
      </c>
      <c r="H4351" t="e" vm="1893">
        <f>_FV(0,"0021576470129712443")</f>
        <v>#VALUE!</v>
      </c>
      <c r="I4351" t="s">
        <v>27407</v>
      </c>
      <c r="J4351" t="s">
        <v>13041</v>
      </c>
      <c r="K4351" t="s">
        <v>27408</v>
      </c>
      <c r="L4351" t="s">
        <v>27403</v>
      </c>
    </row>
    <row r="4352" spans="1:12" x14ac:dyDescent="0.25">
      <c r="A4352">
        <v>770378</v>
      </c>
      <c r="B4352">
        <v>1298164</v>
      </c>
      <c r="D4352" t="s">
        <v>9879</v>
      </c>
      <c r="E4352" t="s">
        <v>27410</v>
      </c>
      <c r="F4352" t="s">
        <v>27411</v>
      </c>
      <c r="G4352" t="s">
        <v>27412</v>
      </c>
      <c r="H4352" t="s">
        <v>27413</v>
      </c>
      <c r="I4352" t="s">
        <v>27414</v>
      </c>
      <c r="J4352" t="s">
        <v>27415</v>
      </c>
      <c r="K4352" t="s">
        <v>27416</v>
      </c>
      <c r="L4352" t="s">
        <v>27409</v>
      </c>
    </row>
    <row r="4353" spans="1:12" x14ac:dyDescent="0.25">
      <c r="A4353">
        <v>775322</v>
      </c>
      <c r="B4353">
        <v>775347</v>
      </c>
      <c r="D4353">
        <v>0</v>
      </c>
      <c r="E4353" t="s">
        <v>27418</v>
      </c>
      <c r="F4353" t="s">
        <v>27419</v>
      </c>
      <c r="G4353" t="s">
        <v>27420</v>
      </c>
      <c r="H4353" t="s">
        <v>27421</v>
      </c>
      <c r="I4353" t="s">
        <v>27422</v>
      </c>
      <c r="J4353" t="s">
        <v>27423</v>
      </c>
      <c r="K4353" t="s">
        <v>27424</v>
      </c>
      <c r="L4353" t="s">
        <v>27417</v>
      </c>
    </row>
    <row r="4354" spans="1:12" x14ac:dyDescent="0.25">
      <c r="A4354">
        <v>775322</v>
      </c>
      <c r="B4354">
        <v>775363</v>
      </c>
      <c r="D4354">
        <v>0</v>
      </c>
      <c r="E4354" t="s">
        <v>27426</v>
      </c>
      <c r="F4354" t="s">
        <v>27427</v>
      </c>
      <c r="G4354" t="s">
        <v>27428</v>
      </c>
      <c r="H4354" t="s">
        <v>27429</v>
      </c>
      <c r="I4354" t="s">
        <v>27430</v>
      </c>
      <c r="J4354" t="s">
        <v>27425</v>
      </c>
      <c r="K4354" t="s">
        <v>27431</v>
      </c>
      <c r="L4354" t="s">
        <v>27425</v>
      </c>
    </row>
    <row r="4355" spans="1:12" x14ac:dyDescent="0.25">
      <c r="A4355">
        <v>775347</v>
      </c>
      <c r="B4355">
        <v>1752913</v>
      </c>
      <c r="D4355">
        <v>0</v>
      </c>
      <c r="E4355" t="s">
        <v>27433</v>
      </c>
      <c r="F4355" t="s">
        <v>27434</v>
      </c>
      <c r="G4355" t="s">
        <v>27435</v>
      </c>
      <c r="H4355" t="e" vm="1894">
        <f>_FV(0,"0014784196449347047")</f>
        <v>#VALUE!</v>
      </c>
      <c r="I4355" t="s">
        <v>27436</v>
      </c>
      <c r="J4355" t="s">
        <v>27437</v>
      </c>
      <c r="K4355" t="s">
        <v>27438</v>
      </c>
      <c r="L4355" t="s">
        <v>27432</v>
      </c>
    </row>
    <row r="4356" spans="1:12" x14ac:dyDescent="0.25">
      <c r="A4356">
        <v>775347</v>
      </c>
      <c r="B4356">
        <v>775380</v>
      </c>
      <c r="D4356">
        <v>0</v>
      </c>
      <c r="E4356" t="s">
        <v>27440</v>
      </c>
      <c r="F4356" t="s">
        <v>27441</v>
      </c>
      <c r="G4356" t="s">
        <v>27442</v>
      </c>
      <c r="H4356" t="s">
        <v>27443</v>
      </c>
      <c r="I4356" t="s">
        <v>27444</v>
      </c>
      <c r="J4356" t="s">
        <v>27439</v>
      </c>
      <c r="K4356" t="s">
        <v>27445</v>
      </c>
      <c r="L4356" t="s">
        <v>27439</v>
      </c>
    </row>
    <row r="4357" spans="1:12" x14ac:dyDescent="0.25">
      <c r="A4357">
        <v>775363</v>
      </c>
      <c r="B4357">
        <v>775380</v>
      </c>
      <c r="D4357">
        <v>0</v>
      </c>
      <c r="E4357" t="s">
        <v>27447</v>
      </c>
      <c r="F4357" t="s">
        <v>27448</v>
      </c>
      <c r="G4357" t="s">
        <v>27449</v>
      </c>
      <c r="H4357" t="s">
        <v>27450</v>
      </c>
      <c r="I4357" t="s">
        <v>27451</v>
      </c>
      <c r="J4357" t="s">
        <v>27446</v>
      </c>
      <c r="K4357" t="s">
        <v>27452</v>
      </c>
      <c r="L4357" t="s">
        <v>27446</v>
      </c>
    </row>
    <row r="4358" spans="1:12" x14ac:dyDescent="0.25">
      <c r="A4358">
        <v>775363</v>
      </c>
      <c r="B4358">
        <v>775380</v>
      </c>
      <c r="D4358">
        <v>0</v>
      </c>
      <c r="E4358" t="s">
        <v>27454</v>
      </c>
      <c r="F4358" t="s">
        <v>27455</v>
      </c>
      <c r="G4358" t="s">
        <v>27456</v>
      </c>
      <c r="H4358" t="s">
        <v>27457</v>
      </c>
      <c r="I4358" t="s">
        <v>27458</v>
      </c>
      <c r="J4358" t="s">
        <v>27459</v>
      </c>
      <c r="K4358" t="s">
        <v>27460</v>
      </c>
      <c r="L4358" t="s">
        <v>27453</v>
      </c>
    </row>
    <row r="4359" spans="1:12" x14ac:dyDescent="0.25">
      <c r="A4359">
        <v>775947</v>
      </c>
      <c r="B4359">
        <v>1823989</v>
      </c>
      <c r="D4359">
        <v>0</v>
      </c>
      <c r="F4359">
        <v>2114554</v>
      </c>
      <c r="G4359">
        <v>775947</v>
      </c>
      <c r="H4359" t="e" vm="30">
        <f>_FV(0,"027")</f>
        <v>#VALUE!</v>
      </c>
      <c r="I4359">
        <v>1823989</v>
      </c>
      <c r="J4359" t="s">
        <v>467</v>
      </c>
      <c r="K4359" t="s">
        <v>27461</v>
      </c>
      <c r="L4359" t="e" vm="30">
        <f>_FV(0,"027")</f>
        <v>#VALUE!</v>
      </c>
    </row>
    <row r="4360" spans="1:12" x14ac:dyDescent="0.25">
      <c r="A4360">
        <v>778658</v>
      </c>
      <c r="B4360">
        <v>1229505</v>
      </c>
      <c r="D4360">
        <v>0</v>
      </c>
      <c r="E4360" t="s">
        <v>27463</v>
      </c>
      <c r="F4360" t="s">
        <v>27464</v>
      </c>
      <c r="G4360" t="s">
        <v>27465</v>
      </c>
      <c r="H4360" t="s">
        <v>27466</v>
      </c>
      <c r="I4360" t="s">
        <v>27467</v>
      </c>
      <c r="J4360" t="s">
        <v>27462</v>
      </c>
      <c r="K4360" t="s">
        <v>27468</v>
      </c>
      <c r="L4360" t="s">
        <v>27462</v>
      </c>
    </row>
    <row r="4361" spans="1:12" x14ac:dyDescent="0.25">
      <c r="A4361">
        <v>778658</v>
      </c>
      <c r="B4361">
        <v>778683</v>
      </c>
      <c r="D4361" t="s">
        <v>27470</v>
      </c>
      <c r="E4361" t="s">
        <v>27471</v>
      </c>
      <c r="F4361" t="s">
        <v>27472</v>
      </c>
      <c r="G4361" t="s">
        <v>27473</v>
      </c>
      <c r="H4361" t="e" vm="1895">
        <f>_FV(0,"03171056556491787")</f>
        <v>#VALUE!</v>
      </c>
      <c r="I4361" t="s">
        <v>27474</v>
      </c>
      <c r="J4361" t="s">
        <v>27475</v>
      </c>
      <c r="K4361" t="s">
        <v>27476</v>
      </c>
      <c r="L4361" t="s">
        <v>27469</v>
      </c>
    </row>
    <row r="4362" spans="1:12" x14ac:dyDescent="0.25">
      <c r="A4362">
        <v>778658</v>
      </c>
      <c r="B4362">
        <v>1160031</v>
      </c>
      <c r="D4362">
        <v>0</v>
      </c>
      <c r="E4362" t="s">
        <v>27478</v>
      </c>
      <c r="F4362" t="s">
        <v>27479</v>
      </c>
      <c r="G4362" t="s">
        <v>27480</v>
      </c>
      <c r="H4362" t="e" vm="1896">
        <f>_FV(0,"06913321759847625")</f>
        <v>#VALUE!</v>
      </c>
      <c r="I4362" t="s">
        <v>27481</v>
      </c>
      <c r="J4362" t="s">
        <v>27482</v>
      </c>
      <c r="K4362" t="s">
        <v>27483</v>
      </c>
      <c r="L4362" t="s">
        <v>27477</v>
      </c>
    </row>
    <row r="4363" spans="1:12" x14ac:dyDescent="0.25">
      <c r="A4363">
        <v>778667</v>
      </c>
      <c r="B4363">
        <v>778673</v>
      </c>
      <c r="D4363" t="s">
        <v>27470</v>
      </c>
      <c r="E4363" t="s">
        <v>27485</v>
      </c>
      <c r="F4363" t="s">
        <v>27486</v>
      </c>
      <c r="G4363" t="s">
        <v>27487</v>
      </c>
      <c r="H4363" t="e" vm="1897">
        <f>_FV(0,"030159657774892663")</f>
        <v>#VALUE!</v>
      </c>
      <c r="I4363" t="s">
        <v>27488</v>
      </c>
      <c r="J4363" t="s">
        <v>27489</v>
      </c>
      <c r="K4363" t="s">
        <v>27490</v>
      </c>
      <c r="L4363" t="s">
        <v>27484</v>
      </c>
    </row>
    <row r="4364" spans="1:12" x14ac:dyDescent="0.25">
      <c r="A4364">
        <v>778667</v>
      </c>
      <c r="B4364">
        <v>1204259</v>
      </c>
      <c r="D4364">
        <v>0</v>
      </c>
      <c r="E4364" t="s">
        <v>27492</v>
      </c>
      <c r="F4364" t="s">
        <v>27493</v>
      </c>
      <c r="G4364" t="s">
        <v>27494</v>
      </c>
      <c r="H4364" t="e" vm="1898">
        <f>_FV(0,"0314918380498543")</f>
        <v>#VALUE!</v>
      </c>
      <c r="I4364" t="s">
        <v>27495</v>
      </c>
      <c r="J4364" t="s">
        <v>27496</v>
      </c>
      <c r="K4364" t="s">
        <v>27497</v>
      </c>
      <c r="L4364" t="s">
        <v>27491</v>
      </c>
    </row>
    <row r="4365" spans="1:12" x14ac:dyDescent="0.25">
      <c r="A4365">
        <v>778673</v>
      </c>
      <c r="B4365">
        <v>1160201</v>
      </c>
      <c r="D4365">
        <v>0</v>
      </c>
      <c r="E4365" t="s">
        <v>27499</v>
      </c>
      <c r="F4365" t="s">
        <v>27500</v>
      </c>
      <c r="G4365" t="s">
        <v>27501</v>
      </c>
      <c r="H4365" t="s">
        <v>27502</v>
      </c>
      <c r="I4365" t="s">
        <v>27503</v>
      </c>
      <c r="J4365" t="s">
        <v>27504</v>
      </c>
      <c r="K4365" t="s">
        <v>27505</v>
      </c>
      <c r="L4365" t="s">
        <v>27498</v>
      </c>
    </row>
    <row r="4366" spans="1:12" x14ac:dyDescent="0.25">
      <c r="A4366">
        <v>778673</v>
      </c>
      <c r="B4366">
        <v>1229693</v>
      </c>
      <c r="D4366">
        <v>0</v>
      </c>
      <c r="E4366" t="s">
        <v>27507</v>
      </c>
      <c r="F4366" t="s">
        <v>27508</v>
      </c>
      <c r="G4366" t="s">
        <v>27509</v>
      </c>
      <c r="H4366" t="s">
        <v>27510</v>
      </c>
      <c r="I4366" t="s">
        <v>27511</v>
      </c>
      <c r="J4366" t="s">
        <v>27506</v>
      </c>
      <c r="K4366" t="s">
        <v>27512</v>
      </c>
      <c r="L4366" t="s">
        <v>27506</v>
      </c>
    </row>
    <row r="4367" spans="1:12" x14ac:dyDescent="0.25">
      <c r="A4367">
        <v>778683</v>
      </c>
      <c r="B4367">
        <v>1155893</v>
      </c>
      <c r="D4367">
        <v>0</v>
      </c>
      <c r="E4367" t="s">
        <v>27514</v>
      </c>
      <c r="F4367" t="s">
        <v>27515</v>
      </c>
      <c r="G4367" t="s">
        <v>27516</v>
      </c>
      <c r="H4367" t="e" vm="1899">
        <f>_FV(0,"005824608237369389")</f>
        <v>#VALUE!</v>
      </c>
      <c r="I4367" t="s">
        <v>27517</v>
      </c>
      <c r="J4367" t="s">
        <v>27518</v>
      </c>
      <c r="K4367" t="s">
        <v>27519</v>
      </c>
      <c r="L4367" t="s">
        <v>27513</v>
      </c>
    </row>
    <row r="4368" spans="1:12" x14ac:dyDescent="0.25">
      <c r="A4368">
        <v>778683</v>
      </c>
      <c r="B4368">
        <v>1204286</v>
      </c>
      <c r="D4368">
        <v>0</v>
      </c>
      <c r="E4368" t="s">
        <v>27521</v>
      </c>
      <c r="F4368" t="s">
        <v>27522</v>
      </c>
      <c r="G4368" t="s">
        <v>27523</v>
      </c>
      <c r="H4368" t="e" vm="1900">
        <f>_FV(0,"020787883510155848")</f>
        <v>#VALUE!</v>
      </c>
      <c r="I4368" t="s">
        <v>27524</v>
      </c>
      <c r="J4368" t="s">
        <v>27525</v>
      </c>
      <c r="K4368" t="s">
        <v>27526</v>
      </c>
      <c r="L4368" t="s">
        <v>27520</v>
      </c>
    </row>
    <row r="4369" spans="1:12" x14ac:dyDescent="0.25">
      <c r="A4369">
        <v>779519</v>
      </c>
      <c r="B4369">
        <v>1308567</v>
      </c>
      <c r="D4369">
        <v>0</v>
      </c>
      <c r="E4369" t="s">
        <v>27528</v>
      </c>
      <c r="F4369" t="s">
        <v>27529</v>
      </c>
      <c r="G4369" t="s">
        <v>27530</v>
      </c>
      <c r="H4369" t="e" vm="1901">
        <f>_FV(0,"025982705575720005")</f>
        <v>#VALUE!</v>
      </c>
      <c r="I4369" t="s">
        <v>27531</v>
      </c>
      <c r="J4369" t="s">
        <v>27532</v>
      </c>
      <c r="K4369" t="s">
        <v>27533</v>
      </c>
      <c r="L4369" t="s">
        <v>27527</v>
      </c>
    </row>
    <row r="4370" spans="1:12" x14ac:dyDescent="0.25">
      <c r="A4370">
        <v>779973</v>
      </c>
      <c r="B4370">
        <v>779980</v>
      </c>
      <c r="D4370">
        <v>0</v>
      </c>
      <c r="F4370">
        <v>801476</v>
      </c>
      <c r="G4370">
        <v>779980</v>
      </c>
      <c r="H4370" t="e" vm="1675">
        <f>_FV(0,"038")</f>
        <v>#VALUE!</v>
      </c>
      <c r="I4370">
        <v>779973</v>
      </c>
      <c r="J4370" t="s">
        <v>2152</v>
      </c>
      <c r="K4370" t="s">
        <v>27534</v>
      </c>
      <c r="L4370" t="e" vm="1675">
        <f>_FV(0,"038")</f>
        <v>#VALUE!</v>
      </c>
    </row>
    <row r="4371" spans="1:12" x14ac:dyDescent="0.25">
      <c r="A4371">
        <v>779973</v>
      </c>
      <c r="B4371">
        <v>780008</v>
      </c>
      <c r="D4371">
        <v>0</v>
      </c>
      <c r="E4371" t="s">
        <v>27536</v>
      </c>
      <c r="F4371" t="s">
        <v>27537</v>
      </c>
      <c r="G4371" t="s">
        <v>27538</v>
      </c>
      <c r="H4371" t="e" vm="1902">
        <f>_FV(0,"04123077019289593")</f>
        <v>#VALUE!</v>
      </c>
      <c r="I4371" t="s">
        <v>27539</v>
      </c>
      <c r="J4371" t="s">
        <v>27540</v>
      </c>
      <c r="K4371" t="s">
        <v>27541</v>
      </c>
      <c r="L4371" t="s">
        <v>27535</v>
      </c>
    </row>
    <row r="4372" spans="1:12" x14ac:dyDescent="0.25">
      <c r="A4372">
        <v>779973</v>
      </c>
      <c r="B4372">
        <v>1202377</v>
      </c>
      <c r="C4372" t="s">
        <v>27543</v>
      </c>
      <c r="D4372" t="s">
        <v>27544</v>
      </c>
      <c r="E4372" t="s">
        <v>27545</v>
      </c>
      <c r="F4372" t="s">
        <v>27546</v>
      </c>
      <c r="G4372" t="s">
        <v>27547</v>
      </c>
      <c r="H4372" t="s">
        <v>27548</v>
      </c>
      <c r="I4372" t="s">
        <v>27549</v>
      </c>
      <c r="J4372" t="s">
        <v>27550</v>
      </c>
      <c r="K4372" t="s">
        <v>27551</v>
      </c>
      <c r="L4372" t="s">
        <v>27542</v>
      </c>
    </row>
    <row r="4373" spans="1:12" x14ac:dyDescent="0.25">
      <c r="A4373">
        <v>779980</v>
      </c>
      <c r="B4373">
        <v>779994</v>
      </c>
      <c r="D4373" t="s">
        <v>204</v>
      </c>
      <c r="E4373" t="s">
        <v>27553</v>
      </c>
      <c r="F4373" t="s">
        <v>27554</v>
      </c>
      <c r="G4373" t="s">
        <v>27555</v>
      </c>
      <c r="H4373" t="e" vm="1903">
        <f>_FV(0,"029825332400622538")</f>
        <v>#VALUE!</v>
      </c>
      <c r="I4373" t="s">
        <v>27556</v>
      </c>
      <c r="J4373" t="s">
        <v>27557</v>
      </c>
      <c r="K4373" t="s">
        <v>27558</v>
      </c>
      <c r="L4373" t="s">
        <v>27552</v>
      </c>
    </row>
    <row r="4374" spans="1:12" x14ac:dyDescent="0.25">
      <c r="A4374">
        <v>779980</v>
      </c>
      <c r="B4374">
        <v>780218</v>
      </c>
      <c r="D4374" t="s">
        <v>514</v>
      </c>
      <c r="E4374" t="s">
        <v>27560</v>
      </c>
      <c r="F4374" t="s">
        <v>27561</v>
      </c>
      <c r="G4374" t="s">
        <v>27562</v>
      </c>
      <c r="H4374" t="s">
        <v>27563</v>
      </c>
      <c r="I4374" t="s">
        <v>27564</v>
      </c>
      <c r="J4374" t="s">
        <v>27565</v>
      </c>
      <c r="K4374" t="s">
        <v>27566</v>
      </c>
      <c r="L4374" t="s">
        <v>27559</v>
      </c>
    </row>
    <row r="4375" spans="1:12" x14ac:dyDescent="0.25">
      <c r="A4375">
        <v>779994</v>
      </c>
      <c r="B4375">
        <v>779997</v>
      </c>
      <c r="D4375">
        <v>0</v>
      </c>
      <c r="F4375">
        <v>801508</v>
      </c>
      <c r="G4375">
        <v>779997</v>
      </c>
      <c r="H4375" t="e" vm="109">
        <f>_FV(0,"01")</f>
        <v>#VALUE!</v>
      </c>
      <c r="I4375">
        <v>779994</v>
      </c>
      <c r="J4375" t="s">
        <v>761</v>
      </c>
      <c r="K4375" t="s">
        <v>27567</v>
      </c>
      <c r="L4375" t="e" vm="109">
        <f>_FV(0,"01")</f>
        <v>#VALUE!</v>
      </c>
    </row>
    <row r="4376" spans="1:12" x14ac:dyDescent="0.25">
      <c r="A4376">
        <v>779994</v>
      </c>
      <c r="B4376">
        <v>780210</v>
      </c>
      <c r="D4376">
        <v>0</v>
      </c>
      <c r="E4376" t="s">
        <v>27569</v>
      </c>
      <c r="F4376" t="s">
        <v>27570</v>
      </c>
      <c r="G4376" t="s">
        <v>27571</v>
      </c>
      <c r="H4376" t="s">
        <v>27572</v>
      </c>
      <c r="I4376" t="s">
        <v>27573</v>
      </c>
      <c r="J4376" t="s">
        <v>27568</v>
      </c>
      <c r="K4376" t="s">
        <v>27574</v>
      </c>
      <c r="L4376" t="s">
        <v>27568</v>
      </c>
    </row>
    <row r="4377" spans="1:12" x14ac:dyDescent="0.25">
      <c r="A4377">
        <v>779997</v>
      </c>
      <c r="B4377">
        <v>347578</v>
      </c>
      <c r="D4377" t="s">
        <v>7856</v>
      </c>
      <c r="E4377" t="s">
        <v>27576</v>
      </c>
      <c r="F4377" t="s">
        <v>27577</v>
      </c>
      <c r="G4377" t="s">
        <v>27578</v>
      </c>
      <c r="H4377" t="s">
        <v>27579</v>
      </c>
      <c r="I4377" t="s">
        <v>27580</v>
      </c>
      <c r="J4377" t="s">
        <v>27581</v>
      </c>
      <c r="K4377" t="s">
        <v>27582</v>
      </c>
      <c r="L4377" t="s">
        <v>27575</v>
      </c>
    </row>
    <row r="4378" spans="1:12" x14ac:dyDescent="0.25">
      <c r="A4378">
        <v>779997</v>
      </c>
      <c r="B4378">
        <v>780033</v>
      </c>
      <c r="D4378">
        <v>0</v>
      </c>
      <c r="E4378" t="s">
        <v>27584</v>
      </c>
      <c r="F4378" t="s">
        <v>27585</v>
      </c>
      <c r="G4378" t="s">
        <v>27586</v>
      </c>
      <c r="H4378" t="e" vm="1904">
        <f>_FV(0,"01898764306856908")</f>
        <v>#VALUE!</v>
      </c>
      <c r="I4378" t="s">
        <v>27587</v>
      </c>
      <c r="J4378" t="s">
        <v>27588</v>
      </c>
      <c r="K4378" t="s">
        <v>27589</v>
      </c>
      <c r="L4378" t="s">
        <v>27583</v>
      </c>
    </row>
    <row r="4379" spans="1:12" x14ac:dyDescent="0.25">
      <c r="A4379">
        <v>781274</v>
      </c>
      <c r="B4379">
        <v>1164743</v>
      </c>
      <c r="D4379">
        <v>0</v>
      </c>
      <c r="E4379" t="s">
        <v>27591</v>
      </c>
      <c r="F4379" t="s">
        <v>27592</v>
      </c>
      <c r="G4379" t="s">
        <v>27593</v>
      </c>
      <c r="H4379" t="e" vm="1905">
        <f>_FV(0,"08183118867577638")</f>
        <v>#VALUE!</v>
      </c>
      <c r="I4379" t="s">
        <v>27594</v>
      </c>
      <c r="J4379" t="s">
        <v>27595</v>
      </c>
      <c r="K4379" t="s">
        <v>27596</v>
      </c>
      <c r="L4379" t="s">
        <v>27590</v>
      </c>
    </row>
    <row r="4380" spans="1:12" x14ac:dyDescent="0.25">
      <c r="A4380">
        <v>781274</v>
      </c>
      <c r="B4380">
        <v>1164747</v>
      </c>
      <c r="D4380">
        <v>0</v>
      </c>
      <c r="E4380" t="s">
        <v>27598</v>
      </c>
      <c r="F4380" t="s">
        <v>27599</v>
      </c>
      <c r="G4380" t="s">
        <v>27600</v>
      </c>
      <c r="H4380" t="e" vm="1906">
        <f>_FV(0,"12113571388144895")</f>
        <v>#VALUE!</v>
      </c>
      <c r="I4380" t="s">
        <v>27601</v>
      </c>
      <c r="J4380" t="s">
        <v>27602</v>
      </c>
      <c r="K4380" t="s">
        <v>27603</v>
      </c>
      <c r="L4380" t="s">
        <v>27597</v>
      </c>
    </row>
    <row r="4381" spans="1:12" x14ac:dyDescent="0.25">
      <c r="A4381">
        <v>781274</v>
      </c>
      <c r="B4381">
        <v>917701</v>
      </c>
      <c r="D4381">
        <v>0</v>
      </c>
      <c r="E4381" t="s">
        <v>27605</v>
      </c>
      <c r="F4381" t="s">
        <v>27606</v>
      </c>
      <c r="G4381" t="s">
        <v>27607</v>
      </c>
      <c r="H4381" t="s">
        <v>27608</v>
      </c>
      <c r="I4381" t="s">
        <v>27609</v>
      </c>
      <c r="J4381" t="s">
        <v>27610</v>
      </c>
      <c r="K4381" t="s">
        <v>27611</v>
      </c>
      <c r="L4381" t="s">
        <v>27604</v>
      </c>
    </row>
    <row r="4382" spans="1:12" x14ac:dyDescent="0.25">
      <c r="A4382">
        <v>782195</v>
      </c>
      <c r="B4382">
        <v>782197</v>
      </c>
      <c r="D4382" t="s">
        <v>1119</v>
      </c>
      <c r="E4382" t="s">
        <v>27613</v>
      </c>
      <c r="F4382" t="s">
        <v>27614</v>
      </c>
      <c r="G4382" t="s">
        <v>27615</v>
      </c>
      <c r="H4382" t="s">
        <v>27616</v>
      </c>
      <c r="I4382" t="s">
        <v>27617</v>
      </c>
      <c r="J4382" t="s">
        <v>27612</v>
      </c>
      <c r="K4382" t="s">
        <v>27618</v>
      </c>
      <c r="L4382" t="s">
        <v>27612</v>
      </c>
    </row>
    <row r="4383" spans="1:12" x14ac:dyDescent="0.25">
      <c r="A4383">
        <v>782195</v>
      </c>
      <c r="B4383">
        <v>1056139</v>
      </c>
      <c r="D4383">
        <v>0</v>
      </c>
      <c r="E4383" t="s">
        <v>27620</v>
      </c>
      <c r="F4383" t="s">
        <v>27621</v>
      </c>
      <c r="G4383" t="s">
        <v>27622</v>
      </c>
      <c r="H4383" t="s">
        <v>27623</v>
      </c>
      <c r="I4383" t="s">
        <v>27624</v>
      </c>
      <c r="J4383" t="s">
        <v>27625</v>
      </c>
      <c r="K4383" t="s">
        <v>27626</v>
      </c>
      <c r="L4383" t="s">
        <v>27619</v>
      </c>
    </row>
    <row r="4384" spans="1:12" x14ac:dyDescent="0.25">
      <c r="A4384">
        <v>782228</v>
      </c>
      <c r="B4384">
        <v>782457</v>
      </c>
      <c r="D4384">
        <v>0</v>
      </c>
      <c r="F4384">
        <v>1261976</v>
      </c>
      <c r="G4384">
        <v>782457</v>
      </c>
      <c r="H4384" t="e" vm="201">
        <f>_FV(0,"002")</f>
        <v>#VALUE!</v>
      </c>
      <c r="I4384">
        <v>782228</v>
      </c>
      <c r="J4384" t="s">
        <v>1534</v>
      </c>
      <c r="K4384" t="s">
        <v>27627</v>
      </c>
      <c r="L4384" t="e" vm="201">
        <f>_FV(0,"002")</f>
        <v>#VALUE!</v>
      </c>
    </row>
    <row r="4385" spans="1:12" x14ac:dyDescent="0.25">
      <c r="A4385">
        <v>782228</v>
      </c>
      <c r="B4385">
        <v>796400</v>
      </c>
      <c r="D4385">
        <v>0</v>
      </c>
      <c r="E4385" t="s">
        <v>27629</v>
      </c>
      <c r="F4385" t="s">
        <v>27630</v>
      </c>
      <c r="G4385" t="s">
        <v>27631</v>
      </c>
      <c r="H4385" t="s">
        <v>27632</v>
      </c>
      <c r="I4385" t="s">
        <v>27633</v>
      </c>
      <c r="J4385" t="s">
        <v>27634</v>
      </c>
      <c r="K4385" t="s">
        <v>27635</v>
      </c>
      <c r="L4385" t="s">
        <v>27628</v>
      </c>
    </row>
    <row r="4386" spans="1:12" x14ac:dyDescent="0.25">
      <c r="A4386">
        <v>783234</v>
      </c>
      <c r="B4386">
        <v>1295062</v>
      </c>
      <c r="D4386" t="s">
        <v>514</v>
      </c>
      <c r="E4386" t="s">
        <v>27637</v>
      </c>
      <c r="F4386" t="s">
        <v>27638</v>
      </c>
      <c r="G4386" t="s">
        <v>27639</v>
      </c>
      <c r="H4386" t="s">
        <v>27640</v>
      </c>
      <c r="I4386" t="s">
        <v>27641</v>
      </c>
      <c r="J4386" t="s">
        <v>27636</v>
      </c>
      <c r="K4386" t="s">
        <v>27642</v>
      </c>
      <c r="L4386" t="s">
        <v>27636</v>
      </c>
    </row>
    <row r="4387" spans="1:12" x14ac:dyDescent="0.25">
      <c r="A4387">
        <v>783308</v>
      </c>
      <c r="B4387">
        <v>1716625</v>
      </c>
      <c r="D4387">
        <v>0</v>
      </c>
      <c r="E4387" t="s">
        <v>27644</v>
      </c>
      <c r="F4387" t="s">
        <v>27645</v>
      </c>
      <c r="G4387" t="s">
        <v>27646</v>
      </c>
      <c r="H4387" t="e" vm="1907">
        <f>_FV(0,"03972134658839328")</f>
        <v>#VALUE!</v>
      </c>
      <c r="I4387" t="s">
        <v>27647</v>
      </c>
      <c r="J4387" t="s">
        <v>27648</v>
      </c>
      <c r="K4387" t="s">
        <v>27649</v>
      </c>
      <c r="L4387" t="s">
        <v>27643</v>
      </c>
    </row>
    <row r="4388" spans="1:12" x14ac:dyDescent="0.25">
      <c r="A4388">
        <v>783369</v>
      </c>
      <c r="B4388">
        <v>1716598</v>
      </c>
      <c r="D4388">
        <v>0</v>
      </c>
      <c r="E4388" t="s">
        <v>27651</v>
      </c>
      <c r="F4388" t="s">
        <v>27652</v>
      </c>
      <c r="G4388" t="s">
        <v>27653</v>
      </c>
      <c r="H4388" t="e" vm="1908">
        <f>_FV(0,"0057353719764368")</f>
        <v>#VALUE!</v>
      </c>
      <c r="I4388" t="s">
        <v>27654</v>
      </c>
      <c r="J4388" t="s">
        <v>27655</v>
      </c>
      <c r="K4388" t="s">
        <v>27656</v>
      </c>
      <c r="L4388" t="s">
        <v>27650</v>
      </c>
    </row>
    <row r="4389" spans="1:12" x14ac:dyDescent="0.25">
      <c r="A4389">
        <v>783484</v>
      </c>
      <c r="B4389">
        <v>783491</v>
      </c>
      <c r="D4389">
        <v>0</v>
      </c>
      <c r="E4389" t="s">
        <v>27658</v>
      </c>
      <c r="F4389" t="s">
        <v>27659</v>
      </c>
      <c r="G4389" t="s">
        <v>27660</v>
      </c>
      <c r="H4389" t="e" vm="1909">
        <f>_FV(0,"008513436400141173")</f>
        <v>#VALUE!</v>
      </c>
      <c r="I4389" t="s">
        <v>27661</v>
      </c>
      <c r="J4389" t="s">
        <v>27662</v>
      </c>
      <c r="K4389" t="s">
        <v>27663</v>
      </c>
      <c r="L4389" t="s">
        <v>27657</v>
      </c>
    </row>
    <row r="4390" spans="1:12" x14ac:dyDescent="0.25">
      <c r="A4390">
        <v>783484</v>
      </c>
      <c r="B4390">
        <v>783491</v>
      </c>
      <c r="D4390">
        <v>0</v>
      </c>
      <c r="E4390" t="s">
        <v>27665</v>
      </c>
      <c r="F4390" t="s">
        <v>27666</v>
      </c>
      <c r="G4390" t="s">
        <v>27667</v>
      </c>
      <c r="H4390" t="e" vm="1910">
        <f>_FV(0,"008061518308927129")</f>
        <v>#VALUE!</v>
      </c>
      <c r="I4390" t="s">
        <v>27668</v>
      </c>
      <c r="J4390" t="s">
        <v>27669</v>
      </c>
      <c r="K4390" t="s">
        <v>27670</v>
      </c>
      <c r="L4390" t="s">
        <v>27664</v>
      </c>
    </row>
    <row r="4391" spans="1:12" x14ac:dyDescent="0.25">
      <c r="A4391">
        <v>783491</v>
      </c>
      <c r="B4391">
        <v>783522</v>
      </c>
      <c r="D4391">
        <v>0</v>
      </c>
      <c r="E4391" t="s">
        <v>27672</v>
      </c>
      <c r="F4391" t="s">
        <v>27673</v>
      </c>
      <c r="G4391" t="s">
        <v>27674</v>
      </c>
      <c r="H4391" t="e" vm="1911">
        <f>_FV(0,"0032373162075880497")</f>
        <v>#VALUE!</v>
      </c>
      <c r="I4391" t="s">
        <v>27675</v>
      </c>
      <c r="J4391" t="s">
        <v>27676</v>
      </c>
      <c r="K4391" t="s">
        <v>27677</v>
      </c>
      <c r="L4391" t="s">
        <v>27671</v>
      </c>
    </row>
    <row r="4392" spans="1:12" x14ac:dyDescent="0.25">
      <c r="A4392">
        <v>783522</v>
      </c>
      <c r="B4392">
        <v>1716642</v>
      </c>
      <c r="D4392">
        <v>0</v>
      </c>
      <c r="E4392" t="s">
        <v>27678</v>
      </c>
      <c r="F4392" t="s">
        <v>27679</v>
      </c>
      <c r="G4392" t="s">
        <v>27680</v>
      </c>
      <c r="H4392" t="e" vm="219">
        <f>_FV(0,"026")</f>
        <v>#VALUE!</v>
      </c>
      <c r="I4392" t="s">
        <v>27681</v>
      </c>
      <c r="J4392" t="s">
        <v>2841</v>
      </c>
      <c r="K4392" t="s">
        <v>27682</v>
      </c>
      <c r="L4392" t="e" vm="219">
        <f>_FV(0,"026")</f>
        <v>#VALUE!</v>
      </c>
    </row>
    <row r="4393" spans="1:12" x14ac:dyDescent="0.25">
      <c r="A4393">
        <v>783800</v>
      </c>
      <c r="B4393">
        <v>783827</v>
      </c>
      <c r="D4393">
        <v>0</v>
      </c>
      <c r="E4393" t="s">
        <v>27683</v>
      </c>
      <c r="F4393" t="s">
        <v>27684</v>
      </c>
      <c r="G4393" t="s">
        <v>27685</v>
      </c>
      <c r="H4393" t="s">
        <v>187</v>
      </c>
      <c r="I4393" t="s">
        <v>27686</v>
      </c>
      <c r="J4393" t="s">
        <v>27687</v>
      </c>
      <c r="K4393" t="s">
        <v>187</v>
      </c>
      <c r="L4393">
        <v>0</v>
      </c>
    </row>
    <row r="4394" spans="1:12" x14ac:dyDescent="0.25">
      <c r="A4394">
        <v>783800</v>
      </c>
      <c r="B4394">
        <v>785699</v>
      </c>
      <c r="D4394">
        <v>0</v>
      </c>
      <c r="E4394" t="s">
        <v>27689</v>
      </c>
      <c r="F4394" t="s">
        <v>27690</v>
      </c>
      <c r="G4394" t="s">
        <v>27691</v>
      </c>
      <c r="H4394" t="e" vm="1912">
        <f>_FV(0,"007256108051326375")</f>
        <v>#VALUE!</v>
      </c>
      <c r="I4394" t="s">
        <v>27692</v>
      </c>
      <c r="J4394" t="s">
        <v>27693</v>
      </c>
      <c r="K4394" t="s">
        <v>27694</v>
      </c>
      <c r="L4394" t="s">
        <v>27688</v>
      </c>
    </row>
    <row r="4395" spans="1:12" x14ac:dyDescent="0.25">
      <c r="A4395">
        <v>783827</v>
      </c>
      <c r="B4395">
        <v>1267578</v>
      </c>
      <c r="D4395">
        <v>0</v>
      </c>
      <c r="E4395" t="s">
        <v>27696</v>
      </c>
      <c r="F4395" t="s">
        <v>27697</v>
      </c>
      <c r="G4395" t="s">
        <v>27698</v>
      </c>
      <c r="H4395" t="e" vm="1492">
        <f>_FV(0,"06")</f>
        <v>#VALUE!</v>
      </c>
      <c r="I4395" t="s">
        <v>27699</v>
      </c>
      <c r="J4395" t="s">
        <v>27700</v>
      </c>
      <c r="K4395" t="s">
        <v>27701</v>
      </c>
      <c r="L4395" t="s">
        <v>27695</v>
      </c>
    </row>
    <row r="4396" spans="1:12" x14ac:dyDescent="0.25">
      <c r="A4396">
        <v>783827</v>
      </c>
      <c r="B4396">
        <v>784760</v>
      </c>
      <c r="D4396">
        <v>0</v>
      </c>
      <c r="E4396" t="s">
        <v>27703</v>
      </c>
      <c r="F4396" t="s">
        <v>27704</v>
      </c>
      <c r="G4396" t="s">
        <v>27705</v>
      </c>
      <c r="H4396" t="s">
        <v>27706</v>
      </c>
      <c r="I4396" t="s">
        <v>27707</v>
      </c>
      <c r="J4396" t="s">
        <v>27708</v>
      </c>
      <c r="K4396" t="s">
        <v>27709</v>
      </c>
      <c r="L4396" t="s">
        <v>27702</v>
      </c>
    </row>
    <row r="4397" spans="1:12" x14ac:dyDescent="0.25">
      <c r="A4397">
        <v>784760</v>
      </c>
      <c r="B4397">
        <v>784781</v>
      </c>
      <c r="D4397">
        <v>0</v>
      </c>
      <c r="E4397" t="s">
        <v>27711</v>
      </c>
      <c r="F4397" t="s">
        <v>27712</v>
      </c>
      <c r="G4397" t="s">
        <v>27713</v>
      </c>
      <c r="H4397" t="s">
        <v>27714</v>
      </c>
      <c r="I4397" t="s">
        <v>27715</v>
      </c>
      <c r="J4397" t="s">
        <v>27710</v>
      </c>
      <c r="K4397" t="s">
        <v>27716</v>
      </c>
      <c r="L4397" t="s">
        <v>27710</v>
      </c>
    </row>
    <row r="4398" spans="1:12" x14ac:dyDescent="0.25">
      <c r="A4398">
        <v>784760</v>
      </c>
      <c r="B4398">
        <v>1267578</v>
      </c>
      <c r="D4398">
        <v>0</v>
      </c>
      <c r="E4398" t="s">
        <v>27718</v>
      </c>
      <c r="F4398" t="s">
        <v>27719</v>
      </c>
      <c r="G4398" t="s">
        <v>27720</v>
      </c>
      <c r="H4398" t="e" vm="1913">
        <f>_FV(0,"24453515506887377")</f>
        <v>#VALUE!</v>
      </c>
      <c r="I4398" t="s">
        <v>27721</v>
      </c>
      <c r="J4398" t="s">
        <v>27722</v>
      </c>
      <c r="K4398" t="s">
        <v>27723</v>
      </c>
      <c r="L4398" t="s">
        <v>27717</v>
      </c>
    </row>
    <row r="4399" spans="1:12" x14ac:dyDescent="0.25">
      <c r="A4399">
        <v>784781</v>
      </c>
      <c r="B4399">
        <v>785601</v>
      </c>
      <c r="D4399">
        <v>0</v>
      </c>
      <c r="E4399" t="s">
        <v>27725</v>
      </c>
      <c r="F4399" t="s">
        <v>27726</v>
      </c>
      <c r="G4399" t="s">
        <v>27727</v>
      </c>
      <c r="H4399" t="e" vm="1914">
        <f>_FV(0,"022813358721051676")</f>
        <v>#VALUE!</v>
      </c>
      <c r="I4399" t="s">
        <v>27728</v>
      </c>
      <c r="J4399" t="s">
        <v>27729</v>
      </c>
      <c r="K4399" t="s">
        <v>27730</v>
      </c>
      <c r="L4399" t="s">
        <v>27724</v>
      </c>
    </row>
    <row r="4400" spans="1:12" x14ac:dyDescent="0.25">
      <c r="A4400">
        <v>784781</v>
      </c>
      <c r="B4400">
        <v>1267578</v>
      </c>
      <c r="D4400">
        <v>0</v>
      </c>
      <c r="F4400">
        <v>2100793</v>
      </c>
      <c r="G4400">
        <v>784781</v>
      </c>
      <c r="H4400" t="s">
        <v>27731</v>
      </c>
      <c r="I4400">
        <v>1267578</v>
      </c>
      <c r="J4400" t="s">
        <v>27731</v>
      </c>
      <c r="K4400" t="s">
        <v>27732</v>
      </c>
      <c r="L4400" t="s">
        <v>27731</v>
      </c>
    </row>
    <row r="4401" spans="1:12" x14ac:dyDescent="0.25">
      <c r="A4401">
        <v>785532</v>
      </c>
      <c r="B4401">
        <v>785533</v>
      </c>
      <c r="D4401">
        <v>0</v>
      </c>
      <c r="F4401">
        <v>807211</v>
      </c>
      <c r="G4401">
        <v>785533</v>
      </c>
      <c r="H4401" t="e" vm="493">
        <f>_FV(0,"025")</f>
        <v>#VALUE!</v>
      </c>
      <c r="I4401">
        <v>785532</v>
      </c>
      <c r="J4401" t="s">
        <v>899</v>
      </c>
      <c r="K4401" t="s">
        <v>27733</v>
      </c>
      <c r="L4401" t="e" vm="493">
        <f>_FV(0,"025")</f>
        <v>#VALUE!</v>
      </c>
    </row>
    <row r="4402" spans="1:12" x14ac:dyDescent="0.25">
      <c r="A4402">
        <v>785532</v>
      </c>
      <c r="B4402">
        <v>785533</v>
      </c>
      <c r="D4402">
        <v>0</v>
      </c>
      <c r="E4402" t="s">
        <v>27735</v>
      </c>
      <c r="F4402" t="s">
        <v>27736</v>
      </c>
      <c r="G4402" t="s">
        <v>27737</v>
      </c>
      <c r="H4402" t="e" vm="1915">
        <f>_FV(0,"034152724379557964")</f>
        <v>#VALUE!</v>
      </c>
      <c r="I4402" t="s">
        <v>27738</v>
      </c>
      <c r="J4402" t="s">
        <v>27739</v>
      </c>
      <c r="K4402" t="s">
        <v>27740</v>
      </c>
      <c r="L4402" t="s">
        <v>27734</v>
      </c>
    </row>
    <row r="4403" spans="1:12" x14ac:dyDescent="0.25">
      <c r="A4403">
        <v>785532</v>
      </c>
      <c r="B4403">
        <v>466280</v>
      </c>
      <c r="D4403">
        <v>0</v>
      </c>
      <c r="E4403" t="s">
        <v>27742</v>
      </c>
      <c r="F4403" t="s">
        <v>27743</v>
      </c>
      <c r="G4403" t="s">
        <v>27744</v>
      </c>
      <c r="H4403" t="s">
        <v>27745</v>
      </c>
      <c r="I4403" t="s">
        <v>27746</v>
      </c>
      <c r="J4403" t="s">
        <v>27741</v>
      </c>
      <c r="K4403" t="s">
        <v>27747</v>
      </c>
      <c r="L4403" t="s">
        <v>27741</v>
      </c>
    </row>
    <row r="4404" spans="1:12" x14ac:dyDescent="0.25">
      <c r="A4404">
        <v>785533</v>
      </c>
      <c r="B4404">
        <v>466280</v>
      </c>
      <c r="D4404">
        <v>0</v>
      </c>
      <c r="E4404" t="s">
        <v>27749</v>
      </c>
      <c r="F4404" t="s">
        <v>27750</v>
      </c>
      <c r="G4404" t="s">
        <v>27751</v>
      </c>
      <c r="H4404" t="e" vm="1916">
        <f>_FV(0,"05854929238003316")</f>
        <v>#VALUE!</v>
      </c>
      <c r="I4404" t="s">
        <v>27752</v>
      </c>
      <c r="J4404" t="s">
        <v>27753</v>
      </c>
      <c r="K4404" t="s">
        <v>27754</v>
      </c>
      <c r="L4404" t="s">
        <v>27748</v>
      </c>
    </row>
    <row r="4405" spans="1:12" x14ac:dyDescent="0.25">
      <c r="A4405">
        <v>785601</v>
      </c>
      <c r="B4405">
        <v>785616</v>
      </c>
      <c r="D4405">
        <v>0</v>
      </c>
      <c r="E4405" t="s">
        <v>27756</v>
      </c>
      <c r="F4405" t="s">
        <v>27757</v>
      </c>
      <c r="G4405" t="s">
        <v>27758</v>
      </c>
      <c r="H4405" t="s">
        <v>27759</v>
      </c>
      <c r="I4405" t="s">
        <v>27760</v>
      </c>
      <c r="J4405" t="s">
        <v>27755</v>
      </c>
      <c r="K4405" t="s">
        <v>27761</v>
      </c>
      <c r="L4405" t="s">
        <v>27755</v>
      </c>
    </row>
    <row r="4406" spans="1:12" x14ac:dyDescent="0.25">
      <c r="A4406">
        <v>785601</v>
      </c>
      <c r="B4406">
        <v>1813548</v>
      </c>
      <c r="D4406">
        <v>0</v>
      </c>
      <c r="E4406" t="s">
        <v>27763</v>
      </c>
      <c r="F4406" t="s">
        <v>27764</v>
      </c>
      <c r="G4406" t="s">
        <v>27765</v>
      </c>
      <c r="H4406" t="e" vm="1917">
        <f>_FV(0,"031093326993172472")</f>
        <v>#VALUE!</v>
      </c>
      <c r="I4406" t="s">
        <v>27766</v>
      </c>
      <c r="J4406" t="s">
        <v>27767</v>
      </c>
      <c r="K4406" t="s">
        <v>27768</v>
      </c>
      <c r="L4406" t="s">
        <v>27762</v>
      </c>
    </row>
    <row r="4407" spans="1:12" x14ac:dyDescent="0.25">
      <c r="A4407">
        <v>785601</v>
      </c>
      <c r="B4407">
        <v>1267578</v>
      </c>
      <c r="D4407">
        <v>0</v>
      </c>
      <c r="E4407" t="s">
        <v>27770</v>
      </c>
      <c r="F4407" t="s">
        <v>27771</v>
      </c>
      <c r="G4407" t="s">
        <v>27772</v>
      </c>
      <c r="H4407" t="s">
        <v>27773</v>
      </c>
      <c r="I4407" t="s">
        <v>27774</v>
      </c>
      <c r="J4407" t="s">
        <v>27775</v>
      </c>
      <c r="K4407" t="s">
        <v>27776</v>
      </c>
      <c r="L4407" t="s">
        <v>27769</v>
      </c>
    </row>
    <row r="4408" spans="1:12" x14ac:dyDescent="0.25">
      <c r="A4408">
        <v>785616</v>
      </c>
      <c r="B4408">
        <v>785659</v>
      </c>
      <c r="D4408">
        <v>0</v>
      </c>
      <c r="E4408" t="s">
        <v>27778</v>
      </c>
      <c r="F4408" t="s">
        <v>27779</v>
      </c>
      <c r="G4408" t="s">
        <v>27780</v>
      </c>
      <c r="H4408" t="s">
        <v>27781</v>
      </c>
      <c r="I4408" t="s">
        <v>27782</v>
      </c>
      <c r="J4408" t="s">
        <v>27783</v>
      </c>
      <c r="K4408" t="s">
        <v>27784</v>
      </c>
      <c r="L4408" t="s">
        <v>27777</v>
      </c>
    </row>
    <row r="4409" spans="1:12" x14ac:dyDescent="0.25">
      <c r="A4409">
        <v>785616</v>
      </c>
      <c r="B4409">
        <v>1813548</v>
      </c>
      <c r="D4409">
        <v>0</v>
      </c>
      <c r="E4409" t="s">
        <v>27786</v>
      </c>
      <c r="F4409" t="s">
        <v>27787</v>
      </c>
      <c r="G4409" t="s">
        <v>27788</v>
      </c>
      <c r="H4409" t="s">
        <v>27789</v>
      </c>
      <c r="I4409" t="s">
        <v>27790</v>
      </c>
      <c r="J4409" t="s">
        <v>27785</v>
      </c>
      <c r="K4409" t="s">
        <v>27791</v>
      </c>
      <c r="L4409" t="s">
        <v>27785</v>
      </c>
    </row>
    <row r="4410" spans="1:12" x14ac:dyDescent="0.25">
      <c r="A4410">
        <v>785659</v>
      </c>
      <c r="B4410">
        <v>785660</v>
      </c>
      <c r="D4410">
        <v>0</v>
      </c>
      <c r="F4410">
        <v>807343</v>
      </c>
      <c r="G4410">
        <v>785660</v>
      </c>
      <c r="H4410" t="e" vm="1632">
        <f>_FV(0,"071")</f>
        <v>#VALUE!</v>
      </c>
      <c r="I4410">
        <v>785659</v>
      </c>
      <c r="J4410" t="s">
        <v>23519</v>
      </c>
      <c r="K4410" t="s">
        <v>27792</v>
      </c>
      <c r="L4410" t="e" vm="1632">
        <f>_FV(0,"071")</f>
        <v>#VALUE!</v>
      </c>
    </row>
    <row r="4411" spans="1:12" x14ac:dyDescent="0.25">
      <c r="A4411">
        <v>785659</v>
      </c>
      <c r="B4411">
        <v>1813576</v>
      </c>
      <c r="D4411">
        <v>0</v>
      </c>
      <c r="F4411">
        <v>2096751</v>
      </c>
      <c r="G4411">
        <v>1813576</v>
      </c>
      <c r="H4411" t="e" vm="1918">
        <f>_FV(-1,"199")</f>
        <v>#VALUE!</v>
      </c>
      <c r="I4411">
        <v>785659</v>
      </c>
      <c r="J4411" t="s">
        <v>27793</v>
      </c>
      <c r="K4411" t="s">
        <v>27794</v>
      </c>
      <c r="L4411" t="e" vm="1918">
        <f>_FV(-1,"199")</f>
        <v>#VALUE!</v>
      </c>
    </row>
    <row r="4412" spans="1:12" x14ac:dyDescent="0.25">
      <c r="A4412">
        <v>785819</v>
      </c>
      <c r="B4412">
        <v>824350</v>
      </c>
      <c r="D4412">
        <v>0</v>
      </c>
      <c r="F4412">
        <v>849228</v>
      </c>
      <c r="G4412">
        <v>824350</v>
      </c>
      <c r="H4412" t="e" vm="18">
        <f>_FV(0,"004")</f>
        <v>#VALUE!</v>
      </c>
      <c r="I4412">
        <v>785819</v>
      </c>
      <c r="J4412" t="s">
        <v>239</v>
      </c>
      <c r="K4412" t="s">
        <v>27795</v>
      </c>
      <c r="L4412" t="e" vm="18">
        <f>_FV(0,"004")</f>
        <v>#VALUE!</v>
      </c>
    </row>
    <row r="4413" spans="1:12" x14ac:dyDescent="0.25">
      <c r="A4413">
        <v>785819</v>
      </c>
      <c r="B4413">
        <v>785845</v>
      </c>
      <c r="D4413">
        <v>0</v>
      </c>
      <c r="E4413" t="s">
        <v>27796</v>
      </c>
      <c r="F4413">
        <v>849220</v>
      </c>
      <c r="G4413">
        <v>785819</v>
      </c>
      <c r="H4413" t="e" vm="56">
        <f>_FV(0,"023")</f>
        <v>#VALUE!</v>
      </c>
      <c r="I4413">
        <v>785845</v>
      </c>
      <c r="J4413" t="s">
        <v>890</v>
      </c>
      <c r="K4413" t="s">
        <v>27797</v>
      </c>
      <c r="L4413" t="e" vm="56">
        <f>_FV(0,"023")</f>
        <v>#VALUE!</v>
      </c>
    </row>
    <row r="4414" spans="1:12" x14ac:dyDescent="0.25">
      <c r="A4414">
        <v>785845</v>
      </c>
      <c r="B4414">
        <v>824434</v>
      </c>
      <c r="D4414">
        <v>0</v>
      </c>
      <c r="E4414" t="s">
        <v>27799</v>
      </c>
      <c r="F4414" t="s">
        <v>27800</v>
      </c>
      <c r="G4414" t="s">
        <v>27801</v>
      </c>
      <c r="H4414" t="e" vm="1919">
        <f>_FV(0,"013288240485997254")</f>
        <v>#VALUE!</v>
      </c>
      <c r="I4414" t="s">
        <v>27802</v>
      </c>
      <c r="J4414" t="s">
        <v>27803</v>
      </c>
      <c r="K4414" t="s">
        <v>27804</v>
      </c>
      <c r="L4414" t="s">
        <v>27798</v>
      </c>
    </row>
    <row r="4415" spans="1:12" x14ac:dyDescent="0.25">
      <c r="A4415">
        <v>785845</v>
      </c>
      <c r="B4415">
        <v>825224</v>
      </c>
      <c r="D4415">
        <v>0</v>
      </c>
      <c r="E4415" t="s">
        <v>27806</v>
      </c>
      <c r="F4415" t="s">
        <v>27807</v>
      </c>
      <c r="G4415" t="s">
        <v>27808</v>
      </c>
      <c r="H4415" t="s">
        <v>27809</v>
      </c>
      <c r="I4415" t="s">
        <v>27810</v>
      </c>
      <c r="J4415" t="s">
        <v>27811</v>
      </c>
      <c r="K4415" t="s">
        <v>27812</v>
      </c>
      <c r="L4415" t="s">
        <v>27805</v>
      </c>
    </row>
    <row r="4416" spans="1:12" x14ac:dyDescent="0.25">
      <c r="A4416">
        <v>785961</v>
      </c>
      <c r="B4416">
        <v>1247964</v>
      </c>
      <c r="D4416">
        <v>0</v>
      </c>
      <c r="F4416">
        <v>1842775</v>
      </c>
      <c r="G4416">
        <v>1247964</v>
      </c>
      <c r="H4416" t="e" vm="215">
        <f>_FV(0,"02")</f>
        <v>#VALUE!</v>
      </c>
      <c r="I4416">
        <v>785961</v>
      </c>
      <c r="J4416" t="s">
        <v>3317</v>
      </c>
      <c r="K4416" t="s">
        <v>27813</v>
      </c>
      <c r="L4416" t="e" vm="215">
        <f>_FV(0,"02")</f>
        <v>#VALUE!</v>
      </c>
    </row>
    <row r="4417" spans="1:12" x14ac:dyDescent="0.25">
      <c r="A4417">
        <v>785961</v>
      </c>
      <c r="B4417">
        <v>785991</v>
      </c>
      <c r="D4417" t="s">
        <v>514</v>
      </c>
      <c r="E4417" t="s">
        <v>27815</v>
      </c>
      <c r="F4417" t="s">
        <v>27816</v>
      </c>
      <c r="G4417" t="s">
        <v>27817</v>
      </c>
      <c r="H4417" t="e" vm="1920">
        <f>_FV(0,"005230544325225645")</f>
        <v>#VALUE!</v>
      </c>
      <c r="I4417" t="s">
        <v>27818</v>
      </c>
      <c r="J4417" t="s">
        <v>27819</v>
      </c>
      <c r="K4417" t="s">
        <v>27820</v>
      </c>
      <c r="L4417" t="s">
        <v>27814</v>
      </c>
    </row>
    <row r="4418" spans="1:12" x14ac:dyDescent="0.25">
      <c r="A4418">
        <v>785961</v>
      </c>
      <c r="B4418">
        <v>786008</v>
      </c>
      <c r="D4418">
        <v>0</v>
      </c>
      <c r="F4418">
        <v>1842767</v>
      </c>
      <c r="G4418">
        <v>785961</v>
      </c>
      <c r="H4418" t="e" vm="572">
        <f>_FV(0,"021")</f>
        <v>#VALUE!</v>
      </c>
      <c r="I4418">
        <v>786008</v>
      </c>
      <c r="J4418" t="s">
        <v>1536</v>
      </c>
      <c r="K4418" t="s">
        <v>27821</v>
      </c>
      <c r="L4418" t="e" vm="572">
        <f>_FV(0,"021")</f>
        <v>#VALUE!</v>
      </c>
    </row>
    <row r="4419" spans="1:12" x14ac:dyDescent="0.25">
      <c r="A4419">
        <v>662497</v>
      </c>
      <c r="B4419">
        <v>786000</v>
      </c>
      <c r="D4419">
        <v>0</v>
      </c>
      <c r="E4419" t="s">
        <v>27823</v>
      </c>
      <c r="F4419" t="s">
        <v>27824</v>
      </c>
      <c r="G4419" t="s">
        <v>27825</v>
      </c>
      <c r="H4419" t="e" vm="1921">
        <f>_FV(0,"024580054250444894")</f>
        <v>#VALUE!</v>
      </c>
      <c r="I4419" t="s">
        <v>27826</v>
      </c>
      <c r="J4419" t="s">
        <v>27827</v>
      </c>
      <c r="K4419" t="s">
        <v>27828</v>
      </c>
      <c r="L4419" t="s">
        <v>27822</v>
      </c>
    </row>
    <row r="4420" spans="1:12" x14ac:dyDescent="0.25">
      <c r="A4420">
        <v>786000</v>
      </c>
      <c r="B4420">
        <v>786008</v>
      </c>
      <c r="D4420">
        <v>0</v>
      </c>
      <c r="E4420" t="s">
        <v>27830</v>
      </c>
      <c r="F4420" t="s">
        <v>27831</v>
      </c>
      <c r="G4420" t="s">
        <v>27832</v>
      </c>
      <c r="H4420" t="s">
        <v>27833</v>
      </c>
      <c r="I4420" t="s">
        <v>27834</v>
      </c>
      <c r="J4420" t="s">
        <v>27829</v>
      </c>
      <c r="K4420" t="s">
        <v>27835</v>
      </c>
      <c r="L4420" t="s">
        <v>27829</v>
      </c>
    </row>
    <row r="4421" spans="1:12" x14ac:dyDescent="0.25">
      <c r="A4421">
        <v>786000</v>
      </c>
      <c r="B4421">
        <v>1247964</v>
      </c>
      <c r="D4421">
        <v>0</v>
      </c>
      <c r="E4421" t="s">
        <v>27837</v>
      </c>
      <c r="F4421" t="s">
        <v>27838</v>
      </c>
      <c r="G4421" t="s">
        <v>27839</v>
      </c>
      <c r="H4421" t="s">
        <v>27840</v>
      </c>
      <c r="I4421" t="s">
        <v>27841</v>
      </c>
      <c r="J4421" t="s">
        <v>27836</v>
      </c>
      <c r="K4421" t="s">
        <v>27842</v>
      </c>
      <c r="L4421" t="s">
        <v>27836</v>
      </c>
    </row>
    <row r="4422" spans="1:12" x14ac:dyDescent="0.25">
      <c r="A4422">
        <v>786008</v>
      </c>
      <c r="B4422">
        <v>1253262</v>
      </c>
      <c r="C4422" t="s">
        <v>27844</v>
      </c>
      <c r="D4422" t="s">
        <v>27845</v>
      </c>
      <c r="E4422" t="s">
        <v>27846</v>
      </c>
      <c r="F4422" t="s">
        <v>27847</v>
      </c>
      <c r="G4422" t="s">
        <v>27848</v>
      </c>
      <c r="H4422" t="s">
        <v>27849</v>
      </c>
      <c r="I4422" t="s">
        <v>27850</v>
      </c>
      <c r="J4422" t="s">
        <v>27851</v>
      </c>
      <c r="K4422" t="s">
        <v>27852</v>
      </c>
      <c r="L4422" t="s">
        <v>27843</v>
      </c>
    </row>
    <row r="4423" spans="1:12" x14ac:dyDescent="0.25">
      <c r="A4423">
        <v>786013</v>
      </c>
      <c r="B4423">
        <v>786021</v>
      </c>
      <c r="D4423" t="s">
        <v>514</v>
      </c>
      <c r="E4423" t="s">
        <v>27854</v>
      </c>
      <c r="F4423" t="s">
        <v>27855</v>
      </c>
      <c r="G4423" t="s">
        <v>27856</v>
      </c>
      <c r="H4423" t="e" vm="1922">
        <f>_FV(0,"009721946533445321")</f>
        <v>#VALUE!</v>
      </c>
      <c r="I4423" t="s">
        <v>27857</v>
      </c>
      <c r="J4423" t="s">
        <v>27858</v>
      </c>
      <c r="K4423" t="s">
        <v>27859</v>
      </c>
      <c r="L4423" t="s">
        <v>27853</v>
      </c>
    </row>
    <row r="4424" spans="1:12" x14ac:dyDescent="0.25">
      <c r="A4424">
        <v>786021</v>
      </c>
      <c r="B4424">
        <v>1248864</v>
      </c>
      <c r="D4424" t="s">
        <v>963</v>
      </c>
      <c r="E4424" t="s">
        <v>27861</v>
      </c>
      <c r="F4424" t="s">
        <v>27862</v>
      </c>
      <c r="G4424" t="s">
        <v>27863</v>
      </c>
      <c r="H4424" t="s">
        <v>27864</v>
      </c>
      <c r="I4424" t="s">
        <v>27865</v>
      </c>
      <c r="J4424" t="s">
        <v>27866</v>
      </c>
      <c r="K4424" t="s">
        <v>27867</v>
      </c>
      <c r="L4424" t="s">
        <v>27860</v>
      </c>
    </row>
    <row r="4425" spans="1:12" x14ac:dyDescent="0.25">
      <c r="A4425">
        <v>786021</v>
      </c>
      <c r="B4425">
        <v>1247964</v>
      </c>
      <c r="D4425">
        <v>0</v>
      </c>
      <c r="F4425">
        <v>1842783</v>
      </c>
      <c r="G4425">
        <v>786021</v>
      </c>
      <c r="H4425" t="s">
        <v>2068</v>
      </c>
      <c r="I4425">
        <v>1247964</v>
      </c>
      <c r="J4425" t="s">
        <v>2068</v>
      </c>
      <c r="K4425" t="s">
        <v>27868</v>
      </c>
      <c r="L4425" t="s">
        <v>2068</v>
      </c>
    </row>
    <row r="4426" spans="1:12" x14ac:dyDescent="0.25">
      <c r="A4426">
        <v>786154</v>
      </c>
      <c r="B4426">
        <v>786161</v>
      </c>
      <c r="D4426">
        <v>0</v>
      </c>
      <c r="E4426" t="s">
        <v>27870</v>
      </c>
      <c r="F4426" t="s">
        <v>27871</v>
      </c>
      <c r="G4426" t="s">
        <v>27872</v>
      </c>
      <c r="H4426" t="e" vm="1923">
        <f>_FV(0,"07206354888991381")</f>
        <v>#VALUE!</v>
      </c>
      <c r="I4426" t="s">
        <v>27873</v>
      </c>
      <c r="J4426" t="s">
        <v>27874</v>
      </c>
      <c r="K4426" t="s">
        <v>27875</v>
      </c>
      <c r="L4426" t="s">
        <v>27869</v>
      </c>
    </row>
    <row r="4427" spans="1:12" x14ac:dyDescent="0.25">
      <c r="A4427">
        <v>786154</v>
      </c>
      <c r="B4427">
        <v>1255189</v>
      </c>
      <c r="D4427">
        <v>0</v>
      </c>
      <c r="E4427" t="s">
        <v>27877</v>
      </c>
      <c r="F4427" t="s">
        <v>27878</v>
      </c>
      <c r="G4427" t="s">
        <v>27879</v>
      </c>
      <c r="H4427" t="e" vm="1924">
        <f>_FV(0,"06575375684843965")</f>
        <v>#VALUE!</v>
      </c>
      <c r="I4427" t="s">
        <v>27880</v>
      </c>
      <c r="J4427" t="s">
        <v>27881</v>
      </c>
      <c r="K4427" t="s">
        <v>27882</v>
      </c>
      <c r="L4427" t="s">
        <v>27876</v>
      </c>
    </row>
    <row r="4428" spans="1:12" x14ac:dyDescent="0.25">
      <c r="A4428">
        <v>786154</v>
      </c>
      <c r="B4428">
        <v>786316</v>
      </c>
      <c r="D4428">
        <v>0</v>
      </c>
      <c r="E4428" t="s">
        <v>27884</v>
      </c>
      <c r="F4428" t="s">
        <v>27885</v>
      </c>
      <c r="G4428" t="s">
        <v>27886</v>
      </c>
      <c r="H4428" t="e" vm="1925">
        <f>_FV(0,"09332353803212003")</f>
        <v>#VALUE!</v>
      </c>
      <c r="I4428" t="s">
        <v>27887</v>
      </c>
      <c r="J4428" t="s">
        <v>27888</v>
      </c>
      <c r="K4428" t="s">
        <v>27889</v>
      </c>
      <c r="L4428" t="s">
        <v>27883</v>
      </c>
    </row>
    <row r="4429" spans="1:12" x14ac:dyDescent="0.25">
      <c r="A4429">
        <v>786161</v>
      </c>
      <c r="B4429">
        <v>786184</v>
      </c>
      <c r="D4429">
        <v>0</v>
      </c>
      <c r="E4429" t="s">
        <v>27891</v>
      </c>
      <c r="F4429" t="s">
        <v>27892</v>
      </c>
      <c r="G4429" t="s">
        <v>27893</v>
      </c>
      <c r="H4429" t="e" vm="1926">
        <f>_FV(0,"0855557742553052")</f>
        <v>#VALUE!</v>
      </c>
      <c r="I4429" t="s">
        <v>27894</v>
      </c>
      <c r="J4429" t="s">
        <v>27895</v>
      </c>
      <c r="K4429" t="s">
        <v>27896</v>
      </c>
      <c r="L4429" t="s">
        <v>27890</v>
      </c>
    </row>
    <row r="4430" spans="1:12" x14ac:dyDescent="0.25">
      <c r="A4430">
        <v>786161</v>
      </c>
      <c r="B4430">
        <v>786495</v>
      </c>
      <c r="D4430">
        <v>0</v>
      </c>
      <c r="E4430" t="s">
        <v>27898</v>
      </c>
      <c r="F4430" t="s">
        <v>27899</v>
      </c>
      <c r="G4430" t="s">
        <v>27900</v>
      </c>
      <c r="H4430" t="e" vm="1927">
        <f>_FV(0,"11209480020432547")</f>
        <v>#VALUE!</v>
      </c>
      <c r="I4430" t="s">
        <v>27901</v>
      </c>
      <c r="J4430" t="s">
        <v>27902</v>
      </c>
      <c r="K4430" t="s">
        <v>27903</v>
      </c>
      <c r="L4430" t="s">
        <v>27897</v>
      </c>
    </row>
    <row r="4431" spans="1:12" x14ac:dyDescent="0.25">
      <c r="A4431">
        <v>786184</v>
      </c>
      <c r="B4431">
        <v>786195</v>
      </c>
      <c r="D4431">
        <v>0</v>
      </c>
      <c r="E4431" t="s">
        <v>27905</v>
      </c>
      <c r="F4431" t="s">
        <v>27906</v>
      </c>
      <c r="G4431" t="s">
        <v>27907</v>
      </c>
      <c r="H4431" t="e" vm="1928">
        <f>_FV(0,"0832183427888594")</f>
        <v>#VALUE!</v>
      </c>
      <c r="I4431" t="s">
        <v>27908</v>
      </c>
      <c r="J4431" t="s">
        <v>27909</v>
      </c>
      <c r="K4431" t="s">
        <v>27910</v>
      </c>
      <c r="L4431" t="s">
        <v>27904</v>
      </c>
    </row>
    <row r="4432" spans="1:12" x14ac:dyDescent="0.25">
      <c r="A4432">
        <v>786184</v>
      </c>
      <c r="B4432">
        <v>786495</v>
      </c>
      <c r="D4432">
        <v>0</v>
      </c>
      <c r="E4432" t="s">
        <v>27912</v>
      </c>
      <c r="F4432" t="s">
        <v>27913</v>
      </c>
      <c r="G4432" t="s">
        <v>27914</v>
      </c>
      <c r="H4432" t="e" vm="1929">
        <f>_FV(0,"10750868106233488")</f>
        <v>#VALUE!</v>
      </c>
      <c r="I4432" t="s">
        <v>27915</v>
      </c>
      <c r="J4432" t="s">
        <v>27916</v>
      </c>
      <c r="K4432" t="s">
        <v>27917</v>
      </c>
      <c r="L4432" t="s">
        <v>27911</v>
      </c>
    </row>
    <row r="4433" spans="1:12" x14ac:dyDescent="0.25">
      <c r="A4433">
        <v>786316</v>
      </c>
      <c r="B4433">
        <v>786495</v>
      </c>
      <c r="D4433">
        <v>0</v>
      </c>
      <c r="E4433" t="s">
        <v>27919</v>
      </c>
      <c r="F4433" t="s">
        <v>27920</v>
      </c>
      <c r="G4433" t="s">
        <v>27921</v>
      </c>
      <c r="H4433" t="e" vm="1930">
        <f>_FV(0,"023463105610709262")</f>
        <v>#VALUE!</v>
      </c>
      <c r="I4433" t="s">
        <v>27922</v>
      </c>
      <c r="J4433" t="s">
        <v>27923</v>
      </c>
      <c r="K4433" t="s">
        <v>27924</v>
      </c>
      <c r="L4433" t="s">
        <v>27918</v>
      </c>
    </row>
    <row r="4434" spans="1:12" x14ac:dyDescent="0.25">
      <c r="A4434">
        <v>786316</v>
      </c>
      <c r="B4434">
        <v>1311171</v>
      </c>
      <c r="C4434" t="s">
        <v>27926</v>
      </c>
      <c r="D4434">
        <v>0</v>
      </c>
      <c r="E4434" t="s">
        <v>27927</v>
      </c>
      <c r="F4434" t="s">
        <v>27928</v>
      </c>
      <c r="G4434" t="s">
        <v>27929</v>
      </c>
      <c r="H4434" t="s">
        <v>27930</v>
      </c>
      <c r="I4434" t="s">
        <v>27931</v>
      </c>
      <c r="J4434" t="s">
        <v>27932</v>
      </c>
      <c r="K4434" t="s">
        <v>27933</v>
      </c>
      <c r="L4434" t="s">
        <v>27925</v>
      </c>
    </row>
    <row r="4435" spans="1:12" x14ac:dyDescent="0.25">
      <c r="A4435">
        <v>788632</v>
      </c>
      <c r="B4435">
        <v>788639</v>
      </c>
      <c r="D4435">
        <v>0</v>
      </c>
      <c r="E4435" t="s">
        <v>27934</v>
      </c>
      <c r="F4435" t="s">
        <v>27935</v>
      </c>
      <c r="G4435" t="s">
        <v>27936</v>
      </c>
      <c r="H4435" t="s">
        <v>30</v>
      </c>
      <c r="I4435" t="s">
        <v>27937</v>
      </c>
      <c r="J4435" t="s">
        <v>30</v>
      </c>
      <c r="K4435" t="s">
        <v>27938</v>
      </c>
      <c r="L4435" t="s">
        <v>30</v>
      </c>
    </row>
    <row r="4436" spans="1:12" x14ac:dyDescent="0.25">
      <c r="A4436">
        <v>788632</v>
      </c>
      <c r="B4436">
        <v>788643</v>
      </c>
      <c r="D4436">
        <v>0</v>
      </c>
      <c r="E4436" t="s">
        <v>27939</v>
      </c>
      <c r="F4436" t="s">
        <v>27940</v>
      </c>
      <c r="G4436" t="s">
        <v>27941</v>
      </c>
      <c r="H4436" t="e" vm="1931">
        <f>_FV(0,"01154923530621807")</f>
        <v>#VALUE!</v>
      </c>
      <c r="I4436" t="s">
        <v>27942</v>
      </c>
      <c r="J4436" t="s">
        <v>4385</v>
      </c>
      <c r="K4436" t="s">
        <v>27943</v>
      </c>
      <c r="L4436" t="s">
        <v>15020</v>
      </c>
    </row>
    <row r="4437" spans="1:12" x14ac:dyDescent="0.25">
      <c r="A4437">
        <v>788632</v>
      </c>
      <c r="B4437">
        <v>1174636</v>
      </c>
      <c r="D4437">
        <v>0</v>
      </c>
      <c r="F4437">
        <v>1256587</v>
      </c>
      <c r="G4437">
        <v>788632</v>
      </c>
      <c r="H4437" t="s">
        <v>194</v>
      </c>
      <c r="I4437">
        <v>1174636</v>
      </c>
      <c r="J4437" t="s">
        <v>194</v>
      </c>
      <c r="K4437" t="s">
        <v>27944</v>
      </c>
      <c r="L4437" t="s">
        <v>194</v>
      </c>
    </row>
    <row r="4438" spans="1:12" x14ac:dyDescent="0.25">
      <c r="A4438">
        <v>788639</v>
      </c>
      <c r="B4438">
        <v>788660</v>
      </c>
      <c r="D4438">
        <v>0</v>
      </c>
      <c r="F4438">
        <v>1256655</v>
      </c>
      <c r="G4438">
        <v>788660</v>
      </c>
      <c r="H4438" t="s">
        <v>1814</v>
      </c>
      <c r="I4438">
        <v>788639</v>
      </c>
      <c r="J4438" t="s">
        <v>1814</v>
      </c>
      <c r="K4438" t="s">
        <v>27945</v>
      </c>
      <c r="L4438" t="s">
        <v>1814</v>
      </c>
    </row>
    <row r="4439" spans="1:12" x14ac:dyDescent="0.25">
      <c r="A4439">
        <v>788639</v>
      </c>
      <c r="B4439">
        <v>788643</v>
      </c>
      <c r="D4439">
        <v>0</v>
      </c>
      <c r="E4439" t="s">
        <v>27947</v>
      </c>
      <c r="F4439" t="s">
        <v>27948</v>
      </c>
      <c r="G4439" t="s">
        <v>27949</v>
      </c>
      <c r="H4439" t="s">
        <v>27950</v>
      </c>
      <c r="I4439" t="s">
        <v>27951</v>
      </c>
      <c r="J4439" t="s">
        <v>27946</v>
      </c>
      <c r="K4439" t="s">
        <v>27952</v>
      </c>
      <c r="L4439" t="s">
        <v>27946</v>
      </c>
    </row>
    <row r="4440" spans="1:12" x14ac:dyDescent="0.25">
      <c r="A4440">
        <v>788643</v>
      </c>
      <c r="B4440">
        <v>1174631</v>
      </c>
      <c r="D4440">
        <v>0</v>
      </c>
      <c r="F4440">
        <v>1256610</v>
      </c>
      <c r="G4440">
        <v>1174631</v>
      </c>
      <c r="H4440" t="e" vm="106">
        <f>_FV(0,"019")</f>
        <v>#VALUE!</v>
      </c>
      <c r="I4440">
        <v>788643</v>
      </c>
      <c r="J4440" t="s">
        <v>1629</v>
      </c>
      <c r="K4440" t="s">
        <v>27953</v>
      </c>
      <c r="L4440" t="e" vm="106">
        <f>_FV(0,"019")</f>
        <v>#VALUE!</v>
      </c>
    </row>
    <row r="4441" spans="1:12" x14ac:dyDescent="0.25">
      <c r="A4441">
        <v>788660</v>
      </c>
      <c r="B4441">
        <v>788666</v>
      </c>
      <c r="D4441">
        <v>0</v>
      </c>
      <c r="E4441" t="s">
        <v>27954</v>
      </c>
      <c r="F4441" t="s">
        <v>27955</v>
      </c>
      <c r="G4441" t="s">
        <v>27956</v>
      </c>
      <c r="H4441" t="s">
        <v>4848</v>
      </c>
      <c r="I4441" t="s">
        <v>27957</v>
      </c>
      <c r="J4441" t="s">
        <v>4848</v>
      </c>
      <c r="K4441" t="s">
        <v>27958</v>
      </c>
      <c r="L4441" t="s">
        <v>4848</v>
      </c>
    </row>
    <row r="4442" spans="1:12" x14ac:dyDescent="0.25">
      <c r="A4442">
        <v>788660</v>
      </c>
      <c r="B4442">
        <v>788677</v>
      </c>
      <c r="D4442">
        <v>0</v>
      </c>
      <c r="E4442" t="s">
        <v>27959</v>
      </c>
      <c r="F4442" t="s">
        <v>27960</v>
      </c>
      <c r="G4442" t="s">
        <v>27961</v>
      </c>
      <c r="H4442" t="s">
        <v>27962</v>
      </c>
      <c r="I4442" t="s">
        <v>27963</v>
      </c>
      <c r="J4442" t="s">
        <v>27131</v>
      </c>
      <c r="K4442" t="s">
        <v>27964</v>
      </c>
      <c r="L4442" t="s">
        <v>27131</v>
      </c>
    </row>
    <row r="4443" spans="1:12" x14ac:dyDescent="0.25">
      <c r="A4443">
        <v>788666</v>
      </c>
      <c r="B4443">
        <v>1174604</v>
      </c>
      <c r="D4443">
        <v>0</v>
      </c>
      <c r="F4443">
        <v>1256763</v>
      </c>
      <c r="G4443">
        <v>1174604</v>
      </c>
      <c r="H4443" t="s">
        <v>1333</v>
      </c>
      <c r="I4443">
        <v>788666</v>
      </c>
      <c r="J4443" t="s">
        <v>1333</v>
      </c>
      <c r="K4443" t="s">
        <v>27965</v>
      </c>
      <c r="L4443" t="s">
        <v>1333</v>
      </c>
    </row>
    <row r="4444" spans="1:12" x14ac:dyDescent="0.25">
      <c r="A4444">
        <v>788666</v>
      </c>
      <c r="B4444">
        <v>788677</v>
      </c>
      <c r="D4444">
        <v>0</v>
      </c>
      <c r="E4444" t="s">
        <v>27967</v>
      </c>
      <c r="F4444" t="s">
        <v>27968</v>
      </c>
      <c r="G4444" t="s">
        <v>27969</v>
      </c>
      <c r="H4444" t="e" vm="1932">
        <f>_FV(0,"0034610714356744024")</f>
        <v>#VALUE!</v>
      </c>
      <c r="I4444" t="s">
        <v>27970</v>
      </c>
      <c r="J4444" t="s">
        <v>14316</v>
      </c>
      <c r="K4444" t="s">
        <v>27971</v>
      </c>
      <c r="L4444" t="s">
        <v>27966</v>
      </c>
    </row>
    <row r="4445" spans="1:12" x14ac:dyDescent="0.25">
      <c r="A4445">
        <v>788677</v>
      </c>
      <c r="B4445">
        <v>1174617</v>
      </c>
      <c r="D4445">
        <v>0</v>
      </c>
      <c r="F4445">
        <v>1256714</v>
      </c>
      <c r="G4445">
        <v>788677</v>
      </c>
      <c r="H4445" t="e" vm="144">
        <f>_FV(0,"003")</f>
        <v>#VALUE!</v>
      </c>
      <c r="I4445">
        <v>1174617</v>
      </c>
      <c r="J4445" t="s">
        <v>1783</v>
      </c>
      <c r="K4445" t="s">
        <v>27972</v>
      </c>
      <c r="L4445" t="e" vm="144">
        <f>_FV(0,"003")</f>
        <v>#VALUE!</v>
      </c>
    </row>
    <row r="4446" spans="1:12" x14ac:dyDescent="0.25">
      <c r="A4446">
        <v>794410</v>
      </c>
      <c r="B4446">
        <v>1270199</v>
      </c>
      <c r="D4446">
        <v>0</v>
      </c>
      <c r="E4446" t="s">
        <v>27974</v>
      </c>
      <c r="F4446" t="s">
        <v>27975</v>
      </c>
      <c r="G4446" t="s">
        <v>27976</v>
      </c>
      <c r="H4446" t="e" vm="1933">
        <f>_FV(0,"018298256146754188")</f>
        <v>#VALUE!</v>
      </c>
      <c r="I4446" t="s">
        <v>27977</v>
      </c>
      <c r="J4446" t="s">
        <v>27978</v>
      </c>
      <c r="K4446" t="s">
        <v>27979</v>
      </c>
      <c r="L4446" t="s">
        <v>27973</v>
      </c>
    </row>
    <row r="4447" spans="1:12" x14ac:dyDescent="0.25">
      <c r="A4447">
        <v>794410</v>
      </c>
      <c r="B4447">
        <v>794428</v>
      </c>
      <c r="D4447">
        <v>0</v>
      </c>
      <c r="F4447">
        <v>2025444</v>
      </c>
      <c r="G4447">
        <v>794410</v>
      </c>
      <c r="H4447" t="s">
        <v>250</v>
      </c>
      <c r="I4447">
        <v>794428</v>
      </c>
      <c r="J4447" t="s">
        <v>250</v>
      </c>
      <c r="K4447" t="s">
        <v>27980</v>
      </c>
      <c r="L4447" t="s">
        <v>250</v>
      </c>
    </row>
    <row r="4448" spans="1:12" x14ac:dyDescent="0.25">
      <c r="A4448">
        <v>794419</v>
      </c>
      <c r="B4448">
        <v>794436</v>
      </c>
      <c r="D4448">
        <v>0</v>
      </c>
      <c r="F4448">
        <v>2025396</v>
      </c>
      <c r="G4448">
        <v>794436</v>
      </c>
      <c r="H4448" t="s">
        <v>187</v>
      </c>
      <c r="I4448">
        <v>794419</v>
      </c>
      <c r="J4448" t="s">
        <v>187</v>
      </c>
      <c r="K4448" t="s">
        <v>27981</v>
      </c>
      <c r="L4448" t="s">
        <v>187</v>
      </c>
    </row>
    <row r="4449" spans="1:12" x14ac:dyDescent="0.25">
      <c r="A4449">
        <v>796400</v>
      </c>
      <c r="B4449">
        <v>796432</v>
      </c>
      <c r="D4449">
        <v>0</v>
      </c>
      <c r="E4449" t="s">
        <v>27983</v>
      </c>
      <c r="F4449" t="s">
        <v>27984</v>
      </c>
      <c r="G4449" t="s">
        <v>27985</v>
      </c>
      <c r="H4449" t="s">
        <v>27986</v>
      </c>
      <c r="I4449" t="s">
        <v>27987</v>
      </c>
      <c r="J4449" t="s">
        <v>27988</v>
      </c>
      <c r="K4449" t="s">
        <v>27989</v>
      </c>
      <c r="L4449" t="s">
        <v>27982</v>
      </c>
    </row>
    <row r="4450" spans="1:12" x14ac:dyDescent="0.25">
      <c r="A4450">
        <v>796432</v>
      </c>
      <c r="B4450">
        <v>796518</v>
      </c>
      <c r="D4450">
        <v>0</v>
      </c>
      <c r="E4450" t="s">
        <v>27991</v>
      </c>
      <c r="F4450" t="s">
        <v>27992</v>
      </c>
      <c r="G4450" t="s">
        <v>27993</v>
      </c>
      <c r="H4450" t="s">
        <v>27994</v>
      </c>
      <c r="I4450" t="s">
        <v>27995</v>
      </c>
      <c r="J4450" t="s">
        <v>27996</v>
      </c>
      <c r="K4450" t="s">
        <v>27997</v>
      </c>
      <c r="L4450" t="s">
        <v>27990</v>
      </c>
    </row>
    <row r="4451" spans="1:12" x14ac:dyDescent="0.25">
      <c r="A4451">
        <v>799009</v>
      </c>
      <c r="B4451">
        <v>799053</v>
      </c>
      <c r="D4451">
        <v>0</v>
      </c>
      <c r="F4451">
        <v>821185</v>
      </c>
      <c r="G4451">
        <v>799053</v>
      </c>
      <c r="H4451" t="e" vm="625">
        <f>_FV(0,"015")</f>
        <v>#VALUE!</v>
      </c>
      <c r="I4451">
        <v>799009</v>
      </c>
      <c r="J4451" t="s">
        <v>6474</v>
      </c>
      <c r="K4451" t="s">
        <v>27998</v>
      </c>
      <c r="L4451" t="e" vm="625">
        <f>_FV(0,"015")</f>
        <v>#VALUE!</v>
      </c>
    </row>
    <row r="4452" spans="1:12" x14ac:dyDescent="0.25">
      <c r="A4452">
        <v>799009</v>
      </c>
      <c r="B4452">
        <v>799090</v>
      </c>
      <c r="D4452">
        <v>0</v>
      </c>
      <c r="E4452" t="s">
        <v>28000</v>
      </c>
      <c r="F4452" t="s">
        <v>28001</v>
      </c>
      <c r="G4452" t="s">
        <v>28002</v>
      </c>
      <c r="H4452" t="s">
        <v>28003</v>
      </c>
      <c r="I4452" t="s">
        <v>28004</v>
      </c>
      <c r="J4452" t="s">
        <v>27999</v>
      </c>
      <c r="K4452" t="s">
        <v>28005</v>
      </c>
      <c r="L4452" t="s">
        <v>27999</v>
      </c>
    </row>
    <row r="4453" spans="1:12" x14ac:dyDescent="0.25">
      <c r="A4453">
        <v>799053</v>
      </c>
      <c r="B4453">
        <v>799063</v>
      </c>
      <c r="D4453">
        <v>0</v>
      </c>
      <c r="E4453" t="s">
        <v>28007</v>
      </c>
      <c r="F4453" t="s">
        <v>28008</v>
      </c>
      <c r="G4453" t="s">
        <v>28009</v>
      </c>
      <c r="H4453" t="e" vm="1934">
        <f>_FV(0,"06451436583253592")</f>
        <v>#VALUE!</v>
      </c>
      <c r="I4453" t="s">
        <v>28010</v>
      </c>
      <c r="J4453" t="s">
        <v>28011</v>
      </c>
      <c r="K4453" t="s">
        <v>28012</v>
      </c>
      <c r="L4453" t="s">
        <v>28006</v>
      </c>
    </row>
    <row r="4454" spans="1:12" x14ac:dyDescent="0.25">
      <c r="A4454">
        <v>799053</v>
      </c>
      <c r="B4454">
        <v>1765105</v>
      </c>
      <c r="D4454">
        <v>0</v>
      </c>
      <c r="E4454" t="s">
        <v>28014</v>
      </c>
      <c r="F4454" t="s">
        <v>28015</v>
      </c>
      <c r="G4454" t="s">
        <v>28016</v>
      </c>
      <c r="H4454" t="s">
        <v>28017</v>
      </c>
      <c r="I4454" t="s">
        <v>28018</v>
      </c>
      <c r="J4454" t="s">
        <v>28013</v>
      </c>
      <c r="K4454" t="s">
        <v>28019</v>
      </c>
      <c r="L4454" t="s">
        <v>28013</v>
      </c>
    </row>
    <row r="4455" spans="1:12" x14ac:dyDescent="0.25">
      <c r="A4455">
        <v>799063</v>
      </c>
      <c r="B4455">
        <v>799090</v>
      </c>
      <c r="D4455">
        <v>0</v>
      </c>
      <c r="E4455" t="s">
        <v>28021</v>
      </c>
      <c r="F4455" t="s">
        <v>28022</v>
      </c>
      <c r="G4455" t="s">
        <v>28023</v>
      </c>
      <c r="H4455" t="s">
        <v>28024</v>
      </c>
      <c r="I4455" t="s">
        <v>28025</v>
      </c>
      <c r="J4455" t="s">
        <v>28026</v>
      </c>
      <c r="K4455" t="s">
        <v>28027</v>
      </c>
      <c r="L4455" t="s">
        <v>28020</v>
      </c>
    </row>
    <row r="4456" spans="1:12" x14ac:dyDescent="0.25">
      <c r="A4456">
        <v>799063</v>
      </c>
      <c r="B4456">
        <v>1765105</v>
      </c>
      <c r="D4456">
        <v>0</v>
      </c>
      <c r="E4456" t="s">
        <v>28029</v>
      </c>
      <c r="F4456" t="s">
        <v>28030</v>
      </c>
      <c r="G4456" t="s">
        <v>28031</v>
      </c>
      <c r="H4456" t="s">
        <v>28032</v>
      </c>
      <c r="I4456" t="s">
        <v>28033</v>
      </c>
      <c r="J4456" t="s">
        <v>28028</v>
      </c>
      <c r="K4456" t="s">
        <v>28034</v>
      </c>
      <c r="L4456" t="s">
        <v>28028</v>
      </c>
    </row>
    <row r="4457" spans="1:12" x14ac:dyDescent="0.25">
      <c r="A4457">
        <v>799189</v>
      </c>
      <c r="B4457">
        <v>1765050</v>
      </c>
      <c r="D4457">
        <v>0</v>
      </c>
      <c r="E4457" t="s">
        <v>28036</v>
      </c>
      <c r="F4457" t="s">
        <v>28037</v>
      </c>
      <c r="G4457" t="s">
        <v>28038</v>
      </c>
      <c r="H4457" t="e" vm="1935">
        <f>_FV(0,"031067775347482316")</f>
        <v>#VALUE!</v>
      </c>
      <c r="I4457" t="s">
        <v>28039</v>
      </c>
      <c r="J4457" t="s">
        <v>28040</v>
      </c>
      <c r="K4457" t="s">
        <v>28041</v>
      </c>
      <c r="L4457" t="s">
        <v>28035</v>
      </c>
    </row>
    <row r="4458" spans="1:12" x14ac:dyDescent="0.25">
      <c r="A4458">
        <v>799189</v>
      </c>
      <c r="B4458">
        <v>1765038</v>
      </c>
      <c r="D4458">
        <v>0</v>
      </c>
      <c r="F4458">
        <v>2020438</v>
      </c>
      <c r="G4458">
        <v>799189</v>
      </c>
      <c r="H4458" t="s">
        <v>2704</v>
      </c>
      <c r="I4458">
        <v>1765038</v>
      </c>
      <c r="J4458" t="s">
        <v>2704</v>
      </c>
      <c r="K4458" t="s">
        <v>28042</v>
      </c>
      <c r="L4458" t="s">
        <v>2704</v>
      </c>
    </row>
    <row r="4459" spans="1:12" x14ac:dyDescent="0.25">
      <c r="A4459">
        <v>815421</v>
      </c>
      <c r="B4459">
        <v>876208</v>
      </c>
      <c r="D4459">
        <v>0</v>
      </c>
      <c r="E4459" t="s">
        <v>28044</v>
      </c>
      <c r="F4459" t="s">
        <v>28045</v>
      </c>
      <c r="G4459" t="s">
        <v>28046</v>
      </c>
      <c r="H4459" t="e" vm="1936">
        <f>_FV(0,"004662062266940025")</f>
        <v>#VALUE!</v>
      </c>
      <c r="I4459" t="s">
        <v>28047</v>
      </c>
      <c r="J4459" t="s">
        <v>28048</v>
      </c>
      <c r="K4459" t="s">
        <v>28049</v>
      </c>
      <c r="L4459" t="s">
        <v>28043</v>
      </c>
    </row>
    <row r="4460" spans="1:12" x14ac:dyDescent="0.25">
      <c r="A4460">
        <v>815421</v>
      </c>
      <c r="B4460">
        <v>815991</v>
      </c>
      <c r="D4460" t="s">
        <v>28051</v>
      </c>
      <c r="E4460" t="s">
        <v>28052</v>
      </c>
      <c r="F4460" t="s">
        <v>28053</v>
      </c>
      <c r="G4460" t="s">
        <v>28054</v>
      </c>
      <c r="H4460" t="e" vm="1937">
        <f>_FV(0,"0058204515207122285")</f>
        <v>#VALUE!</v>
      </c>
      <c r="I4460" t="s">
        <v>28055</v>
      </c>
      <c r="J4460" t="s">
        <v>28056</v>
      </c>
      <c r="K4460" t="s">
        <v>28057</v>
      </c>
      <c r="L4460" t="s">
        <v>28050</v>
      </c>
    </row>
    <row r="4461" spans="1:12" x14ac:dyDescent="0.25">
      <c r="A4461">
        <v>815421</v>
      </c>
      <c r="B4461">
        <v>933302</v>
      </c>
      <c r="D4461">
        <v>0</v>
      </c>
      <c r="E4461" t="s">
        <v>28059</v>
      </c>
      <c r="F4461" t="s">
        <v>28060</v>
      </c>
      <c r="G4461" t="s">
        <v>28062</v>
      </c>
      <c r="H4461" t="s">
        <v>28063</v>
      </c>
      <c r="I4461" t="s">
        <v>28064</v>
      </c>
      <c r="J4461" t="s">
        <v>28065</v>
      </c>
      <c r="K4461" t="s">
        <v>28066</v>
      </c>
      <c r="L4461" t="s">
        <v>28058</v>
      </c>
    </row>
    <row r="4462" spans="1:12" x14ac:dyDescent="0.25">
      <c r="A4462">
        <v>815426</v>
      </c>
      <c r="B4462">
        <v>815860</v>
      </c>
      <c r="C4462" t="s">
        <v>28068</v>
      </c>
      <c r="D4462" t="s">
        <v>28069</v>
      </c>
      <c r="E4462" t="s">
        <v>28070</v>
      </c>
      <c r="F4462" t="s">
        <v>28071</v>
      </c>
      <c r="G4462" t="s">
        <v>28072</v>
      </c>
      <c r="H4462" t="e" vm="1938">
        <f>_FV(0,"00710300814311309")</f>
        <v>#VALUE!</v>
      </c>
      <c r="I4462" t="s">
        <v>28073</v>
      </c>
      <c r="J4462" t="s">
        <v>28074</v>
      </c>
      <c r="K4462" t="s">
        <v>28075</v>
      </c>
      <c r="L4462" t="s">
        <v>28067</v>
      </c>
    </row>
    <row r="4463" spans="1:12" x14ac:dyDescent="0.25">
      <c r="A4463">
        <v>815426</v>
      </c>
      <c r="B4463">
        <v>876111</v>
      </c>
      <c r="D4463">
        <v>0</v>
      </c>
      <c r="E4463" t="s">
        <v>28077</v>
      </c>
      <c r="F4463" t="s">
        <v>28078</v>
      </c>
      <c r="G4463" t="s">
        <v>28079</v>
      </c>
      <c r="H4463" t="s">
        <v>28080</v>
      </c>
      <c r="I4463" t="s">
        <v>28081</v>
      </c>
      <c r="J4463" t="s">
        <v>28082</v>
      </c>
      <c r="K4463" t="s">
        <v>28083</v>
      </c>
      <c r="L4463" t="s">
        <v>28076</v>
      </c>
    </row>
    <row r="4464" spans="1:12" x14ac:dyDescent="0.25">
      <c r="A4464">
        <v>815426</v>
      </c>
      <c r="B4464">
        <v>1149433</v>
      </c>
      <c r="D4464">
        <v>0</v>
      </c>
      <c r="E4464" t="s">
        <v>28085</v>
      </c>
      <c r="F4464" t="s">
        <v>28086</v>
      </c>
      <c r="G4464" t="s">
        <v>28087</v>
      </c>
      <c r="H4464" t="s">
        <v>28088</v>
      </c>
      <c r="I4464" t="s">
        <v>28089</v>
      </c>
      <c r="J4464" t="s">
        <v>28090</v>
      </c>
      <c r="K4464" t="s">
        <v>28091</v>
      </c>
      <c r="L4464" t="s">
        <v>28084</v>
      </c>
    </row>
    <row r="4465" spans="1:12" x14ac:dyDescent="0.25">
      <c r="A4465">
        <v>815860</v>
      </c>
      <c r="B4465">
        <v>815869</v>
      </c>
      <c r="D4465">
        <v>0</v>
      </c>
      <c r="E4465" t="s">
        <v>28093</v>
      </c>
      <c r="F4465" t="s">
        <v>28094</v>
      </c>
      <c r="G4465" t="s">
        <v>28095</v>
      </c>
      <c r="H4465" t="e" vm="1939">
        <f>_FV(0,"03266203509716512")</f>
        <v>#VALUE!</v>
      </c>
      <c r="I4465" t="s">
        <v>28096</v>
      </c>
      <c r="J4465" t="s">
        <v>28097</v>
      </c>
      <c r="K4465" t="s">
        <v>28098</v>
      </c>
      <c r="L4465" t="s">
        <v>28092</v>
      </c>
    </row>
    <row r="4466" spans="1:12" x14ac:dyDescent="0.25">
      <c r="A4466">
        <v>815860</v>
      </c>
      <c r="B4466">
        <v>815881</v>
      </c>
      <c r="D4466">
        <v>0</v>
      </c>
      <c r="E4466" t="s">
        <v>28100</v>
      </c>
      <c r="F4466" t="s">
        <v>28101</v>
      </c>
      <c r="G4466" t="s">
        <v>28102</v>
      </c>
      <c r="H4466" t="e" vm="1940">
        <f>_FV(0,"0009704237382732458")</f>
        <v>#VALUE!</v>
      </c>
      <c r="I4466" t="s">
        <v>28103</v>
      </c>
      <c r="J4466" t="s">
        <v>28104</v>
      </c>
      <c r="K4466" t="s">
        <v>28105</v>
      </c>
      <c r="L4466" t="s">
        <v>28099</v>
      </c>
    </row>
    <row r="4467" spans="1:12" x14ac:dyDescent="0.25">
      <c r="A4467">
        <v>815869</v>
      </c>
      <c r="B4467">
        <v>815870</v>
      </c>
      <c r="D4467">
        <v>0</v>
      </c>
      <c r="E4467" t="s">
        <v>28107</v>
      </c>
      <c r="F4467" t="s">
        <v>28108</v>
      </c>
      <c r="G4467" t="s">
        <v>28109</v>
      </c>
      <c r="H4467" t="s">
        <v>28110</v>
      </c>
      <c r="I4467" t="s">
        <v>28111</v>
      </c>
      <c r="J4467" t="s">
        <v>28112</v>
      </c>
      <c r="K4467" t="s">
        <v>28113</v>
      </c>
      <c r="L4467" t="s">
        <v>28106</v>
      </c>
    </row>
    <row r="4468" spans="1:12" x14ac:dyDescent="0.25">
      <c r="A4468">
        <v>815869</v>
      </c>
      <c r="B4468">
        <v>815956</v>
      </c>
      <c r="D4468">
        <v>0</v>
      </c>
      <c r="E4468" t="s">
        <v>28115</v>
      </c>
      <c r="F4468" t="s">
        <v>28116</v>
      </c>
      <c r="G4468" t="s">
        <v>28117</v>
      </c>
      <c r="H4468" t="e" vm="1941">
        <f>_FV(0,"09128851969388294")</f>
        <v>#VALUE!</v>
      </c>
      <c r="I4468" t="s">
        <v>28118</v>
      </c>
      <c r="J4468" t="s">
        <v>28119</v>
      </c>
      <c r="K4468" t="s">
        <v>28120</v>
      </c>
      <c r="L4468" t="s">
        <v>28114</v>
      </c>
    </row>
    <row r="4469" spans="1:12" x14ac:dyDescent="0.25">
      <c r="A4469">
        <v>815870</v>
      </c>
      <c r="B4469">
        <v>815881</v>
      </c>
      <c r="D4469">
        <v>0</v>
      </c>
      <c r="E4469" t="s">
        <v>28122</v>
      </c>
      <c r="F4469" t="s">
        <v>28123</v>
      </c>
      <c r="G4469" t="s">
        <v>28124</v>
      </c>
      <c r="H4469" t="s">
        <v>28125</v>
      </c>
      <c r="I4469" t="s">
        <v>28126</v>
      </c>
      <c r="J4469" t="s">
        <v>28127</v>
      </c>
      <c r="K4469" t="s">
        <v>28128</v>
      </c>
      <c r="L4469" t="s">
        <v>28121</v>
      </c>
    </row>
    <row r="4470" spans="1:12" x14ac:dyDescent="0.25">
      <c r="A4470">
        <v>815870</v>
      </c>
      <c r="B4470">
        <v>815954</v>
      </c>
      <c r="D4470">
        <v>0</v>
      </c>
      <c r="E4470" t="s">
        <v>28130</v>
      </c>
      <c r="F4470" t="s">
        <v>28131</v>
      </c>
      <c r="G4470" t="s">
        <v>28132</v>
      </c>
      <c r="H4470" t="s">
        <v>28133</v>
      </c>
      <c r="I4470" t="s">
        <v>28134</v>
      </c>
      <c r="J4470" t="s">
        <v>28129</v>
      </c>
      <c r="K4470" t="s">
        <v>28135</v>
      </c>
      <c r="L4470" t="s">
        <v>28129</v>
      </c>
    </row>
    <row r="4471" spans="1:12" x14ac:dyDescent="0.25">
      <c r="A4471">
        <v>815881</v>
      </c>
      <c r="B4471">
        <v>815995</v>
      </c>
      <c r="D4471" t="s">
        <v>28137</v>
      </c>
      <c r="E4471" t="s">
        <v>28138</v>
      </c>
      <c r="F4471" t="s">
        <v>28139</v>
      </c>
      <c r="G4471" t="s">
        <v>28140</v>
      </c>
      <c r="H4471" t="e" vm="1942">
        <f>_FV(0,"0038870253150682338")</f>
        <v>#VALUE!</v>
      </c>
      <c r="I4471" t="s">
        <v>28141</v>
      </c>
      <c r="J4471" t="s">
        <v>28142</v>
      </c>
      <c r="K4471" t="s">
        <v>28143</v>
      </c>
      <c r="L4471" t="s">
        <v>28136</v>
      </c>
    </row>
    <row r="4472" spans="1:12" x14ac:dyDescent="0.25">
      <c r="A4472">
        <v>815901</v>
      </c>
      <c r="B4472">
        <v>815954</v>
      </c>
      <c r="D4472">
        <v>0</v>
      </c>
      <c r="E4472" t="s">
        <v>28145</v>
      </c>
      <c r="F4472" t="s">
        <v>28146</v>
      </c>
      <c r="G4472" t="s">
        <v>28147</v>
      </c>
      <c r="H4472" t="e" vm="1943">
        <f>_FV(0,"016094898813766106")</f>
        <v>#VALUE!</v>
      </c>
      <c r="I4472" t="s">
        <v>28148</v>
      </c>
      <c r="J4472" t="s">
        <v>28149</v>
      </c>
      <c r="K4472" t="s">
        <v>28150</v>
      </c>
      <c r="L4472" t="s">
        <v>28144</v>
      </c>
    </row>
    <row r="4473" spans="1:12" x14ac:dyDescent="0.25">
      <c r="A4473">
        <v>815901</v>
      </c>
      <c r="B4473">
        <v>816243</v>
      </c>
      <c r="C4473" t="s">
        <v>28152</v>
      </c>
      <c r="D4473" t="s">
        <v>28153</v>
      </c>
      <c r="E4473" t="s">
        <v>28154</v>
      </c>
      <c r="F4473" t="s">
        <v>28155</v>
      </c>
      <c r="G4473" t="s">
        <v>28156</v>
      </c>
      <c r="H4473" t="e" vm="1944">
        <f>_FV(0,"0040195884132546225")</f>
        <v>#VALUE!</v>
      </c>
      <c r="I4473" t="s">
        <v>28157</v>
      </c>
      <c r="J4473" t="s">
        <v>28158</v>
      </c>
      <c r="K4473" t="s">
        <v>28159</v>
      </c>
      <c r="L4473" t="s">
        <v>28151</v>
      </c>
    </row>
    <row r="4474" spans="1:12" x14ac:dyDescent="0.25">
      <c r="A4474">
        <v>815901</v>
      </c>
      <c r="B4474">
        <v>815991</v>
      </c>
      <c r="D4474">
        <v>0</v>
      </c>
      <c r="E4474" t="s">
        <v>28161</v>
      </c>
      <c r="F4474" t="s">
        <v>28162</v>
      </c>
      <c r="G4474" t="s">
        <v>28163</v>
      </c>
      <c r="H4474" t="e" vm="1945">
        <f>_FV(0,"005918224924797462")</f>
        <v>#VALUE!</v>
      </c>
      <c r="I4474" t="s">
        <v>28164</v>
      </c>
      <c r="J4474" t="s">
        <v>28165</v>
      </c>
      <c r="K4474" t="s">
        <v>28166</v>
      </c>
      <c r="L4474" t="s">
        <v>28160</v>
      </c>
    </row>
    <row r="4475" spans="1:12" x14ac:dyDescent="0.25">
      <c r="A4475">
        <v>815954</v>
      </c>
      <c r="B4475">
        <v>815956</v>
      </c>
      <c r="D4475">
        <v>0</v>
      </c>
      <c r="E4475" t="s">
        <v>28168</v>
      </c>
      <c r="F4475" t="s">
        <v>28169</v>
      </c>
      <c r="G4475" t="s">
        <v>28170</v>
      </c>
      <c r="H4475" t="e" vm="1946">
        <f>_FV(0,"012497187154015496")</f>
        <v>#VALUE!</v>
      </c>
      <c r="I4475" t="s">
        <v>28171</v>
      </c>
      <c r="J4475" t="s">
        <v>28172</v>
      </c>
      <c r="K4475" t="s">
        <v>28173</v>
      </c>
      <c r="L4475" t="s">
        <v>28167</v>
      </c>
    </row>
    <row r="4476" spans="1:12" x14ac:dyDescent="0.25">
      <c r="A4476">
        <v>815956</v>
      </c>
      <c r="B4476">
        <v>815991</v>
      </c>
      <c r="D4476">
        <v>0</v>
      </c>
      <c r="E4476" t="s">
        <v>28175</v>
      </c>
      <c r="F4476" t="s">
        <v>28176</v>
      </c>
      <c r="G4476" t="s">
        <v>28177</v>
      </c>
      <c r="H4476" t="s">
        <v>28178</v>
      </c>
      <c r="I4476" t="s">
        <v>28179</v>
      </c>
      <c r="J4476" t="s">
        <v>28180</v>
      </c>
      <c r="K4476" t="s">
        <v>28181</v>
      </c>
      <c r="L4476" t="s">
        <v>28174</v>
      </c>
    </row>
    <row r="4477" spans="1:12" x14ac:dyDescent="0.25">
      <c r="A4477">
        <v>815995</v>
      </c>
      <c r="B4477">
        <v>816055</v>
      </c>
      <c r="D4477">
        <v>0</v>
      </c>
      <c r="E4477" t="s">
        <v>28183</v>
      </c>
      <c r="F4477" t="s">
        <v>28184</v>
      </c>
      <c r="G4477" t="s">
        <v>28185</v>
      </c>
      <c r="H4477" t="s">
        <v>28186</v>
      </c>
      <c r="I4477" t="s">
        <v>28187</v>
      </c>
      <c r="J4477" t="s">
        <v>28188</v>
      </c>
      <c r="K4477" t="s">
        <v>28189</v>
      </c>
      <c r="L4477" t="s">
        <v>28182</v>
      </c>
    </row>
    <row r="4478" spans="1:12" x14ac:dyDescent="0.25">
      <c r="A4478">
        <v>815995</v>
      </c>
      <c r="B4478">
        <v>816210</v>
      </c>
      <c r="D4478">
        <v>0</v>
      </c>
      <c r="E4478" t="s">
        <v>28191</v>
      </c>
      <c r="F4478" t="s">
        <v>28192</v>
      </c>
      <c r="G4478" t="s">
        <v>28193</v>
      </c>
      <c r="H4478" t="s">
        <v>28194</v>
      </c>
      <c r="I4478" t="s">
        <v>28195</v>
      </c>
      <c r="J4478" t="s">
        <v>28196</v>
      </c>
      <c r="K4478" t="s">
        <v>28197</v>
      </c>
      <c r="L4478" t="s">
        <v>28190</v>
      </c>
    </row>
    <row r="4479" spans="1:12" x14ac:dyDescent="0.25">
      <c r="A4479">
        <v>816055</v>
      </c>
      <c r="B4479">
        <v>816056</v>
      </c>
      <c r="D4479">
        <v>0</v>
      </c>
      <c r="E4479" t="s">
        <v>28199</v>
      </c>
      <c r="F4479" t="s">
        <v>28200</v>
      </c>
      <c r="G4479" t="s">
        <v>28201</v>
      </c>
      <c r="H4479" t="s">
        <v>28202</v>
      </c>
      <c r="I4479" t="s">
        <v>28203</v>
      </c>
      <c r="J4479" t="s">
        <v>28198</v>
      </c>
      <c r="K4479" t="s">
        <v>28204</v>
      </c>
      <c r="L4479" t="s">
        <v>28198</v>
      </c>
    </row>
    <row r="4480" spans="1:12" x14ac:dyDescent="0.25">
      <c r="A4480">
        <v>816055</v>
      </c>
      <c r="B4480">
        <v>816117</v>
      </c>
      <c r="D4480">
        <v>0</v>
      </c>
      <c r="F4480">
        <v>841489</v>
      </c>
      <c r="G4480">
        <v>816055</v>
      </c>
      <c r="H4480" t="e" vm="625">
        <f>_FV(0,"015")</f>
        <v>#VALUE!</v>
      </c>
      <c r="I4480">
        <v>816117</v>
      </c>
      <c r="J4480" t="s">
        <v>6474</v>
      </c>
      <c r="K4480" t="s">
        <v>28205</v>
      </c>
      <c r="L4480" t="e" vm="625">
        <f>_FV(0,"015")</f>
        <v>#VALUE!</v>
      </c>
    </row>
    <row r="4481" spans="1:12" x14ac:dyDescent="0.25">
      <c r="A4481">
        <v>816056</v>
      </c>
      <c r="B4481">
        <v>816104</v>
      </c>
      <c r="D4481">
        <v>0</v>
      </c>
      <c r="F4481">
        <v>841458</v>
      </c>
      <c r="G4481">
        <v>816104</v>
      </c>
      <c r="H4481" t="e" vm="493">
        <f>_FV(0,"025")</f>
        <v>#VALUE!</v>
      </c>
      <c r="I4481">
        <v>816056</v>
      </c>
      <c r="J4481" t="s">
        <v>899</v>
      </c>
      <c r="K4481" t="s">
        <v>28206</v>
      </c>
      <c r="L4481" t="e" vm="493">
        <f>_FV(0,"025")</f>
        <v>#VALUE!</v>
      </c>
    </row>
    <row r="4482" spans="1:12" x14ac:dyDescent="0.25">
      <c r="A4482">
        <v>816056</v>
      </c>
      <c r="B4482">
        <v>816210</v>
      </c>
      <c r="D4482">
        <v>0</v>
      </c>
      <c r="E4482" t="s">
        <v>28208</v>
      </c>
      <c r="F4482" t="s">
        <v>28209</v>
      </c>
      <c r="G4482" t="s">
        <v>28210</v>
      </c>
      <c r="H4482" t="e" vm="1947">
        <f>_FV(0,"013387144871207363")</f>
        <v>#VALUE!</v>
      </c>
      <c r="I4482" t="s">
        <v>28211</v>
      </c>
      <c r="J4482" t="s">
        <v>28212</v>
      </c>
      <c r="K4482" t="s">
        <v>28213</v>
      </c>
      <c r="L4482" t="s">
        <v>28207</v>
      </c>
    </row>
    <row r="4483" spans="1:12" x14ac:dyDescent="0.25">
      <c r="A4483">
        <v>816078</v>
      </c>
      <c r="B4483">
        <v>816086</v>
      </c>
      <c r="D4483">
        <v>0</v>
      </c>
      <c r="E4483" t="s">
        <v>28215</v>
      </c>
      <c r="F4483" t="s">
        <v>28216</v>
      </c>
      <c r="G4483" t="s">
        <v>28217</v>
      </c>
      <c r="H4483" t="e" vm="1948">
        <f>_FV(0,"04076042178689828")</f>
        <v>#VALUE!</v>
      </c>
      <c r="I4483" t="s">
        <v>28218</v>
      </c>
      <c r="J4483" t="s">
        <v>28219</v>
      </c>
      <c r="K4483" t="s">
        <v>28220</v>
      </c>
      <c r="L4483" t="s">
        <v>28214</v>
      </c>
    </row>
    <row r="4484" spans="1:12" x14ac:dyDescent="0.25">
      <c r="A4484">
        <v>816078</v>
      </c>
      <c r="B4484">
        <v>816096</v>
      </c>
      <c r="D4484">
        <v>0</v>
      </c>
      <c r="E4484" t="s">
        <v>28222</v>
      </c>
      <c r="F4484" t="s">
        <v>28223</v>
      </c>
      <c r="G4484" t="s">
        <v>28224</v>
      </c>
      <c r="H4484" t="e" vm="1949">
        <f>_FV(0,"034776398409668625")</f>
        <v>#VALUE!</v>
      </c>
      <c r="I4484" t="s">
        <v>28225</v>
      </c>
      <c r="J4484" t="s">
        <v>28226</v>
      </c>
      <c r="K4484" t="s">
        <v>28227</v>
      </c>
      <c r="L4484" t="s">
        <v>28221</v>
      </c>
    </row>
    <row r="4485" spans="1:12" x14ac:dyDescent="0.25">
      <c r="A4485">
        <v>816078</v>
      </c>
      <c r="B4485">
        <v>816093</v>
      </c>
      <c r="D4485">
        <v>1</v>
      </c>
      <c r="F4485">
        <v>839797</v>
      </c>
      <c r="G4485">
        <v>816078</v>
      </c>
      <c r="H4485" t="e" vm="102">
        <f>_FV(0,"034")</f>
        <v>#VALUE!</v>
      </c>
      <c r="I4485">
        <v>816093</v>
      </c>
      <c r="J4485" t="s">
        <v>1599</v>
      </c>
      <c r="K4485" t="s">
        <v>28228</v>
      </c>
      <c r="L4485" t="e" vm="102">
        <f>_FV(0,"034")</f>
        <v>#VALUE!</v>
      </c>
    </row>
    <row r="4486" spans="1:12" x14ac:dyDescent="0.25">
      <c r="A4486">
        <v>816086</v>
      </c>
      <c r="B4486">
        <v>816200</v>
      </c>
      <c r="D4486">
        <v>0</v>
      </c>
      <c r="F4486">
        <v>841176</v>
      </c>
      <c r="G4486">
        <v>816200</v>
      </c>
      <c r="H4486" t="e" vm="967">
        <f>_FV(0,"028")</f>
        <v>#VALUE!</v>
      </c>
      <c r="I4486">
        <v>816086</v>
      </c>
      <c r="J4486" t="s">
        <v>2704</v>
      </c>
      <c r="K4486" t="s">
        <v>28229</v>
      </c>
      <c r="L4486" t="e" vm="967">
        <f>_FV(0,"028")</f>
        <v>#VALUE!</v>
      </c>
    </row>
    <row r="4487" spans="1:12" x14ac:dyDescent="0.25">
      <c r="A4487">
        <v>816086</v>
      </c>
      <c r="B4487">
        <v>816096</v>
      </c>
      <c r="D4487">
        <v>0</v>
      </c>
      <c r="E4487" t="s">
        <v>28231</v>
      </c>
      <c r="F4487" t="s">
        <v>28232</v>
      </c>
      <c r="G4487" t="s">
        <v>28233</v>
      </c>
      <c r="H4487" t="e" vm="1950">
        <f>_FV(0,"01955767970693114")</f>
        <v>#VALUE!</v>
      </c>
      <c r="I4487" t="s">
        <v>28234</v>
      </c>
      <c r="J4487" t="s">
        <v>28235</v>
      </c>
      <c r="K4487" t="s">
        <v>28236</v>
      </c>
      <c r="L4487" t="s">
        <v>28230</v>
      </c>
    </row>
    <row r="4488" spans="1:12" x14ac:dyDescent="0.25">
      <c r="A4488">
        <v>816093</v>
      </c>
      <c r="B4488">
        <v>816104</v>
      </c>
      <c r="D4488">
        <v>0</v>
      </c>
      <c r="E4488" t="s">
        <v>28237</v>
      </c>
      <c r="F4488" t="s">
        <v>28238</v>
      </c>
      <c r="G4488" t="s">
        <v>28239</v>
      </c>
      <c r="H4488" t="e" vm="1951">
        <f>_FV(0,"015554152557197283")</f>
        <v>#VALUE!</v>
      </c>
      <c r="I4488" t="s">
        <v>28240</v>
      </c>
      <c r="J4488" t="s">
        <v>9351</v>
      </c>
      <c r="K4488" t="s">
        <v>28241</v>
      </c>
      <c r="L4488" t="s">
        <v>9346</v>
      </c>
    </row>
    <row r="4489" spans="1:12" x14ac:dyDescent="0.25">
      <c r="A4489">
        <v>816093</v>
      </c>
      <c r="B4489">
        <v>816117</v>
      </c>
      <c r="D4489">
        <v>0</v>
      </c>
      <c r="E4489" t="s">
        <v>28243</v>
      </c>
      <c r="F4489" t="s">
        <v>28244</v>
      </c>
      <c r="G4489" t="s">
        <v>28245</v>
      </c>
      <c r="H4489" t="s">
        <v>28246</v>
      </c>
      <c r="I4489" t="s">
        <v>28247</v>
      </c>
      <c r="J4489" t="s">
        <v>28248</v>
      </c>
      <c r="K4489" t="s">
        <v>28249</v>
      </c>
      <c r="L4489" t="s">
        <v>28242</v>
      </c>
    </row>
    <row r="4490" spans="1:12" x14ac:dyDescent="0.25">
      <c r="A4490">
        <v>816096</v>
      </c>
      <c r="B4490">
        <v>816213</v>
      </c>
      <c r="D4490">
        <v>0</v>
      </c>
      <c r="F4490">
        <v>841202</v>
      </c>
      <c r="G4490">
        <v>816096</v>
      </c>
      <c r="H4490" t="s">
        <v>2068</v>
      </c>
      <c r="I4490">
        <v>816213</v>
      </c>
      <c r="J4490" t="s">
        <v>2068</v>
      </c>
      <c r="K4490" t="s">
        <v>28250</v>
      </c>
      <c r="L4490" t="s">
        <v>2068</v>
      </c>
    </row>
    <row r="4491" spans="1:12" x14ac:dyDescent="0.25">
      <c r="A4491">
        <v>816104</v>
      </c>
      <c r="B4491">
        <v>816117</v>
      </c>
      <c r="D4491">
        <v>0</v>
      </c>
      <c r="E4491" t="s">
        <v>28252</v>
      </c>
      <c r="F4491" t="s">
        <v>28253</v>
      </c>
      <c r="G4491" t="s">
        <v>28254</v>
      </c>
      <c r="H4491" t="e" vm="1952">
        <f>_FV(0,"042632527180590137")</f>
        <v>#VALUE!</v>
      </c>
      <c r="I4491" t="s">
        <v>28255</v>
      </c>
      <c r="J4491" t="s">
        <v>28256</v>
      </c>
      <c r="K4491" t="s">
        <v>28257</v>
      </c>
      <c r="L4491" t="s">
        <v>28251</v>
      </c>
    </row>
    <row r="4492" spans="1:12" x14ac:dyDescent="0.25">
      <c r="A4492">
        <v>816167</v>
      </c>
      <c r="B4492">
        <v>816200</v>
      </c>
      <c r="D4492">
        <v>0</v>
      </c>
      <c r="E4492" t="s">
        <v>28259</v>
      </c>
      <c r="F4492" t="s">
        <v>28260</v>
      </c>
      <c r="G4492" t="s">
        <v>28261</v>
      </c>
      <c r="H4492" t="s">
        <v>28262</v>
      </c>
      <c r="I4492" t="s">
        <v>28263</v>
      </c>
      <c r="J4492" t="s">
        <v>28264</v>
      </c>
      <c r="K4492" t="s">
        <v>28265</v>
      </c>
      <c r="L4492" t="s">
        <v>28258</v>
      </c>
    </row>
    <row r="4493" spans="1:12" x14ac:dyDescent="0.25">
      <c r="A4493">
        <v>816167</v>
      </c>
      <c r="B4493">
        <v>816243</v>
      </c>
      <c r="D4493">
        <v>0</v>
      </c>
      <c r="E4493" t="s">
        <v>28267</v>
      </c>
      <c r="F4493" t="s">
        <v>28268</v>
      </c>
      <c r="G4493" t="s">
        <v>28269</v>
      </c>
      <c r="H4493" t="s">
        <v>28270</v>
      </c>
      <c r="I4493" t="s">
        <v>28271</v>
      </c>
      <c r="J4493" t="s">
        <v>28272</v>
      </c>
      <c r="K4493" t="s">
        <v>28273</v>
      </c>
      <c r="L4493" t="s">
        <v>28266</v>
      </c>
    </row>
    <row r="4494" spans="1:12" x14ac:dyDescent="0.25">
      <c r="A4494">
        <v>816200</v>
      </c>
      <c r="B4494">
        <v>816213</v>
      </c>
      <c r="D4494">
        <v>0</v>
      </c>
      <c r="E4494" t="s">
        <v>28275</v>
      </c>
      <c r="F4494" t="s">
        <v>28276</v>
      </c>
      <c r="G4494" t="s">
        <v>28277</v>
      </c>
      <c r="H4494" t="s">
        <v>28278</v>
      </c>
      <c r="I4494" t="s">
        <v>28279</v>
      </c>
      <c r="J4494" t="s">
        <v>28280</v>
      </c>
      <c r="K4494" t="s">
        <v>28281</v>
      </c>
      <c r="L4494" t="s">
        <v>28274</v>
      </c>
    </row>
    <row r="4495" spans="1:12" x14ac:dyDescent="0.25">
      <c r="A4495">
        <v>816213</v>
      </c>
      <c r="B4495">
        <v>816243</v>
      </c>
      <c r="D4495">
        <v>0</v>
      </c>
      <c r="E4495" t="s">
        <v>28283</v>
      </c>
      <c r="F4495" t="s">
        <v>28284</v>
      </c>
      <c r="G4495" t="s">
        <v>28285</v>
      </c>
      <c r="H4495" t="e" vm="1953">
        <f>_FV(0,"009016828889685488")</f>
        <v>#VALUE!</v>
      </c>
      <c r="I4495" t="s">
        <v>28286</v>
      </c>
      <c r="J4495" t="s">
        <v>28287</v>
      </c>
      <c r="K4495" t="s">
        <v>28288</v>
      </c>
      <c r="L4495" t="s">
        <v>28282</v>
      </c>
    </row>
    <row r="4496" spans="1:12" x14ac:dyDescent="0.25">
      <c r="A4496">
        <v>819028</v>
      </c>
      <c r="B4496">
        <v>819251</v>
      </c>
      <c r="D4496">
        <v>0</v>
      </c>
      <c r="E4496" t="s">
        <v>28290</v>
      </c>
      <c r="F4496" t="s">
        <v>28291</v>
      </c>
      <c r="G4496" t="s">
        <v>28292</v>
      </c>
      <c r="H4496" t="s">
        <v>28293</v>
      </c>
      <c r="I4496" t="s">
        <v>28294</v>
      </c>
      <c r="J4496" t="s">
        <v>28295</v>
      </c>
      <c r="K4496" t="s">
        <v>28296</v>
      </c>
      <c r="L4496" t="s">
        <v>28289</v>
      </c>
    </row>
    <row r="4497" spans="1:12" x14ac:dyDescent="0.25">
      <c r="A4497">
        <v>819028</v>
      </c>
      <c r="B4497">
        <v>819034</v>
      </c>
      <c r="D4497">
        <v>0</v>
      </c>
      <c r="E4497" t="s">
        <v>28298</v>
      </c>
      <c r="F4497" t="s">
        <v>28299</v>
      </c>
      <c r="G4497" t="s">
        <v>28300</v>
      </c>
      <c r="H4497" t="e" vm="1954">
        <f>_FV(0,"03540814154642376")</f>
        <v>#VALUE!</v>
      </c>
      <c r="I4497" t="s">
        <v>28301</v>
      </c>
      <c r="J4497" t="s">
        <v>28302</v>
      </c>
      <c r="K4497" t="s">
        <v>28303</v>
      </c>
      <c r="L4497" t="s">
        <v>28297</v>
      </c>
    </row>
    <row r="4498" spans="1:12" x14ac:dyDescent="0.25">
      <c r="A4498">
        <v>819028</v>
      </c>
      <c r="B4498">
        <v>1260406</v>
      </c>
      <c r="D4498" t="s">
        <v>10659</v>
      </c>
      <c r="E4498" t="s">
        <v>28305</v>
      </c>
      <c r="F4498" t="s">
        <v>28306</v>
      </c>
      <c r="G4498" t="s">
        <v>28307</v>
      </c>
      <c r="H4498" t="e" vm="1955">
        <f>_FV(0,"0034591609869545664")</f>
        <v>#VALUE!</v>
      </c>
      <c r="I4498" t="s">
        <v>28308</v>
      </c>
      <c r="J4498" t="s">
        <v>28309</v>
      </c>
      <c r="K4498" t="s">
        <v>28310</v>
      </c>
      <c r="L4498" t="s">
        <v>28304</v>
      </c>
    </row>
    <row r="4499" spans="1:12" x14ac:dyDescent="0.25">
      <c r="A4499">
        <v>819034</v>
      </c>
      <c r="B4499">
        <v>819307</v>
      </c>
      <c r="D4499">
        <v>0</v>
      </c>
      <c r="F4499">
        <v>843470</v>
      </c>
      <c r="G4499">
        <v>819307</v>
      </c>
      <c r="H4499" t="s">
        <v>3317</v>
      </c>
      <c r="I4499">
        <v>819034</v>
      </c>
      <c r="J4499" t="s">
        <v>3317</v>
      </c>
      <c r="K4499" t="s">
        <v>28311</v>
      </c>
      <c r="L4499" t="s">
        <v>3317</v>
      </c>
    </row>
    <row r="4500" spans="1:12" x14ac:dyDescent="0.25">
      <c r="A4500">
        <v>819034</v>
      </c>
      <c r="B4500">
        <v>819302</v>
      </c>
      <c r="D4500">
        <v>0</v>
      </c>
      <c r="E4500" t="s">
        <v>28313</v>
      </c>
      <c r="F4500" t="s">
        <v>28314</v>
      </c>
      <c r="G4500" t="s">
        <v>28315</v>
      </c>
      <c r="H4500" t="e" vm="1956">
        <f>_FV(0,"03292542441993474")</f>
        <v>#VALUE!</v>
      </c>
      <c r="I4500" t="s">
        <v>28316</v>
      </c>
      <c r="J4500" t="s">
        <v>28317</v>
      </c>
      <c r="K4500" t="s">
        <v>28318</v>
      </c>
      <c r="L4500" t="s">
        <v>28312</v>
      </c>
    </row>
    <row r="4501" spans="1:12" x14ac:dyDescent="0.25">
      <c r="A4501">
        <v>819075</v>
      </c>
      <c r="B4501">
        <v>819095</v>
      </c>
      <c r="D4501">
        <v>0</v>
      </c>
      <c r="E4501" t="s">
        <v>28320</v>
      </c>
      <c r="F4501" t="s">
        <v>28321</v>
      </c>
      <c r="G4501" t="s">
        <v>28322</v>
      </c>
      <c r="H4501" t="s">
        <v>28323</v>
      </c>
      <c r="I4501" t="s">
        <v>28324</v>
      </c>
      <c r="J4501" t="s">
        <v>28325</v>
      </c>
      <c r="K4501" t="s">
        <v>28326</v>
      </c>
      <c r="L4501" t="s">
        <v>28319</v>
      </c>
    </row>
    <row r="4502" spans="1:12" x14ac:dyDescent="0.25">
      <c r="A4502">
        <v>819075</v>
      </c>
      <c r="B4502">
        <v>819124</v>
      </c>
      <c r="D4502">
        <v>0</v>
      </c>
      <c r="E4502" t="s">
        <v>28328</v>
      </c>
      <c r="F4502" t="s">
        <v>28329</v>
      </c>
      <c r="G4502" t="s">
        <v>28330</v>
      </c>
      <c r="H4502" t="s">
        <v>28331</v>
      </c>
      <c r="I4502" t="s">
        <v>28332</v>
      </c>
      <c r="J4502" t="s">
        <v>28327</v>
      </c>
      <c r="K4502" t="s">
        <v>28333</v>
      </c>
      <c r="L4502" t="s">
        <v>28327</v>
      </c>
    </row>
    <row r="4503" spans="1:12" x14ac:dyDescent="0.25">
      <c r="A4503">
        <v>819075</v>
      </c>
      <c r="B4503">
        <v>1260580</v>
      </c>
      <c r="D4503" t="s">
        <v>9074</v>
      </c>
      <c r="E4503" t="s">
        <v>28335</v>
      </c>
      <c r="F4503" t="s">
        <v>28336</v>
      </c>
      <c r="G4503" t="s">
        <v>28337</v>
      </c>
      <c r="H4503" t="e" vm="1957">
        <f>_FV(0,"0029992398938935854")</f>
        <v>#VALUE!</v>
      </c>
      <c r="I4503" t="s">
        <v>28338</v>
      </c>
      <c r="J4503" t="s">
        <v>28339</v>
      </c>
      <c r="K4503" t="s">
        <v>28340</v>
      </c>
      <c r="L4503" t="s">
        <v>28334</v>
      </c>
    </row>
    <row r="4504" spans="1:12" x14ac:dyDescent="0.25">
      <c r="A4504">
        <v>819095</v>
      </c>
      <c r="B4504">
        <v>819432</v>
      </c>
      <c r="D4504" t="s">
        <v>28342</v>
      </c>
      <c r="E4504" t="s">
        <v>28343</v>
      </c>
      <c r="F4504" t="s">
        <v>28344</v>
      </c>
      <c r="G4504" t="s">
        <v>28345</v>
      </c>
      <c r="H4504" t="e" vm="1958">
        <f>_FV(0,"018838095952892608")</f>
        <v>#VALUE!</v>
      </c>
      <c r="I4504" t="s">
        <v>28346</v>
      </c>
      <c r="J4504" t="s">
        <v>28347</v>
      </c>
      <c r="K4504" t="s">
        <v>28348</v>
      </c>
      <c r="L4504" t="s">
        <v>28341</v>
      </c>
    </row>
    <row r="4505" spans="1:12" x14ac:dyDescent="0.25">
      <c r="A4505">
        <v>819095</v>
      </c>
      <c r="B4505">
        <v>819161</v>
      </c>
      <c r="D4505">
        <v>0</v>
      </c>
      <c r="E4505" t="s">
        <v>28350</v>
      </c>
      <c r="F4505" t="s">
        <v>28351</v>
      </c>
      <c r="G4505" t="s">
        <v>28352</v>
      </c>
      <c r="H4505" t="e" vm="1959">
        <f>_FV(0,"00963034317184038")</f>
        <v>#VALUE!</v>
      </c>
      <c r="I4505" t="s">
        <v>28353</v>
      </c>
      <c r="J4505" t="s">
        <v>28354</v>
      </c>
      <c r="K4505" t="s">
        <v>28355</v>
      </c>
      <c r="L4505" t="s">
        <v>28349</v>
      </c>
    </row>
    <row r="4506" spans="1:12" x14ac:dyDescent="0.25">
      <c r="A4506">
        <v>819124</v>
      </c>
      <c r="B4506">
        <v>819161</v>
      </c>
      <c r="D4506">
        <v>0</v>
      </c>
      <c r="E4506" t="s">
        <v>28357</v>
      </c>
      <c r="F4506" t="s">
        <v>28358</v>
      </c>
      <c r="G4506" t="s">
        <v>28359</v>
      </c>
      <c r="H4506" t="s">
        <v>28360</v>
      </c>
      <c r="I4506" t="s">
        <v>28361</v>
      </c>
      <c r="J4506" t="s">
        <v>28362</v>
      </c>
      <c r="K4506" t="s">
        <v>28363</v>
      </c>
      <c r="L4506" t="s">
        <v>28356</v>
      </c>
    </row>
    <row r="4507" spans="1:12" x14ac:dyDescent="0.25">
      <c r="A4507">
        <v>819124</v>
      </c>
      <c r="B4507">
        <v>819178</v>
      </c>
      <c r="D4507">
        <v>0</v>
      </c>
      <c r="F4507">
        <v>843329</v>
      </c>
      <c r="G4507">
        <v>819124</v>
      </c>
      <c r="H4507" t="e" vm="493">
        <f>_FV(0,"025")</f>
        <v>#VALUE!</v>
      </c>
      <c r="I4507">
        <v>819178</v>
      </c>
      <c r="J4507" t="s">
        <v>899</v>
      </c>
      <c r="K4507" t="s">
        <v>28364</v>
      </c>
      <c r="L4507" t="e" vm="493">
        <f>_FV(0,"025")</f>
        <v>#VALUE!</v>
      </c>
    </row>
    <row r="4508" spans="1:12" x14ac:dyDescent="0.25">
      <c r="A4508">
        <v>819161</v>
      </c>
      <c r="B4508">
        <v>819163</v>
      </c>
      <c r="D4508">
        <v>0</v>
      </c>
      <c r="F4508">
        <v>843305</v>
      </c>
      <c r="G4508">
        <v>819163</v>
      </c>
      <c r="H4508" t="e" vm="62">
        <f>_FV(0,"008")</f>
        <v>#VALUE!</v>
      </c>
      <c r="I4508">
        <v>819161</v>
      </c>
      <c r="J4508" t="s">
        <v>241</v>
      </c>
      <c r="K4508" t="s">
        <v>28365</v>
      </c>
      <c r="L4508" t="e" vm="62">
        <f>_FV(0,"008")</f>
        <v>#VALUE!</v>
      </c>
    </row>
    <row r="4509" spans="1:12" x14ac:dyDescent="0.25">
      <c r="A4509">
        <v>819163</v>
      </c>
      <c r="B4509">
        <v>819178</v>
      </c>
      <c r="D4509">
        <v>0</v>
      </c>
      <c r="E4509" t="s">
        <v>28367</v>
      </c>
      <c r="F4509" t="s">
        <v>28368</v>
      </c>
      <c r="G4509" t="s">
        <v>28369</v>
      </c>
      <c r="H4509" t="e" vm="1960">
        <f>_FV(0,"028675002154901544")</f>
        <v>#VALUE!</v>
      </c>
      <c r="I4509" t="s">
        <v>28370</v>
      </c>
      <c r="J4509" t="s">
        <v>616</v>
      </c>
      <c r="K4509" t="s">
        <v>28371</v>
      </c>
      <c r="L4509" t="s">
        <v>28366</v>
      </c>
    </row>
    <row r="4510" spans="1:12" x14ac:dyDescent="0.25">
      <c r="A4510">
        <v>819163</v>
      </c>
      <c r="B4510">
        <v>1260726</v>
      </c>
      <c r="D4510">
        <v>0</v>
      </c>
      <c r="E4510" t="s">
        <v>28373</v>
      </c>
      <c r="F4510" t="s">
        <v>28374</v>
      </c>
      <c r="G4510" t="s">
        <v>28375</v>
      </c>
      <c r="H4510" t="s">
        <v>28376</v>
      </c>
      <c r="I4510" t="s">
        <v>28377</v>
      </c>
      <c r="J4510" t="s">
        <v>28378</v>
      </c>
      <c r="K4510" t="s">
        <v>28379</v>
      </c>
      <c r="L4510" t="s">
        <v>28372</v>
      </c>
    </row>
    <row r="4511" spans="1:12" x14ac:dyDescent="0.25">
      <c r="A4511">
        <v>819178</v>
      </c>
      <c r="B4511">
        <v>1260726</v>
      </c>
      <c r="D4511">
        <v>0</v>
      </c>
      <c r="E4511" t="s">
        <v>28380</v>
      </c>
      <c r="F4511" t="s">
        <v>28381</v>
      </c>
      <c r="G4511" t="s">
        <v>28382</v>
      </c>
      <c r="H4511" t="s">
        <v>1629</v>
      </c>
      <c r="I4511" t="s">
        <v>28383</v>
      </c>
      <c r="J4511" t="s">
        <v>1629</v>
      </c>
      <c r="K4511" t="s">
        <v>28384</v>
      </c>
      <c r="L4511" t="s">
        <v>1629</v>
      </c>
    </row>
    <row r="4512" spans="1:12" x14ac:dyDescent="0.25">
      <c r="A4512">
        <v>819251</v>
      </c>
      <c r="B4512">
        <v>819544</v>
      </c>
      <c r="C4512" t="s">
        <v>28386</v>
      </c>
      <c r="D4512" t="s">
        <v>28387</v>
      </c>
      <c r="E4512" t="s">
        <v>28388</v>
      </c>
      <c r="F4512" t="s">
        <v>28389</v>
      </c>
      <c r="G4512" t="s">
        <v>28390</v>
      </c>
      <c r="H4512" t="e" vm="1961">
        <f>_FV(0,"019689069494461562")</f>
        <v>#VALUE!</v>
      </c>
      <c r="I4512" t="s">
        <v>28391</v>
      </c>
      <c r="J4512" t="s">
        <v>28392</v>
      </c>
      <c r="K4512" t="s">
        <v>28393</v>
      </c>
      <c r="L4512" t="s">
        <v>28385</v>
      </c>
    </row>
    <row r="4513" spans="1:12" x14ac:dyDescent="0.25">
      <c r="A4513">
        <v>819251</v>
      </c>
      <c r="B4513">
        <v>819302</v>
      </c>
      <c r="D4513">
        <v>0</v>
      </c>
      <c r="E4513" t="s">
        <v>28395</v>
      </c>
      <c r="F4513" t="s">
        <v>28396</v>
      </c>
      <c r="G4513" t="s">
        <v>28397</v>
      </c>
      <c r="H4513" t="s">
        <v>28398</v>
      </c>
      <c r="I4513" t="s">
        <v>28399</v>
      </c>
      <c r="J4513" t="s">
        <v>28400</v>
      </c>
      <c r="K4513" t="s">
        <v>28401</v>
      </c>
      <c r="L4513" t="s">
        <v>28394</v>
      </c>
    </row>
    <row r="4514" spans="1:12" x14ac:dyDescent="0.25">
      <c r="A4514">
        <v>819301</v>
      </c>
      <c r="B4514">
        <v>819302</v>
      </c>
      <c r="D4514">
        <v>0</v>
      </c>
      <c r="F4514">
        <v>843461</v>
      </c>
      <c r="G4514">
        <v>819302</v>
      </c>
      <c r="H4514" t="s">
        <v>5410</v>
      </c>
      <c r="I4514">
        <v>819301</v>
      </c>
      <c r="J4514" t="s">
        <v>5410</v>
      </c>
      <c r="K4514" t="s">
        <v>28402</v>
      </c>
      <c r="L4514" t="s">
        <v>5410</v>
      </c>
    </row>
    <row r="4515" spans="1:12" x14ac:dyDescent="0.25">
      <c r="A4515">
        <v>819301</v>
      </c>
      <c r="B4515">
        <v>819307</v>
      </c>
      <c r="D4515">
        <v>0</v>
      </c>
      <c r="E4515" t="s">
        <v>28404</v>
      </c>
      <c r="F4515" t="s">
        <v>28405</v>
      </c>
      <c r="G4515" t="s">
        <v>28406</v>
      </c>
      <c r="H4515" t="s">
        <v>28407</v>
      </c>
      <c r="I4515" t="s">
        <v>28408</v>
      </c>
      <c r="J4515" t="s">
        <v>28403</v>
      </c>
      <c r="K4515" t="s">
        <v>28409</v>
      </c>
      <c r="L4515" t="s">
        <v>28403</v>
      </c>
    </row>
    <row r="4516" spans="1:12" x14ac:dyDescent="0.25">
      <c r="A4516">
        <v>819301</v>
      </c>
      <c r="B4516">
        <v>1260715</v>
      </c>
      <c r="D4516">
        <v>0</v>
      </c>
      <c r="E4516" t="s">
        <v>28411</v>
      </c>
      <c r="F4516" t="s">
        <v>28412</v>
      </c>
      <c r="G4516" t="s">
        <v>28413</v>
      </c>
      <c r="H4516" t="s">
        <v>28414</v>
      </c>
      <c r="I4516" t="s">
        <v>28415</v>
      </c>
      <c r="J4516" t="s">
        <v>28410</v>
      </c>
      <c r="K4516" t="s">
        <v>28416</v>
      </c>
      <c r="L4516" t="s">
        <v>28410</v>
      </c>
    </row>
    <row r="4517" spans="1:12" x14ac:dyDescent="0.25">
      <c r="A4517">
        <v>819307</v>
      </c>
      <c r="B4517">
        <v>1260715</v>
      </c>
      <c r="D4517">
        <v>0</v>
      </c>
      <c r="E4517" t="s">
        <v>28418</v>
      </c>
      <c r="F4517" t="s">
        <v>28419</v>
      </c>
      <c r="G4517" t="s">
        <v>28420</v>
      </c>
      <c r="H4517" t="s">
        <v>28421</v>
      </c>
      <c r="I4517" t="s">
        <v>28422</v>
      </c>
      <c r="J4517" t="s">
        <v>28423</v>
      </c>
      <c r="K4517" t="s">
        <v>28424</v>
      </c>
      <c r="L4517" t="s">
        <v>28417</v>
      </c>
    </row>
    <row r="4518" spans="1:12" x14ac:dyDescent="0.25">
      <c r="A4518">
        <v>819335</v>
      </c>
      <c r="B4518">
        <v>1853899</v>
      </c>
      <c r="D4518" t="s">
        <v>7856</v>
      </c>
      <c r="E4518" t="s">
        <v>28426</v>
      </c>
      <c r="F4518" t="s">
        <v>28427</v>
      </c>
      <c r="G4518" t="s">
        <v>28428</v>
      </c>
      <c r="H4518" t="s">
        <v>28429</v>
      </c>
      <c r="I4518" t="s">
        <v>28430</v>
      </c>
      <c r="J4518" t="s">
        <v>28431</v>
      </c>
      <c r="K4518" t="s">
        <v>28432</v>
      </c>
      <c r="L4518" t="s">
        <v>28425</v>
      </c>
    </row>
    <row r="4519" spans="1:12" x14ac:dyDescent="0.25">
      <c r="A4519">
        <v>819335</v>
      </c>
      <c r="B4519">
        <v>819534</v>
      </c>
      <c r="D4519">
        <v>0</v>
      </c>
      <c r="E4519" t="s">
        <v>28434</v>
      </c>
      <c r="F4519" t="s">
        <v>28435</v>
      </c>
      <c r="G4519" t="s">
        <v>28436</v>
      </c>
      <c r="H4519" t="e" vm="1962">
        <f>_FV(0,"06795163259311725")</f>
        <v>#VALUE!</v>
      </c>
      <c r="I4519" t="s">
        <v>28437</v>
      </c>
      <c r="J4519" t="s">
        <v>28438</v>
      </c>
      <c r="K4519" t="s">
        <v>28439</v>
      </c>
      <c r="L4519" t="s">
        <v>28433</v>
      </c>
    </row>
    <row r="4520" spans="1:12" x14ac:dyDescent="0.25">
      <c r="A4520">
        <v>819335</v>
      </c>
      <c r="B4520">
        <v>819432</v>
      </c>
      <c r="D4520" t="s">
        <v>514</v>
      </c>
      <c r="E4520" t="s">
        <v>28441</v>
      </c>
      <c r="F4520" t="s">
        <v>28442</v>
      </c>
      <c r="G4520" t="s">
        <v>28443</v>
      </c>
      <c r="H4520" t="s">
        <v>28444</v>
      </c>
      <c r="I4520" t="s">
        <v>28445</v>
      </c>
      <c r="J4520" t="s">
        <v>28440</v>
      </c>
      <c r="K4520" t="s">
        <v>28446</v>
      </c>
      <c r="L4520" t="s">
        <v>28440</v>
      </c>
    </row>
    <row r="4521" spans="1:12" x14ac:dyDescent="0.25">
      <c r="A4521">
        <v>819432</v>
      </c>
      <c r="B4521">
        <v>1853899</v>
      </c>
      <c r="D4521" t="s">
        <v>28448</v>
      </c>
      <c r="E4521" t="s">
        <v>28449</v>
      </c>
      <c r="F4521" t="s">
        <v>28450</v>
      </c>
      <c r="G4521" t="s">
        <v>28451</v>
      </c>
      <c r="H4521" t="s">
        <v>28452</v>
      </c>
      <c r="I4521" t="s">
        <v>28453</v>
      </c>
      <c r="J4521" t="s">
        <v>28447</v>
      </c>
      <c r="K4521" t="s">
        <v>28454</v>
      </c>
      <c r="L4521" t="s">
        <v>28447</v>
      </c>
    </row>
    <row r="4522" spans="1:12" x14ac:dyDescent="0.25">
      <c r="A4522">
        <v>819534</v>
      </c>
      <c r="B4522">
        <v>819536</v>
      </c>
      <c r="D4522">
        <v>0</v>
      </c>
      <c r="E4522" t="s">
        <v>28455</v>
      </c>
      <c r="F4522" t="s">
        <v>28456</v>
      </c>
      <c r="G4522" t="s">
        <v>28457</v>
      </c>
      <c r="H4522" t="e" vm="1963">
        <f>_FV(0,"10787387336017104")</f>
        <v>#VALUE!</v>
      </c>
      <c r="I4522" t="s">
        <v>28458</v>
      </c>
      <c r="J4522" t="s">
        <v>6481</v>
      </c>
      <c r="K4522" t="s">
        <v>28459</v>
      </c>
      <c r="L4522" t="s">
        <v>6476</v>
      </c>
    </row>
    <row r="4523" spans="1:12" x14ac:dyDescent="0.25">
      <c r="A4523">
        <v>819534</v>
      </c>
      <c r="B4523">
        <v>819538</v>
      </c>
      <c r="D4523">
        <v>0</v>
      </c>
      <c r="E4523" t="s">
        <v>28461</v>
      </c>
      <c r="F4523" t="s">
        <v>28462</v>
      </c>
      <c r="G4523" t="s">
        <v>28463</v>
      </c>
      <c r="H4523" t="e" vm="1964">
        <f>_FV(0,"11332488704255197")</f>
        <v>#VALUE!</v>
      </c>
      <c r="I4523" t="s">
        <v>28464</v>
      </c>
      <c r="J4523" t="s">
        <v>28465</v>
      </c>
      <c r="K4523" t="s">
        <v>28466</v>
      </c>
      <c r="L4523" t="s">
        <v>28460</v>
      </c>
    </row>
    <row r="4524" spans="1:12" x14ac:dyDescent="0.25">
      <c r="A4524">
        <v>819536</v>
      </c>
      <c r="B4524">
        <v>819545</v>
      </c>
      <c r="D4524">
        <v>0</v>
      </c>
      <c r="E4524" t="s">
        <v>28468</v>
      </c>
      <c r="F4524" t="s">
        <v>28469</v>
      </c>
      <c r="G4524" t="s">
        <v>28470</v>
      </c>
      <c r="H4524" t="e" vm="1965">
        <f>_FV(0,"028083593275068045")</f>
        <v>#VALUE!</v>
      </c>
      <c r="I4524" t="s">
        <v>28471</v>
      </c>
      <c r="J4524" t="s">
        <v>28472</v>
      </c>
      <c r="K4524" t="s">
        <v>28473</v>
      </c>
      <c r="L4524" t="s">
        <v>28467</v>
      </c>
    </row>
    <row r="4525" spans="1:12" x14ac:dyDescent="0.25">
      <c r="A4525">
        <v>819536</v>
      </c>
      <c r="B4525">
        <v>819538</v>
      </c>
      <c r="D4525">
        <v>0</v>
      </c>
      <c r="E4525" t="s">
        <v>28475</v>
      </c>
      <c r="F4525" t="s">
        <v>28476</v>
      </c>
      <c r="G4525" t="s">
        <v>28477</v>
      </c>
      <c r="H4525" t="e" vm="1966">
        <f>_FV(0,"009904363753566583")</f>
        <v>#VALUE!</v>
      </c>
      <c r="I4525" t="s">
        <v>28478</v>
      </c>
      <c r="J4525" t="s">
        <v>28479</v>
      </c>
      <c r="K4525" t="s">
        <v>28480</v>
      </c>
      <c r="L4525" t="s">
        <v>28474</v>
      </c>
    </row>
    <row r="4526" spans="1:12" x14ac:dyDescent="0.25">
      <c r="A4526">
        <v>819538</v>
      </c>
      <c r="B4526">
        <v>819730</v>
      </c>
      <c r="D4526">
        <v>0</v>
      </c>
      <c r="F4526">
        <v>843972</v>
      </c>
      <c r="G4526">
        <v>819538</v>
      </c>
      <c r="H4526" t="s">
        <v>19206</v>
      </c>
      <c r="I4526">
        <v>819730</v>
      </c>
      <c r="J4526" t="s">
        <v>19206</v>
      </c>
      <c r="K4526" t="s">
        <v>28481</v>
      </c>
      <c r="L4526" t="s">
        <v>19206</v>
      </c>
    </row>
    <row r="4527" spans="1:12" x14ac:dyDescent="0.25">
      <c r="A4527">
        <v>819544</v>
      </c>
      <c r="B4527">
        <v>1853895</v>
      </c>
      <c r="D4527" t="s">
        <v>28483</v>
      </c>
      <c r="E4527" t="s">
        <v>28484</v>
      </c>
      <c r="F4527" t="s">
        <v>28485</v>
      </c>
      <c r="G4527" t="s">
        <v>28486</v>
      </c>
      <c r="H4527" t="s">
        <v>28487</v>
      </c>
      <c r="I4527" t="s">
        <v>28488</v>
      </c>
      <c r="J4527" t="s">
        <v>28482</v>
      </c>
      <c r="K4527" t="s">
        <v>28489</v>
      </c>
      <c r="L4527" t="s">
        <v>28482</v>
      </c>
    </row>
    <row r="4528" spans="1:12" x14ac:dyDescent="0.25">
      <c r="A4528">
        <v>819544</v>
      </c>
      <c r="B4528">
        <v>819545</v>
      </c>
      <c r="D4528" t="s">
        <v>514</v>
      </c>
      <c r="E4528" t="s">
        <v>28491</v>
      </c>
      <c r="F4528" t="s">
        <v>28492</v>
      </c>
      <c r="G4528" t="s">
        <v>28493</v>
      </c>
      <c r="H4528" t="e" vm="1967">
        <f>_FV(0,"02799878480663626")</f>
        <v>#VALUE!</v>
      </c>
      <c r="I4528" t="s">
        <v>28494</v>
      </c>
      <c r="J4528" t="s">
        <v>28495</v>
      </c>
      <c r="K4528" t="s">
        <v>28496</v>
      </c>
      <c r="L4528" t="s">
        <v>28490</v>
      </c>
    </row>
    <row r="4529" spans="1:12" x14ac:dyDescent="0.25">
      <c r="A4529">
        <v>819545</v>
      </c>
      <c r="B4529">
        <v>819730</v>
      </c>
      <c r="D4529">
        <v>0</v>
      </c>
      <c r="F4529">
        <v>843963</v>
      </c>
      <c r="G4529">
        <v>819730</v>
      </c>
      <c r="H4529" t="s">
        <v>6014</v>
      </c>
      <c r="I4529">
        <v>819545</v>
      </c>
      <c r="J4529" t="s">
        <v>6014</v>
      </c>
      <c r="K4529" t="s">
        <v>28497</v>
      </c>
      <c r="L4529" t="s">
        <v>6014</v>
      </c>
    </row>
    <row r="4530" spans="1:12" x14ac:dyDescent="0.25">
      <c r="A4530">
        <v>819730</v>
      </c>
      <c r="B4530">
        <v>1853895</v>
      </c>
      <c r="D4530" t="s">
        <v>2086</v>
      </c>
      <c r="E4530" t="s">
        <v>28499</v>
      </c>
      <c r="F4530" t="s">
        <v>28500</v>
      </c>
      <c r="G4530" t="s">
        <v>28501</v>
      </c>
      <c r="H4530" t="e" vm="1968">
        <f>_FV(0,"05234483457278042")</f>
        <v>#VALUE!</v>
      </c>
      <c r="I4530" t="s">
        <v>28502</v>
      </c>
      <c r="J4530" t="s">
        <v>28503</v>
      </c>
      <c r="K4530" t="s">
        <v>28504</v>
      </c>
      <c r="L4530" t="s">
        <v>28498</v>
      </c>
    </row>
    <row r="4531" spans="1:12" x14ac:dyDescent="0.25">
      <c r="A4531">
        <v>819756</v>
      </c>
      <c r="B4531">
        <v>1655933</v>
      </c>
      <c r="D4531">
        <v>0</v>
      </c>
      <c r="E4531" t="s">
        <v>28506</v>
      </c>
      <c r="F4531" t="s">
        <v>28507</v>
      </c>
      <c r="G4531" t="s">
        <v>28508</v>
      </c>
      <c r="H4531" t="s">
        <v>28509</v>
      </c>
      <c r="I4531" t="s">
        <v>28510</v>
      </c>
      <c r="J4531" t="s">
        <v>28511</v>
      </c>
      <c r="K4531" t="s">
        <v>28512</v>
      </c>
      <c r="L4531" t="s">
        <v>28505</v>
      </c>
    </row>
    <row r="4532" spans="1:12" x14ac:dyDescent="0.25">
      <c r="A4532">
        <v>819756</v>
      </c>
      <c r="B4532">
        <v>982932</v>
      </c>
      <c r="D4532">
        <v>0</v>
      </c>
      <c r="E4532" t="s">
        <v>28514</v>
      </c>
      <c r="F4532" t="s">
        <v>28515</v>
      </c>
      <c r="G4532" t="s">
        <v>28516</v>
      </c>
      <c r="H4532" t="e" vm="1969">
        <f>_FV(-1,"5719448473209454")</f>
        <v>#VALUE!</v>
      </c>
      <c r="I4532" t="s">
        <v>28517</v>
      </c>
      <c r="J4532" t="s">
        <v>28518</v>
      </c>
      <c r="K4532" t="s">
        <v>28519</v>
      </c>
      <c r="L4532" t="s">
        <v>28513</v>
      </c>
    </row>
    <row r="4533" spans="1:12" x14ac:dyDescent="0.25">
      <c r="A4533">
        <v>819756</v>
      </c>
      <c r="B4533">
        <v>819821</v>
      </c>
      <c r="D4533">
        <v>0</v>
      </c>
      <c r="E4533" t="s">
        <v>28521</v>
      </c>
      <c r="F4533" t="s">
        <v>28522</v>
      </c>
      <c r="G4533" t="s">
        <v>28523</v>
      </c>
      <c r="H4533" t="e" vm="1970">
        <f>_FV(0,"15733020485867605")</f>
        <v>#VALUE!</v>
      </c>
      <c r="I4533" t="s">
        <v>28524</v>
      </c>
      <c r="J4533" t="s">
        <v>28525</v>
      </c>
      <c r="K4533" t="s">
        <v>28526</v>
      </c>
      <c r="L4533" t="s">
        <v>28520</v>
      </c>
    </row>
    <row r="4534" spans="1:12" x14ac:dyDescent="0.25">
      <c r="A4534">
        <v>819821</v>
      </c>
      <c r="B4534">
        <v>1655933</v>
      </c>
      <c r="D4534">
        <v>0</v>
      </c>
      <c r="E4534" t="s">
        <v>28528</v>
      </c>
      <c r="F4534" t="s">
        <v>28529</v>
      </c>
      <c r="G4534" t="s">
        <v>28530</v>
      </c>
      <c r="H4534" t="s">
        <v>28531</v>
      </c>
      <c r="I4534" t="s">
        <v>28532</v>
      </c>
      <c r="J4534" t="s">
        <v>28533</v>
      </c>
      <c r="K4534" t="s">
        <v>28534</v>
      </c>
      <c r="L4534" t="s">
        <v>28527</v>
      </c>
    </row>
    <row r="4535" spans="1:12" x14ac:dyDescent="0.25">
      <c r="A4535">
        <v>819821</v>
      </c>
      <c r="B4535">
        <v>982902</v>
      </c>
      <c r="D4535">
        <v>0</v>
      </c>
      <c r="F4535">
        <v>1028442</v>
      </c>
      <c r="G4535">
        <v>819821</v>
      </c>
      <c r="H4535" t="s">
        <v>28535</v>
      </c>
      <c r="I4535">
        <v>982902</v>
      </c>
      <c r="J4535" t="s">
        <v>28535</v>
      </c>
      <c r="K4535" t="s">
        <v>28536</v>
      </c>
      <c r="L4535" t="s">
        <v>28535</v>
      </c>
    </row>
    <row r="4536" spans="1:12" x14ac:dyDescent="0.25">
      <c r="A4536">
        <v>821947</v>
      </c>
      <c r="B4536">
        <v>821955</v>
      </c>
      <c r="D4536">
        <v>0</v>
      </c>
      <c r="E4536" t="s">
        <v>28538</v>
      </c>
      <c r="F4536" t="s">
        <v>28539</v>
      </c>
      <c r="G4536" t="s">
        <v>28540</v>
      </c>
      <c r="H4536" t="s">
        <v>28541</v>
      </c>
      <c r="I4536" t="s">
        <v>28542</v>
      </c>
      <c r="J4536" t="s">
        <v>28543</v>
      </c>
      <c r="K4536" t="s">
        <v>28544</v>
      </c>
      <c r="L4536" t="s">
        <v>28537</v>
      </c>
    </row>
    <row r="4537" spans="1:12" x14ac:dyDescent="0.25">
      <c r="A4537">
        <v>821947</v>
      </c>
      <c r="B4537">
        <v>822035</v>
      </c>
      <c r="D4537">
        <v>0</v>
      </c>
      <c r="E4537" t="s">
        <v>28546</v>
      </c>
      <c r="F4537" t="s">
        <v>28547</v>
      </c>
      <c r="G4537" t="s">
        <v>28548</v>
      </c>
      <c r="H4537" t="e" vm="1971">
        <f>_FV(0,"014820018795578179")</f>
        <v>#VALUE!</v>
      </c>
      <c r="I4537" t="s">
        <v>28549</v>
      </c>
      <c r="J4537" t="s">
        <v>8398</v>
      </c>
      <c r="K4537" t="s">
        <v>28550</v>
      </c>
      <c r="L4537" t="s">
        <v>28545</v>
      </c>
    </row>
    <row r="4538" spans="1:12" x14ac:dyDescent="0.25">
      <c r="A4538">
        <v>821947</v>
      </c>
      <c r="B4538">
        <v>821962</v>
      </c>
      <c r="D4538">
        <v>0</v>
      </c>
      <c r="E4538" t="s">
        <v>28552</v>
      </c>
      <c r="F4538" t="s">
        <v>28553</v>
      </c>
      <c r="G4538" t="s">
        <v>28554</v>
      </c>
      <c r="H4538" t="e" vm="1972">
        <f>_FV(0,"007291880758127572")</f>
        <v>#VALUE!</v>
      </c>
      <c r="I4538" t="s">
        <v>28555</v>
      </c>
      <c r="J4538" t="s">
        <v>28556</v>
      </c>
      <c r="K4538" t="s">
        <v>28557</v>
      </c>
      <c r="L4538" t="s">
        <v>28551</v>
      </c>
    </row>
    <row r="4539" spans="1:12" x14ac:dyDescent="0.25">
      <c r="A4539">
        <v>821955</v>
      </c>
      <c r="B4539">
        <v>821961</v>
      </c>
      <c r="D4539">
        <v>0</v>
      </c>
      <c r="F4539">
        <v>846609</v>
      </c>
      <c r="G4539">
        <v>821961</v>
      </c>
      <c r="H4539" t="s">
        <v>922</v>
      </c>
      <c r="I4539">
        <v>821955</v>
      </c>
      <c r="J4539" t="s">
        <v>922</v>
      </c>
      <c r="K4539" t="s">
        <v>28558</v>
      </c>
      <c r="L4539" t="s">
        <v>922</v>
      </c>
    </row>
    <row r="4540" spans="1:12" x14ac:dyDescent="0.25">
      <c r="A4540">
        <v>821955</v>
      </c>
      <c r="B4540">
        <v>822035</v>
      </c>
      <c r="D4540">
        <v>0</v>
      </c>
      <c r="E4540" t="s">
        <v>28559</v>
      </c>
      <c r="F4540" t="s">
        <v>28560</v>
      </c>
      <c r="G4540" t="s">
        <v>28561</v>
      </c>
      <c r="H4540" t="e" vm="47">
        <f>_FV(0,"016")</f>
        <v>#VALUE!</v>
      </c>
      <c r="I4540" t="s">
        <v>28562</v>
      </c>
      <c r="J4540" t="s">
        <v>737</v>
      </c>
      <c r="K4540" t="s">
        <v>28563</v>
      </c>
      <c r="L4540" t="e" vm="47">
        <f>_FV(0,"016")</f>
        <v>#VALUE!</v>
      </c>
    </row>
    <row r="4541" spans="1:12" x14ac:dyDescent="0.25">
      <c r="A4541">
        <v>821961</v>
      </c>
      <c r="B4541">
        <v>821962</v>
      </c>
      <c r="D4541">
        <v>0</v>
      </c>
      <c r="F4541">
        <v>846610</v>
      </c>
      <c r="G4541">
        <v>821962</v>
      </c>
      <c r="H4541" t="s">
        <v>6474</v>
      </c>
      <c r="I4541">
        <v>821961</v>
      </c>
      <c r="J4541" t="s">
        <v>6474</v>
      </c>
      <c r="K4541" t="s">
        <v>28564</v>
      </c>
      <c r="L4541" t="s">
        <v>6474</v>
      </c>
    </row>
    <row r="4542" spans="1:12" x14ac:dyDescent="0.25">
      <c r="A4542">
        <v>822354</v>
      </c>
      <c r="B4542">
        <v>822430</v>
      </c>
      <c r="D4542">
        <v>0</v>
      </c>
      <c r="E4542" t="s">
        <v>28566</v>
      </c>
      <c r="F4542" t="s">
        <v>28567</v>
      </c>
      <c r="G4542" t="s">
        <v>28568</v>
      </c>
      <c r="H4542" t="e" vm="1973">
        <f>_FV(0,"017855611635468685")</f>
        <v>#VALUE!</v>
      </c>
      <c r="I4542" t="s">
        <v>28569</v>
      </c>
      <c r="J4542" t="s">
        <v>28570</v>
      </c>
      <c r="K4542" t="s">
        <v>28571</v>
      </c>
      <c r="L4542" t="s">
        <v>28565</v>
      </c>
    </row>
    <row r="4543" spans="1:12" x14ac:dyDescent="0.25">
      <c r="A4543">
        <v>822354</v>
      </c>
      <c r="B4543">
        <v>822430</v>
      </c>
      <c r="D4543">
        <v>0</v>
      </c>
      <c r="E4543" t="s">
        <v>28573</v>
      </c>
      <c r="F4543" t="s">
        <v>28574</v>
      </c>
      <c r="G4543" t="s">
        <v>28575</v>
      </c>
      <c r="H4543" t="e" vm="1974">
        <f>_FV(0,"018132330550290406")</f>
        <v>#VALUE!</v>
      </c>
      <c r="I4543" t="s">
        <v>28576</v>
      </c>
      <c r="J4543" t="s">
        <v>28577</v>
      </c>
      <c r="K4543" t="s">
        <v>28578</v>
      </c>
      <c r="L4543" t="s">
        <v>28572</v>
      </c>
    </row>
    <row r="4544" spans="1:12" x14ac:dyDescent="0.25">
      <c r="A4544">
        <v>822354</v>
      </c>
      <c r="B4544">
        <v>941238</v>
      </c>
      <c r="C4544" t="s">
        <v>28580</v>
      </c>
      <c r="D4544">
        <v>0</v>
      </c>
      <c r="E4544" t="s">
        <v>28581</v>
      </c>
      <c r="F4544" t="s">
        <v>28582</v>
      </c>
      <c r="G4544" t="s">
        <v>28583</v>
      </c>
      <c r="H4544" t="e" vm="1975">
        <f>_FV(0,"016898064008297128")</f>
        <v>#VALUE!</v>
      </c>
      <c r="I4544" t="s">
        <v>28584</v>
      </c>
      <c r="J4544" t="s">
        <v>28585</v>
      </c>
      <c r="K4544" t="s">
        <v>28586</v>
      </c>
      <c r="L4544" t="s">
        <v>28579</v>
      </c>
    </row>
    <row r="4545" spans="1:12" x14ac:dyDescent="0.25">
      <c r="A4545">
        <v>822790</v>
      </c>
      <c r="B4545">
        <v>822825</v>
      </c>
      <c r="D4545">
        <v>0</v>
      </c>
      <c r="E4545" t="s">
        <v>28588</v>
      </c>
      <c r="F4545" t="s">
        <v>28589</v>
      </c>
      <c r="G4545" t="s">
        <v>28590</v>
      </c>
      <c r="H4545" t="s">
        <v>28591</v>
      </c>
      <c r="I4545" t="s">
        <v>28592</v>
      </c>
      <c r="J4545" t="s">
        <v>28587</v>
      </c>
      <c r="K4545" t="s">
        <v>28593</v>
      </c>
      <c r="L4545" t="s">
        <v>28587</v>
      </c>
    </row>
    <row r="4546" spans="1:12" x14ac:dyDescent="0.25">
      <c r="A4546">
        <v>822790</v>
      </c>
      <c r="B4546">
        <v>822825</v>
      </c>
      <c r="D4546">
        <v>0</v>
      </c>
      <c r="E4546" t="s">
        <v>28595</v>
      </c>
      <c r="F4546" t="s">
        <v>28596</v>
      </c>
      <c r="G4546" t="s">
        <v>28597</v>
      </c>
      <c r="H4546" t="s">
        <v>28598</v>
      </c>
      <c r="I4546" t="s">
        <v>28599</v>
      </c>
      <c r="J4546" t="s">
        <v>28600</v>
      </c>
      <c r="K4546" t="s">
        <v>28601</v>
      </c>
      <c r="L4546" t="s">
        <v>28594</v>
      </c>
    </row>
    <row r="4547" spans="1:12" x14ac:dyDescent="0.25">
      <c r="A4547">
        <v>822790</v>
      </c>
      <c r="B4547">
        <v>1824695</v>
      </c>
      <c r="C4547" t="s">
        <v>28603</v>
      </c>
      <c r="D4547" t="s">
        <v>28604</v>
      </c>
      <c r="E4547" t="s">
        <v>28605</v>
      </c>
      <c r="F4547" t="s">
        <v>28606</v>
      </c>
      <c r="G4547" t="s">
        <v>28607</v>
      </c>
      <c r="H4547" t="e" vm="1976">
        <f>_FV(0,"004121564363692825")</f>
        <v>#VALUE!</v>
      </c>
      <c r="I4547" t="s">
        <v>28608</v>
      </c>
      <c r="J4547" t="s">
        <v>28609</v>
      </c>
      <c r="K4547" t="s">
        <v>28610</v>
      </c>
      <c r="L4547" t="s">
        <v>28602</v>
      </c>
    </row>
    <row r="4548" spans="1:12" x14ac:dyDescent="0.25">
      <c r="A4548">
        <v>822825</v>
      </c>
      <c r="B4548">
        <v>978654</v>
      </c>
      <c r="D4548">
        <v>0</v>
      </c>
      <c r="E4548" t="s">
        <v>28612</v>
      </c>
      <c r="F4548" t="s">
        <v>28613</v>
      </c>
      <c r="G4548" t="s">
        <v>28614</v>
      </c>
      <c r="H4548" t="e" vm="1977">
        <f>_FV(0,"008661061801937198")</f>
        <v>#VALUE!</v>
      </c>
      <c r="I4548" t="s">
        <v>28615</v>
      </c>
      <c r="J4548" t="s">
        <v>28616</v>
      </c>
      <c r="K4548" t="s">
        <v>28617</v>
      </c>
      <c r="L4548" t="s">
        <v>28611</v>
      </c>
    </row>
    <row r="4549" spans="1:12" x14ac:dyDescent="0.25">
      <c r="A4549">
        <v>491218</v>
      </c>
      <c r="B4549">
        <v>824189</v>
      </c>
      <c r="D4549">
        <v>0</v>
      </c>
      <c r="E4549" t="s">
        <v>28619</v>
      </c>
      <c r="F4549" t="s">
        <v>28620</v>
      </c>
      <c r="G4549" t="s">
        <v>28621</v>
      </c>
      <c r="H4549" t="e" vm="1978">
        <f>_FV(0,"004062625401893729")</f>
        <v>#VALUE!</v>
      </c>
      <c r="I4549" t="s">
        <v>28622</v>
      </c>
      <c r="J4549" t="s">
        <v>28623</v>
      </c>
      <c r="K4549" t="s">
        <v>28624</v>
      </c>
      <c r="L4549" t="s">
        <v>28618</v>
      </c>
    </row>
    <row r="4550" spans="1:12" x14ac:dyDescent="0.25">
      <c r="A4550">
        <v>824295</v>
      </c>
      <c r="B4550">
        <v>825322</v>
      </c>
      <c r="C4550" t="s">
        <v>28625</v>
      </c>
      <c r="D4550">
        <v>0</v>
      </c>
      <c r="F4550">
        <v>850534</v>
      </c>
      <c r="G4550">
        <v>825322</v>
      </c>
      <c r="H4550" t="e" vm="1006">
        <f>_FV(0,"006")</f>
        <v>#VALUE!</v>
      </c>
      <c r="I4550">
        <v>824295</v>
      </c>
      <c r="J4550" t="s">
        <v>250</v>
      </c>
      <c r="K4550" t="s">
        <v>28626</v>
      </c>
      <c r="L4550" t="e" vm="1006">
        <f>_FV(0,"006")</f>
        <v>#VALUE!</v>
      </c>
    </row>
    <row r="4551" spans="1:12" x14ac:dyDescent="0.25">
      <c r="A4551">
        <v>824295</v>
      </c>
      <c r="B4551">
        <v>825033</v>
      </c>
      <c r="D4551">
        <v>0</v>
      </c>
      <c r="E4551" t="s">
        <v>28628</v>
      </c>
      <c r="F4551" t="s">
        <v>28629</v>
      </c>
      <c r="G4551" t="s">
        <v>28630</v>
      </c>
      <c r="H4551" t="s">
        <v>28631</v>
      </c>
      <c r="I4551" t="s">
        <v>28632</v>
      </c>
      <c r="J4551" t="s">
        <v>28627</v>
      </c>
      <c r="K4551" t="s">
        <v>28633</v>
      </c>
      <c r="L4551" t="s">
        <v>28627</v>
      </c>
    </row>
    <row r="4552" spans="1:12" x14ac:dyDescent="0.25">
      <c r="A4552">
        <v>824320</v>
      </c>
      <c r="B4552">
        <v>824332</v>
      </c>
      <c r="D4552">
        <v>0</v>
      </c>
      <c r="E4552" t="s">
        <v>28635</v>
      </c>
      <c r="F4552" t="s">
        <v>28636</v>
      </c>
      <c r="G4552" t="s">
        <v>28637</v>
      </c>
      <c r="H4552" t="e" vm="1979">
        <f>_FV(0,"0049459192722385165")</f>
        <v>#VALUE!</v>
      </c>
      <c r="I4552" t="s">
        <v>28638</v>
      </c>
      <c r="J4552" t="s">
        <v>28639</v>
      </c>
      <c r="K4552" t="s">
        <v>28640</v>
      </c>
      <c r="L4552" t="s">
        <v>28634</v>
      </c>
    </row>
    <row r="4553" spans="1:12" x14ac:dyDescent="0.25">
      <c r="A4553">
        <v>824320</v>
      </c>
      <c r="B4553">
        <v>824350</v>
      </c>
      <c r="D4553">
        <v>0</v>
      </c>
      <c r="E4553" t="s">
        <v>28641</v>
      </c>
      <c r="F4553" t="s">
        <v>28642</v>
      </c>
      <c r="G4553" t="s">
        <v>28643</v>
      </c>
      <c r="H4553" t="s">
        <v>28644</v>
      </c>
      <c r="I4553" t="s">
        <v>28645</v>
      </c>
      <c r="J4553" t="s">
        <v>1281</v>
      </c>
      <c r="K4553" t="s">
        <v>28646</v>
      </c>
      <c r="L4553" t="s">
        <v>1281</v>
      </c>
    </row>
    <row r="4554" spans="1:12" x14ac:dyDescent="0.25">
      <c r="A4554">
        <v>824332</v>
      </c>
      <c r="B4554">
        <v>824350</v>
      </c>
      <c r="D4554">
        <v>0</v>
      </c>
      <c r="E4554" t="s">
        <v>28648</v>
      </c>
      <c r="F4554" t="s">
        <v>28649</v>
      </c>
      <c r="G4554" t="s">
        <v>28650</v>
      </c>
      <c r="H4554" t="s">
        <v>28651</v>
      </c>
      <c r="I4554" t="s">
        <v>28652</v>
      </c>
      <c r="J4554" t="s">
        <v>28647</v>
      </c>
      <c r="K4554" t="s">
        <v>28653</v>
      </c>
      <c r="L4554" t="s">
        <v>28647</v>
      </c>
    </row>
    <row r="4555" spans="1:12" x14ac:dyDescent="0.25">
      <c r="A4555">
        <v>824434</v>
      </c>
      <c r="B4555">
        <v>824502</v>
      </c>
      <c r="C4555" t="s">
        <v>28655</v>
      </c>
      <c r="D4555" t="s">
        <v>8068</v>
      </c>
      <c r="E4555" t="s">
        <v>28656</v>
      </c>
      <c r="F4555" t="s">
        <v>28657</v>
      </c>
      <c r="G4555" t="s">
        <v>28658</v>
      </c>
      <c r="H4555" t="s">
        <v>28659</v>
      </c>
      <c r="I4555" t="s">
        <v>28660</v>
      </c>
      <c r="J4555" t="s">
        <v>28661</v>
      </c>
      <c r="K4555" t="s">
        <v>28662</v>
      </c>
      <c r="L4555" t="s">
        <v>28654</v>
      </c>
    </row>
    <row r="4556" spans="1:12" x14ac:dyDescent="0.25">
      <c r="A4556">
        <v>824434</v>
      </c>
      <c r="B4556">
        <v>825224</v>
      </c>
      <c r="C4556" t="s">
        <v>28664</v>
      </c>
      <c r="D4556">
        <v>0</v>
      </c>
      <c r="E4556" t="s">
        <v>28665</v>
      </c>
      <c r="F4556" t="s">
        <v>28666</v>
      </c>
      <c r="G4556" t="s">
        <v>28667</v>
      </c>
      <c r="H4556" t="e" vm="1980">
        <f>_FV(0,"009002276640570725")</f>
        <v>#VALUE!</v>
      </c>
      <c r="I4556" t="s">
        <v>28668</v>
      </c>
      <c r="J4556" t="s">
        <v>28669</v>
      </c>
      <c r="K4556" t="s">
        <v>28670</v>
      </c>
      <c r="L4556" t="s">
        <v>28663</v>
      </c>
    </row>
    <row r="4557" spans="1:12" x14ac:dyDescent="0.25">
      <c r="A4557">
        <v>824494</v>
      </c>
      <c r="B4557">
        <v>824532</v>
      </c>
      <c r="D4557">
        <v>0</v>
      </c>
      <c r="E4557" t="s">
        <v>28671</v>
      </c>
      <c r="F4557">
        <v>849428</v>
      </c>
      <c r="G4557">
        <v>824494</v>
      </c>
      <c r="H4557" t="e" vm="1981">
        <f>_FV(0,"08")</f>
        <v>#VALUE!</v>
      </c>
      <c r="I4557">
        <v>824532</v>
      </c>
      <c r="J4557" t="s">
        <v>5022</v>
      </c>
      <c r="K4557" t="s">
        <v>28672</v>
      </c>
      <c r="L4557" t="e" vm="1981">
        <f>_FV(0,"08")</f>
        <v>#VALUE!</v>
      </c>
    </row>
    <row r="4558" spans="1:12" x14ac:dyDescent="0.25">
      <c r="A4558">
        <v>824494</v>
      </c>
      <c r="B4558">
        <v>824502</v>
      </c>
      <c r="D4558" t="s">
        <v>5510</v>
      </c>
      <c r="E4558" t="s">
        <v>28674</v>
      </c>
      <c r="F4558" t="s">
        <v>28675</v>
      </c>
      <c r="G4558" t="s">
        <v>28676</v>
      </c>
      <c r="H4558" t="s">
        <v>28677</v>
      </c>
      <c r="I4558" t="s">
        <v>28678</v>
      </c>
      <c r="J4558" t="s">
        <v>28673</v>
      </c>
      <c r="K4558" t="s">
        <v>28679</v>
      </c>
      <c r="L4558" t="s">
        <v>28673</v>
      </c>
    </row>
    <row r="4559" spans="1:12" x14ac:dyDescent="0.25">
      <c r="A4559">
        <v>824500</v>
      </c>
      <c r="B4559">
        <v>824526</v>
      </c>
      <c r="D4559">
        <v>0</v>
      </c>
      <c r="E4559" t="s">
        <v>28681</v>
      </c>
      <c r="F4559" t="s">
        <v>28682</v>
      </c>
      <c r="G4559" t="s">
        <v>28683</v>
      </c>
      <c r="H4559" t="e" vm="1982">
        <f>_FV(0,"016897237904026034")</f>
        <v>#VALUE!</v>
      </c>
      <c r="I4559" t="s">
        <v>28684</v>
      </c>
      <c r="J4559" t="s">
        <v>28685</v>
      </c>
      <c r="K4559" t="s">
        <v>28686</v>
      </c>
      <c r="L4559" t="s">
        <v>28680</v>
      </c>
    </row>
    <row r="4560" spans="1:12" x14ac:dyDescent="0.25">
      <c r="A4560">
        <v>824500</v>
      </c>
      <c r="B4560">
        <v>824526</v>
      </c>
      <c r="D4560">
        <v>0</v>
      </c>
      <c r="E4560" t="s">
        <v>28688</v>
      </c>
      <c r="F4560" t="s">
        <v>28689</v>
      </c>
      <c r="G4560" t="s">
        <v>28690</v>
      </c>
      <c r="H4560" t="e" vm="1983">
        <f>_FV(0,"01842734925196939")</f>
        <v>#VALUE!</v>
      </c>
      <c r="I4560" t="s">
        <v>28691</v>
      </c>
      <c r="J4560" t="s">
        <v>28692</v>
      </c>
      <c r="K4560" t="s">
        <v>28693</v>
      </c>
      <c r="L4560" t="s">
        <v>28687</v>
      </c>
    </row>
    <row r="4561" spans="1:12" x14ac:dyDescent="0.25">
      <c r="A4561">
        <v>824532</v>
      </c>
      <c r="B4561">
        <v>824666</v>
      </c>
      <c r="D4561" t="s">
        <v>514</v>
      </c>
      <c r="E4561" t="s">
        <v>28695</v>
      </c>
      <c r="F4561" t="s">
        <v>28696</v>
      </c>
      <c r="G4561" t="s">
        <v>28697</v>
      </c>
      <c r="H4561" t="e" vm="1984">
        <f>_FV(0,"017946260842890905")</f>
        <v>#VALUE!</v>
      </c>
      <c r="I4561" t="s">
        <v>28698</v>
      </c>
      <c r="J4561" t="s">
        <v>28699</v>
      </c>
      <c r="K4561" t="s">
        <v>28700</v>
      </c>
      <c r="L4561" t="s">
        <v>28694</v>
      </c>
    </row>
    <row r="4562" spans="1:12" x14ac:dyDescent="0.25">
      <c r="A4562">
        <v>824666</v>
      </c>
      <c r="B4562">
        <v>825322</v>
      </c>
      <c r="D4562" t="s">
        <v>28702</v>
      </c>
      <c r="E4562" t="s">
        <v>28703</v>
      </c>
      <c r="F4562" t="s">
        <v>28704</v>
      </c>
      <c r="G4562" t="s">
        <v>28705</v>
      </c>
      <c r="H4562" t="s">
        <v>28706</v>
      </c>
      <c r="I4562" t="s">
        <v>28707</v>
      </c>
      <c r="J4562" t="s">
        <v>28708</v>
      </c>
      <c r="K4562" t="s">
        <v>28709</v>
      </c>
      <c r="L4562" t="s">
        <v>28701</v>
      </c>
    </row>
    <row r="4563" spans="1:12" x14ac:dyDescent="0.25">
      <c r="A4563">
        <v>336016</v>
      </c>
      <c r="B4563">
        <v>824789</v>
      </c>
      <c r="D4563">
        <v>0</v>
      </c>
      <c r="F4563">
        <v>849780</v>
      </c>
      <c r="G4563">
        <v>824789</v>
      </c>
      <c r="H4563" t="s">
        <v>28710</v>
      </c>
      <c r="I4563">
        <v>336016</v>
      </c>
      <c r="J4563" t="s">
        <v>28710</v>
      </c>
      <c r="K4563" t="s">
        <v>28711</v>
      </c>
      <c r="L4563" t="s">
        <v>28710</v>
      </c>
    </row>
    <row r="4564" spans="1:12" x14ac:dyDescent="0.25">
      <c r="A4564">
        <v>825033</v>
      </c>
      <c r="B4564">
        <v>825050</v>
      </c>
      <c r="D4564">
        <v>0</v>
      </c>
      <c r="E4564" t="s">
        <v>28713</v>
      </c>
      <c r="F4564" t="s">
        <v>28714</v>
      </c>
      <c r="G4564" t="s">
        <v>28715</v>
      </c>
      <c r="H4564" t="e" vm="1985">
        <f>_FV(0,"009362184196310786")</f>
        <v>#VALUE!</v>
      </c>
      <c r="I4564" t="s">
        <v>28716</v>
      </c>
      <c r="J4564" t="s">
        <v>28717</v>
      </c>
      <c r="K4564" t="s">
        <v>28718</v>
      </c>
      <c r="L4564" t="s">
        <v>28712</v>
      </c>
    </row>
    <row r="4565" spans="1:12" x14ac:dyDescent="0.25">
      <c r="A4565">
        <v>825050</v>
      </c>
      <c r="B4565">
        <v>825322</v>
      </c>
      <c r="D4565">
        <v>0</v>
      </c>
      <c r="E4565" t="s">
        <v>28720</v>
      </c>
      <c r="F4565" t="s">
        <v>28721</v>
      </c>
      <c r="G4565" t="s">
        <v>28722</v>
      </c>
      <c r="H4565" t="e" vm="1986">
        <f>_FV(0,"014179056050981957")</f>
        <v>#VALUE!</v>
      </c>
      <c r="I4565" t="s">
        <v>28723</v>
      </c>
      <c r="J4565" t="s">
        <v>28724</v>
      </c>
      <c r="K4565" t="s">
        <v>28725</v>
      </c>
      <c r="L4565" t="s">
        <v>28719</v>
      </c>
    </row>
    <row r="4566" spans="1:12" x14ac:dyDescent="0.25">
      <c r="A4566">
        <v>825880</v>
      </c>
      <c r="B4566">
        <v>826188</v>
      </c>
      <c r="D4566">
        <v>0</v>
      </c>
      <c r="E4566" t="s">
        <v>28727</v>
      </c>
      <c r="F4566" t="s">
        <v>28728</v>
      </c>
      <c r="G4566" t="s">
        <v>28729</v>
      </c>
      <c r="H4566" t="s">
        <v>28730</v>
      </c>
      <c r="I4566" t="s">
        <v>28731</v>
      </c>
      <c r="J4566" t="s">
        <v>28732</v>
      </c>
      <c r="K4566" t="s">
        <v>28733</v>
      </c>
      <c r="L4566" t="s">
        <v>28726</v>
      </c>
    </row>
    <row r="4567" spans="1:12" x14ac:dyDescent="0.25">
      <c r="A4567">
        <v>825888</v>
      </c>
      <c r="B4567">
        <v>825953</v>
      </c>
      <c r="D4567">
        <v>0</v>
      </c>
      <c r="E4567" t="s">
        <v>28735</v>
      </c>
      <c r="F4567" t="s">
        <v>28736</v>
      </c>
      <c r="G4567" t="s">
        <v>28737</v>
      </c>
      <c r="H4567" t="s">
        <v>28738</v>
      </c>
      <c r="I4567" t="s">
        <v>28739</v>
      </c>
      <c r="J4567" t="s">
        <v>28734</v>
      </c>
      <c r="K4567" t="s">
        <v>28740</v>
      </c>
      <c r="L4567" t="s">
        <v>28734</v>
      </c>
    </row>
    <row r="4568" spans="1:12" x14ac:dyDescent="0.25">
      <c r="A4568">
        <v>825953</v>
      </c>
      <c r="B4568">
        <v>532023</v>
      </c>
      <c r="D4568">
        <v>0</v>
      </c>
      <c r="E4568" t="s">
        <v>28742</v>
      </c>
      <c r="F4568" t="s">
        <v>28743</v>
      </c>
      <c r="G4568" t="s">
        <v>28744</v>
      </c>
      <c r="H4568" t="e" vm="1987">
        <f>_FV(0,"04538266519573313")</f>
        <v>#VALUE!</v>
      </c>
      <c r="I4568" t="s">
        <v>28745</v>
      </c>
      <c r="J4568" t="s">
        <v>28746</v>
      </c>
      <c r="K4568" t="s">
        <v>28747</v>
      </c>
      <c r="L4568" t="s">
        <v>28741</v>
      </c>
    </row>
    <row r="4569" spans="1:12" x14ac:dyDescent="0.25">
      <c r="A4569">
        <v>825976</v>
      </c>
      <c r="B4569">
        <v>826188</v>
      </c>
      <c r="D4569">
        <v>0</v>
      </c>
      <c r="E4569" t="s">
        <v>28749</v>
      </c>
      <c r="F4569" t="s">
        <v>28750</v>
      </c>
      <c r="G4569" t="s">
        <v>28751</v>
      </c>
      <c r="H4569" t="s">
        <v>28752</v>
      </c>
      <c r="I4569" t="s">
        <v>28753</v>
      </c>
      <c r="J4569" t="s">
        <v>28748</v>
      </c>
      <c r="K4569" t="s">
        <v>28754</v>
      </c>
      <c r="L4569" t="s">
        <v>28748</v>
      </c>
    </row>
    <row r="4570" spans="1:12" x14ac:dyDescent="0.25">
      <c r="A4570">
        <v>825976</v>
      </c>
      <c r="B4570">
        <v>532078</v>
      </c>
      <c r="D4570">
        <v>0</v>
      </c>
      <c r="E4570" t="s">
        <v>28756</v>
      </c>
      <c r="F4570" t="s">
        <v>28757</v>
      </c>
      <c r="G4570" t="s">
        <v>28758</v>
      </c>
      <c r="H4570" t="s">
        <v>28759</v>
      </c>
      <c r="I4570" t="s">
        <v>28760</v>
      </c>
      <c r="J4570" t="s">
        <v>28755</v>
      </c>
      <c r="K4570" t="s">
        <v>28761</v>
      </c>
      <c r="L4570" t="s">
        <v>28755</v>
      </c>
    </row>
    <row r="4571" spans="1:12" x14ac:dyDescent="0.25">
      <c r="A4571">
        <v>826188</v>
      </c>
      <c r="B4571">
        <v>532072</v>
      </c>
      <c r="D4571">
        <v>0</v>
      </c>
      <c r="E4571" t="s">
        <v>28763</v>
      </c>
      <c r="F4571" t="s">
        <v>28764</v>
      </c>
      <c r="G4571" t="s">
        <v>28765</v>
      </c>
      <c r="H4571" t="s">
        <v>28766</v>
      </c>
      <c r="I4571" t="s">
        <v>28767</v>
      </c>
      <c r="J4571" t="s">
        <v>28768</v>
      </c>
      <c r="K4571" t="s">
        <v>28769</v>
      </c>
      <c r="L4571" t="s">
        <v>28762</v>
      </c>
    </row>
    <row r="4572" spans="1:12" x14ac:dyDescent="0.25">
      <c r="A4572">
        <v>826237</v>
      </c>
      <c r="B4572">
        <v>826239</v>
      </c>
      <c r="D4572" t="s">
        <v>17225</v>
      </c>
      <c r="E4572" t="s">
        <v>28771</v>
      </c>
      <c r="F4572" t="s">
        <v>28772</v>
      </c>
      <c r="G4572" t="s">
        <v>28773</v>
      </c>
      <c r="H4572" t="s">
        <v>28774</v>
      </c>
      <c r="I4572" t="s">
        <v>28775</v>
      </c>
      <c r="J4572" t="s">
        <v>28776</v>
      </c>
      <c r="K4572" t="s">
        <v>28777</v>
      </c>
      <c r="L4572" t="s">
        <v>28770</v>
      </c>
    </row>
    <row r="4573" spans="1:12" x14ac:dyDescent="0.25">
      <c r="A4573">
        <v>826237</v>
      </c>
      <c r="B4573">
        <v>826239</v>
      </c>
      <c r="D4573" t="s">
        <v>2510</v>
      </c>
      <c r="E4573" t="s">
        <v>28779</v>
      </c>
      <c r="F4573" t="s">
        <v>28780</v>
      </c>
      <c r="G4573" t="s">
        <v>28781</v>
      </c>
      <c r="H4573" t="s">
        <v>28782</v>
      </c>
      <c r="I4573" t="s">
        <v>28783</v>
      </c>
      <c r="J4573" t="s">
        <v>28784</v>
      </c>
      <c r="K4573" t="s">
        <v>28785</v>
      </c>
      <c r="L4573" t="s">
        <v>28778</v>
      </c>
    </row>
    <row r="4574" spans="1:12" x14ac:dyDescent="0.25">
      <c r="A4574">
        <v>826237</v>
      </c>
      <c r="B4574">
        <v>1854809</v>
      </c>
      <c r="C4574" t="s">
        <v>28786</v>
      </c>
      <c r="D4574">
        <v>0</v>
      </c>
      <c r="E4574" t="s">
        <v>28787</v>
      </c>
      <c r="H4574" t="s">
        <v>187</v>
      </c>
      <c r="J4574">
        <v>0</v>
      </c>
      <c r="K4574" t="s">
        <v>22723</v>
      </c>
      <c r="L4574">
        <v>0</v>
      </c>
    </row>
    <row r="4575" spans="1:12" x14ac:dyDescent="0.25">
      <c r="A4575">
        <v>826239</v>
      </c>
      <c r="B4575">
        <v>826281</v>
      </c>
      <c r="D4575">
        <v>0</v>
      </c>
      <c r="E4575" t="s">
        <v>28789</v>
      </c>
      <c r="F4575" t="s">
        <v>28790</v>
      </c>
      <c r="G4575" t="s">
        <v>28791</v>
      </c>
      <c r="H4575" t="s">
        <v>28792</v>
      </c>
      <c r="I4575" t="s">
        <v>28793</v>
      </c>
      <c r="J4575" t="s">
        <v>28788</v>
      </c>
      <c r="K4575" t="s">
        <v>28794</v>
      </c>
      <c r="L4575" t="s">
        <v>28788</v>
      </c>
    </row>
    <row r="4576" spans="1:12" x14ac:dyDescent="0.25">
      <c r="A4576">
        <v>826281</v>
      </c>
      <c r="B4576">
        <v>826286</v>
      </c>
      <c r="D4576">
        <v>0</v>
      </c>
      <c r="E4576" t="s">
        <v>28796</v>
      </c>
      <c r="F4576" t="s">
        <v>28797</v>
      </c>
      <c r="G4576" t="s">
        <v>28798</v>
      </c>
      <c r="H4576" t="s">
        <v>28799</v>
      </c>
      <c r="I4576" t="s">
        <v>28800</v>
      </c>
      <c r="J4576" t="s">
        <v>28801</v>
      </c>
      <c r="K4576" t="s">
        <v>28802</v>
      </c>
      <c r="L4576" t="s">
        <v>28795</v>
      </c>
    </row>
    <row r="4577" spans="1:12" x14ac:dyDescent="0.25">
      <c r="A4577">
        <v>826281</v>
      </c>
      <c r="B4577">
        <v>826286</v>
      </c>
      <c r="D4577">
        <v>0</v>
      </c>
      <c r="E4577" t="s">
        <v>28804</v>
      </c>
      <c r="F4577" t="s">
        <v>28805</v>
      </c>
      <c r="G4577" t="s">
        <v>28806</v>
      </c>
      <c r="H4577" t="s">
        <v>28807</v>
      </c>
      <c r="I4577" t="s">
        <v>28808</v>
      </c>
      <c r="J4577" t="s">
        <v>28809</v>
      </c>
      <c r="K4577" t="s">
        <v>28810</v>
      </c>
      <c r="L4577" t="s">
        <v>28803</v>
      </c>
    </row>
    <row r="4578" spans="1:12" x14ac:dyDescent="0.25">
      <c r="A4578">
        <v>829200</v>
      </c>
      <c r="B4578">
        <v>1363657</v>
      </c>
      <c r="D4578" t="s">
        <v>28812</v>
      </c>
      <c r="E4578" t="s">
        <v>28813</v>
      </c>
      <c r="F4578" t="s">
        <v>28814</v>
      </c>
      <c r="G4578" t="s">
        <v>28815</v>
      </c>
      <c r="H4578" t="e" vm="1988">
        <f>_FV(0,"001854842600829892")</f>
        <v>#VALUE!</v>
      </c>
      <c r="I4578" t="s">
        <v>28816</v>
      </c>
      <c r="J4578" t="s">
        <v>28817</v>
      </c>
      <c r="K4578" t="s">
        <v>28818</v>
      </c>
      <c r="L4578" t="s">
        <v>28811</v>
      </c>
    </row>
    <row r="4579" spans="1:12" x14ac:dyDescent="0.25">
      <c r="A4579">
        <v>829200</v>
      </c>
      <c r="B4579">
        <v>1502606</v>
      </c>
      <c r="D4579" t="s">
        <v>15313</v>
      </c>
      <c r="E4579" t="s">
        <v>28820</v>
      </c>
      <c r="F4579" t="s">
        <v>28821</v>
      </c>
      <c r="G4579" t="s">
        <v>28822</v>
      </c>
      <c r="H4579" t="s">
        <v>28823</v>
      </c>
      <c r="I4579" t="s">
        <v>28824</v>
      </c>
      <c r="J4579" t="s">
        <v>28825</v>
      </c>
      <c r="K4579" t="s">
        <v>28826</v>
      </c>
      <c r="L4579" t="s">
        <v>28819</v>
      </c>
    </row>
    <row r="4580" spans="1:12" x14ac:dyDescent="0.25">
      <c r="A4580">
        <v>829208</v>
      </c>
      <c r="B4580">
        <v>1502600</v>
      </c>
      <c r="D4580">
        <v>0</v>
      </c>
      <c r="E4580" t="s">
        <v>28828</v>
      </c>
      <c r="F4580" t="s">
        <v>28829</v>
      </c>
      <c r="G4580" t="s">
        <v>28830</v>
      </c>
      <c r="H4580" t="e" vm="1989">
        <f>_FV(0,"03901187539945629")</f>
        <v>#VALUE!</v>
      </c>
      <c r="I4580" t="s">
        <v>28831</v>
      </c>
      <c r="J4580" t="s">
        <v>28832</v>
      </c>
      <c r="K4580" t="s">
        <v>28833</v>
      </c>
      <c r="L4580" t="s">
        <v>28827</v>
      </c>
    </row>
    <row r="4581" spans="1:12" x14ac:dyDescent="0.25">
      <c r="A4581">
        <v>829208</v>
      </c>
      <c r="B4581">
        <v>1160005</v>
      </c>
      <c r="D4581" t="s">
        <v>15900</v>
      </c>
      <c r="E4581" t="s">
        <v>28835</v>
      </c>
      <c r="F4581" t="s">
        <v>28836</v>
      </c>
      <c r="G4581" t="s">
        <v>28837</v>
      </c>
      <c r="H4581" t="e" vm="1990">
        <f>_FV(0,"02415416948532854")</f>
        <v>#VALUE!</v>
      </c>
      <c r="I4581" t="s">
        <v>28838</v>
      </c>
      <c r="J4581" t="s">
        <v>28839</v>
      </c>
      <c r="K4581" t="s">
        <v>28840</v>
      </c>
      <c r="L4581" t="s">
        <v>28834</v>
      </c>
    </row>
    <row r="4582" spans="1:12" x14ac:dyDescent="0.25">
      <c r="A4582">
        <v>830975</v>
      </c>
      <c r="B4582">
        <v>830992</v>
      </c>
      <c r="D4582" t="s">
        <v>18083</v>
      </c>
      <c r="E4582" t="s">
        <v>28842</v>
      </c>
      <c r="F4582" t="s">
        <v>28843</v>
      </c>
      <c r="G4582" t="s">
        <v>28844</v>
      </c>
      <c r="H4582" t="s">
        <v>28845</v>
      </c>
      <c r="I4582" t="s">
        <v>28846</v>
      </c>
      <c r="J4582" t="s">
        <v>28841</v>
      </c>
      <c r="K4582" t="s">
        <v>28847</v>
      </c>
      <c r="L4582" t="s">
        <v>28841</v>
      </c>
    </row>
    <row r="4583" spans="1:12" x14ac:dyDescent="0.25">
      <c r="A4583">
        <v>831898</v>
      </c>
      <c r="B4583">
        <v>831928</v>
      </c>
      <c r="D4583">
        <v>0</v>
      </c>
      <c r="E4583" t="s">
        <v>28849</v>
      </c>
      <c r="F4583" t="s">
        <v>28850</v>
      </c>
      <c r="G4583" t="s">
        <v>28851</v>
      </c>
      <c r="H4583" t="s">
        <v>28852</v>
      </c>
      <c r="I4583" t="s">
        <v>28853</v>
      </c>
      <c r="J4583" t="s">
        <v>28854</v>
      </c>
      <c r="K4583" t="s">
        <v>28855</v>
      </c>
      <c r="L4583" t="s">
        <v>28848</v>
      </c>
    </row>
    <row r="4584" spans="1:12" x14ac:dyDescent="0.25">
      <c r="A4584">
        <v>831898</v>
      </c>
      <c r="B4584">
        <v>832043</v>
      </c>
      <c r="D4584">
        <v>0</v>
      </c>
      <c r="E4584" t="s">
        <v>28857</v>
      </c>
      <c r="F4584" t="s">
        <v>28858</v>
      </c>
      <c r="G4584" t="s">
        <v>28859</v>
      </c>
      <c r="H4584" t="e" vm="1991">
        <f>_FV(0,"004894914160055307")</f>
        <v>#VALUE!</v>
      </c>
      <c r="I4584" t="s">
        <v>28860</v>
      </c>
      <c r="J4584" t="s">
        <v>28861</v>
      </c>
      <c r="K4584" t="s">
        <v>28862</v>
      </c>
      <c r="L4584" t="s">
        <v>28856</v>
      </c>
    </row>
    <row r="4585" spans="1:12" x14ac:dyDescent="0.25">
      <c r="A4585">
        <v>831898</v>
      </c>
      <c r="B4585">
        <v>1757396</v>
      </c>
      <c r="D4585">
        <v>0</v>
      </c>
      <c r="E4585" t="s">
        <v>28864</v>
      </c>
      <c r="F4585" t="s">
        <v>28865</v>
      </c>
      <c r="G4585" t="s">
        <v>28866</v>
      </c>
      <c r="H4585" t="s">
        <v>28867</v>
      </c>
      <c r="I4585" t="s">
        <v>28868</v>
      </c>
      <c r="J4585" t="s">
        <v>28869</v>
      </c>
      <c r="K4585" t="s">
        <v>28870</v>
      </c>
      <c r="L4585" t="s">
        <v>28863</v>
      </c>
    </row>
    <row r="4586" spans="1:12" x14ac:dyDescent="0.25">
      <c r="A4586">
        <v>831928</v>
      </c>
      <c r="B4586">
        <v>1761636</v>
      </c>
      <c r="C4586" t="s">
        <v>28872</v>
      </c>
      <c r="D4586">
        <v>0</v>
      </c>
      <c r="E4586" t="s">
        <v>28873</v>
      </c>
      <c r="F4586" t="s">
        <v>28874</v>
      </c>
      <c r="G4586" t="s">
        <v>28875</v>
      </c>
      <c r="H4586" t="e" vm="1992">
        <f>_FV(0,"01014327433819152")</f>
        <v>#VALUE!</v>
      </c>
      <c r="I4586" t="s">
        <v>28876</v>
      </c>
      <c r="J4586" t="s">
        <v>28877</v>
      </c>
      <c r="K4586" t="s">
        <v>28878</v>
      </c>
      <c r="L4586" t="s">
        <v>28871</v>
      </c>
    </row>
    <row r="4587" spans="1:12" x14ac:dyDescent="0.25">
      <c r="A4587">
        <v>831928</v>
      </c>
      <c r="B4587">
        <v>831950</v>
      </c>
      <c r="D4587">
        <v>0</v>
      </c>
      <c r="E4587" t="s">
        <v>28880</v>
      </c>
      <c r="F4587" t="s">
        <v>28881</v>
      </c>
      <c r="G4587" t="s">
        <v>28882</v>
      </c>
      <c r="H4587" t="s">
        <v>28883</v>
      </c>
      <c r="I4587" t="s">
        <v>28884</v>
      </c>
      <c r="J4587" t="s">
        <v>28879</v>
      </c>
      <c r="K4587" t="s">
        <v>28885</v>
      </c>
      <c r="L4587" t="s">
        <v>28879</v>
      </c>
    </row>
    <row r="4588" spans="1:12" x14ac:dyDescent="0.25">
      <c r="A4588">
        <v>831950</v>
      </c>
      <c r="B4588">
        <v>831967</v>
      </c>
      <c r="D4588">
        <v>0</v>
      </c>
      <c r="E4588" t="s">
        <v>28887</v>
      </c>
      <c r="F4588" t="s">
        <v>28888</v>
      </c>
      <c r="G4588" t="s">
        <v>28889</v>
      </c>
      <c r="H4588" t="s">
        <v>28890</v>
      </c>
      <c r="I4588" t="s">
        <v>28891</v>
      </c>
      <c r="J4588" t="s">
        <v>28886</v>
      </c>
      <c r="K4588" t="s">
        <v>28892</v>
      </c>
      <c r="L4588" t="s">
        <v>28886</v>
      </c>
    </row>
    <row r="4589" spans="1:12" x14ac:dyDescent="0.25">
      <c r="A4589">
        <v>831950</v>
      </c>
      <c r="B4589">
        <v>832043</v>
      </c>
      <c r="D4589">
        <v>0</v>
      </c>
      <c r="E4589" t="s">
        <v>28894</v>
      </c>
      <c r="F4589" t="s">
        <v>28895</v>
      </c>
      <c r="G4589" t="s">
        <v>28896</v>
      </c>
      <c r="H4589" t="e" vm="1993">
        <f>_FV(0,"006331142369037559")</f>
        <v>#VALUE!</v>
      </c>
      <c r="I4589" t="s">
        <v>28897</v>
      </c>
      <c r="J4589" t="s">
        <v>28898</v>
      </c>
      <c r="K4589" t="s">
        <v>28899</v>
      </c>
      <c r="L4589" t="s">
        <v>28893</v>
      </c>
    </row>
    <row r="4590" spans="1:12" x14ac:dyDescent="0.25">
      <c r="A4590">
        <v>831967</v>
      </c>
      <c r="B4590">
        <v>832056</v>
      </c>
      <c r="D4590">
        <v>0</v>
      </c>
      <c r="E4590" t="s">
        <v>28901</v>
      </c>
      <c r="F4590" t="s">
        <v>28902</v>
      </c>
      <c r="G4590" t="s">
        <v>28903</v>
      </c>
      <c r="H4590" t="s">
        <v>28904</v>
      </c>
      <c r="I4590" t="s">
        <v>28905</v>
      </c>
      <c r="J4590" t="s">
        <v>28906</v>
      </c>
      <c r="K4590" t="s">
        <v>28907</v>
      </c>
      <c r="L4590" t="s">
        <v>28900</v>
      </c>
    </row>
    <row r="4591" spans="1:12" x14ac:dyDescent="0.25">
      <c r="A4591">
        <v>831967</v>
      </c>
      <c r="B4591">
        <v>832028</v>
      </c>
      <c r="D4591">
        <v>0</v>
      </c>
      <c r="E4591" t="s">
        <v>28909</v>
      </c>
      <c r="F4591" t="s">
        <v>28910</v>
      </c>
      <c r="G4591" t="s">
        <v>28911</v>
      </c>
      <c r="H4591" t="e" vm="1994">
        <f>_FV(0,"010887134337291505")</f>
        <v>#VALUE!</v>
      </c>
      <c r="I4591" t="s">
        <v>28912</v>
      </c>
      <c r="J4591" t="s">
        <v>28913</v>
      </c>
      <c r="K4591" t="s">
        <v>28914</v>
      </c>
      <c r="L4591" t="s">
        <v>28908</v>
      </c>
    </row>
    <row r="4592" spans="1:12" x14ac:dyDescent="0.25">
      <c r="A4592">
        <v>831976</v>
      </c>
      <c r="B4592">
        <v>832028</v>
      </c>
      <c r="D4592">
        <v>0</v>
      </c>
      <c r="E4592" t="s">
        <v>28916</v>
      </c>
      <c r="F4592" t="s">
        <v>28917</v>
      </c>
      <c r="G4592" t="s">
        <v>28918</v>
      </c>
      <c r="H4592" t="s">
        <v>28919</v>
      </c>
      <c r="I4592" t="s">
        <v>28920</v>
      </c>
      <c r="J4592" t="s">
        <v>28921</v>
      </c>
      <c r="K4592" t="s">
        <v>28922</v>
      </c>
      <c r="L4592" t="s">
        <v>28915</v>
      </c>
    </row>
    <row r="4593" spans="1:12" x14ac:dyDescent="0.25">
      <c r="A4593">
        <v>831976</v>
      </c>
      <c r="B4593">
        <v>832056</v>
      </c>
      <c r="D4593">
        <v>0</v>
      </c>
      <c r="E4593" t="s">
        <v>28924</v>
      </c>
      <c r="F4593" t="s">
        <v>28925</v>
      </c>
      <c r="G4593" t="s">
        <v>28926</v>
      </c>
      <c r="H4593" t="e" vm="1995">
        <f>_FV(0,"0014190838940434099")</f>
        <v>#VALUE!</v>
      </c>
      <c r="I4593" t="s">
        <v>28927</v>
      </c>
      <c r="J4593" t="s">
        <v>28928</v>
      </c>
      <c r="K4593" t="s">
        <v>28929</v>
      </c>
      <c r="L4593" t="s">
        <v>28923</v>
      </c>
    </row>
    <row r="4594" spans="1:12" x14ac:dyDescent="0.25">
      <c r="A4594">
        <v>831976</v>
      </c>
      <c r="B4594">
        <v>1757406</v>
      </c>
      <c r="D4594">
        <v>0</v>
      </c>
      <c r="E4594" t="s">
        <v>28931</v>
      </c>
      <c r="F4594" t="s">
        <v>28932</v>
      </c>
      <c r="G4594" t="s">
        <v>28933</v>
      </c>
      <c r="H4594" t="s">
        <v>28934</v>
      </c>
      <c r="I4594" t="s">
        <v>28935</v>
      </c>
      <c r="J4594" t="s">
        <v>28930</v>
      </c>
      <c r="K4594" t="s">
        <v>28936</v>
      </c>
      <c r="L4594" t="s">
        <v>28930</v>
      </c>
    </row>
    <row r="4595" spans="1:12" x14ac:dyDescent="0.25">
      <c r="A4595">
        <v>832028</v>
      </c>
      <c r="B4595">
        <v>1757075</v>
      </c>
      <c r="D4595">
        <v>0</v>
      </c>
      <c r="E4595" t="s">
        <v>28938</v>
      </c>
      <c r="F4595" t="s">
        <v>28939</v>
      </c>
      <c r="G4595" t="s">
        <v>28940</v>
      </c>
      <c r="H4595" t="e" vm="1996">
        <f>_FV(0,"013078217257784531")</f>
        <v>#VALUE!</v>
      </c>
      <c r="I4595" t="s">
        <v>28941</v>
      </c>
      <c r="J4595" t="s">
        <v>28942</v>
      </c>
      <c r="K4595" t="s">
        <v>28943</v>
      </c>
      <c r="L4595" t="s">
        <v>28937</v>
      </c>
    </row>
    <row r="4596" spans="1:12" x14ac:dyDescent="0.25">
      <c r="A4596">
        <v>832043</v>
      </c>
      <c r="B4596">
        <v>832056</v>
      </c>
      <c r="D4596">
        <v>0</v>
      </c>
      <c r="E4596" t="s">
        <v>28945</v>
      </c>
      <c r="F4596" t="s">
        <v>28946</v>
      </c>
      <c r="G4596" t="s">
        <v>28947</v>
      </c>
      <c r="H4596" t="e" vm="1997">
        <f>_FV(0,"10901122697167592")</f>
        <v>#VALUE!</v>
      </c>
      <c r="I4596" t="s">
        <v>28948</v>
      </c>
      <c r="J4596" t="s">
        <v>28949</v>
      </c>
      <c r="K4596" t="s">
        <v>28950</v>
      </c>
      <c r="L4596" t="s">
        <v>28944</v>
      </c>
    </row>
    <row r="4597" spans="1:12" x14ac:dyDescent="0.25">
      <c r="A4597">
        <v>833343</v>
      </c>
      <c r="B4597">
        <v>833567</v>
      </c>
      <c r="C4597" t="s">
        <v>28952</v>
      </c>
      <c r="D4597" t="s">
        <v>21595</v>
      </c>
      <c r="E4597" t="s">
        <v>28953</v>
      </c>
      <c r="F4597" t="s">
        <v>28954</v>
      </c>
      <c r="G4597" t="s">
        <v>28955</v>
      </c>
      <c r="H4597" t="s">
        <v>28956</v>
      </c>
      <c r="I4597" t="s">
        <v>28957</v>
      </c>
      <c r="J4597" t="s">
        <v>28958</v>
      </c>
      <c r="K4597" t="s">
        <v>28959</v>
      </c>
      <c r="L4597" t="s">
        <v>28951</v>
      </c>
    </row>
    <row r="4598" spans="1:12" x14ac:dyDescent="0.25">
      <c r="A4598">
        <v>833343</v>
      </c>
      <c r="B4598">
        <v>833417</v>
      </c>
      <c r="D4598">
        <v>0</v>
      </c>
      <c r="E4598" t="s">
        <v>28961</v>
      </c>
      <c r="F4598" t="s">
        <v>28962</v>
      </c>
      <c r="G4598" t="s">
        <v>28963</v>
      </c>
      <c r="H4598" t="e" vm="1998">
        <f>_FV(0,"013020626285601971")</f>
        <v>#VALUE!</v>
      </c>
      <c r="I4598" t="s">
        <v>28964</v>
      </c>
      <c r="J4598" t="s">
        <v>28965</v>
      </c>
      <c r="K4598" t="s">
        <v>28966</v>
      </c>
      <c r="L4598" t="s">
        <v>28960</v>
      </c>
    </row>
    <row r="4599" spans="1:12" x14ac:dyDescent="0.25">
      <c r="A4599">
        <v>833343</v>
      </c>
      <c r="B4599">
        <v>837730</v>
      </c>
      <c r="D4599">
        <v>0</v>
      </c>
      <c r="E4599" t="s">
        <v>28968</v>
      </c>
      <c r="F4599" t="s">
        <v>28969</v>
      </c>
      <c r="G4599" t="s">
        <v>28970</v>
      </c>
      <c r="H4599" t="e" vm="1999">
        <f>_FV(0,"06927213043051546")</f>
        <v>#VALUE!</v>
      </c>
      <c r="I4599" t="s">
        <v>28971</v>
      </c>
      <c r="J4599" t="s">
        <v>28972</v>
      </c>
      <c r="K4599" t="s">
        <v>28973</v>
      </c>
      <c r="L4599" t="s">
        <v>28967</v>
      </c>
    </row>
    <row r="4600" spans="1:12" x14ac:dyDescent="0.25">
      <c r="A4600">
        <v>833349</v>
      </c>
      <c r="B4600">
        <v>833394</v>
      </c>
      <c r="D4600">
        <v>0</v>
      </c>
      <c r="E4600" t="s">
        <v>28975</v>
      </c>
      <c r="F4600" t="s">
        <v>28976</v>
      </c>
      <c r="G4600" t="s">
        <v>28977</v>
      </c>
      <c r="H4600" t="e" vm="2000">
        <f>_FV(0,"004812857499730406")</f>
        <v>#VALUE!</v>
      </c>
      <c r="I4600" t="s">
        <v>28978</v>
      </c>
      <c r="J4600" t="s">
        <v>28979</v>
      </c>
      <c r="K4600" t="s">
        <v>28980</v>
      </c>
      <c r="L4600" t="s">
        <v>28974</v>
      </c>
    </row>
    <row r="4601" spans="1:12" x14ac:dyDescent="0.25">
      <c r="A4601">
        <v>833349</v>
      </c>
      <c r="B4601">
        <v>837851</v>
      </c>
      <c r="D4601">
        <v>0</v>
      </c>
      <c r="E4601" t="s">
        <v>28982</v>
      </c>
      <c r="F4601" t="s">
        <v>28983</v>
      </c>
      <c r="G4601" t="s">
        <v>28984</v>
      </c>
      <c r="H4601" t="e" vm="2001">
        <f>_FV(0,"046941136683041375")</f>
        <v>#VALUE!</v>
      </c>
      <c r="I4601" t="s">
        <v>28985</v>
      </c>
      <c r="J4601" t="s">
        <v>28986</v>
      </c>
      <c r="K4601" t="s">
        <v>28987</v>
      </c>
      <c r="L4601" t="s">
        <v>28981</v>
      </c>
    </row>
    <row r="4602" spans="1:12" x14ac:dyDescent="0.25">
      <c r="A4602">
        <v>833349</v>
      </c>
      <c r="B4602">
        <v>1853930</v>
      </c>
      <c r="D4602">
        <v>0</v>
      </c>
      <c r="E4602" t="s">
        <v>28989</v>
      </c>
      <c r="F4602" t="s">
        <v>28990</v>
      </c>
      <c r="G4602" t="s">
        <v>28991</v>
      </c>
      <c r="H4602" t="e" vm="2002">
        <f>_FV(0,"00833416083761871")</f>
        <v>#VALUE!</v>
      </c>
      <c r="I4602" t="s">
        <v>28992</v>
      </c>
      <c r="J4602" t="s">
        <v>28993</v>
      </c>
      <c r="K4602" t="s">
        <v>28994</v>
      </c>
      <c r="L4602" t="s">
        <v>28988</v>
      </c>
    </row>
    <row r="4603" spans="1:12" x14ac:dyDescent="0.25">
      <c r="A4603">
        <v>833394</v>
      </c>
      <c r="B4603">
        <v>833674</v>
      </c>
      <c r="D4603" t="s">
        <v>28996</v>
      </c>
      <c r="E4603" t="s">
        <v>28997</v>
      </c>
      <c r="F4603" t="s">
        <v>28998</v>
      </c>
      <c r="G4603" t="s">
        <v>28999</v>
      </c>
      <c r="H4603" t="e" vm="2003">
        <f>_FV(0,"0024371752129330026")</f>
        <v>#VALUE!</v>
      </c>
      <c r="I4603" t="s">
        <v>29000</v>
      </c>
      <c r="J4603" t="s">
        <v>29001</v>
      </c>
      <c r="K4603" t="s">
        <v>29002</v>
      </c>
      <c r="L4603" t="s">
        <v>28995</v>
      </c>
    </row>
    <row r="4604" spans="1:12" x14ac:dyDescent="0.25">
      <c r="A4604">
        <v>833394</v>
      </c>
      <c r="B4604">
        <v>1541064</v>
      </c>
      <c r="D4604">
        <v>0</v>
      </c>
      <c r="E4604" t="s">
        <v>29004</v>
      </c>
      <c r="F4604" t="s">
        <v>29005</v>
      </c>
      <c r="G4604" t="s">
        <v>29006</v>
      </c>
      <c r="H4604" t="s">
        <v>29007</v>
      </c>
      <c r="I4604" t="s">
        <v>29008</v>
      </c>
      <c r="J4604" t="s">
        <v>29009</v>
      </c>
      <c r="K4604" t="s">
        <v>29010</v>
      </c>
      <c r="L4604" t="s">
        <v>29003</v>
      </c>
    </row>
    <row r="4605" spans="1:12" x14ac:dyDescent="0.25">
      <c r="A4605">
        <v>833417</v>
      </c>
      <c r="B4605">
        <v>837711</v>
      </c>
      <c r="D4605">
        <v>0</v>
      </c>
      <c r="E4605" t="s">
        <v>29012</v>
      </c>
      <c r="F4605" t="s">
        <v>29013</v>
      </c>
      <c r="G4605" t="s">
        <v>29014</v>
      </c>
      <c r="H4605" t="s">
        <v>29015</v>
      </c>
      <c r="I4605" t="s">
        <v>29016</v>
      </c>
      <c r="J4605" t="s">
        <v>29017</v>
      </c>
      <c r="K4605" t="s">
        <v>29018</v>
      </c>
      <c r="L4605" t="s">
        <v>29011</v>
      </c>
    </row>
    <row r="4606" spans="1:12" x14ac:dyDescent="0.25">
      <c r="A4606">
        <v>833417</v>
      </c>
      <c r="B4606">
        <v>947864</v>
      </c>
      <c r="C4606" t="s">
        <v>29020</v>
      </c>
      <c r="D4606" t="s">
        <v>29021</v>
      </c>
      <c r="E4606" t="s">
        <v>29022</v>
      </c>
      <c r="F4606" t="s">
        <v>29023</v>
      </c>
      <c r="G4606" t="s">
        <v>29024</v>
      </c>
      <c r="H4606" t="s">
        <v>29025</v>
      </c>
      <c r="I4606" t="s">
        <v>29026</v>
      </c>
      <c r="J4606" t="s">
        <v>29027</v>
      </c>
      <c r="K4606" t="s">
        <v>29028</v>
      </c>
      <c r="L4606" t="s">
        <v>29019</v>
      </c>
    </row>
    <row r="4607" spans="1:12" x14ac:dyDescent="0.25">
      <c r="A4607">
        <v>833567</v>
      </c>
      <c r="B4607">
        <v>833730</v>
      </c>
      <c r="D4607">
        <v>0</v>
      </c>
      <c r="E4607" t="s">
        <v>29030</v>
      </c>
      <c r="F4607" t="s">
        <v>29031</v>
      </c>
      <c r="G4607" t="s">
        <v>29032</v>
      </c>
      <c r="H4607" t="s">
        <v>29033</v>
      </c>
      <c r="I4607" t="s">
        <v>29034</v>
      </c>
      <c r="J4607" t="s">
        <v>29035</v>
      </c>
      <c r="K4607" t="s">
        <v>29036</v>
      </c>
      <c r="L4607" t="s">
        <v>29029</v>
      </c>
    </row>
    <row r="4608" spans="1:12" x14ac:dyDescent="0.25">
      <c r="A4608">
        <v>833567</v>
      </c>
      <c r="B4608">
        <v>833730</v>
      </c>
      <c r="D4608">
        <v>0</v>
      </c>
      <c r="E4608" t="s">
        <v>29038</v>
      </c>
      <c r="F4608" t="s">
        <v>29039</v>
      </c>
      <c r="G4608" t="s">
        <v>29040</v>
      </c>
      <c r="H4608" t="s">
        <v>29041</v>
      </c>
      <c r="I4608" t="s">
        <v>29042</v>
      </c>
      <c r="J4608" t="s">
        <v>29037</v>
      </c>
      <c r="K4608" t="s">
        <v>29043</v>
      </c>
      <c r="L4608" t="s">
        <v>29037</v>
      </c>
    </row>
    <row r="4609" spans="1:12" x14ac:dyDescent="0.25">
      <c r="A4609">
        <v>833674</v>
      </c>
      <c r="B4609">
        <v>833689</v>
      </c>
      <c r="D4609">
        <v>0</v>
      </c>
      <c r="E4609" t="s">
        <v>29045</v>
      </c>
      <c r="F4609" t="s">
        <v>29046</v>
      </c>
      <c r="G4609" t="s">
        <v>29047</v>
      </c>
      <c r="H4609" t="e" vm="2004">
        <f>_FV(0,"03545976367707468")</f>
        <v>#VALUE!</v>
      </c>
      <c r="I4609" t="s">
        <v>29048</v>
      </c>
      <c r="J4609" t="s">
        <v>29049</v>
      </c>
      <c r="K4609" t="s">
        <v>29050</v>
      </c>
      <c r="L4609" t="s">
        <v>29044</v>
      </c>
    </row>
    <row r="4610" spans="1:12" x14ac:dyDescent="0.25">
      <c r="A4610">
        <v>833689</v>
      </c>
      <c r="B4610">
        <v>834162</v>
      </c>
      <c r="D4610" t="s">
        <v>29052</v>
      </c>
      <c r="E4610" t="s">
        <v>29053</v>
      </c>
      <c r="F4610" t="s">
        <v>29054</v>
      </c>
      <c r="G4610" t="s">
        <v>29055</v>
      </c>
      <c r="H4610" t="e" vm="2005">
        <f>_FV(0,"0071180800994797054")</f>
        <v>#VALUE!</v>
      </c>
      <c r="I4610" t="s">
        <v>29056</v>
      </c>
      <c r="J4610" t="s">
        <v>29057</v>
      </c>
      <c r="K4610" t="s">
        <v>29058</v>
      </c>
      <c r="L4610" t="s">
        <v>29051</v>
      </c>
    </row>
    <row r="4611" spans="1:12" x14ac:dyDescent="0.25">
      <c r="A4611">
        <v>833730</v>
      </c>
      <c r="B4611">
        <v>834256</v>
      </c>
      <c r="D4611" t="s">
        <v>29060</v>
      </c>
      <c r="E4611" t="s">
        <v>29061</v>
      </c>
      <c r="F4611" t="s">
        <v>29062</v>
      </c>
      <c r="G4611" t="s">
        <v>29063</v>
      </c>
      <c r="H4611" t="e" vm="2006">
        <f>_FV(0,"009431504362382766")</f>
        <v>#VALUE!</v>
      </c>
      <c r="I4611" t="s">
        <v>29064</v>
      </c>
      <c r="J4611" t="s">
        <v>29065</v>
      </c>
      <c r="K4611" t="s">
        <v>29066</v>
      </c>
      <c r="L4611" t="s">
        <v>29059</v>
      </c>
    </row>
    <row r="4612" spans="1:12" x14ac:dyDescent="0.25">
      <c r="A4612">
        <v>833934</v>
      </c>
      <c r="B4612">
        <v>833943</v>
      </c>
      <c r="D4612">
        <v>0</v>
      </c>
      <c r="E4612" t="s">
        <v>29068</v>
      </c>
      <c r="F4612" t="s">
        <v>29069</v>
      </c>
      <c r="G4612" t="s">
        <v>29070</v>
      </c>
      <c r="H4612" t="s">
        <v>29071</v>
      </c>
      <c r="I4612" t="s">
        <v>29072</v>
      </c>
      <c r="J4612" t="s">
        <v>29067</v>
      </c>
      <c r="K4612" t="s">
        <v>29073</v>
      </c>
      <c r="L4612" t="s">
        <v>29067</v>
      </c>
    </row>
    <row r="4613" spans="1:12" x14ac:dyDescent="0.25">
      <c r="A4613">
        <v>833934</v>
      </c>
      <c r="B4613">
        <v>833968</v>
      </c>
      <c r="D4613">
        <v>0</v>
      </c>
      <c r="F4613">
        <v>860789</v>
      </c>
      <c r="G4613">
        <v>833934</v>
      </c>
      <c r="H4613" t="e" vm="184">
        <f>_FV(0,"031")</f>
        <v>#VALUE!</v>
      </c>
      <c r="I4613">
        <v>833968</v>
      </c>
      <c r="J4613" t="s">
        <v>2871</v>
      </c>
      <c r="K4613" t="s">
        <v>29074</v>
      </c>
      <c r="L4613" t="e" vm="184">
        <f>_FV(0,"031")</f>
        <v>#VALUE!</v>
      </c>
    </row>
    <row r="4614" spans="1:12" x14ac:dyDescent="0.25">
      <c r="A4614">
        <v>833934</v>
      </c>
      <c r="B4614">
        <v>834256</v>
      </c>
      <c r="D4614">
        <v>0</v>
      </c>
      <c r="E4614" t="s">
        <v>29076</v>
      </c>
      <c r="F4614" t="s">
        <v>29077</v>
      </c>
      <c r="G4614" t="s">
        <v>29078</v>
      </c>
      <c r="H4614" t="s">
        <v>29079</v>
      </c>
      <c r="I4614" t="s">
        <v>29080</v>
      </c>
      <c r="J4614" t="s">
        <v>29075</v>
      </c>
      <c r="K4614" t="s">
        <v>29081</v>
      </c>
      <c r="L4614" t="s">
        <v>29075</v>
      </c>
    </row>
    <row r="4615" spans="1:12" x14ac:dyDescent="0.25">
      <c r="A4615">
        <v>833943</v>
      </c>
      <c r="B4615">
        <v>833952</v>
      </c>
      <c r="D4615">
        <v>0</v>
      </c>
      <c r="F4615">
        <v>860765</v>
      </c>
      <c r="G4615">
        <v>833952</v>
      </c>
      <c r="H4615" t="e" vm="56">
        <f>_FV(0,"023")</f>
        <v>#VALUE!</v>
      </c>
      <c r="I4615">
        <v>833943</v>
      </c>
      <c r="J4615" t="s">
        <v>890</v>
      </c>
      <c r="K4615" t="s">
        <v>29082</v>
      </c>
      <c r="L4615" t="e" vm="56">
        <f>_FV(0,"023")</f>
        <v>#VALUE!</v>
      </c>
    </row>
    <row r="4616" spans="1:12" x14ac:dyDescent="0.25">
      <c r="A4616">
        <v>833943</v>
      </c>
      <c r="B4616">
        <v>834283</v>
      </c>
      <c r="D4616">
        <v>0</v>
      </c>
      <c r="E4616" t="s">
        <v>29084</v>
      </c>
      <c r="F4616" t="s">
        <v>29085</v>
      </c>
      <c r="G4616" t="s">
        <v>29086</v>
      </c>
      <c r="H4616" t="e" vm="2007">
        <f>_FV(0,"025192260590520786")</f>
        <v>#VALUE!</v>
      </c>
      <c r="I4616" t="s">
        <v>29087</v>
      </c>
      <c r="J4616" t="s">
        <v>29088</v>
      </c>
      <c r="K4616" t="s">
        <v>29089</v>
      </c>
      <c r="L4616" t="s">
        <v>29083</v>
      </c>
    </row>
    <row r="4617" spans="1:12" x14ac:dyDescent="0.25">
      <c r="A4617">
        <v>833952</v>
      </c>
      <c r="B4617">
        <v>833968</v>
      </c>
      <c r="D4617">
        <v>0</v>
      </c>
      <c r="E4617" t="s">
        <v>29091</v>
      </c>
      <c r="F4617" t="s">
        <v>29092</v>
      </c>
      <c r="G4617" t="s">
        <v>29093</v>
      </c>
      <c r="H4617" t="e" vm="2008">
        <f>_FV(0,"058014977617191245")</f>
        <v>#VALUE!</v>
      </c>
      <c r="I4617" t="s">
        <v>29094</v>
      </c>
      <c r="J4617" t="s">
        <v>29095</v>
      </c>
      <c r="K4617" t="s">
        <v>29096</v>
      </c>
      <c r="L4617" t="s">
        <v>29090</v>
      </c>
    </row>
    <row r="4618" spans="1:12" x14ac:dyDescent="0.25">
      <c r="A4618">
        <v>833952</v>
      </c>
      <c r="B4618">
        <v>834411</v>
      </c>
      <c r="D4618">
        <v>0</v>
      </c>
      <c r="E4618" t="s">
        <v>29098</v>
      </c>
      <c r="F4618" t="s">
        <v>29099</v>
      </c>
      <c r="G4618" t="s">
        <v>29100</v>
      </c>
      <c r="H4618" t="e" vm="2009">
        <f>_FV(0,"020646981617387417")</f>
        <v>#VALUE!</v>
      </c>
      <c r="I4618" t="s">
        <v>29101</v>
      </c>
      <c r="J4618" t="s">
        <v>29102</v>
      </c>
      <c r="K4618" t="s">
        <v>29103</v>
      </c>
      <c r="L4618" t="s">
        <v>29097</v>
      </c>
    </row>
    <row r="4619" spans="1:12" x14ac:dyDescent="0.25">
      <c r="A4619">
        <v>833968</v>
      </c>
      <c r="B4619">
        <v>834411</v>
      </c>
      <c r="D4619">
        <v>0</v>
      </c>
      <c r="E4619" t="s">
        <v>29105</v>
      </c>
      <c r="F4619" t="s">
        <v>29106</v>
      </c>
      <c r="G4619" t="s">
        <v>29107</v>
      </c>
      <c r="H4619" t="s">
        <v>29108</v>
      </c>
      <c r="I4619" t="s">
        <v>29109</v>
      </c>
      <c r="J4619" t="s">
        <v>29104</v>
      </c>
      <c r="K4619" t="s">
        <v>29110</v>
      </c>
      <c r="L4619" t="s">
        <v>29104</v>
      </c>
    </row>
    <row r="4620" spans="1:12" x14ac:dyDescent="0.25">
      <c r="A4620">
        <v>833982</v>
      </c>
      <c r="B4620">
        <v>833983</v>
      </c>
      <c r="D4620">
        <v>0</v>
      </c>
      <c r="F4620">
        <v>860797</v>
      </c>
      <c r="G4620">
        <v>833983</v>
      </c>
      <c r="H4620" t="s">
        <v>304</v>
      </c>
      <c r="I4620">
        <v>833982</v>
      </c>
      <c r="J4620" t="s">
        <v>304</v>
      </c>
      <c r="K4620" t="s">
        <v>29111</v>
      </c>
      <c r="L4620" t="s">
        <v>304</v>
      </c>
    </row>
    <row r="4621" spans="1:12" x14ac:dyDescent="0.25">
      <c r="A4621">
        <v>833982</v>
      </c>
      <c r="B4621">
        <v>834022</v>
      </c>
      <c r="D4621">
        <v>0</v>
      </c>
      <c r="E4621" t="s">
        <v>29113</v>
      </c>
      <c r="F4621" t="s">
        <v>29114</v>
      </c>
      <c r="G4621" t="s">
        <v>29115</v>
      </c>
      <c r="H4621" t="s">
        <v>29116</v>
      </c>
      <c r="I4621" t="s">
        <v>29117</v>
      </c>
      <c r="J4621" t="s">
        <v>29112</v>
      </c>
      <c r="K4621" t="s">
        <v>29118</v>
      </c>
      <c r="L4621" t="s">
        <v>29112</v>
      </c>
    </row>
    <row r="4622" spans="1:12" x14ac:dyDescent="0.25">
      <c r="A4622">
        <v>833982</v>
      </c>
      <c r="B4622">
        <v>837171</v>
      </c>
      <c r="D4622">
        <v>0</v>
      </c>
      <c r="E4622" t="s">
        <v>29119</v>
      </c>
      <c r="F4622" t="s">
        <v>29120</v>
      </c>
      <c r="G4622" t="s">
        <v>29121</v>
      </c>
      <c r="H4622" t="e" vm="2010">
        <f>_FV(0,"0012498060606442537")</f>
        <v>#VALUE!</v>
      </c>
      <c r="I4622" t="s">
        <v>29122</v>
      </c>
      <c r="J4622" t="s">
        <v>6123</v>
      </c>
      <c r="K4622" t="s">
        <v>29123</v>
      </c>
      <c r="L4622" t="s">
        <v>13095</v>
      </c>
    </row>
    <row r="4623" spans="1:12" x14ac:dyDescent="0.25">
      <c r="A4623">
        <v>833983</v>
      </c>
      <c r="B4623">
        <v>834015</v>
      </c>
      <c r="D4623">
        <v>0</v>
      </c>
      <c r="E4623" t="s">
        <v>29125</v>
      </c>
      <c r="F4623" t="s">
        <v>29126</v>
      </c>
      <c r="G4623" t="s">
        <v>29127</v>
      </c>
      <c r="H4623" t="e" vm="2011">
        <f>_FV(0,"016458134425375564")</f>
        <v>#VALUE!</v>
      </c>
      <c r="I4623" t="s">
        <v>29128</v>
      </c>
      <c r="J4623" t="s">
        <v>29129</v>
      </c>
      <c r="K4623" t="s">
        <v>29130</v>
      </c>
      <c r="L4623" t="s">
        <v>29124</v>
      </c>
    </row>
    <row r="4624" spans="1:12" x14ac:dyDescent="0.25">
      <c r="A4624">
        <v>833983</v>
      </c>
      <c r="B4624">
        <v>834211</v>
      </c>
      <c r="D4624">
        <v>0</v>
      </c>
      <c r="E4624" t="s">
        <v>29132</v>
      </c>
      <c r="F4624" t="s">
        <v>29133</v>
      </c>
      <c r="G4624" t="s">
        <v>29134</v>
      </c>
      <c r="H4624" t="s">
        <v>29135</v>
      </c>
      <c r="I4624" t="s">
        <v>29136</v>
      </c>
      <c r="J4624" t="s">
        <v>29131</v>
      </c>
      <c r="K4624" t="s">
        <v>29137</v>
      </c>
      <c r="L4624" t="s">
        <v>29131</v>
      </c>
    </row>
    <row r="4625" spans="1:12" x14ac:dyDescent="0.25">
      <c r="A4625">
        <v>834015</v>
      </c>
      <c r="B4625">
        <v>834022</v>
      </c>
      <c r="D4625">
        <v>0</v>
      </c>
      <c r="F4625">
        <v>860837</v>
      </c>
      <c r="G4625">
        <v>834022</v>
      </c>
      <c r="H4625" t="e" vm="481">
        <f>_FV(0,"029")</f>
        <v>#VALUE!</v>
      </c>
      <c r="I4625">
        <v>834015</v>
      </c>
      <c r="J4625" t="s">
        <v>5410</v>
      </c>
      <c r="K4625" t="s">
        <v>29138</v>
      </c>
      <c r="L4625" t="e" vm="481">
        <f>_FV(0,"029")</f>
        <v>#VALUE!</v>
      </c>
    </row>
    <row r="4626" spans="1:12" x14ac:dyDescent="0.25">
      <c r="A4626">
        <v>834015</v>
      </c>
      <c r="B4626">
        <v>834162</v>
      </c>
      <c r="D4626">
        <v>0</v>
      </c>
      <c r="E4626" t="s">
        <v>29140</v>
      </c>
      <c r="F4626" t="s">
        <v>29141</v>
      </c>
      <c r="G4626" t="s">
        <v>29142</v>
      </c>
      <c r="H4626" t="e" vm="2012">
        <f>_FV(0,"020829564851881675")</f>
        <v>#VALUE!</v>
      </c>
      <c r="I4626" t="s">
        <v>29143</v>
      </c>
      <c r="J4626" t="s">
        <v>29144</v>
      </c>
      <c r="K4626" t="s">
        <v>29145</v>
      </c>
      <c r="L4626" t="s">
        <v>29139</v>
      </c>
    </row>
    <row r="4627" spans="1:12" x14ac:dyDescent="0.25">
      <c r="A4627">
        <v>834022</v>
      </c>
      <c r="B4627">
        <v>837171</v>
      </c>
      <c r="D4627">
        <v>0</v>
      </c>
      <c r="E4627" t="s">
        <v>29147</v>
      </c>
      <c r="F4627" t="s">
        <v>29148</v>
      </c>
      <c r="G4627" t="s">
        <v>29149</v>
      </c>
      <c r="H4627" t="e" vm="2013">
        <f>_FV(0,"018351213072804566")</f>
        <v>#VALUE!</v>
      </c>
      <c r="I4627" t="s">
        <v>29150</v>
      </c>
      <c r="J4627" t="s">
        <v>29151</v>
      </c>
      <c r="K4627" t="s">
        <v>29152</v>
      </c>
      <c r="L4627" t="s">
        <v>29146</v>
      </c>
    </row>
    <row r="4628" spans="1:12" x14ac:dyDescent="0.25">
      <c r="A4628">
        <v>834162</v>
      </c>
      <c r="B4628">
        <v>834211</v>
      </c>
      <c r="D4628">
        <v>0</v>
      </c>
      <c r="E4628" t="s">
        <v>29154</v>
      </c>
      <c r="F4628" t="s">
        <v>29155</v>
      </c>
      <c r="G4628" t="s">
        <v>29156</v>
      </c>
      <c r="H4628" t="e" vm="2014">
        <f>_FV(0,"0005815818093474702")</f>
        <v>#VALUE!</v>
      </c>
      <c r="I4628" t="s">
        <v>29157</v>
      </c>
      <c r="J4628" t="s">
        <v>29158</v>
      </c>
      <c r="K4628" t="s">
        <v>29159</v>
      </c>
      <c r="L4628" t="s">
        <v>29153</v>
      </c>
    </row>
    <row r="4629" spans="1:12" x14ac:dyDescent="0.25">
      <c r="A4629">
        <v>834211</v>
      </c>
      <c r="B4629">
        <v>834225</v>
      </c>
      <c r="D4629">
        <v>0</v>
      </c>
      <c r="E4629" t="s">
        <v>29161</v>
      </c>
      <c r="F4629" t="s">
        <v>29162</v>
      </c>
      <c r="G4629" t="s">
        <v>29163</v>
      </c>
      <c r="H4629" t="s">
        <v>29164</v>
      </c>
      <c r="I4629" t="s">
        <v>29165</v>
      </c>
      <c r="J4629" t="s">
        <v>29166</v>
      </c>
      <c r="K4629" t="s">
        <v>29167</v>
      </c>
      <c r="L4629" t="s">
        <v>29160</v>
      </c>
    </row>
    <row r="4630" spans="1:12" x14ac:dyDescent="0.25">
      <c r="A4630">
        <v>834225</v>
      </c>
      <c r="B4630">
        <v>887273</v>
      </c>
      <c r="D4630" t="s">
        <v>3624</v>
      </c>
      <c r="E4630" t="s">
        <v>29169</v>
      </c>
      <c r="F4630" t="s">
        <v>29170</v>
      </c>
      <c r="G4630" t="s">
        <v>29171</v>
      </c>
      <c r="H4630" t="s">
        <v>29172</v>
      </c>
      <c r="I4630" t="s">
        <v>29173</v>
      </c>
      <c r="J4630" t="s">
        <v>29174</v>
      </c>
      <c r="K4630" t="s">
        <v>29175</v>
      </c>
      <c r="L4630" t="s">
        <v>29168</v>
      </c>
    </row>
    <row r="4631" spans="1:12" x14ac:dyDescent="0.25">
      <c r="A4631">
        <v>834225</v>
      </c>
      <c r="B4631">
        <v>834283</v>
      </c>
      <c r="D4631">
        <v>0</v>
      </c>
      <c r="E4631" t="s">
        <v>29177</v>
      </c>
      <c r="F4631" t="s">
        <v>29178</v>
      </c>
      <c r="G4631" t="s">
        <v>29179</v>
      </c>
      <c r="H4631" t="s">
        <v>29180</v>
      </c>
      <c r="I4631" t="s">
        <v>29181</v>
      </c>
      <c r="J4631" t="s">
        <v>29176</v>
      </c>
      <c r="K4631" t="s">
        <v>29182</v>
      </c>
      <c r="L4631" t="s">
        <v>29176</v>
      </c>
    </row>
    <row r="4632" spans="1:12" x14ac:dyDescent="0.25">
      <c r="A4632">
        <v>834256</v>
      </c>
      <c r="B4632">
        <v>834283</v>
      </c>
      <c r="D4632">
        <v>0</v>
      </c>
      <c r="E4632" t="s">
        <v>29184</v>
      </c>
      <c r="F4632" t="s">
        <v>29185</v>
      </c>
      <c r="G4632" t="s">
        <v>29186</v>
      </c>
      <c r="H4632" t="e" vm="2015">
        <f>_FV(0,"001776527472969465")</f>
        <v>#VALUE!</v>
      </c>
      <c r="I4632" t="s">
        <v>29187</v>
      </c>
      <c r="J4632" t="s">
        <v>29188</v>
      </c>
      <c r="K4632" t="s">
        <v>29189</v>
      </c>
      <c r="L4632" t="s">
        <v>29183</v>
      </c>
    </row>
    <row r="4633" spans="1:12" x14ac:dyDescent="0.25">
      <c r="A4633">
        <v>834411</v>
      </c>
      <c r="B4633">
        <v>837171</v>
      </c>
      <c r="D4633">
        <v>1</v>
      </c>
      <c r="F4633">
        <v>864925</v>
      </c>
      <c r="G4633">
        <v>837171</v>
      </c>
      <c r="H4633" t="e" vm="18">
        <f>_FV(0,"004")</f>
        <v>#VALUE!</v>
      </c>
      <c r="I4633">
        <v>834411</v>
      </c>
      <c r="J4633" t="s">
        <v>239</v>
      </c>
      <c r="K4633" t="s">
        <v>29190</v>
      </c>
      <c r="L4633" t="e" vm="18">
        <f>_FV(0,"004")</f>
        <v>#VALUE!</v>
      </c>
    </row>
    <row r="4634" spans="1:12" x14ac:dyDescent="0.25">
      <c r="A4634">
        <v>837704</v>
      </c>
      <c r="B4634">
        <v>837711</v>
      </c>
      <c r="D4634">
        <v>0</v>
      </c>
      <c r="F4634">
        <v>864652</v>
      </c>
      <c r="G4634">
        <v>837711</v>
      </c>
      <c r="H4634" t="e" vm="221">
        <f>_FV(0,"052")</f>
        <v>#VALUE!</v>
      </c>
      <c r="I4634">
        <v>837704</v>
      </c>
      <c r="J4634" t="s">
        <v>3378</v>
      </c>
      <c r="K4634" t="s">
        <v>29191</v>
      </c>
      <c r="L4634" t="e" vm="221">
        <f>_FV(0,"052")</f>
        <v>#VALUE!</v>
      </c>
    </row>
    <row r="4635" spans="1:12" x14ac:dyDescent="0.25">
      <c r="A4635">
        <v>837704</v>
      </c>
      <c r="B4635">
        <v>837739</v>
      </c>
      <c r="D4635">
        <v>0</v>
      </c>
      <c r="E4635" t="s">
        <v>29193</v>
      </c>
      <c r="F4635" t="s">
        <v>29194</v>
      </c>
      <c r="G4635" t="s">
        <v>29195</v>
      </c>
      <c r="H4635" t="e" vm="2016">
        <f>_FV(-5,"962368635495186e")-5</f>
        <v>#VALUE!</v>
      </c>
      <c r="I4635" t="s">
        <v>29196</v>
      </c>
      <c r="J4635" t="s">
        <v>4112</v>
      </c>
      <c r="K4635" t="s">
        <v>29197</v>
      </c>
      <c r="L4635" t="s">
        <v>29192</v>
      </c>
    </row>
    <row r="4636" spans="1:12" x14ac:dyDescent="0.25">
      <c r="A4636">
        <v>837704</v>
      </c>
      <c r="B4636">
        <v>1541073</v>
      </c>
      <c r="D4636">
        <v>0</v>
      </c>
      <c r="E4636" t="s">
        <v>29199</v>
      </c>
      <c r="F4636" t="s">
        <v>29200</v>
      </c>
      <c r="G4636" t="s">
        <v>29201</v>
      </c>
      <c r="H4636" t="e" vm="2017">
        <f>_FV(0,"059699996549745886")</f>
        <v>#VALUE!</v>
      </c>
      <c r="I4636" t="s">
        <v>29202</v>
      </c>
      <c r="J4636" t="s">
        <v>29203</v>
      </c>
      <c r="K4636" t="s">
        <v>29204</v>
      </c>
      <c r="L4636" t="s">
        <v>29198</v>
      </c>
    </row>
    <row r="4637" spans="1:12" x14ac:dyDescent="0.25">
      <c r="A4637">
        <v>837711</v>
      </c>
      <c r="B4637">
        <v>837718</v>
      </c>
      <c r="D4637">
        <v>0</v>
      </c>
      <c r="F4637">
        <v>864660</v>
      </c>
      <c r="G4637">
        <v>837718</v>
      </c>
      <c r="H4637" t="e" vm="488">
        <f>_FV(0,"047")</f>
        <v>#VALUE!</v>
      </c>
      <c r="I4637">
        <v>837711</v>
      </c>
      <c r="J4637" t="s">
        <v>2292</v>
      </c>
      <c r="K4637" t="s">
        <v>29205</v>
      </c>
      <c r="L4637" t="e" vm="488">
        <f>_FV(0,"047")</f>
        <v>#VALUE!</v>
      </c>
    </row>
    <row r="4638" spans="1:12" x14ac:dyDescent="0.25">
      <c r="A4638">
        <v>837718</v>
      </c>
      <c r="B4638">
        <v>837727</v>
      </c>
      <c r="D4638">
        <v>0</v>
      </c>
      <c r="E4638" t="s">
        <v>29207</v>
      </c>
      <c r="F4638" t="s">
        <v>29208</v>
      </c>
      <c r="G4638" t="s">
        <v>29209</v>
      </c>
      <c r="H4638" t="e" vm="2018">
        <f>_FV(0,"020224371228056266")</f>
        <v>#VALUE!</v>
      </c>
      <c r="I4638" t="s">
        <v>29210</v>
      </c>
      <c r="J4638" t="s">
        <v>29211</v>
      </c>
      <c r="K4638" t="s">
        <v>29212</v>
      </c>
      <c r="L4638" t="s">
        <v>29206</v>
      </c>
    </row>
    <row r="4639" spans="1:12" x14ac:dyDescent="0.25">
      <c r="A4639">
        <v>837718</v>
      </c>
      <c r="B4639">
        <v>837790</v>
      </c>
      <c r="D4639">
        <v>0</v>
      </c>
      <c r="E4639" t="s">
        <v>29214</v>
      </c>
      <c r="F4639" t="s">
        <v>29215</v>
      </c>
      <c r="G4639" t="s">
        <v>29216</v>
      </c>
      <c r="H4639" t="e" vm="2019">
        <f>_FV(0,"0575102058577473")</f>
        <v>#VALUE!</v>
      </c>
      <c r="I4639" t="s">
        <v>29217</v>
      </c>
      <c r="J4639" t="s">
        <v>29218</v>
      </c>
      <c r="K4639" t="s">
        <v>29219</v>
      </c>
      <c r="L4639" t="s">
        <v>29213</v>
      </c>
    </row>
    <row r="4640" spans="1:12" x14ac:dyDescent="0.25">
      <c r="A4640">
        <v>837727</v>
      </c>
      <c r="B4640">
        <v>837730</v>
      </c>
      <c r="D4640">
        <v>0</v>
      </c>
      <c r="F4640">
        <v>864672</v>
      </c>
      <c r="G4640">
        <v>837730</v>
      </c>
      <c r="H4640" t="s">
        <v>2841</v>
      </c>
      <c r="I4640">
        <v>837727</v>
      </c>
      <c r="J4640" t="s">
        <v>2841</v>
      </c>
      <c r="K4640" t="s">
        <v>29220</v>
      </c>
      <c r="L4640" t="s">
        <v>2841</v>
      </c>
    </row>
    <row r="4641" spans="1:12" x14ac:dyDescent="0.25">
      <c r="A4641">
        <v>837727</v>
      </c>
      <c r="B4641">
        <v>837790</v>
      </c>
      <c r="D4641">
        <v>0</v>
      </c>
      <c r="E4641" t="s">
        <v>29222</v>
      </c>
      <c r="F4641" t="s">
        <v>29223</v>
      </c>
      <c r="G4641" t="s">
        <v>29224</v>
      </c>
      <c r="H4641" t="e" vm="2020">
        <f>_FV(0,"03428869444786858")</f>
        <v>#VALUE!</v>
      </c>
      <c r="I4641" t="s">
        <v>29225</v>
      </c>
      <c r="J4641" t="s">
        <v>29226</v>
      </c>
      <c r="K4641" t="s">
        <v>29227</v>
      </c>
      <c r="L4641" t="s">
        <v>29221</v>
      </c>
    </row>
    <row r="4642" spans="1:12" x14ac:dyDescent="0.25">
      <c r="A4642">
        <v>837730</v>
      </c>
      <c r="B4642">
        <v>837739</v>
      </c>
      <c r="D4642">
        <v>0</v>
      </c>
      <c r="F4642">
        <v>864680</v>
      </c>
      <c r="G4642">
        <v>837739</v>
      </c>
      <c r="H4642" t="s">
        <v>29228</v>
      </c>
      <c r="I4642">
        <v>837730</v>
      </c>
      <c r="J4642" t="s">
        <v>29228</v>
      </c>
      <c r="K4642" t="s">
        <v>29229</v>
      </c>
      <c r="L4642" t="s">
        <v>29228</v>
      </c>
    </row>
    <row r="4643" spans="1:12" x14ac:dyDescent="0.25">
      <c r="A4643">
        <v>837739</v>
      </c>
      <c r="B4643">
        <v>1541059</v>
      </c>
      <c r="D4643">
        <v>0</v>
      </c>
      <c r="E4643" t="s">
        <v>29231</v>
      </c>
      <c r="F4643" t="s">
        <v>29232</v>
      </c>
      <c r="G4643" t="s">
        <v>29233</v>
      </c>
      <c r="H4643" t="e" vm="2021">
        <f>_FV(0,"06803318581812992")</f>
        <v>#VALUE!</v>
      </c>
      <c r="I4643" t="s">
        <v>29234</v>
      </c>
      <c r="J4643" t="s">
        <v>29235</v>
      </c>
      <c r="K4643" t="s">
        <v>29236</v>
      </c>
      <c r="L4643" t="s">
        <v>29230</v>
      </c>
    </row>
    <row r="4644" spans="1:12" x14ac:dyDescent="0.25">
      <c r="A4644">
        <v>837790</v>
      </c>
      <c r="B4644">
        <v>837803</v>
      </c>
      <c r="D4644">
        <v>0</v>
      </c>
      <c r="F4644">
        <v>864736</v>
      </c>
      <c r="G4644">
        <v>837803</v>
      </c>
      <c r="H4644" t="e" vm="572">
        <f>_FV(0,"021")</f>
        <v>#VALUE!</v>
      </c>
      <c r="I4644">
        <v>837790</v>
      </c>
      <c r="J4644" t="s">
        <v>1536</v>
      </c>
      <c r="K4644" t="s">
        <v>29237</v>
      </c>
      <c r="L4644" t="e" vm="572">
        <f>_FV(0,"021")</f>
        <v>#VALUE!</v>
      </c>
    </row>
    <row r="4645" spans="1:12" x14ac:dyDescent="0.25">
      <c r="A4645">
        <v>837803</v>
      </c>
      <c r="B4645">
        <v>1853959</v>
      </c>
      <c r="D4645">
        <v>0</v>
      </c>
      <c r="E4645" t="s">
        <v>29239</v>
      </c>
      <c r="F4645" t="s">
        <v>29240</v>
      </c>
      <c r="G4645" t="s">
        <v>29241</v>
      </c>
      <c r="H4645" t="s">
        <v>29242</v>
      </c>
      <c r="I4645" t="s">
        <v>29243</v>
      </c>
      <c r="J4645" t="s">
        <v>29244</v>
      </c>
      <c r="K4645" t="s">
        <v>29245</v>
      </c>
      <c r="L4645" t="s">
        <v>29238</v>
      </c>
    </row>
    <row r="4646" spans="1:12" x14ac:dyDescent="0.25">
      <c r="A4646">
        <v>837851</v>
      </c>
      <c r="B4646">
        <v>1541073</v>
      </c>
      <c r="D4646">
        <v>0</v>
      </c>
      <c r="F4646">
        <v>1734307</v>
      </c>
      <c r="G4646">
        <v>1541073</v>
      </c>
      <c r="H4646" t="e" vm="2022">
        <f>_FV(0,"061")</f>
        <v>#VALUE!</v>
      </c>
      <c r="I4646">
        <v>837851</v>
      </c>
      <c r="J4646" t="s">
        <v>29228</v>
      </c>
      <c r="K4646" t="s">
        <v>29246</v>
      </c>
      <c r="L4646" t="e" vm="2022">
        <f>_FV(0,"061")</f>
        <v>#VALUE!</v>
      </c>
    </row>
    <row r="4647" spans="1:12" x14ac:dyDescent="0.25">
      <c r="A4647">
        <v>837851</v>
      </c>
      <c r="B4647">
        <v>1541064</v>
      </c>
      <c r="D4647">
        <v>0</v>
      </c>
      <c r="E4647" t="s">
        <v>29248</v>
      </c>
      <c r="F4647" t="s">
        <v>29249</v>
      </c>
      <c r="G4647" t="s">
        <v>29250</v>
      </c>
      <c r="H4647" t="e" vm="2023">
        <f>_FV(0,"017394602391167913")</f>
        <v>#VALUE!</v>
      </c>
      <c r="I4647" t="s">
        <v>29251</v>
      </c>
      <c r="J4647" t="s">
        <v>29252</v>
      </c>
      <c r="K4647" t="s">
        <v>29253</v>
      </c>
      <c r="L4647" t="s">
        <v>29247</v>
      </c>
    </row>
    <row r="4648" spans="1:12" x14ac:dyDescent="0.25">
      <c r="A4648">
        <v>861678</v>
      </c>
      <c r="B4648">
        <v>861689</v>
      </c>
      <c r="D4648">
        <v>0</v>
      </c>
      <c r="E4648" t="s">
        <v>29255</v>
      </c>
      <c r="F4648" t="s">
        <v>29256</v>
      </c>
      <c r="G4648" t="s">
        <v>29257</v>
      </c>
      <c r="H4648" t="e" vm="2024">
        <f>_FV(0,"02102244548071488")</f>
        <v>#VALUE!</v>
      </c>
      <c r="I4648" t="s">
        <v>29258</v>
      </c>
      <c r="J4648" t="s">
        <v>29259</v>
      </c>
      <c r="K4648" t="s">
        <v>29260</v>
      </c>
      <c r="L4648" t="s">
        <v>29254</v>
      </c>
    </row>
    <row r="4649" spans="1:12" x14ac:dyDescent="0.25">
      <c r="A4649">
        <v>861678</v>
      </c>
      <c r="B4649">
        <v>861689</v>
      </c>
      <c r="D4649">
        <v>0</v>
      </c>
      <c r="E4649" t="s">
        <v>29262</v>
      </c>
      <c r="F4649" t="s">
        <v>29263</v>
      </c>
      <c r="G4649" t="s">
        <v>29264</v>
      </c>
      <c r="H4649" t="e" vm="2025">
        <f>_FV(0,"02153122677807946")</f>
        <v>#VALUE!</v>
      </c>
      <c r="I4649" t="s">
        <v>29265</v>
      </c>
      <c r="J4649" t="s">
        <v>29266</v>
      </c>
      <c r="K4649" t="s">
        <v>29267</v>
      </c>
      <c r="L4649" t="s">
        <v>29261</v>
      </c>
    </row>
    <row r="4650" spans="1:12" x14ac:dyDescent="0.25">
      <c r="A4650">
        <v>861689</v>
      </c>
      <c r="B4650">
        <v>861711</v>
      </c>
      <c r="D4650">
        <v>0</v>
      </c>
      <c r="E4650" t="s">
        <v>29269</v>
      </c>
      <c r="F4650" t="s">
        <v>29270</v>
      </c>
      <c r="G4650" t="s">
        <v>29271</v>
      </c>
      <c r="H4650" t="e" vm="2026">
        <f>_FV(0,"055547453965101884")</f>
        <v>#VALUE!</v>
      </c>
      <c r="I4650" t="s">
        <v>29272</v>
      </c>
      <c r="J4650" t="s">
        <v>29273</v>
      </c>
      <c r="K4650" t="s">
        <v>29274</v>
      </c>
      <c r="L4650" t="s">
        <v>29268</v>
      </c>
    </row>
    <row r="4651" spans="1:12" x14ac:dyDescent="0.25">
      <c r="A4651">
        <v>873604</v>
      </c>
      <c r="B4651">
        <v>884281</v>
      </c>
      <c r="D4651">
        <v>0</v>
      </c>
      <c r="E4651" t="s">
        <v>29276</v>
      </c>
      <c r="F4651" t="s">
        <v>29277</v>
      </c>
      <c r="G4651" t="s">
        <v>29278</v>
      </c>
      <c r="H4651" t="e" vm="2027">
        <f>_FV(0,"42345290414015624")</f>
        <v>#VALUE!</v>
      </c>
      <c r="I4651" t="s">
        <v>29279</v>
      </c>
      <c r="J4651" t="s">
        <v>29280</v>
      </c>
      <c r="K4651" t="s">
        <v>29281</v>
      </c>
      <c r="L4651" t="s">
        <v>29275</v>
      </c>
    </row>
    <row r="4652" spans="1:12" x14ac:dyDescent="0.25">
      <c r="A4652">
        <v>873651</v>
      </c>
      <c r="B4652">
        <v>884168</v>
      </c>
      <c r="D4652">
        <v>0</v>
      </c>
      <c r="F4652">
        <v>910658</v>
      </c>
      <c r="G4652">
        <v>884168</v>
      </c>
      <c r="H4652" t="s">
        <v>4331</v>
      </c>
      <c r="I4652">
        <v>873651</v>
      </c>
      <c r="J4652" t="s">
        <v>4331</v>
      </c>
      <c r="K4652" t="s">
        <v>29282</v>
      </c>
      <c r="L4652" t="s">
        <v>4331</v>
      </c>
    </row>
    <row r="4653" spans="1:12" x14ac:dyDescent="0.25">
      <c r="A4653">
        <v>873651</v>
      </c>
      <c r="B4653">
        <v>873669</v>
      </c>
      <c r="D4653" t="s">
        <v>204</v>
      </c>
      <c r="E4653" t="s">
        <v>29284</v>
      </c>
      <c r="F4653" t="s">
        <v>29285</v>
      </c>
      <c r="G4653" t="s">
        <v>29286</v>
      </c>
      <c r="H4653" t="e" vm="2028">
        <f>_FV(0,"010627138104756259")</f>
        <v>#VALUE!</v>
      </c>
      <c r="I4653" t="s">
        <v>29287</v>
      </c>
      <c r="J4653" t="s">
        <v>29288</v>
      </c>
      <c r="K4653" t="s">
        <v>29289</v>
      </c>
      <c r="L4653" t="s">
        <v>29283</v>
      </c>
    </row>
    <row r="4654" spans="1:12" x14ac:dyDescent="0.25">
      <c r="A4654">
        <v>873669</v>
      </c>
      <c r="B4654">
        <v>884227</v>
      </c>
      <c r="D4654">
        <v>0</v>
      </c>
      <c r="F4654">
        <v>910706</v>
      </c>
      <c r="G4654">
        <v>873669</v>
      </c>
      <c r="H4654" t="e" vm="2029">
        <f>_FV(0,"154")</f>
        <v>#VALUE!</v>
      </c>
      <c r="I4654">
        <v>884227</v>
      </c>
      <c r="J4654" t="s">
        <v>6310</v>
      </c>
      <c r="K4654" t="s">
        <v>29290</v>
      </c>
      <c r="L4654" t="e" vm="2029">
        <f>_FV(0,"154")</f>
        <v>#VALUE!</v>
      </c>
    </row>
    <row r="4655" spans="1:12" x14ac:dyDescent="0.25">
      <c r="A4655">
        <v>875429</v>
      </c>
      <c r="B4655">
        <v>875437</v>
      </c>
      <c r="D4655">
        <v>0</v>
      </c>
      <c r="E4655" t="s">
        <v>29292</v>
      </c>
      <c r="F4655" t="s">
        <v>29293</v>
      </c>
      <c r="G4655" t="s">
        <v>29294</v>
      </c>
      <c r="H4655" t="e" vm="2030">
        <f>_FV(0,"044364720535370536")</f>
        <v>#VALUE!</v>
      </c>
      <c r="I4655" t="s">
        <v>29295</v>
      </c>
      <c r="J4655" t="s">
        <v>29296</v>
      </c>
      <c r="K4655" t="s">
        <v>29297</v>
      </c>
      <c r="L4655" t="s">
        <v>29291</v>
      </c>
    </row>
    <row r="4656" spans="1:12" x14ac:dyDescent="0.25">
      <c r="A4656">
        <v>875429</v>
      </c>
      <c r="B4656">
        <v>875467</v>
      </c>
      <c r="D4656">
        <v>0</v>
      </c>
      <c r="F4656">
        <v>900926</v>
      </c>
      <c r="G4656">
        <v>875429</v>
      </c>
      <c r="H4656" t="s">
        <v>2916</v>
      </c>
      <c r="I4656">
        <v>875467</v>
      </c>
      <c r="J4656" t="s">
        <v>2916</v>
      </c>
      <c r="K4656" t="s">
        <v>29298</v>
      </c>
      <c r="L4656" t="s">
        <v>2916</v>
      </c>
    </row>
    <row r="4657" spans="1:12" x14ac:dyDescent="0.25">
      <c r="A4657">
        <v>875429</v>
      </c>
      <c r="B4657">
        <v>1148895</v>
      </c>
      <c r="D4657">
        <v>0</v>
      </c>
      <c r="E4657" t="s">
        <v>29300</v>
      </c>
      <c r="F4657" t="s">
        <v>29301</v>
      </c>
      <c r="G4657" t="s">
        <v>29302</v>
      </c>
      <c r="H4657" t="e" vm="2031">
        <f>_FV(0,"038342933782147794")</f>
        <v>#VALUE!</v>
      </c>
      <c r="I4657" t="s">
        <v>29303</v>
      </c>
      <c r="J4657" t="s">
        <v>29304</v>
      </c>
      <c r="K4657" t="s">
        <v>29305</v>
      </c>
      <c r="L4657" t="s">
        <v>29299</v>
      </c>
    </row>
    <row r="4658" spans="1:12" x14ac:dyDescent="0.25">
      <c r="A4658">
        <v>875437</v>
      </c>
      <c r="B4658">
        <v>875447</v>
      </c>
      <c r="D4658">
        <v>0</v>
      </c>
      <c r="F4658">
        <v>900870</v>
      </c>
      <c r="G4658">
        <v>875447</v>
      </c>
      <c r="H4658" t="s">
        <v>697</v>
      </c>
      <c r="I4658">
        <v>875437</v>
      </c>
      <c r="J4658" t="s">
        <v>697</v>
      </c>
      <c r="K4658" t="s">
        <v>29306</v>
      </c>
      <c r="L4658" t="s">
        <v>697</v>
      </c>
    </row>
    <row r="4659" spans="1:12" x14ac:dyDescent="0.25">
      <c r="A4659">
        <v>875437</v>
      </c>
      <c r="B4659">
        <v>1148925</v>
      </c>
      <c r="D4659">
        <v>0</v>
      </c>
      <c r="E4659" t="s">
        <v>29308</v>
      </c>
      <c r="F4659" t="s">
        <v>29309</v>
      </c>
      <c r="G4659" t="s">
        <v>29310</v>
      </c>
      <c r="H4659" t="s">
        <v>29311</v>
      </c>
      <c r="I4659" t="s">
        <v>29312</v>
      </c>
      <c r="J4659" t="s">
        <v>29313</v>
      </c>
      <c r="K4659" t="s">
        <v>29314</v>
      </c>
      <c r="L4659" t="s">
        <v>29307</v>
      </c>
    </row>
    <row r="4660" spans="1:12" x14ac:dyDescent="0.25">
      <c r="A4660">
        <v>875447</v>
      </c>
      <c r="B4660">
        <v>875467</v>
      </c>
      <c r="D4660">
        <v>0</v>
      </c>
      <c r="E4660" t="s">
        <v>29316</v>
      </c>
      <c r="F4660" t="s">
        <v>29317</v>
      </c>
      <c r="G4660" t="s">
        <v>29318</v>
      </c>
      <c r="H4660" t="s">
        <v>29319</v>
      </c>
      <c r="I4660" t="s">
        <v>29320</v>
      </c>
      <c r="J4660" t="s">
        <v>29315</v>
      </c>
      <c r="K4660" t="s">
        <v>29321</v>
      </c>
      <c r="L4660" t="s">
        <v>29315</v>
      </c>
    </row>
    <row r="4661" spans="1:12" x14ac:dyDescent="0.25">
      <c r="A4661">
        <v>875447</v>
      </c>
      <c r="B4661">
        <v>891704</v>
      </c>
      <c r="D4661">
        <v>0</v>
      </c>
      <c r="E4661" t="s">
        <v>29323</v>
      </c>
      <c r="F4661" t="s">
        <v>29324</v>
      </c>
      <c r="G4661" t="s">
        <v>29325</v>
      </c>
      <c r="H4661" t="e" vm="2032">
        <f>_FV(0,"005779126109327175")</f>
        <v>#VALUE!</v>
      </c>
      <c r="I4661" t="s">
        <v>29326</v>
      </c>
      <c r="J4661" t="s">
        <v>29327</v>
      </c>
      <c r="K4661" t="s">
        <v>29328</v>
      </c>
      <c r="L4661" t="s">
        <v>29322</v>
      </c>
    </row>
    <row r="4662" spans="1:12" x14ac:dyDescent="0.25">
      <c r="A4662">
        <v>875467</v>
      </c>
      <c r="B4662">
        <v>891704</v>
      </c>
      <c r="D4662">
        <v>0</v>
      </c>
      <c r="E4662" t="s">
        <v>29330</v>
      </c>
      <c r="F4662" t="s">
        <v>29331</v>
      </c>
      <c r="G4662" t="s">
        <v>29332</v>
      </c>
      <c r="H4662" t="e" vm="2033">
        <f>_FV(0,"039708558962053185")</f>
        <v>#VALUE!</v>
      </c>
      <c r="I4662" t="s">
        <v>29333</v>
      </c>
      <c r="J4662" t="s">
        <v>29334</v>
      </c>
      <c r="K4662" t="s">
        <v>29335</v>
      </c>
      <c r="L4662" t="s">
        <v>29329</v>
      </c>
    </row>
    <row r="4663" spans="1:12" x14ac:dyDescent="0.25">
      <c r="A4663">
        <v>875532</v>
      </c>
      <c r="B4663">
        <v>875533</v>
      </c>
      <c r="D4663">
        <v>0</v>
      </c>
      <c r="F4663">
        <v>900941</v>
      </c>
      <c r="G4663">
        <v>875533</v>
      </c>
      <c r="H4663" t="s">
        <v>668</v>
      </c>
      <c r="I4663">
        <v>875532</v>
      </c>
      <c r="J4663" t="s">
        <v>668</v>
      </c>
      <c r="K4663" t="s">
        <v>29336</v>
      </c>
      <c r="L4663" t="s">
        <v>668</v>
      </c>
    </row>
    <row r="4664" spans="1:12" x14ac:dyDescent="0.25">
      <c r="A4664">
        <v>875532</v>
      </c>
      <c r="B4664">
        <v>875569</v>
      </c>
      <c r="D4664">
        <v>0</v>
      </c>
      <c r="E4664" t="s">
        <v>29338</v>
      </c>
      <c r="F4664" t="s">
        <v>29339</v>
      </c>
      <c r="G4664" t="s">
        <v>29340</v>
      </c>
      <c r="H4664" t="e" vm="2034">
        <f>_FV(0,"02618554514662324")</f>
        <v>#VALUE!</v>
      </c>
      <c r="I4664" t="s">
        <v>29341</v>
      </c>
      <c r="J4664" t="s">
        <v>29342</v>
      </c>
      <c r="K4664" t="s">
        <v>29343</v>
      </c>
      <c r="L4664" t="s">
        <v>29337</v>
      </c>
    </row>
    <row r="4665" spans="1:12" x14ac:dyDescent="0.25">
      <c r="A4665">
        <v>875532</v>
      </c>
      <c r="B4665">
        <v>891705</v>
      </c>
      <c r="D4665" t="s">
        <v>18083</v>
      </c>
      <c r="E4665" t="s">
        <v>29345</v>
      </c>
      <c r="F4665" t="s">
        <v>29346</v>
      </c>
      <c r="G4665" t="s">
        <v>29347</v>
      </c>
      <c r="H4665" t="s">
        <v>29348</v>
      </c>
      <c r="I4665" t="s">
        <v>29349</v>
      </c>
      <c r="J4665" t="s">
        <v>29350</v>
      </c>
      <c r="K4665" t="s">
        <v>29351</v>
      </c>
      <c r="L4665" t="s">
        <v>29344</v>
      </c>
    </row>
    <row r="4666" spans="1:12" x14ac:dyDescent="0.25">
      <c r="A4666">
        <v>875533</v>
      </c>
      <c r="B4666">
        <v>875561</v>
      </c>
      <c r="D4666">
        <v>0</v>
      </c>
      <c r="E4666" t="s">
        <v>29353</v>
      </c>
      <c r="F4666" t="s">
        <v>29354</v>
      </c>
      <c r="G4666" t="s">
        <v>29355</v>
      </c>
      <c r="H4666" t="s">
        <v>29356</v>
      </c>
      <c r="I4666" t="s">
        <v>29357</v>
      </c>
      <c r="J4666" t="s">
        <v>29358</v>
      </c>
      <c r="K4666" t="s">
        <v>29359</v>
      </c>
      <c r="L4666" t="s">
        <v>29352</v>
      </c>
    </row>
    <row r="4667" spans="1:12" x14ac:dyDescent="0.25">
      <c r="A4667">
        <v>875533</v>
      </c>
      <c r="B4667">
        <v>1148919</v>
      </c>
      <c r="D4667" t="s">
        <v>1990</v>
      </c>
      <c r="E4667" t="s">
        <v>29361</v>
      </c>
      <c r="F4667" t="s">
        <v>29362</v>
      </c>
      <c r="G4667" t="s">
        <v>29363</v>
      </c>
      <c r="H4667" t="e" vm="2035">
        <f>_FV(0,"005740468554977045")</f>
        <v>#VALUE!</v>
      </c>
      <c r="I4667" t="s">
        <v>29364</v>
      </c>
      <c r="J4667" t="s">
        <v>29365</v>
      </c>
      <c r="K4667" t="s">
        <v>29366</v>
      </c>
      <c r="L4667" t="s">
        <v>29360</v>
      </c>
    </row>
    <row r="4668" spans="1:12" x14ac:dyDescent="0.25">
      <c r="A4668">
        <v>875561</v>
      </c>
      <c r="B4668">
        <v>875569</v>
      </c>
      <c r="D4668">
        <v>0</v>
      </c>
      <c r="F4668">
        <v>900976</v>
      </c>
      <c r="G4668">
        <v>875569</v>
      </c>
      <c r="H4668" t="e" vm="975">
        <f>_FV(0,"135")</f>
        <v>#VALUE!</v>
      </c>
      <c r="I4668">
        <v>875561</v>
      </c>
      <c r="J4668" t="s">
        <v>14043</v>
      </c>
      <c r="K4668" t="s">
        <v>29367</v>
      </c>
      <c r="L4668" t="e" vm="975">
        <f>_FV(0,"135")</f>
        <v>#VALUE!</v>
      </c>
    </row>
    <row r="4669" spans="1:12" x14ac:dyDescent="0.25">
      <c r="A4669">
        <v>875561</v>
      </c>
      <c r="B4669">
        <v>1148885</v>
      </c>
      <c r="D4669">
        <v>0</v>
      </c>
      <c r="E4669" t="s">
        <v>29369</v>
      </c>
      <c r="F4669" t="s">
        <v>29370</v>
      </c>
      <c r="G4669" t="s">
        <v>29371</v>
      </c>
      <c r="H4669" t="s">
        <v>29372</v>
      </c>
      <c r="I4669" t="s">
        <v>29373</v>
      </c>
      <c r="J4669" t="s">
        <v>29374</v>
      </c>
      <c r="K4669" t="s">
        <v>29375</v>
      </c>
      <c r="L4669" t="s">
        <v>29368</v>
      </c>
    </row>
    <row r="4670" spans="1:12" x14ac:dyDescent="0.25">
      <c r="A4670">
        <v>875569</v>
      </c>
      <c r="B4670">
        <v>891705</v>
      </c>
      <c r="D4670" t="s">
        <v>18083</v>
      </c>
      <c r="E4670" t="s">
        <v>29377</v>
      </c>
      <c r="F4670" t="s">
        <v>29378</v>
      </c>
      <c r="G4670" t="s">
        <v>29379</v>
      </c>
      <c r="H4670" t="s">
        <v>29380</v>
      </c>
      <c r="I4670" t="s">
        <v>29381</v>
      </c>
      <c r="J4670" t="s">
        <v>29376</v>
      </c>
      <c r="K4670" t="s">
        <v>29382</v>
      </c>
      <c r="L4670" t="s">
        <v>29376</v>
      </c>
    </row>
    <row r="4671" spans="1:12" x14ac:dyDescent="0.25">
      <c r="A4671">
        <v>875575</v>
      </c>
      <c r="B4671">
        <v>875576</v>
      </c>
      <c r="D4671">
        <v>0</v>
      </c>
      <c r="F4671">
        <v>900983</v>
      </c>
      <c r="G4671">
        <v>875576</v>
      </c>
      <c r="H4671" t="s">
        <v>3940</v>
      </c>
      <c r="I4671">
        <v>875575</v>
      </c>
      <c r="J4671" t="s">
        <v>3940</v>
      </c>
      <c r="K4671" t="s">
        <v>29383</v>
      </c>
      <c r="L4671" t="s">
        <v>3940</v>
      </c>
    </row>
    <row r="4672" spans="1:12" x14ac:dyDescent="0.25">
      <c r="A4672">
        <v>875575</v>
      </c>
      <c r="B4672">
        <v>875596</v>
      </c>
      <c r="D4672">
        <v>0</v>
      </c>
      <c r="F4672">
        <v>901020</v>
      </c>
      <c r="G4672">
        <v>875575</v>
      </c>
      <c r="H4672" t="s">
        <v>29384</v>
      </c>
      <c r="I4672">
        <v>875596</v>
      </c>
      <c r="J4672" t="s">
        <v>29384</v>
      </c>
      <c r="K4672" t="s">
        <v>29385</v>
      </c>
      <c r="L4672" t="s">
        <v>29384</v>
      </c>
    </row>
    <row r="4673" spans="1:12" x14ac:dyDescent="0.25">
      <c r="A4673">
        <v>875575</v>
      </c>
      <c r="B4673">
        <v>1148942</v>
      </c>
      <c r="D4673">
        <v>0</v>
      </c>
      <c r="E4673" t="s">
        <v>29387</v>
      </c>
      <c r="F4673" t="s">
        <v>29388</v>
      </c>
      <c r="G4673" t="s">
        <v>29389</v>
      </c>
      <c r="H4673" t="s">
        <v>29390</v>
      </c>
      <c r="I4673" t="s">
        <v>29391</v>
      </c>
      <c r="J4673" t="s">
        <v>29386</v>
      </c>
      <c r="K4673" t="s">
        <v>29392</v>
      </c>
      <c r="L4673" t="s">
        <v>29386</v>
      </c>
    </row>
    <row r="4674" spans="1:12" x14ac:dyDescent="0.25">
      <c r="A4674">
        <v>875576</v>
      </c>
      <c r="B4674">
        <v>875577</v>
      </c>
      <c r="D4674">
        <v>0</v>
      </c>
      <c r="F4674">
        <v>900984</v>
      </c>
      <c r="G4674">
        <v>875577</v>
      </c>
      <c r="H4674" t="e" vm="2036">
        <f>_FV(0,"379")</f>
        <v>#VALUE!</v>
      </c>
      <c r="I4674">
        <v>875576</v>
      </c>
      <c r="J4674" t="s">
        <v>29393</v>
      </c>
      <c r="K4674" t="s">
        <v>29394</v>
      </c>
      <c r="L4674" t="e" vm="2036">
        <f>_FV(0,"379")</f>
        <v>#VALUE!</v>
      </c>
    </row>
    <row r="4675" spans="1:12" x14ac:dyDescent="0.25">
      <c r="A4675">
        <v>875576</v>
      </c>
      <c r="B4675">
        <v>1148963</v>
      </c>
      <c r="D4675">
        <v>0</v>
      </c>
      <c r="E4675" t="s">
        <v>29396</v>
      </c>
      <c r="F4675" t="s">
        <v>29397</v>
      </c>
      <c r="G4675" t="s">
        <v>29398</v>
      </c>
      <c r="H4675" t="s">
        <v>29399</v>
      </c>
      <c r="I4675" t="s">
        <v>29400</v>
      </c>
      <c r="J4675" t="s">
        <v>29401</v>
      </c>
      <c r="K4675" t="s">
        <v>29402</v>
      </c>
      <c r="L4675" t="s">
        <v>29395</v>
      </c>
    </row>
    <row r="4676" spans="1:12" x14ac:dyDescent="0.25">
      <c r="A4676">
        <v>875577</v>
      </c>
      <c r="B4676">
        <v>875596</v>
      </c>
      <c r="D4676">
        <v>0</v>
      </c>
      <c r="E4676" t="s">
        <v>29404</v>
      </c>
      <c r="F4676" t="s">
        <v>29405</v>
      </c>
      <c r="G4676" t="s">
        <v>29406</v>
      </c>
      <c r="H4676" t="e" vm="2037">
        <f>_FV(0,"2565685205801678")</f>
        <v>#VALUE!</v>
      </c>
      <c r="I4676" t="s">
        <v>29407</v>
      </c>
      <c r="J4676" t="s">
        <v>29408</v>
      </c>
      <c r="K4676" t="s">
        <v>29409</v>
      </c>
      <c r="L4676" t="s">
        <v>29403</v>
      </c>
    </row>
    <row r="4677" spans="1:12" x14ac:dyDescent="0.25">
      <c r="A4677">
        <v>875577</v>
      </c>
      <c r="B4677">
        <v>891807</v>
      </c>
      <c r="D4677">
        <v>0</v>
      </c>
      <c r="E4677" t="s">
        <v>29411</v>
      </c>
      <c r="F4677" t="s">
        <v>29412</v>
      </c>
      <c r="G4677" t="s">
        <v>29413</v>
      </c>
      <c r="H4677" t="e" vm="2038">
        <f>_FV(0,"3168574400821598")</f>
        <v>#VALUE!</v>
      </c>
      <c r="I4677" t="s">
        <v>29414</v>
      </c>
      <c r="J4677" t="s">
        <v>29415</v>
      </c>
      <c r="K4677" t="s">
        <v>29416</v>
      </c>
      <c r="L4677" t="s">
        <v>29410</v>
      </c>
    </row>
    <row r="4678" spans="1:12" x14ac:dyDescent="0.25">
      <c r="A4678">
        <v>875596</v>
      </c>
      <c r="B4678">
        <v>891807</v>
      </c>
      <c r="D4678">
        <v>0</v>
      </c>
      <c r="E4678" t="s">
        <v>29418</v>
      </c>
      <c r="F4678" t="s">
        <v>29419</v>
      </c>
      <c r="G4678" t="s">
        <v>29420</v>
      </c>
      <c r="H4678" t="e" vm="2039">
        <f>_FV(0,"17861555071679705")</f>
        <v>#VALUE!</v>
      </c>
      <c r="I4678" t="s">
        <v>29421</v>
      </c>
      <c r="J4678" t="s">
        <v>29422</v>
      </c>
      <c r="K4678" t="s">
        <v>29423</v>
      </c>
      <c r="L4678" t="s">
        <v>29417</v>
      </c>
    </row>
    <row r="4679" spans="1:12" x14ac:dyDescent="0.25">
      <c r="A4679">
        <v>875625</v>
      </c>
      <c r="B4679">
        <v>875626</v>
      </c>
      <c r="D4679">
        <v>0</v>
      </c>
      <c r="F4679">
        <v>901027</v>
      </c>
      <c r="G4679">
        <v>875626</v>
      </c>
      <c r="H4679" t="s">
        <v>12</v>
      </c>
      <c r="I4679">
        <v>875625</v>
      </c>
      <c r="J4679" t="s">
        <v>12</v>
      </c>
      <c r="K4679" t="s">
        <v>29424</v>
      </c>
      <c r="L4679" t="s">
        <v>12</v>
      </c>
    </row>
    <row r="4680" spans="1:12" x14ac:dyDescent="0.25">
      <c r="A4680">
        <v>875625</v>
      </c>
      <c r="B4680">
        <v>875657</v>
      </c>
      <c r="D4680">
        <v>0</v>
      </c>
      <c r="E4680" t="s">
        <v>29426</v>
      </c>
      <c r="F4680" t="s">
        <v>29427</v>
      </c>
      <c r="G4680" t="s">
        <v>29428</v>
      </c>
      <c r="H4680" t="s">
        <v>29429</v>
      </c>
      <c r="I4680" t="s">
        <v>29430</v>
      </c>
      <c r="J4680" t="s">
        <v>29425</v>
      </c>
      <c r="K4680" t="s">
        <v>29431</v>
      </c>
      <c r="L4680" t="s">
        <v>29425</v>
      </c>
    </row>
    <row r="4681" spans="1:12" x14ac:dyDescent="0.25">
      <c r="A4681">
        <v>875625</v>
      </c>
      <c r="B4681">
        <v>891819</v>
      </c>
      <c r="D4681">
        <v>0</v>
      </c>
      <c r="E4681" t="s">
        <v>29433</v>
      </c>
      <c r="F4681" t="s">
        <v>29434</v>
      </c>
      <c r="G4681" t="s">
        <v>29435</v>
      </c>
      <c r="H4681" t="s">
        <v>29436</v>
      </c>
      <c r="I4681" t="s">
        <v>29437</v>
      </c>
      <c r="J4681" t="s">
        <v>29438</v>
      </c>
      <c r="K4681" t="s">
        <v>29439</v>
      </c>
      <c r="L4681" t="s">
        <v>29432</v>
      </c>
    </row>
    <row r="4682" spans="1:12" x14ac:dyDescent="0.25">
      <c r="A4682">
        <v>875626</v>
      </c>
      <c r="B4682">
        <v>875647</v>
      </c>
      <c r="D4682">
        <v>0</v>
      </c>
      <c r="E4682" t="s">
        <v>29441</v>
      </c>
      <c r="F4682" t="s">
        <v>29442</v>
      </c>
      <c r="G4682" t="s">
        <v>29443</v>
      </c>
      <c r="H4682" t="e" vm="2040">
        <f>_FV(0,"06512130333880017")</f>
        <v>#VALUE!</v>
      </c>
      <c r="I4682" t="s">
        <v>29444</v>
      </c>
      <c r="J4682" t="s">
        <v>29445</v>
      </c>
      <c r="K4682" t="s">
        <v>29446</v>
      </c>
      <c r="L4682" t="s">
        <v>29440</v>
      </c>
    </row>
    <row r="4683" spans="1:12" x14ac:dyDescent="0.25">
      <c r="A4683">
        <v>875626</v>
      </c>
      <c r="B4683">
        <v>932621</v>
      </c>
      <c r="D4683">
        <v>0</v>
      </c>
      <c r="E4683" t="s">
        <v>29448</v>
      </c>
      <c r="F4683" t="s">
        <v>29449</v>
      </c>
      <c r="G4683" t="s">
        <v>29450</v>
      </c>
      <c r="H4683" t="e" vm="2041">
        <f>_FV(0,"1840139893673437")</f>
        <v>#VALUE!</v>
      </c>
      <c r="I4683" t="s">
        <v>29451</v>
      </c>
      <c r="J4683" t="s">
        <v>29452</v>
      </c>
      <c r="K4683" t="s">
        <v>29453</v>
      </c>
      <c r="L4683" t="s">
        <v>29447</v>
      </c>
    </row>
    <row r="4684" spans="1:12" x14ac:dyDescent="0.25">
      <c r="A4684">
        <v>875647</v>
      </c>
      <c r="B4684">
        <v>875657</v>
      </c>
      <c r="D4684">
        <v>0</v>
      </c>
      <c r="F4684">
        <v>901055</v>
      </c>
      <c r="G4684">
        <v>875657</v>
      </c>
      <c r="H4684" t="s">
        <v>4038</v>
      </c>
      <c r="I4684">
        <v>875647</v>
      </c>
      <c r="J4684" t="s">
        <v>4038</v>
      </c>
      <c r="K4684" t="s">
        <v>29454</v>
      </c>
      <c r="L4684" t="s">
        <v>4038</v>
      </c>
    </row>
    <row r="4685" spans="1:12" x14ac:dyDescent="0.25">
      <c r="A4685">
        <v>875647</v>
      </c>
      <c r="B4685">
        <v>1148954</v>
      </c>
      <c r="D4685">
        <v>0</v>
      </c>
      <c r="E4685" t="s">
        <v>29456</v>
      </c>
      <c r="F4685" t="s">
        <v>29457</v>
      </c>
      <c r="G4685" t="s">
        <v>29458</v>
      </c>
      <c r="H4685" t="e" vm="2042">
        <f>_FV(0,"0062871265541140356")</f>
        <v>#VALUE!</v>
      </c>
      <c r="I4685" t="s">
        <v>29459</v>
      </c>
      <c r="J4685" t="s">
        <v>29460</v>
      </c>
      <c r="K4685" t="s">
        <v>29461</v>
      </c>
      <c r="L4685" t="s">
        <v>29455</v>
      </c>
    </row>
    <row r="4686" spans="1:12" x14ac:dyDescent="0.25">
      <c r="A4686">
        <v>875657</v>
      </c>
      <c r="B4686">
        <v>891819</v>
      </c>
      <c r="D4686">
        <v>0</v>
      </c>
      <c r="E4686" t="s">
        <v>29463</v>
      </c>
      <c r="F4686" t="s">
        <v>29464</v>
      </c>
      <c r="G4686" t="s">
        <v>29465</v>
      </c>
      <c r="H4686" t="s">
        <v>29466</v>
      </c>
      <c r="I4686" t="s">
        <v>29467</v>
      </c>
      <c r="J4686" t="s">
        <v>15456</v>
      </c>
      <c r="K4686" t="s">
        <v>29468</v>
      </c>
      <c r="L4686" t="s">
        <v>29462</v>
      </c>
    </row>
    <row r="4687" spans="1:12" x14ac:dyDescent="0.25">
      <c r="A4687">
        <v>875686</v>
      </c>
      <c r="B4687">
        <v>875725</v>
      </c>
      <c r="D4687">
        <v>0</v>
      </c>
      <c r="E4687" t="s">
        <v>29470</v>
      </c>
      <c r="F4687" t="s">
        <v>29471</v>
      </c>
      <c r="G4687" t="s">
        <v>29472</v>
      </c>
      <c r="H4687" t="s">
        <v>29473</v>
      </c>
      <c r="I4687" t="s">
        <v>29474</v>
      </c>
      <c r="J4687" t="s">
        <v>29475</v>
      </c>
      <c r="K4687" t="s">
        <v>29476</v>
      </c>
      <c r="L4687" t="s">
        <v>29469</v>
      </c>
    </row>
    <row r="4688" spans="1:12" x14ac:dyDescent="0.25">
      <c r="A4688">
        <v>875686</v>
      </c>
      <c r="B4688">
        <v>875749</v>
      </c>
      <c r="D4688">
        <v>0</v>
      </c>
      <c r="F4688">
        <v>901158</v>
      </c>
      <c r="G4688">
        <v>875686</v>
      </c>
      <c r="H4688" t="e" vm="2022">
        <f>_FV(0,"061")</f>
        <v>#VALUE!</v>
      </c>
      <c r="I4688">
        <v>875749</v>
      </c>
      <c r="J4688" t="s">
        <v>29228</v>
      </c>
      <c r="K4688" t="s">
        <v>29477</v>
      </c>
      <c r="L4688" t="e" vm="2022">
        <f>_FV(0,"061")</f>
        <v>#VALUE!</v>
      </c>
    </row>
    <row r="4689" spans="1:12" x14ac:dyDescent="0.25">
      <c r="A4689">
        <v>875686</v>
      </c>
      <c r="B4689">
        <v>931480</v>
      </c>
      <c r="D4689" t="s">
        <v>514</v>
      </c>
      <c r="E4689" t="s">
        <v>29479</v>
      </c>
      <c r="F4689" t="s">
        <v>29480</v>
      </c>
      <c r="G4689" t="s">
        <v>29481</v>
      </c>
      <c r="H4689" t="e" vm="2043">
        <f>_FV(0,"022706476674343563")</f>
        <v>#VALUE!</v>
      </c>
      <c r="I4689" t="s">
        <v>29482</v>
      </c>
      <c r="J4689" t="s">
        <v>29483</v>
      </c>
      <c r="K4689" t="s">
        <v>29484</v>
      </c>
      <c r="L4689" t="s">
        <v>29478</v>
      </c>
    </row>
    <row r="4690" spans="1:12" x14ac:dyDescent="0.25">
      <c r="A4690">
        <v>875725</v>
      </c>
      <c r="B4690">
        <v>875748</v>
      </c>
      <c r="D4690">
        <v>0</v>
      </c>
      <c r="E4690" t="s">
        <v>29486</v>
      </c>
      <c r="F4690" t="s">
        <v>29487</v>
      </c>
      <c r="G4690" t="s">
        <v>29488</v>
      </c>
      <c r="H4690" t="e" vm="2044">
        <f>_FV(0,"06726981444932785")</f>
        <v>#VALUE!</v>
      </c>
      <c r="I4690" t="s">
        <v>29489</v>
      </c>
      <c r="J4690" t="s">
        <v>29490</v>
      </c>
      <c r="K4690" t="s">
        <v>29491</v>
      </c>
      <c r="L4690" t="s">
        <v>29485</v>
      </c>
    </row>
    <row r="4691" spans="1:12" x14ac:dyDescent="0.25">
      <c r="A4691">
        <v>875725</v>
      </c>
      <c r="B4691">
        <v>891891</v>
      </c>
      <c r="D4691">
        <v>0</v>
      </c>
      <c r="E4691" t="s">
        <v>29493</v>
      </c>
      <c r="F4691" t="s">
        <v>29494</v>
      </c>
      <c r="G4691" t="s">
        <v>29495</v>
      </c>
      <c r="H4691" t="s">
        <v>29496</v>
      </c>
      <c r="I4691" t="s">
        <v>29497</v>
      </c>
      <c r="J4691" t="s">
        <v>29492</v>
      </c>
      <c r="K4691" t="s">
        <v>29498</v>
      </c>
      <c r="L4691" t="s">
        <v>29492</v>
      </c>
    </row>
    <row r="4692" spans="1:12" x14ac:dyDescent="0.25">
      <c r="A4692">
        <v>875748</v>
      </c>
      <c r="B4692">
        <v>875749</v>
      </c>
      <c r="D4692">
        <v>0</v>
      </c>
      <c r="F4692">
        <v>901157</v>
      </c>
      <c r="G4692">
        <v>875749</v>
      </c>
      <c r="H4692" t="e" vm="382">
        <f>_FV(0,"085")</f>
        <v>#VALUE!</v>
      </c>
      <c r="I4692">
        <v>875748</v>
      </c>
      <c r="J4692" t="s">
        <v>5443</v>
      </c>
      <c r="K4692" t="s">
        <v>29499</v>
      </c>
      <c r="L4692" t="e" vm="382">
        <f>_FV(0,"085")</f>
        <v>#VALUE!</v>
      </c>
    </row>
    <row r="4693" spans="1:12" x14ac:dyDescent="0.25">
      <c r="A4693">
        <v>875748</v>
      </c>
      <c r="B4693">
        <v>891891</v>
      </c>
      <c r="D4693">
        <v>0</v>
      </c>
      <c r="E4693" t="s">
        <v>29501</v>
      </c>
      <c r="F4693" t="s">
        <v>29502</v>
      </c>
      <c r="G4693" t="s">
        <v>29503</v>
      </c>
      <c r="H4693" t="s">
        <v>29504</v>
      </c>
      <c r="I4693" t="s">
        <v>29505</v>
      </c>
      <c r="J4693" t="s">
        <v>29500</v>
      </c>
      <c r="K4693" t="s">
        <v>29506</v>
      </c>
      <c r="L4693" t="s">
        <v>29500</v>
      </c>
    </row>
    <row r="4694" spans="1:12" x14ac:dyDescent="0.25">
      <c r="A4694">
        <v>875749</v>
      </c>
      <c r="B4694">
        <v>1143943</v>
      </c>
      <c r="D4694">
        <v>0</v>
      </c>
      <c r="E4694" t="s">
        <v>29508</v>
      </c>
      <c r="F4694" t="s">
        <v>29509</v>
      </c>
      <c r="G4694" t="s">
        <v>29510</v>
      </c>
      <c r="H4694" t="s">
        <v>29511</v>
      </c>
      <c r="I4694" t="s">
        <v>29512</v>
      </c>
      <c r="J4694" t="s">
        <v>29513</v>
      </c>
      <c r="K4694" t="s">
        <v>29514</v>
      </c>
      <c r="L4694" t="s">
        <v>29507</v>
      </c>
    </row>
    <row r="4695" spans="1:12" x14ac:dyDescent="0.25">
      <c r="A4695">
        <v>875772</v>
      </c>
      <c r="B4695">
        <v>875776</v>
      </c>
      <c r="D4695">
        <v>0</v>
      </c>
      <c r="E4695" t="s">
        <v>29516</v>
      </c>
      <c r="F4695" t="s">
        <v>29517</v>
      </c>
      <c r="G4695" t="s">
        <v>29518</v>
      </c>
      <c r="H4695" t="s">
        <v>29519</v>
      </c>
      <c r="I4695" t="s">
        <v>29520</v>
      </c>
      <c r="J4695" t="s">
        <v>29521</v>
      </c>
      <c r="K4695" t="s">
        <v>29522</v>
      </c>
      <c r="L4695" t="s">
        <v>29515</v>
      </c>
    </row>
    <row r="4696" spans="1:12" x14ac:dyDescent="0.25">
      <c r="A4696">
        <v>875772</v>
      </c>
      <c r="B4696">
        <v>875811</v>
      </c>
      <c r="D4696">
        <v>0</v>
      </c>
      <c r="E4696" t="s">
        <v>29524</v>
      </c>
      <c r="F4696" t="s">
        <v>29525</v>
      </c>
      <c r="G4696" t="s">
        <v>29526</v>
      </c>
      <c r="H4696" t="e" vm="2045">
        <f>_FV(0,"0067316102933488815")</f>
        <v>#VALUE!</v>
      </c>
      <c r="I4696" t="s">
        <v>29527</v>
      </c>
      <c r="J4696" t="s">
        <v>29528</v>
      </c>
      <c r="K4696" t="s">
        <v>29529</v>
      </c>
      <c r="L4696" t="s">
        <v>29523</v>
      </c>
    </row>
    <row r="4697" spans="1:12" x14ac:dyDescent="0.25">
      <c r="A4697">
        <v>875772</v>
      </c>
      <c r="B4697">
        <v>891905</v>
      </c>
      <c r="D4697">
        <v>0</v>
      </c>
      <c r="E4697" t="s">
        <v>29531</v>
      </c>
      <c r="F4697" t="s">
        <v>29532</v>
      </c>
      <c r="G4697" t="s">
        <v>29533</v>
      </c>
      <c r="H4697" t="s">
        <v>29534</v>
      </c>
      <c r="I4697" t="s">
        <v>29535</v>
      </c>
      <c r="J4697" t="s">
        <v>29536</v>
      </c>
      <c r="K4697" t="s">
        <v>29537</v>
      </c>
      <c r="L4697" t="s">
        <v>29530</v>
      </c>
    </row>
    <row r="4698" spans="1:12" x14ac:dyDescent="0.25">
      <c r="A4698">
        <v>875776</v>
      </c>
      <c r="B4698">
        <v>875783</v>
      </c>
      <c r="D4698">
        <v>0</v>
      </c>
      <c r="F4698">
        <v>901195</v>
      </c>
      <c r="G4698">
        <v>875783</v>
      </c>
      <c r="H4698" t="e" vm="12">
        <f>_FV(0,"005")</f>
        <v>#VALUE!</v>
      </c>
      <c r="I4698">
        <v>875776</v>
      </c>
      <c r="J4698" t="s">
        <v>194</v>
      </c>
      <c r="K4698" t="s">
        <v>29538</v>
      </c>
      <c r="L4698" t="e" vm="12">
        <f>_FV(0,"005")</f>
        <v>#VALUE!</v>
      </c>
    </row>
    <row r="4699" spans="1:12" x14ac:dyDescent="0.25">
      <c r="A4699">
        <v>875776</v>
      </c>
      <c r="B4699">
        <v>931489</v>
      </c>
      <c r="D4699" t="s">
        <v>514</v>
      </c>
      <c r="E4699" t="s">
        <v>29540</v>
      </c>
      <c r="F4699" t="s">
        <v>29541</v>
      </c>
      <c r="G4699" t="s">
        <v>29542</v>
      </c>
      <c r="H4699" t="e" vm="2046">
        <f>_FV(0,"0056771708164882325")</f>
        <v>#VALUE!</v>
      </c>
      <c r="I4699" t="s">
        <v>29543</v>
      </c>
      <c r="J4699" t="s">
        <v>29544</v>
      </c>
      <c r="K4699" t="s">
        <v>29545</v>
      </c>
      <c r="L4699" t="s">
        <v>29539</v>
      </c>
    </row>
    <row r="4700" spans="1:12" x14ac:dyDescent="0.25">
      <c r="A4700">
        <v>875783</v>
      </c>
      <c r="B4700">
        <v>875811</v>
      </c>
      <c r="D4700">
        <v>0</v>
      </c>
      <c r="F4700">
        <v>901217</v>
      </c>
      <c r="G4700">
        <v>875811</v>
      </c>
      <c r="H4700" t="e" vm="144">
        <f>_FV(0,"003")</f>
        <v>#VALUE!</v>
      </c>
      <c r="I4700">
        <v>875783</v>
      </c>
      <c r="J4700" t="s">
        <v>1783</v>
      </c>
      <c r="K4700" t="s">
        <v>29546</v>
      </c>
      <c r="L4700" t="e" vm="144">
        <f>_FV(0,"003")</f>
        <v>#VALUE!</v>
      </c>
    </row>
    <row r="4701" spans="1:12" x14ac:dyDescent="0.25">
      <c r="A4701">
        <v>875783</v>
      </c>
      <c r="B4701">
        <v>932927</v>
      </c>
      <c r="D4701">
        <v>0</v>
      </c>
      <c r="E4701" t="s">
        <v>29548</v>
      </c>
      <c r="F4701" t="s">
        <v>29549</v>
      </c>
      <c r="G4701" t="s">
        <v>29551</v>
      </c>
      <c r="H4701" t="e" vm="2047">
        <f>_FV(0,"005081320848217567")</f>
        <v>#VALUE!</v>
      </c>
      <c r="I4701" t="s">
        <v>29552</v>
      </c>
      <c r="J4701" t="s">
        <v>29553</v>
      </c>
      <c r="K4701" t="s">
        <v>29554</v>
      </c>
      <c r="L4701" t="s">
        <v>29547</v>
      </c>
    </row>
    <row r="4702" spans="1:12" x14ac:dyDescent="0.25">
      <c r="A4702">
        <v>875811</v>
      </c>
      <c r="B4702">
        <v>891905</v>
      </c>
      <c r="D4702">
        <v>0</v>
      </c>
      <c r="E4702" t="s">
        <v>29556</v>
      </c>
      <c r="F4702" t="s">
        <v>29557</v>
      </c>
      <c r="G4702" t="s">
        <v>29558</v>
      </c>
      <c r="H4702" t="s">
        <v>29559</v>
      </c>
      <c r="I4702" t="s">
        <v>29560</v>
      </c>
      <c r="J4702" t="s">
        <v>29561</v>
      </c>
      <c r="K4702" t="s">
        <v>29562</v>
      </c>
      <c r="L4702" t="s">
        <v>29555</v>
      </c>
    </row>
    <row r="4703" spans="1:12" x14ac:dyDescent="0.25">
      <c r="A4703">
        <v>875825</v>
      </c>
      <c r="B4703">
        <v>875826</v>
      </c>
      <c r="D4703">
        <v>0</v>
      </c>
      <c r="F4703">
        <v>901234</v>
      </c>
      <c r="G4703">
        <v>875826</v>
      </c>
      <c r="H4703" t="s">
        <v>2916</v>
      </c>
      <c r="I4703">
        <v>875825</v>
      </c>
      <c r="J4703" t="s">
        <v>2916</v>
      </c>
      <c r="K4703" t="s">
        <v>29563</v>
      </c>
      <c r="L4703" t="s">
        <v>2916</v>
      </c>
    </row>
    <row r="4704" spans="1:12" x14ac:dyDescent="0.25">
      <c r="A4704">
        <v>875825</v>
      </c>
      <c r="B4704">
        <v>875907</v>
      </c>
      <c r="D4704">
        <v>0</v>
      </c>
      <c r="F4704">
        <v>901338</v>
      </c>
      <c r="G4704">
        <v>875825</v>
      </c>
      <c r="H4704" t="e" vm="967">
        <f>_FV(0,"028")</f>
        <v>#VALUE!</v>
      </c>
      <c r="I4704">
        <v>875907</v>
      </c>
      <c r="J4704" t="s">
        <v>2704</v>
      </c>
      <c r="K4704" t="s">
        <v>29564</v>
      </c>
      <c r="L4704" t="e" vm="967">
        <f>_FV(0,"028")</f>
        <v>#VALUE!</v>
      </c>
    </row>
    <row r="4705" spans="1:12" x14ac:dyDescent="0.25">
      <c r="A4705">
        <v>875825</v>
      </c>
      <c r="B4705">
        <v>1143960</v>
      </c>
      <c r="D4705">
        <v>0</v>
      </c>
      <c r="E4705" t="s">
        <v>29566</v>
      </c>
      <c r="F4705" t="s">
        <v>29567</v>
      </c>
      <c r="G4705" t="s">
        <v>29568</v>
      </c>
      <c r="H4705" t="s">
        <v>29569</v>
      </c>
      <c r="I4705" t="s">
        <v>29570</v>
      </c>
      <c r="J4705" t="s">
        <v>29571</v>
      </c>
      <c r="K4705" t="s">
        <v>29572</v>
      </c>
      <c r="L4705" t="s">
        <v>29565</v>
      </c>
    </row>
    <row r="4706" spans="1:12" x14ac:dyDescent="0.25">
      <c r="A4706">
        <v>875826</v>
      </c>
      <c r="B4706">
        <v>875864</v>
      </c>
      <c r="D4706">
        <v>0</v>
      </c>
      <c r="E4706" t="s">
        <v>29574</v>
      </c>
      <c r="F4706" t="s">
        <v>29575</v>
      </c>
      <c r="G4706" t="s">
        <v>29576</v>
      </c>
      <c r="H4706" t="s">
        <v>29577</v>
      </c>
      <c r="I4706" t="s">
        <v>29578</v>
      </c>
      <c r="J4706" t="s">
        <v>29573</v>
      </c>
      <c r="K4706" t="s">
        <v>29579</v>
      </c>
      <c r="L4706" t="s">
        <v>29573</v>
      </c>
    </row>
    <row r="4707" spans="1:12" x14ac:dyDescent="0.25">
      <c r="A4707">
        <v>875826</v>
      </c>
      <c r="B4707">
        <v>892035</v>
      </c>
      <c r="D4707">
        <v>0</v>
      </c>
      <c r="E4707" t="s">
        <v>29581</v>
      </c>
      <c r="F4707" t="s">
        <v>29582</v>
      </c>
      <c r="G4707" t="s">
        <v>29583</v>
      </c>
      <c r="H4707" t="s">
        <v>29584</v>
      </c>
      <c r="I4707" t="s">
        <v>29585</v>
      </c>
      <c r="J4707" t="s">
        <v>29586</v>
      </c>
      <c r="K4707" t="s">
        <v>29587</v>
      </c>
      <c r="L4707" t="s">
        <v>29580</v>
      </c>
    </row>
    <row r="4708" spans="1:12" x14ac:dyDescent="0.25">
      <c r="A4708">
        <v>875864</v>
      </c>
      <c r="B4708">
        <v>875907</v>
      </c>
      <c r="D4708">
        <v>0</v>
      </c>
      <c r="E4708" t="s">
        <v>29589</v>
      </c>
      <c r="F4708" t="s">
        <v>29590</v>
      </c>
      <c r="G4708" t="s">
        <v>29591</v>
      </c>
      <c r="H4708" t="e" vm="2048">
        <f>_FV(0,"02891621979166239")</f>
        <v>#VALUE!</v>
      </c>
      <c r="I4708" t="s">
        <v>29592</v>
      </c>
      <c r="J4708" t="s">
        <v>29593</v>
      </c>
      <c r="K4708" t="s">
        <v>29594</v>
      </c>
      <c r="L4708" t="s">
        <v>29588</v>
      </c>
    </row>
    <row r="4709" spans="1:12" x14ac:dyDescent="0.25">
      <c r="A4709">
        <v>875864</v>
      </c>
      <c r="B4709">
        <v>892035</v>
      </c>
      <c r="D4709">
        <v>0</v>
      </c>
      <c r="E4709" t="s">
        <v>29596</v>
      </c>
      <c r="F4709" t="s">
        <v>29597</v>
      </c>
      <c r="G4709" t="s">
        <v>29598</v>
      </c>
      <c r="H4709" t="e" vm="2049">
        <f>_FV(0,"02379207360122159")</f>
        <v>#VALUE!</v>
      </c>
      <c r="I4709" t="s">
        <v>29599</v>
      </c>
      <c r="J4709" t="s">
        <v>29600</v>
      </c>
      <c r="K4709" t="s">
        <v>29601</v>
      </c>
      <c r="L4709" t="s">
        <v>29595</v>
      </c>
    </row>
    <row r="4710" spans="1:12" x14ac:dyDescent="0.25">
      <c r="A4710">
        <v>875907</v>
      </c>
      <c r="B4710">
        <v>1143974</v>
      </c>
      <c r="D4710">
        <v>0</v>
      </c>
      <c r="E4710" t="s">
        <v>29603</v>
      </c>
      <c r="F4710" t="s">
        <v>29604</v>
      </c>
      <c r="G4710" t="s">
        <v>29605</v>
      </c>
      <c r="H4710" t="e" vm="2050">
        <f>_FV(0,"02383684145278502")</f>
        <v>#VALUE!</v>
      </c>
      <c r="I4710" t="s">
        <v>29606</v>
      </c>
      <c r="J4710" t="s">
        <v>29607</v>
      </c>
      <c r="K4710" t="s">
        <v>29608</v>
      </c>
      <c r="L4710" t="s">
        <v>29602</v>
      </c>
    </row>
    <row r="4711" spans="1:12" x14ac:dyDescent="0.25">
      <c r="A4711">
        <v>875934</v>
      </c>
      <c r="B4711">
        <v>875935</v>
      </c>
      <c r="D4711">
        <v>0</v>
      </c>
      <c r="F4711">
        <v>901346</v>
      </c>
      <c r="G4711">
        <v>875935</v>
      </c>
      <c r="H4711" t="e" vm="298">
        <f>_FV(0,"044")</f>
        <v>#VALUE!</v>
      </c>
      <c r="I4711">
        <v>875934</v>
      </c>
      <c r="J4711" t="s">
        <v>4331</v>
      </c>
      <c r="K4711" t="s">
        <v>29609</v>
      </c>
      <c r="L4711" t="e" vm="298">
        <f>_FV(0,"044")</f>
        <v>#VALUE!</v>
      </c>
    </row>
    <row r="4712" spans="1:12" x14ac:dyDescent="0.25">
      <c r="A4712">
        <v>875934</v>
      </c>
      <c r="B4712">
        <v>876004</v>
      </c>
      <c r="D4712">
        <v>0</v>
      </c>
      <c r="E4712" t="s">
        <v>29611</v>
      </c>
      <c r="F4712" t="s">
        <v>29612</v>
      </c>
      <c r="G4712" t="s">
        <v>29613</v>
      </c>
      <c r="H4712" t="e" vm="2051">
        <f>_FV(0,"0494887914910192")</f>
        <v>#VALUE!</v>
      </c>
      <c r="I4712" t="s">
        <v>29614</v>
      </c>
      <c r="J4712" t="s">
        <v>29615</v>
      </c>
      <c r="K4712" t="s">
        <v>29616</v>
      </c>
      <c r="L4712" t="s">
        <v>29610</v>
      </c>
    </row>
    <row r="4713" spans="1:12" x14ac:dyDescent="0.25">
      <c r="A4713">
        <v>875934</v>
      </c>
      <c r="B4713">
        <v>892044</v>
      </c>
      <c r="D4713">
        <v>0</v>
      </c>
      <c r="E4713" t="s">
        <v>29618</v>
      </c>
      <c r="F4713" t="s">
        <v>29619</v>
      </c>
      <c r="G4713" t="s">
        <v>29620</v>
      </c>
      <c r="H4713" t="e" vm="2052">
        <f>_FV(0,"0120606687393276")</f>
        <v>#VALUE!</v>
      </c>
      <c r="I4713" t="s">
        <v>29621</v>
      </c>
      <c r="J4713" t="s">
        <v>29622</v>
      </c>
      <c r="K4713" t="s">
        <v>29623</v>
      </c>
      <c r="L4713" t="s">
        <v>29617</v>
      </c>
    </row>
    <row r="4714" spans="1:12" x14ac:dyDescent="0.25">
      <c r="A4714">
        <v>875935</v>
      </c>
      <c r="B4714">
        <v>875956</v>
      </c>
      <c r="D4714">
        <v>0</v>
      </c>
      <c r="F4714">
        <v>901366</v>
      </c>
      <c r="G4714">
        <v>875956</v>
      </c>
      <c r="H4714" t="e" vm="106">
        <f>_FV(0,"019")</f>
        <v>#VALUE!</v>
      </c>
      <c r="I4714">
        <v>875935</v>
      </c>
      <c r="J4714" t="s">
        <v>1629</v>
      </c>
      <c r="K4714" t="s">
        <v>29624</v>
      </c>
      <c r="L4714" t="e" vm="106">
        <f>_FV(0,"019")</f>
        <v>#VALUE!</v>
      </c>
    </row>
    <row r="4715" spans="1:12" x14ac:dyDescent="0.25">
      <c r="A4715">
        <v>875935</v>
      </c>
      <c r="B4715">
        <v>933039</v>
      </c>
      <c r="D4715">
        <v>0</v>
      </c>
      <c r="E4715" t="s">
        <v>29626</v>
      </c>
      <c r="F4715" t="s">
        <v>29627</v>
      </c>
      <c r="G4715" t="s">
        <v>29628</v>
      </c>
      <c r="H4715" t="e" vm="2053">
        <f>_FV(0,"0004866306213198093")</f>
        <v>#VALUE!</v>
      </c>
      <c r="I4715" t="s">
        <v>29629</v>
      </c>
      <c r="J4715" t="s">
        <v>29630</v>
      </c>
      <c r="K4715" t="s">
        <v>29631</v>
      </c>
      <c r="L4715" t="s">
        <v>29625</v>
      </c>
    </row>
    <row r="4716" spans="1:12" x14ac:dyDescent="0.25">
      <c r="A4716">
        <v>875956</v>
      </c>
      <c r="B4716">
        <v>876004</v>
      </c>
      <c r="D4716">
        <v>0</v>
      </c>
      <c r="E4716" t="s">
        <v>29633</v>
      </c>
      <c r="F4716" t="s">
        <v>29634</v>
      </c>
      <c r="G4716" t="s">
        <v>29635</v>
      </c>
      <c r="H4716" t="s">
        <v>29636</v>
      </c>
      <c r="I4716" t="s">
        <v>29637</v>
      </c>
      <c r="J4716" t="s">
        <v>29632</v>
      </c>
      <c r="K4716" t="s">
        <v>29638</v>
      </c>
      <c r="L4716" t="s">
        <v>29632</v>
      </c>
    </row>
    <row r="4717" spans="1:12" x14ac:dyDescent="0.25">
      <c r="A4717">
        <v>875956</v>
      </c>
      <c r="B4717">
        <v>933110</v>
      </c>
      <c r="D4717">
        <v>0</v>
      </c>
      <c r="E4717" t="s">
        <v>29640</v>
      </c>
      <c r="F4717" t="s">
        <v>29641</v>
      </c>
      <c r="G4717" t="s">
        <v>29642</v>
      </c>
      <c r="H4717" t="s">
        <v>29643</v>
      </c>
      <c r="I4717" t="s">
        <v>29644</v>
      </c>
      <c r="J4717" t="s">
        <v>29639</v>
      </c>
      <c r="K4717" t="s">
        <v>29645</v>
      </c>
      <c r="L4717" t="s">
        <v>29639</v>
      </c>
    </row>
    <row r="4718" spans="1:12" x14ac:dyDescent="0.25">
      <c r="A4718">
        <v>876004</v>
      </c>
      <c r="B4718">
        <v>892044</v>
      </c>
      <c r="D4718">
        <v>0</v>
      </c>
      <c r="E4718" t="s">
        <v>29646</v>
      </c>
      <c r="F4718" t="s">
        <v>29647</v>
      </c>
      <c r="G4718" t="s">
        <v>29648</v>
      </c>
      <c r="H4718" t="s">
        <v>29649</v>
      </c>
      <c r="I4718" t="s">
        <v>29650</v>
      </c>
      <c r="J4718" t="s">
        <v>3463</v>
      </c>
      <c r="K4718" t="s">
        <v>29651</v>
      </c>
      <c r="L4718" t="s">
        <v>3463</v>
      </c>
    </row>
    <row r="4719" spans="1:12" x14ac:dyDescent="0.25">
      <c r="A4719">
        <v>876034</v>
      </c>
      <c r="B4719">
        <v>876034</v>
      </c>
      <c r="D4719">
        <v>0</v>
      </c>
      <c r="E4719" t="s">
        <v>29653</v>
      </c>
      <c r="F4719" t="s">
        <v>29654</v>
      </c>
      <c r="G4719" t="s">
        <v>29655</v>
      </c>
      <c r="H4719" t="e" vm="2054">
        <f>_FV(-5,"0776337304021915e")-5</f>
        <v>#VALUE!</v>
      </c>
      <c r="I4719" t="s">
        <v>29656</v>
      </c>
      <c r="J4719" t="s">
        <v>29657</v>
      </c>
      <c r="K4719" t="s">
        <v>29658</v>
      </c>
      <c r="L4719" t="s">
        <v>29652</v>
      </c>
    </row>
    <row r="4720" spans="1:12" x14ac:dyDescent="0.25">
      <c r="A4720">
        <v>876034</v>
      </c>
      <c r="B4720">
        <v>933231</v>
      </c>
      <c r="D4720">
        <v>0</v>
      </c>
      <c r="E4720" t="s">
        <v>29660</v>
      </c>
      <c r="F4720" t="s">
        <v>29661</v>
      </c>
      <c r="G4720" t="s">
        <v>29662</v>
      </c>
      <c r="H4720" t="s">
        <v>29663</v>
      </c>
      <c r="I4720" t="s">
        <v>29664</v>
      </c>
      <c r="J4720" t="s">
        <v>29665</v>
      </c>
      <c r="K4720" t="s">
        <v>29666</v>
      </c>
      <c r="L4720" t="s">
        <v>29659</v>
      </c>
    </row>
    <row r="4721" spans="1:12" x14ac:dyDescent="0.25">
      <c r="A4721">
        <v>876096</v>
      </c>
      <c r="B4721">
        <v>876111</v>
      </c>
      <c r="D4721">
        <v>0</v>
      </c>
      <c r="E4721" t="s">
        <v>29668</v>
      </c>
      <c r="F4721" t="s">
        <v>29669</v>
      </c>
      <c r="G4721" t="s">
        <v>29670</v>
      </c>
      <c r="H4721" t="e" vm="2055">
        <f>_FV(0,"005477674183684596")</f>
        <v>#VALUE!</v>
      </c>
      <c r="I4721" t="s">
        <v>29671</v>
      </c>
      <c r="J4721" t="s">
        <v>29672</v>
      </c>
      <c r="K4721" t="s">
        <v>29673</v>
      </c>
      <c r="L4721" t="s">
        <v>29667</v>
      </c>
    </row>
    <row r="4722" spans="1:12" x14ac:dyDescent="0.25">
      <c r="A4722">
        <v>876096</v>
      </c>
      <c r="B4722">
        <v>876128</v>
      </c>
      <c r="D4722">
        <v>0</v>
      </c>
      <c r="F4722">
        <v>901546</v>
      </c>
      <c r="G4722">
        <v>876096</v>
      </c>
      <c r="H4722" t="s">
        <v>3279</v>
      </c>
      <c r="I4722">
        <v>876128</v>
      </c>
      <c r="J4722" t="s">
        <v>3279</v>
      </c>
      <c r="K4722" t="s">
        <v>29674</v>
      </c>
      <c r="L4722" t="s">
        <v>3279</v>
      </c>
    </row>
    <row r="4723" spans="1:12" x14ac:dyDescent="0.25">
      <c r="A4723">
        <v>876096</v>
      </c>
      <c r="B4723">
        <v>1149433</v>
      </c>
      <c r="D4723">
        <v>0</v>
      </c>
      <c r="E4723" t="s">
        <v>29676</v>
      </c>
      <c r="F4723" t="s">
        <v>29677</v>
      </c>
      <c r="G4723" t="s">
        <v>29678</v>
      </c>
      <c r="H4723" t="s">
        <v>29679</v>
      </c>
      <c r="I4723" t="s">
        <v>29680</v>
      </c>
      <c r="J4723" t="s">
        <v>29681</v>
      </c>
      <c r="K4723" t="s">
        <v>29682</v>
      </c>
      <c r="L4723" t="s">
        <v>29675</v>
      </c>
    </row>
    <row r="4724" spans="1:12" x14ac:dyDescent="0.25">
      <c r="A4724">
        <v>876111</v>
      </c>
      <c r="B4724">
        <v>876112</v>
      </c>
      <c r="D4724">
        <v>0</v>
      </c>
      <c r="F4724">
        <v>901525</v>
      </c>
      <c r="G4724">
        <v>876112</v>
      </c>
      <c r="H4724" t="e" vm="30">
        <f>_FV(0,"027")</f>
        <v>#VALUE!</v>
      </c>
      <c r="I4724">
        <v>876111</v>
      </c>
      <c r="J4724" t="s">
        <v>467</v>
      </c>
      <c r="K4724" t="s">
        <v>29683</v>
      </c>
      <c r="L4724" t="e" vm="30">
        <f>_FV(0,"027")</f>
        <v>#VALUE!</v>
      </c>
    </row>
    <row r="4725" spans="1:12" x14ac:dyDescent="0.25">
      <c r="A4725">
        <v>876112</v>
      </c>
      <c r="B4725">
        <v>876128</v>
      </c>
      <c r="D4725">
        <v>0</v>
      </c>
      <c r="E4725" t="s">
        <v>29685</v>
      </c>
      <c r="F4725" t="s">
        <v>29686</v>
      </c>
      <c r="G4725" t="s">
        <v>29687</v>
      </c>
      <c r="H4725" t="s">
        <v>29688</v>
      </c>
      <c r="I4725" t="s">
        <v>29689</v>
      </c>
      <c r="J4725" t="s">
        <v>29684</v>
      </c>
      <c r="K4725" t="s">
        <v>29690</v>
      </c>
      <c r="L4725" t="s">
        <v>29684</v>
      </c>
    </row>
    <row r="4726" spans="1:12" x14ac:dyDescent="0.25">
      <c r="A4726">
        <v>876112</v>
      </c>
      <c r="B4726">
        <v>892203</v>
      </c>
      <c r="D4726">
        <v>0</v>
      </c>
      <c r="E4726" t="s">
        <v>29692</v>
      </c>
      <c r="F4726" t="s">
        <v>29693</v>
      </c>
      <c r="G4726" t="s">
        <v>29694</v>
      </c>
      <c r="H4726" t="e" vm="2056">
        <f>_FV(0,"031756640771884816")</f>
        <v>#VALUE!</v>
      </c>
      <c r="I4726" t="s">
        <v>29695</v>
      </c>
      <c r="J4726" t="s">
        <v>29696</v>
      </c>
      <c r="K4726" t="s">
        <v>29697</v>
      </c>
      <c r="L4726" t="s">
        <v>29691</v>
      </c>
    </row>
    <row r="4727" spans="1:12" x14ac:dyDescent="0.25">
      <c r="A4727">
        <v>876128</v>
      </c>
      <c r="B4727">
        <v>892203</v>
      </c>
      <c r="D4727">
        <v>0</v>
      </c>
      <c r="E4727" t="s">
        <v>29699</v>
      </c>
      <c r="F4727" t="s">
        <v>29700</v>
      </c>
      <c r="G4727" t="s">
        <v>29701</v>
      </c>
      <c r="H4727" t="e" vm="2057">
        <f>_FV(0,"04128604438537986")</f>
        <v>#VALUE!</v>
      </c>
      <c r="I4727" t="s">
        <v>29702</v>
      </c>
      <c r="J4727" t="s">
        <v>4036</v>
      </c>
      <c r="K4727" t="s">
        <v>29703</v>
      </c>
      <c r="L4727" t="s">
        <v>29698</v>
      </c>
    </row>
    <row r="4728" spans="1:12" x14ac:dyDescent="0.25">
      <c r="A4728">
        <v>876137</v>
      </c>
      <c r="B4728">
        <v>876138</v>
      </c>
      <c r="D4728">
        <v>0</v>
      </c>
      <c r="F4728">
        <v>901554</v>
      </c>
      <c r="G4728">
        <v>876138</v>
      </c>
      <c r="H4728" t="s">
        <v>1333</v>
      </c>
      <c r="I4728">
        <v>876137</v>
      </c>
      <c r="J4728" t="s">
        <v>1333</v>
      </c>
      <c r="K4728" t="s">
        <v>29704</v>
      </c>
      <c r="L4728" t="s">
        <v>1333</v>
      </c>
    </row>
    <row r="4729" spans="1:12" x14ac:dyDescent="0.25">
      <c r="A4729">
        <v>876137</v>
      </c>
      <c r="B4729">
        <v>876189</v>
      </c>
      <c r="D4729">
        <v>0</v>
      </c>
      <c r="E4729" t="s">
        <v>29705</v>
      </c>
      <c r="F4729" t="s">
        <v>29706</v>
      </c>
      <c r="G4729" t="s">
        <v>29707</v>
      </c>
      <c r="H4729" t="e" vm="2058">
        <f>_FV(0,"0029126452576213194")</f>
        <v>#VALUE!</v>
      </c>
      <c r="I4729" t="s">
        <v>29708</v>
      </c>
      <c r="J4729" t="s">
        <v>3872</v>
      </c>
      <c r="K4729" t="s">
        <v>29709</v>
      </c>
      <c r="L4729" t="s">
        <v>22788</v>
      </c>
    </row>
    <row r="4730" spans="1:12" x14ac:dyDescent="0.25">
      <c r="A4730">
        <v>876137</v>
      </c>
      <c r="B4730">
        <v>892217</v>
      </c>
      <c r="D4730">
        <v>0</v>
      </c>
      <c r="E4730" t="s">
        <v>29711</v>
      </c>
      <c r="F4730" t="s">
        <v>29712</v>
      </c>
      <c r="G4730" t="s">
        <v>29713</v>
      </c>
      <c r="H4730" t="s">
        <v>29714</v>
      </c>
      <c r="I4730" t="s">
        <v>29715</v>
      </c>
      <c r="J4730" t="s">
        <v>29716</v>
      </c>
      <c r="K4730" t="s">
        <v>29717</v>
      </c>
      <c r="L4730" t="s">
        <v>29710</v>
      </c>
    </row>
    <row r="4731" spans="1:12" x14ac:dyDescent="0.25">
      <c r="A4731">
        <v>876138</v>
      </c>
      <c r="B4731">
        <v>876141</v>
      </c>
      <c r="D4731">
        <v>0</v>
      </c>
      <c r="E4731" t="s">
        <v>29718</v>
      </c>
      <c r="F4731" t="s">
        <v>29719</v>
      </c>
      <c r="G4731" t="s">
        <v>29720</v>
      </c>
      <c r="H4731" t="s">
        <v>29721</v>
      </c>
      <c r="I4731" t="s">
        <v>29722</v>
      </c>
      <c r="J4731" t="s">
        <v>11640</v>
      </c>
      <c r="K4731" t="s">
        <v>29723</v>
      </c>
      <c r="L4731" t="s">
        <v>11640</v>
      </c>
    </row>
    <row r="4732" spans="1:12" x14ac:dyDescent="0.25">
      <c r="A4732">
        <v>876138</v>
      </c>
      <c r="B4732">
        <v>879203</v>
      </c>
      <c r="D4732">
        <v>0</v>
      </c>
      <c r="E4732" t="s">
        <v>29725</v>
      </c>
      <c r="F4732" t="s">
        <v>29726</v>
      </c>
      <c r="G4732" t="s">
        <v>29727</v>
      </c>
      <c r="H4732" t="s">
        <v>29728</v>
      </c>
      <c r="I4732" t="s">
        <v>29729</v>
      </c>
      <c r="J4732" t="s">
        <v>29724</v>
      </c>
      <c r="K4732" t="s">
        <v>29730</v>
      </c>
      <c r="L4732" t="s">
        <v>29724</v>
      </c>
    </row>
    <row r="4733" spans="1:12" x14ac:dyDescent="0.25">
      <c r="A4733">
        <v>876141</v>
      </c>
      <c r="B4733">
        <v>876164</v>
      </c>
      <c r="D4733">
        <v>0</v>
      </c>
      <c r="E4733" t="s">
        <v>29732</v>
      </c>
      <c r="F4733" t="s">
        <v>29733</v>
      </c>
      <c r="G4733" t="s">
        <v>29734</v>
      </c>
      <c r="H4733" t="s">
        <v>29735</v>
      </c>
      <c r="I4733" t="s">
        <v>29736</v>
      </c>
      <c r="J4733" t="s">
        <v>29737</v>
      </c>
      <c r="K4733" t="s">
        <v>29738</v>
      </c>
      <c r="L4733" t="s">
        <v>29731</v>
      </c>
    </row>
    <row r="4734" spans="1:12" x14ac:dyDescent="0.25">
      <c r="A4734">
        <v>876141</v>
      </c>
      <c r="B4734">
        <v>879203</v>
      </c>
      <c r="D4734">
        <v>0</v>
      </c>
      <c r="E4734" t="s">
        <v>29740</v>
      </c>
      <c r="F4734" t="s">
        <v>29741</v>
      </c>
      <c r="G4734" t="s">
        <v>29742</v>
      </c>
      <c r="H4734" t="s">
        <v>29743</v>
      </c>
      <c r="I4734" t="s">
        <v>29744</v>
      </c>
      <c r="J4734" t="s">
        <v>29739</v>
      </c>
      <c r="K4734" t="s">
        <v>29745</v>
      </c>
      <c r="L4734" t="s">
        <v>29739</v>
      </c>
    </row>
    <row r="4735" spans="1:12" x14ac:dyDescent="0.25">
      <c r="A4735">
        <v>876164</v>
      </c>
      <c r="B4735">
        <v>876189</v>
      </c>
      <c r="D4735">
        <v>0</v>
      </c>
      <c r="E4735" t="s">
        <v>29747</v>
      </c>
      <c r="F4735" t="s">
        <v>29748</v>
      </c>
      <c r="G4735" t="s">
        <v>29749</v>
      </c>
      <c r="H4735" t="e" vm="2059">
        <f>_FV(0,"006873022528275186")</f>
        <v>#VALUE!</v>
      </c>
      <c r="I4735" t="s">
        <v>29750</v>
      </c>
      <c r="J4735" t="s">
        <v>29751</v>
      </c>
      <c r="K4735" t="s">
        <v>29752</v>
      </c>
      <c r="L4735" t="s">
        <v>29746</v>
      </c>
    </row>
    <row r="4736" spans="1:12" x14ac:dyDescent="0.25">
      <c r="A4736">
        <v>876164</v>
      </c>
      <c r="B4736">
        <v>933302</v>
      </c>
      <c r="D4736">
        <v>0</v>
      </c>
      <c r="E4736" t="s">
        <v>29754</v>
      </c>
      <c r="F4736" t="s">
        <v>29755</v>
      </c>
      <c r="G4736" t="s">
        <v>29756</v>
      </c>
      <c r="H4736" t="e" vm="2060">
        <f>_FV(0,"00468297565457376")</f>
        <v>#VALUE!</v>
      </c>
      <c r="I4736" t="s">
        <v>29757</v>
      </c>
      <c r="J4736" t="s">
        <v>29758</v>
      </c>
      <c r="K4736" t="s">
        <v>29759</v>
      </c>
      <c r="L4736" t="s">
        <v>29753</v>
      </c>
    </row>
    <row r="4737" spans="1:12" x14ac:dyDescent="0.25">
      <c r="A4737">
        <v>876189</v>
      </c>
      <c r="B4737">
        <v>892217</v>
      </c>
      <c r="D4737">
        <v>0</v>
      </c>
      <c r="E4737" t="s">
        <v>29761</v>
      </c>
      <c r="F4737" t="s">
        <v>29762</v>
      </c>
      <c r="G4737" t="s">
        <v>29763</v>
      </c>
      <c r="H4737" t="s">
        <v>29764</v>
      </c>
      <c r="I4737" t="s">
        <v>29765</v>
      </c>
      <c r="J4737" t="s">
        <v>29760</v>
      </c>
      <c r="K4737" t="s">
        <v>29766</v>
      </c>
      <c r="L4737" t="s">
        <v>29760</v>
      </c>
    </row>
    <row r="4738" spans="1:12" x14ac:dyDescent="0.25">
      <c r="A4738">
        <v>876208</v>
      </c>
      <c r="B4738">
        <v>876235</v>
      </c>
      <c r="D4738">
        <v>0</v>
      </c>
      <c r="E4738" t="s">
        <v>29768</v>
      </c>
      <c r="F4738" t="s">
        <v>29769</v>
      </c>
      <c r="G4738" t="s">
        <v>29770</v>
      </c>
      <c r="H4738" t="e" vm="2061">
        <f>_FV(0,"004763999946180866")</f>
        <v>#VALUE!</v>
      </c>
      <c r="I4738" t="s">
        <v>29771</v>
      </c>
      <c r="J4738" t="s">
        <v>29772</v>
      </c>
      <c r="K4738" t="s">
        <v>29773</v>
      </c>
      <c r="L4738" t="s">
        <v>29767</v>
      </c>
    </row>
    <row r="4739" spans="1:12" x14ac:dyDescent="0.25">
      <c r="A4739">
        <v>876208</v>
      </c>
      <c r="B4739">
        <v>876260</v>
      </c>
      <c r="D4739">
        <v>0</v>
      </c>
      <c r="E4739" t="s">
        <v>29774</v>
      </c>
      <c r="F4739" t="s">
        <v>29775</v>
      </c>
      <c r="G4739" t="s">
        <v>29776</v>
      </c>
      <c r="H4739" t="s">
        <v>29777</v>
      </c>
      <c r="I4739" t="s">
        <v>29778</v>
      </c>
      <c r="J4739" t="s">
        <v>4928</v>
      </c>
      <c r="K4739" t="s">
        <v>29779</v>
      </c>
      <c r="L4739" t="s">
        <v>4928</v>
      </c>
    </row>
    <row r="4740" spans="1:12" x14ac:dyDescent="0.25">
      <c r="A4740">
        <v>876235</v>
      </c>
      <c r="B4740">
        <v>876260</v>
      </c>
      <c r="D4740">
        <v>0</v>
      </c>
      <c r="E4740" t="s">
        <v>29781</v>
      </c>
      <c r="F4740" t="s">
        <v>29782</v>
      </c>
      <c r="G4740" t="s">
        <v>29783</v>
      </c>
      <c r="H4740" t="e" vm="2062">
        <f>_FV(0,"000605002917323336")</f>
        <v>#VALUE!</v>
      </c>
      <c r="I4740" t="s">
        <v>29784</v>
      </c>
      <c r="J4740" t="s">
        <v>1829</v>
      </c>
      <c r="K4740" t="s">
        <v>29785</v>
      </c>
      <c r="L4740" t="s">
        <v>29780</v>
      </c>
    </row>
    <row r="4741" spans="1:12" x14ac:dyDescent="0.25">
      <c r="A4741">
        <v>876235</v>
      </c>
      <c r="B4741">
        <v>892311</v>
      </c>
      <c r="D4741">
        <v>0</v>
      </c>
      <c r="E4741" t="s">
        <v>29787</v>
      </c>
      <c r="F4741" t="s">
        <v>29788</v>
      </c>
      <c r="G4741" t="s">
        <v>29789</v>
      </c>
      <c r="H4741" t="e" vm="2063">
        <f>_FV(0,"0018532232330313683")</f>
        <v>#VALUE!</v>
      </c>
      <c r="I4741" t="s">
        <v>29790</v>
      </c>
      <c r="J4741" t="s">
        <v>29791</v>
      </c>
      <c r="K4741" t="s">
        <v>29792</v>
      </c>
      <c r="L4741" t="s">
        <v>29786</v>
      </c>
    </row>
    <row r="4742" spans="1:12" x14ac:dyDescent="0.25">
      <c r="A4742">
        <v>876260</v>
      </c>
      <c r="B4742">
        <v>892311</v>
      </c>
      <c r="D4742">
        <v>0</v>
      </c>
      <c r="E4742" t="s">
        <v>29793</v>
      </c>
      <c r="F4742" t="s">
        <v>29794</v>
      </c>
      <c r="G4742" t="s">
        <v>29795</v>
      </c>
      <c r="H4742" t="e" vm="2064">
        <f>_FV(0,"0014530717343638761")</f>
        <v>#VALUE!</v>
      </c>
      <c r="I4742" t="s">
        <v>29796</v>
      </c>
      <c r="J4742" t="s">
        <v>2914</v>
      </c>
      <c r="K4742" t="s">
        <v>29797</v>
      </c>
      <c r="L4742" t="s">
        <v>27070</v>
      </c>
    </row>
    <row r="4743" spans="1:12" x14ac:dyDescent="0.25">
      <c r="A4743">
        <v>876278</v>
      </c>
      <c r="B4743">
        <v>876279</v>
      </c>
      <c r="D4743">
        <v>0</v>
      </c>
      <c r="F4743">
        <v>901722</v>
      </c>
      <c r="G4743">
        <v>876279</v>
      </c>
      <c r="H4743" t="e" vm="16">
        <f>_FV(0,"007")</f>
        <v>#VALUE!</v>
      </c>
      <c r="I4743">
        <v>876278</v>
      </c>
      <c r="J4743" t="s">
        <v>226</v>
      </c>
      <c r="K4743" t="s">
        <v>29798</v>
      </c>
      <c r="L4743" t="e" vm="16">
        <f>_FV(0,"007")</f>
        <v>#VALUE!</v>
      </c>
    </row>
    <row r="4744" spans="1:12" x14ac:dyDescent="0.25">
      <c r="A4744">
        <v>876278</v>
      </c>
      <c r="B4744">
        <v>876296</v>
      </c>
      <c r="D4744">
        <v>0</v>
      </c>
      <c r="F4744">
        <v>901746</v>
      </c>
      <c r="G4744">
        <v>876278</v>
      </c>
      <c r="H4744" t="e" vm="2065">
        <f>_FV(0,"072")</f>
        <v>#VALUE!</v>
      </c>
      <c r="I4744">
        <v>876296</v>
      </c>
      <c r="J4744" t="s">
        <v>29799</v>
      </c>
      <c r="K4744" t="s">
        <v>29800</v>
      </c>
      <c r="L4744" t="e" vm="2065">
        <f>_FV(0,"072")</f>
        <v>#VALUE!</v>
      </c>
    </row>
    <row r="4745" spans="1:12" x14ac:dyDescent="0.25">
      <c r="A4745">
        <v>876278</v>
      </c>
      <c r="B4745">
        <v>939318</v>
      </c>
      <c r="D4745">
        <v>0</v>
      </c>
      <c r="E4745" t="s">
        <v>29802</v>
      </c>
      <c r="F4745" t="s">
        <v>29803</v>
      </c>
      <c r="G4745" t="s">
        <v>29804</v>
      </c>
      <c r="H4745" t="e" vm="2066">
        <f>_FV(0,"01605191424781688")</f>
        <v>#VALUE!</v>
      </c>
      <c r="I4745" t="s">
        <v>29805</v>
      </c>
      <c r="J4745" t="s">
        <v>29806</v>
      </c>
      <c r="K4745" t="s">
        <v>29807</v>
      </c>
      <c r="L4745" t="s">
        <v>29801</v>
      </c>
    </row>
    <row r="4746" spans="1:12" x14ac:dyDescent="0.25">
      <c r="A4746">
        <v>876279</v>
      </c>
      <c r="B4746">
        <v>876280</v>
      </c>
      <c r="D4746">
        <v>0</v>
      </c>
      <c r="F4746">
        <v>901723</v>
      </c>
      <c r="G4746">
        <v>876280</v>
      </c>
      <c r="H4746" t="s">
        <v>3418</v>
      </c>
      <c r="I4746">
        <v>876279</v>
      </c>
      <c r="J4746" t="s">
        <v>3418</v>
      </c>
      <c r="K4746" t="s">
        <v>29808</v>
      </c>
      <c r="L4746" t="s">
        <v>3418</v>
      </c>
    </row>
    <row r="4747" spans="1:12" x14ac:dyDescent="0.25">
      <c r="A4747">
        <v>876279</v>
      </c>
      <c r="B4747">
        <v>939358</v>
      </c>
      <c r="D4747">
        <v>0</v>
      </c>
      <c r="E4747" t="s">
        <v>29810</v>
      </c>
      <c r="F4747" t="s">
        <v>29811</v>
      </c>
      <c r="G4747" t="s">
        <v>29812</v>
      </c>
      <c r="H4747" t="s">
        <v>29813</v>
      </c>
      <c r="I4747" t="s">
        <v>29814</v>
      </c>
      <c r="J4747" t="s">
        <v>29815</v>
      </c>
      <c r="K4747" t="s">
        <v>29816</v>
      </c>
      <c r="L4747" t="s">
        <v>29809</v>
      </c>
    </row>
    <row r="4748" spans="1:12" x14ac:dyDescent="0.25">
      <c r="A4748">
        <v>876280</v>
      </c>
      <c r="B4748">
        <v>876296</v>
      </c>
      <c r="D4748">
        <v>0</v>
      </c>
      <c r="E4748" t="s">
        <v>29818</v>
      </c>
      <c r="F4748" t="s">
        <v>29819</v>
      </c>
      <c r="G4748" t="s">
        <v>29820</v>
      </c>
      <c r="H4748" t="s">
        <v>29821</v>
      </c>
      <c r="I4748" t="s">
        <v>29822</v>
      </c>
      <c r="J4748" t="s">
        <v>29823</v>
      </c>
      <c r="K4748" t="s">
        <v>29824</v>
      </c>
      <c r="L4748" t="s">
        <v>29817</v>
      </c>
    </row>
    <row r="4749" spans="1:12" x14ac:dyDescent="0.25">
      <c r="A4749">
        <v>876280</v>
      </c>
      <c r="B4749">
        <v>879226</v>
      </c>
      <c r="D4749">
        <v>0</v>
      </c>
      <c r="E4749" t="s">
        <v>29826</v>
      </c>
      <c r="F4749" t="s">
        <v>29827</v>
      </c>
      <c r="G4749" t="s">
        <v>29828</v>
      </c>
      <c r="H4749" t="s">
        <v>29829</v>
      </c>
      <c r="I4749" t="s">
        <v>29830</v>
      </c>
      <c r="J4749" t="s">
        <v>29825</v>
      </c>
      <c r="K4749" t="s">
        <v>29831</v>
      </c>
      <c r="L4749" t="s">
        <v>29825</v>
      </c>
    </row>
    <row r="4750" spans="1:12" x14ac:dyDescent="0.25">
      <c r="A4750">
        <v>876296</v>
      </c>
      <c r="B4750">
        <v>879226</v>
      </c>
      <c r="D4750">
        <v>0</v>
      </c>
      <c r="E4750" t="s">
        <v>29833</v>
      </c>
      <c r="F4750" t="s">
        <v>29834</v>
      </c>
      <c r="G4750" t="s">
        <v>29835</v>
      </c>
      <c r="H4750" t="s">
        <v>29836</v>
      </c>
      <c r="I4750" t="s">
        <v>29837</v>
      </c>
      <c r="J4750" t="s">
        <v>29832</v>
      </c>
      <c r="K4750" t="s">
        <v>29838</v>
      </c>
      <c r="L4750" t="s">
        <v>29832</v>
      </c>
    </row>
    <row r="4751" spans="1:12" x14ac:dyDescent="0.25">
      <c r="A4751">
        <v>876322</v>
      </c>
      <c r="B4751">
        <v>876375</v>
      </c>
      <c r="D4751">
        <v>0</v>
      </c>
      <c r="E4751" t="s">
        <v>29840</v>
      </c>
      <c r="F4751" t="s">
        <v>29841</v>
      </c>
      <c r="G4751" t="s">
        <v>29842</v>
      </c>
      <c r="H4751" t="s">
        <v>29843</v>
      </c>
      <c r="I4751" t="s">
        <v>29844</v>
      </c>
      <c r="J4751" t="s">
        <v>29839</v>
      </c>
      <c r="K4751" t="s">
        <v>29845</v>
      </c>
      <c r="L4751" t="s">
        <v>29839</v>
      </c>
    </row>
    <row r="4752" spans="1:12" x14ac:dyDescent="0.25">
      <c r="A4752">
        <v>876322</v>
      </c>
      <c r="B4752">
        <v>879230</v>
      </c>
      <c r="D4752">
        <v>0</v>
      </c>
      <c r="E4752" t="s">
        <v>29847</v>
      </c>
      <c r="F4752" t="s">
        <v>29848</v>
      </c>
      <c r="G4752" t="s">
        <v>29849</v>
      </c>
      <c r="H4752" t="s">
        <v>29850</v>
      </c>
      <c r="I4752" t="s">
        <v>29851</v>
      </c>
      <c r="J4752" t="s">
        <v>29846</v>
      </c>
      <c r="K4752" t="s">
        <v>29852</v>
      </c>
      <c r="L4752" t="s">
        <v>29846</v>
      </c>
    </row>
    <row r="4753" spans="1:12" x14ac:dyDescent="0.25">
      <c r="A4753">
        <v>876375</v>
      </c>
      <c r="B4753">
        <v>879252</v>
      </c>
      <c r="D4753">
        <v>0</v>
      </c>
      <c r="E4753" t="s">
        <v>29854</v>
      </c>
      <c r="F4753" t="s">
        <v>29855</v>
      </c>
      <c r="G4753" t="s">
        <v>29856</v>
      </c>
      <c r="H4753" t="s">
        <v>29857</v>
      </c>
      <c r="I4753" t="s">
        <v>29858</v>
      </c>
      <c r="J4753" t="s">
        <v>29859</v>
      </c>
      <c r="K4753" t="s">
        <v>29860</v>
      </c>
      <c r="L4753" t="s">
        <v>29853</v>
      </c>
    </row>
    <row r="4754" spans="1:12" x14ac:dyDescent="0.25">
      <c r="A4754">
        <v>879203</v>
      </c>
      <c r="B4754">
        <v>892311</v>
      </c>
      <c r="D4754">
        <v>0</v>
      </c>
      <c r="F4754">
        <v>921325</v>
      </c>
      <c r="G4754">
        <v>879203</v>
      </c>
      <c r="H4754" t="s">
        <v>239</v>
      </c>
      <c r="I4754">
        <v>892311</v>
      </c>
      <c r="J4754" t="s">
        <v>239</v>
      </c>
      <c r="K4754" t="s">
        <v>29861</v>
      </c>
      <c r="L4754" t="s">
        <v>239</v>
      </c>
    </row>
    <row r="4755" spans="1:12" x14ac:dyDescent="0.25">
      <c r="A4755">
        <v>879226</v>
      </c>
      <c r="B4755">
        <v>879228</v>
      </c>
      <c r="D4755">
        <v>0</v>
      </c>
      <c r="E4755" t="s">
        <v>29863</v>
      </c>
      <c r="F4755" t="s">
        <v>29864</v>
      </c>
      <c r="G4755" t="s">
        <v>29865</v>
      </c>
      <c r="H4755" t="s">
        <v>29866</v>
      </c>
      <c r="I4755" t="s">
        <v>29867</v>
      </c>
      <c r="J4755" t="s">
        <v>29862</v>
      </c>
      <c r="K4755" t="s">
        <v>29868</v>
      </c>
      <c r="L4755" t="s">
        <v>29862</v>
      </c>
    </row>
    <row r="4756" spans="1:12" x14ac:dyDescent="0.25">
      <c r="A4756">
        <v>879228</v>
      </c>
      <c r="B4756">
        <v>879252</v>
      </c>
      <c r="D4756">
        <v>0</v>
      </c>
      <c r="F4756">
        <v>928333</v>
      </c>
      <c r="G4756">
        <v>879252</v>
      </c>
      <c r="H4756" t="s">
        <v>5410</v>
      </c>
      <c r="I4756">
        <v>879228</v>
      </c>
      <c r="J4756" t="s">
        <v>5410</v>
      </c>
      <c r="K4756" t="s">
        <v>29869</v>
      </c>
      <c r="L4756" t="s">
        <v>5410</v>
      </c>
    </row>
    <row r="4757" spans="1:12" x14ac:dyDescent="0.25">
      <c r="A4757">
        <v>879228</v>
      </c>
      <c r="B4757">
        <v>879230</v>
      </c>
      <c r="D4757">
        <v>0</v>
      </c>
      <c r="E4757" t="s">
        <v>29871</v>
      </c>
      <c r="F4757" t="s">
        <v>29872</v>
      </c>
      <c r="G4757" t="s">
        <v>29873</v>
      </c>
      <c r="H4757" t="s">
        <v>29874</v>
      </c>
      <c r="I4757" t="s">
        <v>29875</v>
      </c>
      <c r="J4757" t="s">
        <v>29870</v>
      </c>
      <c r="K4757" t="s">
        <v>29876</v>
      </c>
      <c r="L4757" t="s">
        <v>29870</v>
      </c>
    </row>
    <row r="4758" spans="1:12" x14ac:dyDescent="0.25">
      <c r="A4758">
        <v>879230</v>
      </c>
      <c r="B4758">
        <v>939342</v>
      </c>
      <c r="D4758">
        <v>0</v>
      </c>
      <c r="E4758" t="s">
        <v>29878</v>
      </c>
      <c r="F4758" t="s">
        <v>29879</v>
      </c>
      <c r="G4758" t="s">
        <v>29880</v>
      </c>
      <c r="H4758" t="e" vm="2067">
        <f>_FV(0,"0166456876497025")</f>
        <v>#VALUE!</v>
      </c>
      <c r="I4758" t="s">
        <v>29881</v>
      </c>
      <c r="J4758" t="s">
        <v>29882</v>
      </c>
      <c r="K4758" t="s">
        <v>29883</v>
      </c>
      <c r="L4758" t="s">
        <v>29877</v>
      </c>
    </row>
    <row r="4759" spans="1:12" x14ac:dyDescent="0.25">
      <c r="A4759">
        <v>879252</v>
      </c>
      <c r="B4759">
        <v>939320</v>
      </c>
      <c r="D4759">
        <v>0</v>
      </c>
      <c r="E4759" t="s">
        <v>29885</v>
      </c>
      <c r="F4759" t="s">
        <v>29886</v>
      </c>
      <c r="G4759" t="s">
        <v>29887</v>
      </c>
      <c r="H4759" t="e" vm="2068">
        <f>_FV(0,"004507555197313543")</f>
        <v>#VALUE!</v>
      </c>
      <c r="I4759" t="s">
        <v>29888</v>
      </c>
      <c r="J4759" t="s">
        <v>29889</v>
      </c>
      <c r="K4759" t="s">
        <v>29890</v>
      </c>
      <c r="L4759" t="s">
        <v>29884</v>
      </c>
    </row>
    <row r="4760" spans="1:12" x14ac:dyDescent="0.25">
      <c r="A4760">
        <v>884120</v>
      </c>
      <c r="B4760">
        <v>884140</v>
      </c>
      <c r="D4760" t="s">
        <v>514</v>
      </c>
      <c r="E4760" t="s">
        <v>29892</v>
      </c>
      <c r="F4760" t="s">
        <v>29893</v>
      </c>
      <c r="G4760" t="s">
        <v>29894</v>
      </c>
      <c r="H4760" t="s">
        <v>29895</v>
      </c>
      <c r="I4760" t="s">
        <v>29896</v>
      </c>
      <c r="J4760" t="s">
        <v>29897</v>
      </c>
      <c r="K4760" t="s">
        <v>29898</v>
      </c>
      <c r="L4760" t="s">
        <v>29891</v>
      </c>
    </row>
    <row r="4761" spans="1:12" x14ac:dyDescent="0.25">
      <c r="A4761">
        <v>884120</v>
      </c>
      <c r="B4761">
        <v>887813</v>
      </c>
      <c r="D4761">
        <v>0</v>
      </c>
      <c r="E4761" t="s">
        <v>29900</v>
      </c>
      <c r="F4761" t="s">
        <v>29901</v>
      </c>
      <c r="G4761" t="s">
        <v>29902</v>
      </c>
      <c r="H4761" t="s">
        <v>29903</v>
      </c>
      <c r="I4761" t="s">
        <v>29904</v>
      </c>
      <c r="J4761" t="s">
        <v>29899</v>
      </c>
      <c r="K4761" t="s">
        <v>29905</v>
      </c>
      <c r="L4761" t="s">
        <v>29899</v>
      </c>
    </row>
    <row r="4762" spans="1:12" x14ac:dyDescent="0.25">
      <c r="A4762">
        <v>884120</v>
      </c>
      <c r="B4762">
        <v>887799</v>
      </c>
      <c r="D4762">
        <v>0</v>
      </c>
      <c r="E4762" t="s">
        <v>29907</v>
      </c>
      <c r="F4762" t="s">
        <v>29908</v>
      </c>
      <c r="G4762" t="s">
        <v>29909</v>
      </c>
      <c r="H4762" t="e" vm="2069">
        <f>_FV(0,"010401162146755826")</f>
        <v>#VALUE!</v>
      </c>
      <c r="I4762" t="s">
        <v>29910</v>
      </c>
      <c r="J4762" t="s">
        <v>5583</v>
      </c>
      <c r="K4762" t="s">
        <v>29911</v>
      </c>
      <c r="L4762" t="s">
        <v>29906</v>
      </c>
    </row>
    <row r="4763" spans="1:12" x14ac:dyDescent="0.25">
      <c r="A4763">
        <v>884140</v>
      </c>
      <c r="B4763">
        <v>884145</v>
      </c>
      <c r="D4763" t="s">
        <v>1839</v>
      </c>
      <c r="E4763" t="s">
        <v>29913</v>
      </c>
      <c r="F4763" t="s">
        <v>29914</v>
      </c>
      <c r="G4763" t="s">
        <v>29915</v>
      </c>
      <c r="H4763" t="s">
        <v>29916</v>
      </c>
      <c r="I4763" t="s">
        <v>29917</v>
      </c>
      <c r="J4763" t="s">
        <v>29912</v>
      </c>
      <c r="K4763" t="s">
        <v>29918</v>
      </c>
      <c r="L4763" t="s">
        <v>29912</v>
      </c>
    </row>
    <row r="4764" spans="1:12" x14ac:dyDescent="0.25">
      <c r="A4764">
        <v>884145</v>
      </c>
      <c r="B4764">
        <v>884154</v>
      </c>
      <c r="D4764">
        <v>0</v>
      </c>
      <c r="E4764" t="s">
        <v>29920</v>
      </c>
      <c r="F4764" t="s">
        <v>29921</v>
      </c>
      <c r="G4764" t="s">
        <v>29922</v>
      </c>
      <c r="H4764" t="s">
        <v>29923</v>
      </c>
      <c r="I4764" t="s">
        <v>29924</v>
      </c>
      <c r="J4764" t="s">
        <v>29925</v>
      </c>
      <c r="K4764" t="s">
        <v>29926</v>
      </c>
      <c r="L4764" t="s">
        <v>29919</v>
      </c>
    </row>
    <row r="4765" spans="1:12" x14ac:dyDescent="0.25">
      <c r="A4765">
        <v>884145</v>
      </c>
      <c r="B4765">
        <v>887799</v>
      </c>
      <c r="D4765">
        <v>0</v>
      </c>
      <c r="E4765" t="s">
        <v>29928</v>
      </c>
      <c r="F4765" t="s">
        <v>29929</v>
      </c>
      <c r="G4765" t="s">
        <v>29930</v>
      </c>
      <c r="H4765" t="s">
        <v>29931</v>
      </c>
      <c r="I4765" t="s">
        <v>29932</v>
      </c>
      <c r="J4765" t="s">
        <v>29927</v>
      </c>
      <c r="K4765" t="s">
        <v>29933</v>
      </c>
      <c r="L4765" t="s">
        <v>29927</v>
      </c>
    </row>
    <row r="4766" spans="1:12" x14ac:dyDescent="0.25">
      <c r="A4766">
        <v>884154</v>
      </c>
      <c r="B4766">
        <v>887837</v>
      </c>
      <c r="D4766">
        <v>0</v>
      </c>
      <c r="E4766" t="s">
        <v>29935</v>
      </c>
      <c r="F4766" t="s">
        <v>29936</v>
      </c>
      <c r="G4766" t="s">
        <v>29937</v>
      </c>
      <c r="H4766" t="e" vm="2070">
        <f>_FV(0,"04058738676305204")</f>
        <v>#VALUE!</v>
      </c>
      <c r="I4766" t="s">
        <v>29938</v>
      </c>
      <c r="J4766" t="s">
        <v>29939</v>
      </c>
      <c r="K4766" t="s">
        <v>29940</v>
      </c>
      <c r="L4766" t="s">
        <v>29934</v>
      </c>
    </row>
    <row r="4767" spans="1:12" x14ac:dyDescent="0.25">
      <c r="A4767">
        <v>884154</v>
      </c>
      <c r="B4767">
        <v>887818</v>
      </c>
      <c r="D4767">
        <v>0</v>
      </c>
      <c r="E4767" t="s">
        <v>29942</v>
      </c>
      <c r="F4767" t="s">
        <v>29943</v>
      </c>
      <c r="G4767" t="s">
        <v>29944</v>
      </c>
      <c r="H4767" t="e" vm="2071">
        <f>_FV(0,"03128696634573271")</f>
        <v>#VALUE!</v>
      </c>
      <c r="I4767" t="s">
        <v>29945</v>
      </c>
      <c r="J4767" t="s">
        <v>29946</v>
      </c>
      <c r="K4767" t="s">
        <v>29947</v>
      </c>
      <c r="L4767" t="s">
        <v>29941</v>
      </c>
    </row>
    <row r="4768" spans="1:12" x14ac:dyDescent="0.25">
      <c r="A4768">
        <v>884168</v>
      </c>
      <c r="B4768">
        <v>884183</v>
      </c>
      <c r="D4768">
        <v>0</v>
      </c>
      <c r="E4768" t="s">
        <v>29949</v>
      </c>
      <c r="F4768" t="s">
        <v>29950</v>
      </c>
      <c r="G4768" t="s">
        <v>29951</v>
      </c>
      <c r="H4768" t="e" vm="2072">
        <f>_FV(0,"00915494068401531")</f>
        <v>#VALUE!</v>
      </c>
      <c r="I4768" t="s">
        <v>29952</v>
      </c>
      <c r="J4768" t="s">
        <v>29953</v>
      </c>
      <c r="K4768" t="s">
        <v>29954</v>
      </c>
      <c r="L4768" t="s">
        <v>29948</v>
      </c>
    </row>
    <row r="4769" spans="1:12" x14ac:dyDescent="0.25">
      <c r="A4769">
        <v>884168</v>
      </c>
      <c r="B4769">
        <v>1577853</v>
      </c>
      <c r="D4769">
        <v>0</v>
      </c>
      <c r="E4769" t="s">
        <v>29956</v>
      </c>
      <c r="F4769" t="s">
        <v>29957</v>
      </c>
      <c r="G4769" t="s">
        <v>29958</v>
      </c>
      <c r="H4769" t="e" vm="2073">
        <f>_FV(0,"050190011212184985")</f>
        <v>#VALUE!</v>
      </c>
      <c r="I4769" t="s">
        <v>29959</v>
      </c>
      <c r="J4769" t="s">
        <v>29960</v>
      </c>
      <c r="K4769" t="s">
        <v>29961</v>
      </c>
      <c r="L4769" t="s">
        <v>29955</v>
      </c>
    </row>
    <row r="4770" spans="1:12" x14ac:dyDescent="0.25">
      <c r="A4770">
        <v>884183</v>
      </c>
      <c r="B4770">
        <v>887775</v>
      </c>
      <c r="D4770">
        <v>0</v>
      </c>
      <c r="E4770" t="s">
        <v>29963</v>
      </c>
      <c r="F4770" t="s">
        <v>29964</v>
      </c>
      <c r="G4770" t="s">
        <v>29965</v>
      </c>
      <c r="H4770" t="s">
        <v>29966</v>
      </c>
      <c r="I4770" t="s">
        <v>29967</v>
      </c>
      <c r="J4770" t="s">
        <v>29968</v>
      </c>
      <c r="K4770" t="s">
        <v>29969</v>
      </c>
      <c r="L4770" t="s">
        <v>29962</v>
      </c>
    </row>
    <row r="4771" spans="1:12" x14ac:dyDescent="0.25">
      <c r="A4771">
        <v>884204</v>
      </c>
      <c r="B4771">
        <v>884227</v>
      </c>
      <c r="D4771">
        <v>0</v>
      </c>
      <c r="E4771" t="s">
        <v>29971</v>
      </c>
      <c r="F4771" t="s">
        <v>29972</v>
      </c>
      <c r="G4771" t="s">
        <v>29973</v>
      </c>
      <c r="H4771" t="e" vm="2074">
        <f>_FV(0,"08611551309545835")</f>
        <v>#VALUE!</v>
      </c>
      <c r="I4771" t="s">
        <v>29974</v>
      </c>
      <c r="J4771" t="s">
        <v>29975</v>
      </c>
      <c r="K4771" t="s">
        <v>29976</v>
      </c>
      <c r="L4771" t="s">
        <v>29970</v>
      </c>
    </row>
    <row r="4772" spans="1:12" x14ac:dyDescent="0.25">
      <c r="A4772">
        <v>884204</v>
      </c>
      <c r="B4772">
        <v>887781</v>
      </c>
      <c r="D4772">
        <v>0</v>
      </c>
      <c r="E4772" t="s">
        <v>29978</v>
      </c>
      <c r="F4772" t="s">
        <v>29979</v>
      </c>
      <c r="G4772" t="s">
        <v>29980</v>
      </c>
      <c r="H4772" t="e" vm="2075">
        <f>_FV(0,"017022938285473993")</f>
        <v>#VALUE!</v>
      </c>
      <c r="I4772" t="s">
        <v>29981</v>
      </c>
      <c r="J4772" t="s">
        <v>29982</v>
      </c>
      <c r="K4772" t="s">
        <v>29983</v>
      </c>
      <c r="L4772" t="s">
        <v>29977</v>
      </c>
    </row>
    <row r="4773" spans="1:12" x14ac:dyDescent="0.25">
      <c r="A4773">
        <v>884227</v>
      </c>
      <c r="B4773">
        <v>1577710</v>
      </c>
      <c r="D4773">
        <v>0</v>
      </c>
      <c r="E4773" t="s">
        <v>29985</v>
      </c>
      <c r="F4773" t="s">
        <v>29986</v>
      </c>
      <c r="G4773" t="s">
        <v>29987</v>
      </c>
      <c r="H4773" t="s">
        <v>29988</v>
      </c>
      <c r="I4773" t="s">
        <v>29989</v>
      </c>
      <c r="J4773" t="s">
        <v>29990</v>
      </c>
      <c r="K4773" t="s">
        <v>29991</v>
      </c>
      <c r="L4773" t="s">
        <v>29984</v>
      </c>
    </row>
    <row r="4774" spans="1:12" x14ac:dyDescent="0.25">
      <c r="A4774">
        <v>884247</v>
      </c>
      <c r="B4774">
        <v>884281</v>
      </c>
      <c r="D4774">
        <v>0</v>
      </c>
      <c r="F4774">
        <v>910786</v>
      </c>
      <c r="G4774">
        <v>884247</v>
      </c>
      <c r="H4774" t="s">
        <v>29992</v>
      </c>
      <c r="I4774">
        <v>884281</v>
      </c>
      <c r="J4774" t="s">
        <v>29992</v>
      </c>
      <c r="K4774" t="s">
        <v>29993</v>
      </c>
      <c r="L4774" t="s">
        <v>29992</v>
      </c>
    </row>
    <row r="4775" spans="1:12" x14ac:dyDescent="0.25">
      <c r="A4775">
        <v>884247</v>
      </c>
      <c r="B4775">
        <v>952146</v>
      </c>
      <c r="D4775">
        <v>0</v>
      </c>
      <c r="E4775" t="s">
        <v>29995</v>
      </c>
      <c r="F4775" t="s">
        <v>29996</v>
      </c>
      <c r="G4775" t="s">
        <v>29997</v>
      </c>
      <c r="H4775" t="e" vm="2076">
        <f>_FV(0,"027862032188878023")</f>
        <v>#VALUE!</v>
      </c>
      <c r="I4775" t="s">
        <v>29998</v>
      </c>
      <c r="J4775" t="s">
        <v>29999</v>
      </c>
      <c r="K4775" t="s">
        <v>30000</v>
      </c>
      <c r="L4775" t="s">
        <v>29994</v>
      </c>
    </row>
    <row r="4776" spans="1:12" x14ac:dyDescent="0.25">
      <c r="A4776">
        <v>884281</v>
      </c>
      <c r="B4776">
        <v>952235</v>
      </c>
      <c r="D4776">
        <v>0</v>
      </c>
      <c r="E4776" t="s">
        <v>30002</v>
      </c>
      <c r="F4776" t="s">
        <v>30003</v>
      </c>
      <c r="G4776" t="s">
        <v>30004</v>
      </c>
      <c r="H4776" t="s">
        <v>30005</v>
      </c>
      <c r="I4776" t="s">
        <v>30006</v>
      </c>
      <c r="J4776" t="s">
        <v>30007</v>
      </c>
      <c r="K4776" t="s">
        <v>30008</v>
      </c>
      <c r="L4776" t="s">
        <v>30001</v>
      </c>
    </row>
    <row r="4777" spans="1:12" x14ac:dyDescent="0.25">
      <c r="A4777">
        <v>885208</v>
      </c>
      <c r="B4777">
        <v>885221</v>
      </c>
      <c r="D4777">
        <v>0</v>
      </c>
      <c r="E4777" t="s">
        <v>30010</v>
      </c>
      <c r="F4777" t="s">
        <v>30011</v>
      </c>
      <c r="G4777" t="s">
        <v>30012</v>
      </c>
      <c r="H4777" t="e" vm="2077">
        <f>_FV(0,"019503281891180897")</f>
        <v>#VALUE!</v>
      </c>
      <c r="I4777" t="s">
        <v>30013</v>
      </c>
      <c r="J4777" t="s">
        <v>30014</v>
      </c>
      <c r="K4777" t="s">
        <v>30015</v>
      </c>
      <c r="L4777" t="s">
        <v>30009</v>
      </c>
    </row>
    <row r="4778" spans="1:12" x14ac:dyDescent="0.25">
      <c r="A4778">
        <v>885208</v>
      </c>
      <c r="B4778">
        <v>1854811</v>
      </c>
      <c r="D4778">
        <v>0</v>
      </c>
      <c r="E4778" t="s">
        <v>30016</v>
      </c>
      <c r="H4778" t="s">
        <v>187</v>
      </c>
      <c r="J4778">
        <v>0</v>
      </c>
      <c r="K4778" t="s">
        <v>30017</v>
      </c>
      <c r="L4778">
        <v>0</v>
      </c>
    </row>
    <row r="4779" spans="1:12" x14ac:dyDescent="0.25">
      <c r="A4779">
        <v>886096</v>
      </c>
      <c r="B4779">
        <v>886113</v>
      </c>
      <c r="D4779">
        <v>0</v>
      </c>
      <c r="E4779" t="s">
        <v>30019</v>
      </c>
      <c r="F4779" t="s">
        <v>30020</v>
      </c>
      <c r="G4779" t="s">
        <v>30021</v>
      </c>
      <c r="H4779" t="s">
        <v>30022</v>
      </c>
      <c r="I4779" t="s">
        <v>30023</v>
      </c>
      <c r="J4779" t="s">
        <v>30018</v>
      </c>
      <c r="K4779" t="s">
        <v>30024</v>
      </c>
      <c r="L4779" t="s">
        <v>30018</v>
      </c>
    </row>
    <row r="4780" spans="1:12" x14ac:dyDescent="0.25">
      <c r="A4780">
        <v>886096</v>
      </c>
      <c r="B4780">
        <v>894186</v>
      </c>
      <c r="D4780">
        <v>0</v>
      </c>
      <c r="E4780" t="s">
        <v>30026</v>
      </c>
      <c r="F4780" t="s">
        <v>30027</v>
      </c>
      <c r="G4780" t="s">
        <v>30028</v>
      </c>
      <c r="H4780" t="e" vm="2078">
        <f>_FV(0,"0468616317086862")</f>
        <v>#VALUE!</v>
      </c>
      <c r="I4780" t="s">
        <v>30029</v>
      </c>
      <c r="J4780" t="s">
        <v>30030</v>
      </c>
      <c r="K4780" t="s">
        <v>30031</v>
      </c>
      <c r="L4780" t="s">
        <v>30025</v>
      </c>
    </row>
    <row r="4781" spans="1:12" x14ac:dyDescent="0.25">
      <c r="A4781">
        <v>886096</v>
      </c>
      <c r="B4781">
        <v>894219</v>
      </c>
      <c r="D4781">
        <v>0</v>
      </c>
      <c r="E4781" t="s">
        <v>30033</v>
      </c>
      <c r="F4781" t="s">
        <v>30034</v>
      </c>
      <c r="G4781" t="s">
        <v>30035</v>
      </c>
      <c r="H4781" t="s">
        <v>30036</v>
      </c>
      <c r="I4781" t="s">
        <v>30037</v>
      </c>
      <c r="J4781" t="s">
        <v>30032</v>
      </c>
      <c r="K4781" t="s">
        <v>30038</v>
      </c>
      <c r="L4781" t="s">
        <v>30032</v>
      </c>
    </row>
    <row r="4782" spans="1:12" x14ac:dyDescent="0.25">
      <c r="A4782">
        <v>886113</v>
      </c>
      <c r="B4782">
        <v>1525158</v>
      </c>
      <c r="D4782">
        <v>0</v>
      </c>
      <c r="E4782" t="s">
        <v>30040</v>
      </c>
      <c r="F4782" t="s">
        <v>30041</v>
      </c>
      <c r="G4782" t="s">
        <v>30042</v>
      </c>
      <c r="H4782" t="e" vm="2079">
        <f>_FV(0,"00695609026520521")</f>
        <v>#VALUE!</v>
      </c>
      <c r="I4782" t="s">
        <v>30043</v>
      </c>
      <c r="J4782" t="s">
        <v>30044</v>
      </c>
      <c r="K4782" t="s">
        <v>30045</v>
      </c>
      <c r="L4782" t="s">
        <v>30039</v>
      </c>
    </row>
    <row r="4783" spans="1:12" x14ac:dyDescent="0.25">
      <c r="A4783">
        <v>886113</v>
      </c>
      <c r="B4783">
        <v>894186</v>
      </c>
      <c r="D4783">
        <v>0</v>
      </c>
      <c r="E4783" t="s">
        <v>30047</v>
      </c>
      <c r="F4783" t="s">
        <v>30048</v>
      </c>
      <c r="G4783" t="s">
        <v>30049</v>
      </c>
      <c r="H4783" t="s">
        <v>30050</v>
      </c>
      <c r="I4783" t="s">
        <v>30051</v>
      </c>
      <c r="J4783" t="s">
        <v>30046</v>
      </c>
      <c r="K4783" t="s">
        <v>30052</v>
      </c>
      <c r="L4783" t="s">
        <v>30046</v>
      </c>
    </row>
    <row r="4784" spans="1:12" x14ac:dyDescent="0.25">
      <c r="A4784">
        <v>886137</v>
      </c>
      <c r="B4784">
        <v>886162</v>
      </c>
      <c r="D4784">
        <v>0</v>
      </c>
      <c r="E4784" t="s">
        <v>30054</v>
      </c>
      <c r="F4784" t="s">
        <v>30055</v>
      </c>
      <c r="G4784" t="s">
        <v>30056</v>
      </c>
      <c r="H4784" t="e" vm="2080">
        <f>_FV(0,"02509047934123666")</f>
        <v>#VALUE!</v>
      </c>
      <c r="I4784" t="s">
        <v>30057</v>
      </c>
      <c r="J4784" t="s">
        <v>30058</v>
      </c>
      <c r="K4784" t="s">
        <v>30059</v>
      </c>
      <c r="L4784" t="s">
        <v>30053</v>
      </c>
    </row>
    <row r="4785" spans="1:12" x14ac:dyDescent="0.25">
      <c r="A4785">
        <v>886137</v>
      </c>
      <c r="B4785">
        <v>894219</v>
      </c>
      <c r="D4785">
        <v>0</v>
      </c>
      <c r="E4785" t="s">
        <v>30061</v>
      </c>
      <c r="F4785" t="s">
        <v>30062</v>
      </c>
      <c r="G4785" t="s">
        <v>30063</v>
      </c>
      <c r="H4785" t="s">
        <v>30064</v>
      </c>
      <c r="I4785" t="s">
        <v>30065</v>
      </c>
      <c r="J4785" t="s">
        <v>30066</v>
      </c>
      <c r="K4785" t="s">
        <v>30067</v>
      </c>
      <c r="L4785" t="s">
        <v>30060</v>
      </c>
    </row>
    <row r="4786" spans="1:12" x14ac:dyDescent="0.25">
      <c r="A4786">
        <v>886137</v>
      </c>
      <c r="B4786">
        <v>894186</v>
      </c>
      <c r="D4786">
        <v>0</v>
      </c>
      <c r="E4786" t="s">
        <v>30069</v>
      </c>
      <c r="F4786" t="s">
        <v>30070</v>
      </c>
      <c r="G4786" t="s">
        <v>30071</v>
      </c>
      <c r="H4786" t="e" vm="2081">
        <f>_FV(0,"10250572255472862")</f>
        <v>#VALUE!</v>
      </c>
      <c r="I4786" t="s">
        <v>30072</v>
      </c>
      <c r="J4786" t="s">
        <v>30073</v>
      </c>
      <c r="K4786" t="s">
        <v>30074</v>
      </c>
      <c r="L4786" t="s">
        <v>30068</v>
      </c>
    </row>
    <row r="4787" spans="1:12" x14ac:dyDescent="0.25">
      <c r="A4787">
        <v>886162</v>
      </c>
      <c r="B4787">
        <v>886169</v>
      </c>
      <c r="D4787">
        <v>0</v>
      </c>
      <c r="E4787" t="s">
        <v>30076</v>
      </c>
      <c r="F4787" t="s">
        <v>30077</v>
      </c>
      <c r="G4787" t="s">
        <v>30078</v>
      </c>
      <c r="H4787" t="e" vm="2082">
        <f>_FV(0,"009323633144729204")</f>
        <v>#VALUE!</v>
      </c>
      <c r="I4787" t="s">
        <v>30079</v>
      </c>
      <c r="J4787" t="s">
        <v>30080</v>
      </c>
      <c r="K4787" t="s">
        <v>30081</v>
      </c>
      <c r="L4787" t="s">
        <v>30075</v>
      </c>
    </row>
    <row r="4788" spans="1:12" x14ac:dyDescent="0.25">
      <c r="A4788">
        <v>886162</v>
      </c>
      <c r="B4788">
        <v>894219</v>
      </c>
      <c r="D4788">
        <v>0</v>
      </c>
      <c r="E4788" t="s">
        <v>30083</v>
      </c>
      <c r="F4788" t="s">
        <v>30084</v>
      </c>
      <c r="G4788" t="s">
        <v>30085</v>
      </c>
      <c r="H4788" t="e" vm="2083">
        <f>_FV(0,"03766177302369091")</f>
        <v>#VALUE!</v>
      </c>
      <c r="I4788" t="s">
        <v>30086</v>
      </c>
      <c r="J4788" t="s">
        <v>30087</v>
      </c>
      <c r="K4788" t="s">
        <v>30088</v>
      </c>
      <c r="L4788" t="s">
        <v>30082</v>
      </c>
    </row>
    <row r="4789" spans="1:12" x14ac:dyDescent="0.25">
      <c r="A4789">
        <v>886169</v>
      </c>
      <c r="B4789">
        <v>886184</v>
      </c>
      <c r="D4789">
        <v>0</v>
      </c>
      <c r="E4789" t="s">
        <v>30090</v>
      </c>
      <c r="F4789" t="s">
        <v>30091</v>
      </c>
      <c r="G4789" t="s">
        <v>30092</v>
      </c>
      <c r="H4789" t="e" vm="2084">
        <f>_FV(0,"035830409959761354")</f>
        <v>#VALUE!</v>
      </c>
      <c r="I4789" t="s">
        <v>30093</v>
      </c>
      <c r="J4789" t="s">
        <v>30094</v>
      </c>
      <c r="K4789" t="s">
        <v>30095</v>
      </c>
      <c r="L4789" t="s">
        <v>30089</v>
      </c>
    </row>
    <row r="4790" spans="1:12" x14ac:dyDescent="0.25">
      <c r="A4790">
        <v>886169</v>
      </c>
      <c r="B4790">
        <v>894261</v>
      </c>
      <c r="D4790">
        <v>0</v>
      </c>
      <c r="E4790" t="s">
        <v>30097</v>
      </c>
      <c r="F4790" t="s">
        <v>30098</v>
      </c>
      <c r="G4790" t="s">
        <v>30099</v>
      </c>
      <c r="H4790" t="e" vm="2085">
        <f>_FV(0,"01721165869258841")</f>
        <v>#VALUE!</v>
      </c>
      <c r="I4790" t="s">
        <v>30100</v>
      </c>
      <c r="J4790" t="s">
        <v>30101</v>
      </c>
      <c r="K4790" t="s">
        <v>30102</v>
      </c>
      <c r="L4790" t="s">
        <v>30096</v>
      </c>
    </row>
    <row r="4791" spans="1:12" x14ac:dyDescent="0.25">
      <c r="A4791">
        <v>886184</v>
      </c>
      <c r="B4791">
        <v>886207</v>
      </c>
      <c r="D4791">
        <v>0</v>
      </c>
      <c r="E4791" t="s">
        <v>30104</v>
      </c>
      <c r="F4791" t="s">
        <v>30105</v>
      </c>
      <c r="G4791" t="s">
        <v>30106</v>
      </c>
      <c r="H4791" t="e" vm="2086">
        <f>_FV(0,"01995714827459017")</f>
        <v>#VALUE!</v>
      </c>
      <c r="I4791" t="s">
        <v>30107</v>
      </c>
      <c r="J4791" t="s">
        <v>30108</v>
      </c>
      <c r="K4791" t="s">
        <v>30109</v>
      </c>
      <c r="L4791" t="s">
        <v>30103</v>
      </c>
    </row>
    <row r="4792" spans="1:12" x14ac:dyDescent="0.25">
      <c r="A4792">
        <v>886184</v>
      </c>
      <c r="B4792">
        <v>894261</v>
      </c>
      <c r="D4792">
        <v>0</v>
      </c>
      <c r="E4792" t="s">
        <v>30111</v>
      </c>
      <c r="F4792" t="s">
        <v>30112</v>
      </c>
      <c r="G4792" t="s">
        <v>30113</v>
      </c>
      <c r="H4792" t="e" vm="2087">
        <f>_FV(0,"041081066069951336")</f>
        <v>#VALUE!</v>
      </c>
      <c r="I4792" t="s">
        <v>30114</v>
      </c>
      <c r="J4792" t="s">
        <v>30115</v>
      </c>
      <c r="K4792" t="s">
        <v>30116</v>
      </c>
      <c r="L4792" t="s">
        <v>30110</v>
      </c>
    </row>
    <row r="4793" spans="1:12" x14ac:dyDescent="0.25">
      <c r="A4793">
        <v>886207</v>
      </c>
      <c r="B4793">
        <v>886217</v>
      </c>
      <c r="D4793">
        <v>0</v>
      </c>
      <c r="E4793" t="s">
        <v>30118</v>
      </c>
      <c r="F4793" t="s">
        <v>30119</v>
      </c>
      <c r="G4793" t="s">
        <v>30120</v>
      </c>
      <c r="H4793" t="e" vm="2088">
        <f>_FV(0,"016995576608933548")</f>
        <v>#VALUE!</v>
      </c>
      <c r="I4793" t="s">
        <v>30121</v>
      </c>
      <c r="J4793" t="s">
        <v>30122</v>
      </c>
      <c r="K4793" t="s">
        <v>30123</v>
      </c>
      <c r="L4793" t="s">
        <v>30117</v>
      </c>
    </row>
    <row r="4794" spans="1:12" x14ac:dyDescent="0.25">
      <c r="A4794">
        <v>886207</v>
      </c>
      <c r="B4794">
        <v>894269</v>
      </c>
      <c r="D4794">
        <v>0</v>
      </c>
      <c r="E4794" t="s">
        <v>30125</v>
      </c>
      <c r="F4794" t="s">
        <v>30126</v>
      </c>
      <c r="G4794" t="s">
        <v>30127</v>
      </c>
      <c r="H4794" t="s">
        <v>30128</v>
      </c>
      <c r="I4794" t="s">
        <v>30129</v>
      </c>
      <c r="J4794" t="s">
        <v>30130</v>
      </c>
      <c r="K4794" t="s">
        <v>30131</v>
      </c>
      <c r="L4794" t="s">
        <v>30124</v>
      </c>
    </row>
    <row r="4795" spans="1:12" x14ac:dyDescent="0.25">
      <c r="A4795">
        <v>886217</v>
      </c>
      <c r="B4795">
        <v>886223</v>
      </c>
      <c r="C4795" t="s">
        <v>30133</v>
      </c>
      <c r="D4795" t="s">
        <v>30134</v>
      </c>
      <c r="E4795" t="s">
        <v>30135</v>
      </c>
      <c r="F4795" t="s">
        <v>30136</v>
      </c>
      <c r="G4795" t="s">
        <v>30137</v>
      </c>
      <c r="H4795" t="e" vm="2089">
        <f>_FV(0,"01039259405945465")</f>
        <v>#VALUE!</v>
      </c>
      <c r="I4795" t="s">
        <v>30138</v>
      </c>
      <c r="J4795" t="s">
        <v>30139</v>
      </c>
      <c r="K4795" t="s">
        <v>30140</v>
      </c>
      <c r="L4795" t="s">
        <v>30132</v>
      </c>
    </row>
    <row r="4796" spans="1:12" x14ac:dyDescent="0.25">
      <c r="A4796">
        <v>886217</v>
      </c>
      <c r="B4796">
        <v>894269</v>
      </c>
      <c r="D4796">
        <v>0</v>
      </c>
      <c r="E4796" t="s">
        <v>30141</v>
      </c>
      <c r="F4796" t="s">
        <v>30142</v>
      </c>
      <c r="G4796" t="s">
        <v>30143</v>
      </c>
      <c r="H4796" t="e" vm="2090">
        <f>_FV(0,"03495436107477708")</f>
        <v>#VALUE!</v>
      </c>
      <c r="I4796" t="s">
        <v>30144</v>
      </c>
      <c r="J4796" t="s">
        <v>14600</v>
      </c>
      <c r="K4796" t="s">
        <v>30145</v>
      </c>
      <c r="L4796" t="s">
        <v>14595</v>
      </c>
    </row>
    <row r="4797" spans="1:12" x14ac:dyDescent="0.25">
      <c r="A4797">
        <v>886223</v>
      </c>
      <c r="B4797">
        <v>886251</v>
      </c>
      <c r="D4797">
        <v>0</v>
      </c>
      <c r="E4797" t="s">
        <v>30147</v>
      </c>
      <c r="F4797" t="s">
        <v>30148</v>
      </c>
      <c r="G4797" t="s">
        <v>30149</v>
      </c>
      <c r="H4797" t="e" vm="2091">
        <f>_FV(0,"007247298955465448")</f>
        <v>#VALUE!</v>
      </c>
      <c r="I4797" t="s">
        <v>30150</v>
      </c>
      <c r="J4797" t="s">
        <v>30151</v>
      </c>
      <c r="K4797" t="s">
        <v>30152</v>
      </c>
      <c r="L4797" t="s">
        <v>30146</v>
      </c>
    </row>
    <row r="4798" spans="1:12" x14ac:dyDescent="0.25">
      <c r="A4798">
        <v>886223</v>
      </c>
      <c r="B4798">
        <v>886251</v>
      </c>
      <c r="D4798">
        <v>0</v>
      </c>
      <c r="E4798" t="s">
        <v>30154</v>
      </c>
      <c r="F4798" t="s">
        <v>30155</v>
      </c>
      <c r="G4798" t="s">
        <v>30156</v>
      </c>
      <c r="H4798" t="e" vm="2092">
        <f>_FV(0,"007344566587154541")</f>
        <v>#VALUE!</v>
      </c>
      <c r="I4798" t="s">
        <v>30157</v>
      </c>
      <c r="J4798" t="s">
        <v>30158</v>
      </c>
      <c r="K4798" t="s">
        <v>30159</v>
      </c>
      <c r="L4798" t="s">
        <v>30153</v>
      </c>
    </row>
    <row r="4799" spans="1:12" x14ac:dyDescent="0.25">
      <c r="A4799">
        <v>886251</v>
      </c>
      <c r="B4799">
        <v>886259</v>
      </c>
      <c r="D4799">
        <v>0</v>
      </c>
      <c r="E4799" t="s">
        <v>30161</v>
      </c>
      <c r="F4799" t="s">
        <v>30162</v>
      </c>
      <c r="G4799" t="s">
        <v>30163</v>
      </c>
      <c r="H4799" t="e" vm="2093">
        <f>_FV(0,"007120656926984989")</f>
        <v>#VALUE!</v>
      </c>
      <c r="I4799" t="s">
        <v>30164</v>
      </c>
      <c r="J4799" t="s">
        <v>30165</v>
      </c>
      <c r="K4799" t="s">
        <v>30166</v>
      </c>
      <c r="L4799" t="s">
        <v>30160</v>
      </c>
    </row>
    <row r="4800" spans="1:12" x14ac:dyDescent="0.25">
      <c r="A4800">
        <v>886259</v>
      </c>
      <c r="B4800">
        <v>886280</v>
      </c>
      <c r="D4800">
        <v>0</v>
      </c>
      <c r="E4800" t="s">
        <v>30168</v>
      </c>
      <c r="F4800" t="s">
        <v>30169</v>
      </c>
      <c r="G4800" t="s">
        <v>30170</v>
      </c>
      <c r="H4800" t="e" vm="2094">
        <f>_FV(0,"006499628561070636")</f>
        <v>#VALUE!</v>
      </c>
      <c r="I4800" t="s">
        <v>30171</v>
      </c>
      <c r="J4800" t="s">
        <v>30172</v>
      </c>
      <c r="K4800" t="s">
        <v>30173</v>
      </c>
      <c r="L4800" t="s">
        <v>30167</v>
      </c>
    </row>
    <row r="4801" spans="1:12" x14ac:dyDescent="0.25">
      <c r="A4801">
        <v>886259</v>
      </c>
      <c r="B4801">
        <v>894349</v>
      </c>
      <c r="D4801">
        <v>0</v>
      </c>
      <c r="E4801" t="s">
        <v>30175</v>
      </c>
      <c r="F4801" t="s">
        <v>30176</v>
      </c>
      <c r="G4801" t="s">
        <v>30177</v>
      </c>
      <c r="H4801" t="e" vm="2095">
        <f>_FV(0,"008360812144576334")</f>
        <v>#VALUE!</v>
      </c>
      <c r="I4801" t="s">
        <v>30178</v>
      </c>
      <c r="J4801" t="s">
        <v>30179</v>
      </c>
      <c r="K4801" t="s">
        <v>30180</v>
      </c>
      <c r="L4801" t="s">
        <v>30174</v>
      </c>
    </row>
    <row r="4802" spans="1:12" x14ac:dyDescent="0.25">
      <c r="A4802">
        <v>886280</v>
      </c>
      <c r="B4802">
        <v>894349</v>
      </c>
      <c r="D4802">
        <v>0</v>
      </c>
      <c r="E4802" t="s">
        <v>30182</v>
      </c>
      <c r="F4802" t="s">
        <v>30183</v>
      </c>
      <c r="G4802" t="s">
        <v>30184</v>
      </c>
      <c r="H4802" t="s">
        <v>30185</v>
      </c>
      <c r="I4802" t="s">
        <v>30186</v>
      </c>
      <c r="J4802" t="s">
        <v>30187</v>
      </c>
      <c r="K4802" t="s">
        <v>30188</v>
      </c>
      <c r="L4802" t="s">
        <v>30181</v>
      </c>
    </row>
    <row r="4803" spans="1:12" x14ac:dyDescent="0.25">
      <c r="A4803">
        <v>887273</v>
      </c>
      <c r="B4803">
        <v>951989</v>
      </c>
      <c r="D4803" t="s">
        <v>30190</v>
      </c>
      <c r="E4803" t="s">
        <v>30191</v>
      </c>
      <c r="F4803" t="s">
        <v>30192</v>
      </c>
      <c r="G4803" t="s">
        <v>30193</v>
      </c>
      <c r="H4803" t="e" vm="2096">
        <f>_FV(0,"010865014037481666")</f>
        <v>#VALUE!</v>
      </c>
      <c r="I4803" t="s">
        <v>30194</v>
      </c>
      <c r="J4803" t="s">
        <v>30195</v>
      </c>
      <c r="K4803" t="s">
        <v>30196</v>
      </c>
      <c r="L4803" t="s">
        <v>30189</v>
      </c>
    </row>
    <row r="4804" spans="1:12" x14ac:dyDescent="0.25">
      <c r="A4804">
        <v>887273</v>
      </c>
      <c r="B4804">
        <v>952455</v>
      </c>
      <c r="C4804" t="s">
        <v>30198</v>
      </c>
      <c r="D4804" t="s">
        <v>30199</v>
      </c>
      <c r="E4804" t="s">
        <v>30200</v>
      </c>
      <c r="F4804" t="s">
        <v>30201</v>
      </c>
      <c r="G4804" t="s">
        <v>30202</v>
      </c>
      <c r="H4804" t="e" vm="2097">
        <f>_FV(0,"007049789486402189")</f>
        <v>#VALUE!</v>
      </c>
      <c r="I4804" t="s">
        <v>30203</v>
      </c>
      <c r="J4804" t="s">
        <v>30204</v>
      </c>
      <c r="K4804" t="s">
        <v>30205</v>
      </c>
      <c r="L4804" t="s">
        <v>30197</v>
      </c>
    </row>
    <row r="4805" spans="1:12" x14ac:dyDescent="0.25">
      <c r="A4805">
        <v>887369</v>
      </c>
      <c r="B4805">
        <v>1204259</v>
      </c>
      <c r="D4805" t="s">
        <v>30207</v>
      </c>
      <c r="E4805" t="s">
        <v>30208</v>
      </c>
      <c r="F4805" t="s">
        <v>30209</v>
      </c>
      <c r="G4805" t="s">
        <v>30210</v>
      </c>
      <c r="H4805" t="s">
        <v>30211</v>
      </c>
      <c r="I4805" t="s">
        <v>30212</v>
      </c>
      <c r="J4805" t="s">
        <v>30213</v>
      </c>
      <c r="K4805" t="s">
        <v>30214</v>
      </c>
      <c r="L4805" t="s">
        <v>30206</v>
      </c>
    </row>
    <row r="4806" spans="1:12" x14ac:dyDescent="0.25">
      <c r="A4806">
        <v>887369</v>
      </c>
      <c r="B4806">
        <v>1204356</v>
      </c>
      <c r="C4806" t="s">
        <v>30216</v>
      </c>
      <c r="D4806" t="s">
        <v>30217</v>
      </c>
      <c r="E4806" t="s">
        <v>30218</v>
      </c>
      <c r="F4806" t="s">
        <v>30219</v>
      </c>
      <c r="G4806" t="s">
        <v>30220</v>
      </c>
      <c r="H4806" t="s">
        <v>30221</v>
      </c>
      <c r="I4806" t="s">
        <v>30222</v>
      </c>
      <c r="J4806" t="s">
        <v>30223</v>
      </c>
      <c r="K4806" t="s">
        <v>30224</v>
      </c>
      <c r="L4806" t="s">
        <v>30215</v>
      </c>
    </row>
    <row r="4807" spans="1:12" x14ac:dyDescent="0.25">
      <c r="A4807">
        <v>887440</v>
      </c>
      <c r="B4807">
        <v>952455</v>
      </c>
      <c r="D4807" t="s">
        <v>30226</v>
      </c>
      <c r="E4807" t="s">
        <v>30227</v>
      </c>
      <c r="F4807" t="s">
        <v>30228</v>
      </c>
      <c r="G4807" t="s">
        <v>30229</v>
      </c>
      <c r="H4807" t="s">
        <v>30230</v>
      </c>
      <c r="I4807" t="s">
        <v>30231</v>
      </c>
      <c r="J4807" t="s">
        <v>30232</v>
      </c>
      <c r="K4807" t="s">
        <v>30233</v>
      </c>
      <c r="L4807" t="s">
        <v>30225</v>
      </c>
    </row>
    <row r="4808" spans="1:12" x14ac:dyDescent="0.25">
      <c r="A4808">
        <v>887440</v>
      </c>
      <c r="B4808">
        <v>952202</v>
      </c>
      <c r="D4808" t="s">
        <v>514</v>
      </c>
      <c r="E4808" t="s">
        <v>30235</v>
      </c>
      <c r="F4808" t="s">
        <v>30236</v>
      </c>
      <c r="G4808" t="s">
        <v>30237</v>
      </c>
      <c r="H4808" t="e" vm="2098">
        <f>_FV(0,"1004355745885356")</f>
        <v>#VALUE!</v>
      </c>
      <c r="I4808" t="s">
        <v>30238</v>
      </c>
      <c r="J4808" t="s">
        <v>30239</v>
      </c>
      <c r="K4808" t="s">
        <v>30240</v>
      </c>
      <c r="L4808" t="s">
        <v>30234</v>
      </c>
    </row>
    <row r="4809" spans="1:12" x14ac:dyDescent="0.25">
      <c r="A4809">
        <v>887596</v>
      </c>
      <c r="B4809">
        <v>904862</v>
      </c>
      <c r="D4809">
        <v>0</v>
      </c>
      <c r="E4809" t="s">
        <v>30242</v>
      </c>
      <c r="F4809" t="s">
        <v>30243</v>
      </c>
      <c r="G4809" t="s">
        <v>30244</v>
      </c>
      <c r="H4809" t="s">
        <v>30245</v>
      </c>
      <c r="I4809" t="s">
        <v>30246</v>
      </c>
      <c r="J4809" t="s">
        <v>30247</v>
      </c>
      <c r="K4809" t="s">
        <v>30248</v>
      </c>
      <c r="L4809" t="s">
        <v>30241</v>
      </c>
    </row>
    <row r="4810" spans="1:12" x14ac:dyDescent="0.25">
      <c r="A4810">
        <v>887596</v>
      </c>
      <c r="B4810">
        <v>887645</v>
      </c>
      <c r="C4810" t="s">
        <v>30250</v>
      </c>
      <c r="D4810">
        <v>0</v>
      </c>
      <c r="E4810" t="s">
        <v>30251</v>
      </c>
      <c r="F4810" t="s">
        <v>30252</v>
      </c>
      <c r="G4810" t="s">
        <v>30253</v>
      </c>
      <c r="H4810" t="s">
        <v>30254</v>
      </c>
      <c r="I4810" t="s">
        <v>30255</v>
      </c>
      <c r="J4810" t="s">
        <v>30249</v>
      </c>
      <c r="K4810" t="s">
        <v>30256</v>
      </c>
      <c r="L4810" t="s">
        <v>30249</v>
      </c>
    </row>
    <row r="4811" spans="1:12" x14ac:dyDescent="0.25">
      <c r="A4811">
        <v>887610</v>
      </c>
      <c r="B4811">
        <v>887638</v>
      </c>
      <c r="D4811">
        <v>0</v>
      </c>
      <c r="E4811" t="s">
        <v>30258</v>
      </c>
      <c r="F4811" t="s">
        <v>30259</v>
      </c>
      <c r="G4811" t="s">
        <v>30260</v>
      </c>
      <c r="H4811" t="e" vm="2099">
        <f>_FV(0,"06358779093960408")</f>
        <v>#VALUE!</v>
      </c>
      <c r="I4811" t="s">
        <v>30261</v>
      </c>
      <c r="J4811" t="s">
        <v>30262</v>
      </c>
      <c r="K4811" t="s">
        <v>30263</v>
      </c>
      <c r="L4811" t="s">
        <v>30257</v>
      </c>
    </row>
    <row r="4812" spans="1:12" x14ac:dyDescent="0.25">
      <c r="A4812">
        <v>887610</v>
      </c>
      <c r="B4812">
        <v>904862</v>
      </c>
      <c r="D4812">
        <v>0</v>
      </c>
      <c r="E4812" t="s">
        <v>30265</v>
      </c>
      <c r="F4812" t="s">
        <v>30266</v>
      </c>
      <c r="G4812" t="s">
        <v>30267</v>
      </c>
      <c r="H4812" t="s">
        <v>30268</v>
      </c>
      <c r="I4812" t="s">
        <v>30269</v>
      </c>
      <c r="J4812" t="s">
        <v>30264</v>
      </c>
      <c r="K4812" t="s">
        <v>30270</v>
      </c>
      <c r="L4812" t="s">
        <v>30264</v>
      </c>
    </row>
    <row r="4813" spans="1:12" x14ac:dyDescent="0.25">
      <c r="A4813">
        <v>887610</v>
      </c>
      <c r="B4813">
        <v>904786</v>
      </c>
      <c r="D4813" t="s">
        <v>9879</v>
      </c>
      <c r="E4813" t="s">
        <v>30272</v>
      </c>
      <c r="F4813" t="s">
        <v>30273</v>
      </c>
      <c r="G4813" t="s">
        <v>30274</v>
      </c>
      <c r="H4813" t="s">
        <v>30275</v>
      </c>
      <c r="I4813" t="s">
        <v>30276</v>
      </c>
      <c r="J4813" t="s">
        <v>30277</v>
      </c>
      <c r="K4813" t="s">
        <v>30278</v>
      </c>
      <c r="L4813" t="s">
        <v>30271</v>
      </c>
    </row>
    <row r="4814" spans="1:12" x14ac:dyDescent="0.25">
      <c r="A4814">
        <v>887638</v>
      </c>
      <c r="B4814">
        <v>888321</v>
      </c>
      <c r="D4814">
        <v>0</v>
      </c>
      <c r="F4814">
        <v>2112167</v>
      </c>
      <c r="G4814">
        <v>888321</v>
      </c>
      <c r="H4814" t="s">
        <v>30279</v>
      </c>
      <c r="I4814">
        <v>887638</v>
      </c>
      <c r="J4814" t="s">
        <v>30279</v>
      </c>
      <c r="K4814" t="s">
        <v>30280</v>
      </c>
      <c r="L4814" t="s">
        <v>30279</v>
      </c>
    </row>
    <row r="4815" spans="1:12" x14ac:dyDescent="0.25">
      <c r="A4815">
        <v>887638</v>
      </c>
      <c r="B4815">
        <v>859076</v>
      </c>
      <c r="D4815">
        <v>0</v>
      </c>
      <c r="E4815" t="s">
        <v>30282</v>
      </c>
      <c r="F4815" t="s">
        <v>30283</v>
      </c>
      <c r="G4815" t="s">
        <v>30284</v>
      </c>
      <c r="H4815" t="s">
        <v>30285</v>
      </c>
      <c r="I4815" t="s">
        <v>30286</v>
      </c>
      <c r="J4815" t="s">
        <v>30287</v>
      </c>
      <c r="K4815" t="s">
        <v>30288</v>
      </c>
      <c r="L4815" t="s">
        <v>30281</v>
      </c>
    </row>
    <row r="4816" spans="1:12" x14ac:dyDescent="0.25">
      <c r="A4816">
        <v>887775</v>
      </c>
      <c r="B4816">
        <v>887781</v>
      </c>
      <c r="D4816">
        <v>0</v>
      </c>
      <c r="F4816">
        <v>935862</v>
      </c>
      <c r="G4816">
        <v>887781</v>
      </c>
      <c r="H4816" t="s">
        <v>6299</v>
      </c>
      <c r="I4816">
        <v>887775</v>
      </c>
      <c r="J4816" t="s">
        <v>6299</v>
      </c>
      <c r="K4816" t="s">
        <v>30289</v>
      </c>
      <c r="L4816" t="s">
        <v>6299</v>
      </c>
    </row>
    <row r="4817" spans="1:12" x14ac:dyDescent="0.25">
      <c r="A4817">
        <v>887775</v>
      </c>
      <c r="B4817">
        <v>904884</v>
      </c>
      <c r="D4817">
        <v>0</v>
      </c>
      <c r="F4817">
        <v>935854</v>
      </c>
      <c r="G4817">
        <v>887775</v>
      </c>
      <c r="H4817" t="s">
        <v>1599</v>
      </c>
      <c r="I4817">
        <v>904884</v>
      </c>
      <c r="J4817" t="s">
        <v>1599</v>
      </c>
      <c r="K4817" t="s">
        <v>30290</v>
      </c>
      <c r="L4817" t="s">
        <v>1599</v>
      </c>
    </row>
    <row r="4818" spans="1:12" x14ac:dyDescent="0.25">
      <c r="A4818">
        <v>887781</v>
      </c>
      <c r="B4818">
        <v>904906</v>
      </c>
      <c r="D4818">
        <v>0</v>
      </c>
      <c r="E4818" t="s">
        <v>30292</v>
      </c>
      <c r="F4818" t="s">
        <v>30293</v>
      </c>
      <c r="G4818" t="s">
        <v>30294</v>
      </c>
      <c r="H4818" t="s">
        <v>30295</v>
      </c>
      <c r="I4818" t="s">
        <v>30296</v>
      </c>
      <c r="J4818" t="s">
        <v>30291</v>
      </c>
      <c r="K4818" t="s">
        <v>30297</v>
      </c>
      <c r="L4818" t="s">
        <v>30291</v>
      </c>
    </row>
    <row r="4819" spans="1:12" x14ac:dyDescent="0.25">
      <c r="A4819">
        <v>887799</v>
      </c>
      <c r="B4819">
        <v>887837</v>
      </c>
      <c r="D4819">
        <v>0</v>
      </c>
      <c r="F4819">
        <v>937070</v>
      </c>
      <c r="G4819">
        <v>887799</v>
      </c>
      <c r="H4819" t="s">
        <v>2884</v>
      </c>
      <c r="I4819">
        <v>887837</v>
      </c>
      <c r="J4819" t="s">
        <v>2884</v>
      </c>
      <c r="K4819" t="s">
        <v>30298</v>
      </c>
      <c r="L4819" t="s">
        <v>2884</v>
      </c>
    </row>
    <row r="4820" spans="1:12" x14ac:dyDescent="0.25">
      <c r="A4820">
        <v>887813</v>
      </c>
      <c r="B4820">
        <v>961806</v>
      </c>
      <c r="D4820">
        <v>0</v>
      </c>
      <c r="E4820" t="s">
        <v>30300</v>
      </c>
      <c r="F4820" t="s">
        <v>30301</v>
      </c>
      <c r="G4820" t="s">
        <v>30302</v>
      </c>
      <c r="H4820" t="s">
        <v>30303</v>
      </c>
      <c r="I4820" t="s">
        <v>30304</v>
      </c>
      <c r="J4820" t="s">
        <v>30299</v>
      </c>
      <c r="K4820" t="s">
        <v>30305</v>
      </c>
      <c r="L4820" t="s">
        <v>30299</v>
      </c>
    </row>
    <row r="4821" spans="1:12" x14ac:dyDescent="0.25">
      <c r="A4821">
        <v>887813</v>
      </c>
      <c r="B4821">
        <v>961808</v>
      </c>
      <c r="D4821">
        <v>0</v>
      </c>
      <c r="E4821" t="s">
        <v>30307</v>
      </c>
      <c r="F4821" t="s">
        <v>30308</v>
      </c>
      <c r="G4821" t="s">
        <v>30309</v>
      </c>
      <c r="H4821" t="s">
        <v>30310</v>
      </c>
      <c r="I4821" t="s">
        <v>30311</v>
      </c>
      <c r="J4821" t="s">
        <v>30306</v>
      </c>
      <c r="K4821" t="s">
        <v>30312</v>
      </c>
      <c r="L4821" t="s">
        <v>30306</v>
      </c>
    </row>
    <row r="4822" spans="1:12" x14ac:dyDescent="0.25">
      <c r="A4822">
        <v>887818</v>
      </c>
      <c r="B4822">
        <v>961757</v>
      </c>
      <c r="D4822">
        <v>0</v>
      </c>
      <c r="E4822" t="s">
        <v>30314</v>
      </c>
      <c r="F4822" t="s">
        <v>30315</v>
      </c>
      <c r="G4822" t="s">
        <v>30316</v>
      </c>
      <c r="H4822" t="s">
        <v>30317</v>
      </c>
      <c r="I4822" t="s">
        <v>30318</v>
      </c>
      <c r="J4822" t="s">
        <v>30319</v>
      </c>
      <c r="K4822" t="s">
        <v>30320</v>
      </c>
      <c r="L4822" t="s">
        <v>30313</v>
      </c>
    </row>
    <row r="4823" spans="1:12" x14ac:dyDescent="0.25">
      <c r="A4823">
        <v>887818</v>
      </c>
      <c r="B4823">
        <v>961768</v>
      </c>
      <c r="D4823">
        <v>0</v>
      </c>
      <c r="E4823" t="s">
        <v>30322</v>
      </c>
      <c r="F4823" t="s">
        <v>30323</v>
      </c>
      <c r="G4823" t="s">
        <v>30324</v>
      </c>
      <c r="H4823" t="s">
        <v>30325</v>
      </c>
      <c r="I4823" t="s">
        <v>30326</v>
      </c>
      <c r="J4823" t="s">
        <v>30321</v>
      </c>
      <c r="K4823" t="s">
        <v>30327</v>
      </c>
      <c r="L4823" t="s">
        <v>30321</v>
      </c>
    </row>
    <row r="4824" spans="1:12" x14ac:dyDescent="0.25">
      <c r="A4824">
        <v>887837</v>
      </c>
      <c r="B4824">
        <v>960590</v>
      </c>
      <c r="D4824" t="s">
        <v>30329</v>
      </c>
      <c r="E4824" t="s">
        <v>30330</v>
      </c>
      <c r="F4824" t="s">
        <v>30331</v>
      </c>
      <c r="G4824" t="s">
        <v>30332</v>
      </c>
      <c r="H4824" t="e" vm="2100">
        <f>_FV(0,"004923758553135538")</f>
        <v>#VALUE!</v>
      </c>
      <c r="I4824" t="s">
        <v>30333</v>
      </c>
      <c r="J4824" t="s">
        <v>30334</v>
      </c>
      <c r="K4824" t="s">
        <v>30335</v>
      </c>
      <c r="L4824" t="s">
        <v>30328</v>
      </c>
    </row>
    <row r="4825" spans="1:12" x14ac:dyDescent="0.25">
      <c r="A4825">
        <v>891704</v>
      </c>
      <c r="B4825">
        <v>891705</v>
      </c>
      <c r="D4825">
        <v>1</v>
      </c>
      <c r="F4825">
        <v>920611</v>
      </c>
      <c r="G4825">
        <v>891705</v>
      </c>
      <c r="H4825" t="e" vm="1084">
        <f>_FV(0,"018")</f>
        <v>#VALUE!</v>
      </c>
      <c r="I4825">
        <v>891704</v>
      </c>
      <c r="J4825" t="s">
        <v>697</v>
      </c>
      <c r="K4825" t="s">
        <v>30336</v>
      </c>
      <c r="L4825" t="e" vm="1084">
        <f>_FV(0,"018")</f>
        <v>#VALUE!</v>
      </c>
    </row>
    <row r="4826" spans="1:12" x14ac:dyDescent="0.25">
      <c r="A4826">
        <v>891807</v>
      </c>
      <c r="B4826">
        <v>891819</v>
      </c>
      <c r="D4826" t="s">
        <v>204</v>
      </c>
      <c r="E4826" t="s">
        <v>30338</v>
      </c>
      <c r="F4826" t="s">
        <v>30339</v>
      </c>
      <c r="G4826" t="s">
        <v>30340</v>
      </c>
      <c r="H4826" t="e" vm="2101">
        <f>_FV(0,"08073116973799681")</f>
        <v>#VALUE!</v>
      </c>
      <c r="I4826" t="s">
        <v>30341</v>
      </c>
      <c r="J4826" t="s">
        <v>30342</v>
      </c>
      <c r="K4826" t="s">
        <v>30343</v>
      </c>
      <c r="L4826" t="s">
        <v>30337</v>
      </c>
    </row>
    <row r="4827" spans="1:12" x14ac:dyDescent="0.25">
      <c r="A4827">
        <v>891891</v>
      </c>
      <c r="B4827">
        <v>891905</v>
      </c>
      <c r="D4827" t="s">
        <v>204</v>
      </c>
      <c r="E4827" t="s">
        <v>30345</v>
      </c>
      <c r="F4827" t="s">
        <v>30346</v>
      </c>
      <c r="G4827" t="s">
        <v>30347</v>
      </c>
      <c r="H4827" t="s">
        <v>30348</v>
      </c>
      <c r="I4827" t="s">
        <v>30349</v>
      </c>
      <c r="J4827" t="s">
        <v>30350</v>
      </c>
      <c r="K4827" t="s">
        <v>30351</v>
      </c>
      <c r="L4827" t="s">
        <v>30344</v>
      </c>
    </row>
    <row r="4828" spans="1:12" x14ac:dyDescent="0.25">
      <c r="A4828">
        <v>892035</v>
      </c>
      <c r="B4828">
        <v>892044</v>
      </c>
      <c r="D4828" t="s">
        <v>1119</v>
      </c>
      <c r="E4828" t="s">
        <v>30352</v>
      </c>
      <c r="F4828" t="s">
        <v>30353</v>
      </c>
      <c r="G4828" t="s">
        <v>30354</v>
      </c>
      <c r="H4828" t="e" vm="2102">
        <f>_FV(0,"01637087769109816")</f>
        <v>#VALUE!</v>
      </c>
      <c r="I4828" t="s">
        <v>30355</v>
      </c>
      <c r="J4828" t="s">
        <v>9876</v>
      </c>
      <c r="K4828" t="s">
        <v>30356</v>
      </c>
      <c r="L4828" t="s">
        <v>9871</v>
      </c>
    </row>
    <row r="4829" spans="1:12" x14ac:dyDescent="0.25">
      <c r="A4829">
        <v>892203</v>
      </c>
      <c r="B4829">
        <v>892217</v>
      </c>
      <c r="D4829" t="s">
        <v>1839</v>
      </c>
      <c r="E4829" t="s">
        <v>30358</v>
      </c>
      <c r="F4829" t="s">
        <v>30359</v>
      </c>
      <c r="G4829" t="s">
        <v>30360</v>
      </c>
      <c r="H4829" t="s">
        <v>30361</v>
      </c>
      <c r="I4829" t="s">
        <v>30362</v>
      </c>
      <c r="J4829" t="s">
        <v>30357</v>
      </c>
      <c r="K4829" t="s">
        <v>30363</v>
      </c>
      <c r="L4829" t="s">
        <v>30357</v>
      </c>
    </row>
    <row r="4830" spans="1:12" x14ac:dyDescent="0.25">
      <c r="A4830">
        <v>894261</v>
      </c>
      <c r="B4830">
        <v>894269</v>
      </c>
      <c r="D4830">
        <v>0</v>
      </c>
      <c r="E4830" t="s">
        <v>30365</v>
      </c>
      <c r="F4830" t="s">
        <v>30366</v>
      </c>
      <c r="G4830" t="s">
        <v>30367</v>
      </c>
      <c r="H4830" t="s">
        <v>30368</v>
      </c>
      <c r="I4830" t="s">
        <v>30369</v>
      </c>
      <c r="J4830" t="s">
        <v>30370</v>
      </c>
      <c r="K4830" t="s">
        <v>30371</v>
      </c>
      <c r="L4830" t="s">
        <v>30364</v>
      </c>
    </row>
    <row r="4831" spans="1:12" x14ac:dyDescent="0.25">
      <c r="A4831">
        <v>904786</v>
      </c>
      <c r="B4831">
        <v>952146</v>
      </c>
      <c r="D4831">
        <v>0</v>
      </c>
      <c r="E4831" t="s">
        <v>30373</v>
      </c>
      <c r="F4831" t="s">
        <v>30374</v>
      </c>
      <c r="G4831" t="s">
        <v>30375</v>
      </c>
      <c r="H4831" t="e" vm="2103">
        <f>_FV(0,"01099842865443318")</f>
        <v>#VALUE!</v>
      </c>
      <c r="I4831" t="s">
        <v>30376</v>
      </c>
      <c r="J4831" t="s">
        <v>14616</v>
      </c>
      <c r="K4831" t="s">
        <v>30377</v>
      </c>
      <c r="L4831" t="s">
        <v>30372</v>
      </c>
    </row>
    <row r="4832" spans="1:12" x14ac:dyDescent="0.25">
      <c r="A4832">
        <v>904786</v>
      </c>
      <c r="B4832">
        <v>952235</v>
      </c>
      <c r="D4832">
        <v>0</v>
      </c>
      <c r="E4832" t="s">
        <v>30379</v>
      </c>
      <c r="F4832" t="s">
        <v>30380</v>
      </c>
      <c r="G4832" t="s">
        <v>30381</v>
      </c>
      <c r="H4832" t="e" vm="2104">
        <f>_FV(0,"016976547752682505")</f>
        <v>#VALUE!</v>
      </c>
      <c r="I4832" t="s">
        <v>30382</v>
      </c>
      <c r="J4832" t="s">
        <v>30383</v>
      </c>
      <c r="K4832" t="s">
        <v>30384</v>
      </c>
      <c r="L4832" t="s">
        <v>30378</v>
      </c>
    </row>
    <row r="4833" spans="1:12" x14ac:dyDescent="0.25">
      <c r="A4833">
        <v>904862</v>
      </c>
      <c r="B4833">
        <v>904875</v>
      </c>
      <c r="D4833">
        <v>0</v>
      </c>
      <c r="E4833" t="s">
        <v>30386</v>
      </c>
      <c r="F4833" t="s">
        <v>30387</v>
      </c>
      <c r="G4833" t="s">
        <v>30388</v>
      </c>
      <c r="H4833" t="e" vm="2105">
        <f>_FV(0,"087387383093676")</f>
        <v>#VALUE!</v>
      </c>
      <c r="I4833" t="s">
        <v>30389</v>
      </c>
      <c r="J4833" t="s">
        <v>30390</v>
      </c>
      <c r="K4833" t="s">
        <v>30391</v>
      </c>
      <c r="L4833" t="s">
        <v>30385</v>
      </c>
    </row>
    <row r="4834" spans="1:12" x14ac:dyDescent="0.25">
      <c r="A4834">
        <v>904875</v>
      </c>
      <c r="B4834">
        <v>1577642</v>
      </c>
      <c r="D4834" t="s">
        <v>1307</v>
      </c>
      <c r="E4834" t="s">
        <v>30393</v>
      </c>
      <c r="F4834" t="s">
        <v>30394</v>
      </c>
      <c r="G4834" t="s">
        <v>30395</v>
      </c>
      <c r="H4834" t="s">
        <v>30396</v>
      </c>
      <c r="I4834" t="s">
        <v>30397</v>
      </c>
      <c r="J4834" t="s">
        <v>30398</v>
      </c>
      <c r="K4834" t="s">
        <v>30399</v>
      </c>
      <c r="L4834" t="s">
        <v>30392</v>
      </c>
    </row>
    <row r="4835" spans="1:12" x14ac:dyDescent="0.25">
      <c r="A4835">
        <v>904875</v>
      </c>
      <c r="B4835">
        <v>1577853</v>
      </c>
      <c r="D4835" t="s">
        <v>30401</v>
      </c>
      <c r="E4835" t="s">
        <v>30402</v>
      </c>
      <c r="F4835" t="s">
        <v>30403</v>
      </c>
      <c r="G4835" t="s">
        <v>30404</v>
      </c>
      <c r="H4835" t="s">
        <v>30405</v>
      </c>
      <c r="I4835" t="s">
        <v>30406</v>
      </c>
      <c r="J4835" t="s">
        <v>30407</v>
      </c>
      <c r="K4835" t="s">
        <v>30408</v>
      </c>
      <c r="L4835" t="s">
        <v>30400</v>
      </c>
    </row>
    <row r="4836" spans="1:12" x14ac:dyDescent="0.25">
      <c r="A4836">
        <v>904884</v>
      </c>
      <c r="B4836">
        <v>1577710</v>
      </c>
      <c r="D4836">
        <v>0</v>
      </c>
      <c r="E4836" t="s">
        <v>30409</v>
      </c>
      <c r="F4836" t="s">
        <v>30410</v>
      </c>
      <c r="G4836" t="s">
        <v>30411</v>
      </c>
      <c r="H4836" t="e" vm="2106">
        <f>_FV(0,"016288771978877212")</f>
        <v>#VALUE!</v>
      </c>
      <c r="I4836" t="s">
        <v>30412</v>
      </c>
      <c r="J4836" t="s">
        <v>14498</v>
      </c>
      <c r="K4836" t="s">
        <v>30413</v>
      </c>
      <c r="L4836" t="s">
        <v>14493</v>
      </c>
    </row>
    <row r="4837" spans="1:12" x14ac:dyDescent="0.25">
      <c r="A4837">
        <v>904884</v>
      </c>
      <c r="B4837">
        <v>1577853</v>
      </c>
      <c r="D4837">
        <v>0</v>
      </c>
      <c r="E4837" t="s">
        <v>30415</v>
      </c>
      <c r="F4837" t="s">
        <v>30416</v>
      </c>
      <c r="G4837" t="s">
        <v>30417</v>
      </c>
      <c r="H4837" t="e" vm="2107">
        <f>_FV(0,"014674762354929994")</f>
        <v>#VALUE!</v>
      </c>
      <c r="I4837" t="s">
        <v>30418</v>
      </c>
      <c r="J4837" t="s">
        <v>1029</v>
      </c>
      <c r="K4837" t="s">
        <v>30419</v>
      </c>
      <c r="L4837" t="s">
        <v>30414</v>
      </c>
    </row>
    <row r="4838" spans="1:12" x14ac:dyDescent="0.25">
      <c r="A4838">
        <v>904906</v>
      </c>
      <c r="B4838">
        <v>904913</v>
      </c>
      <c r="D4838">
        <v>0</v>
      </c>
      <c r="F4838">
        <v>2168844</v>
      </c>
      <c r="G4838">
        <v>904906</v>
      </c>
      <c r="H4838" t="s">
        <v>467</v>
      </c>
      <c r="I4838">
        <v>904913</v>
      </c>
      <c r="J4838" t="s">
        <v>467</v>
      </c>
      <c r="K4838" t="s">
        <v>30420</v>
      </c>
      <c r="L4838" t="s">
        <v>467</v>
      </c>
    </row>
    <row r="4839" spans="1:12" x14ac:dyDescent="0.25">
      <c r="A4839">
        <v>904913</v>
      </c>
      <c r="B4839">
        <v>904926</v>
      </c>
      <c r="D4839">
        <v>1</v>
      </c>
      <c r="E4839" t="s">
        <v>30422</v>
      </c>
      <c r="F4839" t="s">
        <v>30423</v>
      </c>
      <c r="G4839" t="s">
        <v>30424</v>
      </c>
      <c r="H4839" t="s">
        <v>30425</v>
      </c>
      <c r="I4839" t="s">
        <v>30426</v>
      </c>
      <c r="J4839" t="s">
        <v>30421</v>
      </c>
      <c r="K4839" t="s">
        <v>30427</v>
      </c>
      <c r="L4839" t="s">
        <v>30421</v>
      </c>
    </row>
    <row r="4840" spans="1:12" x14ac:dyDescent="0.25">
      <c r="A4840">
        <v>904926</v>
      </c>
      <c r="B4840">
        <v>1299701</v>
      </c>
      <c r="C4840" t="s">
        <v>30429</v>
      </c>
      <c r="D4840">
        <v>0</v>
      </c>
      <c r="E4840" t="s">
        <v>30430</v>
      </c>
      <c r="F4840" t="s">
        <v>30431</v>
      </c>
      <c r="G4840" t="s">
        <v>30432</v>
      </c>
      <c r="H4840" t="s">
        <v>30433</v>
      </c>
      <c r="I4840" t="s">
        <v>30434</v>
      </c>
      <c r="J4840" t="s">
        <v>30428</v>
      </c>
      <c r="K4840" t="s">
        <v>30435</v>
      </c>
      <c r="L4840" t="s">
        <v>30428</v>
      </c>
    </row>
    <row r="4841" spans="1:12" x14ac:dyDescent="0.25">
      <c r="A4841">
        <v>917641</v>
      </c>
      <c r="B4841">
        <v>917667</v>
      </c>
      <c r="D4841">
        <v>0</v>
      </c>
      <c r="E4841" t="s">
        <v>30437</v>
      </c>
      <c r="F4841" t="s">
        <v>30438</v>
      </c>
      <c r="G4841" t="s">
        <v>30439</v>
      </c>
      <c r="H4841" t="e" vm="2108">
        <f>_FV(0,"008045207565366957")</f>
        <v>#VALUE!</v>
      </c>
      <c r="I4841" t="s">
        <v>30440</v>
      </c>
      <c r="J4841" t="s">
        <v>30441</v>
      </c>
      <c r="K4841" t="s">
        <v>30442</v>
      </c>
      <c r="L4841" t="s">
        <v>30436</v>
      </c>
    </row>
    <row r="4842" spans="1:12" x14ac:dyDescent="0.25">
      <c r="A4842">
        <v>917641</v>
      </c>
      <c r="B4842">
        <v>917682</v>
      </c>
      <c r="D4842">
        <v>0</v>
      </c>
      <c r="F4842">
        <v>949062</v>
      </c>
      <c r="G4842">
        <v>917641</v>
      </c>
      <c r="H4842" t="s">
        <v>1783</v>
      </c>
      <c r="I4842">
        <v>917682</v>
      </c>
      <c r="J4842" t="s">
        <v>1783</v>
      </c>
      <c r="K4842" t="s">
        <v>30443</v>
      </c>
      <c r="L4842" t="s">
        <v>1783</v>
      </c>
    </row>
    <row r="4843" spans="1:12" x14ac:dyDescent="0.25">
      <c r="A4843">
        <v>917641</v>
      </c>
      <c r="B4843">
        <v>1081944</v>
      </c>
      <c r="D4843" t="s">
        <v>514</v>
      </c>
      <c r="E4843" t="s">
        <v>30445</v>
      </c>
      <c r="F4843" t="s">
        <v>30446</v>
      </c>
      <c r="G4843" t="s">
        <v>30447</v>
      </c>
      <c r="H4843" t="s">
        <v>30448</v>
      </c>
      <c r="I4843" t="s">
        <v>30449</v>
      </c>
      <c r="J4843" t="s">
        <v>30450</v>
      </c>
      <c r="K4843" t="s">
        <v>30451</v>
      </c>
      <c r="L4843" t="s">
        <v>30444</v>
      </c>
    </row>
    <row r="4844" spans="1:12" x14ac:dyDescent="0.25">
      <c r="A4844">
        <v>917667</v>
      </c>
      <c r="B4844">
        <v>917682</v>
      </c>
      <c r="D4844">
        <v>0</v>
      </c>
      <c r="E4844" t="s">
        <v>30452</v>
      </c>
      <c r="F4844" t="s">
        <v>30453</v>
      </c>
      <c r="G4844" t="s">
        <v>30454</v>
      </c>
      <c r="H4844" t="s">
        <v>1536</v>
      </c>
      <c r="I4844" t="s">
        <v>30455</v>
      </c>
      <c r="J4844" t="s">
        <v>1536</v>
      </c>
      <c r="K4844" t="s">
        <v>30456</v>
      </c>
      <c r="L4844" t="s">
        <v>1536</v>
      </c>
    </row>
    <row r="4845" spans="1:12" x14ac:dyDescent="0.25">
      <c r="A4845">
        <v>917667</v>
      </c>
      <c r="B4845">
        <v>917877</v>
      </c>
      <c r="D4845">
        <v>0</v>
      </c>
      <c r="E4845" t="s">
        <v>30457</v>
      </c>
      <c r="F4845" t="s">
        <v>30458</v>
      </c>
      <c r="G4845" t="s">
        <v>30459</v>
      </c>
      <c r="H4845" t="s">
        <v>30460</v>
      </c>
      <c r="I4845" t="s">
        <v>30461</v>
      </c>
      <c r="J4845" t="s">
        <v>10904</v>
      </c>
      <c r="K4845" t="s">
        <v>30462</v>
      </c>
      <c r="L4845" t="s">
        <v>10904</v>
      </c>
    </row>
    <row r="4846" spans="1:12" x14ac:dyDescent="0.25">
      <c r="A4846">
        <v>917682</v>
      </c>
      <c r="B4846">
        <v>917710</v>
      </c>
      <c r="D4846">
        <v>0</v>
      </c>
      <c r="E4846" t="s">
        <v>30464</v>
      </c>
      <c r="F4846" t="s">
        <v>30465</v>
      </c>
      <c r="G4846" t="s">
        <v>30466</v>
      </c>
      <c r="H4846" t="s">
        <v>30467</v>
      </c>
      <c r="I4846" t="s">
        <v>30468</v>
      </c>
      <c r="J4846" t="s">
        <v>30469</v>
      </c>
      <c r="K4846" t="s">
        <v>30470</v>
      </c>
      <c r="L4846" t="s">
        <v>30463</v>
      </c>
    </row>
    <row r="4847" spans="1:12" x14ac:dyDescent="0.25">
      <c r="A4847">
        <v>917701</v>
      </c>
      <c r="B4847">
        <v>1081908</v>
      </c>
      <c r="D4847">
        <v>0</v>
      </c>
      <c r="E4847" t="s">
        <v>30472</v>
      </c>
      <c r="F4847" t="s">
        <v>30473</v>
      </c>
      <c r="G4847" t="s">
        <v>30474</v>
      </c>
      <c r="H4847" t="e" vm="2109">
        <f>_FV(0,"0394621965873025")</f>
        <v>#VALUE!</v>
      </c>
      <c r="I4847" t="s">
        <v>30475</v>
      </c>
      <c r="J4847" t="s">
        <v>30476</v>
      </c>
      <c r="K4847" t="s">
        <v>30477</v>
      </c>
      <c r="L4847" t="s">
        <v>30471</v>
      </c>
    </row>
    <row r="4848" spans="1:12" x14ac:dyDescent="0.25">
      <c r="A4848">
        <v>917701</v>
      </c>
      <c r="B4848">
        <v>1834417</v>
      </c>
      <c r="D4848">
        <v>0</v>
      </c>
      <c r="E4848" t="s">
        <v>30479</v>
      </c>
      <c r="F4848" t="s">
        <v>30480</v>
      </c>
      <c r="G4848" t="s">
        <v>30481</v>
      </c>
      <c r="H4848" t="s">
        <v>30482</v>
      </c>
      <c r="I4848" t="s">
        <v>30483</v>
      </c>
      <c r="J4848" t="s">
        <v>30478</v>
      </c>
      <c r="K4848" t="s">
        <v>30484</v>
      </c>
      <c r="L4848" t="s">
        <v>30478</v>
      </c>
    </row>
    <row r="4849" spans="1:12" x14ac:dyDescent="0.25">
      <c r="A4849">
        <v>917710</v>
      </c>
      <c r="B4849">
        <v>917877</v>
      </c>
      <c r="D4849">
        <v>0</v>
      </c>
      <c r="F4849">
        <v>949286</v>
      </c>
      <c r="G4849">
        <v>917710</v>
      </c>
      <c r="H4849" t="s">
        <v>922</v>
      </c>
      <c r="I4849">
        <v>917877</v>
      </c>
      <c r="J4849" t="s">
        <v>922</v>
      </c>
      <c r="K4849" t="s">
        <v>30485</v>
      </c>
      <c r="L4849" t="s">
        <v>922</v>
      </c>
    </row>
    <row r="4850" spans="1:12" x14ac:dyDescent="0.25">
      <c r="A4850">
        <v>917822</v>
      </c>
      <c r="B4850">
        <v>1834398</v>
      </c>
      <c r="D4850">
        <v>0</v>
      </c>
      <c r="E4850" t="s">
        <v>30487</v>
      </c>
      <c r="F4850" t="s">
        <v>30488</v>
      </c>
      <c r="G4850" t="s">
        <v>30489</v>
      </c>
      <c r="H4850" t="e" vm="2110">
        <f>_FV(0,"019790206733578113")</f>
        <v>#VALUE!</v>
      </c>
      <c r="I4850" t="s">
        <v>30490</v>
      </c>
      <c r="J4850" t="s">
        <v>30491</v>
      </c>
      <c r="K4850" t="s">
        <v>30492</v>
      </c>
      <c r="L4850" t="s">
        <v>30486</v>
      </c>
    </row>
    <row r="4851" spans="1:12" x14ac:dyDescent="0.25">
      <c r="A4851">
        <v>917822</v>
      </c>
      <c r="B4851">
        <v>1081914</v>
      </c>
      <c r="D4851">
        <v>0</v>
      </c>
      <c r="E4851" t="s">
        <v>30494</v>
      </c>
      <c r="F4851" t="s">
        <v>30495</v>
      </c>
      <c r="G4851" t="s">
        <v>30496</v>
      </c>
      <c r="H4851" t="e" vm="2111">
        <f>_FV(0,"0015224518427586573")</f>
        <v>#VALUE!</v>
      </c>
      <c r="I4851" t="s">
        <v>30497</v>
      </c>
      <c r="J4851" t="s">
        <v>30498</v>
      </c>
      <c r="K4851" t="s">
        <v>30499</v>
      </c>
      <c r="L4851" t="s">
        <v>30493</v>
      </c>
    </row>
    <row r="4852" spans="1:12" x14ac:dyDescent="0.25">
      <c r="A4852">
        <v>917829</v>
      </c>
      <c r="B4852">
        <v>1081938</v>
      </c>
      <c r="D4852" t="s">
        <v>330</v>
      </c>
      <c r="E4852" t="s">
        <v>30501</v>
      </c>
      <c r="F4852" t="s">
        <v>30502</v>
      </c>
      <c r="G4852" t="s">
        <v>30503</v>
      </c>
      <c r="H4852" t="e" vm="2112">
        <f>_FV(0,"009869237833296787")</f>
        <v>#VALUE!</v>
      </c>
      <c r="I4852" t="s">
        <v>30504</v>
      </c>
      <c r="J4852" t="s">
        <v>30505</v>
      </c>
      <c r="K4852" t="s">
        <v>30506</v>
      </c>
      <c r="L4852" t="s">
        <v>30500</v>
      </c>
    </row>
    <row r="4853" spans="1:12" x14ac:dyDescent="0.25">
      <c r="A4853">
        <v>917829</v>
      </c>
      <c r="B4853">
        <v>1081920</v>
      </c>
      <c r="D4853">
        <v>0</v>
      </c>
      <c r="E4853" t="s">
        <v>30508</v>
      </c>
      <c r="F4853" t="s">
        <v>30509</v>
      </c>
      <c r="G4853" t="s">
        <v>30510</v>
      </c>
      <c r="H4853" t="s">
        <v>30511</v>
      </c>
      <c r="I4853" t="s">
        <v>30512</v>
      </c>
      <c r="J4853" t="s">
        <v>30507</v>
      </c>
      <c r="K4853" t="s">
        <v>30513</v>
      </c>
      <c r="L4853" t="s">
        <v>30507</v>
      </c>
    </row>
    <row r="4854" spans="1:12" x14ac:dyDescent="0.25">
      <c r="A4854">
        <v>917877</v>
      </c>
      <c r="B4854">
        <v>1081930</v>
      </c>
      <c r="D4854" t="s">
        <v>514</v>
      </c>
      <c r="E4854" t="s">
        <v>30515</v>
      </c>
      <c r="F4854" t="s">
        <v>30516</v>
      </c>
      <c r="G4854" t="s">
        <v>30517</v>
      </c>
      <c r="H4854" t="e" vm="2113">
        <f>_FV(0,"03705361955366412")</f>
        <v>#VALUE!</v>
      </c>
      <c r="I4854" t="s">
        <v>30518</v>
      </c>
      <c r="J4854" t="s">
        <v>30519</v>
      </c>
      <c r="K4854" t="s">
        <v>30520</v>
      </c>
      <c r="L4854" t="s">
        <v>30514</v>
      </c>
    </row>
    <row r="4855" spans="1:12" x14ac:dyDescent="0.25">
      <c r="A4855">
        <v>918793</v>
      </c>
      <c r="B4855">
        <v>918794</v>
      </c>
      <c r="D4855">
        <v>0</v>
      </c>
      <c r="F4855">
        <v>950400</v>
      </c>
      <c r="G4855">
        <v>918794</v>
      </c>
      <c r="H4855" t="s">
        <v>23285</v>
      </c>
      <c r="I4855">
        <v>918793</v>
      </c>
      <c r="J4855" t="s">
        <v>23285</v>
      </c>
      <c r="K4855" t="s">
        <v>30521</v>
      </c>
      <c r="L4855" t="s">
        <v>23285</v>
      </c>
    </row>
    <row r="4856" spans="1:12" x14ac:dyDescent="0.25">
      <c r="A4856">
        <v>918793</v>
      </c>
      <c r="B4856">
        <v>918834</v>
      </c>
      <c r="D4856">
        <v>0</v>
      </c>
      <c r="E4856" t="s">
        <v>30523</v>
      </c>
      <c r="F4856" t="s">
        <v>30524</v>
      </c>
      <c r="G4856" t="s">
        <v>30525</v>
      </c>
      <c r="H4856" t="s">
        <v>30526</v>
      </c>
      <c r="I4856" t="s">
        <v>30527</v>
      </c>
      <c r="J4856" t="s">
        <v>30522</v>
      </c>
      <c r="K4856" t="s">
        <v>30528</v>
      </c>
      <c r="L4856" t="s">
        <v>30522</v>
      </c>
    </row>
    <row r="4857" spans="1:12" x14ac:dyDescent="0.25">
      <c r="A4857">
        <v>918793</v>
      </c>
      <c r="B4857">
        <v>918860</v>
      </c>
      <c r="D4857">
        <v>0</v>
      </c>
      <c r="E4857" t="s">
        <v>30530</v>
      </c>
      <c r="F4857" t="s">
        <v>30531</v>
      </c>
      <c r="G4857" t="s">
        <v>30532</v>
      </c>
      <c r="H4857" t="s">
        <v>30533</v>
      </c>
      <c r="I4857" t="s">
        <v>30534</v>
      </c>
      <c r="J4857" t="s">
        <v>30529</v>
      </c>
      <c r="K4857" t="s">
        <v>30535</v>
      </c>
      <c r="L4857" t="s">
        <v>30529</v>
      </c>
    </row>
    <row r="4858" spans="1:12" x14ac:dyDescent="0.25">
      <c r="A4858">
        <v>918794</v>
      </c>
      <c r="B4858">
        <v>918807</v>
      </c>
      <c r="D4858">
        <v>0</v>
      </c>
      <c r="E4858" t="s">
        <v>30537</v>
      </c>
      <c r="F4858" t="s">
        <v>30538</v>
      </c>
      <c r="G4858" t="s">
        <v>30539</v>
      </c>
      <c r="H4858" t="e" vm="2114">
        <f>_FV(0,"14561751480160667")</f>
        <v>#VALUE!</v>
      </c>
      <c r="I4858" t="s">
        <v>30540</v>
      </c>
      <c r="J4858" t="s">
        <v>30541</v>
      </c>
      <c r="K4858" t="s">
        <v>30542</v>
      </c>
      <c r="L4858" t="s">
        <v>30536</v>
      </c>
    </row>
    <row r="4859" spans="1:12" x14ac:dyDescent="0.25">
      <c r="A4859">
        <v>918794</v>
      </c>
      <c r="B4859">
        <v>918875</v>
      </c>
      <c r="D4859">
        <v>0</v>
      </c>
      <c r="E4859" t="s">
        <v>30544</v>
      </c>
      <c r="F4859" t="s">
        <v>30545</v>
      </c>
      <c r="G4859" t="s">
        <v>30546</v>
      </c>
      <c r="H4859" t="s">
        <v>30547</v>
      </c>
      <c r="I4859" t="s">
        <v>30548</v>
      </c>
      <c r="J4859" t="s">
        <v>30543</v>
      </c>
      <c r="K4859" t="s">
        <v>30549</v>
      </c>
      <c r="L4859" t="s">
        <v>30543</v>
      </c>
    </row>
    <row r="4860" spans="1:12" x14ac:dyDescent="0.25">
      <c r="A4860">
        <v>918807</v>
      </c>
      <c r="B4860">
        <v>918834</v>
      </c>
      <c r="D4860">
        <v>0</v>
      </c>
      <c r="E4860" t="s">
        <v>30551</v>
      </c>
      <c r="F4860" t="s">
        <v>30552</v>
      </c>
      <c r="G4860" t="s">
        <v>30553</v>
      </c>
      <c r="H4860" t="e" vm="2115">
        <f>_FV(0,"06864539628647547")</f>
        <v>#VALUE!</v>
      </c>
      <c r="I4860" t="s">
        <v>30554</v>
      </c>
      <c r="J4860" t="s">
        <v>30555</v>
      </c>
      <c r="K4860" t="s">
        <v>30556</v>
      </c>
      <c r="L4860" t="s">
        <v>30550</v>
      </c>
    </row>
    <row r="4861" spans="1:12" x14ac:dyDescent="0.25">
      <c r="A4861">
        <v>918807</v>
      </c>
      <c r="B4861">
        <v>918875</v>
      </c>
      <c r="D4861">
        <v>0</v>
      </c>
      <c r="E4861" t="s">
        <v>30558</v>
      </c>
      <c r="F4861" t="s">
        <v>30559</v>
      </c>
      <c r="G4861" t="s">
        <v>30560</v>
      </c>
      <c r="H4861" t="s">
        <v>30561</v>
      </c>
      <c r="I4861" t="s">
        <v>30562</v>
      </c>
      <c r="J4861" t="s">
        <v>30557</v>
      </c>
      <c r="K4861" t="s">
        <v>30563</v>
      </c>
      <c r="L4861" t="s">
        <v>30557</v>
      </c>
    </row>
    <row r="4862" spans="1:12" x14ac:dyDescent="0.25">
      <c r="A4862">
        <v>918834</v>
      </c>
      <c r="B4862">
        <v>918860</v>
      </c>
      <c r="D4862">
        <v>0</v>
      </c>
      <c r="E4862" t="s">
        <v>30565</v>
      </c>
      <c r="F4862" t="s">
        <v>30566</v>
      </c>
      <c r="G4862" t="s">
        <v>30567</v>
      </c>
      <c r="H4862" t="s">
        <v>30568</v>
      </c>
      <c r="I4862" t="s">
        <v>30569</v>
      </c>
      <c r="J4862" t="s">
        <v>30564</v>
      </c>
      <c r="K4862" t="s">
        <v>30570</v>
      </c>
      <c r="L4862" t="s">
        <v>30564</v>
      </c>
    </row>
    <row r="4863" spans="1:12" x14ac:dyDescent="0.25">
      <c r="A4863">
        <v>924946</v>
      </c>
      <c r="B4863">
        <v>931474</v>
      </c>
      <c r="D4863">
        <v>0</v>
      </c>
      <c r="E4863" t="s">
        <v>30572</v>
      </c>
      <c r="F4863" t="s">
        <v>30573</v>
      </c>
      <c r="G4863" t="s">
        <v>30574</v>
      </c>
      <c r="H4863" t="s">
        <v>30575</v>
      </c>
      <c r="I4863" t="s">
        <v>30576</v>
      </c>
      <c r="J4863" t="s">
        <v>30571</v>
      </c>
      <c r="K4863" t="s">
        <v>30577</v>
      </c>
      <c r="L4863" t="s">
        <v>30571</v>
      </c>
    </row>
    <row r="4864" spans="1:12" x14ac:dyDescent="0.25">
      <c r="A4864">
        <v>924946</v>
      </c>
      <c r="B4864">
        <v>931449</v>
      </c>
      <c r="D4864">
        <v>0</v>
      </c>
      <c r="E4864" t="s">
        <v>30579</v>
      </c>
      <c r="F4864" t="s">
        <v>30580</v>
      </c>
      <c r="G4864" t="s">
        <v>30581</v>
      </c>
      <c r="H4864" t="s">
        <v>30582</v>
      </c>
      <c r="I4864" t="s">
        <v>30583</v>
      </c>
      <c r="J4864" t="s">
        <v>30578</v>
      </c>
      <c r="K4864" t="s">
        <v>30584</v>
      </c>
      <c r="L4864" t="s">
        <v>30578</v>
      </c>
    </row>
    <row r="4865" spans="1:12" x14ac:dyDescent="0.25">
      <c r="A4865">
        <v>925275</v>
      </c>
      <c r="B4865">
        <v>1525198</v>
      </c>
      <c r="D4865">
        <v>0</v>
      </c>
      <c r="F4865">
        <v>2114999</v>
      </c>
      <c r="G4865">
        <v>1525198</v>
      </c>
      <c r="H4865" t="s">
        <v>2916</v>
      </c>
      <c r="I4865">
        <v>925275</v>
      </c>
      <c r="J4865" t="s">
        <v>2916</v>
      </c>
      <c r="K4865" t="s">
        <v>30585</v>
      </c>
      <c r="L4865" t="s">
        <v>2916</v>
      </c>
    </row>
    <row r="4866" spans="1:12" x14ac:dyDescent="0.25">
      <c r="A4866">
        <v>925275</v>
      </c>
      <c r="B4866">
        <v>925392</v>
      </c>
      <c r="D4866">
        <v>0</v>
      </c>
      <c r="E4866" t="s">
        <v>30587</v>
      </c>
      <c r="F4866" t="s">
        <v>30588</v>
      </c>
      <c r="G4866" t="s">
        <v>30589</v>
      </c>
      <c r="H4866" t="s">
        <v>30590</v>
      </c>
      <c r="I4866" t="s">
        <v>30591</v>
      </c>
      <c r="J4866" t="s">
        <v>30586</v>
      </c>
      <c r="K4866" t="s">
        <v>30592</v>
      </c>
      <c r="L4866" t="s">
        <v>30586</v>
      </c>
    </row>
    <row r="4867" spans="1:12" x14ac:dyDescent="0.25">
      <c r="A4867">
        <v>925275</v>
      </c>
      <c r="B4867">
        <v>1525237</v>
      </c>
      <c r="D4867" t="s">
        <v>204</v>
      </c>
      <c r="E4867" t="s">
        <v>30594</v>
      </c>
      <c r="F4867" t="s">
        <v>30595</v>
      </c>
      <c r="G4867" t="s">
        <v>30596</v>
      </c>
      <c r="H4867" t="s">
        <v>30597</v>
      </c>
      <c r="I4867" t="s">
        <v>30598</v>
      </c>
      <c r="J4867" t="s">
        <v>30599</v>
      </c>
      <c r="K4867" t="s">
        <v>30600</v>
      </c>
      <c r="L4867" t="s">
        <v>30593</v>
      </c>
    </row>
    <row r="4868" spans="1:12" x14ac:dyDescent="0.25">
      <c r="A4868">
        <v>925280</v>
      </c>
      <c r="B4868">
        <v>925287</v>
      </c>
      <c r="D4868">
        <v>0</v>
      </c>
      <c r="F4868">
        <v>958740</v>
      </c>
      <c r="G4868">
        <v>925287</v>
      </c>
      <c r="H4868" t="e" vm="44">
        <f>_FV(0,"053")</f>
        <v>#VALUE!</v>
      </c>
      <c r="I4868">
        <v>925280</v>
      </c>
      <c r="J4868" t="s">
        <v>688</v>
      </c>
      <c r="K4868" t="s">
        <v>30601</v>
      </c>
      <c r="L4868" t="e" vm="44">
        <f>_FV(0,"053")</f>
        <v>#VALUE!</v>
      </c>
    </row>
    <row r="4869" spans="1:12" x14ac:dyDescent="0.25">
      <c r="A4869">
        <v>925280</v>
      </c>
      <c r="B4869">
        <v>925494</v>
      </c>
      <c r="D4869">
        <v>0</v>
      </c>
      <c r="E4869" t="s">
        <v>30603</v>
      </c>
      <c r="F4869" t="s">
        <v>30604</v>
      </c>
      <c r="G4869" t="s">
        <v>30605</v>
      </c>
      <c r="H4869" t="e" vm="2116">
        <f>_FV(0,"0160492772474118")</f>
        <v>#VALUE!</v>
      </c>
      <c r="I4869" t="s">
        <v>30606</v>
      </c>
      <c r="J4869" t="s">
        <v>30607</v>
      </c>
      <c r="K4869" t="s">
        <v>30608</v>
      </c>
      <c r="L4869" t="s">
        <v>30602</v>
      </c>
    </row>
    <row r="4870" spans="1:12" x14ac:dyDescent="0.25">
      <c r="A4870">
        <v>925280</v>
      </c>
      <c r="B4870">
        <v>925304</v>
      </c>
      <c r="D4870">
        <v>0</v>
      </c>
      <c r="E4870" t="s">
        <v>30610</v>
      </c>
      <c r="F4870" t="s">
        <v>30611</v>
      </c>
      <c r="G4870" t="s">
        <v>30612</v>
      </c>
      <c r="H4870" t="e" vm="2117">
        <f>_FV(0,"02006271119134083")</f>
        <v>#VALUE!</v>
      </c>
      <c r="I4870" t="s">
        <v>30613</v>
      </c>
      <c r="J4870" t="s">
        <v>30614</v>
      </c>
      <c r="K4870" t="s">
        <v>30615</v>
      </c>
      <c r="L4870" t="s">
        <v>30609</v>
      </c>
    </row>
    <row r="4871" spans="1:12" x14ac:dyDescent="0.25">
      <c r="A4871">
        <v>925287</v>
      </c>
      <c r="B4871">
        <v>925298</v>
      </c>
      <c r="D4871">
        <v>0</v>
      </c>
      <c r="E4871" t="s">
        <v>30617</v>
      </c>
      <c r="F4871" t="s">
        <v>30618</v>
      </c>
      <c r="G4871" t="s">
        <v>30619</v>
      </c>
      <c r="H4871" t="s">
        <v>30620</v>
      </c>
      <c r="I4871" t="s">
        <v>30621</v>
      </c>
      <c r="J4871" t="s">
        <v>30616</v>
      </c>
      <c r="K4871" t="s">
        <v>30622</v>
      </c>
      <c r="L4871" t="s">
        <v>30616</v>
      </c>
    </row>
    <row r="4872" spans="1:12" x14ac:dyDescent="0.25">
      <c r="A4872">
        <v>925287</v>
      </c>
      <c r="B4872">
        <v>925557</v>
      </c>
      <c r="D4872">
        <v>0</v>
      </c>
      <c r="E4872" t="s">
        <v>30623</v>
      </c>
      <c r="F4872" t="s">
        <v>30624</v>
      </c>
      <c r="G4872" t="s">
        <v>30625</v>
      </c>
      <c r="H4872" t="e" vm="2118">
        <f>_FV(0,"07214779197931159")</f>
        <v>#VALUE!</v>
      </c>
      <c r="I4872" t="s">
        <v>30626</v>
      </c>
      <c r="J4872" t="s">
        <v>18911</v>
      </c>
      <c r="K4872" t="s">
        <v>30627</v>
      </c>
      <c r="L4872" t="s">
        <v>18906</v>
      </c>
    </row>
    <row r="4873" spans="1:12" x14ac:dyDescent="0.25">
      <c r="A4873">
        <v>925298</v>
      </c>
      <c r="B4873">
        <v>925304</v>
      </c>
      <c r="D4873">
        <v>0</v>
      </c>
      <c r="F4873">
        <v>958764</v>
      </c>
      <c r="G4873">
        <v>925304</v>
      </c>
      <c r="H4873" t="s">
        <v>30628</v>
      </c>
      <c r="I4873">
        <v>925298</v>
      </c>
      <c r="J4873" t="s">
        <v>30628</v>
      </c>
      <c r="K4873" t="s">
        <v>30629</v>
      </c>
      <c r="L4873" t="s">
        <v>30628</v>
      </c>
    </row>
    <row r="4874" spans="1:12" x14ac:dyDescent="0.25">
      <c r="A4874">
        <v>925298</v>
      </c>
      <c r="B4874">
        <v>925557</v>
      </c>
      <c r="D4874">
        <v>0</v>
      </c>
      <c r="E4874" t="s">
        <v>30631</v>
      </c>
      <c r="F4874" t="s">
        <v>30632</v>
      </c>
      <c r="G4874" t="s">
        <v>30633</v>
      </c>
      <c r="H4874" t="e" vm="2119">
        <f>_FV(0,"08782654191535537")</f>
        <v>#VALUE!</v>
      </c>
      <c r="I4874" t="s">
        <v>30634</v>
      </c>
      <c r="J4874" t="s">
        <v>30635</v>
      </c>
      <c r="K4874" t="s">
        <v>30636</v>
      </c>
      <c r="L4874" t="s">
        <v>30630</v>
      </c>
    </row>
    <row r="4875" spans="1:12" x14ac:dyDescent="0.25">
      <c r="A4875">
        <v>925304</v>
      </c>
      <c r="B4875">
        <v>925650</v>
      </c>
      <c r="D4875">
        <v>0</v>
      </c>
      <c r="E4875" t="s">
        <v>30638</v>
      </c>
      <c r="F4875" t="s">
        <v>30639</v>
      </c>
      <c r="G4875" t="s">
        <v>30640</v>
      </c>
      <c r="H4875" t="s">
        <v>30641</v>
      </c>
      <c r="I4875" t="s">
        <v>30642</v>
      </c>
      <c r="J4875" t="s">
        <v>30643</v>
      </c>
      <c r="K4875" t="s">
        <v>30644</v>
      </c>
      <c r="L4875" t="s">
        <v>30637</v>
      </c>
    </row>
    <row r="4876" spans="1:12" x14ac:dyDescent="0.25">
      <c r="A4876">
        <v>925325</v>
      </c>
      <c r="B4876">
        <v>925366</v>
      </c>
      <c r="D4876">
        <v>0</v>
      </c>
      <c r="E4876" t="s">
        <v>30646</v>
      </c>
      <c r="F4876" t="s">
        <v>30647</v>
      </c>
      <c r="G4876" t="s">
        <v>30648</v>
      </c>
      <c r="H4876" t="e" vm="2120">
        <f>_FV(0,"05136577996956157")</f>
        <v>#VALUE!</v>
      </c>
      <c r="I4876" t="s">
        <v>30649</v>
      </c>
      <c r="J4876" t="s">
        <v>30650</v>
      </c>
      <c r="K4876" t="s">
        <v>30651</v>
      </c>
      <c r="L4876" t="s">
        <v>30645</v>
      </c>
    </row>
    <row r="4877" spans="1:12" x14ac:dyDescent="0.25">
      <c r="A4877">
        <v>925325</v>
      </c>
      <c r="B4877">
        <v>925569</v>
      </c>
      <c r="D4877">
        <v>0</v>
      </c>
      <c r="E4877" t="s">
        <v>30653</v>
      </c>
      <c r="F4877" t="s">
        <v>30654</v>
      </c>
      <c r="G4877" t="s">
        <v>30655</v>
      </c>
      <c r="H4877" t="e" vm="2121">
        <f>_FV(0,"054997695489385184")</f>
        <v>#VALUE!</v>
      </c>
      <c r="I4877" t="s">
        <v>30656</v>
      </c>
      <c r="J4877" t="s">
        <v>30657</v>
      </c>
      <c r="K4877" t="s">
        <v>30658</v>
      </c>
      <c r="L4877" t="s">
        <v>30652</v>
      </c>
    </row>
    <row r="4878" spans="1:12" x14ac:dyDescent="0.25">
      <c r="A4878">
        <v>925366</v>
      </c>
      <c r="B4878">
        <v>925569</v>
      </c>
      <c r="D4878">
        <v>0</v>
      </c>
      <c r="E4878" t="s">
        <v>30660</v>
      </c>
      <c r="F4878" t="s">
        <v>30661</v>
      </c>
      <c r="G4878" t="s">
        <v>30662</v>
      </c>
      <c r="H4878" t="e" vm="2122">
        <f>_FV(0,"02020791140131902")</f>
        <v>#VALUE!</v>
      </c>
      <c r="I4878" t="s">
        <v>30663</v>
      </c>
      <c r="J4878" t="s">
        <v>30664</v>
      </c>
      <c r="K4878" t="s">
        <v>30665</v>
      </c>
      <c r="L4878" t="s">
        <v>30659</v>
      </c>
    </row>
    <row r="4879" spans="1:12" x14ac:dyDescent="0.25">
      <c r="A4879">
        <v>925392</v>
      </c>
      <c r="B4879">
        <v>925494</v>
      </c>
      <c r="C4879" t="s">
        <v>30667</v>
      </c>
      <c r="D4879">
        <v>0</v>
      </c>
      <c r="E4879" t="s">
        <v>30668</v>
      </c>
      <c r="F4879" t="s">
        <v>30669</v>
      </c>
      <c r="G4879" t="s">
        <v>30670</v>
      </c>
      <c r="H4879" t="e" vm="2123">
        <f>_FV(0,"023819497123308803")</f>
        <v>#VALUE!</v>
      </c>
      <c r="I4879" t="s">
        <v>30671</v>
      </c>
      <c r="J4879" t="s">
        <v>30672</v>
      </c>
      <c r="K4879" t="s">
        <v>30673</v>
      </c>
      <c r="L4879" t="s">
        <v>30666</v>
      </c>
    </row>
    <row r="4880" spans="1:12" x14ac:dyDescent="0.25">
      <c r="A4880">
        <v>925392</v>
      </c>
      <c r="B4880">
        <v>1524966</v>
      </c>
      <c r="D4880">
        <v>0</v>
      </c>
      <c r="E4880" t="s">
        <v>30675</v>
      </c>
      <c r="F4880" t="s">
        <v>30676</v>
      </c>
      <c r="G4880" t="s">
        <v>30677</v>
      </c>
      <c r="H4880" t="s">
        <v>30678</v>
      </c>
      <c r="I4880" t="s">
        <v>30679</v>
      </c>
      <c r="J4880" t="s">
        <v>30680</v>
      </c>
      <c r="K4880" t="s">
        <v>30681</v>
      </c>
      <c r="L4880" t="s">
        <v>30674</v>
      </c>
    </row>
    <row r="4881" spans="1:12" x14ac:dyDescent="0.25">
      <c r="A4881">
        <v>925452</v>
      </c>
      <c r="B4881">
        <v>925506</v>
      </c>
      <c r="D4881">
        <v>0</v>
      </c>
      <c r="E4881" t="s">
        <v>30683</v>
      </c>
      <c r="F4881" t="s">
        <v>30684</v>
      </c>
      <c r="G4881" t="s">
        <v>30685</v>
      </c>
      <c r="H4881" t="s">
        <v>30686</v>
      </c>
      <c r="I4881" t="s">
        <v>30687</v>
      </c>
      <c r="J4881" t="s">
        <v>30682</v>
      </c>
      <c r="K4881" t="s">
        <v>30688</v>
      </c>
      <c r="L4881" t="s">
        <v>30682</v>
      </c>
    </row>
    <row r="4882" spans="1:12" x14ac:dyDescent="0.25">
      <c r="A4882">
        <v>925452</v>
      </c>
      <c r="B4882">
        <v>925506</v>
      </c>
      <c r="D4882">
        <v>0</v>
      </c>
      <c r="E4882" t="s">
        <v>30690</v>
      </c>
      <c r="F4882" t="s">
        <v>30691</v>
      </c>
      <c r="G4882" t="s">
        <v>30692</v>
      </c>
      <c r="H4882" t="s">
        <v>30693</v>
      </c>
      <c r="I4882" t="s">
        <v>30694</v>
      </c>
      <c r="J4882" t="s">
        <v>30689</v>
      </c>
      <c r="K4882" t="s">
        <v>30695</v>
      </c>
      <c r="L4882" t="s">
        <v>30689</v>
      </c>
    </row>
    <row r="4883" spans="1:12" x14ac:dyDescent="0.25">
      <c r="A4883">
        <v>925494</v>
      </c>
      <c r="B4883">
        <v>925650</v>
      </c>
      <c r="D4883">
        <v>0</v>
      </c>
      <c r="E4883" t="s">
        <v>30697</v>
      </c>
      <c r="F4883" t="s">
        <v>30698</v>
      </c>
      <c r="G4883" t="s">
        <v>30699</v>
      </c>
      <c r="H4883" t="s">
        <v>30700</v>
      </c>
      <c r="I4883" t="s">
        <v>30701</v>
      </c>
      <c r="J4883" t="s">
        <v>30702</v>
      </c>
      <c r="K4883" t="s">
        <v>30703</v>
      </c>
      <c r="L4883" t="s">
        <v>30696</v>
      </c>
    </row>
    <row r="4884" spans="1:12" x14ac:dyDescent="0.25">
      <c r="A4884">
        <v>925506</v>
      </c>
      <c r="B4884">
        <v>957739</v>
      </c>
      <c r="C4884" t="s">
        <v>30705</v>
      </c>
      <c r="D4884" t="s">
        <v>30706</v>
      </c>
      <c r="E4884" t="s">
        <v>30707</v>
      </c>
      <c r="F4884" t="s">
        <v>30708</v>
      </c>
      <c r="G4884" t="s">
        <v>30709</v>
      </c>
      <c r="H4884" t="e" vm="2124">
        <f>_FV(0,"015481629857761367")</f>
        <v>#VALUE!</v>
      </c>
      <c r="I4884" t="s">
        <v>30710</v>
      </c>
      <c r="J4884" t="s">
        <v>30711</v>
      </c>
      <c r="K4884" t="s">
        <v>30712</v>
      </c>
      <c r="L4884" t="s">
        <v>30704</v>
      </c>
    </row>
    <row r="4885" spans="1:12" x14ac:dyDescent="0.25">
      <c r="A4885">
        <v>925520</v>
      </c>
      <c r="B4885">
        <v>925645</v>
      </c>
      <c r="D4885">
        <v>0</v>
      </c>
      <c r="E4885" t="s">
        <v>30714</v>
      </c>
      <c r="F4885" t="s">
        <v>30715</v>
      </c>
      <c r="G4885" t="s">
        <v>30716</v>
      </c>
      <c r="H4885" t="s">
        <v>30717</v>
      </c>
      <c r="I4885" t="s">
        <v>30718</v>
      </c>
      <c r="J4885" t="s">
        <v>30713</v>
      </c>
      <c r="K4885" t="s">
        <v>30719</v>
      </c>
      <c r="L4885" t="s">
        <v>30713</v>
      </c>
    </row>
    <row r="4886" spans="1:12" x14ac:dyDescent="0.25">
      <c r="A4886">
        <v>925520</v>
      </c>
      <c r="B4886">
        <v>1525037</v>
      </c>
      <c r="D4886">
        <v>0</v>
      </c>
      <c r="E4886" t="s">
        <v>30721</v>
      </c>
      <c r="F4886" t="s">
        <v>30722</v>
      </c>
      <c r="G4886" t="s">
        <v>30723</v>
      </c>
      <c r="H4886" t="e" vm="2125">
        <f>_FV(0,"024455053329617144")</f>
        <v>#VALUE!</v>
      </c>
      <c r="I4886" t="s">
        <v>30724</v>
      </c>
      <c r="J4886" t="s">
        <v>30725</v>
      </c>
      <c r="K4886" t="s">
        <v>30726</v>
      </c>
      <c r="L4886" t="s">
        <v>30720</v>
      </c>
    </row>
    <row r="4887" spans="1:12" x14ac:dyDescent="0.25">
      <c r="A4887">
        <v>925557</v>
      </c>
      <c r="B4887">
        <v>925569</v>
      </c>
      <c r="D4887" t="s">
        <v>204</v>
      </c>
      <c r="E4887" t="s">
        <v>30728</v>
      </c>
      <c r="F4887" t="s">
        <v>30729</v>
      </c>
      <c r="G4887" t="s">
        <v>30730</v>
      </c>
      <c r="H4887" t="e" vm="2126">
        <f>_FV(0,"06813936541469431")</f>
        <v>#VALUE!</v>
      </c>
      <c r="I4887" t="s">
        <v>30731</v>
      </c>
      <c r="J4887" t="s">
        <v>30732</v>
      </c>
      <c r="K4887" t="s">
        <v>30733</v>
      </c>
      <c r="L4887" t="s">
        <v>30727</v>
      </c>
    </row>
    <row r="4888" spans="1:12" x14ac:dyDescent="0.25">
      <c r="A4888">
        <v>925645</v>
      </c>
      <c r="B4888">
        <v>1260193</v>
      </c>
      <c r="D4888" t="s">
        <v>963</v>
      </c>
      <c r="E4888" t="s">
        <v>30735</v>
      </c>
      <c r="F4888" t="s">
        <v>30736</v>
      </c>
      <c r="G4888" t="s">
        <v>30737</v>
      </c>
      <c r="H4888" t="s">
        <v>30738</v>
      </c>
      <c r="I4888" t="s">
        <v>30739</v>
      </c>
      <c r="J4888" t="s">
        <v>30740</v>
      </c>
      <c r="K4888" t="s">
        <v>30741</v>
      </c>
      <c r="L4888" t="s">
        <v>30734</v>
      </c>
    </row>
    <row r="4889" spans="1:12" x14ac:dyDescent="0.25">
      <c r="A4889">
        <v>925650</v>
      </c>
      <c r="B4889">
        <v>1260348</v>
      </c>
      <c r="C4889" t="s">
        <v>30743</v>
      </c>
      <c r="D4889" t="s">
        <v>514</v>
      </c>
      <c r="E4889" t="s">
        <v>30744</v>
      </c>
      <c r="F4889" t="s">
        <v>30745</v>
      </c>
      <c r="G4889" t="s">
        <v>30746</v>
      </c>
      <c r="H4889" t="s">
        <v>30747</v>
      </c>
      <c r="I4889" t="s">
        <v>30748</v>
      </c>
      <c r="J4889" t="s">
        <v>30749</v>
      </c>
      <c r="K4889" t="s">
        <v>30750</v>
      </c>
      <c r="L4889" t="s">
        <v>30742</v>
      </c>
    </row>
    <row r="4890" spans="1:12" x14ac:dyDescent="0.25">
      <c r="A4890">
        <v>926783</v>
      </c>
      <c r="B4890">
        <v>1524382</v>
      </c>
      <c r="D4890">
        <v>0</v>
      </c>
      <c r="E4890" t="s">
        <v>30752</v>
      </c>
      <c r="F4890" t="s">
        <v>30753</v>
      </c>
      <c r="G4890" t="s">
        <v>30754</v>
      </c>
      <c r="H4890" t="s">
        <v>30755</v>
      </c>
      <c r="I4890" t="s">
        <v>30756</v>
      </c>
      <c r="J4890" t="s">
        <v>30757</v>
      </c>
      <c r="K4890" t="s">
        <v>30758</v>
      </c>
      <c r="L4890" t="s">
        <v>30751</v>
      </c>
    </row>
    <row r="4891" spans="1:12" x14ac:dyDescent="0.25">
      <c r="A4891">
        <v>926858</v>
      </c>
      <c r="B4891">
        <v>1524386</v>
      </c>
      <c r="D4891">
        <v>0</v>
      </c>
      <c r="E4891" t="s">
        <v>30760</v>
      </c>
      <c r="F4891" t="s">
        <v>30761</v>
      </c>
      <c r="G4891" t="s">
        <v>30762</v>
      </c>
      <c r="H4891" t="e" vm="2127">
        <f>_FV(0,"0061654271548896265")</f>
        <v>#VALUE!</v>
      </c>
      <c r="I4891" t="s">
        <v>30763</v>
      </c>
      <c r="J4891" t="s">
        <v>30764</v>
      </c>
      <c r="K4891" t="s">
        <v>30765</v>
      </c>
      <c r="L4891" t="s">
        <v>30759</v>
      </c>
    </row>
    <row r="4892" spans="1:12" x14ac:dyDescent="0.25">
      <c r="A4892">
        <v>931358</v>
      </c>
      <c r="B4892">
        <v>931378</v>
      </c>
      <c r="D4892">
        <v>0</v>
      </c>
      <c r="E4892" t="s">
        <v>30767</v>
      </c>
      <c r="F4892" t="s">
        <v>30768</v>
      </c>
      <c r="G4892" t="s">
        <v>30769</v>
      </c>
      <c r="H4892" t="e" vm="2128">
        <f>_FV(0,"014168019355021133")</f>
        <v>#VALUE!</v>
      </c>
      <c r="I4892" t="s">
        <v>30770</v>
      </c>
      <c r="J4892" t="s">
        <v>30771</v>
      </c>
      <c r="K4892" t="s">
        <v>30772</v>
      </c>
      <c r="L4892" t="s">
        <v>30766</v>
      </c>
    </row>
    <row r="4893" spans="1:12" x14ac:dyDescent="0.25">
      <c r="A4893">
        <v>931358</v>
      </c>
      <c r="B4893">
        <v>931392</v>
      </c>
      <c r="D4893">
        <v>0</v>
      </c>
      <c r="F4893">
        <v>967521</v>
      </c>
      <c r="G4893">
        <v>931358</v>
      </c>
      <c r="H4893" t="e" vm="464">
        <f>_FV(0,"05")</f>
        <v>#VALUE!</v>
      </c>
      <c r="I4893">
        <v>931392</v>
      </c>
      <c r="J4893" t="s">
        <v>6429</v>
      </c>
      <c r="K4893" t="s">
        <v>30773</v>
      </c>
      <c r="L4893" t="e" vm="464">
        <f>_FV(0,"05")</f>
        <v>#VALUE!</v>
      </c>
    </row>
    <row r="4894" spans="1:12" x14ac:dyDescent="0.25">
      <c r="A4894">
        <v>931358</v>
      </c>
      <c r="B4894">
        <v>1229568</v>
      </c>
      <c r="D4894">
        <v>0</v>
      </c>
      <c r="E4894" t="s">
        <v>30775</v>
      </c>
      <c r="F4894" t="s">
        <v>30776</v>
      </c>
      <c r="G4894" t="s">
        <v>30777</v>
      </c>
      <c r="H4894" t="e" vm="2129">
        <f>_FV(0,"012601097691663675")</f>
        <v>#VALUE!</v>
      </c>
      <c r="I4894" t="s">
        <v>30778</v>
      </c>
      <c r="J4894" t="s">
        <v>30779</v>
      </c>
      <c r="K4894" t="s">
        <v>30780</v>
      </c>
      <c r="L4894" t="s">
        <v>30774</v>
      </c>
    </row>
    <row r="4895" spans="1:12" x14ac:dyDescent="0.25">
      <c r="A4895">
        <v>931378</v>
      </c>
      <c r="B4895">
        <v>931384</v>
      </c>
      <c r="D4895">
        <v>0</v>
      </c>
      <c r="F4895">
        <v>967497</v>
      </c>
      <c r="G4895">
        <v>931384</v>
      </c>
      <c r="H4895" t="s">
        <v>170</v>
      </c>
      <c r="I4895">
        <v>931378</v>
      </c>
      <c r="J4895" t="s">
        <v>170</v>
      </c>
      <c r="K4895" t="s">
        <v>30781</v>
      </c>
      <c r="L4895" t="s">
        <v>170</v>
      </c>
    </row>
    <row r="4896" spans="1:12" x14ac:dyDescent="0.25">
      <c r="A4896">
        <v>931378</v>
      </c>
      <c r="B4896">
        <v>1229574</v>
      </c>
      <c r="D4896">
        <v>0</v>
      </c>
      <c r="E4896" t="s">
        <v>30783</v>
      </c>
      <c r="F4896" t="s">
        <v>30784</v>
      </c>
      <c r="G4896" t="s">
        <v>30785</v>
      </c>
      <c r="H4896" t="e" vm="2130">
        <f>_FV(0,"03498796313996596")</f>
        <v>#VALUE!</v>
      </c>
      <c r="I4896" t="s">
        <v>30786</v>
      </c>
      <c r="J4896" t="s">
        <v>30787</v>
      </c>
      <c r="K4896" t="s">
        <v>30788</v>
      </c>
      <c r="L4896" t="s">
        <v>30782</v>
      </c>
    </row>
    <row r="4897" spans="1:12" x14ac:dyDescent="0.25">
      <c r="A4897">
        <v>931384</v>
      </c>
      <c r="B4897">
        <v>931392</v>
      </c>
      <c r="D4897">
        <v>0</v>
      </c>
      <c r="E4897" t="s">
        <v>30790</v>
      </c>
      <c r="F4897" t="s">
        <v>30791</v>
      </c>
      <c r="G4897" t="s">
        <v>30792</v>
      </c>
      <c r="H4897" t="s">
        <v>30793</v>
      </c>
      <c r="I4897" t="s">
        <v>30794</v>
      </c>
      <c r="J4897" t="s">
        <v>9633</v>
      </c>
      <c r="K4897" t="s">
        <v>30795</v>
      </c>
      <c r="L4897" t="s">
        <v>30789</v>
      </c>
    </row>
    <row r="4898" spans="1:12" x14ac:dyDescent="0.25">
      <c r="A4898">
        <v>931384</v>
      </c>
      <c r="B4898">
        <v>1161718</v>
      </c>
      <c r="D4898" t="s">
        <v>715</v>
      </c>
      <c r="E4898" t="s">
        <v>30797</v>
      </c>
      <c r="F4898" t="s">
        <v>30798</v>
      </c>
      <c r="G4898" t="s">
        <v>30799</v>
      </c>
      <c r="H4898" t="e" vm="2131">
        <f>_FV(0,"12696574003283662")</f>
        <v>#VALUE!</v>
      </c>
      <c r="I4898" t="s">
        <v>30800</v>
      </c>
      <c r="J4898" t="s">
        <v>30801</v>
      </c>
      <c r="K4898" t="s">
        <v>30802</v>
      </c>
      <c r="L4898" t="s">
        <v>30796</v>
      </c>
    </row>
    <row r="4899" spans="1:12" x14ac:dyDescent="0.25">
      <c r="A4899">
        <v>931392</v>
      </c>
      <c r="B4899">
        <v>1161718</v>
      </c>
      <c r="D4899" t="s">
        <v>715</v>
      </c>
      <c r="E4899" t="s">
        <v>30804</v>
      </c>
      <c r="F4899" t="s">
        <v>30805</v>
      </c>
      <c r="G4899" t="s">
        <v>30806</v>
      </c>
      <c r="H4899" t="e" vm="2132">
        <f>_FV(0,"10644409230054887")</f>
        <v>#VALUE!</v>
      </c>
      <c r="I4899" t="s">
        <v>30807</v>
      </c>
      <c r="J4899" t="s">
        <v>30808</v>
      </c>
      <c r="K4899" t="s">
        <v>30809</v>
      </c>
      <c r="L4899" t="s">
        <v>30803</v>
      </c>
    </row>
    <row r="4900" spans="1:12" x14ac:dyDescent="0.25">
      <c r="A4900">
        <v>931408</v>
      </c>
      <c r="B4900">
        <v>931425</v>
      </c>
      <c r="D4900">
        <v>0</v>
      </c>
      <c r="E4900" t="s">
        <v>30811</v>
      </c>
      <c r="F4900" t="s">
        <v>30812</v>
      </c>
      <c r="G4900" t="s">
        <v>30813</v>
      </c>
      <c r="H4900" t="e" vm="2133">
        <f>_FV(0,"038923154014247834")</f>
        <v>#VALUE!</v>
      </c>
      <c r="I4900" t="s">
        <v>30814</v>
      </c>
      <c r="J4900" t="s">
        <v>30815</v>
      </c>
      <c r="K4900" t="s">
        <v>30816</v>
      </c>
      <c r="L4900" t="s">
        <v>30810</v>
      </c>
    </row>
    <row r="4901" spans="1:12" x14ac:dyDescent="0.25">
      <c r="A4901">
        <v>931408</v>
      </c>
      <c r="B4901">
        <v>931443</v>
      </c>
      <c r="D4901">
        <v>0</v>
      </c>
      <c r="F4901">
        <v>967583</v>
      </c>
      <c r="G4901">
        <v>931408</v>
      </c>
      <c r="H4901" t="s">
        <v>30817</v>
      </c>
      <c r="I4901">
        <v>931443</v>
      </c>
      <c r="J4901" t="s">
        <v>30817</v>
      </c>
      <c r="K4901" t="s">
        <v>30818</v>
      </c>
      <c r="L4901" t="s">
        <v>30817</v>
      </c>
    </row>
    <row r="4902" spans="1:12" x14ac:dyDescent="0.25">
      <c r="A4902">
        <v>931408</v>
      </c>
      <c r="B4902">
        <v>1229633</v>
      </c>
      <c r="D4902">
        <v>0</v>
      </c>
      <c r="E4902" t="s">
        <v>30820</v>
      </c>
      <c r="F4902" t="s">
        <v>30821</v>
      </c>
      <c r="G4902" t="s">
        <v>30822</v>
      </c>
      <c r="H4902" t="s">
        <v>30823</v>
      </c>
      <c r="I4902" t="s">
        <v>30824</v>
      </c>
      <c r="J4902" t="s">
        <v>30819</v>
      </c>
      <c r="K4902" t="s">
        <v>30825</v>
      </c>
      <c r="L4902" t="s">
        <v>30819</v>
      </c>
    </row>
    <row r="4903" spans="1:12" x14ac:dyDescent="0.25">
      <c r="A4903">
        <v>931425</v>
      </c>
      <c r="B4903">
        <v>931426</v>
      </c>
      <c r="D4903">
        <v>0</v>
      </c>
      <c r="F4903">
        <v>967562</v>
      </c>
      <c r="G4903">
        <v>931426</v>
      </c>
      <c r="H4903" t="e" vm="2134">
        <f>_FV(0,"141")</f>
        <v>#VALUE!</v>
      </c>
      <c r="I4903">
        <v>931425</v>
      </c>
      <c r="J4903" t="s">
        <v>23549</v>
      </c>
      <c r="K4903" t="s">
        <v>30826</v>
      </c>
      <c r="L4903" t="e" vm="2134">
        <f>_FV(0,"141")</f>
        <v>#VALUE!</v>
      </c>
    </row>
    <row r="4904" spans="1:12" x14ac:dyDescent="0.25">
      <c r="A4904">
        <v>931425</v>
      </c>
      <c r="B4904">
        <v>1229627</v>
      </c>
      <c r="D4904">
        <v>0</v>
      </c>
      <c r="E4904" t="s">
        <v>30828</v>
      </c>
      <c r="F4904" t="s">
        <v>30829</v>
      </c>
      <c r="G4904" t="s">
        <v>30830</v>
      </c>
      <c r="H4904" t="e" vm="2135">
        <f>_FV(0,"02939362895563508")</f>
        <v>#VALUE!</v>
      </c>
      <c r="I4904" t="s">
        <v>30831</v>
      </c>
      <c r="J4904" t="s">
        <v>30832</v>
      </c>
      <c r="K4904" t="s">
        <v>30833</v>
      </c>
      <c r="L4904" t="s">
        <v>30827</v>
      </c>
    </row>
    <row r="4905" spans="1:12" x14ac:dyDescent="0.25">
      <c r="A4905">
        <v>931426</v>
      </c>
      <c r="B4905">
        <v>931443</v>
      </c>
      <c r="D4905">
        <v>0</v>
      </c>
      <c r="E4905" t="s">
        <v>30835</v>
      </c>
      <c r="F4905" t="s">
        <v>30836</v>
      </c>
      <c r="G4905" t="s">
        <v>30837</v>
      </c>
      <c r="H4905" t="s">
        <v>30838</v>
      </c>
      <c r="I4905" t="s">
        <v>30839</v>
      </c>
      <c r="J4905" t="s">
        <v>30840</v>
      </c>
      <c r="K4905" t="s">
        <v>30841</v>
      </c>
      <c r="L4905" t="s">
        <v>30834</v>
      </c>
    </row>
    <row r="4906" spans="1:12" x14ac:dyDescent="0.25">
      <c r="A4906">
        <v>931426</v>
      </c>
      <c r="B4906">
        <v>1161717</v>
      </c>
      <c r="D4906" t="s">
        <v>700</v>
      </c>
      <c r="E4906" t="s">
        <v>30843</v>
      </c>
      <c r="F4906" t="s">
        <v>30844</v>
      </c>
      <c r="G4906" t="s">
        <v>30845</v>
      </c>
      <c r="H4906" t="e" vm="2136">
        <f>_FV(0,"14708085893000486")</f>
        <v>#VALUE!</v>
      </c>
      <c r="I4906" t="s">
        <v>30846</v>
      </c>
      <c r="J4906" t="s">
        <v>30847</v>
      </c>
      <c r="K4906" t="s">
        <v>30848</v>
      </c>
      <c r="L4906" t="s">
        <v>30842</v>
      </c>
    </row>
    <row r="4907" spans="1:12" x14ac:dyDescent="0.25">
      <c r="A4907">
        <v>931443</v>
      </c>
      <c r="B4907">
        <v>1161717</v>
      </c>
      <c r="D4907" t="s">
        <v>700</v>
      </c>
      <c r="E4907" t="s">
        <v>30850</v>
      </c>
      <c r="F4907" t="s">
        <v>30851</v>
      </c>
      <c r="G4907" t="s">
        <v>30852</v>
      </c>
      <c r="H4907" t="e" vm="2137">
        <f>_FV(0,"16074678319333444")</f>
        <v>#VALUE!</v>
      </c>
      <c r="I4907" t="s">
        <v>30853</v>
      </c>
      <c r="J4907" t="s">
        <v>30854</v>
      </c>
      <c r="K4907" t="s">
        <v>30855</v>
      </c>
      <c r="L4907" t="s">
        <v>30849</v>
      </c>
    </row>
    <row r="4908" spans="1:12" x14ac:dyDescent="0.25">
      <c r="A4908">
        <v>931448</v>
      </c>
      <c r="B4908">
        <v>931449</v>
      </c>
      <c r="D4908">
        <v>0</v>
      </c>
      <c r="F4908">
        <v>967590</v>
      </c>
      <c r="G4908">
        <v>931449</v>
      </c>
      <c r="H4908" t="e" vm="498">
        <f>_FV(0,"037")</f>
        <v>#VALUE!</v>
      </c>
      <c r="I4908">
        <v>931448</v>
      </c>
      <c r="J4908" t="s">
        <v>1589</v>
      </c>
      <c r="K4908" t="s">
        <v>30856</v>
      </c>
      <c r="L4908" t="e" vm="498">
        <f>_FV(0,"037")</f>
        <v>#VALUE!</v>
      </c>
    </row>
    <row r="4909" spans="1:12" x14ac:dyDescent="0.25">
      <c r="A4909">
        <v>931448</v>
      </c>
      <c r="B4909">
        <v>931474</v>
      </c>
      <c r="D4909">
        <v>0</v>
      </c>
      <c r="E4909" t="s">
        <v>30858</v>
      </c>
      <c r="F4909" t="s">
        <v>30859</v>
      </c>
      <c r="G4909" t="s">
        <v>30860</v>
      </c>
      <c r="H4909" t="e" vm="2138">
        <f>_FV(0,"0037335740798660933")</f>
        <v>#VALUE!</v>
      </c>
      <c r="I4909" t="s">
        <v>30861</v>
      </c>
      <c r="J4909" t="s">
        <v>15584</v>
      </c>
      <c r="K4909" t="s">
        <v>30862</v>
      </c>
      <c r="L4909" t="s">
        <v>30857</v>
      </c>
    </row>
    <row r="4910" spans="1:12" x14ac:dyDescent="0.25">
      <c r="A4910">
        <v>931448</v>
      </c>
      <c r="B4910">
        <v>1229574</v>
      </c>
      <c r="D4910" t="s">
        <v>28483</v>
      </c>
      <c r="E4910" t="s">
        <v>30864</v>
      </c>
      <c r="F4910" t="s">
        <v>30865</v>
      </c>
      <c r="G4910" t="s">
        <v>30866</v>
      </c>
      <c r="H4910" t="e" vm="2139">
        <f>_FV(0,"029559702673509953")</f>
        <v>#VALUE!</v>
      </c>
      <c r="I4910" t="s">
        <v>30867</v>
      </c>
      <c r="J4910" t="s">
        <v>30868</v>
      </c>
      <c r="K4910" t="s">
        <v>30869</v>
      </c>
      <c r="L4910" t="s">
        <v>30863</v>
      </c>
    </row>
    <row r="4911" spans="1:12" x14ac:dyDescent="0.25">
      <c r="A4911">
        <v>931474</v>
      </c>
      <c r="B4911">
        <v>1229633</v>
      </c>
      <c r="D4911" t="s">
        <v>26325</v>
      </c>
      <c r="E4911" t="s">
        <v>30871</v>
      </c>
      <c r="F4911" t="s">
        <v>30872</v>
      </c>
      <c r="G4911" t="s">
        <v>30873</v>
      </c>
      <c r="H4911" t="e" vm="2140">
        <f>_FV(0,"029670948851519816")</f>
        <v>#VALUE!</v>
      </c>
      <c r="I4911" t="s">
        <v>30874</v>
      </c>
      <c r="J4911" t="s">
        <v>30875</v>
      </c>
      <c r="K4911" t="s">
        <v>30876</v>
      </c>
      <c r="L4911" t="s">
        <v>30870</v>
      </c>
    </row>
    <row r="4912" spans="1:12" x14ac:dyDescent="0.25">
      <c r="A4912">
        <v>931480</v>
      </c>
      <c r="B4912">
        <v>1143943</v>
      </c>
      <c r="D4912" t="s">
        <v>23823</v>
      </c>
      <c r="E4912" t="s">
        <v>30878</v>
      </c>
      <c r="F4912" t="s">
        <v>30879</v>
      </c>
      <c r="G4912" t="s">
        <v>30880</v>
      </c>
      <c r="H4912" t="e" vm="2141">
        <f>_FV(0,"006207791845028763")</f>
        <v>#VALUE!</v>
      </c>
      <c r="I4912" t="s">
        <v>30881</v>
      </c>
      <c r="J4912" t="s">
        <v>30882</v>
      </c>
      <c r="K4912" t="s">
        <v>30883</v>
      </c>
      <c r="L4912" t="s">
        <v>30877</v>
      </c>
    </row>
    <row r="4913" spans="1:12" x14ac:dyDescent="0.25">
      <c r="A4913">
        <v>931480</v>
      </c>
      <c r="B4913">
        <v>1148963</v>
      </c>
      <c r="C4913" t="s">
        <v>30885</v>
      </c>
      <c r="D4913" t="s">
        <v>30886</v>
      </c>
      <c r="E4913" t="s">
        <v>30887</v>
      </c>
      <c r="F4913" t="s">
        <v>30888</v>
      </c>
      <c r="G4913" t="s">
        <v>30889</v>
      </c>
      <c r="H4913" t="e" vm="2142">
        <f>_FV(0,"00806730524091468")</f>
        <v>#VALUE!</v>
      </c>
      <c r="I4913" t="s">
        <v>30890</v>
      </c>
      <c r="J4913" t="s">
        <v>30891</v>
      </c>
      <c r="K4913" t="s">
        <v>30892</v>
      </c>
      <c r="L4913" t="s">
        <v>30884</v>
      </c>
    </row>
    <row r="4914" spans="1:12" x14ac:dyDescent="0.25">
      <c r="A4914">
        <v>931489</v>
      </c>
      <c r="B4914">
        <v>932927</v>
      </c>
      <c r="D4914" t="s">
        <v>9879</v>
      </c>
      <c r="E4914" t="s">
        <v>30894</v>
      </c>
      <c r="F4914" t="s">
        <v>30895</v>
      </c>
      <c r="G4914" t="s">
        <v>30896</v>
      </c>
      <c r="H4914" t="s">
        <v>30897</v>
      </c>
      <c r="I4914" t="s">
        <v>30898</v>
      </c>
      <c r="J4914" t="s">
        <v>30899</v>
      </c>
      <c r="K4914" t="s">
        <v>30900</v>
      </c>
      <c r="L4914" t="s">
        <v>30893</v>
      </c>
    </row>
    <row r="4915" spans="1:12" x14ac:dyDescent="0.25">
      <c r="A4915">
        <v>931489</v>
      </c>
      <c r="B4915">
        <v>932621</v>
      </c>
      <c r="D4915" t="s">
        <v>30902</v>
      </c>
      <c r="E4915" t="s">
        <v>30903</v>
      </c>
      <c r="F4915" t="s">
        <v>30904</v>
      </c>
      <c r="G4915" t="s">
        <v>30905</v>
      </c>
      <c r="H4915" t="e" vm="2143">
        <f>_FV(0,"00726533054245691")</f>
        <v>#VALUE!</v>
      </c>
      <c r="I4915" t="s">
        <v>30906</v>
      </c>
      <c r="J4915" t="s">
        <v>30907</v>
      </c>
      <c r="K4915" t="s">
        <v>30908</v>
      </c>
      <c r="L4915" t="s">
        <v>30901</v>
      </c>
    </row>
    <row r="4916" spans="1:12" x14ac:dyDescent="0.25">
      <c r="A4916">
        <v>931889</v>
      </c>
      <c r="B4916">
        <v>932076</v>
      </c>
      <c r="D4916">
        <v>0</v>
      </c>
      <c r="F4916">
        <v>968563</v>
      </c>
      <c r="G4916">
        <v>932076</v>
      </c>
      <c r="H4916" t="s">
        <v>226</v>
      </c>
      <c r="I4916">
        <v>931889</v>
      </c>
      <c r="J4916" t="s">
        <v>226</v>
      </c>
      <c r="K4916" t="s">
        <v>30909</v>
      </c>
      <c r="L4916" t="s">
        <v>226</v>
      </c>
    </row>
    <row r="4917" spans="1:12" x14ac:dyDescent="0.25">
      <c r="A4917">
        <v>931902</v>
      </c>
      <c r="B4917">
        <v>932109</v>
      </c>
      <c r="D4917">
        <v>0</v>
      </c>
      <c r="E4917" t="s">
        <v>30911</v>
      </c>
      <c r="F4917" t="s">
        <v>30912</v>
      </c>
      <c r="G4917" t="s">
        <v>30913</v>
      </c>
      <c r="H4917" t="s">
        <v>30914</v>
      </c>
      <c r="I4917" t="s">
        <v>30915</v>
      </c>
      <c r="J4917" t="s">
        <v>3463</v>
      </c>
      <c r="K4917" t="s">
        <v>30916</v>
      </c>
      <c r="L4917" t="s">
        <v>30910</v>
      </c>
    </row>
    <row r="4918" spans="1:12" x14ac:dyDescent="0.25">
      <c r="A4918">
        <v>932076</v>
      </c>
      <c r="B4918">
        <v>932272</v>
      </c>
      <c r="D4918" t="s">
        <v>330</v>
      </c>
      <c r="E4918" t="s">
        <v>30918</v>
      </c>
      <c r="F4918" t="s">
        <v>30919</v>
      </c>
      <c r="G4918" t="s">
        <v>30920</v>
      </c>
      <c r="H4918" t="s">
        <v>30921</v>
      </c>
      <c r="I4918" t="s">
        <v>30922</v>
      </c>
      <c r="J4918" t="s">
        <v>30923</v>
      </c>
      <c r="K4918" t="s">
        <v>30924</v>
      </c>
      <c r="L4918" t="s">
        <v>30917</v>
      </c>
    </row>
    <row r="4919" spans="1:12" x14ac:dyDescent="0.25">
      <c r="A4919">
        <v>932109</v>
      </c>
      <c r="B4919">
        <v>938346</v>
      </c>
      <c r="D4919">
        <v>0</v>
      </c>
      <c r="E4919" t="s">
        <v>30926</v>
      </c>
      <c r="F4919" t="s">
        <v>30927</v>
      </c>
      <c r="G4919" t="s">
        <v>30928</v>
      </c>
      <c r="H4919" t="s">
        <v>30929</v>
      </c>
      <c r="I4919" t="s">
        <v>30930</v>
      </c>
      <c r="J4919" t="s">
        <v>30925</v>
      </c>
      <c r="K4919" t="s">
        <v>30931</v>
      </c>
      <c r="L4919" t="s">
        <v>30925</v>
      </c>
    </row>
    <row r="4920" spans="1:12" x14ac:dyDescent="0.25">
      <c r="A4920">
        <v>932109</v>
      </c>
      <c r="B4920">
        <v>932283</v>
      </c>
      <c r="D4920" t="s">
        <v>204</v>
      </c>
      <c r="E4920" t="s">
        <v>30933</v>
      </c>
      <c r="F4920" t="s">
        <v>30934</v>
      </c>
      <c r="G4920" t="s">
        <v>30935</v>
      </c>
      <c r="H4920" t="s">
        <v>30936</v>
      </c>
      <c r="I4920" t="s">
        <v>30937</v>
      </c>
      <c r="J4920" t="s">
        <v>30938</v>
      </c>
      <c r="K4920" t="s">
        <v>30939</v>
      </c>
      <c r="L4920" t="s">
        <v>30932</v>
      </c>
    </row>
    <row r="4921" spans="1:12" x14ac:dyDescent="0.25">
      <c r="A4921">
        <v>932132</v>
      </c>
      <c r="B4921">
        <v>932143</v>
      </c>
      <c r="D4921">
        <v>0</v>
      </c>
      <c r="E4921" t="s">
        <v>30941</v>
      </c>
      <c r="F4921" t="s">
        <v>30942</v>
      </c>
      <c r="G4921" t="s">
        <v>30943</v>
      </c>
      <c r="H4921" t="s">
        <v>30944</v>
      </c>
      <c r="I4921" t="s">
        <v>30945</v>
      </c>
      <c r="J4921" t="s">
        <v>30946</v>
      </c>
      <c r="K4921" t="s">
        <v>30947</v>
      </c>
      <c r="L4921" t="s">
        <v>30940</v>
      </c>
    </row>
    <row r="4922" spans="1:12" x14ac:dyDescent="0.25">
      <c r="A4922">
        <v>932132</v>
      </c>
      <c r="B4922">
        <v>932197</v>
      </c>
      <c r="D4922">
        <v>0</v>
      </c>
      <c r="E4922" t="s">
        <v>30949</v>
      </c>
      <c r="F4922" t="s">
        <v>30950</v>
      </c>
      <c r="G4922" t="s">
        <v>30951</v>
      </c>
      <c r="H4922" t="s">
        <v>30952</v>
      </c>
      <c r="I4922" t="s">
        <v>30953</v>
      </c>
      <c r="J4922" t="s">
        <v>30948</v>
      </c>
      <c r="K4922" t="s">
        <v>30954</v>
      </c>
      <c r="L4922" t="s">
        <v>30948</v>
      </c>
    </row>
    <row r="4923" spans="1:12" x14ac:dyDescent="0.25">
      <c r="A4923">
        <v>932142</v>
      </c>
      <c r="B4923">
        <v>932150</v>
      </c>
      <c r="D4923">
        <v>0</v>
      </c>
      <c r="E4923" t="s">
        <v>30956</v>
      </c>
      <c r="F4923" t="s">
        <v>30957</v>
      </c>
      <c r="G4923" t="s">
        <v>30958</v>
      </c>
      <c r="H4923" t="e" vm="2144">
        <f>_FV(0,"006024505936815961")</f>
        <v>#VALUE!</v>
      </c>
      <c r="I4923" t="s">
        <v>30959</v>
      </c>
      <c r="J4923" t="s">
        <v>30960</v>
      </c>
      <c r="K4923" t="s">
        <v>30961</v>
      </c>
      <c r="L4923" t="s">
        <v>30955</v>
      </c>
    </row>
    <row r="4924" spans="1:12" x14ac:dyDescent="0.25">
      <c r="A4924">
        <v>932142</v>
      </c>
      <c r="B4924">
        <v>932313</v>
      </c>
      <c r="D4924">
        <v>0</v>
      </c>
      <c r="E4924" t="s">
        <v>30963</v>
      </c>
      <c r="F4924" t="s">
        <v>30964</v>
      </c>
      <c r="G4924" t="s">
        <v>30965</v>
      </c>
      <c r="H4924" t="s">
        <v>30966</v>
      </c>
      <c r="I4924" t="s">
        <v>30967</v>
      </c>
      <c r="J4924" t="s">
        <v>1333</v>
      </c>
      <c r="K4924" t="s">
        <v>30968</v>
      </c>
      <c r="L4924" t="s">
        <v>30962</v>
      </c>
    </row>
    <row r="4925" spans="1:12" x14ac:dyDescent="0.25">
      <c r="A4925">
        <v>932142</v>
      </c>
      <c r="B4925">
        <v>932162</v>
      </c>
      <c r="D4925">
        <v>0</v>
      </c>
      <c r="E4925" t="s">
        <v>30970</v>
      </c>
      <c r="F4925" t="s">
        <v>30971</v>
      </c>
      <c r="G4925" t="s">
        <v>30972</v>
      </c>
      <c r="H4925" t="s">
        <v>30973</v>
      </c>
      <c r="I4925" t="s">
        <v>30974</v>
      </c>
      <c r="J4925" t="s">
        <v>30969</v>
      </c>
      <c r="K4925" t="s">
        <v>30975</v>
      </c>
      <c r="L4925" t="s">
        <v>30969</v>
      </c>
    </row>
    <row r="4926" spans="1:12" x14ac:dyDescent="0.25">
      <c r="A4926">
        <v>932143</v>
      </c>
      <c r="B4926">
        <v>932197</v>
      </c>
      <c r="D4926">
        <v>0</v>
      </c>
      <c r="E4926" t="s">
        <v>30977</v>
      </c>
      <c r="F4926" t="s">
        <v>30978</v>
      </c>
      <c r="G4926" t="s">
        <v>30979</v>
      </c>
      <c r="H4926" t="e" vm="2145">
        <f>_FV(0,"006097059830978518")</f>
        <v>#VALUE!</v>
      </c>
      <c r="I4926" t="s">
        <v>30980</v>
      </c>
      <c r="J4926" t="s">
        <v>30981</v>
      </c>
      <c r="K4926" t="s">
        <v>30982</v>
      </c>
      <c r="L4926" t="s">
        <v>30976</v>
      </c>
    </row>
    <row r="4927" spans="1:12" x14ac:dyDescent="0.25">
      <c r="A4927">
        <v>932150</v>
      </c>
      <c r="B4927">
        <v>932154</v>
      </c>
      <c r="D4927">
        <v>0</v>
      </c>
      <c r="F4927">
        <v>968682</v>
      </c>
      <c r="G4927">
        <v>932154</v>
      </c>
      <c r="H4927" t="e" vm="12">
        <f>_FV(0,"005")</f>
        <v>#VALUE!</v>
      </c>
      <c r="I4927">
        <v>932150</v>
      </c>
      <c r="J4927" t="s">
        <v>194</v>
      </c>
      <c r="K4927" t="s">
        <v>30983</v>
      </c>
      <c r="L4927" t="e" vm="12">
        <f>_FV(0,"005")</f>
        <v>#VALUE!</v>
      </c>
    </row>
    <row r="4928" spans="1:12" x14ac:dyDescent="0.25">
      <c r="A4928">
        <v>932150</v>
      </c>
      <c r="B4928">
        <v>932313</v>
      </c>
      <c r="D4928">
        <v>0</v>
      </c>
      <c r="E4928" t="s">
        <v>30984</v>
      </c>
      <c r="F4928" t="s">
        <v>30985</v>
      </c>
      <c r="G4928" t="s">
        <v>30986</v>
      </c>
      <c r="H4928" t="s">
        <v>30987</v>
      </c>
      <c r="I4928" t="s">
        <v>30988</v>
      </c>
      <c r="J4928" t="s">
        <v>30469</v>
      </c>
      <c r="K4928" t="s">
        <v>30989</v>
      </c>
      <c r="L4928" t="s">
        <v>30469</v>
      </c>
    </row>
    <row r="4929" spans="1:12" x14ac:dyDescent="0.25">
      <c r="A4929">
        <v>932154</v>
      </c>
      <c r="B4929">
        <v>932162</v>
      </c>
      <c r="D4929">
        <v>0</v>
      </c>
      <c r="F4929">
        <v>968690</v>
      </c>
      <c r="G4929">
        <v>932162</v>
      </c>
      <c r="H4929" t="e" vm="201">
        <f>_FV(0,"002")</f>
        <v>#VALUE!</v>
      </c>
      <c r="I4929">
        <v>932154</v>
      </c>
      <c r="J4929" t="s">
        <v>1534</v>
      </c>
      <c r="K4929" t="s">
        <v>30990</v>
      </c>
      <c r="L4929" t="e" vm="201">
        <f>_FV(0,"002")</f>
        <v>#VALUE!</v>
      </c>
    </row>
    <row r="4930" spans="1:12" x14ac:dyDescent="0.25">
      <c r="A4930">
        <v>932154</v>
      </c>
      <c r="B4930">
        <v>932283</v>
      </c>
      <c r="D4930">
        <v>0</v>
      </c>
      <c r="E4930" t="s">
        <v>30992</v>
      </c>
      <c r="F4930" t="s">
        <v>30993</v>
      </c>
      <c r="G4930" t="s">
        <v>30994</v>
      </c>
      <c r="H4930" t="s">
        <v>30995</v>
      </c>
      <c r="I4930" t="s">
        <v>30996</v>
      </c>
      <c r="J4930" t="s">
        <v>30997</v>
      </c>
      <c r="K4930" t="s">
        <v>30998</v>
      </c>
      <c r="L4930" t="s">
        <v>30991</v>
      </c>
    </row>
    <row r="4931" spans="1:12" x14ac:dyDescent="0.25">
      <c r="A4931">
        <v>932162</v>
      </c>
      <c r="B4931">
        <v>932479</v>
      </c>
      <c r="D4931" t="s">
        <v>15313</v>
      </c>
      <c r="E4931" t="s">
        <v>31000</v>
      </c>
      <c r="F4931" t="s">
        <v>31001</v>
      </c>
      <c r="G4931" t="s">
        <v>31002</v>
      </c>
      <c r="H4931" t="s">
        <v>31003</v>
      </c>
      <c r="I4931" t="s">
        <v>31004</v>
      </c>
      <c r="J4931" t="s">
        <v>31005</v>
      </c>
      <c r="K4931" t="s">
        <v>31006</v>
      </c>
      <c r="L4931" t="s">
        <v>30999</v>
      </c>
    </row>
    <row r="4932" spans="1:12" x14ac:dyDescent="0.25">
      <c r="A4932">
        <v>932176</v>
      </c>
      <c r="B4932">
        <v>932204</v>
      </c>
      <c r="D4932">
        <v>0</v>
      </c>
      <c r="E4932" t="s">
        <v>31008</v>
      </c>
      <c r="F4932" t="s">
        <v>31009</v>
      </c>
      <c r="G4932" t="s">
        <v>31010</v>
      </c>
      <c r="H4932" t="e" vm="2146">
        <f>_FV(0,"0020284203084628112")</f>
        <v>#VALUE!</v>
      </c>
      <c r="I4932" t="s">
        <v>31011</v>
      </c>
      <c r="J4932" t="s">
        <v>31012</v>
      </c>
      <c r="K4932" t="s">
        <v>31013</v>
      </c>
      <c r="L4932" t="s">
        <v>31007</v>
      </c>
    </row>
    <row r="4933" spans="1:12" x14ac:dyDescent="0.25">
      <c r="A4933">
        <v>932176</v>
      </c>
      <c r="B4933">
        <v>932219</v>
      </c>
      <c r="D4933">
        <v>0</v>
      </c>
      <c r="E4933" t="s">
        <v>31015</v>
      </c>
      <c r="F4933" t="s">
        <v>31016</v>
      </c>
      <c r="G4933" t="s">
        <v>31017</v>
      </c>
      <c r="H4933" t="s">
        <v>31018</v>
      </c>
      <c r="I4933" t="s">
        <v>31019</v>
      </c>
      <c r="J4933" t="s">
        <v>31014</v>
      </c>
      <c r="K4933" t="s">
        <v>31020</v>
      </c>
      <c r="L4933" t="s">
        <v>31014</v>
      </c>
    </row>
    <row r="4934" spans="1:12" x14ac:dyDescent="0.25">
      <c r="A4934">
        <v>932176</v>
      </c>
      <c r="B4934">
        <v>932365</v>
      </c>
      <c r="D4934">
        <v>0</v>
      </c>
      <c r="E4934" t="s">
        <v>31022</v>
      </c>
      <c r="F4934" t="s">
        <v>31023</v>
      </c>
      <c r="G4934" t="s">
        <v>31024</v>
      </c>
      <c r="H4934" t="s">
        <v>31025</v>
      </c>
      <c r="I4934" t="s">
        <v>31026</v>
      </c>
      <c r="J4934" t="s">
        <v>31021</v>
      </c>
      <c r="K4934" t="s">
        <v>31027</v>
      </c>
      <c r="L4934" t="s">
        <v>31021</v>
      </c>
    </row>
    <row r="4935" spans="1:12" x14ac:dyDescent="0.25">
      <c r="A4935">
        <v>932204</v>
      </c>
      <c r="B4935">
        <v>932208</v>
      </c>
      <c r="D4935">
        <v>0</v>
      </c>
      <c r="F4935">
        <v>968744</v>
      </c>
      <c r="G4935">
        <v>932208</v>
      </c>
      <c r="H4935" t="e" vm="131">
        <f>_FV(0,"012")</f>
        <v>#VALUE!</v>
      </c>
      <c r="I4935">
        <v>932204</v>
      </c>
      <c r="J4935" t="s">
        <v>1939</v>
      </c>
      <c r="K4935" t="s">
        <v>31028</v>
      </c>
      <c r="L4935" t="e" vm="131">
        <f>_FV(0,"012")</f>
        <v>#VALUE!</v>
      </c>
    </row>
    <row r="4936" spans="1:12" x14ac:dyDescent="0.25">
      <c r="A4936">
        <v>932204</v>
      </c>
      <c r="B4936">
        <v>938470</v>
      </c>
      <c r="D4936" t="s">
        <v>15313</v>
      </c>
      <c r="E4936" t="s">
        <v>31030</v>
      </c>
      <c r="F4936" t="s">
        <v>31031</v>
      </c>
      <c r="G4936" t="s">
        <v>31032</v>
      </c>
      <c r="H4936" t="s">
        <v>31033</v>
      </c>
      <c r="I4936" t="s">
        <v>31034</v>
      </c>
      <c r="J4936" t="s">
        <v>31035</v>
      </c>
      <c r="K4936" t="s">
        <v>31036</v>
      </c>
      <c r="L4936" t="s">
        <v>31029</v>
      </c>
    </row>
    <row r="4937" spans="1:12" x14ac:dyDescent="0.25">
      <c r="A4937">
        <v>932208</v>
      </c>
      <c r="B4937">
        <v>932219</v>
      </c>
      <c r="D4937">
        <v>0</v>
      </c>
      <c r="F4937">
        <v>968756</v>
      </c>
      <c r="G4937">
        <v>932219</v>
      </c>
      <c r="H4937" t="s">
        <v>1534</v>
      </c>
      <c r="I4937">
        <v>932208</v>
      </c>
      <c r="J4937" t="s">
        <v>1534</v>
      </c>
      <c r="K4937" t="s">
        <v>31037</v>
      </c>
      <c r="L4937" t="s">
        <v>1534</v>
      </c>
    </row>
    <row r="4938" spans="1:12" x14ac:dyDescent="0.25">
      <c r="A4938">
        <v>932208</v>
      </c>
      <c r="B4938">
        <v>932272</v>
      </c>
      <c r="D4938">
        <v>0</v>
      </c>
      <c r="E4938" t="s">
        <v>31039</v>
      </c>
      <c r="F4938" t="s">
        <v>31040</v>
      </c>
      <c r="G4938" t="s">
        <v>31041</v>
      </c>
      <c r="H4938" t="e" vm="2147">
        <f>_FV(0,"0024322681439810953")</f>
        <v>#VALUE!</v>
      </c>
      <c r="I4938" t="s">
        <v>31042</v>
      </c>
      <c r="J4938" t="s">
        <v>31043</v>
      </c>
      <c r="K4938" t="s">
        <v>31044</v>
      </c>
      <c r="L4938" t="s">
        <v>31038</v>
      </c>
    </row>
    <row r="4939" spans="1:12" x14ac:dyDescent="0.25">
      <c r="A4939">
        <v>932219</v>
      </c>
      <c r="B4939">
        <v>932365</v>
      </c>
      <c r="D4939">
        <v>0</v>
      </c>
      <c r="E4939" t="s">
        <v>31046</v>
      </c>
      <c r="F4939" t="s">
        <v>31047</v>
      </c>
      <c r="G4939" t="s">
        <v>31048</v>
      </c>
      <c r="H4939" t="e" vm="2148">
        <f>_FV(0,"0052673250434116985")</f>
        <v>#VALUE!</v>
      </c>
      <c r="I4939" t="s">
        <v>31049</v>
      </c>
      <c r="J4939" t="s">
        <v>31050</v>
      </c>
      <c r="K4939" t="s">
        <v>31051</v>
      </c>
      <c r="L4939" t="s">
        <v>31045</v>
      </c>
    </row>
    <row r="4940" spans="1:12" x14ac:dyDescent="0.25">
      <c r="A4940">
        <v>932272</v>
      </c>
      <c r="B4940">
        <v>938470</v>
      </c>
      <c r="D4940" t="s">
        <v>1972</v>
      </c>
      <c r="E4940" t="s">
        <v>31053</v>
      </c>
      <c r="F4940" t="s">
        <v>31054</v>
      </c>
      <c r="G4940" t="s">
        <v>31055</v>
      </c>
      <c r="H4940" t="s">
        <v>31056</v>
      </c>
      <c r="I4940" t="s">
        <v>31057</v>
      </c>
      <c r="J4940" t="s">
        <v>31058</v>
      </c>
      <c r="K4940" t="s">
        <v>31059</v>
      </c>
      <c r="L4940" t="s">
        <v>31052</v>
      </c>
    </row>
    <row r="4941" spans="1:12" x14ac:dyDescent="0.25">
      <c r="A4941">
        <v>932283</v>
      </c>
      <c r="B4941">
        <v>932479</v>
      </c>
      <c r="D4941" t="s">
        <v>1866</v>
      </c>
      <c r="E4941" t="s">
        <v>31061</v>
      </c>
      <c r="F4941" t="s">
        <v>31062</v>
      </c>
      <c r="G4941" t="s">
        <v>31063</v>
      </c>
      <c r="H4941" t="e" vm="2149">
        <f>_FV(0,"002286925462535486")</f>
        <v>#VALUE!</v>
      </c>
      <c r="I4941" t="s">
        <v>31064</v>
      </c>
      <c r="J4941" t="s">
        <v>31065</v>
      </c>
      <c r="K4941" t="s">
        <v>31066</v>
      </c>
      <c r="L4941" t="s">
        <v>31060</v>
      </c>
    </row>
    <row r="4942" spans="1:12" x14ac:dyDescent="0.25">
      <c r="A4942">
        <v>932313</v>
      </c>
      <c r="B4942">
        <v>932365</v>
      </c>
      <c r="D4942" t="s">
        <v>204</v>
      </c>
      <c r="E4942" t="s">
        <v>31068</v>
      </c>
      <c r="F4942" t="s">
        <v>31069</v>
      </c>
      <c r="G4942" t="s">
        <v>31070</v>
      </c>
      <c r="H4942" t="e" vm="2150">
        <f>_FV(0,"0013185525446766976")</f>
        <v>#VALUE!</v>
      </c>
      <c r="I4942" t="s">
        <v>31071</v>
      </c>
      <c r="J4942" t="s">
        <v>31072</v>
      </c>
      <c r="K4942" t="s">
        <v>31073</v>
      </c>
      <c r="L4942" t="s">
        <v>31067</v>
      </c>
    </row>
    <row r="4943" spans="1:12" x14ac:dyDescent="0.25">
      <c r="A4943">
        <v>932344</v>
      </c>
      <c r="B4943">
        <v>932372</v>
      </c>
      <c r="D4943">
        <v>0</v>
      </c>
      <c r="E4943" t="s">
        <v>31075</v>
      </c>
      <c r="F4943" t="s">
        <v>31076</v>
      </c>
      <c r="G4943" t="s">
        <v>31077</v>
      </c>
      <c r="H4943" t="e" vm="2151">
        <f>_FV(0,"024963846227615476")</f>
        <v>#VALUE!</v>
      </c>
      <c r="I4943" t="s">
        <v>31078</v>
      </c>
      <c r="J4943" t="s">
        <v>31079</v>
      </c>
      <c r="K4943" t="s">
        <v>31080</v>
      </c>
      <c r="L4943" t="s">
        <v>31074</v>
      </c>
    </row>
    <row r="4944" spans="1:12" x14ac:dyDescent="0.25">
      <c r="A4944">
        <v>932344</v>
      </c>
      <c r="B4944">
        <v>932372</v>
      </c>
      <c r="D4944">
        <v>0</v>
      </c>
      <c r="E4944" t="s">
        <v>31082</v>
      </c>
      <c r="F4944" t="s">
        <v>31083</v>
      </c>
      <c r="G4944" t="s">
        <v>31084</v>
      </c>
      <c r="H4944" t="e" vm="2152">
        <f>_FV(0,"024938007271661327")</f>
        <v>#VALUE!</v>
      </c>
      <c r="I4944" t="s">
        <v>31085</v>
      </c>
      <c r="J4944" t="s">
        <v>31086</v>
      </c>
      <c r="K4944" t="s">
        <v>31087</v>
      </c>
      <c r="L4944" t="s">
        <v>31081</v>
      </c>
    </row>
    <row r="4945" spans="1:12" x14ac:dyDescent="0.25">
      <c r="A4945">
        <v>932479</v>
      </c>
      <c r="B4945">
        <v>938857</v>
      </c>
      <c r="C4945" t="s">
        <v>31089</v>
      </c>
      <c r="D4945">
        <v>0</v>
      </c>
      <c r="E4945" t="s">
        <v>31090</v>
      </c>
      <c r="F4945" t="s">
        <v>31091</v>
      </c>
      <c r="G4945" t="s">
        <v>31092</v>
      </c>
      <c r="H4945" t="s">
        <v>31093</v>
      </c>
      <c r="I4945" t="s">
        <v>31094</v>
      </c>
      <c r="J4945" t="s">
        <v>31095</v>
      </c>
      <c r="K4945" t="s">
        <v>31096</v>
      </c>
      <c r="L4945" t="s">
        <v>31088</v>
      </c>
    </row>
    <row r="4946" spans="1:12" x14ac:dyDescent="0.25">
      <c r="A4946">
        <v>932541</v>
      </c>
      <c r="B4946">
        <v>1161274</v>
      </c>
      <c r="D4946">
        <v>0</v>
      </c>
      <c r="F4946">
        <v>1240692</v>
      </c>
      <c r="G4946">
        <v>1161274</v>
      </c>
      <c r="H4946" t="s">
        <v>1939</v>
      </c>
      <c r="I4946">
        <v>932541</v>
      </c>
      <c r="J4946" t="s">
        <v>1939</v>
      </c>
      <c r="K4946" t="s">
        <v>31097</v>
      </c>
      <c r="L4946" t="s">
        <v>1939</v>
      </c>
    </row>
    <row r="4947" spans="1:12" x14ac:dyDescent="0.25">
      <c r="A4947">
        <v>932541</v>
      </c>
      <c r="B4947">
        <v>1059644</v>
      </c>
      <c r="D4947" t="s">
        <v>31099</v>
      </c>
      <c r="E4947" t="s">
        <v>31100</v>
      </c>
      <c r="F4947" t="s">
        <v>31101</v>
      </c>
      <c r="G4947" t="s">
        <v>31102</v>
      </c>
      <c r="H4947" t="s">
        <v>31103</v>
      </c>
      <c r="I4947" t="s">
        <v>31104</v>
      </c>
      <c r="J4947" t="s">
        <v>31098</v>
      </c>
      <c r="K4947" t="s">
        <v>31105</v>
      </c>
      <c r="L4947" t="s">
        <v>31098</v>
      </c>
    </row>
    <row r="4948" spans="1:12" x14ac:dyDescent="0.25">
      <c r="A4948">
        <v>932541</v>
      </c>
      <c r="B4948">
        <v>1834993</v>
      </c>
      <c r="D4948">
        <v>0</v>
      </c>
      <c r="E4948" t="s">
        <v>31107</v>
      </c>
      <c r="F4948" t="s">
        <v>31108</v>
      </c>
      <c r="G4948" t="s">
        <v>31109</v>
      </c>
      <c r="H4948" t="e" vm="2153">
        <f>_FV(0,"0006474072024310275")</f>
        <v>#VALUE!</v>
      </c>
      <c r="I4948" t="s">
        <v>31110</v>
      </c>
      <c r="J4948" t="s">
        <v>31111</v>
      </c>
      <c r="K4948" t="s">
        <v>31112</v>
      </c>
      <c r="L4948" t="s">
        <v>31106</v>
      </c>
    </row>
    <row r="4949" spans="1:12" x14ac:dyDescent="0.25">
      <c r="A4949">
        <v>932621</v>
      </c>
      <c r="B4949">
        <v>1148954</v>
      </c>
      <c r="D4949">
        <v>0</v>
      </c>
      <c r="E4949" t="s">
        <v>31114</v>
      </c>
      <c r="F4949" t="s">
        <v>31115</v>
      </c>
      <c r="G4949" t="s">
        <v>31116</v>
      </c>
      <c r="H4949" t="s">
        <v>31117</v>
      </c>
      <c r="I4949" t="s">
        <v>31118</v>
      </c>
      <c r="J4949" t="s">
        <v>31113</v>
      </c>
      <c r="K4949" t="s">
        <v>31119</v>
      </c>
      <c r="L4949" t="s">
        <v>31113</v>
      </c>
    </row>
    <row r="4950" spans="1:12" x14ac:dyDescent="0.25">
      <c r="A4950">
        <v>932927</v>
      </c>
      <c r="B4950">
        <v>933039</v>
      </c>
      <c r="C4950" t="s">
        <v>31121</v>
      </c>
      <c r="D4950" t="s">
        <v>31122</v>
      </c>
      <c r="E4950" t="s">
        <v>31123</v>
      </c>
      <c r="F4950" t="s">
        <v>31124</v>
      </c>
      <c r="G4950" t="s">
        <v>31125</v>
      </c>
      <c r="H4950" t="s">
        <v>31126</v>
      </c>
      <c r="I4950" t="s">
        <v>31127</v>
      </c>
      <c r="J4950" t="s">
        <v>31128</v>
      </c>
      <c r="K4950" t="s">
        <v>31129</v>
      </c>
      <c r="L4950" t="s">
        <v>31120</v>
      </c>
    </row>
    <row r="4951" spans="1:12" x14ac:dyDescent="0.25">
      <c r="A4951">
        <v>933039</v>
      </c>
      <c r="B4951">
        <v>933110</v>
      </c>
      <c r="D4951">
        <v>0</v>
      </c>
      <c r="E4951" t="s">
        <v>31131</v>
      </c>
      <c r="F4951" t="s">
        <v>31132</v>
      </c>
      <c r="G4951" t="s">
        <v>31133</v>
      </c>
      <c r="H4951" t="e" vm="2154">
        <f>_FV(0,"005121738839427688")</f>
        <v>#VALUE!</v>
      </c>
      <c r="I4951" t="s">
        <v>31134</v>
      </c>
      <c r="J4951" t="s">
        <v>31135</v>
      </c>
      <c r="K4951" t="s">
        <v>31136</v>
      </c>
      <c r="L4951" t="s">
        <v>31130</v>
      </c>
    </row>
    <row r="4952" spans="1:12" x14ac:dyDescent="0.25">
      <c r="A4952">
        <v>933110</v>
      </c>
      <c r="B4952">
        <v>933231</v>
      </c>
      <c r="D4952" t="s">
        <v>31138</v>
      </c>
      <c r="E4952" t="s">
        <v>31139</v>
      </c>
      <c r="F4952" t="s">
        <v>31140</v>
      </c>
      <c r="G4952" t="s">
        <v>31141</v>
      </c>
      <c r="H4952" t="e" vm="2155">
        <f>_FV(0,"016881815150201367")</f>
        <v>#VALUE!</v>
      </c>
      <c r="I4952" t="s">
        <v>31142</v>
      </c>
      <c r="J4952" t="s">
        <v>31143</v>
      </c>
      <c r="K4952" t="s">
        <v>31144</v>
      </c>
      <c r="L4952" t="s">
        <v>31137</v>
      </c>
    </row>
    <row r="4953" spans="1:12" x14ac:dyDescent="0.25">
      <c r="A4953">
        <v>933231</v>
      </c>
      <c r="B4953">
        <v>933302</v>
      </c>
      <c r="D4953" t="s">
        <v>31146</v>
      </c>
      <c r="E4953" t="s">
        <v>31147</v>
      </c>
      <c r="F4953" t="s">
        <v>31148</v>
      </c>
      <c r="G4953" t="s">
        <v>31149</v>
      </c>
      <c r="H4953" t="s">
        <v>31150</v>
      </c>
      <c r="I4953" t="s">
        <v>31151</v>
      </c>
      <c r="J4953" t="s">
        <v>31152</v>
      </c>
      <c r="K4953" t="s">
        <v>31153</v>
      </c>
      <c r="L4953" t="s">
        <v>31145</v>
      </c>
    </row>
    <row r="4954" spans="1:12" x14ac:dyDescent="0.25">
      <c r="A4954">
        <v>935246</v>
      </c>
      <c r="B4954">
        <v>935300</v>
      </c>
      <c r="D4954">
        <v>0</v>
      </c>
      <c r="E4954" t="s">
        <v>31155</v>
      </c>
      <c r="F4954" t="s">
        <v>31156</v>
      </c>
      <c r="G4954" t="s">
        <v>31157</v>
      </c>
      <c r="H4954" t="s">
        <v>31158</v>
      </c>
      <c r="I4954" t="s">
        <v>31159</v>
      </c>
      <c r="J4954" t="s">
        <v>31160</v>
      </c>
      <c r="K4954" t="s">
        <v>31161</v>
      </c>
      <c r="L4954" t="s">
        <v>31154</v>
      </c>
    </row>
    <row r="4955" spans="1:12" x14ac:dyDescent="0.25">
      <c r="A4955">
        <v>935246</v>
      </c>
      <c r="B4955">
        <v>935300</v>
      </c>
      <c r="D4955">
        <v>0</v>
      </c>
      <c r="E4955" t="s">
        <v>31163</v>
      </c>
      <c r="F4955" t="s">
        <v>31164</v>
      </c>
      <c r="G4955" t="s">
        <v>31165</v>
      </c>
      <c r="H4955" t="s">
        <v>31166</v>
      </c>
      <c r="I4955" t="s">
        <v>31167</v>
      </c>
      <c r="J4955" t="s">
        <v>31168</v>
      </c>
      <c r="K4955" t="s">
        <v>31169</v>
      </c>
      <c r="L4955" t="s">
        <v>31162</v>
      </c>
    </row>
    <row r="4956" spans="1:12" x14ac:dyDescent="0.25">
      <c r="A4956">
        <v>935246</v>
      </c>
      <c r="B4956">
        <v>1017300</v>
      </c>
      <c r="D4956">
        <v>0</v>
      </c>
      <c r="F4956">
        <v>1190664</v>
      </c>
      <c r="G4956">
        <v>935246</v>
      </c>
      <c r="H4956" t="s">
        <v>226</v>
      </c>
      <c r="I4956">
        <v>1017300</v>
      </c>
      <c r="J4956" t="s">
        <v>226</v>
      </c>
      <c r="K4956" t="s">
        <v>31170</v>
      </c>
      <c r="L4956" t="s">
        <v>226</v>
      </c>
    </row>
    <row r="4957" spans="1:12" x14ac:dyDescent="0.25">
      <c r="A4957">
        <v>935300</v>
      </c>
      <c r="B4957">
        <v>1017306</v>
      </c>
      <c r="D4957">
        <v>0</v>
      </c>
      <c r="E4957" t="s">
        <v>31172</v>
      </c>
      <c r="F4957" t="s">
        <v>31173</v>
      </c>
      <c r="G4957" t="s">
        <v>31174</v>
      </c>
      <c r="H4957" t="e" vm="2156">
        <f>_FV(0,"023471692617844382")</f>
        <v>#VALUE!</v>
      </c>
      <c r="I4957" t="s">
        <v>31175</v>
      </c>
      <c r="J4957" t="s">
        <v>31176</v>
      </c>
      <c r="K4957" t="s">
        <v>31177</v>
      </c>
      <c r="L4957" t="s">
        <v>31171</v>
      </c>
    </row>
    <row r="4958" spans="1:12" x14ac:dyDescent="0.25">
      <c r="A4958">
        <v>936107</v>
      </c>
      <c r="B4958">
        <v>936120</v>
      </c>
      <c r="C4958" t="s">
        <v>31178</v>
      </c>
      <c r="D4958">
        <v>0</v>
      </c>
      <c r="E4958" t="s">
        <v>31179</v>
      </c>
      <c r="F4958" t="s">
        <v>31180</v>
      </c>
      <c r="G4958" t="s">
        <v>31181</v>
      </c>
      <c r="H4958" t="s">
        <v>31182</v>
      </c>
      <c r="I4958" t="s">
        <v>31183</v>
      </c>
      <c r="J4958" t="s">
        <v>7556</v>
      </c>
      <c r="K4958" t="s">
        <v>31184</v>
      </c>
      <c r="L4958" t="s">
        <v>7556</v>
      </c>
    </row>
    <row r="4959" spans="1:12" x14ac:dyDescent="0.25">
      <c r="A4959">
        <v>936107</v>
      </c>
      <c r="B4959">
        <v>936141</v>
      </c>
      <c r="D4959">
        <v>0</v>
      </c>
      <c r="E4959" t="s">
        <v>31186</v>
      </c>
      <c r="F4959" t="s">
        <v>31187</v>
      </c>
      <c r="G4959" t="s">
        <v>31188</v>
      </c>
      <c r="H4959" t="s">
        <v>31189</v>
      </c>
      <c r="I4959" t="s">
        <v>31190</v>
      </c>
      <c r="J4959" t="s">
        <v>31185</v>
      </c>
      <c r="K4959" t="s">
        <v>31191</v>
      </c>
      <c r="L4959" t="s">
        <v>31185</v>
      </c>
    </row>
    <row r="4960" spans="1:12" x14ac:dyDescent="0.25">
      <c r="A4960">
        <v>936107</v>
      </c>
      <c r="B4960">
        <v>1854797</v>
      </c>
      <c r="C4960" t="s">
        <v>31192</v>
      </c>
      <c r="D4960">
        <v>0</v>
      </c>
      <c r="E4960" t="s">
        <v>31193</v>
      </c>
      <c r="H4960" t="s">
        <v>187</v>
      </c>
      <c r="J4960">
        <v>0</v>
      </c>
      <c r="K4960" t="s">
        <v>8601</v>
      </c>
      <c r="L4960">
        <v>0</v>
      </c>
    </row>
    <row r="4961" spans="1:12" x14ac:dyDescent="0.25">
      <c r="A4961">
        <v>936120</v>
      </c>
      <c r="B4961">
        <v>936154</v>
      </c>
      <c r="D4961">
        <v>0</v>
      </c>
      <c r="F4961">
        <v>973751</v>
      </c>
      <c r="G4961">
        <v>936154</v>
      </c>
      <c r="H4961" t="s">
        <v>688</v>
      </c>
      <c r="I4961">
        <v>936120</v>
      </c>
      <c r="J4961" t="s">
        <v>688</v>
      </c>
      <c r="K4961" t="s">
        <v>31194</v>
      </c>
      <c r="L4961" t="s">
        <v>688</v>
      </c>
    </row>
    <row r="4962" spans="1:12" x14ac:dyDescent="0.25">
      <c r="A4962">
        <v>936120</v>
      </c>
      <c r="B4962">
        <v>936141</v>
      </c>
      <c r="D4962">
        <v>0</v>
      </c>
      <c r="E4962" t="s">
        <v>31196</v>
      </c>
      <c r="F4962" t="s">
        <v>31197</v>
      </c>
      <c r="G4962" t="s">
        <v>31198</v>
      </c>
      <c r="H4962" t="s">
        <v>31199</v>
      </c>
      <c r="I4962" t="s">
        <v>31200</v>
      </c>
      <c r="J4962" t="s">
        <v>31195</v>
      </c>
      <c r="K4962" t="s">
        <v>31201</v>
      </c>
      <c r="L4962" t="s">
        <v>31195</v>
      </c>
    </row>
    <row r="4963" spans="1:12" x14ac:dyDescent="0.25">
      <c r="A4963">
        <v>936141</v>
      </c>
      <c r="B4963">
        <v>936166</v>
      </c>
      <c r="D4963">
        <v>0</v>
      </c>
      <c r="E4963" t="s">
        <v>31203</v>
      </c>
      <c r="F4963" t="s">
        <v>31204</v>
      </c>
      <c r="G4963" t="s">
        <v>31205</v>
      </c>
      <c r="H4963" t="e" vm="2157">
        <f>_FV(0,"022051183544862938")</f>
        <v>#VALUE!</v>
      </c>
      <c r="I4963" t="s">
        <v>31206</v>
      </c>
      <c r="J4963" t="s">
        <v>31207</v>
      </c>
      <c r="K4963" t="s">
        <v>31208</v>
      </c>
      <c r="L4963" t="s">
        <v>31202</v>
      </c>
    </row>
    <row r="4964" spans="1:12" x14ac:dyDescent="0.25">
      <c r="A4964">
        <v>936154</v>
      </c>
      <c r="B4964">
        <v>936166</v>
      </c>
      <c r="D4964">
        <v>0</v>
      </c>
      <c r="E4964" t="s">
        <v>31210</v>
      </c>
      <c r="F4964" t="s">
        <v>31211</v>
      </c>
      <c r="G4964" t="s">
        <v>31212</v>
      </c>
      <c r="H4964" t="s">
        <v>31213</v>
      </c>
      <c r="I4964" t="s">
        <v>31214</v>
      </c>
      <c r="J4964" t="s">
        <v>31209</v>
      </c>
      <c r="K4964" t="s">
        <v>31215</v>
      </c>
      <c r="L4964" t="s">
        <v>31209</v>
      </c>
    </row>
    <row r="4965" spans="1:12" x14ac:dyDescent="0.25">
      <c r="A4965">
        <v>936154</v>
      </c>
      <c r="B4965">
        <v>936216</v>
      </c>
      <c r="C4965" t="s">
        <v>31217</v>
      </c>
      <c r="D4965">
        <v>0</v>
      </c>
      <c r="E4965" t="s">
        <v>31218</v>
      </c>
      <c r="F4965" t="s">
        <v>31219</v>
      </c>
      <c r="G4965" t="s">
        <v>31220</v>
      </c>
      <c r="H4965" t="s">
        <v>31221</v>
      </c>
      <c r="I4965" t="s">
        <v>31222</v>
      </c>
      <c r="J4965" t="s">
        <v>31216</v>
      </c>
      <c r="K4965" t="s">
        <v>31223</v>
      </c>
      <c r="L4965" t="s">
        <v>31216</v>
      </c>
    </row>
    <row r="4966" spans="1:12" x14ac:dyDescent="0.25">
      <c r="A4966">
        <v>936166</v>
      </c>
      <c r="B4966">
        <v>936216</v>
      </c>
      <c r="D4966">
        <v>0</v>
      </c>
      <c r="E4966" t="s">
        <v>31225</v>
      </c>
      <c r="F4966" t="s">
        <v>31226</v>
      </c>
      <c r="G4966" t="s">
        <v>31227</v>
      </c>
      <c r="H4966" t="s">
        <v>31228</v>
      </c>
      <c r="I4966" t="s">
        <v>31229</v>
      </c>
      <c r="J4966" t="s">
        <v>31224</v>
      </c>
      <c r="K4966" t="s">
        <v>31230</v>
      </c>
      <c r="L4966" t="s">
        <v>31224</v>
      </c>
    </row>
    <row r="4967" spans="1:12" x14ac:dyDescent="0.25">
      <c r="A4967">
        <v>938346</v>
      </c>
      <c r="B4967">
        <v>938367</v>
      </c>
      <c r="D4967">
        <v>0</v>
      </c>
      <c r="E4967" t="s">
        <v>31232</v>
      </c>
      <c r="F4967" t="s">
        <v>31233</v>
      </c>
      <c r="G4967" t="s">
        <v>31234</v>
      </c>
      <c r="H4967" t="e" vm="2158">
        <f>_FV(0,"002448471040339347")</f>
        <v>#VALUE!</v>
      </c>
      <c r="I4967" t="s">
        <v>31235</v>
      </c>
      <c r="J4967" t="s">
        <v>31236</v>
      </c>
      <c r="K4967" t="s">
        <v>31237</v>
      </c>
      <c r="L4967" t="s">
        <v>31231</v>
      </c>
    </row>
    <row r="4968" spans="1:12" x14ac:dyDescent="0.25">
      <c r="A4968">
        <v>938470</v>
      </c>
      <c r="B4968">
        <v>938863</v>
      </c>
      <c r="D4968">
        <v>0</v>
      </c>
      <c r="E4968" t="s">
        <v>31239</v>
      </c>
      <c r="F4968" t="s">
        <v>31240</v>
      </c>
      <c r="G4968" t="s">
        <v>31241</v>
      </c>
      <c r="H4968" t="s">
        <v>31242</v>
      </c>
      <c r="I4968" t="s">
        <v>31243</v>
      </c>
      <c r="J4968" t="s">
        <v>31244</v>
      </c>
      <c r="K4968" t="s">
        <v>31245</v>
      </c>
      <c r="L4968" t="s">
        <v>31238</v>
      </c>
    </row>
    <row r="4969" spans="1:12" x14ac:dyDescent="0.25">
      <c r="A4969">
        <v>938601</v>
      </c>
      <c r="B4969">
        <v>938613</v>
      </c>
      <c r="D4969">
        <v>0</v>
      </c>
      <c r="E4969" t="s">
        <v>31246</v>
      </c>
      <c r="F4969" t="s">
        <v>31247</v>
      </c>
      <c r="G4969" t="s">
        <v>31248</v>
      </c>
      <c r="H4969" t="s">
        <v>1629</v>
      </c>
      <c r="I4969" t="s">
        <v>31249</v>
      </c>
      <c r="J4969" t="s">
        <v>1629</v>
      </c>
      <c r="K4969" t="s">
        <v>31250</v>
      </c>
      <c r="L4969" t="s">
        <v>1629</v>
      </c>
    </row>
    <row r="4970" spans="1:12" x14ac:dyDescent="0.25">
      <c r="A4970">
        <v>938601</v>
      </c>
      <c r="B4970">
        <v>938882</v>
      </c>
      <c r="D4970">
        <v>0</v>
      </c>
      <c r="E4970" t="s">
        <v>31252</v>
      </c>
      <c r="F4970" t="s">
        <v>31253</v>
      </c>
      <c r="G4970" t="s">
        <v>31254</v>
      </c>
      <c r="H4970" t="e" vm="2159">
        <f>_FV(0,"025537542097771586")</f>
        <v>#VALUE!</v>
      </c>
      <c r="I4970" t="s">
        <v>31255</v>
      </c>
      <c r="J4970" t="s">
        <v>31256</v>
      </c>
      <c r="K4970" t="s">
        <v>31257</v>
      </c>
      <c r="L4970" t="s">
        <v>31251</v>
      </c>
    </row>
    <row r="4971" spans="1:12" x14ac:dyDescent="0.25">
      <c r="A4971">
        <v>938601</v>
      </c>
      <c r="B4971">
        <v>938628</v>
      </c>
      <c r="D4971">
        <v>0</v>
      </c>
      <c r="E4971" t="s">
        <v>31259</v>
      </c>
      <c r="F4971" t="s">
        <v>31260</v>
      </c>
      <c r="G4971" t="s">
        <v>31261</v>
      </c>
      <c r="H4971" t="e" vm="2160">
        <f>_FV(0,"017021354209813072")</f>
        <v>#VALUE!</v>
      </c>
      <c r="I4971" t="s">
        <v>31262</v>
      </c>
      <c r="J4971" t="s">
        <v>31263</v>
      </c>
      <c r="K4971" t="s">
        <v>31264</v>
      </c>
      <c r="L4971" t="s">
        <v>31258</v>
      </c>
    </row>
    <row r="4972" spans="1:12" x14ac:dyDescent="0.25">
      <c r="A4972">
        <v>938613</v>
      </c>
      <c r="B4972">
        <v>938617</v>
      </c>
      <c r="D4972">
        <v>0</v>
      </c>
      <c r="F4972">
        <v>976680</v>
      </c>
      <c r="G4972">
        <v>938617</v>
      </c>
      <c r="H4972" t="s">
        <v>899</v>
      </c>
      <c r="I4972">
        <v>938613</v>
      </c>
      <c r="J4972" t="s">
        <v>899</v>
      </c>
      <c r="K4972" t="s">
        <v>31265</v>
      </c>
      <c r="L4972" t="s">
        <v>899</v>
      </c>
    </row>
    <row r="4973" spans="1:12" x14ac:dyDescent="0.25">
      <c r="A4973">
        <v>938613</v>
      </c>
      <c r="B4973">
        <v>938882</v>
      </c>
      <c r="D4973">
        <v>0</v>
      </c>
      <c r="E4973" t="s">
        <v>31267</v>
      </c>
      <c r="F4973" t="s">
        <v>31268</v>
      </c>
      <c r="G4973" t="s">
        <v>31269</v>
      </c>
      <c r="H4973" t="e" vm="2161">
        <f>_FV(0,"0395232109646302")</f>
        <v>#VALUE!</v>
      </c>
      <c r="I4973" t="s">
        <v>31270</v>
      </c>
      <c r="J4973" t="s">
        <v>31271</v>
      </c>
      <c r="K4973" t="s">
        <v>31272</v>
      </c>
      <c r="L4973" t="s">
        <v>31266</v>
      </c>
    </row>
    <row r="4974" spans="1:12" x14ac:dyDescent="0.25">
      <c r="A4974">
        <v>938617</v>
      </c>
      <c r="B4974">
        <v>938628</v>
      </c>
      <c r="D4974">
        <v>0</v>
      </c>
      <c r="F4974">
        <v>976691</v>
      </c>
      <c r="G4974">
        <v>938628</v>
      </c>
      <c r="H4974" t="s">
        <v>899</v>
      </c>
      <c r="I4974">
        <v>938617</v>
      </c>
      <c r="J4974" t="s">
        <v>899</v>
      </c>
      <c r="K4974" t="s">
        <v>31273</v>
      </c>
      <c r="L4974" t="s">
        <v>899</v>
      </c>
    </row>
    <row r="4975" spans="1:12" x14ac:dyDescent="0.25">
      <c r="A4975">
        <v>938617</v>
      </c>
      <c r="B4975">
        <v>938857</v>
      </c>
      <c r="D4975">
        <v>0</v>
      </c>
      <c r="E4975" t="s">
        <v>31275</v>
      </c>
      <c r="F4975" t="s">
        <v>31276</v>
      </c>
      <c r="G4975" t="s">
        <v>31277</v>
      </c>
      <c r="H4975" t="e" vm="2162">
        <f>_FV(0,"014410732002544347")</f>
        <v>#VALUE!</v>
      </c>
      <c r="I4975" t="s">
        <v>31278</v>
      </c>
      <c r="J4975" t="s">
        <v>31279</v>
      </c>
      <c r="K4975" t="s">
        <v>31280</v>
      </c>
      <c r="L4975" t="s">
        <v>31274</v>
      </c>
    </row>
    <row r="4976" spans="1:12" x14ac:dyDescent="0.25">
      <c r="A4976">
        <v>938628</v>
      </c>
      <c r="B4976">
        <v>938917</v>
      </c>
      <c r="D4976">
        <v>0</v>
      </c>
      <c r="E4976" t="s">
        <v>31282</v>
      </c>
      <c r="F4976" t="s">
        <v>31283</v>
      </c>
      <c r="G4976" t="s">
        <v>31284</v>
      </c>
      <c r="H4976" t="s">
        <v>31285</v>
      </c>
      <c r="I4976" t="s">
        <v>31286</v>
      </c>
      <c r="J4976" t="s">
        <v>31287</v>
      </c>
      <c r="K4976" t="s">
        <v>31288</v>
      </c>
      <c r="L4976" t="s">
        <v>31281</v>
      </c>
    </row>
    <row r="4977" spans="1:12" x14ac:dyDescent="0.25">
      <c r="A4977">
        <v>938655</v>
      </c>
      <c r="B4977">
        <v>938693</v>
      </c>
      <c r="D4977">
        <v>0</v>
      </c>
      <c r="E4977" t="s">
        <v>31290</v>
      </c>
      <c r="F4977" t="s">
        <v>31291</v>
      </c>
      <c r="G4977" t="s">
        <v>31292</v>
      </c>
      <c r="H4977" t="e" vm="2163">
        <f>_FV(0,"010421611553091905")</f>
        <v>#VALUE!</v>
      </c>
      <c r="I4977" t="s">
        <v>31293</v>
      </c>
      <c r="J4977" t="s">
        <v>31294</v>
      </c>
      <c r="K4977" t="s">
        <v>31295</v>
      </c>
      <c r="L4977" t="s">
        <v>31289</v>
      </c>
    </row>
    <row r="4978" spans="1:12" x14ac:dyDescent="0.25">
      <c r="A4978">
        <v>938655</v>
      </c>
      <c r="B4978">
        <v>938710</v>
      </c>
      <c r="D4978">
        <v>0</v>
      </c>
      <c r="E4978" t="s">
        <v>31297</v>
      </c>
      <c r="F4978" t="s">
        <v>31298</v>
      </c>
      <c r="G4978" t="s">
        <v>31299</v>
      </c>
      <c r="H4978" t="s">
        <v>31300</v>
      </c>
      <c r="I4978" t="s">
        <v>31301</v>
      </c>
      <c r="J4978" t="s">
        <v>31302</v>
      </c>
      <c r="K4978" t="s">
        <v>31303</v>
      </c>
      <c r="L4978" t="s">
        <v>31296</v>
      </c>
    </row>
    <row r="4979" spans="1:12" x14ac:dyDescent="0.25">
      <c r="A4979">
        <v>938655</v>
      </c>
      <c r="B4979">
        <v>938901</v>
      </c>
      <c r="D4979">
        <v>0</v>
      </c>
      <c r="E4979" t="s">
        <v>31305</v>
      </c>
      <c r="F4979" t="s">
        <v>31306</v>
      </c>
      <c r="G4979" t="s">
        <v>31307</v>
      </c>
      <c r="H4979" t="e" vm="2164">
        <f>_FV(0,"02300875302144433")</f>
        <v>#VALUE!</v>
      </c>
      <c r="I4979" t="s">
        <v>31308</v>
      </c>
      <c r="J4979" t="s">
        <v>31309</v>
      </c>
      <c r="K4979" t="s">
        <v>31310</v>
      </c>
      <c r="L4979" t="s">
        <v>31304</v>
      </c>
    </row>
    <row r="4980" spans="1:12" x14ac:dyDescent="0.25">
      <c r="A4980">
        <v>938693</v>
      </c>
      <c r="B4980">
        <v>938704</v>
      </c>
      <c r="D4980">
        <v>0</v>
      </c>
      <c r="F4980">
        <v>976776</v>
      </c>
      <c r="G4980">
        <v>938704</v>
      </c>
      <c r="H4980" t="s">
        <v>3317</v>
      </c>
      <c r="I4980">
        <v>938693</v>
      </c>
      <c r="J4980" t="s">
        <v>3317</v>
      </c>
      <c r="K4980" t="s">
        <v>31311</v>
      </c>
      <c r="L4980" t="s">
        <v>3317</v>
      </c>
    </row>
    <row r="4981" spans="1:12" x14ac:dyDescent="0.25">
      <c r="A4981">
        <v>938693</v>
      </c>
      <c r="B4981">
        <v>939195</v>
      </c>
      <c r="D4981">
        <v>0</v>
      </c>
      <c r="E4981" t="s">
        <v>31313</v>
      </c>
      <c r="F4981" t="s">
        <v>31314</v>
      </c>
      <c r="G4981" t="s">
        <v>31315</v>
      </c>
      <c r="H4981" t="s">
        <v>31316</v>
      </c>
      <c r="I4981" t="s">
        <v>31317</v>
      </c>
      <c r="J4981" t="s">
        <v>31318</v>
      </c>
      <c r="K4981" t="s">
        <v>31319</v>
      </c>
      <c r="L4981" t="s">
        <v>31312</v>
      </c>
    </row>
    <row r="4982" spans="1:12" x14ac:dyDescent="0.25">
      <c r="A4982">
        <v>938704</v>
      </c>
      <c r="B4982">
        <v>938710</v>
      </c>
      <c r="D4982">
        <v>0</v>
      </c>
      <c r="F4982">
        <v>976784</v>
      </c>
      <c r="G4982">
        <v>938710</v>
      </c>
      <c r="H4982" t="s">
        <v>3940</v>
      </c>
      <c r="I4982">
        <v>938704</v>
      </c>
      <c r="J4982" t="s">
        <v>3940</v>
      </c>
      <c r="K4982" t="s">
        <v>31320</v>
      </c>
      <c r="L4982" t="s">
        <v>3940</v>
      </c>
    </row>
    <row r="4983" spans="1:12" x14ac:dyDescent="0.25">
      <c r="A4983">
        <v>938704</v>
      </c>
      <c r="B4983">
        <v>938863</v>
      </c>
      <c r="D4983">
        <v>0</v>
      </c>
      <c r="E4983" t="s">
        <v>31322</v>
      </c>
      <c r="F4983" t="s">
        <v>31323</v>
      </c>
      <c r="G4983" t="s">
        <v>31324</v>
      </c>
      <c r="H4983" t="e" vm="2165">
        <f>_FV(0,"00015467748765477226")</f>
        <v>#VALUE!</v>
      </c>
      <c r="I4983" t="s">
        <v>31325</v>
      </c>
      <c r="J4983" t="s">
        <v>31326</v>
      </c>
      <c r="K4983" t="s">
        <v>31327</v>
      </c>
      <c r="L4983" t="s">
        <v>31321</v>
      </c>
    </row>
    <row r="4984" spans="1:12" x14ac:dyDescent="0.25">
      <c r="A4984">
        <v>938710</v>
      </c>
      <c r="B4984">
        <v>938901</v>
      </c>
      <c r="D4984">
        <v>0</v>
      </c>
      <c r="E4984" t="s">
        <v>31328</v>
      </c>
      <c r="F4984" t="s">
        <v>31329</v>
      </c>
      <c r="G4984" t="s">
        <v>31330</v>
      </c>
      <c r="H4984" t="e" vm="967">
        <f>_FV(0,"028")</f>
        <v>#VALUE!</v>
      </c>
      <c r="I4984" t="s">
        <v>31331</v>
      </c>
      <c r="J4984" t="s">
        <v>2704</v>
      </c>
      <c r="K4984" t="s">
        <v>31332</v>
      </c>
      <c r="L4984" t="e" vm="967">
        <f>_FV(0,"028")</f>
        <v>#VALUE!</v>
      </c>
    </row>
    <row r="4985" spans="1:12" x14ac:dyDescent="0.25">
      <c r="A4985">
        <v>938857</v>
      </c>
      <c r="B4985">
        <v>938917</v>
      </c>
      <c r="D4985">
        <v>0</v>
      </c>
      <c r="E4985" t="s">
        <v>31334</v>
      </c>
      <c r="F4985" t="s">
        <v>31335</v>
      </c>
      <c r="G4985" t="s">
        <v>31336</v>
      </c>
      <c r="H4985" t="s">
        <v>31337</v>
      </c>
      <c r="I4985" t="s">
        <v>31338</v>
      </c>
      <c r="J4985" t="s">
        <v>9840</v>
      </c>
      <c r="K4985" t="s">
        <v>31339</v>
      </c>
      <c r="L4985" t="s">
        <v>31333</v>
      </c>
    </row>
    <row r="4986" spans="1:12" x14ac:dyDescent="0.25">
      <c r="A4986">
        <v>938863</v>
      </c>
      <c r="B4986">
        <v>939195</v>
      </c>
      <c r="D4986">
        <v>0</v>
      </c>
      <c r="E4986" t="s">
        <v>31341</v>
      </c>
      <c r="F4986" t="s">
        <v>31342</v>
      </c>
      <c r="G4986" t="s">
        <v>31343</v>
      </c>
      <c r="H4986" t="s">
        <v>31344</v>
      </c>
      <c r="I4986" t="s">
        <v>31345</v>
      </c>
      <c r="J4986" t="s">
        <v>31346</v>
      </c>
      <c r="K4986" t="s">
        <v>31347</v>
      </c>
      <c r="L4986" t="s">
        <v>31340</v>
      </c>
    </row>
    <row r="4987" spans="1:12" x14ac:dyDescent="0.25">
      <c r="A4987">
        <v>938882</v>
      </c>
      <c r="B4987">
        <v>938901</v>
      </c>
      <c r="D4987" t="s">
        <v>204</v>
      </c>
      <c r="E4987" t="s">
        <v>31349</v>
      </c>
      <c r="F4987" t="s">
        <v>31350</v>
      </c>
      <c r="G4987" t="s">
        <v>31351</v>
      </c>
      <c r="H4987" t="e" vm="2166">
        <f>_FV(0,"041448404851451355")</f>
        <v>#VALUE!</v>
      </c>
      <c r="I4987" t="s">
        <v>31352</v>
      </c>
      <c r="J4987" t="s">
        <v>31353</v>
      </c>
      <c r="K4987" t="s">
        <v>31354</v>
      </c>
      <c r="L4987" t="s">
        <v>31348</v>
      </c>
    </row>
    <row r="4988" spans="1:12" x14ac:dyDescent="0.25">
      <c r="A4988">
        <v>938917</v>
      </c>
      <c r="B4988">
        <v>939320</v>
      </c>
      <c r="D4988" t="s">
        <v>1494</v>
      </c>
      <c r="E4988" t="s">
        <v>31356</v>
      </c>
      <c r="F4988" t="s">
        <v>31357</v>
      </c>
      <c r="G4988" t="s">
        <v>31358</v>
      </c>
      <c r="H4988" t="s">
        <v>31359</v>
      </c>
      <c r="I4988" t="s">
        <v>31360</v>
      </c>
      <c r="J4988" t="s">
        <v>31361</v>
      </c>
      <c r="K4988" t="s">
        <v>31362</v>
      </c>
      <c r="L4988" t="s">
        <v>31355</v>
      </c>
    </row>
    <row r="4989" spans="1:12" x14ac:dyDescent="0.25">
      <c r="A4989">
        <v>939195</v>
      </c>
      <c r="B4989">
        <v>939318</v>
      </c>
      <c r="C4989" t="s">
        <v>31364</v>
      </c>
      <c r="D4989" t="s">
        <v>3716</v>
      </c>
      <c r="E4989" t="s">
        <v>31365</v>
      </c>
      <c r="F4989" t="s">
        <v>31366</v>
      </c>
      <c r="G4989" t="s">
        <v>31367</v>
      </c>
      <c r="H4989" t="s">
        <v>31368</v>
      </c>
      <c r="I4989" t="s">
        <v>31369</v>
      </c>
      <c r="J4989" t="s">
        <v>31370</v>
      </c>
      <c r="K4989" t="s">
        <v>31371</v>
      </c>
      <c r="L4989" t="s">
        <v>31363</v>
      </c>
    </row>
    <row r="4990" spans="1:12" x14ac:dyDescent="0.25">
      <c r="A4990">
        <v>939218</v>
      </c>
      <c r="B4990">
        <v>939223</v>
      </c>
      <c r="D4990">
        <v>0</v>
      </c>
      <c r="E4990" t="s">
        <v>31372</v>
      </c>
      <c r="F4990" t="s">
        <v>31373</v>
      </c>
      <c r="G4990" t="s">
        <v>31374</v>
      </c>
      <c r="H4990" t="e" vm="144">
        <f>_FV(0,"003")</f>
        <v>#VALUE!</v>
      </c>
      <c r="I4990" t="s">
        <v>31375</v>
      </c>
      <c r="J4990" t="s">
        <v>1783</v>
      </c>
      <c r="K4990" t="s">
        <v>31376</v>
      </c>
      <c r="L4990" t="e" vm="144">
        <f>_FV(0,"003")</f>
        <v>#VALUE!</v>
      </c>
    </row>
    <row r="4991" spans="1:12" x14ac:dyDescent="0.25">
      <c r="A4991">
        <v>939218</v>
      </c>
      <c r="B4991">
        <v>939234</v>
      </c>
      <c r="D4991">
        <v>0</v>
      </c>
      <c r="E4991" t="s">
        <v>31378</v>
      </c>
      <c r="F4991" t="s">
        <v>31379</v>
      </c>
      <c r="G4991" t="s">
        <v>31380</v>
      </c>
      <c r="H4991" t="e" vm="2167">
        <f>_FV(0,"005505739225320417")</f>
        <v>#VALUE!</v>
      </c>
      <c r="I4991" t="s">
        <v>31381</v>
      </c>
      <c r="J4991" t="s">
        <v>4972</v>
      </c>
      <c r="K4991" t="s">
        <v>31382</v>
      </c>
      <c r="L4991" t="s">
        <v>31377</v>
      </c>
    </row>
    <row r="4992" spans="1:12" x14ac:dyDescent="0.25">
      <c r="A4992">
        <v>939218</v>
      </c>
      <c r="B4992">
        <v>956910</v>
      </c>
      <c r="D4992">
        <v>0</v>
      </c>
      <c r="E4992" t="s">
        <v>31384</v>
      </c>
      <c r="F4992" t="s">
        <v>31385</v>
      </c>
      <c r="G4992" t="s">
        <v>31386</v>
      </c>
      <c r="H4992" t="e" vm="2168">
        <f>_FV(0,"0010929732289201599")</f>
        <v>#VALUE!</v>
      </c>
      <c r="I4992" t="s">
        <v>31387</v>
      </c>
      <c r="J4992" t="s">
        <v>31388</v>
      </c>
      <c r="K4992" t="s">
        <v>31389</v>
      </c>
      <c r="L4992" t="s">
        <v>31383</v>
      </c>
    </row>
    <row r="4993" spans="1:12" x14ac:dyDescent="0.25">
      <c r="A4993">
        <v>939223</v>
      </c>
      <c r="B4993">
        <v>939248</v>
      </c>
      <c r="D4993">
        <v>0</v>
      </c>
      <c r="F4993">
        <v>999937</v>
      </c>
      <c r="G4993">
        <v>939248</v>
      </c>
      <c r="H4993" t="e" vm="18">
        <f>_FV(0,"004")</f>
        <v>#VALUE!</v>
      </c>
      <c r="I4993">
        <v>939223</v>
      </c>
      <c r="J4993" t="s">
        <v>239</v>
      </c>
      <c r="K4993" t="s">
        <v>31390</v>
      </c>
      <c r="L4993" t="e" vm="18">
        <f>_FV(0,"004")</f>
        <v>#VALUE!</v>
      </c>
    </row>
    <row r="4994" spans="1:12" x14ac:dyDescent="0.25">
      <c r="A4994">
        <v>939223</v>
      </c>
      <c r="B4994">
        <v>939234</v>
      </c>
      <c r="D4994">
        <v>0</v>
      </c>
      <c r="E4994" t="s">
        <v>31392</v>
      </c>
      <c r="F4994" t="s">
        <v>31393</v>
      </c>
      <c r="G4994" t="s">
        <v>31394</v>
      </c>
      <c r="H4994" t="e" vm="2169">
        <f>_FV(0,"0015014559233777884")</f>
        <v>#VALUE!</v>
      </c>
      <c r="I4994" t="s">
        <v>31395</v>
      </c>
      <c r="J4994" t="s">
        <v>14244</v>
      </c>
      <c r="K4994" t="s">
        <v>31396</v>
      </c>
      <c r="L4994" t="s">
        <v>31391</v>
      </c>
    </row>
    <row r="4995" spans="1:12" x14ac:dyDescent="0.25">
      <c r="A4995">
        <v>939234</v>
      </c>
      <c r="B4995">
        <v>957006</v>
      </c>
      <c r="D4995">
        <v>0</v>
      </c>
      <c r="E4995" t="s">
        <v>31398</v>
      </c>
      <c r="F4995" t="s">
        <v>31399</v>
      </c>
      <c r="G4995" t="s">
        <v>31400</v>
      </c>
      <c r="H4995" t="s">
        <v>31401</v>
      </c>
      <c r="I4995" t="s">
        <v>31402</v>
      </c>
      <c r="J4995" t="s">
        <v>31397</v>
      </c>
      <c r="K4995" t="s">
        <v>31403</v>
      </c>
      <c r="L4995" t="s">
        <v>31397</v>
      </c>
    </row>
    <row r="4996" spans="1:12" x14ac:dyDescent="0.25">
      <c r="A4996">
        <v>939248</v>
      </c>
      <c r="B4996">
        <v>939197</v>
      </c>
      <c r="D4996">
        <v>0</v>
      </c>
      <c r="E4996" t="s">
        <v>31404</v>
      </c>
      <c r="F4996" t="s">
        <v>31405</v>
      </c>
      <c r="G4996" t="s">
        <v>31406</v>
      </c>
      <c r="H4996" t="e" vm="2170">
        <f>_FV(0,"005795241760282024")</f>
        <v>#VALUE!</v>
      </c>
      <c r="I4996" t="s">
        <v>31407</v>
      </c>
      <c r="J4996" t="s">
        <v>30960</v>
      </c>
      <c r="K4996" t="s">
        <v>31408</v>
      </c>
      <c r="L4996" t="s">
        <v>30955</v>
      </c>
    </row>
    <row r="4997" spans="1:12" x14ac:dyDescent="0.25">
      <c r="A4997">
        <v>939248</v>
      </c>
      <c r="B4997">
        <v>939197</v>
      </c>
      <c r="D4997">
        <v>0</v>
      </c>
      <c r="E4997" t="s">
        <v>31409</v>
      </c>
      <c r="F4997" t="s">
        <v>31410</v>
      </c>
      <c r="G4997" t="s">
        <v>31411</v>
      </c>
      <c r="H4997" t="e" vm="2171">
        <f>_FV(0,"005600639674630819")</f>
        <v>#VALUE!</v>
      </c>
      <c r="I4997" t="s">
        <v>31412</v>
      </c>
      <c r="J4997" t="s">
        <v>4972</v>
      </c>
      <c r="K4997" t="s">
        <v>31413</v>
      </c>
      <c r="L4997" t="s">
        <v>31377</v>
      </c>
    </row>
    <row r="4998" spans="1:12" x14ac:dyDescent="0.25">
      <c r="A4998">
        <v>939197</v>
      </c>
      <c r="B4998">
        <v>1854810</v>
      </c>
      <c r="C4998" t="s">
        <v>31414</v>
      </c>
      <c r="D4998">
        <v>0</v>
      </c>
      <c r="E4998" t="s">
        <v>31415</v>
      </c>
      <c r="H4998" t="s">
        <v>187</v>
      </c>
      <c r="J4998">
        <v>0</v>
      </c>
      <c r="K4998" t="s">
        <v>31416</v>
      </c>
      <c r="L4998">
        <v>0</v>
      </c>
    </row>
    <row r="4999" spans="1:12" x14ac:dyDescent="0.25">
      <c r="A4999">
        <v>939294</v>
      </c>
      <c r="B4999">
        <v>939314</v>
      </c>
      <c r="D4999">
        <v>0</v>
      </c>
      <c r="E4999" t="s">
        <v>31418</v>
      </c>
      <c r="F4999" t="s">
        <v>31419</v>
      </c>
      <c r="G4999" t="s">
        <v>31420</v>
      </c>
      <c r="H4999" t="s">
        <v>31421</v>
      </c>
      <c r="I4999" t="s">
        <v>31422</v>
      </c>
      <c r="J4999" t="s">
        <v>31417</v>
      </c>
      <c r="K4999" t="s">
        <v>31423</v>
      </c>
      <c r="L4999" t="s">
        <v>31417</v>
      </c>
    </row>
    <row r="5000" spans="1:12" x14ac:dyDescent="0.25">
      <c r="A5000">
        <v>939314</v>
      </c>
      <c r="B5000">
        <v>1039413</v>
      </c>
      <c r="D5000" t="s">
        <v>31425</v>
      </c>
      <c r="E5000" t="s">
        <v>31426</v>
      </c>
      <c r="F5000" t="s">
        <v>31427</v>
      </c>
      <c r="G5000" t="s">
        <v>31428</v>
      </c>
      <c r="H5000" t="s">
        <v>31429</v>
      </c>
      <c r="I5000" t="s">
        <v>31430</v>
      </c>
      <c r="J5000" t="s">
        <v>31431</v>
      </c>
      <c r="K5000" t="s">
        <v>31432</v>
      </c>
      <c r="L5000" t="s">
        <v>31424</v>
      </c>
    </row>
    <row r="5001" spans="1:12" x14ac:dyDescent="0.25">
      <c r="A5001">
        <v>939314</v>
      </c>
      <c r="B5001">
        <v>1077636</v>
      </c>
      <c r="D5001" t="s">
        <v>31434</v>
      </c>
      <c r="E5001" t="s">
        <v>31435</v>
      </c>
      <c r="F5001" t="s">
        <v>31436</v>
      </c>
      <c r="G5001" t="s">
        <v>31437</v>
      </c>
      <c r="H5001" t="e" vm="2172">
        <f>_FV(0,"04915574937715491")</f>
        <v>#VALUE!</v>
      </c>
      <c r="I5001" t="s">
        <v>31438</v>
      </c>
      <c r="J5001" t="s">
        <v>31439</v>
      </c>
      <c r="K5001" t="s">
        <v>31440</v>
      </c>
      <c r="L5001" t="s">
        <v>31433</v>
      </c>
    </row>
    <row r="5002" spans="1:12" x14ac:dyDescent="0.25">
      <c r="A5002">
        <v>939318</v>
      </c>
      <c r="B5002">
        <v>939358</v>
      </c>
      <c r="D5002" t="s">
        <v>15861</v>
      </c>
      <c r="E5002" t="s">
        <v>31442</v>
      </c>
      <c r="F5002" t="s">
        <v>31443</v>
      </c>
      <c r="G5002" t="s">
        <v>31444</v>
      </c>
      <c r="H5002" t="s">
        <v>31445</v>
      </c>
      <c r="I5002" t="s">
        <v>31446</v>
      </c>
      <c r="J5002" t="s">
        <v>31447</v>
      </c>
      <c r="K5002" t="s">
        <v>31448</v>
      </c>
      <c r="L5002" t="s">
        <v>31441</v>
      </c>
    </row>
    <row r="5003" spans="1:12" x14ac:dyDescent="0.25">
      <c r="A5003">
        <v>939320</v>
      </c>
      <c r="B5003">
        <v>939342</v>
      </c>
      <c r="D5003" t="s">
        <v>1866</v>
      </c>
      <c r="E5003" t="s">
        <v>31450</v>
      </c>
      <c r="F5003" t="s">
        <v>31451</v>
      </c>
      <c r="G5003" t="s">
        <v>31452</v>
      </c>
      <c r="H5003" t="s">
        <v>31453</v>
      </c>
      <c r="I5003" t="s">
        <v>31454</v>
      </c>
      <c r="J5003" t="s">
        <v>31455</v>
      </c>
      <c r="K5003" t="s">
        <v>31456</v>
      </c>
      <c r="L5003" t="s">
        <v>31449</v>
      </c>
    </row>
    <row r="5004" spans="1:12" x14ac:dyDescent="0.25">
      <c r="A5004">
        <v>939342</v>
      </c>
      <c r="B5004">
        <v>1524966</v>
      </c>
      <c r="D5004">
        <v>0</v>
      </c>
      <c r="E5004" t="s">
        <v>31458</v>
      </c>
      <c r="F5004" t="s">
        <v>31459</v>
      </c>
      <c r="G5004" t="s">
        <v>31461</v>
      </c>
      <c r="H5004" t="s">
        <v>31462</v>
      </c>
      <c r="I5004" t="s">
        <v>31463</v>
      </c>
      <c r="J5004" t="s">
        <v>31464</v>
      </c>
      <c r="K5004" t="s">
        <v>31465</v>
      </c>
      <c r="L5004" t="s">
        <v>31457</v>
      </c>
    </row>
    <row r="5005" spans="1:12" x14ac:dyDescent="0.25">
      <c r="A5005">
        <v>939358</v>
      </c>
      <c r="B5005">
        <v>1524982</v>
      </c>
      <c r="D5005">
        <v>0</v>
      </c>
      <c r="E5005" t="s">
        <v>31467</v>
      </c>
      <c r="F5005" t="s">
        <v>31468</v>
      </c>
      <c r="G5005" t="s">
        <v>31469</v>
      </c>
      <c r="H5005" t="s">
        <v>31470</v>
      </c>
      <c r="I5005" t="s">
        <v>31471</v>
      </c>
      <c r="J5005" t="s">
        <v>31472</v>
      </c>
      <c r="K5005" t="s">
        <v>31473</v>
      </c>
      <c r="L5005" t="s">
        <v>31466</v>
      </c>
    </row>
    <row r="5006" spans="1:12" x14ac:dyDescent="0.25">
      <c r="A5006">
        <v>941221</v>
      </c>
      <c r="B5006">
        <v>941238</v>
      </c>
      <c r="D5006">
        <v>0</v>
      </c>
      <c r="E5006" t="s">
        <v>31475</v>
      </c>
      <c r="F5006" t="s">
        <v>31476</v>
      </c>
      <c r="G5006" t="s">
        <v>31477</v>
      </c>
      <c r="H5006" t="e" vm="2173">
        <f>_FV(0,"011282513170322864")</f>
        <v>#VALUE!</v>
      </c>
      <c r="I5006" t="s">
        <v>31478</v>
      </c>
      <c r="J5006" t="s">
        <v>31479</v>
      </c>
      <c r="K5006" t="s">
        <v>31480</v>
      </c>
      <c r="L5006" t="s">
        <v>31474</v>
      </c>
    </row>
    <row r="5007" spans="1:12" x14ac:dyDescent="0.25">
      <c r="A5007">
        <v>941221</v>
      </c>
      <c r="B5007">
        <v>941253</v>
      </c>
      <c r="D5007">
        <v>0</v>
      </c>
      <c r="E5007" t="s">
        <v>31482</v>
      </c>
      <c r="F5007" t="s">
        <v>31483</v>
      </c>
      <c r="G5007" t="s">
        <v>31484</v>
      </c>
      <c r="H5007" t="e" vm="2174">
        <f>_FV(0,"01833827875652996")</f>
        <v>#VALUE!</v>
      </c>
      <c r="I5007" t="s">
        <v>31485</v>
      </c>
      <c r="J5007" t="s">
        <v>31486</v>
      </c>
      <c r="K5007" t="s">
        <v>31487</v>
      </c>
      <c r="L5007" t="s">
        <v>31481</v>
      </c>
    </row>
    <row r="5008" spans="1:12" x14ac:dyDescent="0.25">
      <c r="A5008">
        <v>941221</v>
      </c>
      <c r="B5008">
        <v>942426</v>
      </c>
      <c r="D5008">
        <v>0</v>
      </c>
      <c r="F5008">
        <v>1019585</v>
      </c>
      <c r="G5008">
        <v>941221</v>
      </c>
      <c r="H5008" t="e" vm="106">
        <f>_FV(0,"019")</f>
        <v>#VALUE!</v>
      </c>
      <c r="I5008">
        <v>942426</v>
      </c>
      <c r="J5008" t="s">
        <v>1629</v>
      </c>
      <c r="K5008" t="s">
        <v>31488</v>
      </c>
      <c r="L5008" t="e" vm="106">
        <f>_FV(0,"019")</f>
        <v>#VALUE!</v>
      </c>
    </row>
    <row r="5009" spans="1:12" x14ac:dyDescent="0.25">
      <c r="A5009">
        <v>941238</v>
      </c>
      <c r="B5009">
        <v>941253</v>
      </c>
      <c r="D5009">
        <v>0</v>
      </c>
      <c r="E5009" t="s">
        <v>31490</v>
      </c>
      <c r="F5009" t="s">
        <v>31491</v>
      </c>
      <c r="G5009" t="s">
        <v>31492</v>
      </c>
      <c r="H5009" t="e" vm="2175">
        <f>_FV(0,"005510194683612658")</f>
        <v>#VALUE!</v>
      </c>
      <c r="I5009" t="s">
        <v>31493</v>
      </c>
      <c r="J5009" t="s">
        <v>31494</v>
      </c>
      <c r="K5009" t="s">
        <v>31495</v>
      </c>
      <c r="L5009" t="s">
        <v>31489</v>
      </c>
    </row>
    <row r="5010" spans="1:12" x14ac:dyDescent="0.25">
      <c r="A5010">
        <v>941253</v>
      </c>
      <c r="B5010">
        <v>942445</v>
      </c>
      <c r="D5010">
        <v>0</v>
      </c>
      <c r="E5010" t="s">
        <v>31497</v>
      </c>
      <c r="F5010" t="s">
        <v>31498</v>
      </c>
      <c r="G5010" t="s">
        <v>31499</v>
      </c>
      <c r="H5010" t="s">
        <v>31500</v>
      </c>
      <c r="I5010" t="s">
        <v>31501</v>
      </c>
      <c r="J5010" t="s">
        <v>31502</v>
      </c>
      <c r="K5010" t="s">
        <v>31503</v>
      </c>
      <c r="L5010" t="s">
        <v>31496</v>
      </c>
    </row>
    <row r="5011" spans="1:12" x14ac:dyDescent="0.25">
      <c r="A5011">
        <v>941480</v>
      </c>
      <c r="B5011">
        <v>941547</v>
      </c>
      <c r="D5011">
        <v>0</v>
      </c>
      <c r="E5011" t="s">
        <v>31505</v>
      </c>
      <c r="F5011" t="s">
        <v>31506</v>
      </c>
      <c r="G5011" t="s">
        <v>31507</v>
      </c>
      <c r="H5011" t="e" vm="2176">
        <f>_FV(0,"12615134882906792")</f>
        <v>#VALUE!</v>
      </c>
      <c r="I5011" t="s">
        <v>31508</v>
      </c>
      <c r="J5011" t="s">
        <v>31509</v>
      </c>
      <c r="K5011" t="s">
        <v>31510</v>
      </c>
      <c r="L5011" t="s">
        <v>31504</v>
      </c>
    </row>
    <row r="5012" spans="1:12" x14ac:dyDescent="0.25">
      <c r="A5012">
        <v>941480</v>
      </c>
      <c r="B5012">
        <v>941484</v>
      </c>
      <c r="D5012">
        <v>0</v>
      </c>
      <c r="E5012" t="s">
        <v>31511</v>
      </c>
      <c r="F5012" t="s">
        <v>31512</v>
      </c>
      <c r="G5012" t="s">
        <v>31513</v>
      </c>
      <c r="H5012" t="e" vm="2177">
        <f>_FV(0,"06432837980035899")</f>
        <v>#VALUE!</v>
      </c>
      <c r="I5012" t="s">
        <v>31514</v>
      </c>
      <c r="J5012" t="s">
        <v>5102</v>
      </c>
      <c r="K5012" t="s">
        <v>31515</v>
      </c>
      <c r="L5012" t="s">
        <v>5097</v>
      </c>
    </row>
    <row r="5013" spans="1:12" x14ac:dyDescent="0.25">
      <c r="A5013">
        <v>941480</v>
      </c>
      <c r="B5013">
        <v>341391</v>
      </c>
      <c r="D5013" t="s">
        <v>31517</v>
      </c>
      <c r="E5013" t="s">
        <v>31518</v>
      </c>
      <c r="F5013" t="s">
        <v>31519</v>
      </c>
      <c r="G5013" t="s">
        <v>31520</v>
      </c>
      <c r="H5013" t="e" vm="2178">
        <f>_FV(0,"02432408615870113")</f>
        <v>#VALUE!</v>
      </c>
      <c r="I5013" t="s">
        <v>31521</v>
      </c>
      <c r="J5013" t="s">
        <v>31522</v>
      </c>
      <c r="K5013" t="s">
        <v>31523</v>
      </c>
      <c r="L5013" t="s">
        <v>31516</v>
      </c>
    </row>
    <row r="5014" spans="1:12" x14ac:dyDescent="0.25">
      <c r="A5014">
        <v>941484</v>
      </c>
      <c r="B5014">
        <v>941485</v>
      </c>
      <c r="D5014">
        <v>0</v>
      </c>
      <c r="F5014">
        <v>980398</v>
      </c>
      <c r="G5014">
        <v>941485</v>
      </c>
      <c r="H5014" t="e" vm="224">
        <f>_FV(0,"084")</f>
        <v>#VALUE!</v>
      </c>
      <c r="I5014">
        <v>941484</v>
      </c>
      <c r="J5014" t="s">
        <v>3418</v>
      </c>
      <c r="K5014" t="s">
        <v>31524</v>
      </c>
      <c r="L5014" t="e" vm="224">
        <f>_FV(0,"084")</f>
        <v>#VALUE!</v>
      </c>
    </row>
    <row r="5015" spans="1:12" x14ac:dyDescent="0.25">
      <c r="A5015">
        <v>941484</v>
      </c>
      <c r="B5015">
        <v>941547</v>
      </c>
      <c r="D5015">
        <v>0</v>
      </c>
      <c r="E5015" t="s">
        <v>31526</v>
      </c>
      <c r="F5015" t="s">
        <v>31527</v>
      </c>
      <c r="G5015" t="s">
        <v>31528</v>
      </c>
      <c r="H5015" t="s">
        <v>31529</v>
      </c>
      <c r="I5015" t="s">
        <v>31530</v>
      </c>
      <c r="J5015" t="s">
        <v>31525</v>
      </c>
      <c r="K5015" t="s">
        <v>31531</v>
      </c>
      <c r="L5015" t="s">
        <v>31525</v>
      </c>
    </row>
    <row r="5016" spans="1:12" x14ac:dyDescent="0.25">
      <c r="A5016">
        <v>941485</v>
      </c>
      <c r="B5016">
        <v>941510</v>
      </c>
      <c r="D5016">
        <v>0</v>
      </c>
      <c r="E5016" t="s">
        <v>31533</v>
      </c>
      <c r="F5016" t="s">
        <v>31534</v>
      </c>
      <c r="G5016" t="s">
        <v>31535</v>
      </c>
      <c r="H5016" t="e" vm="2179">
        <f>_FV(0,"19166068731340252")</f>
        <v>#VALUE!</v>
      </c>
      <c r="I5016" t="s">
        <v>31536</v>
      </c>
      <c r="J5016" t="s">
        <v>31537</v>
      </c>
      <c r="K5016" t="s">
        <v>31538</v>
      </c>
      <c r="L5016" t="s">
        <v>31532</v>
      </c>
    </row>
    <row r="5017" spans="1:12" x14ac:dyDescent="0.25">
      <c r="A5017">
        <v>941485</v>
      </c>
      <c r="B5017">
        <v>941568</v>
      </c>
      <c r="D5017">
        <v>0</v>
      </c>
      <c r="E5017" t="s">
        <v>31540</v>
      </c>
      <c r="F5017" t="s">
        <v>31541</v>
      </c>
      <c r="G5017" t="s">
        <v>31542</v>
      </c>
      <c r="H5017" t="e" vm="2180">
        <f>_FV(0,"11154928848021262")</f>
        <v>#VALUE!</v>
      </c>
      <c r="I5017" t="s">
        <v>31543</v>
      </c>
      <c r="J5017" t="s">
        <v>31544</v>
      </c>
      <c r="K5017" t="s">
        <v>31545</v>
      </c>
      <c r="L5017" t="s">
        <v>31539</v>
      </c>
    </row>
    <row r="5018" spans="1:12" x14ac:dyDescent="0.25">
      <c r="A5018">
        <v>941510</v>
      </c>
      <c r="B5018">
        <v>941547</v>
      </c>
      <c r="D5018">
        <v>0</v>
      </c>
      <c r="E5018" t="s">
        <v>31547</v>
      </c>
      <c r="F5018" t="s">
        <v>31548</v>
      </c>
      <c r="G5018" t="s">
        <v>31549</v>
      </c>
      <c r="H5018" t="s">
        <v>31550</v>
      </c>
      <c r="I5018" t="s">
        <v>31551</v>
      </c>
      <c r="J5018" t="s">
        <v>31552</v>
      </c>
      <c r="K5018" t="s">
        <v>31553</v>
      </c>
      <c r="L5018" t="s">
        <v>31546</v>
      </c>
    </row>
    <row r="5019" spans="1:12" x14ac:dyDescent="0.25">
      <c r="A5019">
        <v>941510</v>
      </c>
      <c r="B5019">
        <v>941568</v>
      </c>
      <c r="D5019">
        <v>0</v>
      </c>
      <c r="E5019" t="s">
        <v>31554</v>
      </c>
      <c r="F5019" t="s">
        <v>31555</v>
      </c>
      <c r="G5019" t="s">
        <v>31556</v>
      </c>
      <c r="H5019" t="e" vm="2181">
        <f>_FV(0,"032290270193612886")</f>
        <v>#VALUE!</v>
      </c>
      <c r="I5019" t="s">
        <v>31557</v>
      </c>
      <c r="J5019" t="s">
        <v>25068</v>
      </c>
      <c r="K5019" t="s">
        <v>31558</v>
      </c>
      <c r="L5019" t="s">
        <v>25063</v>
      </c>
    </row>
    <row r="5020" spans="1:12" x14ac:dyDescent="0.25">
      <c r="A5020">
        <v>942412</v>
      </c>
      <c r="B5020">
        <v>942426</v>
      </c>
      <c r="D5020">
        <v>0</v>
      </c>
      <c r="E5020" t="s">
        <v>31560</v>
      </c>
      <c r="F5020" t="s">
        <v>31561</v>
      </c>
      <c r="G5020" t="s">
        <v>31562</v>
      </c>
      <c r="H5020" t="e" vm="2182">
        <f>_FV(0,"021297606353962863")</f>
        <v>#VALUE!</v>
      </c>
      <c r="I5020" t="s">
        <v>31563</v>
      </c>
      <c r="J5020" t="s">
        <v>31564</v>
      </c>
      <c r="K5020" t="s">
        <v>31565</v>
      </c>
      <c r="L5020" t="s">
        <v>31559</v>
      </c>
    </row>
    <row r="5021" spans="1:12" x14ac:dyDescent="0.25">
      <c r="A5021">
        <v>942412</v>
      </c>
      <c r="B5021">
        <v>942445</v>
      </c>
      <c r="D5021">
        <v>0</v>
      </c>
      <c r="E5021" t="s">
        <v>31567</v>
      </c>
      <c r="F5021" t="s">
        <v>31568</v>
      </c>
      <c r="G5021" t="s">
        <v>31569</v>
      </c>
      <c r="H5021" t="e" vm="2183">
        <f>_FV(0,"01959712098872095")</f>
        <v>#VALUE!</v>
      </c>
      <c r="I5021" t="s">
        <v>31570</v>
      </c>
      <c r="J5021" t="s">
        <v>31571</v>
      </c>
      <c r="K5021" t="s">
        <v>31572</v>
      </c>
      <c r="L5021" t="s">
        <v>31566</v>
      </c>
    </row>
    <row r="5022" spans="1:12" x14ac:dyDescent="0.25">
      <c r="A5022">
        <v>942412</v>
      </c>
      <c r="B5022">
        <v>1854821</v>
      </c>
      <c r="C5022" t="s">
        <v>31573</v>
      </c>
      <c r="D5022">
        <v>0</v>
      </c>
      <c r="E5022" t="s">
        <v>31574</v>
      </c>
      <c r="H5022" t="s">
        <v>187</v>
      </c>
      <c r="J5022">
        <v>0</v>
      </c>
      <c r="K5022" t="s">
        <v>31575</v>
      </c>
      <c r="L5022">
        <v>0</v>
      </c>
    </row>
    <row r="5023" spans="1:12" x14ac:dyDescent="0.25">
      <c r="A5023">
        <v>942426</v>
      </c>
      <c r="B5023">
        <v>942445</v>
      </c>
      <c r="D5023">
        <v>0</v>
      </c>
      <c r="E5023" t="s">
        <v>31577</v>
      </c>
      <c r="F5023" t="s">
        <v>31578</v>
      </c>
      <c r="G5023" t="s">
        <v>31579</v>
      </c>
      <c r="H5023" t="e" vm="2184">
        <f>_FV(0,"01198676347445764")</f>
        <v>#VALUE!</v>
      </c>
      <c r="I5023" t="s">
        <v>31580</v>
      </c>
      <c r="J5023" t="s">
        <v>31581</v>
      </c>
      <c r="K5023" t="s">
        <v>31582</v>
      </c>
      <c r="L5023" t="s">
        <v>31576</v>
      </c>
    </row>
    <row r="5024" spans="1:12" x14ac:dyDescent="0.25">
      <c r="A5024">
        <v>943010</v>
      </c>
      <c r="B5024">
        <v>943019</v>
      </c>
      <c r="D5024">
        <v>0</v>
      </c>
      <c r="E5024" t="s">
        <v>31584</v>
      </c>
      <c r="F5024" t="s">
        <v>31585</v>
      </c>
      <c r="G5024" t="s">
        <v>31586</v>
      </c>
      <c r="H5024" t="e" vm="2185">
        <f>_FV(0,"03404029172740252")</f>
        <v>#VALUE!</v>
      </c>
      <c r="I5024" t="s">
        <v>31587</v>
      </c>
      <c r="J5024" t="s">
        <v>31588</v>
      </c>
      <c r="K5024" t="s">
        <v>31589</v>
      </c>
      <c r="L5024" t="s">
        <v>31583</v>
      </c>
    </row>
    <row r="5025" spans="1:12" x14ac:dyDescent="0.25">
      <c r="A5025">
        <v>943010</v>
      </c>
      <c r="B5025">
        <v>943019</v>
      </c>
      <c r="D5025">
        <v>0</v>
      </c>
      <c r="E5025" t="s">
        <v>31591</v>
      </c>
      <c r="F5025" t="s">
        <v>31592</v>
      </c>
      <c r="G5025" t="s">
        <v>31593</v>
      </c>
      <c r="H5025" t="e" vm="2186">
        <f>_FV(0,"034238800113067513")</f>
        <v>#VALUE!</v>
      </c>
      <c r="I5025" t="s">
        <v>31594</v>
      </c>
      <c r="J5025" t="s">
        <v>31595</v>
      </c>
      <c r="K5025" t="s">
        <v>31596</v>
      </c>
      <c r="L5025" t="s">
        <v>31590</v>
      </c>
    </row>
    <row r="5026" spans="1:12" x14ac:dyDescent="0.25">
      <c r="A5026">
        <v>943010</v>
      </c>
      <c r="B5026">
        <v>1842526</v>
      </c>
      <c r="C5026" t="s">
        <v>31598</v>
      </c>
      <c r="D5026">
        <v>0</v>
      </c>
      <c r="E5026" t="s">
        <v>31599</v>
      </c>
      <c r="F5026" t="s">
        <v>31600</v>
      </c>
      <c r="G5026" t="s">
        <v>31601</v>
      </c>
      <c r="H5026" t="e" vm="2187">
        <f>_FV(0,"02116791778496039")</f>
        <v>#VALUE!</v>
      </c>
      <c r="I5026" t="s">
        <v>31602</v>
      </c>
      <c r="J5026" t="s">
        <v>31603</v>
      </c>
      <c r="K5026" t="s">
        <v>31604</v>
      </c>
      <c r="L5026" t="s">
        <v>31597</v>
      </c>
    </row>
    <row r="5027" spans="1:12" x14ac:dyDescent="0.25">
      <c r="A5027">
        <v>943019</v>
      </c>
      <c r="B5027">
        <v>943332</v>
      </c>
      <c r="C5027" t="s">
        <v>31606</v>
      </c>
      <c r="D5027" t="s">
        <v>31607</v>
      </c>
      <c r="E5027" t="s">
        <v>31608</v>
      </c>
      <c r="F5027" t="s">
        <v>31609</v>
      </c>
      <c r="G5027" t="s">
        <v>31610</v>
      </c>
      <c r="H5027" t="e" vm="2188">
        <f>_FV(0,"019968190036398503")</f>
        <v>#VALUE!</v>
      </c>
      <c r="I5027" t="s">
        <v>31611</v>
      </c>
      <c r="J5027" t="s">
        <v>31612</v>
      </c>
      <c r="K5027" t="s">
        <v>31613</v>
      </c>
      <c r="L5027" t="s">
        <v>31605</v>
      </c>
    </row>
    <row r="5028" spans="1:12" x14ac:dyDescent="0.25">
      <c r="A5028">
        <v>943332</v>
      </c>
      <c r="B5028">
        <v>945283</v>
      </c>
      <c r="D5028">
        <v>0</v>
      </c>
      <c r="E5028" t="s">
        <v>31615</v>
      </c>
      <c r="F5028" t="s">
        <v>31616</v>
      </c>
      <c r="G5028" t="s">
        <v>31617</v>
      </c>
      <c r="H5028" t="s">
        <v>31618</v>
      </c>
      <c r="I5028" t="s">
        <v>31619</v>
      </c>
      <c r="J5028" t="s">
        <v>31620</v>
      </c>
      <c r="K5028" t="s">
        <v>31621</v>
      </c>
      <c r="L5028" t="s">
        <v>31614</v>
      </c>
    </row>
    <row r="5029" spans="1:12" x14ac:dyDescent="0.25">
      <c r="A5029">
        <v>943332</v>
      </c>
      <c r="B5029">
        <v>945330</v>
      </c>
      <c r="D5029">
        <v>0</v>
      </c>
      <c r="E5029" t="s">
        <v>31623</v>
      </c>
      <c r="F5029" t="s">
        <v>31624</v>
      </c>
      <c r="G5029" t="s">
        <v>31625</v>
      </c>
      <c r="H5029" t="e" vm="2189">
        <f>_FV(0,"0006074992354688461")</f>
        <v>#VALUE!</v>
      </c>
      <c r="I5029" t="s">
        <v>31626</v>
      </c>
      <c r="J5029" t="s">
        <v>31627</v>
      </c>
      <c r="K5029" t="s">
        <v>31628</v>
      </c>
      <c r="L5029" t="s">
        <v>31622</v>
      </c>
    </row>
    <row r="5030" spans="1:12" x14ac:dyDescent="0.25">
      <c r="A5030">
        <v>943505</v>
      </c>
      <c r="B5030">
        <v>323551</v>
      </c>
      <c r="D5030">
        <v>0</v>
      </c>
      <c r="E5030" t="s">
        <v>31630</v>
      </c>
      <c r="F5030" t="s">
        <v>31631</v>
      </c>
      <c r="G5030" t="s">
        <v>31632</v>
      </c>
      <c r="H5030" t="e" vm="2190">
        <f>_FV(0,"37415457617256026")</f>
        <v>#VALUE!</v>
      </c>
      <c r="I5030" t="s">
        <v>31633</v>
      </c>
      <c r="J5030" t="s">
        <v>31634</v>
      </c>
      <c r="K5030" t="s">
        <v>31635</v>
      </c>
      <c r="L5030" t="s">
        <v>31629</v>
      </c>
    </row>
    <row r="5031" spans="1:12" x14ac:dyDescent="0.25">
      <c r="A5031">
        <v>943505</v>
      </c>
      <c r="B5031">
        <v>1854836</v>
      </c>
      <c r="D5031">
        <v>0</v>
      </c>
      <c r="E5031" t="s">
        <v>31636</v>
      </c>
      <c r="H5031" t="s">
        <v>187</v>
      </c>
      <c r="J5031">
        <v>0</v>
      </c>
      <c r="K5031" t="s">
        <v>31637</v>
      </c>
      <c r="L5031">
        <v>0</v>
      </c>
    </row>
    <row r="5032" spans="1:12" x14ac:dyDescent="0.25">
      <c r="A5032">
        <v>943529</v>
      </c>
      <c r="B5032">
        <v>943544</v>
      </c>
      <c r="D5032">
        <v>0</v>
      </c>
      <c r="E5032" t="s">
        <v>31639</v>
      </c>
      <c r="F5032" t="s">
        <v>31640</v>
      </c>
      <c r="G5032" t="s">
        <v>31641</v>
      </c>
      <c r="H5032" t="s">
        <v>31642</v>
      </c>
      <c r="I5032" t="s">
        <v>31643</v>
      </c>
      <c r="J5032" t="s">
        <v>31644</v>
      </c>
      <c r="K5032" t="s">
        <v>31645</v>
      </c>
      <c r="L5032" t="s">
        <v>31638</v>
      </c>
    </row>
    <row r="5033" spans="1:12" x14ac:dyDescent="0.25">
      <c r="A5033">
        <v>943529</v>
      </c>
      <c r="B5033">
        <v>945412</v>
      </c>
      <c r="D5033">
        <v>0</v>
      </c>
      <c r="E5033" t="s">
        <v>31647</v>
      </c>
      <c r="F5033" t="s">
        <v>31648</v>
      </c>
      <c r="G5033" t="s">
        <v>31649</v>
      </c>
      <c r="H5033" t="s">
        <v>31650</v>
      </c>
      <c r="I5033" t="s">
        <v>31651</v>
      </c>
      <c r="J5033" t="s">
        <v>31646</v>
      </c>
      <c r="K5033" t="s">
        <v>31652</v>
      </c>
      <c r="L5033" t="s">
        <v>31646</v>
      </c>
    </row>
    <row r="5034" spans="1:12" x14ac:dyDescent="0.25">
      <c r="A5034">
        <v>943529</v>
      </c>
      <c r="B5034">
        <v>945420</v>
      </c>
      <c r="D5034">
        <v>0</v>
      </c>
      <c r="E5034" t="s">
        <v>31654</v>
      </c>
      <c r="F5034" t="s">
        <v>31655</v>
      </c>
      <c r="G5034" t="s">
        <v>31656</v>
      </c>
      <c r="H5034" t="s">
        <v>31657</v>
      </c>
      <c r="I5034" t="s">
        <v>31658</v>
      </c>
      <c r="J5034" t="s">
        <v>31653</v>
      </c>
      <c r="K5034" t="s">
        <v>31659</v>
      </c>
      <c r="L5034" t="s">
        <v>31653</v>
      </c>
    </row>
    <row r="5035" spans="1:12" x14ac:dyDescent="0.25">
      <c r="A5035">
        <v>943544</v>
      </c>
      <c r="B5035">
        <v>945503</v>
      </c>
      <c r="D5035">
        <v>0</v>
      </c>
      <c r="E5035" t="s">
        <v>31661</v>
      </c>
      <c r="F5035" t="s">
        <v>31662</v>
      </c>
      <c r="G5035" t="s">
        <v>31663</v>
      </c>
      <c r="H5035" t="s">
        <v>31664</v>
      </c>
      <c r="I5035" t="s">
        <v>31665</v>
      </c>
      <c r="J5035" t="s">
        <v>31666</v>
      </c>
      <c r="K5035" t="s">
        <v>31667</v>
      </c>
      <c r="L5035" t="s">
        <v>31660</v>
      </c>
    </row>
    <row r="5036" spans="1:12" x14ac:dyDescent="0.25">
      <c r="A5036">
        <v>943544</v>
      </c>
      <c r="B5036">
        <v>945580</v>
      </c>
      <c r="D5036">
        <v>0</v>
      </c>
      <c r="E5036" t="s">
        <v>31669</v>
      </c>
      <c r="F5036" t="s">
        <v>31670</v>
      </c>
      <c r="G5036" t="s">
        <v>31671</v>
      </c>
      <c r="H5036" t="s">
        <v>31672</v>
      </c>
      <c r="I5036" t="s">
        <v>31673</v>
      </c>
      <c r="J5036" t="s">
        <v>31668</v>
      </c>
      <c r="K5036" t="s">
        <v>31674</v>
      </c>
      <c r="L5036" t="s">
        <v>31668</v>
      </c>
    </row>
    <row r="5037" spans="1:12" x14ac:dyDescent="0.25">
      <c r="A5037">
        <v>943557</v>
      </c>
      <c r="B5037">
        <v>943611</v>
      </c>
      <c r="C5037" t="s">
        <v>31676</v>
      </c>
      <c r="D5037" t="s">
        <v>10659</v>
      </c>
      <c r="E5037" t="s">
        <v>31677</v>
      </c>
      <c r="F5037" t="s">
        <v>31678</v>
      </c>
      <c r="G5037" t="s">
        <v>31679</v>
      </c>
      <c r="H5037" t="s">
        <v>31680</v>
      </c>
      <c r="I5037" t="s">
        <v>31681</v>
      </c>
      <c r="J5037" t="s">
        <v>31682</v>
      </c>
      <c r="K5037" t="s">
        <v>31683</v>
      </c>
      <c r="L5037" t="s">
        <v>31675</v>
      </c>
    </row>
    <row r="5038" spans="1:12" x14ac:dyDescent="0.25">
      <c r="A5038">
        <v>943557</v>
      </c>
      <c r="B5038">
        <v>945504</v>
      </c>
      <c r="D5038">
        <v>0</v>
      </c>
      <c r="E5038" t="s">
        <v>31685</v>
      </c>
      <c r="F5038" t="s">
        <v>31686</v>
      </c>
      <c r="G5038" t="s">
        <v>31687</v>
      </c>
      <c r="H5038" t="e" vm="2191">
        <f>_FV(0,"1156660954669532")</f>
        <v>#VALUE!</v>
      </c>
      <c r="I5038" t="s">
        <v>31688</v>
      </c>
      <c r="J5038" t="s">
        <v>31689</v>
      </c>
      <c r="K5038" t="s">
        <v>31690</v>
      </c>
      <c r="L5038" t="s">
        <v>31684</v>
      </c>
    </row>
    <row r="5039" spans="1:12" x14ac:dyDescent="0.25">
      <c r="A5039">
        <v>943557</v>
      </c>
      <c r="B5039">
        <v>945511</v>
      </c>
      <c r="D5039">
        <v>0</v>
      </c>
      <c r="E5039" t="s">
        <v>31692</v>
      </c>
      <c r="F5039" t="s">
        <v>31693</v>
      </c>
      <c r="G5039" t="s">
        <v>31694</v>
      </c>
      <c r="H5039" t="e" vm="2192">
        <f>_FV(0,"08514846383002928")</f>
        <v>#VALUE!</v>
      </c>
      <c r="I5039" t="s">
        <v>31695</v>
      </c>
      <c r="J5039" t="s">
        <v>31696</v>
      </c>
      <c r="K5039" t="s">
        <v>31697</v>
      </c>
      <c r="L5039" t="s">
        <v>31691</v>
      </c>
    </row>
    <row r="5040" spans="1:12" x14ac:dyDescent="0.25">
      <c r="A5040">
        <v>943611</v>
      </c>
      <c r="B5040">
        <v>943621</v>
      </c>
      <c r="D5040">
        <v>0</v>
      </c>
      <c r="F5040">
        <v>983108</v>
      </c>
      <c r="G5040">
        <v>943621</v>
      </c>
      <c r="H5040" t="s">
        <v>3378</v>
      </c>
      <c r="I5040">
        <v>943611</v>
      </c>
      <c r="J5040" t="s">
        <v>3378</v>
      </c>
      <c r="K5040" t="s">
        <v>31698</v>
      </c>
      <c r="L5040" t="s">
        <v>3378</v>
      </c>
    </row>
    <row r="5041" spans="1:12" x14ac:dyDescent="0.25">
      <c r="A5041">
        <v>943611</v>
      </c>
      <c r="B5041">
        <v>945099</v>
      </c>
      <c r="D5041">
        <v>0</v>
      </c>
      <c r="E5041" t="s">
        <v>31700</v>
      </c>
      <c r="F5041" t="s">
        <v>31701</v>
      </c>
      <c r="G5041" t="s">
        <v>31702</v>
      </c>
      <c r="H5041" t="s">
        <v>31703</v>
      </c>
      <c r="I5041" t="s">
        <v>31704</v>
      </c>
      <c r="J5041" t="s">
        <v>31705</v>
      </c>
      <c r="K5041" t="s">
        <v>31706</v>
      </c>
      <c r="L5041" t="s">
        <v>31699</v>
      </c>
    </row>
    <row r="5042" spans="1:12" x14ac:dyDescent="0.25">
      <c r="A5042">
        <v>943621</v>
      </c>
      <c r="B5042">
        <v>943627</v>
      </c>
      <c r="D5042">
        <v>0</v>
      </c>
      <c r="F5042">
        <v>983117</v>
      </c>
      <c r="G5042">
        <v>943627</v>
      </c>
      <c r="H5042" t="s">
        <v>12</v>
      </c>
      <c r="I5042">
        <v>943621</v>
      </c>
      <c r="J5042" t="s">
        <v>12</v>
      </c>
      <c r="K5042" t="s">
        <v>31707</v>
      </c>
      <c r="L5042" t="s">
        <v>12</v>
      </c>
    </row>
    <row r="5043" spans="1:12" x14ac:dyDescent="0.25">
      <c r="A5043">
        <v>943621</v>
      </c>
      <c r="B5043">
        <v>945498</v>
      </c>
      <c r="D5043">
        <v>0</v>
      </c>
      <c r="E5043" t="s">
        <v>31709</v>
      </c>
      <c r="F5043" t="s">
        <v>31710</v>
      </c>
      <c r="G5043" t="s">
        <v>31711</v>
      </c>
      <c r="H5043" t="e" vm="2193">
        <f>_FV(0,"015212272491780754")</f>
        <v>#VALUE!</v>
      </c>
      <c r="I5043" t="s">
        <v>31712</v>
      </c>
      <c r="J5043" t="s">
        <v>31713</v>
      </c>
      <c r="K5043" t="s">
        <v>31714</v>
      </c>
      <c r="L5043" t="s">
        <v>31708</v>
      </c>
    </row>
    <row r="5044" spans="1:12" x14ac:dyDescent="0.25">
      <c r="A5044">
        <v>943627</v>
      </c>
      <c r="B5044">
        <v>943633</v>
      </c>
      <c r="D5044">
        <v>0</v>
      </c>
      <c r="F5044">
        <v>983126</v>
      </c>
      <c r="G5044">
        <v>943633</v>
      </c>
      <c r="H5044" t="s">
        <v>899</v>
      </c>
      <c r="I5044">
        <v>943627</v>
      </c>
      <c r="J5044" t="s">
        <v>899</v>
      </c>
      <c r="K5044" t="s">
        <v>31715</v>
      </c>
      <c r="L5044" t="s">
        <v>899</v>
      </c>
    </row>
    <row r="5045" spans="1:12" x14ac:dyDescent="0.25">
      <c r="A5045">
        <v>943627</v>
      </c>
      <c r="B5045">
        <v>945218</v>
      </c>
      <c r="D5045">
        <v>0</v>
      </c>
      <c r="E5045" t="s">
        <v>31717</v>
      </c>
      <c r="F5045" t="s">
        <v>31718</v>
      </c>
      <c r="G5045" t="s">
        <v>31719</v>
      </c>
      <c r="H5045" t="e" vm="2194">
        <f>_FV(0,"03729287084014772")</f>
        <v>#VALUE!</v>
      </c>
      <c r="I5045" t="s">
        <v>31720</v>
      </c>
      <c r="J5045" t="s">
        <v>31721</v>
      </c>
      <c r="K5045" t="s">
        <v>31722</v>
      </c>
      <c r="L5045" t="s">
        <v>31716</v>
      </c>
    </row>
    <row r="5046" spans="1:12" x14ac:dyDescent="0.25">
      <c r="A5046">
        <v>943633</v>
      </c>
      <c r="B5046">
        <v>1552659</v>
      </c>
      <c r="C5046" t="s">
        <v>31724</v>
      </c>
      <c r="D5046" t="s">
        <v>31725</v>
      </c>
      <c r="E5046" t="s">
        <v>31726</v>
      </c>
      <c r="F5046" t="s">
        <v>31727</v>
      </c>
      <c r="G5046" t="s">
        <v>31728</v>
      </c>
      <c r="H5046" t="s">
        <v>31729</v>
      </c>
      <c r="I5046" t="s">
        <v>31730</v>
      </c>
      <c r="J5046" t="s">
        <v>31731</v>
      </c>
      <c r="K5046" t="s">
        <v>31732</v>
      </c>
      <c r="L5046" t="s">
        <v>31723</v>
      </c>
    </row>
    <row r="5047" spans="1:12" x14ac:dyDescent="0.25">
      <c r="A5047">
        <v>943633</v>
      </c>
      <c r="B5047">
        <v>945498</v>
      </c>
      <c r="D5047">
        <v>0</v>
      </c>
      <c r="E5047" t="s">
        <v>31734</v>
      </c>
      <c r="F5047" t="s">
        <v>31735</v>
      </c>
      <c r="G5047" t="s">
        <v>31736</v>
      </c>
      <c r="H5047" t="s">
        <v>31737</v>
      </c>
      <c r="I5047" t="s">
        <v>31738</v>
      </c>
      <c r="J5047" t="s">
        <v>31733</v>
      </c>
      <c r="K5047" t="s">
        <v>31739</v>
      </c>
      <c r="L5047" t="s">
        <v>31733</v>
      </c>
    </row>
    <row r="5048" spans="1:12" x14ac:dyDescent="0.25">
      <c r="A5048">
        <v>943903</v>
      </c>
      <c r="B5048">
        <v>943911</v>
      </c>
      <c r="D5048">
        <v>0</v>
      </c>
      <c r="E5048" t="s">
        <v>31741</v>
      </c>
      <c r="F5048" t="s">
        <v>31742</v>
      </c>
      <c r="G5048" t="s">
        <v>31743</v>
      </c>
      <c r="H5048" t="e" vm="2195">
        <f>_FV(0,"06669754949701402")</f>
        <v>#VALUE!</v>
      </c>
      <c r="I5048" t="s">
        <v>31744</v>
      </c>
      <c r="J5048" t="s">
        <v>31745</v>
      </c>
      <c r="K5048" t="s">
        <v>31746</v>
      </c>
      <c r="L5048" t="s">
        <v>31740</v>
      </c>
    </row>
    <row r="5049" spans="1:12" x14ac:dyDescent="0.25">
      <c r="A5049">
        <v>943903</v>
      </c>
      <c r="B5049">
        <v>943911</v>
      </c>
      <c r="D5049">
        <v>0</v>
      </c>
      <c r="E5049" t="s">
        <v>31748</v>
      </c>
      <c r="F5049" t="s">
        <v>31749</v>
      </c>
      <c r="G5049" t="s">
        <v>31750</v>
      </c>
      <c r="H5049" t="e" vm="2196">
        <f>_FV(0,"06689580729294915")</f>
        <v>#VALUE!</v>
      </c>
      <c r="I5049" t="s">
        <v>31751</v>
      </c>
      <c r="J5049" t="s">
        <v>31752</v>
      </c>
      <c r="K5049" t="s">
        <v>31753</v>
      </c>
      <c r="L5049" t="s">
        <v>31747</v>
      </c>
    </row>
    <row r="5050" spans="1:12" x14ac:dyDescent="0.25">
      <c r="A5050">
        <v>943903</v>
      </c>
      <c r="B5050">
        <v>1854917</v>
      </c>
      <c r="D5050">
        <v>0</v>
      </c>
      <c r="E5050" t="s">
        <v>31754</v>
      </c>
      <c r="H5050" t="s">
        <v>187</v>
      </c>
      <c r="J5050">
        <v>0</v>
      </c>
      <c r="K5050" t="s">
        <v>31755</v>
      </c>
      <c r="L5050">
        <v>0</v>
      </c>
    </row>
    <row r="5051" spans="1:12" x14ac:dyDescent="0.25">
      <c r="A5051">
        <v>943904</v>
      </c>
      <c r="B5051">
        <v>943905</v>
      </c>
      <c r="D5051">
        <v>0</v>
      </c>
      <c r="E5051" t="s">
        <v>31757</v>
      </c>
      <c r="F5051" t="s">
        <v>31758</v>
      </c>
      <c r="G5051" t="s">
        <v>31759</v>
      </c>
      <c r="H5051" t="e" vm="2197">
        <f>_FV(0,"043883458733323055")</f>
        <v>#VALUE!</v>
      </c>
      <c r="I5051" t="s">
        <v>31760</v>
      </c>
      <c r="J5051" t="s">
        <v>31761</v>
      </c>
      <c r="K5051" t="s">
        <v>31762</v>
      </c>
      <c r="L5051" t="s">
        <v>31756</v>
      </c>
    </row>
    <row r="5052" spans="1:12" x14ac:dyDescent="0.25">
      <c r="A5052">
        <v>943904</v>
      </c>
      <c r="B5052">
        <v>1220319</v>
      </c>
      <c r="C5052" t="s">
        <v>31764</v>
      </c>
      <c r="D5052" t="s">
        <v>31765</v>
      </c>
      <c r="E5052" t="s">
        <v>31766</v>
      </c>
      <c r="F5052" t="s">
        <v>31767</v>
      </c>
      <c r="G5052" t="s">
        <v>31768</v>
      </c>
      <c r="H5052" t="s">
        <v>31769</v>
      </c>
      <c r="I5052" t="s">
        <v>31770</v>
      </c>
      <c r="J5052" t="s">
        <v>31771</v>
      </c>
      <c r="K5052" t="s">
        <v>31772</v>
      </c>
      <c r="L5052" t="s">
        <v>31763</v>
      </c>
    </row>
    <row r="5053" spans="1:12" x14ac:dyDescent="0.25">
      <c r="A5053">
        <v>943905</v>
      </c>
      <c r="B5053">
        <v>1853430</v>
      </c>
      <c r="C5053" t="s">
        <v>31774</v>
      </c>
      <c r="D5053" t="s">
        <v>31775</v>
      </c>
      <c r="E5053" t="s">
        <v>31776</v>
      </c>
      <c r="F5053" t="s">
        <v>31777</v>
      </c>
      <c r="G5053" t="s">
        <v>31778</v>
      </c>
      <c r="H5053" t="e" vm="2198">
        <f>_FV(0,"015522106400174698")</f>
        <v>#VALUE!</v>
      </c>
      <c r="I5053" t="s">
        <v>31779</v>
      </c>
      <c r="J5053" t="s">
        <v>31780</v>
      </c>
      <c r="K5053" t="s">
        <v>31781</v>
      </c>
      <c r="L5053" t="s">
        <v>31773</v>
      </c>
    </row>
    <row r="5054" spans="1:12" x14ac:dyDescent="0.25">
      <c r="A5054">
        <v>943911</v>
      </c>
      <c r="B5054">
        <v>944071</v>
      </c>
      <c r="D5054" t="s">
        <v>31783</v>
      </c>
      <c r="E5054" t="s">
        <v>31784</v>
      </c>
      <c r="F5054" t="s">
        <v>31785</v>
      </c>
      <c r="G5054" t="s">
        <v>31786</v>
      </c>
      <c r="H5054" t="s">
        <v>31787</v>
      </c>
      <c r="I5054" t="s">
        <v>31788</v>
      </c>
      <c r="J5054" t="s">
        <v>31789</v>
      </c>
      <c r="K5054" t="s">
        <v>31790</v>
      </c>
      <c r="L5054" t="s">
        <v>31782</v>
      </c>
    </row>
    <row r="5055" spans="1:12" x14ac:dyDescent="0.25">
      <c r="A5055">
        <v>944071</v>
      </c>
      <c r="B5055">
        <v>1824695</v>
      </c>
      <c r="D5055" t="s">
        <v>6006</v>
      </c>
      <c r="E5055" t="s">
        <v>31792</v>
      </c>
      <c r="F5055" t="s">
        <v>31793</v>
      </c>
      <c r="G5055" t="s">
        <v>31794</v>
      </c>
      <c r="H5055" t="s">
        <v>31795</v>
      </c>
      <c r="I5055" t="s">
        <v>31796</v>
      </c>
      <c r="J5055" t="s">
        <v>31797</v>
      </c>
      <c r="K5055" t="s">
        <v>31798</v>
      </c>
      <c r="L5055" t="s">
        <v>31791</v>
      </c>
    </row>
    <row r="5056" spans="1:12" x14ac:dyDescent="0.25">
      <c r="A5056">
        <v>944071</v>
      </c>
      <c r="B5056">
        <v>1824695</v>
      </c>
      <c r="D5056" t="s">
        <v>624</v>
      </c>
      <c r="E5056" t="s">
        <v>31800</v>
      </c>
      <c r="F5056" t="s">
        <v>31801</v>
      </c>
      <c r="G5056" t="s">
        <v>31802</v>
      </c>
      <c r="H5056" t="s">
        <v>31803</v>
      </c>
      <c r="I5056" t="s">
        <v>31804</v>
      </c>
      <c r="J5056" t="s">
        <v>31805</v>
      </c>
      <c r="K5056" t="s">
        <v>31806</v>
      </c>
      <c r="L5056" t="s">
        <v>31799</v>
      </c>
    </row>
    <row r="5057" spans="1:12" x14ac:dyDescent="0.25">
      <c r="A5057">
        <v>944549</v>
      </c>
      <c r="B5057">
        <v>945719</v>
      </c>
      <c r="D5057">
        <v>0</v>
      </c>
      <c r="E5057" t="s">
        <v>31808</v>
      </c>
      <c r="F5057" t="s">
        <v>31809</v>
      </c>
      <c r="G5057" t="s">
        <v>31810</v>
      </c>
      <c r="H5057" t="e" vm="2199">
        <f>_FV(0,"0470456864591818")</f>
        <v>#VALUE!</v>
      </c>
      <c r="I5057" t="s">
        <v>31811</v>
      </c>
      <c r="J5057" t="s">
        <v>31812</v>
      </c>
      <c r="K5057" t="s">
        <v>31813</v>
      </c>
      <c r="L5057" t="s">
        <v>31807</v>
      </c>
    </row>
    <row r="5058" spans="1:12" x14ac:dyDescent="0.25">
      <c r="A5058">
        <v>944549</v>
      </c>
      <c r="B5058">
        <v>945654</v>
      </c>
      <c r="D5058">
        <v>0</v>
      </c>
      <c r="E5058" t="s">
        <v>31815</v>
      </c>
      <c r="F5058" t="s">
        <v>31816</v>
      </c>
      <c r="G5058" t="s">
        <v>31817</v>
      </c>
      <c r="H5058" t="e" vm="2200">
        <f>_FV(0,"04609710186667604")</f>
        <v>#VALUE!</v>
      </c>
      <c r="I5058" t="s">
        <v>31818</v>
      </c>
      <c r="J5058" t="s">
        <v>31819</v>
      </c>
      <c r="K5058" t="s">
        <v>31820</v>
      </c>
      <c r="L5058" t="s">
        <v>31814</v>
      </c>
    </row>
    <row r="5059" spans="1:12" x14ac:dyDescent="0.25">
      <c r="A5059">
        <v>944549</v>
      </c>
      <c r="B5059">
        <v>1853468</v>
      </c>
      <c r="C5059" t="s">
        <v>31822</v>
      </c>
      <c r="D5059" t="s">
        <v>31823</v>
      </c>
      <c r="E5059" t="s">
        <v>31824</v>
      </c>
      <c r="F5059" t="s">
        <v>31825</v>
      </c>
      <c r="G5059" t="s">
        <v>31826</v>
      </c>
      <c r="H5059" t="e" vm="2201">
        <f>_FV(0,"003485693487122233")</f>
        <v>#VALUE!</v>
      </c>
      <c r="I5059" t="s">
        <v>31827</v>
      </c>
      <c r="J5059" t="s">
        <v>31828</v>
      </c>
      <c r="K5059" t="s">
        <v>31829</v>
      </c>
      <c r="L5059" t="s">
        <v>31821</v>
      </c>
    </row>
    <row r="5060" spans="1:12" x14ac:dyDescent="0.25">
      <c r="A5060">
        <v>945099</v>
      </c>
      <c r="B5060">
        <v>945218</v>
      </c>
      <c r="D5060">
        <v>0</v>
      </c>
      <c r="F5060">
        <v>989122</v>
      </c>
      <c r="G5060">
        <v>945218</v>
      </c>
      <c r="H5060" t="e" vm="185">
        <f>_FV(0,"033")</f>
        <v>#VALUE!</v>
      </c>
      <c r="I5060">
        <v>945099</v>
      </c>
      <c r="J5060" t="s">
        <v>2884</v>
      </c>
      <c r="K5060" t="s">
        <v>31830</v>
      </c>
      <c r="L5060" t="e" vm="185">
        <f>_FV(0,"033")</f>
        <v>#VALUE!</v>
      </c>
    </row>
    <row r="5061" spans="1:12" x14ac:dyDescent="0.25">
      <c r="A5061">
        <v>945099</v>
      </c>
      <c r="B5061">
        <v>948257</v>
      </c>
      <c r="D5061">
        <v>0</v>
      </c>
      <c r="F5061">
        <v>989115</v>
      </c>
      <c r="G5061">
        <v>945099</v>
      </c>
      <c r="H5061" t="s">
        <v>31831</v>
      </c>
      <c r="I5061">
        <v>948257</v>
      </c>
      <c r="J5061" t="s">
        <v>31831</v>
      </c>
      <c r="K5061" t="s">
        <v>31832</v>
      </c>
      <c r="L5061" t="s">
        <v>31831</v>
      </c>
    </row>
    <row r="5062" spans="1:12" x14ac:dyDescent="0.25">
      <c r="A5062">
        <v>945214</v>
      </c>
      <c r="B5062">
        <v>945232</v>
      </c>
      <c r="D5062">
        <v>0</v>
      </c>
      <c r="E5062" t="s">
        <v>31834</v>
      </c>
      <c r="F5062" t="s">
        <v>31835</v>
      </c>
      <c r="G5062" t="s">
        <v>31836</v>
      </c>
      <c r="H5062" t="s">
        <v>31837</v>
      </c>
      <c r="I5062" t="s">
        <v>31838</v>
      </c>
      <c r="J5062" t="s">
        <v>31833</v>
      </c>
      <c r="K5062" t="s">
        <v>31839</v>
      </c>
      <c r="L5062" t="s">
        <v>31833</v>
      </c>
    </row>
    <row r="5063" spans="1:12" x14ac:dyDescent="0.25">
      <c r="A5063">
        <v>945214</v>
      </c>
      <c r="B5063">
        <v>945350</v>
      </c>
      <c r="D5063" t="s">
        <v>514</v>
      </c>
      <c r="E5063" t="s">
        <v>31841</v>
      </c>
      <c r="F5063" t="s">
        <v>31842</v>
      </c>
      <c r="G5063" t="s">
        <v>31843</v>
      </c>
      <c r="H5063" t="s">
        <v>31844</v>
      </c>
      <c r="I5063" t="s">
        <v>31845</v>
      </c>
      <c r="J5063" t="s">
        <v>31846</v>
      </c>
      <c r="K5063" t="s">
        <v>31847</v>
      </c>
      <c r="L5063" t="s">
        <v>31840</v>
      </c>
    </row>
    <row r="5064" spans="1:12" x14ac:dyDescent="0.25">
      <c r="A5064">
        <v>945214</v>
      </c>
      <c r="B5064">
        <v>1220599</v>
      </c>
      <c r="D5064">
        <v>0</v>
      </c>
      <c r="F5064">
        <v>1312604</v>
      </c>
      <c r="G5064">
        <v>945214</v>
      </c>
      <c r="H5064" t="s">
        <v>1333</v>
      </c>
      <c r="I5064">
        <v>1220599</v>
      </c>
      <c r="J5064" t="s">
        <v>1333</v>
      </c>
      <c r="K5064" t="s">
        <v>31848</v>
      </c>
      <c r="L5064" t="s">
        <v>1333</v>
      </c>
    </row>
    <row r="5065" spans="1:12" x14ac:dyDescent="0.25">
      <c r="A5065">
        <v>945232</v>
      </c>
      <c r="B5065">
        <v>1220599</v>
      </c>
      <c r="D5065" t="s">
        <v>10659</v>
      </c>
      <c r="E5065" t="s">
        <v>31850</v>
      </c>
      <c r="F5065" t="s">
        <v>31851</v>
      </c>
      <c r="G5065" t="s">
        <v>31852</v>
      </c>
      <c r="H5065" t="s">
        <v>31853</v>
      </c>
      <c r="I5065" t="s">
        <v>31854</v>
      </c>
      <c r="J5065" t="s">
        <v>31855</v>
      </c>
      <c r="K5065" t="s">
        <v>31856</v>
      </c>
      <c r="L5065" t="s">
        <v>31849</v>
      </c>
    </row>
    <row r="5066" spans="1:12" x14ac:dyDescent="0.25">
      <c r="A5066">
        <v>945283</v>
      </c>
      <c r="B5066">
        <v>945313</v>
      </c>
      <c r="D5066">
        <v>0</v>
      </c>
      <c r="E5066" t="s">
        <v>31858</v>
      </c>
      <c r="F5066" t="s">
        <v>31859</v>
      </c>
      <c r="G5066" t="s">
        <v>31860</v>
      </c>
      <c r="H5066" t="e" vm="2202">
        <f>_FV(-4,"0397498843712065e")-5</f>
        <v>#VALUE!</v>
      </c>
      <c r="I5066" t="s">
        <v>31861</v>
      </c>
      <c r="J5066" t="s">
        <v>31862</v>
      </c>
      <c r="K5066" t="s">
        <v>31863</v>
      </c>
      <c r="L5066" t="s">
        <v>31857</v>
      </c>
    </row>
    <row r="5067" spans="1:12" x14ac:dyDescent="0.25">
      <c r="A5067">
        <v>945283</v>
      </c>
      <c r="B5067">
        <v>945330</v>
      </c>
      <c r="D5067">
        <v>0</v>
      </c>
      <c r="E5067" t="s">
        <v>31865</v>
      </c>
      <c r="F5067" t="s">
        <v>31866</v>
      </c>
      <c r="G5067" t="s">
        <v>31867</v>
      </c>
      <c r="H5067" t="s">
        <v>31868</v>
      </c>
      <c r="I5067" t="s">
        <v>31869</v>
      </c>
      <c r="J5067" t="s">
        <v>31864</v>
      </c>
      <c r="K5067" t="s">
        <v>31870</v>
      </c>
      <c r="L5067" t="s">
        <v>31864</v>
      </c>
    </row>
    <row r="5068" spans="1:12" x14ac:dyDescent="0.25">
      <c r="A5068">
        <v>945313</v>
      </c>
      <c r="B5068">
        <v>945323</v>
      </c>
      <c r="D5068">
        <v>0</v>
      </c>
      <c r="E5068" t="s">
        <v>31872</v>
      </c>
      <c r="F5068" t="s">
        <v>31873</v>
      </c>
      <c r="G5068" t="s">
        <v>31874</v>
      </c>
      <c r="H5068" t="e" vm="2203">
        <f>_FV(0,"02905888511080698")</f>
        <v>#VALUE!</v>
      </c>
      <c r="I5068" t="s">
        <v>31875</v>
      </c>
      <c r="J5068" t="s">
        <v>31876</v>
      </c>
      <c r="K5068" t="s">
        <v>31877</v>
      </c>
      <c r="L5068" t="s">
        <v>31871</v>
      </c>
    </row>
    <row r="5069" spans="1:12" x14ac:dyDescent="0.25">
      <c r="A5069">
        <v>945313</v>
      </c>
      <c r="B5069">
        <v>1205259</v>
      </c>
      <c r="D5069">
        <v>0</v>
      </c>
      <c r="E5069" t="s">
        <v>31879</v>
      </c>
      <c r="F5069" t="s">
        <v>31880</v>
      </c>
      <c r="G5069" t="s">
        <v>31881</v>
      </c>
      <c r="H5069" t="s">
        <v>31882</v>
      </c>
      <c r="I5069" t="s">
        <v>31883</v>
      </c>
      <c r="J5069" t="s">
        <v>31884</v>
      </c>
      <c r="K5069" t="s">
        <v>31885</v>
      </c>
      <c r="L5069" t="s">
        <v>31878</v>
      </c>
    </row>
    <row r="5070" spans="1:12" x14ac:dyDescent="0.25">
      <c r="A5070">
        <v>945323</v>
      </c>
      <c r="B5070">
        <v>945330</v>
      </c>
      <c r="D5070">
        <v>0</v>
      </c>
      <c r="E5070" t="s">
        <v>31887</v>
      </c>
      <c r="F5070" t="s">
        <v>31888</v>
      </c>
      <c r="G5070" t="s">
        <v>31889</v>
      </c>
      <c r="H5070" t="e" vm="2204">
        <f>_FV(0,"000954854550269506")</f>
        <v>#VALUE!</v>
      </c>
      <c r="I5070" t="s">
        <v>31890</v>
      </c>
      <c r="J5070" t="s">
        <v>31891</v>
      </c>
      <c r="K5070" t="s">
        <v>31892</v>
      </c>
      <c r="L5070" t="s">
        <v>31886</v>
      </c>
    </row>
    <row r="5071" spans="1:12" x14ac:dyDescent="0.25">
      <c r="A5071">
        <v>945323</v>
      </c>
      <c r="B5071">
        <v>1205259</v>
      </c>
      <c r="D5071">
        <v>0</v>
      </c>
      <c r="E5071" t="s">
        <v>31894</v>
      </c>
      <c r="F5071" t="s">
        <v>31895</v>
      </c>
      <c r="G5071" t="s">
        <v>31896</v>
      </c>
      <c r="H5071" t="s">
        <v>31897</v>
      </c>
      <c r="I5071" t="s">
        <v>31898</v>
      </c>
      <c r="J5071" t="s">
        <v>31899</v>
      </c>
      <c r="K5071" t="s">
        <v>31900</v>
      </c>
      <c r="L5071" t="s">
        <v>31893</v>
      </c>
    </row>
    <row r="5072" spans="1:12" x14ac:dyDescent="0.25">
      <c r="A5072">
        <v>945347</v>
      </c>
      <c r="B5072">
        <v>945379</v>
      </c>
      <c r="D5072">
        <v>0</v>
      </c>
      <c r="E5072" t="s">
        <v>31902</v>
      </c>
      <c r="F5072" t="s">
        <v>31903</v>
      </c>
      <c r="G5072" t="s">
        <v>31904</v>
      </c>
      <c r="H5072" t="e" vm="2205">
        <f>_FV(0,"02544005632262557")</f>
        <v>#VALUE!</v>
      </c>
      <c r="I5072" t="s">
        <v>31905</v>
      </c>
      <c r="J5072" t="s">
        <v>31906</v>
      </c>
      <c r="K5072" t="s">
        <v>31907</v>
      </c>
      <c r="L5072" t="s">
        <v>31901</v>
      </c>
    </row>
    <row r="5073" spans="1:12" x14ac:dyDescent="0.25">
      <c r="A5073">
        <v>945347</v>
      </c>
      <c r="B5073">
        <v>945350</v>
      </c>
      <c r="D5073">
        <v>0</v>
      </c>
      <c r="E5073" t="s">
        <v>31909</v>
      </c>
      <c r="F5073" t="s">
        <v>31910</v>
      </c>
      <c r="G5073" t="s">
        <v>31911</v>
      </c>
      <c r="H5073" t="s">
        <v>31912</v>
      </c>
      <c r="I5073" t="s">
        <v>31913</v>
      </c>
      <c r="J5073" t="s">
        <v>31908</v>
      </c>
      <c r="K5073" t="s">
        <v>31914</v>
      </c>
      <c r="L5073" t="s">
        <v>31908</v>
      </c>
    </row>
    <row r="5074" spans="1:12" x14ac:dyDescent="0.25">
      <c r="A5074">
        <v>945347</v>
      </c>
      <c r="B5074">
        <v>945385</v>
      </c>
      <c r="D5074">
        <v>0</v>
      </c>
      <c r="F5074">
        <v>985268</v>
      </c>
      <c r="G5074">
        <v>945347</v>
      </c>
      <c r="H5074" t="s">
        <v>31915</v>
      </c>
      <c r="I5074">
        <v>945385</v>
      </c>
      <c r="J5074" t="s">
        <v>31915</v>
      </c>
      <c r="K5074" t="s">
        <v>31916</v>
      </c>
      <c r="L5074" t="s">
        <v>31915</v>
      </c>
    </row>
    <row r="5075" spans="1:12" x14ac:dyDescent="0.25">
      <c r="A5075">
        <v>945350</v>
      </c>
      <c r="B5075">
        <v>945417</v>
      </c>
      <c r="D5075">
        <v>0</v>
      </c>
      <c r="E5075" t="s">
        <v>31918</v>
      </c>
      <c r="F5075" t="s">
        <v>31919</v>
      </c>
      <c r="G5075" t="s">
        <v>31920</v>
      </c>
      <c r="H5075" t="s">
        <v>31921</v>
      </c>
      <c r="I5075" t="s">
        <v>31922</v>
      </c>
      <c r="J5075" t="s">
        <v>31917</v>
      </c>
      <c r="K5075" t="s">
        <v>31923</v>
      </c>
      <c r="L5075" t="s">
        <v>31917</v>
      </c>
    </row>
    <row r="5076" spans="1:12" x14ac:dyDescent="0.25">
      <c r="A5076">
        <v>945379</v>
      </c>
      <c r="B5076">
        <v>945385</v>
      </c>
      <c r="D5076">
        <v>0</v>
      </c>
      <c r="F5076">
        <v>985261</v>
      </c>
      <c r="G5076">
        <v>945385</v>
      </c>
      <c r="H5076" t="s">
        <v>31924</v>
      </c>
      <c r="I5076">
        <v>945379</v>
      </c>
      <c r="J5076" t="s">
        <v>31924</v>
      </c>
      <c r="K5076" t="s">
        <v>31925</v>
      </c>
      <c r="L5076" t="s">
        <v>31924</v>
      </c>
    </row>
    <row r="5077" spans="1:12" x14ac:dyDescent="0.25">
      <c r="A5077">
        <v>945379</v>
      </c>
      <c r="B5077">
        <v>945406</v>
      </c>
      <c r="D5077">
        <v>0</v>
      </c>
      <c r="E5077" t="s">
        <v>31927</v>
      </c>
      <c r="F5077" t="s">
        <v>31928</v>
      </c>
      <c r="G5077" t="s">
        <v>31929</v>
      </c>
      <c r="H5077" t="e" vm="2206">
        <f>_FV(0,"04936278904012825")</f>
        <v>#VALUE!</v>
      </c>
      <c r="I5077" t="s">
        <v>31930</v>
      </c>
      <c r="J5077" t="s">
        <v>31931</v>
      </c>
      <c r="K5077" t="s">
        <v>31932</v>
      </c>
      <c r="L5077" t="s">
        <v>31926</v>
      </c>
    </row>
    <row r="5078" spans="1:12" x14ac:dyDescent="0.25">
      <c r="A5078">
        <v>945385</v>
      </c>
      <c r="B5078">
        <v>945389</v>
      </c>
      <c r="D5078">
        <v>0</v>
      </c>
      <c r="E5078" t="s">
        <v>31934</v>
      </c>
      <c r="F5078" t="s">
        <v>31935</v>
      </c>
      <c r="G5078" t="s">
        <v>31936</v>
      </c>
      <c r="H5078" t="s">
        <v>31937</v>
      </c>
      <c r="I5078" t="s">
        <v>31938</v>
      </c>
      <c r="J5078" t="s">
        <v>31933</v>
      </c>
      <c r="K5078" t="s">
        <v>31939</v>
      </c>
      <c r="L5078" t="s">
        <v>31933</v>
      </c>
    </row>
    <row r="5079" spans="1:12" x14ac:dyDescent="0.25">
      <c r="A5079">
        <v>945389</v>
      </c>
      <c r="B5079">
        <v>945433</v>
      </c>
      <c r="D5079">
        <v>0</v>
      </c>
      <c r="F5079">
        <v>1312692</v>
      </c>
      <c r="G5079">
        <v>945433</v>
      </c>
      <c r="H5079" t="e" vm="184">
        <f>_FV(0,"031")</f>
        <v>#VALUE!</v>
      </c>
      <c r="I5079">
        <v>945389</v>
      </c>
      <c r="J5079" t="s">
        <v>2871</v>
      </c>
      <c r="K5079" t="s">
        <v>31940</v>
      </c>
      <c r="L5079" t="e" vm="184">
        <f>_FV(0,"031")</f>
        <v>#VALUE!</v>
      </c>
    </row>
    <row r="5080" spans="1:12" x14ac:dyDescent="0.25">
      <c r="A5080">
        <v>945389</v>
      </c>
      <c r="B5080">
        <v>945417</v>
      </c>
      <c r="D5080" t="s">
        <v>204</v>
      </c>
      <c r="E5080" t="s">
        <v>31942</v>
      </c>
      <c r="F5080" t="s">
        <v>31943</v>
      </c>
      <c r="G5080" t="s">
        <v>31944</v>
      </c>
      <c r="H5080" t="e" vm="2207">
        <f>_FV(0,"009878768114661152")</f>
        <v>#VALUE!</v>
      </c>
      <c r="I5080" t="s">
        <v>31945</v>
      </c>
      <c r="J5080" t="s">
        <v>31946</v>
      </c>
      <c r="K5080" t="s">
        <v>31947</v>
      </c>
      <c r="L5080" t="s">
        <v>31941</v>
      </c>
    </row>
    <row r="5081" spans="1:12" x14ac:dyDescent="0.25">
      <c r="A5081">
        <v>945394</v>
      </c>
      <c r="B5081">
        <v>945412</v>
      </c>
      <c r="D5081">
        <v>0</v>
      </c>
      <c r="E5081" t="s">
        <v>31949</v>
      </c>
      <c r="F5081" t="s">
        <v>31950</v>
      </c>
      <c r="G5081" t="s">
        <v>31951</v>
      </c>
      <c r="H5081" t="s">
        <v>31952</v>
      </c>
      <c r="I5081" t="s">
        <v>31953</v>
      </c>
      <c r="J5081" t="s">
        <v>31954</v>
      </c>
      <c r="K5081" t="s">
        <v>31955</v>
      </c>
      <c r="L5081" t="s">
        <v>31948</v>
      </c>
    </row>
    <row r="5082" spans="1:12" x14ac:dyDescent="0.25">
      <c r="A5082">
        <v>945394</v>
      </c>
      <c r="B5082">
        <v>945426</v>
      </c>
      <c r="D5082">
        <v>0</v>
      </c>
      <c r="E5082" t="s">
        <v>31957</v>
      </c>
      <c r="F5082" t="s">
        <v>31958</v>
      </c>
      <c r="G5082" t="s">
        <v>31959</v>
      </c>
      <c r="H5082" t="e" vm="2208">
        <f>_FV(0,"03292460434182279")</f>
        <v>#VALUE!</v>
      </c>
      <c r="I5082" t="s">
        <v>31960</v>
      </c>
      <c r="J5082" t="s">
        <v>31961</v>
      </c>
      <c r="K5082" t="s">
        <v>31962</v>
      </c>
      <c r="L5082" t="s">
        <v>31956</v>
      </c>
    </row>
    <row r="5083" spans="1:12" x14ac:dyDescent="0.25">
      <c r="A5083">
        <v>945394</v>
      </c>
      <c r="B5083">
        <v>1205999</v>
      </c>
      <c r="D5083">
        <v>0</v>
      </c>
      <c r="E5083" t="s">
        <v>31964</v>
      </c>
      <c r="F5083" t="s">
        <v>31965</v>
      </c>
      <c r="G5083" t="s">
        <v>31966</v>
      </c>
      <c r="H5083" t="e" vm="2209">
        <f>_FV(0,"05014043251398852")</f>
        <v>#VALUE!</v>
      </c>
      <c r="I5083" t="s">
        <v>31967</v>
      </c>
      <c r="J5083" t="s">
        <v>31968</v>
      </c>
      <c r="K5083" t="s">
        <v>31969</v>
      </c>
      <c r="L5083" t="s">
        <v>31963</v>
      </c>
    </row>
    <row r="5084" spans="1:12" x14ac:dyDescent="0.25">
      <c r="A5084">
        <v>945406</v>
      </c>
      <c r="B5084">
        <v>945417</v>
      </c>
      <c r="D5084" t="s">
        <v>330</v>
      </c>
      <c r="E5084" t="s">
        <v>31971</v>
      </c>
      <c r="F5084" t="s">
        <v>31972</v>
      </c>
      <c r="G5084" t="s">
        <v>31973</v>
      </c>
      <c r="H5084" t="s">
        <v>31974</v>
      </c>
      <c r="I5084" t="s">
        <v>31975</v>
      </c>
      <c r="J5084" t="s">
        <v>31976</v>
      </c>
      <c r="K5084" t="s">
        <v>31977</v>
      </c>
      <c r="L5084" t="s">
        <v>31970</v>
      </c>
    </row>
    <row r="5085" spans="1:12" x14ac:dyDescent="0.25">
      <c r="A5085">
        <v>945406</v>
      </c>
      <c r="B5085">
        <v>945433</v>
      </c>
      <c r="D5085">
        <v>0</v>
      </c>
      <c r="E5085" t="s">
        <v>31979</v>
      </c>
      <c r="F5085" t="s">
        <v>31980</v>
      </c>
      <c r="G5085" t="s">
        <v>31981</v>
      </c>
      <c r="H5085" t="s">
        <v>31982</v>
      </c>
      <c r="I5085" t="s">
        <v>31983</v>
      </c>
      <c r="J5085" t="s">
        <v>31984</v>
      </c>
      <c r="K5085" t="s">
        <v>31985</v>
      </c>
      <c r="L5085" t="s">
        <v>31978</v>
      </c>
    </row>
    <row r="5086" spans="1:12" x14ac:dyDescent="0.25">
      <c r="A5086">
        <v>945412</v>
      </c>
      <c r="B5086">
        <v>945420</v>
      </c>
      <c r="D5086">
        <v>0</v>
      </c>
      <c r="E5086" t="s">
        <v>31987</v>
      </c>
      <c r="F5086" t="s">
        <v>31988</v>
      </c>
      <c r="G5086" t="s">
        <v>31989</v>
      </c>
      <c r="H5086" t="s">
        <v>31990</v>
      </c>
      <c r="I5086" t="s">
        <v>31991</v>
      </c>
      <c r="J5086" t="s">
        <v>31986</v>
      </c>
      <c r="K5086" t="s">
        <v>31992</v>
      </c>
      <c r="L5086" t="s">
        <v>31986</v>
      </c>
    </row>
    <row r="5087" spans="1:12" x14ac:dyDescent="0.25">
      <c r="A5087">
        <v>945420</v>
      </c>
      <c r="B5087">
        <v>945426</v>
      </c>
      <c r="D5087">
        <v>0</v>
      </c>
      <c r="E5087" t="s">
        <v>31994</v>
      </c>
      <c r="F5087" t="s">
        <v>31995</v>
      </c>
      <c r="G5087" t="s">
        <v>31996</v>
      </c>
      <c r="H5087" t="e" vm="2210">
        <f>_FV(0,"027528693820918115")</f>
        <v>#VALUE!</v>
      </c>
      <c r="I5087" t="s">
        <v>31997</v>
      </c>
      <c r="J5087" t="s">
        <v>31998</v>
      </c>
      <c r="K5087" t="s">
        <v>31999</v>
      </c>
      <c r="L5087" t="s">
        <v>31993</v>
      </c>
    </row>
    <row r="5088" spans="1:12" x14ac:dyDescent="0.25">
      <c r="A5088">
        <v>945426</v>
      </c>
      <c r="B5088">
        <v>1205999</v>
      </c>
      <c r="D5088">
        <v>0</v>
      </c>
      <c r="E5088" t="s">
        <v>32001</v>
      </c>
      <c r="F5088" t="s">
        <v>32002</v>
      </c>
      <c r="G5088" t="s">
        <v>32003</v>
      </c>
      <c r="H5088" t="e" vm="2211">
        <f>_FV(0,"03573405266604328")</f>
        <v>#VALUE!</v>
      </c>
      <c r="I5088" t="s">
        <v>32004</v>
      </c>
      <c r="J5088" t="s">
        <v>32005</v>
      </c>
      <c r="K5088" t="s">
        <v>32006</v>
      </c>
      <c r="L5088" t="s">
        <v>32000</v>
      </c>
    </row>
    <row r="5089" spans="1:12" x14ac:dyDescent="0.25">
      <c r="A5089">
        <v>945433</v>
      </c>
      <c r="B5089">
        <v>1205999</v>
      </c>
      <c r="C5089" t="s">
        <v>32008</v>
      </c>
      <c r="D5089">
        <v>0</v>
      </c>
      <c r="E5089" t="s">
        <v>32009</v>
      </c>
      <c r="F5089" t="s">
        <v>32010</v>
      </c>
      <c r="G5089" t="s">
        <v>32011</v>
      </c>
      <c r="H5089" t="s">
        <v>32012</v>
      </c>
      <c r="I5089" t="s">
        <v>32013</v>
      </c>
      <c r="J5089" t="s">
        <v>32014</v>
      </c>
      <c r="K5089" t="s">
        <v>32015</v>
      </c>
      <c r="L5089" t="s">
        <v>32007</v>
      </c>
    </row>
    <row r="5090" spans="1:12" x14ac:dyDescent="0.25">
      <c r="A5090">
        <v>945503</v>
      </c>
      <c r="B5090">
        <v>945504</v>
      </c>
      <c r="D5090">
        <v>0</v>
      </c>
      <c r="F5090">
        <v>985432</v>
      </c>
      <c r="G5090">
        <v>945504</v>
      </c>
      <c r="H5090" t="e" vm="215">
        <f>_FV(0,"02")</f>
        <v>#VALUE!</v>
      </c>
      <c r="I5090">
        <v>945503</v>
      </c>
      <c r="J5090" t="s">
        <v>3317</v>
      </c>
      <c r="K5090" t="s">
        <v>32016</v>
      </c>
      <c r="L5090" t="e" vm="215">
        <f>_FV(0,"02")</f>
        <v>#VALUE!</v>
      </c>
    </row>
    <row r="5091" spans="1:12" x14ac:dyDescent="0.25">
      <c r="A5091">
        <v>945503</v>
      </c>
      <c r="B5091">
        <v>945580</v>
      </c>
      <c r="D5091">
        <v>0</v>
      </c>
      <c r="E5091" t="s">
        <v>32017</v>
      </c>
      <c r="F5091" t="s">
        <v>32018</v>
      </c>
      <c r="G5091" t="s">
        <v>32019</v>
      </c>
      <c r="H5091" t="e" vm="2212">
        <f>_FV(0,"016007741336280464")</f>
        <v>#VALUE!</v>
      </c>
      <c r="I5091" t="s">
        <v>32020</v>
      </c>
      <c r="J5091" t="s">
        <v>9876</v>
      </c>
      <c r="K5091" t="s">
        <v>32021</v>
      </c>
      <c r="L5091" t="s">
        <v>9871</v>
      </c>
    </row>
    <row r="5092" spans="1:12" x14ac:dyDescent="0.25">
      <c r="A5092">
        <v>945504</v>
      </c>
      <c r="B5092">
        <v>945511</v>
      </c>
      <c r="D5092">
        <v>0</v>
      </c>
      <c r="E5092" t="s">
        <v>32023</v>
      </c>
      <c r="F5092" t="s">
        <v>32024</v>
      </c>
      <c r="G5092" t="s">
        <v>32025</v>
      </c>
      <c r="H5092" t="e" vm="2213">
        <f>_FV(0,"05946586749643973")</f>
        <v>#VALUE!</v>
      </c>
      <c r="I5092" t="s">
        <v>32026</v>
      </c>
      <c r="J5092" t="s">
        <v>32027</v>
      </c>
      <c r="K5092" t="s">
        <v>32028</v>
      </c>
      <c r="L5092" t="s">
        <v>32022</v>
      </c>
    </row>
    <row r="5093" spans="1:12" x14ac:dyDescent="0.25">
      <c r="A5093">
        <v>945511</v>
      </c>
      <c r="B5093">
        <v>945527</v>
      </c>
      <c r="D5093">
        <v>0</v>
      </c>
      <c r="E5093" t="s">
        <v>32030</v>
      </c>
      <c r="F5093" t="s">
        <v>32031</v>
      </c>
      <c r="G5093" t="s">
        <v>32032</v>
      </c>
      <c r="H5093" t="s">
        <v>32033</v>
      </c>
      <c r="I5093" t="s">
        <v>32034</v>
      </c>
      <c r="J5093" t="s">
        <v>32035</v>
      </c>
      <c r="K5093" t="s">
        <v>32036</v>
      </c>
      <c r="L5093" t="s">
        <v>32029</v>
      </c>
    </row>
    <row r="5094" spans="1:12" x14ac:dyDescent="0.25">
      <c r="A5094">
        <v>945527</v>
      </c>
      <c r="B5094">
        <v>945545</v>
      </c>
      <c r="D5094">
        <v>0</v>
      </c>
      <c r="E5094" t="s">
        <v>32038</v>
      </c>
      <c r="F5094" t="s">
        <v>32039</v>
      </c>
      <c r="G5094" t="s">
        <v>32040</v>
      </c>
      <c r="H5094" t="e" vm="2214">
        <f>_FV(0,"008669330902035699")</f>
        <v>#VALUE!</v>
      </c>
      <c r="I5094" t="s">
        <v>32041</v>
      </c>
      <c r="J5094" t="s">
        <v>32042</v>
      </c>
      <c r="K5094" t="s">
        <v>32043</v>
      </c>
      <c r="L5094" t="s">
        <v>32037</v>
      </c>
    </row>
    <row r="5095" spans="1:12" x14ac:dyDescent="0.25">
      <c r="A5095">
        <v>945527</v>
      </c>
      <c r="B5095">
        <v>947480</v>
      </c>
      <c r="D5095">
        <v>0</v>
      </c>
      <c r="E5095" t="s">
        <v>32045</v>
      </c>
      <c r="F5095" t="s">
        <v>32046</v>
      </c>
      <c r="G5095" t="s">
        <v>32047</v>
      </c>
      <c r="H5095" t="s">
        <v>32048</v>
      </c>
      <c r="I5095" t="s">
        <v>32049</v>
      </c>
      <c r="J5095" t="s">
        <v>32050</v>
      </c>
      <c r="K5095" t="s">
        <v>32051</v>
      </c>
      <c r="L5095" t="s">
        <v>32044</v>
      </c>
    </row>
    <row r="5096" spans="1:12" x14ac:dyDescent="0.25">
      <c r="A5096">
        <v>945545</v>
      </c>
      <c r="B5096">
        <v>945580</v>
      </c>
      <c r="D5096">
        <v>0</v>
      </c>
      <c r="F5096">
        <v>985519</v>
      </c>
      <c r="G5096">
        <v>945580</v>
      </c>
      <c r="H5096" t="e" vm="1300">
        <f>_FV(0,"013")</f>
        <v>#VALUE!</v>
      </c>
      <c r="I5096">
        <v>945545</v>
      </c>
      <c r="J5096" t="s">
        <v>30</v>
      </c>
      <c r="K5096" t="s">
        <v>32052</v>
      </c>
      <c r="L5096" t="e" vm="1300">
        <f>_FV(0,"013")</f>
        <v>#VALUE!</v>
      </c>
    </row>
    <row r="5097" spans="1:12" x14ac:dyDescent="0.25">
      <c r="A5097">
        <v>945545</v>
      </c>
      <c r="B5097">
        <v>947480</v>
      </c>
      <c r="D5097">
        <v>0</v>
      </c>
      <c r="E5097" t="s">
        <v>32054</v>
      </c>
      <c r="F5097" t="s">
        <v>32055</v>
      </c>
      <c r="G5097" t="s">
        <v>32056</v>
      </c>
      <c r="H5097" t="s">
        <v>32057</v>
      </c>
      <c r="I5097" t="s">
        <v>32058</v>
      </c>
      <c r="J5097" t="s">
        <v>32059</v>
      </c>
      <c r="K5097" t="s">
        <v>32060</v>
      </c>
      <c r="L5097" t="s">
        <v>32053</v>
      </c>
    </row>
    <row r="5098" spans="1:12" x14ac:dyDescent="0.25">
      <c r="A5098">
        <v>945654</v>
      </c>
      <c r="B5098">
        <v>945705</v>
      </c>
      <c r="D5098">
        <v>0</v>
      </c>
      <c r="E5098" t="s">
        <v>32062</v>
      </c>
      <c r="F5098" t="s">
        <v>32063</v>
      </c>
      <c r="G5098" t="s">
        <v>32064</v>
      </c>
      <c r="H5098" t="e" vm="2215">
        <f>_FV(0,"04207822289123757")</f>
        <v>#VALUE!</v>
      </c>
      <c r="I5098" t="s">
        <v>32065</v>
      </c>
      <c r="J5098" t="s">
        <v>32066</v>
      </c>
      <c r="K5098" t="s">
        <v>32067</v>
      </c>
      <c r="L5098" t="s">
        <v>32061</v>
      </c>
    </row>
    <row r="5099" spans="1:12" x14ac:dyDescent="0.25">
      <c r="A5099">
        <v>945654</v>
      </c>
      <c r="B5099">
        <v>945719</v>
      </c>
      <c r="D5099">
        <v>0</v>
      </c>
      <c r="E5099" t="s">
        <v>32069</v>
      </c>
      <c r="F5099" t="s">
        <v>32070</v>
      </c>
      <c r="G5099" t="s">
        <v>32071</v>
      </c>
      <c r="H5099" t="e" vm="2216">
        <f>_FV(0,"005082625160372593")</f>
        <v>#VALUE!</v>
      </c>
      <c r="I5099" t="s">
        <v>32072</v>
      </c>
      <c r="J5099" t="s">
        <v>932</v>
      </c>
      <c r="K5099" t="s">
        <v>32073</v>
      </c>
      <c r="L5099" t="s">
        <v>32068</v>
      </c>
    </row>
    <row r="5100" spans="1:12" x14ac:dyDescent="0.25">
      <c r="A5100">
        <v>945732</v>
      </c>
      <c r="B5100">
        <v>945733</v>
      </c>
      <c r="D5100">
        <v>0</v>
      </c>
      <c r="F5100">
        <v>985670</v>
      </c>
      <c r="G5100">
        <v>945733</v>
      </c>
      <c r="H5100" t="s">
        <v>1939</v>
      </c>
      <c r="I5100">
        <v>945732</v>
      </c>
      <c r="J5100" t="s">
        <v>1939</v>
      </c>
      <c r="K5100" t="s">
        <v>32074</v>
      </c>
      <c r="L5100" t="s">
        <v>1939</v>
      </c>
    </row>
    <row r="5101" spans="1:12" x14ac:dyDescent="0.25">
      <c r="A5101">
        <v>945782</v>
      </c>
      <c r="B5101">
        <v>945783</v>
      </c>
      <c r="D5101">
        <v>0</v>
      </c>
      <c r="F5101">
        <v>985737</v>
      </c>
      <c r="G5101">
        <v>945783</v>
      </c>
      <c r="H5101" t="s">
        <v>7225</v>
      </c>
      <c r="I5101">
        <v>945782</v>
      </c>
      <c r="J5101" t="s">
        <v>7225</v>
      </c>
      <c r="K5101" t="s">
        <v>32075</v>
      </c>
      <c r="L5101" t="s">
        <v>7225</v>
      </c>
    </row>
    <row r="5102" spans="1:12" x14ac:dyDescent="0.25">
      <c r="A5102">
        <v>946415</v>
      </c>
      <c r="B5102">
        <v>946421</v>
      </c>
      <c r="D5102">
        <v>0</v>
      </c>
      <c r="E5102" t="s">
        <v>32077</v>
      </c>
      <c r="F5102" t="s">
        <v>32078</v>
      </c>
      <c r="G5102" t="s">
        <v>32079</v>
      </c>
      <c r="H5102" t="e" vm="2217">
        <f>_FV(0,"030616432079741827")</f>
        <v>#VALUE!</v>
      </c>
      <c r="I5102" t="s">
        <v>32080</v>
      </c>
      <c r="J5102" t="s">
        <v>32081</v>
      </c>
      <c r="K5102" t="s">
        <v>32082</v>
      </c>
      <c r="L5102" t="s">
        <v>32076</v>
      </c>
    </row>
    <row r="5103" spans="1:12" x14ac:dyDescent="0.25">
      <c r="A5103">
        <v>946415</v>
      </c>
      <c r="B5103">
        <v>946421</v>
      </c>
      <c r="D5103">
        <v>0</v>
      </c>
      <c r="E5103" t="s">
        <v>32084</v>
      </c>
      <c r="F5103" t="s">
        <v>32085</v>
      </c>
      <c r="G5103" t="s">
        <v>32086</v>
      </c>
      <c r="H5103" t="e" vm="2218">
        <f>_FV(0,"029968414238064137")</f>
        <v>#VALUE!</v>
      </c>
      <c r="I5103" t="s">
        <v>32087</v>
      </c>
      <c r="J5103" t="s">
        <v>32088</v>
      </c>
      <c r="K5103" t="s">
        <v>32089</v>
      </c>
      <c r="L5103" t="s">
        <v>32083</v>
      </c>
    </row>
    <row r="5104" spans="1:12" x14ac:dyDescent="0.25">
      <c r="A5104">
        <v>946415</v>
      </c>
      <c r="B5104">
        <v>1236482</v>
      </c>
      <c r="C5104" t="s">
        <v>32091</v>
      </c>
      <c r="D5104" t="s">
        <v>32092</v>
      </c>
      <c r="E5104" t="s">
        <v>32093</v>
      </c>
      <c r="F5104" t="s">
        <v>32094</v>
      </c>
      <c r="G5104" t="s">
        <v>32095</v>
      </c>
      <c r="H5104" t="e" vm="2219">
        <f>_FV(0,"006716050467800449")</f>
        <v>#VALUE!</v>
      </c>
      <c r="I5104" t="s">
        <v>32096</v>
      </c>
      <c r="J5104" t="s">
        <v>32097</v>
      </c>
      <c r="K5104" t="s">
        <v>32098</v>
      </c>
      <c r="L5104" t="s">
        <v>32090</v>
      </c>
    </row>
    <row r="5105" spans="1:12" x14ac:dyDescent="0.25">
      <c r="A5105">
        <v>946722</v>
      </c>
      <c r="B5105">
        <v>946730</v>
      </c>
      <c r="D5105">
        <v>0</v>
      </c>
      <c r="E5105" t="s">
        <v>32100</v>
      </c>
      <c r="F5105" t="s">
        <v>32101</v>
      </c>
      <c r="G5105" t="s">
        <v>32102</v>
      </c>
      <c r="H5105" t="e" vm="2220">
        <f>_FV(0,"0034534851444556337")</f>
        <v>#VALUE!</v>
      </c>
      <c r="I5105" t="s">
        <v>32103</v>
      </c>
      <c r="J5105" t="s">
        <v>32104</v>
      </c>
      <c r="K5105" t="s">
        <v>32105</v>
      </c>
      <c r="L5105" t="s">
        <v>32099</v>
      </c>
    </row>
    <row r="5106" spans="1:12" x14ac:dyDescent="0.25">
      <c r="A5106">
        <v>946722</v>
      </c>
      <c r="B5106">
        <v>946730</v>
      </c>
      <c r="D5106">
        <v>0</v>
      </c>
      <c r="E5106" t="s">
        <v>32107</v>
      </c>
      <c r="F5106" t="s">
        <v>32108</v>
      </c>
      <c r="G5106" t="s">
        <v>32109</v>
      </c>
      <c r="H5106" t="e" vm="2221">
        <f>_FV(0,"003637515770772017")</f>
        <v>#VALUE!</v>
      </c>
      <c r="I5106" t="s">
        <v>32110</v>
      </c>
      <c r="J5106" t="s">
        <v>32111</v>
      </c>
      <c r="K5106" t="s">
        <v>32112</v>
      </c>
      <c r="L5106" t="s">
        <v>32106</v>
      </c>
    </row>
    <row r="5107" spans="1:12" x14ac:dyDescent="0.25">
      <c r="A5107">
        <v>946722</v>
      </c>
      <c r="B5107">
        <v>1276220</v>
      </c>
      <c r="C5107" t="s">
        <v>32114</v>
      </c>
      <c r="D5107">
        <v>0</v>
      </c>
      <c r="E5107" t="s">
        <v>32115</v>
      </c>
      <c r="F5107" t="s">
        <v>32116</v>
      </c>
      <c r="G5107" t="s">
        <v>32117</v>
      </c>
      <c r="H5107" t="s">
        <v>32118</v>
      </c>
      <c r="I5107" t="s">
        <v>32119</v>
      </c>
      <c r="J5107" t="s">
        <v>32120</v>
      </c>
      <c r="K5107" t="s">
        <v>32121</v>
      </c>
      <c r="L5107" t="s">
        <v>32113</v>
      </c>
    </row>
    <row r="5108" spans="1:12" x14ac:dyDescent="0.25">
      <c r="A5108">
        <v>946730</v>
      </c>
      <c r="B5108">
        <v>946757</v>
      </c>
      <c r="D5108">
        <v>0</v>
      </c>
      <c r="E5108" t="s">
        <v>32123</v>
      </c>
      <c r="F5108" t="s">
        <v>32124</v>
      </c>
      <c r="G5108" t="s">
        <v>32125</v>
      </c>
      <c r="H5108" t="e" vm="2222">
        <f>_FV(0,"00860092943453763")</f>
        <v>#VALUE!</v>
      </c>
      <c r="I5108" t="s">
        <v>32126</v>
      </c>
      <c r="J5108" t="s">
        <v>32127</v>
      </c>
      <c r="K5108" t="s">
        <v>32128</v>
      </c>
      <c r="L5108" t="s">
        <v>32122</v>
      </c>
    </row>
    <row r="5109" spans="1:12" x14ac:dyDescent="0.25">
      <c r="A5109">
        <v>946757</v>
      </c>
      <c r="B5109">
        <v>1164916</v>
      </c>
      <c r="D5109">
        <v>0</v>
      </c>
      <c r="E5109" t="s">
        <v>32130</v>
      </c>
      <c r="F5109" t="s">
        <v>32131</v>
      </c>
      <c r="G5109" t="s">
        <v>32132</v>
      </c>
      <c r="H5109" t="e" vm="2223">
        <f>_FV(0,"0032531524717225838")</f>
        <v>#VALUE!</v>
      </c>
      <c r="I5109" t="s">
        <v>32133</v>
      </c>
      <c r="J5109" t="s">
        <v>32134</v>
      </c>
      <c r="K5109" t="s">
        <v>32135</v>
      </c>
      <c r="L5109" t="s">
        <v>32129</v>
      </c>
    </row>
    <row r="5110" spans="1:12" x14ac:dyDescent="0.25">
      <c r="A5110">
        <v>946757</v>
      </c>
      <c r="B5110">
        <v>1164933</v>
      </c>
      <c r="D5110">
        <v>0</v>
      </c>
      <c r="E5110" t="s">
        <v>32137</v>
      </c>
      <c r="F5110" t="s">
        <v>32138</v>
      </c>
      <c r="G5110" t="s">
        <v>32139</v>
      </c>
      <c r="H5110" t="s">
        <v>32140</v>
      </c>
      <c r="I5110" t="s">
        <v>32141</v>
      </c>
      <c r="J5110" t="s">
        <v>32136</v>
      </c>
      <c r="K5110" t="s">
        <v>32142</v>
      </c>
      <c r="L5110" t="s">
        <v>32136</v>
      </c>
    </row>
    <row r="5111" spans="1:12" x14ac:dyDescent="0.25">
      <c r="A5111">
        <v>946758</v>
      </c>
      <c r="B5111">
        <v>1164858</v>
      </c>
      <c r="D5111">
        <v>0</v>
      </c>
      <c r="E5111" t="s">
        <v>32144</v>
      </c>
      <c r="F5111" t="s">
        <v>32145</v>
      </c>
      <c r="G5111" t="s">
        <v>32146</v>
      </c>
      <c r="H5111" t="e" vm="2224">
        <f>_FV(0,"0023073139082158464")</f>
        <v>#VALUE!</v>
      </c>
      <c r="I5111" t="s">
        <v>32147</v>
      </c>
      <c r="J5111" t="s">
        <v>32148</v>
      </c>
      <c r="K5111" t="s">
        <v>32149</v>
      </c>
      <c r="L5111" t="s">
        <v>32143</v>
      </c>
    </row>
    <row r="5112" spans="1:12" x14ac:dyDescent="0.25">
      <c r="A5112">
        <v>946758</v>
      </c>
      <c r="B5112">
        <v>1164892</v>
      </c>
      <c r="D5112">
        <v>0</v>
      </c>
      <c r="E5112" t="s">
        <v>32151</v>
      </c>
      <c r="F5112" t="s">
        <v>32152</v>
      </c>
      <c r="G5112" t="s">
        <v>32153</v>
      </c>
      <c r="H5112" t="e" vm="2225">
        <f>_FV(0,"01939585777345943")</f>
        <v>#VALUE!</v>
      </c>
      <c r="I5112" t="s">
        <v>32154</v>
      </c>
      <c r="J5112" t="s">
        <v>32155</v>
      </c>
      <c r="K5112" t="s">
        <v>32156</v>
      </c>
      <c r="L5112" t="s">
        <v>32150</v>
      </c>
    </row>
    <row r="5113" spans="1:12" x14ac:dyDescent="0.25">
      <c r="A5113">
        <v>947480</v>
      </c>
      <c r="B5113">
        <v>947481</v>
      </c>
      <c r="C5113" t="s">
        <v>32157</v>
      </c>
      <c r="D5113">
        <v>0</v>
      </c>
      <c r="F5113">
        <v>988094</v>
      </c>
      <c r="G5113">
        <v>947481</v>
      </c>
      <c r="H5113" t="e" vm="263">
        <f>_FV(0,"024")</f>
        <v>#VALUE!</v>
      </c>
      <c r="I5113">
        <v>947480</v>
      </c>
      <c r="J5113" t="s">
        <v>2916</v>
      </c>
      <c r="K5113" t="s">
        <v>32158</v>
      </c>
      <c r="L5113" t="e" vm="263">
        <f>_FV(0,"024")</f>
        <v>#VALUE!</v>
      </c>
    </row>
    <row r="5114" spans="1:12" x14ac:dyDescent="0.25">
      <c r="A5114">
        <v>947481</v>
      </c>
      <c r="B5114">
        <v>1209004</v>
      </c>
      <c r="D5114">
        <v>0</v>
      </c>
      <c r="E5114" t="s">
        <v>32160</v>
      </c>
      <c r="F5114" t="s">
        <v>32161</v>
      </c>
      <c r="G5114" t="s">
        <v>32162</v>
      </c>
      <c r="H5114" t="e" vm="2226">
        <f>_FV(0,"01371292787887101")</f>
        <v>#VALUE!</v>
      </c>
      <c r="I5114" t="s">
        <v>32163</v>
      </c>
      <c r="J5114" t="s">
        <v>32164</v>
      </c>
      <c r="K5114" t="s">
        <v>32165</v>
      </c>
      <c r="L5114" t="s">
        <v>32159</v>
      </c>
    </row>
    <row r="5115" spans="1:12" x14ac:dyDescent="0.25">
      <c r="A5115">
        <v>947481</v>
      </c>
      <c r="B5115">
        <v>1218525</v>
      </c>
      <c r="D5115">
        <v>0</v>
      </c>
      <c r="E5115" t="s">
        <v>32167</v>
      </c>
      <c r="F5115" t="s">
        <v>32168</v>
      </c>
      <c r="G5115" t="s">
        <v>32169</v>
      </c>
      <c r="H5115" t="e" vm="2227">
        <f>_FV(0,"01707933737682508")</f>
        <v>#VALUE!</v>
      </c>
      <c r="I5115" t="s">
        <v>32170</v>
      </c>
      <c r="J5115" t="s">
        <v>32171</v>
      </c>
      <c r="K5115" t="s">
        <v>32172</v>
      </c>
      <c r="L5115" t="s">
        <v>32166</v>
      </c>
    </row>
    <row r="5116" spans="1:12" x14ac:dyDescent="0.25">
      <c r="A5116">
        <v>947482</v>
      </c>
      <c r="B5116">
        <v>1209064</v>
      </c>
      <c r="D5116">
        <v>0</v>
      </c>
      <c r="E5116" t="s">
        <v>32174</v>
      </c>
      <c r="F5116" t="s">
        <v>32175</v>
      </c>
      <c r="G5116" t="s">
        <v>32176</v>
      </c>
      <c r="H5116" t="s">
        <v>32177</v>
      </c>
      <c r="I5116" t="s">
        <v>32178</v>
      </c>
      <c r="J5116" t="s">
        <v>32173</v>
      </c>
      <c r="K5116" t="s">
        <v>32179</v>
      </c>
      <c r="L5116" t="s">
        <v>32173</v>
      </c>
    </row>
    <row r="5117" spans="1:12" x14ac:dyDescent="0.25">
      <c r="A5117">
        <v>947482</v>
      </c>
      <c r="B5117">
        <v>1218585</v>
      </c>
      <c r="D5117">
        <v>0</v>
      </c>
      <c r="E5117" t="s">
        <v>32181</v>
      </c>
      <c r="F5117" t="s">
        <v>32182</v>
      </c>
      <c r="G5117" t="s">
        <v>32183</v>
      </c>
      <c r="H5117" t="s">
        <v>32184</v>
      </c>
      <c r="I5117" t="s">
        <v>32185</v>
      </c>
      <c r="J5117" t="s">
        <v>32180</v>
      </c>
      <c r="K5117" t="s">
        <v>32186</v>
      </c>
      <c r="L5117" t="s">
        <v>32180</v>
      </c>
    </row>
    <row r="5118" spans="1:12" x14ac:dyDescent="0.25">
      <c r="A5118">
        <v>947533</v>
      </c>
      <c r="B5118">
        <v>947539</v>
      </c>
      <c r="D5118">
        <v>0</v>
      </c>
      <c r="E5118" t="s">
        <v>32188</v>
      </c>
      <c r="F5118" t="s">
        <v>32189</v>
      </c>
      <c r="G5118" t="s">
        <v>32190</v>
      </c>
      <c r="H5118" t="e" vm="2228">
        <f>_FV(0,"04936804790360817")</f>
        <v>#VALUE!</v>
      </c>
      <c r="I5118" t="s">
        <v>32191</v>
      </c>
      <c r="J5118" t="s">
        <v>32192</v>
      </c>
      <c r="K5118" t="s">
        <v>32193</v>
      </c>
      <c r="L5118" t="s">
        <v>32187</v>
      </c>
    </row>
    <row r="5119" spans="1:12" x14ac:dyDescent="0.25">
      <c r="A5119">
        <v>947533</v>
      </c>
      <c r="B5119">
        <v>947539</v>
      </c>
      <c r="D5119">
        <v>0</v>
      </c>
      <c r="E5119" t="s">
        <v>32195</v>
      </c>
      <c r="F5119" t="s">
        <v>32196</v>
      </c>
      <c r="G5119" t="s">
        <v>32197</v>
      </c>
      <c r="H5119" t="e" vm="2229">
        <f>_FV(0,"049332403554312725")</f>
        <v>#VALUE!</v>
      </c>
      <c r="I5119" t="s">
        <v>32198</v>
      </c>
      <c r="J5119" t="s">
        <v>32199</v>
      </c>
      <c r="K5119" t="s">
        <v>32200</v>
      </c>
      <c r="L5119" t="s">
        <v>32194</v>
      </c>
    </row>
    <row r="5120" spans="1:12" x14ac:dyDescent="0.25">
      <c r="A5120">
        <v>947539</v>
      </c>
      <c r="B5120">
        <v>947589</v>
      </c>
      <c r="C5120" t="s">
        <v>32202</v>
      </c>
      <c r="D5120">
        <v>0</v>
      </c>
      <c r="E5120" t="s">
        <v>32203</v>
      </c>
      <c r="F5120" t="s">
        <v>32204</v>
      </c>
      <c r="G5120" t="s">
        <v>32205</v>
      </c>
      <c r="H5120" t="e" vm="2230">
        <f>_FV(0,"004558458527886792")</f>
        <v>#VALUE!</v>
      </c>
      <c r="I5120" t="s">
        <v>32206</v>
      </c>
      <c r="J5120" t="s">
        <v>32207</v>
      </c>
      <c r="K5120" t="s">
        <v>32208</v>
      </c>
      <c r="L5120" t="s">
        <v>32201</v>
      </c>
    </row>
    <row r="5121" spans="1:12" x14ac:dyDescent="0.25">
      <c r="A5121">
        <v>947589</v>
      </c>
      <c r="B5121">
        <v>1209143</v>
      </c>
      <c r="D5121">
        <v>0</v>
      </c>
      <c r="E5121" t="s">
        <v>32210</v>
      </c>
      <c r="F5121" t="s">
        <v>32211</v>
      </c>
      <c r="G5121" t="s">
        <v>32212</v>
      </c>
      <c r="H5121" t="s">
        <v>32213</v>
      </c>
      <c r="I5121" t="s">
        <v>32214</v>
      </c>
      <c r="J5121" t="s">
        <v>32209</v>
      </c>
      <c r="K5121" t="s">
        <v>32215</v>
      </c>
      <c r="L5121" t="s">
        <v>32209</v>
      </c>
    </row>
    <row r="5122" spans="1:12" x14ac:dyDescent="0.25">
      <c r="A5122">
        <v>947589</v>
      </c>
      <c r="B5122">
        <v>1218653</v>
      </c>
      <c r="D5122">
        <v>0</v>
      </c>
      <c r="E5122" t="s">
        <v>32217</v>
      </c>
      <c r="F5122" t="s">
        <v>32218</v>
      </c>
      <c r="G5122" t="s">
        <v>32219</v>
      </c>
      <c r="H5122" t="s">
        <v>32220</v>
      </c>
      <c r="I5122" t="s">
        <v>32221</v>
      </c>
      <c r="J5122" t="s">
        <v>32222</v>
      </c>
      <c r="K5122" t="s">
        <v>32223</v>
      </c>
      <c r="L5122" t="s">
        <v>32216</v>
      </c>
    </row>
    <row r="5123" spans="1:12" x14ac:dyDescent="0.25">
      <c r="A5123">
        <v>947773</v>
      </c>
      <c r="B5123">
        <v>947796</v>
      </c>
      <c r="D5123">
        <v>0</v>
      </c>
      <c r="E5123" t="s">
        <v>32225</v>
      </c>
      <c r="F5123" t="s">
        <v>32226</v>
      </c>
      <c r="G5123" t="s">
        <v>32227</v>
      </c>
      <c r="H5123" t="s">
        <v>32228</v>
      </c>
      <c r="I5123" t="s">
        <v>32229</v>
      </c>
      <c r="J5123" t="s">
        <v>32224</v>
      </c>
      <c r="K5123" t="s">
        <v>32230</v>
      </c>
      <c r="L5123" t="s">
        <v>32224</v>
      </c>
    </row>
    <row r="5124" spans="1:12" x14ac:dyDescent="0.25">
      <c r="A5124">
        <v>947773</v>
      </c>
      <c r="B5124">
        <v>947841</v>
      </c>
      <c r="D5124">
        <v>0</v>
      </c>
      <c r="E5124" t="s">
        <v>32232</v>
      </c>
      <c r="F5124" t="s">
        <v>32233</v>
      </c>
      <c r="G5124" t="s">
        <v>32234</v>
      </c>
      <c r="H5124" t="e" vm="2231">
        <f>_FV(0,"05045797056687385")</f>
        <v>#VALUE!</v>
      </c>
      <c r="I5124" t="s">
        <v>32235</v>
      </c>
      <c r="J5124" t="s">
        <v>32236</v>
      </c>
      <c r="K5124" t="s">
        <v>32237</v>
      </c>
      <c r="L5124" t="s">
        <v>32231</v>
      </c>
    </row>
    <row r="5125" spans="1:12" x14ac:dyDescent="0.25">
      <c r="A5125">
        <v>947773</v>
      </c>
      <c r="B5125">
        <v>947843</v>
      </c>
      <c r="D5125" t="s">
        <v>204</v>
      </c>
      <c r="E5125" t="s">
        <v>32239</v>
      </c>
      <c r="F5125" t="s">
        <v>32240</v>
      </c>
      <c r="G5125" t="s">
        <v>32241</v>
      </c>
      <c r="H5125" t="s">
        <v>32242</v>
      </c>
      <c r="I5125" t="s">
        <v>32243</v>
      </c>
      <c r="J5125" t="s">
        <v>32238</v>
      </c>
      <c r="K5125" t="s">
        <v>32244</v>
      </c>
      <c r="L5125" t="s">
        <v>32238</v>
      </c>
    </row>
    <row r="5126" spans="1:12" x14ac:dyDescent="0.25">
      <c r="A5126">
        <v>947796</v>
      </c>
      <c r="B5126">
        <v>947811</v>
      </c>
      <c r="D5126">
        <v>0</v>
      </c>
      <c r="E5126" t="s">
        <v>32246</v>
      </c>
      <c r="F5126" t="s">
        <v>32247</v>
      </c>
      <c r="G5126" t="s">
        <v>32248</v>
      </c>
      <c r="H5126" t="s">
        <v>32249</v>
      </c>
      <c r="I5126" t="s">
        <v>32250</v>
      </c>
      <c r="J5126" t="s">
        <v>32245</v>
      </c>
      <c r="K5126" t="s">
        <v>32251</v>
      </c>
      <c r="L5126" t="s">
        <v>32245</v>
      </c>
    </row>
    <row r="5127" spans="1:12" x14ac:dyDescent="0.25">
      <c r="A5127">
        <v>947796</v>
      </c>
      <c r="B5127">
        <v>1853959</v>
      </c>
      <c r="D5127">
        <v>0</v>
      </c>
      <c r="E5127" t="s">
        <v>32253</v>
      </c>
      <c r="F5127" t="s">
        <v>32254</v>
      </c>
      <c r="G5127" t="s">
        <v>32255</v>
      </c>
      <c r="H5127" t="e" vm="2232">
        <f>_FV(0,"0599134134860054")</f>
        <v>#VALUE!</v>
      </c>
      <c r="I5127" t="s">
        <v>32256</v>
      </c>
      <c r="J5127" t="s">
        <v>32257</v>
      </c>
      <c r="K5127" t="s">
        <v>32258</v>
      </c>
      <c r="L5127" t="s">
        <v>32252</v>
      </c>
    </row>
    <row r="5128" spans="1:12" x14ac:dyDescent="0.25">
      <c r="A5128">
        <v>947811</v>
      </c>
      <c r="B5128">
        <v>947841</v>
      </c>
      <c r="D5128">
        <v>0</v>
      </c>
      <c r="E5128" t="s">
        <v>32260</v>
      </c>
      <c r="F5128" t="s">
        <v>32261</v>
      </c>
      <c r="G5128" t="s">
        <v>32262</v>
      </c>
      <c r="H5128" t="e" vm="2233">
        <f>_FV(0,"046343874202117406")</f>
        <v>#VALUE!</v>
      </c>
      <c r="I5128" t="s">
        <v>32263</v>
      </c>
      <c r="J5128" t="s">
        <v>32264</v>
      </c>
      <c r="K5128" t="s">
        <v>32265</v>
      </c>
      <c r="L5128" t="s">
        <v>32259</v>
      </c>
    </row>
    <row r="5129" spans="1:12" x14ac:dyDescent="0.25">
      <c r="A5129">
        <v>947811</v>
      </c>
      <c r="B5129">
        <v>1853959</v>
      </c>
      <c r="D5129">
        <v>0</v>
      </c>
      <c r="E5129" t="s">
        <v>32267</v>
      </c>
      <c r="F5129" t="s">
        <v>32268</v>
      </c>
      <c r="G5129" t="s">
        <v>32269</v>
      </c>
      <c r="H5129" t="e" vm="2234">
        <f>_FV(0,"09507755345007032")</f>
        <v>#VALUE!</v>
      </c>
      <c r="I5129" t="s">
        <v>32270</v>
      </c>
      <c r="J5129" t="s">
        <v>32271</v>
      </c>
      <c r="K5129" t="s">
        <v>32272</v>
      </c>
      <c r="L5129" t="s">
        <v>32266</v>
      </c>
    </row>
    <row r="5130" spans="1:12" x14ac:dyDescent="0.25">
      <c r="A5130">
        <v>947841</v>
      </c>
      <c r="B5130">
        <v>947845</v>
      </c>
      <c r="D5130" t="s">
        <v>204</v>
      </c>
      <c r="E5130" t="s">
        <v>32274</v>
      </c>
      <c r="F5130" t="s">
        <v>32275</v>
      </c>
      <c r="G5130" t="s">
        <v>32276</v>
      </c>
      <c r="H5130" t="s">
        <v>32277</v>
      </c>
      <c r="I5130" t="s">
        <v>32278</v>
      </c>
      <c r="J5130" t="s">
        <v>32273</v>
      </c>
      <c r="K5130" t="s">
        <v>32279</v>
      </c>
      <c r="L5130" t="s">
        <v>32273</v>
      </c>
    </row>
    <row r="5131" spans="1:12" x14ac:dyDescent="0.25">
      <c r="A5131">
        <v>947843</v>
      </c>
      <c r="B5131">
        <v>947845</v>
      </c>
      <c r="D5131">
        <v>0</v>
      </c>
      <c r="E5131" t="s">
        <v>32281</v>
      </c>
      <c r="F5131" t="s">
        <v>32282</v>
      </c>
      <c r="G5131" t="s">
        <v>32283</v>
      </c>
      <c r="H5131" t="s">
        <v>32284</v>
      </c>
      <c r="I5131" t="s">
        <v>32285</v>
      </c>
      <c r="J5131" t="s">
        <v>32280</v>
      </c>
      <c r="K5131" t="s">
        <v>32286</v>
      </c>
      <c r="L5131" t="s">
        <v>32280</v>
      </c>
    </row>
    <row r="5132" spans="1:12" x14ac:dyDescent="0.25">
      <c r="A5132">
        <v>947843</v>
      </c>
      <c r="B5132">
        <v>947863</v>
      </c>
      <c r="D5132">
        <v>0</v>
      </c>
      <c r="F5132">
        <v>988590</v>
      </c>
      <c r="G5132">
        <v>947843</v>
      </c>
      <c r="H5132" t="s">
        <v>304</v>
      </c>
      <c r="I5132">
        <v>947863</v>
      </c>
      <c r="J5132" t="s">
        <v>304</v>
      </c>
      <c r="K5132" t="s">
        <v>32287</v>
      </c>
      <c r="L5132" t="s">
        <v>304</v>
      </c>
    </row>
    <row r="5133" spans="1:12" x14ac:dyDescent="0.25">
      <c r="A5133">
        <v>947845</v>
      </c>
      <c r="B5133">
        <v>947862</v>
      </c>
      <c r="D5133">
        <v>0</v>
      </c>
      <c r="E5133" t="s">
        <v>32289</v>
      </c>
      <c r="F5133" t="s">
        <v>32290</v>
      </c>
      <c r="G5133" t="s">
        <v>32291</v>
      </c>
      <c r="H5133" t="e" vm="2235">
        <f>_FV(0,"030847792453563755")</f>
        <v>#VALUE!</v>
      </c>
      <c r="I5133" t="s">
        <v>32292</v>
      </c>
      <c r="J5133" t="s">
        <v>32293</v>
      </c>
      <c r="K5133" t="s">
        <v>32294</v>
      </c>
      <c r="L5133" t="s">
        <v>32288</v>
      </c>
    </row>
    <row r="5134" spans="1:12" x14ac:dyDescent="0.25">
      <c r="A5134">
        <v>947862</v>
      </c>
      <c r="B5134">
        <v>947863</v>
      </c>
      <c r="D5134">
        <v>0</v>
      </c>
      <c r="F5134">
        <v>988589</v>
      </c>
      <c r="G5134">
        <v>947863</v>
      </c>
      <c r="H5134" t="s">
        <v>2841</v>
      </c>
      <c r="I5134">
        <v>947862</v>
      </c>
      <c r="J5134" t="s">
        <v>2841</v>
      </c>
      <c r="K5134" t="s">
        <v>32295</v>
      </c>
      <c r="L5134" t="s">
        <v>2841</v>
      </c>
    </row>
    <row r="5135" spans="1:12" x14ac:dyDescent="0.25">
      <c r="A5135">
        <v>947862</v>
      </c>
      <c r="B5135">
        <v>947931</v>
      </c>
      <c r="D5135">
        <v>0</v>
      </c>
      <c r="E5135" t="s">
        <v>32297</v>
      </c>
      <c r="F5135" t="s">
        <v>32298</v>
      </c>
      <c r="G5135" t="s">
        <v>32299</v>
      </c>
      <c r="H5135" t="s">
        <v>32300</v>
      </c>
      <c r="I5135" t="s">
        <v>32301</v>
      </c>
      <c r="J5135" t="s">
        <v>32302</v>
      </c>
      <c r="K5135" t="s">
        <v>32303</v>
      </c>
      <c r="L5135" t="s">
        <v>32296</v>
      </c>
    </row>
    <row r="5136" spans="1:12" x14ac:dyDescent="0.25">
      <c r="A5136">
        <v>947863</v>
      </c>
      <c r="B5136">
        <v>947864</v>
      </c>
      <c r="D5136">
        <v>0</v>
      </c>
      <c r="E5136" t="s">
        <v>32305</v>
      </c>
      <c r="F5136" t="s">
        <v>32306</v>
      </c>
      <c r="G5136" t="s">
        <v>32307</v>
      </c>
      <c r="H5136" t="e" vm="2236">
        <f>_FV(0,"02098459442288634")</f>
        <v>#VALUE!</v>
      </c>
      <c r="I5136" t="s">
        <v>32308</v>
      </c>
      <c r="J5136" t="s">
        <v>32309</v>
      </c>
      <c r="K5136" t="s">
        <v>32310</v>
      </c>
      <c r="L5136" t="s">
        <v>32304</v>
      </c>
    </row>
    <row r="5137" spans="1:12" x14ac:dyDescent="0.25">
      <c r="A5137">
        <v>947864</v>
      </c>
      <c r="B5137">
        <v>1853899</v>
      </c>
      <c r="C5137" t="s">
        <v>32312</v>
      </c>
      <c r="D5137">
        <v>0</v>
      </c>
      <c r="E5137" t="s">
        <v>32313</v>
      </c>
      <c r="F5137" t="s">
        <v>32314</v>
      </c>
      <c r="G5137" t="s">
        <v>32315</v>
      </c>
      <c r="H5137" t="e" vm="2237">
        <f>_FV(0,"004157930706955502")</f>
        <v>#VALUE!</v>
      </c>
      <c r="I5137" t="s">
        <v>32316</v>
      </c>
      <c r="J5137" t="s">
        <v>32317</v>
      </c>
      <c r="K5137" t="s">
        <v>32318</v>
      </c>
      <c r="L5137" t="s">
        <v>32311</v>
      </c>
    </row>
    <row r="5138" spans="1:12" x14ac:dyDescent="0.25">
      <c r="A5138">
        <v>947931</v>
      </c>
      <c r="B5138">
        <v>1853888</v>
      </c>
      <c r="D5138">
        <v>0</v>
      </c>
      <c r="E5138" t="s">
        <v>32320</v>
      </c>
      <c r="F5138" t="s">
        <v>32321</v>
      </c>
      <c r="G5138" t="s">
        <v>32322</v>
      </c>
      <c r="H5138" t="s">
        <v>32323</v>
      </c>
      <c r="I5138" t="s">
        <v>32324</v>
      </c>
      <c r="J5138" t="s">
        <v>32325</v>
      </c>
      <c r="K5138" t="s">
        <v>32326</v>
      </c>
      <c r="L5138" t="s">
        <v>32319</v>
      </c>
    </row>
    <row r="5139" spans="1:12" x14ac:dyDescent="0.25">
      <c r="A5139">
        <v>947931</v>
      </c>
      <c r="B5139">
        <v>1853930</v>
      </c>
      <c r="D5139" t="s">
        <v>1307</v>
      </c>
      <c r="E5139" t="s">
        <v>32328</v>
      </c>
      <c r="F5139" t="s">
        <v>32329</v>
      </c>
      <c r="G5139" t="s">
        <v>32330</v>
      </c>
      <c r="H5139" t="e" vm="2238">
        <f>_FV(0,"023770215931770033")</f>
        <v>#VALUE!</v>
      </c>
      <c r="I5139" t="s">
        <v>32331</v>
      </c>
      <c r="J5139" t="s">
        <v>32332</v>
      </c>
      <c r="K5139" t="s">
        <v>32333</v>
      </c>
      <c r="L5139" t="s">
        <v>32327</v>
      </c>
    </row>
    <row r="5140" spans="1:12" x14ac:dyDescent="0.25">
      <c r="A5140">
        <v>283417</v>
      </c>
      <c r="B5140">
        <v>949503</v>
      </c>
      <c r="D5140" t="s">
        <v>16334</v>
      </c>
      <c r="E5140" t="s">
        <v>32335</v>
      </c>
      <c r="F5140" t="s">
        <v>32336</v>
      </c>
      <c r="G5140" t="s">
        <v>32337</v>
      </c>
      <c r="H5140" t="e" vm="2239">
        <f>_FV(0,"012101483007776605")</f>
        <v>#VALUE!</v>
      </c>
      <c r="I5140" t="s">
        <v>32338</v>
      </c>
      <c r="J5140" t="s">
        <v>32339</v>
      </c>
      <c r="K5140" t="s">
        <v>32340</v>
      </c>
      <c r="L5140" t="s">
        <v>32334</v>
      </c>
    </row>
    <row r="5141" spans="1:12" x14ac:dyDescent="0.25">
      <c r="A5141">
        <v>949503</v>
      </c>
      <c r="B5141">
        <v>1218458</v>
      </c>
      <c r="D5141">
        <v>0</v>
      </c>
      <c r="E5141" t="s">
        <v>32342</v>
      </c>
      <c r="F5141" t="s">
        <v>32343</v>
      </c>
      <c r="G5141" t="s">
        <v>32344</v>
      </c>
      <c r="H5141" t="s">
        <v>32345</v>
      </c>
      <c r="I5141" t="s">
        <v>32346</v>
      </c>
      <c r="J5141" t="s">
        <v>32347</v>
      </c>
      <c r="K5141" t="s">
        <v>32348</v>
      </c>
      <c r="L5141" t="s">
        <v>32341</v>
      </c>
    </row>
    <row r="5142" spans="1:12" x14ac:dyDescent="0.25">
      <c r="A5142">
        <v>950581</v>
      </c>
      <c r="B5142">
        <v>758885</v>
      </c>
      <c r="D5142">
        <v>0</v>
      </c>
      <c r="E5142" t="s">
        <v>32350</v>
      </c>
      <c r="F5142" t="s">
        <v>32351</v>
      </c>
      <c r="G5142" t="s">
        <v>32352</v>
      </c>
      <c r="H5142" t="s">
        <v>32353</v>
      </c>
      <c r="I5142" t="s">
        <v>32354</v>
      </c>
      <c r="J5142" t="s">
        <v>32355</v>
      </c>
      <c r="K5142" t="s">
        <v>32356</v>
      </c>
      <c r="L5142" t="s">
        <v>32349</v>
      </c>
    </row>
    <row r="5143" spans="1:12" x14ac:dyDescent="0.25">
      <c r="A5143">
        <v>758885</v>
      </c>
      <c r="B5143">
        <v>950599</v>
      </c>
      <c r="D5143">
        <v>0</v>
      </c>
      <c r="E5143" t="s">
        <v>32358</v>
      </c>
      <c r="F5143" t="s">
        <v>32359</v>
      </c>
      <c r="G5143" t="s">
        <v>32360</v>
      </c>
      <c r="H5143" t="e" vm="2240">
        <f>_FV(0,"039804287682685256")</f>
        <v>#VALUE!</v>
      </c>
      <c r="I5143" t="s">
        <v>32361</v>
      </c>
      <c r="J5143" t="s">
        <v>32362</v>
      </c>
      <c r="K5143" t="s">
        <v>32363</v>
      </c>
      <c r="L5143" t="s">
        <v>32357</v>
      </c>
    </row>
    <row r="5144" spans="1:12" x14ac:dyDescent="0.25">
      <c r="A5144">
        <v>950599</v>
      </c>
      <c r="B5144">
        <v>950607</v>
      </c>
      <c r="D5144">
        <v>0</v>
      </c>
      <c r="E5144" t="s">
        <v>32365</v>
      </c>
      <c r="F5144" t="s">
        <v>32366</v>
      </c>
      <c r="G5144" t="s">
        <v>32367</v>
      </c>
      <c r="H5144" t="s">
        <v>32368</v>
      </c>
      <c r="I5144" t="s">
        <v>32369</v>
      </c>
      <c r="J5144" t="s">
        <v>32364</v>
      </c>
      <c r="K5144" t="s">
        <v>32370</v>
      </c>
      <c r="L5144" t="s">
        <v>32364</v>
      </c>
    </row>
    <row r="5145" spans="1:12" x14ac:dyDescent="0.25">
      <c r="A5145">
        <v>950607</v>
      </c>
      <c r="B5145">
        <v>1854811</v>
      </c>
      <c r="C5145" t="s">
        <v>32371</v>
      </c>
      <c r="D5145">
        <v>0</v>
      </c>
      <c r="E5145" t="s">
        <v>32372</v>
      </c>
      <c r="H5145" t="s">
        <v>187</v>
      </c>
      <c r="J5145">
        <v>0</v>
      </c>
      <c r="K5145" t="s">
        <v>30017</v>
      </c>
      <c r="L5145">
        <v>0</v>
      </c>
    </row>
    <row r="5146" spans="1:12" x14ac:dyDescent="0.25">
      <c r="A5146">
        <v>950825</v>
      </c>
      <c r="B5146">
        <v>975129</v>
      </c>
      <c r="C5146" t="s">
        <v>32374</v>
      </c>
      <c r="D5146">
        <v>0</v>
      </c>
      <c r="E5146" t="s">
        <v>32375</v>
      </c>
      <c r="F5146" t="s">
        <v>32376</v>
      </c>
      <c r="G5146" t="s">
        <v>32377</v>
      </c>
      <c r="H5146" t="e" vm="2241">
        <f>_FV(0,"02666915226858031")</f>
        <v>#VALUE!</v>
      </c>
      <c r="I5146" t="s">
        <v>32378</v>
      </c>
      <c r="J5146" t="s">
        <v>32379</v>
      </c>
      <c r="K5146" t="s">
        <v>32380</v>
      </c>
      <c r="L5146" t="s">
        <v>32373</v>
      </c>
    </row>
    <row r="5147" spans="1:12" x14ac:dyDescent="0.25">
      <c r="A5147">
        <v>950825</v>
      </c>
      <c r="B5147">
        <v>1295789</v>
      </c>
      <c r="D5147">
        <v>0</v>
      </c>
      <c r="E5147" t="s">
        <v>32382</v>
      </c>
      <c r="F5147" t="s">
        <v>32383</v>
      </c>
      <c r="G5147" t="s">
        <v>32384</v>
      </c>
      <c r="H5147" t="s">
        <v>32385</v>
      </c>
      <c r="I5147" t="s">
        <v>32386</v>
      </c>
      <c r="J5147" t="s">
        <v>32381</v>
      </c>
      <c r="K5147" t="s">
        <v>32387</v>
      </c>
      <c r="L5147" t="s">
        <v>32381</v>
      </c>
    </row>
    <row r="5148" spans="1:12" x14ac:dyDescent="0.25">
      <c r="A5148">
        <v>951384</v>
      </c>
      <c r="B5148">
        <v>1502352</v>
      </c>
      <c r="D5148">
        <v>0</v>
      </c>
      <c r="E5148" t="s">
        <v>32389</v>
      </c>
      <c r="F5148" t="s">
        <v>32390</v>
      </c>
      <c r="G5148" t="s">
        <v>32391</v>
      </c>
      <c r="H5148" t="s">
        <v>32392</v>
      </c>
      <c r="I5148" t="s">
        <v>32393</v>
      </c>
      <c r="J5148" t="s">
        <v>32388</v>
      </c>
      <c r="K5148" t="s">
        <v>32394</v>
      </c>
      <c r="L5148" t="s">
        <v>32388</v>
      </c>
    </row>
    <row r="5149" spans="1:12" x14ac:dyDescent="0.25">
      <c r="A5149">
        <v>951384</v>
      </c>
      <c r="B5149">
        <v>951394</v>
      </c>
      <c r="D5149">
        <v>0</v>
      </c>
      <c r="E5149" t="s">
        <v>32396</v>
      </c>
      <c r="F5149" t="s">
        <v>32397</v>
      </c>
      <c r="G5149" t="s">
        <v>32398</v>
      </c>
      <c r="H5149" t="s">
        <v>32399</v>
      </c>
      <c r="I5149" t="s">
        <v>32400</v>
      </c>
      <c r="J5149" t="s">
        <v>32395</v>
      </c>
      <c r="K5149" t="s">
        <v>32401</v>
      </c>
      <c r="L5149" t="s">
        <v>32395</v>
      </c>
    </row>
    <row r="5150" spans="1:12" x14ac:dyDescent="0.25">
      <c r="A5150">
        <v>951384</v>
      </c>
      <c r="B5150">
        <v>1448654</v>
      </c>
      <c r="D5150">
        <v>0</v>
      </c>
      <c r="E5150" t="s">
        <v>32403</v>
      </c>
      <c r="F5150" t="s">
        <v>32404</v>
      </c>
      <c r="G5150" t="s">
        <v>32405</v>
      </c>
      <c r="H5150" t="s">
        <v>32406</v>
      </c>
      <c r="I5150" t="s">
        <v>32407</v>
      </c>
      <c r="J5150" t="s">
        <v>32408</v>
      </c>
      <c r="K5150" t="s">
        <v>32409</v>
      </c>
      <c r="L5150" t="s">
        <v>32402</v>
      </c>
    </row>
    <row r="5151" spans="1:12" x14ac:dyDescent="0.25">
      <c r="A5151">
        <v>951391</v>
      </c>
      <c r="B5151">
        <v>951397</v>
      </c>
      <c r="D5151">
        <v>0</v>
      </c>
      <c r="E5151" t="s">
        <v>32411</v>
      </c>
      <c r="F5151" t="s">
        <v>32412</v>
      </c>
      <c r="G5151" t="s">
        <v>32413</v>
      </c>
      <c r="H5151" t="s">
        <v>32414</v>
      </c>
      <c r="I5151" t="s">
        <v>32415</v>
      </c>
      <c r="J5151" t="s">
        <v>32416</v>
      </c>
      <c r="K5151" t="s">
        <v>32417</v>
      </c>
      <c r="L5151" t="s">
        <v>32410</v>
      </c>
    </row>
    <row r="5152" spans="1:12" x14ac:dyDescent="0.25">
      <c r="A5152">
        <v>951391</v>
      </c>
      <c r="B5152">
        <v>1448639</v>
      </c>
      <c r="C5152" t="s">
        <v>32419</v>
      </c>
      <c r="D5152">
        <v>0</v>
      </c>
      <c r="E5152" t="s">
        <v>32420</v>
      </c>
      <c r="F5152" t="s">
        <v>32421</v>
      </c>
      <c r="G5152" t="s">
        <v>32422</v>
      </c>
      <c r="H5152" t="s">
        <v>32423</v>
      </c>
      <c r="I5152" t="s">
        <v>32424</v>
      </c>
      <c r="J5152" t="s">
        <v>32425</v>
      </c>
      <c r="K5152" t="s">
        <v>32426</v>
      </c>
      <c r="L5152" t="s">
        <v>32418</v>
      </c>
    </row>
    <row r="5153" spans="1:12" x14ac:dyDescent="0.25">
      <c r="A5153">
        <v>951391</v>
      </c>
      <c r="B5153">
        <v>1502333</v>
      </c>
      <c r="D5153">
        <v>0</v>
      </c>
      <c r="E5153" t="s">
        <v>32428</v>
      </c>
      <c r="F5153" t="s">
        <v>32429</v>
      </c>
      <c r="G5153" t="s">
        <v>32430</v>
      </c>
      <c r="H5153" t="e" vm="2242">
        <f>_FV(0,"011099943994663951")</f>
        <v>#VALUE!</v>
      </c>
      <c r="I5153" t="s">
        <v>32431</v>
      </c>
      <c r="J5153" t="s">
        <v>32432</v>
      </c>
      <c r="K5153" t="s">
        <v>32433</v>
      </c>
      <c r="L5153" t="s">
        <v>32427</v>
      </c>
    </row>
    <row r="5154" spans="1:12" x14ac:dyDescent="0.25">
      <c r="A5154">
        <v>951394</v>
      </c>
      <c r="B5154">
        <v>1517915</v>
      </c>
      <c r="D5154" t="s">
        <v>64</v>
      </c>
      <c r="E5154" t="s">
        <v>32435</v>
      </c>
      <c r="F5154" t="s">
        <v>32436</v>
      </c>
      <c r="G5154" t="s">
        <v>32437</v>
      </c>
      <c r="H5154" t="e" vm="2243">
        <f>_FV(0,"003461607066175313")</f>
        <v>#VALUE!</v>
      </c>
      <c r="I5154" t="s">
        <v>32438</v>
      </c>
      <c r="J5154" t="s">
        <v>32439</v>
      </c>
      <c r="K5154" t="s">
        <v>32440</v>
      </c>
      <c r="L5154" t="s">
        <v>32434</v>
      </c>
    </row>
    <row r="5155" spans="1:12" x14ac:dyDescent="0.25">
      <c r="A5155">
        <v>951394</v>
      </c>
      <c r="B5155">
        <v>1502352</v>
      </c>
      <c r="D5155">
        <v>0</v>
      </c>
      <c r="E5155" t="s">
        <v>32442</v>
      </c>
      <c r="F5155" t="s">
        <v>32443</v>
      </c>
      <c r="G5155" t="s">
        <v>32444</v>
      </c>
      <c r="H5155" t="s">
        <v>32445</v>
      </c>
      <c r="I5155" t="s">
        <v>32446</v>
      </c>
      <c r="J5155" t="s">
        <v>32447</v>
      </c>
      <c r="K5155" t="s">
        <v>32448</v>
      </c>
      <c r="L5155" t="s">
        <v>32441</v>
      </c>
    </row>
    <row r="5156" spans="1:12" x14ac:dyDescent="0.25">
      <c r="A5156">
        <v>951397</v>
      </c>
      <c r="B5156">
        <v>1502374</v>
      </c>
      <c r="D5156">
        <v>0</v>
      </c>
      <c r="E5156" t="s">
        <v>32450</v>
      </c>
      <c r="F5156" t="s">
        <v>32451</v>
      </c>
      <c r="G5156" t="s">
        <v>32452</v>
      </c>
      <c r="H5156" t="s">
        <v>32453</v>
      </c>
      <c r="I5156" t="s">
        <v>32454</v>
      </c>
      <c r="J5156" t="s">
        <v>32449</v>
      </c>
      <c r="K5156" t="s">
        <v>32455</v>
      </c>
      <c r="L5156" t="s">
        <v>32449</v>
      </c>
    </row>
    <row r="5157" spans="1:12" x14ac:dyDescent="0.25">
      <c r="A5157">
        <v>951397</v>
      </c>
      <c r="B5157">
        <v>1498929</v>
      </c>
      <c r="C5157" t="s">
        <v>32457</v>
      </c>
      <c r="D5157" t="s">
        <v>1307</v>
      </c>
      <c r="E5157" t="s">
        <v>32458</v>
      </c>
      <c r="F5157" t="s">
        <v>32459</v>
      </c>
      <c r="G5157" t="s">
        <v>32460</v>
      </c>
      <c r="H5157" t="e" vm="2244">
        <f>_FV(0,"004071583741911731")</f>
        <v>#VALUE!</v>
      </c>
      <c r="I5157" t="s">
        <v>32461</v>
      </c>
      <c r="J5157" t="s">
        <v>32462</v>
      </c>
      <c r="K5157" t="s">
        <v>32463</v>
      </c>
      <c r="L5157" t="s">
        <v>32456</v>
      </c>
    </row>
    <row r="5158" spans="1:12" x14ac:dyDescent="0.25">
      <c r="A5158">
        <v>951446</v>
      </c>
      <c r="B5158">
        <v>1656115</v>
      </c>
      <c r="C5158" t="s">
        <v>32465</v>
      </c>
      <c r="D5158" t="s">
        <v>32466</v>
      </c>
      <c r="E5158" t="s">
        <v>32467</v>
      </c>
      <c r="F5158" t="s">
        <v>32468</v>
      </c>
      <c r="G5158" t="s">
        <v>32469</v>
      </c>
      <c r="H5158" t="e" vm="2245">
        <f>_FV(0,"010163816172512104")</f>
        <v>#VALUE!</v>
      </c>
      <c r="I5158" t="s">
        <v>32470</v>
      </c>
      <c r="J5158" t="s">
        <v>32471</v>
      </c>
      <c r="K5158" t="s">
        <v>32472</v>
      </c>
      <c r="L5158" t="s">
        <v>32464</v>
      </c>
    </row>
    <row r="5159" spans="1:12" x14ac:dyDescent="0.25">
      <c r="A5159">
        <v>951989</v>
      </c>
      <c r="B5159">
        <v>952049</v>
      </c>
      <c r="D5159" t="s">
        <v>32474</v>
      </c>
      <c r="E5159" t="s">
        <v>32475</v>
      </c>
      <c r="F5159" t="s">
        <v>32476</v>
      </c>
      <c r="G5159" t="s">
        <v>32477</v>
      </c>
      <c r="H5159" t="s">
        <v>32478</v>
      </c>
      <c r="I5159" t="s">
        <v>32479</v>
      </c>
      <c r="J5159" t="s">
        <v>32480</v>
      </c>
      <c r="K5159" t="s">
        <v>32481</v>
      </c>
      <c r="L5159" t="s">
        <v>32473</v>
      </c>
    </row>
    <row r="5160" spans="1:12" x14ac:dyDescent="0.25">
      <c r="A5160">
        <v>952049</v>
      </c>
      <c r="B5160">
        <v>952146</v>
      </c>
      <c r="C5160" t="s">
        <v>32483</v>
      </c>
      <c r="D5160" t="s">
        <v>32484</v>
      </c>
      <c r="E5160" t="s">
        <v>32485</v>
      </c>
      <c r="F5160" t="s">
        <v>32486</v>
      </c>
      <c r="G5160" t="s">
        <v>32487</v>
      </c>
      <c r="H5160" t="e" vm="2246">
        <f>_FV(0,"01777828937976833")</f>
        <v>#VALUE!</v>
      </c>
      <c r="I5160" t="s">
        <v>32488</v>
      </c>
      <c r="J5160" t="s">
        <v>32489</v>
      </c>
      <c r="K5160" t="s">
        <v>32490</v>
      </c>
      <c r="L5160" t="s">
        <v>32482</v>
      </c>
    </row>
    <row r="5161" spans="1:12" x14ac:dyDescent="0.25">
      <c r="A5161">
        <v>952049</v>
      </c>
      <c r="B5161">
        <v>862141</v>
      </c>
      <c r="D5161" t="s">
        <v>1007</v>
      </c>
      <c r="E5161" t="s">
        <v>32492</v>
      </c>
      <c r="F5161" t="s">
        <v>32493</v>
      </c>
      <c r="G5161" t="s">
        <v>32494</v>
      </c>
      <c r="H5161" t="s">
        <v>32495</v>
      </c>
      <c r="I5161" t="s">
        <v>32496</v>
      </c>
      <c r="J5161" t="s">
        <v>32497</v>
      </c>
      <c r="K5161" t="s">
        <v>32498</v>
      </c>
      <c r="L5161" t="s">
        <v>32491</v>
      </c>
    </row>
    <row r="5162" spans="1:12" x14ac:dyDescent="0.25">
      <c r="A5162">
        <v>952202</v>
      </c>
      <c r="B5162">
        <v>952235</v>
      </c>
      <c r="D5162" t="s">
        <v>32500</v>
      </c>
      <c r="E5162" t="s">
        <v>32501</v>
      </c>
      <c r="F5162" t="s">
        <v>32502</v>
      </c>
      <c r="G5162" t="s">
        <v>32503</v>
      </c>
      <c r="H5162" t="e" vm="2247">
        <f>_FV(0,"015623626608308117")</f>
        <v>#VALUE!</v>
      </c>
      <c r="I5162" t="s">
        <v>32504</v>
      </c>
      <c r="J5162" t="s">
        <v>32505</v>
      </c>
      <c r="K5162" t="s">
        <v>32506</v>
      </c>
      <c r="L5162" t="s">
        <v>32499</v>
      </c>
    </row>
    <row r="5163" spans="1:12" x14ac:dyDescent="0.25">
      <c r="A5163">
        <v>952202</v>
      </c>
      <c r="B5163">
        <v>952455</v>
      </c>
      <c r="D5163" t="s">
        <v>32508</v>
      </c>
      <c r="E5163" t="s">
        <v>32509</v>
      </c>
      <c r="F5163" t="s">
        <v>32510</v>
      </c>
      <c r="G5163" t="s">
        <v>32511</v>
      </c>
      <c r="H5163" t="s">
        <v>32512</v>
      </c>
      <c r="I5163" t="s">
        <v>32513</v>
      </c>
      <c r="J5163" t="s">
        <v>32514</v>
      </c>
      <c r="K5163" t="s">
        <v>32515</v>
      </c>
      <c r="L5163" t="s">
        <v>32507</v>
      </c>
    </row>
    <row r="5164" spans="1:12" x14ac:dyDescent="0.25">
      <c r="A5164">
        <v>954119</v>
      </c>
      <c r="B5164">
        <v>1391882</v>
      </c>
      <c r="D5164" t="s">
        <v>32517</v>
      </c>
      <c r="E5164" t="s">
        <v>32518</v>
      </c>
      <c r="F5164" t="s">
        <v>32519</v>
      </c>
      <c r="G5164" t="s">
        <v>32520</v>
      </c>
      <c r="H5164" t="s">
        <v>32521</v>
      </c>
      <c r="I5164" t="s">
        <v>32522</v>
      </c>
      <c r="J5164" t="s">
        <v>32523</v>
      </c>
      <c r="K5164" t="s">
        <v>32524</v>
      </c>
      <c r="L5164" t="s">
        <v>32516</v>
      </c>
    </row>
    <row r="5165" spans="1:12" x14ac:dyDescent="0.25">
      <c r="A5165">
        <v>954119</v>
      </c>
      <c r="B5165">
        <v>1353172</v>
      </c>
      <c r="D5165">
        <v>0</v>
      </c>
      <c r="E5165" t="s">
        <v>32526</v>
      </c>
      <c r="F5165" t="s">
        <v>32527</v>
      </c>
      <c r="G5165" t="s">
        <v>32528</v>
      </c>
      <c r="H5165" t="e" vm="2248">
        <f>_FV(0,"05103937671206473")</f>
        <v>#VALUE!</v>
      </c>
      <c r="I5165" t="s">
        <v>32529</v>
      </c>
      <c r="J5165" t="s">
        <v>32530</v>
      </c>
      <c r="K5165" t="s">
        <v>32531</v>
      </c>
      <c r="L5165" t="s">
        <v>32525</v>
      </c>
    </row>
    <row r="5166" spans="1:12" x14ac:dyDescent="0.25">
      <c r="A5166">
        <v>954119</v>
      </c>
      <c r="B5166">
        <v>1391833</v>
      </c>
      <c r="C5166" t="s">
        <v>32533</v>
      </c>
      <c r="D5166">
        <v>0</v>
      </c>
      <c r="E5166" t="s">
        <v>32534</v>
      </c>
      <c r="F5166" t="s">
        <v>32535</v>
      </c>
      <c r="G5166" t="s">
        <v>32536</v>
      </c>
      <c r="H5166" t="s">
        <v>32537</v>
      </c>
      <c r="I5166" t="s">
        <v>32538</v>
      </c>
      <c r="J5166" t="s">
        <v>32539</v>
      </c>
      <c r="K5166" t="s">
        <v>32540</v>
      </c>
      <c r="L5166" t="s">
        <v>32532</v>
      </c>
    </row>
    <row r="5167" spans="1:12" x14ac:dyDescent="0.25">
      <c r="A5167">
        <v>954204</v>
      </c>
      <c r="B5167">
        <v>954206</v>
      </c>
      <c r="D5167">
        <v>0</v>
      </c>
      <c r="E5167" t="s">
        <v>32542</v>
      </c>
      <c r="F5167" t="s">
        <v>32543</v>
      </c>
      <c r="G5167" t="s">
        <v>32544</v>
      </c>
      <c r="H5167" t="e" vm="2249">
        <f>_FV(0,"07025861399249846")</f>
        <v>#VALUE!</v>
      </c>
      <c r="I5167" t="s">
        <v>32545</v>
      </c>
      <c r="J5167" t="s">
        <v>32546</v>
      </c>
      <c r="K5167" t="s">
        <v>32547</v>
      </c>
      <c r="L5167" t="s">
        <v>32541</v>
      </c>
    </row>
    <row r="5168" spans="1:12" x14ac:dyDescent="0.25">
      <c r="A5168">
        <v>954204</v>
      </c>
      <c r="B5168">
        <v>954240</v>
      </c>
      <c r="D5168">
        <v>0</v>
      </c>
      <c r="E5168" t="s">
        <v>32549</v>
      </c>
      <c r="F5168" t="s">
        <v>32550</v>
      </c>
      <c r="G5168" t="s">
        <v>32551</v>
      </c>
      <c r="H5168" t="e" vm="2250">
        <f>_FV(0,"05501519042922807")</f>
        <v>#VALUE!</v>
      </c>
      <c r="I5168" t="s">
        <v>32552</v>
      </c>
      <c r="J5168" t="s">
        <v>32553</v>
      </c>
      <c r="K5168" t="s">
        <v>32554</v>
      </c>
      <c r="L5168" t="s">
        <v>32548</v>
      </c>
    </row>
    <row r="5169" spans="1:12" x14ac:dyDescent="0.25">
      <c r="A5169">
        <v>954204</v>
      </c>
      <c r="B5169">
        <v>1160201</v>
      </c>
      <c r="D5169">
        <v>0</v>
      </c>
      <c r="F5169">
        <v>1766909</v>
      </c>
      <c r="G5169">
        <v>954204</v>
      </c>
      <c r="H5169" t="s">
        <v>32555</v>
      </c>
      <c r="I5169">
        <v>1160201</v>
      </c>
      <c r="J5169" t="s">
        <v>32555</v>
      </c>
      <c r="K5169" t="s">
        <v>32556</v>
      </c>
      <c r="L5169" t="s">
        <v>32555</v>
      </c>
    </row>
    <row r="5170" spans="1:12" x14ac:dyDescent="0.25">
      <c r="A5170">
        <v>954206</v>
      </c>
      <c r="B5170">
        <v>954240</v>
      </c>
      <c r="D5170">
        <v>0</v>
      </c>
      <c r="E5170" t="s">
        <v>32558</v>
      </c>
      <c r="F5170" t="s">
        <v>32559</v>
      </c>
      <c r="G5170" t="s">
        <v>32560</v>
      </c>
      <c r="H5170" t="s">
        <v>32561</v>
      </c>
      <c r="I5170" t="s">
        <v>32562</v>
      </c>
      <c r="J5170" t="s">
        <v>32557</v>
      </c>
      <c r="K5170" t="s">
        <v>32563</v>
      </c>
      <c r="L5170" t="s">
        <v>32557</v>
      </c>
    </row>
    <row r="5171" spans="1:12" x14ac:dyDescent="0.25">
      <c r="A5171">
        <v>954206</v>
      </c>
      <c r="B5171">
        <v>1160031</v>
      </c>
      <c r="D5171" t="s">
        <v>1875</v>
      </c>
      <c r="E5171" t="s">
        <v>32565</v>
      </c>
      <c r="F5171" t="s">
        <v>32566</v>
      </c>
      <c r="G5171" t="s">
        <v>32567</v>
      </c>
      <c r="H5171" t="s">
        <v>32568</v>
      </c>
      <c r="I5171" t="s">
        <v>32569</v>
      </c>
      <c r="J5171" t="s">
        <v>32570</v>
      </c>
      <c r="K5171" t="s">
        <v>32571</v>
      </c>
      <c r="L5171" t="s">
        <v>32564</v>
      </c>
    </row>
    <row r="5172" spans="1:12" x14ac:dyDescent="0.25">
      <c r="A5172">
        <v>954240</v>
      </c>
      <c r="B5172">
        <v>1588427</v>
      </c>
      <c r="D5172">
        <v>0</v>
      </c>
      <c r="E5172" t="s">
        <v>32573</v>
      </c>
      <c r="F5172" t="s">
        <v>32574</v>
      </c>
      <c r="G5172" t="s">
        <v>32575</v>
      </c>
      <c r="H5172" t="s">
        <v>32576</v>
      </c>
      <c r="I5172" t="s">
        <v>32577</v>
      </c>
      <c r="J5172" t="s">
        <v>32578</v>
      </c>
      <c r="K5172" t="s">
        <v>32579</v>
      </c>
      <c r="L5172" t="s">
        <v>32572</v>
      </c>
    </row>
    <row r="5173" spans="1:12" x14ac:dyDescent="0.25">
      <c r="A5173">
        <v>954266</v>
      </c>
      <c r="B5173">
        <v>954267</v>
      </c>
      <c r="D5173">
        <v>0</v>
      </c>
      <c r="E5173" t="s">
        <v>32581</v>
      </c>
      <c r="F5173" t="s">
        <v>32582</v>
      </c>
      <c r="G5173" t="s">
        <v>32583</v>
      </c>
      <c r="H5173" t="e" vm="2251">
        <f>_FV(0,"016770551980776302")</f>
        <v>#VALUE!</v>
      </c>
      <c r="I5173" t="s">
        <v>32584</v>
      </c>
      <c r="J5173" t="s">
        <v>32585</v>
      </c>
      <c r="K5173" t="s">
        <v>32586</v>
      </c>
      <c r="L5173" t="s">
        <v>32580</v>
      </c>
    </row>
    <row r="5174" spans="1:12" x14ac:dyDescent="0.25">
      <c r="A5174">
        <v>954266</v>
      </c>
      <c r="B5174">
        <v>1229532</v>
      </c>
      <c r="D5174" t="s">
        <v>32588</v>
      </c>
      <c r="E5174" t="s">
        <v>32589</v>
      </c>
      <c r="F5174" t="s">
        <v>32590</v>
      </c>
      <c r="G5174" t="s">
        <v>32591</v>
      </c>
      <c r="H5174" t="s">
        <v>32592</v>
      </c>
      <c r="I5174" t="s">
        <v>32593</v>
      </c>
      <c r="J5174" t="s">
        <v>32594</v>
      </c>
      <c r="K5174" t="s">
        <v>32595</v>
      </c>
      <c r="L5174" t="s">
        <v>32587</v>
      </c>
    </row>
    <row r="5175" spans="1:12" x14ac:dyDescent="0.25">
      <c r="A5175">
        <v>954267</v>
      </c>
      <c r="B5175">
        <v>1229627</v>
      </c>
      <c r="D5175" t="s">
        <v>1875</v>
      </c>
      <c r="E5175" t="s">
        <v>32597</v>
      </c>
      <c r="F5175" t="s">
        <v>32598</v>
      </c>
      <c r="G5175" t="s">
        <v>32599</v>
      </c>
      <c r="H5175" t="e" vm="2252">
        <f>_FV(0,"025685499424184088")</f>
        <v>#VALUE!</v>
      </c>
      <c r="I5175" t="s">
        <v>32600</v>
      </c>
      <c r="J5175" t="s">
        <v>32601</v>
      </c>
      <c r="K5175" t="s">
        <v>32602</v>
      </c>
      <c r="L5175" t="s">
        <v>32596</v>
      </c>
    </row>
    <row r="5176" spans="1:12" x14ac:dyDescent="0.25">
      <c r="A5176">
        <v>955522</v>
      </c>
      <c r="B5176">
        <v>955547</v>
      </c>
      <c r="C5176" t="s">
        <v>32604</v>
      </c>
      <c r="D5176">
        <v>0</v>
      </c>
      <c r="E5176" t="s">
        <v>32605</v>
      </c>
      <c r="F5176" t="s">
        <v>32606</v>
      </c>
      <c r="G5176" t="s">
        <v>32607</v>
      </c>
      <c r="H5176" t="s">
        <v>32608</v>
      </c>
      <c r="I5176" t="s">
        <v>32609</v>
      </c>
      <c r="J5176" t="s">
        <v>32610</v>
      </c>
      <c r="K5176" t="s">
        <v>32611</v>
      </c>
      <c r="L5176" t="s">
        <v>32603</v>
      </c>
    </row>
    <row r="5177" spans="1:12" x14ac:dyDescent="0.25">
      <c r="A5177">
        <v>955522</v>
      </c>
      <c r="B5177">
        <v>955522</v>
      </c>
      <c r="D5177">
        <v>0</v>
      </c>
      <c r="E5177" t="s">
        <v>32613</v>
      </c>
      <c r="F5177" t="s">
        <v>32614</v>
      </c>
      <c r="G5177" t="s">
        <v>32615</v>
      </c>
      <c r="H5177" t="s">
        <v>32616</v>
      </c>
      <c r="I5177" t="s">
        <v>32617</v>
      </c>
      <c r="J5177" t="s">
        <v>32618</v>
      </c>
      <c r="K5177" t="s">
        <v>32619</v>
      </c>
      <c r="L5177" t="s">
        <v>32612</v>
      </c>
    </row>
    <row r="5178" spans="1:12" x14ac:dyDescent="0.25">
      <c r="A5178">
        <v>955547</v>
      </c>
      <c r="B5178">
        <v>1052378</v>
      </c>
      <c r="D5178">
        <v>0</v>
      </c>
      <c r="E5178" t="s">
        <v>32621</v>
      </c>
      <c r="F5178" t="s">
        <v>32622</v>
      </c>
      <c r="G5178" t="s">
        <v>32623</v>
      </c>
      <c r="H5178" t="s">
        <v>32624</v>
      </c>
      <c r="I5178" t="s">
        <v>32625</v>
      </c>
      <c r="J5178" t="s">
        <v>32626</v>
      </c>
      <c r="K5178" t="s">
        <v>32627</v>
      </c>
      <c r="L5178" t="s">
        <v>32620</v>
      </c>
    </row>
    <row r="5179" spans="1:12" x14ac:dyDescent="0.25">
      <c r="A5179">
        <v>955547</v>
      </c>
      <c r="B5179">
        <v>1052349</v>
      </c>
      <c r="D5179">
        <v>0</v>
      </c>
      <c r="E5179" t="s">
        <v>32629</v>
      </c>
      <c r="F5179" t="s">
        <v>32630</v>
      </c>
      <c r="G5179" t="s">
        <v>32631</v>
      </c>
      <c r="H5179" t="s">
        <v>32632</v>
      </c>
      <c r="I5179" t="s">
        <v>32633</v>
      </c>
      <c r="J5179" t="s">
        <v>32634</v>
      </c>
      <c r="K5179" t="s">
        <v>32635</v>
      </c>
      <c r="L5179" t="s">
        <v>32628</v>
      </c>
    </row>
    <row r="5180" spans="1:12" x14ac:dyDescent="0.25">
      <c r="A5180">
        <v>955573</v>
      </c>
      <c r="B5180">
        <v>955588</v>
      </c>
      <c r="D5180" t="s">
        <v>7856</v>
      </c>
      <c r="E5180" t="s">
        <v>32637</v>
      </c>
      <c r="F5180" t="s">
        <v>32638</v>
      </c>
      <c r="G5180" t="s">
        <v>32639</v>
      </c>
      <c r="H5180" t="e" vm="2253">
        <f>_FV(0,"01889171412813785")</f>
        <v>#VALUE!</v>
      </c>
      <c r="I5180" t="s">
        <v>32640</v>
      </c>
      <c r="J5180" t="s">
        <v>32641</v>
      </c>
      <c r="K5180" t="s">
        <v>32642</v>
      </c>
      <c r="L5180" t="s">
        <v>32636</v>
      </c>
    </row>
    <row r="5181" spans="1:12" x14ac:dyDescent="0.25">
      <c r="A5181">
        <v>955588</v>
      </c>
      <c r="B5181">
        <v>1052490</v>
      </c>
      <c r="D5181">
        <v>0</v>
      </c>
      <c r="F5181">
        <v>1112856</v>
      </c>
      <c r="G5181">
        <v>1052490</v>
      </c>
      <c r="H5181" t="e" vm="2254">
        <f>_FV(0,"076")</f>
        <v>#VALUE!</v>
      </c>
      <c r="I5181">
        <v>955588</v>
      </c>
      <c r="J5181" t="s">
        <v>1987</v>
      </c>
      <c r="K5181" t="s">
        <v>32643</v>
      </c>
      <c r="L5181" t="e" vm="2254">
        <f>_FV(0,"076")</f>
        <v>#VALUE!</v>
      </c>
    </row>
    <row r="5182" spans="1:12" x14ac:dyDescent="0.25">
      <c r="A5182">
        <v>955588</v>
      </c>
      <c r="B5182">
        <v>955598</v>
      </c>
      <c r="D5182">
        <v>0</v>
      </c>
      <c r="E5182" t="s">
        <v>32644</v>
      </c>
      <c r="F5182" t="s">
        <v>32645</v>
      </c>
      <c r="G5182" t="s">
        <v>32646</v>
      </c>
      <c r="H5182" t="e" vm="268">
        <f>_FV(0,"022")</f>
        <v>#VALUE!</v>
      </c>
      <c r="I5182" t="s">
        <v>32647</v>
      </c>
      <c r="J5182" t="s">
        <v>3940</v>
      </c>
      <c r="K5182" t="s">
        <v>32648</v>
      </c>
      <c r="L5182" t="e" vm="268">
        <f>_FV(0,"022")</f>
        <v>#VALUE!</v>
      </c>
    </row>
    <row r="5183" spans="1:12" x14ac:dyDescent="0.25">
      <c r="A5183">
        <v>955598</v>
      </c>
      <c r="B5183">
        <v>1052490</v>
      </c>
      <c r="D5183">
        <v>0</v>
      </c>
      <c r="E5183" t="s">
        <v>32650</v>
      </c>
      <c r="F5183" t="s">
        <v>32651</v>
      </c>
      <c r="G5183" t="s">
        <v>32652</v>
      </c>
      <c r="H5183" t="s">
        <v>32653</v>
      </c>
      <c r="I5183" t="s">
        <v>32654</v>
      </c>
      <c r="J5183" t="s">
        <v>32655</v>
      </c>
      <c r="K5183" t="s">
        <v>32656</v>
      </c>
      <c r="L5183" t="s">
        <v>32649</v>
      </c>
    </row>
    <row r="5184" spans="1:12" x14ac:dyDescent="0.25">
      <c r="A5184">
        <v>956645</v>
      </c>
      <c r="B5184">
        <v>1446976</v>
      </c>
      <c r="D5184" t="s">
        <v>32658</v>
      </c>
      <c r="E5184" t="s">
        <v>32659</v>
      </c>
      <c r="F5184" t="s">
        <v>32660</v>
      </c>
      <c r="G5184" t="s">
        <v>32661</v>
      </c>
      <c r="H5184" t="e" vm="2255">
        <f>_FV(0,"011523481542964068")</f>
        <v>#VALUE!</v>
      </c>
      <c r="I5184" t="s">
        <v>32662</v>
      </c>
      <c r="J5184" t="s">
        <v>32663</v>
      </c>
      <c r="K5184" t="s">
        <v>32664</v>
      </c>
      <c r="L5184" t="s">
        <v>32657</v>
      </c>
    </row>
    <row r="5185" spans="1:12" x14ac:dyDescent="0.25">
      <c r="A5185">
        <v>956645</v>
      </c>
      <c r="B5185">
        <v>1445426</v>
      </c>
      <c r="D5185">
        <v>0</v>
      </c>
      <c r="E5185" t="s">
        <v>32666</v>
      </c>
      <c r="F5185" t="s">
        <v>32667</v>
      </c>
      <c r="G5185" t="s">
        <v>32668</v>
      </c>
      <c r="H5185" t="e" vm="2256">
        <f>_FV(0,"0033306743671503106")</f>
        <v>#VALUE!</v>
      </c>
      <c r="I5185" t="s">
        <v>32669</v>
      </c>
      <c r="J5185" t="s">
        <v>32670</v>
      </c>
      <c r="K5185" t="s">
        <v>32671</v>
      </c>
      <c r="L5185" t="s">
        <v>32665</v>
      </c>
    </row>
    <row r="5186" spans="1:12" x14ac:dyDescent="0.25">
      <c r="A5186">
        <v>956645</v>
      </c>
      <c r="B5186">
        <v>1446350</v>
      </c>
      <c r="C5186" t="s">
        <v>32673</v>
      </c>
      <c r="D5186">
        <v>0</v>
      </c>
      <c r="E5186" t="s">
        <v>32674</v>
      </c>
      <c r="F5186" t="s">
        <v>32675</v>
      </c>
      <c r="G5186" t="s">
        <v>32676</v>
      </c>
      <c r="H5186" t="s">
        <v>32677</v>
      </c>
      <c r="I5186" t="s">
        <v>32678</v>
      </c>
      <c r="J5186" t="s">
        <v>32672</v>
      </c>
      <c r="K5186" t="s">
        <v>32679</v>
      </c>
      <c r="L5186" t="s">
        <v>32672</v>
      </c>
    </row>
    <row r="5187" spans="1:12" x14ac:dyDescent="0.25">
      <c r="A5187">
        <v>956910</v>
      </c>
      <c r="B5187">
        <v>957006</v>
      </c>
      <c r="D5187">
        <v>0</v>
      </c>
      <c r="E5187" t="s">
        <v>32680</v>
      </c>
      <c r="F5187" t="s">
        <v>32681</v>
      </c>
      <c r="G5187" t="s">
        <v>32682</v>
      </c>
      <c r="H5187" t="s">
        <v>32683</v>
      </c>
      <c r="I5187" t="s">
        <v>32684</v>
      </c>
      <c r="J5187" t="s">
        <v>15434</v>
      </c>
      <c r="K5187" t="s">
        <v>32685</v>
      </c>
      <c r="L5187" t="s">
        <v>15434</v>
      </c>
    </row>
    <row r="5188" spans="1:12" x14ac:dyDescent="0.25">
      <c r="A5188">
        <v>956910</v>
      </c>
      <c r="B5188">
        <v>957034</v>
      </c>
      <c r="D5188">
        <v>0</v>
      </c>
      <c r="E5188" t="s">
        <v>32687</v>
      </c>
      <c r="F5188" t="s">
        <v>32688</v>
      </c>
      <c r="G5188" t="s">
        <v>32689</v>
      </c>
      <c r="H5188" t="e" vm="2257">
        <f>_FV(0,"0037151553011212624")</f>
        <v>#VALUE!</v>
      </c>
      <c r="I5188" t="s">
        <v>32690</v>
      </c>
      <c r="J5188" t="s">
        <v>32691</v>
      </c>
      <c r="K5188" t="s">
        <v>32692</v>
      </c>
      <c r="L5188" t="s">
        <v>32686</v>
      </c>
    </row>
    <row r="5189" spans="1:12" x14ac:dyDescent="0.25">
      <c r="A5189">
        <v>957006</v>
      </c>
      <c r="B5189">
        <v>957034</v>
      </c>
      <c r="D5189">
        <v>0</v>
      </c>
      <c r="E5189" t="s">
        <v>32694</v>
      </c>
      <c r="F5189" t="s">
        <v>32695</v>
      </c>
      <c r="G5189" t="s">
        <v>32696</v>
      </c>
      <c r="H5189" t="e" vm="2258">
        <f>_FV(0,"005500195113605885")</f>
        <v>#VALUE!</v>
      </c>
      <c r="I5189" t="s">
        <v>32697</v>
      </c>
      <c r="J5189" t="s">
        <v>32698</v>
      </c>
      <c r="K5189" t="s">
        <v>32699</v>
      </c>
      <c r="L5189" t="s">
        <v>32693</v>
      </c>
    </row>
    <row r="5190" spans="1:12" x14ac:dyDescent="0.25">
      <c r="A5190">
        <v>957034</v>
      </c>
      <c r="B5190">
        <v>1854869</v>
      </c>
      <c r="D5190">
        <v>0</v>
      </c>
      <c r="E5190" t="s">
        <v>32700</v>
      </c>
      <c r="H5190" t="s">
        <v>187</v>
      </c>
      <c r="J5190">
        <v>0</v>
      </c>
      <c r="K5190" t="s">
        <v>2934</v>
      </c>
      <c r="L5190">
        <v>0</v>
      </c>
    </row>
    <row r="5191" spans="1:12" x14ac:dyDescent="0.25">
      <c r="A5191">
        <v>957739</v>
      </c>
      <c r="B5191">
        <v>957794</v>
      </c>
      <c r="D5191">
        <v>0</v>
      </c>
      <c r="E5191" t="s">
        <v>32702</v>
      </c>
      <c r="F5191" t="s">
        <v>32703</v>
      </c>
      <c r="G5191" t="s">
        <v>32704</v>
      </c>
      <c r="H5191" t="e" vm="2259">
        <f>_FV(0,"056891166356894306")</f>
        <v>#VALUE!</v>
      </c>
      <c r="I5191" t="s">
        <v>32705</v>
      </c>
      <c r="J5191" t="s">
        <v>32706</v>
      </c>
      <c r="K5191" t="s">
        <v>32707</v>
      </c>
      <c r="L5191" t="s">
        <v>32701</v>
      </c>
    </row>
    <row r="5192" spans="1:12" x14ac:dyDescent="0.25">
      <c r="A5192">
        <v>957739</v>
      </c>
      <c r="B5192">
        <v>957794</v>
      </c>
      <c r="D5192">
        <v>0</v>
      </c>
      <c r="E5192" t="s">
        <v>32709</v>
      </c>
      <c r="F5192" t="s">
        <v>32710</v>
      </c>
      <c r="G5192" t="s">
        <v>32711</v>
      </c>
      <c r="H5192" t="e" vm="2260">
        <f>_FV(0,"057104357320326066")</f>
        <v>#VALUE!</v>
      </c>
      <c r="I5192" t="s">
        <v>32712</v>
      </c>
      <c r="J5192" t="s">
        <v>32713</v>
      </c>
      <c r="K5192" t="s">
        <v>32714</v>
      </c>
      <c r="L5192" t="s">
        <v>32708</v>
      </c>
    </row>
    <row r="5193" spans="1:12" x14ac:dyDescent="0.25">
      <c r="A5193">
        <v>959683</v>
      </c>
      <c r="B5193">
        <v>959684</v>
      </c>
      <c r="D5193">
        <v>0</v>
      </c>
      <c r="F5193">
        <v>1002540</v>
      </c>
      <c r="G5193">
        <v>959684</v>
      </c>
      <c r="H5193" t="e" vm="219">
        <f>_FV(0,"026")</f>
        <v>#VALUE!</v>
      </c>
      <c r="I5193">
        <v>959683</v>
      </c>
      <c r="J5193" t="s">
        <v>2841</v>
      </c>
      <c r="K5193" t="s">
        <v>32715</v>
      </c>
      <c r="L5193" t="e" vm="219">
        <f>_FV(0,"026")</f>
        <v>#VALUE!</v>
      </c>
    </row>
    <row r="5194" spans="1:12" x14ac:dyDescent="0.25">
      <c r="A5194">
        <v>959683</v>
      </c>
      <c r="B5194">
        <v>959728</v>
      </c>
      <c r="D5194">
        <v>0</v>
      </c>
      <c r="E5194" t="s">
        <v>32717</v>
      </c>
      <c r="F5194" t="s">
        <v>32718</v>
      </c>
      <c r="G5194" t="s">
        <v>32719</v>
      </c>
      <c r="H5194" t="s">
        <v>32720</v>
      </c>
      <c r="I5194" t="s">
        <v>32721</v>
      </c>
      <c r="J5194" t="s">
        <v>32716</v>
      </c>
      <c r="K5194" t="s">
        <v>32722</v>
      </c>
      <c r="L5194" t="s">
        <v>32716</v>
      </c>
    </row>
    <row r="5195" spans="1:12" x14ac:dyDescent="0.25">
      <c r="A5195">
        <v>959683</v>
      </c>
      <c r="B5195">
        <v>959763</v>
      </c>
      <c r="D5195" t="s">
        <v>514</v>
      </c>
      <c r="E5195" t="s">
        <v>32724</v>
      </c>
      <c r="F5195" t="s">
        <v>32725</v>
      </c>
      <c r="G5195" t="s">
        <v>32726</v>
      </c>
      <c r="H5195" t="e" vm="2261">
        <f>_FV(0,"06433976522098955")</f>
        <v>#VALUE!</v>
      </c>
      <c r="I5195" t="s">
        <v>32727</v>
      </c>
      <c r="J5195" t="s">
        <v>32728</v>
      </c>
      <c r="K5195" t="s">
        <v>32729</v>
      </c>
      <c r="L5195" t="s">
        <v>32723</v>
      </c>
    </row>
    <row r="5196" spans="1:12" x14ac:dyDescent="0.25">
      <c r="A5196">
        <v>959684</v>
      </c>
      <c r="B5196">
        <v>959720</v>
      </c>
      <c r="D5196">
        <v>0</v>
      </c>
      <c r="E5196" t="s">
        <v>32731</v>
      </c>
      <c r="F5196" t="s">
        <v>32732</v>
      </c>
      <c r="G5196" t="s">
        <v>32733</v>
      </c>
      <c r="H5196" t="e" vm="2262">
        <f>_FV(0,"022508556229914073")</f>
        <v>#VALUE!</v>
      </c>
      <c r="I5196" t="s">
        <v>32734</v>
      </c>
      <c r="J5196" t="s">
        <v>32735</v>
      </c>
      <c r="K5196" t="s">
        <v>32736</v>
      </c>
      <c r="L5196" t="s">
        <v>32730</v>
      </c>
    </row>
    <row r="5197" spans="1:12" x14ac:dyDescent="0.25">
      <c r="A5197">
        <v>959684</v>
      </c>
      <c r="B5197">
        <v>960532</v>
      </c>
      <c r="D5197">
        <v>0</v>
      </c>
      <c r="E5197" t="s">
        <v>32738</v>
      </c>
      <c r="F5197" t="s">
        <v>32739</v>
      </c>
      <c r="G5197" t="s">
        <v>32740</v>
      </c>
      <c r="H5197" t="e" vm="2263">
        <f>_FV(0,"02911275335060154")</f>
        <v>#VALUE!</v>
      </c>
      <c r="I5197" t="s">
        <v>32741</v>
      </c>
      <c r="J5197" t="s">
        <v>32742</v>
      </c>
      <c r="K5197" t="s">
        <v>32743</v>
      </c>
      <c r="L5197" t="s">
        <v>32737</v>
      </c>
    </row>
    <row r="5198" spans="1:12" x14ac:dyDescent="0.25">
      <c r="A5198">
        <v>959720</v>
      </c>
      <c r="B5198">
        <v>959728</v>
      </c>
      <c r="D5198">
        <v>0</v>
      </c>
      <c r="F5198">
        <v>1002580</v>
      </c>
      <c r="G5198">
        <v>959728</v>
      </c>
      <c r="H5198" t="s">
        <v>1194</v>
      </c>
      <c r="I5198">
        <v>959720</v>
      </c>
      <c r="J5198" t="s">
        <v>1194</v>
      </c>
      <c r="K5198" t="s">
        <v>32744</v>
      </c>
      <c r="L5198" t="s">
        <v>1194</v>
      </c>
    </row>
    <row r="5199" spans="1:12" x14ac:dyDescent="0.25">
      <c r="A5199">
        <v>959720</v>
      </c>
      <c r="B5199">
        <v>960522</v>
      </c>
      <c r="D5199">
        <v>0</v>
      </c>
      <c r="E5199" t="s">
        <v>32746</v>
      </c>
      <c r="F5199" t="s">
        <v>32747</v>
      </c>
      <c r="G5199" t="s">
        <v>32748</v>
      </c>
      <c r="H5199" t="e" vm="2264">
        <f>_FV(0,"020387352587568134")</f>
        <v>#VALUE!</v>
      </c>
      <c r="I5199" t="s">
        <v>32749</v>
      </c>
      <c r="J5199" t="s">
        <v>32750</v>
      </c>
      <c r="K5199" t="s">
        <v>32751</v>
      </c>
      <c r="L5199" t="s">
        <v>32745</v>
      </c>
    </row>
    <row r="5200" spans="1:12" x14ac:dyDescent="0.25">
      <c r="A5200">
        <v>959728</v>
      </c>
      <c r="B5200">
        <v>959774</v>
      </c>
      <c r="D5200" t="s">
        <v>514</v>
      </c>
      <c r="E5200" t="s">
        <v>32753</v>
      </c>
      <c r="F5200" t="s">
        <v>32754</v>
      </c>
      <c r="G5200" t="s">
        <v>32755</v>
      </c>
      <c r="H5200" t="e" vm="2265">
        <f>_FV(0,"06416803004288664")</f>
        <v>#VALUE!</v>
      </c>
      <c r="I5200" t="s">
        <v>32756</v>
      </c>
      <c r="J5200" t="s">
        <v>32757</v>
      </c>
      <c r="K5200" t="s">
        <v>32758</v>
      </c>
      <c r="L5200" t="s">
        <v>32752</v>
      </c>
    </row>
    <row r="5201" spans="1:12" x14ac:dyDescent="0.25">
      <c r="A5201">
        <v>959749</v>
      </c>
      <c r="B5201">
        <v>959755</v>
      </c>
      <c r="D5201">
        <v>0</v>
      </c>
      <c r="E5201" t="s">
        <v>32760</v>
      </c>
      <c r="F5201" t="s">
        <v>32761</v>
      </c>
      <c r="G5201" t="s">
        <v>32762</v>
      </c>
      <c r="H5201" t="s">
        <v>32763</v>
      </c>
      <c r="I5201" t="s">
        <v>32764</v>
      </c>
      <c r="J5201" t="s">
        <v>32765</v>
      </c>
      <c r="K5201" t="s">
        <v>32766</v>
      </c>
      <c r="L5201" t="s">
        <v>32759</v>
      </c>
    </row>
    <row r="5202" spans="1:12" x14ac:dyDescent="0.25">
      <c r="A5202">
        <v>959749</v>
      </c>
      <c r="B5202">
        <v>959774</v>
      </c>
      <c r="D5202">
        <v>0</v>
      </c>
      <c r="F5202">
        <v>1002644</v>
      </c>
      <c r="G5202">
        <v>959749</v>
      </c>
      <c r="H5202" t="s">
        <v>1589</v>
      </c>
      <c r="I5202">
        <v>959774</v>
      </c>
      <c r="J5202" t="s">
        <v>1589</v>
      </c>
      <c r="K5202" t="s">
        <v>32767</v>
      </c>
      <c r="L5202" t="s">
        <v>1589</v>
      </c>
    </row>
    <row r="5203" spans="1:12" x14ac:dyDescent="0.25">
      <c r="A5203">
        <v>959749</v>
      </c>
      <c r="B5203">
        <v>960508</v>
      </c>
      <c r="D5203">
        <v>0</v>
      </c>
      <c r="E5203" t="s">
        <v>32769</v>
      </c>
      <c r="F5203" t="s">
        <v>32770</v>
      </c>
      <c r="G5203" t="s">
        <v>32771</v>
      </c>
      <c r="H5203" t="s">
        <v>32772</v>
      </c>
      <c r="I5203" t="s">
        <v>32773</v>
      </c>
      <c r="J5203" t="s">
        <v>32774</v>
      </c>
      <c r="K5203" t="s">
        <v>32775</v>
      </c>
      <c r="L5203" t="s">
        <v>32768</v>
      </c>
    </row>
    <row r="5204" spans="1:12" x14ac:dyDescent="0.25">
      <c r="A5204">
        <v>959755</v>
      </c>
      <c r="B5204">
        <v>959763</v>
      </c>
      <c r="D5204">
        <v>0</v>
      </c>
      <c r="F5204">
        <v>1002620</v>
      </c>
      <c r="G5204">
        <v>959763</v>
      </c>
      <c r="H5204" t="e" vm="2266">
        <f>_FV(0,"062")</f>
        <v>#VALUE!</v>
      </c>
      <c r="I5204">
        <v>959755</v>
      </c>
      <c r="J5204" t="s">
        <v>32776</v>
      </c>
      <c r="K5204" t="s">
        <v>32777</v>
      </c>
      <c r="L5204" t="e" vm="2266">
        <f>_FV(0,"062")</f>
        <v>#VALUE!</v>
      </c>
    </row>
    <row r="5205" spans="1:12" x14ac:dyDescent="0.25">
      <c r="A5205">
        <v>959755</v>
      </c>
      <c r="B5205">
        <v>960514</v>
      </c>
      <c r="D5205">
        <v>0</v>
      </c>
      <c r="E5205" t="s">
        <v>32779</v>
      </c>
      <c r="F5205" t="s">
        <v>32780</v>
      </c>
      <c r="G5205" t="s">
        <v>32781</v>
      </c>
      <c r="H5205" t="s">
        <v>32782</v>
      </c>
      <c r="I5205" t="s">
        <v>32783</v>
      </c>
      <c r="J5205" t="s">
        <v>32784</v>
      </c>
      <c r="K5205" t="s">
        <v>32785</v>
      </c>
      <c r="L5205" t="s">
        <v>32778</v>
      </c>
    </row>
    <row r="5206" spans="1:12" x14ac:dyDescent="0.25">
      <c r="A5206">
        <v>959763</v>
      </c>
      <c r="B5206">
        <v>959774</v>
      </c>
      <c r="D5206">
        <v>0</v>
      </c>
      <c r="E5206" t="s">
        <v>32787</v>
      </c>
      <c r="F5206" t="s">
        <v>32788</v>
      </c>
      <c r="G5206" t="s">
        <v>32789</v>
      </c>
      <c r="H5206" t="e" vm="2267">
        <f>_FV(0,"02717029546678793")</f>
        <v>#VALUE!</v>
      </c>
      <c r="I5206" t="s">
        <v>32790</v>
      </c>
      <c r="J5206" t="s">
        <v>32791</v>
      </c>
      <c r="K5206" t="s">
        <v>32792</v>
      </c>
      <c r="L5206" t="s">
        <v>32786</v>
      </c>
    </row>
    <row r="5207" spans="1:12" x14ac:dyDescent="0.25">
      <c r="A5207">
        <v>959784</v>
      </c>
      <c r="B5207">
        <v>1299701</v>
      </c>
      <c r="D5207">
        <v>0</v>
      </c>
      <c r="F5207">
        <v>1425649</v>
      </c>
      <c r="G5207">
        <v>1299701</v>
      </c>
      <c r="H5207" t="s">
        <v>32793</v>
      </c>
      <c r="I5207">
        <v>959784</v>
      </c>
      <c r="J5207" t="s">
        <v>32793</v>
      </c>
      <c r="K5207" t="s">
        <v>32794</v>
      </c>
      <c r="L5207" t="s">
        <v>32793</v>
      </c>
    </row>
    <row r="5208" spans="1:12" x14ac:dyDescent="0.25">
      <c r="A5208">
        <v>959784</v>
      </c>
      <c r="B5208">
        <v>959793</v>
      </c>
      <c r="D5208">
        <v>0</v>
      </c>
      <c r="E5208" t="s">
        <v>32796</v>
      </c>
      <c r="F5208" t="s">
        <v>32797</v>
      </c>
      <c r="G5208" t="s">
        <v>32798</v>
      </c>
      <c r="H5208" t="s">
        <v>32799</v>
      </c>
      <c r="I5208" t="s">
        <v>32800</v>
      </c>
      <c r="J5208" t="s">
        <v>32795</v>
      </c>
      <c r="K5208" t="s">
        <v>32801</v>
      </c>
      <c r="L5208" t="s">
        <v>32795</v>
      </c>
    </row>
    <row r="5209" spans="1:12" x14ac:dyDescent="0.25">
      <c r="A5209">
        <v>959793</v>
      </c>
      <c r="B5209">
        <v>959826</v>
      </c>
      <c r="D5209">
        <v>0</v>
      </c>
      <c r="E5209" t="s">
        <v>32803</v>
      </c>
      <c r="F5209" t="s">
        <v>32804</v>
      </c>
      <c r="G5209" t="s">
        <v>32805</v>
      </c>
      <c r="H5209" t="s">
        <v>32806</v>
      </c>
      <c r="I5209" t="s">
        <v>32807</v>
      </c>
      <c r="J5209" t="s">
        <v>32802</v>
      </c>
      <c r="K5209" t="s">
        <v>32808</v>
      </c>
      <c r="L5209" t="s">
        <v>32802</v>
      </c>
    </row>
    <row r="5210" spans="1:12" x14ac:dyDescent="0.25">
      <c r="A5210">
        <v>959793</v>
      </c>
      <c r="B5210">
        <v>1305301</v>
      </c>
      <c r="D5210">
        <v>0</v>
      </c>
      <c r="E5210" t="s">
        <v>32810</v>
      </c>
      <c r="F5210" t="s">
        <v>32811</v>
      </c>
      <c r="G5210" t="s">
        <v>32812</v>
      </c>
      <c r="H5210" t="s">
        <v>32813</v>
      </c>
      <c r="I5210" t="s">
        <v>32814</v>
      </c>
      <c r="J5210" t="s">
        <v>32809</v>
      </c>
      <c r="K5210" t="s">
        <v>32815</v>
      </c>
      <c r="L5210" t="s">
        <v>32809</v>
      </c>
    </row>
    <row r="5211" spans="1:12" x14ac:dyDescent="0.25">
      <c r="A5211">
        <v>959826</v>
      </c>
      <c r="B5211">
        <v>960508</v>
      </c>
      <c r="D5211" t="s">
        <v>32817</v>
      </c>
      <c r="E5211" t="s">
        <v>32818</v>
      </c>
      <c r="F5211" t="s">
        <v>32819</v>
      </c>
      <c r="G5211" t="s">
        <v>32820</v>
      </c>
      <c r="H5211" t="s">
        <v>32821</v>
      </c>
      <c r="I5211" t="s">
        <v>32822</v>
      </c>
      <c r="J5211" t="s">
        <v>32823</v>
      </c>
      <c r="K5211" t="s">
        <v>32824</v>
      </c>
      <c r="L5211" t="s">
        <v>32816</v>
      </c>
    </row>
    <row r="5212" spans="1:12" x14ac:dyDescent="0.25">
      <c r="A5212">
        <v>959826</v>
      </c>
      <c r="B5212">
        <v>1305316</v>
      </c>
      <c r="D5212">
        <v>0</v>
      </c>
      <c r="E5212" t="s">
        <v>32826</v>
      </c>
      <c r="F5212" t="s">
        <v>32827</v>
      </c>
      <c r="G5212" t="s">
        <v>32828</v>
      </c>
      <c r="H5212" t="s">
        <v>32829</v>
      </c>
      <c r="I5212" t="s">
        <v>32830</v>
      </c>
      <c r="J5212" t="s">
        <v>32831</v>
      </c>
      <c r="K5212" t="s">
        <v>32832</v>
      </c>
      <c r="L5212" t="s">
        <v>32825</v>
      </c>
    </row>
    <row r="5213" spans="1:12" x14ac:dyDescent="0.25">
      <c r="A5213">
        <v>959837</v>
      </c>
      <c r="B5213">
        <v>959838</v>
      </c>
      <c r="D5213">
        <v>0</v>
      </c>
      <c r="F5213">
        <v>1002705</v>
      </c>
      <c r="G5213">
        <v>959838</v>
      </c>
      <c r="H5213" t="s">
        <v>187</v>
      </c>
      <c r="I5213">
        <v>959837</v>
      </c>
      <c r="J5213" t="s">
        <v>187</v>
      </c>
      <c r="K5213" t="s">
        <v>32833</v>
      </c>
      <c r="L5213" t="s">
        <v>187</v>
      </c>
    </row>
    <row r="5214" spans="1:12" x14ac:dyDescent="0.25">
      <c r="A5214">
        <v>959837</v>
      </c>
      <c r="B5214">
        <v>1299701</v>
      </c>
      <c r="D5214">
        <v>0</v>
      </c>
      <c r="F5214">
        <v>1425641</v>
      </c>
      <c r="G5214">
        <v>1299701</v>
      </c>
      <c r="H5214" t="s">
        <v>23258</v>
      </c>
      <c r="I5214">
        <v>959837</v>
      </c>
      <c r="J5214" t="s">
        <v>23258</v>
      </c>
      <c r="K5214" t="s">
        <v>32834</v>
      </c>
      <c r="L5214" t="s">
        <v>23258</v>
      </c>
    </row>
    <row r="5215" spans="1:12" x14ac:dyDescent="0.25">
      <c r="A5215">
        <v>959838</v>
      </c>
      <c r="B5215">
        <v>959897</v>
      </c>
      <c r="D5215">
        <v>0</v>
      </c>
      <c r="E5215" t="s">
        <v>32836</v>
      </c>
      <c r="F5215" t="s">
        <v>32837</v>
      </c>
      <c r="G5215" t="s">
        <v>32838</v>
      </c>
      <c r="H5215" t="s">
        <v>32839</v>
      </c>
      <c r="I5215" t="s">
        <v>32840</v>
      </c>
      <c r="J5215" t="s">
        <v>32835</v>
      </c>
      <c r="K5215" t="s">
        <v>32841</v>
      </c>
      <c r="L5215" t="s">
        <v>32835</v>
      </c>
    </row>
    <row r="5216" spans="1:12" x14ac:dyDescent="0.25">
      <c r="A5216">
        <v>959838</v>
      </c>
      <c r="B5216">
        <v>1305305</v>
      </c>
      <c r="D5216">
        <v>0</v>
      </c>
      <c r="E5216" t="s">
        <v>32843</v>
      </c>
      <c r="F5216" t="s">
        <v>32844</v>
      </c>
      <c r="G5216" t="s">
        <v>32845</v>
      </c>
      <c r="H5216" t="e" vm="2268">
        <f>_FV(0,"00396160820579352")</f>
        <v>#VALUE!</v>
      </c>
      <c r="I5216" t="s">
        <v>32846</v>
      </c>
      <c r="J5216" t="s">
        <v>32847</v>
      </c>
      <c r="K5216" t="s">
        <v>32848</v>
      </c>
      <c r="L5216" t="s">
        <v>32842</v>
      </c>
    </row>
    <row r="5217" spans="1:12" x14ac:dyDescent="0.25">
      <c r="A5217">
        <v>959897</v>
      </c>
      <c r="B5217">
        <v>960522</v>
      </c>
      <c r="D5217" t="s">
        <v>32850</v>
      </c>
      <c r="E5217" t="s">
        <v>32851</v>
      </c>
      <c r="F5217" t="s">
        <v>32852</v>
      </c>
      <c r="G5217" t="s">
        <v>32853</v>
      </c>
      <c r="H5217" t="s">
        <v>32854</v>
      </c>
      <c r="I5217" t="s">
        <v>32855</v>
      </c>
      <c r="J5217" t="s">
        <v>32856</v>
      </c>
      <c r="K5217" t="s">
        <v>32857</v>
      </c>
      <c r="L5217" t="s">
        <v>32849</v>
      </c>
    </row>
    <row r="5218" spans="1:12" x14ac:dyDescent="0.25">
      <c r="A5218">
        <v>959897</v>
      </c>
      <c r="B5218">
        <v>1305334</v>
      </c>
      <c r="D5218">
        <v>0</v>
      </c>
      <c r="E5218" t="s">
        <v>32859</v>
      </c>
      <c r="F5218" t="s">
        <v>32860</v>
      </c>
      <c r="G5218" t="s">
        <v>32861</v>
      </c>
      <c r="H5218" t="e" vm="2269">
        <f>_FV(0,"008457769492385567")</f>
        <v>#VALUE!</v>
      </c>
      <c r="I5218" t="s">
        <v>32862</v>
      </c>
      <c r="J5218" t="s">
        <v>32863</v>
      </c>
      <c r="K5218" t="s">
        <v>32864</v>
      </c>
      <c r="L5218" t="s">
        <v>32858</v>
      </c>
    </row>
    <row r="5219" spans="1:12" x14ac:dyDescent="0.25">
      <c r="A5219">
        <v>960370</v>
      </c>
      <c r="B5219">
        <v>960414</v>
      </c>
      <c r="D5219">
        <v>0</v>
      </c>
      <c r="E5219" t="s">
        <v>32866</v>
      </c>
      <c r="F5219" t="s">
        <v>32867</v>
      </c>
      <c r="G5219" t="s">
        <v>32868</v>
      </c>
      <c r="H5219" t="e" vm="2270">
        <f>_FV(0,"01027522482062689")</f>
        <v>#VALUE!</v>
      </c>
      <c r="I5219" t="s">
        <v>32869</v>
      </c>
      <c r="J5219" t="s">
        <v>32870</v>
      </c>
      <c r="K5219" t="s">
        <v>32871</v>
      </c>
      <c r="L5219" t="s">
        <v>32865</v>
      </c>
    </row>
    <row r="5220" spans="1:12" x14ac:dyDescent="0.25">
      <c r="A5220">
        <v>960370</v>
      </c>
      <c r="B5220">
        <v>960414</v>
      </c>
      <c r="D5220">
        <v>0</v>
      </c>
      <c r="E5220" t="s">
        <v>32872</v>
      </c>
      <c r="F5220" t="s">
        <v>32873</v>
      </c>
      <c r="G5220" t="s">
        <v>32874</v>
      </c>
      <c r="H5220" t="e" vm="2271">
        <f>_FV(0,"010232004276823997")</f>
        <v>#VALUE!</v>
      </c>
      <c r="I5220" t="s">
        <v>32875</v>
      </c>
      <c r="J5220" t="s">
        <v>21070</v>
      </c>
      <c r="K5220" t="s">
        <v>32876</v>
      </c>
      <c r="L5220" t="s">
        <v>21065</v>
      </c>
    </row>
    <row r="5221" spans="1:12" x14ac:dyDescent="0.25">
      <c r="A5221">
        <v>960370</v>
      </c>
      <c r="B5221">
        <v>1581732</v>
      </c>
      <c r="D5221" t="s">
        <v>32878</v>
      </c>
      <c r="E5221" t="s">
        <v>32879</v>
      </c>
      <c r="F5221" t="s">
        <v>32880</v>
      </c>
      <c r="G5221" t="s">
        <v>32881</v>
      </c>
      <c r="H5221" t="e" vm="2272">
        <f>_FV(0,"015792333037292293")</f>
        <v>#VALUE!</v>
      </c>
      <c r="I5221" t="s">
        <v>32882</v>
      </c>
      <c r="J5221" t="s">
        <v>32883</v>
      </c>
      <c r="K5221" t="s">
        <v>32884</v>
      </c>
      <c r="L5221" t="s">
        <v>32877</v>
      </c>
    </row>
    <row r="5222" spans="1:12" x14ac:dyDescent="0.25">
      <c r="A5222">
        <v>960480</v>
      </c>
      <c r="B5222">
        <v>960488</v>
      </c>
      <c r="D5222" t="s">
        <v>13376</v>
      </c>
      <c r="E5222" t="s">
        <v>32886</v>
      </c>
      <c r="F5222" t="s">
        <v>32887</v>
      </c>
      <c r="G5222" t="s">
        <v>32888</v>
      </c>
      <c r="H5222" t="e" vm="2273">
        <f>_FV(0,"007599320097917727")</f>
        <v>#VALUE!</v>
      </c>
      <c r="I5222" t="s">
        <v>32889</v>
      </c>
      <c r="J5222" t="s">
        <v>32890</v>
      </c>
      <c r="K5222" t="s">
        <v>32891</v>
      </c>
      <c r="L5222" t="s">
        <v>32885</v>
      </c>
    </row>
    <row r="5223" spans="1:12" x14ac:dyDescent="0.25">
      <c r="A5223">
        <v>960508</v>
      </c>
      <c r="B5223">
        <v>960514</v>
      </c>
      <c r="D5223">
        <v>0</v>
      </c>
      <c r="E5223" t="s">
        <v>32893</v>
      </c>
      <c r="F5223" t="s">
        <v>32894</v>
      </c>
      <c r="G5223" t="s">
        <v>32895</v>
      </c>
      <c r="H5223" t="s">
        <v>32896</v>
      </c>
      <c r="I5223" t="s">
        <v>32897</v>
      </c>
      <c r="J5223" t="s">
        <v>2899</v>
      </c>
      <c r="K5223" t="s">
        <v>32898</v>
      </c>
      <c r="L5223" t="s">
        <v>32892</v>
      </c>
    </row>
    <row r="5224" spans="1:12" x14ac:dyDescent="0.25">
      <c r="A5224">
        <v>960514</v>
      </c>
      <c r="B5224">
        <v>960590</v>
      </c>
      <c r="D5224" t="s">
        <v>10069</v>
      </c>
      <c r="E5224" t="s">
        <v>32900</v>
      </c>
      <c r="F5224" t="s">
        <v>32901</v>
      </c>
      <c r="G5224" t="s">
        <v>32902</v>
      </c>
      <c r="H5224" t="e" vm="2274">
        <f>_FV(0,"005607510362192126")</f>
        <v>#VALUE!</v>
      </c>
      <c r="I5224" t="s">
        <v>32903</v>
      </c>
      <c r="J5224" t="s">
        <v>32904</v>
      </c>
      <c r="K5224" t="s">
        <v>32905</v>
      </c>
      <c r="L5224" t="s">
        <v>32899</v>
      </c>
    </row>
    <row r="5225" spans="1:12" x14ac:dyDescent="0.25">
      <c r="A5225">
        <v>960522</v>
      </c>
      <c r="B5225">
        <v>960532</v>
      </c>
      <c r="D5225">
        <v>0</v>
      </c>
      <c r="E5225" t="s">
        <v>32907</v>
      </c>
      <c r="F5225" t="s">
        <v>32908</v>
      </c>
      <c r="G5225" t="s">
        <v>32909</v>
      </c>
      <c r="H5225" t="s">
        <v>32910</v>
      </c>
      <c r="I5225" t="s">
        <v>32911</v>
      </c>
      <c r="J5225" t="s">
        <v>32906</v>
      </c>
      <c r="K5225" t="s">
        <v>32912</v>
      </c>
      <c r="L5225" t="s">
        <v>32906</v>
      </c>
    </row>
    <row r="5226" spans="1:12" x14ac:dyDescent="0.25">
      <c r="A5226">
        <v>960532</v>
      </c>
      <c r="B5226">
        <v>960590</v>
      </c>
      <c r="D5226" t="s">
        <v>7856</v>
      </c>
      <c r="E5226" t="s">
        <v>32914</v>
      </c>
      <c r="F5226" t="s">
        <v>32915</v>
      </c>
      <c r="G5226" t="s">
        <v>32916</v>
      </c>
      <c r="H5226" t="e" vm="2275">
        <f>_FV(0,"006284762954946324")</f>
        <v>#VALUE!</v>
      </c>
      <c r="I5226" t="s">
        <v>32917</v>
      </c>
      <c r="J5226" t="s">
        <v>32918</v>
      </c>
      <c r="K5226" t="s">
        <v>32919</v>
      </c>
      <c r="L5226" t="s">
        <v>32913</v>
      </c>
    </row>
    <row r="5227" spans="1:12" x14ac:dyDescent="0.25">
      <c r="A5227">
        <v>961913</v>
      </c>
      <c r="B5227">
        <v>961931</v>
      </c>
      <c r="D5227">
        <v>0</v>
      </c>
      <c r="E5227" t="s">
        <v>32921</v>
      </c>
      <c r="F5227" t="s">
        <v>32922</v>
      </c>
      <c r="G5227" t="s">
        <v>32923</v>
      </c>
      <c r="H5227" t="s">
        <v>32924</v>
      </c>
      <c r="I5227" t="s">
        <v>32925</v>
      </c>
      <c r="J5227" t="s">
        <v>32920</v>
      </c>
      <c r="K5227" t="s">
        <v>32926</v>
      </c>
      <c r="L5227" t="s">
        <v>32920</v>
      </c>
    </row>
    <row r="5228" spans="1:12" x14ac:dyDescent="0.25">
      <c r="A5228">
        <v>961913</v>
      </c>
      <c r="B5228">
        <v>961950</v>
      </c>
      <c r="D5228">
        <v>0</v>
      </c>
      <c r="F5228">
        <v>1005028</v>
      </c>
      <c r="G5228">
        <v>961913</v>
      </c>
      <c r="H5228" t="e" vm="106">
        <f>_FV(0,"019")</f>
        <v>#VALUE!</v>
      </c>
      <c r="I5228">
        <v>961950</v>
      </c>
      <c r="J5228" t="s">
        <v>1629</v>
      </c>
      <c r="K5228" t="s">
        <v>32927</v>
      </c>
      <c r="L5228" t="e" vm="106">
        <f>_FV(0,"019")</f>
        <v>#VALUE!</v>
      </c>
    </row>
    <row r="5229" spans="1:12" x14ac:dyDescent="0.25">
      <c r="A5229">
        <v>961931</v>
      </c>
      <c r="B5229">
        <v>961950</v>
      </c>
      <c r="D5229">
        <v>0</v>
      </c>
      <c r="F5229">
        <v>1005004</v>
      </c>
      <c r="G5229">
        <v>961931</v>
      </c>
      <c r="H5229" t="e" vm="16">
        <f>_FV(0,"007")</f>
        <v>#VALUE!</v>
      </c>
      <c r="I5229">
        <v>961950</v>
      </c>
      <c r="J5229" t="s">
        <v>226</v>
      </c>
      <c r="K5229" t="s">
        <v>32928</v>
      </c>
      <c r="L5229" t="e" vm="16">
        <f>_FV(0,"007")</f>
        <v>#VALUE!</v>
      </c>
    </row>
    <row r="5230" spans="1:12" x14ac:dyDescent="0.25">
      <c r="A5230">
        <v>967970</v>
      </c>
      <c r="B5230">
        <v>968007</v>
      </c>
      <c r="C5230" t="s">
        <v>32930</v>
      </c>
      <c r="D5230">
        <v>0</v>
      </c>
      <c r="E5230" t="s">
        <v>32931</v>
      </c>
      <c r="F5230" t="s">
        <v>32932</v>
      </c>
      <c r="G5230" t="s">
        <v>32933</v>
      </c>
      <c r="H5230" t="e" vm="2276">
        <f>_FV(0,"030356343599899416")</f>
        <v>#VALUE!</v>
      </c>
      <c r="I5230" t="s">
        <v>32934</v>
      </c>
      <c r="J5230" t="s">
        <v>32935</v>
      </c>
      <c r="K5230" t="s">
        <v>32936</v>
      </c>
      <c r="L5230" t="s">
        <v>32929</v>
      </c>
    </row>
    <row r="5231" spans="1:12" x14ac:dyDescent="0.25">
      <c r="A5231">
        <v>967970</v>
      </c>
      <c r="B5231">
        <v>1084581</v>
      </c>
      <c r="D5231">
        <v>0</v>
      </c>
      <c r="E5231" t="s">
        <v>32938</v>
      </c>
      <c r="F5231" t="s">
        <v>32939</v>
      </c>
      <c r="G5231" t="s">
        <v>32940</v>
      </c>
      <c r="H5231" t="e" vm="2277">
        <f>_FV(0,"08092948709303982")</f>
        <v>#VALUE!</v>
      </c>
      <c r="I5231" t="s">
        <v>32941</v>
      </c>
      <c r="J5231" t="s">
        <v>32942</v>
      </c>
      <c r="K5231" t="s">
        <v>32943</v>
      </c>
      <c r="L5231" t="s">
        <v>32937</v>
      </c>
    </row>
    <row r="5232" spans="1:12" x14ac:dyDescent="0.25">
      <c r="A5232">
        <v>967970</v>
      </c>
      <c r="B5232">
        <v>1096879</v>
      </c>
      <c r="D5232">
        <v>0</v>
      </c>
      <c r="E5232" t="s">
        <v>32945</v>
      </c>
      <c r="F5232" t="s">
        <v>32946</v>
      </c>
      <c r="G5232" t="s">
        <v>32947</v>
      </c>
      <c r="H5232" t="s">
        <v>32948</v>
      </c>
      <c r="I5232" t="s">
        <v>32949</v>
      </c>
      <c r="J5232" t="s">
        <v>32950</v>
      </c>
      <c r="K5232" t="s">
        <v>32951</v>
      </c>
      <c r="L5232" t="s">
        <v>32944</v>
      </c>
    </row>
    <row r="5233" spans="1:12" x14ac:dyDescent="0.25">
      <c r="A5233">
        <v>969833</v>
      </c>
      <c r="B5233">
        <v>1854887</v>
      </c>
      <c r="C5233" t="s">
        <v>32952</v>
      </c>
      <c r="D5233">
        <v>0</v>
      </c>
      <c r="E5233" t="s">
        <v>32953</v>
      </c>
      <c r="H5233" t="s">
        <v>187</v>
      </c>
      <c r="J5233">
        <v>0</v>
      </c>
      <c r="K5233" t="s">
        <v>32954</v>
      </c>
      <c r="L5233">
        <v>0</v>
      </c>
    </row>
    <row r="5234" spans="1:12" x14ac:dyDescent="0.25">
      <c r="A5234">
        <v>969841</v>
      </c>
      <c r="B5234">
        <v>969943</v>
      </c>
      <c r="C5234" t="s">
        <v>32956</v>
      </c>
      <c r="D5234" t="s">
        <v>32957</v>
      </c>
      <c r="E5234" t="s">
        <v>32958</v>
      </c>
      <c r="F5234" t="s">
        <v>32959</v>
      </c>
      <c r="G5234" t="s">
        <v>32960</v>
      </c>
      <c r="H5234" t="e" vm="2278">
        <f>_FV(0,"007307082930538108")</f>
        <v>#VALUE!</v>
      </c>
      <c r="I5234" t="s">
        <v>32961</v>
      </c>
      <c r="J5234" t="s">
        <v>32962</v>
      </c>
      <c r="K5234" t="s">
        <v>32963</v>
      </c>
      <c r="L5234" t="s">
        <v>32955</v>
      </c>
    </row>
    <row r="5235" spans="1:12" x14ac:dyDescent="0.25">
      <c r="A5235">
        <v>969841</v>
      </c>
      <c r="B5235">
        <v>969952</v>
      </c>
      <c r="D5235">
        <v>0</v>
      </c>
      <c r="E5235" t="s">
        <v>32965</v>
      </c>
      <c r="F5235" t="s">
        <v>32966</v>
      </c>
      <c r="G5235" t="s">
        <v>32967</v>
      </c>
      <c r="H5235" t="e" vm="2279">
        <f>_FV(0,"030592584082533684")</f>
        <v>#VALUE!</v>
      </c>
      <c r="I5235" t="s">
        <v>32968</v>
      </c>
      <c r="J5235" t="s">
        <v>32969</v>
      </c>
      <c r="K5235" t="s">
        <v>32970</v>
      </c>
      <c r="L5235" t="s">
        <v>32964</v>
      </c>
    </row>
    <row r="5236" spans="1:12" x14ac:dyDescent="0.25">
      <c r="A5236">
        <v>969841</v>
      </c>
      <c r="B5236">
        <v>969965</v>
      </c>
      <c r="D5236">
        <v>0</v>
      </c>
      <c r="E5236" t="s">
        <v>32972</v>
      </c>
      <c r="F5236" t="s">
        <v>32973</v>
      </c>
      <c r="G5236" t="s">
        <v>32974</v>
      </c>
      <c r="H5236" t="e" vm="2280">
        <f>_FV(0,"0261716571261037")</f>
        <v>#VALUE!</v>
      </c>
      <c r="I5236" t="s">
        <v>32975</v>
      </c>
      <c r="J5236" t="s">
        <v>1426</v>
      </c>
      <c r="K5236" t="s">
        <v>32976</v>
      </c>
      <c r="L5236" t="s">
        <v>32971</v>
      </c>
    </row>
    <row r="5237" spans="1:12" x14ac:dyDescent="0.25">
      <c r="A5237">
        <v>969951</v>
      </c>
      <c r="B5237">
        <v>969952</v>
      </c>
      <c r="D5237">
        <v>0</v>
      </c>
      <c r="F5237">
        <v>1013171</v>
      </c>
      <c r="G5237">
        <v>969952</v>
      </c>
      <c r="H5237" t="e" vm="113">
        <f>_FV(0,"032")</f>
        <v>#VALUE!</v>
      </c>
      <c r="I5237">
        <v>969951</v>
      </c>
      <c r="J5237" t="s">
        <v>1687</v>
      </c>
      <c r="K5237" t="s">
        <v>32977</v>
      </c>
      <c r="L5237" t="e" vm="113">
        <f>_FV(0,"032")</f>
        <v>#VALUE!</v>
      </c>
    </row>
    <row r="5238" spans="1:12" x14ac:dyDescent="0.25">
      <c r="A5238">
        <v>969951</v>
      </c>
      <c r="B5238">
        <v>970013</v>
      </c>
      <c r="D5238">
        <v>0</v>
      </c>
      <c r="E5238" t="s">
        <v>32979</v>
      </c>
      <c r="F5238" t="s">
        <v>32980</v>
      </c>
      <c r="G5238" t="s">
        <v>32981</v>
      </c>
      <c r="H5238" t="s">
        <v>32982</v>
      </c>
      <c r="I5238" t="s">
        <v>32983</v>
      </c>
      <c r="J5238" t="s">
        <v>32984</v>
      </c>
      <c r="K5238" t="s">
        <v>32985</v>
      </c>
      <c r="L5238" t="s">
        <v>32978</v>
      </c>
    </row>
    <row r="5239" spans="1:12" x14ac:dyDescent="0.25">
      <c r="A5239">
        <v>969951</v>
      </c>
      <c r="B5239">
        <v>1084221</v>
      </c>
      <c r="D5239">
        <v>0</v>
      </c>
      <c r="E5239" t="s">
        <v>32987</v>
      </c>
      <c r="F5239" t="s">
        <v>32988</v>
      </c>
      <c r="G5239" t="s">
        <v>32989</v>
      </c>
      <c r="H5239" t="e" vm="2281">
        <f>_FV(0,"020996477656857422")</f>
        <v>#VALUE!</v>
      </c>
      <c r="I5239" t="s">
        <v>32990</v>
      </c>
      <c r="J5239" t="s">
        <v>32991</v>
      </c>
      <c r="K5239" t="s">
        <v>32992</v>
      </c>
      <c r="L5239" t="s">
        <v>32986</v>
      </c>
    </row>
    <row r="5240" spans="1:12" x14ac:dyDescent="0.25">
      <c r="A5240">
        <v>969952</v>
      </c>
      <c r="B5240">
        <v>969965</v>
      </c>
      <c r="D5240">
        <v>0</v>
      </c>
      <c r="E5240" t="s">
        <v>32994</v>
      </c>
      <c r="F5240" t="s">
        <v>32995</v>
      </c>
      <c r="G5240" t="s">
        <v>32996</v>
      </c>
      <c r="H5240" t="e" vm="2282">
        <f>_FV(0,"0125021414314474")</f>
        <v>#VALUE!</v>
      </c>
      <c r="I5240" t="s">
        <v>32997</v>
      </c>
      <c r="J5240" t="s">
        <v>11686</v>
      </c>
      <c r="K5240" t="s">
        <v>32998</v>
      </c>
      <c r="L5240" t="s">
        <v>32993</v>
      </c>
    </row>
    <row r="5241" spans="1:12" x14ac:dyDescent="0.25">
      <c r="A5241">
        <v>969965</v>
      </c>
      <c r="B5241">
        <v>969972</v>
      </c>
      <c r="D5241">
        <v>0</v>
      </c>
      <c r="F5241">
        <v>1013195</v>
      </c>
      <c r="G5241">
        <v>969972</v>
      </c>
      <c r="H5241" t="s">
        <v>226</v>
      </c>
      <c r="I5241">
        <v>969965</v>
      </c>
      <c r="J5241" t="s">
        <v>226</v>
      </c>
      <c r="K5241" t="s">
        <v>32999</v>
      </c>
      <c r="L5241" t="s">
        <v>226</v>
      </c>
    </row>
    <row r="5242" spans="1:12" x14ac:dyDescent="0.25">
      <c r="A5242">
        <v>969972</v>
      </c>
      <c r="B5242">
        <v>969986</v>
      </c>
      <c r="D5242">
        <v>0</v>
      </c>
      <c r="E5242" t="s">
        <v>33000</v>
      </c>
      <c r="F5242" t="s">
        <v>33001</v>
      </c>
      <c r="G5242" t="s">
        <v>33002</v>
      </c>
      <c r="H5242" t="s">
        <v>33003</v>
      </c>
      <c r="I5242" t="s">
        <v>33004</v>
      </c>
      <c r="J5242" t="s">
        <v>10372</v>
      </c>
      <c r="K5242" t="s">
        <v>33005</v>
      </c>
      <c r="L5242" t="s">
        <v>10372</v>
      </c>
    </row>
    <row r="5243" spans="1:12" x14ac:dyDescent="0.25">
      <c r="A5243">
        <v>969972</v>
      </c>
      <c r="B5243">
        <v>1084247</v>
      </c>
      <c r="D5243">
        <v>0</v>
      </c>
      <c r="E5243" t="s">
        <v>33007</v>
      </c>
      <c r="F5243" t="s">
        <v>33008</v>
      </c>
      <c r="G5243" t="s">
        <v>33009</v>
      </c>
      <c r="H5243" t="e" vm="2283">
        <f>_FV(0,"0038009841046321236")</f>
        <v>#VALUE!</v>
      </c>
      <c r="I5243" t="s">
        <v>33010</v>
      </c>
      <c r="J5243" t="s">
        <v>33011</v>
      </c>
      <c r="K5243" t="s">
        <v>33012</v>
      </c>
      <c r="L5243" t="s">
        <v>33006</v>
      </c>
    </row>
    <row r="5244" spans="1:12" x14ac:dyDescent="0.25">
      <c r="A5244">
        <v>969986</v>
      </c>
      <c r="B5244">
        <v>970013</v>
      </c>
      <c r="D5244">
        <v>0</v>
      </c>
      <c r="E5244" t="s">
        <v>33014</v>
      </c>
      <c r="F5244" t="s">
        <v>33015</v>
      </c>
      <c r="G5244" t="s">
        <v>33016</v>
      </c>
      <c r="H5244" t="e" vm="2284">
        <f>_FV(0,"3756820245279616")</f>
        <v>#VALUE!</v>
      </c>
      <c r="I5244" t="s">
        <v>33017</v>
      </c>
      <c r="J5244" t="s">
        <v>33018</v>
      </c>
      <c r="K5244" t="s">
        <v>33019</v>
      </c>
      <c r="L5244" t="s">
        <v>33013</v>
      </c>
    </row>
    <row r="5245" spans="1:12" x14ac:dyDescent="0.25">
      <c r="A5245">
        <v>969986</v>
      </c>
      <c r="B5245">
        <v>1084247</v>
      </c>
      <c r="D5245">
        <v>0</v>
      </c>
      <c r="E5245" t="s">
        <v>33021</v>
      </c>
      <c r="F5245" t="s">
        <v>33022</v>
      </c>
      <c r="G5245" t="s">
        <v>33023</v>
      </c>
      <c r="H5245" t="e" vm="2285">
        <f>_FV(0,"020027937096289635")</f>
        <v>#VALUE!</v>
      </c>
      <c r="I5245" t="s">
        <v>33024</v>
      </c>
      <c r="J5245" t="s">
        <v>33025</v>
      </c>
      <c r="K5245" t="s">
        <v>33026</v>
      </c>
      <c r="L5245" t="s">
        <v>33020</v>
      </c>
    </row>
    <row r="5246" spans="1:12" x14ac:dyDescent="0.25">
      <c r="A5246">
        <v>970013</v>
      </c>
      <c r="B5246">
        <v>1084221</v>
      </c>
      <c r="D5246">
        <v>0</v>
      </c>
      <c r="E5246" t="s">
        <v>33028</v>
      </c>
      <c r="F5246" t="s">
        <v>33029</v>
      </c>
      <c r="G5246" t="s">
        <v>33030</v>
      </c>
      <c r="H5246" t="e" vm="2286">
        <f>_FV(0,"21916246900326544")</f>
        <v>#VALUE!</v>
      </c>
      <c r="I5246" t="s">
        <v>33031</v>
      </c>
      <c r="J5246" t="s">
        <v>33032</v>
      </c>
      <c r="K5246" t="s">
        <v>33033</v>
      </c>
      <c r="L5246" t="s">
        <v>33027</v>
      </c>
    </row>
    <row r="5247" spans="1:12" x14ac:dyDescent="0.25">
      <c r="A5247">
        <v>970035</v>
      </c>
      <c r="B5247">
        <v>970036</v>
      </c>
      <c r="D5247">
        <v>0</v>
      </c>
      <c r="F5247">
        <v>1013267</v>
      </c>
      <c r="G5247">
        <v>970036</v>
      </c>
      <c r="H5247" t="e" vm="1084">
        <f>_FV(0,"018")</f>
        <v>#VALUE!</v>
      </c>
      <c r="I5247">
        <v>970035</v>
      </c>
      <c r="J5247" t="s">
        <v>697</v>
      </c>
      <c r="K5247" t="s">
        <v>33034</v>
      </c>
      <c r="L5247" t="e" vm="1084">
        <f>_FV(0,"018")</f>
        <v>#VALUE!</v>
      </c>
    </row>
    <row r="5248" spans="1:12" x14ac:dyDescent="0.25">
      <c r="A5248">
        <v>970035</v>
      </c>
      <c r="B5248">
        <v>970036</v>
      </c>
      <c r="D5248">
        <v>0</v>
      </c>
      <c r="E5248" t="s">
        <v>33036</v>
      </c>
      <c r="F5248" t="s">
        <v>33037</v>
      </c>
      <c r="G5248" t="s">
        <v>33038</v>
      </c>
      <c r="H5248" t="e" vm="2287">
        <f>_FV(0,"018363309211194865")</f>
        <v>#VALUE!</v>
      </c>
      <c r="I5248" t="s">
        <v>33039</v>
      </c>
      <c r="J5248" t="s">
        <v>33040</v>
      </c>
      <c r="K5248" t="s">
        <v>33041</v>
      </c>
      <c r="L5248" t="s">
        <v>33035</v>
      </c>
    </row>
    <row r="5249" spans="1:12" x14ac:dyDescent="0.25">
      <c r="A5249">
        <v>970035</v>
      </c>
      <c r="B5249">
        <v>1213869</v>
      </c>
      <c r="C5249" t="s">
        <v>33043</v>
      </c>
      <c r="D5249">
        <v>0</v>
      </c>
      <c r="E5249" t="s">
        <v>33044</v>
      </c>
      <c r="F5249" t="s">
        <v>33045</v>
      </c>
      <c r="G5249" t="s">
        <v>33046</v>
      </c>
      <c r="H5249" t="s">
        <v>33047</v>
      </c>
      <c r="I5249" t="s">
        <v>33048</v>
      </c>
      <c r="J5249" t="s">
        <v>33049</v>
      </c>
      <c r="K5249" t="s">
        <v>33050</v>
      </c>
      <c r="L5249" t="s">
        <v>33042</v>
      </c>
    </row>
    <row r="5250" spans="1:12" x14ac:dyDescent="0.25">
      <c r="A5250">
        <v>970036</v>
      </c>
      <c r="B5250">
        <v>1099823</v>
      </c>
      <c r="D5250">
        <v>0</v>
      </c>
      <c r="F5250">
        <v>1166128</v>
      </c>
      <c r="G5250">
        <v>1099823</v>
      </c>
      <c r="H5250" t="e" vm="1006">
        <f>_FV(0,"006")</f>
        <v>#VALUE!</v>
      </c>
      <c r="I5250">
        <v>970036</v>
      </c>
      <c r="J5250" t="s">
        <v>250</v>
      </c>
      <c r="K5250" t="s">
        <v>33051</v>
      </c>
      <c r="L5250" t="e" vm="1006">
        <f>_FV(0,"006")</f>
        <v>#VALUE!</v>
      </c>
    </row>
    <row r="5251" spans="1:12" x14ac:dyDescent="0.25">
      <c r="A5251">
        <v>972029</v>
      </c>
      <c r="B5251">
        <v>972160</v>
      </c>
      <c r="C5251" t="s">
        <v>33053</v>
      </c>
      <c r="D5251" t="s">
        <v>33054</v>
      </c>
      <c r="E5251" t="s">
        <v>33055</v>
      </c>
      <c r="F5251" t="s">
        <v>33056</v>
      </c>
      <c r="G5251" t="s">
        <v>33057</v>
      </c>
      <c r="H5251" t="s">
        <v>33058</v>
      </c>
      <c r="I5251" t="s">
        <v>33059</v>
      </c>
      <c r="J5251" t="s">
        <v>33060</v>
      </c>
      <c r="K5251" t="s">
        <v>33061</v>
      </c>
      <c r="L5251" t="s">
        <v>33052</v>
      </c>
    </row>
    <row r="5252" spans="1:12" x14ac:dyDescent="0.25">
      <c r="A5252">
        <v>972029</v>
      </c>
      <c r="B5252">
        <v>979116</v>
      </c>
      <c r="D5252">
        <v>0</v>
      </c>
      <c r="E5252" t="s">
        <v>33063</v>
      </c>
      <c r="F5252" t="s">
        <v>33064</v>
      </c>
      <c r="G5252" t="s">
        <v>33065</v>
      </c>
      <c r="H5252" t="e" vm="2288">
        <f>_FV(0,"09667597890664804")</f>
        <v>#VALUE!</v>
      </c>
      <c r="I5252" t="s">
        <v>33066</v>
      </c>
      <c r="J5252" t="s">
        <v>33067</v>
      </c>
      <c r="K5252" t="s">
        <v>33068</v>
      </c>
      <c r="L5252" t="s">
        <v>33062</v>
      </c>
    </row>
    <row r="5253" spans="1:12" x14ac:dyDescent="0.25">
      <c r="A5253">
        <v>972029</v>
      </c>
      <c r="B5253">
        <v>1083874</v>
      </c>
      <c r="D5253">
        <v>0</v>
      </c>
      <c r="E5253" t="s">
        <v>33070</v>
      </c>
      <c r="F5253" t="s">
        <v>33071</v>
      </c>
      <c r="G5253" t="s">
        <v>33072</v>
      </c>
      <c r="H5253" t="e" vm="2289">
        <f>_FV(0,"043881424803853264")</f>
        <v>#VALUE!</v>
      </c>
      <c r="I5253" t="s">
        <v>33073</v>
      </c>
      <c r="J5253" t="s">
        <v>33074</v>
      </c>
      <c r="K5253" t="s">
        <v>33075</v>
      </c>
      <c r="L5253" t="s">
        <v>33069</v>
      </c>
    </row>
    <row r="5254" spans="1:12" x14ac:dyDescent="0.25">
      <c r="A5254">
        <v>972160</v>
      </c>
      <c r="B5254">
        <v>972167</v>
      </c>
      <c r="D5254">
        <v>0</v>
      </c>
      <c r="E5254" t="s">
        <v>33077</v>
      </c>
      <c r="F5254" t="s">
        <v>33078</v>
      </c>
      <c r="G5254" t="s">
        <v>33079</v>
      </c>
      <c r="H5254" t="s">
        <v>33080</v>
      </c>
      <c r="I5254" t="s">
        <v>33081</v>
      </c>
      <c r="J5254" t="s">
        <v>33082</v>
      </c>
      <c r="K5254" t="s">
        <v>33083</v>
      </c>
      <c r="L5254" t="s">
        <v>33076</v>
      </c>
    </row>
    <row r="5255" spans="1:12" x14ac:dyDescent="0.25">
      <c r="A5255">
        <v>972160</v>
      </c>
      <c r="B5255">
        <v>972167</v>
      </c>
      <c r="D5255">
        <v>0</v>
      </c>
      <c r="E5255" t="s">
        <v>33085</v>
      </c>
      <c r="F5255" t="s">
        <v>33086</v>
      </c>
      <c r="G5255" t="s">
        <v>33087</v>
      </c>
      <c r="H5255" t="s">
        <v>33088</v>
      </c>
      <c r="I5255" t="s">
        <v>33089</v>
      </c>
      <c r="J5255" t="s">
        <v>33090</v>
      </c>
      <c r="K5255" t="s">
        <v>33091</v>
      </c>
      <c r="L5255" t="s">
        <v>33084</v>
      </c>
    </row>
    <row r="5256" spans="1:12" x14ac:dyDescent="0.25">
      <c r="A5256">
        <v>972167</v>
      </c>
      <c r="B5256">
        <v>1854892</v>
      </c>
      <c r="C5256" t="s">
        <v>33092</v>
      </c>
      <c r="D5256">
        <v>0</v>
      </c>
      <c r="E5256" t="s">
        <v>33093</v>
      </c>
      <c r="H5256" t="s">
        <v>187</v>
      </c>
      <c r="J5256">
        <v>0</v>
      </c>
      <c r="K5256" t="s">
        <v>33094</v>
      </c>
      <c r="L5256">
        <v>0</v>
      </c>
    </row>
    <row r="5257" spans="1:12" x14ac:dyDescent="0.25">
      <c r="A5257">
        <v>972234</v>
      </c>
      <c r="B5257">
        <v>1037091</v>
      </c>
      <c r="C5257" t="s">
        <v>33096</v>
      </c>
      <c r="D5257">
        <v>0</v>
      </c>
      <c r="E5257" t="s">
        <v>33097</v>
      </c>
      <c r="F5257" t="s">
        <v>33098</v>
      </c>
      <c r="G5257" t="s">
        <v>33099</v>
      </c>
      <c r="H5257" t="e" vm="2290">
        <f>_FV(0,"006387007069010108")</f>
        <v>#VALUE!</v>
      </c>
      <c r="I5257" t="s">
        <v>33100</v>
      </c>
      <c r="J5257" t="s">
        <v>33101</v>
      </c>
      <c r="K5257" t="s">
        <v>33102</v>
      </c>
      <c r="L5257" t="s">
        <v>33095</v>
      </c>
    </row>
    <row r="5258" spans="1:12" x14ac:dyDescent="0.25">
      <c r="A5258">
        <v>972234</v>
      </c>
      <c r="B5258">
        <v>1008753</v>
      </c>
      <c r="D5258">
        <v>0</v>
      </c>
      <c r="E5258" t="s">
        <v>33104</v>
      </c>
      <c r="F5258" t="s">
        <v>33105</v>
      </c>
      <c r="G5258" t="s">
        <v>33106</v>
      </c>
      <c r="H5258" t="e" vm="2291">
        <f>_FV(0,"01814300315699694")</f>
        <v>#VALUE!</v>
      </c>
      <c r="I5258" t="s">
        <v>33107</v>
      </c>
      <c r="J5258" t="s">
        <v>33108</v>
      </c>
      <c r="K5258" t="s">
        <v>33109</v>
      </c>
      <c r="L5258" t="s">
        <v>33103</v>
      </c>
    </row>
    <row r="5259" spans="1:12" x14ac:dyDescent="0.25">
      <c r="A5259">
        <v>972234</v>
      </c>
      <c r="B5259">
        <v>1096891</v>
      </c>
      <c r="D5259">
        <v>0</v>
      </c>
      <c r="E5259" t="s">
        <v>33111</v>
      </c>
      <c r="F5259" t="s">
        <v>33112</v>
      </c>
      <c r="G5259" t="s">
        <v>33113</v>
      </c>
      <c r="H5259" t="e" vm="2292">
        <f>_FV(0,"012091266180252181")</f>
        <v>#VALUE!</v>
      </c>
      <c r="I5259" t="s">
        <v>33114</v>
      </c>
      <c r="J5259" t="s">
        <v>33115</v>
      </c>
      <c r="K5259" t="s">
        <v>33116</v>
      </c>
      <c r="L5259" t="s">
        <v>33110</v>
      </c>
    </row>
    <row r="5260" spans="1:12" x14ac:dyDescent="0.25">
      <c r="A5260">
        <v>973741</v>
      </c>
      <c r="B5260">
        <v>1854920</v>
      </c>
      <c r="D5260">
        <v>0</v>
      </c>
      <c r="E5260" t="s">
        <v>33117</v>
      </c>
      <c r="H5260" t="s">
        <v>187</v>
      </c>
      <c r="J5260">
        <v>0</v>
      </c>
      <c r="K5260" t="s">
        <v>33118</v>
      </c>
      <c r="L5260">
        <v>0</v>
      </c>
    </row>
    <row r="5261" spans="1:12" x14ac:dyDescent="0.25">
      <c r="A5261">
        <v>973790</v>
      </c>
      <c r="B5261">
        <v>1854854</v>
      </c>
      <c r="D5261">
        <v>0</v>
      </c>
      <c r="E5261" t="s">
        <v>33119</v>
      </c>
      <c r="H5261" t="s">
        <v>187</v>
      </c>
      <c r="J5261">
        <v>0</v>
      </c>
      <c r="K5261" t="s">
        <v>33120</v>
      </c>
      <c r="L5261">
        <v>0</v>
      </c>
    </row>
    <row r="5262" spans="1:12" x14ac:dyDescent="0.25">
      <c r="A5262">
        <v>973790</v>
      </c>
      <c r="B5262">
        <v>1854893</v>
      </c>
      <c r="C5262" t="s">
        <v>33121</v>
      </c>
      <c r="D5262">
        <v>0</v>
      </c>
      <c r="E5262" t="s">
        <v>33122</v>
      </c>
      <c r="H5262" t="s">
        <v>187</v>
      </c>
      <c r="J5262">
        <v>0</v>
      </c>
      <c r="K5262" t="s">
        <v>33123</v>
      </c>
      <c r="L5262">
        <v>0</v>
      </c>
    </row>
    <row r="5263" spans="1:12" x14ac:dyDescent="0.25">
      <c r="A5263">
        <v>973790</v>
      </c>
      <c r="B5263">
        <v>1854913</v>
      </c>
      <c r="C5263" t="s">
        <v>33124</v>
      </c>
      <c r="D5263">
        <v>0</v>
      </c>
      <c r="E5263" t="s">
        <v>33125</v>
      </c>
      <c r="H5263" t="s">
        <v>187</v>
      </c>
      <c r="J5263">
        <v>0</v>
      </c>
      <c r="K5263" t="s">
        <v>33094</v>
      </c>
      <c r="L5263">
        <v>0</v>
      </c>
    </row>
    <row r="5264" spans="1:12" x14ac:dyDescent="0.25">
      <c r="A5264">
        <v>974178</v>
      </c>
      <c r="B5264">
        <v>1252611</v>
      </c>
      <c r="D5264">
        <v>0</v>
      </c>
      <c r="F5264">
        <v>1353172</v>
      </c>
      <c r="G5264">
        <v>974178</v>
      </c>
      <c r="H5264" t="e" vm="12">
        <f>_FV(0,"005")</f>
        <v>#VALUE!</v>
      </c>
      <c r="I5264">
        <v>1252611</v>
      </c>
      <c r="J5264" t="s">
        <v>194</v>
      </c>
      <c r="K5264" t="s">
        <v>33126</v>
      </c>
      <c r="L5264" t="e" vm="12">
        <f>_FV(0,"005")</f>
        <v>#VALUE!</v>
      </c>
    </row>
    <row r="5265" spans="1:12" x14ac:dyDescent="0.25">
      <c r="A5265">
        <v>974186</v>
      </c>
      <c r="B5265">
        <v>1252664</v>
      </c>
      <c r="D5265">
        <v>0</v>
      </c>
      <c r="F5265">
        <v>1353180</v>
      </c>
      <c r="G5265">
        <v>1252664</v>
      </c>
      <c r="H5265" t="e" vm="87">
        <f>_FV(0,"001")</f>
        <v>#VALUE!</v>
      </c>
      <c r="I5265">
        <v>974186</v>
      </c>
      <c r="J5265" t="s">
        <v>1333</v>
      </c>
      <c r="K5265" t="s">
        <v>33127</v>
      </c>
      <c r="L5265" t="e" vm="87">
        <f>_FV(0,"001")</f>
        <v>#VALUE!</v>
      </c>
    </row>
    <row r="5266" spans="1:12" x14ac:dyDescent="0.25">
      <c r="A5266">
        <v>974427</v>
      </c>
      <c r="B5266">
        <v>1055681</v>
      </c>
      <c r="D5266">
        <v>0</v>
      </c>
      <c r="E5266" t="s">
        <v>33129</v>
      </c>
      <c r="F5266" t="s">
        <v>33130</v>
      </c>
      <c r="G5266" t="s">
        <v>33131</v>
      </c>
      <c r="H5266" t="s">
        <v>33132</v>
      </c>
      <c r="I5266" t="s">
        <v>33133</v>
      </c>
      <c r="J5266" t="s">
        <v>33128</v>
      </c>
      <c r="K5266" t="s">
        <v>33134</v>
      </c>
      <c r="L5266" t="s">
        <v>33128</v>
      </c>
    </row>
    <row r="5267" spans="1:12" x14ac:dyDescent="0.25">
      <c r="A5267">
        <v>974613</v>
      </c>
      <c r="B5267">
        <v>974682</v>
      </c>
      <c r="D5267" t="s">
        <v>10405</v>
      </c>
      <c r="E5267" t="s">
        <v>33136</v>
      </c>
      <c r="F5267" t="s">
        <v>33137</v>
      </c>
      <c r="G5267" t="s">
        <v>33138</v>
      </c>
      <c r="H5267" t="e" vm="2293">
        <f>_FV(0,"013678849552550823")</f>
        <v>#VALUE!</v>
      </c>
      <c r="I5267" t="s">
        <v>33139</v>
      </c>
      <c r="J5267" t="s">
        <v>33140</v>
      </c>
      <c r="K5267" t="s">
        <v>33141</v>
      </c>
      <c r="L5267" t="s">
        <v>33135</v>
      </c>
    </row>
    <row r="5268" spans="1:12" x14ac:dyDescent="0.25">
      <c r="A5268">
        <v>974682</v>
      </c>
      <c r="B5268">
        <v>974734</v>
      </c>
      <c r="D5268">
        <v>0</v>
      </c>
      <c r="E5268" t="s">
        <v>33143</v>
      </c>
      <c r="F5268" t="s">
        <v>33144</v>
      </c>
      <c r="G5268" t="s">
        <v>33145</v>
      </c>
      <c r="H5268" t="e" vm="2294">
        <f>_FV(0,"00519144955165809")</f>
        <v>#VALUE!</v>
      </c>
      <c r="I5268" t="s">
        <v>33146</v>
      </c>
      <c r="J5268" t="s">
        <v>33147</v>
      </c>
      <c r="K5268" t="s">
        <v>33148</v>
      </c>
      <c r="L5268" t="s">
        <v>33142</v>
      </c>
    </row>
    <row r="5269" spans="1:12" x14ac:dyDescent="0.25">
      <c r="A5269">
        <v>974734</v>
      </c>
      <c r="B5269">
        <v>974757</v>
      </c>
      <c r="D5269">
        <v>0</v>
      </c>
      <c r="E5269" t="s">
        <v>33150</v>
      </c>
      <c r="F5269" t="s">
        <v>33151</v>
      </c>
      <c r="G5269" t="s">
        <v>33152</v>
      </c>
      <c r="H5269" t="e" vm="2295">
        <f>_FV(0,"006189731839903239")</f>
        <v>#VALUE!</v>
      </c>
      <c r="I5269" t="s">
        <v>33153</v>
      </c>
      <c r="J5269" t="s">
        <v>33154</v>
      </c>
      <c r="K5269" t="s">
        <v>33155</v>
      </c>
      <c r="L5269" t="s">
        <v>33149</v>
      </c>
    </row>
    <row r="5270" spans="1:12" x14ac:dyDescent="0.25">
      <c r="A5270">
        <v>974757</v>
      </c>
      <c r="B5270">
        <v>974792</v>
      </c>
      <c r="C5270" t="s">
        <v>33157</v>
      </c>
      <c r="D5270">
        <v>0</v>
      </c>
      <c r="E5270" t="s">
        <v>33158</v>
      </c>
      <c r="F5270" t="s">
        <v>33159</v>
      </c>
      <c r="G5270" t="s">
        <v>33160</v>
      </c>
      <c r="H5270" t="e" vm="2296">
        <f>_FV(0,"006663012764458176")</f>
        <v>#VALUE!</v>
      </c>
      <c r="I5270" t="s">
        <v>33161</v>
      </c>
      <c r="J5270" t="s">
        <v>33162</v>
      </c>
      <c r="K5270" t="s">
        <v>33163</v>
      </c>
      <c r="L5270" t="s">
        <v>33156</v>
      </c>
    </row>
    <row r="5271" spans="1:12" x14ac:dyDescent="0.25">
      <c r="A5271">
        <v>974757</v>
      </c>
      <c r="B5271">
        <v>1815348</v>
      </c>
      <c r="D5271">
        <v>0</v>
      </c>
      <c r="E5271" t="s">
        <v>33165</v>
      </c>
      <c r="F5271" t="s">
        <v>33166</v>
      </c>
      <c r="G5271" t="s">
        <v>33167</v>
      </c>
      <c r="H5271" t="s">
        <v>33168</v>
      </c>
      <c r="I5271" t="s">
        <v>33169</v>
      </c>
      <c r="J5271" t="s">
        <v>33170</v>
      </c>
      <c r="K5271" t="s">
        <v>33171</v>
      </c>
      <c r="L5271" t="s">
        <v>33164</v>
      </c>
    </row>
    <row r="5272" spans="1:12" x14ac:dyDescent="0.25">
      <c r="A5272">
        <v>974792</v>
      </c>
      <c r="B5272">
        <v>974806</v>
      </c>
      <c r="D5272">
        <v>0</v>
      </c>
      <c r="E5272" t="s">
        <v>33173</v>
      </c>
      <c r="F5272" t="s">
        <v>33174</v>
      </c>
      <c r="G5272" t="s">
        <v>33175</v>
      </c>
      <c r="H5272" t="e" vm="2297">
        <f>_FV(0,"005259728790739979")</f>
        <v>#VALUE!</v>
      </c>
      <c r="I5272" t="s">
        <v>33176</v>
      </c>
      <c r="J5272" t="s">
        <v>33177</v>
      </c>
      <c r="K5272" t="s">
        <v>33178</v>
      </c>
      <c r="L5272" t="s">
        <v>33172</v>
      </c>
    </row>
    <row r="5273" spans="1:12" x14ac:dyDescent="0.25">
      <c r="A5273">
        <v>974792</v>
      </c>
      <c r="B5273">
        <v>1815492</v>
      </c>
      <c r="D5273">
        <v>0</v>
      </c>
      <c r="E5273" t="s">
        <v>33180</v>
      </c>
      <c r="F5273" t="s">
        <v>33181</v>
      </c>
      <c r="G5273" t="s">
        <v>33182</v>
      </c>
      <c r="H5273" t="s">
        <v>33183</v>
      </c>
      <c r="I5273" t="s">
        <v>33184</v>
      </c>
      <c r="J5273" t="s">
        <v>33185</v>
      </c>
      <c r="K5273" t="s">
        <v>33186</v>
      </c>
      <c r="L5273" t="s">
        <v>33179</v>
      </c>
    </row>
    <row r="5274" spans="1:12" x14ac:dyDescent="0.25">
      <c r="A5274">
        <v>974806</v>
      </c>
      <c r="B5274">
        <v>974856</v>
      </c>
      <c r="D5274">
        <v>0</v>
      </c>
      <c r="E5274" t="s">
        <v>33188</v>
      </c>
      <c r="F5274" t="s">
        <v>33189</v>
      </c>
      <c r="G5274" t="s">
        <v>33190</v>
      </c>
      <c r="H5274" t="s">
        <v>33191</v>
      </c>
      <c r="I5274" t="s">
        <v>33192</v>
      </c>
      <c r="J5274" t="s">
        <v>33193</v>
      </c>
      <c r="K5274" t="s">
        <v>33194</v>
      </c>
      <c r="L5274" t="s">
        <v>33187</v>
      </c>
    </row>
    <row r="5275" spans="1:12" x14ac:dyDescent="0.25">
      <c r="A5275">
        <v>974806</v>
      </c>
      <c r="B5275">
        <v>1212397</v>
      </c>
      <c r="D5275">
        <v>0</v>
      </c>
      <c r="E5275" t="s">
        <v>33196</v>
      </c>
      <c r="F5275" t="s">
        <v>33197</v>
      </c>
      <c r="G5275" t="s">
        <v>33198</v>
      </c>
      <c r="H5275" t="e" vm="2298">
        <f>_FV(0,"003599497725098863")</f>
        <v>#VALUE!</v>
      </c>
      <c r="I5275" t="s">
        <v>33199</v>
      </c>
      <c r="J5275" t="s">
        <v>33200</v>
      </c>
      <c r="K5275" t="s">
        <v>33201</v>
      </c>
      <c r="L5275" t="s">
        <v>33195</v>
      </c>
    </row>
    <row r="5276" spans="1:12" x14ac:dyDescent="0.25">
      <c r="A5276">
        <v>974856</v>
      </c>
      <c r="B5276">
        <v>974896</v>
      </c>
      <c r="D5276">
        <v>0</v>
      </c>
      <c r="E5276" t="s">
        <v>33203</v>
      </c>
      <c r="F5276" t="s">
        <v>33204</v>
      </c>
      <c r="G5276" t="s">
        <v>33205</v>
      </c>
      <c r="H5276" t="s">
        <v>33206</v>
      </c>
      <c r="I5276" t="s">
        <v>33207</v>
      </c>
      <c r="J5276" t="s">
        <v>33208</v>
      </c>
      <c r="K5276" t="s">
        <v>33209</v>
      </c>
      <c r="L5276" t="s">
        <v>33202</v>
      </c>
    </row>
    <row r="5277" spans="1:12" x14ac:dyDescent="0.25">
      <c r="A5277">
        <v>974856</v>
      </c>
      <c r="B5277">
        <v>1212730</v>
      </c>
      <c r="D5277">
        <v>0</v>
      </c>
      <c r="E5277" t="s">
        <v>33211</v>
      </c>
      <c r="F5277" t="s">
        <v>33212</v>
      </c>
      <c r="G5277" t="s">
        <v>33213</v>
      </c>
      <c r="H5277" t="e" vm="2299">
        <f>_FV(0,"003185467707865325")</f>
        <v>#VALUE!</v>
      </c>
      <c r="I5277" t="s">
        <v>33214</v>
      </c>
      <c r="J5277" t="s">
        <v>33215</v>
      </c>
      <c r="K5277" t="s">
        <v>33216</v>
      </c>
      <c r="L5277" t="s">
        <v>33210</v>
      </c>
    </row>
    <row r="5278" spans="1:12" x14ac:dyDescent="0.25">
      <c r="A5278">
        <v>974896</v>
      </c>
      <c r="B5278">
        <v>1272258</v>
      </c>
      <c r="D5278">
        <v>0</v>
      </c>
      <c r="E5278" t="s">
        <v>33218</v>
      </c>
      <c r="F5278" t="s">
        <v>33219</v>
      </c>
      <c r="G5278" t="s">
        <v>33220</v>
      </c>
      <c r="H5278" t="e" vm="2300">
        <f>_FV(0,"0018438851500130278")</f>
        <v>#VALUE!</v>
      </c>
      <c r="I5278" t="s">
        <v>33221</v>
      </c>
      <c r="J5278" t="s">
        <v>33222</v>
      </c>
      <c r="K5278" t="s">
        <v>33223</v>
      </c>
      <c r="L5278" t="s">
        <v>33217</v>
      </c>
    </row>
    <row r="5279" spans="1:12" x14ac:dyDescent="0.25">
      <c r="A5279">
        <v>975050</v>
      </c>
      <c r="B5279">
        <v>975290</v>
      </c>
      <c r="C5279" t="s">
        <v>33225</v>
      </c>
      <c r="D5279" t="s">
        <v>33226</v>
      </c>
      <c r="E5279" t="s">
        <v>33227</v>
      </c>
      <c r="F5279" t="s">
        <v>33228</v>
      </c>
      <c r="G5279" t="s">
        <v>33229</v>
      </c>
      <c r="H5279" t="e" vm="2301">
        <f>_FV(0,"0030935756826021986")</f>
        <v>#VALUE!</v>
      </c>
      <c r="I5279" t="s">
        <v>33230</v>
      </c>
      <c r="J5279" t="s">
        <v>33231</v>
      </c>
      <c r="K5279" t="s">
        <v>33232</v>
      </c>
      <c r="L5279" t="s">
        <v>33224</v>
      </c>
    </row>
    <row r="5280" spans="1:12" x14ac:dyDescent="0.25">
      <c r="A5280">
        <v>975050</v>
      </c>
      <c r="B5280">
        <v>448431</v>
      </c>
      <c r="D5280">
        <v>0</v>
      </c>
      <c r="E5280" t="s">
        <v>33234</v>
      </c>
      <c r="F5280" t="s">
        <v>33235</v>
      </c>
      <c r="G5280" t="s">
        <v>33236</v>
      </c>
      <c r="H5280" t="e" vm="2302">
        <f>_FV(0,"05606917426799997")</f>
        <v>#VALUE!</v>
      </c>
      <c r="I5280" t="s">
        <v>33237</v>
      </c>
      <c r="J5280" t="s">
        <v>33238</v>
      </c>
      <c r="K5280" t="s">
        <v>33239</v>
      </c>
      <c r="L5280" t="s">
        <v>33233</v>
      </c>
    </row>
    <row r="5281" spans="1:12" x14ac:dyDescent="0.25">
      <c r="A5281">
        <v>975050</v>
      </c>
      <c r="B5281">
        <v>1854870</v>
      </c>
      <c r="C5281" t="s">
        <v>33240</v>
      </c>
      <c r="D5281">
        <v>0</v>
      </c>
      <c r="E5281" t="s">
        <v>33241</v>
      </c>
      <c r="H5281" t="s">
        <v>187</v>
      </c>
      <c r="J5281">
        <v>0</v>
      </c>
      <c r="K5281" t="s">
        <v>5592</v>
      </c>
      <c r="L5281">
        <v>0</v>
      </c>
    </row>
    <row r="5282" spans="1:12" x14ac:dyDescent="0.25">
      <c r="A5282">
        <v>975074</v>
      </c>
      <c r="B5282">
        <v>975129</v>
      </c>
      <c r="D5282">
        <v>0</v>
      </c>
      <c r="E5282" t="s">
        <v>33243</v>
      </c>
      <c r="F5282" t="s">
        <v>33244</v>
      </c>
      <c r="G5282" t="s">
        <v>33246</v>
      </c>
      <c r="H5282" t="e" vm="2303">
        <f>_FV(0,"007954796667021886")</f>
        <v>#VALUE!</v>
      </c>
      <c r="I5282" t="s">
        <v>33247</v>
      </c>
      <c r="J5282" t="s">
        <v>33248</v>
      </c>
      <c r="K5282" t="s">
        <v>33249</v>
      </c>
      <c r="L5282" t="s">
        <v>33242</v>
      </c>
    </row>
    <row r="5283" spans="1:12" x14ac:dyDescent="0.25">
      <c r="A5283">
        <v>975097</v>
      </c>
      <c r="B5283">
        <v>979158</v>
      </c>
      <c r="C5283" t="s">
        <v>33251</v>
      </c>
      <c r="D5283">
        <v>0</v>
      </c>
      <c r="E5283" t="s">
        <v>33252</v>
      </c>
      <c r="F5283" t="s">
        <v>33253</v>
      </c>
      <c r="G5283" t="s">
        <v>33254</v>
      </c>
      <c r="H5283" t="s">
        <v>33255</v>
      </c>
      <c r="I5283" t="s">
        <v>33256</v>
      </c>
      <c r="J5283" t="s">
        <v>33257</v>
      </c>
      <c r="K5283" t="s">
        <v>33258</v>
      </c>
      <c r="L5283" t="s">
        <v>33250</v>
      </c>
    </row>
    <row r="5284" spans="1:12" x14ac:dyDescent="0.25">
      <c r="A5284">
        <v>975097</v>
      </c>
      <c r="B5284">
        <v>1083920</v>
      </c>
      <c r="D5284">
        <v>0</v>
      </c>
      <c r="E5284" t="s">
        <v>33260</v>
      </c>
      <c r="F5284" t="s">
        <v>33261</v>
      </c>
      <c r="G5284" t="s">
        <v>33262</v>
      </c>
      <c r="H5284" t="s">
        <v>33263</v>
      </c>
      <c r="I5284" t="s">
        <v>33264</v>
      </c>
      <c r="J5284" t="s">
        <v>33265</v>
      </c>
      <c r="K5284" t="s">
        <v>33266</v>
      </c>
      <c r="L5284" t="s">
        <v>33259</v>
      </c>
    </row>
    <row r="5285" spans="1:12" x14ac:dyDescent="0.25">
      <c r="A5285">
        <v>975097</v>
      </c>
      <c r="B5285">
        <v>1854877</v>
      </c>
      <c r="D5285">
        <v>0</v>
      </c>
      <c r="E5285" t="s">
        <v>33267</v>
      </c>
      <c r="H5285" t="s">
        <v>187</v>
      </c>
      <c r="J5285">
        <v>0</v>
      </c>
      <c r="K5285" t="s">
        <v>33120</v>
      </c>
      <c r="L5285">
        <v>0</v>
      </c>
    </row>
    <row r="5286" spans="1:12" x14ac:dyDescent="0.25">
      <c r="A5286">
        <v>975129</v>
      </c>
      <c r="B5286">
        <v>1308078</v>
      </c>
      <c r="D5286">
        <v>0</v>
      </c>
      <c r="E5286" t="s">
        <v>33269</v>
      </c>
      <c r="F5286" t="s">
        <v>33270</v>
      </c>
      <c r="G5286" t="s">
        <v>33271</v>
      </c>
      <c r="H5286" t="s">
        <v>33272</v>
      </c>
      <c r="I5286" t="s">
        <v>33273</v>
      </c>
      <c r="J5286" t="s">
        <v>33274</v>
      </c>
      <c r="K5286" t="s">
        <v>33275</v>
      </c>
      <c r="L5286" t="s">
        <v>33268</v>
      </c>
    </row>
    <row r="5287" spans="1:12" x14ac:dyDescent="0.25">
      <c r="A5287">
        <v>975259</v>
      </c>
      <c r="B5287">
        <v>975260</v>
      </c>
      <c r="D5287">
        <v>0</v>
      </c>
      <c r="F5287">
        <v>1019324</v>
      </c>
      <c r="G5287">
        <v>975260</v>
      </c>
      <c r="H5287" t="e" vm="1209">
        <f>_FV(0,"042")</f>
        <v>#VALUE!</v>
      </c>
      <c r="I5287">
        <v>975259</v>
      </c>
      <c r="J5287" t="s">
        <v>3161</v>
      </c>
      <c r="K5287" t="s">
        <v>33276</v>
      </c>
      <c r="L5287" t="e" vm="1209">
        <f>_FV(0,"042")</f>
        <v>#VALUE!</v>
      </c>
    </row>
    <row r="5288" spans="1:12" x14ac:dyDescent="0.25">
      <c r="A5288">
        <v>975259</v>
      </c>
      <c r="B5288">
        <v>975277</v>
      </c>
      <c r="D5288">
        <v>0</v>
      </c>
      <c r="E5288" t="s">
        <v>33278</v>
      </c>
      <c r="F5288" t="s">
        <v>33279</v>
      </c>
      <c r="G5288" t="s">
        <v>33280</v>
      </c>
      <c r="H5288" t="e" vm="2304">
        <f>_FV(0,"16499798681295355")</f>
        <v>#VALUE!</v>
      </c>
      <c r="I5288" t="s">
        <v>33281</v>
      </c>
      <c r="J5288" t="s">
        <v>33282</v>
      </c>
      <c r="K5288" t="s">
        <v>33283</v>
      </c>
      <c r="L5288" t="s">
        <v>33277</v>
      </c>
    </row>
    <row r="5289" spans="1:12" x14ac:dyDescent="0.25">
      <c r="A5289">
        <v>975259</v>
      </c>
      <c r="B5289">
        <v>975318</v>
      </c>
      <c r="D5289">
        <v>0</v>
      </c>
      <c r="E5289" t="s">
        <v>33285</v>
      </c>
      <c r="F5289" t="s">
        <v>33286</v>
      </c>
      <c r="G5289" t="s">
        <v>33287</v>
      </c>
      <c r="H5289" t="e" vm="2305">
        <f>_FV(0,"10731602652532204")</f>
        <v>#VALUE!</v>
      </c>
      <c r="I5289" t="s">
        <v>33288</v>
      </c>
      <c r="J5289" t="s">
        <v>33289</v>
      </c>
      <c r="K5289" t="s">
        <v>33290</v>
      </c>
      <c r="L5289" t="s">
        <v>33284</v>
      </c>
    </row>
    <row r="5290" spans="1:12" x14ac:dyDescent="0.25">
      <c r="A5290">
        <v>975260</v>
      </c>
      <c r="B5290">
        <v>975271</v>
      </c>
      <c r="D5290">
        <v>0</v>
      </c>
      <c r="E5290" t="s">
        <v>33292</v>
      </c>
      <c r="F5290" t="s">
        <v>33293</v>
      </c>
      <c r="G5290" t="s">
        <v>33294</v>
      </c>
      <c r="H5290" t="s">
        <v>33295</v>
      </c>
      <c r="I5290" t="s">
        <v>33296</v>
      </c>
      <c r="J5290" t="s">
        <v>33291</v>
      </c>
      <c r="K5290" t="s">
        <v>33297</v>
      </c>
      <c r="L5290" t="s">
        <v>33291</v>
      </c>
    </row>
    <row r="5291" spans="1:12" x14ac:dyDescent="0.25">
      <c r="A5291">
        <v>975260</v>
      </c>
      <c r="B5291">
        <v>1034617</v>
      </c>
      <c r="D5291">
        <v>0</v>
      </c>
      <c r="E5291" t="s">
        <v>33299</v>
      </c>
      <c r="F5291" t="s">
        <v>33300</v>
      </c>
      <c r="G5291" t="s">
        <v>33301</v>
      </c>
      <c r="H5291" t="e" vm="2306">
        <f>_FV(0,"036328039087590976")</f>
        <v>#VALUE!</v>
      </c>
      <c r="I5291" t="s">
        <v>33302</v>
      </c>
      <c r="J5291" t="s">
        <v>33303</v>
      </c>
      <c r="K5291" t="s">
        <v>33304</v>
      </c>
      <c r="L5291" t="s">
        <v>33298</v>
      </c>
    </row>
    <row r="5292" spans="1:12" x14ac:dyDescent="0.25">
      <c r="A5292">
        <v>975271</v>
      </c>
      <c r="B5292">
        <v>975277</v>
      </c>
      <c r="D5292">
        <v>0</v>
      </c>
      <c r="F5292">
        <v>1019348</v>
      </c>
      <c r="G5292">
        <v>975277</v>
      </c>
      <c r="H5292" t="s">
        <v>3279</v>
      </c>
      <c r="I5292">
        <v>975271</v>
      </c>
      <c r="J5292" t="s">
        <v>3279</v>
      </c>
      <c r="K5292" t="s">
        <v>33305</v>
      </c>
      <c r="L5292" t="s">
        <v>3279</v>
      </c>
    </row>
    <row r="5293" spans="1:12" x14ac:dyDescent="0.25">
      <c r="A5293">
        <v>975271</v>
      </c>
      <c r="B5293">
        <v>1034617</v>
      </c>
      <c r="D5293">
        <v>0</v>
      </c>
      <c r="E5293" t="s">
        <v>33307</v>
      </c>
      <c r="F5293" t="s">
        <v>33308</v>
      </c>
      <c r="G5293" t="s">
        <v>33309</v>
      </c>
      <c r="H5293" t="e" vm="2307">
        <f>_FV(0,"03311222665812568")</f>
        <v>#VALUE!</v>
      </c>
      <c r="I5293" t="s">
        <v>33310</v>
      </c>
      <c r="J5293" t="s">
        <v>33311</v>
      </c>
      <c r="K5293" t="s">
        <v>33312</v>
      </c>
      <c r="L5293" t="s">
        <v>33306</v>
      </c>
    </row>
    <row r="5294" spans="1:12" x14ac:dyDescent="0.25">
      <c r="A5294">
        <v>975277</v>
      </c>
      <c r="B5294">
        <v>975318</v>
      </c>
      <c r="D5294">
        <v>0</v>
      </c>
      <c r="E5294" t="s">
        <v>33314</v>
      </c>
      <c r="F5294" t="s">
        <v>33315</v>
      </c>
      <c r="G5294" t="s">
        <v>33316</v>
      </c>
      <c r="H5294" t="e" vm="2308">
        <f>_FV(0,"0208039142425506")</f>
        <v>#VALUE!</v>
      </c>
      <c r="I5294" t="s">
        <v>33317</v>
      </c>
      <c r="J5294" t="s">
        <v>33318</v>
      </c>
      <c r="K5294" t="s">
        <v>33319</v>
      </c>
      <c r="L5294" t="s">
        <v>33313</v>
      </c>
    </row>
    <row r="5295" spans="1:12" x14ac:dyDescent="0.25">
      <c r="A5295">
        <v>975290</v>
      </c>
      <c r="B5295">
        <v>1781068</v>
      </c>
      <c r="D5295">
        <v>0</v>
      </c>
      <c r="E5295" t="s">
        <v>33321</v>
      </c>
      <c r="F5295" t="s">
        <v>33322</v>
      </c>
      <c r="G5295" t="s">
        <v>33323</v>
      </c>
      <c r="H5295" t="e" vm="2309">
        <f>_FV(0,"0032376165119387293")</f>
        <v>#VALUE!</v>
      </c>
      <c r="I5295" t="s">
        <v>33324</v>
      </c>
      <c r="J5295" t="s">
        <v>33325</v>
      </c>
      <c r="K5295" t="s">
        <v>33326</v>
      </c>
      <c r="L5295" t="s">
        <v>33320</v>
      </c>
    </row>
    <row r="5296" spans="1:12" x14ac:dyDescent="0.25">
      <c r="A5296">
        <v>975290</v>
      </c>
      <c r="B5296">
        <v>1781068</v>
      </c>
      <c r="D5296">
        <v>0</v>
      </c>
      <c r="E5296" t="s">
        <v>33328</v>
      </c>
      <c r="F5296" t="s">
        <v>33329</v>
      </c>
      <c r="G5296" t="s">
        <v>33330</v>
      </c>
      <c r="H5296" t="e" vm="2310">
        <f>_FV(0,"0033333902782985334")</f>
        <v>#VALUE!</v>
      </c>
      <c r="I5296" t="s">
        <v>33331</v>
      </c>
      <c r="J5296" t="s">
        <v>33332</v>
      </c>
      <c r="K5296" t="s">
        <v>33333</v>
      </c>
      <c r="L5296" t="s">
        <v>33327</v>
      </c>
    </row>
    <row r="5297" spans="1:12" x14ac:dyDescent="0.25">
      <c r="A5297">
        <v>975318</v>
      </c>
      <c r="B5297">
        <v>975338</v>
      </c>
      <c r="D5297">
        <v>0</v>
      </c>
      <c r="F5297">
        <v>1019452</v>
      </c>
      <c r="G5297">
        <v>975318</v>
      </c>
      <c r="H5297" t="e" vm="30">
        <f>_FV(0,"027")</f>
        <v>#VALUE!</v>
      </c>
      <c r="I5297">
        <v>975338</v>
      </c>
      <c r="J5297" t="s">
        <v>467</v>
      </c>
      <c r="K5297" t="s">
        <v>33334</v>
      </c>
      <c r="L5297" t="e" vm="30">
        <f>_FV(0,"027")</f>
        <v>#VALUE!</v>
      </c>
    </row>
    <row r="5298" spans="1:12" x14ac:dyDescent="0.25">
      <c r="A5298">
        <v>975338</v>
      </c>
      <c r="B5298">
        <v>1804949</v>
      </c>
      <c r="D5298">
        <v>0</v>
      </c>
      <c r="E5298" t="s">
        <v>33336</v>
      </c>
      <c r="F5298" t="s">
        <v>33337</v>
      </c>
      <c r="G5298" t="s">
        <v>33338</v>
      </c>
      <c r="H5298" t="e" vm="2311">
        <f>_FV(0,"06450868011293057")</f>
        <v>#VALUE!</v>
      </c>
      <c r="I5298" t="s">
        <v>33339</v>
      </c>
      <c r="J5298" t="s">
        <v>33340</v>
      </c>
      <c r="K5298" t="s">
        <v>33341</v>
      </c>
      <c r="L5298" t="s">
        <v>33335</v>
      </c>
    </row>
    <row r="5299" spans="1:12" x14ac:dyDescent="0.25">
      <c r="A5299">
        <v>975338</v>
      </c>
      <c r="B5299">
        <v>1804954</v>
      </c>
      <c r="D5299">
        <v>0</v>
      </c>
      <c r="E5299" t="s">
        <v>33343</v>
      </c>
      <c r="F5299" t="s">
        <v>33344</v>
      </c>
      <c r="G5299" t="s">
        <v>33345</v>
      </c>
      <c r="H5299" t="e" vm="2312">
        <f>_FV(0,"05873459058638669")</f>
        <v>#VALUE!</v>
      </c>
      <c r="I5299" t="s">
        <v>33346</v>
      </c>
      <c r="J5299" t="s">
        <v>288</v>
      </c>
      <c r="K5299" t="s">
        <v>33347</v>
      </c>
      <c r="L5299" t="s">
        <v>33342</v>
      </c>
    </row>
    <row r="5300" spans="1:12" x14ac:dyDescent="0.25">
      <c r="A5300">
        <v>975404</v>
      </c>
      <c r="B5300">
        <v>1854815</v>
      </c>
      <c r="C5300" t="s">
        <v>33348</v>
      </c>
      <c r="D5300">
        <v>0</v>
      </c>
      <c r="E5300" t="s">
        <v>33349</v>
      </c>
      <c r="H5300" t="s">
        <v>187</v>
      </c>
      <c r="J5300">
        <v>0</v>
      </c>
      <c r="K5300" t="s">
        <v>33350</v>
      </c>
      <c r="L5300">
        <v>0</v>
      </c>
    </row>
    <row r="5301" spans="1:12" x14ac:dyDescent="0.25">
      <c r="A5301">
        <v>975404</v>
      </c>
      <c r="B5301">
        <v>1100062</v>
      </c>
      <c r="D5301" t="s">
        <v>2437</v>
      </c>
      <c r="E5301" t="s">
        <v>33352</v>
      </c>
      <c r="F5301" t="s">
        <v>33353</v>
      </c>
      <c r="G5301" t="s">
        <v>33354</v>
      </c>
      <c r="H5301" t="s">
        <v>33355</v>
      </c>
      <c r="I5301" t="s">
        <v>33356</v>
      </c>
      <c r="J5301" t="s">
        <v>33351</v>
      </c>
      <c r="K5301" t="s">
        <v>33357</v>
      </c>
      <c r="L5301" t="s">
        <v>33351</v>
      </c>
    </row>
    <row r="5302" spans="1:12" x14ac:dyDescent="0.25">
      <c r="A5302">
        <v>975404</v>
      </c>
      <c r="B5302">
        <v>1854916</v>
      </c>
      <c r="C5302" t="s">
        <v>33358</v>
      </c>
      <c r="D5302">
        <v>0</v>
      </c>
      <c r="E5302" t="s">
        <v>33359</v>
      </c>
      <c r="H5302" t="s">
        <v>187</v>
      </c>
      <c r="J5302">
        <v>0</v>
      </c>
      <c r="K5302" t="s">
        <v>33360</v>
      </c>
      <c r="L5302">
        <v>0</v>
      </c>
    </row>
    <row r="5303" spans="1:12" x14ac:dyDescent="0.25">
      <c r="A5303">
        <v>975434</v>
      </c>
      <c r="B5303">
        <v>982469</v>
      </c>
      <c r="D5303" t="s">
        <v>33362</v>
      </c>
      <c r="E5303" t="s">
        <v>33363</v>
      </c>
      <c r="F5303" t="s">
        <v>33364</v>
      </c>
      <c r="G5303" t="s">
        <v>33365</v>
      </c>
      <c r="H5303" t="s">
        <v>33366</v>
      </c>
      <c r="I5303" t="s">
        <v>33367</v>
      </c>
      <c r="J5303" t="s">
        <v>33368</v>
      </c>
      <c r="K5303" t="s">
        <v>33369</v>
      </c>
      <c r="L5303" t="s">
        <v>33361</v>
      </c>
    </row>
    <row r="5304" spans="1:12" x14ac:dyDescent="0.25">
      <c r="A5304">
        <v>975434</v>
      </c>
      <c r="B5304">
        <v>1854840</v>
      </c>
      <c r="D5304">
        <v>0</v>
      </c>
      <c r="E5304" t="s">
        <v>33370</v>
      </c>
      <c r="H5304" t="s">
        <v>187</v>
      </c>
      <c r="J5304">
        <v>0</v>
      </c>
      <c r="K5304" t="s">
        <v>33371</v>
      </c>
      <c r="L5304">
        <v>0</v>
      </c>
    </row>
    <row r="5305" spans="1:12" x14ac:dyDescent="0.25">
      <c r="A5305">
        <v>975586</v>
      </c>
      <c r="B5305">
        <v>975600</v>
      </c>
      <c r="D5305">
        <v>0</v>
      </c>
      <c r="E5305" t="s">
        <v>33373</v>
      </c>
      <c r="F5305" t="s">
        <v>33374</v>
      </c>
      <c r="G5305" t="s">
        <v>33375</v>
      </c>
      <c r="H5305" t="s">
        <v>33376</v>
      </c>
      <c r="I5305" t="s">
        <v>33377</v>
      </c>
      <c r="J5305" t="s">
        <v>33378</v>
      </c>
      <c r="K5305" t="s">
        <v>33379</v>
      </c>
      <c r="L5305" t="s">
        <v>33372</v>
      </c>
    </row>
    <row r="5306" spans="1:12" x14ac:dyDescent="0.25">
      <c r="A5306">
        <v>975586</v>
      </c>
      <c r="B5306">
        <v>975604</v>
      </c>
      <c r="D5306">
        <v>0</v>
      </c>
      <c r="E5306" t="s">
        <v>33381</v>
      </c>
      <c r="F5306" t="s">
        <v>33382</v>
      </c>
      <c r="G5306" t="s">
        <v>33383</v>
      </c>
      <c r="H5306" t="e" vm="2313">
        <f>_FV(0,"028388805504046315")</f>
        <v>#VALUE!</v>
      </c>
      <c r="I5306" t="s">
        <v>33384</v>
      </c>
      <c r="J5306" t="s">
        <v>10372</v>
      </c>
      <c r="K5306" t="s">
        <v>33385</v>
      </c>
      <c r="L5306" t="s">
        <v>33380</v>
      </c>
    </row>
    <row r="5307" spans="1:12" x14ac:dyDescent="0.25">
      <c r="A5307">
        <v>975586</v>
      </c>
      <c r="B5307">
        <v>975612</v>
      </c>
      <c r="D5307">
        <v>0</v>
      </c>
      <c r="E5307" t="s">
        <v>33387</v>
      </c>
      <c r="F5307" t="s">
        <v>33388</v>
      </c>
      <c r="G5307" t="s">
        <v>33389</v>
      </c>
      <c r="H5307" t="s">
        <v>33390</v>
      </c>
      <c r="I5307" t="s">
        <v>33391</v>
      </c>
      <c r="J5307" t="s">
        <v>33386</v>
      </c>
      <c r="K5307" t="s">
        <v>33392</v>
      </c>
      <c r="L5307" t="s">
        <v>33386</v>
      </c>
    </row>
    <row r="5308" spans="1:12" x14ac:dyDescent="0.25">
      <c r="A5308">
        <v>975600</v>
      </c>
      <c r="B5308">
        <v>975624</v>
      </c>
      <c r="D5308">
        <v>0</v>
      </c>
      <c r="F5308">
        <v>1019876</v>
      </c>
      <c r="G5308">
        <v>975624</v>
      </c>
      <c r="H5308" t="e" vm="2266">
        <f>_FV(0,"062")</f>
        <v>#VALUE!</v>
      </c>
      <c r="I5308">
        <v>975600</v>
      </c>
      <c r="J5308" t="s">
        <v>32776</v>
      </c>
      <c r="K5308" t="s">
        <v>33393</v>
      </c>
      <c r="L5308" t="e" vm="2266">
        <f>_FV(0,"062")</f>
        <v>#VALUE!</v>
      </c>
    </row>
    <row r="5309" spans="1:12" x14ac:dyDescent="0.25">
      <c r="A5309">
        <v>975604</v>
      </c>
      <c r="B5309">
        <v>975612</v>
      </c>
      <c r="D5309">
        <v>0</v>
      </c>
      <c r="E5309" t="s">
        <v>33395</v>
      </c>
      <c r="F5309" t="s">
        <v>33396</v>
      </c>
      <c r="G5309" t="s">
        <v>33397</v>
      </c>
      <c r="H5309" t="s">
        <v>33398</v>
      </c>
      <c r="I5309" t="s">
        <v>33399</v>
      </c>
      <c r="J5309" t="s">
        <v>33394</v>
      </c>
      <c r="K5309" t="s">
        <v>33400</v>
      </c>
      <c r="L5309" t="s">
        <v>33394</v>
      </c>
    </row>
    <row r="5310" spans="1:12" x14ac:dyDescent="0.25">
      <c r="A5310">
        <v>975612</v>
      </c>
      <c r="B5310">
        <v>1177635</v>
      </c>
      <c r="D5310">
        <v>0</v>
      </c>
      <c r="E5310" t="s">
        <v>33402</v>
      </c>
      <c r="F5310" t="s">
        <v>33403</v>
      </c>
      <c r="G5310" t="s">
        <v>33404</v>
      </c>
      <c r="H5310" t="e" vm="2314">
        <f>_FV(0,"005813131268778166")</f>
        <v>#VALUE!</v>
      </c>
      <c r="I5310" t="s">
        <v>33405</v>
      </c>
      <c r="J5310" t="s">
        <v>33406</v>
      </c>
      <c r="K5310" t="s">
        <v>33407</v>
      </c>
      <c r="L5310" t="s">
        <v>33401</v>
      </c>
    </row>
    <row r="5311" spans="1:12" x14ac:dyDescent="0.25">
      <c r="A5311">
        <v>975624</v>
      </c>
      <c r="B5311">
        <v>1114154</v>
      </c>
      <c r="D5311">
        <v>0</v>
      </c>
      <c r="E5311" t="s">
        <v>33409</v>
      </c>
      <c r="F5311" t="s">
        <v>33410</v>
      </c>
      <c r="G5311" t="s">
        <v>33411</v>
      </c>
      <c r="H5311" t="s">
        <v>33412</v>
      </c>
      <c r="I5311" t="s">
        <v>33413</v>
      </c>
      <c r="J5311" t="s">
        <v>33414</v>
      </c>
      <c r="K5311" t="s">
        <v>33415</v>
      </c>
      <c r="L5311" t="s">
        <v>33408</v>
      </c>
    </row>
    <row r="5312" spans="1:12" x14ac:dyDescent="0.25">
      <c r="A5312">
        <v>975765</v>
      </c>
      <c r="B5312">
        <v>1854894</v>
      </c>
      <c r="D5312">
        <v>0</v>
      </c>
      <c r="E5312" t="s">
        <v>33416</v>
      </c>
      <c r="H5312" t="s">
        <v>187</v>
      </c>
      <c r="J5312">
        <v>0</v>
      </c>
      <c r="K5312" t="s">
        <v>33417</v>
      </c>
      <c r="L5312">
        <v>0</v>
      </c>
    </row>
    <row r="5313" spans="1:12" x14ac:dyDescent="0.25">
      <c r="A5313">
        <v>975765</v>
      </c>
      <c r="B5313">
        <v>1084109</v>
      </c>
      <c r="D5313">
        <v>0</v>
      </c>
      <c r="E5313" t="s">
        <v>33419</v>
      </c>
      <c r="F5313" t="s">
        <v>33420</v>
      </c>
      <c r="G5313" t="s">
        <v>33421</v>
      </c>
      <c r="H5313" t="e" vm="2315">
        <f>_FV(0,"149657067444483")</f>
        <v>#VALUE!</v>
      </c>
      <c r="I5313" t="s">
        <v>33422</v>
      </c>
      <c r="J5313" t="s">
        <v>33423</v>
      </c>
      <c r="K5313" t="s">
        <v>33424</v>
      </c>
      <c r="L5313" t="s">
        <v>33418</v>
      </c>
    </row>
    <row r="5314" spans="1:12" x14ac:dyDescent="0.25">
      <c r="A5314">
        <v>975765</v>
      </c>
      <c r="B5314">
        <v>1096376</v>
      </c>
      <c r="D5314">
        <v>0</v>
      </c>
      <c r="E5314" t="s">
        <v>33426</v>
      </c>
      <c r="F5314" t="s">
        <v>33427</v>
      </c>
      <c r="G5314" t="s">
        <v>33428</v>
      </c>
      <c r="H5314" t="e" vm="2316">
        <f>_FV(0,"04352186454706708")</f>
        <v>#VALUE!</v>
      </c>
      <c r="I5314" t="s">
        <v>33429</v>
      </c>
      <c r="J5314" t="s">
        <v>33430</v>
      </c>
      <c r="K5314" t="s">
        <v>33431</v>
      </c>
      <c r="L5314" t="s">
        <v>33425</v>
      </c>
    </row>
    <row r="5315" spans="1:12" x14ac:dyDescent="0.25">
      <c r="A5315">
        <v>975964</v>
      </c>
      <c r="B5315">
        <v>1854822</v>
      </c>
      <c r="C5315" t="s">
        <v>33432</v>
      </c>
      <c r="D5315">
        <v>0</v>
      </c>
      <c r="E5315" t="s">
        <v>33433</v>
      </c>
      <c r="H5315" t="s">
        <v>187</v>
      </c>
      <c r="J5315">
        <v>0</v>
      </c>
      <c r="K5315" t="s">
        <v>33434</v>
      </c>
      <c r="L5315">
        <v>0</v>
      </c>
    </row>
    <row r="5316" spans="1:12" x14ac:dyDescent="0.25">
      <c r="A5316">
        <v>978654</v>
      </c>
      <c r="B5316">
        <v>978711</v>
      </c>
      <c r="D5316">
        <v>0</v>
      </c>
      <c r="E5316" t="s">
        <v>33436</v>
      </c>
      <c r="F5316" t="s">
        <v>33437</v>
      </c>
      <c r="G5316" t="s">
        <v>33438</v>
      </c>
      <c r="H5316" t="e" vm="2317">
        <f>_FV(0,"045396007176417515")</f>
        <v>#VALUE!</v>
      </c>
      <c r="I5316" t="s">
        <v>33439</v>
      </c>
      <c r="J5316" t="s">
        <v>33440</v>
      </c>
      <c r="K5316" t="s">
        <v>33441</v>
      </c>
      <c r="L5316" t="s">
        <v>33435</v>
      </c>
    </row>
    <row r="5317" spans="1:12" x14ac:dyDescent="0.25">
      <c r="A5317">
        <v>978654</v>
      </c>
      <c r="B5317">
        <v>983161</v>
      </c>
      <c r="D5317">
        <v>0</v>
      </c>
      <c r="E5317" t="s">
        <v>33443</v>
      </c>
      <c r="F5317" t="s">
        <v>33444</v>
      </c>
      <c r="G5317" t="s">
        <v>33445</v>
      </c>
      <c r="H5317" t="e" vm="2318">
        <f>_FV(0,"020325408945509306")</f>
        <v>#VALUE!</v>
      </c>
      <c r="I5317" t="s">
        <v>33446</v>
      </c>
      <c r="J5317" t="s">
        <v>33447</v>
      </c>
      <c r="K5317" t="s">
        <v>33448</v>
      </c>
      <c r="L5317" t="s">
        <v>33442</v>
      </c>
    </row>
    <row r="5318" spans="1:12" x14ac:dyDescent="0.25">
      <c r="A5318">
        <v>978711</v>
      </c>
      <c r="B5318">
        <v>978729</v>
      </c>
      <c r="D5318">
        <v>0</v>
      </c>
      <c r="E5318" t="s">
        <v>33450</v>
      </c>
      <c r="F5318" t="s">
        <v>33451</v>
      </c>
      <c r="G5318" t="s">
        <v>33452</v>
      </c>
      <c r="H5318" t="s">
        <v>33453</v>
      </c>
      <c r="I5318" t="s">
        <v>33454</v>
      </c>
      <c r="J5318" t="s">
        <v>33449</v>
      </c>
      <c r="K5318" t="s">
        <v>33455</v>
      </c>
      <c r="L5318" t="s">
        <v>33449</v>
      </c>
    </row>
    <row r="5319" spans="1:12" x14ac:dyDescent="0.25">
      <c r="A5319">
        <v>978711</v>
      </c>
      <c r="B5319">
        <v>1084417</v>
      </c>
      <c r="D5319" t="s">
        <v>33457</v>
      </c>
      <c r="E5319" t="s">
        <v>33458</v>
      </c>
      <c r="F5319" t="s">
        <v>33459</v>
      </c>
      <c r="G5319" t="s">
        <v>33460</v>
      </c>
      <c r="H5319" t="s">
        <v>33461</v>
      </c>
      <c r="I5319" t="s">
        <v>33462</v>
      </c>
      <c r="J5319" t="s">
        <v>33463</v>
      </c>
      <c r="K5319" t="s">
        <v>33464</v>
      </c>
      <c r="L5319" t="s">
        <v>33456</v>
      </c>
    </row>
    <row r="5320" spans="1:12" x14ac:dyDescent="0.25">
      <c r="A5320">
        <v>978711</v>
      </c>
      <c r="B5320">
        <v>983161</v>
      </c>
      <c r="D5320">
        <v>0</v>
      </c>
      <c r="F5320">
        <v>1162108</v>
      </c>
      <c r="G5320">
        <v>978711</v>
      </c>
      <c r="H5320" t="e" vm="2319">
        <f>_FV(0,"75")</f>
        <v>#VALUE!</v>
      </c>
      <c r="I5320">
        <v>983161</v>
      </c>
      <c r="J5320" t="s">
        <v>33465</v>
      </c>
      <c r="K5320" t="s">
        <v>33466</v>
      </c>
      <c r="L5320" t="e" vm="2319">
        <f>_FV(0,"75")</f>
        <v>#VALUE!</v>
      </c>
    </row>
    <row r="5321" spans="1:12" x14ac:dyDescent="0.25">
      <c r="A5321">
        <v>978729</v>
      </c>
      <c r="B5321">
        <v>978776</v>
      </c>
      <c r="D5321">
        <v>0</v>
      </c>
      <c r="E5321" t="s">
        <v>33468</v>
      </c>
      <c r="F5321" t="s">
        <v>33469</v>
      </c>
      <c r="G5321" t="s">
        <v>33470</v>
      </c>
      <c r="H5321" t="s">
        <v>33471</v>
      </c>
      <c r="I5321" t="s">
        <v>33472</v>
      </c>
      <c r="J5321" t="s">
        <v>33467</v>
      </c>
      <c r="K5321" t="s">
        <v>33473</v>
      </c>
      <c r="L5321" t="s">
        <v>33467</v>
      </c>
    </row>
    <row r="5322" spans="1:12" x14ac:dyDescent="0.25">
      <c r="A5322">
        <v>978729</v>
      </c>
      <c r="B5322">
        <v>1084417</v>
      </c>
      <c r="D5322" t="s">
        <v>26610</v>
      </c>
      <c r="E5322" t="s">
        <v>33475</v>
      </c>
      <c r="F5322" t="s">
        <v>33476</v>
      </c>
      <c r="G5322" t="s">
        <v>33477</v>
      </c>
      <c r="H5322" t="s">
        <v>33478</v>
      </c>
      <c r="I5322" t="s">
        <v>33479</v>
      </c>
      <c r="J5322" t="s">
        <v>33480</v>
      </c>
      <c r="K5322" t="s">
        <v>33481</v>
      </c>
      <c r="L5322" t="s">
        <v>33474</v>
      </c>
    </row>
    <row r="5323" spans="1:12" x14ac:dyDescent="0.25">
      <c r="A5323">
        <v>978729</v>
      </c>
      <c r="B5323">
        <v>983169</v>
      </c>
      <c r="D5323">
        <v>0</v>
      </c>
      <c r="E5323" t="s">
        <v>33483</v>
      </c>
      <c r="F5323" t="s">
        <v>33484</v>
      </c>
      <c r="G5323" t="s">
        <v>33485</v>
      </c>
      <c r="H5323" t="e" vm="2320">
        <f>_FV(0,"5923615809026898")</f>
        <v>#VALUE!</v>
      </c>
      <c r="I5323" t="s">
        <v>33486</v>
      </c>
      <c r="J5323" t="s">
        <v>33487</v>
      </c>
      <c r="K5323" t="s">
        <v>33488</v>
      </c>
      <c r="L5323" t="s">
        <v>33482</v>
      </c>
    </row>
    <row r="5324" spans="1:12" x14ac:dyDescent="0.25">
      <c r="A5324">
        <v>978776</v>
      </c>
      <c r="B5324">
        <v>982045</v>
      </c>
      <c r="D5324">
        <v>0</v>
      </c>
      <c r="E5324" t="s">
        <v>33490</v>
      </c>
      <c r="F5324" t="s">
        <v>33491</v>
      </c>
      <c r="G5324" t="s">
        <v>33492</v>
      </c>
      <c r="H5324" t="e" vm="2321">
        <f>_FV(0,"06585402168047165")</f>
        <v>#VALUE!</v>
      </c>
      <c r="I5324" t="s">
        <v>33493</v>
      </c>
      <c r="J5324" t="s">
        <v>33494</v>
      </c>
      <c r="K5324" t="s">
        <v>33495</v>
      </c>
      <c r="L5324" t="s">
        <v>33489</v>
      </c>
    </row>
    <row r="5325" spans="1:12" x14ac:dyDescent="0.25">
      <c r="A5325">
        <v>978776</v>
      </c>
      <c r="B5325">
        <v>983169</v>
      </c>
      <c r="D5325">
        <v>0</v>
      </c>
      <c r="E5325" t="s">
        <v>33497</v>
      </c>
      <c r="F5325" t="s">
        <v>33498</v>
      </c>
      <c r="G5325" t="s">
        <v>33499</v>
      </c>
      <c r="H5325" t="s">
        <v>33500</v>
      </c>
      <c r="I5325" t="s">
        <v>33501</v>
      </c>
      <c r="J5325" t="s">
        <v>33502</v>
      </c>
      <c r="K5325" t="s">
        <v>33503</v>
      </c>
      <c r="L5325" t="s">
        <v>33496</v>
      </c>
    </row>
    <row r="5326" spans="1:12" x14ac:dyDescent="0.25">
      <c r="A5326">
        <v>978900</v>
      </c>
      <c r="B5326">
        <v>978910</v>
      </c>
      <c r="D5326">
        <v>0</v>
      </c>
      <c r="E5326" t="s">
        <v>33505</v>
      </c>
      <c r="F5326" t="s">
        <v>33506</v>
      </c>
      <c r="G5326" t="s">
        <v>33507</v>
      </c>
      <c r="H5326" t="s">
        <v>33508</v>
      </c>
      <c r="I5326" t="s">
        <v>33509</v>
      </c>
      <c r="J5326" t="s">
        <v>33510</v>
      </c>
      <c r="K5326" t="s">
        <v>33511</v>
      </c>
      <c r="L5326" t="s">
        <v>33504</v>
      </c>
    </row>
    <row r="5327" spans="1:12" x14ac:dyDescent="0.25">
      <c r="A5327">
        <v>978900</v>
      </c>
      <c r="B5327">
        <v>982045</v>
      </c>
      <c r="D5327">
        <v>0</v>
      </c>
      <c r="E5327" t="s">
        <v>33513</v>
      </c>
      <c r="F5327" t="s">
        <v>33514</v>
      </c>
      <c r="G5327" t="s">
        <v>33515</v>
      </c>
      <c r="H5327" t="s">
        <v>33516</v>
      </c>
      <c r="I5327" t="s">
        <v>33517</v>
      </c>
      <c r="J5327" t="s">
        <v>33518</v>
      </c>
      <c r="K5327" t="s">
        <v>33519</v>
      </c>
      <c r="L5327" t="s">
        <v>33512</v>
      </c>
    </row>
    <row r="5328" spans="1:12" x14ac:dyDescent="0.25">
      <c r="A5328">
        <v>978900</v>
      </c>
      <c r="B5328">
        <v>982045</v>
      </c>
      <c r="D5328">
        <v>0</v>
      </c>
      <c r="E5328" t="s">
        <v>33521</v>
      </c>
      <c r="F5328" t="s">
        <v>33522</v>
      </c>
      <c r="G5328" t="s">
        <v>33523</v>
      </c>
      <c r="H5328" t="s">
        <v>33524</v>
      </c>
      <c r="I5328" t="s">
        <v>33525</v>
      </c>
      <c r="J5328" t="s">
        <v>33526</v>
      </c>
      <c r="K5328" t="s">
        <v>33527</v>
      </c>
      <c r="L5328" t="s">
        <v>33520</v>
      </c>
    </row>
    <row r="5329" spans="1:12" x14ac:dyDescent="0.25">
      <c r="A5329">
        <v>978910</v>
      </c>
      <c r="B5329">
        <v>978917</v>
      </c>
      <c r="D5329">
        <v>0</v>
      </c>
      <c r="E5329" t="s">
        <v>33529</v>
      </c>
      <c r="F5329" t="s">
        <v>33530</v>
      </c>
      <c r="G5329" t="s">
        <v>33531</v>
      </c>
      <c r="H5329" t="s">
        <v>33532</v>
      </c>
      <c r="I5329" t="s">
        <v>33533</v>
      </c>
      <c r="J5329" t="s">
        <v>33528</v>
      </c>
      <c r="K5329" t="s">
        <v>33534</v>
      </c>
      <c r="L5329" t="s">
        <v>33528</v>
      </c>
    </row>
    <row r="5330" spans="1:12" x14ac:dyDescent="0.25">
      <c r="A5330">
        <v>978910</v>
      </c>
      <c r="B5330">
        <v>983309</v>
      </c>
      <c r="D5330">
        <v>0</v>
      </c>
      <c r="E5330" t="s">
        <v>33536</v>
      </c>
      <c r="F5330" t="s">
        <v>33537</v>
      </c>
      <c r="G5330" t="s">
        <v>33538</v>
      </c>
      <c r="H5330" t="s">
        <v>33539</v>
      </c>
      <c r="I5330" t="s">
        <v>33540</v>
      </c>
      <c r="J5330" t="s">
        <v>33535</v>
      </c>
      <c r="K5330" t="s">
        <v>33541</v>
      </c>
      <c r="L5330" t="s">
        <v>33535</v>
      </c>
    </row>
    <row r="5331" spans="1:12" x14ac:dyDescent="0.25">
      <c r="A5331">
        <v>978917</v>
      </c>
      <c r="B5331">
        <v>978925</v>
      </c>
      <c r="D5331">
        <v>0</v>
      </c>
      <c r="E5331" t="s">
        <v>33543</v>
      </c>
      <c r="F5331" t="s">
        <v>33544</v>
      </c>
      <c r="G5331" t="s">
        <v>33545</v>
      </c>
      <c r="H5331" t="s">
        <v>33546</v>
      </c>
      <c r="I5331" t="s">
        <v>33547</v>
      </c>
      <c r="J5331" t="s">
        <v>33548</v>
      </c>
      <c r="K5331" t="s">
        <v>33549</v>
      </c>
      <c r="L5331" t="s">
        <v>33542</v>
      </c>
    </row>
    <row r="5332" spans="1:12" x14ac:dyDescent="0.25">
      <c r="A5332">
        <v>978917</v>
      </c>
      <c r="B5332">
        <v>983309</v>
      </c>
      <c r="D5332">
        <v>0</v>
      </c>
      <c r="E5332" t="s">
        <v>33551</v>
      </c>
      <c r="F5332" t="s">
        <v>33552</v>
      </c>
      <c r="G5332" t="s">
        <v>33553</v>
      </c>
      <c r="H5332" t="e" vm="2322">
        <f>_FV(0,"06619363072232592")</f>
        <v>#VALUE!</v>
      </c>
      <c r="I5332" t="s">
        <v>33554</v>
      </c>
      <c r="J5332" t="s">
        <v>33555</v>
      </c>
      <c r="K5332" t="s">
        <v>33556</v>
      </c>
      <c r="L5332" t="s">
        <v>33550</v>
      </c>
    </row>
    <row r="5333" spans="1:12" x14ac:dyDescent="0.25">
      <c r="A5333">
        <v>978925</v>
      </c>
      <c r="B5333">
        <v>978940</v>
      </c>
      <c r="D5333">
        <v>0</v>
      </c>
      <c r="E5333" t="s">
        <v>33558</v>
      </c>
      <c r="F5333" t="s">
        <v>33559</v>
      </c>
      <c r="G5333" t="s">
        <v>33560</v>
      </c>
      <c r="H5333" t="s">
        <v>33561</v>
      </c>
      <c r="I5333" t="s">
        <v>33562</v>
      </c>
      <c r="J5333" t="s">
        <v>33557</v>
      </c>
      <c r="K5333" t="s">
        <v>33563</v>
      </c>
      <c r="L5333" t="s">
        <v>33557</v>
      </c>
    </row>
    <row r="5334" spans="1:12" x14ac:dyDescent="0.25">
      <c r="A5334">
        <v>978925</v>
      </c>
      <c r="B5334">
        <v>1083706</v>
      </c>
      <c r="D5334">
        <v>0</v>
      </c>
      <c r="E5334" t="s">
        <v>33565</v>
      </c>
      <c r="F5334" t="s">
        <v>33566</v>
      </c>
      <c r="G5334" t="s">
        <v>33567</v>
      </c>
      <c r="H5334" t="s">
        <v>33568</v>
      </c>
      <c r="I5334" t="s">
        <v>33569</v>
      </c>
      <c r="J5334" t="s">
        <v>33564</v>
      </c>
      <c r="K5334" t="s">
        <v>33570</v>
      </c>
      <c r="L5334" t="s">
        <v>33564</v>
      </c>
    </row>
    <row r="5335" spans="1:12" x14ac:dyDescent="0.25">
      <c r="A5335">
        <v>978940</v>
      </c>
      <c r="B5335">
        <v>978944</v>
      </c>
      <c r="D5335">
        <v>0</v>
      </c>
      <c r="E5335" t="s">
        <v>33572</v>
      </c>
      <c r="F5335" t="s">
        <v>33573</v>
      </c>
      <c r="G5335" t="s">
        <v>33574</v>
      </c>
      <c r="H5335" t="s">
        <v>33575</v>
      </c>
      <c r="I5335" t="s">
        <v>33576</v>
      </c>
      <c r="J5335" t="s">
        <v>33571</v>
      </c>
      <c r="K5335" t="s">
        <v>33577</v>
      </c>
      <c r="L5335" t="s">
        <v>33571</v>
      </c>
    </row>
    <row r="5336" spans="1:12" x14ac:dyDescent="0.25">
      <c r="A5336">
        <v>978940</v>
      </c>
      <c r="B5336">
        <v>1083706</v>
      </c>
      <c r="D5336">
        <v>0</v>
      </c>
      <c r="E5336" t="s">
        <v>33579</v>
      </c>
      <c r="F5336" t="s">
        <v>33580</v>
      </c>
      <c r="G5336" t="s">
        <v>33581</v>
      </c>
      <c r="H5336" t="s">
        <v>33582</v>
      </c>
      <c r="I5336" t="s">
        <v>33583</v>
      </c>
      <c r="J5336" t="s">
        <v>33584</v>
      </c>
      <c r="K5336" t="s">
        <v>33585</v>
      </c>
      <c r="L5336" t="s">
        <v>33578</v>
      </c>
    </row>
    <row r="5337" spans="1:12" x14ac:dyDescent="0.25">
      <c r="A5337">
        <v>978944</v>
      </c>
      <c r="B5337">
        <v>978960</v>
      </c>
      <c r="D5337">
        <v>0</v>
      </c>
      <c r="E5337" t="s">
        <v>33587</v>
      </c>
      <c r="F5337" t="s">
        <v>33588</v>
      </c>
      <c r="G5337" t="s">
        <v>33589</v>
      </c>
      <c r="H5337" t="s">
        <v>33590</v>
      </c>
      <c r="I5337" t="s">
        <v>33591</v>
      </c>
      <c r="J5337" t="s">
        <v>33586</v>
      </c>
      <c r="K5337" t="s">
        <v>33592</v>
      </c>
      <c r="L5337" t="s">
        <v>33586</v>
      </c>
    </row>
    <row r="5338" spans="1:12" x14ac:dyDescent="0.25">
      <c r="A5338">
        <v>978944</v>
      </c>
      <c r="B5338">
        <v>1083738</v>
      </c>
      <c r="D5338">
        <v>0</v>
      </c>
      <c r="E5338" t="s">
        <v>33594</v>
      </c>
      <c r="F5338" t="s">
        <v>33595</v>
      </c>
      <c r="G5338" t="s">
        <v>33596</v>
      </c>
      <c r="H5338" t="e" vm="2323">
        <f>_FV(0,"02485369661742102")</f>
        <v>#VALUE!</v>
      </c>
      <c r="I5338" t="s">
        <v>33597</v>
      </c>
      <c r="J5338" t="s">
        <v>33598</v>
      </c>
      <c r="K5338" t="s">
        <v>33599</v>
      </c>
      <c r="L5338" t="s">
        <v>33593</v>
      </c>
    </row>
    <row r="5339" spans="1:12" x14ac:dyDescent="0.25">
      <c r="A5339">
        <v>978960</v>
      </c>
      <c r="B5339">
        <v>978966</v>
      </c>
      <c r="D5339">
        <v>0</v>
      </c>
      <c r="E5339" t="s">
        <v>33601</v>
      </c>
      <c r="F5339" t="s">
        <v>33602</v>
      </c>
      <c r="G5339" t="s">
        <v>33603</v>
      </c>
      <c r="H5339" t="s">
        <v>33604</v>
      </c>
      <c r="I5339" t="s">
        <v>33605</v>
      </c>
      <c r="J5339" t="s">
        <v>33606</v>
      </c>
      <c r="K5339" t="s">
        <v>33607</v>
      </c>
      <c r="L5339" t="s">
        <v>33600</v>
      </c>
    </row>
    <row r="5340" spans="1:12" x14ac:dyDescent="0.25">
      <c r="A5340">
        <v>978960</v>
      </c>
      <c r="B5340">
        <v>1083738</v>
      </c>
      <c r="D5340">
        <v>0</v>
      </c>
      <c r="E5340" t="s">
        <v>33609</v>
      </c>
      <c r="F5340" t="s">
        <v>33610</v>
      </c>
      <c r="G5340" t="s">
        <v>33611</v>
      </c>
      <c r="H5340" t="s">
        <v>33612</v>
      </c>
      <c r="I5340" t="s">
        <v>33613</v>
      </c>
      <c r="J5340" t="s">
        <v>33614</v>
      </c>
      <c r="K5340" t="s">
        <v>33615</v>
      </c>
      <c r="L5340" t="s">
        <v>33608</v>
      </c>
    </row>
    <row r="5341" spans="1:12" x14ac:dyDescent="0.25">
      <c r="A5341">
        <v>978966</v>
      </c>
      <c r="B5341">
        <v>978982</v>
      </c>
      <c r="D5341">
        <v>0</v>
      </c>
      <c r="E5341" t="s">
        <v>33617</v>
      </c>
      <c r="F5341" t="s">
        <v>33618</v>
      </c>
      <c r="G5341" t="s">
        <v>33619</v>
      </c>
      <c r="H5341" t="s">
        <v>33620</v>
      </c>
      <c r="I5341" t="s">
        <v>33621</v>
      </c>
      <c r="J5341" t="s">
        <v>33616</v>
      </c>
      <c r="K5341" t="s">
        <v>33622</v>
      </c>
      <c r="L5341" t="s">
        <v>33616</v>
      </c>
    </row>
    <row r="5342" spans="1:12" x14ac:dyDescent="0.25">
      <c r="A5342">
        <v>978966</v>
      </c>
      <c r="B5342">
        <v>1083744</v>
      </c>
      <c r="D5342">
        <v>0</v>
      </c>
      <c r="E5342" t="s">
        <v>33624</v>
      </c>
      <c r="F5342" t="s">
        <v>33625</v>
      </c>
      <c r="G5342" t="s">
        <v>33626</v>
      </c>
      <c r="H5342" t="e" vm="2324">
        <f>_FV(0,"143133952057501")</f>
        <v>#VALUE!</v>
      </c>
      <c r="I5342" t="s">
        <v>33627</v>
      </c>
      <c r="J5342" t="s">
        <v>33628</v>
      </c>
      <c r="K5342" t="s">
        <v>33629</v>
      </c>
      <c r="L5342" t="s">
        <v>33623</v>
      </c>
    </row>
    <row r="5343" spans="1:12" x14ac:dyDescent="0.25">
      <c r="A5343">
        <v>978982</v>
      </c>
      <c r="B5343">
        <v>978989</v>
      </c>
      <c r="C5343" t="s">
        <v>33630</v>
      </c>
      <c r="D5343">
        <v>0</v>
      </c>
      <c r="F5343">
        <v>1027546</v>
      </c>
      <c r="G5343">
        <v>978989</v>
      </c>
      <c r="H5343" t="s">
        <v>2841</v>
      </c>
      <c r="I5343">
        <v>978982</v>
      </c>
      <c r="J5343" t="s">
        <v>2841</v>
      </c>
      <c r="K5343" t="s">
        <v>33631</v>
      </c>
      <c r="L5343" t="s">
        <v>2841</v>
      </c>
    </row>
    <row r="5344" spans="1:12" x14ac:dyDescent="0.25">
      <c r="A5344">
        <v>978982</v>
      </c>
      <c r="B5344">
        <v>1083744</v>
      </c>
      <c r="D5344">
        <v>0</v>
      </c>
      <c r="E5344" t="s">
        <v>33633</v>
      </c>
      <c r="F5344" t="s">
        <v>33634</v>
      </c>
      <c r="G5344" t="s">
        <v>33635</v>
      </c>
      <c r="H5344" t="s">
        <v>33636</v>
      </c>
      <c r="I5344" t="s">
        <v>33637</v>
      </c>
      <c r="J5344" t="s">
        <v>33638</v>
      </c>
      <c r="K5344" t="s">
        <v>33639</v>
      </c>
      <c r="L5344" t="s">
        <v>33632</v>
      </c>
    </row>
    <row r="5345" spans="1:12" x14ac:dyDescent="0.25">
      <c r="A5345">
        <v>978989</v>
      </c>
      <c r="B5345">
        <v>979004</v>
      </c>
      <c r="D5345">
        <v>0</v>
      </c>
      <c r="E5345" t="s">
        <v>33641</v>
      </c>
      <c r="F5345" t="s">
        <v>33642</v>
      </c>
      <c r="G5345" t="s">
        <v>33643</v>
      </c>
      <c r="H5345" t="s">
        <v>33644</v>
      </c>
      <c r="I5345" t="s">
        <v>33645</v>
      </c>
      <c r="J5345" t="s">
        <v>33640</v>
      </c>
      <c r="K5345" t="s">
        <v>33646</v>
      </c>
      <c r="L5345" t="s">
        <v>33640</v>
      </c>
    </row>
    <row r="5346" spans="1:12" x14ac:dyDescent="0.25">
      <c r="A5346">
        <v>978989</v>
      </c>
      <c r="B5346">
        <v>1083785</v>
      </c>
      <c r="D5346">
        <v>0</v>
      </c>
      <c r="E5346" t="s">
        <v>33648</v>
      </c>
      <c r="F5346" t="s">
        <v>33649</v>
      </c>
      <c r="G5346" t="s">
        <v>33650</v>
      </c>
      <c r="H5346" t="s">
        <v>33651</v>
      </c>
      <c r="I5346" t="s">
        <v>33652</v>
      </c>
      <c r="J5346" t="s">
        <v>33647</v>
      </c>
      <c r="K5346" t="s">
        <v>33653</v>
      </c>
      <c r="L5346" t="s">
        <v>33647</v>
      </c>
    </row>
    <row r="5347" spans="1:12" x14ac:dyDescent="0.25">
      <c r="A5347">
        <v>979004</v>
      </c>
      <c r="B5347">
        <v>979009</v>
      </c>
      <c r="D5347">
        <v>0</v>
      </c>
      <c r="E5347" t="s">
        <v>33655</v>
      </c>
      <c r="F5347" t="s">
        <v>33656</v>
      </c>
      <c r="G5347" t="s">
        <v>33657</v>
      </c>
      <c r="H5347" t="s">
        <v>33658</v>
      </c>
      <c r="I5347" t="s">
        <v>33659</v>
      </c>
      <c r="J5347" t="s">
        <v>33660</v>
      </c>
      <c r="K5347" t="s">
        <v>33661</v>
      </c>
      <c r="L5347" t="s">
        <v>33654</v>
      </c>
    </row>
    <row r="5348" spans="1:12" x14ac:dyDescent="0.25">
      <c r="A5348">
        <v>979004</v>
      </c>
      <c r="B5348">
        <v>1083785</v>
      </c>
      <c r="D5348">
        <v>0</v>
      </c>
      <c r="E5348" t="s">
        <v>33663</v>
      </c>
      <c r="F5348" t="s">
        <v>33664</v>
      </c>
      <c r="G5348" t="s">
        <v>33665</v>
      </c>
      <c r="H5348" t="e" vm="2325">
        <f>_FV(0,"07620917416532619")</f>
        <v>#VALUE!</v>
      </c>
      <c r="I5348" t="s">
        <v>33666</v>
      </c>
      <c r="J5348" t="s">
        <v>33667</v>
      </c>
      <c r="K5348" t="s">
        <v>33668</v>
      </c>
      <c r="L5348" t="s">
        <v>33662</v>
      </c>
    </row>
    <row r="5349" spans="1:12" x14ac:dyDescent="0.25">
      <c r="A5349">
        <v>979009</v>
      </c>
      <c r="B5349">
        <v>979025</v>
      </c>
      <c r="D5349">
        <v>0</v>
      </c>
      <c r="E5349" t="s">
        <v>33670</v>
      </c>
      <c r="F5349" t="s">
        <v>33671</v>
      </c>
      <c r="G5349" t="s">
        <v>33672</v>
      </c>
      <c r="H5349" t="e" vm="2326">
        <f>_FV(0,"13891526700555526")</f>
        <v>#VALUE!</v>
      </c>
      <c r="I5349" t="s">
        <v>33673</v>
      </c>
      <c r="J5349" t="s">
        <v>33674</v>
      </c>
      <c r="K5349" t="s">
        <v>33675</v>
      </c>
      <c r="L5349" t="s">
        <v>33669</v>
      </c>
    </row>
    <row r="5350" spans="1:12" x14ac:dyDescent="0.25">
      <c r="A5350">
        <v>979009</v>
      </c>
      <c r="B5350">
        <v>1083792</v>
      </c>
      <c r="D5350">
        <v>0</v>
      </c>
      <c r="E5350" t="s">
        <v>33677</v>
      </c>
      <c r="F5350" t="s">
        <v>33678</v>
      </c>
      <c r="G5350" t="s">
        <v>33679</v>
      </c>
      <c r="H5350" t="s">
        <v>33680</v>
      </c>
      <c r="I5350" t="s">
        <v>33681</v>
      </c>
      <c r="J5350" t="s">
        <v>33676</v>
      </c>
      <c r="K5350" t="s">
        <v>33682</v>
      </c>
      <c r="L5350" t="s">
        <v>33676</v>
      </c>
    </row>
    <row r="5351" spans="1:12" x14ac:dyDescent="0.25">
      <c r="A5351">
        <v>979025</v>
      </c>
      <c r="B5351">
        <v>979032</v>
      </c>
      <c r="D5351">
        <v>0</v>
      </c>
      <c r="E5351" t="s">
        <v>33684</v>
      </c>
      <c r="F5351" t="s">
        <v>33685</v>
      </c>
      <c r="G5351" t="s">
        <v>33686</v>
      </c>
      <c r="H5351" t="e" vm="2327">
        <f>_FV(0,"012891001426152859")</f>
        <v>#VALUE!</v>
      </c>
      <c r="I5351" t="s">
        <v>33687</v>
      </c>
      <c r="J5351" t="s">
        <v>33688</v>
      </c>
      <c r="K5351" t="s">
        <v>33689</v>
      </c>
      <c r="L5351" t="s">
        <v>33683</v>
      </c>
    </row>
    <row r="5352" spans="1:12" x14ac:dyDescent="0.25">
      <c r="A5352">
        <v>979025</v>
      </c>
      <c r="B5352">
        <v>1083792</v>
      </c>
      <c r="D5352">
        <v>0</v>
      </c>
      <c r="E5352" t="s">
        <v>33691</v>
      </c>
      <c r="F5352" t="s">
        <v>33692</v>
      </c>
      <c r="G5352" t="s">
        <v>33693</v>
      </c>
      <c r="H5352" t="e" vm="2328">
        <f>_FV(0,"16550145228814864")</f>
        <v>#VALUE!</v>
      </c>
      <c r="I5352" t="s">
        <v>33694</v>
      </c>
      <c r="J5352" t="s">
        <v>33695</v>
      </c>
      <c r="K5352" t="s">
        <v>33696</v>
      </c>
      <c r="L5352" t="s">
        <v>33690</v>
      </c>
    </row>
    <row r="5353" spans="1:12" x14ac:dyDescent="0.25">
      <c r="A5353">
        <v>979032</v>
      </c>
      <c r="B5353">
        <v>979042</v>
      </c>
      <c r="D5353">
        <v>0</v>
      </c>
      <c r="E5353" t="s">
        <v>33698</v>
      </c>
      <c r="F5353" t="s">
        <v>33699</v>
      </c>
      <c r="G5353" t="s">
        <v>33700</v>
      </c>
      <c r="H5353" t="e" vm="2329">
        <f>_FV(0,"04659079506926337")</f>
        <v>#VALUE!</v>
      </c>
      <c r="I5353" t="s">
        <v>33701</v>
      </c>
      <c r="J5353" t="s">
        <v>33702</v>
      </c>
      <c r="K5353" t="s">
        <v>33703</v>
      </c>
      <c r="L5353" t="s">
        <v>33697</v>
      </c>
    </row>
    <row r="5354" spans="1:12" x14ac:dyDescent="0.25">
      <c r="A5354">
        <v>979032</v>
      </c>
      <c r="B5354">
        <v>1083816</v>
      </c>
      <c r="D5354">
        <v>0</v>
      </c>
      <c r="E5354" t="s">
        <v>33705</v>
      </c>
      <c r="F5354" t="s">
        <v>33706</v>
      </c>
      <c r="G5354" t="s">
        <v>33707</v>
      </c>
      <c r="H5354" t="s">
        <v>33708</v>
      </c>
      <c r="I5354" t="s">
        <v>33709</v>
      </c>
      <c r="J5354" t="s">
        <v>33710</v>
      </c>
      <c r="K5354" t="s">
        <v>33711</v>
      </c>
      <c r="L5354" t="s">
        <v>33704</v>
      </c>
    </row>
    <row r="5355" spans="1:12" x14ac:dyDescent="0.25">
      <c r="A5355">
        <v>979042</v>
      </c>
      <c r="B5355">
        <v>979051</v>
      </c>
      <c r="D5355">
        <v>0</v>
      </c>
      <c r="E5355" t="s">
        <v>33713</v>
      </c>
      <c r="F5355" t="s">
        <v>33714</v>
      </c>
      <c r="G5355" t="s">
        <v>33715</v>
      </c>
      <c r="H5355" t="e" vm="2330">
        <f>_FV(0,"034693935886471794")</f>
        <v>#VALUE!</v>
      </c>
      <c r="I5355" t="s">
        <v>33716</v>
      </c>
      <c r="J5355" t="s">
        <v>33717</v>
      </c>
      <c r="K5355" t="s">
        <v>33718</v>
      </c>
      <c r="L5355" t="s">
        <v>33712</v>
      </c>
    </row>
    <row r="5356" spans="1:12" x14ac:dyDescent="0.25">
      <c r="A5356">
        <v>979042</v>
      </c>
      <c r="B5356">
        <v>1083816</v>
      </c>
      <c r="D5356">
        <v>0</v>
      </c>
      <c r="E5356" t="s">
        <v>33720</v>
      </c>
      <c r="F5356" t="s">
        <v>33721</v>
      </c>
      <c r="G5356" t="s">
        <v>33722</v>
      </c>
      <c r="H5356" t="e" vm="2331">
        <f>_FV(0,"23094789369282875")</f>
        <v>#VALUE!</v>
      </c>
      <c r="I5356" t="s">
        <v>33723</v>
      </c>
      <c r="J5356" t="s">
        <v>33724</v>
      </c>
      <c r="K5356" t="s">
        <v>33725</v>
      </c>
      <c r="L5356" t="s">
        <v>33719</v>
      </c>
    </row>
    <row r="5357" spans="1:12" x14ac:dyDescent="0.25">
      <c r="A5357">
        <v>979051</v>
      </c>
      <c r="B5357">
        <v>979079</v>
      </c>
      <c r="D5357">
        <v>0</v>
      </c>
      <c r="E5357" t="s">
        <v>33727</v>
      </c>
      <c r="F5357" t="s">
        <v>33728</v>
      </c>
      <c r="G5357" t="s">
        <v>33729</v>
      </c>
      <c r="H5357" t="e" vm="2332">
        <f>_FV(0,"08632800906355133")</f>
        <v>#VALUE!</v>
      </c>
      <c r="I5357" t="s">
        <v>33730</v>
      </c>
      <c r="J5357" t="s">
        <v>33731</v>
      </c>
      <c r="K5357" t="s">
        <v>33732</v>
      </c>
      <c r="L5357" t="s">
        <v>33726</v>
      </c>
    </row>
    <row r="5358" spans="1:12" x14ac:dyDescent="0.25">
      <c r="A5358">
        <v>979051</v>
      </c>
      <c r="B5358">
        <v>1083821</v>
      </c>
      <c r="D5358">
        <v>0</v>
      </c>
      <c r="E5358" t="s">
        <v>33734</v>
      </c>
      <c r="F5358" t="s">
        <v>33735</v>
      </c>
      <c r="G5358" t="s">
        <v>33736</v>
      </c>
      <c r="H5358" t="s">
        <v>33737</v>
      </c>
      <c r="I5358" t="s">
        <v>33738</v>
      </c>
      <c r="J5358" t="s">
        <v>33733</v>
      </c>
      <c r="K5358" t="s">
        <v>33739</v>
      </c>
      <c r="L5358" t="s">
        <v>33733</v>
      </c>
    </row>
    <row r="5359" spans="1:12" x14ac:dyDescent="0.25">
      <c r="A5359">
        <v>979079</v>
      </c>
      <c r="B5359">
        <v>986829</v>
      </c>
      <c r="D5359">
        <v>0</v>
      </c>
      <c r="E5359" t="s">
        <v>33741</v>
      </c>
      <c r="F5359" t="s">
        <v>33742</v>
      </c>
      <c r="G5359" t="s">
        <v>33743</v>
      </c>
      <c r="H5359" t="e" vm="2333">
        <f>_FV(0,"013175641619218184")</f>
        <v>#VALUE!</v>
      </c>
      <c r="I5359" t="s">
        <v>33744</v>
      </c>
      <c r="J5359" t="s">
        <v>33745</v>
      </c>
      <c r="K5359" t="s">
        <v>33746</v>
      </c>
      <c r="L5359" t="s">
        <v>33740</v>
      </c>
    </row>
    <row r="5360" spans="1:12" x14ac:dyDescent="0.25">
      <c r="A5360">
        <v>979079</v>
      </c>
      <c r="B5360">
        <v>1083821</v>
      </c>
      <c r="D5360">
        <v>0</v>
      </c>
      <c r="E5360" t="s">
        <v>33748</v>
      </c>
      <c r="F5360" t="s">
        <v>33749</v>
      </c>
      <c r="G5360" t="s">
        <v>33750</v>
      </c>
      <c r="H5360" t="e" vm="2334">
        <f>_FV(0,"09276199240908815")</f>
        <v>#VALUE!</v>
      </c>
      <c r="I5360" t="s">
        <v>33751</v>
      </c>
      <c r="J5360" t="s">
        <v>33752</v>
      </c>
      <c r="K5360" t="s">
        <v>33753</v>
      </c>
      <c r="L5360" t="s">
        <v>33747</v>
      </c>
    </row>
    <row r="5361" spans="1:12" x14ac:dyDescent="0.25">
      <c r="A5361">
        <v>979086</v>
      </c>
      <c r="B5361">
        <v>979107</v>
      </c>
      <c r="D5361">
        <v>0</v>
      </c>
      <c r="E5361" t="s">
        <v>33755</v>
      </c>
      <c r="F5361" t="s">
        <v>33756</v>
      </c>
      <c r="G5361" t="s">
        <v>33757</v>
      </c>
      <c r="H5361" t="e" vm="2335">
        <f>_FV(0,"017209140522994354")</f>
        <v>#VALUE!</v>
      </c>
      <c r="I5361" t="s">
        <v>33758</v>
      </c>
      <c r="J5361" t="s">
        <v>33759</v>
      </c>
      <c r="K5361" t="s">
        <v>33760</v>
      </c>
      <c r="L5361" t="s">
        <v>33754</v>
      </c>
    </row>
    <row r="5362" spans="1:12" x14ac:dyDescent="0.25">
      <c r="A5362">
        <v>979086</v>
      </c>
      <c r="B5362">
        <v>1083864</v>
      </c>
      <c r="D5362">
        <v>0</v>
      </c>
      <c r="E5362" t="s">
        <v>33762</v>
      </c>
      <c r="F5362" t="s">
        <v>33763</v>
      </c>
      <c r="G5362" t="s">
        <v>33764</v>
      </c>
      <c r="H5362" t="e" vm="2336">
        <f>_FV(0,"061617031635212316")</f>
        <v>#VALUE!</v>
      </c>
      <c r="I5362" t="s">
        <v>33765</v>
      </c>
      <c r="J5362" t="s">
        <v>33766</v>
      </c>
      <c r="K5362" t="s">
        <v>33767</v>
      </c>
      <c r="L5362" t="s">
        <v>33761</v>
      </c>
    </row>
    <row r="5363" spans="1:12" x14ac:dyDescent="0.25">
      <c r="A5363">
        <v>979086</v>
      </c>
      <c r="B5363">
        <v>1025182</v>
      </c>
      <c r="C5363" t="s">
        <v>33769</v>
      </c>
      <c r="D5363">
        <v>0</v>
      </c>
      <c r="E5363" t="s">
        <v>33770</v>
      </c>
      <c r="F5363" t="s">
        <v>33771</v>
      </c>
      <c r="G5363" t="s">
        <v>33772</v>
      </c>
      <c r="H5363" t="e" vm="2337">
        <f>_FV(0,"01674412140253998")</f>
        <v>#VALUE!</v>
      </c>
      <c r="I5363" t="s">
        <v>33773</v>
      </c>
      <c r="J5363" t="s">
        <v>33774</v>
      </c>
      <c r="K5363" t="s">
        <v>33775</v>
      </c>
      <c r="L5363" t="s">
        <v>33768</v>
      </c>
    </row>
    <row r="5364" spans="1:12" x14ac:dyDescent="0.25">
      <c r="A5364">
        <v>979107</v>
      </c>
      <c r="B5364">
        <v>979116</v>
      </c>
      <c r="D5364">
        <v>0</v>
      </c>
      <c r="E5364" t="s">
        <v>33777</v>
      </c>
      <c r="F5364" t="s">
        <v>33778</v>
      </c>
      <c r="G5364" t="s">
        <v>33779</v>
      </c>
      <c r="H5364" t="e" vm="2338">
        <f>_FV(0,"019335311933379853")</f>
        <v>#VALUE!</v>
      </c>
      <c r="I5364" t="s">
        <v>33780</v>
      </c>
      <c r="J5364" t="s">
        <v>33781</v>
      </c>
      <c r="K5364" t="s">
        <v>33782</v>
      </c>
      <c r="L5364" t="s">
        <v>33776</v>
      </c>
    </row>
    <row r="5365" spans="1:12" x14ac:dyDescent="0.25">
      <c r="A5365">
        <v>979107</v>
      </c>
      <c r="B5365">
        <v>1083864</v>
      </c>
      <c r="D5365">
        <v>0</v>
      </c>
      <c r="E5365" t="s">
        <v>33784</v>
      </c>
      <c r="F5365" t="s">
        <v>33785</v>
      </c>
      <c r="G5365" t="s">
        <v>33786</v>
      </c>
      <c r="H5365" t="s">
        <v>33787</v>
      </c>
      <c r="I5365" t="s">
        <v>33788</v>
      </c>
      <c r="J5365" t="s">
        <v>33783</v>
      </c>
      <c r="K5365" t="s">
        <v>33789</v>
      </c>
      <c r="L5365" t="s">
        <v>33783</v>
      </c>
    </row>
    <row r="5366" spans="1:12" x14ac:dyDescent="0.25">
      <c r="A5366">
        <v>979116</v>
      </c>
      <c r="B5366">
        <v>1083874</v>
      </c>
      <c r="D5366">
        <v>0</v>
      </c>
      <c r="E5366" t="s">
        <v>33791</v>
      </c>
      <c r="F5366" t="s">
        <v>33792</v>
      </c>
      <c r="G5366" t="s">
        <v>33793</v>
      </c>
      <c r="H5366" t="e" vm="2339">
        <f>_FV(0,"10310399859305922")</f>
        <v>#VALUE!</v>
      </c>
      <c r="I5366" t="s">
        <v>33794</v>
      </c>
      <c r="J5366" t="s">
        <v>33795</v>
      </c>
      <c r="K5366" t="s">
        <v>33796</v>
      </c>
      <c r="L5366" t="s">
        <v>33790</v>
      </c>
    </row>
    <row r="5367" spans="1:12" x14ac:dyDescent="0.25">
      <c r="A5367">
        <v>979158</v>
      </c>
      <c r="B5367">
        <v>979167</v>
      </c>
      <c r="D5367">
        <v>0</v>
      </c>
      <c r="F5367">
        <v>1164577</v>
      </c>
      <c r="G5367">
        <v>979167</v>
      </c>
      <c r="H5367" t="e" vm="144">
        <f>_FV(0,"003")</f>
        <v>#VALUE!</v>
      </c>
      <c r="I5367">
        <v>979158</v>
      </c>
      <c r="J5367" t="s">
        <v>1783</v>
      </c>
      <c r="K5367" t="s">
        <v>33797</v>
      </c>
      <c r="L5367" t="e" vm="144">
        <f>_FV(0,"003")</f>
        <v>#VALUE!</v>
      </c>
    </row>
    <row r="5368" spans="1:12" x14ac:dyDescent="0.25">
      <c r="A5368">
        <v>979158</v>
      </c>
      <c r="B5368">
        <v>1083920</v>
      </c>
      <c r="D5368">
        <v>0</v>
      </c>
      <c r="E5368" t="s">
        <v>33798</v>
      </c>
      <c r="F5368" t="s">
        <v>33799</v>
      </c>
      <c r="G5368" t="s">
        <v>33800</v>
      </c>
      <c r="H5368" t="s">
        <v>33801</v>
      </c>
      <c r="I5368" t="s">
        <v>33802</v>
      </c>
      <c r="J5368" t="s">
        <v>9376</v>
      </c>
      <c r="K5368" t="s">
        <v>33803</v>
      </c>
      <c r="L5368" t="s">
        <v>9376</v>
      </c>
    </row>
    <row r="5369" spans="1:12" x14ac:dyDescent="0.25">
      <c r="A5369">
        <v>979167</v>
      </c>
      <c r="B5369">
        <v>979185</v>
      </c>
      <c r="D5369">
        <v>0</v>
      </c>
      <c r="E5369" t="s">
        <v>33805</v>
      </c>
      <c r="F5369" t="s">
        <v>33806</v>
      </c>
      <c r="G5369" t="s">
        <v>33807</v>
      </c>
      <c r="H5369" t="s">
        <v>33808</v>
      </c>
      <c r="I5369" t="s">
        <v>33809</v>
      </c>
      <c r="J5369" t="s">
        <v>33804</v>
      </c>
      <c r="K5369" t="s">
        <v>33810</v>
      </c>
      <c r="L5369" t="s">
        <v>33804</v>
      </c>
    </row>
    <row r="5370" spans="1:12" x14ac:dyDescent="0.25">
      <c r="A5370">
        <v>979167</v>
      </c>
      <c r="B5370">
        <v>1083926</v>
      </c>
      <c r="D5370">
        <v>0</v>
      </c>
      <c r="E5370" t="s">
        <v>33811</v>
      </c>
      <c r="F5370" t="s">
        <v>33812</v>
      </c>
      <c r="G5370" t="s">
        <v>33813</v>
      </c>
      <c r="H5370" t="e" vm="2340">
        <f>_FV(0,"01723838515104226")</f>
        <v>#VALUE!</v>
      </c>
      <c r="I5370" t="s">
        <v>33814</v>
      </c>
      <c r="J5370" t="s">
        <v>6726</v>
      </c>
      <c r="K5370" t="s">
        <v>33815</v>
      </c>
      <c r="L5370" t="s">
        <v>6721</v>
      </c>
    </row>
    <row r="5371" spans="1:12" x14ac:dyDescent="0.25">
      <c r="A5371">
        <v>979185</v>
      </c>
      <c r="B5371">
        <v>1854857</v>
      </c>
      <c r="C5371" t="s">
        <v>33816</v>
      </c>
      <c r="D5371">
        <v>0</v>
      </c>
      <c r="E5371" t="s">
        <v>33817</v>
      </c>
      <c r="H5371" t="s">
        <v>187</v>
      </c>
      <c r="J5371">
        <v>0</v>
      </c>
      <c r="K5371" t="s">
        <v>33818</v>
      </c>
      <c r="L5371">
        <v>0</v>
      </c>
    </row>
    <row r="5372" spans="1:12" x14ac:dyDescent="0.25">
      <c r="A5372">
        <v>979185</v>
      </c>
      <c r="B5372">
        <v>1083926</v>
      </c>
      <c r="D5372">
        <v>0</v>
      </c>
      <c r="E5372" t="s">
        <v>33820</v>
      </c>
      <c r="F5372" t="s">
        <v>33821</v>
      </c>
      <c r="G5372" t="s">
        <v>33822</v>
      </c>
      <c r="H5372" t="s">
        <v>33823</v>
      </c>
      <c r="I5372" t="s">
        <v>33824</v>
      </c>
      <c r="J5372" t="s">
        <v>33819</v>
      </c>
      <c r="K5372" t="s">
        <v>33825</v>
      </c>
      <c r="L5372" t="s">
        <v>33819</v>
      </c>
    </row>
    <row r="5373" spans="1:12" x14ac:dyDescent="0.25">
      <c r="A5373">
        <v>979194</v>
      </c>
      <c r="B5373">
        <v>979213</v>
      </c>
      <c r="D5373">
        <v>0</v>
      </c>
      <c r="E5373" t="s">
        <v>33827</v>
      </c>
      <c r="F5373" t="s">
        <v>33828</v>
      </c>
      <c r="G5373" t="s">
        <v>33829</v>
      </c>
      <c r="H5373" t="e" vm="2341">
        <f>_FV(0,"044829337782674616")</f>
        <v>#VALUE!</v>
      </c>
      <c r="I5373" t="s">
        <v>33830</v>
      </c>
      <c r="J5373" t="s">
        <v>33831</v>
      </c>
      <c r="K5373" t="s">
        <v>33832</v>
      </c>
      <c r="L5373" t="s">
        <v>33826</v>
      </c>
    </row>
    <row r="5374" spans="1:12" x14ac:dyDescent="0.25">
      <c r="A5374">
        <v>979194</v>
      </c>
      <c r="B5374">
        <v>1083965</v>
      </c>
      <c r="D5374">
        <v>0</v>
      </c>
      <c r="E5374" t="s">
        <v>33834</v>
      </c>
      <c r="F5374" t="s">
        <v>33835</v>
      </c>
      <c r="G5374" t="s">
        <v>33836</v>
      </c>
      <c r="H5374" t="e" vm="2342">
        <f>_FV(0,"10579947134200181")</f>
        <v>#VALUE!</v>
      </c>
      <c r="I5374" t="s">
        <v>33837</v>
      </c>
      <c r="J5374" t="s">
        <v>33838</v>
      </c>
      <c r="K5374" t="s">
        <v>33839</v>
      </c>
      <c r="L5374" t="s">
        <v>33833</v>
      </c>
    </row>
    <row r="5375" spans="1:12" x14ac:dyDescent="0.25">
      <c r="A5375">
        <v>979194</v>
      </c>
      <c r="B5375">
        <v>1854880</v>
      </c>
      <c r="D5375">
        <v>0</v>
      </c>
      <c r="E5375" t="s">
        <v>33840</v>
      </c>
      <c r="H5375" t="s">
        <v>187</v>
      </c>
      <c r="J5375">
        <v>0</v>
      </c>
      <c r="K5375" t="s">
        <v>33818</v>
      </c>
      <c r="L5375">
        <v>0</v>
      </c>
    </row>
    <row r="5376" spans="1:12" x14ac:dyDescent="0.25">
      <c r="A5376">
        <v>979213</v>
      </c>
      <c r="B5376">
        <v>979223</v>
      </c>
      <c r="D5376">
        <v>0</v>
      </c>
      <c r="E5376" t="s">
        <v>33842</v>
      </c>
      <c r="F5376" t="s">
        <v>33843</v>
      </c>
      <c r="G5376" t="s">
        <v>33844</v>
      </c>
      <c r="H5376" t="e" vm="2343">
        <f>_FV(0,"09110597241597436")</f>
        <v>#VALUE!</v>
      </c>
      <c r="I5376" t="s">
        <v>33845</v>
      </c>
      <c r="J5376" t="s">
        <v>33846</v>
      </c>
      <c r="K5376" t="s">
        <v>33847</v>
      </c>
      <c r="L5376" t="s">
        <v>33841</v>
      </c>
    </row>
    <row r="5377" spans="1:12" x14ac:dyDescent="0.25">
      <c r="A5377">
        <v>979213</v>
      </c>
      <c r="B5377">
        <v>1083965</v>
      </c>
      <c r="D5377">
        <v>0</v>
      </c>
      <c r="E5377" t="s">
        <v>33849</v>
      </c>
      <c r="F5377" t="s">
        <v>33850</v>
      </c>
      <c r="G5377" t="s">
        <v>33851</v>
      </c>
      <c r="H5377" t="s">
        <v>33852</v>
      </c>
      <c r="I5377" t="s">
        <v>33853</v>
      </c>
      <c r="J5377" t="s">
        <v>33848</v>
      </c>
      <c r="K5377" t="s">
        <v>33854</v>
      </c>
      <c r="L5377" t="s">
        <v>33848</v>
      </c>
    </row>
    <row r="5378" spans="1:12" x14ac:dyDescent="0.25">
      <c r="A5378">
        <v>979223</v>
      </c>
      <c r="B5378">
        <v>979240</v>
      </c>
      <c r="D5378">
        <v>0</v>
      </c>
      <c r="E5378" t="s">
        <v>33856</v>
      </c>
      <c r="F5378" t="s">
        <v>33857</v>
      </c>
      <c r="G5378" t="s">
        <v>33858</v>
      </c>
      <c r="H5378" t="e" vm="2344">
        <f>_FV(0,"07439599937739731")</f>
        <v>#VALUE!</v>
      </c>
      <c r="I5378" t="s">
        <v>33859</v>
      </c>
      <c r="J5378" t="s">
        <v>33860</v>
      </c>
      <c r="K5378" t="s">
        <v>33861</v>
      </c>
      <c r="L5378" t="s">
        <v>33855</v>
      </c>
    </row>
    <row r="5379" spans="1:12" x14ac:dyDescent="0.25">
      <c r="A5379">
        <v>979223</v>
      </c>
      <c r="B5379">
        <v>1083972</v>
      </c>
      <c r="D5379">
        <v>0</v>
      </c>
      <c r="E5379" t="s">
        <v>33862</v>
      </c>
      <c r="F5379" t="s">
        <v>33863</v>
      </c>
      <c r="G5379" t="s">
        <v>33864</v>
      </c>
      <c r="H5379" t="s">
        <v>33865</v>
      </c>
      <c r="I5379" t="s">
        <v>33866</v>
      </c>
      <c r="J5379" t="s">
        <v>14820</v>
      </c>
      <c r="K5379" t="s">
        <v>33867</v>
      </c>
      <c r="L5379" t="s">
        <v>14820</v>
      </c>
    </row>
    <row r="5380" spans="1:12" x14ac:dyDescent="0.25">
      <c r="A5380">
        <v>979240</v>
      </c>
      <c r="B5380">
        <v>979244</v>
      </c>
      <c r="D5380">
        <v>0</v>
      </c>
      <c r="E5380" t="s">
        <v>33869</v>
      </c>
      <c r="F5380" t="s">
        <v>33870</v>
      </c>
      <c r="G5380" t="s">
        <v>33871</v>
      </c>
      <c r="H5380" t="e" vm="2345">
        <f>_FV(0,"027867748290643427")</f>
        <v>#VALUE!</v>
      </c>
      <c r="I5380" t="s">
        <v>33872</v>
      </c>
      <c r="J5380" t="s">
        <v>33873</v>
      </c>
      <c r="K5380" t="s">
        <v>33874</v>
      </c>
      <c r="L5380" t="s">
        <v>33868</v>
      </c>
    </row>
    <row r="5381" spans="1:12" x14ac:dyDescent="0.25">
      <c r="A5381">
        <v>979240</v>
      </c>
      <c r="B5381">
        <v>1083972</v>
      </c>
      <c r="D5381">
        <v>0</v>
      </c>
      <c r="E5381" t="s">
        <v>33876</v>
      </c>
      <c r="F5381" t="s">
        <v>33877</v>
      </c>
      <c r="G5381" t="s">
        <v>33878</v>
      </c>
      <c r="H5381" t="e" vm="2346">
        <f>_FV(0,"109593200246948")</f>
        <v>#VALUE!</v>
      </c>
      <c r="I5381" t="s">
        <v>33879</v>
      </c>
      <c r="J5381" t="s">
        <v>33880</v>
      </c>
      <c r="K5381" t="s">
        <v>33881</v>
      </c>
      <c r="L5381" t="s">
        <v>33875</v>
      </c>
    </row>
    <row r="5382" spans="1:12" x14ac:dyDescent="0.25">
      <c r="A5382">
        <v>979244</v>
      </c>
      <c r="B5382">
        <v>979256</v>
      </c>
      <c r="D5382">
        <v>0</v>
      </c>
      <c r="E5382" t="s">
        <v>33883</v>
      </c>
      <c r="F5382" t="s">
        <v>33884</v>
      </c>
      <c r="G5382" t="s">
        <v>33885</v>
      </c>
      <c r="H5382" t="e" vm="2347">
        <f>_FV(0,"0215562179770278")</f>
        <v>#VALUE!</v>
      </c>
      <c r="I5382" t="s">
        <v>33886</v>
      </c>
      <c r="J5382" t="s">
        <v>33887</v>
      </c>
      <c r="K5382" t="s">
        <v>33888</v>
      </c>
      <c r="L5382" t="s">
        <v>33882</v>
      </c>
    </row>
    <row r="5383" spans="1:12" x14ac:dyDescent="0.25">
      <c r="A5383">
        <v>979244</v>
      </c>
      <c r="B5383">
        <v>1084007</v>
      </c>
      <c r="D5383">
        <v>0</v>
      </c>
      <c r="E5383" t="s">
        <v>33890</v>
      </c>
      <c r="F5383" t="s">
        <v>33891</v>
      </c>
      <c r="G5383" t="s">
        <v>33892</v>
      </c>
      <c r="H5383" t="e" vm="2348">
        <f>_FV(0,"00012142390657885709")</f>
        <v>#VALUE!</v>
      </c>
      <c r="I5383" t="s">
        <v>33893</v>
      </c>
      <c r="J5383" t="s">
        <v>33894</v>
      </c>
      <c r="K5383" t="s">
        <v>33895</v>
      </c>
      <c r="L5383" t="s">
        <v>33889</v>
      </c>
    </row>
    <row r="5384" spans="1:12" x14ac:dyDescent="0.25">
      <c r="A5384">
        <v>979256</v>
      </c>
      <c r="B5384">
        <v>979263</v>
      </c>
      <c r="D5384">
        <v>0</v>
      </c>
      <c r="E5384" t="s">
        <v>33897</v>
      </c>
      <c r="F5384" t="s">
        <v>33898</v>
      </c>
      <c r="G5384" t="s">
        <v>33899</v>
      </c>
      <c r="H5384" t="e" vm="2349">
        <f>_FV(0,"007105495628663562")</f>
        <v>#VALUE!</v>
      </c>
      <c r="I5384" t="s">
        <v>33900</v>
      </c>
      <c r="J5384" t="s">
        <v>33901</v>
      </c>
      <c r="K5384" t="s">
        <v>33902</v>
      </c>
      <c r="L5384" t="s">
        <v>33896</v>
      </c>
    </row>
    <row r="5385" spans="1:12" x14ac:dyDescent="0.25">
      <c r="A5385">
        <v>979256</v>
      </c>
      <c r="B5385">
        <v>1084007</v>
      </c>
      <c r="D5385">
        <v>0</v>
      </c>
      <c r="E5385" t="s">
        <v>33904</v>
      </c>
      <c r="F5385" t="s">
        <v>33905</v>
      </c>
      <c r="G5385" t="s">
        <v>33906</v>
      </c>
      <c r="H5385" t="e" vm="2350">
        <f>_FV(0,"045975248291880766")</f>
        <v>#VALUE!</v>
      </c>
      <c r="I5385" t="s">
        <v>33907</v>
      </c>
      <c r="J5385" t="s">
        <v>33908</v>
      </c>
      <c r="K5385" t="s">
        <v>33909</v>
      </c>
      <c r="L5385" t="s">
        <v>33903</v>
      </c>
    </row>
    <row r="5386" spans="1:12" x14ac:dyDescent="0.25">
      <c r="A5386">
        <v>979263</v>
      </c>
      <c r="B5386">
        <v>965032</v>
      </c>
      <c r="D5386">
        <v>0</v>
      </c>
      <c r="E5386" t="s">
        <v>33911</v>
      </c>
      <c r="F5386" t="s">
        <v>33912</v>
      </c>
      <c r="G5386" t="s">
        <v>33913</v>
      </c>
      <c r="H5386" t="e" vm="2351">
        <f>_FV(0,"0017637302415525055")</f>
        <v>#VALUE!</v>
      </c>
      <c r="I5386" t="s">
        <v>33914</v>
      </c>
      <c r="J5386" t="s">
        <v>33915</v>
      </c>
      <c r="K5386" t="s">
        <v>33916</v>
      </c>
      <c r="L5386" t="s">
        <v>33910</v>
      </c>
    </row>
    <row r="5387" spans="1:12" x14ac:dyDescent="0.25">
      <c r="A5387">
        <v>979263</v>
      </c>
      <c r="B5387">
        <v>1084015</v>
      </c>
      <c r="D5387">
        <v>0</v>
      </c>
      <c r="E5387" t="s">
        <v>33918</v>
      </c>
      <c r="F5387" t="s">
        <v>33919</v>
      </c>
      <c r="G5387" t="s">
        <v>33920</v>
      </c>
      <c r="H5387" t="s">
        <v>33921</v>
      </c>
      <c r="I5387" t="s">
        <v>33922</v>
      </c>
      <c r="J5387" t="s">
        <v>33917</v>
      </c>
      <c r="K5387" t="s">
        <v>33923</v>
      </c>
      <c r="L5387" t="s">
        <v>33917</v>
      </c>
    </row>
    <row r="5388" spans="1:12" x14ac:dyDescent="0.25">
      <c r="A5388">
        <v>965032</v>
      </c>
      <c r="B5388">
        <v>1854895</v>
      </c>
      <c r="D5388">
        <v>0</v>
      </c>
      <c r="E5388" t="s">
        <v>33924</v>
      </c>
      <c r="H5388" t="s">
        <v>187</v>
      </c>
      <c r="J5388">
        <v>0</v>
      </c>
      <c r="K5388" t="s">
        <v>33360</v>
      </c>
      <c r="L5388">
        <v>0</v>
      </c>
    </row>
    <row r="5389" spans="1:12" x14ac:dyDescent="0.25">
      <c r="A5389">
        <v>965032</v>
      </c>
      <c r="B5389">
        <v>1084015</v>
      </c>
      <c r="D5389">
        <v>0</v>
      </c>
      <c r="E5389" t="s">
        <v>33926</v>
      </c>
      <c r="F5389" t="s">
        <v>33927</v>
      </c>
      <c r="G5389" t="s">
        <v>33928</v>
      </c>
      <c r="H5389" t="e" vm="2352">
        <f>_FV(0,"018487194210020826")</f>
        <v>#VALUE!</v>
      </c>
      <c r="I5389" t="s">
        <v>33929</v>
      </c>
      <c r="J5389" t="s">
        <v>33930</v>
      </c>
      <c r="K5389" t="s">
        <v>33931</v>
      </c>
      <c r="L5389" t="s">
        <v>33925</v>
      </c>
    </row>
    <row r="5390" spans="1:12" x14ac:dyDescent="0.25">
      <c r="A5390">
        <v>979285</v>
      </c>
      <c r="B5390">
        <v>967923</v>
      </c>
      <c r="D5390">
        <v>0</v>
      </c>
      <c r="E5390" t="s">
        <v>33933</v>
      </c>
      <c r="F5390" t="s">
        <v>33934</v>
      </c>
      <c r="G5390" t="s">
        <v>33935</v>
      </c>
      <c r="H5390" t="s">
        <v>33936</v>
      </c>
      <c r="I5390" t="s">
        <v>33937</v>
      </c>
      <c r="J5390" t="s">
        <v>33932</v>
      </c>
      <c r="K5390" t="s">
        <v>33938</v>
      </c>
      <c r="L5390" t="s">
        <v>33932</v>
      </c>
    </row>
    <row r="5391" spans="1:12" x14ac:dyDescent="0.25">
      <c r="A5391">
        <v>979285</v>
      </c>
      <c r="B5391">
        <v>967923</v>
      </c>
      <c r="D5391">
        <v>0</v>
      </c>
      <c r="E5391" t="s">
        <v>33940</v>
      </c>
      <c r="F5391" t="s">
        <v>33941</v>
      </c>
      <c r="G5391" t="s">
        <v>33942</v>
      </c>
      <c r="H5391" t="s">
        <v>33943</v>
      </c>
      <c r="I5391" t="s">
        <v>33944</v>
      </c>
      <c r="J5391" t="s">
        <v>33939</v>
      </c>
      <c r="K5391" t="s">
        <v>33945</v>
      </c>
      <c r="L5391" t="s">
        <v>33939</v>
      </c>
    </row>
    <row r="5392" spans="1:12" x14ac:dyDescent="0.25">
      <c r="A5392">
        <v>967923</v>
      </c>
      <c r="B5392">
        <v>979334</v>
      </c>
      <c r="C5392" t="s">
        <v>33947</v>
      </c>
      <c r="D5392">
        <v>0</v>
      </c>
      <c r="E5392" t="s">
        <v>33948</v>
      </c>
      <c r="F5392" t="s">
        <v>33949</v>
      </c>
      <c r="G5392" t="s">
        <v>33950</v>
      </c>
      <c r="H5392" t="e" vm="2353">
        <f>_FV(0,"0023416064944628253")</f>
        <v>#VALUE!</v>
      </c>
      <c r="I5392" t="s">
        <v>33951</v>
      </c>
      <c r="J5392" t="s">
        <v>33952</v>
      </c>
      <c r="K5392" t="s">
        <v>33953</v>
      </c>
      <c r="L5392" t="s">
        <v>33946</v>
      </c>
    </row>
    <row r="5393" spans="1:12" x14ac:dyDescent="0.25">
      <c r="A5393">
        <v>979334</v>
      </c>
      <c r="B5393">
        <v>979343</v>
      </c>
      <c r="D5393">
        <v>0</v>
      </c>
      <c r="E5393" t="s">
        <v>33954</v>
      </c>
      <c r="F5393" t="s">
        <v>33955</v>
      </c>
      <c r="G5393" t="s">
        <v>33956</v>
      </c>
      <c r="H5393" t="e" vm="2354">
        <f>_FV(0,"01650170149589717")</f>
        <v>#VALUE!</v>
      </c>
      <c r="I5393" t="s">
        <v>33957</v>
      </c>
      <c r="J5393" t="s">
        <v>6136</v>
      </c>
      <c r="K5393" t="s">
        <v>33958</v>
      </c>
      <c r="L5393" t="s">
        <v>6131</v>
      </c>
    </row>
    <row r="5394" spans="1:12" x14ac:dyDescent="0.25">
      <c r="A5394">
        <v>979334</v>
      </c>
      <c r="B5394">
        <v>1084100</v>
      </c>
      <c r="D5394">
        <v>0</v>
      </c>
      <c r="E5394" t="s">
        <v>33959</v>
      </c>
      <c r="F5394" t="s">
        <v>33960</v>
      </c>
      <c r="G5394" t="s">
        <v>33961</v>
      </c>
      <c r="H5394" t="e" vm="2355">
        <f>_FV(0,"006614806823967902")</f>
        <v>#VALUE!</v>
      </c>
      <c r="I5394" t="s">
        <v>33962</v>
      </c>
      <c r="J5394" t="s">
        <v>13900</v>
      </c>
      <c r="K5394" t="s">
        <v>33963</v>
      </c>
      <c r="L5394" t="s">
        <v>13895</v>
      </c>
    </row>
    <row r="5395" spans="1:12" x14ac:dyDescent="0.25">
      <c r="A5395">
        <v>979343</v>
      </c>
      <c r="B5395">
        <v>1096376</v>
      </c>
      <c r="D5395">
        <v>0</v>
      </c>
      <c r="F5395">
        <v>1164769</v>
      </c>
      <c r="G5395">
        <v>1096376</v>
      </c>
      <c r="H5395" t="e" vm="2356">
        <f>_FV(-1,"101")</f>
        <v>#VALUE!</v>
      </c>
      <c r="I5395">
        <v>979343</v>
      </c>
      <c r="J5395" t="s">
        <v>33964</v>
      </c>
      <c r="K5395" t="s">
        <v>33965</v>
      </c>
      <c r="L5395" t="e" vm="2356">
        <f>_FV(-1,"101")</f>
        <v>#VALUE!</v>
      </c>
    </row>
    <row r="5396" spans="1:12" x14ac:dyDescent="0.25">
      <c r="A5396">
        <v>979343</v>
      </c>
      <c r="B5396">
        <v>1084100</v>
      </c>
      <c r="D5396">
        <v>0</v>
      </c>
      <c r="E5396" t="s">
        <v>33967</v>
      </c>
      <c r="F5396" t="s">
        <v>33968</v>
      </c>
      <c r="G5396" t="s">
        <v>33969</v>
      </c>
      <c r="H5396" t="e" vm="2357">
        <f>_FV(0,"0224101682604961")</f>
        <v>#VALUE!</v>
      </c>
      <c r="I5396" t="s">
        <v>33970</v>
      </c>
      <c r="J5396" t="s">
        <v>33971</v>
      </c>
      <c r="K5396" t="s">
        <v>33972</v>
      </c>
      <c r="L5396" t="s">
        <v>33966</v>
      </c>
    </row>
    <row r="5397" spans="1:12" x14ac:dyDescent="0.25">
      <c r="A5397">
        <v>980688</v>
      </c>
      <c r="B5397">
        <v>1854819</v>
      </c>
      <c r="C5397" t="s">
        <v>33973</v>
      </c>
      <c r="D5397">
        <v>0</v>
      </c>
      <c r="E5397" t="s">
        <v>33974</v>
      </c>
      <c r="H5397" t="s">
        <v>187</v>
      </c>
      <c r="J5397">
        <v>0</v>
      </c>
      <c r="K5397" t="s">
        <v>33975</v>
      </c>
      <c r="L5397">
        <v>0</v>
      </c>
    </row>
    <row r="5398" spans="1:12" x14ac:dyDescent="0.25">
      <c r="A5398">
        <v>980688</v>
      </c>
      <c r="B5398">
        <v>981021</v>
      </c>
      <c r="D5398">
        <v>0</v>
      </c>
      <c r="E5398" t="s">
        <v>33977</v>
      </c>
      <c r="F5398" t="s">
        <v>33978</v>
      </c>
      <c r="G5398" t="s">
        <v>33979</v>
      </c>
      <c r="H5398" t="s">
        <v>33980</v>
      </c>
      <c r="I5398" t="s">
        <v>33981</v>
      </c>
      <c r="J5398" t="s">
        <v>33976</v>
      </c>
      <c r="K5398" t="s">
        <v>33982</v>
      </c>
      <c r="L5398" t="s">
        <v>33976</v>
      </c>
    </row>
    <row r="5399" spans="1:12" x14ac:dyDescent="0.25">
      <c r="A5399">
        <v>980688</v>
      </c>
      <c r="B5399">
        <v>981042</v>
      </c>
      <c r="D5399">
        <v>0</v>
      </c>
      <c r="E5399" t="s">
        <v>33984</v>
      </c>
      <c r="F5399" t="s">
        <v>33985</v>
      </c>
      <c r="G5399" t="s">
        <v>33986</v>
      </c>
      <c r="H5399" t="s">
        <v>33987</v>
      </c>
      <c r="I5399" t="s">
        <v>33988</v>
      </c>
      <c r="J5399" t="s">
        <v>33983</v>
      </c>
      <c r="K5399" t="s">
        <v>33989</v>
      </c>
      <c r="L5399" t="s">
        <v>33983</v>
      </c>
    </row>
    <row r="5400" spans="1:12" x14ac:dyDescent="0.25">
      <c r="A5400">
        <v>980846</v>
      </c>
      <c r="B5400">
        <v>981136</v>
      </c>
      <c r="D5400">
        <v>0</v>
      </c>
      <c r="E5400" t="s">
        <v>33991</v>
      </c>
      <c r="F5400" t="s">
        <v>33992</v>
      </c>
      <c r="G5400" t="s">
        <v>33993</v>
      </c>
      <c r="H5400" t="e" vm="2358">
        <f>_FV(0,"11774798463730217")</f>
        <v>#VALUE!</v>
      </c>
      <c r="I5400" t="s">
        <v>33994</v>
      </c>
      <c r="J5400" t="s">
        <v>33995</v>
      </c>
      <c r="K5400" t="s">
        <v>33996</v>
      </c>
      <c r="L5400" t="s">
        <v>33990</v>
      </c>
    </row>
    <row r="5401" spans="1:12" x14ac:dyDescent="0.25">
      <c r="A5401">
        <v>980846</v>
      </c>
      <c r="B5401">
        <v>981072</v>
      </c>
      <c r="D5401">
        <v>0</v>
      </c>
      <c r="E5401" t="s">
        <v>33998</v>
      </c>
      <c r="F5401" t="s">
        <v>33999</v>
      </c>
      <c r="G5401" t="s">
        <v>34000</v>
      </c>
      <c r="H5401" t="e" vm="2359">
        <f>_FV(0,"10197967308877538")</f>
        <v>#VALUE!</v>
      </c>
      <c r="I5401" t="s">
        <v>34001</v>
      </c>
      <c r="J5401" t="s">
        <v>34002</v>
      </c>
      <c r="K5401" t="s">
        <v>34003</v>
      </c>
      <c r="L5401" t="s">
        <v>33997</v>
      </c>
    </row>
    <row r="5402" spans="1:12" x14ac:dyDescent="0.25">
      <c r="A5402">
        <v>980846</v>
      </c>
      <c r="B5402">
        <v>1854819</v>
      </c>
      <c r="D5402">
        <v>0</v>
      </c>
      <c r="E5402" t="s">
        <v>34004</v>
      </c>
      <c r="H5402" t="s">
        <v>187</v>
      </c>
      <c r="J5402">
        <v>0</v>
      </c>
      <c r="K5402" t="s">
        <v>33975</v>
      </c>
      <c r="L5402">
        <v>0</v>
      </c>
    </row>
    <row r="5403" spans="1:12" x14ac:dyDescent="0.25">
      <c r="A5403">
        <v>980994</v>
      </c>
      <c r="B5403">
        <v>981021</v>
      </c>
      <c r="D5403">
        <v>0</v>
      </c>
      <c r="E5403" t="s">
        <v>34006</v>
      </c>
      <c r="F5403" t="s">
        <v>34007</v>
      </c>
      <c r="G5403" t="s">
        <v>34008</v>
      </c>
      <c r="H5403" t="s">
        <v>34009</v>
      </c>
      <c r="I5403" t="s">
        <v>34010</v>
      </c>
      <c r="J5403" t="s">
        <v>34011</v>
      </c>
      <c r="K5403" t="s">
        <v>34012</v>
      </c>
      <c r="L5403" t="s">
        <v>34005</v>
      </c>
    </row>
    <row r="5404" spans="1:12" x14ac:dyDescent="0.25">
      <c r="A5404">
        <v>980994</v>
      </c>
      <c r="B5404">
        <v>981050</v>
      </c>
      <c r="D5404">
        <v>0</v>
      </c>
      <c r="E5404" t="s">
        <v>34014</v>
      </c>
      <c r="F5404" t="s">
        <v>34015</v>
      </c>
      <c r="G5404" t="s">
        <v>34016</v>
      </c>
      <c r="H5404" t="e" vm="2360">
        <f>_FV(0,"10658699425880289")</f>
        <v>#VALUE!</v>
      </c>
      <c r="I5404" t="s">
        <v>34017</v>
      </c>
      <c r="J5404" t="s">
        <v>34018</v>
      </c>
      <c r="K5404" t="s">
        <v>34019</v>
      </c>
      <c r="L5404" t="s">
        <v>34013</v>
      </c>
    </row>
    <row r="5405" spans="1:12" x14ac:dyDescent="0.25">
      <c r="A5405">
        <v>980994</v>
      </c>
      <c r="B5405">
        <v>1655795</v>
      </c>
      <c r="D5405">
        <v>0</v>
      </c>
      <c r="E5405" t="s">
        <v>34021</v>
      </c>
      <c r="F5405" t="s">
        <v>34022</v>
      </c>
      <c r="G5405" t="s">
        <v>34023</v>
      </c>
      <c r="H5405" t="s">
        <v>34024</v>
      </c>
      <c r="I5405" t="s">
        <v>34025</v>
      </c>
      <c r="J5405" t="s">
        <v>34026</v>
      </c>
      <c r="K5405" t="s">
        <v>34027</v>
      </c>
      <c r="L5405" t="s">
        <v>34020</v>
      </c>
    </row>
    <row r="5406" spans="1:12" x14ac:dyDescent="0.25">
      <c r="A5406">
        <v>981021</v>
      </c>
      <c r="B5406">
        <v>981042</v>
      </c>
      <c r="D5406">
        <v>0</v>
      </c>
      <c r="E5406" t="s">
        <v>34029</v>
      </c>
      <c r="F5406" t="s">
        <v>34030</v>
      </c>
      <c r="G5406" t="s">
        <v>34031</v>
      </c>
      <c r="H5406" t="e" vm="2361">
        <f>_FV(0,"01884246413474455")</f>
        <v>#VALUE!</v>
      </c>
      <c r="I5406" t="s">
        <v>34032</v>
      </c>
      <c r="J5406" t="s">
        <v>34033</v>
      </c>
      <c r="K5406" t="s">
        <v>34034</v>
      </c>
      <c r="L5406" t="s">
        <v>34028</v>
      </c>
    </row>
    <row r="5407" spans="1:12" x14ac:dyDescent="0.25">
      <c r="A5407">
        <v>981042</v>
      </c>
      <c r="B5407">
        <v>981050</v>
      </c>
      <c r="D5407">
        <v>0</v>
      </c>
      <c r="F5407">
        <v>1026225</v>
      </c>
      <c r="G5407">
        <v>981050</v>
      </c>
      <c r="H5407" t="e" vm="2362">
        <f>_FV(0,"113")</f>
        <v>#VALUE!</v>
      </c>
      <c r="I5407">
        <v>981042</v>
      </c>
      <c r="J5407" t="s">
        <v>34035</v>
      </c>
      <c r="K5407" t="s">
        <v>34036</v>
      </c>
      <c r="L5407" t="e" vm="2362">
        <f>_FV(0,"113")</f>
        <v>#VALUE!</v>
      </c>
    </row>
    <row r="5408" spans="1:12" x14ac:dyDescent="0.25">
      <c r="A5408">
        <v>981050</v>
      </c>
      <c r="B5408">
        <v>1655795</v>
      </c>
      <c r="D5408">
        <v>0</v>
      </c>
      <c r="E5408" t="s">
        <v>34038</v>
      </c>
      <c r="F5408" t="s">
        <v>34039</v>
      </c>
      <c r="G5408" t="s">
        <v>34040</v>
      </c>
      <c r="H5408" t="s">
        <v>34041</v>
      </c>
      <c r="I5408" t="s">
        <v>34042</v>
      </c>
      <c r="J5408" t="s">
        <v>34037</v>
      </c>
      <c r="K5408" t="s">
        <v>34043</v>
      </c>
      <c r="L5408" t="s">
        <v>34037</v>
      </c>
    </row>
    <row r="5409" spans="1:12" x14ac:dyDescent="0.25">
      <c r="A5409">
        <v>981072</v>
      </c>
      <c r="B5409">
        <v>981094</v>
      </c>
      <c r="D5409">
        <v>0</v>
      </c>
      <c r="E5409" t="s">
        <v>34045</v>
      </c>
      <c r="F5409" t="s">
        <v>34046</v>
      </c>
      <c r="G5409" t="s">
        <v>34047</v>
      </c>
      <c r="H5409" t="e" vm="2363">
        <f>_FV(0,"104834952856092")</f>
        <v>#VALUE!</v>
      </c>
      <c r="I5409" t="s">
        <v>34048</v>
      </c>
      <c r="J5409" t="s">
        <v>34049</v>
      </c>
      <c r="K5409" t="s">
        <v>34050</v>
      </c>
      <c r="L5409" t="s">
        <v>34044</v>
      </c>
    </row>
    <row r="5410" spans="1:12" x14ac:dyDescent="0.25">
      <c r="A5410">
        <v>981072</v>
      </c>
      <c r="B5410">
        <v>981136</v>
      </c>
      <c r="D5410">
        <v>0</v>
      </c>
      <c r="E5410" t="s">
        <v>34052</v>
      </c>
      <c r="F5410" t="s">
        <v>34053</v>
      </c>
      <c r="G5410" t="s">
        <v>34054</v>
      </c>
      <c r="H5410" t="s">
        <v>34055</v>
      </c>
      <c r="I5410" t="s">
        <v>34056</v>
      </c>
      <c r="J5410" t="s">
        <v>34051</v>
      </c>
      <c r="K5410" t="s">
        <v>34057</v>
      </c>
      <c r="L5410" t="s">
        <v>34051</v>
      </c>
    </row>
    <row r="5411" spans="1:12" x14ac:dyDescent="0.25">
      <c r="A5411">
        <v>981094</v>
      </c>
      <c r="B5411">
        <v>981107</v>
      </c>
      <c r="D5411">
        <v>0</v>
      </c>
      <c r="E5411" t="s">
        <v>34059</v>
      </c>
      <c r="F5411" t="s">
        <v>34060</v>
      </c>
      <c r="G5411" t="s">
        <v>34061</v>
      </c>
      <c r="H5411" t="e" vm="2364">
        <f>_FV(0,"023865738386663365")</f>
        <v>#VALUE!</v>
      </c>
      <c r="I5411" t="s">
        <v>34062</v>
      </c>
      <c r="J5411" t="s">
        <v>34063</v>
      </c>
      <c r="K5411" t="s">
        <v>34064</v>
      </c>
      <c r="L5411" t="s">
        <v>34058</v>
      </c>
    </row>
    <row r="5412" spans="1:12" x14ac:dyDescent="0.25">
      <c r="A5412">
        <v>981094</v>
      </c>
      <c r="B5412">
        <v>1655832</v>
      </c>
      <c r="D5412">
        <v>0</v>
      </c>
      <c r="E5412" t="s">
        <v>34066</v>
      </c>
      <c r="F5412" t="s">
        <v>34067</v>
      </c>
      <c r="G5412" t="s">
        <v>34068</v>
      </c>
      <c r="H5412" t="e" vm="2365">
        <f>_FV(0,"0536683688833279")</f>
        <v>#VALUE!</v>
      </c>
      <c r="I5412" t="s">
        <v>34069</v>
      </c>
      <c r="J5412" t="s">
        <v>34070</v>
      </c>
      <c r="K5412" t="s">
        <v>34071</v>
      </c>
      <c r="L5412" t="s">
        <v>34065</v>
      </c>
    </row>
    <row r="5413" spans="1:12" x14ac:dyDescent="0.25">
      <c r="A5413">
        <v>981107</v>
      </c>
      <c r="B5413">
        <v>981136</v>
      </c>
      <c r="D5413">
        <v>0</v>
      </c>
      <c r="E5413" t="s">
        <v>34073</v>
      </c>
      <c r="F5413" t="s">
        <v>34074</v>
      </c>
      <c r="G5413" t="s">
        <v>34075</v>
      </c>
      <c r="H5413" t="s">
        <v>34076</v>
      </c>
      <c r="I5413" t="s">
        <v>34077</v>
      </c>
      <c r="J5413" t="s">
        <v>34072</v>
      </c>
      <c r="K5413" t="s">
        <v>34078</v>
      </c>
      <c r="L5413" t="s">
        <v>34072</v>
      </c>
    </row>
    <row r="5414" spans="1:12" x14ac:dyDescent="0.25">
      <c r="A5414">
        <v>981107</v>
      </c>
      <c r="B5414">
        <v>1655832</v>
      </c>
      <c r="D5414">
        <v>0</v>
      </c>
      <c r="E5414" t="s">
        <v>34080</v>
      </c>
      <c r="F5414" t="s">
        <v>34081</v>
      </c>
      <c r="G5414" t="s">
        <v>34082</v>
      </c>
      <c r="H5414" t="e" vm="2366">
        <f>_FV(0,"043811659885286354")</f>
        <v>#VALUE!</v>
      </c>
      <c r="I5414" t="s">
        <v>34083</v>
      </c>
      <c r="J5414" t="s">
        <v>34084</v>
      </c>
      <c r="K5414" t="s">
        <v>34085</v>
      </c>
      <c r="L5414" t="s">
        <v>34079</v>
      </c>
    </row>
    <row r="5415" spans="1:12" x14ac:dyDescent="0.25">
      <c r="A5415">
        <v>981280</v>
      </c>
      <c r="B5415">
        <v>1342897</v>
      </c>
      <c r="D5415">
        <v>0</v>
      </c>
      <c r="E5415" t="s">
        <v>34087</v>
      </c>
      <c r="F5415" t="s">
        <v>34088</v>
      </c>
      <c r="G5415" t="s">
        <v>34089</v>
      </c>
      <c r="H5415" t="s">
        <v>34090</v>
      </c>
      <c r="I5415" t="s">
        <v>34091</v>
      </c>
      <c r="J5415" t="s">
        <v>34086</v>
      </c>
      <c r="K5415" t="s">
        <v>34092</v>
      </c>
      <c r="L5415" t="s">
        <v>34086</v>
      </c>
    </row>
    <row r="5416" spans="1:12" x14ac:dyDescent="0.25">
      <c r="A5416">
        <v>981280</v>
      </c>
      <c r="B5416">
        <v>1342897</v>
      </c>
      <c r="D5416">
        <v>0</v>
      </c>
      <c r="E5416" t="s">
        <v>34094</v>
      </c>
      <c r="F5416" t="s">
        <v>34095</v>
      </c>
      <c r="G5416" t="s">
        <v>34096</v>
      </c>
      <c r="H5416" t="s">
        <v>34097</v>
      </c>
      <c r="I5416" t="s">
        <v>34098</v>
      </c>
      <c r="J5416" t="s">
        <v>34093</v>
      </c>
      <c r="K5416" t="s">
        <v>34099</v>
      </c>
      <c r="L5416" t="s">
        <v>34093</v>
      </c>
    </row>
    <row r="5417" spans="1:12" x14ac:dyDescent="0.25">
      <c r="A5417">
        <v>981280</v>
      </c>
      <c r="B5417">
        <v>1661337</v>
      </c>
      <c r="D5417" t="s">
        <v>34101</v>
      </c>
      <c r="E5417" t="s">
        <v>34102</v>
      </c>
      <c r="F5417" t="s">
        <v>34103</v>
      </c>
      <c r="G5417" t="s">
        <v>34105</v>
      </c>
      <c r="H5417" t="e" vm="2367">
        <f>_FV(0,"005827727711464504")</f>
        <v>#VALUE!</v>
      </c>
      <c r="I5417" t="s">
        <v>34106</v>
      </c>
      <c r="J5417" t="s">
        <v>34107</v>
      </c>
      <c r="K5417" t="s">
        <v>34108</v>
      </c>
      <c r="L5417" t="s">
        <v>34100</v>
      </c>
    </row>
    <row r="5418" spans="1:12" x14ac:dyDescent="0.25">
      <c r="A5418">
        <v>981995</v>
      </c>
      <c r="B5418">
        <v>1204452</v>
      </c>
      <c r="C5418" t="s">
        <v>34110</v>
      </c>
      <c r="D5418" t="s">
        <v>34111</v>
      </c>
      <c r="E5418" t="s">
        <v>34112</v>
      </c>
      <c r="F5418" t="s">
        <v>34113</v>
      </c>
      <c r="G5418" t="s">
        <v>34114</v>
      </c>
      <c r="H5418" t="e" vm="2368">
        <f>_FV(0,"001232974623946864")</f>
        <v>#VALUE!</v>
      </c>
      <c r="I5418" t="s">
        <v>34115</v>
      </c>
      <c r="J5418" t="s">
        <v>34116</v>
      </c>
      <c r="K5418" t="s">
        <v>34117</v>
      </c>
      <c r="L5418" t="s">
        <v>34109</v>
      </c>
    </row>
    <row r="5419" spans="1:12" x14ac:dyDescent="0.25">
      <c r="A5419">
        <v>982136</v>
      </c>
      <c r="B5419">
        <v>982150</v>
      </c>
      <c r="C5419" t="s">
        <v>34119</v>
      </c>
      <c r="D5419">
        <v>0</v>
      </c>
      <c r="E5419" t="s">
        <v>34120</v>
      </c>
      <c r="F5419" t="s">
        <v>34121</v>
      </c>
      <c r="G5419" t="s">
        <v>34122</v>
      </c>
      <c r="H5419" t="e" vm="2369">
        <f>_FV(0,"02972175297952239")</f>
        <v>#VALUE!</v>
      </c>
      <c r="I5419" t="s">
        <v>34123</v>
      </c>
      <c r="J5419" t="s">
        <v>34124</v>
      </c>
      <c r="K5419" t="s">
        <v>34125</v>
      </c>
      <c r="L5419" t="s">
        <v>34118</v>
      </c>
    </row>
    <row r="5420" spans="1:12" x14ac:dyDescent="0.25">
      <c r="A5420">
        <v>982136</v>
      </c>
      <c r="B5420">
        <v>1655845</v>
      </c>
      <c r="D5420">
        <v>0</v>
      </c>
      <c r="E5420" t="s">
        <v>34127</v>
      </c>
      <c r="F5420" t="s">
        <v>34128</v>
      </c>
      <c r="G5420" t="s">
        <v>34129</v>
      </c>
      <c r="H5420" t="e" vm="2370">
        <f>_FV(0,"006259315690675881")</f>
        <v>#VALUE!</v>
      </c>
      <c r="I5420" t="s">
        <v>34130</v>
      </c>
      <c r="J5420" t="s">
        <v>34131</v>
      </c>
      <c r="K5420" t="s">
        <v>34132</v>
      </c>
      <c r="L5420" t="s">
        <v>34126</v>
      </c>
    </row>
    <row r="5421" spans="1:12" x14ac:dyDescent="0.25">
      <c r="A5421">
        <v>982136</v>
      </c>
      <c r="B5421">
        <v>1655845</v>
      </c>
      <c r="D5421">
        <v>0</v>
      </c>
      <c r="E5421" t="s">
        <v>34134</v>
      </c>
      <c r="F5421" t="s">
        <v>34135</v>
      </c>
      <c r="G5421" t="s">
        <v>34136</v>
      </c>
      <c r="H5421" t="e" vm="2371">
        <f>_FV(0,"006610465792489751")</f>
        <v>#VALUE!</v>
      </c>
      <c r="I5421" t="s">
        <v>34137</v>
      </c>
      <c r="J5421" t="s">
        <v>34138</v>
      </c>
      <c r="K5421" t="s">
        <v>34139</v>
      </c>
      <c r="L5421" t="s">
        <v>34133</v>
      </c>
    </row>
    <row r="5422" spans="1:12" x14ac:dyDescent="0.25">
      <c r="A5422">
        <v>982150</v>
      </c>
      <c r="B5422">
        <v>982932</v>
      </c>
      <c r="D5422">
        <v>0</v>
      </c>
      <c r="E5422" t="s">
        <v>34141</v>
      </c>
      <c r="F5422" t="s">
        <v>34142</v>
      </c>
      <c r="G5422" t="s">
        <v>34143</v>
      </c>
      <c r="H5422" t="e" vm="2372">
        <f>_FV(0,"12232050114314603")</f>
        <v>#VALUE!</v>
      </c>
      <c r="I5422" t="s">
        <v>34144</v>
      </c>
      <c r="J5422" t="s">
        <v>34145</v>
      </c>
      <c r="K5422" t="s">
        <v>34146</v>
      </c>
      <c r="L5422" t="s">
        <v>34140</v>
      </c>
    </row>
    <row r="5423" spans="1:12" x14ac:dyDescent="0.25">
      <c r="A5423">
        <v>982150</v>
      </c>
      <c r="B5423">
        <v>982902</v>
      </c>
      <c r="D5423">
        <v>0</v>
      </c>
      <c r="E5423" t="s">
        <v>34148</v>
      </c>
      <c r="F5423" t="s">
        <v>34149</v>
      </c>
      <c r="G5423" t="s">
        <v>34150</v>
      </c>
      <c r="H5423" t="e" vm="2373">
        <f>_FV(0,"09834356438676993")</f>
        <v>#VALUE!</v>
      </c>
      <c r="I5423" t="s">
        <v>34151</v>
      </c>
      <c r="J5423" t="s">
        <v>34152</v>
      </c>
      <c r="K5423" t="s">
        <v>34153</v>
      </c>
      <c r="L5423" t="s">
        <v>34147</v>
      </c>
    </row>
    <row r="5424" spans="1:12" x14ac:dyDescent="0.25">
      <c r="A5424">
        <v>982247</v>
      </c>
      <c r="B5424">
        <v>982265</v>
      </c>
      <c r="D5424">
        <v>0</v>
      </c>
      <c r="E5424" t="s">
        <v>34155</v>
      </c>
      <c r="F5424" t="s">
        <v>34156</v>
      </c>
      <c r="G5424" t="s">
        <v>34157</v>
      </c>
      <c r="H5424" t="s">
        <v>34158</v>
      </c>
      <c r="I5424" t="s">
        <v>34159</v>
      </c>
      <c r="J5424" t="s">
        <v>34154</v>
      </c>
      <c r="K5424" t="s">
        <v>34160</v>
      </c>
      <c r="L5424" t="s">
        <v>34154</v>
      </c>
    </row>
    <row r="5425" spans="1:12" x14ac:dyDescent="0.25">
      <c r="A5425">
        <v>982247</v>
      </c>
      <c r="B5425">
        <v>982276</v>
      </c>
      <c r="D5425">
        <v>0</v>
      </c>
      <c r="E5425" t="s">
        <v>34161</v>
      </c>
      <c r="F5425" t="s">
        <v>34162</v>
      </c>
      <c r="G5425" t="s">
        <v>34163</v>
      </c>
      <c r="H5425" t="s">
        <v>34164</v>
      </c>
      <c r="I5425" t="s">
        <v>34165</v>
      </c>
      <c r="J5425" t="s">
        <v>13009</v>
      </c>
      <c r="K5425" t="s">
        <v>34166</v>
      </c>
      <c r="L5425" t="s">
        <v>13009</v>
      </c>
    </row>
    <row r="5426" spans="1:12" x14ac:dyDescent="0.25">
      <c r="A5426">
        <v>982247</v>
      </c>
      <c r="B5426">
        <v>982379</v>
      </c>
      <c r="D5426">
        <v>0</v>
      </c>
      <c r="E5426" t="s">
        <v>34168</v>
      </c>
      <c r="F5426" t="s">
        <v>34169</v>
      </c>
      <c r="G5426" t="s">
        <v>34170</v>
      </c>
      <c r="H5426" t="s">
        <v>34171</v>
      </c>
      <c r="I5426" t="s">
        <v>34172</v>
      </c>
      <c r="J5426" t="s">
        <v>34167</v>
      </c>
      <c r="K5426" t="s">
        <v>34173</v>
      </c>
      <c r="L5426" t="s">
        <v>34167</v>
      </c>
    </row>
    <row r="5427" spans="1:12" x14ac:dyDescent="0.25">
      <c r="A5427">
        <v>982265</v>
      </c>
      <c r="B5427">
        <v>1854859</v>
      </c>
      <c r="D5427">
        <v>0</v>
      </c>
      <c r="E5427" t="s">
        <v>34174</v>
      </c>
      <c r="H5427" t="s">
        <v>187</v>
      </c>
      <c r="J5427">
        <v>0</v>
      </c>
      <c r="K5427" t="s">
        <v>21033</v>
      </c>
      <c r="L5427">
        <v>0</v>
      </c>
    </row>
    <row r="5428" spans="1:12" x14ac:dyDescent="0.25">
      <c r="A5428">
        <v>982265</v>
      </c>
      <c r="B5428">
        <v>982276</v>
      </c>
      <c r="D5428">
        <v>0</v>
      </c>
      <c r="E5428" t="s">
        <v>34176</v>
      </c>
      <c r="F5428" t="s">
        <v>34177</v>
      </c>
      <c r="G5428" t="s">
        <v>34178</v>
      </c>
      <c r="H5428" t="s">
        <v>34179</v>
      </c>
      <c r="I5428" t="s">
        <v>34180</v>
      </c>
      <c r="J5428" t="s">
        <v>34175</v>
      </c>
      <c r="K5428" t="s">
        <v>34181</v>
      </c>
      <c r="L5428" t="s">
        <v>34175</v>
      </c>
    </row>
    <row r="5429" spans="1:12" x14ac:dyDescent="0.25">
      <c r="A5429">
        <v>982276</v>
      </c>
      <c r="B5429">
        <v>982335</v>
      </c>
      <c r="D5429">
        <v>0</v>
      </c>
      <c r="E5429" t="s">
        <v>34183</v>
      </c>
      <c r="F5429" t="s">
        <v>34184</v>
      </c>
      <c r="G5429" t="s">
        <v>34185</v>
      </c>
      <c r="H5429" t="e" vm="2374">
        <f>_FV(0,"01436079770276074")</f>
        <v>#VALUE!</v>
      </c>
      <c r="I5429" t="s">
        <v>34186</v>
      </c>
      <c r="J5429" t="s">
        <v>34187</v>
      </c>
      <c r="K5429" t="s">
        <v>34188</v>
      </c>
      <c r="L5429" t="s">
        <v>34182</v>
      </c>
    </row>
    <row r="5430" spans="1:12" x14ac:dyDescent="0.25">
      <c r="A5430">
        <v>982297</v>
      </c>
      <c r="B5430">
        <v>982335</v>
      </c>
      <c r="D5430">
        <v>0</v>
      </c>
      <c r="E5430" t="s">
        <v>34190</v>
      </c>
      <c r="F5430" t="s">
        <v>34191</v>
      </c>
      <c r="G5430" t="s">
        <v>34192</v>
      </c>
      <c r="H5430" t="e" vm="2375">
        <f>_FV(0,"016569965927926943")</f>
        <v>#VALUE!</v>
      </c>
      <c r="I5430" t="s">
        <v>34193</v>
      </c>
      <c r="J5430" t="s">
        <v>34194</v>
      </c>
      <c r="K5430" t="s">
        <v>34195</v>
      </c>
      <c r="L5430" t="s">
        <v>34189</v>
      </c>
    </row>
    <row r="5431" spans="1:12" x14ac:dyDescent="0.25">
      <c r="A5431">
        <v>982297</v>
      </c>
      <c r="B5431">
        <v>982379</v>
      </c>
      <c r="D5431">
        <v>0</v>
      </c>
      <c r="E5431" t="s">
        <v>34197</v>
      </c>
      <c r="F5431" t="s">
        <v>34198</v>
      </c>
      <c r="G5431" t="s">
        <v>34199</v>
      </c>
      <c r="H5431" t="e" vm="2376">
        <f>_FV(0,"016470984611066032")</f>
        <v>#VALUE!</v>
      </c>
      <c r="I5431" t="s">
        <v>34200</v>
      </c>
      <c r="J5431" t="s">
        <v>34201</v>
      </c>
      <c r="K5431" t="s">
        <v>34202</v>
      </c>
      <c r="L5431" t="s">
        <v>34196</v>
      </c>
    </row>
    <row r="5432" spans="1:12" x14ac:dyDescent="0.25">
      <c r="A5432">
        <v>982313</v>
      </c>
      <c r="B5432">
        <v>1263183</v>
      </c>
      <c r="D5432" t="s">
        <v>34204</v>
      </c>
      <c r="E5432" t="s">
        <v>34205</v>
      </c>
      <c r="F5432" t="s">
        <v>34206</v>
      </c>
      <c r="G5432" t="s">
        <v>34207</v>
      </c>
      <c r="H5432" t="e" vm="2377">
        <f>_FV(0,"000640946858309654")</f>
        <v>#VALUE!</v>
      </c>
      <c r="I5432" t="s">
        <v>34208</v>
      </c>
      <c r="J5432" t="s">
        <v>34209</v>
      </c>
      <c r="K5432" t="s">
        <v>34210</v>
      </c>
      <c r="L5432" t="s">
        <v>34203</v>
      </c>
    </row>
    <row r="5433" spans="1:12" x14ac:dyDescent="0.25">
      <c r="A5433">
        <v>982313</v>
      </c>
      <c r="B5433">
        <v>1854841</v>
      </c>
      <c r="C5433" t="s">
        <v>34211</v>
      </c>
      <c r="D5433">
        <v>0</v>
      </c>
      <c r="E5433" t="s">
        <v>34212</v>
      </c>
      <c r="H5433" t="s">
        <v>187</v>
      </c>
      <c r="J5433">
        <v>0</v>
      </c>
      <c r="K5433" t="s">
        <v>34213</v>
      </c>
      <c r="L5433">
        <v>0</v>
      </c>
    </row>
    <row r="5434" spans="1:12" x14ac:dyDescent="0.25">
      <c r="A5434">
        <v>982335</v>
      </c>
      <c r="B5434">
        <v>982379</v>
      </c>
      <c r="D5434">
        <v>0</v>
      </c>
      <c r="E5434" t="s">
        <v>34215</v>
      </c>
      <c r="F5434" t="s">
        <v>34216</v>
      </c>
      <c r="G5434" t="s">
        <v>34217</v>
      </c>
      <c r="H5434" t="e" vm="2378">
        <f>_FV(0,"0056769527360776")</f>
        <v>#VALUE!</v>
      </c>
      <c r="I5434" t="s">
        <v>34218</v>
      </c>
      <c r="J5434" t="s">
        <v>31346</v>
      </c>
      <c r="K5434" t="s">
        <v>34219</v>
      </c>
      <c r="L5434" t="s">
        <v>34214</v>
      </c>
    </row>
    <row r="5435" spans="1:12" x14ac:dyDescent="0.25">
      <c r="A5435">
        <v>982469</v>
      </c>
      <c r="B5435">
        <v>1854821</v>
      </c>
      <c r="C5435" t="s">
        <v>34220</v>
      </c>
      <c r="D5435">
        <v>0</v>
      </c>
      <c r="E5435" t="s">
        <v>34221</v>
      </c>
      <c r="H5435" t="s">
        <v>187</v>
      </c>
      <c r="J5435">
        <v>0</v>
      </c>
      <c r="K5435" t="s">
        <v>31575</v>
      </c>
      <c r="L5435">
        <v>0</v>
      </c>
    </row>
    <row r="5436" spans="1:12" x14ac:dyDescent="0.25">
      <c r="A5436">
        <v>982684</v>
      </c>
      <c r="B5436">
        <v>982690</v>
      </c>
      <c r="D5436">
        <v>0</v>
      </c>
      <c r="E5436" t="s">
        <v>34223</v>
      </c>
      <c r="F5436" t="s">
        <v>34224</v>
      </c>
      <c r="G5436" t="s">
        <v>34225</v>
      </c>
      <c r="H5436" t="e" vm="2379">
        <f>_FV(0,"005869649833485978")</f>
        <v>#VALUE!</v>
      </c>
      <c r="I5436" t="s">
        <v>34226</v>
      </c>
      <c r="J5436" t="s">
        <v>34227</v>
      </c>
      <c r="K5436" t="s">
        <v>34228</v>
      </c>
      <c r="L5436" t="s">
        <v>34222</v>
      </c>
    </row>
    <row r="5437" spans="1:12" x14ac:dyDescent="0.25">
      <c r="A5437">
        <v>982684</v>
      </c>
      <c r="B5437">
        <v>1209240</v>
      </c>
      <c r="D5437">
        <v>0</v>
      </c>
      <c r="E5437" t="s">
        <v>34230</v>
      </c>
      <c r="F5437" t="s">
        <v>34231</v>
      </c>
      <c r="G5437" t="s">
        <v>34232</v>
      </c>
      <c r="H5437" t="e" vm="2380">
        <f>_FV(0,"05459388119219365")</f>
        <v>#VALUE!</v>
      </c>
      <c r="I5437" t="s">
        <v>34233</v>
      </c>
      <c r="J5437" t="s">
        <v>34234</v>
      </c>
      <c r="K5437" t="s">
        <v>34235</v>
      </c>
      <c r="L5437" t="s">
        <v>34229</v>
      </c>
    </row>
    <row r="5438" spans="1:12" x14ac:dyDescent="0.25">
      <c r="A5438">
        <v>982684</v>
      </c>
      <c r="B5438">
        <v>1218699</v>
      </c>
      <c r="D5438">
        <v>0</v>
      </c>
      <c r="E5438" t="s">
        <v>34237</v>
      </c>
      <c r="F5438" t="s">
        <v>34238</v>
      </c>
      <c r="G5438" t="s">
        <v>34239</v>
      </c>
      <c r="H5438" t="e" vm="2381">
        <f>_FV(0,"05707690452642392")</f>
        <v>#VALUE!</v>
      </c>
      <c r="I5438" t="s">
        <v>34240</v>
      </c>
      <c r="J5438" t="s">
        <v>34241</v>
      </c>
      <c r="K5438" t="s">
        <v>34242</v>
      </c>
      <c r="L5438" t="s">
        <v>34236</v>
      </c>
    </row>
    <row r="5439" spans="1:12" x14ac:dyDescent="0.25">
      <c r="A5439">
        <v>982690</v>
      </c>
      <c r="B5439">
        <v>982718</v>
      </c>
      <c r="D5439">
        <v>0</v>
      </c>
      <c r="E5439" t="s">
        <v>34244</v>
      </c>
      <c r="F5439" t="s">
        <v>34245</v>
      </c>
      <c r="G5439" t="s">
        <v>34246</v>
      </c>
      <c r="H5439" t="e" vm="2382">
        <f>_FV(0,"022073288978662703")</f>
        <v>#VALUE!</v>
      </c>
      <c r="I5439" t="s">
        <v>34247</v>
      </c>
      <c r="J5439" t="s">
        <v>34248</v>
      </c>
      <c r="K5439" t="s">
        <v>34249</v>
      </c>
      <c r="L5439" t="s">
        <v>34243</v>
      </c>
    </row>
    <row r="5440" spans="1:12" x14ac:dyDescent="0.25">
      <c r="A5440">
        <v>982690</v>
      </c>
      <c r="B5440">
        <v>982718</v>
      </c>
      <c r="D5440">
        <v>0</v>
      </c>
      <c r="E5440" t="s">
        <v>34251</v>
      </c>
      <c r="F5440" t="s">
        <v>34252</v>
      </c>
      <c r="G5440" t="s">
        <v>34253</v>
      </c>
      <c r="H5440" t="e" vm="2383">
        <f>_FV(0,"02249277007574414")</f>
        <v>#VALUE!</v>
      </c>
      <c r="I5440" t="s">
        <v>34254</v>
      </c>
      <c r="J5440" t="s">
        <v>34255</v>
      </c>
      <c r="K5440" t="s">
        <v>34256</v>
      </c>
      <c r="L5440" t="s">
        <v>34250</v>
      </c>
    </row>
    <row r="5441" spans="1:12" x14ac:dyDescent="0.25">
      <c r="A5441">
        <v>982718</v>
      </c>
      <c r="B5441">
        <v>1215615</v>
      </c>
      <c r="D5441">
        <v>0</v>
      </c>
      <c r="E5441" t="s">
        <v>34258</v>
      </c>
      <c r="F5441" t="s">
        <v>34259</v>
      </c>
      <c r="G5441" t="s">
        <v>34260</v>
      </c>
      <c r="H5441" t="e" vm="2384">
        <f>_FV(0,"006546934303680909")</f>
        <v>#VALUE!</v>
      </c>
      <c r="I5441" t="s">
        <v>34261</v>
      </c>
      <c r="J5441" t="s">
        <v>34262</v>
      </c>
      <c r="K5441" t="s">
        <v>34263</v>
      </c>
      <c r="L5441" t="s">
        <v>34257</v>
      </c>
    </row>
    <row r="5442" spans="1:12" x14ac:dyDescent="0.25">
      <c r="A5442">
        <v>982778</v>
      </c>
      <c r="B5442">
        <v>982868</v>
      </c>
      <c r="D5442">
        <v>0</v>
      </c>
      <c r="E5442" t="s">
        <v>34265</v>
      </c>
      <c r="F5442" t="s">
        <v>34266</v>
      </c>
      <c r="G5442" t="s">
        <v>34267</v>
      </c>
      <c r="H5442" t="s">
        <v>34268</v>
      </c>
      <c r="I5442" t="s">
        <v>34269</v>
      </c>
      <c r="J5442" t="s">
        <v>34270</v>
      </c>
      <c r="K5442" t="s">
        <v>34271</v>
      </c>
      <c r="L5442" t="s">
        <v>34264</v>
      </c>
    </row>
    <row r="5443" spans="1:12" x14ac:dyDescent="0.25">
      <c r="A5443">
        <v>982778</v>
      </c>
      <c r="B5443">
        <v>983026</v>
      </c>
      <c r="D5443">
        <v>0</v>
      </c>
      <c r="E5443" t="s">
        <v>34273</v>
      </c>
      <c r="F5443" t="s">
        <v>34274</v>
      </c>
      <c r="G5443" t="s">
        <v>34275</v>
      </c>
      <c r="H5443" t="e" vm="2385">
        <f>_FV(0,"007405450039775178")</f>
        <v>#VALUE!</v>
      </c>
      <c r="I5443" t="s">
        <v>34276</v>
      </c>
      <c r="J5443" t="s">
        <v>34277</v>
      </c>
      <c r="K5443" t="s">
        <v>34278</v>
      </c>
      <c r="L5443" t="s">
        <v>34272</v>
      </c>
    </row>
    <row r="5444" spans="1:12" x14ac:dyDescent="0.25">
      <c r="A5444">
        <v>982778</v>
      </c>
      <c r="B5444">
        <v>983044</v>
      </c>
      <c r="D5444">
        <v>0</v>
      </c>
      <c r="E5444" t="s">
        <v>34280</v>
      </c>
      <c r="F5444" t="s">
        <v>34281</v>
      </c>
      <c r="G5444" t="s">
        <v>34282</v>
      </c>
      <c r="H5444" t="e" vm="2386">
        <f>_FV(0,"0034824876869385905")</f>
        <v>#VALUE!</v>
      </c>
      <c r="I5444" t="s">
        <v>34283</v>
      </c>
      <c r="J5444" t="s">
        <v>25684</v>
      </c>
      <c r="K5444" t="s">
        <v>34284</v>
      </c>
      <c r="L5444" t="s">
        <v>34279</v>
      </c>
    </row>
    <row r="5445" spans="1:12" x14ac:dyDescent="0.25">
      <c r="A5445">
        <v>982868</v>
      </c>
      <c r="B5445">
        <v>1656205</v>
      </c>
      <c r="D5445">
        <v>0</v>
      </c>
      <c r="E5445" t="s">
        <v>34285</v>
      </c>
      <c r="F5445" t="s">
        <v>34286</v>
      </c>
      <c r="G5445" t="s">
        <v>34287</v>
      </c>
      <c r="H5445" t="s">
        <v>34288</v>
      </c>
      <c r="I5445" t="s">
        <v>34289</v>
      </c>
      <c r="J5445" t="s">
        <v>24070</v>
      </c>
      <c r="K5445" t="s">
        <v>34290</v>
      </c>
      <c r="L5445" t="s">
        <v>24070</v>
      </c>
    </row>
    <row r="5446" spans="1:12" x14ac:dyDescent="0.25">
      <c r="A5446">
        <v>982868</v>
      </c>
      <c r="B5446">
        <v>1664980</v>
      </c>
      <c r="D5446">
        <v>0</v>
      </c>
      <c r="E5446" t="s">
        <v>34292</v>
      </c>
      <c r="F5446" t="s">
        <v>34293</v>
      </c>
      <c r="G5446" t="s">
        <v>34294</v>
      </c>
      <c r="H5446" t="s">
        <v>34295</v>
      </c>
      <c r="I5446" t="s">
        <v>34296</v>
      </c>
      <c r="J5446" t="s">
        <v>34291</v>
      </c>
      <c r="K5446" t="s">
        <v>34297</v>
      </c>
      <c r="L5446" t="s">
        <v>34291</v>
      </c>
    </row>
    <row r="5447" spans="1:12" x14ac:dyDescent="0.25">
      <c r="A5447">
        <v>982902</v>
      </c>
      <c r="B5447">
        <v>982932</v>
      </c>
      <c r="D5447">
        <v>0</v>
      </c>
      <c r="E5447" t="s">
        <v>34299</v>
      </c>
      <c r="F5447" t="s">
        <v>34300</v>
      </c>
      <c r="G5447" t="s">
        <v>34301</v>
      </c>
      <c r="H5447" t="s">
        <v>34302</v>
      </c>
      <c r="I5447" t="s">
        <v>34303</v>
      </c>
      <c r="J5447" t="s">
        <v>34304</v>
      </c>
      <c r="K5447" t="s">
        <v>34305</v>
      </c>
      <c r="L5447" t="s">
        <v>34298</v>
      </c>
    </row>
    <row r="5448" spans="1:12" x14ac:dyDescent="0.25">
      <c r="A5448">
        <v>982945</v>
      </c>
      <c r="B5448">
        <v>982946</v>
      </c>
      <c r="D5448">
        <v>0</v>
      </c>
      <c r="F5448">
        <v>1028514</v>
      </c>
      <c r="G5448">
        <v>982946</v>
      </c>
      <c r="H5448" t="e" vm="215">
        <f>_FV(0,"02")</f>
        <v>#VALUE!</v>
      </c>
      <c r="I5448">
        <v>982945</v>
      </c>
      <c r="J5448" t="s">
        <v>3317</v>
      </c>
      <c r="K5448" t="s">
        <v>34306</v>
      </c>
      <c r="L5448" t="e" vm="215">
        <f>_FV(0,"02")</f>
        <v>#VALUE!</v>
      </c>
    </row>
    <row r="5449" spans="1:12" x14ac:dyDescent="0.25">
      <c r="A5449">
        <v>982945</v>
      </c>
      <c r="B5449">
        <v>982982</v>
      </c>
      <c r="D5449">
        <v>0</v>
      </c>
      <c r="E5449" t="s">
        <v>34308</v>
      </c>
      <c r="F5449" t="s">
        <v>34309</v>
      </c>
      <c r="G5449" t="s">
        <v>34310</v>
      </c>
      <c r="H5449" t="s">
        <v>34311</v>
      </c>
      <c r="I5449" t="s">
        <v>34312</v>
      </c>
      <c r="J5449" t="s">
        <v>34307</v>
      </c>
      <c r="K5449" t="s">
        <v>34313</v>
      </c>
      <c r="L5449" t="s">
        <v>34307</v>
      </c>
    </row>
    <row r="5450" spans="1:12" x14ac:dyDescent="0.25">
      <c r="A5450">
        <v>982945</v>
      </c>
      <c r="B5450">
        <v>1455225</v>
      </c>
      <c r="D5450">
        <v>0</v>
      </c>
      <c r="E5450" t="s">
        <v>34315</v>
      </c>
      <c r="F5450" t="s">
        <v>34316</v>
      </c>
      <c r="G5450" t="s">
        <v>34317</v>
      </c>
      <c r="H5450" t="e" vm="2387">
        <f>_FV(0,"15550228280035044")</f>
        <v>#VALUE!</v>
      </c>
      <c r="I5450" t="s">
        <v>34318</v>
      </c>
      <c r="J5450" t="s">
        <v>34319</v>
      </c>
      <c r="K5450" t="s">
        <v>34320</v>
      </c>
      <c r="L5450" t="s">
        <v>34314</v>
      </c>
    </row>
    <row r="5451" spans="1:12" x14ac:dyDescent="0.25">
      <c r="A5451">
        <v>982946</v>
      </c>
      <c r="B5451">
        <v>982959</v>
      </c>
      <c r="D5451">
        <v>0</v>
      </c>
      <c r="E5451" t="s">
        <v>34322</v>
      </c>
      <c r="F5451" t="s">
        <v>34323</v>
      </c>
      <c r="G5451" t="s">
        <v>34324</v>
      </c>
      <c r="H5451" t="e" vm="2388">
        <f>_FV(0,"0901676616213361")</f>
        <v>#VALUE!</v>
      </c>
      <c r="I5451" t="s">
        <v>34325</v>
      </c>
      <c r="J5451" t="s">
        <v>34326</v>
      </c>
      <c r="K5451" t="s">
        <v>34327</v>
      </c>
      <c r="L5451" t="s">
        <v>34321</v>
      </c>
    </row>
    <row r="5452" spans="1:12" x14ac:dyDescent="0.25">
      <c r="A5452">
        <v>982946</v>
      </c>
      <c r="B5452">
        <v>1455254</v>
      </c>
      <c r="D5452">
        <v>0</v>
      </c>
      <c r="E5452" t="s">
        <v>34329</v>
      </c>
      <c r="F5452" t="s">
        <v>34330</v>
      </c>
      <c r="G5452" t="s">
        <v>34331</v>
      </c>
      <c r="H5452" t="s">
        <v>34332</v>
      </c>
      <c r="I5452" t="s">
        <v>34333</v>
      </c>
      <c r="J5452" t="s">
        <v>34334</v>
      </c>
      <c r="K5452" t="s">
        <v>34335</v>
      </c>
      <c r="L5452" t="s">
        <v>34328</v>
      </c>
    </row>
    <row r="5453" spans="1:12" x14ac:dyDescent="0.25">
      <c r="A5453">
        <v>982959</v>
      </c>
      <c r="B5453">
        <v>982982</v>
      </c>
      <c r="D5453">
        <v>0</v>
      </c>
      <c r="E5453" t="s">
        <v>34337</v>
      </c>
      <c r="F5453" t="s">
        <v>34338</v>
      </c>
      <c r="G5453" t="s">
        <v>34339</v>
      </c>
      <c r="H5453" t="s">
        <v>34340</v>
      </c>
      <c r="I5453" t="s">
        <v>34341</v>
      </c>
      <c r="J5453" t="s">
        <v>34342</v>
      </c>
      <c r="K5453" t="s">
        <v>34343</v>
      </c>
      <c r="L5453" t="s">
        <v>34336</v>
      </c>
    </row>
    <row r="5454" spans="1:12" x14ac:dyDescent="0.25">
      <c r="A5454">
        <v>982959</v>
      </c>
      <c r="B5454">
        <v>1455254</v>
      </c>
      <c r="D5454">
        <v>0</v>
      </c>
      <c r="E5454" t="s">
        <v>34345</v>
      </c>
      <c r="F5454" t="s">
        <v>34346</v>
      </c>
      <c r="G5454" t="s">
        <v>34347</v>
      </c>
      <c r="H5454" t="s">
        <v>34348</v>
      </c>
      <c r="I5454" t="s">
        <v>34349</v>
      </c>
      <c r="J5454" t="s">
        <v>34350</v>
      </c>
      <c r="K5454" t="s">
        <v>34351</v>
      </c>
      <c r="L5454" t="s">
        <v>34344</v>
      </c>
    </row>
    <row r="5455" spans="1:12" x14ac:dyDescent="0.25">
      <c r="A5455">
        <v>982982</v>
      </c>
      <c r="B5455">
        <v>1455225</v>
      </c>
      <c r="D5455">
        <v>0</v>
      </c>
      <c r="E5455" t="s">
        <v>34353</v>
      </c>
      <c r="F5455" t="s">
        <v>34354</v>
      </c>
      <c r="G5455" t="s">
        <v>34355</v>
      </c>
      <c r="H5455" t="e" vm="2389">
        <f>_FV(0,"17737781316622153")</f>
        <v>#VALUE!</v>
      </c>
      <c r="I5455" t="s">
        <v>34356</v>
      </c>
      <c r="J5455" t="s">
        <v>34357</v>
      </c>
      <c r="K5455" t="s">
        <v>34358</v>
      </c>
      <c r="L5455" t="s">
        <v>34352</v>
      </c>
    </row>
    <row r="5456" spans="1:12" x14ac:dyDescent="0.25">
      <c r="A5456">
        <v>982999</v>
      </c>
      <c r="B5456">
        <v>983026</v>
      </c>
      <c r="D5456">
        <v>0</v>
      </c>
      <c r="E5456" t="s">
        <v>34360</v>
      </c>
      <c r="F5456" t="s">
        <v>34361</v>
      </c>
      <c r="G5456" t="s">
        <v>34362</v>
      </c>
      <c r="H5456" t="s">
        <v>34363</v>
      </c>
      <c r="I5456" t="s">
        <v>34364</v>
      </c>
      <c r="J5456" t="s">
        <v>34365</v>
      </c>
      <c r="K5456" t="s">
        <v>34366</v>
      </c>
      <c r="L5456" t="s">
        <v>34359</v>
      </c>
    </row>
    <row r="5457" spans="1:12" x14ac:dyDescent="0.25">
      <c r="A5457">
        <v>982999</v>
      </c>
      <c r="B5457">
        <v>983068</v>
      </c>
      <c r="D5457">
        <v>0</v>
      </c>
      <c r="E5457" t="s">
        <v>34367</v>
      </c>
      <c r="F5457" t="s">
        <v>34368</v>
      </c>
      <c r="G5457" t="s">
        <v>34369</v>
      </c>
      <c r="H5457" t="s">
        <v>34370</v>
      </c>
      <c r="I5457" t="s">
        <v>34371</v>
      </c>
      <c r="J5457" t="s">
        <v>1281</v>
      </c>
      <c r="K5457" t="s">
        <v>34372</v>
      </c>
      <c r="L5457" t="s">
        <v>1281</v>
      </c>
    </row>
    <row r="5458" spans="1:12" x14ac:dyDescent="0.25">
      <c r="A5458">
        <v>982999</v>
      </c>
      <c r="B5458">
        <v>1656119</v>
      </c>
      <c r="D5458">
        <v>0</v>
      </c>
      <c r="E5458" t="s">
        <v>34374</v>
      </c>
      <c r="F5458" t="s">
        <v>34375</v>
      </c>
      <c r="G5458" t="s">
        <v>34376</v>
      </c>
      <c r="H5458" t="s">
        <v>34377</v>
      </c>
      <c r="I5458" t="s">
        <v>34378</v>
      </c>
      <c r="J5458" t="s">
        <v>34373</v>
      </c>
      <c r="K5458" t="s">
        <v>34379</v>
      </c>
      <c r="L5458" t="s">
        <v>34373</v>
      </c>
    </row>
    <row r="5459" spans="1:12" x14ac:dyDescent="0.25">
      <c r="A5459">
        <v>983026</v>
      </c>
      <c r="B5459">
        <v>983044</v>
      </c>
      <c r="D5459">
        <v>0</v>
      </c>
      <c r="E5459" t="s">
        <v>34381</v>
      </c>
      <c r="F5459" t="s">
        <v>34382</v>
      </c>
      <c r="G5459" t="s">
        <v>34383</v>
      </c>
      <c r="H5459" t="e" vm="2390">
        <f>_FV(0,"015515824723659505")</f>
        <v>#VALUE!</v>
      </c>
      <c r="I5459" t="s">
        <v>34384</v>
      </c>
      <c r="J5459" t="s">
        <v>34385</v>
      </c>
      <c r="K5459" t="s">
        <v>34386</v>
      </c>
      <c r="L5459" t="s">
        <v>34380</v>
      </c>
    </row>
    <row r="5460" spans="1:12" x14ac:dyDescent="0.25">
      <c r="A5460">
        <v>983044</v>
      </c>
      <c r="B5460">
        <v>983068</v>
      </c>
      <c r="D5460">
        <v>0</v>
      </c>
      <c r="E5460" t="s">
        <v>34388</v>
      </c>
      <c r="F5460" t="s">
        <v>34389</v>
      </c>
      <c r="G5460" t="s">
        <v>34390</v>
      </c>
      <c r="H5460" t="s">
        <v>34391</v>
      </c>
      <c r="I5460" t="s">
        <v>34392</v>
      </c>
      <c r="J5460" t="s">
        <v>34393</v>
      </c>
      <c r="K5460" t="s">
        <v>34394</v>
      </c>
      <c r="L5460" t="s">
        <v>34387</v>
      </c>
    </row>
    <row r="5461" spans="1:12" x14ac:dyDescent="0.25">
      <c r="A5461">
        <v>983068</v>
      </c>
      <c r="B5461">
        <v>1656119</v>
      </c>
      <c r="D5461">
        <v>0</v>
      </c>
      <c r="E5461" t="s">
        <v>34396</v>
      </c>
      <c r="F5461" t="s">
        <v>34397</v>
      </c>
      <c r="G5461" t="s">
        <v>34398</v>
      </c>
      <c r="H5461" t="s">
        <v>34399</v>
      </c>
      <c r="I5461" t="s">
        <v>34400</v>
      </c>
      <c r="J5461" t="s">
        <v>34401</v>
      </c>
      <c r="K5461" t="s">
        <v>34402</v>
      </c>
      <c r="L5461" t="s">
        <v>34395</v>
      </c>
    </row>
    <row r="5462" spans="1:12" x14ac:dyDescent="0.25">
      <c r="A5462">
        <v>983113</v>
      </c>
      <c r="B5462">
        <v>983121</v>
      </c>
      <c r="D5462">
        <v>0</v>
      </c>
      <c r="E5462" t="s">
        <v>34404</v>
      </c>
      <c r="F5462" t="s">
        <v>34405</v>
      </c>
      <c r="G5462" t="s">
        <v>34406</v>
      </c>
      <c r="H5462" t="s">
        <v>34407</v>
      </c>
      <c r="I5462" t="s">
        <v>34408</v>
      </c>
      <c r="J5462" t="s">
        <v>13900</v>
      </c>
      <c r="K5462" t="s">
        <v>34409</v>
      </c>
      <c r="L5462" t="s">
        <v>34403</v>
      </c>
    </row>
    <row r="5463" spans="1:12" x14ac:dyDescent="0.25">
      <c r="A5463">
        <v>983113</v>
      </c>
      <c r="B5463">
        <v>1656258</v>
      </c>
      <c r="D5463">
        <v>0</v>
      </c>
      <c r="E5463" t="s">
        <v>34411</v>
      </c>
      <c r="F5463" t="s">
        <v>34412</v>
      </c>
      <c r="G5463" t="s">
        <v>34413</v>
      </c>
      <c r="H5463" t="e" vm="2391">
        <f>_FV(0,"028097061053616413")</f>
        <v>#VALUE!</v>
      </c>
      <c r="I5463" t="s">
        <v>34414</v>
      </c>
      <c r="J5463" t="s">
        <v>34415</v>
      </c>
      <c r="K5463" t="s">
        <v>34416</v>
      </c>
      <c r="L5463" t="s">
        <v>34410</v>
      </c>
    </row>
    <row r="5464" spans="1:12" x14ac:dyDescent="0.25">
      <c r="A5464">
        <v>983113</v>
      </c>
      <c r="B5464">
        <v>983147</v>
      </c>
      <c r="D5464">
        <v>0</v>
      </c>
      <c r="E5464" t="s">
        <v>34418</v>
      </c>
      <c r="F5464" t="s">
        <v>34419</v>
      </c>
      <c r="G5464" t="s">
        <v>34420</v>
      </c>
      <c r="H5464" t="e" vm="2392">
        <f>_FV(0,"023365748925735803")</f>
        <v>#VALUE!</v>
      </c>
      <c r="I5464" t="s">
        <v>34421</v>
      </c>
      <c r="J5464" t="s">
        <v>34422</v>
      </c>
      <c r="K5464" t="s">
        <v>34423</v>
      </c>
      <c r="L5464" t="s">
        <v>34417</v>
      </c>
    </row>
    <row r="5465" spans="1:12" x14ac:dyDescent="0.25">
      <c r="A5465">
        <v>983121</v>
      </c>
      <c r="B5465">
        <v>983138</v>
      </c>
      <c r="D5465">
        <v>0</v>
      </c>
      <c r="E5465" t="s">
        <v>34425</v>
      </c>
      <c r="F5465" t="s">
        <v>34426</v>
      </c>
      <c r="G5465" t="s">
        <v>34427</v>
      </c>
      <c r="H5465" t="s">
        <v>34428</v>
      </c>
      <c r="I5465" t="s">
        <v>34429</v>
      </c>
      <c r="J5465" t="s">
        <v>34424</v>
      </c>
      <c r="K5465" t="s">
        <v>34430</v>
      </c>
      <c r="L5465" t="s">
        <v>34424</v>
      </c>
    </row>
    <row r="5466" spans="1:12" x14ac:dyDescent="0.25">
      <c r="A5466">
        <v>983121</v>
      </c>
      <c r="B5466">
        <v>1656258</v>
      </c>
      <c r="D5466">
        <v>0</v>
      </c>
      <c r="E5466" t="s">
        <v>34432</v>
      </c>
      <c r="F5466" t="s">
        <v>34433</v>
      </c>
      <c r="G5466" t="s">
        <v>34434</v>
      </c>
      <c r="H5466" t="e" vm="2393">
        <f>_FV(0,"02885416470914527")</f>
        <v>#VALUE!</v>
      </c>
      <c r="I5466" t="s">
        <v>34435</v>
      </c>
      <c r="J5466" t="s">
        <v>34436</v>
      </c>
      <c r="K5466" t="s">
        <v>34437</v>
      </c>
      <c r="L5466" t="s">
        <v>34431</v>
      </c>
    </row>
    <row r="5467" spans="1:12" x14ac:dyDescent="0.25">
      <c r="A5467">
        <v>983138</v>
      </c>
      <c r="B5467">
        <v>983147</v>
      </c>
      <c r="D5467">
        <v>0</v>
      </c>
      <c r="E5467" t="s">
        <v>34439</v>
      </c>
      <c r="F5467" t="s">
        <v>34440</v>
      </c>
      <c r="G5467" t="s">
        <v>34441</v>
      </c>
      <c r="H5467" t="e" vm="2394">
        <f>_FV(0,"004625924593346147")</f>
        <v>#VALUE!</v>
      </c>
      <c r="I5467" t="s">
        <v>34442</v>
      </c>
      <c r="J5467" t="s">
        <v>34443</v>
      </c>
      <c r="K5467" t="s">
        <v>34444</v>
      </c>
      <c r="L5467" t="s">
        <v>34438</v>
      </c>
    </row>
    <row r="5468" spans="1:12" x14ac:dyDescent="0.25">
      <c r="A5468">
        <v>983138</v>
      </c>
      <c r="B5468">
        <v>1656222</v>
      </c>
      <c r="D5468">
        <v>0</v>
      </c>
      <c r="E5468" t="s">
        <v>34446</v>
      </c>
      <c r="F5468" t="s">
        <v>34447</v>
      </c>
      <c r="G5468" t="s">
        <v>34448</v>
      </c>
      <c r="H5468" t="e" vm="2395">
        <f>_FV(0,"01141544125747578")</f>
        <v>#VALUE!</v>
      </c>
      <c r="I5468" t="s">
        <v>34449</v>
      </c>
      <c r="J5468" t="s">
        <v>34450</v>
      </c>
      <c r="K5468" t="s">
        <v>34451</v>
      </c>
      <c r="L5468" t="s">
        <v>34445</v>
      </c>
    </row>
    <row r="5469" spans="1:12" x14ac:dyDescent="0.25">
      <c r="A5469">
        <v>983147</v>
      </c>
      <c r="B5469">
        <v>1656222</v>
      </c>
      <c r="D5469">
        <v>0</v>
      </c>
      <c r="E5469" t="s">
        <v>34453</v>
      </c>
      <c r="F5469" t="s">
        <v>34454</v>
      </c>
      <c r="G5469" t="s">
        <v>34455</v>
      </c>
      <c r="H5469" t="e" vm="2396">
        <f>_FV(0,"012582669792695143")</f>
        <v>#VALUE!</v>
      </c>
      <c r="I5469" t="s">
        <v>34456</v>
      </c>
      <c r="J5469" t="s">
        <v>34457</v>
      </c>
      <c r="K5469" t="s">
        <v>34458</v>
      </c>
      <c r="L5469" t="s">
        <v>34452</v>
      </c>
    </row>
    <row r="5470" spans="1:12" x14ac:dyDescent="0.25">
      <c r="A5470">
        <v>983161</v>
      </c>
      <c r="B5470">
        <v>983169</v>
      </c>
      <c r="D5470">
        <v>0</v>
      </c>
      <c r="E5470" t="s">
        <v>34460</v>
      </c>
      <c r="F5470" t="s">
        <v>34461</v>
      </c>
      <c r="G5470" t="s">
        <v>34462</v>
      </c>
      <c r="H5470" t="e" vm="2397">
        <f>_FV(0,"03869181862013705")</f>
        <v>#VALUE!</v>
      </c>
      <c r="I5470" t="s">
        <v>34463</v>
      </c>
      <c r="J5470" t="s">
        <v>34464</v>
      </c>
      <c r="K5470" t="s">
        <v>34465</v>
      </c>
      <c r="L5470" t="s">
        <v>34459</v>
      </c>
    </row>
    <row r="5471" spans="1:12" x14ac:dyDescent="0.25">
      <c r="A5471">
        <v>983309</v>
      </c>
      <c r="B5471">
        <v>1083706</v>
      </c>
      <c r="D5471">
        <v>0</v>
      </c>
      <c r="E5471" t="s">
        <v>34467</v>
      </c>
      <c r="F5471" t="s">
        <v>34468</v>
      </c>
      <c r="G5471" t="s">
        <v>34469</v>
      </c>
      <c r="H5471" t="e" vm="2398">
        <f>_FV(0,"027516658090072012")</f>
        <v>#VALUE!</v>
      </c>
      <c r="I5471" t="s">
        <v>34470</v>
      </c>
      <c r="J5471" t="s">
        <v>34471</v>
      </c>
      <c r="K5471" t="s">
        <v>34472</v>
      </c>
      <c r="L5471" t="s">
        <v>34466</v>
      </c>
    </row>
    <row r="5472" spans="1:12" x14ac:dyDescent="0.25">
      <c r="A5472">
        <v>984889</v>
      </c>
      <c r="B5472">
        <v>984897</v>
      </c>
      <c r="D5472">
        <v>0</v>
      </c>
      <c r="E5472" t="s">
        <v>34474</v>
      </c>
      <c r="F5472" t="s">
        <v>34475</v>
      </c>
      <c r="G5472" t="s">
        <v>34476</v>
      </c>
      <c r="H5472" t="s">
        <v>34477</v>
      </c>
      <c r="I5472" t="s">
        <v>34478</v>
      </c>
      <c r="J5472" t="s">
        <v>34479</v>
      </c>
      <c r="K5472" t="s">
        <v>34480</v>
      </c>
      <c r="L5472" t="s">
        <v>34473</v>
      </c>
    </row>
    <row r="5473" spans="1:12" x14ac:dyDescent="0.25">
      <c r="A5473">
        <v>984889</v>
      </c>
      <c r="B5473">
        <v>984897</v>
      </c>
      <c r="D5473">
        <v>0</v>
      </c>
      <c r="E5473" t="s">
        <v>34482</v>
      </c>
      <c r="F5473" t="s">
        <v>34483</v>
      </c>
      <c r="G5473" t="s">
        <v>34484</v>
      </c>
      <c r="H5473" t="s">
        <v>34485</v>
      </c>
      <c r="I5473" t="s">
        <v>34486</v>
      </c>
      <c r="J5473" t="s">
        <v>34487</v>
      </c>
      <c r="K5473" t="s">
        <v>34488</v>
      </c>
      <c r="L5473" t="s">
        <v>34481</v>
      </c>
    </row>
    <row r="5474" spans="1:12" x14ac:dyDescent="0.25">
      <c r="A5474">
        <v>984897</v>
      </c>
      <c r="B5474">
        <v>1854822</v>
      </c>
      <c r="D5474">
        <v>0</v>
      </c>
      <c r="E5474" t="s">
        <v>34489</v>
      </c>
      <c r="H5474" t="s">
        <v>187</v>
      </c>
      <c r="J5474">
        <v>0</v>
      </c>
      <c r="K5474" t="s">
        <v>33434</v>
      </c>
      <c r="L5474">
        <v>0</v>
      </c>
    </row>
    <row r="5475" spans="1:12" x14ac:dyDescent="0.25">
      <c r="A5475">
        <v>990173</v>
      </c>
      <c r="B5475">
        <v>990330</v>
      </c>
      <c r="D5475">
        <v>0</v>
      </c>
      <c r="E5475" t="s">
        <v>34491</v>
      </c>
      <c r="F5475" t="s">
        <v>34492</v>
      </c>
      <c r="G5475" t="s">
        <v>34493</v>
      </c>
      <c r="H5475" t="s">
        <v>34494</v>
      </c>
      <c r="I5475" t="s">
        <v>34495</v>
      </c>
      <c r="J5475" t="s">
        <v>34490</v>
      </c>
      <c r="K5475" t="s">
        <v>34496</v>
      </c>
      <c r="L5475" t="s">
        <v>34490</v>
      </c>
    </row>
    <row r="5476" spans="1:12" x14ac:dyDescent="0.25">
      <c r="A5476">
        <v>990173</v>
      </c>
      <c r="B5476">
        <v>990343</v>
      </c>
      <c r="D5476">
        <v>0</v>
      </c>
      <c r="E5476" t="s">
        <v>34498</v>
      </c>
      <c r="F5476" t="s">
        <v>34499</v>
      </c>
      <c r="G5476" t="s">
        <v>34500</v>
      </c>
      <c r="H5476" t="e" vm="2399">
        <f>_FV(0,"01089778902350279")</f>
        <v>#VALUE!</v>
      </c>
      <c r="I5476" t="s">
        <v>34501</v>
      </c>
      <c r="J5476" t="s">
        <v>34502</v>
      </c>
      <c r="K5476" t="s">
        <v>34503</v>
      </c>
      <c r="L5476" t="s">
        <v>34497</v>
      </c>
    </row>
    <row r="5477" spans="1:12" x14ac:dyDescent="0.25">
      <c r="A5477">
        <v>990173</v>
      </c>
      <c r="B5477">
        <v>1571331</v>
      </c>
      <c r="D5477">
        <v>0</v>
      </c>
      <c r="E5477" t="s">
        <v>34505</v>
      </c>
      <c r="F5477" t="s">
        <v>34506</v>
      </c>
      <c r="G5477" t="s">
        <v>34507</v>
      </c>
      <c r="H5477" t="s">
        <v>34508</v>
      </c>
      <c r="I5477" t="s">
        <v>34509</v>
      </c>
      <c r="J5477" t="s">
        <v>34510</v>
      </c>
      <c r="K5477" t="s">
        <v>34511</v>
      </c>
      <c r="L5477" t="s">
        <v>34504</v>
      </c>
    </row>
    <row r="5478" spans="1:12" x14ac:dyDescent="0.25">
      <c r="A5478">
        <v>990330</v>
      </c>
      <c r="B5478">
        <v>990421</v>
      </c>
      <c r="D5478">
        <v>0</v>
      </c>
      <c r="E5478" t="s">
        <v>34513</v>
      </c>
      <c r="F5478" t="s">
        <v>34514</v>
      </c>
      <c r="G5478" t="s">
        <v>34515</v>
      </c>
      <c r="H5478" t="s">
        <v>34516</v>
      </c>
      <c r="I5478" t="s">
        <v>34517</v>
      </c>
      <c r="J5478" t="s">
        <v>34518</v>
      </c>
      <c r="K5478" t="s">
        <v>34519</v>
      </c>
      <c r="L5478" t="s">
        <v>34512</v>
      </c>
    </row>
    <row r="5479" spans="1:12" x14ac:dyDescent="0.25">
      <c r="A5479">
        <v>990330</v>
      </c>
      <c r="B5479">
        <v>990343</v>
      </c>
      <c r="D5479">
        <v>0</v>
      </c>
      <c r="E5479" t="s">
        <v>34521</v>
      </c>
      <c r="F5479" t="s">
        <v>34522</v>
      </c>
      <c r="G5479" t="s">
        <v>34523</v>
      </c>
      <c r="H5479" t="s">
        <v>34524</v>
      </c>
      <c r="I5479" t="s">
        <v>34525</v>
      </c>
      <c r="J5479" t="s">
        <v>34520</v>
      </c>
      <c r="K5479" t="s">
        <v>34526</v>
      </c>
      <c r="L5479" t="s">
        <v>34520</v>
      </c>
    </row>
    <row r="5480" spans="1:12" x14ac:dyDescent="0.25">
      <c r="A5480">
        <v>990343</v>
      </c>
      <c r="B5480">
        <v>990410</v>
      </c>
      <c r="D5480">
        <v>0</v>
      </c>
      <c r="E5480" t="s">
        <v>34528</v>
      </c>
      <c r="F5480" t="s">
        <v>34529</v>
      </c>
      <c r="G5480" t="s">
        <v>34530</v>
      </c>
      <c r="H5480" t="e" vm="2400">
        <f>_FV(0,"06309404001579806")</f>
        <v>#VALUE!</v>
      </c>
      <c r="I5480" t="s">
        <v>34531</v>
      </c>
      <c r="J5480" t="s">
        <v>34532</v>
      </c>
      <c r="K5480" t="s">
        <v>34533</v>
      </c>
      <c r="L5480" t="s">
        <v>34527</v>
      </c>
    </row>
    <row r="5481" spans="1:12" x14ac:dyDescent="0.25">
      <c r="A5481">
        <v>990374</v>
      </c>
      <c r="B5481">
        <v>990511</v>
      </c>
      <c r="C5481" t="s">
        <v>34535</v>
      </c>
      <c r="D5481" t="s">
        <v>11903</v>
      </c>
      <c r="E5481" t="s">
        <v>34536</v>
      </c>
      <c r="F5481" t="s">
        <v>34537</v>
      </c>
      <c r="G5481" t="s">
        <v>34538</v>
      </c>
      <c r="H5481" t="e" vm="2401">
        <f>_FV(0,"0007092354996996531")</f>
        <v>#VALUE!</v>
      </c>
      <c r="I5481" t="s">
        <v>34539</v>
      </c>
      <c r="J5481" t="s">
        <v>34540</v>
      </c>
      <c r="K5481" t="s">
        <v>34541</v>
      </c>
      <c r="L5481" t="s">
        <v>34534</v>
      </c>
    </row>
    <row r="5482" spans="1:12" x14ac:dyDescent="0.25">
      <c r="A5482">
        <v>990374</v>
      </c>
      <c r="B5482">
        <v>990410</v>
      </c>
      <c r="D5482">
        <v>0</v>
      </c>
      <c r="E5482" t="s">
        <v>34543</v>
      </c>
      <c r="F5482" t="s">
        <v>34544</v>
      </c>
      <c r="G5482" t="s">
        <v>34545</v>
      </c>
      <c r="H5482" t="s">
        <v>34546</v>
      </c>
      <c r="I5482" t="s">
        <v>34547</v>
      </c>
      <c r="J5482" t="s">
        <v>34542</v>
      </c>
      <c r="K5482" t="s">
        <v>34548</v>
      </c>
      <c r="L5482" t="s">
        <v>34542</v>
      </c>
    </row>
    <row r="5483" spans="1:12" x14ac:dyDescent="0.25">
      <c r="A5483">
        <v>990374</v>
      </c>
      <c r="B5483">
        <v>990421</v>
      </c>
      <c r="D5483">
        <v>0</v>
      </c>
      <c r="E5483" t="s">
        <v>34550</v>
      </c>
      <c r="F5483" t="s">
        <v>34551</v>
      </c>
      <c r="G5483" t="s">
        <v>34552</v>
      </c>
      <c r="H5483" t="e" vm="2402">
        <f>_FV(0,"001843894350683949")</f>
        <v>#VALUE!</v>
      </c>
      <c r="I5483" t="s">
        <v>34553</v>
      </c>
      <c r="J5483" t="s">
        <v>23437</v>
      </c>
      <c r="K5483" t="s">
        <v>34554</v>
      </c>
      <c r="L5483" t="s">
        <v>34549</v>
      </c>
    </row>
    <row r="5484" spans="1:12" x14ac:dyDescent="0.25">
      <c r="A5484">
        <v>990410</v>
      </c>
      <c r="B5484">
        <v>990421</v>
      </c>
      <c r="D5484">
        <v>0</v>
      </c>
      <c r="E5484" t="s">
        <v>34556</v>
      </c>
      <c r="F5484" t="s">
        <v>34557</v>
      </c>
      <c r="G5484" t="s">
        <v>34558</v>
      </c>
      <c r="H5484" t="e" vm="2403">
        <f>_FV(0,"12668801614120742")</f>
        <v>#VALUE!</v>
      </c>
      <c r="I5484" t="s">
        <v>34559</v>
      </c>
      <c r="J5484" t="s">
        <v>34560</v>
      </c>
      <c r="K5484" t="s">
        <v>34561</v>
      </c>
      <c r="L5484" t="s">
        <v>34555</v>
      </c>
    </row>
    <row r="5485" spans="1:12" x14ac:dyDescent="0.25">
      <c r="A5485">
        <v>990511</v>
      </c>
      <c r="B5485">
        <v>990517</v>
      </c>
      <c r="D5485">
        <v>0</v>
      </c>
      <c r="E5485" t="s">
        <v>34563</v>
      </c>
      <c r="F5485" t="s">
        <v>34564</v>
      </c>
      <c r="G5485" t="s">
        <v>34565</v>
      </c>
      <c r="H5485" t="e" vm="2404">
        <f>_FV(0,"014315023298649282")</f>
        <v>#VALUE!</v>
      </c>
      <c r="I5485" t="s">
        <v>34566</v>
      </c>
      <c r="J5485" t="s">
        <v>34567</v>
      </c>
      <c r="K5485" t="s">
        <v>34568</v>
      </c>
      <c r="L5485" t="s">
        <v>34562</v>
      </c>
    </row>
    <row r="5486" spans="1:12" x14ac:dyDescent="0.25">
      <c r="A5486">
        <v>990511</v>
      </c>
      <c r="B5486">
        <v>990517</v>
      </c>
      <c r="D5486">
        <v>0</v>
      </c>
      <c r="E5486" t="s">
        <v>34570</v>
      </c>
      <c r="F5486" t="s">
        <v>34571</v>
      </c>
      <c r="G5486" t="s">
        <v>34572</v>
      </c>
      <c r="H5486" t="e" vm="2405">
        <f>_FV(0,"014211836454538739")</f>
        <v>#VALUE!</v>
      </c>
      <c r="I5486" t="s">
        <v>34573</v>
      </c>
      <c r="J5486" t="s">
        <v>34574</v>
      </c>
      <c r="K5486" t="s">
        <v>34575</v>
      </c>
      <c r="L5486" t="s">
        <v>34569</v>
      </c>
    </row>
    <row r="5487" spans="1:12" x14ac:dyDescent="0.25">
      <c r="A5487">
        <v>990517</v>
      </c>
      <c r="B5487">
        <v>1170474</v>
      </c>
      <c r="D5487">
        <v>0</v>
      </c>
      <c r="E5487" t="s">
        <v>34577</v>
      </c>
      <c r="F5487" t="s">
        <v>34578</v>
      </c>
      <c r="G5487" t="s">
        <v>34579</v>
      </c>
      <c r="H5487" t="e" vm="2406">
        <f>_FV(0,"0030264022065704093")</f>
        <v>#VALUE!</v>
      </c>
      <c r="I5487" t="s">
        <v>34580</v>
      </c>
      <c r="J5487" t="s">
        <v>34581</v>
      </c>
      <c r="K5487" t="s">
        <v>34582</v>
      </c>
      <c r="L5487" t="s">
        <v>34576</v>
      </c>
    </row>
    <row r="5488" spans="1:12" x14ac:dyDescent="0.25">
      <c r="A5488">
        <v>991174</v>
      </c>
      <c r="B5488">
        <v>967077</v>
      </c>
      <c r="D5488">
        <v>0</v>
      </c>
      <c r="E5488" t="s">
        <v>34584</v>
      </c>
      <c r="F5488" t="s">
        <v>34585</v>
      </c>
      <c r="G5488" t="s">
        <v>34586</v>
      </c>
      <c r="H5488" t="s">
        <v>34587</v>
      </c>
      <c r="I5488" t="s">
        <v>34588</v>
      </c>
      <c r="J5488" t="s">
        <v>34583</v>
      </c>
      <c r="K5488" t="s">
        <v>34589</v>
      </c>
      <c r="L5488" t="s">
        <v>34583</v>
      </c>
    </row>
    <row r="5489" spans="1:12" x14ac:dyDescent="0.25">
      <c r="A5489">
        <v>991174</v>
      </c>
      <c r="B5489">
        <v>1854815</v>
      </c>
      <c r="D5489">
        <v>0</v>
      </c>
      <c r="E5489" t="s">
        <v>34590</v>
      </c>
      <c r="H5489" t="s">
        <v>187</v>
      </c>
      <c r="J5489">
        <v>0</v>
      </c>
      <c r="K5489" t="s">
        <v>33350</v>
      </c>
      <c r="L5489">
        <v>0</v>
      </c>
    </row>
    <row r="5490" spans="1:12" x14ac:dyDescent="0.25">
      <c r="A5490">
        <v>967077</v>
      </c>
      <c r="B5490">
        <v>1854823</v>
      </c>
      <c r="D5490">
        <v>0</v>
      </c>
      <c r="E5490" t="s">
        <v>34591</v>
      </c>
      <c r="H5490" t="s">
        <v>187</v>
      </c>
      <c r="J5490">
        <v>0</v>
      </c>
      <c r="K5490" t="s">
        <v>23518</v>
      </c>
      <c r="L5490">
        <v>0</v>
      </c>
    </row>
    <row r="5491" spans="1:12" x14ac:dyDescent="0.25">
      <c r="A5491">
        <v>1000179</v>
      </c>
      <c r="B5491">
        <v>1000215</v>
      </c>
      <c r="D5491">
        <v>0</v>
      </c>
      <c r="E5491" t="s">
        <v>34593</v>
      </c>
      <c r="F5491" t="s">
        <v>34594</v>
      </c>
      <c r="G5491" t="s">
        <v>34595</v>
      </c>
      <c r="H5491" t="e" vm="2407">
        <f>_FV(0,"011633125652878048")</f>
        <v>#VALUE!</v>
      </c>
      <c r="I5491" t="s">
        <v>34596</v>
      </c>
      <c r="J5491" t="s">
        <v>34597</v>
      </c>
      <c r="K5491" t="s">
        <v>34598</v>
      </c>
      <c r="L5491" t="s">
        <v>34592</v>
      </c>
    </row>
    <row r="5492" spans="1:12" x14ac:dyDescent="0.25">
      <c r="A5492">
        <v>1000179</v>
      </c>
      <c r="B5492">
        <v>1000215</v>
      </c>
      <c r="D5492">
        <v>0</v>
      </c>
      <c r="E5492" t="s">
        <v>34600</v>
      </c>
      <c r="F5492" t="s">
        <v>34601</v>
      </c>
      <c r="G5492" t="s">
        <v>34602</v>
      </c>
      <c r="H5492" t="e" vm="2408">
        <f>_FV(0,"011188759480680382")</f>
        <v>#VALUE!</v>
      </c>
      <c r="I5492" t="s">
        <v>34603</v>
      </c>
      <c r="J5492" t="s">
        <v>34604</v>
      </c>
      <c r="K5492" t="s">
        <v>34605</v>
      </c>
      <c r="L5492" t="s">
        <v>34599</v>
      </c>
    </row>
    <row r="5493" spans="1:12" x14ac:dyDescent="0.25">
      <c r="A5493">
        <v>1000215</v>
      </c>
      <c r="B5493">
        <v>1572128</v>
      </c>
      <c r="D5493">
        <v>0</v>
      </c>
      <c r="E5493" t="s">
        <v>34607</v>
      </c>
      <c r="F5493" t="s">
        <v>34608</v>
      </c>
      <c r="G5493" t="s">
        <v>34609</v>
      </c>
      <c r="H5493" t="e" vm="2409">
        <f>_FV(0,"07872064133234054")</f>
        <v>#VALUE!</v>
      </c>
      <c r="I5493" t="s">
        <v>34610</v>
      </c>
      <c r="J5493" t="s">
        <v>34611</v>
      </c>
      <c r="K5493" t="s">
        <v>34612</v>
      </c>
      <c r="L5493" t="s">
        <v>34606</v>
      </c>
    </row>
    <row r="5494" spans="1:12" x14ac:dyDescent="0.25">
      <c r="A5494">
        <v>1005467</v>
      </c>
      <c r="B5494">
        <v>1010565</v>
      </c>
      <c r="D5494">
        <v>0</v>
      </c>
      <c r="E5494" t="s">
        <v>34614</v>
      </c>
      <c r="F5494" t="s">
        <v>34615</v>
      </c>
      <c r="G5494" t="s">
        <v>34616</v>
      </c>
      <c r="H5494" t="e" vm="2410">
        <f>_FV(0,"0494956207824263")</f>
        <v>#VALUE!</v>
      </c>
      <c r="I5494" t="s">
        <v>34617</v>
      </c>
      <c r="J5494" t="s">
        <v>34618</v>
      </c>
      <c r="K5494" t="s">
        <v>34619</v>
      </c>
      <c r="L5494" t="s">
        <v>34613</v>
      </c>
    </row>
    <row r="5495" spans="1:12" x14ac:dyDescent="0.25">
      <c r="A5495">
        <v>1005467</v>
      </c>
      <c r="B5495">
        <v>1010517</v>
      </c>
      <c r="D5495">
        <v>0</v>
      </c>
      <c r="E5495" t="s">
        <v>34621</v>
      </c>
      <c r="F5495" t="s">
        <v>34622</v>
      </c>
      <c r="G5495" t="s">
        <v>34623</v>
      </c>
      <c r="H5495" t="e" vm="2411">
        <f>_FV(0,"09262888523722275")</f>
        <v>#VALUE!</v>
      </c>
      <c r="I5495" t="s">
        <v>34624</v>
      </c>
      <c r="J5495" t="s">
        <v>34625</v>
      </c>
      <c r="K5495" t="s">
        <v>34626</v>
      </c>
      <c r="L5495" t="s">
        <v>34620</v>
      </c>
    </row>
    <row r="5496" spans="1:12" x14ac:dyDescent="0.25">
      <c r="A5496">
        <v>1005467</v>
      </c>
      <c r="B5496">
        <v>1616684</v>
      </c>
      <c r="D5496" t="s">
        <v>34628</v>
      </c>
      <c r="E5496" t="s">
        <v>34629</v>
      </c>
      <c r="F5496" t="s">
        <v>34630</v>
      </c>
      <c r="G5496" t="s">
        <v>34631</v>
      </c>
      <c r="H5496" t="s">
        <v>34632</v>
      </c>
      <c r="I5496" t="s">
        <v>34633</v>
      </c>
      <c r="J5496" t="s">
        <v>34634</v>
      </c>
      <c r="K5496" t="s">
        <v>34635</v>
      </c>
      <c r="L5496" t="s">
        <v>34627</v>
      </c>
    </row>
    <row r="5497" spans="1:12" x14ac:dyDescent="0.25">
      <c r="A5497">
        <v>1005475</v>
      </c>
      <c r="B5497">
        <v>1005498</v>
      </c>
      <c r="D5497" t="s">
        <v>10538</v>
      </c>
      <c r="E5497" t="s">
        <v>34637</v>
      </c>
      <c r="F5497" t="s">
        <v>34638</v>
      </c>
      <c r="G5497" t="s">
        <v>34639</v>
      </c>
      <c r="H5497" t="e" vm="2412">
        <f>_FV(0,"02122745135100907")</f>
        <v>#VALUE!</v>
      </c>
      <c r="I5497" t="s">
        <v>34640</v>
      </c>
      <c r="J5497" t="s">
        <v>34641</v>
      </c>
      <c r="K5497" t="s">
        <v>34642</v>
      </c>
      <c r="L5497" t="s">
        <v>34636</v>
      </c>
    </row>
    <row r="5498" spans="1:12" x14ac:dyDescent="0.25">
      <c r="A5498">
        <v>1005475</v>
      </c>
      <c r="B5498">
        <v>1010518</v>
      </c>
      <c r="D5498">
        <v>0</v>
      </c>
      <c r="E5498" t="s">
        <v>34644</v>
      </c>
      <c r="F5498" t="s">
        <v>34645</v>
      </c>
      <c r="G5498" t="s">
        <v>34646</v>
      </c>
      <c r="H5498" t="s">
        <v>34647</v>
      </c>
      <c r="I5498" t="s">
        <v>34648</v>
      </c>
      <c r="J5498" t="s">
        <v>34643</v>
      </c>
      <c r="K5498" t="s">
        <v>34649</v>
      </c>
      <c r="L5498" t="s">
        <v>34643</v>
      </c>
    </row>
    <row r="5499" spans="1:12" x14ac:dyDescent="0.25">
      <c r="A5499">
        <v>1005475</v>
      </c>
      <c r="B5499">
        <v>1010533</v>
      </c>
      <c r="D5499">
        <v>0</v>
      </c>
      <c r="E5499" t="s">
        <v>34651</v>
      </c>
      <c r="F5499" t="s">
        <v>34652</v>
      </c>
      <c r="G5499" t="s">
        <v>34653</v>
      </c>
      <c r="H5499" t="s">
        <v>34654</v>
      </c>
      <c r="I5499" t="s">
        <v>34655</v>
      </c>
      <c r="J5499" t="s">
        <v>34656</v>
      </c>
      <c r="K5499" t="s">
        <v>34657</v>
      </c>
      <c r="L5499" t="s">
        <v>34650</v>
      </c>
    </row>
    <row r="5500" spans="1:12" x14ac:dyDescent="0.25">
      <c r="A5500">
        <v>1005498</v>
      </c>
      <c r="B5500">
        <v>1010636</v>
      </c>
      <c r="D5500">
        <v>0</v>
      </c>
      <c r="E5500" t="s">
        <v>34659</v>
      </c>
      <c r="F5500" t="s">
        <v>34660</v>
      </c>
      <c r="G5500" t="s">
        <v>34661</v>
      </c>
      <c r="H5500" t="e" vm="2413">
        <f>_FV(0,"14159808833085524")</f>
        <v>#VALUE!</v>
      </c>
      <c r="I5500" t="s">
        <v>34662</v>
      </c>
      <c r="J5500" t="s">
        <v>34663</v>
      </c>
      <c r="K5500" t="s">
        <v>34664</v>
      </c>
      <c r="L5500" t="s">
        <v>34658</v>
      </c>
    </row>
    <row r="5501" spans="1:12" x14ac:dyDescent="0.25">
      <c r="A5501">
        <v>1005498</v>
      </c>
      <c r="B5501">
        <v>1010588</v>
      </c>
      <c r="D5501">
        <v>0</v>
      </c>
      <c r="E5501" t="s">
        <v>34666</v>
      </c>
      <c r="F5501" t="s">
        <v>34667</v>
      </c>
      <c r="G5501" t="s">
        <v>34668</v>
      </c>
      <c r="H5501" t="e" vm="2414">
        <f>_FV(0,"18821995277383333")</f>
        <v>#VALUE!</v>
      </c>
      <c r="I5501" t="s">
        <v>34669</v>
      </c>
      <c r="J5501" t="s">
        <v>34670</v>
      </c>
      <c r="K5501" t="s">
        <v>34671</v>
      </c>
      <c r="L5501" t="s">
        <v>34665</v>
      </c>
    </row>
    <row r="5502" spans="1:12" x14ac:dyDescent="0.25">
      <c r="A5502">
        <v>1005504</v>
      </c>
      <c r="B5502">
        <v>1005585</v>
      </c>
      <c r="D5502" t="s">
        <v>34673</v>
      </c>
      <c r="E5502" t="s">
        <v>34674</v>
      </c>
      <c r="F5502" t="s">
        <v>34675</v>
      </c>
      <c r="G5502" t="s">
        <v>34676</v>
      </c>
      <c r="H5502" t="e" vm="2415">
        <f>_FV(0,"008280839295362333")</f>
        <v>#VALUE!</v>
      </c>
      <c r="I5502" t="s">
        <v>34677</v>
      </c>
      <c r="J5502" t="s">
        <v>34678</v>
      </c>
      <c r="K5502" t="s">
        <v>34679</v>
      </c>
      <c r="L5502" t="s">
        <v>34672</v>
      </c>
    </row>
    <row r="5503" spans="1:12" x14ac:dyDescent="0.25">
      <c r="A5503">
        <v>1005504</v>
      </c>
      <c r="B5503">
        <v>1010615</v>
      </c>
      <c r="D5503">
        <v>0</v>
      </c>
      <c r="E5503" t="s">
        <v>34681</v>
      </c>
      <c r="F5503" t="s">
        <v>34682</v>
      </c>
      <c r="G5503" t="s">
        <v>34683</v>
      </c>
      <c r="H5503" t="s">
        <v>34684</v>
      </c>
      <c r="I5503" t="s">
        <v>34685</v>
      </c>
      <c r="J5503" t="s">
        <v>34686</v>
      </c>
      <c r="K5503" t="s">
        <v>34687</v>
      </c>
      <c r="L5503" t="s">
        <v>34680</v>
      </c>
    </row>
    <row r="5504" spans="1:12" x14ac:dyDescent="0.25">
      <c r="A5504">
        <v>1005504</v>
      </c>
      <c r="B5504">
        <v>1010628</v>
      </c>
      <c r="D5504">
        <v>0</v>
      </c>
      <c r="E5504" t="s">
        <v>34689</v>
      </c>
      <c r="F5504" t="s">
        <v>34690</v>
      </c>
      <c r="G5504" t="s">
        <v>34691</v>
      </c>
      <c r="H5504" t="s">
        <v>34692</v>
      </c>
      <c r="I5504" t="s">
        <v>34693</v>
      </c>
      <c r="J5504" t="s">
        <v>34694</v>
      </c>
      <c r="K5504" t="s">
        <v>34695</v>
      </c>
      <c r="L5504" t="s">
        <v>34688</v>
      </c>
    </row>
    <row r="5505" spans="1:12" x14ac:dyDescent="0.25">
      <c r="A5505">
        <v>1005585</v>
      </c>
      <c r="B5505">
        <v>1010736</v>
      </c>
      <c r="D5505">
        <v>0</v>
      </c>
      <c r="E5505" t="s">
        <v>34697</v>
      </c>
      <c r="F5505" t="s">
        <v>34698</v>
      </c>
      <c r="G5505" t="s">
        <v>34699</v>
      </c>
      <c r="H5505" t="s">
        <v>34700</v>
      </c>
      <c r="I5505" t="s">
        <v>34701</v>
      </c>
      <c r="J5505" t="s">
        <v>34696</v>
      </c>
      <c r="K5505" t="s">
        <v>34702</v>
      </c>
      <c r="L5505" t="s">
        <v>34696</v>
      </c>
    </row>
    <row r="5506" spans="1:12" x14ac:dyDescent="0.25">
      <c r="A5506">
        <v>1005585</v>
      </c>
      <c r="B5506">
        <v>1010664</v>
      </c>
      <c r="D5506">
        <v>0</v>
      </c>
      <c r="E5506" t="s">
        <v>34704</v>
      </c>
      <c r="F5506" t="s">
        <v>34705</v>
      </c>
      <c r="G5506" t="s">
        <v>34706</v>
      </c>
      <c r="H5506" t="s">
        <v>34707</v>
      </c>
      <c r="I5506" t="s">
        <v>34708</v>
      </c>
      <c r="J5506" t="s">
        <v>34709</v>
      </c>
      <c r="K5506" t="s">
        <v>34710</v>
      </c>
      <c r="L5506" t="s">
        <v>34703</v>
      </c>
    </row>
    <row r="5507" spans="1:12" x14ac:dyDescent="0.25">
      <c r="A5507">
        <v>1006350</v>
      </c>
      <c r="B5507">
        <v>1006359</v>
      </c>
      <c r="D5507">
        <v>0</v>
      </c>
      <c r="E5507" t="s">
        <v>34712</v>
      </c>
      <c r="F5507" t="s">
        <v>34713</v>
      </c>
      <c r="G5507" t="s">
        <v>34714</v>
      </c>
      <c r="H5507" t="e" vm="2416">
        <f>_FV(0,"03719739999597808")</f>
        <v>#VALUE!</v>
      </c>
      <c r="I5507" t="s">
        <v>34715</v>
      </c>
      <c r="J5507" t="s">
        <v>34716</v>
      </c>
      <c r="K5507" t="s">
        <v>34717</v>
      </c>
      <c r="L5507" t="s">
        <v>34711</v>
      </c>
    </row>
    <row r="5508" spans="1:12" x14ac:dyDescent="0.25">
      <c r="A5508">
        <v>1006350</v>
      </c>
      <c r="B5508">
        <v>1006359</v>
      </c>
      <c r="D5508">
        <v>0</v>
      </c>
      <c r="E5508" t="s">
        <v>34719</v>
      </c>
      <c r="F5508" t="s">
        <v>34720</v>
      </c>
      <c r="G5508" t="s">
        <v>34721</v>
      </c>
      <c r="H5508" t="e" vm="2417">
        <f>_FV(0,"03711469857046387")</f>
        <v>#VALUE!</v>
      </c>
      <c r="I5508" t="s">
        <v>34722</v>
      </c>
      <c r="J5508" t="s">
        <v>34723</v>
      </c>
      <c r="K5508" t="s">
        <v>34724</v>
      </c>
      <c r="L5508" t="s">
        <v>34718</v>
      </c>
    </row>
    <row r="5509" spans="1:12" x14ac:dyDescent="0.25">
      <c r="A5509">
        <v>1006350</v>
      </c>
      <c r="B5509">
        <v>1016634</v>
      </c>
      <c r="D5509" t="s">
        <v>34726</v>
      </c>
      <c r="E5509" t="s">
        <v>34727</v>
      </c>
      <c r="F5509" t="s">
        <v>34728</v>
      </c>
      <c r="G5509" t="s">
        <v>34729</v>
      </c>
      <c r="H5509" t="e" vm="2418">
        <f>_FV(0,"01135637389104777")</f>
        <v>#VALUE!</v>
      </c>
      <c r="I5509" t="s">
        <v>34730</v>
      </c>
      <c r="J5509" t="s">
        <v>34731</v>
      </c>
      <c r="K5509" t="s">
        <v>34732</v>
      </c>
      <c r="L5509" t="s">
        <v>34725</v>
      </c>
    </row>
    <row r="5510" spans="1:12" x14ac:dyDescent="0.25">
      <c r="A5510">
        <v>1006359</v>
      </c>
      <c r="B5510">
        <v>1006461</v>
      </c>
      <c r="D5510" t="s">
        <v>34734</v>
      </c>
      <c r="E5510" t="s">
        <v>34735</v>
      </c>
      <c r="F5510" t="s">
        <v>34736</v>
      </c>
      <c r="G5510" t="s">
        <v>34737</v>
      </c>
      <c r="H5510" t="e" vm="2419">
        <f>_FV(0,"007296994210919493")</f>
        <v>#VALUE!</v>
      </c>
      <c r="I5510" t="s">
        <v>34738</v>
      </c>
      <c r="J5510" t="s">
        <v>34739</v>
      </c>
      <c r="K5510" t="s">
        <v>34740</v>
      </c>
      <c r="L5510" t="s">
        <v>34733</v>
      </c>
    </row>
    <row r="5511" spans="1:12" x14ac:dyDescent="0.25">
      <c r="A5511">
        <v>1006457</v>
      </c>
      <c r="B5511">
        <v>1226534</v>
      </c>
      <c r="D5511">
        <v>0</v>
      </c>
      <c r="E5511" t="s">
        <v>34742</v>
      </c>
      <c r="F5511" t="s">
        <v>34743</v>
      </c>
      <c r="G5511" t="s">
        <v>34744</v>
      </c>
      <c r="H5511" t="e" vm="2420">
        <f>_FV(0,"01819255161669676")</f>
        <v>#VALUE!</v>
      </c>
      <c r="I5511" t="s">
        <v>34745</v>
      </c>
      <c r="J5511" t="s">
        <v>34746</v>
      </c>
      <c r="K5511" t="s">
        <v>34747</v>
      </c>
      <c r="L5511" t="s">
        <v>34741</v>
      </c>
    </row>
    <row r="5512" spans="1:12" x14ac:dyDescent="0.25">
      <c r="A5512">
        <v>1006457</v>
      </c>
      <c r="B5512">
        <v>1012360</v>
      </c>
      <c r="D5512">
        <v>0</v>
      </c>
      <c r="E5512" t="s">
        <v>34749</v>
      </c>
      <c r="F5512" t="s">
        <v>34750</v>
      </c>
      <c r="G5512" t="s">
        <v>34751</v>
      </c>
      <c r="H5512" t="s">
        <v>34752</v>
      </c>
      <c r="I5512" t="s">
        <v>34753</v>
      </c>
      <c r="J5512" t="s">
        <v>34748</v>
      </c>
      <c r="K5512" t="s">
        <v>34754</v>
      </c>
      <c r="L5512" t="s">
        <v>34748</v>
      </c>
    </row>
    <row r="5513" spans="1:12" x14ac:dyDescent="0.25">
      <c r="A5513">
        <v>1006457</v>
      </c>
      <c r="B5513">
        <v>1012342</v>
      </c>
      <c r="D5513">
        <v>0</v>
      </c>
      <c r="F5513">
        <v>1064386</v>
      </c>
      <c r="G5513">
        <v>1006457</v>
      </c>
      <c r="H5513" t="e" vm="2421">
        <f>_FV(0,"197")</f>
        <v>#VALUE!</v>
      </c>
      <c r="I5513">
        <v>1012342</v>
      </c>
      <c r="J5513" t="s">
        <v>34755</v>
      </c>
      <c r="K5513" t="s">
        <v>34756</v>
      </c>
      <c r="L5513" t="e" vm="2421">
        <f>_FV(0,"197")</f>
        <v>#VALUE!</v>
      </c>
    </row>
    <row r="5514" spans="1:12" x14ac:dyDescent="0.25">
      <c r="A5514">
        <v>1006461</v>
      </c>
      <c r="B5514">
        <v>1006470</v>
      </c>
      <c r="D5514">
        <v>0</v>
      </c>
      <c r="E5514" t="s">
        <v>34758</v>
      </c>
      <c r="F5514" t="s">
        <v>34759</v>
      </c>
      <c r="G5514" t="s">
        <v>34760</v>
      </c>
      <c r="H5514" t="e" vm="2422">
        <f>_FV(0,"003303220812361617")</f>
        <v>#VALUE!</v>
      </c>
      <c r="I5514" t="s">
        <v>34761</v>
      </c>
      <c r="J5514" t="s">
        <v>34762</v>
      </c>
      <c r="K5514" t="s">
        <v>34763</v>
      </c>
      <c r="L5514" t="s">
        <v>34757</v>
      </c>
    </row>
    <row r="5515" spans="1:12" x14ac:dyDescent="0.25">
      <c r="A5515">
        <v>1006461</v>
      </c>
      <c r="B5515">
        <v>1006470</v>
      </c>
      <c r="D5515">
        <v>0</v>
      </c>
      <c r="E5515" t="s">
        <v>34765</v>
      </c>
      <c r="F5515" t="s">
        <v>34766</v>
      </c>
      <c r="G5515" t="s">
        <v>34767</v>
      </c>
      <c r="H5515" t="e" vm="2423">
        <f>_FV(0,"0032235370357820356")</f>
        <v>#VALUE!</v>
      </c>
      <c r="I5515" t="s">
        <v>34768</v>
      </c>
      <c r="J5515" t="s">
        <v>34769</v>
      </c>
      <c r="K5515" t="s">
        <v>34770</v>
      </c>
      <c r="L5515" t="s">
        <v>34764</v>
      </c>
    </row>
    <row r="5516" spans="1:12" x14ac:dyDescent="0.25">
      <c r="A5516">
        <v>1006470</v>
      </c>
      <c r="B5516">
        <v>1006555</v>
      </c>
      <c r="D5516" t="s">
        <v>29021</v>
      </c>
      <c r="E5516" t="s">
        <v>34772</v>
      </c>
      <c r="F5516" t="s">
        <v>34773</v>
      </c>
      <c r="G5516" t="s">
        <v>34774</v>
      </c>
      <c r="H5516" t="e" vm="2424">
        <f>_FV(0,"0006220090797434888")</f>
        <v>#VALUE!</v>
      </c>
      <c r="I5516" t="s">
        <v>34775</v>
      </c>
      <c r="J5516" t="s">
        <v>34776</v>
      </c>
      <c r="K5516" t="s">
        <v>34777</v>
      </c>
      <c r="L5516" t="s">
        <v>34771</v>
      </c>
    </row>
    <row r="5517" spans="1:12" x14ac:dyDescent="0.25">
      <c r="A5517">
        <v>1006555</v>
      </c>
      <c r="B5517">
        <v>1006563</v>
      </c>
      <c r="D5517" t="s">
        <v>34779</v>
      </c>
      <c r="E5517" t="s">
        <v>34780</v>
      </c>
      <c r="F5517" t="s">
        <v>34781</v>
      </c>
      <c r="G5517" t="s">
        <v>34782</v>
      </c>
      <c r="H5517" t="s">
        <v>34783</v>
      </c>
      <c r="I5517" t="s">
        <v>34784</v>
      </c>
      <c r="J5517" t="s">
        <v>34785</v>
      </c>
      <c r="K5517" t="s">
        <v>34786</v>
      </c>
      <c r="L5517" t="s">
        <v>34778</v>
      </c>
    </row>
    <row r="5518" spans="1:12" x14ac:dyDescent="0.25">
      <c r="A5518">
        <v>1006555</v>
      </c>
      <c r="B5518">
        <v>1006563</v>
      </c>
      <c r="D5518" t="s">
        <v>34788</v>
      </c>
      <c r="E5518" t="s">
        <v>34789</v>
      </c>
      <c r="F5518" t="s">
        <v>34790</v>
      </c>
      <c r="G5518" t="s">
        <v>34791</v>
      </c>
      <c r="H5518" t="s">
        <v>34792</v>
      </c>
      <c r="I5518" t="s">
        <v>34793</v>
      </c>
      <c r="J5518" t="s">
        <v>34794</v>
      </c>
      <c r="K5518" t="s">
        <v>34795</v>
      </c>
      <c r="L5518" t="s">
        <v>34787</v>
      </c>
    </row>
    <row r="5519" spans="1:12" x14ac:dyDescent="0.25">
      <c r="A5519">
        <v>1006563</v>
      </c>
      <c r="B5519">
        <v>1016827</v>
      </c>
      <c r="D5519" t="s">
        <v>34797</v>
      </c>
      <c r="E5519" t="s">
        <v>34798</v>
      </c>
      <c r="F5519" t="s">
        <v>34799</v>
      </c>
      <c r="G5519" t="s">
        <v>34800</v>
      </c>
      <c r="H5519" t="s">
        <v>34801</v>
      </c>
      <c r="I5519" t="s">
        <v>34802</v>
      </c>
      <c r="J5519" t="s">
        <v>34803</v>
      </c>
      <c r="K5519" t="s">
        <v>34804</v>
      </c>
      <c r="L5519" t="s">
        <v>34796</v>
      </c>
    </row>
    <row r="5520" spans="1:12" x14ac:dyDescent="0.25">
      <c r="A5520">
        <v>1008753</v>
      </c>
      <c r="B5520">
        <v>1083920</v>
      </c>
      <c r="D5520">
        <v>0</v>
      </c>
      <c r="F5520">
        <v>1164649</v>
      </c>
      <c r="G5520">
        <v>1083920</v>
      </c>
      <c r="H5520" t="s">
        <v>34805</v>
      </c>
      <c r="I5520">
        <v>1008753</v>
      </c>
      <c r="J5520" t="s">
        <v>34805</v>
      </c>
      <c r="K5520" t="s">
        <v>34806</v>
      </c>
      <c r="L5520" t="s">
        <v>34805</v>
      </c>
    </row>
    <row r="5521" spans="1:12" x14ac:dyDescent="0.25">
      <c r="A5521">
        <v>1008753</v>
      </c>
      <c r="B5521">
        <v>1096891</v>
      </c>
      <c r="D5521">
        <v>0</v>
      </c>
      <c r="E5521" t="s">
        <v>34808</v>
      </c>
      <c r="F5521" t="s">
        <v>34809</v>
      </c>
      <c r="G5521" t="s">
        <v>34810</v>
      </c>
      <c r="H5521" t="s">
        <v>34811</v>
      </c>
      <c r="I5521" t="s">
        <v>34812</v>
      </c>
      <c r="J5521" t="s">
        <v>34813</v>
      </c>
      <c r="K5521" t="s">
        <v>34814</v>
      </c>
      <c r="L5521" t="s">
        <v>34807</v>
      </c>
    </row>
    <row r="5522" spans="1:12" x14ac:dyDescent="0.25">
      <c r="A5522">
        <v>1009265</v>
      </c>
      <c r="B5522">
        <v>1009283</v>
      </c>
      <c r="D5522" t="s">
        <v>204</v>
      </c>
      <c r="E5522" t="s">
        <v>34816</v>
      </c>
      <c r="F5522" t="s">
        <v>34817</v>
      </c>
      <c r="G5522" t="s">
        <v>34818</v>
      </c>
      <c r="H5522" t="e" vm="2425">
        <f>_FV(0,"036489625370037075")</f>
        <v>#VALUE!</v>
      </c>
      <c r="I5522" t="s">
        <v>34819</v>
      </c>
      <c r="J5522" t="s">
        <v>34820</v>
      </c>
      <c r="K5522" t="s">
        <v>34821</v>
      </c>
      <c r="L5522" t="s">
        <v>34815</v>
      </c>
    </row>
    <row r="5523" spans="1:12" x14ac:dyDescent="0.25">
      <c r="A5523">
        <v>1009265</v>
      </c>
      <c r="B5523">
        <v>1010589</v>
      </c>
      <c r="D5523">
        <v>0</v>
      </c>
      <c r="E5523" t="s">
        <v>34823</v>
      </c>
      <c r="F5523" t="s">
        <v>34824</v>
      </c>
      <c r="G5523" t="s">
        <v>34825</v>
      </c>
      <c r="H5523" t="e" vm="2426">
        <f>_FV(0,"055836533047501934")</f>
        <v>#VALUE!</v>
      </c>
      <c r="I5523" t="s">
        <v>34826</v>
      </c>
      <c r="J5523" t="s">
        <v>34827</v>
      </c>
      <c r="K5523" t="s">
        <v>34828</v>
      </c>
      <c r="L5523" t="s">
        <v>34822</v>
      </c>
    </row>
    <row r="5524" spans="1:12" x14ac:dyDescent="0.25">
      <c r="A5524">
        <v>1009265</v>
      </c>
      <c r="B5524">
        <v>1010605</v>
      </c>
      <c r="D5524">
        <v>0</v>
      </c>
      <c r="E5524" t="s">
        <v>34830</v>
      </c>
      <c r="F5524" t="s">
        <v>34831</v>
      </c>
      <c r="G5524" t="s">
        <v>34832</v>
      </c>
      <c r="H5524" t="e" vm="2427">
        <f>_FV(0,"06525000886256861")</f>
        <v>#VALUE!</v>
      </c>
      <c r="I5524" t="s">
        <v>34833</v>
      </c>
      <c r="J5524" t="s">
        <v>34834</v>
      </c>
      <c r="K5524" t="s">
        <v>34835</v>
      </c>
      <c r="L5524" t="s">
        <v>34829</v>
      </c>
    </row>
    <row r="5525" spans="1:12" x14ac:dyDescent="0.25">
      <c r="A5525">
        <v>1009283</v>
      </c>
      <c r="B5525">
        <v>1009482</v>
      </c>
      <c r="D5525">
        <v>0</v>
      </c>
      <c r="E5525" t="s">
        <v>34837</v>
      </c>
      <c r="F5525" t="s">
        <v>34838</v>
      </c>
      <c r="G5525" t="s">
        <v>34839</v>
      </c>
      <c r="H5525" t="e" vm="2428">
        <f>_FV(0,"02688562978451127")</f>
        <v>#VALUE!</v>
      </c>
      <c r="I5525" t="s">
        <v>34840</v>
      </c>
      <c r="J5525" t="s">
        <v>34841</v>
      </c>
      <c r="K5525" t="s">
        <v>34842</v>
      </c>
      <c r="L5525" t="s">
        <v>34836</v>
      </c>
    </row>
    <row r="5526" spans="1:12" x14ac:dyDescent="0.25">
      <c r="A5526">
        <v>1009283</v>
      </c>
      <c r="B5526">
        <v>1009529</v>
      </c>
      <c r="D5526">
        <v>0</v>
      </c>
      <c r="E5526" t="s">
        <v>34844</v>
      </c>
      <c r="F5526" t="s">
        <v>34845</v>
      </c>
      <c r="G5526" t="s">
        <v>34846</v>
      </c>
      <c r="H5526" t="e" vm="2429">
        <f>_FV(0,"04266231250155639")</f>
        <v>#VALUE!</v>
      </c>
      <c r="I5526" t="s">
        <v>34847</v>
      </c>
      <c r="J5526" t="s">
        <v>34848</v>
      </c>
      <c r="K5526" t="s">
        <v>34849</v>
      </c>
      <c r="L5526" t="s">
        <v>34843</v>
      </c>
    </row>
    <row r="5527" spans="1:12" x14ac:dyDescent="0.25">
      <c r="A5527">
        <v>1009290</v>
      </c>
      <c r="B5527">
        <v>614116</v>
      </c>
      <c r="D5527">
        <v>0</v>
      </c>
      <c r="E5527" t="s">
        <v>34851</v>
      </c>
      <c r="F5527" t="s">
        <v>34852</v>
      </c>
      <c r="G5527" t="s">
        <v>34853</v>
      </c>
      <c r="H5527" t="e" vm="2430">
        <f>_FV(0,"004004119904916285")</f>
        <v>#VALUE!</v>
      </c>
      <c r="I5527" t="s">
        <v>34854</v>
      </c>
      <c r="J5527" t="s">
        <v>34855</v>
      </c>
      <c r="K5527" t="s">
        <v>34856</v>
      </c>
      <c r="L5527" t="s">
        <v>34850</v>
      </c>
    </row>
    <row r="5528" spans="1:12" x14ac:dyDescent="0.25">
      <c r="A5528">
        <v>1009290</v>
      </c>
      <c r="B5528">
        <v>1009509</v>
      </c>
      <c r="D5528">
        <v>0</v>
      </c>
      <c r="E5528" t="s">
        <v>34858</v>
      </c>
      <c r="F5528" t="s">
        <v>34859</v>
      </c>
      <c r="G5528" t="s">
        <v>34860</v>
      </c>
      <c r="H5528" t="e" vm="2431">
        <f>_FV(0,"014001811258228431")</f>
        <v>#VALUE!</v>
      </c>
      <c r="I5528" t="s">
        <v>34861</v>
      </c>
      <c r="J5528" t="s">
        <v>34862</v>
      </c>
      <c r="K5528" t="s">
        <v>34863</v>
      </c>
      <c r="L5528" t="s">
        <v>34857</v>
      </c>
    </row>
    <row r="5529" spans="1:12" x14ac:dyDescent="0.25">
      <c r="A5529">
        <v>1009290</v>
      </c>
      <c r="B5529">
        <v>1009522</v>
      </c>
      <c r="D5529">
        <v>0</v>
      </c>
      <c r="E5529" t="s">
        <v>34865</v>
      </c>
      <c r="F5529" t="s">
        <v>34866</v>
      </c>
      <c r="G5529" t="s">
        <v>34867</v>
      </c>
      <c r="H5529" t="e" vm="2432">
        <f>_FV(0,"027852532870206042")</f>
        <v>#VALUE!</v>
      </c>
      <c r="I5529" t="s">
        <v>34868</v>
      </c>
      <c r="J5529" t="s">
        <v>2152</v>
      </c>
      <c r="K5529" t="s">
        <v>34869</v>
      </c>
      <c r="L5529" t="s">
        <v>34864</v>
      </c>
    </row>
    <row r="5530" spans="1:12" x14ac:dyDescent="0.25">
      <c r="A5530">
        <v>1009482</v>
      </c>
      <c r="B5530">
        <v>1009509</v>
      </c>
      <c r="D5530">
        <v>0</v>
      </c>
      <c r="E5530" t="s">
        <v>34871</v>
      </c>
      <c r="F5530" t="s">
        <v>34872</v>
      </c>
      <c r="G5530" t="s">
        <v>34873</v>
      </c>
      <c r="H5530" t="e" vm="2433">
        <f>_FV(0,"026380616882238507")</f>
        <v>#VALUE!</v>
      </c>
      <c r="I5530" t="s">
        <v>34874</v>
      </c>
      <c r="J5530" t="s">
        <v>34875</v>
      </c>
      <c r="K5530" t="s">
        <v>34876</v>
      </c>
      <c r="L5530" t="s">
        <v>34870</v>
      </c>
    </row>
    <row r="5531" spans="1:12" x14ac:dyDescent="0.25">
      <c r="A5531">
        <v>1009482</v>
      </c>
      <c r="B5531">
        <v>1009529</v>
      </c>
      <c r="D5531">
        <v>0</v>
      </c>
      <c r="E5531" t="s">
        <v>34878</v>
      </c>
      <c r="F5531" t="s">
        <v>34879</v>
      </c>
      <c r="G5531" t="s">
        <v>34880</v>
      </c>
      <c r="H5531" t="s">
        <v>34881</v>
      </c>
      <c r="I5531" t="s">
        <v>34882</v>
      </c>
      <c r="J5531" t="s">
        <v>34877</v>
      </c>
      <c r="K5531" t="s">
        <v>34883</v>
      </c>
      <c r="L5531" t="s">
        <v>34877</v>
      </c>
    </row>
    <row r="5532" spans="1:12" x14ac:dyDescent="0.25">
      <c r="A5532">
        <v>1009509</v>
      </c>
      <c r="B5532">
        <v>1009522</v>
      </c>
      <c r="D5532">
        <v>0</v>
      </c>
      <c r="E5532" t="s">
        <v>34885</v>
      </c>
      <c r="F5532" t="s">
        <v>34886</v>
      </c>
      <c r="G5532" t="s">
        <v>34887</v>
      </c>
      <c r="H5532" t="s">
        <v>34888</v>
      </c>
      <c r="I5532" t="s">
        <v>34889</v>
      </c>
      <c r="J5532" t="s">
        <v>34884</v>
      </c>
      <c r="K5532" t="s">
        <v>34890</v>
      </c>
      <c r="L5532" t="s">
        <v>34884</v>
      </c>
    </row>
    <row r="5533" spans="1:12" x14ac:dyDescent="0.25">
      <c r="A5533">
        <v>1009522</v>
      </c>
      <c r="B5533">
        <v>1009529</v>
      </c>
      <c r="D5533">
        <v>0</v>
      </c>
      <c r="F5533">
        <v>1061431</v>
      </c>
      <c r="G5533">
        <v>1009529</v>
      </c>
      <c r="H5533" t="s">
        <v>6429</v>
      </c>
      <c r="I5533">
        <v>1009522</v>
      </c>
      <c r="J5533" t="s">
        <v>6429</v>
      </c>
      <c r="K5533" t="s">
        <v>34891</v>
      </c>
      <c r="L5533" t="s">
        <v>6429</v>
      </c>
    </row>
    <row r="5534" spans="1:12" x14ac:dyDescent="0.25">
      <c r="A5534">
        <v>1009585</v>
      </c>
      <c r="B5534">
        <v>1009592</v>
      </c>
      <c r="D5534">
        <v>0</v>
      </c>
      <c r="E5534" t="s">
        <v>34893</v>
      </c>
      <c r="F5534" t="s">
        <v>34894</v>
      </c>
      <c r="G5534" t="s">
        <v>34895</v>
      </c>
      <c r="H5534" t="e" vm="2434">
        <f>_FV(0,"014503999836250876")</f>
        <v>#VALUE!</v>
      </c>
      <c r="I5534" t="s">
        <v>34896</v>
      </c>
      <c r="J5534" t="s">
        <v>34897</v>
      </c>
      <c r="K5534" t="s">
        <v>34898</v>
      </c>
      <c r="L5534" t="s">
        <v>34892</v>
      </c>
    </row>
    <row r="5535" spans="1:12" x14ac:dyDescent="0.25">
      <c r="A5535">
        <v>1009585</v>
      </c>
      <c r="B5535">
        <v>1009592</v>
      </c>
      <c r="D5535">
        <v>0</v>
      </c>
      <c r="E5535" t="s">
        <v>34900</v>
      </c>
      <c r="F5535" t="s">
        <v>34901</v>
      </c>
      <c r="G5535" t="s">
        <v>34902</v>
      </c>
      <c r="H5535" t="e" vm="2435">
        <f>_FV(0,"014395271495830623")</f>
        <v>#VALUE!</v>
      </c>
      <c r="I5535" t="s">
        <v>34903</v>
      </c>
      <c r="J5535" t="s">
        <v>34904</v>
      </c>
      <c r="K5535" t="s">
        <v>34905</v>
      </c>
      <c r="L5535" t="s">
        <v>34899</v>
      </c>
    </row>
    <row r="5536" spans="1:12" x14ac:dyDescent="0.25">
      <c r="A5536">
        <v>1009585</v>
      </c>
      <c r="B5536">
        <v>1808945</v>
      </c>
      <c r="C5536" t="s">
        <v>34907</v>
      </c>
      <c r="D5536" t="s">
        <v>34908</v>
      </c>
      <c r="E5536" t="s">
        <v>34909</v>
      </c>
      <c r="F5536" t="s">
        <v>34910</v>
      </c>
      <c r="G5536" t="s">
        <v>34911</v>
      </c>
      <c r="H5536" t="e" vm="2436">
        <f>_FV(0,"003721030758868863")</f>
        <v>#VALUE!</v>
      </c>
      <c r="I5536" t="s">
        <v>34912</v>
      </c>
      <c r="J5536" t="s">
        <v>34913</v>
      </c>
      <c r="K5536" t="s">
        <v>34914</v>
      </c>
      <c r="L5536" t="s">
        <v>34906</v>
      </c>
    </row>
    <row r="5537" spans="1:12" x14ac:dyDescent="0.25">
      <c r="A5537">
        <v>1009592</v>
      </c>
      <c r="B5537">
        <v>1854896</v>
      </c>
      <c r="D5537">
        <v>0</v>
      </c>
      <c r="E5537" t="s">
        <v>34915</v>
      </c>
      <c r="H5537" t="s">
        <v>187</v>
      </c>
      <c r="J5537">
        <v>0</v>
      </c>
      <c r="K5537" t="s">
        <v>31755</v>
      </c>
      <c r="L5537">
        <v>0</v>
      </c>
    </row>
    <row r="5538" spans="1:12" x14ac:dyDescent="0.25">
      <c r="A5538">
        <v>1010517</v>
      </c>
      <c r="B5538">
        <v>1010518</v>
      </c>
      <c r="D5538">
        <v>0</v>
      </c>
      <c r="F5538">
        <v>1062379</v>
      </c>
      <c r="G5538">
        <v>1010518</v>
      </c>
      <c r="H5538" t="e" vm="493">
        <f>_FV(0,"025")</f>
        <v>#VALUE!</v>
      </c>
      <c r="I5538">
        <v>1010517</v>
      </c>
      <c r="J5538" t="s">
        <v>899</v>
      </c>
      <c r="K5538" t="s">
        <v>34916</v>
      </c>
      <c r="L5538" t="e" vm="493">
        <f>_FV(0,"025")</f>
        <v>#VALUE!</v>
      </c>
    </row>
    <row r="5539" spans="1:12" x14ac:dyDescent="0.25">
      <c r="A5539">
        <v>1010517</v>
      </c>
      <c r="B5539">
        <v>1010565</v>
      </c>
      <c r="D5539">
        <v>0</v>
      </c>
      <c r="E5539" t="s">
        <v>34918</v>
      </c>
      <c r="F5539" t="s">
        <v>34919</v>
      </c>
      <c r="G5539" t="s">
        <v>34920</v>
      </c>
      <c r="H5539" t="e" vm="2437">
        <f>_FV(0,"07712917061237694")</f>
        <v>#VALUE!</v>
      </c>
      <c r="I5539" t="s">
        <v>34921</v>
      </c>
      <c r="J5539" t="s">
        <v>34922</v>
      </c>
      <c r="K5539" t="s">
        <v>34923</v>
      </c>
      <c r="L5539" t="s">
        <v>34917</v>
      </c>
    </row>
    <row r="5540" spans="1:12" x14ac:dyDescent="0.25">
      <c r="A5540">
        <v>1010518</v>
      </c>
      <c r="B5540">
        <v>1010533</v>
      </c>
      <c r="D5540">
        <v>0</v>
      </c>
      <c r="E5540" t="s">
        <v>34925</v>
      </c>
      <c r="F5540" t="s">
        <v>34926</v>
      </c>
      <c r="G5540" t="s">
        <v>34927</v>
      </c>
      <c r="H5540" t="s">
        <v>34928</v>
      </c>
      <c r="I5540" t="s">
        <v>34929</v>
      </c>
      <c r="J5540" t="s">
        <v>34924</v>
      </c>
      <c r="K5540" t="s">
        <v>34930</v>
      </c>
      <c r="L5540" t="s">
        <v>34924</v>
      </c>
    </row>
    <row r="5541" spans="1:12" x14ac:dyDescent="0.25">
      <c r="A5541">
        <v>1010533</v>
      </c>
      <c r="B5541">
        <v>1010565</v>
      </c>
      <c r="D5541">
        <v>0</v>
      </c>
      <c r="E5541" t="s">
        <v>34932</v>
      </c>
      <c r="F5541" t="s">
        <v>34933</v>
      </c>
      <c r="G5541" t="s">
        <v>34934</v>
      </c>
      <c r="H5541" t="e" vm="2438">
        <f>_FV(0,"00500123763463136")</f>
        <v>#VALUE!</v>
      </c>
      <c r="I5541" t="s">
        <v>34935</v>
      </c>
      <c r="J5541" t="s">
        <v>34936</v>
      </c>
      <c r="K5541" t="s">
        <v>34937</v>
      </c>
      <c r="L5541" t="s">
        <v>34931</v>
      </c>
    </row>
    <row r="5542" spans="1:12" x14ac:dyDescent="0.25">
      <c r="A5542">
        <v>1010588</v>
      </c>
      <c r="B5542">
        <v>1010589</v>
      </c>
      <c r="D5542">
        <v>0</v>
      </c>
      <c r="F5542">
        <v>1062451</v>
      </c>
      <c r="G5542">
        <v>1010589</v>
      </c>
      <c r="H5542" t="e" vm="1209">
        <f>_FV(0,"042")</f>
        <v>#VALUE!</v>
      </c>
      <c r="I5542">
        <v>1010588</v>
      </c>
      <c r="J5542" t="s">
        <v>3161</v>
      </c>
      <c r="K5542" t="s">
        <v>34938</v>
      </c>
      <c r="L5542" t="e" vm="1209">
        <f>_FV(0,"042")</f>
        <v>#VALUE!</v>
      </c>
    </row>
    <row r="5543" spans="1:12" x14ac:dyDescent="0.25">
      <c r="A5543">
        <v>1010588</v>
      </c>
      <c r="B5543">
        <v>1010636</v>
      </c>
      <c r="D5543">
        <v>0</v>
      </c>
      <c r="E5543" t="s">
        <v>34940</v>
      </c>
      <c r="F5543" t="s">
        <v>34941</v>
      </c>
      <c r="G5543" t="s">
        <v>34942</v>
      </c>
      <c r="H5543" t="e" vm="2439">
        <f>_FV(0,"08900123583372882")</f>
        <v>#VALUE!</v>
      </c>
      <c r="I5543" t="s">
        <v>34943</v>
      </c>
      <c r="J5543" t="s">
        <v>34944</v>
      </c>
      <c r="K5543" t="s">
        <v>34945</v>
      </c>
      <c r="L5543" t="s">
        <v>34939</v>
      </c>
    </row>
    <row r="5544" spans="1:12" x14ac:dyDescent="0.25">
      <c r="A5544">
        <v>1010589</v>
      </c>
      <c r="B5544">
        <v>1010605</v>
      </c>
      <c r="D5544">
        <v>0</v>
      </c>
      <c r="E5544" t="s">
        <v>34947</v>
      </c>
      <c r="F5544" t="s">
        <v>34948</v>
      </c>
      <c r="G5544" t="s">
        <v>34949</v>
      </c>
      <c r="H5544" t="s">
        <v>34950</v>
      </c>
      <c r="I5544" t="s">
        <v>34951</v>
      </c>
      <c r="J5544" t="s">
        <v>34946</v>
      </c>
      <c r="K5544" t="s">
        <v>34952</v>
      </c>
      <c r="L5544" t="s">
        <v>34946</v>
      </c>
    </row>
    <row r="5545" spans="1:12" x14ac:dyDescent="0.25">
      <c r="A5545">
        <v>1010605</v>
      </c>
      <c r="B5545">
        <v>1010615</v>
      </c>
      <c r="D5545">
        <v>0</v>
      </c>
      <c r="F5545">
        <v>1062475</v>
      </c>
      <c r="G5545">
        <v>1010615</v>
      </c>
      <c r="H5545" t="s">
        <v>21527</v>
      </c>
      <c r="I5545">
        <v>1010605</v>
      </c>
      <c r="J5545" t="s">
        <v>21527</v>
      </c>
      <c r="K5545" t="s">
        <v>34953</v>
      </c>
      <c r="L5545" t="s">
        <v>21527</v>
      </c>
    </row>
    <row r="5546" spans="1:12" x14ac:dyDescent="0.25">
      <c r="A5546">
        <v>1010615</v>
      </c>
      <c r="B5546">
        <v>1010628</v>
      </c>
      <c r="D5546">
        <v>0</v>
      </c>
      <c r="E5546" t="s">
        <v>34955</v>
      </c>
      <c r="F5546" t="s">
        <v>34956</v>
      </c>
      <c r="G5546" t="s">
        <v>34957</v>
      </c>
      <c r="H5546" t="s">
        <v>34958</v>
      </c>
      <c r="I5546" t="s">
        <v>34959</v>
      </c>
      <c r="J5546" t="s">
        <v>34954</v>
      </c>
      <c r="K5546" t="s">
        <v>34960</v>
      </c>
      <c r="L5546" t="s">
        <v>34954</v>
      </c>
    </row>
    <row r="5547" spans="1:12" x14ac:dyDescent="0.25">
      <c r="A5547">
        <v>1010628</v>
      </c>
      <c r="B5547">
        <v>1010636</v>
      </c>
      <c r="D5547">
        <v>0</v>
      </c>
      <c r="F5547">
        <v>1062499</v>
      </c>
      <c r="G5547">
        <v>1010636</v>
      </c>
      <c r="H5547" t="e" vm="1300">
        <f>_FV(0,"013")</f>
        <v>#VALUE!</v>
      </c>
      <c r="I5547">
        <v>1010628</v>
      </c>
      <c r="J5547" t="s">
        <v>30</v>
      </c>
      <c r="K5547" t="s">
        <v>34961</v>
      </c>
      <c r="L5547" t="e" vm="1300">
        <f>_FV(0,"013")</f>
        <v>#VALUE!</v>
      </c>
    </row>
    <row r="5548" spans="1:12" x14ac:dyDescent="0.25">
      <c r="A5548">
        <v>1010664</v>
      </c>
      <c r="B5548">
        <v>1010689</v>
      </c>
      <c r="D5548">
        <v>0</v>
      </c>
      <c r="E5548" t="s">
        <v>34963</v>
      </c>
      <c r="F5548" t="s">
        <v>34964</v>
      </c>
      <c r="G5548" t="s">
        <v>34965</v>
      </c>
      <c r="H5548" t="e" vm="2440">
        <f>_FV(0,"007649291292020245")</f>
        <v>#VALUE!</v>
      </c>
      <c r="I5548" t="s">
        <v>34966</v>
      </c>
      <c r="J5548" t="s">
        <v>34967</v>
      </c>
      <c r="K5548" t="s">
        <v>34968</v>
      </c>
      <c r="L5548" t="s">
        <v>34962</v>
      </c>
    </row>
    <row r="5549" spans="1:12" x14ac:dyDescent="0.25">
      <c r="A5549">
        <v>1010664</v>
      </c>
      <c r="B5549">
        <v>1010736</v>
      </c>
      <c r="D5549">
        <v>0</v>
      </c>
      <c r="E5549" t="s">
        <v>34970</v>
      </c>
      <c r="F5549" t="s">
        <v>34971</v>
      </c>
      <c r="G5549" t="s">
        <v>34972</v>
      </c>
      <c r="H5549" t="e" vm="2441">
        <f>_FV(0,"03410180747972774")</f>
        <v>#VALUE!</v>
      </c>
      <c r="I5549" t="s">
        <v>34973</v>
      </c>
      <c r="J5549" t="s">
        <v>34974</v>
      </c>
      <c r="K5549" t="s">
        <v>34975</v>
      </c>
      <c r="L5549" t="s">
        <v>34969</v>
      </c>
    </row>
    <row r="5550" spans="1:12" x14ac:dyDescent="0.25">
      <c r="A5550">
        <v>1010689</v>
      </c>
      <c r="B5550">
        <v>1010704</v>
      </c>
      <c r="D5550">
        <v>0</v>
      </c>
      <c r="E5550" t="s">
        <v>34977</v>
      </c>
      <c r="F5550" t="s">
        <v>34978</v>
      </c>
      <c r="G5550" t="s">
        <v>34979</v>
      </c>
      <c r="H5550" t="s">
        <v>34980</v>
      </c>
      <c r="I5550" t="s">
        <v>34981</v>
      </c>
      <c r="J5550" t="s">
        <v>34976</v>
      </c>
      <c r="K5550" t="s">
        <v>34982</v>
      </c>
      <c r="L5550" t="s">
        <v>34976</v>
      </c>
    </row>
    <row r="5551" spans="1:12" x14ac:dyDescent="0.25">
      <c r="A5551">
        <v>1010689</v>
      </c>
      <c r="B5551">
        <v>1016487</v>
      </c>
      <c r="D5551">
        <v>0</v>
      </c>
      <c r="E5551" t="s">
        <v>34984</v>
      </c>
      <c r="F5551" t="s">
        <v>34985</v>
      </c>
      <c r="G5551" t="s">
        <v>34986</v>
      </c>
      <c r="H5551" t="e" vm="2442">
        <f>_FV(0,"02154914877790027")</f>
        <v>#VALUE!</v>
      </c>
      <c r="I5551" t="s">
        <v>34987</v>
      </c>
      <c r="J5551" t="s">
        <v>34988</v>
      </c>
      <c r="K5551" t="s">
        <v>34989</v>
      </c>
      <c r="L5551" t="s">
        <v>34983</v>
      </c>
    </row>
    <row r="5552" spans="1:12" x14ac:dyDescent="0.25">
      <c r="A5552">
        <v>1010704</v>
      </c>
      <c r="B5552">
        <v>1010736</v>
      </c>
      <c r="D5552">
        <v>0</v>
      </c>
      <c r="E5552" t="s">
        <v>34991</v>
      </c>
      <c r="F5552" t="s">
        <v>34992</v>
      </c>
      <c r="G5552" t="s">
        <v>34993</v>
      </c>
      <c r="H5552" t="s">
        <v>34994</v>
      </c>
      <c r="I5552" t="s">
        <v>34995</v>
      </c>
      <c r="J5552" t="s">
        <v>34996</v>
      </c>
      <c r="K5552" t="s">
        <v>34997</v>
      </c>
      <c r="L5552" t="s">
        <v>34990</v>
      </c>
    </row>
    <row r="5553" spans="1:12" x14ac:dyDescent="0.25">
      <c r="A5553">
        <v>1010704</v>
      </c>
      <c r="B5553">
        <v>1016487</v>
      </c>
      <c r="D5553">
        <v>0</v>
      </c>
      <c r="E5553" t="s">
        <v>34999</v>
      </c>
      <c r="F5553" t="s">
        <v>35000</v>
      </c>
      <c r="G5553" t="s">
        <v>35001</v>
      </c>
      <c r="H5553" t="e" vm="2443">
        <f>_FV(0,"04460809584661912")</f>
        <v>#VALUE!</v>
      </c>
      <c r="I5553" t="s">
        <v>35002</v>
      </c>
      <c r="J5553" t="s">
        <v>35003</v>
      </c>
      <c r="K5553" t="s">
        <v>35004</v>
      </c>
      <c r="L5553" t="s">
        <v>34998</v>
      </c>
    </row>
    <row r="5554" spans="1:12" x14ac:dyDescent="0.25">
      <c r="A5554">
        <v>1010761</v>
      </c>
      <c r="B5554">
        <v>1854825</v>
      </c>
      <c r="C5554" t="s">
        <v>35005</v>
      </c>
      <c r="D5554">
        <v>0</v>
      </c>
      <c r="E5554" t="s">
        <v>35006</v>
      </c>
      <c r="H5554" t="s">
        <v>187</v>
      </c>
      <c r="J5554">
        <v>0</v>
      </c>
      <c r="K5554" t="s">
        <v>6473</v>
      </c>
      <c r="L5554">
        <v>0</v>
      </c>
    </row>
    <row r="5555" spans="1:12" x14ac:dyDescent="0.25">
      <c r="A5555">
        <v>1011342</v>
      </c>
      <c r="B5555">
        <v>1011677</v>
      </c>
      <c r="C5555" t="s">
        <v>35008</v>
      </c>
      <c r="D5555" t="s">
        <v>35009</v>
      </c>
      <c r="E5555" t="s">
        <v>35010</v>
      </c>
      <c r="F5555" t="s">
        <v>35011</v>
      </c>
      <c r="G5555" t="s">
        <v>35012</v>
      </c>
      <c r="H5555" t="s">
        <v>35013</v>
      </c>
      <c r="I5555" t="s">
        <v>35014</v>
      </c>
      <c r="J5555" t="s">
        <v>35015</v>
      </c>
      <c r="K5555" t="s">
        <v>35016</v>
      </c>
      <c r="L5555" t="s">
        <v>35007</v>
      </c>
    </row>
    <row r="5556" spans="1:12" x14ac:dyDescent="0.25">
      <c r="A5556">
        <v>1011677</v>
      </c>
      <c r="B5556">
        <v>1011683</v>
      </c>
      <c r="D5556">
        <v>0</v>
      </c>
      <c r="E5556" t="s">
        <v>35018</v>
      </c>
      <c r="F5556" t="s">
        <v>35019</v>
      </c>
      <c r="G5556" t="s">
        <v>35020</v>
      </c>
      <c r="H5556" t="e" vm="2444">
        <f>_FV(0,"0322631491710416")</f>
        <v>#VALUE!</v>
      </c>
      <c r="I5556" t="s">
        <v>35021</v>
      </c>
      <c r="J5556" t="s">
        <v>35022</v>
      </c>
      <c r="K5556" t="s">
        <v>35023</v>
      </c>
      <c r="L5556" t="s">
        <v>35017</v>
      </c>
    </row>
    <row r="5557" spans="1:12" x14ac:dyDescent="0.25">
      <c r="A5557">
        <v>1011677</v>
      </c>
      <c r="B5557">
        <v>1011683</v>
      </c>
      <c r="D5557">
        <v>0</v>
      </c>
      <c r="E5557" t="s">
        <v>35025</v>
      </c>
      <c r="F5557" t="s">
        <v>35026</v>
      </c>
      <c r="G5557" t="s">
        <v>35027</v>
      </c>
      <c r="H5557" t="e" vm="2445">
        <f>_FV(0,"032210239176539236")</f>
        <v>#VALUE!</v>
      </c>
      <c r="I5557" t="s">
        <v>35028</v>
      </c>
      <c r="J5557" t="s">
        <v>35029</v>
      </c>
      <c r="K5557" t="s">
        <v>35030</v>
      </c>
      <c r="L5557" t="s">
        <v>35024</v>
      </c>
    </row>
    <row r="5558" spans="1:12" x14ac:dyDescent="0.25">
      <c r="A5558">
        <v>1011683</v>
      </c>
      <c r="B5558">
        <v>1011746</v>
      </c>
      <c r="D5558" t="s">
        <v>13351</v>
      </c>
      <c r="E5558" t="s">
        <v>35032</v>
      </c>
      <c r="F5558" t="s">
        <v>35033</v>
      </c>
      <c r="G5558" t="s">
        <v>35034</v>
      </c>
      <c r="H5558" t="e" vm="2446">
        <f>_FV(0,"00801423113351379")</f>
        <v>#VALUE!</v>
      </c>
      <c r="I5558" t="s">
        <v>35035</v>
      </c>
      <c r="J5558" t="s">
        <v>35036</v>
      </c>
      <c r="K5558" t="s">
        <v>35037</v>
      </c>
      <c r="L5558" t="s">
        <v>35031</v>
      </c>
    </row>
    <row r="5559" spans="1:12" x14ac:dyDescent="0.25">
      <c r="A5559">
        <v>1011746</v>
      </c>
      <c r="B5559">
        <v>1011753</v>
      </c>
      <c r="D5559" t="s">
        <v>9492</v>
      </c>
      <c r="E5559" t="s">
        <v>35039</v>
      </c>
      <c r="F5559" t="s">
        <v>35040</v>
      </c>
      <c r="G5559" t="s">
        <v>35041</v>
      </c>
      <c r="H5559" t="s">
        <v>35042</v>
      </c>
      <c r="I5559" t="s">
        <v>35043</v>
      </c>
      <c r="J5559" t="s">
        <v>35044</v>
      </c>
      <c r="K5559" t="s">
        <v>35045</v>
      </c>
      <c r="L5559" t="s">
        <v>35038</v>
      </c>
    </row>
    <row r="5560" spans="1:12" x14ac:dyDescent="0.25">
      <c r="A5560">
        <v>1011746</v>
      </c>
      <c r="B5560">
        <v>1011753</v>
      </c>
      <c r="D5560" t="s">
        <v>16303</v>
      </c>
      <c r="E5560" t="s">
        <v>35047</v>
      </c>
      <c r="F5560" t="s">
        <v>35048</v>
      </c>
      <c r="G5560" t="s">
        <v>35049</v>
      </c>
      <c r="H5560" t="s">
        <v>35050</v>
      </c>
      <c r="I5560" t="s">
        <v>35051</v>
      </c>
      <c r="J5560" t="s">
        <v>35052</v>
      </c>
      <c r="K5560" t="s">
        <v>35053</v>
      </c>
      <c r="L5560" t="s">
        <v>35046</v>
      </c>
    </row>
    <row r="5561" spans="1:12" x14ac:dyDescent="0.25">
      <c r="A5561">
        <v>1011753</v>
      </c>
      <c r="B5561">
        <v>1017172</v>
      </c>
      <c r="D5561" t="s">
        <v>35055</v>
      </c>
      <c r="E5561" t="s">
        <v>35056</v>
      </c>
      <c r="F5561" t="s">
        <v>35057</v>
      </c>
      <c r="G5561" t="s">
        <v>35058</v>
      </c>
      <c r="H5561" t="e" vm="2447">
        <f>_FV(0,"007289738706163101")</f>
        <v>#VALUE!</v>
      </c>
      <c r="I5561" t="s">
        <v>35059</v>
      </c>
      <c r="J5561" t="s">
        <v>35060</v>
      </c>
      <c r="K5561" t="s">
        <v>35061</v>
      </c>
      <c r="L5561" t="s">
        <v>35054</v>
      </c>
    </row>
    <row r="5562" spans="1:12" x14ac:dyDescent="0.25">
      <c r="A5562">
        <v>1011782</v>
      </c>
      <c r="B5562">
        <v>1012284</v>
      </c>
      <c r="D5562">
        <v>0</v>
      </c>
      <c r="F5562">
        <v>1064442</v>
      </c>
      <c r="G5562">
        <v>1012284</v>
      </c>
      <c r="H5562" t="e" vm="572">
        <f>_FV(0,"021")</f>
        <v>#VALUE!</v>
      </c>
      <c r="I5562">
        <v>1011782</v>
      </c>
      <c r="J5562" t="s">
        <v>1536</v>
      </c>
      <c r="K5562" t="s">
        <v>35062</v>
      </c>
      <c r="L5562" t="e" vm="572">
        <f>_FV(0,"021")</f>
        <v>#VALUE!</v>
      </c>
    </row>
    <row r="5563" spans="1:12" x14ac:dyDescent="0.25">
      <c r="A5563">
        <v>1011782</v>
      </c>
      <c r="B5563">
        <v>1011802</v>
      </c>
      <c r="D5563">
        <v>0</v>
      </c>
      <c r="E5563" t="s">
        <v>35064</v>
      </c>
      <c r="F5563" t="s">
        <v>35065</v>
      </c>
      <c r="G5563" t="s">
        <v>35066</v>
      </c>
      <c r="H5563" t="s">
        <v>35067</v>
      </c>
      <c r="I5563" t="s">
        <v>35068</v>
      </c>
      <c r="J5563" t="s">
        <v>35063</v>
      </c>
      <c r="K5563" t="s">
        <v>35069</v>
      </c>
      <c r="L5563" t="s">
        <v>35063</v>
      </c>
    </row>
    <row r="5564" spans="1:12" x14ac:dyDescent="0.25">
      <c r="A5564">
        <v>1011782</v>
      </c>
      <c r="B5564">
        <v>1012360</v>
      </c>
      <c r="D5564">
        <v>0</v>
      </c>
      <c r="E5564" t="s">
        <v>35071</v>
      </c>
      <c r="F5564" t="s">
        <v>35072</v>
      </c>
      <c r="G5564" t="s">
        <v>35073</v>
      </c>
      <c r="H5564" t="s">
        <v>35074</v>
      </c>
      <c r="I5564" t="s">
        <v>35075</v>
      </c>
      <c r="J5564" t="s">
        <v>35070</v>
      </c>
      <c r="K5564" t="s">
        <v>35076</v>
      </c>
      <c r="L5564" t="s">
        <v>35070</v>
      </c>
    </row>
    <row r="5565" spans="1:12" x14ac:dyDescent="0.25">
      <c r="A5565">
        <v>1011802</v>
      </c>
      <c r="B5565">
        <v>1011830</v>
      </c>
      <c r="D5565">
        <v>0</v>
      </c>
      <c r="E5565" t="s">
        <v>35078</v>
      </c>
      <c r="F5565" t="s">
        <v>35079</v>
      </c>
      <c r="G5565" t="s">
        <v>35080</v>
      </c>
      <c r="H5565" t="e" vm="2448">
        <f>_FV(0,"0019033170285203446")</f>
        <v>#VALUE!</v>
      </c>
      <c r="I5565" t="s">
        <v>35081</v>
      </c>
      <c r="J5565" t="s">
        <v>35082</v>
      </c>
      <c r="K5565" t="s">
        <v>35083</v>
      </c>
      <c r="L5565" t="s">
        <v>35077</v>
      </c>
    </row>
    <row r="5566" spans="1:12" x14ac:dyDescent="0.25">
      <c r="A5566">
        <v>1011802</v>
      </c>
      <c r="B5566">
        <v>1025219</v>
      </c>
      <c r="D5566">
        <v>0</v>
      </c>
      <c r="E5566" t="s">
        <v>35085</v>
      </c>
      <c r="F5566" t="s">
        <v>35086</v>
      </c>
      <c r="G5566" t="s">
        <v>35087</v>
      </c>
      <c r="H5566" t="s">
        <v>35088</v>
      </c>
      <c r="I5566" t="s">
        <v>35089</v>
      </c>
      <c r="J5566" t="s">
        <v>35084</v>
      </c>
      <c r="K5566" t="s">
        <v>35090</v>
      </c>
      <c r="L5566" t="s">
        <v>35084</v>
      </c>
    </row>
    <row r="5567" spans="1:12" x14ac:dyDescent="0.25">
      <c r="A5567">
        <v>1011830</v>
      </c>
      <c r="B5567">
        <v>1011864</v>
      </c>
      <c r="D5567">
        <v>0</v>
      </c>
      <c r="E5567" t="s">
        <v>35092</v>
      </c>
      <c r="F5567" t="s">
        <v>35093</v>
      </c>
      <c r="G5567" t="s">
        <v>35094</v>
      </c>
      <c r="H5567" t="e" vm="2449">
        <f>_FV(0,"08542843634051045")</f>
        <v>#VALUE!</v>
      </c>
      <c r="I5567" t="s">
        <v>35095</v>
      </c>
      <c r="J5567" t="s">
        <v>35096</v>
      </c>
      <c r="K5567" t="s">
        <v>35097</v>
      </c>
      <c r="L5567" t="s">
        <v>35091</v>
      </c>
    </row>
    <row r="5568" spans="1:12" x14ac:dyDescent="0.25">
      <c r="A5568">
        <v>1011830</v>
      </c>
      <c r="B5568">
        <v>1012181</v>
      </c>
      <c r="C5568" t="s">
        <v>35099</v>
      </c>
      <c r="D5568">
        <v>0</v>
      </c>
      <c r="E5568" t="s">
        <v>35100</v>
      </c>
      <c r="F5568" t="s">
        <v>35101</v>
      </c>
      <c r="G5568" t="s">
        <v>35102</v>
      </c>
      <c r="H5568" t="e" vm="2450">
        <f>_FV(0,"026506504255591597")</f>
        <v>#VALUE!</v>
      </c>
      <c r="I5568" t="s">
        <v>35103</v>
      </c>
      <c r="J5568" t="s">
        <v>35104</v>
      </c>
      <c r="K5568" t="s">
        <v>35105</v>
      </c>
      <c r="L5568" t="s">
        <v>35098</v>
      </c>
    </row>
    <row r="5569" spans="1:12" x14ac:dyDescent="0.25">
      <c r="A5569">
        <v>1011864</v>
      </c>
      <c r="B5569">
        <v>1011872</v>
      </c>
      <c r="D5569">
        <v>0</v>
      </c>
      <c r="E5569" t="s">
        <v>35107</v>
      </c>
      <c r="F5569" t="s">
        <v>35108</v>
      </c>
      <c r="G5569" t="s">
        <v>35109</v>
      </c>
      <c r="H5569" t="e" vm="2451">
        <f>_FV(0,"022889016327625123")</f>
        <v>#VALUE!</v>
      </c>
      <c r="I5569" t="s">
        <v>35110</v>
      </c>
      <c r="J5569" t="s">
        <v>35111</v>
      </c>
      <c r="K5569" t="s">
        <v>35112</v>
      </c>
      <c r="L5569" t="s">
        <v>35106</v>
      </c>
    </row>
    <row r="5570" spans="1:12" x14ac:dyDescent="0.25">
      <c r="A5570">
        <v>1011864</v>
      </c>
      <c r="B5570">
        <v>1012215</v>
      </c>
      <c r="D5570">
        <v>0</v>
      </c>
      <c r="F5570">
        <v>1104264</v>
      </c>
      <c r="G5570">
        <v>1011864</v>
      </c>
      <c r="H5570" t="e" vm="1006">
        <f>_FV(0,"006")</f>
        <v>#VALUE!</v>
      </c>
      <c r="I5570">
        <v>1012215</v>
      </c>
      <c r="J5570" t="s">
        <v>250</v>
      </c>
      <c r="K5570" t="s">
        <v>35113</v>
      </c>
      <c r="L5570" t="e" vm="1006">
        <f>_FV(0,"006")</f>
        <v>#VALUE!</v>
      </c>
    </row>
    <row r="5571" spans="1:12" x14ac:dyDescent="0.25">
      <c r="A5571">
        <v>1011872</v>
      </c>
      <c r="B5571">
        <v>1012209</v>
      </c>
      <c r="D5571">
        <v>0</v>
      </c>
      <c r="F5571">
        <v>1104336</v>
      </c>
      <c r="G5571">
        <v>1012209</v>
      </c>
      <c r="H5571" t="s">
        <v>1589</v>
      </c>
      <c r="I5571">
        <v>1011872</v>
      </c>
      <c r="J5571" t="s">
        <v>1589</v>
      </c>
      <c r="K5571" t="s">
        <v>35114</v>
      </c>
      <c r="L5571" t="s">
        <v>1589</v>
      </c>
    </row>
    <row r="5572" spans="1:12" x14ac:dyDescent="0.25">
      <c r="A5572">
        <v>1011872</v>
      </c>
      <c r="B5572">
        <v>1011880</v>
      </c>
      <c r="D5572">
        <v>0</v>
      </c>
      <c r="E5572" t="s">
        <v>35116</v>
      </c>
      <c r="F5572" t="s">
        <v>35117</v>
      </c>
      <c r="G5572" t="s">
        <v>35118</v>
      </c>
      <c r="H5572" t="s">
        <v>35119</v>
      </c>
      <c r="I5572" t="s">
        <v>35120</v>
      </c>
      <c r="J5572" t="s">
        <v>35115</v>
      </c>
      <c r="K5572" t="s">
        <v>35121</v>
      </c>
      <c r="L5572" t="s">
        <v>35115</v>
      </c>
    </row>
    <row r="5573" spans="1:12" x14ac:dyDescent="0.25">
      <c r="A5573">
        <v>1011880</v>
      </c>
      <c r="B5573">
        <v>1012209</v>
      </c>
      <c r="D5573">
        <v>0</v>
      </c>
      <c r="E5573" t="s">
        <v>35123</v>
      </c>
      <c r="F5573" t="s">
        <v>35124</v>
      </c>
      <c r="G5573" t="s">
        <v>35125</v>
      </c>
      <c r="H5573" t="e" vm="2452">
        <f>_FV(0,"0008864516362422028")</f>
        <v>#VALUE!</v>
      </c>
      <c r="I5573" t="s">
        <v>35126</v>
      </c>
      <c r="J5573" t="s">
        <v>35127</v>
      </c>
      <c r="K5573" t="s">
        <v>35128</v>
      </c>
      <c r="L5573" t="s">
        <v>35122</v>
      </c>
    </row>
    <row r="5574" spans="1:12" x14ac:dyDescent="0.25">
      <c r="A5574">
        <v>1011880</v>
      </c>
      <c r="B5574">
        <v>1012182</v>
      </c>
      <c r="C5574" t="s">
        <v>35130</v>
      </c>
      <c r="D5574">
        <v>0</v>
      </c>
      <c r="E5574" t="s">
        <v>35131</v>
      </c>
      <c r="F5574" t="s">
        <v>35132</v>
      </c>
      <c r="G5574" t="s">
        <v>35133</v>
      </c>
      <c r="H5574" t="s">
        <v>35134</v>
      </c>
      <c r="I5574" t="s">
        <v>35135</v>
      </c>
      <c r="J5574" t="s">
        <v>35136</v>
      </c>
      <c r="K5574" t="s">
        <v>35137</v>
      </c>
      <c r="L5574" t="s">
        <v>35129</v>
      </c>
    </row>
    <row r="5575" spans="1:12" x14ac:dyDescent="0.25">
      <c r="A5575">
        <v>1011881</v>
      </c>
      <c r="B5575">
        <v>1011888</v>
      </c>
      <c r="C5575" t="s">
        <v>35139</v>
      </c>
      <c r="D5575" t="s">
        <v>35140</v>
      </c>
      <c r="E5575" t="s">
        <v>35141</v>
      </c>
      <c r="F5575" t="s">
        <v>35142</v>
      </c>
      <c r="G5575" t="s">
        <v>35143</v>
      </c>
      <c r="H5575" t="s">
        <v>35144</v>
      </c>
      <c r="I5575" t="s">
        <v>35145</v>
      </c>
      <c r="J5575" t="s">
        <v>35146</v>
      </c>
      <c r="K5575" t="s">
        <v>35147</v>
      </c>
      <c r="L5575" t="s">
        <v>35138</v>
      </c>
    </row>
    <row r="5576" spans="1:12" x14ac:dyDescent="0.25">
      <c r="A5576">
        <v>1011881</v>
      </c>
      <c r="B5576">
        <v>1011888</v>
      </c>
      <c r="D5576" t="s">
        <v>35149</v>
      </c>
      <c r="E5576" t="s">
        <v>35150</v>
      </c>
      <c r="F5576" t="s">
        <v>35151</v>
      </c>
      <c r="G5576" t="s">
        <v>35152</v>
      </c>
      <c r="H5576" t="s">
        <v>35153</v>
      </c>
      <c r="I5576" t="s">
        <v>35154</v>
      </c>
      <c r="J5576" t="s">
        <v>35155</v>
      </c>
      <c r="K5576" t="s">
        <v>35156</v>
      </c>
      <c r="L5576" t="s">
        <v>35148</v>
      </c>
    </row>
    <row r="5577" spans="1:12" x14ac:dyDescent="0.25">
      <c r="A5577">
        <v>1011881</v>
      </c>
      <c r="B5577">
        <v>1017215</v>
      </c>
      <c r="D5577" t="s">
        <v>35158</v>
      </c>
      <c r="E5577" t="s">
        <v>35159</v>
      </c>
      <c r="F5577" t="s">
        <v>35160</v>
      </c>
      <c r="G5577" t="s">
        <v>35161</v>
      </c>
      <c r="H5577" t="s">
        <v>35162</v>
      </c>
      <c r="I5577" t="s">
        <v>35163</v>
      </c>
      <c r="J5577" t="s">
        <v>35164</v>
      </c>
      <c r="K5577" t="s">
        <v>35165</v>
      </c>
      <c r="L5577" t="s">
        <v>35157</v>
      </c>
    </row>
    <row r="5578" spans="1:12" x14ac:dyDescent="0.25">
      <c r="A5578">
        <v>1011888</v>
      </c>
      <c r="B5578">
        <v>1045653</v>
      </c>
      <c r="D5578" t="s">
        <v>35167</v>
      </c>
      <c r="E5578" t="s">
        <v>35168</v>
      </c>
      <c r="F5578" t="s">
        <v>35169</v>
      </c>
      <c r="G5578" t="s">
        <v>35170</v>
      </c>
      <c r="H5578" t="e" vm="2453">
        <f>_FV(0,"0010370187157087698")</f>
        <v>#VALUE!</v>
      </c>
      <c r="I5578" t="s">
        <v>35171</v>
      </c>
      <c r="J5578" t="s">
        <v>35172</v>
      </c>
      <c r="K5578" t="s">
        <v>35173</v>
      </c>
      <c r="L5578" t="s">
        <v>35166</v>
      </c>
    </row>
    <row r="5579" spans="1:12" x14ac:dyDescent="0.25">
      <c r="A5579">
        <v>1012112</v>
      </c>
      <c r="B5579">
        <v>1012151</v>
      </c>
      <c r="D5579">
        <v>0</v>
      </c>
      <c r="F5579">
        <v>1190840</v>
      </c>
      <c r="G5579">
        <v>1012151</v>
      </c>
      <c r="H5579" t="e" vm="16">
        <f>_FV(0,"007")</f>
        <v>#VALUE!</v>
      </c>
      <c r="I5579">
        <v>1012112</v>
      </c>
      <c r="J5579" t="s">
        <v>226</v>
      </c>
      <c r="K5579" t="s">
        <v>35174</v>
      </c>
      <c r="L5579" t="e" vm="16">
        <f>_FV(0,"007")</f>
        <v>#VALUE!</v>
      </c>
    </row>
    <row r="5580" spans="1:12" x14ac:dyDescent="0.25">
      <c r="A5580">
        <v>1012112</v>
      </c>
      <c r="B5580">
        <v>1012119</v>
      </c>
      <c r="D5580">
        <v>0</v>
      </c>
      <c r="E5580" t="s">
        <v>35176</v>
      </c>
      <c r="F5580" t="s">
        <v>35177</v>
      </c>
      <c r="G5580" t="s">
        <v>35178</v>
      </c>
      <c r="H5580" t="s">
        <v>35179</v>
      </c>
      <c r="I5580" t="s">
        <v>35180</v>
      </c>
      <c r="J5580" t="s">
        <v>35175</v>
      </c>
      <c r="K5580" t="s">
        <v>35181</v>
      </c>
      <c r="L5580" t="s">
        <v>35175</v>
      </c>
    </row>
    <row r="5581" spans="1:12" x14ac:dyDescent="0.25">
      <c r="A5581">
        <v>1012112</v>
      </c>
      <c r="B5581">
        <v>1017397</v>
      </c>
      <c r="D5581">
        <v>0</v>
      </c>
      <c r="E5581" t="s">
        <v>35183</v>
      </c>
      <c r="F5581" t="s">
        <v>35184</v>
      </c>
      <c r="G5581" t="s">
        <v>35185</v>
      </c>
      <c r="H5581" t="e" vm="2454">
        <f>_FV(0,"011651820714235591")</f>
        <v>#VALUE!</v>
      </c>
      <c r="I5581" t="s">
        <v>35186</v>
      </c>
      <c r="J5581" t="s">
        <v>35187</v>
      </c>
      <c r="K5581" t="s">
        <v>35188</v>
      </c>
      <c r="L5581" t="s">
        <v>35182</v>
      </c>
    </row>
    <row r="5582" spans="1:12" x14ac:dyDescent="0.25">
      <c r="A5582">
        <v>1012119</v>
      </c>
      <c r="B5582">
        <v>1012132</v>
      </c>
      <c r="D5582">
        <v>0</v>
      </c>
      <c r="E5582" t="s">
        <v>35190</v>
      </c>
      <c r="F5582" t="s">
        <v>35191</v>
      </c>
      <c r="G5582" t="s">
        <v>35192</v>
      </c>
      <c r="H5582" t="s">
        <v>35193</v>
      </c>
      <c r="I5582" t="s">
        <v>35194</v>
      </c>
      <c r="J5582" t="s">
        <v>35189</v>
      </c>
      <c r="K5582" t="s">
        <v>35195</v>
      </c>
      <c r="L5582" t="s">
        <v>35189</v>
      </c>
    </row>
    <row r="5583" spans="1:12" x14ac:dyDescent="0.25">
      <c r="A5583">
        <v>1012119</v>
      </c>
      <c r="B5583">
        <v>1012151</v>
      </c>
      <c r="D5583">
        <v>0</v>
      </c>
      <c r="E5583" t="s">
        <v>35197</v>
      </c>
      <c r="F5583" t="s">
        <v>35198</v>
      </c>
      <c r="G5583" t="s">
        <v>35199</v>
      </c>
      <c r="H5583" t="e" vm="2455">
        <f>_FV(0,"07664552625226177")</f>
        <v>#VALUE!</v>
      </c>
      <c r="I5583" t="s">
        <v>35200</v>
      </c>
      <c r="J5583" t="s">
        <v>35201</v>
      </c>
      <c r="K5583" t="s">
        <v>35202</v>
      </c>
      <c r="L5583" t="s">
        <v>35196</v>
      </c>
    </row>
    <row r="5584" spans="1:12" x14ac:dyDescent="0.25">
      <c r="A5584">
        <v>1012182</v>
      </c>
      <c r="B5584">
        <v>1017402</v>
      </c>
      <c r="D5584">
        <v>0</v>
      </c>
      <c r="E5584" t="s">
        <v>35204</v>
      </c>
      <c r="F5584" t="s">
        <v>35205</v>
      </c>
      <c r="G5584" t="s">
        <v>35206</v>
      </c>
      <c r="H5584" t="s">
        <v>35207</v>
      </c>
      <c r="I5584" t="s">
        <v>35208</v>
      </c>
      <c r="J5584" t="s">
        <v>35209</v>
      </c>
      <c r="K5584" t="s">
        <v>35210</v>
      </c>
      <c r="L5584" t="s">
        <v>35203</v>
      </c>
    </row>
    <row r="5585" spans="1:12" x14ac:dyDescent="0.25">
      <c r="A5585">
        <v>1012182</v>
      </c>
      <c r="B5585">
        <v>1017402</v>
      </c>
      <c r="D5585">
        <v>0</v>
      </c>
      <c r="E5585" t="s">
        <v>35212</v>
      </c>
      <c r="F5585" t="s">
        <v>35213</v>
      </c>
      <c r="G5585" t="s">
        <v>35214</v>
      </c>
      <c r="H5585" t="s">
        <v>35215</v>
      </c>
      <c r="I5585" t="s">
        <v>35216</v>
      </c>
      <c r="J5585" t="s">
        <v>35217</v>
      </c>
      <c r="K5585" t="s">
        <v>35218</v>
      </c>
      <c r="L5585" t="s">
        <v>35211</v>
      </c>
    </row>
    <row r="5586" spans="1:12" x14ac:dyDescent="0.25">
      <c r="A5586">
        <v>1012188</v>
      </c>
      <c r="B5586">
        <v>1017519</v>
      </c>
      <c r="D5586">
        <v>0</v>
      </c>
      <c r="E5586" t="s">
        <v>35220</v>
      </c>
      <c r="F5586" t="s">
        <v>35221</v>
      </c>
      <c r="G5586" t="s">
        <v>35222</v>
      </c>
      <c r="H5586" t="e" vm="2456">
        <f>_FV(0,"019926696847928013")</f>
        <v>#VALUE!</v>
      </c>
      <c r="I5586" t="s">
        <v>35223</v>
      </c>
      <c r="J5586" t="s">
        <v>35224</v>
      </c>
      <c r="K5586" t="s">
        <v>35225</v>
      </c>
      <c r="L5586" t="s">
        <v>35219</v>
      </c>
    </row>
    <row r="5587" spans="1:12" x14ac:dyDescent="0.25">
      <c r="A5587">
        <v>1012188</v>
      </c>
      <c r="B5587">
        <v>1012284</v>
      </c>
      <c r="D5587">
        <v>0</v>
      </c>
      <c r="E5587" t="s">
        <v>35227</v>
      </c>
      <c r="F5587" t="s">
        <v>35228</v>
      </c>
      <c r="G5587" t="s">
        <v>35229</v>
      </c>
      <c r="H5587" t="e" vm="2457">
        <f>_FV(0,"048776835920232964")</f>
        <v>#VALUE!</v>
      </c>
      <c r="I5587" t="s">
        <v>35230</v>
      </c>
      <c r="J5587" t="s">
        <v>35231</v>
      </c>
      <c r="K5587" t="s">
        <v>35232</v>
      </c>
      <c r="L5587" t="s">
        <v>35226</v>
      </c>
    </row>
    <row r="5588" spans="1:12" x14ac:dyDescent="0.25">
      <c r="A5588">
        <v>1012188</v>
      </c>
      <c r="B5588">
        <v>1012215</v>
      </c>
      <c r="D5588">
        <v>0</v>
      </c>
      <c r="E5588" t="s">
        <v>35234</v>
      </c>
      <c r="F5588" t="s">
        <v>35235</v>
      </c>
      <c r="G5588" t="s">
        <v>35236</v>
      </c>
      <c r="H5588" t="s">
        <v>35237</v>
      </c>
      <c r="I5588" t="s">
        <v>35238</v>
      </c>
      <c r="J5588" t="s">
        <v>35239</v>
      </c>
      <c r="K5588" t="s">
        <v>35240</v>
      </c>
      <c r="L5588" t="s">
        <v>35233</v>
      </c>
    </row>
    <row r="5589" spans="1:12" x14ac:dyDescent="0.25">
      <c r="A5589">
        <v>1012209</v>
      </c>
      <c r="B5589">
        <v>1012215</v>
      </c>
      <c r="D5589">
        <v>0</v>
      </c>
      <c r="F5589">
        <v>1104257</v>
      </c>
      <c r="G5589">
        <v>1012215</v>
      </c>
      <c r="H5589" t="s">
        <v>688</v>
      </c>
      <c r="I5589">
        <v>1012209</v>
      </c>
      <c r="J5589" t="s">
        <v>688</v>
      </c>
      <c r="K5589" t="s">
        <v>35241</v>
      </c>
      <c r="L5589" t="s">
        <v>688</v>
      </c>
    </row>
    <row r="5590" spans="1:12" x14ac:dyDescent="0.25">
      <c r="A5590">
        <v>1012229</v>
      </c>
      <c r="B5590">
        <v>1012251</v>
      </c>
      <c r="D5590">
        <v>0</v>
      </c>
      <c r="E5590" t="s">
        <v>35243</v>
      </c>
      <c r="F5590" t="s">
        <v>35244</v>
      </c>
      <c r="G5590" t="s">
        <v>35245</v>
      </c>
      <c r="H5590" t="s">
        <v>35246</v>
      </c>
      <c r="I5590" t="s">
        <v>35247</v>
      </c>
      <c r="J5590" t="s">
        <v>35248</v>
      </c>
      <c r="K5590" t="s">
        <v>35249</v>
      </c>
      <c r="L5590" t="s">
        <v>35242</v>
      </c>
    </row>
    <row r="5591" spans="1:12" x14ac:dyDescent="0.25">
      <c r="A5591">
        <v>1012229</v>
      </c>
      <c r="B5591">
        <v>1012303</v>
      </c>
      <c r="D5591">
        <v>0</v>
      </c>
      <c r="E5591" t="s">
        <v>35251</v>
      </c>
      <c r="F5591" t="s">
        <v>35252</v>
      </c>
      <c r="G5591" t="s">
        <v>35253</v>
      </c>
      <c r="H5591" t="s">
        <v>35254</v>
      </c>
      <c r="I5591" t="s">
        <v>35255</v>
      </c>
      <c r="J5591" t="s">
        <v>35250</v>
      </c>
      <c r="K5591" t="s">
        <v>35256</v>
      </c>
      <c r="L5591" t="s">
        <v>35250</v>
      </c>
    </row>
    <row r="5592" spans="1:12" x14ac:dyDescent="0.25">
      <c r="A5592">
        <v>1012229</v>
      </c>
      <c r="B5592">
        <v>1118721</v>
      </c>
      <c r="D5592">
        <v>0</v>
      </c>
      <c r="E5592" t="s">
        <v>35258</v>
      </c>
      <c r="F5592" t="s">
        <v>35259</v>
      </c>
      <c r="G5592" t="s">
        <v>35260</v>
      </c>
      <c r="H5592" t="e" vm="2458">
        <f>_FV(0,"0009584019098499328")</f>
        <v>#VALUE!</v>
      </c>
      <c r="I5592" t="s">
        <v>35261</v>
      </c>
      <c r="J5592" t="s">
        <v>35262</v>
      </c>
      <c r="K5592" t="s">
        <v>35263</v>
      </c>
      <c r="L5592" t="s">
        <v>35257</v>
      </c>
    </row>
    <row r="5593" spans="1:12" x14ac:dyDescent="0.25">
      <c r="A5593">
        <v>1012251</v>
      </c>
      <c r="B5593">
        <v>1012269</v>
      </c>
      <c r="D5593">
        <v>0</v>
      </c>
      <c r="E5593" t="s">
        <v>35265</v>
      </c>
      <c r="F5593" t="s">
        <v>35266</v>
      </c>
      <c r="G5593" t="s">
        <v>35267</v>
      </c>
      <c r="H5593" t="e" vm="2459">
        <f>_FV(0,"024865594196898964")</f>
        <v>#VALUE!</v>
      </c>
      <c r="I5593" t="s">
        <v>35268</v>
      </c>
      <c r="J5593" t="s">
        <v>35269</v>
      </c>
      <c r="K5593" t="s">
        <v>35270</v>
      </c>
      <c r="L5593" t="s">
        <v>35264</v>
      </c>
    </row>
    <row r="5594" spans="1:12" x14ac:dyDescent="0.25">
      <c r="A5594">
        <v>1012251</v>
      </c>
      <c r="B5594">
        <v>1017397</v>
      </c>
      <c r="D5594">
        <v>0</v>
      </c>
      <c r="E5594" t="s">
        <v>35272</v>
      </c>
      <c r="F5594" t="s">
        <v>35273</v>
      </c>
      <c r="G5594" t="s">
        <v>35274</v>
      </c>
      <c r="H5594" t="s">
        <v>35275</v>
      </c>
      <c r="I5594" t="s">
        <v>35276</v>
      </c>
      <c r="J5594" t="s">
        <v>35271</v>
      </c>
      <c r="K5594" t="s">
        <v>35277</v>
      </c>
      <c r="L5594" t="s">
        <v>35271</v>
      </c>
    </row>
    <row r="5595" spans="1:12" x14ac:dyDescent="0.25">
      <c r="A5595">
        <v>1012269</v>
      </c>
      <c r="B5595">
        <v>1012303</v>
      </c>
      <c r="D5595">
        <v>0</v>
      </c>
      <c r="E5595" t="s">
        <v>35279</v>
      </c>
      <c r="F5595" t="s">
        <v>35280</v>
      </c>
      <c r="G5595" t="s">
        <v>35281</v>
      </c>
      <c r="H5595" t="e" vm="2460">
        <f>_FV(0,"009151237878564583")</f>
        <v>#VALUE!</v>
      </c>
      <c r="I5595" t="s">
        <v>35282</v>
      </c>
      <c r="J5595" t="s">
        <v>35283</v>
      </c>
      <c r="K5595" t="s">
        <v>35284</v>
      </c>
      <c r="L5595" t="s">
        <v>35278</v>
      </c>
    </row>
    <row r="5596" spans="1:12" x14ac:dyDescent="0.25">
      <c r="A5596">
        <v>1012269</v>
      </c>
      <c r="B5596">
        <v>1017397</v>
      </c>
      <c r="D5596">
        <v>0</v>
      </c>
      <c r="E5596" t="s">
        <v>35286</v>
      </c>
      <c r="F5596" t="s">
        <v>35287</v>
      </c>
      <c r="G5596" t="s">
        <v>35288</v>
      </c>
      <c r="H5596" t="s">
        <v>35289</v>
      </c>
      <c r="I5596" t="s">
        <v>35290</v>
      </c>
      <c r="J5596" t="s">
        <v>35285</v>
      </c>
      <c r="K5596" t="s">
        <v>35291</v>
      </c>
      <c r="L5596" t="s">
        <v>35285</v>
      </c>
    </row>
    <row r="5597" spans="1:12" x14ac:dyDescent="0.25">
      <c r="A5597">
        <v>1012284</v>
      </c>
      <c r="B5597">
        <v>1012328</v>
      </c>
      <c r="D5597">
        <v>0</v>
      </c>
      <c r="F5597">
        <v>1064362</v>
      </c>
      <c r="G5597">
        <v>1012328</v>
      </c>
      <c r="H5597" t="e" vm="353">
        <f>_FV(0,"045")</f>
        <v>#VALUE!</v>
      </c>
      <c r="I5597">
        <v>1012284</v>
      </c>
      <c r="J5597" t="s">
        <v>4979</v>
      </c>
      <c r="K5597" t="s">
        <v>35292</v>
      </c>
      <c r="L5597" t="e" vm="353">
        <f>_FV(0,"045")</f>
        <v>#VALUE!</v>
      </c>
    </row>
    <row r="5598" spans="1:12" x14ac:dyDescent="0.25">
      <c r="A5598">
        <v>1012303</v>
      </c>
      <c r="B5598">
        <v>1118721</v>
      </c>
      <c r="D5598">
        <v>0</v>
      </c>
      <c r="E5598" t="s">
        <v>35294</v>
      </c>
      <c r="F5598" t="s">
        <v>35295</v>
      </c>
      <c r="G5598" t="s">
        <v>35296</v>
      </c>
      <c r="H5598" t="e" vm="2461">
        <f>_FV(0,"009545943286758004")</f>
        <v>#VALUE!</v>
      </c>
      <c r="I5598" t="s">
        <v>35297</v>
      </c>
      <c r="J5598" t="s">
        <v>35298</v>
      </c>
      <c r="K5598" t="s">
        <v>35299</v>
      </c>
      <c r="L5598" t="s">
        <v>35293</v>
      </c>
    </row>
    <row r="5599" spans="1:12" x14ac:dyDescent="0.25">
      <c r="A5599">
        <v>1012328</v>
      </c>
      <c r="B5599">
        <v>1012342</v>
      </c>
      <c r="D5599">
        <v>0</v>
      </c>
      <c r="E5599" t="s">
        <v>35301</v>
      </c>
      <c r="F5599" t="s">
        <v>35302</v>
      </c>
      <c r="G5599" t="s">
        <v>35303</v>
      </c>
      <c r="H5599" t="e" vm="2462">
        <f>_FV(0,"05153839013541376")</f>
        <v>#VALUE!</v>
      </c>
      <c r="I5599" t="s">
        <v>35304</v>
      </c>
      <c r="J5599" t="s">
        <v>35305</v>
      </c>
      <c r="K5599" t="s">
        <v>35306</v>
      </c>
      <c r="L5599" t="s">
        <v>35300</v>
      </c>
    </row>
    <row r="5600" spans="1:12" x14ac:dyDescent="0.25">
      <c r="A5600">
        <v>1012328</v>
      </c>
      <c r="B5600">
        <v>1017519</v>
      </c>
      <c r="D5600">
        <v>0</v>
      </c>
      <c r="E5600" t="s">
        <v>35308</v>
      </c>
      <c r="F5600" t="s">
        <v>35309</v>
      </c>
      <c r="G5600" t="s">
        <v>35310</v>
      </c>
      <c r="H5600" t="s">
        <v>35311</v>
      </c>
      <c r="I5600" t="s">
        <v>35312</v>
      </c>
      <c r="J5600" t="s">
        <v>35313</v>
      </c>
      <c r="K5600" t="s">
        <v>35314</v>
      </c>
      <c r="L5600" t="s">
        <v>35307</v>
      </c>
    </row>
    <row r="5601" spans="1:12" x14ac:dyDescent="0.25">
      <c r="A5601">
        <v>1012342</v>
      </c>
      <c r="B5601">
        <v>1017485</v>
      </c>
      <c r="D5601">
        <v>0</v>
      </c>
      <c r="E5601" t="s">
        <v>35316</v>
      </c>
      <c r="F5601" t="s">
        <v>35317</v>
      </c>
      <c r="G5601" t="s">
        <v>35318</v>
      </c>
      <c r="H5601" t="e" vm="2463">
        <f>_FV(0,"00850388982783853")</f>
        <v>#VALUE!</v>
      </c>
      <c r="I5601" t="s">
        <v>35319</v>
      </c>
      <c r="J5601" t="s">
        <v>35320</v>
      </c>
      <c r="K5601" t="s">
        <v>35321</v>
      </c>
      <c r="L5601" t="s">
        <v>35315</v>
      </c>
    </row>
    <row r="5602" spans="1:12" x14ac:dyDescent="0.25">
      <c r="A5602">
        <v>1012360</v>
      </c>
      <c r="B5602">
        <v>1226474</v>
      </c>
      <c r="D5602">
        <v>0</v>
      </c>
      <c r="E5602" t="s">
        <v>35323</v>
      </c>
      <c r="F5602" t="s">
        <v>35324</v>
      </c>
      <c r="G5602" t="s">
        <v>35325</v>
      </c>
      <c r="H5602" t="e" vm="2464">
        <f>_FV(0,"0024975641310303674")</f>
        <v>#VALUE!</v>
      </c>
      <c r="I5602" t="s">
        <v>35326</v>
      </c>
      <c r="J5602" t="s">
        <v>35327</v>
      </c>
      <c r="K5602" t="s">
        <v>35328</v>
      </c>
      <c r="L5602" t="s">
        <v>35322</v>
      </c>
    </row>
    <row r="5603" spans="1:12" x14ac:dyDescent="0.25">
      <c r="A5603">
        <v>1012412</v>
      </c>
      <c r="B5603">
        <v>1012426</v>
      </c>
      <c r="D5603">
        <v>0</v>
      </c>
      <c r="E5603" t="s">
        <v>35330</v>
      </c>
      <c r="F5603" t="s">
        <v>35331</v>
      </c>
      <c r="G5603" t="s">
        <v>35332</v>
      </c>
      <c r="H5603" t="e" vm="2465">
        <f>_FV(0,"050749209089577335")</f>
        <v>#VALUE!</v>
      </c>
      <c r="I5603" t="s">
        <v>35333</v>
      </c>
      <c r="J5603" t="s">
        <v>35334</v>
      </c>
      <c r="K5603" t="s">
        <v>35335</v>
      </c>
      <c r="L5603" t="s">
        <v>35329</v>
      </c>
    </row>
    <row r="5604" spans="1:12" x14ac:dyDescent="0.25">
      <c r="A5604">
        <v>1012412</v>
      </c>
      <c r="B5604">
        <v>1017563</v>
      </c>
      <c r="C5604" t="s">
        <v>35337</v>
      </c>
      <c r="D5604">
        <v>0</v>
      </c>
      <c r="E5604" t="s">
        <v>35338</v>
      </c>
      <c r="F5604" t="s">
        <v>35339</v>
      </c>
      <c r="G5604" t="s">
        <v>35340</v>
      </c>
      <c r="H5604" t="e" vm="2466">
        <f>_FV(0,"008449776692179124")</f>
        <v>#VALUE!</v>
      </c>
      <c r="I5604" t="s">
        <v>35341</v>
      </c>
      <c r="J5604" t="s">
        <v>35342</v>
      </c>
      <c r="K5604" t="s">
        <v>35343</v>
      </c>
      <c r="L5604" t="s">
        <v>35336</v>
      </c>
    </row>
    <row r="5605" spans="1:12" x14ac:dyDescent="0.25">
      <c r="A5605">
        <v>1012412</v>
      </c>
      <c r="B5605">
        <v>1012469</v>
      </c>
      <c r="D5605">
        <v>0</v>
      </c>
      <c r="E5605" t="s">
        <v>35345</v>
      </c>
      <c r="F5605" t="s">
        <v>35346</v>
      </c>
      <c r="G5605" t="s">
        <v>35347</v>
      </c>
      <c r="H5605" t="e" vm="2467">
        <f>_FV(0,"007355216485605543")</f>
        <v>#VALUE!</v>
      </c>
      <c r="I5605" t="s">
        <v>35348</v>
      </c>
      <c r="J5605" t="s">
        <v>35349</v>
      </c>
      <c r="K5605" t="s">
        <v>35350</v>
      </c>
      <c r="L5605" t="s">
        <v>35344</v>
      </c>
    </row>
    <row r="5606" spans="1:12" x14ac:dyDescent="0.25">
      <c r="A5606">
        <v>1012426</v>
      </c>
      <c r="B5606">
        <v>1012457</v>
      </c>
      <c r="D5606">
        <v>0</v>
      </c>
      <c r="E5606" t="s">
        <v>35352</v>
      </c>
      <c r="F5606" t="s">
        <v>35353</v>
      </c>
      <c r="G5606" t="s">
        <v>35354</v>
      </c>
      <c r="H5606" t="s">
        <v>35355</v>
      </c>
      <c r="I5606" t="s">
        <v>35356</v>
      </c>
      <c r="J5606" t="s">
        <v>35357</v>
      </c>
      <c r="K5606" t="s">
        <v>35358</v>
      </c>
      <c r="L5606" t="s">
        <v>35351</v>
      </c>
    </row>
    <row r="5607" spans="1:12" x14ac:dyDescent="0.25">
      <c r="A5607">
        <v>1012426</v>
      </c>
      <c r="B5607">
        <v>1017534</v>
      </c>
      <c r="D5607">
        <v>0</v>
      </c>
      <c r="E5607" t="s">
        <v>35360</v>
      </c>
      <c r="F5607" t="s">
        <v>35361</v>
      </c>
      <c r="G5607" t="s">
        <v>35362</v>
      </c>
      <c r="H5607" t="e" vm="2468">
        <f>_FV(0,"00559941619867001")</f>
        <v>#VALUE!</v>
      </c>
      <c r="I5607" t="s">
        <v>35363</v>
      </c>
      <c r="J5607" t="s">
        <v>35364</v>
      </c>
      <c r="K5607" t="s">
        <v>35365</v>
      </c>
      <c r="L5607" t="s">
        <v>35359</v>
      </c>
    </row>
    <row r="5608" spans="1:12" x14ac:dyDescent="0.25">
      <c r="A5608">
        <v>1012457</v>
      </c>
      <c r="B5608">
        <v>1012469</v>
      </c>
      <c r="D5608">
        <v>0</v>
      </c>
      <c r="E5608" t="s">
        <v>35366</v>
      </c>
      <c r="F5608" t="s">
        <v>35367</v>
      </c>
      <c r="G5608" t="s">
        <v>35368</v>
      </c>
      <c r="H5608" t="s">
        <v>35369</v>
      </c>
      <c r="I5608" t="s">
        <v>35370</v>
      </c>
      <c r="J5608" t="s">
        <v>35334</v>
      </c>
      <c r="K5608" t="s">
        <v>35371</v>
      </c>
      <c r="L5608" t="s">
        <v>35334</v>
      </c>
    </row>
    <row r="5609" spans="1:12" x14ac:dyDescent="0.25">
      <c r="A5609">
        <v>1012457</v>
      </c>
      <c r="B5609">
        <v>1017485</v>
      </c>
      <c r="D5609">
        <v>0</v>
      </c>
      <c r="E5609" t="s">
        <v>35373</v>
      </c>
      <c r="F5609" t="s">
        <v>35374</v>
      </c>
      <c r="G5609" t="s">
        <v>35375</v>
      </c>
      <c r="H5609" t="s">
        <v>35376</v>
      </c>
      <c r="I5609" t="s">
        <v>35377</v>
      </c>
      <c r="J5609" t="s">
        <v>35378</v>
      </c>
      <c r="K5609" t="s">
        <v>35379</v>
      </c>
      <c r="L5609" t="s">
        <v>35372</v>
      </c>
    </row>
    <row r="5610" spans="1:12" x14ac:dyDescent="0.25">
      <c r="A5610">
        <v>1012469</v>
      </c>
      <c r="B5610">
        <v>1017519</v>
      </c>
      <c r="D5610">
        <v>0</v>
      </c>
      <c r="E5610" t="s">
        <v>35381</v>
      </c>
      <c r="F5610" t="s">
        <v>35382</v>
      </c>
      <c r="G5610" t="s">
        <v>35383</v>
      </c>
      <c r="H5610" t="s">
        <v>35384</v>
      </c>
      <c r="I5610" t="s">
        <v>35385</v>
      </c>
      <c r="J5610" t="s">
        <v>35386</v>
      </c>
      <c r="K5610" t="s">
        <v>35387</v>
      </c>
      <c r="L5610" t="s">
        <v>35380</v>
      </c>
    </row>
    <row r="5611" spans="1:12" x14ac:dyDescent="0.25">
      <c r="A5611">
        <v>1012611</v>
      </c>
      <c r="B5611">
        <v>1012617</v>
      </c>
      <c r="D5611" t="s">
        <v>21300</v>
      </c>
      <c r="E5611" t="s">
        <v>35389</v>
      </c>
      <c r="F5611" t="s">
        <v>35390</v>
      </c>
      <c r="G5611" t="s">
        <v>35391</v>
      </c>
      <c r="H5611" t="s">
        <v>35392</v>
      </c>
      <c r="I5611" t="s">
        <v>35393</v>
      </c>
      <c r="J5611" t="s">
        <v>35394</v>
      </c>
      <c r="K5611" t="s">
        <v>35395</v>
      </c>
      <c r="L5611" t="s">
        <v>35388</v>
      </c>
    </row>
    <row r="5612" spans="1:12" x14ac:dyDescent="0.25">
      <c r="A5612">
        <v>1012611</v>
      </c>
      <c r="B5612">
        <v>1012617</v>
      </c>
      <c r="D5612" t="s">
        <v>35397</v>
      </c>
      <c r="E5612" t="s">
        <v>35398</v>
      </c>
      <c r="F5612" t="s">
        <v>35399</v>
      </c>
      <c r="G5612" t="s">
        <v>35400</v>
      </c>
      <c r="H5612" t="s">
        <v>35401</v>
      </c>
      <c r="I5612" t="s">
        <v>35402</v>
      </c>
      <c r="J5612" t="s">
        <v>35403</v>
      </c>
      <c r="K5612" t="s">
        <v>35404</v>
      </c>
      <c r="L5612" t="s">
        <v>35396</v>
      </c>
    </row>
    <row r="5613" spans="1:12" x14ac:dyDescent="0.25">
      <c r="A5613">
        <v>1012617</v>
      </c>
      <c r="B5613">
        <v>1012673</v>
      </c>
      <c r="D5613" t="s">
        <v>35397</v>
      </c>
      <c r="E5613" t="s">
        <v>35406</v>
      </c>
      <c r="F5613" t="s">
        <v>35407</v>
      </c>
      <c r="G5613" t="s">
        <v>35408</v>
      </c>
      <c r="H5613" t="s">
        <v>35409</v>
      </c>
      <c r="I5613" t="s">
        <v>35410</v>
      </c>
      <c r="J5613" t="s">
        <v>35411</v>
      </c>
      <c r="K5613" t="s">
        <v>35412</v>
      </c>
      <c r="L5613" t="s">
        <v>35405</v>
      </c>
    </row>
    <row r="5614" spans="1:12" x14ac:dyDescent="0.25">
      <c r="A5614">
        <v>1012673</v>
      </c>
      <c r="B5614">
        <v>1012680</v>
      </c>
      <c r="D5614">
        <v>0</v>
      </c>
      <c r="E5614" t="s">
        <v>35414</v>
      </c>
      <c r="F5614" t="s">
        <v>35415</v>
      </c>
      <c r="G5614" t="s">
        <v>35416</v>
      </c>
      <c r="H5614" t="e" vm="2469">
        <f>_FV(0,"0823646230862151")</f>
        <v>#VALUE!</v>
      </c>
      <c r="I5614" t="s">
        <v>35417</v>
      </c>
      <c r="J5614" t="s">
        <v>35418</v>
      </c>
      <c r="K5614" t="s">
        <v>35419</v>
      </c>
      <c r="L5614" t="s">
        <v>35413</v>
      </c>
    </row>
    <row r="5615" spans="1:12" x14ac:dyDescent="0.25">
      <c r="A5615">
        <v>1012673</v>
      </c>
      <c r="B5615">
        <v>1012680</v>
      </c>
      <c r="D5615">
        <v>0</v>
      </c>
      <c r="E5615" t="s">
        <v>35421</v>
      </c>
      <c r="F5615" t="s">
        <v>35422</v>
      </c>
      <c r="G5615" t="s">
        <v>35423</v>
      </c>
      <c r="H5615" t="e" vm="2470">
        <f>_FV(0,"0833552341171054")</f>
        <v>#VALUE!</v>
      </c>
      <c r="I5615" t="s">
        <v>35424</v>
      </c>
      <c r="J5615" t="s">
        <v>35425</v>
      </c>
      <c r="K5615" t="s">
        <v>35426</v>
      </c>
      <c r="L5615" t="s">
        <v>35420</v>
      </c>
    </row>
    <row r="5616" spans="1:12" x14ac:dyDescent="0.25">
      <c r="A5616">
        <v>1012680</v>
      </c>
      <c r="B5616">
        <v>1012732</v>
      </c>
      <c r="D5616" t="s">
        <v>32500</v>
      </c>
      <c r="E5616" t="s">
        <v>35428</v>
      </c>
      <c r="F5616" t="s">
        <v>35429</v>
      </c>
      <c r="G5616" t="s">
        <v>35430</v>
      </c>
      <c r="H5616" t="e" vm="2471">
        <f>_FV(0,"010800043728799613")</f>
        <v>#VALUE!</v>
      </c>
      <c r="I5616" t="s">
        <v>35431</v>
      </c>
      <c r="J5616" t="s">
        <v>35432</v>
      </c>
      <c r="K5616" t="s">
        <v>35433</v>
      </c>
      <c r="L5616" t="s">
        <v>35427</v>
      </c>
    </row>
    <row r="5617" spans="1:12" x14ac:dyDescent="0.25">
      <c r="A5617">
        <v>1012732</v>
      </c>
      <c r="B5617">
        <v>1012738</v>
      </c>
      <c r="D5617" t="s">
        <v>9879</v>
      </c>
      <c r="E5617" t="s">
        <v>35435</v>
      </c>
      <c r="F5617" t="s">
        <v>35436</v>
      </c>
      <c r="G5617" t="s">
        <v>35437</v>
      </c>
      <c r="H5617" t="s">
        <v>35438</v>
      </c>
      <c r="I5617" t="s">
        <v>35439</v>
      </c>
      <c r="J5617" t="s">
        <v>35434</v>
      </c>
      <c r="K5617" t="s">
        <v>35440</v>
      </c>
      <c r="L5617" t="s">
        <v>35434</v>
      </c>
    </row>
    <row r="5618" spans="1:12" x14ac:dyDescent="0.25">
      <c r="A5618">
        <v>1012732</v>
      </c>
      <c r="B5618">
        <v>1012738</v>
      </c>
      <c r="D5618" t="s">
        <v>8792</v>
      </c>
      <c r="E5618" t="s">
        <v>35442</v>
      </c>
      <c r="F5618" t="s">
        <v>35443</v>
      </c>
      <c r="G5618" t="s">
        <v>35444</v>
      </c>
      <c r="H5618" t="s">
        <v>35445</v>
      </c>
      <c r="I5618" t="s">
        <v>35446</v>
      </c>
      <c r="J5618" t="s">
        <v>35441</v>
      </c>
      <c r="K5618" t="s">
        <v>35447</v>
      </c>
      <c r="L5618" t="s">
        <v>35441</v>
      </c>
    </row>
    <row r="5619" spans="1:12" x14ac:dyDescent="0.25">
      <c r="A5619">
        <v>1012738</v>
      </c>
      <c r="B5619">
        <v>1012835</v>
      </c>
      <c r="D5619" t="s">
        <v>35449</v>
      </c>
      <c r="E5619" t="s">
        <v>35450</v>
      </c>
      <c r="F5619" t="s">
        <v>35451</v>
      </c>
      <c r="G5619" t="s">
        <v>35452</v>
      </c>
      <c r="H5619" t="e" vm="2472">
        <f>_FV(0,"0016015034920049884")</f>
        <v>#VALUE!</v>
      </c>
      <c r="I5619" t="s">
        <v>35453</v>
      </c>
      <c r="J5619" t="s">
        <v>35454</v>
      </c>
      <c r="K5619" t="s">
        <v>35455</v>
      </c>
      <c r="L5619" t="s">
        <v>35448</v>
      </c>
    </row>
    <row r="5620" spans="1:12" x14ac:dyDescent="0.25">
      <c r="A5620">
        <v>1012835</v>
      </c>
      <c r="B5620">
        <v>1013629</v>
      </c>
      <c r="D5620">
        <v>0</v>
      </c>
      <c r="E5620" t="s">
        <v>35457</v>
      </c>
      <c r="F5620" t="s">
        <v>35458</v>
      </c>
      <c r="G5620" t="s">
        <v>35459</v>
      </c>
      <c r="H5620" t="s">
        <v>35460</v>
      </c>
      <c r="I5620" t="s">
        <v>35461</v>
      </c>
      <c r="J5620" t="s">
        <v>35462</v>
      </c>
      <c r="K5620" t="s">
        <v>35463</v>
      </c>
      <c r="L5620" t="s">
        <v>35456</v>
      </c>
    </row>
    <row r="5621" spans="1:12" x14ac:dyDescent="0.25">
      <c r="A5621">
        <v>1012835</v>
      </c>
      <c r="B5621">
        <v>1013582</v>
      </c>
      <c r="D5621">
        <v>0</v>
      </c>
      <c r="E5621" t="s">
        <v>35465</v>
      </c>
      <c r="F5621" t="s">
        <v>35466</v>
      </c>
      <c r="G5621" t="s">
        <v>35467</v>
      </c>
      <c r="H5621" t="s">
        <v>35468</v>
      </c>
      <c r="I5621" t="s">
        <v>35469</v>
      </c>
      <c r="J5621" t="s">
        <v>35470</v>
      </c>
      <c r="K5621" t="s">
        <v>35471</v>
      </c>
      <c r="L5621" t="s">
        <v>35464</v>
      </c>
    </row>
    <row r="5622" spans="1:12" x14ac:dyDescent="0.25">
      <c r="A5622">
        <v>1013582</v>
      </c>
      <c r="B5622">
        <v>1013609</v>
      </c>
      <c r="D5622">
        <v>0</v>
      </c>
      <c r="E5622" t="s">
        <v>35473</v>
      </c>
      <c r="F5622" t="s">
        <v>35474</v>
      </c>
      <c r="G5622" t="s">
        <v>35475</v>
      </c>
      <c r="H5622" t="s">
        <v>35476</v>
      </c>
      <c r="I5622" t="s">
        <v>35477</v>
      </c>
      <c r="J5622" t="s">
        <v>35472</v>
      </c>
      <c r="K5622" t="s">
        <v>35478</v>
      </c>
      <c r="L5622" t="s">
        <v>35472</v>
      </c>
    </row>
    <row r="5623" spans="1:12" x14ac:dyDescent="0.25">
      <c r="A5623">
        <v>1013582</v>
      </c>
      <c r="B5623">
        <v>1013629</v>
      </c>
      <c r="D5623">
        <v>0</v>
      </c>
      <c r="E5623" t="s">
        <v>35480</v>
      </c>
      <c r="F5623" t="s">
        <v>35481</v>
      </c>
      <c r="G5623" t="s">
        <v>35482</v>
      </c>
      <c r="H5623" t="e" vm="2473">
        <f>_FV(0,"36824250560958466")</f>
        <v>#VALUE!</v>
      </c>
      <c r="I5623" t="s">
        <v>35483</v>
      </c>
      <c r="J5623" t="s">
        <v>35484</v>
      </c>
      <c r="K5623" t="s">
        <v>35485</v>
      </c>
      <c r="L5623" t="s">
        <v>35479</v>
      </c>
    </row>
    <row r="5624" spans="1:12" x14ac:dyDescent="0.25">
      <c r="A5624">
        <v>1013609</v>
      </c>
      <c r="B5624">
        <v>1013623</v>
      </c>
      <c r="D5624">
        <v>0</v>
      </c>
      <c r="E5624" t="s">
        <v>35487</v>
      </c>
      <c r="F5624" t="s">
        <v>35488</v>
      </c>
      <c r="G5624" t="s">
        <v>35489</v>
      </c>
      <c r="H5624" t="e" vm="2474">
        <f>_FV(0,"20549918440889728")</f>
        <v>#VALUE!</v>
      </c>
      <c r="I5624" t="s">
        <v>35490</v>
      </c>
      <c r="J5624" t="s">
        <v>35491</v>
      </c>
      <c r="K5624" t="s">
        <v>35492</v>
      </c>
      <c r="L5624" t="s">
        <v>35486</v>
      </c>
    </row>
    <row r="5625" spans="1:12" x14ac:dyDescent="0.25">
      <c r="A5625">
        <v>1013609</v>
      </c>
      <c r="B5625">
        <v>1017764</v>
      </c>
      <c r="D5625">
        <v>0</v>
      </c>
      <c r="E5625" t="s">
        <v>35494</v>
      </c>
      <c r="F5625" t="s">
        <v>35495</v>
      </c>
      <c r="G5625" t="s">
        <v>35496</v>
      </c>
      <c r="H5625" t="s">
        <v>35497</v>
      </c>
      <c r="I5625" t="s">
        <v>35498</v>
      </c>
      <c r="J5625" t="s">
        <v>35493</v>
      </c>
      <c r="K5625" t="s">
        <v>35499</v>
      </c>
      <c r="L5625" t="s">
        <v>35493</v>
      </c>
    </row>
    <row r="5626" spans="1:12" x14ac:dyDescent="0.25">
      <c r="A5626">
        <v>1013623</v>
      </c>
      <c r="B5626">
        <v>1013629</v>
      </c>
      <c r="D5626">
        <v>0</v>
      </c>
      <c r="F5626">
        <v>1065906</v>
      </c>
      <c r="G5626">
        <v>1013629</v>
      </c>
      <c r="H5626" t="e" vm="2475">
        <f>_FV(0,"344")</f>
        <v>#VALUE!</v>
      </c>
      <c r="I5626">
        <v>1013623</v>
      </c>
      <c r="J5626" t="s">
        <v>35500</v>
      </c>
      <c r="K5626" t="s">
        <v>35501</v>
      </c>
      <c r="L5626" t="e" vm="2475">
        <f>_FV(0,"344")</f>
        <v>#VALUE!</v>
      </c>
    </row>
    <row r="5627" spans="1:12" x14ac:dyDescent="0.25">
      <c r="A5627">
        <v>1013623</v>
      </c>
      <c r="B5627">
        <v>1017764</v>
      </c>
      <c r="D5627">
        <v>0</v>
      </c>
      <c r="E5627" t="s">
        <v>35503</v>
      </c>
      <c r="F5627" t="s">
        <v>35504</v>
      </c>
      <c r="G5627" t="s">
        <v>35505</v>
      </c>
      <c r="H5627" t="s">
        <v>35506</v>
      </c>
      <c r="I5627" t="s">
        <v>35507</v>
      </c>
      <c r="J5627" t="s">
        <v>35502</v>
      </c>
      <c r="K5627" t="s">
        <v>35508</v>
      </c>
      <c r="L5627" t="s">
        <v>35502</v>
      </c>
    </row>
    <row r="5628" spans="1:12" x14ac:dyDescent="0.25">
      <c r="A5628">
        <v>1014439</v>
      </c>
      <c r="B5628">
        <v>893050</v>
      </c>
      <c r="D5628">
        <v>0</v>
      </c>
      <c r="F5628">
        <v>1066846</v>
      </c>
      <c r="G5628">
        <v>893050</v>
      </c>
      <c r="H5628" t="s">
        <v>2068</v>
      </c>
      <c r="I5628">
        <v>1014439</v>
      </c>
      <c r="J5628" t="s">
        <v>2068</v>
      </c>
      <c r="K5628" t="s">
        <v>35509</v>
      </c>
      <c r="L5628" t="s">
        <v>2068</v>
      </c>
    </row>
    <row r="5629" spans="1:12" x14ac:dyDescent="0.25">
      <c r="A5629">
        <v>1014439</v>
      </c>
      <c r="B5629">
        <v>1014952</v>
      </c>
      <c r="D5629">
        <v>0</v>
      </c>
      <c r="E5629" t="s">
        <v>35511</v>
      </c>
      <c r="F5629" t="s">
        <v>35512</v>
      </c>
      <c r="G5629" t="s">
        <v>35513</v>
      </c>
      <c r="H5629" t="s">
        <v>35514</v>
      </c>
      <c r="I5629" t="s">
        <v>35515</v>
      </c>
      <c r="J5629" t="s">
        <v>35516</v>
      </c>
      <c r="K5629" t="s">
        <v>35517</v>
      </c>
      <c r="L5629" t="s">
        <v>35510</v>
      </c>
    </row>
    <row r="5630" spans="1:12" x14ac:dyDescent="0.25">
      <c r="A5630">
        <v>1014439</v>
      </c>
      <c r="B5630">
        <v>1014967</v>
      </c>
      <c r="D5630">
        <v>0</v>
      </c>
      <c r="E5630" t="s">
        <v>35519</v>
      </c>
      <c r="F5630" t="s">
        <v>35520</v>
      </c>
      <c r="G5630" t="s">
        <v>35521</v>
      </c>
      <c r="H5630" t="s">
        <v>35522</v>
      </c>
      <c r="I5630" t="s">
        <v>35523</v>
      </c>
      <c r="J5630" t="s">
        <v>35524</v>
      </c>
      <c r="K5630" t="s">
        <v>35525</v>
      </c>
      <c r="L5630" t="s">
        <v>35518</v>
      </c>
    </row>
    <row r="5631" spans="1:12" x14ac:dyDescent="0.25">
      <c r="A5631">
        <v>1014512</v>
      </c>
      <c r="B5631">
        <v>1017563</v>
      </c>
      <c r="C5631" t="s">
        <v>35527</v>
      </c>
      <c r="D5631">
        <v>0</v>
      </c>
      <c r="E5631" t="s">
        <v>35528</v>
      </c>
      <c r="F5631" t="s">
        <v>35529</v>
      </c>
      <c r="G5631" t="s">
        <v>35530</v>
      </c>
      <c r="H5631" t="s">
        <v>35531</v>
      </c>
      <c r="I5631" t="s">
        <v>35532</v>
      </c>
      <c r="J5631" t="s">
        <v>35526</v>
      </c>
      <c r="K5631" t="s">
        <v>35533</v>
      </c>
      <c r="L5631" t="s">
        <v>35526</v>
      </c>
    </row>
    <row r="5632" spans="1:12" x14ac:dyDescent="0.25">
      <c r="A5632">
        <v>1014519</v>
      </c>
      <c r="B5632">
        <v>1017534</v>
      </c>
      <c r="D5632">
        <v>0</v>
      </c>
      <c r="E5632" t="s">
        <v>35535</v>
      </c>
      <c r="F5632" t="s">
        <v>35536</v>
      </c>
      <c r="G5632" t="s">
        <v>35537</v>
      </c>
      <c r="H5632" t="s">
        <v>35538</v>
      </c>
      <c r="I5632" t="s">
        <v>35539</v>
      </c>
      <c r="J5632" t="s">
        <v>35534</v>
      </c>
      <c r="K5632" t="s">
        <v>35540</v>
      </c>
      <c r="L5632" t="s">
        <v>35534</v>
      </c>
    </row>
    <row r="5633" spans="1:12" x14ac:dyDescent="0.25">
      <c r="A5633">
        <v>1014519</v>
      </c>
      <c r="B5633">
        <v>1017217</v>
      </c>
      <c r="D5633" t="s">
        <v>29021</v>
      </c>
      <c r="E5633" t="s">
        <v>35542</v>
      </c>
      <c r="F5633" t="s">
        <v>35543</v>
      </c>
      <c r="G5633" t="s">
        <v>35544</v>
      </c>
      <c r="H5633" t="s">
        <v>35545</v>
      </c>
      <c r="I5633" t="s">
        <v>35546</v>
      </c>
      <c r="J5633" t="s">
        <v>35541</v>
      </c>
      <c r="K5633" t="s">
        <v>35547</v>
      </c>
      <c r="L5633" t="s">
        <v>35541</v>
      </c>
    </row>
    <row r="5634" spans="1:12" x14ac:dyDescent="0.25">
      <c r="A5634">
        <v>1014519</v>
      </c>
      <c r="B5634">
        <v>1017154</v>
      </c>
      <c r="D5634">
        <v>0</v>
      </c>
      <c r="F5634">
        <v>1070144</v>
      </c>
      <c r="G5634">
        <v>1014519</v>
      </c>
      <c r="H5634" t="e" vm="214">
        <f>_FV(0,"039")</f>
        <v>#VALUE!</v>
      </c>
      <c r="I5634">
        <v>1017154</v>
      </c>
      <c r="J5634" t="s">
        <v>3279</v>
      </c>
      <c r="K5634" t="s">
        <v>35548</v>
      </c>
      <c r="L5634" t="e" vm="214">
        <f>_FV(0,"039")</f>
        <v>#VALUE!</v>
      </c>
    </row>
    <row r="5635" spans="1:12" x14ac:dyDescent="0.25">
      <c r="A5635">
        <v>1014554</v>
      </c>
      <c r="B5635">
        <v>1017255</v>
      </c>
      <c r="D5635">
        <v>0</v>
      </c>
      <c r="F5635">
        <v>1070288</v>
      </c>
      <c r="G5635">
        <v>1017255</v>
      </c>
      <c r="H5635" t="e" vm="1187">
        <f>_FV(0,"041")</f>
        <v>#VALUE!</v>
      </c>
      <c r="I5635">
        <v>1014554</v>
      </c>
      <c r="J5635" t="s">
        <v>14034</v>
      </c>
      <c r="K5635" t="s">
        <v>35549</v>
      </c>
      <c r="L5635" t="e" vm="1187">
        <f>_FV(0,"041")</f>
        <v>#VALUE!</v>
      </c>
    </row>
    <row r="5636" spans="1:12" x14ac:dyDescent="0.25">
      <c r="A5636">
        <v>1014554</v>
      </c>
      <c r="B5636">
        <v>1017238</v>
      </c>
      <c r="D5636">
        <v>0</v>
      </c>
      <c r="E5636" t="s">
        <v>35551</v>
      </c>
      <c r="F5636" t="s">
        <v>35552</v>
      </c>
      <c r="G5636" t="s">
        <v>35553</v>
      </c>
      <c r="H5636" t="e" vm="2476">
        <f>_FV(0,"032571982990544764")</f>
        <v>#VALUE!</v>
      </c>
      <c r="I5636" t="s">
        <v>35554</v>
      </c>
      <c r="J5636" t="s">
        <v>35555</v>
      </c>
      <c r="K5636" t="s">
        <v>35556</v>
      </c>
      <c r="L5636" t="s">
        <v>35550</v>
      </c>
    </row>
    <row r="5637" spans="1:12" x14ac:dyDescent="0.25">
      <c r="A5637">
        <v>1014554</v>
      </c>
      <c r="B5637">
        <v>1006596</v>
      </c>
      <c r="D5637">
        <v>0</v>
      </c>
      <c r="E5637" t="s">
        <v>35558</v>
      </c>
      <c r="F5637" t="s">
        <v>35559</v>
      </c>
      <c r="G5637" t="s">
        <v>35560</v>
      </c>
      <c r="H5637" t="s">
        <v>35561</v>
      </c>
      <c r="I5637" t="s">
        <v>35562</v>
      </c>
      <c r="J5637" t="s">
        <v>35563</v>
      </c>
      <c r="K5637" t="s">
        <v>35564</v>
      </c>
      <c r="L5637" t="s">
        <v>35557</v>
      </c>
    </row>
    <row r="5638" spans="1:12" x14ac:dyDescent="0.25">
      <c r="A5638">
        <v>1014768</v>
      </c>
      <c r="B5638">
        <v>1014784</v>
      </c>
      <c r="D5638">
        <v>0</v>
      </c>
      <c r="E5638" t="s">
        <v>35566</v>
      </c>
      <c r="F5638" t="s">
        <v>35567</v>
      </c>
      <c r="G5638" t="s">
        <v>35568</v>
      </c>
      <c r="H5638" t="s">
        <v>35569</v>
      </c>
      <c r="I5638" t="s">
        <v>35570</v>
      </c>
      <c r="J5638" t="s">
        <v>35565</v>
      </c>
      <c r="K5638" t="s">
        <v>35571</v>
      </c>
      <c r="L5638" t="s">
        <v>35565</v>
      </c>
    </row>
    <row r="5639" spans="1:12" x14ac:dyDescent="0.25">
      <c r="A5639">
        <v>1014768</v>
      </c>
      <c r="B5639">
        <v>1017154</v>
      </c>
      <c r="D5639">
        <v>0</v>
      </c>
      <c r="E5639" t="s">
        <v>35573</v>
      </c>
      <c r="F5639" t="s">
        <v>35574</v>
      </c>
      <c r="G5639" t="s">
        <v>35575</v>
      </c>
      <c r="H5639" t="e" vm="2477">
        <f>_FV(0,"06096291979479496")</f>
        <v>#VALUE!</v>
      </c>
      <c r="I5639" t="s">
        <v>35576</v>
      </c>
      <c r="J5639" t="s">
        <v>35577</v>
      </c>
      <c r="K5639" t="s">
        <v>35578</v>
      </c>
      <c r="L5639" t="s">
        <v>35572</v>
      </c>
    </row>
    <row r="5640" spans="1:12" x14ac:dyDescent="0.25">
      <c r="A5640">
        <v>1014768</v>
      </c>
      <c r="B5640">
        <v>1014808</v>
      </c>
      <c r="D5640">
        <v>0</v>
      </c>
      <c r="E5640" t="s">
        <v>35580</v>
      </c>
      <c r="F5640" t="s">
        <v>35581</v>
      </c>
      <c r="G5640" t="s">
        <v>35582</v>
      </c>
      <c r="H5640" t="e" vm="2478">
        <f>_FV(0,"04175536082740275")</f>
        <v>#VALUE!</v>
      </c>
      <c r="I5640" t="s">
        <v>35583</v>
      </c>
      <c r="J5640" t="s">
        <v>35584</v>
      </c>
      <c r="K5640" t="s">
        <v>35585</v>
      </c>
      <c r="L5640" t="s">
        <v>35579</v>
      </c>
    </row>
    <row r="5641" spans="1:12" x14ac:dyDescent="0.25">
      <c r="A5641">
        <v>1014784</v>
      </c>
      <c r="B5641">
        <v>1014792</v>
      </c>
      <c r="D5641">
        <v>0</v>
      </c>
      <c r="F5641">
        <v>1067214</v>
      </c>
      <c r="G5641">
        <v>1014792</v>
      </c>
      <c r="H5641" t="s">
        <v>23285</v>
      </c>
      <c r="I5641">
        <v>1014784</v>
      </c>
      <c r="J5641" t="s">
        <v>23285</v>
      </c>
      <c r="K5641" t="s">
        <v>35586</v>
      </c>
      <c r="L5641" t="s">
        <v>23285</v>
      </c>
    </row>
    <row r="5642" spans="1:12" x14ac:dyDescent="0.25">
      <c r="A5642">
        <v>1014784</v>
      </c>
      <c r="B5642">
        <v>1017154</v>
      </c>
      <c r="D5642">
        <v>0</v>
      </c>
      <c r="E5642" t="s">
        <v>35588</v>
      </c>
      <c r="F5642" t="s">
        <v>35589</v>
      </c>
      <c r="G5642" t="s">
        <v>35590</v>
      </c>
      <c r="H5642" t="e" vm="2479">
        <f>_FV(0,"07499325125922356")</f>
        <v>#VALUE!</v>
      </c>
      <c r="I5642" t="s">
        <v>35591</v>
      </c>
      <c r="J5642" t="s">
        <v>35592</v>
      </c>
      <c r="K5642" t="s">
        <v>35593</v>
      </c>
      <c r="L5642" t="s">
        <v>35587</v>
      </c>
    </row>
    <row r="5643" spans="1:12" x14ac:dyDescent="0.25">
      <c r="A5643">
        <v>1014792</v>
      </c>
      <c r="B5643">
        <v>1014808</v>
      </c>
      <c r="D5643">
        <v>0</v>
      </c>
      <c r="E5643" t="s">
        <v>35595</v>
      </c>
      <c r="F5643" t="s">
        <v>35596</v>
      </c>
      <c r="G5643" t="s">
        <v>35597</v>
      </c>
      <c r="H5643" t="s">
        <v>35598</v>
      </c>
      <c r="I5643" t="s">
        <v>35599</v>
      </c>
      <c r="J5643" t="s">
        <v>35594</v>
      </c>
      <c r="K5643" t="s">
        <v>35600</v>
      </c>
      <c r="L5643" t="s">
        <v>35594</v>
      </c>
    </row>
    <row r="5644" spans="1:12" x14ac:dyDescent="0.25">
      <c r="A5644">
        <v>1014792</v>
      </c>
      <c r="B5644">
        <v>1017534</v>
      </c>
      <c r="D5644">
        <v>0</v>
      </c>
      <c r="E5644" t="s">
        <v>35602</v>
      </c>
      <c r="F5644" t="s">
        <v>35603</v>
      </c>
      <c r="G5644" t="s">
        <v>35604</v>
      </c>
      <c r="H5644" t="e" vm="2480">
        <f>_FV(0,"011022233872923231")</f>
        <v>#VALUE!</v>
      </c>
      <c r="I5644" t="s">
        <v>35605</v>
      </c>
      <c r="J5644" t="s">
        <v>35606</v>
      </c>
      <c r="K5644" t="s">
        <v>35607</v>
      </c>
      <c r="L5644" t="s">
        <v>35601</v>
      </c>
    </row>
    <row r="5645" spans="1:12" x14ac:dyDescent="0.25">
      <c r="A5645">
        <v>1014808</v>
      </c>
      <c r="B5645">
        <v>1017563</v>
      </c>
      <c r="D5645">
        <v>0</v>
      </c>
      <c r="E5645" t="s">
        <v>35609</v>
      </c>
      <c r="F5645" t="s">
        <v>35610</v>
      </c>
      <c r="G5645" t="s">
        <v>35611</v>
      </c>
      <c r="H5645" t="e" vm="2481">
        <f>_FV(0,"0029297511437831863")</f>
        <v>#VALUE!</v>
      </c>
      <c r="I5645" t="s">
        <v>35612</v>
      </c>
      <c r="J5645" t="s">
        <v>35613</v>
      </c>
      <c r="K5645" t="s">
        <v>35614</v>
      </c>
      <c r="L5645" t="s">
        <v>35608</v>
      </c>
    </row>
    <row r="5646" spans="1:12" x14ac:dyDescent="0.25">
      <c r="A5646">
        <v>1014838</v>
      </c>
      <c r="B5646">
        <v>1014847</v>
      </c>
      <c r="D5646">
        <v>0</v>
      </c>
      <c r="E5646" t="s">
        <v>35616</v>
      </c>
      <c r="F5646" t="s">
        <v>35617</v>
      </c>
      <c r="G5646" t="s">
        <v>35618</v>
      </c>
      <c r="H5646" t="e" vm="2482">
        <f>_FV(0,"02365552872941707")</f>
        <v>#VALUE!</v>
      </c>
      <c r="I5646" t="s">
        <v>35619</v>
      </c>
      <c r="J5646" t="s">
        <v>35620</v>
      </c>
      <c r="K5646" t="s">
        <v>35621</v>
      </c>
      <c r="L5646" t="s">
        <v>35615</v>
      </c>
    </row>
    <row r="5647" spans="1:12" x14ac:dyDescent="0.25">
      <c r="A5647">
        <v>1014838</v>
      </c>
      <c r="B5647">
        <v>1015538</v>
      </c>
      <c r="D5647">
        <v>0</v>
      </c>
      <c r="E5647" t="s">
        <v>35623</v>
      </c>
      <c r="F5647" t="s">
        <v>35624</v>
      </c>
      <c r="G5647" t="s">
        <v>35625</v>
      </c>
      <c r="H5647" t="s">
        <v>35626</v>
      </c>
      <c r="I5647" t="s">
        <v>35627</v>
      </c>
      <c r="J5647" t="s">
        <v>35622</v>
      </c>
      <c r="K5647" t="s">
        <v>35628</v>
      </c>
      <c r="L5647" t="s">
        <v>35622</v>
      </c>
    </row>
    <row r="5648" spans="1:12" x14ac:dyDescent="0.25">
      <c r="A5648">
        <v>1014838</v>
      </c>
      <c r="B5648">
        <v>1014922</v>
      </c>
      <c r="D5648">
        <v>0</v>
      </c>
      <c r="F5648">
        <v>1067350</v>
      </c>
      <c r="G5648">
        <v>1014838</v>
      </c>
      <c r="H5648" t="e" vm="18">
        <f>_FV(0,"004")</f>
        <v>#VALUE!</v>
      </c>
      <c r="I5648">
        <v>1014922</v>
      </c>
      <c r="J5648" t="s">
        <v>239</v>
      </c>
      <c r="K5648" t="s">
        <v>35629</v>
      </c>
      <c r="L5648" t="e" vm="18">
        <f>_FV(0,"004")</f>
        <v>#VALUE!</v>
      </c>
    </row>
    <row r="5649" spans="1:12" x14ac:dyDescent="0.25">
      <c r="A5649">
        <v>1014847</v>
      </c>
      <c r="B5649">
        <v>1014856</v>
      </c>
      <c r="D5649">
        <v>0</v>
      </c>
      <c r="F5649">
        <v>1067278</v>
      </c>
      <c r="G5649">
        <v>1014856</v>
      </c>
      <c r="H5649" t="e" vm="19">
        <f>_FV(0,"036")</f>
        <v>#VALUE!</v>
      </c>
      <c r="I5649">
        <v>1014847</v>
      </c>
      <c r="J5649" t="s">
        <v>279</v>
      </c>
      <c r="K5649" t="s">
        <v>35630</v>
      </c>
      <c r="L5649" t="e" vm="19">
        <f>_FV(0,"036")</f>
        <v>#VALUE!</v>
      </c>
    </row>
    <row r="5650" spans="1:12" x14ac:dyDescent="0.25">
      <c r="A5650">
        <v>1014847</v>
      </c>
      <c r="B5650">
        <v>1024104</v>
      </c>
      <c r="C5650" t="s">
        <v>35632</v>
      </c>
      <c r="D5650">
        <v>0</v>
      </c>
      <c r="E5650" t="s">
        <v>35633</v>
      </c>
      <c r="F5650" t="s">
        <v>35634</v>
      </c>
      <c r="G5650" t="s">
        <v>35635</v>
      </c>
      <c r="H5650" t="s">
        <v>35636</v>
      </c>
      <c r="I5650" t="s">
        <v>35637</v>
      </c>
      <c r="J5650" t="s">
        <v>35631</v>
      </c>
      <c r="K5650" t="s">
        <v>35638</v>
      </c>
      <c r="L5650" t="s">
        <v>35631</v>
      </c>
    </row>
    <row r="5651" spans="1:12" x14ac:dyDescent="0.25">
      <c r="A5651">
        <v>1014856</v>
      </c>
      <c r="B5651">
        <v>1014871</v>
      </c>
      <c r="D5651">
        <v>0</v>
      </c>
      <c r="E5651" t="s">
        <v>35640</v>
      </c>
      <c r="F5651" t="s">
        <v>35641</v>
      </c>
      <c r="G5651" t="s">
        <v>35642</v>
      </c>
      <c r="H5651" t="e" vm="2483">
        <f>_FV(0,"023535876172571187")</f>
        <v>#VALUE!</v>
      </c>
      <c r="I5651" t="s">
        <v>35643</v>
      </c>
      <c r="J5651" t="s">
        <v>35644</v>
      </c>
      <c r="K5651" t="s">
        <v>35645</v>
      </c>
      <c r="L5651" t="s">
        <v>35639</v>
      </c>
    </row>
    <row r="5652" spans="1:12" x14ac:dyDescent="0.25">
      <c r="A5652">
        <v>1014856</v>
      </c>
      <c r="B5652">
        <v>1024409</v>
      </c>
      <c r="D5652">
        <v>0</v>
      </c>
      <c r="E5652" t="s">
        <v>35647</v>
      </c>
      <c r="F5652" t="s">
        <v>35648</v>
      </c>
      <c r="G5652" t="s">
        <v>35649</v>
      </c>
      <c r="H5652" t="e" vm="2484">
        <f>_FV(0,"012153525890442171")</f>
        <v>#VALUE!</v>
      </c>
      <c r="I5652" t="s">
        <v>35650</v>
      </c>
      <c r="J5652" t="s">
        <v>35651</v>
      </c>
      <c r="K5652" t="s">
        <v>35652</v>
      </c>
      <c r="L5652" t="s">
        <v>35646</v>
      </c>
    </row>
    <row r="5653" spans="1:12" x14ac:dyDescent="0.25">
      <c r="A5653">
        <v>1014871</v>
      </c>
      <c r="B5653">
        <v>1014903</v>
      </c>
      <c r="D5653">
        <v>0</v>
      </c>
      <c r="E5653" t="s">
        <v>35654</v>
      </c>
      <c r="F5653" t="s">
        <v>35655</v>
      </c>
      <c r="G5653" t="s">
        <v>35656</v>
      </c>
      <c r="H5653" t="s">
        <v>35657</v>
      </c>
      <c r="I5653" t="s">
        <v>35658</v>
      </c>
      <c r="J5653" t="s">
        <v>35653</v>
      </c>
      <c r="K5653" t="s">
        <v>35659</v>
      </c>
      <c r="L5653" t="s">
        <v>35653</v>
      </c>
    </row>
    <row r="5654" spans="1:12" x14ac:dyDescent="0.25">
      <c r="A5654">
        <v>1014871</v>
      </c>
      <c r="B5654">
        <v>1027717</v>
      </c>
      <c r="D5654">
        <v>0</v>
      </c>
      <c r="E5654" t="s">
        <v>35661</v>
      </c>
      <c r="F5654" t="s">
        <v>35662</v>
      </c>
      <c r="G5654" t="s">
        <v>35663</v>
      </c>
      <c r="H5654" t="e" vm="2485">
        <f>_FV(0,"008373117846827515")</f>
        <v>#VALUE!</v>
      </c>
      <c r="I5654" t="s">
        <v>35664</v>
      </c>
      <c r="J5654" t="s">
        <v>35665</v>
      </c>
      <c r="K5654" t="s">
        <v>35666</v>
      </c>
      <c r="L5654" t="s">
        <v>35660</v>
      </c>
    </row>
    <row r="5655" spans="1:12" x14ac:dyDescent="0.25">
      <c r="A5655">
        <v>1014903</v>
      </c>
      <c r="B5655">
        <v>1014922</v>
      </c>
      <c r="D5655">
        <v>0</v>
      </c>
      <c r="E5655" t="s">
        <v>35668</v>
      </c>
      <c r="F5655" t="s">
        <v>35669</v>
      </c>
      <c r="G5655" t="s">
        <v>35670</v>
      </c>
      <c r="H5655" t="s">
        <v>35671</v>
      </c>
      <c r="I5655" t="s">
        <v>35672</v>
      </c>
      <c r="J5655" t="s">
        <v>35667</v>
      </c>
      <c r="K5655" t="s">
        <v>35673</v>
      </c>
      <c r="L5655" t="s">
        <v>35667</v>
      </c>
    </row>
    <row r="5656" spans="1:12" x14ac:dyDescent="0.25">
      <c r="A5656">
        <v>1014903</v>
      </c>
      <c r="B5656">
        <v>1017255</v>
      </c>
      <c r="D5656">
        <v>0</v>
      </c>
      <c r="E5656" t="s">
        <v>35675</v>
      </c>
      <c r="F5656" t="s">
        <v>35676</v>
      </c>
      <c r="G5656" t="s">
        <v>35677</v>
      </c>
      <c r="H5656" t="e" vm="2486">
        <f>_FV(0,"0649450207708967")</f>
        <v>#VALUE!</v>
      </c>
      <c r="I5656" t="s">
        <v>35678</v>
      </c>
      <c r="J5656" t="s">
        <v>35679</v>
      </c>
      <c r="K5656" t="s">
        <v>35680</v>
      </c>
      <c r="L5656" t="s">
        <v>35674</v>
      </c>
    </row>
    <row r="5657" spans="1:12" x14ac:dyDescent="0.25">
      <c r="A5657">
        <v>1014922</v>
      </c>
      <c r="B5657">
        <v>1017255</v>
      </c>
      <c r="D5657">
        <v>0</v>
      </c>
      <c r="E5657" t="s">
        <v>35682</v>
      </c>
      <c r="F5657" t="s">
        <v>35683</v>
      </c>
      <c r="G5657" t="s">
        <v>35684</v>
      </c>
      <c r="H5657" t="e" vm="2487">
        <f>_FV(0,"05650633909148559")</f>
        <v>#VALUE!</v>
      </c>
      <c r="I5657" t="s">
        <v>35685</v>
      </c>
      <c r="J5657" t="s">
        <v>35686</v>
      </c>
      <c r="K5657" t="s">
        <v>35687</v>
      </c>
      <c r="L5657" t="s">
        <v>35681</v>
      </c>
    </row>
    <row r="5658" spans="1:12" x14ac:dyDescent="0.25">
      <c r="A5658">
        <v>1014951</v>
      </c>
      <c r="B5658">
        <v>1014952</v>
      </c>
      <c r="D5658">
        <v>0</v>
      </c>
      <c r="F5658">
        <v>1067366</v>
      </c>
      <c r="G5658">
        <v>1014952</v>
      </c>
      <c r="H5658" t="s">
        <v>226</v>
      </c>
      <c r="I5658">
        <v>1014951</v>
      </c>
      <c r="J5658" t="s">
        <v>226</v>
      </c>
      <c r="K5658" t="s">
        <v>35688</v>
      </c>
      <c r="L5658" t="s">
        <v>226</v>
      </c>
    </row>
    <row r="5659" spans="1:12" x14ac:dyDescent="0.25">
      <c r="A5659">
        <v>1014951</v>
      </c>
      <c r="B5659">
        <v>1015021</v>
      </c>
      <c r="D5659">
        <v>0</v>
      </c>
      <c r="E5659" t="s">
        <v>35689</v>
      </c>
      <c r="F5659" t="s">
        <v>35690</v>
      </c>
      <c r="G5659" t="s">
        <v>35691</v>
      </c>
      <c r="H5659" t="s">
        <v>697</v>
      </c>
      <c r="I5659" t="s">
        <v>35692</v>
      </c>
      <c r="J5659" t="s">
        <v>697</v>
      </c>
      <c r="K5659" t="s">
        <v>35693</v>
      </c>
      <c r="L5659" t="s">
        <v>697</v>
      </c>
    </row>
    <row r="5660" spans="1:12" x14ac:dyDescent="0.25">
      <c r="A5660">
        <v>1014951</v>
      </c>
      <c r="B5660">
        <v>1024409</v>
      </c>
      <c r="D5660">
        <v>0</v>
      </c>
      <c r="E5660" t="s">
        <v>35695</v>
      </c>
      <c r="F5660" t="s">
        <v>35696</v>
      </c>
      <c r="G5660" t="s">
        <v>35697</v>
      </c>
      <c r="H5660" t="s">
        <v>35698</v>
      </c>
      <c r="I5660" t="s">
        <v>35699</v>
      </c>
      <c r="J5660" t="s">
        <v>35700</v>
      </c>
      <c r="K5660" t="s">
        <v>35701</v>
      </c>
      <c r="L5660" t="s">
        <v>35694</v>
      </c>
    </row>
    <row r="5661" spans="1:12" x14ac:dyDescent="0.25">
      <c r="A5661">
        <v>1014952</v>
      </c>
      <c r="B5661">
        <v>1014967</v>
      </c>
      <c r="D5661">
        <v>0</v>
      </c>
      <c r="E5661" t="s">
        <v>35703</v>
      </c>
      <c r="F5661" t="s">
        <v>35704</v>
      </c>
      <c r="G5661" t="s">
        <v>35705</v>
      </c>
      <c r="H5661" t="e" vm="2488">
        <f>_FV(0,"0007016516574655534")</f>
        <v>#VALUE!</v>
      </c>
      <c r="I5661" t="s">
        <v>35706</v>
      </c>
      <c r="J5661" t="s">
        <v>250</v>
      </c>
      <c r="K5661" t="s">
        <v>35707</v>
      </c>
      <c r="L5661" t="s">
        <v>35702</v>
      </c>
    </row>
    <row r="5662" spans="1:12" x14ac:dyDescent="0.25">
      <c r="A5662">
        <v>1014967</v>
      </c>
      <c r="B5662">
        <v>1015021</v>
      </c>
      <c r="D5662">
        <v>0</v>
      </c>
      <c r="E5662" t="s">
        <v>35709</v>
      </c>
      <c r="F5662" t="s">
        <v>35710</v>
      </c>
      <c r="G5662" t="s">
        <v>35711</v>
      </c>
      <c r="H5662" t="e" vm="2489">
        <f>_FV(0,"009766018069620887")</f>
        <v>#VALUE!</v>
      </c>
      <c r="I5662" t="s">
        <v>35712</v>
      </c>
      <c r="J5662" t="s">
        <v>35713</v>
      </c>
      <c r="K5662" t="s">
        <v>35714</v>
      </c>
      <c r="L5662" t="s">
        <v>35708</v>
      </c>
    </row>
    <row r="5663" spans="1:12" x14ac:dyDescent="0.25">
      <c r="A5663">
        <v>1015021</v>
      </c>
      <c r="B5663">
        <v>1027717</v>
      </c>
      <c r="D5663">
        <v>0</v>
      </c>
      <c r="E5663" t="s">
        <v>35716</v>
      </c>
      <c r="F5663" t="s">
        <v>35717</v>
      </c>
      <c r="G5663" t="s">
        <v>35718</v>
      </c>
      <c r="H5663" t="s">
        <v>35719</v>
      </c>
      <c r="I5663" t="s">
        <v>35720</v>
      </c>
      <c r="J5663" t="s">
        <v>35721</v>
      </c>
      <c r="K5663" t="s">
        <v>35722</v>
      </c>
      <c r="L5663" t="s">
        <v>35715</v>
      </c>
    </row>
    <row r="5664" spans="1:12" x14ac:dyDescent="0.25">
      <c r="A5664">
        <v>1015538</v>
      </c>
      <c r="B5664">
        <v>1015574</v>
      </c>
      <c r="D5664">
        <v>0</v>
      </c>
      <c r="E5664" t="s">
        <v>35724</v>
      </c>
      <c r="F5664" t="s">
        <v>35725</v>
      </c>
      <c r="G5664" t="s">
        <v>35726</v>
      </c>
      <c r="H5664" t="s">
        <v>35727</v>
      </c>
      <c r="I5664" t="s">
        <v>35728</v>
      </c>
      <c r="J5664" t="s">
        <v>35723</v>
      </c>
      <c r="K5664" t="s">
        <v>35729</v>
      </c>
      <c r="L5664" t="s">
        <v>35723</v>
      </c>
    </row>
    <row r="5665" spans="1:12" x14ac:dyDescent="0.25">
      <c r="A5665">
        <v>1015574</v>
      </c>
      <c r="B5665">
        <v>1024104</v>
      </c>
      <c r="D5665">
        <v>0</v>
      </c>
      <c r="E5665" t="s">
        <v>35731</v>
      </c>
      <c r="F5665" t="s">
        <v>35732</v>
      </c>
      <c r="G5665" t="s">
        <v>35733</v>
      </c>
      <c r="H5665" t="s">
        <v>35734</v>
      </c>
      <c r="I5665" t="s">
        <v>35735</v>
      </c>
      <c r="J5665" t="s">
        <v>35730</v>
      </c>
      <c r="K5665" t="s">
        <v>35736</v>
      </c>
      <c r="L5665" t="s">
        <v>35730</v>
      </c>
    </row>
    <row r="5666" spans="1:12" x14ac:dyDescent="0.25">
      <c r="A5666">
        <v>1016487</v>
      </c>
      <c r="B5666">
        <v>1016494</v>
      </c>
      <c r="C5666" t="s">
        <v>35738</v>
      </c>
      <c r="D5666">
        <v>0</v>
      </c>
      <c r="E5666" t="s">
        <v>35739</v>
      </c>
      <c r="F5666" t="s">
        <v>35740</v>
      </c>
      <c r="G5666" t="s">
        <v>35741</v>
      </c>
      <c r="H5666" t="e" vm="2490">
        <f>_FV(0,"008304902224380678")</f>
        <v>#VALUE!</v>
      </c>
      <c r="I5666" t="s">
        <v>35742</v>
      </c>
      <c r="J5666" t="s">
        <v>35743</v>
      </c>
      <c r="K5666" t="s">
        <v>35744</v>
      </c>
      <c r="L5666" t="s">
        <v>35737</v>
      </c>
    </row>
    <row r="5667" spans="1:12" x14ac:dyDescent="0.25">
      <c r="A5667">
        <v>1016494</v>
      </c>
      <c r="B5667">
        <v>1016544</v>
      </c>
      <c r="D5667">
        <v>0</v>
      </c>
      <c r="E5667" t="s">
        <v>35746</v>
      </c>
      <c r="F5667" t="s">
        <v>35747</v>
      </c>
      <c r="G5667" t="s">
        <v>35748</v>
      </c>
      <c r="H5667" t="s">
        <v>35749</v>
      </c>
      <c r="I5667" t="s">
        <v>35750</v>
      </c>
      <c r="J5667" t="s">
        <v>35751</v>
      </c>
      <c r="K5667" t="s">
        <v>35752</v>
      </c>
      <c r="L5667" t="s">
        <v>35745</v>
      </c>
    </row>
    <row r="5668" spans="1:12" x14ac:dyDescent="0.25">
      <c r="A5668">
        <v>1016494</v>
      </c>
      <c r="B5668">
        <v>1016544</v>
      </c>
      <c r="D5668">
        <v>0</v>
      </c>
      <c r="E5668" t="s">
        <v>35754</v>
      </c>
      <c r="F5668" t="s">
        <v>35755</v>
      </c>
      <c r="G5668" t="s">
        <v>35756</v>
      </c>
      <c r="H5668" t="s">
        <v>35757</v>
      </c>
      <c r="I5668" t="s">
        <v>35758</v>
      </c>
      <c r="J5668" t="s">
        <v>35759</v>
      </c>
      <c r="K5668" t="s">
        <v>35760</v>
      </c>
      <c r="L5668" t="s">
        <v>35753</v>
      </c>
    </row>
    <row r="5669" spans="1:12" x14ac:dyDescent="0.25">
      <c r="A5669">
        <v>1016544</v>
      </c>
      <c r="B5669">
        <v>1854826</v>
      </c>
      <c r="D5669">
        <v>0</v>
      </c>
      <c r="E5669" t="s">
        <v>35761</v>
      </c>
      <c r="H5669" t="s">
        <v>187</v>
      </c>
      <c r="J5669">
        <v>0</v>
      </c>
      <c r="K5669" t="s">
        <v>35762</v>
      </c>
      <c r="L5669">
        <v>0</v>
      </c>
    </row>
    <row r="5670" spans="1:12" x14ac:dyDescent="0.25">
      <c r="A5670">
        <v>1016548</v>
      </c>
      <c r="B5670">
        <v>1016634</v>
      </c>
      <c r="D5670">
        <v>0</v>
      </c>
      <c r="E5670" t="s">
        <v>35764</v>
      </c>
      <c r="F5670" t="s">
        <v>35765</v>
      </c>
      <c r="G5670" t="s">
        <v>35766</v>
      </c>
      <c r="H5670" t="e" vm="2491">
        <f>_FV(0,"02701897911092796")</f>
        <v>#VALUE!</v>
      </c>
      <c r="I5670" t="s">
        <v>35767</v>
      </c>
      <c r="J5670" t="s">
        <v>35768</v>
      </c>
      <c r="K5670" t="s">
        <v>35769</v>
      </c>
      <c r="L5670" t="s">
        <v>35763</v>
      </c>
    </row>
    <row r="5671" spans="1:12" x14ac:dyDescent="0.25">
      <c r="A5671">
        <v>1016548</v>
      </c>
      <c r="B5671">
        <v>1016634</v>
      </c>
      <c r="D5671">
        <v>0</v>
      </c>
      <c r="E5671" t="s">
        <v>35771</v>
      </c>
      <c r="F5671" t="s">
        <v>35772</v>
      </c>
      <c r="G5671" t="s">
        <v>35773</v>
      </c>
      <c r="H5671" t="e" vm="2492">
        <f>_FV(0,"02713381888325155")</f>
        <v>#VALUE!</v>
      </c>
      <c r="I5671" t="s">
        <v>35774</v>
      </c>
      <c r="J5671" t="s">
        <v>35775</v>
      </c>
      <c r="K5671" t="s">
        <v>35776</v>
      </c>
      <c r="L5671" t="s">
        <v>35770</v>
      </c>
    </row>
    <row r="5672" spans="1:12" x14ac:dyDescent="0.25">
      <c r="A5672">
        <v>1016548</v>
      </c>
      <c r="B5672">
        <v>1854826</v>
      </c>
      <c r="C5672" t="s">
        <v>35777</v>
      </c>
      <c r="D5672">
        <v>0</v>
      </c>
      <c r="E5672" t="s">
        <v>35778</v>
      </c>
      <c r="H5672" t="s">
        <v>187</v>
      </c>
      <c r="J5672">
        <v>0</v>
      </c>
      <c r="K5672" t="s">
        <v>35762</v>
      </c>
      <c r="L5672">
        <v>0</v>
      </c>
    </row>
    <row r="5673" spans="1:12" x14ac:dyDescent="0.25">
      <c r="A5673">
        <v>1016827</v>
      </c>
      <c r="B5673">
        <v>1016866</v>
      </c>
      <c r="D5673">
        <v>0</v>
      </c>
      <c r="E5673" t="s">
        <v>35780</v>
      </c>
      <c r="F5673" t="s">
        <v>35781</v>
      </c>
      <c r="G5673" t="s">
        <v>35782</v>
      </c>
      <c r="H5673" t="e" vm="2493">
        <f>_FV(0,"009771140723897752")</f>
        <v>#VALUE!</v>
      </c>
      <c r="I5673" t="s">
        <v>35783</v>
      </c>
      <c r="J5673" t="s">
        <v>35784</v>
      </c>
      <c r="K5673" t="s">
        <v>35785</v>
      </c>
      <c r="L5673" t="s">
        <v>35779</v>
      </c>
    </row>
    <row r="5674" spans="1:12" x14ac:dyDescent="0.25">
      <c r="A5674">
        <v>1016827</v>
      </c>
      <c r="B5674">
        <v>1016866</v>
      </c>
      <c r="D5674">
        <v>0</v>
      </c>
      <c r="E5674" t="s">
        <v>35787</v>
      </c>
      <c r="F5674" t="s">
        <v>35788</v>
      </c>
      <c r="G5674" t="s">
        <v>35789</v>
      </c>
      <c r="H5674" t="e" vm="2494">
        <f>_FV(0,"009912067383176132")</f>
        <v>#VALUE!</v>
      </c>
      <c r="I5674" t="s">
        <v>35790</v>
      </c>
      <c r="J5674" t="s">
        <v>35791</v>
      </c>
      <c r="K5674" t="s">
        <v>35792</v>
      </c>
      <c r="L5674" t="s">
        <v>35786</v>
      </c>
    </row>
    <row r="5675" spans="1:12" x14ac:dyDescent="0.25">
      <c r="A5675">
        <v>1016866</v>
      </c>
      <c r="B5675">
        <v>1016873</v>
      </c>
      <c r="C5675" t="s">
        <v>35794</v>
      </c>
      <c r="D5675">
        <v>0</v>
      </c>
      <c r="E5675" t="s">
        <v>35795</v>
      </c>
      <c r="F5675" t="s">
        <v>35796</v>
      </c>
      <c r="G5675" t="s">
        <v>35797</v>
      </c>
      <c r="H5675" t="e" vm="2495">
        <f>_FV(0,"0207310561234942")</f>
        <v>#VALUE!</v>
      </c>
      <c r="I5675" t="s">
        <v>35798</v>
      </c>
      <c r="J5675" t="s">
        <v>35799</v>
      </c>
      <c r="K5675" t="s">
        <v>35800</v>
      </c>
      <c r="L5675" t="s">
        <v>35793</v>
      </c>
    </row>
    <row r="5676" spans="1:12" x14ac:dyDescent="0.25">
      <c r="A5676">
        <v>1016873</v>
      </c>
      <c r="B5676">
        <v>1016906</v>
      </c>
      <c r="D5676">
        <v>0</v>
      </c>
      <c r="E5676" t="s">
        <v>35802</v>
      </c>
      <c r="F5676" t="s">
        <v>35803</v>
      </c>
      <c r="G5676" t="s">
        <v>35804</v>
      </c>
      <c r="H5676" t="e" vm="2496">
        <f>_FV(0,"0026420480909748237")</f>
        <v>#VALUE!</v>
      </c>
      <c r="I5676" t="s">
        <v>35805</v>
      </c>
      <c r="J5676" t="s">
        <v>35806</v>
      </c>
      <c r="K5676" t="s">
        <v>35807</v>
      </c>
      <c r="L5676" t="s">
        <v>35801</v>
      </c>
    </row>
    <row r="5677" spans="1:12" x14ac:dyDescent="0.25">
      <c r="A5677">
        <v>1016873</v>
      </c>
      <c r="B5677">
        <v>1016906</v>
      </c>
      <c r="D5677">
        <v>0</v>
      </c>
      <c r="E5677" t="s">
        <v>35809</v>
      </c>
      <c r="F5677" t="s">
        <v>35810</v>
      </c>
      <c r="G5677" t="s">
        <v>35811</v>
      </c>
      <c r="H5677" t="e" vm="2497">
        <f>_FV(0,"0026797919412754195")</f>
        <v>#VALUE!</v>
      </c>
      <c r="I5677" t="s">
        <v>35812</v>
      </c>
      <c r="J5677" t="s">
        <v>35813</v>
      </c>
      <c r="K5677" t="s">
        <v>35814</v>
      </c>
      <c r="L5677" t="s">
        <v>35808</v>
      </c>
    </row>
    <row r="5678" spans="1:12" x14ac:dyDescent="0.25">
      <c r="A5678">
        <v>1016906</v>
      </c>
      <c r="B5678">
        <v>1016914</v>
      </c>
      <c r="D5678">
        <v>0</v>
      </c>
      <c r="F5678">
        <v>1099470</v>
      </c>
      <c r="G5678">
        <v>1016914</v>
      </c>
      <c r="H5678" t="s">
        <v>3940</v>
      </c>
      <c r="I5678">
        <v>1016906</v>
      </c>
      <c r="J5678" t="s">
        <v>3940</v>
      </c>
      <c r="K5678" t="s">
        <v>35815</v>
      </c>
      <c r="L5678" t="s">
        <v>3940</v>
      </c>
    </row>
    <row r="5679" spans="1:12" x14ac:dyDescent="0.25">
      <c r="A5679">
        <v>1016951</v>
      </c>
      <c r="B5679">
        <v>1016957</v>
      </c>
      <c r="C5679" t="s">
        <v>35817</v>
      </c>
      <c r="D5679" t="s">
        <v>35818</v>
      </c>
      <c r="E5679" t="s">
        <v>35819</v>
      </c>
      <c r="F5679" t="s">
        <v>35820</v>
      </c>
      <c r="G5679" t="s">
        <v>35821</v>
      </c>
      <c r="H5679" t="s">
        <v>35822</v>
      </c>
      <c r="I5679" t="s">
        <v>35823</v>
      </c>
      <c r="J5679" t="s">
        <v>35824</v>
      </c>
      <c r="K5679" t="s">
        <v>35825</v>
      </c>
      <c r="L5679" t="s">
        <v>35816</v>
      </c>
    </row>
    <row r="5680" spans="1:12" x14ac:dyDescent="0.25">
      <c r="A5680">
        <v>1016957</v>
      </c>
      <c r="B5680">
        <v>1016986</v>
      </c>
      <c r="D5680">
        <v>0</v>
      </c>
      <c r="E5680" t="s">
        <v>35827</v>
      </c>
      <c r="F5680" t="s">
        <v>35828</v>
      </c>
      <c r="G5680" t="s">
        <v>35829</v>
      </c>
      <c r="H5680" t="e" vm="2498">
        <f>_FV(0,"024626236747597535")</f>
        <v>#VALUE!</v>
      </c>
      <c r="I5680" t="s">
        <v>35830</v>
      </c>
      <c r="J5680" t="s">
        <v>35831</v>
      </c>
      <c r="K5680" t="s">
        <v>35832</v>
      </c>
      <c r="L5680" t="s">
        <v>35826</v>
      </c>
    </row>
    <row r="5681" spans="1:12" x14ac:dyDescent="0.25">
      <c r="A5681">
        <v>1016957</v>
      </c>
      <c r="B5681">
        <v>1016986</v>
      </c>
      <c r="D5681">
        <v>0</v>
      </c>
      <c r="E5681" t="s">
        <v>35834</v>
      </c>
      <c r="F5681" t="s">
        <v>35835</v>
      </c>
      <c r="G5681" t="s">
        <v>35836</v>
      </c>
      <c r="H5681" t="e" vm="2499">
        <f>_FV(0,"024480654166082576")</f>
        <v>#VALUE!</v>
      </c>
      <c r="I5681" t="s">
        <v>35837</v>
      </c>
      <c r="J5681" t="s">
        <v>35838</v>
      </c>
      <c r="K5681" t="s">
        <v>35839</v>
      </c>
      <c r="L5681" t="s">
        <v>35833</v>
      </c>
    </row>
    <row r="5682" spans="1:12" x14ac:dyDescent="0.25">
      <c r="A5682">
        <v>1016986</v>
      </c>
      <c r="B5682">
        <v>1016991</v>
      </c>
      <c r="D5682" t="s">
        <v>16756</v>
      </c>
      <c r="E5682" t="s">
        <v>35841</v>
      </c>
      <c r="F5682" t="s">
        <v>35842</v>
      </c>
      <c r="G5682" t="s">
        <v>35843</v>
      </c>
      <c r="H5682" t="e" vm="2500">
        <f>_FV(0,"005125848968283386")</f>
        <v>#VALUE!</v>
      </c>
      <c r="I5682" t="s">
        <v>35844</v>
      </c>
      <c r="J5682" t="s">
        <v>35845</v>
      </c>
      <c r="K5682" t="s">
        <v>35846</v>
      </c>
      <c r="L5682" t="s">
        <v>35840</v>
      </c>
    </row>
    <row r="5683" spans="1:12" x14ac:dyDescent="0.25">
      <c r="A5683">
        <v>1016991</v>
      </c>
      <c r="B5683">
        <v>1017026</v>
      </c>
      <c r="D5683">
        <v>0</v>
      </c>
      <c r="E5683" t="s">
        <v>35848</v>
      </c>
      <c r="F5683" t="s">
        <v>35849</v>
      </c>
      <c r="G5683" t="s">
        <v>35850</v>
      </c>
      <c r="H5683" t="s">
        <v>35851</v>
      </c>
      <c r="I5683" t="s">
        <v>35852</v>
      </c>
      <c r="J5683" t="s">
        <v>35853</v>
      </c>
      <c r="K5683" t="s">
        <v>35854</v>
      </c>
      <c r="L5683" t="s">
        <v>35847</v>
      </c>
    </row>
    <row r="5684" spans="1:12" x14ac:dyDescent="0.25">
      <c r="A5684">
        <v>1016991</v>
      </c>
      <c r="B5684">
        <v>1017026</v>
      </c>
      <c r="D5684">
        <v>0</v>
      </c>
      <c r="E5684" t="s">
        <v>35856</v>
      </c>
      <c r="F5684" t="s">
        <v>35857</v>
      </c>
      <c r="G5684" t="s">
        <v>35858</v>
      </c>
      <c r="H5684" t="s">
        <v>35859</v>
      </c>
      <c r="I5684" t="s">
        <v>35860</v>
      </c>
      <c r="J5684" t="s">
        <v>35861</v>
      </c>
      <c r="K5684" t="s">
        <v>35862</v>
      </c>
      <c r="L5684" t="s">
        <v>35855</v>
      </c>
    </row>
    <row r="5685" spans="1:12" x14ac:dyDescent="0.25">
      <c r="A5685">
        <v>1017172</v>
      </c>
      <c r="B5685">
        <v>1017215</v>
      </c>
      <c r="D5685">
        <v>0</v>
      </c>
      <c r="E5685" t="s">
        <v>35864</v>
      </c>
      <c r="F5685" t="s">
        <v>35865</v>
      </c>
      <c r="G5685" t="s">
        <v>35866</v>
      </c>
      <c r="H5685" t="s">
        <v>35867</v>
      </c>
      <c r="I5685" t="s">
        <v>35868</v>
      </c>
      <c r="J5685" t="s">
        <v>35863</v>
      </c>
      <c r="K5685" t="s">
        <v>35869</v>
      </c>
      <c r="L5685" t="s">
        <v>35863</v>
      </c>
    </row>
    <row r="5686" spans="1:12" x14ac:dyDescent="0.25">
      <c r="A5686">
        <v>1017172</v>
      </c>
      <c r="B5686">
        <v>1017215</v>
      </c>
      <c r="D5686">
        <v>0</v>
      </c>
      <c r="E5686" t="s">
        <v>35871</v>
      </c>
      <c r="F5686" t="s">
        <v>35872</v>
      </c>
      <c r="G5686" t="s">
        <v>35873</v>
      </c>
      <c r="H5686" t="s">
        <v>35874</v>
      </c>
      <c r="I5686" t="s">
        <v>35875</v>
      </c>
      <c r="J5686" t="s">
        <v>35870</v>
      </c>
      <c r="K5686" t="s">
        <v>35876</v>
      </c>
      <c r="L5686" t="s">
        <v>35870</v>
      </c>
    </row>
    <row r="5687" spans="1:12" x14ac:dyDescent="0.25">
      <c r="A5687">
        <v>1017217</v>
      </c>
      <c r="B5687">
        <v>1017224</v>
      </c>
      <c r="D5687">
        <v>0</v>
      </c>
      <c r="E5687" t="s">
        <v>35878</v>
      </c>
      <c r="F5687" t="s">
        <v>35879</v>
      </c>
      <c r="G5687" t="s">
        <v>35880</v>
      </c>
      <c r="H5687" t="e" vm="2501">
        <f>_FV(0,"06235830369280251")</f>
        <v>#VALUE!</v>
      </c>
      <c r="I5687" t="s">
        <v>35881</v>
      </c>
      <c r="J5687" t="s">
        <v>35882</v>
      </c>
      <c r="K5687" t="s">
        <v>35883</v>
      </c>
      <c r="L5687" t="s">
        <v>35877</v>
      </c>
    </row>
    <row r="5688" spans="1:12" x14ac:dyDescent="0.25">
      <c r="A5688">
        <v>1017217</v>
      </c>
      <c r="B5688">
        <v>1017224</v>
      </c>
      <c r="D5688">
        <v>0</v>
      </c>
      <c r="E5688" t="s">
        <v>35885</v>
      </c>
      <c r="F5688" t="s">
        <v>35886</v>
      </c>
      <c r="G5688" t="s">
        <v>35887</v>
      </c>
      <c r="H5688" t="e" vm="2502">
        <f>_FV(0,"06286973793437296")</f>
        <v>#VALUE!</v>
      </c>
      <c r="I5688" t="s">
        <v>35888</v>
      </c>
      <c r="J5688" t="s">
        <v>35889</v>
      </c>
      <c r="K5688" t="s">
        <v>35890</v>
      </c>
      <c r="L5688" t="s">
        <v>35884</v>
      </c>
    </row>
    <row r="5689" spans="1:12" x14ac:dyDescent="0.25">
      <c r="A5689">
        <v>1017224</v>
      </c>
      <c r="B5689">
        <v>1017232</v>
      </c>
      <c r="C5689" t="s">
        <v>35892</v>
      </c>
      <c r="D5689" t="s">
        <v>204</v>
      </c>
      <c r="E5689" t="s">
        <v>35893</v>
      </c>
      <c r="F5689" t="s">
        <v>35894</v>
      </c>
      <c r="G5689" t="s">
        <v>35895</v>
      </c>
      <c r="H5689" t="e" vm="2503">
        <f>_FV(0,"06975087624314677")</f>
        <v>#VALUE!</v>
      </c>
      <c r="I5689" t="s">
        <v>35896</v>
      </c>
      <c r="J5689" t="s">
        <v>35897</v>
      </c>
      <c r="K5689" t="s">
        <v>35898</v>
      </c>
      <c r="L5689" t="s">
        <v>35891</v>
      </c>
    </row>
    <row r="5690" spans="1:12" x14ac:dyDescent="0.25">
      <c r="A5690">
        <v>1017229</v>
      </c>
      <c r="B5690">
        <v>1017272</v>
      </c>
      <c r="D5690">
        <v>0</v>
      </c>
      <c r="E5690" t="s">
        <v>35900</v>
      </c>
      <c r="F5690" t="s">
        <v>35901</v>
      </c>
      <c r="G5690" t="s">
        <v>35902</v>
      </c>
      <c r="H5690" t="s">
        <v>35903</v>
      </c>
      <c r="I5690" t="s">
        <v>35904</v>
      </c>
      <c r="J5690" t="s">
        <v>35905</v>
      </c>
      <c r="K5690" t="s">
        <v>35906</v>
      </c>
      <c r="L5690" t="s">
        <v>35899</v>
      </c>
    </row>
    <row r="5691" spans="1:12" x14ac:dyDescent="0.25">
      <c r="A5691">
        <v>1017229</v>
      </c>
      <c r="B5691">
        <v>1017272</v>
      </c>
      <c r="D5691">
        <v>0</v>
      </c>
      <c r="E5691" t="s">
        <v>35908</v>
      </c>
      <c r="F5691" t="s">
        <v>35909</v>
      </c>
      <c r="G5691" t="s">
        <v>35910</v>
      </c>
      <c r="H5691" t="s">
        <v>35911</v>
      </c>
      <c r="I5691" t="s">
        <v>35912</v>
      </c>
      <c r="J5691" t="s">
        <v>35913</v>
      </c>
      <c r="K5691" t="s">
        <v>35914</v>
      </c>
      <c r="L5691" t="s">
        <v>35907</v>
      </c>
    </row>
    <row r="5692" spans="1:12" x14ac:dyDescent="0.25">
      <c r="A5692">
        <v>1017232</v>
      </c>
      <c r="B5692">
        <v>1017238</v>
      </c>
      <c r="D5692">
        <v>0</v>
      </c>
      <c r="E5692" t="s">
        <v>35916</v>
      </c>
      <c r="F5692" t="s">
        <v>35917</v>
      </c>
      <c r="G5692" t="s">
        <v>35918</v>
      </c>
      <c r="H5692" t="e" vm="2504">
        <f>_FV(0,"03234052450085714")</f>
        <v>#VALUE!</v>
      </c>
      <c r="I5692" t="s">
        <v>35919</v>
      </c>
      <c r="J5692" t="s">
        <v>35920</v>
      </c>
      <c r="K5692" t="s">
        <v>35921</v>
      </c>
      <c r="L5692" t="s">
        <v>35915</v>
      </c>
    </row>
    <row r="5693" spans="1:12" x14ac:dyDescent="0.25">
      <c r="A5693">
        <v>1017232</v>
      </c>
      <c r="B5693">
        <v>1017238</v>
      </c>
      <c r="D5693">
        <v>0</v>
      </c>
      <c r="E5693" t="s">
        <v>35923</v>
      </c>
      <c r="F5693" t="s">
        <v>35924</v>
      </c>
      <c r="G5693" t="s">
        <v>35925</v>
      </c>
      <c r="H5693" t="e" vm="2505">
        <f>_FV(0,"03260800793031125")</f>
        <v>#VALUE!</v>
      </c>
      <c r="I5693" t="s">
        <v>35926</v>
      </c>
      <c r="J5693" t="s">
        <v>35927</v>
      </c>
      <c r="K5693" t="s">
        <v>35928</v>
      </c>
      <c r="L5693" t="s">
        <v>35922</v>
      </c>
    </row>
    <row r="5694" spans="1:12" x14ac:dyDescent="0.25">
      <c r="A5694">
        <v>1017272</v>
      </c>
      <c r="B5694">
        <v>1017276</v>
      </c>
      <c r="D5694">
        <v>0</v>
      </c>
      <c r="F5694">
        <v>1190656</v>
      </c>
      <c r="G5694">
        <v>1017276</v>
      </c>
      <c r="H5694" t="s">
        <v>187</v>
      </c>
      <c r="I5694">
        <v>1017272</v>
      </c>
      <c r="J5694" t="s">
        <v>187</v>
      </c>
      <c r="K5694" t="s">
        <v>35929</v>
      </c>
      <c r="L5694" t="s">
        <v>187</v>
      </c>
    </row>
    <row r="5695" spans="1:12" x14ac:dyDescent="0.25">
      <c r="A5695">
        <v>1017276</v>
      </c>
      <c r="B5695">
        <v>1017300</v>
      </c>
      <c r="D5695">
        <v>0</v>
      </c>
      <c r="E5695" t="s">
        <v>35931</v>
      </c>
      <c r="F5695" t="s">
        <v>35932</v>
      </c>
      <c r="G5695" t="s">
        <v>35933</v>
      </c>
      <c r="H5695" t="s">
        <v>35934</v>
      </c>
      <c r="I5695" t="s">
        <v>35935</v>
      </c>
      <c r="J5695" t="s">
        <v>35930</v>
      </c>
      <c r="K5695" t="s">
        <v>35936</v>
      </c>
      <c r="L5695" t="s">
        <v>35930</v>
      </c>
    </row>
    <row r="5696" spans="1:12" x14ac:dyDescent="0.25">
      <c r="A5696">
        <v>1017276</v>
      </c>
      <c r="B5696">
        <v>1017300</v>
      </c>
      <c r="D5696">
        <v>0</v>
      </c>
      <c r="E5696" t="s">
        <v>35938</v>
      </c>
      <c r="F5696" t="s">
        <v>35939</v>
      </c>
      <c r="G5696" t="s">
        <v>35940</v>
      </c>
      <c r="H5696" t="s">
        <v>35941</v>
      </c>
      <c r="I5696" t="s">
        <v>35942</v>
      </c>
      <c r="J5696" t="s">
        <v>35937</v>
      </c>
      <c r="K5696" t="s">
        <v>35943</v>
      </c>
      <c r="L5696" t="s">
        <v>35937</v>
      </c>
    </row>
    <row r="5697" spans="1:12" x14ac:dyDescent="0.25">
      <c r="A5697">
        <v>1017306</v>
      </c>
      <c r="B5697">
        <v>1017346</v>
      </c>
      <c r="D5697">
        <v>0</v>
      </c>
      <c r="E5697" t="s">
        <v>35945</v>
      </c>
      <c r="F5697" t="s">
        <v>35946</v>
      </c>
      <c r="G5697" t="s">
        <v>35947</v>
      </c>
      <c r="H5697" t="e" vm="2506">
        <f>_FV(0,"011877367748875906")</f>
        <v>#VALUE!</v>
      </c>
      <c r="I5697" t="s">
        <v>35948</v>
      </c>
      <c r="J5697" t="s">
        <v>35949</v>
      </c>
      <c r="K5697" t="s">
        <v>35950</v>
      </c>
      <c r="L5697" t="s">
        <v>35944</v>
      </c>
    </row>
    <row r="5698" spans="1:12" x14ac:dyDescent="0.25">
      <c r="A5698">
        <v>1017306</v>
      </c>
      <c r="B5698">
        <v>1017346</v>
      </c>
      <c r="D5698">
        <v>0</v>
      </c>
      <c r="E5698" t="s">
        <v>35952</v>
      </c>
      <c r="F5698" t="s">
        <v>35953</v>
      </c>
      <c r="G5698" t="s">
        <v>35954</v>
      </c>
      <c r="H5698" t="e" vm="2507">
        <f>_FV(0,"011954460183633782")</f>
        <v>#VALUE!</v>
      </c>
      <c r="I5698" t="s">
        <v>35955</v>
      </c>
      <c r="J5698" t="s">
        <v>35956</v>
      </c>
      <c r="K5698" t="s">
        <v>35957</v>
      </c>
      <c r="L5698" t="s">
        <v>35951</v>
      </c>
    </row>
    <row r="5699" spans="1:12" x14ac:dyDescent="0.25">
      <c r="A5699">
        <v>1017346</v>
      </c>
      <c r="B5699">
        <v>1017353</v>
      </c>
      <c r="C5699" t="s">
        <v>35959</v>
      </c>
      <c r="D5699">
        <v>0</v>
      </c>
      <c r="E5699" t="s">
        <v>35960</v>
      </c>
      <c r="F5699" t="s">
        <v>35961</v>
      </c>
      <c r="G5699" t="s">
        <v>35962</v>
      </c>
      <c r="H5699" t="e" vm="2508">
        <f>_FV(0,"0026568842546912277")</f>
        <v>#VALUE!</v>
      </c>
      <c r="I5699" t="s">
        <v>35963</v>
      </c>
      <c r="J5699" t="s">
        <v>35964</v>
      </c>
      <c r="K5699" t="s">
        <v>35965</v>
      </c>
      <c r="L5699" t="s">
        <v>35958</v>
      </c>
    </row>
    <row r="5700" spans="1:12" x14ac:dyDescent="0.25">
      <c r="A5700">
        <v>1017353</v>
      </c>
      <c r="B5700">
        <v>1017380</v>
      </c>
      <c r="D5700">
        <v>0</v>
      </c>
      <c r="E5700" t="s">
        <v>35967</v>
      </c>
      <c r="F5700" t="s">
        <v>35968</v>
      </c>
      <c r="G5700" t="s">
        <v>35969</v>
      </c>
      <c r="H5700" t="s">
        <v>35970</v>
      </c>
      <c r="I5700" t="s">
        <v>35971</v>
      </c>
      <c r="J5700" t="s">
        <v>35972</v>
      </c>
      <c r="K5700" t="s">
        <v>35973</v>
      </c>
      <c r="L5700" t="s">
        <v>35966</v>
      </c>
    </row>
    <row r="5701" spans="1:12" x14ac:dyDescent="0.25">
      <c r="A5701">
        <v>1017353</v>
      </c>
      <c r="B5701">
        <v>1017380</v>
      </c>
      <c r="D5701">
        <v>0</v>
      </c>
      <c r="E5701" t="s">
        <v>35975</v>
      </c>
      <c r="F5701" t="s">
        <v>35976</v>
      </c>
      <c r="G5701" t="s">
        <v>35977</v>
      </c>
      <c r="H5701" t="s">
        <v>35978</v>
      </c>
      <c r="I5701" t="s">
        <v>35979</v>
      </c>
      <c r="J5701" t="s">
        <v>35980</v>
      </c>
      <c r="K5701" t="s">
        <v>35981</v>
      </c>
      <c r="L5701" t="s">
        <v>35974</v>
      </c>
    </row>
    <row r="5702" spans="1:12" x14ac:dyDescent="0.25">
      <c r="A5702">
        <v>1017380</v>
      </c>
      <c r="B5702">
        <v>1118721</v>
      </c>
      <c r="D5702">
        <v>0</v>
      </c>
      <c r="E5702" t="s">
        <v>35983</v>
      </c>
      <c r="F5702" t="s">
        <v>35984</v>
      </c>
      <c r="G5702" t="s">
        <v>35985</v>
      </c>
      <c r="H5702" t="e" vm="2509">
        <f>_FV(0,"0030227594828603007")</f>
        <v>#VALUE!</v>
      </c>
      <c r="I5702" t="s">
        <v>35986</v>
      </c>
      <c r="J5702" t="s">
        <v>35987</v>
      </c>
      <c r="K5702" t="s">
        <v>35988</v>
      </c>
      <c r="L5702" t="s">
        <v>35982</v>
      </c>
    </row>
    <row r="5703" spans="1:12" x14ac:dyDescent="0.25">
      <c r="A5703">
        <v>1017485</v>
      </c>
      <c r="B5703">
        <v>1226534</v>
      </c>
      <c r="D5703">
        <v>0</v>
      </c>
      <c r="E5703" t="s">
        <v>35990</v>
      </c>
      <c r="F5703" t="s">
        <v>35991</v>
      </c>
      <c r="G5703" t="s">
        <v>35992</v>
      </c>
      <c r="H5703" t="e" vm="2510">
        <f>_FV(0,"012828767770797864")</f>
        <v>#VALUE!</v>
      </c>
      <c r="I5703" t="s">
        <v>35993</v>
      </c>
      <c r="J5703" t="s">
        <v>35994</v>
      </c>
      <c r="K5703" t="s">
        <v>35995</v>
      </c>
      <c r="L5703" t="s">
        <v>35989</v>
      </c>
    </row>
    <row r="5704" spans="1:12" x14ac:dyDescent="0.25">
      <c r="A5704">
        <v>917559</v>
      </c>
      <c r="B5704">
        <v>1017650</v>
      </c>
      <c r="D5704">
        <v>0</v>
      </c>
      <c r="E5704" t="s">
        <v>35997</v>
      </c>
      <c r="F5704" t="s">
        <v>35998</v>
      </c>
      <c r="G5704" t="s">
        <v>35999</v>
      </c>
      <c r="H5704" t="s">
        <v>36000</v>
      </c>
      <c r="I5704" t="s">
        <v>36001</v>
      </c>
      <c r="J5704" t="s">
        <v>36002</v>
      </c>
      <c r="K5704" t="s">
        <v>36003</v>
      </c>
      <c r="L5704" t="s">
        <v>35996</v>
      </c>
    </row>
    <row r="5705" spans="1:12" x14ac:dyDescent="0.25">
      <c r="A5705">
        <v>917559</v>
      </c>
      <c r="B5705">
        <v>1017650</v>
      </c>
      <c r="D5705">
        <v>0</v>
      </c>
      <c r="E5705" t="s">
        <v>36005</v>
      </c>
      <c r="F5705" t="s">
        <v>36006</v>
      </c>
      <c r="G5705" t="s">
        <v>36007</v>
      </c>
      <c r="H5705" t="s">
        <v>36008</v>
      </c>
      <c r="I5705" t="s">
        <v>36009</v>
      </c>
      <c r="J5705" t="s">
        <v>36010</v>
      </c>
      <c r="K5705" t="s">
        <v>36011</v>
      </c>
      <c r="L5705" t="s">
        <v>36004</v>
      </c>
    </row>
    <row r="5706" spans="1:12" x14ac:dyDescent="0.25">
      <c r="A5706">
        <v>1017650</v>
      </c>
      <c r="B5706">
        <v>1854827</v>
      </c>
      <c r="C5706" t="s">
        <v>36012</v>
      </c>
      <c r="D5706">
        <v>0</v>
      </c>
      <c r="E5706" t="s">
        <v>36013</v>
      </c>
      <c r="H5706" t="s">
        <v>187</v>
      </c>
      <c r="J5706">
        <v>0</v>
      </c>
      <c r="K5706" t="s">
        <v>36014</v>
      </c>
      <c r="L5706">
        <v>0</v>
      </c>
    </row>
    <row r="5707" spans="1:12" x14ac:dyDescent="0.25">
      <c r="A5707">
        <v>1017764</v>
      </c>
      <c r="B5707">
        <v>1854861</v>
      </c>
      <c r="C5707" t="s">
        <v>36015</v>
      </c>
      <c r="D5707">
        <v>0</v>
      </c>
      <c r="E5707" t="s">
        <v>36016</v>
      </c>
      <c r="H5707" t="s">
        <v>187</v>
      </c>
      <c r="J5707">
        <v>0</v>
      </c>
      <c r="K5707" t="s">
        <v>36017</v>
      </c>
      <c r="L5707">
        <v>0</v>
      </c>
    </row>
    <row r="5708" spans="1:12" x14ac:dyDescent="0.25">
      <c r="A5708">
        <v>1024104</v>
      </c>
      <c r="B5708">
        <v>1024409</v>
      </c>
      <c r="D5708">
        <v>0</v>
      </c>
      <c r="E5708" t="s">
        <v>36019</v>
      </c>
      <c r="F5708" t="s">
        <v>36020</v>
      </c>
      <c r="G5708" t="s">
        <v>36021</v>
      </c>
      <c r="H5708" t="e" vm="2511">
        <f>_FV(0,"015943621152390876")</f>
        <v>#VALUE!</v>
      </c>
      <c r="I5708" t="s">
        <v>36022</v>
      </c>
      <c r="J5708" t="s">
        <v>36023</v>
      </c>
      <c r="K5708" t="s">
        <v>36024</v>
      </c>
      <c r="L5708" t="s">
        <v>36018</v>
      </c>
    </row>
    <row r="5709" spans="1:12" x14ac:dyDescent="0.25">
      <c r="A5709">
        <v>1025102</v>
      </c>
      <c r="B5709">
        <v>1025129</v>
      </c>
      <c r="D5709">
        <v>0</v>
      </c>
      <c r="E5709" t="s">
        <v>36026</v>
      </c>
      <c r="F5709" t="s">
        <v>36027</v>
      </c>
      <c r="G5709" t="s">
        <v>36028</v>
      </c>
      <c r="H5709" t="e" vm="2512">
        <f>_FV(0,"01095545066258815")</f>
        <v>#VALUE!</v>
      </c>
      <c r="I5709" t="s">
        <v>36029</v>
      </c>
      <c r="J5709" t="s">
        <v>36030</v>
      </c>
      <c r="K5709" t="s">
        <v>36031</v>
      </c>
      <c r="L5709" t="s">
        <v>36025</v>
      </c>
    </row>
    <row r="5710" spans="1:12" x14ac:dyDescent="0.25">
      <c r="A5710">
        <v>1025102</v>
      </c>
      <c r="B5710">
        <v>1025385</v>
      </c>
      <c r="D5710">
        <v>0</v>
      </c>
      <c r="E5710" t="s">
        <v>36032</v>
      </c>
      <c r="F5710" t="s">
        <v>36033</v>
      </c>
      <c r="G5710" t="s">
        <v>36034</v>
      </c>
      <c r="H5710" t="s">
        <v>36035</v>
      </c>
      <c r="I5710" t="s">
        <v>36036</v>
      </c>
      <c r="J5710" t="s">
        <v>1333</v>
      </c>
      <c r="K5710" t="s">
        <v>36037</v>
      </c>
      <c r="L5710" t="s">
        <v>30962</v>
      </c>
    </row>
    <row r="5711" spans="1:12" x14ac:dyDescent="0.25">
      <c r="A5711">
        <v>1025102</v>
      </c>
      <c r="B5711">
        <v>1025400</v>
      </c>
      <c r="D5711">
        <v>0</v>
      </c>
      <c r="E5711" t="s">
        <v>36039</v>
      </c>
      <c r="F5711" t="s">
        <v>36040</v>
      </c>
      <c r="G5711" t="s">
        <v>36041</v>
      </c>
      <c r="H5711" t="e" vm="2513">
        <f>_FV(0,"016373001283219783")</f>
        <v>#VALUE!</v>
      </c>
      <c r="I5711" t="s">
        <v>36042</v>
      </c>
      <c r="J5711" t="s">
        <v>36043</v>
      </c>
      <c r="K5711" t="s">
        <v>36044</v>
      </c>
      <c r="L5711" t="s">
        <v>36038</v>
      </c>
    </row>
    <row r="5712" spans="1:12" x14ac:dyDescent="0.25">
      <c r="A5712">
        <v>1025129</v>
      </c>
      <c r="B5712">
        <v>1025434</v>
      </c>
      <c r="D5712">
        <v>0</v>
      </c>
      <c r="E5712" t="s">
        <v>36045</v>
      </c>
      <c r="F5712" t="s">
        <v>36046</v>
      </c>
      <c r="G5712" t="s">
        <v>36047</v>
      </c>
      <c r="H5712" t="e" vm="2514">
        <f>_FV(0,"013628670258749035")</f>
        <v>#VALUE!</v>
      </c>
      <c r="I5712" t="s">
        <v>36048</v>
      </c>
      <c r="J5712" t="s">
        <v>6406</v>
      </c>
      <c r="K5712" t="s">
        <v>36049</v>
      </c>
      <c r="L5712" t="s">
        <v>6401</v>
      </c>
    </row>
    <row r="5713" spans="1:12" x14ac:dyDescent="0.25">
      <c r="A5713">
        <v>1025129</v>
      </c>
      <c r="B5713">
        <v>1025460</v>
      </c>
      <c r="D5713">
        <v>0</v>
      </c>
      <c r="E5713" t="s">
        <v>36050</v>
      </c>
      <c r="F5713" t="s">
        <v>36051</v>
      </c>
      <c r="G5713" t="s">
        <v>36052</v>
      </c>
      <c r="H5713" t="e" vm="2515">
        <f>_FV(0,"028261883493654487")</f>
        <v>#VALUE!</v>
      </c>
      <c r="I5713" t="s">
        <v>36053</v>
      </c>
      <c r="J5713" t="s">
        <v>4487</v>
      </c>
      <c r="K5713" t="s">
        <v>36054</v>
      </c>
      <c r="L5713" t="s">
        <v>4482</v>
      </c>
    </row>
    <row r="5714" spans="1:12" x14ac:dyDescent="0.25">
      <c r="A5714">
        <v>1025182</v>
      </c>
      <c r="B5714">
        <v>1025518</v>
      </c>
      <c r="D5714">
        <v>0</v>
      </c>
      <c r="E5714" t="s">
        <v>36056</v>
      </c>
      <c r="F5714" t="s">
        <v>36057</v>
      </c>
      <c r="G5714" t="s">
        <v>36058</v>
      </c>
      <c r="H5714" t="e" vm="2516">
        <f>_FV(0,"0016654849767722521")</f>
        <v>#VALUE!</v>
      </c>
      <c r="I5714" t="s">
        <v>36059</v>
      </c>
      <c r="J5714" t="s">
        <v>36060</v>
      </c>
      <c r="K5714" t="s">
        <v>36061</v>
      </c>
      <c r="L5714" t="s">
        <v>36055</v>
      </c>
    </row>
    <row r="5715" spans="1:12" x14ac:dyDescent="0.25">
      <c r="A5715">
        <v>1025182</v>
      </c>
      <c r="B5715">
        <v>1025538</v>
      </c>
      <c r="D5715">
        <v>0</v>
      </c>
      <c r="E5715" t="s">
        <v>36063</v>
      </c>
      <c r="F5715" t="s">
        <v>36064</v>
      </c>
      <c r="G5715" t="s">
        <v>36065</v>
      </c>
      <c r="H5715" t="e" vm="2517">
        <f>_FV(0,"015410099881401724")</f>
        <v>#VALUE!</v>
      </c>
      <c r="I5715" t="s">
        <v>36066</v>
      </c>
      <c r="J5715" t="s">
        <v>15714</v>
      </c>
      <c r="K5715" t="s">
        <v>36067</v>
      </c>
      <c r="L5715" t="s">
        <v>36062</v>
      </c>
    </row>
    <row r="5716" spans="1:12" x14ac:dyDescent="0.25">
      <c r="A5716">
        <v>1025265</v>
      </c>
      <c r="B5716">
        <v>1025282</v>
      </c>
      <c r="D5716">
        <v>0</v>
      </c>
      <c r="E5716" t="s">
        <v>36069</v>
      </c>
      <c r="F5716" t="s">
        <v>36070</v>
      </c>
      <c r="G5716" t="s">
        <v>36071</v>
      </c>
      <c r="H5716" t="e" vm="2518">
        <f>_FV(0,"004235557288083465")</f>
        <v>#VALUE!</v>
      </c>
      <c r="I5716" t="s">
        <v>36072</v>
      </c>
      <c r="J5716" t="s">
        <v>36073</v>
      </c>
      <c r="K5716" t="s">
        <v>36074</v>
      </c>
      <c r="L5716" t="s">
        <v>36068</v>
      </c>
    </row>
    <row r="5717" spans="1:12" x14ac:dyDescent="0.25">
      <c r="A5717">
        <v>1025265</v>
      </c>
      <c r="B5717">
        <v>1025340</v>
      </c>
      <c r="D5717">
        <v>0</v>
      </c>
      <c r="E5717" t="s">
        <v>36076</v>
      </c>
      <c r="F5717" t="s">
        <v>36077</v>
      </c>
      <c r="G5717" t="s">
        <v>36078</v>
      </c>
      <c r="H5717" t="e" vm="2519">
        <f>_FV(0,"009993366675847963")</f>
        <v>#VALUE!</v>
      </c>
      <c r="I5717" t="s">
        <v>36079</v>
      </c>
      <c r="J5717" t="s">
        <v>36080</v>
      </c>
      <c r="K5717" t="s">
        <v>36081</v>
      </c>
      <c r="L5717" t="s">
        <v>36075</v>
      </c>
    </row>
    <row r="5718" spans="1:12" x14ac:dyDescent="0.25">
      <c r="A5718">
        <v>1025282</v>
      </c>
      <c r="B5718">
        <v>1025400</v>
      </c>
      <c r="D5718">
        <v>0</v>
      </c>
      <c r="E5718" t="s">
        <v>36083</v>
      </c>
      <c r="F5718" t="s">
        <v>36084</v>
      </c>
      <c r="G5718" t="s">
        <v>36085</v>
      </c>
      <c r="H5718" t="e" vm="2520">
        <f>_FV(0,"011103332458946073")</f>
        <v>#VALUE!</v>
      </c>
      <c r="I5718" t="s">
        <v>36086</v>
      </c>
      <c r="J5718" t="s">
        <v>36087</v>
      </c>
      <c r="K5718" t="s">
        <v>36088</v>
      </c>
      <c r="L5718" t="s">
        <v>36082</v>
      </c>
    </row>
    <row r="5719" spans="1:12" x14ac:dyDescent="0.25">
      <c r="A5719">
        <v>1025282</v>
      </c>
      <c r="B5719">
        <v>1025340</v>
      </c>
      <c r="D5719">
        <v>0</v>
      </c>
      <c r="E5719" t="s">
        <v>36090</v>
      </c>
      <c r="F5719" t="s">
        <v>36091</v>
      </c>
      <c r="G5719" t="s">
        <v>36092</v>
      </c>
      <c r="H5719" t="s">
        <v>36093</v>
      </c>
      <c r="I5719" t="s">
        <v>36094</v>
      </c>
      <c r="J5719" t="s">
        <v>36095</v>
      </c>
      <c r="K5719" t="s">
        <v>36096</v>
      </c>
      <c r="L5719" t="s">
        <v>36089</v>
      </c>
    </row>
    <row r="5720" spans="1:12" x14ac:dyDescent="0.25">
      <c r="A5720">
        <v>1025294</v>
      </c>
      <c r="B5720">
        <v>1025295</v>
      </c>
      <c r="D5720">
        <v>0</v>
      </c>
      <c r="F5720">
        <v>1080232</v>
      </c>
      <c r="G5720">
        <v>1025295</v>
      </c>
      <c r="H5720" t="e" vm="109">
        <f>_FV(0,"01")</f>
        <v>#VALUE!</v>
      </c>
      <c r="I5720">
        <v>1025294</v>
      </c>
      <c r="J5720" t="s">
        <v>761</v>
      </c>
      <c r="K5720" t="s">
        <v>36097</v>
      </c>
      <c r="L5720" t="e" vm="109">
        <f>_FV(0,"01")</f>
        <v>#VALUE!</v>
      </c>
    </row>
    <row r="5721" spans="1:12" x14ac:dyDescent="0.25">
      <c r="A5721">
        <v>1025294</v>
      </c>
      <c r="B5721">
        <v>1112943</v>
      </c>
      <c r="D5721">
        <v>0</v>
      </c>
      <c r="E5721" t="s">
        <v>36099</v>
      </c>
      <c r="F5721" t="s">
        <v>36100</v>
      </c>
      <c r="G5721" t="s">
        <v>36101</v>
      </c>
      <c r="H5721" t="s">
        <v>36102</v>
      </c>
      <c r="I5721" t="s">
        <v>36103</v>
      </c>
      <c r="J5721" t="s">
        <v>36098</v>
      </c>
      <c r="K5721" t="s">
        <v>36104</v>
      </c>
      <c r="L5721" t="s">
        <v>36098</v>
      </c>
    </row>
    <row r="5722" spans="1:12" x14ac:dyDescent="0.25">
      <c r="A5722">
        <v>1025294</v>
      </c>
      <c r="B5722">
        <v>1453671</v>
      </c>
      <c r="D5722">
        <v>0</v>
      </c>
      <c r="E5722" t="s">
        <v>36106</v>
      </c>
      <c r="F5722" t="s">
        <v>36107</v>
      </c>
      <c r="G5722" t="s">
        <v>36108</v>
      </c>
      <c r="H5722" t="s">
        <v>36109</v>
      </c>
      <c r="I5722" t="s">
        <v>36110</v>
      </c>
      <c r="J5722" t="s">
        <v>36111</v>
      </c>
      <c r="K5722" t="s">
        <v>36112</v>
      </c>
      <c r="L5722" t="s">
        <v>36105</v>
      </c>
    </row>
    <row r="5723" spans="1:12" x14ac:dyDescent="0.25">
      <c r="A5723">
        <v>1025295</v>
      </c>
      <c r="B5723">
        <v>1112965</v>
      </c>
      <c r="D5723">
        <v>0</v>
      </c>
      <c r="E5723" t="s">
        <v>36114</v>
      </c>
      <c r="F5723" t="s">
        <v>36115</v>
      </c>
      <c r="G5723" t="s">
        <v>36116</v>
      </c>
      <c r="H5723" t="e" vm="2521">
        <f>_FV(0,"025403611442471045")</f>
        <v>#VALUE!</v>
      </c>
      <c r="I5723" t="s">
        <v>36117</v>
      </c>
      <c r="J5723" t="s">
        <v>36118</v>
      </c>
      <c r="K5723" t="s">
        <v>36119</v>
      </c>
      <c r="L5723" t="s">
        <v>36113</v>
      </c>
    </row>
    <row r="5724" spans="1:12" x14ac:dyDescent="0.25">
      <c r="A5724">
        <v>1025295</v>
      </c>
      <c r="B5724">
        <v>1453550</v>
      </c>
      <c r="D5724">
        <v>0</v>
      </c>
      <c r="E5724" t="s">
        <v>36121</v>
      </c>
      <c r="F5724" t="s">
        <v>36122</v>
      </c>
      <c r="G5724" t="s">
        <v>36123</v>
      </c>
      <c r="H5724" t="e" vm="2522">
        <f>_FV(0,"0016311859422129746")</f>
        <v>#VALUE!</v>
      </c>
      <c r="I5724" t="s">
        <v>36124</v>
      </c>
      <c r="J5724" t="s">
        <v>36125</v>
      </c>
      <c r="K5724" t="s">
        <v>36126</v>
      </c>
      <c r="L5724" t="s">
        <v>36120</v>
      </c>
    </row>
    <row r="5725" spans="1:12" x14ac:dyDescent="0.25">
      <c r="A5725">
        <v>1025340</v>
      </c>
      <c r="B5725">
        <v>1025385</v>
      </c>
      <c r="D5725">
        <v>0</v>
      </c>
      <c r="E5725" t="s">
        <v>36128</v>
      </c>
      <c r="F5725" t="s">
        <v>36129</v>
      </c>
      <c r="G5725" t="s">
        <v>36130</v>
      </c>
      <c r="H5725" t="s">
        <v>36131</v>
      </c>
      <c r="I5725" t="s">
        <v>36132</v>
      </c>
      <c r="J5725" t="s">
        <v>36133</v>
      </c>
      <c r="K5725" t="s">
        <v>36134</v>
      </c>
      <c r="L5725" t="s">
        <v>36127</v>
      </c>
    </row>
    <row r="5726" spans="1:12" x14ac:dyDescent="0.25">
      <c r="A5726">
        <v>1025385</v>
      </c>
      <c r="B5726">
        <v>1025400</v>
      </c>
      <c r="D5726">
        <v>0</v>
      </c>
      <c r="E5726" t="s">
        <v>36136</v>
      </c>
      <c r="F5726" t="s">
        <v>36137</v>
      </c>
      <c r="G5726" t="s">
        <v>36138</v>
      </c>
      <c r="H5726" t="e" vm="2523">
        <f>_FV(0,"03977017182505774")</f>
        <v>#VALUE!</v>
      </c>
      <c r="I5726" t="s">
        <v>36139</v>
      </c>
      <c r="J5726" t="s">
        <v>36140</v>
      </c>
      <c r="K5726" t="s">
        <v>36141</v>
      </c>
      <c r="L5726" t="s">
        <v>36135</v>
      </c>
    </row>
    <row r="5727" spans="1:12" x14ac:dyDescent="0.25">
      <c r="A5727">
        <v>1025434</v>
      </c>
      <c r="B5727">
        <v>1025538</v>
      </c>
      <c r="D5727">
        <v>0</v>
      </c>
      <c r="E5727" t="s">
        <v>36143</v>
      </c>
      <c r="F5727" t="s">
        <v>36144</v>
      </c>
      <c r="G5727" t="s">
        <v>36145</v>
      </c>
      <c r="H5727" t="e" vm="2524">
        <f>_FV(0,"013181722528055754")</f>
        <v>#VALUE!</v>
      </c>
      <c r="I5727" t="s">
        <v>36146</v>
      </c>
      <c r="J5727" t="s">
        <v>36147</v>
      </c>
      <c r="K5727" t="s">
        <v>36148</v>
      </c>
      <c r="L5727" t="s">
        <v>36142</v>
      </c>
    </row>
    <row r="5728" spans="1:12" x14ac:dyDescent="0.25">
      <c r="A5728">
        <v>1025434</v>
      </c>
      <c r="B5728">
        <v>1025460</v>
      </c>
      <c r="D5728">
        <v>0</v>
      </c>
      <c r="E5728" t="s">
        <v>36150</v>
      </c>
      <c r="F5728" t="s">
        <v>36151</v>
      </c>
      <c r="G5728" t="s">
        <v>36152</v>
      </c>
      <c r="H5728" t="s">
        <v>36153</v>
      </c>
      <c r="I5728" t="s">
        <v>36154</v>
      </c>
      <c r="J5728" t="s">
        <v>36155</v>
      </c>
      <c r="K5728" t="s">
        <v>36156</v>
      </c>
      <c r="L5728" t="s">
        <v>36149</v>
      </c>
    </row>
    <row r="5729" spans="1:12" x14ac:dyDescent="0.25">
      <c r="A5729">
        <v>1025460</v>
      </c>
      <c r="B5729">
        <v>1025518</v>
      </c>
      <c r="D5729">
        <v>0</v>
      </c>
      <c r="E5729" t="s">
        <v>36158</v>
      </c>
      <c r="F5729" t="s">
        <v>36159</v>
      </c>
      <c r="G5729" t="s">
        <v>36160</v>
      </c>
      <c r="H5729" t="s">
        <v>36161</v>
      </c>
      <c r="I5729" t="s">
        <v>36162</v>
      </c>
      <c r="J5729" t="s">
        <v>36163</v>
      </c>
      <c r="K5729" t="s">
        <v>36164</v>
      </c>
      <c r="L5729" t="s">
        <v>36157</v>
      </c>
    </row>
    <row r="5730" spans="1:12" x14ac:dyDescent="0.25">
      <c r="A5730">
        <v>1025518</v>
      </c>
      <c r="B5730">
        <v>1025538</v>
      </c>
      <c r="D5730">
        <v>0</v>
      </c>
      <c r="E5730" t="s">
        <v>36166</v>
      </c>
      <c r="F5730" t="s">
        <v>36167</v>
      </c>
      <c r="G5730" t="s">
        <v>36168</v>
      </c>
      <c r="H5730" t="e" vm="2525">
        <f>_FV(0,"026276323448580666")</f>
        <v>#VALUE!</v>
      </c>
      <c r="I5730" t="s">
        <v>36169</v>
      </c>
      <c r="J5730" t="s">
        <v>36170</v>
      </c>
      <c r="K5730" t="s">
        <v>36171</v>
      </c>
      <c r="L5730" t="s">
        <v>36165</v>
      </c>
    </row>
    <row r="5731" spans="1:12" x14ac:dyDescent="0.25">
      <c r="A5731">
        <v>1027717</v>
      </c>
      <c r="B5731">
        <v>1024579</v>
      </c>
      <c r="D5731">
        <v>0</v>
      </c>
      <c r="E5731" t="s">
        <v>36173</v>
      </c>
      <c r="F5731" t="s">
        <v>36174</v>
      </c>
      <c r="G5731" t="s">
        <v>36175</v>
      </c>
      <c r="H5731" t="s">
        <v>36176</v>
      </c>
      <c r="I5731" t="s">
        <v>36177</v>
      </c>
      <c r="J5731" t="s">
        <v>36178</v>
      </c>
      <c r="K5731" t="s">
        <v>36179</v>
      </c>
      <c r="L5731" t="s">
        <v>36172</v>
      </c>
    </row>
    <row r="5732" spans="1:12" x14ac:dyDescent="0.25">
      <c r="A5732">
        <v>1032535</v>
      </c>
      <c r="B5732">
        <v>1032542</v>
      </c>
      <c r="D5732">
        <v>0</v>
      </c>
      <c r="E5732" t="s">
        <v>36181</v>
      </c>
      <c r="F5732" t="s">
        <v>36182</v>
      </c>
      <c r="G5732" t="s">
        <v>36183</v>
      </c>
      <c r="H5732" t="s">
        <v>36184</v>
      </c>
      <c r="I5732" t="s">
        <v>36185</v>
      </c>
      <c r="J5732" t="s">
        <v>36186</v>
      </c>
      <c r="K5732" t="s">
        <v>36187</v>
      </c>
      <c r="L5732" t="s">
        <v>36180</v>
      </c>
    </row>
    <row r="5733" spans="1:12" x14ac:dyDescent="0.25">
      <c r="A5733">
        <v>1032535</v>
      </c>
      <c r="B5733">
        <v>1692549</v>
      </c>
      <c r="D5733">
        <v>0</v>
      </c>
      <c r="E5733" t="s">
        <v>36189</v>
      </c>
      <c r="F5733" t="s">
        <v>36190</v>
      </c>
      <c r="G5733" t="s">
        <v>36191</v>
      </c>
      <c r="H5733" t="s">
        <v>36192</v>
      </c>
      <c r="I5733" t="s">
        <v>36193</v>
      </c>
      <c r="J5733" t="s">
        <v>36194</v>
      </c>
      <c r="K5733" t="s">
        <v>36195</v>
      </c>
      <c r="L5733" t="s">
        <v>36188</v>
      </c>
    </row>
    <row r="5734" spans="1:12" x14ac:dyDescent="0.25">
      <c r="A5734">
        <v>1032542</v>
      </c>
      <c r="B5734">
        <v>1086260</v>
      </c>
      <c r="D5734">
        <v>0</v>
      </c>
      <c r="E5734" t="s">
        <v>36197</v>
      </c>
      <c r="F5734" t="s">
        <v>36198</v>
      </c>
      <c r="G5734" t="s">
        <v>36199</v>
      </c>
      <c r="H5734" t="e" vm="2526">
        <f>_FV(0,"06129343821253406")</f>
        <v>#VALUE!</v>
      </c>
      <c r="I5734" t="s">
        <v>36200</v>
      </c>
      <c r="J5734" t="s">
        <v>36201</v>
      </c>
      <c r="K5734" t="s">
        <v>36202</v>
      </c>
      <c r="L5734" t="s">
        <v>36196</v>
      </c>
    </row>
    <row r="5735" spans="1:12" x14ac:dyDescent="0.25">
      <c r="A5735">
        <v>1034617</v>
      </c>
      <c r="B5735">
        <v>1571968</v>
      </c>
      <c r="D5735" t="s">
        <v>36204</v>
      </c>
      <c r="E5735" t="s">
        <v>36205</v>
      </c>
      <c r="F5735" t="s">
        <v>36206</v>
      </c>
      <c r="G5735" t="s">
        <v>36207</v>
      </c>
      <c r="H5735" t="s">
        <v>36208</v>
      </c>
      <c r="I5735" t="s">
        <v>36209</v>
      </c>
      <c r="J5735" t="s">
        <v>36210</v>
      </c>
      <c r="K5735" t="s">
        <v>36211</v>
      </c>
      <c r="L5735" t="s">
        <v>36203</v>
      </c>
    </row>
    <row r="5736" spans="1:12" x14ac:dyDescent="0.25">
      <c r="A5736">
        <v>1034625</v>
      </c>
      <c r="B5736">
        <v>1034671</v>
      </c>
      <c r="D5736">
        <v>0</v>
      </c>
      <c r="E5736" t="s">
        <v>36213</v>
      </c>
      <c r="F5736" t="s">
        <v>36214</v>
      </c>
      <c r="G5736" t="s">
        <v>36216</v>
      </c>
      <c r="H5736" t="e" vm="2527">
        <f>_FV(0,"04668066719698812")</f>
        <v>#VALUE!</v>
      </c>
      <c r="I5736" t="s">
        <v>36217</v>
      </c>
      <c r="J5736" t="s">
        <v>36218</v>
      </c>
      <c r="K5736" t="s">
        <v>36219</v>
      </c>
      <c r="L5736" t="s">
        <v>36212</v>
      </c>
    </row>
    <row r="5737" spans="1:12" x14ac:dyDescent="0.25">
      <c r="A5737">
        <v>1034625</v>
      </c>
      <c r="B5737">
        <v>1804949</v>
      </c>
      <c r="D5737">
        <v>0</v>
      </c>
      <c r="F5737">
        <v>2159783</v>
      </c>
      <c r="G5737">
        <v>1034625</v>
      </c>
      <c r="H5737" t="e" vm="939">
        <f>_FV(0,"043")</f>
        <v>#VALUE!</v>
      </c>
      <c r="I5737">
        <v>1804949</v>
      </c>
      <c r="J5737" t="s">
        <v>12171</v>
      </c>
      <c r="K5737" t="s">
        <v>36220</v>
      </c>
      <c r="L5737" t="e" vm="939">
        <f>_FV(0,"043")</f>
        <v>#VALUE!</v>
      </c>
    </row>
    <row r="5738" spans="1:12" x14ac:dyDescent="0.25">
      <c r="A5738">
        <v>1034625</v>
      </c>
      <c r="B5738">
        <v>1804954</v>
      </c>
      <c r="D5738">
        <v>0</v>
      </c>
      <c r="E5738" t="s">
        <v>36222</v>
      </c>
      <c r="F5738" t="s">
        <v>36223</v>
      </c>
      <c r="G5738" t="s">
        <v>36224</v>
      </c>
      <c r="H5738" t="e" vm="2528">
        <f>_FV(0,"0541213904194783")</f>
        <v>#VALUE!</v>
      </c>
      <c r="I5738" t="s">
        <v>36225</v>
      </c>
      <c r="J5738" t="s">
        <v>36226</v>
      </c>
      <c r="K5738" t="s">
        <v>36227</v>
      </c>
      <c r="L5738" t="s">
        <v>36221</v>
      </c>
    </row>
    <row r="5739" spans="1:12" x14ac:dyDescent="0.25">
      <c r="A5739">
        <v>1034671</v>
      </c>
      <c r="B5739">
        <v>1849142</v>
      </c>
      <c r="D5739">
        <v>0</v>
      </c>
      <c r="E5739" t="s">
        <v>36229</v>
      </c>
      <c r="F5739" t="s">
        <v>36230</v>
      </c>
      <c r="G5739" t="s">
        <v>36231</v>
      </c>
      <c r="H5739" t="e" vm="2529">
        <f>_FV(0,"12916830673270135")</f>
        <v>#VALUE!</v>
      </c>
      <c r="I5739" t="s">
        <v>36232</v>
      </c>
      <c r="J5739" t="s">
        <v>36233</v>
      </c>
      <c r="K5739" t="s">
        <v>36234</v>
      </c>
      <c r="L5739" t="s">
        <v>36228</v>
      </c>
    </row>
    <row r="5740" spans="1:12" x14ac:dyDescent="0.25">
      <c r="A5740">
        <v>1034671</v>
      </c>
      <c r="B5740">
        <v>1849176</v>
      </c>
      <c r="D5740">
        <v>0</v>
      </c>
      <c r="E5740" t="s">
        <v>36236</v>
      </c>
      <c r="F5740" t="s">
        <v>36237</v>
      </c>
      <c r="G5740" t="s">
        <v>36238</v>
      </c>
      <c r="H5740" t="e" vm="2530">
        <f>_FV(0,"13821869208035154")</f>
        <v>#VALUE!</v>
      </c>
      <c r="I5740" t="s">
        <v>36239</v>
      </c>
      <c r="J5740" t="s">
        <v>36240</v>
      </c>
      <c r="K5740" t="s">
        <v>36241</v>
      </c>
      <c r="L5740" t="s">
        <v>36235</v>
      </c>
    </row>
    <row r="5741" spans="1:12" x14ac:dyDescent="0.25">
      <c r="A5741">
        <v>1034678</v>
      </c>
      <c r="B5741">
        <v>1849142</v>
      </c>
      <c r="D5741">
        <v>0</v>
      </c>
      <c r="E5741" t="s">
        <v>36243</v>
      </c>
      <c r="F5741" t="s">
        <v>36244</v>
      </c>
      <c r="G5741" t="s">
        <v>36245</v>
      </c>
      <c r="H5741" t="e" vm="2531">
        <f>_FV(0,"030296081736083634")</f>
        <v>#VALUE!</v>
      </c>
      <c r="I5741" t="s">
        <v>36246</v>
      </c>
      <c r="J5741" t="s">
        <v>36247</v>
      </c>
      <c r="K5741" t="s">
        <v>36248</v>
      </c>
      <c r="L5741" t="s">
        <v>36242</v>
      </c>
    </row>
    <row r="5742" spans="1:12" x14ac:dyDescent="0.25">
      <c r="A5742">
        <v>1034678</v>
      </c>
      <c r="B5742">
        <v>1849176</v>
      </c>
      <c r="D5742">
        <v>0</v>
      </c>
      <c r="E5742" t="s">
        <v>36250</v>
      </c>
      <c r="F5742" t="s">
        <v>36251</v>
      </c>
      <c r="G5742" t="s">
        <v>36252</v>
      </c>
      <c r="H5742" t="e" vm="2532">
        <f>_FV(0,"038723442172135566")</f>
        <v>#VALUE!</v>
      </c>
      <c r="I5742" t="s">
        <v>36253</v>
      </c>
      <c r="J5742" t="s">
        <v>36254</v>
      </c>
      <c r="K5742" t="s">
        <v>36255</v>
      </c>
      <c r="L5742" t="s">
        <v>36249</v>
      </c>
    </row>
    <row r="5743" spans="1:12" x14ac:dyDescent="0.25">
      <c r="A5743">
        <v>1034760</v>
      </c>
      <c r="B5743">
        <v>1263193</v>
      </c>
      <c r="D5743">
        <v>0</v>
      </c>
      <c r="E5743" t="s">
        <v>36257</v>
      </c>
      <c r="F5743" t="s">
        <v>36258</v>
      </c>
      <c r="G5743" t="s">
        <v>36259</v>
      </c>
      <c r="H5743" t="e" vm="2533">
        <f>_FV(0,"019525950929963478")</f>
        <v>#VALUE!</v>
      </c>
      <c r="I5743" t="s">
        <v>36260</v>
      </c>
      <c r="J5743" t="s">
        <v>36261</v>
      </c>
      <c r="K5743" t="s">
        <v>36262</v>
      </c>
      <c r="L5743" t="s">
        <v>36256</v>
      </c>
    </row>
    <row r="5744" spans="1:12" x14ac:dyDescent="0.25">
      <c r="A5744">
        <v>1034760</v>
      </c>
      <c r="B5744">
        <v>1803928</v>
      </c>
      <c r="C5744" t="s">
        <v>36264</v>
      </c>
      <c r="D5744">
        <v>0</v>
      </c>
      <c r="E5744" t="s">
        <v>36265</v>
      </c>
      <c r="F5744" t="s">
        <v>36266</v>
      </c>
      <c r="G5744" t="s">
        <v>36267</v>
      </c>
      <c r="H5744" t="e" vm="2534">
        <f>_FV(0,"019684228669783605")</f>
        <v>#VALUE!</v>
      </c>
      <c r="I5744" t="s">
        <v>36268</v>
      </c>
      <c r="J5744" t="s">
        <v>36269</v>
      </c>
      <c r="K5744" t="s">
        <v>36270</v>
      </c>
      <c r="L5744" t="s">
        <v>36263</v>
      </c>
    </row>
    <row r="5745" spans="1:12" x14ac:dyDescent="0.25">
      <c r="A5745">
        <v>1035179</v>
      </c>
      <c r="B5745">
        <v>1035188</v>
      </c>
      <c r="D5745">
        <v>0</v>
      </c>
      <c r="E5745" t="s">
        <v>36272</v>
      </c>
      <c r="F5745" t="s">
        <v>36273</v>
      </c>
      <c r="G5745" t="s">
        <v>36274</v>
      </c>
      <c r="H5745" t="e" vm="2535">
        <f>_FV(0,"03853222383932143")</f>
        <v>#VALUE!</v>
      </c>
      <c r="I5745" t="s">
        <v>36275</v>
      </c>
      <c r="J5745" t="s">
        <v>36276</v>
      </c>
      <c r="K5745" t="s">
        <v>36277</v>
      </c>
      <c r="L5745" t="s">
        <v>36271</v>
      </c>
    </row>
    <row r="5746" spans="1:12" x14ac:dyDescent="0.25">
      <c r="A5746">
        <v>1035179</v>
      </c>
      <c r="B5746">
        <v>1035188</v>
      </c>
      <c r="D5746">
        <v>0</v>
      </c>
      <c r="E5746" t="s">
        <v>36279</v>
      </c>
      <c r="F5746" t="s">
        <v>36280</v>
      </c>
      <c r="G5746" t="s">
        <v>36281</v>
      </c>
      <c r="H5746" t="e" vm="2536">
        <f>_FV(0,"03776240986397278")</f>
        <v>#VALUE!</v>
      </c>
      <c r="I5746" t="s">
        <v>36282</v>
      </c>
      <c r="J5746" t="s">
        <v>126</v>
      </c>
      <c r="K5746" t="s">
        <v>36283</v>
      </c>
      <c r="L5746" t="s">
        <v>36278</v>
      </c>
    </row>
    <row r="5747" spans="1:12" x14ac:dyDescent="0.25">
      <c r="A5747">
        <v>1035188</v>
      </c>
      <c r="B5747">
        <v>1854829</v>
      </c>
      <c r="C5747" t="s">
        <v>36284</v>
      </c>
      <c r="D5747">
        <v>0</v>
      </c>
      <c r="E5747" t="s">
        <v>36285</v>
      </c>
      <c r="H5747" t="s">
        <v>187</v>
      </c>
      <c r="J5747">
        <v>0</v>
      </c>
      <c r="K5747" t="s">
        <v>2566</v>
      </c>
      <c r="L5747">
        <v>0</v>
      </c>
    </row>
    <row r="5748" spans="1:12" x14ac:dyDescent="0.25">
      <c r="A5748">
        <v>1036367</v>
      </c>
      <c r="B5748">
        <v>1280442</v>
      </c>
      <c r="D5748" t="s">
        <v>10799</v>
      </c>
      <c r="E5748" t="s">
        <v>36287</v>
      </c>
      <c r="F5748" t="s">
        <v>36288</v>
      </c>
      <c r="G5748" t="s">
        <v>36289</v>
      </c>
      <c r="H5748" t="e" vm="2537">
        <f>_FV(0,"012296193933961244")</f>
        <v>#VALUE!</v>
      </c>
      <c r="I5748" t="s">
        <v>36290</v>
      </c>
      <c r="J5748" t="s">
        <v>36291</v>
      </c>
      <c r="K5748" t="s">
        <v>36292</v>
      </c>
      <c r="L5748" t="s">
        <v>36286</v>
      </c>
    </row>
    <row r="5749" spans="1:12" x14ac:dyDescent="0.25">
      <c r="A5749">
        <v>1036367</v>
      </c>
      <c r="B5749">
        <v>1036515</v>
      </c>
      <c r="D5749" t="s">
        <v>36294</v>
      </c>
      <c r="E5749" t="s">
        <v>36295</v>
      </c>
      <c r="F5749" t="s">
        <v>36296</v>
      </c>
      <c r="G5749" t="s">
        <v>36297</v>
      </c>
      <c r="H5749" t="e" vm="2538">
        <f>_FV(0,"007166803450101371")</f>
        <v>#VALUE!</v>
      </c>
      <c r="I5749" t="s">
        <v>36298</v>
      </c>
      <c r="J5749" t="s">
        <v>36299</v>
      </c>
      <c r="K5749" t="s">
        <v>36300</v>
      </c>
      <c r="L5749" t="s">
        <v>36293</v>
      </c>
    </row>
    <row r="5750" spans="1:12" x14ac:dyDescent="0.25">
      <c r="A5750">
        <v>1036375</v>
      </c>
      <c r="B5750">
        <v>1280449</v>
      </c>
      <c r="D5750" t="s">
        <v>15900</v>
      </c>
      <c r="E5750" t="s">
        <v>36302</v>
      </c>
      <c r="F5750" t="s">
        <v>36303</v>
      </c>
      <c r="G5750" t="s">
        <v>36304</v>
      </c>
      <c r="H5750" t="e" vm="2539">
        <f>_FV(0,"019235757414515327")</f>
        <v>#VALUE!</v>
      </c>
      <c r="I5750" t="s">
        <v>36305</v>
      </c>
      <c r="J5750" t="s">
        <v>36306</v>
      </c>
      <c r="K5750" t="s">
        <v>36307</v>
      </c>
      <c r="L5750" t="s">
        <v>36301</v>
      </c>
    </row>
    <row r="5751" spans="1:12" x14ac:dyDescent="0.25">
      <c r="A5751">
        <v>1036375</v>
      </c>
      <c r="B5751">
        <v>1036502</v>
      </c>
      <c r="C5751" t="s">
        <v>36309</v>
      </c>
      <c r="D5751" t="s">
        <v>36310</v>
      </c>
      <c r="E5751" t="s">
        <v>36311</v>
      </c>
      <c r="F5751" t="s">
        <v>36312</v>
      </c>
      <c r="G5751" t="s">
        <v>36313</v>
      </c>
      <c r="H5751" t="e" vm="2540">
        <f>_FV(0,"00021196525410274573")</f>
        <v>#VALUE!</v>
      </c>
      <c r="I5751" t="s">
        <v>36314</v>
      </c>
      <c r="J5751" t="s">
        <v>36315</v>
      </c>
      <c r="K5751" t="s">
        <v>36316</v>
      </c>
      <c r="L5751" t="s">
        <v>36308</v>
      </c>
    </row>
    <row r="5752" spans="1:12" x14ac:dyDescent="0.25">
      <c r="A5752">
        <v>1036375</v>
      </c>
      <c r="B5752">
        <v>271969</v>
      </c>
      <c r="D5752">
        <v>0</v>
      </c>
      <c r="E5752" t="s">
        <v>36318</v>
      </c>
      <c r="F5752" t="s">
        <v>36319</v>
      </c>
      <c r="G5752" t="s">
        <v>36320</v>
      </c>
      <c r="H5752" t="s">
        <v>36321</v>
      </c>
      <c r="I5752" t="s">
        <v>36322</v>
      </c>
      <c r="J5752" t="s">
        <v>36323</v>
      </c>
      <c r="K5752" t="s">
        <v>36324</v>
      </c>
      <c r="L5752" t="s">
        <v>36317</v>
      </c>
    </row>
    <row r="5753" spans="1:12" x14ac:dyDescent="0.25">
      <c r="A5753">
        <v>1036502</v>
      </c>
      <c r="B5753">
        <v>1036510</v>
      </c>
      <c r="D5753" t="s">
        <v>204</v>
      </c>
      <c r="E5753" t="s">
        <v>36326</v>
      </c>
      <c r="F5753" t="s">
        <v>36327</v>
      </c>
      <c r="G5753" t="s">
        <v>36328</v>
      </c>
      <c r="H5753" t="e" vm="2541">
        <f>_FV(0,"029381395431458332")</f>
        <v>#VALUE!</v>
      </c>
      <c r="I5753" t="s">
        <v>36329</v>
      </c>
      <c r="J5753" t="s">
        <v>36330</v>
      </c>
      <c r="K5753" t="s">
        <v>36331</v>
      </c>
      <c r="L5753" t="s">
        <v>36325</v>
      </c>
    </row>
    <row r="5754" spans="1:12" x14ac:dyDescent="0.25">
      <c r="A5754">
        <v>1036510</v>
      </c>
      <c r="B5754">
        <v>1081944</v>
      </c>
      <c r="D5754" t="s">
        <v>36333</v>
      </c>
      <c r="E5754" t="s">
        <v>36334</v>
      </c>
      <c r="F5754" t="s">
        <v>36335</v>
      </c>
      <c r="G5754" t="s">
        <v>36336</v>
      </c>
      <c r="H5754" t="s">
        <v>36337</v>
      </c>
      <c r="I5754" t="s">
        <v>36338</v>
      </c>
      <c r="J5754" t="s">
        <v>36339</v>
      </c>
      <c r="K5754" t="s">
        <v>36340</v>
      </c>
      <c r="L5754" t="s">
        <v>36332</v>
      </c>
    </row>
    <row r="5755" spans="1:12" x14ac:dyDescent="0.25">
      <c r="A5755">
        <v>1036515</v>
      </c>
      <c r="B5755">
        <v>1081951</v>
      </c>
      <c r="D5755" t="s">
        <v>9229</v>
      </c>
      <c r="E5755" t="s">
        <v>36342</v>
      </c>
      <c r="F5755" t="s">
        <v>36343</v>
      </c>
      <c r="G5755" t="s">
        <v>36344</v>
      </c>
      <c r="H5755" t="s">
        <v>36345</v>
      </c>
      <c r="I5755" t="s">
        <v>36346</v>
      </c>
      <c r="J5755" t="s">
        <v>36347</v>
      </c>
      <c r="K5755" t="s">
        <v>36348</v>
      </c>
      <c r="L5755" t="s">
        <v>36341</v>
      </c>
    </row>
    <row r="5756" spans="1:12" x14ac:dyDescent="0.25">
      <c r="A5756">
        <v>1036515</v>
      </c>
      <c r="B5756">
        <v>1550904</v>
      </c>
      <c r="D5756" t="s">
        <v>1990</v>
      </c>
      <c r="E5756" t="s">
        <v>36350</v>
      </c>
      <c r="F5756" t="s">
        <v>36351</v>
      </c>
      <c r="G5756" t="s">
        <v>36352</v>
      </c>
      <c r="H5756" t="s">
        <v>36353</v>
      </c>
      <c r="I5756" t="s">
        <v>36354</v>
      </c>
      <c r="J5756" t="s">
        <v>36349</v>
      </c>
      <c r="K5756" t="s">
        <v>36355</v>
      </c>
      <c r="L5756" t="s">
        <v>36349</v>
      </c>
    </row>
    <row r="5757" spans="1:12" x14ac:dyDescent="0.25">
      <c r="A5757">
        <v>1039413</v>
      </c>
      <c r="B5757">
        <v>1039517</v>
      </c>
      <c r="C5757" t="s">
        <v>36357</v>
      </c>
      <c r="D5757">
        <v>0</v>
      </c>
      <c r="E5757" t="s">
        <v>36358</v>
      </c>
      <c r="F5757" t="s">
        <v>36359</v>
      </c>
      <c r="G5757" t="s">
        <v>36360</v>
      </c>
      <c r="H5757" t="s">
        <v>36361</v>
      </c>
      <c r="I5757" t="s">
        <v>36362</v>
      </c>
      <c r="J5757" t="s">
        <v>36363</v>
      </c>
      <c r="K5757" t="s">
        <v>36364</v>
      </c>
      <c r="L5757" t="s">
        <v>36356</v>
      </c>
    </row>
    <row r="5758" spans="1:12" x14ac:dyDescent="0.25">
      <c r="A5758">
        <v>1039413</v>
      </c>
      <c r="B5758">
        <v>1039517</v>
      </c>
      <c r="D5758">
        <v>0</v>
      </c>
      <c r="E5758" t="s">
        <v>36366</v>
      </c>
      <c r="F5758" t="s">
        <v>36367</v>
      </c>
      <c r="G5758" t="s">
        <v>36368</v>
      </c>
      <c r="H5758" t="s">
        <v>36369</v>
      </c>
      <c r="I5758" t="s">
        <v>36370</v>
      </c>
      <c r="J5758" t="s">
        <v>36371</v>
      </c>
      <c r="K5758" t="s">
        <v>36372</v>
      </c>
      <c r="L5758" t="s">
        <v>36365</v>
      </c>
    </row>
    <row r="5759" spans="1:12" x14ac:dyDescent="0.25">
      <c r="A5759">
        <v>1039517</v>
      </c>
      <c r="B5759">
        <v>1251253</v>
      </c>
      <c r="D5759">
        <v>0</v>
      </c>
      <c r="E5759" t="s">
        <v>36374</v>
      </c>
      <c r="F5759" t="s">
        <v>36375</v>
      </c>
      <c r="G5759" t="s">
        <v>36376</v>
      </c>
      <c r="H5759" t="e" vm="2542">
        <f>_FV(0,"004434733167335959")</f>
        <v>#VALUE!</v>
      </c>
      <c r="I5759" t="s">
        <v>36377</v>
      </c>
      <c r="J5759" t="s">
        <v>36378</v>
      </c>
      <c r="K5759" t="s">
        <v>36379</v>
      </c>
      <c r="L5759" t="s">
        <v>36373</v>
      </c>
    </row>
    <row r="5760" spans="1:12" x14ac:dyDescent="0.25">
      <c r="A5760">
        <v>1039523</v>
      </c>
      <c r="B5760">
        <v>1108862</v>
      </c>
      <c r="D5760">
        <v>0</v>
      </c>
      <c r="E5760" t="s">
        <v>36381</v>
      </c>
      <c r="F5760" t="s">
        <v>36382</v>
      </c>
      <c r="G5760" t="s">
        <v>36383</v>
      </c>
      <c r="H5760" t="s">
        <v>36384</v>
      </c>
      <c r="I5760" t="s">
        <v>36385</v>
      </c>
      <c r="J5760" t="s">
        <v>36386</v>
      </c>
      <c r="K5760" t="s">
        <v>36387</v>
      </c>
      <c r="L5760" t="s">
        <v>36380</v>
      </c>
    </row>
    <row r="5761" spans="1:12" x14ac:dyDescent="0.25">
      <c r="A5761">
        <v>1039523</v>
      </c>
      <c r="B5761">
        <v>1108862</v>
      </c>
      <c r="D5761">
        <v>0</v>
      </c>
      <c r="E5761" t="s">
        <v>36389</v>
      </c>
      <c r="F5761" t="s">
        <v>36390</v>
      </c>
      <c r="G5761" t="s">
        <v>36391</v>
      </c>
      <c r="H5761" t="s">
        <v>36392</v>
      </c>
      <c r="I5761" t="s">
        <v>36393</v>
      </c>
      <c r="J5761" t="s">
        <v>36394</v>
      </c>
      <c r="K5761" t="s">
        <v>36395</v>
      </c>
      <c r="L5761" t="s">
        <v>36388</v>
      </c>
    </row>
    <row r="5762" spans="1:12" x14ac:dyDescent="0.25">
      <c r="A5762">
        <v>1039523</v>
      </c>
      <c r="B5762">
        <v>1251259</v>
      </c>
      <c r="D5762" t="s">
        <v>36397</v>
      </c>
      <c r="E5762" t="s">
        <v>36398</v>
      </c>
      <c r="F5762" t="s">
        <v>36399</v>
      </c>
      <c r="G5762" t="s">
        <v>36400</v>
      </c>
      <c r="H5762" t="s">
        <v>36401</v>
      </c>
      <c r="I5762" t="s">
        <v>36402</v>
      </c>
      <c r="J5762" t="s">
        <v>36403</v>
      </c>
      <c r="K5762" t="s">
        <v>36404</v>
      </c>
      <c r="L5762" t="s">
        <v>36396</v>
      </c>
    </row>
    <row r="5763" spans="1:12" x14ac:dyDescent="0.25">
      <c r="A5763">
        <v>1039958</v>
      </c>
      <c r="B5763">
        <v>109767</v>
      </c>
      <c r="D5763">
        <v>0</v>
      </c>
      <c r="F5763">
        <v>1762753</v>
      </c>
      <c r="G5763">
        <v>109767</v>
      </c>
      <c r="H5763" t="s">
        <v>24526</v>
      </c>
      <c r="I5763">
        <v>1039958</v>
      </c>
      <c r="J5763" t="s">
        <v>24526</v>
      </c>
      <c r="K5763" t="s">
        <v>36405</v>
      </c>
      <c r="L5763" t="s">
        <v>24526</v>
      </c>
    </row>
    <row r="5764" spans="1:12" x14ac:dyDescent="0.25">
      <c r="A5764">
        <v>1039958</v>
      </c>
      <c r="B5764">
        <v>1046787</v>
      </c>
      <c r="D5764" t="s">
        <v>514</v>
      </c>
      <c r="E5764" t="s">
        <v>36407</v>
      </c>
      <c r="F5764" t="s">
        <v>36408</v>
      </c>
      <c r="G5764" t="s">
        <v>36409</v>
      </c>
      <c r="H5764" t="e" vm="2543">
        <f>_FV(0,"04838487559640178")</f>
        <v>#VALUE!</v>
      </c>
      <c r="I5764" t="s">
        <v>36410</v>
      </c>
      <c r="J5764" t="s">
        <v>36411</v>
      </c>
      <c r="K5764" t="s">
        <v>36412</v>
      </c>
      <c r="L5764" t="s">
        <v>36406</v>
      </c>
    </row>
    <row r="5765" spans="1:12" x14ac:dyDescent="0.25">
      <c r="A5765">
        <v>1040580</v>
      </c>
      <c r="B5765">
        <v>1040588</v>
      </c>
      <c r="D5765">
        <v>0</v>
      </c>
      <c r="E5765" t="s">
        <v>36414</v>
      </c>
      <c r="F5765" t="s">
        <v>36415</v>
      </c>
      <c r="G5765" t="s">
        <v>36416</v>
      </c>
      <c r="H5765" t="e" vm="2544">
        <f>_FV(0,"01665345947007416")</f>
        <v>#VALUE!</v>
      </c>
      <c r="I5765" t="s">
        <v>36417</v>
      </c>
      <c r="J5765" t="s">
        <v>36418</v>
      </c>
      <c r="K5765" t="s">
        <v>36419</v>
      </c>
      <c r="L5765" t="s">
        <v>36413</v>
      </c>
    </row>
    <row r="5766" spans="1:12" x14ac:dyDescent="0.25">
      <c r="A5766">
        <v>1040580</v>
      </c>
      <c r="B5766">
        <v>1040588</v>
      </c>
      <c r="D5766">
        <v>0</v>
      </c>
      <c r="E5766" t="s">
        <v>36421</v>
      </c>
      <c r="F5766" t="s">
        <v>36422</v>
      </c>
      <c r="G5766" t="s">
        <v>36423</v>
      </c>
      <c r="H5766" t="e" vm="2545">
        <f>_FV(0,"016833559120014604")</f>
        <v>#VALUE!</v>
      </c>
      <c r="I5766" t="s">
        <v>36424</v>
      </c>
      <c r="J5766" t="s">
        <v>36425</v>
      </c>
      <c r="K5766" t="s">
        <v>36426</v>
      </c>
      <c r="L5766" t="s">
        <v>36420</v>
      </c>
    </row>
    <row r="5767" spans="1:12" x14ac:dyDescent="0.25">
      <c r="A5767">
        <v>1040580</v>
      </c>
      <c r="B5767">
        <v>1854827</v>
      </c>
      <c r="C5767" t="s">
        <v>36427</v>
      </c>
      <c r="D5767">
        <v>0</v>
      </c>
      <c r="E5767" t="s">
        <v>36428</v>
      </c>
      <c r="H5767" t="s">
        <v>187</v>
      </c>
      <c r="J5767">
        <v>0</v>
      </c>
      <c r="K5767" t="s">
        <v>36014</v>
      </c>
      <c r="L5767">
        <v>0</v>
      </c>
    </row>
    <row r="5768" spans="1:12" x14ac:dyDescent="0.25">
      <c r="A5768">
        <v>1040588</v>
      </c>
      <c r="B5768">
        <v>918139</v>
      </c>
      <c r="C5768" t="s">
        <v>36430</v>
      </c>
      <c r="D5768" t="s">
        <v>36431</v>
      </c>
      <c r="E5768" t="s">
        <v>36432</v>
      </c>
      <c r="F5768" t="s">
        <v>36433</v>
      </c>
      <c r="G5768" t="s">
        <v>36434</v>
      </c>
      <c r="H5768" t="e" vm="2546">
        <f>_FV(0,"011084719858374571")</f>
        <v>#VALUE!</v>
      </c>
      <c r="I5768" t="s">
        <v>36435</v>
      </c>
      <c r="J5768" t="s">
        <v>36436</v>
      </c>
      <c r="K5768" t="s">
        <v>36437</v>
      </c>
      <c r="L5768" t="s">
        <v>36429</v>
      </c>
    </row>
    <row r="5769" spans="1:12" x14ac:dyDescent="0.25">
      <c r="A5769">
        <v>1045070</v>
      </c>
      <c r="B5769">
        <v>1152794</v>
      </c>
      <c r="D5769">
        <v>0</v>
      </c>
      <c r="E5769" t="s">
        <v>36439</v>
      </c>
      <c r="F5769" t="s">
        <v>36440</v>
      </c>
      <c r="G5769" t="s">
        <v>36441</v>
      </c>
      <c r="H5769" t="s">
        <v>36442</v>
      </c>
      <c r="I5769" t="s">
        <v>36443</v>
      </c>
      <c r="J5769" t="s">
        <v>36444</v>
      </c>
      <c r="K5769" t="s">
        <v>36445</v>
      </c>
      <c r="L5769" t="s">
        <v>36438</v>
      </c>
    </row>
    <row r="5770" spans="1:12" x14ac:dyDescent="0.25">
      <c r="A5770">
        <v>1045653</v>
      </c>
      <c r="B5770">
        <v>1045654</v>
      </c>
      <c r="D5770">
        <v>0</v>
      </c>
      <c r="E5770" t="s">
        <v>36447</v>
      </c>
      <c r="F5770" t="s">
        <v>36448</v>
      </c>
      <c r="G5770" t="s">
        <v>36449</v>
      </c>
      <c r="H5770" t="s">
        <v>36450</v>
      </c>
      <c r="I5770" t="s">
        <v>36451</v>
      </c>
      <c r="J5770" t="s">
        <v>36452</v>
      </c>
      <c r="K5770" t="s">
        <v>36453</v>
      </c>
      <c r="L5770" t="s">
        <v>36446</v>
      </c>
    </row>
    <row r="5771" spans="1:12" x14ac:dyDescent="0.25">
      <c r="A5771">
        <v>1045653</v>
      </c>
      <c r="B5771">
        <v>1045654</v>
      </c>
      <c r="D5771">
        <v>0</v>
      </c>
      <c r="E5771" t="s">
        <v>36455</v>
      </c>
      <c r="F5771" t="s">
        <v>36456</v>
      </c>
      <c r="G5771" t="s">
        <v>36457</v>
      </c>
      <c r="H5771" t="s">
        <v>36458</v>
      </c>
      <c r="I5771" t="s">
        <v>36459</v>
      </c>
      <c r="J5771" t="s">
        <v>36460</v>
      </c>
      <c r="K5771" t="s">
        <v>36461</v>
      </c>
      <c r="L5771" t="s">
        <v>36454</v>
      </c>
    </row>
    <row r="5772" spans="1:12" x14ac:dyDescent="0.25">
      <c r="A5772">
        <v>1045917</v>
      </c>
      <c r="B5772">
        <v>1045935</v>
      </c>
      <c r="D5772">
        <v>0</v>
      </c>
      <c r="E5772" t="s">
        <v>36463</v>
      </c>
      <c r="F5772" t="s">
        <v>36464</v>
      </c>
      <c r="G5772" t="s">
        <v>36465</v>
      </c>
      <c r="H5772" t="s">
        <v>36466</v>
      </c>
      <c r="I5772" t="s">
        <v>36467</v>
      </c>
      <c r="J5772" t="s">
        <v>36468</v>
      </c>
      <c r="K5772" t="s">
        <v>36469</v>
      </c>
      <c r="L5772" t="s">
        <v>36462</v>
      </c>
    </row>
    <row r="5773" spans="1:12" x14ac:dyDescent="0.25">
      <c r="A5773">
        <v>1045917</v>
      </c>
      <c r="B5773">
        <v>1210915</v>
      </c>
      <c r="D5773">
        <v>0</v>
      </c>
      <c r="E5773" t="s">
        <v>36471</v>
      </c>
      <c r="F5773" t="s">
        <v>36472</v>
      </c>
      <c r="G5773" t="s">
        <v>36473</v>
      </c>
      <c r="H5773" t="s">
        <v>36474</v>
      </c>
      <c r="I5773" t="s">
        <v>36475</v>
      </c>
      <c r="J5773" t="s">
        <v>36476</v>
      </c>
      <c r="K5773" t="s">
        <v>36477</v>
      </c>
      <c r="L5773" t="s">
        <v>36470</v>
      </c>
    </row>
    <row r="5774" spans="1:12" x14ac:dyDescent="0.25">
      <c r="A5774">
        <v>1045935</v>
      </c>
      <c r="B5774">
        <v>1210953</v>
      </c>
      <c r="D5774">
        <v>0</v>
      </c>
      <c r="E5774" t="s">
        <v>36479</v>
      </c>
      <c r="F5774" t="s">
        <v>36480</v>
      </c>
      <c r="G5774" t="s">
        <v>36481</v>
      </c>
      <c r="H5774" t="e" vm="2547">
        <f>_FV(0,"01749590631852481")</f>
        <v>#VALUE!</v>
      </c>
      <c r="I5774" t="s">
        <v>36482</v>
      </c>
      <c r="J5774" t="s">
        <v>36483</v>
      </c>
      <c r="K5774" t="s">
        <v>36484</v>
      </c>
      <c r="L5774" t="s">
        <v>36478</v>
      </c>
    </row>
    <row r="5775" spans="1:12" x14ac:dyDescent="0.25">
      <c r="A5775">
        <v>1045967</v>
      </c>
      <c r="B5775">
        <v>1819073</v>
      </c>
      <c r="D5775" t="s">
        <v>36486</v>
      </c>
      <c r="E5775" t="s">
        <v>36487</v>
      </c>
      <c r="F5775" t="s">
        <v>36488</v>
      </c>
      <c r="G5775" t="s">
        <v>36489</v>
      </c>
      <c r="H5775" t="e" vm="2548">
        <f>_FV(0,"019528159509140885")</f>
        <v>#VALUE!</v>
      </c>
      <c r="I5775" t="s">
        <v>36490</v>
      </c>
      <c r="J5775" t="s">
        <v>36491</v>
      </c>
      <c r="K5775" t="s">
        <v>36492</v>
      </c>
      <c r="L5775" t="s">
        <v>36485</v>
      </c>
    </row>
    <row r="5776" spans="1:12" x14ac:dyDescent="0.25">
      <c r="A5776">
        <v>1045967</v>
      </c>
      <c r="B5776">
        <v>1210100</v>
      </c>
      <c r="D5776">
        <v>0</v>
      </c>
      <c r="E5776" t="s">
        <v>36494</v>
      </c>
      <c r="F5776" t="s">
        <v>36495</v>
      </c>
      <c r="G5776" t="s">
        <v>36496</v>
      </c>
      <c r="H5776" t="e" vm="2549">
        <f>_FV(0,"07081560449564801")</f>
        <v>#VALUE!</v>
      </c>
      <c r="I5776" t="s">
        <v>36497</v>
      </c>
      <c r="J5776" t="s">
        <v>36498</v>
      </c>
      <c r="K5776" t="s">
        <v>36499</v>
      </c>
      <c r="L5776" t="s">
        <v>36493</v>
      </c>
    </row>
    <row r="5777" spans="1:12" x14ac:dyDescent="0.25">
      <c r="A5777">
        <v>1046032</v>
      </c>
      <c r="B5777">
        <v>1819130</v>
      </c>
      <c r="D5777">
        <v>0</v>
      </c>
      <c r="E5777" t="s">
        <v>36501</v>
      </c>
      <c r="F5777" t="s">
        <v>36502</v>
      </c>
      <c r="G5777" t="s">
        <v>36503</v>
      </c>
      <c r="H5777" t="s">
        <v>36504</v>
      </c>
      <c r="I5777" t="s">
        <v>36505</v>
      </c>
      <c r="J5777" t="s">
        <v>36500</v>
      </c>
      <c r="K5777" t="s">
        <v>36506</v>
      </c>
      <c r="L5777" t="s">
        <v>36500</v>
      </c>
    </row>
    <row r="5778" spans="1:12" x14ac:dyDescent="0.25">
      <c r="A5778">
        <v>1046032</v>
      </c>
      <c r="B5778">
        <v>1210066</v>
      </c>
      <c r="D5778" t="s">
        <v>36508</v>
      </c>
      <c r="E5778" t="s">
        <v>36509</v>
      </c>
      <c r="F5778" t="s">
        <v>36510</v>
      </c>
      <c r="G5778" t="s">
        <v>36511</v>
      </c>
      <c r="H5778" t="e" vm="2550">
        <f>_FV(0,"012162862430630778")</f>
        <v>#VALUE!</v>
      </c>
      <c r="I5778" t="s">
        <v>36512</v>
      </c>
      <c r="J5778" t="s">
        <v>36513</v>
      </c>
      <c r="K5778" t="s">
        <v>36514</v>
      </c>
      <c r="L5778" t="s">
        <v>36507</v>
      </c>
    </row>
    <row r="5779" spans="1:12" x14ac:dyDescent="0.25">
      <c r="A5779">
        <v>1046131</v>
      </c>
      <c r="B5779">
        <v>1046163</v>
      </c>
      <c r="D5779" t="s">
        <v>8792</v>
      </c>
      <c r="E5779" t="s">
        <v>36516</v>
      </c>
      <c r="F5779" t="s">
        <v>36517</v>
      </c>
      <c r="G5779" t="s">
        <v>36518</v>
      </c>
      <c r="H5779" t="e" vm="2551">
        <f>_FV(0,"0032344935397199803")</f>
        <v>#VALUE!</v>
      </c>
      <c r="I5779" t="s">
        <v>36519</v>
      </c>
      <c r="J5779" t="s">
        <v>36520</v>
      </c>
      <c r="K5779" t="s">
        <v>36521</v>
      </c>
      <c r="L5779" t="s">
        <v>36515</v>
      </c>
    </row>
    <row r="5780" spans="1:12" x14ac:dyDescent="0.25">
      <c r="A5780">
        <v>1046131</v>
      </c>
      <c r="B5780">
        <v>1819224</v>
      </c>
      <c r="D5780">
        <v>0</v>
      </c>
      <c r="E5780" t="s">
        <v>36523</v>
      </c>
      <c r="F5780" t="s">
        <v>36524</v>
      </c>
      <c r="G5780" t="s">
        <v>36525</v>
      </c>
      <c r="H5780" t="s">
        <v>36526</v>
      </c>
      <c r="I5780" t="s">
        <v>36527</v>
      </c>
      <c r="J5780" t="s">
        <v>36528</v>
      </c>
      <c r="K5780" t="s">
        <v>36529</v>
      </c>
      <c r="L5780" t="s">
        <v>36522</v>
      </c>
    </row>
    <row r="5781" spans="1:12" x14ac:dyDescent="0.25">
      <c r="A5781">
        <v>1046136</v>
      </c>
      <c r="B5781">
        <v>1536159</v>
      </c>
      <c r="D5781" t="s">
        <v>3182</v>
      </c>
      <c r="E5781" t="s">
        <v>36531</v>
      </c>
      <c r="F5781" t="s">
        <v>36532</v>
      </c>
      <c r="G5781" t="s">
        <v>36533</v>
      </c>
      <c r="H5781" t="s">
        <v>36534</v>
      </c>
      <c r="I5781" t="s">
        <v>36535</v>
      </c>
      <c r="J5781" t="s">
        <v>36536</v>
      </c>
      <c r="K5781" t="s">
        <v>36537</v>
      </c>
      <c r="L5781" t="s">
        <v>36530</v>
      </c>
    </row>
    <row r="5782" spans="1:12" x14ac:dyDescent="0.25">
      <c r="A5782">
        <v>1046136</v>
      </c>
      <c r="B5782">
        <v>1819189</v>
      </c>
      <c r="D5782">
        <v>0</v>
      </c>
      <c r="E5782" t="s">
        <v>36539</v>
      </c>
      <c r="F5782" t="s">
        <v>36540</v>
      </c>
      <c r="G5782" t="s">
        <v>36541</v>
      </c>
      <c r="H5782" t="s">
        <v>36542</v>
      </c>
      <c r="I5782" t="s">
        <v>36543</v>
      </c>
      <c r="J5782" t="s">
        <v>36544</v>
      </c>
      <c r="K5782" t="s">
        <v>36545</v>
      </c>
      <c r="L5782" t="s">
        <v>36538</v>
      </c>
    </row>
    <row r="5783" spans="1:12" x14ac:dyDescent="0.25">
      <c r="A5783">
        <v>1046163</v>
      </c>
      <c r="B5783">
        <v>1536181</v>
      </c>
      <c r="D5783">
        <v>0</v>
      </c>
      <c r="E5783" t="s">
        <v>36547</v>
      </c>
      <c r="F5783" t="s">
        <v>36548</v>
      </c>
      <c r="G5783" t="s">
        <v>36549</v>
      </c>
      <c r="H5783" t="s">
        <v>36550</v>
      </c>
      <c r="I5783" t="s">
        <v>36551</v>
      </c>
      <c r="J5783" t="s">
        <v>36546</v>
      </c>
      <c r="K5783" t="s">
        <v>36552</v>
      </c>
      <c r="L5783" t="s">
        <v>36546</v>
      </c>
    </row>
    <row r="5784" spans="1:12" x14ac:dyDescent="0.25">
      <c r="A5784">
        <v>1046787</v>
      </c>
      <c r="B5784">
        <v>1164648</v>
      </c>
      <c r="D5784" t="s">
        <v>36554</v>
      </c>
      <c r="E5784" t="s">
        <v>36555</v>
      </c>
      <c r="F5784" t="s">
        <v>36556</v>
      </c>
      <c r="G5784" t="s">
        <v>36557</v>
      </c>
      <c r="H5784" t="s">
        <v>36558</v>
      </c>
      <c r="I5784" t="s">
        <v>36559</v>
      </c>
      <c r="J5784" t="s">
        <v>36560</v>
      </c>
      <c r="K5784" t="s">
        <v>36561</v>
      </c>
      <c r="L5784" t="s">
        <v>36553</v>
      </c>
    </row>
    <row r="5785" spans="1:12" x14ac:dyDescent="0.25">
      <c r="A5785">
        <v>1046814</v>
      </c>
      <c r="B5785">
        <v>1166934</v>
      </c>
      <c r="D5785" t="s">
        <v>36563</v>
      </c>
      <c r="E5785" t="s">
        <v>36564</v>
      </c>
      <c r="F5785" t="s">
        <v>36565</v>
      </c>
      <c r="G5785" t="s">
        <v>36566</v>
      </c>
      <c r="H5785" t="s">
        <v>36567</v>
      </c>
      <c r="I5785" t="s">
        <v>36568</v>
      </c>
      <c r="J5785" t="s">
        <v>36569</v>
      </c>
      <c r="K5785" t="s">
        <v>36570</v>
      </c>
      <c r="L5785" t="s">
        <v>36562</v>
      </c>
    </row>
    <row r="5786" spans="1:12" x14ac:dyDescent="0.25">
      <c r="A5786">
        <v>1046814</v>
      </c>
      <c r="B5786">
        <v>113916</v>
      </c>
      <c r="D5786">
        <v>0</v>
      </c>
      <c r="E5786" t="s">
        <v>36572</v>
      </c>
      <c r="F5786" t="s">
        <v>36573</v>
      </c>
      <c r="G5786" t="s">
        <v>36574</v>
      </c>
      <c r="H5786" t="s">
        <v>36575</v>
      </c>
      <c r="I5786" t="s">
        <v>36576</v>
      </c>
      <c r="J5786" t="s">
        <v>36571</v>
      </c>
      <c r="K5786" t="s">
        <v>36577</v>
      </c>
      <c r="L5786" t="s">
        <v>36571</v>
      </c>
    </row>
    <row r="5787" spans="1:12" x14ac:dyDescent="0.25">
      <c r="A5787">
        <v>1047231</v>
      </c>
      <c r="B5787">
        <v>1047239</v>
      </c>
      <c r="D5787">
        <v>0</v>
      </c>
      <c r="E5787" t="s">
        <v>36579</v>
      </c>
      <c r="F5787" t="s">
        <v>36580</v>
      </c>
      <c r="G5787" t="s">
        <v>36581</v>
      </c>
      <c r="H5787" t="e" vm="2552">
        <f>_FV(0,"004468898715235994")</f>
        <v>#VALUE!</v>
      </c>
      <c r="I5787" t="s">
        <v>36582</v>
      </c>
      <c r="J5787" t="s">
        <v>36583</v>
      </c>
      <c r="K5787" t="s">
        <v>36584</v>
      </c>
      <c r="L5787" t="s">
        <v>36578</v>
      </c>
    </row>
    <row r="5788" spans="1:12" x14ac:dyDescent="0.25">
      <c r="A5788">
        <v>1047231</v>
      </c>
      <c r="B5788">
        <v>1047244</v>
      </c>
      <c r="D5788">
        <v>0</v>
      </c>
      <c r="E5788" t="s">
        <v>36585</v>
      </c>
      <c r="F5788" t="s">
        <v>36586</v>
      </c>
      <c r="G5788" t="s">
        <v>36587</v>
      </c>
      <c r="H5788" t="s">
        <v>36588</v>
      </c>
      <c r="I5788" t="s">
        <v>36589</v>
      </c>
      <c r="J5788" t="s">
        <v>98</v>
      </c>
      <c r="K5788" t="s">
        <v>36590</v>
      </c>
      <c r="L5788" t="s">
        <v>98</v>
      </c>
    </row>
    <row r="5789" spans="1:12" x14ac:dyDescent="0.25">
      <c r="A5789">
        <v>1047231</v>
      </c>
      <c r="B5789">
        <v>1561951</v>
      </c>
      <c r="D5789">
        <v>0</v>
      </c>
      <c r="F5789">
        <v>1769573</v>
      </c>
      <c r="G5789">
        <v>1047231</v>
      </c>
      <c r="H5789" t="s">
        <v>890</v>
      </c>
      <c r="I5789">
        <v>1561951</v>
      </c>
      <c r="J5789" t="s">
        <v>890</v>
      </c>
      <c r="K5789" t="s">
        <v>36591</v>
      </c>
      <c r="L5789" t="s">
        <v>890</v>
      </c>
    </row>
    <row r="5790" spans="1:12" x14ac:dyDescent="0.25">
      <c r="A5790">
        <v>1047239</v>
      </c>
      <c r="B5790">
        <v>1562156</v>
      </c>
      <c r="D5790">
        <v>0</v>
      </c>
      <c r="F5790">
        <v>1769925</v>
      </c>
      <c r="G5790">
        <v>1562156</v>
      </c>
      <c r="H5790" t="e" vm="59">
        <f>_FV(0,"014")</f>
        <v>#VALUE!</v>
      </c>
      <c r="I5790">
        <v>1047239</v>
      </c>
      <c r="J5790" t="s">
        <v>922</v>
      </c>
      <c r="K5790" t="s">
        <v>36592</v>
      </c>
      <c r="L5790" t="e" vm="59">
        <f>_FV(0,"014")</f>
        <v>#VALUE!</v>
      </c>
    </row>
    <row r="5791" spans="1:12" x14ac:dyDescent="0.25">
      <c r="A5791">
        <v>1047239</v>
      </c>
      <c r="B5791">
        <v>1047260</v>
      </c>
      <c r="D5791">
        <v>0</v>
      </c>
      <c r="E5791" t="s">
        <v>36594</v>
      </c>
      <c r="F5791" t="s">
        <v>36595</v>
      </c>
      <c r="G5791" t="s">
        <v>36596</v>
      </c>
      <c r="H5791" t="e" vm="2553">
        <f>_FV(0,"037984558550138686")</f>
        <v>#VALUE!</v>
      </c>
      <c r="I5791" t="s">
        <v>36597</v>
      </c>
      <c r="J5791" t="s">
        <v>36598</v>
      </c>
      <c r="K5791" t="s">
        <v>36599</v>
      </c>
      <c r="L5791" t="s">
        <v>36593</v>
      </c>
    </row>
    <row r="5792" spans="1:12" x14ac:dyDescent="0.25">
      <c r="A5792">
        <v>1047244</v>
      </c>
      <c r="B5792">
        <v>1047291</v>
      </c>
      <c r="D5792">
        <v>0</v>
      </c>
      <c r="F5792">
        <v>1769597</v>
      </c>
      <c r="G5792">
        <v>1047291</v>
      </c>
      <c r="H5792" t="e" vm="945">
        <f>_FV(0,"049")</f>
        <v>#VALUE!</v>
      </c>
      <c r="I5792">
        <v>1047244</v>
      </c>
      <c r="J5792" t="s">
        <v>304</v>
      </c>
      <c r="K5792" t="s">
        <v>36600</v>
      </c>
      <c r="L5792" t="e" vm="945">
        <f>_FV(0,"049")</f>
        <v>#VALUE!</v>
      </c>
    </row>
    <row r="5793" spans="1:12" x14ac:dyDescent="0.25">
      <c r="A5793">
        <v>1047244</v>
      </c>
      <c r="B5793">
        <v>1047260</v>
      </c>
      <c r="D5793">
        <v>0</v>
      </c>
      <c r="E5793" t="s">
        <v>36602</v>
      </c>
      <c r="F5793" t="s">
        <v>36603</v>
      </c>
      <c r="G5793" t="s">
        <v>36604</v>
      </c>
      <c r="H5793" t="e" vm="2554">
        <f>_FV(0,"004729394869125339")</f>
        <v>#VALUE!</v>
      </c>
      <c r="I5793" t="s">
        <v>36605</v>
      </c>
      <c r="J5793" t="s">
        <v>36606</v>
      </c>
      <c r="K5793" t="s">
        <v>36607</v>
      </c>
      <c r="L5793" t="s">
        <v>36601</v>
      </c>
    </row>
    <row r="5794" spans="1:12" x14ac:dyDescent="0.25">
      <c r="A5794">
        <v>1047260</v>
      </c>
      <c r="B5794">
        <v>1562177</v>
      </c>
      <c r="D5794">
        <v>0</v>
      </c>
      <c r="F5794">
        <v>1769965</v>
      </c>
      <c r="G5794">
        <v>1047260</v>
      </c>
      <c r="H5794" t="e" vm="56">
        <f>_FV(0,"023")</f>
        <v>#VALUE!</v>
      </c>
      <c r="I5794">
        <v>1562177</v>
      </c>
      <c r="J5794" t="s">
        <v>890</v>
      </c>
      <c r="K5794" t="s">
        <v>36608</v>
      </c>
      <c r="L5794" t="e" vm="56">
        <f>_FV(0,"023")</f>
        <v>#VALUE!</v>
      </c>
    </row>
    <row r="5795" spans="1:12" x14ac:dyDescent="0.25">
      <c r="A5795">
        <v>1047261</v>
      </c>
      <c r="B5795">
        <v>1047265</v>
      </c>
      <c r="D5795">
        <v>0</v>
      </c>
      <c r="E5795" t="s">
        <v>36610</v>
      </c>
      <c r="F5795" t="s">
        <v>36611</v>
      </c>
      <c r="G5795" t="s">
        <v>36612</v>
      </c>
      <c r="H5795" t="s">
        <v>36613</v>
      </c>
      <c r="I5795" t="s">
        <v>36614</v>
      </c>
      <c r="J5795" t="s">
        <v>36609</v>
      </c>
      <c r="K5795" t="s">
        <v>36615</v>
      </c>
      <c r="L5795" t="s">
        <v>36609</v>
      </c>
    </row>
    <row r="5796" spans="1:12" x14ac:dyDescent="0.25">
      <c r="A5796">
        <v>1047261</v>
      </c>
      <c r="B5796">
        <v>1047291</v>
      </c>
      <c r="D5796">
        <v>0</v>
      </c>
      <c r="E5796" t="s">
        <v>36617</v>
      </c>
      <c r="F5796" t="s">
        <v>36618</v>
      </c>
      <c r="G5796" t="s">
        <v>36619</v>
      </c>
      <c r="H5796" t="s">
        <v>36620</v>
      </c>
      <c r="I5796" t="s">
        <v>36621</v>
      </c>
      <c r="J5796" t="s">
        <v>36616</v>
      </c>
      <c r="K5796" t="s">
        <v>36622</v>
      </c>
      <c r="L5796" t="s">
        <v>36616</v>
      </c>
    </row>
    <row r="5797" spans="1:12" x14ac:dyDescent="0.25">
      <c r="A5797">
        <v>1047261</v>
      </c>
      <c r="B5797">
        <v>1047266</v>
      </c>
      <c r="D5797">
        <v>0</v>
      </c>
      <c r="E5797" t="s">
        <v>36624</v>
      </c>
      <c r="F5797" t="s">
        <v>36625</v>
      </c>
      <c r="G5797" t="s">
        <v>36626</v>
      </c>
      <c r="H5797" t="s">
        <v>36627</v>
      </c>
      <c r="I5797" t="s">
        <v>36628</v>
      </c>
      <c r="J5797" t="s">
        <v>36623</v>
      </c>
      <c r="K5797" t="s">
        <v>36629</v>
      </c>
      <c r="L5797" t="s">
        <v>36623</v>
      </c>
    </row>
    <row r="5798" spans="1:12" x14ac:dyDescent="0.25">
      <c r="A5798">
        <v>1047265</v>
      </c>
      <c r="B5798">
        <v>1561941</v>
      </c>
      <c r="D5798">
        <v>0</v>
      </c>
      <c r="F5798">
        <v>1769549</v>
      </c>
      <c r="G5798">
        <v>1561941</v>
      </c>
      <c r="H5798" t="s">
        <v>5410</v>
      </c>
      <c r="I5798">
        <v>1047265</v>
      </c>
      <c r="J5798" t="s">
        <v>5410</v>
      </c>
      <c r="K5798" t="s">
        <v>36630</v>
      </c>
      <c r="L5798" t="s">
        <v>5410</v>
      </c>
    </row>
    <row r="5799" spans="1:12" x14ac:dyDescent="0.25">
      <c r="A5799">
        <v>1047265</v>
      </c>
      <c r="B5799">
        <v>1047291</v>
      </c>
      <c r="D5799">
        <v>0</v>
      </c>
      <c r="E5799" t="s">
        <v>36632</v>
      </c>
      <c r="F5799" t="s">
        <v>36633</v>
      </c>
      <c r="G5799" t="s">
        <v>36634</v>
      </c>
      <c r="H5799" t="e" vm="2555">
        <f>_FV(0,"026915132817208424")</f>
        <v>#VALUE!</v>
      </c>
      <c r="I5799" t="s">
        <v>36635</v>
      </c>
      <c r="J5799" t="s">
        <v>29104</v>
      </c>
      <c r="K5799" t="s">
        <v>36636</v>
      </c>
      <c r="L5799" t="s">
        <v>36631</v>
      </c>
    </row>
    <row r="5800" spans="1:12" x14ac:dyDescent="0.25">
      <c r="A5800">
        <v>1047266</v>
      </c>
      <c r="B5800">
        <v>1047298</v>
      </c>
      <c r="D5800">
        <v>0</v>
      </c>
      <c r="E5800" t="s">
        <v>36638</v>
      </c>
      <c r="F5800" t="s">
        <v>36639</v>
      </c>
      <c r="G5800" t="s">
        <v>36640</v>
      </c>
      <c r="H5800" t="s">
        <v>36641</v>
      </c>
      <c r="I5800" t="s">
        <v>36642</v>
      </c>
      <c r="J5800" t="s">
        <v>36637</v>
      </c>
      <c r="K5800" t="s">
        <v>36643</v>
      </c>
      <c r="L5800" t="s">
        <v>36637</v>
      </c>
    </row>
    <row r="5801" spans="1:12" x14ac:dyDescent="0.25">
      <c r="A5801">
        <v>1047266</v>
      </c>
      <c r="B5801">
        <v>1047372</v>
      </c>
      <c r="D5801">
        <v>0</v>
      </c>
      <c r="E5801" t="s">
        <v>36645</v>
      </c>
      <c r="F5801" t="s">
        <v>36646</v>
      </c>
      <c r="G5801" t="s">
        <v>36647</v>
      </c>
      <c r="H5801" t="s">
        <v>36648</v>
      </c>
      <c r="I5801" t="s">
        <v>36649</v>
      </c>
      <c r="J5801" t="s">
        <v>36644</v>
      </c>
      <c r="K5801" t="s">
        <v>36650</v>
      </c>
      <c r="L5801" t="s">
        <v>36644</v>
      </c>
    </row>
    <row r="5802" spans="1:12" x14ac:dyDescent="0.25">
      <c r="A5802">
        <v>1047298</v>
      </c>
      <c r="B5802">
        <v>1047372</v>
      </c>
      <c r="D5802">
        <v>0</v>
      </c>
      <c r="E5802" t="s">
        <v>36652</v>
      </c>
      <c r="F5802" t="s">
        <v>36653</v>
      </c>
      <c r="G5802" t="s">
        <v>36654</v>
      </c>
      <c r="H5802" t="s">
        <v>36655</v>
      </c>
      <c r="I5802" t="s">
        <v>36656</v>
      </c>
      <c r="J5802" t="s">
        <v>36651</v>
      </c>
      <c r="K5802" t="s">
        <v>36657</v>
      </c>
      <c r="L5802" t="s">
        <v>36651</v>
      </c>
    </row>
    <row r="5803" spans="1:12" x14ac:dyDescent="0.25">
      <c r="A5803">
        <v>1047298</v>
      </c>
      <c r="B5803">
        <v>1562114</v>
      </c>
      <c r="D5803">
        <v>0</v>
      </c>
      <c r="E5803" t="s">
        <v>36659</v>
      </c>
      <c r="F5803" t="s">
        <v>36660</v>
      </c>
      <c r="G5803" t="s">
        <v>36661</v>
      </c>
      <c r="H5803" t="e" vm="2556">
        <f>_FV(0,"010436217931711227")</f>
        <v>#VALUE!</v>
      </c>
      <c r="I5803" t="s">
        <v>36662</v>
      </c>
      <c r="J5803" t="s">
        <v>36663</v>
      </c>
      <c r="K5803" t="s">
        <v>36664</v>
      </c>
      <c r="L5803" t="s">
        <v>36658</v>
      </c>
    </row>
    <row r="5804" spans="1:12" x14ac:dyDescent="0.25">
      <c r="A5804">
        <v>1047372</v>
      </c>
      <c r="B5804">
        <v>1562114</v>
      </c>
      <c r="D5804">
        <v>0</v>
      </c>
      <c r="F5804">
        <v>1769853</v>
      </c>
      <c r="G5804">
        <v>1562114</v>
      </c>
      <c r="H5804" t="e" vm="1006">
        <f>_FV(0,"006")</f>
        <v>#VALUE!</v>
      </c>
      <c r="I5804">
        <v>1047372</v>
      </c>
      <c r="J5804" t="s">
        <v>250</v>
      </c>
      <c r="K5804" t="s">
        <v>36665</v>
      </c>
      <c r="L5804" t="e" vm="1006">
        <f>_FV(0,"006")</f>
        <v>#VALUE!</v>
      </c>
    </row>
    <row r="5805" spans="1:12" x14ac:dyDescent="0.25">
      <c r="A5805">
        <v>1048357</v>
      </c>
      <c r="B5805">
        <v>1048365</v>
      </c>
      <c r="D5805">
        <v>0</v>
      </c>
      <c r="E5805" t="s">
        <v>36667</v>
      </c>
      <c r="F5805" t="s">
        <v>36668</v>
      </c>
      <c r="G5805" t="s">
        <v>36669</v>
      </c>
      <c r="H5805" t="s">
        <v>36670</v>
      </c>
      <c r="I5805" t="s">
        <v>36671</v>
      </c>
      <c r="J5805" t="s">
        <v>36666</v>
      </c>
      <c r="K5805" t="s">
        <v>36672</v>
      </c>
      <c r="L5805" t="s">
        <v>36666</v>
      </c>
    </row>
    <row r="5806" spans="1:12" x14ac:dyDescent="0.25">
      <c r="A5806">
        <v>1048357</v>
      </c>
      <c r="B5806">
        <v>1048365</v>
      </c>
      <c r="D5806">
        <v>0</v>
      </c>
      <c r="E5806" t="s">
        <v>36674</v>
      </c>
      <c r="F5806" t="s">
        <v>36675</v>
      </c>
      <c r="G5806" t="s">
        <v>36676</v>
      </c>
      <c r="H5806" t="s">
        <v>36677</v>
      </c>
      <c r="I5806" t="s">
        <v>36678</v>
      </c>
      <c r="J5806" t="s">
        <v>36679</v>
      </c>
      <c r="K5806" t="s">
        <v>36680</v>
      </c>
      <c r="L5806" t="s">
        <v>36673</v>
      </c>
    </row>
    <row r="5807" spans="1:12" x14ac:dyDescent="0.25">
      <c r="A5807">
        <v>1048357</v>
      </c>
      <c r="B5807">
        <v>1084519</v>
      </c>
      <c r="D5807">
        <v>0</v>
      </c>
      <c r="E5807" t="s">
        <v>36682</v>
      </c>
      <c r="F5807" t="s">
        <v>36683</v>
      </c>
      <c r="G5807" t="s">
        <v>36684</v>
      </c>
      <c r="H5807" t="e" vm="2557">
        <f>_FV(0,"023079733869909157")</f>
        <v>#VALUE!</v>
      </c>
      <c r="I5807" t="s">
        <v>36685</v>
      </c>
      <c r="J5807" t="s">
        <v>36686</v>
      </c>
      <c r="K5807" t="s">
        <v>36687</v>
      </c>
      <c r="L5807" t="s">
        <v>36681</v>
      </c>
    </row>
    <row r="5808" spans="1:12" x14ac:dyDescent="0.25">
      <c r="A5808">
        <v>1048365</v>
      </c>
      <c r="B5808">
        <v>1854897</v>
      </c>
      <c r="D5808">
        <v>0</v>
      </c>
      <c r="E5808" t="s">
        <v>36688</v>
      </c>
      <c r="H5808" t="s">
        <v>187</v>
      </c>
      <c r="J5808">
        <v>0</v>
      </c>
      <c r="K5808" t="s">
        <v>36689</v>
      </c>
      <c r="L5808">
        <v>0</v>
      </c>
    </row>
    <row r="5809" spans="1:12" x14ac:dyDescent="0.25">
      <c r="A5809">
        <v>1048717</v>
      </c>
      <c r="B5809">
        <v>1308573</v>
      </c>
      <c r="D5809">
        <v>0</v>
      </c>
      <c r="E5809" t="s">
        <v>36691</v>
      </c>
      <c r="F5809" t="s">
        <v>36692</v>
      </c>
      <c r="G5809" t="s">
        <v>36693</v>
      </c>
      <c r="H5809" t="s">
        <v>36694</v>
      </c>
      <c r="I5809" t="s">
        <v>36695</v>
      </c>
      <c r="J5809" t="s">
        <v>36696</v>
      </c>
      <c r="K5809" t="s">
        <v>36697</v>
      </c>
      <c r="L5809" t="s">
        <v>36690</v>
      </c>
    </row>
    <row r="5810" spans="1:12" x14ac:dyDescent="0.25">
      <c r="A5810">
        <v>1048717</v>
      </c>
      <c r="B5810">
        <v>1056112</v>
      </c>
      <c r="D5810">
        <v>0</v>
      </c>
      <c r="E5810" t="s">
        <v>36699</v>
      </c>
      <c r="F5810" t="s">
        <v>36700</v>
      </c>
      <c r="G5810" t="s">
        <v>36701</v>
      </c>
      <c r="H5810" t="s">
        <v>36702</v>
      </c>
      <c r="I5810" t="s">
        <v>36703</v>
      </c>
      <c r="J5810" t="s">
        <v>36704</v>
      </c>
      <c r="K5810" t="s">
        <v>36705</v>
      </c>
      <c r="L5810" t="s">
        <v>36698</v>
      </c>
    </row>
    <row r="5811" spans="1:12" x14ac:dyDescent="0.25">
      <c r="A5811">
        <v>1048717</v>
      </c>
      <c r="B5811">
        <v>1056034</v>
      </c>
      <c r="D5811">
        <v>0</v>
      </c>
      <c r="E5811" t="s">
        <v>36707</v>
      </c>
      <c r="F5811" t="s">
        <v>36708</v>
      </c>
      <c r="G5811" t="s">
        <v>36709</v>
      </c>
      <c r="H5811" t="s">
        <v>36710</v>
      </c>
      <c r="I5811" t="s">
        <v>36711</v>
      </c>
      <c r="J5811" t="s">
        <v>36712</v>
      </c>
      <c r="K5811" t="s">
        <v>36713</v>
      </c>
      <c r="L5811" t="s">
        <v>36706</v>
      </c>
    </row>
    <row r="5812" spans="1:12" x14ac:dyDescent="0.25">
      <c r="A5812">
        <v>1050036</v>
      </c>
      <c r="B5812">
        <v>1050042</v>
      </c>
      <c r="D5812">
        <v>0</v>
      </c>
      <c r="F5812">
        <v>1109712</v>
      </c>
      <c r="G5812">
        <v>1050042</v>
      </c>
      <c r="H5812" t="e" vm="12">
        <f>_FV(0,"005")</f>
        <v>#VALUE!</v>
      </c>
      <c r="I5812">
        <v>1050036</v>
      </c>
      <c r="J5812" t="s">
        <v>194</v>
      </c>
      <c r="K5812" t="s">
        <v>36714</v>
      </c>
      <c r="L5812" t="e" vm="12">
        <f>_FV(0,"005")</f>
        <v>#VALUE!</v>
      </c>
    </row>
    <row r="5813" spans="1:12" x14ac:dyDescent="0.25">
      <c r="A5813">
        <v>1050036</v>
      </c>
      <c r="B5813">
        <v>1237450</v>
      </c>
      <c r="D5813">
        <v>0</v>
      </c>
      <c r="E5813" t="s">
        <v>36716</v>
      </c>
      <c r="F5813" t="s">
        <v>36717</v>
      </c>
      <c r="G5813" t="s">
        <v>36718</v>
      </c>
      <c r="H5813" t="s">
        <v>36719</v>
      </c>
      <c r="I5813" t="s">
        <v>36720</v>
      </c>
      <c r="J5813" t="s">
        <v>36721</v>
      </c>
      <c r="K5813" t="s">
        <v>36722</v>
      </c>
      <c r="L5813" t="s">
        <v>36715</v>
      </c>
    </row>
    <row r="5814" spans="1:12" x14ac:dyDescent="0.25">
      <c r="A5814">
        <v>1050042</v>
      </c>
      <c r="B5814">
        <v>1237443</v>
      </c>
      <c r="D5814">
        <v>0</v>
      </c>
      <c r="E5814" t="s">
        <v>36724</v>
      </c>
      <c r="F5814" t="s">
        <v>36725</v>
      </c>
      <c r="G5814" t="s">
        <v>36726</v>
      </c>
      <c r="H5814" t="s">
        <v>36727</v>
      </c>
      <c r="I5814" t="s">
        <v>36728</v>
      </c>
      <c r="J5814" t="s">
        <v>36723</v>
      </c>
      <c r="K5814" t="s">
        <v>36729</v>
      </c>
      <c r="L5814" t="s">
        <v>36723</v>
      </c>
    </row>
    <row r="5815" spans="1:12" x14ac:dyDescent="0.25">
      <c r="A5815">
        <v>1050165</v>
      </c>
      <c r="B5815">
        <v>1050182</v>
      </c>
      <c r="C5815" t="s">
        <v>36731</v>
      </c>
      <c r="D5815">
        <v>0</v>
      </c>
      <c r="E5815" t="s">
        <v>36732</v>
      </c>
      <c r="F5815" t="s">
        <v>36733</v>
      </c>
      <c r="G5815" t="s">
        <v>36734</v>
      </c>
      <c r="H5815" t="e" vm="2558">
        <f>_FV(0,"00538780956287277")</f>
        <v>#VALUE!</v>
      </c>
      <c r="I5815" t="s">
        <v>36735</v>
      </c>
      <c r="J5815" t="s">
        <v>36736</v>
      </c>
      <c r="K5815" t="s">
        <v>36737</v>
      </c>
      <c r="L5815" t="s">
        <v>36730</v>
      </c>
    </row>
    <row r="5816" spans="1:12" x14ac:dyDescent="0.25">
      <c r="A5816">
        <v>1050165</v>
      </c>
      <c r="B5816">
        <v>1237534</v>
      </c>
      <c r="D5816">
        <v>0</v>
      </c>
      <c r="E5816" t="s">
        <v>36739</v>
      </c>
      <c r="F5816" t="s">
        <v>36740</v>
      </c>
      <c r="G5816" t="s">
        <v>36741</v>
      </c>
      <c r="H5816" t="e" vm="2559">
        <f>_FV(0,"007521819178433138")</f>
        <v>#VALUE!</v>
      </c>
      <c r="I5816" t="s">
        <v>36742</v>
      </c>
      <c r="J5816" t="s">
        <v>36743</v>
      </c>
      <c r="K5816" t="s">
        <v>36744</v>
      </c>
      <c r="L5816" t="s">
        <v>36738</v>
      </c>
    </row>
    <row r="5817" spans="1:12" x14ac:dyDescent="0.25">
      <c r="A5817">
        <v>1050182</v>
      </c>
      <c r="B5817">
        <v>1237508</v>
      </c>
      <c r="C5817" t="s">
        <v>36746</v>
      </c>
      <c r="D5817">
        <v>0</v>
      </c>
      <c r="E5817" t="s">
        <v>36747</v>
      </c>
      <c r="F5817" t="s">
        <v>36748</v>
      </c>
      <c r="G5817" t="s">
        <v>36749</v>
      </c>
      <c r="H5817" t="e" vm="2560">
        <f>_FV(0,"003643576217178175")</f>
        <v>#VALUE!</v>
      </c>
      <c r="I5817" t="s">
        <v>36750</v>
      </c>
      <c r="J5817" t="s">
        <v>36751</v>
      </c>
      <c r="K5817" t="s">
        <v>36752</v>
      </c>
      <c r="L5817" t="s">
        <v>36745</v>
      </c>
    </row>
    <row r="5818" spans="1:12" x14ac:dyDescent="0.25">
      <c r="A5818">
        <v>1052200</v>
      </c>
      <c r="B5818">
        <v>1052216</v>
      </c>
      <c r="D5818">
        <v>0</v>
      </c>
      <c r="E5818" t="s">
        <v>36754</v>
      </c>
      <c r="F5818" t="s">
        <v>36755</v>
      </c>
      <c r="G5818" t="s">
        <v>36756</v>
      </c>
      <c r="H5818" t="e" vm="2561">
        <f>_FV(0,"008274691687966348")</f>
        <v>#VALUE!</v>
      </c>
      <c r="I5818" t="s">
        <v>36757</v>
      </c>
      <c r="J5818" t="s">
        <v>36758</v>
      </c>
      <c r="K5818" t="s">
        <v>36759</v>
      </c>
      <c r="L5818" t="s">
        <v>36753</v>
      </c>
    </row>
    <row r="5819" spans="1:12" x14ac:dyDescent="0.25">
      <c r="A5819">
        <v>1052200</v>
      </c>
      <c r="B5819">
        <v>1052723</v>
      </c>
      <c r="D5819">
        <v>0</v>
      </c>
      <c r="E5819" t="s">
        <v>36761</v>
      </c>
      <c r="F5819" t="s">
        <v>36762</v>
      </c>
      <c r="G5819" t="s">
        <v>36763</v>
      </c>
      <c r="H5819" t="s">
        <v>36764</v>
      </c>
      <c r="I5819" t="s">
        <v>36765</v>
      </c>
      <c r="J5819" t="s">
        <v>36760</v>
      </c>
      <c r="K5819" t="s">
        <v>36766</v>
      </c>
      <c r="L5819" t="s">
        <v>36760</v>
      </c>
    </row>
    <row r="5820" spans="1:12" x14ac:dyDescent="0.25">
      <c r="A5820">
        <v>1052200</v>
      </c>
      <c r="B5820">
        <v>1052490</v>
      </c>
      <c r="D5820">
        <v>0</v>
      </c>
      <c r="F5820">
        <v>1113076</v>
      </c>
      <c r="G5820">
        <v>1052200</v>
      </c>
      <c r="H5820" t="e" vm="625">
        <f>_FV(0,"015")</f>
        <v>#VALUE!</v>
      </c>
      <c r="I5820">
        <v>1052490</v>
      </c>
      <c r="J5820" t="s">
        <v>6474</v>
      </c>
      <c r="K5820" t="s">
        <v>36767</v>
      </c>
      <c r="L5820" t="e" vm="625">
        <f>_FV(0,"015")</f>
        <v>#VALUE!</v>
      </c>
    </row>
    <row r="5821" spans="1:12" x14ac:dyDescent="0.25">
      <c r="A5821">
        <v>1052261</v>
      </c>
      <c r="B5821">
        <v>1052277</v>
      </c>
      <c r="D5821">
        <v>0</v>
      </c>
      <c r="E5821" t="s">
        <v>36768</v>
      </c>
      <c r="F5821" t="s">
        <v>36769</v>
      </c>
      <c r="G5821" t="s">
        <v>36770</v>
      </c>
      <c r="H5821" t="e" vm="268">
        <f>_FV(0,"022")</f>
        <v>#VALUE!</v>
      </c>
      <c r="I5821" t="s">
        <v>36771</v>
      </c>
      <c r="J5821" t="s">
        <v>3940</v>
      </c>
      <c r="K5821" t="s">
        <v>36772</v>
      </c>
      <c r="L5821" t="e" vm="268">
        <f>_FV(0,"022")</f>
        <v>#VALUE!</v>
      </c>
    </row>
    <row r="5822" spans="1:12" x14ac:dyDescent="0.25">
      <c r="A5822">
        <v>1052261</v>
      </c>
      <c r="B5822">
        <v>1052468</v>
      </c>
      <c r="D5822">
        <v>0</v>
      </c>
      <c r="E5822" t="s">
        <v>36774</v>
      </c>
      <c r="F5822" t="s">
        <v>36775</v>
      </c>
      <c r="G5822" t="s">
        <v>36776</v>
      </c>
      <c r="H5822" t="s">
        <v>36777</v>
      </c>
      <c r="I5822" t="s">
        <v>36778</v>
      </c>
      <c r="J5822" t="s">
        <v>36773</v>
      </c>
      <c r="K5822" t="s">
        <v>36779</v>
      </c>
      <c r="L5822" t="s">
        <v>36773</v>
      </c>
    </row>
    <row r="5823" spans="1:12" x14ac:dyDescent="0.25">
      <c r="A5823">
        <v>1052277</v>
      </c>
      <c r="B5823">
        <v>1052468</v>
      </c>
      <c r="D5823">
        <v>0</v>
      </c>
      <c r="F5823">
        <v>1112896</v>
      </c>
      <c r="G5823">
        <v>1052468</v>
      </c>
      <c r="H5823" t="e" vm="44">
        <f>_FV(0,"053")</f>
        <v>#VALUE!</v>
      </c>
      <c r="I5823">
        <v>1052277</v>
      </c>
      <c r="J5823" t="s">
        <v>688</v>
      </c>
      <c r="K5823" t="s">
        <v>36780</v>
      </c>
      <c r="L5823" t="e" vm="44">
        <f>_FV(0,"053")</f>
        <v>#VALUE!</v>
      </c>
    </row>
    <row r="5824" spans="1:12" x14ac:dyDescent="0.25">
      <c r="A5824">
        <v>1052277</v>
      </c>
      <c r="B5824">
        <v>1052295</v>
      </c>
      <c r="C5824" t="s">
        <v>36782</v>
      </c>
      <c r="D5824">
        <v>0</v>
      </c>
      <c r="E5824" t="s">
        <v>36783</v>
      </c>
      <c r="F5824" t="s">
        <v>36784</v>
      </c>
      <c r="G5824" t="s">
        <v>36785</v>
      </c>
      <c r="H5824" t="e" vm="2562">
        <f>_FV(0,"025866612698942505")</f>
        <v>#VALUE!</v>
      </c>
      <c r="I5824" t="s">
        <v>36786</v>
      </c>
      <c r="J5824" t="s">
        <v>36787</v>
      </c>
      <c r="K5824" t="s">
        <v>36788</v>
      </c>
      <c r="L5824" t="s">
        <v>36781</v>
      </c>
    </row>
    <row r="5825" spans="1:12" x14ac:dyDescent="0.25">
      <c r="A5825">
        <v>1052295</v>
      </c>
      <c r="B5825">
        <v>1052349</v>
      </c>
      <c r="C5825" t="s">
        <v>36790</v>
      </c>
      <c r="D5825">
        <v>0</v>
      </c>
      <c r="E5825" t="s">
        <v>36791</v>
      </c>
      <c r="F5825" t="s">
        <v>36792</v>
      </c>
      <c r="G5825" t="s">
        <v>36793</v>
      </c>
      <c r="H5825" t="s">
        <v>36794</v>
      </c>
      <c r="I5825" t="s">
        <v>36795</v>
      </c>
      <c r="J5825" t="s">
        <v>12493</v>
      </c>
      <c r="K5825" t="s">
        <v>36796</v>
      </c>
      <c r="L5825" t="s">
        <v>36789</v>
      </c>
    </row>
    <row r="5826" spans="1:12" x14ac:dyDescent="0.25">
      <c r="A5826">
        <v>1052349</v>
      </c>
      <c r="B5826">
        <v>1052697</v>
      </c>
      <c r="D5826">
        <v>0</v>
      </c>
      <c r="E5826" t="s">
        <v>36798</v>
      </c>
      <c r="F5826" t="s">
        <v>36799</v>
      </c>
      <c r="G5826" t="s">
        <v>36800</v>
      </c>
      <c r="H5826" t="s">
        <v>36801</v>
      </c>
      <c r="I5826" t="s">
        <v>36802</v>
      </c>
      <c r="J5826" t="s">
        <v>36803</v>
      </c>
      <c r="K5826" t="s">
        <v>36804</v>
      </c>
      <c r="L5826" t="s">
        <v>36797</v>
      </c>
    </row>
    <row r="5827" spans="1:12" x14ac:dyDescent="0.25">
      <c r="A5827">
        <v>1052468</v>
      </c>
      <c r="B5827">
        <v>1052469</v>
      </c>
      <c r="D5827">
        <v>0</v>
      </c>
      <c r="F5827">
        <v>1112832</v>
      </c>
      <c r="G5827">
        <v>1052469</v>
      </c>
      <c r="H5827" t="s">
        <v>761</v>
      </c>
      <c r="I5827">
        <v>1052468</v>
      </c>
      <c r="J5827" t="s">
        <v>761</v>
      </c>
      <c r="K5827" t="s">
        <v>36805</v>
      </c>
      <c r="L5827" t="s">
        <v>761</v>
      </c>
    </row>
    <row r="5828" spans="1:12" x14ac:dyDescent="0.25">
      <c r="A5828">
        <v>1052468</v>
      </c>
      <c r="B5828">
        <v>1052653</v>
      </c>
      <c r="D5828">
        <v>0</v>
      </c>
      <c r="E5828" t="s">
        <v>36807</v>
      </c>
      <c r="F5828" t="s">
        <v>36808</v>
      </c>
      <c r="G5828" t="s">
        <v>36809</v>
      </c>
      <c r="H5828" t="s">
        <v>36810</v>
      </c>
      <c r="I5828" t="s">
        <v>36811</v>
      </c>
      <c r="J5828" t="s">
        <v>36812</v>
      </c>
      <c r="K5828" t="s">
        <v>36813</v>
      </c>
      <c r="L5828" t="s">
        <v>36806</v>
      </c>
    </row>
    <row r="5829" spans="1:12" x14ac:dyDescent="0.25">
      <c r="A5829">
        <v>1052469</v>
      </c>
      <c r="B5829">
        <v>1846660</v>
      </c>
      <c r="D5829">
        <v>0</v>
      </c>
      <c r="E5829" t="s">
        <v>36815</v>
      </c>
      <c r="F5829" t="s">
        <v>36816</v>
      </c>
      <c r="G5829" t="s">
        <v>36817</v>
      </c>
      <c r="H5829" t="s">
        <v>36818</v>
      </c>
      <c r="I5829" t="s">
        <v>36819</v>
      </c>
      <c r="J5829" t="s">
        <v>36820</v>
      </c>
      <c r="K5829" t="s">
        <v>36821</v>
      </c>
      <c r="L5829" t="s">
        <v>36814</v>
      </c>
    </row>
    <row r="5830" spans="1:12" x14ac:dyDescent="0.25">
      <c r="A5830">
        <v>1052469</v>
      </c>
      <c r="B5830">
        <v>1592206</v>
      </c>
      <c r="D5830">
        <v>0</v>
      </c>
      <c r="E5830" t="s">
        <v>36823</v>
      </c>
      <c r="F5830" t="s">
        <v>36824</v>
      </c>
      <c r="G5830" t="s">
        <v>36825</v>
      </c>
      <c r="H5830" t="s">
        <v>36826</v>
      </c>
      <c r="I5830" t="s">
        <v>36827</v>
      </c>
      <c r="J5830" t="s">
        <v>36828</v>
      </c>
      <c r="K5830" t="s">
        <v>36829</v>
      </c>
      <c r="L5830" t="s">
        <v>36822</v>
      </c>
    </row>
    <row r="5831" spans="1:12" x14ac:dyDescent="0.25">
      <c r="A5831">
        <v>1052490</v>
      </c>
      <c r="B5831">
        <v>1797154</v>
      </c>
      <c r="D5831">
        <v>0</v>
      </c>
      <c r="E5831" t="s">
        <v>36831</v>
      </c>
      <c r="F5831" t="s">
        <v>36832</v>
      </c>
      <c r="G5831" t="s">
        <v>36833</v>
      </c>
      <c r="H5831" t="e" vm="2563">
        <f>_FV(0,"007992573869772895")</f>
        <v>#VALUE!</v>
      </c>
      <c r="I5831" t="s">
        <v>36834</v>
      </c>
      <c r="J5831" t="s">
        <v>36835</v>
      </c>
      <c r="K5831" t="s">
        <v>36836</v>
      </c>
      <c r="L5831" t="s">
        <v>36830</v>
      </c>
    </row>
    <row r="5832" spans="1:12" x14ac:dyDescent="0.25">
      <c r="A5832">
        <v>1052653</v>
      </c>
      <c r="B5832">
        <v>1052723</v>
      </c>
      <c r="D5832" t="s">
        <v>204</v>
      </c>
      <c r="E5832" t="s">
        <v>36838</v>
      </c>
      <c r="F5832" t="s">
        <v>36839</v>
      </c>
      <c r="G5832" t="s">
        <v>36840</v>
      </c>
      <c r="H5832" t="s">
        <v>36841</v>
      </c>
      <c r="I5832" t="s">
        <v>36842</v>
      </c>
      <c r="J5832" t="s">
        <v>36837</v>
      </c>
      <c r="K5832" t="s">
        <v>36843</v>
      </c>
      <c r="L5832" t="s">
        <v>36837</v>
      </c>
    </row>
    <row r="5833" spans="1:12" x14ac:dyDescent="0.25">
      <c r="A5833">
        <v>1052653</v>
      </c>
      <c r="B5833">
        <v>1052697</v>
      </c>
      <c r="D5833">
        <v>0</v>
      </c>
      <c r="E5833" t="s">
        <v>36845</v>
      </c>
      <c r="F5833" t="s">
        <v>36846</v>
      </c>
      <c r="G5833" t="s">
        <v>36847</v>
      </c>
      <c r="H5833" t="e" vm="2564">
        <f>_FV(0,"010592641631492213")</f>
        <v>#VALUE!</v>
      </c>
      <c r="I5833" t="s">
        <v>36848</v>
      </c>
      <c r="J5833" t="s">
        <v>36849</v>
      </c>
      <c r="K5833" t="s">
        <v>36850</v>
      </c>
      <c r="L5833" t="s">
        <v>36844</v>
      </c>
    </row>
    <row r="5834" spans="1:12" x14ac:dyDescent="0.25">
      <c r="A5834">
        <v>1052672</v>
      </c>
      <c r="B5834">
        <v>1052884</v>
      </c>
      <c r="C5834" t="s">
        <v>36852</v>
      </c>
      <c r="D5834" t="s">
        <v>715</v>
      </c>
      <c r="E5834" t="s">
        <v>36853</v>
      </c>
      <c r="F5834" t="s">
        <v>36854</v>
      </c>
      <c r="G5834" t="s">
        <v>36855</v>
      </c>
      <c r="H5834" t="e" vm="2565">
        <f>_FV(0,"004432319759231993")</f>
        <v>#VALUE!</v>
      </c>
      <c r="I5834" t="s">
        <v>36856</v>
      </c>
      <c r="J5834" t="s">
        <v>36857</v>
      </c>
      <c r="K5834" t="s">
        <v>36858</v>
      </c>
      <c r="L5834" t="s">
        <v>36851</v>
      </c>
    </row>
    <row r="5835" spans="1:12" x14ac:dyDescent="0.25">
      <c r="A5835">
        <v>1052697</v>
      </c>
      <c r="B5835">
        <v>1052730</v>
      </c>
      <c r="D5835" t="s">
        <v>204</v>
      </c>
      <c r="E5835" t="s">
        <v>36860</v>
      </c>
      <c r="F5835" t="s">
        <v>36861</v>
      </c>
      <c r="G5835" t="s">
        <v>36862</v>
      </c>
      <c r="H5835" t="e" vm="2566">
        <f>_FV(0,"01363447838043222")</f>
        <v>#VALUE!</v>
      </c>
      <c r="I5835" t="s">
        <v>36863</v>
      </c>
      <c r="J5835" t="s">
        <v>36864</v>
      </c>
      <c r="K5835" t="s">
        <v>36865</v>
      </c>
      <c r="L5835" t="s">
        <v>36859</v>
      </c>
    </row>
    <row r="5836" spans="1:12" x14ac:dyDescent="0.25">
      <c r="A5836">
        <v>1052723</v>
      </c>
      <c r="B5836">
        <v>1052730</v>
      </c>
      <c r="D5836">
        <v>0</v>
      </c>
      <c r="E5836" t="s">
        <v>36867</v>
      </c>
      <c r="F5836" t="s">
        <v>36868</v>
      </c>
      <c r="G5836" t="s">
        <v>36869</v>
      </c>
      <c r="H5836" t="s">
        <v>36870</v>
      </c>
      <c r="I5836" t="s">
        <v>36871</v>
      </c>
      <c r="J5836" t="s">
        <v>36872</v>
      </c>
      <c r="K5836" t="s">
        <v>36873</v>
      </c>
      <c r="L5836" t="s">
        <v>36866</v>
      </c>
    </row>
    <row r="5837" spans="1:12" x14ac:dyDescent="0.25">
      <c r="A5837">
        <v>1055223</v>
      </c>
      <c r="B5837">
        <v>1210861</v>
      </c>
      <c r="D5837">
        <v>0</v>
      </c>
      <c r="E5837" t="s">
        <v>36875</v>
      </c>
      <c r="F5837" t="s">
        <v>36876</v>
      </c>
      <c r="G5837" t="s">
        <v>36877</v>
      </c>
      <c r="H5837" t="e" vm="2567">
        <f>_FV(0,"011979195005529696")</f>
        <v>#VALUE!</v>
      </c>
      <c r="I5837" t="s">
        <v>36878</v>
      </c>
      <c r="J5837" t="s">
        <v>20541</v>
      </c>
      <c r="K5837" t="s">
        <v>36879</v>
      </c>
      <c r="L5837" t="s">
        <v>36874</v>
      </c>
    </row>
    <row r="5838" spans="1:12" x14ac:dyDescent="0.25">
      <c r="A5838">
        <v>1055223</v>
      </c>
      <c r="B5838">
        <v>1819047</v>
      </c>
      <c r="D5838">
        <v>0</v>
      </c>
      <c r="E5838" t="s">
        <v>36880</v>
      </c>
      <c r="F5838" t="s">
        <v>36881</v>
      </c>
      <c r="G5838" t="s">
        <v>36882</v>
      </c>
      <c r="H5838" t="s">
        <v>36883</v>
      </c>
      <c r="I5838" t="s">
        <v>36884</v>
      </c>
      <c r="J5838" t="s">
        <v>15456</v>
      </c>
      <c r="K5838" t="s">
        <v>36885</v>
      </c>
      <c r="L5838" t="s">
        <v>15456</v>
      </c>
    </row>
    <row r="5839" spans="1:12" x14ac:dyDescent="0.25">
      <c r="A5839">
        <v>1055491</v>
      </c>
      <c r="B5839">
        <v>1055519</v>
      </c>
      <c r="D5839">
        <v>0</v>
      </c>
      <c r="E5839" t="s">
        <v>36887</v>
      </c>
      <c r="F5839" t="s">
        <v>36888</v>
      </c>
      <c r="G5839" t="s">
        <v>36889</v>
      </c>
      <c r="H5839" t="s">
        <v>36890</v>
      </c>
      <c r="I5839" t="s">
        <v>36891</v>
      </c>
      <c r="J5839" t="s">
        <v>36892</v>
      </c>
      <c r="K5839" t="s">
        <v>36893</v>
      </c>
      <c r="L5839" t="s">
        <v>36886</v>
      </c>
    </row>
    <row r="5840" spans="1:12" x14ac:dyDescent="0.25">
      <c r="A5840">
        <v>1055491</v>
      </c>
      <c r="B5840">
        <v>1055519</v>
      </c>
      <c r="D5840">
        <v>0</v>
      </c>
      <c r="E5840" t="s">
        <v>36895</v>
      </c>
      <c r="F5840" t="s">
        <v>36896</v>
      </c>
      <c r="G5840" t="s">
        <v>36897</v>
      </c>
      <c r="H5840" t="s">
        <v>36898</v>
      </c>
      <c r="I5840" t="s">
        <v>36899</v>
      </c>
      <c r="J5840" t="s">
        <v>36900</v>
      </c>
      <c r="K5840" t="s">
        <v>36901</v>
      </c>
      <c r="L5840" t="s">
        <v>36894</v>
      </c>
    </row>
    <row r="5841" spans="1:12" x14ac:dyDescent="0.25">
      <c r="A5841">
        <v>1055491</v>
      </c>
      <c r="B5841">
        <v>1614734</v>
      </c>
      <c r="C5841" t="s">
        <v>36903</v>
      </c>
      <c r="D5841" t="s">
        <v>36904</v>
      </c>
      <c r="E5841" t="s">
        <v>36905</v>
      </c>
      <c r="F5841" t="s">
        <v>36906</v>
      </c>
      <c r="G5841" t="s">
        <v>36907</v>
      </c>
      <c r="H5841" t="s">
        <v>36908</v>
      </c>
      <c r="I5841" t="s">
        <v>36909</v>
      </c>
      <c r="J5841" t="s">
        <v>36910</v>
      </c>
      <c r="K5841" t="s">
        <v>36911</v>
      </c>
      <c r="L5841" t="s">
        <v>36902</v>
      </c>
    </row>
    <row r="5842" spans="1:12" x14ac:dyDescent="0.25">
      <c r="A5842">
        <v>1055557</v>
      </c>
      <c r="B5842">
        <v>1055588</v>
      </c>
      <c r="D5842">
        <v>0</v>
      </c>
      <c r="E5842" t="s">
        <v>36913</v>
      </c>
      <c r="F5842" t="s">
        <v>36914</v>
      </c>
      <c r="G5842" t="s">
        <v>36915</v>
      </c>
      <c r="H5842" t="e" vm="2568">
        <f>_FV(0,"002550881498832736")</f>
        <v>#VALUE!</v>
      </c>
      <c r="I5842" t="s">
        <v>36916</v>
      </c>
      <c r="J5842" t="s">
        <v>36917</v>
      </c>
      <c r="K5842" t="s">
        <v>36918</v>
      </c>
      <c r="L5842" t="s">
        <v>36912</v>
      </c>
    </row>
    <row r="5843" spans="1:12" x14ac:dyDescent="0.25">
      <c r="A5843">
        <v>1055557</v>
      </c>
      <c r="B5843">
        <v>1055588</v>
      </c>
      <c r="D5843">
        <v>0</v>
      </c>
      <c r="E5843" t="s">
        <v>36920</v>
      </c>
      <c r="F5843" t="s">
        <v>36921</v>
      </c>
      <c r="G5843" t="s">
        <v>36922</v>
      </c>
      <c r="H5843" t="e" vm="2569">
        <f>_FV(0,"002275046359318295")</f>
        <v>#VALUE!</v>
      </c>
      <c r="I5843" t="s">
        <v>36923</v>
      </c>
      <c r="J5843" t="s">
        <v>36924</v>
      </c>
      <c r="K5843" t="s">
        <v>36925</v>
      </c>
      <c r="L5843" t="s">
        <v>36919</v>
      </c>
    </row>
    <row r="5844" spans="1:12" x14ac:dyDescent="0.25">
      <c r="A5844">
        <v>1055588</v>
      </c>
      <c r="B5844">
        <v>1615942</v>
      </c>
      <c r="C5844" t="s">
        <v>36927</v>
      </c>
      <c r="D5844" t="s">
        <v>36928</v>
      </c>
      <c r="E5844" t="s">
        <v>36929</v>
      </c>
      <c r="F5844" t="s">
        <v>36930</v>
      </c>
      <c r="G5844" t="s">
        <v>36931</v>
      </c>
      <c r="H5844" t="e" vm="2570">
        <f>_FV(0,"0003418342586848153")</f>
        <v>#VALUE!</v>
      </c>
      <c r="I5844" t="s">
        <v>36932</v>
      </c>
      <c r="J5844" t="s">
        <v>36933</v>
      </c>
      <c r="K5844" t="s">
        <v>36934</v>
      </c>
      <c r="L5844" t="s">
        <v>36926</v>
      </c>
    </row>
    <row r="5845" spans="1:12" x14ac:dyDescent="0.25">
      <c r="A5845">
        <v>1055873</v>
      </c>
      <c r="B5845">
        <v>1055926</v>
      </c>
      <c r="C5845" t="s">
        <v>36936</v>
      </c>
      <c r="D5845" t="s">
        <v>36937</v>
      </c>
      <c r="E5845" t="s">
        <v>36938</v>
      </c>
      <c r="F5845" t="s">
        <v>36939</v>
      </c>
      <c r="G5845" t="s">
        <v>36940</v>
      </c>
      <c r="H5845" t="e" vm="2571">
        <f>_FV(0,"010555856055908917")</f>
        <v>#VALUE!</v>
      </c>
      <c r="I5845" t="s">
        <v>36941</v>
      </c>
      <c r="J5845" t="s">
        <v>36942</v>
      </c>
      <c r="K5845" t="s">
        <v>36943</v>
      </c>
      <c r="L5845" t="s">
        <v>36935</v>
      </c>
    </row>
    <row r="5846" spans="1:12" x14ac:dyDescent="0.25">
      <c r="A5846">
        <v>1055926</v>
      </c>
      <c r="B5846">
        <v>1055983</v>
      </c>
      <c r="D5846">
        <v>0</v>
      </c>
      <c r="E5846" t="s">
        <v>36945</v>
      </c>
      <c r="F5846" t="s">
        <v>36946</v>
      </c>
      <c r="G5846" t="s">
        <v>36947</v>
      </c>
      <c r="H5846" t="e" vm="2572">
        <f>_FV(0,"005405555161982652")</f>
        <v>#VALUE!</v>
      </c>
      <c r="I5846" t="s">
        <v>36948</v>
      </c>
      <c r="J5846" t="s">
        <v>36949</v>
      </c>
      <c r="K5846" t="s">
        <v>36950</v>
      </c>
      <c r="L5846" t="s">
        <v>36944</v>
      </c>
    </row>
    <row r="5847" spans="1:12" x14ac:dyDescent="0.25">
      <c r="A5847">
        <v>1055983</v>
      </c>
      <c r="B5847">
        <v>1055996</v>
      </c>
      <c r="D5847">
        <v>0</v>
      </c>
      <c r="E5847" t="s">
        <v>36952</v>
      </c>
      <c r="F5847" t="s">
        <v>36953</v>
      </c>
      <c r="G5847" t="s">
        <v>36954</v>
      </c>
      <c r="H5847" t="e" vm="2573">
        <f>_FV(0,"006267065666512417")</f>
        <v>#VALUE!</v>
      </c>
      <c r="I5847" t="s">
        <v>36955</v>
      </c>
      <c r="J5847" t="s">
        <v>1776</v>
      </c>
      <c r="K5847" t="s">
        <v>36956</v>
      </c>
      <c r="L5847" t="s">
        <v>36951</v>
      </c>
    </row>
    <row r="5848" spans="1:12" x14ac:dyDescent="0.25">
      <c r="A5848">
        <v>1055996</v>
      </c>
      <c r="B5848">
        <v>1056034</v>
      </c>
      <c r="C5848" t="s">
        <v>36958</v>
      </c>
      <c r="D5848">
        <v>0</v>
      </c>
      <c r="E5848" t="s">
        <v>36959</v>
      </c>
      <c r="F5848" t="s">
        <v>36960</v>
      </c>
      <c r="G5848" t="s">
        <v>36961</v>
      </c>
      <c r="H5848" t="e" vm="2574">
        <f>_FV(0,"005810087212746533")</f>
        <v>#VALUE!</v>
      </c>
      <c r="I5848" t="s">
        <v>36962</v>
      </c>
      <c r="J5848" t="s">
        <v>36963</v>
      </c>
      <c r="K5848" t="s">
        <v>36964</v>
      </c>
      <c r="L5848" t="s">
        <v>36957</v>
      </c>
    </row>
    <row r="5849" spans="1:12" x14ac:dyDescent="0.25">
      <c r="A5849">
        <v>1055996</v>
      </c>
      <c r="B5849">
        <v>1815331</v>
      </c>
      <c r="C5849" t="s">
        <v>36966</v>
      </c>
      <c r="D5849">
        <v>0</v>
      </c>
      <c r="E5849" t="s">
        <v>36967</v>
      </c>
      <c r="F5849" t="s">
        <v>36968</v>
      </c>
      <c r="G5849" t="s">
        <v>36969</v>
      </c>
      <c r="H5849" t="e" vm="2575">
        <f>_FV(0,"01019520520821857")</f>
        <v>#VALUE!</v>
      </c>
      <c r="I5849" t="s">
        <v>36970</v>
      </c>
      <c r="J5849" t="s">
        <v>36971</v>
      </c>
      <c r="K5849" t="s">
        <v>36972</v>
      </c>
      <c r="L5849" t="s">
        <v>36965</v>
      </c>
    </row>
    <row r="5850" spans="1:12" x14ac:dyDescent="0.25">
      <c r="A5850">
        <v>1056034</v>
      </c>
      <c r="B5850">
        <v>1815419</v>
      </c>
      <c r="D5850">
        <v>0</v>
      </c>
      <c r="E5850" t="s">
        <v>36974</v>
      </c>
      <c r="F5850" t="s">
        <v>36975</v>
      </c>
      <c r="G5850" t="s">
        <v>36976</v>
      </c>
      <c r="H5850" t="s">
        <v>36977</v>
      </c>
      <c r="I5850" t="s">
        <v>36978</v>
      </c>
      <c r="J5850" t="s">
        <v>36979</v>
      </c>
      <c r="K5850" t="s">
        <v>36980</v>
      </c>
      <c r="L5850" t="s">
        <v>36973</v>
      </c>
    </row>
    <row r="5851" spans="1:12" x14ac:dyDescent="0.25">
      <c r="A5851">
        <v>1056112</v>
      </c>
      <c r="B5851">
        <v>1056139</v>
      </c>
      <c r="C5851" t="s">
        <v>36982</v>
      </c>
      <c r="D5851">
        <v>0</v>
      </c>
      <c r="E5851" t="s">
        <v>36983</v>
      </c>
      <c r="F5851" t="s">
        <v>36984</v>
      </c>
      <c r="G5851" t="s">
        <v>36985</v>
      </c>
      <c r="H5851" t="s">
        <v>36986</v>
      </c>
      <c r="I5851" t="s">
        <v>36987</v>
      </c>
      <c r="J5851" t="s">
        <v>36988</v>
      </c>
      <c r="K5851" t="s">
        <v>36989</v>
      </c>
      <c r="L5851" t="s">
        <v>36981</v>
      </c>
    </row>
    <row r="5852" spans="1:12" x14ac:dyDescent="0.25">
      <c r="A5852">
        <v>1056112</v>
      </c>
      <c r="B5852">
        <v>1308567</v>
      </c>
      <c r="D5852">
        <v>0</v>
      </c>
      <c r="E5852" t="s">
        <v>36991</v>
      </c>
      <c r="F5852" t="s">
        <v>36992</v>
      </c>
      <c r="G5852" t="s">
        <v>36993</v>
      </c>
      <c r="H5852" t="e" vm="2576">
        <f>_FV(0,"004573888153754796")</f>
        <v>#VALUE!</v>
      </c>
      <c r="I5852" t="s">
        <v>36994</v>
      </c>
      <c r="J5852" t="s">
        <v>36995</v>
      </c>
      <c r="K5852" t="s">
        <v>36996</v>
      </c>
      <c r="L5852" t="s">
        <v>36990</v>
      </c>
    </row>
    <row r="5853" spans="1:12" x14ac:dyDescent="0.25">
      <c r="A5853">
        <v>1056318</v>
      </c>
      <c r="B5853">
        <v>1056253</v>
      </c>
      <c r="D5853">
        <v>0</v>
      </c>
      <c r="F5853">
        <v>1117406</v>
      </c>
      <c r="G5853">
        <v>1056318</v>
      </c>
      <c r="H5853" t="s">
        <v>187</v>
      </c>
      <c r="I5853">
        <v>1056253</v>
      </c>
      <c r="J5853" t="s">
        <v>187</v>
      </c>
      <c r="K5853" t="s">
        <v>36997</v>
      </c>
      <c r="L5853" t="s">
        <v>187</v>
      </c>
    </row>
    <row r="5854" spans="1:12" x14ac:dyDescent="0.25">
      <c r="A5854">
        <v>1056318</v>
      </c>
      <c r="B5854">
        <v>1096606</v>
      </c>
      <c r="D5854" t="s">
        <v>963</v>
      </c>
      <c r="E5854" t="s">
        <v>36999</v>
      </c>
      <c r="F5854" t="s">
        <v>37000</v>
      </c>
      <c r="G5854" t="s">
        <v>37001</v>
      </c>
      <c r="H5854" t="s">
        <v>37002</v>
      </c>
      <c r="I5854" t="s">
        <v>37003</v>
      </c>
      <c r="J5854" t="s">
        <v>36998</v>
      </c>
      <c r="K5854" t="s">
        <v>37004</v>
      </c>
      <c r="L5854" t="s">
        <v>36998</v>
      </c>
    </row>
    <row r="5855" spans="1:12" x14ac:dyDescent="0.25">
      <c r="A5855">
        <v>1056328</v>
      </c>
      <c r="B5855">
        <v>1114554</v>
      </c>
      <c r="D5855" t="s">
        <v>514</v>
      </c>
      <c r="E5855" t="s">
        <v>37006</v>
      </c>
      <c r="F5855" t="s">
        <v>37007</v>
      </c>
      <c r="G5855" t="s">
        <v>37008</v>
      </c>
      <c r="H5855" t="s">
        <v>37009</v>
      </c>
      <c r="I5855" t="s">
        <v>37010</v>
      </c>
      <c r="J5855" t="s">
        <v>37005</v>
      </c>
      <c r="K5855" t="s">
        <v>37011</v>
      </c>
      <c r="L5855" t="s">
        <v>37005</v>
      </c>
    </row>
    <row r="5856" spans="1:12" x14ac:dyDescent="0.25">
      <c r="A5856">
        <v>1056333</v>
      </c>
      <c r="B5856">
        <v>1056348</v>
      </c>
      <c r="D5856">
        <v>0</v>
      </c>
      <c r="E5856" t="s">
        <v>37013</v>
      </c>
      <c r="F5856" t="s">
        <v>37014</v>
      </c>
      <c r="G5856" t="s">
        <v>37015</v>
      </c>
      <c r="H5856" t="e" vm="2577">
        <f>_FV(0,"03097408420846528")</f>
        <v>#VALUE!</v>
      </c>
      <c r="I5856" t="s">
        <v>37016</v>
      </c>
      <c r="J5856" t="s">
        <v>37017</v>
      </c>
      <c r="K5856" t="s">
        <v>37018</v>
      </c>
      <c r="L5856" t="s">
        <v>37012</v>
      </c>
    </row>
    <row r="5857" spans="1:12" x14ac:dyDescent="0.25">
      <c r="A5857">
        <v>1056333</v>
      </c>
      <c r="B5857">
        <v>1307759</v>
      </c>
      <c r="D5857">
        <v>0</v>
      </c>
      <c r="E5857" t="s">
        <v>37020</v>
      </c>
      <c r="F5857" t="s">
        <v>37021</v>
      </c>
      <c r="G5857" t="s">
        <v>37022</v>
      </c>
      <c r="H5857" t="e" vm="2578">
        <f>_FV(0,"003943779478178081")</f>
        <v>#VALUE!</v>
      </c>
      <c r="I5857" t="s">
        <v>37023</v>
      </c>
      <c r="J5857" t="s">
        <v>37024</v>
      </c>
      <c r="K5857" t="s">
        <v>37025</v>
      </c>
      <c r="L5857" t="s">
        <v>37019</v>
      </c>
    </row>
    <row r="5858" spans="1:12" x14ac:dyDescent="0.25">
      <c r="A5858">
        <v>1056348</v>
      </c>
      <c r="B5858">
        <v>1295018</v>
      </c>
      <c r="D5858">
        <v>0</v>
      </c>
      <c r="E5858" t="s">
        <v>37027</v>
      </c>
      <c r="F5858" t="s">
        <v>37028</v>
      </c>
      <c r="G5858" t="s">
        <v>37029</v>
      </c>
      <c r="H5858" t="e" vm="2579">
        <f>_FV(0,"0008407559157050674")</f>
        <v>#VALUE!</v>
      </c>
      <c r="I5858" t="s">
        <v>37030</v>
      </c>
      <c r="J5858" t="s">
        <v>37031</v>
      </c>
      <c r="K5858" t="s">
        <v>37032</v>
      </c>
      <c r="L5858" t="s">
        <v>37026</v>
      </c>
    </row>
    <row r="5859" spans="1:12" x14ac:dyDescent="0.25">
      <c r="A5859">
        <v>1056348</v>
      </c>
      <c r="B5859">
        <v>1295470</v>
      </c>
      <c r="D5859">
        <v>0</v>
      </c>
      <c r="E5859" t="s">
        <v>37034</v>
      </c>
      <c r="F5859" t="s">
        <v>37035</v>
      </c>
      <c r="G5859" t="s">
        <v>37036</v>
      </c>
      <c r="H5859" t="s">
        <v>37037</v>
      </c>
      <c r="I5859" t="s">
        <v>37038</v>
      </c>
      <c r="J5859" t="s">
        <v>6970</v>
      </c>
      <c r="K5859" t="s">
        <v>37039</v>
      </c>
      <c r="L5859" t="s">
        <v>37033</v>
      </c>
    </row>
    <row r="5860" spans="1:12" x14ac:dyDescent="0.25">
      <c r="A5860">
        <v>1056976</v>
      </c>
      <c r="B5860">
        <v>1057190</v>
      </c>
      <c r="D5860">
        <v>0</v>
      </c>
      <c r="E5860" t="s">
        <v>37041</v>
      </c>
      <c r="F5860" t="s">
        <v>37042</v>
      </c>
      <c r="G5860" t="s">
        <v>37043</v>
      </c>
      <c r="H5860" t="s">
        <v>37044</v>
      </c>
      <c r="I5860" t="s">
        <v>37045</v>
      </c>
      <c r="J5860" t="s">
        <v>37046</v>
      </c>
      <c r="K5860" t="s">
        <v>37047</v>
      </c>
      <c r="L5860" t="s">
        <v>37040</v>
      </c>
    </row>
    <row r="5861" spans="1:12" x14ac:dyDescent="0.25">
      <c r="A5861">
        <v>1056976</v>
      </c>
      <c r="B5861">
        <v>1057850</v>
      </c>
      <c r="D5861">
        <v>0</v>
      </c>
      <c r="F5861">
        <v>1119027</v>
      </c>
      <c r="G5861">
        <v>1056976</v>
      </c>
      <c r="H5861" t="e" vm="557">
        <f>_FV(0,"108")</f>
        <v>#VALUE!</v>
      </c>
      <c r="I5861">
        <v>1057850</v>
      </c>
      <c r="J5861" t="s">
        <v>8033</v>
      </c>
      <c r="K5861" t="s">
        <v>37048</v>
      </c>
      <c r="L5861" t="e" vm="557">
        <f>_FV(0,"108")</f>
        <v>#VALUE!</v>
      </c>
    </row>
    <row r="5862" spans="1:12" x14ac:dyDescent="0.25">
      <c r="A5862">
        <v>1057017</v>
      </c>
      <c r="B5862">
        <v>1057095</v>
      </c>
      <c r="D5862" t="s">
        <v>12317</v>
      </c>
      <c r="E5862" t="s">
        <v>37050</v>
      </c>
      <c r="F5862" t="s">
        <v>37051</v>
      </c>
      <c r="G5862" t="s">
        <v>37052</v>
      </c>
      <c r="H5862" t="s">
        <v>37053</v>
      </c>
      <c r="I5862" t="s">
        <v>37054</v>
      </c>
      <c r="J5862" t="s">
        <v>37049</v>
      </c>
      <c r="K5862" t="s">
        <v>37055</v>
      </c>
      <c r="L5862" t="s">
        <v>37049</v>
      </c>
    </row>
    <row r="5863" spans="1:12" x14ac:dyDescent="0.25">
      <c r="A5863">
        <v>1057017</v>
      </c>
      <c r="B5863">
        <v>1057160</v>
      </c>
      <c r="D5863" t="s">
        <v>24742</v>
      </c>
      <c r="E5863" t="s">
        <v>37057</v>
      </c>
      <c r="F5863" t="s">
        <v>37058</v>
      </c>
      <c r="G5863" t="s">
        <v>37059</v>
      </c>
      <c r="H5863" t="e" vm="2580">
        <f>_FV(0,"0211746614768879")</f>
        <v>#VALUE!</v>
      </c>
      <c r="I5863" t="s">
        <v>37060</v>
      </c>
      <c r="J5863" t="s">
        <v>37061</v>
      </c>
      <c r="K5863" t="s">
        <v>37062</v>
      </c>
      <c r="L5863" t="s">
        <v>37056</v>
      </c>
    </row>
    <row r="5864" spans="1:12" x14ac:dyDescent="0.25">
      <c r="A5864">
        <v>1057017</v>
      </c>
      <c r="B5864">
        <v>1063880</v>
      </c>
      <c r="C5864" t="s">
        <v>37064</v>
      </c>
      <c r="D5864" t="s">
        <v>37065</v>
      </c>
      <c r="E5864" t="s">
        <v>37066</v>
      </c>
      <c r="F5864" t="s">
        <v>37067</v>
      </c>
      <c r="G5864" t="s">
        <v>37068</v>
      </c>
      <c r="H5864" t="e" vm="2581">
        <f>_FV(0,"0004048175414597668")</f>
        <v>#VALUE!</v>
      </c>
      <c r="I5864" t="s">
        <v>37069</v>
      </c>
      <c r="J5864" t="s">
        <v>37070</v>
      </c>
      <c r="K5864" t="s">
        <v>37071</v>
      </c>
      <c r="L5864" t="s">
        <v>37063</v>
      </c>
    </row>
    <row r="5865" spans="1:12" x14ac:dyDescent="0.25">
      <c r="A5865">
        <v>1057080</v>
      </c>
      <c r="B5865">
        <v>1057530</v>
      </c>
      <c r="D5865" t="s">
        <v>1007</v>
      </c>
      <c r="E5865" t="s">
        <v>37073</v>
      </c>
      <c r="F5865" t="s">
        <v>37074</v>
      </c>
      <c r="G5865" t="s">
        <v>37075</v>
      </c>
      <c r="H5865" t="s">
        <v>37076</v>
      </c>
      <c r="I5865" t="s">
        <v>37077</v>
      </c>
      <c r="J5865" t="s">
        <v>37078</v>
      </c>
      <c r="K5865" t="s">
        <v>37079</v>
      </c>
      <c r="L5865" t="s">
        <v>37072</v>
      </c>
    </row>
    <row r="5866" spans="1:12" x14ac:dyDescent="0.25">
      <c r="A5866">
        <v>1057080</v>
      </c>
      <c r="B5866">
        <v>1057190</v>
      </c>
      <c r="D5866">
        <v>0</v>
      </c>
      <c r="E5866" t="s">
        <v>37081</v>
      </c>
      <c r="F5866" t="s">
        <v>37082</v>
      </c>
      <c r="G5866" t="s">
        <v>37083</v>
      </c>
      <c r="H5866" t="s">
        <v>37084</v>
      </c>
      <c r="I5866" t="s">
        <v>37085</v>
      </c>
      <c r="J5866" t="s">
        <v>37080</v>
      </c>
      <c r="K5866" t="s">
        <v>37086</v>
      </c>
      <c r="L5866" t="s">
        <v>37080</v>
      </c>
    </row>
    <row r="5867" spans="1:12" x14ac:dyDescent="0.25">
      <c r="A5867">
        <v>1057095</v>
      </c>
      <c r="B5867">
        <v>1058610</v>
      </c>
      <c r="D5867">
        <v>0</v>
      </c>
      <c r="E5867" t="s">
        <v>37088</v>
      </c>
      <c r="F5867" t="s">
        <v>37089</v>
      </c>
      <c r="G5867" t="s">
        <v>37090</v>
      </c>
      <c r="H5867" t="s">
        <v>37091</v>
      </c>
      <c r="I5867" t="s">
        <v>37092</v>
      </c>
      <c r="J5867" t="s">
        <v>37093</v>
      </c>
      <c r="K5867" t="s">
        <v>37094</v>
      </c>
      <c r="L5867" t="s">
        <v>37087</v>
      </c>
    </row>
    <row r="5868" spans="1:12" x14ac:dyDescent="0.25">
      <c r="A5868">
        <v>1057095</v>
      </c>
      <c r="B5868">
        <v>1057187</v>
      </c>
      <c r="D5868">
        <v>0</v>
      </c>
      <c r="E5868" t="s">
        <v>37096</v>
      </c>
      <c r="F5868" t="s">
        <v>37097</v>
      </c>
      <c r="G5868" t="s">
        <v>37098</v>
      </c>
      <c r="H5868" t="e" vm="2582">
        <f>_FV(0,"005570807621420402")</f>
        <v>#VALUE!</v>
      </c>
      <c r="I5868" t="s">
        <v>37099</v>
      </c>
      <c r="J5868" t="s">
        <v>37100</v>
      </c>
      <c r="K5868" t="s">
        <v>37101</v>
      </c>
      <c r="L5868" t="s">
        <v>37095</v>
      </c>
    </row>
    <row r="5869" spans="1:12" x14ac:dyDescent="0.25">
      <c r="A5869">
        <v>1057160</v>
      </c>
      <c r="B5869">
        <v>1057187</v>
      </c>
      <c r="D5869">
        <v>0</v>
      </c>
      <c r="F5869">
        <v>1118656</v>
      </c>
      <c r="G5869">
        <v>1057187</v>
      </c>
      <c r="H5869" t="s">
        <v>2884</v>
      </c>
      <c r="I5869">
        <v>1057160</v>
      </c>
      <c r="J5869" t="s">
        <v>2884</v>
      </c>
      <c r="K5869" t="s">
        <v>37102</v>
      </c>
      <c r="L5869" t="s">
        <v>2884</v>
      </c>
    </row>
    <row r="5870" spans="1:12" x14ac:dyDescent="0.25">
      <c r="A5870">
        <v>1057160</v>
      </c>
      <c r="B5870">
        <v>1057672</v>
      </c>
      <c r="D5870">
        <v>0</v>
      </c>
      <c r="F5870">
        <v>1118655</v>
      </c>
      <c r="G5870">
        <v>1057160</v>
      </c>
      <c r="H5870" t="e" vm="1">
        <f>_FV(0,"03")</f>
        <v>#VALUE!</v>
      </c>
      <c r="I5870">
        <v>1057672</v>
      </c>
      <c r="J5870" t="s">
        <v>12</v>
      </c>
      <c r="K5870" t="s">
        <v>37103</v>
      </c>
      <c r="L5870" t="e" vm="1">
        <f>_FV(0,"03")</f>
        <v>#VALUE!</v>
      </c>
    </row>
    <row r="5871" spans="1:12" x14ac:dyDescent="0.25">
      <c r="A5871">
        <v>1057187</v>
      </c>
      <c r="B5871">
        <v>1057755</v>
      </c>
      <c r="D5871">
        <v>0</v>
      </c>
      <c r="E5871" t="s">
        <v>37105</v>
      </c>
      <c r="F5871" t="s">
        <v>37106</v>
      </c>
      <c r="G5871" t="s">
        <v>37107</v>
      </c>
      <c r="H5871" t="e" vm="2583">
        <f>_FV(0,"018871585064313443")</f>
        <v>#VALUE!</v>
      </c>
      <c r="I5871" t="s">
        <v>37108</v>
      </c>
      <c r="J5871" t="s">
        <v>37109</v>
      </c>
      <c r="K5871" t="s">
        <v>37110</v>
      </c>
      <c r="L5871" t="s">
        <v>37104</v>
      </c>
    </row>
    <row r="5872" spans="1:12" x14ac:dyDescent="0.25">
      <c r="A5872">
        <v>1057190</v>
      </c>
      <c r="B5872">
        <v>1057770</v>
      </c>
      <c r="D5872">
        <v>0</v>
      </c>
      <c r="F5872">
        <v>1119003</v>
      </c>
      <c r="G5872">
        <v>1057770</v>
      </c>
      <c r="H5872" t="s">
        <v>19843</v>
      </c>
      <c r="I5872">
        <v>1057190</v>
      </c>
      <c r="J5872" t="s">
        <v>19843</v>
      </c>
      <c r="K5872" t="s">
        <v>37111</v>
      </c>
      <c r="L5872" t="s">
        <v>19843</v>
      </c>
    </row>
    <row r="5873" spans="1:12" x14ac:dyDescent="0.25">
      <c r="A5873">
        <v>1057323</v>
      </c>
      <c r="B5873">
        <v>1057387</v>
      </c>
      <c r="D5873">
        <v>0</v>
      </c>
      <c r="E5873" t="s">
        <v>37113</v>
      </c>
      <c r="F5873" t="s">
        <v>37114</v>
      </c>
      <c r="G5873" t="s">
        <v>37115</v>
      </c>
      <c r="H5873" t="e" vm="2584">
        <f>_FV(0,"01336012370773846")</f>
        <v>#VALUE!</v>
      </c>
      <c r="I5873" t="s">
        <v>37116</v>
      </c>
      <c r="J5873" t="s">
        <v>37117</v>
      </c>
      <c r="K5873" t="s">
        <v>37118</v>
      </c>
      <c r="L5873" t="s">
        <v>37112</v>
      </c>
    </row>
    <row r="5874" spans="1:12" x14ac:dyDescent="0.25">
      <c r="A5874">
        <v>1057323</v>
      </c>
      <c r="B5874">
        <v>1057332</v>
      </c>
      <c r="D5874">
        <v>0</v>
      </c>
      <c r="E5874" t="s">
        <v>37120</v>
      </c>
      <c r="F5874" t="s">
        <v>37121</v>
      </c>
      <c r="G5874" t="s">
        <v>37122</v>
      </c>
      <c r="H5874" t="e" vm="2585">
        <f>_FV(0,"06632570944360225")</f>
        <v>#VALUE!</v>
      </c>
      <c r="I5874" t="s">
        <v>37123</v>
      </c>
      <c r="J5874" t="s">
        <v>37124</v>
      </c>
      <c r="K5874" t="s">
        <v>37125</v>
      </c>
      <c r="L5874" t="s">
        <v>37119</v>
      </c>
    </row>
    <row r="5875" spans="1:12" x14ac:dyDescent="0.25">
      <c r="A5875">
        <v>1057323</v>
      </c>
      <c r="B5875">
        <v>1058249</v>
      </c>
      <c r="D5875">
        <v>0</v>
      </c>
      <c r="F5875">
        <v>1119290</v>
      </c>
      <c r="G5875">
        <v>1057323</v>
      </c>
      <c r="H5875" t="s">
        <v>37126</v>
      </c>
      <c r="I5875">
        <v>1058249</v>
      </c>
      <c r="J5875" t="s">
        <v>37126</v>
      </c>
      <c r="K5875" t="s">
        <v>37127</v>
      </c>
      <c r="L5875" t="s">
        <v>37126</v>
      </c>
    </row>
    <row r="5876" spans="1:12" x14ac:dyDescent="0.25">
      <c r="A5876">
        <v>1057332</v>
      </c>
      <c r="B5876">
        <v>1057372</v>
      </c>
      <c r="D5876" t="s">
        <v>2361</v>
      </c>
      <c r="E5876" t="s">
        <v>37129</v>
      </c>
      <c r="F5876" t="s">
        <v>37130</v>
      </c>
      <c r="G5876" t="s">
        <v>37131</v>
      </c>
      <c r="H5876" t="e" vm="2586">
        <f>_FV(0,"045402701800919994")</f>
        <v>#VALUE!</v>
      </c>
      <c r="I5876" t="s">
        <v>37132</v>
      </c>
      <c r="J5876" t="s">
        <v>37133</v>
      </c>
      <c r="K5876" t="s">
        <v>37134</v>
      </c>
      <c r="L5876" t="s">
        <v>37128</v>
      </c>
    </row>
    <row r="5877" spans="1:12" x14ac:dyDescent="0.25">
      <c r="A5877">
        <v>1057332</v>
      </c>
      <c r="B5877">
        <v>1058439</v>
      </c>
      <c r="D5877">
        <v>0</v>
      </c>
      <c r="F5877">
        <v>1119477</v>
      </c>
      <c r="G5877">
        <v>1057332</v>
      </c>
      <c r="H5877" t="e" vm="1187">
        <f>_FV(0,"041")</f>
        <v>#VALUE!</v>
      </c>
      <c r="I5877">
        <v>1058439</v>
      </c>
      <c r="J5877" t="s">
        <v>14034</v>
      </c>
      <c r="K5877" t="s">
        <v>37135</v>
      </c>
      <c r="L5877" t="e" vm="1187">
        <f>_FV(0,"041")</f>
        <v>#VALUE!</v>
      </c>
    </row>
    <row r="5878" spans="1:12" x14ac:dyDescent="0.25">
      <c r="A5878">
        <v>1057370</v>
      </c>
      <c r="B5878">
        <v>1241123</v>
      </c>
      <c r="D5878">
        <v>0</v>
      </c>
      <c r="E5878" t="s">
        <v>37137</v>
      </c>
      <c r="F5878" t="s">
        <v>37138</v>
      </c>
      <c r="G5878" t="s">
        <v>37139</v>
      </c>
      <c r="H5878" t="s">
        <v>37140</v>
      </c>
      <c r="I5878" t="s">
        <v>37141</v>
      </c>
      <c r="J5878" t="s">
        <v>37136</v>
      </c>
      <c r="K5878" t="s">
        <v>37142</v>
      </c>
      <c r="L5878" t="s">
        <v>37136</v>
      </c>
    </row>
    <row r="5879" spans="1:12" x14ac:dyDescent="0.25">
      <c r="A5879">
        <v>1057370</v>
      </c>
      <c r="B5879">
        <v>1058716</v>
      </c>
      <c r="D5879">
        <v>0</v>
      </c>
      <c r="E5879" t="s">
        <v>37144</v>
      </c>
      <c r="F5879" t="s">
        <v>37145</v>
      </c>
      <c r="G5879" t="s">
        <v>37146</v>
      </c>
      <c r="H5879" t="e" vm="2587">
        <f>_FV(0,"0020028660828311363")</f>
        <v>#VALUE!</v>
      </c>
      <c r="I5879" t="s">
        <v>37147</v>
      </c>
      <c r="J5879" t="s">
        <v>37148</v>
      </c>
      <c r="K5879" t="s">
        <v>37149</v>
      </c>
      <c r="L5879" t="s">
        <v>37143</v>
      </c>
    </row>
    <row r="5880" spans="1:12" x14ac:dyDescent="0.25">
      <c r="A5880">
        <v>1057370</v>
      </c>
      <c r="B5880">
        <v>1057444</v>
      </c>
      <c r="D5880" t="s">
        <v>10069</v>
      </c>
      <c r="E5880" t="s">
        <v>37151</v>
      </c>
      <c r="F5880" t="s">
        <v>37152</v>
      </c>
      <c r="G5880" t="s">
        <v>37153</v>
      </c>
      <c r="H5880" t="e" vm="2588">
        <f>_FV(0,"029577581407372548")</f>
        <v>#VALUE!</v>
      </c>
      <c r="I5880" t="s">
        <v>37154</v>
      </c>
      <c r="J5880" t="s">
        <v>37155</v>
      </c>
      <c r="K5880" t="s">
        <v>37156</v>
      </c>
      <c r="L5880" t="s">
        <v>37150</v>
      </c>
    </row>
    <row r="5881" spans="1:12" x14ac:dyDescent="0.25">
      <c r="A5881">
        <v>1057372</v>
      </c>
      <c r="B5881">
        <v>1057487</v>
      </c>
      <c r="C5881" t="s">
        <v>37158</v>
      </c>
      <c r="D5881">
        <v>0</v>
      </c>
      <c r="E5881" t="s">
        <v>37159</v>
      </c>
      <c r="F5881" t="s">
        <v>37160</v>
      </c>
      <c r="G5881" t="s">
        <v>37161</v>
      </c>
      <c r="H5881" t="s">
        <v>37162</v>
      </c>
      <c r="I5881" t="s">
        <v>37163</v>
      </c>
      <c r="J5881" t="s">
        <v>37157</v>
      </c>
      <c r="K5881" t="s">
        <v>37164</v>
      </c>
      <c r="L5881" t="s">
        <v>37157</v>
      </c>
    </row>
    <row r="5882" spans="1:12" x14ac:dyDescent="0.25">
      <c r="A5882">
        <v>1057372</v>
      </c>
      <c r="B5882">
        <v>1057387</v>
      </c>
      <c r="D5882">
        <v>0</v>
      </c>
      <c r="E5882" t="s">
        <v>37166</v>
      </c>
      <c r="F5882" t="s">
        <v>37167</v>
      </c>
      <c r="G5882" t="s">
        <v>37168</v>
      </c>
      <c r="H5882" t="e" vm="2589">
        <f>_FV(0,"02255679840990823")</f>
        <v>#VALUE!</v>
      </c>
      <c r="I5882" t="s">
        <v>37169</v>
      </c>
      <c r="J5882" t="s">
        <v>37170</v>
      </c>
      <c r="K5882" t="s">
        <v>37171</v>
      </c>
      <c r="L5882" t="s">
        <v>37165</v>
      </c>
    </row>
    <row r="5883" spans="1:12" x14ac:dyDescent="0.25">
      <c r="A5883">
        <v>1057387</v>
      </c>
      <c r="B5883">
        <v>1058240</v>
      </c>
      <c r="D5883">
        <v>0</v>
      </c>
      <c r="F5883">
        <v>1119273</v>
      </c>
      <c r="G5883">
        <v>1058240</v>
      </c>
      <c r="H5883" t="e" vm="2590">
        <f>_FV(0,"769")</f>
        <v>#VALUE!</v>
      </c>
      <c r="I5883">
        <v>1057387</v>
      </c>
      <c r="J5883" t="s">
        <v>37172</v>
      </c>
      <c r="K5883" t="s">
        <v>37173</v>
      </c>
      <c r="L5883" t="e" vm="2590">
        <f>_FV(0,"769")</f>
        <v>#VALUE!</v>
      </c>
    </row>
    <row r="5884" spans="1:12" x14ac:dyDescent="0.25">
      <c r="A5884">
        <v>1057444</v>
      </c>
      <c r="B5884">
        <v>1058097</v>
      </c>
      <c r="D5884">
        <v>0</v>
      </c>
      <c r="E5884" t="s">
        <v>37175</v>
      </c>
      <c r="F5884" t="s">
        <v>37176</v>
      </c>
      <c r="G5884" t="s">
        <v>37177</v>
      </c>
      <c r="H5884" t="e" vm="2591">
        <f>_FV(0,"05173600089363147")</f>
        <v>#VALUE!</v>
      </c>
      <c r="I5884" t="s">
        <v>37178</v>
      </c>
      <c r="J5884" t="s">
        <v>37179</v>
      </c>
      <c r="K5884" t="s">
        <v>37180</v>
      </c>
      <c r="L5884" t="s">
        <v>37174</v>
      </c>
    </row>
    <row r="5885" spans="1:12" x14ac:dyDescent="0.25">
      <c r="A5885">
        <v>1057444</v>
      </c>
      <c r="B5885">
        <v>1241139</v>
      </c>
      <c r="D5885" t="s">
        <v>514</v>
      </c>
      <c r="E5885" t="s">
        <v>37182</v>
      </c>
      <c r="F5885" t="s">
        <v>37183</v>
      </c>
      <c r="G5885" t="s">
        <v>37184</v>
      </c>
      <c r="H5885" t="s">
        <v>37185</v>
      </c>
      <c r="I5885" t="s">
        <v>37186</v>
      </c>
      <c r="J5885" t="s">
        <v>37181</v>
      </c>
      <c r="K5885" t="s">
        <v>37187</v>
      </c>
      <c r="L5885" t="s">
        <v>37181</v>
      </c>
    </row>
    <row r="5886" spans="1:12" x14ac:dyDescent="0.25">
      <c r="A5886">
        <v>1057487</v>
      </c>
      <c r="B5886">
        <v>1058758</v>
      </c>
      <c r="D5886">
        <v>0</v>
      </c>
      <c r="E5886" t="s">
        <v>37189</v>
      </c>
      <c r="F5886" t="s">
        <v>37190</v>
      </c>
      <c r="G5886" t="s">
        <v>37191</v>
      </c>
      <c r="H5886" t="s">
        <v>37192</v>
      </c>
      <c r="I5886" t="s">
        <v>37193</v>
      </c>
      <c r="J5886" t="s">
        <v>37194</v>
      </c>
      <c r="K5886" t="s">
        <v>37195</v>
      </c>
      <c r="L5886" t="s">
        <v>37188</v>
      </c>
    </row>
    <row r="5887" spans="1:12" x14ac:dyDescent="0.25">
      <c r="A5887">
        <v>1057487</v>
      </c>
      <c r="B5887">
        <v>1248968</v>
      </c>
      <c r="D5887" t="s">
        <v>37197</v>
      </c>
      <c r="E5887" t="s">
        <v>37198</v>
      </c>
      <c r="F5887" t="s">
        <v>37199</v>
      </c>
      <c r="G5887" t="s">
        <v>37200</v>
      </c>
      <c r="H5887" t="s">
        <v>37201</v>
      </c>
      <c r="I5887" t="s">
        <v>37202</v>
      </c>
      <c r="J5887" t="s">
        <v>37203</v>
      </c>
      <c r="K5887" t="s">
        <v>37204</v>
      </c>
      <c r="L5887" t="s">
        <v>37196</v>
      </c>
    </row>
    <row r="5888" spans="1:12" x14ac:dyDescent="0.25">
      <c r="A5888">
        <v>1057530</v>
      </c>
      <c r="B5888">
        <v>1057604</v>
      </c>
      <c r="D5888" t="s">
        <v>204</v>
      </c>
      <c r="E5888" t="s">
        <v>37206</v>
      </c>
      <c r="F5888" t="s">
        <v>37207</v>
      </c>
      <c r="G5888" t="s">
        <v>37208</v>
      </c>
      <c r="H5888" t="s">
        <v>37209</v>
      </c>
      <c r="I5888" t="s">
        <v>37210</v>
      </c>
      <c r="J5888" t="s">
        <v>37211</v>
      </c>
      <c r="K5888" t="s">
        <v>37212</v>
      </c>
      <c r="L5888" t="s">
        <v>37205</v>
      </c>
    </row>
    <row r="5889" spans="1:12" x14ac:dyDescent="0.25">
      <c r="A5889">
        <v>1057530</v>
      </c>
      <c r="B5889">
        <v>1057562</v>
      </c>
      <c r="D5889">
        <v>0</v>
      </c>
      <c r="E5889" t="s">
        <v>37214</v>
      </c>
      <c r="F5889" t="s">
        <v>37215</v>
      </c>
      <c r="G5889" t="s">
        <v>37216</v>
      </c>
      <c r="H5889" t="e" vm="2592">
        <f>_FV(0,"012302424157815253")</f>
        <v>#VALUE!</v>
      </c>
      <c r="I5889" t="s">
        <v>37217</v>
      </c>
      <c r="J5889" t="s">
        <v>37218</v>
      </c>
      <c r="K5889" t="s">
        <v>37219</v>
      </c>
      <c r="L5889" t="s">
        <v>37213</v>
      </c>
    </row>
    <row r="5890" spans="1:12" x14ac:dyDescent="0.25">
      <c r="A5890">
        <v>1057562</v>
      </c>
      <c r="B5890">
        <v>1057633</v>
      </c>
      <c r="D5890">
        <v>0</v>
      </c>
      <c r="E5890" t="s">
        <v>37221</v>
      </c>
      <c r="F5890" t="s">
        <v>37222</v>
      </c>
      <c r="G5890" t="s">
        <v>37223</v>
      </c>
      <c r="H5890" t="s">
        <v>37224</v>
      </c>
      <c r="I5890" t="s">
        <v>37225</v>
      </c>
      <c r="J5890" t="s">
        <v>37220</v>
      </c>
      <c r="K5890" t="s">
        <v>37226</v>
      </c>
      <c r="L5890" t="s">
        <v>37220</v>
      </c>
    </row>
    <row r="5891" spans="1:12" x14ac:dyDescent="0.25">
      <c r="A5891">
        <v>1057562</v>
      </c>
      <c r="B5891">
        <v>1058190</v>
      </c>
      <c r="D5891">
        <v>0</v>
      </c>
      <c r="F5891">
        <v>1119226</v>
      </c>
      <c r="G5891">
        <v>1057562</v>
      </c>
      <c r="H5891" t="s">
        <v>3940</v>
      </c>
      <c r="I5891">
        <v>1058190</v>
      </c>
      <c r="J5891" t="s">
        <v>3940</v>
      </c>
      <c r="K5891" t="s">
        <v>37227</v>
      </c>
      <c r="L5891" t="s">
        <v>3940</v>
      </c>
    </row>
    <row r="5892" spans="1:12" x14ac:dyDescent="0.25">
      <c r="A5892">
        <v>1057604</v>
      </c>
      <c r="B5892">
        <v>1058439</v>
      </c>
      <c r="D5892" t="s">
        <v>514</v>
      </c>
      <c r="E5892" t="s">
        <v>37229</v>
      </c>
      <c r="F5892" t="s">
        <v>37230</v>
      </c>
      <c r="G5892" t="s">
        <v>37231</v>
      </c>
      <c r="H5892" t="e" vm="2593">
        <f>_FV(0,"00588731106115045")</f>
        <v>#VALUE!</v>
      </c>
      <c r="I5892" t="s">
        <v>37232</v>
      </c>
      <c r="J5892" t="s">
        <v>37233</v>
      </c>
      <c r="K5892" t="s">
        <v>37234</v>
      </c>
      <c r="L5892" t="s">
        <v>37228</v>
      </c>
    </row>
    <row r="5893" spans="1:12" x14ac:dyDescent="0.25">
      <c r="A5893">
        <v>1057604</v>
      </c>
      <c r="B5893">
        <v>1057633</v>
      </c>
      <c r="D5893">
        <v>0</v>
      </c>
      <c r="E5893" t="s">
        <v>37236</v>
      </c>
      <c r="F5893" t="s">
        <v>37237</v>
      </c>
      <c r="G5893" t="s">
        <v>37238</v>
      </c>
      <c r="H5893" t="s">
        <v>37239</v>
      </c>
      <c r="I5893" t="s">
        <v>37240</v>
      </c>
      <c r="J5893" t="s">
        <v>37235</v>
      </c>
      <c r="K5893" t="s">
        <v>37241</v>
      </c>
      <c r="L5893" t="s">
        <v>37235</v>
      </c>
    </row>
    <row r="5894" spans="1:12" x14ac:dyDescent="0.25">
      <c r="A5894">
        <v>1057633</v>
      </c>
      <c r="B5894">
        <v>1058176</v>
      </c>
      <c r="D5894">
        <v>0</v>
      </c>
      <c r="F5894">
        <v>1119199</v>
      </c>
      <c r="G5894">
        <v>1058176</v>
      </c>
      <c r="H5894" t="e" vm="2594">
        <f>_FV(0,"07")</f>
        <v>#VALUE!</v>
      </c>
      <c r="I5894">
        <v>1057633</v>
      </c>
      <c r="J5894" t="s">
        <v>24389</v>
      </c>
      <c r="K5894" t="s">
        <v>37242</v>
      </c>
      <c r="L5894" t="e" vm="2594">
        <f>_FV(0,"07")</f>
        <v>#VALUE!</v>
      </c>
    </row>
    <row r="5895" spans="1:12" x14ac:dyDescent="0.25">
      <c r="A5895">
        <v>1057672</v>
      </c>
      <c r="B5895">
        <v>1057755</v>
      </c>
      <c r="D5895">
        <v>0</v>
      </c>
      <c r="E5895" t="s">
        <v>37244</v>
      </c>
      <c r="F5895" t="s">
        <v>37245</v>
      </c>
      <c r="G5895" t="s">
        <v>37246</v>
      </c>
      <c r="H5895" t="s">
        <v>37247</v>
      </c>
      <c r="I5895" t="s">
        <v>37248</v>
      </c>
      <c r="J5895" t="s">
        <v>37243</v>
      </c>
      <c r="K5895" t="s">
        <v>37249</v>
      </c>
      <c r="L5895" t="s">
        <v>37243</v>
      </c>
    </row>
    <row r="5896" spans="1:12" x14ac:dyDescent="0.25">
      <c r="A5896">
        <v>1057672</v>
      </c>
      <c r="B5896">
        <v>1057838</v>
      </c>
      <c r="D5896">
        <v>0</v>
      </c>
      <c r="E5896" t="s">
        <v>37251</v>
      </c>
      <c r="F5896" t="s">
        <v>37252</v>
      </c>
      <c r="G5896" t="s">
        <v>37253</v>
      </c>
      <c r="H5896" t="s">
        <v>37254</v>
      </c>
      <c r="I5896" t="s">
        <v>37255</v>
      </c>
      <c r="J5896" t="s">
        <v>37250</v>
      </c>
      <c r="K5896" t="s">
        <v>37256</v>
      </c>
      <c r="L5896" t="s">
        <v>37250</v>
      </c>
    </row>
    <row r="5897" spans="1:12" x14ac:dyDescent="0.25">
      <c r="A5897">
        <v>1057755</v>
      </c>
      <c r="B5897">
        <v>1057838</v>
      </c>
      <c r="D5897">
        <v>0</v>
      </c>
      <c r="E5897" t="s">
        <v>37258</v>
      </c>
      <c r="F5897" t="s">
        <v>37259</v>
      </c>
      <c r="G5897" t="s">
        <v>37260</v>
      </c>
      <c r="H5897" t="s">
        <v>37261</v>
      </c>
      <c r="I5897" t="s">
        <v>37262</v>
      </c>
      <c r="J5897" t="s">
        <v>37263</v>
      </c>
      <c r="K5897" t="s">
        <v>37264</v>
      </c>
      <c r="L5897" t="s">
        <v>37257</v>
      </c>
    </row>
    <row r="5898" spans="1:12" x14ac:dyDescent="0.25">
      <c r="A5898">
        <v>1057770</v>
      </c>
      <c r="B5898">
        <v>1057806</v>
      </c>
      <c r="D5898" t="s">
        <v>700</v>
      </c>
      <c r="E5898" t="s">
        <v>37266</v>
      </c>
      <c r="F5898" t="s">
        <v>37267</v>
      </c>
      <c r="G5898" t="s">
        <v>37268</v>
      </c>
      <c r="H5898" t="e" vm="2595">
        <f>_FV(0,"018698362244781344")</f>
        <v>#VALUE!</v>
      </c>
      <c r="I5898" t="s">
        <v>37269</v>
      </c>
      <c r="J5898" t="s">
        <v>37270</v>
      </c>
      <c r="K5898" t="s">
        <v>37271</v>
      </c>
      <c r="L5898" t="s">
        <v>37265</v>
      </c>
    </row>
    <row r="5899" spans="1:12" x14ac:dyDescent="0.25">
      <c r="A5899">
        <v>1057770</v>
      </c>
      <c r="B5899">
        <v>1057850</v>
      </c>
      <c r="D5899">
        <v>0</v>
      </c>
      <c r="E5899" t="s">
        <v>37273</v>
      </c>
      <c r="F5899" t="s">
        <v>37274</v>
      </c>
      <c r="G5899" t="s">
        <v>37275</v>
      </c>
      <c r="H5899" t="e" vm="2596">
        <f>_FV(0,"012991750814044953")</f>
        <v>#VALUE!</v>
      </c>
      <c r="I5899" t="s">
        <v>37276</v>
      </c>
      <c r="J5899" t="s">
        <v>37277</v>
      </c>
      <c r="K5899" t="s">
        <v>37278</v>
      </c>
      <c r="L5899" t="s">
        <v>37272</v>
      </c>
    </row>
    <row r="5900" spans="1:12" x14ac:dyDescent="0.25">
      <c r="A5900">
        <v>1057806</v>
      </c>
      <c r="B5900">
        <v>1057838</v>
      </c>
      <c r="D5900" t="s">
        <v>1839</v>
      </c>
      <c r="E5900" t="s">
        <v>37279</v>
      </c>
      <c r="F5900" t="s">
        <v>37280</v>
      </c>
      <c r="G5900" t="s">
        <v>37281</v>
      </c>
      <c r="H5900" t="s">
        <v>37282</v>
      </c>
      <c r="I5900" t="s">
        <v>37283</v>
      </c>
      <c r="J5900" t="s">
        <v>14506</v>
      </c>
      <c r="K5900" t="s">
        <v>37284</v>
      </c>
      <c r="L5900" t="s">
        <v>14506</v>
      </c>
    </row>
    <row r="5901" spans="1:12" x14ac:dyDescent="0.25">
      <c r="A5901">
        <v>1057806</v>
      </c>
      <c r="B5901">
        <v>1057850</v>
      </c>
      <c r="D5901" t="s">
        <v>700</v>
      </c>
      <c r="E5901" t="s">
        <v>37286</v>
      </c>
      <c r="F5901" t="s">
        <v>37287</v>
      </c>
      <c r="G5901" t="s">
        <v>37288</v>
      </c>
      <c r="H5901" t="e" vm="2597">
        <f>_FV(0,"01343998801519545")</f>
        <v>#VALUE!</v>
      </c>
      <c r="I5901" t="s">
        <v>37289</v>
      </c>
      <c r="J5901" t="s">
        <v>37290</v>
      </c>
      <c r="K5901" t="s">
        <v>37291</v>
      </c>
      <c r="L5901" t="s">
        <v>37285</v>
      </c>
    </row>
    <row r="5902" spans="1:12" x14ac:dyDescent="0.25">
      <c r="A5902">
        <v>1058097</v>
      </c>
      <c r="B5902">
        <v>1058365</v>
      </c>
      <c r="C5902" t="s">
        <v>37293</v>
      </c>
      <c r="D5902">
        <v>0</v>
      </c>
      <c r="E5902" t="s">
        <v>37294</v>
      </c>
      <c r="F5902" t="s">
        <v>37295</v>
      </c>
      <c r="G5902" t="s">
        <v>37296</v>
      </c>
      <c r="H5902" t="s">
        <v>37297</v>
      </c>
      <c r="I5902" t="s">
        <v>37298</v>
      </c>
      <c r="J5902" t="s">
        <v>37299</v>
      </c>
      <c r="K5902" t="s">
        <v>37300</v>
      </c>
      <c r="L5902" t="s">
        <v>37292</v>
      </c>
    </row>
    <row r="5903" spans="1:12" x14ac:dyDescent="0.25">
      <c r="A5903">
        <v>1058097</v>
      </c>
      <c r="B5903">
        <v>1058630</v>
      </c>
      <c r="D5903" t="s">
        <v>204</v>
      </c>
      <c r="E5903" t="s">
        <v>37302</v>
      </c>
      <c r="F5903" t="s">
        <v>37303</v>
      </c>
      <c r="G5903" t="s">
        <v>37304</v>
      </c>
      <c r="H5903" t="e" vm="2598">
        <f>_FV(0,"003543617184866742")</f>
        <v>#VALUE!</v>
      </c>
      <c r="I5903" t="s">
        <v>37305</v>
      </c>
      <c r="J5903" t="s">
        <v>37306</v>
      </c>
      <c r="K5903" t="s">
        <v>37307</v>
      </c>
      <c r="L5903" t="s">
        <v>37301</v>
      </c>
    </row>
    <row r="5904" spans="1:12" x14ac:dyDescent="0.25">
      <c r="A5904">
        <v>1058176</v>
      </c>
      <c r="B5904">
        <v>1058190</v>
      </c>
      <c r="D5904">
        <v>0</v>
      </c>
      <c r="E5904" t="s">
        <v>37309</v>
      </c>
      <c r="F5904" t="s">
        <v>37310</v>
      </c>
      <c r="G5904" t="s">
        <v>37311</v>
      </c>
      <c r="H5904" t="e" vm="2599">
        <f>_FV(0,"06790187363217956")</f>
        <v>#VALUE!</v>
      </c>
      <c r="I5904" t="s">
        <v>37312</v>
      </c>
      <c r="J5904" t="s">
        <v>37313</v>
      </c>
      <c r="K5904" t="s">
        <v>37314</v>
      </c>
      <c r="L5904" t="s">
        <v>37308</v>
      </c>
    </row>
    <row r="5905" spans="1:12" x14ac:dyDescent="0.25">
      <c r="A5905">
        <v>1058176</v>
      </c>
      <c r="B5905">
        <v>1106697</v>
      </c>
      <c r="D5905">
        <v>0</v>
      </c>
      <c r="E5905" t="s">
        <v>37316</v>
      </c>
      <c r="F5905" t="s">
        <v>37317</v>
      </c>
      <c r="G5905" t="s">
        <v>37318</v>
      </c>
      <c r="H5905" t="e" vm="2600">
        <f>_FV(0,"03358056029181439")</f>
        <v>#VALUE!</v>
      </c>
      <c r="I5905" t="s">
        <v>37319</v>
      </c>
      <c r="J5905" t="s">
        <v>37320</v>
      </c>
      <c r="K5905" t="s">
        <v>37321</v>
      </c>
      <c r="L5905" t="s">
        <v>37315</v>
      </c>
    </row>
    <row r="5906" spans="1:12" x14ac:dyDescent="0.25">
      <c r="A5906">
        <v>1058190</v>
      </c>
      <c r="B5906">
        <v>1106743</v>
      </c>
      <c r="D5906">
        <v>0</v>
      </c>
      <c r="E5906" t="s">
        <v>37323</v>
      </c>
      <c r="F5906" t="s">
        <v>37324</v>
      </c>
      <c r="G5906" t="s">
        <v>37325</v>
      </c>
      <c r="H5906" t="e" vm="2601">
        <f>_FV(0,"029188907746392555")</f>
        <v>#VALUE!</v>
      </c>
      <c r="I5906" t="s">
        <v>37326</v>
      </c>
      <c r="J5906" t="s">
        <v>37327</v>
      </c>
      <c r="K5906" t="s">
        <v>37328</v>
      </c>
      <c r="L5906" t="s">
        <v>37322</v>
      </c>
    </row>
    <row r="5907" spans="1:12" x14ac:dyDescent="0.25">
      <c r="A5907">
        <v>1058240</v>
      </c>
      <c r="B5907">
        <v>1058249</v>
      </c>
      <c r="D5907">
        <v>0</v>
      </c>
      <c r="E5907" t="s">
        <v>37330</v>
      </c>
      <c r="F5907" t="s">
        <v>37331</v>
      </c>
      <c r="G5907" t="s">
        <v>37332</v>
      </c>
      <c r="H5907" t="e" vm="2602">
        <f>_FV(0,"03550186784170236")</f>
        <v>#VALUE!</v>
      </c>
      <c r="I5907" t="s">
        <v>37333</v>
      </c>
      <c r="J5907" t="s">
        <v>37334</v>
      </c>
      <c r="K5907" t="s">
        <v>37335</v>
      </c>
      <c r="L5907" t="s">
        <v>37329</v>
      </c>
    </row>
    <row r="5908" spans="1:12" x14ac:dyDescent="0.25">
      <c r="A5908">
        <v>1058240</v>
      </c>
      <c r="B5908">
        <v>1106798</v>
      </c>
      <c r="D5908">
        <v>0</v>
      </c>
      <c r="E5908" t="s">
        <v>37337</v>
      </c>
      <c r="F5908" t="s">
        <v>37338</v>
      </c>
      <c r="G5908" t="s">
        <v>37339</v>
      </c>
      <c r="H5908" t="e" vm="2603">
        <f>_FV(0,"034458311181765774")</f>
        <v>#VALUE!</v>
      </c>
      <c r="I5908" t="s">
        <v>37340</v>
      </c>
      <c r="J5908" t="s">
        <v>37341</v>
      </c>
      <c r="K5908" t="s">
        <v>37342</v>
      </c>
      <c r="L5908" t="s">
        <v>37336</v>
      </c>
    </row>
    <row r="5909" spans="1:12" x14ac:dyDescent="0.25">
      <c r="A5909">
        <v>1058249</v>
      </c>
      <c r="B5909">
        <v>1106784</v>
      </c>
      <c r="D5909">
        <v>0</v>
      </c>
      <c r="E5909" t="s">
        <v>37344</v>
      </c>
      <c r="F5909" t="s">
        <v>37345</v>
      </c>
      <c r="G5909" t="s">
        <v>37346</v>
      </c>
      <c r="H5909" t="e" vm="2604">
        <f>_FV(0,"04699599388405829")</f>
        <v>#VALUE!</v>
      </c>
      <c r="I5909" t="s">
        <v>37347</v>
      </c>
      <c r="J5909" t="s">
        <v>37348</v>
      </c>
      <c r="K5909" t="s">
        <v>37349</v>
      </c>
      <c r="L5909" t="s">
        <v>37343</v>
      </c>
    </row>
    <row r="5910" spans="1:12" x14ac:dyDescent="0.25">
      <c r="A5910">
        <v>1058347</v>
      </c>
      <c r="B5910">
        <v>1058793</v>
      </c>
      <c r="D5910" t="s">
        <v>10538</v>
      </c>
      <c r="E5910" t="s">
        <v>37351</v>
      </c>
      <c r="F5910" t="s">
        <v>37352</v>
      </c>
      <c r="G5910" t="s">
        <v>37353</v>
      </c>
      <c r="H5910" t="s">
        <v>37354</v>
      </c>
      <c r="I5910" t="s">
        <v>37355</v>
      </c>
      <c r="J5910" t="s">
        <v>37356</v>
      </c>
      <c r="K5910" t="s">
        <v>37357</v>
      </c>
      <c r="L5910" t="s">
        <v>37350</v>
      </c>
    </row>
    <row r="5911" spans="1:12" x14ac:dyDescent="0.25">
      <c r="A5911">
        <v>1058347</v>
      </c>
      <c r="B5911">
        <v>1105890</v>
      </c>
      <c r="D5911">
        <v>0</v>
      </c>
      <c r="E5911" t="s">
        <v>37359</v>
      </c>
      <c r="F5911" t="s">
        <v>37360</v>
      </c>
      <c r="G5911" t="s">
        <v>37361</v>
      </c>
      <c r="H5911" t="e" vm="2605">
        <f>_FV(0,"08480164315423036")</f>
        <v>#VALUE!</v>
      </c>
      <c r="I5911" t="s">
        <v>37362</v>
      </c>
      <c r="J5911" t="s">
        <v>37363</v>
      </c>
      <c r="K5911" t="s">
        <v>37364</v>
      </c>
      <c r="L5911" t="s">
        <v>37358</v>
      </c>
    </row>
    <row r="5912" spans="1:12" x14ac:dyDescent="0.25">
      <c r="A5912">
        <v>1058365</v>
      </c>
      <c r="B5912">
        <v>1058387</v>
      </c>
      <c r="D5912">
        <v>0</v>
      </c>
      <c r="E5912" t="s">
        <v>37366</v>
      </c>
      <c r="F5912" t="s">
        <v>37367</v>
      </c>
      <c r="G5912" t="s">
        <v>37368</v>
      </c>
      <c r="H5912" t="e" vm="2606">
        <f>_FV(0,"09682567237328904")</f>
        <v>#VALUE!</v>
      </c>
      <c r="I5912" t="s">
        <v>37369</v>
      </c>
      <c r="J5912" t="s">
        <v>37370</v>
      </c>
      <c r="K5912" t="s">
        <v>37371</v>
      </c>
      <c r="L5912" t="s">
        <v>37365</v>
      </c>
    </row>
    <row r="5913" spans="1:12" x14ac:dyDescent="0.25">
      <c r="A5913">
        <v>1058365</v>
      </c>
      <c r="B5913">
        <v>1058417</v>
      </c>
      <c r="D5913">
        <v>0</v>
      </c>
      <c r="E5913" t="s">
        <v>37373</v>
      </c>
      <c r="F5913" t="s">
        <v>37374</v>
      </c>
      <c r="G5913" t="s">
        <v>37375</v>
      </c>
      <c r="H5913" t="e" vm="2607">
        <f>_FV(0,"09442753820408342")</f>
        <v>#VALUE!</v>
      </c>
      <c r="I5913" t="s">
        <v>37376</v>
      </c>
      <c r="J5913" t="s">
        <v>37377</v>
      </c>
      <c r="K5913" t="s">
        <v>37378</v>
      </c>
      <c r="L5913" t="s">
        <v>37372</v>
      </c>
    </row>
    <row r="5914" spans="1:12" x14ac:dyDescent="0.25">
      <c r="A5914">
        <v>1058382</v>
      </c>
      <c r="B5914">
        <v>1058398</v>
      </c>
      <c r="D5914">
        <v>0</v>
      </c>
      <c r="E5914" t="s">
        <v>37379</v>
      </c>
      <c r="F5914" t="s">
        <v>37380</v>
      </c>
      <c r="G5914" t="s">
        <v>37381</v>
      </c>
      <c r="H5914" t="s">
        <v>37382</v>
      </c>
      <c r="I5914" t="s">
        <v>37383</v>
      </c>
      <c r="J5914" t="s">
        <v>11640</v>
      </c>
      <c r="K5914" t="s">
        <v>37384</v>
      </c>
      <c r="L5914" t="s">
        <v>11640</v>
      </c>
    </row>
    <row r="5915" spans="1:12" x14ac:dyDescent="0.25">
      <c r="A5915">
        <v>1058382</v>
      </c>
      <c r="B5915">
        <v>1058407</v>
      </c>
      <c r="D5915">
        <v>0</v>
      </c>
      <c r="E5915" t="s">
        <v>37385</v>
      </c>
      <c r="F5915" t="s">
        <v>37386</v>
      </c>
      <c r="G5915" t="s">
        <v>37387</v>
      </c>
      <c r="H5915" t="e" vm="2608">
        <f>_FV(0,"0014740598181133837")</f>
        <v>#VALUE!</v>
      </c>
      <c r="I5915" t="s">
        <v>37388</v>
      </c>
      <c r="J5915" t="s">
        <v>5116</v>
      </c>
      <c r="K5915" t="s">
        <v>37389</v>
      </c>
      <c r="L5915" t="s">
        <v>5111</v>
      </c>
    </row>
    <row r="5916" spans="1:12" x14ac:dyDescent="0.25">
      <c r="A5916">
        <v>1058382</v>
      </c>
      <c r="B5916">
        <v>1107068</v>
      </c>
      <c r="C5916" t="s">
        <v>37391</v>
      </c>
      <c r="D5916">
        <v>0</v>
      </c>
      <c r="E5916" t="s">
        <v>37392</v>
      </c>
      <c r="F5916" t="s">
        <v>37393</v>
      </c>
      <c r="G5916" t="s">
        <v>37394</v>
      </c>
      <c r="H5916" t="s">
        <v>37395</v>
      </c>
      <c r="I5916" t="s">
        <v>37396</v>
      </c>
      <c r="J5916" t="s">
        <v>37390</v>
      </c>
      <c r="K5916" t="s">
        <v>37397</v>
      </c>
      <c r="L5916" t="s">
        <v>37390</v>
      </c>
    </row>
    <row r="5917" spans="1:12" x14ac:dyDescent="0.25">
      <c r="A5917">
        <v>1058387</v>
      </c>
      <c r="B5917">
        <v>1058417</v>
      </c>
      <c r="D5917">
        <v>0</v>
      </c>
      <c r="E5917" t="s">
        <v>37399</v>
      </c>
      <c r="F5917" t="s">
        <v>37400</v>
      </c>
      <c r="G5917" t="s">
        <v>37401</v>
      </c>
      <c r="H5917" t="e" vm="2609">
        <f>_FV(0,"005499607885567133")</f>
        <v>#VALUE!</v>
      </c>
      <c r="I5917" t="s">
        <v>37402</v>
      </c>
      <c r="J5917" t="s">
        <v>37403</v>
      </c>
      <c r="K5917" t="s">
        <v>37404</v>
      </c>
      <c r="L5917" t="s">
        <v>37398</v>
      </c>
    </row>
    <row r="5918" spans="1:12" x14ac:dyDescent="0.25">
      <c r="A5918">
        <v>1058387</v>
      </c>
      <c r="B5918">
        <v>1058551</v>
      </c>
      <c r="D5918">
        <v>0</v>
      </c>
      <c r="F5918">
        <v>1119589</v>
      </c>
      <c r="G5918">
        <v>1058387</v>
      </c>
      <c r="H5918" t="s">
        <v>34035</v>
      </c>
      <c r="I5918">
        <v>1058551</v>
      </c>
      <c r="J5918" t="s">
        <v>34035</v>
      </c>
      <c r="K5918" t="s">
        <v>37405</v>
      </c>
      <c r="L5918" t="s">
        <v>34035</v>
      </c>
    </row>
    <row r="5919" spans="1:12" x14ac:dyDescent="0.25">
      <c r="A5919">
        <v>1058398</v>
      </c>
      <c r="B5919">
        <v>1058491</v>
      </c>
      <c r="D5919">
        <v>0</v>
      </c>
      <c r="E5919" t="s">
        <v>37407</v>
      </c>
      <c r="F5919" t="s">
        <v>37408</v>
      </c>
      <c r="G5919" t="s">
        <v>37409</v>
      </c>
      <c r="H5919" t="e" vm="2610">
        <f>_FV(0,"0056054566780501325")</f>
        <v>#VALUE!</v>
      </c>
      <c r="I5919" t="s">
        <v>37410</v>
      </c>
      <c r="J5919" t="s">
        <v>37411</v>
      </c>
      <c r="K5919" t="s">
        <v>37412</v>
      </c>
      <c r="L5919" t="s">
        <v>37406</v>
      </c>
    </row>
    <row r="5920" spans="1:12" x14ac:dyDescent="0.25">
      <c r="A5920">
        <v>1058398</v>
      </c>
      <c r="B5920">
        <v>1058407</v>
      </c>
      <c r="D5920">
        <v>0</v>
      </c>
      <c r="E5920" t="s">
        <v>37413</v>
      </c>
      <c r="F5920" t="s">
        <v>37414</v>
      </c>
      <c r="G5920" t="s">
        <v>37415</v>
      </c>
      <c r="H5920" t="s">
        <v>37416</v>
      </c>
      <c r="I5920" t="s">
        <v>37417</v>
      </c>
      <c r="J5920" t="s">
        <v>27139</v>
      </c>
      <c r="K5920" t="s">
        <v>37418</v>
      </c>
      <c r="L5920" t="s">
        <v>27139</v>
      </c>
    </row>
    <row r="5921" spans="1:12" x14ac:dyDescent="0.25">
      <c r="A5921">
        <v>1058407</v>
      </c>
      <c r="B5921">
        <v>1058491</v>
      </c>
      <c r="D5921">
        <v>0</v>
      </c>
      <c r="E5921" t="s">
        <v>37420</v>
      </c>
      <c r="F5921" t="s">
        <v>37421</v>
      </c>
      <c r="G5921" t="s">
        <v>37422</v>
      </c>
      <c r="H5921" t="s">
        <v>37423</v>
      </c>
      <c r="I5921" t="s">
        <v>37424</v>
      </c>
      <c r="J5921" t="s">
        <v>27371</v>
      </c>
      <c r="K5921" t="s">
        <v>37425</v>
      </c>
      <c r="L5921" t="s">
        <v>37419</v>
      </c>
    </row>
    <row r="5922" spans="1:12" x14ac:dyDescent="0.25">
      <c r="A5922">
        <v>1058417</v>
      </c>
      <c r="B5922">
        <v>1058551</v>
      </c>
      <c r="D5922">
        <v>0</v>
      </c>
      <c r="E5922" t="s">
        <v>37427</v>
      </c>
      <c r="F5922" t="s">
        <v>37428</v>
      </c>
      <c r="G5922" t="s">
        <v>37429</v>
      </c>
      <c r="H5922" t="e" vm="2611">
        <f>_FV(0,"028198073154963824")</f>
        <v>#VALUE!</v>
      </c>
      <c r="I5922" t="s">
        <v>37430</v>
      </c>
      <c r="J5922" t="s">
        <v>37431</v>
      </c>
      <c r="K5922" t="s">
        <v>37432</v>
      </c>
      <c r="L5922" t="s">
        <v>37426</v>
      </c>
    </row>
    <row r="5923" spans="1:12" x14ac:dyDescent="0.25">
      <c r="A5923">
        <v>1058439</v>
      </c>
      <c r="B5923">
        <v>1058551</v>
      </c>
      <c r="D5923">
        <v>0</v>
      </c>
      <c r="E5923" t="s">
        <v>37434</v>
      </c>
      <c r="F5923" t="s">
        <v>37435</v>
      </c>
      <c r="G5923" t="s">
        <v>37436</v>
      </c>
      <c r="H5923" t="e" vm="2612">
        <f>_FV(0,"023461297428829585")</f>
        <v>#VALUE!</v>
      </c>
      <c r="I5923" t="s">
        <v>37437</v>
      </c>
      <c r="J5923" t="s">
        <v>37438</v>
      </c>
      <c r="K5923" t="s">
        <v>37439</v>
      </c>
      <c r="L5923" t="s">
        <v>37433</v>
      </c>
    </row>
    <row r="5924" spans="1:12" x14ac:dyDescent="0.25">
      <c r="A5924">
        <v>1058491</v>
      </c>
      <c r="B5924">
        <v>1058610</v>
      </c>
      <c r="D5924">
        <v>0</v>
      </c>
      <c r="E5924" t="s">
        <v>37441</v>
      </c>
      <c r="F5924" t="s">
        <v>37442</v>
      </c>
      <c r="G5924" t="s">
        <v>37443</v>
      </c>
      <c r="H5924" t="s">
        <v>37444</v>
      </c>
      <c r="I5924" t="s">
        <v>37445</v>
      </c>
      <c r="J5924" t="s">
        <v>37440</v>
      </c>
      <c r="K5924" t="s">
        <v>37446</v>
      </c>
      <c r="L5924" t="s">
        <v>37440</v>
      </c>
    </row>
    <row r="5925" spans="1:12" x14ac:dyDescent="0.25">
      <c r="A5925">
        <v>1058610</v>
      </c>
      <c r="B5925">
        <v>1058630</v>
      </c>
      <c r="D5925" t="s">
        <v>37448</v>
      </c>
      <c r="E5925" t="s">
        <v>37449</v>
      </c>
      <c r="F5925" t="s">
        <v>37450</v>
      </c>
      <c r="G5925" t="s">
        <v>37451</v>
      </c>
      <c r="H5925" t="e" vm="2613">
        <f>_FV(0,"0004615467116395839")</f>
        <v>#VALUE!</v>
      </c>
      <c r="I5925" t="s">
        <v>37452</v>
      </c>
      <c r="J5925" t="s">
        <v>37453</v>
      </c>
      <c r="K5925" t="s">
        <v>37454</v>
      </c>
      <c r="L5925" t="s">
        <v>37447</v>
      </c>
    </row>
    <row r="5926" spans="1:12" x14ac:dyDescent="0.25">
      <c r="A5926">
        <v>1058630</v>
      </c>
      <c r="B5926">
        <v>1058655</v>
      </c>
      <c r="D5926">
        <v>0</v>
      </c>
      <c r="E5926" t="s">
        <v>37456</v>
      </c>
      <c r="F5926" t="s">
        <v>37457</v>
      </c>
      <c r="G5926" t="s">
        <v>37458</v>
      </c>
      <c r="H5926" t="e" vm="2614">
        <f>_FV(0,"03179755125451308")</f>
        <v>#VALUE!</v>
      </c>
      <c r="I5926" t="s">
        <v>37459</v>
      </c>
      <c r="J5926" t="s">
        <v>37460</v>
      </c>
      <c r="K5926" t="s">
        <v>37461</v>
      </c>
      <c r="L5926" t="s">
        <v>37455</v>
      </c>
    </row>
    <row r="5927" spans="1:12" x14ac:dyDescent="0.25">
      <c r="A5927">
        <v>1058655</v>
      </c>
      <c r="B5927">
        <v>1106725</v>
      </c>
      <c r="D5927">
        <v>0</v>
      </c>
      <c r="E5927" t="s">
        <v>37463</v>
      </c>
      <c r="F5927" t="s">
        <v>37464</v>
      </c>
      <c r="G5927" t="s">
        <v>37465</v>
      </c>
      <c r="H5927" t="e" vm="2615">
        <f>_FV(0,"025320839176936807")</f>
        <v>#VALUE!</v>
      </c>
      <c r="I5927" t="s">
        <v>37466</v>
      </c>
      <c r="J5927" t="s">
        <v>37467</v>
      </c>
      <c r="K5927" t="s">
        <v>37468</v>
      </c>
      <c r="L5927" t="s">
        <v>37462</v>
      </c>
    </row>
    <row r="5928" spans="1:12" x14ac:dyDescent="0.25">
      <c r="A5928">
        <v>1058655</v>
      </c>
      <c r="B5928">
        <v>1106697</v>
      </c>
      <c r="D5928">
        <v>0</v>
      </c>
      <c r="F5928">
        <v>1174620</v>
      </c>
      <c r="G5928">
        <v>1058655</v>
      </c>
      <c r="H5928" t="e" vm="106">
        <f>_FV(0,"019")</f>
        <v>#VALUE!</v>
      </c>
      <c r="I5928">
        <v>1106697</v>
      </c>
      <c r="J5928" t="s">
        <v>1629</v>
      </c>
      <c r="K5928" t="s">
        <v>37469</v>
      </c>
      <c r="L5928" t="e" vm="106">
        <f>_FV(0,"019")</f>
        <v>#VALUE!</v>
      </c>
    </row>
    <row r="5929" spans="1:12" x14ac:dyDescent="0.25">
      <c r="A5929">
        <v>1058716</v>
      </c>
      <c r="B5929">
        <v>1058793</v>
      </c>
      <c r="D5929">
        <v>0</v>
      </c>
      <c r="E5929" t="s">
        <v>37471</v>
      </c>
      <c r="F5929" t="s">
        <v>37472</v>
      </c>
      <c r="G5929" t="s">
        <v>37473</v>
      </c>
      <c r="H5929" t="s">
        <v>37474</v>
      </c>
      <c r="I5929" t="s">
        <v>37475</v>
      </c>
      <c r="J5929" t="s">
        <v>37476</v>
      </c>
      <c r="K5929" t="s">
        <v>37477</v>
      </c>
      <c r="L5929" t="s">
        <v>37470</v>
      </c>
    </row>
    <row r="5930" spans="1:12" x14ac:dyDescent="0.25">
      <c r="A5930">
        <v>1058716</v>
      </c>
      <c r="B5930">
        <v>1106844</v>
      </c>
      <c r="D5930">
        <v>0</v>
      </c>
      <c r="E5930" t="s">
        <v>37479</v>
      </c>
      <c r="F5930" t="s">
        <v>37480</v>
      </c>
      <c r="G5930" t="s">
        <v>37481</v>
      </c>
      <c r="H5930" t="e" vm="2616">
        <f>_FV(0,"012394104444659307")</f>
        <v>#VALUE!</v>
      </c>
      <c r="I5930" t="s">
        <v>37482</v>
      </c>
      <c r="J5930" t="s">
        <v>37483</v>
      </c>
      <c r="K5930" t="s">
        <v>37484</v>
      </c>
      <c r="L5930" t="s">
        <v>37478</v>
      </c>
    </row>
    <row r="5931" spans="1:12" x14ac:dyDescent="0.25">
      <c r="A5931">
        <v>1058758</v>
      </c>
      <c r="B5931">
        <v>1105882</v>
      </c>
      <c r="D5931" t="s">
        <v>32484</v>
      </c>
      <c r="E5931" t="s">
        <v>37486</v>
      </c>
      <c r="F5931" t="s">
        <v>37487</v>
      </c>
      <c r="G5931" t="s">
        <v>37488</v>
      </c>
      <c r="H5931" t="s">
        <v>37489</v>
      </c>
      <c r="I5931" t="s">
        <v>37490</v>
      </c>
      <c r="J5931" t="s">
        <v>37491</v>
      </c>
      <c r="K5931" t="s">
        <v>37492</v>
      </c>
      <c r="L5931" t="s">
        <v>37485</v>
      </c>
    </row>
    <row r="5932" spans="1:12" x14ac:dyDescent="0.25">
      <c r="A5932">
        <v>1058758</v>
      </c>
      <c r="B5932">
        <v>1249021</v>
      </c>
      <c r="D5932" t="s">
        <v>715</v>
      </c>
      <c r="E5932" t="s">
        <v>37494</v>
      </c>
      <c r="F5932" t="s">
        <v>37495</v>
      </c>
      <c r="G5932" t="s">
        <v>37496</v>
      </c>
      <c r="H5932" t="e" vm="2617">
        <f>_FV(0,"0008220297745329781")</f>
        <v>#VALUE!</v>
      </c>
      <c r="I5932" t="s">
        <v>37497</v>
      </c>
      <c r="J5932" t="s">
        <v>37498</v>
      </c>
      <c r="K5932" t="s">
        <v>37499</v>
      </c>
      <c r="L5932" t="s">
        <v>37493</v>
      </c>
    </row>
    <row r="5933" spans="1:12" x14ac:dyDescent="0.25">
      <c r="A5933">
        <v>1058793</v>
      </c>
      <c r="B5933">
        <v>1106850</v>
      </c>
      <c r="D5933">
        <v>0</v>
      </c>
      <c r="E5933" t="s">
        <v>37501</v>
      </c>
      <c r="F5933" t="s">
        <v>37502</v>
      </c>
      <c r="G5933" t="s">
        <v>37503</v>
      </c>
      <c r="H5933" t="e" vm="2618">
        <f>_FV(0,"0032716111996981146")</f>
        <v>#VALUE!</v>
      </c>
      <c r="I5933" t="s">
        <v>37504</v>
      </c>
      <c r="J5933" t="s">
        <v>37505</v>
      </c>
      <c r="K5933" t="s">
        <v>37506</v>
      </c>
      <c r="L5933" t="s">
        <v>37500</v>
      </c>
    </row>
    <row r="5934" spans="1:12" x14ac:dyDescent="0.25">
      <c r="A5934">
        <v>1058799</v>
      </c>
      <c r="B5934">
        <v>1058810</v>
      </c>
      <c r="D5934">
        <v>0</v>
      </c>
      <c r="E5934" t="s">
        <v>37508</v>
      </c>
      <c r="F5934" t="s">
        <v>37509</v>
      </c>
      <c r="G5934" t="s">
        <v>37510</v>
      </c>
      <c r="H5934" t="e" vm="2619">
        <f>_FV(0,"0007701980220855391")</f>
        <v>#VALUE!</v>
      </c>
      <c r="I5934" t="s">
        <v>37511</v>
      </c>
      <c r="J5934" t="s">
        <v>12</v>
      </c>
      <c r="K5934" t="s">
        <v>37512</v>
      </c>
      <c r="L5934" t="s">
        <v>37507</v>
      </c>
    </row>
    <row r="5935" spans="1:12" x14ac:dyDescent="0.25">
      <c r="A5935">
        <v>1058799</v>
      </c>
      <c r="B5935">
        <v>1307366</v>
      </c>
      <c r="D5935">
        <v>0</v>
      </c>
      <c r="E5935" t="s">
        <v>37514</v>
      </c>
      <c r="F5935" t="s">
        <v>37515</v>
      </c>
      <c r="G5935" t="s">
        <v>37516</v>
      </c>
      <c r="H5935" t="e" vm="2620">
        <f>_FV(0,"02420616780046635")</f>
        <v>#VALUE!</v>
      </c>
      <c r="I5935" t="s">
        <v>37517</v>
      </c>
      <c r="J5935" t="s">
        <v>37518</v>
      </c>
      <c r="K5935" t="s">
        <v>37519</v>
      </c>
      <c r="L5935" t="s">
        <v>37513</v>
      </c>
    </row>
    <row r="5936" spans="1:12" x14ac:dyDescent="0.25">
      <c r="A5936">
        <v>1058799</v>
      </c>
      <c r="B5936">
        <v>1610288</v>
      </c>
      <c r="D5936">
        <v>0</v>
      </c>
      <c r="E5936" t="s">
        <v>37521</v>
      </c>
      <c r="F5936" t="s">
        <v>37522</v>
      </c>
      <c r="G5936" t="s">
        <v>37523</v>
      </c>
      <c r="H5936" t="e" vm="2621">
        <f>_FV(0,"01184513541866839")</f>
        <v>#VALUE!</v>
      </c>
      <c r="I5936" t="s">
        <v>37524</v>
      </c>
      <c r="J5936" t="s">
        <v>37525</v>
      </c>
      <c r="K5936" t="s">
        <v>37526</v>
      </c>
      <c r="L5936" t="s">
        <v>37520</v>
      </c>
    </row>
    <row r="5937" spans="1:12" x14ac:dyDescent="0.25">
      <c r="A5937">
        <v>1058810</v>
      </c>
      <c r="B5937">
        <v>1610328</v>
      </c>
      <c r="D5937">
        <v>0</v>
      </c>
      <c r="E5937" t="s">
        <v>37528</v>
      </c>
      <c r="F5937" t="s">
        <v>37529</v>
      </c>
      <c r="G5937" t="s">
        <v>37530</v>
      </c>
      <c r="H5937" t="e" vm="2622">
        <f>_FV(0,"04876706407821657")</f>
        <v>#VALUE!</v>
      </c>
      <c r="I5937" t="s">
        <v>37531</v>
      </c>
      <c r="J5937" t="s">
        <v>37532</v>
      </c>
      <c r="K5937" t="s">
        <v>37533</v>
      </c>
      <c r="L5937" t="s">
        <v>37527</v>
      </c>
    </row>
    <row r="5938" spans="1:12" x14ac:dyDescent="0.25">
      <c r="A5938">
        <v>1058861</v>
      </c>
      <c r="B5938">
        <v>1569267</v>
      </c>
      <c r="D5938">
        <v>0</v>
      </c>
      <c r="F5938">
        <v>1779106</v>
      </c>
      <c r="G5938">
        <v>1569267</v>
      </c>
      <c r="H5938" t="e" vm="122">
        <f>_FV(0,"017")</f>
        <v>#VALUE!</v>
      </c>
      <c r="I5938">
        <v>1058861</v>
      </c>
      <c r="J5938" t="s">
        <v>1814</v>
      </c>
      <c r="K5938" t="s">
        <v>37534</v>
      </c>
      <c r="L5938" t="e" vm="122">
        <f>_FV(0,"017")</f>
        <v>#VALUE!</v>
      </c>
    </row>
    <row r="5939" spans="1:12" x14ac:dyDescent="0.25">
      <c r="A5939">
        <v>1058861</v>
      </c>
      <c r="B5939">
        <v>1059028</v>
      </c>
      <c r="D5939">
        <v>0</v>
      </c>
      <c r="E5939" t="s">
        <v>37536</v>
      </c>
      <c r="F5939" t="s">
        <v>37537</v>
      </c>
      <c r="G5939" t="s">
        <v>37538</v>
      </c>
      <c r="H5939" t="s">
        <v>37539</v>
      </c>
      <c r="I5939" t="s">
        <v>37540</v>
      </c>
      <c r="J5939" t="s">
        <v>37541</v>
      </c>
      <c r="K5939" t="s">
        <v>37542</v>
      </c>
      <c r="L5939" t="s">
        <v>37535</v>
      </c>
    </row>
    <row r="5940" spans="1:12" x14ac:dyDescent="0.25">
      <c r="A5940">
        <v>1058861</v>
      </c>
      <c r="B5940">
        <v>1569101</v>
      </c>
      <c r="D5940">
        <v>0</v>
      </c>
      <c r="E5940" t="s">
        <v>37544</v>
      </c>
      <c r="F5940" t="s">
        <v>37545</v>
      </c>
      <c r="G5940" t="s">
        <v>37546</v>
      </c>
      <c r="H5940" t="s">
        <v>37547</v>
      </c>
      <c r="I5940" t="s">
        <v>37548</v>
      </c>
      <c r="J5940" t="s">
        <v>25205</v>
      </c>
      <c r="K5940" t="s">
        <v>37549</v>
      </c>
      <c r="L5940" t="s">
        <v>37543</v>
      </c>
    </row>
    <row r="5941" spans="1:12" x14ac:dyDescent="0.25">
      <c r="A5941">
        <v>1058899</v>
      </c>
      <c r="B5941">
        <v>1058933</v>
      </c>
      <c r="D5941" t="s">
        <v>204</v>
      </c>
      <c r="E5941" t="s">
        <v>37551</v>
      </c>
      <c r="F5941" t="s">
        <v>37552</v>
      </c>
      <c r="G5941" t="s">
        <v>37553</v>
      </c>
      <c r="H5941" t="s">
        <v>37554</v>
      </c>
      <c r="I5941" t="s">
        <v>37555</v>
      </c>
      <c r="J5941" t="s">
        <v>37550</v>
      </c>
      <c r="K5941" t="s">
        <v>37556</v>
      </c>
      <c r="L5941" t="s">
        <v>37550</v>
      </c>
    </row>
    <row r="5942" spans="1:12" x14ac:dyDescent="0.25">
      <c r="A5942">
        <v>1058899</v>
      </c>
      <c r="B5942">
        <v>1569101</v>
      </c>
      <c r="D5942">
        <v>0</v>
      </c>
      <c r="E5942" t="s">
        <v>37558</v>
      </c>
      <c r="F5942" t="s">
        <v>37559</v>
      </c>
      <c r="G5942" t="s">
        <v>37560</v>
      </c>
      <c r="H5942" t="e" vm="2623">
        <f>_FV(0,"013762871185913586")</f>
        <v>#VALUE!</v>
      </c>
      <c r="I5942" t="s">
        <v>37561</v>
      </c>
      <c r="J5942" t="s">
        <v>37562</v>
      </c>
      <c r="K5942" t="s">
        <v>37563</v>
      </c>
      <c r="L5942" t="s">
        <v>37557</v>
      </c>
    </row>
    <row r="5943" spans="1:12" x14ac:dyDescent="0.25">
      <c r="A5943">
        <v>1058976</v>
      </c>
      <c r="B5943">
        <v>1058987</v>
      </c>
      <c r="D5943">
        <v>0</v>
      </c>
      <c r="E5943" t="s">
        <v>37565</v>
      </c>
      <c r="F5943" t="s">
        <v>37566</v>
      </c>
      <c r="G5943" t="s">
        <v>37567</v>
      </c>
      <c r="H5943" t="e" vm="2624">
        <f>_FV(0,"024815043668280194")</f>
        <v>#VALUE!</v>
      </c>
      <c r="I5943" t="s">
        <v>37568</v>
      </c>
      <c r="J5943" t="s">
        <v>37569</v>
      </c>
      <c r="K5943" t="s">
        <v>37570</v>
      </c>
      <c r="L5943" t="s">
        <v>37564</v>
      </c>
    </row>
    <row r="5944" spans="1:12" x14ac:dyDescent="0.25">
      <c r="A5944">
        <v>1058976</v>
      </c>
      <c r="B5944">
        <v>1448943</v>
      </c>
      <c r="C5944" t="s">
        <v>37572</v>
      </c>
      <c r="D5944" t="s">
        <v>37573</v>
      </c>
      <c r="E5944" t="s">
        <v>37574</v>
      </c>
      <c r="F5944" t="s">
        <v>37575</v>
      </c>
      <c r="G5944" t="s">
        <v>37576</v>
      </c>
      <c r="H5944" t="s">
        <v>37577</v>
      </c>
      <c r="I5944" t="s">
        <v>37578</v>
      </c>
      <c r="J5944" t="s">
        <v>37579</v>
      </c>
      <c r="K5944" t="s">
        <v>37580</v>
      </c>
      <c r="L5944" t="s">
        <v>37571</v>
      </c>
    </row>
    <row r="5945" spans="1:12" x14ac:dyDescent="0.25">
      <c r="A5945">
        <v>1058987</v>
      </c>
      <c r="B5945">
        <v>1059210</v>
      </c>
      <c r="D5945" t="s">
        <v>37582</v>
      </c>
      <c r="E5945" t="s">
        <v>37583</v>
      </c>
      <c r="F5945" t="s">
        <v>37584</v>
      </c>
      <c r="G5945" t="s">
        <v>37585</v>
      </c>
      <c r="H5945" t="s">
        <v>37586</v>
      </c>
      <c r="I5945" t="s">
        <v>37587</v>
      </c>
      <c r="J5945" t="s">
        <v>37588</v>
      </c>
      <c r="K5945" t="s">
        <v>37589</v>
      </c>
      <c r="L5945" t="s">
        <v>37581</v>
      </c>
    </row>
    <row r="5946" spans="1:12" x14ac:dyDescent="0.25">
      <c r="A5946">
        <v>1059028</v>
      </c>
      <c r="B5946">
        <v>1059046</v>
      </c>
      <c r="D5946">
        <v>0</v>
      </c>
      <c r="E5946" t="s">
        <v>37591</v>
      </c>
      <c r="F5946" t="s">
        <v>37592</v>
      </c>
      <c r="G5946" t="s">
        <v>37593</v>
      </c>
      <c r="H5946" t="e" vm="2625">
        <f>_FV(0,"013168176750623864")</f>
        <v>#VALUE!</v>
      </c>
      <c r="I5946" t="s">
        <v>37594</v>
      </c>
      <c r="J5946" t="s">
        <v>37595</v>
      </c>
      <c r="K5946" t="s">
        <v>37596</v>
      </c>
      <c r="L5946" t="s">
        <v>37590</v>
      </c>
    </row>
    <row r="5947" spans="1:12" x14ac:dyDescent="0.25">
      <c r="A5947">
        <v>1059028</v>
      </c>
      <c r="B5947">
        <v>1448901</v>
      </c>
      <c r="D5947" t="s">
        <v>37598</v>
      </c>
      <c r="E5947" t="s">
        <v>37599</v>
      </c>
      <c r="F5947" t="s">
        <v>37600</v>
      </c>
      <c r="G5947" t="s">
        <v>37601</v>
      </c>
      <c r="H5947" t="s">
        <v>37602</v>
      </c>
      <c r="I5947" t="s">
        <v>37603</v>
      </c>
      <c r="J5947" t="s">
        <v>37604</v>
      </c>
      <c r="K5947" t="s">
        <v>37605</v>
      </c>
      <c r="L5947" t="s">
        <v>37597</v>
      </c>
    </row>
    <row r="5948" spans="1:12" x14ac:dyDescent="0.25">
      <c r="A5948">
        <v>1059046</v>
      </c>
      <c r="B5948">
        <v>1059135</v>
      </c>
      <c r="C5948" t="s">
        <v>37607</v>
      </c>
      <c r="D5948" t="s">
        <v>6902</v>
      </c>
      <c r="E5948" t="s">
        <v>37608</v>
      </c>
      <c r="F5948" t="s">
        <v>37609</v>
      </c>
      <c r="G5948" t="s">
        <v>37610</v>
      </c>
      <c r="H5948" t="e" vm="2626">
        <f>_FV(0,"004191801913153557")</f>
        <v>#VALUE!</v>
      </c>
      <c r="I5948" t="s">
        <v>37611</v>
      </c>
      <c r="J5948" t="s">
        <v>37612</v>
      </c>
      <c r="K5948" t="s">
        <v>37613</v>
      </c>
      <c r="L5948" t="s">
        <v>37606</v>
      </c>
    </row>
    <row r="5949" spans="1:12" x14ac:dyDescent="0.25">
      <c r="A5949">
        <v>1059046</v>
      </c>
      <c r="B5949">
        <v>1569267</v>
      </c>
      <c r="D5949">
        <v>0</v>
      </c>
      <c r="E5949" t="s">
        <v>37615</v>
      </c>
      <c r="F5949" t="s">
        <v>37616</v>
      </c>
      <c r="G5949" t="s">
        <v>37617</v>
      </c>
      <c r="H5949" t="s">
        <v>37618</v>
      </c>
      <c r="I5949" t="s">
        <v>37619</v>
      </c>
      <c r="J5949" t="s">
        <v>37614</v>
      </c>
      <c r="K5949" t="s">
        <v>37620</v>
      </c>
      <c r="L5949" t="s">
        <v>37614</v>
      </c>
    </row>
    <row r="5950" spans="1:12" x14ac:dyDescent="0.25">
      <c r="A5950">
        <v>1059135</v>
      </c>
      <c r="B5950">
        <v>1059253</v>
      </c>
      <c r="D5950" t="s">
        <v>18083</v>
      </c>
      <c r="E5950" t="s">
        <v>37622</v>
      </c>
      <c r="F5950" t="s">
        <v>37623</v>
      </c>
      <c r="G5950" t="s">
        <v>37624</v>
      </c>
      <c r="H5950" t="s">
        <v>37625</v>
      </c>
      <c r="I5950" t="s">
        <v>37626</v>
      </c>
      <c r="J5950" t="s">
        <v>37627</v>
      </c>
      <c r="K5950" t="s">
        <v>37628</v>
      </c>
      <c r="L5950" t="s">
        <v>37621</v>
      </c>
    </row>
    <row r="5951" spans="1:12" x14ac:dyDescent="0.25">
      <c r="A5951">
        <v>1059135</v>
      </c>
      <c r="B5951">
        <v>1059152</v>
      </c>
      <c r="D5951" t="s">
        <v>6902</v>
      </c>
      <c r="E5951" t="s">
        <v>37630</v>
      </c>
      <c r="F5951" t="s">
        <v>37631</v>
      </c>
      <c r="G5951" t="s">
        <v>37632</v>
      </c>
      <c r="H5951" t="e" vm="2627">
        <f>_FV(0,"015189616098790047")</f>
        <v>#VALUE!</v>
      </c>
      <c r="I5951" t="s">
        <v>37633</v>
      </c>
      <c r="J5951" t="s">
        <v>37634</v>
      </c>
      <c r="K5951" t="s">
        <v>37635</v>
      </c>
      <c r="L5951" t="s">
        <v>37629</v>
      </c>
    </row>
    <row r="5952" spans="1:12" x14ac:dyDescent="0.25">
      <c r="A5952">
        <v>1059152</v>
      </c>
      <c r="B5952">
        <v>1059242</v>
      </c>
      <c r="D5952">
        <v>0</v>
      </c>
      <c r="F5952">
        <v>1690372</v>
      </c>
      <c r="G5952">
        <v>1059242</v>
      </c>
      <c r="H5952" t="s">
        <v>239</v>
      </c>
      <c r="I5952">
        <v>1059152</v>
      </c>
      <c r="J5952" t="s">
        <v>239</v>
      </c>
      <c r="K5952" t="s">
        <v>37636</v>
      </c>
      <c r="L5952" t="s">
        <v>239</v>
      </c>
    </row>
    <row r="5953" spans="1:12" x14ac:dyDescent="0.25">
      <c r="A5953">
        <v>1059152</v>
      </c>
      <c r="B5953">
        <v>1502689</v>
      </c>
      <c r="D5953">
        <v>0</v>
      </c>
      <c r="F5953">
        <v>1690364</v>
      </c>
      <c r="G5953">
        <v>1059152</v>
      </c>
      <c r="H5953" t="s">
        <v>6429</v>
      </c>
      <c r="I5953">
        <v>1502689</v>
      </c>
      <c r="J5953" t="s">
        <v>6429</v>
      </c>
      <c r="K5953" t="s">
        <v>37637</v>
      </c>
      <c r="L5953" t="s">
        <v>6429</v>
      </c>
    </row>
    <row r="5954" spans="1:12" x14ac:dyDescent="0.25">
      <c r="A5954">
        <v>1059203</v>
      </c>
      <c r="B5954">
        <v>1502721</v>
      </c>
      <c r="D5954">
        <v>0</v>
      </c>
      <c r="F5954">
        <v>1690468</v>
      </c>
      <c r="G5954">
        <v>1502721</v>
      </c>
      <c r="H5954" t="e" vm="1207">
        <f>_FV(0,"184")</f>
        <v>#VALUE!</v>
      </c>
      <c r="I5954">
        <v>1059203</v>
      </c>
      <c r="J5954" t="s">
        <v>17514</v>
      </c>
      <c r="K5954" t="s">
        <v>37638</v>
      </c>
      <c r="L5954" t="e" vm="1207">
        <f>_FV(0,"184")</f>
        <v>#VALUE!</v>
      </c>
    </row>
    <row r="5955" spans="1:12" x14ac:dyDescent="0.25">
      <c r="A5955">
        <v>1059203</v>
      </c>
      <c r="B5955">
        <v>1059210</v>
      </c>
      <c r="D5955" t="s">
        <v>5510</v>
      </c>
      <c r="E5955" t="s">
        <v>37640</v>
      </c>
      <c r="F5955" t="s">
        <v>37641</v>
      </c>
      <c r="G5955" t="s">
        <v>37642</v>
      </c>
      <c r="H5955" t="s">
        <v>37643</v>
      </c>
      <c r="I5955" t="s">
        <v>37644</v>
      </c>
      <c r="J5955" t="s">
        <v>37645</v>
      </c>
      <c r="K5955" t="s">
        <v>37646</v>
      </c>
      <c r="L5955" t="s">
        <v>37639</v>
      </c>
    </row>
    <row r="5956" spans="1:12" x14ac:dyDescent="0.25">
      <c r="A5956">
        <v>1059203</v>
      </c>
      <c r="B5956">
        <v>1059219</v>
      </c>
      <c r="D5956">
        <v>0</v>
      </c>
      <c r="E5956" t="s">
        <v>37648</v>
      </c>
      <c r="F5956" t="s">
        <v>37649</v>
      </c>
      <c r="G5956" t="s">
        <v>37650</v>
      </c>
      <c r="H5956" t="e" vm="2628">
        <f>_FV(0,"024971749817221632")</f>
        <v>#VALUE!</v>
      </c>
      <c r="I5956" t="s">
        <v>37651</v>
      </c>
      <c r="J5956" t="s">
        <v>37652</v>
      </c>
      <c r="K5956" t="s">
        <v>37653</v>
      </c>
      <c r="L5956" t="s">
        <v>37647</v>
      </c>
    </row>
    <row r="5957" spans="1:12" x14ac:dyDescent="0.25">
      <c r="A5957">
        <v>1059210</v>
      </c>
      <c r="B5957">
        <v>1059259</v>
      </c>
      <c r="D5957" t="s">
        <v>715</v>
      </c>
      <c r="E5957" t="s">
        <v>37655</v>
      </c>
      <c r="F5957" t="s">
        <v>37656</v>
      </c>
      <c r="G5957" t="s">
        <v>37657</v>
      </c>
      <c r="H5957" t="e" vm="2629">
        <f>_FV(0,"009496904314343893")</f>
        <v>#VALUE!</v>
      </c>
      <c r="I5957" t="s">
        <v>37658</v>
      </c>
      <c r="J5957" t="s">
        <v>37659</v>
      </c>
      <c r="K5957" t="s">
        <v>37660</v>
      </c>
      <c r="L5957" t="s">
        <v>37654</v>
      </c>
    </row>
    <row r="5958" spans="1:12" x14ac:dyDescent="0.25">
      <c r="A5958">
        <v>1059219</v>
      </c>
      <c r="B5958">
        <v>1059259</v>
      </c>
      <c r="D5958">
        <v>0</v>
      </c>
      <c r="E5958" t="s">
        <v>37662</v>
      </c>
      <c r="F5958" t="s">
        <v>37663</v>
      </c>
      <c r="G5958" t="s">
        <v>37664</v>
      </c>
      <c r="H5958" t="e" vm="2630">
        <f>_FV(0,"01936300175444072")</f>
        <v>#VALUE!</v>
      </c>
      <c r="I5958" t="s">
        <v>37665</v>
      </c>
      <c r="J5958" t="s">
        <v>37666</v>
      </c>
      <c r="K5958" t="s">
        <v>37667</v>
      </c>
      <c r="L5958" t="s">
        <v>37661</v>
      </c>
    </row>
    <row r="5959" spans="1:12" x14ac:dyDescent="0.25">
      <c r="A5959">
        <v>1059219</v>
      </c>
      <c r="B5959">
        <v>1500485</v>
      </c>
      <c r="D5959">
        <v>0</v>
      </c>
      <c r="E5959" t="s">
        <v>37669</v>
      </c>
      <c r="F5959" t="s">
        <v>37670</v>
      </c>
      <c r="G5959" t="s">
        <v>37671</v>
      </c>
      <c r="H5959" t="e" vm="2631">
        <f>_FV(0,"0037673729966938275")</f>
        <v>#VALUE!</v>
      </c>
      <c r="I5959" t="s">
        <v>37672</v>
      </c>
      <c r="J5959" t="s">
        <v>37673</v>
      </c>
      <c r="K5959" t="s">
        <v>37674</v>
      </c>
      <c r="L5959" t="s">
        <v>37668</v>
      </c>
    </row>
    <row r="5960" spans="1:12" x14ac:dyDescent="0.25">
      <c r="A5960">
        <v>1059242</v>
      </c>
      <c r="B5960">
        <v>1500456</v>
      </c>
      <c r="D5960">
        <v>0</v>
      </c>
      <c r="E5960" t="s">
        <v>37676</v>
      </c>
      <c r="F5960" t="s">
        <v>37677</v>
      </c>
      <c r="G5960" t="s">
        <v>37678</v>
      </c>
      <c r="H5960" t="e" vm="2632">
        <f>_FV(0,"008029032714839063")</f>
        <v>#VALUE!</v>
      </c>
      <c r="I5960" t="s">
        <v>37679</v>
      </c>
      <c r="J5960" t="s">
        <v>37680</v>
      </c>
      <c r="K5960" t="s">
        <v>37681</v>
      </c>
      <c r="L5960" t="s">
        <v>37675</v>
      </c>
    </row>
    <row r="5961" spans="1:12" x14ac:dyDescent="0.25">
      <c r="A5961">
        <v>1059242</v>
      </c>
      <c r="B5961">
        <v>1059253</v>
      </c>
      <c r="D5961">
        <v>0</v>
      </c>
      <c r="E5961" t="s">
        <v>37683</v>
      </c>
      <c r="F5961" t="s">
        <v>37684</v>
      </c>
      <c r="G5961" t="s">
        <v>37685</v>
      </c>
      <c r="H5961" t="s">
        <v>37686</v>
      </c>
      <c r="I5961" t="s">
        <v>37687</v>
      </c>
      <c r="J5961" t="s">
        <v>37688</v>
      </c>
      <c r="K5961" t="s">
        <v>37689</v>
      </c>
      <c r="L5961" t="s">
        <v>37682</v>
      </c>
    </row>
    <row r="5962" spans="1:12" x14ac:dyDescent="0.25">
      <c r="A5962">
        <v>1059253</v>
      </c>
      <c r="B5962">
        <v>1448019</v>
      </c>
      <c r="D5962">
        <v>0</v>
      </c>
      <c r="E5962" t="s">
        <v>37691</v>
      </c>
      <c r="F5962" t="s">
        <v>37692</v>
      </c>
      <c r="G5962" t="s">
        <v>37693</v>
      </c>
      <c r="H5962" t="s">
        <v>37694</v>
      </c>
      <c r="I5962" t="s">
        <v>37695</v>
      </c>
      <c r="J5962" t="s">
        <v>37696</v>
      </c>
      <c r="K5962" t="s">
        <v>37697</v>
      </c>
      <c r="L5962" t="s">
        <v>37690</v>
      </c>
    </row>
    <row r="5963" spans="1:12" x14ac:dyDescent="0.25">
      <c r="A5963">
        <v>1059259</v>
      </c>
      <c r="B5963">
        <v>1448013</v>
      </c>
      <c r="D5963">
        <v>0</v>
      </c>
      <c r="E5963" t="s">
        <v>37699</v>
      </c>
      <c r="F5963" t="s">
        <v>37700</v>
      </c>
      <c r="G5963" t="s">
        <v>37701</v>
      </c>
      <c r="H5963" t="s">
        <v>37702</v>
      </c>
      <c r="I5963" t="s">
        <v>37703</v>
      </c>
      <c r="J5963" t="s">
        <v>13887</v>
      </c>
      <c r="K5963" t="s">
        <v>37704</v>
      </c>
      <c r="L5963" t="s">
        <v>37698</v>
      </c>
    </row>
    <row r="5964" spans="1:12" x14ac:dyDescent="0.25">
      <c r="A5964">
        <v>1059381</v>
      </c>
      <c r="B5964">
        <v>1059389</v>
      </c>
      <c r="D5964">
        <v>0</v>
      </c>
      <c r="E5964" t="s">
        <v>37706</v>
      </c>
      <c r="F5964" t="s">
        <v>37707</v>
      </c>
      <c r="G5964" t="s">
        <v>37708</v>
      </c>
      <c r="H5964" t="e" vm="2633">
        <f>_FV(0,"009986073828588172")</f>
        <v>#VALUE!</v>
      </c>
      <c r="I5964" t="s">
        <v>37709</v>
      </c>
      <c r="J5964" t="s">
        <v>15463</v>
      </c>
      <c r="K5964" t="s">
        <v>37710</v>
      </c>
      <c r="L5964" t="s">
        <v>37705</v>
      </c>
    </row>
    <row r="5965" spans="1:12" x14ac:dyDescent="0.25">
      <c r="A5965">
        <v>1059381</v>
      </c>
      <c r="B5965">
        <v>1447896</v>
      </c>
      <c r="D5965">
        <v>0</v>
      </c>
      <c r="E5965" t="s">
        <v>37712</v>
      </c>
      <c r="F5965" t="s">
        <v>37713</v>
      </c>
      <c r="G5965" t="s">
        <v>37714</v>
      </c>
      <c r="H5965" t="e" vm="2634">
        <f>_FV(0,"07668823591408958")</f>
        <v>#VALUE!</v>
      </c>
      <c r="I5965" t="s">
        <v>37715</v>
      </c>
      <c r="J5965" t="s">
        <v>37716</v>
      </c>
      <c r="K5965" t="s">
        <v>37717</v>
      </c>
      <c r="L5965" t="s">
        <v>37711</v>
      </c>
    </row>
    <row r="5966" spans="1:12" x14ac:dyDescent="0.25">
      <c r="A5966">
        <v>1059381</v>
      </c>
      <c r="B5966">
        <v>1059395</v>
      </c>
      <c r="D5966">
        <v>1</v>
      </c>
      <c r="F5966">
        <v>1120453</v>
      </c>
      <c r="G5966">
        <v>1059381</v>
      </c>
      <c r="H5966" t="s">
        <v>2916</v>
      </c>
      <c r="I5966">
        <v>1059395</v>
      </c>
      <c r="J5966" t="s">
        <v>2916</v>
      </c>
      <c r="K5966" t="s">
        <v>37718</v>
      </c>
      <c r="L5966" t="s">
        <v>2916</v>
      </c>
    </row>
    <row r="5967" spans="1:12" x14ac:dyDescent="0.25">
      <c r="A5967">
        <v>1059389</v>
      </c>
      <c r="B5967">
        <v>1447896</v>
      </c>
      <c r="D5967">
        <v>0</v>
      </c>
      <c r="E5967" t="s">
        <v>37720</v>
      </c>
      <c r="F5967" t="s">
        <v>37721</v>
      </c>
      <c r="G5967" t="s">
        <v>37722</v>
      </c>
      <c r="H5967" t="e" vm="2635">
        <f>_FV(0,"12590156464319419")</f>
        <v>#VALUE!</v>
      </c>
      <c r="I5967" t="s">
        <v>37723</v>
      </c>
      <c r="J5967" t="s">
        <v>37724</v>
      </c>
      <c r="K5967" t="s">
        <v>37725</v>
      </c>
      <c r="L5967" t="s">
        <v>37719</v>
      </c>
    </row>
    <row r="5968" spans="1:12" x14ac:dyDescent="0.25">
      <c r="A5968">
        <v>1059389</v>
      </c>
      <c r="B5968">
        <v>1448006</v>
      </c>
      <c r="D5968">
        <v>0</v>
      </c>
      <c r="F5968">
        <v>1614770</v>
      </c>
      <c r="G5968">
        <v>1059389</v>
      </c>
      <c r="H5968" t="s">
        <v>30628</v>
      </c>
      <c r="I5968">
        <v>1448006</v>
      </c>
      <c r="J5968" t="s">
        <v>30628</v>
      </c>
      <c r="K5968" t="s">
        <v>37726</v>
      </c>
      <c r="L5968" t="s">
        <v>30628</v>
      </c>
    </row>
    <row r="5969" spans="1:12" x14ac:dyDescent="0.25">
      <c r="A5969">
        <v>1059392</v>
      </c>
      <c r="B5969">
        <v>1068920</v>
      </c>
      <c r="C5969" t="s">
        <v>37728</v>
      </c>
      <c r="D5969">
        <v>0</v>
      </c>
      <c r="E5969" t="s">
        <v>37729</v>
      </c>
      <c r="F5969" t="s">
        <v>37730</v>
      </c>
      <c r="G5969" t="s">
        <v>37731</v>
      </c>
      <c r="H5969" t="e" vm="2636">
        <f>_FV(0,"02986771214501561")</f>
        <v>#VALUE!</v>
      </c>
      <c r="I5969" t="s">
        <v>37732</v>
      </c>
      <c r="J5969" t="s">
        <v>37733</v>
      </c>
      <c r="K5969" t="s">
        <v>37734</v>
      </c>
      <c r="L5969" t="s">
        <v>37727</v>
      </c>
    </row>
    <row r="5970" spans="1:12" x14ac:dyDescent="0.25">
      <c r="A5970">
        <v>1059392</v>
      </c>
      <c r="B5970">
        <v>1059408</v>
      </c>
      <c r="D5970">
        <v>0</v>
      </c>
      <c r="E5970" t="s">
        <v>37735</v>
      </c>
      <c r="F5970" t="s">
        <v>37736</v>
      </c>
      <c r="G5970" t="s">
        <v>37737</v>
      </c>
      <c r="H5970" t="e" vm="2637">
        <f>_FV(0,"022515054903385255")</f>
        <v>#VALUE!</v>
      </c>
      <c r="I5970" t="s">
        <v>37738</v>
      </c>
      <c r="J5970" t="s">
        <v>7179</v>
      </c>
      <c r="K5970" t="s">
        <v>37739</v>
      </c>
      <c r="L5970" t="s">
        <v>7174</v>
      </c>
    </row>
    <row r="5971" spans="1:12" x14ac:dyDescent="0.25">
      <c r="A5971">
        <v>1059392</v>
      </c>
      <c r="B5971">
        <v>1359923</v>
      </c>
      <c r="D5971">
        <v>0</v>
      </c>
      <c r="E5971" t="s">
        <v>37741</v>
      </c>
      <c r="F5971" t="s">
        <v>37742</v>
      </c>
      <c r="G5971" t="s">
        <v>37743</v>
      </c>
      <c r="H5971" t="e" vm="2638">
        <f>_FV(0,"028839480418617957")</f>
        <v>#VALUE!</v>
      </c>
      <c r="I5971" t="s">
        <v>37744</v>
      </c>
      <c r="J5971" t="s">
        <v>37745</v>
      </c>
      <c r="K5971" t="s">
        <v>37746</v>
      </c>
      <c r="L5971" t="s">
        <v>37740</v>
      </c>
    </row>
    <row r="5972" spans="1:12" x14ac:dyDescent="0.25">
      <c r="A5972">
        <v>1059395</v>
      </c>
      <c r="B5972">
        <v>1447902</v>
      </c>
      <c r="D5972">
        <v>0</v>
      </c>
      <c r="E5972" t="s">
        <v>37748</v>
      </c>
      <c r="F5972" t="s">
        <v>37749</v>
      </c>
      <c r="G5972" t="s">
        <v>37750</v>
      </c>
      <c r="H5972" t="s">
        <v>37751</v>
      </c>
      <c r="I5972" t="s">
        <v>37752</v>
      </c>
      <c r="J5972" t="s">
        <v>37753</v>
      </c>
      <c r="K5972" t="s">
        <v>37754</v>
      </c>
      <c r="L5972" t="s">
        <v>37747</v>
      </c>
    </row>
    <row r="5973" spans="1:12" x14ac:dyDescent="0.25">
      <c r="A5973">
        <v>1059395</v>
      </c>
      <c r="B5973">
        <v>1447909</v>
      </c>
      <c r="D5973">
        <v>0</v>
      </c>
      <c r="E5973" t="s">
        <v>37756</v>
      </c>
      <c r="F5973" t="s">
        <v>37757</v>
      </c>
      <c r="G5973" t="s">
        <v>37758</v>
      </c>
      <c r="H5973" t="s">
        <v>37759</v>
      </c>
      <c r="I5973" t="s">
        <v>37760</v>
      </c>
      <c r="J5973" t="s">
        <v>37755</v>
      </c>
      <c r="K5973" t="s">
        <v>37761</v>
      </c>
      <c r="L5973" t="s">
        <v>37755</v>
      </c>
    </row>
    <row r="5974" spans="1:12" x14ac:dyDescent="0.25">
      <c r="A5974">
        <v>1059398</v>
      </c>
      <c r="B5974">
        <v>1068661</v>
      </c>
      <c r="D5974">
        <v>0</v>
      </c>
      <c r="E5974" t="s">
        <v>37763</v>
      </c>
      <c r="F5974" t="s">
        <v>37764</v>
      </c>
      <c r="G5974" t="s">
        <v>37765</v>
      </c>
      <c r="H5974" t="e" vm="2639">
        <f>_FV(0,"029327112381115752")</f>
        <v>#VALUE!</v>
      </c>
      <c r="I5974" t="s">
        <v>37766</v>
      </c>
      <c r="J5974" t="s">
        <v>37767</v>
      </c>
      <c r="K5974" t="s">
        <v>37768</v>
      </c>
      <c r="L5974" t="s">
        <v>37762</v>
      </c>
    </row>
    <row r="5975" spans="1:12" x14ac:dyDescent="0.25">
      <c r="A5975">
        <v>1059398</v>
      </c>
      <c r="B5975">
        <v>1059419</v>
      </c>
      <c r="D5975">
        <v>0</v>
      </c>
      <c r="E5975" t="s">
        <v>37769</v>
      </c>
      <c r="F5975" t="s">
        <v>37770</v>
      </c>
      <c r="G5975" t="s">
        <v>37771</v>
      </c>
      <c r="H5975" t="e" vm="2640">
        <f>_FV(0,"023497138037201905")</f>
        <v>#VALUE!</v>
      </c>
      <c r="I5975" t="s">
        <v>37772</v>
      </c>
      <c r="J5975" t="s">
        <v>20788</v>
      </c>
      <c r="K5975" t="s">
        <v>37773</v>
      </c>
      <c r="L5975" t="s">
        <v>20783</v>
      </c>
    </row>
    <row r="5976" spans="1:12" x14ac:dyDescent="0.25">
      <c r="A5976">
        <v>1059408</v>
      </c>
      <c r="B5976">
        <v>1359887</v>
      </c>
      <c r="D5976">
        <v>0</v>
      </c>
      <c r="E5976" t="s">
        <v>37775</v>
      </c>
      <c r="F5976" t="s">
        <v>37776</v>
      </c>
      <c r="G5976" t="s">
        <v>37777</v>
      </c>
      <c r="H5976" t="e" vm="2641">
        <f>_FV(0,"0002610061368368653")</f>
        <v>#VALUE!</v>
      </c>
      <c r="I5976" t="s">
        <v>37778</v>
      </c>
      <c r="J5976" t="s">
        <v>37779</v>
      </c>
      <c r="K5976" t="s">
        <v>37780</v>
      </c>
      <c r="L5976" t="s">
        <v>37774</v>
      </c>
    </row>
    <row r="5977" spans="1:12" x14ac:dyDescent="0.25">
      <c r="A5977">
        <v>1059408</v>
      </c>
      <c r="B5977">
        <v>1389205</v>
      </c>
      <c r="D5977">
        <v>0</v>
      </c>
      <c r="E5977" t="s">
        <v>37782</v>
      </c>
      <c r="F5977" t="s">
        <v>37783</v>
      </c>
      <c r="G5977" t="s">
        <v>37784</v>
      </c>
      <c r="H5977" t="e" vm="2642">
        <f>_FV(0,"012474209579432852")</f>
        <v>#VALUE!</v>
      </c>
      <c r="I5977" t="s">
        <v>37785</v>
      </c>
      <c r="J5977" t="s">
        <v>37786</v>
      </c>
      <c r="K5977" t="s">
        <v>37787</v>
      </c>
      <c r="L5977" t="s">
        <v>37781</v>
      </c>
    </row>
    <row r="5978" spans="1:12" x14ac:dyDescent="0.25">
      <c r="A5978">
        <v>1059419</v>
      </c>
      <c r="B5978">
        <v>1389205</v>
      </c>
      <c r="D5978">
        <v>0</v>
      </c>
      <c r="E5978" t="s">
        <v>37789</v>
      </c>
      <c r="F5978" t="s">
        <v>37790</v>
      </c>
      <c r="G5978" t="s">
        <v>37791</v>
      </c>
      <c r="H5978" t="e" vm="2643">
        <f>_FV(0,"009823525178056984")</f>
        <v>#VALUE!</v>
      </c>
      <c r="I5978" t="s">
        <v>37792</v>
      </c>
      <c r="J5978" t="s">
        <v>37793</v>
      </c>
      <c r="K5978" t="s">
        <v>37794</v>
      </c>
      <c r="L5978" t="s">
        <v>37788</v>
      </c>
    </row>
    <row r="5979" spans="1:12" x14ac:dyDescent="0.25">
      <c r="A5979">
        <v>1059506</v>
      </c>
      <c r="B5979">
        <v>1059507</v>
      </c>
      <c r="D5979">
        <v>0</v>
      </c>
      <c r="F5979">
        <v>1120564</v>
      </c>
      <c r="G5979">
        <v>1059507</v>
      </c>
      <c r="H5979" t="e" vm="215">
        <f>_FV(0,"02")</f>
        <v>#VALUE!</v>
      </c>
      <c r="I5979">
        <v>1059506</v>
      </c>
      <c r="J5979" t="s">
        <v>3317</v>
      </c>
      <c r="K5979" t="s">
        <v>37795</v>
      </c>
      <c r="L5979" t="e" vm="215">
        <f>_FV(0,"02")</f>
        <v>#VALUE!</v>
      </c>
    </row>
    <row r="5980" spans="1:12" x14ac:dyDescent="0.25">
      <c r="A5980">
        <v>1059506</v>
      </c>
      <c r="B5980">
        <v>1059578</v>
      </c>
      <c r="D5980">
        <v>0</v>
      </c>
      <c r="E5980" t="s">
        <v>37797</v>
      </c>
      <c r="F5980" t="s">
        <v>37798</v>
      </c>
      <c r="G5980" t="s">
        <v>37799</v>
      </c>
      <c r="H5980" t="s">
        <v>37800</v>
      </c>
      <c r="I5980" t="s">
        <v>37801</v>
      </c>
      <c r="J5980" t="s">
        <v>37796</v>
      </c>
      <c r="K5980" t="s">
        <v>37802</v>
      </c>
      <c r="L5980" t="s">
        <v>37796</v>
      </c>
    </row>
    <row r="5981" spans="1:12" x14ac:dyDescent="0.25">
      <c r="A5981">
        <v>1059506</v>
      </c>
      <c r="B5981">
        <v>1457447</v>
      </c>
      <c r="D5981">
        <v>0</v>
      </c>
      <c r="E5981" t="s">
        <v>37804</v>
      </c>
      <c r="F5981" t="s">
        <v>37805</v>
      </c>
      <c r="G5981" t="s">
        <v>37806</v>
      </c>
      <c r="H5981" t="s">
        <v>37807</v>
      </c>
      <c r="I5981" t="s">
        <v>37808</v>
      </c>
      <c r="J5981" t="s">
        <v>37809</v>
      </c>
      <c r="K5981" t="s">
        <v>37810</v>
      </c>
      <c r="L5981" t="s">
        <v>37803</v>
      </c>
    </row>
    <row r="5982" spans="1:12" x14ac:dyDescent="0.25">
      <c r="A5982">
        <v>1059507</v>
      </c>
      <c r="B5982">
        <v>1059571</v>
      </c>
      <c r="D5982">
        <v>0</v>
      </c>
      <c r="E5982" t="s">
        <v>37812</v>
      </c>
      <c r="F5982" t="s">
        <v>37813</v>
      </c>
      <c r="G5982" t="s">
        <v>37814</v>
      </c>
      <c r="H5982" t="e" vm="2644">
        <f>_FV(0,"015505088537073988")</f>
        <v>#VALUE!</v>
      </c>
      <c r="I5982" t="s">
        <v>37815</v>
      </c>
      <c r="J5982" t="s">
        <v>37816</v>
      </c>
      <c r="K5982" t="s">
        <v>37817</v>
      </c>
      <c r="L5982" t="s">
        <v>37811</v>
      </c>
    </row>
    <row r="5983" spans="1:12" x14ac:dyDescent="0.25">
      <c r="A5983">
        <v>1059507</v>
      </c>
      <c r="B5983">
        <v>1082487</v>
      </c>
      <c r="D5983" t="s">
        <v>514</v>
      </c>
      <c r="E5983" t="s">
        <v>37819</v>
      </c>
      <c r="F5983" t="s">
        <v>37820</v>
      </c>
      <c r="G5983" t="s">
        <v>37821</v>
      </c>
      <c r="H5983" t="e" vm="2645">
        <f>_FV(0,"0018412430772509548")</f>
        <v>#VALUE!</v>
      </c>
      <c r="I5983" t="s">
        <v>37822</v>
      </c>
      <c r="J5983" t="s">
        <v>37823</v>
      </c>
      <c r="K5983" t="s">
        <v>37824</v>
      </c>
      <c r="L5983" t="s">
        <v>37818</v>
      </c>
    </row>
    <row r="5984" spans="1:12" x14ac:dyDescent="0.25">
      <c r="A5984">
        <v>1059571</v>
      </c>
      <c r="B5984">
        <v>1059578</v>
      </c>
      <c r="D5984">
        <v>0</v>
      </c>
      <c r="F5984">
        <v>1120634</v>
      </c>
      <c r="G5984">
        <v>1059578</v>
      </c>
      <c r="H5984" t="s">
        <v>37825</v>
      </c>
      <c r="I5984">
        <v>1059571</v>
      </c>
      <c r="J5984" t="s">
        <v>37825</v>
      </c>
      <c r="K5984" t="s">
        <v>37826</v>
      </c>
      <c r="L5984" t="s">
        <v>37825</v>
      </c>
    </row>
    <row r="5985" spans="1:12" x14ac:dyDescent="0.25">
      <c r="A5985">
        <v>1059571</v>
      </c>
      <c r="B5985">
        <v>1059637</v>
      </c>
      <c r="D5985" t="s">
        <v>514</v>
      </c>
      <c r="E5985" t="s">
        <v>37828</v>
      </c>
      <c r="F5985" t="s">
        <v>37829</v>
      </c>
      <c r="G5985" t="s">
        <v>37830</v>
      </c>
      <c r="H5985" t="e" vm="2646">
        <f>_FV(0,"0064515402041316686")</f>
        <v>#VALUE!</v>
      </c>
      <c r="I5985" t="s">
        <v>37831</v>
      </c>
      <c r="J5985" t="s">
        <v>37832</v>
      </c>
      <c r="K5985" t="s">
        <v>37833</v>
      </c>
      <c r="L5985" t="s">
        <v>37827</v>
      </c>
    </row>
    <row r="5986" spans="1:12" x14ac:dyDescent="0.25">
      <c r="A5986">
        <v>1059578</v>
      </c>
      <c r="B5986">
        <v>1457447</v>
      </c>
      <c r="D5986">
        <v>0</v>
      </c>
      <c r="E5986" t="s">
        <v>37835</v>
      </c>
      <c r="F5986" t="s">
        <v>37836</v>
      </c>
      <c r="G5986" t="s">
        <v>37837</v>
      </c>
      <c r="H5986" t="s">
        <v>37838</v>
      </c>
      <c r="I5986" t="s">
        <v>37839</v>
      </c>
      <c r="J5986" t="s">
        <v>37840</v>
      </c>
      <c r="K5986" t="s">
        <v>37841</v>
      </c>
      <c r="L5986" t="s">
        <v>37834</v>
      </c>
    </row>
    <row r="5987" spans="1:12" x14ac:dyDescent="0.25">
      <c r="A5987">
        <v>1059637</v>
      </c>
      <c r="B5987">
        <v>1082487</v>
      </c>
      <c r="D5987" t="s">
        <v>37843</v>
      </c>
      <c r="E5987" t="s">
        <v>37844</v>
      </c>
      <c r="F5987" t="s">
        <v>37845</v>
      </c>
      <c r="G5987" t="s">
        <v>37846</v>
      </c>
      <c r="H5987" t="s">
        <v>37847</v>
      </c>
      <c r="I5987" t="s">
        <v>37848</v>
      </c>
      <c r="J5987" t="s">
        <v>37849</v>
      </c>
      <c r="K5987" t="s">
        <v>37850</v>
      </c>
      <c r="L5987" t="s">
        <v>37842</v>
      </c>
    </row>
    <row r="5988" spans="1:12" x14ac:dyDescent="0.25">
      <c r="A5988">
        <v>1059637</v>
      </c>
      <c r="B5988">
        <v>1059736</v>
      </c>
      <c r="C5988" t="s">
        <v>37852</v>
      </c>
      <c r="D5988">
        <v>0</v>
      </c>
      <c r="E5988" t="s">
        <v>37853</v>
      </c>
      <c r="F5988" t="s">
        <v>37854</v>
      </c>
      <c r="G5988" t="s">
        <v>37855</v>
      </c>
      <c r="H5988" t="s">
        <v>37856</v>
      </c>
      <c r="I5988" t="s">
        <v>37857</v>
      </c>
      <c r="J5988" t="s">
        <v>37858</v>
      </c>
      <c r="K5988" t="s">
        <v>37859</v>
      </c>
      <c r="L5988" t="s">
        <v>37851</v>
      </c>
    </row>
    <row r="5989" spans="1:12" x14ac:dyDescent="0.25">
      <c r="A5989">
        <v>1059644</v>
      </c>
      <c r="B5989">
        <v>1082364</v>
      </c>
      <c r="D5989" t="s">
        <v>10659</v>
      </c>
      <c r="E5989" t="s">
        <v>37861</v>
      </c>
      <c r="F5989" t="s">
        <v>37862</v>
      </c>
      <c r="G5989" t="s">
        <v>37863</v>
      </c>
      <c r="H5989" t="s">
        <v>37864</v>
      </c>
      <c r="I5989" t="s">
        <v>37865</v>
      </c>
      <c r="J5989" t="s">
        <v>37866</v>
      </c>
      <c r="K5989" t="s">
        <v>37867</v>
      </c>
      <c r="L5989" t="s">
        <v>37860</v>
      </c>
    </row>
    <row r="5990" spans="1:12" x14ac:dyDescent="0.25">
      <c r="A5990">
        <v>1059644</v>
      </c>
      <c r="B5990">
        <v>1834993</v>
      </c>
      <c r="D5990" t="s">
        <v>5007</v>
      </c>
      <c r="E5990" t="s">
        <v>37869</v>
      </c>
      <c r="F5990" t="s">
        <v>37870</v>
      </c>
      <c r="G5990" t="s">
        <v>37871</v>
      </c>
      <c r="H5990" t="s">
        <v>37872</v>
      </c>
      <c r="I5990" t="s">
        <v>37873</v>
      </c>
      <c r="J5990" t="s">
        <v>37868</v>
      </c>
      <c r="K5990" t="s">
        <v>37874</v>
      </c>
      <c r="L5990" t="s">
        <v>37868</v>
      </c>
    </row>
    <row r="5991" spans="1:12" x14ac:dyDescent="0.25">
      <c r="A5991">
        <v>1059736</v>
      </c>
      <c r="B5991">
        <v>1148454</v>
      </c>
      <c r="D5991" t="s">
        <v>963</v>
      </c>
      <c r="E5991" t="s">
        <v>37876</v>
      </c>
      <c r="F5991" t="s">
        <v>37877</v>
      </c>
      <c r="G5991" t="s">
        <v>37878</v>
      </c>
      <c r="H5991" t="e" vm="2647">
        <f>_FV(0,"005661065409280841")</f>
        <v>#VALUE!</v>
      </c>
      <c r="I5991" t="s">
        <v>37879</v>
      </c>
      <c r="J5991" t="s">
        <v>37880</v>
      </c>
      <c r="K5991" t="s">
        <v>37881</v>
      </c>
      <c r="L5991" t="s">
        <v>37875</v>
      </c>
    </row>
    <row r="5992" spans="1:12" x14ac:dyDescent="0.25">
      <c r="A5992">
        <v>1059736</v>
      </c>
      <c r="B5992">
        <v>1835047</v>
      </c>
      <c r="D5992" t="s">
        <v>37883</v>
      </c>
      <c r="E5992" t="s">
        <v>37884</v>
      </c>
      <c r="F5992" t="s">
        <v>37885</v>
      </c>
      <c r="G5992" t="s">
        <v>37886</v>
      </c>
      <c r="H5992" t="s">
        <v>37887</v>
      </c>
      <c r="I5992" t="s">
        <v>37888</v>
      </c>
      <c r="J5992" t="s">
        <v>37882</v>
      </c>
      <c r="K5992" t="s">
        <v>37889</v>
      </c>
      <c r="L5992" t="s">
        <v>37882</v>
      </c>
    </row>
    <row r="5993" spans="1:12" x14ac:dyDescent="0.25">
      <c r="A5993">
        <v>1062663</v>
      </c>
      <c r="B5993">
        <v>1062746</v>
      </c>
      <c r="D5993">
        <v>0</v>
      </c>
      <c r="E5993" t="s">
        <v>37891</v>
      </c>
      <c r="F5993" t="s">
        <v>37892</v>
      </c>
      <c r="G5993" t="s">
        <v>37893</v>
      </c>
      <c r="H5993" t="s">
        <v>37894</v>
      </c>
      <c r="I5993" t="s">
        <v>37895</v>
      </c>
      <c r="J5993" t="s">
        <v>37890</v>
      </c>
      <c r="K5993" t="s">
        <v>37896</v>
      </c>
      <c r="L5993" t="s">
        <v>37890</v>
      </c>
    </row>
    <row r="5994" spans="1:12" x14ac:dyDescent="0.25">
      <c r="A5994">
        <v>1062663</v>
      </c>
      <c r="B5994">
        <v>1062794</v>
      </c>
      <c r="D5994">
        <v>0</v>
      </c>
      <c r="E5994" t="s">
        <v>37897</v>
      </c>
      <c r="F5994" t="s">
        <v>37898</v>
      </c>
      <c r="G5994" t="s">
        <v>37899</v>
      </c>
      <c r="H5994" t="s">
        <v>37900</v>
      </c>
      <c r="I5994" t="s">
        <v>37901</v>
      </c>
      <c r="J5994" t="s">
        <v>6726</v>
      </c>
      <c r="K5994" t="s">
        <v>37902</v>
      </c>
      <c r="L5994" t="s">
        <v>6726</v>
      </c>
    </row>
    <row r="5995" spans="1:12" x14ac:dyDescent="0.25">
      <c r="A5995">
        <v>1062663</v>
      </c>
      <c r="B5995">
        <v>1259467</v>
      </c>
      <c r="C5995" t="s">
        <v>37904</v>
      </c>
      <c r="D5995" t="s">
        <v>37905</v>
      </c>
      <c r="E5995" t="s">
        <v>37906</v>
      </c>
      <c r="F5995" t="s">
        <v>37907</v>
      </c>
      <c r="G5995" t="s">
        <v>37908</v>
      </c>
      <c r="H5995" t="e" vm="2648">
        <f>_FV(0,"0022545426662892577")</f>
        <v>#VALUE!</v>
      </c>
      <c r="I5995" t="s">
        <v>37909</v>
      </c>
      <c r="J5995" t="s">
        <v>37910</v>
      </c>
      <c r="K5995" t="s">
        <v>37911</v>
      </c>
      <c r="L5995" t="s">
        <v>37903</v>
      </c>
    </row>
    <row r="5996" spans="1:12" x14ac:dyDescent="0.25">
      <c r="A5996">
        <v>1062678</v>
      </c>
      <c r="B5996">
        <v>1063028</v>
      </c>
      <c r="D5996" t="s">
        <v>204</v>
      </c>
      <c r="E5996" t="s">
        <v>37913</v>
      </c>
      <c r="F5996" t="s">
        <v>37914</v>
      </c>
      <c r="G5996" t="s">
        <v>37915</v>
      </c>
      <c r="H5996" t="s">
        <v>37916</v>
      </c>
      <c r="I5996" t="s">
        <v>37917</v>
      </c>
      <c r="J5996" t="s">
        <v>37912</v>
      </c>
      <c r="K5996" t="s">
        <v>37918</v>
      </c>
      <c r="L5996" t="s">
        <v>37912</v>
      </c>
    </row>
    <row r="5997" spans="1:12" x14ac:dyDescent="0.25">
      <c r="A5997">
        <v>1062678</v>
      </c>
      <c r="B5997">
        <v>1062985</v>
      </c>
      <c r="D5997" t="s">
        <v>257</v>
      </c>
      <c r="E5997" t="s">
        <v>37920</v>
      </c>
      <c r="F5997" t="s">
        <v>37921</v>
      </c>
      <c r="G5997" t="s">
        <v>37922</v>
      </c>
      <c r="H5997" t="s">
        <v>37923</v>
      </c>
      <c r="I5997" t="s">
        <v>37924</v>
      </c>
      <c r="J5997" t="s">
        <v>37919</v>
      </c>
      <c r="K5997" t="s">
        <v>37925</v>
      </c>
      <c r="L5997" t="s">
        <v>37919</v>
      </c>
    </row>
    <row r="5998" spans="1:12" x14ac:dyDescent="0.25">
      <c r="A5998">
        <v>1062678</v>
      </c>
      <c r="B5998">
        <v>1062746</v>
      </c>
      <c r="C5998" t="s">
        <v>37927</v>
      </c>
      <c r="D5998" t="s">
        <v>27470</v>
      </c>
      <c r="E5998" t="s">
        <v>37928</v>
      </c>
      <c r="F5998" t="s">
        <v>37929</v>
      </c>
      <c r="G5998" t="s">
        <v>37930</v>
      </c>
      <c r="H5998" t="e" vm="2649">
        <f>_FV(0,"009004241550320796")</f>
        <v>#VALUE!</v>
      </c>
      <c r="I5998" t="s">
        <v>37931</v>
      </c>
      <c r="J5998" t="s">
        <v>37932</v>
      </c>
      <c r="K5998" t="s">
        <v>37933</v>
      </c>
      <c r="L5998" t="s">
        <v>37926</v>
      </c>
    </row>
    <row r="5999" spans="1:12" x14ac:dyDescent="0.25">
      <c r="A5999">
        <v>1062685</v>
      </c>
      <c r="B5999">
        <v>1062692</v>
      </c>
      <c r="D5999">
        <v>0</v>
      </c>
      <c r="E5999" t="s">
        <v>37934</v>
      </c>
      <c r="F5999" t="s">
        <v>37935</v>
      </c>
      <c r="G5999" t="s">
        <v>37936</v>
      </c>
      <c r="H5999" t="s">
        <v>37937</v>
      </c>
      <c r="I5999" t="s">
        <v>37938</v>
      </c>
      <c r="J5999" t="s">
        <v>7556</v>
      </c>
      <c r="K5999" t="s">
        <v>37939</v>
      </c>
      <c r="L5999" t="s">
        <v>7556</v>
      </c>
    </row>
    <row r="6000" spans="1:12" x14ac:dyDescent="0.25">
      <c r="A6000">
        <v>1062685</v>
      </c>
      <c r="B6000">
        <v>1062743</v>
      </c>
      <c r="D6000">
        <v>0</v>
      </c>
      <c r="E6000" t="s">
        <v>37941</v>
      </c>
      <c r="F6000" t="s">
        <v>37942</v>
      </c>
      <c r="G6000" t="s">
        <v>37943</v>
      </c>
      <c r="H6000" t="s">
        <v>37944</v>
      </c>
      <c r="I6000" t="s">
        <v>37945</v>
      </c>
      <c r="J6000" t="s">
        <v>37940</v>
      </c>
      <c r="K6000" t="s">
        <v>37946</v>
      </c>
      <c r="L6000" t="s">
        <v>37940</v>
      </c>
    </row>
    <row r="6001" spans="1:12" x14ac:dyDescent="0.25">
      <c r="A6001">
        <v>1062685</v>
      </c>
      <c r="B6001">
        <v>1063028</v>
      </c>
      <c r="D6001">
        <v>0</v>
      </c>
      <c r="F6001">
        <v>1124435</v>
      </c>
      <c r="G6001">
        <v>1062685</v>
      </c>
      <c r="H6001" t="s">
        <v>12</v>
      </c>
      <c r="I6001">
        <v>1063028</v>
      </c>
      <c r="J6001" t="s">
        <v>12</v>
      </c>
      <c r="K6001" t="s">
        <v>37947</v>
      </c>
      <c r="L6001" t="s">
        <v>12</v>
      </c>
    </row>
    <row r="6002" spans="1:12" x14ac:dyDescent="0.25">
      <c r="A6002">
        <v>1062692</v>
      </c>
      <c r="B6002">
        <v>1062883</v>
      </c>
      <c r="D6002">
        <v>0</v>
      </c>
      <c r="E6002" t="s">
        <v>37949</v>
      </c>
      <c r="F6002" t="s">
        <v>37950</v>
      </c>
      <c r="G6002" t="s">
        <v>37951</v>
      </c>
      <c r="H6002" t="s">
        <v>37952</v>
      </c>
      <c r="I6002" t="s">
        <v>37953</v>
      </c>
      <c r="J6002" t="s">
        <v>37954</v>
      </c>
      <c r="K6002" t="s">
        <v>37955</v>
      </c>
      <c r="L6002" t="s">
        <v>37948</v>
      </c>
    </row>
    <row r="6003" spans="1:12" x14ac:dyDescent="0.25">
      <c r="A6003">
        <v>1062692</v>
      </c>
      <c r="B6003">
        <v>1062743</v>
      </c>
      <c r="D6003">
        <v>0</v>
      </c>
      <c r="E6003" t="s">
        <v>37957</v>
      </c>
      <c r="F6003" t="s">
        <v>37958</v>
      </c>
      <c r="G6003" t="s">
        <v>37959</v>
      </c>
      <c r="H6003" t="e" vm="2650">
        <f>_FV(0,"0027874221467344296")</f>
        <v>#VALUE!</v>
      </c>
      <c r="I6003" t="s">
        <v>37960</v>
      </c>
      <c r="J6003" t="s">
        <v>20290</v>
      </c>
      <c r="K6003" t="s">
        <v>37961</v>
      </c>
      <c r="L6003" t="s">
        <v>37956</v>
      </c>
    </row>
    <row r="6004" spans="1:12" x14ac:dyDescent="0.25">
      <c r="A6004">
        <v>1062704</v>
      </c>
      <c r="B6004">
        <v>1062776</v>
      </c>
      <c r="D6004">
        <v>0</v>
      </c>
      <c r="E6004" t="s">
        <v>37963</v>
      </c>
      <c r="F6004" t="s">
        <v>37964</v>
      </c>
      <c r="G6004" t="s">
        <v>37965</v>
      </c>
      <c r="H6004" t="s">
        <v>37966</v>
      </c>
      <c r="I6004" t="s">
        <v>37967</v>
      </c>
      <c r="J6004" t="s">
        <v>37968</v>
      </c>
      <c r="K6004" t="s">
        <v>37969</v>
      </c>
      <c r="L6004" t="s">
        <v>37962</v>
      </c>
    </row>
    <row r="6005" spans="1:12" x14ac:dyDescent="0.25">
      <c r="A6005">
        <v>1062704</v>
      </c>
      <c r="B6005">
        <v>1062726</v>
      </c>
      <c r="D6005">
        <v>0</v>
      </c>
      <c r="E6005" t="s">
        <v>37971</v>
      </c>
      <c r="F6005" t="s">
        <v>37972</v>
      </c>
      <c r="G6005" t="s">
        <v>37973</v>
      </c>
      <c r="H6005" t="s">
        <v>37974</v>
      </c>
      <c r="I6005" t="s">
        <v>37975</v>
      </c>
      <c r="J6005" t="s">
        <v>37970</v>
      </c>
      <c r="K6005" t="s">
        <v>37976</v>
      </c>
      <c r="L6005" t="s">
        <v>37970</v>
      </c>
    </row>
    <row r="6006" spans="1:12" x14ac:dyDescent="0.25">
      <c r="A6006">
        <v>1062704</v>
      </c>
      <c r="B6006">
        <v>1064864</v>
      </c>
      <c r="D6006" t="s">
        <v>37978</v>
      </c>
      <c r="E6006" t="s">
        <v>37979</v>
      </c>
      <c r="F6006" t="s">
        <v>37980</v>
      </c>
      <c r="G6006" t="s">
        <v>37981</v>
      </c>
      <c r="H6006" t="e" vm="2651">
        <f>_FV(0,"0022054275708298715")</f>
        <v>#VALUE!</v>
      </c>
      <c r="I6006" t="s">
        <v>37982</v>
      </c>
      <c r="J6006" t="s">
        <v>37983</v>
      </c>
      <c r="K6006" t="s">
        <v>37984</v>
      </c>
      <c r="L6006" t="s">
        <v>37977</v>
      </c>
    </row>
    <row r="6007" spans="1:12" x14ac:dyDescent="0.25">
      <c r="A6007">
        <v>1062726</v>
      </c>
      <c r="B6007">
        <v>1064048</v>
      </c>
      <c r="D6007">
        <v>0</v>
      </c>
      <c r="F6007">
        <v>1125989</v>
      </c>
      <c r="G6007">
        <v>1064048</v>
      </c>
      <c r="H6007" t="s">
        <v>239</v>
      </c>
      <c r="I6007">
        <v>1062726</v>
      </c>
      <c r="J6007" t="s">
        <v>239</v>
      </c>
      <c r="K6007" t="s">
        <v>37985</v>
      </c>
      <c r="L6007" t="s">
        <v>239</v>
      </c>
    </row>
    <row r="6008" spans="1:12" x14ac:dyDescent="0.25">
      <c r="A6008">
        <v>1062726</v>
      </c>
      <c r="B6008">
        <v>1063583</v>
      </c>
      <c r="D6008">
        <v>0</v>
      </c>
      <c r="E6008" t="s">
        <v>37987</v>
      </c>
      <c r="F6008" t="s">
        <v>37988</v>
      </c>
      <c r="G6008" t="s">
        <v>37989</v>
      </c>
      <c r="H6008" t="s">
        <v>37990</v>
      </c>
      <c r="I6008" t="s">
        <v>37991</v>
      </c>
      <c r="J6008" t="s">
        <v>37986</v>
      </c>
      <c r="K6008" t="s">
        <v>37992</v>
      </c>
      <c r="L6008" t="s">
        <v>37986</v>
      </c>
    </row>
    <row r="6009" spans="1:12" x14ac:dyDescent="0.25">
      <c r="A6009">
        <v>1062743</v>
      </c>
      <c r="B6009">
        <v>1062865</v>
      </c>
      <c r="D6009">
        <v>0</v>
      </c>
      <c r="F6009">
        <v>1125634</v>
      </c>
      <c r="G6009">
        <v>1062743</v>
      </c>
      <c r="H6009" t="e" vm="19">
        <f>_FV(0,"036")</f>
        <v>#VALUE!</v>
      </c>
      <c r="I6009">
        <v>1062865</v>
      </c>
      <c r="J6009" t="s">
        <v>279</v>
      </c>
      <c r="K6009" t="s">
        <v>37993</v>
      </c>
      <c r="L6009" t="e" vm="19">
        <f>_FV(0,"036")</f>
        <v>#VALUE!</v>
      </c>
    </row>
    <row r="6010" spans="1:12" x14ac:dyDescent="0.25">
      <c r="A6010">
        <v>1062746</v>
      </c>
      <c r="B6010">
        <v>1062794</v>
      </c>
      <c r="D6010">
        <v>0</v>
      </c>
      <c r="E6010" t="s">
        <v>37995</v>
      </c>
      <c r="F6010" t="s">
        <v>37996</v>
      </c>
      <c r="G6010" t="s">
        <v>37997</v>
      </c>
      <c r="H6010" t="e" vm="2652">
        <f>_FV(0,"01392980023589823")</f>
        <v>#VALUE!</v>
      </c>
      <c r="I6010" t="s">
        <v>37998</v>
      </c>
      <c r="J6010" t="s">
        <v>37999</v>
      </c>
      <c r="K6010" t="s">
        <v>38000</v>
      </c>
      <c r="L6010" t="s">
        <v>37994</v>
      </c>
    </row>
    <row r="6011" spans="1:12" x14ac:dyDescent="0.25">
      <c r="A6011">
        <v>1062751</v>
      </c>
      <c r="B6011">
        <v>1062778</v>
      </c>
      <c r="D6011">
        <v>0</v>
      </c>
      <c r="E6011" t="s">
        <v>38002</v>
      </c>
      <c r="F6011" t="s">
        <v>38003</v>
      </c>
      <c r="G6011" t="s">
        <v>38004</v>
      </c>
      <c r="H6011" t="s">
        <v>38005</v>
      </c>
      <c r="I6011" t="s">
        <v>38006</v>
      </c>
      <c r="J6011" t="s">
        <v>38001</v>
      </c>
      <c r="K6011" t="s">
        <v>38007</v>
      </c>
      <c r="L6011" t="s">
        <v>38001</v>
      </c>
    </row>
    <row r="6012" spans="1:12" x14ac:dyDescent="0.25">
      <c r="A6012">
        <v>1062751</v>
      </c>
      <c r="B6012">
        <v>1062825</v>
      </c>
      <c r="D6012">
        <v>0</v>
      </c>
      <c r="E6012" t="s">
        <v>38009</v>
      </c>
      <c r="F6012" t="s">
        <v>38010</v>
      </c>
      <c r="G6012" t="s">
        <v>38011</v>
      </c>
      <c r="H6012" t="s">
        <v>38012</v>
      </c>
      <c r="I6012" t="s">
        <v>38013</v>
      </c>
      <c r="J6012" t="s">
        <v>38008</v>
      </c>
      <c r="K6012" t="s">
        <v>38014</v>
      </c>
      <c r="L6012" t="s">
        <v>38008</v>
      </c>
    </row>
    <row r="6013" spans="1:12" x14ac:dyDescent="0.25">
      <c r="A6013">
        <v>1062751</v>
      </c>
      <c r="B6013">
        <v>1062787</v>
      </c>
      <c r="D6013" t="s">
        <v>204</v>
      </c>
      <c r="E6013" t="s">
        <v>38016</v>
      </c>
      <c r="F6013" t="s">
        <v>38017</v>
      </c>
      <c r="G6013" t="s">
        <v>38018</v>
      </c>
      <c r="H6013" t="e" vm="2653">
        <f>_FV(0,"008716993195776967")</f>
        <v>#VALUE!</v>
      </c>
      <c r="I6013" t="s">
        <v>38019</v>
      </c>
      <c r="J6013" t="s">
        <v>38020</v>
      </c>
      <c r="K6013" t="s">
        <v>38021</v>
      </c>
      <c r="L6013" t="s">
        <v>38015</v>
      </c>
    </row>
    <row r="6014" spans="1:12" x14ac:dyDescent="0.25">
      <c r="A6014">
        <v>1062776</v>
      </c>
      <c r="B6014">
        <v>1062934</v>
      </c>
      <c r="D6014" t="s">
        <v>38023</v>
      </c>
      <c r="E6014" t="s">
        <v>38024</v>
      </c>
      <c r="F6014" t="s">
        <v>38025</v>
      </c>
      <c r="G6014" t="s">
        <v>38026</v>
      </c>
      <c r="H6014" t="e" vm="2654">
        <f>_FV(0,"00850409019326183")</f>
        <v>#VALUE!</v>
      </c>
      <c r="I6014" t="s">
        <v>38027</v>
      </c>
      <c r="J6014" t="s">
        <v>38028</v>
      </c>
      <c r="K6014" t="s">
        <v>38029</v>
      </c>
      <c r="L6014" t="s">
        <v>38022</v>
      </c>
    </row>
    <row r="6015" spans="1:12" x14ac:dyDescent="0.25">
      <c r="A6015">
        <v>1062776</v>
      </c>
      <c r="B6015">
        <v>1064048</v>
      </c>
      <c r="D6015">
        <v>0</v>
      </c>
      <c r="E6015" t="s">
        <v>38031</v>
      </c>
      <c r="F6015" t="s">
        <v>38032</v>
      </c>
      <c r="G6015" t="s">
        <v>38033</v>
      </c>
      <c r="H6015" t="e" vm="2655">
        <f>_FV(0,"03973411938858406")</f>
        <v>#VALUE!</v>
      </c>
      <c r="I6015" t="s">
        <v>38034</v>
      </c>
      <c r="J6015" t="s">
        <v>38035</v>
      </c>
      <c r="K6015" t="s">
        <v>38036</v>
      </c>
      <c r="L6015" t="s">
        <v>38030</v>
      </c>
    </row>
    <row r="6016" spans="1:12" x14ac:dyDescent="0.25">
      <c r="A6016">
        <v>1062778</v>
      </c>
      <c r="B6016">
        <v>1062825</v>
      </c>
      <c r="D6016">
        <v>0</v>
      </c>
      <c r="E6016" t="s">
        <v>38038</v>
      </c>
      <c r="F6016" t="s">
        <v>38039</v>
      </c>
      <c r="G6016" t="s">
        <v>38040</v>
      </c>
      <c r="H6016" t="s">
        <v>38041</v>
      </c>
      <c r="I6016" t="s">
        <v>38042</v>
      </c>
      <c r="J6016" t="s">
        <v>38037</v>
      </c>
      <c r="K6016" t="s">
        <v>38043</v>
      </c>
      <c r="L6016" t="s">
        <v>38037</v>
      </c>
    </row>
    <row r="6017" spans="1:12" x14ac:dyDescent="0.25">
      <c r="A6017">
        <v>1062778</v>
      </c>
      <c r="B6017">
        <v>1063102</v>
      </c>
      <c r="D6017">
        <v>0</v>
      </c>
      <c r="F6017">
        <v>1125813</v>
      </c>
      <c r="G6017">
        <v>1062778</v>
      </c>
      <c r="H6017" t="s">
        <v>226</v>
      </c>
      <c r="I6017">
        <v>1063102</v>
      </c>
      <c r="J6017" t="s">
        <v>226</v>
      </c>
      <c r="K6017" t="s">
        <v>38044</v>
      </c>
      <c r="L6017" t="s">
        <v>226</v>
      </c>
    </row>
    <row r="6018" spans="1:12" x14ac:dyDescent="0.25">
      <c r="A6018">
        <v>1062787</v>
      </c>
      <c r="B6018">
        <v>1062865</v>
      </c>
      <c r="D6018">
        <v>0</v>
      </c>
      <c r="E6018" t="s">
        <v>38046</v>
      </c>
      <c r="F6018" t="s">
        <v>38047</v>
      </c>
      <c r="G6018" t="s">
        <v>38048</v>
      </c>
      <c r="H6018" t="s">
        <v>38049</v>
      </c>
      <c r="I6018" t="s">
        <v>38050</v>
      </c>
      <c r="J6018" t="s">
        <v>18248</v>
      </c>
      <c r="K6018" t="s">
        <v>38051</v>
      </c>
      <c r="L6018" t="s">
        <v>38045</v>
      </c>
    </row>
    <row r="6019" spans="1:12" x14ac:dyDescent="0.25">
      <c r="A6019">
        <v>1062787</v>
      </c>
      <c r="B6019">
        <v>1062883</v>
      </c>
      <c r="D6019">
        <v>0</v>
      </c>
      <c r="E6019" t="s">
        <v>38052</v>
      </c>
      <c r="F6019" t="s">
        <v>38053</v>
      </c>
      <c r="G6019" t="s">
        <v>38054</v>
      </c>
      <c r="H6019" t="e" vm="2656">
        <f>_FV(0,"027764145388460525")</f>
        <v>#VALUE!</v>
      </c>
      <c r="I6019" t="s">
        <v>38055</v>
      </c>
      <c r="J6019" t="s">
        <v>31876</v>
      </c>
      <c r="K6019" t="s">
        <v>38056</v>
      </c>
      <c r="L6019" t="s">
        <v>31871</v>
      </c>
    </row>
    <row r="6020" spans="1:12" x14ac:dyDescent="0.25">
      <c r="A6020">
        <v>1062794</v>
      </c>
      <c r="B6020">
        <v>1064452</v>
      </c>
      <c r="D6020" t="s">
        <v>204</v>
      </c>
      <c r="E6020" t="s">
        <v>38058</v>
      </c>
      <c r="F6020" t="s">
        <v>38059</v>
      </c>
      <c r="G6020" t="s">
        <v>38060</v>
      </c>
      <c r="H6020" t="e" vm="2657">
        <f>_FV(0,"06918104450094856")</f>
        <v>#VALUE!</v>
      </c>
      <c r="I6020" t="s">
        <v>38061</v>
      </c>
      <c r="J6020" t="s">
        <v>38062</v>
      </c>
      <c r="K6020" t="s">
        <v>38063</v>
      </c>
      <c r="L6020" t="s">
        <v>38057</v>
      </c>
    </row>
    <row r="6021" spans="1:12" x14ac:dyDescent="0.25">
      <c r="A6021">
        <v>1062825</v>
      </c>
      <c r="B6021">
        <v>1062950</v>
      </c>
      <c r="D6021">
        <v>0</v>
      </c>
      <c r="E6021" t="s">
        <v>38065</v>
      </c>
      <c r="F6021" t="s">
        <v>38066</v>
      </c>
      <c r="G6021" t="s">
        <v>38067</v>
      </c>
      <c r="H6021" t="e" vm="2658">
        <f>_FV(0,"0019246472086272418")</f>
        <v>#VALUE!</v>
      </c>
      <c r="I6021" t="s">
        <v>38068</v>
      </c>
      <c r="J6021" t="s">
        <v>38069</v>
      </c>
      <c r="K6021" t="s">
        <v>38070</v>
      </c>
      <c r="L6021" t="s">
        <v>38064</v>
      </c>
    </row>
    <row r="6022" spans="1:12" x14ac:dyDescent="0.25">
      <c r="A6022">
        <v>1062865</v>
      </c>
      <c r="B6022">
        <v>1062883</v>
      </c>
      <c r="D6022">
        <v>0</v>
      </c>
      <c r="E6022" t="s">
        <v>38072</v>
      </c>
      <c r="F6022" t="s">
        <v>38073</v>
      </c>
      <c r="G6022" t="s">
        <v>38074</v>
      </c>
      <c r="H6022" t="e" vm="2659">
        <f>_FV(0,"0550631100505035")</f>
        <v>#VALUE!</v>
      </c>
      <c r="I6022" t="s">
        <v>38075</v>
      </c>
      <c r="J6022" t="s">
        <v>38076</v>
      </c>
      <c r="K6022" t="s">
        <v>38077</v>
      </c>
      <c r="L6022" t="s">
        <v>38071</v>
      </c>
    </row>
    <row r="6023" spans="1:12" x14ac:dyDescent="0.25">
      <c r="A6023">
        <v>1062934</v>
      </c>
      <c r="B6023">
        <v>1063054</v>
      </c>
      <c r="D6023" t="s">
        <v>257</v>
      </c>
      <c r="E6023" t="s">
        <v>38079</v>
      </c>
      <c r="F6023" t="s">
        <v>38080</v>
      </c>
      <c r="G6023" t="s">
        <v>38081</v>
      </c>
      <c r="H6023" t="s">
        <v>38082</v>
      </c>
      <c r="I6023" t="s">
        <v>38083</v>
      </c>
      <c r="J6023" t="s">
        <v>38078</v>
      </c>
      <c r="K6023" t="s">
        <v>38084</v>
      </c>
      <c r="L6023" t="s">
        <v>38078</v>
      </c>
    </row>
    <row r="6024" spans="1:12" x14ac:dyDescent="0.25">
      <c r="A6024">
        <v>1062934</v>
      </c>
      <c r="B6024">
        <v>1062950</v>
      </c>
      <c r="D6024" t="s">
        <v>2793</v>
      </c>
      <c r="E6024" t="s">
        <v>38086</v>
      </c>
      <c r="F6024" t="s">
        <v>38087</v>
      </c>
      <c r="G6024" t="s">
        <v>38088</v>
      </c>
      <c r="H6024" t="e" vm="2660">
        <f>_FV(0,"019030667172568166")</f>
        <v>#VALUE!</v>
      </c>
      <c r="I6024" t="s">
        <v>38089</v>
      </c>
      <c r="J6024" t="s">
        <v>38090</v>
      </c>
      <c r="K6024" t="s">
        <v>38091</v>
      </c>
      <c r="L6024" t="s">
        <v>38085</v>
      </c>
    </row>
    <row r="6025" spans="1:12" x14ac:dyDescent="0.25">
      <c r="A6025">
        <v>1062950</v>
      </c>
      <c r="B6025">
        <v>1063102</v>
      </c>
      <c r="D6025">
        <v>0</v>
      </c>
      <c r="F6025">
        <v>1125805</v>
      </c>
      <c r="G6025">
        <v>1063102</v>
      </c>
      <c r="H6025" t="e" vm="219">
        <f>_FV(0,"026")</f>
        <v>#VALUE!</v>
      </c>
      <c r="I6025">
        <v>1062950</v>
      </c>
      <c r="J6025" t="s">
        <v>2841</v>
      </c>
      <c r="K6025" t="s">
        <v>38092</v>
      </c>
      <c r="L6025" t="e" vm="219">
        <f>_FV(0,"026")</f>
        <v>#VALUE!</v>
      </c>
    </row>
    <row r="6026" spans="1:12" x14ac:dyDescent="0.25">
      <c r="A6026">
        <v>1062985</v>
      </c>
      <c r="B6026">
        <v>1063801</v>
      </c>
      <c r="C6026" t="s">
        <v>38094</v>
      </c>
      <c r="D6026" t="s">
        <v>38095</v>
      </c>
      <c r="E6026" t="s">
        <v>38096</v>
      </c>
      <c r="F6026" t="s">
        <v>38097</v>
      </c>
      <c r="G6026" t="s">
        <v>38098</v>
      </c>
      <c r="H6026" t="s">
        <v>38099</v>
      </c>
      <c r="I6026" t="s">
        <v>38100</v>
      </c>
      <c r="J6026" t="s">
        <v>38101</v>
      </c>
      <c r="K6026" t="s">
        <v>38102</v>
      </c>
      <c r="L6026" t="s">
        <v>38093</v>
      </c>
    </row>
    <row r="6027" spans="1:12" x14ac:dyDescent="0.25">
      <c r="A6027">
        <v>1062985</v>
      </c>
      <c r="B6027">
        <v>1063028</v>
      </c>
      <c r="D6027">
        <v>0</v>
      </c>
      <c r="E6027" t="s">
        <v>38104</v>
      </c>
      <c r="F6027" t="s">
        <v>38105</v>
      </c>
      <c r="G6027" t="s">
        <v>38106</v>
      </c>
      <c r="H6027" t="s">
        <v>38107</v>
      </c>
      <c r="I6027" t="s">
        <v>38108</v>
      </c>
      <c r="J6027" t="s">
        <v>38103</v>
      </c>
      <c r="K6027" t="s">
        <v>38109</v>
      </c>
      <c r="L6027" t="s">
        <v>38103</v>
      </c>
    </row>
    <row r="6028" spans="1:12" x14ac:dyDescent="0.25">
      <c r="A6028">
        <v>1063054</v>
      </c>
      <c r="B6028">
        <v>1063849</v>
      </c>
      <c r="D6028" t="s">
        <v>38111</v>
      </c>
      <c r="E6028" t="s">
        <v>38112</v>
      </c>
      <c r="F6028" t="s">
        <v>38113</v>
      </c>
      <c r="G6028" t="s">
        <v>38114</v>
      </c>
      <c r="H6028" t="s">
        <v>38115</v>
      </c>
      <c r="I6028" t="s">
        <v>38116</v>
      </c>
      <c r="J6028" t="s">
        <v>38117</v>
      </c>
      <c r="K6028" t="s">
        <v>38118</v>
      </c>
      <c r="L6028" t="s">
        <v>38110</v>
      </c>
    </row>
    <row r="6029" spans="1:12" x14ac:dyDescent="0.25">
      <c r="A6029">
        <v>1063054</v>
      </c>
      <c r="B6029">
        <v>1063102</v>
      </c>
      <c r="D6029">
        <v>0</v>
      </c>
      <c r="E6029" t="s">
        <v>38120</v>
      </c>
      <c r="F6029" t="s">
        <v>38121</v>
      </c>
      <c r="G6029" t="s">
        <v>38122</v>
      </c>
      <c r="H6029" t="e" vm="2661">
        <f>_FV(0,"055428297905825374")</f>
        <v>#VALUE!</v>
      </c>
      <c r="I6029" t="s">
        <v>38123</v>
      </c>
      <c r="J6029" t="s">
        <v>38124</v>
      </c>
      <c r="K6029" t="s">
        <v>38125</v>
      </c>
      <c r="L6029" t="s">
        <v>38119</v>
      </c>
    </row>
    <row r="6030" spans="1:12" x14ac:dyDescent="0.25">
      <c r="A6030">
        <v>1063555</v>
      </c>
      <c r="B6030">
        <v>1063574</v>
      </c>
      <c r="D6030">
        <v>0</v>
      </c>
      <c r="E6030" t="s">
        <v>38127</v>
      </c>
      <c r="F6030" t="s">
        <v>38128</v>
      </c>
      <c r="G6030" t="s">
        <v>38129</v>
      </c>
      <c r="H6030" t="s">
        <v>38130</v>
      </c>
      <c r="I6030" t="s">
        <v>38131</v>
      </c>
      <c r="J6030" t="s">
        <v>38126</v>
      </c>
      <c r="K6030" t="s">
        <v>38132</v>
      </c>
      <c r="L6030" t="s">
        <v>38126</v>
      </c>
    </row>
    <row r="6031" spans="1:12" x14ac:dyDescent="0.25">
      <c r="A6031">
        <v>1063555</v>
      </c>
      <c r="B6031">
        <v>1063583</v>
      </c>
      <c r="D6031">
        <v>0</v>
      </c>
      <c r="E6031" t="s">
        <v>38134</v>
      </c>
      <c r="F6031" t="s">
        <v>38135</v>
      </c>
      <c r="G6031" t="s">
        <v>38136</v>
      </c>
      <c r="H6031" t="s">
        <v>38137</v>
      </c>
      <c r="I6031" t="s">
        <v>38138</v>
      </c>
      <c r="J6031" t="s">
        <v>38133</v>
      </c>
      <c r="K6031" t="s">
        <v>38139</v>
      </c>
      <c r="L6031" t="s">
        <v>38133</v>
      </c>
    </row>
    <row r="6032" spans="1:12" x14ac:dyDescent="0.25">
      <c r="A6032">
        <v>1063555</v>
      </c>
      <c r="B6032">
        <v>1064560</v>
      </c>
      <c r="C6032" t="s">
        <v>38141</v>
      </c>
      <c r="D6032" t="s">
        <v>330</v>
      </c>
      <c r="E6032" t="s">
        <v>38142</v>
      </c>
      <c r="F6032" t="s">
        <v>38143</v>
      </c>
      <c r="G6032" t="s">
        <v>38144</v>
      </c>
      <c r="H6032" t="s">
        <v>38145</v>
      </c>
      <c r="I6032" t="s">
        <v>38146</v>
      </c>
      <c r="J6032" t="s">
        <v>38147</v>
      </c>
      <c r="K6032" t="s">
        <v>38148</v>
      </c>
      <c r="L6032" t="s">
        <v>38140</v>
      </c>
    </row>
    <row r="6033" spans="1:12" x14ac:dyDescent="0.25">
      <c r="A6033">
        <v>1063574</v>
      </c>
      <c r="B6033">
        <v>1063583</v>
      </c>
      <c r="D6033">
        <v>0</v>
      </c>
      <c r="E6033" t="s">
        <v>38150</v>
      </c>
      <c r="F6033" t="s">
        <v>38151</v>
      </c>
      <c r="G6033" t="s">
        <v>38152</v>
      </c>
      <c r="H6033" t="s">
        <v>38153</v>
      </c>
      <c r="I6033" t="s">
        <v>38154</v>
      </c>
      <c r="J6033" t="s">
        <v>38155</v>
      </c>
      <c r="K6033" t="s">
        <v>38156</v>
      </c>
      <c r="L6033" t="s">
        <v>38149</v>
      </c>
    </row>
    <row r="6034" spans="1:12" x14ac:dyDescent="0.25">
      <c r="A6034">
        <v>1063574</v>
      </c>
      <c r="B6034">
        <v>1064381</v>
      </c>
      <c r="D6034">
        <v>0</v>
      </c>
      <c r="F6034">
        <v>1125933</v>
      </c>
      <c r="G6034">
        <v>1063574</v>
      </c>
      <c r="H6034" t="e" vm="214">
        <f>_FV(0,"039")</f>
        <v>#VALUE!</v>
      </c>
      <c r="I6034">
        <v>1064381</v>
      </c>
      <c r="J6034" t="s">
        <v>3279</v>
      </c>
      <c r="K6034" t="s">
        <v>38157</v>
      </c>
      <c r="L6034" t="e" vm="214">
        <f>_FV(0,"039")</f>
        <v>#VALUE!</v>
      </c>
    </row>
    <row r="6035" spans="1:12" x14ac:dyDescent="0.25">
      <c r="A6035">
        <v>1063619</v>
      </c>
      <c r="B6035">
        <v>1063635</v>
      </c>
      <c r="D6035">
        <v>0</v>
      </c>
      <c r="E6035" t="s">
        <v>38159</v>
      </c>
      <c r="F6035" t="s">
        <v>38160</v>
      </c>
      <c r="G6035" t="s">
        <v>38161</v>
      </c>
      <c r="H6035" t="s">
        <v>38162</v>
      </c>
      <c r="I6035" t="s">
        <v>38163</v>
      </c>
      <c r="J6035" t="s">
        <v>38164</v>
      </c>
      <c r="K6035" t="s">
        <v>38165</v>
      </c>
      <c r="L6035" t="s">
        <v>38158</v>
      </c>
    </row>
    <row r="6036" spans="1:12" x14ac:dyDescent="0.25">
      <c r="A6036">
        <v>1063619</v>
      </c>
      <c r="B6036">
        <v>1064560</v>
      </c>
      <c r="D6036">
        <v>0</v>
      </c>
      <c r="E6036" t="s">
        <v>38167</v>
      </c>
      <c r="F6036" t="s">
        <v>38168</v>
      </c>
      <c r="G6036" t="s">
        <v>38169</v>
      </c>
      <c r="H6036" t="s">
        <v>38170</v>
      </c>
      <c r="I6036" t="s">
        <v>38171</v>
      </c>
      <c r="J6036" t="s">
        <v>38166</v>
      </c>
      <c r="K6036" t="s">
        <v>38172</v>
      </c>
      <c r="L6036" t="s">
        <v>38166</v>
      </c>
    </row>
    <row r="6037" spans="1:12" x14ac:dyDescent="0.25">
      <c r="A6037">
        <v>1063635</v>
      </c>
      <c r="B6037">
        <v>1064560</v>
      </c>
      <c r="D6037">
        <v>0</v>
      </c>
      <c r="E6037" t="s">
        <v>38174</v>
      </c>
      <c r="F6037" t="s">
        <v>38175</v>
      </c>
      <c r="G6037" t="s">
        <v>38176</v>
      </c>
      <c r="H6037" t="s">
        <v>38177</v>
      </c>
      <c r="I6037" t="s">
        <v>38178</v>
      </c>
      <c r="J6037" t="s">
        <v>38173</v>
      </c>
      <c r="K6037" t="s">
        <v>38179</v>
      </c>
      <c r="L6037" t="s">
        <v>38173</v>
      </c>
    </row>
    <row r="6038" spans="1:12" x14ac:dyDescent="0.25">
      <c r="A6038">
        <v>1063763</v>
      </c>
      <c r="B6038">
        <v>1063773</v>
      </c>
      <c r="D6038">
        <v>0</v>
      </c>
      <c r="E6038" t="s">
        <v>38181</v>
      </c>
      <c r="F6038" t="s">
        <v>38182</v>
      </c>
      <c r="G6038" t="s">
        <v>38183</v>
      </c>
      <c r="H6038" t="e" vm="2662">
        <f>_FV(0,"03898809430137282")</f>
        <v>#VALUE!</v>
      </c>
      <c r="I6038" t="s">
        <v>38184</v>
      </c>
      <c r="J6038" t="s">
        <v>38185</v>
      </c>
      <c r="K6038" t="s">
        <v>38186</v>
      </c>
      <c r="L6038" t="s">
        <v>38180</v>
      </c>
    </row>
    <row r="6039" spans="1:12" x14ac:dyDescent="0.25">
      <c r="A6039">
        <v>1063763</v>
      </c>
      <c r="B6039">
        <v>1063790</v>
      </c>
      <c r="D6039">
        <v>0</v>
      </c>
      <c r="E6039" t="s">
        <v>38188</v>
      </c>
      <c r="F6039" t="s">
        <v>38189</v>
      </c>
      <c r="G6039" t="s">
        <v>38190</v>
      </c>
      <c r="H6039" t="e" vm="2663">
        <f>_FV(0,"039470878345204026")</f>
        <v>#VALUE!</v>
      </c>
      <c r="I6039" t="s">
        <v>38191</v>
      </c>
      <c r="J6039" t="s">
        <v>38192</v>
      </c>
      <c r="K6039" t="s">
        <v>38193</v>
      </c>
      <c r="L6039" t="s">
        <v>38187</v>
      </c>
    </row>
    <row r="6040" spans="1:12" x14ac:dyDescent="0.25">
      <c r="A6040">
        <v>1063763</v>
      </c>
      <c r="B6040">
        <v>1064516</v>
      </c>
      <c r="D6040" t="s">
        <v>204</v>
      </c>
      <c r="E6040" t="s">
        <v>38195</v>
      </c>
      <c r="F6040" t="s">
        <v>38196</v>
      </c>
      <c r="G6040" t="s">
        <v>38197</v>
      </c>
      <c r="H6040" t="e" vm="2664">
        <f>_FV(0,"008768191934549337")</f>
        <v>#VALUE!</v>
      </c>
      <c r="I6040" t="s">
        <v>38198</v>
      </c>
      <c r="J6040" t="s">
        <v>38199</v>
      </c>
      <c r="K6040" t="s">
        <v>38200</v>
      </c>
      <c r="L6040" t="s">
        <v>38194</v>
      </c>
    </row>
    <row r="6041" spans="1:12" x14ac:dyDescent="0.25">
      <c r="A6041">
        <v>1063773</v>
      </c>
      <c r="B6041">
        <v>1063790</v>
      </c>
      <c r="D6041">
        <v>0</v>
      </c>
      <c r="E6041" t="s">
        <v>38202</v>
      </c>
      <c r="F6041" t="s">
        <v>38203</v>
      </c>
      <c r="G6041" t="s">
        <v>38204</v>
      </c>
      <c r="H6041" t="e" vm="2665">
        <f>_FV(0,"0007321501323878133")</f>
        <v>#VALUE!</v>
      </c>
      <c r="I6041" t="s">
        <v>38205</v>
      </c>
      <c r="J6041" t="s">
        <v>30960</v>
      </c>
      <c r="K6041" t="s">
        <v>38206</v>
      </c>
      <c r="L6041" t="s">
        <v>38201</v>
      </c>
    </row>
    <row r="6042" spans="1:12" x14ac:dyDescent="0.25">
      <c r="A6042">
        <v>1063773</v>
      </c>
      <c r="B6042">
        <v>1064351</v>
      </c>
      <c r="D6042">
        <v>0</v>
      </c>
      <c r="F6042">
        <v>1126010</v>
      </c>
      <c r="G6042">
        <v>1063773</v>
      </c>
      <c r="H6042" t="s">
        <v>2916</v>
      </c>
      <c r="I6042">
        <v>1064351</v>
      </c>
      <c r="J6042" t="s">
        <v>2916</v>
      </c>
      <c r="K6042" t="s">
        <v>38207</v>
      </c>
      <c r="L6042" t="s">
        <v>2916</v>
      </c>
    </row>
    <row r="6043" spans="1:12" x14ac:dyDescent="0.25">
      <c r="A6043">
        <v>1063790</v>
      </c>
      <c r="B6043">
        <v>1064337</v>
      </c>
      <c r="D6043">
        <v>0</v>
      </c>
      <c r="F6043">
        <v>1125922</v>
      </c>
      <c r="G6043">
        <v>1064337</v>
      </c>
      <c r="H6043" t="e" vm="263">
        <f>_FV(0,"024")</f>
        <v>#VALUE!</v>
      </c>
      <c r="I6043">
        <v>1063790</v>
      </c>
      <c r="J6043" t="s">
        <v>2916</v>
      </c>
      <c r="K6043" t="s">
        <v>38208</v>
      </c>
      <c r="L6043" t="e" vm="263">
        <f>_FV(0,"024")</f>
        <v>#VALUE!</v>
      </c>
    </row>
    <row r="6044" spans="1:12" x14ac:dyDescent="0.25">
      <c r="A6044">
        <v>1063801</v>
      </c>
      <c r="B6044">
        <v>1063833</v>
      </c>
      <c r="D6044">
        <v>0</v>
      </c>
      <c r="E6044" t="s">
        <v>38210</v>
      </c>
      <c r="F6044" t="s">
        <v>38211</v>
      </c>
      <c r="G6044" t="s">
        <v>38212</v>
      </c>
      <c r="H6044" t="e" vm="2666">
        <f>_FV(0,"039945759593810935")</f>
        <v>#VALUE!</v>
      </c>
      <c r="I6044" t="s">
        <v>38213</v>
      </c>
      <c r="J6044" t="s">
        <v>38214</v>
      </c>
      <c r="K6044" t="s">
        <v>38215</v>
      </c>
      <c r="L6044" t="s">
        <v>38209</v>
      </c>
    </row>
    <row r="6045" spans="1:12" x14ac:dyDescent="0.25">
      <c r="A6045">
        <v>1063801</v>
      </c>
      <c r="B6045">
        <v>1064217</v>
      </c>
      <c r="D6045">
        <v>0</v>
      </c>
      <c r="E6045" t="s">
        <v>38217</v>
      </c>
      <c r="F6045" t="s">
        <v>38218</v>
      </c>
      <c r="G6045" t="s">
        <v>38219</v>
      </c>
      <c r="H6045" t="e" vm="2667">
        <f>_FV(0,"00845747077661516")</f>
        <v>#VALUE!</v>
      </c>
      <c r="I6045" t="s">
        <v>38220</v>
      </c>
      <c r="J6045" t="s">
        <v>38221</v>
      </c>
      <c r="K6045" t="s">
        <v>38222</v>
      </c>
      <c r="L6045" t="s">
        <v>38216</v>
      </c>
    </row>
    <row r="6046" spans="1:12" x14ac:dyDescent="0.25">
      <c r="A6046">
        <v>1063833</v>
      </c>
      <c r="B6046">
        <v>1064259</v>
      </c>
      <c r="D6046">
        <v>0</v>
      </c>
      <c r="E6046" t="s">
        <v>38224</v>
      </c>
      <c r="F6046" t="s">
        <v>38225</v>
      </c>
      <c r="G6046" t="s">
        <v>38226</v>
      </c>
      <c r="H6046" t="e" vm="2668">
        <f>_FV(0,"04843161061739834")</f>
        <v>#VALUE!</v>
      </c>
      <c r="I6046" t="s">
        <v>38227</v>
      </c>
      <c r="J6046" t="s">
        <v>38228</v>
      </c>
      <c r="K6046" t="s">
        <v>38229</v>
      </c>
      <c r="L6046" t="s">
        <v>38223</v>
      </c>
    </row>
    <row r="6047" spans="1:12" x14ac:dyDescent="0.25">
      <c r="A6047">
        <v>1063849</v>
      </c>
      <c r="B6047">
        <v>1063880</v>
      </c>
      <c r="D6047">
        <v>0</v>
      </c>
      <c r="E6047" t="s">
        <v>38231</v>
      </c>
      <c r="F6047" t="s">
        <v>38232</v>
      </c>
      <c r="G6047" t="s">
        <v>38233</v>
      </c>
      <c r="H6047" t="e" vm="2669">
        <f>_FV(0,"04985252086999953")</f>
        <v>#VALUE!</v>
      </c>
      <c r="I6047" t="s">
        <v>38234</v>
      </c>
      <c r="J6047" t="s">
        <v>38235</v>
      </c>
      <c r="K6047" t="s">
        <v>38236</v>
      </c>
      <c r="L6047" t="s">
        <v>38230</v>
      </c>
    </row>
    <row r="6048" spans="1:12" x14ac:dyDescent="0.25">
      <c r="A6048">
        <v>1063849</v>
      </c>
      <c r="B6048">
        <v>1064351</v>
      </c>
      <c r="D6048">
        <v>0</v>
      </c>
      <c r="E6048" t="s">
        <v>38238</v>
      </c>
      <c r="F6048" t="s">
        <v>38239</v>
      </c>
      <c r="G6048" t="s">
        <v>38240</v>
      </c>
      <c r="H6048" t="s">
        <v>38241</v>
      </c>
      <c r="I6048" t="s">
        <v>38242</v>
      </c>
      <c r="J6048" t="s">
        <v>38237</v>
      </c>
      <c r="K6048" t="s">
        <v>38243</v>
      </c>
      <c r="L6048" t="s">
        <v>38237</v>
      </c>
    </row>
    <row r="6049" spans="1:12" x14ac:dyDescent="0.25">
      <c r="A6049">
        <v>1063880</v>
      </c>
      <c r="B6049">
        <v>1064337</v>
      </c>
      <c r="D6049">
        <v>0</v>
      </c>
      <c r="E6049" t="s">
        <v>38245</v>
      </c>
      <c r="F6049" t="s">
        <v>38246</v>
      </c>
      <c r="G6049" t="s">
        <v>38247</v>
      </c>
      <c r="H6049" t="s">
        <v>38248</v>
      </c>
      <c r="I6049" t="s">
        <v>38249</v>
      </c>
      <c r="J6049" t="s">
        <v>38250</v>
      </c>
      <c r="K6049" t="s">
        <v>38251</v>
      </c>
      <c r="L6049" t="s">
        <v>38244</v>
      </c>
    </row>
    <row r="6050" spans="1:12" x14ac:dyDescent="0.25">
      <c r="A6050">
        <v>1063989</v>
      </c>
      <c r="B6050">
        <v>1063995</v>
      </c>
      <c r="D6050">
        <v>0</v>
      </c>
      <c r="E6050" t="s">
        <v>38253</v>
      </c>
      <c r="F6050" t="s">
        <v>38254</v>
      </c>
      <c r="G6050" t="s">
        <v>38255</v>
      </c>
      <c r="H6050" t="s">
        <v>38256</v>
      </c>
      <c r="I6050" t="s">
        <v>38257</v>
      </c>
      <c r="J6050" t="s">
        <v>38252</v>
      </c>
      <c r="K6050" t="s">
        <v>38258</v>
      </c>
      <c r="L6050" t="s">
        <v>38252</v>
      </c>
    </row>
    <row r="6051" spans="1:12" x14ac:dyDescent="0.25">
      <c r="A6051">
        <v>1063989</v>
      </c>
      <c r="B6051">
        <v>1064059</v>
      </c>
      <c r="D6051">
        <v>0</v>
      </c>
      <c r="E6051" t="s">
        <v>38260</v>
      </c>
      <c r="F6051" t="s">
        <v>38261</v>
      </c>
      <c r="G6051" t="s">
        <v>38262</v>
      </c>
      <c r="H6051" t="s">
        <v>38263</v>
      </c>
      <c r="I6051" t="s">
        <v>38264</v>
      </c>
      <c r="J6051" t="s">
        <v>38259</v>
      </c>
      <c r="K6051" t="s">
        <v>38265</v>
      </c>
      <c r="L6051" t="s">
        <v>38259</v>
      </c>
    </row>
    <row r="6052" spans="1:12" x14ac:dyDescent="0.25">
      <c r="A6052">
        <v>1063989</v>
      </c>
      <c r="B6052">
        <v>1064000</v>
      </c>
      <c r="D6052">
        <v>0</v>
      </c>
      <c r="E6052" t="s">
        <v>38267</v>
      </c>
      <c r="F6052" t="s">
        <v>38268</v>
      </c>
      <c r="G6052" t="s">
        <v>38269</v>
      </c>
      <c r="H6052" t="s">
        <v>38270</v>
      </c>
      <c r="I6052" t="s">
        <v>38271</v>
      </c>
      <c r="J6052" t="s">
        <v>38266</v>
      </c>
      <c r="K6052" t="s">
        <v>38272</v>
      </c>
      <c r="L6052" t="s">
        <v>38266</v>
      </c>
    </row>
    <row r="6053" spans="1:12" x14ac:dyDescent="0.25">
      <c r="A6053">
        <v>1063995</v>
      </c>
      <c r="B6053">
        <v>1064351</v>
      </c>
      <c r="D6053">
        <v>0</v>
      </c>
      <c r="E6053" t="s">
        <v>38274</v>
      </c>
      <c r="F6053" t="s">
        <v>38275</v>
      </c>
      <c r="G6053" t="s">
        <v>38276</v>
      </c>
      <c r="H6053" t="s">
        <v>38277</v>
      </c>
      <c r="I6053" t="s">
        <v>38278</v>
      </c>
      <c r="J6053" t="s">
        <v>38273</v>
      </c>
      <c r="K6053" t="s">
        <v>38279</v>
      </c>
      <c r="L6053" t="s">
        <v>38273</v>
      </c>
    </row>
    <row r="6054" spans="1:12" x14ac:dyDescent="0.25">
      <c r="A6054">
        <v>1063995</v>
      </c>
      <c r="B6054">
        <v>1064059</v>
      </c>
      <c r="D6054">
        <v>0</v>
      </c>
      <c r="E6054" t="s">
        <v>38281</v>
      </c>
      <c r="F6054" t="s">
        <v>38282</v>
      </c>
      <c r="G6054" t="s">
        <v>38283</v>
      </c>
      <c r="H6054" t="s">
        <v>38284</v>
      </c>
      <c r="I6054" t="s">
        <v>38285</v>
      </c>
      <c r="J6054" t="s">
        <v>38286</v>
      </c>
      <c r="K6054" t="s">
        <v>38287</v>
      </c>
      <c r="L6054" t="s">
        <v>38280</v>
      </c>
    </row>
    <row r="6055" spans="1:12" x14ac:dyDescent="0.25">
      <c r="A6055">
        <v>1064000</v>
      </c>
      <c r="B6055">
        <v>1064066</v>
      </c>
      <c r="D6055">
        <v>0</v>
      </c>
      <c r="E6055" t="s">
        <v>38289</v>
      </c>
      <c r="F6055" t="s">
        <v>38290</v>
      </c>
      <c r="G6055" t="s">
        <v>38291</v>
      </c>
      <c r="H6055" t="s">
        <v>38292</v>
      </c>
      <c r="I6055" t="s">
        <v>38293</v>
      </c>
      <c r="J6055" t="s">
        <v>38288</v>
      </c>
      <c r="K6055" t="s">
        <v>38294</v>
      </c>
      <c r="L6055" t="s">
        <v>38288</v>
      </c>
    </row>
    <row r="6056" spans="1:12" x14ac:dyDescent="0.25">
      <c r="A6056">
        <v>1064000</v>
      </c>
      <c r="B6056">
        <v>1064077</v>
      </c>
      <c r="D6056">
        <v>0</v>
      </c>
      <c r="E6056" t="s">
        <v>38296</v>
      </c>
      <c r="F6056" t="s">
        <v>38297</v>
      </c>
      <c r="G6056" t="s">
        <v>38298</v>
      </c>
      <c r="H6056" t="s">
        <v>38299</v>
      </c>
      <c r="I6056" t="s">
        <v>38300</v>
      </c>
      <c r="J6056" t="s">
        <v>38295</v>
      </c>
      <c r="K6056" t="s">
        <v>38301</v>
      </c>
      <c r="L6056" t="s">
        <v>38295</v>
      </c>
    </row>
    <row r="6057" spans="1:12" x14ac:dyDescent="0.25">
      <c r="A6057">
        <v>1064048</v>
      </c>
      <c r="B6057">
        <v>1064427</v>
      </c>
      <c r="D6057">
        <v>0</v>
      </c>
      <c r="F6057">
        <v>1125997</v>
      </c>
      <c r="G6057">
        <v>1064427</v>
      </c>
      <c r="H6057" t="e" vm="10">
        <f>_FV(0,"057")</f>
        <v>#VALUE!</v>
      </c>
      <c r="I6057">
        <v>1064048</v>
      </c>
      <c r="J6057" t="s">
        <v>170</v>
      </c>
      <c r="K6057" t="s">
        <v>38302</v>
      </c>
      <c r="L6057" t="e" vm="10">
        <f>_FV(0,"057")</f>
        <v>#VALUE!</v>
      </c>
    </row>
    <row r="6058" spans="1:12" x14ac:dyDescent="0.25">
      <c r="A6058">
        <v>1064059</v>
      </c>
      <c r="B6058">
        <v>1064337</v>
      </c>
      <c r="D6058">
        <v>0</v>
      </c>
      <c r="E6058" t="s">
        <v>38304</v>
      </c>
      <c r="F6058" t="s">
        <v>38305</v>
      </c>
      <c r="G6058" t="s">
        <v>38306</v>
      </c>
      <c r="H6058" t="e" vm="2670">
        <f>_FV(0,"03484972467561384")</f>
        <v>#VALUE!</v>
      </c>
      <c r="I6058" t="s">
        <v>38307</v>
      </c>
      <c r="J6058" t="s">
        <v>38308</v>
      </c>
      <c r="K6058" t="s">
        <v>38309</v>
      </c>
      <c r="L6058" t="s">
        <v>38303</v>
      </c>
    </row>
    <row r="6059" spans="1:12" x14ac:dyDescent="0.25">
      <c r="A6059">
        <v>1064066</v>
      </c>
      <c r="B6059">
        <v>1064077</v>
      </c>
      <c r="D6059">
        <v>0</v>
      </c>
      <c r="E6059" t="s">
        <v>38311</v>
      </c>
      <c r="F6059" t="s">
        <v>38312</v>
      </c>
      <c r="G6059" t="s">
        <v>38313</v>
      </c>
      <c r="H6059" t="s">
        <v>38314</v>
      </c>
      <c r="I6059" t="s">
        <v>38315</v>
      </c>
      <c r="J6059" t="s">
        <v>38316</v>
      </c>
      <c r="K6059" t="s">
        <v>38317</v>
      </c>
      <c r="L6059" t="s">
        <v>38310</v>
      </c>
    </row>
    <row r="6060" spans="1:12" x14ac:dyDescent="0.25">
      <c r="A6060">
        <v>1064165</v>
      </c>
      <c r="B6060">
        <v>1064174</v>
      </c>
      <c r="D6060">
        <v>0</v>
      </c>
      <c r="E6060" t="s">
        <v>38318</v>
      </c>
      <c r="F6060" t="s">
        <v>38319</v>
      </c>
      <c r="G6060" t="s">
        <v>38320</v>
      </c>
      <c r="H6060" t="e" vm="2671">
        <f>_FV(0,"007329763876017466")</f>
        <v>#VALUE!</v>
      </c>
      <c r="I6060" t="s">
        <v>38321</v>
      </c>
      <c r="J6060" t="s">
        <v>6029</v>
      </c>
      <c r="K6060" t="s">
        <v>38322</v>
      </c>
      <c r="L6060" t="s">
        <v>6024</v>
      </c>
    </row>
    <row r="6061" spans="1:12" x14ac:dyDescent="0.25">
      <c r="A6061">
        <v>1064165</v>
      </c>
      <c r="B6061">
        <v>1064200</v>
      </c>
      <c r="D6061">
        <v>0</v>
      </c>
      <c r="E6061" t="s">
        <v>38323</v>
      </c>
      <c r="F6061" t="s">
        <v>38324</v>
      </c>
      <c r="G6061" t="s">
        <v>38325</v>
      </c>
      <c r="H6061" t="s">
        <v>38326</v>
      </c>
      <c r="I6061" t="s">
        <v>38327</v>
      </c>
      <c r="J6061" t="s">
        <v>4021</v>
      </c>
      <c r="K6061" t="s">
        <v>38328</v>
      </c>
      <c r="L6061" t="s">
        <v>4021</v>
      </c>
    </row>
    <row r="6062" spans="1:12" x14ac:dyDescent="0.25">
      <c r="A6062">
        <v>1064165</v>
      </c>
      <c r="B6062">
        <v>1064266</v>
      </c>
      <c r="D6062">
        <v>0</v>
      </c>
      <c r="F6062">
        <v>1125804</v>
      </c>
      <c r="G6062">
        <v>1064165</v>
      </c>
      <c r="H6062" t="e" vm="12">
        <f>_FV(0,"005")</f>
        <v>#VALUE!</v>
      </c>
      <c r="I6062">
        <v>1064266</v>
      </c>
      <c r="J6062" t="s">
        <v>194</v>
      </c>
      <c r="K6062" t="s">
        <v>38329</v>
      </c>
      <c r="L6062" t="e" vm="12">
        <f>_FV(0,"005")</f>
        <v>#VALUE!</v>
      </c>
    </row>
    <row r="6063" spans="1:12" x14ac:dyDescent="0.25">
      <c r="A6063">
        <v>1064174</v>
      </c>
      <c r="B6063">
        <v>1064200</v>
      </c>
      <c r="D6063">
        <v>0</v>
      </c>
      <c r="E6063" t="s">
        <v>38330</v>
      </c>
      <c r="F6063" t="s">
        <v>38331</v>
      </c>
      <c r="G6063" t="s">
        <v>38332</v>
      </c>
      <c r="H6063" t="e" vm="2672">
        <f>_FV(0,"01616762339464814")</f>
        <v>#VALUE!</v>
      </c>
      <c r="I6063" t="s">
        <v>38333</v>
      </c>
      <c r="J6063" t="s">
        <v>648</v>
      </c>
      <c r="K6063" t="s">
        <v>38334</v>
      </c>
      <c r="L6063" t="s">
        <v>11642</v>
      </c>
    </row>
    <row r="6064" spans="1:12" x14ac:dyDescent="0.25">
      <c r="A6064">
        <v>1064200</v>
      </c>
      <c r="B6064">
        <v>1064253</v>
      </c>
      <c r="D6064">
        <v>0</v>
      </c>
      <c r="E6064" t="s">
        <v>38336</v>
      </c>
      <c r="F6064" t="s">
        <v>38337</v>
      </c>
      <c r="G6064" t="s">
        <v>38338</v>
      </c>
      <c r="H6064" t="s">
        <v>38339</v>
      </c>
      <c r="I6064" t="s">
        <v>38340</v>
      </c>
      <c r="J6064" t="s">
        <v>38341</v>
      </c>
      <c r="K6064" t="s">
        <v>38342</v>
      </c>
      <c r="L6064" t="s">
        <v>38335</v>
      </c>
    </row>
    <row r="6065" spans="1:12" x14ac:dyDescent="0.25">
      <c r="A6065">
        <v>1064212</v>
      </c>
      <c r="B6065">
        <v>1064253</v>
      </c>
      <c r="D6065">
        <v>0</v>
      </c>
      <c r="E6065" t="s">
        <v>38343</v>
      </c>
      <c r="F6065" t="s">
        <v>38344</v>
      </c>
      <c r="G6065" t="s">
        <v>38345</v>
      </c>
      <c r="H6065" t="s">
        <v>38346</v>
      </c>
      <c r="I6065" t="s">
        <v>38347</v>
      </c>
      <c r="J6065" t="s">
        <v>19921</v>
      </c>
      <c r="K6065" t="s">
        <v>38348</v>
      </c>
      <c r="L6065" t="s">
        <v>19921</v>
      </c>
    </row>
    <row r="6066" spans="1:12" x14ac:dyDescent="0.25">
      <c r="A6066">
        <v>1064212</v>
      </c>
      <c r="B6066">
        <v>1064266</v>
      </c>
      <c r="D6066">
        <v>0</v>
      </c>
      <c r="E6066" t="s">
        <v>38349</v>
      </c>
      <c r="F6066" t="s">
        <v>38350</v>
      </c>
      <c r="G6066" t="s">
        <v>38351</v>
      </c>
      <c r="H6066" t="e" vm="2673">
        <f>_FV(0,"004164384182563836")</f>
        <v>#VALUE!</v>
      </c>
      <c r="I6066" t="s">
        <v>38352</v>
      </c>
      <c r="J6066" t="s">
        <v>4897</v>
      </c>
      <c r="K6066" t="s">
        <v>38353</v>
      </c>
      <c r="L6066" t="s">
        <v>4892</v>
      </c>
    </row>
    <row r="6067" spans="1:12" x14ac:dyDescent="0.25">
      <c r="A6067">
        <v>1064212</v>
      </c>
      <c r="B6067">
        <v>1757324</v>
      </c>
      <c r="D6067">
        <v>0</v>
      </c>
      <c r="E6067" t="s">
        <v>38355</v>
      </c>
      <c r="F6067" t="s">
        <v>38356</v>
      </c>
      <c r="G6067" t="s">
        <v>38357</v>
      </c>
      <c r="H6067" t="e" vm="2674">
        <f>_FV(0,"0030177637721793874")</f>
        <v>#VALUE!</v>
      </c>
      <c r="I6067" t="s">
        <v>38358</v>
      </c>
      <c r="J6067" t="s">
        <v>38359</v>
      </c>
      <c r="K6067" t="s">
        <v>38360</v>
      </c>
      <c r="L6067" t="s">
        <v>38354</v>
      </c>
    </row>
    <row r="6068" spans="1:12" x14ac:dyDescent="0.25">
      <c r="A6068">
        <v>1064217</v>
      </c>
      <c r="B6068">
        <v>1064239</v>
      </c>
      <c r="D6068">
        <v>0</v>
      </c>
      <c r="E6068" t="s">
        <v>38362</v>
      </c>
      <c r="F6068" t="s">
        <v>38363</v>
      </c>
      <c r="G6068" t="s">
        <v>38364</v>
      </c>
      <c r="H6068" t="e" vm="2675">
        <f>_FV(0,"047280822506293556")</f>
        <v>#VALUE!</v>
      </c>
      <c r="I6068" t="s">
        <v>38365</v>
      </c>
      <c r="J6068" t="s">
        <v>38366</v>
      </c>
      <c r="K6068" t="s">
        <v>38367</v>
      </c>
      <c r="L6068" t="s">
        <v>38361</v>
      </c>
    </row>
    <row r="6069" spans="1:12" x14ac:dyDescent="0.25">
      <c r="A6069">
        <v>1064217</v>
      </c>
      <c r="B6069">
        <v>1064259</v>
      </c>
      <c r="D6069">
        <v>0</v>
      </c>
      <c r="F6069">
        <v>1125794</v>
      </c>
      <c r="G6069">
        <v>1064217</v>
      </c>
      <c r="H6069" t="s">
        <v>737</v>
      </c>
      <c r="I6069">
        <v>1064259</v>
      </c>
      <c r="J6069" t="s">
        <v>737</v>
      </c>
      <c r="K6069" t="s">
        <v>38368</v>
      </c>
      <c r="L6069" t="s">
        <v>737</v>
      </c>
    </row>
    <row r="6070" spans="1:12" x14ac:dyDescent="0.25">
      <c r="A6070">
        <v>1064239</v>
      </c>
      <c r="B6070">
        <v>1064252</v>
      </c>
      <c r="D6070">
        <v>0</v>
      </c>
      <c r="E6070" t="s">
        <v>38370</v>
      </c>
      <c r="F6070" t="s">
        <v>38371</v>
      </c>
      <c r="G6070" t="s">
        <v>38372</v>
      </c>
      <c r="H6070" t="e" vm="2676">
        <f>_FV(0,"000455391506719221")</f>
        <v>#VALUE!</v>
      </c>
      <c r="I6070" t="s">
        <v>38373</v>
      </c>
      <c r="J6070" t="s">
        <v>34385</v>
      </c>
      <c r="K6070" t="s">
        <v>38374</v>
      </c>
      <c r="L6070" t="s">
        <v>38369</v>
      </c>
    </row>
    <row r="6071" spans="1:12" x14ac:dyDescent="0.25">
      <c r="A6071">
        <v>1064239</v>
      </c>
      <c r="B6071">
        <v>1064516</v>
      </c>
      <c r="D6071">
        <v>0</v>
      </c>
      <c r="E6071" t="s">
        <v>38376</v>
      </c>
      <c r="F6071" t="s">
        <v>38377</v>
      </c>
      <c r="G6071" t="s">
        <v>38378</v>
      </c>
      <c r="H6071" t="e" vm="2677">
        <f>_FV(0,"046580498360937")</f>
        <v>#VALUE!</v>
      </c>
      <c r="I6071" t="s">
        <v>38379</v>
      </c>
      <c r="J6071" t="s">
        <v>38380</v>
      </c>
      <c r="K6071" t="s">
        <v>38381</v>
      </c>
      <c r="L6071" t="s">
        <v>38375</v>
      </c>
    </row>
    <row r="6072" spans="1:12" x14ac:dyDescent="0.25">
      <c r="A6072">
        <v>1064252</v>
      </c>
      <c r="B6072">
        <v>1064259</v>
      </c>
      <c r="D6072">
        <v>0</v>
      </c>
      <c r="F6072">
        <v>1125786</v>
      </c>
      <c r="G6072">
        <v>1064259</v>
      </c>
      <c r="H6072" t="s">
        <v>7670</v>
      </c>
      <c r="I6072">
        <v>1064252</v>
      </c>
      <c r="J6072" t="s">
        <v>7670</v>
      </c>
      <c r="K6072" t="s">
        <v>38382</v>
      </c>
      <c r="L6072" t="s">
        <v>7670</v>
      </c>
    </row>
    <row r="6073" spans="1:12" x14ac:dyDescent="0.25">
      <c r="A6073">
        <v>1064252</v>
      </c>
      <c r="B6073">
        <v>1064516</v>
      </c>
      <c r="D6073">
        <v>0</v>
      </c>
      <c r="E6073" t="s">
        <v>38384</v>
      </c>
      <c r="F6073" t="s">
        <v>38385</v>
      </c>
      <c r="G6073" t="s">
        <v>38386</v>
      </c>
      <c r="H6073" t="e" vm="2678">
        <f>_FV(0,"05447541717629455")</f>
        <v>#VALUE!</v>
      </c>
      <c r="I6073" t="s">
        <v>38387</v>
      </c>
      <c r="J6073" t="s">
        <v>38388</v>
      </c>
      <c r="K6073" t="s">
        <v>38389</v>
      </c>
      <c r="L6073" t="s">
        <v>38383</v>
      </c>
    </row>
    <row r="6074" spans="1:12" x14ac:dyDescent="0.25">
      <c r="A6074">
        <v>1064253</v>
      </c>
      <c r="B6074">
        <v>1064266</v>
      </c>
      <c r="D6074">
        <v>0</v>
      </c>
      <c r="E6074" t="s">
        <v>38391</v>
      </c>
      <c r="F6074" t="s">
        <v>38392</v>
      </c>
      <c r="G6074" t="s">
        <v>38393</v>
      </c>
      <c r="H6074" t="e" vm="2679">
        <f>_FV(0,"021630772531696426")</f>
        <v>#VALUE!</v>
      </c>
      <c r="I6074" t="s">
        <v>38394</v>
      </c>
      <c r="J6074" t="s">
        <v>38395</v>
      </c>
      <c r="K6074" t="s">
        <v>38396</v>
      </c>
      <c r="L6074" t="s">
        <v>38390</v>
      </c>
    </row>
    <row r="6075" spans="1:12" x14ac:dyDescent="0.25">
      <c r="A6075">
        <v>1064381</v>
      </c>
      <c r="B6075">
        <v>1064427</v>
      </c>
      <c r="D6075">
        <v>0</v>
      </c>
      <c r="E6075" t="s">
        <v>38398</v>
      </c>
      <c r="F6075" t="s">
        <v>38399</v>
      </c>
      <c r="G6075" t="s">
        <v>38400</v>
      </c>
      <c r="H6075" t="e" vm="2680">
        <f>_FV(0,"07608846493141455")</f>
        <v>#VALUE!</v>
      </c>
      <c r="I6075" t="s">
        <v>38401</v>
      </c>
      <c r="J6075" t="s">
        <v>38402</v>
      </c>
      <c r="K6075" t="s">
        <v>38403</v>
      </c>
      <c r="L6075" t="s">
        <v>38397</v>
      </c>
    </row>
    <row r="6076" spans="1:12" x14ac:dyDescent="0.25">
      <c r="A6076">
        <v>1064381</v>
      </c>
      <c r="B6076">
        <v>1064452</v>
      </c>
      <c r="D6076">
        <v>0</v>
      </c>
      <c r="E6076" t="s">
        <v>38405</v>
      </c>
      <c r="F6076" t="s">
        <v>38406</v>
      </c>
      <c r="G6076" t="s">
        <v>38407</v>
      </c>
      <c r="H6076" t="e" vm="2681">
        <f>_FV(0,"05423030363792507")</f>
        <v>#VALUE!</v>
      </c>
      <c r="I6076" t="s">
        <v>38408</v>
      </c>
      <c r="J6076" t="s">
        <v>38409</v>
      </c>
      <c r="K6076" t="s">
        <v>38410</v>
      </c>
      <c r="L6076" t="s">
        <v>38404</v>
      </c>
    </row>
    <row r="6077" spans="1:12" x14ac:dyDescent="0.25">
      <c r="A6077">
        <v>1064427</v>
      </c>
      <c r="B6077">
        <v>1064452</v>
      </c>
      <c r="D6077">
        <v>0</v>
      </c>
      <c r="E6077" t="s">
        <v>38412</v>
      </c>
      <c r="F6077" t="s">
        <v>38413</v>
      </c>
      <c r="G6077" t="s">
        <v>38414</v>
      </c>
      <c r="H6077" t="e" vm="2682">
        <f>_FV(0,"018712996911798053")</f>
        <v>#VALUE!</v>
      </c>
      <c r="I6077" t="s">
        <v>38415</v>
      </c>
      <c r="J6077" t="s">
        <v>38416</v>
      </c>
      <c r="K6077" t="s">
        <v>38417</v>
      </c>
      <c r="L6077" t="s">
        <v>38411</v>
      </c>
    </row>
    <row r="6078" spans="1:12" x14ac:dyDescent="0.25">
      <c r="A6078">
        <v>1064864</v>
      </c>
      <c r="B6078">
        <v>1064945</v>
      </c>
      <c r="D6078">
        <v>0</v>
      </c>
      <c r="E6078" t="s">
        <v>38419</v>
      </c>
      <c r="F6078" t="s">
        <v>38420</v>
      </c>
      <c r="G6078" t="s">
        <v>38421</v>
      </c>
      <c r="H6078" t="e" vm="2683">
        <f>_FV(0,"04440216128983696")</f>
        <v>#VALUE!</v>
      </c>
      <c r="I6078" t="s">
        <v>38422</v>
      </c>
      <c r="J6078" t="s">
        <v>38423</v>
      </c>
      <c r="K6078" t="s">
        <v>38424</v>
      </c>
      <c r="L6078" t="s">
        <v>38418</v>
      </c>
    </row>
    <row r="6079" spans="1:12" x14ac:dyDescent="0.25">
      <c r="A6079">
        <v>1064864</v>
      </c>
      <c r="B6079">
        <v>1259329</v>
      </c>
      <c r="D6079">
        <v>0</v>
      </c>
      <c r="E6079" t="s">
        <v>38426</v>
      </c>
      <c r="F6079" t="s">
        <v>38427</v>
      </c>
      <c r="G6079" t="s">
        <v>38428</v>
      </c>
      <c r="H6079" t="s">
        <v>38429</v>
      </c>
      <c r="I6079" t="s">
        <v>38430</v>
      </c>
      <c r="J6079" t="s">
        <v>38431</v>
      </c>
      <c r="K6079" t="s">
        <v>38432</v>
      </c>
      <c r="L6079" t="s">
        <v>38425</v>
      </c>
    </row>
    <row r="6080" spans="1:12" x14ac:dyDescent="0.25">
      <c r="A6080">
        <v>1064945</v>
      </c>
      <c r="B6080">
        <v>1259395</v>
      </c>
      <c r="D6080">
        <v>0</v>
      </c>
      <c r="E6080" t="s">
        <v>38434</v>
      </c>
      <c r="F6080" t="s">
        <v>38435</v>
      </c>
      <c r="G6080" t="s">
        <v>38436</v>
      </c>
      <c r="H6080" t="e" vm="2684">
        <f>_FV(0,"0022682818177533126")</f>
        <v>#VALUE!</v>
      </c>
      <c r="I6080" t="s">
        <v>38437</v>
      </c>
      <c r="J6080" t="s">
        <v>38438</v>
      </c>
      <c r="K6080" t="s">
        <v>38439</v>
      </c>
      <c r="L6080" t="s">
        <v>38433</v>
      </c>
    </row>
    <row r="6081" spans="1:12" x14ac:dyDescent="0.25">
      <c r="A6081">
        <v>1064945</v>
      </c>
      <c r="B6081">
        <v>1259348</v>
      </c>
      <c r="D6081">
        <v>0</v>
      </c>
      <c r="F6081">
        <v>1363970</v>
      </c>
      <c r="G6081">
        <v>1064945</v>
      </c>
      <c r="H6081" t="e" vm="47">
        <f>_FV(0,"016")</f>
        <v>#VALUE!</v>
      </c>
      <c r="I6081">
        <v>1259348</v>
      </c>
      <c r="J6081" t="s">
        <v>737</v>
      </c>
      <c r="K6081" t="s">
        <v>38440</v>
      </c>
      <c r="L6081" t="e" vm="47">
        <f>_FV(0,"016")</f>
        <v>#VALUE!</v>
      </c>
    </row>
    <row r="6082" spans="1:12" x14ac:dyDescent="0.25">
      <c r="A6082">
        <v>1064985</v>
      </c>
      <c r="B6082">
        <v>1259467</v>
      </c>
      <c r="D6082">
        <v>0</v>
      </c>
      <c r="E6082" t="s">
        <v>38442</v>
      </c>
      <c r="F6082" t="s">
        <v>38443</v>
      </c>
      <c r="G6082" t="s">
        <v>38444</v>
      </c>
      <c r="H6082" t="s">
        <v>38445</v>
      </c>
      <c r="I6082" t="s">
        <v>38446</v>
      </c>
      <c r="J6082" t="s">
        <v>38447</v>
      </c>
      <c r="K6082" t="s">
        <v>38448</v>
      </c>
      <c r="L6082" t="s">
        <v>38441</v>
      </c>
    </row>
    <row r="6083" spans="1:12" x14ac:dyDescent="0.25">
      <c r="A6083">
        <v>1064985</v>
      </c>
      <c r="B6083">
        <v>1065033</v>
      </c>
      <c r="D6083">
        <v>0</v>
      </c>
      <c r="E6083" t="s">
        <v>38450</v>
      </c>
      <c r="F6083" t="s">
        <v>38451</v>
      </c>
      <c r="G6083" t="s">
        <v>38452</v>
      </c>
      <c r="H6083" t="s">
        <v>38453</v>
      </c>
      <c r="I6083" t="s">
        <v>38454</v>
      </c>
      <c r="J6083" t="s">
        <v>38455</v>
      </c>
      <c r="K6083" t="s">
        <v>38456</v>
      </c>
      <c r="L6083" t="s">
        <v>38449</v>
      </c>
    </row>
    <row r="6084" spans="1:12" x14ac:dyDescent="0.25">
      <c r="A6084">
        <v>1064985</v>
      </c>
      <c r="B6084">
        <v>1082414</v>
      </c>
      <c r="D6084" t="s">
        <v>38458</v>
      </c>
      <c r="E6084" t="s">
        <v>38459</v>
      </c>
      <c r="F6084" t="s">
        <v>38460</v>
      </c>
      <c r="G6084" t="s">
        <v>38461</v>
      </c>
      <c r="H6084" t="s">
        <v>38462</v>
      </c>
      <c r="I6084" t="s">
        <v>38463</v>
      </c>
      <c r="J6084" t="s">
        <v>38464</v>
      </c>
      <c r="K6084" t="s">
        <v>38465</v>
      </c>
      <c r="L6084" t="s">
        <v>38457</v>
      </c>
    </row>
    <row r="6085" spans="1:12" x14ac:dyDescent="0.25">
      <c r="A6085">
        <v>1065033</v>
      </c>
      <c r="B6085">
        <v>1259524</v>
      </c>
      <c r="D6085">
        <v>0</v>
      </c>
      <c r="E6085" t="s">
        <v>38466</v>
      </c>
      <c r="F6085" t="s">
        <v>38467</v>
      </c>
      <c r="G6085" t="s">
        <v>38468</v>
      </c>
      <c r="H6085" t="s">
        <v>38469</v>
      </c>
      <c r="I6085" t="s">
        <v>38470</v>
      </c>
      <c r="J6085" t="s">
        <v>6150</v>
      </c>
      <c r="K6085" t="s">
        <v>38471</v>
      </c>
      <c r="L6085" t="s">
        <v>6150</v>
      </c>
    </row>
    <row r="6086" spans="1:12" x14ac:dyDescent="0.25">
      <c r="A6086">
        <v>1065033</v>
      </c>
      <c r="B6086">
        <v>1259544</v>
      </c>
      <c r="D6086">
        <v>0</v>
      </c>
      <c r="F6086">
        <v>1364186</v>
      </c>
      <c r="G6086">
        <v>1065033</v>
      </c>
      <c r="H6086" t="s">
        <v>1629</v>
      </c>
      <c r="I6086">
        <v>1259544</v>
      </c>
      <c r="J6086" t="s">
        <v>1629</v>
      </c>
      <c r="K6086" t="s">
        <v>38472</v>
      </c>
      <c r="L6086" t="s">
        <v>1629</v>
      </c>
    </row>
    <row r="6087" spans="1:12" x14ac:dyDescent="0.25">
      <c r="A6087">
        <v>1067528</v>
      </c>
      <c r="B6087">
        <v>1067554</v>
      </c>
      <c r="D6087">
        <v>0</v>
      </c>
      <c r="E6087" t="s">
        <v>38474</v>
      </c>
      <c r="F6087" t="s">
        <v>38475</v>
      </c>
      <c r="G6087" t="s">
        <v>38476</v>
      </c>
      <c r="H6087" t="e" vm="2685">
        <f>_FV(0,"06415500863411396")</f>
        <v>#VALUE!</v>
      </c>
      <c r="I6087" t="s">
        <v>38477</v>
      </c>
      <c r="J6087" t="s">
        <v>38478</v>
      </c>
      <c r="K6087" t="s">
        <v>38479</v>
      </c>
      <c r="L6087" t="s">
        <v>38473</v>
      </c>
    </row>
    <row r="6088" spans="1:12" x14ac:dyDescent="0.25">
      <c r="A6088">
        <v>1067528</v>
      </c>
      <c r="B6088">
        <v>1067598</v>
      </c>
      <c r="D6088">
        <v>0</v>
      </c>
      <c r="E6088" t="s">
        <v>38481</v>
      </c>
      <c r="F6088" t="s">
        <v>38482</v>
      </c>
      <c r="G6088" t="s">
        <v>38483</v>
      </c>
      <c r="H6088" t="e" vm="2686">
        <f>_FV(0,"025249015917283086")</f>
        <v>#VALUE!</v>
      </c>
      <c r="I6088" t="s">
        <v>38484</v>
      </c>
      <c r="J6088" t="s">
        <v>38485</v>
      </c>
      <c r="K6088" t="s">
        <v>38486</v>
      </c>
      <c r="L6088" t="s">
        <v>38480</v>
      </c>
    </row>
    <row r="6089" spans="1:12" x14ac:dyDescent="0.25">
      <c r="A6089">
        <v>1067528</v>
      </c>
      <c r="B6089">
        <v>918139</v>
      </c>
      <c r="D6089">
        <v>0</v>
      </c>
      <c r="E6089" t="s">
        <v>38488</v>
      </c>
      <c r="F6089" t="s">
        <v>38489</v>
      </c>
      <c r="G6089" t="s">
        <v>38490</v>
      </c>
      <c r="H6089" t="e" vm="2687">
        <f>_FV(0,"08361853671010697")</f>
        <v>#VALUE!</v>
      </c>
      <c r="I6089" t="s">
        <v>38491</v>
      </c>
      <c r="J6089" t="s">
        <v>38492</v>
      </c>
      <c r="K6089" t="s">
        <v>38493</v>
      </c>
      <c r="L6089" t="s">
        <v>38487</v>
      </c>
    </row>
    <row r="6090" spans="1:12" x14ac:dyDescent="0.25">
      <c r="A6090">
        <v>1067554</v>
      </c>
      <c r="B6090">
        <v>1067571</v>
      </c>
      <c r="D6090">
        <v>0</v>
      </c>
      <c r="E6090" t="s">
        <v>38495</v>
      </c>
      <c r="F6090" t="s">
        <v>38496</v>
      </c>
      <c r="G6090" t="s">
        <v>38497</v>
      </c>
      <c r="H6090" t="s">
        <v>38498</v>
      </c>
      <c r="I6090" t="s">
        <v>38499</v>
      </c>
      <c r="J6090" t="s">
        <v>38494</v>
      </c>
      <c r="K6090" t="s">
        <v>38500</v>
      </c>
      <c r="L6090" t="s">
        <v>38494</v>
      </c>
    </row>
    <row r="6091" spans="1:12" x14ac:dyDescent="0.25">
      <c r="A6091">
        <v>1067554</v>
      </c>
      <c r="B6091">
        <v>1067779</v>
      </c>
      <c r="D6091">
        <v>0</v>
      </c>
      <c r="E6091" t="s">
        <v>38502</v>
      </c>
      <c r="F6091" t="s">
        <v>38503</v>
      </c>
      <c r="G6091" t="s">
        <v>38504</v>
      </c>
      <c r="H6091" t="e" vm="2688">
        <f>_FV(0,"029626692266986308")</f>
        <v>#VALUE!</v>
      </c>
      <c r="I6091" t="s">
        <v>38505</v>
      </c>
      <c r="J6091" t="s">
        <v>38506</v>
      </c>
      <c r="K6091" t="s">
        <v>38507</v>
      </c>
      <c r="L6091" t="s">
        <v>38501</v>
      </c>
    </row>
    <row r="6092" spans="1:12" x14ac:dyDescent="0.25">
      <c r="A6092">
        <v>1067571</v>
      </c>
      <c r="B6092">
        <v>1067598</v>
      </c>
      <c r="D6092">
        <v>0</v>
      </c>
      <c r="E6092" t="s">
        <v>38509</v>
      </c>
      <c r="F6092" t="s">
        <v>38510</v>
      </c>
      <c r="G6092" t="s">
        <v>38511</v>
      </c>
      <c r="H6092" t="s">
        <v>38512</v>
      </c>
      <c r="I6092" t="s">
        <v>38513</v>
      </c>
      <c r="J6092" t="s">
        <v>38508</v>
      </c>
      <c r="K6092" t="s">
        <v>38514</v>
      </c>
      <c r="L6092" t="s">
        <v>38508</v>
      </c>
    </row>
    <row r="6093" spans="1:12" x14ac:dyDescent="0.25">
      <c r="A6093">
        <v>1067571</v>
      </c>
      <c r="B6093">
        <v>1067779</v>
      </c>
      <c r="D6093">
        <v>0</v>
      </c>
      <c r="E6093" t="s">
        <v>38516</v>
      </c>
      <c r="F6093" t="s">
        <v>38517</v>
      </c>
      <c r="G6093" t="s">
        <v>38518</v>
      </c>
      <c r="H6093" t="e" vm="2689">
        <f>_FV(0,"06649974930150461")</f>
        <v>#VALUE!</v>
      </c>
      <c r="I6093" t="s">
        <v>38519</v>
      </c>
      <c r="J6093" t="s">
        <v>38520</v>
      </c>
      <c r="K6093" t="s">
        <v>38521</v>
      </c>
      <c r="L6093" t="s">
        <v>38515</v>
      </c>
    </row>
    <row r="6094" spans="1:12" x14ac:dyDescent="0.25">
      <c r="A6094">
        <v>1067598</v>
      </c>
      <c r="B6094">
        <v>918139</v>
      </c>
      <c r="D6094">
        <v>0</v>
      </c>
      <c r="E6094" t="s">
        <v>38523</v>
      </c>
      <c r="F6094" t="s">
        <v>38524</v>
      </c>
      <c r="G6094" t="s">
        <v>38525</v>
      </c>
      <c r="H6094" t="e" vm="2690">
        <f>_FV(0,"07554507325222319")</f>
        <v>#VALUE!</v>
      </c>
      <c r="I6094" t="s">
        <v>38526</v>
      </c>
      <c r="J6094" t="s">
        <v>38527</v>
      </c>
      <c r="K6094" t="s">
        <v>38528</v>
      </c>
      <c r="L6094" t="s">
        <v>38522</v>
      </c>
    </row>
    <row r="6095" spans="1:12" x14ac:dyDescent="0.25">
      <c r="A6095">
        <v>1068469</v>
      </c>
      <c r="B6095">
        <v>1068477</v>
      </c>
      <c r="D6095">
        <v>0</v>
      </c>
      <c r="F6095">
        <v>1130645</v>
      </c>
      <c r="G6095">
        <v>1068477</v>
      </c>
      <c r="H6095" t="s">
        <v>187</v>
      </c>
      <c r="I6095">
        <v>1068469</v>
      </c>
      <c r="J6095" t="s">
        <v>187</v>
      </c>
      <c r="K6095" t="s">
        <v>38529</v>
      </c>
      <c r="L6095" t="s">
        <v>187</v>
      </c>
    </row>
    <row r="6096" spans="1:12" x14ac:dyDescent="0.25">
      <c r="A6096">
        <v>1068469</v>
      </c>
      <c r="B6096">
        <v>1068550</v>
      </c>
      <c r="D6096">
        <v>0</v>
      </c>
      <c r="E6096" t="s">
        <v>38531</v>
      </c>
      <c r="F6096" t="s">
        <v>38532</v>
      </c>
      <c r="G6096" t="s">
        <v>38533</v>
      </c>
      <c r="H6096" t="s">
        <v>38534</v>
      </c>
      <c r="I6096" t="s">
        <v>38535</v>
      </c>
      <c r="J6096" t="s">
        <v>38536</v>
      </c>
      <c r="K6096" t="s">
        <v>38537</v>
      </c>
      <c r="L6096" t="s">
        <v>38530</v>
      </c>
    </row>
    <row r="6097" spans="1:12" x14ac:dyDescent="0.25">
      <c r="A6097">
        <v>1068477</v>
      </c>
      <c r="B6097">
        <v>1356777</v>
      </c>
      <c r="D6097">
        <v>0</v>
      </c>
      <c r="F6097">
        <v>1537298</v>
      </c>
      <c r="G6097">
        <v>1356777</v>
      </c>
      <c r="H6097" t="e" vm="836">
        <f>_FV(0,"083")</f>
        <v>#VALUE!</v>
      </c>
      <c r="I6097">
        <v>1068477</v>
      </c>
      <c r="J6097" t="s">
        <v>12146</v>
      </c>
      <c r="K6097" t="s">
        <v>38538</v>
      </c>
      <c r="L6097" t="e" vm="836">
        <f>_FV(0,"083")</f>
        <v>#VALUE!</v>
      </c>
    </row>
    <row r="6098" spans="1:12" x14ac:dyDescent="0.25">
      <c r="A6098">
        <v>1068477</v>
      </c>
      <c r="B6098">
        <v>1068485</v>
      </c>
      <c r="D6098">
        <v>0</v>
      </c>
      <c r="E6098" t="s">
        <v>38540</v>
      </c>
      <c r="F6098" t="s">
        <v>38541</v>
      </c>
      <c r="G6098" t="s">
        <v>38542</v>
      </c>
      <c r="H6098" t="e" vm="2691">
        <f>_FV(0,"08634212137092198")</f>
        <v>#VALUE!</v>
      </c>
      <c r="I6098" t="s">
        <v>38543</v>
      </c>
      <c r="J6098" t="s">
        <v>38544</v>
      </c>
      <c r="K6098" t="s">
        <v>38545</v>
      </c>
      <c r="L6098" t="s">
        <v>38539</v>
      </c>
    </row>
    <row r="6099" spans="1:12" x14ac:dyDescent="0.25">
      <c r="A6099">
        <v>1068485</v>
      </c>
      <c r="B6099">
        <v>1356754</v>
      </c>
      <c r="D6099">
        <v>0</v>
      </c>
      <c r="E6099" t="s">
        <v>38547</v>
      </c>
      <c r="F6099" t="s">
        <v>38548</v>
      </c>
      <c r="G6099" t="s">
        <v>38549</v>
      </c>
      <c r="H6099" t="e" vm="2692">
        <f>_FV(0,"05471528890594339")</f>
        <v>#VALUE!</v>
      </c>
      <c r="I6099" t="s">
        <v>38550</v>
      </c>
      <c r="J6099" t="s">
        <v>38551</v>
      </c>
      <c r="K6099" t="s">
        <v>38552</v>
      </c>
      <c r="L6099" t="s">
        <v>38546</v>
      </c>
    </row>
    <row r="6100" spans="1:12" x14ac:dyDescent="0.25">
      <c r="A6100">
        <v>1068485</v>
      </c>
      <c r="B6100">
        <v>1068594</v>
      </c>
      <c r="D6100">
        <v>0</v>
      </c>
      <c r="E6100" t="s">
        <v>38554</v>
      </c>
      <c r="F6100" t="s">
        <v>38555</v>
      </c>
      <c r="G6100" t="s">
        <v>38556</v>
      </c>
      <c r="H6100" t="s">
        <v>38557</v>
      </c>
      <c r="I6100" t="s">
        <v>38558</v>
      </c>
      <c r="J6100" t="s">
        <v>38553</v>
      </c>
      <c r="K6100" t="s">
        <v>38559</v>
      </c>
      <c r="L6100" t="s">
        <v>38553</v>
      </c>
    </row>
    <row r="6101" spans="1:12" x14ac:dyDescent="0.25">
      <c r="A6101">
        <v>1068515</v>
      </c>
      <c r="B6101">
        <v>1068550</v>
      </c>
      <c r="D6101">
        <v>0</v>
      </c>
      <c r="E6101" t="s">
        <v>38561</v>
      </c>
      <c r="F6101" t="s">
        <v>38562</v>
      </c>
      <c r="G6101" t="s">
        <v>38563</v>
      </c>
      <c r="H6101" t="e" vm="2693">
        <f>_FV(0,"0015112197120263405")</f>
        <v>#VALUE!</v>
      </c>
      <c r="I6101" t="s">
        <v>38564</v>
      </c>
      <c r="J6101" t="s">
        <v>38565</v>
      </c>
      <c r="K6101" t="s">
        <v>38566</v>
      </c>
      <c r="L6101" t="s">
        <v>38560</v>
      </c>
    </row>
    <row r="6102" spans="1:12" x14ac:dyDescent="0.25">
      <c r="A6102">
        <v>1068515</v>
      </c>
      <c r="B6102">
        <v>1356700</v>
      </c>
      <c r="C6102" t="s">
        <v>38568</v>
      </c>
      <c r="D6102">
        <v>0</v>
      </c>
      <c r="E6102" t="s">
        <v>38569</v>
      </c>
      <c r="F6102" t="s">
        <v>38570</v>
      </c>
      <c r="G6102" t="s">
        <v>38571</v>
      </c>
      <c r="H6102" t="e" vm="2694">
        <f>_FV(0,"012764618133777812")</f>
        <v>#VALUE!</v>
      </c>
      <c r="I6102" t="s">
        <v>38572</v>
      </c>
      <c r="J6102" t="s">
        <v>38573</v>
      </c>
      <c r="K6102" t="s">
        <v>38574</v>
      </c>
      <c r="L6102" t="s">
        <v>38567</v>
      </c>
    </row>
    <row r="6103" spans="1:12" x14ac:dyDescent="0.25">
      <c r="A6103">
        <v>1068515</v>
      </c>
      <c r="B6103">
        <v>1406055</v>
      </c>
      <c r="D6103">
        <v>0</v>
      </c>
      <c r="E6103" t="s">
        <v>38576</v>
      </c>
      <c r="F6103" t="s">
        <v>38577</v>
      </c>
      <c r="G6103" t="s">
        <v>38578</v>
      </c>
      <c r="H6103" t="s">
        <v>38579</v>
      </c>
      <c r="I6103" t="s">
        <v>38580</v>
      </c>
      <c r="J6103" t="s">
        <v>38581</v>
      </c>
      <c r="K6103" t="s">
        <v>38582</v>
      </c>
      <c r="L6103" t="s">
        <v>38575</v>
      </c>
    </row>
    <row r="6104" spans="1:12" x14ac:dyDescent="0.25">
      <c r="A6104">
        <v>1068550</v>
      </c>
      <c r="B6104">
        <v>1068757</v>
      </c>
      <c r="D6104" t="s">
        <v>33245</v>
      </c>
      <c r="E6104" t="s">
        <v>38584</v>
      </c>
      <c r="F6104" t="s">
        <v>38585</v>
      </c>
      <c r="G6104" t="s">
        <v>38586</v>
      </c>
      <c r="H6104" t="s">
        <v>38587</v>
      </c>
      <c r="I6104" t="s">
        <v>38588</v>
      </c>
      <c r="J6104" t="s">
        <v>38589</v>
      </c>
      <c r="K6104" t="s">
        <v>38590</v>
      </c>
      <c r="L6104" t="s">
        <v>38583</v>
      </c>
    </row>
    <row r="6105" spans="1:12" x14ac:dyDescent="0.25">
      <c r="A6105">
        <v>1068586</v>
      </c>
      <c r="B6105">
        <v>1068594</v>
      </c>
      <c r="D6105">
        <v>0</v>
      </c>
      <c r="F6105">
        <v>1130757</v>
      </c>
      <c r="G6105">
        <v>1068594</v>
      </c>
      <c r="H6105" t="e" vm="62">
        <f>_FV(0,"008")</f>
        <v>#VALUE!</v>
      </c>
      <c r="I6105">
        <v>1068586</v>
      </c>
      <c r="J6105" t="s">
        <v>241</v>
      </c>
      <c r="K6105" t="s">
        <v>38591</v>
      </c>
      <c r="L6105" t="e" vm="62">
        <f>_FV(0,"008")</f>
        <v>#VALUE!</v>
      </c>
    </row>
    <row r="6106" spans="1:12" x14ac:dyDescent="0.25">
      <c r="A6106">
        <v>1068586</v>
      </c>
      <c r="B6106">
        <v>1356687</v>
      </c>
      <c r="C6106" t="s">
        <v>38593</v>
      </c>
      <c r="D6106">
        <v>0</v>
      </c>
      <c r="E6106" t="s">
        <v>38594</v>
      </c>
      <c r="F6106" t="s">
        <v>38595</v>
      </c>
      <c r="G6106" t="s">
        <v>38596</v>
      </c>
      <c r="H6106" t="s">
        <v>38597</v>
      </c>
      <c r="I6106" t="s">
        <v>38598</v>
      </c>
      <c r="J6106" t="s">
        <v>38599</v>
      </c>
      <c r="K6106" t="s">
        <v>38600</v>
      </c>
      <c r="L6106" t="s">
        <v>38592</v>
      </c>
    </row>
    <row r="6107" spans="1:12" x14ac:dyDescent="0.25">
      <c r="A6107">
        <v>1068594</v>
      </c>
      <c r="B6107">
        <v>1068752</v>
      </c>
      <c r="C6107" t="s">
        <v>38602</v>
      </c>
      <c r="D6107" t="s">
        <v>38603</v>
      </c>
      <c r="E6107" t="s">
        <v>38604</v>
      </c>
      <c r="F6107" t="s">
        <v>38605</v>
      </c>
      <c r="G6107" t="s">
        <v>38606</v>
      </c>
      <c r="H6107" t="s">
        <v>38607</v>
      </c>
      <c r="I6107" t="s">
        <v>38608</v>
      </c>
      <c r="J6107" t="s">
        <v>38609</v>
      </c>
      <c r="K6107" t="s">
        <v>38610</v>
      </c>
      <c r="L6107" t="s">
        <v>38601</v>
      </c>
    </row>
    <row r="6108" spans="1:12" x14ac:dyDescent="0.25">
      <c r="A6108">
        <v>1068637</v>
      </c>
      <c r="B6108">
        <v>1356131</v>
      </c>
      <c r="D6108">
        <v>0</v>
      </c>
      <c r="E6108" t="s">
        <v>38612</v>
      </c>
      <c r="F6108" t="s">
        <v>38613</v>
      </c>
      <c r="G6108" t="s">
        <v>38614</v>
      </c>
      <c r="H6108" t="e" vm="2695">
        <f>_FV(0,"0700564558118237")</f>
        <v>#VALUE!</v>
      </c>
      <c r="I6108" t="s">
        <v>38615</v>
      </c>
      <c r="J6108" t="s">
        <v>38616</v>
      </c>
      <c r="K6108" t="s">
        <v>38617</v>
      </c>
      <c r="L6108" t="s">
        <v>38611</v>
      </c>
    </row>
    <row r="6109" spans="1:12" x14ac:dyDescent="0.25">
      <c r="A6109">
        <v>1068637</v>
      </c>
      <c r="B6109">
        <v>1068643</v>
      </c>
      <c r="D6109">
        <v>0</v>
      </c>
      <c r="E6109" t="s">
        <v>38619</v>
      </c>
      <c r="F6109" t="s">
        <v>38620</v>
      </c>
      <c r="G6109" t="s">
        <v>38621</v>
      </c>
      <c r="H6109" t="s">
        <v>38622</v>
      </c>
      <c r="I6109" t="s">
        <v>38623</v>
      </c>
      <c r="J6109" t="s">
        <v>38624</v>
      </c>
      <c r="K6109" t="s">
        <v>38625</v>
      </c>
      <c r="L6109" t="s">
        <v>38618</v>
      </c>
    </row>
    <row r="6110" spans="1:12" x14ac:dyDescent="0.25">
      <c r="A6110">
        <v>1068637</v>
      </c>
      <c r="B6110">
        <v>1356102</v>
      </c>
      <c r="D6110">
        <v>0</v>
      </c>
      <c r="E6110" t="s">
        <v>38627</v>
      </c>
      <c r="F6110" t="s">
        <v>38628</v>
      </c>
      <c r="G6110" t="s">
        <v>38629</v>
      </c>
      <c r="H6110" t="s">
        <v>38630</v>
      </c>
      <c r="I6110" t="s">
        <v>38631</v>
      </c>
      <c r="J6110" t="s">
        <v>38632</v>
      </c>
      <c r="K6110" t="s">
        <v>38633</v>
      </c>
      <c r="L6110" t="s">
        <v>38626</v>
      </c>
    </row>
    <row r="6111" spans="1:12" x14ac:dyDescent="0.25">
      <c r="A6111">
        <v>1068643</v>
      </c>
      <c r="B6111">
        <v>1362035</v>
      </c>
      <c r="D6111" t="s">
        <v>1494</v>
      </c>
      <c r="E6111" t="s">
        <v>38635</v>
      </c>
      <c r="F6111" t="s">
        <v>38636</v>
      </c>
      <c r="G6111" t="s">
        <v>38637</v>
      </c>
      <c r="H6111" t="s">
        <v>38638</v>
      </c>
      <c r="I6111" t="s">
        <v>38639</v>
      </c>
      <c r="J6111" t="s">
        <v>38640</v>
      </c>
      <c r="K6111" t="s">
        <v>38641</v>
      </c>
      <c r="L6111" t="s">
        <v>38634</v>
      </c>
    </row>
    <row r="6112" spans="1:12" x14ac:dyDescent="0.25">
      <c r="A6112">
        <v>1068643</v>
      </c>
      <c r="B6112">
        <v>1068752</v>
      </c>
      <c r="C6112" t="s">
        <v>38643</v>
      </c>
      <c r="D6112">
        <v>0</v>
      </c>
      <c r="E6112" t="s">
        <v>38644</v>
      </c>
      <c r="F6112" t="s">
        <v>38645</v>
      </c>
      <c r="G6112" t="s">
        <v>38646</v>
      </c>
      <c r="H6112" t="s">
        <v>38647</v>
      </c>
      <c r="I6112" t="s">
        <v>38648</v>
      </c>
      <c r="J6112" t="s">
        <v>38649</v>
      </c>
      <c r="K6112" t="s">
        <v>38650</v>
      </c>
      <c r="L6112" t="s">
        <v>38642</v>
      </c>
    </row>
    <row r="6113" spans="1:12" x14ac:dyDescent="0.25">
      <c r="A6113">
        <v>1068655</v>
      </c>
      <c r="B6113">
        <v>1068661</v>
      </c>
      <c r="D6113">
        <v>0</v>
      </c>
      <c r="E6113" t="s">
        <v>38652</v>
      </c>
      <c r="F6113" t="s">
        <v>38653</v>
      </c>
      <c r="G6113" t="s">
        <v>38654</v>
      </c>
      <c r="H6113" t="e" vm="2696">
        <f>_FV(0,"04442552171800291")</f>
        <v>#VALUE!</v>
      </c>
      <c r="I6113" t="s">
        <v>38655</v>
      </c>
      <c r="J6113" t="s">
        <v>38656</v>
      </c>
      <c r="K6113" t="s">
        <v>38657</v>
      </c>
      <c r="L6113" t="s">
        <v>38651</v>
      </c>
    </row>
    <row r="6114" spans="1:12" x14ac:dyDescent="0.25">
      <c r="A6114">
        <v>1068655</v>
      </c>
      <c r="B6114">
        <v>1356700</v>
      </c>
      <c r="D6114" t="s">
        <v>330</v>
      </c>
      <c r="E6114" t="s">
        <v>38659</v>
      </c>
      <c r="F6114" t="s">
        <v>38660</v>
      </c>
      <c r="G6114" t="s">
        <v>38661</v>
      </c>
      <c r="H6114" t="e" vm="2697">
        <f>_FV(0,"0006600086785664468")</f>
        <v>#VALUE!</v>
      </c>
      <c r="I6114" t="s">
        <v>38662</v>
      </c>
      <c r="J6114" t="s">
        <v>38663</v>
      </c>
      <c r="K6114" t="s">
        <v>38664</v>
      </c>
      <c r="L6114" t="s">
        <v>38658</v>
      </c>
    </row>
    <row r="6115" spans="1:12" x14ac:dyDescent="0.25">
      <c r="A6115">
        <v>1068661</v>
      </c>
      <c r="B6115">
        <v>1356641</v>
      </c>
      <c r="D6115">
        <v>0</v>
      </c>
      <c r="E6115" t="s">
        <v>38666</v>
      </c>
      <c r="F6115" t="s">
        <v>38667</v>
      </c>
      <c r="G6115" t="s">
        <v>38668</v>
      </c>
      <c r="H6115" t="s">
        <v>38669</v>
      </c>
      <c r="I6115" t="s">
        <v>38670</v>
      </c>
      <c r="J6115" t="s">
        <v>38671</v>
      </c>
      <c r="K6115" t="s">
        <v>38672</v>
      </c>
      <c r="L6115" t="s">
        <v>38665</v>
      </c>
    </row>
    <row r="6116" spans="1:12" x14ac:dyDescent="0.25">
      <c r="A6116">
        <v>1068752</v>
      </c>
      <c r="B6116">
        <v>1068757</v>
      </c>
      <c r="C6116" t="s">
        <v>38674</v>
      </c>
      <c r="D6116">
        <v>0</v>
      </c>
      <c r="E6116" t="s">
        <v>38675</v>
      </c>
      <c r="F6116" t="s">
        <v>38676</v>
      </c>
      <c r="G6116" t="s">
        <v>38677</v>
      </c>
      <c r="H6116" t="e" vm="2698">
        <f>_FV(0,"016876741300390703")</f>
        <v>#VALUE!</v>
      </c>
      <c r="I6116" t="s">
        <v>38678</v>
      </c>
      <c r="J6116" t="s">
        <v>38679</v>
      </c>
      <c r="K6116" t="s">
        <v>38680</v>
      </c>
      <c r="L6116" t="s">
        <v>38673</v>
      </c>
    </row>
    <row r="6117" spans="1:12" x14ac:dyDescent="0.25">
      <c r="A6117">
        <v>1068757</v>
      </c>
      <c r="B6117">
        <v>1068811</v>
      </c>
      <c r="D6117">
        <v>0</v>
      </c>
      <c r="E6117" t="s">
        <v>38682</v>
      </c>
      <c r="F6117" t="s">
        <v>38683</v>
      </c>
      <c r="G6117" t="s">
        <v>38684</v>
      </c>
      <c r="H6117" t="s">
        <v>38685</v>
      </c>
      <c r="I6117" t="s">
        <v>38686</v>
      </c>
      <c r="J6117" t="s">
        <v>38687</v>
      </c>
      <c r="K6117" t="s">
        <v>38688</v>
      </c>
      <c r="L6117" t="s">
        <v>38681</v>
      </c>
    </row>
    <row r="6118" spans="1:12" x14ac:dyDescent="0.25">
      <c r="A6118">
        <v>1068811</v>
      </c>
      <c r="B6118">
        <v>1363690</v>
      </c>
      <c r="D6118" t="s">
        <v>1494</v>
      </c>
      <c r="E6118" t="s">
        <v>38690</v>
      </c>
      <c r="F6118" t="s">
        <v>38691</v>
      </c>
      <c r="G6118" t="s">
        <v>38692</v>
      </c>
      <c r="H6118" t="s">
        <v>38693</v>
      </c>
      <c r="I6118" t="s">
        <v>38694</v>
      </c>
      <c r="J6118" t="s">
        <v>38695</v>
      </c>
      <c r="K6118" t="s">
        <v>38696</v>
      </c>
      <c r="L6118" t="s">
        <v>38689</v>
      </c>
    </row>
    <row r="6119" spans="1:12" x14ac:dyDescent="0.25">
      <c r="A6119">
        <v>1068811</v>
      </c>
      <c r="B6119">
        <v>1356103</v>
      </c>
      <c r="D6119" t="s">
        <v>514</v>
      </c>
      <c r="E6119" t="s">
        <v>38698</v>
      </c>
      <c r="F6119" t="s">
        <v>38699</v>
      </c>
      <c r="G6119" t="s">
        <v>38700</v>
      </c>
      <c r="H6119" t="s">
        <v>38701</v>
      </c>
      <c r="I6119" t="s">
        <v>38702</v>
      </c>
      <c r="J6119" t="s">
        <v>38703</v>
      </c>
      <c r="K6119" t="s">
        <v>38704</v>
      </c>
      <c r="L6119" t="s">
        <v>38697</v>
      </c>
    </row>
    <row r="6120" spans="1:12" x14ac:dyDescent="0.25">
      <c r="A6120">
        <v>1068920</v>
      </c>
      <c r="B6120">
        <v>1356715</v>
      </c>
      <c r="D6120" t="s">
        <v>514</v>
      </c>
      <c r="E6120" t="s">
        <v>38706</v>
      </c>
      <c r="F6120" t="s">
        <v>38707</v>
      </c>
      <c r="G6120" t="s">
        <v>38708</v>
      </c>
      <c r="H6120" t="e" vm="2699">
        <f>_FV(0,"02164597443009411")</f>
        <v>#VALUE!</v>
      </c>
      <c r="I6120" t="s">
        <v>38709</v>
      </c>
      <c r="J6120" t="s">
        <v>38710</v>
      </c>
      <c r="K6120" t="s">
        <v>38711</v>
      </c>
      <c r="L6120" t="s">
        <v>38705</v>
      </c>
    </row>
    <row r="6121" spans="1:12" x14ac:dyDescent="0.25">
      <c r="A6121">
        <v>1068920</v>
      </c>
      <c r="B6121">
        <v>1356687</v>
      </c>
      <c r="D6121">
        <v>0</v>
      </c>
      <c r="E6121" t="s">
        <v>38713</v>
      </c>
      <c r="F6121" t="s">
        <v>38714</v>
      </c>
      <c r="G6121" t="s">
        <v>38715</v>
      </c>
      <c r="H6121" t="e" vm="2700">
        <f>_FV(0,"03279402612376172")</f>
        <v>#VALUE!</v>
      </c>
      <c r="I6121" t="s">
        <v>38716</v>
      </c>
      <c r="J6121" t="s">
        <v>38717</v>
      </c>
      <c r="K6121" t="s">
        <v>38718</v>
      </c>
      <c r="L6121" t="s">
        <v>38712</v>
      </c>
    </row>
    <row r="6122" spans="1:12" x14ac:dyDescent="0.25">
      <c r="A6122">
        <v>1071996</v>
      </c>
      <c r="B6122">
        <v>1072002</v>
      </c>
      <c r="D6122">
        <v>0</v>
      </c>
      <c r="E6122" t="s">
        <v>38720</v>
      </c>
      <c r="F6122" t="s">
        <v>38721</v>
      </c>
      <c r="G6122" t="s">
        <v>38722</v>
      </c>
      <c r="H6122" t="s">
        <v>38723</v>
      </c>
      <c r="I6122" t="s">
        <v>38724</v>
      </c>
      <c r="J6122" t="s">
        <v>38719</v>
      </c>
      <c r="K6122" t="s">
        <v>38725</v>
      </c>
      <c r="L6122" t="s">
        <v>38719</v>
      </c>
    </row>
    <row r="6123" spans="1:12" x14ac:dyDescent="0.25">
      <c r="A6123">
        <v>1071996</v>
      </c>
      <c r="B6123">
        <v>1072019</v>
      </c>
      <c r="D6123">
        <v>0</v>
      </c>
      <c r="E6123" t="s">
        <v>38727</v>
      </c>
      <c r="F6123" t="s">
        <v>38728</v>
      </c>
      <c r="G6123" t="s">
        <v>38729</v>
      </c>
      <c r="H6123" t="s">
        <v>38730</v>
      </c>
      <c r="I6123" t="s">
        <v>38731</v>
      </c>
      <c r="J6123" t="s">
        <v>38726</v>
      </c>
      <c r="K6123" t="s">
        <v>38732</v>
      </c>
      <c r="L6123" t="s">
        <v>38726</v>
      </c>
    </row>
    <row r="6124" spans="1:12" x14ac:dyDescent="0.25">
      <c r="A6124">
        <v>1071996</v>
      </c>
      <c r="B6124">
        <v>1072147</v>
      </c>
      <c r="D6124">
        <v>0</v>
      </c>
      <c r="F6124">
        <v>1138693</v>
      </c>
      <c r="G6124">
        <v>1071996</v>
      </c>
      <c r="H6124" t="e" vm="572">
        <f>_FV(0,"021")</f>
        <v>#VALUE!</v>
      </c>
      <c r="I6124">
        <v>1072147</v>
      </c>
      <c r="J6124" t="s">
        <v>1536</v>
      </c>
      <c r="K6124" t="s">
        <v>38733</v>
      </c>
      <c r="L6124" t="e" vm="572">
        <f>_FV(0,"021")</f>
        <v>#VALUE!</v>
      </c>
    </row>
    <row r="6125" spans="1:12" x14ac:dyDescent="0.25">
      <c r="A6125">
        <v>1072002</v>
      </c>
      <c r="B6125">
        <v>1072019</v>
      </c>
      <c r="D6125">
        <v>0</v>
      </c>
      <c r="E6125" t="s">
        <v>38735</v>
      </c>
      <c r="F6125" t="s">
        <v>38736</v>
      </c>
      <c r="G6125" t="s">
        <v>38737</v>
      </c>
      <c r="H6125" t="s">
        <v>38738</v>
      </c>
      <c r="I6125" t="s">
        <v>38739</v>
      </c>
      <c r="J6125" t="s">
        <v>38734</v>
      </c>
      <c r="K6125" t="s">
        <v>38740</v>
      </c>
      <c r="L6125" t="s">
        <v>38734</v>
      </c>
    </row>
    <row r="6126" spans="1:12" x14ac:dyDescent="0.25">
      <c r="A6126">
        <v>1072028</v>
      </c>
      <c r="B6126">
        <v>1072147</v>
      </c>
      <c r="D6126">
        <v>0</v>
      </c>
      <c r="E6126" t="s">
        <v>38742</v>
      </c>
      <c r="F6126" t="s">
        <v>38743</v>
      </c>
      <c r="G6126" t="s">
        <v>38744</v>
      </c>
      <c r="H6126" t="e" vm="2701">
        <f>_FV(0,"007882119574432474")</f>
        <v>#VALUE!</v>
      </c>
      <c r="I6126" t="s">
        <v>38745</v>
      </c>
      <c r="J6126" t="s">
        <v>38746</v>
      </c>
      <c r="K6126" t="s">
        <v>38747</v>
      </c>
      <c r="L6126" t="s">
        <v>38741</v>
      </c>
    </row>
    <row r="6127" spans="1:12" x14ac:dyDescent="0.25">
      <c r="A6127">
        <v>1072028</v>
      </c>
      <c r="B6127">
        <v>1072160</v>
      </c>
      <c r="D6127">
        <v>0</v>
      </c>
      <c r="E6127" t="s">
        <v>38749</v>
      </c>
      <c r="F6127" t="s">
        <v>38750</v>
      </c>
      <c r="G6127" t="s">
        <v>38751</v>
      </c>
      <c r="H6127" t="e" vm="2702">
        <f>_FV(0,"02564280142461916")</f>
        <v>#VALUE!</v>
      </c>
      <c r="I6127" t="s">
        <v>38752</v>
      </c>
      <c r="J6127" t="s">
        <v>38753</v>
      </c>
      <c r="K6127" t="s">
        <v>38754</v>
      </c>
      <c r="L6127" t="s">
        <v>38748</v>
      </c>
    </row>
    <row r="6128" spans="1:12" x14ac:dyDescent="0.25">
      <c r="A6128">
        <v>1072028</v>
      </c>
      <c r="B6128">
        <v>1112244</v>
      </c>
      <c r="D6128">
        <v>0</v>
      </c>
      <c r="E6128" t="s">
        <v>38756</v>
      </c>
      <c r="F6128" t="s">
        <v>38757</v>
      </c>
      <c r="G6128" t="s">
        <v>38758</v>
      </c>
      <c r="H6128" t="e" vm="2703">
        <f>_FV(-7,"951805782522935e")-5</f>
        <v>#VALUE!</v>
      </c>
      <c r="I6128" t="s">
        <v>38759</v>
      </c>
      <c r="J6128" t="s">
        <v>38760</v>
      </c>
      <c r="K6128" t="s">
        <v>38761</v>
      </c>
      <c r="L6128" t="s">
        <v>38755</v>
      </c>
    </row>
    <row r="6129" spans="1:12" x14ac:dyDescent="0.25">
      <c r="A6129">
        <v>1072147</v>
      </c>
      <c r="B6129">
        <v>1072160</v>
      </c>
      <c r="D6129">
        <v>0</v>
      </c>
      <c r="E6129" t="s">
        <v>38763</v>
      </c>
      <c r="F6129" t="s">
        <v>38764</v>
      </c>
      <c r="G6129" t="s">
        <v>38765</v>
      </c>
      <c r="H6129" t="e" vm="2704">
        <f>_FV(0,"029698543954360435")</f>
        <v>#VALUE!</v>
      </c>
      <c r="I6129" t="s">
        <v>38766</v>
      </c>
      <c r="J6129" t="s">
        <v>38767</v>
      </c>
      <c r="K6129" t="s">
        <v>38768</v>
      </c>
      <c r="L6129" t="s">
        <v>38762</v>
      </c>
    </row>
    <row r="6130" spans="1:12" x14ac:dyDescent="0.25">
      <c r="A6130">
        <v>1072162</v>
      </c>
      <c r="B6130">
        <v>1072163</v>
      </c>
      <c r="D6130">
        <v>0</v>
      </c>
      <c r="F6130">
        <v>1135250</v>
      </c>
      <c r="G6130">
        <v>1072163</v>
      </c>
      <c r="H6130" t="e" vm="44">
        <f>_FV(0,"053")</f>
        <v>#VALUE!</v>
      </c>
      <c r="I6130">
        <v>1072162</v>
      </c>
      <c r="J6130" t="s">
        <v>688</v>
      </c>
      <c r="K6130" t="s">
        <v>38769</v>
      </c>
      <c r="L6130" t="e" vm="44">
        <f>_FV(0,"053")</f>
        <v>#VALUE!</v>
      </c>
    </row>
    <row r="6131" spans="1:12" x14ac:dyDescent="0.25">
      <c r="A6131">
        <v>1072162</v>
      </c>
      <c r="B6131">
        <v>1072217</v>
      </c>
      <c r="D6131">
        <v>0</v>
      </c>
      <c r="E6131" t="s">
        <v>38771</v>
      </c>
      <c r="F6131" t="s">
        <v>38772</v>
      </c>
      <c r="G6131" t="s">
        <v>38773</v>
      </c>
      <c r="H6131" t="s">
        <v>38774</v>
      </c>
      <c r="I6131" t="s">
        <v>38775</v>
      </c>
      <c r="J6131" t="s">
        <v>38770</v>
      </c>
      <c r="K6131" t="s">
        <v>38776</v>
      </c>
      <c r="L6131" t="s">
        <v>38770</v>
      </c>
    </row>
    <row r="6132" spans="1:12" x14ac:dyDescent="0.25">
      <c r="A6132">
        <v>1072162</v>
      </c>
      <c r="B6132">
        <v>1217329</v>
      </c>
      <c r="C6132" t="s">
        <v>38778</v>
      </c>
      <c r="D6132">
        <v>0</v>
      </c>
      <c r="E6132" t="s">
        <v>38779</v>
      </c>
      <c r="F6132" t="s">
        <v>38780</v>
      </c>
      <c r="G6132" t="s">
        <v>38781</v>
      </c>
      <c r="H6132" t="s">
        <v>38782</v>
      </c>
      <c r="I6132" t="s">
        <v>38783</v>
      </c>
      <c r="J6132" t="s">
        <v>38784</v>
      </c>
      <c r="K6132" t="s">
        <v>38785</v>
      </c>
      <c r="L6132" t="s">
        <v>38777</v>
      </c>
    </row>
    <row r="6133" spans="1:12" x14ac:dyDescent="0.25">
      <c r="A6133">
        <v>1072163</v>
      </c>
      <c r="B6133">
        <v>1072216</v>
      </c>
      <c r="D6133">
        <v>0</v>
      </c>
      <c r="E6133" t="s">
        <v>38787</v>
      </c>
      <c r="F6133" t="s">
        <v>38788</v>
      </c>
      <c r="G6133" t="s">
        <v>38789</v>
      </c>
      <c r="H6133" t="s">
        <v>38790</v>
      </c>
      <c r="I6133" t="s">
        <v>38791</v>
      </c>
      <c r="J6133" t="s">
        <v>38786</v>
      </c>
      <c r="K6133" t="s">
        <v>38792</v>
      </c>
      <c r="L6133" t="s">
        <v>38786</v>
      </c>
    </row>
    <row r="6134" spans="1:12" x14ac:dyDescent="0.25">
      <c r="A6134">
        <v>1072163</v>
      </c>
      <c r="B6134">
        <v>1074456</v>
      </c>
      <c r="D6134">
        <v>0</v>
      </c>
      <c r="E6134" t="s">
        <v>38794</v>
      </c>
      <c r="F6134" t="s">
        <v>38795</v>
      </c>
      <c r="G6134" t="s">
        <v>38796</v>
      </c>
      <c r="H6134" t="s">
        <v>38797</v>
      </c>
      <c r="I6134" t="s">
        <v>38798</v>
      </c>
      <c r="J6134" t="s">
        <v>38799</v>
      </c>
      <c r="K6134" t="s">
        <v>38800</v>
      </c>
      <c r="L6134" t="s">
        <v>38793</v>
      </c>
    </row>
    <row r="6135" spans="1:12" x14ac:dyDescent="0.25">
      <c r="A6135">
        <v>1072171</v>
      </c>
      <c r="B6135">
        <v>1072176</v>
      </c>
      <c r="D6135">
        <v>0</v>
      </c>
      <c r="E6135" t="s">
        <v>38802</v>
      </c>
      <c r="F6135" t="s">
        <v>38803</v>
      </c>
      <c r="G6135" t="s">
        <v>38804</v>
      </c>
      <c r="H6135" t="s">
        <v>38805</v>
      </c>
      <c r="I6135" t="s">
        <v>38806</v>
      </c>
      <c r="J6135" t="s">
        <v>38807</v>
      </c>
      <c r="K6135" t="s">
        <v>38808</v>
      </c>
      <c r="L6135" t="s">
        <v>38801</v>
      </c>
    </row>
    <row r="6136" spans="1:12" x14ac:dyDescent="0.25">
      <c r="A6136">
        <v>1072171</v>
      </c>
      <c r="B6136">
        <v>1072216</v>
      </c>
      <c r="D6136" t="s">
        <v>1990</v>
      </c>
      <c r="E6136" t="s">
        <v>38810</v>
      </c>
      <c r="F6136" t="s">
        <v>38811</v>
      </c>
      <c r="G6136" t="s">
        <v>38813</v>
      </c>
      <c r="H6136" t="e" vm="2705">
        <f>_FV(0,"004010474557825692")</f>
        <v>#VALUE!</v>
      </c>
      <c r="I6136" t="s">
        <v>38814</v>
      </c>
      <c r="J6136" t="s">
        <v>38815</v>
      </c>
      <c r="K6136" t="s">
        <v>38816</v>
      </c>
      <c r="L6136" t="s">
        <v>38809</v>
      </c>
    </row>
    <row r="6137" spans="1:12" x14ac:dyDescent="0.25">
      <c r="A6137">
        <v>1072171</v>
      </c>
      <c r="B6137">
        <v>1072210</v>
      </c>
      <c r="D6137">
        <v>0</v>
      </c>
      <c r="E6137" t="s">
        <v>38818</v>
      </c>
      <c r="F6137" t="s">
        <v>38819</v>
      </c>
      <c r="G6137" t="s">
        <v>38820</v>
      </c>
      <c r="H6137" t="e" vm="2706">
        <f>_FV(0,"0992760278810935")</f>
        <v>#VALUE!</v>
      </c>
      <c r="I6137" t="s">
        <v>38821</v>
      </c>
      <c r="J6137" t="s">
        <v>38822</v>
      </c>
      <c r="K6137" t="s">
        <v>38823</v>
      </c>
      <c r="L6137" t="s">
        <v>38817</v>
      </c>
    </row>
    <row r="6138" spans="1:12" x14ac:dyDescent="0.25">
      <c r="A6138">
        <v>1072176</v>
      </c>
      <c r="B6138">
        <v>1072243</v>
      </c>
      <c r="D6138">
        <v>0</v>
      </c>
      <c r="E6138" t="s">
        <v>38824</v>
      </c>
      <c r="F6138">
        <v>1135337</v>
      </c>
      <c r="G6138">
        <v>1072176</v>
      </c>
      <c r="H6138" t="s">
        <v>22208</v>
      </c>
      <c r="I6138">
        <v>1072243</v>
      </c>
      <c r="J6138" t="s">
        <v>22208</v>
      </c>
      <c r="K6138" t="s">
        <v>38825</v>
      </c>
      <c r="L6138" t="s">
        <v>22208</v>
      </c>
    </row>
    <row r="6139" spans="1:12" x14ac:dyDescent="0.25">
      <c r="A6139">
        <v>1072210</v>
      </c>
      <c r="B6139">
        <v>1114141</v>
      </c>
      <c r="D6139">
        <v>0</v>
      </c>
      <c r="E6139" t="s">
        <v>38827</v>
      </c>
      <c r="F6139" t="s">
        <v>38828</v>
      </c>
      <c r="G6139" t="s">
        <v>38829</v>
      </c>
      <c r="H6139" t="s">
        <v>38830</v>
      </c>
      <c r="I6139" t="s">
        <v>38831</v>
      </c>
      <c r="J6139" t="s">
        <v>38826</v>
      </c>
      <c r="K6139" t="s">
        <v>38832</v>
      </c>
      <c r="L6139" t="s">
        <v>38826</v>
      </c>
    </row>
    <row r="6140" spans="1:12" x14ac:dyDescent="0.25">
      <c r="A6140">
        <v>1072216</v>
      </c>
      <c r="B6140">
        <v>1072217</v>
      </c>
      <c r="D6140">
        <v>0</v>
      </c>
      <c r="F6140">
        <v>1135305</v>
      </c>
      <c r="G6140">
        <v>1072217</v>
      </c>
      <c r="H6140" t="s">
        <v>2884</v>
      </c>
      <c r="I6140">
        <v>1072216</v>
      </c>
      <c r="J6140" t="s">
        <v>2884</v>
      </c>
      <c r="K6140" t="s">
        <v>38833</v>
      </c>
      <c r="L6140" t="s">
        <v>2884</v>
      </c>
    </row>
    <row r="6141" spans="1:12" x14ac:dyDescent="0.25">
      <c r="A6141">
        <v>1072217</v>
      </c>
      <c r="B6141">
        <v>1243694</v>
      </c>
      <c r="D6141">
        <v>0</v>
      </c>
      <c r="E6141" t="s">
        <v>38835</v>
      </c>
      <c r="F6141" t="s">
        <v>38836</v>
      </c>
      <c r="G6141" t="s">
        <v>38837</v>
      </c>
      <c r="H6141" t="s">
        <v>38838</v>
      </c>
      <c r="I6141" t="s">
        <v>38839</v>
      </c>
      <c r="J6141" t="s">
        <v>38834</v>
      </c>
      <c r="K6141" t="s">
        <v>38840</v>
      </c>
      <c r="L6141" t="s">
        <v>38834</v>
      </c>
    </row>
    <row r="6142" spans="1:12" x14ac:dyDescent="0.25">
      <c r="A6142">
        <v>1074825</v>
      </c>
      <c r="B6142">
        <v>1074865</v>
      </c>
      <c r="D6142">
        <v>0</v>
      </c>
      <c r="E6142" t="s">
        <v>38842</v>
      </c>
      <c r="F6142" t="s">
        <v>38843</v>
      </c>
      <c r="G6142" t="s">
        <v>38844</v>
      </c>
      <c r="H6142" t="s">
        <v>38845</v>
      </c>
      <c r="I6142" t="s">
        <v>38846</v>
      </c>
      <c r="J6142" t="s">
        <v>38847</v>
      </c>
      <c r="K6142" t="s">
        <v>38848</v>
      </c>
      <c r="L6142" t="s">
        <v>38841</v>
      </c>
    </row>
    <row r="6143" spans="1:12" x14ac:dyDescent="0.25">
      <c r="A6143">
        <v>1074825</v>
      </c>
      <c r="B6143">
        <v>1074899</v>
      </c>
      <c r="D6143">
        <v>0</v>
      </c>
      <c r="E6143" t="s">
        <v>38849</v>
      </c>
      <c r="F6143" t="s">
        <v>38850</v>
      </c>
      <c r="G6143" t="s">
        <v>38851</v>
      </c>
      <c r="H6143" t="s">
        <v>38852</v>
      </c>
      <c r="I6143" t="s">
        <v>38853</v>
      </c>
      <c r="J6143" t="s">
        <v>6074</v>
      </c>
      <c r="K6143" t="s">
        <v>38854</v>
      </c>
      <c r="L6143" t="s">
        <v>6074</v>
      </c>
    </row>
    <row r="6144" spans="1:12" x14ac:dyDescent="0.25">
      <c r="A6144">
        <v>1074825</v>
      </c>
      <c r="B6144">
        <v>1074923</v>
      </c>
      <c r="D6144">
        <v>0</v>
      </c>
      <c r="E6144" t="s">
        <v>38855</v>
      </c>
      <c r="F6144" t="s">
        <v>38856</v>
      </c>
      <c r="G6144" t="s">
        <v>38857</v>
      </c>
      <c r="H6144" t="s">
        <v>2068</v>
      </c>
      <c r="I6144" t="s">
        <v>38858</v>
      </c>
      <c r="J6144" t="s">
        <v>2068</v>
      </c>
      <c r="K6144" t="s">
        <v>38859</v>
      </c>
      <c r="L6144" t="s">
        <v>2068</v>
      </c>
    </row>
    <row r="6145" spans="1:12" x14ac:dyDescent="0.25">
      <c r="A6145">
        <v>1074865</v>
      </c>
      <c r="B6145">
        <v>1074891</v>
      </c>
      <c r="D6145">
        <v>0</v>
      </c>
      <c r="E6145" t="s">
        <v>38861</v>
      </c>
      <c r="F6145" t="s">
        <v>38862</v>
      </c>
      <c r="G6145" t="s">
        <v>38863</v>
      </c>
      <c r="H6145" t="e" vm="2707">
        <f>_FV(0,"008500024531493382")</f>
        <v>#VALUE!</v>
      </c>
      <c r="I6145" t="s">
        <v>38864</v>
      </c>
      <c r="J6145" t="s">
        <v>38865</v>
      </c>
      <c r="K6145" t="s">
        <v>38866</v>
      </c>
      <c r="L6145" t="s">
        <v>38860</v>
      </c>
    </row>
    <row r="6146" spans="1:12" x14ac:dyDescent="0.25">
      <c r="A6146">
        <v>1074865</v>
      </c>
      <c r="B6146">
        <v>1074921</v>
      </c>
      <c r="D6146">
        <v>0</v>
      </c>
      <c r="E6146" t="s">
        <v>38868</v>
      </c>
      <c r="F6146" t="s">
        <v>38869</v>
      </c>
      <c r="G6146" t="s">
        <v>38870</v>
      </c>
      <c r="H6146" t="e" vm="2708">
        <f>_FV(0,"01085474571163671")</f>
        <v>#VALUE!</v>
      </c>
      <c r="I6146" t="s">
        <v>38871</v>
      </c>
      <c r="J6146" t="s">
        <v>38872</v>
      </c>
      <c r="K6146" t="s">
        <v>38873</v>
      </c>
      <c r="L6146" t="s">
        <v>38867</v>
      </c>
    </row>
    <row r="6147" spans="1:12" x14ac:dyDescent="0.25">
      <c r="A6147">
        <v>1074891</v>
      </c>
      <c r="B6147">
        <v>1074899</v>
      </c>
      <c r="D6147">
        <v>0</v>
      </c>
      <c r="F6147">
        <v>1138490</v>
      </c>
      <c r="G6147">
        <v>1074899</v>
      </c>
      <c r="H6147" t="e" vm="339">
        <f>_FV(0,"0")</f>
        <v>#VALUE!</v>
      </c>
      <c r="I6147">
        <v>1074891</v>
      </c>
      <c r="J6147" t="s">
        <v>187</v>
      </c>
      <c r="K6147" t="s">
        <v>38874</v>
      </c>
      <c r="L6147" t="e" vm="339">
        <f>_FV(0,"0")</f>
        <v>#VALUE!</v>
      </c>
    </row>
    <row r="6148" spans="1:12" x14ac:dyDescent="0.25">
      <c r="A6148">
        <v>1074891</v>
      </c>
      <c r="B6148">
        <v>1074921</v>
      </c>
      <c r="D6148">
        <v>0</v>
      </c>
      <c r="E6148" t="s">
        <v>38876</v>
      </c>
      <c r="F6148" t="s">
        <v>38877</v>
      </c>
      <c r="G6148" t="s">
        <v>38878</v>
      </c>
      <c r="H6148" t="e" vm="2709">
        <f>_FV(0,"008530264846983321")</f>
        <v>#VALUE!</v>
      </c>
      <c r="I6148" t="s">
        <v>38879</v>
      </c>
      <c r="J6148" t="s">
        <v>38880</v>
      </c>
      <c r="K6148" t="s">
        <v>38881</v>
      </c>
      <c r="L6148" t="s">
        <v>38875</v>
      </c>
    </row>
    <row r="6149" spans="1:12" x14ac:dyDescent="0.25">
      <c r="A6149">
        <v>1074899</v>
      </c>
      <c r="B6149">
        <v>1074923</v>
      </c>
      <c r="D6149">
        <v>0</v>
      </c>
      <c r="E6149" t="s">
        <v>38882</v>
      </c>
      <c r="F6149" t="s">
        <v>38883</v>
      </c>
      <c r="G6149" t="s">
        <v>38884</v>
      </c>
      <c r="H6149" t="s">
        <v>194</v>
      </c>
      <c r="I6149" t="s">
        <v>38885</v>
      </c>
      <c r="J6149" t="s">
        <v>194</v>
      </c>
      <c r="K6149" t="s">
        <v>38886</v>
      </c>
      <c r="L6149" t="s">
        <v>194</v>
      </c>
    </row>
    <row r="6150" spans="1:12" x14ac:dyDescent="0.25">
      <c r="A6150">
        <v>1074921</v>
      </c>
      <c r="B6150">
        <v>1291627</v>
      </c>
      <c r="D6150">
        <v>0</v>
      </c>
      <c r="E6150" t="s">
        <v>38888</v>
      </c>
      <c r="F6150" t="s">
        <v>38889</v>
      </c>
      <c r="G6150" t="s">
        <v>38890</v>
      </c>
      <c r="H6150" t="e" vm="2710">
        <f>_FV(0,"05447889516631283")</f>
        <v>#VALUE!</v>
      </c>
      <c r="I6150" t="s">
        <v>38891</v>
      </c>
      <c r="J6150" t="s">
        <v>38892</v>
      </c>
      <c r="K6150" t="s">
        <v>38893</v>
      </c>
      <c r="L6150" t="s">
        <v>38887</v>
      </c>
    </row>
    <row r="6151" spans="1:12" x14ac:dyDescent="0.25">
      <c r="A6151">
        <v>1074923</v>
      </c>
      <c r="B6151">
        <v>1291538</v>
      </c>
      <c r="C6151" t="s">
        <v>38895</v>
      </c>
      <c r="D6151">
        <v>0</v>
      </c>
      <c r="E6151" t="s">
        <v>38896</v>
      </c>
      <c r="F6151" t="s">
        <v>38897</v>
      </c>
      <c r="G6151" t="s">
        <v>38898</v>
      </c>
      <c r="H6151" t="e" vm="2711">
        <f>_FV(0,"0049820765115308864")</f>
        <v>#VALUE!</v>
      </c>
      <c r="I6151" t="s">
        <v>38899</v>
      </c>
      <c r="J6151" t="s">
        <v>38900</v>
      </c>
      <c r="K6151" t="s">
        <v>38901</v>
      </c>
      <c r="L6151" t="s">
        <v>38894</v>
      </c>
    </row>
    <row r="6152" spans="1:12" x14ac:dyDescent="0.25">
      <c r="A6152">
        <v>1076967</v>
      </c>
      <c r="B6152">
        <v>1077029</v>
      </c>
      <c r="D6152">
        <v>0</v>
      </c>
      <c r="F6152">
        <v>1140722</v>
      </c>
      <c r="G6152">
        <v>1077029</v>
      </c>
      <c r="H6152" t="e" vm="184">
        <f>_FV(0,"031")</f>
        <v>#VALUE!</v>
      </c>
      <c r="I6152">
        <v>1076967</v>
      </c>
      <c r="J6152" t="s">
        <v>2871</v>
      </c>
      <c r="K6152" t="s">
        <v>38902</v>
      </c>
      <c r="L6152" t="e" vm="184">
        <f>_FV(0,"031")</f>
        <v>#VALUE!</v>
      </c>
    </row>
    <row r="6153" spans="1:12" x14ac:dyDescent="0.25">
      <c r="A6153">
        <v>1076967</v>
      </c>
      <c r="B6153">
        <v>1077009</v>
      </c>
      <c r="D6153">
        <v>0</v>
      </c>
      <c r="E6153" t="s">
        <v>38904</v>
      </c>
      <c r="F6153" t="s">
        <v>38905</v>
      </c>
      <c r="G6153" t="s">
        <v>38906</v>
      </c>
      <c r="H6153" t="s">
        <v>38907</v>
      </c>
      <c r="I6153" t="s">
        <v>38908</v>
      </c>
      <c r="J6153" t="s">
        <v>38903</v>
      </c>
      <c r="K6153" t="s">
        <v>38909</v>
      </c>
      <c r="L6153" t="s">
        <v>38903</v>
      </c>
    </row>
    <row r="6154" spans="1:12" x14ac:dyDescent="0.25">
      <c r="A6154">
        <v>1077009</v>
      </c>
      <c r="B6154">
        <v>1077043</v>
      </c>
      <c r="D6154">
        <v>0</v>
      </c>
      <c r="E6154" t="s">
        <v>38911</v>
      </c>
      <c r="F6154" t="s">
        <v>38912</v>
      </c>
      <c r="G6154" t="s">
        <v>38913</v>
      </c>
      <c r="H6154" t="s">
        <v>38914</v>
      </c>
      <c r="I6154" t="s">
        <v>38915</v>
      </c>
      <c r="J6154" t="s">
        <v>38916</v>
      </c>
      <c r="K6154" t="s">
        <v>38917</v>
      </c>
      <c r="L6154" t="s">
        <v>38910</v>
      </c>
    </row>
    <row r="6155" spans="1:12" x14ac:dyDescent="0.25">
      <c r="A6155">
        <v>1077029</v>
      </c>
      <c r="B6155">
        <v>1077043</v>
      </c>
      <c r="D6155">
        <v>0</v>
      </c>
      <c r="E6155" t="s">
        <v>38919</v>
      </c>
      <c r="F6155" t="s">
        <v>38920</v>
      </c>
      <c r="G6155" t="s">
        <v>38921</v>
      </c>
      <c r="H6155" t="e" vm="2712">
        <f>_FV(0,"004458855475909452")</f>
        <v>#VALUE!</v>
      </c>
      <c r="I6155" t="s">
        <v>38922</v>
      </c>
      <c r="J6155" t="s">
        <v>38923</v>
      </c>
      <c r="K6155" t="s">
        <v>38924</v>
      </c>
      <c r="L6155" t="s">
        <v>38918</v>
      </c>
    </row>
    <row r="6156" spans="1:12" x14ac:dyDescent="0.25">
      <c r="A6156">
        <v>1077405</v>
      </c>
      <c r="B6156">
        <v>1077436</v>
      </c>
      <c r="D6156" t="s">
        <v>2086</v>
      </c>
      <c r="E6156" t="s">
        <v>38926</v>
      </c>
      <c r="F6156" t="s">
        <v>38927</v>
      </c>
      <c r="G6156" t="s">
        <v>38928</v>
      </c>
      <c r="H6156" t="s">
        <v>38929</v>
      </c>
      <c r="I6156" t="s">
        <v>38930</v>
      </c>
      <c r="J6156" t="s">
        <v>38931</v>
      </c>
      <c r="K6156" t="s">
        <v>38932</v>
      </c>
      <c r="L6156" t="s">
        <v>38925</v>
      </c>
    </row>
    <row r="6157" spans="1:12" x14ac:dyDescent="0.25">
      <c r="A6157">
        <v>1077405</v>
      </c>
      <c r="B6157">
        <v>1077507</v>
      </c>
      <c r="D6157" t="s">
        <v>2086</v>
      </c>
      <c r="E6157" t="s">
        <v>38934</v>
      </c>
      <c r="F6157" t="s">
        <v>38935</v>
      </c>
      <c r="G6157" t="s">
        <v>38936</v>
      </c>
      <c r="H6157" t="s">
        <v>38937</v>
      </c>
      <c r="I6157" t="s">
        <v>38938</v>
      </c>
      <c r="J6157" t="s">
        <v>38939</v>
      </c>
      <c r="K6157" t="s">
        <v>38940</v>
      </c>
      <c r="L6157" t="s">
        <v>38933</v>
      </c>
    </row>
    <row r="6158" spans="1:12" x14ac:dyDescent="0.25">
      <c r="A6158">
        <v>1077436</v>
      </c>
      <c r="B6158">
        <v>1077507</v>
      </c>
      <c r="D6158">
        <v>0</v>
      </c>
      <c r="E6158" t="s">
        <v>38942</v>
      </c>
      <c r="F6158" t="s">
        <v>38943</v>
      </c>
      <c r="G6158" t="s">
        <v>38944</v>
      </c>
      <c r="H6158" t="e" vm="2713">
        <f>_FV(0,"045067752919681285")</f>
        <v>#VALUE!</v>
      </c>
      <c r="I6158" t="s">
        <v>38945</v>
      </c>
      <c r="J6158" t="s">
        <v>38946</v>
      </c>
      <c r="K6158" t="s">
        <v>38947</v>
      </c>
      <c r="L6158" t="s">
        <v>38941</v>
      </c>
    </row>
    <row r="6159" spans="1:12" x14ac:dyDescent="0.25">
      <c r="A6159">
        <v>1077436</v>
      </c>
      <c r="B6159">
        <v>1077722</v>
      </c>
      <c r="D6159">
        <v>0</v>
      </c>
      <c r="E6159" t="s">
        <v>38949</v>
      </c>
      <c r="F6159" t="s">
        <v>38950</v>
      </c>
      <c r="G6159" t="s">
        <v>38951</v>
      </c>
      <c r="H6159" t="e" vm="2714">
        <f>_FV(0,"06343108993193532")</f>
        <v>#VALUE!</v>
      </c>
      <c r="I6159" t="s">
        <v>38952</v>
      </c>
      <c r="J6159" t="s">
        <v>38953</v>
      </c>
      <c r="K6159" t="s">
        <v>38954</v>
      </c>
      <c r="L6159" t="s">
        <v>38948</v>
      </c>
    </row>
    <row r="6160" spans="1:12" x14ac:dyDescent="0.25">
      <c r="A6160">
        <v>1077507</v>
      </c>
      <c r="B6160">
        <v>1077692</v>
      </c>
      <c r="D6160">
        <v>0</v>
      </c>
      <c r="F6160">
        <v>1141425</v>
      </c>
      <c r="G6160">
        <v>1077692</v>
      </c>
      <c r="H6160" t="s">
        <v>23285</v>
      </c>
      <c r="I6160">
        <v>1077507</v>
      </c>
      <c r="J6160" t="s">
        <v>23285</v>
      </c>
      <c r="K6160" t="s">
        <v>38955</v>
      </c>
      <c r="L6160" t="s">
        <v>23285</v>
      </c>
    </row>
    <row r="6161" spans="1:12" x14ac:dyDescent="0.25">
      <c r="A6161">
        <v>1077626</v>
      </c>
      <c r="B6161">
        <v>1077636</v>
      </c>
      <c r="D6161">
        <v>0</v>
      </c>
      <c r="E6161" t="s">
        <v>38957</v>
      </c>
      <c r="F6161" t="s">
        <v>38958</v>
      </c>
      <c r="G6161" t="s">
        <v>38959</v>
      </c>
      <c r="H6161" t="e" vm="2715">
        <f>_FV(0,"05184718303023674")</f>
        <v>#VALUE!</v>
      </c>
      <c r="I6161" t="s">
        <v>38960</v>
      </c>
      <c r="J6161" t="s">
        <v>38961</v>
      </c>
      <c r="K6161" t="s">
        <v>38962</v>
      </c>
      <c r="L6161" t="s">
        <v>38956</v>
      </c>
    </row>
    <row r="6162" spans="1:12" x14ac:dyDescent="0.25">
      <c r="A6162">
        <v>1077626</v>
      </c>
      <c r="B6162">
        <v>1077662</v>
      </c>
      <c r="D6162">
        <v>0</v>
      </c>
      <c r="E6162" t="s">
        <v>38964</v>
      </c>
      <c r="F6162" t="s">
        <v>38965</v>
      </c>
      <c r="G6162" t="s">
        <v>38966</v>
      </c>
      <c r="H6162" t="e" vm="2716">
        <f>_FV(0,"11029965983483386")</f>
        <v>#VALUE!</v>
      </c>
      <c r="I6162" t="s">
        <v>38967</v>
      </c>
      <c r="J6162" t="s">
        <v>38968</v>
      </c>
      <c r="K6162" t="s">
        <v>38969</v>
      </c>
      <c r="L6162" t="s">
        <v>38963</v>
      </c>
    </row>
    <row r="6163" spans="1:12" x14ac:dyDescent="0.25">
      <c r="A6163">
        <v>1077626</v>
      </c>
      <c r="B6163">
        <v>1077734</v>
      </c>
      <c r="D6163">
        <v>0</v>
      </c>
      <c r="F6163">
        <v>1141484</v>
      </c>
      <c r="G6163">
        <v>1077626</v>
      </c>
      <c r="H6163" t="e" vm="59">
        <f>_FV(0,"014")</f>
        <v>#VALUE!</v>
      </c>
      <c r="I6163">
        <v>1077734</v>
      </c>
      <c r="J6163" t="s">
        <v>922</v>
      </c>
      <c r="K6163" t="s">
        <v>38970</v>
      </c>
      <c r="L6163" t="e" vm="59">
        <f>_FV(0,"014")</f>
        <v>#VALUE!</v>
      </c>
    </row>
    <row r="6164" spans="1:12" x14ac:dyDescent="0.25">
      <c r="A6164">
        <v>1077636</v>
      </c>
      <c r="B6164">
        <v>1077662</v>
      </c>
      <c r="D6164">
        <v>0</v>
      </c>
      <c r="E6164" t="s">
        <v>38971</v>
      </c>
      <c r="F6164" t="s">
        <v>38972</v>
      </c>
      <c r="G6164" t="s">
        <v>38973</v>
      </c>
      <c r="H6164" t="s">
        <v>38974</v>
      </c>
      <c r="I6164" t="s">
        <v>38975</v>
      </c>
      <c r="J6164" t="s">
        <v>19119</v>
      </c>
      <c r="K6164" t="s">
        <v>38976</v>
      </c>
      <c r="L6164" t="s">
        <v>19119</v>
      </c>
    </row>
    <row r="6165" spans="1:12" x14ac:dyDescent="0.25">
      <c r="A6165">
        <v>1077662</v>
      </c>
      <c r="B6165">
        <v>1077794</v>
      </c>
      <c r="D6165">
        <v>0</v>
      </c>
      <c r="E6165" t="s">
        <v>38978</v>
      </c>
      <c r="F6165" t="s">
        <v>38979</v>
      </c>
      <c r="G6165" t="s">
        <v>38980</v>
      </c>
      <c r="H6165" t="s">
        <v>38981</v>
      </c>
      <c r="I6165" t="s">
        <v>38982</v>
      </c>
      <c r="J6165" t="s">
        <v>38983</v>
      </c>
      <c r="K6165" t="s">
        <v>38984</v>
      </c>
      <c r="L6165" t="s">
        <v>38977</v>
      </c>
    </row>
    <row r="6166" spans="1:12" x14ac:dyDescent="0.25">
      <c r="A6166">
        <v>1077692</v>
      </c>
      <c r="B6166">
        <v>1077722</v>
      </c>
      <c r="D6166">
        <v>0</v>
      </c>
      <c r="E6166" t="s">
        <v>38986</v>
      </c>
      <c r="F6166" t="s">
        <v>38987</v>
      </c>
      <c r="G6166" t="s">
        <v>38988</v>
      </c>
      <c r="H6166" t="s">
        <v>38989</v>
      </c>
      <c r="I6166" t="s">
        <v>38990</v>
      </c>
      <c r="J6166" t="s">
        <v>38985</v>
      </c>
      <c r="K6166" t="s">
        <v>38991</v>
      </c>
      <c r="L6166" t="s">
        <v>38985</v>
      </c>
    </row>
    <row r="6167" spans="1:12" x14ac:dyDescent="0.25">
      <c r="A6167">
        <v>1077692</v>
      </c>
      <c r="B6167">
        <v>1077734</v>
      </c>
      <c r="D6167" t="s">
        <v>38993</v>
      </c>
      <c r="E6167" t="s">
        <v>38994</v>
      </c>
      <c r="F6167" t="s">
        <v>38995</v>
      </c>
      <c r="G6167" t="s">
        <v>38996</v>
      </c>
      <c r="H6167" t="s">
        <v>38997</v>
      </c>
      <c r="I6167" t="s">
        <v>38998</v>
      </c>
      <c r="J6167" t="s">
        <v>38999</v>
      </c>
      <c r="K6167" t="s">
        <v>39000</v>
      </c>
      <c r="L6167" t="s">
        <v>38992</v>
      </c>
    </row>
    <row r="6168" spans="1:12" x14ac:dyDescent="0.25">
      <c r="A6168">
        <v>1077722</v>
      </c>
      <c r="B6168">
        <v>1077794</v>
      </c>
      <c r="D6168" t="s">
        <v>38993</v>
      </c>
      <c r="E6168" t="s">
        <v>39002</v>
      </c>
      <c r="F6168" t="s">
        <v>39003</v>
      </c>
      <c r="G6168" t="s">
        <v>39004</v>
      </c>
      <c r="H6168" t="s">
        <v>39005</v>
      </c>
      <c r="I6168" t="s">
        <v>39006</v>
      </c>
      <c r="J6168" t="s">
        <v>39007</v>
      </c>
      <c r="K6168" t="s">
        <v>39008</v>
      </c>
      <c r="L6168" t="s">
        <v>39001</v>
      </c>
    </row>
    <row r="6169" spans="1:12" x14ac:dyDescent="0.25">
      <c r="A6169">
        <v>1077734</v>
      </c>
      <c r="B6169">
        <v>1077794</v>
      </c>
      <c r="D6169">
        <v>0</v>
      </c>
      <c r="E6169" t="s">
        <v>39010</v>
      </c>
      <c r="F6169" t="s">
        <v>39011</v>
      </c>
      <c r="G6169" t="s">
        <v>39012</v>
      </c>
      <c r="H6169" t="s">
        <v>39013</v>
      </c>
      <c r="I6169" t="s">
        <v>39014</v>
      </c>
      <c r="J6169" t="s">
        <v>39009</v>
      </c>
      <c r="K6169" t="s">
        <v>39015</v>
      </c>
      <c r="L6169" t="s">
        <v>39009</v>
      </c>
    </row>
    <row r="6170" spans="1:12" x14ac:dyDescent="0.25">
      <c r="A6170">
        <v>1081908</v>
      </c>
      <c r="B6170">
        <v>1081920</v>
      </c>
      <c r="D6170" t="s">
        <v>39017</v>
      </c>
      <c r="E6170" t="s">
        <v>39018</v>
      </c>
      <c r="F6170" t="s">
        <v>39019</v>
      </c>
      <c r="G6170" t="s">
        <v>39020</v>
      </c>
      <c r="H6170" t="s">
        <v>39021</v>
      </c>
      <c r="I6170" t="s">
        <v>39022</v>
      </c>
      <c r="J6170" t="s">
        <v>39023</v>
      </c>
      <c r="K6170" t="s">
        <v>39024</v>
      </c>
      <c r="L6170" t="s">
        <v>39016</v>
      </c>
    </row>
    <row r="6171" spans="1:12" x14ac:dyDescent="0.25">
      <c r="A6171">
        <v>1081908</v>
      </c>
      <c r="B6171">
        <v>1834417</v>
      </c>
      <c r="D6171">
        <v>0</v>
      </c>
      <c r="E6171" t="s">
        <v>39026</v>
      </c>
      <c r="F6171" t="s">
        <v>39027</v>
      </c>
      <c r="G6171" t="s">
        <v>39028</v>
      </c>
      <c r="H6171" t="s">
        <v>39029</v>
      </c>
      <c r="I6171" t="s">
        <v>39030</v>
      </c>
      <c r="J6171" t="s">
        <v>39031</v>
      </c>
      <c r="K6171" t="s">
        <v>39032</v>
      </c>
      <c r="L6171" t="s">
        <v>39025</v>
      </c>
    </row>
    <row r="6172" spans="1:12" x14ac:dyDescent="0.25">
      <c r="A6172">
        <v>1081914</v>
      </c>
      <c r="B6172">
        <v>1081930</v>
      </c>
      <c r="D6172" t="s">
        <v>3298</v>
      </c>
      <c r="E6172" t="s">
        <v>39034</v>
      </c>
      <c r="F6172" t="s">
        <v>39035</v>
      </c>
      <c r="G6172" t="s">
        <v>39036</v>
      </c>
      <c r="H6172" t="e" vm="2717">
        <f>_FV(0,"011033184922803248")</f>
        <v>#VALUE!</v>
      </c>
      <c r="I6172" t="s">
        <v>39037</v>
      </c>
      <c r="J6172" t="s">
        <v>39038</v>
      </c>
      <c r="K6172" t="s">
        <v>39039</v>
      </c>
      <c r="L6172" t="s">
        <v>39033</v>
      </c>
    </row>
    <row r="6173" spans="1:12" x14ac:dyDescent="0.25">
      <c r="A6173">
        <v>1081914</v>
      </c>
      <c r="B6173">
        <v>1834398</v>
      </c>
      <c r="D6173">
        <v>0</v>
      </c>
      <c r="E6173" t="s">
        <v>39041</v>
      </c>
      <c r="F6173" t="s">
        <v>39042</v>
      </c>
      <c r="G6173" t="s">
        <v>39043</v>
      </c>
      <c r="H6173" t="s">
        <v>39044</v>
      </c>
      <c r="I6173" t="s">
        <v>39045</v>
      </c>
      <c r="J6173" t="s">
        <v>39046</v>
      </c>
      <c r="K6173" t="s">
        <v>39047</v>
      </c>
      <c r="L6173" t="s">
        <v>39040</v>
      </c>
    </row>
    <row r="6174" spans="1:12" x14ac:dyDescent="0.25">
      <c r="A6174">
        <v>1081920</v>
      </c>
      <c r="B6174">
        <v>1081938</v>
      </c>
      <c r="D6174" t="s">
        <v>330</v>
      </c>
      <c r="E6174" t="s">
        <v>39049</v>
      </c>
      <c r="F6174" t="s">
        <v>39050</v>
      </c>
      <c r="G6174" t="s">
        <v>39051</v>
      </c>
      <c r="H6174" t="e" vm="2718">
        <f>_FV(0,"0012690272912416495")</f>
        <v>#VALUE!</v>
      </c>
      <c r="I6174" t="s">
        <v>39052</v>
      </c>
      <c r="J6174" t="s">
        <v>39053</v>
      </c>
      <c r="K6174" t="s">
        <v>39054</v>
      </c>
      <c r="L6174" t="s">
        <v>39048</v>
      </c>
    </row>
    <row r="6175" spans="1:12" x14ac:dyDescent="0.25">
      <c r="A6175">
        <v>1081930</v>
      </c>
      <c r="B6175">
        <v>1081944</v>
      </c>
      <c r="D6175" t="s">
        <v>39056</v>
      </c>
      <c r="E6175" t="s">
        <v>39057</v>
      </c>
      <c r="F6175" t="s">
        <v>39058</v>
      </c>
      <c r="G6175" t="s">
        <v>39059</v>
      </c>
      <c r="H6175" t="s">
        <v>39060</v>
      </c>
      <c r="I6175" t="s">
        <v>39061</v>
      </c>
      <c r="J6175" t="s">
        <v>39062</v>
      </c>
      <c r="K6175" t="s">
        <v>39063</v>
      </c>
      <c r="L6175" t="s">
        <v>39055</v>
      </c>
    </row>
    <row r="6176" spans="1:12" x14ac:dyDescent="0.25">
      <c r="A6176">
        <v>1081938</v>
      </c>
      <c r="B6176">
        <v>1081951</v>
      </c>
      <c r="D6176" t="s">
        <v>2793</v>
      </c>
      <c r="E6176" t="s">
        <v>39065</v>
      </c>
      <c r="F6176" t="s">
        <v>39066</v>
      </c>
      <c r="G6176" t="s">
        <v>39067</v>
      </c>
      <c r="H6176" t="e" vm="2719">
        <f>_FV(0,"005815765022203952")</f>
        <v>#VALUE!</v>
      </c>
      <c r="I6176" t="s">
        <v>39068</v>
      </c>
      <c r="J6176" t="s">
        <v>39069</v>
      </c>
      <c r="K6176" t="s">
        <v>39070</v>
      </c>
      <c r="L6176" t="s">
        <v>39064</v>
      </c>
    </row>
    <row r="6177" spans="1:12" x14ac:dyDescent="0.25">
      <c r="A6177">
        <v>1081951</v>
      </c>
      <c r="B6177">
        <v>1550910</v>
      </c>
      <c r="D6177" t="s">
        <v>1494</v>
      </c>
      <c r="E6177" t="s">
        <v>39072</v>
      </c>
      <c r="F6177" t="s">
        <v>39073</v>
      </c>
      <c r="G6177" t="s">
        <v>39074</v>
      </c>
      <c r="H6177" t="e" vm="2720">
        <f>_FV(0,"007583437859629645")</f>
        <v>#VALUE!</v>
      </c>
      <c r="I6177" t="s">
        <v>39075</v>
      </c>
      <c r="J6177" t="s">
        <v>39076</v>
      </c>
      <c r="K6177" t="s">
        <v>39077</v>
      </c>
      <c r="L6177" t="s">
        <v>39071</v>
      </c>
    </row>
    <row r="6178" spans="1:12" x14ac:dyDescent="0.25">
      <c r="A6178">
        <v>1082364</v>
      </c>
      <c r="B6178">
        <v>1082414</v>
      </c>
      <c r="D6178" t="s">
        <v>2086</v>
      </c>
      <c r="E6178" t="s">
        <v>39079</v>
      </c>
      <c r="F6178" t="s">
        <v>39080</v>
      </c>
      <c r="G6178" t="s">
        <v>39081</v>
      </c>
      <c r="H6178" t="s">
        <v>39082</v>
      </c>
      <c r="I6178" t="s">
        <v>39083</v>
      </c>
      <c r="J6178" t="s">
        <v>39084</v>
      </c>
      <c r="K6178" t="s">
        <v>39085</v>
      </c>
      <c r="L6178" t="s">
        <v>39078</v>
      </c>
    </row>
    <row r="6179" spans="1:12" x14ac:dyDescent="0.25">
      <c r="A6179">
        <v>1082364</v>
      </c>
      <c r="B6179">
        <v>1457385</v>
      </c>
      <c r="D6179">
        <v>0</v>
      </c>
      <c r="E6179" t="s">
        <v>39087</v>
      </c>
      <c r="F6179" t="s">
        <v>39088</v>
      </c>
      <c r="G6179" t="s">
        <v>39089</v>
      </c>
      <c r="H6179" t="e" vm="2721">
        <f>_FV(0,"004057238969427655")</f>
        <v>#VALUE!</v>
      </c>
      <c r="I6179" t="s">
        <v>39090</v>
      </c>
      <c r="J6179" t="s">
        <v>39091</v>
      </c>
      <c r="K6179" t="s">
        <v>39092</v>
      </c>
      <c r="L6179" t="s">
        <v>39086</v>
      </c>
    </row>
    <row r="6180" spans="1:12" x14ac:dyDescent="0.25">
      <c r="A6180">
        <v>1082414</v>
      </c>
      <c r="B6180">
        <v>1082610</v>
      </c>
      <c r="D6180" t="s">
        <v>514</v>
      </c>
      <c r="E6180" t="s">
        <v>39094</v>
      </c>
      <c r="F6180" t="s">
        <v>39095</v>
      </c>
      <c r="G6180" t="s">
        <v>39096</v>
      </c>
      <c r="H6180" t="e" vm="2722">
        <f>_FV(0,"020615658146192286")</f>
        <v>#VALUE!</v>
      </c>
      <c r="I6180" t="s">
        <v>39097</v>
      </c>
      <c r="J6180" t="s">
        <v>39098</v>
      </c>
      <c r="K6180" t="s">
        <v>39099</v>
      </c>
      <c r="L6180" t="s">
        <v>39093</v>
      </c>
    </row>
    <row r="6181" spans="1:12" x14ac:dyDescent="0.25">
      <c r="A6181">
        <v>1082487</v>
      </c>
      <c r="B6181">
        <v>1259329</v>
      </c>
      <c r="D6181" t="s">
        <v>39101</v>
      </c>
      <c r="E6181" t="s">
        <v>39102</v>
      </c>
      <c r="F6181" t="s">
        <v>39103</v>
      </c>
      <c r="G6181" t="s">
        <v>39104</v>
      </c>
      <c r="H6181" t="s">
        <v>39105</v>
      </c>
      <c r="I6181" t="s">
        <v>39106</v>
      </c>
      <c r="J6181" t="s">
        <v>39107</v>
      </c>
      <c r="K6181" t="s">
        <v>39108</v>
      </c>
      <c r="L6181" t="s">
        <v>39100</v>
      </c>
    </row>
    <row r="6182" spans="1:12" x14ac:dyDescent="0.25">
      <c r="A6182">
        <v>1082610</v>
      </c>
      <c r="B6182">
        <v>1457404</v>
      </c>
      <c r="D6182">
        <v>0</v>
      </c>
      <c r="F6182">
        <v>1629750</v>
      </c>
      <c r="G6182">
        <v>1457404</v>
      </c>
      <c r="H6182" t="e" vm="2723">
        <f>_FV(0,"842")</f>
        <v>#VALUE!</v>
      </c>
      <c r="I6182">
        <v>1082610</v>
      </c>
      <c r="J6182" t="s">
        <v>39109</v>
      </c>
      <c r="K6182" t="s">
        <v>39110</v>
      </c>
      <c r="L6182" t="e" vm="2723">
        <f>_FV(0,"842")</f>
        <v>#VALUE!</v>
      </c>
    </row>
    <row r="6183" spans="1:12" x14ac:dyDescent="0.25">
      <c r="A6183">
        <v>1082610</v>
      </c>
      <c r="B6183">
        <v>1457385</v>
      </c>
      <c r="D6183">
        <v>0</v>
      </c>
      <c r="E6183" t="s">
        <v>39112</v>
      </c>
      <c r="F6183" t="s">
        <v>39113</v>
      </c>
      <c r="G6183" t="s">
        <v>39114</v>
      </c>
      <c r="H6183" t="s">
        <v>39115</v>
      </c>
      <c r="I6183" t="s">
        <v>39116</v>
      </c>
      <c r="J6183" t="s">
        <v>39111</v>
      </c>
      <c r="K6183" t="s">
        <v>39117</v>
      </c>
      <c r="L6183" t="s">
        <v>39111</v>
      </c>
    </row>
    <row r="6184" spans="1:12" x14ac:dyDescent="0.25">
      <c r="A6184">
        <v>1083738</v>
      </c>
      <c r="B6184">
        <v>1083744</v>
      </c>
      <c r="D6184">
        <v>0</v>
      </c>
      <c r="E6184" t="s">
        <v>39119</v>
      </c>
      <c r="F6184" t="s">
        <v>39120</v>
      </c>
      <c r="G6184" t="s">
        <v>39121</v>
      </c>
      <c r="H6184" t="e" vm="2724">
        <f>_FV(0,"019941457255285663")</f>
        <v>#VALUE!</v>
      </c>
      <c r="I6184" t="s">
        <v>39122</v>
      </c>
      <c r="J6184" t="s">
        <v>39123</v>
      </c>
      <c r="K6184" t="s">
        <v>39124</v>
      </c>
      <c r="L6184" t="s">
        <v>39118</v>
      </c>
    </row>
    <row r="6185" spans="1:12" x14ac:dyDescent="0.25">
      <c r="A6185">
        <v>1083785</v>
      </c>
      <c r="B6185">
        <v>1083792</v>
      </c>
      <c r="D6185">
        <v>0</v>
      </c>
      <c r="E6185" t="s">
        <v>39126</v>
      </c>
      <c r="F6185" t="s">
        <v>39127</v>
      </c>
      <c r="G6185" t="s">
        <v>39128</v>
      </c>
      <c r="H6185" t="e" vm="2725">
        <f>_FV(0,"023324716793381665")</f>
        <v>#VALUE!</v>
      </c>
      <c r="I6185" t="s">
        <v>39129</v>
      </c>
      <c r="J6185" t="s">
        <v>39130</v>
      </c>
      <c r="K6185" t="s">
        <v>39131</v>
      </c>
      <c r="L6185" t="s">
        <v>39125</v>
      </c>
    </row>
    <row r="6186" spans="1:12" x14ac:dyDescent="0.25">
      <c r="A6186">
        <v>1083816</v>
      </c>
      <c r="B6186">
        <v>1083821</v>
      </c>
      <c r="D6186">
        <v>0</v>
      </c>
      <c r="E6186" t="s">
        <v>39133</v>
      </c>
      <c r="F6186" t="s">
        <v>39134</v>
      </c>
      <c r="G6186" t="s">
        <v>39135</v>
      </c>
      <c r="H6186" t="s">
        <v>39136</v>
      </c>
      <c r="I6186" t="s">
        <v>39137</v>
      </c>
      <c r="J6186" t="s">
        <v>39132</v>
      </c>
      <c r="K6186" t="s">
        <v>39138</v>
      </c>
      <c r="L6186" t="s">
        <v>39132</v>
      </c>
    </row>
    <row r="6187" spans="1:12" x14ac:dyDescent="0.25">
      <c r="A6187">
        <v>1083864</v>
      </c>
      <c r="B6187">
        <v>1083874</v>
      </c>
      <c r="D6187">
        <v>0</v>
      </c>
      <c r="E6187" t="s">
        <v>39140</v>
      </c>
      <c r="F6187" t="s">
        <v>39141</v>
      </c>
      <c r="G6187" t="s">
        <v>39142</v>
      </c>
      <c r="H6187" t="s">
        <v>39143</v>
      </c>
      <c r="I6187" t="s">
        <v>39144</v>
      </c>
      <c r="J6187" t="s">
        <v>39139</v>
      </c>
      <c r="K6187" t="s">
        <v>39145</v>
      </c>
      <c r="L6187" t="s">
        <v>39139</v>
      </c>
    </row>
    <row r="6188" spans="1:12" x14ac:dyDescent="0.25">
      <c r="A6188">
        <v>1083926</v>
      </c>
      <c r="B6188">
        <v>1096891</v>
      </c>
      <c r="D6188">
        <v>0</v>
      </c>
      <c r="E6188" t="s">
        <v>39147</v>
      </c>
      <c r="F6188" t="s">
        <v>39148</v>
      </c>
      <c r="G6188" t="s">
        <v>39149</v>
      </c>
      <c r="H6188" t="e" vm="2726">
        <f>_FV(0,"07033685130571182")</f>
        <v>#VALUE!</v>
      </c>
      <c r="I6188" t="s">
        <v>39150</v>
      </c>
      <c r="J6188" t="s">
        <v>39151</v>
      </c>
      <c r="K6188" t="s">
        <v>39152</v>
      </c>
      <c r="L6188" t="s">
        <v>39146</v>
      </c>
    </row>
    <row r="6189" spans="1:12" x14ac:dyDescent="0.25">
      <c r="A6189">
        <v>1083965</v>
      </c>
      <c r="B6189">
        <v>1083972</v>
      </c>
      <c r="D6189">
        <v>0</v>
      </c>
      <c r="F6189">
        <v>1163574</v>
      </c>
      <c r="G6189">
        <v>1083965</v>
      </c>
      <c r="H6189" t="s">
        <v>39153</v>
      </c>
      <c r="I6189">
        <v>1083972</v>
      </c>
      <c r="J6189" t="s">
        <v>39153</v>
      </c>
      <c r="K6189" t="s">
        <v>39154</v>
      </c>
      <c r="L6189" t="s">
        <v>39153</v>
      </c>
    </row>
    <row r="6190" spans="1:12" x14ac:dyDescent="0.25">
      <c r="A6190">
        <v>1084007</v>
      </c>
      <c r="B6190">
        <v>1084015</v>
      </c>
      <c r="D6190">
        <v>0</v>
      </c>
      <c r="E6190" t="s">
        <v>39156</v>
      </c>
      <c r="F6190" t="s">
        <v>39157</v>
      </c>
      <c r="G6190" t="s">
        <v>39158</v>
      </c>
      <c r="H6190" t="s">
        <v>39159</v>
      </c>
      <c r="I6190" t="s">
        <v>39160</v>
      </c>
      <c r="J6190" t="s">
        <v>39161</v>
      </c>
      <c r="K6190" t="s">
        <v>39162</v>
      </c>
      <c r="L6190" t="s">
        <v>39155</v>
      </c>
    </row>
    <row r="6191" spans="1:12" x14ac:dyDescent="0.25">
      <c r="A6191">
        <v>1084100</v>
      </c>
      <c r="B6191">
        <v>1084189</v>
      </c>
      <c r="D6191">
        <v>0</v>
      </c>
      <c r="E6191" t="s">
        <v>39164</v>
      </c>
      <c r="F6191" t="s">
        <v>39165</v>
      </c>
      <c r="G6191" t="s">
        <v>39166</v>
      </c>
      <c r="H6191" t="s">
        <v>39167</v>
      </c>
      <c r="I6191" t="s">
        <v>39168</v>
      </c>
      <c r="J6191" t="s">
        <v>39169</v>
      </c>
      <c r="K6191" t="s">
        <v>39170</v>
      </c>
      <c r="L6191" t="s">
        <v>39163</v>
      </c>
    </row>
    <row r="6192" spans="1:12" x14ac:dyDescent="0.25">
      <c r="A6192">
        <v>1084109</v>
      </c>
      <c r="B6192">
        <v>1096451</v>
      </c>
      <c r="D6192">
        <v>0</v>
      </c>
      <c r="F6192">
        <v>1164793</v>
      </c>
      <c r="G6192">
        <v>1096451</v>
      </c>
      <c r="H6192" t="e" vm="2727">
        <f>_FV(0,"564")</f>
        <v>#VALUE!</v>
      </c>
      <c r="I6192">
        <v>1084109</v>
      </c>
      <c r="J6192" t="s">
        <v>39171</v>
      </c>
      <c r="K6192" t="s">
        <v>39172</v>
      </c>
      <c r="L6192" t="e" vm="2727">
        <f>_FV(0,"564")</f>
        <v>#VALUE!</v>
      </c>
    </row>
    <row r="6193" spans="1:12" x14ac:dyDescent="0.25">
      <c r="A6193">
        <v>1084109</v>
      </c>
      <c r="B6193">
        <v>1096376</v>
      </c>
      <c r="D6193">
        <v>0</v>
      </c>
      <c r="E6193" t="s">
        <v>39174</v>
      </c>
      <c r="F6193" t="s">
        <v>39175</v>
      </c>
      <c r="G6193" t="s">
        <v>39176</v>
      </c>
      <c r="H6193" t="s">
        <v>39177</v>
      </c>
      <c r="I6193" t="s">
        <v>39178</v>
      </c>
      <c r="J6193" t="s">
        <v>39179</v>
      </c>
      <c r="K6193" t="s">
        <v>39180</v>
      </c>
      <c r="L6193" t="s">
        <v>39173</v>
      </c>
    </row>
    <row r="6194" spans="1:12" x14ac:dyDescent="0.25">
      <c r="A6194">
        <v>1084136</v>
      </c>
      <c r="B6194">
        <v>1084149</v>
      </c>
      <c r="D6194">
        <v>0</v>
      </c>
      <c r="E6194" t="s">
        <v>39182</v>
      </c>
      <c r="F6194" t="s">
        <v>39183</v>
      </c>
      <c r="G6194" t="s">
        <v>39184</v>
      </c>
      <c r="H6194" t="e" vm="2728">
        <f>_FV(-7,"860209810460398e")-5</f>
        <v>#VALUE!</v>
      </c>
      <c r="I6194" t="s">
        <v>39185</v>
      </c>
      <c r="J6194" t="s">
        <v>4786</v>
      </c>
      <c r="K6194" t="s">
        <v>39186</v>
      </c>
      <c r="L6194" t="s">
        <v>39181</v>
      </c>
    </row>
    <row r="6195" spans="1:12" x14ac:dyDescent="0.25">
      <c r="A6195">
        <v>1084136</v>
      </c>
      <c r="B6195">
        <v>1096407</v>
      </c>
      <c r="D6195">
        <v>0</v>
      </c>
      <c r="E6195" t="s">
        <v>39188</v>
      </c>
      <c r="F6195" t="s">
        <v>39189</v>
      </c>
      <c r="G6195" t="s">
        <v>39190</v>
      </c>
      <c r="H6195" t="e" vm="2729">
        <f>_FV(0,"016224075988609497")</f>
        <v>#VALUE!</v>
      </c>
      <c r="I6195" t="s">
        <v>39191</v>
      </c>
      <c r="J6195" t="s">
        <v>6554</v>
      </c>
      <c r="K6195" t="s">
        <v>39192</v>
      </c>
      <c r="L6195" t="s">
        <v>39187</v>
      </c>
    </row>
    <row r="6196" spans="1:12" x14ac:dyDescent="0.25">
      <c r="A6196">
        <v>1084136</v>
      </c>
      <c r="B6196">
        <v>1096879</v>
      </c>
      <c r="D6196" t="s">
        <v>39194</v>
      </c>
      <c r="E6196" t="s">
        <v>39195</v>
      </c>
      <c r="F6196" t="s">
        <v>39196</v>
      </c>
      <c r="G6196" t="s">
        <v>39197</v>
      </c>
      <c r="H6196" t="e" vm="2730">
        <f>_FV(0,"0052889987838234615")</f>
        <v>#VALUE!</v>
      </c>
      <c r="I6196" t="s">
        <v>39198</v>
      </c>
      <c r="J6196" t="s">
        <v>39199</v>
      </c>
      <c r="K6196" t="s">
        <v>39200</v>
      </c>
      <c r="L6196" t="s">
        <v>39193</v>
      </c>
    </row>
    <row r="6197" spans="1:12" x14ac:dyDescent="0.25">
      <c r="A6197">
        <v>1084149</v>
      </c>
      <c r="B6197">
        <v>1096407</v>
      </c>
      <c r="D6197">
        <v>0</v>
      </c>
      <c r="E6197" t="s">
        <v>39202</v>
      </c>
      <c r="F6197" t="s">
        <v>39203</v>
      </c>
      <c r="G6197" t="s">
        <v>39204</v>
      </c>
      <c r="H6197" t="e" vm="2731">
        <f>_FV(0,"056608098365143536")</f>
        <v>#VALUE!</v>
      </c>
      <c r="I6197" t="s">
        <v>39205</v>
      </c>
      <c r="J6197" t="s">
        <v>19897</v>
      </c>
      <c r="K6197" t="s">
        <v>39206</v>
      </c>
      <c r="L6197" t="s">
        <v>39201</v>
      </c>
    </row>
    <row r="6198" spans="1:12" x14ac:dyDescent="0.25">
      <c r="A6198">
        <v>1084149</v>
      </c>
      <c r="B6198">
        <v>1084155</v>
      </c>
      <c r="D6198">
        <v>0</v>
      </c>
      <c r="E6198" t="s">
        <v>39208</v>
      </c>
      <c r="F6198" t="s">
        <v>39209</v>
      </c>
      <c r="G6198" t="s">
        <v>39210</v>
      </c>
      <c r="H6198" t="s">
        <v>39211</v>
      </c>
      <c r="I6198" t="s">
        <v>39212</v>
      </c>
      <c r="J6198" t="s">
        <v>39213</v>
      </c>
      <c r="K6198" t="s">
        <v>39214</v>
      </c>
      <c r="L6198" t="s">
        <v>39207</v>
      </c>
    </row>
    <row r="6199" spans="1:12" x14ac:dyDescent="0.25">
      <c r="A6199">
        <v>1084155</v>
      </c>
      <c r="B6199">
        <v>1084173</v>
      </c>
      <c r="D6199">
        <v>0</v>
      </c>
      <c r="E6199" t="s">
        <v>39216</v>
      </c>
      <c r="F6199" t="s">
        <v>39217</v>
      </c>
      <c r="G6199" t="s">
        <v>39218</v>
      </c>
      <c r="H6199" t="e" vm="2732">
        <f>_FV(0,"0013678960979285055")</f>
        <v>#VALUE!</v>
      </c>
      <c r="I6199" t="s">
        <v>39219</v>
      </c>
      <c r="J6199" t="s">
        <v>39220</v>
      </c>
      <c r="K6199" t="s">
        <v>39221</v>
      </c>
      <c r="L6199" t="s">
        <v>39215</v>
      </c>
    </row>
    <row r="6200" spans="1:12" x14ac:dyDescent="0.25">
      <c r="A6200">
        <v>1084155</v>
      </c>
      <c r="B6200">
        <v>1096416</v>
      </c>
      <c r="D6200">
        <v>0</v>
      </c>
      <c r="E6200" t="s">
        <v>39222</v>
      </c>
      <c r="F6200" t="s">
        <v>39223</v>
      </c>
      <c r="G6200" t="s">
        <v>39224</v>
      </c>
      <c r="H6200" t="s">
        <v>39225</v>
      </c>
      <c r="I6200" t="s">
        <v>39226</v>
      </c>
      <c r="J6200" t="s">
        <v>153</v>
      </c>
      <c r="K6200" t="s">
        <v>39227</v>
      </c>
      <c r="L6200" t="s">
        <v>153</v>
      </c>
    </row>
    <row r="6201" spans="1:12" x14ac:dyDescent="0.25">
      <c r="A6201">
        <v>1084173</v>
      </c>
      <c r="B6201">
        <v>1096416</v>
      </c>
      <c r="D6201">
        <v>0</v>
      </c>
      <c r="E6201" t="s">
        <v>39229</v>
      </c>
      <c r="F6201" t="s">
        <v>39230</v>
      </c>
      <c r="G6201" t="s">
        <v>39231</v>
      </c>
      <c r="H6201" t="s">
        <v>39232</v>
      </c>
      <c r="I6201" t="s">
        <v>39233</v>
      </c>
      <c r="J6201" t="s">
        <v>39228</v>
      </c>
      <c r="K6201" t="s">
        <v>39234</v>
      </c>
      <c r="L6201" t="s">
        <v>39228</v>
      </c>
    </row>
    <row r="6202" spans="1:12" x14ac:dyDescent="0.25">
      <c r="A6202">
        <v>1084189</v>
      </c>
      <c r="B6202">
        <v>1084214</v>
      </c>
      <c r="D6202">
        <v>0</v>
      </c>
      <c r="E6202" t="s">
        <v>39236</v>
      </c>
      <c r="F6202" t="s">
        <v>39237</v>
      </c>
      <c r="G6202" t="s">
        <v>39238</v>
      </c>
      <c r="H6202" t="e" vm="2733">
        <f>_FV(0,"00722151052003941")</f>
        <v>#VALUE!</v>
      </c>
      <c r="I6202" t="s">
        <v>39239</v>
      </c>
      <c r="J6202" t="s">
        <v>39240</v>
      </c>
      <c r="K6202" t="s">
        <v>39241</v>
      </c>
      <c r="L6202" t="s">
        <v>39235</v>
      </c>
    </row>
    <row r="6203" spans="1:12" x14ac:dyDescent="0.25">
      <c r="A6203">
        <v>1084189</v>
      </c>
      <c r="B6203">
        <v>1096451</v>
      </c>
      <c r="D6203">
        <v>0</v>
      </c>
      <c r="E6203" t="s">
        <v>39243</v>
      </c>
      <c r="F6203" t="s">
        <v>39244</v>
      </c>
      <c r="G6203" t="s">
        <v>39245</v>
      </c>
      <c r="H6203" t="s">
        <v>39246</v>
      </c>
      <c r="I6203" t="s">
        <v>39247</v>
      </c>
      <c r="J6203" t="s">
        <v>39242</v>
      </c>
      <c r="K6203" t="s">
        <v>39248</v>
      </c>
      <c r="L6203" t="s">
        <v>39242</v>
      </c>
    </row>
    <row r="6204" spans="1:12" x14ac:dyDescent="0.25">
      <c r="A6204">
        <v>1084214</v>
      </c>
      <c r="B6204">
        <v>1854863</v>
      </c>
      <c r="D6204">
        <v>0</v>
      </c>
      <c r="E6204" t="s">
        <v>39249</v>
      </c>
      <c r="H6204" t="s">
        <v>187</v>
      </c>
      <c r="J6204">
        <v>0</v>
      </c>
      <c r="K6204" t="s">
        <v>39250</v>
      </c>
      <c r="L6204">
        <v>0</v>
      </c>
    </row>
    <row r="6205" spans="1:12" x14ac:dyDescent="0.25">
      <c r="A6205">
        <v>1084214</v>
      </c>
      <c r="B6205">
        <v>1096451</v>
      </c>
      <c r="D6205">
        <v>0</v>
      </c>
      <c r="E6205" t="s">
        <v>39252</v>
      </c>
      <c r="F6205" t="s">
        <v>39253</v>
      </c>
      <c r="G6205" t="s">
        <v>39254</v>
      </c>
      <c r="H6205" t="s">
        <v>39255</v>
      </c>
      <c r="I6205" t="s">
        <v>39256</v>
      </c>
      <c r="J6205" t="s">
        <v>39257</v>
      </c>
      <c r="K6205" t="s">
        <v>39258</v>
      </c>
      <c r="L6205" t="s">
        <v>39251</v>
      </c>
    </row>
    <row r="6206" spans="1:12" x14ac:dyDescent="0.25">
      <c r="A6206">
        <v>1084221</v>
      </c>
      <c r="B6206">
        <v>1854886</v>
      </c>
      <c r="C6206" t="s">
        <v>39259</v>
      </c>
      <c r="D6206">
        <v>0</v>
      </c>
      <c r="E6206" t="s">
        <v>39260</v>
      </c>
      <c r="H6206" t="s">
        <v>187</v>
      </c>
      <c r="J6206">
        <v>0</v>
      </c>
      <c r="K6206" t="s">
        <v>39250</v>
      </c>
      <c r="L6206">
        <v>0</v>
      </c>
    </row>
    <row r="6207" spans="1:12" x14ac:dyDescent="0.25">
      <c r="A6207">
        <v>1084247</v>
      </c>
      <c r="B6207">
        <v>1854864</v>
      </c>
      <c r="C6207" t="s">
        <v>39261</v>
      </c>
      <c r="D6207">
        <v>0</v>
      </c>
      <c r="E6207" t="s">
        <v>39262</v>
      </c>
      <c r="H6207" t="s">
        <v>187</v>
      </c>
      <c r="J6207">
        <v>0</v>
      </c>
      <c r="K6207" t="s">
        <v>32954</v>
      </c>
      <c r="L6207">
        <v>0</v>
      </c>
    </row>
    <row r="6208" spans="1:12" x14ac:dyDescent="0.25">
      <c r="A6208">
        <v>1084417</v>
      </c>
      <c r="B6208">
        <v>1084423</v>
      </c>
      <c r="D6208" t="s">
        <v>18083</v>
      </c>
      <c r="E6208" t="s">
        <v>39264</v>
      </c>
      <c r="F6208" t="s">
        <v>39265</v>
      </c>
      <c r="G6208" t="s">
        <v>39266</v>
      </c>
      <c r="H6208" t="s">
        <v>39267</v>
      </c>
      <c r="I6208" t="s">
        <v>39268</v>
      </c>
      <c r="J6208" t="s">
        <v>39269</v>
      </c>
      <c r="K6208" t="s">
        <v>39270</v>
      </c>
      <c r="L6208" t="s">
        <v>39263</v>
      </c>
    </row>
    <row r="6209" spans="1:12" x14ac:dyDescent="0.25">
      <c r="A6209">
        <v>1084423</v>
      </c>
      <c r="B6209">
        <v>1084462</v>
      </c>
      <c r="D6209">
        <v>0</v>
      </c>
      <c r="E6209" t="s">
        <v>39272</v>
      </c>
      <c r="F6209" t="s">
        <v>39273</v>
      </c>
      <c r="G6209" t="s">
        <v>39274</v>
      </c>
      <c r="H6209" t="s">
        <v>39275</v>
      </c>
      <c r="I6209" t="s">
        <v>39276</v>
      </c>
      <c r="J6209" t="s">
        <v>39271</v>
      </c>
      <c r="K6209" t="s">
        <v>39277</v>
      </c>
      <c r="L6209" t="s">
        <v>39271</v>
      </c>
    </row>
    <row r="6210" spans="1:12" x14ac:dyDescent="0.25">
      <c r="A6210">
        <v>1084423</v>
      </c>
      <c r="B6210">
        <v>1084462</v>
      </c>
      <c r="D6210">
        <v>0</v>
      </c>
      <c r="E6210" t="s">
        <v>39279</v>
      </c>
      <c r="F6210" t="s">
        <v>39280</v>
      </c>
      <c r="G6210" t="s">
        <v>39281</v>
      </c>
      <c r="H6210" t="s">
        <v>39282</v>
      </c>
      <c r="I6210" t="s">
        <v>39283</v>
      </c>
      <c r="J6210" t="s">
        <v>39278</v>
      </c>
      <c r="K6210" t="s">
        <v>39284</v>
      </c>
      <c r="L6210" t="s">
        <v>39278</v>
      </c>
    </row>
    <row r="6211" spans="1:12" x14ac:dyDescent="0.25">
      <c r="A6211">
        <v>1084462</v>
      </c>
      <c r="B6211">
        <v>1084468</v>
      </c>
      <c r="C6211" t="s">
        <v>39286</v>
      </c>
      <c r="D6211">
        <v>0</v>
      </c>
      <c r="E6211" t="s">
        <v>39287</v>
      </c>
      <c r="F6211" t="s">
        <v>39288</v>
      </c>
      <c r="G6211" t="s">
        <v>39289</v>
      </c>
      <c r="H6211" t="s">
        <v>39290</v>
      </c>
      <c r="I6211" t="s">
        <v>39291</v>
      </c>
      <c r="J6211" t="s">
        <v>13113</v>
      </c>
      <c r="K6211" t="s">
        <v>39292</v>
      </c>
      <c r="L6211" t="s">
        <v>39285</v>
      </c>
    </row>
    <row r="6212" spans="1:12" x14ac:dyDescent="0.25">
      <c r="A6212">
        <v>1084468</v>
      </c>
      <c r="B6212">
        <v>1084519</v>
      </c>
      <c r="D6212">
        <v>0</v>
      </c>
      <c r="E6212" t="s">
        <v>39294</v>
      </c>
      <c r="F6212" t="s">
        <v>39295</v>
      </c>
      <c r="G6212" t="s">
        <v>39296</v>
      </c>
      <c r="H6212" t="e" vm="2734">
        <f>_FV(0,"02121362615827644")</f>
        <v>#VALUE!</v>
      </c>
      <c r="I6212" t="s">
        <v>39297</v>
      </c>
      <c r="J6212" t="s">
        <v>39298</v>
      </c>
      <c r="K6212" t="s">
        <v>39299</v>
      </c>
      <c r="L6212" t="s">
        <v>39293</v>
      </c>
    </row>
    <row r="6213" spans="1:12" x14ac:dyDescent="0.25">
      <c r="A6213">
        <v>1084468</v>
      </c>
      <c r="B6213">
        <v>1084519</v>
      </c>
      <c r="D6213">
        <v>0</v>
      </c>
      <c r="E6213" t="s">
        <v>39301</v>
      </c>
      <c r="F6213" t="s">
        <v>39302</v>
      </c>
      <c r="G6213" t="s">
        <v>39303</v>
      </c>
      <c r="H6213" t="e" vm="2735">
        <f>_FV(0,"021100769583602148")</f>
        <v>#VALUE!</v>
      </c>
      <c r="I6213" t="s">
        <v>39304</v>
      </c>
      <c r="J6213" t="s">
        <v>39305</v>
      </c>
      <c r="K6213" t="s">
        <v>39306</v>
      </c>
      <c r="L6213" t="s">
        <v>39300</v>
      </c>
    </row>
    <row r="6214" spans="1:12" x14ac:dyDescent="0.25">
      <c r="A6214">
        <v>1084581</v>
      </c>
      <c r="B6214">
        <v>1096879</v>
      </c>
      <c r="D6214">
        <v>0</v>
      </c>
      <c r="E6214" t="s">
        <v>39308</v>
      </c>
      <c r="F6214" t="s">
        <v>39309</v>
      </c>
      <c r="G6214" t="s">
        <v>39310</v>
      </c>
      <c r="H6214" t="e" vm="2736">
        <f>_FV(0,"8718579429982678")</f>
        <v>#VALUE!</v>
      </c>
      <c r="I6214" t="s">
        <v>39311</v>
      </c>
      <c r="J6214" t="s">
        <v>39312</v>
      </c>
      <c r="K6214" t="s">
        <v>39313</v>
      </c>
      <c r="L6214" t="s">
        <v>39307</v>
      </c>
    </row>
    <row r="6215" spans="1:12" x14ac:dyDescent="0.25">
      <c r="A6215">
        <v>1084581</v>
      </c>
      <c r="B6215">
        <v>1854915</v>
      </c>
      <c r="C6215" t="s">
        <v>39314</v>
      </c>
      <c r="D6215">
        <v>0</v>
      </c>
      <c r="E6215" t="s">
        <v>39315</v>
      </c>
      <c r="H6215" t="s">
        <v>187</v>
      </c>
      <c r="J6215">
        <v>0</v>
      </c>
      <c r="K6215" t="s">
        <v>33417</v>
      </c>
      <c r="L6215">
        <v>0</v>
      </c>
    </row>
    <row r="6216" spans="1:12" x14ac:dyDescent="0.25">
      <c r="A6216">
        <v>1086193</v>
      </c>
      <c r="B6216">
        <v>1086260</v>
      </c>
      <c r="D6216">
        <v>0</v>
      </c>
      <c r="E6216" t="s">
        <v>39317</v>
      </c>
      <c r="F6216" t="s">
        <v>39318</v>
      </c>
      <c r="G6216" t="s">
        <v>39319</v>
      </c>
      <c r="H6216" t="e" vm="2737">
        <f>_FV(0,"006914964568164339")</f>
        <v>#VALUE!</v>
      </c>
      <c r="I6216" t="s">
        <v>39320</v>
      </c>
      <c r="J6216" t="s">
        <v>39321</v>
      </c>
      <c r="K6216" t="s">
        <v>39322</v>
      </c>
      <c r="L6216" t="s">
        <v>39316</v>
      </c>
    </row>
    <row r="6217" spans="1:12" x14ac:dyDescent="0.25">
      <c r="A6217">
        <v>1086235</v>
      </c>
      <c r="B6217">
        <v>1270199</v>
      </c>
      <c r="D6217">
        <v>0</v>
      </c>
      <c r="F6217">
        <v>1380495</v>
      </c>
      <c r="G6217">
        <v>1270199</v>
      </c>
      <c r="H6217" t="s">
        <v>226</v>
      </c>
      <c r="I6217">
        <v>1086235</v>
      </c>
      <c r="J6217" t="s">
        <v>226</v>
      </c>
      <c r="K6217" t="s">
        <v>39323</v>
      </c>
      <c r="L6217" t="s">
        <v>226</v>
      </c>
    </row>
    <row r="6218" spans="1:12" x14ac:dyDescent="0.25">
      <c r="A6218">
        <v>1086235</v>
      </c>
      <c r="B6218">
        <v>1086237</v>
      </c>
      <c r="D6218">
        <v>0</v>
      </c>
      <c r="E6218" t="s">
        <v>39325</v>
      </c>
      <c r="F6218" t="s">
        <v>39326</v>
      </c>
      <c r="G6218" t="s">
        <v>39327</v>
      </c>
      <c r="H6218" t="e" vm="2738">
        <f>_FV(0,"00953705619680699")</f>
        <v>#VALUE!</v>
      </c>
      <c r="I6218" t="s">
        <v>39328</v>
      </c>
      <c r="J6218" t="s">
        <v>39329</v>
      </c>
      <c r="K6218" t="s">
        <v>39330</v>
      </c>
      <c r="L6218" t="s">
        <v>39324</v>
      </c>
    </row>
    <row r="6219" spans="1:12" x14ac:dyDescent="0.25">
      <c r="A6219">
        <v>1086237</v>
      </c>
      <c r="B6219">
        <v>1086260</v>
      </c>
      <c r="D6219">
        <v>0</v>
      </c>
      <c r="E6219" t="s">
        <v>39332</v>
      </c>
      <c r="F6219" t="s">
        <v>39333</v>
      </c>
      <c r="G6219" t="s">
        <v>39334</v>
      </c>
      <c r="H6219" t="s">
        <v>39335</v>
      </c>
      <c r="I6219" t="s">
        <v>39336</v>
      </c>
      <c r="J6219" t="s">
        <v>39331</v>
      </c>
      <c r="K6219" t="s">
        <v>39337</v>
      </c>
      <c r="L6219" t="s">
        <v>39331</v>
      </c>
    </row>
    <row r="6220" spans="1:12" x14ac:dyDescent="0.25">
      <c r="A6220">
        <v>1091843</v>
      </c>
      <c r="B6220">
        <v>1091844</v>
      </c>
      <c r="D6220">
        <v>0</v>
      </c>
      <c r="F6220">
        <v>1156821</v>
      </c>
      <c r="G6220">
        <v>1091844</v>
      </c>
      <c r="H6220" t="e" vm="56">
        <f>_FV(0,"023")</f>
        <v>#VALUE!</v>
      </c>
      <c r="I6220">
        <v>1091843</v>
      </c>
      <c r="J6220" t="s">
        <v>890</v>
      </c>
      <c r="K6220" t="s">
        <v>39338</v>
      </c>
      <c r="L6220" t="e" vm="56">
        <f>_FV(0,"023")</f>
        <v>#VALUE!</v>
      </c>
    </row>
    <row r="6221" spans="1:12" x14ac:dyDescent="0.25">
      <c r="A6221">
        <v>1091843</v>
      </c>
      <c r="B6221">
        <v>1091886</v>
      </c>
      <c r="D6221">
        <v>0</v>
      </c>
      <c r="E6221" t="s">
        <v>39340</v>
      </c>
      <c r="F6221" t="s">
        <v>39341</v>
      </c>
      <c r="G6221" t="s">
        <v>39342</v>
      </c>
      <c r="H6221" t="e" vm="2739">
        <f>_FV(0,"012069379594769076")</f>
        <v>#VALUE!</v>
      </c>
      <c r="I6221" t="s">
        <v>39343</v>
      </c>
      <c r="J6221" t="s">
        <v>3784</v>
      </c>
      <c r="K6221" t="s">
        <v>39344</v>
      </c>
      <c r="L6221" t="s">
        <v>39339</v>
      </c>
    </row>
    <row r="6222" spans="1:12" x14ac:dyDescent="0.25">
      <c r="A6222">
        <v>1091843</v>
      </c>
      <c r="B6222">
        <v>1092053</v>
      </c>
      <c r="D6222">
        <v>0</v>
      </c>
      <c r="E6222" t="s">
        <v>39345</v>
      </c>
      <c r="F6222" t="s">
        <v>39346</v>
      </c>
      <c r="G6222" t="s">
        <v>39347</v>
      </c>
      <c r="H6222" t="e" vm="2740">
        <f>_FV(0,"015399437024080304")</f>
        <v>#VALUE!</v>
      </c>
      <c r="I6222" t="s">
        <v>39348</v>
      </c>
      <c r="J6222" t="s">
        <v>9876</v>
      </c>
      <c r="K6222" t="s">
        <v>39349</v>
      </c>
      <c r="L6222" t="s">
        <v>9871</v>
      </c>
    </row>
    <row r="6223" spans="1:12" x14ac:dyDescent="0.25">
      <c r="A6223">
        <v>1091844</v>
      </c>
      <c r="B6223">
        <v>1091849</v>
      </c>
      <c r="D6223">
        <v>0</v>
      </c>
      <c r="F6223">
        <v>1156829</v>
      </c>
      <c r="G6223">
        <v>1091849</v>
      </c>
      <c r="H6223" t="e" vm="1006">
        <f>_FV(0,"006")</f>
        <v>#VALUE!</v>
      </c>
      <c r="I6223">
        <v>1091844</v>
      </c>
      <c r="J6223" t="s">
        <v>250</v>
      </c>
      <c r="K6223" t="s">
        <v>39350</v>
      </c>
      <c r="L6223" t="e" vm="1006">
        <f>_FV(0,"006")</f>
        <v>#VALUE!</v>
      </c>
    </row>
    <row r="6224" spans="1:12" x14ac:dyDescent="0.25">
      <c r="A6224">
        <v>1091849</v>
      </c>
      <c r="B6224">
        <v>1091886</v>
      </c>
      <c r="D6224">
        <v>0</v>
      </c>
      <c r="E6224" t="s">
        <v>39352</v>
      </c>
      <c r="F6224" t="s">
        <v>39353</v>
      </c>
      <c r="G6224" t="s">
        <v>39354</v>
      </c>
      <c r="H6224" t="s">
        <v>39355</v>
      </c>
      <c r="I6224" t="s">
        <v>39356</v>
      </c>
      <c r="J6224" t="s">
        <v>39351</v>
      </c>
      <c r="K6224" t="s">
        <v>39357</v>
      </c>
      <c r="L6224" t="s">
        <v>39351</v>
      </c>
    </row>
    <row r="6225" spans="1:12" x14ac:dyDescent="0.25">
      <c r="A6225">
        <v>1091849</v>
      </c>
      <c r="B6225">
        <v>1091994</v>
      </c>
      <c r="D6225">
        <v>0</v>
      </c>
      <c r="E6225" t="s">
        <v>39359</v>
      </c>
      <c r="F6225" t="s">
        <v>39360</v>
      </c>
      <c r="G6225" t="s">
        <v>39361</v>
      </c>
      <c r="H6225" t="e" vm="2741">
        <f>_FV(0,"004871703350819718")</f>
        <v>#VALUE!</v>
      </c>
      <c r="I6225" t="s">
        <v>39362</v>
      </c>
      <c r="J6225" t="s">
        <v>39363</v>
      </c>
      <c r="K6225" t="s">
        <v>39364</v>
      </c>
      <c r="L6225" t="s">
        <v>39358</v>
      </c>
    </row>
    <row r="6226" spans="1:12" x14ac:dyDescent="0.25">
      <c r="A6226">
        <v>1091886</v>
      </c>
      <c r="B6226">
        <v>1092053</v>
      </c>
      <c r="D6226">
        <v>0</v>
      </c>
      <c r="E6226" t="s">
        <v>39366</v>
      </c>
      <c r="F6226" t="s">
        <v>39367</v>
      </c>
      <c r="G6226" t="s">
        <v>39368</v>
      </c>
      <c r="H6226" t="e" vm="2742">
        <f>_FV(0,"006714998734535437")</f>
        <v>#VALUE!</v>
      </c>
      <c r="I6226" t="s">
        <v>39369</v>
      </c>
      <c r="J6226" t="s">
        <v>39370</v>
      </c>
      <c r="K6226" t="s">
        <v>39371</v>
      </c>
      <c r="L6226" t="s">
        <v>39365</v>
      </c>
    </row>
    <row r="6227" spans="1:12" x14ac:dyDescent="0.25">
      <c r="A6227">
        <v>1091963</v>
      </c>
      <c r="B6227">
        <v>1242778</v>
      </c>
      <c r="D6227">
        <v>0</v>
      </c>
      <c r="F6227">
        <v>1339291</v>
      </c>
      <c r="G6227">
        <v>1242778</v>
      </c>
      <c r="H6227" t="e" vm="1084">
        <f>_FV(0,"018")</f>
        <v>#VALUE!</v>
      </c>
      <c r="I6227">
        <v>1091963</v>
      </c>
      <c r="J6227" t="s">
        <v>697</v>
      </c>
      <c r="K6227" t="s">
        <v>39372</v>
      </c>
      <c r="L6227" t="e" vm="1084">
        <f>_FV(0,"018")</f>
        <v>#VALUE!</v>
      </c>
    </row>
    <row r="6228" spans="1:12" x14ac:dyDescent="0.25">
      <c r="A6228">
        <v>1091963</v>
      </c>
      <c r="B6228">
        <v>1092011</v>
      </c>
      <c r="D6228">
        <v>0</v>
      </c>
      <c r="E6228" t="s">
        <v>39374</v>
      </c>
      <c r="F6228" t="s">
        <v>39375</v>
      </c>
      <c r="G6228" t="s">
        <v>39376</v>
      </c>
      <c r="H6228" t="s">
        <v>39377</v>
      </c>
      <c r="I6228" t="s">
        <v>39378</v>
      </c>
      <c r="J6228" t="s">
        <v>39373</v>
      </c>
      <c r="K6228" t="s">
        <v>39379</v>
      </c>
      <c r="L6228" t="s">
        <v>39373</v>
      </c>
    </row>
    <row r="6229" spans="1:12" x14ac:dyDescent="0.25">
      <c r="A6229">
        <v>1091963</v>
      </c>
      <c r="B6229">
        <v>1092001</v>
      </c>
      <c r="D6229">
        <v>0</v>
      </c>
      <c r="E6229" t="s">
        <v>39381</v>
      </c>
      <c r="F6229" t="s">
        <v>39382</v>
      </c>
      <c r="G6229" t="s">
        <v>39383</v>
      </c>
      <c r="H6229" t="e" vm="2743">
        <f>_FV(0,"02073298596908017")</f>
        <v>#VALUE!</v>
      </c>
      <c r="I6229" t="s">
        <v>39384</v>
      </c>
      <c r="J6229" t="s">
        <v>39385</v>
      </c>
      <c r="K6229" t="s">
        <v>39386</v>
      </c>
      <c r="L6229" t="s">
        <v>39380</v>
      </c>
    </row>
    <row r="6230" spans="1:12" x14ac:dyDescent="0.25">
      <c r="A6230">
        <v>1091994</v>
      </c>
      <c r="B6230">
        <v>1092178</v>
      </c>
      <c r="D6230">
        <v>0</v>
      </c>
      <c r="F6230">
        <v>1157189</v>
      </c>
      <c r="G6230">
        <v>1092178</v>
      </c>
      <c r="H6230" t="e" vm="144">
        <f>_FV(0,"003")</f>
        <v>#VALUE!</v>
      </c>
      <c r="I6230">
        <v>1091994</v>
      </c>
      <c r="J6230" t="s">
        <v>1783</v>
      </c>
      <c r="K6230" t="s">
        <v>39387</v>
      </c>
      <c r="L6230" t="e" vm="144">
        <f>_FV(0,"003")</f>
        <v>#VALUE!</v>
      </c>
    </row>
    <row r="6231" spans="1:12" x14ac:dyDescent="0.25">
      <c r="A6231">
        <v>1091994</v>
      </c>
      <c r="B6231">
        <v>1092017</v>
      </c>
      <c r="D6231">
        <v>0</v>
      </c>
      <c r="F6231">
        <v>1156997</v>
      </c>
      <c r="G6231">
        <v>1091994</v>
      </c>
      <c r="H6231" t="e" vm="1084">
        <f>_FV(0,"018")</f>
        <v>#VALUE!</v>
      </c>
      <c r="I6231">
        <v>1092017</v>
      </c>
      <c r="J6231" t="s">
        <v>697</v>
      </c>
      <c r="K6231" t="s">
        <v>39388</v>
      </c>
      <c r="L6231" t="e" vm="1084">
        <f>_FV(0,"018")</f>
        <v>#VALUE!</v>
      </c>
    </row>
    <row r="6232" spans="1:12" x14ac:dyDescent="0.25">
      <c r="A6232">
        <v>1091994</v>
      </c>
      <c r="B6232">
        <v>1302225</v>
      </c>
      <c r="D6232">
        <v>0</v>
      </c>
      <c r="E6232" t="s">
        <v>39390</v>
      </c>
      <c r="F6232" t="s">
        <v>39391</v>
      </c>
      <c r="G6232" t="s">
        <v>39392</v>
      </c>
      <c r="H6232" t="e" vm="2744">
        <f>_FV(0,"012565029875920857")</f>
        <v>#VALUE!</v>
      </c>
      <c r="I6232" t="s">
        <v>39393</v>
      </c>
      <c r="J6232" t="s">
        <v>39394</v>
      </c>
      <c r="K6232" t="s">
        <v>39395</v>
      </c>
      <c r="L6232" t="s">
        <v>39389</v>
      </c>
    </row>
    <row r="6233" spans="1:12" x14ac:dyDescent="0.25">
      <c r="A6233">
        <v>1092001</v>
      </c>
      <c r="B6233">
        <v>1092011</v>
      </c>
      <c r="D6233">
        <v>0</v>
      </c>
      <c r="E6233" t="s">
        <v>39397</v>
      </c>
      <c r="F6233" t="s">
        <v>39398</v>
      </c>
      <c r="G6233" t="s">
        <v>39399</v>
      </c>
      <c r="H6233" t="e" vm="2745">
        <f>_FV(0,"004484602890799047")</f>
        <v>#VALUE!</v>
      </c>
      <c r="I6233" t="s">
        <v>39400</v>
      </c>
      <c r="J6233" t="s">
        <v>39401</v>
      </c>
      <c r="K6233" t="s">
        <v>39402</v>
      </c>
      <c r="L6233" t="s">
        <v>39396</v>
      </c>
    </row>
    <row r="6234" spans="1:12" x14ac:dyDescent="0.25">
      <c r="A6234">
        <v>1092011</v>
      </c>
      <c r="B6234">
        <v>1092185</v>
      </c>
      <c r="D6234">
        <v>0</v>
      </c>
      <c r="E6234" t="s">
        <v>39404</v>
      </c>
      <c r="F6234" t="s">
        <v>39405</v>
      </c>
      <c r="G6234" t="s">
        <v>39406</v>
      </c>
      <c r="H6234" t="s">
        <v>39407</v>
      </c>
      <c r="I6234" t="s">
        <v>39408</v>
      </c>
      <c r="J6234" t="s">
        <v>39403</v>
      </c>
      <c r="K6234" t="s">
        <v>39409</v>
      </c>
      <c r="L6234" t="s">
        <v>39403</v>
      </c>
    </row>
    <row r="6235" spans="1:12" x14ac:dyDescent="0.25">
      <c r="A6235">
        <v>1092017</v>
      </c>
      <c r="B6235">
        <v>1092178</v>
      </c>
      <c r="D6235">
        <v>0</v>
      </c>
      <c r="F6235">
        <v>1339140</v>
      </c>
      <c r="G6235">
        <v>1092017</v>
      </c>
      <c r="H6235" t="s">
        <v>4848</v>
      </c>
      <c r="I6235">
        <v>1092178</v>
      </c>
      <c r="J6235" t="s">
        <v>4848</v>
      </c>
      <c r="K6235" t="s">
        <v>39410</v>
      </c>
      <c r="L6235" t="s">
        <v>4848</v>
      </c>
    </row>
    <row r="6236" spans="1:12" x14ac:dyDescent="0.25">
      <c r="A6236">
        <v>1092053</v>
      </c>
      <c r="B6236">
        <v>1242722</v>
      </c>
      <c r="D6236">
        <v>0</v>
      </c>
      <c r="E6236" t="s">
        <v>39412</v>
      </c>
      <c r="F6236" t="s">
        <v>39413</v>
      </c>
      <c r="G6236" t="s">
        <v>39414</v>
      </c>
      <c r="H6236" t="s">
        <v>39415</v>
      </c>
      <c r="I6236" t="s">
        <v>39416</v>
      </c>
      <c r="J6236" t="s">
        <v>39417</v>
      </c>
      <c r="K6236" t="s">
        <v>39418</v>
      </c>
      <c r="L6236" t="s">
        <v>39411</v>
      </c>
    </row>
    <row r="6237" spans="1:12" x14ac:dyDescent="0.25">
      <c r="A6237">
        <v>1092185</v>
      </c>
      <c r="B6237">
        <v>1302238</v>
      </c>
      <c r="D6237" t="s">
        <v>39420</v>
      </c>
      <c r="E6237" t="s">
        <v>39421</v>
      </c>
      <c r="F6237" t="s">
        <v>39422</v>
      </c>
      <c r="G6237" t="s">
        <v>39423</v>
      </c>
      <c r="H6237" t="s">
        <v>39424</v>
      </c>
      <c r="I6237" t="s">
        <v>39425</v>
      </c>
      <c r="J6237" t="s">
        <v>39426</v>
      </c>
      <c r="K6237" t="s">
        <v>39427</v>
      </c>
      <c r="L6237" t="s">
        <v>39419</v>
      </c>
    </row>
    <row r="6238" spans="1:12" x14ac:dyDescent="0.25">
      <c r="A6238">
        <v>1095056</v>
      </c>
      <c r="B6238">
        <v>1095065</v>
      </c>
      <c r="D6238">
        <v>0</v>
      </c>
      <c r="E6238" t="s">
        <v>39429</v>
      </c>
      <c r="F6238" t="s">
        <v>39430</v>
      </c>
      <c r="G6238" t="s">
        <v>39431</v>
      </c>
      <c r="H6238" t="e" vm="2746">
        <f>_FV(0,"10431412931576466")</f>
        <v>#VALUE!</v>
      </c>
      <c r="I6238" t="s">
        <v>39432</v>
      </c>
      <c r="J6238" t="s">
        <v>39433</v>
      </c>
      <c r="K6238" t="s">
        <v>39434</v>
      </c>
      <c r="L6238" t="s">
        <v>39428</v>
      </c>
    </row>
    <row r="6239" spans="1:12" x14ac:dyDescent="0.25">
      <c r="A6239">
        <v>1095056</v>
      </c>
      <c r="B6239">
        <v>1095065</v>
      </c>
      <c r="D6239">
        <v>0</v>
      </c>
      <c r="E6239" t="s">
        <v>39436</v>
      </c>
      <c r="F6239" t="s">
        <v>39437</v>
      </c>
      <c r="G6239" t="s">
        <v>39438</v>
      </c>
      <c r="H6239" t="e" vm="2747">
        <f>_FV(0,"10602444424555445")</f>
        <v>#VALUE!</v>
      </c>
      <c r="I6239" t="s">
        <v>39439</v>
      </c>
      <c r="J6239" t="s">
        <v>39440</v>
      </c>
      <c r="K6239" t="s">
        <v>39441</v>
      </c>
      <c r="L6239" t="s">
        <v>39435</v>
      </c>
    </row>
    <row r="6240" spans="1:12" x14ac:dyDescent="0.25">
      <c r="A6240">
        <v>1095065</v>
      </c>
      <c r="B6240">
        <v>1854898</v>
      </c>
      <c r="D6240">
        <v>0</v>
      </c>
      <c r="E6240" t="s">
        <v>39442</v>
      </c>
      <c r="H6240" t="s">
        <v>187</v>
      </c>
      <c r="J6240">
        <v>0</v>
      </c>
      <c r="K6240" t="s">
        <v>13520</v>
      </c>
      <c r="L6240">
        <v>0</v>
      </c>
    </row>
    <row r="6241" spans="1:12" x14ac:dyDescent="0.25">
      <c r="A6241">
        <v>1096407</v>
      </c>
      <c r="B6241">
        <v>1096416</v>
      </c>
      <c r="D6241">
        <v>0</v>
      </c>
      <c r="E6241" t="s">
        <v>39444</v>
      </c>
      <c r="F6241" t="s">
        <v>39445</v>
      </c>
      <c r="G6241" t="s">
        <v>39446</v>
      </c>
      <c r="H6241" t="s">
        <v>39447</v>
      </c>
      <c r="I6241" t="s">
        <v>39448</v>
      </c>
      <c r="J6241" t="s">
        <v>39449</v>
      </c>
      <c r="K6241" t="s">
        <v>39450</v>
      </c>
      <c r="L6241" t="s">
        <v>39443</v>
      </c>
    </row>
    <row r="6242" spans="1:12" x14ac:dyDescent="0.25">
      <c r="A6242">
        <v>1096606</v>
      </c>
      <c r="B6242">
        <v>1114554</v>
      </c>
      <c r="D6242">
        <v>0</v>
      </c>
      <c r="E6242" t="s">
        <v>39451</v>
      </c>
      <c r="F6242" t="s">
        <v>39452</v>
      </c>
      <c r="G6242" t="s">
        <v>39453</v>
      </c>
      <c r="H6242" t="s">
        <v>4848</v>
      </c>
      <c r="I6242" t="s">
        <v>39454</v>
      </c>
      <c r="J6242" t="s">
        <v>4848</v>
      </c>
      <c r="K6242" t="s">
        <v>39455</v>
      </c>
      <c r="L6242" t="s">
        <v>4848</v>
      </c>
    </row>
    <row r="6243" spans="1:12" x14ac:dyDescent="0.25">
      <c r="A6243">
        <v>1098370</v>
      </c>
      <c r="B6243">
        <v>1098415</v>
      </c>
      <c r="D6243">
        <v>0</v>
      </c>
      <c r="F6243">
        <v>1168502</v>
      </c>
      <c r="G6243">
        <v>1098415</v>
      </c>
      <c r="H6243" t="s">
        <v>5837</v>
      </c>
      <c r="I6243">
        <v>1098370</v>
      </c>
      <c r="J6243" t="s">
        <v>5837</v>
      </c>
      <c r="K6243" t="s">
        <v>39456</v>
      </c>
      <c r="L6243" t="s">
        <v>5837</v>
      </c>
    </row>
    <row r="6244" spans="1:12" x14ac:dyDescent="0.25">
      <c r="A6244">
        <v>1098370</v>
      </c>
      <c r="B6244">
        <v>1098477</v>
      </c>
      <c r="D6244" t="s">
        <v>9074</v>
      </c>
      <c r="E6244" t="s">
        <v>39458</v>
      </c>
      <c r="F6244" t="s">
        <v>39459</v>
      </c>
      <c r="G6244" t="s">
        <v>39460</v>
      </c>
      <c r="H6244" t="s">
        <v>39461</v>
      </c>
      <c r="I6244" t="s">
        <v>39462</v>
      </c>
      <c r="J6244" t="s">
        <v>39463</v>
      </c>
      <c r="K6244" t="s">
        <v>39464</v>
      </c>
      <c r="L6244" t="s">
        <v>39457</v>
      </c>
    </row>
    <row r="6245" spans="1:12" x14ac:dyDescent="0.25">
      <c r="A6245">
        <v>1098370</v>
      </c>
      <c r="B6245">
        <v>1101951</v>
      </c>
      <c r="D6245">
        <v>0</v>
      </c>
      <c r="F6245">
        <v>1168494</v>
      </c>
      <c r="G6245">
        <v>1098370</v>
      </c>
      <c r="H6245" t="s">
        <v>39465</v>
      </c>
      <c r="I6245">
        <v>1101951</v>
      </c>
      <c r="J6245" t="s">
        <v>39465</v>
      </c>
      <c r="K6245" t="s">
        <v>39466</v>
      </c>
      <c r="L6245" t="s">
        <v>39465</v>
      </c>
    </row>
    <row r="6246" spans="1:12" x14ac:dyDescent="0.25">
      <c r="A6246">
        <v>1098392</v>
      </c>
      <c r="B6246">
        <v>1100053</v>
      </c>
      <c r="C6246" t="s">
        <v>39468</v>
      </c>
      <c r="D6246">
        <v>0</v>
      </c>
      <c r="E6246" t="s">
        <v>39469</v>
      </c>
      <c r="F6246" t="s">
        <v>39470</v>
      </c>
      <c r="G6246" t="s">
        <v>39471</v>
      </c>
      <c r="H6246" t="e" vm="2748">
        <f>_FV(0,"00019194343961023054")</f>
        <v>#VALUE!</v>
      </c>
      <c r="I6246" t="s">
        <v>39472</v>
      </c>
      <c r="J6246" t="s">
        <v>39473</v>
      </c>
      <c r="K6246" t="s">
        <v>39474</v>
      </c>
      <c r="L6246" t="s">
        <v>39467</v>
      </c>
    </row>
    <row r="6247" spans="1:12" x14ac:dyDescent="0.25">
      <c r="A6247">
        <v>1098392</v>
      </c>
      <c r="B6247">
        <v>1854834</v>
      </c>
      <c r="C6247" t="s">
        <v>39475</v>
      </c>
      <c r="D6247">
        <v>0</v>
      </c>
      <c r="E6247" t="s">
        <v>39476</v>
      </c>
      <c r="H6247" t="s">
        <v>187</v>
      </c>
      <c r="J6247">
        <v>0</v>
      </c>
      <c r="K6247" t="s">
        <v>39477</v>
      </c>
      <c r="L6247">
        <v>0</v>
      </c>
    </row>
    <row r="6248" spans="1:12" x14ac:dyDescent="0.25">
      <c r="A6248">
        <v>1098392</v>
      </c>
      <c r="B6248">
        <v>1854914</v>
      </c>
      <c r="D6248">
        <v>0</v>
      </c>
      <c r="E6248" t="s">
        <v>39478</v>
      </c>
      <c r="H6248" t="s">
        <v>187</v>
      </c>
      <c r="J6248">
        <v>0</v>
      </c>
      <c r="K6248" t="s">
        <v>33123</v>
      </c>
      <c r="L6248">
        <v>0</v>
      </c>
    </row>
    <row r="6249" spans="1:12" x14ac:dyDescent="0.25">
      <c r="A6249">
        <v>1098415</v>
      </c>
      <c r="B6249">
        <v>1101833</v>
      </c>
      <c r="D6249">
        <v>0</v>
      </c>
      <c r="E6249" t="s">
        <v>39480</v>
      </c>
      <c r="F6249" t="s">
        <v>39481</v>
      </c>
      <c r="G6249" t="s">
        <v>39482</v>
      </c>
      <c r="H6249" t="e" vm="2749">
        <f>_FV(0,"20720039078375413")</f>
        <v>#VALUE!</v>
      </c>
      <c r="I6249" t="s">
        <v>39483</v>
      </c>
      <c r="J6249" t="s">
        <v>39484</v>
      </c>
      <c r="K6249" t="s">
        <v>39485</v>
      </c>
      <c r="L6249" t="s">
        <v>39479</v>
      </c>
    </row>
    <row r="6250" spans="1:12" x14ac:dyDescent="0.25">
      <c r="A6250">
        <v>1098415</v>
      </c>
      <c r="B6250">
        <v>1264308</v>
      </c>
      <c r="D6250" t="s">
        <v>9879</v>
      </c>
      <c r="E6250" t="s">
        <v>39487</v>
      </c>
      <c r="F6250" t="s">
        <v>39488</v>
      </c>
      <c r="G6250" t="s">
        <v>39489</v>
      </c>
      <c r="H6250" t="s">
        <v>39490</v>
      </c>
      <c r="I6250" t="s">
        <v>39491</v>
      </c>
      <c r="J6250" t="s">
        <v>39492</v>
      </c>
      <c r="K6250" t="s">
        <v>39493</v>
      </c>
      <c r="L6250" t="s">
        <v>39486</v>
      </c>
    </row>
    <row r="6251" spans="1:12" x14ac:dyDescent="0.25">
      <c r="A6251">
        <v>1098468</v>
      </c>
      <c r="B6251">
        <v>1101951</v>
      </c>
      <c r="D6251" t="s">
        <v>7856</v>
      </c>
      <c r="E6251" t="s">
        <v>39495</v>
      </c>
      <c r="F6251" t="s">
        <v>39496</v>
      </c>
      <c r="G6251" t="s">
        <v>39497</v>
      </c>
      <c r="H6251" t="e" vm="2750">
        <f>_FV(0,"08228056539581662")</f>
        <v>#VALUE!</v>
      </c>
      <c r="I6251" t="s">
        <v>39498</v>
      </c>
      <c r="J6251" t="s">
        <v>39499</v>
      </c>
      <c r="K6251" t="s">
        <v>39500</v>
      </c>
      <c r="L6251" t="s">
        <v>39494</v>
      </c>
    </row>
    <row r="6252" spans="1:12" x14ac:dyDescent="0.25">
      <c r="A6252">
        <v>1098468</v>
      </c>
      <c r="B6252">
        <v>1106950</v>
      </c>
      <c r="D6252">
        <v>0</v>
      </c>
      <c r="E6252" t="s">
        <v>39502</v>
      </c>
      <c r="F6252" t="s">
        <v>39503</v>
      </c>
      <c r="G6252" t="s">
        <v>39504</v>
      </c>
      <c r="H6252" t="s">
        <v>39505</v>
      </c>
      <c r="I6252" t="s">
        <v>39506</v>
      </c>
      <c r="J6252" t="s">
        <v>39507</v>
      </c>
      <c r="K6252" t="s">
        <v>39508</v>
      </c>
      <c r="L6252" t="s">
        <v>39501</v>
      </c>
    </row>
    <row r="6253" spans="1:12" x14ac:dyDescent="0.25">
      <c r="A6253">
        <v>1098468</v>
      </c>
      <c r="B6253">
        <v>1106875</v>
      </c>
      <c r="D6253" t="s">
        <v>39510</v>
      </c>
      <c r="E6253" t="s">
        <v>39511</v>
      </c>
      <c r="F6253" t="s">
        <v>39512</v>
      </c>
      <c r="G6253" t="s">
        <v>39513</v>
      </c>
      <c r="H6253" t="s">
        <v>39514</v>
      </c>
      <c r="I6253" t="s">
        <v>39515</v>
      </c>
      <c r="J6253" t="s">
        <v>39509</v>
      </c>
      <c r="K6253" t="s">
        <v>39516</v>
      </c>
      <c r="L6253" t="s">
        <v>39509</v>
      </c>
    </row>
    <row r="6254" spans="1:12" x14ac:dyDescent="0.25">
      <c r="A6254">
        <v>1098477</v>
      </c>
      <c r="B6254">
        <v>1105365</v>
      </c>
      <c r="C6254" t="s">
        <v>39518</v>
      </c>
      <c r="D6254">
        <v>0</v>
      </c>
      <c r="E6254" t="s">
        <v>39519</v>
      </c>
      <c r="F6254" t="s">
        <v>39520</v>
      </c>
      <c r="G6254" t="s">
        <v>39521</v>
      </c>
      <c r="H6254" t="s">
        <v>39522</v>
      </c>
      <c r="I6254" t="s">
        <v>39523</v>
      </c>
      <c r="J6254" t="s">
        <v>39524</v>
      </c>
      <c r="K6254" t="s">
        <v>39525</v>
      </c>
      <c r="L6254" t="s">
        <v>39517</v>
      </c>
    </row>
    <row r="6255" spans="1:12" x14ac:dyDescent="0.25">
      <c r="A6255">
        <v>1098477</v>
      </c>
      <c r="B6255">
        <v>1241937</v>
      </c>
      <c r="D6255" t="s">
        <v>29550</v>
      </c>
      <c r="E6255" t="s">
        <v>39527</v>
      </c>
      <c r="F6255" t="s">
        <v>39528</v>
      </c>
      <c r="G6255" t="s">
        <v>39529</v>
      </c>
      <c r="H6255" t="s">
        <v>39530</v>
      </c>
      <c r="I6255" t="s">
        <v>39531</v>
      </c>
      <c r="J6255" t="s">
        <v>39526</v>
      </c>
      <c r="K6255" t="s">
        <v>39532</v>
      </c>
      <c r="L6255" t="s">
        <v>39526</v>
      </c>
    </row>
    <row r="6256" spans="1:12" x14ac:dyDescent="0.25">
      <c r="A6256">
        <v>989213</v>
      </c>
      <c r="B6256">
        <v>1854834</v>
      </c>
      <c r="C6256" t="s">
        <v>39533</v>
      </c>
      <c r="D6256">
        <v>0</v>
      </c>
      <c r="E6256" t="s">
        <v>39534</v>
      </c>
      <c r="H6256" t="s">
        <v>187</v>
      </c>
      <c r="J6256">
        <v>0</v>
      </c>
      <c r="K6256" t="s">
        <v>39477</v>
      </c>
      <c r="L6256">
        <v>0</v>
      </c>
    </row>
    <row r="6257" spans="1:12" x14ac:dyDescent="0.25">
      <c r="A6257">
        <v>1100053</v>
      </c>
      <c r="B6257">
        <v>1100054</v>
      </c>
      <c r="D6257">
        <v>0</v>
      </c>
      <c r="E6257" t="s">
        <v>39536</v>
      </c>
      <c r="F6257" t="s">
        <v>39537</v>
      </c>
      <c r="G6257" t="s">
        <v>39538</v>
      </c>
      <c r="H6257" t="s">
        <v>39539</v>
      </c>
      <c r="I6257" t="s">
        <v>39540</v>
      </c>
      <c r="J6257" t="s">
        <v>39541</v>
      </c>
      <c r="K6257" t="s">
        <v>39542</v>
      </c>
      <c r="L6257" t="s">
        <v>39535</v>
      </c>
    </row>
    <row r="6258" spans="1:12" x14ac:dyDescent="0.25">
      <c r="A6258">
        <v>1100054</v>
      </c>
      <c r="B6258">
        <v>1116635</v>
      </c>
      <c r="D6258">
        <v>0</v>
      </c>
      <c r="E6258" t="s">
        <v>39544</v>
      </c>
      <c r="F6258" t="s">
        <v>39545</v>
      </c>
      <c r="G6258" t="s">
        <v>39546</v>
      </c>
      <c r="H6258" t="e" vm="2751">
        <f>_FV(0,"05302637943321862")</f>
        <v>#VALUE!</v>
      </c>
      <c r="I6258" t="s">
        <v>39547</v>
      </c>
      <c r="J6258" t="s">
        <v>39548</v>
      </c>
      <c r="K6258" t="s">
        <v>39549</v>
      </c>
      <c r="L6258" t="s">
        <v>39543</v>
      </c>
    </row>
    <row r="6259" spans="1:12" x14ac:dyDescent="0.25">
      <c r="A6259">
        <v>1101833</v>
      </c>
      <c r="B6259">
        <v>1101951</v>
      </c>
      <c r="D6259">
        <v>0</v>
      </c>
      <c r="F6259">
        <v>1168486</v>
      </c>
      <c r="G6259">
        <v>1101951</v>
      </c>
      <c r="H6259" t="s">
        <v>1194</v>
      </c>
      <c r="I6259">
        <v>1101833</v>
      </c>
      <c r="J6259" t="s">
        <v>1194</v>
      </c>
      <c r="K6259" t="s">
        <v>39550</v>
      </c>
      <c r="L6259" t="s">
        <v>1194</v>
      </c>
    </row>
    <row r="6260" spans="1:12" x14ac:dyDescent="0.25">
      <c r="A6260">
        <v>1101833</v>
      </c>
      <c r="B6260">
        <v>1264290</v>
      </c>
      <c r="D6260" t="s">
        <v>2086</v>
      </c>
      <c r="E6260" t="s">
        <v>39552</v>
      </c>
      <c r="F6260" t="s">
        <v>39553</v>
      </c>
      <c r="G6260" t="s">
        <v>39554</v>
      </c>
      <c r="H6260" t="e" vm="2752">
        <f>_FV(0,"01140987316348642")</f>
        <v>#VALUE!</v>
      </c>
      <c r="I6260" t="s">
        <v>39555</v>
      </c>
      <c r="J6260" t="s">
        <v>39556</v>
      </c>
      <c r="K6260" t="s">
        <v>39557</v>
      </c>
      <c r="L6260" t="s">
        <v>39551</v>
      </c>
    </row>
    <row r="6261" spans="1:12" x14ac:dyDescent="0.25">
      <c r="A6261">
        <v>1105618</v>
      </c>
      <c r="B6261">
        <v>1663567</v>
      </c>
      <c r="D6261">
        <v>0</v>
      </c>
      <c r="E6261" t="s">
        <v>39559</v>
      </c>
      <c r="F6261" t="s">
        <v>39560</v>
      </c>
      <c r="G6261" t="s">
        <v>39561</v>
      </c>
      <c r="H6261" t="e" vm="2753">
        <f>_FV(0,"009844699742045436")</f>
        <v>#VALUE!</v>
      </c>
      <c r="I6261" t="s">
        <v>39562</v>
      </c>
      <c r="J6261" t="s">
        <v>39563</v>
      </c>
      <c r="K6261" t="s">
        <v>39564</v>
      </c>
      <c r="L6261" t="s">
        <v>39558</v>
      </c>
    </row>
    <row r="6262" spans="1:12" x14ac:dyDescent="0.25">
      <c r="A6262">
        <v>1105618</v>
      </c>
      <c r="B6262">
        <v>1854835</v>
      </c>
      <c r="C6262" t="s">
        <v>39565</v>
      </c>
      <c r="D6262">
        <v>0</v>
      </c>
      <c r="E6262" t="s">
        <v>39566</v>
      </c>
      <c r="H6262" t="s">
        <v>187</v>
      </c>
      <c r="J6262">
        <v>0</v>
      </c>
      <c r="K6262" t="s">
        <v>39567</v>
      </c>
      <c r="L6262">
        <v>0</v>
      </c>
    </row>
    <row r="6263" spans="1:12" x14ac:dyDescent="0.25">
      <c r="A6263">
        <v>1105775</v>
      </c>
      <c r="B6263">
        <v>1105779</v>
      </c>
      <c r="D6263">
        <v>0</v>
      </c>
      <c r="E6263" t="s">
        <v>39569</v>
      </c>
      <c r="F6263" t="s">
        <v>39570</v>
      </c>
      <c r="G6263" t="s">
        <v>39571</v>
      </c>
      <c r="H6263" t="s">
        <v>39572</v>
      </c>
      <c r="I6263" t="s">
        <v>39573</v>
      </c>
      <c r="J6263" t="s">
        <v>39568</v>
      </c>
      <c r="K6263" t="s">
        <v>39574</v>
      </c>
      <c r="L6263" t="s">
        <v>39568</v>
      </c>
    </row>
    <row r="6264" spans="1:12" x14ac:dyDescent="0.25">
      <c r="A6264">
        <v>1105775</v>
      </c>
      <c r="B6264">
        <v>1106889</v>
      </c>
      <c r="D6264">
        <v>0</v>
      </c>
      <c r="E6264" t="s">
        <v>39576</v>
      </c>
      <c r="F6264" t="s">
        <v>39577</v>
      </c>
      <c r="G6264" t="s">
        <v>39578</v>
      </c>
      <c r="H6264" t="s">
        <v>39579</v>
      </c>
      <c r="I6264" t="s">
        <v>39580</v>
      </c>
      <c r="J6264" t="s">
        <v>3346</v>
      </c>
      <c r="K6264" t="s">
        <v>39581</v>
      </c>
      <c r="L6264" t="s">
        <v>39575</v>
      </c>
    </row>
    <row r="6265" spans="1:12" x14ac:dyDescent="0.25">
      <c r="A6265">
        <v>1105775</v>
      </c>
      <c r="B6265">
        <v>1106086</v>
      </c>
      <c r="D6265">
        <v>0</v>
      </c>
      <c r="F6265">
        <v>1174852</v>
      </c>
      <c r="G6265">
        <v>1105775</v>
      </c>
      <c r="H6265" t="s">
        <v>3317</v>
      </c>
      <c r="I6265">
        <v>1106086</v>
      </c>
      <c r="J6265" t="s">
        <v>3317</v>
      </c>
      <c r="K6265" t="s">
        <v>39582</v>
      </c>
      <c r="L6265" t="s">
        <v>3317</v>
      </c>
    </row>
    <row r="6266" spans="1:12" x14ac:dyDescent="0.25">
      <c r="A6266">
        <v>1105779</v>
      </c>
      <c r="B6266">
        <v>1105784</v>
      </c>
      <c r="D6266">
        <v>0</v>
      </c>
      <c r="F6266">
        <v>1335969</v>
      </c>
      <c r="G6266">
        <v>1105784</v>
      </c>
      <c r="H6266" t="s">
        <v>250</v>
      </c>
      <c r="I6266">
        <v>1105779</v>
      </c>
      <c r="J6266" t="s">
        <v>250</v>
      </c>
      <c r="K6266" t="s">
        <v>39583</v>
      </c>
      <c r="L6266" t="s">
        <v>250</v>
      </c>
    </row>
    <row r="6267" spans="1:12" x14ac:dyDescent="0.25">
      <c r="A6267">
        <v>1105779</v>
      </c>
      <c r="B6267">
        <v>1106889</v>
      </c>
      <c r="D6267">
        <v>0</v>
      </c>
      <c r="E6267" t="s">
        <v>39585</v>
      </c>
      <c r="F6267" t="s">
        <v>39586</v>
      </c>
      <c r="G6267" t="s">
        <v>39587</v>
      </c>
      <c r="H6267" t="s">
        <v>39588</v>
      </c>
      <c r="I6267" t="s">
        <v>39589</v>
      </c>
      <c r="J6267" t="s">
        <v>39590</v>
      </c>
      <c r="K6267" t="s">
        <v>39591</v>
      </c>
      <c r="L6267" t="s">
        <v>39584</v>
      </c>
    </row>
    <row r="6268" spans="1:12" x14ac:dyDescent="0.25">
      <c r="A6268">
        <v>1105784</v>
      </c>
      <c r="B6268">
        <v>1105795</v>
      </c>
      <c r="D6268">
        <v>0</v>
      </c>
      <c r="E6268" t="s">
        <v>39593</v>
      </c>
      <c r="F6268" t="s">
        <v>39594</v>
      </c>
      <c r="G6268" t="s">
        <v>39595</v>
      </c>
      <c r="H6268" t="e" vm="2754">
        <f>_FV(0,"009128382355116359")</f>
        <v>#VALUE!</v>
      </c>
      <c r="I6268" t="s">
        <v>39596</v>
      </c>
      <c r="J6268" t="s">
        <v>39597</v>
      </c>
      <c r="K6268" t="s">
        <v>39598</v>
      </c>
      <c r="L6268" t="s">
        <v>39592</v>
      </c>
    </row>
    <row r="6269" spans="1:12" x14ac:dyDescent="0.25">
      <c r="A6269">
        <v>1105784</v>
      </c>
      <c r="B6269">
        <v>1112392</v>
      </c>
      <c r="D6269">
        <v>0</v>
      </c>
      <c r="E6269" t="s">
        <v>39600</v>
      </c>
      <c r="F6269" t="s">
        <v>39601</v>
      </c>
      <c r="G6269" t="s">
        <v>39602</v>
      </c>
      <c r="H6269" t="s">
        <v>39603</v>
      </c>
      <c r="I6269" t="s">
        <v>39604</v>
      </c>
      <c r="J6269" t="s">
        <v>39599</v>
      </c>
      <c r="K6269" t="s">
        <v>39605</v>
      </c>
      <c r="L6269" t="s">
        <v>39599</v>
      </c>
    </row>
    <row r="6270" spans="1:12" x14ac:dyDescent="0.25">
      <c r="A6270">
        <v>1105795</v>
      </c>
      <c r="B6270">
        <v>1106097</v>
      </c>
      <c r="D6270">
        <v>0</v>
      </c>
      <c r="F6270">
        <v>1624043</v>
      </c>
      <c r="G6270">
        <v>1106097</v>
      </c>
      <c r="H6270" t="e" vm="59">
        <f>_FV(0,"014")</f>
        <v>#VALUE!</v>
      </c>
      <c r="I6270">
        <v>1105795</v>
      </c>
      <c r="J6270" t="s">
        <v>922</v>
      </c>
      <c r="K6270" t="s">
        <v>39606</v>
      </c>
      <c r="L6270" t="e" vm="59">
        <f>_FV(0,"014")</f>
        <v>#VALUE!</v>
      </c>
    </row>
    <row r="6271" spans="1:12" x14ac:dyDescent="0.25">
      <c r="A6271">
        <v>1105795</v>
      </c>
      <c r="B6271">
        <v>1112392</v>
      </c>
      <c r="D6271">
        <v>0</v>
      </c>
      <c r="E6271" t="s">
        <v>39608</v>
      </c>
      <c r="F6271" t="s">
        <v>39609</v>
      </c>
      <c r="G6271" t="s">
        <v>39610</v>
      </c>
      <c r="H6271" t="e" vm="2755">
        <f>_FV(0,"16000567353337325")</f>
        <v>#VALUE!</v>
      </c>
      <c r="I6271" t="s">
        <v>39611</v>
      </c>
      <c r="J6271" t="s">
        <v>39612</v>
      </c>
      <c r="K6271" t="s">
        <v>39613</v>
      </c>
      <c r="L6271" t="s">
        <v>39607</v>
      </c>
    </row>
    <row r="6272" spans="1:12" x14ac:dyDescent="0.25">
      <c r="A6272">
        <v>1105837</v>
      </c>
      <c r="B6272">
        <v>1105918</v>
      </c>
      <c r="D6272">
        <v>0</v>
      </c>
      <c r="E6272" t="s">
        <v>39615</v>
      </c>
      <c r="F6272" t="s">
        <v>39616</v>
      </c>
      <c r="G6272" t="s">
        <v>39617</v>
      </c>
      <c r="H6272" t="e" vm="2756">
        <f>_FV(0,"012427172295287817")</f>
        <v>#VALUE!</v>
      </c>
      <c r="I6272" t="s">
        <v>39618</v>
      </c>
      <c r="J6272" t="s">
        <v>39619</v>
      </c>
      <c r="K6272" t="s">
        <v>39620</v>
      </c>
      <c r="L6272" t="s">
        <v>39614</v>
      </c>
    </row>
    <row r="6273" spans="1:12" x14ac:dyDescent="0.25">
      <c r="A6273">
        <v>1105837</v>
      </c>
      <c r="B6273">
        <v>1105882</v>
      </c>
      <c r="D6273">
        <v>0</v>
      </c>
      <c r="E6273" t="s">
        <v>39622</v>
      </c>
      <c r="F6273" t="s">
        <v>39623</v>
      </c>
      <c r="G6273" t="s">
        <v>39624</v>
      </c>
      <c r="H6273" t="s">
        <v>39625</v>
      </c>
      <c r="I6273" t="s">
        <v>39626</v>
      </c>
      <c r="J6273" t="s">
        <v>39627</v>
      </c>
      <c r="K6273" t="s">
        <v>39628</v>
      </c>
      <c r="L6273" t="s">
        <v>39621</v>
      </c>
    </row>
    <row r="6274" spans="1:12" x14ac:dyDescent="0.25">
      <c r="A6274">
        <v>1105882</v>
      </c>
      <c r="B6274">
        <v>1453477</v>
      </c>
      <c r="D6274" t="s">
        <v>10007</v>
      </c>
      <c r="E6274" t="s">
        <v>39630</v>
      </c>
      <c r="F6274" t="s">
        <v>39631</v>
      </c>
      <c r="G6274" t="s">
        <v>39632</v>
      </c>
      <c r="H6274" t="e" vm="2757">
        <f>_FV(0,"051808979218591476")</f>
        <v>#VALUE!</v>
      </c>
      <c r="I6274" t="s">
        <v>39633</v>
      </c>
      <c r="J6274" t="s">
        <v>39634</v>
      </c>
      <c r="K6274" t="s">
        <v>39635</v>
      </c>
      <c r="L6274" t="s">
        <v>39629</v>
      </c>
    </row>
    <row r="6275" spans="1:12" x14ac:dyDescent="0.25">
      <c r="A6275">
        <v>1105890</v>
      </c>
      <c r="B6275">
        <v>1105918</v>
      </c>
      <c r="D6275">
        <v>0</v>
      </c>
      <c r="E6275" t="s">
        <v>39637</v>
      </c>
      <c r="F6275" t="s">
        <v>39638</v>
      </c>
      <c r="G6275" t="s">
        <v>39639</v>
      </c>
      <c r="H6275" t="e" vm="2758">
        <f>_FV(0,"045423183410534196")</f>
        <v>#VALUE!</v>
      </c>
      <c r="I6275" t="s">
        <v>39640</v>
      </c>
      <c r="J6275" t="s">
        <v>39641</v>
      </c>
      <c r="K6275" t="s">
        <v>39642</v>
      </c>
      <c r="L6275" t="s">
        <v>39636</v>
      </c>
    </row>
    <row r="6276" spans="1:12" x14ac:dyDescent="0.25">
      <c r="A6276">
        <v>1105890</v>
      </c>
      <c r="B6276">
        <v>1264264</v>
      </c>
      <c r="D6276" t="s">
        <v>4520</v>
      </c>
      <c r="E6276" t="s">
        <v>39644</v>
      </c>
      <c r="F6276" t="s">
        <v>39645</v>
      </c>
      <c r="G6276" t="s">
        <v>39646</v>
      </c>
      <c r="H6276" t="s">
        <v>39647</v>
      </c>
      <c r="I6276" t="s">
        <v>39648</v>
      </c>
      <c r="J6276" t="s">
        <v>39649</v>
      </c>
      <c r="K6276" t="s">
        <v>39650</v>
      </c>
      <c r="L6276" t="s">
        <v>39643</v>
      </c>
    </row>
    <row r="6277" spans="1:12" x14ac:dyDescent="0.25">
      <c r="A6277">
        <v>1106061</v>
      </c>
      <c r="B6277">
        <v>1112392</v>
      </c>
      <c r="D6277">
        <v>0</v>
      </c>
      <c r="E6277" t="s">
        <v>39652</v>
      </c>
      <c r="F6277" t="s">
        <v>39653</v>
      </c>
      <c r="G6277" t="s">
        <v>39654</v>
      </c>
      <c r="H6277" t="s">
        <v>39655</v>
      </c>
      <c r="I6277" t="s">
        <v>39656</v>
      </c>
      <c r="J6277" t="s">
        <v>39657</v>
      </c>
      <c r="K6277" t="s">
        <v>39658</v>
      </c>
      <c r="L6277" t="s">
        <v>39651</v>
      </c>
    </row>
    <row r="6278" spans="1:12" x14ac:dyDescent="0.25">
      <c r="A6278">
        <v>1106061</v>
      </c>
      <c r="B6278">
        <v>1106097</v>
      </c>
      <c r="D6278">
        <v>0</v>
      </c>
      <c r="F6278">
        <v>1624051</v>
      </c>
      <c r="G6278">
        <v>1106061</v>
      </c>
      <c r="H6278" t="s">
        <v>2068</v>
      </c>
      <c r="I6278">
        <v>1106097</v>
      </c>
      <c r="J6278" t="s">
        <v>2068</v>
      </c>
      <c r="K6278" t="s">
        <v>39659</v>
      </c>
      <c r="L6278" t="s">
        <v>2068</v>
      </c>
    </row>
    <row r="6279" spans="1:12" x14ac:dyDescent="0.25">
      <c r="A6279">
        <v>1106061</v>
      </c>
      <c r="B6279">
        <v>1242074</v>
      </c>
      <c r="C6279" t="s">
        <v>39661</v>
      </c>
      <c r="D6279">
        <v>0</v>
      </c>
      <c r="E6279" t="s">
        <v>39662</v>
      </c>
      <c r="F6279" t="s">
        <v>39663</v>
      </c>
      <c r="G6279" t="s">
        <v>39664</v>
      </c>
      <c r="H6279" t="s">
        <v>39665</v>
      </c>
      <c r="I6279" t="s">
        <v>39666</v>
      </c>
      <c r="J6279" t="s">
        <v>39667</v>
      </c>
      <c r="K6279" t="s">
        <v>39668</v>
      </c>
      <c r="L6279" t="s">
        <v>39660</v>
      </c>
    </row>
    <row r="6280" spans="1:12" x14ac:dyDescent="0.25">
      <c r="A6280">
        <v>1106069</v>
      </c>
      <c r="B6280">
        <v>1106086</v>
      </c>
      <c r="D6280">
        <v>0</v>
      </c>
      <c r="F6280">
        <v>1174844</v>
      </c>
      <c r="G6280">
        <v>1106086</v>
      </c>
      <c r="H6280" t="s">
        <v>241</v>
      </c>
      <c r="I6280">
        <v>1106069</v>
      </c>
      <c r="J6280" t="s">
        <v>241</v>
      </c>
      <c r="K6280" t="s">
        <v>39669</v>
      </c>
      <c r="L6280" t="s">
        <v>241</v>
      </c>
    </row>
    <row r="6281" spans="1:12" x14ac:dyDescent="0.25">
      <c r="A6281">
        <v>1106069</v>
      </c>
      <c r="B6281">
        <v>1106987</v>
      </c>
      <c r="D6281">
        <v>0</v>
      </c>
      <c r="E6281" t="s">
        <v>39671</v>
      </c>
      <c r="F6281" t="s">
        <v>39672</v>
      </c>
      <c r="G6281" t="s">
        <v>39673</v>
      </c>
      <c r="H6281" t="s">
        <v>39674</v>
      </c>
      <c r="I6281" t="s">
        <v>39675</v>
      </c>
      <c r="J6281" t="s">
        <v>39676</v>
      </c>
      <c r="K6281" t="s">
        <v>39677</v>
      </c>
      <c r="L6281" t="s">
        <v>39670</v>
      </c>
    </row>
    <row r="6282" spans="1:12" x14ac:dyDescent="0.25">
      <c r="A6282">
        <v>1106069</v>
      </c>
      <c r="B6282">
        <v>1106889</v>
      </c>
      <c r="D6282">
        <v>0</v>
      </c>
      <c r="E6282" t="s">
        <v>39679</v>
      </c>
      <c r="F6282" t="s">
        <v>39680</v>
      </c>
      <c r="G6282" t="s">
        <v>39681</v>
      </c>
      <c r="H6282" t="e" vm="2759">
        <f>_FV(0,"02617235928513291")</f>
        <v>#VALUE!</v>
      </c>
      <c r="I6282" t="s">
        <v>39682</v>
      </c>
      <c r="J6282" t="s">
        <v>39683</v>
      </c>
      <c r="K6282" t="s">
        <v>39684</v>
      </c>
      <c r="L6282" t="s">
        <v>39678</v>
      </c>
    </row>
    <row r="6283" spans="1:12" x14ac:dyDescent="0.25">
      <c r="A6283">
        <v>1106086</v>
      </c>
      <c r="B6283">
        <v>1107020</v>
      </c>
      <c r="D6283">
        <v>0</v>
      </c>
      <c r="E6283" t="s">
        <v>39686</v>
      </c>
      <c r="F6283" t="s">
        <v>39687</v>
      </c>
      <c r="G6283" t="s">
        <v>39688</v>
      </c>
      <c r="H6283" t="e" vm="2760">
        <f>_FV(0,"012061633922681688")</f>
        <v>#VALUE!</v>
      </c>
      <c r="I6283" t="s">
        <v>39689</v>
      </c>
      <c r="J6283" t="s">
        <v>39690</v>
      </c>
      <c r="K6283" t="s">
        <v>39691</v>
      </c>
      <c r="L6283" t="s">
        <v>39685</v>
      </c>
    </row>
    <row r="6284" spans="1:12" x14ac:dyDescent="0.25">
      <c r="A6284">
        <v>1106097</v>
      </c>
      <c r="B6284">
        <v>1242103</v>
      </c>
      <c r="C6284" t="s">
        <v>39693</v>
      </c>
      <c r="D6284">
        <v>0</v>
      </c>
      <c r="E6284" t="s">
        <v>39694</v>
      </c>
      <c r="F6284" t="s">
        <v>39695</v>
      </c>
      <c r="G6284" t="s">
        <v>39696</v>
      </c>
      <c r="H6284" t="s">
        <v>39697</v>
      </c>
      <c r="I6284" t="s">
        <v>39698</v>
      </c>
      <c r="J6284" t="s">
        <v>39699</v>
      </c>
      <c r="K6284" t="s">
        <v>39700</v>
      </c>
      <c r="L6284" t="s">
        <v>39692</v>
      </c>
    </row>
    <row r="6285" spans="1:12" x14ac:dyDescent="0.25">
      <c r="A6285">
        <v>1106118</v>
      </c>
      <c r="B6285">
        <v>1106151</v>
      </c>
      <c r="D6285">
        <v>0</v>
      </c>
      <c r="E6285" t="s">
        <v>39702</v>
      </c>
      <c r="F6285" t="s">
        <v>39703</v>
      </c>
      <c r="G6285" t="s">
        <v>39704</v>
      </c>
      <c r="H6285" t="e" vm="2761">
        <f>_FV(0,"014634535480299048")</f>
        <v>#VALUE!</v>
      </c>
      <c r="I6285" t="s">
        <v>39705</v>
      </c>
      <c r="J6285" t="s">
        <v>39706</v>
      </c>
      <c r="K6285" t="s">
        <v>39707</v>
      </c>
      <c r="L6285" t="s">
        <v>39701</v>
      </c>
    </row>
    <row r="6286" spans="1:12" x14ac:dyDescent="0.25">
      <c r="A6286">
        <v>1106118</v>
      </c>
      <c r="B6286">
        <v>1106307</v>
      </c>
      <c r="D6286" t="s">
        <v>12940</v>
      </c>
      <c r="E6286" t="s">
        <v>39709</v>
      </c>
      <c r="F6286" t="s">
        <v>39710</v>
      </c>
      <c r="G6286" t="s">
        <v>39711</v>
      </c>
      <c r="H6286" t="e" vm="2762">
        <f>_FV(0,"026865993633583742")</f>
        <v>#VALUE!</v>
      </c>
      <c r="I6286" t="s">
        <v>39712</v>
      </c>
      <c r="J6286" t="s">
        <v>39713</v>
      </c>
      <c r="K6286" t="s">
        <v>39714</v>
      </c>
      <c r="L6286" t="s">
        <v>39708</v>
      </c>
    </row>
    <row r="6287" spans="1:12" x14ac:dyDescent="0.25">
      <c r="A6287">
        <v>1106118</v>
      </c>
      <c r="B6287">
        <v>1107027</v>
      </c>
      <c r="D6287">
        <v>0</v>
      </c>
      <c r="F6287">
        <v>1336549</v>
      </c>
      <c r="G6287">
        <v>1106118</v>
      </c>
      <c r="H6287" t="e" vm="87">
        <f>_FV(0,"001")</f>
        <v>#VALUE!</v>
      </c>
      <c r="I6287">
        <v>1107027</v>
      </c>
      <c r="J6287" t="s">
        <v>1333</v>
      </c>
      <c r="K6287" t="s">
        <v>39715</v>
      </c>
      <c r="L6287" t="e" vm="87">
        <f>_FV(0,"001")</f>
        <v>#VALUE!</v>
      </c>
    </row>
    <row r="6288" spans="1:12" x14ac:dyDescent="0.25">
      <c r="A6288">
        <v>1106151</v>
      </c>
      <c r="B6288">
        <v>1112965</v>
      </c>
      <c r="D6288">
        <v>0</v>
      </c>
      <c r="F6288">
        <v>1624059</v>
      </c>
      <c r="G6288">
        <v>1112965</v>
      </c>
      <c r="H6288" t="s">
        <v>688</v>
      </c>
      <c r="I6288">
        <v>1106151</v>
      </c>
      <c r="J6288" t="s">
        <v>688</v>
      </c>
      <c r="K6288" t="s">
        <v>39716</v>
      </c>
      <c r="L6288" t="s">
        <v>688</v>
      </c>
    </row>
    <row r="6289" spans="1:12" x14ac:dyDescent="0.25">
      <c r="A6289">
        <v>1106151</v>
      </c>
      <c r="B6289">
        <v>1106219</v>
      </c>
      <c r="D6289">
        <v>0</v>
      </c>
      <c r="F6289">
        <v>1624123</v>
      </c>
      <c r="G6289">
        <v>1106151</v>
      </c>
      <c r="H6289" t="e" vm="201">
        <f>_FV(0,"002")</f>
        <v>#VALUE!</v>
      </c>
      <c r="I6289">
        <v>1106219</v>
      </c>
      <c r="J6289" t="s">
        <v>1534</v>
      </c>
      <c r="K6289" t="s">
        <v>39717</v>
      </c>
      <c r="L6289" t="e" vm="201">
        <f>_FV(0,"002")</f>
        <v>#VALUE!</v>
      </c>
    </row>
    <row r="6290" spans="1:12" x14ac:dyDescent="0.25">
      <c r="A6290">
        <v>1106157</v>
      </c>
      <c r="B6290">
        <v>1106215</v>
      </c>
      <c r="D6290">
        <v>0</v>
      </c>
      <c r="F6290">
        <v>1624211</v>
      </c>
      <c r="G6290">
        <v>1106215</v>
      </c>
      <c r="H6290" t="e" vm="106">
        <f>_FV(0,"019")</f>
        <v>#VALUE!</v>
      </c>
      <c r="I6290">
        <v>1106157</v>
      </c>
      <c r="J6290" t="s">
        <v>1629</v>
      </c>
      <c r="K6290" t="s">
        <v>39718</v>
      </c>
      <c r="L6290" t="e" vm="106">
        <f>_FV(0,"019")</f>
        <v>#VALUE!</v>
      </c>
    </row>
    <row r="6291" spans="1:12" x14ac:dyDescent="0.25">
      <c r="A6291">
        <v>1106157</v>
      </c>
      <c r="B6291">
        <v>1106181</v>
      </c>
      <c r="D6291">
        <v>0</v>
      </c>
      <c r="E6291" t="s">
        <v>39720</v>
      </c>
      <c r="F6291" t="s">
        <v>39721</v>
      </c>
      <c r="G6291" t="s">
        <v>39722</v>
      </c>
      <c r="H6291" t="s">
        <v>39723</v>
      </c>
      <c r="I6291" t="s">
        <v>39724</v>
      </c>
      <c r="J6291" t="s">
        <v>39725</v>
      </c>
      <c r="K6291" t="s">
        <v>39726</v>
      </c>
      <c r="L6291" t="s">
        <v>39719</v>
      </c>
    </row>
    <row r="6292" spans="1:12" x14ac:dyDescent="0.25">
      <c r="A6292">
        <v>1106157</v>
      </c>
      <c r="B6292">
        <v>1112943</v>
      </c>
      <c r="D6292">
        <v>0</v>
      </c>
      <c r="F6292">
        <v>1624203</v>
      </c>
      <c r="G6292">
        <v>1106157</v>
      </c>
      <c r="H6292" t="e" vm="806">
        <f>_FV(0,"164")</f>
        <v>#VALUE!</v>
      </c>
      <c r="I6292">
        <v>1112943</v>
      </c>
      <c r="J6292" t="s">
        <v>11792</v>
      </c>
      <c r="K6292" t="s">
        <v>39727</v>
      </c>
      <c r="L6292" t="e" vm="806">
        <f>_FV(0,"164")</f>
        <v>#VALUE!</v>
      </c>
    </row>
    <row r="6293" spans="1:12" x14ac:dyDescent="0.25">
      <c r="A6293">
        <v>1106181</v>
      </c>
      <c r="B6293">
        <v>1107027</v>
      </c>
      <c r="D6293">
        <v>0</v>
      </c>
      <c r="F6293">
        <v>1336914</v>
      </c>
      <c r="G6293">
        <v>1107027</v>
      </c>
      <c r="H6293" t="s">
        <v>187</v>
      </c>
      <c r="I6293">
        <v>1106181</v>
      </c>
      <c r="J6293" t="s">
        <v>187</v>
      </c>
      <c r="K6293" t="s">
        <v>39728</v>
      </c>
      <c r="L6293" t="s">
        <v>187</v>
      </c>
    </row>
    <row r="6294" spans="1:12" x14ac:dyDescent="0.25">
      <c r="A6294">
        <v>1106181</v>
      </c>
      <c r="B6294">
        <v>1106547</v>
      </c>
      <c r="D6294">
        <v>0</v>
      </c>
      <c r="E6294" t="s">
        <v>39730</v>
      </c>
      <c r="F6294" t="s">
        <v>39731</v>
      </c>
      <c r="G6294" t="s">
        <v>39732</v>
      </c>
      <c r="H6294" t="s">
        <v>39733</v>
      </c>
      <c r="I6294" t="s">
        <v>39734</v>
      </c>
      <c r="J6294" t="s">
        <v>39729</v>
      </c>
      <c r="K6294" t="s">
        <v>39735</v>
      </c>
      <c r="L6294" t="s">
        <v>39729</v>
      </c>
    </row>
    <row r="6295" spans="1:12" x14ac:dyDescent="0.25">
      <c r="A6295">
        <v>1106188</v>
      </c>
      <c r="B6295">
        <v>1106189</v>
      </c>
      <c r="D6295">
        <v>1</v>
      </c>
      <c r="F6295">
        <v>1173924</v>
      </c>
      <c r="G6295">
        <v>1106189</v>
      </c>
      <c r="H6295" t="s">
        <v>1939</v>
      </c>
      <c r="I6295">
        <v>1106188</v>
      </c>
      <c r="J6295" t="s">
        <v>1939</v>
      </c>
      <c r="K6295" t="s">
        <v>39736</v>
      </c>
      <c r="L6295" t="s">
        <v>1939</v>
      </c>
    </row>
    <row r="6296" spans="1:12" x14ac:dyDescent="0.25">
      <c r="A6296">
        <v>1106188</v>
      </c>
      <c r="B6296">
        <v>1106547</v>
      </c>
      <c r="D6296">
        <v>1</v>
      </c>
      <c r="F6296">
        <v>1336887</v>
      </c>
      <c r="G6296">
        <v>1106547</v>
      </c>
      <c r="H6296" t="s">
        <v>2916</v>
      </c>
      <c r="I6296">
        <v>1106188</v>
      </c>
      <c r="J6296" t="s">
        <v>2916</v>
      </c>
      <c r="K6296" t="s">
        <v>39737</v>
      </c>
      <c r="L6296" t="s">
        <v>2916</v>
      </c>
    </row>
    <row r="6297" spans="1:12" x14ac:dyDescent="0.25">
      <c r="A6297">
        <v>1106188</v>
      </c>
      <c r="B6297">
        <v>1106386</v>
      </c>
      <c r="D6297" t="s">
        <v>8909</v>
      </c>
      <c r="E6297" t="s">
        <v>39739</v>
      </c>
      <c r="F6297" t="s">
        <v>39740</v>
      </c>
      <c r="G6297" t="s">
        <v>39741</v>
      </c>
      <c r="H6297" t="e" vm="2763">
        <f>_FV(0,"09745305995984017")</f>
        <v>#VALUE!</v>
      </c>
      <c r="I6297" t="s">
        <v>39742</v>
      </c>
      <c r="J6297" t="s">
        <v>39743</v>
      </c>
      <c r="K6297" t="s">
        <v>39744</v>
      </c>
      <c r="L6297" t="s">
        <v>39738</v>
      </c>
    </row>
    <row r="6298" spans="1:12" x14ac:dyDescent="0.25">
      <c r="A6298">
        <v>1106189</v>
      </c>
      <c r="B6298">
        <v>1106547</v>
      </c>
      <c r="D6298">
        <v>1</v>
      </c>
      <c r="F6298">
        <v>1174428</v>
      </c>
      <c r="G6298">
        <v>1106547</v>
      </c>
      <c r="H6298" t="s">
        <v>1687</v>
      </c>
      <c r="I6298">
        <v>1106189</v>
      </c>
      <c r="J6298" t="s">
        <v>1687</v>
      </c>
      <c r="K6298" t="s">
        <v>39745</v>
      </c>
      <c r="L6298" t="s">
        <v>1687</v>
      </c>
    </row>
    <row r="6299" spans="1:12" x14ac:dyDescent="0.25">
      <c r="A6299">
        <v>1106189</v>
      </c>
      <c r="B6299">
        <v>1106215</v>
      </c>
      <c r="D6299" t="s">
        <v>12317</v>
      </c>
      <c r="E6299" t="s">
        <v>39747</v>
      </c>
      <c r="F6299" t="s">
        <v>39748</v>
      </c>
      <c r="G6299" t="s">
        <v>39749</v>
      </c>
      <c r="H6299" t="s">
        <v>39750</v>
      </c>
      <c r="I6299" t="s">
        <v>39751</v>
      </c>
      <c r="J6299" t="s">
        <v>39746</v>
      </c>
      <c r="K6299" t="s">
        <v>39752</v>
      </c>
      <c r="L6299" t="s">
        <v>39746</v>
      </c>
    </row>
    <row r="6300" spans="1:12" x14ac:dyDescent="0.25">
      <c r="A6300">
        <v>1106189</v>
      </c>
      <c r="B6300">
        <v>1106508</v>
      </c>
      <c r="D6300" t="s">
        <v>8909</v>
      </c>
      <c r="E6300" t="s">
        <v>39754</v>
      </c>
      <c r="F6300" t="s">
        <v>39755</v>
      </c>
      <c r="G6300" t="s">
        <v>39756</v>
      </c>
      <c r="H6300" t="e" vm="2764">
        <f>_FV(0,"0518746393441094")</f>
        <v>#VALUE!</v>
      </c>
      <c r="I6300" t="s">
        <v>39757</v>
      </c>
      <c r="J6300" t="s">
        <v>39758</v>
      </c>
      <c r="K6300" t="s">
        <v>39759</v>
      </c>
      <c r="L6300" t="s">
        <v>39753</v>
      </c>
    </row>
    <row r="6301" spans="1:12" x14ac:dyDescent="0.25">
      <c r="A6301">
        <v>1106215</v>
      </c>
      <c r="B6301">
        <v>1453671</v>
      </c>
      <c r="D6301">
        <v>0</v>
      </c>
      <c r="E6301" t="s">
        <v>39761</v>
      </c>
      <c r="F6301" t="s">
        <v>39762</v>
      </c>
      <c r="G6301" t="s">
        <v>39763</v>
      </c>
      <c r="H6301" t="s">
        <v>39764</v>
      </c>
      <c r="I6301" t="s">
        <v>39765</v>
      </c>
      <c r="J6301" t="s">
        <v>39766</v>
      </c>
      <c r="K6301" t="s">
        <v>39767</v>
      </c>
      <c r="L6301" t="s">
        <v>39760</v>
      </c>
    </row>
    <row r="6302" spans="1:12" x14ac:dyDescent="0.25">
      <c r="A6302">
        <v>1106219</v>
      </c>
      <c r="B6302">
        <v>1106242</v>
      </c>
      <c r="D6302" t="s">
        <v>12940</v>
      </c>
      <c r="E6302" t="s">
        <v>39769</v>
      </c>
      <c r="F6302" t="s">
        <v>39770</v>
      </c>
      <c r="G6302" t="s">
        <v>39771</v>
      </c>
      <c r="H6302" t="e" vm="2765">
        <f>_FV(0,"024618697252303732")</f>
        <v>#VALUE!</v>
      </c>
      <c r="I6302" t="s">
        <v>39772</v>
      </c>
      <c r="J6302" t="s">
        <v>39773</v>
      </c>
      <c r="K6302" t="s">
        <v>39774</v>
      </c>
      <c r="L6302" t="s">
        <v>39768</v>
      </c>
    </row>
    <row r="6303" spans="1:12" x14ac:dyDescent="0.25">
      <c r="A6303">
        <v>1106219</v>
      </c>
      <c r="B6303">
        <v>1453550</v>
      </c>
      <c r="D6303">
        <v>0</v>
      </c>
      <c r="E6303" t="s">
        <v>39776</v>
      </c>
      <c r="F6303" t="s">
        <v>39777</v>
      </c>
      <c r="G6303" t="s">
        <v>39778</v>
      </c>
      <c r="H6303" t="e" vm="2766">
        <f>_FV(0,"013715082806415863")</f>
        <v>#VALUE!</v>
      </c>
      <c r="I6303" t="s">
        <v>39779</v>
      </c>
      <c r="J6303" t="s">
        <v>39780</v>
      </c>
      <c r="K6303" t="s">
        <v>39781</v>
      </c>
      <c r="L6303" t="s">
        <v>39775</v>
      </c>
    </row>
    <row r="6304" spans="1:12" x14ac:dyDescent="0.25">
      <c r="A6304">
        <v>1106242</v>
      </c>
      <c r="B6304">
        <v>1106250</v>
      </c>
      <c r="D6304">
        <v>1</v>
      </c>
      <c r="F6304">
        <v>1174004</v>
      </c>
      <c r="G6304">
        <v>1106250</v>
      </c>
      <c r="H6304" t="s">
        <v>2916</v>
      </c>
      <c r="I6304">
        <v>1106242</v>
      </c>
      <c r="J6304" t="s">
        <v>2916</v>
      </c>
      <c r="K6304" t="s">
        <v>39782</v>
      </c>
      <c r="L6304" t="s">
        <v>2916</v>
      </c>
    </row>
    <row r="6305" spans="1:12" x14ac:dyDescent="0.25">
      <c r="A6305">
        <v>1106242</v>
      </c>
      <c r="B6305">
        <v>1106325</v>
      </c>
      <c r="D6305" t="s">
        <v>715</v>
      </c>
      <c r="E6305" t="s">
        <v>39784</v>
      </c>
      <c r="F6305" t="s">
        <v>39785</v>
      </c>
      <c r="G6305" t="s">
        <v>39786</v>
      </c>
      <c r="H6305" t="s">
        <v>39787</v>
      </c>
      <c r="I6305" t="s">
        <v>39788</v>
      </c>
      <c r="J6305" t="s">
        <v>39783</v>
      </c>
      <c r="K6305" t="s">
        <v>39789</v>
      </c>
      <c r="L6305" t="s">
        <v>39783</v>
      </c>
    </row>
    <row r="6306" spans="1:12" x14ac:dyDescent="0.25">
      <c r="A6306">
        <v>1106242</v>
      </c>
      <c r="B6306">
        <v>1106307</v>
      </c>
      <c r="D6306">
        <v>1</v>
      </c>
      <c r="F6306">
        <v>1174076</v>
      </c>
      <c r="G6306">
        <v>1106242</v>
      </c>
      <c r="H6306" t="s">
        <v>1783</v>
      </c>
      <c r="I6306">
        <v>1106307</v>
      </c>
      <c r="J6306" t="s">
        <v>1783</v>
      </c>
      <c r="K6306" t="s">
        <v>39790</v>
      </c>
      <c r="L6306" t="s">
        <v>1783</v>
      </c>
    </row>
    <row r="6307" spans="1:12" x14ac:dyDescent="0.25">
      <c r="A6307">
        <v>1106250</v>
      </c>
      <c r="B6307">
        <v>1106256</v>
      </c>
      <c r="C6307" t="s">
        <v>39792</v>
      </c>
      <c r="D6307" t="s">
        <v>8740</v>
      </c>
      <c r="E6307" t="s">
        <v>39793</v>
      </c>
      <c r="F6307" t="s">
        <v>39794</v>
      </c>
      <c r="G6307" t="s">
        <v>39795</v>
      </c>
      <c r="H6307" t="s">
        <v>39796</v>
      </c>
      <c r="I6307" t="s">
        <v>39797</v>
      </c>
      <c r="J6307" t="s">
        <v>39791</v>
      </c>
      <c r="K6307" t="s">
        <v>39798</v>
      </c>
      <c r="L6307" t="s">
        <v>39791</v>
      </c>
    </row>
    <row r="6308" spans="1:12" x14ac:dyDescent="0.25">
      <c r="A6308">
        <v>1106250</v>
      </c>
      <c r="B6308">
        <v>1106307</v>
      </c>
      <c r="D6308">
        <v>1</v>
      </c>
      <c r="F6308">
        <v>1336597</v>
      </c>
      <c r="G6308">
        <v>1106250</v>
      </c>
      <c r="H6308" t="s">
        <v>6474</v>
      </c>
      <c r="I6308">
        <v>1106307</v>
      </c>
      <c r="J6308" t="s">
        <v>6474</v>
      </c>
      <c r="K6308" t="s">
        <v>39799</v>
      </c>
      <c r="L6308" t="s">
        <v>6474</v>
      </c>
    </row>
    <row r="6309" spans="1:12" x14ac:dyDescent="0.25">
      <c r="A6309">
        <v>1106256</v>
      </c>
      <c r="B6309">
        <v>1106257</v>
      </c>
      <c r="D6309">
        <v>0</v>
      </c>
      <c r="F6309">
        <v>1174012</v>
      </c>
      <c r="G6309">
        <v>1106257</v>
      </c>
      <c r="H6309" t="e" vm="131">
        <f>_FV(0,"012")</f>
        <v>#VALUE!</v>
      </c>
      <c r="I6309">
        <v>1106256</v>
      </c>
      <c r="J6309" t="s">
        <v>1939</v>
      </c>
      <c r="K6309" t="s">
        <v>39800</v>
      </c>
      <c r="L6309" t="e" vm="131">
        <f>_FV(0,"012")</f>
        <v>#VALUE!</v>
      </c>
    </row>
    <row r="6310" spans="1:12" x14ac:dyDescent="0.25">
      <c r="A6310">
        <v>1106256</v>
      </c>
      <c r="B6310">
        <v>1106564</v>
      </c>
      <c r="D6310">
        <v>0</v>
      </c>
      <c r="F6310">
        <v>1336661</v>
      </c>
      <c r="G6310">
        <v>1106564</v>
      </c>
      <c r="H6310" t="e" vm="298">
        <f>_FV(0,"044")</f>
        <v>#VALUE!</v>
      </c>
      <c r="I6310">
        <v>1106256</v>
      </c>
      <c r="J6310" t="s">
        <v>4331</v>
      </c>
      <c r="K6310" t="s">
        <v>39801</v>
      </c>
      <c r="L6310" t="e" vm="298">
        <f>_FV(0,"044")</f>
        <v>#VALUE!</v>
      </c>
    </row>
    <row r="6311" spans="1:12" x14ac:dyDescent="0.25">
      <c r="A6311">
        <v>1106257</v>
      </c>
      <c r="B6311">
        <v>1106564</v>
      </c>
      <c r="D6311">
        <v>0</v>
      </c>
      <c r="F6311">
        <v>1174452</v>
      </c>
      <c r="G6311">
        <v>1106564</v>
      </c>
      <c r="H6311" t="e" vm="643">
        <f>_FV(0,"069")</f>
        <v>#VALUE!</v>
      </c>
      <c r="I6311">
        <v>1106257</v>
      </c>
      <c r="J6311" t="s">
        <v>4038</v>
      </c>
      <c r="K6311" t="s">
        <v>39802</v>
      </c>
      <c r="L6311" t="e" vm="643">
        <f>_FV(0,"069")</f>
        <v>#VALUE!</v>
      </c>
    </row>
    <row r="6312" spans="1:12" x14ac:dyDescent="0.25">
      <c r="A6312">
        <v>1106257</v>
      </c>
      <c r="B6312">
        <v>1106291</v>
      </c>
      <c r="D6312">
        <v>0</v>
      </c>
      <c r="E6312" t="s">
        <v>39804</v>
      </c>
      <c r="F6312" t="s">
        <v>39805</v>
      </c>
      <c r="G6312" t="s">
        <v>39806</v>
      </c>
      <c r="H6312" t="e" vm="2767">
        <f>_FV(0,"05441434790794907")</f>
        <v>#VALUE!</v>
      </c>
      <c r="I6312" t="s">
        <v>39807</v>
      </c>
      <c r="J6312" t="s">
        <v>39808</v>
      </c>
      <c r="K6312" t="s">
        <v>39809</v>
      </c>
      <c r="L6312" t="s">
        <v>39803</v>
      </c>
    </row>
    <row r="6313" spans="1:12" x14ac:dyDescent="0.25">
      <c r="A6313">
        <v>1106257</v>
      </c>
      <c r="B6313">
        <v>1106508</v>
      </c>
      <c r="D6313">
        <v>0</v>
      </c>
      <c r="E6313" t="s">
        <v>39811</v>
      </c>
      <c r="F6313" t="s">
        <v>39812</v>
      </c>
      <c r="G6313" t="s">
        <v>39813</v>
      </c>
      <c r="H6313" t="s">
        <v>39814</v>
      </c>
      <c r="I6313" t="s">
        <v>39815</v>
      </c>
      <c r="J6313" t="s">
        <v>39810</v>
      </c>
      <c r="K6313" t="s">
        <v>39816</v>
      </c>
      <c r="L6313" t="s">
        <v>39810</v>
      </c>
    </row>
    <row r="6314" spans="1:12" x14ac:dyDescent="0.25">
      <c r="A6314">
        <v>1106291</v>
      </c>
      <c r="B6314">
        <v>1106296</v>
      </c>
      <c r="D6314">
        <v>0</v>
      </c>
      <c r="F6314">
        <v>1174908</v>
      </c>
      <c r="G6314">
        <v>1106296</v>
      </c>
      <c r="H6314" t="e" vm="759">
        <f>_FV(0,"079")</f>
        <v>#VALUE!</v>
      </c>
      <c r="I6314">
        <v>1106291</v>
      </c>
      <c r="J6314" t="s">
        <v>4536</v>
      </c>
      <c r="K6314" t="s">
        <v>39817</v>
      </c>
      <c r="L6314" t="e" vm="759">
        <f>_FV(0,"079")</f>
        <v>#VALUE!</v>
      </c>
    </row>
    <row r="6315" spans="1:12" x14ac:dyDescent="0.25">
      <c r="A6315">
        <v>1106291</v>
      </c>
      <c r="B6315">
        <v>1106402</v>
      </c>
      <c r="D6315">
        <v>0</v>
      </c>
      <c r="F6315">
        <v>1174948</v>
      </c>
      <c r="G6315">
        <v>1106291</v>
      </c>
      <c r="H6315" t="e" vm="1697">
        <f>_FV(0,"063")</f>
        <v>#VALUE!</v>
      </c>
      <c r="I6315">
        <v>1106402</v>
      </c>
      <c r="J6315" t="s">
        <v>7542</v>
      </c>
      <c r="K6315" t="s">
        <v>39818</v>
      </c>
      <c r="L6315" t="e" vm="1697">
        <f>_FV(0,"063")</f>
        <v>#VALUE!</v>
      </c>
    </row>
    <row r="6316" spans="1:12" x14ac:dyDescent="0.25">
      <c r="A6316">
        <v>1106296</v>
      </c>
      <c r="B6316">
        <v>1106352</v>
      </c>
      <c r="D6316">
        <v>0</v>
      </c>
      <c r="F6316">
        <v>1174916</v>
      </c>
      <c r="G6316">
        <v>1106352</v>
      </c>
      <c r="H6316" t="s">
        <v>1333</v>
      </c>
      <c r="I6316">
        <v>1106296</v>
      </c>
      <c r="J6316" t="s">
        <v>1333</v>
      </c>
      <c r="K6316" t="s">
        <v>39819</v>
      </c>
      <c r="L6316" t="s">
        <v>1333</v>
      </c>
    </row>
    <row r="6317" spans="1:12" x14ac:dyDescent="0.25">
      <c r="A6317">
        <v>1106325</v>
      </c>
      <c r="B6317">
        <v>1106508</v>
      </c>
      <c r="D6317">
        <v>0</v>
      </c>
      <c r="E6317" t="s">
        <v>39821</v>
      </c>
      <c r="F6317" t="s">
        <v>39822</v>
      </c>
      <c r="G6317" t="s">
        <v>39823</v>
      </c>
      <c r="H6317" t="s">
        <v>39824</v>
      </c>
      <c r="I6317" t="s">
        <v>39825</v>
      </c>
      <c r="J6317" t="s">
        <v>39826</v>
      </c>
      <c r="K6317" t="s">
        <v>39827</v>
      </c>
      <c r="L6317" t="s">
        <v>39820</v>
      </c>
    </row>
    <row r="6318" spans="1:12" x14ac:dyDescent="0.25">
      <c r="A6318">
        <v>1106325</v>
      </c>
      <c r="B6318">
        <v>1106381</v>
      </c>
      <c r="D6318">
        <v>0</v>
      </c>
      <c r="E6318" t="s">
        <v>39829</v>
      </c>
      <c r="F6318" t="s">
        <v>39830</v>
      </c>
      <c r="G6318" t="s">
        <v>39831</v>
      </c>
      <c r="H6318" t="e" vm="2768">
        <f>_FV(0,"03375013814603451")</f>
        <v>#VALUE!</v>
      </c>
      <c r="I6318" t="s">
        <v>39832</v>
      </c>
      <c r="J6318" t="s">
        <v>39833</v>
      </c>
      <c r="K6318" t="s">
        <v>39834</v>
      </c>
      <c r="L6318" t="s">
        <v>39828</v>
      </c>
    </row>
    <row r="6319" spans="1:12" x14ac:dyDescent="0.25">
      <c r="A6319">
        <v>1106352</v>
      </c>
      <c r="B6319">
        <v>1106358</v>
      </c>
      <c r="D6319">
        <v>0</v>
      </c>
      <c r="F6319">
        <v>1174924</v>
      </c>
      <c r="G6319">
        <v>1106358</v>
      </c>
      <c r="H6319" t="s">
        <v>1359</v>
      </c>
      <c r="I6319">
        <v>1106352</v>
      </c>
      <c r="J6319" t="s">
        <v>1359</v>
      </c>
      <c r="K6319" t="s">
        <v>39835</v>
      </c>
      <c r="L6319" t="s">
        <v>1359</v>
      </c>
    </row>
    <row r="6320" spans="1:12" x14ac:dyDescent="0.25">
      <c r="A6320">
        <v>1106358</v>
      </c>
      <c r="B6320">
        <v>1106462</v>
      </c>
      <c r="D6320">
        <v>0</v>
      </c>
      <c r="F6320">
        <v>1174932</v>
      </c>
      <c r="G6320">
        <v>1106462</v>
      </c>
      <c r="H6320" t="s">
        <v>9730</v>
      </c>
      <c r="I6320">
        <v>1106358</v>
      </c>
      <c r="J6320" t="s">
        <v>9730</v>
      </c>
      <c r="K6320" t="s">
        <v>39836</v>
      </c>
      <c r="L6320" t="s">
        <v>9730</v>
      </c>
    </row>
    <row r="6321" spans="1:12" x14ac:dyDescent="0.25">
      <c r="A6321">
        <v>1106358</v>
      </c>
      <c r="B6321">
        <v>1106381</v>
      </c>
      <c r="D6321">
        <v>0</v>
      </c>
      <c r="E6321" t="s">
        <v>39838</v>
      </c>
      <c r="F6321" t="s">
        <v>39839</v>
      </c>
      <c r="G6321" t="s">
        <v>39840</v>
      </c>
      <c r="H6321" t="s">
        <v>39841</v>
      </c>
      <c r="I6321" t="s">
        <v>39842</v>
      </c>
      <c r="J6321" t="s">
        <v>39837</v>
      </c>
      <c r="K6321" t="s">
        <v>39843</v>
      </c>
      <c r="L6321" t="s">
        <v>39837</v>
      </c>
    </row>
    <row r="6322" spans="1:12" x14ac:dyDescent="0.25">
      <c r="A6322">
        <v>1106381</v>
      </c>
      <c r="B6322">
        <v>1106386</v>
      </c>
      <c r="D6322">
        <v>0</v>
      </c>
      <c r="F6322">
        <v>1174188</v>
      </c>
      <c r="G6322">
        <v>1106386</v>
      </c>
      <c r="H6322" t="s">
        <v>170</v>
      </c>
      <c r="I6322">
        <v>1106381</v>
      </c>
      <c r="J6322" t="s">
        <v>170</v>
      </c>
      <c r="K6322" t="s">
        <v>39844</v>
      </c>
      <c r="L6322" t="s">
        <v>170</v>
      </c>
    </row>
    <row r="6323" spans="1:12" x14ac:dyDescent="0.25">
      <c r="A6323">
        <v>1106381</v>
      </c>
      <c r="B6323">
        <v>1106466</v>
      </c>
      <c r="D6323">
        <v>0</v>
      </c>
      <c r="F6323">
        <v>1174308</v>
      </c>
      <c r="G6323">
        <v>1106381</v>
      </c>
      <c r="H6323" t="e" vm="171">
        <f>_FV(0,"04")</f>
        <v>#VALUE!</v>
      </c>
      <c r="I6323">
        <v>1106466</v>
      </c>
      <c r="J6323" t="s">
        <v>2674</v>
      </c>
      <c r="K6323" t="s">
        <v>39845</v>
      </c>
      <c r="L6323" t="e" vm="171">
        <f>_FV(0,"04")</f>
        <v>#VALUE!</v>
      </c>
    </row>
    <row r="6324" spans="1:12" x14ac:dyDescent="0.25">
      <c r="A6324">
        <v>1106386</v>
      </c>
      <c r="B6324">
        <v>1106466</v>
      </c>
      <c r="D6324">
        <v>0</v>
      </c>
      <c r="F6324">
        <v>1336806</v>
      </c>
      <c r="G6324">
        <v>1106386</v>
      </c>
      <c r="H6324" t="s">
        <v>4848</v>
      </c>
      <c r="I6324">
        <v>1106466</v>
      </c>
      <c r="J6324" t="s">
        <v>4848</v>
      </c>
      <c r="K6324" t="s">
        <v>39846</v>
      </c>
      <c r="L6324" t="s">
        <v>4848</v>
      </c>
    </row>
    <row r="6325" spans="1:12" x14ac:dyDescent="0.25">
      <c r="A6325">
        <v>1106402</v>
      </c>
      <c r="B6325">
        <v>1106422</v>
      </c>
      <c r="D6325">
        <v>0</v>
      </c>
      <c r="E6325" t="s">
        <v>39848</v>
      </c>
      <c r="F6325" t="s">
        <v>39849</v>
      </c>
      <c r="G6325" t="s">
        <v>39850</v>
      </c>
      <c r="H6325" t="s">
        <v>39851</v>
      </c>
      <c r="I6325" t="s">
        <v>39852</v>
      </c>
      <c r="J6325" t="s">
        <v>39847</v>
      </c>
      <c r="K6325" t="s">
        <v>39853</v>
      </c>
      <c r="L6325" t="s">
        <v>39847</v>
      </c>
    </row>
    <row r="6326" spans="1:12" x14ac:dyDescent="0.25">
      <c r="A6326">
        <v>1106402</v>
      </c>
      <c r="B6326">
        <v>1106462</v>
      </c>
      <c r="D6326">
        <v>0</v>
      </c>
      <c r="F6326">
        <v>1174940</v>
      </c>
      <c r="G6326">
        <v>1106402</v>
      </c>
      <c r="H6326" t="s">
        <v>1629</v>
      </c>
      <c r="I6326">
        <v>1106462</v>
      </c>
      <c r="J6326" t="s">
        <v>1629</v>
      </c>
      <c r="K6326" t="s">
        <v>39854</v>
      </c>
      <c r="L6326" t="s">
        <v>1629</v>
      </c>
    </row>
    <row r="6327" spans="1:12" x14ac:dyDescent="0.25">
      <c r="A6327">
        <v>1106422</v>
      </c>
      <c r="B6327">
        <v>1106427</v>
      </c>
      <c r="D6327">
        <v>0</v>
      </c>
      <c r="F6327">
        <v>1174244</v>
      </c>
      <c r="G6327">
        <v>1106427</v>
      </c>
      <c r="H6327" t="e" vm="265">
        <f>_FV(0,"115")</f>
        <v>#VALUE!</v>
      </c>
      <c r="I6327">
        <v>1106422</v>
      </c>
      <c r="J6327" t="s">
        <v>3004</v>
      </c>
      <c r="K6327" t="s">
        <v>39855</v>
      </c>
      <c r="L6327" t="e" vm="265">
        <f>_FV(0,"115")</f>
        <v>#VALUE!</v>
      </c>
    </row>
    <row r="6328" spans="1:12" x14ac:dyDescent="0.25">
      <c r="A6328">
        <v>1106422</v>
      </c>
      <c r="B6328">
        <v>1106585</v>
      </c>
      <c r="D6328">
        <v>0</v>
      </c>
      <c r="E6328" t="s">
        <v>39857</v>
      </c>
      <c r="F6328" t="s">
        <v>39858</v>
      </c>
      <c r="G6328" t="s">
        <v>39859</v>
      </c>
      <c r="H6328" t="e" vm="2769">
        <f>_FV(0,"05293833879621264")</f>
        <v>#VALUE!</v>
      </c>
      <c r="I6328" t="s">
        <v>39860</v>
      </c>
      <c r="J6328" t="s">
        <v>39861</v>
      </c>
      <c r="K6328" t="s">
        <v>39862</v>
      </c>
      <c r="L6328" t="s">
        <v>39856</v>
      </c>
    </row>
    <row r="6329" spans="1:12" x14ac:dyDescent="0.25">
      <c r="A6329">
        <v>1106422</v>
      </c>
      <c r="B6329">
        <v>1106571</v>
      </c>
      <c r="D6329">
        <v>0</v>
      </c>
      <c r="F6329">
        <v>1174460</v>
      </c>
      <c r="G6329">
        <v>1106422</v>
      </c>
      <c r="H6329" t="e" vm="2770">
        <f>_FV(0,"075")</f>
        <v>#VALUE!</v>
      </c>
      <c r="I6329">
        <v>1106571</v>
      </c>
      <c r="J6329" t="s">
        <v>30628</v>
      </c>
      <c r="K6329" t="s">
        <v>39863</v>
      </c>
      <c r="L6329" t="e" vm="2770">
        <f>_FV(0,"075")</f>
        <v>#VALUE!</v>
      </c>
    </row>
    <row r="6330" spans="1:12" x14ac:dyDescent="0.25">
      <c r="A6330">
        <v>1106427</v>
      </c>
      <c r="B6330">
        <v>1240804</v>
      </c>
      <c r="D6330" t="s">
        <v>4181</v>
      </c>
      <c r="E6330" t="s">
        <v>39865</v>
      </c>
      <c r="F6330" t="s">
        <v>39866</v>
      </c>
      <c r="G6330" t="s">
        <v>39867</v>
      </c>
      <c r="H6330" t="e" vm="2771">
        <f>_FV(0,"045527516673459036")</f>
        <v>#VALUE!</v>
      </c>
      <c r="I6330" t="s">
        <v>39868</v>
      </c>
      <c r="J6330" t="s">
        <v>39869</v>
      </c>
      <c r="K6330" t="s">
        <v>39870</v>
      </c>
      <c r="L6330" t="s">
        <v>39864</v>
      </c>
    </row>
    <row r="6331" spans="1:12" x14ac:dyDescent="0.25">
      <c r="A6331">
        <v>1106427</v>
      </c>
      <c r="B6331">
        <v>1106571</v>
      </c>
      <c r="D6331">
        <v>0</v>
      </c>
      <c r="F6331">
        <v>1336677</v>
      </c>
      <c r="G6331">
        <v>1106427</v>
      </c>
      <c r="H6331" t="e" vm="655">
        <f>_FV(0,"1")</f>
        <v>#VALUE!</v>
      </c>
      <c r="I6331">
        <v>1106571</v>
      </c>
      <c r="J6331" t="s">
        <v>9499</v>
      </c>
      <c r="K6331" t="s">
        <v>39871</v>
      </c>
      <c r="L6331" t="e" vm="655">
        <f>_FV(0,"1")</f>
        <v>#VALUE!</v>
      </c>
    </row>
    <row r="6332" spans="1:12" x14ac:dyDescent="0.25">
      <c r="A6332">
        <v>1106432</v>
      </c>
      <c r="B6332">
        <v>1106433</v>
      </c>
      <c r="D6332">
        <v>0</v>
      </c>
      <c r="F6332">
        <v>1174252</v>
      </c>
      <c r="G6332">
        <v>1106433</v>
      </c>
      <c r="H6332" t="s">
        <v>19420</v>
      </c>
      <c r="I6332">
        <v>1106432</v>
      </c>
      <c r="J6332" t="s">
        <v>19420</v>
      </c>
      <c r="K6332" t="s">
        <v>39872</v>
      </c>
      <c r="L6332" t="s">
        <v>19420</v>
      </c>
    </row>
    <row r="6333" spans="1:12" x14ac:dyDescent="0.25">
      <c r="A6333">
        <v>1106432</v>
      </c>
      <c r="B6333">
        <v>1106655</v>
      </c>
      <c r="D6333">
        <v>0</v>
      </c>
      <c r="F6333">
        <v>1336790</v>
      </c>
      <c r="G6333">
        <v>1106655</v>
      </c>
      <c r="H6333" t="s">
        <v>14436</v>
      </c>
      <c r="I6333">
        <v>1106432</v>
      </c>
      <c r="J6333" t="s">
        <v>14436</v>
      </c>
      <c r="K6333" t="s">
        <v>39873</v>
      </c>
      <c r="L6333" t="s">
        <v>14436</v>
      </c>
    </row>
    <row r="6334" spans="1:12" x14ac:dyDescent="0.25">
      <c r="A6334">
        <v>1106432</v>
      </c>
      <c r="B6334">
        <v>1240804</v>
      </c>
      <c r="D6334" t="s">
        <v>12317</v>
      </c>
      <c r="E6334" t="s">
        <v>39875</v>
      </c>
      <c r="F6334" t="s">
        <v>39876</v>
      </c>
      <c r="G6334" t="s">
        <v>39877</v>
      </c>
      <c r="H6334" t="s">
        <v>39878</v>
      </c>
      <c r="I6334" t="s">
        <v>39879</v>
      </c>
      <c r="J6334" t="s">
        <v>39874</v>
      </c>
      <c r="K6334" t="s">
        <v>39880</v>
      </c>
      <c r="L6334" t="s">
        <v>39874</v>
      </c>
    </row>
    <row r="6335" spans="1:12" x14ac:dyDescent="0.25">
      <c r="A6335">
        <v>1106433</v>
      </c>
      <c r="B6335">
        <v>1106655</v>
      </c>
      <c r="D6335">
        <v>0</v>
      </c>
      <c r="F6335">
        <v>1174564</v>
      </c>
      <c r="G6335">
        <v>1106655</v>
      </c>
      <c r="H6335" t="s">
        <v>17292</v>
      </c>
      <c r="I6335">
        <v>1106433</v>
      </c>
      <c r="J6335" t="s">
        <v>17292</v>
      </c>
      <c r="K6335" t="s">
        <v>39881</v>
      </c>
      <c r="L6335" t="s">
        <v>17292</v>
      </c>
    </row>
    <row r="6336" spans="1:12" x14ac:dyDescent="0.25">
      <c r="A6336">
        <v>1106433</v>
      </c>
      <c r="B6336">
        <v>1106462</v>
      </c>
      <c r="D6336">
        <v>0</v>
      </c>
      <c r="E6336" t="s">
        <v>39883</v>
      </c>
      <c r="F6336" t="s">
        <v>39884</v>
      </c>
      <c r="G6336" t="s">
        <v>39885</v>
      </c>
      <c r="H6336" t="e" vm="2772">
        <f>_FV(0,"013179853393464367")</f>
        <v>#VALUE!</v>
      </c>
      <c r="I6336" t="s">
        <v>39886</v>
      </c>
      <c r="J6336" t="s">
        <v>39887</v>
      </c>
      <c r="K6336" t="s">
        <v>39888</v>
      </c>
      <c r="L6336" t="s">
        <v>39882</v>
      </c>
    </row>
    <row r="6337" spans="1:12" x14ac:dyDescent="0.25">
      <c r="A6337">
        <v>1106433</v>
      </c>
      <c r="B6337">
        <v>1106622</v>
      </c>
      <c r="D6337">
        <v>0</v>
      </c>
      <c r="E6337" t="s">
        <v>39890</v>
      </c>
      <c r="F6337" t="s">
        <v>39891</v>
      </c>
      <c r="G6337" t="s">
        <v>39892</v>
      </c>
      <c r="H6337" t="s">
        <v>39893</v>
      </c>
      <c r="I6337" t="s">
        <v>39894</v>
      </c>
      <c r="J6337" t="s">
        <v>39889</v>
      </c>
      <c r="K6337" t="s">
        <v>39895</v>
      </c>
      <c r="L6337" t="s">
        <v>39889</v>
      </c>
    </row>
    <row r="6338" spans="1:12" x14ac:dyDescent="0.25">
      <c r="A6338">
        <v>1106466</v>
      </c>
      <c r="B6338">
        <v>1106655</v>
      </c>
      <c r="D6338">
        <v>0</v>
      </c>
      <c r="F6338">
        <v>1336798</v>
      </c>
      <c r="G6338">
        <v>1106466</v>
      </c>
      <c r="H6338" t="s">
        <v>19420</v>
      </c>
      <c r="I6338">
        <v>1106655</v>
      </c>
      <c r="J6338" t="s">
        <v>19420</v>
      </c>
      <c r="K6338" t="s">
        <v>39896</v>
      </c>
      <c r="L6338" t="s">
        <v>19420</v>
      </c>
    </row>
    <row r="6339" spans="1:12" x14ac:dyDescent="0.25">
      <c r="A6339">
        <v>1106564</v>
      </c>
      <c r="B6339">
        <v>1106571</v>
      </c>
      <c r="D6339">
        <v>0</v>
      </c>
      <c r="F6339">
        <v>1336669</v>
      </c>
      <c r="G6339">
        <v>1106571</v>
      </c>
      <c r="H6339" t="e" vm="2266">
        <f>_FV(0,"062")</f>
        <v>#VALUE!</v>
      </c>
      <c r="I6339">
        <v>1106564</v>
      </c>
      <c r="J6339" t="s">
        <v>32776</v>
      </c>
      <c r="K6339" t="s">
        <v>39897</v>
      </c>
      <c r="L6339" t="e" vm="2266">
        <f>_FV(0,"062")</f>
        <v>#VALUE!</v>
      </c>
    </row>
    <row r="6340" spans="1:12" x14ac:dyDescent="0.25">
      <c r="A6340">
        <v>1106585</v>
      </c>
      <c r="B6340">
        <v>1106963</v>
      </c>
      <c r="D6340">
        <v>0</v>
      </c>
      <c r="E6340" t="s">
        <v>39899</v>
      </c>
      <c r="F6340" t="s">
        <v>39900</v>
      </c>
      <c r="G6340" t="s">
        <v>39901</v>
      </c>
      <c r="H6340" t="e" vm="2773">
        <f>_FV(0,"010465525891625178")</f>
        <v>#VALUE!</v>
      </c>
      <c r="I6340" t="s">
        <v>39902</v>
      </c>
      <c r="J6340" t="s">
        <v>39903</v>
      </c>
      <c r="K6340" t="s">
        <v>39904</v>
      </c>
      <c r="L6340" t="s">
        <v>39898</v>
      </c>
    </row>
    <row r="6341" spans="1:12" x14ac:dyDescent="0.25">
      <c r="A6341">
        <v>1106585</v>
      </c>
      <c r="B6341">
        <v>1106661</v>
      </c>
      <c r="D6341">
        <v>0</v>
      </c>
      <c r="F6341">
        <v>1175036</v>
      </c>
      <c r="G6341">
        <v>1106585</v>
      </c>
      <c r="H6341" t="s">
        <v>2152</v>
      </c>
      <c r="I6341">
        <v>1106661</v>
      </c>
      <c r="J6341" t="s">
        <v>2152</v>
      </c>
      <c r="K6341" t="s">
        <v>39905</v>
      </c>
      <c r="L6341" t="s">
        <v>2152</v>
      </c>
    </row>
    <row r="6342" spans="1:12" x14ac:dyDescent="0.25">
      <c r="A6342">
        <v>1106590</v>
      </c>
      <c r="B6342">
        <v>1106614</v>
      </c>
      <c r="D6342">
        <v>0</v>
      </c>
      <c r="E6342" t="s">
        <v>39907</v>
      </c>
      <c r="F6342" t="s">
        <v>39908</v>
      </c>
      <c r="G6342" t="s">
        <v>39909</v>
      </c>
      <c r="H6342" t="e" vm="2774">
        <f>_FV(0,"002311994474516381")</f>
        <v>#VALUE!</v>
      </c>
      <c r="I6342" t="s">
        <v>39910</v>
      </c>
      <c r="J6342" t="s">
        <v>39911</v>
      </c>
      <c r="K6342" t="s">
        <v>39912</v>
      </c>
      <c r="L6342" t="s">
        <v>39906</v>
      </c>
    </row>
    <row r="6343" spans="1:12" x14ac:dyDescent="0.25">
      <c r="A6343">
        <v>1106590</v>
      </c>
      <c r="B6343">
        <v>1106963</v>
      </c>
      <c r="D6343">
        <v>0</v>
      </c>
      <c r="E6343" t="s">
        <v>39914</v>
      </c>
      <c r="F6343" t="s">
        <v>39915</v>
      </c>
      <c r="G6343" t="s">
        <v>39916</v>
      </c>
      <c r="H6343" t="e" vm="2775">
        <f>_FV(0,"019315195662255227")</f>
        <v>#VALUE!</v>
      </c>
      <c r="I6343" t="s">
        <v>39917</v>
      </c>
      <c r="J6343" t="s">
        <v>39918</v>
      </c>
      <c r="K6343" t="s">
        <v>39919</v>
      </c>
      <c r="L6343" t="s">
        <v>39913</v>
      </c>
    </row>
    <row r="6344" spans="1:12" x14ac:dyDescent="0.25">
      <c r="A6344">
        <v>1106590</v>
      </c>
      <c r="B6344">
        <v>1106976</v>
      </c>
      <c r="D6344">
        <v>0</v>
      </c>
      <c r="E6344" t="s">
        <v>39921</v>
      </c>
      <c r="F6344" t="s">
        <v>39922</v>
      </c>
      <c r="G6344" t="s">
        <v>39923</v>
      </c>
      <c r="H6344" t="e" vm="2776">
        <f>_FV(0,"00015254985096327644")</f>
        <v>#VALUE!</v>
      </c>
      <c r="I6344" t="s">
        <v>39924</v>
      </c>
      <c r="J6344" t="s">
        <v>15456</v>
      </c>
      <c r="K6344" t="s">
        <v>39925</v>
      </c>
      <c r="L6344" t="s">
        <v>39920</v>
      </c>
    </row>
    <row r="6345" spans="1:12" x14ac:dyDescent="0.25">
      <c r="A6345">
        <v>1106614</v>
      </c>
      <c r="B6345">
        <v>1112166</v>
      </c>
      <c r="D6345">
        <v>0</v>
      </c>
      <c r="E6345" t="s">
        <v>39927</v>
      </c>
      <c r="F6345" t="s">
        <v>39928</v>
      </c>
      <c r="G6345" t="s">
        <v>39929</v>
      </c>
      <c r="H6345" t="s">
        <v>39930</v>
      </c>
      <c r="I6345" t="s">
        <v>39931</v>
      </c>
      <c r="J6345" t="s">
        <v>39932</v>
      </c>
      <c r="K6345" t="s">
        <v>39933</v>
      </c>
      <c r="L6345" t="s">
        <v>39926</v>
      </c>
    </row>
    <row r="6346" spans="1:12" x14ac:dyDescent="0.25">
      <c r="A6346">
        <v>1106614</v>
      </c>
      <c r="B6346">
        <v>1112161</v>
      </c>
      <c r="D6346">
        <v>0</v>
      </c>
      <c r="E6346" t="s">
        <v>39935</v>
      </c>
      <c r="F6346" t="s">
        <v>39936</v>
      </c>
      <c r="G6346" t="s">
        <v>39937</v>
      </c>
      <c r="H6346" t="s">
        <v>39938</v>
      </c>
      <c r="I6346" t="s">
        <v>39939</v>
      </c>
      <c r="J6346" t="s">
        <v>39940</v>
      </c>
      <c r="K6346" t="s">
        <v>39941</v>
      </c>
      <c r="L6346" t="s">
        <v>39934</v>
      </c>
    </row>
    <row r="6347" spans="1:12" x14ac:dyDescent="0.25">
      <c r="A6347">
        <v>1106622</v>
      </c>
      <c r="B6347">
        <v>1106661</v>
      </c>
      <c r="D6347">
        <v>0</v>
      </c>
      <c r="E6347" t="s">
        <v>39943</v>
      </c>
      <c r="F6347" t="s">
        <v>39944</v>
      </c>
      <c r="G6347" t="s">
        <v>39945</v>
      </c>
      <c r="H6347" t="e" vm="2777">
        <f>_FV(0,"008587385887863442")</f>
        <v>#VALUE!</v>
      </c>
      <c r="I6347" t="s">
        <v>39946</v>
      </c>
      <c r="J6347" t="s">
        <v>39947</v>
      </c>
      <c r="K6347" t="s">
        <v>39948</v>
      </c>
      <c r="L6347" t="s">
        <v>39942</v>
      </c>
    </row>
    <row r="6348" spans="1:12" x14ac:dyDescent="0.25">
      <c r="A6348">
        <v>1106622</v>
      </c>
      <c r="B6348">
        <v>1452839</v>
      </c>
      <c r="D6348">
        <v>0</v>
      </c>
      <c r="E6348" t="s">
        <v>39950</v>
      </c>
      <c r="F6348" t="s">
        <v>39951</v>
      </c>
      <c r="G6348" t="s">
        <v>39952</v>
      </c>
      <c r="H6348" t="s">
        <v>39953</v>
      </c>
      <c r="I6348" t="s">
        <v>39954</v>
      </c>
      <c r="J6348" t="s">
        <v>39955</v>
      </c>
      <c r="K6348" t="s">
        <v>39956</v>
      </c>
      <c r="L6348" t="s">
        <v>39949</v>
      </c>
    </row>
    <row r="6349" spans="1:12" x14ac:dyDescent="0.25">
      <c r="A6349">
        <v>1106661</v>
      </c>
      <c r="B6349">
        <v>1106976</v>
      </c>
      <c r="D6349">
        <v>0</v>
      </c>
      <c r="E6349" t="s">
        <v>39958</v>
      </c>
      <c r="F6349" t="s">
        <v>39959</v>
      </c>
      <c r="G6349" t="s">
        <v>39960</v>
      </c>
      <c r="H6349" t="s">
        <v>39961</v>
      </c>
      <c r="I6349" t="s">
        <v>39962</v>
      </c>
      <c r="J6349" t="s">
        <v>39963</v>
      </c>
      <c r="K6349" t="s">
        <v>39964</v>
      </c>
      <c r="L6349" t="s">
        <v>39957</v>
      </c>
    </row>
    <row r="6350" spans="1:12" x14ac:dyDescent="0.25">
      <c r="A6350">
        <v>1106697</v>
      </c>
      <c r="B6350">
        <v>1106743</v>
      </c>
      <c r="D6350">
        <v>0</v>
      </c>
      <c r="E6350" t="s">
        <v>39966</v>
      </c>
      <c r="F6350" t="s">
        <v>39967</v>
      </c>
      <c r="G6350" t="s">
        <v>39968</v>
      </c>
      <c r="H6350" t="s">
        <v>39969</v>
      </c>
      <c r="I6350" t="s">
        <v>39970</v>
      </c>
      <c r="J6350" t="s">
        <v>39965</v>
      </c>
      <c r="K6350" t="s">
        <v>39971</v>
      </c>
      <c r="L6350" t="s">
        <v>39965</v>
      </c>
    </row>
    <row r="6351" spans="1:12" x14ac:dyDescent="0.25">
      <c r="A6351">
        <v>1106725</v>
      </c>
      <c r="B6351">
        <v>1106737</v>
      </c>
      <c r="D6351">
        <v>0</v>
      </c>
      <c r="E6351" t="s">
        <v>39972</v>
      </c>
      <c r="F6351" t="s">
        <v>39973</v>
      </c>
      <c r="G6351" t="s">
        <v>39974</v>
      </c>
      <c r="H6351" t="s">
        <v>39975</v>
      </c>
      <c r="I6351" t="s">
        <v>39976</v>
      </c>
      <c r="J6351" t="s">
        <v>31195</v>
      </c>
      <c r="K6351" t="s">
        <v>39977</v>
      </c>
      <c r="L6351" t="s">
        <v>31195</v>
      </c>
    </row>
    <row r="6352" spans="1:12" x14ac:dyDescent="0.25">
      <c r="A6352">
        <v>1106725</v>
      </c>
      <c r="B6352">
        <v>1107068</v>
      </c>
      <c r="D6352">
        <v>0</v>
      </c>
      <c r="E6352" t="s">
        <v>39979</v>
      </c>
      <c r="F6352" t="s">
        <v>39980</v>
      </c>
      <c r="G6352" t="s">
        <v>39981</v>
      </c>
      <c r="H6352" t="e" vm="2778">
        <f>_FV(0,"008294790624375908")</f>
        <v>#VALUE!</v>
      </c>
      <c r="I6352" t="s">
        <v>39982</v>
      </c>
      <c r="J6352" t="s">
        <v>39983</v>
      </c>
      <c r="K6352" t="s">
        <v>39984</v>
      </c>
      <c r="L6352" t="s">
        <v>39978</v>
      </c>
    </row>
    <row r="6353" spans="1:12" x14ac:dyDescent="0.25">
      <c r="A6353">
        <v>1106737</v>
      </c>
      <c r="B6353">
        <v>1106743</v>
      </c>
      <c r="D6353">
        <v>0</v>
      </c>
      <c r="F6353">
        <v>1174684</v>
      </c>
      <c r="G6353">
        <v>1106743</v>
      </c>
      <c r="H6353" t="s">
        <v>5837</v>
      </c>
      <c r="I6353">
        <v>1106737</v>
      </c>
      <c r="J6353" t="s">
        <v>5837</v>
      </c>
      <c r="K6353" t="s">
        <v>39985</v>
      </c>
      <c r="L6353" t="s">
        <v>5837</v>
      </c>
    </row>
    <row r="6354" spans="1:12" x14ac:dyDescent="0.25">
      <c r="A6354">
        <v>1106737</v>
      </c>
      <c r="B6354">
        <v>1107068</v>
      </c>
      <c r="D6354">
        <v>0</v>
      </c>
      <c r="E6354" t="s">
        <v>39987</v>
      </c>
      <c r="F6354" t="s">
        <v>39988</v>
      </c>
      <c r="G6354" t="s">
        <v>39989</v>
      </c>
      <c r="H6354" t="e" vm="2779">
        <f>_FV(0,"02917725311898041")</f>
        <v>#VALUE!</v>
      </c>
      <c r="I6354" t="s">
        <v>39990</v>
      </c>
      <c r="J6354" t="s">
        <v>6729</v>
      </c>
      <c r="K6354" t="s">
        <v>39991</v>
      </c>
      <c r="L6354" t="s">
        <v>39986</v>
      </c>
    </row>
    <row r="6355" spans="1:12" x14ac:dyDescent="0.25">
      <c r="A6355">
        <v>1106764</v>
      </c>
      <c r="B6355">
        <v>1106784</v>
      </c>
      <c r="D6355">
        <v>0</v>
      </c>
      <c r="E6355" t="s">
        <v>39993</v>
      </c>
      <c r="F6355" t="s">
        <v>39994</v>
      </c>
      <c r="G6355" t="s">
        <v>39995</v>
      </c>
      <c r="H6355" t="s">
        <v>39996</v>
      </c>
      <c r="I6355" t="s">
        <v>39997</v>
      </c>
      <c r="J6355" t="s">
        <v>39998</v>
      </c>
      <c r="K6355" t="s">
        <v>39999</v>
      </c>
      <c r="L6355" t="s">
        <v>39992</v>
      </c>
    </row>
    <row r="6356" spans="1:12" x14ac:dyDescent="0.25">
      <c r="A6356">
        <v>1106764</v>
      </c>
      <c r="B6356">
        <v>1106806</v>
      </c>
      <c r="D6356">
        <v>0</v>
      </c>
      <c r="F6356">
        <v>1174764</v>
      </c>
      <c r="G6356">
        <v>1106764</v>
      </c>
      <c r="H6356" t="s">
        <v>8186</v>
      </c>
      <c r="I6356">
        <v>1106806</v>
      </c>
      <c r="J6356" t="s">
        <v>8186</v>
      </c>
      <c r="K6356" t="s">
        <v>40000</v>
      </c>
      <c r="L6356" t="s">
        <v>8186</v>
      </c>
    </row>
    <row r="6357" spans="1:12" x14ac:dyDescent="0.25">
      <c r="A6357">
        <v>1106764</v>
      </c>
      <c r="B6357">
        <v>1241123</v>
      </c>
      <c r="D6357">
        <v>0</v>
      </c>
      <c r="E6357" t="s">
        <v>40002</v>
      </c>
      <c r="F6357" t="s">
        <v>40003</v>
      </c>
      <c r="G6357" t="s">
        <v>40004</v>
      </c>
      <c r="H6357" t="e" vm="2780">
        <f>_FV(0,"03181815110487005")</f>
        <v>#VALUE!</v>
      </c>
      <c r="I6357" t="s">
        <v>40005</v>
      </c>
      <c r="J6357" t="s">
        <v>40006</v>
      </c>
      <c r="K6357" t="s">
        <v>40007</v>
      </c>
      <c r="L6357" t="s">
        <v>40001</v>
      </c>
    </row>
    <row r="6358" spans="1:12" x14ac:dyDescent="0.25">
      <c r="A6358">
        <v>1106784</v>
      </c>
      <c r="B6358">
        <v>1106798</v>
      </c>
      <c r="D6358">
        <v>0</v>
      </c>
      <c r="E6358" t="s">
        <v>40009</v>
      </c>
      <c r="F6358" t="s">
        <v>40010</v>
      </c>
      <c r="G6358" t="s">
        <v>40011</v>
      </c>
      <c r="H6358" t="e" vm="2781">
        <f>_FV(0,"14948264029340758")</f>
        <v>#VALUE!</v>
      </c>
      <c r="I6358" t="s">
        <v>40012</v>
      </c>
      <c r="J6358" t="s">
        <v>40013</v>
      </c>
      <c r="K6358" t="s">
        <v>40014</v>
      </c>
      <c r="L6358" t="s">
        <v>40008</v>
      </c>
    </row>
    <row r="6359" spans="1:12" x14ac:dyDescent="0.25">
      <c r="A6359">
        <v>1106798</v>
      </c>
      <c r="B6359">
        <v>1106806</v>
      </c>
      <c r="D6359">
        <v>0</v>
      </c>
      <c r="F6359">
        <v>1174756</v>
      </c>
      <c r="G6359">
        <v>1106806</v>
      </c>
      <c r="H6359" t="e" vm="2065">
        <f>_FV(0,"072")</f>
        <v>#VALUE!</v>
      </c>
      <c r="I6359">
        <v>1106798</v>
      </c>
      <c r="J6359" t="s">
        <v>29799</v>
      </c>
      <c r="K6359" t="s">
        <v>40015</v>
      </c>
      <c r="L6359" t="e" vm="2065">
        <f>_FV(0,"072")</f>
        <v>#VALUE!</v>
      </c>
    </row>
    <row r="6360" spans="1:12" x14ac:dyDescent="0.25">
      <c r="A6360">
        <v>1106806</v>
      </c>
      <c r="B6360">
        <v>1241139</v>
      </c>
      <c r="D6360">
        <v>0</v>
      </c>
      <c r="E6360" t="s">
        <v>40017</v>
      </c>
      <c r="F6360" t="s">
        <v>40018</v>
      </c>
      <c r="G6360" t="s">
        <v>40019</v>
      </c>
      <c r="H6360" t="s">
        <v>40020</v>
      </c>
      <c r="I6360" t="s">
        <v>40021</v>
      </c>
      <c r="J6360" t="s">
        <v>40022</v>
      </c>
      <c r="K6360" t="s">
        <v>40023</v>
      </c>
      <c r="L6360" t="s">
        <v>40016</v>
      </c>
    </row>
    <row r="6361" spans="1:12" x14ac:dyDescent="0.25">
      <c r="A6361">
        <v>1106819</v>
      </c>
      <c r="B6361">
        <v>1106844</v>
      </c>
      <c r="D6361">
        <v>0</v>
      </c>
      <c r="E6361" t="s">
        <v>40025</v>
      </c>
      <c r="F6361" t="s">
        <v>40026</v>
      </c>
      <c r="G6361" t="s">
        <v>40027</v>
      </c>
      <c r="H6361" t="s">
        <v>40028</v>
      </c>
      <c r="I6361" t="s">
        <v>40029</v>
      </c>
      <c r="J6361" t="s">
        <v>40030</v>
      </c>
      <c r="K6361" t="s">
        <v>40031</v>
      </c>
      <c r="L6361" t="s">
        <v>40024</v>
      </c>
    </row>
    <row r="6362" spans="1:12" x14ac:dyDescent="0.25">
      <c r="A6362">
        <v>1106819</v>
      </c>
      <c r="B6362">
        <v>1106856</v>
      </c>
      <c r="D6362">
        <v>0</v>
      </c>
      <c r="E6362" t="s">
        <v>40032</v>
      </c>
      <c r="F6362" t="s">
        <v>40033</v>
      </c>
      <c r="G6362" t="s">
        <v>40034</v>
      </c>
      <c r="H6362" t="s">
        <v>40035</v>
      </c>
      <c r="I6362" t="s">
        <v>40036</v>
      </c>
      <c r="J6362" t="s">
        <v>30564</v>
      </c>
      <c r="K6362" t="s">
        <v>40037</v>
      </c>
      <c r="L6362" t="s">
        <v>30564</v>
      </c>
    </row>
    <row r="6363" spans="1:12" x14ac:dyDescent="0.25">
      <c r="A6363">
        <v>1106819</v>
      </c>
      <c r="B6363">
        <v>1249084</v>
      </c>
      <c r="D6363">
        <v>0</v>
      </c>
      <c r="E6363" t="s">
        <v>40039</v>
      </c>
      <c r="F6363" t="s">
        <v>40040</v>
      </c>
      <c r="G6363" t="s">
        <v>40041</v>
      </c>
      <c r="H6363" t="e" vm="2782">
        <f>_FV(0,"056986610852156123")</f>
        <v>#VALUE!</v>
      </c>
      <c r="I6363" t="s">
        <v>40042</v>
      </c>
      <c r="J6363" t="s">
        <v>40043</v>
      </c>
      <c r="K6363" t="s">
        <v>40044</v>
      </c>
      <c r="L6363" t="s">
        <v>40038</v>
      </c>
    </row>
    <row r="6364" spans="1:12" x14ac:dyDescent="0.25">
      <c r="A6364">
        <v>1106844</v>
      </c>
      <c r="B6364">
        <v>1106850</v>
      </c>
      <c r="D6364">
        <v>0</v>
      </c>
      <c r="F6364">
        <v>1174812</v>
      </c>
      <c r="G6364">
        <v>1106850</v>
      </c>
      <c r="H6364" t="e" vm="952">
        <f>_FV(0,"066")</f>
        <v>#VALUE!</v>
      </c>
      <c r="I6364">
        <v>1106844</v>
      </c>
      <c r="J6364" t="s">
        <v>8057</v>
      </c>
      <c r="K6364" t="s">
        <v>40045</v>
      </c>
      <c r="L6364" t="e" vm="952">
        <f>_FV(0,"066")</f>
        <v>#VALUE!</v>
      </c>
    </row>
    <row r="6365" spans="1:12" x14ac:dyDescent="0.25">
      <c r="A6365">
        <v>1106850</v>
      </c>
      <c r="B6365">
        <v>1106856</v>
      </c>
      <c r="D6365">
        <v>0</v>
      </c>
      <c r="F6365">
        <v>1174820</v>
      </c>
      <c r="G6365">
        <v>1106856</v>
      </c>
      <c r="H6365" t="e" vm="215">
        <f>_FV(0,"02")</f>
        <v>#VALUE!</v>
      </c>
      <c r="I6365">
        <v>1106850</v>
      </c>
      <c r="J6365" t="s">
        <v>3317</v>
      </c>
      <c r="K6365" t="s">
        <v>40046</v>
      </c>
      <c r="L6365" t="e" vm="215">
        <f>_FV(0,"02")</f>
        <v>#VALUE!</v>
      </c>
    </row>
    <row r="6366" spans="1:12" x14ac:dyDescent="0.25">
      <c r="A6366">
        <v>1106856</v>
      </c>
      <c r="B6366">
        <v>1249084</v>
      </c>
      <c r="D6366">
        <v>0</v>
      </c>
      <c r="E6366" t="s">
        <v>40048</v>
      </c>
      <c r="F6366" t="s">
        <v>40049</v>
      </c>
      <c r="G6366" t="s">
        <v>40050</v>
      </c>
      <c r="H6366" t="e" vm="2783">
        <f>_FV(0,"07467264408443049")</f>
        <v>#VALUE!</v>
      </c>
      <c r="I6366" t="s">
        <v>40051</v>
      </c>
      <c r="J6366" t="s">
        <v>40052</v>
      </c>
      <c r="K6366" t="s">
        <v>40053</v>
      </c>
      <c r="L6366" t="s">
        <v>40047</v>
      </c>
    </row>
    <row r="6367" spans="1:12" x14ac:dyDescent="0.25">
      <c r="A6367">
        <v>1106875</v>
      </c>
      <c r="B6367">
        <v>1264290</v>
      </c>
      <c r="D6367">
        <v>0</v>
      </c>
      <c r="E6367" t="s">
        <v>40055</v>
      </c>
      <c r="F6367" t="s">
        <v>40056</v>
      </c>
      <c r="G6367" t="s">
        <v>40057</v>
      </c>
      <c r="H6367" t="e" vm="2784">
        <f>_FV(0,"005874821798651858")</f>
        <v>#VALUE!</v>
      </c>
      <c r="I6367" t="s">
        <v>40058</v>
      </c>
      <c r="J6367" t="s">
        <v>15324</v>
      </c>
      <c r="K6367" t="s">
        <v>40059</v>
      </c>
      <c r="L6367" t="s">
        <v>40054</v>
      </c>
    </row>
    <row r="6368" spans="1:12" x14ac:dyDescent="0.25">
      <c r="A6368">
        <v>1106950</v>
      </c>
      <c r="B6368">
        <v>1106987</v>
      </c>
      <c r="D6368">
        <v>0</v>
      </c>
      <c r="E6368" t="s">
        <v>40061</v>
      </c>
      <c r="F6368" t="s">
        <v>40062</v>
      </c>
      <c r="G6368" t="s">
        <v>40063</v>
      </c>
      <c r="H6368" t="e" vm="2785">
        <f>_FV(0,"03660774473871421")</f>
        <v>#VALUE!</v>
      </c>
      <c r="I6368" t="s">
        <v>40064</v>
      </c>
      <c r="J6368" t="s">
        <v>40065</v>
      </c>
      <c r="K6368" t="s">
        <v>40066</v>
      </c>
      <c r="L6368" t="s">
        <v>40060</v>
      </c>
    </row>
    <row r="6369" spans="1:12" x14ac:dyDescent="0.25">
      <c r="A6369">
        <v>1106963</v>
      </c>
      <c r="B6369">
        <v>1106976</v>
      </c>
      <c r="D6369">
        <v>0</v>
      </c>
      <c r="E6369" t="s">
        <v>40068</v>
      </c>
      <c r="F6369" t="s">
        <v>40069</v>
      </c>
      <c r="G6369" t="s">
        <v>40070</v>
      </c>
      <c r="H6369" t="e" vm="2786">
        <f>_FV(0,"03446386557625292")</f>
        <v>#VALUE!</v>
      </c>
      <c r="I6369" t="s">
        <v>40071</v>
      </c>
      <c r="J6369" t="s">
        <v>40072</v>
      </c>
      <c r="K6369" t="s">
        <v>40073</v>
      </c>
      <c r="L6369" t="s">
        <v>40067</v>
      </c>
    </row>
    <row r="6370" spans="1:12" x14ac:dyDescent="0.25">
      <c r="A6370">
        <v>1106987</v>
      </c>
      <c r="B6370">
        <v>1107020</v>
      </c>
      <c r="C6370" t="s">
        <v>40075</v>
      </c>
      <c r="D6370">
        <v>0</v>
      </c>
      <c r="E6370" t="s">
        <v>40076</v>
      </c>
      <c r="F6370" t="s">
        <v>40077</v>
      </c>
      <c r="G6370" t="s">
        <v>40078</v>
      </c>
      <c r="H6370" t="e" vm="2787">
        <f>_FV(0,"004938438796070076")</f>
        <v>#VALUE!</v>
      </c>
      <c r="I6370" t="s">
        <v>40079</v>
      </c>
      <c r="J6370" t="s">
        <v>40080</v>
      </c>
      <c r="K6370" t="s">
        <v>40081</v>
      </c>
      <c r="L6370" t="s">
        <v>40074</v>
      </c>
    </row>
    <row r="6371" spans="1:12" x14ac:dyDescent="0.25">
      <c r="A6371">
        <v>1107020</v>
      </c>
      <c r="B6371">
        <v>1107027</v>
      </c>
      <c r="D6371">
        <v>0</v>
      </c>
      <c r="F6371">
        <v>1175062</v>
      </c>
      <c r="G6371">
        <v>1107027</v>
      </c>
      <c r="H6371" t="s">
        <v>12171</v>
      </c>
      <c r="I6371">
        <v>1107020</v>
      </c>
      <c r="J6371" t="s">
        <v>12171</v>
      </c>
      <c r="K6371" t="s">
        <v>40082</v>
      </c>
      <c r="L6371" t="s">
        <v>12171</v>
      </c>
    </row>
    <row r="6372" spans="1:12" x14ac:dyDescent="0.25">
      <c r="A6372">
        <v>1107027</v>
      </c>
      <c r="B6372">
        <v>1242103</v>
      </c>
      <c r="D6372">
        <v>0</v>
      </c>
      <c r="F6372">
        <v>1338435</v>
      </c>
      <c r="G6372">
        <v>1107027</v>
      </c>
      <c r="H6372" t="e" vm="2788">
        <f>_FV(0,"118")</f>
        <v>#VALUE!</v>
      </c>
      <c r="I6372">
        <v>1242103</v>
      </c>
      <c r="J6372" t="s">
        <v>40083</v>
      </c>
      <c r="K6372" t="s">
        <v>40084</v>
      </c>
      <c r="L6372" t="e" vm="2788">
        <f>_FV(0,"118")</f>
        <v>#VALUE!</v>
      </c>
    </row>
    <row r="6373" spans="1:12" x14ac:dyDescent="0.25">
      <c r="A6373">
        <v>1107032</v>
      </c>
      <c r="B6373">
        <v>1217329</v>
      </c>
      <c r="C6373" t="s">
        <v>40086</v>
      </c>
      <c r="D6373">
        <v>0</v>
      </c>
      <c r="E6373" t="s">
        <v>40087</v>
      </c>
      <c r="F6373" t="s">
        <v>40088</v>
      </c>
      <c r="G6373" t="s">
        <v>40089</v>
      </c>
      <c r="H6373" t="e" vm="2789">
        <f>_FV(0,"08696773168781775")</f>
        <v>#VALUE!</v>
      </c>
      <c r="I6373" t="s">
        <v>40090</v>
      </c>
      <c r="J6373" t="s">
        <v>40091</v>
      </c>
      <c r="K6373" t="s">
        <v>40092</v>
      </c>
      <c r="L6373" t="s">
        <v>40085</v>
      </c>
    </row>
    <row r="6374" spans="1:12" x14ac:dyDescent="0.25">
      <c r="A6374">
        <v>1107032</v>
      </c>
      <c r="B6374">
        <v>1112244</v>
      </c>
      <c r="C6374" t="s">
        <v>40094</v>
      </c>
      <c r="D6374">
        <v>0</v>
      </c>
      <c r="E6374" t="s">
        <v>40095</v>
      </c>
      <c r="F6374" t="s">
        <v>40096</v>
      </c>
      <c r="G6374" t="s">
        <v>40097</v>
      </c>
      <c r="H6374" t="s">
        <v>40098</v>
      </c>
      <c r="I6374" t="s">
        <v>40099</v>
      </c>
      <c r="J6374" t="s">
        <v>40100</v>
      </c>
      <c r="K6374" t="s">
        <v>40101</v>
      </c>
      <c r="L6374" t="s">
        <v>40093</v>
      </c>
    </row>
    <row r="6375" spans="1:12" x14ac:dyDescent="0.25">
      <c r="A6375">
        <v>1107032</v>
      </c>
      <c r="B6375">
        <v>1240804</v>
      </c>
      <c r="D6375">
        <v>1</v>
      </c>
      <c r="E6375" t="s">
        <v>40103</v>
      </c>
      <c r="F6375" t="s">
        <v>40104</v>
      </c>
      <c r="G6375" t="s">
        <v>40105</v>
      </c>
      <c r="H6375" t="s">
        <v>40106</v>
      </c>
      <c r="I6375" t="s">
        <v>40107</v>
      </c>
      <c r="J6375" t="s">
        <v>40102</v>
      </c>
      <c r="K6375" t="s">
        <v>40108</v>
      </c>
      <c r="L6375" t="s">
        <v>40102</v>
      </c>
    </row>
    <row r="6376" spans="1:12" x14ac:dyDescent="0.25">
      <c r="A6376">
        <v>1108862</v>
      </c>
      <c r="B6376">
        <v>1108950</v>
      </c>
      <c r="D6376">
        <v>0</v>
      </c>
      <c r="E6376" t="s">
        <v>40110</v>
      </c>
      <c r="F6376" t="s">
        <v>40111</v>
      </c>
      <c r="G6376" t="s">
        <v>40112</v>
      </c>
      <c r="H6376" t="e" vm="2790">
        <f>_FV(0,"009063456529751969")</f>
        <v>#VALUE!</v>
      </c>
      <c r="I6376" t="s">
        <v>40113</v>
      </c>
      <c r="J6376" t="s">
        <v>40114</v>
      </c>
      <c r="K6376" t="s">
        <v>40115</v>
      </c>
      <c r="L6376" t="s">
        <v>40109</v>
      </c>
    </row>
    <row r="6377" spans="1:12" x14ac:dyDescent="0.25">
      <c r="A6377">
        <v>1108950</v>
      </c>
      <c r="B6377">
        <v>1109017</v>
      </c>
      <c r="D6377">
        <v>0</v>
      </c>
      <c r="E6377" t="s">
        <v>40117</v>
      </c>
      <c r="F6377" t="s">
        <v>40118</v>
      </c>
      <c r="G6377" t="s">
        <v>40119</v>
      </c>
      <c r="H6377" t="s">
        <v>40120</v>
      </c>
      <c r="I6377" t="s">
        <v>40121</v>
      </c>
      <c r="J6377" t="s">
        <v>40122</v>
      </c>
      <c r="K6377" t="s">
        <v>40123</v>
      </c>
      <c r="L6377" t="s">
        <v>40116</v>
      </c>
    </row>
    <row r="6378" spans="1:12" x14ac:dyDescent="0.25">
      <c r="A6378">
        <v>1108950</v>
      </c>
      <c r="B6378">
        <v>1108998</v>
      </c>
      <c r="D6378">
        <v>0</v>
      </c>
      <c r="E6378" t="s">
        <v>40125</v>
      </c>
      <c r="F6378" t="s">
        <v>40126</v>
      </c>
      <c r="G6378" t="s">
        <v>40127</v>
      </c>
      <c r="H6378" t="s">
        <v>40128</v>
      </c>
      <c r="I6378" t="s">
        <v>40129</v>
      </c>
      <c r="J6378" t="s">
        <v>40130</v>
      </c>
      <c r="K6378" t="s">
        <v>40131</v>
      </c>
      <c r="L6378" t="s">
        <v>40124</v>
      </c>
    </row>
    <row r="6379" spans="1:12" x14ac:dyDescent="0.25">
      <c r="A6379">
        <v>1108998</v>
      </c>
      <c r="B6379">
        <v>1109060</v>
      </c>
      <c r="D6379">
        <v>0</v>
      </c>
      <c r="E6379" t="s">
        <v>40133</v>
      </c>
      <c r="F6379" t="s">
        <v>40134</v>
      </c>
      <c r="G6379" t="s">
        <v>40135</v>
      </c>
      <c r="H6379" t="s">
        <v>40136</v>
      </c>
      <c r="I6379" t="s">
        <v>40137</v>
      </c>
      <c r="J6379" t="s">
        <v>40132</v>
      </c>
      <c r="K6379" t="s">
        <v>40138</v>
      </c>
      <c r="L6379" t="s">
        <v>40132</v>
      </c>
    </row>
    <row r="6380" spans="1:12" x14ac:dyDescent="0.25">
      <c r="A6380">
        <v>1108998</v>
      </c>
      <c r="B6380">
        <v>1109124</v>
      </c>
      <c r="D6380">
        <v>0</v>
      </c>
      <c r="E6380" t="s">
        <v>40140</v>
      </c>
      <c r="F6380" t="s">
        <v>40141</v>
      </c>
      <c r="G6380" t="s">
        <v>40142</v>
      </c>
      <c r="H6380" t="s">
        <v>40143</v>
      </c>
      <c r="I6380" t="s">
        <v>40144</v>
      </c>
      <c r="J6380" t="s">
        <v>40139</v>
      </c>
      <c r="K6380" t="s">
        <v>40145</v>
      </c>
      <c r="L6380" t="s">
        <v>40139</v>
      </c>
    </row>
    <row r="6381" spans="1:12" x14ac:dyDescent="0.25">
      <c r="A6381">
        <v>1108998</v>
      </c>
      <c r="B6381">
        <v>1109017</v>
      </c>
      <c r="D6381">
        <v>0</v>
      </c>
      <c r="F6381">
        <v>1177825</v>
      </c>
      <c r="G6381">
        <v>1108998</v>
      </c>
      <c r="H6381" t="s">
        <v>899</v>
      </c>
      <c r="I6381">
        <v>1109017</v>
      </c>
      <c r="J6381" t="s">
        <v>899</v>
      </c>
      <c r="K6381" t="s">
        <v>40146</v>
      </c>
      <c r="L6381" t="s">
        <v>899</v>
      </c>
    </row>
    <row r="6382" spans="1:12" x14ac:dyDescent="0.25">
      <c r="A6382">
        <v>1109017</v>
      </c>
      <c r="B6382">
        <v>1109060</v>
      </c>
      <c r="D6382">
        <v>0</v>
      </c>
      <c r="F6382">
        <v>1177881</v>
      </c>
      <c r="G6382">
        <v>1109060</v>
      </c>
      <c r="H6382" t="s">
        <v>5022</v>
      </c>
      <c r="I6382">
        <v>1109017</v>
      </c>
      <c r="J6382" t="s">
        <v>5022</v>
      </c>
      <c r="K6382" t="s">
        <v>40147</v>
      </c>
      <c r="L6382" t="s">
        <v>5022</v>
      </c>
    </row>
    <row r="6383" spans="1:12" x14ac:dyDescent="0.25">
      <c r="A6383">
        <v>1109017</v>
      </c>
      <c r="B6383">
        <v>1109074</v>
      </c>
      <c r="D6383">
        <v>0</v>
      </c>
      <c r="E6383" t="s">
        <v>40149</v>
      </c>
      <c r="F6383" t="s">
        <v>40150</v>
      </c>
      <c r="G6383" t="s">
        <v>40151</v>
      </c>
      <c r="H6383" t="s">
        <v>40152</v>
      </c>
      <c r="I6383" t="s">
        <v>40153</v>
      </c>
      <c r="J6383" t="s">
        <v>40154</v>
      </c>
      <c r="K6383" t="s">
        <v>40155</v>
      </c>
      <c r="L6383" t="s">
        <v>40148</v>
      </c>
    </row>
    <row r="6384" spans="1:12" x14ac:dyDescent="0.25">
      <c r="A6384">
        <v>1109060</v>
      </c>
      <c r="B6384">
        <v>1109074</v>
      </c>
      <c r="D6384">
        <v>0</v>
      </c>
      <c r="E6384" t="s">
        <v>40157</v>
      </c>
      <c r="F6384" t="s">
        <v>40158</v>
      </c>
      <c r="G6384" t="s">
        <v>40159</v>
      </c>
      <c r="H6384" t="s">
        <v>40160</v>
      </c>
      <c r="I6384" t="s">
        <v>40161</v>
      </c>
      <c r="J6384" t="s">
        <v>40162</v>
      </c>
      <c r="K6384" t="s">
        <v>40163</v>
      </c>
      <c r="L6384" t="s">
        <v>40156</v>
      </c>
    </row>
    <row r="6385" spans="1:12" x14ac:dyDescent="0.25">
      <c r="A6385">
        <v>1109060</v>
      </c>
      <c r="B6385">
        <v>1109124</v>
      </c>
      <c r="D6385">
        <v>0</v>
      </c>
      <c r="E6385" t="s">
        <v>40165</v>
      </c>
      <c r="F6385" t="s">
        <v>40166</v>
      </c>
      <c r="G6385" t="s">
        <v>40167</v>
      </c>
      <c r="H6385" t="s">
        <v>40168</v>
      </c>
      <c r="I6385" t="s">
        <v>40169</v>
      </c>
      <c r="J6385" t="s">
        <v>40164</v>
      </c>
      <c r="K6385" t="s">
        <v>40170</v>
      </c>
      <c r="L6385" t="s">
        <v>40164</v>
      </c>
    </row>
    <row r="6386" spans="1:12" x14ac:dyDescent="0.25">
      <c r="A6386">
        <v>1109074</v>
      </c>
      <c r="B6386">
        <v>1109193</v>
      </c>
      <c r="C6386" t="s">
        <v>40172</v>
      </c>
      <c r="D6386">
        <v>0</v>
      </c>
      <c r="E6386" t="s">
        <v>40173</v>
      </c>
      <c r="F6386" t="s">
        <v>40174</v>
      </c>
      <c r="G6386" t="s">
        <v>40175</v>
      </c>
      <c r="H6386" t="e" vm="2791">
        <f>_FV(0,"016130789500960863")</f>
        <v>#VALUE!</v>
      </c>
      <c r="I6386" t="s">
        <v>40176</v>
      </c>
      <c r="J6386" t="s">
        <v>40177</v>
      </c>
      <c r="K6386" t="s">
        <v>40178</v>
      </c>
      <c r="L6386" t="s">
        <v>40171</v>
      </c>
    </row>
    <row r="6387" spans="1:12" x14ac:dyDescent="0.25">
      <c r="A6387">
        <v>1109193</v>
      </c>
      <c r="B6387">
        <v>1112348</v>
      </c>
      <c r="D6387">
        <v>0</v>
      </c>
      <c r="E6387" t="s">
        <v>40180</v>
      </c>
      <c r="F6387" t="s">
        <v>40181</v>
      </c>
      <c r="G6387" t="s">
        <v>40182</v>
      </c>
      <c r="H6387" t="e" vm="2792">
        <f>_FV(0,"04462571846333155")</f>
        <v>#VALUE!</v>
      </c>
      <c r="I6387" t="s">
        <v>40183</v>
      </c>
      <c r="J6387" t="s">
        <v>40184</v>
      </c>
      <c r="K6387" t="s">
        <v>40185</v>
      </c>
      <c r="L6387" t="s">
        <v>40179</v>
      </c>
    </row>
    <row r="6388" spans="1:12" x14ac:dyDescent="0.25">
      <c r="A6388">
        <v>1109193</v>
      </c>
      <c r="B6388">
        <v>1112355</v>
      </c>
      <c r="D6388">
        <v>0</v>
      </c>
      <c r="E6388" t="s">
        <v>40187</v>
      </c>
      <c r="F6388" t="s">
        <v>40188</v>
      </c>
      <c r="G6388" t="s">
        <v>40189</v>
      </c>
      <c r="H6388" t="e" vm="2793">
        <f>_FV(0,"04529614839340715")</f>
        <v>#VALUE!</v>
      </c>
      <c r="I6388" t="s">
        <v>40190</v>
      </c>
      <c r="J6388" t="s">
        <v>40191</v>
      </c>
      <c r="K6388" t="s">
        <v>40192</v>
      </c>
      <c r="L6388" t="s">
        <v>40186</v>
      </c>
    </row>
    <row r="6389" spans="1:12" x14ac:dyDescent="0.25">
      <c r="A6389">
        <v>1109982</v>
      </c>
      <c r="B6389">
        <v>1110008</v>
      </c>
      <c r="D6389" t="s">
        <v>6902</v>
      </c>
      <c r="E6389" t="s">
        <v>40194</v>
      </c>
      <c r="F6389" t="s">
        <v>40195</v>
      </c>
      <c r="G6389" t="s">
        <v>40196</v>
      </c>
      <c r="H6389" t="e" vm="2794">
        <f>_FV(0,"005883291651878082")</f>
        <v>#VALUE!</v>
      </c>
      <c r="I6389" t="s">
        <v>40197</v>
      </c>
      <c r="J6389" t="s">
        <v>40198</v>
      </c>
      <c r="K6389" t="s">
        <v>40199</v>
      </c>
      <c r="L6389" t="s">
        <v>40193</v>
      </c>
    </row>
    <row r="6390" spans="1:12" x14ac:dyDescent="0.25">
      <c r="A6390">
        <v>1110008</v>
      </c>
      <c r="B6390">
        <v>1300651</v>
      </c>
      <c r="D6390" t="s">
        <v>12983</v>
      </c>
      <c r="E6390" t="s">
        <v>40201</v>
      </c>
      <c r="F6390" t="s">
        <v>40202</v>
      </c>
      <c r="G6390" t="s">
        <v>40203</v>
      </c>
      <c r="H6390" t="e" vm="2795">
        <f>_FV(0,"0006363268732486341")</f>
        <v>#VALUE!</v>
      </c>
      <c r="I6390" t="s">
        <v>40204</v>
      </c>
      <c r="J6390" t="s">
        <v>40205</v>
      </c>
      <c r="K6390" t="s">
        <v>40206</v>
      </c>
      <c r="L6390" t="s">
        <v>40200</v>
      </c>
    </row>
    <row r="6391" spans="1:12" x14ac:dyDescent="0.25">
      <c r="A6391">
        <v>1110064</v>
      </c>
      <c r="B6391">
        <v>1110126</v>
      </c>
      <c r="D6391" t="s">
        <v>40208</v>
      </c>
      <c r="E6391" t="s">
        <v>40209</v>
      </c>
      <c r="F6391" t="s">
        <v>40210</v>
      </c>
      <c r="G6391" t="s">
        <v>40211</v>
      </c>
      <c r="H6391" t="s">
        <v>40212</v>
      </c>
      <c r="I6391" t="s">
        <v>40213</v>
      </c>
      <c r="J6391" t="s">
        <v>40214</v>
      </c>
      <c r="K6391" t="s">
        <v>40215</v>
      </c>
      <c r="L6391" t="s">
        <v>40207</v>
      </c>
    </row>
    <row r="6392" spans="1:12" x14ac:dyDescent="0.25">
      <c r="A6392">
        <v>1110064</v>
      </c>
      <c r="B6392">
        <v>1300673</v>
      </c>
      <c r="D6392">
        <v>0</v>
      </c>
      <c r="E6392" t="s">
        <v>40217</v>
      </c>
      <c r="F6392" t="s">
        <v>40218</v>
      </c>
      <c r="G6392" t="s">
        <v>40219</v>
      </c>
      <c r="H6392" t="s">
        <v>40220</v>
      </c>
      <c r="I6392" t="s">
        <v>40221</v>
      </c>
      <c r="J6392" t="s">
        <v>40222</v>
      </c>
      <c r="K6392" t="s">
        <v>40223</v>
      </c>
      <c r="L6392" t="s">
        <v>40216</v>
      </c>
    </row>
    <row r="6393" spans="1:12" x14ac:dyDescent="0.25">
      <c r="A6393">
        <v>1110126</v>
      </c>
      <c r="B6393">
        <v>1460410</v>
      </c>
      <c r="D6393" t="s">
        <v>8792</v>
      </c>
      <c r="E6393" t="s">
        <v>40225</v>
      </c>
      <c r="F6393" t="s">
        <v>40226</v>
      </c>
      <c r="G6393" t="s">
        <v>40227</v>
      </c>
      <c r="H6393" t="s">
        <v>40228</v>
      </c>
      <c r="I6393" t="s">
        <v>40229</v>
      </c>
      <c r="J6393" t="s">
        <v>40230</v>
      </c>
      <c r="K6393" t="s">
        <v>40231</v>
      </c>
      <c r="L6393" t="s">
        <v>40224</v>
      </c>
    </row>
    <row r="6394" spans="1:12" x14ac:dyDescent="0.25">
      <c r="A6394">
        <v>1111444</v>
      </c>
      <c r="B6394">
        <v>1111445</v>
      </c>
      <c r="D6394">
        <v>0</v>
      </c>
      <c r="F6394">
        <v>1181084</v>
      </c>
      <c r="G6394">
        <v>1111445</v>
      </c>
      <c r="H6394" t="s">
        <v>40232</v>
      </c>
      <c r="I6394">
        <v>1111444</v>
      </c>
      <c r="J6394" t="s">
        <v>40232</v>
      </c>
      <c r="K6394" t="s">
        <v>40233</v>
      </c>
      <c r="L6394" t="s">
        <v>40232</v>
      </c>
    </row>
    <row r="6395" spans="1:12" x14ac:dyDescent="0.25">
      <c r="A6395">
        <v>1111444</v>
      </c>
      <c r="B6395">
        <v>1112348</v>
      </c>
      <c r="D6395" t="s">
        <v>7856</v>
      </c>
      <c r="E6395" t="s">
        <v>40235</v>
      </c>
      <c r="F6395" t="s">
        <v>40236</v>
      </c>
      <c r="G6395" t="s">
        <v>40237</v>
      </c>
      <c r="H6395" t="s">
        <v>40238</v>
      </c>
      <c r="I6395" t="s">
        <v>40239</v>
      </c>
      <c r="J6395" t="s">
        <v>40240</v>
      </c>
      <c r="K6395" t="s">
        <v>40241</v>
      </c>
      <c r="L6395" t="s">
        <v>40234</v>
      </c>
    </row>
    <row r="6396" spans="1:12" x14ac:dyDescent="0.25">
      <c r="A6396">
        <v>1111444</v>
      </c>
      <c r="B6396">
        <v>1112632</v>
      </c>
      <c r="D6396" t="s">
        <v>514</v>
      </c>
      <c r="E6396" t="s">
        <v>40243</v>
      </c>
      <c r="F6396" t="s">
        <v>40244</v>
      </c>
      <c r="G6396" t="s">
        <v>40245</v>
      </c>
      <c r="H6396" t="s">
        <v>40246</v>
      </c>
      <c r="I6396" t="s">
        <v>40247</v>
      </c>
      <c r="J6396" t="s">
        <v>40242</v>
      </c>
      <c r="K6396" t="s">
        <v>40248</v>
      </c>
      <c r="L6396" t="s">
        <v>40242</v>
      </c>
    </row>
    <row r="6397" spans="1:12" x14ac:dyDescent="0.25">
      <c r="A6397">
        <v>1111445</v>
      </c>
      <c r="B6397">
        <v>1111486</v>
      </c>
      <c r="D6397">
        <v>0</v>
      </c>
      <c r="E6397" t="s">
        <v>40250</v>
      </c>
      <c r="F6397" t="s">
        <v>40251</v>
      </c>
      <c r="G6397" t="s">
        <v>40252</v>
      </c>
      <c r="H6397" t="e" vm="2796">
        <f>_FV(0,"02446477638859681")</f>
        <v>#VALUE!</v>
      </c>
      <c r="I6397" t="s">
        <v>40253</v>
      </c>
      <c r="J6397" t="s">
        <v>40254</v>
      </c>
      <c r="K6397" t="s">
        <v>40255</v>
      </c>
      <c r="L6397" t="s">
        <v>40249</v>
      </c>
    </row>
    <row r="6398" spans="1:12" x14ac:dyDescent="0.25">
      <c r="A6398">
        <v>1111445</v>
      </c>
      <c r="B6398">
        <v>1111473</v>
      </c>
      <c r="D6398">
        <v>0</v>
      </c>
      <c r="F6398">
        <v>1181124</v>
      </c>
      <c r="G6398">
        <v>1111445</v>
      </c>
      <c r="H6398" t="s">
        <v>40232</v>
      </c>
      <c r="I6398">
        <v>1111473</v>
      </c>
      <c r="J6398" t="s">
        <v>40232</v>
      </c>
      <c r="K6398" t="s">
        <v>40256</v>
      </c>
      <c r="L6398" t="s">
        <v>40232</v>
      </c>
    </row>
    <row r="6399" spans="1:12" x14ac:dyDescent="0.25">
      <c r="A6399">
        <v>1111473</v>
      </c>
      <c r="B6399">
        <v>1112692</v>
      </c>
      <c r="D6399">
        <v>0</v>
      </c>
      <c r="E6399" t="s">
        <v>40258</v>
      </c>
      <c r="F6399" t="s">
        <v>40259</v>
      </c>
      <c r="G6399" t="s">
        <v>40260</v>
      </c>
      <c r="H6399" t="e" vm="2797">
        <f>_FV(0,"06480415705096483")</f>
        <v>#VALUE!</v>
      </c>
      <c r="I6399" t="s">
        <v>40261</v>
      </c>
      <c r="J6399" t="s">
        <v>40262</v>
      </c>
      <c r="K6399" t="s">
        <v>40263</v>
      </c>
      <c r="L6399" t="s">
        <v>40257</v>
      </c>
    </row>
    <row r="6400" spans="1:12" x14ac:dyDescent="0.25">
      <c r="A6400">
        <v>1111473</v>
      </c>
      <c r="B6400">
        <v>1112355</v>
      </c>
      <c r="D6400" t="s">
        <v>7856</v>
      </c>
      <c r="E6400" t="s">
        <v>40265</v>
      </c>
      <c r="F6400" t="s">
        <v>40266</v>
      </c>
      <c r="G6400" t="s">
        <v>40267</v>
      </c>
      <c r="H6400" t="s">
        <v>40268</v>
      </c>
      <c r="I6400" t="s">
        <v>40269</v>
      </c>
      <c r="J6400" t="s">
        <v>40270</v>
      </c>
      <c r="K6400" t="s">
        <v>40271</v>
      </c>
      <c r="L6400" t="s">
        <v>40264</v>
      </c>
    </row>
    <row r="6401" spans="1:12" x14ac:dyDescent="0.25">
      <c r="A6401">
        <v>1111486</v>
      </c>
      <c r="B6401">
        <v>1119037</v>
      </c>
      <c r="C6401" t="s">
        <v>40273</v>
      </c>
      <c r="D6401" t="s">
        <v>1875</v>
      </c>
      <c r="E6401" t="s">
        <v>40274</v>
      </c>
      <c r="F6401" t="s">
        <v>40275</v>
      </c>
      <c r="G6401" t="s">
        <v>40276</v>
      </c>
      <c r="H6401" t="e" vm="2798">
        <f>_FV(0,"03989515851563874")</f>
        <v>#VALUE!</v>
      </c>
      <c r="I6401" t="s">
        <v>40277</v>
      </c>
      <c r="J6401" t="s">
        <v>40278</v>
      </c>
      <c r="K6401" t="s">
        <v>40279</v>
      </c>
      <c r="L6401" t="s">
        <v>40272</v>
      </c>
    </row>
    <row r="6402" spans="1:12" x14ac:dyDescent="0.25">
      <c r="A6402">
        <v>1111486</v>
      </c>
      <c r="B6402">
        <v>1119082</v>
      </c>
      <c r="D6402" t="s">
        <v>2086</v>
      </c>
      <c r="E6402" t="s">
        <v>40281</v>
      </c>
      <c r="F6402" t="s">
        <v>40282</v>
      </c>
      <c r="G6402" t="s">
        <v>40283</v>
      </c>
      <c r="H6402" t="s">
        <v>40284</v>
      </c>
      <c r="I6402" t="s">
        <v>40285</v>
      </c>
      <c r="J6402" t="s">
        <v>40286</v>
      </c>
      <c r="K6402" t="s">
        <v>40287</v>
      </c>
      <c r="L6402" t="s">
        <v>40280</v>
      </c>
    </row>
    <row r="6403" spans="1:12" x14ac:dyDescent="0.25">
      <c r="A6403">
        <v>1112161</v>
      </c>
      <c r="B6403">
        <v>1114019</v>
      </c>
      <c r="D6403">
        <v>0</v>
      </c>
      <c r="E6403" t="s">
        <v>40289</v>
      </c>
      <c r="F6403" t="s">
        <v>40290</v>
      </c>
      <c r="G6403" t="s">
        <v>40291</v>
      </c>
      <c r="H6403" t="e" vm="2799">
        <f>_FV(0,"02272186976784389")</f>
        <v>#VALUE!</v>
      </c>
      <c r="I6403" t="s">
        <v>40292</v>
      </c>
      <c r="J6403" t="s">
        <v>40293</v>
      </c>
      <c r="K6403" t="s">
        <v>40294</v>
      </c>
      <c r="L6403" t="s">
        <v>40288</v>
      </c>
    </row>
    <row r="6404" spans="1:12" x14ac:dyDescent="0.25">
      <c r="A6404">
        <v>1112166</v>
      </c>
      <c r="B6404">
        <v>1112195</v>
      </c>
      <c r="D6404">
        <v>0</v>
      </c>
      <c r="E6404" t="s">
        <v>40296</v>
      </c>
      <c r="F6404" t="s">
        <v>40297</v>
      </c>
      <c r="G6404" t="s">
        <v>40298</v>
      </c>
      <c r="H6404" t="s">
        <v>40299</v>
      </c>
      <c r="I6404" t="s">
        <v>40300</v>
      </c>
      <c r="J6404" t="s">
        <v>40301</v>
      </c>
      <c r="K6404" t="s">
        <v>40302</v>
      </c>
      <c r="L6404" t="s">
        <v>40295</v>
      </c>
    </row>
    <row r="6405" spans="1:12" x14ac:dyDescent="0.25">
      <c r="A6405">
        <v>1112166</v>
      </c>
      <c r="B6405">
        <v>1114022</v>
      </c>
      <c r="D6405">
        <v>0</v>
      </c>
      <c r="E6405" t="s">
        <v>40304</v>
      </c>
      <c r="F6405" t="s">
        <v>40305</v>
      </c>
      <c r="G6405" t="s">
        <v>40306</v>
      </c>
      <c r="H6405" t="e" vm="2800">
        <f>_FV(0,"062225098728214155")</f>
        <v>#VALUE!</v>
      </c>
      <c r="I6405" t="s">
        <v>40307</v>
      </c>
      <c r="J6405" t="s">
        <v>40308</v>
      </c>
      <c r="K6405" t="s">
        <v>40309</v>
      </c>
      <c r="L6405" t="s">
        <v>40303</v>
      </c>
    </row>
    <row r="6406" spans="1:12" x14ac:dyDescent="0.25">
      <c r="A6406">
        <v>1112195</v>
      </c>
      <c r="B6406">
        <v>1112244</v>
      </c>
      <c r="D6406">
        <v>0</v>
      </c>
      <c r="E6406" t="s">
        <v>40311</v>
      </c>
      <c r="F6406" t="s">
        <v>40312</v>
      </c>
      <c r="G6406" t="s">
        <v>40313</v>
      </c>
      <c r="H6406" t="s">
        <v>40314</v>
      </c>
      <c r="I6406" t="s">
        <v>40315</v>
      </c>
      <c r="J6406" t="s">
        <v>40316</v>
      </c>
      <c r="K6406" t="s">
        <v>40317</v>
      </c>
      <c r="L6406" t="s">
        <v>40310</v>
      </c>
    </row>
    <row r="6407" spans="1:12" x14ac:dyDescent="0.25">
      <c r="A6407">
        <v>1112195</v>
      </c>
      <c r="B6407">
        <v>1114022</v>
      </c>
      <c r="D6407">
        <v>0</v>
      </c>
      <c r="E6407" t="s">
        <v>40319</v>
      </c>
      <c r="F6407" t="s">
        <v>40320</v>
      </c>
      <c r="G6407" t="s">
        <v>40321</v>
      </c>
      <c r="H6407" t="s">
        <v>40322</v>
      </c>
      <c r="I6407" t="s">
        <v>40323</v>
      </c>
      <c r="J6407" t="s">
        <v>40318</v>
      </c>
      <c r="K6407" t="s">
        <v>40324</v>
      </c>
      <c r="L6407" t="s">
        <v>40318</v>
      </c>
    </row>
    <row r="6408" spans="1:12" x14ac:dyDescent="0.25">
      <c r="A6408">
        <v>1112195</v>
      </c>
      <c r="B6408">
        <v>1217329</v>
      </c>
      <c r="D6408">
        <v>0</v>
      </c>
      <c r="E6408" t="s">
        <v>40326</v>
      </c>
      <c r="F6408" t="s">
        <v>40327</v>
      </c>
      <c r="G6408" t="s">
        <v>40328</v>
      </c>
      <c r="H6408" t="s">
        <v>40329</v>
      </c>
      <c r="I6408" t="s">
        <v>40330</v>
      </c>
      <c r="J6408" t="s">
        <v>40331</v>
      </c>
      <c r="K6408" t="s">
        <v>40332</v>
      </c>
      <c r="L6408" t="s">
        <v>40325</v>
      </c>
    </row>
    <row r="6409" spans="1:12" x14ac:dyDescent="0.25">
      <c r="A6409">
        <v>1112348</v>
      </c>
      <c r="B6409">
        <v>1112495</v>
      </c>
      <c r="D6409" t="s">
        <v>28061</v>
      </c>
      <c r="E6409" t="s">
        <v>40334</v>
      </c>
      <c r="F6409" t="s">
        <v>40335</v>
      </c>
      <c r="G6409" t="s">
        <v>40336</v>
      </c>
      <c r="H6409" t="e" vm="2801">
        <f>_FV(0,"0036747298933573055")</f>
        <v>#VALUE!</v>
      </c>
      <c r="I6409" t="s">
        <v>40337</v>
      </c>
      <c r="J6409" t="s">
        <v>40338</v>
      </c>
      <c r="K6409" t="s">
        <v>40339</v>
      </c>
      <c r="L6409" t="s">
        <v>40333</v>
      </c>
    </row>
    <row r="6410" spans="1:12" x14ac:dyDescent="0.25">
      <c r="A6410">
        <v>1112355</v>
      </c>
      <c r="B6410">
        <v>1112686</v>
      </c>
      <c r="D6410" t="s">
        <v>514</v>
      </c>
      <c r="E6410" t="s">
        <v>40341</v>
      </c>
      <c r="F6410" t="s">
        <v>40342</v>
      </c>
      <c r="G6410" t="s">
        <v>40343</v>
      </c>
      <c r="H6410" t="s">
        <v>40344</v>
      </c>
      <c r="I6410" t="s">
        <v>40345</v>
      </c>
      <c r="J6410" t="s">
        <v>40346</v>
      </c>
      <c r="K6410" t="s">
        <v>40347</v>
      </c>
      <c r="L6410" t="s">
        <v>40340</v>
      </c>
    </row>
    <row r="6411" spans="1:12" x14ac:dyDescent="0.25">
      <c r="A6411">
        <v>1112495</v>
      </c>
      <c r="B6411">
        <v>1112686</v>
      </c>
      <c r="D6411">
        <v>0</v>
      </c>
      <c r="E6411" t="s">
        <v>40349</v>
      </c>
      <c r="F6411" t="s">
        <v>40350</v>
      </c>
      <c r="G6411" t="s">
        <v>40351</v>
      </c>
      <c r="H6411" t="e" vm="2802">
        <f>_FV(0,"08944800195998223")</f>
        <v>#VALUE!</v>
      </c>
      <c r="I6411" t="s">
        <v>40352</v>
      </c>
      <c r="J6411" t="s">
        <v>40353</v>
      </c>
      <c r="K6411" t="s">
        <v>40354</v>
      </c>
      <c r="L6411" t="s">
        <v>40348</v>
      </c>
    </row>
    <row r="6412" spans="1:12" x14ac:dyDescent="0.25">
      <c r="A6412">
        <v>1112495</v>
      </c>
      <c r="B6412">
        <v>1112632</v>
      </c>
      <c r="D6412">
        <v>0</v>
      </c>
      <c r="F6412">
        <v>1182705</v>
      </c>
      <c r="G6412">
        <v>1112495</v>
      </c>
      <c r="H6412" t="s">
        <v>17941</v>
      </c>
      <c r="I6412">
        <v>1112632</v>
      </c>
      <c r="J6412" t="s">
        <v>17941</v>
      </c>
      <c r="K6412" t="s">
        <v>40355</v>
      </c>
      <c r="L6412" t="s">
        <v>17941</v>
      </c>
    </row>
    <row r="6413" spans="1:12" x14ac:dyDescent="0.25">
      <c r="A6413">
        <v>1112632</v>
      </c>
      <c r="B6413">
        <v>1112692</v>
      </c>
      <c r="D6413">
        <v>0</v>
      </c>
      <c r="F6413">
        <v>1182801</v>
      </c>
      <c r="G6413">
        <v>1112632</v>
      </c>
      <c r="H6413" t="s">
        <v>12580</v>
      </c>
      <c r="I6413">
        <v>1112692</v>
      </c>
      <c r="J6413" t="s">
        <v>12580</v>
      </c>
      <c r="K6413" t="s">
        <v>40356</v>
      </c>
      <c r="L6413" t="s">
        <v>12580</v>
      </c>
    </row>
    <row r="6414" spans="1:12" x14ac:dyDescent="0.25">
      <c r="A6414">
        <v>1112686</v>
      </c>
      <c r="B6414">
        <v>1112692</v>
      </c>
      <c r="D6414">
        <v>0</v>
      </c>
      <c r="F6414">
        <v>1182745</v>
      </c>
      <c r="G6414">
        <v>1112692</v>
      </c>
      <c r="H6414" t="s">
        <v>14034</v>
      </c>
      <c r="I6414">
        <v>1112686</v>
      </c>
      <c r="J6414" t="s">
        <v>14034</v>
      </c>
      <c r="K6414" t="s">
        <v>40357</v>
      </c>
      <c r="L6414" t="s">
        <v>14034</v>
      </c>
    </row>
    <row r="6415" spans="1:12" x14ac:dyDescent="0.25">
      <c r="A6415">
        <v>1112943</v>
      </c>
      <c r="B6415">
        <v>1453671</v>
      </c>
      <c r="D6415">
        <v>0</v>
      </c>
      <c r="E6415" t="s">
        <v>40359</v>
      </c>
      <c r="F6415" t="s">
        <v>40360</v>
      </c>
      <c r="G6415" t="s">
        <v>40361</v>
      </c>
      <c r="H6415" t="e" vm="2803">
        <f>_FV(0,"026444663282538507")</f>
        <v>#VALUE!</v>
      </c>
      <c r="I6415" t="s">
        <v>40362</v>
      </c>
      <c r="J6415" t="s">
        <v>40363</v>
      </c>
      <c r="K6415" t="s">
        <v>40364</v>
      </c>
      <c r="L6415" t="s">
        <v>40358</v>
      </c>
    </row>
    <row r="6416" spans="1:12" x14ac:dyDescent="0.25">
      <c r="A6416">
        <v>1112965</v>
      </c>
      <c r="B6416">
        <v>1453550</v>
      </c>
      <c r="D6416">
        <v>0</v>
      </c>
      <c r="E6416" t="s">
        <v>40366</v>
      </c>
      <c r="F6416" t="s">
        <v>40367</v>
      </c>
      <c r="G6416" t="s">
        <v>40368</v>
      </c>
      <c r="H6416" t="s">
        <v>40369</v>
      </c>
      <c r="I6416" t="s">
        <v>40370</v>
      </c>
      <c r="J6416" t="s">
        <v>40365</v>
      </c>
      <c r="K6416" t="s">
        <v>40371</v>
      </c>
      <c r="L6416" t="s">
        <v>40365</v>
      </c>
    </row>
    <row r="6417" spans="1:12" x14ac:dyDescent="0.25">
      <c r="A6417">
        <v>1114019</v>
      </c>
      <c r="B6417">
        <v>1114022</v>
      </c>
      <c r="D6417">
        <v>0</v>
      </c>
      <c r="F6417">
        <v>2137666</v>
      </c>
      <c r="G6417">
        <v>1114019</v>
      </c>
      <c r="H6417" t="e" vm="666">
        <f>_FV(0,"059")</f>
        <v>#VALUE!</v>
      </c>
      <c r="I6417">
        <v>1114022</v>
      </c>
      <c r="J6417" t="s">
        <v>9730</v>
      </c>
      <c r="K6417" t="s">
        <v>40372</v>
      </c>
      <c r="L6417" t="e" vm="666">
        <f>_FV(0,"059")</f>
        <v>#VALUE!</v>
      </c>
    </row>
    <row r="6418" spans="1:12" x14ac:dyDescent="0.25">
      <c r="A6418">
        <v>1114288</v>
      </c>
      <c r="B6418">
        <v>1114300</v>
      </c>
      <c r="D6418">
        <v>0</v>
      </c>
      <c r="E6418" t="s">
        <v>40374</v>
      </c>
      <c r="F6418" t="s">
        <v>40375</v>
      </c>
      <c r="G6418" t="s">
        <v>40376</v>
      </c>
      <c r="H6418" t="s">
        <v>40377</v>
      </c>
      <c r="I6418" t="s">
        <v>40378</v>
      </c>
      <c r="J6418" t="s">
        <v>40379</v>
      </c>
      <c r="K6418" t="s">
        <v>40380</v>
      </c>
      <c r="L6418" t="s">
        <v>40373</v>
      </c>
    </row>
    <row r="6419" spans="1:12" x14ac:dyDescent="0.25">
      <c r="A6419">
        <v>1114288</v>
      </c>
      <c r="B6419">
        <v>1114300</v>
      </c>
      <c r="D6419">
        <v>0</v>
      </c>
      <c r="E6419" t="s">
        <v>40382</v>
      </c>
      <c r="F6419" t="s">
        <v>40383</v>
      </c>
      <c r="G6419" t="s">
        <v>40384</v>
      </c>
      <c r="H6419" t="s">
        <v>40385</v>
      </c>
      <c r="I6419" t="s">
        <v>40386</v>
      </c>
      <c r="J6419" t="s">
        <v>40387</v>
      </c>
      <c r="K6419" t="s">
        <v>40388</v>
      </c>
      <c r="L6419" t="s">
        <v>40381</v>
      </c>
    </row>
    <row r="6420" spans="1:12" x14ac:dyDescent="0.25">
      <c r="A6420">
        <v>1115020</v>
      </c>
      <c r="B6420">
        <v>1447922</v>
      </c>
      <c r="D6420">
        <v>0</v>
      </c>
      <c r="E6420" t="s">
        <v>40390</v>
      </c>
      <c r="F6420" t="s">
        <v>40391</v>
      </c>
      <c r="G6420" t="s">
        <v>40392</v>
      </c>
      <c r="H6420" t="e" vm="2804">
        <f>_FV(0,"030153821574278476")</f>
        <v>#VALUE!</v>
      </c>
      <c r="I6420" t="s">
        <v>40393</v>
      </c>
      <c r="J6420" t="s">
        <v>40394</v>
      </c>
      <c r="K6420" t="s">
        <v>40395</v>
      </c>
      <c r="L6420" t="s">
        <v>40389</v>
      </c>
    </row>
    <row r="6421" spans="1:12" x14ac:dyDescent="0.25">
      <c r="A6421">
        <v>1115603</v>
      </c>
      <c r="B6421">
        <v>1115616</v>
      </c>
      <c r="D6421">
        <v>0</v>
      </c>
      <c r="E6421" t="s">
        <v>40397</v>
      </c>
      <c r="F6421" t="s">
        <v>40398</v>
      </c>
      <c r="G6421" t="s">
        <v>40399</v>
      </c>
      <c r="H6421" t="e" vm="2805">
        <f>_FV(0,"08769671344948768")</f>
        <v>#VALUE!</v>
      </c>
      <c r="I6421" t="s">
        <v>40400</v>
      </c>
      <c r="J6421" t="s">
        <v>40401</v>
      </c>
      <c r="K6421" t="s">
        <v>40402</v>
      </c>
      <c r="L6421" t="s">
        <v>40396</v>
      </c>
    </row>
    <row r="6422" spans="1:12" x14ac:dyDescent="0.25">
      <c r="A6422">
        <v>1115603</v>
      </c>
      <c r="B6422">
        <v>1115619</v>
      </c>
      <c r="D6422">
        <v>0</v>
      </c>
      <c r="F6422">
        <v>1186819</v>
      </c>
      <c r="G6422">
        <v>1115603</v>
      </c>
      <c r="H6422" t="e" vm="493">
        <f>_FV(0,"025")</f>
        <v>#VALUE!</v>
      </c>
      <c r="I6422">
        <v>1115619</v>
      </c>
      <c r="J6422" t="s">
        <v>899</v>
      </c>
      <c r="K6422" t="s">
        <v>40403</v>
      </c>
      <c r="L6422" t="e" vm="493">
        <f>_FV(0,"025")</f>
        <v>#VALUE!</v>
      </c>
    </row>
    <row r="6423" spans="1:12" x14ac:dyDescent="0.25">
      <c r="A6423">
        <v>1115603</v>
      </c>
      <c r="B6423">
        <v>1115691</v>
      </c>
      <c r="D6423">
        <v>0</v>
      </c>
      <c r="E6423" t="s">
        <v>40405</v>
      </c>
      <c r="F6423" t="s">
        <v>40406</v>
      </c>
      <c r="G6423" t="s">
        <v>40407</v>
      </c>
      <c r="H6423" t="s">
        <v>40408</v>
      </c>
      <c r="I6423" t="s">
        <v>40409</v>
      </c>
      <c r="J6423" t="s">
        <v>40404</v>
      </c>
      <c r="K6423" t="s">
        <v>40410</v>
      </c>
      <c r="L6423" t="s">
        <v>40404</v>
      </c>
    </row>
    <row r="6424" spans="1:12" x14ac:dyDescent="0.25">
      <c r="A6424">
        <v>1115616</v>
      </c>
      <c r="B6424">
        <v>1115626</v>
      </c>
      <c r="D6424">
        <v>0</v>
      </c>
      <c r="E6424" t="s">
        <v>40412</v>
      </c>
      <c r="F6424" t="s">
        <v>40413</v>
      </c>
      <c r="G6424" t="s">
        <v>40414</v>
      </c>
      <c r="H6424" t="s">
        <v>40415</v>
      </c>
      <c r="I6424" t="s">
        <v>40416</v>
      </c>
      <c r="J6424" t="s">
        <v>40417</v>
      </c>
      <c r="K6424" t="s">
        <v>40418</v>
      </c>
      <c r="L6424" t="s">
        <v>40411</v>
      </c>
    </row>
    <row r="6425" spans="1:12" x14ac:dyDescent="0.25">
      <c r="A6425">
        <v>1115616</v>
      </c>
      <c r="B6425">
        <v>1115691</v>
      </c>
      <c r="D6425">
        <v>0</v>
      </c>
      <c r="E6425" t="s">
        <v>40420</v>
      </c>
      <c r="F6425" t="s">
        <v>40421</v>
      </c>
      <c r="G6425" t="s">
        <v>40422</v>
      </c>
      <c r="H6425" t="s">
        <v>40423</v>
      </c>
      <c r="I6425" t="s">
        <v>40424</v>
      </c>
      <c r="J6425" t="s">
        <v>40425</v>
      </c>
      <c r="K6425" t="s">
        <v>40426</v>
      </c>
      <c r="L6425" t="s">
        <v>40419</v>
      </c>
    </row>
    <row r="6426" spans="1:12" x14ac:dyDescent="0.25">
      <c r="A6426">
        <v>1115619</v>
      </c>
      <c r="B6426">
        <v>1435186</v>
      </c>
      <c r="C6426" t="s">
        <v>40428</v>
      </c>
      <c r="D6426">
        <v>0</v>
      </c>
      <c r="E6426" t="s">
        <v>40429</v>
      </c>
      <c r="F6426" t="s">
        <v>40430</v>
      </c>
      <c r="G6426" t="s">
        <v>40431</v>
      </c>
      <c r="H6426" t="e" vm="2806">
        <f>_FV(0,"003084526744854334")</f>
        <v>#VALUE!</v>
      </c>
      <c r="I6426" t="s">
        <v>40432</v>
      </c>
      <c r="J6426" t="s">
        <v>40433</v>
      </c>
      <c r="K6426" t="s">
        <v>40434</v>
      </c>
      <c r="L6426" t="s">
        <v>40427</v>
      </c>
    </row>
    <row r="6427" spans="1:12" x14ac:dyDescent="0.25">
      <c r="A6427">
        <v>1115619</v>
      </c>
      <c r="B6427">
        <v>1115626</v>
      </c>
      <c r="D6427">
        <v>0</v>
      </c>
      <c r="E6427" t="s">
        <v>40436</v>
      </c>
      <c r="F6427" t="s">
        <v>40437</v>
      </c>
      <c r="G6427" t="s">
        <v>40438</v>
      </c>
      <c r="H6427" t="s">
        <v>40439</v>
      </c>
      <c r="I6427" t="s">
        <v>40440</v>
      </c>
      <c r="J6427" t="s">
        <v>40435</v>
      </c>
      <c r="K6427" t="s">
        <v>40441</v>
      </c>
      <c r="L6427" t="s">
        <v>40435</v>
      </c>
    </row>
    <row r="6428" spans="1:12" x14ac:dyDescent="0.25">
      <c r="A6428">
        <v>1115626</v>
      </c>
      <c r="B6428">
        <v>1435151</v>
      </c>
      <c r="D6428">
        <v>0</v>
      </c>
      <c r="E6428" t="s">
        <v>40443</v>
      </c>
      <c r="F6428" t="s">
        <v>40444</v>
      </c>
      <c r="G6428" t="s">
        <v>40445</v>
      </c>
      <c r="H6428" t="e" vm="2807">
        <f>_FV(0,"0006582875537884083")</f>
        <v>#VALUE!</v>
      </c>
      <c r="I6428" t="s">
        <v>40446</v>
      </c>
      <c r="J6428" t="s">
        <v>40447</v>
      </c>
      <c r="K6428" t="s">
        <v>40448</v>
      </c>
      <c r="L6428" t="s">
        <v>40442</v>
      </c>
    </row>
    <row r="6429" spans="1:12" x14ac:dyDescent="0.25">
      <c r="A6429">
        <v>1117093</v>
      </c>
      <c r="B6429">
        <v>1117151</v>
      </c>
      <c r="D6429" t="s">
        <v>40450</v>
      </c>
      <c r="E6429" t="s">
        <v>40451</v>
      </c>
      <c r="F6429" t="s">
        <v>40452</v>
      </c>
      <c r="G6429" t="s">
        <v>40453</v>
      </c>
      <c r="H6429" t="s">
        <v>40454</v>
      </c>
      <c r="I6429" t="s">
        <v>40455</v>
      </c>
      <c r="J6429" t="s">
        <v>40456</v>
      </c>
      <c r="K6429" t="s">
        <v>40457</v>
      </c>
      <c r="L6429" t="s">
        <v>40449</v>
      </c>
    </row>
    <row r="6430" spans="1:12" x14ac:dyDescent="0.25">
      <c r="A6430">
        <v>1117093</v>
      </c>
      <c r="B6430">
        <v>1298430</v>
      </c>
      <c r="D6430" t="s">
        <v>4181</v>
      </c>
      <c r="E6430" t="s">
        <v>40459</v>
      </c>
      <c r="F6430" t="s">
        <v>40460</v>
      </c>
      <c r="G6430" t="s">
        <v>40461</v>
      </c>
      <c r="H6430" t="s">
        <v>40462</v>
      </c>
      <c r="I6430" t="s">
        <v>40463</v>
      </c>
      <c r="J6430" t="s">
        <v>40458</v>
      </c>
      <c r="K6430" t="s">
        <v>40464</v>
      </c>
      <c r="L6430" t="s">
        <v>40458</v>
      </c>
    </row>
    <row r="6431" spans="1:12" x14ac:dyDescent="0.25">
      <c r="A6431">
        <v>1117093</v>
      </c>
      <c r="B6431">
        <v>1298448</v>
      </c>
      <c r="D6431" t="s">
        <v>700</v>
      </c>
      <c r="E6431" t="s">
        <v>40466</v>
      </c>
      <c r="F6431" t="s">
        <v>40467</v>
      </c>
      <c r="G6431" t="s">
        <v>40468</v>
      </c>
      <c r="H6431" t="s">
        <v>40469</v>
      </c>
      <c r="I6431" t="s">
        <v>40470</v>
      </c>
      <c r="J6431" t="s">
        <v>40465</v>
      </c>
      <c r="K6431" t="s">
        <v>40471</v>
      </c>
      <c r="L6431" t="s">
        <v>40465</v>
      </c>
    </row>
    <row r="6432" spans="1:12" x14ac:dyDescent="0.25">
      <c r="A6432">
        <v>1117151</v>
      </c>
      <c r="B6432">
        <v>1298557</v>
      </c>
      <c r="D6432">
        <v>0</v>
      </c>
      <c r="E6432" t="s">
        <v>40473</v>
      </c>
      <c r="F6432" t="s">
        <v>40474</v>
      </c>
      <c r="G6432" t="s">
        <v>40475</v>
      </c>
      <c r="H6432" t="e" vm="2808">
        <f>_FV(0,"02290416142112635")</f>
        <v>#VALUE!</v>
      </c>
      <c r="I6432" t="s">
        <v>40476</v>
      </c>
      <c r="J6432" t="s">
        <v>40477</v>
      </c>
      <c r="K6432" t="s">
        <v>40478</v>
      </c>
      <c r="L6432" t="s">
        <v>40472</v>
      </c>
    </row>
    <row r="6433" spans="1:12" x14ac:dyDescent="0.25">
      <c r="A6433">
        <v>1117151</v>
      </c>
      <c r="B6433">
        <v>1298572</v>
      </c>
      <c r="D6433">
        <v>0</v>
      </c>
      <c r="E6433" t="s">
        <v>40480</v>
      </c>
      <c r="F6433" t="s">
        <v>40481</v>
      </c>
      <c r="G6433" t="s">
        <v>40482</v>
      </c>
      <c r="H6433" t="e" vm="2809">
        <f>_FV(0,"10858261270840891")</f>
        <v>#VALUE!</v>
      </c>
      <c r="I6433" t="s">
        <v>40483</v>
      </c>
      <c r="J6433" t="s">
        <v>40484</v>
      </c>
      <c r="K6433" t="s">
        <v>40485</v>
      </c>
      <c r="L6433" t="s">
        <v>40479</v>
      </c>
    </row>
    <row r="6434" spans="1:12" x14ac:dyDescent="0.25">
      <c r="A6434">
        <v>1117158</v>
      </c>
      <c r="B6434">
        <v>1117282</v>
      </c>
      <c r="D6434" t="s">
        <v>40487</v>
      </c>
      <c r="E6434" t="s">
        <v>40488</v>
      </c>
      <c r="F6434" t="s">
        <v>40489</v>
      </c>
      <c r="G6434" t="s">
        <v>40490</v>
      </c>
      <c r="H6434" t="e" vm="2810">
        <f>_FV(0,"0017808472972872884")</f>
        <v>#VALUE!</v>
      </c>
      <c r="I6434" t="s">
        <v>40491</v>
      </c>
      <c r="J6434" t="s">
        <v>40492</v>
      </c>
      <c r="K6434" t="s">
        <v>40493</v>
      </c>
      <c r="L6434" t="s">
        <v>40486</v>
      </c>
    </row>
    <row r="6435" spans="1:12" x14ac:dyDescent="0.25">
      <c r="A6435">
        <v>1117158</v>
      </c>
      <c r="B6435">
        <v>1298536</v>
      </c>
      <c r="D6435">
        <v>0</v>
      </c>
      <c r="E6435" t="s">
        <v>40495</v>
      </c>
      <c r="F6435" t="s">
        <v>40496</v>
      </c>
      <c r="G6435" t="s">
        <v>40497</v>
      </c>
      <c r="H6435" t="s">
        <v>40498</v>
      </c>
      <c r="I6435" t="s">
        <v>40499</v>
      </c>
      <c r="J6435" t="s">
        <v>40494</v>
      </c>
      <c r="K6435" t="s">
        <v>40500</v>
      </c>
      <c r="L6435" t="s">
        <v>40494</v>
      </c>
    </row>
    <row r="6436" spans="1:12" x14ac:dyDescent="0.25">
      <c r="A6436">
        <v>1117158</v>
      </c>
      <c r="B6436">
        <v>1298551</v>
      </c>
      <c r="D6436">
        <v>0</v>
      </c>
      <c r="E6436" t="s">
        <v>40502</v>
      </c>
      <c r="F6436" t="s">
        <v>40503</v>
      </c>
      <c r="G6436" t="s">
        <v>40504</v>
      </c>
      <c r="H6436" t="s">
        <v>40505</v>
      </c>
      <c r="I6436" t="s">
        <v>40506</v>
      </c>
      <c r="J6436" t="s">
        <v>40507</v>
      </c>
      <c r="K6436" t="s">
        <v>40508</v>
      </c>
      <c r="L6436" t="s">
        <v>40501</v>
      </c>
    </row>
    <row r="6437" spans="1:12" x14ac:dyDescent="0.25">
      <c r="A6437">
        <v>1117282</v>
      </c>
      <c r="B6437">
        <v>1298640</v>
      </c>
      <c r="D6437">
        <v>0</v>
      </c>
      <c r="E6437" t="s">
        <v>40510</v>
      </c>
      <c r="F6437" t="s">
        <v>40511</v>
      </c>
      <c r="G6437" t="s">
        <v>40512</v>
      </c>
      <c r="H6437" t="e" vm="2811">
        <f>_FV(0,"16965109071045784")</f>
        <v>#VALUE!</v>
      </c>
      <c r="I6437" t="s">
        <v>40513</v>
      </c>
      <c r="J6437" t="s">
        <v>40514</v>
      </c>
      <c r="K6437" t="s">
        <v>40515</v>
      </c>
      <c r="L6437" t="s">
        <v>40509</v>
      </c>
    </row>
    <row r="6438" spans="1:12" x14ac:dyDescent="0.25">
      <c r="A6438">
        <v>1117282</v>
      </c>
      <c r="B6438">
        <v>1298615</v>
      </c>
      <c r="D6438">
        <v>0</v>
      </c>
      <c r="E6438" t="s">
        <v>40517</v>
      </c>
      <c r="F6438" t="s">
        <v>40518</v>
      </c>
      <c r="G6438" t="s">
        <v>40519</v>
      </c>
      <c r="H6438" t="e" vm="2812">
        <f>_FV(0,"3766825516946019")</f>
        <v>#VALUE!</v>
      </c>
      <c r="I6438" t="s">
        <v>40520</v>
      </c>
      <c r="J6438" t="s">
        <v>40521</v>
      </c>
      <c r="K6438" t="s">
        <v>40522</v>
      </c>
      <c r="L6438" t="s">
        <v>40516</v>
      </c>
    </row>
    <row r="6439" spans="1:12" x14ac:dyDescent="0.25">
      <c r="A6439">
        <v>1119037</v>
      </c>
      <c r="B6439">
        <v>1119200</v>
      </c>
      <c r="D6439">
        <v>0</v>
      </c>
      <c r="E6439" t="s">
        <v>40524</v>
      </c>
      <c r="F6439" t="s">
        <v>40525</v>
      </c>
      <c r="G6439" t="s">
        <v>40526</v>
      </c>
      <c r="H6439" t="s">
        <v>40527</v>
      </c>
      <c r="I6439" t="s">
        <v>40528</v>
      </c>
      <c r="J6439" t="s">
        <v>40529</v>
      </c>
      <c r="K6439" t="s">
        <v>40530</v>
      </c>
      <c r="L6439" t="s">
        <v>40523</v>
      </c>
    </row>
    <row r="6440" spans="1:12" x14ac:dyDescent="0.25">
      <c r="A6440">
        <v>1119037</v>
      </c>
      <c r="B6440">
        <v>1119116</v>
      </c>
      <c r="D6440">
        <v>0</v>
      </c>
      <c r="E6440" t="s">
        <v>40532</v>
      </c>
      <c r="F6440" t="s">
        <v>40533</v>
      </c>
      <c r="G6440" t="s">
        <v>40534</v>
      </c>
      <c r="H6440" t="s">
        <v>40535</v>
      </c>
      <c r="I6440" t="s">
        <v>40536</v>
      </c>
      <c r="J6440" t="s">
        <v>40537</v>
      </c>
      <c r="K6440" t="s">
        <v>40538</v>
      </c>
      <c r="L6440" t="s">
        <v>40531</v>
      </c>
    </row>
    <row r="6441" spans="1:12" x14ac:dyDescent="0.25">
      <c r="A6441">
        <v>1119082</v>
      </c>
      <c r="B6441">
        <v>1119099</v>
      </c>
      <c r="D6441">
        <v>0</v>
      </c>
      <c r="F6441">
        <v>1191288</v>
      </c>
      <c r="G6441">
        <v>1119099</v>
      </c>
      <c r="H6441" t="s">
        <v>40539</v>
      </c>
      <c r="I6441">
        <v>1119082</v>
      </c>
      <c r="J6441" t="s">
        <v>40539</v>
      </c>
      <c r="K6441" t="s">
        <v>40540</v>
      </c>
      <c r="L6441" t="s">
        <v>40539</v>
      </c>
    </row>
    <row r="6442" spans="1:12" x14ac:dyDescent="0.25">
      <c r="A6442">
        <v>1119082</v>
      </c>
      <c r="B6442">
        <v>1119162</v>
      </c>
      <c r="D6442">
        <v>0</v>
      </c>
      <c r="E6442" t="s">
        <v>40542</v>
      </c>
      <c r="F6442" t="s">
        <v>40543</v>
      </c>
      <c r="G6442" t="s">
        <v>40544</v>
      </c>
      <c r="H6442" t="e" vm="2813">
        <f>_FV(0,"054487789076878346")</f>
        <v>#VALUE!</v>
      </c>
      <c r="I6442" t="s">
        <v>40545</v>
      </c>
      <c r="J6442" t="s">
        <v>40546</v>
      </c>
      <c r="K6442" t="s">
        <v>40547</v>
      </c>
      <c r="L6442" t="s">
        <v>40541</v>
      </c>
    </row>
    <row r="6443" spans="1:12" x14ac:dyDescent="0.25">
      <c r="A6443">
        <v>1119099</v>
      </c>
      <c r="B6443">
        <v>1253742</v>
      </c>
      <c r="D6443">
        <v>0</v>
      </c>
      <c r="E6443" t="s">
        <v>40549</v>
      </c>
      <c r="F6443" t="s">
        <v>40550</v>
      </c>
      <c r="G6443" t="s">
        <v>40551</v>
      </c>
      <c r="H6443" t="e" vm="2814">
        <f>_FV(0,"1562090686216263")</f>
        <v>#VALUE!</v>
      </c>
      <c r="I6443" t="s">
        <v>40552</v>
      </c>
      <c r="J6443" t="s">
        <v>40553</v>
      </c>
      <c r="K6443" t="s">
        <v>40554</v>
      </c>
      <c r="L6443" t="s">
        <v>40548</v>
      </c>
    </row>
    <row r="6444" spans="1:12" x14ac:dyDescent="0.25">
      <c r="A6444">
        <v>1119099</v>
      </c>
      <c r="B6444">
        <v>1119200</v>
      </c>
      <c r="D6444">
        <v>0</v>
      </c>
      <c r="E6444" t="s">
        <v>40556</v>
      </c>
      <c r="F6444" t="s">
        <v>40557</v>
      </c>
      <c r="G6444" t="s">
        <v>40558</v>
      </c>
      <c r="H6444" t="e" vm="2815">
        <f>_FV(0,"16518875892588283")</f>
        <v>#VALUE!</v>
      </c>
      <c r="I6444" t="s">
        <v>40559</v>
      </c>
      <c r="J6444" t="s">
        <v>40560</v>
      </c>
      <c r="K6444" t="s">
        <v>40561</v>
      </c>
      <c r="L6444" t="s">
        <v>40555</v>
      </c>
    </row>
    <row r="6445" spans="1:12" x14ac:dyDescent="0.25">
      <c r="A6445">
        <v>1119116</v>
      </c>
      <c r="B6445">
        <v>1253742</v>
      </c>
      <c r="D6445">
        <v>0</v>
      </c>
      <c r="E6445" t="s">
        <v>40563</v>
      </c>
      <c r="F6445" t="s">
        <v>40564</v>
      </c>
      <c r="G6445" t="s">
        <v>40565</v>
      </c>
      <c r="H6445" t="e" vm="2816">
        <f>_FV(0,"14989447847243756")</f>
        <v>#VALUE!</v>
      </c>
      <c r="I6445" t="s">
        <v>40566</v>
      </c>
      <c r="J6445" t="s">
        <v>40567</v>
      </c>
      <c r="K6445" t="s">
        <v>40568</v>
      </c>
      <c r="L6445" t="s">
        <v>40562</v>
      </c>
    </row>
    <row r="6446" spans="1:12" x14ac:dyDescent="0.25">
      <c r="A6446">
        <v>1119116</v>
      </c>
      <c r="B6446">
        <v>1119162</v>
      </c>
      <c r="D6446">
        <v>0</v>
      </c>
      <c r="E6446" t="s">
        <v>40570</v>
      </c>
      <c r="F6446" t="s">
        <v>40571</v>
      </c>
      <c r="G6446" t="s">
        <v>40572</v>
      </c>
      <c r="H6446" t="s">
        <v>40573</v>
      </c>
      <c r="I6446" t="s">
        <v>40574</v>
      </c>
      <c r="J6446" t="s">
        <v>40575</v>
      </c>
      <c r="K6446" t="s">
        <v>40576</v>
      </c>
      <c r="L6446" t="s">
        <v>40569</v>
      </c>
    </row>
    <row r="6447" spans="1:12" x14ac:dyDescent="0.25">
      <c r="A6447">
        <v>1119162</v>
      </c>
      <c r="B6447">
        <v>1119209</v>
      </c>
      <c r="D6447">
        <v>0</v>
      </c>
      <c r="E6447" t="s">
        <v>40578</v>
      </c>
      <c r="F6447" t="s">
        <v>40579</v>
      </c>
      <c r="G6447" t="s">
        <v>40580</v>
      </c>
      <c r="H6447" t="s">
        <v>40581</v>
      </c>
      <c r="I6447" t="s">
        <v>40582</v>
      </c>
      <c r="J6447" t="s">
        <v>40577</v>
      </c>
      <c r="K6447" t="s">
        <v>40583</v>
      </c>
      <c r="L6447" t="s">
        <v>40577</v>
      </c>
    </row>
    <row r="6448" spans="1:12" x14ac:dyDescent="0.25">
      <c r="A6448">
        <v>1119200</v>
      </c>
      <c r="B6448">
        <v>1253166</v>
      </c>
      <c r="D6448">
        <v>0</v>
      </c>
      <c r="E6448" t="s">
        <v>40585</v>
      </c>
      <c r="F6448" t="s">
        <v>40586</v>
      </c>
      <c r="G6448" t="s">
        <v>40587</v>
      </c>
      <c r="H6448" t="e" vm="2817">
        <f>_FV(0,"28437976498977974")</f>
        <v>#VALUE!</v>
      </c>
      <c r="I6448" t="s">
        <v>40588</v>
      </c>
      <c r="J6448" t="s">
        <v>40589</v>
      </c>
      <c r="K6448" t="s">
        <v>40590</v>
      </c>
      <c r="L6448" t="s">
        <v>40584</v>
      </c>
    </row>
    <row r="6449" spans="1:12" x14ac:dyDescent="0.25">
      <c r="A6449">
        <v>1119209</v>
      </c>
      <c r="B6449">
        <v>1253152</v>
      </c>
      <c r="D6449">
        <v>0</v>
      </c>
      <c r="E6449" t="s">
        <v>40592</v>
      </c>
      <c r="F6449" t="s">
        <v>40593</v>
      </c>
      <c r="G6449" t="s">
        <v>40594</v>
      </c>
      <c r="H6449" t="e" vm="2818">
        <f>_FV(0,"29262597117258604")</f>
        <v>#VALUE!</v>
      </c>
      <c r="I6449" t="s">
        <v>40595</v>
      </c>
      <c r="J6449" t="s">
        <v>40596</v>
      </c>
      <c r="K6449" t="s">
        <v>40597</v>
      </c>
      <c r="L6449" t="s">
        <v>40591</v>
      </c>
    </row>
    <row r="6450" spans="1:12" x14ac:dyDescent="0.25">
      <c r="A6450">
        <v>1119242</v>
      </c>
      <c r="B6450">
        <v>1119249</v>
      </c>
      <c r="D6450">
        <v>0</v>
      </c>
      <c r="E6450" t="s">
        <v>40599</v>
      </c>
      <c r="F6450" t="s">
        <v>40600</v>
      </c>
      <c r="G6450" t="s">
        <v>40601</v>
      </c>
      <c r="H6450" t="s">
        <v>40602</v>
      </c>
      <c r="I6450" t="s">
        <v>40603</v>
      </c>
      <c r="J6450" t="s">
        <v>40604</v>
      </c>
      <c r="K6450" t="s">
        <v>40605</v>
      </c>
      <c r="L6450" t="s">
        <v>40598</v>
      </c>
    </row>
    <row r="6451" spans="1:12" x14ac:dyDescent="0.25">
      <c r="A6451">
        <v>1119242</v>
      </c>
      <c r="B6451">
        <v>1119417</v>
      </c>
      <c r="C6451" t="s">
        <v>40607</v>
      </c>
      <c r="D6451">
        <v>0</v>
      </c>
      <c r="E6451" t="s">
        <v>40608</v>
      </c>
      <c r="F6451" t="s">
        <v>40609</v>
      </c>
      <c r="G6451" t="s">
        <v>40610</v>
      </c>
      <c r="H6451" t="s">
        <v>40611</v>
      </c>
      <c r="I6451" t="s">
        <v>40612</v>
      </c>
      <c r="J6451" t="s">
        <v>40613</v>
      </c>
      <c r="K6451" t="s">
        <v>40614</v>
      </c>
      <c r="L6451" t="s">
        <v>40606</v>
      </c>
    </row>
    <row r="6452" spans="1:12" x14ac:dyDescent="0.25">
      <c r="A6452">
        <v>1119249</v>
      </c>
      <c r="B6452">
        <v>1119417</v>
      </c>
      <c r="D6452" t="s">
        <v>40616</v>
      </c>
      <c r="E6452" t="s">
        <v>40617</v>
      </c>
      <c r="F6452" t="s">
        <v>40618</v>
      </c>
      <c r="G6452" t="s">
        <v>40619</v>
      </c>
      <c r="H6452" t="s">
        <v>40620</v>
      </c>
      <c r="I6452" t="s">
        <v>40621</v>
      </c>
      <c r="J6452" t="s">
        <v>40622</v>
      </c>
      <c r="K6452" t="s">
        <v>40623</v>
      </c>
      <c r="L6452" t="s">
        <v>40615</v>
      </c>
    </row>
    <row r="6453" spans="1:12" x14ac:dyDescent="0.25">
      <c r="A6453">
        <v>1119249</v>
      </c>
      <c r="B6453">
        <v>1253832</v>
      </c>
      <c r="D6453" t="s">
        <v>64</v>
      </c>
      <c r="E6453" t="s">
        <v>40625</v>
      </c>
      <c r="F6453" t="s">
        <v>40626</v>
      </c>
      <c r="G6453" t="s">
        <v>40627</v>
      </c>
      <c r="H6453" t="s">
        <v>40628</v>
      </c>
      <c r="I6453" t="s">
        <v>40629</v>
      </c>
      <c r="J6453" t="s">
        <v>40630</v>
      </c>
      <c r="K6453" t="s">
        <v>40631</v>
      </c>
      <c r="L6453" t="s">
        <v>40624</v>
      </c>
    </row>
    <row r="6454" spans="1:12" x14ac:dyDescent="0.25">
      <c r="A6454">
        <v>1119417</v>
      </c>
      <c r="B6454">
        <v>1253832</v>
      </c>
      <c r="D6454" t="s">
        <v>11226</v>
      </c>
      <c r="E6454" t="s">
        <v>40633</v>
      </c>
      <c r="F6454" t="s">
        <v>40634</v>
      </c>
      <c r="G6454" t="s">
        <v>40635</v>
      </c>
      <c r="H6454" t="s">
        <v>40636</v>
      </c>
      <c r="I6454" t="s">
        <v>40637</v>
      </c>
      <c r="J6454" t="s">
        <v>40638</v>
      </c>
      <c r="K6454" t="s">
        <v>40639</v>
      </c>
      <c r="L6454" t="s">
        <v>40632</v>
      </c>
    </row>
    <row r="6455" spans="1:12" x14ac:dyDescent="0.25">
      <c r="A6455">
        <v>1122561</v>
      </c>
      <c r="B6455">
        <v>1122566</v>
      </c>
      <c r="D6455" t="s">
        <v>3298</v>
      </c>
      <c r="E6455" t="s">
        <v>40641</v>
      </c>
      <c r="F6455" t="s">
        <v>40642</v>
      </c>
      <c r="G6455" t="s">
        <v>40643</v>
      </c>
      <c r="H6455" t="s">
        <v>40644</v>
      </c>
      <c r="I6455" t="s">
        <v>40645</v>
      </c>
      <c r="J6455" t="s">
        <v>40646</v>
      </c>
      <c r="K6455" t="s">
        <v>40647</v>
      </c>
      <c r="L6455" t="s">
        <v>40640</v>
      </c>
    </row>
    <row r="6456" spans="1:12" x14ac:dyDescent="0.25">
      <c r="A6456">
        <v>1122561</v>
      </c>
      <c r="B6456">
        <v>1122566</v>
      </c>
      <c r="D6456" t="s">
        <v>15900</v>
      </c>
      <c r="E6456" t="s">
        <v>40649</v>
      </c>
      <c r="F6456" t="s">
        <v>40650</v>
      </c>
      <c r="G6456" t="s">
        <v>40651</v>
      </c>
      <c r="H6456" t="s">
        <v>40652</v>
      </c>
      <c r="I6456" t="s">
        <v>40653</v>
      </c>
      <c r="J6456" t="s">
        <v>40654</v>
      </c>
      <c r="K6456" t="s">
        <v>40655</v>
      </c>
      <c r="L6456" t="s">
        <v>40648</v>
      </c>
    </row>
    <row r="6457" spans="1:12" x14ac:dyDescent="0.25">
      <c r="A6457">
        <v>1122566</v>
      </c>
      <c r="B6457">
        <v>1122567</v>
      </c>
      <c r="D6457">
        <v>0</v>
      </c>
      <c r="F6457">
        <v>1196032</v>
      </c>
      <c r="G6457">
        <v>1122567</v>
      </c>
      <c r="H6457" t="e" vm="342">
        <f>_FV(0,"011")</f>
        <v>#VALUE!</v>
      </c>
      <c r="I6457">
        <v>1122566</v>
      </c>
      <c r="J6457" t="s">
        <v>4848</v>
      </c>
      <c r="K6457" t="s">
        <v>40656</v>
      </c>
      <c r="L6457" t="e" vm="342">
        <f>_FV(0,"011")</f>
        <v>#VALUE!</v>
      </c>
    </row>
    <row r="6458" spans="1:12" x14ac:dyDescent="0.25">
      <c r="A6458">
        <v>1122567</v>
      </c>
      <c r="B6458">
        <v>1122573</v>
      </c>
      <c r="D6458">
        <v>0</v>
      </c>
      <c r="E6458" t="s">
        <v>40658</v>
      </c>
      <c r="F6458" t="s">
        <v>40659</v>
      </c>
      <c r="G6458" t="s">
        <v>40660</v>
      </c>
      <c r="H6458" t="e" vm="2819">
        <f>_FV(0,"02016197827785335")</f>
        <v>#VALUE!</v>
      </c>
      <c r="I6458" t="s">
        <v>40661</v>
      </c>
      <c r="J6458" t="s">
        <v>40662</v>
      </c>
      <c r="K6458" t="s">
        <v>40663</v>
      </c>
      <c r="L6458" t="s">
        <v>40657</v>
      </c>
    </row>
    <row r="6459" spans="1:12" x14ac:dyDescent="0.25">
      <c r="A6459">
        <v>1122567</v>
      </c>
      <c r="B6459">
        <v>1122573</v>
      </c>
      <c r="D6459">
        <v>0</v>
      </c>
      <c r="E6459" t="s">
        <v>40665</v>
      </c>
      <c r="F6459" t="s">
        <v>40666</v>
      </c>
      <c r="G6459" t="s">
        <v>40667</v>
      </c>
      <c r="H6459" t="e" vm="2820">
        <f>_FV(0,"020091127342737332")</f>
        <v>#VALUE!</v>
      </c>
      <c r="I6459" t="s">
        <v>40668</v>
      </c>
      <c r="J6459" t="s">
        <v>40669</v>
      </c>
      <c r="K6459" t="s">
        <v>40670</v>
      </c>
      <c r="L6459" t="s">
        <v>40664</v>
      </c>
    </row>
    <row r="6460" spans="1:12" x14ac:dyDescent="0.25">
      <c r="A6460">
        <v>1139034</v>
      </c>
      <c r="B6460">
        <v>1139160</v>
      </c>
      <c r="D6460" t="s">
        <v>40672</v>
      </c>
      <c r="E6460" t="s">
        <v>40673</v>
      </c>
      <c r="F6460" t="s">
        <v>40674</v>
      </c>
      <c r="G6460" t="s">
        <v>40675</v>
      </c>
      <c r="H6460" t="e" vm="2821">
        <f>_FV(0,"0010720326504853979")</f>
        <v>#VALUE!</v>
      </c>
      <c r="I6460" t="s">
        <v>40676</v>
      </c>
      <c r="J6460" t="s">
        <v>40677</v>
      </c>
      <c r="K6460" t="s">
        <v>40678</v>
      </c>
      <c r="L6460" t="s">
        <v>40671</v>
      </c>
    </row>
    <row r="6461" spans="1:12" x14ac:dyDescent="0.25">
      <c r="A6461">
        <v>1139034</v>
      </c>
      <c r="B6461">
        <v>1250970</v>
      </c>
      <c r="D6461">
        <v>0</v>
      </c>
      <c r="E6461" t="s">
        <v>40680</v>
      </c>
      <c r="F6461" t="s">
        <v>40681</v>
      </c>
      <c r="G6461" t="s">
        <v>40682</v>
      </c>
      <c r="H6461" t="e" vm="2822">
        <f>_FV(0,"031721191104841125")</f>
        <v>#VALUE!</v>
      </c>
      <c r="I6461" t="s">
        <v>40683</v>
      </c>
      <c r="J6461" t="s">
        <v>40684</v>
      </c>
      <c r="K6461" t="s">
        <v>40685</v>
      </c>
      <c r="L6461" t="s">
        <v>40679</v>
      </c>
    </row>
    <row r="6462" spans="1:12" x14ac:dyDescent="0.25">
      <c r="A6462">
        <v>1139034</v>
      </c>
      <c r="B6462">
        <v>1250981</v>
      </c>
      <c r="D6462">
        <v>0</v>
      </c>
      <c r="E6462" t="s">
        <v>40687</v>
      </c>
      <c r="F6462" t="s">
        <v>40688</v>
      </c>
      <c r="G6462" t="s">
        <v>40689</v>
      </c>
      <c r="H6462" t="e" vm="2823">
        <f>_FV(0,"023639476520072113")</f>
        <v>#VALUE!</v>
      </c>
      <c r="I6462" t="s">
        <v>40690</v>
      </c>
      <c r="J6462" t="s">
        <v>40691</v>
      </c>
      <c r="K6462" t="s">
        <v>40692</v>
      </c>
      <c r="L6462" t="s">
        <v>40686</v>
      </c>
    </row>
    <row r="6463" spans="1:12" x14ac:dyDescent="0.25">
      <c r="A6463">
        <v>1143527</v>
      </c>
      <c r="B6463">
        <v>1143559</v>
      </c>
      <c r="D6463">
        <v>0</v>
      </c>
      <c r="E6463" t="s">
        <v>40694</v>
      </c>
      <c r="F6463" t="s">
        <v>40695</v>
      </c>
      <c r="G6463" t="s">
        <v>40696</v>
      </c>
      <c r="H6463" t="s">
        <v>40697</v>
      </c>
      <c r="I6463" t="s">
        <v>40698</v>
      </c>
      <c r="J6463" t="s">
        <v>40699</v>
      </c>
      <c r="K6463" t="s">
        <v>40700</v>
      </c>
      <c r="L6463" t="s">
        <v>40693</v>
      </c>
    </row>
    <row r="6464" spans="1:12" x14ac:dyDescent="0.25">
      <c r="A6464">
        <v>1143527</v>
      </c>
      <c r="B6464">
        <v>278053</v>
      </c>
      <c r="D6464">
        <v>0</v>
      </c>
      <c r="E6464" t="s">
        <v>40702</v>
      </c>
      <c r="F6464" t="s">
        <v>40703</v>
      </c>
      <c r="G6464" t="s">
        <v>40704</v>
      </c>
      <c r="H6464" t="s">
        <v>40705</v>
      </c>
      <c r="I6464" t="s">
        <v>40706</v>
      </c>
      <c r="J6464" t="s">
        <v>40701</v>
      </c>
      <c r="K6464" t="s">
        <v>40707</v>
      </c>
      <c r="L6464" t="s">
        <v>40701</v>
      </c>
    </row>
    <row r="6465" spans="1:12" x14ac:dyDescent="0.25">
      <c r="A6465">
        <v>1143559</v>
      </c>
      <c r="B6465">
        <v>1147726</v>
      </c>
      <c r="D6465">
        <v>0</v>
      </c>
      <c r="E6465" t="s">
        <v>40709</v>
      </c>
      <c r="F6465" t="s">
        <v>40710</v>
      </c>
      <c r="G6465" t="s">
        <v>40711</v>
      </c>
      <c r="H6465" t="s">
        <v>40712</v>
      </c>
      <c r="I6465" t="s">
        <v>40713</v>
      </c>
      <c r="J6465" t="s">
        <v>40714</v>
      </c>
      <c r="K6465" t="s">
        <v>40715</v>
      </c>
      <c r="L6465" t="s">
        <v>40708</v>
      </c>
    </row>
    <row r="6466" spans="1:12" x14ac:dyDescent="0.25">
      <c r="A6466">
        <v>1143559</v>
      </c>
      <c r="B6466">
        <v>1147694</v>
      </c>
      <c r="D6466">
        <v>0</v>
      </c>
      <c r="F6466">
        <v>2110785</v>
      </c>
      <c r="G6466">
        <v>1143559</v>
      </c>
      <c r="H6466" t="s">
        <v>40716</v>
      </c>
      <c r="I6466">
        <v>1147694</v>
      </c>
      <c r="J6466" t="s">
        <v>40716</v>
      </c>
      <c r="K6466" t="s">
        <v>40717</v>
      </c>
      <c r="L6466" t="s">
        <v>40716</v>
      </c>
    </row>
    <row r="6467" spans="1:12" x14ac:dyDescent="0.25">
      <c r="A6467">
        <v>1143943</v>
      </c>
      <c r="B6467">
        <v>1143960</v>
      </c>
      <c r="D6467" t="s">
        <v>40719</v>
      </c>
      <c r="E6467" t="s">
        <v>40720</v>
      </c>
      <c r="F6467" t="s">
        <v>40721</v>
      </c>
      <c r="G6467" t="s">
        <v>40722</v>
      </c>
      <c r="H6467" t="s">
        <v>40723</v>
      </c>
      <c r="I6467" t="s">
        <v>40724</v>
      </c>
      <c r="J6467" t="s">
        <v>40725</v>
      </c>
      <c r="K6467" t="s">
        <v>40726</v>
      </c>
      <c r="L6467" t="s">
        <v>40718</v>
      </c>
    </row>
    <row r="6468" spans="1:12" x14ac:dyDescent="0.25">
      <c r="A6468">
        <v>1143960</v>
      </c>
      <c r="B6468">
        <v>1143974</v>
      </c>
      <c r="D6468">
        <v>0</v>
      </c>
      <c r="E6468" t="s">
        <v>40728</v>
      </c>
      <c r="F6468" t="s">
        <v>40729</v>
      </c>
      <c r="G6468" t="s">
        <v>40730</v>
      </c>
      <c r="H6468" t="e" vm="2824">
        <f>_FV(0,"012297936581307574")</f>
        <v>#VALUE!</v>
      </c>
      <c r="I6468" t="s">
        <v>40731</v>
      </c>
      <c r="J6468" t="s">
        <v>40732</v>
      </c>
      <c r="K6468" t="s">
        <v>40733</v>
      </c>
      <c r="L6468" t="s">
        <v>40727</v>
      </c>
    </row>
    <row r="6469" spans="1:12" x14ac:dyDescent="0.25">
      <c r="A6469">
        <v>1143974</v>
      </c>
      <c r="B6469">
        <v>1149413</v>
      </c>
      <c r="D6469" t="s">
        <v>40735</v>
      </c>
      <c r="E6469" t="s">
        <v>40736</v>
      </c>
      <c r="F6469" t="s">
        <v>40737</v>
      </c>
      <c r="G6469" t="s">
        <v>40738</v>
      </c>
      <c r="H6469" t="e" vm="2825">
        <f>_FV(0,"011876606909479014")</f>
        <v>#VALUE!</v>
      </c>
      <c r="I6469" t="s">
        <v>40739</v>
      </c>
      <c r="J6469" t="s">
        <v>40740</v>
      </c>
      <c r="K6469" t="s">
        <v>40741</v>
      </c>
      <c r="L6469" t="s">
        <v>40734</v>
      </c>
    </row>
    <row r="6470" spans="1:12" x14ac:dyDescent="0.25">
      <c r="A6470">
        <v>1145784</v>
      </c>
      <c r="B6470">
        <v>1213871</v>
      </c>
      <c r="D6470">
        <v>0</v>
      </c>
      <c r="E6470" t="s">
        <v>40743</v>
      </c>
      <c r="F6470" t="s">
        <v>40744</v>
      </c>
      <c r="G6470" t="s">
        <v>40745</v>
      </c>
      <c r="H6470" t="e" vm="2826">
        <f>_FV(0,"03964597047721457")</f>
        <v>#VALUE!</v>
      </c>
      <c r="I6470" t="s">
        <v>40746</v>
      </c>
      <c r="J6470" t="s">
        <v>40747</v>
      </c>
      <c r="K6470" t="s">
        <v>40748</v>
      </c>
      <c r="L6470" t="s">
        <v>40742</v>
      </c>
    </row>
    <row r="6471" spans="1:12" x14ac:dyDescent="0.25">
      <c r="A6471">
        <v>1146433</v>
      </c>
      <c r="B6471">
        <v>1146503</v>
      </c>
      <c r="D6471">
        <v>0</v>
      </c>
      <c r="E6471" t="s">
        <v>40750</v>
      </c>
      <c r="F6471" t="s">
        <v>40751</v>
      </c>
      <c r="G6471" t="s">
        <v>40752</v>
      </c>
      <c r="H6471" t="s">
        <v>40753</v>
      </c>
      <c r="I6471" t="s">
        <v>40754</v>
      </c>
      <c r="J6471" t="s">
        <v>40755</v>
      </c>
      <c r="K6471" t="s">
        <v>40756</v>
      </c>
      <c r="L6471" t="s">
        <v>40749</v>
      </c>
    </row>
    <row r="6472" spans="1:12" x14ac:dyDescent="0.25">
      <c r="A6472">
        <v>1146433</v>
      </c>
      <c r="B6472">
        <v>1146503</v>
      </c>
      <c r="D6472">
        <v>0</v>
      </c>
      <c r="E6472" t="s">
        <v>40758</v>
      </c>
      <c r="F6472" t="s">
        <v>40759</v>
      </c>
      <c r="G6472" t="s">
        <v>40760</v>
      </c>
      <c r="H6472" t="s">
        <v>40761</v>
      </c>
      <c r="I6472" t="s">
        <v>40762</v>
      </c>
      <c r="J6472" t="s">
        <v>40763</v>
      </c>
      <c r="K6472" t="s">
        <v>40764</v>
      </c>
      <c r="L6472" t="s">
        <v>40757</v>
      </c>
    </row>
    <row r="6473" spans="1:12" x14ac:dyDescent="0.25">
      <c r="A6473">
        <v>1146433</v>
      </c>
      <c r="B6473">
        <v>1354589</v>
      </c>
      <c r="D6473">
        <v>0</v>
      </c>
      <c r="F6473">
        <v>1496425</v>
      </c>
      <c r="G6473">
        <v>1146433</v>
      </c>
      <c r="H6473" t="s">
        <v>1939</v>
      </c>
      <c r="I6473">
        <v>1354589</v>
      </c>
      <c r="J6473" t="s">
        <v>1939</v>
      </c>
      <c r="K6473" t="s">
        <v>40765</v>
      </c>
      <c r="L6473" t="s">
        <v>1939</v>
      </c>
    </row>
    <row r="6474" spans="1:12" x14ac:dyDescent="0.25">
      <c r="A6474">
        <v>1146503</v>
      </c>
      <c r="B6474">
        <v>1596719</v>
      </c>
      <c r="C6474" t="s">
        <v>40767</v>
      </c>
      <c r="D6474">
        <v>0</v>
      </c>
      <c r="E6474" t="s">
        <v>40768</v>
      </c>
      <c r="F6474" t="s">
        <v>40769</v>
      </c>
      <c r="G6474" t="s">
        <v>40770</v>
      </c>
      <c r="H6474" t="e" vm="2827">
        <f>_FV(0,"0019254204044899645")</f>
        <v>#VALUE!</v>
      </c>
      <c r="I6474" t="s">
        <v>40771</v>
      </c>
      <c r="J6474" t="s">
        <v>40772</v>
      </c>
      <c r="K6474" t="s">
        <v>40773</v>
      </c>
      <c r="L6474" t="s">
        <v>40766</v>
      </c>
    </row>
    <row r="6475" spans="1:12" x14ac:dyDescent="0.25">
      <c r="A6475">
        <v>1147694</v>
      </c>
      <c r="B6475">
        <v>1147726</v>
      </c>
      <c r="D6475">
        <v>0</v>
      </c>
      <c r="E6475" t="s">
        <v>40775</v>
      </c>
      <c r="F6475" t="s">
        <v>40776</v>
      </c>
      <c r="G6475" t="s">
        <v>40777</v>
      </c>
      <c r="H6475" t="s">
        <v>40778</v>
      </c>
      <c r="I6475" t="s">
        <v>40779</v>
      </c>
      <c r="J6475" t="s">
        <v>40774</v>
      </c>
      <c r="K6475" t="s">
        <v>40780</v>
      </c>
      <c r="L6475" t="s">
        <v>40774</v>
      </c>
    </row>
    <row r="6476" spans="1:12" x14ac:dyDescent="0.25">
      <c r="A6476">
        <v>1147694</v>
      </c>
      <c r="B6476">
        <v>1161884</v>
      </c>
      <c r="D6476">
        <v>0</v>
      </c>
      <c r="E6476" t="s">
        <v>40782</v>
      </c>
      <c r="F6476" t="s">
        <v>40783</v>
      </c>
      <c r="G6476" t="s">
        <v>40784</v>
      </c>
      <c r="H6476" t="s">
        <v>40785</v>
      </c>
      <c r="I6476" t="s">
        <v>40786</v>
      </c>
      <c r="J6476" t="s">
        <v>40781</v>
      </c>
      <c r="K6476" t="s">
        <v>40787</v>
      </c>
      <c r="L6476" t="s">
        <v>40781</v>
      </c>
    </row>
    <row r="6477" spans="1:12" x14ac:dyDescent="0.25">
      <c r="A6477">
        <v>1148220</v>
      </c>
      <c r="B6477">
        <v>1148250</v>
      </c>
      <c r="D6477" t="s">
        <v>2793</v>
      </c>
      <c r="E6477" t="s">
        <v>40789</v>
      </c>
      <c r="F6477" t="s">
        <v>40790</v>
      </c>
      <c r="G6477" t="s">
        <v>40791</v>
      </c>
      <c r="H6477" t="e" vm="2828">
        <f>_FV(0,"027522973750385437")</f>
        <v>#VALUE!</v>
      </c>
      <c r="I6477" t="s">
        <v>40792</v>
      </c>
      <c r="J6477" t="s">
        <v>40793</v>
      </c>
      <c r="K6477" t="s">
        <v>40794</v>
      </c>
      <c r="L6477" t="s">
        <v>40788</v>
      </c>
    </row>
    <row r="6478" spans="1:12" x14ac:dyDescent="0.25">
      <c r="A6478">
        <v>1148250</v>
      </c>
      <c r="B6478">
        <v>936605</v>
      </c>
      <c r="D6478">
        <v>0</v>
      </c>
      <c r="F6478">
        <v>1225410</v>
      </c>
      <c r="G6478">
        <v>936605</v>
      </c>
      <c r="H6478" t="e" vm="47">
        <f>_FV(0,"016")</f>
        <v>#VALUE!</v>
      </c>
      <c r="I6478">
        <v>1148250</v>
      </c>
      <c r="J6478" t="s">
        <v>737</v>
      </c>
      <c r="K6478" t="s">
        <v>40795</v>
      </c>
      <c r="L6478" t="e" vm="47">
        <f>_FV(0,"016")</f>
        <v>#VALUE!</v>
      </c>
    </row>
    <row r="6479" spans="1:12" x14ac:dyDescent="0.25">
      <c r="A6479">
        <v>1148250</v>
      </c>
      <c r="B6479">
        <v>1213871</v>
      </c>
      <c r="D6479">
        <v>0</v>
      </c>
      <c r="E6479" t="s">
        <v>40797</v>
      </c>
      <c r="F6479" t="s">
        <v>40798</v>
      </c>
      <c r="G6479" t="s">
        <v>40799</v>
      </c>
      <c r="H6479" t="e" vm="2829">
        <f>_FV(0,"05902952859521836")</f>
        <v>#VALUE!</v>
      </c>
      <c r="I6479" t="s">
        <v>40800</v>
      </c>
      <c r="J6479" t="s">
        <v>40801</v>
      </c>
      <c r="K6479" t="s">
        <v>40802</v>
      </c>
      <c r="L6479" t="s">
        <v>40796</v>
      </c>
    </row>
    <row r="6480" spans="1:12" x14ac:dyDescent="0.25">
      <c r="A6480">
        <v>1148454</v>
      </c>
      <c r="B6480">
        <v>1552938</v>
      </c>
      <c r="D6480">
        <v>0</v>
      </c>
      <c r="F6480">
        <v>1754068</v>
      </c>
      <c r="G6480">
        <v>1552938</v>
      </c>
      <c r="H6480" t="s">
        <v>226</v>
      </c>
      <c r="I6480">
        <v>1148454</v>
      </c>
      <c r="J6480" t="s">
        <v>226</v>
      </c>
      <c r="K6480" t="s">
        <v>40803</v>
      </c>
      <c r="L6480" t="s">
        <v>226</v>
      </c>
    </row>
    <row r="6481" spans="1:12" x14ac:dyDescent="0.25">
      <c r="A6481">
        <v>1148454</v>
      </c>
      <c r="B6481">
        <v>1162183</v>
      </c>
      <c r="D6481">
        <v>0</v>
      </c>
      <c r="F6481">
        <v>1754049</v>
      </c>
      <c r="G6481">
        <v>1148454</v>
      </c>
      <c r="H6481" t="s">
        <v>8186</v>
      </c>
      <c r="I6481">
        <v>1162183</v>
      </c>
      <c r="J6481" t="s">
        <v>8186</v>
      </c>
      <c r="K6481" t="s">
        <v>40804</v>
      </c>
      <c r="L6481" t="s">
        <v>8186</v>
      </c>
    </row>
    <row r="6482" spans="1:12" x14ac:dyDescent="0.25">
      <c r="A6482">
        <v>1148885</v>
      </c>
      <c r="B6482">
        <v>1148919</v>
      </c>
      <c r="D6482">
        <v>0</v>
      </c>
      <c r="E6482" t="s">
        <v>40806</v>
      </c>
      <c r="F6482" t="s">
        <v>40807</v>
      </c>
      <c r="G6482" t="s">
        <v>40808</v>
      </c>
      <c r="H6482" t="e" vm="2830">
        <f>_FV(0,"012018314977883846")</f>
        <v>#VALUE!</v>
      </c>
      <c r="I6482" t="s">
        <v>40809</v>
      </c>
      <c r="J6482" t="s">
        <v>40810</v>
      </c>
      <c r="K6482" t="s">
        <v>40811</v>
      </c>
      <c r="L6482" t="s">
        <v>40805</v>
      </c>
    </row>
    <row r="6483" spans="1:12" x14ac:dyDescent="0.25">
      <c r="A6483">
        <v>1148885</v>
      </c>
      <c r="B6483">
        <v>1432935</v>
      </c>
      <c r="C6483" t="s">
        <v>40813</v>
      </c>
      <c r="D6483" t="s">
        <v>11226</v>
      </c>
      <c r="E6483" t="s">
        <v>40814</v>
      </c>
      <c r="F6483" t="s">
        <v>40815</v>
      </c>
      <c r="G6483" t="s">
        <v>40816</v>
      </c>
      <c r="H6483" t="s">
        <v>40817</v>
      </c>
      <c r="I6483" t="s">
        <v>40818</v>
      </c>
      <c r="J6483" t="s">
        <v>40819</v>
      </c>
      <c r="K6483" t="s">
        <v>40820</v>
      </c>
      <c r="L6483" t="s">
        <v>40812</v>
      </c>
    </row>
    <row r="6484" spans="1:12" x14ac:dyDescent="0.25">
      <c r="A6484">
        <v>1148895</v>
      </c>
      <c r="B6484">
        <v>1148925</v>
      </c>
      <c r="D6484">
        <v>0</v>
      </c>
      <c r="E6484" t="s">
        <v>40822</v>
      </c>
      <c r="F6484" t="s">
        <v>40823</v>
      </c>
      <c r="G6484" t="s">
        <v>40824</v>
      </c>
      <c r="H6484" t="e" vm="2831">
        <f>_FV(0,"01478305330265345")</f>
        <v>#VALUE!</v>
      </c>
      <c r="I6484" t="s">
        <v>40825</v>
      </c>
      <c r="J6484" t="s">
        <v>40826</v>
      </c>
      <c r="K6484" t="s">
        <v>40827</v>
      </c>
      <c r="L6484" t="s">
        <v>40821</v>
      </c>
    </row>
    <row r="6485" spans="1:12" x14ac:dyDescent="0.25">
      <c r="A6485">
        <v>1148914</v>
      </c>
      <c r="B6485">
        <v>1148927</v>
      </c>
      <c r="D6485" t="s">
        <v>27018</v>
      </c>
      <c r="E6485" t="s">
        <v>40829</v>
      </c>
      <c r="F6485" t="s">
        <v>40830</v>
      </c>
      <c r="G6485" t="s">
        <v>40831</v>
      </c>
      <c r="H6485" t="s">
        <v>40832</v>
      </c>
      <c r="I6485" t="s">
        <v>40833</v>
      </c>
      <c r="J6485" t="s">
        <v>40834</v>
      </c>
      <c r="K6485" t="s">
        <v>40835</v>
      </c>
      <c r="L6485" t="s">
        <v>40828</v>
      </c>
    </row>
    <row r="6486" spans="1:12" x14ac:dyDescent="0.25">
      <c r="A6486">
        <v>1148914</v>
      </c>
      <c r="B6486">
        <v>1148919</v>
      </c>
      <c r="D6486" t="s">
        <v>21513</v>
      </c>
      <c r="E6486" t="s">
        <v>40837</v>
      </c>
      <c r="F6486" t="s">
        <v>40838</v>
      </c>
      <c r="G6486" t="s">
        <v>40839</v>
      </c>
      <c r="H6486" t="s">
        <v>40840</v>
      </c>
      <c r="I6486" t="s">
        <v>40841</v>
      </c>
      <c r="J6486" t="s">
        <v>40842</v>
      </c>
      <c r="K6486" t="s">
        <v>40843</v>
      </c>
      <c r="L6486" t="s">
        <v>40836</v>
      </c>
    </row>
    <row r="6487" spans="1:12" x14ac:dyDescent="0.25">
      <c r="A6487">
        <v>1148925</v>
      </c>
      <c r="B6487">
        <v>1148926</v>
      </c>
      <c r="D6487" t="s">
        <v>40845</v>
      </c>
      <c r="E6487" t="s">
        <v>40846</v>
      </c>
      <c r="F6487" t="s">
        <v>40847</v>
      </c>
      <c r="G6487" t="s">
        <v>40848</v>
      </c>
      <c r="H6487" t="s">
        <v>40849</v>
      </c>
      <c r="I6487" t="s">
        <v>40850</v>
      </c>
      <c r="J6487" t="s">
        <v>40851</v>
      </c>
      <c r="K6487" t="s">
        <v>40852</v>
      </c>
      <c r="L6487" t="s">
        <v>40844</v>
      </c>
    </row>
    <row r="6488" spans="1:12" x14ac:dyDescent="0.25">
      <c r="A6488">
        <v>1148926</v>
      </c>
      <c r="B6488">
        <v>1148932</v>
      </c>
      <c r="D6488">
        <v>0</v>
      </c>
      <c r="E6488" t="s">
        <v>40854</v>
      </c>
      <c r="F6488" t="s">
        <v>40855</v>
      </c>
      <c r="G6488" t="s">
        <v>40856</v>
      </c>
      <c r="H6488" t="s">
        <v>40857</v>
      </c>
      <c r="I6488" t="s">
        <v>40858</v>
      </c>
      <c r="J6488" t="s">
        <v>40859</v>
      </c>
      <c r="K6488" t="s">
        <v>40860</v>
      </c>
      <c r="L6488" t="s">
        <v>40853</v>
      </c>
    </row>
    <row r="6489" spans="1:12" x14ac:dyDescent="0.25">
      <c r="A6489">
        <v>1148926</v>
      </c>
      <c r="B6489">
        <v>1148932</v>
      </c>
      <c r="D6489">
        <v>0</v>
      </c>
      <c r="E6489" t="s">
        <v>40862</v>
      </c>
      <c r="F6489" t="s">
        <v>40863</v>
      </c>
      <c r="G6489" t="s">
        <v>40864</v>
      </c>
      <c r="H6489" t="s">
        <v>40865</v>
      </c>
      <c r="I6489" t="s">
        <v>40866</v>
      </c>
      <c r="J6489" t="s">
        <v>40867</v>
      </c>
      <c r="K6489" t="s">
        <v>40868</v>
      </c>
      <c r="L6489" t="s">
        <v>40861</v>
      </c>
    </row>
    <row r="6490" spans="1:12" x14ac:dyDescent="0.25">
      <c r="A6490">
        <v>1148927</v>
      </c>
      <c r="B6490">
        <v>1148954</v>
      </c>
      <c r="D6490" t="s">
        <v>40870</v>
      </c>
      <c r="E6490" t="s">
        <v>40871</v>
      </c>
      <c r="F6490" t="s">
        <v>40872</v>
      </c>
      <c r="G6490" t="s">
        <v>40873</v>
      </c>
      <c r="H6490" t="e" vm="2832">
        <f>_FV(0,"004919499175960581")</f>
        <v>#VALUE!</v>
      </c>
      <c r="I6490" t="s">
        <v>40874</v>
      </c>
      <c r="J6490" t="s">
        <v>40875</v>
      </c>
      <c r="K6490" t="s">
        <v>40876</v>
      </c>
      <c r="L6490" t="s">
        <v>40869</v>
      </c>
    </row>
    <row r="6491" spans="1:12" x14ac:dyDescent="0.25">
      <c r="A6491">
        <v>1148932</v>
      </c>
      <c r="B6491">
        <v>1148942</v>
      </c>
      <c r="C6491" t="s">
        <v>40878</v>
      </c>
      <c r="D6491" t="s">
        <v>40879</v>
      </c>
      <c r="E6491" t="s">
        <v>40880</v>
      </c>
      <c r="F6491" t="s">
        <v>40881</v>
      </c>
      <c r="G6491" t="s">
        <v>40882</v>
      </c>
      <c r="H6491" t="e" vm="2833">
        <f>_FV(0,"005135273939851507")</f>
        <v>#VALUE!</v>
      </c>
      <c r="I6491" t="s">
        <v>40883</v>
      </c>
      <c r="J6491" t="s">
        <v>40884</v>
      </c>
      <c r="K6491" t="s">
        <v>40885</v>
      </c>
      <c r="L6491" t="s">
        <v>40877</v>
      </c>
    </row>
    <row r="6492" spans="1:12" x14ac:dyDescent="0.25">
      <c r="A6492">
        <v>1148942</v>
      </c>
      <c r="B6492">
        <v>1148963</v>
      </c>
      <c r="D6492">
        <v>0</v>
      </c>
      <c r="E6492" t="s">
        <v>40887</v>
      </c>
      <c r="F6492" t="s">
        <v>40888</v>
      </c>
      <c r="G6492" t="s">
        <v>40889</v>
      </c>
      <c r="H6492" t="s">
        <v>40890</v>
      </c>
      <c r="I6492" t="s">
        <v>40891</v>
      </c>
      <c r="J6492" t="s">
        <v>40892</v>
      </c>
      <c r="K6492" t="s">
        <v>40893</v>
      </c>
      <c r="L6492" t="s">
        <v>40886</v>
      </c>
    </row>
    <row r="6493" spans="1:12" x14ac:dyDescent="0.25">
      <c r="A6493">
        <v>1149413</v>
      </c>
      <c r="B6493">
        <v>1149433</v>
      </c>
      <c r="C6493" t="s">
        <v>40895</v>
      </c>
      <c r="D6493" t="s">
        <v>7856</v>
      </c>
      <c r="E6493" t="s">
        <v>40896</v>
      </c>
      <c r="F6493" t="s">
        <v>40897</v>
      </c>
      <c r="G6493" t="s">
        <v>40898</v>
      </c>
      <c r="H6493" t="s">
        <v>40899</v>
      </c>
      <c r="I6493" t="s">
        <v>40900</v>
      </c>
      <c r="J6493" t="s">
        <v>40901</v>
      </c>
      <c r="K6493" t="s">
        <v>40902</v>
      </c>
      <c r="L6493" t="s">
        <v>40894</v>
      </c>
    </row>
    <row r="6494" spans="1:12" x14ac:dyDescent="0.25">
      <c r="A6494">
        <v>1149413</v>
      </c>
      <c r="B6494">
        <v>893431</v>
      </c>
      <c r="D6494" t="s">
        <v>15620</v>
      </c>
      <c r="E6494" t="s">
        <v>40904</v>
      </c>
      <c r="F6494" t="s">
        <v>40905</v>
      </c>
      <c r="G6494" t="s">
        <v>40906</v>
      </c>
      <c r="H6494" t="s">
        <v>40907</v>
      </c>
      <c r="I6494" t="s">
        <v>40908</v>
      </c>
      <c r="J6494" t="s">
        <v>40909</v>
      </c>
      <c r="K6494" t="s">
        <v>40910</v>
      </c>
      <c r="L6494" t="s">
        <v>40903</v>
      </c>
    </row>
    <row r="6495" spans="1:12" x14ac:dyDescent="0.25">
      <c r="A6495">
        <v>1150681</v>
      </c>
      <c r="B6495">
        <v>1153772</v>
      </c>
      <c r="D6495">
        <v>0</v>
      </c>
      <c r="E6495" t="s">
        <v>40912</v>
      </c>
      <c r="F6495" t="s">
        <v>40913</v>
      </c>
      <c r="G6495" t="s">
        <v>40914</v>
      </c>
      <c r="H6495" t="s">
        <v>40915</v>
      </c>
      <c r="I6495" t="s">
        <v>40916</v>
      </c>
      <c r="J6495" t="s">
        <v>40917</v>
      </c>
      <c r="K6495" t="s">
        <v>40918</v>
      </c>
      <c r="L6495" t="s">
        <v>40911</v>
      </c>
    </row>
    <row r="6496" spans="1:12" x14ac:dyDescent="0.25">
      <c r="A6496">
        <v>1150681</v>
      </c>
      <c r="B6496">
        <v>1153836</v>
      </c>
      <c r="D6496">
        <v>0</v>
      </c>
      <c r="E6496" t="s">
        <v>40920</v>
      </c>
      <c r="F6496" t="s">
        <v>40921</v>
      </c>
      <c r="G6496" t="s">
        <v>40922</v>
      </c>
      <c r="H6496" t="s">
        <v>40923</v>
      </c>
      <c r="I6496" t="s">
        <v>40924</v>
      </c>
      <c r="J6496" t="s">
        <v>40925</v>
      </c>
      <c r="K6496" t="s">
        <v>40926</v>
      </c>
      <c r="L6496" t="s">
        <v>40919</v>
      </c>
    </row>
    <row r="6497" spans="1:12" x14ac:dyDescent="0.25">
      <c r="A6497">
        <v>1150928</v>
      </c>
      <c r="B6497">
        <v>1151758</v>
      </c>
      <c r="D6497">
        <v>0</v>
      </c>
      <c r="F6497">
        <v>1753932</v>
      </c>
      <c r="G6497">
        <v>1151758</v>
      </c>
      <c r="H6497" t="s">
        <v>1939</v>
      </c>
      <c r="I6497">
        <v>1150928</v>
      </c>
      <c r="J6497" t="s">
        <v>1939</v>
      </c>
      <c r="K6497" t="s">
        <v>40927</v>
      </c>
      <c r="L6497" t="s">
        <v>1939</v>
      </c>
    </row>
    <row r="6498" spans="1:12" x14ac:dyDescent="0.25">
      <c r="A6498">
        <v>1150928</v>
      </c>
      <c r="B6498">
        <v>1153852</v>
      </c>
      <c r="D6498">
        <v>0</v>
      </c>
      <c r="E6498" t="s">
        <v>40929</v>
      </c>
      <c r="F6498" t="s">
        <v>40930</v>
      </c>
      <c r="G6498" t="s">
        <v>40931</v>
      </c>
      <c r="H6498" t="e" vm="2834">
        <f>_FV(0,"0033893733340243978")</f>
        <v>#VALUE!</v>
      </c>
      <c r="I6498" t="s">
        <v>40932</v>
      </c>
      <c r="J6498" t="s">
        <v>40933</v>
      </c>
      <c r="K6498" t="s">
        <v>40934</v>
      </c>
      <c r="L6498" t="s">
        <v>40928</v>
      </c>
    </row>
    <row r="6499" spans="1:12" x14ac:dyDescent="0.25">
      <c r="A6499">
        <v>1151036</v>
      </c>
      <c r="B6499">
        <v>1209013</v>
      </c>
      <c r="D6499">
        <v>0</v>
      </c>
      <c r="E6499" t="s">
        <v>40936</v>
      </c>
      <c r="F6499" t="s">
        <v>40937</v>
      </c>
      <c r="G6499" t="s">
        <v>40938</v>
      </c>
      <c r="H6499" t="e" vm="2835">
        <f>_FV(0,"019593436212499295")</f>
        <v>#VALUE!</v>
      </c>
      <c r="I6499" t="s">
        <v>40939</v>
      </c>
      <c r="J6499" t="s">
        <v>40940</v>
      </c>
      <c r="K6499" t="s">
        <v>40941</v>
      </c>
      <c r="L6499" t="s">
        <v>40935</v>
      </c>
    </row>
    <row r="6500" spans="1:12" x14ac:dyDescent="0.25">
      <c r="A6500">
        <v>1151036</v>
      </c>
      <c r="B6500">
        <v>1151061</v>
      </c>
      <c r="D6500">
        <v>0</v>
      </c>
      <c r="E6500" t="s">
        <v>40943</v>
      </c>
      <c r="F6500" t="s">
        <v>40944</v>
      </c>
      <c r="G6500" t="s">
        <v>40945</v>
      </c>
      <c r="H6500" t="e" vm="2836">
        <f>_FV(0,"012362808198498403")</f>
        <v>#VALUE!</v>
      </c>
      <c r="I6500" t="s">
        <v>40946</v>
      </c>
      <c r="J6500" t="s">
        <v>40947</v>
      </c>
      <c r="K6500" t="s">
        <v>40948</v>
      </c>
      <c r="L6500" t="s">
        <v>40942</v>
      </c>
    </row>
    <row r="6501" spans="1:12" x14ac:dyDescent="0.25">
      <c r="A6501">
        <v>1151036</v>
      </c>
      <c r="B6501">
        <v>1209004</v>
      </c>
      <c r="D6501">
        <v>0</v>
      </c>
      <c r="E6501" t="s">
        <v>40950</v>
      </c>
      <c r="F6501" t="s">
        <v>40951</v>
      </c>
      <c r="G6501" t="s">
        <v>40952</v>
      </c>
      <c r="H6501" t="s">
        <v>40953</v>
      </c>
      <c r="I6501" t="s">
        <v>40954</v>
      </c>
      <c r="J6501" t="s">
        <v>40955</v>
      </c>
      <c r="K6501" t="s">
        <v>40956</v>
      </c>
      <c r="L6501" t="s">
        <v>40949</v>
      </c>
    </row>
    <row r="6502" spans="1:12" x14ac:dyDescent="0.25">
      <c r="A6502">
        <v>1151061</v>
      </c>
      <c r="B6502">
        <v>1234048</v>
      </c>
      <c r="D6502">
        <v>0</v>
      </c>
      <c r="E6502" t="s">
        <v>40958</v>
      </c>
      <c r="F6502" t="s">
        <v>40959</v>
      </c>
      <c r="G6502" t="s">
        <v>40960</v>
      </c>
      <c r="H6502" t="e" vm="2837">
        <f>_FV(0,"018580479370971317")</f>
        <v>#VALUE!</v>
      </c>
      <c r="I6502" t="s">
        <v>40961</v>
      </c>
      <c r="J6502" t="s">
        <v>40962</v>
      </c>
      <c r="K6502" t="s">
        <v>40963</v>
      </c>
      <c r="L6502" t="s">
        <v>40957</v>
      </c>
    </row>
    <row r="6503" spans="1:12" x14ac:dyDescent="0.25">
      <c r="A6503">
        <v>1151061</v>
      </c>
      <c r="B6503">
        <v>1218525</v>
      </c>
      <c r="D6503">
        <v>0</v>
      </c>
      <c r="E6503" t="s">
        <v>40965</v>
      </c>
      <c r="F6503" t="s">
        <v>40966</v>
      </c>
      <c r="G6503" t="s">
        <v>40967</v>
      </c>
      <c r="H6503" t="e" vm="2838">
        <f>_FV(0,"11522221638766768")</f>
        <v>#VALUE!</v>
      </c>
      <c r="I6503" t="s">
        <v>40968</v>
      </c>
      <c r="J6503" t="s">
        <v>40969</v>
      </c>
      <c r="K6503" t="s">
        <v>40970</v>
      </c>
      <c r="L6503" t="s">
        <v>40964</v>
      </c>
    </row>
    <row r="6504" spans="1:12" x14ac:dyDescent="0.25">
      <c r="A6504">
        <v>1151758</v>
      </c>
      <c r="B6504">
        <v>1153829</v>
      </c>
      <c r="D6504">
        <v>0</v>
      </c>
      <c r="E6504" t="s">
        <v>40972</v>
      </c>
      <c r="F6504" t="s">
        <v>40973</v>
      </c>
      <c r="G6504" t="s">
        <v>40974</v>
      </c>
      <c r="H6504" t="e" vm="2839">
        <f>_FV(0,"009623756229739377")</f>
        <v>#VALUE!</v>
      </c>
      <c r="I6504" t="s">
        <v>40975</v>
      </c>
      <c r="J6504" t="s">
        <v>40976</v>
      </c>
      <c r="K6504" t="s">
        <v>40977</v>
      </c>
      <c r="L6504" t="s">
        <v>40971</v>
      </c>
    </row>
    <row r="6505" spans="1:12" x14ac:dyDescent="0.25">
      <c r="A6505">
        <v>1152434</v>
      </c>
      <c r="B6505">
        <v>933626</v>
      </c>
      <c r="D6505">
        <v>0</v>
      </c>
      <c r="E6505" t="s">
        <v>40979</v>
      </c>
      <c r="F6505" t="s">
        <v>40980</v>
      </c>
      <c r="G6505" t="s">
        <v>40981</v>
      </c>
      <c r="H6505" t="e" vm="2840">
        <f>_FV(0,"011902564939028299")</f>
        <v>#VALUE!</v>
      </c>
      <c r="I6505" t="s">
        <v>40982</v>
      </c>
      <c r="J6505" t="s">
        <v>24949</v>
      </c>
      <c r="K6505" t="s">
        <v>40983</v>
      </c>
      <c r="L6505" t="s">
        <v>40978</v>
      </c>
    </row>
    <row r="6506" spans="1:12" x14ac:dyDescent="0.25">
      <c r="A6506">
        <v>1152434</v>
      </c>
      <c r="B6506">
        <v>1153752</v>
      </c>
      <c r="D6506">
        <v>0</v>
      </c>
      <c r="E6506" t="s">
        <v>40985</v>
      </c>
      <c r="F6506" t="s">
        <v>40986</v>
      </c>
      <c r="G6506" t="s">
        <v>40987</v>
      </c>
      <c r="H6506" t="s">
        <v>40988</v>
      </c>
      <c r="I6506" t="s">
        <v>40989</v>
      </c>
      <c r="J6506" t="s">
        <v>40990</v>
      </c>
      <c r="K6506" t="s">
        <v>40991</v>
      </c>
      <c r="L6506" t="s">
        <v>40984</v>
      </c>
    </row>
    <row r="6507" spans="1:12" x14ac:dyDescent="0.25">
      <c r="A6507">
        <v>1152773</v>
      </c>
      <c r="B6507">
        <v>1166912</v>
      </c>
      <c r="D6507" t="s">
        <v>2086</v>
      </c>
      <c r="E6507" t="s">
        <v>40993</v>
      </c>
      <c r="F6507" t="s">
        <v>40994</v>
      </c>
      <c r="G6507" t="s">
        <v>40995</v>
      </c>
      <c r="H6507" t="e" vm="2841">
        <f>_FV(0,"04841638402365979")</f>
        <v>#VALUE!</v>
      </c>
      <c r="I6507" t="s">
        <v>40996</v>
      </c>
      <c r="J6507" t="s">
        <v>40997</v>
      </c>
      <c r="K6507" t="s">
        <v>40998</v>
      </c>
      <c r="L6507" t="s">
        <v>40992</v>
      </c>
    </row>
    <row r="6508" spans="1:12" x14ac:dyDescent="0.25">
      <c r="A6508">
        <v>1153147</v>
      </c>
      <c r="B6508">
        <v>1153154</v>
      </c>
      <c r="D6508" t="s">
        <v>1119</v>
      </c>
      <c r="E6508" t="s">
        <v>41000</v>
      </c>
      <c r="F6508" t="s">
        <v>41001</v>
      </c>
      <c r="G6508" t="s">
        <v>41002</v>
      </c>
      <c r="H6508" t="s">
        <v>41003</v>
      </c>
      <c r="I6508" t="s">
        <v>41004</v>
      </c>
      <c r="J6508" t="s">
        <v>41005</v>
      </c>
      <c r="K6508" t="s">
        <v>41006</v>
      </c>
      <c r="L6508" t="s">
        <v>40999</v>
      </c>
    </row>
    <row r="6509" spans="1:12" x14ac:dyDescent="0.25">
      <c r="A6509">
        <v>1153147</v>
      </c>
      <c r="B6509">
        <v>1153759</v>
      </c>
      <c r="D6509">
        <v>0</v>
      </c>
      <c r="E6509" t="s">
        <v>41008</v>
      </c>
      <c r="F6509" t="s">
        <v>41009</v>
      </c>
      <c r="G6509" t="s">
        <v>41010</v>
      </c>
      <c r="H6509" t="s">
        <v>41011</v>
      </c>
      <c r="I6509" t="s">
        <v>41012</v>
      </c>
      <c r="J6509" t="s">
        <v>41013</v>
      </c>
      <c r="K6509" t="s">
        <v>41014</v>
      </c>
      <c r="L6509" t="s">
        <v>41007</v>
      </c>
    </row>
    <row r="6510" spans="1:12" x14ac:dyDescent="0.25">
      <c r="A6510">
        <v>1153154</v>
      </c>
      <c r="B6510">
        <v>933654</v>
      </c>
      <c r="D6510" t="s">
        <v>715</v>
      </c>
      <c r="E6510" t="s">
        <v>41016</v>
      </c>
      <c r="F6510" t="s">
        <v>41017</v>
      </c>
      <c r="G6510" t="s">
        <v>41018</v>
      </c>
      <c r="H6510" t="s">
        <v>41019</v>
      </c>
      <c r="I6510" t="s">
        <v>41020</v>
      </c>
      <c r="J6510" t="s">
        <v>41015</v>
      </c>
      <c r="K6510" t="s">
        <v>41021</v>
      </c>
      <c r="L6510" t="s">
        <v>41015</v>
      </c>
    </row>
    <row r="6511" spans="1:12" x14ac:dyDescent="0.25">
      <c r="A6511">
        <v>1153154</v>
      </c>
      <c r="B6511">
        <v>933642</v>
      </c>
      <c r="D6511" t="s">
        <v>715</v>
      </c>
      <c r="E6511" t="s">
        <v>41023</v>
      </c>
      <c r="F6511" t="s">
        <v>41024</v>
      </c>
      <c r="G6511" t="s">
        <v>41025</v>
      </c>
      <c r="H6511" t="s">
        <v>41026</v>
      </c>
      <c r="I6511" t="s">
        <v>41027</v>
      </c>
      <c r="J6511" t="s">
        <v>41022</v>
      </c>
      <c r="K6511" t="s">
        <v>41028</v>
      </c>
      <c r="L6511" t="s">
        <v>41022</v>
      </c>
    </row>
    <row r="6512" spans="1:12" x14ac:dyDescent="0.25">
      <c r="A6512">
        <v>1153752</v>
      </c>
      <c r="B6512">
        <v>1153829</v>
      </c>
      <c r="D6512" t="s">
        <v>2086</v>
      </c>
      <c r="E6512" t="s">
        <v>41030</v>
      </c>
      <c r="F6512" t="s">
        <v>41031</v>
      </c>
      <c r="G6512" t="s">
        <v>41032</v>
      </c>
      <c r="H6512" t="e" vm="2842">
        <f>_FV(0,"007302374417245186")</f>
        <v>#VALUE!</v>
      </c>
      <c r="I6512" t="s">
        <v>41033</v>
      </c>
      <c r="J6512" t="s">
        <v>41034</v>
      </c>
      <c r="K6512" t="s">
        <v>41035</v>
      </c>
      <c r="L6512" t="s">
        <v>41029</v>
      </c>
    </row>
    <row r="6513" spans="1:12" x14ac:dyDescent="0.25">
      <c r="A6513">
        <v>1153759</v>
      </c>
      <c r="B6513">
        <v>1153772</v>
      </c>
      <c r="D6513" t="s">
        <v>204</v>
      </c>
      <c r="E6513" t="s">
        <v>41037</v>
      </c>
      <c r="F6513" t="s">
        <v>41038</v>
      </c>
      <c r="G6513" t="s">
        <v>41039</v>
      </c>
      <c r="H6513" t="e" vm="2843">
        <f>_FV(0,"02344052548955099")</f>
        <v>#VALUE!</v>
      </c>
      <c r="I6513" t="s">
        <v>41040</v>
      </c>
      <c r="J6513" t="s">
        <v>41041</v>
      </c>
      <c r="K6513" t="s">
        <v>41042</v>
      </c>
      <c r="L6513" t="s">
        <v>41036</v>
      </c>
    </row>
    <row r="6514" spans="1:12" x14ac:dyDescent="0.25">
      <c r="A6514">
        <v>1153772</v>
      </c>
      <c r="B6514">
        <v>1153836</v>
      </c>
      <c r="D6514">
        <v>0</v>
      </c>
      <c r="E6514" t="s">
        <v>41044</v>
      </c>
      <c r="F6514" t="s">
        <v>41045</v>
      </c>
      <c r="G6514" t="s">
        <v>41046</v>
      </c>
      <c r="H6514" t="s">
        <v>41047</v>
      </c>
      <c r="I6514" t="s">
        <v>41048</v>
      </c>
      <c r="J6514" t="s">
        <v>41043</v>
      </c>
      <c r="K6514" t="s">
        <v>41049</v>
      </c>
      <c r="L6514" t="s">
        <v>41043</v>
      </c>
    </row>
    <row r="6515" spans="1:12" x14ac:dyDescent="0.25">
      <c r="A6515">
        <v>1153829</v>
      </c>
      <c r="B6515">
        <v>1153852</v>
      </c>
      <c r="D6515">
        <v>0</v>
      </c>
      <c r="E6515" t="s">
        <v>41051</v>
      </c>
      <c r="F6515" t="s">
        <v>41052</v>
      </c>
      <c r="G6515" t="s">
        <v>41053</v>
      </c>
      <c r="H6515" t="s">
        <v>41054</v>
      </c>
      <c r="I6515" t="s">
        <v>41055</v>
      </c>
      <c r="J6515" t="s">
        <v>41050</v>
      </c>
      <c r="K6515" t="s">
        <v>41056</v>
      </c>
      <c r="L6515" t="s">
        <v>41050</v>
      </c>
    </row>
    <row r="6516" spans="1:12" x14ac:dyDescent="0.25">
      <c r="A6516">
        <v>1153836</v>
      </c>
      <c r="B6516">
        <v>1153865</v>
      </c>
      <c r="D6516">
        <v>0</v>
      </c>
      <c r="E6516" t="s">
        <v>41058</v>
      </c>
      <c r="F6516" t="s">
        <v>41059</v>
      </c>
      <c r="G6516" t="s">
        <v>41060</v>
      </c>
      <c r="H6516" t="s">
        <v>41061</v>
      </c>
      <c r="I6516" t="s">
        <v>41062</v>
      </c>
      <c r="J6516" t="s">
        <v>41063</v>
      </c>
      <c r="K6516" t="s">
        <v>41064</v>
      </c>
      <c r="L6516" t="s">
        <v>41057</v>
      </c>
    </row>
    <row r="6517" spans="1:12" x14ac:dyDescent="0.25">
      <c r="A6517">
        <v>1153852</v>
      </c>
      <c r="B6517">
        <v>1153906</v>
      </c>
      <c r="D6517">
        <v>0</v>
      </c>
      <c r="E6517" t="s">
        <v>41066</v>
      </c>
      <c r="F6517" t="s">
        <v>41067</v>
      </c>
      <c r="G6517" t="s">
        <v>41068</v>
      </c>
      <c r="H6517" t="s">
        <v>41069</v>
      </c>
      <c r="I6517" t="s">
        <v>41070</v>
      </c>
      <c r="J6517" t="s">
        <v>41071</v>
      </c>
      <c r="K6517" t="s">
        <v>41072</v>
      </c>
      <c r="L6517" t="s">
        <v>41065</v>
      </c>
    </row>
    <row r="6518" spans="1:12" x14ac:dyDescent="0.25">
      <c r="A6518">
        <v>1155893</v>
      </c>
      <c r="B6518">
        <v>1155909</v>
      </c>
      <c r="D6518">
        <v>0</v>
      </c>
      <c r="E6518" t="s">
        <v>41074</v>
      </c>
      <c r="F6518" t="s">
        <v>41075</v>
      </c>
      <c r="G6518" t="s">
        <v>41076</v>
      </c>
      <c r="H6518" t="s">
        <v>41077</v>
      </c>
      <c r="I6518" t="s">
        <v>41078</v>
      </c>
      <c r="J6518" t="s">
        <v>41079</v>
      </c>
      <c r="K6518" t="s">
        <v>41080</v>
      </c>
      <c r="L6518" t="s">
        <v>41073</v>
      </c>
    </row>
    <row r="6519" spans="1:12" x14ac:dyDescent="0.25">
      <c r="A6519">
        <v>1155893</v>
      </c>
      <c r="B6519">
        <v>1155909</v>
      </c>
      <c r="D6519">
        <v>0</v>
      </c>
      <c r="E6519" t="s">
        <v>41082</v>
      </c>
      <c r="F6519" t="s">
        <v>41083</v>
      </c>
      <c r="G6519" t="s">
        <v>41084</v>
      </c>
      <c r="H6519" t="s">
        <v>41085</v>
      </c>
      <c r="I6519" t="s">
        <v>41086</v>
      </c>
      <c r="J6519" t="s">
        <v>41087</v>
      </c>
      <c r="K6519" t="s">
        <v>41088</v>
      </c>
      <c r="L6519" t="s">
        <v>41081</v>
      </c>
    </row>
    <row r="6520" spans="1:12" x14ac:dyDescent="0.25">
      <c r="A6520">
        <v>1155909</v>
      </c>
      <c r="B6520">
        <v>1204262</v>
      </c>
      <c r="D6520">
        <v>0</v>
      </c>
      <c r="F6520">
        <v>1290977</v>
      </c>
      <c r="G6520">
        <v>1204262</v>
      </c>
      <c r="H6520" t="s">
        <v>41089</v>
      </c>
      <c r="I6520">
        <v>1155909</v>
      </c>
      <c r="J6520" t="s">
        <v>41089</v>
      </c>
      <c r="K6520" t="s">
        <v>41090</v>
      </c>
      <c r="L6520" t="s">
        <v>41089</v>
      </c>
    </row>
    <row r="6521" spans="1:12" x14ac:dyDescent="0.25">
      <c r="A6521">
        <v>1156038</v>
      </c>
      <c r="B6521">
        <v>1156045</v>
      </c>
      <c r="D6521">
        <v>0</v>
      </c>
      <c r="F6521">
        <v>1234727</v>
      </c>
      <c r="G6521">
        <v>1156045</v>
      </c>
      <c r="H6521" t="s">
        <v>4848</v>
      </c>
      <c r="I6521">
        <v>1156038</v>
      </c>
      <c r="J6521" t="s">
        <v>4848</v>
      </c>
      <c r="K6521" t="s">
        <v>41091</v>
      </c>
      <c r="L6521" t="s">
        <v>4848</v>
      </c>
    </row>
    <row r="6522" spans="1:12" x14ac:dyDescent="0.25">
      <c r="A6522">
        <v>1156038</v>
      </c>
      <c r="B6522">
        <v>1834979</v>
      </c>
      <c r="D6522">
        <v>0</v>
      </c>
      <c r="E6522" t="s">
        <v>41093</v>
      </c>
      <c r="F6522" t="s">
        <v>41094</v>
      </c>
      <c r="G6522" t="s">
        <v>41095</v>
      </c>
      <c r="H6522" t="e" vm="2844">
        <f>_FV(0,"008711671439776499")</f>
        <v>#VALUE!</v>
      </c>
      <c r="I6522" t="s">
        <v>41096</v>
      </c>
      <c r="J6522" t="s">
        <v>41097</v>
      </c>
      <c r="K6522" t="s">
        <v>41098</v>
      </c>
      <c r="L6522" t="s">
        <v>41092</v>
      </c>
    </row>
    <row r="6523" spans="1:12" x14ac:dyDescent="0.25">
      <c r="A6523">
        <v>1156045</v>
      </c>
      <c r="B6523">
        <v>1156058</v>
      </c>
      <c r="D6523">
        <v>0</v>
      </c>
      <c r="E6523" t="s">
        <v>41100</v>
      </c>
      <c r="F6523" t="s">
        <v>41101</v>
      </c>
      <c r="G6523" t="s">
        <v>41102</v>
      </c>
      <c r="H6523" t="e" vm="2845">
        <f>_FV(0,"00909514051815293")</f>
        <v>#VALUE!</v>
      </c>
      <c r="I6523" t="s">
        <v>41103</v>
      </c>
      <c r="J6523" t="s">
        <v>41104</v>
      </c>
      <c r="K6523" t="s">
        <v>41105</v>
      </c>
      <c r="L6523" t="s">
        <v>41099</v>
      </c>
    </row>
    <row r="6524" spans="1:12" x14ac:dyDescent="0.25">
      <c r="A6524">
        <v>1156045</v>
      </c>
      <c r="B6524">
        <v>1716117</v>
      </c>
      <c r="D6524">
        <v>0</v>
      </c>
      <c r="E6524" t="s">
        <v>41107</v>
      </c>
      <c r="F6524" t="s">
        <v>41108</v>
      </c>
      <c r="G6524" t="s">
        <v>41109</v>
      </c>
      <c r="H6524" t="e" vm="2846">
        <f>_FV(0,"09197084461702766")</f>
        <v>#VALUE!</v>
      </c>
      <c r="I6524" t="s">
        <v>41110</v>
      </c>
      <c r="J6524" t="s">
        <v>41111</v>
      </c>
      <c r="K6524" t="s">
        <v>41112</v>
      </c>
      <c r="L6524" t="s">
        <v>41106</v>
      </c>
    </row>
    <row r="6525" spans="1:12" x14ac:dyDescent="0.25">
      <c r="A6525">
        <v>1156057</v>
      </c>
      <c r="B6525">
        <v>1156058</v>
      </c>
      <c r="D6525">
        <v>0</v>
      </c>
      <c r="F6525">
        <v>1234737</v>
      </c>
      <c r="G6525">
        <v>1156058</v>
      </c>
      <c r="H6525" t="s">
        <v>187</v>
      </c>
      <c r="I6525">
        <v>1156057</v>
      </c>
      <c r="J6525" t="s">
        <v>187</v>
      </c>
      <c r="K6525" t="s">
        <v>41113</v>
      </c>
      <c r="L6525" t="s">
        <v>187</v>
      </c>
    </row>
    <row r="6526" spans="1:12" x14ac:dyDescent="0.25">
      <c r="A6526">
        <v>1156136</v>
      </c>
      <c r="B6526">
        <v>1835024</v>
      </c>
      <c r="D6526">
        <v>0</v>
      </c>
      <c r="E6526" t="s">
        <v>41115</v>
      </c>
      <c r="F6526" t="s">
        <v>41116</v>
      </c>
      <c r="G6526" t="s">
        <v>41117</v>
      </c>
      <c r="H6526" t="e" vm="2847">
        <f>_FV(0,"03150292871665544")</f>
        <v>#VALUE!</v>
      </c>
      <c r="I6526" t="s">
        <v>41118</v>
      </c>
      <c r="J6526" t="s">
        <v>41119</v>
      </c>
      <c r="K6526" t="s">
        <v>41120</v>
      </c>
      <c r="L6526" t="s">
        <v>41114</v>
      </c>
    </row>
    <row r="6527" spans="1:12" x14ac:dyDescent="0.25">
      <c r="A6527">
        <v>1159929</v>
      </c>
      <c r="B6527">
        <v>1159969</v>
      </c>
      <c r="D6527">
        <v>0</v>
      </c>
      <c r="E6527" t="s">
        <v>41122</v>
      </c>
      <c r="F6527" t="s">
        <v>41123</v>
      </c>
      <c r="G6527" t="s">
        <v>41124</v>
      </c>
      <c r="H6527" t="e" vm="2848">
        <f>_FV(0,"04266597924502377")</f>
        <v>#VALUE!</v>
      </c>
      <c r="I6527" t="s">
        <v>41125</v>
      </c>
      <c r="J6527" t="s">
        <v>41126</v>
      </c>
      <c r="K6527" t="s">
        <v>41127</v>
      </c>
      <c r="L6527" t="s">
        <v>41121</v>
      </c>
    </row>
    <row r="6528" spans="1:12" x14ac:dyDescent="0.25">
      <c r="A6528">
        <v>1159995</v>
      </c>
      <c r="B6528">
        <v>1502661</v>
      </c>
      <c r="D6528">
        <v>0</v>
      </c>
      <c r="E6528" t="s">
        <v>41129</v>
      </c>
      <c r="F6528" t="s">
        <v>41130</v>
      </c>
      <c r="G6528" t="s">
        <v>41131</v>
      </c>
      <c r="H6528" t="e" vm="2849">
        <f>_FV(0,"014006976430225122")</f>
        <v>#VALUE!</v>
      </c>
      <c r="I6528" t="s">
        <v>41132</v>
      </c>
      <c r="J6528" t="s">
        <v>41133</v>
      </c>
      <c r="K6528" t="s">
        <v>41134</v>
      </c>
      <c r="L6528" t="s">
        <v>41128</v>
      </c>
    </row>
    <row r="6529" spans="1:12" x14ac:dyDescent="0.25">
      <c r="A6529">
        <v>1160005</v>
      </c>
      <c r="B6529">
        <v>1361096</v>
      </c>
      <c r="C6529" t="s">
        <v>41136</v>
      </c>
      <c r="D6529" t="s">
        <v>41137</v>
      </c>
      <c r="E6529" t="s">
        <v>41138</v>
      </c>
      <c r="F6529" t="s">
        <v>41139</v>
      </c>
      <c r="G6529" t="s">
        <v>41140</v>
      </c>
      <c r="H6529" t="e" vm="2850">
        <f>_FV(0,"0007976214317250269")</f>
        <v>#VALUE!</v>
      </c>
      <c r="I6529" t="s">
        <v>41141</v>
      </c>
      <c r="J6529" t="s">
        <v>41142</v>
      </c>
      <c r="K6529" t="s">
        <v>41143</v>
      </c>
      <c r="L6529" t="s">
        <v>41135</v>
      </c>
    </row>
    <row r="6530" spans="1:12" x14ac:dyDescent="0.25">
      <c r="A6530">
        <v>1160005</v>
      </c>
      <c r="B6530">
        <v>1502634</v>
      </c>
      <c r="D6530" t="s">
        <v>514</v>
      </c>
      <c r="E6530" t="s">
        <v>41145</v>
      </c>
      <c r="F6530" t="s">
        <v>41146</v>
      </c>
      <c r="G6530" t="s">
        <v>41147</v>
      </c>
      <c r="H6530" t="s">
        <v>41148</v>
      </c>
      <c r="I6530" t="s">
        <v>41149</v>
      </c>
      <c r="J6530" t="s">
        <v>41150</v>
      </c>
      <c r="K6530" t="s">
        <v>41151</v>
      </c>
      <c r="L6530" t="s">
        <v>41144</v>
      </c>
    </row>
    <row r="6531" spans="1:12" x14ac:dyDescent="0.25">
      <c r="A6531">
        <v>1160031</v>
      </c>
      <c r="B6531">
        <v>1229505</v>
      </c>
      <c r="D6531">
        <v>0</v>
      </c>
      <c r="E6531" t="s">
        <v>41153</v>
      </c>
      <c r="F6531" t="s">
        <v>41154</v>
      </c>
      <c r="G6531" t="s">
        <v>41155</v>
      </c>
      <c r="H6531" t="e" vm="2851">
        <f>_FV(0,"09248222700016334")</f>
        <v>#VALUE!</v>
      </c>
      <c r="I6531" t="s">
        <v>41156</v>
      </c>
      <c r="J6531" t="s">
        <v>41157</v>
      </c>
      <c r="K6531" t="s">
        <v>41158</v>
      </c>
      <c r="L6531" t="s">
        <v>41152</v>
      </c>
    </row>
    <row r="6532" spans="1:12" x14ac:dyDescent="0.25">
      <c r="A6532">
        <v>1160095</v>
      </c>
      <c r="B6532">
        <v>1285447</v>
      </c>
      <c r="D6532" t="s">
        <v>41160</v>
      </c>
      <c r="E6532" t="s">
        <v>41161</v>
      </c>
      <c r="F6532" t="s">
        <v>41162</v>
      </c>
      <c r="G6532" t="s">
        <v>41163</v>
      </c>
      <c r="H6532" t="e" vm="2852">
        <f>_FV(-3,"730780260987883e")-5</f>
        <v>#VALUE!</v>
      </c>
      <c r="I6532" t="s">
        <v>41164</v>
      </c>
      <c r="J6532" t="s">
        <v>41165</v>
      </c>
      <c r="K6532" t="s">
        <v>41166</v>
      </c>
      <c r="L6532" t="s">
        <v>41159</v>
      </c>
    </row>
    <row r="6533" spans="1:12" x14ac:dyDescent="0.25">
      <c r="A6533">
        <v>1160095</v>
      </c>
      <c r="B6533">
        <v>1517822</v>
      </c>
      <c r="D6533" t="s">
        <v>41168</v>
      </c>
      <c r="E6533" t="s">
        <v>41169</v>
      </c>
      <c r="F6533" t="s">
        <v>41170</v>
      </c>
      <c r="G6533" t="s">
        <v>41171</v>
      </c>
      <c r="H6533" t="e" vm="2853">
        <f>_FV(0,"004926993292558857")</f>
        <v>#VALUE!</v>
      </c>
      <c r="I6533" t="s">
        <v>41172</v>
      </c>
      <c r="J6533" t="s">
        <v>41173</v>
      </c>
      <c r="K6533" t="s">
        <v>41174</v>
      </c>
      <c r="L6533" t="s">
        <v>41167</v>
      </c>
    </row>
    <row r="6534" spans="1:12" x14ac:dyDescent="0.25">
      <c r="A6534">
        <v>1160095</v>
      </c>
      <c r="B6534">
        <v>1602649</v>
      </c>
      <c r="D6534" t="s">
        <v>1307</v>
      </c>
      <c r="E6534" t="s">
        <v>41176</v>
      </c>
      <c r="F6534" t="s">
        <v>41177</v>
      </c>
      <c r="G6534" t="s">
        <v>41178</v>
      </c>
      <c r="H6534" t="e" vm="2854">
        <f>_FV(0,"030059727390785013")</f>
        <v>#VALUE!</v>
      </c>
      <c r="I6534" t="s">
        <v>41179</v>
      </c>
      <c r="J6534" t="s">
        <v>41180</v>
      </c>
      <c r="K6534" t="s">
        <v>41181</v>
      </c>
      <c r="L6534" t="s">
        <v>41175</v>
      </c>
    </row>
    <row r="6535" spans="1:12" x14ac:dyDescent="0.25">
      <c r="A6535">
        <v>1160201</v>
      </c>
      <c r="B6535">
        <v>1229693</v>
      </c>
      <c r="D6535">
        <v>0</v>
      </c>
      <c r="E6535" t="s">
        <v>41183</v>
      </c>
      <c r="F6535" t="s">
        <v>41184</v>
      </c>
      <c r="G6535" t="s">
        <v>41185</v>
      </c>
      <c r="H6535" t="s">
        <v>41186</v>
      </c>
      <c r="I6535" t="s">
        <v>41187</v>
      </c>
      <c r="J6535" t="s">
        <v>41182</v>
      </c>
      <c r="K6535" t="s">
        <v>41188</v>
      </c>
      <c r="L6535" t="s">
        <v>41182</v>
      </c>
    </row>
    <row r="6536" spans="1:12" x14ac:dyDescent="0.25">
      <c r="A6536">
        <v>441738</v>
      </c>
      <c r="B6536">
        <v>1204262</v>
      </c>
      <c r="D6536">
        <v>0</v>
      </c>
      <c r="E6536" t="s">
        <v>41190</v>
      </c>
      <c r="F6536" t="s">
        <v>41191</v>
      </c>
      <c r="G6536" t="s">
        <v>41192</v>
      </c>
      <c r="H6536" t="e" vm="2855">
        <f>_FV(0,"037374275266842796")</f>
        <v>#VALUE!</v>
      </c>
      <c r="I6536" t="s">
        <v>41193</v>
      </c>
      <c r="J6536" t="s">
        <v>41194</v>
      </c>
      <c r="K6536" t="s">
        <v>41195</v>
      </c>
      <c r="L6536" t="s">
        <v>41189</v>
      </c>
    </row>
    <row r="6537" spans="1:12" x14ac:dyDescent="0.25">
      <c r="A6537">
        <v>1160470</v>
      </c>
      <c r="B6537">
        <v>1160486</v>
      </c>
      <c r="D6537">
        <v>0</v>
      </c>
      <c r="E6537" t="s">
        <v>41196</v>
      </c>
      <c r="F6537" t="s">
        <v>41197</v>
      </c>
      <c r="G6537" t="s">
        <v>41198</v>
      </c>
      <c r="H6537" t="e" vm="2856">
        <f>_FV(0,"0025526241558880896")</f>
        <v>#VALUE!</v>
      </c>
      <c r="I6537" t="s">
        <v>41199</v>
      </c>
      <c r="J6537" t="s">
        <v>2914</v>
      </c>
      <c r="K6537" t="s">
        <v>41200</v>
      </c>
      <c r="L6537" t="s">
        <v>27070</v>
      </c>
    </row>
    <row r="6538" spans="1:12" x14ac:dyDescent="0.25">
      <c r="A6538">
        <v>1160470</v>
      </c>
      <c r="B6538">
        <v>1160507</v>
      </c>
      <c r="D6538">
        <v>0</v>
      </c>
      <c r="E6538" t="s">
        <v>41202</v>
      </c>
      <c r="F6538" t="s">
        <v>41203</v>
      </c>
      <c r="G6538" t="s">
        <v>41204</v>
      </c>
      <c r="H6538" t="e" vm="2857">
        <f>_FV(0,"009836216506784167")</f>
        <v>#VALUE!</v>
      </c>
      <c r="I6538" t="s">
        <v>41205</v>
      </c>
      <c r="J6538" t="s">
        <v>41206</v>
      </c>
      <c r="K6538" t="s">
        <v>41207</v>
      </c>
      <c r="L6538" t="s">
        <v>41201</v>
      </c>
    </row>
    <row r="6539" spans="1:12" x14ac:dyDescent="0.25">
      <c r="A6539">
        <v>1160486</v>
      </c>
      <c r="B6539">
        <v>1577178</v>
      </c>
      <c r="D6539">
        <v>0</v>
      </c>
      <c r="F6539">
        <v>1788051</v>
      </c>
      <c r="G6539">
        <v>1577178</v>
      </c>
      <c r="H6539" t="s">
        <v>250</v>
      </c>
      <c r="I6539">
        <v>1160486</v>
      </c>
      <c r="J6539" t="s">
        <v>250</v>
      </c>
      <c r="K6539" t="s">
        <v>41208</v>
      </c>
      <c r="L6539" t="s">
        <v>250</v>
      </c>
    </row>
    <row r="6540" spans="1:12" x14ac:dyDescent="0.25">
      <c r="A6540">
        <v>1160486</v>
      </c>
      <c r="B6540">
        <v>1160507</v>
      </c>
      <c r="D6540">
        <v>0</v>
      </c>
      <c r="E6540" t="s">
        <v>41209</v>
      </c>
      <c r="F6540" t="s">
        <v>41210</v>
      </c>
      <c r="G6540" t="s">
        <v>41211</v>
      </c>
      <c r="H6540" t="s">
        <v>41212</v>
      </c>
      <c r="I6540" t="s">
        <v>41213</v>
      </c>
      <c r="J6540" t="s">
        <v>27946</v>
      </c>
      <c r="K6540" t="s">
        <v>41214</v>
      </c>
      <c r="L6540" t="s">
        <v>27946</v>
      </c>
    </row>
    <row r="6541" spans="1:12" x14ac:dyDescent="0.25">
      <c r="A6541">
        <v>1160507</v>
      </c>
      <c r="B6541">
        <v>1577151</v>
      </c>
      <c r="D6541">
        <v>0</v>
      </c>
      <c r="E6541" t="s">
        <v>41216</v>
      </c>
      <c r="F6541" t="s">
        <v>41217</v>
      </c>
      <c r="G6541" t="s">
        <v>41218</v>
      </c>
      <c r="H6541" t="e" vm="2858">
        <f>_FV(0,"007888562473545122")</f>
        <v>#VALUE!</v>
      </c>
      <c r="I6541" t="s">
        <v>41219</v>
      </c>
      <c r="J6541" t="s">
        <v>41220</v>
      </c>
      <c r="K6541" t="s">
        <v>41221</v>
      </c>
      <c r="L6541" t="s">
        <v>41215</v>
      </c>
    </row>
    <row r="6542" spans="1:12" x14ac:dyDescent="0.25">
      <c r="A6542">
        <v>1160508</v>
      </c>
      <c r="B6542">
        <v>1298359</v>
      </c>
      <c r="D6542">
        <v>0</v>
      </c>
      <c r="E6542" t="s">
        <v>41223</v>
      </c>
      <c r="F6542" t="s">
        <v>41224</v>
      </c>
      <c r="G6542" t="s">
        <v>41225</v>
      </c>
      <c r="H6542" t="s">
        <v>41226</v>
      </c>
      <c r="I6542" t="s">
        <v>41227</v>
      </c>
      <c r="J6542" t="s">
        <v>41228</v>
      </c>
      <c r="K6542" t="s">
        <v>41229</v>
      </c>
      <c r="L6542" t="s">
        <v>41222</v>
      </c>
    </row>
    <row r="6543" spans="1:12" x14ac:dyDescent="0.25">
      <c r="A6543">
        <v>1160508</v>
      </c>
      <c r="B6543">
        <v>1577151</v>
      </c>
      <c r="D6543">
        <v>0</v>
      </c>
      <c r="E6543" t="s">
        <v>41231</v>
      </c>
      <c r="F6543" t="s">
        <v>41232</v>
      </c>
      <c r="G6543" t="s">
        <v>41233</v>
      </c>
      <c r="H6543" t="s">
        <v>41234</v>
      </c>
      <c r="I6543" t="s">
        <v>41235</v>
      </c>
      <c r="J6543" t="s">
        <v>41230</v>
      </c>
      <c r="K6543" t="s">
        <v>41236</v>
      </c>
      <c r="L6543" t="s">
        <v>41230</v>
      </c>
    </row>
    <row r="6544" spans="1:12" x14ac:dyDescent="0.25">
      <c r="A6544">
        <v>1160508</v>
      </c>
      <c r="B6544">
        <v>1577178</v>
      </c>
      <c r="D6544">
        <v>0</v>
      </c>
      <c r="E6544" t="s">
        <v>41238</v>
      </c>
      <c r="F6544" t="s">
        <v>41239</v>
      </c>
      <c r="G6544" t="s">
        <v>41240</v>
      </c>
      <c r="H6544" t="s">
        <v>41241</v>
      </c>
      <c r="I6544" t="s">
        <v>41242</v>
      </c>
      <c r="J6544" t="s">
        <v>41237</v>
      </c>
      <c r="K6544" t="s">
        <v>41243</v>
      </c>
      <c r="L6544" t="s">
        <v>41237</v>
      </c>
    </row>
    <row r="6545" spans="1:12" x14ac:dyDescent="0.25">
      <c r="A6545">
        <v>1161274</v>
      </c>
      <c r="B6545">
        <v>1246492</v>
      </c>
      <c r="D6545">
        <v>0</v>
      </c>
      <c r="E6545" t="s">
        <v>41244</v>
      </c>
      <c r="F6545" t="s">
        <v>41245</v>
      </c>
      <c r="G6545" t="s">
        <v>41246</v>
      </c>
      <c r="H6545" t="s">
        <v>41247</v>
      </c>
      <c r="I6545" t="s">
        <v>41248</v>
      </c>
      <c r="J6545" t="s">
        <v>3872</v>
      </c>
      <c r="K6545" t="s">
        <v>41249</v>
      </c>
      <c r="L6545" t="s">
        <v>3872</v>
      </c>
    </row>
    <row r="6546" spans="1:12" x14ac:dyDescent="0.25">
      <c r="A6546">
        <v>1161274</v>
      </c>
      <c r="B6546">
        <v>1246511</v>
      </c>
      <c r="D6546">
        <v>0</v>
      </c>
      <c r="E6546" t="s">
        <v>41250</v>
      </c>
      <c r="F6546" t="s">
        <v>41251</v>
      </c>
      <c r="G6546" t="s">
        <v>41252</v>
      </c>
      <c r="H6546" t="s">
        <v>41253</v>
      </c>
      <c r="I6546" t="s">
        <v>41254</v>
      </c>
      <c r="J6546" t="s">
        <v>1550</v>
      </c>
      <c r="K6546" t="s">
        <v>41255</v>
      </c>
      <c r="L6546" t="s">
        <v>1550</v>
      </c>
    </row>
    <row r="6547" spans="1:12" x14ac:dyDescent="0.25">
      <c r="A6547">
        <v>1161279</v>
      </c>
      <c r="B6547">
        <v>1246516</v>
      </c>
      <c r="D6547">
        <v>0</v>
      </c>
      <c r="E6547" t="s">
        <v>41257</v>
      </c>
      <c r="F6547" t="s">
        <v>41258</v>
      </c>
      <c r="G6547" t="s">
        <v>41259</v>
      </c>
      <c r="H6547" t="s">
        <v>41260</v>
      </c>
      <c r="I6547" t="s">
        <v>41261</v>
      </c>
      <c r="J6547" t="s">
        <v>41256</v>
      </c>
      <c r="K6547" t="s">
        <v>41262</v>
      </c>
      <c r="L6547" t="s">
        <v>41256</v>
      </c>
    </row>
    <row r="6548" spans="1:12" x14ac:dyDescent="0.25">
      <c r="A6548">
        <v>1161279</v>
      </c>
      <c r="B6548">
        <v>1246527</v>
      </c>
      <c r="D6548">
        <v>0</v>
      </c>
      <c r="E6548" t="s">
        <v>41263</v>
      </c>
      <c r="F6548" t="s">
        <v>41264</v>
      </c>
      <c r="G6548" t="s">
        <v>41265</v>
      </c>
      <c r="H6548" t="s">
        <v>41266</v>
      </c>
      <c r="I6548" t="s">
        <v>41267</v>
      </c>
      <c r="J6548" t="s">
        <v>23681</v>
      </c>
      <c r="K6548" t="s">
        <v>41268</v>
      </c>
      <c r="L6548" t="s">
        <v>23681</v>
      </c>
    </row>
    <row r="6549" spans="1:12" x14ac:dyDescent="0.25">
      <c r="A6549">
        <v>1161717</v>
      </c>
      <c r="B6549">
        <v>1161718</v>
      </c>
      <c r="D6549">
        <v>1</v>
      </c>
      <c r="F6549">
        <v>1241248</v>
      </c>
      <c r="G6549">
        <v>1161718</v>
      </c>
      <c r="H6549" t="e" vm="2029">
        <f>_FV(0,"154")</f>
        <v>#VALUE!</v>
      </c>
      <c r="I6549">
        <v>1161717</v>
      </c>
      <c r="J6549" t="s">
        <v>6310</v>
      </c>
      <c r="K6549" t="s">
        <v>41269</v>
      </c>
      <c r="L6549" t="e" vm="2029">
        <f>_FV(0,"154")</f>
        <v>#VALUE!</v>
      </c>
    </row>
    <row r="6550" spans="1:12" x14ac:dyDescent="0.25">
      <c r="A6550">
        <v>1161983</v>
      </c>
      <c r="B6550">
        <v>1162003</v>
      </c>
      <c r="D6550">
        <v>0</v>
      </c>
      <c r="E6550" t="s">
        <v>41271</v>
      </c>
      <c r="F6550" t="s">
        <v>41272</v>
      </c>
      <c r="G6550" t="s">
        <v>41273</v>
      </c>
      <c r="H6550" t="s">
        <v>41274</v>
      </c>
      <c r="I6550" t="s">
        <v>41275</v>
      </c>
      <c r="J6550" t="s">
        <v>41276</v>
      </c>
      <c r="K6550" t="s">
        <v>41277</v>
      </c>
      <c r="L6550" t="s">
        <v>41270</v>
      </c>
    </row>
    <row r="6551" spans="1:12" x14ac:dyDescent="0.25">
      <c r="A6551">
        <v>1161983</v>
      </c>
      <c r="B6551">
        <v>1162003</v>
      </c>
      <c r="D6551">
        <v>0</v>
      </c>
      <c r="E6551" t="s">
        <v>41279</v>
      </c>
      <c r="F6551" t="s">
        <v>41280</v>
      </c>
      <c r="G6551" t="s">
        <v>41281</v>
      </c>
      <c r="H6551" t="s">
        <v>41282</v>
      </c>
      <c r="I6551" t="s">
        <v>41283</v>
      </c>
      <c r="J6551" t="s">
        <v>41284</v>
      </c>
      <c r="K6551" t="s">
        <v>41285</v>
      </c>
      <c r="L6551" t="s">
        <v>41278</v>
      </c>
    </row>
    <row r="6552" spans="1:12" x14ac:dyDescent="0.25">
      <c r="A6552">
        <v>1162183</v>
      </c>
      <c r="B6552">
        <v>1835047</v>
      </c>
      <c r="D6552">
        <v>0</v>
      </c>
      <c r="E6552" t="s">
        <v>41287</v>
      </c>
      <c r="F6552" t="s">
        <v>41288</v>
      </c>
      <c r="G6552" t="s">
        <v>41289</v>
      </c>
      <c r="H6552" t="e" vm="2859">
        <f>_FV(0,"008228576781180828")</f>
        <v>#VALUE!</v>
      </c>
      <c r="I6552" t="s">
        <v>41290</v>
      </c>
      <c r="J6552" t="s">
        <v>41291</v>
      </c>
      <c r="K6552" t="s">
        <v>41292</v>
      </c>
      <c r="L6552" t="s">
        <v>41286</v>
      </c>
    </row>
    <row r="6553" spans="1:12" x14ac:dyDescent="0.25">
      <c r="A6553">
        <v>1163547</v>
      </c>
      <c r="B6553">
        <v>1502271</v>
      </c>
      <c r="D6553" t="s">
        <v>1972</v>
      </c>
      <c r="E6553" t="s">
        <v>41294</v>
      </c>
      <c r="F6553" t="s">
        <v>41295</v>
      </c>
      <c r="G6553" t="s">
        <v>41296</v>
      </c>
      <c r="H6553" t="s">
        <v>41297</v>
      </c>
      <c r="I6553" t="s">
        <v>41298</v>
      </c>
      <c r="J6553" t="s">
        <v>41299</v>
      </c>
      <c r="K6553" t="s">
        <v>41300</v>
      </c>
      <c r="L6553" t="s">
        <v>41293</v>
      </c>
    </row>
    <row r="6554" spans="1:12" x14ac:dyDescent="0.25">
      <c r="A6554">
        <v>1163547</v>
      </c>
      <c r="B6554">
        <v>1448654</v>
      </c>
      <c r="D6554" t="s">
        <v>12328</v>
      </c>
      <c r="E6554" t="s">
        <v>41302</v>
      </c>
      <c r="F6554" t="s">
        <v>41303</v>
      </c>
      <c r="G6554" t="s">
        <v>41304</v>
      </c>
      <c r="H6554" t="e" vm="2860">
        <f>_FV(0,"0007522187027767188")</f>
        <v>#VALUE!</v>
      </c>
      <c r="I6554" t="s">
        <v>41305</v>
      </c>
      <c r="J6554" t="s">
        <v>41306</v>
      </c>
      <c r="K6554" t="s">
        <v>41307</v>
      </c>
      <c r="L6554" t="s">
        <v>41301</v>
      </c>
    </row>
    <row r="6555" spans="1:12" x14ac:dyDescent="0.25">
      <c r="A6555">
        <v>1163547</v>
      </c>
      <c r="B6555">
        <v>1448271</v>
      </c>
      <c r="C6555" t="s">
        <v>41309</v>
      </c>
      <c r="D6555" t="s">
        <v>15620</v>
      </c>
      <c r="E6555" t="s">
        <v>41310</v>
      </c>
      <c r="F6555" t="s">
        <v>41311</v>
      </c>
      <c r="G6555" t="s">
        <v>41312</v>
      </c>
      <c r="H6555" t="e" vm="2861">
        <f>_FV(0,"02063121969999994")</f>
        <v>#VALUE!</v>
      </c>
      <c r="I6555" t="s">
        <v>41313</v>
      </c>
      <c r="J6555" t="s">
        <v>41314</v>
      </c>
      <c r="K6555" t="s">
        <v>41315</v>
      </c>
      <c r="L6555" t="s">
        <v>41308</v>
      </c>
    </row>
    <row r="6556" spans="1:12" x14ac:dyDescent="0.25">
      <c r="A6556">
        <v>1163570</v>
      </c>
      <c r="B6556">
        <v>1448639</v>
      </c>
      <c r="D6556">
        <v>0</v>
      </c>
      <c r="E6556" t="s">
        <v>41317</v>
      </c>
      <c r="F6556" t="s">
        <v>41318</v>
      </c>
      <c r="G6556" t="s">
        <v>41319</v>
      </c>
      <c r="H6556" t="e" vm="2862">
        <f>_FV(0,"00488052184103318")</f>
        <v>#VALUE!</v>
      </c>
      <c r="I6556" t="s">
        <v>41320</v>
      </c>
      <c r="J6556" t="s">
        <v>41321</v>
      </c>
      <c r="K6556" t="s">
        <v>41322</v>
      </c>
      <c r="L6556" t="s">
        <v>41316</v>
      </c>
    </row>
    <row r="6557" spans="1:12" x14ac:dyDescent="0.25">
      <c r="A6557">
        <v>1163570</v>
      </c>
      <c r="B6557">
        <v>1448301</v>
      </c>
      <c r="D6557" t="s">
        <v>41324</v>
      </c>
      <c r="E6557" t="s">
        <v>41325</v>
      </c>
      <c r="F6557" t="s">
        <v>41326</v>
      </c>
      <c r="G6557" t="s">
        <v>41327</v>
      </c>
      <c r="H6557" t="e" vm="2863">
        <f>_FV(0,"018070780322944426")</f>
        <v>#VALUE!</v>
      </c>
      <c r="I6557" t="s">
        <v>41328</v>
      </c>
      <c r="J6557" t="s">
        <v>41329</v>
      </c>
      <c r="K6557" t="s">
        <v>41330</v>
      </c>
      <c r="L6557" t="s">
        <v>41323</v>
      </c>
    </row>
    <row r="6558" spans="1:12" x14ac:dyDescent="0.25">
      <c r="A6558">
        <v>1163570</v>
      </c>
      <c r="B6558">
        <v>1502277</v>
      </c>
      <c r="D6558">
        <v>0</v>
      </c>
      <c r="E6558" t="s">
        <v>41332</v>
      </c>
      <c r="F6558" t="s">
        <v>41333</v>
      </c>
      <c r="G6558" t="s">
        <v>41334</v>
      </c>
      <c r="H6558" t="s">
        <v>41335</v>
      </c>
      <c r="I6558" t="s">
        <v>41336</v>
      </c>
      <c r="J6558" t="s">
        <v>41337</v>
      </c>
      <c r="K6558" t="s">
        <v>41338</v>
      </c>
      <c r="L6558" t="s">
        <v>41331</v>
      </c>
    </row>
    <row r="6559" spans="1:12" x14ac:dyDescent="0.25">
      <c r="A6559">
        <v>1164013</v>
      </c>
      <c r="B6559">
        <v>1164022</v>
      </c>
      <c r="D6559">
        <v>0</v>
      </c>
      <c r="E6559" t="s">
        <v>41340</v>
      </c>
      <c r="F6559" t="s">
        <v>41341</v>
      </c>
      <c r="G6559" t="s">
        <v>41342</v>
      </c>
      <c r="H6559" t="s">
        <v>41343</v>
      </c>
      <c r="I6559" t="s">
        <v>41344</v>
      </c>
      <c r="J6559" t="s">
        <v>41339</v>
      </c>
      <c r="K6559" t="s">
        <v>41345</v>
      </c>
      <c r="L6559" t="s">
        <v>41339</v>
      </c>
    </row>
    <row r="6560" spans="1:12" x14ac:dyDescent="0.25">
      <c r="A6560">
        <v>1164013</v>
      </c>
      <c r="B6560">
        <v>1164022</v>
      </c>
      <c r="D6560">
        <v>0</v>
      </c>
      <c r="E6560" t="s">
        <v>41347</v>
      </c>
      <c r="F6560" t="s">
        <v>41348</v>
      </c>
      <c r="G6560" t="s">
        <v>41349</v>
      </c>
      <c r="H6560" t="s">
        <v>41350</v>
      </c>
      <c r="I6560" t="s">
        <v>41351</v>
      </c>
      <c r="J6560" t="s">
        <v>41352</v>
      </c>
      <c r="K6560" t="s">
        <v>41353</v>
      </c>
      <c r="L6560" t="s">
        <v>41346</v>
      </c>
    </row>
    <row r="6561" spans="1:12" x14ac:dyDescent="0.25">
      <c r="A6561">
        <v>1164022</v>
      </c>
      <c r="B6561">
        <v>1175795</v>
      </c>
      <c r="D6561" t="s">
        <v>41355</v>
      </c>
      <c r="E6561" t="s">
        <v>41356</v>
      </c>
      <c r="F6561" t="s">
        <v>41357</v>
      </c>
      <c r="G6561" t="s">
        <v>41358</v>
      </c>
      <c r="H6561" t="e" vm="2864">
        <f>_FV(0,"03438720347603291")</f>
        <v>#VALUE!</v>
      </c>
      <c r="I6561" t="s">
        <v>41359</v>
      </c>
      <c r="J6561" t="s">
        <v>41360</v>
      </c>
      <c r="K6561" t="s">
        <v>41361</v>
      </c>
      <c r="L6561" t="s">
        <v>41354</v>
      </c>
    </row>
    <row r="6562" spans="1:12" x14ac:dyDescent="0.25">
      <c r="A6562">
        <v>1164626</v>
      </c>
      <c r="B6562">
        <v>1607688</v>
      </c>
      <c r="D6562" t="s">
        <v>41363</v>
      </c>
      <c r="E6562" t="s">
        <v>41364</v>
      </c>
      <c r="F6562" t="s">
        <v>41365</v>
      </c>
      <c r="G6562" t="s">
        <v>41366</v>
      </c>
      <c r="H6562" t="e" vm="2865">
        <f>_FV(0,"002349915910929803")</f>
        <v>#VALUE!</v>
      </c>
      <c r="I6562" t="s">
        <v>41367</v>
      </c>
      <c r="J6562" t="s">
        <v>41368</v>
      </c>
      <c r="K6562" t="s">
        <v>41369</v>
      </c>
      <c r="L6562" t="s">
        <v>41362</v>
      </c>
    </row>
    <row r="6563" spans="1:12" x14ac:dyDescent="0.25">
      <c r="A6563">
        <v>1164626</v>
      </c>
      <c r="B6563">
        <v>1164648</v>
      </c>
      <c r="D6563" t="s">
        <v>10659</v>
      </c>
      <c r="E6563" t="s">
        <v>41371</v>
      </c>
      <c r="F6563" t="s">
        <v>41372</v>
      </c>
      <c r="G6563" t="s">
        <v>41373</v>
      </c>
      <c r="H6563" t="e" vm="2866">
        <f>_FV(0,"02866655435974311")</f>
        <v>#VALUE!</v>
      </c>
      <c r="I6563" t="s">
        <v>41374</v>
      </c>
      <c r="J6563" t="s">
        <v>41375</v>
      </c>
      <c r="K6563" t="s">
        <v>41376</v>
      </c>
      <c r="L6563" t="s">
        <v>41370</v>
      </c>
    </row>
    <row r="6564" spans="1:12" x14ac:dyDescent="0.25">
      <c r="A6564">
        <v>1164626</v>
      </c>
      <c r="B6564">
        <v>1165956</v>
      </c>
      <c r="D6564" t="s">
        <v>514</v>
      </c>
      <c r="E6564" t="s">
        <v>41378</v>
      </c>
      <c r="F6564" t="s">
        <v>41379</v>
      </c>
      <c r="G6564" t="s">
        <v>41380</v>
      </c>
      <c r="H6564" t="e" vm="2867">
        <f>_FV(0,"020167469461092692")</f>
        <v>#VALUE!</v>
      </c>
      <c r="I6564" t="s">
        <v>41381</v>
      </c>
      <c r="J6564" t="s">
        <v>41382</v>
      </c>
      <c r="K6564" t="s">
        <v>41383</v>
      </c>
      <c r="L6564" t="s">
        <v>41377</v>
      </c>
    </row>
    <row r="6565" spans="1:12" x14ac:dyDescent="0.25">
      <c r="A6565">
        <v>1164648</v>
      </c>
      <c r="B6565">
        <v>1165943</v>
      </c>
      <c r="D6565">
        <v>0</v>
      </c>
      <c r="E6565" t="s">
        <v>41385</v>
      </c>
      <c r="F6565" t="s">
        <v>41386</v>
      </c>
      <c r="G6565" t="s">
        <v>41387</v>
      </c>
      <c r="H6565" t="e" vm="2868">
        <f>_FV(0,"03879968631540094")</f>
        <v>#VALUE!</v>
      </c>
      <c r="I6565" t="s">
        <v>41388</v>
      </c>
      <c r="J6565" t="s">
        <v>41389</v>
      </c>
      <c r="K6565" t="s">
        <v>41390</v>
      </c>
      <c r="L6565" t="s">
        <v>41384</v>
      </c>
    </row>
    <row r="6566" spans="1:12" x14ac:dyDescent="0.25">
      <c r="A6566">
        <v>1164675</v>
      </c>
      <c r="B6566">
        <v>1164677</v>
      </c>
      <c r="D6566">
        <v>0</v>
      </c>
      <c r="E6566" t="s">
        <v>41392</v>
      </c>
      <c r="F6566" t="s">
        <v>41393</v>
      </c>
      <c r="G6566" t="s">
        <v>41394</v>
      </c>
      <c r="H6566" t="e" vm="2869">
        <f>_FV(0,"2057247179369769")</f>
        <v>#VALUE!</v>
      </c>
      <c r="I6566" t="s">
        <v>41395</v>
      </c>
      <c r="J6566" t="s">
        <v>41396</v>
      </c>
      <c r="K6566" t="s">
        <v>41397</v>
      </c>
      <c r="L6566" t="s">
        <v>41391</v>
      </c>
    </row>
    <row r="6567" spans="1:12" x14ac:dyDescent="0.25">
      <c r="A6567">
        <v>1164675</v>
      </c>
      <c r="B6567">
        <v>1164679</v>
      </c>
      <c r="D6567">
        <v>0</v>
      </c>
      <c r="E6567" t="s">
        <v>41399</v>
      </c>
      <c r="F6567" t="s">
        <v>41400</v>
      </c>
      <c r="G6567" t="s">
        <v>41401</v>
      </c>
      <c r="H6567" t="e" vm="2870">
        <f>_FV(0,"07685638357830639")</f>
        <v>#VALUE!</v>
      </c>
      <c r="I6567" t="s">
        <v>41402</v>
      </c>
      <c r="J6567" t="s">
        <v>41403</v>
      </c>
      <c r="K6567" t="s">
        <v>41404</v>
      </c>
      <c r="L6567" t="s">
        <v>41398</v>
      </c>
    </row>
    <row r="6568" spans="1:12" x14ac:dyDescent="0.25">
      <c r="A6568">
        <v>1164675</v>
      </c>
      <c r="B6568">
        <v>1164692</v>
      </c>
      <c r="D6568">
        <v>0</v>
      </c>
      <c r="E6568" t="s">
        <v>41406</v>
      </c>
      <c r="F6568" t="s">
        <v>41407</v>
      </c>
      <c r="G6568" t="s">
        <v>41408</v>
      </c>
      <c r="H6568" t="s">
        <v>41409</v>
      </c>
      <c r="I6568" t="s">
        <v>41410</v>
      </c>
      <c r="J6568" t="s">
        <v>41405</v>
      </c>
      <c r="K6568" t="s">
        <v>41411</v>
      </c>
      <c r="L6568" t="s">
        <v>41405</v>
      </c>
    </row>
    <row r="6569" spans="1:12" x14ac:dyDescent="0.25">
      <c r="A6569">
        <v>1164677</v>
      </c>
      <c r="B6569">
        <v>1165973</v>
      </c>
      <c r="D6569">
        <v>0</v>
      </c>
      <c r="F6569">
        <v>1246297</v>
      </c>
      <c r="G6569">
        <v>1165973</v>
      </c>
      <c r="H6569" t="e" vm="2871">
        <f>_FV(0,"231")</f>
        <v>#VALUE!</v>
      </c>
      <c r="I6569">
        <v>1164677</v>
      </c>
      <c r="J6569" t="s">
        <v>40539</v>
      </c>
      <c r="K6569" t="s">
        <v>41412</v>
      </c>
      <c r="L6569" t="e" vm="2871">
        <f>_FV(0,"231")</f>
        <v>#VALUE!</v>
      </c>
    </row>
    <row r="6570" spans="1:12" x14ac:dyDescent="0.25">
      <c r="A6570">
        <v>1164677</v>
      </c>
      <c r="B6570">
        <v>1164679</v>
      </c>
      <c r="D6570">
        <v>0</v>
      </c>
      <c r="E6570" t="s">
        <v>41414</v>
      </c>
      <c r="F6570" t="s">
        <v>41415</v>
      </c>
      <c r="G6570" t="s">
        <v>41416</v>
      </c>
      <c r="H6570" t="e" vm="2872">
        <f>_FV(0,"19274832554802854")</f>
        <v>#VALUE!</v>
      </c>
      <c r="I6570" t="s">
        <v>41417</v>
      </c>
      <c r="J6570" t="s">
        <v>41418</v>
      </c>
      <c r="K6570" t="s">
        <v>41419</v>
      </c>
      <c r="L6570" t="s">
        <v>41413</v>
      </c>
    </row>
    <row r="6571" spans="1:12" x14ac:dyDescent="0.25">
      <c r="A6571">
        <v>1164679</v>
      </c>
      <c r="B6571">
        <v>1166058</v>
      </c>
      <c r="D6571">
        <v>0</v>
      </c>
      <c r="F6571">
        <v>1246389</v>
      </c>
      <c r="G6571">
        <v>1164679</v>
      </c>
      <c r="H6571" t="s">
        <v>29228</v>
      </c>
      <c r="I6571">
        <v>1166058</v>
      </c>
      <c r="J6571" t="s">
        <v>29228</v>
      </c>
      <c r="K6571" t="s">
        <v>41420</v>
      </c>
      <c r="L6571" t="s">
        <v>29228</v>
      </c>
    </row>
    <row r="6572" spans="1:12" x14ac:dyDescent="0.25">
      <c r="A6572">
        <v>1164690</v>
      </c>
      <c r="B6572">
        <v>1164692</v>
      </c>
      <c r="D6572">
        <v>0</v>
      </c>
      <c r="E6572" t="s">
        <v>41422</v>
      </c>
      <c r="F6572" t="s">
        <v>41423</v>
      </c>
      <c r="G6572" t="s">
        <v>41424</v>
      </c>
      <c r="H6572" t="s">
        <v>41425</v>
      </c>
      <c r="I6572" t="s">
        <v>41426</v>
      </c>
      <c r="J6572" t="s">
        <v>41421</v>
      </c>
      <c r="K6572" t="s">
        <v>41427</v>
      </c>
      <c r="L6572" t="s">
        <v>41421</v>
      </c>
    </row>
    <row r="6573" spans="1:12" x14ac:dyDescent="0.25">
      <c r="A6573">
        <v>1164690</v>
      </c>
      <c r="B6573">
        <v>1164693</v>
      </c>
      <c r="D6573">
        <v>0</v>
      </c>
      <c r="E6573" t="s">
        <v>41428</v>
      </c>
      <c r="F6573" t="s">
        <v>41429</v>
      </c>
      <c r="G6573" t="s">
        <v>41430</v>
      </c>
      <c r="H6573" t="s">
        <v>41431</v>
      </c>
      <c r="I6573" t="s">
        <v>41432</v>
      </c>
      <c r="J6573" t="s">
        <v>32148</v>
      </c>
      <c r="K6573" t="s">
        <v>41433</v>
      </c>
      <c r="L6573" t="s">
        <v>32143</v>
      </c>
    </row>
    <row r="6574" spans="1:12" x14ac:dyDescent="0.25">
      <c r="A6574">
        <v>1164690</v>
      </c>
      <c r="B6574">
        <v>1165956</v>
      </c>
      <c r="D6574">
        <v>0</v>
      </c>
      <c r="F6574">
        <v>1246279</v>
      </c>
      <c r="G6574">
        <v>1164690</v>
      </c>
      <c r="H6574" t="s">
        <v>12171</v>
      </c>
      <c r="I6574">
        <v>1165956</v>
      </c>
      <c r="J6574" t="s">
        <v>12171</v>
      </c>
      <c r="K6574" t="s">
        <v>41434</v>
      </c>
      <c r="L6574" t="s">
        <v>12171</v>
      </c>
    </row>
    <row r="6575" spans="1:12" x14ac:dyDescent="0.25">
      <c r="A6575">
        <v>1164692</v>
      </c>
      <c r="B6575">
        <v>1164693</v>
      </c>
      <c r="D6575">
        <v>0</v>
      </c>
      <c r="E6575" t="s">
        <v>41436</v>
      </c>
      <c r="F6575" t="s">
        <v>41437</v>
      </c>
      <c r="G6575" t="s">
        <v>41438</v>
      </c>
      <c r="H6575" t="s">
        <v>41439</v>
      </c>
      <c r="I6575" t="s">
        <v>41440</v>
      </c>
      <c r="J6575" t="s">
        <v>41435</v>
      </c>
      <c r="K6575" t="s">
        <v>41441</v>
      </c>
      <c r="L6575" t="s">
        <v>41435</v>
      </c>
    </row>
    <row r="6576" spans="1:12" x14ac:dyDescent="0.25">
      <c r="A6576">
        <v>1164693</v>
      </c>
      <c r="B6576">
        <v>1165943</v>
      </c>
      <c r="D6576">
        <v>0</v>
      </c>
      <c r="F6576">
        <v>1246296</v>
      </c>
      <c r="G6576">
        <v>1165943</v>
      </c>
      <c r="H6576" t="e" vm="2873">
        <f>_FV(0,"077")</f>
        <v>#VALUE!</v>
      </c>
      <c r="I6576">
        <v>1164693</v>
      </c>
      <c r="J6576" t="s">
        <v>31924</v>
      </c>
      <c r="K6576" t="s">
        <v>41442</v>
      </c>
      <c r="L6576" t="e" vm="2873">
        <f>_FV(0,"077")</f>
        <v>#VALUE!</v>
      </c>
    </row>
    <row r="6577" spans="1:12" x14ac:dyDescent="0.25">
      <c r="A6577">
        <v>1164743</v>
      </c>
      <c r="B6577">
        <v>1164747</v>
      </c>
      <c r="D6577">
        <v>0</v>
      </c>
      <c r="E6577" t="s">
        <v>41444</v>
      </c>
      <c r="F6577" t="s">
        <v>41445</v>
      </c>
      <c r="G6577" t="s">
        <v>41446</v>
      </c>
      <c r="H6577" t="e" vm="2874">
        <f>_FV(0,"07532763964043906")</f>
        <v>#VALUE!</v>
      </c>
      <c r="I6577" t="s">
        <v>41447</v>
      </c>
      <c r="J6577" t="s">
        <v>41448</v>
      </c>
      <c r="K6577" t="s">
        <v>41449</v>
      </c>
      <c r="L6577" t="s">
        <v>41443</v>
      </c>
    </row>
    <row r="6578" spans="1:12" x14ac:dyDescent="0.25">
      <c r="A6578">
        <v>1164743</v>
      </c>
      <c r="B6578">
        <v>1166912</v>
      </c>
      <c r="D6578">
        <v>0</v>
      </c>
      <c r="E6578" t="s">
        <v>41451</v>
      </c>
      <c r="F6578" t="s">
        <v>41452</v>
      </c>
      <c r="G6578" t="s">
        <v>41453</v>
      </c>
      <c r="H6578" t="s">
        <v>41454</v>
      </c>
      <c r="I6578" t="s">
        <v>41455</v>
      </c>
      <c r="J6578" t="s">
        <v>41456</v>
      </c>
      <c r="K6578" t="s">
        <v>41457</v>
      </c>
      <c r="L6578" t="s">
        <v>41450</v>
      </c>
    </row>
    <row r="6579" spans="1:12" x14ac:dyDescent="0.25">
      <c r="A6579">
        <v>1164747</v>
      </c>
      <c r="B6579">
        <v>1166895</v>
      </c>
      <c r="D6579">
        <v>0</v>
      </c>
      <c r="F6579">
        <v>2097953</v>
      </c>
      <c r="G6579">
        <v>1166895</v>
      </c>
      <c r="H6579" t="e" vm="2875">
        <f>_FV(0,"119")</f>
        <v>#VALUE!</v>
      </c>
      <c r="I6579">
        <v>1164747</v>
      </c>
      <c r="J6579" t="s">
        <v>41458</v>
      </c>
      <c r="K6579" t="s">
        <v>41459</v>
      </c>
      <c r="L6579" t="e" vm="2875">
        <f>_FV(0,"119")</f>
        <v>#VALUE!</v>
      </c>
    </row>
    <row r="6580" spans="1:12" x14ac:dyDescent="0.25">
      <c r="A6580">
        <v>1164858</v>
      </c>
      <c r="B6580">
        <v>1164916</v>
      </c>
      <c r="D6580">
        <v>0</v>
      </c>
      <c r="E6580" t="s">
        <v>41461</v>
      </c>
      <c r="F6580" t="s">
        <v>41462</v>
      </c>
      <c r="G6580" t="s">
        <v>41463</v>
      </c>
      <c r="H6580" t="s">
        <v>41464</v>
      </c>
      <c r="I6580" t="s">
        <v>41465</v>
      </c>
      <c r="J6580" t="s">
        <v>41466</v>
      </c>
      <c r="K6580" t="s">
        <v>41467</v>
      </c>
      <c r="L6580" t="s">
        <v>41460</v>
      </c>
    </row>
    <row r="6581" spans="1:12" x14ac:dyDescent="0.25">
      <c r="A6581">
        <v>1164858</v>
      </c>
      <c r="B6581">
        <v>1164892</v>
      </c>
      <c r="D6581">
        <v>0</v>
      </c>
      <c r="E6581" t="s">
        <v>41469</v>
      </c>
      <c r="F6581" t="s">
        <v>41470</v>
      </c>
      <c r="G6581" t="s">
        <v>41471</v>
      </c>
      <c r="H6581" t="e" vm="2876">
        <f>_FV(0,"05097297598214552")</f>
        <v>#VALUE!</v>
      </c>
      <c r="I6581" t="s">
        <v>41472</v>
      </c>
      <c r="J6581" t="s">
        <v>41473</v>
      </c>
      <c r="K6581" t="s">
        <v>41474</v>
      </c>
      <c r="L6581" t="s">
        <v>41468</v>
      </c>
    </row>
    <row r="6582" spans="1:12" x14ac:dyDescent="0.25">
      <c r="A6582">
        <v>1164892</v>
      </c>
      <c r="B6582">
        <v>1164933</v>
      </c>
      <c r="D6582">
        <v>0</v>
      </c>
      <c r="F6582">
        <v>1245078</v>
      </c>
      <c r="G6582">
        <v>1164892</v>
      </c>
      <c r="H6582" t="e" vm="87">
        <f>_FV(0,"001")</f>
        <v>#VALUE!</v>
      </c>
      <c r="I6582">
        <v>1164933</v>
      </c>
      <c r="J6582" t="s">
        <v>1333</v>
      </c>
      <c r="K6582" t="s">
        <v>41475</v>
      </c>
      <c r="L6582" t="e" vm="87">
        <f>_FV(0,"001")</f>
        <v>#VALUE!</v>
      </c>
    </row>
    <row r="6583" spans="1:12" x14ac:dyDescent="0.25">
      <c r="A6583">
        <v>1164916</v>
      </c>
      <c r="B6583">
        <v>1164933</v>
      </c>
      <c r="D6583">
        <v>0</v>
      </c>
      <c r="E6583" t="s">
        <v>41477</v>
      </c>
      <c r="F6583" t="s">
        <v>41478</v>
      </c>
      <c r="G6583" t="s">
        <v>41479</v>
      </c>
      <c r="H6583" t="s">
        <v>41480</v>
      </c>
      <c r="I6583" t="s">
        <v>41481</v>
      </c>
      <c r="J6583" t="s">
        <v>41476</v>
      </c>
      <c r="K6583" t="s">
        <v>41482</v>
      </c>
      <c r="L6583" t="s">
        <v>41476</v>
      </c>
    </row>
    <row r="6584" spans="1:12" x14ac:dyDescent="0.25">
      <c r="A6584">
        <v>1164980</v>
      </c>
      <c r="B6584">
        <v>1166968</v>
      </c>
      <c r="D6584">
        <v>0</v>
      </c>
      <c r="E6584" t="s">
        <v>41484</v>
      </c>
      <c r="F6584" t="s">
        <v>41485</v>
      </c>
      <c r="G6584" t="s">
        <v>41486</v>
      </c>
      <c r="H6584" t="s">
        <v>41487</v>
      </c>
      <c r="I6584" t="s">
        <v>41488</v>
      </c>
      <c r="J6584" t="s">
        <v>41489</v>
      </c>
      <c r="K6584" t="s">
        <v>41490</v>
      </c>
      <c r="L6584" t="s">
        <v>41483</v>
      </c>
    </row>
    <row r="6585" spans="1:12" x14ac:dyDescent="0.25">
      <c r="A6585">
        <v>1164980</v>
      </c>
      <c r="B6585">
        <v>1607720</v>
      </c>
      <c r="C6585" t="s">
        <v>41492</v>
      </c>
      <c r="D6585" t="s">
        <v>28448</v>
      </c>
      <c r="E6585" t="s">
        <v>41493</v>
      </c>
      <c r="F6585" t="s">
        <v>41494</v>
      </c>
      <c r="G6585" t="s">
        <v>41495</v>
      </c>
      <c r="H6585" t="e" vm="2877">
        <f>_FV(0,"008498154088031767")</f>
        <v>#VALUE!</v>
      </c>
      <c r="I6585" t="s">
        <v>41496</v>
      </c>
      <c r="J6585" t="s">
        <v>41497</v>
      </c>
      <c r="K6585" t="s">
        <v>41498</v>
      </c>
      <c r="L6585" t="s">
        <v>41491</v>
      </c>
    </row>
    <row r="6586" spans="1:12" x14ac:dyDescent="0.25">
      <c r="A6586">
        <v>1165144</v>
      </c>
      <c r="B6586">
        <v>1165148</v>
      </c>
      <c r="D6586">
        <v>0</v>
      </c>
      <c r="E6586" t="s">
        <v>41500</v>
      </c>
      <c r="F6586" t="s">
        <v>41501</v>
      </c>
      <c r="G6586" t="s">
        <v>41502</v>
      </c>
      <c r="H6586" t="s">
        <v>41503</v>
      </c>
      <c r="I6586" t="s">
        <v>41504</v>
      </c>
      <c r="J6586" t="s">
        <v>41499</v>
      </c>
      <c r="K6586" t="s">
        <v>41505</v>
      </c>
      <c r="L6586" t="s">
        <v>41499</v>
      </c>
    </row>
    <row r="6587" spans="1:12" x14ac:dyDescent="0.25">
      <c r="A6587">
        <v>1165144</v>
      </c>
      <c r="B6587">
        <v>1165163</v>
      </c>
      <c r="D6587">
        <v>0</v>
      </c>
      <c r="E6587" t="s">
        <v>41507</v>
      </c>
      <c r="F6587" t="s">
        <v>41508</v>
      </c>
      <c r="G6587" t="s">
        <v>41509</v>
      </c>
      <c r="H6587" t="s">
        <v>41510</v>
      </c>
      <c r="I6587" t="s">
        <v>41511</v>
      </c>
      <c r="J6587" t="s">
        <v>41506</v>
      </c>
      <c r="K6587" t="s">
        <v>41512</v>
      </c>
      <c r="L6587" t="s">
        <v>41506</v>
      </c>
    </row>
    <row r="6588" spans="1:12" x14ac:dyDescent="0.25">
      <c r="A6588">
        <v>1165144</v>
      </c>
      <c r="B6588">
        <v>1165172</v>
      </c>
      <c r="D6588" t="s">
        <v>204</v>
      </c>
      <c r="E6588" t="s">
        <v>41514</v>
      </c>
      <c r="F6588" t="s">
        <v>41515</v>
      </c>
      <c r="G6588" t="s">
        <v>41516</v>
      </c>
      <c r="H6588" t="s">
        <v>41517</v>
      </c>
      <c r="I6588" t="s">
        <v>41518</v>
      </c>
      <c r="J6588" t="s">
        <v>41513</v>
      </c>
      <c r="K6588" t="s">
        <v>41519</v>
      </c>
      <c r="L6588" t="s">
        <v>41513</v>
      </c>
    </row>
    <row r="6589" spans="1:12" x14ac:dyDescent="0.25">
      <c r="A6589">
        <v>1165148</v>
      </c>
      <c r="B6589">
        <v>1165897</v>
      </c>
      <c r="D6589">
        <v>0</v>
      </c>
      <c r="F6589">
        <v>1246197</v>
      </c>
      <c r="G6589">
        <v>1165897</v>
      </c>
      <c r="H6589" t="s">
        <v>19420</v>
      </c>
      <c r="I6589">
        <v>1165148</v>
      </c>
      <c r="J6589" t="s">
        <v>19420</v>
      </c>
      <c r="K6589" t="s">
        <v>41520</v>
      </c>
      <c r="L6589" t="s">
        <v>19420</v>
      </c>
    </row>
    <row r="6590" spans="1:12" x14ac:dyDescent="0.25">
      <c r="A6590">
        <v>1165148</v>
      </c>
      <c r="B6590">
        <v>1165163</v>
      </c>
      <c r="D6590">
        <v>0</v>
      </c>
      <c r="E6590" t="s">
        <v>41522</v>
      </c>
      <c r="F6590" t="s">
        <v>41523</v>
      </c>
      <c r="G6590" t="s">
        <v>41524</v>
      </c>
      <c r="H6590" t="s">
        <v>41525</v>
      </c>
      <c r="I6590" t="s">
        <v>41526</v>
      </c>
      <c r="J6590" t="s">
        <v>41521</v>
      </c>
      <c r="K6590" t="s">
        <v>41527</v>
      </c>
      <c r="L6590" t="s">
        <v>41521</v>
      </c>
    </row>
    <row r="6591" spans="1:12" x14ac:dyDescent="0.25">
      <c r="A6591">
        <v>1165163</v>
      </c>
      <c r="B6591">
        <v>1165904</v>
      </c>
      <c r="D6591">
        <v>0</v>
      </c>
      <c r="F6591">
        <v>1246224</v>
      </c>
      <c r="G6591">
        <v>1165163</v>
      </c>
      <c r="H6591" t="e" vm="1300">
        <f>_FV(0,"013")</f>
        <v>#VALUE!</v>
      </c>
      <c r="I6591">
        <v>1165904</v>
      </c>
      <c r="J6591" t="s">
        <v>30</v>
      </c>
      <c r="K6591" t="s">
        <v>41528</v>
      </c>
      <c r="L6591" t="e" vm="1300">
        <f>_FV(0,"013")</f>
        <v>#VALUE!</v>
      </c>
    </row>
    <row r="6592" spans="1:12" x14ac:dyDescent="0.25">
      <c r="A6592">
        <v>1165170</v>
      </c>
      <c r="B6592">
        <v>1165836</v>
      </c>
      <c r="D6592">
        <v>0</v>
      </c>
      <c r="F6592">
        <v>1246187</v>
      </c>
      <c r="G6592">
        <v>1165836</v>
      </c>
      <c r="H6592" t="e" vm="10">
        <f>_FV(0,"057")</f>
        <v>#VALUE!</v>
      </c>
      <c r="I6592">
        <v>1165170</v>
      </c>
      <c r="J6592" t="s">
        <v>170</v>
      </c>
      <c r="K6592" t="s">
        <v>41529</v>
      </c>
      <c r="L6592" t="e" vm="10">
        <f>_FV(0,"057")</f>
        <v>#VALUE!</v>
      </c>
    </row>
    <row r="6593" spans="1:12" x14ac:dyDescent="0.25">
      <c r="A6593">
        <v>1165170</v>
      </c>
      <c r="B6593">
        <v>1165172</v>
      </c>
      <c r="D6593">
        <v>0</v>
      </c>
      <c r="E6593" t="s">
        <v>41531</v>
      </c>
      <c r="F6593" t="s">
        <v>41532</v>
      </c>
      <c r="G6593" t="s">
        <v>41533</v>
      </c>
      <c r="H6593" t="s">
        <v>41534</v>
      </c>
      <c r="I6593" t="s">
        <v>41535</v>
      </c>
      <c r="J6593" t="s">
        <v>41530</v>
      </c>
      <c r="K6593" t="s">
        <v>41536</v>
      </c>
      <c r="L6593" t="s">
        <v>41530</v>
      </c>
    </row>
    <row r="6594" spans="1:12" x14ac:dyDescent="0.25">
      <c r="A6594">
        <v>1165170</v>
      </c>
      <c r="B6594">
        <v>1165174</v>
      </c>
      <c r="D6594">
        <v>0</v>
      </c>
      <c r="E6594" t="s">
        <v>41538</v>
      </c>
      <c r="F6594" t="s">
        <v>41539</v>
      </c>
      <c r="G6594" t="s">
        <v>41540</v>
      </c>
      <c r="H6594" t="e" vm="2878">
        <f>_FV(0,"06368415731278058")</f>
        <v>#VALUE!</v>
      </c>
      <c r="I6594" t="s">
        <v>41541</v>
      </c>
      <c r="J6594" t="s">
        <v>41542</v>
      </c>
      <c r="K6594" t="s">
        <v>41543</v>
      </c>
      <c r="L6594" t="s">
        <v>41537</v>
      </c>
    </row>
    <row r="6595" spans="1:12" x14ac:dyDescent="0.25">
      <c r="A6595">
        <v>1165172</v>
      </c>
      <c r="B6595">
        <v>1165174</v>
      </c>
      <c r="D6595">
        <v>0</v>
      </c>
      <c r="E6595" t="s">
        <v>41545</v>
      </c>
      <c r="F6595" t="s">
        <v>41546</v>
      </c>
      <c r="G6595" t="s">
        <v>41547</v>
      </c>
      <c r="H6595" t="s">
        <v>41548</v>
      </c>
      <c r="I6595" t="s">
        <v>41549</v>
      </c>
      <c r="J6595" t="s">
        <v>41550</v>
      </c>
      <c r="K6595" t="s">
        <v>41551</v>
      </c>
      <c r="L6595" t="s">
        <v>41544</v>
      </c>
    </row>
    <row r="6596" spans="1:12" x14ac:dyDescent="0.25">
      <c r="A6596">
        <v>1165174</v>
      </c>
      <c r="B6596">
        <v>1165866</v>
      </c>
      <c r="D6596">
        <v>0</v>
      </c>
      <c r="F6596">
        <v>1246168</v>
      </c>
      <c r="G6596">
        <v>1165174</v>
      </c>
      <c r="H6596" t="e" vm="1300">
        <f>_FV(0,"013")</f>
        <v>#VALUE!</v>
      </c>
      <c r="I6596">
        <v>1165866</v>
      </c>
      <c r="J6596" t="s">
        <v>30</v>
      </c>
      <c r="K6596" t="s">
        <v>41552</v>
      </c>
      <c r="L6596" t="e" vm="1300">
        <f>_FV(0,"013")</f>
        <v>#VALUE!</v>
      </c>
    </row>
    <row r="6597" spans="1:12" x14ac:dyDescent="0.25">
      <c r="A6597">
        <v>1165836</v>
      </c>
      <c r="B6597">
        <v>1165866</v>
      </c>
      <c r="D6597">
        <v>0</v>
      </c>
      <c r="E6597" t="s">
        <v>41554</v>
      </c>
      <c r="F6597" t="s">
        <v>41555</v>
      </c>
      <c r="G6597" t="s">
        <v>41556</v>
      </c>
      <c r="H6597" t="s">
        <v>41557</v>
      </c>
      <c r="I6597" t="s">
        <v>41558</v>
      </c>
      <c r="J6597" t="s">
        <v>41553</v>
      </c>
      <c r="K6597" t="s">
        <v>41559</v>
      </c>
      <c r="L6597" t="s">
        <v>41553</v>
      </c>
    </row>
    <row r="6598" spans="1:12" x14ac:dyDescent="0.25">
      <c r="A6598">
        <v>1165836</v>
      </c>
      <c r="B6598">
        <v>1607688</v>
      </c>
      <c r="D6598">
        <v>0</v>
      </c>
      <c r="E6598" t="s">
        <v>41561</v>
      </c>
      <c r="F6598" t="s">
        <v>41562</v>
      </c>
      <c r="G6598" t="s">
        <v>41563</v>
      </c>
      <c r="H6598" t="e" vm="2879">
        <f>_FV(0,"0014517356201921713")</f>
        <v>#VALUE!</v>
      </c>
      <c r="I6598" t="s">
        <v>41564</v>
      </c>
      <c r="J6598" t="s">
        <v>41565</v>
      </c>
      <c r="K6598" t="s">
        <v>41566</v>
      </c>
      <c r="L6598" t="s">
        <v>41560</v>
      </c>
    </row>
    <row r="6599" spans="1:12" x14ac:dyDescent="0.25">
      <c r="A6599">
        <v>1165866</v>
      </c>
      <c r="B6599">
        <v>1607698</v>
      </c>
      <c r="D6599">
        <v>0</v>
      </c>
      <c r="E6599" t="s">
        <v>41568</v>
      </c>
      <c r="F6599" t="s">
        <v>41569</v>
      </c>
      <c r="G6599" t="s">
        <v>41570</v>
      </c>
      <c r="H6599" t="e" vm="2880">
        <f>_FV(0,"005945690372409966")</f>
        <v>#VALUE!</v>
      </c>
      <c r="I6599" t="s">
        <v>41571</v>
      </c>
      <c r="J6599" t="s">
        <v>41572</v>
      </c>
      <c r="K6599" t="s">
        <v>41573</v>
      </c>
      <c r="L6599" t="s">
        <v>41567</v>
      </c>
    </row>
    <row r="6600" spans="1:12" x14ac:dyDescent="0.25">
      <c r="A6600">
        <v>1165897</v>
      </c>
      <c r="B6600">
        <v>1165904</v>
      </c>
      <c r="D6600">
        <v>0</v>
      </c>
      <c r="E6600" t="s">
        <v>41575</v>
      </c>
      <c r="F6600" t="s">
        <v>41576</v>
      </c>
      <c r="G6600" t="s">
        <v>41577</v>
      </c>
      <c r="H6600" t="e" vm="2881">
        <f>_FV(0,"02657708789975279")</f>
        <v>#VALUE!</v>
      </c>
      <c r="I6600" t="s">
        <v>41578</v>
      </c>
      <c r="J6600" t="s">
        <v>41579</v>
      </c>
      <c r="K6600" t="s">
        <v>41580</v>
      </c>
      <c r="L6600" t="s">
        <v>41574</v>
      </c>
    </row>
    <row r="6601" spans="1:12" x14ac:dyDescent="0.25">
      <c r="A6601">
        <v>1165897</v>
      </c>
      <c r="B6601">
        <v>1607720</v>
      </c>
      <c r="D6601">
        <v>0</v>
      </c>
      <c r="E6601" t="s">
        <v>41582</v>
      </c>
      <c r="F6601" t="s">
        <v>41583</v>
      </c>
      <c r="G6601" t="s">
        <v>41584</v>
      </c>
      <c r="H6601" t="e" vm="2882">
        <f>_FV(0,"0018514831532470831")</f>
        <v>#VALUE!</v>
      </c>
      <c r="I6601" t="s">
        <v>41585</v>
      </c>
      <c r="J6601" t="s">
        <v>41586</v>
      </c>
      <c r="K6601" t="s">
        <v>41587</v>
      </c>
      <c r="L6601" t="s">
        <v>41581</v>
      </c>
    </row>
    <row r="6602" spans="1:12" x14ac:dyDescent="0.25">
      <c r="A6602">
        <v>1165904</v>
      </c>
      <c r="B6602">
        <v>1607704</v>
      </c>
      <c r="D6602">
        <v>0</v>
      </c>
      <c r="E6602" t="s">
        <v>41589</v>
      </c>
      <c r="F6602" t="s">
        <v>41590</v>
      </c>
      <c r="G6602" t="s">
        <v>41591</v>
      </c>
      <c r="H6602" t="e" vm="2883">
        <f>_FV(0,"0061800229299368474")</f>
        <v>#VALUE!</v>
      </c>
      <c r="I6602" t="s">
        <v>41592</v>
      </c>
      <c r="J6602" t="s">
        <v>41593</v>
      </c>
      <c r="K6602" t="s">
        <v>41594</v>
      </c>
      <c r="L6602" t="s">
        <v>41588</v>
      </c>
    </row>
    <row r="6603" spans="1:12" x14ac:dyDescent="0.25">
      <c r="A6603">
        <v>1165943</v>
      </c>
      <c r="B6603">
        <v>1165956</v>
      </c>
      <c r="D6603">
        <v>0</v>
      </c>
      <c r="E6603" t="s">
        <v>41596</v>
      </c>
      <c r="F6603" t="s">
        <v>41597</v>
      </c>
      <c r="G6603" t="s">
        <v>41598</v>
      </c>
      <c r="H6603" t="s">
        <v>41599</v>
      </c>
      <c r="I6603" t="s">
        <v>41600</v>
      </c>
      <c r="J6603" t="s">
        <v>41601</v>
      </c>
      <c r="K6603" t="s">
        <v>41602</v>
      </c>
      <c r="L6603" t="s">
        <v>41595</v>
      </c>
    </row>
    <row r="6604" spans="1:12" x14ac:dyDescent="0.25">
      <c r="A6604">
        <v>1165973</v>
      </c>
      <c r="B6604">
        <v>1166058</v>
      </c>
      <c r="D6604">
        <v>0</v>
      </c>
      <c r="E6604" t="s">
        <v>41604</v>
      </c>
      <c r="F6604" t="s">
        <v>41605</v>
      </c>
      <c r="G6604" t="s">
        <v>41606</v>
      </c>
      <c r="H6604" t="s">
        <v>41607</v>
      </c>
      <c r="I6604" t="s">
        <v>41608</v>
      </c>
      <c r="J6604" t="s">
        <v>41609</v>
      </c>
      <c r="K6604" t="s">
        <v>41610</v>
      </c>
      <c r="L6604" t="s">
        <v>41603</v>
      </c>
    </row>
    <row r="6605" spans="1:12" x14ac:dyDescent="0.25">
      <c r="A6605">
        <v>1165973</v>
      </c>
      <c r="B6605">
        <v>1166797</v>
      </c>
      <c r="D6605">
        <v>0</v>
      </c>
      <c r="E6605" t="s">
        <v>41612</v>
      </c>
      <c r="F6605" t="s">
        <v>41613</v>
      </c>
      <c r="G6605" t="s">
        <v>41614</v>
      </c>
      <c r="H6605" t="s">
        <v>41615</v>
      </c>
      <c r="I6605" t="s">
        <v>41616</v>
      </c>
      <c r="J6605" t="s">
        <v>41617</v>
      </c>
      <c r="K6605" t="s">
        <v>41618</v>
      </c>
      <c r="L6605" t="s">
        <v>41611</v>
      </c>
    </row>
    <row r="6606" spans="1:12" x14ac:dyDescent="0.25">
      <c r="A6606">
        <v>1166058</v>
      </c>
      <c r="B6606">
        <v>1166789</v>
      </c>
      <c r="D6606">
        <v>0</v>
      </c>
      <c r="E6606" t="s">
        <v>41620</v>
      </c>
      <c r="F6606" t="s">
        <v>41621</v>
      </c>
      <c r="G6606" t="s">
        <v>41622</v>
      </c>
      <c r="H6606" t="s">
        <v>41623</v>
      </c>
      <c r="I6606" t="s">
        <v>41624</v>
      </c>
      <c r="J6606" t="s">
        <v>41625</v>
      </c>
      <c r="K6606" t="s">
        <v>41626</v>
      </c>
      <c r="L6606" t="s">
        <v>41619</v>
      </c>
    </row>
    <row r="6607" spans="1:12" x14ac:dyDescent="0.25">
      <c r="A6607">
        <v>1166768</v>
      </c>
      <c r="B6607">
        <v>1361318</v>
      </c>
      <c r="D6607" t="s">
        <v>4301</v>
      </c>
      <c r="E6607" t="s">
        <v>41628</v>
      </c>
      <c r="F6607" t="s">
        <v>41629</v>
      </c>
      <c r="G6607" t="s">
        <v>41630</v>
      </c>
      <c r="H6607" t="s">
        <v>41631</v>
      </c>
      <c r="I6607" t="s">
        <v>41632</v>
      </c>
      <c r="J6607" t="s">
        <v>41633</v>
      </c>
      <c r="K6607" t="s">
        <v>41634</v>
      </c>
      <c r="L6607" t="s">
        <v>41627</v>
      </c>
    </row>
    <row r="6608" spans="1:12" x14ac:dyDescent="0.25">
      <c r="A6608">
        <v>1166768</v>
      </c>
      <c r="B6608">
        <v>1807739</v>
      </c>
      <c r="D6608">
        <v>0</v>
      </c>
      <c r="E6608" t="s">
        <v>41636</v>
      </c>
      <c r="F6608" t="s">
        <v>41637</v>
      </c>
      <c r="G6608" t="s">
        <v>41638</v>
      </c>
      <c r="H6608" t="s">
        <v>41639</v>
      </c>
      <c r="I6608" t="s">
        <v>41640</v>
      </c>
      <c r="J6608" t="s">
        <v>41635</v>
      </c>
      <c r="K6608" t="s">
        <v>41641</v>
      </c>
      <c r="L6608" t="s">
        <v>41635</v>
      </c>
    </row>
    <row r="6609" spans="1:12" x14ac:dyDescent="0.25">
      <c r="A6609">
        <v>1166769</v>
      </c>
      <c r="B6609">
        <v>1379580</v>
      </c>
      <c r="D6609" t="s">
        <v>2793</v>
      </c>
      <c r="E6609" t="s">
        <v>41643</v>
      </c>
      <c r="F6609" t="s">
        <v>41644</v>
      </c>
      <c r="G6609" t="s">
        <v>41645</v>
      </c>
      <c r="H6609" t="e" vm="2884">
        <f>_FV(0,"0008851919749490447")</f>
        <v>#VALUE!</v>
      </c>
      <c r="I6609" t="s">
        <v>41646</v>
      </c>
      <c r="J6609" t="s">
        <v>41647</v>
      </c>
      <c r="K6609" t="s">
        <v>41648</v>
      </c>
      <c r="L6609" t="s">
        <v>41642</v>
      </c>
    </row>
    <row r="6610" spans="1:12" x14ac:dyDescent="0.25">
      <c r="A6610">
        <v>1166769</v>
      </c>
      <c r="B6610">
        <v>1821039</v>
      </c>
      <c r="C6610" t="s">
        <v>187</v>
      </c>
      <c r="D6610">
        <v>0</v>
      </c>
      <c r="E6610" t="s">
        <v>41650</v>
      </c>
      <c r="F6610" t="s">
        <v>41651</v>
      </c>
      <c r="G6610" t="s">
        <v>41652</v>
      </c>
      <c r="H6610" t="e" vm="2885">
        <f>_FV(0,"0009483784331374677")</f>
        <v>#VALUE!</v>
      </c>
      <c r="I6610" t="s">
        <v>41653</v>
      </c>
      <c r="J6610" t="s">
        <v>41654</v>
      </c>
      <c r="K6610" t="s">
        <v>41655</v>
      </c>
      <c r="L6610" t="s">
        <v>41649</v>
      </c>
    </row>
    <row r="6611" spans="1:12" x14ac:dyDescent="0.25">
      <c r="A6611">
        <v>1166769</v>
      </c>
      <c r="B6611">
        <v>1379046</v>
      </c>
      <c r="D6611">
        <v>0</v>
      </c>
      <c r="E6611" t="s">
        <v>41657</v>
      </c>
      <c r="F6611" t="s">
        <v>41658</v>
      </c>
      <c r="G6611" t="s">
        <v>41659</v>
      </c>
      <c r="H6611" t="e" vm="2886">
        <f>_FV(0,"002089037483458397")</f>
        <v>#VALUE!</v>
      </c>
      <c r="I6611" t="s">
        <v>41660</v>
      </c>
      <c r="J6611" t="s">
        <v>41661</v>
      </c>
      <c r="K6611" t="s">
        <v>41662</v>
      </c>
      <c r="L6611" t="s">
        <v>41656</v>
      </c>
    </row>
    <row r="6612" spans="1:12" x14ac:dyDescent="0.25">
      <c r="A6612">
        <v>1166780</v>
      </c>
      <c r="B6612">
        <v>1166789</v>
      </c>
      <c r="D6612">
        <v>0</v>
      </c>
      <c r="E6612" t="s">
        <v>41663</v>
      </c>
      <c r="F6612" t="s">
        <v>41664</v>
      </c>
      <c r="G6612" t="s">
        <v>41665</v>
      </c>
      <c r="H6612" t="s">
        <v>41666</v>
      </c>
      <c r="I6612" t="s">
        <v>41667</v>
      </c>
      <c r="J6612" t="s">
        <v>1538</v>
      </c>
      <c r="K6612" t="s">
        <v>41668</v>
      </c>
      <c r="L6612" t="s">
        <v>1538</v>
      </c>
    </row>
    <row r="6613" spans="1:12" x14ac:dyDescent="0.25">
      <c r="A6613">
        <v>1166780</v>
      </c>
      <c r="B6613">
        <v>1166934</v>
      </c>
      <c r="D6613">
        <v>0</v>
      </c>
      <c r="E6613" t="s">
        <v>41670</v>
      </c>
      <c r="F6613" t="s">
        <v>41671</v>
      </c>
      <c r="G6613" t="s">
        <v>41672</v>
      </c>
      <c r="H6613" t="e" vm="2887">
        <f>_FV(0,"006395701291958043")</f>
        <v>#VALUE!</v>
      </c>
      <c r="I6613" t="s">
        <v>41673</v>
      </c>
      <c r="J6613" t="s">
        <v>41674</v>
      </c>
      <c r="K6613" t="s">
        <v>41675</v>
      </c>
      <c r="L6613" t="s">
        <v>41669</v>
      </c>
    </row>
    <row r="6614" spans="1:12" x14ac:dyDescent="0.25">
      <c r="A6614">
        <v>1166789</v>
      </c>
      <c r="B6614">
        <v>1166797</v>
      </c>
      <c r="D6614">
        <v>0</v>
      </c>
      <c r="E6614" t="s">
        <v>41677</v>
      </c>
      <c r="F6614" t="s">
        <v>41678</v>
      </c>
      <c r="G6614" t="s">
        <v>41679</v>
      </c>
      <c r="H6614" t="e" vm="2888">
        <f>_FV(0,"03878313280654382")</f>
        <v>#VALUE!</v>
      </c>
      <c r="I6614" t="s">
        <v>41680</v>
      </c>
      <c r="J6614" t="s">
        <v>41681</v>
      </c>
      <c r="K6614" t="s">
        <v>41682</v>
      </c>
      <c r="L6614" t="s">
        <v>41676</v>
      </c>
    </row>
    <row r="6615" spans="1:12" x14ac:dyDescent="0.25">
      <c r="A6615">
        <v>1166797</v>
      </c>
      <c r="B6615">
        <v>1166959</v>
      </c>
      <c r="D6615" t="s">
        <v>41684</v>
      </c>
      <c r="E6615" t="s">
        <v>41685</v>
      </c>
      <c r="F6615" t="s">
        <v>41686</v>
      </c>
      <c r="G6615" t="s">
        <v>41687</v>
      </c>
      <c r="H6615" t="e" vm="2889">
        <f>_FV(-1,"0670919367304902e")-5</f>
        <v>#VALUE!</v>
      </c>
      <c r="I6615" t="s">
        <v>41688</v>
      </c>
      <c r="J6615" t="s">
        <v>41689</v>
      </c>
      <c r="K6615" t="s">
        <v>41690</v>
      </c>
      <c r="L6615" t="s">
        <v>41683</v>
      </c>
    </row>
    <row r="6616" spans="1:12" x14ac:dyDescent="0.25">
      <c r="A6616">
        <v>1166895</v>
      </c>
      <c r="B6616">
        <v>1166912</v>
      </c>
      <c r="D6616">
        <v>0</v>
      </c>
      <c r="E6616" t="s">
        <v>41692</v>
      </c>
      <c r="F6616" t="s">
        <v>41693</v>
      </c>
      <c r="G6616" t="s">
        <v>41694</v>
      </c>
      <c r="H6616" t="e" vm="2890">
        <f>_FV(0,"08771702118791451")</f>
        <v>#VALUE!</v>
      </c>
      <c r="I6616" t="s">
        <v>41695</v>
      </c>
      <c r="J6616" t="s">
        <v>41696</v>
      </c>
      <c r="K6616" t="s">
        <v>41697</v>
      </c>
      <c r="L6616" t="s">
        <v>41691</v>
      </c>
    </row>
    <row r="6617" spans="1:12" x14ac:dyDescent="0.25">
      <c r="A6617">
        <v>1166936</v>
      </c>
      <c r="B6617">
        <v>1166959</v>
      </c>
      <c r="D6617">
        <v>0</v>
      </c>
      <c r="E6617" t="s">
        <v>41699</v>
      </c>
      <c r="F6617" t="s">
        <v>41700</v>
      </c>
      <c r="G6617" t="s">
        <v>41701</v>
      </c>
      <c r="H6617" t="s">
        <v>41702</v>
      </c>
      <c r="I6617" t="s">
        <v>41703</v>
      </c>
      <c r="J6617" t="s">
        <v>41704</v>
      </c>
      <c r="K6617" t="s">
        <v>41705</v>
      </c>
      <c r="L6617" t="s">
        <v>41698</v>
      </c>
    </row>
    <row r="6618" spans="1:12" x14ac:dyDescent="0.25">
      <c r="A6618">
        <v>1166936</v>
      </c>
      <c r="B6618">
        <v>1167069</v>
      </c>
      <c r="D6618">
        <v>0</v>
      </c>
      <c r="E6618" t="s">
        <v>41707</v>
      </c>
      <c r="F6618" t="s">
        <v>41708</v>
      </c>
      <c r="G6618" t="s">
        <v>41709</v>
      </c>
      <c r="H6618" t="e" vm="2891">
        <f>_FV(0,"012686654327639178")</f>
        <v>#VALUE!</v>
      </c>
      <c r="I6618" t="s">
        <v>41710</v>
      </c>
      <c r="J6618" t="s">
        <v>41711</v>
      </c>
      <c r="K6618" t="s">
        <v>41712</v>
      </c>
      <c r="L6618" t="s">
        <v>41706</v>
      </c>
    </row>
    <row r="6619" spans="1:12" x14ac:dyDescent="0.25">
      <c r="A6619">
        <v>1166968</v>
      </c>
      <c r="B6619">
        <v>1834398</v>
      </c>
      <c r="D6619" t="s">
        <v>1875</v>
      </c>
      <c r="E6619" t="s">
        <v>41714</v>
      </c>
      <c r="F6619" t="s">
        <v>41715</v>
      </c>
      <c r="G6619" t="s">
        <v>41716</v>
      </c>
      <c r="H6619" t="s">
        <v>41717</v>
      </c>
      <c r="I6619" t="s">
        <v>41718</v>
      </c>
      <c r="J6619" t="s">
        <v>41719</v>
      </c>
      <c r="K6619" t="s">
        <v>41720</v>
      </c>
      <c r="L6619" t="s">
        <v>41713</v>
      </c>
    </row>
    <row r="6620" spans="1:12" x14ac:dyDescent="0.25">
      <c r="A6620">
        <v>1167055</v>
      </c>
      <c r="B6620">
        <v>1167069</v>
      </c>
      <c r="D6620">
        <v>0</v>
      </c>
      <c r="E6620" t="s">
        <v>41722</v>
      </c>
      <c r="F6620" t="s">
        <v>41723</v>
      </c>
      <c r="G6620" t="s">
        <v>41724</v>
      </c>
      <c r="H6620" t="s">
        <v>41725</v>
      </c>
      <c r="I6620" t="s">
        <v>41726</v>
      </c>
      <c r="J6620" t="s">
        <v>41727</v>
      </c>
      <c r="K6620" t="s">
        <v>41728</v>
      </c>
      <c r="L6620" t="s">
        <v>41721</v>
      </c>
    </row>
    <row r="6621" spans="1:12" x14ac:dyDescent="0.25">
      <c r="A6621">
        <v>1167055</v>
      </c>
      <c r="B6621">
        <v>1607704</v>
      </c>
      <c r="C6621" t="s">
        <v>41730</v>
      </c>
      <c r="D6621" t="s">
        <v>257</v>
      </c>
      <c r="E6621" t="s">
        <v>41731</v>
      </c>
      <c r="F6621" t="s">
        <v>41732</v>
      </c>
      <c r="G6621" t="s">
        <v>41733</v>
      </c>
      <c r="H6621" t="s">
        <v>41734</v>
      </c>
      <c r="I6621" t="s">
        <v>41735</v>
      </c>
      <c r="J6621" t="s">
        <v>41736</v>
      </c>
      <c r="K6621" t="s">
        <v>41737</v>
      </c>
      <c r="L6621" t="s">
        <v>41729</v>
      </c>
    </row>
    <row r="6622" spans="1:12" x14ac:dyDescent="0.25">
      <c r="A6622">
        <v>1167955</v>
      </c>
      <c r="B6622">
        <v>1255317</v>
      </c>
      <c r="D6622">
        <v>0</v>
      </c>
      <c r="E6622" t="s">
        <v>41739</v>
      </c>
      <c r="F6622" t="s">
        <v>41740</v>
      </c>
      <c r="G6622" t="s">
        <v>41741</v>
      </c>
      <c r="H6622" t="e" vm="2892">
        <f>_FV(0,"0016959095668804835")</f>
        <v>#VALUE!</v>
      </c>
      <c r="I6622" t="s">
        <v>41742</v>
      </c>
      <c r="J6622" t="s">
        <v>41743</v>
      </c>
      <c r="K6622" t="s">
        <v>41744</v>
      </c>
      <c r="L6622" t="s">
        <v>41738</v>
      </c>
    </row>
    <row r="6623" spans="1:12" x14ac:dyDescent="0.25">
      <c r="A6623">
        <v>1168630</v>
      </c>
      <c r="B6623">
        <v>1168652</v>
      </c>
      <c r="D6623" t="s">
        <v>41746</v>
      </c>
      <c r="E6623" t="s">
        <v>41747</v>
      </c>
      <c r="F6623" t="s">
        <v>41748</v>
      </c>
      <c r="G6623" t="s">
        <v>41749</v>
      </c>
      <c r="H6623" t="s">
        <v>41750</v>
      </c>
      <c r="I6623" t="s">
        <v>41751</v>
      </c>
      <c r="J6623" t="s">
        <v>41752</v>
      </c>
      <c r="K6623" t="s">
        <v>41753</v>
      </c>
      <c r="L6623" t="s">
        <v>41745</v>
      </c>
    </row>
    <row r="6624" spans="1:12" x14ac:dyDescent="0.25">
      <c r="A6624">
        <v>1168633</v>
      </c>
      <c r="B6624">
        <v>1168660</v>
      </c>
      <c r="D6624" t="s">
        <v>41755</v>
      </c>
      <c r="E6624" t="s">
        <v>41756</v>
      </c>
      <c r="F6624" t="s">
        <v>41757</v>
      </c>
      <c r="G6624" t="s">
        <v>41758</v>
      </c>
      <c r="H6624" t="s">
        <v>41759</v>
      </c>
      <c r="I6624" t="s">
        <v>41760</v>
      </c>
      <c r="J6624" t="s">
        <v>41761</v>
      </c>
      <c r="K6624" t="s">
        <v>41762</v>
      </c>
      <c r="L6624" t="s">
        <v>41754</v>
      </c>
    </row>
    <row r="6625" spans="1:12" x14ac:dyDescent="0.25">
      <c r="A6625">
        <v>1168633</v>
      </c>
      <c r="B6625">
        <v>1169244</v>
      </c>
      <c r="D6625">
        <v>0</v>
      </c>
      <c r="F6625">
        <v>1249947</v>
      </c>
      <c r="G6625">
        <v>1168633</v>
      </c>
      <c r="H6625" t="s">
        <v>187</v>
      </c>
      <c r="I6625">
        <v>1169244</v>
      </c>
      <c r="J6625" t="s">
        <v>187</v>
      </c>
      <c r="K6625" t="s">
        <v>41763</v>
      </c>
      <c r="L6625" t="s">
        <v>187</v>
      </c>
    </row>
    <row r="6626" spans="1:12" x14ac:dyDescent="0.25">
      <c r="A6626">
        <v>1168633</v>
      </c>
      <c r="B6626">
        <v>1169801</v>
      </c>
      <c r="D6626">
        <v>0</v>
      </c>
      <c r="E6626" t="s">
        <v>41765</v>
      </c>
      <c r="F6626" t="s">
        <v>41766</v>
      </c>
      <c r="G6626" t="s">
        <v>41767</v>
      </c>
      <c r="H6626" t="s">
        <v>41768</v>
      </c>
      <c r="I6626" t="s">
        <v>41769</v>
      </c>
      <c r="J6626" t="s">
        <v>41764</v>
      </c>
      <c r="K6626" t="s">
        <v>41770</v>
      </c>
      <c r="L6626" t="s">
        <v>41764</v>
      </c>
    </row>
    <row r="6627" spans="1:12" x14ac:dyDescent="0.25">
      <c r="A6627">
        <v>1168652</v>
      </c>
      <c r="B6627">
        <v>1169091</v>
      </c>
      <c r="D6627">
        <v>0</v>
      </c>
      <c r="E6627" t="s">
        <v>41772</v>
      </c>
      <c r="F6627" t="s">
        <v>41773</v>
      </c>
      <c r="G6627" t="s">
        <v>41774</v>
      </c>
      <c r="H6627" t="e" vm="2893">
        <f>_FV(0,"0406653218901887")</f>
        <v>#VALUE!</v>
      </c>
      <c r="I6627" t="s">
        <v>41775</v>
      </c>
      <c r="J6627" t="s">
        <v>41776</v>
      </c>
      <c r="K6627" t="s">
        <v>41777</v>
      </c>
      <c r="L6627" t="s">
        <v>41771</v>
      </c>
    </row>
    <row r="6628" spans="1:12" x14ac:dyDescent="0.25">
      <c r="A6628">
        <v>1168652</v>
      </c>
      <c r="B6628">
        <v>1169678</v>
      </c>
      <c r="D6628">
        <v>0</v>
      </c>
      <c r="E6628" t="s">
        <v>41779</v>
      </c>
      <c r="F6628" t="s">
        <v>41780</v>
      </c>
      <c r="G6628" t="s">
        <v>41781</v>
      </c>
      <c r="H6628" t="s">
        <v>41782</v>
      </c>
      <c r="I6628" t="s">
        <v>41783</v>
      </c>
      <c r="J6628" t="s">
        <v>41784</v>
      </c>
      <c r="K6628" t="s">
        <v>41785</v>
      </c>
      <c r="L6628" t="s">
        <v>41778</v>
      </c>
    </row>
    <row r="6629" spans="1:12" x14ac:dyDescent="0.25">
      <c r="A6629">
        <v>1168660</v>
      </c>
      <c r="B6629">
        <v>1169334</v>
      </c>
      <c r="D6629">
        <v>0</v>
      </c>
      <c r="F6629">
        <v>1250042</v>
      </c>
      <c r="G6629">
        <v>1169334</v>
      </c>
      <c r="H6629" t="e" vm="1851">
        <f>_FV(0,"051")</f>
        <v>#VALUE!</v>
      </c>
      <c r="I6629">
        <v>1168660</v>
      </c>
      <c r="J6629" t="s">
        <v>7670</v>
      </c>
      <c r="K6629" t="s">
        <v>41786</v>
      </c>
      <c r="L6629" t="e" vm="1851">
        <f>_FV(0,"051")</f>
        <v>#VALUE!</v>
      </c>
    </row>
    <row r="6630" spans="1:12" x14ac:dyDescent="0.25">
      <c r="A6630">
        <v>1168660</v>
      </c>
      <c r="B6630">
        <v>1169541</v>
      </c>
      <c r="D6630">
        <v>0</v>
      </c>
      <c r="E6630" t="s">
        <v>41788</v>
      </c>
      <c r="F6630" t="s">
        <v>41789</v>
      </c>
      <c r="G6630" t="s">
        <v>41790</v>
      </c>
      <c r="H6630" t="e" vm="2894">
        <f>_FV(0,"050970379029577434")</f>
        <v>#VALUE!</v>
      </c>
      <c r="I6630" t="s">
        <v>41791</v>
      </c>
      <c r="J6630" t="s">
        <v>41792</v>
      </c>
      <c r="K6630" t="s">
        <v>41793</v>
      </c>
      <c r="L6630" t="s">
        <v>41787</v>
      </c>
    </row>
    <row r="6631" spans="1:12" x14ac:dyDescent="0.25">
      <c r="A6631">
        <v>1168662</v>
      </c>
      <c r="B6631">
        <v>1169628</v>
      </c>
      <c r="D6631">
        <v>0</v>
      </c>
      <c r="E6631" t="s">
        <v>41795</v>
      </c>
      <c r="F6631" t="s">
        <v>41796</v>
      </c>
      <c r="G6631" t="s">
        <v>41797</v>
      </c>
      <c r="H6631" t="e" vm="2895">
        <f>_FV(0,"006003569757757401")</f>
        <v>#VALUE!</v>
      </c>
      <c r="I6631" t="s">
        <v>41798</v>
      </c>
      <c r="J6631" t="s">
        <v>41799</v>
      </c>
      <c r="K6631" t="s">
        <v>41800</v>
      </c>
      <c r="L6631" t="s">
        <v>41794</v>
      </c>
    </row>
    <row r="6632" spans="1:12" x14ac:dyDescent="0.25">
      <c r="A6632">
        <v>1168662</v>
      </c>
      <c r="B6632">
        <v>1169093</v>
      </c>
      <c r="D6632">
        <v>0</v>
      </c>
      <c r="E6632" t="s">
        <v>41802</v>
      </c>
      <c r="F6632" t="s">
        <v>41803</v>
      </c>
      <c r="G6632" t="s">
        <v>41804</v>
      </c>
      <c r="H6632" t="s">
        <v>41805</v>
      </c>
      <c r="I6632" t="s">
        <v>41806</v>
      </c>
      <c r="J6632" t="s">
        <v>41801</v>
      </c>
      <c r="K6632" t="s">
        <v>41807</v>
      </c>
      <c r="L6632" t="s">
        <v>41801</v>
      </c>
    </row>
    <row r="6633" spans="1:12" x14ac:dyDescent="0.25">
      <c r="A6633">
        <v>1168672</v>
      </c>
      <c r="B6633">
        <v>1169350</v>
      </c>
      <c r="D6633">
        <v>0</v>
      </c>
      <c r="E6633" t="s">
        <v>41809</v>
      </c>
      <c r="F6633" t="s">
        <v>41810</v>
      </c>
      <c r="G6633" t="s">
        <v>41811</v>
      </c>
      <c r="H6633" t="s">
        <v>41812</v>
      </c>
      <c r="I6633" t="s">
        <v>41813</v>
      </c>
      <c r="J6633" t="s">
        <v>41808</v>
      </c>
      <c r="K6633" t="s">
        <v>41814</v>
      </c>
      <c r="L6633" t="s">
        <v>41808</v>
      </c>
    </row>
    <row r="6634" spans="1:12" x14ac:dyDescent="0.25">
      <c r="A6634">
        <v>1168672</v>
      </c>
      <c r="B6634">
        <v>1306026</v>
      </c>
      <c r="D6634">
        <v>0</v>
      </c>
      <c r="E6634" t="s">
        <v>41815</v>
      </c>
      <c r="F6634" t="s">
        <v>41816</v>
      </c>
      <c r="G6634" t="s">
        <v>41817</v>
      </c>
      <c r="H6634" t="s">
        <v>1534</v>
      </c>
      <c r="I6634" t="s">
        <v>41818</v>
      </c>
      <c r="J6634" t="s">
        <v>1534</v>
      </c>
      <c r="K6634" t="s">
        <v>41819</v>
      </c>
      <c r="L6634" t="s">
        <v>1534</v>
      </c>
    </row>
    <row r="6635" spans="1:12" x14ac:dyDescent="0.25">
      <c r="A6635">
        <v>1168678</v>
      </c>
      <c r="B6635">
        <v>1169628</v>
      </c>
      <c r="D6635">
        <v>0</v>
      </c>
      <c r="F6635">
        <v>1250470</v>
      </c>
      <c r="G6635">
        <v>1169628</v>
      </c>
      <c r="H6635" t="s">
        <v>250</v>
      </c>
      <c r="I6635">
        <v>1168678</v>
      </c>
      <c r="J6635" t="s">
        <v>250</v>
      </c>
      <c r="K6635" t="s">
        <v>41820</v>
      </c>
      <c r="L6635" t="s">
        <v>250</v>
      </c>
    </row>
    <row r="6636" spans="1:12" x14ac:dyDescent="0.25">
      <c r="A6636">
        <v>1168678</v>
      </c>
      <c r="B6636">
        <v>1168691</v>
      </c>
      <c r="D6636">
        <v>0</v>
      </c>
      <c r="E6636" t="s">
        <v>41822</v>
      </c>
      <c r="F6636" t="s">
        <v>41823</v>
      </c>
      <c r="G6636" t="s">
        <v>41824</v>
      </c>
      <c r="H6636" t="e" vm="2896">
        <f>_FV(0,"07822327655167023")</f>
        <v>#VALUE!</v>
      </c>
      <c r="I6636" t="s">
        <v>41825</v>
      </c>
      <c r="J6636" t="s">
        <v>41826</v>
      </c>
      <c r="K6636" t="s">
        <v>41827</v>
      </c>
      <c r="L6636" t="s">
        <v>41821</v>
      </c>
    </row>
    <row r="6637" spans="1:12" x14ac:dyDescent="0.25">
      <c r="A6637">
        <v>1168678</v>
      </c>
      <c r="B6637">
        <v>1168736</v>
      </c>
      <c r="D6637">
        <v>0</v>
      </c>
      <c r="E6637" t="s">
        <v>41829</v>
      </c>
      <c r="F6637" t="s">
        <v>41830</v>
      </c>
      <c r="G6637" t="s">
        <v>41831</v>
      </c>
      <c r="H6637" t="s">
        <v>41832</v>
      </c>
      <c r="I6637" t="s">
        <v>41833</v>
      </c>
      <c r="J6637" t="s">
        <v>41834</v>
      </c>
      <c r="K6637" t="s">
        <v>41835</v>
      </c>
      <c r="L6637" t="s">
        <v>41828</v>
      </c>
    </row>
    <row r="6638" spans="1:12" x14ac:dyDescent="0.25">
      <c r="A6638">
        <v>1168691</v>
      </c>
      <c r="B6638">
        <v>1168793</v>
      </c>
      <c r="D6638">
        <v>0</v>
      </c>
      <c r="E6638" t="s">
        <v>41837</v>
      </c>
      <c r="F6638" t="s">
        <v>41838</v>
      </c>
      <c r="G6638" t="s">
        <v>41839</v>
      </c>
      <c r="H6638" t="e" vm="2897">
        <f>_FV(0,"07696018087177238")</f>
        <v>#VALUE!</v>
      </c>
      <c r="I6638" t="s">
        <v>41840</v>
      </c>
      <c r="J6638" t="s">
        <v>41841</v>
      </c>
      <c r="K6638" t="s">
        <v>41842</v>
      </c>
      <c r="L6638" t="s">
        <v>41836</v>
      </c>
    </row>
    <row r="6639" spans="1:12" x14ac:dyDescent="0.25">
      <c r="A6639">
        <v>1168691</v>
      </c>
      <c r="B6639">
        <v>1168736</v>
      </c>
      <c r="D6639">
        <v>0</v>
      </c>
      <c r="E6639" t="s">
        <v>41844</v>
      </c>
      <c r="F6639" t="s">
        <v>41845</v>
      </c>
      <c r="G6639" t="s">
        <v>41846</v>
      </c>
      <c r="H6639" t="e" vm="2898">
        <f>_FV(0,"0641228546303219")</f>
        <v>#VALUE!</v>
      </c>
      <c r="I6639" t="s">
        <v>41847</v>
      </c>
      <c r="J6639" t="s">
        <v>41848</v>
      </c>
      <c r="K6639" t="s">
        <v>41849</v>
      </c>
      <c r="L6639" t="s">
        <v>41843</v>
      </c>
    </row>
    <row r="6640" spans="1:12" x14ac:dyDescent="0.25">
      <c r="A6640">
        <v>1168736</v>
      </c>
      <c r="B6640">
        <v>1169678</v>
      </c>
      <c r="D6640">
        <v>0</v>
      </c>
      <c r="F6640">
        <v>1250439</v>
      </c>
      <c r="G6640">
        <v>1168736</v>
      </c>
      <c r="H6640" t="s">
        <v>19420</v>
      </c>
      <c r="I6640">
        <v>1169678</v>
      </c>
      <c r="J6640" t="s">
        <v>19420</v>
      </c>
      <c r="K6640" t="s">
        <v>41850</v>
      </c>
      <c r="L6640" t="s">
        <v>19420</v>
      </c>
    </row>
    <row r="6641" spans="1:12" x14ac:dyDescent="0.25">
      <c r="A6641">
        <v>1168793</v>
      </c>
      <c r="B6641">
        <v>1168805</v>
      </c>
      <c r="D6641">
        <v>0</v>
      </c>
      <c r="E6641" t="s">
        <v>41852</v>
      </c>
      <c r="F6641" t="s">
        <v>41853</v>
      </c>
      <c r="G6641" t="s">
        <v>41854</v>
      </c>
      <c r="H6641" t="e" vm="2899">
        <f>_FV(0,"0671795719780993")</f>
        <v>#VALUE!</v>
      </c>
      <c r="I6641" t="s">
        <v>41855</v>
      </c>
      <c r="J6641" t="s">
        <v>41856</v>
      </c>
      <c r="K6641" t="s">
        <v>41857</v>
      </c>
      <c r="L6641" t="s">
        <v>41851</v>
      </c>
    </row>
    <row r="6642" spans="1:12" x14ac:dyDescent="0.25">
      <c r="A6642">
        <v>1168793</v>
      </c>
      <c r="B6642">
        <v>1168823</v>
      </c>
      <c r="D6642">
        <v>0</v>
      </c>
      <c r="E6642" t="s">
        <v>41859</v>
      </c>
      <c r="F6642" t="s">
        <v>41860</v>
      </c>
      <c r="G6642" t="s">
        <v>41861</v>
      </c>
      <c r="H6642" t="e" vm="2900">
        <f>_FV(0,"07853656306423508")</f>
        <v>#VALUE!</v>
      </c>
      <c r="I6642" t="s">
        <v>41862</v>
      </c>
      <c r="J6642" t="s">
        <v>14064</v>
      </c>
      <c r="K6642" t="s">
        <v>41863</v>
      </c>
      <c r="L6642" t="s">
        <v>41858</v>
      </c>
    </row>
    <row r="6643" spans="1:12" x14ac:dyDescent="0.25">
      <c r="A6643">
        <v>1168805</v>
      </c>
      <c r="B6643">
        <v>1168823</v>
      </c>
      <c r="D6643">
        <v>0</v>
      </c>
      <c r="E6643" t="s">
        <v>41865</v>
      </c>
      <c r="F6643" t="s">
        <v>41866</v>
      </c>
      <c r="G6643" t="s">
        <v>41867</v>
      </c>
      <c r="H6643" t="e" vm="2901">
        <f>_FV(0,"018064723827087504")</f>
        <v>#VALUE!</v>
      </c>
      <c r="I6643" t="s">
        <v>41868</v>
      </c>
      <c r="J6643" t="s">
        <v>41869</v>
      </c>
      <c r="K6643" t="s">
        <v>41870</v>
      </c>
      <c r="L6643" t="s">
        <v>41864</v>
      </c>
    </row>
    <row r="6644" spans="1:12" x14ac:dyDescent="0.25">
      <c r="A6644">
        <v>1168805</v>
      </c>
      <c r="B6644">
        <v>1169582</v>
      </c>
      <c r="D6644">
        <v>0</v>
      </c>
      <c r="F6644">
        <v>1250346</v>
      </c>
      <c r="G6644">
        <v>1168805</v>
      </c>
      <c r="H6644" t="e" vm="2902">
        <f>_FV(0,"446")</f>
        <v>#VALUE!</v>
      </c>
      <c r="I6644">
        <v>1169582</v>
      </c>
      <c r="J6644" t="s">
        <v>41871</v>
      </c>
      <c r="K6644" t="s">
        <v>41872</v>
      </c>
      <c r="L6644" t="e" vm="2902">
        <f>_FV(0,"446")</f>
        <v>#VALUE!</v>
      </c>
    </row>
    <row r="6645" spans="1:12" x14ac:dyDescent="0.25">
      <c r="A6645">
        <v>1168823</v>
      </c>
      <c r="B6645">
        <v>1169541</v>
      </c>
      <c r="D6645">
        <v>0</v>
      </c>
      <c r="F6645">
        <v>1250295</v>
      </c>
      <c r="G6645">
        <v>1169541</v>
      </c>
      <c r="H6645" t="e" vm="1697">
        <f>_FV(0,"063")</f>
        <v>#VALUE!</v>
      </c>
      <c r="I6645">
        <v>1168823</v>
      </c>
      <c r="J6645" t="s">
        <v>7542</v>
      </c>
      <c r="K6645" t="s">
        <v>41873</v>
      </c>
      <c r="L6645" t="e" vm="1697">
        <f>_FV(0,"063")</f>
        <v>#VALUE!</v>
      </c>
    </row>
    <row r="6646" spans="1:12" x14ac:dyDescent="0.25">
      <c r="A6646">
        <v>1168841</v>
      </c>
      <c r="B6646">
        <v>1168854</v>
      </c>
      <c r="D6646">
        <v>0</v>
      </c>
      <c r="E6646" t="s">
        <v>41875</v>
      </c>
      <c r="F6646" t="s">
        <v>41876</v>
      </c>
      <c r="G6646" t="s">
        <v>41877</v>
      </c>
      <c r="H6646" t="e" vm="2903">
        <f>_FV(0,"026460063447690703")</f>
        <v>#VALUE!</v>
      </c>
      <c r="I6646" t="s">
        <v>41878</v>
      </c>
      <c r="J6646" t="s">
        <v>41879</v>
      </c>
      <c r="K6646" t="s">
        <v>41880</v>
      </c>
      <c r="L6646" t="s">
        <v>41874</v>
      </c>
    </row>
    <row r="6647" spans="1:12" x14ac:dyDescent="0.25">
      <c r="A6647">
        <v>1168841</v>
      </c>
      <c r="B6647">
        <v>1169161</v>
      </c>
      <c r="D6647">
        <v>0</v>
      </c>
      <c r="E6647" t="s">
        <v>41882</v>
      </c>
      <c r="F6647" t="s">
        <v>41883</v>
      </c>
      <c r="G6647" t="s">
        <v>41884</v>
      </c>
      <c r="H6647" t="e" vm="2904">
        <f>_FV(0,"02248963243680418")</f>
        <v>#VALUE!</v>
      </c>
      <c r="I6647" t="s">
        <v>41885</v>
      </c>
      <c r="J6647" t="s">
        <v>41886</v>
      </c>
      <c r="K6647" t="s">
        <v>41887</v>
      </c>
      <c r="L6647" t="s">
        <v>41881</v>
      </c>
    </row>
    <row r="6648" spans="1:12" x14ac:dyDescent="0.25">
      <c r="A6648">
        <v>1168841</v>
      </c>
      <c r="B6648">
        <v>1168968</v>
      </c>
      <c r="D6648">
        <v>0</v>
      </c>
      <c r="E6648" t="s">
        <v>41889</v>
      </c>
      <c r="F6648" t="s">
        <v>41890</v>
      </c>
      <c r="G6648" t="s">
        <v>41891</v>
      </c>
      <c r="H6648" t="e" vm="2905">
        <f>_FV(0,"1113011138353908")</f>
        <v>#VALUE!</v>
      </c>
      <c r="I6648" t="s">
        <v>41892</v>
      </c>
      <c r="J6648" t="s">
        <v>41893</v>
      </c>
      <c r="K6648" t="s">
        <v>41894</v>
      </c>
      <c r="L6648" t="s">
        <v>41888</v>
      </c>
    </row>
    <row r="6649" spans="1:12" x14ac:dyDescent="0.25">
      <c r="A6649">
        <v>1168854</v>
      </c>
      <c r="B6649">
        <v>1169161</v>
      </c>
      <c r="D6649">
        <v>0</v>
      </c>
      <c r="E6649" t="s">
        <v>41896</v>
      </c>
      <c r="F6649" t="s">
        <v>41897</v>
      </c>
      <c r="G6649" t="s">
        <v>41898</v>
      </c>
      <c r="H6649" t="s">
        <v>41899</v>
      </c>
      <c r="I6649" t="s">
        <v>41900</v>
      </c>
      <c r="J6649" t="s">
        <v>3812</v>
      </c>
      <c r="K6649" t="s">
        <v>41901</v>
      </c>
      <c r="L6649" t="s">
        <v>41895</v>
      </c>
    </row>
    <row r="6650" spans="1:12" x14ac:dyDescent="0.25">
      <c r="A6650">
        <v>1168854</v>
      </c>
      <c r="B6650">
        <v>1169801</v>
      </c>
      <c r="D6650">
        <v>0</v>
      </c>
      <c r="F6650">
        <v>1250580</v>
      </c>
      <c r="G6650">
        <v>1168854</v>
      </c>
      <c r="H6650" t="e" vm="493">
        <f>_FV(0,"025")</f>
        <v>#VALUE!</v>
      </c>
      <c r="I6650">
        <v>1169801</v>
      </c>
      <c r="J6650" t="s">
        <v>899</v>
      </c>
      <c r="K6650" t="s">
        <v>41902</v>
      </c>
      <c r="L6650" t="e" vm="493">
        <f>_FV(0,"025")</f>
        <v>#VALUE!</v>
      </c>
    </row>
    <row r="6651" spans="1:12" x14ac:dyDescent="0.25">
      <c r="A6651">
        <v>1168957</v>
      </c>
      <c r="B6651">
        <v>1168968</v>
      </c>
      <c r="D6651">
        <v>0</v>
      </c>
      <c r="E6651" t="s">
        <v>41904</v>
      </c>
      <c r="F6651" t="s">
        <v>41905</v>
      </c>
      <c r="G6651" t="s">
        <v>41906</v>
      </c>
      <c r="H6651" t="e" vm="2906">
        <f>_FV(0,"08481697439904094")</f>
        <v>#VALUE!</v>
      </c>
      <c r="I6651" t="s">
        <v>41907</v>
      </c>
      <c r="J6651" t="s">
        <v>41908</v>
      </c>
      <c r="K6651" t="s">
        <v>41909</v>
      </c>
      <c r="L6651" t="s">
        <v>41903</v>
      </c>
    </row>
    <row r="6652" spans="1:12" x14ac:dyDescent="0.25">
      <c r="A6652">
        <v>1168957</v>
      </c>
      <c r="B6652">
        <v>1169404</v>
      </c>
      <c r="D6652">
        <v>0</v>
      </c>
      <c r="E6652" t="s">
        <v>41911</v>
      </c>
      <c r="F6652" t="s">
        <v>41912</v>
      </c>
      <c r="G6652" t="s">
        <v>41913</v>
      </c>
      <c r="H6652" t="s">
        <v>41914</v>
      </c>
      <c r="I6652" t="s">
        <v>41915</v>
      </c>
      <c r="J6652" t="s">
        <v>41916</v>
      </c>
      <c r="K6652" t="s">
        <v>41917</v>
      </c>
      <c r="L6652" t="s">
        <v>41910</v>
      </c>
    </row>
    <row r="6653" spans="1:12" x14ac:dyDescent="0.25">
      <c r="A6653">
        <v>1168957</v>
      </c>
      <c r="B6653">
        <v>1306066</v>
      </c>
      <c r="D6653">
        <v>0</v>
      </c>
      <c r="E6653" t="s">
        <v>41919</v>
      </c>
      <c r="F6653" t="s">
        <v>41920</v>
      </c>
      <c r="G6653" t="s">
        <v>41921</v>
      </c>
      <c r="H6653" t="s">
        <v>41922</v>
      </c>
      <c r="I6653" t="s">
        <v>41923</v>
      </c>
      <c r="J6653" t="s">
        <v>41924</v>
      </c>
      <c r="K6653" t="s">
        <v>41925</v>
      </c>
      <c r="L6653" t="s">
        <v>41918</v>
      </c>
    </row>
    <row r="6654" spans="1:12" x14ac:dyDescent="0.25">
      <c r="A6654">
        <v>1168968</v>
      </c>
      <c r="B6654">
        <v>1169404</v>
      </c>
      <c r="D6654">
        <v>0</v>
      </c>
      <c r="E6654" t="s">
        <v>41927</v>
      </c>
      <c r="F6654" t="s">
        <v>41928</v>
      </c>
      <c r="G6654" t="s">
        <v>41929</v>
      </c>
      <c r="H6654" t="e" vm="2907">
        <f>_FV(0,"11266766493899516")</f>
        <v>#VALUE!</v>
      </c>
      <c r="I6654" t="s">
        <v>41930</v>
      </c>
      <c r="J6654" t="s">
        <v>41931</v>
      </c>
      <c r="K6654" t="s">
        <v>41932</v>
      </c>
      <c r="L6654" t="s">
        <v>41926</v>
      </c>
    </row>
    <row r="6655" spans="1:12" x14ac:dyDescent="0.25">
      <c r="A6655">
        <v>1169161</v>
      </c>
      <c r="B6655">
        <v>1169265</v>
      </c>
      <c r="D6655">
        <v>0</v>
      </c>
      <c r="E6655" t="s">
        <v>41934</v>
      </c>
      <c r="F6655" t="s">
        <v>41935</v>
      </c>
      <c r="G6655" t="s">
        <v>41936</v>
      </c>
      <c r="H6655" t="s">
        <v>41937</v>
      </c>
      <c r="I6655" t="s">
        <v>41938</v>
      </c>
      <c r="J6655" t="s">
        <v>41939</v>
      </c>
      <c r="K6655" t="s">
        <v>41940</v>
      </c>
      <c r="L6655" t="s">
        <v>41933</v>
      </c>
    </row>
    <row r="6656" spans="1:12" x14ac:dyDescent="0.25">
      <c r="A6656">
        <v>1169218</v>
      </c>
      <c r="B6656">
        <v>1169801</v>
      </c>
      <c r="D6656">
        <v>0</v>
      </c>
      <c r="E6656" t="s">
        <v>41942</v>
      </c>
      <c r="F6656" t="s">
        <v>41943</v>
      </c>
      <c r="G6656" t="s">
        <v>41944</v>
      </c>
      <c r="H6656" t="e" vm="2908">
        <f>_FV(0,"023745966621802218")</f>
        <v>#VALUE!</v>
      </c>
      <c r="I6656" t="s">
        <v>41945</v>
      </c>
      <c r="J6656" t="s">
        <v>41946</v>
      </c>
      <c r="K6656" t="s">
        <v>41947</v>
      </c>
      <c r="L6656" t="s">
        <v>41941</v>
      </c>
    </row>
    <row r="6657" spans="1:12" x14ac:dyDescent="0.25">
      <c r="A6657">
        <v>1169218</v>
      </c>
      <c r="B6657">
        <v>1169265</v>
      </c>
      <c r="D6657">
        <v>0</v>
      </c>
      <c r="E6657" t="s">
        <v>41949</v>
      </c>
      <c r="F6657" t="s">
        <v>41950</v>
      </c>
      <c r="G6657" t="s">
        <v>41951</v>
      </c>
      <c r="H6657" t="e" vm="2909">
        <f>_FV(0,"023928526737891104")</f>
        <v>#VALUE!</v>
      </c>
      <c r="I6657" t="s">
        <v>41952</v>
      </c>
      <c r="J6657" t="s">
        <v>41953</v>
      </c>
      <c r="K6657" t="s">
        <v>41954</v>
      </c>
      <c r="L6657" t="s">
        <v>41948</v>
      </c>
    </row>
    <row r="6658" spans="1:12" x14ac:dyDescent="0.25">
      <c r="A6658">
        <v>1169404</v>
      </c>
      <c r="B6658">
        <v>1306066</v>
      </c>
      <c r="D6658">
        <v>0</v>
      </c>
      <c r="F6658">
        <v>1436648</v>
      </c>
      <c r="G6658">
        <v>1306066</v>
      </c>
      <c r="H6658" t="e" vm="324">
        <f>_FV(0,"291")</f>
        <v>#VALUE!</v>
      </c>
      <c r="I6658">
        <v>1169404</v>
      </c>
      <c r="J6658" t="s">
        <v>4671</v>
      </c>
      <c r="K6658" t="s">
        <v>41955</v>
      </c>
      <c r="L6658" t="e" vm="324">
        <f>_FV(0,"291")</f>
        <v>#VALUE!</v>
      </c>
    </row>
    <row r="6659" spans="1:12" x14ac:dyDescent="0.25">
      <c r="A6659">
        <v>1169472</v>
      </c>
      <c r="B6659">
        <v>1169512</v>
      </c>
      <c r="D6659">
        <v>0</v>
      </c>
      <c r="E6659" t="s">
        <v>41957</v>
      </c>
      <c r="F6659" t="s">
        <v>41958</v>
      </c>
      <c r="G6659" t="s">
        <v>41959</v>
      </c>
      <c r="H6659" t="s">
        <v>41960</v>
      </c>
      <c r="I6659" t="s">
        <v>41961</v>
      </c>
      <c r="J6659" t="s">
        <v>41956</v>
      </c>
      <c r="K6659" t="s">
        <v>41962</v>
      </c>
      <c r="L6659" t="s">
        <v>41956</v>
      </c>
    </row>
    <row r="6660" spans="1:12" x14ac:dyDescent="0.25">
      <c r="A6660">
        <v>1169541</v>
      </c>
      <c r="B6660">
        <v>1169582</v>
      </c>
      <c r="D6660">
        <v>0</v>
      </c>
      <c r="E6660" t="s">
        <v>41964</v>
      </c>
      <c r="F6660" t="s">
        <v>41965</v>
      </c>
      <c r="G6660" t="s">
        <v>41966</v>
      </c>
      <c r="H6660" t="s">
        <v>41967</v>
      </c>
      <c r="I6660" t="s">
        <v>41968</v>
      </c>
      <c r="J6660" t="s">
        <v>41969</v>
      </c>
      <c r="K6660" t="s">
        <v>41970</v>
      </c>
      <c r="L6660" t="s">
        <v>41963</v>
      </c>
    </row>
    <row r="6661" spans="1:12" x14ac:dyDescent="0.25">
      <c r="A6661">
        <v>1169582</v>
      </c>
      <c r="B6661">
        <v>1306015</v>
      </c>
      <c r="D6661">
        <v>0</v>
      </c>
      <c r="E6661" t="s">
        <v>41972</v>
      </c>
      <c r="F6661" t="s">
        <v>41973</v>
      </c>
      <c r="G6661" t="s">
        <v>41974</v>
      </c>
      <c r="H6661" t="s">
        <v>41975</v>
      </c>
      <c r="I6661" t="s">
        <v>41976</v>
      </c>
      <c r="J6661" t="s">
        <v>41971</v>
      </c>
      <c r="K6661" t="s">
        <v>41977</v>
      </c>
      <c r="L6661" t="s">
        <v>41971</v>
      </c>
    </row>
    <row r="6662" spans="1:12" x14ac:dyDescent="0.25">
      <c r="A6662">
        <v>1169628</v>
      </c>
      <c r="B6662">
        <v>1169678</v>
      </c>
      <c r="D6662">
        <v>0</v>
      </c>
      <c r="E6662" t="s">
        <v>41979</v>
      </c>
      <c r="F6662" t="s">
        <v>41980</v>
      </c>
      <c r="G6662" t="s">
        <v>41981</v>
      </c>
      <c r="H6662" t="e" vm="2910">
        <f>_FV(0,"030848073378172962")</f>
        <v>#VALUE!</v>
      </c>
      <c r="I6662" t="s">
        <v>41982</v>
      </c>
      <c r="J6662" t="s">
        <v>41983</v>
      </c>
      <c r="K6662" t="s">
        <v>41984</v>
      </c>
      <c r="L6662" t="s">
        <v>41978</v>
      </c>
    </row>
    <row r="6663" spans="1:12" x14ac:dyDescent="0.25">
      <c r="A6663">
        <v>1170291</v>
      </c>
      <c r="B6663">
        <v>1817674</v>
      </c>
      <c r="D6663">
        <v>0</v>
      </c>
      <c r="E6663" t="s">
        <v>41986</v>
      </c>
      <c r="F6663" t="s">
        <v>41987</v>
      </c>
      <c r="G6663" t="s">
        <v>41988</v>
      </c>
      <c r="H6663" t="s">
        <v>41989</v>
      </c>
      <c r="I6663" t="s">
        <v>41990</v>
      </c>
      <c r="J6663" t="s">
        <v>41991</v>
      </c>
      <c r="K6663" t="s">
        <v>41992</v>
      </c>
      <c r="L6663" t="s">
        <v>41985</v>
      </c>
    </row>
    <row r="6664" spans="1:12" x14ac:dyDescent="0.25">
      <c r="A6664">
        <v>1170383</v>
      </c>
      <c r="B6664">
        <v>1170401</v>
      </c>
      <c r="D6664">
        <v>0</v>
      </c>
      <c r="E6664" t="s">
        <v>41994</v>
      </c>
      <c r="F6664" t="s">
        <v>41995</v>
      </c>
      <c r="G6664" t="s">
        <v>41996</v>
      </c>
      <c r="H6664" t="s">
        <v>41997</v>
      </c>
      <c r="I6664" t="s">
        <v>41998</v>
      </c>
      <c r="J6664" t="s">
        <v>41993</v>
      </c>
      <c r="K6664" t="s">
        <v>41999</v>
      </c>
      <c r="L6664" t="s">
        <v>41993</v>
      </c>
    </row>
    <row r="6665" spans="1:12" x14ac:dyDescent="0.25">
      <c r="A6665">
        <v>1170383</v>
      </c>
      <c r="B6665">
        <v>1170429</v>
      </c>
      <c r="D6665">
        <v>0</v>
      </c>
      <c r="E6665" t="s">
        <v>42001</v>
      </c>
      <c r="F6665" t="s">
        <v>42002</v>
      </c>
      <c r="G6665" t="s">
        <v>42003</v>
      </c>
      <c r="H6665" t="e" vm="2911">
        <f>_FV(0,"015474478112853502")</f>
        <v>#VALUE!</v>
      </c>
      <c r="I6665" t="s">
        <v>42004</v>
      </c>
      <c r="J6665" t="s">
        <v>42005</v>
      </c>
      <c r="K6665" t="s">
        <v>42006</v>
      </c>
      <c r="L6665" t="s">
        <v>42000</v>
      </c>
    </row>
    <row r="6666" spans="1:12" x14ac:dyDescent="0.25">
      <c r="A6666">
        <v>1170401</v>
      </c>
      <c r="B6666">
        <v>1170414</v>
      </c>
      <c r="D6666">
        <v>0</v>
      </c>
      <c r="E6666" t="s">
        <v>42008</v>
      </c>
      <c r="F6666" t="s">
        <v>42009</v>
      </c>
      <c r="G6666" t="s">
        <v>42010</v>
      </c>
      <c r="H6666" t="e" vm="2912">
        <f>_FV(0,"032214509214332165")</f>
        <v>#VALUE!</v>
      </c>
      <c r="I6666" t="s">
        <v>42011</v>
      </c>
      <c r="J6666" t="s">
        <v>42012</v>
      </c>
      <c r="K6666" t="s">
        <v>42013</v>
      </c>
      <c r="L6666" t="s">
        <v>42007</v>
      </c>
    </row>
    <row r="6667" spans="1:12" x14ac:dyDescent="0.25">
      <c r="A6667">
        <v>1170414</v>
      </c>
      <c r="B6667">
        <v>1170429</v>
      </c>
      <c r="D6667">
        <v>0</v>
      </c>
      <c r="E6667" t="s">
        <v>42015</v>
      </c>
      <c r="F6667" t="s">
        <v>42016</v>
      </c>
      <c r="G6667" t="s">
        <v>42017</v>
      </c>
      <c r="H6667" t="e" vm="2913">
        <f>_FV(0,"036887566212536124")</f>
        <v>#VALUE!</v>
      </c>
      <c r="I6667" t="s">
        <v>42018</v>
      </c>
      <c r="J6667" t="s">
        <v>42019</v>
      </c>
      <c r="K6667" t="s">
        <v>42020</v>
      </c>
      <c r="L6667" t="s">
        <v>42014</v>
      </c>
    </row>
    <row r="6668" spans="1:12" x14ac:dyDescent="0.25">
      <c r="A6668">
        <v>1170456</v>
      </c>
      <c r="B6668">
        <v>1170457</v>
      </c>
      <c r="D6668">
        <v>0</v>
      </c>
      <c r="F6668">
        <v>1251258</v>
      </c>
      <c r="G6668">
        <v>1170457</v>
      </c>
      <c r="H6668" t="s">
        <v>1589</v>
      </c>
      <c r="I6668">
        <v>1170456</v>
      </c>
      <c r="J6668" t="s">
        <v>1589</v>
      </c>
      <c r="K6668" t="s">
        <v>42021</v>
      </c>
      <c r="L6668" t="s">
        <v>1589</v>
      </c>
    </row>
    <row r="6669" spans="1:12" x14ac:dyDescent="0.25">
      <c r="A6669">
        <v>1170456</v>
      </c>
      <c r="B6669">
        <v>1170463</v>
      </c>
      <c r="D6669">
        <v>0</v>
      </c>
      <c r="E6669" t="s">
        <v>42022</v>
      </c>
      <c r="F6669" t="s">
        <v>42023</v>
      </c>
      <c r="G6669" t="s">
        <v>42024</v>
      </c>
      <c r="H6669" t="e" vm="2914">
        <f>_FV(0,"04199589121373387")</f>
        <v>#VALUE!</v>
      </c>
      <c r="I6669" t="s">
        <v>42025</v>
      </c>
      <c r="J6669" t="s">
        <v>29296</v>
      </c>
      <c r="K6669" t="s">
        <v>42026</v>
      </c>
      <c r="L6669" t="s">
        <v>29291</v>
      </c>
    </row>
    <row r="6670" spans="1:12" x14ac:dyDescent="0.25">
      <c r="A6670">
        <v>1170456</v>
      </c>
      <c r="B6670">
        <v>1170496</v>
      </c>
      <c r="D6670">
        <v>0</v>
      </c>
      <c r="F6670">
        <v>1251322</v>
      </c>
      <c r="G6670">
        <v>1170456</v>
      </c>
      <c r="H6670" t="s">
        <v>241</v>
      </c>
      <c r="I6670">
        <v>1170496</v>
      </c>
      <c r="J6670" t="s">
        <v>241</v>
      </c>
      <c r="K6670" t="s">
        <v>42027</v>
      </c>
      <c r="L6670" t="s">
        <v>241</v>
      </c>
    </row>
    <row r="6671" spans="1:12" x14ac:dyDescent="0.25">
      <c r="A6671">
        <v>1170457</v>
      </c>
      <c r="B6671">
        <v>1170463</v>
      </c>
      <c r="D6671">
        <v>0</v>
      </c>
      <c r="F6671">
        <v>1251266</v>
      </c>
      <c r="G6671">
        <v>1170457</v>
      </c>
      <c r="H6671" t="s">
        <v>2292</v>
      </c>
      <c r="I6671">
        <v>1170463</v>
      </c>
      <c r="J6671" t="s">
        <v>2292</v>
      </c>
      <c r="K6671" t="s">
        <v>42028</v>
      </c>
      <c r="L6671" t="s">
        <v>2292</v>
      </c>
    </row>
    <row r="6672" spans="1:12" x14ac:dyDescent="0.25">
      <c r="A6672">
        <v>1170463</v>
      </c>
      <c r="B6672">
        <v>1170475</v>
      </c>
      <c r="D6672">
        <v>0</v>
      </c>
      <c r="F6672">
        <v>1251346</v>
      </c>
      <c r="G6672">
        <v>1170475</v>
      </c>
      <c r="H6672" t="e" vm="185">
        <f>_FV(0,"033")</f>
        <v>#VALUE!</v>
      </c>
      <c r="I6672">
        <v>1170463</v>
      </c>
      <c r="J6672" t="s">
        <v>2884</v>
      </c>
      <c r="K6672" t="s">
        <v>42029</v>
      </c>
      <c r="L6672" t="e" vm="185">
        <f>_FV(0,"033")</f>
        <v>#VALUE!</v>
      </c>
    </row>
    <row r="6673" spans="1:12" x14ac:dyDescent="0.25">
      <c r="A6673">
        <v>1170474</v>
      </c>
      <c r="B6673">
        <v>1170475</v>
      </c>
      <c r="D6673">
        <v>0</v>
      </c>
      <c r="F6673">
        <v>1251282</v>
      </c>
      <c r="G6673">
        <v>1170475</v>
      </c>
      <c r="H6673" t="s">
        <v>2884</v>
      </c>
      <c r="I6673">
        <v>1170474</v>
      </c>
      <c r="J6673" t="s">
        <v>2884</v>
      </c>
      <c r="K6673" t="s">
        <v>42030</v>
      </c>
      <c r="L6673" t="s">
        <v>2884</v>
      </c>
    </row>
    <row r="6674" spans="1:12" x14ac:dyDescent="0.25">
      <c r="A6674">
        <v>1170474</v>
      </c>
      <c r="B6674">
        <v>1170478</v>
      </c>
      <c r="D6674">
        <v>0</v>
      </c>
      <c r="F6674">
        <v>1251290</v>
      </c>
      <c r="G6674">
        <v>1170478</v>
      </c>
      <c r="H6674" t="s">
        <v>3279</v>
      </c>
      <c r="I6674">
        <v>1170474</v>
      </c>
      <c r="J6674" t="s">
        <v>3279</v>
      </c>
      <c r="K6674" t="s">
        <v>42031</v>
      </c>
      <c r="L6674" t="s">
        <v>3279</v>
      </c>
    </row>
    <row r="6675" spans="1:12" x14ac:dyDescent="0.25">
      <c r="A6675">
        <v>1170475</v>
      </c>
      <c r="B6675">
        <v>1170478</v>
      </c>
      <c r="D6675">
        <v>0</v>
      </c>
      <c r="E6675" t="s">
        <v>42033</v>
      </c>
      <c r="F6675" t="s">
        <v>42034</v>
      </c>
      <c r="G6675" t="s">
        <v>42035</v>
      </c>
      <c r="H6675" t="s">
        <v>42036</v>
      </c>
      <c r="I6675" t="s">
        <v>42037</v>
      </c>
      <c r="J6675" t="s">
        <v>42032</v>
      </c>
      <c r="K6675" t="s">
        <v>42038</v>
      </c>
      <c r="L6675" t="s">
        <v>42032</v>
      </c>
    </row>
    <row r="6676" spans="1:12" x14ac:dyDescent="0.25">
      <c r="A6676">
        <v>1170478</v>
      </c>
      <c r="B6676">
        <v>1170484</v>
      </c>
      <c r="D6676">
        <v>0</v>
      </c>
      <c r="F6676">
        <v>1251298</v>
      </c>
      <c r="G6676">
        <v>1170484</v>
      </c>
      <c r="H6676" t="s">
        <v>7670</v>
      </c>
      <c r="I6676">
        <v>1170478</v>
      </c>
      <c r="J6676" t="s">
        <v>7670</v>
      </c>
      <c r="K6676" t="s">
        <v>42039</v>
      </c>
      <c r="L6676" t="s">
        <v>7670</v>
      </c>
    </row>
    <row r="6677" spans="1:12" x14ac:dyDescent="0.25">
      <c r="A6677">
        <v>1170484</v>
      </c>
      <c r="B6677">
        <v>1170496</v>
      </c>
      <c r="D6677">
        <v>0</v>
      </c>
      <c r="E6677" t="s">
        <v>42041</v>
      </c>
      <c r="F6677" t="s">
        <v>42042</v>
      </c>
      <c r="G6677" t="s">
        <v>42043</v>
      </c>
      <c r="H6677" t="s">
        <v>42044</v>
      </c>
      <c r="I6677" t="s">
        <v>42045</v>
      </c>
      <c r="J6677" t="s">
        <v>42040</v>
      </c>
      <c r="K6677" t="s">
        <v>42046</v>
      </c>
      <c r="L6677" t="s">
        <v>42040</v>
      </c>
    </row>
    <row r="6678" spans="1:12" x14ac:dyDescent="0.25">
      <c r="A6678">
        <v>1170484</v>
      </c>
      <c r="B6678">
        <v>1801659</v>
      </c>
      <c r="D6678">
        <v>0</v>
      </c>
      <c r="E6678" t="s">
        <v>42048</v>
      </c>
      <c r="F6678" t="s">
        <v>42049</v>
      </c>
      <c r="G6678" t="s">
        <v>42050</v>
      </c>
      <c r="H6678" t="e" vm="2915">
        <f>_FV(0,"04025676187085562")</f>
        <v>#VALUE!</v>
      </c>
      <c r="I6678" t="s">
        <v>42051</v>
      </c>
      <c r="J6678" t="s">
        <v>42052</v>
      </c>
      <c r="K6678" t="s">
        <v>42053</v>
      </c>
      <c r="L6678" t="s">
        <v>42047</v>
      </c>
    </row>
    <row r="6679" spans="1:12" x14ac:dyDescent="0.25">
      <c r="A6679">
        <v>1170496</v>
      </c>
      <c r="B6679">
        <v>1801659</v>
      </c>
      <c r="D6679">
        <v>0</v>
      </c>
      <c r="E6679" t="s">
        <v>42055</v>
      </c>
      <c r="F6679" t="s">
        <v>42056</v>
      </c>
      <c r="G6679" t="s">
        <v>42057</v>
      </c>
      <c r="H6679" t="e" vm="2916">
        <f>_FV(0,"022459620628083803")</f>
        <v>#VALUE!</v>
      </c>
      <c r="I6679" t="s">
        <v>42058</v>
      </c>
      <c r="J6679" t="s">
        <v>42059</v>
      </c>
      <c r="K6679" t="s">
        <v>42060</v>
      </c>
      <c r="L6679" t="s">
        <v>42054</v>
      </c>
    </row>
    <row r="6680" spans="1:12" x14ac:dyDescent="0.25">
      <c r="A6680">
        <v>1173457</v>
      </c>
      <c r="B6680">
        <v>1173462</v>
      </c>
      <c r="D6680">
        <v>0</v>
      </c>
      <c r="F6680">
        <v>1255033</v>
      </c>
      <c r="G6680">
        <v>1173462</v>
      </c>
      <c r="H6680" t="s">
        <v>2068</v>
      </c>
      <c r="I6680">
        <v>1173457</v>
      </c>
      <c r="J6680" t="s">
        <v>2068</v>
      </c>
      <c r="K6680" t="s">
        <v>42061</v>
      </c>
      <c r="L6680" t="s">
        <v>2068</v>
      </c>
    </row>
    <row r="6681" spans="1:12" x14ac:dyDescent="0.25">
      <c r="A6681">
        <v>1174214</v>
      </c>
      <c r="B6681">
        <v>1174216</v>
      </c>
      <c r="D6681">
        <v>0</v>
      </c>
      <c r="E6681" t="s">
        <v>42063</v>
      </c>
      <c r="F6681" t="s">
        <v>42064</v>
      </c>
      <c r="G6681" t="s">
        <v>42065</v>
      </c>
      <c r="H6681" t="e" vm="2917">
        <f>_FV(0,"0066079561757105085")</f>
        <v>#VALUE!</v>
      </c>
      <c r="I6681" t="s">
        <v>42066</v>
      </c>
      <c r="J6681" t="s">
        <v>42067</v>
      </c>
      <c r="K6681" t="s">
        <v>42068</v>
      </c>
      <c r="L6681" t="s">
        <v>42062</v>
      </c>
    </row>
    <row r="6682" spans="1:12" x14ac:dyDescent="0.25">
      <c r="A6682">
        <v>1174239</v>
      </c>
      <c r="B6682">
        <v>1174245</v>
      </c>
      <c r="D6682">
        <v>0</v>
      </c>
      <c r="E6682" t="s">
        <v>42070</v>
      </c>
      <c r="F6682" t="s">
        <v>42071</v>
      </c>
      <c r="G6682" t="s">
        <v>42072</v>
      </c>
      <c r="H6682" t="s">
        <v>42073</v>
      </c>
      <c r="I6682" t="s">
        <v>42074</v>
      </c>
      <c r="J6682" t="s">
        <v>42075</v>
      </c>
      <c r="K6682" t="s">
        <v>42076</v>
      </c>
      <c r="L6682" t="s">
        <v>42069</v>
      </c>
    </row>
    <row r="6683" spans="1:12" x14ac:dyDescent="0.25">
      <c r="A6683">
        <v>1174604</v>
      </c>
      <c r="B6683">
        <v>1174617</v>
      </c>
      <c r="D6683">
        <v>0</v>
      </c>
      <c r="E6683" t="s">
        <v>42078</v>
      </c>
      <c r="F6683" t="s">
        <v>42079</v>
      </c>
      <c r="G6683" t="s">
        <v>42080</v>
      </c>
      <c r="H6683" t="s">
        <v>42081</v>
      </c>
      <c r="I6683" t="s">
        <v>42082</v>
      </c>
      <c r="J6683" t="s">
        <v>42083</v>
      </c>
      <c r="K6683" t="s">
        <v>42084</v>
      </c>
      <c r="L6683" t="s">
        <v>42077</v>
      </c>
    </row>
    <row r="6684" spans="1:12" x14ac:dyDescent="0.25">
      <c r="A6684">
        <v>1174631</v>
      </c>
      <c r="B6684">
        <v>1174636</v>
      </c>
      <c r="D6684">
        <v>0</v>
      </c>
      <c r="E6684" t="s">
        <v>42086</v>
      </c>
      <c r="F6684" t="s">
        <v>42087</v>
      </c>
      <c r="G6684" t="s">
        <v>42088</v>
      </c>
      <c r="H6684" t="s">
        <v>42089</v>
      </c>
      <c r="I6684" t="s">
        <v>42090</v>
      </c>
      <c r="J6684" t="s">
        <v>42091</v>
      </c>
      <c r="K6684" t="s">
        <v>42092</v>
      </c>
      <c r="L6684" t="s">
        <v>42085</v>
      </c>
    </row>
    <row r="6685" spans="1:12" x14ac:dyDescent="0.25">
      <c r="A6685">
        <v>1175795</v>
      </c>
      <c r="B6685">
        <v>1262925</v>
      </c>
      <c r="D6685">
        <v>0</v>
      </c>
      <c r="E6685" t="s">
        <v>42094</v>
      </c>
      <c r="F6685" t="s">
        <v>42095</v>
      </c>
      <c r="G6685" t="s">
        <v>42096</v>
      </c>
      <c r="H6685" t="e" vm="2918">
        <f>_FV(0,"0037315216350310224")</f>
        <v>#VALUE!</v>
      </c>
      <c r="I6685" t="s">
        <v>42097</v>
      </c>
      <c r="J6685" t="s">
        <v>42098</v>
      </c>
      <c r="K6685" t="s">
        <v>42099</v>
      </c>
      <c r="L6685" t="s">
        <v>42093</v>
      </c>
    </row>
    <row r="6686" spans="1:12" x14ac:dyDescent="0.25">
      <c r="A6686">
        <v>1176907</v>
      </c>
      <c r="B6686">
        <v>1176917</v>
      </c>
      <c r="D6686">
        <v>0</v>
      </c>
      <c r="E6686" t="s">
        <v>42101</v>
      </c>
      <c r="F6686" t="s">
        <v>42102</v>
      </c>
      <c r="G6686" t="s">
        <v>42103</v>
      </c>
      <c r="H6686" t="e" vm="2919">
        <f>_FV(0,"011297100756361391")</f>
        <v>#VALUE!</v>
      </c>
      <c r="I6686" t="s">
        <v>42104</v>
      </c>
      <c r="J6686" t="s">
        <v>42105</v>
      </c>
      <c r="K6686" t="s">
        <v>42106</v>
      </c>
      <c r="L6686" t="s">
        <v>42100</v>
      </c>
    </row>
    <row r="6687" spans="1:12" x14ac:dyDescent="0.25">
      <c r="A6687">
        <v>1176907</v>
      </c>
      <c r="B6687">
        <v>1176953</v>
      </c>
      <c r="D6687">
        <v>0</v>
      </c>
      <c r="E6687" t="s">
        <v>42108</v>
      </c>
      <c r="F6687" t="s">
        <v>42109</v>
      </c>
      <c r="G6687" t="s">
        <v>42110</v>
      </c>
      <c r="H6687" t="e" vm="2920">
        <f>_FV(0,"022665875170389142")</f>
        <v>#VALUE!</v>
      </c>
      <c r="I6687" t="s">
        <v>42111</v>
      </c>
      <c r="J6687" t="s">
        <v>42112</v>
      </c>
      <c r="K6687" t="s">
        <v>42113</v>
      </c>
      <c r="L6687" t="s">
        <v>42107</v>
      </c>
    </row>
    <row r="6688" spans="1:12" x14ac:dyDescent="0.25">
      <c r="A6688">
        <v>1176917</v>
      </c>
      <c r="B6688">
        <v>1176926</v>
      </c>
      <c r="D6688">
        <v>0</v>
      </c>
      <c r="E6688" t="s">
        <v>42115</v>
      </c>
      <c r="F6688" t="s">
        <v>42116</v>
      </c>
      <c r="G6688" t="s">
        <v>42117</v>
      </c>
      <c r="H6688" t="s">
        <v>42118</v>
      </c>
      <c r="I6688" t="s">
        <v>42119</v>
      </c>
      <c r="J6688" t="s">
        <v>42114</v>
      </c>
      <c r="K6688" t="s">
        <v>42120</v>
      </c>
      <c r="L6688" t="s">
        <v>42114</v>
      </c>
    </row>
    <row r="6689" spans="1:12" x14ac:dyDescent="0.25">
      <c r="A6689">
        <v>1176926</v>
      </c>
      <c r="B6689">
        <v>1176953</v>
      </c>
      <c r="D6689">
        <v>0</v>
      </c>
      <c r="E6689" t="s">
        <v>42122</v>
      </c>
      <c r="F6689" t="s">
        <v>42123</v>
      </c>
      <c r="G6689" t="s">
        <v>42124</v>
      </c>
      <c r="H6689" t="s">
        <v>42125</v>
      </c>
      <c r="I6689" t="s">
        <v>42126</v>
      </c>
      <c r="J6689" t="s">
        <v>42127</v>
      </c>
      <c r="K6689" t="s">
        <v>42128</v>
      </c>
      <c r="L6689" t="s">
        <v>42121</v>
      </c>
    </row>
    <row r="6690" spans="1:12" x14ac:dyDescent="0.25">
      <c r="A6690">
        <v>1177041</v>
      </c>
      <c r="B6690">
        <v>1177050</v>
      </c>
      <c r="D6690">
        <v>0</v>
      </c>
      <c r="E6690" t="s">
        <v>42130</v>
      </c>
      <c r="F6690" t="s">
        <v>42131</v>
      </c>
      <c r="G6690" t="s">
        <v>42132</v>
      </c>
      <c r="H6690" t="s">
        <v>42133</v>
      </c>
      <c r="I6690" t="s">
        <v>42134</v>
      </c>
      <c r="J6690" t="s">
        <v>42135</v>
      </c>
      <c r="K6690" t="s">
        <v>42136</v>
      </c>
      <c r="L6690" t="s">
        <v>42129</v>
      </c>
    </row>
    <row r="6691" spans="1:12" x14ac:dyDescent="0.25">
      <c r="A6691">
        <v>1177041</v>
      </c>
      <c r="B6691">
        <v>1177085</v>
      </c>
      <c r="D6691">
        <v>0</v>
      </c>
      <c r="E6691" t="s">
        <v>42138</v>
      </c>
      <c r="F6691" t="s">
        <v>42139</v>
      </c>
      <c r="G6691" t="s">
        <v>42140</v>
      </c>
      <c r="H6691" t="s">
        <v>42141</v>
      </c>
      <c r="I6691" t="s">
        <v>42142</v>
      </c>
      <c r="J6691" t="s">
        <v>42137</v>
      </c>
      <c r="K6691" t="s">
        <v>42143</v>
      </c>
      <c r="L6691" t="s">
        <v>42137</v>
      </c>
    </row>
    <row r="6692" spans="1:12" x14ac:dyDescent="0.25">
      <c r="A6692">
        <v>1177050</v>
      </c>
      <c r="B6692">
        <v>1177077</v>
      </c>
      <c r="D6692">
        <v>0</v>
      </c>
      <c r="E6692" t="s">
        <v>42145</v>
      </c>
      <c r="F6692" t="s">
        <v>42146</v>
      </c>
      <c r="G6692" t="s">
        <v>42147</v>
      </c>
      <c r="H6692" t="e" vm="2921">
        <f>_FV(0,"031685838612400596")</f>
        <v>#VALUE!</v>
      </c>
      <c r="I6692" t="s">
        <v>42148</v>
      </c>
      <c r="J6692" t="s">
        <v>42149</v>
      </c>
      <c r="K6692" t="s">
        <v>42150</v>
      </c>
      <c r="L6692" t="s">
        <v>42144</v>
      </c>
    </row>
    <row r="6693" spans="1:12" x14ac:dyDescent="0.25">
      <c r="A6693">
        <v>1177050</v>
      </c>
      <c r="B6693">
        <v>1245557</v>
      </c>
      <c r="D6693">
        <v>0</v>
      </c>
      <c r="E6693" t="s">
        <v>42152</v>
      </c>
      <c r="F6693" t="s">
        <v>42153</v>
      </c>
      <c r="G6693" t="s">
        <v>42154</v>
      </c>
      <c r="H6693" t="e" vm="2922">
        <f>_FV(0,"0004975279402498196")</f>
        <v>#VALUE!</v>
      </c>
      <c r="I6693" t="s">
        <v>42155</v>
      </c>
      <c r="J6693" t="s">
        <v>42156</v>
      </c>
      <c r="K6693" t="s">
        <v>42157</v>
      </c>
      <c r="L6693" t="s">
        <v>42151</v>
      </c>
    </row>
    <row r="6694" spans="1:12" x14ac:dyDescent="0.25">
      <c r="A6694">
        <v>1177077</v>
      </c>
      <c r="B6694">
        <v>1177085</v>
      </c>
      <c r="D6694">
        <v>0</v>
      </c>
      <c r="F6694">
        <v>1259397</v>
      </c>
      <c r="G6694">
        <v>1177085</v>
      </c>
      <c r="H6694" t="e" vm="350">
        <f>_FV(0,"009")</f>
        <v>#VALUE!</v>
      </c>
      <c r="I6694">
        <v>1177077</v>
      </c>
      <c r="J6694" t="s">
        <v>2068</v>
      </c>
      <c r="K6694" t="s">
        <v>42158</v>
      </c>
      <c r="L6694" t="e" vm="350">
        <f>_FV(0,"009")</f>
        <v>#VALUE!</v>
      </c>
    </row>
    <row r="6695" spans="1:12" x14ac:dyDescent="0.25">
      <c r="A6695">
        <v>1177077</v>
      </c>
      <c r="B6695">
        <v>1245563</v>
      </c>
      <c r="D6695">
        <v>0</v>
      </c>
      <c r="E6695" t="s">
        <v>42160</v>
      </c>
      <c r="F6695" t="s">
        <v>42161</v>
      </c>
      <c r="G6695" t="s">
        <v>42162</v>
      </c>
      <c r="H6695" t="s">
        <v>42163</v>
      </c>
      <c r="I6695" t="s">
        <v>42164</v>
      </c>
      <c r="J6695" t="s">
        <v>42165</v>
      </c>
      <c r="K6695" t="s">
        <v>42166</v>
      </c>
      <c r="L6695" t="s">
        <v>42159</v>
      </c>
    </row>
    <row r="6696" spans="1:12" x14ac:dyDescent="0.25">
      <c r="A6696">
        <v>1177168</v>
      </c>
      <c r="B6696">
        <v>1177213</v>
      </c>
      <c r="D6696">
        <v>0</v>
      </c>
      <c r="E6696" t="s">
        <v>42168</v>
      </c>
      <c r="F6696" t="s">
        <v>42169</v>
      </c>
      <c r="G6696" t="s">
        <v>42170</v>
      </c>
      <c r="H6696" t="s">
        <v>42171</v>
      </c>
      <c r="I6696" t="s">
        <v>42172</v>
      </c>
      <c r="J6696" t="s">
        <v>42167</v>
      </c>
      <c r="K6696" t="s">
        <v>42173</v>
      </c>
      <c r="L6696" t="s">
        <v>42167</v>
      </c>
    </row>
    <row r="6697" spans="1:12" x14ac:dyDescent="0.25">
      <c r="A6697">
        <v>1177168</v>
      </c>
      <c r="B6697">
        <v>1263909</v>
      </c>
      <c r="D6697">
        <v>0</v>
      </c>
      <c r="E6697" t="s">
        <v>42175</v>
      </c>
      <c r="F6697" t="s">
        <v>42176</v>
      </c>
      <c r="G6697" t="s">
        <v>42177</v>
      </c>
      <c r="H6697" t="e" vm="2923">
        <f>_FV(0,"001780627108906208")</f>
        <v>#VALUE!</v>
      </c>
      <c r="I6697" t="s">
        <v>42178</v>
      </c>
      <c r="J6697" t="s">
        <v>42179</v>
      </c>
      <c r="K6697" t="s">
        <v>42180</v>
      </c>
      <c r="L6697" t="s">
        <v>42174</v>
      </c>
    </row>
    <row r="6698" spans="1:12" x14ac:dyDescent="0.25">
      <c r="A6698">
        <v>1177175</v>
      </c>
      <c r="B6698">
        <v>1177213</v>
      </c>
      <c r="D6698">
        <v>0</v>
      </c>
      <c r="E6698" t="s">
        <v>42182</v>
      </c>
      <c r="F6698" t="s">
        <v>42183</v>
      </c>
      <c r="G6698" t="s">
        <v>42184</v>
      </c>
      <c r="H6698" t="e" vm="2924">
        <f>_FV(0,"0042115419586544476")</f>
        <v>#VALUE!</v>
      </c>
      <c r="I6698" t="s">
        <v>42185</v>
      </c>
      <c r="J6698" t="s">
        <v>42186</v>
      </c>
      <c r="K6698" t="s">
        <v>42187</v>
      </c>
      <c r="L6698" t="s">
        <v>42181</v>
      </c>
    </row>
    <row r="6699" spans="1:12" x14ac:dyDescent="0.25">
      <c r="A6699">
        <v>1177213</v>
      </c>
      <c r="B6699">
        <v>1767627</v>
      </c>
      <c r="D6699">
        <v>0</v>
      </c>
      <c r="E6699" t="s">
        <v>42189</v>
      </c>
      <c r="F6699" t="s">
        <v>42190</v>
      </c>
      <c r="G6699" t="s">
        <v>42191</v>
      </c>
      <c r="H6699" t="e" vm="2925">
        <f>_FV(0,"001368010704850415")</f>
        <v>#VALUE!</v>
      </c>
      <c r="I6699" t="s">
        <v>42192</v>
      </c>
      <c r="J6699" t="s">
        <v>42193</v>
      </c>
      <c r="K6699" t="s">
        <v>42194</v>
      </c>
      <c r="L6699" t="s">
        <v>42188</v>
      </c>
    </row>
    <row r="6700" spans="1:12" x14ac:dyDescent="0.25">
      <c r="A6700">
        <v>1183680</v>
      </c>
      <c r="B6700">
        <v>1241691</v>
      </c>
      <c r="D6700">
        <v>0</v>
      </c>
      <c r="E6700" t="s">
        <v>42196</v>
      </c>
      <c r="F6700" t="s">
        <v>42197</v>
      </c>
      <c r="G6700" t="s">
        <v>42198</v>
      </c>
      <c r="H6700" t="s">
        <v>42199</v>
      </c>
      <c r="I6700" t="s">
        <v>42200</v>
      </c>
      <c r="J6700" t="s">
        <v>42201</v>
      </c>
      <c r="K6700" t="s">
        <v>42202</v>
      </c>
      <c r="L6700" t="s">
        <v>42195</v>
      </c>
    </row>
    <row r="6701" spans="1:12" x14ac:dyDescent="0.25">
      <c r="A6701">
        <v>1183730</v>
      </c>
      <c r="B6701">
        <v>1780818</v>
      </c>
      <c r="D6701">
        <v>0</v>
      </c>
      <c r="E6701" t="s">
        <v>42204</v>
      </c>
      <c r="F6701" t="s">
        <v>42205</v>
      </c>
      <c r="G6701" t="s">
        <v>42206</v>
      </c>
      <c r="H6701" t="e" vm="2926">
        <f>_FV(0,"010647460124435177")</f>
        <v>#VALUE!</v>
      </c>
      <c r="I6701" t="s">
        <v>42207</v>
      </c>
      <c r="J6701" t="s">
        <v>42208</v>
      </c>
      <c r="K6701" t="s">
        <v>42209</v>
      </c>
      <c r="L6701" t="s">
        <v>42203</v>
      </c>
    </row>
    <row r="6702" spans="1:12" x14ac:dyDescent="0.25">
      <c r="A6702">
        <v>1183730</v>
      </c>
      <c r="B6702">
        <v>1590005</v>
      </c>
      <c r="D6702">
        <v>0</v>
      </c>
      <c r="E6702" t="s">
        <v>42211</v>
      </c>
      <c r="F6702" t="s">
        <v>42212</v>
      </c>
      <c r="G6702" t="s">
        <v>42213</v>
      </c>
      <c r="H6702" t="e" vm="2927">
        <f>_FV(0,"0040045504582863056")</f>
        <v>#VALUE!</v>
      </c>
      <c r="I6702" t="s">
        <v>42214</v>
      </c>
      <c r="J6702" t="s">
        <v>42215</v>
      </c>
      <c r="K6702" t="s">
        <v>42216</v>
      </c>
      <c r="L6702" t="s">
        <v>42210</v>
      </c>
    </row>
    <row r="6703" spans="1:12" x14ac:dyDescent="0.25">
      <c r="A6703">
        <v>1183730</v>
      </c>
      <c r="B6703">
        <v>1765453</v>
      </c>
      <c r="C6703" t="s">
        <v>42218</v>
      </c>
      <c r="D6703">
        <v>0</v>
      </c>
      <c r="E6703" t="s">
        <v>42219</v>
      </c>
      <c r="F6703" t="s">
        <v>42220</v>
      </c>
      <c r="G6703" t="s">
        <v>42221</v>
      </c>
      <c r="H6703" t="s">
        <v>42222</v>
      </c>
      <c r="I6703" t="s">
        <v>42223</v>
      </c>
      <c r="J6703" t="s">
        <v>42224</v>
      </c>
      <c r="K6703" t="s">
        <v>42225</v>
      </c>
      <c r="L6703" t="s">
        <v>42217</v>
      </c>
    </row>
    <row r="6704" spans="1:12" x14ac:dyDescent="0.25">
      <c r="A6704">
        <v>1183878</v>
      </c>
      <c r="B6704">
        <v>1183897</v>
      </c>
      <c r="D6704">
        <v>0</v>
      </c>
      <c r="E6704" t="s">
        <v>42227</v>
      </c>
      <c r="F6704" t="s">
        <v>42228</v>
      </c>
      <c r="G6704" t="s">
        <v>42229</v>
      </c>
      <c r="H6704" t="e" vm="2928">
        <f>_FV(0,"006002411231019192")</f>
        <v>#VALUE!</v>
      </c>
      <c r="I6704" t="s">
        <v>42230</v>
      </c>
      <c r="J6704" t="s">
        <v>42231</v>
      </c>
      <c r="K6704" t="s">
        <v>42232</v>
      </c>
      <c r="L6704" t="s">
        <v>42226</v>
      </c>
    </row>
    <row r="6705" spans="1:12" x14ac:dyDescent="0.25">
      <c r="A6705">
        <v>1183878</v>
      </c>
      <c r="B6705">
        <v>1761962</v>
      </c>
      <c r="C6705" t="s">
        <v>42234</v>
      </c>
      <c r="D6705">
        <v>0</v>
      </c>
      <c r="E6705" t="s">
        <v>42235</v>
      </c>
      <c r="F6705" t="s">
        <v>42236</v>
      </c>
      <c r="G6705" t="s">
        <v>42237</v>
      </c>
      <c r="H6705" t="s">
        <v>42238</v>
      </c>
      <c r="I6705" t="s">
        <v>42239</v>
      </c>
      <c r="J6705" t="s">
        <v>42240</v>
      </c>
      <c r="K6705" t="s">
        <v>42241</v>
      </c>
      <c r="L6705" t="s">
        <v>42233</v>
      </c>
    </row>
    <row r="6706" spans="1:12" x14ac:dyDescent="0.25">
      <c r="A6706">
        <v>1183878</v>
      </c>
      <c r="B6706">
        <v>1780661</v>
      </c>
      <c r="D6706">
        <v>0</v>
      </c>
      <c r="E6706" t="s">
        <v>42243</v>
      </c>
      <c r="F6706" t="s">
        <v>42244</v>
      </c>
      <c r="G6706" t="s">
        <v>42245</v>
      </c>
      <c r="H6706" t="s">
        <v>42246</v>
      </c>
      <c r="I6706" t="s">
        <v>42247</v>
      </c>
      <c r="J6706" t="s">
        <v>42248</v>
      </c>
      <c r="K6706" t="s">
        <v>42249</v>
      </c>
      <c r="L6706" t="s">
        <v>42242</v>
      </c>
    </row>
    <row r="6707" spans="1:12" x14ac:dyDescent="0.25">
      <c r="A6707">
        <v>1183897</v>
      </c>
      <c r="B6707">
        <v>1589663</v>
      </c>
      <c r="C6707" t="s">
        <v>42251</v>
      </c>
      <c r="D6707">
        <v>0</v>
      </c>
      <c r="E6707" t="s">
        <v>42252</v>
      </c>
      <c r="F6707" t="s">
        <v>42253</v>
      </c>
      <c r="G6707" t="s">
        <v>42254</v>
      </c>
      <c r="H6707" t="s">
        <v>42255</v>
      </c>
      <c r="I6707" t="s">
        <v>42256</v>
      </c>
      <c r="J6707" t="s">
        <v>42250</v>
      </c>
      <c r="K6707" t="s">
        <v>42257</v>
      </c>
      <c r="L6707" t="s">
        <v>42250</v>
      </c>
    </row>
    <row r="6708" spans="1:12" x14ac:dyDescent="0.25">
      <c r="A6708">
        <v>1183897</v>
      </c>
      <c r="B6708">
        <v>1589818</v>
      </c>
      <c r="D6708" t="s">
        <v>1866</v>
      </c>
      <c r="E6708" t="s">
        <v>42259</v>
      </c>
      <c r="F6708" t="s">
        <v>42260</v>
      </c>
      <c r="G6708" t="s">
        <v>42261</v>
      </c>
      <c r="H6708" t="s">
        <v>42262</v>
      </c>
      <c r="I6708" t="s">
        <v>42263</v>
      </c>
      <c r="J6708" t="s">
        <v>42258</v>
      </c>
      <c r="K6708" t="s">
        <v>42264</v>
      </c>
      <c r="L6708" t="s">
        <v>42258</v>
      </c>
    </row>
    <row r="6709" spans="1:12" x14ac:dyDescent="0.25">
      <c r="A6709">
        <v>1183932</v>
      </c>
      <c r="B6709">
        <v>1184086</v>
      </c>
      <c r="D6709">
        <v>0</v>
      </c>
      <c r="F6709">
        <v>1267801</v>
      </c>
      <c r="G6709">
        <v>1183932</v>
      </c>
      <c r="H6709" t="e" vm="16">
        <f>_FV(0,"007")</f>
        <v>#VALUE!</v>
      </c>
      <c r="I6709">
        <v>1184086</v>
      </c>
      <c r="J6709" t="s">
        <v>226</v>
      </c>
      <c r="K6709" t="s">
        <v>42265</v>
      </c>
      <c r="L6709" t="e" vm="16">
        <f>_FV(0,"007")</f>
        <v>#VALUE!</v>
      </c>
    </row>
    <row r="6710" spans="1:12" x14ac:dyDescent="0.25">
      <c r="A6710">
        <v>1184086</v>
      </c>
      <c r="B6710">
        <v>1184099</v>
      </c>
      <c r="D6710">
        <v>0</v>
      </c>
      <c r="F6710">
        <v>1267673</v>
      </c>
      <c r="G6710">
        <v>1184099</v>
      </c>
      <c r="H6710" t="e" vm="16">
        <f>_FV(0,"007")</f>
        <v>#VALUE!</v>
      </c>
      <c r="I6710">
        <v>1184086</v>
      </c>
      <c r="J6710" t="s">
        <v>226</v>
      </c>
      <c r="K6710" t="s">
        <v>42266</v>
      </c>
      <c r="L6710" t="e" vm="16">
        <f>_FV(0,"007")</f>
        <v>#VALUE!</v>
      </c>
    </row>
    <row r="6711" spans="1:12" x14ac:dyDescent="0.25">
      <c r="A6711">
        <v>1186105</v>
      </c>
      <c r="B6711">
        <v>1186165</v>
      </c>
      <c r="D6711" t="s">
        <v>1007</v>
      </c>
      <c r="E6711" t="s">
        <v>42268</v>
      </c>
      <c r="F6711" t="s">
        <v>42269</v>
      </c>
      <c r="G6711" t="s">
        <v>42270</v>
      </c>
      <c r="H6711" t="e" vm="2929">
        <f>_FV(0,"022583045044298426")</f>
        <v>#VALUE!</v>
      </c>
      <c r="I6711" t="s">
        <v>42271</v>
      </c>
      <c r="J6711" t="s">
        <v>42272</v>
      </c>
      <c r="K6711" t="s">
        <v>42273</v>
      </c>
      <c r="L6711" t="s">
        <v>42267</v>
      </c>
    </row>
    <row r="6712" spans="1:12" x14ac:dyDescent="0.25">
      <c r="A6712">
        <v>1186105</v>
      </c>
      <c r="B6712">
        <v>1186165</v>
      </c>
      <c r="D6712" t="s">
        <v>2494</v>
      </c>
      <c r="E6712" t="s">
        <v>42275</v>
      </c>
      <c r="F6712" t="s">
        <v>42276</v>
      </c>
      <c r="G6712" t="s">
        <v>42277</v>
      </c>
      <c r="H6712" t="e" vm="2930">
        <f>_FV(0,"022577930167497554")</f>
        <v>#VALUE!</v>
      </c>
      <c r="I6712" t="s">
        <v>42278</v>
      </c>
      <c r="J6712" t="s">
        <v>42279</v>
      </c>
      <c r="K6712" t="s">
        <v>42280</v>
      </c>
      <c r="L6712" t="s">
        <v>42274</v>
      </c>
    </row>
    <row r="6713" spans="1:12" x14ac:dyDescent="0.25">
      <c r="A6713">
        <v>1186165</v>
      </c>
      <c r="B6713">
        <v>1764735</v>
      </c>
      <c r="D6713">
        <v>0</v>
      </c>
      <c r="E6713" t="s">
        <v>42282</v>
      </c>
      <c r="F6713" t="s">
        <v>42283</v>
      </c>
      <c r="G6713" t="s">
        <v>42284</v>
      </c>
      <c r="H6713" t="s">
        <v>42285</v>
      </c>
      <c r="I6713" t="s">
        <v>42286</v>
      </c>
      <c r="J6713" t="s">
        <v>42287</v>
      </c>
      <c r="K6713" t="s">
        <v>42288</v>
      </c>
      <c r="L6713" t="s">
        <v>42281</v>
      </c>
    </row>
    <row r="6714" spans="1:12" x14ac:dyDescent="0.25">
      <c r="A6714">
        <v>1189741</v>
      </c>
      <c r="B6714">
        <v>1189756</v>
      </c>
      <c r="D6714">
        <v>0</v>
      </c>
      <c r="E6714" t="s">
        <v>42290</v>
      </c>
      <c r="F6714" t="s">
        <v>42291</v>
      </c>
      <c r="G6714" t="s">
        <v>42292</v>
      </c>
      <c r="H6714" t="e" vm="2931">
        <f>_FV(0,"04413589632313014")</f>
        <v>#VALUE!</v>
      </c>
      <c r="I6714" t="s">
        <v>42293</v>
      </c>
      <c r="J6714" t="s">
        <v>42294</v>
      </c>
      <c r="K6714" t="s">
        <v>42295</v>
      </c>
      <c r="L6714" t="s">
        <v>42289</v>
      </c>
    </row>
    <row r="6715" spans="1:12" x14ac:dyDescent="0.25">
      <c r="A6715">
        <v>1189741</v>
      </c>
      <c r="B6715">
        <v>1189773</v>
      </c>
      <c r="D6715">
        <v>0</v>
      </c>
      <c r="E6715" t="s">
        <v>42297</v>
      </c>
      <c r="F6715" t="s">
        <v>42298</v>
      </c>
      <c r="G6715" t="s">
        <v>42299</v>
      </c>
      <c r="H6715" t="s">
        <v>42300</v>
      </c>
      <c r="I6715" t="s">
        <v>42301</v>
      </c>
      <c r="J6715" t="s">
        <v>42296</v>
      </c>
      <c r="K6715" t="s">
        <v>42302</v>
      </c>
      <c r="L6715" t="s">
        <v>42296</v>
      </c>
    </row>
    <row r="6716" spans="1:12" x14ac:dyDescent="0.25">
      <c r="A6716">
        <v>1189741</v>
      </c>
      <c r="B6716">
        <v>1242778</v>
      </c>
      <c r="D6716">
        <v>0</v>
      </c>
      <c r="E6716" t="s">
        <v>42304</v>
      </c>
      <c r="F6716" t="s">
        <v>42305</v>
      </c>
      <c r="G6716" t="s">
        <v>42306</v>
      </c>
      <c r="H6716" t="s">
        <v>42307</v>
      </c>
      <c r="I6716" t="s">
        <v>42308</v>
      </c>
      <c r="J6716" t="s">
        <v>42303</v>
      </c>
      <c r="K6716" t="s">
        <v>42309</v>
      </c>
      <c r="L6716" t="s">
        <v>42303</v>
      </c>
    </row>
    <row r="6717" spans="1:12" x14ac:dyDescent="0.25">
      <c r="A6717">
        <v>1189756</v>
      </c>
      <c r="B6717">
        <v>1189757</v>
      </c>
      <c r="D6717">
        <v>0</v>
      </c>
      <c r="F6717">
        <v>1274222</v>
      </c>
      <c r="G6717">
        <v>1189757</v>
      </c>
      <c r="H6717" t="e" vm="1632">
        <f>_FV(0,"071")</f>
        <v>#VALUE!</v>
      </c>
      <c r="I6717">
        <v>1189756</v>
      </c>
      <c r="J6717" t="s">
        <v>23519</v>
      </c>
      <c r="K6717" t="s">
        <v>42310</v>
      </c>
      <c r="L6717" t="e" vm="1632">
        <f>_FV(0,"071")</f>
        <v>#VALUE!</v>
      </c>
    </row>
    <row r="6718" spans="1:12" x14ac:dyDescent="0.25">
      <c r="A6718">
        <v>1189756</v>
      </c>
      <c r="B6718">
        <v>1242778</v>
      </c>
      <c r="D6718">
        <v>0</v>
      </c>
      <c r="E6718" t="s">
        <v>42312</v>
      </c>
      <c r="F6718" t="s">
        <v>42313</v>
      </c>
      <c r="G6718" t="s">
        <v>42314</v>
      </c>
      <c r="H6718" t="s">
        <v>42315</v>
      </c>
      <c r="I6718" t="s">
        <v>42316</v>
      </c>
      <c r="J6718" t="s">
        <v>42311</v>
      </c>
      <c r="K6718" t="s">
        <v>42317</v>
      </c>
      <c r="L6718" t="s">
        <v>42311</v>
      </c>
    </row>
    <row r="6719" spans="1:12" x14ac:dyDescent="0.25">
      <c r="A6719">
        <v>1189757</v>
      </c>
      <c r="B6719">
        <v>1189773</v>
      </c>
      <c r="D6719">
        <v>0</v>
      </c>
      <c r="E6719" t="s">
        <v>42319</v>
      </c>
      <c r="F6719" t="s">
        <v>42320</v>
      </c>
      <c r="G6719" t="s">
        <v>42321</v>
      </c>
      <c r="H6719" t="e" vm="2932">
        <f>_FV(0,"05530496389886411")</f>
        <v>#VALUE!</v>
      </c>
      <c r="I6719" t="s">
        <v>42322</v>
      </c>
      <c r="J6719" t="s">
        <v>42323</v>
      </c>
      <c r="K6719" t="s">
        <v>42324</v>
      </c>
      <c r="L6719" t="s">
        <v>42318</v>
      </c>
    </row>
    <row r="6720" spans="1:12" x14ac:dyDescent="0.25">
      <c r="A6720">
        <v>1189757</v>
      </c>
      <c r="B6720">
        <v>1242722</v>
      </c>
      <c r="D6720">
        <v>0</v>
      </c>
      <c r="E6720" t="s">
        <v>42326</v>
      </c>
      <c r="F6720" t="s">
        <v>42327</v>
      </c>
      <c r="G6720" t="s">
        <v>42328</v>
      </c>
      <c r="H6720" t="e" vm="2933">
        <f>_FV(-1,"0413783702894213")</f>
        <v>#VALUE!</v>
      </c>
      <c r="I6720" t="s">
        <v>42329</v>
      </c>
      <c r="J6720" t="s">
        <v>42330</v>
      </c>
      <c r="K6720" t="s">
        <v>42331</v>
      </c>
      <c r="L6720" t="s">
        <v>42325</v>
      </c>
    </row>
    <row r="6721" spans="1:12" x14ac:dyDescent="0.25">
      <c r="A6721">
        <v>1189773</v>
      </c>
      <c r="B6721">
        <v>1242722</v>
      </c>
      <c r="D6721">
        <v>0</v>
      </c>
      <c r="E6721" t="s">
        <v>42333</v>
      </c>
      <c r="F6721" t="s">
        <v>42334</v>
      </c>
      <c r="G6721" t="s">
        <v>42335</v>
      </c>
      <c r="H6721" t="e" vm="2934">
        <f>_FV(0,"9751279349299439")</f>
        <v>#VALUE!</v>
      </c>
      <c r="I6721" t="s">
        <v>42336</v>
      </c>
      <c r="J6721" t="s">
        <v>42337</v>
      </c>
      <c r="K6721" t="s">
        <v>42338</v>
      </c>
      <c r="L6721" t="s">
        <v>42332</v>
      </c>
    </row>
    <row r="6722" spans="1:12" x14ac:dyDescent="0.25">
      <c r="A6722">
        <v>1202273</v>
      </c>
      <c r="B6722">
        <v>1202296</v>
      </c>
      <c r="D6722">
        <v>0</v>
      </c>
      <c r="E6722" t="s">
        <v>42340</v>
      </c>
      <c r="F6722" t="s">
        <v>42341</v>
      </c>
      <c r="G6722" t="s">
        <v>42342</v>
      </c>
      <c r="H6722" t="s">
        <v>42343</v>
      </c>
      <c r="I6722" t="s">
        <v>42344</v>
      </c>
      <c r="J6722" t="s">
        <v>42345</v>
      </c>
      <c r="K6722" t="s">
        <v>42346</v>
      </c>
      <c r="L6722" t="s">
        <v>42339</v>
      </c>
    </row>
    <row r="6723" spans="1:12" x14ac:dyDescent="0.25">
      <c r="A6723">
        <v>1202273</v>
      </c>
      <c r="B6723">
        <v>1202331</v>
      </c>
      <c r="D6723">
        <v>0</v>
      </c>
      <c r="E6723" t="s">
        <v>42348</v>
      </c>
      <c r="F6723" t="s">
        <v>42349</v>
      </c>
      <c r="G6723" t="s">
        <v>42350</v>
      </c>
      <c r="H6723" t="e" vm="2935">
        <f>_FV(0,"016573536733002266")</f>
        <v>#VALUE!</v>
      </c>
      <c r="I6723" t="s">
        <v>42351</v>
      </c>
      <c r="J6723" t="s">
        <v>42352</v>
      </c>
      <c r="K6723" t="s">
        <v>42353</v>
      </c>
      <c r="L6723" t="s">
        <v>42347</v>
      </c>
    </row>
    <row r="6724" spans="1:12" x14ac:dyDescent="0.25">
      <c r="A6724">
        <v>1202273</v>
      </c>
      <c r="B6724">
        <v>1202382</v>
      </c>
      <c r="D6724">
        <v>0</v>
      </c>
      <c r="E6724" t="s">
        <v>42354</v>
      </c>
      <c r="F6724" t="s">
        <v>42355</v>
      </c>
      <c r="G6724" t="s">
        <v>42356</v>
      </c>
      <c r="H6724" t="s">
        <v>42357</v>
      </c>
      <c r="I6724" t="s">
        <v>42358</v>
      </c>
      <c r="J6724" t="s">
        <v>1131</v>
      </c>
      <c r="K6724" t="s">
        <v>42359</v>
      </c>
      <c r="L6724" t="s">
        <v>1131</v>
      </c>
    </row>
    <row r="6725" spans="1:12" x14ac:dyDescent="0.25">
      <c r="A6725">
        <v>1202296</v>
      </c>
      <c r="B6725">
        <v>1202307</v>
      </c>
      <c r="D6725">
        <v>0</v>
      </c>
      <c r="E6725" t="s">
        <v>42361</v>
      </c>
      <c r="F6725" t="s">
        <v>42362</v>
      </c>
      <c r="G6725" t="s">
        <v>42363</v>
      </c>
      <c r="H6725" t="s">
        <v>42364</v>
      </c>
      <c r="I6725" t="s">
        <v>42365</v>
      </c>
      <c r="J6725" t="s">
        <v>42360</v>
      </c>
      <c r="K6725" t="s">
        <v>42366</v>
      </c>
      <c r="L6725" t="s">
        <v>42360</v>
      </c>
    </row>
    <row r="6726" spans="1:12" x14ac:dyDescent="0.25">
      <c r="A6726">
        <v>1202296</v>
      </c>
      <c r="B6726">
        <v>1202377</v>
      </c>
      <c r="D6726">
        <v>0</v>
      </c>
      <c r="E6726" t="s">
        <v>42367</v>
      </c>
      <c r="F6726" t="s">
        <v>42368</v>
      </c>
      <c r="G6726" t="s">
        <v>42369</v>
      </c>
      <c r="H6726" t="s">
        <v>42370</v>
      </c>
      <c r="I6726" t="s">
        <v>42371</v>
      </c>
      <c r="J6726" t="s">
        <v>38903</v>
      </c>
      <c r="K6726" t="s">
        <v>42372</v>
      </c>
      <c r="L6726" t="s">
        <v>38903</v>
      </c>
    </row>
    <row r="6727" spans="1:12" x14ac:dyDescent="0.25">
      <c r="A6727">
        <v>1202307</v>
      </c>
      <c r="B6727">
        <v>1202331</v>
      </c>
      <c r="D6727">
        <v>0</v>
      </c>
      <c r="E6727" t="s">
        <v>42374</v>
      </c>
      <c r="F6727" t="s">
        <v>42375</v>
      </c>
      <c r="G6727" t="s">
        <v>42376</v>
      </c>
      <c r="H6727" t="e" vm="2936">
        <f>_FV(0,"010191060121838336")</f>
        <v>#VALUE!</v>
      </c>
      <c r="I6727" t="s">
        <v>42377</v>
      </c>
      <c r="J6727" t="s">
        <v>42378</v>
      </c>
      <c r="K6727" t="s">
        <v>42379</v>
      </c>
      <c r="L6727" t="s">
        <v>42373</v>
      </c>
    </row>
    <row r="6728" spans="1:12" x14ac:dyDescent="0.25">
      <c r="A6728">
        <v>1202307</v>
      </c>
      <c r="B6728">
        <v>1202377</v>
      </c>
      <c r="D6728">
        <v>0</v>
      </c>
      <c r="E6728" t="s">
        <v>42381</v>
      </c>
      <c r="F6728" t="s">
        <v>42382</v>
      </c>
      <c r="G6728" t="s">
        <v>42383</v>
      </c>
      <c r="H6728" t="e" vm="2937">
        <f>_FV(0,"0006228866326398147")</f>
        <v>#VALUE!</v>
      </c>
      <c r="I6728" t="s">
        <v>42384</v>
      </c>
      <c r="J6728" t="s">
        <v>24587</v>
      </c>
      <c r="K6728" t="s">
        <v>42385</v>
      </c>
      <c r="L6728" t="s">
        <v>42380</v>
      </c>
    </row>
    <row r="6729" spans="1:12" x14ac:dyDescent="0.25">
      <c r="A6729">
        <v>1202331</v>
      </c>
      <c r="B6729">
        <v>1202382</v>
      </c>
      <c r="D6729">
        <v>0</v>
      </c>
      <c r="E6729" t="s">
        <v>42387</v>
      </c>
      <c r="F6729" t="s">
        <v>42388</v>
      </c>
      <c r="G6729" t="s">
        <v>42389</v>
      </c>
      <c r="H6729" t="s">
        <v>42390</v>
      </c>
      <c r="I6729" t="s">
        <v>42391</v>
      </c>
      <c r="J6729" t="s">
        <v>42386</v>
      </c>
      <c r="K6729" t="s">
        <v>42392</v>
      </c>
      <c r="L6729" t="s">
        <v>42386</v>
      </c>
    </row>
    <row r="6730" spans="1:12" x14ac:dyDescent="0.25">
      <c r="A6730">
        <v>1202382</v>
      </c>
      <c r="B6730">
        <v>1251541</v>
      </c>
      <c r="D6730" t="s">
        <v>9212</v>
      </c>
      <c r="E6730" t="s">
        <v>42394</v>
      </c>
      <c r="F6730" t="s">
        <v>42395</v>
      </c>
      <c r="G6730" t="s">
        <v>42396</v>
      </c>
      <c r="H6730" t="s">
        <v>42397</v>
      </c>
      <c r="I6730" t="s">
        <v>42398</v>
      </c>
      <c r="J6730" t="s">
        <v>42399</v>
      </c>
      <c r="K6730" t="s">
        <v>42400</v>
      </c>
      <c r="L6730" t="s">
        <v>42393</v>
      </c>
    </row>
    <row r="6731" spans="1:12" x14ac:dyDescent="0.25">
      <c r="A6731">
        <v>1204262</v>
      </c>
      <c r="B6731">
        <v>1204286</v>
      </c>
      <c r="D6731">
        <v>0</v>
      </c>
      <c r="E6731" t="s">
        <v>42402</v>
      </c>
      <c r="F6731" t="s">
        <v>42403</v>
      </c>
      <c r="G6731" t="s">
        <v>42404</v>
      </c>
      <c r="H6731" t="s">
        <v>42405</v>
      </c>
      <c r="I6731" t="s">
        <v>42406</v>
      </c>
      <c r="J6731" t="s">
        <v>42401</v>
      </c>
      <c r="K6731" t="s">
        <v>42407</v>
      </c>
      <c r="L6731" t="s">
        <v>42401</v>
      </c>
    </row>
    <row r="6732" spans="1:12" x14ac:dyDescent="0.25">
      <c r="A6732">
        <v>1204286</v>
      </c>
      <c r="B6732">
        <v>1204364</v>
      </c>
      <c r="D6732" t="s">
        <v>257</v>
      </c>
      <c r="E6732" t="s">
        <v>42409</v>
      </c>
      <c r="F6732" t="s">
        <v>42410</v>
      </c>
      <c r="G6732" t="s">
        <v>42411</v>
      </c>
      <c r="H6732" t="e" vm="2938">
        <f>_FV(0,"007083824745152542")</f>
        <v>#VALUE!</v>
      </c>
      <c r="I6732" t="s">
        <v>42412</v>
      </c>
      <c r="J6732" t="s">
        <v>42413</v>
      </c>
      <c r="K6732" t="s">
        <v>42414</v>
      </c>
      <c r="L6732" t="s">
        <v>42408</v>
      </c>
    </row>
    <row r="6733" spans="1:12" x14ac:dyDescent="0.25">
      <c r="A6733">
        <v>1204356</v>
      </c>
      <c r="B6733">
        <v>1204364</v>
      </c>
      <c r="D6733">
        <v>0</v>
      </c>
      <c r="E6733" t="s">
        <v>42416</v>
      </c>
      <c r="F6733" t="s">
        <v>42417</v>
      </c>
      <c r="G6733" t="s">
        <v>42418</v>
      </c>
      <c r="H6733" t="s">
        <v>42419</v>
      </c>
      <c r="I6733" t="s">
        <v>42420</v>
      </c>
      <c r="J6733" t="s">
        <v>42415</v>
      </c>
      <c r="K6733" t="s">
        <v>42421</v>
      </c>
      <c r="L6733" t="s">
        <v>42415</v>
      </c>
    </row>
    <row r="6734" spans="1:12" x14ac:dyDescent="0.25">
      <c r="A6734">
        <v>1204437</v>
      </c>
      <c r="B6734">
        <v>1204452</v>
      </c>
      <c r="D6734">
        <v>0</v>
      </c>
      <c r="E6734" t="s">
        <v>42423</v>
      </c>
      <c r="F6734" t="s">
        <v>42424</v>
      </c>
      <c r="G6734" t="s">
        <v>42425</v>
      </c>
      <c r="H6734" t="e" vm="2939">
        <f>_FV(0,"02531996105254845")</f>
        <v>#VALUE!</v>
      </c>
      <c r="I6734" t="s">
        <v>42426</v>
      </c>
      <c r="J6734" t="s">
        <v>42427</v>
      </c>
      <c r="K6734" t="s">
        <v>42428</v>
      </c>
      <c r="L6734" t="s">
        <v>42422</v>
      </c>
    </row>
    <row r="6735" spans="1:12" x14ac:dyDescent="0.25">
      <c r="A6735">
        <v>1204437</v>
      </c>
      <c r="B6735">
        <v>1204452</v>
      </c>
      <c r="D6735">
        <v>0</v>
      </c>
      <c r="E6735" t="s">
        <v>42430</v>
      </c>
      <c r="F6735" t="s">
        <v>42431</v>
      </c>
      <c r="G6735" t="s">
        <v>42432</v>
      </c>
      <c r="H6735" t="e" vm="2940">
        <f>_FV(0,"025311046385182095")</f>
        <v>#VALUE!</v>
      </c>
      <c r="I6735" t="s">
        <v>42433</v>
      </c>
      <c r="J6735" t="s">
        <v>42434</v>
      </c>
      <c r="K6735" t="s">
        <v>42435</v>
      </c>
      <c r="L6735" t="s">
        <v>42429</v>
      </c>
    </row>
    <row r="6736" spans="1:12" x14ac:dyDescent="0.25">
      <c r="A6736">
        <v>1205259</v>
      </c>
      <c r="B6736">
        <v>1205589</v>
      </c>
      <c r="C6736" t="s">
        <v>42437</v>
      </c>
      <c r="D6736" t="s">
        <v>42438</v>
      </c>
      <c r="E6736" t="s">
        <v>42439</v>
      </c>
      <c r="F6736" t="s">
        <v>42440</v>
      </c>
      <c r="G6736" t="s">
        <v>42441</v>
      </c>
      <c r="H6736" t="s">
        <v>42442</v>
      </c>
      <c r="I6736" t="s">
        <v>42443</v>
      </c>
      <c r="J6736" t="s">
        <v>42444</v>
      </c>
      <c r="K6736" t="s">
        <v>42445</v>
      </c>
      <c r="L6736" t="s">
        <v>42436</v>
      </c>
    </row>
    <row r="6737" spans="1:12" x14ac:dyDescent="0.25">
      <c r="A6737">
        <v>1205589</v>
      </c>
      <c r="B6737">
        <v>1205598</v>
      </c>
      <c r="D6737">
        <v>0</v>
      </c>
      <c r="E6737" t="s">
        <v>42447</v>
      </c>
      <c r="F6737" t="s">
        <v>42448</v>
      </c>
      <c r="G6737" t="s">
        <v>42449</v>
      </c>
      <c r="H6737" t="s">
        <v>42450</v>
      </c>
      <c r="I6737" t="s">
        <v>42451</v>
      </c>
      <c r="J6737" t="s">
        <v>42446</v>
      </c>
      <c r="K6737" t="s">
        <v>42452</v>
      </c>
      <c r="L6737" t="s">
        <v>42446</v>
      </c>
    </row>
    <row r="6738" spans="1:12" x14ac:dyDescent="0.25">
      <c r="A6738">
        <v>1205589</v>
      </c>
      <c r="B6738">
        <v>1205598</v>
      </c>
      <c r="D6738">
        <v>0</v>
      </c>
      <c r="E6738" t="s">
        <v>42454</v>
      </c>
      <c r="F6738" t="s">
        <v>42455</v>
      </c>
      <c r="G6738" t="s">
        <v>42456</v>
      </c>
      <c r="H6738" t="s">
        <v>42457</v>
      </c>
      <c r="I6738" t="s">
        <v>42458</v>
      </c>
      <c r="J6738" t="s">
        <v>42459</v>
      </c>
      <c r="K6738" t="s">
        <v>42460</v>
      </c>
      <c r="L6738" t="s">
        <v>42453</v>
      </c>
    </row>
    <row r="6739" spans="1:12" x14ac:dyDescent="0.25">
      <c r="A6739">
        <v>1205598</v>
      </c>
      <c r="B6739">
        <v>1854836</v>
      </c>
      <c r="C6739" t="s">
        <v>42461</v>
      </c>
      <c r="D6739">
        <v>0</v>
      </c>
      <c r="E6739" t="s">
        <v>42462</v>
      </c>
      <c r="H6739" t="s">
        <v>187</v>
      </c>
      <c r="J6739">
        <v>0</v>
      </c>
      <c r="K6739" t="s">
        <v>31637</v>
      </c>
      <c r="L6739">
        <v>0</v>
      </c>
    </row>
    <row r="6740" spans="1:12" x14ac:dyDescent="0.25">
      <c r="A6740">
        <v>1205738</v>
      </c>
      <c r="B6740">
        <v>1205805</v>
      </c>
      <c r="D6740">
        <v>0</v>
      </c>
      <c r="E6740" t="s">
        <v>42464</v>
      </c>
      <c r="F6740" t="s">
        <v>42465</v>
      </c>
      <c r="G6740" t="s">
        <v>42466</v>
      </c>
      <c r="H6740" t="s">
        <v>42467</v>
      </c>
      <c r="I6740" t="s">
        <v>42468</v>
      </c>
      <c r="J6740" t="s">
        <v>42463</v>
      </c>
      <c r="K6740" t="s">
        <v>42469</v>
      </c>
      <c r="L6740" t="s">
        <v>42463</v>
      </c>
    </row>
    <row r="6741" spans="1:12" x14ac:dyDescent="0.25">
      <c r="A6741">
        <v>1205738</v>
      </c>
      <c r="B6741">
        <v>1220506</v>
      </c>
      <c r="D6741">
        <v>0</v>
      </c>
      <c r="E6741" t="s">
        <v>42471</v>
      </c>
      <c r="F6741" t="s">
        <v>42472</v>
      </c>
      <c r="G6741" t="s">
        <v>42473</v>
      </c>
      <c r="H6741" t="e" vm="2941">
        <f>_FV(0,"2276412785948644")</f>
        <v>#VALUE!</v>
      </c>
      <c r="I6741" t="s">
        <v>42474</v>
      </c>
      <c r="J6741" t="s">
        <v>42475</v>
      </c>
      <c r="K6741" t="s">
        <v>42476</v>
      </c>
      <c r="L6741" t="s">
        <v>42470</v>
      </c>
    </row>
    <row r="6742" spans="1:12" x14ac:dyDescent="0.25">
      <c r="A6742">
        <v>1205738</v>
      </c>
      <c r="B6742">
        <v>1220506</v>
      </c>
      <c r="D6742">
        <v>0</v>
      </c>
      <c r="E6742" t="s">
        <v>42478</v>
      </c>
      <c r="F6742" t="s">
        <v>42479</v>
      </c>
      <c r="G6742" t="s">
        <v>42480</v>
      </c>
      <c r="H6742" t="e" vm="2942">
        <f>_FV(0,"2281156225474605")</f>
        <v>#VALUE!</v>
      </c>
      <c r="I6742" t="s">
        <v>42481</v>
      </c>
      <c r="J6742" t="s">
        <v>42482</v>
      </c>
      <c r="K6742" t="s">
        <v>42483</v>
      </c>
      <c r="L6742" t="s">
        <v>42477</v>
      </c>
    </row>
    <row r="6743" spans="1:12" x14ac:dyDescent="0.25">
      <c r="A6743">
        <v>1205805</v>
      </c>
      <c r="B6743">
        <v>1205889</v>
      </c>
      <c r="D6743" t="s">
        <v>42485</v>
      </c>
      <c r="E6743" t="s">
        <v>42486</v>
      </c>
      <c r="F6743" t="s">
        <v>42487</v>
      </c>
      <c r="G6743" t="s">
        <v>42488</v>
      </c>
      <c r="H6743" t="e" vm="2943">
        <f>_FV(0,"05957013913603778")</f>
        <v>#VALUE!</v>
      </c>
      <c r="I6743" t="s">
        <v>42489</v>
      </c>
      <c r="J6743" t="s">
        <v>42490</v>
      </c>
      <c r="K6743" t="s">
        <v>42491</v>
      </c>
      <c r="L6743" t="s">
        <v>42484</v>
      </c>
    </row>
    <row r="6744" spans="1:12" x14ac:dyDescent="0.25">
      <c r="A6744">
        <v>1205805</v>
      </c>
      <c r="B6744">
        <v>1205889</v>
      </c>
      <c r="D6744" t="s">
        <v>42493</v>
      </c>
      <c r="E6744" t="s">
        <v>42494</v>
      </c>
      <c r="F6744" t="s">
        <v>42495</v>
      </c>
      <c r="G6744" t="s">
        <v>42496</v>
      </c>
      <c r="H6744" t="e" vm="2944">
        <f>_FV(0,"059972259557220874")</f>
        <v>#VALUE!</v>
      </c>
      <c r="I6744" t="s">
        <v>42497</v>
      </c>
      <c r="J6744" t="s">
        <v>42498</v>
      </c>
      <c r="K6744" t="s">
        <v>42499</v>
      </c>
      <c r="L6744" t="s">
        <v>42492</v>
      </c>
    </row>
    <row r="6745" spans="1:12" x14ac:dyDescent="0.25">
      <c r="A6745">
        <v>1205875</v>
      </c>
      <c r="B6745">
        <v>1205890</v>
      </c>
      <c r="D6745">
        <v>0</v>
      </c>
      <c r="E6745" t="s">
        <v>42501</v>
      </c>
      <c r="F6745" t="s">
        <v>42502</v>
      </c>
      <c r="G6745" t="s">
        <v>42503</v>
      </c>
      <c r="H6745" t="s">
        <v>42504</v>
      </c>
      <c r="I6745" t="s">
        <v>42505</v>
      </c>
      <c r="J6745" t="s">
        <v>42500</v>
      </c>
      <c r="K6745" t="s">
        <v>42506</v>
      </c>
      <c r="L6745" t="s">
        <v>42500</v>
      </c>
    </row>
    <row r="6746" spans="1:12" x14ac:dyDescent="0.25">
      <c r="A6746">
        <v>1205875</v>
      </c>
      <c r="B6746">
        <v>1401584</v>
      </c>
      <c r="D6746">
        <v>0</v>
      </c>
      <c r="E6746" t="s">
        <v>42508</v>
      </c>
      <c r="F6746" t="s">
        <v>42509</v>
      </c>
      <c r="G6746" t="s">
        <v>42510</v>
      </c>
      <c r="H6746" t="s">
        <v>42511</v>
      </c>
      <c r="I6746" t="s">
        <v>42512</v>
      </c>
      <c r="J6746" t="s">
        <v>42513</v>
      </c>
      <c r="K6746" t="s">
        <v>42514</v>
      </c>
      <c r="L6746" t="s">
        <v>42507</v>
      </c>
    </row>
    <row r="6747" spans="1:12" x14ac:dyDescent="0.25">
      <c r="A6747">
        <v>1205875</v>
      </c>
      <c r="B6747">
        <v>1401504</v>
      </c>
      <c r="C6747" t="s">
        <v>42516</v>
      </c>
      <c r="D6747">
        <v>0</v>
      </c>
      <c r="E6747" t="s">
        <v>42517</v>
      </c>
      <c r="F6747" t="s">
        <v>42518</v>
      </c>
      <c r="G6747" t="s">
        <v>42519</v>
      </c>
      <c r="H6747" t="e" vm="2945">
        <f>_FV(0,"012425325983108292")</f>
        <v>#VALUE!</v>
      </c>
      <c r="I6747" t="s">
        <v>42520</v>
      </c>
      <c r="J6747" t="s">
        <v>42521</v>
      </c>
      <c r="K6747" t="s">
        <v>42522</v>
      </c>
      <c r="L6747" t="s">
        <v>42515</v>
      </c>
    </row>
    <row r="6748" spans="1:12" x14ac:dyDescent="0.25">
      <c r="A6748">
        <v>1205889</v>
      </c>
      <c r="B6748">
        <v>1220599</v>
      </c>
      <c r="D6748" t="s">
        <v>6006</v>
      </c>
      <c r="E6748" t="s">
        <v>42524</v>
      </c>
      <c r="F6748" t="s">
        <v>42525</v>
      </c>
      <c r="G6748" t="s">
        <v>42526</v>
      </c>
      <c r="H6748" t="s">
        <v>42527</v>
      </c>
      <c r="I6748" t="s">
        <v>42528</v>
      </c>
      <c r="J6748" t="s">
        <v>42529</v>
      </c>
      <c r="K6748" t="s">
        <v>42530</v>
      </c>
      <c r="L6748" t="s">
        <v>42523</v>
      </c>
    </row>
    <row r="6749" spans="1:12" x14ac:dyDescent="0.25">
      <c r="A6749">
        <v>1205890</v>
      </c>
      <c r="B6749">
        <v>1205890</v>
      </c>
      <c r="D6749">
        <v>0</v>
      </c>
      <c r="E6749" t="s">
        <v>42532</v>
      </c>
      <c r="F6749" t="s">
        <v>42533</v>
      </c>
      <c r="G6749" t="s">
        <v>42534</v>
      </c>
      <c r="H6749" t="s">
        <v>42535</v>
      </c>
      <c r="I6749" t="s">
        <v>42536</v>
      </c>
      <c r="J6749" t="s">
        <v>42537</v>
      </c>
      <c r="K6749" t="s">
        <v>42538</v>
      </c>
      <c r="L6749" t="s">
        <v>42531</v>
      </c>
    </row>
    <row r="6750" spans="1:12" x14ac:dyDescent="0.25">
      <c r="A6750">
        <v>1207573</v>
      </c>
      <c r="B6750">
        <v>1207586</v>
      </c>
      <c r="D6750">
        <v>0</v>
      </c>
      <c r="E6750" t="s">
        <v>42540</v>
      </c>
      <c r="F6750" t="s">
        <v>42541</v>
      </c>
      <c r="G6750" t="s">
        <v>42542</v>
      </c>
      <c r="H6750" t="s">
        <v>42543</v>
      </c>
      <c r="I6750" t="s">
        <v>42544</v>
      </c>
      <c r="J6750" t="s">
        <v>42539</v>
      </c>
      <c r="K6750" t="s">
        <v>42545</v>
      </c>
      <c r="L6750" t="s">
        <v>42539</v>
      </c>
    </row>
    <row r="6751" spans="1:12" x14ac:dyDescent="0.25">
      <c r="A6751">
        <v>1207573</v>
      </c>
      <c r="B6751">
        <v>1207592</v>
      </c>
      <c r="D6751">
        <v>0</v>
      </c>
      <c r="E6751" t="s">
        <v>42547</v>
      </c>
      <c r="F6751" t="s">
        <v>42548</v>
      </c>
      <c r="G6751" t="s">
        <v>42549</v>
      </c>
      <c r="H6751" t="e" vm="2946">
        <f>_FV(0,"07457671525432415")</f>
        <v>#VALUE!</v>
      </c>
      <c r="I6751" t="s">
        <v>42550</v>
      </c>
      <c r="J6751" t="s">
        <v>42551</v>
      </c>
      <c r="K6751" t="s">
        <v>42552</v>
      </c>
      <c r="L6751" t="s">
        <v>42546</v>
      </c>
    </row>
    <row r="6752" spans="1:12" x14ac:dyDescent="0.25">
      <c r="A6752">
        <v>1207573</v>
      </c>
      <c r="B6752">
        <v>1218340</v>
      </c>
      <c r="D6752" t="s">
        <v>2510</v>
      </c>
      <c r="E6752" t="s">
        <v>42554</v>
      </c>
      <c r="F6752" t="s">
        <v>42555</v>
      </c>
      <c r="G6752" t="s">
        <v>42556</v>
      </c>
      <c r="H6752" t="s">
        <v>42557</v>
      </c>
      <c r="I6752" t="s">
        <v>42558</v>
      </c>
      <c r="J6752" t="s">
        <v>42559</v>
      </c>
      <c r="K6752" t="s">
        <v>42560</v>
      </c>
      <c r="L6752" t="s">
        <v>42553</v>
      </c>
    </row>
    <row r="6753" spans="1:12" x14ac:dyDescent="0.25">
      <c r="A6753">
        <v>1207586</v>
      </c>
      <c r="B6753">
        <v>1207587</v>
      </c>
      <c r="D6753">
        <v>0</v>
      </c>
      <c r="F6753">
        <v>1295128</v>
      </c>
      <c r="G6753">
        <v>1207587</v>
      </c>
      <c r="H6753" t="e" vm="109">
        <f>_FV(0,"01")</f>
        <v>#VALUE!</v>
      </c>
      <c r="I6753">
        <v>1207586</v>
      </c>
      <c r="J6753" t="s">
        <v>761</v>
      </c>
      <c r="K6753" t="s">
        <v>42561</v>
      </c>
      <c r="L6753" t="e" vm="109">
        <f>_FV(0,"01")</f>
        <v>#VALUE!</v>
      </c>
    </row>
    <row r="6754" spans="1:12" x14ac:dyDescent="0.25">
      <c r="A6754">
        <v>1207586</v>
      </c>
      <c r="B6754">
        <v>1215651</v>
      </c>
      <c r="D6754">
        <v>0</v>
      </c>
      <c r="E6754" t="s">
        <v>42563</v>
      </c>
      <c r="F6754" t="s">
        <v>42564</v>
      </c>
      <c r="G6754" t="s">
        <v>42565</v>
      </c>
      <c r="H6754" t="e" vm="2947">
        <f>_FV(0,"0611471192443649")</f>
        <v>#VALUE!</v>
      </c>
      <c r="I6754" t="s">
        <v>42566</v>
      </c>
      <c r="J6754" t="s">
        <v>42567</v>
      </c>
      <c r="K6754" t="s">
        <v>42568</v>
      </c>
      <c r="L6754" t="s">
        <v>42562</v>
      </c>
    </row>
    <row r="6755" spans="1:12" x14ac:dyDescent="0.25">
      <c r="A6755">
        <v>1207587</v>
      </c>
      <c r="B6755">
        <v>1207592</v>
      </c>
      <c r="D6755">
        <v>0</v>
      </c>
      <c r="F6755">
        <v>1295134</v>
      </c>
      <c r="G6755">
        <v>1207592</v>
      </c>
      <c r="H6755" t="e" vm="806">
        <f>_FV(0,"164")</f>
        <v>#VALUE!</v>
      </c>
      <c r="I6755">
        <v>1207587</v>
      </c>
      <c r="J6755" t="s">
        <v>11792</v>
      </c>
      <c r="K6755" t="s">
        <v>42569</v>
      </c>
      <c r="L6755" t="e" vm="806">
        <f>_FV(0,"164")</f>
        <v>#VALUE!</v>
      </c>
    </row>
    <row r="6756" spans="1:12" x14ac:dyDescent="0.25">
      <c r="A6756">
        <v>1207587</v>
      </c>
      <c r="B6756">
        <v>1215661</v>
      </c>
      <c r="D6756">
        <v>0</v>
      </c>
      <c r="E6756" t="s">
        <v>42571</v>
      </c>
      <c r="F6756" t="s">
        <v>42572</v>
      </c>
      <c r="G6756" t="s">
        <v>42573</v>
      </c>
      <c r="H6756" t="s">
        <v>42574</v>
      </c>
      <c r="I6756" t="s">
        <v>42575</v>
      </c>
      <c r="J6756" t="s">
        <v>42576</v>
      </c>
      <c r="K6756" t="s">
        <v>42577</v>
      </c>
      <c r="L6756" t="s">
        <v>42570</v>
      </c>
    </row>
    <row r="6757" spans="1:12" x14ac:dyDescent="0.25">
      <c r="A6757">
        <v>1207592</v>
      </c>
      <c r="B6757">
        <v>1218340</v>
      </c>
      <c r="D6757" t="s">
        <v>17225</v>
      </c>
      <c r="E6757" t="s">
        <v>42579</v>
      </c>
      <c r="F6757" t="s">
        <v>42580</v>
      </c>
      <c r="G6757" t="s">
        <v>42581</v>
      </c>
      <c r="H6757" t="s">
        <v>42582</v>
      </c>
      <c r="I6757" t="s">
        <v>42583</v>
      </c>
      <c r="J6757" t="s">
        <v>42584</v>
      </c>
      <c r="K6757" t="s">
        <v>42585</v>
      </c>
      <c r="L6757" t="s">
        <v>42578</v>
      </c>
    </row>
    <row r="6758" spans="1:12" x14ac:dyDescent="0.25">
      <c r="A6758">
        <v>1208516</v>
      </c>
      <c r="B6758">
        <v>1208521</v>
      </c>
      <c r="D6758">
        <v>0</v>
      </c>
      <c r="F6758">
        <v>1296212</v>
      </c>
      <c r="G6758">
        <v>1208521</v>
      </c>
      <c r="H6758" t="e" vm="215">
        <f>_FV(0,"02")</f>
        <v>#VALUE!</v>
      </c>
      <c r="I6758">
        <v>1208516</v>
      </c>
      <c r="J6758" t="s">
        <v>3317</v>
      </c>
      <c r="K6758" t="s">
        <v>42586</v>
      </c>
      <c r="L6758" t="e" vm="215">
        <f>_FV(0,"02")</f>
        <v>#VALUE!</v>
      </c>
    </row>
    <row r="6759" spans="1:12" x14ac:dyDescent="0.25">
      <c r="A6759">
        <v>1208516</v>
      </c>
      <c r="B6759">
        <v>1240175</v>
      </c>
      <c r="D6759">
        <v>0</v>
      </c>
      <c r="E6759" t="s">
        <v>42588</v>
      </c>
      <c r="F6759" t="s">
        <v>42589</v>
      </c>
      <c r="G6759" t="s">
        <v>42590</v>
      </c>
      <c r="H6759" t="e" vm="2948">
        <f>_FV(0,"009845180363891017")</f>
        <v>#VALUE!</v>
      </c>
      <c r="I6759" t="s">
        <v>42591</v>
      </c>
      <c r="J6759" t="s">
        <v>42592</v>
      </c>
      <c r="K6759" t="s">
        <v>42593</v>
      </c>
      <c r="L6759" t="s">
        <v>42587</v>
      </c>
    </row>
    <row r="6760" spans="1:12" x14ac:dyDescent="0.25">
      <c r="A6760">
        <v>1208521</v>
      </c>
      <c r="B6760">
        <v>1208539</v>
      </c>
      <c r="D6760">
        <v>0</v>
      </c>
      <c r="E6760" t="s">
        <v>42595</v>
      </c>
      <c r="F6760" t="s">
        <v>42596</v>
      </c>
      <c r="G6760" t="s">
        <v>42597</v>
      </c>
      <c r="H6760" t="e" vm="2949">
        <f>_FV(0,"019938389349300065")</f>
        <v>#VALUE!</v>
      </c>
      <c r="I6760" t="s">
        <v>42598</v>
      </c>
      <c r="J6760" t="s">
        <v>42599</v>
      </c>
      <c r="K6760" t="s">
        <v>42600</v>
      </c>
      <c r="L6760" t="s">
        <v>42594</v>
      </c>
    </row>
    <row r="6761" spans="1:12" x14ac:dyDescent="0.25">
      <c r="A6761">
        <v>1208521</v>
      </c>
      <c r="B6761">
        <v>1240203</v>
      </c>
      <c r="D6761">
        <v>0</v>
      </c>
      <c r="E6761" t="s">
        <v>42602</v>
      </c>
      <c r="F6761" t="s">
        <v>42603</v>
      </c>
      <c r="G6761" t="s">
        <v>42604</v>
      </c>
      <c r="H6761" t="s">
        <v>42605</v>
      </c>
      <c r="I6761" t="s">
        <v>42606</v>
      </c>
      <c r="J6761" t="s">
        <v>42601</v>
      </c>
      <c r="K6761" t="s">
        <v>42607</v>
      </c>
      <c r="L6761" t="s">
        <v>42601</v>
      </c>
    </row>
    <row r="6762" spans="1:12" x14ac:dyDescent="0.25">
      <c r="A6762">
        <v>1208539</v>
      </c>
      <c r="B6762">
        <v>1208544</v>
      </c>
      <c r="D6762">
        <v>0</v>
      </c>
      <c r="F6762">
        <v>1296244</v>
      </c>
      <c r="G6762">
        <v>1208544</v>
      </c>
      <c r="H6762" t="e" vm="481">
        <f>_FV(0,"029")</f>
        <v>#VALUE!</v>
      </c>
      <c r="I6762">
        <v>1208539</v>
      </c>
      <c r="J6762" t="s">
        <v>5410</v>
      </c>
      <c r="K6762" t="s">
        <v>42608</v>
      </c>
      <c r="L6762" t="e" vm="481">
        <f>_FV(0,"029")</f>
        <v>#VALUE!</v>
      </c>
    </row>
    <row r="6763" spans="1:12" x14ac:dyDescent="0.25">
      <c r="A6763">
        <v>1208539</v>
      </c>
      <c r="B6763">
        <v>1240203</v>
      </c>
      <c r="D6763">
        <v>0</v>
      </c>
      <c r="E6763" t="s">
        <v>42610</v>
      </c>
      <c r="F6763" t="s">
        <v>42611</v>
      </c>
      <c r="G6763" t="s">
        <v>42612</v>
      </c>
      <c r="H6763" t="s">
        <v>42613</v>
      </c>
      <c r="I6763" t="s">
        <v>42614</v>
      </c>
      <c r="J6763" t="s">
        <v>42609</v>
      </c>
      <c r="K6763" t="s">
        <v>42615</v>
      </c>
      <c r="L6763" t="s">
        <v>42609</v>
      </c>
    </row>
    <row r="6764" spans="1:12" x14ac:dyDescent="0.25">
      <c r="A6764">
        <v>1208544</v>
      </c>
      <c r="B6764">
        <v>1854866</v>
      </c>
      <c r="D6764">
        <v>0</v>
      </c>
      <c r="E6764" t="s">
        <v>42616</v>
      </c>
      <c r="H6764" t="s">
        <v>187</v>
      </c>
      <c r="J6764">
        <v>0</v>
      </c>
      <c r="K6764" t="s">
        <v>19762</v>
      </c>
      <c r="L6764">
        <v>0</v>
      </c>
    </row>
    <row r="6765" spans="1:12" x14ac:dyDescent="0.25">
      <c r="A6765">
        <v>1208544</v>
      </c>
      <c r="B6765">
        <v>1240175</v>
      </c>
      <c r="D6765">
        <v>0</v>
      </c>
      <c r="E6765" t="s">
        <v>42618</v>
      </c>
      <c r="F6765" t="s">
        <v>42619</v>
      </c>
      <c r="G6765" t="s">
        <v>42620</v>
      </c>
      <c r="H6765" t="e" vm="2950">
        <f>_FV(0,"031125035335784795")</f>
        <v>#VALUE!</v>
      </c>
      <c r="I6765" t="s">
        <v>42621</v>
      </c>
      <c r="J6765" t="s">
        <v>42622</v>
      </c>
      <c r="K6765" t="s">
        <v>42623</v>
      </c>
      <c r="L6765" t="s">
        <v>42617</v>
      </c>
    </row>
    <row r="6766" spans="1:12" x14ac:dyDescent="0.25">
      <c r="A6766">
        <v>1208946</v>
      </c>
      <c r="B6766">
        <v>1262340</v>
      </c>
      <c r="D6766">
        <v>0</v>
      </c>
      <c r="E6766" t="s">
        <v>42625</v>
      </c>
      <c r="F6766" t="s">
        <v>42626</v>
      </c>
      <c r="G6766" t="s">
        <v>42627</v>
      </c>
      <c r="H6766" t="e" vm="2951">
        <f>_FV(0,"003383119173021849")</f>
        <v>#VALUE!</v>
      </c>
      <c r="I6766" t="s">
        <v>42628</v>
      </c>
      <c r="J6766" t="s">
        <v>42629</v>
      </c>
      <c r="K6766" t="s">
        <v>42630</v>
      </c>
      <c r="L6766" t="s">
        <v>42624</v>
      </c>
    </row>
    <row r="6767" spans="1:12" x14ac:dyDescent="0.25">
      <c r="A6767">
        <v>1209004</v>
      </c>
      <c r="B6767">
        <v>1218525</v>
      </c>
      <c r="D6767">
        <v>0</v>
      </c>
      <c r="E6767" t="s">
        <v>42632</v>
      </c>
      <c r="F6767" t="s">
        <v>42633</v>
      </c>
      <c r="G6767" t="s">
        <v>42634</v>
      </c>
      <c r="H6767" t="s">
        <v>42635</v>
      </c>
      <c r="I6767" t="s">
        <v>42636</v>
      </c>
      <c r="J6767" t="s">
        <v>42637</v>
      </c>
      <c r="K6767" t="s">
        <v>42638</v>
      </c>
      <c r="L6767" t="s">
        <v>42631</v>
      </c>
    </row>
    <row r="6768" spans="1:12" x14ac:dyDescent="0.25">
      <c r="A6768">
        <v>1209013</v>
      </c>
      <c r="B6768">
        <v>1209016</v>
      </c>
      <c r="D6768">
        <v>0</v>
      </c>
      <c r="F6768">
        <v>1328518</v>
      </c>
      <c r="G6768">
        <v>1209016</v>
      </c>
      <c r="H6768" t="s">
        <v>1333</v>
      </c>
      <c r="I6768">
        <v>1209013</v>
      </c>
      <c r="J6768" t="s">
        <v>1333</v>
      </c>
      <c r="K6768" t="s">
        <v>42639</v>
      </c>
      <c r="L6768" t="s">
        <v>1333</v>
      </c>
    </row>
    <row r="6769" spans="1:12" x14ac:dyDescent="0.25">
      <c r="A6769">
        <v>1209013</v>
      </c>
      <c r="B6769">
        <v>1234048</v>
      </c>
      <c r="D6769">
        <v>0</v>
      </c>
      <c r="E6769" t="s">
        <v>42641</v>
      </c>
      <c r="F6769" t="s">
        <v>42642</v>
      </c>
      <c r="G6769" t="s">
        <v>42643</v>
      </c>
      <c r="H6769" t="s">
        <v>42644</v>
      </c>
      <c r="I6769" t="s">
        <v>42645</v>
      </c>
      <c r="J6769" t="s">
        <v>42640</v>
      </c>
      <c r="K6769" t="s">
        <v>42646</v>
      </c>
      <c r="L6769" t="s">
        <v>42640</v>
      </c>
    </row>
    <row r="6770" spans="1:12" x14ac:dyDescent="0.25">
      <c r="A6770">
        <v>1209016</v>
      </c>
      <c r="B6770">
        <v>1209055</v>
      </c>
      <c r="D6770">
        <v>0</v>
      </c>
      <c r="E6770" t="s">
        <v>42648</v>
      </c>
      <c r="F6770" t="s">
        <v>42649</v>
      </c>
      <c r="G6770" t="s">
        <v>42650</v>
      </c>
      <c r="H6770" t="s">
        <v>42651</v>
      </c>
      <c r="I6770" t="s">
        <v>42652</v>
      </c>
      <c r="J6770" t="s">
        <v>42647</v>
      </c>
      <c r="K6770" t="s">
        <v>42653</v>
      </c>
      <c r="L6770" t="s">
        <v>42647</v>
      </c>
    </row>
    <row r="6771" spans="1:12" x14ac:dyDescent="0.25">
      <c r="A6771">
        <v>1209016</v>
      </c>
      <c r="B6771">
        <v>1234021</v>
      </c>
      <c r="D6771">
        <v>0</v>
      </c>
      <c r="E6771" t="s">
        <v>42655</v>
      </c>
      <c r="F6771" t="s">
        <v>42656</v>
      </c>
      <c r="G6771" t="s">
        <v>42657</v>
      </c>
      <c r="H6771" t="e" vm="2952">
        <f>_FV(0,"003838760128591532")</f>
        <v>#VALUE!</v>
      </c>
      <c r="I6771" t="s">
        <v>42658</v>
      </c>
      <c r="J6771" t="s">
        <v>661</v>
      </c>
      <c r="K6771" t="s">
        <v>42659</v>
      </c>
      <c r="L6771" t="s">
        <v>42654</v>
      </c>
    </row>
    <row r="6772" spans="1:12" x14ac:dyDescent="0.25">
      <c r="A6772">
        <v>1209055</v>
      </c>
      <c r="B6772">
        <v>1209064</v>
      </c>
      <c r="D6772">
        <v>0</v>
      </c>
      <c r="E6772" t="s">
        <v>42661</v>
      </c>
      <c r="F6772" t="s">
        <v>42662</v>
      </c>
      <c r="G6772" t="s">
        <v>42663</v>
      </c>
      <c r="H6772" t="s">
        <v>42664</v>
      </c>
      <c r="I6772" t="s">
        <v>42665</v>
      </c>
      <c r="J6772" t="s">
        <v>42660</v>
      </c>
      <c r="K6772" t="s">
        <v>42666</v>
      </c>
      <c r="L6772" t="s">
        <v>42660</v>
      </c>
    </row>
    <row r="6773" spans="1:12" x14ac:dyDescent="0.25">
      <c r="A6773">
        <v>1209055</v>
      </c>
      <c r="B6773">
        <v>1218610</v>
      </c>
      <c r="D6773">
        <v>0</v>
      </c>
      <c r="E6773" t="s">
        <v>42668</v>
      </c>
      <c r="F6773" t="s">
        <v>42669</v>
      </c>
      <c r="G6773" t="s">
        <v>42670</v>
      </c>
      <c r="H6773" t="s">
        <v>42671</v>
      </c>
      <c r="I6773" t="s">
        <v>42672</v>
      </c>
      <c r="J6773" t="s">
        <v>42667</v>
      </c>
      <c r="K6773" t="s">
        <v>42673</v>
      </c>
      <c r="L6773" t="s">
        <v>42667</v>
      </c>
    </row>
    <row r="6774" spans="1:12" x14ac:dyDescent="0.25">
      <c r="A6774">
        <v>1209064</v>
      </c>
      <c r="B6774">
        <v>1218585</v>
      </c>
      <c r="D6774">
        <v>0</v>
      </c>
      <c r="E6774" t="s">
        <v>42675</v>
      </c>
      <c r="F6774" t="s">
        <v>42676</v>
      </c>
      <c r="G6774" t="s">
        <v>42677</v>
      </c>
      <c r="H6774" t="e" vm="2953">
        <f>_FV(0,"022527295457154515")</f>
        <v>#VALUE!</v>
      </c>
      <c r="I6774" t="s">
        <v>42678</v>
      </c>
      <c r="J6774" t="s">
        <v>42679</v>
      </c>
      <c r="K6774" t="s">
        <v>42680</v>
      </c>
      <c r="L6774" t="s">
        <v>42674</v>
      </c>
    </row>
    <row r="6775" spans="1:12" x14ac:dyDescent="0.25">
      <c r="A6775">
        <v>1209143</v>
      </c>
      <c r="B6775">
        <v>1209148</v>
      </c>
      <c r="D6775">
        <v>0</v>
      </c>
      <c r="F6775">
        <v>1310036</v>
      </c>
      <c r="G6775">
        <v>1209148</v>
      </c>
      <c r="H6775" t="s">
        <v>20881</v>
      </c>
      <c r="I6775">
        <v>1209143</v>
      </c>
      <c r="J6775" t="s">
        <v>20881</v>
      </c>
      <c r="K6775" t="s">
        <v>42681</v>
      </c>
      <c r="L6775" t="s">
        <v>20881</v>
      </c>
    </row>
    <row r="6776" spans="1:12" x14ac:dyDescent="0.25">
      <c r="A6776">
        <v>1209143</v>
      </c>
      <c r="B6776">
        <v>1218653</v>
      </c>
      <c r="D6776">
        <v>0</v>
      </c>
      <c r="E6776" t="s">
        <v>42683</v>
      </c>
      <c r="F6776" t="s">
        <v>42684</v>
      </c>
      <c r="G6776" t="s">
        <v>42685</v>
      </c>
      <c r="H6776" t="s">
        <v>42686</v>
      </c>
      <c r="I6776" t="s">
        <v>42687</v>
      </c>
      <c r="J6776" t="s">
        <v>42682</v>
      </c>
      <c r="K6776" t="s">
        <v>42688</v>
      </c>
      <c r="L6776" t="s">
        <v>42682</v>
      </c>
    </row>
    <row r="6777" spans="1:12" x14ac:dyDescent="0.25">
      <c r="A6777">
        <v>1209148</v>
      </c>
      <c r="B6777">
        <v>1209156</v>
      </c>
      <c r="D6777">
        <v>0</v>
      </c>
      <c r="E6777" t="s">
        <v>42690</v>
      </c>
      <c r="F6777" t="s">
        <v>42691</v>
      </c>
      <c r="G6777" t="s">
        <v>42692</v>
      </c>
      <c r="H6777" t="s">
        <v>42689</v>
      </c>
      <c r="I6777" t="s">
        <v>42693</v>
      </c>
      <c r="J6777" t="s">
        <v>42689</v>
      </c>
      <c r="K6777" t="s">
        <v>42694</v>
      </c>
      <c r="L6777" t="s">
        <v>42689</v>
      </c>
    </row>
    <row r="6778" spans="1:12" x14ac:dyDescent="0.25">
      <c r="A6778">
        <v>1209148</v>
      </c>
      <c r="B6778">
        <v>1218634</v>
      </c>
      <c r="D6778">
        <v>0</v>
      </c>
      <c r="E6778" t="s">
        <v>42696</v>
      </c>
      <c r="F6778" t="s">
        <v>42697</v>
      </c>
      <c r="G6778" t="s">
        <v>42698</v>
      </c>
      <c r="H6778" t="e" vm="2954">
        <f>_FV(0,"025359998442953488")</f>
        <v>#VALUE!</v>
      </c>
      <c r="I6778" t="s">
        <v>42699</v>
      </c>
      <c r="J6778" t="s">
        <v>42700</v>
      </c>
      <c r="K6778" t="s">
        <v>42701</v>
      </c>
      <c r="L6778" t="s">
        <v>42695</v>
      </c>
    </row>
    <row r="6779" spans="1:12" x14ac:dyDescent="0.25">
      <c r="A6779">
        <v>1209156</v>
      </c>
      <c r="B6779">
        <v>1209163</v>
      </c>
      <c r="C6779" t="s">
        <v>42703</v>
      </c>
      <c r="D6779">
        <v>0</v>
      </c>
      <c r="E6779" t="s">
        <v>42704</v>
      </c>
      <c r="F6779" t="s">
        <v>42705</v>
      </c>
      <c r="G6779" t="s">
        <v>42706</v>
      </c>
      <c r="H6779" t="s">
        <v>42707</v>
      </c>
      <c r="I6779" t="s">
        <v>42708</v>
      </c>
      <c r="J6779" t="s">
        <v>42709</v>
      </c>
      <c r="K6779" t="s">
        <v>42710</v>
      </c>
      <c r="L6779" t="s">
        <v>42702</v>
      </c>
    </row>
    <row r="6780" spans="1:12" x14ac:dyDescent="0.25">
      <c r="A6780">
        <v>1209156</v>
      </c>
      <c r="B6780">
        <v>1218634</v>
      </c>
      <c r="D6780">
        <v>0</v>
      </c>
      <c r="E6780" t="s">
        <v>42712</v>
      </c>
      <c r="F6780" t="s">
        <v>42713</v>
      </c>
      <c r="G6780" t="s">
        <v>42714</v>
      </c>
      <c r="H6780" t="s">
        <v>42715</v>
      </c>
      <c r="I6780" t="s">
        <v>42716</v>
      </c>
      <c r="J6780" t="s">
        <v>42717</v>
      </c>
      <c r="K6780" t="s">
        <v>42718</v>
      </c>
      <c r="L6780" t="s">
        <v>42711</v>
      </c>
    </row>
    <row r="6781" spans="1:12" x14ac:dyDescent="0.25">
      <c r="A6781">
        <v>1209163</v>
      </c>
      <c r="B6781">
        <v>1209232</v>
      </c>
      <c r="D6781">
        <v>0</v>
      </c>
      <c r="E6781" t="s">
        <v>42720</v>
      </c>
      <c r="F6781" t="s">
        <v>42721</v>
      </c>
      <c r="G6781" t="s">
        <v>42722</v>
      </c>
      <c r="H6781" t="e" vm="2955">
        <f>_FV(0,"08224629261385531")</f>
        <v>#VALUE!</v>
      </c>
      <c r="I6781" t="s">
        <v>42723</v>
      </c>
      <c r="J6781" t="s">
        <v>42724</v>
      </c>
      <c r="K6781" t="s">
        <v>42725</v>
      </c>
      <c r="L6781" t="s">
        <v>42719</v>
      </c>
    </row>
    <row r="6782" spans="1:12" x14ac:dyDescent="0.25">
      <c r="A6782">
        <v>1209163</v>
      </c>
      <c r="B6782">
        <v>1218704</v>
      </c>
      <c r="D6782">
        <v>0</v>
      </c>
      <c r="E6782" t="s">
        <v>42727</v>
      </c>
      <c r="F6782" t="s">
        <v>42728</v>
      </c>
      <c r="G6782" t="s">
        <v>42729</v>
      </c>
      <c r="H6782" t="e" vm="2956">
        <f>_FV(0,"08347150230657961")</f>
        <v>#VALUE!</v>
      </c>
      <c r="I6782" t="s">
        <v>42730</v>
      </c>
      <c r="J6782" t="s">
        <v>42731</v>
      </c>
      <c r="K6782" t="s">
        <v>42732</v>
      </c>
      <c r="L6782" t="s">
        <v>42726</v>
      </c>
    </row>
    <row r="6783" spans="1:12" x14ac:dyDescent="0.25">
      <c r="A6783">
        <v>1209232</v>
      </c>
      <c r="B6783">
        <v>1209240</v>
      </c>
      <c r="D6783">
        <v>0</v>
      </c>
      <c r="E6783" t="s">
        <v>42734</v>
      </c>
      <c r="F6783" t="s">
        <v>42735</v>
      </c>
      <c r="G6783" t="s">
        <v>42736</v>
      </c>
      <c r="H6783" t="e" vm="2957">
        <f>_FV(0,"03871026024823466")</f>
        <v>#VALUE!</v>
      </c>
      <c r="I6783" t="s">
        <v>42737</v>
      </c>
      <c r="J6783" t="s">
        <v>42738</v>
      </c>
      <c r="K6783" t="s">
        <v>42739</v>
      </c>
      <c r="L6783" t="s">
        <v>42733</v>
      </c>
    </row>
    <row r="6784" spans="1:12" x14ac:dyDescent="0.25">
      <c r="A6784">
        <v>1209232</v>
      </c>
      <c r="B6784">
        <v>1218704</v>
      </c>
      <c r="D6784">
        <v>0</v>
      </c>
      <c r="E6784" t="s">
        <v>42741</v>
      </c>
      <c r="F6784" t="s">
        <v>42742</v>
      </c>
      <c r="G6784" t="s">
        <v>42743</v>
      </c>
      <c r="H6784" t="s">
        <v>42744</v>
      </c>
      <c r="I6784" t="s">
        <v>42745</v>
      </c>
      <c r="J6784" t="s">
        <v>42740</v>
      </c>
      <c r="K6784" t="s">
        <v>42746</v>
      </c>
      <c r="L6784" t="s">
        <v>42740</v>
      </c>
    </row>
    <row r="6785" spans="1:12" x14ac:dyDescent="0.25">
      <c r="A6785">
        <v>1209240</v>
      </c>
      <c r="B6785">
        <v>1218699</v>
      </c>
      <c r="D6785">
        <v>0</v>
      </c>
      <c r="E6785" t="s">
        <v>42748</v>
      </c>
      <c r="F6785" t="s">
        <v>42749</v>
      </c>
      <c r="G6785" t="s">
        <v>42750</v>
      </c>
      <c r="H6785" t="s">
        <v>42751</v>
      </c>
      <c r="I6785" t="s">
        <v>42752</v>
      </c>
      <c r="J6785" t="s">
        <v>138</v>
      </c>
      <c r="K6785" t="s">
        <v>42753</v>
      </c>
      <c r="L6785" t="s">
        <v>42747</v>
      </c>
    </row>
    <row r="6786" spans="1:12" x14ac:dyDescent="0.25">
      <c r="A6786">
        <v>1209292</v>
      </c>
      <c r="B6786">
        <v>1209306</v>
      </c>
      <c r="D6786">
        <v>0</v>
      </c>
      <c r="E6786" t="s">
        <v>42754</v>
      </c>
      <c r="F6786" t="s">
        <v>42755</v>
      </c>
      <c r="G6786" t="s">
        <v>42756</v>
      </c>
      <c r="H6786" t="s">
        <v>42757</v>
      </c>
      <c r="I6786" t="s">
        <v>42758</v>
      </c>
      <c r="J6786" t="s">
        <v>12596</v>
      </c>
      <c r="K6786" t="s">
        <v>42759</v>
      </c>
      <c r="L6786" t="s">
        <v>12596</v>
      </c>
    </row>
    <row r="6787" spans="1:12" x14ac:dyDescent="0.25">
      <c r="A6787">
        <v>1209292</v>
      </c>
      <c r="B6787">
        <v>1209337</v>
      </c>
      <c r="D6787">
        <v>0</v>
      </c>
      <c r="E6787" t="s">
        <v>42761</v>
      </c>
      <c r="F6787" t="s">
        <v>42762</v>
      </c>
      <c r="G6787" t="s">
        <v>42763</v>
      </c>
      <c r="H6787" t="s">
        <v>42764</v>
      </c>
      <c r="I6787" t="s">
        <v>42765</v>
      </c>
      <c r="J6787" t="s">
        <v>42766</v>
      </c>
      <c r="K6787" t="s">
        <v>42767</v>
      </c>
      <c r="L6787" t="s">
        <v>42760</v>
      </c>
    </row>
    <row r="6788" spans="1:12" x14ac:dyDescent="0.25">
      <c r="A6788">
        <v>1209292</v>
      </c>
      <c r="B6788">
        <v>1215642</v>
      </c>
      <c r="D6788">
        <v>0</v>
      </c>
      <c r="F6788">
        <v>1305805</v>
      </c>
      <c r="G6788">
        <v>1209292</v>
      </c>
      <c r="H6788" t="s">
        <v>14034</v>
      </c>
      <c r="I6788">
        <v>1215642</v>
      </c>
      <c r="J6788" t="s">
        <v>14034</v>
      </c>
      <c r="K6788" t="s">
        <v>42768</v>
      </c>
      <c r="L6788" t="s">
        <v>14034</v>
      </c>
    </row>
    <row r="6789" spans="1:12" x14ac:dyDescent="0.25">
      <c r="A6789">
        <v>1209306</v>
      </c>
      <c r="B6789">
        <v>1209337</v>
      </c>
      <c r="D6789">
        <v>0</v>
      </c>
      <c r="E6789" t="s">
        <v>42770</v>
      </c>
      <c r="F6789" t="s">
        <v>42771</v>
      </c>
      <c r="G6789" t="s">
        <v>42772</v>
      </c>
      <c r="H6789" t="e" vm="2958">
        <f>_FV(0,"017849456547618357")</f>
        <v>#VALUE!</v>
      </c>
      <c r="I6789" t="s">
        <v>42773</v>
      </c>
      <c r="J6789" t="s">
        <v>42774</v>
      </c>
      <c r="K6789" t="s">
        <v>42775</v>
      </c>
      <c r="L6789" t="s">
        <v>42769</v>
      </c>
    </row>
    <row r="6790" spans="1:12" x14ac:dyDescent="0.25">
      <c r="A6790">
        <v>1209306</v>
      </c>
      <c r="B6790">
        <v>1209837</v>
      </c>
      <c r="D6790">
        <v>0</v>
      </c>
      <c r="E6790" t="s">
        <v>42777</v>
      </c>
      <c r="F6790" t="s">
        <v>42778</v>
      </c>
      <c r="G6790" t="s">
        <v>42779</v>
      </c>
      <c r="H6790" t="s">
        <v>42780</v>
      </c>
      <c r="I6790" t="s">
        <v>42781</v>
      </c>
      <c r="J6790" t="s">
        <v>42782</v>
      </c>
      <c r="K6790" t="s">
        <v>42783</v>
      </c>
      <c r="L6790" t="s">
        <v>42776</v>
      </c>
    </row>
    <row r="6791" spans="1:12" x14ac:dyDescent="0.25">
      <c r="A6791">
        <v>1209337</v>
      </c>
      <c r="B6791">
        <v>1215651</v>
      </c>
      <c r="D6791">
        <v>0</v>
      </c>
      <c r="F6791">
        <v>1305813</v>
      </c>
      <c r="G6791">
        <v>1215651</v>
      </c>
      <c r="H6791" t="s">
        <v>241</v>
      </c>
      <c r="I6791">
        <v>1209337</v>
      </c>
      <c r="J6791" t="s">
        <v>241</v>
      </c>
      <c r="K6791" t="s">
        <v>42784</v>
      </c>
      <c r="L6791" t="s">
        <v>241</v>
      </c>
    </row>
    <row r="6792" spans="1:12" x14ac:dyDescent="0.25">
      <c r="A6792">
        <v>1209371</v>
      </c>
      <c r="B6792">
        <v>1209394</v>
      </c>
      <c r="D6792">
        <v>0</v>
      </c>
      <c r="E6792" t="s">
        <v>42786</v>
      </c>
      <c r="F6792" t="s">
        <v>42787</v>
      </c>
      <c r="G6792" t="s">
        <v>42788</v>
      </c>
      <c r="H6792" t="e" vm="2959">
        <f>_FV(0,"016566718901468616")</f>
        <v>#VALUE!</v>
      </c>
      <c r="I6792" t="s">
        <v>42789</v>
      </c>
      <c r="J6792" t="s">
        <v>42790</v>
      </c>
      <c r="K6792" t="s">
        <v>42791</v>
      </c>
      <c r="L6792" t="s">
        <v>42785</v>
      </c>
    </row>
    <row r="6793" spans="1:12" x14ac:dyDescent="0.25">
      <c r="A6793">
        <v>1209371</v>
      </c>
      <c r="B6793">
        <v>1783342</v>
      </c>
      <c r="D6793">
        <v>0</v>
      </c>
      <c r="E6793" t="s">
        <v>42793</v>
      </c>
      <c r="F6793" t="s">
        <v>42794</v>
      </c>
      <c r="G6793" t="s">
        <v>42795</v>
      </c>
      <c r="H6793" t="s">
        <v>42796</v>
      </c>
      <c r="I6793" t="s">
        <v>42797</v>
      </c>
      <c r="J6793" t="s">
        <v>42798</v>
      </c>
      <c r="K6793" t="s">
        <v>42799</v>
      </c>
      <c r="L6793" t="s">
        <v>42792</v>
      </c>
    </row>
    <row r="6794" spans="1:12" x14ac:dyDescent="0.25">
      <c r="A6794">
        <v>1209371</v>
      </c>
      <c r="B6794">
        <v>1215677</v>
      </c>
      <c r="D6794" t="s">
        <v>1972</v>
      </c>
      <c r="E6794" t="s">
        <v>42801</v>
      </c>
      <c r="F6794" t="s">
        <v>42802</v>
      </c>
      <c r="G6794" t="s">
        <v>42803</v>
      </c>
      <c r="H6794" t="e" vm="2960">
        <f>_FV(0,"019708185445545267")</f>
        <v>#VALUE!</v>
      </c>
      <c r="I6794" t="s">
        <v>42804</v>
      </c>
      <c r="J6794" t="s">
        <v>42805</v>
      </c>
      <c r="K6794" t="s">
        <v>42806</v>
      </c>
      <c r="L6794" t="s">
        <v>42800</v>
      </c>
    </row>
    <row r="6795" spans="1:12" x14ac:dyDescent="0.25">
      <c r="A6795">
        <v>1209394</v>
      </c>
      <c r="B6795">
        <v>1209579</v>
      </c>
      <c r="D6795">
        <v>0</v>
      </c>
      <c r="E6795" t="s">
        <v>42808</v>
      </c>
      <c r="F6795" t="s">
        <v>42809</v>
      </c>
      <c r="G6795" t="s">
        <v>42810</v>
      </c>
      <c r="H6795" t="e" vm="2961">
        <f>_FV(0,"005696516285212715")</f>
        <v>#VALUE!</v>
      </c>
      <c r="I6795" t="s">
        <v>42811</v>
      </c>
      <c r="J6795" t="s">
        <v>42812</v>
      </c>
      <c r="K6795" t="s">
        <v>42813</v>
      </c>
      <c r="L6795" t="s">
        <v>42807</v>
      </c>
    </row>
    <row r="6796" spans="1:12" x14ac:dyDescent="0.25">
      <c r="A6796">
        <v>1209394</v>
      </c>
      <c r="B6796">
        <v>1212643</v>
      </c>
      <c r="D6796">
        <v>0</v>
      </c>
      <c r="E6796" t="s">
        <v>42815</v>
      </c>
      <c r="F6796" t="s">
        <v>42816</v>
      </c>
      <c r="G6796" t="s">
        <v>42817</v>
      </c>
      <c r="H6796" t="e" vm="2962">
        <f>_FV(0,"018296381070047687")</f>
        <v>#VALUE!</v>
      </c>
      <c r="I6796" t="s">
        <v>42818</v>
      </c>
      <c r="J6796" t="s">
        <v>42819</v>
      </c>
      <c r="K6796" t="s">
        <v>42820</v>
      </c>
      <c r="L6796" t="s">
        <v>42814</v>
      </c>
    </row>
    <row r="6797" spans="1:12" x14ac:dyDescent="0.25">
      <c r="A6797">
        <v>1209579</v>
      </c>
      <c r="B6797">
        <v>1209621</v>
      </c>
      <c r="D6797">
        <v>0</v>
      </c>
      <c r="E6797" t="s">
        <v>42821</v>
      </c>
      <c r="F6797" t="s">
        <v>42822</v>
      </c>
      <c r="G6797" t="s">
        <v>42823</v>
      </c>
      <c r="H6797" t="e" vm="2963">
        <f>_FV(0,"0017537506439324437")</f>
        <v>#VALUE!</v>
      </c>
      <c r="I6797" t="s">
        <v>42824</v>
      </c>
      <c r="J6797" t="s">
        <v>15456</v>
      </c>
      <c r="K6797" t="s">
        <v>42825</v>
      </c>
      <c r="L6797" t="s">
        <v>39920</v>
      </c>
    </row>
    <row r="6798" spans="1:12" x14ac:dyDescent="0.25">
      <c r="A6798">
        <v>1209579</v>
      </c>
      <c r="B6798">
        <v>1783342</v>
      </c>
      <c r="D6798">
        <v>0</v>
      </c>
      <c r="E6798" t="s">
        <v>42827</v>
      </c>
      <c r="F6798" t="s">
        <v>42828</v>
      </c>
      <c r="G6798" t="s">
        <v>42829</v>
      </c>
      <c r="H6798" t="e" vm="2964">
        <f>_FV(0,"06466347065032728")</f>
        <v>#VALUE!</v>
      </c>
      <c r="I6798" t="s">
        <v>42830</v>
      </c>
      <c r="J6798" t="s">
        <v>42831</v>
      </c>
      <c r="K6798" t="s">
        <v>42832</v>
      </c>
      <c r="L6798" t="s">
        <v>42826</v>
      </c>
    </row>
    <row r="6799" spans="1:12" x14ac:dyDescent="0.25">
      <c r="A6799">
        <v>1209621</v>
      </c>
      <c r="B6799">
        <v>1209667</v>
      </c>
      <c r="D6799">
        <v>0</v>
      </c>
      <c r="E6799" t="s">
        <v>42834</v>
      </c>
      <c r="F6799" t="s">
        <v>42835</v>
      </c>
      <c r="G6799" t="s">
        <v>42836</v>
      </c>
      <c r="H6799" t="s">
        <v>42837</v>
      </c>
      <c r="I6799" t="s">
        <v>42838</v>
      </c>
      <c r="J6799" t="s">
        <v>42839</v>
      </c>
      <c r="K6799" t="s">
        <v>42840</v>
      </c>
      <c r="L6799" t="s">
        <v>42833</v>
      </c>
    </row>
    <row r="6800" spans="1:12" x14ac:dyDescent="0.25">
      <c r="A6800">
        <v>1209621</v>
      </c>
      <c r="B6800">
        <v>1209667</v>
      </c>
      <c r="D6800">
        <v>0</v>
      </c>
      <c r="E6800" t="s">
        <v>42842</v>
      </c>
      <c r="F6800" t="s">
        <v>42843</v>
      </c>
      <c r="G6800" t="s">
        <v>42844</v>
      </c>
      <c r="H6800" t="s">
        <v>42845</v>
      </c>
      <c r="I6800" t="s">
        <v>42846</v>
      </c>
      <c r="J6800" t="s">
        <v>42847</v>
      </c>
      <c r="K6800" t="s">
        <v>42848</v>
      </c>
      <c r="L6800" t="s">
        <v>42841</v>
      </c>
    </row>
    <row r="6801" spans="1:12" x14ac:dyDescent="0.25">
      <c r="A6801">
        <v>1209667</v>
      </c>
      <c r="B6801">
        <v>1211360</v>
      </c>
      <c r="C6801" t="s">
        <v>42850</v>
      </c>
      <c r="D6801" t="s">
        <v>42851</v>
      </c>
      <c r="E6801" t="s">
        <v>42852</v>
      </c>
      <c r="F6801" t="s">
        <v>42853</v>
      </c>
      <c r="G6801" t="s">
        <v>42854</v>
      </c>
      <c r="H6801" t="s">
        <v>42855</v>
      </c>
      <c r="I6801" t="s">
        <v>42856</v>
      </c>
      <c r="J6801" t="s">
        <v>42857</v>
      </c>
      <c r="K6801" t="s">
        <v>42858</v>
      </c>
      <c r="L6801" t="s">
        <v>42849</v>
      </c>
    </row>
    <row r="6802" spans="1:12" x14ac:dyDescent="0.25">
      <c r="A6802">
        <v>1209834</v>
      </c>
      <c r="B6802">
        <v>1209837</v>
      </c>
      <c r="D6802">
        <v>0</v>
      </c>
      <c r="E6802" t="s">
        <v>42860</v>
      </c>
      <c r="F6802" t="s">
        <v>42861</v>
      </c>
      <c r="G6802" t="s">
        <v>42862</v>
      </c>
      <c r="H6802" t="s">
        <v>42863</v>
      </c>
      <c r="I6802" t="s">
        <v>42864</v>
      </c>
      <c r="J6802" t="s">
        <v>42859</v>
      </c>
      <c r="K6802" t="s">
        <v>42865</v>
      </c>
      <c r="L6802" t="s">
        <v>42859</v>
      </c>
    </row>
    <row r="6803" spans="1:12" x14ac:dyDescent="0.25">
      <c r="A6803">
        <v>1209834</v>
      </c>
      <c r="B6803">
        <v>1238658</v>
      </c>
      <c r="D6803">
        <v>0</v>
      </c>
      <c r="E6803" t="s">
        <v>42867</v>
      </c>
      <c r="F6803" t="s">
        <v>42868</v>
      </c>
      <c r="G6803" t="s">
        <v>42869</v>
      </c>
      <c r="H6803" t="e" vm="2965">
        <f>_FV(0,"015010221853525003")</f>
        <v>#VALUE!</v>
      </c>
      <c r="I6803" t="s">
        <v>42870</v>
      </c>
      <c r="J6803" t="s">
        <v>42871</v>
      </c>
      <c r="K6803" t="s">
        <v>42872</v>
      </c>
      <c r="L6803" t="s">
        <v>42866</v>
      </c>
    </row>
    <row r="6804" spans="1:12" x14ac:dyDescent="0.25">
      <c r="A6804">
        <v>1209834</v>
      </c>
      <c r="B6804">
        <v>1209933</v>
      </c>
      <c r="D6804" t="s">
        <v>6886</v>
      </c>
      <c r="E6804" t="s">
        <v>42874</v>
      </c>
      <c r="F6804" t="s">
        <v>42875</v>
      </c>
      <c r="G6804" t="s">
        <v>42876</v>
      </c>
      <c r="H6804" t="e" vm="2966">
        <f>_FV(0,"017796581672278107")</f>
        <v>#VALUE!</v>
      </c>
      <c r="I6804" t="s">
        <v>42877</v>
      </c>
      <c r="J6804" t="s">
        <v>42878</v>
      </c>
      <c r="K6804" t="s">
        <v>42879</v>
      </c>
      <c r="L6804" t="s">
        <v>42873</v>
      </c>
    </row>
    <row r="6805" spans="1:12" x14ac:dyDescent="0.25">
      <c r="A6805">
        <v>1209834</v>
      </c>
      <c r="B6805">
        <v>1215639</v>
      </c>
      <c r="D6805">
        <v>0</v>
      </c>
      <c r="E6805" t="s">
        <v>42881</v>
      </c>
      <c r="F6805" t="s">
        <v>42882</v>
      </c>
      <c r="G6805" t="s">
        <v>42883</v>
      </c>
      <c r="H6805" t="e" vm="2967">
        <f>_FV(0,"019963739238576073")</f>
        <v>#VALUE!</v>
      </c>
      <c r="I6805" t="s">
        <v>42884</v>
      </c>
      <c r="J6805" t="s">
        <v>42885</v>
      </c>
      <c r="K6805" t="s">
        <v>42886</v>
      </c>
      <c r="L6805" t="s">
        <v>42880</v>
      </c>
    </row>
    <row r="6806" spans="1:12" x14ac:dyDescent="0.25">
      <c r="A6806">
        <v>1209837</v>
      </c>
      <c r="B6806">
        <v>1849308</v>
      </c>
      <c r="D6806">
        <v>0</v>
      </c>
      <c r="F6806">
        <v>2159080</v>
      </c>
      <c r="G6806">
        <v>1849308</v>
      </c>
      <c r="H6806" t="s">
        <v>42887</v>
      </c>
      <c r="I6806">
        <v>1209837</v>
      </c>
      <c r="J6806" t="s">
        <v>42887</v>
      </c>
      <c r="K6806" t="s">
        <v>42888</v>
      </c>
      <c r="L6806" t="s">
        <v>42887</v>
      </c>
    </row>
    <row r="6807" spans="1:12" x14ac:dyDescent="0.25">
      <c r="A6807">
        <v>1209837</v>
      </c>
      <c r="B6807">
        <v>1209926</v>
      </c>
      <c r="D6807" t="s">
        <v>8802</v>
      </c>
      <c r="E6807" t="s">
        <v>42890</v>
      </c>
      <c r="F6807" t="s">
        <v>42891</v>
      </c>
      <c r="G6807" t="s">
        <v>42892</v>
      </c>
      <c r="H6807" t="e" vm="2968">
        <f>_FV(0,"016521271717245118")</f>
        <v>#VALUE!</v>
      </c>
      <c r="I6807" t="s">
        <v>42893</v>
      </c>
      <c r="J6807" t="s">
        <v>42894</v>
      </c>
      <c r="K6807" t="s">
        <v>42895</v>
      </c>
      <c r="L6807" t="s">
        <v>42889</v>
      </c>
    </row>
    <row r="6808" spans="1:12" x14ac:dyDescent="0.25">
      <c r="A6808">
        <v>1209901</v>
      </c>
      <c r="B6808">
        <v>1209902</v>
      </c>
      <c r="D6808">
        <v>0</v>
      </c>
      <c r="F6808">
        <v>1297923</v>
      </c>
      <c r="G6808">
        <v>1209902</v>
      </c>
      <c r="H6808" t="s">
        <v>187</v>
      </c>
      <c r="I6808">
        <v>1209901</v>
      </c>
      <c r="J6808" t="s">
        <v>187</v>
      </c>
      <c r="K6808" t="s">
        <v>42896</v>
      </c>
      <c r="L6808" t="s">
        <v>187</v>
      </c>
    </row>
    <row r="6809" spans="1:12" x14ac:dyDescent="0.25">
      <c r="A6809">
        <v>1209901</v>
      </c>
      <c r="B6809">
        <v>1209933</v>
      </c>
      <c r="D6809">
        <v>0</v>
      </c>
      <c r="F6809">
        <v>1333789</v>
      </c>
      <c r="G6809">
        <v>1209933</v>
      </c>
      <c r="H6809" t="e" vm="632">
        <f>_FV(0,"035")</f>
        <v>#VALUE!</v>
      </c>
      <c r="I6809">
        <v>1209901</v>
      </c>
      <c r="J6809" t="s">
        <v>7225</v>
      </c>
      <c r="K6809" t="s">
        <v>42897</v>
      </c>
      <c r="L6809" t="e" vm="632">
        <f>_FV(0,"035")</f>
        <v>#VALUE!</v>
      </c>
    </row>
    <row r="6810" spans="1:12" x14ac:dyDescent="0.25">
      <c r="A6810">
        <v>1209902</v>
      </c>
      <c r="B6810">
        <v>1209926</v>
      </c>
      <c r="D6810">
        <v>0</v>
      </c>
      <c r="F6810">
        <v>2158992</v>
      </c>
      <c r="G6810">
        <v>1209926</v>
      </c>
      <c r="H6810" t="e" vm="12">
        <f>_FV(0,"005")</f>
        <v>#VALUE!</v>
      </c>
      <c r="I6810">
        <v>1209902</v>
      </c>
      <c r="J6810" t="s">
        <v>194</v>
      </c>
      <c r="K6810" t="s">
        <v>42898</v>
      </c>
      <c r="L6810" t="e" vm="12">
        <f>_FV(0,"005")</f>
        <v>#VALUE!</v>
      </c>
    </row>
    <row r="6811" spans="1:12" x14ac:dyDescent="0.25">
      <c r="A6811">
        <v>1209902</v>
      </c>
      <c r="B6811">
        <v>1215615</v>
      </c>
      <c r="D6811">
        <v>0</v>
      </c>
      <c r="E6811" t="s">
        <v>42900</v>
      </c>
      <c r="F6811" t="s">
        <v>42901</v>
      </c>
      <c r="G6811" t="s">
        <v>42902</v>
      </c>
      <c r="H6811" t="e" vm="2969">
        <f>_FV(0,"00650660727518")</f>
        <v>#VALUE!</v>
      </c>
      <c r="I6811" t="s">
        <v>42903</v>
      </c>
      <c r="J6811" t="s">
        <v>42904</v>
      </c>
      <c r="K6811" t="s">
        <v>42905</v>
      </c>
      <c r="L6811" t="s">
        <v>42899</v>
      </c>
    </row>
    <row r="6812" spans="1:12" x14ac:dyDescent="0.25">
      <c r="A6812">
        <v>1209926</v>
      </c>
      <c r="B6812">
        <v>1209933</v>
      </c>
      <c r="D6812">
        <v>0</v>
      </c>
      <c r="F6812">
        <v>1297955</v>
      </c>
      <c r="G6812">
        <v>1209933</v>
      </c>
      <c r="H6812" t="e" vm="355">
        <f>_FV(0,"048")</f>
        <v>#VALUE!</v>
      </c>
      <c r="I6812">
        <v>1209926</v>
      </c>
      <c r="J6812" t="s">
        <v>3758</v>
      </c>
      <c r="K6812" t="s">
        <v>42906</v>
      </c>
      <c r="L6812" t="e" vm="355">
        <f>_FV(0,"048")</f>
        <v>#VALUE!</v>
      </c>
    </row>
    <row r="6813" spans="1:12" x14ac:dyDescent="0.25">
      <c r="A6813">
        <v>1209926</v>
      </c>
      <c r="B6813">
        <v>1215642</v>
      </c>
      <c r="D6813" t="s">
        <v>42908</v>
      </c>
      <c r="E6813" t="s">
        <v>42909</v>
      </c>
      <c r="F6813" t="s">
        <v>42910</v>
      </c>
      <c r="G6813" t="s">
        <v>42911</v>
      </c>
      <c r="H6813" t="s">
        <v>42912</v>
      </c>
      <c r="I6813" t="s">
        <v>42913</v>
      </c>
      <c r="J6813" t="s">
        <v>42914</v>
      </c>
      <c r="K6813" t="s">
        <v>42915</v>
      </c>
      <c r="L6813" t="s">
        <v>42907</v>
      </c>
    </row>
    <row r="6814" spans="1:12" x14ac:dyDescent="0.25">
      <c r="A6814">
        <v>1209966</v>
      </c>
      <c r="B6814">
        <v>1218340</v>
      </c>
      <c r="D6814">
        <v>0</v>
      </c>
      <c r="F6814">
        <v>1334147</v>
      </c>
      <c r="G6814">
        <v>1218340</v>
      </c>
      <c r="H6814" t="e" vm="1300">
        <f>_FV(0,"013")</f>
        <v>#VALUE!</v>
      </c>
      <c r="I6814">
        <v>1209966</v>
      </c>
      <c r="J6814" t="s">
        <v>30</v>
      </c>
      <c r="K6814" t="s">
        <v>42916</v>
      </c>
      <c r="L6814" t="e" vm="1300">
        <f>_FV(0,"013")</f>
        <v>#VALUE!</v>
      </c>
    </row>
    <row r="6815" spans="1:12" x14ac:dyDescent="0.25">
      <c r="A6815">
        <v>1209966</v>
      </c>
      <c r="B6815">
        <v>1218340</v>
      </c>
      <c r="D6815" t="s">
        <v>18083</v>
      </c>
      <c r="E6815" t="s">
        <v>42918</v>
      </c>
      <c r="F6815" t="s">
        <v>42919</v>
      </c>
      <c r="G6815" t="s">
        <v>42920</v>
      </c>
      <c r="H6815" t="e" vm="2970">
        <f>_FV(0,"011998072077665277")</f>
        <v>#VALUE!</v>
      </c>
      <c r="I6815" t="s">
        <v>42921</v>
      </c>
      <c r="J6815" t="s">
        <v>42922</v>
      </c>
      <c r="K6815" t="s">
        <v>42923</v>
      </c>
      <c r="L6815" t="s">
        <v>42917</v>
      </c>
    </row>
    <row r="6816" spans="1:12" x14ac:dyDescent="0.25">
      <c r="A6816">
        <v>1209966</v>
      </c>
      <c r="B6816">
        <v>1215651</v>
      </c>
      <c r="D6816" t="s">
        <v>6902</v>
      </c>
      <c r="E6816" t="s">
        <v>42925</v>
      </c>
      <c r="F6816" t="s">
        <v>42926</v>
      </c>
      <c r="G6816" t="s">
        <v>42927</v>
      </c>
      <c r="H6816" t="s">
        <v>42928</v>
      </c>
      <c r="I6816" t="s">
        <v>42929</v>
      </c>
      <c r="J6816" t="s">
        <v>42924</v>
      </c>
      <c r="K6816" t="s">
        <v>42930</v>
      </c>
      <c r="L6816" t="s">
        <v>42924</v>
      </c>
    </row>
    <row r="6817" spans="1:12" x14ac:dyDescent="0.25">
      <c r="A6817">
        <v>1210055</v>
      </c>
      <c r="B6817">
        <v>1210066</v>
      </c>
      <c r="D6817">
        <v>0</v>
      </c>
      <c r="F6817">
        <v>1298091</v>
      </c>
      <c r="G6817">
        <v>1210066</v>
      </c>
      <c r="H6817" t="e" vm="493">
        <f>_FV(0,"025")</f>
        <v>#VALUE!</v>
      </c>
      <c r="I6817">
        <v>1210055</v>
      </c>
      <c r="J6817" t="s">
        <v>899</v>
      </c>
      <c r="K6817" t="s">
        <v>42931</v>
      </c>
      <c r="L6817" t="e" vm="493">
        <f>_FV(0,"025")</f>
        <v>#VALUE!</v>
      </c>
    </row>
    <row r="6818" spans="1:12" x14ac:dyDescent="0.25">
      <c r="A6818">
        <v>1210055</v>
      </c>
      <c r="B6818">
        <v>1210108</v>
      </c>
      <c r="D6818">
        <v>0</v>
      </c>
      <c r="F6818">
        <v>1784327</v>
      </c>
      <c r="G6818">
        <v>1210108</v>
      </c>
      <c r="H6818" t="e" vm="2875">
        <f>_FV(0,"119")</f>
        <v>#VALUE!</v>
      </c>
      <c r="I6818">
        <v>1210055</v>
      </c>
      <c r="J6818" t="s">
        <v>41458</v>
      </c>
      <c r="K6818" t="s">
        <v>42932</v>
      </c>
      <c r="L6818" t="e" vm="2875">
        <f>_FV(0,"119")</f>
        <v>#VALUE!</v>
      </c>
    </row>
    <row r="6819" spans="1:12" x14ac:dyDescent="0.25">
      <c r="A6819">
        <v>1210055</v>
      </c>
      <c r="B6819">
        <v>1210976</v>
      </c>
      <c r="D6819">
        <v>0</v>
      </c>
      <c r="E6819" t="s">
        <v>42934</v>
      </c>
      <c r="F6819" t="s">
        <v>42935</v>
      </c>
      <c r="G6819" t="s">
        <v>42936</v>
      </c>
      <c r="H6819" t="e" vm="2971">
        <f>_FV(0,"0008191333764796816")</f>
        <v>#VALUE!</v>
      </c>
      <c r="I6819" t="s">
        <v>42937</v>
      </c>
      <c r="J6819" t="s">
        <v>42938</v>
      </c>
      <c r="K6819" t="s">
        <v>42939</v>
      </c>
      <c r="L6819" t="s">
        <v>42933</v>
      </c>
    </row>
    <row r="6820" spans="1:12" x14ac:dyDescent="0.25">
      <c r="A6820">
        <v>1210066</v>
      </c>
      <c r="B6820">
        <v>1210100</v>
      </c>
      <c r="D6820">
        <v>0</v>
      </c>
      <c r="F6820">
        <v>1784319</v>
      </c>
      <c r="G6820">
        <v>1210100</v>
      </c>
      <c r="H6820" t="e" vm="2972">
        <f>_FV(0,"106")</f>
        <v>#VALUE!</v>
      </c>
      <c r="I6820">
        <v>1210066</v>
      </c>
      <c r="J6820" t="s">
        <v>6014</v>
      </c>
      <c r="K6820" t="s">
        <v>42940</v>
      </c>
      <c r="L6820" t="e" vm="2972">
        <f>_FV(0,"106")</f>
        <v>#VALUE!</v>
      </c>
    </row>
    <row r="6821" spans="1:12" x14ac:dyDescent="0.25">
      <c r="A6821">
        <v>1210100</v>
      </c>
      <c r="B6821">
        <v>1210108</v>
      </c>
      <c r="D6821">
        <v>0</v>
      </c>
      <c r="F6821">
        <v>1298139</v>
      </c>
      <c r="G6821">
        <v>1210108</v>
      </c>
      <c r="H6821" t="s">
        <v>899</v>
      </c>
      <c r="I6821">
        <v>1210100</v>
      </c>
      <c r="J6821" t="s">
        <v>899</v>
      </c>
      <c r="K6821" t="s">
        <v>42941</v>
      </c>
      <c r="L6821" t="s">
        <v>899</v>
      </c>
    </row>
    <row r="6822" spans="1:12" x14ac:dyDescent="0.25">
      <c r="A6822">
        <v>1210108</v>
      </c>
      <c r="B6822">
        <v>1210936</v>
      </c>
      <c r="D6822">
        <v>0</v>
      </c>
      <c r="E6822" t="s">
        <v>42943</v>
      </c>
      <c r="F6822" t="s">
        <v>42944</v>
      </c>
      <c r="G6822" t="s">
        <v>42945</v>
      </c>
      <c r="H6822" t="s">
        <v>42946</v>
      </c>
      <c r="I6822" t="s">
        <v>42947</v>
      </c>
      <c r="J6822" t="s">
        <v>42948</v>
      </c>
      <c r="K6822" t="s">
        <v>42949</v>
      </c>
      <c r="L6822" t="s">
        <v>42942</v>
      </c>
    </row>
    <row r="6823" spans="1:12" x14ac:dyDescent="0.25">
      <c r="A6823">
        <v>1210845</v>
      </c>
      <c r="B6823">
        <v>1210861</v>
      </c>
      <c r="D6823">
        <v>0</v>
      </c>
      <c r="E6823" t="s">
        <v>42951</v>
      </c>
      <c r="F6823" t="s">
        <v>42952</v>
      </c>
      <c r="G6823" t="s">
        <v>42953</v>
      </c>
      <c r="H6823" t="e" vm="2973">
        <f>_FV(0,"018416156688148454")</f>
        <v>#VALUE!</v>
      </c>
      <c r="I6823" t="s">
        <v>42954</v>
      </c>
      <c r="J6823" t="s">
        <v>25582</v>
      </c>
      <c r="K6823" t="s">
        <v>42955</v>
      </c>
      <c r="L6823" t="s">
        <v>42950</v>
      </c>
    </row>
    <row r="6824" spans="1:12" x14ac:dyDescent="0.25">
      <c r="A6824">
        <v>1210845</v>
      </c>
      <c r="B6824">
        <v>1210875</v>
      </c>
      <c r="D6824">
        <v>0</v>
      </c>
      <c r="F6824">
        <v>1784303</v>
      </c>
      <c r="G6824">
        <v>1210845</v>
      </c>
      <c r="H6824" t="e" vm="529">
        <f>_FV(0,"089")</f>
        <v>#VALUE!</v>
      </c>
      <c r="I6824">
        <v>1210875</v>
      </c>
      <c r="J6824" t="s">
        <v>7523</v>
      </c>
      <c r="K6824" t="s">
        <v>42956</v>
      </c>
      <c r="L6824" t="e" vm="529">
        <f>_FV(0,"089")</f>
        <v>#VALUE!</v>
      </c>
    </row>
    <row r="6825" spans="1:12" x14ac:dyDescent="0.25">
      <c r="A6825">
        <v>1210845</v>
      </c>
      <c r="B6825">
        <v>1210923</v>
      </c>
      <c r="D6825">
        <v>0</v>
      </c>
      <c r="E6825" t="s">
        <v>42958</v>
      </c>
      <c r="F6825" t="s">
        <v>42959</v>
      </c>
      <c r="G6825" t="s">
        <v>42960</v>
      </c>
      <c r="H6825" t="s">
        <v>42961</v>
      </c>
      <c r="I6825" t="s">
        <v>42962</v>
      </c>
      <c r="J6825" t="s">
        <v>42963</v>
      </c>
      <c r="K6825" t="s">
        <v>42964</v>
      </c>
      <c r="L6825" t="s">
        <v>42957</v>
      </c>
    </row>
    <row r="6826" spans="1:12" x14ac:dyDescent="0.25">
      <c r="A6826">
        <v>1210861</v>
      </c>
      <c r="B6826">
        <v>1210869</v>
      </c>
      <c r="D6826">
        <v>0</v>
      </c>
      <c r="F6826">
        <v>1784311</v>
      </c>
      <c r="G6826">
        <v>1210861</v>
      </c>
      <c r="H6826" t="e" vm="255">
        <f>_FV(0,"168")</f>
        <v>#VALUE!</v>
      </c>
      <c r="I6826">
        <v>1210869</v>
      </c>
      <c r="J6826" t="s">
        <v>3767</v>
      </c>
      <c r="K6826" t="s">
        <v>42965</v>
      </c>
      <c r="L6826" t="e" vm="255">
        <f>_FV(0,"168")</f>
        <v>#VALUE!</v>
      </c>
    </row>
    <row r="6827" spans="1:12" x14ac:dyDescent="0.25">
      <c r="A6827">
        <v>1210869</v>
      </c>
      <c r="B6827">
        <v>1210875</v>
      </c>
      <c r="D6827">
        <v>0</v>
      </c>
      <c r="F6827">
        <v>1299064</v>
      </c>
      <c r="G6827">
        <v>1210875</v>
      </c>
      <c r="H6827" t="s">
        <v>279</v>
      </c>
      <c r="I6827">
        <v>1210869</v>
      </c>
      <c r="J6827" t="s">
        <v>279</v>
      </c>
      <c r="K6827" t="s">
        <v>42966</v>
      </c>
      <c r="L6827" t="s">
        <v>279</v>
      </c>
    </row>
    <row r="6828" spans="1:12" x14ac:dyDescent="0.25">
      <c r="A6828">
        <v>1210869</v>
      </c>
      <c r="B6828">
        <v>1819033</v>
      </c>
      <c r="D6828">
        <v>0</v>
      </c>
      <c r="E6828" t="s">
        <v>42968</v>
      </c>
      <c r="F6828" t="s">
        <v>42969</v>
      </c>
      <c r="G6828" t="s">
        <v>42970</v>
      </c>
      <c r="H6828" t="s">
        <v>42971</v>
      </c>
      <c r="I6828" t="s">
        <v>42972</v>
      </c>
      <c r="J6828" t="s">
        <v>42973</v>
      </c>
      <c r="K6828" t="s">
        <v>42974</v>
      </c>
      <c r="L6828" t="s">
        <v>42967</v>
      </c>
    </row>
    <row r="6829" spans="1:12" x14ac:dyDescent="0.25">
      <c r="A6829">
        <v>1210875</v>
      </c>
      <c r="B6829">
        <v>1210889</v>
      </c>
      <c r="D6829">
        <v>0</v>
      </c>
      <c r="E6829" t="s">
        <v>42976</v>
      </c>
      <c r="F6829" t="s">
        <v>42977</v>
      </c>
      <c r="G6829" t="s">
        <v>42978</v>
      </c>
      <c r="H6829" t="e" vm="2974">
        <f>_FV(0,"013243421234008113")</f>
        <v>#VALUE!</v>
      </c>
      <c r="I6829" t="s">
        <v>42979</v>
      </c>
      <c r="J6829" t="s">
        <v>42980</v>
      </c>
      <c r="K6829" t="s">
        <v>42981</v>
      </c>
      <c r="L6829" t="s">
        <v>42975</v>
      </c>
    </row>
    <row r="6830" spans="1:12" x14ac:dyDescent="0.25">
      <c r="A6830">
        <v>1210889</v>
      </c>
      <c r="B6830">
        <v>1210900</v>
      </c>
      <c r="D6830">
        <v>0</v>
      </c>
      <c r="F6830">
        <v>1299088</v>
      </c>
      <c r="G6830">
        <v>1210900</v>
      </c>
      <c r="H6830" t="e" vm="2975">
        <f>_FV(0,"091")</f>
        <v>#VALUE!</v>
      </c>
      <c r="I6830">
        <v>1210889</v>
      </c>
      <c r="J6830" t="s">
        <v>37825</v>
      </c>
      <c r="K6830" t="s">
        <v>42982</v>
      </c>
      <c r="L6830" t="e" vm="2975">
        <f>_FV(0,"091")</f>
        <v>#VALUE!</v>
      </c>
    </row>
    <row r="6831" spans="1:12" x14ac:dyDescent="0.25">
      <c r="A6831">
        <v>1210889</v>
      </c>
      <c r="B6831">
        <v>1210923</v>
      </c>
      <c r="D6831">
        <v>0</v>
      </c>
      <c r="F6831">
        <v>1784295</v>
      </c>
      <c r="G6831">
        <v>1210923</v>
      </c>
      <c r="H6831" t="e" vm="420">
        <f>_FV(0,"122")</f>
        <v>#VALUE!</v>
      </c>
      <c r="I6831">
        <v>1210889</v>
      </c>
      <c r="J6831" t="s">
        <v>5918</v>
      </c>
      <c r="K6831" t="s">
        <v>42983</v>
      </c>
      <c r="L6831" t="e" vm="420">
        <f>_FV(0,"122")</f>
        <v>#VALUE!</v>
      </c>
    </row>
    <row r="6832" spans="1:12" x14ac:dyDescent="0.25">
      <c r="A6832">
        <v>1210900</v>
      </c>
      <c r="B6832">
        <v>1210915</v>
      </c>
      <c r="D6832">
        <v>0</v>
      </c>
      <c r="F6832">
        <v>1784287</v>
      </c>
      <c r="G6832">
        <v>1210915</v>
      </c>
      <c r="H6832" t="s">
        <v>194</v>
      </c>
      <c r="I6832">
        <v>1210900</v>
      </c>
      <c r="J6832" t="s">
        <v>194</v>
      </c>
      <c r="K6832" t="s">
        <v>42984</v>
      </c>
      <c r="L6832" t="s">
        <v>194</v>
      </c>
    </row>
    <row r="6833" spans="1:12" x14ac:dyDescent="0.25">
      <c r="A6833">
        <v>1210900</v>
      </c>
      <c r="B6833">
        <v>1210967</v>
      </c>
      <c r="D6833">
        <v>0</v>
      </c>
      <c r="E6833" t="s">
        <v>42986</v>
      </c>
      <c r="F6833" t="s">
        <v>42987</v>
      </c>
      <c r="G6833" t="s">
        <v>42988</v>
      </c>
      <c r="H6833" t="s">
        <v>42989</v>
      </c>
      <c r="I6833" t="s">
        <v>42990</v>
      </c>
      <c r="J6833" t="s">
        <v>42991</v>
      </c>
      <c r="K6833" t="s">
        <v>42992</v>
      </c>
      <c r="L6833" t="s">
        <v>42985</v>
      </c>
    </row>
    <row r="6834" spans="1:12" x14ac:dyDescent="0.25">
      <c r="A6834">
        <v>1210915</v>
      </c>
      <c r="B6834">
        <v>1210923</v>
      </c>
      <c r="D6834">
        <v>0</v>
      </c>
      <c r="F6834">
        <v>1299112</v>
      </c>
      <c r="G6834">
        <v>1210923</v>
      </c>
      <c r="H6834" t="s">
        <v>3418</v>
      </c>
      <c r="I6834">
        <v>1210915</v>
      </c>
      <c r="J6834" t="s">
        <v>3418</v>
      </c>
      <c r="K6834" t="s">
        <v>42993</v>
      </c>
      <c r="L6834" t="s">
        <v>3418</v>
      </c>
    </row>
    <row r="6835" spans="1:12" x14ac:dyDescent="0.25">
      <c r="A6835">
        <v>1210936</v>
      </c>
      <c r="B6835">
        <v>1210953</v>
      </c>
      <c r="D6835">
        <v>0</v>
      </c>
      <c r="E6835" t="s">
        <v>42995</v>
      </c>
      <c r="F6835" t="s">
        <v>42996</v>
      </c>
      <c r="G6835" t="s">
        <v>42997</v>
      </c>
      <c r="H6835" t="s">
        <v>42998</v>
      </c>
      <c r="I6835" t="s">
        <v>42999</v>
      </c>
      <c r="J6835" t="s">
        <v>42994</v>
      </c>
      <c r="K6835" t="s">
        <v>43000</v>
      </c>
      <c r="L6835" t="s">
        <v>42994</v>
      </c>
    </row>
    <row r="6836" spans="1:12" x14ac:dyDescent="0.25">
      <c r="A6836">
        <v>1210936</v>
      </c>
      <c r="B6836">
        <v>1255139</v>
      </c>
      <c r="D6836">
        <v>0</v>
      </c>
      <c r="F6836">
        <v>1356737</v>
      </c>
      <c r="G6836">
        <v>1210936</v>
      </c>
      <c r="H6836" t="s">
        <v>43001</v>
      </c>
      <c r="I6836">
        <v>1255139</v>
      </c>
      <c r="J6836" t="s">
        <v>43001</v>
      </c>
      <c r="K6836" t="s">
        <v>43002</v>
      </c>
      <c r="L6836" t="s">
        <v>43001</v>
      </c>
    </row>
    <row r="6837" spans="1:12" x14ac:dyDescent="0.25">
      <c r="A6837">
        <v>1210953</v>
      </c>
      <c r="B6837">
        <v>1255133</v>
      </c>
      <c r="D6837">
        <v>0</v>
      </c>
      <c r="F6837">
        <v>1356728</v>
      </c>
      <c r="G6837">
        <v>1210953</v>
      </c>
      <c r="H6837" t="s">
        <v>43003</v>
      </c>
      <c r="I6837">
        <v>1255133</v>
      </c>
      <c r="J6837" t="s">
        <v>43003</v>
      </c>
      <c r="K6837" t="s">
        <v>43004</v>
      </c>
      <c r="L6837" t="s">
        <v>43003</v>
      </c>
    </row>
    <row r="6838" spans="1:12" x14ac:dyDescent="0.25">
      <c r="A6838">
        <v>1210967</v>
      </c>
      <c r="B6838">
        <v>1210976</v>
      </c>
      <c r="D6838">
        <v>0</v>
      </c>
      <c r="F6838">
        <v>1299176</v>
      </c>
      <c r="G6838">
        <v>1210976</v>
      </c>
      <c r="H6838" t="e" vm="30">
        <f>_FV(0,"027")</f>
        <v>#VALUE!</v>
      </c>
      <c r="I6838">
        <v>1210967</v>
      </c>
      <c r="J6838" t="s">
        <v>467</v>
      </c>
      <c r="K6838" t="s">
        <v>43005</v>
      </c>
      <c r="L6838" t="e" vm="30">
        <f>_FV(0,"027")</f>
        <v>#VALUE!</v>
      </c>
    </row>
    <row r="6839" spans="1:12" x14ac:dyDescent="0.25">
      <c r="A6839">
        <v>1210967</v>
      </c>
      <c r="B6839">
        <v>1255128</v>
      </c>
      <c r="D6839">
        <v>0</v>
      </c>
      <c r="F6839">
        <v>1356720</v>
      </c>
      <c r="G6839">
        <v>1255128</v>
      </c>
      <c r="H6839" t="e" vm="211">
        <f>_FV(-1,"111")</f>
        <v>#VALUE!</v>
      </c>
      <c r="I6839">
        <v>1210967</v>
      </c>
      <c r="J6839" t="s">
        <v>43006</v>
      </c>
      <c r="K6839" t="s">
        <v>43007</v>
      </c>
      <c r="L6839" t="e" vm="211">
        <f>_FV(-1,"111")</f>
        <v>#VALUE!</v>
      </c>
    </row>
    <row r="6840" spans="1:12" x14ac:dyDescent="0.25">
      <c r="A6840">
        <v>1210976</v>
      </c>
      <c r="B6840">
        <v>1255134</v>
      </c>
      <c r="D6840">
        <v>0</v>
      </c>
      <c r="F6840">
        <v>1356729</v>
      </c>
      <c r="G6840">
        <v>1255134</v>
      </c>
      <c r="H6840" t="e" vm="2976">
        <f>_FV(0,"455")</f>
        <v>#VALUE!</v>
      </c>
      <c r="I6840">
        <v>1210976</v>
      </c>
      <c r="J6840" t="s">
        <v>43008</v>
      </c>
      <c r="K6840" t="s">
        <v>43009</v>
      </c>
      <c r="L6840" t="e" vm="2976">
        <f>_FV(0,"455")</f>
        <v>#VALUE!</v>
      </c>
    </row>
    <row r="6841" spans="1:12" x14ac:dyDescent="0.25">
      <c r="A6841">
        <v>1211248</v>
      </c>
      <c r="B6841">
        <v>1211319</v>
      </c>
      <c r="C6841" t="s">
        <v>43011</v>
      </c>
      <c r="D6841" t="s">
        <v>22630</v>
      </c>
      <c r="E6841" t="s">
        <v>43012</v>
      </c>
      <c r="F6841" t="s">
        <v>43013</v>
      </c>
      <c r="G6841" t="s">
        <v>43014</v>
      </c>
      <c r="H6841" t="s">
        <v>43015</v>
      </c>
      <c r="I6841" t="s">
        <v>43016</v>
      </c>
      <c r="J6841" t="s">
        <v>43010</v>
      </c>
      <c r="K6841" t="s">
        <v>43017</v>
      </c>
      <c r="L6841" t="s">
        <v>43010</v>
      </c>
    </row>
    <row r="6842" spans="1:12" x14ac:dyDescent="0.25">
      <c r="A6842">
        <v>1211319</v>
      </c>
      <c r="B6842">
        <v>1211358</v>
      </c>
      <c r="D6842">
        <v>0</v>
      </c>
      <c r="E6842" t="s">
        <v>43019</v>
      </c>
      <c r="F6842" t="s">
        <v>43020</v>
      </c>
      <c r="G6842" t="s">
        <v>43021</v>
      </c>
      <c r="H6842" t="s">
        <v>43022</v>
      </c>
      <c r="I6842" t="s">
        <v>43023</v>
      </c>
      <c r="J6842" t="s">
        <v>43024</v>
      </c>
      <c r="K6842" t="s">
        <v>43025</v>
      </c>
      <c r="L6842" t="s">
        <v>43018</v>
      </c>
    </row>
    <row r="6843" spans="1:12" x14ac:dyDescent="0.25">
      <c r="A6843">
        <v>1211319</v>
      </c>
      <c r="B6843">
        <v>1211358</v>
      </c>
      <c r="D6843">
        <v>0</v>
      </c>
      <c r="E6843" t="s">
        <v>43027</v>
      </c>
      <c r="F6843" t="s">
        <v>43028</v>
      </c>
      <c r="G6843" t="s">
        <v>43029</v>
      </c>
      <c r="H6843" t="s">
        <v>43030</v>
      </c>
      <c r="I6843" t="s">
        <v>43031</v>
      </c>
      <c r="J6843" t="s">
        <v>43032</v>
      </c>
      <c r="K6843" t="s">
        <v>43033</v>
      </c>
      <c r="L6843" t="s">
        <v>43026</v>
      </c>
    </row>
    <row r="6844" spans="1:12" x14ac:dyDescent="0.25">
      <c r="A6844">
        <v>1211419</v>
      </c>
      <c r="B6844">
        <v>1211433</v>
      </c>
      <c r="D6844" t="s">
        <v>10069</v>
      </c>
      <c r="E6844" t="s">
        <v>43035</v>
      </c>
      <c r="F6844" t="s">
        <v>43036</v>
      </c>
      <c r="G6844" t="s">
        <v>43037</v>
      </c>
      <c r="H6844" t="s">
        <v>43038</v>
      </c>
      <c r="I6844" t="s">
        <v>43039</v>
      </c>
      <c r="J6844" t="s">
        <v>43034</v>
      </c>
      <c r="K6844" t="s">
        <v>43040</v>
      </c>
      <c r="L6844" t="s">
        <v>43034</v>
      </c>
    </row>
    <row r="6845" spans="1:12" x14ac:dyDescent="0.25">
      <c r="A6845">
        <v>1211419</v>
      </c>
      <c r="B6845">
        <v>1211425</v>
      </c>
      <c r="D6845" t="s">
        <v>330</v>
      </c>
      <c r="E6845" t="s">
        <v>43042</v>
      </c>
      <c r="F6845" t="s">
        <v>43043</v>
      </c>
      <c r="G6845" t="s">
        <v>43044</v>
      </c>
      <c r="H6845" t="s">
        <v>43045</v>
      </c>
      <c r="I6845" t="s">
        <v>43046</v>
      </c>
      <c r="J6845" t="s">
        <v>43041</v>
      </c>
      <c r="K6845" t="s">
        <v>43047</v>
      </c>
      <c r="L6845" t="s">
        <v>43041</v>
      </c>
    </row>
    <row r="6846" spans="1:12" x14ac:dyDescent="0.25">
      <c r="A6846">
        <v>1211419</v>
      </c>
      <c r="B6846">
        <v>1813548</v>
      </c>
      <c r="D6846" t="s">
        <v>43049</v>
      </c>
      <c r="E6846" t="s">
        <v>43050</v>
      </c>
      <c r="F6846" t="s">
        <v>43051</v>
      </c>
      <c r="G6846" t="s">
        <v>43052</v>
      </c>
      <c r="H6846" t="e" vm="2977">
        <f>_FV(0,"0005174472888372013")</f>
        <v>#VALUE!</v>
      </c>
      <c r="I6846" t="s">
        <v>43053</v>
      </c>
      <c r="J6846" t="s">
        <v>43054</v>
      </c>
      <c r="K6846" t="s">
        <v>43055</v>
      </c>
      <c r="L6846" t="s">
        <v>43048</v>
      </c>
    </row>
    <row r="6847" spans="1:12" x14ac:dyDescent="0.25">
      <c r="A6847">
        <v>1211425</v>
      </c>
      <c r="B6847">
        <v>1211458</v>
      </c>
      <c r="D6847">
        <v>0</v>
      </c>
      <c r="E6847" t="s">
        <v>43057</v>
      </c>
      <c r="F6847" t="s">
        <v>43058</v>
      </c>
      <c r="G6847" t="s">
        <v>43059</v>
      </c>
      <c r="H6847" t="s">
        <v>43060</v>
      </c>
      <c r="I6847" t="s">
        <v>43061</v>
      </c>
      <c r="J6847" t="s">
        <v>43056</v>
      </c>
      <c r="K6847" t="s">
        <v>43062</v>
      </c>
      <c r="L6847" t="s">
        <v>43056</v>
      </c>
    </row>
    <row r="6848" spans="1:12" x14ac:dyDescent="0.25">
      <c r="A6848">
        <v>1211425</v>
      </c>
      <c r="B6848">
        <v>1211532</v>
      </c>
      <c r="D6848">
        <v>0</v>
      </c>
      <c r="E6848" t="s">
        <v>43064</v>
      </c>
      <c r="F6848" t="s">
        <v>43065</v>
      </c>
      <c r="G6848" t="s">
        <v>43066</v>
      </c>
      <c r="H6848" t="e" vm="2978">
        <f>_FV(0,"07785314319007938")</f>
        <v>#VALUE!</v>
      </c>
      <c r="I6848" t="s">
        <v>43067</v>
      </c>
      <c r="J6848" t="s">
        <v>43068</v>
      </c>
      <c r="K6848" t="s">
        <v>43069</v>
      </c>
      <c r="L6848" t="s">
        <v>43063</v>
      </c>
    </row>
    <row r="6849" spans="1:12" x14ac:dyDescent="0.25">
      <c r="A6849">
        <v>1211433</v>
      </c>
      <c r="B6849">
        <v>1211438</v>
      </c>
      <c r="D6849">
        <v>0</v>
      </c>
      <c r="F6849">
        <v>1299653</v>
      </c>
      <c r="G6849">
        <v>1211438</v>
      </c>
      <c r="H6849" t="s">
        <v>5698</v>
      </c>
      <c r="I6849">
        <v>1211433</v>
      </c>
      <c r="J6849" t="s">
        <v>5698</v>
      </c>
      <c r="K6849" t="s">
        <v>43070</v>
      </c>
      <c r="L6849" t="s">
        <v>5698</v>
      </c>
    </row>
    <row r="6850" spans="1:12" x14ac:dyDescent="0.25">
      <c r="A6850">
        <v>1211433</v>
      </c>
      <c r="B6850">
        <v>1211498</v>
      </c>
      <c r="D6850">
        <v>0</v>
      </c>
      <c r="E6850" t="s">
        <v>43072</v>
      </c>
      <c r="F6850" t="s">
        <v>43073</v>
      </c>
      <c r="G6850" t="s">
        <v>43074</v>
      </c>
      <c r="H6850" t="s">
        <v>43075</v>
      </c>
      <c r="I6850" t="s">
        <v>43076</v>
      </c>
      <c r="J6850" t="s">
        <v>43071</v>
      </c>
      <c r="K6850" t="s">
        <v>43077</v>
      </c>
      <c r="L6850" t="s">
        <v>43071</v>
      </c>
    </row>
    <row r="6851" spans="1:12" x14ac:dyDescent="0.25">
      <c r="A6851">
        <v>1211438</v>
      </c>
      <c r="B6851">
        <v>1792384</v>
      </c>
      <c r="D6851">
        <v>0</v>
      </c>
      <c r="E6851" t="s">
        <v>43079</v>
      </c>
      <c r="F6851" t="s">
        <v>43080</v>
      </c>
      <c r="G6851" t="s">
        <v>43081</v>
      </c>
      <c r="H6851" t="s">
        <v>43082</v>
      </c>
      <c r="I6851" t="s">
        <v>43083</v>
      </c>
      <c r="J6851" t="s">
        <v>43084</v>
      </c>
      <c r="K6851" t="s">
        <v>43085</v>
      </c>
      <c r="L6851" t="s">
        <v>43078</v>
      </c>
    </row>
    <row r="6852" spans="1:12" x14ac:dyDescent="0.25">
      <c r="A6852">
        <v>1211438</v>
      </c>
      <c r="B6852">
        <v>1211504</v>
      </c>
      <c r="D6852">
        <v>0</v>
      </c>
      <c r="E6852" t="s">
        <v>43087</v>
      </c>
      <c r="F6852" t="s">
        <v>43088</v>
      </c>
      <c r="G6852" t="s">
        <v>43089</v>
      </c>
      <c r="H6852" t="s">
        <v>43090</v>
      </c>
      <c r="I6852" t="s">
        <v>43091</v>
      </c>
      <c r="J6852" t="s">
        <v>43086</v>
      </c>
      <c r="K6852" t="s">
        <v>43092</v>
      </c>
      <c r="L6852" t="s">
        <v>43086</v>
      </c>
    </row>
    <row r="6853" spans="1:12" x14ac:dyDescent="0.25">
      <c r="A6853">
        <v>1211458</v>
      </c>
      <c r="B6853">
        <v>1792384</v>
      </c>
      <c r="D6853">
        <v>0</v>
      </c>
      <c r="F6853">
        <v>2061913</v>
      </c>
      <c r="G6853">
        <v>1792384</v>
      </c>
      <c r="H6853" t="e" vm="62">
        <f>_FV(0,"008")</f>
        <v>#VALUE!</v>
      </c>
      <c r="I6853">
        <v>1211458</v>
      </c>
      <c r="J6853" t="s">
        <v>241</v>
      </c>
      <c r="K6853" t="s">
        <v>43093</v>
      </c>
      <c r="L6853" t="e" vm="62">
        <f>_FV(0,"008")</f>
        <v>#VALUE!</v>
      </c>
    </row>
    <row r="6854" spans="1:12" x14ac:dyDescent="0.25">
      <c r="A6854">
        <v>1211458</v>
      </c>
      <c r="B6854">
        <v>1211525</v>
      </c>
      <c r="D6854">
        <v>0</v>
      </c>
      <c r="E6854" t="s">
        <v>43095</v>
      </c>
      <c r="F6854" t="s">
        <v>43096</v>
      </c>
      <c r="G6854" t="s">
        <v>43097</v>
      </c>
      <c r="H6854" t="e" vm="2979">
        <f>_FV(0,"06825572143470986")</f>
        <v>#VALUE!</v>
      </c>
      <c r="I6854" t="s">
        <v>43098</v>
      </c>
      <c r="J6854" t="s">
        <v>43099</v>
      </c>
      <c r="K6854" t="s">
        <v>43100</v>
      </c>
      <c r="L6854" t="s">
        <v>43094</v>
      </c>
    </row>
    <row r="6855" spans="1:12" x14ac:dyDescent="0.25">
      <c r="A6855">
        <v>1212371</v>
      </c>
      <c r="B6855">
        <v>1212397</v>
      </c>
      <c r="D6855">
        <v>0</v>
      </c>
      <c r="E6855" t="s">
        <v>43102</v>
      </c>
      <c r="F6855" t="s">
        <v>43103</v>
      </c>
      <c r="G6855" t="s">
        <v>43104</v>
      </c>
      <c r="H6855" t="e" vm="2980">
        <f>_FV(0,"012592717749554734")</f>
        <v>#VALUE!</v>
      </c>
      <c r="I6855" t="s">
        <v>43105</v>
      </c>
      <c r="J6855" t="s">
        <v>43106</v>
      </c>
      <c r="K6855" t="s">
        <v>43107</v>
      </c>
      <c r="L6855" t="s">
        <v>43101</v>
      </c>
    </row>
    <row r="6856" spans="1:12" x14ac:dyDescent="0.25">
      <c r="A6856">
        <v>1212371</v>
      </c>
      <c r="B6856">
        <v>1212417</v>
      </c>
      <c r="D6856">
        <v>0</v>
      </c>
      <c r="E6856" t="s">
        <v>43109</v>
      </c>
      <c r="F6856" t="s">
        <v>43110</v>
      </c>
      <c r="G6856" t="s">
        <v>43111</v>
      </c>
      <c r="H6856" t="s">
        <v>43112</v>
      </c>
      <c r="I6856" t="s">
        <v>43113</v>
      </c>
      <c r="J6856" t="s">
        <v>43114</v>
      </c>
      <c r="K6856" t="s">
        <v>43115</v>
      </c>
      <c r="L6856" t="s">
        <v>43108</v>
      </c>
    </row>
    <row r="6857" spans="1:12" x14ac:dyDescent="0.25">
      <c r="A6857">
        <v>1212371</v>
      </c>
      <c r="B6857">
        <v>1212743</v>
      </c>
      <c r="D6857">
        <v>0</v>
      </c>
      <c r="E6857" t="s">
        <v>43117</v>
      </c>
      <c r="F6857" t="s">
        <v>43118</v>
      </c>
      <c r="G6857" t="s">
        <v>43119</v>
      </c>
      <c r="H6857" t="e" vm="2981">
        <f>_FV(0,"025159151084924728")</f>
        <v>#VALUE!</v>
      </c>
      <c r="I6857" t="s">
        <v>43120</v>
      </c>
      <c r="J6857" t="s">
        <v>43121</v>
      </c>
      <c r="K6857" t="s">
        <v>43122</v>
      </c>
      <c r="L6857" t="s">
        <v>43116</v>
      </c>
    </row>
    <row r="6858" spans="1:12" x14ac:dyDescent="0.25">
      <c r="A6858">
        <v>1212397</v>
      </c>
      <c r="B6858">
        <v>1212405</v>
      </c>
      <c r="D6858">
        <v>0</v>
      </c>
      <c r="F6858">
        <v>1300993</v>
      </c>
      <c r="G6858">
        <v>1212405</v>
      </c>
      <c r="H6858" t="s">
        <v>2916</v>
      </c>
      <c r="I6858">
        <v>1212397</v>
      </c>
      <c r="J6858" t="s">
        <v>2916</v>
      </c>
      <c r="K6858" t="s">
        <v>43123</v>
      </c>
      <c r="L6858" t="s">
        <v>2916</v>
      </c>
    </row>
    <row r="6859" spans="1:12" x14ac:dyDescent="0.25">
      <c r="A6859">
        <v>1212405</v>
      </c>
      <c r="B6859">
        <v>1212417</v>
      </c>
      <c r="D6859">
        <v>0</v>
      </c>
      <c r="F6859">
        <v>1301001</v>
      </c>
      <c r="G6859">
        <v>1212417</v>
      </c>
      <c r="H6859" t="s">
        <v>2841</v>
      </c>
      <c r="I6859">
        <v>1212405</v>
      </c>
      <c r="J6859" t="s">
        <v>2841</v>
      </c>
      <c r="K6859" t="s">
        <v>43124</v>
      </c>
      <c r="L6859" t="s">
        <v>2841</v>
      </c>
    </row>
    <row r="6860" spans="1:12" x14ac:dyDescent="0.25">
      <c r="A6860">
        <v>1212405</v>
      </c>
      <c r="B6860">
        <v>1212730</v>
      </c>
      <c r="D6860">
        <v>0</v>
      </c>
      <c r="E6860" t="s">
        <v>43126</v>
      </c>
      <c r="F6860" t="s">
        <v>43127</v>
      </c>
      <c r="G6860" t="s">
        <v>43128</v>
      </c>
      <c r="H6860" t="e" vm="2982">
        <f>_FV(0,"0019369564551083801")</f>
        <v>#VALUE!</v>
      </c>
      <c r="I6860" t="s">
        <v>43129</v>
      </c>
      <c r="J6860" t="s">
        <v>43130</v>
      </c>
      <c r="K6860" t="s">
        <v>43131</v>
      </c>
      <c r="L6860" t="s">
        <v>43125</v>
      </c>
    </row>
    <row r="6861" spans="1:12" x14ac:dyDescent="0.25">
      <c r="A6861">
        <v>1212417</v>
      </c>
      <c r="B6861">
        <v>1212743</v>
      </c>
      <c r="D6861">
        <v>0</v>
      </c>
      <c r="E6861" t="s">
        <v>43132</v>
      </c>
      <c r="F6861" t="s">
        <v>43133</v>
      </c>
      <c r="G6861" t="s">
        <v>43134</v>
      </c>
      <c r="H6861" t="e" vm="30">
        <f>_FV(0,"027")</f>
        <v>#VALUE!</v>
      </c>
      <c r="I6861" t="s">
        <v>43135</v>
      </c>
      <c r="J6861" t="s">
        <v>467</v>
      </c>
      <c r="K6861" t="s">
        <v>43136</v>
      </c>
      <c r="L6861" t="e" vm="30">
        <f>_FV(0,"027")</f>
        <v>#VALUE!</v>
      </c>
    </row>
    <row r="6862" spans="1:12" x14ac:dyDescent="0.25">
      <c r="A6862">
        <v>1212631</v>
      </c>
      <c r="B6862">
        <v>1212648</v>
      </c>
      <c r="D6862">
        <v>0</v>
      </c>
      <c r="E6862" t="s">
        <v>43138</v>
      </c>
      <c r="F6862" t="s">
        <v>43139</v>
      </c>
      <c r="G6862" t="s">
        <v>43140</v>
      </c>
      <c r="H6862" t="e" vm="2983">
        <f>_FV(0,"012120683023557836")</f>
        <v>#VALUE!</v>
      </c>
      <c r="I6862" t="s">
        <v>43141</v>
      </c>
      <c r="J6862" t="s">
        <v>43142</v>
      </c>
      <c r="K6862" t="s">
        <v>43143</v>
      </c>
      <c r="L6862" t="s">
        <v>43137</v>
      </c>
    </row>
    <row r="6863" spans="1:12" x14ac:dyDescent="0.25">
      <c r="A6863">
        <v>1212631</v>
      </c>
      <c r="B6863">
        <v>1212974</v>
      </c>
      <c r="D6863">
        <v>0</v>
      </c>
      <c r="E6863" t="s">
        <v>43145</v>
      </c>
      <c r="F6863" t="s">
        <v>43146</v>
      </c>
      <c r="G6863" t="s">
        <v>43147</v>
      </c>
      <c r="H6863" t="e" vm="2984">
        <f>_FV(0,"0046691544425169085")</f>
        <v>#VALUE!</v>
      </c>
      <c r="I6863" t="s">
        <v>43148</v>
      </c>
      <c r="J6863" t="s">
        <v>2871</v>
      </c>
      <c r="K6863" t="s">
        <v>43149</v>
      </c>
      <c r="L6863" t="s">
        <v>43144</v>
      </c>
    </row>
    <row r="6864" spans="1:12" x14ac:dyDescent="0.25">
      <c r="A6864">
        <v>1212648</v>
      </c>
      <c r="B6864">
        <v>1212974</v>
      </c>
      <c r="D6864">
        <v>0</v>
      </c>
      <c r="E6864" t="s">
        <v>43151</v>
      </c>
      <c r="F6864" t="s">
        <v>43152</v>
      </c>
      <c r="G6864" t="s">
        <v>43153</v>
      </c>
      <c r="H6864" t="s">
        <v>43154</v>
      </c>
      <c r="I6864" t="s">
        <v>43155</v>
      </c>
      <c r="J6864" t="s">
        <v>43150</v>
      </c>
      <c r="K6864" t="s">
        <v>43156</v>
      </c>
      <c r="L6864" t="s">
        <v>43150</v>
      </c>
    </row>
    <row r="6865" spans="1:12" x14ac:dyDescent="0.25">
      <c r="A6865">
        <v>1212730</v>
      </c>
      <c r="B6865">
        <v>1212743</v>
      </c>
      <c r="D6865">
        <v>0</v>
      </c>
      <c r="E6865" t="s">
        <v>43158</v>
      </c>
      <c r="F6865" t="s">
        <v>43159</v>
      </c>
      <c r="G6865" t="s">
        <v>43160</v>
      </c>
      <c r="H6865" t="s">
        <v>43161</v>
      </c>
      <c r="I6865" t="s">
        <v>43162</v>
      </c>
      <c r="J6865" t="s">
        <v>43157</v>
      </c>
      <c r="K6865" t="s">
        <v>43163</v>
      </c>
      <c r="L6865" t="s">
        <v>43157</v>
      </c>
    </row>
    <row r="6866" spans="1:12" x14ac:dyDescent="0.25">
      <c r="A6866">
        <v>1212815</v>
      </c>
      <c r="B6866">
        <v>1212974</v>
      </c>
      <c r="D6866">
        <v>0</v>
      </c>
      <c r="F6866">
        <v>1301629</v>
      </c>
      <c r="G6866">
        <v>1212974</v>
      </c>
      <c r="H6866" t="s">
        <v>1687</v>
      </c>
      <c r="I6866">
        <v>1212815</v>
      </c>
      <c r="J6866" t="s">
        <v>1687</v>
      </c>
      <c r="K6866" t="s">
        <v>43164</v>
      </c>
      <c r="L6866" t="s">
        <v>1687</v>
      </c>
    </row>
    <row r="6867" spans="1:12" x14ac:dyDescent="0.25">
      <c r="A6867">
        <v>1212815</v>
      </c>
      <c r="B6867">
        <v>1218232</v>
      </c>
      <c r="D6867">
        <v>0</v>
      </c>
      <c r="E6867" t="s">
        <v>43166</v>
      </c>
      <c r="F6867" t="s">
        <v>43167</v>
      </c>
      <c r="G6867" t="s">
        <v>43168</v>
      </c>
      <c r="H6867" t="e" vm="2985">
        <f>_FV(0,"03414253718827491")</f>
        <v>#VALUE!</v>
      </c>
      <c r="I6867" t="s">
        <v>43169</v>
      </c>
      <c r="J6867" t="s">
        <v>43170</v>
      </c>
      <c r="K6867" t="s">
        <v>43171</v>
      </c>
      <c r="L6867" t="s">
        <v>43165</v>
      </c>
    </row>
    <row r="6868" spans="1:12" x14ac:dyDescent="0.25">
      <c r="A6868">
        <v>1212815</v>
      </c>
      <c r="B6868">
        <v>1212916</v>
      </c>
      <c r="D6868" t="s">
        <v>330</v>
      </c>
      <c r="E6868" t="s">
        <v>43173</v>
      </c>
      <c r="F6868" t="s">
        <v>43174</v>
      </c>
      <c r="G6868" t="s">
        <v>43175</v>
      </c>
      <c r="H6868" t="e" vm="2986">
        <f>_FV(0,"0014656226450697753")</f>
        <v>#VALUE!</v>
      </c>
      <c r="I6868" t="s">
        <v>43176</v>
      </c>
      <c r="J6868" t="s">
        <v>43177</v>
      </c>
      <c r="K6868" t="s">
        <v>43178</v>
      </c>
      <c r="L6868" t="s">
        <v>43172</v>
      </c>
    </row>
    <row r="6869" spans="1:12" x14ac:dyDescent="0.25">
      <c r="A6869">
        <v>1212815</v>
      </c>
      <c r="B6869">
        <v>1218215</v>
      </c>
      <c r="D6869">
        <v>0</v>
      </c>
      <c r="E6869" t="s">
        <v>43180</v>
      </c>
      <c r="F6869" t="s">
        <v>43181</v>
      </c>
      <c r="G6869" t="s">
        <v>43182</v>
      </c>
      <c r="H6869" t="e" vm="2987">
        <f>_FV(0,"029200207551763484")</f>
        <v>#VALUE!</v>
      </c>
      <c r="I6869" t="s">
        <v>43183</v>
      </c>
      <c r="J6869" t="s">
        <v>43184</v>
      </c>
      <c r="K6869" t="s">
        <v>43185</v>
      </c>
      <c r="L6869" t="s">
        <v>43179</v>
      </c>
    </row>
    <row r="6870" spans="1:12" x14ac:dyDescent="0.25">
      <c r="A6870">
        <v>1212916</v>
      </c>
      <c r="B6870">
        <v>1218257</v>
      </c>
      <c r="D6870">
        <v>0</v>
      </c>
      <c r="E6870" t="s">
        <v>43187</v>
      </c>
      <c r="F6870" t="s">
        <v>43188</v>
      </c>
      <c r="G6870" t="s">
        <v>43189</v>
      </c>
      <c r="H6870" t="s">
        <v>43190</v>
      </c>
      <c r="I6870" t="s">
        <v>43191</v>
      </c>
      <c r="J6870" t="s">
        <v>43192</v>
      </c>
      <c r="K6870" t="s">
        <v>43193</v>
      </c>
      <c r="L6870" t="s">
        <v>43186</v>
      </c>
    </row>
    <row r="6871" spans="1:12" x14ac:dyDescent="0.25">
      <c r="A6871">
        <v>1212916</v>
      </c>
      <c r="B6871">
        <v>1218267</v>
      </c>
      <c r="D6871">
        <v>0</v>
      </c>
      <c r="E6871" t="s">
        <v>43195</v>
      </c>
      <c r="F6871" t="s">
        <v>43196</v>
      </c>
      <c r="G6871" t="s">
        <v>43197</v>
      </c>
      <c r="H6871" t="s">
        <v>43198</v>
      </c>
      <c r="I6871" t="s">
        <v>43199</v>
      </c>
      <c r="J6871" t="s">
        <v>43194</v>
      </c>
      <c r="K6871" t="s">
        <v>43200</v>
      </c>
      <c r="L6871" t="s">
        <v>43194</v>
      </c>
    </row>
    <row r="6872" spans="1:12" x14ac:dyDescent="0.25">
      <c r="A6872">
        <v>1213372</v>
      </c>
      <c r="B6872">
        <v>1460410</v>
      </c>
      <c r="D6872">
        <v>0</v>
      </c>
      <c r="E6872" t="s">
        <v>43202</v>
      </c>
      <c r="F6872" t="s">
        <v>43203</v>
      </c>
      <c r="G6872" t="s">
        <v>43204</v>
      </c>
      <c r="H6872" t="e" vm="2988">
        <f>_FV(0,"13718977318382156")</f>
        <v>#VALUE!</v>
      </c>
      <c r="I6872" t="s">
        <v>43205</v>
      </c>
      <c r="J6872" t="s">
        <v>43206</v>
      </c>
      <c r="K6872" t="s">
        <v>43207</v>
      </c>
      <c r="L6872" t="s">
        <v>43201</v>
      </c>
    </row>
    <row r="6873" spans="1:12" x14ac:dyDescent="0.25">
      <c r="A6873">
        <v>1213863</v>
      </c>
      <c r="B6873">
        <v>1213869</v>
      </c>
      <c r="D6873">
        <v>0</v>
      </c>
      <c r="E6873" t="s">
        <v>43209</v>
      </c>
      <c r="F6873" t="s">
        <v>43210</v>
      </c>
      <c r="G6873" t="s">
        <v>43211</v>
      </c>
      <c r="H6873" t="s">
        <v>43212</v>
      </c>
      <c r="I6873" t="s">
        <v>43213</v>
      </c>
      <c r="J6873" t="s">
        <v>43214</v>
      </c>
      <c r="K6873" t="s">
        <v>43215</v>
      </c>
      <c r="L6873" t="s">
        <v>43208</v>
      </c>
    </row>
    <row r="6874" spans="1:12" x14ac:dyDescent="0.25">
      <c r="A6874">
        <v>1213863</v>
      </c>
      <c r="B6874">
        <v>1213869</v>
      </c>
      <c r="D6874">
        <v>0</v>
      </c>
      <c r="E6874" t="s">
        <v>43217</v>
      </c>
      <c r="F6874" t="s">
        <v>43218</v>
      </c>
      <c r="G6874" t="s">
        <v>43219</v>
      </c>
      <c r="H6874" t="s">
        <v>43220</v>
      </c>
      <c r="I6874" t="s">
        <v>43221</v>
      </c>
      <c r="J6874" t="s">
        <v>43222</v>
      </c>
      <c r="K6874" t="s">
        <v>43223</v>
      </c>
      <c r="L6874" t="s">
        <v>43216</v>
      </c>
    </row>
    <row r="6875" spans="1:12" x14ac:dyDescent="0.25">
      <c r="A6875">
        <v>1213871</v>
      </c>
      <c r="B6875">
        <v>936575</v>
      </c>
      <c r="D6875">
        <v>0</v>
      </c>
      <c r="E6875" t="s">
        <v>43225</v>
      </c>
      <c r="F6875" t="s">
        <v>43226</v>
      </c>
      <c r="G6875" t="s">
        <v>43227</v>
      </c>
      <c r="H6875" t="e" vm="2989">
        <f>_FV(0,"05526499308357449")</f>
        <v>#VALUE!</v>
      </c>
      <c r="I6875" t="s">
        <v>43228</v>
      </c>
      <c r="J6875" t="s">
        <v>43229</v>
      </c>
      <c r="K6875" t="s">
        <v>43230</v>
      </c>
      <c r="L6875" t="s">
        <v>43224</v>
      </c>
    </row>
    <row r="6876" spans="1:12" x14ac:dyDescent="0.25">
      <c r="A6876">
        <v>1214393</v>
      </c>
      <c r="B6876">
        <v>1214388</v>
      </c>
      <c r="D6876">
        <v>0</v>
      </c>
      <c r="F6876">
        <v>1303814</v>
      </c>
      <c r="G6876">
        <v>1214388</v>
      </c>
      <c r="H6876" t="e" vm="144">
        <f>_FV(0,"003")</f>
        <v>#VALUE!</v>
      </c>
      <c r="I6876">
        <v>1214393</v>
      </c>
      <c r="J6876" t="s">
        <v>1783</v>
      </c>
      <c r="K6876" t="s">
        <v>43231</v>
      </c>
      <c r="L6876" t="e" vm="144">
        <f>_FV(0,"003")</f>
        <v>#VALUE!</v>
      </c>
    </row>
    <row r="6877" spans="1:12" x14ac:dyDescent="0.25">
      <c r="A6877">
        <v>1215615</v>
      </c>
      <c r="B6877">
        <v>1215639</v>
      </c>
      <c r="D6877" t="s">
        <v>257</v>
      </c>
      <c r="E6877" t="s">
        <v>43233</v>
      </c>
      <c r="F6877" t="s">
        <v>43234</v>
      </c>
      <c r="G6877" t="s">
        <v>43235</v>
      </c>
      <c r="H6877" t="e" vm="2990">
        <f>_FV(0,"004024982262079842")</f>
        <v>#VALUE!</v>
      </c>
      <c r="I6877" t="s">
        <v>43236</v>
      </c>
      <c r="J6877" t="s">
        <v>43237</v>
      </c>
      <c r="K6877" t="s">
        <v>43238</v>
      </c>
      <c r="L6877" t="s">
        <v>43232</v>
      </c>
    </row>
    <row r="6878" spans="1:12" x14ac:dyDescent="0.25">
      <c r="A6878">
        <v>1215639</v>
      </c>
      <c r="B6878">
        <v>1215642</v>
      </c>
      <c r="D6878">
        <v>0</v>
      </c>
      <c r="F6878">
        <v>1305797</v>
      </c>
      <c r="G6878">
        <v>1215642</v>
      </c>
      <c r="H6878" t="e" vm="625">
        <f>_FV(0,"015")</f>
        <v>#VALUE!</v>
      </c>
      <c r="I6878">
        <v>1215639</v>
      </c>
      <c r="J6878" t="s">
        <v>6474</v>
      </c>
      <c r="K6878" t="s">
        <v>43239</v>
      </c>
      <c r="L6878" t="e" vm="625">
        <f>_FV(0,"015")</f>
        <v>#VALUE!</v>
      </c>
    </row>
    <row r="6879" spans="1:12" x14ac:dyDescent="0.25">
      <c r="A6879">
        <v>1215651</v>
      </c>
      <c r="B6879">
        <v>1215661</v>
      </c>
      <c r="D6879">
        <v>0</v>
      </c>
      <c r="E6879" t="s">
        <v>43241</v>
      </c>
      <c r="F6879" t="s">
        <v>43242</v>
      </c>
      <c r="G6879" t="s">
        <v>43243</v>
      </c>
      <c r="H6879" t="s">
        <v>43244</v>
      </c>
      <c r="I6879" t="s">
        <v>43245</v>
      </c>
      <c r="J6879" t="s">
        <v>43246</v>
      </c>
      <c r="K6879" t="s">
        <v>43247</v>
      </c>
      <c r="L6879" t="s">
        <v>43240</v>
      </c>
    </row>
    <row r="6880" spans="1:12" x14ac:dyDescent="0.25">
      <c r="A6880">
        <v>1215661</v>
      </c>
      <c r="B6880">
        <v>1215666</v>
      </c>
      <c r="D6880">
        <v>0</v>
      </c>
      <c r="F6880">
        <v>1305845</v>
      </c>
      <c r="G6880">
        <v>1215666</v>
      </c>
      <c r="H6880" t="s">
        <v>226</v>
      </c>
      <c r="I6880">
        <v>1215661</v>
      </c>
      <c r="J6880" t="s">
        <v>226</v>
      </c>
      <c r="K6880" t="s">
        <v>43248</v>
      </c>
      <c r="L6880" t="s">
        <v>226</v>
      </c>
    </row>
    <row r="6881" spans="1:12" x14ac:dyDescent="0.25">
      <c r="A6881">
        <v>1215666</v>
      </c>
      <c r="B6881">
        <v>1215671</v>
      </c>
      <c r="C6881" t="s">
        <v>43249</v>
      </c>
      <c r="D6881">
        <v>0</v>
      </c>
      <c r="F6881">
        <v>1305853</v>
      </c>
      <c r="G6881">
        <v>1215671</v>
      </c>
      <c r="H6881" t="e" vm="131">
        <f>_FV(0,"012")</f>
        <v>#VALUE!</v>
      </c>
      <c r="I6881">
        <v>1215666</v>
      </c>
      <c r="J6881" t="s">
        <v>1939</v>
      </c>
      <c r="K6881" t="s">
        <v>43250</v>
      </c>
      <c r="L6881" t="e" vm="131">
        <f>_FV(0,"012")</f>
        <v>#VALUE!</v>
      </c>
    </row>
    <row r="6882" spans="1:12" x14ac:dyDescent="0.25">
      <c r="A6882">
        <v>1215666</v>
      </c>
      <c r="B6882">
        <v>1218340</v>
      </c>
      <c r="D6882">
        <v>0</v>
      </c>
      <c r="E6882" t="s">
        <v>43252</v>
      </c>
      <c r="F6882" t="s">
        <v>43253</v>
      </c>
      <c r="G6882" t="s">
        <v>43254</v>
      </c>
      <c r="H6882" t="e" vm="2991">
        <f>_FV(0,"0014747721337846295")</f>
        <v>#VALUE!</v>
      </c>
      <c r="I6882" t="s">
        <v>43255</v>
      </c>
      <c r="J6882" t="s">
        <v>43256</v>
      </c>
      <c r="K6882" t="s">
        <v>43257</v>
      </c>
      <c r="L6882" t="s">
        <v>43251</v>
      </c>
    </row>
    <row r="6883" spans="1:12" x14ac:dyDescent="0.25">
      <c r="A6883">
        <v>1215671</v>
      </c>
      <c r="B6883">
        <v>1215677</v>
      </c>
      <c r="D6883">
        <v>0</v>
      </c>
      <c r="F6883">
        <v>1305861</v>
      </c>
      <c r="G6883">
        <v>1215677</v>
      </c>
      <c r="H6883" t="s">
        <v>467</v>
      </c>
      <c r="I6883">
        <v>1215671</v>
      </c>
      <c r="J6883" t="s">
        <v>467</v>
      </c>
      <c r="K6883" t="s">
        <v>43258</v>
      </c>
      <c r="L6883" t="s">
        <v>467</v>
      </c>
    </row>
    <row r="6884" spans="1:12" x14ac:dyDescent="0.25">
      <c r="A6884">
        <v>1215671</v>
      </c>
      <c r="B6884">
        <v>1218415</v>
      </c>
      <c r="D6884">
        <v>0</v>
      </c>
      <c r="E6884" t="s">
        <v>43260</v>
      </c>
      <c r="F6884" t="s">
        <v>43261</v>
      </c>
      <c r="G6884" t="s">
        <v>43262</v>
      </c>
      <c r="H6884" t="s">
        <v>43263</v>
      </c>
      <c r="I6884" t="s">
        <v>43264</v>
      </c>
      <c r="J6884" t="s">
        <v>43265</v>
      </c>
      <c r="K6884" t="s">
        <v>43266</v>
      </c>
      <c r="L6884" t="s">
        <v>43259</v>
      </c>
    </row>
    <row r="6885" spans="1:12" x14ac:dyDescent="0.25">
      <c r="A6885">
        <v>1215677</v>
      </c>
      <c r="B6885">
        <v>1218388</v>
      </c>
      <c r="D6885">
        <v>0</v>
      </c>
      <c r="E6885" t="s">
        <v>43268</v>
      </c>
      <c r="F6885" t="s">
        <v>43269</v>
      </c>
      <c r="G6885" t="s">
        <v>43270</v>
      </c>
      <c r="H6885" t="e" vm="2992">
        <f>_FV(0,"01995509566172791")</f>
        <v>#VALUE!</v>
      </c>
      <c r="I6885" t="s">
        <v>43271</v>
      </c>
      <c r="J6885" t="s">
        <v>43272</v>
      </c>
      <c r="K6885" t="s">
        <v>43273</v>
      </c>
      <c r="L6885" t="s">
        <v>43267</v>
      </c>
    </row>
    <row r="6886" spans="1:12" x14ac:dyDescent="0.25">
      <c r="A6886">
        <v>1218215</v>
      </c>
      <c r="B6886">
        <v>1218232</v>
      </c>
      <c r="D6886">
        <v>0</v>
      </c>
      <c r="E6886" t="s">
        <v>43275</v>
      </c>
      <c r="F6886" t="s">
        <v>43276</v>
      </c>
      <c r="G6886" t="s">
        <v>43277</v>
      </c>
      <c r="H6886" t="e" vm="2993">
        <f>_FV(0,"05174311105807907")</f>
        <v>#VALUE!</v>
      </c>
      <c r="I6886" t="s">
        <v>43278</v>
      </c>
      <c r="J6886" t="s">
        <v>43279</v>
      </c>
      <c r="K6886" t="s">
        <v>43280</v>
      </c>
      <c r="L6886" t="s">
        <v>43274</v>
      </c>
    </row>
    <row r="6887" spans="1:12" x14ac:dyDescent="0.25">
      <c r="A6887">
        <v>1218257</v>
      </c>
      <c r="B6887">
        <v>1218267</v>
      </c>
      <c r="D6887">
        <v>0</v>
      </c>
      <c r="E6887" t="s">
        <v>43282</v>
      </c>
      <c r="F6887" t="s">
        <v>43283</v>
      </c>
      <c r="G6887" t="s">
        <v>43284</v>
      </c>
      <c r="H6887" t="e" vm="2994">
        <f>_FV(0,"05396755339833576")</f>
        <v>#VALUE!</v>
      </c>
      <c r="I6887" t="s">
        <v>43285</v>
      </c>
      <c r="J6887" t="s">
        <v>9769</v>
      </c>
      <c r="K6887" t="s">
        <v>43286</v>
      </c>
      <c r="L6887" t="s">
        <v>43281</v>
      </c>
    </row>
    <row r="6888" spans="1:12" x14ac:dyDescent="0.25">
      <c r="A6888">
        <v>1218388</v>
      </c>
      <c r="B6888">
        <v>1212643</v>
      </c>
      <c r="D6888">
        <v>0</v>
      </c>
      <c r="E6888" t="s">
        <v>43288</v>
      </c>
      <c r="F6888" t="s">
        <v>43289</v>
      </c>
      <c r="G6888" t="s">
        <v>43290</v>
      </c>
      <c r="H6888" t="e" vm="2995">
        <f>_FV(0,"015846892966767154")</f>
        <v>#VALUE!</v>
      </c>
      <c r="I6888" t="s">
        <v>43291</v>
      </c>
      <c r="J6888" t="s">
        <v>43292</v>
      </c>
      <c r="K6888" t="s">
        <v>43293</v>
      </c>
      <c r="L6888" t="s">
        <v>43287</v>
      </c>
    </row>
    <row r="6889" spans="1:12" x14ac:dyDescent="0.25">
      <c r="A6889">
        <v>1218388</v>
      </c>
      <c r="B6889">
        <v>1218415</v>
      </c>
      <c r="D6889">
        <v>0</v>
      </c>
      <c r="E6889" t="s">
        <v>43295</v>
      </c>
      <c r="F6889" t="s">
        <v>43296</v>
      </c>
      <c r="G6889" t="s">
        <v>43297</v>
      </c>
      <c r="H6889" t="s">
        <v>43298</v>
      </c>
      <c r="I6889" t="s">
        <v>43299</v>
      </c>
      <c r="J6889" t="s">
        <v>43294</v>
      </c>
      <c r="K6889" t="s">
        <v>43300</v>
      </c>
      <c r="L6889" t="s">
        <v>43294</v>
      </c>
    </row>
    <row r="6890" spans="1:12" x14ac:dyDescent="0.25">
      <c r="A6890">
        <v>1212643</v>
      </c>
      <c r="B6890">
        <v>1218415</v>
      </c>
      <c r="D6890">
        <v>0</v>
      </c>
      <c r="E6890" t="s">
        <v>43302</v>
      </c>
      <c r="F6890" t="s">
        <v>43303</v>
      </c>
      <c r="G6890" t="s">
        <v>43304</v>
      </c>
      <c r="H6890" t="e" vm="2996">
        <f>_FV(0,"03144681522927918")</f>
        <v>#VALUE!</v>
      </c>
      <c r="I6890" t="s">
        <v>43305</v>
      </c>
      <c r="J6890" t="s">
        <v>43306</v>
      </c>
      <c r="K6890" t="s">
        <v>43307</v>
      </c>
      <c r="L6890" t="s">
        <v>43301</v>
      </c>
    </row>
    <row r="6891" spans="1:12" x14ac:dyDescent="0.25">
      <c r="A6891">
        <v>1218415</v>
      </c>
      <c r="B6891">
        <v>1783342</v>
      </c>
      <c r="D6891">
        <v>0</v>
      </c>
      <c r="E6891" t="s">
        <v>43309</v>
      </c>
      <c r="F6891" t="s">
        <v>43310</v>
      </c>
      <c r="G6891" t="s">
        <v>43311</v>
      </c>
      <c r="H6891" t="e" vm="2997">
        <f>_FV(0,"11695443909777553")</f>
        <v>#VALUE!</v>
      </c>
      <c r="I6891" t="s">
        <v>43312</v>
      </c>
      <c r="J6891" t="s">
        <v>43313</v>
      </c>
      <c r="K6891" t="s">
        <v>43314</v>
      </c>
      <c r="L6891" t="s">
        <v>43308</v>
      </c>
    </row>
    <row r="6892" spans="1:12" x14ac:dyDescent="0.25">
      <c r="A6892">
        <v>1218458</v>
      </c>
      <c r="B6892">
        <v>1218464</v>
      </c>
      <c r="D6892">
        <v>0</v>
      </c>
      <c r="E6892" t="s">
        <v>43316</v>
      </c>
      <c r="F6892" t="s">
        <v>43317</v>
      </c>
      <c r="G6892" t="s">
        <v>43318</v>
      </c>
      <c r="H6892" t="e" vm="2998">
        <f>_FV(0,"011723596191732901")</f>
        <v>#VALUE!</v>
      </c>
      <c r="I6892" t="s">
        <v>43319</v>
      </c>
      <c r="J6892" t="s">
        <v>43320</v>
      </c>
      <c r="K6892" t="s">
        <v>43321</v>
      </c>
      <c r="L6892" t="s">
        <v>43315</v>
      </c>
    </row>
    <row r="6893" spans="1:12" x14ac:dyDescent="0.25">
      <c r="A6893">
        <v>1218458</v>
      </c>
      <c r="B6893">
        <v>1218464</v>
      </c>
      <c r="D6893">
        <v>0</v>
      </c>
      <c r="E6893" t="s">
        <v>43323</v>
      </c>
      <c r="F6893" t="s">
        <v>43324</v>
      </c>
      <c r="G6893" t="s">
        <v>43325</v>
      </c>
      <c r="H6893" t="e" vm="2999">
        <f>_FV(0,"011945701196113928")</f>
        <v>#VALUE!</v>
      </c>
      <c r="I6893" t="s">
        <v>43326</v>
      </c>
      <c r="J6893" t="s">
        <v>43327</v>
      </c>
      <c r="K6893" t="s">
        <v>43328</v>
      </c>
      <c r="L6893" t="s">
        <v>43322</v>
      </c>
    </row>
    <row r="6894" spans="1:12" x14ac:dyDescent="0.25">
      <c r="A6894">
        <v>1218585</v>
      </c>
      <c r="B6894">
        <v>1218610</v>
      </c>
      <c r="D6894">
        <v>0</v>
      </c>
      <c r="E6894" t="s">
        <v>43330</v>
      </c>
      <c r="F6894" t="s">
        <v>43331</v>
      </c>
      <c r="G6894" t="s">
        <v>43332</v>
      </c>
      <c r="H6894" t="e" vm="3000">
        <f>_FV(0,"03353685837777225")</f>
        <v>#VALUE!</v>
      </c>
      <c r="I6894" t="s">
        <v>43333</v>
      </c>
      <c r="J6894" t="s">
        <v>43334</v>
      </c>
      <c r="K6894" t="s">
        <v>43335</v>
      </c>
      <c r="L6894" t="s">
        <v>43329</v>
      </c>
    </row>
    <row r="6895" spans="1:12" x14ac:dyDescent="0.25">
      <c r="A6895">
        <v>1218610</v>
      </c>
      <c r="B6895">
        <v>1234021</v>
      </c>
      <c r="D6895">
        <v>0</v>
      </c>
      <c r="E6895" t="s">
        <v>43337</v>
      </c>
      <c r="F6895" t="s">
        <v>43338</v>
      </c>
      <c r="G6895" t="s">
        <v>43339</v>
      </c>
      <c r="H6895" t="s">
        <v>43340</v>
      </c>
      <c r="I6895" t="s">
        <v>43341</v>
      </c>
      <c r="J6895" t="s">
        <v>43336</v>
      </c>
      <c r="K6895" t="s">
        <v>43342</v>
      </c>
      <c r="L6895" t="s">
        <v>43336</v>
      </c>
    </row>
    <row r="6896" spans="1:12" x14ac:dyDescent="0.25">
      <c r="A6896">
        <v>1218634</v>
      </c>
      <c r="B6896">
        <v>1218653</v>
      </c>
      <c r="D6896">
        <v>0</v>
      </c>
      <c r="E6896" t="s">
        <v>43344</v>
      </c>
      <c r="F6896" t="s">
        <v>43345</v>
      </c>
      <c r="G6896" t="s">
        <v>43346</v>
      </c>
      <c r="H6896" t="e" vm="3001">
        <f>_FV(0,"0701967848897984")</f>
        <v>#VALUE!</v>
      </c>
      <c r="I6896" t="s">
        <v>43347</v>
      </c>
      <c r="J6896" t="s">
        <v>43348</v>
      </c>
      <c r="K6896" t="s">
        <v>43349</v>
      </c>
      <c r="L6896" t="s">
        <v>43343</v>
      </c>
    </row>
    <row r="6897" spans="1:12" x14ac:dyDescent="0.25">
      <c r="A6897">
        <v>1218699</v>
      </c>
      <c r="B6897">
        <v>1218704</v>
      </c>
      <c r="D6897">
        <v>0</v>
      </c>
      <c r="F6897">
        <v>1310156</v>
      </c>
      <c r="G6897">
        <v>1218704</v>
      </c>
      <c r="H6897" t="s">
        <v>668</v>
      </c>
      <c r="I6897">
        <v>1218699</v>
      </c>
      <c r="J6897" t="s">
        <v>668</v>
      </c>
      <c r="K6897" t="s">
        <v>43350</v>
      </c>
      <c r="L6897" t="s">
        <v>668</v>
      </c>
    </row>
    <row r="6898" spans="1:12" x14ac:dyDescent="0.25">
      <c r="A6898">
        <v>1220236</v>
      </c>
      <c r="B6898">
        <v>1220261</v>
      </c>
      <c r="D6898">
        <v>0</v>
      </c>
      <c r="E6898" t="s">
        <v>43352</v>
      </c>
      <c r="F6898" t="s">
        <v>43353</v>
      </c>
      <c r="G6898" t="s">
        <v>43354</v>
      </c>
      <c r="H6898" t="s">
        <v>43355</v>
      </c>
      <c r="I6898" t="s">
        <v>43356</v>
      </c>
      <c r="J6898" t="s">
        <v>43357</v>
      </c>
      <c r="K6898" t="s">
        <v>43358</v>
      </c>
      <c r="L6898" t="s">
        <v>43351</v>
      </c>
    </row>
    <row r="6899" spans="1:12" x14ac:dyDescent="0.25">
      <c r="A6899">
        <v>1220236</v>
      </c>
      <c r="B6899">
        <v>1220277</v>
      </c>
      <c r="D6899">
        <v>0</v>
      </c>
      <c r="F6899">
        <v>1312203</v>
      </c>
      <c r="G6899">
        <v>1220236</v>
      </c>
      <c r="H6899" t="e" vm="3002">
        <f>_FV(0,"201")</f>
        <v>#VALUE!</v>
      </c>
      <c r="I6899">
        <v>1220277</v>
      </c>
      <c r="J6899" t="s">
        <v>43359</v>
      </c>
      <c r="K6899" t="s">
        <v>43360</v>
      </c>
      <c r="L6899" t="e" vm="3002">
        <f>_FV(0,"201")</f>
        <v>#VALUE!</v>
      </c>
    </row>
    <row r="6900" spans="1:12" x14ac:dyDescent="0.25">
      <c r="A6900">
        <v>1220236</v>
      </c>
      <c r="B6900">
        <v>1220407</v>
      </c>
      <c r="D6900">
        <v>0</v>
      </c>
      <c r="E6900" t="s">
        <v>43362</v>
      </c>
      <c r="F6900" t="s">
        <v>43363</v>
      </c>
      <c r="G6900" t="s">
        <v>43364</v>
      </c>
      <c r="H6900" t="e" vm="3003">
        <f>_FV(0,"01407678231206713")</f>
        <v>#VALUE!</v>
      </c>
      <c r="I6900" t="s">
        <v>43365</v>
      </c>
      <c r="J6900" t="s">
        <v>43366</v>
      </c>
      <c r="K6900" t="s">
        <v>43367</v>
      </c>
      <c r="L6900" t="s">
        <v>43361</v>
      </c>
    </row>
    <row r="6901" spans="1:12" x14ac:dyDescent="0.25">
      <c r="A6901">
        <v>1220261</v>
      </c>
      <c r="B6901">
        <v>1220273</v>
      </c>
      <c r="D6901">
        <v>0</v>
      </c>
      <c r="E6901" t="s">
        <v>43369</v>
      </c>
      <c r="F6901" t="s">
        <v>43370</v>
      </c>
      <c r="G6901" t="s">
        <v>43371</v>
      </c>
      <c r="H6901" t="s">
        <v>43372</v>
      </c>
      <c r="I6901" t="s">
        <v>43373</v>
      </c>
      <c r="J6901" t="s">
        <v>43368</v>
      </c>
      <c r="K6901" t="s">
        <v>43374</v>
      </c>
      <c r="L6901" t="s">
        <v>43368</v>
      </c>
    </row>
    <row r="6902" spans="1:12" x14ac:dyDescent="0.25">
      <c r="A6902">
        <v>1220261</v>
      </c>
      <c r="B6902">
        <v>1220289</v>
      </c>
      <c r="D6902">
        <v>0</v>
      </c>
      <c r="E6902" t="s">
        <v>43376</v>
      </c>
      <c r="F6902" t="s">
        <v>43377</v>
      </c>
      <c r="G6902" t="s">
        <v>43378</v>
      </c>
      <c r="H6902" t="e" vm="3004">
        <f>_FV(0,"023235998043632328")</f>
        <v>#VALUE!</v>
      </c>
      <c r="I6902" t="s">
        <v>43379</v>
      </c>
      <c r="J6902" t="s">
        <v>43380</v>
      </c>
      <c r="K6902" t="s">
        <v>43381</v>
      </c>
      <c r="L6902" t="s">
        <v>43375</v>
      </c>
    </row>
    <row r="6903" spans="1:12" x14ac:dyDescent="0.25">
      <c r="A6903">
        <v>1220273</v>
      </c>
      <c r="B6903">
        <v>1220277</v>
      </c>
      <c r="D6903">
        <v>0</v>
      </c>
      <c r="F6903">
        <v>1312195</v>
      </c>
      <c r="G6903">
        <v>1220277</v>
      </c>
      <c r="H6903" t="e" vm="412">
        <f>_FV(0,"046")</f>
        <v>#VALUE!</v>
      </c>
      <c r="I6903">
        <v>1220273</v>
      </c>
      <c r="J6903" t="s">
        <v>5837</v>
      </c>
      <c r="K6903" t="s">
        <v>43382</v>
      </c>
      <c r="L6903" t="e" vm="412">
        <f>_FV(0,"046")</f>
        <v>#VALUE!</v>
      </c>
    </row>
    <row r="6904" spans="1:12" x14ac:dyDescent="0.25">
      <c r="A6904">
        <v>1220273</v>
      </c>
      <c r="B6904">
        <v>1220328</v>
      </c>
      <c r="D6904">
        <v>0</v>
      </c>
      <c r="E6904" t="s">
        <v>43384</v>
      </c>
      <c r="F6904" t="s">
        <v>43385</v>
      </c>
      <c r="G6904" t="s">
        <v>43386</v>
      </c>
      <c r="H6904" t="e" vm="3005">
        <f>_FV(0,"02003292105283248")</f>
        <v>#VALUE!</v>
      </c>
      <c r="I6904" t="s">
        <v>43387</v>
      </c>
      <c r="J6904" t="s">
        <v>43388</v>
      </c>
      <c r="K6904" t="s">
        <v>43389</v>
      </c>
      <c r="L6904" t="s">
        <v>43383</v>
      </c>
    </row>
    <row r="6905" spans="1:12" x14ac:dyDescent="0.25">
      <c r="A6905">
        <v>1220277</v>
      </c>
      <c r="B6905">
        <v>1605828</v>
      </c>
      <c r="D6905">
        <v>0</v>
      </c>
      <c r="E6905" t="s">
        <v>43391</v>
      </c>
      <c r="F6905" t="s">
        <v>43392</v>
      </c>
      <c r="G6905" t="s">
        <v>43393</v>
      </c>
      <c r="H6905" t="s">
        <v>43394</v>
      </c>
      <c r="I6905" t="s">
        <v>43395</v>
      </c>
      <c r="J6905" t="s">
        <v>43396</v>
      </c>
      <c r="K6905" t="s">
        <v>43397</v>
      </c>
      <c r="L6905" t="s">
        <v>43390</v>
      </c>
    </row>
    <row r="6906" spans="1:12" x14ac:dyDescent="0.25">
      <c r="A6906">
        <v>1220289</v>
      </c>
      <c r="B6906">
        <v>1220290</v>
      </c>
      <c r="D6906">
        <v>0</v>
      </c>
      <c r="F6906">
        <v>1312211</v>
      </c>
      <c r="G6906">
        <v>1220290</v>
      </c>
      <c r="H6906" t="e" vm="3006">
        <f>_FV(0,"109")</f>
        <v>#VALUE!</v>
      </c>
      <c r="I6906">
        <v>1220289</v>
      </c>
      <c r="J6906" t="s">
        <v>43398</v>
      </c>
      <c r="K6906" t="s">
        <v>43399</v>
      </c>
      <c r="L6906" t="e" vm="3006">
        <f>_FV(0,"109")</f>
        <v>#VALUE!</v>
      </c>
    </row>
    <row r="6907" spans="1:12" x14ac:dyDescent="0.25">
      <c r="A6907">
        <v>1220289</v>
      </c>
      <c r="B6907">
        <v>1220328</v>
      </c>
      <c r="D6907">
        <v>0</v>
      </c>
      <c r="E6907" t="s">
        <v>43401</v>
      </c>
      <c r="F6907" t="s">
        <v>43402</v>
      </c>
      <c r="G6907" t="s">
        <v>43403</v>
      </c>
      <c r="H6907" t="e" vm="3007">
        <f>_FV(0,"2289372692848237")</f>
        <v>#VALUE!</v>
      </c>
      <c r="I6907" t="s">
        <v>43404</v>
      </c>
      <c r="J6907" t="s">
        <v>43405</v>
      </c>
      <c r="K6907" t="s">
        <v>43406</v>
      </c>
      <c r="L6907" t="s">
        <v>43400</v>
      </c>
    </row>
    <row r="6908" spans="1:12" x14ac:dyDescent="0.25">
      <c r="A6908">
        <v>1220290</v>
      </c>
      <c r="B6908">
        <v>1220300</v>
      </c>
      <c r="D6908">
        <v>0</v>
      </c>
      <c r="E6908" t="s">
        <v>43408</v>
      </c>
      <c r="F6908" t="s">
        <v>43409</v>
      </c>
      <c r="G6908" t="s">
        <v>43410</v>
      </c>
      <c r="H6908" t="s">
        <v>43411</v>
      </c>
      <c r="I6908" t="s">
        <v>43412</v>
      </c>
      <c r="J6908" t="s">
        <v>43407</v>
      </c>
      <c r="K6908" t="s">
        <v>43413</v>
      </c>
      <c r="L6908" t="s">
        <v>43407</v>
      </c>
    </row>
    <row r="6909" spans="1:12" x14ac:dyDescent="0.25">
      <c r="A6909">
        <v>1220290</v>
      </c>
      <c r="B6909">
        <v>1220342</v>
      </c>
      <c r="D6909" t="s">
        <v>15313</v>
      </c>
      <c r="E6909" t="s">
        <v>43415</v>
      </c>
      <c r="F6909" t="s">
        <v>43416</v>
      </c>
      <c r="G6909" t="s">
        <v>43417</v>
      </c>
      <c r="H6909" t="e" vm="3008">
        <f>_FV(0,"008870849055560388")</f>
        <v>#VALUE!</v>
      </c>
      <c r="I6909" t="s">
        <v>43418</v>
      </c>
      <c r="J6909" t="s">
        <v>43419</v>
      </c>
      <c r="K6909" t="s">
        <v>43420</v>
      </c>
      <c r="L6909" t="s">
        <v>43414</v>
      </c>
    </row>
    <row r="6910" spans="1:12" x14ac:dyDescent="0.25">
      <c r="A6910">
        <v>1220300</v>
      </c>
      <c r="B6910">
        <v>1220328</v>
      </c>
      <c r="D6910">
        <v>0</v>
      </c>
      <c r="E6910" t="s">
        <v>43422</v>
      </c>
      <c r="F6910" t="s">
        <v>43423</v>
      </c>
      <c r="G6910" t="s">
        <v>43424</v>
      </c>
      <c r="H6910" t="s">
        <v>43425</v>
      </c>
      <c r="I6910" t="s">
        <v>43426</v>
      </c>
      <c r="J6910" t="s">
        <v>43421</v>
      </c>
      <c r="K6910" t="s">
        <v>43427</v>
      </c>
      <c r="L6910" t="s">
        <v>43421</v>
      </c>
    </row>
    <row r="6911" spans="1:12" x14ac:dyDescent="0.25">
      <c r="A6911">
        <v>1220300</v>
      </c>
      <c r="B6911">
        <v>1220377</v>
      </c>
      <c r="D6911" t="s">
        <v>15313</v>
      </c>
      <c r="E6911" t="s">
        <v>43429</v>
      </c>
      <c r="F6911" t="s">
        <v>43430</v>
      </c>
      <c r="G6911" t="s">
        <v>43431</v>
      </c>
      <c r="H6911" t="e" vm="3009">
        <f>_FV(0,"010654208280558892")</f>
        <v>#VALUE!</v>
      </c>
      <c r="I6911" t="s">
        <v>43432</v>
      </c>
      <c r="J6911" t="s">
        <v>43433</v>
      </c>
      <c r="K6911" t="s">
        <v>43434</v>
      </c>
      <c r="L6911" t="s">
        <v>43428</v>
      </c>
    </row>
    <row r="6912" spans="1:12" x14ac:dyDescent="0.25">
      <c r="A6912">
        <v>1220312</v>
      </c>
      <c r="B6912">
        <v>1220319</v>
      </c>
      <c r="D6912">
        <v>0</v>
      </c>
      <c r="E6912" t="s">
        <v>43436</v>
      </c>
      <c r="F6912" t="s">
        <v>43437</v>
      </c>
      <c r="G6912" t="s">
        <v>43438</v>
      </c>
      <c r="H6912" t="s">
        <v>43439</v>
      </c>
      <c r="I6912" t="s">
        <v>43440</v>
      </c>
      <c r="J6912" t="s">
        <v>43441</v>
      </c>
      <c r="K6912" t="s">
        <v>43442</v>
      </c>
      <c r="L6912" t="s">
        <v>43435</v>
      </c>
    </row>
    <row r="6913" spans="1:12" x14ac:dyDescent="0.25">
      <c r="A6913">
        <v>1220312</v>
      </c>
      <c r="B6913">
        <v>1220319</v>
      </c>
      <c r="D6913">
        <v>0</v>
      </c>
      <c r="E6913" t="s">
        <v>43444</v>
      </c>
      <c r="F6913" t="s">
        <v>43445</v>
      </c>
      <c r="G6913" t="s">
        <v>43446</v>
      </c>
      <c r="H6913" t="s">
        <v>43447</v>
      </c>
      <c r="I6913" t="s">
        <v>43448</v>
      </c>
      <c r="J6913" t="s">
        <v>43449</v>
      </c>
      <c r="K6913" t="s">
        <v>43450</v>
      </c>
      <c r="L6913" t="s">
        <v>43443</v>
      </c>
    </row>
    <row r="6914" spans="1:12" x14ac:dyDescent="0.25">
      <c r="A6914">
        <v>1220312</v>
      </c>
      <c r="B6914">
        <v>1552676</v>
      </c>
      <c r="C6914" t="s">
        <v>43452</v>
      </c>
      <c r="D6914">
        <v>0</v>
      </c>
      <c r="E6914" t="s">
        <v>43453</v>
      </c>
      <c r="F6914" t="s">
        <v>43454</v>
      </c>
      <c r="G6914" t="s">
        <v>43455</v>
      </c>
      <c r="H6914" t="e" vm="3010">
        <f>_FV(0,"009043898725014113")</f>
        <v>#VALUE!</v>
      </c>
      <c r="I6914" t="s">
        <v>43456</v>
      </c>
      <c r="J6914" t="s">
        <v>43457</v>
      </c>
      <c r="K6914" t="s">
        <v>43458</v>
      </c>
      <c r="L6914" t="s">
        <v>43451</v>
      </c>
    </row>
    <row r="6915" spans="1:12" x14ac:dyDescent="0.25">
      <c r="A6915">
        <v>1220342</v>
      </c>
      <c r="B6915">
        <v>1220361</v>
      </c>
      <c r="D6915">
        <v>0</v>
      </c>
      <c r="E6915" t="s">
        <v>43460</v>
      </c>
      <c r="F6915" t="s">
        <v>43461</v>
      </c>
      <c r="G6915" t="s">
        <v>43462</v>
      </c>
      <c r="H6915" t="s">
        <v>43463</v>
      </c>
      <c r="I6915" t="s">
        <v>43464</v>
      </c>
      <c r="J6915" t="s">
        <v>43465</v>
      </c>
      <c r="K6915" t="s">
        <v>43466</v>
      </c>
      <c r="L6915" t="s">
        <v>43459</v>
      </c>
    </row>
    <row r="6916" spans="1:12" x14ac:dyDescent="0.25">
      <c r="A6916">
        <v>1220342</v>
      </c>
      <c r="B6916">
        <v>1220377</v>
      </c>
      <c r="D6916">
        <v>0</v>
      </c>
      <c r="E6916" t="s">
        <v>43468</v>
      </c>
      <c r="F6916" t="s">
        <v>43469</v>
      </c>
      <c r="G6916" t="s">
        <v>43470</v>
      </c>
      <c r="H6916" t="e" vm="3011">
        <f>_FV(0,"1382753948786289")</f>
        <v>#VALUE!</v>
      </c>
      <c r="I6916" t="s">
        <v>43471</v>
      </c>
      <c r="J6916" t="s">
        <v>43472</v>
      </c>
      <c r="K6916" t="s">
        <v>43473</v>
      </c>
      <c r="L6916" t="s">
        <v>43467</v>
      </c>
    </row>
    <row r="6917" spans="1:12" x14ac:dyDescent="0.25">
      <c r="A6917">
        <v>1220361</v>
      </c>
      <c r="B6917">
        <v>1220369</v>
      </c>
      <c r="D6917">
        <v>0</v>
      </c>
      <c r="E6917" t="s">
        <v>43475</v>
      </c>
      <c r="F6917" t="s">
        <v>43476</v>
      </c>
      <c r="G6917" t="s">
        <v>43477</v>
      </c>
      <c r="H6917" t="s">
        <v>43478</v>
      </c>
      <c r="I6917" t="s">
        <v>43479</v>
      </c>
      <c r="J6917" t="s">
        <v>43474</v>
      </c>
      <c r="K6917" t="s">
        <v>43480</v>
      </c>
      <c r="L6917" t="s">
        <v>43474</v>
      </c>
    </row>
    <row r="6918" spans="1:12" x14ac:dyDescent="0.25">
      <c r="A6918">
        <v>1220361</v>
      </c>
      <c r="B6918">
        <v>1220450</v>
      </c>
      <c r="D6918">
        <v>0</v>
      </c>
      <c r="E6918" t="s">
        <v>43482</v>
      </c>
      <c r="F6918" t="s">
        <v>43483</v>
      </c>
      <c r="G6918" t="s">
        <v>43484</v>
      </c>
      <c r="H6918" t="s">
        <v>43485</v>
      </c>
      <c r="I6918" t="s">
        <v>43486</v>
      </c>
      <c r="J6918" t="s">
        <v>43487</v>
      </c>
      <c r="K6918" t="s">
        <v>43488</v>
      </c>
      <c r="L6918" t="s">
        <v>43481</v>
      </c>
    </row>
    <row r="6919" spans="1:12" x14ac:dyDescent="0.25">
      <c r="A6919">
        <v>1220369</v>
      </c>
      <c r="B6919">
        <v>1220377</v>
      </c>
      <c r="D6919">
        <v>0</v>
      </c>
      <c r="F6919">
        <v>1312331</v>
      </c>
      <c r="G6919">
        <v>1220377</v>
      </c>
      <c r="H6919" t="e" vm="109">
        <f>_FV(0,"01")</f>
        <v>#VALUE!</v>
      </c>
      <c r="I6919">
        <v>1220369</v>
      </c>
      <c r="J6919" t="s">
        <v>761</v>
      </c>
      <c r="K6919" t="s">
        <v>43489</v>
      </c>
      <c r="L6919" t="e" vm="109">
        <f>_FV(0,"01")</f>
        <v>#VALUE!</v>
      </c>
    </row>
    <row r="6920" spans="1:12" x14ac:dyDescent="0.25">
      <c r="A6920">
        <v>1220369</v>
      </c>
      <c r="B6920">
        <v>1616408</v>
      </c>
      <c r="D6920">
        <v>0</v>
      </c>
      <c r="E6920" t="s">
        <v>43491</v>
      </c>
      <c r="F6920" t="s">
        <v>43492</v>
      </c>
      <c r="G6920" t="s">
        <v>43493</v>
      </c>
      <c r="H6920" t="s">
        <v>43494</v>
      </c>
      <c r="I6920" t="s">
        <v>43495</v>
      </c>
      <c r="J6920" t="s">
        <v>43490</v>
      </c>
      <c r="K6920" t="s">
        <v>43496</v>
      </c>
      <c r="L6920" t="s">
        <v>43490</v>
      </c>
    </row>
    <row r="6921" spans="1:12" x14ac:dyDescent="0.25">
      <c r="A6921">
        <v>1220407</v>
      </c>
      <c r="B6921">
        <v>1614227</v>
      </c>
      <c r="D6921">
        <v>0</v>
      </c>
      <c r="E6921" t="s">
        <v>43498</v>
      </c>
      <c r="F6921" t="s">
        <v>43499</v>
      </c>
      <c r="G6921" t="s">
        <v>43500</v>
      </c>
      <c r="H6921" t="s">
        <v>43501</v>
      </c>
      <c r="I6921" t="s">
        <v>43502</v>
      </c>
      <c r="J6921" t="s">
        <v>43503</v>
      </c>
      <c r="K6921" t="s">
        <v>43504</v>
      </c>
      <c r="L6921" t="s">
        <v>43497</v>
      </c>
    </row>
    <row r="6922" spans="1:12" x14ac:dyDescent="0.25">
      <c r="A6922">
        <v>1220407</v>
      </c>
      <c r="B6922">
        <v>1605767</v>
      </c>
      <c r="D6922">
        <v>0</v>
      </c>
      <c r="E6922" t="s">
        <v>43506</v>
      </c>
      <c r="F6922" t="s">
        <v>43507</v>
      </c>
      <c r="G6922" t="s">
        <v>43508</v>
      </c>
      <c r="H6922" t="e" vm="3012">
        <f>_FV(0,"03171147908425838")</f>
        <v>#VALUE!</v>
      </c>
      <c r="I6922" t="s">
        <v>43509</v>
      </c>
      <c r="J6922" t="s">
        <v>43510</v>
      </c>
      <c r="K6922" t="s">
        <v>43511</v>
      </c>
      <c r="L6922" t="s">
        <v>43505</v>
      </c>
    </row>
    <row r="6923" spans="1:12" x14ac:dyDescent="0.25">
      <c r="A6923">
        <v>1220450</v>
      </c>
      <c r="B6923">
        <v>1220451</v>
      </c>
      <c r="D6923">
        <v>0</v>
      </c>
      <c r="F6923">
        <v>1312427</v>
      </c>
      <c r="G6923">
        <v>1220451</v>
      </c>
      <c r="H6923" t="s">
        <v>467</v>
      </c>
      <c r="I6923">
        <v>1220450</v>
      </c>
      <c r="J6923" t="s">
        <v>467</v>
      </c>
      <c r="K6923" t="s">
        <v>43512</v>
      </c>
      <c r="L6923" t="s">
        <v>467</v>
      </c>
    </row>
    <row r="6924" spans="1:12" x14ac:dyDescent="0.25">
      <c r="A6924">
        <v>1220450</v>
      </c>
      <c r="B6924">
        <v>1220492</v>
      </c>
      <c r="D6924">
        <v>0</v>
      </c>
      <c r="E6924" t="s">
        <v>43514</v>
      </c>
      <c r="F6924" t="s">
        <v>43515</v>
      </c>
      <c r="G6924" t="s">
        <v>43516</v>
      </c>
      <c r="H6924" t="s">
        <v>43517</v>
      </c>
      <c r="I6924" t="s">
        <v>43518</v>
      </c>
      <c r="J6924" t="s">
        <v>43513</v>
      </c>
      <c r="K6924" t="s">
        <v>43519</v>
      </c>
      <c r="L6924" t="s">
        <v>43513</v>
      </c>
    </row>
    <row r="6925" spans="1:12" x14ac:dyDescent="0.25">
      <c r="A6925">
        <v>1220451</v>
      </c>
      <c r="B6925">
        <v>1220464</v>
      </c>
      <c r="D6925">
        <v>0</v>
      </c>
      <c r="E6925" t="s">
        <v>43521</v>
      </c>
      <c r="F6925" t="s">
        <v>43522</v>
      </c>
      <c r="G6925" t="s">
        <v>43523</v>
      </c>
      <c r="H6925" t="e" vm="3013">
        <f>_FV(0,"23660455380823525")</f>
        <v>#VALUE!</v>
      </c>
      <c r="I6925" t="s">
        <v>43524</v>
      </c>
      <c r="J6925" t="s">
        <v>43525</v>
      </c>
      <c r="K6925" t="s">
        <v>43526</v>
      </c>
      <c r="L6925" t="s">
        <v>43520</v>
      </c>
    </row>
    <row r="6926" spans="1:12" x14ac:dyDescent="0.25">
      <c r="A6926">
        <v>1220451</v>
      </c>
      <c r="B6926">
        <v>1616251</v>
      </c>
      <c r="D6926">
        <v>0</v>
      </c>
      <c r="E6926" t="s">
        <v>43528</v>
      </c>
      <c r="F6926" t="s">
        <v>43529</v>
      </c>
      <c r="G6926" t="s">
        <v>43530</v>
      </c>
      <c r="H6926" t="s">
        <v>43531</v>
      </c>
      <c r="I6926" t="s">
        <v>43532</v>
      </c>
      <c r="J6926" t="s">
        <v>43533</v>
      </c>
      <c r="K6926" t="s">
        <v>43534</v>
      </c>
      <c r="L6926" t="s">
        <v>43527</v>
      </c>
    </row>
    <row r="6927" spans="1:12" x14ac:dyDescent="0.25">
      <c r="A6927">
        <v>1220464</v>
      </c>
      <c r="B6927">
        <v>1220492</v>
      </c>
      <c r="D6927">
        <v>0</v>
      </c>
      <c r="E6927" t="s">
        <v>43536</v>
      </c>
      <c r="F6927" t="s">
        <v>43537</v>
      </c>
      <c r="G6927" t="s">
        <v>43538</v>
      </c>
      <c r="H6927" t="e" vm="3014">
        <f>_FV(0,"02493268525330246")</f>
        <v>#VALUE!</v>
      </c>
      <c r="I6927" t="s">
        <v>43539</v>
      </c>
      <c r="J6927" t="s">
        <v>43540</v>
      </c>
      <c r="K6927" t="s">
        <v>43541</v>
      </c>
      <c r="L6927" t="s">
        <v>43535</v>
      </c>
    </row>
    <row r="6928" spans="1:12" x14ac:dyDescent="0.25">
      <c r="A6928">
        <v>1220464</v>
      </c>
      <c r="B6928">
        <v>1616121</v>
      </c>
      <c r="D6928" t="s">
        <v>38812</v>
      </c>
      <c r="E6928" t="s">
        <v>43543</v>
      </c>
      <c r="F6928" t="s">
        <v>43544</v>
      </c>
      <c r="G6928" t="s">
        <v>43545</v>
      </c>
      <c r="H6928" t="s">
        <v>43546</v>
      </c>
      <c r="I6928" t="s">
        <v>43547</v>
      </c>
      <c r="J6928" t="s">
        <v>43548</v>
      </c>
      <c r="K6928" t="s">
        <v>43549</v>
      </c>
      <c r="L6928" t="s">
        <v>43542</v>
      </c>
    </row>
    <row r="6929" spans="1:12" x14ac:dyDescent="0.25">
      <c r="A6929">
        <v>1220492</v>
      </c>
      <c r="B6929">
        <v>1616391</v>
      </c>
      <c r="D6929">
        <v>0</v>
      </c>
      <c r="E6929" t="s">
        <v>43551</v>
      </c>
      <c r="F6929" t="s">
        <v>43552</v>
      </c>
      <c r="G6929" t="s">
        <v>43553</v>
      </c>
      <c r="H6929" t="e" vm="3015">
        <f>_FV(0,"01632730609759098")</f>
        <v>#VALUE!</v>
      </c>
      <c r="I6929" t="s">
        <v>43554</v>
      </c>
      <c r="J6929" t="s">
        <v>43555</v>
      </c>
      <c r="K6929" t="s">
        <v>43556</v>
      </c>
      <c r="L6929" t="s">
        <v>43550</v>
      </c>
    </row>
    <row r="6930" spans="1:12" x14ac:dyDescent="0.25">
      <c r="A6930">
        <v>1221654</v>
      </c>
      <c r="B6930">
        <v>1767627</v>
      </c>
      <c r="D6930">
        <v>0</v>
      </c>
      <c r="E6930" t="s">
        <v>43558</v>
      </c>
      <c r="F6930" t="s">
        <v>43559</v>
      </c>
      <c r="G6930" t="s">
        <v>43560</v>
      </c>
      <c r="H6930" t="s">
        <v>43561</v>
      </c>
      <c r="I6930" t="s">
        <v>43562</v>
      </c>
      <c r="J6930" t="s">
        <v>43557</v>
      </c>
      <c r="K6930" t="s">
        <v>43563</v>
      </c>
      <c r="L6930" t="s">
        <v>43557</v>
      </c>
    </row>
    <row r="6931" spans="1:12" x14ac:dyDescent="0.25">
      <c r="A6931">
        <v>1225626</v>
      </c>
      <c r="B6931">
        <v>1225629</v>
      </c>
      <c r="D6931">
        <v>0</v>
      </c>
      <c r="E6931" t="s">
        <v>43565</v>
      </c>
      <c r="F6931" t="s">
        <v>43566</v>
      </c>
      <c r="G6931" t="s">
        <v>43567</v>
      </c>
      <c r="H6931" t="e" vm="3016">
        <f>_FV(0,"043965934530983276")</f>
        <v>#VALUE!</v>
      </c>
      <c r="I6931" t="s">
        <v>43568</v>
      </c>
      <c r="J6931" t="s">
        <v>43569</v>
      </c>
      <c r="K6931" t="s">
        <v>43570</v>
      </c>
      <c r="L6931" t="s">
        <v>43564</v>
      </c>
    </row>
    <row r="6932" spans="1:12" x14ac:dyDescent="0.25">
      <c r="A6932">
        <v>1225626</v>
      </c>
      <c r="B6932">
        <v>1801659</v>
      </c>
      <c r="C6932" t="s">
        <v>43572</v>
      </c>
      <c r="D6932">
        <v>0</v>
      </c>
      <c r="E6932" t="s">
        <v>43573</v>
      </c>
      <c r="F6932" t="s">
        <v>43574</v>
      </c>
      <c r="G6932" t="s">
        <v>43575</v>
      </c>
      <c r="H6932" t="e" vm="3017">
        <f>_FV(0,"0029886508757672593")</f>
        <v>#VALUE!</v>
      </c>
      <c r="I6932" t="s">
        <v>43576</v>
      </c>
      <c r="J6932" t="s">
        <v>43577</v>
      </c>
      <c r="K6932" t="s">
        <v>43578</v>
      </c>
      <c r="L6932" t="s">
        <v>43571</v>
      </c>
    </row>
    <row r="6933" spans="1:12" x14ac:dyDescent="0.25">
      <c r="A6933">
        <v>1226405</v>
      </c>
      <c r="B6933">
        <v>1226474</v>
      </c>
      <c r="D6933">
        <v>0</v>
      </c>
      <c r="E6933" t="s">
        <v>43579</v>
      </c>
      <c r="F6933" t="s">
        <v>43580</v>
      </c>
      <c r="G6933" t="s">
        <v>43581</v>
      </c>
      <c r="H6933" t="e" vm="3018">
        <f>_FV(0,"042596902665701195")</f>
        <v>#VALUE!</v>
      </c>
      <c r="I6933" t="s">
        <v>43582</v>
      </c>
      <c r="J6933" t="s">
        <v>9745</v>
      </c>
      <c r="K6933" t="s">
        <v>43583</v>
      </c>
      <c r="L6933" t="s">
        <v>9740</v>
      </c>
    </row>
    <row r="6934" spans="1:12" x14ac:dyDescent="0.25">
      <c r="A6934">
        <v>1226405</v>
      </c>
      <c r="B6934">
        <v>1226534</v>
      </c>
      <c r="D6934">
        <v>0</v>
      </c>
      <c r="E6934" t="s">
        <v>43585</v>
      </c>
      <c r="F6934" t="s">
        <v>43586</v>
      </c>
      <c r="G6934" t="s">
        <v>43587</v>
      </c>
      <c r="H6934" t="s">
        <v>43588</v>
      </c>
      <c r="I6934" t="s">
        <v>43589</v>
      </c>
      <c r="J6934" t="s">
        <v>43590</v>
      </c>
      <c r="K6934" t="s">
        <v>43591</v>
      </c>
      <c r="L6934" t="s">
        <v>43584</v>
      </c>
    </row>
    <row r="6935" spans="1:12" x14ac:dyDescent="0.25">
      <c r="A6935">
        <v>1229505</v>
      </c>
      <c r="B6935">
        <v>1229525</v>
      </c>
      <c r="D6935">
        <v>0</v>
      </c>
      <c r="E6935" t="s">
        <v>43593</v>
      </c>
      <c r="F6935" t="s">
        <v>43594</v>
      </c>
      <c r="G6935" t="s">
        <v>43595</v>
      </c>
      <c r="H6935" t="s">
        <v>43596</v>
      </c>
      <c r="I6935" t="s">
        <v>43597</v>
      </c>
      <c r="J6935" t="s">
        <v>43592</v>
      </c>
      <c r="K6935" t="s">
        <v>43598</v>
      </c>
      <c r="L6935" t="s">
        <v>43592</v>
      </c>
    </row>
    <row r="6936" spans="1:12" x14ac:dyDescent="0.25">
      <c r="A6936">
        <v>1229525</v>
      </c>
      <c r="B6936">
        <v>1229532</v>
      </c>
      <c r="D6936">
        <v>0</v>
      </c>
      <c r="F6936">
        <v>1322905</v>
      </c>
      <c r="G6936">
        <v>1229532</v>
      </c>
      <c r="H6936" t="e" vm="201">
        <f>_FV(0,"002")</f>
        <v>#VALUE!</v>
      </c>
      <c r="I6936">
        <v>1229525</v>
      </c>
      <c r="J6936" t="s">
        <v>1534</v>
      </c>
      <c r="K6936" t="s">
        <v>43599</v>
      </c>
      <c r="L6936" t="e" vm="201">
        <f>_FV(0,"002")</f>
        <v>#VALUE!</v>
      </c>
    </row>
    <row r="6937" spans="1:12" x14ac:dyDescent="0.25">
      <c r="A6937">
        <v>1229568</v>
      </c>
      <c r="B6937">
        <v>1229574</v>
      </c>
      <c r="D6937">
        <v>0</v>
      </c>
      <c r="F6937">
        <v>1322945</v>
      </c>
      <c r="G6937">
        <v>1229574</v>
      </c>
      <c r="H6937" t="e" vm="219">
        <f>_FV(0,"026")</f>
        <v>#VALUE!</v>
      </c>
      <c r="I6937">
        <v>1229568</v>
      </c>
      <c r="J6937" t="s">
        <v>2841</v>
      </c>
      <c r="K6937" t="s">
        <v>43600</v>
      </c>
      <c r="L6937" t="e" vm="219">
        <f>_FV(0,"026")</f>
        <v>#VALUE!</v>
      </c>
    </row>
    <row r="6938" spans="1:12" x14ac:dyDescent="0.25">
      <c r="A6938">
        <v>1229568</v>
      </c>
      <c r="B6938">
        <v>1229873</v>
      </c>
      <c r="D6938" t="s">
        <v>43602</v>
      </c>
      <c r="E6938" t="s">
        <v>43603</v>
      </c>
      <c r="F6938" t="s">
        <v>43604</v>
      </c>
      <c r="G6938" t="s">
        <v>43605</v>
      </c>
      <c r="H6938" t="e" vm="3019">
        <f>_FV(0,"007771740573360238")</f>
        <v>#VALUE!</v>
      </c>
      <c r="I6938" t="s">
        <v>43606</v>
      </c>
      <c r="J6938" t="s">
        <v>43607</v>
      </c>
      <c r="K6938" t="s">
        <v>43608</v>
      </c>
      <c r="L6938" t="s">
        <v>43601</v>
      </c>
    </row>
    <row r="6939" spans="1:12" x14ac:dyDescent="0.25">
      <c r="A6939">
        <v>1229627</v>
      </c>
      <c r="B6939">
        <v>1229633</v>
      </c>
      <c r="D6939">
        <v>0</v>
      </c>
      <c r="F6939">
        <v>1323017</v>
      </c>
      <c r="G6939">
        <v>1229633</v>
      </c>
      <c r="H6939" t="e" vm="263">
        <f>_FV(0,"024")</f>
        <v>#VALUE!</v>
      </c>
      <c r="I6939">
        <v>1229627</v>
      </c>
      <c r="J6939" t="s">
        <v>2916</v>
      </c>
      <c r="K6939" t="s">
        <v>43609</v>
      </c>
      <c r="L6939" t="e" vm="263">
        <f>_FV(0,"024")</f>
        <v>#VALUE!</v>
      </c>
    </row>
    <row r="6940" spans="1:12" x14ac:dyDescent="0.25">
      <c r="A6940">
        <v>1229693</v>
      </c>
      <c r="B6940">
        <v>1229706</v>
      </c>
      <c r="D6940">
        <v>0</v>
      </c>
      <c r="E6940" t="s">
        <v>43611</v>
      </c>
      <c r="F6940" t="s">
        <v>43612</v>
      </c>
      <c r="G6940" t="s">
        <v>43613</v>
      </c>
      <c r="H6940" t="s">
        <v>43614</v>
      </c>
      <c r="I6940" t="s">
        <v>43615</v>
      </c>
      <c r="J6940" t="s">
        <v>43616</v>
      </c>
      <c r="K6940" t="s">
        <v>43617</v>
      </c>
      <c r="L6940" t="s">
        <v>43610</v>
      </c>
    </row>
    <row r="6941" spans="1:12" x14ac:dyDescent="0.25">
      <c r="A6941">
        <v>1229706</v>
      </c>
      <c r="B6941">
        <v>1229711</v>
      </c>
      <c r="D6941">
        <v>0</v>
      </c>
      <c r="F6941">
        <v>1323113</v>
      </c>
      <c r="G6941">
        <v>1229711</v>
      </c>
      <c r="H6941" t="e" vm="201">
        <f>_FV(0,"002")</f>
        <v>#VALUE!</v>
      </c>
      <c r="I6941">
        <v>1229706</v>
      </c>
      <c r="J6941" t="s">
        <v>1534</v>
      </c>
      <c r="K6941" t="s">
        <v>43618</v>
      </c>
      <c r="L6941" t="e" vm="201">
        <f>_FV(0,"002")</f>
        <v>#VALUE!</v>
      </c>
    </row>
    <row r="6942" spans="1:12" x14ac:dyDescent="0.25">
      <c r="A6942">
        <v>1229711</v>
      </c>
      <c r="B6942">
        <v>1229879</v>
      </c>
      <c r="C6942" t="s">
        <v>43620</v>
      </c>
      <c r="D6942" t="s">
        <v>23980</v>
      </c>
      <c r="E6942" t="s">
        <v>43621</v>
      </c>
      <c r="F6942" t="s">
        <v>43622</v>
      </c>
      <c r="G6942" t="s">
        <v>43623</v>
      </c>
      <c r="H6942" t="s">
        <v>43624</v>
      </c>
      <c r="I6942" t="s">
        <v>43625</v>
      </c>
      <c r="J6942" t="s">
        <v>43626</v>
      </c>
      <c r="K6942" t="s">
        <v>43627</v>
      </c>
      <c r="L6942" t="s">
        <v>43619</v>
      </c>
    </row>
    <row r="6943" spans="1:12" x14ac:dyDescent="0.25">
      <c r="A6943">
        <v>1229873</v>
      </c>
      <c r="B6943">
        <v>1229879</v>
      </c>
      <c r="D6943">
        <v>0</v>
      </c>
      <c r="F6943">
        <v>1323393</v>
      </c>
      <c r="G6943">
        <v>1229873</v>
      </c>
      <c r="H6943" t="e" vm="122">
        <f>_FV(0,"017")</f>
        <v>#VALUE!</v>
      </c>
      <c r="I6943">
        <v>1229879</v>
      </c>
      <c r="J6943" t="s">
        <v>1814</v>
      </c>
      <c r="K6943" t="s">
        <v>43628</v>
      </c>
      <c r="L6943" t="e" vm="122">
        <f>_FV(0,"017")</f>
        <v>#VALUE!</v>
      </c>
    </row>
    <row r="6944" spans="1:12" x14ac:dyDescent="0.25">
      <c r="A6944">
        <v>1229873</v>
      </c>
      <c r="B6944">
        <v>1229879</v>
      </c>
      <c r="D6944">
        <v>0</v>
      </c>
      <c r="E6944" t="s">
        <v>43630</v>
      </c>
      <c r="F6944" t="s">
        <v>43631</v>
      </c>
      <c r="G6944" t="s">
        <v>43632</v>
      </c>
      <c r="H6944" t="e" vm="3020">
        <f>_FV(0,"016864861261032392")</f>
        <v>#VALUE!</v>
      </c>
      <c r="I6944" t="s">
        <v>43633</v>
      </c>
      <c r="J6944" t="s">
        <v>43634</v>
      </c>
      <c r="K6944" t="s">
        <v>43635</v>
      </c>
      <c r="L6944" t="s">
        <v>43629</v>
      </c>
    </row>
    <row r="6945" spans="1:12" x14ac:dyDescent="0.25">
      <c r="A6945">
        <v>1233937</v>
      </c>
      <c r="B6945">
        <v>1853486</v>
      </c>
      <c r="C6945" t="s">
        <v>43637</v>
      </c>
      <c r="D6945" t="s">
        <v>43638</v>
      </c>
      <c r="E6945" t="s">
        <v>43639</v>
      </c>
      <c r="F6945" t="s">
        <v>43640</v>
      </c>
      <c r="G6945" t="s">
        <v>43641</v>
      </c>
      <c r="H6945" t="e" vm="3021">
        <f>_FV(0,"01651658603183956")</f>
        <v>#VALUE!</v>
      </c>
      <c r="I6945" t="s">
        <v>43642</v>
      </c>
      <c r="J6945" t="s">
        <v>43643</v>
      </c>
      <c r="K6945" t="s">
        <v>43644</v>
      </c>
      <c r="L6945" t="s">
        <v>43636</v>
      </c>
    </row>
    <row r="6946" spans="1:12" x14ac:dyDescent="0.25">
      <c r="A6946">
        <v>1233937</v>
      </c>
      <c r="B6946">
        <v>1853486</v>
      </c>
      <c r="D6946" t="s">
        <v>43638</v>
      </c>
      <c r="E6946" t="s">
        <v>43646</v>
      </c>
      <c r="F6946" t="s">
        <v>43647</v>
      </c>
      <c r="G6946" t="s">
        <v>43648</v>
      </c>
      <c r="H6946" t="e" vm="3022">
        <f>_FV(0,"016600519961709744")</f>
        <v>#VALUE!</v>
      </c>
      <c r="I6946" t="s">
        <v>43649</v>
      </c>
      <c r="J6946" t="s">
        <v>43650</v>
      </c>
      <c r="K6946" t="s">
        <v>43651</v>
      </c>
      <c r="L6946" t="s">
        <v>43645</v>
      </c>
    </row>
    <row r="6947" spans="1:12" x14ac:dyDescent="0.25">
      <c r="A6947">
        <v>1233937</v>
      </c>
      <c r="B6947">
        <v>1854796</v>
      </c>
      <c r="C6947" t="s">
        <v>43652</v>
      </c>
      <c r="D6947">
        <v>0</v>
      </c>
      <c r="E6947" t="s">
        <v>43653</v>
      </c>
      <c r="H6947" t="s">
        <v>187</v>
      </c>
      <c r="J6947">
        <v>0</v>
      </c>
      <c r="K6947" t="s">
        <v>7748</v>
      </c>
      <c r="L6947">
        <v>0</v>
      </c>
    </row>
    <row r="6948" spans="1:12" x14ac:dyDescent="0.25">
      <c r="A6948">
        <v>1234021</v>
      </c>
      <c r="B6948">
        <v>1234048</v>
      </c>
      <c r="D6948">
        <v>0</v>
      </c>
      <c r="E6948" t="s">
        <v>43655</v>
      </c>
      <c r="F6948" t="s">
        <v>43656</v>
      </c>
      <c r="G6948" t="s">
        <v>43657</v>
      </c>
      <c r="H6948" t="e" vm="3023">
        <f>_FV(0,"0003298013453372593")</f>
        <v>#VALUE!</v>
      </c>
      <c r="I6948" t="s">
        <v>43658</v>
      </c>
      <c r="J6948" t="s">
        <v>43659</v>
      </c>
      <c r="K6948" t="s">
        <v>43660</v>
      </c>
      <c r="L6948" t="s">
        <v>43654</v>
      </c>
    </row>
    <row r="6949" spans="1:12" x14ac:dyDescent="0.25">
      <c r="A6949">
        <v>1235499</v>
      </c>
      <c r="B6949">
        <v>1235508</v>
      </c>
      <c r="D6949">
        <v>0</v>
      </c>
      <c r="E6949" t="s">
        <v>43662</v>
      </c>
      <c r="F6949" t="s">
        <v>43663</v>
      </c>
      <c r="G6949" t="s">
        <v>43664</v>
      </c>
      <c r="H6949" t="e" vm="3024">
        <f>_FV(0,"06097753011449195")</f>
        <v>#VALUE!</v>
      </c>
      <c r="I6949" t="s">
        <v>43665</v>
      </c>
      <c r="J6949" t="s">
        <v>43666</v>
      </c>
      <c r="K6949" t="s">
        <v>43667</v>
      </c>
      <c r="L6949" t="s">
        <v>43661</v>
      </c>
    </row>
    <row r="6950" spans="1:12" x14ac:dyDescent="0.25">
      <c r="A6950">
        <v>1235499</v>
      </c>
      <c r="B6950">
        <v>1235508</v>
      </c>
      <c r="D6950">
        <v>0</v>
      </c>
      <c r="E6950" t="s">
        <v>43669</v>
      </c>
      <c r="F6950" t="s">
        <v>43670</v>
      </c>
      <c r="G6950" t="s">
        <v>43671</v>
      </c>
      <c r="H6950" t="e" vm="3025">
        <f>_FV(0,"061651602576136166")</f>
        <v>#VALUE!</v>
      </c>
      <c r="I6950" t="s">
        <v>43672</v>
      </c>
      <c r="J6950" t="s">
        <v>43673</v>
      </c>
      <c r="K6950" t="s">
        <v>43674</v>
      </c>
      <c r="L6950" t="s">
        <v>43668</v>
      </c>
    </row>
    <row r="6951" spans="1:12" x14ac:dyDescent="0.25">
      <c r="A6951">
        <v>1236482</v>
      </c>
      <c r="B6951">
        <v>1616139</v>
      </c>
      <c r="D6951" t="s">
        <v>43676</v>
      </c>
      <c r="E6951" t="s">
        <v>43677</v>
      </c>
      <c r="F6951" t="s">
        <v>43678</v>
      </c>
      <c r="G6951" t="s">
        <v>43679</v>
      </c>
      <c r="H6951" t="s">
        <v>43680</v>
      </c>
      <c r="I6951" t="s">
        <v>43681</v>
      </c>
      <c r="J6951" t="s">
        <v>43682</v>
      </c>
      <c r="K6951" t="s">
        <v>43683</v>
      </c>
      <c r="L6951" t="s">
        <v>43675</v>
      </c>
    </row>
    <row r="6952" spans="1:12" x14ac:dyDescent="0.25">
      <c r="A6952">
        <v>1236482</v>
      </c>
      <c r="B6952">
        <v>1616282</v>
      </c>
      <c r="D6952" t="s">
        <v>43685</v>
      </c>
      <c r="E6952" t="s">
        <v>43686</v>
      </c>
      <c r="F6952" t="s">
        <v>43687</v>
      </c>
      <c r="G6952" t="s">
        <v>43688</v>
      </c>
      <c r="H6952" t="s">
        <v>43689</v>
      </c>
      <c r="I6952" t="s">
        <v>43690</v>
      </c>
      <c r="J6952" t="s">
        <v>43691</v>
      </c>
      <c r="K6952" t="s">
        <v>43692</v>
      </c>
      <c r="L6952" t="s">
        <v>43684</v>
      </c>
    </row>
    <row r="6953" spans="1:12" x14ac:dyDescent="0.25">
      <c r="A6953">
        <v>1236596</v>
      </c>
      <c r="B6953">
        <v>1616024</v>
      </c>
      <c r="D6953">
        <v>0</v>
      </c>
      <c r="F6953">
        <v>1844927</v>
      </c>
      <c r="G6953">
        <v>1616024</v>
      </c>
      <c r="H6953" t="e" vm="221">
        <f>_FV(0,"052")</f>
        <v>#VALUE!</v>
      </c>
      <c r="I6953">
        <v>1236596</v>
      </c>
      <c r="J6953" t="s">
        <v>3378</v>
      </c>
      <c r="K6953" t="s">
        <v>43693</v>
      </c>
      <c r="L6953" t="e" vm="221">
        <f>_FV(0,"052")</f>
        <v>#VALUE!</v>
      </c>
    </row>
    <row r="6954" spans="1:12" x14ac:dyDescent="0.25">
      <c r="A6954">
        <v>1236596</v>
      </c>
      <c r="B6954">
        <v>1616282</v>
      </c>
      <c r="D6954">
        <v>0</v>
      </c>
      <c r="E6954" t="s">
        <v>43695</v>
      </c>
      <c r="F6954" t="s">
        <v>43696</v>
      </c>
      <c r="G6954" t="s">
        <v>43697</v>
      </c>
      <c r="H6954" t="s">
        <v>43698</v>
      </c>
      <c r="I6954" t="s">
        <v>43699</v>
      </c>
      <c r="J6954" t="s">
        <v>43694</v>
      </c>
      <c r="K6954" t="s">
        <v>43700</v>
      </c>
      <c r="L6954" t="s">
        <v>43694</v>
      </c>
    </row>
    <row r="6955" spans="1:12" x14ac:dyDescent="0.25">
      <c r="A6955">
        <v>1236596</v>
      </c>
      <c r="B6955">
        <v>1616003</v>
      </c>
      <c r="D6955">
        <v>0</v>
      </c>
      <c r="E6955" t="s">
        <v>43702</v>
      </c>
      <c r="F6955" t="s">
        <v>43703</v>
      </c>
      <c r="G6955" t="s">
        <v>43704</v>
      </c>
      <c r="H6955" t="s">
        <v>43705</v>
      </c>
      <c r="I6955" t="s">
        <v>43706</v>
      </c>
      <c r="J6955" t="s">
        <v>43707</v>
      </c>
      <c r="K6955" t="s">
        <v>43708</v>
      </c>
      <c r="L6955" t="s">
        <v>43701</v>
      </c>
    </row>
    <row r="6956" spans="1:12" x14ac:dyDescent="0.25">
      <c r="A6956">
        <v>1236618</v>
      </c>
      <c r="B6956">
        <v>1236625</v>
      </c>
      <c r="D6956">
        <v>0</v>
      </c>
      <c r="F6956">
        <v>1331595</v>
      </c>
      <c r="G6956">
        <v>1236625</v>
      </c>
      <c r="H6956" t="e" vm="572">
        <f>_FV(0,"021")</f>
        <v>#VALUE!</v>
      </c>
      <c r="I6956">
        <v>1236618</v>
      </c>
      <c r="J6956" t="s">
        <v>1536</v>
      </c>
      <c r="K6956" t="s">
        <v>43709</v>
      </c>
      <c r="L6956" t="e" vm="572">
        <f>_FV(0,"021")</f>
        <v>#VALUE!</v>
      </c>
    </row>
    <row r="6957" spans="1:12" x14ac:dyDescent="0.25">
      <c r="A6957">
        <v>1236618</v>
      </c>
      <c r="B6957">
        <v>1616121</v>
      </c>
      <c r="D6957" t="s">
        <v>19055</v>
      </c>
      <c r="E6957" t="s">
        <v>43711</v>
      </c>
      <c r="F6957" t="s">
        <v>43712</v>
      </c>
      <c r="G6957" t="s">
        <v>43713</v>
      </c>
      <c r="H6957" t="e" vm="3026">
        <f>_FV(0,"02721224895501084")</f>
        <v>#VALUE!</v>
      </c>
      <c r="I6957" t="s">
        <v>43714</v>
      </c>
      <c r="J6957" t="s">
        <v>43715</v>
      </c>
      <c r="K6957" t="s">
        <v>43716</v>
      </c>
      <c r="L6957" t="s">
        <v>43710</v>
      </c>
    </row>
    <row r="6958" spans="1:12" x14ac:dyDescent="0.25">
      <c r="A6958">
        <v>1236618</v>
      </c>
      <c r="B6958">
        <v>1616139</v>
      </c>
      <c r="D6958">
        <v>0</v>
      </c>
      <c r="E6958" t="s">
        <v>43718</v>
      </c>
      <c r="F6958" t="s">
        <v>43719</v>
      </c>
      <c r="G6958" t="s">
        <v>43720</v>
      </c>
      <c r="H6958" t="e" vm="3027">
        <f>_FV(0,"0337675199167083")</f>
        <v>#VALUE!</v>
      </c>
      <c r="I6958" t="s">
        <v>43721</v>
      </c>
      <c r="J6958" t="s">
        <v>14609</v>
      </c>
      <c r="K6958" t="s">
        <v>43722</v>
      </c>
      <c r="L6958" t="s">
        <v>43717</v>
      </c>
    </row>
    <row r="6959" spans="1:12" x14ac:dyDescent="0.25">
      <c r="A6959">
        <v>1236625</v>
      </c>
      <c r="B6959">
        <v>1616003</v>
      </c>
      <c r="D6959">
        <v>0</v>
      </c>
      <c r="E6959" t="s">
        <v>43724</v>
      </c>
      <c r="F6959" t="s">
        <v>43725</v>
      </c>
      <c r="G6959" t="s">
        <v>43726</v>
      </c>
      <c r="H6959" t="s">
        <v>43727</v>
      </c>
      <c r="I6959" t="s">
        <v>43728</v>
      </c>
      <c r="J6959" t="s">
        <v>43723</v>
      </c>
      <c r="K6959" t="s">
        <v>43729</v>
      </c>
      <c r="L6959" t="s">
        <v>43723</v>
      </c>
    </row>
    <row r="6960" spans="1:12" x14ac:dyDescent="0.25">
      <c r="A6960">
        <v>1236625</v>
      </c>
      <c r="B6960">
        <v>1616028</v>
      </c>
      <c r="D6960">
        <v>0</v>
      </c>
      <c r="E6960" t="s">
        <v>43731</v>
      </c>
      <c r="F6960" t="s">
        <v>43732</v>
      </c>
      <c r="G6960" t="s">
        <v>43733</v>
      </c>
      <c r="H6960" t="s">
        <v>43734</v>
      </c>
      <c r="I6960" t="s">
        <v>43735</v>
      </c>
      <c r="J6960" t="s">
        <v>43730</v>
      </c>
      <c r="K6960" t="s">
        <v>43736</v>
      </c>
      <c r="L6960" t="s">
        <v>43730</v>
      </c>
    </row>
    <row r="6961" spans="1:12" x14ac:dyDescent="0.25">
      <c r="A6961">
        <v>1237436</v>
      </c>
      <c r="B6961">
        <v>1237437</v>
      </c>
      <c r="D6961">
        <v>1</v>
      </c>
      <c r="F6961">
        <v>1332449</v>
      </c>
      <c r="G6961">
        <v>1237437</v>
      </c>
      <c r="H6961" t="s">
        <v>922</v>
      </c>
      <c r="I6961">
        <v>1237436</v>
      </c>
      <c r="J6961" t="s">
        <v>922</v>
      </c>
      <c r="K6961" t="s">
        <v>43737</v>
      </c>
      <c r="L6961" t="s">
        <v>922</v>
      </c>
    </row>
    <row r="6962" spans="1:12" x14ac:dyDescent="0.25">
      <c r="A6962">
        <v>1237436</v>
      </c>
      <c r="B6962">
        <v>1237516</v>
      </c>
      <c r="D6962">
        <v>0</v>
      </c>
      <c r="E6962" t="s">
        <v>43739</v>
      </c>
      <c r="F6962" t="s">
        <v>43740</v>
      </c>
      <c r="G6962" t="s">
        <v>43741</v>
      </c>
      <c r="H6962" t="s">
        <v>43742</v>
      </c>
      <c r="I6962" t="s">
        <v>43743</v>
      </c>
      <c r="J6962" t="s">
        <v>43738</v>
      </c>
      <c r="K6962" t="s">
        <v>43744</v>
      </c>
      <c r="L6962" t="s">
        <v>43738</v>
      </c>
    </row>
    <row r="6963" spans="1:12" x14ac:dyDescent="0.25">
      <c r="A6963">
        <v>1237436</v>
      </c>
      <c r="B6963">
        <v>1237527</v>
      </c>
      <c r="D6963">
        <v>0</v>
      </c>
      <c r="E6963" t="s">
        <v>43746</v>
      </c>
      <c r="F6963" t="s">
        <v>43747</v>
      </c>
      <c r="G6963" t="s">
        <v>43748</v>
      </c>
      <c r="H6963" t="s">
        <v>43749</v>
      </c>
      <c r="I6963" t="s">
        <v>43750</v>
      </c>
      <c r="J6963" t="s">
        <v>43745</v>
      </c>
      <c r="K6963" t="s">
        <v>43751</v>
      </c>
      <c r="L6963" t="s">
        <v>43745</v>
      </c>
    </row>
    <row r="6964" spans="1:12" x14ac:dyDescent="0.25">
      <c r="A6964">
        <v>1237437</v>
      </c>
      <c r="B6964">
        <v>1237442</v>
      </c>
      <c r="D6964" t="s">
        <v>715</v>
      </c>
      <c r="E6964" t="s">
        <v>43753</v>
      </c>
      <c r="F6964" t="s">
        <v>43754</v>
      </c>
      <c r="G6964" t="s">
        <v>43755</v>
      </c>
      <c r="H6964" t="s">
        <v>43756</v>
      </c>
      <c r="I6964" t="s">
        <v>43757</v>
      </c>
      <c r="J6964" t="s">
        <v>43752</v>
      </c>
      <c r="K6964" t="s">
        <v>43758</v>
      </c>
      <c r="L6964" t="s">
        <v>43752</v>
      </c>
    </row>
    <row r="6965" spans="1:12" x14ac:dyDescent="0.25">
      <c r="A6965">
        <v>1237437</v>
      </c>
      <c r="B6965">
        <v>1237458</v>
      </c>
      <c r="D6965" t="s">
        <v>715</v>
      </c>
      <c r="E6965" t="s">
        <v>43760</v>
      </c>
      <c r="F6965" t="s">
        <v>43761</v>
      </c>
      <c r="G6965" t="s">
        <v>43762</v>
      </c>
      <c r="H6965" t="s">
        <v>43763</v>
      </c>
      <c r="I6965" t="s">
        <v>43764</v>
      </c>
      <c r="J6965" t="s">
        <v>43759</v>
      </c>
      <c r="K6965" t="s">
        <v>43765</v>
      </c>
      <c r="L6965" t="s">
        <v>43759</v>
      </c>
    </row>
    <row r="6966" spans="1:12" x14ac:dyDescent="0.25">
      <c r="A6966">
        <v>1237442</v>
      </c>
      <c r="B6966">
        <v>1237443</v>
      </c>
      <c r="D6966">
        <v>0</v>
      </c>
      <c r="F6966">
        <v>1332457</v>
      </c>
      <c r="G6966">
        <v>1237443</v>
      </c>
      <c r="H6966" t="s">
        <v>1939</v>
      </c>
      <c r="I6966">
        <v>1237442</v>
      </c>
      <c r="J6966" t="s">
        <v>1939</v>
      </c>
      <c r="K6966" t="s">
        <v>43766</v>
      </c>
      <c r="L6966" t="s">
        <v>1939</v>
      </c>
    </row>
    <row r="6967" spans="1:12" x14ac:dyDescent="0.25">
      <c r="A6967">
        <v>1237442</v>
      </c>
      <c r="B6967">
        <v>1237458</v>
      </c>
      <c r="D6967">
        <v>0</v>
      </c>
      <c r="E6967" t="s">
        <v>43768</v>
      </c>
      <c r="F6967" t="s">
        <v>43769</v>
      </c>
      <c r="G6967" t="s">
        <v>43770</v>
      </c>
      <c r="H6967" t="e" vm="3028">
        <f>_FV(0,"0014389033330632285")</f>
        <v>#VALUE!</v>
      </c>
      <c r="I6967" t="s">
        <v>43771</v>
      </c>
      <c r="J6967" t="s">
        <v>13966</v>
      </c>
      <c r="K6967" t="s">
        <v>43772</v>
      </c>
      <c r="L6967" t="s">
        <v>43767</v>
      </c>
    </row>
    <row r="6968" spans="1:12" x14ac:dyDescent="0.25">
      <c r="A6968">
        <v>1237443</v>
      </c>
      <c r="B6968">
        <v>1237450</v>
      </c>
      <c r="D6968">
        <v>0</v>
      </c>
      <c r="F6968">
        <v>1332465</v>
      </c>
      <c r="G6968">
        <v>1237450</v>
      </c>
      <c r="H6968" t="s">
        <v>1534</v>
      </c>
      <c r="I6968">
        <v>1237443</v>
      </c>
      <c r="J6968" t="s">
        <v>1534</v>
      </c>
      <c r="K6968" t="s">
        <v>43773</v>
      </c>
      <c r="L6968" t="s">
        <v>1534</v>
      </c>
    </row>
    <row r="6969" spans="1:12" x14ac:dyDescent="0.25">
      <c r="A6969">
        <v>1237450</v>
      </c>
      <c r="B6969">
        <v>1237458</v>
      </c>
      <c r="D6969">
        <v>0</v>
      </c>
      <c r="F6969">
        <v>1332473</v>
      </c>
      <c r="G6969">
        <v>1237458</v>
      </c>
      <c r="H6969" t="e" vm="1300">
        <f>_FV(0,"013")</f>
        <v>#VALUE!</v>
      </c>
      <c r="I6969">
        <v>1237450</v>
      </c>
      <c r="J6969" t="s">
        <v>30</v>
      </c>
      <c r="K6969" t="s">
        <v>43774</v>
      </c>
      <c r="L6969" t="e" vm="1300">
        <f>_FV(0,"013")</f>
        <v>#VALUE!</v>
      </c>
    </row>
    <row r="6970" spans="1:12" x14ac:dyDescent="0.25">
      <c r="A6970">
        <v>1237508</v>
      </c>
      <c r="B6970">
        <v>1237516</v>
      </c>
      <c r="D6970">
        <v>0</v>
      </c>
      <c r="F6970">
        <v>1332529</v>
      </c>
      <c r="G6970">
        <v>1237516</v>
      </c>
      <c r="H6970" t="s">
        <v>4848</v>
      </c>
      <c r="I6970">
        <v>1237508</v>
      </c>
      <c r="J6970" t="s">
        <v>4848</v>
      </c>
      <c r="K6970" t="s">
        <v>43775</v>
      </c>
      <c r="L6970" t="s">
        <v>4848</v>
      </c>
    </row>
    <row r="6971" spans="1:12" x14ac:dyDescent="0.25">
      <c r="A6971">
        <v>1237508</v>
      </c>
      <c r="B6971">
        <v>1237534</v>
      </c>
      <c r="D6971">
        <v>0</v>
      </c>
      <c r="E6971" t="s">
        <v>43777</v>
      </c>
      <c r="F6971" t="s">
        <v>43778</v>
      </c>
      <c r="G6971" t="s">
        <v>43779</v>
      </c>
      <c r="H6971" t="s">
        <v>43780</v>
      </c>
      <c r="I6971" t="s">
        <v>43781</v>
      </c>
      <c r="J6971" t="s">
        <v>43782</v>
      </c>
      <c r="K6971" t="s">
        <v>43783</v>
      </c>
      <c r="L6971" t="s">
        <v>43776</v>
      </c>
    </row>
    <row r="6972" spans="1:12" x14ac:dyDescent="0.25">
      <c r="A6972">
        <v>1237516</v>
      </c>
      <c r="B6972">
        <v>1237527</v>
      </c>
      <c r="D6972">
        <v>0</v>
      </c>
      <c r="E6972" t="s">
        <v>43785</v>
      </c>
      <c r="F6972" t="s">
        <v>43786</v>
      </c>
      <c r="G6972" t="s">
        <v>43787</v>
      </c>
      <c r="H6972" t="s">
        <v>43788</v>
      </c>
      <c r="I6972" t="s">
        <v>43789</v>
      </c>
      <c r="J6972" t="s">
        <v>14316</v>
      </c>
      <c r="K6972" t="s">
        <v>43790</v>
      </c>
      <c r="L6972" t="s">
        <v>43784</v>
      </c>
    </row>
    <row r="6973" spans="1:12" x14ac:dyDescent="0.25">
      <c r="A6973">
        <v>1237527</v>
      </c>
      <c r="B6973">
        <v>1237534</v>
      </c>
      <c r="D6973">
        <v>0</v>
      </c>
      <c r="F6973">
        <v>1332553</v>
      </c>
      <c r="G6973">
        <v>1237534</v>
      </c>
      <c r="H6973" t="e" vm="342">
        <f>_FV(0,"011")</f>
        <v>#VALUE!</v>
      </c>
      <c r="I6973">
        <v>1237527</v>
      </c>
      <c r="J6973" t="s">
        <v>4848</v>
      </c>
      <c r="K6973" t="s">
        <v>43791</v>
      </c>
      <c r="L6973" t="e" vm="342">
        <f>_FV(0,"011")</f>
        <v>#VALUE!</v>
      </c>
    </row>
    <row r="6974" spans="1:12" x14ac:dyDescent="0.25">
      <c r="A6974">
        <v>1239352</v>
      </c>
      <c r="B6974">
        <v>1239367</v>
      </c>
      <c r="D6974">
        <v>0</v>
      </c>
      <c r="E6974" t="s">
        <v>43793</v>
      </c>
      <c r="F6974" t="s">
        <v>43794</v>
      </c>
      <c r="G6974" t="s">
        <v>43795</v>
      </c>
      <c r="H6974" t="s">
        <v>43796</v>
      </c>
      <c r="I6974" t="s">
        <v>43797</v>
      </c>
      <c r="J6974" t="s">
        <v>43798</v>
      </c>
      <c r="K6974" t="s">
        <v>43799</v>
      </c>
      <c r="L6974" t="s">
        <v>43792</v>
      </c>
    </row>
    <row r="6975" spans="1:12" x14ac:dyDescent="0.25">
      <c r="A6975">
        <v>1239352</v>
      </c>
      <c r="B6975">
        <v>1399836</v>
      </c>
      <c r="D6975">
        <v>0</v>
      </c>
      <c r="E6975" t="s">
        <v>43801</v>
      </c>
      <c r="F6975" t="s">
        <v>43802</v>
      </c>
      <c r="G6975" t="s">
        <v>43803</v>
      </c>
      <c r="H6975" t="e" vm="3029">
        <f>_FV(0,"0019466352641578373")</f>
        <v>#VALUE!</v>
      </c>
      <c r="I6975" t="s">
        <v>43804</v>
      </c>
      <c r="J6975" t="s">
        <v>43805</v>
      </c>
      <c r="K6975" t="s">
        <v>43806</v>
      </c>
      <c r="L6975" t="s">
        <v>43800</v>
      </c>
    </row>
    <row r="6976" spans="1:12" x14ac:dyDescent="0.25">
      <c r="A6976">
        <v>1239367</v>
      </c>
      <c r="B6976">
        <v>1399836</v>
      </c>
      <c r="D6976">
        <v>0</v>
      </c>
      <c r="E6976" t="s">
        <v>43808</v>
      </c>
      <c r="F6976" t="s">
        <v>43809</v>
      </c>
      <c r="G6976" t="s">
        <v>43810</v>
      </c>
      <c r="H6976" t="e" vm="3030">
        <f>_FV(0,"0021864301533415743")</f>
        <v>#VALUE!</v>
      </c>
      <c r="I6976" t="s">
        <v>43811</v>
      </c>
      <c r="J6976" t="s">
        <v>43812</v>
      </c>
      <c r="K6976" t="s">
        <v>43813</v>
      </c>
      <c r="L6976" t="s">
        <v>43807</v>
      </c>
    </row>
    <row r="6977" spans="1:12" x14ac:dyDescent="0.25">
      <c r="A6977">
        <v>1239430</v>
      </c>
      <c r="B6977">
        <v>1239431</v>
      </c>
      <c r="D6977">
        <v>0</v>
      </c>
      <c r="F6977">
        <v>1334898</v>
      </c>
      <c r="G6977">
        <v>1239431</v>
      </c>
      <c r="H6977" t="e" vm="144">
        <f>_FV(0,"003")</f>
        <v>#VALUE!</v>
      </c>
      <c r="I6977">
        <v>1239430</v>
      </c>
      <c r="J6977" t="s">
        <v>1783</v>
      </c>
      <c r="K6977" t="s">
        <v>43814</v>
      </c>
      <c r="L6977" t="e" vm="144">
        <f>_FV(0,"003")</f>
        <v>#VALUE!</v>
      </c>
    </row>
    <row r="6978" spans="1:12" x14ac:dyDescent="0.25">
      <c r="A6978">
        <v>1239430</v>
      </c>
      <c r="B6978">
        <v>1239538</v>
      </c>
      <c r="D6978">
        <v>0</v>
      </c>
      <c r="E6978" t="s">
        <v>43815</v>
      </c>
      <c r="F6978" t="s">
        <v>43816</v>
      </c>
      <c r="G6978" t="s">
        <v>43817</v>
      </c>
      <c r="H6978" t="s">
        <v>43818</v>
      </c>
      <c r="I6978" t="s">
        <v>43819</v>
      </c>
      <c r="J6978" t="s">
        <v>4801</v>
      </c>
      <c r="K6978" t="s">
        <v>43820</v>
      </c>
      <c r="L6978" t="s">
        <v>4801</v>
      </c>
    </row>
    <row r="6979" spans="1:12" x14ac:dyDescent="0.25">
      <c r="A6979">
        <v>1239430</v>
      </c>
      <c r="B6979">
        <v>1239540</v>
      </c>
      <c r="D6979">
        <v>0</v>
      </c>
      <c r="E6979" t="s">
        <v>43822</v>
      </c>
      <c r="F6979" t="s">
        <v>43823</v>
      </c>
      <c r="G6979" t="s">
        <v>43824</v>
      </c>
      <c r="H6979" t="e" vm="3031">
        <f>_FV(0,"005490115143548823")</f>
        <v>#VALUE!</v>
      </c>
      <c r="I6979" t="s">
        <v>43825</v>
      </c>
      <c r="J6979" t="s">
        <v>31050</v>
      </c>
      <c r="K6979" t="s">
        <v>43826</v>
      </c>
      <c r="L6979" t="s">
        <v>43821</v>
      </c>
    </row>
    <row r="6980" spans="1:12" x14ac:dyDescent="0.25">
      <c r="A6980">
        <v>1239431</v>
      </c>
      <c r="B6980">
        <v>1239447</v>
      </c>
      <c r="D6980">
        <v>0</v>
      </c>
      <c r="E6980" t="s">
        <v>43828</v>
      </c>
      <c r="F6980" t="s">
        <v>43829</v>
      </c>
      <c r="G6980" t="s">
        <v>43830</v>
      </c>
      <c r="H6980" t="s">
        <v>43831</v>
      </c>
      <c r="I6980" t="s">
        <v>43832</v>
      </c>
      <c r="J6980" t="s">
        <v>43827</v>
      </c>
      <c r="K6980" t="s">
        <v>43833</v>
      </c>
      <c r="L6980" t="s">
        <v>43827</v>
      </c>
    </row>
    <row r="6981" spans="1:12" x14ac:dyDescent="0.25">
      <c r="A6981">
        <v>1239431</v>
      </c>
      <c r="B6981">
        <v>1239462</v>
      </c>
      <c r="D6981">
        <v>0</v>
      </c>
      <c r="E6981" t="s">
        <v>43834</v>
      </c>
      <c r="F6981" t="s">
        <v>43835</v>
      </c>
      <c r="G6981" t="s">
        <v>43836</v>
      </c>
      <c r="H6981" t="s">
        <v>43837</v>
      </c>
      <c r="I6981" t="s">
        <v>43838</v>
      </c>
      <c r="J6981" t="s">
        <v>6251</v>
      </c>
      <c r="K6981" t="s">
        <v>43839</v>
      </c>
      <c r="L6981" t="s">
        <v>6251</v>
      </c>
    </row>
    <row r="6982" spans="1:12" x14ac:dyDescent="0.25">
      <c r="A6982">
        <v>1239447</v>
      </c>
      <c r="B6982">
        <v>1239491</v>
      </c>
      <c r="D6982">
        <v>0</v>
      </c>
      <c r="F6982">
        <v>1334970</v>
      </c>
      <c r="G6982">
        <v>1239491</v>
      </c>
      <c r="H6982" t="s">
        <v>5410</v>
      </c>
      <c r="I6982">
        <v>1239447</v>
      </c>
      <c r="J6982" t="s">
        <v>5410</v>
      </c>
      <c r="K6982" t="s">
        <v>43840</v>
      </c>
      <c r="L6982" t="s">
        <v>5410</v>
      </c>
    </row>
    <row r="6983" spans="1:12" x14ac:dyDescent="0.25">
      <c r="A6983">
        <v>1239447</v>
      </c>
      <c r="B6983">
        <v>1239462</v>
      </c>
      <c r="D6983">
        <v>0</v>
      </c>
      <c r="E6983" t="s">
        <v>43842</v>
      </c>
      <c r="F6983" t="s">
        <v>43843</v>
      </c>
      <c r="G6983" t="s">
        <v>43844</v>
      </c>
      <c r="H6983" t="e" vm="3032">
        <f>_FV(0,"002203096558448264")</f>
        <v>#VALUE!</v>
      </c>
      <c r="I6983" t="s">
        <v>43845</v>
      </c>
      <c r="J6983" t="s">
        <v>38865</v>
      </c>
      <c r="K6983" t="s">
        <v>43846</v>
      </c>
      <c r="L6983" t="s">
        <v>43841</v>
      </c>
    </row>
    <row r="6984" spans="1:12" x14ac:dyDescent="0.25">
      <c r="A6984">
        <v>1239462</v>
      </c>
      <c r="B6984">
        <v>1239471</v>
      </c>
      <c r="D6984">
        <v>0</v>
      </c>
      <c r="F6984">
        <v>1334946</v>
      </c>
      <c r="G6984">
        <v>1239462</v>
      </c>
      <c r="H6984" t="e" vm="493">
        <f>_FV(0,"025")</f>
        <v>#VALUE!</v>
      </c>
      <c r="I6984">
        <v>1239471</v>
      </c>
      <c r="J6984" t="s">
        <v>899</v>
      </c>
      <c r="K6984" t="s">
        <v>43847</v>
      </c>
      <c r="L6984" t="e" vm="493">
        <f>_FV(0,"025")</f>
        <v>#VALUE!</v>
      </c>
    </row>
    <row r="6985" spans="1:12" x14ac:dyDescent="0.25">
      <c r="A6985">
        <v>1239471</v>
      </c>
      <c r="B6985">
        <v>1497984</v>
      </c>
      <c r="D6985">
        <v>0</v>
      </c>
      <c r="E6985" t="s">
        <v>43849</v>
      </c>
      <c r="F6985" t="s">
        <v>43850</v>
      </c>
      <c r="G6985" t="s">
        <v>43851</v>
      </c>
      <c r="H6985" t="s">
        <v>43852</v>
      </c>
      <c r="I6985" t="s">
        <v>43853</v>
      </c>
      <c r="J6985" t="s">
        <v>43854</v>
      </c>
      <c r="K6985" t="s">
        <v>43855</v>
      </c>
      <c r="L6985" t="s">
        <v>43848</v>
      </c>
    </row>
    <row r="6986" spans="1:12" x14ac:dyDescent="0.25">
      <c r="A6986">
        <v>1239471</v>
      </c>
      <c r="B6986">
        <v>1239491</v>
      </c>
      <c r="D6986">
        <v>0</v>
      </c>
      <c r="E6986" t="s">
        <v>43857</v>
      </c>
      <c r="F6986" t="s">
        <v>43858</v>
      </c>
      <c r="G6986" t="s">
        <v>43859</v>
      </c>
      <c r="H6986" t="e" vm="3033">
        <f>_FV(0,"0016426401501283933")</f>
        <v>#VALUE!</v>
      </c>
      <c r="I6986" t="s">
        <v>43860</v>
      </c>
      <c r="J6986" t="s">
        <v>43861</v>
      </c>
      <c r="K6986" t="s">
        <v>43862</v>
      </c>
      <c r="L6986" t="s">
        <v>43856</v>
      </c>
    </row>
    <row r="6987" spans="1:12" x14ac:dyDescent="0.25">
      <c r="A6987">
        <v>1239491</v>
      </c>
      <c r="B6987">
        <v>1497902</v>
      </c>
      <c r="D6987" t="s">
        <v>257</v>
      </c>
      <c r="E6987" t="s">
        <v>43864</v>
      </c>
      <c r="F6987" t="s">
        <v>43865</v>
      </c>
      <c r="G6987" t="s">
        <v>43866</v>
      </c>
      <c r="H6987" t="e" vm="3034">
        <f>_FV(0,"02279274579494364")</f>
        <v>#VALUE!</v>
      </c>
      <c r="I6987" t="s">
        <v>43867</v>
      </c>
      <c r="J6987" t="s">
        <v>43868</v>
      </c>
      <c r="K6987" t="s">
        <v>43869</v>
      </c>
      <c r="L6987" t="s">
        <v>43863</v>
      </c>
    </row>
    <row r="6988" spans="1:12" x14ac:dyDescent="0.25">
      <c r="A6988">
        <v>1239538</v>
      </c>
      <c r="B6988">
        <v>1239540</v>
      </c>
      <c r="D6988">
        <v>0</v>
      </c>
      <c r="E6988" t="s">
        <v>43870</v>
      </c>
      <c r="F6988" t="s">
        <v>43871</v>
      </c>
      <c r="G6988" t="s">
        <v>43872</v>
      </c>
      <c r="H6988" t="s">
        <v>43873</v>
      </c>
      <c r="I6988" t="s">
        <v>43874</v>
      </c>
      <c r="J6988" t="s">
        <v>25272</v>
      </c>
      <c r="K6988" t="s">
        <v>43875</v>
      </c>
      <c r="L6988" t="s">
        <v>25272</v>
      </c>
    </row>
    <row r="6989" spans="1:12" x14ac:dyDescent="0.25">
      <c r="A6989">
        <v>1239538</v>
      </c>
      <c r="B6989">
        <v>1239823</v>
      </c>
      <c r="D6989">
        <v>0</v>
      </c>
      <c r="F6989">
        <v>1335418</v>
      </c>
      <c r="G6989">
        <v>1239538</v>
      </c>
      <c r="H6989" t="s">
        <v>194</v>
      </c>
      <c r="I6989">
        <v>1239823</v>
      </c>
      <c r="J6989" t="s">
        <v>194</v>
      </c>
      <c r="K6989" t="s">
        <v>43876</v>
      </c>
      <c r="L6989" t="s">
        <v>194</v>
      </c>
    </row>
    <row r="6990" spans="1:12" x14ac:dyDescent="0.25">
      <c r="A6990">
        <v>1239540</v>
      </c>
      <c r="B6990">
        <v>1239796</v>
      </c>
      <c r="D6990">
        <v>0</v>
      </c>
      <c r="F6990">
        <v>1335378</v>
      </c>
      <c r="G6990">
        <v>1239796</v>
      </c>
      <c r="H6990" t="s">
        <v>226</v>
      </c>
      <c r="I6990">
        <v>1239540</v>
      </c>
      <c r="J6990" t="s">
        <v>226</v>
      </c>
      <c r="K6990" t="s">
        <v>43877</v>
      </c>
      <c r="L6990" t="s">
        <v>226</v>
      </c>
    </row>
    <row r="6991" spans="1:12" x14ac:dyDescent="0.25">
      <c r="A6991">
        <v>1239796</v>
      </c>
      <c r="B6991">
        <v>1239823</v>
      </c>
      <c r="D6991">
        <v>0</v>
      </c>
      <c r="E6991" t="s">
        <v>43879</v>
      </c>
      <c r="F6991" t="s">
        <v>43880</v>
      </c>
      <c r="G6991" t="s">
        <v>43881</v>
      </c>
      <c r="H6991" t="e" vm="3035">
        <f>_FV(0,"01254995530838257")</f>
        <v>#VALUE!</v>
      </c>
      <c r="I6991" t="s">
        <v>43882</v>
      </c>
      <c r="J6991" t="s">
        <v>43883</v>
      </c>
      <c r="K6991" t="s">
        <v>43884</v>
      </c>
      <c r="L6991" t="s">
        <v>43878</v>
      </c>
    </row>
    <row r="6992" spans="1:12" x14ac:dyDescent="0.25">
      <c r="A6992">
        <v>1239823</v>
      </c>
      <c r="B6992">
        <v>1499593</v>
      </c>
      <c r="D6992" t="s">
        <v>2793</v>
      </c>
      <c r="E6992" t="s">
        <v>43886</v>
      </c>
      <c r="F6992" t="s">
        <v>43887</v>
      </c>
      <c r="G6992" t="s">
        <v>43888</v>
      </c>
      <c r="H6992" t="s">
        <v>43889</v>
      </c>
      <c r="I6992" t="s">
        <v>43890</v>
      </c>
      <c r="J6992" t="s">
        <v>43891</v>
      </c>
      <c r="K6992" t="s">
        <v>43892</v>
      </c>
      <c r="L6992" t="s">
        <v>43885</v>
      </c>
    </row>
    <row r="6993" spans="1:12" x14ac:dyDescent="0.25">
      <c r="A6993">
        <v>1240175</v>
      </c>
      <c r="B6993">
        <v>1240203</v>
      </c>
      <c r="D6993" t="s">
        <v>204</v>
      </c>
      <c r="E6993" t="s">
        <v>43894</v>
      </c>
      <c r="F6993" t="s">
        <v>43895</v>
      </c>
      <c r="G6993" t="s">
        <v>43896</v>
      </c>
      <c r="H6993" t="s">
        <v>43897</v>
      </c>
      <c r="I6993" t="s">
        <v>43898</v>
      </c>
      <c r="J6993" t="s">
        <v>43893</v>
      </c>
      <c r="K6993" t="s">
        <v>43899</v>
      </c>
      <c r="L6993" t="s">
        <v>43893</v>
      </c>
    </row>
    <row r="6994" spans="1:12" x14ac:dyDescent="0.25">
      <c r="A6994">
        <v>1240880</v>
      </c>
      <c r="B6994">
        <v>1240913</v>
      </c>
      <c r="D6994" t="s">
        <v>204</v>
      </c>
      <c r="E6994" t="s">
        <v>43901</v>
      </c>
      <c r="F6994" t="s">
        <v>43902</v>
      </c>
      <c r="G6994" t="s">
        <v>43903</v>
      </c>
      <c r="H6994" t="e" vm="3036">
        <f>_FV(0,"08504280671306189")</f>
        <v>#VALUE!</v>
      </c>
      <c r="I6994" t="s">
        <v>43904</v>
      </c>
      <c r="J6994" t="s">
        <v>43905</v>
      </c>
      <c r="K6994" t="s">
        <v>43906</v>
      </c>
      <c r="L6994" t="s">
        <v>43900</v>
      </c>
    </row>
    <row r="6995" spans="1:12" x14ac:dyDescent="0.25">
      <c r="A6995">
        <v>1240880</v>
      </c>
      <c r="B6995">
        <v>1241823</v>
      </c>
      <c r="D6995">
        <v>0</v>
      </c>
      <c r="E6995" t="s">
        <v>43908</v>
      </c>
      <c r="F6995" t="s">
        <v>43909</v>
      </c>
      <c r="G6995" t="s">
        <v>43910</v>
      </c>
      <c r="H6995" t="e" vm="3037">
        <f>_FV(0,"009559477646333435")</f>
        <v>#VALUE!</v>
      </c>
      <c r="I6995" t="s">
        <v>43911</v>
      </c>
      <c r="J6995" t="s">
        <v>43912</v>
      </c>
      <c r="K6995" t="s">
        <v>43913</v>
      </c>
      <c r="L6995" t="s">
        <v>43907</v>
      </c>
    </row>
    <row r="6996" spans="1:12" x14ac:dyDescent="0.25">
      <c r="A6996">
        <v>1240880</v>
      </c>
      <c r="B6996">
        <v>1241841</v>
      </c>
      <c r="D6996">
        <v>0</v>
      </c>
      <c r="E6996" t="s">
        <v>43915</v>
      </c>
      <c r="F6996" t="s">
        <v>43916</v>
      </c>
      <c r="G6996" t="s">
        <v>43917</v>
      </c>
      <c r="H6996" t="s">
        <v>43918</v>
      </c>
      <c r="I6996" t="s">
        <v>43919</v>
      </c>
      <c r="J6996" t="s">
        <v>43920</v>
      </c>
      <c r="K6996" t="s">
        <v>43921</v>
      </c>
      <c r="L6996" t="s">
        <v>43914</v>
      </c>
    </row>
    <row r="6997" spans="1:12" x14ac:dyDescent="0.25">
      <c r="A6997">
        <v>1240913</v>
      </c>
      <c r="B6997">
        <v>1240914</v>
      </c>
      <c r="D6997">
        <v>0</v>
      </c>
      <c r="F6997">
        <v>1336856</v>
      </c>
      <c r="G6997">
        <v>1240914</v>
      </c>
      <c r="H6997" t="e" vm="529">
        <f>_FV(0,"089")</f>
        <v>#VALUE!</v>
      </c>
      <c r="I6997">
        <v>1240913</v>
      </c>
      <c r="J6997" t="s">
        <v>7523</v>
      </c>
      <c r="K6997" t="s">
        <v>43922</v>
      </c>
      <c r="L6997" t="e" vm="529">
        <f>_FV(0,"089")</f>
        <v>#VALUE!</v>
      </c>
    </row>
    <row r="6998" spans="1:12" x14ac:dyDescent="0.25">
      <c r="A6998">
        <v>1240913</v>
      </c>
      <c r="B6998">
        <v>1241563</v>
      </c>
      <c r="D6998">
        <v>0</v>
      </c>
      <c r="E6998" t="s">
        <v>43924</v>
      </c>
      <c r="F6998" t="s">
        <v>43925</v>
      </c>
      <c r="G6998" t="s">
        <v>43926</v>
      </c>
      <c r="H6998" t="s">
        <v>43927</v>
      </c>
      <c r="I6998" t="s">
        <v>43928</v>
      </c>
      <c r="J6998" t="s">
        <v>43929</v>
      </c>
      <c r="K6998" t="s">
        <v>43930</v>
      </c>
      <c r="L6998" t="s">
        <v>43923</v>
      </c>
    </row>
    <row r="6999" spans="1:12" x14ac:dyDescent="0.25">
      <c r="A6999">
        <v>1240914</v>
      </c>
      <c r="B6999">
        <v>1241554</v>
      </c>
      <c r="D6999">
        <v>0</v>
      </c>
      <c r="E6999" t="s">
        <v>43932</v>
      </c>
      <c r="F6999" t="s">
        <v>43933</v>
      </c>
      <c r="G6999" t="s">
        <v>43934</v>
      </c>
      <c r="H6999" t="e" vm="3038">
        <f>_FV(0,"04932465179041811")</f>
        <v>#VALUE!</v>
      </c>
      <c r="I6999" t="s">
        <v>43935</v>
      </c>
      <c r="J6999" t="s">
        <v>43936</v>
      </c>
      <c r="K6999" t="s">
        <v>43937</v>
      </c>
      <c r="L6999" t="s">
        <v>43931</v>
      </c>
    </row>
    <row r="7000" spans="1:12" x14ac:dyDescent="0.25">
      <c r="A7000">
        <v>1240949</v>
      </c>
      <c r="B7000">
        <v>1240951</v>
      </c>
      <c r="D7000">
        <v>0</v>
      </c>
      <c r="F7000">
        <v>1336899</v>
      </c>
      <c r="G7000">
        <v>1240951</v>
      </c>
      <c r="H7000" t="s">
        <v>187</v>
      </c>
      <c r="I7000">
        <v>1240949</v>
      </c>
      <c r="J7000" t="s">
        <v>187</v>
      </c>
      <c r="K7000" t="s">
        <v>43938</v>
      </c>
      <c r="L7000" t="s">
        <v>187</v>
      </c>
    </row>
    <row r="7001" spans="1:12" x14ac:dyDescent="0.25">
      <c r="A7001">
        <v>1240951</v>
      </c>
      <c r="B7001">
        <v>1240970</v>
      </c>
      <c r="D7001" t="s">
        <v>330</v>
      </c>
      <c r="E7001" t="s">
        <v>43940</v>
      </c>
      <c r="F7001" t="s">
        <v>43941</v>
      </c>
      <c r="G7001" t="s">
        <v>43942</v>
      </c>
      <c r="H7001" t="e" vm="3039">
        <f>_FV(0,"0101950676947546")</f>
        <v>#VALUE!</v>
      </c>
      <c r="I7001" t="s">
        <v>43943</v>
      </c>
      <c r="J7001" t="s">
        <v>43944</v>
      </c>
      <c r="K7001" t="s">
        <v>43945</v>
      </c>
      <c r="L7001" t="s">
        <v>43939</v>
      </c>
    </row>
    <row r="7002" spans="1:12" x14ac:dyDescent="0.25">
      <c r="A7002">
        <v>1240951</v>
      </c>
      <c r="B7002">
        <v>1241680</v>
      </c>
      <c r="D7002">
        <v>0</v>
      </c>
      <c r="E7002" t="s">
        <v>43947</v>
      </c>
      <c r="F7002" t="s">
        <v>43948</v>
      </c>
      <c r="G7002" t="s">
        <v>43949</v>
      </c>
      <c r="H7002" t="e" vm="3040">
        <f>_FV(0,"006602722380887373")</f>
        <v>#VALUE!</v>
      </c>
      <c r="I7002" t="s">
        <v>43950</v>
      </c>
      <c r="J7002" t="s">
        <v>43951</v>
      </c>
      <c r="K7002" t="s">
        <v>43952</v>
      </c>
      <c r="L7002" t="s">
        <v>43946</v>
      </c>
    </row>
    <row r="7003" spans="1:12" x14ac:dyDescent="0.25">
      <c r="A7003">
        <v>1240970</v>
      </c>
      <c r="B7003">
        <v>1240981</v>
      </c>
      <c r="D7003">
        <v>0</v>
      </c>
      <c r="F7003">
        <v>1336939</v>
      </c>
      <c r="G7003">
        <v>1240981</v>
      </c>
      <c r="H7003" t="s">
        <v>1534</v>
      </c>
      <c r="I7003">
        <v>1240970</v>
      </c>
      <c r="J7003" t="s">
        <v>1534</v>
      </c>
      <c r="K7003" t="s">
        <v>43953</v>
      </c>
      <c r="L7003" t="s">
        <v>1534</v>
      </c>
    </row>
    <row r="7004" spans="1:12" x14ac:dyDescent="0.25">
      <c r="A7004">
        <v>1240970</v>
      </c>
      <c r="B7004">
        <v>1241924</v>
      </c>
      <c r="D7004">
        <v>0</v>
      </c>
      <c r="E7004" t="s">
        <v>43955</v>
      </c>
      <c r="F7004" t="s">
        <v>43956</v>
      </c>
      <c r="G7004" t="s">
        <v>43957</v>
      </c>
      <c r="H7004" t="s">
        <v>43958</v>
      </c>
      <c r="I7004" t="s">
        <v>43959</v>
      </c>
      <c r="J7004" t="s">
        <v>43954</v>
      </c>
      <c r="K7004" t="s">
        <v>43960</v>
      </c>
      <c r="L7004" t="s">
        <v>43954</v>
      </c>
    </row>
    <row r="7005" spans="1:12" x14ac:dyDescent="0.25">
      <c r="A7005">
        <v>1240981</v>
      </c>
      <c r="B7005">
        <v>1241946</v>
      </c>
      <c r="D7005">
        <v>0</v>
      </c>
      <c r="E7005" t="s">
        <v>43962</v>
      </c>
      <c r="F7005" t="s">
        <v>43963</v>
      </c>
      <c r="G7005" t="s">
        <v>43964</v>
      </c>
      <c r="H7005" t="e" vm="3041">
        <f>_FV(0,"01046599171437453")</f>
        <v>#VALUE!</v>
      </c>
      <c r="I7005" t="s">
        <v>43965</v>
      </c>
      <c r="J7005" t="s">
        <v>43966</v>
      </c>
      <c r="K7005" t="s">
        <v>43967</v>
      </c>
      <c r="L7005" t="s">
        <v>43961</v>
      </c>
    </row>
    <row r="7006" spans="1:12" x14ac:dyDescent="0.25">
      <c r="A7006">
        <v>1241123</v>
      </c>
      <c r="B7006">
        <v>1241139</v>
      </c>
      <c r="D7006">
        <v>0</v>
      </c>
      <c r="E7006" t="s">
        <v>43969</v>
      </c>
      <c r="F7006" t="s">
        <v>43970</v>
      </c>
      <c r="G7006" t="s">
        <v>43971</v>
      </c>
      <c r="H7006" t="s">
        <v>43972</v>
      </c>
      <c r="I7006" t="s">
        <v>43973</v>
      </c>
      <c r="J7006" t="s">
        <v>43968</v>
      </c>
      <c r="K7006" t="s">
        <v>43974</v>
      </c>
      <c r="L7006" t="s">
        <v>43968</v>
      </c>
    </row>
    <row r="7007" spans="1:12" x14ac:dyDescent="0.25">
      <c r="A7007">
        <v>1241303</v>
      </c>
      <c r="B7007">
        <v>1241705</v>
      </c>
      <c r="D7007">
        <v>0</v>
      </c>
      <c r="E7007" t="s">
        <v>43976</v>
      </c>
      <c r="F7007" t="s">
        <v>43977</v>
      </c>
      <c r="G7007" t="s">
        <v>43978</v>
      </c>
      <c r="H7007" t="e" vm="3042">
        <f>_FV(0,"0038711154221682123")</f>
        <v>#VALUE!</v>
      </c>
      <c r="I7007" t="s">
        <v>43979</v>
      </c>
      <c r="J7007" t="s">
        <v>43980</v>
      </c>
      <c r="K7007" t="s">
        <v>43981</v>
      </c>
      <c r="L7007" t="s">
        <v>43975</v>
      </c>
    </row>
    <row r="7008" spans="1:12" x14ac:dyDescent="0.25">
      <c r="A7008">
        <v>1241307</v>
      </c>
      <c r="B7008">
        <v>1241721</v>
      </c>
      <c r="D7008">
        <v>0</v>
      </c>
      <c r="E7008" t="s">
        <v>43982</v>
      </c>
      <c r="F7008" t="s">
        <v>43983</v>
      </c>
      <c r="G7008" t="s">
        <v>43984</v>
      </c>
      <c r="H7008" t="s">
        <v>43985</v>
      </c>
      <c r="I7008" t="s">
        <v>43986</v>
      </c>
      <c r="J7008" t="s">
        <v>746</v>
      </c>
      <c r="K7008" t="s">
        <v>43987</v>
      </c>
      <c r="L7008" t="s">
        <v>746</v>
      </c>
    </row>
    <row r="7009" spans="1:12" x14ac:dyDescent="0.25">
      <c r="A7009">
        <v>1241493</v>
      </c>
      <c r="B7009">
        <v>1241554</v>
      </c>
      <c r="D7009" t="s">
        <v>10659</v>
      </c>
      <c r="E7009" t="s">
        <v>43989</v>
      </c>
      <c r="F7009" t="s">
        <v>43990</v>
      </c>
      <c r="G7009" t="s">
        <v>43991</v>
      </c>
      <c r="H7009" t="e" vm="3043">
        <f>_FV(0,"029192929045658008")</f>
        <v>#VALUE!</v>
      </c>
      <c r="I7009" t="s">
        <v>43992</v>
      </c>
      <c r="J7009" t="s">
        <v>43993</v>
      </c>
      <c r="K7009" t="s">
        <v>43994</v>
      </c>
      <c r="L7009" t="s">
        <v>43988</v>
      </c>
    </row>
    <row r="7010" spans="1:12" x14ac:dyDescent="0.25">
      <c r="A7010">
        <v>1241544</v>
      </c>
      <c r="B7010">
        <v>1453477</v>
      </c>
      <c r="D7010" t="s">
        <v>43996</v>
      </c>
      <c r="E7010" t="s">
        <v>43997</v>
      </c>
      <c r="F7010" t="s">
        <v>43998</v>
      </c>
      <c r="G7010" t="s">
        <v>43999</v>
      </c>
      <c r="H7010" t="e" vm="3044">
        <f>_FV(0,"08934498381353596")</f>
        <v>#VALUE!</v>
      </c>
      <c r="I7010" t="s">
        <v>44000</v>
      </c>
      <c r="J7010" t="s">
        <v>44001</v>
      </c>
      <c r="K7010" t="s">
        <v>44002</v>
      </c>
      <c r="L7010" t="s">
        <v>43995</v>
      </c>
    </row>
    <row r="7011" spans="1:12" x14ac:dyDescent="0.25">
      <c r="A7011">
        <v>1241554</v>
      </c>
      <c r="B7011">
        <v>1241563</v>
      </c>
      <c r="D7011">
        <v>0</v>
      </c>
      <c r="E7011" t="s">
        <v>44004</v>
      </c>
      <c r="F7011" t="s">
        <v>44005</v>
      </c>
      <c r="G7011" t="s">
        <v>44006</v>
      </c>
      <c r="H7011" t="e" vm="3045">
        <f>_FV(0,"025330666909956466")</f>
        <v>#VALUE!</v>
      </c>
      <c r="I7011" t="s">
        <v>44007</v>
      </c>
      <c r="J7011" t="s">
        <v>44008</v>
      </c>
      <c r="K7011" t="s">
        <v>44009</v>
      </c>
      <c r="L7011" t="s">
        <v>44003</v>
      </c>
    </row>
    <row r="7012" spans="1:12" x14ac:dyDescent="0.25">
      <c r="A7012">
        <v>1241563</v>
      </c>
      <c r="B7012">
        <v>1241680</v>
      </c>
      <c r="D7012" t="s">
        <v>44011</v>
      </c>
      <c r="E7012" t="s">
        <v>44012</v>
      </c>
      <c r="F7012" t="s">
        <v>44013</v>
      </c>
      <c r="G7012" t="s">
        <v>44014</v>
      </c>
      <c r="H7012" t="e" vm="3046">
        <f>_FV(0,"026391725839371067")</f>
        <v>#VALUE!</v>
      </c>
      <c r="I7012" t="s">
        <v>44015</v>
      </c>
      <c r="J7012" t="s">
        <v>44016</v>
      </c>
      <c r="K7012" t="s">
        <v>44017</v>
      </c>
      <c r="L7012" t="s">
        <v>44010</v>
      </c>
    </row>
    <row r="7013" spans="1:12" x14ac:dyDescent="0.25">
      <c r="A7013">
        <v>1241585</v>
      </c>
      <c r="B7013">
        <v>1264264</v>
      </c>
      <c r="D7013" t="s">
        <v>8331</v>
      </c>
      <c r="E7013" t="s">
        <v>44019</v>
      </c>
      <c r="F7013" t="s">
        <v>44020</v>
      </c>
      <c r="G7013" t="s">
        <v>44021</v>
      </c>
      <c r="H7013" t="s">
        <v>44022</v>
      </c>
      <c r="I7013" t="s">
        <v>44023</v>
      </c>
      <c r="J7013" t="s">
        <v>44024</v>
      </c>
      <c r="K7013" t="s">
        <v>44025</v>
      </c>
      <c r="L7013" t="s">
        <v>44018</v>
      </c>
    </row>
    <row r="7014" spans="1:12" x14ac:dyDescent="0.25">
      <c r="A7014">
        <v>1241680</v>
      </c>
      <c r="B7014">
        <v>1241691</v>
      </c>
      <c r="D7014">
        <v>0</v>
      </c>
      <c r="E7014" t="s">
        <v>44027</v>
      </c>
      <c r="F7014" t="s">
        <v>44028</v>
      </c>
      <c r="G7014" t="s">
        <v>44029</v>
      </c>
      <c r="H7014" t="s">
        <v>44030</v>
      </c>
      <c r="I7014" t="s">
        <v>44031</v>
      </c>
      <c r="J7014" t="s">
        <v>44032</v>
      </c>
      <c r="K7014" t="s">
        <v>44033</v>
      </c>
      <c r="L7014" t="s">
        <v>44026</v>
      </c>
    </row>
    <row r="7015" spans="1:12" x14ac:dyDescent="0.25">
      <c r="A7015">
        <v>1241691</v>
      </c>
      <c r="B7015">
        <v>1241705</v>
      </c>
      <c r="D7015">
        <v>0</v>
      </c>
      <c r="E7015" t="s">
        <v>44035</v>
      </c>
      <c r="F7015" t="s">
        <v>44036</v>
      </c>
      <c r="G7015" t="s">
        <v>44037</v>
      </c>
      <c r="H7015" t="e" vm="3047">
        <f>_FV(0,"0018086726416742937")</f>
        <v>#VALUE!</v>
      </c>
      <c r="I7015" t="s">
        <v>44038</v>
      </c>
      <c r="J7015" t="s">
        <v>44039</v>
      </c>
      <c r="K7015" t="s">
        <v>44040</v>
      </c>
      <c r="L7015" t="s">
        <v>44034</v>
      </c>
    </row>
    <row r="7016" spans="1:12" x14ac:dyDescent="0.25">
      <c r="A7016">
        <v>1241705</v>
      </c>
      <c r="B7016">
        <v>1241721</v>
      </c>
      <c r="D7016">
        <v>0</v>
      </c>
      <c r="E7016" t="s">
        <v>44042</v>
      </c>
      <c r="F7016" t="s">
        <v>44043</v>
      </c>
      <c r="G7016" t="s">
        <v>44044</v>
      </c>
      <c r="H7016" t="s">
        <v>44045</v>
      </c>
      <c r="I7016" t="s">
        <v>44046</v>
      </c>
      <c r="J7016" t="s">
        <v>15584</v>
      </c>
      <c r="K7016" t="s">
        <v>44047</v>
      </c>
      <c r="L7016" t="s">
        <v>44041</v>
      </c>
    </row>
    <row r="7017" spans="1:12" x14ac:dyDescent="0.25">
      <c r="A7017">
        <v>1241721</v>
      </c>
      <c r="B7017">
        <v>1506520</v>
      </c>
      <c r="D7017" t="s">
        <v>44049</v>
      </c>
      <c r="E7017" t="s">
        <v>44050</v>
      </c>
      <c r="F7017" t="s">
        <v>44051</v>
      </c>
      <c r="G7017" t="s">
        <v>44052</v>
      </c>
      <c r="H7017" t="s">
        <v>44053</v>
      </c>
      <c r="I7017" t="s">
        <v>44054</v>
      </c>
      <c r="J7017" t="s">
        <v>44055</v>
      </c>
      <c r="K7017" t="s">
        <v>44056</v>
      </c>
      <c r="L7017" t="s">
        <v>44048</v>
      </c>
    </row>
    <row r="7018" spans="1:12" x14ac:dyDescent="0.25">
      <c r="A7018">
        <v>1241758</v>
      </c>
      <c r="B7018">
        <v>1241823</v>
      </c>
      <c r="C7018" t="s">
        <v>44058</v>
      </c>
      <c r="D7018" t="s">
        <v>1007</v>
      </c>
      <c r="E7018" t="s">
        <v>44059</v>
      </c>
      <c r="F7018" t="s">
        <v>44060</v>
      </c>
      <c r="G7018" t="s">
        <v>44061</v>
      </c>
      <c r="H7018" t="e" vm="3048">
        <f>_FV(0,"026481225720591455")</f>
        <v>#VALUE!</v>
      </c>
      <c r="I7018" t="s">
        <v>44062</v>
      </c>
      <c r="J7018" t="s">
        <v>44063</v>
      </c>
      <c r="K7018" t="s">
        <v>44064</v>
      </c>
      <c r="L7018" t="s">
        <v>44057</v>
      </c>
    </row>
    <row r="7019" spans="1:12" x14ac:dyDescent="0.25">
      <c r="A7019">
        <v>1241823</v>
      </c>
      <c r="B7019">
        <v>1241841</v>
      </c>
      <c r="D7019">
        <v>0</v>
      </c>
      <c r="E7019" t="s">
        <v>44066</v>
      </c>
      <c r="F7019" t="s">
        <v>44067</v>
      </c>
      <c r="G7019" t="s">
        <v>44068</v>
      </c>
      <c r="H7019" t="e" vm="3049">
        <f>_FV(0,"019378966404093975")</f>
        <v>#VALUE!</v>
      </c>
      <c r="I7019" t="s">
        <v>44069</v>
      </c>
      <c r="J7019" t="s">
        <v>44070</v>
      </c>
      <c r="K7019" t="s">
        <v>44071</v>
      </c>
      <c r="L7019" t="s">
        <v>44065</v>
      </c>
    </row>
    <row r="7020" spans="1:12" x14ac:dyDescent="0.25">
      <c r="A7020">
        <v>1241841</v>
      </c>
      <c r="B7020">
        <v>1241924</v>
      </c>
      <c r="D7020" t="s">
        <v>44073</v>
      </c>
      <c r="E7020" t="s">
        <v>44074</v>
      </c>
      <c r="F7020" t="s">
        <v>44075</v>
      </c>
      <c r="G7020" t="s">
        <v>44076</v>
      </c>
      <c r="H7020" t="e" vm="3050">
        <f>_FV(0,"026258099368359815")</f>
        <v>#VALUE!</v>
      </c>
      <c r="I7020" t="s">
        <v>44077</v>
      </c>
      <c r="J7020" t="s">
        <v>44078</v>
      </c>
      <c r="K7020" t="s">
        <v>44079</v>
      </c>
      <c r="L7020" t="s">
        <v>44072</v>
      </c>
    </row>
    <row r="7021" spans="1:12" x14ac:dyDescent="0.25">
      <c r="A7021">
        <v>1241924</v>
      </c>
      <c r="B7021">
        <v>1241946</v>
      </c>
      <c r="D7021">
        <v>0</v>
      </c>
      <c r="E7021" t="s">
        <v>44081</v>
      </c>
      <c r="F7021" t="s">
        <v>44082</v>
      </c>
      <c r="G7021" t="s">
        <v>44083</v>
      </c>
      <c r="H7021" t="e" vm="3051">
        <f>_FV(0,"0073690478463623536")</f>
        <v>#VALUE!</v>
      </c>
      <c r="I7021" t="s">
        <v>44084</v>
      </c>
      <c r="J7021" t="s">
        <v>44085</v>
      </c>
      <c r="K7021" t="s">
        <v>44086</v>
      </c>
      <c r="L7021" t="s">
        <v>44080</v>
      </c>
    </row>
    <row r="7022" spans="1:12" x14ac:dyDescent="0.25">
      <c r="A7022">
        <v>1241937</v>
      </c>
      <c r="B7022">
        <v>1264308</v>
      </c>
      <c r="D7022">
        <v>0</v>
      </c>
      <c r="F7022">
        <v>1371367</v>
      </c>
      <c r="G7022">
        <v>1264308</v>
      </c>
      <c r="H7022" t="e" vm="350">
        <f>_FV(0,"009")</f>
        <v>#VALUE!</v>
      </c>
      <c r="I7022">
        <v>1241937</v>
      </c>
      <c r="J7022" t="s">
        <v>2068</v>
      </c>
      <c r="K7022" t="s">
        <v>44087</v>
      </c>
      <c r="L7022" t="e" vm="350">
        <f>_FV(0,"009")</f>
        <v>#VALUE!</v>
      </c>
    </row>
    <row r="7023" spans="1:12" x14ac:dyDescent="0.25">
      <c r="A7023">
        <v>1241946</v>
      </c>
      <c r="B7023">
        <v>1241980</v>
      </c>
      <c r="D7023">
        <v>0</v>
      </c>
      <c r="E7023" t="s">
        <v>44089</v>
      </c>
      <c r="F7023" t="s">
        <v>44090</v>
      </c>
      <c r="G7023" t="s">
        <v>44091</v>
      </c>
      <c r="H7023" t="s">
        <v>44092</v>
      </c>
      <c r="I7023" t="s">
        <v>44093</v>
      </c>
      <c r="J7023" t="s">
        <v>44094</v>
      </c>
      <c r="K7023" t="s">
        <v>44095</v>
      </c>
      <c r="L7023" t="s">
        <v>44088</v>
      </c>
    </row>
    <row r="7024" spans="1:12" x14ac:dyDescent="0.25">
      <c r="A7024">
        <v>1241980</v>
      </c>
      <c r="B7024">
        <v>1241993</v>
      </c>
      <c r="D7024">
        <v>0</v>
      </c>
      <c r="E7024" t="s">
        <v>44097</v>
      </c>
      <c r="F7024" t="s">
        <v>44098</v>
      </c>
      <c r="G7024" t="s">
        <v>44099</v>
      </c>
      <c r="H7024" t="e" vm="3052">
        <f>_FV(0,"004771493477330398")</f>
        <v>#VALUE!</v>
      </c>
      <c r="I7024" t="s">
        <v>44100</v>
      </c>
      <c r="J7024" t="s">
        <v>44101</v>
      </c>
      <c r="K7024" t="s">
        <v>44102</v>
      </c>
      <c r="L7024" t="s">
        <v>44096</v>
      </c>
    </row>
    <row r="7025" spans="1:12" x14ac:dyDescent="0.25">
      <c r="A7025">
        <v>1241993</v>
      </c>
      <c r="B7025">
        <v>1506520</v>
      </c>
      <c r="D7025" t="s">
        <v>44104</v>
      </c>
      <c r="E7025" t="s">
        <v>44105</v>
      </c>
      <c r="F7025" t="s">
        <v>44106</v>
      </c>
      <c r="G7025" t="s">
        <v>44107</v>
      </c>
      <c r="H7025" t="s">
        <v>44108</v>
      </c>
      <c r="I7025" t="s">
        <v>44109</v>
      </c>
      <c r="J7025" t="s">
        <v>44110</v>
      </c>
      <c r="K7025" t="s">
        <v>44111</v>
      </c>
      <c r="L7025" t="s">
        <v>44103</v>
      </c>
    </row>
    <row r="7026" spans="1:12" x14ac:dyDescent="0.25">
      <c r="A7026">
        <v>1242074</v>
      </c>
      <c r="B7026">
        <v>1242103</v>
      </c>
      <c r="C7026" t="s">
        <v>44113</v>
      </c>
      <c r="D7026">
        <v>0</v>
      </c>
      <c r="E7026" t="s">
        <v>44114</v>
      </c>
      <c r="F7026" t="s">
        <v>44115</v>
      </c>
      <c r="G7026" t="s">
        <v>44116</v>
      </c>
      <c r="H7026" t="s">
        <v>44117</v>
      </c>
      <c r="I7026" t="s">
        <v>44118</v>
      </c>
      <c r="J7026" t="s">
        <v>44119</v>
      </c>
      <c r="K7026" t="s">
        <v>44120</v>
      </c>
      <c r="L7026" t="s">
        <v>44112</v>
      </c>
    </row>
    <row r="7027" spans="1:12" x14ac:dyDescent="0.25">
      <c r="A7027">
        <v>1242509</v>
      </c>
      <c r="B7027">
        <v>1242515</v>
      </c>
      <c r="D7027">
        <v>0</v>
      </c>
      <c r="E7027" t="s">
        <v>44122</v>
      </c>
      <c r="F7027" t="s">
        <v>44123</v>
      </c>
      <c r="G7027" t="s">
        <v>44124</v>
      </c>
      <c r="H7027" t="e" vm="3053">
        <f>_FV(0,"06554834505561188")</f>
        <v>#VALUE!</v>
      </c>
      <c r="I7027" t="s">
        <v>44125</v>
      </c>
      <c r="J7027" t="s">
        <v>44126</v>
      </c>
      <c r="K7027" t="s">
        <v>44127</v>
      </c>
      <c r="L7027" t="s">
        <v>44121</v>
      </c>
    </row>
    <row r="7028" spans="1:12" x14ac:dyDescent="0.25">
      <c r="A7028">
        <v>1242509</v>
      </c>
      <c r="B7028">
        <v>1242529</v>
      </c>
      <c r="D7028">
        <v>0</v>
      </c>
      <c r="E7028" t="s">
        <v>44128</v>
      </c>
      <c r="F7028" t="s">
        <v>44129</v>
      </c>
      <c r="G7028" t="s">
        <v>44130</v>
      </c>
      <c r="H7028" t="e" vm="3054">
        <f>_FV(0,"07648488073275038")</f>
        <v>#VALUE!</v>
      </c>
      <c r="I7028" t="s">
        <v>44131</v>
      </c>
      <c r="J7028" t="s">
        <v>23508</v>
      </c>
      <c r="K7028" t="s">
        <v>44132</v>
      </c>
      <c r="L7028" t="s">
        <v>23503</v>
      </c>
    </row>
    <row r="7029" spans="1:12" x14ac:dyDescent="0.25">
      <c r="A7029">
        <v>1242509</v>
      </c>
      <c r="B7029">
        <v>1242665</v>
      </c>
      <c r="D7029">
        <v>0</v>
      </c>
      <c r="F7029">
        <v>1339357</v>
      </c>
      <c r="G7029">
        <v>1242509</v>
      </c>
      <c r="H7029" t="s">
        <v>187</v>
      </c>
      <c r="I7029">
        <v>1242665</v>
      </c>
      <c r="J7029" t="s">
        <v>187</v>
      </c>
      <c r="K7029" t="s">
        <v>44133</v>
      </c>
      <c r="L7029" t="s">
        <v>187</v>
      </c>
    </row>
    <row r="7030" spans="1:12" x14ac:dyDescent="0.25">
      <c r="A7030">
        <v>1242515</v>
      </c>
      <c r="B7030">
        <v>1242529</v>
      </c>
      <c r="D7030">
        <v>0</v>
      </c>
      <c r="E7030" t="s">
        <v>44135</v>
      </c>
      <c r="F7030" t="s">
        <v>44136</v>
      </c>
      <c r="G7030" t="s">
        <v>44137</v>
      </c>
      <c r="H7030" t="e" vm="3055">
        <f>_FV(0,"020035538213350308")</f>
        <v>#VALUE!</v>
      </c>
      <c r="I7030" t="s">
        <v>44138</v>
      </c>
      <c r="J7030" t="s">
        <v>43827</v>
      </c>
      <c r="K7030" t="s">
        <v>44139</v>
      </c>
      <c r="L7030" t="s">
        <v>44134</v>
      </c>
    </row>
    <row r="7031" spans="1:12" x14ac:dyDescent="0.25">
      <c r="A7031">
        <v>1242515</v>
      </c>
      <c r="B7031">
        <v>1242872</v>
      </c>
      <c r="D7031">
        <v>0</v>
      </c>
      <c r="F7031">
        <v>1339413</v>
      </c>
      <c r="G7031">
        <v>1242515</v>
      </c>
      <c r="H7031" t="s">
        <v>12171</v>
      </c>
      <c r="I7031">
        <v>1242872</v>
      </c>
      <c r="J7031" t="s">
        <v>12171</v>
      </c>
      <c r="K7031" t="s">
        <v>44140</v>
      </c>
      <c r="L7031" t="s">
        <v>12171</v>
      </c>
    </row>
    <row r="7032" spans="1:12" x14ac:dyDescent="0.25">
      <c r="A7032">
        <v>1242529</v>
      </c>
      <c r="B7032">
        <v>1242592</v>
      </c>
      <c r="D7032">
        <v>0</v>
      </c>
      <c r="E7032" t="s">
        <v>44142</v>
      </c>
      <c r="F7032" t="s">
        <v>44143</v>
      </c>
      <c r="G7032" t="s">
        <v>44144</v>
      </c>
      <c r="H7032" t="e" vm="3056">
        <f>_FV(0,"02377134070670074")</f>
        <v>#VALUE!</v>
      </c>
      <c r="I7032" t="s">
        <v>44145</v>
      </c>
      <c r="J7032" t="s">
        <v>44146</v>
      </c>
      <c r="K7032" t="s">
        <v>44147</v>
      </c>
      <c r="L7032" t="s">
        <v>44141</v>
      </c>
    </row>
    <row r="7033" spans="1:12" x14ac:dyDescent="0.25">
      <c r="A7033">
        <v>1242592</v>
      </c>
      <c r="B7033">
        <v>1242600</v>
      </c>
      <c r="D7033">
        <v>0</v>
      </c>
      <c r="E7033" t="s">
        <v>44149</v>
      </c>
      <c r="F7033" t="s">
        <v>44150</v>
      </c>
      <c r="G7033" t="s">
        <v>44151</v>
      </c>
      <c r="H7033" t="e" vm="3057">
        <f>_FV(0,"004327066751824263")</f>
        <v>#VALUE!</v>
      </c>
      <c r="I7033" t="s">
        <v>44152</v>
      </c>
      <c r="J7033" t="s">
        <v>44153</v>
      </c>
      <c r="K7033" t="s">
        <v>44154</v>
      </c>
      <c r="L7033" t="s">
        <v>44148</v>
      </c>
    </row>
    <row r="7034" spans="1:12" x14ac:dyDescent="0.25">
      <c r="A7034">
        <v>1242592</v>
      </c>
      <c r="B7034">
        <v>1242872</v>
      </c>
      <c r="D7034">
        <v>0</v>
      </c>
      <c r="E7034" t="s">
        <v>44156</v>
      </c>
      <c r="F7034" t="s">
        <v>44157</v>
      </c>
      <c r="G7034" t="s">
        <v>44158</v>
      </c>
      <c r="H7034" t="s">
        <v>44159</v>
      </c>
      <c r="I7034" t="s">
        <v>44160</v>
      </c>
      <c r="J7034" t="s">
        <v>44155</v>
      </c>
      <c r="K7034" t="s">
        <v>44161</v>
      </c>
      <c r="L7034" t="s">
        <v>44155</v>
      </c>
    </row>
    <row r="7035" spans="1:12" x14ac:dyDescent="0.25">
      <c r="A7035">
        <v>1242600</v>
      </c>
      <c r="B7035">
        <v>1242779</v>
      </c>
      <c r="D7035">
        <v>0</v>
      </c>
      <c r="E7035" t="s">
        <v>44163</v>
      </c>
      <c r="F7035" t="s">
        <v>44164</v>
      </c>
      <c r="G7035" t="s">
        <v>44165</v>
      </c>
      <c r="H7035" t="e" vm="3058">
        <f>_FV(0,"0492205222670958")</f>
        <v>#VALUE!</v>
      </c>
      <c r="I7035" t="s">
        <v>44166</v>
      </c>
      <c r="J7035" t="s">
        <v>44167</v>
      </c>
      <c r="K7035" t="s">
        <v>44168</v>
      </c>
      <c r="L7035" t="s">
        <v>44162</v>
      </c>
    </row>
    <row r="7036" spans="1:12" x14ac:dyDescent="0.25">
      <c r="A7036">
        <v>1242600</v>
      </c>
      <c r="B7036">
        <v>1242872</v>
      </c>
      <c r="D7036">
        <v>0</v>
      </c>
      <c r="E7036" t="s">
        <v>44169</v>
      </c>
      <c r="F7036" t="s">
        <v>44170</v>
      </c>
      <c r="G7036" t="s">
        <v>44171</v>
      </c>
      <c r="H7036" t="e" vm="3059">
        <f>_FV(0,"030471384208369943")</f>
        <v>#VALUE!</v>
      </c>
      <c r="I7036" t="s">
        <v>44172</v>
      </c>
      <c r="J7036" t="s">
        <v>25205</v>
      </c>
      <c r="K7036" t="s">
        <v>44173</v>
      </c>
      <c r="L7036" t="s">
        <v>25200</v>
      </c>
    </row>
    <row r="7037" spans="1:12" x14ac:dyDescent="0.25">
      <c r="A7037">
        <v>1242779</v>
      </c>
      <c r="B7037">
        <v>1663567</v>
      </c>
      <c r="D7037" t="s">
        <v>34104</v>
      </c>
      <c r="E7037" t="s">
        <v>44175</v>
      </c>
      <c r="F7037" t="s">
        <v>44176</v>
      </c>
      <c r="G7037" t="s">
        <v>44177</v>
      </c>
      <c r="H7037" t="e" vm="3060">
        <f>_FV(0,"0026345007791676997")</f>
        <v>#VALUE!</v>
      </c>
      <c r="I7037" t="s">
        <v>44178</v>
      </c>
      <c r="J7037" t="s">
        <v>44179</v>
      </c>
      <c r="K7037" t="s">
        <v>44180</v>
      </c>
      <c r="L7037" t="s">
        <v>44174</v>
      </c>
    </row>
    <row r="7038" spans="1:12" x14ac:dyDescent="0.25">
      <c r="A7038">
        <v>1242779</v>
      </c>
      <c r="B7038">
        <v>1242647</v>
      </c>
      <c r="D7038">
        <v>0</v>
      </c>
      <c r="E7038" t="s">
        <v>44182</v>
      </c>
      <c r="F7038" t="s">
        <v>44183</v>
      </c>
      <c r="G7038" t="s">
        <v>44184</v>
      </c>
      <c r="H7038" t="s">
        <v>44185</v>
      </c>
      <c r="I7038" t="s">
        <v>44186</v>
      </c>
      <c r="J7038" t="s">
        <v>44187</v>
      </c>
      <c r="K7038" t="s">
        <v>44188</v>
      </c>
      <c r="L7038" t="s">
        <v>44181</v>
      </c>
    </row>
    <row r="7039" spans="1:12" x14ac:dyDescent="0.25">
      <c r="A7039">
        <v>1242665</v>
      </c>
      <c r="B7039">
        <v>1263183</v>
      </c>
      <c r="D7039">
        <v>0</v>
      </c>
      <c r="E7039" t="s">
        <v>44190</v>
      </c>
      <c r="F7039" t="s">
        <v>44191</v>
      </c>
      <c r="G7039" t="s">
        <v>44192</v>
      </c>
      <c r="H7039" t="s">
        <v>44193</v>
      </c>
      <c r="I7039" t="s">
        <v>44194</v>
      </c>
      <c r="J7039" t="s">
        <v>44195</v>
      </c>
      <c r="K7039" t="s">
        <v>44196</v>
      </c>
      <c r="L7039" t="s">
        <v>44189</v>
      </c>
    </row>
    <row r="7040" spans="1:12" x14ac:dyDescent="0.25">
      <c r="A7040">
        <v>1244035</v>
      </c>
      <c r="B7040">
        <v>1244036</v>
      </c>
      <c r="D7040">
        <v>0</v>
      </c>
      <c r="F7040">
        <v>1340962</v>
      </c>
      <c r="G7040">
        <v>1244036</v>
      </c>
      <c r="H7040" t="s">
        <v>1939</v>
      </c>
      <c r="I7040">
        <v>1244035</v>
      </c>
      <c r="J7040" t="s">
        <v>1939</v>
      </c>
      <c r="K7040" t="s">
        <v>44197</v>
      </c>
      <c r="L7040" t="s">
        <v>1939</v>
      </c>
    </row>
    <row r="7041" spans="1:12" x14ac:dyDescent="0.25">
      <c r="A7041">
        <v>1244035</v>
      </c>
      <c r="B7041">
        <v>1810042</v>
      </c>
      <c r="D7041">
        <v>0</v>
      </c>
      <c r="E7041" t="s">
        <v>44199</v>
      </c>
      <c r="F7041" t="s">
        <v>44200</v>
      </c>
      <c r="G7041" t="s">
        <v>44201</v>
      </c>
      <c r="H7041" t="e" vm="3061">
        <f>_FV(0,"03105243280817953")</f>
        <v>#VALUE!</v>
      </c>
      <c r="I7041" t="s">
        <v>44202</v>
      </c>
      <c r="J7041" t="s">
        <v>44203</v>
      </c>
      <c r="K7041" t="s">
        <v>44204</v>
      </c>
      <c r="L7041" t="s">
        <v>44198</v>
      </c>
    </row>
    <row r="7042" spans="1:12" x14ac:dyDescent="0.25">
      <c r="A7042">
        <v>1244035</v>
      </c>
      <c r="B7042">
        <v>1244116</v>
      </c>
      <c r="D7042">
        <v>0</v>
      </c>
      <c r="E7042" t="s">
        <v>44206</v>
      </c>
      <c r="F7042" t="s">
        <v>44207</v>
      </c>
      <c r="G7042" t="s">
        <v>44208</v>
      </c>
      <c r="H7042" t="s">
        <v>44209</v>
      </c>
      <c r="I7042" t="s">
        <v>44210</v>
      </c>
      <c r="J7042" t="s">
        <v>44211</v>
      </c>
      <c r="K7042" t="s">
        <v>44212</v>
      </c>
      <c r="L7042" t="s">
        <v>44205</v>
      </c>
    </row>
    <row r="7043" spans="1:12" x14ac:dyDescent="0.25">
      <c r="A7043">
        <v>1244036</v>
      </c>
      <c r="B7043">
        <v>1244130</v>
      </c>
      <c r="C7043" t="s">
        <v>44214</v>
      </c>
      <c r="D7043">
        <v>0</v>
      </c>
      <c r="E7043" t="s">
        <v>44215</v>
      </c>
      <c r="F7043" t="s">
        <v>44216</v>
      </c>
      <c r="G7043" t="s">
        <v>44217</v>
      </c>
      <c r="H7043" t="s">
        <v>44218</v>
      </c>
      <c r="I7043" t="s">
        <v>44219</v>
      </c>
      <c r="J7043" t="s">
        <v>44220</v>
      </c>
      <c r="K7043" t="s">
        <v>44221</v>
      </c>
      <c r="L7043" t="s">
        <v>44213</v>
      </c>
    </row>
    <row r="7044" spans="1:12" x14ac:dyDescent="0.25">
      <c r="A7044">
        <v>1244036</v>
      </c>
      <c r="B7044">
        <v>1244337</v>
      </c>
      <c r="D7044">
        <v>0</v>
      </c>
      <c r="E7044" t="s">
        <v>44223</v>
      </c>
      <c r="F7044" t="s">
        <v>44224</v>
      </c>
      <c r="G7044" t="s">
        <v>44225</v>
      </c>
      <c r="H7044" t="s">
        <v>44226</v>
      </c>
      <c r="I7044" t="s">
        <v>44227</v>
      </c>
      <c r="J7044" t="s">
        <v>44222</v>
      </c>
      <c r="K7044" t="s">
        <v>44228</v>
      </c>
      <c r="L7044" t="s">
        <v>44222</v>
      </c>
    </row>
    <row r="7045" spans="1:12" x14ac:dyDescent="0.25">
      <c r="A7045">
        <v>1244075</v>
      </c>
      <c r="B7045">
        <v>1244130</v>
      </c>
      <c r="D7045">
        <v>0</v>
      </c>
      <c r="E7045" t="s">
        <v>44230</v>
      </c>
      <c r="F7045" t="s">
        <v>44231</v>
      </c>
      <c r="G7045" t="s">
        <v>44232</v>
      </c>
      <c r="H7045" t="e" vm="3062">
        <f>_FV(0,"07106636931744632")</f>
        <v>#VALUE!</v>
      </c>
      <c r="I7045" t="s">
        <v>44233</v>
      </c>
      <c r="J7045" t="s">
        <v>44234</v>
      </c>
      <c r="K7045" t="s">
        <v>44235</v>
      </c>
      <c r="L7045" t="s">
        <v>44229</v>
      </c>
    </row>
    <row r="7046" spans="1:12" x14ac:dyDescent="0.25">
      <c r="A7046">
        <v>1244075</v>
      </c>
      <c r="B7046">
        <v>1810247</v>
      </c>
      <c r="D7046">
        <v>0</v>
      </c>
      <c r="E7046" t="s">
        <v>44237</v>
      </c>
      <c r="F7046" t="s">
        <v>44238</v>
      </c>
      <c r="G7046" t="s">
        <v>44239</v>
      </c>
      <c r="H7046" t="s">
        <v>44240</v>
      </c>
      <c r="I7046" t="s">
        <v>44241</v>
      </c>
      <c r="J7046" t="s">
        <v>44236</v>
      </c>
      <c r="K7046" t="s">
        <v>44242</v>
      </c>
      <c r="L7046" t="s">
        <v>44236</v>
      </c>
    </row>
    <row r="7047" spans="1:12" x14ac:dyDescent="0.25">
      <c r="A7047">
        <v>1244088</v>
      </c>
      <c r="B7047">
        <v>1244089</v>
      </c>
      <c r="D7047">
        <v>0</v>
      </c>
      <c r="F7047">
        <v>1341030</v>
      </c>
      <c r="G7047">
        <v>1244089</v>
      </c>
      <c r="H7047" t="s">
        <v>922</v>
      </c>
      <c r="I7047">
        <v>1244088</v>
      </c>
      <c r="J7047" t="s">
        <v>922</v>
      </c>
      <c r="K7047" t="s">
        <v>44243</v>
      </c>
      <c r="L7047" t="s">
        <v>922</v>
      </c>
    </row>
    <row r="7048" spans="1:12" x14ac:dyDescent="0.25">
      <c r="A7048">
        <v>1244088</v>
      </c>
      <c r="B7048">
        <v>1244159</v>
      </c>
      <c r="D7048">
        <v>0</v>
      </c>
      <c r="E7048" t="s">
        <v>44245</v>
      </c>
      <c r="F7048" t="s">
        <v>44246</v>
      </c>
      <c r="G7048" t="s">
        <v>44247</v>
      </c>
      <c r="H7048" t="e" vm="3063">
        <f>_FV(0,"014309833662562256")</f>
        <v>#VALUE!</v>
      </c>
      <c r="I7048" t="s">
        <v>44248</v>
      </c>
      <c r="J7048" t="s">
        <v>44249</v>
      </c>
      <c r="K7048" t="s">
        <v>44250</v>
      </c>
      <c r="L7048" t="s">
        <v>44244</v>
      </c>
    </row>
    <row r="7049" spans="1:12" x14ac:dyDescent="0.25">
      <c r="A7049">
        <v>1244088</v>
      </c>
      <c r="B7049">
        <v>1754147</v>
      </c>
      <c r="D7049" t="s">
        <v>1875</v>
      </c>
      <c r="E7049" t="s">
        <v>44252</v>
      </c>
      <c r="F7049" t="s">
        <v>44253</v>
      </c>
      <c r="G7049" t="s">
        <v>44254</v>
      </c>
      <c r="H7049" t="e" vm="3064">
        <f>_FV(0,"011778753264450718")</f>
        <v>#VALUE!</v>
      </c>
      <c r="I7049" t="s">
        <v>44255</v>
      </c>
      <c r="J7049" t="s">
        <v>44256</v>
      </c>
      <c r="K7049" t="s">
        <v>44257</v>
      </c>
      <c r="L7049" t="s">
        <v>44251</v>
      </c>
    </row>
    <row r="7050" spans="1:12" x14ac:dyDescent="0.25">
      <c r="A7050">
        <v>1244089</v>
      </c>
      <c r="B7050">
        <v>1244116</v>
      </c>
      <c r="D7050">
        <v>0</v>
      </c>
      <c r="E7050" t="s">
        <v>44259</v>
      </c>
      <c r="F7050" t="s">
        <v>44260</v>
      </c>
      <c r="G7050" t="s">
        <v>44261</v>
      </c>
      <c r="H7050" t="e" vm="3065">
        <f>_FV(0,"002686774290621155")</f>
        <v>#VALUE!</v>
      </c>
      <c r="I7050" t="s">
        <v>44262</v>
      </c>
      <c r="J7050" t="s">
        <v>44263</v>
      </c>
      <c r="K7050" t="s">
        <v>44264</v>
      </c>
      <c r="L7050" t="s">
        <v>44258</v>
      </c>
    </row>
    <row r="7051" spans="1:12" x14ac:dyDescent="0.25">
      <c r="A7051">
        <v>1244089</v>
      </c>
      <c r="B7051">
        <v>1757535</v>
      </c>
      <c r="D7051">
        <v>0</v>
      </c>
      <c r="E7051" t="s">
        <v>44266</v>
      </c>
      <c r="F7051" t="s">
        <v>44267</v>
      </c>
      <c r="G7051" t="s">
        <v>44268</v>
      </c>
      <c r="H7051" t="s">
        <v>44269</v>
      </c>
      <c r="I7051" t="s">
        <v>44270</v>
      </c>
      <c r="J7051" t="s">
        <v>44271</v>
      </c>
      <c r="K7051" t="s">
        <v>44272</v>
      </c>
      <c r="L7051" t="s">
        <v>44265</v>
      </c>
    </row>
    <row r="7052" spans="1:12" x14ac:dyDescent="0.25">
      <c r="A7052">
        <v>1244116</v>
      </c>
      <c r="B7052">
        <v>1757568</v>
      </c>
      <c r="D7052">
        <v>0</v>
      </c>
      <c r="E7052" t="s">
        <v>44274</v>
      </c>
      <c r="F7052" t="s">
        <v>44275</v>
      </c>
      <c r="G7052" t="s">
        <v>44276</v>
      </c>
      <c r="H7052" t="e" vm="3066">
        <f>_FV(0,"020600583587785784")</f>
        <v>#VALUE!</v>
      </c>
      <c r="I7052" t="s">
        <v>44277</v>
      </c>
      <c r="J7052" t="s">
        <v>44278</v>
      </c>
      <c r="K7052" t="s">
        <v>44279</v>
      </c>
      <c r="L7052" t="s">
        <v>44273</v>
      </c>
    </row>
    <row r="7053" spans="1:12" x14ac:dyDescent="0.25">
      <c r="A7053">
        <v>1244130</v>
      </c>
      <c r="B7053">
        <v>1810201</v>
      </c>
      <c r="D7053">
        <v>0</v>
      </c>
      <c r="E7053" t="s">
        <v>44281</v>
      </c>
      <c r="F7053" t="s">
        <v>44282</v>
      </c>
      <c r="G7053" t="s">
        <v>44283</v>
      </c>
      <c r="H7053" t="e" vm="3067">
        <f>_FV(0,"17620784296914593")</f>
        <v>#VALUE!</v>
      </c>
      <c r="I7053" t="s">
        <v>44284</v>
      </c>
      <c r="J7053" t="s">
        <v>44285</v>
      </c>
      <c r="K7053" t="s">
        <v>44286</v>
      </c>
      <c r="L7053" t="s">
        <v>44280</v>
      </c>
    </row>
    <row r="7054" spans="1:12" x14ac:dyDescent="0.25">
      <c r="A7054">
        <v>1244139</v>
      </c>
      <c r="B7054">
        <v>1244173</v>
      </c>
      <c r="D7054">
        <v>0</v>
      </c>
      <c r="E7054" t="s">
        <v>44288</v>
      </c>
      <c r="F7054" t="s">
        <v>44289</v>
      </c>
      <c r="G7054" t="s">
        <v>44290</v>
      </c>
      <c r="H7054" t="s">
        <v>44291</v>
      </c>
      <c r="I7054" t="s">
        <v>44292</v>
      </c>
      <c r="J7054" t="s">
        <v>44287</v>
      </c>
      <c r="K7054" t="s">
        <v>44293</v>
      </c>
      <c r="L7054" t="s">
        <v>44287</v>
      </c>
    </row>
    <row r="7055" spans="1:12" x14ac:dyDescent="0.25">
      <c r="A7055">
        <v>1244139</v>
      </c>
      <c r="B7055">
        <v>1810285</v>
      </c>
      <c r="D7055">
        <v>0</v>
      </c>
      <c r="E7055" t="s">
        <v>44295</v>
      </c>
      <c r="F7055" t="s">
        <v>44296</v>
      </c>
      <c r="G7055" t="s">
        <v>44297</v>
      </c>
      <c r="H7055" t="s">
        <v>44298</v>
      </c>
      <c r="I7055" t="s">
        <v>44299</v>
      </c>
      <c r="J7055" t="s">
        <v>44294</v>
      </c>
      <c r="K7055" t="s">
        <v>44300</v>
      </c>
      <c r="L7055" t="s">
        <v>44294</v>
      </c>
    </row>
    <row r="7056" spans="1:12" x14ac:dyDescent="0.25">
      <c r="A7056">
        <v>1244139</v>
      </c>
      <c r="B7056">
        <v>1244228</v>
      </c>
      <c r="D7056">
        <v>0</v>
      </c>
      <c r="E7056" t="s">
        <v>44302</v>
      </c>
      <c r="F7056" t="s">
        <v>44303</v>
      </c>
      <c r="G7056" t="s">
        <v>44304</v>
      </c>
      <c r="H7056" t="s">
        <v>44305</v>
      </c>
      <c r="I7056" t="s">
        <v>44306</v>
      </c>
      <c r="J7056" t="s">
        <v>44307</v>
      </c>
      <c r="K7056" t="s">
        <v>44308</v>
      </c>
      <c r="L7056" t="s">
        <v>44301</v>
      </c>
    </row>
    <row r="7057" spans="1:12" x14ac:dyDescent="0.25">
      <c r="A7057">
        <v>1244158</v>
      </c>
      <c r="B7057">
        <v>1244159</v>
      </c>
      <c r="D7057">
        <v>0</v>
      </c>
      <c r="F7057">
        <v>1341139</v>
      </c>
      <c r="G7057">
        <v>1244159</v>
      </c>
      <c r="H7057" t="s">
        <v>761</v>
      </c>
      <c r="I7057">
        <v>1244158</v>
      </c>
      <c r="J7057" t="s">
        <v>761</v>
      </c>
      <c r="K7057" t="s">
        <v>44309</v>
      </c>
      <c r="L7057" t="s">
        <v>761</v>
      </c>
    </row>
    <row r="7058" spans="1:12" x14ac:dyDescent="0.25">
      <c r="A7058">
        <v>1244158</v>
      </c>
      <c r="B7058">
        <v>1809095</v>
      </c>
      <c r="D7058">
        <v>0</v>
      </c>
      <c r="E7058" t="s">
        <v>44311</v>
      </c>
      <c r="F7058" t="s">
        <v>44312</v>
      </c>
      <c r="G7058" t="s">
        <v>44313</v>
      </c>
      <c r="H7058" t="s">
        <v>44314</v>
      </c>
      <c r="I7058" t="s">
        <v>44315</v>
      </c>
      <c r="J7058" t="s">
        <v>44310</v>
      </c>
      <c r="K7058" t="s">
        <v>44316</v>
      </c>
      <c r="L7058" t="s">
        <v>44310</v>
      </c>
    </row>
    <row r="7059" spans="1:12" x14ac:dyDescent="0.25">
      <c r="A7059">
        <v>1244158</v>
      </c>
      <c r="B7059">
        <v>1810129</v>
      </c>
      <c r="D7059">
        <v>0</v>
      </c>
      <c r="E7059" t="s">
        <v>44318</v>
      </c>
      <c r="F7059" t="s">
        <v>44319</v>
      </c>
      <c r="G7059" t="s">
        <v>44320</v>
      </c>
      <c r="H7059" t="e" vm="3068">
        <f>_FV(0,"005737036497848681")</f>
        <v>#VALUE!</v>
      </c>
      <c r="I7059" t="s">
        <v>44321</v>
      </c>
      <c r="J7059" t="s">
        <v>44322</v>
      </c>
      <c r="K7059" t="s">
        <v>44323</v>
      </c>
      <c r="L7059" t="s">
        <v>44317</v>
      </c>
    </row>
    <row r="7060" spans="1:12" x14ac:dyDescent="0.25">
      <c r="A7060">
        <v>1244159</v>
      </c>
      <c r="B7060">
        <v>1809128</v>
      </c>
      <c r="D7060">
        <v>0</v>
      </c>
      <c r="E7060" t="s">
        <v>44325</v>
      </c>
      <c r="F7060" t="s">
        <v>44326</v>
      </c>
      <c r="G7060" t="s">
        <v>44327</v>
      </c>
      <c r="H7060" t="e" vm="3069">
        <f>_FV(0,"005735135620404763")</f>
        <v>#VALUE!</v>
      </c>
      <c r="I7060" t="s">
        <v>44328</v>
      </c>
      <c r="J7060" t="s">
        <v>44329</v>
      </c>
      <c r="K7060" t="s">
        <v>44330</v>
      </c>
      <c r="L7060" t="s">
        <v>44324</v>
      </c>
    </row>
    <row r="7061" spans="1:12" x14ac:dyDescent="0.25">
      <c r="A7061">
        <v>1244173</v>
      </c>
      <c r="B7061">
        <v>1810123</v>
      </c>
      <c r="D7061">
        <v>0</v>
      </c>
      <c r="E7061" t="s">
        <v>44332</v>
      </c>
      <c r="F7061" t="s">
        <v>44333</v>
      </c>
      <c r="G7061" t="s">
        <v>44334</v>
      </c>
      <c r="H7061" t="s">
        <v>44335</v>
      </c>
      <c r="I7061" t="s">
        <v>44336</v>
      </c>
      <c r="J7061" t="s">
        <v>44337</v>
      </c>
      <c r="K7061" t="s">
        <v>44338</v>
      </c>
      <c r="L7061" t="s">
        <v>44331</v>
      </c>
    </row>
    <row r="7062" spans="1:12" x14ac:dyDescent="0.25">
      <c r="A7062">
        <v>1244173</v>
      </c>
      <c r="B7062">
        <v>1810307</v>
      </c>
      <c r="D7062">
        <v>0</v>
      </c>
      <c r="E7062" t="s">
        <v>44340</v>
      </c>
      <c r="F7062" t="s">
        <v>44341</v>
      </c>
      <c r="G7062" t="s">
        <v>44342</v>
      </c>
      <c r="H7062" t="s">
        <v>44343</v>
      </c>
      <c r="I7062" t="s">
        <v>44344</v>
      </c>
      <c r="J7062" t="s">
        <v>44339</v>
      </c>
      <c r="K7062" t="s">
        <v>44345</v>
      </c>
      <c r="L7062" t="s">
        <v>44339</v>
      </c>
    </row>
    <row r="7063" spans="1:12" x14ac:dyDescent="0.25">
      <c r="A7063">
        <v>1244195</v>
      </c>
      <c r="B7063">
        <v>1244196</v>
      </c>
      <c r="D7063">
        <v>0</v>
      </c>
      <c r="F7063">
        <v>1341206</v>
      </c>
      <c r="G7063">
        <v>1244196</v>
      </c>
      <c r="H7063" t="s">
        <v>187</v>
      </c>
      <c r="I7063">
        <v>1244195</v>
      </c>
      <c r="J7063" t="s">
        <v>187</v>
      </c>
      <c r="K7063" t="s">
        <v>44346</v>
      </c>
      <c r="L7063" t="s">
        <v>187</v>
      </c>
    </row>
    <row r="7064" spans="1:12" x14ac:dyDescent="0.25">
      <c r="A7064">
        <v>1244196</v>
      </c>
      <c r="B7064">
        <v>1244211</v>
      </c>
      <c r="D7064" t="s">
        <v>204</v>
      </c>
      <c r="E7064" t="s">
        <v>44348</v>
      </c>
      <c r="F7064" t="s">
        <v>44349</v>
      </c>
      <c r="G7064" t="s">
        <v>44350</v>
      </c>
      <c r="H7064" t="e" vm="3070">
        <f>_FV(0,"06429262977153494")</f>
        <v>#VALUE!</v>
      </c>
      <c r="I7064" t="s">
        <v>44351</v>
      </c>
      <c r="J7064" t="s">
        <v>44352</v>
      </c>
      <c r="K7064" t="s">
        <v>44353</v>
      </c>
      <c r="L7064" t="s">
        <v>44347</v>
      </c>
    </row>
    <row r="7065" spans="1:12" x14ac:dyDescent="0.25">
      <c r="A7065">
        <v>1244196</v>
      </c>
      <c r="B7065">
        <v>1244243</v>
      </c>
      <c r="D7065">
        <v>0</v>
      </c>
      <c r="E7065" t="s">
        <v>44355</v>
      </c>
      <c r="F7065" t="s">
        <v>44356</v>
      </c>
      <c r="G7065" t="s">
        <v>44357</v>
      </c>
      <c r="H7065" t="s">
        <v>44358</v>
      </c>
      <c r="I7065" t="s">
        <v>44359</v>
      </c>
      <c r="J7065" t="s">
        <v>44360</v>
      </c>
      <c r="K7065" t="s">
        <v>44361</v>
      </c>
      <c r="L7065" t="s">
        <v>44354</v>
      </c>
    </row>
    <row r="7066" spans="1:12" x14ac:dyDescent="0.25">
      <c r="A7066">
        <v>1244211</v>
      </c>
      <c r="B7066">
        <v>1244227</v>
      </c>
      <c r="D7066">
        <v>0</v>
      </c>
      <c r="E7066" t="s">
        <v>44363</v>
      </c>
      <c r="F7066" t="s">
        <v>44364</v>
      </c>
      <c r="G7066" t="s">
        <v>44365</v>
      </c>
      <c r="H7066" t="e" vm="3071">
        <f>_FV(0,"0016297778052544684")</f>
        <v>#VALUE!</v>
      </c>
      <c r="I7066" t="s">
        <v>44366</v>
      </c>
      <c r="J7066" t="s">
        <v>44367</v>
      </c>
      <c r="K7066" t="s">
        <v>44368</v>
      </c>
      <c r="L7066" t="s">
        <v>44362</v>
      </c>
    </row>
    <row r="7067" spans="1:12" x14ac:dyDescent="0.25">
      <c r="A7067">
        <v>1244211</v>
      </c>
      <c r="B7067">
        <v>1244272</v>
      </c>
      <c r="D7067" t="s">
        <v>204</v>
      </c>
      <c r="E7067" t="s">
        <v>44370</v>
      </c>
      <c r="F7067" t="s">
        <v>44371</v>
      </c>
      <c r="G7067" t="s">
        <v>44372</v>
      </c>
      <c r="H7067" t="s">
        <v>44373</v>
      </c>
      <c r="I7067" t="s">
        <v>44374</v>
      </c>
      <c r="J7067" t="s">
        <v>44369</v>
      </c>
      <c r="K7067" t="s">
        <v>44375</v>
      </c>
      <c r="L7067" t="s">
        <v>44369</v>
      </c>
    </row>
    <row r="7068" spans="1:12" x14ac:dyDescent="0.25">
      <c r="A7068">
        <v>1244211</v>
      </c>
      <c r="B7068">
        <v>1244249</v>
      </c>
      <c r="D7068">
        <v>0</v>
      </c>
      <c r="E7068" t="s">
        <v>44376</v>
      </c>
      <c r="F7068" t="s">
        <v>44377</v>
      </c>
      <c r="G7068" t="s">
        <v>44378</v>
      </c>
      <c r="H7068" t="e" vm="3072">
        <f>_FV(0,"016124094902584252")</f>
        <v>#VALUE!</v>
      </c>
      <c r="I7068" t="s">
        <v>44379</v>
      </c>
      <c r="J7068" t="s">
        <v>36043</v>
      </c>
      <c r="K7068" t="s">
        <v>44380</v>
      </c>
      <c r="L7068" t="s">
        <v>36038</v>
      </c>
    </row>
    <row r="7069" spans="1:12" x14ac:dyDescent="0.25">
      <c r="A7069">
        <v>1244227</v>
      </c>
      <c r="B7069">
        <v>1244308</v>
      </c>
      <c r="D7069">
        <v>0</v>
      </c>
      <c r="F7069">
        <v>1341360</v>
      </c>
      <c r="G7069">
        <v>1244227</v>
      </c>
      <c r="H7069" t="e" vm="493">
        <f>_FV(0,"025")</f>
        <v>#VALUE!</v>
      </c>
      <c r="I7069">
        <v>1244308</v>
      </c>
      <c r="J7069" t="s">
        <v>899</v>
      </c>
      <c r="K7069" t="s">
        <v>44381</v>
      </c>
      <c r="L7069" t="e" vm="493">
        <f>_FV(0,"025")</f>
        <v>#VALUE!</v>
      </c>
    </row>
    <row r="7070" spans="1:12" x14ac:dyDescent="0.25">
      <c r="A7070">
        <v>1244228</v>
      </c>
      <c r="B7070">
        <v>1447325</v>
      </c>
      <c r="D7070">
        <v>0</v>
      </c>
      <c r="E7070" t="s">
        <v>44383</v>
      </c>
      <c r="F7070" t="s">
        <v>44384</v>
      </c>
      <c r="G7070" t="s">
        <v>44385</v>
      </c>
      <c r="H7070" t="s">
        <v>44386</v>
      </c>
      <c r="I7070" t="s">
        <v>44387</v>
      </c>
      <c r="J7070" t="s">
        <v>44388</v>
      </c>
      <c r="K7070" t="s">
        <v>44389</v>
      </c>
      <c r="L7070" t="s">
        <v>44382</v>
      </c>
    </row>
    <row r="7071" spans="1:12" x14ac:dyDescent="0.25">
      <c r="A7071">
        <v>1244228</v>
      </c>
      <c r="B7071">
        <v>1447394</v>
      </c>
      <c r="D7071" t="s">
        <v>64</v>
      </c>
      <c r="E7071" t="s">
        <v>44391</v>
      </c>
      <c r="F7071" t="s">
        <v>44392</v>
      </c>
      <c r="G7071" t="s">
        <v>44393</v>
      </c>
      <c r="H7071" t="e" vm="3073">
        <f>_FV(0,"0037527286396131553")</f>
        <v>#VALUE!</v>
      </c>
      <c r="I7071" t="s">
        <v>44394</v>
      </c>
      <c r="J7071" t="s">
        <v>44395</v>
      </c>
      <c r="K7071" t="s">
        <v>44396</v>
      </c>
      <c r="L7071" t="s">
        <v>44390</v>
      </c>
    </row>
    <row r="7072" spans="1:12" x14ac:dyDescent="0.25">
      <c r="A7072">
        <v>1244243</v>
      </c>
      <c r="B7072">
        <v>1244249</v>
      </c>
      <c r="D7072">
        <v>0</v>
      </c>
      <c r="F7072">
        <v>1341334</v>
      </c>
      <c r="G7072">
        <v>1244249</v>
      </c>
      <c r="H7072" t="s">
        <v>6474</v>
      </c>
      <c r="I7072">
        <v>1244243</v>
      </c>
      <c r="J7072" t="s">
        <v>6474</v>
      </c>
      <c r="K7072" t="s">
        <v>44397</v>
      </c>
      <c r="L7072" t="s">
        <v>6474</v>
      </c>
    </row>
    <row r="7073" spans="1:12" x14ac:dyDescent="0.25">
      <c r="A7073">
        <v>1244243</v>
      </c>
      <c r="B7073">
        <v>1615942</v>
      </c>
      <c r="C7073" t="s">
        <v>44399</v>
      </c>
      <c r="D7073" t="s">
        <v>44400</v>
      </c>
      <c r="E7073" t="s">
        <v>44401</v>
      </c>
      <c r="F7073" t="s">
        <v>44402</v>
      </c>
      <c r="G7073" t="s">
        <v>44403</v>
      </c>
      <c r="H7073" t="s">
        <v>44404</v>
      </c>
      <c r="I7073" t="s">
        <v>44405</v>
      </c>
      <c r="J7073" t="s">
        <v>44406</v>
      </c>
      <c r="K7073" t="s">
        <v>44407</v>
      </c>
      <c r="L7073" t="s">
        <v>44398</v>
      </c>
    </row>
    <row r="7074" spans="1:12" x14ac:dyDescent="0.25">
      <c r="A7074">
        <v>1244249</v>
      </c>
      <c r="B7074">
        <v>1244308</v>
      </c>
      <c r="D7074">
        <v>0</v>
      </c>
      <c r="E7074" t="s">
        <v>44409</v>
      </c>
      <c r="F7074" t="s">
        <v>44410</v>
      </c>
      <c r="G7074" t="s">
        <v>44411</v>
      </c>
      <c r="H7074" t="e" vm="3074">
        <f>_FV(0,"008764414394506462")</f>
        <v>#VALUE!</v>
      </c>
      <c r="I7074" t="s">
        <v>44412</v>
      </c>
      <c r="J7074" t="s">
        <v>44413</v>
      </c>
      <c r="K7074" t="s">
        <v>44414</v>
      </c>
      <c r="L7074" t="s">
        <v>44408</v>
      </c>
    </row>
    <row r="7075" spans="1:12" x14ac:dyDescent="0.25">
      <c r="A7075">
        <v>1244272</v>
      </c>
      <c r="B7075">
        <v>1244291</v>
      </c>
      <c r="D7075">
        <v>0</v>
      </c>
      <c r="F7075">
        <v>1341320</v>
      </c>
      <c r="G7075">
        <v>1244291</v>
      </c>
      <c r="H7075" t="s">
        <v>8057</v>
      </c>
      <c r="I7075">
        <v>1244272</v>
      </c>
      <c r="J7075" t="s">
        <v>8057</v>
      </c>
      <c r="K7075" t="s">
        <v>44415</v>
      </c>
      <c r="L7075" t="s">
        <v>8057</v>
      </c>
    </row>
    <row r="7076" spans="1:12" x14ac:dyDescent="0.25">
      <c r="A7076">
        <v>1244272</v>
      </c>
      <c r="B7076">
        <v>1244308</v>
      </c>
      <c r="D7076">
        <v>0</v>
      </c>
      <c r="E7076" t="s">
        <v>44416</v>
      </c>
      <c r="F7076" t="s">
        <v>44417</v>
      </c>
      <c r="G7076" t="s">
        <v>44418</v>
      </c>
      <c r="H7076" t="s">
        <v>44419</v>
      </c>
      <c r="I7076" t="s">
        <v>44420</v>
      </c>
      <c r="J7076" t="s">
        <v>7052</v>
      </c>
      <c r="K7076" t="s">
        <v>44421</v>
      </c>
      <c r="L7076" t="s">
        <v>7052</v>
      </c>
    </row>
    <row r="7077" spans="1:12" x14ac:dyDescent="0.25">
      <c r="A7077">
        <v>1244279</v>
      </c>
      <c r="B7077">
        <v>1244280</v>
      </c>
      <c r="D7077">
        <v>0</v>
      </c>
      <c r="F7077">
        <v>1341308</v>
      </c>
      <c r="G7077">
        <v>1244280</v>
      </c>
      <c r="H7077" t="s">
        <v>4536</v>
      </c>
      <c r="I7077">
        <v>1244279</v>
      </c>
      <c r="J7077" t="s">
        <v>4536</v>
      </c>
      <c r="K7077" t="s">
        <v>44422</v>
      </c>
      <c r="L7077" t="s">
        <v>4536</v>
      </c>
    </row>
    <row r="7078" spans="1:12" x14ac:dyDescent="0.25">
      <c r="A7078">
        <v>1244279</v>
      </c>
      <c r="B7078">
        <v>1244301</v>
      </c>
      <c r="D7078">
        <v>0</v>
      </c>
      <c r="E7078" t="s">
        <v>44424</v>
      </c>
      <c r="F7078" t="s">
        <v>44425</v>
      </c>
      <c r="G7078" t="s">
        <v>44426</v>
      </c>
      <c r="H7078" t="s">
        <v>44427</v>
      </c>
      <c r="I7078" t="s">
        <v>44428</v>
      </c>
      <c r="J7078" t="s">
        <v>44429</v>
      </c>
      <c r="K7078" t="s">
        <v>44430</v>
      </c>
      <c r="L7078" t="s">
        <v>44423</v>
      </c>
    </row>
    <row r="7079" spans="1:12" x14ac:dyDescent="0.25">
      <c r="A7079">
        <v>1244279</v>
      </c>
      <c r="B7079">
        <v>1244350</v>
      </c>
      <c r="D7079" t="s">
        <v>204</v>
      </c>
      <c r="E7079" t="s">
        <v>44432</v>
      </c>
      <c r="F7079" t="s">
        <v>44433</v>
      </c>
      <c r="G7079" t="s">
        <v>44434</v>
      </c>
      <c r="H7079" t="s">
        <v>44435</v>
      </c>
      <c r="I7079" t="s">
        <v>44436</v>
      </c>
      <c r="J7079" t="s">
        <v>44431</v>
      </c>
      <c r="K7079" t="s">
        <v>44437</v>
      </c>
      <c r="L7079" t="s">
        <v>44431</v>
      </c>
    </row>
    <row r="7080" spans="1:12" x14ac:dyDescent="0.25">
      <c r="A7080">
        <v>1244280</v>
      </c>
      <c r="B7080">
        <v>1244301</v>
      </c>
      <c r="D7080">
        <v>0</v>
      </c>
      <c r="E7080" t="s">
        <v>44439</v>
      </c>
      <c r="F7080" t="s">
        <v>44440</v>
      </c>
      <c r="G7080" t="s">
        <v>44441</v>
      </c>
      <c r="H7080" t="e" vm="3075">
        <f>_FV(0,"029606931549583593")</f>
        <v>#VALUE!</v>
      </c>
      <c r="I7080" t="s">
        <v>44442</v>
      </c>
      <c r="J7080" t="s">
        <v>44443</v>
      </c>
      <c r="K7080" t="s">
        <v>44444</v>
      </c>
      <c r="L7080" t="s">
        <v>44438</v>
      </c>
    </row>
    <row r="7081" spans="1:12" x14ac:dyDescent="0.25">
      <c r="A7081">
        <v>1244280</v>
      </c>
      <c r="B7081">
        <v>1810123</v>
      </c>
      <c r="D7081">
        <v>0</v>
      </c>
      <c r="E7081" t="s">
        <v>44446</v>
      </c>
      <c r="F7081" t="s">
        <v>44447</v>
      </c>
      <c r="G7081" t="s">
        <v>44448</v>
      </c>
      <c r="H7081" t="e" vm="3076">
        <f>_FV(0,"0175691253048213")</f>
        <v>#VALUE!</v>
      </c>
      <c r="I7081" t="s">
        <v>44449</v>
      </c>
      <c r="J7081" t="s">
        <v>44450</v>
      </c>
      <c r="K7081" t="s">
        <v>44451</v>
      </c>
      <c r="L7081" t="s">
        <v>44445</v>
      </c>
    </row>
    <row r="7082" spans="1:12" x14ac:dyDescent="0.25">
      <c r="A7082">
        <v>1244301</v>
      </c>
      <c r="B7082">
        <v>1810129</v>
      </c>
      <c r="D7082">
        <v>0</v>
      </c>
      <c r="E7082" t="s">
        <v>44453</v>
      </c>
      <c r="F7082" t="s">
        <v>44454</v>
      </c>
      <c r="G7082" t="s">
        <v>44455</v>
      </c>
      <c r="H7082" t="e" vm="3077">
        <f>_FV(0,"0076574791147814535")</f>
        <v>#VALUE!</v>
      </c>
      <c r="I7082" t="s">
        <v>44456</v>
      </c>
      <c r="J7082" t="s">
        <v>44457</v>
      </c>
      <c r="K7082" t="s">
        <v>44458</v>
      </c>
      <c r="L7082" t="s">
        <v>44452</v>
      </c>
    </row>
    <row r="7083" spans="1:12" x14ac:dyDescent="0.25">
      <c r="A7083">
        <v>1244337</v>
      </c>
      <c r="B7083">
        <v>1244350</v>
      </c>
      <c r="D7083">
        <v>0</v>
      </c>
      <c r="F7083">
        <v>2090835</v>
      </c>
      <c r="G7083">
        <v>1244350</v>
      </c>
      <c r="H7083" t="e" vm="56">
        <f>_FV(0,"023")</f>
        <v>#VALUE!</v>
      </c>
      <c r="I7083">
        <v>1244337</v>
      </c>
      <c r="J7083" t="s">
        <v>890</v>
      </c>
      <c r="K7083" t="s">
        <v>44459</v>
      </c>
      <c r="L7083" t="e" vm="56">
        <f>_FV(0,"023")</f>
        <v>#VALUE!</v>
      </c>
    </row>
    <row r="7084" spans="1:12" x14ac:dyDescent="0.25">
      <c r="A7084">
        <v>1244337</v>
      </c>
      <c r="B7084">
        <v>1244363</v>
      </c>
      <c r="D7084">
        <v>0</v>
      </c>
      <c r="F7084">
        <v>2090827</v>
      </c>
      <c r="G7084">
        <v>1244337</v>
      </c>
      <c r="H7084" t="s">
        <v>1589</v>
      </c>
      <c r="I7084">
        <v>1244363</v>
      </c>
      <c r="J7084" t="s">
        <v>1589</v>
      </c>
      <c r="K7084" t="s">
        <v>44460</v>
      </c>
      <c r="L7084" t="s">
        <v>1589</v>
      </c>
    </row>
    <row r="7085" spans="1:12" x14ac:dyDescent="0.25">
      <c r="A7085">
        <v>1244350</v>
      </c>
      <c r="B7085">
        <v>1810042</v>
      </c>
      <c r="D7085">
        <v>0</v>
      </c>
      <c r="F7085">
        <v>2090811</v>
      </c>
      <c r="G7085">
        <v>1810042</v>
      </c>
      <c r="H7085" t="e" vm="945">
        <f>_FV(0,"049")</f>
        <v>#VALUE!</v>
      </c>
      <c r="I7085">
        <v>1244350</v>
      </c>
      <c r="J7085" t="s">
        <v>304</v>
      </c>
      <c r="K7085" t="s">
        <v>44461</v>
      </c>
      <c r="L7085" t="e" vm="945">
        <f>_FV(0,"049")</f>
        <v>#VALUE!</v>
      </c>
    </row>
    <row r="7086" spans="1:12" x14ac:dyDescent="0.25">
      <c r="A7086">
        <v>1244363</v>
      </c>
      <c r="B7086">
        <v>1244364</v>
      </c>
      <c r="D7086">
        <v>0</v>
      </c>
      <c r="F7086">
        <v>1341444</v>
      </c>
      <c r="G7086">
        <v>1244364</v>
      </c>
      <c r="H7086" t="s">
        <v>2068</v>
      </c>
      <c r="I7086">
        <v>1244363</v>
      </c>
      <c r="J7086" t="s">
        <v>2068</v>
      </c>
      <c r="K7086" t="s">
        <v>44462</v>
      </c>
      <c r="L7086" t="s">
        <v>2068</v>
      </c>
    </row>
    <row r="7087" spans="1:12" x14ac:dyDescent="0.25">
      <c r="A7087">
        <v>1244363</v>
      </c>
      <c r="B7087">
        <v>1810042</v>
      </c>
      <c r="D7087">
        <v>0</v>
      </c>
      <c r="F7087">
        <v>2090819</v>
      </c>
      <c r="G7087">
        <v>1244363</v>
      </c>
      <c r="H7087" t="s">
        <v>1536</v>
      </c>
      <c r="I7087">
        <v>1810042</v>
      </c>
      <c r="J7087" t="s">
        <v>1536</v>
      </c>
      <c r="K7087" t="s">
        <v>44463</v>
      </c>
      <c r="L7087" t="s">
        <v>1536</v>
      </c>
    </row>
    <row r="7088" spans="1:12" x14ac:dyDescent="0.25">
      <c r="A7088">
        <v>1244364</v>
      </c>
      <c r="B7088">
        <v>1244379</v>
      </c>
      <c r="D7088">
        <v>0</v>
      </c>
      <c r="F7088">
        <v>1341466</v>
      </c>
      <c r="G7088">
        <v>1244379</v>
      </c>
      <c r="H7088" t="s">
        <v>737</v>
      </c>
      <c r="I7088">
        <v>1244364</v>
      </c>
      <c r="J7088" t="s">
        <v>737</v>
      </c>
      <c r="K7088" t="s">
        <v>44464</v>
      </c>
      <c r="L7088" t="s">
        <v>737</v>
      </c>
    </row>
    <row r="7089" spans="1:12" x14ac:dyDescent="0.25">
      <c r="A7089">
        <v>1244364</v>
      </c>
      <c r="B7089">
        <v>1244456</v>
      </c>
      <c r="D7089">
        <v>0</v>
      </c>
      <c r="E7089" t="s">
        <v>44466</v>
      </c>
      <c r="F7089" t="s">
        <v>44467</v>
      </c>
      <c r="G7089" t="s">
        <v>44468</v>
      </c>
      <c r="H7089" t="s">
        <v>44469</v>
      </c>
      <c r="I7089" t="s">
        <v>44470</v>
      </c>
      <c r="J7089" t="s">
        <v>44471</v>
      </c>
      <c r="K7089" t="s">
        <v>44472</v>
      </c>
      <c r="L7089" t="s">
        <v>44465</v>
      </c>
    </row>
    <row r="7090" spans="1:12" x14ac:dyDescent="0.25">
      <c r="A7090">
        <v>1244751</v>
      </c>
      <c r="B7090">
        <v>1244772</v>
      </c>
      <c r="D7090">
        <v>0</v>
      </c>
      <c r="E7090" t="s">
        <v>44474</v>
      </c>
      <c r="F7090" t="s">
        <v>44475</v>
      </c>
      <c r="G7090" t="s">
        <v>44476</v>
      </c>
      <c r="H7090" t="e" vm="3078">
        <f>_FV(0,"0018589807343165057")</f>
        <v>#VALUE!</v>
      </c>
      <c r="I7090" t="s">
        <v>44477</v>
      </c>
      <c r="J7090" t="s">
        <v>44478</v>
      </c>
      <c r="K7090" t="s">
        <v>44479</v>
      </c>
      <c r="L7090" t="s">
        <v>44473</v>
      </c>
    </row>
    <row r="7091" spans="1:12" x14ac:dyDescent="0.25">
      <c r="A7091">
        <v>1244751</v>
      </c>
      <c r="B7091">
        <v>1244855</v>
      </c>
      <c r="D7091">
        <v>0</v>
      </c>
      <c r="E7091" t="s">
        <v>44480</v>
      </c>
      <c r="F7091" t="s">
        <v>44481</v>
      </c>
      <c r="G7091" t="s">
        <v>44482</v>
      </c>
      <c r="H7091" t="s">
        <v>44483</v>
      </c>
      <c r="I7091" t="s">
        <v>44484</v>
      </c>
      <c r="J7091" t="s">
        <v>30469</v>
      </c>
      <c r="K7091" t="s">
        <v>44485</v>
      </c>
      <c r="L7091" t="s">
        <v>30469</v>
      </c>
    </row>
    <row r="7092" spans="1:12" x14ac:dyDescent="0.25">
      <c r="A7092">
        <v>1244772</v>
      </c>
      <c r="B7092">
        <v>1244809</v>
      </c>
      <c r="D7092">
        <v>0</v>
      </c>
      <c r="E7092" t="s">
        <v>44486</v>
      </c>
      <c r="F7092" t="s">
        <v>44487</v>
      </c>
      <c r="G7092" t="s">
        <v>44488</v>
      </c>
      <c r="H7092" t="e" vm="3079">
        <f>_FV(0,"004447269232156236")</f>
        <v>#VALUE!</v>
      </c>
      <c r="I7092" t="s">
        <v>44489</v>
      </c>
      <c r="J7092" t="s">
        <v>4817</v>
      </c>
      <c r="K7092" t="s">
        <v>44490</v>
      </c>
      <c r="L7092" t="s">
        <v>13856</v>
      </c>
    </row>
    <row r="7093" spans="1:12" x14ac:dyDescent="0.25">
      <c r="A7093">
        <v>1244772</v>
      </c>
      <c r="B7093">
        <v>1850554</v>
      </c>
      <c r="C7093" t="s">
        <v>44492</v>
      </c>
      <c r="D7093" t="s">
        <v>1307</v>
      </c>
      <c r="E7093" t="s">
        <v>44493</v>
      </c>
      <c r="F7093" t="s">
        <v>44494</v>
      </c>
      <c r="G7093" t="s">
        <v>44495</v>
      </c>
      <c r="H7093" t="s">
        <v>44496</v>
      </c>
      <c r="I7093" t="s">
        <v>44497</v>
      </c>
      <c r="J7093" t="s">
        <v>44498</v>
      </c>
      <c r="K7093" t="s">
        <v>44499</v>
      </c>
      <c r="L7093" t="s">
        <v>44491</v>
      </c>
    </row>
    <row r="7094" spans="1:12" x14ac:dyDescent="0.25">
      <c r="A7094">
        <v>1244809</v>
      </c>
      <c r="B7094">
        <v>1244855</v>
      </c>
      <c r="D7094">
        <v>0</v>
      </c>
      <c r="E7094" t="s">
        <v>44501</v>
      </c>
      <c r="F7094" t="s">
        <v>44502</v>
      </c>
      <c r="G7094" t="s">
        <v>44503</v>
      </c>
      <c r="H7094" t="s">
        <v>44504</v>
      </c>
      <c r="I7094" t="s">
        <v>44505</v>
      </c>
      <c r="J7094" t="s">
        <v>44506</v>
      </c>
      <c r="K7094" t="s">
        <v>44507</v>
      </c>
      <c r="L7094" t="s">
        <v>44500</v>
      </c>
    </row>
    <row r="7095" spans="1:12" x14ac:dyDescent="0.25">
      <c r="A7095">
        <v>1244809</v>
      </c>
      <c r="B7095">
        <v>1850591</v>
      </c>
      <c r="D7095" t="s">
        <v>1007</v>
      </c>
      <c r="E7095" t="s">
        <v>44509</v>
      </c>
      <c r="F7095" t="s">
        <v>44510</v>
      </c>
      <c r="G7095" t="s">
        <v>44511</v>
      </c>
      <c r="H7095" t="s">
        <v>44512</v>
      </c>
      <c r="I7095" t="s">
        <v>44513</v>
      </c>
      <c r="J7095" t="s">
        <v>44514</v>
      </c>
      <c r="K7095" t="s">
        <v>44515</v>
      </c>
      <c r="L7095" t="s">
        <v>44508</v>
      </c>
    </row>
    <row r="7096" spans="1:12" x14ac:dyDescent="0.25">
      <c r="A7096">
        <v>1245273</v>
      </c>
      <c r="B7096">
        <v>1245321</v>
      </c>
      <c r="D7096">
        <v>0</v>
      </c>
      <c r="E7096" t="s">
        <v>44517</v>
      </c>
      <c r="F7096" t="s">
        <v>44518</v>
      </c>
      <c r="G7096" t="s">
        <v>44519</v>
      </c>
      <c r="H7096" t="s">
        <v>44520</v>
      </c>
      <c r="I7096" t="s">
        <v>44521</v>
      </c>
      <c r="J7096" t="s">
        <v>44522</v>
      </c>
      <c r="K7096" t="s">
        <v>44523</v>
      </c>
      <c r="L7096" t="s">
        <v>44516</v>
      </c>
    </row>
    <row r="7097" spans="1:12" x14ac:dyDescent="0.25">
      <c r="A7097">
        <v>1245273</v>
      </c>
      <c r="B7097">
        <v>1245454</v>
      </c>
      <c r="D7097">
        <v>0</v>
      </c>
      <c r="E7097" t="s">
        <v>44525</v>
      </c>
      <c r="F7097" t="s">
        <v>44526</v>
      </c>
      <c r="G7097" t="s">
        <v>44527</v>
      </c>
      <c r="H7097" t="s">
        <v>44528</v>
      </c>
      <c r="I7097" t="s">
        <v>44529</v>
      </c>
      <c r="J7097" t="s">
        <v>44530</v>
      </c>
      <c r="K7097" t="s">
        <v>44531</v>
      </c>
      <c r="L7097" t="s">
        <v>44524</v>
      </c>
    </row>
    <row r="7098" spans="1:12" x14ac:dyDescent="0.25">
      <c r="A7098">
        <v>1245321</v>
      </c>
      <c r="B7098">
        <v>1245454</v>
      </c>
      <c r="D7098">
        <v>0</v>
      </c>
      <c r="E7098" t="s">
        <v>44533</v>
      </c>
      <c r="F7098" t="s">
        <v>44534</v>
      </c>
      <c r="G7098" t="s">
        <v>44535</v>
      </c>
      <c r="H7098" t="e" vm="3080">
        <f>_FV(0,"00689375965180503")</f>
        <v>#VALUE!</v>
      </c>
      <c r="I7098" t="s">
        <v>44536</v>
      </c>
      <c r="J7098" t="s">
        <v>44537</v>
      </c>
      <c r="K7098" t="s">
        <v>44538</v>
      </c>
      <c r="L7098" t="s">
        <v>44532</v>
      </c>
    </row>
    <row r="7099" spans="1:12" x14ac:dyDescent="0.25">
      <c r="A7099">
        <v>1245321</v>
      </c>
      <c r="B7099">
        <v>1245557</v>
      </c>
      <c r="D7099">
        <v>0</v>
      </c>
      <c r="E7099" t="s">
        <v>44540</v>
      </c>
      <c r="F7099" t="s">
        <v>44541</v>
      </c>
      <c r="G7099" t="s">
        <v>44542</v>
      </c>
      <c r="H7099" t="s">
        <v>44543</v>
      </c>
      <c r="I7099" t="s">
        <v>44544</v>
      </c>
      <c r="J7099" t="s">
        <v>44545</v>
      </c>
      <c r="K7099" t="s">
        <v>44546</v>
      </c>
      <c r="L7099" t="s">
        <v>44539</v>
      </c>
    </row>
    <row r="7100" spans="1:12" x14ac:dyDescent="0.25">
      <c r="A7100">
        <v>1245454</v>
      </c>
      <c r="B7100">
        <v>1245563</v>
      </c>
      <c r="D7100">
        <v>0</v>
      </c>
      <c r="E7100" t="s">
        <v>44548</v>
      </c>
      <c r="F7100" t="s">
        <v>44549</v>
      </c>
      <c r="G7100" t="s">
        <v>44550</v>
      </c>
      <c r="H7100" t="e" vm="3081">
        <f>_FV(0,"0024943265837933048")</f>
        <v>#VALUE!</v>
      </c>
      <c r="I7100" t="s">
        <v>44551</v>
      </c>
      <c r="J7100" t="s">
        <v>44552</v>
      </c>
      <c r="K7100" t="s">
        <v>44553</v>
      </c>
      <c r="L7100" t="s">
        <v>44547</v>
      </c>
    </row>
    <row r="7101" spans="1:12" x14ac:dyDescent="0.25">
      <c r="A7101">
        <v>1245557</v>
      </c>
      <c r="B7101">
        <v>1245563</v>
      </c>
      <c r="D7101">
        <v>0</v>
      </c>
      <c r="E7101" t="s">
        <v>44555</v>
      </c>
      <c r="F7101" t="s">
        <v>44556</v>
      </c>
      <c r="G7101" t="s">
        <v>44557</v>
      </c>
      <c r="H7101" t="s">
        <v>44558</v>
      </c>
      <c r="I7101" t="s">
        <v>44559</v>
      </c>
      <c r="J7101" t="s">
        <v>44554</v>
      </c>
      <c r="K7101" t="s">
        <v>44560</v>
      </c>
      <c r="L7101" t="s">
        <v>44554</v>
      </c>
    </row>
    <row r="7102" spans="1:12" x14ac:dyDescent="0.25">
      <c r="A7102">
        <v>1246492</v>
      </c>
      <c r="B7102">
        <v>1246527</v>
      </c>
      <c r="D7102">
        <v>0</v>
      </c>
      <c r="E7102" t="s">
        <v>44562</v>
      </c>
      <c r="F7102" t="s">
        <v>44563</v>
      </c>
      <c r="G7102" t="s">
        <v>44564</v>
      </c>
      <c r="H7102" t="s">
        <v>44565</v>
      </c>
      <c r="I7102" t="s">
        <v>44566</v>
      </c>
      <c r="J7102" t="s">
        <v>44561</v>
      </c>
      <c r="K7102" t="s">
        <v>44567</v>
      </c>
      <c r="L7102" t="s">
        <v>44561</v>
      </c>
    </row>
    <row r="7103" spans="1:12" x14ac:dyDescent="0.25">
      <c r="A7103">
        <v>1246492</v>
      </c>
      <c r="B7103">
        <v>1246511</v>
      </c>
      <c r="D7103">
        <v>0</v>
      </c>
      <c r="E7103" t="s">
        <v>44568</v>
      </c>
      <c r="F7103" t="s">
        <v>44569</v>
      </c>
      <c r="G7103" t="s">
        <v>44570</v>
      </c>
      <c r="H7103" t="e" vm="3082">
        <f>_FV(0,"000956117924375717")</f>
        <v>#VALUE!</v>
      </c>
      <c r="I7103" t="s">
        <v>44571</v>
      </c>
      <c r="J7103" t="s">
        <v>4801</v>
      </c>
      <c r="K7103" t="s">
        <v>44572</v>
      </c>
      <c r="L7103" t="s">
        <v>4796</v>
      </c>
    </row>
    <row r="7104" spans="1:12" x14ac:dyDescent="0.25">
      <c r="A7104">
        <v>1246511</v>
      </c>
      <c r="B7104">
        <v>1246516</v>
      </c>
      <c r="D7104">
        <v>0</v>
      </c>
      <c r="F7104">
        <v>1344474</v>
      </c>
      <c r="G7104">
        <v>1246511</v>
      </c>
      <c r="H7104" t="e" vm="144">
        <f>_FV(0,"003")</f>
        <v>#VALUE!</v>
      </c>
      <c r="I7104">
        <v>1246516</v>
      </c>
      <c r="J7104" t="s">
        <v>1783</v>
      </c>
      <c r="K7104" t="s">
        <v>44573</v>
      </c>
      <c r="L7104" t="e" vm="144">
        <f>_FV(0,"003")</f>
        <v>#VALUE!</v>
      </c>
    </row>
    <row r="7105" spans="1:12" x14ac:dyDescent="0.25">
      <c r="A7105">
        <v>1246516</v>
      </c>
      <c r="B7105">
        <v>1246527</v>
      </c>
      <c r="D7105">
        <v>0</v>
      </c>
      <c r="E7105" t="s">
        <v>44575</v>
      </c>
      <c r="F7105" t="s">
        <v>44576</v>
      </c>
      <c r="G7105" t="s">
        <v>44577</v>
      </c>
      <c r="H7105" t="e" vm="3083">
        <f>_FV(0,"002504442296928896")</f>
        <v>#VALUE!</v>
      </c>
      <c r="I7105" t="s">
        <v>44578</v>
      </c>
      <c r="J7105" t="s">
        <v>13113</v>
      </c>
      <c r="K7105" t="s">
        <v>44579</v>
      </c>
      <c r="L7105" t="s">
        <v>44574</v>
      </c>
    </row>
    <row r="7106" spans="1:12" x14ac:dyDescent="0.25">
      <c r="A7106">
        <v>1248064</v>
      </c>
      <c r="B7106">
        <v>1248073</v>
      </c>
      <c r="D7106">
        <v>0</v>
      </c>
      <c r="E7106" t="s">
        <v>44581</v>
      </c>
      <c r="F7106" t="s">
        <v>44582</v>
      </c>
      <c r="G7106" t="s">
        <v>44583</v>
      </c>
      <c r="H7106" t="s">
        <v>44584</v>
      </c>
      <c r="I7106" t="s">
        <v>44585</v>
      </c>
      <c r="J7106" t="s">
        <v>44586</v>
      </c>
      <c r="K7106" t="s">
        <v>44587</v>
      </c>
      <c r="L7106" t="s">
        <v>44580</v>
      </c>
    </row>
    <row r="7107" spans="1:12" x14ac:dyDescent="0.25">
      <c r="A7107">
        <v>1248064</v>
      </c>
      <c r="B7107">
        <v>1614721</v>
      </c>
      <c r="D7107">
        <v>0</v>
      </c>
      <c r="E7107" t="s">
        <v>44589</v>
      </c>
      <c r="F7107" t="s">
        <v>44590</v>
      </c>
      <c r="G7107" t="s">
        <v>44591</v>
      </c>
      <c r="H7107" t="s">
        <v>44592</v>
      </c>
      <c r="I7107" t="s">
        <v>44593</v>
      </c>
      <c r="J7107" t="s">
        <v>44588</v>
      </c>
      <c r="K7107" t="s">
        <v>44594</v>
      </c>
      <c r="L7107" t="s">
        <v>44588</v>
      </c>
    </row>
    <row r="7108" spans="1:12" x14ac:dyDescent="0.25">
      <c r="A7108">
        <v>1248064</v>
      </c>
      <c r="B7108">
        <v>1248882</v>
      </c>
      <c r="D7108">
        <v>0</v>
      </c>
      <c r="E7108" t="s">
        <v>44596</v>
      </c>
      <c r="F7108" t="s">
        <v>44597</v>
      </c>
      <c r="G7108" t="s">
        <v>44598</v>
      </c>
      <c r="H7108" t="s">
        <v>44599</v>
      </c>
      <c r="I7108" t="s">
        <v>44600</v>
      </c>
      <c r="J7108" t="s">
        <v>44601</v>
      </c>
      <c r="K7108" t="s">
        <v>44602</v>
      </c>
      <c r="L7108" t="s">
        <v>44595</v>
      </c>
    </row>
    <row r="7109" spans="1:12" x14ac:dyDescent="0.25">
      <c r="A7109">
        <v>1248073</v>
      </c>
      <c r="B7109">
        <v>1248864</v>
      </c>
      <c r="D7109">
        <v>0</v>
      </c>
      <c r="E7109" t="s">
        <v>44604</v>
      </c>
      <c r="F7109" t="s">
        <v>44605</v>
      </c>
      <c r="G7109" t="s">
        <v>44606</v>
      </c>
      <c r="H7109" t="e" vm="3084">
        <f>_FV(0,"03667800931534052")</f>
        <v>#VALUE!</v>
      </c>
      <c r="I7109" t="s">
        <v>44607</v>
      </c>
      <c r="J7109" t="s">
        <v>44608</v>
      </c>
      <c r="K7109" t="s">
        <v>44609</v>
      </c>
      <c r="L7109" t="s">
        <v>44603</v>
      </c>
    </row>
    <row r="7110" spans="1:12" x14ac:dyDescent="0.25">
      <c r="A7110">
        <v>1248073</v>
      </c>
      <c r="B7110">
        <v>1248882</v>
      </c>
      <c r="D7110">
        <v>0</v>
      </c>
      <c r="E7110" t="s">
        <v>44611</v>
      </c>
      <c r="F7110" t="s">
        <v>44612</v>
      </c>
      <c r="G7110" t="s">
        <v>44613</v>
      </c>
      <c r="H7110" t="e" vm="3085">
        <f>_FV(0,"03983667510158825")</f>
        <v>#VALUE!</v>
      </c>
      <c r="I7110" t="s">
        <v>44614</v>
      </c>
      <c r="J7110" t="s">
        <v>44615</v>
      </c>
      <c r="K7110" t="s">
        <v>44616</v>
      </c>
      <c r="L7110" t="s">
        <v>44610</v>
      </c>
    </row>
    <row r="7111" spans="1:12" x14ac:dyDescent="0.25">
      <c r="A7111">
        <v>1248111</v>
      </c>
      <c r="B7111">
        <v>1248156</v>
      </c>
      <c r="D7111">
        <v>0</v>
      </c>
      <c r="E7111" t="s">
        <v>44618</v>
      </c>
      <c r="F7111" t="s">
        <v>44619</v>
      </c>
      <c r="G7111" t="s">
        <v>44620</v>
      </c>
      <c r="H7111" t="e" vm="3086">
        <f>_FV(0,"04119020253578005")</f>
        <v>#VALUE!</v>
      </c>
      <c r="I7111" t="s">
        <v>44621</v>
      </c>
      <c r="J7111" t="s">
        <v>44622</v>
      </c>
      <c r="K7111" t="s">
        <v>44623</v>
      </c>
      <c r="L7111" t="s">
        <v>44617</v>
      </c>
    </row>
    <row r="7112" spans="1:12" x14ac:dyDescent="0.25">
      <c r="A7112">
        <v>1248111</v>
      </c>
      <c r="B7112">
        <v>1248119</v>
      </c>
      <c r="D7112">
        <v>0</v>
      </c>
      <c r="F7112">
        <v>1351999</v>
      </c>
      <c r="G7112">
        <v>1248111</v>
      </c>
      <c r="H7112" t="s">
        <v>39153</v>
      </c>
      <c r="I7112">
        <v>1248119</v>
      </c>
      <c r="J7112" t="s">
        <v>39153</v>
      </c>
      <c r="K7112" t="s">
        <v>44624</v>
      </c>
      <c r="L7112" t="s">
        <v>39153</v>
      </c>
    </row>
    <row r="7113" spans="1:12" x14ac:dyDescent="0.25">
      <c r="A7113">
        <v>1248119</v>
      </c>
      <c r="B7113">
        <v>1212998</v>
      </c>
      <c r="D7113" t="s">
        <v>204</v>
      </c>
      <c r="E7113" t="s">
        <v>44626</v>
      </c>
      <c r="F7113" t="s">
        <v>44627</v>
      </c>
      <c r="G7113" t="s">
        <v>44628</v>
      </c>
      <c r="H7113" t="e" vm="3087">
        <f>_FV(0,"06561940151670893")</f>
        <v>#VALUE!</v>
      </c>
      <c r="I7113" t="s">
        <v>44629</v>
      </c>
      <c r="J7113" t="s">
        <v>44630</v>
      </c>
      <c r="K7113" t="s">
        <v>44631</v>
      </c>
      <c r="L7113" t="s">
        <v>44625</v>
      </c>
    </row>
    <row r="7114" spans="1:12" x14ac:dyDescent="0.25">
      <c r="A7114">
        <v>1248119</v>
      </c>
      <c r="B7114">
        <v>1248156</v>
      </c>
      <c r="D7114">
        <v>0</v>
      </c>
      <c r="F7114">
        <v>1351991</v>
      </c>
      <c r="G7114">
        <v>1248119</v>
      </c>
      <c r="H7114" t="e" vm="16">
        <f>_FV(0,"007")</f>
        <v>#VALUE!</v>
      </c>
      <c r="I7114">
        <v>1248156</v>
      </c>
      <c r="J7114" t="s">
        <v>226</v>
      </c>
      <c r="K7114" t="s">
        <v>44632</v>
      </c>
      <c r="L7114" t="e" vm="16">
        <f>_FV(0,"007")</f>
        <v>#VALUE!</v>
      </c>
    </row>
    <row r="7115" spans="1:12" x14ac:dyDescent="0.25">
      <c r="A7115">
        <v>1248246</v>
      </c>
      <c r="B7115">
        <v>1248312</v>
      </c>
      <c r="D7115">
        <v>0</v>
      </c>
      <c r="E7115" t="s">
        <v>44634</v>
      </c>
      <c r="F7115" t="s">
        <v>44635</v>
      </c>
      <c r="G7115" t="s">
        <v>44636</v>
      </c>
      <c r="H7115" t="e" vm="3088">
        <f>_FV(0,"004016116384409257")</f>
        <v>#VALUE!</v>
      </c>
      <c r="I7115" t="s">
        <v>44637</v>
      </c>
      <c r="J7115" t="s">
        <v>44638</v>
      </c>
      <c r="K7115" t="s">
        <v>44639</v>
      </c>
      <c r="L7115" t="s">
        <v>44633</v>
      </c>
    </row>
    <row r="7116" spans="1:12" x14ac:dyDescent="0.25">
      <c r="A7116">
        <v>1248864</v>
      </c>
      <c r="B7116">
        <v>1248882</v>
      </c>
      <c r="D7116">
        <v>0</v>
      </c>
      <c r="E7116" t="s">
        <v>44641</v>
      </c>
      <c r="F7116" t="s">
        <v>44642</v>
      </c>
      <c r="G7116" t="s">
        <v>44643</v>
      </c>
      <c r="H7116" t="e" vm="3089">
        <f>_FV(0,"04433157498404462")</f>
        <v>#VALUE!</v>
      </c>
      <c r="I7116" t="s">
        <v>44644</v>
      </c>
      <c r="J7116" t="s">
        <v>44645</v>
      </c>
      <c r="K7116" t="s">
        <v>44646</v>
      </c>
      <c r="L7116" t="s">
        <v>44640</v>
      </c>
    </row>
    <row r="7117" spans="1:12" x14ac:dyDescent="0.25">
      <c r="A7117">
        <v>1248968</v>
      </c>
      <c r="B7117">
        <v>1249021</v>
      </c>
      <c r="D7117" t="s">
        <v>44648</v>
      </c>
      <c r="E7117" t="s">
        <v>44649</v>
      </c>
      <c r="F7117" t="s">
        <v>44650</v>
      </c>
      <c r="G7117" t="s">
        <v>44651</v>
      </c>
      <c r="H7117" t="e" vm="3090">
        <f>_FV(0,"01621359942225356")</f>
        <v>#VALUE!</v>
      </c>
      <c r="I7117" t="s">
        <v>44652</v>
      </c>
      <c r="J7117" t="s">
        <v>44653</v>
      </c>
      <c r="K7117" t="s">
        <v>44654</v>
      </c>
      <c r="L7117" t="s">
        <v>44647</v>
      </c>
    </row>
    <row r="7118" spans="1:12" x14ac:dyDescent="0.25">
      <c r="A7118">
        <v>1248968</v>
      </c>
      <c r="B7118">
        <v>1249047</v>
      </c>
      <c r="D7118" t="s">
        <v>1119</v>
      </c>
      <c r="E7118" t="s">
        <v>44656</v>
      </c>
      <c r="F7118" t="s">
        <v>44657</v>
      </c>
      <c r="G7118" t="s">
        <v>44658</v>
      </c>
      <c r="H7118" t="s">
        <v>44659</v>
      </c>
      <c r="I7118" t="s">
        <v>44660</v>
      </c>
      <c r="J7118" t="s">
        <v>44655</v>
      </c>
      <c r="K7118" t="s">
        <v>44661</v>
      </c>
      <c r="L7118" t="s">
        <v>44655</v>
      </c>
    </row>
    <row r="7119" spans="1:12" x14ac:dyDescent="0.25">
      <c r="A7119">
        <v>1249021</v>
      </c>
      <c r="B7119">
        <v>1249032</v>
      </c>
      <c r="D7119" t="s">
        <v>1839</v>
      </c>
      <c r="E7119" t="s">
        <v>44662</v>
      </c>
      <c r="F7119" t="s">
        <v>44663</v>
      </c>
      <c r="G7119" t="s">
        <v>44664</v>
      </c>
      <c r="H7119" t="s">
        <v>44665</v>
      </c>
      <c r="I7119" t="s">
        <v>44666</v>
      </c>
      <c r="J7119" t="s">
        <v>661</v>
      </c>
      <c r="K7119" t="s">
        <v>44667</v>
      </c>
      <c r="L7119" t="s">
        <v>661</v>
      </c>
    </row>
    <row r="7120" spans="1:12" x14ac:dyDescent="0.25">
      <c r="A7120">
        <v>1249032</v>
      </c>
      <c r="B7120">
        <v>1249047</v>
      </c>
      <c r="D7120">
        <v>0</v>
      </c>
      <c r="E7120" t="s">
        <v>44669</v>
      </c>
      <c r="F7120" t="s">
        <v>44670</v>
      </c>
      <c r="G7120" t="s">
        <v>44671</v>
      </c>
      <c r="H7120" t="s">
        <v>44672</v>
      </c>
      <c r="I7120" t="s">
        <v>44673</v>
      </c>
      <c r="J7120" t="s">
        <v>44668</v>
      </c>
      <c r="K7120" t="s">
        <v>44674</v>
      </c>
      <c r="L7120" t="s">
        <v>44668</v>
      </c>
    </row>
    <row r="7121" spans="1:12" x14ac:dyDescent="0.25">
      <c r="A7121">
        <v>1249032</v>
      </c>
      <c r="B7121">
        <v>1249071</v>
      </c>
      <c r="D7121">
        <v>0</v>
      </c>
      <c r="E7121" t="s">
        <v>44676</v>
      </c>
      <c r="F7121" t="s">
        <v>44677</v>
      </c>
      <c r="G7121" t="s">
        <v>44678</v>
      </c>
      <c r="H7121" t="e" vm="3091">
        <f>_FV(0,"005644228863760449")</f>
        <v>#VALUE!</v>
      </c>
      <c r="I7121" t="s">
        <v>44679</v>
      </c>
      <c r="J7121" t="s">
        <v>44680</v>
      </c>
      <c r="K7121" t="s">
        <v>44681</v>
      </c>
      <c r="L7121" t="s">
        <v>44675</v>
      </c>
    </row>
    <row r="7122" spans="1:12" x14ac:dyDescent="0.25">
      <c r="A7122">
        <v>1249047</v>
      </c>
      <c r="B7122">
        <v>1249071</v>
      </c>
      <c r="D7122">
        <v>0</v>
      </c>
      <c r="E7122" t="s">
        <v>44683</v>
      </c>
      <c r="F7122" t="s">
        <v>44684</v>
      </c>
      <c r="G7122" t="s">
        <v>44685</v>
      </c>
      <c r="H7122" t="e" vm="3092">
        <f>_FV(0,"010450217671973336")</f>
        <v>#VALUE!</v>
      </c>
      <c r="I7122" t="s">
        <v>44686</v>
      </c>
      <c r="J7122" t="s">
        <v>44687</v>
      </c>
      <c r="K7122" t="s">
        <v>44688</v>
      </c>
      <c r="L7122" t="s">
        <v>44682</v>
      </c>
    </row>
    <row r="7123" spans="1:12" x14ac:dyDescent="0.25">
      <c r="A7123">
        <v>1249071</v>
      </c>
      <c r="B7123">
        <v>1249084</v>
      </c>
      <c r="D7123" t="s">
        <v>204</v>
      </c>
      <c r="E7123" t="s">
        <v>44690</v>
      </c>
      <c r="F7123" t="s">
        <v>44691</v>
      </c>
      <c r="G7123" t="s">
        <v>44692</v>
      </c>
      <c r="H7123" t="s">
        <v>44693</v>
      </c>
      <c r="I7123" t="s">
        <v>44694</v>
      </c>
      <c r="J7123" t="s">
        <v>44689</v>
      </c>
      <c r="K7123" t="s">
        <v>44695</v>
      </c>
      <c r="L7123" t="s">
        <v>44689</v>
      </c>
    </row>
    <row r="7124" spans="1:12" x14ac:dyDescent="0.25">
      <c r="A7124">
        <v>1249607</v>
      </c>
      <c r="B7124">
        <v>1251008</v>
      </c>
      <c r="D7124">
        <v>0</v>
      </c>
      <c r="F7124">
        <v>1350715</v>
      </c>
      <c r="G7124">
        <v>1251008</v>
      </c>
      <c r="H7124" t="s">
        <v>304</v>
      </c>
      <c r="I7124">
        <v>1249607</v>
      </c>
      <c r="J7124" t="s">
        <v>304</v>
      </c>
      <c r="K7124" t="s">
        <v>44696</v>
      </c>
      <c r="L7124" t="s">
        <v>304</v>
      </c>
    </row>
    <row r="7125" spans="1:12" x14ac:dyDescent="0.25">
      <c r="A7125">
        <v>1249607</v>
      </c>
      <c r="B7125">
        <v>1250987</v>
      </c>
      <c r="D7125">
        <v>0</v>
      </c>
      <c r="E7125" t="s">
        <v>44698</v>
      </c>
      <c r="F7125" t="s">
        <v>44699</v>
      </c>
      <c r="G7125" t="s">
        <v>44700</v>
      </c>
      <c r="H7125" t="s">
        <v>44701</v>
      </c>
      <c r="I7125" t="s">
        <v>44702</v>
      </c>
      <c r="J7125" t="s">
        <v>44697</v>
      </c>
      <c r="K7125" t="s">
        <v>44703</v>
      </c>
      <c r="L7125" t="s">
        <v>44697</v>
      </c>
    </row>
    <row r="7126" spans="1:12" x14ac:dyDescent="0.25">
      <c r="A7126">
        <v>1250125</v>
      </c>
      <c r="B7126">
        <v>1584608</v>
      </c>
      <c r="D7126">
        <v>0</v>
      </c>
      <c r="E7126" t="s">
        <v>44705</v>
      </c>
      <c r="F7126" t="s">
        <v>44706</v>
      </c>
      <c r="G7126" t="s">
        <v>44707</v>
      </c>
      <c r="H7126" t="s">
        <v>44708</v>
      </c>
      <c r="I7126" t="s">
        <v>44709</v>
      </c>
      <c r="J7126" t="s">
        <v>44704</v>
      </c>
      <c r="K7126" t="s">
        <v>44710</v>
      </c>
      <c r="L7126" t="s">
        <v>44704</v>
      </c>
    </row>
    <row r="7127" spans="1:12" x14ac:dyDescent="0.25">
      <c r="A7127">
        <v>1250125</v>
      </c>
      <c r="B7127">
        <v>1584597</v>
      </c>
      <c r="D7127">
        <v>0</v>
      </c>
      <c r="E7127" t="s">
        <v>44712</v>
      </c>
      <c r="F7127" t="s">
        <v>44713</v>
      </c>
      <c r="G7127" t="s">
        <v>44714</v>
      </c>
      <c r="H7127" t="s">
        <v>44715</v>
      </c>
      <c r="I7127" t="s">
        <v>44716</v>
      </c>
      <c r="J7127" t="s">
        <v>44711</v>
      </c>
      <c r="K7127" t="s">
        <v>44717</v>
      </c>
      <c r="L7127" t="s">
        <v>44711</v>
      </c>
    </row>
    <row r="7128" spans="1:12" x14ac:dyDescent="0.25">
      <c r="A7128">
        <v>1250131</v>
      </c>
      <c r="B7128">
        <v>1584581</v>
      </c>
      <c r="D7128">
        <v>0</v>
      </c>
      <c r="E7128" t="s">
        <v>44719</v>
      </c>
      <c r="F7128" t="s">
        <v>44720</v>
      </c>
      <c r="G7128" t="s">
        <v>44721</v>
      </c>
      <c r="H7128" t="e" vm="3093">
        <f>_FV(0,"9320114911092434")</f>
        <v>#VALUE!</v>
      </c>
      <c r="I7128" t="s">
        <v>44722</v>
      </c>
      <c r="J7128" t="s">
        <v>44723</v>
      </c>
      <c r="K7128" t="s">
        <v>44724</v>
      </c>
      <c r="L7128" t="s">
        <v>44718</v>
      </c>
    </row>
    <row r="7129" spans="1:12" x14ac:dyDescent="0.25">
      <c r="A7129">
        <v>1250131</v>
      </c>
      <c r="B7129">
        <v>1584640</v>
      </c>
      <c r="D7129">
        <v>0</v>
      </c>
      <c r="E7129" t="s">
        <v>44726</v>
      </c>
      <c r="F7129" t="s">
        <v>44727</v>
      </c>
      <c r="G7129" t="s">
        <v>44728</v>
      </c>
      <c r="H7129" t="e" vm="3094">
        <f>_FV(0,"9266900910193019")</f>
        <v>#VALUE!</v>
      </c>
      <c r="I7129" t="s">
        <v>44729</v>
      </c>
      <c r="J7129" t="s">
        <v>44730</v>
      </c>
      <c r="K7129" t="s">
        <v>44731</v>
      </c>
      <c r="L7129" t="s">
        <v>44725</v>
      </c>
    </row>
    <row r="7130" spans="1:12" x14ac:dyDescent="0.25">
      <c r="A7130">
        <v>1250668</v>
      </c>
      <c r="B7130">
        <v>1312437</v>
      </c>
      <c r="D7130">
        <v>0</v>
      </c>
      <c r="E7130" t="s">
        <v>44733</v>
      </c>
      <c r="F7130" t="s">
        <v>44734</v>
      </c>
      <c r="G7130" t="s">
        <v>44735</v>
      </c>
      <c r="H7130" t="s">
        <v>44736</v>
      </c>
      <c r="I7130" t="s">
        <v>44737</v>
      </c>
      <c r="J7130" t="s">
        <v>44732</v>
      </c>
      <c r="K7130" t="s">
        <v>44738</v>
      </c>
      <c r="L7130" t="s">
        <v>44732</v>
      </c>
    </row>
    <row r="7131" spans="1:12" x14ac:dyDescent="0.25">
      <c r="A7131">
        <v>1250668</v>
      </c>
      <c r="B7131">
        <v>1250777</v>
      </c>
      <c r="D7131">
        <v>0</v>
      </c>
      <c r="F7131">
        <v>1445689</v>
      </c>
      <c r="G7131">
        <v>1250668</v>
      </c>
      <c r="H7131" t="e" vm="56">
        <f>_FV(0,"023")</f>
        <v>#VALUE!</v>
      </c>
      <c r="I7131">
        <v>1250777</v>
      </c>
      <c r="J7131" t="s">
        <v>890</v>
      </c>
      <c r="K7131" t="s">
        <v>44739</v>
      </c>
      <c r="L7131" t="e" vm="56">
        <f>_FV(0,"023")</f>
        <v>#VALUE!</v>
      </c>
    </row>
    <row r="7132" spans="1:12" x14ac:dyDescent="0.25">
      <c r="A7132">
        <v>1250719</v>
      </c>
      <c r="B7132">
        <v>1251302</v>
      </c>
      <c r="D7132">
        <v>0</v>
      </c>
      <c r="F7132">
        <v>1445625</v>
      </c>
      <c r="G7132">
        <v>1251302</v>
      </c>
      <c r="H7132" t="e" vm="109">
        <f>_FV(0,"01")</f>
        <v>#VALUE!</v>
      </c>
      <c r="I7132">
        <v>1250719</v>
      </c>
      <c r="J7132" t="s">
        <v>761</v>
      </c>
      <c r="K7132" t="s">
        <v>44740</v>
      </c>
      <c r="L7132" t="e" vm="109">
        <f>_FV(0,"01")</f>
        <v>#VALUE!</v>
      </c>
    </row>
    <row r="7133" spans="1:12" x14ac:dyDescent="0.25">
      <c r="A7133">
        <v>1250719</v>
      </c>
      <c r="B7133">
        <v>1250834</v>
      </c>
      <c r="D7133">
        <v>0</v>
      </c>
      <c r="E7133" t="s">
        <v>44742</v>
      </c>
      <c r="F7133" t="s">
        <v>44743</v>
      </c>
      <c r="G7133" t="s">
        <v>44744</v>
      </c>
      <c r="H7133" t="e" vm="3095">
        <f>_FV(0,"023037707897724517")</f>
        <v>#VALUE!</v>
      </c>
      <c r="I7133" t="s">
        <v>44745</v>
      </c>
      <c r="J7133" t="s">
        <v>44746</v>
      </c>
      <c r="K7133" t="s">
        <v>44747</v>
      </c>
      <c r="L7133" t="s">
        <v>44741</v>
      </c>
    </row>
    <row r="7134" spans="1:12" x14ac:dyDescent="0.25">
      <c r="A7134">
        <v>1250777</v>
      </c>
      <c r="B7134">
        <v>1251321</v>
      </c>
      <c r="D7134">
        <v>0</v>
      </c>
      <c r="F7134">
        <v>1445681</v>
      </c>
      <c r="G7134">
        <v>1250777</v>
      </c>
      <c r="H7134" t="e" vm="488">
        <f>_FV(0,"047")</f>
        <v>#VALUE!</v>
      </c>
      <c r="I7134">
        <v>1251321</v>
      </c>
      <c r="J7134" t="s">
        <v>2292</v>
      </c>
      <c r="K7134" t="s">
        <v>44748</v>
      </c>
      <c r="L7134" t="e" vm="488">
        <f>_FV(0,"047")</f>
        <v>#VALUE!</v>
      </c>
    </row>
    <row r="7135" spans="1:12" x14ac:dyDescent="0.25">
      <c r="A7135">
        <v>1250834</v>
      </c>
      <c r="B7135">
        <v>1312378</v>
      </c>
      <c r="D7135">
        <v>0</v>
      </c>
      <c r="F7135">
        <v>1445649</v>
      </c>
      <c r="G7135">
        <v>1250834</v>
      </c>
      <c r="H7135" t="s">
        <v>2871</v>
      </c>
      <c r="I7135">
        <v>1312378</v>
      </c>
      <c r="J7135" t="s">
        <v>2871</v>
      </c>
      <c r="K7135" t="s">
        <v>44749</v>
      </c>
      <c r="L7135" t="s">
        <v>2871</v>
      </c>
    </row>
    <row r="7136" spans="1:12" x14ac:dyDescent="0.25">
      <c r="A7136">
        <v>1250970</v>
      </c>
      <c r="B7136">
        <v>1250981</v>
      </c>
      <c r="D7136">
        <v>0</v>
      </c>
      <c r="E7136" t="s">
        <v>44751</v>
      </c>
      <c r="F7136" t="s">
        <v>44752</v>
      </c>
      <c r="G7136" t="s">
        <v>44753</v>
      </c>
      <c r="H7136" t="e" vm="3096">
        <f>_FV(0,"02647691358885379")</f>
        <v>#VALUE!</v>
      </c>
      <c r="I7136" t="s">
        <v>44754</v>
      </c>
      <c r="J7136" t="s">
        <v>44755</v>
      </c>
      <c r="K7136" t="s">
        <v>44756</v>
      </c>
      <c r="L7136" t="s">
        <v>44750</v>
      </c>
    </row>
    <row r="7137" spans="1:12" x14ac:dyDescent="0.25">
      <c r="A7137">
        <v>1250981</v>
      </c>
      <c r="B7137">
        <v>1250987</v>
      </c>
      <c r="D7137">
        <v>0</v>
      </c>
      <c r="F7137">
        <v>1350689</v>
      </c>
      <c r="G7137">
        <v>1250987</v>
      </c>
      <c r="H7137" t="e" vm="109">
        <f>_FV(0,"01")</f>
        <v>#VALUE!</v>
      </c>
      <c r="I7137">
        <v>1250981</v>
      </c>
      <c r="J7137" t="s">
        <v>761</v>
      </c>
      <c r="K7137" t="s">
        <v>44757</v>
      </c>
      <c r="L7137" t="e" vm="109">
        <f>_FV(0,"01")</f>
        <v>#VALUE!</v>
      </c>
    </row>
    <row r="7138" spans="1:12" x14ac:dyDescent="0.25">
      <c r="A7138">
        <v>1251042</v>
      </c>
      <c r="B7138">
        <v>1251061</v>
      </c>
      <c r="D7138">
        <v>0</v>
      </c>
      <c r="E7138" t="s">
        <v>44759</v>
      </c>
      <c r="F7138" t="s">
        <v>44760</v>
      </c>
      <c r="G7138" t="s">
        <v>44761</v>
      </c>
      <c r="H7138" t="s">
        <v>44762</v>
      </c>
      <c r="I7138" t="s">
        <v>44763</v>
      </c>
      <c r="J7138" t="s">
        <v>44758</v>
      </c>
      <c r="K7138" t="s">
        <v>44764</v>
      </c>
      <c r="L7138" t="s">
        <v>44758</v>
      </c>
    </row>
    <row r="7139" spans="1:12" x14ac:dyDescent="0.25">
      <c r="A7139">
        <v>1251042</v>
      </c>
      <c r="B7139">
        <v>1251095</v>
      </c>
      <c r="D7139">
        <v>0</v>
      </c>
      <c r="E7139" t="s">
        <v>44766</v>
      </c>
      <c r="F7139" t="s">
        <v>44767</v>
      </c>
      <c r="G7139" t="s">
        <v>44768</v>
      </c>
      <c r="H7139" t="e" vm="3097">
        <f>_FV(0,"0004957909583825279")</f>
        <v>#VALUE!</v>
      </c>
      <c r="I7139" t="s">
        <v>44769</v>
      </c>
      <c r="J7139" t="s">
        <v>44770</v>
      </c>
      <c r="K7139" t="s">
        <v>44771</v>
      </c>
      <c r="L7139" t="s">
        <v>44765</v>
      </c>
    </row>
    <row r="7140" spans="1:12" x14ac:dyDescent="0.25">
      <c r="A7140">
        <v>1251061</v>
      </c>
      <c r="B7140">
        <v>1251075</v>
      </c>
      <c r="D7140">
        <v>0</v>
      </c>
      <c r="E7140" t="s">
        <v>44772</v>
      </c>
      <c r="F7140" t="s">
        <v>44773</v>
      </c>
      <c r="G7140" t="s">
        <v>44774</v>
      </c>
      <c r="H7140" t="e" vm="201">
        <f>_FV(0,"002")</f>
        <v>#VALUE!</v>
      </c>
      <c r="I7140" t="s">
        <v>44775</v>
      </c>
      <c r="J7140" t="s">
        <v>1534</v>
      </c>
      <c r="K7140" t="s">
        <v>44776</v>
      </c>
      <c r="L7140" t="e" vm="201">
        <f>_FV(0,"002")</f>
        <v>#VALUE!</v>
      </c>
    </row>
    <row r="7141" spans="1:12" x14ac:dyDescent="0.25">
      <c r="A7141">
        <v>1251075</v>
      </c>
      <c r="B7141">
        <v>1251095</v>
      </c>
      <c r="D7141">
        <v>0</v>
      </c>
      <c r="E7141" t="s">
        <v>44778</v>
      </c>
      <c r="F7141" t="s">
        <v>44779</v>
      </c>
      <c r="G7141" t="s">
        <v>44780</v>
      </c>
      <c r="H7141" t="e" vm="3098">
        <f>_FV(0,"0012742047010642424")</f>
        <v>#VALUE!</v>
      </c>
      <c r="I7141" t="s">
        <v>44781</v>
      </c>
      <c r="J7141" t="s">
        <v>44782</v>
      </c>
      <c r="K7141" t="s">
        <v>44783</v>
      </c>
      <c r="L7141" t="s">
        <v>44777</v>
      </c>
    </row>
    <row r="7142" spans="1:12" x14ac:dyDescent="0.25">
      <c r="A7142">
        <v>1251253</v>
      </c>
      <c r="B7142">
        <v>1837088</v>
      </c>
      <c r="D7142">
        <v>0</v>
      </c>
      <c r="E7142" t="s">
        <v>44785</v>
      </c>
      <c r="F7142" t="s">
        <v>44786</v>
      </c>
      <c r="G7142" t="s">
        <v>44787</v>
      </c>
      <c r="H7142" t="e" vm="3099">
        <f>_FV(0,"11730895643542726")</f>
        <v>#VALUE!</v>
      </c>
      <c r="I7142" t="s">
        <v>44788</v>
      </c>
      <c r="J7142" t="s">
        <v>44789</v>
      </c>
      <c r="K7142" t="s">
        <v>44790</v>
      </c>
      <c r="L7142" t="s">
        <v>44784</v>
      </c>
    </row>
    <row r="7143" spans="1:12" x14ac:dyDescent="0.25">
      <c r="A7143">
        <v>1251253</v>
      </c>
      <c r="B7143">
        <v>1837095</v>
      </c>
      <c r="D7143">
        <v>0</v>
      </c>
      <c r="E7143" t="s">
        <v>44792</v>
      </c>
      <c r="F7143" t="s">
        <v>44793</v>
      </c>
      <c r="G7143" t="s">
        <v>44794</v>
      </c>
      <c r="H7143" t="e" vm="3100">
        <f>_FV(0,"12551105529736536")</f>
        <v>#VALUE!</v>
      </c>
      <c r="I7143" t="s">
        <v>44795</v>
      </c>
      <c r="J7143" t="s">
        <v>44796</v>
      </c>
      <c r="K7143" t="s">
        <v>44797</v>
      </c>
      <c r="L7143" t="s">
        <v>44791</v>
      </c>
    </row>
    <row r="7144" spans="1:12" x14ac:dyDescent="0.25">
      <c r="A7144">
        <v>1251259</v>
      </c>
      <c r="B7144">
        <v>1837105</v>
      </c>
      <c r="D7144">
        <v>0</v>
      </c>
      <c r="E7144" t="s">
        <v>44799</v>
      </c>
      <c r="F7144" t="s">
        <v>44800</v>
      </c>
      <c r="G7144" t="s">
        <v>44801</v>
      </c>
      <c r="H7144" t="e" vm="3101">
        <f>_FV(0,"046408134062658916")</f>
        <v>#VALUE!</v>
      </c>
      <c r="I7144" t="s">
        <v>44802</v>
      </c>
      <c r="J7144" t="s">
        <v>44803</v>
      </c>
      <c r="K7144" t="s">
        <v>44804</v>
      </c>
      <c r="L7144" t="s">
        <v>44798</v>
      </c>
    </row>
    <row r="7145" spans="1:12" x14ac:dyDescent="0.25">
      <c r="A7145">
        <v>1251259</v>
      </c>
      <c r="B7145">
        <v>1837115</v>
      </c>
      <c r="D7145">
        <v>0</v>
      </c>
      <c r="E7145" t="s">
        <v>44806</v>
      </c>
      <c r="F7145" t="s">
        <v>44807</v>
      </c>
      <c r="G7145" t="s">
        <v>44808</v>
      </c>
      <c r="H7145" t="e" vm="3102">
        <f>_FV(0,"04004515660643583")</f>
        <v>#VALUE!</v>
      </c>
      <c r="I7145" t="s">
        <v>44809</v>
      </c>
      <c r="J7145" t="s">
        <v>44810</v>
      </c>
      <c r="K7145" t="s">
        <v>44811</v>
      </c>
      <c r="L7145" t="s">
        <v>44805</v>
      </c>
    </row>
    <row r="7146" spans="1:12" x14ac:dyDescent="0.25">
      <c r="A7146">
        <v>1251302</v>
      </c>
      <c r="B7146">
        <v>1251308</v>
      </c>
      <c r="D7146">
        <v>0</v>
      </c>
      <c r="E7146" t="s">
        <v>44813</v>
      </c>
      <c r="F7146" t="s">
        <v>44814</v>
      </c>
      <c r="G7146" t="s">
        <v>44815</v>
      </c>
      <c r="H7146" t="e" vm="3103">
        <f>_FV(0,"01830636293722608")</f>
        <v>#VALUE!</v>
      </c>
      <c r="I7146" t="s">
        <v>44816</v>
      </c>
      <c r="J7146" t="s">
        <v>24080</v>
      </c>
      <c r="K7146" t="s">
        <v>44817</v>
      </c>
      <c r="L7146" t="s">
        <v>44812</v>
      </c>
    </row>
    <row r="7147" spans="1:12" x14ac:dyDescent="0.25">
      <c r="A7147">
        <v>1251302</v>
      </c>
      <c r="B7147">
        <v>1312378</v>
      </c>
      <c r="D7147">
        <v>0</v>
      </c>
      <c r="E7147" t="s">
        <v>44819</v>
      </c>
      <c r="F7147" t="s">
        <v>44820</v>
      </c>
      <c r="G7147" t="s">
        <v>44821</v>
      </c>
      <c r="H7147" t="s">
        <v>44822</v>
      </c>
      <c r="I7147" t="s">
        <v>44823</v>
      </c>
      <c r="J7147" t="s">
        <v>44818</v>
      </c>
      <c r="K7147" t="s">
        <v>44824</v>
      </c>
      <c r="L7147" t="s">
        <v>44818</v>
      </c>
    </row>
    <row r="7148" spans="1:12" x14ac:dyDescent="0.25">
      <c r="A7148">
        <v>1251308</v>
      </c>
      <c r="B7148">
        <v>1251314</v>
      </c>
      <c r="D7148">
        <v>0</v>
      </c>
      <c r="E7148" t="s">
        <v>44826</v>
      </c>
      <c r="F7148" t="s">
        <v>44827</v>
      </c>
      <c r="G7148" t="s">
        <v>44828</v>
      </c>
      <c r="H7148" t="e" vm="3104">
        <f>_FV(0,"026780171868818092")</f>
        <v>#VALUE!</v>
      </c>
      <c r="I7148" t="s">
        <v>44829</v>
      </c>
      <c r="J7148" t="s">
        <v>44830</v>
      </c>
      <c r="K7148" t="s">
        <v>44831</v>
      </c>
      <c r="L7148" t="s">
        <v>44825</v>
      </c>
    </row>
    <row r="7149" spans="1:12" x14ac:dyDescent="0.25">
      <c r="A7149">
        <v>1251308</v>
      </c>
      <c r="B7149">
        <v>1312378</v>
      </c>
      <c r="D7149">
        <v>0</v>
      </c>
      <c r="E7149" t="s">
        <v>44833</v>
      </c>
      <c r="F7149" t="s">
        <v>44834</v>
      </c>
      <c r="G7149" t="s">
        <v>44835</v>
      </c>
      <c r="H7149" t="e" vm="3105">
        <f>_FV(0,"02983777479196244")</f>
        <v>#VALUE!</v>
      </c>
      <c r="I7149" t="s">
        <v>44836</v>
      </c>
      <c r="J7149" t="s">
        <v>6590</v>
      </c>
      <c r="K7149" t="s">
        <v>44837</v>
      </c>
      <c r="L7149" t="s">
        <v>44832</v>
      </c>
    </row>
    <row r="7150" spans="1:12" x14ac:dyDescent="0.25">
      <c r="A7150">
        <v>1251314</v>
      </c>
      <c r="B7150">
        <v>1251321</v>
      </c>
      <c r="D7150">
        <v>0</v>
      </c>
      <c r="E7150" t="s">
        <v>44839</v>
      </c>
      <c r="F7150" t="s">
        <v>44840</v>
      </c>
      <c r="G7150" t="s">
        <v>44841</v>
      </c>
      <c r="H7150" t="e" vm="3106">
        <f>_FV(0,"03244859600994143")</f>
        <v>#VALUE!</v>
      </c>
      <c r="I7150" t="s">
        <v>44842</v>
      </c>
      <c r="J7150" t="s">
        <v>44843</v>
      </c>
      <c r="K7150" t="s">
        <v>44844</v>
      </c>
      <c r="L7150" t="s">
        <v>44838</v>
      </c>
    </row>
    <row r="7151" spans="1:12" x14ac:dyDescent="0.25">
      <c r="A7151">
        <v>1251314</v>
      </c>
      <c r="B7151">
        <v>1312437</v>
      </c>
      <c r="D7151">
        <v>0</v>
      </c>
      <c r="E7151" t="s">
        <v>44846</v>
      </c>
      <c r="F7151" t="s">
        <v>44847</v>
      </c>
      <c r="G7151" t="s">
        <v>44848</v>
      </c>
      <c r="H7151" t="e" vm="3107">
        <f>_FV(0,"026116948101025158")</f>
        <v>#VALUE!</v>
      </c>
      <c r="I7151" t="s">
        <v>44849</v>
      </c>
      <c r="J7151" t="s">
        <v>44850</v>
      </c>
      <c r="K7151" t="s">
        <v>44851</v>
      </c>
      <c r="L7151" t="s">
        <v>44845</v>
      </c>
    </row>
    <row r="7152" spans="1:12" x14ac:dyDescent="0.25">
      <c r="A7152">
        <v>1251321</v>
      </c>
      <c r="B7152">
        <v>1312437</v>
      </c>
      <c r="D7152">
        <v>0</v>
      </c>
      <c r="E7152" t="s">
        <v>44853</v>
      </c>
      <c r="F7152" t="s">
        <v>44854</v>
      </c>
      <c r="G7152" t="s">
        <v>44855</v>
      </c>
      <c r="H7152" t="e" vm="3108">
        <f>_FV(0,"02970979586957224")</f>
        <v>#VALUE!</v>
      </c>
      <c r="I7152" t="s">
        <v>44856</v>
      </c>
      <c r="J7152" t="s">
        <v>9256</v>
      </c>
      <c r="K7152" t="s">
        <v>44857</v>
      </c>
      <c r="L7152" t="s">
        <v>44852</v>
      </c>
    </row>
    <row r="7153" spans="1:12" x14ac:dyDescent="0.25">
      <c r="A7153">
        <v>365076</v>
      </c>
      <c r="B7153">
        <v>1251504</v>
      </c>
      <c r="C7153" t="s">
        <v>44859</v>
      </c>
      <c r="D7153">
        <v>0</v>
      </c>
      <c r="E7153" t="s">
        <v>44860</v>
      </c>
      <c r="F7153" t="s">
        <v>44861</v>
      </c>
      <c r="G7153" t="s">
        <v>44862</v>
      </c>
      <c r="H7153" t="e" vm="3109">
        <f>_FV(0,"015240195254380782")</f>
        <v>#VALUE!</v>
      </c>
      <c r="I7153" t="s">
        <v>44863</v>
      </c>
      <c r="J7153" t="s">
        <v>44864</v>
      </c>
      <c r="K7153" t="s">
        <v>44865</v>
      </c>
      <c r="L7153" t="s">
        <v>44858</v>
      </c>
    </row>
    <row r="7154" spans="1:12" x14ac:dyDescent="0.25">
      <c r="A7154">
        <v>1251504</v>
      </c>
      <c r="B7154">
        <v>1251541</v>
      </c>
      <c r="D7154">
        <v>0</v>
      </c>
      <c r="E7154" t="s">
        <v>44867</v>
      </c>
      <c r="F7154" t="s">
        <v>44868</v>
      </c>
      <c r="G7154" t="s">
        <v>44869</v>
      </c>
      <c r="H7154" t="e" vm="3110">
        <f>_FV(0,"007098222132192545")</f>
        <v>#VALUE!</v>
      </c>
      <c r="I7154" t="s">
        <v>44870</v>
      </c>
      <c r="J7154" t="s">
        <v>44871</v>
      </c>
      <c r="K7154" t="s">
        <v>44872</v>
      </c>
      <c r="L7154" t="s">
        <v>44866</v>
      </c>
    </row>
    <row r="7155" spans="1:12" x14ac:dyDescent="0.25">
      <c r="A7155">
        <v>1251504</v>
      </c>
      <c r="B7155">
        <v>1792384</v>
      </c>
      <c r="D7155">
        <v>0</v>
      </c>
      <c r="E7155" t="s">
        <v>44874</v>
      </c>
      <c r="F7155" t="s">
        <v>44875</v>
      </c>
      <c r="G7155" t="s">
        <v>44876</v>
      </c>
      <c r="H7155" t="e" vm="3111">
        <f>_FV(0,"00888262606705659")</f>
        <v>#VALUE!</v>
      </c>
      <c r="I7155" t="s">
        <v>44877</v>
      </c>
      <c r="J7155" t="s">
        <v>44878</v>
      </c>
      <c r="K7155" t="s">
        <v>44879</v>
      </c>
      <c r="L7155" t="s">
        <v>44873</v>
      </c>
    </row>
    <row r="7156" spans="1:12" x14ac:dyDescent="0.25">
      <c r="A7156">
        <v>1251508</v>
      </c>
      <c r="B7156">
        <v>1251541</v>
      </c>
      <c r="D7156">
        <v>0</v>
      </c>
      <c r="E7156" t="s">
        <v>44881</v>
      </c>
      <c r="F7156" t="s">
        <v>44882</v>
      </c>
      <c r="G7156" t="s">
        <v>44883</v>
      </c>
      <c r="H7156" t="s">
        <v>44884</v>
      </c>
      <c r="I7156" t="s">
        <v>44885</v>
      </c>
      <c r="J7156" t="s">
        <v>44880</v>
      </c>
      <c r="K7156" t="s">
        <v>44886</v>
      </c>
      <c r="L7156" t="s">
        <v>44880</v>
      </c>
    </row>
    <row r="7157" spans="1:12" x14ac:dyDescent="0.25">
      <c r="A7157">
        <v>1251681</v>
      </c>
      <c r="B7157">
        <v>1790694</v>
      </c>
      <c r="C7157" t="s">
        <v>44888</v>
      </c>
      <c r="D7157" t="s">
        <v>44889</v>
      </c>
      <c r="E7157" t="s">
        <v>44890</v>
      </c>
      <c r="F7157" t="s">
        <v>44891</v>
      </c>
      <c r="G7157" t="s">
        <v>44892</v>
      </c>
      <c r="H7157" t="e" vm="3112">
        <f>_FV(0,"0028842008993873974")</f>
        <v>#VALUE!</v>
      </c>
      <c r="I7157" t="s">
        <v>44893</v>
      </c>
      <c r="J7157" t="s">
        <v>44894</v>
      </c>
      <c r="K7157" t="s">
        <v>44895</v>
      </c>
      <c r="L7157" t="s">
        <v>44887</v>
      </c>
    </row>
    <row r="7158" spans="1:12" x14ac:dyDescent="0.25">
      <c r="A7158">
        <v>1251827</v>
      </c>
      <c r="B7158">
        <v>1251880</v>
      </c>
      <c r="D7158">
        <v>0</v>
      </c>
      <c r="E7158" t="s">
        <v>44896</v>
      </c>
      <c r="F7158" t="s">
        <v>44897</v>
      </c>
      <c r="G7158" t="s">
        <v>44898</v>
      </c>
      <c r="H7158" t="s">
        <v>44899</v>
      </c>
      <c r="I7158" t="s">
        <v>44900</v>
      </c>
      <c r="J7158" t="s">
        <v>44770</v>
      </c>
      <c r="K7158" t="s">
        <v>44901</v>
      </c>
      <c r="L7158" t="s">
        <v>44765</v>
      </c>
    </row>
    <row r="7159" spans="1:12" x14ac:dyDescent="0.25">
      <c r="A7159">
        <v>1251840</v>
      </c>
      <c r="B7159">
        <v>1251897</v>
      </c>
      <c r="D7159">
        <v>0</v>
      </c>
      <c r="E7159" t="s">
        <v>44903</v>
      </c>
      <c r="F7159" t="s">
        <v>44904</v>
      </c>
      <c r="G7159" t="s">
        <v>44905</v>
      </c>
      <c r="H7159" t="e" vm="3113">
        <f>_FV(0,"015156033804698321")</f>
        <v>#VALUE!</v>
      </c>
      <c r="I7159" t="s">
        <v>44906</v>
      </c>
      <c r="J7159" t="s">
        <v>44907</v>
      </c>
      <c r="K7159" t="s">
        <v>44908</v>
      </c>
      <c r="L7159" t="s">
        <v>44902</v>
      </c>
    </row>
    <row r="7160" spans="1:12" x14ac:dyDescent="0.25">
      <c r="A7160">
        <v>1251897</v>
      </c>
      <c r="B7160">
        <v>1251914</v>
      </c>
      <c r="D7160">
        <v>0</v>
      </c>
      <c r="E7160" t="s">
        <v>44910</v>
      </c>
      <c r="F7160" t="s">
        <v>44911</v>
      </c>
      <c r="G7160" t="s">
        <v>44912</v>
      </c>
      <c r="H7160" t="e" vm="3114">
        <f>_FV(0,"0024703871027516814")</f>
        <v>#VALUE!</v>
      </c>
      <c r="I7160" t="s">
        <v>44913</v>
      </c>
      <c r="J7160" t="s">
        <v>44914</v>
      </c>
      <c r="K7160" t="s">
        <v>44915</v>
      </c>
      <c r="L7160" t="s">
        <v>44909</v>
      </c>
    </row>
    <row r="7161" spans="1:12" x14ac:dyDescent="0.25">
      <c r="A7161">
        <v>1252604</v>
      </c>
      <c r="B7161">
        <v>1252648</v>
      </c>
      <c r="D7161">
        <v>0</v>
      </c>
      <c r="F7161">
        <v>1353100</v>
      </c>
      <c r="G7161">
        <v>1252648</v>
      </c>
      <c r="H7161" t="s">
        <v>241</v>
      </c>
      <c r="I7161">
        <v>1252604</v>
      </c>
      <c r="J7161" t="s">
        <v>241</v>
      </c>
      <c r="K7161" t="s">
        <v>44916</v>
      </c>
      <c r="L7161" t="s">
        <v>241</v>
      </c>
    </row>
    <row r="7162" spans="1:12" x14ac:dyDescent="0.25">
      <c r="A7162">
        <v>1252604</v>
      </c>
      <c r="B7162">
        <v>1252611</v>
      </c>
      <c r="D7162">
        <v>0</v>
      </c>
      <c r="E7162" t="s">
        <v>44918</v>
      </c>
      <c r="F7162" t="s">
        <v>44919</v>
      </c>
      <c r="G7162" t="s">
        <v>44920</v>
      </c>
      <c r="H7162" t="e" vm="3115">
        <f>_FV(0,"009102706098422283")</f>
        <v>#VALUE!</v>
      </c>
      <c r="I7162" t="s">
        <v>44921</v>
      </c>
      <c r="J7162" t="s">
        <v>42167</v>
      </c>
      <c r="K7162" t="s">
        <v>44922</v>
      </c>
      <c r="L7162" t="s">
        <v>44917</v>
      </c>
    </row>
    <row r="7163" spans="1:12" x14ac:dyDescent="0.25">
      <c r="A7163">
        <v>1252604</v>
      </c>
      <c r="B7163">
        <v>1252632</v>
      </c>
      <c r="D7163">
        <v>0</v>
      </c>
      <c r="E7163" t="s">
        <v>44923</v>
      </c>
      <c r="F7163" t="s">
        <v>44924</v>
      </c>
      <c r="G7163" t="s">
        <v>44925</v>
      </c>
      <c r="H7163" t="s">
        <v>44926</v>
      </c>
      <c r="I7163" t="s">
        <v>44927</v>
      </c>
      <c r="J7163" t="s">
        <v>4119</v>
      </c>
      <c r="K7163" t="s">
        <v>44928</v>
      </c>
      <c r="L7163" t="s">
        <v>4119</v>
      </c>
    </row>
    <row r="7164" spans="1:12" x14ac:dyDescent="0.25">
      <c r="A7164">
        <v>1252611</v>
      </c>
      <c r="B7164">
        <v>1252632</v>
      </c>
      <c r="D7164">
        <v>0</v>
      </c>
      <c r="E7164" t="s">
        <v>44930</v>
      </c>
      <c r="F7164" t="s">
        <v>44931</v>
      </c>
      <c r="G7164" t="s">
        <v>44932</v>
      </c>
      <c r="H7164" t="e" vm="3116">
        <f>_FV(0,"004230671526817728")</f>
        <v>#VALUE!</v>
      </c>
      <c r="I7164" t="s">
        <v>44933</v>
      </c>
      <c r="J7164" t="s">
        <v>30469</v>
      </c>
      <c r="K7164" t="s">
        <v>44934</v>
      </c>
      <c r="L7164" t="s">
        <v>44929</v>
      </c>
    </row>
    <row r="7165" spans="1:12" x14ac:dyDescent="0.25">
      <c r="A7165">
        <v>1252616</v>
      </c>
      <c r="B7165">
        <v>1252632</v>
      </c>
      <c r="D7165">
        <v>0</v>
      </c>
      <c r="E7165" t="s">
        <v>44936</v>
      </c>
      <c r="F7165" t="s">
        <v>44937</v>
      </c>
      <c r="G7165" t="s">
        <v>44938</v>
      </c>
      <c r="H7165" t="e" vm="3117">
        <f>_FV(0,"007853668347281169")</f>
        <v>#VALUE!</v>
      </c>
      <c r="I7165" t="s">
        <v>44939</v>
      </c>
      <c r="J7165" t="s">
        <v>44940</v>
      </c>
      <c r="K7165" t="s">
        <v>44941</v>
      </c>
      <c r="L7165" t="s">
        <v>44935</v>
      </c>
    </row>
    <row r="7166" spans="1:12" x14ac:dyDescent="0.25">
      <c r="A7166">
        <v>1252616</v>
      </c>
      <c r="B7166">
        <v>1252648</v>
      </c>
      <c r="D7166">
        <v>0</v>
      </c>
      <c r="E7166" t="s">
        <v>44943</v>
      </c>
      <c r="F7166" t="s">
        <v>44944</v>
      </c>
      <c r="G7166" t="s">
        <v>44945</v>
      </c>
      <c r="H7166" t="e" vm="3118">
        <f>_FV(0,"011785977220288192")</f>
        <v>#VALUE!</v>
      </c>
      <c r="I7166" t="s">
        <v>44946</v>
      </c>
      <c r="J7166" t="s">
        <v>13887</v>
      </c>
      <c r="K7166" t="s">
        <v>44947</v>
      </c>
      <c r="L7166" t="s">
        <v>44942</v>
      </c>
    </row>
    <row r="7167" spans="1:12" x14ac:dyDescent="0.25">
      <c r="A7167">
        <v>1252616</v>
      </c>
      <c r="B7167">
        <v>1252664</v>
      </c>
      <c r="D7167">
        <v>0</v>
      </c>
      <c r="E7167" t="s">
        <v>44948</v>
      </c>
      <c r="F7167" t="s">
        <v>44949</v>
      </c>
      <c r="G7167" t="s">
        <v>44950</v>
      </c>
      <c r="H7167" t="e" vm="3119">
        <f>_FV(0,"012166307920901577")</f>
        <v>#VALUE!</v>
      </c>
      <c r="I7167" t="s">
        <v>44951</v>
      </c>
      <c r="J7167" t="s">
        <v>33688</v>
      </c>
      <c r="K7167" t="s">
        <v>44952</v>
      </c>
      <c r="L7167" t="s">
        <v>33683</v>
      </c>
    </row>
    <row r="7168" spans="1:12" x14ac:dyDescent="0.25">
      <c r="A7168">
        <v>1252648</v>
      </c>
      <c r="B7168">
        <v>1252664</v>
      </c>
      <c r="D7168">
        <v>0</v>
      </c>
      <c r="E7168" t="s">
        <v>44953</v>
      </c>
      <c r="F7168" t="s">
        <v>44954</v>
      </c>
      <c r="G7168" t="s">
        <v>44955</v>
      </c>
      <c r="H7168" t="e" vm="62">
        <f>_FV(0,"008")</f>
        <v>#VALUE!</v>
      </c>
      <c r="I7168" t="s">
        <v>44956</v>
      </c>
      <c r="J7168" t="s">
        <v>241</v>
      </c>
      <c r="K7168" t="s">
        <v>44957</v>
      </c>
      <c r="L7168" t="e" vm="62">
        <f>_FV(0,"008")</f>
        <v>#VALUE!</v>
      </c>
    </row>
    <row r="7169" spans="1:12" x14ac:dyDescent="0.25">
      <c r="A7169">
        <v>1253113</v>
      </c>
      <c r="B7169">
        <v>1253118</v>
      </c>
      <c r="D7169">
        <v>0</v>
      </c>
      <c r="F7169">
        <v>1353748</v>
      </c>
      <c r="G7169">
        <v>1253118</v>
      </c>
      <c r="H7169" t="s">
        <v>26349</v>
      </c>
      <c r="I7169">
        <v>1253113</v>
      </c>
      <c r="J7169" t="s">
        <v>26349</v>
      </c>
      <c r="K7169" t="s">
        <v>44958</v>
      </c>
      <c r="L7169" t="s">
        <v>26349</v>
      </c>
    </row>
    <row r="7170" spans="1:12" x14ac:dyDescent="0.25">
      <c r="A7170">
        <v>1253113</v>
      </c>
      <c r="B7170">
        <v>1447922</v>
      </c>
      <c r="D7170">
        <v>0</v>
      </c>
      <c r="E7170" t="s">
        <v>44960</v>
      </c>
      <c r="F7170" t="s">
        <v>44961</v>
      </c>
      <c r="G7170" t="s">
        <v>44962</v>
      </c>
      <c r="H7170" t="s">
        <v>44963</v>
      </c>
      <c r="I7170" t="s">
        <v>44964</v>
      </c>
      <c r="J7170" t="s">
        <v>44965</v>
      </c>
      <c r="K7170" t="s">
        <v>44966</v>
      </c>
      <c r="L7170" t="s">
        <v>44959</v>
      </c>
    </row>
    <row r="7171" spans="1:12" x14ac:dyDescent="0.25">
      <c r="A7171">
        <v>1253118</v>
      </c>
      <c r="B7171">
        <v>1253247</v>
      </c>
      <c r="D7171" t="s">
        <v>44968</v>
      </c>
      <c r="E7171" t="s">
        <v>44969</v>
      </c>
      <c r="F7171" t="s">
        <v>44970</v>
      </c>
      <c r="G7171" t="s">
        <v>44971</v>
      </c>
      <c r="H7171" t="e" vm="3120">
        <f>_FV(0,"00524474603001283")</f>
        <v>#VALUE!</v>
      </c>
      <c r="I7171" t="s">
        <v>44972</v>
      </c>
      <c r="J7171" t="s">
        <v>44973</v>
      </c>
      <c r="K7171" t="s">
        <v>44974</v>
      </c>
      <c r="L7171" t="s">
        <v>44967</v>
      </c>
    </row>
    <row r="7172" spans="1:12" x14ac:dyDescent="0.25">
      <c r="A7172">
        <v>1253152</v>
      </c>
      <c r="B7172">
        <v>1253166</v>
      </c>
      <c r="D7172">
        <v>0</v>
      </c>
      <c r="E7172" t="s">
        <v>44976</v>
      </c>
      <c r="F7172" t="s">
        <v>44977</v>
      </c>
      <c r="G7172" t="s">
        <v>44978</v>
      </c>
      <c r="H7172" t="s">
        <v>44979</v>
      </c>
      <c r="I7172" t="s">
        <v>44980</v>
      </c>
      <c r="J7172" t="s">
        <v>44981</v>
      </c>
      <c r="K7172" t="s">
        <v>44982</v>
      </c>
      <c r="L7172" t="s">
        <v>44975</v>
      </c>
    </row>
    <row r="7173" spans="1:12" x14ac:dyDescent="0.25">
      <c r="A7173">
        <v>1253247</v>
      </c>
      <c r="B7173">
        <v>1253255</v>
      </c>
      <c r="D7173">
        <v>0</v>
      </c>
      <c r="E7173" t="s">
        <v>44984</v>
      </c>
      <c r="F7173" t="s">
        <v>44985</v>
      </c>
      <c r="G7173" t="s">
        <v>44986</v>
      </c>
      <c r="H7173" t="e" vm="3121">
        <f>_FV(0,"05614096481082148")</f>
        <v>#VALUE!</v>
      </c>
      <c r="I7173" t="s">
        <v>44987</v>
      </c>
      <c r="J7173" t="s">
        <v>44988</v>
      </c>
      <c r="K7173" t="s">
        <v>44989</v>
      </c>
      <c r="L7173" t="s">
        <v>44983</v>
      </c>
    </row>
    <row r="7174" spans="1:12" x14ac:dyDescent="0.25">
      <c r="A7174">
        <v>1253247</v>
      </c>
      <c r="B7174">
        <v>1253654</v>
      </c>
      <c r="D7174">
        <v>0</v>
      </c>
      <c r="E7174" t="s">
        <v>44991</v>
      </c>
      <c r="F7174" t="s">
        <v>44992</v>
      </c>
      <c r="G7174" t="s">
        <v>44993</v>
      </c>
      <c r="H7174" t="s">
        <v>44994</v>
      </c>
      <c r="I7174" t="s">
        <v>44995</v>
      </c>
      <c r="J7174" t="s">
        <v>44990</v>
      </c>
      <c r="K7174" t="s">
        <v>44996</v>
      </c>
      <c r="L7174" t="s">
        <v>44990</v>
      </c>
    </row>
    <row r="7175" spans="1:12" x14ac:dyDescent="0.25">
      <c r="A7175">
        <v>1253255</v>
      </c>
      <c r="B7175">
        <v>1253262</v>
      </c>
      <c r="D7175">
        <v>0</v>
      </c>
      <c r="F7175">
        <v>1353974</v>
      </c>
      <c r="G7175">
        <v>1253262</v>
      </c>
      <c r="H7175" t="e" vm="945">
        <f>_FV(0,"049")</f>
        <v>#VALUE!</v>
      </c>
      <c r="I7175">
        <v>1253255</v>
      </c>
      <c r="J7175" t="s">
        <v>304</v>
      </c>
      <c r="K7175" t="s">
        <v>44997</v>
      </c>
      <c r="L7175" t="e" vm="945">
        <f>_FV(0,"049")</f>
        <v>#VALUE!</v>
      </c>
    </row>
    <row r="7176" spans="1:12" x14ac:dyDescent="0.25">
      <c r="A7176">
        <v>1253255</v>
      </c>
      <c r="B7176">
        <v>1253664</v>
      </c>
      <c r="D7176">
        <v>0</v>
      </c>
      <c r="F7176">
        <v>1354706</v>
      </c>
      <c r="G7176">
        <v>1253664</v>
      </c>
      <c r="H7176" t="e" vm="2594">
        <f>_FV(0,"07")</f>
        <v>#VALUE!</v>
      </c>
      <c r="I7176">
        <v>1253255</v>
      </c>
      <c r="J7176" t="s">
        <v>24389</v>
      </c>
      <c r="K7176" t="s">
        <v>44998</v>
      </c>
      <c r="L7176" t="e" vm="2594">
        <f>_FV(0,"07")</f>
        <v>#VALUE!</v>
      </c>
    </row>
    <row r="7177" spans="1:12" x14ac:dyDescent="0.25">
      <c r="A7177">
        <v>1253255</v>
      </c>
      <c r="B7177">
        <v>1253654</v>
      </c>
      <c r="D7177">
        <v>0</v>
      </c>
      <c r="F7177">
        <v>1354694</v>
      </c>
      <c r="G7177">
        <v>1253255</v>
      </c>
      <c r="H7177" t="s">
        <v>737</v>
      </c>
      <c r="I7177">
        <v>1253654</v>
      </c>
      <c r="J7177" t="s">
        <v>737</v>
      </c>
      <c r="K7177" t="s">
        <v>44999</v>
      </c>
      <c r="L7177" t="s">
        <v>737</v>
      </c>
    </row>
    <row r="7178" spans="1:12" x14ac:dyDescent="0.25">
      <c r="A7178">
        <v>1253262</v>
      </c>
      <c r="B7178">
        <v>1253664</v>
      </c>
      <c r="D7178">
        <v>0</v>
      </c>
      <c r="E7178" t="s">
        <v>45001</v>
      </c>
      <c r="F7178" t="s">
        <v>45002</v>
      </c>
      <c r="G7178" t="s">
        <v>45003</v>
      </c>
      <c r="H7178" t="s">
        <v>45004</v>
      </c>
      <c r="I7178" t="s">
        <v>45005</v>
      </c>
      <c r="J7178" t="s">
        <v>45006</v>
      </c>
      <c r="K7178" t="s">
        <v>45007</v>
      </c>
      <c r="L7178" t="s">
        <v>45000</v>
      </c>
    </row>
    <row r="7179" spans="1:12" x14ac:dyDescent="0.25">
      <c r="A7179">
        <v>1253654</v>
      </c>
      <c r="B7179">
        <v>1117432</v>
      </c>
      <c r="D7179">
        <v>0</v>
      </c>
      <c r="E7179" t="s">
        <v>45009</v>
      </c>
      <c r="F7179" t="s">
        <v>45010</v>
      </c>
      <c r="G7179" t="s">
        <v>45011</v>
      </c>
      <c r="H7179" t="e" vm="3122">
        <f>_FV(0,"3842948483735464")</f>
        <v>#VALUE!</v>
      </c>
      <c r="I7179" t="s">
        <v>45012</v>
      </c>
      <c r="J7179" t="s">
        <v>45013</v>
      </c>
      <c r="K7179" t="s">
        <v>45014</v>
      </c>
      <c r="L7179" t="s">
        <v>45008</v>
      </c>
    </row>
    <row r="7180" spans="1:12" x14ac:dyDescent="0.25">
      <c r="A7180">
        <v>1253664</v>
      </c>
      <c r="B7180">
        <v>1117438</v>
      </c>
      <c r="D7180">
        <v>0</v>
      </c>
      <c r="E7180" t="s">
        <v>45016</v>
      </c>
      <c r="F7180" t="s">
        <v>45017</v>
      </c>
      <c r="G7180" t="s">
        <v>45018</v>
      </c>
      <c r="H7180" t="s">
        <v>45019</v>
      </c>
      <c r="I7180" t="s">
        <v>45020</v>
      </c>
      <c r="J7180" t="s">
        <v>45015</v>
      </c>
      <c r="K7180" t="s">
        <v>45021</v>
      </c>
      <c r="L7180" t="s">
        <v>45015</v>
      </c>
    </row>
    <row r="7181" spans="1:12" x14ac:dyDescent="0.25">
      <c r="A7181">
        <v>1253742</v>
      </c>
      <c r="B7181">
        <v>1253832</v>
      </c>
      <c r="D7181" t="s">
        <v>45023</v>
      </c>
      <c r="E7181" t="s">
        <v>45024</v>
      </c>
      <c r="F7181" t="s">
        <v>45025</v>
      </c>
      <c r="G7181" t="s">
        <v>45026</v>
      </c>
      <c r="H7181" t="e" vm="3123">
        <f>_FV(0,"14469827542398792")</f>
        <v>#VALUE!</v>
      </c>
      <c r="I7181" t="s">
        <v>45027</v>
      </c>
      <c r="J7181" t="s">
        <v>45028</v>
      </c>
      <c r="K7181" t="s">
        <v>45029</v>
      </c>
      <c r="L7181" t="s">
        <v>45022</v>
      </c>
    </row>
    <row r="7182" spans="1:12" x14ac:dyDescent="0.25">
      <c r="A7182">
        <v>1253793</v>
      </c>
      <c r="B7182">
        <v>1253821</v>
      </c>
      <c r="D7182">
        <v>0</v>
      </c>
      <c r="E7182" t="s">
        <v>45030</v>
      </c>
      <c r="F7182" t="s">
        <v>45031</v>
      </c>
      <c r="G7182" t="s">
        <v>45032</v>
      </c>
      <c r="H7182" t="s">
        <v>45033</v>
      </c>
      <c r="I7182" t="s">
        <v>45034</v>
      </c>
      <c r="J7182" t="s">
        <v>44782</v>
      </c>
      <c r="K7182" t="s">
        <v>45035</v>
      </c>
      <c r="L7182" t="s">
        <v>44782</v>
      </c>
    </row>
    <row r="7183" spans="1:12" x14ac:dyDescent="0.25">
      <c r="A7183">
        <v>1253793</v>
      </c>
      <c r="B7183">
        <v>1253875</v>
      </c>
      <c r="D7183">
        <v>0</v>
      </c>
      <c r="E7183" t="s">
        <v>45036</v>
      </c>
      <c r="F7183" t="s">
        <v>45037</v>
      </c>
      <c r="G7183" t="s">
        <v>45038</v>
      </c>
      <c r="H7183" t="s">
        <v>187</v>
      </c>
      <c r="I7183" t="s">
        <v>45039</v>
      </c>
      <c r="J7183" t="s">
        <v>187</v>
      </c>
      <c r="K7183" t="s">
        <v>45040</v>
      </c>
      <c r="L7183" t="s">
        <v>187</v>
      </c>
    </row>
    <row r="7184" spans="1:12" x14ac:dyDescent="0.25">
      <c r="A7184">
        <v>1253821</v>
      </c>
      <c r="B7184">
        <v>1253835</v>
      </c>
      <c r="D7184">
        <v>0</v>
      </c>
      <c r="E7184" t="s">
        <v>45042</v>
      </c>
      <c r="F7184" t="s">
        <v>45043</v>
      </c>
      <c r="G7184" t="s">
        <v>45044</v>
      </c>
      <c r="H7184" t="s">
        <v>45045</v>
      </c>
      <c r="I7184" t="s">
        <v>45046</v>
      </c>
      <c r="J7184" t="s">
        <v>4801</v>
      </c>
      <c r="K7184" t="s">
        <v>45047</v>
      </c>
      <c r="L7184" t="s">
        <v>45041</v>
      </c>
    </row>
    <row r="7185" spans="1:12" x14ac:dyDescent="0.25">
      <c r="A7185">
        <v>1253835</v>
      </c>
      <c r="B7185">
        <v>1253875</v>
      </c>
      <c r="D7185">
        <v>0</v>
      </c>
      <c r="E7185" t="s">
        <v>45049</v>
      </c>
      <c r="F7185" t="s">
        <v>45050</v>
      </c>
      <c r="G7185" t="s">
        <v>45051</v>
      </c>
      <c r="H7185" t="e" vm="3124">
        <f>_FV(0,"002162482979018952")</f>
        <v>#VALUE!</v>
      </c>
      <c r="I7185" t="s">
        <v>45052</v>
      </c>
      <c r="J7185" t="s">
        <v>45053</v>
      </c>
      <c r="K7185" t="s">
        <v>45054</v>
      </c>
      <c r="L7185" t="s">
        <v>45048</v>
      </c>
    </row>
    <row r="7186" spans="1:12" x14ac:dyDescent="0.25">
      <c r="A7186">
        <v>1254827</v>
      </c>
      <c r="B7186">
        <v>1254835</v>
      </c>
      <c r="D7186">
        <v>0</v>
      </c>
      <c r="E7186" t="s">
        <v>45056</v>
      </c>
      <c r="F7186" t="s">
        <v>45057</v>
      </c>
      <c r="G7186" t="s">
        <v>45058</v>
      </c>
      <c r="H7186" t="s">
        <v>45059</v>
      </c>
      <c r="I7186" t="s">
        <v>45060</v>
      </c>
      <c r="J7186" t="s">
        <v>45055</v>
      </c>
      <c r="K7186" t="s">
        <v>45061</v>
      </c>
      <c r="L7186" t="s">
        <v>45055</v>
      </c>
    </row>
    <row r="7187" spans="1:12" x14ac:dyDescent="0.25">
      <c r="A7187">
        <v>1254827</v>
      </c>
      <c r="B7187">
        <v>1254850</v>
      </c>
      <c r="D7187">
        <v>0</v>
      </c>
      <c r="E7187" t="s">
        <v>45063</v>
      </c>
      <c r="F7187" t="s">
        <v>45064</v>
      </c>
      <c r="G7187" t="s">
        <v>45065</v>
      </c>
      <c r="H7187" t="e" vm="3125">
        <f>_FV(0,"05115838327149146")</f>
        <v>#VALUE!</v>
      </c>
      <c r="I7187" t="s">
        <v>45066</v>
      </c>
      <c r="J7187" t="s">
        <v>45067</v>
      </c>
      <c r="K7187" t="s">
        <v>45068</v>
      </c>
      <c r="L7187" t="s">
        <v>45062</v>
      </c>
    </row>
    <row r="7188" spans="1:12" x14ac:dyDescent="0.25">
      <c r="A7188">
        <v>1254827</v>
      </c>
      <c r="B7188">
        <v>1254963</v>
      </c>
      <c r="D7188">
        <v>0</v>
      </c>
      <c r="E7188" t="s">
        <v>45070</v>
      </c>
      <c r="F7188" t="s">
        <v>45071</v>
      </c>
      <c r="G7188" t="s">
        <v>45072</v>
      </c>
      <c r="H7188" t="s">
        <v>45073</v>
      </c>
      <c r="I7188" t="s">
        <v>45074</v>
      </c>
      <c r="J7188" t="s">
        <v>45069</v>
      </c>
      <c r="K7188" t="s">
        <v>45075</v>
      </c>
      <c r="L7188" t="s">
        <v>45069</v>
      </c>
    </row>
    <row r="7189" spans="1:12" x14ac:dyDescent="0.25">
      <c r="A7189">
        <v>1254835</v>
      </c>
      <c r="B7189">
        <v>1754129</v>
      </c>
      <c r="C7189" t="s">
        <v>45077</v>
      </c>
      <c r="D7189">
        <v>0</v>
      </c>
      <c r="E7189" t="s">
        <v>45078</v>
      </c>
      <c r="F7189" t="s">
        <v>45079</v>
      </c>
      <c r="G7189" t="s">
        <v>45080</v>
      </c>
      <c r="H7189" t="s">
        <v>45081</v>
      </c>
      <c r="I7189" t="s">
        <v>45082</v>
      </c>
      <c r="J7189" t="s">
        <v>45083</v>
      </c>
      <c r="K7189" t="s">
        <v>45084</v>
      </c>
      <c r="L7189" t="s">
        <v>45076</v>
      </c>
    </row>
    <row r="7190" spans="1:12" x14ac:dyDescent="0.25">
      <c r="A7190">
        <v>1254835</v>
      </c>
      <c r="B7190">
        <v>1254850</v>
      </c>
      <c r="D7190">
        <v>0</v>
      </c>
      <c r="E7190" t="s">
        <v>45086</v>
      </c>
      <c r="F7190" t="s">
        <v>45087</v>
      </c>
      <c r="G7190" t="s">
        <v>45088</v>
      </c>
      <c r="H7190" t="s">
        <v>45089</v>
      </c>
      <c r="I7190" t="s">
        <v>45090</v>
      </c>
      <c r="J7190" t="s">
        <v>45085</v>
      </c>
      <c r="K7190" t="s">
        <v>45091</v>
      </c>
      <c r="L7190" t="s">
        <v>45085</v>
      </c>
    </row>
    <row r="7191" spans="1:12" x14ac:dyDescent="0.25">
      <c r="A7191">
        <v>1254850</v>
      </c>
      <c r="B7191">
        <v>1255078</v>
      </c>
      <c r="D7191">
        <v>0</v>
      </c>
      <c r="F7191">
        <v>1356744</v>
      </c>
      <c r="G7191">
        <v>1255078</v>
      </c>
      <c r="H7191" t="e" vm="3126">
        <f>_FV(0,"073")</f>
        <v>#VALUE!</v>
      </c>
      <c r="I7191">
        <v>1254850</v>
      </c>
      <c r="J7191" t="s">
        <v>27706</v>
      </c>
      <c r="K7191" t="s">
        <v>45092</v>
      </c>
      <c r="L7191" t="e" vm="3126">
        <f>_FV(0,"073")</f>
        <v>#VALUE!</v>
      </c>
    </row>
    <row r="7192" spans="1:12" x14ac:dyDescent="0.25">
      <c r="A7192">
        <v>1254869</v>
      </c>
      <c r="B7192">
        <v>1254886</v>
      </c>
      <c r="D7192">
        <v>0</v>
      </c>
      <c r="E7192" t="s">
        <v>45094</v>
      </c>
      <c r="F7192" t="s">
        <v>45095</v>
      </c>
      <c r="G7192" t="s">
        <v>45096</v>
      </c>
      <c r="H7192" t="e" vm="3127">
        <f>_FV(0,"08387162058466138")</f>
        <v>#VALUE!</v>
      </c>
      <c r="I7192" t="s">
        <v>45097</v>
      </c>
      <c r="J7192" t="s">
        <v>45098</v>
      </c>
      <c r="K7192" t="s">
        <v>45099</v>
      </c>
      <c r="L7192" t="s">
        <v>45093</v>
      </c>
    </row>
    <row r="7193" spans="1:12" x14ac:dyDescent="0.25">
      <c r="A7193">
        <v>1254869</v>
      </c>
      <c r="B7193">
        <v>1255074</v>
      </c>
      <c r="D7193">
        <v>0</v>
      </c>
      <c r="E7193" t="s">
        <v>45101</v>
      </c>
      <c r="F7193" t="s">
        <v>45102</v>
      </c>
      <c r="G7193" t="s">
        <v>45103</v>
      </c>
      <c r="H7193" t="e" vm="3128">
        <f>_FV(0,"02775268748711645")</f>
        <v>#VALUE!</v>
      </c>
      <c r="I7193" t="s">
        <v>45104</v>
      </c>
      <c r="J7193" t="s">
        <v>45105</v>
      </c>
      <c r="K7193" t="s">
        <v>45106</v>
      </c>
      <c r="L7193" t="s">
        <v>45100</v>
      </c>
    </row>
    <row r="7194" spans="1:12" x14ac:dyDescent="0.25">
      <c r="A7194">
        <v>1254869</v>
      </c>
      <c r="B7194">
        <v>1255078</v>
      </c>
      <c r="D7194">
        <v>0</v>
      </c>
      <c r="E7194" t="s">
        <v>45108</v>
      </c>
      <c r="F7194" t="s">
        <v>45109</v>
      </c>
      <c r="G7194" t="s">
        <v>45110</v>
      </c>
      <c r="H7194" t="e" vm="3129">
        <f>_FV(0,"07069225249067947")</f>
        <v>#VALUE!</v>
      </c>
      <c r="I7194" t="s">
        <v>45111</v>
      </c>
      <c r="J7194" t="s">
        <v>45112</v>
      </c>
      <c r="K7194" t="s">
        <v>45113</v>
      </c>
      <c r="L7194" t="s">
        <v>45107</v>
      </c>
    </row>
    <row r="7195" spans="1:12" x14ac:dyDescent="0.25">
      <c r="A7195">
        <v>1254886</v>
      </c>
      <c r="B7195">
        <v>1254887</v>
      </c>
      <c r="D7195">
        <v>0</v>
      </c>
      <c r="F7195">
        <v>1356340</v>
      </c>
      <c r="G7195">
        <v>1254887</v>
      </c>
      <c r="H7195" t="e" vm="221">
        <f>_FV(0,"052")</f>
        <v>#VALUE!</v>
      </c>
      <c r="I7195">
        <v>1254886</v>
      </c>
      <c r="J7195" t="s">
        <v>3378</v>
      </c>
      <c r="K7195" t="s">
        <v>45114</v>
      </c>
      <c r="L7195" t="e" vm="221">
        <f>_FV(0,"052")</f>
        <v>#VALUE!</v>
      </c>
    </row>
    <row r="7196" spans="1:12" x14ac:dyDescent="0.25">
      <c r="A7196">
        <v>1254886</v>
      </c>
      <c r="B7196">
        <v>1254897</v>
      </c>
      <c r="D7196">
        <v>0</v>
      </c>
      <c r="F7196">
        <v>1356356</v>
      </c>
      <c r="G7196">
        <v>1254897</v>
      </c>
      <c r="H7196" t="e" vm="10">
        <f>_FV(0,"057")</f>
        <v>#VALUE!</v>
      </c>
      <c r="I7196">
        <v>1254886</v>
      </c>
      <c r="J7196" t="s">
        <v>170</v>
      </c>
      <c r="K7196" t="s">
        <v>45115</v>
      </c>
      <c r="L7196" t="e" vm="10">
        <f>_FV(0,"057")</f>
        <v>#VALUE!</v>
      </c>
    </row>
    <row r="7197" spans="1:12" x14ac:dyDescent="0.25">
      <c r="A7197">
        <v>1254887</v>
      </c>
      <c r="B7197">
        <v>1254897</v>
      </c>
      <c r="D7197">
        <v>0</v>
      </c>
      <c r="E7197" t="s">
        <v>45117</v>
      </c>
      <c r="F7197" t="s">
        <v>45118</v>
      </c>
      <c r="G7197" t="s">
        <v>45119</v>
      </c>
      <c r="H7197" t="s">
        <v>45120</v>
      </c>
      <c r="I7197" t="s">
        <v>45121</v>
      </c>
      <c r="J7197" t="s">
        <v>8184</v>
      </c>
      <c r="K7197" t="s">
        <v>45122</v>
      </c>
      <c r="L7197" t="s">
        <v>45116</v>
      </c>
    </row>
    <row r="7198" spans="1:12" x14ac:dyDescent="0.25">
      <c r="A7198">
        <v>1254913</v>
      </c>
      <c r="B7198">
        <v>1254917</v>
      </c>
      <c r="D7198">
        <v>0</v>
      </c>
      <c r="E7198" t="s">
        <v>45124</v>
      </c>
      <c r="F7198" t="s">
        <v>45125</v>
      </c>
      <c r="G7198" t="s">
        <v>45126</v>
      </c>
      <c r="H7198" t="s">
        <v>45127</v>
      </c>
      <c r="I7198" t="s">
        <v>45128</v>
      </c>
      <c r="J7198" t="s">
        <v>45123</v>
      </c>
      <c r="K7198" t="s">
        <v>45129</v>
      </c>
      <c r="L7198" t="s">
        <v>45123</v>
      </c>
    </row>
    <row r="7199" spans="1:12" x14ac:dyDescent="0.25">
      <c r="A7199">
        <v>1254913</v>
      </c>
      <c r="B7199">
        <v>1254924</v>
      </c>
      <c r="D7199">
        <v>0</v>
      </c>
      <c r="E7199" t="s">
        <v>45131</v>
      </c>
      <c r="F7199" t="s">
        <v>45132</v>
      </c>
      <c r="G7199" t="s">
        <v>45133</v>
      </c>
      <c r="H7199" t="e" vm="3130">
        <f>_FV(0,"043404776303244")</f>
        <v>#VALUE!</v>
      </c>
      <c r="I7199" t="s">
        <v>45134</v>
      </c>
      <c r="J7199" t="s">
        <v>45135</v>
      </c>
      <c r="K7199" t="s">
        <v>45136</v>
      </c>
      <c r="L7199" t="s">
        <v>45130</v>
      </c>
    </row>
    <row r="7200" spans="1:12" x14ac:dyDescent="0.25">
      <c r="A7200">
        <v>1254913</v>
      </c>
      <c r="B7200">
        <v>1255254</v>
      </c>
      <c r="D7200">
        <v>0</v>
      </c>
      <c r="E7200" t="s">
        <v>45138</v>
      </c>
      <c r="F7200" t="s">
        <v>45139</v>
      </c>
      <c r="G7200" t="s">
        <v>45140</v>
      </c>
      <c r="H7200" t="s">
        <v>45141</v>
      </c>
      <c r="I7200" t="s">
        <v>45142</v>
      </c>
      <c r="J7200" t="s">
        <v>45137</v>
      </c>
      <c r="K7200" t="s">
        <v>45143</v>
      </c>
      <c r="L7200" t="s">
        <v>45137</v>
      </c>
    </row>
    <row r="7201" spans="1:12" x14ac:dyDescent="0.25">
      <c r="A7201">
        <v>1254917</v>
      </c>
      <c r="B7201">
        <v>1254963</v>
      </c>
      <c r="D7201">
        <v>0</v>
      </c>
      <c r="E7201" t="s">
        <v>45145</v>
      </c>
      <c r="F7201" t="s">
        <v>45146</v>
      </c>
      <c r="G7201" t="s">
        <v>45147</v>
      </c>
      <c r="H7201" t="s">
        <v>45148</v>
      </c>
      <c r="I7201" t="s">
        <v>45149</v>
      </c>
      <c r="J7201" t="s">
        <v>45144</v>
      </c>
      <c r="K7201" t="s">
        <v>45150</v>
      </c>
      <c r="L7201" t="s">
        <v>45144</v>
      </c>
    </row>
    <row r="7202" spans="1:12" x14ac:dyDescent="0.25">
      <c r="A7202">
        <v>1254917</v>
      </c>
      <c r="B7202">
        <v>1255074</v>
      </c>
      <c r="D7202">
        <v>0</v>
      </c>
      <c r="F7202">
        <v>1356804</v>
      </c>
      <c r="G7202">
        <v>1254917</v>
      </c>
      <c r="H7202" t="e" vm="47">
        <f>_FV(0,"016")</f>
        <v>#VALUE!</v>
      </c>
      <c r="I7202">
        <v>1255074</v>
      </c>
      <c r="J7202" t="s">
        <v>737</v>
      </c>
      <c r="K7202" t="s">
        <v>45151</v>
      </c>
      <c r="L7202" t="e" vm="47">
        <f>_FV(0,"016")</f>
        <v>#VALUE!</v>
      </c>
    </row>
    <row r="7203" spans="1:12" x14ac:dyDescent="0.25">
      <c r="A7203">
        <v>1254924</v>
      </c>
      <c r="B7203">
        <v>1254943</v>
      </c>
      <c r="D7203">
        <v>0</v>
      </c>
      <c r="E7203" t="s">
        <v>45153</v>
      </c>
      <c r="F7203" t="s">
        <v>45154</v>
      </c>
      <c r="G7203" t="s">
        <v>45155</v>
      </c>
      <c r="H7203" t="s">
        <v>45156</v>
      </c>
      <c r="I7203" t="s">
        <v>45157</v>
      </c>
      <c r="J7203" t="s">
        <v>45158</v>
      </c>
      <c r="K7203" t="s">
        <v>45159</v>
      </c>
      <c r="L7203" t="s">
        <v>45152</v>
      </c>
    </row>
    <row r="7204" spans="1:12" x14ac:dyDescent="0.25">
      <c r="A7204">
        <v>1254924</v>
      </c>
      <c r="B7204">
        <v>1255274</v>
      </c>
      <c r="D7204">
        <v>0</v>
      </c>
      <c r="E7204" t="s">
        <v>45160</v>
      </c>
      <c r="F7204" t="s">
        <v>45161</v>
      </c>
      <c r="G7204" t="s">
        <v>45162</v>
      </c>
      <c r="H7204" t="e" vm="3131">
        <f>_FV(0,"018389276050081532")</f>
        <v>#VALUE!</v>
      </c>
      <c r="I7204" t="s">
        <v>45163</v>
      </c>
      <c r="J7204" t="s">
        <v>24080</v>
      </c>
      <c r="K7204" t="s">
        <v>45164</v>
      </c>
      <c r="L7204" t="s">
        <v>44812</v>
      </c>
    </row>
    <row r="7205" spans="1:12" x14ac:dyDescent="0.25">
      <c r="A7205">
        <v>1254924</v>
      </c>
      <c r="B7205">
        <v>1255189</v>
      </c>
      <c r="D7205">
        <v>0</v>
      </c>
      <c r="E7205" t="s">
        <v>45166</v>
      </c>
      <c r="F7205" t="s">
        <v>45167</v>
      </c>
      <c r="G7205" t="s">
        <v>45168</v>
      </c>
      <c r="H7205" t="e" vm="3132">
        <f>_FV(0,"0702954017608283")</f>
        <v>#VALUE!</v>
      </c>
      <c r="I7205" t="s">
        <v>45169</v>
      </c>
      <c r="J7205" t="s">
        <v>45170</v>
      </c>
      <c r="K7205" t="s">
        <v>45171</v>
      </c>
      <c r="L7205" t="s">
        <v>45165</v>
      </c>
    </row>
    <row r="7206" spans="1:12" x14ac:dyDescent="0.25">
      <c r="A7206">
        <v>1254950</v>
      </c>
      <c r="B7206">
        <v>1254963</v>
      </c>
      <c r="D7206">
        <v>0</v>
      </c>
      <c r="E7206" t="s">
        <v>45173</v>
      </c>
      <c r="F7206" t="s">
        <v>45174</v>
      </c>
      <c r="G7206" t="s">
        <v>45175</v>
      </c>
      <c r="H7206" t="s">
        <v>45176</v>
      </c>
      <c r="I7206" t="s">
        <v>45177</v>
      </c>
      <c r="J7206" t="s">
        <v>45172</v>
      </c>
      <c r="K7206" t="s">
        <v>45178</v>
      </c>
      <c r="L7206" t="s">
        <v>45172</v>
      </c>
    </row>
    <row r="7207" spans="1:12" x14ac:dyDescent="0.25">
      <c r="A7207">
        <v>1255074</v>
      </c>
      <c r="B7207">
        <v>1255078</v>
      </c>
      <c r="D7207">
        <v>0</v>
      </c>
      <c r="E7207" t="s">
        <v>45180</v>
      </c>
      <c r="F7207" t="s">
        <v>45181</v>
      </c>
      <c r="G7207" t="s">
        <v>45182</v>
      </c>
      <c r="H7207" t="e" vm="3133">
        <f>_FV(0,"05572016080022583")</f>
        <v>#VALUE!</v>
      </c>
      <c r="I7207" t="s">
        <v>45183</v>
      </c>
      <c r="J7207" t="s">
        <v>45184</v>
      </c>
      <c r="K7207" t="s">
        <v>45185</v>
      </c>
      <c r="L7207" t="s">
        <v>45179</v>
      </c>
    </row>
    <row r="7208" spans="1:12" x14ac:dyDescent="0.25">
      <c r="A7208">
        <v>1255189</v>
      </c>
      <c r="B7208">
        <v>1255219</v>
      </c>
      <c r="D7208">
        <v>0</v>
      </c>
      <c r="E7208" t="s">
        <v>45187</v>
      </c>
      <c r="F7208" t="s">
        <v>45188</v>
      </c>
      <c r="G7208" t="s">
        <v>45189</v>
      </c>
      <c r="H7208" t="s">
        <v>45190</v>
      </c>
      <c r="I7208" t="s">
        <v>45191</v>
      </c>
      <c r="J7208" t="s">
        <v>45192</v>
      </c>
      <c r="K7208" t="s">
        <v>45193</v>
      </c>
      <c r="L7208" t="s">
        <v>45186</v>
      </c>
    </row>
    <row r="7209" spans="1:12" x14ac:dyDescent="0.25">
      <c r="A7209">
        <v>1255317</v>
      </c>
      <c r="B7209">
        <v>1255334</v>
      </c>
      <c r="D7209">
        <v>0</v>
      </c>
      <c r="E7209" t="s">
        <v>45194</v>
      </c>
      <c r="F7209" t="s">
        <v>45195</v>
      </c>
      <c r="G7209" t="s">
        <v>45196</v>
      </c>
      <c r="H7209" t="s">
        <v>45197</v>
      </c>
      <c r="I7209" t="s">
        <v>45198</v>
      </c>
      <c r="J7209" t="s">
        <v>4772</v>
      </c>
      <c r="K7209" t="s">
        <v>45199</v>
      </c>
      <c r="L7209" t="s">
        <v>4877</v>
      </c>
    </row>
    <row r="7210" spans="1:12" x14ac:dyDescent="0.25">
      <c r="A7210">
        <v>1255317</v>
      </c>
      <c r="B7210">
        <v>1400977</v>
      </c>
      <c r="D7210">
        <v>0</v>
      </c>
      <c r="E7210" t="s">
        <v>45201</v>
      </c>
      <c r="F7210" t="s">
        <v>45202</v>
      </c>
      <c r="G7210" t="s">
        <v>45203</v>
      </c>
      <c r="H7210" t="s">
        <v>45204</v>
      </c>
      <c r="I7210" t="s">
        <v>45205</v>
      </c>
      <c r="J7210" t="s">
        <v>45206</v>
      </c>
      <c r="K7210" t="s">
        <v>45207</v>
      </c>
      <c r="L7210" t="s">
        <v>45200</v>
      </c>
    </row>
    <row r="7211" spans="1:12" x14ac:dyDescent="0.25">
      <c r="A7211">
        <v>1255334</v>
      </c>
      <c r="B7211">
        <v>1255951</v>
      </c>
      <c r="D7211">
        <v>0</v>
      </c>
      <c r="E7211" t="s">
        <v>45209</v>
      </c>
      <c r="F7211" t="s">
        <v>45210</v>
      </c>
      <c r="G7211" t="s">
        <v>45211</v>
      </c>
      <c r="H7211" t="s">
        <v>45212</v>
      </c>
      <c r="I7211" t="s">
        <v>45213</v>
      </c>
      <c r="J7211" t="s">
        <v>45214</v>
      </c>
      <c r="K7211" t="s">
        <v>45215</v>
      </c>
      <c r="L7211" t="s">
        <v>45208</v>
      </c>
    </row>
    <row r="7212" spans="1:12" x14ac:dyDescent="0.25">
      <c r="A7212">
        <v>1255334</v>
      </c>
      <c r="B7212">
        <v>1547873</v>
      </c>
      <c r="D7212">
        <v>0</v>
      </c>
      <c r="E7212" t="s">
        <v>45217</v>
      </c>
      <c r="F7212" t="s">
        <v>45218</v>
      </c>
      <c r="G7212" t="s">
        <v>45219</v>
      </c>
      <c r="H7212" t="s">
        <v>45220</v>
      </c>
      <c r="I7212" t="s">
        <v>45221</v>
      </c>
      <c r="J7212" t="s">
        <v>45222</v>
      </c>
      <c r="K7212" t="s">
        <v>45223</v>
      </c>
      <c r="L7212" t="s">
        <v>45216</v>
      </c>
    </row>
    <row r="7213" spans="1:12" x14ac:dyDescent="0.25">
      <c r="A7213">
        <v>1255856</v>
      </c>
      <c r="B7213">
        <v>1255861</v>
      </c>
      <c r="D7213">
        <v>0</v>
      </c>
      <c r="E7213" t="s">
        <v>45224</v>
      </c>
      <c r="F7213" t="s">
        <v>45225</v>
      </c>
      <c r="G7213" t="s">
        <v>45226</v>
      </c>
      <c r="H7213" t="e" vm="3134">
        <f>_FV(0,"028826539544056916")</f>
        <v>#VALUE!</v>
      </c>
      <c r="I7213" t="s">
        <v>45227</v>
      </c>
      <c r="J7213" t="s">
        <v>6729</v>
      </c>
      <c r="K7213" t="s">
        <v>45228</v>
      </c>
      <c r="L7213" t="s">
        <v>39986</v>
      </c>
    </row>
    <row r="7214" spans="1:12" x14ac:dyDescent="0.25">
      <c r="A7214">
        <v>1255856</v>
      </c>
      <c r="B7214">
        <v>1255867</v>
      </c>
      <c r="D7214">
        <v>0</v>
      </c>
      <c r="E7214" t="s">
        <v>45230</v>
      </c>
      <c r="F7214" t="s">
        <v>45231</v>
      </c>
      <c r="G7214" t="s">
        <v>45232</v>
      </c>
      <c r="H7214" t="e" vm="3135">
        <f>_FV(0,"0014949883399808018")</f>
        <v>#VALUE!</v>
      </c>
      <c r="I7214" t="s">
        <v>45233</v>
      </c>
      <c r="J7214" t="s">
        <v>45234</v>
      </c>
      <c r="K7214" t="s">
        <v>45235</v>
      </c>
      <c r="L7214" t="s">
        <v>45229</v>
      </c>
    </row>
    <row r="7215" spans="1:12" x14ac:dyDescent="0.25">
      <c r="A7215">
        <v>1255856</v>
      </c>
      <c r="B7215">
        <v>1547873</v>
      </c>
      <c r="D7215">
        <v>0</v>
      </c>
      <c r="F7215">
        <v>1746949</v>
      </c>
      <c r="G7215">
        <v>1255856</v>
      </c>
      <c r="H7215" t="s">
        <v>2068</v>
      </c>
      <c r="I7215">
        <v>1547873</v>
      </c>
      <c r="J7215" t="s">
        <v>2068</v>
      </c>
      <c r="K7215" t="s">
        <v>45236</v>
      </c>
      <c r="L7215" t="s">
        <v>2068</v>
      </c>
    </row>
    <row r="7216" spans="1:12" x14ac:dyDescent="0.25">
      <c r="A7216">
        <v>1255861</v>
      </c>
      <c r="B7216">
        <v>1255891</v>
      </c>
      <c r="D7216">
        <v>1</v>
      </c>
      <c r="F7216">
        <v>1745118</v>
      </c>
      <c r="G7216">
        <v>1255891</v>
      </c>
      <c r="H7216" t="e" vm="106">
        <f>_FV(0,"019")</f>
        <v>#VALUE!</v>
      </c>
      <c r="I7216">
        <v>1255861</v>
      </c>
      <c r="J7216" t="s">
        <v>1629</v>
      </c>
      <c r="K7216" t="s">
        <v>45237</v>
      </c>
      <c r="L7216" t="e" vm="106">
        <f>_FV(0,"019")</f>
        <v>#VALUE!</v>
      </c>
    </row>
    <row r="7217" spans="1:12" x14ac:dyDescent="0.25">
      <c r="A7217">
        <v>1255861</v>
      </c>
      <c r="B7217">
        <v>1255867</v>
      </c>
      <c r="D7217">
        <v>0</v>
      </c>
      <c r="E7217" t="s">
        <v>45239</v>
      </c>
      <c r="F7217" t="s">
        <v>45240</v>
      </c>
      <c r="G7217" t="s">
        <v>45241</v>
      </c>
      <c r="H7217" t="e" vm="3136">
        <f>_FV(0,"02854921866435644")</f>
        <v>#VALUE!</v>
      </c>
      <c r="I7217" t="s">
        <v>45242</v>
      </c>
      <c r="J7217" t="s">
        <v>45243</v>
      </c>
      <c r="K7217" t="s">
        <v>45244</v>
      </c>
      <c r="L7217" t="s">
        <v>45238</v>
      </c>
    </row>
    <row r="7218" spans="1:12" x14ac:dyDescent="0.25">
      <c r="A7218">
        <v>1255867</v>
      </c>
      <c r="B7218">
        <v>1547897</v>
      </c>
      <c r="D7218">
        <v>0</v>
      </c>
      <c r="F7218">
        <v>1746875</v>
      </c>
      <c r="G7218">
        <v>1547897</v>
      </c>
      <c r="H7218" t="e" vm="62">
        <f>_FV(0,"008")</f>
        <v>#VALUE!</v>
      </c>
      <c r="I7218">
        <v>1255867</v>
      </c>
      <c r="J7218" t="s">
        <v>241</v>
      </c>
      <c r="K7218" t="s">
        <v>45245</v>
      </c>
      <c r="L7218" t="e" vm="62">
        <f>_FV(0,"008")</f>
        <v>#VALUE!</v>
      </c>
    </row>
    <row r="7219" spans="1:12" x14ac:dyDescent="0.25">
      <c r="A7219">
        <v>1255891</v>
      </c>
      <c r="B7219">
        <v>1255895</v>
      </c>
      <c r="D7219">
        <v>0</v>
      </c>
      <c r="E7219" t="s">
        <v>45246</v>
      </c>
      <c r="F7219" t="s">
        <v>45247</v>
      </c>
      <c r="G7219" t="s">
        <v>45248</v>
      </c>
      <c r="H7219" t="e" vm="3137">
        <f>_FV(0,"006220342973319622")</f>
        <v>#VALUE!</v>
      </c>
      <c r="I7219" t="s">
        <v>45249</v>
      </c>
      <c r="J7219" t="s">
        <v>7624</v>
      </c>
      <c r="K7219" t="s">
        <v>45250</v>
      </c>
      <c r="L7219" t="s">
        <v>15078</v>
      </c>
    </row>
    <row r="7220" spans="1:12" x14ac:dyDescent="0.25">
      <c r="A7220">
        <v>1255891</v>
      </c>
      <c r="B7220">
        <v>1255920</v>
      </c>
      <c r="D7220">
        <v>0</v>
      </c>
      <c r="E7220" t="s">
        <v>45251</v>
      </c>
      <c r="F7220" t="s">
        <v>45252</v>
      </c>
      <c r="G7220" t="s">
        <v>45253</v>
      </c>
      <c r="H7220" t="e" vm="131">
        <f>_FV(0,"012")</f>
        <v>#VALUE!</v>
      </c>
      <c r="I7220" t="s">
        <v>45254</v>
      </c>
      <c r="J7220" t="s">
        <v>1939</v>
      </c>
      <c r="K7220" t="s">
        <v>45255</v>
      </c>
      <c r="L7220" t="e" vm="131">
        <f>_FV(0,"012")</f>
        <v>#VALUE!</v>
      </c>
    </row>
    <row r="7221" spans="1:12" x14ac:dyDescent="0.25">
      <c r="A7221">
        <v>1255895</v>
      </c>
      <c r="B7221">
        <v>1548053</v>
      </c>
      <c r="D7221">
        <v>0</v>
      </c>
      <c r="F7221">
        <v>1745430</v>
      </c>
      <c r="G7221">
        <v>1548053</v>
      </c>
      <c r="H7221" t="s">
        <v>24389</v>
      </c>
      <c r="I7221">
        <v>1255895</v>
      </c>
      <c r="J7221" t="s">
        <v>24389</v>
      </c>
      <c r="K7221" t="s">
        <v>45256</v>
      </c>
      <c r="L7221" t="s">
        <v>24389</v>
      </c>
    </row>
    <row r="7222" spans="1:12" x14ac:dyDescent="0.25">
      <c r="A7222">
        <v>1255895</v>
      </c>
      <c r="B7222">
        <v>1255920</v>
      </c>
      <c r="D7222">
        <v>0</v>
      </c>
      <c r="E7222" t="s">
        <v>45258</v>
      </c>
      <c r="F7222" t="s">
        <v>45259</v>
      </c>
      <c r="G7222" t="s">
        <v>45260</v>
      </c>
      <c r="H7222" t="s">
        <v>45261</v>
      </c>
      <c r="I7222" t="s">
        <v>45262</v>
      </c>
      <c r="J7222" t="s">
        <v>45263</v>
      </c>
      <c r="K7222" t="s">
        <v>45264</v>
      </c>
      <c r="L7222" t="s">
        <v>45257</v>
      </c>
    </row>
    <row r="7223" spans="1:12" x14ac:dyDescent="0.25">
      <c r="A7223">
        <v>1255920</v>
      </c>
      <c r="B7223">
        <v>1548056</v>
      </c>
      <c r="D7223">
        <v>0</v>
      </c>
      <c r="F7223">
        <v>1745463</v>
      </c>
      <c r="G7223">
        <v>1255920</v>
      </c>
      <c r="H7223" t="e" vm="3138">
        <f>_FV(0,"098")</f>
        <v>#VALUE!</v>
      </c>
      <c r="I7223">
        <v>1548056</v>
      </c>
      <c r="J7223" t="s">
        <v>11783</v>
      </c>
      <c r="K7223" t="s">
        <v>45265</v>
      </c>
      <c r="L7223" t="e" vm="3138">
        <f>_FV(0,"098")</f>
        <v>#VALUE!</v>
      </c>
    </row>
    <row r="7224" spans="1:12" x14ac:dyDescent="0.25">
      <c r="A7224">
        <v>1255928</v>
      </c>
      <c r="B7224">
        <v>1548053</v>
      </c>
      <c r="D7224">
        <v>0</v>
      </c>
      <c r="E7224" t="s">
        <v>45267</v>
      </c>
      <c r="F7224" t="s">
        <v>45268</v>
      </c>
      <c r="G7224" t="s">
        <v>45269</v>
      </c>
      <c r="H7224" t="e" vm="3139">
        <f>_FV(0,"003407669124062507")</f>
        <v>#VALUE!</v>
      </c>
      <c r="I7224" t="s">
        <v>45270</v>
      </c>
      <c r="J7224" t="s">
        <v>45271</v>
      </c>
      <c r="K7224" t="s">
        <v>45272</v>
      </c>
      <c r="L7224" t="s">
        <v>45266</v>
      </c>
    </row>
    <row r="7225" spans="1:12" x14ac:dyDescent="0.25">
      <c r="A7225">
        <v>1255928</v>
      </c>
      <c r="B7225">
        <v>1255960</v>
      </c>
      <c r="D7225">
        <v>0</v>
      </c>
      <c r="E7225" t="s">
        <v>45274</v>
      </c>
      <c r="F7225" t="s">
        <v>45275</v>
      </c>
      <c r="G7225" t="s">
        <v>45276</v>
      </c>
      <c r="H7225" t="e" vm="3140">
        <f>_FV(0,"007879047935160826")</f>
        <v>#VALUE!</v>
      </c>
      <c r="I7225" t="s">
        <v>45277</v>
      </c>
      <c r="J7225" t="s">
        <v>45278</v>
      </c>
      <c r="K7225" t="s">
        <v>45279</v>
      </c>
      <c r="L7225" t="s">
        <v>45273</v>
      </c>
    </row>
    <row r="7226" spans="1:12" x14ac:dyDescent="0.25">
      <c r="A7226">
        <v>1255928</v>
      </c>
      <c r="B7226">
        <v>1363644</v>
      </c>
      <c r="D7226">
        <v>0</v>
      </c>
      <c r="E7226" t="s">
        <v>45281</v>
      </c>
      <c r="F7226" t="s">
        <v>45282</v>
      </c>
      <c r="G7226" t="s">
        <v>45283</v>
      </c>
      <c r="H7226" t="s">
        <v>45284</v>
      </c>
      <c r="I7226" t="s">
        <v>45285</v>
      </c>
      <c r="J7226" t="s">
        <v>45286</v>
      </c>
      <c r="K7226" t="s">
        <v>45287</v>
      </c>
      <c r="L7226" t="s">
        <v>45280</v>
      </c>
    </row>
    <row r="7227" spans="1:12" x14ac:dyDescent="0.25">
      <c r="A7227">
        <v>1255951</v>
      </c>
      <c r="B7227">
        <v>1255966</v>
      </c>
      <c r="D7227">
        <v>0</v>
      </c>
      <c r="E7227" t="s">
        <v>45289</v>
      </c>
      <c r="F7227" t="s">
        <v>45290</v>
      </c>
      <c r="G7227" t="s">
        <v>45291</v>
      </c>
      <c r="H7227" t="e" vm="3141">
        <f>_FV(0,"004820207213521055")</f>
        <v>#VALUE!</v>
      </c>
      <c r="I7227" t="s">
        <v>45292</v>
      </c>
      <c r="J7227" t="s">
        <v>45293</v>
      </c>
      <c r="K7227" t="s">
        <v>45294</v>
      </c>
      <c r="L7227" t="s">
        <v>45288</v>
      </c>
    </row>
    <row r="7228" spans="1:12" x14ac:dyDescent="0.25">
      <c r="A7228">
        <v>1255951</v>
      </c>
      <c r="B7228">
        <v>1547897</v>
      </c>
      <c r="D7228">
        <v>0</v>
      </c>
      <c r="E7228" t="s">
        <v>45296</v>
      </c>
      <c r="F7228" t="s">
        <v>45297</v>
      </c>
      <c r="G7228" t="s">
        <v>45298</v>
      </c>
      <c r="H7228" t="s">
        <v>45299</v>
      </c>
      <c r="I7228" t="s">
        <v>45300</v>
      </c>
      <c r="J7228" t="s">
        <v>45295</v>
      </c>
      <c r="K7228" t="s">
        <v>45301</v>
      </c>
      <c r="L7228" t="s">
        <v>45295</v>
      </c>
    </row>
    <row r="7229" spans="1:12" x14ac:dyDescent="0.25">
      <c r="A7229">
        <v>1255960</v>
      </c>
      <c r="B7229">
        <v>1451473</v>
      </c>
      <c r="D7229">
        <v>0</v>
      </c>
      <c r="E7229" t="s">
        <v>45303</v>
      </c>
      <c r="F7229" t="s">
        <v>45304</v>
      </c>
      <c r="G7229" t="s">
        <v>45305</v>
      </c>
      <c r="H7229" t="e" vm="3142">
        <f>_FV(0,"004263132924508562")</f>
        <v>#VALUE!</v>
      </c>
      <c r="I7229" t="s">
        <v>45306</v>
      </c>
      <c r="J7229" t="s">
        <v>45307</v>
      </c>
      <c r="K7229" t="s">
        <v>45308</v>
      </c>
      <c r="L7229" t="s">
        <v>45302</v>
      </c>
    </row>
    <row r="7230" spans="1:12" x14ac:dyDescent="0.25">
      <c r="A7230">
        <v>1255960</v>
      </c>
      <c r="B7230">
        <v>1548056</v>
      </c>
      <c r="D7230">
        <v>0</v>
      </c>
      <c r="E7230" t="s">
        <v>45310</v>
      </c>
      <c r="F7230" t="s">
        <v>45311</v>
      </c>
      <c r="G7230" t="s">
        <v>45312</v>
      </c>
      <c r="H7230" t="e" vm="3143">
        <f>_FV(0,"011985376511785351")</f>
        <v>#VALUE!</v>
      </c>
      <c r="I7230" t="s">
        <v>45313</v>
      </c>
      <c r="J7230" t="s">
        <v>45314</v>
      </c>
      <c r="K7230" t="s">
        <v>45315</v>
      </c>
      <c r="L7230" t="s">
        <v>45309</v>
      </c>
    </row>
    <row r="7231" spans="1:12" x14ac:dyDescent="0.25">
      <c r="A7231">
        <v>1255966</v>
      </c>
      <c r="B7231">
        <v>1255981</v>
      </c>
      <c r="C7231" t="s">
        <v>45317</v>
      </c>
      <c r="D7231" t="s">
        <v>2793</v>
      </c>
      <c r="E7231" t="s">
        <v>45318</v>
      </c>
      <c r="F7231" t="s">
        <v>45319</v>
      </c>
      <c r="G7231" t="s">
        <v>45320</v>
      </c>
      <c r="H7231" t="e" vm="3144">
        <f>_FV(0,"004809340287933917")</f>
        <v>#VALUE!</v>
      </c>
      <c r="I7231" t="s">
        <v>45321</v>
      </c>
      <c r="J7231" t="s">
        <v>45322</v>
      </c>
      <c r="K7231" t="s">
        <v>45323</v>
      </c>
      <c r="L7231" t="s">
        <v>45316</v>
      </c>
    </row>
    <row r="7232" spans="1:12" x14ac:dyDescent="0.25">
      <c r="A7232">
        <v>1255966</v>
      </c>
      <c r="B7232">
        <v>1548402</v>
      </c>
      <c r="D7232">
        <v>0</v>
      </c>
      <c r="E7232" t="s">
        <v>45325</v>
      </c>
      <c r="F7232" t="s">
        <v>45326</v>
      </c>
      <c r="G7232" t="s">
        <v>45327</v>
      </c>
      <c r="H7232" t="e" vm="3145">
        <f>_FV(0,"0004547066993362669")</f>
        <v>#VALUE!</v>
      </c>
      <c r="I7232" t="s">
        <v>45328</v>
      </c>
      <c r="J7232" t="s">
        <v>45329</v>
      </c>
      <c r="K7232" t="s">
        <v>45330</v>
      </c>
      <c r="L7232" t="s">
        <v>45324</v>
      </c>
    </row>
    <row r="7233" spans="1:12" x14ac:dyDescent="0.25">
      <c r="A7233">
        <v>1255981</v>
      </c>
      <c r="B7233">
        <v>1451397</v>
      </c>
      <c r="D7233" t="s">
        <v>45332</v>
      </c>
      <c r="E7233" t="s">
        <v>45333</v>
      </c>
      <c r="F7233" t="s">
        <v>45334</v>
      </c>
      <c r="G7233" t="s">
        <v>45335</v>
      </c>
      <c r="H7233" t="s">
        <v>45336</v>
      </c>
      <c r="I7233" t="s">
        <v>45337</v>
      </c>
      <c r="J7233" t="s">
        <v>45338</v>
      </c>
      <c r="K7233" t="s">
        <v>45339</v>
      </c>
      <c r="L7233" t="s">
        <v>45331</v>
      </c>
    </row>
    <row r="7234" spans="1:12" x14ac:dyDescent="0.25">
      <c r="A7234">
        <v>1255981</v>
      </c>
      <c r="B7234">
        <v>1548140</v>
      </c>
      <c r="C7234" t="s">
        <v>45341</v>
      </c>
      <c r="D7234">
        <v>0</v>
      </c>
      <c r="E7234" t="s">
        <v>45342</v>
      </c>
      <c r="F7234" t="s">
        <v>45343</v>
      </c>
      <c r="G7234" t="s">
        <v>45344</v>
      </c>
      <c r="H7234" t="s">
        <v>45345</v>
      </c>
      <c r="I7234" t="s">
        <v>45346</v>
      </c>
      <c r="J7234" t="s">
        <v>45340</v>
      </c>
      <c r="K7234" t="s">
        <v>45347</v>
      </c>
      <c r="L7234" t="s">
        <v>45340</v>
      </c>
    </row>
    <row r="7235" spans="1:12" x14ac:dyDescent="0.25">
      <c r="A7235">
        <v>1256002</v>
      </c>
      <c r="B7235">
        <v>1256030</v>
      </c>
      <c r="D7235" t="s">
        <v>45349</v>
      </c>
      <c r="E7235" t="s">
        <v>45350</v>
      </c>
      <c r="F7235" t="s">
        <v>45351</v>
      </c>
      <c r="G7235" t="s">
        <v>45352</v>
      </c>
      <c r="H7235" t="s">
        <v>45353</v>
      </c>
      <c r="I7235" t="s">
        <v>45354</v>
      </c>
      <c r="J7235" t="s">
        <v>45355</v>
      </c>
      <c r="K7235" t="s">
        <v>45356</v>
      </c>
      <c r="L7235" t="s">
        <v>45348</v>
      </c>
    </row>
    <row r="7236" spans="1:12" x14ac:dyDescent="0.25">
      <c r="A7236">
        <v>1256002</v>
      </c>
      <c r="B7236">
        <v>1451473</v>
      </c>
      <c r="D7236" t="s">
        <v>257</v>
      </c>
      <c r="E7236" t="s">
        <v>45358</v>
      </c>
      <c r="F7236" t="s">
        <v>45359</v>
      </c>
      <c r="G7236" t="s">
        <v>45360</v>
      </c>
      <c r="H7236" t="e" vm="3146">
        <f>_FV(0,"004620210816884608")</f>
        <v>#VALUE!</v>
      </c>
      <c r="I7236" t="s">
        <v>45361</v>
      </c>
      <c r="J7236" t="s">
        <v>45362</v>
      </c>
      <c r="K7236" t="s">
        <v>45363</v>
      </c>
      <c r="L7236" t="s">
        <v>45357</v>
      </c>
    </row>
    <row r="7237" spans="1:12" x14ac:dyDescent="0.25">
      <c r="A7237">
        <v>1256002</v>
      </c>
      <c r="B7237">
        <v>1548129</v>
      </c>
      <c r="D7237">
        <v>0</v>
      </c>
      <c r="E7237" t="s">
        <v>45365</v>
      </c>
      <c r="F7237" t="s">
        <v>45366</v>
      </c>
      <c r="G7237" t="s">
        <v>45367</v>
      </c>
      <c r="H7237" t="e" vm="3147">
        <f>_FV(0,"0038057174398511565")</f>
        <v>#VALUE!</v>
      </c>
      <c r="I7237" t="s">
        <v>45368</v>
      </c>
      <c r="J7237" t="s">
        <v>45369</v>
      </c>
      <c r="K7237" t="s">
        <v>45370</v>
      </c>
      <c r="L7237" t="s">
        <v>45364</v>
      </c>
    </row>
    <row r="7238" spans="1:12" x14ac:dyDescent="0.25">
      <c r="A7238">
        <v>1256030</v>
      </c>
      <c r="B7238">
        <v>1549146</v>
      </c>
      <c r="C7238" t="s">
        <v>45372</v>
      </c>
      <c r="D7238">
        <v>0</v>
      </c>
      <c r="E7238" t="s">
        <v>45373</v>
      </c>
      <c r="F7238" t="s">
        <v>45374</v>
      </c>
      <c r="G7238" t="s">
        <v>45375</v>
      </c>
      <c r="H7238" t="s">
        <v>45376</v>
      </c>
      <c r="I7238" t="s">
        <v>45377</v>
      </c>
      <c r="J7238" t="s">
        <v>45378</v>
      </c>
      <c r="K7238" t="s">
        <v>45379</v>
      </c>
      <c r="L7238" t="s">
        <v>45371</v>
      </c>
    </row>
    <row r="7239" spans="1:12" x14ac:dyDescent="0.25">
      <c r="A7239">
        <v>1256030</v>
      </c>
      <c r="B7239">
        <v>1451131</v>
      </c>
      <c r="D7239">
        <v>0</v>
      </c>
      <c r="E7239" t="s">
        <v>45381</v>
      </c>
      <c r="F7239" t="s">
        <v>45382</v>
      </c>
      <c r="G7239" t="s">
        <v>45383</v>
      </c>
      <c r="H7239" t="s">
        <v>45384</v>
      </c>
      <c r="I7239" t="s">
        <v>45385</v>
      </c>
      <c r="J7239" t="s">
        <v>45380</v>
      </c>
      <c r="K7239" t="s">
        <v>45386</v>
      </c>
      <c r="L7239" t="s">
        <v>45380</v>
      </c>
    </row>
    <row r="7240" spans="1:12" x14ac:dyDescent="0.25">
      <c r="A7240">
        <v>1258283</v>
      </c>
      <c r="B7240">
        <v>1258291</v>
      </c>
      <c r="D7240">
        <v>0</v>
      </c>
      <c r="E7240" t="s">
        <v>45388</v>
      </c>
      <c r="F7240" t="s">
        <v>45389</v>
      </c>
      <c r="G7240" t="s">
        <v>45390</v>
      </c>
      <c r="H7240" t="s">
        <v>45391</v>
      </c>
      <c r="I7240" t="s">
        <v>45392</v>
      </c>
      <c r="J7240" t="s">
        <v>45393</v>
      </c>
      <c r="K7240" t="s">
        <v>45394</v>
      </c>
      <c r="L7240" t="s">
        <v>45387</v>
      </c>
    </row>
    <row r="7241" spans="1:12" x14ac:dyDescent="0.25">
      <c r="A7241">
        <v>1258283</v>
      </c>
      <c r="B7241">
        <v>1258291</v>
      </c>
      <c r="D7241">
        <v>0</v>
      </c>
      <c r="E7241" t="s">
        <v>45396</v>
      </c>
      <c r="F7241" t="s">
        <v>45397</v>
      </c>
      <c r="G7241" t="s">
        <v>45398</v>
      </c>
      <c r="H7241" t="s">
        <v>45399</v>
      </c>
      <c r="I7241" t="s">
        <v>45400</v>
      </c>
      <c r="J7241" t="s">
        <v>45401</v>
      </c>
      <c r="K7241" t="s">
        <v>45402</v>
      </c>
      <c r="L7241" t="s">
        <v>45395</v>
      </c>
    </row>
    <row r="7242" spans="1:12" x14ac:dyDescent="0.25">
      <c r="A7242">
        <v>1258291</v>
      </c>
      <c r="B7242">
        <v>1854867</v>
      </c>
      <c r="D7242">
        <v>0</v>
      </c>
      <c r="E7242" t="s">
        <v>45403</v>
      </c>
      <c r="H7242" t="s">
        <v>187</v>
      </c>
      <c r="J7242">
        <v>0</v>
      </c>
      <c r="K7242" t="s">
        <v>14659</v>
      </c>
      <c r="L7242">
        <v>0</v>
      </c>
    </row>
    <row r="7243" spans="1:12" x14ac:dyDescent="0.25">
      <c r="A7243">
        <v>1259329</v>
      </c>
      <c r="B7243">
        <v>1259395</v>
      </c>
      <c r="D7243">
        <v>0</v>
      </c>
      <c r="E7243" t="s">
        <v>45405</v>
      </c>
      <c r="F7243" t="s">
        <v>45406</v>
      </c>
      <c r="G7243" t="s">
        <v>45407</v>
      </c>
      <c r="H7243" t="e" vm="3148">
        <f>_FV(0,"0033576059701089767")</f>
        <v>#VALUE!</v>
      </c>
      <c r="I7243" t="s">
        <v>45408</v>
      </c>
      <c r="J7243" t="s">
        <v>45409</v>
      </c>
      <c r="K7243" t="s">
        <v>45410</v>
      </c>
      <c r="L7243" t="s">
        <v>45404</v>
      </c>
    </row>
    <row r="7244" spans="1:12" x14ac:dyDescent="0.25">
      <c r="A7244">
        <v>1259348</v>
      </c>
      <c r="B7244">
        <v>1259402</v>
      </c>
      <c r="D7244">
        <v>0</v>
      </c>
      <c r="E7244" t="s">
        <v>45411</v>
      </c>
      <c r="F7244" t="s">
        <v>45412</v>
      </c>
      <c r="G7244" t="s">
        <v>45413</v>
      </c>
      <c r="H7244" t="s">
        <v>45414</v>
      </c>
      <c r="I7244" t="s">
        <v>45415</v>
      </c>
      <c r="J7244" t="s">
        <v>13880</v>
      </c>
      <c r="K7244" t="s">
        <v>45416</v>
      </c>
      <c r="L7244" t="s">
        <v>13880</v>
      </c>
    </row>
    <row r="7245" spans="1:12" x14ac:dyDescent="0.25">
      <c r="A7245">
        <v>1259348</v>
      </c>
      <c r="B7245">
        <v>1449306</v>
      </c>
      <c r="D7245">
        <v>0</v>
      </c>
      <c r="E7245" t="s">
        <v>45418</v>
      </c>
      <c r="F7245" t="s">
        <v>45419</v>
      </c>
      <c r="G7245" t="s">
        <v>45420</v>
      </c>
      <c r="H7245" t="e" vm="3149">
        <f>_FV(0,"2543863228743483")</f>
        <v>#VALUE!</v>
      </c>
      <c r="I7245" t="s">
        <v>45421</v>
      </c>
      <c r="J7245" t="s">
        <v>45422</v>
      </c>
      <c r="K7245" t="s">
        <v>45423</v>
      </c>
      <c r="L7245" t="s">
        <v>45417</v>
      </c>
    </row>
    <row r="7246" spans="1:12" x14ac:dyDescent="0.25">
      <c r="A7246">
        <v>1259395</v>
      </c>
      <c r="B7246">
        <v>1259402</v>
      </c>
      <c r="D7246">
        <v>0</v>
      </c>
      <c r="F7246">
        <v>1364034</v>
      </c>
      <c r="G7246">
        <v>1259402</v>
      </c>
      <c r="H7246" t="s">
        <v>1536</v>
      </c>
      <c r="I7246">
        <v>1259395</v>
      </c>
      <c r="J7246" t="s">
        <v>1536</v>
      </c>
      <c r="K7246" t="s">
        <v>45424</v>
      </c>
      <c r="L7246" t="s">
        <v>1536</v>
      </c>
    </row>
    <row r="7247" spans="1:12" x14ac:dyDescent="0.25">
      <c r="A7247">
        <v>1259402</v>
      </c>
      <c r="B7247">
        <v>1449306</v>
      </c>
      <c r="D7247">
        <v>0</v>
      </c>
      <c r="E7247" t="s">
        <v>45426</v>
      </c>
      <c r="F7247" t="s">
        <v>45427</v>
      </c>
      <c r="G7247" t="s">
        <v>45428</v>
      </c>
      <c r="H7247" t="e" vm="3150">
        <f>_FV(0,"25658556887974626")</f>
        <v>#VALUE!</v>
      </c>
      <c r="I7247" t="s">
        <v>45429</v>
      </c>
      <c r="J7247" t="s">
        <v>45430</v>
      </c>
      <c r="K7247" t="s">
        <v>45431</v>
      </c>
      <c r="L7247" t="s">
        <v>45425</v>
      </c>
    </row>
    <row r="7248" spans="1:12" x14ac:dyDescent="0.25">
      <c r="A7248">
        <v>1259467</v>
      </c>
      <c r="B7248">
        <v>1259524</v>
      </c>
      <c r="D7248">
        <v>0</v>
      </c>
      <c r="E7248" t="s">
        <v>45433</v>
      </c>
      <c r="F7248" t="s">
        <v>45434</v>
      </c>
      <c r="G7248" t="s">
        <v>45435</v>
      </c>
      <c r="H7248" t="s">
        <v>45436</v>
      </c>
      <c r="I7248" t="s">
        <v>45437</v>
      </c>
      <c r="J7248" t="s">
        <v>45438</v>
      </c>
      <c r="K7248" t="s">
        <v>45439</v>
      </c>
      <c r="L7248" t="s">
        <v>45432</v>
      </c>
    </row>
    <row r="7249" spans="1:12" x14ac:dyDescent="0.25">
      <c r="A7249">
        <v>1259524</v>
      </c>
      <c r="B7249">
        <v>1259530</v>
      </c>
      <c r="D7249">
        <v>0</v>
      </c>
      <c r="F7249">
        <v>1364162</v>
      </c>
      <c r="G7249">
        <v>1259530</v>
      </c>
      <c r="H7249" t="e" vm="412">
        <f>_FV(0,"046")</f>
        <v>#VALUE!</v>
      </c>
      <c r="I7249">
        <v>1259524</v>
      </c>
      <c r="J7249" t="s">
        <v>5837</v>
      </c>
      <c r="K7249" t="s">
        <v>45440</v>
      </c>
      <c r="L7249" t="e" vm="412">
        <f>_FV(0,"046")</f>
        <v>#VALUE!</v>
      </c>
    </row>
    <row r="7250" spans="1:12" x14ac:dyDescent="0.25">
      <c r="A7250">
        <v>1259530</v>
      </c>
      <c r="B7250">
        <v>1259544</v>
      </c>
      <c r="D7250">
        <v>0</v>
      </c>
      <c r="E7250" t="s">
        <v>45442</v>
      </c>
      <c r="F7250" t="s">
        <v>45443</v>
      </c>
      <c r="G7250" t="s">
        <v>45444</v>
      </c>
      <c r="H7250" t="e" vm="3151">
        <f>_FV(0,"02978927739272818")</f>
        <v>#VALUE!</v>
      </c>
      <c r="I7250" t="s">
        <v>45445</v>
      </c>
      <c r="J7250" t="s">
        <v>45446</v>
      </c>
      <c r="K7250" t="s">
        <v>45447</v>
      </c>
      <c r="L7250" t="s">
        <v>45441</v>
      </c>
    </row>
    <row r="7251" spans="1:12" x14ac:dyDescent="0.25">
      <c r="A7251">
        <v>1259530</v>
      </c>
      <c r="B7251">
        <v>1449292</v>
      </c>
      <c r="D7251">
        <v>0</v>
      </c>
      <c r="E7251" t="s">
        <v>45449</v>
      </c>
      <c r="F7251" t="s">
        <v>45450</v>
      </c>
      <c r="G7251" t="s">
        <v>45451</v>
      </c>
      <c r="H7251" t="s">
        <v>45452</v>
      </c>
      <c r="I7251" t="s">
        <v>45453</v>
      </c>
      <c r="J7251" t="s">
        <v>45448</v>
      </c>
      <c r="K7251" t="s">
        <v>45454</v>
      </c>
      <c r="L7251" t="s">
        <v>45448</v>
      </c>
    </row>
    <row r="7252" spans="1:12" x14ac:dyDescent="0.25">
      <c r="A7252">
        <v>1259544</v>
      </c>
      <c r="B7252">
        <v>1449292</v>
      </c>
      <c r="D7252">
        <v>0</v>
      </c>
      <c r="E7252" t="s">
        <v>45456</v>
      </c>
      <c r="F7252" t="s">
        <v>45457</v>
      </c>
      <c r="G7252" t="s">
        <v>45458</v>
      </c>
      <c r="H7252" t="s">
        <v>45459</v>
      </c>
      <c r="I7252" t="s">
        <v>45460</v>
      </c>
      <c r="J7252" t="s">
        <v>45455</v>
      </c>
      <c r="K7252" t="s">
        <v>45461</v>
      </c>
      <c r="L7252" t="s">
        <v>45455</v>
      </c>
    </row>
    <row r="7253" spans="1:12" x14ac:dyDescent="0.25">
      <c r="A7253">
        <v>1259654</v>
      </c>
      <c r="B7253">
        <v>1259667</v>
      </c>
      <c r="D7253" t="s">
        <v>12940</v>
      </c>
      <c r="E7253" t="s">
        <v>45463</v>
      </c>
      <c r="F7253" t="s">
        <v>45464</v>
      </c>
      <c r="G7253" t="s">
        <v>45465</v>
      </c>
      <c r="H7253" t="e" vm="3152">
        <f>_FV(0,"03550363420905957")</f>
        <v>#VALUE!</v>
      </c>
      <c r="I7253" t="s">
        <v>45466</v>
      </c>
      <c r="J7253" t="s">
        <v>45467</v>
      </c>
      <c r="K7253" t="s">
        <v>45468</v>
      </c>
      <c r="L7253" t="s">
        <v>45462</v>
      </c>
    </row>
    <row r="7254" spans="1:12" x14ac:dyDescent="0.25">
      <c r="A7254">
        <v>1259662</v>
      </c>
      <c r="B7254">
        <v>1259673</v>
      </c>
      <c r="D7254" t="s">
        <v>6006</v>
      </c>
      <c r="E7254" t="s">
        <v>45470</v>
      </c>
      <c r="F7254" t="s">
        <v>45471</v>
      </c>
      <c r="G7254" t="s">
        <v>45472</v>
      </c>
      <c r="H7254" t="s">
        <v>45473</v>
      </c>
      <c r="I7254" t="s">
        <v>45474</v>
      </c>
      <c r="J7254" t="s">
        <v>45475</v>
      </c>
      <c r="K7254" t="s">
        <v>45476</v>
      </c>
      <c r="L7254" t="s">
        <v>45469</v>
      </c>
    </row>
    <row r="7255" spans="1:12" x14ac:dyDescent="0.25">
      <c r="A7255">
        <v>1260193</v>
      </c>
      <c r="B7255">
        <v>1260580</v>
      </c>
      <c r="D7255">
        <v>0</v>
      </c>
      <c r="E7255" t="s">
        <v>45478</v>
      </c>
      <c r="F7255" t="s">
        <v>45479</v>
      </c>
      <c r="G7255" t="s">
        <v>45480</v>
      </c>
      <c r="H7255" t="s">
        <v>45481</v>
      </c>
      <c r="I7255" t="s">
        <v>45482</v>
      </c>
      <c r="J7255" t="s">
        <v>45483</v>
      </c>
      <c r="K7255" t="s">
        <v>45484</v>
      </c>
      <c r="L7255" t="s">
        <v>45477</v>
      </c>
    </row>
    <row r="7256" spans="1:12" x14ac:dyDescent="0.25">
      <c r="A7256">
        <v>1260193</v>
      </c>
      <c r="B7256">
        <v>1260259</v>
      </c>
      <c r="D7256">
        <v>0</v>
      </c>
      <c r="E7256" t="s">
        <v>45486</v>
      </c>
      <c r="F7256" t="s">
        <v>45487</v>
      </c>
      <c r="G7256" t="s">
        <v>45488</v>
      </c>
      <c r="H7256" t="s">
        <v>45489</v>
      </c>
      <c r="I7256" t="s">
        <v>45490</v>
      </c>
      <c r="J7256" t="s">
        <v>45491</v>
      </c>
      <c r="K7256" t="s">
        <v>45492</v>
      </c>
      <c r="L7256" t="s">
        <v>45485</v>
      </c>
    </row>
    <row r="7257" spans="1:12" x14ac:dyDescent="0.25">
      <c r="A7257">
        <v>1260259</v>
      </c>
      <c r="B7257">
        <v>1260267</v>
      </c>
      <c r="D7257">
        <v>0</v>
      </c>
      <c r="E7257" t="s">
        <v>45494</v>
      </c>
      <c r="F7257" t="s">
        <v>45495</v>
      </c>
      <c r="G7257" t="s">
        <v>45496</v>
      </c>
      <c r="H7257" t="e" vm="3153">
        <f>_FV(0,"0020738855760049964")</f>
        <v>#VALUE!</v>
      </c>
      <c r="I7257" t="s">
        <v>45497</v>
      </c>
      <c r="J7257" t="s">
        <v>45498</v>
      </c>
      <c r="K7257" t="s">
        <v>45499</v>
      </c>
      <c r="L7257" t="s">
        <v>45493</v>
      </c>
    </row>
    <row r="7258" spans="1:12" x14ac:dyDescent="0.25">
      <c r="A7258">
        <v>1260259</v>
      </c>
      <c r="B7258">
        <v>1260656</v>
      </c>
      <c r="D7258">
        <v>0</v>
      </c>
      <c r="F7258">
        <v>1365760</v>
      </c>
      <c r="G7258">
        <v>1260259</v>
      </c>
      <c r="H7258" t="s">
        <v>3940</v>
      </c>
      <c r="I7258">
        <v>1260656</v>
      </c>
      <c r="J7258" t="s">
        <v>3940</v>
      </c>
      <c r="K7258" t="s">
        <v>45500</v>
      </c>
      <c r="L7258" t="s">
        <v>3940</v>
      </c>
    </row>
    <row r="7259" spans="1:12" x14ac:dyDescent="0.25">
      <c r="A7259">
        <v>1260267</v>
      </c>
      <c r="B7259">
        <v>1260272</v>
      </c>
      <c r="D7259">
        <v>0</v>
      </c>
      <c r="E7259" t="s">
        <v>45502</v>
      </c>
      <c r="F7259" t="s">
        <v>45503</v>
      </c>
      <c r="G7259" t="s">
        <v>45504</v>
      </c>
      <c r="H7259" t="e" vm="3154">
        <f>_FV(0,"01655501956729665")</f>
        <v>#VALUE!</v>
      </c>
      <c r="I7259" t="s">
        <v>45505</v>
      </c>
      <c r="J7259" t="s">
        <v>45506</v>
      </c>
      <c r="K7259" t="s">
        <v>45507</v>
      </c>
      <c r="L7259" t="s">
        <v>45501</v>
      </c>
    </row>
    <row r="7260" spans="1:12" x14ac:dyDescent="0.25">
      <c r="A7260">
        <v>1260267</v>
      </c>
      <c r="B7260">
        <v>1260305</v>
      </c>
      <c r="D7260">
        <v>0</v>
      </c>
      <c r="E7260" t="s">
        <v>45509</v>
      </c>
      <c r="F7260" t="s">
        <v>45510</v>
      </c>
      <c r="G7260" t="s">
        <v>45511</v>
      </c>
      <c r="H7260" t="e" vm="3155">
        <f>_FV(0,"02001006252414555")</f>
        <v>#VALUE!</v>
      </c>
      <c r="I7260" t="s">
        <v>45512</v>
      </c>
      <c r="J7260" t="s">
        <v>45513</v>
      </c>
      <c r="K7260" t="s">
        <v>45514</v>
      </c>
      <c r="L7260" t="s">
        <v>45508</v>
      </c>
    </row>
    <row r="7261" spans="1:12" x14ac:dyDescent="0.25">
      <c r="A7261">
        <v>1260272</v>
      </c>
      <c r="B7261">
        <v>1260288</v>
      </c>
      <c r="D7261" t="s">
        <v>204</v>
      </c>
      <c r="E7261" t="s">
        <v>45516</v>
      </c>
      <c r="F7261" t="s">
        <v>45517</v>
      </c>
      <c r="G7261" t="s">
        <v>45518</v>
      </c>
      <c r="H7261" t="e" vm="3156">
        <f>_FV(0,"0054422562013603775")</f>
        <v>#VALUE!</v>
      </c>
      <c r="I7261" t="s">
        <v>45519</v>
      </c>
      <c r="J7261" t="s">
        <v>45520</v>
      </c>
      <c r="K7261" t="s">
        <v>45521</v>
      </c>
      <c r="L7261" t="s">
        <v>45515</v>
      </c>
    </row>
    <row r="7262" spans="1:12" x14ac:dyDescent="0.25">
      <c r="A7262">
        <v>1260272</v>
      </c>
      <c r="B7262">
        <v>1260305</v>
      </c>
      <c r="D7262">
        <v>0</v>
      </c>
      <c r="E7262" t="s">
        <v>45523</v>
      </c>
      <c r="F7262" t="s">
        <v>45524</v>
      </c>
      <c r="G7262" t="s">
        <v>45525</v>
      </c>
      <c r="H7262" t="e" vm="3157">
        <f>_FV(0,"00883022689911496")</f>
        <v>#VALUE!</v>
      </c>
      <c r="I7262" t="s">
        <v>45526</v>
      </c>
      <c r="J7262" t="s">
        <v>44668</v>
      </c>
      <c r="K7262" t="s">
        <v>45527</v>
      </c>
      <c r="L7262" t="s">
        <v>45522</v>
      </c>
    </row>
    <row r="7263" spans="1:12" x14ac:dyDescent="0.25">
      <c r="A7263">
        <v>1260288</v>
      </c>
      <c r="B7263">
        <v>1260323</v>
      </c>
      <c r="D7263">
        <v>0</v>
      </c>
      <c r="E7263" t="s">
        <v>45528</v>
      </c>
      <c r="F7263" t="s">
        <v>45529</v>
      </c>
      <c r="G7263" t="s">
        <v>45530</v>
      </c>
      <c r="H7263" t="e" vm="3158">
        <f>_FV(0,"026358235961085524")</f>
        <v>#VALUE!</v>
      </c>
      <c r="I7263" t="s">
        <v>45531</v>
      </c>
      <c r="J7263" t="s">
        <v>10372</v>
      </c>
      <c r="K7263" t="s">
        <v>45532</v>
      </c>
      <c r="L7263" t="s">
        <v>33380</v>
      </c>
    </row>
    <row r="7264" spans="1:12" x14ac:dyDescent="0.25">
      <c r="A7264">
        <v>1260288</v>
      </c>
      <c r="B7264">
        <v>1260337</v>
      </c>
      <c r="D7264">
        <v>0</v>
      </c>
      <c r="E7264" t="s">
        <v>45534</v>
      </c>
      <c r="F7264" t="s">
        <v>45535</v>
      </c>
      <c r="G7264" t="s">
        <v>45536</v>
      </c>
      <c r="H7264" t="e" vm="3159">
        <f>_FV(0,"02316318415865083")</f>
        <v>#VALUE!</v>
      </c>
      <c r="I7264" t="s">
        <v>45537</v>
      </c>
      <c r="J7264" t="s">
        <v>45538</v>
      </c>
      <c r="K7264" t="s">
        <v>45539</v>
      </c>
      <c r="L7264" t="s">
        <v>45533</v>
      </c>
    </row>
    <row r="7265" spans="1:12" x14ac:dyDescent="0.25">
      <c r="A7265">
        <v>1260305</v>
      </c>
      <c r="B7265">
        <v>1260656</v>
      </c>
      <c r="D7265">
        <v>0</v>
      </c>
      <c r="F7265">
        <v>1365752</v>
      </c>
      <c r="G7265">
        <v>1260656</v>
      </c>
      <c r="H7265" t="e" vm="18">
        <f>_FV(0,"004")</f>
        <v>#VALUE!</v>
      </c>
      <c r="I7265">
        <v>1260305</v>
      </c>
      <c r="J7265" t="s">
        <v>239</v>
      </c>
      <c r="K7265" t="s">
        <v>45540</v>
      </c>
      <c r="L7265" t="e" vm="18">
        <f>_FV(0,"004")</f>
        <v>#VALUE!</v>
      </c>
    </row>
    <row r="7266" spans="1:12" x14ac:dyDescent="0.25">
      <c r="A7266">
        <v>1260323</v>
      </c>
      <c r="B7266">
        <v>1260337</v>
      </c>
      <c r="D7266">
        <v>0</v>
      </c>
      <c r="E7266" t="s">
        <v>45542</v>
      </c>
      <c r="F7266" t="s">
        <v>45543</v>
      </c>
      <c r="G7266" t="s">
        <v>45544</v>
      </c>
      <c r="H7266" t="e" vm="3160">
        <f>_FV(0,"0017184164561199478")</f>
        <v>#VALUE!</v>
      </c>
      <c r="I7266" t="s">
        <v>45545</v>
      </c>
      <c r="J7266" t="s">
        <v>226</v>
      </c>
      <c r="K7266" t="s">
        <v>45546</v>
      </c>
      <c r="L7266" t="s">
        <v>45541</v>
      </c>
    </row>
    <row r="7267" spans="1:12" x14ac:dyDescent="0.25">
      <c r="A7267">
        <v>1260323</v>
      </c>
      <c r="B7267">
        <v>1260513</v>
      </c>
      <c r="D7267">
        <v>0</v>
      </c>
      <c r="F7267">
        <v>1365536</v>
      </c>
      <c r="G7267">
        <v>1260323</v>
      </c>
      <c r="H7267" t="s">
        <v>1629</v>
      </c>
      <c r="I7267">
        <v>1260513</v>
      </c>
      <c r="J7267" t="s">
        <v>1629</v>
      </c>
      <c r="K7267" t="s">
        <v>45547</v>
      </c>
      <c r="L7267" t="s">
        <v>1629</v>
      </c>
    </row>
    <row r="7268" spans="1:12" x14ac:dyDescent="0.25">
      <c r="A7268">
        <v>1260337</v>
      </c>
      <c r="B7268">
        <v>1260384</v>
      </c>
      <c r="D7268">
        <v>0</v>
      </c>
      <c r="E7268" t="s">
        <v>45549</v>
      </c>
      <c r="F7268" t="s">
        <v>45550</v>
      </c>
      <c r="G7268" t="s">
        <v>45551</v>
      </c>
      <c r="H7268" t="s">
        <v>45552</v>
      </c>
      <c r="I7268" t="s">
        <v>45553</v>
      </c>
      <c r="J7268" t="s">
        <v>45554</v>
      </c>
      <c r="K7268" t="s">
        <v>45555</v>
      </c>
      <c r="L7268" t="s">
        <v>45548</v>
      </c>
    </row>
    <row r="7269" spans="1:12" x14ac:dyDescent="0.25">
      <c r="A7269">
        <v>1260348</v>
      </c>
      <c r="B7269">
        <v>1260406</v>
      </c>
      <c r="D7269">
        <v>0</v>
      </c>
      <c r="E7269" t="s">
        <v>45557</v>
      </c>
      <c r="F7269" t="s">
        <v>45558</v>
      </c>
      <c r="G7269" t="s">
        <v>45559</v>
      </c>
      <c r="H7269" t="s">
        <v>45560</v>
      </c>
      <c r="I7269" t="s">
        <v>45561</v>
      </c>
      <c r="J7269" t="s">
        <v>45562</v>
      </c>
      <c r="K7269" t="s">
        <v>45563</v>
      </c>
      <c r="L7269" t="s">
        <v>45556</v>
      </c>
    </row>
    <row r="7270" spans="1:12" x14ac:dyDescent="0.25">
      <c r="A7270">
        <v>1260348</v>
      </c>
      <c r="B7270">
        <v>1260384</v>
      </c>
      <c r="D7270">
        <v>0</v>
      </c>
      <c r="E7270" t="s">
        <v>45565</v>
      </c>
      <c r="F7270" t="s">
        <v>45566</v>
      </c>
      <c r="G7270" t="s">
        <v>45567</v>
      </c>
      <c r="H7270" t="s">
        <v>45568</v>
      </c>
      <c r="I7270" t="s">
        <v>45569</v>
      </c>
      <c r="J7270" t="s">
        <v>239</v>
      </c>
      <c r="K7270" t="s">
        <v>45570</v>
      </c>
      <c r="L7270" t="s">
        <v>45564</v>
      </c>
    </row>
    <row r="7271" spans="1:12" x14ac:dyDescent="0.25">
      <c r="A7271">
        <v>1260384</v>
      </c>
      <c r="B7271">
        <v>1260513</v>
      </c>
      <c r="D7271">
        <v>0</v>
      </c>
      <c r="F7271">
        <v>1365528</v>
      </c>
      <c r="G7271">
        <v>1260513</v>
      </c>
      <c r="H7271" t="e" vm="493">
        <f>_FV(0,"025")</f>
        <v>#VALUE!</v>
      </c>
      <c r="I7271">
        <v>1260384</v>
      </c>
      <c r="J7271" t="s">
        <v>899</v>
      </c>
      <c r="K7271" t="s">
        <v>45571</v>
      </c>
      <c r="L7271" t="e" vm="493">
        <f>_FV(0,"025")</f>
        <v>#VALUE!</v>
      </c>
    </row>
    <row r="7272" spans="1:12" x14ac:dyDescent="0.25">
      <c r="A7272">
        <v>1260406</v>
      </c>
      <c r="B7272">
        <v>1260513</v>
      </c>
      <c r="D7272">
        <v>0</v>
      </c>
      <c r="E7272" t="s">
        <v>45573</v>
      </c>
      <c r="F7272" t="s">
        <v>45574</v>
      </c>
      <c r="G7272" t="s">
        <v>45575</v>
      </c>
      <c r="H7272" t="e" vm="3161">
        <f>_FV(0,"008102280883104454")</f>
        <v>#VALUE!</v>
      </c>
      <c r="I7272" t="s">
        <v>45576</v>
      </c>
      <c r="J7272" t="s">
        <v>45577</v>
      </c>
      <c r="K7272" t="s">
        <v>45578</v>
      </c>
      <c r="L7272" t="s">
        <v>45572</v>
      </c>
    </row>
    <row r="7273" spans="1:12" x14ac:dyDescent="0.25">
      <c r="A7273">
        <v>1260580</v>
      </c>
      <c r="B7273">
        <v>1260656</v>
      </c>
      <c r="D7273">
        <v>0</v>
      </c>
      <c r="E7273" t="s">
        <v>45580</v>
      </c>
      <c r="F7273" t="s">
        <v>45581</v>
      </c>
      <c r="G7273" t="s">
        <v>45582</v>
      </c>
      <c r="H7273" t="s">
        <v>45583</v>
      </c>
      <c r="I7273" t="s">
        <v>45584</v>
      </c>
      <c r="J7273" t="s">
        <v>45585</v>
      </c>
      <c r="K7273" t="s">
        <v>45586</v>
      </c>
      <c r="L7273" t="s">
        <v>45579</v>
      </c>
    </row>
    <row r="7274" spans="1:12" x14ac:dyDescent="0.25">
      <c r="A7274">
        <v>1260715</v>
      </c>
      <c r="B7274">
        <v>1260726</v>
      </c>
      <c r="D7274">
        <v>1</v>
      </c>
      <c r="F7274">
        <v>1365864</v>
      </c>
      <c r="G7274">
        <v>1260715</v>
      </c>
      <c r="H7274" t="s">
        <v>3940</v>
      </c>
      <c r="I7274">
        <v>1260726</v>
      </c>
      <c r="J7274" t="s">
        <v>3940</v>
      </c>
      <c r="K7274" t="s">
        <v>45587</v>
      </c>
      <c r="L7274" t="s">
        <v>3940</v>
      </c>
    </row>
    <row r="7275" spans="1:12" x14ac:dyDescent="0.25">
      <c r="A7275">
        <v>1262133</v>
      </c>
      <c r="B7275">
        <v>1262138</v>
      </c>
      <c r="D7275">
        <v>0</v>
      </c>
      <c r="F7275">
        <v>1368150</v>
      </c>
      <c r="G7275">
        <v>1262138</v>
      </c>
      <c r="H7275" t="e" vm="1632">
        <f>_FV(0,"071")</f>
        <v>#VALUE!</v>
      </c>
      <c r="I7275">
        <v>1262133</v>
      </c>
      <c r="J7275" t="s">
        <v>23519</v>
      </c>
      <c r="K7275" t="s">
        <v>45588</v>
      </c>
      <c r="L7275" t="e" vm="1632">
        <f>_FV(0,"071")</f>
        <v>#VALUE!</v>
      </c>
    </row>
    <row r="7276" spans="1:12" x14ac:dyDescent="0.25">
      <c r="A7276">
        <v>1262133</v>
      </c>
      <c r="B7276">
        <v>1621498</v>
      </c>
      <c r="D7276" t="s">
        <v>257</v>
      </c>
      <c r="E7276" t="s">
        <v>45590</v>
      </c>
      <c r="F7276" t="s">
        <v>45591</v>
      </c>
      <c r="G7276" t="s">
        <v>45592</v>
      </c>
      <c r="H7276" t="s">
        <v>45593</v>
      </c>
      <c r="I7276" t="s">
        <v>45594</v>
      </c>
      <c r="J7276" t="s">
        <v>45595</v>
      </c>
      <c r="K7276" t="s">
        <v>45596</v>
      </c>
      <c r="L7276" t="s">
        <v>45589</v>
      </c>
    </row>
    <row r="7277" spans="1:12" x14ac:dyDescent="0.25">
      <c r="A7277">
        <v>1262133</v>
      </c>
      <c r="B7277">
        <v>1262147</v>
      </c>
      <c r="D7277">
        <v>0</v>
      </c>
      <c r="E7277" t="s">
        <v>45598</v>
      </c>
      <c r="F7277" t="s">
        <v>45599</v>
      </c>
      <c r="G7277" t="s">
        <v>45600</v>
      </c>
      <c r="H7277" t="s">
        <v>45601</v>
      </c>
      <c r="I7277" t="s">
        <v>45602</v>
      </c>
      <c r="J7277" t="s">
        <v>45597</v>
      </c>
      <c r="K7277" t="s">
        <v>45603</v>
      </c>
      <c r="L7277" t="s">
        <v>45597</v>
      </c>
    </row>
    <row r="7278" spans="1:12" x14ac:dyDescent="0.25">
      <c r="A7278">
        <v>1262138</v>
      </c>
      <c r="B7278">
        <v>1262143</v>
      </c>
      <c r="D7278">
        <v>0</v>
      </c>
      <c r="E7278" t="s">
        <v>45605</v>
      </c>
      <c r="F7278" t="s">
        <v>45606</v>
      </c>
      <c r="G7278" t="s">
        <v>45607</v>
      </c>
      <c r="H7278" t="e" vm="3162">
        <f>_FV(0,"08028539504413296")</f>
        <v>#VALUE!</v>
      </c>
      <c r="I7278" t="s">
        <v>45608</v>
      </c>
      <c r="J7278" t="s">
        <v>45609</v>
      </c>
      <c r="K7278" t="s">
        <v>45610</v>
      </c>
      <c r="L7278" t="s">
        <v>45604</v>
      </c>
    </row>
    <row r="7279" spans="1:12" x14ac:dyDescent="0.25">
      <c r="A7279">
        <v>1262138</v>
      </c>
      <c r="B7279">
        <v>1262166</v>
      </c>
      <c r="D7279">
        <v>0</v>
      </c>
      <c r="E7279" t="s">
        <v>45612</v>
      </c>
      <c r="F7279" t="s">
        <v>45613</v>
      </c>
      <c r="G7279" t="s">
        <v>45614</v>
      </c>
      <c r="H7279" t="e" vm="3163">
        <f>_FV(0,"056100573668092346")</f>
        <v>#VALUE!</v>
      </c>
      <c r="I7279" t="s">
        <v>45615</v>
      </c>
      <c r="J7279" t="s">
        <v>45616</v>
      </c>
      <c r="K7279" t="s">
        <v>45617</v>
      </c>
      <c r="L7279" t="s">
        <v>45611</v>
      </c>
    </row>
    <row r="7280" spans="1:12" x14ac:dyDescent="0.25">
      <c r="A7280">
        <v>1262143</v>
      </c>
      <c r="B7280">
        <v>1262147</v>
      </c>
      <c r="D7280">
        <v>0</v>
      </c>
      <c r="F7280">
        <v>1368174</v>
      </c>
      <c r="G7280">
        <v>1262147</v>
      </c>
      <c r="H7280" t="s">
        <v>30</v>
      </c>
      <c r="I7280">
        <v>1262143</v>
      </c>
      <c r="J7280" t="s">
        <v>30</v>
      </c>
      <c r="K7280" t="s">
        <v>45618</v>
      </c>
      <c r="L7280" t="s">
        <v>30</v>
      </c>
    </row>
    <row r="7281" spans="1:12" x14ac:dyDescent="0.25">
      <c r="A7281">
        <v>1262143</v>
      </c>
      <c r="B7281">
        <v>1262187</v>
      </c>
      <c r="D7281">
        <v>0</v>
      </c>
      <c r="E7281" t="s">
        <v>45620</v>
      </c>
      <c r="F7281" t="s">
        <v>45621</v>
      </c>
      <c r="G7281" t="s">
        <v>45622</v>
      </c>
      <c r="H7281" t="e" vm="3164">
        <f>_FV(0,"04564905745124581")</f>
        <v>#VALUE!</v>
      </c>
      <c r="I7281" t="s">
        <v>45623</v>
      </c>
      <c r="J7281" t="s">
        <v>45624</v>
      </c>
      <c r="K7281" t="s">
        <v>45625</v>
      </c>
      <c r="L7281" t="s">
        <v>45619</v>
      </c>
    </row>
    <row r="7282" spans="1:12" x14ac:dyDescent="0.25">
      <c r="A7282">
        <v>1262147</v>
      </c>
      <c r="B7282">
        <v>1267547</v>
      </c>
      <c r="D7282">
        <v>0</v>
      </c>
      <c r="E7282" t="s">
        <v>45627</v>
      </c>
      <c r="F7282" t="s">
        <v>45628</v>
      </c>
      <c r="G7282" t="s">
        <v>45629</v>
      </c>
      <c r="H7282" t="s">
        <v>45630</v>
      </c>
      <c r="I7282" t="s">
        <v>45631</v>
      </c>
      <c r="J7282" t="s">
        <v>45626</v>
      </c>
      <c r="K7282" t="s">
        <v>45632</v>
      </c>
      <c r="L7282" t="s">
        <v>45626</v>
      </c>
    </row>
    <row r="7283" spans="1:12" x14ac:dyDescent="0.25">
      <c r="A7283">
        <v>1262166</v>
      </c>
      <c r="B7283">
        <v>1262167</v>
      </c>
      <c r="D7283">
        <v>0</v>
      </c>
      <c r="F7283">
        <v>1368206</v>
      </c>
      <c r="G7283">
        <v>1262167</v>
      </c>
      <c r="H7283" t="e" vm="666">
        <f>_FV(0,"059")</f>
        <v>#VALUE!</v>
      </c>
      <c r="I7283">
        <v>1262166</v>
      </c>
      <c r="J7283" t="s">
        <v>9730</v>
      </c>
      <c r="K7283" t="s">
        <v>45633</v>
      </c>
      <c r="L7283" t="e" vm="666">
        <f>_FV(0,"059")</f>
        <v>#VALUE!</v>
      </c>
    </row>
    <row r="7284" spans="1:12" x14ac:dyDescent="0.25">
      <c r="A7284">
        <v>1262166</v>
      </c>
      <c r="B7284">
        <v>1262187</v>
      </c>
      <c r="D7284">
        <v>0</v>
      </c>
      <c r="E7284" t="s">
        <v>45635</v>
      </c>
      <c r="F7284" t="s">
        <v>45636</v>
      </c>
      <c r="G7284" t="s">
        <v>45637</v>
      </c>
      <c r="H7284" t="s">
        <v>45638</v>
      </c>
      <c r="I7284" t="s">
        <v>45639</v>
      </c>
      <c r="J7284" t="s">
        <v>45634</v>
      </c>
      <c r="K7284" t="s">
        <v>45640</v>
      </c>
      <c r="L7284" t="s">
        <v>45634</v>
      </c>
    </row>
    <row r="7285" spans="1:12" x14ac:dyDescent="0.25">
      <c r="A7285">
        <v>1262167</v>
      </c>
      <c r="B7285">
        <v>1262183</v>
      </c>
      <c r="D7285">
        <v>0</v>
      </c>
      <c r="E7285" t="s">
        <v>45642</v>
      </c>
      <c r="F7285" t="s">
        <v>45643</v>
      </c>
      <c r="G7285" t="s">
        <v>45644</v>
      </c>
      <c r="H7285" t="e" vm="3165">
        <f>_FV(0,"040033993873525256")</f>
        <v>#VALUE!</v>
      </c>
      <c r="I7285" t="s">
        <v>45645</v>
      </c>
      <c r="J7285" t="s">
        <v>45646</v>
      </c>
      <c r="K7285" t="s">
        <v>45647</v>
      </c>
      <c r="L7285" t="s">
        <v>45641</v>
      </c>
    </row>
    <row r="7286" spans="1:12" x14ac:dyDescent="0.25">
      <c r="A7286">
        <v>1262167</v>
      </c>
      <c r="B7286">
        <v>1267535</v>
      </c>
      <c r="D7286" t="s">
        <v>3298</v>
      </c>
      <c r="E7286" t="s">
        <v>45649</v>
      </c>
      <c r="F7286" t="s">
        <v>45650</v>
      </c>
      <c r="G7286" t="s">
        <v>45651</v>
      </c>
      <c r="H7286" t="e" vm="3166">
        <f>_FV(0,"01845115120933432")</f>
        <v>#VALUE!</v>
      </c>
      <c r="I7286" t="s">
        <v>45652</v>
      </c>
      <c r="J7286" t="s">
        <v>45653</v>
      </c>
      <c r="K7286" t="s">
        <v>45654</v>
      </c>
      <c r="L7286" t="s">
        <v>45648</v>
      </c>
    </row>
    <row r="7287" spans="1:12" x14ac:dyDescent="0.25">
      <c r="A7287">
        <v>1262183</v>
      </c>
      <c r="B7287">
        <v>1262187</v>
      </c>
      <c r="D7287">
        <v>0</v>
      </c>
      <c r="F7287">
        <v>1368246</v>
      </c>
      <c r="G7287">
        <v>1262187</v>
      </c>
      <c r="H7287" t="s">
        <v>6299</v>
      </c>
      <c r="I7287">
        <v>1262183</v>
      </c>
      <c r="J7287" t="s">
        <v>6299</v>
      </c>
      <c r="K7287" t="s">
        <v>45655</v>
      </c>
      <c r="L7287" t="s">
        <v>6299</v>
      </c>
    </row>
    <row r="7288" spans="1:12" x14ac:dyDescent="0.25">
      <c r="A7288">
        <v>1262183</v>
      </c>
      <c r="B7288">
        <v>1267545</v>
      </c>
      <c r="D7288">
        <v>0</v>
      </c>
      <c r="E7288" t="s">
        <v>45657</v>
      </c>
      <c r="F7288" t="s">
        <v>45658</v>
      </c>
      <c r="G7288" t="s">
        <v>45659</v>
      </c>
      <c r="H7288" t="e" vm="3167">
        <f>_FV(0,"018199672343557488")</f>
        <v>#VALUE!</v>
      </c>
      <c r="I7288" t="s">
        <v>45660</v>
      </c>
      <c r="J7288" t="s">
        <v>45661</v>
      </c>
      <c r="K7288" t="s">
        <v>45662</v>
      </c>
      <c r="L7288" t="s">
        <v>45656</v>
      </c>
    </row>
    <row r="7289" spans="1:12" x14ac:dyDescent="0.25">
      <c r="A7289">
        <v>1262287</v>
      </c>
      <c r="B7289">
        <v>1262302</v>
      </c>
      <c r="D7289">
        <v>0</v>
      </c>
      <c r="E7289" t="s">
        <v>45664</v>
      </c>
      <c r="F7289" t="s">
        <v>45665</v>
      </c>
      <c r="G7289" t="s">
        <v>45666</v>
      </c>
      <c r="H7289" t="e" vm="3168">
        <f>_FV(0,"012292606886366783")</f>
        <v>#VALUE!</v>
      </c>
      <c r="I7289" t="s">
        <v>45667</v>
      </c>
      <c r="J7289" t="s">
        <v>45668</v>
      </c>
      <c r="K7289" t="s">
        <v>45669</v>
      </c>
      <c r="L7289" t="s">
        <v>45663</v>
      </c>
    </row>
    <row r="7290" spans="1:12" x14ac:dyDescent="0.25">
      <c r="A7290">
        <v>1262302</v>
      </c>
      <c r="B7290">
        <v>1262329</v>
      </c>
      <c r="D7290">
        <v>0</v>
      </c>
      <c r="E7290" t="s">
        <v>45671</v>
      </c>
      <c r="F7290" t="s">
        <v>45672</v>
      </c>
      <c r="G7290" t="s">
        <v>45673</v>
      </c>
      <c r="H7290" t="e" vm="3169">
        <f>_FV(0,"07704108015948058")</f>
        <v>#VALUE!</v>
      </c>
      <c r="I7290" t="s">
        <v>45674</v>
      </c>
      <c r="J7290" t="s">
        <v>45675</v>
      </c>
      <c r="K7290" t="s">
        <v>45676</v>
      </c>
      <c r="L7290" t="s">
        <v>45670</v>
      </c>
    </row>
    <row r="7291" spans="1:12" x14ac:dyDescent="0.25">
      <c r="A7291">
        <v>1262302</v>
      </c>
      <c r="B7291">
        <v>1262340</v>
      </c>
      <c r="D7291">
        <v>0</v>
      </c>
      <c r="E7291" t="s">
        <v>45678</v>
      </c>
      <c r="F7291" t="s">
        <v>45679</v>
      </c>
      <c r="G7291" t="s">
        <v>45680</v>
      </c>
      <c r="H7291" t="e" vm="3170">
        <f>_FV(0,"06739394848162142")</f>
        <v>#VALUE!</v>
      </c>
      <c r="I7291" t="s">
        <v>45681</v>
      </c>
      <c r="J7291" t="s">
        <v>45682</v>
      </c>
      <c r="K7291" t="s">
        <v>45683</v>
      </c>
      <c r="L7291" t="s">
        <v>45677</v>
      </c>
    </row>
    <row r="7292" spans="1:12" x14ac:dyDescent="0.25">
      <c r="A7292">
        <v>1262329</v>
      </c>
      <c r="B7292">
        <v>1262340</v>
      </c>
      <c r="D7292">
        <v>0</v>
      </c>
      <c r="E7292" t="s">
        <v>45685</v>
      </c>
      <c r="F7292" t="s">
        <v>45686</v>
      </c>
      <c r="G7292" t="s">
        <v>45687</v>
      </c>
      <c r="H7292" t="e" vm="3171">
        <f>_FV(0,"0702427505767602")</f>
        <v>#VALUE!</v>
      </c>
      <c r="I7292" t="s">
        <v>45688</v>
      </c>
      <c r="J7292" t="s">
        <v>45689</v>
      </c>
      <c r="K7292" t="s">
        <v>45690</v>
      </c>
      <c r="L7292" t="s">
        <v>45684</v>
      </c>
    </row>
    <row r="7293" spans="1:12" x14ac:dyDescent="0.25">
      <c r="A7293">
        <v>1262329</v>
      </c>
      <c r="B7293">
        <v>1854810</v>
      </c>
      <c r="C7293" t="s">
        <v>45691</v>
      </c>
      <c r="D7293">
        <v>0</v>
      </c>
      <c r="E7293" t="s">
        <v>45692</v>
      </c>
      <c r="H7293" t="s">
        <v>187</v>
      </c>
      <c r="J7293">
        <v>0</v>
      </c>
      <c r="K7293" t="s">
        <v>31416</v>
      </c>
      <c r="L7293">
        <v>0</v>
      </c>
    </row>
    <row r="7294" spans="1:12" x14ac:dyDescent="0.25">
      <c r="A7294">
        <v>1262917</v>
      </c>
      <c r="B7294">
        <v>1262962</v>
      </c>
      <c r="D7294">
        <v>0</v>
      </c>
      <c r="F7294">
        <v>1369492</v>
      </c>
      <c r="G7294">
        <v>1262962</v>
      </c>
      <c r="H7294" t="e" vm="144">
        <f>_FV(0,"003")</f>
        <v>#VALUE!</v>
      </c>
      <c r="I7294">
        <v>1262917</v>
      </c>
      <c r="J7294" t="s">
        <v>1783</v>
      </c>
      <c r="K7294" t="s">
        <v>45693</v>
      </c>
      <c r="L7294" t="e" vm="144">
        <f>_FV(0,"003")</f>
        <v>#VALUE!</v>
      </c>
    </row>
    <row r="7295" spans="1:12" x14ac:dyDescent="0.25">
      <c r="A7295">
        <v>1262917</v>
      </c>
      <c r="B7295">
        <v>1262925</v>
      </c>
      <c r="D7295">
        <v>0</v>
      </c>
      <c r="E7295" t="s">
        <v>45695</v>
      </c>
      <c r="F7295" t="s">
        <v>45696</v>
      </c>
      <c r="G7295" t="s">
        <v>45697</v>
      </c>
      <c r="H7295" t="e" vm="3172">
        <f>_FV(0,"0005430903661394384")</f>
        <v>#VALUE!</v>
      </c>
      <c r="I7295" t="s">
        <v>45698</v>
      </c>
      <c r="J7295" t="s">
        <v>44770</v>
      </c>
      <c r="K7295" t="s">
        <v>45699</v>
      </c>
      <c r="L7295" t="s">
        <v>45694</v>
      </c>
    </row>
    <row r="7296" spans="1:12" x14ac:dyDescent="0.25">
      <c r="A7296">
        <v>1262917</v>
      </c>
      <c r="B7296">
        <v>1262937</v>
      </c>
      <c r="D7296">
        <v>0</v>
      </c>
      <c r="E7296" t="s">
        <v>45700</v>
      </c>
      <c r="F7296" t="s">
        <v>45701</v>
      </c>
      <c r="G7296" t="s">
        <v>45702</v>
      </c>
      <c r="H7296" t="s">
        <v>45703</v>
      </c>
      <c r="I7296" t="s">
        <v>45704</v>
      </c>
      <c r="J7296" t="s">
        <v>5981</v>
      </c>
      <c r="K7296" t="s">
        <v>45705</v>
      </c>
      <c r="L7296" t="s">
        <v>5981</v>
      </c>
    </row>
    <row r="7297" spans="1:12" x14ac:dyDescent="0.25">
      <c r="A7297">
        <v>1262925</v>
      </c>
      <c r="B7297">
        <v>1262937</v>
      </c>
      <c r="D7297">
        <v>0</v>
      </c>
      <c r="E7297" t="s">
        <v>45706</v>
      </c>
      <c r="F7297" t="s">
        <v>45707</v>
      </c>
      <c r="G7297" t="s">
        <v>45708</v>
      </c>
      <c r="H7297" t="s">
        <v>45709</v>
      </c>
      <c r="I7297" t="s">
        <v>45710</v>
      </c>
      <c r="J7297" t="s">
        <v>4867</v>
      </c>
      <c r="K7297" t="s">
        <v>45711</v>
      </c>
      <c r="L7297" t="s">
        <v>4867</v>
      </c>
    </row>
    <row r="7298" spans="1:12" x14ac:dyDescent="0.25">
      <c r="A7298">
        <v>1262937</v>
      </c>
      <c r="B7298">
        <v>1262984</v>
      </c>
      <c r="D7298">
        <v>0</v>
      </c>
      <c r="E7298" t="s">
        <v>45713</v>
      </c>
      <c r="F7298" t="s">
        <v>45714</v>
      </c>
      <c r="G7298" t="s">
        <v>45715</v>
      </c>
      <c r="H7298" t="s">
        <v>45716</v>
      </c>
      <c r="I7298" t="s">
        <v>45717</v>
      </c>
      <c r="J7298" t="s">
        <v>45718</v>
      </c>
      <c r="K7298" t="s">
        <v>45719</v>
      </c>
      <c r="L7298" t="s">
        <v>45712</v>
      </c>
    </row>
    <row r="7299" spans="1:12" x14ac:dyDescent="0.25">
      <c r="A7299">
        <v>1262962</v>
      </c>
      <c r="B7299">
        <v>1262994</v>
      </c>
      <c r="D7299">
        <v>0</v>
      </c>
      <c r="F7299">
        <v>1369500</v>
      </c>
      <c r="G7299">
        <v>1262994</v>
      </c>
      <c r="H7299" t="e" vm="144">
        <f>_FV(0,"003")</f>
        <v>#VALUE!</v>
      </c>
      <c r="I7299">
        <v>1262962</v>
      </c>
      <c r="J7299" t="s">
        <v>1783</v>
      </c>
      <c r="K7299" t="s">
        <v>45720</v>
      </c>
      <c r="L7299" t="e" vm="144">
        <f>_FV(0,"003")</f>
        <v>#VALUE!</v>
      </c>
    </row>
    <row r="7300" spans="1:12" x14ac:dyDescent="0.25">
      <c r="A7300">
        <v>1262976</v>
      </c>
      <c r="B7300">
        <v>1262984</v>
      </c>
      <c r="D7300">
        <v>0</v>
      </c>
      <c r="E7300" t="s">
        <v>45721</v>
      </c>
      <c r="F7300" t="s">
        <v>45722</v>
      </c>
      <c r="G7300" t="s">
        <v>45723</v>
      </c>
      <c r="H7300" t="s">
        <v>45724</v>
      </c>
      <c r="I7300" t="s">
        <v>45725</v>
      </c>
      <c r="J7300" t="s">
        <v>4786</v>
      </c>
      <c r="K7300" t="s">
        <v>45726</v>
      </c>
      <c r="L7300" t="s">
        <v>4786</v>
      </c>
    </row>
    <row r="7301" spans="1:12" x14ac:dyDescent="0.25">
      <c r="A7301">
        <v>1262976</v>
      </c>
      <c r="B7301">
        <v>1262994</v>
      </c>
      <c r="D7301">
        <v>0</v>
      </c>
      <c r="E7301" t="s">
        <v>45727</v>
      </c>
      <c r="F7301" t="s">
        <v>45728</v>
      </c>
      <c r="G7301" t="s">
        <v>45729</v>
      </c>
      <c r="H7301" t="s">
        <v>1534</v>
      </c>
      <c r="I7301" t="s">
        <v>45730</v>
      </c>
      <c r="J7301" t="s">
        <v>1534</v>
      </c>
      <c r="K7301" t="s">
        <v>45731</v>
      </c>
      <c r="L7301" t="s">
        <v>1534</v>
      </c>
    </row>
    <row r="7302" spans="1:12" x14ac:dyDescent="0.25">
      <c r="A7302">
        <v>1262976</v>
      </c>
      <c r="B7302">
        <v>1815310</v>
      </c>
      <c r="D7302">
        <v>0</v>
      </c>
      <c r="E7302" t="s">
        <v>45733</v>
      </c>
      <c r="F7302" t="s">
        <v>45734</v>
      </c>
      <c r="G7302" t="s">
        <v>45735</v>
      </c>
      <c r="H7302" t="s">
        <v>45736</v>
      </c>
      <c r="I7302" t="s">
        <v>45737</v>
      </c>
      <c r="J7302" t="s">
        <v>45732</v>
      </c>
      <c r="K7302" t="s">
        <v>45738</v>
      </c>
      <c r="L7302" t="s">
        <v>45732</v>
      </c>
    </row>
    <row r="7303" spans="1:12" x14ac:dyDescent="0.25">
      <c r="A7303">
        <v>1262984</v>
      </c>
      <c r="B7303">
        <v>1262994</v>
      </c>
      <c r="D7303">
        <v>0</v>
      </c>
      <c r="E7303" t="s">
        <v>45739</v>
      </c>
      <c r="F7303" t="s">
        <v>45740</v>
      </c>
      <c r="G7303" t="s">
        <v>45741</v>
      </c>
      <c r="H7303" t="e" vm="3173">
        <f>_FV(0,"003502031113176072")</f>
        <v>#VALUE!</v>
      </c>
      <c r="I7303" t="s">
        <v>45742</v>
      </c>
      <c r="J7303" t="s">
        <v>1550</v>
      </c>
      <c r="K7303" t="s">
        <v>45743</v>
      </c>
      <c r="L7303" t="s">
        <v>1545</v>
      </c>
    </row>
    <row r="7304" spans="1:12" x14ac:dyDescent="0.25">
      <c r="A7304">
        <v>1263183</v>
      </c>
      <c r="B7304">
        <v>1170986</v>
      </c>
      <c r="D7304" t="s">
        <v>16756</v>
      </c>
      <c r="E7304" t="s">
        <v>45745</v>
      </c>
      <c r="F7304" t="s">
        <v>45746</v>
      </c>
      <c r="G7304" t="s">
        <v>45747</v>
      </c>
      <c r="H7304" t="s">
        <v>45748</v>
      </c>
      <c r="I7304" t="s">
        <v>45749</v>
      </c>
      <c r="J7304" t="s">
        <v>45750</v>
      </c>
      <c r="K7304" t="s">
        <v>45751</v>
      </c>
      <c r="L7304" t="s">
        <v>45744</v>
      </c>
    </row>
    <row r="7305" spans="1:12" x14ac:dyDescent="0.25">
      <c r="A7305">
        <v>1263193</v>
      </c>
      <c r="B7305">
        <v>1803928</v>
      </c>
      <c r="D7305">
        <v>0</v>
      </c>
      <c r="E7305" t="s">
        <v>45753</v>
      </c>
      <c r="F7305" t="s">
        <v>45754</v>
      </c>
      <c r="G7305" t="s">
        <v>45755</v>
      </c>
      <c r="H7305" t="e" vm="3174">
        <f>_FV(0,"0015672880786130664")</f>
        <v>#VALUE!</v>
      </c>
      <c r="I7305" t="s">
        <v>45756</v>
      </c>
      <c r="J7305" t="s">
        <v>45757</v>
      </c>
      <c r="K7305" t="s">
        <v>45758</v>
      </c>
      <c r="L7305" t="s">
        <v>45752</v>
      </c>
    </row>
    <row r="7306" spans="1:12" x14ac:dyDescent="0.25">
      <c r="A7306">
        <v>1263909</v>
      </c>
      <c r="B7306">
        <v>1767627</v>
      </c>
      <c r="D7306">
        <v>0</v>
      </c>
      <c r="F7306">
        <v>2102952</v>
      </c>
      <c r="G7306">
        <v>1263909</v>
      </c>
      <c r="H7306" t="s">
        <v>2916</v>
      </c>
      <c r="I7306">
        <v>1767627</v>
      </c>
      <c r="J7306" t="s">
        <v>2916</v>
      </c>
      <c r="K7306" t="s">
        <v>45759</v>
      </c>
      <c r="L7306" t="s">
        <v>2916</v>
      </c>
    </row>
    <row r="7307" spans="1:12" x14ac:dyDescent="0.25">
      <c r="A7307">
        <v>1264264</v>
      </c>
      <c r="B7307">
        <v>1264290</v>
      </c>
      <c r="D7307" t="s">
        <v>4181</v>
      </c>
      <c r="E7307" t="s">
        <v>45761</v>
      </c>
      <c r="F7307" t="s">
        <v>45762</v>
      </c>
      <c r="G7307" t="s">
        <v>45763</v>
      </c>
      <c r="H7307" t="s">
        <v>45764</v>
      </c>
      <c r="I7307" t="s">
        <v>45765</v>
      </c>
      <c r="J7307" t="s">
        <v>45766</v>
      </c>
      <c r="K7307" t="s">
        <v>45767</v>
      </c>
      <c r="L7307" t="s">
        <v>45760</v>
      </c>
    </row>
    <row r="7308" spans="1:12" x14ac:dyDescent="0.25">
      <c r="A7308">
        <v>1264308</v>
      </c>
      <c r="B7308">
        <v>1264323</v>
      </c>
      <c r="D7308">
        <v>0</v>
      </c>
      <c r="E7308" t="s">
        <v>45769</v>
      </c>
      <c r="F7308" t="s">
        <v>45770</v>
      </c>
      <c r="G7308" t="s">
        <v>45771</v>
      </c>
      <c r="H7308" t="e" vm="3175">
        <f>_FV(0,"02676748041509521")</f>
        <v>#VALUE!</v>
      </c>
      <c r="I7308" t="s">
        <v>45772</v>
      </c>
      <c r="J7308" t="s">
        <v>45773</v>
      </c>
      <c r="K7308" t="s">
        <v>45774</v>
      </c>
      <c r="L7308" t="s">
        <v>45768</v>
      </c>
    </row>
    <row r="7309" spans="1:12" x14ac:dyDescent="0.25">
      <c r="A7309">
        <v>1264323</v>
      </c>
      <c r="B7309">
        <v>1453477</v>
      </c>
      <c r="D7309" t="s">
        <v>5510</v>
      </c>
      <c r="E7309" t="s">
        <v>45776</v>
      </c>
      <c r="F7309" t="s">
        <v>45777</v>
      </c>
      <c r="G7309" t="s">
        <v>45778</v>
      </c>
      <c r="H7309" t="e" vm="3176">
        <f>_FV(0,"0037200915554200836")</f>
        <v>#VALUE!</v>
      </c>
      <c r="I7309" t="s">
        <v>45779</v>
      </c>
      <c r="J7309" t="s">
        <v>45780</v>
      </c>
      <c r="K7309" t="s">
        <v>45781</v>
      </c>
      <c r="L7309" t="s">
        <v>45775</v>
      </c>
    </row>
    <row r="7310" spans="1:12" x14ac:dyDescent="0.25">
      <c r="A7310">
        <v>1265436</v>
      </c>
      <c r="B7310">
        <v>1300784</v>
      </c>
      <c r="D7310">
        <v>0</v>
      </c>
      <c r="E7310" t="s">
        <v>45783</v>
      </c>
      <c r="F7310" t="s">
        <v>45784</v>
      </c>
      <c r="G7310" t="s">
        <v>45785</v>
      </c>
      <c r="H7310" t="e" vm="3177">
        <f>_FV(0,"0013226799870461054")</f>
        <v>#VALUE!</v>
      </c>
      <c r="I7310" t="s">
        <v>45786</v>
      </c>
      <c r="J7310" t="s">
        <v>45787</v>
      </c>
      <c r="K7310" t="s">
        <v>45788</v>
      </c>
      <c r="L7310" t="s">
        <v>45782</v>
      </c>
    </row>
    <row r="7311" spans="1:12" x14ac:dyDescent="0.25">
      <c r="A7311">
        <v>1265436</v>
      </c>
      <c r="B7311">
        <v>1294187</v>
      </c>
      <c r="D7311">
        <v>0</v>
      </c>
      <c r="E7311" t="s">
        <v>45790</v>
      </c>
      <c r="F7311" t="s">
        <v>45791</v>
      </c>
      <c r="G7311" t="s">
        <v>45792</v>
      </c>
      <c r="H7311" t="e" vm="3178">
        <f>_FV(0,"0009311602892338608")</f>
        <v>#VALUE!</v>
      </c>
      <c r="I7311" t="s">
        <v>45793</v>
      </c>
      <c r="J7311" t="s">
        <v>45794</v>
      </c>
      <c r="K7311" t="s">
        <v>45795</v>
      </c>
      <c r="L7311" t="s">
        <v>45789</v>
      </c>
    </row>
    <row r="7312" spans="1:12" x14ac:dyDescent="0.25">
      <c r="A7312">
        <v>1265458</v>
      </c>
      <c r="B7312">
        <v>1265470</v>
      </c>
      <c r="D7312">
        <v>0</v>
      </c>
      <c r="E7312" t="s">
        <v>45796</v>
      </c>
      <c r="F7312" t="s">
        <v>45797</v>
      </c>
      <c r="G7312" t="s">
        <v>45798</v>
      </c>
      <c r="H7312" t="s">
        <v>45799</v>
      </c>
      <c r="I7312" t="s">
        <v>45800</v>
      </c>
      <c r="J7312" t="s">
        <v>1518</v>
      </c>
      <c r="K7312" t="s">
        <v>45801</v>
      </c>
      <c r="L7312" t="s">
        <v>1518</v>
      </c>
    </row>
    <row r="7313" spans="1:12" x14ac:dyDescent="0.25">
      <c r="A7313">
        <v>1265458</v>
      </c>
      <c r="B7313">
        <v>1300796</v>
      </c>
      <c r="D7313">
        <v>0</v>
      </c>
      <c r="E7313" t="s">
        <v>45802</v>
      </c>
      <c r="F7313" t="s">
        <v>45803</v>
      </c>
      <c r="G7313" t="s">
        <v>45804</v>
      </c>
      <c r="H7313" t="s">
        <v>45805</v>
      </c>
      <c r="I7313" t="s">
        <v>45806</v>
      </c>
      <c r="J7313" t="s">
        <v>18643</v>
      </c>
      <c r="K7313" t="s">
        <v>45807</v>
      </c>
      <c r="L7313" t="s">
        <v>18643</v>
      </c>
    </row>
    <row r="7314" spans="1:12" x14ac:dyDescent="0.25">
      <c r="A7314">
        <v>1265458</v>
      </c>
      <c r="B7314">
        <v>1300784</v>
      </c>
      <c r="D7314">
        <v>0</v>
      </c>
      <c r="F7314">
        <v>1427221</v>
      </c>
      <c r="G7314">
        <v>1265458</v>
      </c>
      <c r="H7314" t="s">
        <v>1814</v>
      </c>
      <c r="I7314">
        <v>1300784</v>
      </c>
      <c r="J7314" t="s">
        <v>1814</v>
      </c>
      <c r="K7314" t="s">
        <v>45808</v>
      </c>
      <c r="L7314" t="s">
        <v>1814</v>
      </c>
    </row>
    <row r="7315" spans="1:12" x14ac:dyDescent="0.25">
      <c r="A7315">
        <v>1265470</v>
      </c>
      <c r="B7315">
        <v>1432423</v>
      </c>
      <c r="D7315" t="s">
        <v>204</v>
      </c>
      <c r="E7315" t="s">
        <v>45810</v>
      </c>
      <c r="F7315" t="s">
        <v>45811</v>
      </c>
      <c r="G7315" t="s">
        <v>45812</v>
      </c>
      <c r="H7315" t="e" vm="3179">
        <f>_FV(0,"0010931849338796662")</f>
        <v>#VALUE!</v>
      </c>
      <c r="I7315" t="s">
        <v>45813</v>
      </c>
      <c r="J7315" t="s">
        <v>45814</v>
      </c>
      <c r="K7315" t="s">
        <v>45815</v>
      </c>
      <c r="L7315" t="s">
        <v>45809</v>
      </c>
    </row>
    <row r="7316" spans="1:12" x14ac:dyDescent="0.25">
      <c r="A7316">
        <v>1265470</v>
      </c>
      <c r="B7316">
        <v>1300796</v>
      </c>
      <c r="D7316">
        <v>0</v>
      </c>
      <c r="E7316" t="s">
        <v>45816</v>
      </c>
      <c r="F7316" t="s">
        <v>45817</v>
      </c>
      <c r="G7316" t="s">
        <v>45818</v>
      </c>
      <c r="H7316" t="s">
        <v>45819</v>
      </c>
      <c r="I7316" t="s">
        <v>45820</v>
      </c>
      <c r="J7316" t="s">
        <v>27139</v>
      </c>
      <c r="K7316" t="s">
        <v>45821</v>
      </c>
      <c r="L7316" t="s">
        <v>27139</v>
      </c>
    </row>
    <row r="7317" spans="1:12" x14ac:dyDescent="0.25">
      <c r="A7317">
        <v>1265957</v>
      </c>
      <c r="B7317">
        <v>1615942</v>
      </c>
      <c r="D7317">
        <v>0</v>
      </c>
      <c r="E7317" t="s">
        <v>45823</v>
      </c>
      <c r="F7317" t="s">
        <v>45824</v>
      </c>
      <c r="G7317" t="s">
        <v>45825</v>
      </c>
      <c r="H7317" t="s">
        <v>45826</v>
      </c>
      <c r="I7317" t="s">
        <v>45827</v>
      </c>
      <c r="J7317" t="s">
        <v>45828</v>
      </c>
      <c r="K7317" t="s">
        <v>45829</v>
      </c>
      <c r="L7317" t="s">
        <v>45822</v>
      </c>
    </row>
    <row r="7318" spans="1:12" x14ac:dyDescent="0.25">
      <c r="A7318">
        <v>1267535</v>
      </c>
      <c r="B7318">
        <v>1296772</v>
      </c>
      <c r="D7318" t="s">
        <v>45831</v>
      </c>
      <c r="E7318" t="s">
        <v>45832</v>
      </c>
      <c r="F7318" t="s">
        <v>45833</v>
      </c>
      <c r="G7318" t="s">
        <v>45834</v>
      </c>
      <c r="H7318" t="e" vm="3180">
        <f>_FV(0,"015421933598662892")</f>
        <v>#VALUE!</v>
      </c>
      <c r="I7318" t="s">
        <v>45835</v>
      </c>
      <c r="J7318" t="s">
        <v>45836</v>
      </c>
      <c r="K7318" t="s">
        <v>45837</v>
      </c>
      <c r="L7318" t="s">
        <v>45830</v>
      </c>
    </row>
    <row r="7319" spans="1:12" x14ac:dyDescent="0.25">
      <c r="A7319">
        <v>1267535</v>
      </c>
      <c r="B7319">
        <v>1267545</v>
      </c>
      <c r="D7319" t="s">
        <v>963</v>
      </c>
      <c r="E7319" t="s">
        <v>45839</v>
      </c>
      <c r="F7319" t="s">
        <v>45840</v>
      </c>
      <c r="G7319" t="s">
        <v>45841</v>
      </c>
      <c r="H7319" t="s">
        <v>45842</v>
      </c>
      <c r="I7319" t="s">
        <v>45843</v>
      </c>
      <c r="J7319" t="s">
        <v>45844</v>
      </c>
      <c r="K7319" t="s">
        <v>45845</v>
      </c>
      <c r="L7319" t="s">
        <v>45838</v>
      </c>
    </row>
    <row r="7320" spans="1:12" x14ac:dyDescent="0.25">
      <c r="A7320">
        <v>1267547</v>
      </c>
      <c r="B7320">
        <v>1296767</v>
      </c>
      <c r="D7320" t="s">
        <v>45847</v>
      </c>
      <c r="E7320" t="s">
        <v>45848</v>
      </c>
      <c r="F7320" t="s">
        <v>45849</v>
      </c>
      <c r="G7320" t="s">
        <v>45850</v>
      </c>
      <c r="H7320" t="e" vm="3181">
        <f>_FV(0,"0035561072975781125")</f>
        <v>#VALUE!</v>
      </c>
      <c r="I7320" t="s">
        <v>45851</v>
      </c>
      <c r="J7320" t="s">
        <v>45852</v>
      </c>
      <c r="K7320" t="s">
        <v>45853</v>
      </c>
      <c r="L7320" t="s">
        <v>45846</v>
      </c>
    </row>
    <row r="7321" spans="1:12" x14ac:dyDescent="0.25">
      <c r="A7321">
        <v>1269059</v>
      </c>
      <c r="B7321">
        <v>466236</v>
      </c>
      <c r="D7321">
        <v>0</v>
      </c>
      <c r="E7321" t="s">
        <v>45855</v>
      </c>
      <c r="F7321" t="s">
        <v>45856</v>
      </c>
      <c r="G7321" t="s">
        <v>45857</v>
      </c>
      <c r="H7321" t="e" vm="3182">
        <f>_FV(0,"23218061594791867")</f>
        <v>#VALUE!</v>
      </c>
      <c r="I7321" t="s">
        <v>45858</v>
      </c>
      <c r="J7321" t="s">
        <v>45859</v>
      </c>
      <c r="K7321" t="s">
        <v>45860</v>
      </c>
      <c r="L7321" t="s">
        <v>45854</v>
      </c>
    </row>
    <row r="7322" spans="1:12" x14ac:dyDescent="0.25">
      <c r="A7322">
        <v>1269059</v>
      </c>
      <c r="B7322">
        <v>1269067</v>
      </c>
      <c r="D7322">
        <v>0</v>
      </c>
      <c r="E7322" t="s">
        <v>45862</v>
      </c>
      <c r="F7322" t="s">
        <v>45863</v>
      </c>
      <c r="G7322" t="s">
        <v>45864</v>
      </c>
      <c r="H7322" t="s">
        <v>45865</v>
      </c>
      <c r="I7322" t="s">
        <v>45866</v>
      </c>
      <c r="J7322" t="s">
        <v>45861</v>
      </c>
      <c r="K7322" t="s">
        <v>45867</v>
      </c>
      <c r="L7322" t="s">
        <v>45861</v>
      </c>
    </row>
    <row r="7323" spans="1:12" x14ac:dyDescent="0.25">
      <c r="A7323">
        <v>466236</v>
      </c>
      <c r="B7323">
        <v>1269075</v>
      </c>
      <c r="D7323">
        <v>0</v>
      </c>
      <c r="E7323" t="s">
        <v>45869</v>
      </c>
      <c r="F7323" t="s">
        <v>45870</v>
      </c>
      <c r="G7323" t="s">
        <v>45871</v>
      </c>
      <c r="H7323" t="s">
        <v>45872</v>
      </c>
      <c r="I7323" t="s">
        <v>45873</v>
      </c>
      <c r="J7323" t="s">
        <v>45874</v>
      </c>
      <c r="K7323" t="s">
        <v>45875</v>
      </c>
      <c r="L7323" t="s">
        <v>45868</v>
      </c>
    </row>
    <row r="7324" spans="1:12" x14ac:dyDescent="0.25">
      <c r="A7324">
        <v>466236</v>
      </c>
      <c r="B7324">
        <v>1269067</v>
      </c>
      <c r="D7324">
        <v>0</v>
      </c>
      <c r="E7324" t="s">
        <v>45877</v>
      </c>
      <c r="F7324" t="s">
        <v>45878</v>
      </c>
      <c r="G7324" t="s">
        <v>45879</v>
      </c>
      <c r="H7324" t="e" vm="3183">
        <f>_FV(0,"2147992593718544")</f>
        <v>#VALUE!</v>
      </c>
      <c r="I7324" t="s">
        <v>45880</v>
      </c>
      <c r="J7324" t="s">
        <v>45881</v>
      </c>
      <c r="K7324" t="s">
        <v>45882</v>
      </c>
      <c r="L7324" t="s">
        <v>45876</v>
      </c>
    </row>
    <row r="7325" spans="1:12" x14ac:dyDescent="0.25">
      <c r="A7325">
        <v>1269075</v>
      </c>
      <c r="B7325">
        <v>1269083</v>
      </c>
      <c r="D7325">
        <v>0</v>
      </c>
      <c r="E7325" t="s">
        <v>45884</v>
      </c>
      <c r="F7325" t="s">
        <v>45885</v>
      </c>
      <c r="G7325" t="s">
        <v>45886</v>
      </c>
      <c r="H7325" t="e" vm="3184">
        <f>_FV(0,"2412112502218242")</f>
        <v>#VALUE!</v>
      </c>
      <c r="I7325" t="s">
        <v>45887</v>
      </c>
      <c r="J7325" t="s">
        <v>45888</v>
      </c>
      <c r="K7325" t="s">
        <v>45889</v>
      </c>
      <c r="L7325" t="s">
        <v>45883</v>
      </c>
    </row>
    <row r="7326" spans="1:12" x14ac:dyDescent="0.25">
      <c r="A7326">
        <v>1269075</v>
      </c>
      <c r="B7326">
        <v>1269091</v>
      </c>
      <c r="D7326">
        <v>0</v>
      </c>
      <c r="E7326" t="s">
        <v>45891</v>
      </c>
      <c r="F7326" t="s">
        <v>45892</v>
      </c>
      <c r="G7326" t="s">
        <v>45893</v>
      </c>
      <c r="H7326" t="e" vm="3185">
        <f>_FV(0,"20820065470874574")</f>
        <v>#VALUE!</v>
      </c>
      <c r="I7326" t="s">
        <v>45894</v>
      </c>
      <c r="J7326" t="s">
        <v>45895</v>
      </c>
      <c r="K7326" t="s">
        <v>45896</v>
      </c>
      <c r="L7326" t="s">
        <v>45890</v>
      </c>
    </row>
    <row r="7327" spans="1:12" x14ac:dyDescent="0.25">
      <c r="A7327">
        <v>1269083</v>
      </c>
      <c r="B7327">
        <v>1269091</v>
      </c>
      <c r="D7327">
        <v>0</v>
      </c>
      <c r="E7327" t="s">
        <v>45898</v>
      </c>
      <c r="F7327" t="s">
        <v>45899</v>
      </c>
      <c r="G7327" t="s">
        <v>45900</v>
      </c>
      <c r="H7327" t="e" vm="3186">
        <f>_FV(0,"09761162205472575")</f>
        <v>#VALUE!</v>
      </c>
      <c r="I7327" t="s">
        <v>45901</v>
      </c>
      <c r="J7327" t="s">
        <v>45902</v>
      </c>
      <c r="K7327" t="s">
        <v>45903</v>
      </c>
      <c r="L7327" t="s">
        <v>45897</v>
      </c>
    </row>
    <row r="7328" spans="1:12" x14ac:dyDescent="0.25">
      <c r="A7328">
        <v>1270102</v>
      </c>
      <c r="B7328">
        <v>1270177</v>
      </c>
      <c r="D7328">
        <v>0</v>
      </c>
      <c r="E7328" t="s">
        <v>45905</v>
      </c>
      <c r="F7328" t="s">
        <v>45906</v>
      </c>
      <c r="G7328" t="s">
        <v>45907</v>
      </c>
      <c r="H7328" t="s">
        <v>45908</v>
      </c>
      <c r="I7328" t="s">
        <v>45909</v>
      </c>
      <c r="J7328" t="s">
        <v>45904</v>
      </c>
      <c r="K7328" t="s">
        <v>45910</v>
      </c>
      <c r="L7328" t="s">
        <v>45904</v>
      </c>
    </row>
    <row r="7329" spans="1:12" x14ac:dyDescent="0.25">
      <c r="A7329">
        <v>1270177</v>
      </c>
      <c r="B7329">
        <v>1270219</v>
      </c>
      <c r="D7329">
        <v>0</v>
      </c>
      <c r="F7329">
        <v>1380561</v>
      </c>
      <c r="G7329">
        <v>1270177</v>
      </c>
      <c r="H7329" t="e" vm="122">
        <f>_FV(0,"017")</f>
        <v>#VALUE!</v>
      </c>
      <c r="I7329">
        <v>1270219</v>
      </c>
      <c r="J7329" t="s">
        <v>1814</v>
      </c>
      <c r="K7329" t="s">
        <v>45911</v>
      </c>
      <c r="L7329" t="e" vm="122">
        <f>_FV(0,"017")</f>
        <v>#VALUE!</v>
      </c>
    </row>
    <row r="7330" spans="1:12" x14ac:dyDescent="0.25">
      <c r="A7330">
        <v>1270193</v>
      </c>
      <c r="B7330">
        <v>1270219</v>
      </c>
      <c r="D7330">
        <v>0</v>
      </c>
      <c r="E7330" t="s">
        <v>45913</v>
      </c>
      <c r="F7330" t="s">
        <v>45914</v>
      </c>
      <c r="G7330" t="s">
        <v>45915</v>
      </c>
      <c r="H7330" t="s">
        <v>45916</v>
      </c>
      <c r="I7330" t="s">
        <v>45917</v>
      </c>
      <c r="J7330" t="s">
        <v>45912</v>
      </c>
      <c r="K7330" t="s">
        <v>45918</v>
      </c>
      <c r="L7330" t="s">
        <v>45912</v>
      </c>
    </row>
    <row r="7331" spans="1:12" x14ac:dyDescent="0.25">
      <c r="A7331">
        <v>1270287</v>
      </c>
      <c r="B7331">
        <v>1270299</v>
      </c>
      <c r="D7331">
        <v>0</v>
      </c>
      <c r="F7331">
        <v>1380625</v>
      </c>
      <c r="G7331">
        <v>1270299</v>
      </c>
      <c r="H7331" t="e" vm="572">
        <f>_FV(0,"021")</f>
        <v>#VALUE!</v>
      </c>
      <c r="I7331">
        <v>1270287</v>
      </c>
      <c r="J7331" t="s">
        <v>1536</v>
      </c>
      <c r="K7331" t="s">
        <v>45919</v>
      </c>
      <c r="L7331" t="e" vm="572">
        <f>_FV(0,"021")</f>
        <v>#VALUE!</v>
      </c>
    </row>
    <row r="7332" spans="1:12" x14ac:dyDescent="0.25">
      <c r="A7332">
        <v>1270287</v>
      </c>
      <c r="B7332">
        <v>1365962</v>
      </c>
      <c r="D7332">
        <v>0</v>
      </c>
      <c r="E7332" t="s">
        <v>45921</v>
      </c>
      <c r="F7332" t="s">
        <v>45922</v>
      </c>
      <c r="G7332" t="s">
        <v>45923</v>
      </c>
      <c r="H7332" t="s">
        <v>45924</v>
      </c>
      <c r="I7332" t="s">
        <v>45925</v>
      </c>
      <c r="J7332" t="s">
        <v>45926</v>
      </c>
      <c r="K7332" t="s">
        <v>45927</v>
      </c>
      <c r="L7332" t="s">
        <v>45920</v>
      </c>
    </row>
    <row r="7333" spans="1:12" x14ac:dyDescent="0.25">
      <c r="A7333">
        <v>1270287</v>
      </c>
      <c r="B7333">
        <v>1270304</v>
      </c>
      <c r="D7333">
        <v>0</v>
      </c>
      <c r="F7333">
        <v>1380633</v>
      </c>
      <c r="G7333">
        <v>1270287</v>
      </c>
      <c r="H7333" t="e" vm="1212">
        <f>_FV(0,"054")</f>
        <v>#VALUE!</v>
      </c>
      <c r="I7333">
        <v>1270304</v>
      </c>
      <c r="J7333" t="s">
        <v>8186</v>
      </c>
      <c r="K7333" t="s">
        <v>45928</v>
      </c>
      <c r="L7333" t="e" vm="1212">
        <f>_FV(0,"054")</f>
        <v>#VALUE!</v>
      </c>
    </row>
    <row r="7334" spans="1:12" x14ac:dyDescent="0.25">
      <c r="A7334">
        <v>1270299</v>
      </c>
      <c r="B7334">
        <v>1401426</v>
      </c>
      <c r="D7334">
        <v>0</v>
      </c>
      <c r="E7334" t="s">
        <v>45930</v>
      </c>
      <c r="F7334" t="s">
        <v>45931</v>
      </c>
      <c r="G7334" t="s">
        <v>45932</v>
      </c>
      <c r="H7334" t="s">
        <v>45933</v>
      </c>
      <c r="I7334" t="s">
        <v>45934</v>
      </c>
      <c r="J7334" t="s">
        <v>45935</v>
      </c>
      <c r="K7334" t="s">
        <v>45936</v>
      </c>
      <c r="L7334" t="s">
        <v>45929</v>
      </c>
    </row>
    <row r="7335" spans="1:12" x14ac:dyDescent="0.25">
      <c r="A7335">
        <v>1270299</v>
      </c>
      <c r="B7335">
        <v>1270304</v>
      </c>
      <c r="D7335">
        <v>0</v>
      </c>
      <c r="F7335">
        <v>1552519</v>
      </c>
      <c r="G7335">
        <v>1270299</v>
      </c>
      <c r="H7335" t="e" vm="939">
        <f>_FV(0,"043")</f>
        <v>#VALUE!</v>
      </c>
      <c r="I7335">
        <v>1270304</v>
      </c>
      <c r="J7335" t="s">
        <v>12171</v>
      </c>
      <c r="K7335" t="s">
        <v>45937</v>
      </c>
      <c r="L7335" t="e" vm="939">
        <f>_FV(0,"043")</f>
        <v>#VALUE!</v>
      </c>
    </row>
    <row r="7336" spans="1:12" x14ac:dyDescent="0.25">
      <c r="A7336">
        <v>1271278</v>
      </c>
      <c r="B7336">
        <v>1356527</v>
      </c>
      <c r="D7336">
        <v>0</v>
      </c>
      <c r="E7336" t="s">
        <v>45939</v>
      </c>
      <c r="F7336" t="s">
        <v>45940</v>
      </c>
      <c r="G7336" t="s">
        <v>45941</v>
      </c>
      <c r="H7336" t="e" vm="3187">
        <f>_FV(0,"0666523354909663")</f>
        <v>#VALUE!</v>
      </c>
      <c r="I7336" t="s">
        <v>45942</v>
      </c>
      <c r="J7336" t="s">
        <v>45943</v>
      </c>
      <c r="K7336" t="s">
        <v>45944</v>
      </c>
      <c r="L7336" t="s">
        <v>45938</v>
      </c>
    </row>
    <row r="7337" spans="1:12" x14ac:dyDescent="0.25">
      <c r="A7337">
        <v>1271278</v>
      </c>
      <c r="B7337">
        <v>1359872</v>
      </c>
      <c r="D7337">
        <v>0</v>
      </c>
      <c r="E7337" t="s">
        <v>45946</v>
      </c>
      <c r="F7337" t="s">
        <v>45947</v>
      </c>
      <c r="G7337" t="s">
        <v>45948</v>
      </c>
      <c r="H7337" t="e" vm="3188">
        <f>_FV(0,"005002684650293079")</f>
        <v>#VALUE!</v>
      </c>
      <c r="I7337" t="s">
        <v>45949</v>
      </c>
      <c r="J7337" t="s">
        <v>45950</v>
      </c>
      <c r="K7337" t="s">
        <v>45951</v>
      </c>
      <c r="L7337" t="s">
        <v>45945</v>
      </c>
    </row>
    <row r="7338" spans="1:12" x14ac:dyDescent="0.25">
      <c r="A7338">
        <v>1271278</v>
      </c>
      <c r="B7338">
        <v>1360052</v>
      </c>
      <c r="D7338" t="s">
        <v>45953</v>
      </c>
      <c r="E7338" t="s">
        <v>45954</v>
      </c>
      <c r="F7338" t="s">
        <v>45955</v>
      </c>
      <c r="G7338" t="s">
        <v>45956</v>
      </c>
      <c r="H7338" t="s">
        <v>45957</v>
      </c>
      <c r="I7338" t="s">
        <v>45958</v>
      </c>
      <c r="J7338" t="s">
        <v>45959</v>
      </c>
      <c r="K7338" t="s">
        <v>45960</v>
      </c>
      <c r="L7338" t="s">
        <v>45952</v>
      </c>
    </row>
    <row r="7339" spans="1:12" x14ac:dyDescent="0.25">
      <c r="A7339">
        <v>419975</v>
      </c>
      <c r="B7339">
        <v>1273494</v>
      </c>
      <c r="D7339">
        <v>0</v>
      </c>
      <c r="E7339" t="s">
        <v>45962</v>
      </c>
      <c r="F7339" t="s">
        <v>45963</v>
      </c>
      <c r="G7339" t="s">
        <v>45964</v>
      </c>
      <c r="H7339" t="s">
        <v>45965</v>
      </c>
      <c r="I7339" t="s">
        <v>45966</v>
      </c>
      <c r="J7339" t="s">
        <v>45961</v>
      </c>
      <c r="K7339" t="s">
        <v>45967</v>
      </c>
      <c r="L7339" t="s">
        <v>45961</v>
      </c>
    </row>
    <row r="7340" spans="1:12" x14ac:dyDescent="0.25">
      <c r="A7340">
        <v>1273513</v>
      </c>
      <c r="B7340">
        <v>419988</v>
      </c>
      <c r="D7340">
        <v>0</v>
      </c>
      <c r="E7340" t="s">
        <v>45969</v>
      </c>
      <c r="F7340" t="s">
        <v>45970</v>
      </c>
      <c r="G7340" t="s">
        <v>45971</v>
      </c>
      <c r="H7340" t="s">
        <v>45972</v>
      </c>
      <c r="I7340" t="s">
        <v>45973</v>
      </c>
      <c r="J7340" t="s">
        <v>45974</v>
      </c>
      <c r="K7340" t="s">
        <v>45975</v>
      </c>
      <c r="L7340" t="s">
        <v>45968</v>
      </c>
    </row>
    <row r="7341" spans="1:12" x14ac:dyDescent="0.25">
      <c r="A7341">
        <v>1273578</v>
      </c>
      <c r="B7341">
        <v>419951</v>
      </c>
      <c r="D7341">
        <v>0</v>
      </c>
      <c r="E7341" t="s">
        <v>45977</v>
      </c>
      <c r="F7341" t="s">
        <v>45978</v>
      </c>
      <c r="G7341" t="s">
        <v>45979</v>
      </c>
      <c r="H7341" t="e" vm="3189">
        <f>_FV(0,"004333535790321957")</f>
        <v>#VALUE!</v>
      </c>
      <c r="I7341" t="s">
        <v>45980</v>
      </c>
      <c r="J7341" t="s">
        <v>20743</v>
      </c>
      <c r="K7341" t="s">
        <v>45981</v>
      </c>
      <c r="L7341" t="s">
        <v>45976</v>
      </c>
    </row>
    <row r="7342" spans="1:12" x14ac:dyDescent="0.25">
      <c r="A7342">
        <v>1273958</v>
      </c>
      <c r="B7342">
        <v>1273971</v>
      </c>
      <c r="D7342">
        <v>0</v>
      </c>
      <c r="E7342" t="s">
        <v>45983</v>
      </c>
      <c r="F7342" t="s">
        <v>45984</v>
      </c>
      <c r="G7342" t="s">
        <v>45985</v>
      </c>
      <c r="H7342" t="s">
        <v>45986</v>
      </c>
      <c r="I7342" t="s">
        <v>45987</v>
      </c>
      <c r="J7342" t="s">
        <v>45988</v>
      </c>
      <c r="K7342" t="s">
        <v>45989</v>
      </c>
      <c r="L7342" t="s">
        <v>45982</v>
      </c>
    </row>
    <row r="7343" spans="1:12" x14ac:dyDescent="0.25">
      <c r="A7343">
        <v>1273958</v>
      </c>
      <c r="B7343">
        <v>1273994</v>
      </c>
      <c r="D7343">
        <v>0</v>
      </c>
      <c r="E7343" t="s">
        <v>45991</v>
      </c>
      <c r="F7343" t="s">
        <v>45992</v>
      </c>
      <c r="G7343" t="s">
        <v>45993</v>
      </c>
      <c r="H7343" t="s">
        <v>45994</v>
      </c>
      <c r="I7343" t="s">
        <v>45995</v>
      </c>
      <c r="J7343" t="s">
        <v>45990</v>
      </c>
      <c r="K7343" t="s">
        <v>45996</v>
      </c>
      <c r="L7343" t="s">
        <v>45990</v>
      </c>
    </row>
    <row r="7344" spans="1:12" x14ac:dyDescent="0.25">
      <c r="A7344">
        <v>1273958</v>
      </c>
      <c r="B7344">
        <v>1274011</v>
      </c>
      <c r="D7344">
        <v>0</v>
      </c>
      <c r="E7344" t="s">
        <v>45998</v>
      </c>
      <c r="F7344" t="s">
        <v>45999</v>
      </c>
      <c r="G7344" t="s">
        <v>46000</v>
      </c>
      <c r="H7344" t="s">
        <v>46001</v>
      </c>
      <c r="I7344" t="s">
        <v>46002</v>
      </c>
      <c r="J7344" t="s">
        <v>45997</v>
      </c>
      <c r="K7344" t="s">
        <v>46003</v>
      </c>
      <c r="L7344" t="s">
        <v>45997</v>
      </c>
    </row>
    <row r="7345" spans="1:12" x14ac:dyDescent="0.25">
      <c r="A7345">
        <v>1273971</v>
      </c>
      <c r="B7345">
        <v>1273979</v>
      </c>
      <c r="D7345">
        <v>0</v>
      </c>
      <c r="E7345" t="s">
        <v>46005</v>
      </c>
      <c r="F7345" t="s">
        <v>46006</v>
      </c>
      <c r="G7345" t="s">
        <v>46007</v>
      </c>
      <c r="H7345" t="e" vm="3190">
        <f>_FV(0,"04723561220719468")</f>
        <v>#VALUE!</v>
      </c>
      <c r="I7345" t="s">
        <v>46008</v>
      </c>
      <c r="J7345" t="s">
        <v>46009</v>
      </c>
      <c r="K7345" t="s">
        <v>46010</v>
      </c>
      <c r="L7345" t="s">
        <v>46004</v>
      </c>
    </row>
    <row r="7346" spans="1:12" x14ac:dyDescent="0.25">
      <c r="A7346">
        <v>1273971</v>
      </c>
      <c r="B7346">
        <v>1274054</v>
      </c>
      <c r="D7346">
        <v>0</v>
      </c>
      <c r="E7346" t="s">
        <v>46012</v>
      </c>
      <c r="F7346" t="s">
        <v>46013</v>
      </c>
      <c r="G7346" t="s">
        <v>46014</v>
      </c>
      <c r="H7346" t="s">
        <v>46015</v>
      </c>
      <c r="I7346" t="s">
        <v>46016</v>
      </c>
      <c r="J7346" t="s">
        <v>46011</v>
      </c>
      <c r="K7346" t="s">
        <v>46017</v>
      </c>
      <c r="L7346" t="s">
        <v>46011</v>
      </c>
    </row>
    <row r="7347" spans="1:12" x14ac:dyDescent="0.25">
      <c r="A7347">
        <v>1273979</v>
      </c>
      <c r="B7347">
        <v>1273994</v>
      </c>
      <c r="D7347">
        <v>0</v>
      </c>
      <c r="E7347" t="s">
        <v>46019</v>
      </c>
      <c r="F7347" t="s">
        <v>46020</v>
      </c>
      <c r="G7347" t="s">
        <v>46021</v>
      </c>
      <c r="H7347" t="e" vm="3191">
        <f>_FV(0,"017083978312867714")</f>
        <v>#VALUE!</v>
      </c>
      <c r="I7347" t="s">
        <v>46022</v>
      </c>
      <c r="J7347" t="s">
        <v>46023</v>
      </c>
      <c r="K7347" t="s">
        <v>46024</v>
      </c>
      <c r="L7347" t="s">
        <v>46018</v>
      </c>
    </row>
    <row r="7348" spans="1:12" x14ac:dyDescent="0.25">
      <c r="A7348">
        <v>1273979</v>
      </c>
      <c r="B7348">
        <v>1274054</v>
      </c>
      <c r="D7348">
        <v>0</v>
      </c>
      <c r="E7348" t="s">
        <v>46026</v>
      </c>
      <c r="F7348" t="s">
        <v>46027</v>
      </c>
      <c r="G7348" t="s">
        <v>46028</v>
      </c>
      <c r="H7348" t="s">
        <v>46029</v>
      </c>
      <c r="I7348" t="s">
        <v>46030</v>
      </c>
      <c r="J7348" t="s">
        <v>46025</v>
      </c>
      <c r="K7348" t="s">
        <v>46031</v>
      </c>
      <c r="L7348" t="s">
        <v>46025</v>
      </c>
    </row>
    <row r="7349" spans="1:12" x14ac:dyDescent="0.25">
      <c r="A7349">
        <v>1273994</v>
      </c>
      <c r="B7349">
        <v>1274011</v>
      </c>
      <c r="D7349">
        <v>0</v>
      </c>
      <c r="E7349" t="s">
        <v>46033</v>
      </c>
      <c r="F7349" t="s">
        <v>46034</v>
      </c>
      <c r="G7349" t="s">
        <v>46035</v>
      </c>
      <c r="H7349" t="e" vm="3192">
        <f>_FV(0,"01568716860354076")</f>
        <v>#VALUE!</v>
      </c>
      <c r="I7349" t="s">
        <v>46036</v>
      </c>
      <c r="J7349" t="s">
        <v>46037</v>
      </c>
      <c r="K7349" t="s">
        <v>46038</v>
      </c>
      <c r="L7349" t="s">
        <v>46032</v>
      </c>
    </row>
    <row r="7350" spans="1:12" x14ac:dyDescent="0.25">
      <c r="A7350">
        <v>1274054</v>
      </c>
      <c r="B7350">
        <v>1854868</v>
      </c>
      <c r="D7350">
        <v>0</v>
      </c>
      <c r="E7350" t="s">
        <v>46039</v>
      </c>
      <c r="H7350" t="s">
        <v>187</v>
      </c>
      <c r="J7350">
        <v>0</v>
      </c>
      <c r="K7350" t="s">
        <v>13544</v>
      </c>
      <c r="L7350">
        <v>0</v>
      </c>
    </row>
    <row r="7351" spans="1:12" x14ac:dyDescent="0.25">
      <c r="A7351">
        <v>1275205</v>
      </c>
      <c r="B7351">
        <v>1275213</v>
      </c>
      <c r="D7351">
        <v>0</v>
      </c>
      <c r="E7351" t="s">
        <v>46040</v>
      </c>
      <c r="F7351" t="s">
        <v>46041</v>
      </c>
      <c r="G7351" t="s">
        <v>46042</v>
      </c>
      <c r="H7351" t="e" vm="1006">
        <f>_FV(0,"006")</f>
        <v>#VALUE!</v>
      </c>
      <c r="I7351" t="s">
        <v>46043</v>
      </c>
      <c r="J7351" t="s">
        <v>250</v>
      </c>
      <c r="K7351" t="s">
        <v>46044</v>
      </c>
      <c r="L7351" t="e" vm="1006">
        <f>_FV(0,"006")</f>
        <v>#VALUE!</v>
      </c>
    </row>
    <row r="7352" spans="1:12" x14ac:dyDescent="0.25">
      <c r="A7352">
        <v>1275205</v>
      </c>
      <c r="B7352">
        <v>1275287</v>
      </c>
      <c r="D7352">
        <v>0</v>
      </c>
      <c r="E7352" t="s">
        <v>46045</v>
      </c>
      <c r="F7352" t="s">
        <v>46046</v>
      </c>
      <c r="G7352" t="s">
        <v>46047</v>
      </c>
      <c r="H7352" t="s">
        <v>46048</v>
      </c>
      <c r="I7352" t="s">
        <v>46049</v>
      </c>
      <c r="J7352" t="s">
        <v>661</v>
      </c>
      <c r="K7352" t="s">
        <v>46050</v>
      </c>
      <c r="L7352" t="s">
        <v>661</v>
      </c>
    </row>
    <row r="7353" spans="1:12" x14ac:dyDescent="0.25">
      <c r="A7353">
        <v>1275205</v>
      </c>
      <c r="B7353">
        <v>1275280</v>
      </c>
      <c r="D7353">
        <v>0</v>
      </c>
      <c r="E7353" t="s">
        <v>46052</v>
      </c>
      <c r="F7353" t="s">
        <v>46053</v>
      </c>
      <c r="G7353" t="s">
        <v>46054</v>
      </c>
      <c r="H7353" t="e" vm="3193">
        <f>_FV(0,"005342744601205781")</f>
        <v>#VALUE!</v>
      </c>
      <c r="I7353" t="s">
        <v>46055</v>
      </c>
      <c r="J7353" t="s">
        <v>46056</v>
      </c>
      <c r="K7353" t="s">
        <v>46057</v>
      </c>
      <c r="L7353" t="s">
        <v>46051</v>
      </c>
    </row>
    <row r="7354" spans="1:12" x14ac:dyDescent="0.25">
      <c r="A7354">
        <v>1275213</v>
      </c>
      <c r="B7354">
        <v>1361247</v>
      </c>
      <c r="C7354" t="s">
        <v>46059</v>
      </c>
      <c r="D7354">
        <v>0</v>
      </c>
      <c r="E7354" t="s">
        <v>46060</v>
      </c>
      <c r="F7354" t="s">
        <v>46061</v>
      </c>
      <c r="G7354" t="s">
        <v>46062</v>
      </c>
      <c r="H7354" t="s">
        <v>46063</v>
      </c>
      <c r="I7354" t="s">
        <v>46064</v>
      </c>
      <c r="J7354" t="s">
        <v>46065</v>
      </c>
      <c r="K7354" t="s">
        <v>46066</v>
      </c>
      <c r="L7354" t="s">
        <v>46058</v>
      </c>
    </row>
    <row r="7355" spans="1:12" x14ac:dyDescent="0.25">
      <c r="A7355">
        <v>1275213</v>
      </c>
      <c r="B7355">
        <v>1275287</v>
      </c>
      <c r="D7355">
        <v>0</v>
      </c>
      <c r="E7355" t="s">
        <v>46067</v>
      </c>
      <c r="F7355" t="s">
        <v>46068</v>
      </c>
      <c r="G7355" t="s">
        <v>46069</v>
      </c>
      <c r="H7355" t="e" vm="16">
        <f>_FV(0,"007")</f>
        <v>#VALUE!</v>
      </c>
      <c r="I7355" t="s">
        <v>46070</v>
      </c>
      <c r="J7355" t="s">
        <v>226</v>
      </c>
      <c r="K7355" t="s">
        <v>46071</v>
      </c>
      <c r="L7355" t="e" vm="16">
        <f>_FV(0,"007")</f>
        <v>#VALUE!</v>
      </c>
    </row>
    <row r="7356" spans="1:12" x14ac:dyDescent="0.25">
      <c r="A7356">
        <v>1275221</v>
      </c>
      <c r="B7356">
        <v>1275228</v>
      </c>
      <c r="D7356">
        <v>0</v>
      </c>
      <c r="E7356" t="s">
        <v>46072</v>
      </c>
      <c r="F7356" t="s">
        <v>46073</v>
      </c>
      <c r="G7356" t="s">
        <v>46074</v>
      </c>
      <c r="H7356" t="e" vm="1006">
        <f>_FV(0,"006")</f>
        <v>#VALUE!</v>
      </c>
      <c r="I7356" t="s">
        <v>46075</v>
      </c>
      <c r="J7356" t="s">
        <v>250</v>
      </c>
      <c r="K7356" t="s">
        <v>46076</v>
      </c>
      <c r="L7356" t="e" vm="1006">
        <f>_FV(0,"006")</f>
        <v>#VALUE!</v>
      </c>
    </row>
    <row r="7357" spans="1:12" x14ac:dyDescent="0.25">
      <c r="A7357">
        <v>1275221</v>
      </c>
      <c r="B7357">
        <v>1275280</v>
      </c>
      <c r="D7357">
        <v>0</v>
      </c>
      <c r="E7357" t="s">
        <v>46077</v>
      </c>
      <c r="F7357" t="s">
        <v>46078</v>
      </c>
      <c r="G7357" t="s">
        <v>46079</v>
      </c>
      <c r="H7357" t="e" vm="3194">
        <f>_FV(0,"007182565883781116")</f>
        <v>#VALUE!</v>
      </c>
      <c r="I7357" t="s">
        <v>46080</v>
      </c>
      <c r="J7357" t="s">
        <v>5579</v>
      </c>
      <c r="K7357" t="s">
        <v>46081</v>
      </c>
      <c r="L7357" t="s">
        <v>5574</v>
      </c>
    </row>
    <row r="7358" spans="1:12" x14ac:dyDescent="0.25">
      <c r="A7358">
        <v>1275221</v>
      </c>
      <c r="B7358">
        <v>1361240</v>
      </c>
      <c r="D7358">
        <v>0</v>
      </c>
      <c r="E7358" t="s">
        <v>46083</v>
      </c>
      <c r="F7358" t="s">
        <v>46084</v>
      </c>
      <c r="G7358" t="s">
        <v>46085</v>
      </c>
      <c r="H7358" t="e" vm="3195">
        <f>_FV(-7,"32653843229487e")-5</f>
        <v>#VALUE!</v>
      </c>
      <c r="I7358" t="s">
        <v>46086</v>
      </c>
      <c r="J7358" t="s">
        <v>46087</v>
      </c>
      <c r="K7358" t="s">
        <v>46088</v>
      </c>
      <c r="L7358" t="s">
        <v>46082</v>
      </c>
    </row>
    <row r="7359" spans="1:12" x14ac:dyDescent="0.25">
      <c r="A7359">
        <v>1275228</v>
      </c>
      <c r="B7359">
        <v>1275280</v>
      </c>
      <c r="D7359">
        <v>0</v>
      </c>
      <c r="E7359" t="s">
        <v>46090</v>
      </c>
      <c r="F7359" t="s">
        <v>46091</v>
      </c>
      <c r="G7359" t="s">
        <v>46092</v>
      </c>
      <c r="H7359" t="e" vm="3196">
        <f>_FV(0,"0041559393442822294")</f>
        <v>#VALUE!</v>
      </c>
      <c r="I7359" t="s">
        <v>46093</v>
      </c>
      <c r="J7359" t="s">
        <v>46094</v>
      </c>
      <c r="K7359" t="s">
        <v>46095</v>
      </c>
      <c r="L7359" t="s">
        <v>46089</v>
      </c>
    </row>
    <row r="7360" spans="1:12" x14ac:dyDescent="0.25">
      <c r="A7360">
        <v>1275228</v>
      </c>
      <c r="B7360">
        <v>1275287</v>
      </c>
      <c r="D7360">
        <v>0</v>
      </c>
      <c r="E7360" t="s">
        <v>46097</v>
      </c>
      <c r="F7360" t="s">
        <v>46098</v>
      </c>
      <c r="G7360" t="s">
        <v>46099</v>
      </c>
      <c r="H7360" t="s">
        <v>46100</v>
      </c>
      <c r="I7360" t="s">
        <v>46101</v>
      </c>
      <c r="J7360" t="s">
        <v>46096</v>
      </c>
      <c r="K7360" t="s">
        <v>46102</v>
      </c>
      <c r="L7360" t="s">
        <v>46096</v>
      </c>
    </row>
    <row r="7361" spans="1:12" x14ac:dyDescent="0.25">
      <c r="A7361">
        <v>1275989</v>
      </c>
      <c r="B7361">
        <v>1275999</v>
      </c>
      <c r="D7361">
        <v>0</v>
      </c>
      <c r="E7361" t="s">
        <v>46104</v>
      </c>
      <c r="F7361" t="s">
        <v>46105</v>
      </c>
      <c r="G7361" t="s">
        <v>46106</v>
      </c>
      <c r="H7361" t="e" vm="3197">
        <f>_FV(0,"10793544100891951")</f>
        <v>#VALUE!</v>
      </c>
      <c r="I7361" t="s">
        <v>46107</v>
      </c>
      <c r="J7361" t="s">
        <v>46108</v>
      </c>
      <c r="K7361" t="s">
        <v>46109</v>
      </c>
      <c r="L7361" t="s">
        <v>46103</v>
      </c>
    </row>
    <row r="7362" spans="1:12" x14ac:dyDescent="0.25">
      <c r="A7362">
        <v>1275989</v>
      </c>
      <c r="B7362">
        <v>1276012</v>
      </c>
      <c r="D7362">
        <v>0</v>
      </c>
      <c r="E7362" t="s">
        <v>46111</v>
      </c>
      <c r="F7362" t="s">
        <v>46112</v>
      </c>
      <c r="G7362" t="s">
        <v>46113</v>
      </c>
      <c r="H7362" t="e" vm="3198">
        <f>_FV(0,"12151855088987785")</f>
        <v>#VALUE!</v>
      </c>
      <c r="I7362" t="s">
        <v>46114</v>
      </c>
      <c r="J7362" t="s">
        <v>46115</v>
      </c>
      <c r="K7362" t="s">
        <v>46116</v>
      </c>
      <c r="L7362" t="s">
        <v>46110</v>
      </c>
    </row>
    <row r="7363" spans="1:12" x14ac:dyDescent="0.25">
      <c r="A7363">
        <v>1275999</v>
      </c>
      <c r="B7363">
        <v>1276087</v>
      </c>
      <c r="D7363">
        <v>0</v>
      </c>
      <c r="E7363" t="s">
        <v>46118</v>
      </c>
      <c r="F7363" t="s">
        <v>46119</v>
      </c>
      <c r="G7363" t="s">
        <v>46120</v>
      </c>
      <c r="H7363" t="e" vm="3199">
        <f>_FV(0,"11988175150594481")</f>
        <v>#VALUE!</v>
      </c>
      <c r="I7363" t="s">
        <v>46121</v>
      </c>
      <c r="J7363" t="s">
        <v>46122</v>
      </c>
      <c r="K7363" t="s">
        <v>46123</v>
      </c>
      <c r="L7363" t="s">
        <v>46117</v>
      </c>
    </row>
    <row r="7364" spans="1:12" x14ac:dyDescent="0.25">
      <c r="A7364">
        <v>1275999</v>
      </c>
      <c r="B7364">
        <v>1276012</v>
      </c>
      <c r="D7364">
        <v>0</v>
      </c>
      <c r="E7364" t="s">
        <v>46125</v>
      </c>
      <c r="F7364" t="s">
        <v>46126</v>
      </c>
      <c r="G7364" t="s">
        <v>46127</v>
      </c>
      <c r="H7364" t="s">
        <v>46128</v>
      </c>
      <c r="I7364" t="s">
        <v>46129</v>
      </c>
      <c r="J7364" t="s">
        <v>46124</v>
      </c>
      <c r="K7364" t="s">
        <v>46130</v>
      </c>
      <c r="L7364" t="s">
        <v>46124</v>
      </c>
    </row>
    <row r="7365" spans="1:12" x14ac:dyDescent="0.25">
      <c r="A7365">
        <v>1276012</v>
      </c>
      <c r="B7365">
        <v>1276103</v>
      </c>
      <c r="D7365">
        <v>0</v>
      </c>
      <c r="F7365">
        <v>1391408</v>
      </c>
      <c r="G7365">
        <v>1276012</v>
      </c>
      <c r="H7365" t="s">
        <v>3004</v>
      </c>
      <c r="I7365">
        <v>1276103</v>
      </c>
      <c r="J7365" t="s">
        <v>3004</v>
      </c>
      <c r="K7365" t="s">
        <v>46131</v>
      </c>
      <c r="L7365" t="s">
        <v>3004</v>
      </c>
    </row>
    <row r="7366" spans="1:12" x14ac:dyDescent="0.25">
      <c r="A7366">
        <v>1276087</v>
      </c>
      <c r="B7366">
        <v>1276103</v>
      </c>
      <c r="D7366">
        <v>0</v>
      </c>
      <c r="E7366" t="s">
        <v>46133</v>
      </c>
      <c r="F7366" t="s">
        <v>46134</v>
      </c>
      <c r="G7366" t="s">
        <v>46135</v>
      </c>
      <c r="H7366" t="e" vm="3200">
        <f>_FV(0,"09555028233960383")</f>
        <v>#VALUE!</v>
      </c>
      <c r="I7366" t="s">
        <v>46136</v>
      </c>
      <c r="J7366" t="s">
        <v>46137</v>
      </c>
      <c r="K7366" t="s">
        <v>46138</v>
      </c>
      <c r="L7366" t="s">
        <v>46132</v>
      </c>
    </row>
    <row r="7367" spans="1:12" x14ac:dyDescent="0.25">
      <c r="A7367">
        <v>1276087</v>
      </c>
      <c r="B7367">
        <v>1276137</v>
      </c>
      <c r="D7367">
        <v>0</v>
      </c>
      <c r="E7367" t="s">
        <v>46140</v>
      </c>
      <c r="F7367" t="s">
        <v>46141</v>
      </c>
      <c r="G7367" t="s">
        <v>46142</v>
      </c>
      <c r="H7367" t="e" vm="3201">
        <f>_FV(0,"055391480306100895")</f>
        <v>#VALUE!</v>
      </c>
      <c r="I7367" t="s">
        <v>46143</v>
      </c>
      <c r="J7367" t="s">
        <v>46144</v>
      </c>
      <c r="K7367" t="s">
        <v>46145</v>
      </c>
      <c r="L7367" t="s">
        <v>46139</v>
      </c>
    </row>
    <row r="7368" spans="1:12" x14ac:dyDescent="0.25">
      <c r="A7368">
        <v>1276103</v>
      </c>
      <c r="B7368">
        <v>1276137</v>
      </c>
      <c r="D7368">
        <v>0</v>
      </c>
      <c r="E7368" t="s">
        <v>46147</v>
      </c>
      <c r="F7368" t="s">
        <v>46148</v>
      </c>
      <c r="G7368" t="s">
        <v>46149</v>
      </c>
      <c r="H7368" t="e" vm="3202">
        <f>_FV(0,"04247286444773468")</f>
        <v>#VALUE!</v>
      </c>
      <c r="I7368" t="s">
        <v>46150</v>
      </c>
      <c r="J7368" t="s">
        <v>46151</v>
      </c>
      <c r="K7368" t="s">
        <v>46152</v>
      </c>
      <c r="L7368" t="s">
        <v>46146</v>
      </c>
    </row>
    <row r="7369" spans="1:12" x14ac:dyDescent="0.25">
      <c r="A7369">
        <v>1276137</v>
      </c>
      <c r="B7369">
        <v>1276144</v>
      </c>
      <c r="D7369">
        <v>0</v>
      </c>
      <c r="F7369">
        <v>1391448</v>
      </c>
      <c r="G7369">
        <v>1276144</v>
      </c>
      <c r="H7369" t="e" vm="12">
        <f>_FV(0,"005")</f>
        <v>#VALUE!</v>
      </c>
      <c r="I7369">
        <v>1276137</v>
      </c>
      <c r="J7369" t="s">
        <v>194</v>
      </c>
      <c r="K7369" t="s">
        <v>46153</v>
      </c>
      <c r="L7369" t="e" vm="12">
        <f>_FV(0,"005")</f>
        <v>#VALUE!</v>
      </c>
    </row>
    <row r="7370" spans="1:12" x14ac:dyDescent="0.25">
      <c r="A7370">
        <v>1277050</v>
      </c>
      <c r="B7370">
        <v>1277055</v>
      </c>
      <c r="D7370">
        <v>0</v>
      </c>
      <c r="E7370" t="s">
        <v>46155</v>
      </c>
      <c r="F7370" t="s">
        <v>46156</v>
      </c>
      <c r="G7370" t="s">
        <v>46157</v>
      </c>
      <c r="H7370" t="s">
        <v>46158</v>
      </c>
      <c r="I7370" t="s">
        <v>46159</v>
      </c>
      <c r="J7370" t="s">
        <v>46154</v>
      </c>
      <c r="K7370" t="s">
        <v>46160</v>
      </c>
      <c r="L7370" t="s">
        <v>46154</v>
      </c>
    </row>
    <row r="7371" spans="1:12" x14ac:dyDescent="0.25">
      <c r="A7371">
        <v>1277050</v>
      </c>
      <c r="B7371">
        <v>1277062</v>
      </c>
      <c r="D7371">
        <v>0</v>
      </c>
      <c r="E7371" t="s">
        <v>46162</v>
      </c>
      <c r="F7371" t="s">
        <v>46163</v>
      </c>
      <c r="G7371" t="s">
        <v>46164</v>
      </c>
      <c r="H7371" t="e" vm="3203">
        <f>_FV(0,"05323138145526896")</f>
        <v>#VALUE!</v>
      </c>
      <c r="I7371" t="s">
        <v>46165</v>
      </c>
      <c r="J7371" t="s">
        <v>46166</v>
      </c>
      <c r="K7371" t="s">
        <v>46167</v>
      </c>
      <c r="L7371" t="s">
        <v>46161</v>
      </c>
    </row>
    <row r="7372" spans="1:12" x14ac:dyDescent="0.25">
      <c r="A7372">
        <v>1277050</v>
      </c>
      <c r="B7372">
        <v>1297863</v>
      </c>
      <c r="D7372">
        <v>0</v>
      </c>
      <c r="E7372" t="s">
        <v>46169</v>
      </c>
      <c r="F7372" t="s">
        <v>46170</v>
      </c>
      <c r="G7372" t="s">
        <v>46171</v>
      </c>
      <c r="H7372" t="s">
        <v>46172</v>
      </c>
      <c r="I7372" t="s">
        <v>46173</v>
      </c>
      <c r="J7372" t="s">
        <v>46168</v>
      </c>
      <c r="K7372" t="s">
        <v>46174</v>
      </c>
      <c r="L7372" t="s">
        <v>46168</v>
      </c>
    </row>
    <row r="7373" spans="1:12" x14ac:dyDescent="0.25">
      <c r="A7373">
        <v>1277055</v>
      </c>
      <c r="B7373">
        <v>1277059</v>
      </c>
      <c r="D7373">
        <v>0</v>
      </c>
      <c r="E7373" t="s">
        <v>46176</v>
      </c>
      <c r="F7373" t="s">
        <v>46177</v>
      </c>
      <c r="G7373" t="s">
        <v>46178</v>
      </c>
      <c r="H7373" t="s">
        <v>46179</v>
      </c>
      <c r="I7373" t="s">
        <v>46180</v>
      </c>
      <c r="J7373" t="s">
        <v>46175</v>
      </c>
      <c r="K7373" t="s">
        <v>46181</v>
      </c>
      <c r="L7373" t="s">
        <v>46175</v>
      </c>
    </row>
    <row r="7374" spans="1:12" x14ac:dyDescent="0.25">
      <c r="A7374">
        <v>1277055</v>
      </c>
      <c r="B7374">
        <v>1291516</v>
      </c>
      <c r="D7374">
        <v>0</v>
      </c>
      <c r="E7374" t="s">
        <v>46183</v>
      </c>
      <c r="F7374" t="s">
        <v>46184</v>
      </c>
      <c r="G7374" t="s">
        <v>46185</v>
      </c>
      <c r="H7374" t="e" vm="3204">
        <f>_FV(0,"008685513295772582")</f>
        <v>#VALUE!</v>
      </c>
      <c r="I7374" t="s">
        <v>46186</v>
      </c>
      <c r="J7374" t="s">
        <v>46187</v>
      </c>
      <c r="K7374" t="s">
        <v>46188</v>
      </c>
      <c r="L7374" t="s">
        <v>46182</v>
      </c>
    </row>
    <row r="7375" spans="1:12" x14ac:dyDescent="0.25">
      <c r="A7375">
        <v>1277059</v>
      </c>
      <c r="B7375">
        <v>1277062</v>
      </c>
      <c r="D7375">
        <v>0</v>
      </c>
      <c r="F7375">
        <v>1392887</v>
      </c>
      <c r="G7375">
        <v>1277062</v>
      </c>
      <c r="H7375" t="e" vm="44">
        <f>_FV(0,"053")</f>
        <v>#VALUE!</v>
      </c>
      <c r="I7375">
        <v>1277059</v>
      </c>
      <c r="J7375" t="s">
        <v>688</v>
      </c>
      <c r="K7375" t="s">
        <v>46189</v>
      </c>
      <c r="L7375" t="e" vm="44">
        <f>_FV(0,"053")</f>
        <v>#VALUE!</v>
      </c>
    </row>
    <row r="7376" spans="1:12" x14ac:dyDescent="0.25">
      <c r="A7376">
        <v>1277059</v>
      </c>
      <c r="B7376">
        <v>1291516</v>
      </c>
      <c r="D7376">
        <v>0</v>
      </c>
      <c r="E7376" t="s">
        <v>46191</v>
      </c>
      <c r="F7376" t="s">
        <v>46192</v>
      </c>
      <c r="G7376" t="s">
        <v>46193</v>
      </c>
      <c r="H7376" t="e" vm="3205">
        <f>_FV(0,"024545429852357872")</f>
        <v>#VALUE!</v>
      </c>
      <c r="I7376" t="s">
        <v>46194</v>
      </c>
      <c r="J7376" t="s">
        <v>46195</v>
      </c>
      <c r="K7376" t="s">
        <v>46196</v>
      </c>
      <c r="L7376" t="s">
        <v>46190</v>
      </c>
    </row>
    <row r="7377" spans="1:12" x14ac:dyDescent="0.25">
      <c r="A7377">
        <v>1277062</v>
      </c>
      <c r="B7377">
        <v>1297863</v>
      </c>
      <c r="D7377">
        <v>0</v>
      </c>
      <c r="E7377" t="s">
        <v>46198</v>
      </c>
      <c r="F7377" t="s">
        <v>46199</v>
      </c>
      <c r="G7377" t="s">
        <v>46200</v>
      </c>
      <c r="H7377" t="s">
        <v>46201</v>
      </c>
      <c r="I7377" t="s">
        <v>46202</v>
      </c>
      <c r="J7377" t="s">
        <v>46203</v>
      </c>
      <c r="K7377" t="s">
        <v>46204</v>
      </c>
      <c r="L7377" t="s">
        <v>46197</v>
      </c>
    </row>
    <row r="7378" spans="1:12" x14ac:dyDescent="0.25">
      <c r="A7378">
        <v>1277098</v>
      </c>
      <c r="B7378">
        <v>1277120</v>
      </c>
      <c r="D7378">
        <v>0</v>
      </c>
      <c r="E7378" t="s">
        <v>46206</v>
      </c>
      <c r="F7378" t="s">
        <v>46207</v>
      </c>
      <c r="G7378" t="s">
        <v>46208</v>
      </c>
      <c r="H7378" t="s">
        <v>46209</v>
      </c>
      <c r="I7378" t="s">
        <v>46210</v>
      </c>
      <c r="J7378" t="s">
        <v>46205</v>
      </c>
      <c r="K7378" t="s">
        <v>46211</v>
      </c>
      <c r="L7378" t="s">
        <v>46205</v>
      </c>
    </row>
    <row r="7379" spans="1:12" x14ac:dyDescent="0.25">
      <c r="A7379">
        <v>1277098</v>
      </c>
      <c r="B7379">
        <v>1298209</v>
      </c>
      <c r="D7379">
        <v>0</v>
      </c>
      <c r="E7379" t="s">
        <v>46213</v>
      </c>
      <c r="F7379" t="s">
        <v>46214</v>
      </c>
      <c r="G7379" t="s">
        <v>46215</v>
      </c>
      <c r="H7379" t="s">
        <v>46216</v>
      </c>
      <c r="I7379" t="s">
        <v>46217</v>
      </c>
      <c r="J7379" t="s">
        <v>46218</v>
      </c>
      <c r="K7379" t="s">
        <v>46219</v>
      </c>
      <c r="L7379" t="s">
        <v>46212</v>
      </c>
    </row>
    <row r="7380" spans="1:12" x14ac:dyDescent="0.25">
      <c r="A7380">
        <v>1277120</v>
      </c>
      <c r="B7380">
        <v>1298209</v>
      </c>
      <c r="D7380">
        <v>0</v>
      </c>
      <c r="E7380" t="s">
        <v>46221</v>
      </c>
      <c r="F7380" t="s">
        <v>46222</v>
      </c>
      <c r="G7380" t="s">
        <v>46223</v>
      </c>
      <c r="H7380" t="s">
        <v>46224</v>
      </c>
      <c r="I7380" t="s">
        <v>46225</v>
      </c>
      <c r="J7380" t="s">
        <v>46226</v>
      </c>
      <c r="K7380" t="s">
        <v>46227</v>
      </c>
      <c r="L7380" t="s">
        <v>46220</v>
      </c>
    </row>
    <row r="7381" spans="1:12" x14ac:dyDescent="0.25">
      <c r="A7381">
        <v>1277249</v>
      </c>
      <c r="B7381">
        <v>1277254</v>
      </c>
      <c r="D7381">
        <v>0</v>
      </c>
      <c r="F7381">
        <v>1393326</v>
      </c>
      <c r="G7381">
        <v>1277254</v>
      </c>
      <c r="H7381" t="s">
        <v>2068</v>
      </c>
      <c r="I7381">
        <v>1277249</v>
      </c>
      <c r="J7381" t="s">
        <v>2068</v>
      </c>
      <c r="K7381" t="s">
        <v>46228</v>
      </c>
      <c r="L7381" t="s">
        <v>2068</v>
      </c>
    </row>
    <row r="7382" spans="1:12" x14ac:dyDescent="0.25">
      <c r="A7382">
        <v>1277249</v>
      </c>
      <c r="B7382">
        <v>1461385</v>
      </c>
      <c r="D7382">
        <v>0</v>
      </c>
      <c r="E7382" t="s">
        <v>46230</v>
      </c>
      <c r="F7382" t="s">
        <v>46231</v>
      </c>
      <c r="G7382" t="s">
        <v>46232</v>
      </c>
      <c r="H7382" t="e" vm="3206">
        <f>_FV(0,"03535883153682029")</f>
        <v>#VALUE!</v>
      </c>
      <c r="I7382" t="s">
        <v>46233</v>
      </c>
      <c r="J7382" t="s">
        <v>46234</v>
      </c>
      <c r="K7382" t="s">
        <v>46235</v>
      </c>
      <c r="L7382" t="s">
        <v>46229</v>
      </c>
    </row>
    <row r="7383" spans="1:12" x14ac:dyDescent="0.25">
      <c r="A7383">
        <v>1277254</v>
      </c>
      <c r="B7383">
        <v>1277270</v>
      </c>
      <c r="D7383">
        <v>0</v>
      </c>
      <c r="E7383" t="s">
        <v>46237</v>
      </c>
      <c r="F7383" t="s">
        <v>46238</v>
      </c>
      <c r="G7383" t="s">
        <v>46239</v>
      </c>
      <c r="H7383" t="s">
        <v>46240</v>
      </c>
      <c r="I7383" t="s">
        <v>46241</v>
      </c>
      <c r="J7383" t="s">
        <v>46242</v>
      </c>
      <c r="K7383" t="s">
        <v>46243</v>
      </c>
      <c r="L7383" t="s">
        <v>46236</v>
      </c>
    </row>
    <row r="7384" spans="1:12" x14ac:dyDescent="0.25">
      <c r="A7384">
        <v>1277254</v>
      </c>
      <c r="B7384">
        <v>1461371</v>
      </c>
      <c r="D7384">
        <v>0</v>
      </c>
      <c r="E7384" t="s">
        <v>46245</v>
      </c>
      <c r="F7384" t="s">
        <v>46246</v>
      </c>
      <c r="G7384" t="s">
        <v>46247</v>
      </c>
      <c r="H7384" t="s">
        <v>46248</v>
      </c>
      <c r="I7384" t="s">
        <v>46249</v>
      </c>
      <c r="J7384" t="s">
        <v>46244</v>
      </c>
      <c r="K7384" t="s">
        <v>46250</v>
      </c>
      <c r="L7384" t="s">
        <v>46244</v>
      </c>
    </row>
    <row r="7385" spans="1:12" x14ac:dyDescent="0.25">
      <c r="A7385">
        <v>1278068</v>
      </c>
      <c r="B7385">
        <v>1278094</v>
      </c>
      <c r="D7385">
        <v>0</v>
      </c>
      <c r="E7385" t="s">
        <v>46252</v>
      </c>
      <c r="F7385" t="s">
        <v>46253</v>
      </c>
      <c r="G7385" t="s">
        <v>46254</v>
      </c>
      <c r="H7385" t="s">
        <v>46255</v>
      </c>
      <c r="I7385" t="s">
        <v>46256</v>
      </c>
      <c r="J7385" t="s">
        <v>46257</v>
      </c>
      <c r="K7385" t="s">
        <v>46258</v>
      </c>
      <c r="L7385" t="s">
        <v>46251</v>
      </c>
    </row>
    <row r="7386" spans="1:12" x14ac:dyDescent="0.25">
      <c r="A7386">
        <v>1278068</v>
      </c>
      <c r="B7386">
        <v>1278109</v>
      </c>
      <c r="D7386">
        <v>0</v>
      </c>
      <c r="E7386" t="s">
        <v>46260</v>
      </c>
      <c r="F7386" t="s">
        <v>46261</v>
      </c>
      <c r="G7386" t="s">
        <v>46262</v>
      </c>
      <c r="H7386" t="e" vm="3207">
        <f>_FV(0,"05409213826790051")</f>
        <v>#VALUE!</v>
      </c>
      <c r="I7386" t="s">
        <v>46263</v>
      </c>
      <c r="J7386" t="s">
        <v>46264</v>
      </c>
      <c r="K7386" t="s">
        <v>46265</v>
      </c>
      <c r="L7386" t="s">
        <v>46259</v>
      </c>
    </row>
    <row r="7387" spans="1:12" x14ac:dyDescent="0.25">
      <c r="A7387">
        <v>1278068</v>
      </c>
      <c r="B7387">
        <v>1278381</v>
      </c>
      <c r="D7387">
        <v>0</v>
      </c>
      <c r="E7387" t="s">
        <v>46267</v>
      </c>
      <c r="F7387" t="s">
        <v>46268</v>
      </c>
      <c r="G7387" t="s">
        <v>46269</v>
      </c>
      <c r="H7387" t="e" vm="3208">
        <f>_FV(0,"01596331617201389")</f>
        <v>#VALUE!</v>
      </c>
      <c r="I7387" t="s">
        <v>46270</v>
      </c>
      <c r="J7387" t="s">
        <v>46271</v>
      </c>
      <c r="K7387" t="s">
        <v>46272</v>
      </c>
      <c r="L7387" t="s">
        <v>46266</v>
      </c>
    </row>
    <row r="7388" spans="1:12" x14ac:dyDescent="0.25">
      <c r="A7388">
        <v>1278094</v>
      </c>
      <c r="B7388">
        <v>1278100</v>
      </c>
      <c r="D7388">
        <v>0</v>
      </c>
      <c r="E7388" t="s">
        <v>46273</v>
      </c>
      <c r="F7388" t="s">
        <v>46274</v>
      </c>
      <c r="G7388" t="s">
        <v>46275</v>
      </c>
      <c r="H7388" t="s">
        <v>46276</v>
      </c>
      <c r="I7388" t="s">
        <v>46277</v>
      </c>
      <c r="J7388" t="s">
        <v>28226</v>
      </c>
      <c r="K7388" t="s">
        <v>46278</v>
      </c>
      <c r="L7388" t="s">
        <v>28226</v>
      </c>
    </row>
    <row r="7389" spans="1:12" x14ac:dyDescent="0.25">
      <c r="A7389">
        <v>1278094</v>
      </c>
      <c r="B7389">
        <v>1278515</v>
      </c>
      <c r="D7389">
        <v>0</v>
      </c>
      <c r="E7389" t="s">
        <v>46280</v>
      </c>
      <c r="F7389" t="s">
        <v>46281</v>
      </c>
      <c r="G7389" t="s">
        <v>46282</v>
      </c>
      <c r="H7389" t="s">
        <v>46283</v>
      </c>
      <c r="I7389" t="s">
        <v>46284</v>
      </c>
      <c r="J7389" t="s">
        <v>46285</v>
      </c>
      <c r="K7389" t="s">
        <v>46286</v>
      </c>
      <c r="L7389" t="s">
        <v>46279</v>
      </c>
    </row>
    <row r="7390" spans="1:12" x14ac:dyDescent="0.25">
      <c r="A7390">
        <v>1278100</v>
      </c>
      <c r="B7390">
        <v>1278109</v>
      </c>
      <c r="D7390">
        <v>0</v>
      </c>
      <c r="F7390">
        <v>1394509</v>
      </c>
      <c r="G7390">
        <v>1278109</v>
      </c>
      <c r="H7390" t="e" vm="106">
        <f>_FV(0,"019")</f>
        <v>#VALUE!</v>
      </c>
      <c r="I7390">
        <v>1278100</v>
      </c>
      <c r="J7390" t="s">
        <v>1629</v>
      </c>
      <c r="K7390" t="s">
        <v>46287</v>
      </c>
      <c r="L7390" t="e" vm="106">
        <f>_FV(0,"019")</f>
        <v>#VALUE!</v>
      </c>
    </row>
    <row r="7391" spans="1:12" x14ac:dyDescent="0.25">
      <c r="A7391">
        <v>1278100</v>
      </c>
      <c r="B7391">
        <v>1278515</v>
      </c>
      <c r="D7391">
        <v>0</v>
      </c>
      <c r="E7391" t="s">
        <v>46289</v>
      </c>
      <c r="F7391" t="s">
        <v>46290</v>
      </c>
      <c r="G7391" t="s">
        <v>46291</v>
      </c>
      <c r="H7391" t="s">
        <v>46292</v>
      </c>
      <c r="I7391" t="s">
        <v>46293</v>
      </c>
      <c r="J7391" t="s">
        <v>46294</v>
      </c>
      <c r="K7391" t="s">
        <v>46295</v>
      </c>
      <c r="L7391" t="s">
        <v>46288</v>
      </c>
    </row>
    <row r="7392" spans="1:12" x14ac:dyDescent="0.25">
      <c r="A7392">
        <v>1278109</v>
      </c>
      <c r="B7392">
        <v>1278381</v>
      </c>
      <c r="D7392">
        <v>0</v>
      </c>
      <c r="E7392" t="s">
        <v>46297</v>
      </c>
      <c r="F7392" t="s">
        <v>46298</v>
      </c>
      <c r="G7392" t="s">
        <v>46299</v>
      </c>
      <c r="H7392" t="s">
        <v>46300</v>
      </c>
      <c r="I7392" t="s">
        <v>46301</v>
      </c>
      <c r="J7392" t="s">
        <v>46302</v>
      </c>
      <c r="K7392" t="s">
        <v>46303</v>
      </c>
      <c r="L7392" t="s">
        <v>46296</v>
      </c>
    </row>
    <row r="7393" spans="1:12" x14ac:dyDescent="0.25">
      <c r="A7393">
        <v>1278381</v>
      </c>
      <c r="B7393">
        <v>1854884</v>
      </c>
      <c r="C7393" t="s">
        <v>46304</v>
      </c>
      <c r="D7393">
        <v>0</v>
      </c>
      <c r="E7393" t="s">
        <v>46305</v>
      </c>
      <c r="H7393" t="s">
        <v>187</v>
      </c>
      <c r="J7393">
        <v>0</v>
      </c>
      <c r="K7393" t="s">
        <v>36017</v>
      </c>
      <c r="L7393">
        <v>0</v>
      </c>
    </row>
    <row r="7394" spans="1:12" x14ac:dyDescent="0.25">
      <c r="A7394">
        <v>1278515</v>
      </c>
      <c r="B7394">
        <v>1854840</v>
      </c>
      <c r="C7394" t="s">
        <v>46306</v>
      </c>
      <c r="D7394">
        <v>0</v>
      </c>
      <c r="E7394" t="s">
        <v>46307</v>
      </c>
      <c r="H7394" t="s">
        <v>187</v>
      </c>
      <c r="J7394">
        <v>0</v>
      </c>
      <c r="K7394" t="s">
        <v>33371</v>
      </c>
      <c r="L7394">
        <v>0</v>
      </c>
    </row>
    <row r="7395" spans="1:12" x14ac:dyDescent="0.25">
      <c r="A7395">
        <v>1280434</v>
      </c>
      <c r="B7395">
        <v>1280442</v>
      </c>
      <c r="D7395">
        <v>0</v>
      </c>
      <c r="E7395" t="s">
        <v>46309</v>
      </c>
      <c r="F7395" t="s">
        <v>46310</v>
      </c>
      <c r="G7395" t="s">
        <v>46311</v>
      </c>
      <c r="H7395" t="s">
        <v>46312</v>
      </c>
      <c r="I7395" t="s">
        <v>46313</v>
      </c>
      <c r="J7395" t="s">
        <v>46314</v>
      </c>
      <c r="K7395" t="s">
        <v>46315</v>
      </c>
      <c r="L7395" t="s">
        <v>46308</v>
      </c>
    </row>
    <row r="7396" spans="1:12" x14ac:dyDescent="0.25">
      <c r="A7396">
        <v>1280434</v>
      </c>
      <c r="B7396">
        <v>1551469</v>
      </c>
      <c r="D7396" t="s">
        <v>257</v>
      </c>
      <c r="E7396" t="s">
        <v>46317</v>
      </c>
      <c r="F7396" t="s">
        <v>46318</v>
      </c>
      <c r="G7396" t="s">
        <v>46319</v>
      </c>
      <c r="H7396" t="e" vm="3209">
        <f>_FV(0,"011198247952134274")</f>
        <v>#VALUE!</v>
      </c>
      <c r="I7396" t="s">
        <v>46320</v>
      </c>
      <c r="J7396" t="s">
        <v>46321</v>
      </c>
      <c r="K7396" t="s">
        <v>46322</v>
      </c>
      <c r="L7396" t="s">
        <v>46316</v>
      </c>
    </row>
    <row r="7397" spans="1:12" x14ac:dyDescent="0.25">
      <c r="A7397">
        <v>1280437</v>
      </c>
      <c r="B7397">
        <v>1280449</v>
      </c>
      <c r="D7397" t="s">
        <v>3298</v>
      </c>
      <c r="E7397" t="s">
        <v>46324</v>
      </c>
      <c r="F7397" t="s">
        <v>46325</v>
      </c>
      <c r="G7397" t="s">
        <v>46326</v>
      </c>
      <c r="H7397" t="s">
        <v>46327</v>
      </c>
      <c r="I7397" t="s">
        <v>46328</v>
      </c>
      <c r="J7397" t="s">
        <v>46329</v>
      </c>
      <c r="K7397" t="s">
        <v>46330</v>
      </c>
      <c r="L7397" t="s">
        <v>46323</v>
      </c>
    </row>
    <row r="7398" spans="1:12" x14ac:dyDescent="0.25">
      <c r="A7398">
        <v>1280449</v>
      </c>
      <c r="B7398">
        <v>1551469</v>
      </c>
      <c r="D7398">
        <v>0</v>
      </c>
      <c r="E7398" t="s">
        <v>46332</v>
      </c>
      <c r="F7398" t="s">
        <v>46333</v>
      </c>
      <c r="G7398" t="s">
        <v>46334</v>
      </c>
      <c r="H7398" t="e" vm="3210">
        <f>_FV(0,"01449010051809487")</f>
        <v>#VALUE!</v>
      </c>
      <c r="I7398" t="s">
        <v>46335</v>
      </c>
      <c r="J7398" t="s">
        <v>46336</v>
      </c>
      <c r="K7398" t="s">
        <v>46337</v>
      </c>
      <c r="L7398" t="s">
        <v>46331</v>
      </c>
    </row>
    <row r="7399" spans="1:12" x14ac:dyDescent="0.25">
      <c r="A7399">
        <v>1285447</v>
      </c>
      <c r="B7399">
        <v>1285529</v>
      </c>
      <c r="D7399">
        <v>0</v>
      </c>
      <c r="E7399" t="s">
        <v>46339</v>
      </c>
      <c r="F7399" t="s">
        <v>46340</v>
      </c>
      <c r="G7399" t="s">
        <v>46341</v>
      </c>
      <c r="H7399" t="s">
        <v>46342</v>
      </c>
      <c r="I7399" t="s">
        <v>46343</v>
      </c>
      <c r="J7399" t="s">
        <v>46344</v>
      </c>
      <c r="K7399" t="s">
        <v>46345</v>
      </c>
      <c r="L7399" t="s">
        <v>46338</v>
      </c>
    </row>
    <row r="7400" spans="1:12" x14ac:dyDescent="0.25">
      <c r="A7400">
        <v>1285447</v>
      </c>
      <c r="B7400">
        <v>1501842</v>
      </c>
      <c r="D7400">
        <v>0</v>
      </c>
      <c r="E7400" t="s">
        <v>46347</v>
      </c>
      <c r="F7400" t="s">
        <v>46348</v>
      </c>
      <c r="G7400" t="s">
        <v>46349</v>
      </c>
      <c r="H7400" t="s">
        <v>46350</v>
      </c>
      <c r="I7400" t="s">
        <v>46351</v>
      </c>
      <c r="J7400" t="s">
        <v>46352</v>
      </c>
      <c r="K7400" t="s">
        <v>46353</v>
      </c>
      <c r="L7400" t="s">
        <v>46346</v>
      </c>
    </row>
    <row r="7401" spans="1:12" x14ac:dyDescent="0.25">
      <c r="A7401">
        <v>1285473</v>
      </c>
      <c r="B7401">
        <v>1285519</v>
      </c>
      <c r="D7401">
        <v>0</v>
      </c>
      <c r="E7401" t="s">
        <v>46355</v>
      </c>
      <c r="F7401" t="s">
        <v>46356</v>
      </c>
      <c r="G7401" t="s">
        <v>46357</v>
      </c>
      <c r="H7401" t="s">
        <v>46358</v>
      </c>
      <c r="I7401" t="s">
        <v>46359</v>
      </c>
      <c r="J7401" t="s">
        <v>46354</v>
      </c>
      <c r="K7401" t="s">
        <v>46360</v>
      </c>
      <c r="L7401" t="s">
        <v>46354</v>
      </c>
    </row>
    <row r="7402" spans="1:12" x14ac:dyDescent="0.25">
      <c r="A7402">
        <v>1285473</v>
      </c>
      <c r="B7402">
        <v>1454836</v>
      </c>
      <c r="C7402" t="s">
        <v>46362</v>
      </c>
      <c r="D7402" t="s">
        <v>2494</v>
      </c>
      <c r="E7402" t="s">
        <v>46363</v>
      </c>
      <c r="F7402" t="s">
        <v>46364</v>
      </c>
      <c r="G7402" t="s">
        <v>46365</v>
      </c>
      <c r="H7402" t="s">
        <v>46366</v>
      </c>
      <c r="I7402" t="s">
        <v>46367</v>
      </c>
      <c r="J7402" t="s">
        <v>46368</v>
      </c>
      <c r="K7402" t="s">
        <v>46369</v>
      </c>
      <c r="L7402" t="s">
        <v>46361</v>
      </c>
    </row>
    <row r="7403" spans="1:12" x14ac:dyDescent="0.25">
      <c r="A7403">
        <v>1285473</v>
      </c>
      <c r="B7403">
        <v>1501846</v>
      </c>
      <c r="D7403">
        <v>0</v>
      </c>
      <c r="E7403" t="s">
        <v>46371</v>
      </c>
      <c r="F7403" t="s">
        <v>46372</v>
      </c>
      <c r="G7403" t="s">
        <v>46373</v>
      </c>
      <c r="H7403" t="e" vm="3211">
        <f>_FV(0,"0075948526273205185")</f>
        <v>#VALUE!</v>
      </c>
      <c r="I7403" t="s">
        <v>46374</v>
      </c>
      <c r="J7403" t="s">
        <v>46375</v>
      </c>
      <c r="K7403" t="s">
        <v>46376</v>
      </c>
      <c r="L7403" t="s">
        <v>46370</v>
      </c>
    </row>
    <row r="7404" spans="1:12" x14ac:dyDescent="0.25">
      <c r="A7404">
        <v>1285519</v>
      </c>
      <c r="B7404">
        <v>1501861</v>
      </c>
      <c r="D7404">
        <v>0</v>
      </c>
      <c r="E7404" t="s">
        <v>46378</v>
      </c>
      <c r="F7404" t="s">
        <v>46379</v>
      </c>
      <c r="G7404" t="s">
        <v>46380</v>
      </c>
      <c r="H7404" t="e" vm="3212">
        <f>_FV(0,"019418455982293234")</f>
        <v>#VALUE!</v>
      </c>
      <c r="I7404" t="s">
        <v>46381</v>
      </c>
      <c r="J7404" t="s">
        <v>46382</v>
      </c>
      <c r="K7404" t="s">
        <v>46383</v>
      </c>
      <c r="L7404" t="s">
        <v>46377</v>
      </c>
    </row>
    <row r="7405" spans="1:12" x14ac:dyDescent="0.25">
      <c r="A7405">
        <v>1285519</v>
      </c>
      <c r="B7405">
        <v>1448879</v>
      </c>
      <c r="C7405" t="s">
        <v>46385</v>
      </c>
      <c r="D7405" t="s">
        <v>46386</v>
      </c>
      <c r="E7405" t="s">
        <v>46387</v>
      </c>
      <c r="F7405" t="s">
        <v>46388</v>
      </c>
      <c r="G7405" t="s">
        <v>46389</v>
      </c>
      <c r="H7405" t="s">
        <v>46390</v>
      </c>
      <c r="I7405" t="s">
        <v>46391</v>
      </c>
      <c r="J7405" t="s">
        <v>46392</v>
      </c>
      <c r="K7405" t="s">
        <v>46393</v>
      </c>
      <c r="L7405" t="s">
        <v>46384</v>
      </c>
    </row>
    <row r="7406" spans="1:12" x14ac:dyDescent="0.25">
      <c r="A7406">
        <v>1285529</v>
      </c>
      <c r="B7406">
        <v>1448929</v>
      </c>
      <c r="D7406" t="s">
        <v>46395</v>
      </c>
      <c r="E7406" t="s">
        <v>46396</v>
      </c>
      <c r="F7406" t="s">
        <v>46397</v>
      </c>
      <c r="G7406" t="s">
        <v>46398</v>
      </c>
      <c r="H7406" t="e" vm="3213">
        <f>_FV(0,"000839654584335284")</f>
        <v>#VALUE!</v>
      </c>
      <c r="I7406" t="s">
        <v>46399</v>
      </c>
      <c r="J7406" t="s">
        <v>46400</v>
      </c>
      <c r="K7406" t="s">
        <v>46401</v>
      </c>
      <c r="L7406" t="s">
        <v>46394</v>
      </c>
    </row>
    <row r="7407" spans="1:12" x14ac:dyDescent="0.25">
      <c r="A7407">
        <v>1285529</v>
      </c>
      <c r="B7407">
        <v>1501851</v>
      </c>
      <c r="D7407">
        <v>0</v>
      </c>
      <c r="E7407" t="s">
        <v>46403</v>
      </c>
      <c r="F7407" t="s">
        <v>46404</v>
      </c>
      <c r="G7407" t="s">
        <v>46405</v>
      </c>
      <c r="H7407" t="s">
        <v>46406</v>
      </c>
      <c r="I7407" t="s">
        <v>46407</v>
      </c>
      <c r="J7407" t="s">
        <v>46402</v>
      </c>
      <c r="K7407" t="s">
        <v>46408</v>
      </c>
      <c r="L7407" t="s">
        <v>46402</v>
      </c>
    </row>
    <row r="7408" spans="1:12" x14ac:dyDescent="0.25">
      <c r="A7408">
        <v>1286829</v>
      </c>
      <c r="B7408">
        <v>1287039</v>
      </c>
      <c r="D7408">
        <v>0</v>
      </c>
      <c r="E7408" t="s">
        <v>46410</v>
      </c>
      <c r="F7408" t="s">
        <v>46411</v>
      </c>
      <c r="G7408" t="s">
        <v>46412</v>
      </c>
      <c r="H7408" t="s">
        <v>46413</v>
      </c>
      <c r="I7408" t="s">
        <v>46414</v>
      </c>
      <c r="J7408" t="s">
        <v>46415</v>
      </c>
      <c r="K7408" t="s">
        <v>46416</v>
      </c>
      <c r="L7408" t="s">
        <v>46409</v>
      </c>
    </row>
    <row r="7409" spans="1:12" x14ac:dyDescent="0.25">
      <c r="A7409">
        <v>1286829</v>
      </c>
      <c r="B7409">
        <v>1286869</v>
      </c>
      <c r="D7409">
        <v>0</v>
      </c>
      <c r="E7409" t="s">
        <v>46418</v>
      </c>
      <c r="F7409" t="s">
        <v>46419</v>
      </c>
      <c r="G7409" t="s">
        <v>46420</v>
      </c>
      <c r="H7409" t="s">
        <v>46421</v>
      </c>
      <c r="I7409" t="s">
        <v>46422</v>
      </c>
      <c r="J7409" t="s">
        <v>46417</v>
      </c>
      <c r="K7409" t="s">
        <v>46423</v>
      </c>
      <c r="L7409" t="s">
        <v>46417</v>
      </c>
    </row>
    <row r="7410" spans="1:12" x14ac:dyDescent="0.25">
      <c r="A7410">
        <v>1286829</v>
      </c>
      <c r="B7410">
        <v>1286951</v>
      </c>
      <c r="D7410">
        <v>0</v>
      </c>
      <c r="E7410" t="s">
        <v>46425</v>
      </c>
      <c r="F7410" t="s">
        <v>46426</v>
      </c>
      <c r="G7410" t="s">
        <v>46427</v>
      </c>
      <c r="H7410" t="s">
        <v>46428</v>
      </c>
      <c r="I7410" t="s">
        <v>46429</v>
      </c>
      <c r="J7410" t="s">
        <v>46424</v>
      </c>
      <c r="K7410" t="s">
        <v>46430</v>
      </c>
      <c r="L7410" t="s">
        <v>46424</v>
      </c>
    </row>
    <row r="7411" spans="1:12" x14ac:dyDescent="0.25">
      <c r="A7411">
        <v>1286869</v>
      </c>
      <c r="B7411">
        <v>1286951</v>
      </c>
      <c r="D7411">
        <v>0</v>
      </c>
      <c r="E7411" t="s">
        <v>46432</v>
      </c>
      <c r="F7411" t="s">
        <v>46433</v>
      </c>
      <c r="G7411" t="s">
        <v>46434</v>
      </c>
      <c r="H7411" t="e" vm="3214">
        <f>_FV(0,"008926936389533997")</f>
        <v>#VALUE!</v>
      </c>
      <c r="I7411" t="s">
        <v>46435</v>
      </c>
      <c r="J7411" t="s">
        <v>46436</v>
      </c>
      <c r="K7411" t="s">
        <v>46437</v>
      </c>
      <c r="L7411" t="s">
        <v>46431</v>
      </c>
    </row>
    <row r="7412" spans="1:12" x14ac:dyDescent="0.25">
      <c r="A7412">
        <v>1286869</v>
      </c>
      <c r="B7412">
        <v>1502487</v>
      </c>
      <c r="D7412">
        <v>0</v>
      </c>
      <c r="F7412">
        <v>1701523</v>
      </c>
      <c r="G7412">
        <v>1286869</v>
      </c>
      <c r="H7412" t="e" vm="350">
        <f>_FV(0,"009")</f>
        <v>#VALUE!</v>
      </c>
      <c r="I7412">
        <v>1502487</v>
      </c>
      <c r="J7412" t="s">
        <v>2068</v>
      </c>
      <c r="K7412" t="s">
        <v>46438</v>
      </c>
      <c r="L7412" t="e" vm="350">
        <f>_FV(0,"009")</f>
        <v>#VALUE!</v>
      </c>
    </row>
    <row r="7413" spans="1:12" x14ac:dyDescent="0.25">
      <c r="A7413">
        <v>1286914</v>
      </c>
      <c r="B7413">
        <v>1536181</v>
      </c>
      <c r="D7413">
        <v>0</v>
      </c>
      <c r="E7413" t="s">
        <v>46440</v>
      </c>
      <c r="F7413" t="s">
        <v>46441</v>
      </c>
      <c r="G7413" t="s">
        <v>46442</v>
      </c>
      <c r="H7413" t="s">
        <v>46443</v>
      </c>
      <c r="I7413" t="s">
        <v>46444</v>
      </c>
      <c r="J7413" t="s">
        <v>46445</v>
      </c>
      <c r="K7413" t="s">
        <v>46446</v>
      </c>
      <c r="L7413" t="s">
        <v>46439</v>
      </c>
    </row>
    <row r="7414" spans="1:12" x14ac:dyDescent="0.25">
      <c r="A7414">
        <v>1286945</v>
      </c>
      <c r="B7414">
        <v>1536159</v>
      </c>
      <c r="D7414">
        <v>0</v>
      </c>
      <c r="E7414" t="s">
        <v>46448</v>
      </c>
      <c r="F7414" t="s">
        <v>46449</v>
      </c>
      <c r="G7414" t="s">
        <v>46450</v>
      </c>
      <c r="H7414" t="s">
        <v>46451</v>
      </c>
      <c r="I7414" t="s">
        <v>46452</v>
      </c>
      <c r="J7414" t="s">
        <v>46453</v>
      </c>
      <c r="K7414" t="s">
        <v>46454</v>
      </c>
      <c r="L7414" t="s">
        <v>46447</v>
      </c>
    </row>
    <row r="7415" spans="1:12" x14ac:dyDescent="0.25">
      <c r="A7415">
        <v>1286951</v>
      </c>
      <c r="B7415">
        <v>1502506</v>
      </c>
      <c r="D7415">
        <v>0</v>
      </c>
      <c r="E7415" t="s">
        <v>46456</v>
      </c>
      <c r="F7415" t="s">
        <v>46457</v>
      </c>
      <c r="G7415" t="s">
        <v>46458</v>
      </c>
      <c r="H7415" t="s">
        <v>46459</v>
      </c>
      <c r="I7415" t="s">
        <v>46460</v>
      </c>
      <c r="J7415" t="s">
        <v>46461</v>
      </c>
      <c r="K7415" t="s">
        <v>46462</v>
      </c>
      <c r="L7415" t="s">
        <v>46455</v>
      </c>
    </row>
    <row r="7416" spans="1:12" x14ac:dyDescent="0.25">
      <c r="A7416">
        <v>1286961</v>
      </c>
      <c r="B7416">
        <v>1286962</v>
      </c>
      <c r="D7416">
        <v>0</v>
      </c>
      <c r="F7416">
        <v>1406510</v>
      </c>
      <c r="G7416">
        <v>1286962</v>
      </c>
      <c r="H7416" t="s">
        <v>5837</v>
      </c>
      <c r="I7416">
        <v>1286961</v>
      </c>
      <c r="J7416" t="s">
        <v>5837</v>
      </c>
      <c r="K7416" t="s">
        <v>46463</v>
      </c>
      <c r="L7416" t="s">
        <v>5837</v>
      </c>
    </row>
    <row r="7417" spans="1:12" x14ac:dyDescent="0.25">
      <c r="A7417">
        <v>1286961</v>
      </c>
      <c r="B7417">
        <v>1287001</v>
      </c>
      <c r="D7417">
        <v>0</v>
      </c>
      <c r="E7417" t="s">
        <v>46465</v>
      </c>
      <c r="F7417" t="s">
        <v>46466</v>
      </c>
      <c r="G7417" t="s">
        <v>46467</v>
      </c>
      <c r="H7417" t="s">
        <v>46468</v>
      </c>
      <c r="I7417" t="s">
        <v>46469</v>
      </c>
      <c r="J7417" t="s">
        <v>46464</v>
      </c>
      <c r="K7417" t="s">
        <v>46470</v>
      </c>
      <c r="L7417" t="s">
        <v>46464</v>
      </c>
    </row>
    <row r="7418" spans="1:12" x14ac:dyDescent="0.25">
      <c r="A7418">
        <v>1286961</v>
      </c>
      <c r="B7418">
        <v>1287096</v>
      </c>
      <c r="D7418">
        <v>0</v>
      </c>
      <c r="E7418" t="s">
        <v>46471</v>
      </c>
      <c r="F7418" t="s">
        <v>46472</v>
      </c>
      <c r="G7418" t="s">
        <v>46473</v>
      </c>
      <c r="H7418" t="s">
        <v>46474</v>
      </c>
      <c r="I7418" t="s">
        <v>46475</v>
      </c>
      <c r="J7418" t="s">
        <v>16702</v>
      </c>
      <c r="K7418" t="s">
        <v>46476</v>
      </c>
      <c r="L7418" t="s">
        <v>16702</v>
      </c>
    </row>
    <row r="7419" spans="1:12" x14ac:dyDescent="0.25">
      <c r="A7419">
        <v>1286962</v>
      </c>
      <c r="B7419">
        <v>1286994</v>
      </c>
      <c r="D7419">
        <v>0</v>
      </c>
      <c r="E7419" t="s">
        <v>46478</v>
      </c>
      <c r="F7419" t="s">
        <v>46479</v>
      </c>
      <c r="G7419" t="s">
        <v>46480</v>
      </c>
      <c r="H7419" t="e" vm="3215">
        <f>_FV(0,"02229095791696687")</f>
        <v>#VALUE!</v>
      </c>
      <c r="I7419" t="s">
        <v>46481</v>
      </c>
      <c r="J7419" t="s">
        <v>46482</v>
      </c>
      <c r="K7419" t="s">
        <v>46483</v>
      </c>
      <c r="L7419" t="s">
        <v>46477</v>
      </c>
    </row>
    <row r="7420" spans="1:12" x14ac:dyDescent="0.25">
      <c r="A7420">
        <v>1286994</v>
      </c>
      <c r="B7420">
        <v>1287001</v>
      </c>
      <c r="D7420">
        <v>0</v>
      </c>
      <c r="F7420">
        <v>1406550</v>
      </c>
      <c r="G7420">
        <v>1287001</v>
      </c>
      <c r="H7420" t="e" vm="1300">
        <f>_FV(0,"013")</f>
        <v>#VALUE!</v>
      </c>
      <c r="I7420">
        <v>1286994</v>
      </c>
      <c r="J7420" t="s">
        <v>30</v>
      </c>
      <c r="K7420" t="s">
        <v>46484</v>
      </c>
      <c r="L7420" t="e" vm="1300">
        <f>_FV(0,"013")</f>
        <v>#VALUE!</v>
      </c>
    </row>
    <row r="7421" spans="1:12" x14ac:dyDescent="0.25">
      <c r="A7421">
        <v>1287001</v>
      </c>
      <c r="B7421">
        <v>1287096</v>
      </c>
      <c r="D7421">
        <v>0</v>
      </c>
      <c r="E7421" t="s">
        <v>46485</v>
      </c>
      <c r="F7421" t="s">
        <v>46486</v>
      </c>
      <c r="G7421" t="s">
        <v>46487</v>
      </c>
      <c r="H7421" t="s">
        <v>2916</v>
      </c>
      <c r="I7421" t="s">
        <v>46488</v>
      </c>
      <c r="J7421" t="s">
        <v>2916</v>
      </c>
      <c r="K7421" t="s">
        <v>46489</v>
      </c>
      <c r="L7421" t="s">
        <v>2916</v>
      </c>
    </row>
    <row r="7422" spans="1:12" x14ac:dyDescent="0.25">
      <c r="A7422">
        <v>1287650</v>
      </c>
      <c r="B7422">
        <v>1291062</v>
      </c>
      <c r="D7422">
        <v>0</v>
      </c>
      <c r="F7422">
        <v>1431852</v>
      </c>
      <c r="G7422">
        <v>1291062</v>
      </c>
      <c r="H7422" t="s">
        <v>1333</v>
      </c>
      <c r="I7422">
        <v>1287650</v>
      </c>
      <c r="J7422" t="s">
        <v>1333</v>
      </c>
      <c r="K7422" t="s">
        <v>46490</v>
      </c>
      <c r="L7422" t="s">
        <v>1333</v>
      </c>
    </row>
    <row r="7423" spans="1:12" x14ac:dyDescent="0.25">
      <c r="A7423">
        <v>1287650</v>
      </c>
      <c r="B7423">
        <v>1291070</v>
      </c>
      <c r="D7423">
        <v>0</v>
      </c>
      <c r="E7423" t="s">
        <v>46492</v>
      </c>
      <c r="F7423" t="s">
        <v>46493</v>
      </c>
      <c r="G7423" t="s">
        <v>46494</v>
      </c>
      <c r="H7423" t="e" vm="3216">
        <f>_FV(0,"021531787119690445")</f>
        <v>#VALUE!</v>
      </c>
      <c r="I7423" t="s">
        <v>46495</v>
      </c>
      <c r="J7423" t="s">
        <v>46496</v>
      </c>
      <c r="K7423" t="s">
        <v>46497</v>
      </c>
      <c r="L7423" t="s">
        <v>46491</v>
      </c>
    </row>
    <row r="7424" spans="1:12" x14ac:dyDescent="0.25">
      <c r="A7424">
        <v>1287655</v>
      </c>
      <c r="B7424">
        <v>1287669</v>
      </c>
      <c r="D7424">
        <v>0</v>
      </c>
      <c r="E7424" t="s">
        <v>46499</v>
      </c>
      <c r="F7424" t="s">
        <v>46500</v>
      </c>
      <c r="G7424" t="s">
        <v>46501</v>
      </c>
      <c r="H7424" t="s">
        <v>46502</v>
      </c>
      <c r="I7424" t="s">
        <v>46503</v>
      </c>
      <c r="J7424" t="s">
        <v>46498</v>
      </c>
      <c r="K7424" t="s">
        <v>46504</v>
      </c>
      <c r="L7424" t="s">
        <v>46498</v>
      </c>
    </row>
    <row r="7425" spans="1:12" x14ac:dyDescent="0.25">
      <c r="A7425">
        <v>1287655</v>
      </c>
      <c r="B7425">
        <v>1291078</v>
      </c>
      <c r="D7425" t="s">
        <v>2793</v>
      </c>
      <c r="E7425" t="s">
        <v>46506</v>
      </c>
      <c r="F7425" t="s">
        <v>46507</v>
      </c>
      <c r="G7425" t="s">
        <v>46508</v>
      </c>
      <c r="H7425" t="s">
        <v>46509</v>
      </c>
      <c r="I7425" t="s">
        <v>46510</v>
      </c>
      <c r="J7425" t="s">
        <v>46505</v>
      </c>
      <c r="K7425" t="s">
        <v>46511</v>
      </c>
      <c r="L7425" t="s">
        <v>46505</v>
      </c>
    </row>
    <row r="7426" spans="1:12" x14ac:dyDescent="0.25">
      <c r="A7426">
        <v>1287655</v>
      </c>
      <c r="B7426">
        <v>1291096</v>
      </c>
      <c r="D7426" t="s">
        <v>18083</v>
      </c>
      <c r="E7426" t="s">
        <v>46513</v>
      </c>
      <c r="F7426" t="s">
        <v>46514</v>
      </c>
      <c r="G7426" t="s">
        <v>46515</v>
      </c>
      <c r="H7426" t="s">
        <v>46516</v>
      </c>
      <c r="I7426" t="s">
        <v>46517</v>
      </c>
      <c r="J7426" t="s">
        <v>46518</v>
      </c>
      <c r="K7426" t="s">
        <v>46519</v>
      </c>
      <c r="L7426" t="s">
        <v>46512</v>
      </c>
    </row>
    <row r="7427" spans="1:12" x14ac:dyDescent="0.25">
      <c r="A7427">
        <v>1287669</v>
      </c>
      <c r="B7427">
        <v>1803888</v>
      </c>
      <c r="D7427">
        <v>0</v>
      </c>
      <c r="E7427" t="s">
        <v>46521</v>
      </c>
      <c r="F7427" t="s">
        <v>46522</v>
      </c>
      <c r="G7427" t="s">
        <v>46523</v>
      </c>
      <c r="H7427" t="e" vm="3217">
        <f>_FV(0,"06597042695231402")</f>
        <v>#VALUE!</v>
      </c>
      <c r="I7427" t="s">
        <v>46524</v>
      </c>
      <c r="J7427" t="s">
        <v>46525</v>
      </c>
      <c r="K7427" t="s">
        <v>46526</v>
      </c>
      <c r="L7427" t="s">
        <v>46520</v>
      </c>
    </row>
    <row r="7428" spans="1:12" x14ac:dyDescent="0.25">
      <c r="A7428">
        <v>1287674</v>
      </c>
      <c r="B7428">
        <v>1803815</v>
      </c>
      <c r="D7428">
        <v>0</v>
      </c>
      <c r="F7428">
        <v>2080458</v>
      </c>
      <c r="G7428">
        <v>1803815</v>
      </c>
      <c r="H7428" t="s">
        <v>1359</v>
      </c>
      <c r="I7428">
        <v>1287674</v>
      </c>
      <c r="J7428" t="s">
        <v>1359</v>
      </c>
      <c r="K7428" t="s">
        <v>46527</v>
      </c>
      <c r="L7428" t="s">
        <v>1359</v>
      </c>
    </row>
    <row r="7429" spans="1:12" x14ac:dyDescent="0.25">
      <c r="A7429">
        <v>1287780</v>
      </c>
      <c r="B7429">
        <v>1287788</v>
      </c>
      <c r="D7429">
        <v>0</v>
      </c>
      <c r="E7429" t="s">
        <v>46529</v>
      </c>
      <c r="F7429" t="s">
        <v>46530</v>
      </c>
      <c r="G7429" t="s">
        <v>46531</v>
      </c>
      <c r="H7429" t="e" vm="3218">
        <f>_FV(0,"021009066314675702")</f>
        <v>#VALUE!</v>
      </c>
      <c r="I7429" t="s">
        <v>46532</v>
      </c>
      <c r="J7429" t="s">
        <v>46533</v>
      </c>
      <c r="K7429" t="s">
        <v>46534</v>
      </c>
      <c r="L7429" t="s">
        <v>46528</v>
      </c>
    </row>
    <row r="7430" spans="1:12" x14ac:dyDescent="0.25">
      <c r="A7430">
        <v>1287899</v>
      </c>
      <c r="B7430">
        <v>1287926</v>
      </c>
      <c r="D7430">
        <v>0</v>
      </c>
      <c r="E7430" t="s">
        <v>46536</v>
      </c>
      <c r="F7430" t="s">
        <v>46537</v>
      </c>
      <c r="G7430" t="s">
        <v>46538</v>
      </c>
      <c r="H7430" t="s">
        <v>46539</v>
      </c>
      <c r="I7430" t="s">
        <v>46540</v>
      </c>
      <c r="J7430" t="s">
        <v>46541</v>
      </c>
      <c r="K7430" t="s">
        <v>46542</v>
      </c>
      <c r="L7430" t="s">
        <v>46535</v>
      </c>
    </row>
    <row r="7431" spans="1:12" x14ac:dyDescent="0.25">
      <c r="A7431">
        <v>1287899</v>
      </c>
      <c r="B7431">
        <v>1530707</v>
      </c>
      <c r="D7431">
        <v>0</v>
      </c>
      <c r="E7431" t="s">
        <v>46544</v>
      </c>
      <c r="F7431" t="s">
        <v>46545</v>
      </c>
      <c r="G7431" t="s">
        <v>46546</v>
      </c>
      <c r="H7431" t="e" vm="3219">
        <f>_FV(0,"03919513661740405")</f>
        <v>#VALUE!</v>
      </c>
      <c r="I7431" t="s">
        <v>46547</v>
      </c>
      <c r="J7431" t="s">
        <v>46548</v>
      </c>
      <c r="K7431" t="s">
        <v>46549</v>
      </c>
      <c r="L7431" t="s">
        <v>46543</v>
      </c>
    </row>
    <row r="7432" spans="1:12" x14ac:dyDescent="0.25">
      <c r="A7432">
        <v>1287899</v>
      </c>
      <c r="B7432">
        <v>1530772</v>
      </c>
      <c r="D7432">
        <v>0</v>
      </c>
      <c r="F7432">
        <v>1716952</v>
      </c>
      <c r="G7432">
        <v>1287899</v>
      </c>
      <c r="H7432" t="e" vm="59">
        <f>_FV(0,"014")</f>
        <v>#VALUE!</v>
      </c>
      <c r="I7432">
        <v>1530772</v>
      </c>
      <c r="J7432" t="s">
        <v>922</v>
      </c>
      <c r="K7432" t="s">
        <v>46550</v>
      </c>
      <c r="L7432" t="e" vm="59">
        <f>_FV(0,"014")</f>
        <v>#VALUE!</v>
      </c>
    </row>
    <row r="7433" spans="1:12" x14ac:dyDescent="0.25">
      <c r="A7433">
        <v>1291062</v>
      </c>
      <c r="B7433">
        <v>1291078</v>
      </c>
      <c r="D7433">
        <v>0</v>
      </c>
      <c r="E7433" t="s">
        <v>46552</v>
      </c>
      <c r="F7433" t="s">
        <v>46553</v>
      </c>
      <c r="G7433" t="s">
        <v>46554</v>
      </c>
      <c r="H7433" t="s">
        <v>46555</v>
      </c>
      <c r="I7433" t="s">
        <v>46556</v>
      </c>
      <c r="J7433" t="s">
        <v>46094</v>
      </c>
      <c r="K7433" t="s">
        <v>46557</v>
      </c>
      <c r="L7433" t="s">
        <v>46551</v>
      </c>
    </row>
    <row r="7434" spans="1:12" x14ac:dyDescent="0.25">
      <c r="A7434">
        <v>1291070</v>
      </c>
      <c r="B7434">
        <v>1291096</v>
      </c>
      <c r="D7434">
        <v>0</v>
      </c>
      <c r="E7434" t="s">
        <v>46559</v>
      </c>
      <c r="F7434" t="s">
        <v>46560</v>
      </c>
      <c r="G7434" t="s">
        <v>46561</v>
      </c>
      <c r="H7434" t="s">
        <v>46562</v>
      </c>
      <c r="I7434" t="s">
        <v>46563</v>
      </c>
      <c r="J7434" t="s">
        <v>46564</v>
      </c>
      <c r="K7434" t="s">
        <v>46565</v>
      </c>
      <c r="L7434" t="s">
        <v>46558</v>
      </c>
    </row>
    <row r="7435" spans="1:12" x14ac:dyDescent="0.25">
      <c r="A7435">
        <v>1291176</v>
      </c>
      <c r="B7435">
        <v>1291319</v>
      </c>
      <c r="D7435">
        <v>0</v>
      </c>
      <c r="F7435">
        <v>1412327</v>
      </c>
      <c r="G7435">
        <v>1291319</v>
      </c>
      <c r="H7435" t="e" vm="1209">
        <f>_FV(0,"042")</f>
        <v>#VALUE!</v>
      </c>
      <c r="I7435">
        <v>1291176</v>
      </c>
      <c r="J7435" t="s">
        <v>3161</v>
      </c>
      <c r="K7435" t="s">
        <v>46566</v>
      </c>
      <c r="L7435" t="e" vm="1209">
        <f>_FV(0,"042")</f>
        <v>#VALUE!</v>
      </c>
    </row>
    <row r="7436" spans="1:12" x14ac:dyDescent="0.25">
      <c r="A7436">
        <v>1291176</v>
      </c>
      <c r="B7436">
        <v>1291183</v>
      </c>
      <c r="D7436">
        <v>0</v>
      </c>
      <c r="E7436" t="s">
        <v>46568</v>
      </c>
      <c r="F7436" t="s">
        <v>46569</v>
      </c>
      <c r="G7436" t="s">
        <v>46570</v>
      </c>
      <c r="H7436" t="e" vm="3220">
        <f>_FV(0,"011818277982302956")</f>
        <v>#VALUE!</v>
      </c>
      <c r="I7436" t="s">
        <v>46571</v>
      </c>
      <c r="J7436" t="s">
        <v>46572</v>
      </c>
      <c r="K7436" t="s">
        <v>46573</v>
      </c>
      <c r="L7436" t="s">
        <v>46567</v>
      </c>
    </row>
    <row r="7437" spans="1:12" x14ac:dyDescent="0.25">
      <c r="A7437">
        <v>1291183</v>
      </c>
      <c r="B7437">
        <v>1291189</v>
      </c>
      <c r="D7437">
        <v>0</v>
      </c>
      <c r="E7437" t="s">
        <v>46575</v>
      </c>
      <c r="F7437" t="s">
        <v>46576</v>
      </c>
      <c r="G7437" t="s">
        <v>46577</v>
      </c>
      <c r="H7437" t="e" vm="3221">
        <f>_FV(0,"03687670395877375")</f>
        <v>#VALUE!</v>
      </c>
      <c r="I7437" t="s">
        <v>46578</v>
      </c>
      <c r="J7437" t="s">
        <v>46579</v>
      </c>
      <c r="K7437" t="s">
        <v>46580</v>
      </c>
      <c r="L7437" t="s">
        <v>46574</v>
      </c>
    </row>
    <row r="7438" spans="1:12" x14ac:dyDescent="0.25">
      <c r="A7438">
        <v>1291183</v>
      </c>
      <c r="B7438">
        <v>1291195</v>
      </c>
      <c r="D7438">
        <v>0</v>
      </c>
      <c r="E7438" t="s">
        <v>46582</v>
      </c>
      <c r="F7438" t="s">
        <v>46583</v>
      </c>
      <c r="G7438" t="s">
        <v>46584</v>
      </c>
      <c r="H7438" t="e" vm="3222">
        <f>_FV(0,"01394877220910361")</f>
        <v>#VALUE!</v>
      </c>
      <c r="I7438" t="s">
        <v>46585</v>
      </c>
      <c r="J7438" t="s">
        <v>46586</v>
      </c>
      <c r="K7438" t="s">
        <v>46587</v>
      </c>
      <c r="L7438" t="s">
        <v>46581</v>
      </c>
    </row>
    <row r="7439" spans="1:12" x14ac:dyDescent="0.25">
      <c r="A7439">
        <v>1291189</v>
      </c>
      <c r="B7439">
        <v>1757000</v>
      </c>
      <c r="D7439">
        <v>0</v>
      </c>
      <c r="E7439" t="s">
        <v>46589</v>
      </c>
      <c r="F7439" t="s">
        <v>46590</v>
      </c>
      <c r="G7439" t="s">
        <v>46591</v>
      </c>
      <c r="H7439" t="s">
        <v>46592</v>
      </c>
      <c r="I7439" t="s">
        <v>46593</v>
      </c>
      <c r="J7439" t="s">
        <v>46594</v>
      </c>
      <c r="K7439" t="s">
        <v>46595</v>
      </c>
      <c r="L7439" t="s">
        <v>46588</v>
      </c>
    </row>
    <row r="7440" spans="1:12" x14ac:dyDescent="0.25">
      <c r="A7440">
        <v>1291189</v>
      </c>
      <c r="B7440">
        <v>1291195</v>
      </c>
      <c r="D7440">
        <v>0</v>
      </c>
      <c r="E7440" t="s">
        <v>46597</v>
      </c>
      <c r="F7440" t="s">
        <v>46598</v>
      </c>
      <c r="G7440" t="s">
        <v>46599</v>
      </c>
      <c r="H7440" t="e" vm="3223">
        <f>_FV(0,"048124641021727074")</f>
        <v>#VALUE!</v>
      </c>
      <c r="I7440" t="s">
        <v>46600</v>
      </c>
      <c r="J7440" t="s">
        <v>46601</v>
      </c>
      <c r="K7440" t="s">
        <v>46602</v>
      </c>
      <c r="L7440" t="s">
        <v>46596</v>
      </c>
    </row>
    <row r="7441" spans="1:12" x14ac:dyDescent="0.25">
      <c r="A7441">
        <v>1291195</v>
      </c>
      <c r="B7441">
        <v>1291275</v>
      </c>
      <c r="D7441">
        <v>0</v>
      </c>
      <c r="F7441">
        <v>2025289</v>
      </c>
      <c r="G7441">
        <v>1291195</v>
      </c>
      <c r="H7441" t="e" vm="30">
        <f>_FV(0,"027")</f>
        <v>#VALUE!</v>
      </c>
      <c r="I7441">
        <v>1291275</v>
      </c>
      <c r="J7441" t="s">
        <v>467</v>
      </c>
      <c r="K7441" t="s">
        <v>46603</v>
      </c>
      <c r="L7441" t="e" vm="30">
        <f>_FV(0,"027")</f>
        <v>#VALUE!</v>
      </c>
    </row>
    <row r="7442" spans="1:12" x14ac:dyDescent="0.25">
      <c r="A7442">
        <v>1291200</v>
      </c>
      <c r="B7442">
        <v>1291224</v>
      </c>
      <c r="D7442">
        <v>0</v>
      </c>
      <c r="F7442">
        <v>1412158</v>
      </c>
      <c r="G7442">
        <v>1291224</v>
      </c>
      <c r="H7442" t="s">
        <v>2674</v>
      </c>
      <c r="I7442">
        <v>1291200</v>
      </c>
      <c r="J7442" t="s">
        <v>2674</v>
      </c>
      <c r="K7442" t="s">
        <v>46604</v>
      </c>
      <c r="L7442" t="s">
        <v>2674</v>
      </c>
    </row>
    <row r="7443" spans="1:12" x14ac:dyDescent="0.25">
      <c r="A7443">
        <v>1291200</v>
      </c>
      <c r="B7443">
        <v>1291216</v>
      </c>
      <c r="D7443" t="s">
        <v>514</v>
      </c>
      <c r="E7443" t="s">
        <v>46606</v>
      </c>
      <c r="F7443" t="s">
        <v>46607</v>
      </c>
      <c r="G7443" t="s">
        <v>46608</v>
      </c>
      <c r="H7443" t="s">
        <v>46609</v>
      </c>
      <c r="I7443" t="s">
        <v>46610</v>
      </c>
      <c r="J7443" t="s">
        <v>46611</v>
      </c>
      <c r="K7443" t="s">
        <v>46612</v>
      </c>
      <c r="L7443" t="s">
        <v>46605</v>
      </c>
    </row>
    <row r="7444" spans="1:12" x14ac:dyDescent="0.25">
      <c r="A7444">
        <v>1291200</v>
      </c>
      <c r="B7444">
        <v>1291319</v>
      </c>
      <c r="D7444">
        <v>0</v>
      </c>
      <c r="E7444" t="s">
        <v>46614</v>
      </c>
      <c r="F7444" t="s">
        <v>46615</v>
      </c>
      <c r="G7444" t="s">
        <v>46616</v>
      </c>
      <c r="H7444" t="s">
        <v>46617</v>
      </c>
      <c r="I7444" t="s">
        <v>46618</v>
      </c>
      <c r="J7444" t="s">
        <v>46613</v>
      </c>
      <c r="K7444" t="s">
        <v>46619</v>
      </c>
      <c r="L7444" t="s">
        <v>46613</v>
      </c>
    </row>
    <row r="7445" spans="1:12" x14ac:dyDescent="0.25">
      <c r="A7445">
        <v>1291200</v>
      </c>
      <c r="B7445">
        <v>1753306</v>
      </c>
      <c r="C7445" t="s">
        <v>46621</v>
      </c>
      <c r="D7445" t="s">
        <v>9991</v>
      </c>
      <c r="E7445" t="s">
        <v>46622</v>
      </c>
      <c r="F7445" t="s">
        <v>46623</v>
      </c>
      <c r="G7445" t="s">
        <v>46624</v>
      </c>
      <c r="H7445" t="e" vm="3224">
        <f>_FV(0,"008075606504027638")</f>
        <v>#VALUE!</v>
      </c>
      <c r="I7445" t="s">
        <v>46625</v>
      </c>
      <c r="J7445" t="s">
        <v>46626</v>
      </c>
      <c r="K7445" t="s">
        <v>46627</v>
      </c>
      <c r="L7445" t="s">
        <v>46620</v>
      </c>
    </row>
    <row r="7446" spans="1:12" x14ac:dyDescent="0.25">
      <c r="A7446">
        <v>1291216</v>
      </c>
      <c r="B7446">
        <v>1602247</v>
      </c>
      <c r="D7446" t="s">
        <v>16303</v>
      </c>
      <c r="E7446" t="s">
        <v>46629</v>
      </c>
      <c r="F7446" t="s">
        <v>46630</v>
      </c>
      <c r="G7446" t="s">
        <v>46631</v>
      </c>
      <c r="H7446" t="s">
        <v>46632</v>
      </c>
      <c r="I7446" t="s">
        <v>46633</v>
      </c>
      <c r="J7446" t="s">
        <v>46634</v>
      </c>
      <c r="K7446" t="s">
        <v>46635</v>
      </c>
      <c r="L7446" t="s">
        <v>46628</v>
      </c>
    </row>
    <row r="7447" spans="1:12" x14ac:dyDescent="0.25">
      <c r="A7447">
        <v>1291216</v>
      </c>
      <c r="B7447">
        <v>1291319</v>
      </c>
      <c r="D7447" t="s">
        <v>514</v>
      </c>
      <c r="E7447" t="s">
        <v>46637</v>
      </c>
      <c r="F7447" t="s">
        <v>46638</v>
      </c>
      <c r="G7447" t="s">
        <v>46639</v>
      </c>
      <c r="H7447" t="s">
        <v>46640</v>
      </c>
      <c r="I7447" t="s">
        <v>46641</v>
      </c>
      <c r="J7447" t="s">
        <v>46642</v>
      </c>
      <c r="K7447" t="s">
        <v>46643</v>
      </c>
      <c r="L7447" t="s">
        <v>46636</v>
      </c>
    </row>
    <row r="7448" spans="1:12" x14ac:dyDescent="0.25">
      <c r="A7448">
        <v>1291224</v>
      </c>
      <c r="B7448">
        <v>1291241</v>
      </c>
      <c r="D7448" t="s">
        <v>204</v>
      </c>
      <c r="E7448" t="s">
        <v>46645</v>
      </c>
      <c r="F7448" t="s">
        <v>46646</v>
      </c>
      <c r="G7448" t="s">
        <v>46647</v>
      </c>
      <c r="H7448" t="s">
        <v>46648</v>
      </c>
      <c r="I7448" t="s">
        <v>46649</v>
      </c>
      <c r="J7448" t="s">
        <v>46650</v>
      </c>
      <c r="K7448" t="s">
        <v>46651</v>
      </c>
      <c r="L7448" t="s">
        <v>46644</v>
      </c>
    </row>
    <row r="7449" spans="1:12" x14ac:dyDescent="0.25">
      <c r="A7449">
        <v>1291224</v>
      </c>
      <c r="B7449">
        <v>1757000</v>
      </c>
      <c r="D7449">
        <v>0</v>
      </c>
      <c r="E7449" t="s">
        <v>46653</v>
      </c>
      <c r="F7449" t="s">
        <v>46654</v>
      </c>
      <c r="G7449" t="s">
        <v>46655</v>
      </c>
      <c r="H7449" t="s">
        <v>46656</v>
      </c>
      <c r="I7449" t="s">
        <v>46657</v>
      </c>
      <c r="J7449" t="s">
        <v>46658</v>
      </c>
      <c r="K7449" t="s">
        <v>46659</v>
      </c>
      <c r="L7449" t="s">
        <v>46652</v>
      </c>
    </row>
    <row r="7450" spans="1:12" x14ac:dyDescent="0.25">
      <c r="A7450">
        <v>1291241</v>
      </c>
      <c r="B7450">
        <v>1291275</v>
      </c>
      <c r="D7450" t="s">
        <v>514</v>
      </c>
      <c r="E7450" t="s">
        <v>46661</v>
      </c>
      <c r="F7450" t="s">
        <v>46662</v>
      </c>
      <c r="G7450" t="s">
        <v>46663</v>
      </c>
      <c r="H7450" t="e" vm="3225">
        <f>_FV(0,"017763666149244992")</f>
        <v>#VALUE!</v>
      </c>
      <c r="I7450" t="s">
        <v>46664</v>
      </c>
      <c r="J7450" t="s">
        <v>46665</v>
      </c>
      <c r="K7450" t="s">
        <v>46666</v>
      </c>
      <c r="L7450" t="s">
        <v>46660</v>
      </c>
    </row>
    <row r="7451" spans="1:12" x14ac:dyDescent="0.25">
      <c r="A7451">
        <v>1291275</v>
      </c>
      <c r="B7451">
        <v>1757000</v>
      </c>
      <c r="D7451">
        <v>0</v>
      </c>
      <c r="F7451">
        <v>2025280</v>
      </c>
      <c r="G7451">
        <v>1291275</v>
      </c>
      <c r="H7451" t="s">
        <v>1939</v>
      </c>
      <c r="I7451">
        <v>1757000</v>
      </c>
      <c r="J7451" t="s">
        <v>1939</v>
      </c>
      <c r="K7451" t="s">
        <v>46667</v>
      </c>
      <c r="L7451" t="s">
        <v>1939</v>
      </c>
    </row>
    <row r="7452" spans="1:12" x14ac:dyDescent="0.25">
      <c r="A7452">
        <v>1291336</v>
      </c>
      <c r="B7452">
        <v>1291443</v>
      </c>
      <c r="D7452">
        <v>0</v>
      </c>
      <c r="E7452" t="s">
        <v>46669</v>
      </c>
      <c r="F7452" t="s">
        <v>46670</v>
      </c>
      <c r="G7452" t="s">
        <v>46671</v>
      </c>
      <c r="H7452" t="e" vm="3226">
        <f>_FV(0,"004086818957302021")</f>
        <v>#VALUE!</v>
      </c>
      <c r="I7452" t="s">
        <v>46672</v>
      </c>
      <c r="J7452" t="s">
        <v>46673</v>
      </c>
      <c r="K7452" t="s">
        <v>46674</v>
      </c>
      <c r="L7452" t="s">
        <v>46668</v>
      </c>
    </row>
    <row r="7453" spans="1:12" x14ac:dyDescent="0.25">
      <c r="A7453">
        <v>1291516</v>
      </c>
      <c r="B7453">
        <v>1291531</v>
      </c>
      <c r="D7453">
        <v>0</v>
      </c>
      <c r="E7453" t="s">
        <v>46676</v>
      </c>
      <c r="F7453" t="s">
        <v>46677</v>
      </c>
      <c r="G7453" t="s">
        <v>46678</v>
      </c>
      <c r="H7453" t="e" vm="3227">
        <f>_FV(0,"005274660761210849")</f>
        <v>#VALUE!</v>
      </c>
      <c r="I7453" t="s">
        <v>46679</v>
      </c>
      <c r="J7453" t="s">
        <v>46680</v>
      </c>
      <c r="K7453" t="s">
        <v>46681</v>
      </c>
      <c r="L7453" t="s">
        <v>46675</v>
      </c>
    </row>
    <row r="7454" spans="1:12" x14ac:dyDescent="0.25">
      <c r="A7454">
        <v>1291531</v>
      </c>
      <c r="B7454">
        <v>1459275</v>
      </c>
      <c r="D7454">
        <v>0</v>
      </c>
      <c r="F7454">
        <v>1632002</v>
      </c>
      <c r="G7454">
        <v>1459275</v>
      </c>
      <c r="H7454" t="s">
        <v>1687</v>
      </c>
      <c r="I7454">
        <v>1291531</v>
      </c>
      <c r="J7454" t="s">
        <v>1687</v>
      </c>
      <c r="K7454" t="s">
        <v>46682</v>
      </c>
      <c r="L7454" t="s">
        <v>1687</v>
      </c>
    </row>
    <row r="7455" spans="1:12" x14ac:dyDescent="0.25">
      <c r="A7455">
        <v>1291531</v>
      </c>
      <c r="B7455">
        <v>1459316</v>
      </c>
      <c r="D7455">
        <v>0</v>
      </c>
      <c r="E7455" t="s">
        <v>46684</v>
      </c>
      <c r="F7455" t="s">
        <v>46685</v>
      </c>
      <c r="G7455" t="s">
        <v>46686</v>
      </c>
      <c r="H7455" t="e" vm="3228">
        <f>_FV(0,"024846614579196544")</f>
        <v>#VALUE!</v>
      </c>
      <c r="I7455" t="s">
        <v>46687</v>
      </c>
      <c r="J7455" t="s">
        <v>46688</v>
      </c>
      <c r="K7455" t="s">
        <v>46689</v>
      </c>
      <c r="L7455" t="s">
        <v>46683</v>
      </c>
    </row>
    <row r="7456" spans="1:12" x14ac:dyDescent="0.25">
      <c r="A7456">
        <v>1291538</v>
      </c>
      <c r="B7456">
        <v>1459284</v>
      </c>
      <c r="D7456">
        <v>0</v>
      </c>
      <c r="F7456">
        <v>1632021</v>
      </c>
      <c r="G7456">
        <v>1291538</v>
      </c>
      <c r="H7456" t="e" vm="350">
        <f>_FV(0,"009")</f>
        <v>#VALUE!</v>
      </c>
      <c r="I7456">
        <v>1459284</v>
      </c>
      <c r="J7456" t="s">
        <v>2068</v>
      </c>
      <c r="K7456" t="s">
        <v>46690</v>
      </c>
      <c r="L7456" t="e" vm="350">
        <f>_FV(0,"009")</f>
        <v>#VALUE!</v>
      </c>
    </row>
    <row r="7457" spans="1:12" x14ac:dyDescent="0.25">
      <c r="A7457">
        <v>1291538</v>
      </c>
      <c r="B7457">
        <v>1459320</v>
      </c>
      <c r="D7457">
        <v>0</v>
      </c>
      <c r="E7457" t="s">
        <v>46692</v>
      </c>
      <c r="F7457" t="s">
        <v>46693</v>
      </c>
      <c r="G7457" t="s">
        <v>46694</v>
      </c>
      <c r="H7457" t="s">
        <v>46695</v>
      </c>
      <c r="I7457" t="s">
        <v>46696</v>
      </c>
      <c r="J7457" t="s">
        <v>46697</v>
      </c>
      <c r="K7457" t="s">
        <v>46698</v>
      </c>
      <c r="L7457" t="s">
        <v>46691</v>
      </c>
    </row>
    <row r="7458" spans="1:12" x14ac:dyDescent="0.25">
      <c r="A7458">
        <v>1291627</v>
      </c>
      <c r="B7458">
        <v>1291636</v>
      </c>
      <c r="D7458">
        <v>0</v>
      </c>
      <c r="E7458" t="s">
        <v>46700</v>
      </c>
      <c r="F7458" t="s">
        <v>46701</v>
      </c>
      <c r="G7458" t="s">
        <v>46702</v>
      </c>
      <c r="H7458" t="e" vm="3229">
        <f>_FV(0,"04073781891485055")</f>
        <v>#VALUE!</v>
      </c>
      <c r="I7458" t="s">
        <v>46703</v>
      </c>
      <c r="J7458" t="s">
        <v>46704</v>
      </c>
      <c r="K7458" t="s">
        <v>46705</v>
      </c>
      <c r="L7458" t="s">
        <v>46699</v>
      </c>
    </row>
    <row r="7459" spans="1:12" x14ac:dyDescent="0.25">
      <c r="A7459">
        <v>1291627</v>
      </c>
      <c r="B7459">
        <v>1291636</v>
      </c>
      <c r="D7459">
        <v>0</v>
      </c>
      <c r="E7459" t="s">
        <v>46707</v>
      </c>
      <c r="F7459" t="s">
        <v>46708</v>
      </c>
      <c r="G7459" t="s">
        <v>46709</v>
      </c>
      <c r="H7459" t="e" vm="3230">
        <f>_FV(0,"0400759623977543")</f>
        <v>#VALUE!</v>
      </c>
      <c r="I7459" t="s">
        <v>46710</v>
      </c>
      <c r="J7459" t="s">
        <v>46711</v>
      </c>
      <c r="K7459" t="s">
        <v>46712</v>
      </c>
      <c r="L7459" t="s">
        <v>46706</v>
      </c>
    </row>
    <row r="7460" spans="1:12" x14ac:dyDescent="0.25">
      <c r="A7460">
        <v>1291973</v>
      </c>
      <c r="B7460">
        <v>1292031</v>
      </c>
      <c r="D7460">
        <v>0</v>
      </c>
      <c r="E7460" t="s">
        <v>46714</v>
      </c>
      <c r="F7460" t="s">
        <v>46715</v>
      </c>
      <c r="G7460" t="s">
        <v>46716</v>
      </c>
      <c r="H7460" t="e" vm="3231">
        <f>_FV(0,"0002854570712497351")</f>
        <v>#VALUE!</v>
      </c>
      <c r="I7460" t="s">
        <v>46717</v>
      </c>
      <c r="J7460" t="s">
        <v>4972</v>
      </c>
      <c r="K7460" t="s">
        <v>46718</v>
      </c>
      <c r="L7460" t="s">
        <v>46713</v>
      </c>
    </row>
    <row r="7461" spans="1:12" x14ac:dyDescent="0.25">
      <c r="A7461">
        <v>1291973</v>
      </c>
      <c r="B7461">
        <v>1752953</v>
      </c>
      <c r="D7461">
        <v>0</v>
      </c>
      <c r="E7461" t="s">
        <v>46720</v>
      </c>
      <c r="F7461" t="s">
        <v>46721</v>
      </c>
      <c r="G7461" t="s">
        <v>46722</v>
      </c>
      <c r="H7461" t="s">
        <v>46723</v>
      </c>
      <c r="I7461" t="s">
        <v>46724</v>
      </c>
      <c r="J7461" t="s">
        <v>46719</v>
      </c>
      <c r="K7461" t="s">
        <v>46725</v>
      </c>
      <c r="L7461" t="s">
        <v>46719</v>
      </c>
    </row>
    <row r="7462" spans="1:12" x14ac:dyDescent="0.25">
      <c r="A7462">
        <v>1291973</v>
      </c>
      <c r="B7462">
        <v>1757665</v>
      </c>
      <c r="D7462">
        <v>0</v>
      </c>
      <c r="E7462" t="s">
        <v>46726</v>
      </c>
      <c r="F7462" t="s">
        <v>46727</v>
      </c>
      <c r="G7462" t="s">
        <v>46728</v>
      </c>
      <c r="H7462" t="e" vm="3232">
        <f>_FV(0,"0117277156940121")</f>
        <v>#VALUE!</v>
      </c>
      <c r="I7462" t="s">
        <v>46729</v>
      </c>
      <c r="J7462" t="s">
        <v>14529</v>
      </c>
      <c r="K7462" t="s">
        <v>46730</v>
      </c>
      <c r="L7462" t="s">
        <v>14524</v>
      </c>
    </row>
    <row r="7463" spans="1:12" x14ac:dyDescent="0.25">
      <c r="A7463">
        <v>1291983</v>
      </c>
      <c r="B7463">
        <v>1291994</v>
      </c>
      <c r="D7463">
        <v>0</v>
      </c>
      <c r="E7463" t="s">
        <v>46732</v>
      </c>
      <c r="F7463" t="s">
        <v>46733</v>
      </c>
      <c r="G7463" t="s">
        <v>46734</v>
      </c>
      <c r="H7463" t="s">
        <v>46735</v>
      </c>
      <c r="I7463" t="s">
        <v>46736</v>
      </c>
      <c r="J7463" t="s">
        <v>46737</v>
      </c>
      <c r="K7463" t="s">
        <v>46738</v>
      </c>
      <c r="L7463" t="s">
        <v>46731</v>
      </c>
    </row>
    <row r="7464" spans="1:12" x14ac:dyDescent="0.25">
      <c r="A7464">
        <v>1291983</v>
      </c>
      <c r="B7464">
        <v>1292019</v>
      </c>
      <c r="D7464">
        <v>0</v>
      </c>
      <c r="E7464" t="s">
        <v>46739</v>
      </c>
      <c r="F7464" t="s">
        <v>46740</v>
      </c>
      <c r="G7464" t="s">
        <v>46741</v>
      </c>
      <c r="H7464" t="e" vm="3233">
        <f>_FV(0,"013044504983825606")</f>
        <v>#VALUE!</v>
      </c>
      <c r="I7464" t="s">
        <v>46742</v>
      </c>
      <c r="J7464" t="s">
        <v>6406</v>
      </c>
      <c r="K7464" t="s">
        <v>46743</v>
      </c>
      <c r="L7464" t="s">
        <v>6401</v>
      </c>
    </row>
    <row r="7465" spans="1:12" x14ac:dyDescent="0.25">
      <c r="A7465">
        <v>1291983</v>
      </c>
      <c r="B7465">
        <v>1292031</v>
      </c>
      <c r="D7465">
        <v>0</v>
      </c>
      <c r="E7465" t="s">
        <v>46745</v>
      </c>
      <c r="F7465" t="s">
        <v>46746</v>
      </c>
      <c r="G7465" t="s">
        <v>46747</v>
      </c>
      <c r="H7465" t="s">
        <v>46748</v>
      </c>
      <c r="I7465" t="s">
        <v>46749</v>
      </c>
      <c r="J7465" t="s">
        <v>1333</v>
      </c>
      <c r="K7465" t="s">
        <v>46750</v>
      </c>
      <c r="L7465" t="s">
        <v>46744</v>
      </c>
    </row>
    <row r="7466" spans="1:12" x14ac:dyDescent="0.25">
      <c r="A7466">
        <v>1291994</v>
      </c>
      <c r="B7466">
        <v>1292004</v>
      </c>
      <c r="D7466">
        <v>0</v>
      </c>
      <c r="E7466" t="s">
        <v>46752</v>
      </c>
      <c r="F7466" t="s">
        <v>46753</v>
      </c>
      <c r="G7466" t="s">
        <v>46754</v>
      </c>
      <c r="H7466" t="s">
        <v>46755</v>
      </c>
      <c r="I7466" t="s">
        <v>46756</v>
      </c>
      <c r="J7466" t="s">
        <v>46751</v>
      </c>
      <c r="K7466" t="s">
        <v>46757</v>
      </c>
      <c r="L7466" t="s">
        <v>46751</v>
      </c>
    </row>
    <row r="7467" spans="1:12" x14ac:dyDescent="0.25">
      <c r="A7467">
        <v>1291994</v>
      </c>
      <c r="B7467">
        <v>1292044</v>
      </c>
      <c r="D7467">
        <v>0</v>
      </c>
      <c r="E7467" t="s">
        <v>46759</v>
      </c>
      <c r="F7467" t="s">
        <v>46760</v>
      </c>
      <c r="G7467" t="s">
        <v>46761</v>
      </c>
      <c r="H7467" t="s">
        <v>46762</v>
      </c>
      <c r="I7467" t="s">
        <v>46763</v>
      </c>
      <c r="J7467" t="s">
        <v>46758</v>
      </c>
      <c r="K7467" t="s">
        <v>46764</v>
      </c>
      <c r="L7467" t="s">
        <v>46758</v>
      </c>
    </row>
    <row r="7468" spans="1:12" x14ac:dyDescent="0.25">
      <c r="A7468">
        <v>1292004</v>
      </c>
      <c r="B7468">
        <v>1292019</v>
      </c>
      <c r="D7468">
        <v>0</v>
      </c>
      <c r="E7468" t="s">
        <v>46766</v>
      </c>
      <c r="F7468" t="s">
        <v>46767</v>
      </c>
      <c r="G7468" t="s">
        <v>46768</v>
      </c>
      <c r="H7468" t="e" vm="3234">
        <f>_FV(0,"004851782609203819")</f>
        <v>#VALUE!</v>
      </c>
      <c r="I7468" t="s">
        <v>46769</v>
      </c>
      <c r="J7468" t="s">
        <v>46770</v>
      </c>
      <c r="K7468" t="s">
        <v>46771</v>
      </c>
      <c r="L7468" t="s">
        <v>46765</v>
      </c>
    </row>
    <row r="7469" spans="1:12" x14ac:dyDescent="0.25">
      <c r="A7469">
        <v>1292004</v>
      </c>
      <c r="B7469">
        <v>1292044</v>
      </c>
      <c r="D7469">
        <v>0</v>
      </c>
      <c r="E7469" t="s">
        <v>46772</v>
      </c>
      <c r="F7469" t="s">
        <v>46773</v>
      </c>
      <c r="G7469" t="s">
        <v>46774</v>
      </c>
      <c r="H7469" t="s">
        <v>1783</v>
      </c>
      <c r="I7469" t="s">
        <v>46775</v>
      </c>
      <c r="J7469" t="s">
        <v>1783</v>
      </c>
      <c r="K7469" t="s">
        <v>46776</v>
      </c>
      <c r="L7469" t="s">
        <v>1783</v>
      </c>
    </row>
    <row r="7470" spans="1:12" x14ac:dyDescent="0.25">
      <c r="A7470">
        <v>1292019</v>
      </c>
      <c r="B7470">
        <v>1292031</v>
      </c>
      <c r="D7470">
        <v>0</v>
      </c>
      <c r="E7470" t="s">
        <v>46777</v>
      </c>
      <c r="F7470" t="s">
        <v>46778</v>
      </c>
      <c r="G7470" t="s">
        <v>46779</v>
      </c>
      <c r="H7470" t="s">
        <v>46780</v>
      </c>
      <c r="I7470" t="s">
        <v>46781</v>
      </c>
      <c r="J7470" t="s">
        <v>5579</v>
      </c>
      <c r="K7470" t="s">
        <v>46782</v>
      </c>
      <c r="L7470" t="s">
        <v>5579</v>
      </c>
    </row>
    <row r="7471" spans="1:12" x14ac:dyDescent="0.25">
      <c r="A7471">
        <v>1294086</v>
      </c>
      <c r="B7471">
        <v>1294102</v>
      </c>
      <c r="D7471">
        <v>0</v>
      </c>
      <c r="E7471" t="s">
        <v>46784</v>
      </c>
      <c r="F7471" t="s">
        <v>46785</v>
      </c>
      <c r="G7471" t="s">
        <v>46786</v>
      </c>
      <c r="H7471" t="s">
        <v>46787</v>
      </c>
      <c r="I7471" t="s">
        <v>46788</v>
      </c>
      <c r="J7471" t="s">
        <v>46783</v>
      </c>
      <c r="K7471" t="s">
        <v>46789</v>
      </c>
      <c r="L7471" t="s">
        <v>46783</v>
      </c>
    </row>
    <row r="7472" spans="1:12" x14ac:dyDescent="0.25">
      <c r="A7472">
        <v>1294086</v>
      </c>
      <c r="B7472">
        <v>1300666</v>
      </c>
      <c r="D7472">
        <v>0</v>
      </c>
      <c r="E7472" t="s">
        <v>46791</v>
      </c>
      <c r="F7472" t="s">
        <v>46792</v>
      </c>
      <c r="G7472" t="s">
        <v>46793</v>
      </c>
      <c r="H7472" t="s">
        <v>46794</v>
      </c>
      <c r="I7472" t="s">
        <v>46795</v>
      </c>
      <c r="J7472" t="s">
        <v>46796</v>
      </c>
      <c r="K7472" t="s">
        <v>46797</v>
      </c>
      <c r="L7472" t="s">
        <v>46790</v>
      </c>
    </row>
    <row r="7473" spans="1:12" x14ac:dyDescent="0.25">
      <c r="A7473">
        <v>1294086</v>
      </c>
      <c r="B7473">
        <v>1300651</v>
      </c>
      <c r="D7473">
        <v>0</v>
      </c>
      <c r="F7473">
        <v>1427053</v>
      </c>
      <c r="G7473">
        <v>1294086</v>
      </c>
      <c r="H7473" t="e" vm="3235">
        <f>_FV(0,"469")</f>
        <v>#VALUE!</v>
      </c>
      <c r="I7473">
        <v>1300651</v>
      </c>
      <c r="J7473" t="s">
        <v>46798</v>
      </c>
      <c r="K7473" t="s">
        <v>46799</v>
      </c>
      <c r="L7473" t="e" vm="3235">
        <f>_FV(0,"469")</f>
        <v>#VALUE!</v>
      </c>
    </row>
    <row r="7474" spans="1:12" x14ac:dyDescent="0.25">
      <c r="A7474">
        <v>1294102</v>
      </c>
      <c r="B7474">
        <v>1300666</v>
      </c>
      <c r="D7474">
        <v>0</v>
      </c>
      <c r="E7474" t="s">
        <v>46801</v>
      </c>
      <c r="F7474" t="s">
        <v>46802</v>
      </c>
      <c r="G7474" t="s">
        <v>46803</v>
      </c>
      <c r="H7474" t="s">
        <v>46804</v>
      </c>
      <c r="I7474" t="s">
        <v>46805</v>
      </c>
      <c r="J7474" t="s">
        <v>46806</v>
      </c>
      <c r="K7474" t="s">
        <v>46807</v>
      </c>
      <c r="L7474" t="s">
        <v>46800</v>
      </c>
    </row>
    <row r="7475" spans="1:12" x14ac:dyDescent="0.25">
      <c r="A7475">
        <v>1294187</v>
      </c>
      <c r="B7475">
        <v>1757324</v>
      </c>
      <c r="C7475" t="s">
        <v>187</v>
      </c>
      <c r="D7475">
        <v>0</v>
      </c>
      <c r="E7475" t="s">
        <v>46809</v>
      </c>
      <c r="F7475" t="s">
        <v>46810</v>
      </c>
      <c r="G7475" t="s">
        <v>46811</v>
      </c>
      <c r="H7475" t="s">
        <v>46812</v>
      </c>
      <c r="I7475" t="s">
        <v>46813</v>
      </c>
      <c r="J7475" t="s">
        <v>46808</v>
      </c>
      <c r="K7475" t="s">
        <v>46814</v>
      </c>
      <c r="L7475" t="s">
        <v>46808</v>
      </c>
    </row>
    <row r="7476" spans="1:12" x14ac:dyDescent="0.25">
      <c r="A7476">
        <v>1294187</v>
      </c>
      <c r="B7476">
        <v>1300815</v>
      </c>
      <c r="D7476">
        <v>0</v>
      </c>
      <c r="E7476" t="s">
        <v>46816</v>
      </c>
      <c r="F7476" t="s">
        <v>46817</v>
      </c>
      <c r="G7476" t="s">
        <v>46818</v>
      </c>
      <c r="H7476" t="e" vm="3236">
        <f>_FV(0,"00023080606339496984")</f>
        <v>#VALUE!</v>
      </c>
      <c r="I7476" t="s">
        <v>46819</v>
      </c>
      <c r="J7476" t="s">
        <v>46820</v>
      </c>
      <c r="K7476" t="s">
        <v>46821</v>
      </c>
      <c r="L7476" t="s">
        <v>46815</v>
      </c>
    </row>
    <row r="7477" spans="1:12" x14ac:dyDescent="0.25">
      <c r="A7477">
        <v>1294231</v>
      </c>
      <c r="B7477">
        <v>1294239</v>
      </c>
      <c r="D7477">
        <v>0</v>
      </c>
      <c r="E7477" t="s">
        <v>46822</v>
      </c>
      <c r="F7477" t="s">
        <v>46823</v>
      </c>
      <c r="G7477" t="s">
        <v>46824</v>
      </c>
      <c r="H7477" t="s">
        <v>46825</v>
      </c>
      <c r="I7477" t="s">
        <v>46826</v>
      </c>
      <c r="J7477" t="s">
        <v>5783</v>
      </c>
      <c r="K7477" t="s">
        <v>46827</v>
      </c>
      <c r="L7477" t="s">
        <v>5783</v>
      </c>
    </row>
    <row r="7478" spans="1:12" x14ac:dyDescent="0.25">
      <c r="A7478">
        <v>1294231</v>
      </c>
      <c r="B7478">
        <v>1301021</v>
      </c>
      <c r="D7478">
        <v>0</v>
      </c>
      <c r="E7478" t="s">
        <v>46829</v>
      </c>
      <c r="F7478" t="s">
        <v>46830</v>
      </c>
      <c r="G7478" t="s">
        <v>46831</v>
      </c>
      <c r="H7478" t="e" vm="3237">
        <f>_FV(0,"0368319815995198")</f>
        <v>#VALUE!</v>
      </c>
      <c r="I7478" t="s">
        <v>46832</v>
      </c>
      <c r="J7478" t="s">
        <v>46833</v>
      </c>
      <c r="K7478" t="s">
        <v>46834</v>
      </c>
      <c r="L7478" t="s">
        <v>46828</v>
      </c>
    </row>
    <row r="7479" spans="1:12" x14ac:dyDescent="0.25">
      <c r="A7479">
        <v>1294231</v>
      </c>
      <c r="B7479">
        <v>1757262</v>
      </c>
      <c r="D7479" t="s">
        <v>10538</v>
      </c>
      <c r="E7479" t="s">
        <v>46836</v>
      </c>
      <c r="F7479" t="s">
        <v>46837</v>
      </c>
      <c r="G7479" t="s">
        <v>46838</v>
      </c>
      <c r="H7479" t="s">
        <v>46839</v>
      </c>
      <c r="I7479" t="s">
        <v>46840</v>
      </c>
      <c r="J7479" t="s">
        <v>46841</v>
      </c>
      <c r="K7479" t="s">
        <v>46842</v>
      </c>
      <c r="L7479" t="s">
        <v>46835</v>
      </c>
    </row>
    <row r="7480" spans="1:12" x14ac:dyDescent="0.25">
      <c r="A7480">
        <v>1294239</v>
      </c>
      <c r="B7480">
        <v>1294280</v>
      </c>
      <c r="D7480">
        <v>0</v>
      </c>
      <c r="E7480" t="s">
        <v>46844</v>
      </c>
      <c r="F7480" t="s">
        <v>46845</v>
      </c>
      <c r="G7480" t="s">
        <v>46846</v>
      </c>
      <c r="H7480" t="s">
        <v>46847</v>
      </c>
      <c r="I7480" t="s">
        <v>46848</v>
      </c>
      <c r="J7480" t="s">
        <v>46849</v>
      </c>
      <c r="K7480" t="s">
        <v>46850</v>
      </c>
      <c r="L7480" t="s">
        <v>46843</v>
      </c>
    </row>
    <row r="7481" spans="1:12" x14ac:dyDescent="0.25">
      <c r="A7481">
        <v>1294239</v>
      </c>
      <c r="B7481">
        <v>1301021</v>
      </c>
      <c r="D7481">
        <v>0</v>
      </c>
      <c r="E7481" t="s">
        <v>46852</v>
      </c>
      <c r="F7481" t="s">
        <v>46853</v>
      </c>
      <c r="G7481" t="s">
        <v>46854</v>
      </c>
      <c r="H7481" t="s">
        <v>46855</v>
      </c>
      <c r="I7481" t="s">
        <v>46856</v>
      </c>
      <c r="J7481" t="s">
        <v>46857</v>
      </c>
      <c r="K7481" t="s">
        <v>46858</v>
      </c>
      <c r="L7481" t="s">
        <v>46851</v>
      </c>
    </row>
    <row r="7482" spans="1:12" x14ac:dyDescent="0.25">
      <c r="A7482">
        <v>1294280</v>
      </c>
      <c r="B7482">
        <v>1306909</v>
      </c>
      <c r="D7482">
        <v>0</v>
      </c>
      <c r="E7482" t="s">
        <v>46860</v>
      </c>
      <c r="F7482" t="s">
        <v>46861</v>
      </c>
      <c r="G7482" t="s">
        <v>46862</v>
      </c>
      <c r="H7482" t="s">
        <v>46863</v>
      </c>
      <c r="I7482" t="s">
        <v>46864</v>
      </c>
      <c r="J7482" t="s">
        <v>46865</v>
      </c>
      <c r="K7482" t="s">
        <v>46866</v>
      </c>
      <c r="L7482" t="s">
        <v>46859</v>
      </c>
    </row>
    <row r="7483" spans="1:12" x14ac:dyDescent="0.25">
      <c r="A7483">
        <v>1294280</v>
      </c>
      <c r="B7483">
        <v>1301007</v>
      </c>
      <c r="D7483">
        <v>0</v>
      </c>
      <c r="E7483" t="s">
        <v>46868</v>
      </c>
      <c r="F7483" t="s">
        <v>46869</v>
      </c>
      <c r="G7483" t="s">
        <v>46870</v>
      </c>
      <c r="H7483" t="e" vm="3238">
        <f>_FV(0,"08688651859760746")</f>
        <v>#VALUE!</v>
      </c>
      <c r="I7483" t="s">
        <v>46871</v>
      </c>
      <c r="J7483" t="s">
        <v>46872</v>
      </c>
      <c r="K7483" t="s">
        <v>46873</v>
      </c>
      <c r="L7483" t="s">
        <v>46867</v>
      </c>
    </row>
    <row r="7484" spans="1:12" x14ac:dyDescent="0.25">
      <c r="A7484">
        <v>1294514</v>
      </c>
      <c r="B7484">
        <v>1294519</v>
      </c>
      <c r="D7484">
        <v>0</v>
      </c>
      <c r="E7484" t="s">
        <v>46875</v>
      </c>
      <c r="F7484" t="s">
        <v>46876</v>
      </c>
      <c r="G7484" t="s">
        <v>46877</v>
      </c>
      <c r="H7484" t="e" vm="3239">
        <f>_FV(0,"01267610858892817")</f>
        <v>#VALUE!</v>
      </c>
      <c r="I7484" t="s">
        <v>46878</v>
      </c>
      <c r="J7484" t="s">
        <v>46879</v>
      </c>
      <c r="K7484" t="s">
        <v>46880</v>
      </c>
      <c r="L7484" t="s">
        <v>46874</v>
      </c>
    </row>
    <row r="7485" spans="1:12" x14ac:dyDescent="0.25">
      <c r="A7485">
        <v>1294514</v>
      </c>
      <c r="B7485">
        <v>1294532</v>
      </c>
      <c r="D7485">
        <v>0</v>
      </c>
      <c r="E7485" t="s">
        <v>46882</v>
      </c>
      <c r="F7485" t="s">
        <v>46883</v>
      </c>
      <c r="G7485" t="s">
        <v>46884</v>
      </c>
      <c r="H7485" t="e" vm="3240">
        <f>_FV(0,"019010530592535043")</f>
        <v>#VALUE!</v>
      </c>
      <c r="I7485" t="s">
        <v>46885</v>
      </c>
      <c r="J7485" t="s">
        <v>33449</v>
      </c>
      <c r="K7485" t="s">
        <v>46886</v>
      </c>
      <c r="L7485" t="s">
        <v>46881</v>
      </c>
    </row>
    <row r="7486" spans="1:12" x14ac:dyDescent="0.25">
      <c r="A7486">
        <v>1294514</v>
      </c>
      <c r="B7486">
        <v>1294611</v>
      </c>
      <c r="D7486">
        <v>0</v>
      </c>
      <c r="E7486" t="s">
        <v>46888</v>
      </c>
      <c r="F7486" t="s">
        <v>46889</v>
      </c>
      <c r="G7486" t="s">
        <v>46890</v>
      </c>
      <c r="H7486" t="e" vm="3241">
        <f>_FV(0,"021789914977756182")</f>
        <v>#VALUE!</v>
      </c>
      <c r="I7486" t="s">
        <v>46891</v>
      </c>
      <c r="J7486" t="s">
        <v>46892</v>
      </c>
      <c r="K7486" t="s">
        <v>46893</v>
      </c>
      <c r="L7486" t="s">
        <v>46887</v>
      </c>
    </row>
    <row r="7487" spans="1:12" x14ac:dyDescent="0.25">
      <c r="A7487">
        <v>1294519</v>
      </c>
      <c r="B7487">
        <v>1294522</v>
      </c>
      <c r="D7487">
        <v>0</v>
      </c>
      <c r="E7487" t="s">
        <v>46895</v>
      </c>
      <c r="F7487" t="s">
        <v>46896</v>
      </c>
      <c r="G7487" t="s">
        <v>46897</v>
      </c>
      <c r="H7487" t="s">
        <v>46898</v>
      </c>
      <c r="I7487" t="s">
        <v>46899</v>
      </c>
      <c r="J7487" t="s">
        <v>46900</v>
      </c>
      <c r="K7487" t="s">
        <v>46901</v>
      </c>
      <c r="L7487" t="s">
        <v>46894</v>
      </c>
    </row>
    <row r="7488" spans="1:12" x14ac:dyDescent="0.25">
      <c r="A7488">
        <v>1294519</v>
      </c>
      <c r="B7488">
        <v>1294550</v>
      </c>
      <c r="D7488">
        <v>0</v>
      </c>
      <c r="E7488" t="s">
        <v>46903</v>
      </c>
      <c r="F7488" t="s">
        <v>46904</v>
      </c>
      <c r="G7488" t="s">
        <v>46905</v>
      </c>
      <c r="H7488" t="e" vm="3242">
        <f>_FV(0,"012735445229752071")</f>
        <v>#VALUE!</v>
      </c>
      <c r="I7488" t="s">
        <v>46906</v>
      </c>
      <c r="J7488" t="s">
        <v>46907</v>
      </c>
      <c r="K7488" t="s">
        <v>46908</v>
      </c>
      <c r="L7488" t="s">
        <v>46902</v>
      </c>
    </row>
    <row r="7489" spans="1:12" x14ac:dyDescent="0.25">
      <c r="A7489">
        <v>1294522</v>
      </c>
      <c r="B7489">
        <v>1294532</v>
      </c>
      <c r="D7489">
        <v>0</v>
      </c>
      <c r="E7489" t="s">
        <v>46910</v>
      </c>
      <c r="F7489" t="s">
        <v>46911</v>
      </c>
      <c r="G7489" t="s">
        <v>46912</v>
      </c>
      <c r="H7489" t="s">
        <v>46913</v>
      </c>
      <c r="I7489" t="s">
        <v>46914</v>
      </c>
      <c r="J7489" t="s">
        <v>46909</v>
      </c>
      <c r="K7489" t="s">
        <v>46915</v>
      </c>
      <c r="L7489" t="s">
        <v>46909</v>
      </c>
    </row>
    <row r="7490" spans="1:12" x14ac:dyDescent="0.25">
      <c r="A7490">
        <v>1294522</v>
      </c>
      <c r="B7490">
        <v>1294550</v>
      </c>
      <c r="D7490">
        <v>0</v>
      </c>
      <c r="E7490" t="s">
        <v>46917</v>
      </c>
      <c r="F7490" t="s">
        <v>46918</v>
      </c>
      <c r="G7490" t="s">
        <v>46919</v>
      </c>
      <c r="H7490" t="e" vm="3243">
        <f>_FV(0,"01630377700554682")</f>
        <v>#VALUE!</v>
      </c>
      <c r="I7490" t="s">
        <v>46920</v>
      </c>
      <c r="J7490" t="s">
        <v>46921</v>
      </c>
      <c r="K7490" t="s">
        <v>46922</v>
      </c>
      <c r="L7490" t="s">
        <v>46916</v>
      </c>
    </row>
    <row r="7491" spans="1:12" x14ac:dyDescent="0.25">
      <c r="A7491">
        <v>1294532</v>
      </c>
      <c r="B7491">
        <v>1294611</v>
      </c>
      <c r="D7491">
        <v>0</v>
      </c>
      <c r="E7491" t="s">
        <v>46924</v>
      </c>
      <c r="F7491" t="s">
        <v>46925</v>
      </c>
      <c r="G7491" t="s">
        <v>46926</v>
      </c>
      <c r="H7491" t="e" vm="3244">
        <f>_FV(0,"01096666216577829")</f>
        <v>#VALUE!</v>
      </c>
      <c r="I7491" t="s">
        <v>46927</v>
      </c>
      <c r="J7491" t="s">
        <v>46928</v>
      </c>
      <c r="K7491" t="s">
        <v>46929</v>
      </c>
      <c r="L7491" t="s">
        <v>46923</v>
      </c>
    </row>
    <row r="7492" spans="1:12" x14ac:dyDescent="0.25">
      <c r="A7492">
        <v>1294642</v>
      </c>
      <c r="B7492">
        <v>1294648</v>
      </c>
      <c r="D7492">
        <v>0</v>
      </c>
      <c r="E7492" t="s">
        <v>46930</v>
      </c>
      <c r="F7492" t="s">
        <v>46931</v>
      </c>
      <c r="G7492" t="s">
        <v>46932</v>
      </c>
      <c r="H7492" t="e" vm="3245">
        <f>_FV(0,"011995775364479292")</f>
        <v>#VALUE!</v>
      </c>
      <c r="I7492" t="s">
        <v>46933</v>
      </c>
      <c r="J7492" t="s">
        <v>4147</v>
      </c>
      <c r="K7492" t="s">
        <v>46934</v>
      </c>
      <c r="L7492" t="s">
        <v>4142</v>
      </c>
    </row>
    <row r="7493" spans="1:12" x14ac:dyDescent="0.25">
      <c r="A7493">
        <v>1294642</v>
      </c>
      <c r="B7493">
        <v>1294656</v>
      </c>
      <c r="D7493">
        <v>0</v>
      </c>
      <c r="E7493" t="s">
        <v>46936</v>
      </c>
      <c r="F7493" t="s">
        <v>46937</v>
      </c>
      <c r="G7493" t="s">
        <v>46938</v>
      </c>
      <c r="H7493" t="s">
        <v>46939</v>
      </c>
      <c r="I7493" t="s">
        <v>46940</v>
      </c>
      <c r="J7493" t="s">
        <v>46941</v>
      </c>
      <c r="K7493" t="s">
        <v>46942</v>
      </c>
      <c r="L7493" t="s">
        <v>46935</v>
      </c>
    </row>
    <row r="7494" spans="1:12" x14ac:dyDescent="0.25">
      <c r="A7494">
        <v>1294642</v>
      </c>
      <c r="B7494">
        <v>1294913</v>
      </c>
      <c r="D7494">
        <v>0</v>
      </c>
      <c r="E7494" t="s">
        <v>46944</v>
      </c>
      <c r="F7494" t="s">
        <v>46945</v>
      </c>
      <c r="G7494" t="s">
        <v>46946</v>
      </c>
      <c r="H7494" t="e" vm="3246">
        <f>_FV(0,"07343428740847818")</f>
        <v>#VALUE!</v>
      </c>
      <c r="I7494" t="s">
        <v>46947</v>
      </c>
      <c r="J7494" t="s">
        <v>46948</v>
      </c>
      <c r="K7494" t="s">
        <v>46949</v>
      </c>
      <c r="L7494" t="s">
        <v>46943</v>
      </c>
    </row>
    <row r="7495" spans="1:12" x14ac:dyDescent="0.25">
      <c r="A7495">
        <v>1294648</v>
      </c>
      <c r="B7495">
        <v>1294651</v>
      </c>
      <c r="D7495">
        <v>0</v>
      </c>
      <c r="F7495">
        <v>1417583</v>
      </c>
      <c r="G7495">
        <v>1294651</v>
      </c>
      <c r="H7495" t="e" vm="493">
        <f>_FV(0,"025")</f>
        <v>#VALUE!</v>
      </c>
      <c r="I7495">
        <v>1294648</v>
      </c>
      <c r="J7495" t="s">
        <v>899</v>
      </c>
      <c r="K7495" t="s">
        <v>46950</v>
      </c>
      <c r="L7495" t="e" vm="493">
        <f>_FV(0,"025")</f>
        <v>#VALUE!</v>
      </c>
    </row>
    <row r="7496" spans="1:12" x14ac:dyDescent="0.25">
      <c r="A7496">
        <v>1294648</v>
      </c>
      <c r="B7496">
        <v>1294913</v>
      </c>
      <c r="D7496">
        <v>0</v>
      </c>
      <c r="E7496" t="s">
        <v>46952</v>
      </c>
      <c r="F7496" t="s">
        <v>46953</v>
      </c>
      <c r="G7496" t="s">
        <v>46954</v>
      </c>
      <c r="H7496" t="e" vm="3247">
        <f>_FV(0,"0774079660574802")</f>
        <v>#VALUE!</v>
      </c>
      <c r="I7496" t="s">
        <v>46955</v>
      </c>
      <c r="J7496" t="s">
        <v>46956</v>
      </c>
      <c r="K7496" t="s">
        <v>46957</v>
      </c>
      <c r="L7496" t="s">
        <v>46951</v>
      </c>
    </row>
    <row r="7497" spans="1:12" x14ac:dyDescent="0.25">
      <c r="A7497">
        <v>1294651</v>
      </c>
      <c r="B7497">
        <v>1294656</v>
      </c>
      <c r="D7497">
        <v>0</v>
      </c>
      <c r="F7497">
        <v>1417586</v>
      </c>
      <c r="G7497">
        <v>1294656</v>
      </c>
      <c r="H7497" t="e" vm="219">
        <f>_FV(0,"026")</f>
        <v>#VALUE!</v>
      </c>
      <c r="I7497">
        <v>1294651</v>
      </c>
      <c r="J7497" t="s">
        <v>2841</v>
      </c>
      <c r="K7497" t="s">
        <v>46958</v>
      </c>
      <c r="L7497" t="e" vm="219">
        <f>_FV(0,"026")</f>
        <v>#VALUE!</v>
      </c>
    </row>
    <row r="7498" spans="1:12" x14ac:dyDescent="0.25">
      <c r="A7498">
        <v>1294651</v>
      </c>
      <c r="B7498">
        <v>1459320</v>
      </c>
      <c r="D7498">
        <v>0</v>
      </c>
      <c r="E7498" t="s">
        <v>46960</v>
      </c>
      <c r="F7498" t="s">
        <v>46961</v>
      </c>
      <c r="G7498" t="s">
        <v>46962</v>
      </c>
      <c r="H7498" t="s">
        <v>46963</v>
      </c>
      <c r="I7498" t="s">
        <v>46964</v>
      </c>
      <c r="J7498" t="s">
        <v>46965</v>
      </c>
      <c r="K7498" t="s">
        <v>46966</v>
      </c>
      <c r="L7498" t="s">
        <v>46959</v>
      </c>
    </row>
    <row r="7499" spans="1:12" x14ac:dyDescent="0.25">
      <c r="A7499">
        <v>1294656</v>
      </c>
      <c r="B7499">
        <v>1459316</v>
      </c>
      <c r="D7499">
        <v>0</v>
      </c>
      <c r="E7499" t="s">
        <v>46968</v>
      </c>
      <c r="F7499" t="s">
        <v>46969</v>
      </c>
      <c r="G7499" t="s">
        <v>46970</v>
      </c>
      <c r="H7499" t="e" vm="3248">
        <f>_FV(0,"007291706436768414")</f>
        <v>#VALUE!</v>
      </c>
      <c r="I7499" t="s">
        <v>46971</v>
      </c>
      <c r="J7499" t="s">
        <v>46972</v>
      </c>
      <c r="K7499" t="s">
        <v>46973</v>
      </c>
      <c r="L7499" t="s">
        <v>46967</v>
      </c>
    </row>
    <row r="7500" spans="1:12" x14ac:dyDescent="0.25">
      <c r="A7500">
        <v>1294670</v>
      </c>
      <c r="B7500">
        <v>1294671</v>
      </c>
      <c r="D7500">
        <v>0</v>
      </c>
      <c r="F7500">
        <v>1417609</v>
      </c>
      <c r="G7500">
        <v>1294671</v>
      </c>
      <c r="H7500" t="s">
        <v>467</v>
      </c>
      <c r="I7500">
        <v>1294670</v>
      </c>
      <c r="J7500" t="s">
        <v>467</v>
      </c>
      <c r="K7500" t="s">
        <v>46974</v>
      </c>
      <c r="L7500" t="s">
        <v>467</v>
      </c>
    </row>
    <row r="7501" spans="1:12" x14ac:dyDescent="0.25">
      <c r="A7501">
        <v>1294670</v>
      </c>
      <c r="B7501">
        <v>1294704</v>
      </c>
      <c r="D7501">
        <v>0</v>
      </c>
      <c r="E7501" t="s">
        <v>46976</v>
      </c>
      <c r="F7501" t="s">
        <v>46977</v>
      </c>
      <c r="G7501" t="s">
        <v>46978</v>
      </c>
      <c r="H7501" t="e" vm="3249">
        <f>_FV(0,"04651450622580162")</f>
        <v>#VALUE!</v>
      </c>
      <c r="I7501" t="s">
        <v>46979</v>
      </c>
      <c r="J7501" t="s">
        <v>46980</v>
      </c>
      <c r="K7501" t="s">
        <v>46981</v>
      </c>
      <c r="L7501" t="s">
        <v>46975</v>
      </c>
    </row>
    <row r="7502" spans="1:12" x14ac:dyDescent="0.25">
      <c r="A7502">
        <v>1294670</v>
      </c>
      <c r="B7502">
        <v>1459244</v>
      </c>
      <c r="D7502">
        <v>0</v>
      </c>
      <c r="E7502" t="s">
        <v>46982</v>
      </c>
      <c r="F7502" t="s">
        <v>46983</v>
      </c>
      <c r="G7502" t="s">
        <v>46984</v>
      </c>
      <c r="H7502" t="s">
        <v>4979</v>
      </c>
      <c r="I7502" t="s">
        <v>46985</v>
      </c>
      <c r="J7502" t="s">
        <v>4979</v>
      </c>
      <c r="K7502" t="s">
        <v>46986</v>
      </c>
      <c r="L7502" t="s">
        <v>4979</v>
      </c>
    </row>
    <row r="7503" spans="1:12" x14ac:dyDescent="0.25">
      <c r="A7503">
        <v>1294671</v>
      </c>
      <c r="B7503">
        <v>1294679</v>
      </c>
      <c r="D7503">
        <v>0</v>
      </c>
      <c r="E7503" t="s">
        <v>46987</v>
      </c>
      <c r="F7503" t="s">
        <v>46988</v>
      </c>
      <c r="G7503" t="s">
        <v>46989</v>
      </c>
      <c r="H7503" t="s">
        <v>46990</v>
      </c>
      <c r="I7503" t="s">
        <v>46991</v>
      </c>
      <c r="J7503" t="s">
        <v>38295</v>
      </c>
      <c r="K7503" t="s">
        <v>46992</v>
      </c>
      <c r="L7503" t="s">
        <v>38295</v>
      </c>
    </row>
    <row r="7504" spans="1:12" x14ac:dyDescent="0.25">
      <c r="A7504">
        <v>1294671</v>
      </c>
      <c r="B7504">
        <v>1294927</v>
      </c>
      <c r="D7504">
        <v>0</v>
      </c>
      <c r="E7504" t="s">
        <v>46994</v>
      </c>
      <c r="F7504" t="s">
        <v>46995</v>
      </c>
      <c r="G7504" t="s">
        <v>46996</v>
      </c>
      <c r="H7504" t="e" vm="3250">
        <f>_FV(0,"027783295501826608")</f>
        <v>#VALUE!</v>
      </c>
      <c r="I7504" t="s">
        <v>46997</v>
      </c>
      <c r="J7504" t="s">
        <v>46998</v>
      </c>
      <c r="K7504" t="s">
        <v>46999</v>
      </c>
      <c r="L7504" t="s">
        <v>46993</v>
      </c>
    </row>
    <row r="7505" spans="1:12" x14ac:dyDescent="0.25">
      <c r="A7505">
        <v>1294679</v>
      </c>
      <c r="B7505">
        <v>1294704</v>
      </c>
      <c r="D7505">
        <v>0</v>
      </c>
      <c r="E7505" t="s">
        <v>47001</v>
      </c>
      <c r="F7505" t="s">
        <v>47002</v>
      </c>
      <c r="G7505" t="s">
        <v>47003</v>
      </c>
      <c r="H7505" t="e" vm="3251">
        <f>_FV(0,"012663147416874508")</f>
        <v>#VALUE!</v>
      </c>
      <c r="I7505" t="s">
        <v>47004</v>
      </c>
      <c r="J7505" t="s">
        <v>47005</v>
      </c>
      <c r="K7505" t="s">
        <v>47006</v>
      </c>
      <c r="L7505" t="s">
        <v>47000</v>
      </c>
    </row>
    <row r="7506" spans="1:12" x14ac:dyDescent="0.25">
      <c r="A7506">
        <v>1294679</v>
      </c>
      <c r="B7506">
        <v>1294927</v>
      </c>
      <c r="D7506">
        <v>0</v>
      </c>
      <c r="E7506" t="s">
        <v>47008</v>
      </c>
      <c r="F7506" t="s">
        <v>47009</v>
      </c>
      <c r="G7506" t="s">
        <v>47010</v>
      </c>
      <c r="H7506" t="e" vm="3252">
        <f>_FV(0,"04207112036278631")</f>
        <v>#VALUE!</v>
      </c>
      <c r="I7506" t="s">
        <v>47011</v>
      </c>
      <c r="J7506" t="s">
        <v>33528</v>
      </c>
      <c r="K7506" t="s">
        <v>47012</v>
      </c>
      <c r="L7506" t="s">
        <v>47007</v>
      </c>
    </row>
    <row r="7507" spans="1:12" x14ac:dyDescent="0.25">
      <c r="A7507">
        <v>1294704</v>
      </c>
      <c r="B7507">
        <v>1459244</v>
      </c>
      <c r="D7507">
        <v>0</v>
      </c>
      <c r="E7507" t="s">
        <v>47014</v>
      </c>
      <c r="F7507" t="s">
        <v>47015</v>
      </c>
      <c r="G7507" t="s">
        <v>47016</v>
      </c>
      <c r="H7507" t="s">
        <v>47017</v>
      </c>
      <c r="I7507" t="s">
        <v>47018</v>
      </c>
      <c r="J7507" t="s">
        <v>47013</v>
      </c>
      <c r="K7507" t="s">
        <v>47019</v>
      </c>
      <c r="L7507" t="s">
        <v>47013</v>
      </c>
    </row>
    <row r="7508" spans="1:12" x14ac:dyDescent="0.25">
      <c r="A7508">
        <v>1294739</v>
      </c>
      <c r="B7508">
        <v>1459244</v>
      </c>
      <c r="D7508">
        <v>0</v>
      </c>
      <c r="F7508">
        <v>1631974</v>
      </c>
      <c r="G7508">
        <v>1459244</v>
      </c>
      <c r="H7508" t="s">
        <v>2068</v>
      </c>
      <c r="I7508">
        <v>1294739</v>
      </c>
      <c r="J7508" t="s">
        <v>2068</v>
      </c>
      <c r="K7508" t="s">
        <v>47020</v>
      </c>
      <c r="L7508" t="s">
        <v>2068</v>
      </c>
    </row>
    <row r="7509" spans="1:12" x14ac:dyDescent="0.25">
      <c r="A7509">
        <v>1294739</v>
      </c>
      <c r="B7509">
        <v>1459275</v>
      </c>
      <c r="D7509">
        <v>0</v>
      </c>
      <c r="E7509" t="s">
        <v>47022</v>
      </c>
      <c r="F7509" t="s">
        <v>47023</v>
      </c>
      <c r="G7509" t="s">
        <v>47024</v>
      </c>
      <c r="H7509" t="s">
        <v>47025</v>
      </c>
      <c r="I7509" t="s">
        <v>47026</v>
      </c>
      <c r="J7509" t="s">
        <v>47021</v>
      </c>
      <c r="K7509" t="s">
        <v>47027</v>
      </c>
      <c r="L7509" t="s">
        <v>47021</v>
      </c>
    </row>
    <row r="7510" spans="1:12" x14ac:dyDescent="0.25">
      <c r="A7510">
        <v>1294739</v>
      </c>
      <c r="B7510">
        <v>1459284</v>
      </c>
      <c r="D7510">
        <v>0</v>
      </c>
      <c r="E7510" t="s">
        <v>47029</v>
      </c>
      <c r="F7510" t="s">
        <v>47030</v>
      </c>
      <c r="G7510" t="s">
        <v>47031</v>
      </c>
      <c r="H7510" t="e" vm="3253">
        <f>_FV(0,"013028266961406137")</f>
        <v>#VALUE!</v>
      </c>
      <c r="I7510" t="s">
        <v>47032</v>
      </c>
      <c r="J7510" t="s">
        <v>47033</v>
      </c>
      <c r="K7510" t="s">
        <v>47034</v>
      </c>
      <c r="L7510" t="s">
        <v>47028</v>
      </c>
    </row>
    <row r="7511" spans="1:12" x14ac:dyDescent="0.25">
      <c r="A7511">
        <v>1294913</v>
      </c>
      <c r="B7511">
        <v>1294927</v>
      </c>
      <c r="D7511" t="s">
        <v>715</v>
      </c>
      <c r="E7511" t="s">
        <v>47036</v>
      </c>
      <c r="F7511" t="s">
        <v>47037</v>
      </c>
      <c r="G7511" t="s">
        <v>47038</v>
      </c>
      <c r="H7511" t="e" vm="3254">
        <f>_FV(0,"020519206841907105")</f>
        <v>#VALUE!</v>
      </c>
      <c r="I7511" t="s">
        <v>47039</v>
      </c>
      <c r="J7511" t="s">
        <v>47040</v>
      </c>
      <c r="K7511" t="s">
        <v>47041</v>
      </c>
      <c r="L7511" t="s">
        <v>47035</v>
      </c>
    </row>
    <row r="7512" spans="1:12" x14ac:dyDescent="0.25">
      <c r="A7512">
        <v>1295018</v>
      </c>
      <c r="B7512">
        <v>1295031</v>
      </c>
      <c r="D7512">
        <v>0</v>
      </c>
      <c r="E7512" t="s">
        <v>47043</v>
      </c>
      <c r="F7512" t="s">
        <v>47044</v>
      </c>
      <c r="G7512" t="s">
        <v>47045</v>
      </c>
      <c r="H7512" t="s">
        <v>47046</v>
      </c>
      <c r="I7512" t="s">
        <v>47047</v>
      </c>
      <c r="J7512" t="s">
        <v>47042</v>
      </c>
      <c r="K7512" t="s">
        <v>47048</v>
      </c>
      <c r="L7512" t="s">
        <v>47042</v>
      </c>
    </row>
    <row r="7513" spans="1:12" x14ac:dyDescent="0.25">
      <c r="A7513">
        <v>1295018</v>
      </c>
      <c r="B7513">
        <v>1295068</v>
      </c>
      <c r="D7513">
        <v>0</v>
      </c>
      <c r="E7513" t="s">
        <v>47050</v>
      </c>
      <c r="F7513" t="s">
        <v>47051</v>
      </c>
      <c r="G7513" t="s">
        <v>47052</v>
      </c>
      <c r="H7513" t="s">
        <v>47053</v>
      </c>
      <c r="I7513" t="s">
        <v>47054</v>
      </c>
      <c r="J7513" t="s">
        <v>47049</v>
      </c>
      <c r="K7513" t="s">
        <v>47055</v>
      </c>
      <c r="L7513" t="s">
        <v>47049</v>
      </c>
    </row>
    <row r="7514" spans="1:12" x14ac:dyDescent="0.25">
      <c r="A7514">
        <v>1295031</v>
      </c>
      <c r="B7514">
        <v>1295036</v>
      </c>
      <c r="D7514">
        <v>0</v>
      </c>
      <c r="F7514">
        <v>1418147</v>
      </c>
      <c r="G7514">
        <v>1295036</v>
      </c>
      <c r="H7514" t="s">
        <v>187</v>
      </c>
      <c r="I7514">
        <v>1295031</v>
      </c>
      <c r="J7514" t="s">
        <v>187</v>
      </c>
      <c r="K7514" t="s">
        <v>47056</v>
      </c>
      <c r="L7514" t="s">
        <v>187</v>
      </c>
    </row>
    <row r="7515" spans="1:12" x14ac:dyDescent="0.25">
      <c r="A7515">
        <v>1295031</v>
      </c>
      <c r="B7515">
        <v>1295267</v>
      </c>
      <c r="D7515">
        <v>0</v>
      </c>
      <c r="E7515" t="s">
        <v>47058</v>
      </c>
      <c r="F7515" t="s">
        <v>47059</v>
      </c>
      <c r="G7515" t="s">
        <v>47060</v>
      </c>
      <c r="H7515" t="e" vm="3255">
        <f>_FV(0,"040943956538493385")</f>
        <v>#VALUE!</v>
      </c>
      <c r="I7515" t="s">
        <v>47061</v>
      </c>
      <c r="J7515" t="s">
        <v>47062</v>
      </c>
      <c r="K7515" t="s">
        <v>47063</v>
      </c>
      <c r="L7515" t="s">
        <v>47057</v>
      </c>
    </row>
    <row r="7516" spans="1:12" x14ac:dyDescent="0.25">
      <c r="A7516">
        <v>1295036</v>
      </c>
      <c r="B7516">
        <v>1295043</v>
      </c>
      <c r="D7516">
        <v>0</v>
      </c>
      <c r="E7516" t="s">
        <v>47065</v>
      </c>
      <c r="F7516" t="s">
        <v>47066</v>
      </c>
      <c r="G7516" t="s">
        <v>47067</v>
      </c>
      <c r="H7516" t="e" vm="3256">
        <f>_FV(0,"004803032977985112")</f>
        <v>#VALUE!</v>
      </c>
      <c r="I7516" t="s">
        <v>47068</v>
      </c>
      <c r="J7516" t="s">
        <v>28788</v>
      </c>
      <c r="K7516" t="s">
        <v>47069</v>
      </c>
      <c r="L7516" t="s">
        <v>47064</v>
      </c>
    </row>
    <row r="7517" spans="1:12" x14ac:dyDescent="0.25">
      <c r="A7517">
        <v>1295036</v>
      </c>
      <c r="B7517">
        <v>1295159</v>
      </c>
      <c r="D7517">
        <v>0</v>
      </c>
      <c r="E7517" t="s">
        <v>47071</v>
      </c>
      <c r="F7517" t="s">
        <v>47072</v>
      </c>
      <c r="G7517" t="s">
        <v>47073</v>
      </c>
      <c r="H7517" t="s">
        <v>47074</v>
      </c>
      <c r="I7517" t="s">
        <v>47075</v>
      </c>
      <c r="J7517" t="s">
        <v>47076</v>
      </c>
      <c r="K7517" t="s">
        <v>47077</v>
      </c>
      <c r="L7517" t="s">
        <v>47070</v>
      </c>
    </row>
    <row r="7518" spans="1:12" x14ac:dyDescent="0.25">
      <c r="A7518">
        <v>1295043</v>
      </c>
      <c r="B7518">
        <v>1295062</v>
      </c>
      <c r="D7518">
        <v>0</v>
      </c>
      <c r="E7518" t="s">
        <v>47079</v>
      </c>
      <c r="F7518" t="s">
        <v>47080</v>
      </c>
      <c r="G7518" t="s">
        <v>47081</v>
      </c>
      <c r="H7518" t="e" vm="3257">
        <f>_FV(0,"018084005797578722")</f>
        <v>#VALUE!</v>
      </c>
      <c r="I7518" t="s">
        <v>47082</v>
      </c>
      <c r="J7518" t="s">
        <v>47083</v>
      </c>
      <c r="K7518" t="s">
        <v>47084</v>
      </c>
      <c r="L7518" t="s">
        <v>47078</v>
      </c>
    </row>
    <row r="7519" spans="1:12" x14ac:dyDescent="0.25">
      <c r="A7519">
        <v>1295062</v>
      </c>
      <c r="B7519">
        <v>1295750</v>
      </c>
      <c r="D7519">
        <v>0</v>
      </c>
      <c r="E7519" t="s">
        <v>47086</v>
      </c>
      <c r="F7519" t="s">
        <v>47087</v>
      </c>
      <c r="G7519" t="s">
        <v>47088</v>
      </c>
      <c r="H7519" t="e" vm="3258">
        <f>_FV(0,"005668898606553794")</f>
        <v>#VALUE!</v>
      </c>
      <c r="I7519" t="s">
        <v>47089</v>
      </c>
      <c r="J7519" t="s">
        <v>47090</v>
      </c>
      <c r="K7519" t="s">
        <v>47091</v>
      </c>
      <c r="L7519" t="s">
        <v>47085</v>
      </c>
    </row>
    <row r="7520" spans="1:12" x14ac:dyDescent="0.25">
      <c r="A7520">
        <v>1295068</v>
      </c>
      <c r="B7520">
        <v>1295103</v>
      </c>
      <c r="D7520">
        <v>0</v>
      </c>
      <c r="F7520">
        <v>1418256</v>
      </c>
      <c r="G7520">
        <v>1295068</v>
      </c>
      <c r="H7520" t="s">
        <v>3418</v>
      </c>
      <c r="I7520">
        <v>1295103</v>
      </c>
      <c r="J7520" t="s">
        <v>3418</v>
      </c>
      <c r="K7520" t="s">
        <v>47092</v>
      </c>
      <c r="L7520" t="s">
        <v>3418</v>
      </c>
    </row>
    <row r="7521" spans="1:12" x14ac:dyDescent="0.25">
      <c r="A7521">
        <v>1295087</v>
      </c>
      <c r="B7521">
        <v>1298446</v>
      </c>
      <c r="D7521">
        <v>0</v>
      </c>
      <c r="E7521" t="s">
        <v>47094</v>
      </c>
      <c r="F7521" t="s">
        <v>47095</v>
      </c>
      <c r="G7521" t="s">
        <v>47096</v>
      </c>
      <c r="H7521" t="e" vm="3259">
        <f>_FV(0,"011754821594979918")</f>
        <v>#VALUE!</v>
      </c>
      <c r="I7521" t="s">
        <v>47097</v>
      </c>
      <c r="J7521" t="s">
        <v>47098</v>
      </c>
      <c r="K7521" t="s">
        <v>47099</v>
      </c>
      <c r="L7521" t="s">
        <v>47093</v>
      </c>
    </row>
    <row r="7522" spans="1:12" x14ac:dyDescent="0.25">
      <c r="A7522">
        <v>1295103</v>
      </c>
      <c r="B7522">
        <v>1295521</v>
      </c>
      <c r="D7522">
        <v>0</v>
      </c>
      <c r="E7522" t="s">
        <v>47101</v>
      </c>
      <c r="F7522" t="s">
        <v>47102</v>
      </c>
      <c r="G7522" t="s">
        <v>47103</v>
      </c>
      <c r="H7522" t="e" vm="3260">
        <f>_FV(0,"03628323185335965")</f>
        <v>#VALUE!</v>
      </c>
      <c r="I7522" t="s">
        <v>47104</v>
      </c>
      <c r="J7522" t="s">
        <v>47105</v>
      </c>
      <c r="K7522" t="s">
        <v>47106</v>
      </c>
      <c r="L7522" t="s">
        <v>47100</v>
      </c>
    </row>
    <row r="7523" spans="1:12" x14ac:dyDescent="0.25">
      <c r="A7523">
        <v>1295159</v>
      </c>
      <c r="B7523">
        <v>1295165</v>
      </c>
      <c r="D7523">
        <v>0</v>
      </c>
      <c r="F7523">
        <v>1418350</v>
      </c>
      <c r="G7523">
        <v>1295165</v>
      </c>
      <c r="H7523" t="s">
        <v>1939</v>
      </c>
      <c r="I7523">
        <v>1295159</v>
      </c>
      <c r="J7523" t="s">
        <v>1939</v>
      </c>
      <c r="K7523" t="s">
        <v>47107</v>
      </c>
      <c r="L7523" t="s">
        <v>1939</v>
      </c>
    </row>
    <row r="7524" spans="1:12" x14ac:dyDescent="0.25">
      <c r="A7524">
        <v>1295165</v>
      </c>
      <c r="B7524">
        <v>1295233</v>
      </c>
      <c r="D7524">
        <v>0</v>
      </c>
      <c r="E7524" t="s">
        <v>47109</v>
      </c>
      <c r="F7524" t="s">
        <v>47110</v>
      </c>
      <c r="G7524" t="s">
        <v>47111</v>
      </c>
      <c r="H7524" t="e" vm="3261">
        <f>_FV(0,"020023826753061927")</f>
        <v>#VALUE!</v>
      </c>
      <c r="I7524" t="s">
        <v>47112</v>
      </c>
      <c r="J7524" t="s">
        <v>47113</v>
      </c>
      <c r="K7524" t="s">
        <v>47114</v>
      </c>
      <c r="L7524" t="s">
        <v>47108</v>
      </c>
    </row>
    <row r="7525" spans="1:12" x14ac:dyDescent="0.25">
      <c r="A7525">
        <v>1295233</v>
      </c>
      <c r="B7525">
        <v>1295582</v>
      </c>
      <c r="D7525">
        <v>0</v>
      </c>
      <c r="F7525">
        <v>1419107</v>
      </c>
      <c r="G7525">
        <v>1295582</v>
      </c>
      <c r="H7525" t="s">
        <v>30</v>
      </c>
      <c r="I7525">
        <v>1295233</v>
      </c>
      <c r="J7525" t="s">
        <v>30</v>
      </c>
      <c r="K7525" t="s">
        <v>47115</v>
      </c>
      <c r="L7525" t="s">
        <v>30</v>
      </c>
    </row>
    <row r="7526" spans="1:12" x14ac:dyDescent="0.25">
      <c r="A7526">
        <v>1295233</v>
      </c>
      <c r="B7526">
        <v>1295765</v>
      </c>
      <c r="C7526" t="s">
        <v>47116</v>
      </c>
      <c r="D7526">
        <v>0</v>
      </c>
      <c r="E7526" t="s">
        <v>47117</v>
      </c>
      <c r="F7526" t="s">
        <v>47118</v>
      </c>
      <c r="G7526" t="s">
        <v>47119</v>
      </c>
      <c r="H7526" t="s">
        <v>47120</v>
      </c>
      <c r="I7526" t="s">
        <v>47121</v>
      </c>
      <c r="J7526" t="s">
        <v>36812</v>
      </c>
      <c r="K7526" t="s">
        <v>47122</v>
      </c>
      <c r="L7526" t="s">
        <v>36812</v>
      </c>
    </row>
    <row r="7527" spans="1:12" x14ac:dyDescent="0.25">
      <c r="A7527">
        <v>1295470</v>
      </c>
      <c r="B7527">
        <v>1295533</v>
      </c>
      <c r="D7527">
        <v>0</v>
      </c>
      <c r="E7527" t="s">
        <v>47124</v>
      </c>
      <c r="F7527" t="s">
        <v>47125</v>
      </c>
      <c r="G7527" t="s">
        <v>47126</v>
      </c>
      <c r="H7527" t="s">
        <v>47127</v>
      </c>
      <c r="I7527" t="s">
        <v>47128</v>
      </c>
      <c r="J7527" t="s">
        <v>47129</v>
      </c>
      <c r="K7527" t="s">
        <v>47130</v>
      </c>
      <c r="L7527" t="s">
        <v>47123</v>
      </c>
    </row>
    <row r="7528" spans="1:12" x14ac:dyDescent="0.25">
      <c r="A7528">
        <v>1295521</v>
      </c>
      <c r="B7528">
        <v>1295789</v>
      </c>
      <c r="D7528">
        <v>0</v>
      </c>
      <c r="E7528" t="s">
        <v>47131</v>
      </c>
      <c r="F7528" t="s">
        <v>47132</v>
      </c>
      <c r="G7528" t="s">
        <v>47133</v>
      </c>
      <c r="H7528" t="e" vm="16">
        <f>_FV(0,"007")</f>
        <v>#VALUE!</v>
      </c>
      <c r="I7528" t="s">
        <v>47134</v>
      </c>
      <c r="J7528" t="s">
        <v>226</v>
      </c>
      <c r="K7528" t="s">
        <v>47135</v>
      </c>
      <c r="L7528" t="e" vm="16">
        <f>_FV(0,"007")</f>
        <v>#VALUE!</v>
      </c>
    </row>
    <row r="7529" spans="1:12" x14ac:dyDescent="0.25">
      <c r="A7529">
        <v>1295533</v>
      </c>
      <c r="B7529">
        <v>1295533</v>
      </c>
      <c r="D7529">
        <v>0</v>
      </c>
      <c r="E7529" t="s">
        <v>47137</v>
      </c>
      <c r="F7529" t="s">
        <v>47138</v>
      </c>
      <c r="G7529" t="s">
        <v>47139</v>
      </c>
      <c r="H7529" t="e" vm="3262">
        <f>_FV(0,"0001232552706532698")</f>
        <v>#VALUE!</v>
      </c>
      <c r="I7529" t="s">
        <v>47140</v>
      </c>
      <c r="J7529" t="s">
        <v>47141</v>
      </c>
      <c r="K7529" t="s">
        <v>47142</v>
      </c>
      <c r="L7529" t="s">
        <v>47136</v>
      </c>
    </row>
    <row r="7530" spans="1:12" x14ac:dyDescent="0.25">
      <c r="A7530">
        <v>1295542</v>
      </c>
      <c r="B7530">
        <v>1295582</v>
      </c>
      <c r="D7530">
        <v>0</v>
      </c>
      <c r="E7530" t="s">
        <v>47144</v>
      </c>
      <c r="F7530" t="s">
        <v>47145</v>
      </c>
      <c r="G7530" t="s">
        <v>47146</v>
      </c>
      <c r="H7530" t="s">
        <v>47147</v>
      </c>
      <c r="I7530" t="s">
        <v>47148</v>
      </c>
      <c r="J7530" t="s">
        <v>47149</v>
      </c>
      <c r="K7530" t="s">
        <v>47150</v>
      </c>
      <c r="L7530" t="s">
        <v>47143</v>
      </c>
    </row>
    <row r="7531" spans="1:12" x14ac:dyDescent="0.25">
      <c r="A7531">
        <v>1295582</v>
      </c>
      <c r="B7531">
        <v>1295789</v>
      </c>
      <c r="D7531">
        <v>0</v>
      </c>
      <c r="E7531" t="s">
        <v>47152</v>
      </c>
      <c r="F7531" t="s">
        <v>47153</v>
      </c>
      <c r="G7531" t="s">
        <v>47154</v>
      </c>
      <c r="H7531" t="e" vm="3263">
        <f>_FV(0,"05105460651310112")</f>
        <v>#VALUE!</v>
      </c>
      <c r="I7531" t="s">
        <v>47155</v>
      </c>
      <c r="J7531" t="s">
        <v>47156</v>
      </c>
      <c r="K7531" t="s">
        <v>47157</v>
      </c>
      <c r="L7531" t="s">
        <v>47151</v>
      </c>
    </row>
    <row r="7532" spans="1:12" x14ac:dyDescent="0.25">
      <c r="A7532">
        <v>1295750</v>
      </c>
      <c r="B7532">
        <v>1295765</v>
      </c>
      <c r="D7532">
        <v>0</v>
      </c>
      <c r="E7532" t="s">
        <v>47159</v>
      </c>
      <c r="F7532" t="s">
        <v>47160</v>
      </c>
      <c r="G7532" t="s">
        <v>47161</v>
      </c>
      <c r="H7532" t="s">
        <v>47162</v>
      </c>
      <c r="I7532" t="s">
        <v>47163</v>
      </c>
      <c r="J7532" t="s">
        <v>47164</v>
      </c>
      <c r="K7532" t="s">
        <v>47165</v>
      </c>
      <c r="L7532" t="s">
        <v>47158</v>
      </c>
    </row>
    <row r="7533" spans="1:12" x14ac:dyDescent="0.25">
      <c r="A7533">
        <v>1296448</v>
      </c>
      <c r="B7533">
        <v>1296712</v>
      </c>
      <c r="D7533">
        <v>0</v>
      </c>
      <c r="E7533" t="s">
        <v>47167</v>
      </c>
      <c r="F7533" t="s">
        <v>47168</v>
      </c>
      <c r="G7533" t="s">
        <v>47169</v>
      </c>
      <c r="H7533" t="s">
        <v>47170</v>
      </c>
      <c r="I7533" t="s">
        <v>47171</v>
      </c>
      <c r="J7533" t="s">
        <v>47166</v>
      </c>
      <c r="K7533" t="s">
        <v>47172</v>
      </c>
      <c r="L7533" t="s">
        <v>47166</v>
      </c>
    </row>
    <row r="7534" spans="1:12" x14ac:dyDescent="0.25">
      <c r="A7534">
        <v>1296448</v>
      </c>
      <c r="B7534">
        <v>1296455</v>
      </c>
      <c r="D7534">
        <v>0</v>
      </c>
      <c r="F7534">
        <v>1420400</v>
      </c>
      <c r="G7534">
        <v>1296448</v>
      </c>
      <c r="H7534" t="e" vm="59">
        <f>_FV(0,"014")</f>
        <v>#VALUE!</v>
      </c>
      <c r="I7534">
        <v>1296455</v>
      </c>
      <c r="J7534" t="s">
        <v>922</v>
      </c>
      <c r="K7534" t="s">
        <v>47173</v>
      </c>
      <c r="L7534" t="e" vm="59">
        <f>_FV(0,"014")</f>
        <v>#VALUE!</v>
      </c>
    </row>
    <row r="7535" spans="1:12" x14ac:dyDescent="0.25">
      <c r="A7535">
        <v>1296448</v>
      </c>
      <c r="B7535">
        <v>1296777</v>
      </c>
      <c r="D7535">
        <v>0</v>
      </c>
      <c r="E7535" t="s">
        <v>47175</v>
      </c>
      <c r="F7535" t="s">
        <v>47176</v>
      </c>
      <c r="G7535" t="s">
        <v>47177</v>
      </c>
      <c r="H7535" t="s">
        <v>47178</v>
      </c>
      <c r="I7535" t="s">
        <v>47179</v>
      </c>
      <c r="J7535" t="s">
        <v>47174</v>
      </c>
      <c r="K7535" t="s">
        <v>47180</v>
      </c>
      <c r="L7535" t="s">
        <v>47174</v>
      </c>
    </row>
    <row r="7536" spans="1:12" x14ac:dyDescent="0.25">
      <c r="A7536">
        <v>1296455</v>
      </c>
      <c r="B7536">
        <v>1296725</v>
      </c>
      <c r="D7536">
        <v>0</v>
      </c>
      <c r="F7536">
        <v>1420392</v>
      </c>
      <c r="G7536">
        <v>1296455</v>
      </c>
      <c r="H7536" t="e" vm="185">
        <f>_FV(0,"033")</f>
        <v>#VALUE!</v>
      </c>
      <c r="I7536">
        <v>1296725</v>
      </c>
      <c r="J7536" t="s">
        <v>2884</v>
      </c>
      <c r="K7536" t="s">
        <v>47181</v>
      </c>
      <c r="L7536" t="e" vm="185">
        <f>_FV(0,"033")</f>
        <v>#VALUE!</v>
      </c>
    </row>
    <row r="7537" spans="1:12" x14ac:dyDescent="0.25">
      <c r="A7537">
        <v>1296470</v>
      </c>
      <c r="B7537">
        <v>774403</v>
      </c>
      <c r="D7537">
        <v>0</v>
      </c>
      <c r="E7537" t="s">
        <v>47182</v>
      </c>
      <c r="F7537" t="s">
        <v>47183</v>
      </c>
      <c r="G7537" t="s">
        <v>47184</v>
      </c>
      <c r="H7537" t="s">
        <v>47185</v>
      </c>
      <c r="I7537" t="s">
        <v>47186</v>
      </c>
      <c r="J7537" t="s">
        <v>119</v>
      </c>
      <c r="K7537" t="s">
        <v>47187</v>
      </c>
      <c r="L7537" t="s">
        <v>119</v>
      </c>
    </row>
    <row r="7538" spans="1:12" x14ac:dyDescent="0.25">
      <c r="A7538">
        <v>1296470</v>
      </c>
      <c r="B7538">
        <v>1296850</v>
      </c>
      <c r="D7538" t="s">
        <v>47189</v>
      </c>
      <c r="E7538" t="s">
        <v>47190</v>
      </c>
      <c r="F7538" t="s">
        <v>47191</v>
      </c>
      <c r="G7538" t="s">
        <v>47192</v>
      </c>
      <c r="H7538" t="e" vm="3264">
        <f>_FV(0,"009867547772765632")</f>
        <v>#VALUE!</v>
      </c>
      <c r="I7538" t="s">
        <v>47193</v>
      </c>
      <c r="J7538" t="s">
        <v>47194</v>
      </c>
      <c r="K7538" t="s">
        <v>47195</v>
      </c>
      <c r="L7538" t="s">
        <v>47188</v>
      </c>
    </row>
    <row r="7539" spans="1:12" x14ac:dyDescent="0.25">
      <c r="A7539">
        <v>1296470</v>
      </c>
      <c r="B7539">
        <v>1296767</v>
      </c>
      <c r="D7539">
        <v>0</v>
      </c>
      <c r="E7539" t="s">
        <v>47197</v>
      </c>
      <c r="F7539" t="s">
        <v>47198</v>
      </c>
      <c r="G7539" t="s">
        <v>47199</v>
      </c>
      <c r="H7539" t="s">
        <v>47200</v>
      </c>
      <c r="I7539" t="s">
        <v>47201</v>
      </c>
      <c r="J7539" t="s">
        <v>47196</v>
      </c>
      <c r="K7539" t="s">
        <v>47202</v>
      </c>
      <c r="L7539" t="s">
        <v>47196</v>
      </c>
    </row>
    <row r="7540" spans="1:12" x14ac:dyDescent="0.25">
      <c r="A7540">
        <v>1296648</v>
      </c>
      <c r="B7540">
        <v>1296649</v>
      </c>
      <c r="D7540">
        <v>0</v>
      </c>
      <c r="F7540">
        <v>1420280</v>
      </c>
      <c r="G7540">
        <v>1296649</v>
      </c>
      <c r="H7540" t="s">
        <v>3317</v>
      </c>
      <c r="I7540">
        <v>1296648</v>
      </c>
      <c r="J7540" t="s">
        <v>3317</v>
      </c>
      <c r="K7540" t="s">
        <v>47203</v>
      </c>
      <c r="L7540" t="s">
        <v>3317</v>
      </c>
    </row>
    <row r="7541" spans="1:12" x14ac:dyDescent="0.25">
      <c r="A7541">
        <v>1296648</v>
      </c>
      <c r="B7541">
        <v>1296712</v>
      </c>
      <c r="D7541">
        <v>0</v>
      </c>
      <c r="E7541" t="s">
        <v>47205</v>
      </c>
      <c r="F7541" t="s">
        <v>47206</v>
      </c>
      <c r="G7541" t="s">
        <v>47207</v>
      </c>
      <c r="H7541" t="e" vm="3265">
        <f>_FV(0,"003874367747475968")</f>
        <v>#VALUE!</v>
      </c>
      <c r="I7541" t="s">
        <v>47208</v>
      </c>
      <c r="J7541" t="s">
        <v>47209</v>
      </c>
      <c r="K7541" t="s">
        <v>47210</v>
      </c>
      <c r="L7541" t="s">
        <v>47204</v>
      </c>
    </row>
    <row r="7542" spans="1:12" x14ac:dyDescent="0.25">
      <c r="A7542">
        <v>1296648</v>
      </c>
      <c r="B7542">
        <v>1296695</v>
      </c>
      <c r="D7542">
        <v>0</v>
      </c>
      <c r="E7542" t="s">
        <v>47212</v>
      </c>
      <c r="F7542" t="s">
        <v>47213</v>
      </c>
      <c r="G7542" t="s">
        <v>47214</v>
      </c>
      <c r="H7542" t="s">
        <v>47215</v>
      </c>
      <c r="I7542" t="s">
        <v>47216</v>
      </c>
      <c r="J7542" t="s">
        <v>47211</v>
      </c>
      <c r="K7542" t="s">
        <v>47217</v>
      </c>
      <c r="L7542" t="s">
        <v>47211</v>
      </c>
    </row>
    <row r="7543" spans="1:12" x14ac:dyDescent="0.25">
      <c r="A7543">
        <v>1296649</v>
      </c>
      <c r="B7543">
        <v>1296655</v>
      </c>
      <c r="D7543">
        <v>0</v>
      </c>
      <c r="F7543">
        <v>1420288</v>
      </c>
      <c r="G7543">
        <v>1296655</v>
      </c>
      <c r="H7543" t="s">
        <v>250</v>
      </c>
      <c r="I7543">
        <v>1296649</v>
      </c>
      <c r="J7543" t="s">
        <v>250</v>
      </c>
      <c r="K7543" t="s">
        <v>47218</v>
      </c>
      <c r="L7543" t="s">
        <v>250</v>
      </c>
    </row>
    <row r="7544" spans="1:12" x14ac:dyDescent="0.25">
      <c r="A7544">
        <v>1296655</v>
      </c>
      <c r="B7544">
        <v>1296695</v>
      </c>
      <c r="D7544">
        <v>0</v>
      </c>
      <c r="E7544" t="s">
        <v>47220</v>
      </c>
      <c r="F7544" t="s">
        <v>47221</v>
      </c>
      <c r="G7544" t="s">
        <v>47222</v>
      </c>
      <c r="H7544" t="e" vm="3266">
        <f>_FV(0,"014381930733601849")</f>
        <v>#VALUE!</v>
      </c>
      <c r="I7544" t="s">
        <v>47223</v>
      </c>
      <c r="J7544" t="s">
        <v>47224</v>
      </c>
      <c r="K7544" t="s">
        <v>47225</v>
      </c>
      <c r="L7544" t="s">
        <v>47219</v>
      </c>
    </row>
    <row r="7545" spans="1:12" x14ac:dyDescent="0.25">
      <c r="A7545">
        <v>1296695</v>
      </c>
      <c r="B7545">
        <v>1296725</v>
      </c>
      <c r="D7545">
        <v>0</v>
      </c>
      <c r="E7545" t="s">
        <v>47227</v>
      </c>
      <c r="F7545" t="s">
        <v>47228</v>
      </c>
      <c r="G7545" t="s">
        <v>47229</v>
      </c>
      <c r="H7545" t="e" vm="3267">
        <f>_FV(0,"007145919417095266")</f>
        <v>#VALUE!</v>
      </c>
      <c r="I7545" t="s">
        <v>47230</v>
      </c>
      <c r="J7545" t="s">
        <v>47231</v>
      </c>
      <c r="K7545" t="s">
        <v>47232</v>
      </c>
      <c r="L7545" t="s">
        <v>47226</v>
      </c>
    </row>
    <row r="7546" spans="1:12" x14ac:dyDescent="0.25">
      <c r="A7546">
        <v>1296712</v>
      </c>
      <c r="B7546">
        <v>1296725</v>
      </c>
      <c r="D7546">
        <v>0</v>
      </c>
      <c r="E7546" t="s">
        <v>47234</v>
      </c>
      <c r="F7546" t="s">
        <v>47235</v>
      </c>
      <c r="G7546" t="s">
        <v>47236</v>
      </c>
      <c r="H7546" t="e" vm="3268">
        <f>_FV(0,"0781343476656278")</f>
        <v>#VALUE!</v>
      </c>
      <c r="I7546" t="s">
        <v>47237</v>
      </c>
      <c r="J7546" t="s">
        <v>47238</v>
      </c>
      <c r="K7546" t="s">
        <v>47239</v>
      </c>
      <c r="L7546" t="s">
        <v>47233</v>
      </c>
    </row>
    <row r="7547" spans="1:12" x14ac:dyDescent="0.25">
      <c r="A7547">
        <v>1296759</v>
      </c>
      <c r="B7547">
        <v>1296836</v>
      </c>
      <c r="D7547">
        <v>0</v>
      </c>
      <c r="E7547" t="s">
        <v>47241</v>
      </c>
      <c r="F7547" t="s">
        <v>47242</v>
      </c>
      <c r="G7547" t="s">
        <v>47243</v>
      </c>
      <c r="H7547" t="s">
        <v>47244</v>
      </c>
      <c r="I7547" t="s">
        <v>47245</v>
      </c>
      <c r="J7547" t="s">
        <v>47240</v>
      </c>
      <c r="K7547" t="s">
        <v>47246</v>
      </c>
      <c r="L7547" t="s">
        <v>47240</v>
      </c>
    </row>
    <row r="7548" spans="1:12" x14ac:dyDescent="0.25">
      <c r="A7548">
        <v>1296759</v>
      </c>
      <c r="B7548">
        <v>1296772</v>
      </c>
      <c r="D7548">
        <v>0</v>
      </c>
      <c r="E7548" t="s">
        <v>47248</v>
      </c>
      <c r="F7548" t="s">
        <v>47249</v>
      </c>
      <c r="G7548" t="s">
        <v>47250</v>
      </c>
      <c r="H7548" t="e" vm="3269">
        <f>_FV(0,"0054117447961031665")</f>
        <v>#VALUE!</v>
      </c>
      <c r="I7548" t="s">
        <v>47251</v>
      </c>
      <c r="J7548" t="s">
        <v>47252</v>
      </c>
      <c r="K7548" t="s">
        <v>47253</v>
      </c>
      <c r="L7548" t="s">
        <v>47247</v>
      </c>
    </row>
    <row r="7549" spans="1:12" x14ac:dyDescent="0.25">
      <c r="A7549">
        <v>1296767</v>
      </c>
      <c r="B7549">
        <v>1298677</v>
      </c>
      <c r="D7549" t="s">
        <v>24742</v>
      </c>
      <c r="E7549" t="s">
        <v>47255</v>
      </c>
      <c r="F7549" t="s">
        <v>47256</v>
      </c>
      <c r="G7549" t="s">
        <v>47257</v>
      </c>
      <c r="H7549" t="e" vm="3270">
        <f>_FV(0,"02016834020387261")</f>
        <v>#VALUE!</v>
      </c>
      <c r="I7549" t="s">
        <v>47258</v>
      </c>
      <c r="J7549" t="s">
        <v>47259</v>
      </c>
      <c r="K7549" t="s">
        <v>47260</v>
      </c>
      <c r="L7549" t="s">
        <v>47254</v>
      </c>
    </row>
    <row r="7550" spans="1:12" x14ac:dyDescent="0.25">
      <c r="A7550">
        <v>1296772</v>
      </c>
      <c r="B7550">
        <v>774393</v>
      </c>
      <c r="D7550">
        <v>0</v>
      </c>
      <c r="E7550" t="s">
        <v>47262</v>
      </c>
      <c r="F7550" t="s">
        <v>47263</v>
      </c>
      <c r="G7550" t="s">
        <v>47264</v>
      </c>
      <c r="H7550" t="e" vm="3271">
        <f>_FV(0,"00962306756668845")</f>
        <v>#VALUE!</v>
      </c>
      <c r="I7550" t="s">
        <v>47265</v>
      </c>
      <c r="J7550" t="s">
        <v>47266</v>
      </c>
      <c r="K7550" t="s">
        <v>47267</v>
      </c>
      <c r="L7550" t="s">
        <v>47261</v>
      </c>
    </row>
    <row r="7551" spans="1:12" x14ac:dyDescent="0.25">
      <c r="A7551">
        <v>1296777</v>
      </c>
      <c r="B7551">
        <v>1298677</v>
      </c>
      <c r="D7551">
        <v>1</v>
      </c>
      <c r="F7551">
        <v>1423778</v>
      </c>
      <c r="G7551">
        <v>1296777</v>
      </c>
      <c r="H7551" t="e" vm="412">
        <f>_FV(0,"046")</f>
        <v>#VALUE!</v>
      </c>
      <c r="I7551">
        <v>1298677</v>
      </c>
      <c r="J7551" t="s">
        <v>5837</v>
      </c>
      <c r="K7551" t="s">
        <v>47268</v>
      </c>
      <c r="L7551" t="e" vm="412">
        <f>_FV(0,"046")</f>
        <v>#VALUE!</v>
      </c>
    </row>
    <row r="7552" spans="1:12" x14ac:dyDescent="0.25">
      <c r="A7552">
        <v>1296836</v>
      </c>
      <c r="B7552">
        <v>774249</v>
      </c>
      <c r="D7552">
        <v>0</v>
      </c>
      <c r="E7552" t="s">
        <v>47270</v>
      </c>
      <c r="F7552" t="s">
        <v>47271</v>
      </c>
      <c r="G7552" t="s">
        <v>47272</v>
      </c>
      <c r="H7552" t="e" vm="3272">
        <f>_FV(0,"009438190656643333")</f>
        <v>#VALUE!</v>
      </c>
      <c r="I7552" t="s">
        <v>47273</v>
      </c>
      <c r="J7552" t="s">
        <v>47274</v>
      </c>
      <c r="K7552" t="s">
        <v>47275</v>
      </c>
      <c r="L7552" t="s">
        <v>47269</v>
      </c>
    </row>
    <row r="7553" spans="1:12" x14ac:dyDescent="0.25">
      <c r="A7553">
        <v>1296836</v>
      </c>
      <c r="B7553">
        <v>774349</v>
      </c>
      <c r="D7553">
        <v>0</v>
      </c>
      <c r="E7553" t="s">
        <v>47277</v>
      </c>
      <c r="F7553" t="s">
        <v>47278</v>
      </c>
      <c r="G7553" t="s">
        <v>47279</v>
      </c>
      <c r="H7553" t="e" vm="3273">
        <f>_FV(0,"005515404874223366")</f>
        <v>#VALUE!</v>
      </c>
      <c r="I7553" t="s">
        <v>47280</v>
      </c>
      <c r="J7553" t="s">
        <v>47281</v>
      </c>
      <c r="K7553" t="s">
        <v>47282</v>
      </c>
      <c r="L7553" t="s">
        <v>47276</v>
      </c>
    </row>
    <row r="7554" spans="1:12" x14ac:dyDescent="0.25">
      <c r="A7554">
        <v>1296850</v>
      </c>
      <c r="B7554">
        <v>1298677</v>
      </c>
      <c r="D7554">
        <v>0</v>
      </c>
      <c r="E7554" t="s">
        <v>47284</v>
      </c>
      <c r="F7554" t="s">
        <v>47285</v>
      </c>
      <c r="G7554" t="s">
        <v>47286</v>
      </c>
      <c r="H7554" t="e" vm="3274">
        <f>_FV(0,"0748840161422206")</f>
        <v>#VALUE!</v>
      </c>
      <c r="I7554" t="s">
        <v>47287</v>
      </c>
      <c r="J7554" t="s">
        <v>47288</v>
      </c>
      <c r="K7554" t="s">
        <v>47289</v>
      </c>
      <c r="L7554" t="s">
        <v>47283</v>
      </c>
    </row>
    <row r="7555" spans="1:12" x14ac:dyDescent="0.25">
      <c r="A7555">
        <v>1296850</v>
      </c>
      <c r="B7555">
        <v>774423</v>
      </c>
      <c r="D7555">
        <v>0</v>
      </c>
      <c r="E7555" t="s">
        <v>47290</v>
      </c>
      <c r="F7555" t="s">
        <v>47291</v>
      </c>
      <c r="G7555" t="s">
        <v>47292</v>
      </c>
      <c r="H7555" t="e" vm="3275">
        <f>_FV(0,"058757028181105314")</f>
        <v>#VALUE!</v>
      </c>
      <c r="I7555" t="s">
        <v>47293</v>
      </c>
      <c r="J7555" t="s">
        <v>24908</v>
      </c>
      <c r="K7555" t="s">
        <v>47294</v>
      </c>
      <c r="L7555" t="s">
        <v>24903</v>
      </c>
    </row>
    <row r="7556" spans="1:12" x14ac:dyDescent="0.25">
      <c r="A7556">
        <v>1297915</v>
      </c>
      <c r="B7556">
        <v>1298471</v>
      </c>
      <c r="D7556">
        <v>0</v>
      </c>
      <c r="E7556" t="s">
        <v>47296</v>
      </c>
      <c r="F7556" t="s">
        <v>47297</v>
      </c>
      <c r="G7556" t="s">
        <v>47298</v>
      </c>
      <c r="H7556" t="e" vm="3276">
        <f>_FV(0,"02016901414223595")</f>
        <v>#VALUE!</v>
      </c>
      <c r="I7556" t="s">
        <v>47299</v>
      </c>
      <c r="J7556" t="s">
        <v>47300</v>
      </c>
      <c r="K7556" t="s">
        <v>47301</v>
      </c>
      <c r="L7556" t="s">
        <v>47295</v>
      </c>
    </row>
    <row r="7557" spans="1:12" x14ac:dyDescent="0.25">
      <c r="A7557">
        <v>1297915</v>
      </c>
      <c r="B7557">
        <v>1298429</v>
      </c>
      <c r="D7557">
        <v>0</v>
      </c>
      <c r="E7557" t="s">
        <v>47303</v>
      </c>
      <c r="F7557" t="s">
        <v>47304</v>
      </c>
      <c r="G7557" t="s">
        <v>47305</v>
      </c>
      <c r="H7557" t="e" vm="3277">
        <f>_FV(0,"07050839570252421")</f>
        <v>#VALUE!</v>
      </c>
      <c r="I7557" t="s">
        <v>47306</v>
      </c>
      <c r="J7557" t="s">
        <v>47307</v>
      </c>
      <c r="K7557" t="s">
        <v>47308</v>
      </c>
      <c r="L7557" t="s">
        <v>47302</v>
      </c>
    </row>
    <row r="7558" spans="1:12" x14ac:dyDescent="0.25">
      <c r="A7558">
        <v>1297915</v>
      </c>
      <c r="B7558">
        <v>1359979</v>
      </c>
      <c r="C7558" t="s">
        <v>47310</v>
      </c>
      <c r="D7558">
        <v>0</v>
      </c>
      <c r="E7558" t="s">
        <v>47311</v>
      </c>
      <c r="F7558" t="s">
        <v>47312</v>
      </c>
      <c r="G7558" t="s">
        <v>47313</v>
      </c>
      <c r="H7558" t="e" vm="3278">
        <f>_FV(0,"004501731139360977")</f>
        <v>#VALUE!</v>
      </c>
      <c r="I7558" t="s">
        <v>47314</v>
      </c>
      <c r="J7558" t="s">
        <v>47315</v>
      </c>
      <c r="K7558" t="s">
        <v>47316</v>
      </c>
      <c r="L7558" t="s">
        <v>47309</v>
      </c>
    </row>
    <row r="7559" spans="1:12" x14ac:dyDescent="0.25">
      <c r="A7559">
        <v>1298005</v>
      </c>
      <c r="B7559">
        <v>1298042</v>
      </c>
      <c r="C7559" t="s">
        <v>47318</v>
      </c>
      <c r="D7559">
        <v>0</v>
      </c>
      <c r="E7559" t="s">
        <v>47319</v>
      </c>
      <c r="F7559" t="s">
        <v>47320</v>
      </c>
      <c r="G7559" t="s">
        <v>47321</v>
      </c>
      <c r="H7559" t="e" vm="3279">
        <f>_FV(0,"014813733884355614")</f>
        <v>#VALUE!</v>
      </c>
      <c r="I7559" t="s">
        <v>47322</v>
      </c>
      <c r="J7559" t="s">
        <v>47323</v>
      </c>
      <c r="K7559" t="s">
        <v>47324</v>
      </c>
      <c r="L7559" t="s">
        <v>47317</v>
      </c>
    </row>
    <row r="7560" spans="1:12" x14ac:dyDescent="0.25">
      <c r="A7560">
        <v>1298005</v>
      </c>
      <c r="B7560">
        <v>1298616</v>
      </c>
      <c r="D7560">
        <v>0</v>
      </c>
      <c r="E7560" t="s">
        <v>47326</v>
      </c>
      <c r="F7560" t="s">
        <v>47327</v>
      </c>
      <c r="G7560" t="s">
        <v>47328</v>
      </c>
      <c r="H7560" t="e" vm="3280">
        <f>_FV(0,"08941737039470143")</f>
        <v>#VALUE!</v>
      </c>
      <c r="I7560" t="s">
        <v>47329</v>
      </c>
      <c r="J7560" t="s">
        <v>47330</v>
      </c>
      <c r="K7560" t="s">
        <v>47331</v>
      </c>
      <c r="L7560" t="s">
        <v>47325</v>
      </c>
    </row>
    <row r="7561" spans="1:12" x14ac:dyDescent="0.25">
      <c r="A7561">
        <v>1298005</v>
      </c>
      <c r="B7561">
        <v>1298627</v>
      </c>
      <c r="D7561">
        <v>0</v>
      </c>
      <c r="E7561" t="s">
        <v>47333</v>
      </c>
      <c r="F7561" t="s">
        <v>47334</v>
      </c>
      <c r="G7561" t="s">
        <v>47335</v>
      </c>
      <c r="H7561" t="e" vm="3281">
        <f>_FV(0,"11592599591200503")</f>
        <v>#VALUE!</v>
      </c>
      <c r="I7561" t="s">
        <v>47336</v>
      </c>
      <c r="J7561" t="s">
        <v>47337</v>
      </c>
      <c r="K7561" t="s">
        <v>47338</v>
      </c>
      <c r="L7561" t="s">
        <v>47332</v>
      </c>
    </row>
    <row r="7562" spans="1:12" x14ac:dyDescent="0.25">
      <c r="A7562">
        <v>1298042</v>
      </c>
      <c r="B7562">
        <v>1298694</v>
      </c>
      <c r="D7562">
        <v>0</v>
      </c>
      <c r="E7562" t="s">
        <v>47340</v>
      </c>
      <c r="F7562" t="s">
        <v>47341</v>
      </c>
      <c r="G7562" t="s">
        <v>47342</v>
      </c>
      <c r="H7562" t="s">
        <v>47343</v>
      </c>
      <c r="I7562" t="s">
        <v>47344</v>
      </c>
      <c r="J7562" t="s">
        <v>47345</v>
      </c>
      <c r="K7562" t="s">
        <v>47346</v>
      </c>
      <c r="L7562" t="s">
        <v>47339</v>
      </c>
    </row>
    <row r="7563" spans="1:12" x14ac:dyDescent="0.25">
      <c r="A7563">
        <v>1298042</v>
      </c>
      <c r="B7563">
        <v>1298674</v>
      </c>
      <c r="D7563">
        <v>0</v>
      </c>
      <c r="E7563" t="s">
        <v>47348</v>
      </c>
      <c r="F7563" t="s">
        <v>47349</v>
      </c>
      <c r="G7563" t="s">
        <v>47350</v>
      </c>
      <c r="H7563" t="s">
        <v>47351</v>
      </c>
      <c r="I7563" t="s">
        <v>47352</v>
      </c>
      <c r="J7563" t="s">
        <v>47353</v>
      </c>
      <c r="K7563" t="s">
        <v>47354</v>
      </c>
      <c r="L7563" t="s">
        <v>47347</v>
      </c>
    </row>
    <row r="7564" spans="1:12" x14ac:dyDescent="0.25">
      <c r="A7564">
        <v>1298158</v>
      </c>
      <c r="B7564">
        <v>1298164</v>
      </c>
      <c r="D7564">
        <v>0</v>
      </c>
      <c r="E7564" t="s">
        <v>47356</v>
      </c>
      <c r="F7564" t="s">
        <v>47357</v>
      </c>
      <c r="G7564" t="s">
        <v>47358</v>
      </c>
      <c r="H7564" t="e" vm="3282">
        <f>_FV(0,"004466678839133872")</f>
        <v>#VALUE!</v>
      </c>
      <c r="I7564" t="s">
        <v>47359</v>
      </c>
      <c r="J7564" t="s">
        <v>47360</v>
      </c>
      <c r="K7564" t="s">
        <v>47361</v>
      </c>
      <c r="L7564" t="s">
        <v>47355</v>
      </c>
    </row>
    <row r="7565" spans="1:12" x14ac:dyDescent="0.25">
      <c r="A7565">
        <v>1298158</v>
      </c>
      <c r="B7565">
        <v>1298164</v>
      </c>
      <c r="D7565">
        <v>0</v>
      </c>
      <c r="E7565" t="s">
        <v>47363</v>
      </c>
      <c r="F7565" t="s">
        <v>47364</v>
      </c>
      <c r="G7565" t="s">
        <v>47365</v>
      </c>
      <c r="H7565" t="e" vm="3283">
        <f>_FV(0,"0050897569019402195")</f>
        <v>#VALUE!</v>
      </c>
      <c r="I7565" t="s">
        <v>47366</v>
      </c>
      <c r="J7565" t="s">
        <v>47367</v>
      </c>
      <c r="K7565" t="s">
        <v>47368</v>
      </c>
      <c r="L7565" t="s">
        <v>47362</v>
      </c>
    </row>
    <row r="7566" spans="1:12" x14ac:dyDescent="0.25">
      <c r="A7566">
        <v>1298359</v>
      </c>
      <c r="B7566">
        <v>1815206</v>
      </c>
      <c r="D7566">
        <v>0</v>
      </c>
      <c r="E7566" t="s">
        <v>47370</v>
      </c>
      <c r="F7566" t="s">
        <v>47371</v>
      </c>
      <c r="G7566" t="s">
        <v>47372</v>
      </c>
      <c r="H7566" t="e" vm="3284">
        <f>_FV(0,"013489389991706556")</f>
        <v>#VALUE!</v>
      </c>
      <c r="I7566" t="s">
        <v>47373</v>
      </c>
      <c r="J7566" t="s">
        <v>47374</v>
      </c>
      <c r="K7566" t="s">
        <v>47375</v>
      </c>
      <c r="L7566" t="s">
        <v>47369</v>
      </c>
    </row>
    <row r="7567" spans="1:12" x14ac:dyDescent="0.25">
      <c r="A7567">
        <v>1298359</v>
      </c>
      <c r="B7567">
        <v>1815147</v>
      </c>
      <c r="D7567">
        <v>0</v>
      </c>
      <c r="E7567" t="s">
        <v>47377</v>
      </c>
      <c r="F7567" t="s">
        <v>47378</v>
      </c>
      <c r="G7567" t="s">
        <v>47379</v>
      </c>
      <c r="H7567" t="e" vm="3285">
        <f>_FV(0,"02040040013500842")</f>
        <v>#VALUE!</v>
      </c>
      <c r="I7567" t="s">
        <v>47380</v>
      </c>
      <c r="J7567" t="s">
        <v>47381</v>
      </c>
      <c r="K7567" t="s">
        <v>47382</v>
      </c>
      <c r="L7567" t="s">
        <v>47376</v>
      </c>
    </row>
    <row r="7568" spans="1:12" x14ac:dyDescent="0.25">
      <c r="A7568">
        <v>1298429</v>
      </c>
      <c r="B7568">
        <v>1298430</v>
      </c>
      <c r="D7568">
        <v>0</v>
      </c>
      <c r="F7568">
        <v>1423172</v>
      </c>
      <c r="G7568">
        <v>1298430</v>
      </c>
      <c r="H7568" t="s">
        <v>1589</v>
      </c>
      <c r="I7568">
        <v>1298429</v>
      </c>
      <c r="J7568" t="s">
        <v>1589</v>
      </c>
      <c r="K7568" t="s">
        <v>47383</v>
      </c>
      <c r="L7568" t="s">
        <v>1589</v>
      </c>
    </row>
    <row r="7569" spans="1:12" x14ac:dyDescent="0.25">
      <c r="A7569">
        <v>1298429</v>
      </c>
      <c r="B7569">
        <v>1298471</v>
      </c>
      <c r="D7569">
        <v>0</v>
      </c>
      <c r="E7569" t="s">
        <v>47385</v>
      </c>
      <c r="F7569" t="s">
        <v>47386</v>
      </c>
      <c r="G7569" t="s">
        <v>47387</v>
      </c>
      <c r="H7569" t="e" vm="3286">
        <f>_FV(0,"15015203194300003")</f>
        <v>#VALUE!</v>
      </c>
      <c r="I7569" t="s">
        <v>47388</v>
      </c>
      <c r="J7569" t="s">
        <v>47389</v>
      </c>
      <c r="K7569" t="s">
        <v>47390</v>
      </c>
      <c r="L7569" t="s">
        <v>47384</v>
      </c>
    </row>
    <row r="7570" spans="1:12" x14ac:dyDescent="0.25">
      <c r="A7570">
        <v>1298430</v>
      </c>
      <c r="B7570">
        <v>1298448</v>
      </c>
      <c r="D7570">
        <v>0</v>
      </c>
      <c r="E7570" t="s">
        <v>47392</v>
      </c>
      <c r="F7570" t="s">
        <v>47393</v>
      </c>
      <c r="G7570" t="s">
        <v>47394</v>
      </c>
      <c r="H7570" t="s">
        <v>47395</v>
      </c>
      <c r="I7570" t="s">
        <v>47396</v>
      </c>
      <c r="J7570" t="s">
        <v>47391</v>
      </c>
      <c r="K7570" t="s">
        <v>47397</v>
      </c>
      <c r="L7570" t="s">
        <v>47391</v>
      </c>
    </row>
    <row r="7571" spans="1:12" x14ac:dyDescent="0.25">
      <c r="A7571">
        <v>1298448</v>
      </c>
      <c r="B7571">
        <v>1298471</v>
      </c>
      <c r="D7571">
        <v>0</v>
      </c>
      <c r="E7571" t="s">
        <v>47399</v>
      </c>
      <c r="F7571" t="s">
        <v>47400</v>
      </c>
      <c r="G7571" t="s">
        <v>47401</v>
      </c>
      <c r="H7571" t="e" vm="3287">
        <f>_FV(0,"017044214083863484")</f>
        <v>#VALUE!</v>
      </c>
      <c r="I7571" t="s">
        <v>47402</v>
      </c>
      <c r="J7571" t="s">
        <v>47403</v>
      </c>
      <c r="K7571" t="s">
        <v>47404</v>
      </c>
      <c r="L7571" t="s">
        <v>47398</v>
      </c>
    </row>
    <row r="7572" spans="1:12" x14ac:dyDescent="0.25">
      <c r="A7572">
        <v>1298536</v>
      </c>
      <c r="B7572">
        <v>1298551</v>
      </c>
      <c r="D7572">
        <v>0</v>
      </c>
      <c r="E7572" t="s">
        <v>47406</v>
      </c>
      <c r="F7572" t="s">
        <v>47407</v>
      </c>
      <c r="G7572" t="s">
        <v>47408</v>
      </c>
      <c r="H7572" t="s">
        <v>47409</v>
      </c>
      <c r="I7572" t="s">
        <v>47410</v>
      </c>
      <c r="J7572" t="s">
        <v>47405</v>
      </c>
      <c r="K7572" t="s">
        <v>47411</v>
      </c>
      <c r="L7572" t="s">
        <v>47405</v>
      </c>
    </row>
    <row r="7573" spans="1:12" x14ac:dyDescent="0.25">
      <c r="A7573">
        <v>1298536</v>
      </c>
      <c r="B7573">
        <v>1298572</v>
      </c>
      <c r="D7573">
        <v>0</v>
      </c>
      <c r="E7573" t="s">
        <v>47413</v>
      </c>
      <c r="F7573" t="s">
        <v>47414</v>
      </c>
      <c r="G7573" t="s">
        <v>47415</v>
      </c>
      <c r="H7573" t="e" vm="3288">
        <f>_FV(0,"0009804274080439852")</f>
        <v>#VALUE!</v>
      </c>
      <c r="I7573" t="s">
        <v>47416</v>
      </c>
      <c r="J7573" t="s">
        <v>47417</v>
      </c>
      <c r="K7573" t="s">
        <v>47418</v>
      </c>
      <c r="L7573" t="s">
        <v>47412</v>
      </c>
    </row>
    <row r="7574" spans="1:12" x14ac:dyDescent="0.25">
      <c r="A7574">
        <v>1298551</v>
      </c>
      <c r="B7574">
        <v>1298557</v>
      </c>
      <c r="D7574">
        <v>0</v>
      </c>
      <c r="F7574">
        <v>1423332</v>
      </c>
      <c r="G7574">
        <v>1298557</v>
      </c>
      <c r="H7574" t="e" vm="47">
        <f>_FV(0,"016")</f>
        <v>#VALUE!</v>
      </c>
      <c r="I7574">
        <v>1298551</v>
      </c>
      <c r="J7574" t="s">
        <v>737</v>
      </c>
      <c r="K7574" t="s">
        <v>47419</v>
      </c>
      <c r="L7574" t="e" vm="47">
        <f>_FV(0,"016")</f>
        <v>#VALUE!</v>
      </c>
    </row>
    <row r="7575" spans="1:12" x14ac:dyDescent="0.25">
      <c r="A7575">
        <v>1298557</v>
      </c>
      <c r="B7575">
        <v>1298572</v>
      </c>
      <c r="D7575">
        <v>0</v>
      </c>
      <c r="E7575" t="s">
        <v>47421</v>
      </c>
      <c r="F7575" t="s">
        <v>47422</v>
      </c>
      <c r="G7575" t="s">
        <v>47423</v>
      </c>
      <c r="H7575" t="e" vm="3289">
        <f>_FV(0,"23151361524586872")</f>
        <v>#VALUE!</v>
      </c>
      <c r="I7575" t="s">
        <v>47424</v>
      </c>
      <c r="J7575" t="s">
        <v>47425</v>
      </c>
      <c r="K7575" t="s">
        <v>47426</v>
      </c>
      <c r="L7575" t="s">
        <v>47420</v>
      </c>
    </row>
    <row r="7576" spans="1:12" x14ac:dyDescent="0.25">
      <c r="A7576">
        <v>1298615</v>
      </c>
      <c r="B7576">
        <v>1298616</v>
      </c>
      <c r="D7576">
        <v>0</v>
      </c>
      <c r="F7576">
        <v>1423427</v>
      </c>
      <c r="G7576">
        <v>1298616</v>
      </c>
      <c r="H7576" t="s">
        <v>43359</v>
      </c>
      <c r="I7576">
        <v>1298615</v>
      </c>
      <c r="J7576" t="s">
        <v>43359</v>
      </c>
      <c r="K7576" t="s">
        <v>47427</v>
      </c>
      <c r="L7576" t="s">
        <v>43359</v>
      </c>
    </row>
    <row r="7577" spans="1:12" x14ac:dyDescent="0.25">
      <c r="A7577">
        <v>1298615</v>
      </c>
      <c r="B7577">
        <v>1298640</v>
      </c>
      <c r="D7577">
        <v>0</v>
      </c>
      <c r="E7577" t="s">
        <v>47429</v>
      </c>
      <c r="F7577" t="s">
        <v>47430</v>
      </c>
      <c r="G7577" t="s">
        <v>47431</v>
      </c>
      <c r="H7577" t="e" vm="3290">
        <f>_FV(0,"42710066933222585")</f>
        <v>#VALUE!</v>
      </c>
      <c r="I7577" t="s">
        <v>47432</v>
      </c>
      <c r="J7577" t="s">
        <v>47433</v>
      </c>
      <c r="K7577" t="s">
        <v>47434</v>
      </c>
      <c r="L7577" t="s">
        <v>47428</v>
      </c>
    </row>
    <row r="7578" spans="1:12" x14ac:dyDescent="0.25">
      <c r="A7578">
        <v>1298616</v>
      </c>
      <c r="B7578">
        <v>1298627</v>
      </c>
      <c r="D7578">
        <v>0</v>
      </c>
      <c r="E7578" t="s">
        <v>47436</v>
      </c>
      <c r="F7578" t="s">
        <v>47437</v>
      </c>
      <c r="G7578" t="s">
        <v>47438</v>
      </c>
      <c r="H7578" t="s">
        <v>47439</v>
      </c>
      <c r="I7578" t="s">
        <v>47440</v>
      </c>
      <c r="J7578" t="s">
        <v>47435</v>
      </c>
      <c r="K7578" t="s">
        <v>47441</v>
      </c>
      <c r="L7578" t="s">
        <v>47435</v>
      </c>
    </row>
    <row r="7579" spans="1:12" x14ac:dyDescent="0.25">
      <c r="A7579">
        <v>1298627</v>
      </c>
      <c r="B7579">
        <v>1298640</v>
      </c>
      <c r="D7579">
        <v>0</v>
      </c>
      <c r="E7579" t="s">
        <v>47443</v>
      </c>
      <c r="F7579" t="s">
        <v>47444</v>
      </c>
      <c r="G7579" t="s">
        <v>47445</v>
      </c>
      <c r="H7579" t="e" vm="3291">
        <f>_FV(0,"007938644005764463")</f>
        <v>#VALUE!</v>
      </c>
      <c r="I7579" t="s">
        <v>47446</v>
      </c>
      <c r="J7579" t="s">
        <v>47447</v>
      </c>
      <c r="K7579" t="s">
        <v>47448</v>
      </c>
      <c r="L7579" t="s">
        <v>47442</v>
      </c>
    </row>
    <row r="7580" spans="1:12" x14ac:dyDescent="0.25">
      <c r="A7580">
        <v>1298674</v>
      </c>
      <c r="B7580">
        <v>1298694</v>
      </c>
      <c r="D7580">
        <v>0</v>
      </c>
      <c r="E7580" t="s">
        <v>47450</v>
      </c>
      <c r="F7580" t="s">
        <v>47451</v>
      </c>
      <c r="G7580" t="s">
        <v>47452</v>
      </c>
      <c r="H7580" t="s">
        <v>47453</v>
      </c>
      <c r="I7580" t="s">
        <v>47454</v>
      </c>
      <c r="J7580" t="s">
        <v>47449</v>
      </c>
      <c r="K7580" t="s">
        <v>47455</v>
      </c>
      <c r="L7580" t="s">
        <v>47449</v>
      </c>
    </row>
    <row r="7581" spans="1:12" x14ac:dyDescent="0.25">
      <c r="A7581">
        <v>1298991</v>
      </c>
      <c r="B7581">
        <v>1362799</v>
      </c>
      <c r="D7581">
        <v>0</v>
      </c>
      <c r="E7581" t="s">
        <v>47457</v>
      </c>
      <c r="F7581" t="s">
        <v>47458</v>
      </c>
      <c r="G7581" t="s">
        <v>47459</v>
      </c>
      <c r="H7581" t="e" vm="3292">
        <f>_FV(0,"06221821017845088")</f>
        <v>#VALUE!</v>
      </c>
      <c r="I7581" t="s">
        <v>47460</v>
      </c>
      <c r="J7581" t="s">
        <v>47461</v>
      </c>
      <c r="K7581" t="s">
        <v>47462</v>
      </c>
      <c r="L7581" t="s">
        <v>47456</v>
      </c>
    </row>
    <row r="7582" spans="1:12" x14ac:dyDescent="0.25">
      <c r="A7582">
        <v>1298991</v>
      </c>
      <c r="B7582">
        <v>1362819</v>
      </c>
      <c r="D7582">
        <v>0</v>
      </c>
      <c r="E7582" t="s">
        <v>47464</v>
      </c>
      <c r="F7582" t="s">
        <v>47465</v>
      </c>
      <c r="G7582" t="s">
        <v>47466</v>
      </c>
      <c r="H7582" t="s">
        <v>47467</v>
      </c>
      <c r="I7582" t="s">
        <v>47468</v>
      </c>
      <c r="J7582" t="s">
        <v>47463</v>
      </c>
      <c r="K7582" t="s">
        <v>47469</v>
      </c>
      <c r="L7582" t="s">
        <v>47463</v>
      </c>
    </row>
    <row r="7583" spans="1:12" x14ac:dyDescent="0.25">
      <c r="A7583">
        <v>1298991</v>
      </c>
      <c r="B7583">
        <v>1391852</v>
      </c>
      <c r="D7583">
        <v>0</v>
      </c>
      <c r="E7583" t="s">
        <v>47471</v>
      </c>
      <c r="F7583" t="s">
        <v>47472</v>
      </c>
      <c r="G7583" t="s">
        <v>47473</v>
      </c>
      <c r="H7583" t="s">
        <v>47474</v>
      </c>
      <c r="I7583" t="s">
        <v>47475</v>
      </c>
      <c r="J7583" t="s">
        <v>47476</v>
      </c>
      <c r="K7583" t="s">
        <v>47477</v>
      </c>
      <c r="L7583" t="s">
        <v>47470</v>
      </c>
    </row>
    <row r="7584" spans="1:12" x14ac:dyDescent="0.25">
      <c r="A7584">
        <v>1300441</v>
      </c>
      <c r="B7584">
        <v>1301032</v>
      </c>
      <c r="D7584">
        <v>0</v>
      </c>
      <c r="F7584">
        <v>1427640</v>
      </c>
      <c r="G7584">
        <v>1301032</v>
      </c>
      <c r="H7584" t="e" vm="131">
        <f>_FV(0,"012")</f>
        <v>#VALUE!</v>
      </c>
      <c r="I7584">
        <v>1300441</v>
      </c>
      <c r="J7584" t="s">
        <v>1939</v>
      </c>
      <c r="K7584" t="s">
        <v>47478</v>
      </c>
      <c r="L7584" t="e" vm="131">
        <f>_FV(0,"012")</f>
        <v>#VALUE!</v>
      </c>
    </row>
    <row r="7585" spans="1:12" x14ac:dyDescent="0.25">
      <c r="A7585">
        <v>1300441</v>
      </c>
      <c r="B7585">
        <v>1306939</v>
      </c>
      <c r="D7585">
        <v>0</v>
      </c>
      <c r="E7585" t="s">
        <v>47480</v>
      </c>
      <c r="F7585" t="s">
        <v>47481</v>
      </c>
      <c r="G7585" t="s">
        <v>47482</v>
      </c>
      <c r="H7585" t="s">
        <v>47483</v>
      </c>
      <c r="I7585" t="s">
        <v>47484</v>
      </c>
      <c r="J7585" t="s">
        <v>47485</v>
      </c>
      <c r="K7585" t="s">
        <v>47486</v>
      </c>
      <c r="L7585" t="s">
        <v>47479</v>
      </c>
    </row>
    <row r="7586" spans="1:12" x14ac:dyDescent="0.25">
      <c r="A7586">
        <v>1300441</v>
      </c>
      <c r="B7586">
        <v>1301053</v>
      </c>
      <c r="D7586">
        <v>0</v>
      </c>
      <c r="F7586">
        <v>1427632</v>
      </c>
      <c r="G7586">
        <v>1300441</v>
      </c>
      <c r="H7586" t="e" vm="109">
        <f>_FV(0,"01")</f>
        <v>#VALUE!</v>
      </c>
      <c r="I7586">
        <v>1301053</v>
      </c>
      <c r="J7586" t="s">
        <v>761</v>
      </c>
      <c r="K7586" t="s">
        <v>47487</v>
      </c>
      <c r="L7586" t="e" vm="109">
        <f>_FV(0,"01")</f>
        <v>#VALUE!</v>
      </c>
    </row>
    <row r="7587" spans="1:12" x14ac:dyDescent="0.25">
      <c r="A7587">
        <v>1300467</v>
      </c>
      <c r="B7587">
        <v>1301090</v>
      </c>
      <c r="D7587">
        <v>0</v>
      </c>
      <c r="F7587">
        <v>1427712</v>
      </c>
      <c r="G7587">
        <v>1301090</v>
      </c>
      <c r="H7587" t="e" vm="625">
        <f>_FV(0,"015")</f>
        <v>#VALUE!</v>
      </c>
      <c r="I7587">
        <v>1300467</v>
      </c>
      <c r="J7587" t="s">
        <v>6474</v>
      </c>
      <c r="K7587" t="s">
        <v>47488</v>
      </c>
      <c r="L7587" t="e" vm="625">
        <f>_FV(0,"015")</f>
        <v>#VALUE!</v>
      </c>
    </row>
    <row r="7588" spans="1:12" x14ac:dyDescent="0.25">
      <c r="A7588">
        <v>1300467</v>
      </c>
      <c r="B7588">
        <v>1301083</v>
      </c>
      <c r="D7588">
        <v>0</v>
      </c>
      <c r="F7588">
        <v>1427704</v>
      </c>
      <c r="G7588">
        <v>1300467</v>
      </c>
      <c r="H7588" t="e" vm="1300">
        <f>_FV(0,"013")</f>
        <v>#VALUE!</v>
      </c>
      <c r="I7588">
        <v>1301083</v>
      </c>
      <c r="J7588" t="s">
        <v>30</v>
      </c>
      <c r="K7588" t="s">
        <v>47489</v>
      </c>
      <c r="L7588" t="e" vm="1300">
        <f>_FV(0,"013")</f>
        <v>#VALUE!</v>
      </c>
    </row>
    <row r="7589" spans="1:12" x14ac:dyDescent="0.25">
      <c r="A7589">
        <v>1300467</v>
      </c>
      <c r="B7589">
        <v>1306590</v>
      </c>
      <c r="D7589">
        <v>0</v>
      </c>
      <c r="E7589" t="s">
        <v>47491</v>
      </c>
      <c r="F7589" t="s">
        <v>47492</v>
      </c>
      <c r="G7589" t="s">
        <v>47493</v>
      </c>
      <c r="H7589" t="e" vm="3293">
        <f>_FV(0,"008593092573900186")</f>
        <v>#VALUE!</v>
      </c>
      <c r="I7589" t="s">
        <v>47494</v>
      </c>
      <c r="J7589" t="s">
        <v>47495</v>
      </c>
      <c r="K7589" t="s">
        <v>47496</v>
      </c>
      <c r="L7589" t="s">
        <v>47490</v>
      </c>
    </row>
    <row r="7590" spans="1:12" x14ac:dyDescent="0.25">
      <c r="A7590">
        <v>1300479</v>
      </c>
      <c r="B7590">
        <v>1300520</v>
      </c>
      <c r="D7590">
        <v>0</v>
      </c>
      <c r="E7590" t="s">
        <v>47498</v>
      </c>
      <c r="F7590" t="s">
        <v>47499</v>
      </c>
      <c r="G7590" t="s">
        <v>47500</v>
      </c>
      <c r="H7590" t="e" vm="3294">
        <f>_FV(0,"04449398369855536")</f>
        <v>#VALUE!</v>
      </c>
      <c r="I7590" t="s">
        <v>47501</v>
      </c>
      <c r="J7590" t="s">
        <v>47502</v>
      </c>
      <c r="K7590" t="s">
        <v>47503</v>
      </c>
      <c r="L7590" t="s">
        <v>47497</v>
      </c>
    </row>
    <row r="7591" spans="1:12" x14ac:dyDescent="0.25">
      <c r="A7591">
        <v>1300479</v>
      </c>
      <c r="B7591">
        <v>1301192</v>
      </c>
      <c r="D7591">
        <v>0</v>
      </c>
      <c r="F7591">
        <v>1427928</v>
      </c>
      <c r="G7591">
        <v>1300479</v>
      </c>
      <c r="H7591" t="s">
        <v>8057</v>
      </c>
      <c r="I7591">
        <v>1301192</v>
      </c>
      <c r="J7591" t="s">
        <v>8057</v>
      </c>
      <c r="K7591" t="s">
        <v>47504</v>
      </c>
      <c r="L7591" t="s">
        <v>8057</v>
      </c>
    </row>
    <row r="7592" spans="1:12" x14ac:dyDescent="0.25">
      <c r="A7592">
        <v>1300479</v>
      </c>
      <c r="B7592">
        <v>1307107</v>
      </c>
      <c r="D7592">
        <v>0</v>
      </c>
      <c r="E7592" t="s">
        <v>47506</v>
      </c>
      <c r="F7592" t="s">
        <v>47507</v>
      </c>
      <c r="G7592" t="s">
        <v>47508</v>
      </c>
      <c r="H7592" t="s">
        <v>47509</v>
      </c>
      <c r="I7592" t="s">
        <v>47510</v>
      </c>
      <c r="J7592" t="s">
        <v>47511</v>
      </c>
      <c r="K7592" t="s">
        <v>47512</v>
      </c>
      <c r="L7592" t="s">
        <v>47505</v>
      </c>
    </row>
    <row r="7593" spans="1:12" x14ac:dyDescent="0.25">
      <c r="A7593">
        <v>1300503</v>
      </c>
      <c r="B7593">
        <v>1301479</v>
      </c>
      <c r="D7593">
        <v>0</v>
      </c>
      <c r="F7593">
        <v>1428448</v>
      </c>
      <c r="G7593">
        <v>1301479</v>
      </c>
      <c r="H7593" t="s">
        <v>7523</v>
      </c>
      <c r="I7593">
        <v>1300503</v>
      </c>
      <c r="J7593" t="s">
        <v>7523</v>
      </c>
      <c r="K7593" t="s">
        <v>47513</v>
      </c>
      <c r="L7593" t="s">
        <v>7523</v>
      </c>
    </row>
    <row r="7594" spans="1:12" x14ac:dyDescent="0.25">
      <c r="A7594">
        <v>1300503</v>
      </c>
      <c r="B7594">
        <v>1306725</v>
      </c>
      <c r="D7594">
        <v>0</v>
      </c>
      <c r="E7594" t="s">
        <v>47515</v>
      </c>
      <c r="F7594" t="s">
        <v>47516</v>
      </c>
      <c r="G7594" t="s">
        <v>47517</v>
      </c>
      <c r="H7594" t="s">
        <v>47518</v>
      </c>
      <c r="I7594" t="s">
        <v>47519</v>
      </c>
      <c r="J7594" t="s">
        <v>47520</v>
      </c>
      <c r="K7594" t="s">
        <v>47521</v>
      </c>
      <c r="L7594" t="s">
        <v>47514</v>
      </c>
    </row>
    <row r="7595" spans="1:12" x14ac:dyDescent="0.25">
      <c r="A7595">
        <v>1300503</v>
      </c>
      <c r="B7595">
        <v>1300614</v>
      </c>
      <c r="D7595">
        <v>0</v>
      </c>
      <c r="E7595" t="s">
        <v>47523</v>
      </c>
      <c r="F7595" t="s">
        <v>47524</v>
      </c>
      <c r="G7595" t="s">
        <v>47525</v>
      </c>
      <c r="H7595" t="s">
        <v>47526</v>
      </c>
      <c r="I7595" t="s">
        <v>47527</v>
      </c>
      <c r="J7595" t="s">
        <v>47528</v>
      </c>
      <c r="K7595" t="s">
        <v>47529</v>
      </c>
      <c r="L7595" t="s">
        <v>47522</v>
      </c>
    </row>
    <row r="7596" spans="1:12" x14ac:dyDescent="0.25">
      <c r="A7596">
        <v>1300520</v>
      </c>
      <c r="B7596">
        <v>1301184</v>
      </c>
      <c r="D7596">
        <v>0</v>
      </c>
      <c r="F7596">
        <v>1427904</v>
      </c>
      <c r="G7596">
        <v>1301184</v>
      </c>
      <c r="H7596" t="e" vm="144">
        <f>_FV(0,"003")</f>
        <v>#VALUE!</v>
      </c>
      <c r="I7596">
        <v>1300520</v>
      </c>
      <c r="J7596" t="s">
        <v>1783</v>
      </c>
      <c r="K7596" t="s">
        <v>47530</v>
      </c>
      <c r="L7596" t="e" vm="144">
        <f>_FV(0,"003")</f>
        <v>#VALUE!</v>
      </c>
    </row>
    <row r="7597" spans="1:12" x14ac:dyDescent="0.25">
      <c r="A7597">
        <v>1300520</v>
      </c>
      <c r="B7597">
        <v>1307137</v>
      </c>
      <c r="D7597">
        <v>0</v>
      </c>
      <c r="E7597" t="s">
        <v>47532</v>
      </c>
      <c r="F7597" t="s">
        <v>47533</v>
      </c>
      <c r="G7597" t="s">
        <v>47534</v>
      </c>
      <c r="H7597" t="e" vm="3295">
        <f>_FV(0,"02374385438750644")</f>
        <v>#VALUE!</v>
      </c>
      <c r="I7597" t="s">
        <v>47535</v>
      </c>
      <c r="J7597" t="s">
        <v>47536</v>
      </c>
      <c r="K7597" t="s">
        <v>47537</v>
      </c>
      <c r="L7597" t="s">
        <v>47531</v>
      </c>
    </row>
    <row r="7598" spans="1:12" x14ac:dyDescent="0.25">
      <c r="A7598">
        <v>1300614</v>
      </c>
      <c r="B7598">
        <v>1301457</v>
      </c>
      <c r="D7598">
        <v>0</v>
      </c>
      <c r="F7598">
        <v>1428408</v>
      </c>
      <c r="G7598">
        <v>1300614</v>
      </c>
      <c r="H7598" t="e" vm="198">
        <f>_FV(0,"087")</f>
        <v>#VALUE!</v>
      </c>
      <c r="I7598">
        <v>1301457</v>
      </c>
      <c r="J7598" t="s">
        <v>3049</v>
      </c>
      <c r="K7598" t="s">
        <v>47538</v>
      </c>
      <c r="L7598" t="e" vm="198">
        <f>_FV(0,"087")</f>
        <v>#VALUE!</v>
      </c>
    </row>
    <row r="7599" spans="1:12" x14ac:dyDescent="0.25">
      <c r="A7599">
        <v>1300614</v>
      </c>
      <c r="B7599">
        <v>1306751</v>
      </c>
      <c r="D7599">
        <v>0</v>
      </c>
      <c r="E7599" t="s">
        <v>47540</v>
      </c>
      <c r="F7599" t="s">
        <v>47541</v>
      </c>
      <c r="G7599" t="s">
        <v>47542</v>
      </c>
      <c r="H7599" t="s">
        <v>47543</v>
      </c>
      <c r="I7599" t="s">
        <v>47544</v>
      </c>
      <c r="J7599" t="s">
        <v>47545</v>
      </c>
      <c r="K7599" t="s">
        <v>47546</v>
      </c>
      <c r="L7599" t="s">
        <v>47539</v>
      </c>
    </row>
    <row r="7600" spans="1:12" x14ac:dyDescent="0.25">
      <c r="A7600">
        <v>1300646</v>
      </c>
      <c r="B7600">
        <v>1300651</v>
      </c>
      <c r="D7600">
        <v>0</v>
      </c>
      <c r="F7600">
        <v>1427045</v>
      </c>
      <c r="G7600">
        <v>1300651</v>
      </c>
      <c r="H7600" t="s">
        <v>3940</v>
      </c>
      <c r="I7600">
        <v>1300646</v>
      </c>
      <c r="J7600" t="s">
        <v>3940</v>
      </c>
      <c r="K7600" t="s">
        <v>47547</v>
      </c>
      <c r="L7600" t="s">
        <v>3940</v>
      </c>
    </row>
    <row r="7601" spans="1:12" x14ac:dyDescent="0.25">
      <c r="A7601">
        <v>1300666</v>
      </c>
      <c r="B7601">
        <v>1300673</v>
      </c>
      <c r="D7601">
        <v>0</v>
      </c>
      <c r="F7601">
        <v>1427077</v>
      </c>
      <c r="G7601">
        <v>1300673</v>
      </c>
      <c r="H7601" t="e" vm="632">
        <f>_FV(0,"035")</f>
        <v>#VALUE!</v>
      </c>
      <c r="I7601">
        <v>1300666</v>
      </c>
      <c r="J7601" t="s">
        <v>7225</v>
      </c>
      <c r="K7601" t="s">
        <v>47548</v>
      </c>
      <c r="L7601" t="e" vm="632">
        <f>_FV(0,"035")</f>
        <v>#VALUE!</v>
      </c>
    </row>
    <row r="7602" spans="1:12" x14ac:dyDescent="0.25">
      <c r="A7602">
        <v>1300673</v>
      </c>
      <c r="B7602">
        <v>1300683</v>
      </c>
      <c r="D7602">
        <v>0</v>
      </c>
      <c r="F7602">
        <v>1427085</v>
      </c>
      <c r="G7602">
        <v>1300683</v>
      </c>
      <c r="H7602" t="e" vm="122">
        <f>_FV(0,"017")</f>
        <v>#VALUE!</v>
      </c>
      <c r="I7602">
        <v>1300673</v>
      </c>
      <c r="J7602" t="s">
        <v>1814</v>
      </c>
      <c r="K7602" t="s">
        <v>47549</v>
      </c>
      <c r="L7602" t="e" vm="122">
        <f>_FV(0,"017")</f>
        <v>#VALUE!</v>
      </c>
    </row>
    <row r="7603" spans="1:12" x14ac:dyDescent="0.25">
      <c r="A7603">
        <v>1300683</v>
      </c>
      <c r="B7603">
        <v>1300689</v>
      </c>
      <c r="D7603">
        <v>0</v>
      </c>
      <c r="F7603">
        <v>1427093</v>
      </c>
      <c r="G7603">
        <v>1300689</v>
      </c>
      <c r="H7603" t="s">
        <v>250</v>
      </c>
      <c r="I7603">
        <v>1300683</v>
      </c>
      <c r="J7603" t="s">
        <v>250</v>
      </c>
      <c r="K7603" t="s">
        <v>47550</v>
      </c>
      <c r="L7603" t="s">
        <v>250</v>
      </c>
    </row>
    <row r="7604" spans="1:12" x14ac:dyDescent="0.25">
      <c r="A7604">
        <v>1300683</v>
      </c>
      <c r="B7604">
        <v>1457875</v>
      </c>
      <c r="D7604">
        <v>0</v>
      </c>
      <c r="E7604" t="s">
        <v>47552</v>
      </c>
      <c r="F7604" t="s">
        <v>47553</v>
      </c>
      <c r="G7604" t="s">
        <v>47554</v>
      </c>
      <c r="H7604" t="e" vm="3296">
        <f>_FV(0,"025001090706407422")</f>
        <v>#VALUE!</v>
      </c>
      <c r="I7604" t="s">
        <v>47555</v>
      </c>
      <c r="J7604" t="s">
        <v>47556</v>
      </c>
      <c r="K7604" t="s">
        <v>47557</v>
      </c>
      <c r="L7604" t="s">
        <v>47551</v>
      </c>
    </row>
    <row r="7605" spans="1:12" x14ac:dyDescent="0.25">
      <c r="A7605">
        <v>1300784</v>
      </c>
      <c r="B7605">
        <v>1300815</v>
      </c>
      <c r="D7605">
        <v>0</v>
      </c>
      <c r="F7605">
        <v>1427277</v>
      </c>
      <c r="G7605">
        <v>1300784</v>
      </c>
      <c r="H7605" t="s">
        <v>1939</v>
      </c>
      <c r="I7605">
        <v>1300815</v>
      </c>
      <c r="J7605" t="s">
        <v>1939</v>
      </c>
      <c r="K7605" t="s">
        <v>47558</v>
      </c>
      <c r="L7605" t="s">
        <v>1939</v>
      </c>
    </row>
    <row r="7606" spans="1:12" x14ac:dyDescent="0.25">
      <c r="A7606">
        <v>1300796</v>
      </c>
      <c r="B7606">
        <v>1300815</v>
      </c>
      <c r="D7606">
        <v>0</v>
      </c>
      <c r="E7606" t="s">
        <v>47560</v>
      </c>
      <c r="F7606" t="s">
        <v>47561</v>
      </c>
      <c r="G7606" t="s">
        <v>47562</v>
      </c>
      <c r="H7606" t="e" vm="3297">
        <f>_FV(0,"009588753229433752")</f>
        <v>#VALUE!</v>
      </c>
      <c r="I7606" t="s">
        <v>47563</v>
      </c>
      <c r="J7606" t="s">
        <v>47564</v>
      </c>
      <c r="K7606" t="s">
        <v>47565</v>
      </c>
      <c r="L7606" t="s">
        <v>47559</v>
      </c>
    </row>
    <row r="7607" spans="1:12" x14ac:dyDescent="0.25">
      <c r="A7607">
        <v>1300884</v>
      </c>
      <c r="B7607">
        <v>1300885</v>
      </c>
      <c r="D7607">
        <v>0</v>
      </c>
      <c r="F7607">
        <v>1427349</v>
      </c>
      <c r="G7607">
        <v>1300885</v>
      </c>
      <c r="H7607" t="e" vm="12">
        <f>_FV(0,"005")</f>
        <v>#VALUE!</v>
      </c>
      <c r="I7607">
        <v>1300884</v>
      </c>
      <c r="J7607" t="s">
        <v>194</v>
      </c>
      <c r="K7607" t="s">
        <v>47566</v>
      </c>
      <c r="L7607" t="e" vm="12">
        <f>_FV(0,"005")</f>
        <v>#VALUE!</v>
      </c>
    </row>
    <row r="7608" spans="1:12" x14ac:dyDescent="0.25">
      <c r="A7608">
        <v>1300884</v>
      </c>
      <c r="B7608">
        <v>1300933</v>
      </c>
      <c r="D7608">
        <v>0</v>
      </c>
      <c r="E7608" t="s">
        <v>47567</v>
      </c>
      <c r="F7608" t="s">
        <v>47568</v>
      </c>
      <c r="G7608" t="s">
        <v>47569</v>
      </c>
      <c r="H7608" t="e" vm="3298">
        <f>_FV(0,"0030180943086170376")</f>
        <v>#VALUE!</v>
      </c>
      <c r="I7608" t="s">
        <v>47570</v>
      </c>
      <c r="J7608" t="s">
        <v>13041</v>
      </c>
      <c r="K7608" t="s">
        <v>47571</v>
      </c>
      <c r="L7608" t="s">
        <v>27403</v>
      </c>
    </row>
    <row r="7609" spans="1:12" x14ac:dyDescent="0.25">
      <c r="A7609">
        <v>1300884</v>
      </c>
      <c r="B7609">
        <v>1432423</v>
      </c>
      <c r="D7609">
        <v>0</v>
      </c>
      <c r="E7609" t="s">
        <v>47573</v>
      </c>
      <c r="F7609" t="s">
        <v>47574</v>
      </c>
      <c r="G7609" t="s">
        <v>47575</v>
      </c>
      <c r="H7609" t="e" vm="3299">
        <f>_FV(0,"004223108869611852")</f>
        <v>#VALUE!</v>
      </c>
      <c r="I7609" t="s">
        <v>47576</v>
      </c>
      <c r="J7609" t="s">
        <v>47577</v>
      </c>
      <c r="K7609" t="s">
        <v>47578</v>
      </c>
      <c r="L7609" t="s">
        <v>47572</v>
      </c>
    </row>
    <row r="7610" spans="1:12" x14ac:dyDescent="0.25">
      <c r="A7610">
        <v>1300885</v>
      </c>
      <c r="B7610">
        <v>1300890</v>
      </c>
      <c r="D7610">
        <v>0</v>
      </c>
      <c r="F7610">
        <v>1427357</v>
      </c>
      <c r="G7610">
        <v>1300890</v>
      </c>
      <c r="H7610" t="e" vm="18">
        <f>_FV(0,"004")</f>
        <v>#VALUE!</v>
      </c>
      <c r="I7610">
        <v>1300885</v>
      </c>
      <c r="J7610" t="s">
        <v>239</v>
      </c>
      <c r="K7610" t="s">
        <v>47579</v>
      </c>
      <c r="L7610" t="e" vm="18">
        <f>_FV(0,"004")</f>
        <v>#VALUE!</v>
      </c>
    </row>
    <row r="7611" spans="1:12" x14ac:dyDescent="0.25">
      <c r="A7611">
        <v>1300885</v>
      </c>
      <c r="B7611">
        <v>1532406</v>
      </c>
      <c r="D7611">
        <v>0</v>
      </c>
      <c r="E7611" t="s">
        <v>47581</v>
      </c>
      <c r="F7611" t="s">
        <v>47582</v>
      </c>
      <c r="G7611" t="s">
        <v>47583</v>
      </c>
      <c r="H7611" t="s">
        <v>47584</v>
      </c>
      <c r="I7611" t="s">
        <v>47585</v>
      </c>
      <c r="J7611" t="s">
        <v>47586</v>
      </c>
      <c r="K7611" t="s">
        <v>47587</v>
      </c>
      <c r="L7611" t="s">
        <v>47580</v>
      </c>
    </row>
    <row r="7612" spans="1:12" x14ac:dyDescent="0.25">
      <c r="A7612">
        <v>1300890</v>
      </c>
      <c r="B7612">
        <v>1300933</v>
      </c>
      <c r="D7612">
        <v>0</v>
      </c>
      <c r="E7612" t="s">
        <v>47589</v>
      </c>
      <c r="F7612" t="s">
        <v>47590</v>
      </c>
      <c r="G7612" t="s">
        <v>47591</v>
      </c>
      <c r="H7612" t="s">
        <v>47592</v>
      </c>
      <c r="I7612" t="s">
        <v>47593</v>
      </c>
      <c r="J7612" t="s">
        <v>47594</v>
      </c>
      <c r="K7612" t="s">
        <v>47595</v>
      </c>
      <c r="L7612" t="s">
        <v>47588</v>
      </c>
    </row>
    <row r="7613" spans="1:12" x14ac:dyDescent="0.25">
      <c r="A7613">
        <v>1300890</v>
      </c>
      <c r="B7613">
        <v>1532429</v>
      </c>
      <c r="D7613">
        <v>0</v>
      </c>
      <c r="E7613" t="s">
        <v>47597</v>
      </c>
      <c r="F7613" t="s">
        <v>47598</v>
      </c>
      <c r="G7613" t="s">
        <v>47599</v>
      </c>
      <c r="H7613" t="s">
        <v>47600</v>
      </c>
      <c r="I7613" t="s">
        <v>47601</v>
      </c>
      <c r="J7613" t="s">
        <v>47602</v>
      </c>
      <c r="K7613" t="s">
        <v>47603</v>
      </c>
      <c r="L7613" t="s">
        <v>47596</v>
      </c>
    </row>
    <row r="7614" spans="1:12" x14ac:dyDescent="0.25">
      <c r="A7614">
        <v>1300933</v>
      </c>
      <c r="B7614">
        <v>1432423</v>
      </c>
      <c r="D7614">
        <v>0</v>
      </c>
      <c r="E7614" t="s">
        <v>47604</v>
      </c>
      <c r="F7614" t="s">
        <v>47605</v>
      </c>
      <c r="G7614" t="s">
        <v>47606</v>
      </c>
      <c r="H7614" t="e" vm="3300">
        <f>_FV(0,"0021892056537253673")</f>
        <v>#VALUE!</v>
      </c>
      <c r="I7614" t="s">
        <v>47607</v>
      </c>
      <c r="J7614" t="s">
        <v>13113</v>
      </c>
      <c r="K7614" t="s">
        <v>47608</v>
      </c>
      <c r="L7614" t="s">
        <v>44574</v>
      </c>
    </row>
    <row r="7615" spans="1:12" x14ac:dyDescent="0.25">
      <c r="A7615">
        <v>1301007</v>
      </c>
      <c r="B7615">
        <v>1301021</v>
      </c>
      <c r="D7615">
        <v>0</v>
      </c>
      <c r="E7615" t="s">
        <v>47610</v>
      </c>
      <c r="F7615" t="s">
        <v>47611</v>
      </c>
      <c r="G7615" t="s">
        <v>47612</v>
      </c>
      <c r="H7615" t="e" vm="3301">
        <f>_FV(0,"0445822382426041")</f>
        <v>#VALUE!</v>
      </c>
      <c r="I7615" t="s">
        <v>47613</v>
      </c>
      <c r="J7615" t="s">
        <v>47614</v>
      </c>
      <c r="K7615" t="s">
        <v>47615</v>
      </c>
      <c r="L7615" t="s">
        <v>47609</v>
      </c>
    </row>
    <row r="7616" spans="1:12" x14ac:dyDescent="0.25">
      <c r="A7616">
        <v>1301007</v>
      </c>
      <c r="B7616">
        <v>1306562</v>
      </c>
      <c r="D7616">
        <v>0</v>
      </c>
      <c r="E7616" t="s">
        <v>47617</v>
      </c>
      <c r="F7616" t="s">
        <v>47618</v>
      </c>
      <c r="G7616" t="s">
        <v>47619</v>
      </c>
      <c r="H7616" t="s">
        <v>47620</v>
      </c>
      <c r="I7616" t="s">
        <v>47621</v>
      </c>
      <c r="J7616" t="s">
        <v>47622</v>
      </c>
      <c r="K7616" t="s">
        <v>47623</v>
      </c>
      <c r="L7616" t="s">
        <v>47616</v>
      </c>
    </row>
    <row r="7617" spans="1:12" x14ac:dyDescent="0.25">
      <c r="A7617">
        <v>1301032</v>
      </c>
      <c r="B7617">
        <v>1301041</v>
      </c>
      <c r="D7617">
        <v>0</v>
      </c>
      <c r="E7617" t="s">
        <v>47625</v>
      </c>
      <c r="F7617" t="s">
        <v>47626</v>
      </c>
      <c r="G7617" t="s">
        <v>47627</v>
      </c>
      <c r="H7617" t="s">
        <v>47628</v>
      </c>
      <c r="I7617" t="s">
        <v>47629</v>
      </c>
      <c r="J7617" t="s">
        <v>47630</v>
      </c>
      <c r="K7617" t="s">
        <v>47631</v>
      </c>
      <c r="L7617" t="s">
        <v>47624</v>
      </c>
    </row>
    <row r="7618" spans="1:12" x14ac:dyDescent="0.25">
      <c r="A7618">
        <v>1301032</v>
      </c>
      <c r="B7618">
        <v>1306909</v>
      </c>
      <c r="D7618">
        <v>0</v>
      </c>
      <c r="E7618" t="s">
        <v>47633</v>
      </c>
      <c r="F7618" t="s">
        <v>47634</v>
      </c>
      <c r="G7618" t="s">
        <v>47635</v>
      </c>
      <c r="H7618" t="s">
        <v>47636</v>
      </c>
      <c r="I7618" t="s">
        <v>47637</v>
      </c>
      <c r="J7618" t="s">
        <v>47638</v>
      </c>
      <c r="K7618" t="s">
        <v>47639</v>
      </c>
      <c r="L7618" t="s">
        <v>47632</v>
      </c>
    </row>
    <row r="7619" spans="1:12" x14ac:dyDescent="0.25">
      <c r="A7619">
        <v>1301041</v>
      </c>
      <c r="B7619">
        <v>1301053</v>
      </c>
      <c r="D7619">
        <v>0</v>
      </c>
      <c r="E7619" t="s">
        <v>47641</v>
      </c>
      <c r="F7619" t="s">
        <v>47642</v>
      </c>
      <c r="G7619" t="s">
        <v>47643</v>
      </c>
      <c r="H7619" t="e" vm="3302">
        <f>_FV(0,"0035020105214382206")</f>
        <v>#VALUE!</v>
      </c>
      <c r="I7619" t="s">
        <v>47644</v>
      </c>
      <c r="J7619" t="s">
        <v>47645</v>
      </c>
      <c r="K7619" t="s">
        <v>47646</v>
      </c>
      <c r="L7619" t="s">
        <v>47640</v>
      </c>
    </row>
    <row r="7620" spans="1:12" x14ac:dyDescent="0.25">
      <c r="A7620">
        <v>1301041</v>
      </c>
      <c r="B7620">
        <v>1432449</v>
      </c>
      <c r="D7620">
        <v>0</v>
      </c>
      <c r="E7620" t="s">
        <v>47648</v>
      </c>
      <c r="F7620" t="s">
        <v>47649</v>
      </c>
      <c r="G7620" t="s">
        <v>47650</v>
      </c>
      <c r="H7620" t="s">
        <v>47651</v>
      </c>
      <c r="I7620" t="s">
        <v>47652</v>
      </c>
      <c r="J7620" t="s">
        <v>47653</v>
      </c>
      <c r="K7620" t="s">
        <v>47654</v>
      </c>
      <c r="L7620" t="s">
        <v>47647</v>
      </c>
    </row>
    <row r="7621" spans="1:12" x14ac:dyDescent="0.25">
      <c r="A7621">
        <v>1301053</v>
      </c>
      <c r="B7621">
        <v>1432449</v>
      </c>
      <c r="D7621">
        <v>0</v>
      </c>
      <c r="E7621" t="s">
        <v>47655</v>
      </c>
      <c r="F7621" t="s">
        <v>47656</v>
      </c>
      <c r="G7621" t="s">
        <v>47657</v>
      </c>
      <c r="H7621" t="s">
        <v>1939</v>
      </c>
      <c r="I7621" t="s">
        <v>47658</v>
      </c>
      <c r="J7621" t="s">
        <v>1939</v>
      </c>
      <c r="K7621" t="s">
        <v>47659</v>
      </c>
      <c r="L7621" t="s">
        <v>1939</v>
      </c>
    </row>
    <row r="7622" spans="1:12" x14ac:dyDescent="0.25">
      <c r="A7622">
        <v>1301062</v>
      </c>
      <c r="B7622">
        <v>1301083</v>
      </c>
      <c r="D7622">
        <v>0</v>
      </c>
      <c r="E7622" t="s">
        <v>47661</v>
      </c>
      <c r="F7622" t="s">
        <v>47662</v>
      </c>
      <c r="G7622" t="s">
        <v>47663</v>
      </c>
      <c r="H7622" t="s">
        <v>47664</v>
      </c>
      <c r="I7622" t="s">
        <v>47665</v>
      </c>
      <c r="J7622" t="s">
        <v>47666</v>
      </c>
      <c r="K7622" t="s">
        <v>47667</v>
      </c>
      <c r="L7622" t="s">
        <v>47660</v>
      </c>
    </row>
    <row r="7623" spans="1:12" x14ac:dyDescent="0.25">
      <c r="A7623">
        <v>1301062</v>
      </c>
      <c r="B7623">
        <v>1301090</v>
      </c>
      <c r="D7623">
        <v>0</v>
      </c>
      <c r="E7623" t="s">
        <v>47669</v>
      </c>
      <c r="F7623" t="s">
        <v>47670</v>
      </c>
      <c r="G7623" t="s">
        <v>47671</v>
      </c>
      <c r="H7623" t="e" vm="3303">
        <f>_FV(0,"0061557857297729")</f>
        <v>#VALUE!</v>
      </c>
      <c r="I7623" t="s">
        <v>47672</v>
      </c>
      <c r="J7623" t="s">
        <v>47673</v>
      </c>
      <c r="K7623" t="s">
        <v>47674</v>
      </c>
      <c r="L7623" t="s">
        <v>47668</v>
      </c>
    </row>
    <row r="7624" spans="1:12" x14ac:dyDescent="0.25">
      <c r="A7624">
        <v>1301062</v>
      </c>
      <c r="B7624">
        <v>1432508</v>
      </c>
      <c r="D7624">
        <v>0</v>
      </c>
      <c r="E7624" t="s">
        <v>47676</v>
      </c>
      <c r="F7624" t="s">
        <v>47677</v>
      </c>
      <c r="G7624" t="s">
        <v>47678</v>
      </c>
      <c r="H7624" t="s">
        <v>47679</v>
      </c>
      <c r="I7624" t="s">
        <v>47680</v>
      </c>
      <c r="J7624" t="s">
        <v>47681</v>
      </c>
      <c r="K7624" t="s">
        <v>47682</v>
      </c>
      <c r="L7624" t="s">
        <v>47675</v>
      </c>
    </row>
    <row r="7625" spans="1:12" x14ac:dyDescent="0.25">
      <c r="A7625">
        <v>1301083</v>
      </c>
      <c r="B7625">
        <v>1306562</v>
      </c>
      <c r="D7625">
        <v>0</v>
      </c>
      <c r="E7625" t="s">
        <v>47684</v>
      </c>
      <c r="F7625" t="s">
        <v>47685</v>
      </c>
      <c r="G7625" t="s">
        <v>47686</v>
      </c>
      <c r="H7625" t="e" vm="3304">
        <f>_FV(0,"011612117571589744")</f>
        <v>#VALUE!</v>
      </c>
      <c r="I7625" t="s">
        <v>47687</v>
      </c>
      <c r="J7625" t="s">
        <v>47688</v>
      </c>
      <c r="K7625" t="s">
        <v>47689</v>
      </c>
      <c r="L7625" t="s">
        <v>47683</v>
      </c>
    </row>
    <row r="7626" spans="1:12" x14ac:dyDescent="0.25">
      <c r="A7626">
        <v>1301090</v>
      </c>
      <c r="B7626">
        <v>1432508</v>
      </c>
      <c r="D7626">
        <v>0</v>
      </c>
      <c r="E7626" t="s">
        <v>47690</v>
      </c>
      <c r="F7626" t="s">
        <v>47691</v>
      </c>
      <c r="G7626" t="s">
        <v>47692</v>
      </c>
      <c r="H7626" t="s">
        <v>6474</v>
      </c>
      <c r="I7626" t="s">
        <v>47693</v>
      </c>
      <c r="J7626" t="s">
        <v>6474</v>
      </c>
      <c r="K7626" t="s">
        <v>47694</v>
      </c>
      <c r="L7626" t="s">
        <v>6474</v>
      </c>
    </row>
    <row r="7627" spans="1:12" x14ac:dyDescent="0.25">
      <c r="A7627">
        <v>1301184</v>
      </c>
      <c r="B7627">
        <v>1301192</v>
      </c>
      <c r="D7627">
        <v>0</v>
      </c>
      <c r="E7627" t="s">
        <v>47696</v>
      </c>
      <c r="F7627" t="s">
        <v>47697</v>
      </c>
      <c r="G7627" t="s">
        <v>47698</v>
      </c>
      <c r="H7627" t="s">
        <v>47699</v>
      </c>
      <c r="I7627" t="s">
        <v>47700</v>
      </c>
      <c r="J7627" t="s">
        <v>47695</v>
      </c>
      <c r="K7627" t="s">
        <v>47701</v>
      </c>
      <c r="L7627" t="s">
        <v>47695</v>
      </c>
    </row>
    <row r="7628" spans="1:12" x14ac:dyDescent="0.25">
      <c r="A7628">
        <v>1301184</v>
      </c>
      <c r="B7628">
        <v>1301457</v>
      </c>
      <c r="D7628">
        <v>0</v>
      </c>
      <c r="E7628" t="s">
        <v>47703</v>
      </c>
      <c r="F7628" t="s">
        <v>47704</v>
      </c>
      <c r="G7628" t="s">
        <v>47705</v>
      </c>
      <c r="H7628" t="e" vm="3305">
        <f>_FV(0,"09407534720504115")</f>
        <v>#VALUE!</v>
      </c>
      <c r="I7628" t="s">
        <v>47706</v>
      </c>
      <c r="J7628" t="s">
        <v>47707</v>
      </c>
      <c r="K7628" t="s">
        <v>47708</v>
      </c>
      <c r="L7628" t="s">
        <v>47702</v>
      </c>
    </row>
    <row r="7629" spans="1:12" x14ac:dyDescent="0.25">
      <c r="A7629">
        <v>1301192</v>
      </c>
      <c r="B7629">
        <v>1301479</v>
      </c>
      <c r="D7629">
        <v>0</v>
      </c>
      <c r="E7629" t="s">
        <v>47710</v>
      </c>
      <c r="F7629" t="s">
        <v>47711</v>
      </c>
      <c r="G7629" t="s">
        <v>47712</v>
      </c>
      <c r="H7629" t="e" vm="3306">
        <f>_FV(0,"10381675101339391")</f>
        <v>#VALUE!</v>
      </c>
      <c r="I7629" t="s">
        <v>47713</v>
      </c>
      <c r="J7629" t="s">
        <v>47714</v>
      </c>
      <c r="K7629" t="s">
        <v>47715</v>
      </c>
      <c r="L7629" t="s">
        <v>47709</v>
      </c>
    </row>
    <row r="7630" spans="1:12" x14ac:dyDescent="0.25">
      <c r="A7630">
        <v>1301457</v>
      </c>
      <c r="B7630">
        <v>1301479</v>
      </c>
      <c r="D7630">
        <v>0</v>
      </c>
      <c r="E7630" t="s">
        <v>47717</v>
      </c>
      <c r="F7630" t="s">
        <v>47718</v>
      </c>
      <c r="G7630" t="s">
        <v>47719</v>
      </c>
      <c r="H7630" t="s">
        <v>47720</v>
      </c>
      <c r="I7630" t="s">
        <v>47721</v>
      </c>
      <c r="J7630" t="s">
        <v>31486</v>
      </c>
      <c r="K7630" t="s">
        <v>47722</v>
      </c>
      <c r="L7630" t="s">
        <v>47716</v>
      </c>
    </row>
    <row r="7631" spans="1:12" x14ac:dyDescent="0.25">
      <c r="A7631">
        <v>1301608</v>
      </c>
      <c r="B7631">
        <v>1815331</v>
      </c>
      <c r="D7631">
        <v>0</v>
      </c>
      <c r="E7631" t="s">
        <v>47724</v>
      </c>
      <c r="F7631" t="s">
        <v>47725</v>
      </c>
      <c r="G7631" t="s">
        <v>47726</v>
      </c>
      <c r="H7631" t="s">
        <v>47727</v>
      </c>
      <c r="I7631" t="s">
        <v>47728</v>
      </c>
      <c r="J7631" t="s">
        <v>47729</v>
      </c>
      <c r="K7631" t="s">
        <v>47730</v>
      </c>
      <c r="L7631" t="s">
        <v>47723</v>
      </c>
    </row>
    <row r="7632" spans="1:12" x14ac:dyDescent="0.25">
      <c r="A7632">
        <v>1301663</v>
      </c>
      <c r="B7632">
        <v>1815348</v>
      </c>
      <c r="D7632">
        <v>0</v>
      </c>
      <c r="E7632" t="s">
        <v>47732</v>
      </c>
      <c r="F7632" t="s">
        <v>47733</v>
      </c>
      <c r="G7632" t="s">
        <v>47734</v>
      </c>
      <c r="H7632" t="e" vm="3307">
        <f>_FV(0,"058807962488318516")</f>
        <v>#VALUE!</v>
      </c>
      <c r="I7632" t="s">
        <v>47735</v>
      </c>
      <c r="J7632" t="s">
        <v>47736</v>
      </c>
      <c r="K7632" t="s">
        <v>47737</v>
      </c>
      <c r="L7632" t="s">
        <v>47731</v>
      </c>
    </row>
    <row r="7633" spans="1:12" x14ac:dyDescent="0.25">
      <c r="A7633">
        <v>1302225</v>
      </c>
      <c r="B7633">
        <v>1302231</v>
      </c>
      <c r="D7633">
        <v>0</v>
      </c>
      <c r="F7633">
        <v>1429719</v>
      </c>
      <c r="G7633">
        <v>1302231</v>
      </c>
      <c r="H7633" t="s">
        <v>1783</v>
      </c>
      <c r="I7633">
        <v>1302225</v>
      </c>
      <c r="J7633" t="s">
        <v>1783</v>
      </c>
      <c r="K7633" t="s">
        <v>47738</v>
      </c>
      <c r="L7633" t="s">
        <v>1783</v>
      </c>
    </row>
    <row r="7634" spans="1:12" x14ac:dyDescent="0.25">
      <c r="A7634">
        <v>1302225</v>
      </c>
      <c r="B7634">
        <v>1302244</v>
      </c>
      <c r="D7634">
        <v>0</v>
      </c>
      <c r="E7634" t="s">
        <v>47740</v>
      </c>
      <c r="F7634" t="s">
        <v>47741</v>
      </c>
      <c r="G7634" t="s">
        <v>47742</v>
      </c>
      <c r="H7634" t="e" vm="3308">
        <f>_FV(0,"0008444891879375377")</f>
        <v>#VALUE!</v>
      </c>
      <c r="I7634" t="s">
        <v>47743</v>
      </c>
      <c r="J7634" t="s">
        <v>47744</v>
      </c>
      <c r="K7634" t="s">
        <v>47745</v>
      </c>
      <c r="L7634" t="s">
        <v>47739</v>
      </c>
    </row>
    <row r="7635" spans="1:12" x14ac:dyDescent="0.25">
      <c r="A7635">
        <v>1302231</v>
      </c>
      <c r="B7635">
        <v>1302238</v>
      </c>
      <c r="D7635">
        <v>0</v>
      </c>
      <c r="E7635" t="s">
        <v>47746</v>
      </c>
      <c r="F7635" t="s">
        <v>47747</v>
      </c>
      <c r="G7635" t="s">
        <v>47748</v>
      </c>
      <c r="H7635" t="s">
        <v>47749</v>
      </c>
      <c r="I7635" t="s">
        <v>47750</v>
      </c>
      <c r="J7635" t="s">
        <v>4801</v>
      </c>
      <c r="K7635" t="s">
        <v>47751</v>
      </c>
      <c r="L7635" t="s">
        <v>45041</v>
      </c>
    </row>
    <row r="7636" spans="1:12" x14ac:dyDescent="0.25">
      <c r="A7636">
        <v>1302238</v>
      </c>
      <c r="B7636">
        <v>1302244</v>
      </c>
      <c r="D7636">
        <v>0</v>
      </c>
      <c r="F7636">
        <v>1429743</v>
      </c>
      <c r="G7636">
        <v>1302244</v>
      </c>
      <c r="H7636" t="e" vm="201">
        <f>_FV(0,"002")</f>
        <v>#VALUE!</v>
      </c>
      <c r="I7636">
        <v>1302238</v>
      </c>
      <c r="J7636" t="s">
        <v>1534</v>
      </c>
      <c r="K7636" t="s">
        <v>47752</v>
      </c>
      <c r="L7636" t="e" vm="201">
        <f>_FV(0,"002")</f>
        <v>#VALUE!</v>
      </c>
    </row>
    <row r="7637" spans="1:12" x14ac:dyDescent="0.25">
      <c r="A7637">
        <v>1303455</v>
      </c>
      <c r="B7637">
        <v>1303459</v>
      </c>
      <c r="D7637">
        <v>0</v>
      </c>
      <c r="E7637" t="s">
        <v>47754</v>
      </c>
      <c r="F7637" t="s">
        <v>47755</v>
      </c>
      <c r="G7637" t="s">
        <v>47756</v>
      </c>
      <c r="H7637" t="e" vm="3309">
        <f>_FV(0,"03405415932511583")</f>
        <v>#VALUE!</v>
      </c>
      <c r="I7637" t="s">
        <v>47757</v>
      </c>
      <c r="J7637" t="s">
        <v>47758</v>
      </c>
      <c r="K7637" t="s">
        <v>47759</v>
      </c>
      <c r="L7637" t="s">
        <v>47753</v>
      </c>
    </row>
    <row r="7638" spans="1:12" x14ac:dyDescent="0.25">
      <c r="A7638">
        <v>1303455</v>
      </c>
      <c r="B7638">
        <v>1303459</v>
      </c>
      <c r="D7638">
        <v>0</v>
      </c>
      <c r="E7638" t="s">
        <v>47761</v>
      </c>
      <c r="F7638" t="s">
        <v>47762</v>
      </c>
      <c r="G7638" t="s">
        <v>47763</v>
      </c>
      <c r="H7638" t="e" vm="3310">
        <f>_FV(0,"03417433252891294")</f>
        <v>#VALUE!</v>
      </c>
      <c r="I7638" t="s">
        <v>47764</v>
      </c>
      <c r="J7638" t="s">
        <v>47765</v>
      </c>
      <c r="K7638" t="s">
        <v>47766</v>
      </c>
      <c r="L7638" t="s">
        <v>47760</v>
      </c>
    </row>
    <row r="7639" spans="1:12" x14ac:dyDescent="0.25">
      <c r="A7639">
        <v>1303455</v>
      </c>
      <c r="B7639">
        <v>1854802</v>
      </c>
      <c r="C7639" t="s">
        <v>47767</v>
      </c>
      <c r="D7639">
        <v>0</v>
      </c>
      <c r="E7639" t="s">
        <v>47768</v>
      </c>
      <c r="H7639" t="s">
        <v>187</v>
      </c>
      <c r="J7639">
        <v>0</v>
      </c>
      <c r="K7639" t="s">
        <v>16806</v>
      </c>
      <c r="L7639">
        <v>0</v>
      </c>
    </row>
    <row r="7640" spans="1:12" x14ac:dyDescent="0.25">
      <c r="A7640">
        <v>1305301</v>
      </c>
      <c r="B7640">
        <v>1305316</v>
      </c>
      <c r="D7640">
        <v>0</v>
      </c>
      <c r="E7640" t="s">
        <v>47770</v>
      </c>
      <c r="F7640" t="s">
        <v>47771</v>
      </c>
      <c r="G7640" t="s">
        <v>47772</v>
      </c>
      <c r="H7640" t="s">
        <v>47773</v>
      </c>
      <c r="I7640" t="s">
        <v>47774</v>
      </c>
      <c r="J7640" t="s">
        <v>47775</v>
      </c>
      <c r="K7640" t="s">
        <v>47776</v>
      </c>
      <c r="L7640" t="s">
        <v>47769</v>
      </c>
    </row>
    <row r="7641" spans="1:12" x14ac:dyDescent="0.25">
      <c r="A7641">
        <v>1305301</v>
      </c>
      <c r="B7641">
        <v>1305305</v>
      </c>
      <c r="D7641" t="s">
        <v>514</v>
      </c>
      <c r="E7641" t="s">
        <v>47778</v>
      </c>
      <c r="F7641" t="s">
        <v>47779</v>
      </c>
      <c r="G7641" t="s">
        <v>47780</v>
      </c>
      <c r="H7641" t="s">
        <v>47781</v>
      </c>
      <c r="I7641" t="s">
        <v>47782</v>
      </c>
      <c r="J7641" t="s">
        <v>47777</v>
      </c>
      <c r="K7641" t="s">
        <v>47783</v>
      </c>
      <c r="L7641" t="s">
        <v>47777</v>
      </c>
    </row>
    <row r="7642" spans="1:12" x14ac:dyDescent="0.25">
      <c r="A7642">
        <v>1305305</v>
      </c>
      <c r="B7642">
        <v>1305334</v>
      </c>
      <c r="D7642">
        <v>0</v>
      </c>
      <c r="E7642" t="s">
        <v>47785</v>
      </c>
      <c r="F7642" t="s">
        <v>47786</v>
      </c>
      <c r="G7642" t="s">
        <v>47787</v>
      </c>
      <c r="H7642" t="e" vm="3311">
        <f>_FV(0,"00386090775508409")</f>
        <v>#VALUE!</v>
      </c>
      <c r="I7642" t="s">
        <v>47788</v>
      </c>
      <c r="J7642" t="s">
        <v>47789</v>
      </c>
      <c r="K7642" t="s">
        <v>47790</v>
      </c>
      <c r="L7642" t="s">
        <v>47784</v>
      </c>
    </row>
    <row r="7643" spans="1:12" x14ac:dyDescent="0.25">
      <c r="A7643">
        <v>1305316</v>
      </c>
      <c r="B7643">
        <v>1305334</v>
      </c>
      <c r="D7643" t="s">
        <v>12915</v>
      </c>
      <c r="E7643" t="s">
        <v>47792</v>
      </c>
      <c r="F7643" t="s">
        <v>47793</v>
      </c>
      <c r="G7643" t="s">
        <v>47794</v>
      </c>
      <c r="H7643" t="e" vm="3312">
        <f>_FV(0,"0418647697802161")</f>
        <v>#VALUE!</v>
      </c>
      <c r="I7643" t="s">
        <v>47795</v>
      </c>
      <c r="J7643" t="s">
        <v>47796</v>
      </c>
      <c r="K7643" t="s">
        <v>47797</v>
      </c>
      <c r="L7643" t="s">
        <v>47791</v>
      </c>
    </row>
    <row r="7644" spans="1:12" x14ac:dyDescent="0.25">
      <c r="A7644">
        <v>1306562</v>
      </c>
      <c r="B7644">
        <v>1306590</v>
      </c>
      <c r="D7644">
        <v>0</v>
      </c>
      <c r="E7644" t="s">
        <v>47799</v>
      </c>
      <c r="F7644" t="s">
        <v>47800</v>
      </c>
      <c r="G7644" t="s">
        <v>47801</v>
      </c>
      <c r="H7644" t="s">
        <v>47802</v>
      </c>
      <c r="I7644" t="s">
        <v>47803</v>
      </c>
      <c r="J7644" t="s">
        <v>47798</v>
      </c>
      <c r="K7644" t="s">
        <v>47804</v>
      </c>
      <c r="L7644" t="s">
        <v>47798</v>
      </c>
    </row>
    <row r="7645" spans="1:12" x14ac:dyDescent="0.25">
      <c r="A7645">
        <v>1306590</v>
      </c>
      <c r="B7645">
        <v>1306725</v>
      </c>
      <c r="D7645" t="s">
        <v>47806</v>
      </c>
      <c r="E7645" t="s">
        <v>47807</v>
      </c>
      <c r="F7645" t="s">
        <v>47808</v>
      </c>
      <c r="G7645" t="s">
        <v>47809</v>
      </c>
      <c r="H7645" t="s">
        <v>47810</v>
      </c>
      <c r="I7645" t="s">
        <v>47811</v>
      </c>
      <c r="J7645" t="s">
        <v>47812</v>
      </c>
      <c r="K7645" t="s">
        <v>47813</v>
      </c>
      <c r="L7645" t="s">
        <v>47805</v>
      </c>
    </row>
    <row r="7646" spans="1:12" x14ac:dyDescent="0.25">
      <c r="A7646">
        <v>1306725</v>
      </c>
      <c r="B7646">
        <v>1306751</v>
      </c>
      <c r="D7646" t="s">
        <v>1875</v>
      </c>
      <c r="E7646" t="s">
        <v>47815</v>
      </c>
      <c r="F7646" t="s">
        <v>47816</v>
      </c>
      <c r="G7646" t="s">
        <v>47817</v>
      </c>
      <c r="H7646" t="e" vm="3313">
        <f>_FV(0,"006643734030609389")</f>
        <v>#VALUE!</v>
      </c>
      <c r="I7646" t="s">
        <v>47818</v>
      </c>
      <c r="J7646" t="s">
        <v>47819</v>
      </c>
      <c r="K7646" t="s">
        <v>47820</v>
      </c>
      <c r="L7646" t="s">
        <v>47814</v>
      </c>
    </row>
    <row r="7647" spans="1:12" x14ac:dyDescent="0.25">
      <c r="A7647">
        <v>1306909</v>
      </c>
      <c r="B7647">
        <v>1306939</v>
      </c>
      <c r="D7647">
        <v>0</v>
      </c>
      <c r="E7647" t="s">
        <v>47822</v>
      </c>
      <c r="F7647" t="s">
        <v>47823</v>
      </c>
      <c r="G7647" t="s">
        <v>47824</v>
      </c>
      <c r="H7647" t="s">
        <v>47825</v>
      </c>
      <c r="I7647" t="s">
        <v>47826</v>
      </c>
      <c r="J7647" t="s">
        <v>47821</v>
      </c>
      <c r="K7647" t="s">
        <v>47827</v>
      </c>
      <c r="L7647" t="s">
        <v>47821</v>
      </c>
    </row>
    <row r="7648" spans="1:12" x14ac:dyDescent="0.25">
      <c r="A7648">
        <v>1306939</v>
      </c>
      <c r="B7648">
        <v>1307107</v>
      </c>
      <c r="D7648" t="s">
        <v>47829</v>
      </c>
      <c r="E7648" t="s">
        <v>47830</v>
      </c>
      <c r="F7648" t="s">
        <v>47831</v>
      </c>
      <c r="G7648" t="s">
        <v>47832</v>
      </c>
      <c r="H7648" t="s">
        <v>47833</v>
      </c>
      <c r="I7648" t="s">
        <v>47834</v>
      </c>
      <c r="J7648" t="s">
        <v>47835</v>
      </c>
      <c r="K7648" t="s">
        <v>47836</v>
      </c>
      <c r="L7648" t="s">
        <v>47828</v>
      </c>
    </row>
    <row r="7649" spans="1:12" x14ac:dyDescent="0.25">
      <c r="A7649">
        <v>1307107</v>
      </c>
      <c r="B7649">
        <v>1307137</v>
      </c>
      <c r="D7649" t="s">
        <v>257</v>
      </c>
      <c r="E7649" t="s">
        <v>47838</v>
      </c>
      <c r="F7649" t="s">
        <v>47839</v>
      </c>
      <c r="G7649" t="s">
        <v>47840</v>
      </c>
      <c r="H7649" t="e" vm="3314">
        <f>_FV(0,"013023893680259704")</f>
        <v>#VALUE!</v>
      </c>
      <c r="I7649" t="s">
        <v>47841</v>
      </c>
      <c r="J7649" t="s">
        <v>47842</v>
      </c>
      <c r="K7649" t="s">
        <v>47843</v>
      </c>
      <c r="L7649" t="s">
        <v>47837</v>
      </c>
    </row>
    <row r="7650" spans="1:12" x14ac:dyDescent="0.25">
      <c r="A7650">
        <v>1307339</v>
      </c>
      <c r="B7650">
        <v>1550885</v>
      </c>
      <c r="D7650">
        <v>0</v>
      </c>
      <c r="E7650" t="s">
        <v>47845</v>
      </c>
      <c r="F7650" t="s">
        <v>47846</v>
      </c>
      <c r="G7650" t="s">
        <v>47847</v>
      </c>
      <c r="H7650" t="e" vm="3315">
        <f>_FV(0,"009690725987535953")</f>
        <v>#VALUE!</v>
      </c>
      <c r="I7650" t="s">
        <v>47848</v>
      </c>
      <c r="J7650" t="s">
        <v>47849</v>
      </c>
      <c r="K7650" t="s">
        <v>47850</v>
      </c>
      <c r="L7650" t="s">
        <v>47844</v>
      </c>
    </row>
    <row r="7651" spans="1:12" x14ac:dyDescent="0.25">
      <c r="A7651">
        <v>1307759</v>
      </c>
      <c r="B7651">
        <v>1308078</v>
      </c>
      <c r="D7651" t="s">
        <v>15313</v>
      </c>
      <c r="E7651" t="s">
        <v>47852</v>
      </c>
      <c r="F7651" t="s">
        <v>47853</v>
      </c>
      <c r="G7651" t="s">
        <v>47854</v>
      </c>
      <c r="H7651" t="s">
        <v>47855</v>
      </c>
      <c r="I7651" t="s">
        <v>47856</v>
      </c>
      <c r="J7651" t="s">
        <v>47857</v>
      </c>
      <c r="K7651" t="s">
        <v>47858</v>
      </c>
      <c r="L7651" t="s">
        <v>47851</v>
      </c>
    </row>
    <row r="7652" spans="1:12" x14ac:dyDescent="0.25">
      <c r="A7652">
        <v>1307759</v>
      </c>
      <c r="B7652">
        <v>1308424</v>
      </c>
      <c r="D7652">
        <v>0</v>
      </c>
      <c r="F7652">
        <v>1439948</v>
      </c>
      <c r="G7652">
        <v>1307759</v>
      </c>
      <c r="H7652" t="s">
        <v>187</v>
      </c>
      <c r="I7652">
        <v>1308424</v>
      </c>
      <c r="J7652" t="s">
        <v>187</v>
      </c>
      <c r="K7652" t="s">
        <v>47859</v>
      </c>
      <c r="L7652" t="s">
        <v>187</v>
      </c>
    </row>
    <row r="7653" spans="1:12" x14ac:dyDescent="0.25">
      <c r="A7653">
        <v>1308567</v>
      </c>
      <c r="B7653">
        <v>1308573</v>
      </c>
      <c r="D7653">
        <v>0</v>
      </c>
      <c r="F7653">
        <v>1440123</v>
      </c>
      <c r="G7653">
        <v>1308573</v>
      </c>
      <c r="H7653" t="e" vm="59">
        <f>_FV(0,"014")</f>
        <v>#VALUE!</v>
      </c>
      <c r="I7653">
        <v>1308567</v>
      </c>
      <c r="J7653" t="s">
        <v>922</v>
      </c>
      <c r="K7653" t="s">
        <v>47860</v>
      </c>
      <c r="L7653" t="e" vm="59">
        <f>_FV(0,"014")</f>
        <v>#VALUE!</v>
      </c>
    </row>
    <row r="7654" spans="1:12" x14ac:dyDescent="0.25">
      <c r="A7654">
        <v>1311171</v>
      </c>
      <c r="B7654">
        <v>1311226</v>
      </c>
      <c r="D7654">
        <v>0</v>
      </c>
      <c r="E7654" t="s">
        <v>47862</v>
      </c>
      <c r="F7654" t="s">
        <v>47863</v>
      </c>
      <c r="G7654" t="s">
        <v>47864</v>
      </c>
      <c r="H7654" t="e" vm="3316">
        <f>_FV(0,"02627661689939646")</f>
        <v>#VALUE!</v>
      </c>
      <c r="I7654" t="s">
        <v>47865</v>
      </c>
      <c r="J7654" t="s">
        <v>47866</v>
      </c>
      <c r="K7654" t="s">
        <v>47867</v>
      </c>
      <c r="L7654" t="s">
        <v>47861</v>
      </c>
    </row>
    <row r="7655" spans="1:12" x14ac:dyDescent="0.25">
      <c r="A7655">
        <v>1311226</v>
      </c>
      <c r="B7655">
        <v>1761273</v>
      </c>
      <c r="C7655" t="s">
        <v>47869</v>
      </c>
      <c r="D7655" t="s">
        <v>47870</v>
      </c>
      <c r="E7655" t="s">
        <v>47871</v>
      </c>
      <c r="F7655" t="s">
        <v>47872</v>
      </c>
      <c r="G7655" t="s">
        <v>47873</v>
      </c>
      <c r="H7655" t="s">
        <v>47874</v>
      </c>
      <c r="I7655" t="s">
        <v>47875</v>
      </c>
      <c r="J7655" t="s">
        <v>47876</v>
      </c>
      <c r="K7655" t="s">
        <v>47877</v>
      </c>
      <c r="L7655" t="s">
        <v>47868</v>
      </c>
    </row>
    <row r="7656" spans="1:12" x14ac:dyDescent="0.25">
      <c r="A7656">
        <v>1328490</v>
      </c>
      <c r="B7656">
        <v>1328497</v>
      </c>
      <c r="D7656">
        <v>0</v>
      </c>
      <c r="E7656" t="s">
        <v>47879</v>
      </c>
      <c r="F7656" t="s">
        <v>47880</v>
      </c>
      <c r="G7656" t="s">
        <v>47881</v>
      </c>
      <c r="H7656" t="s">
        <v>47882</v>
      </c>
      <c r="I7656" t="s">
        <v>47883</v>
      </c>
      <c r="J7656" t="s">
        <v>47878</v>
      </c>
      <c r="K7656" t="s">
        <v>47884</v>
      </c>
      <c r="L7656" t="s">
        <v>47878</v>
      </c>
    </row>
    <row r="7657" spans="1:12" x14ac:dyDescent="0.25">
      <c r="A7657">
        <v>1328490</v>
      </c>
      <c r="B7657">
        <v>1328558</v>
      </c>
      <c r="D7657">
        <v>0</v>
      </c>
      <c r="E7657" t="s">
        <v>47886</v>
      </c>
      <c r="F7657" t="s">
        <v>47887</v>
      </c>
      <c r="G7657" t="s">
        <v>47888</v>
      </c>
      <c r="H7657" t="s">
        <v>47889</v>
      </c>
      <c r="I7657" t="s">
        <v>47890</v>
      </c>
      <c r="J7657" t="s">
        <v>47891</v>
      </c>
      <c r="K7657" t="s">
        <v>47892</v>
      </c>
      <c r="L7657" t="s">
        <v>47885</v>
      </c>
    </row>
    <row r="7658" spans="1:12" x14ac:dyDescent="0.25">
      <c r="A7658">
        <v>1328497</v>
      </c>
      <c r="B7658">
        <v>1328558</v>
      </c>
      <c r="D7658">
        <v>0</v>
      </c>
      <c r="E7658" t="s">
        <v>47893</v>
      </c>
      <c r="F7658" t="s">
        <v>47894</v>
      </c>
      <c r="G7658" t="s">
        <v>47895</v>
      </c>
      <c r="H7658" t="s">
        <v>47896</v>
      </c>
      <c r="I7658" t="s">
        <v>47897</v>
      </c>
      <c r="J7658" t="s">
        <v>36787</v>
      </c>
      <c r="K7658" t="s">
        <v>47898</v>
      </c>
      <c r="L7658" t="s">
        <v>36787</v>
      </c>
    </row>
    <row r="7659" spans="1:12" x14ac:dyDescent="0.25">
      <c r="A7659">
        <v>1328497</v>
      </c>
      <c r="B7659">
        <v>1328543</v>
      </c>
      <c r="D7659">
        <v>0</v>
      </c>
      <c r="E7659" t="s">
        <v>47900</v>
      </c>
      <c r="F7659" t="s">
        <v>47901</v>
      </c>
      <c r="G7659" t="s">
        <v>47902</v>
      </c>
      <c r="H7659" t="e" vm="3317">
        <f>_FV(0,"01009449284835567")</f>
        <v>#VALUE!</v>
      </c>
      <c r="I7659" t="s">
        <v>47903</v>
      </c>
      <c r="J7659" t="s">
        <v>47904</v>
      </c>
      <c r="K7659" t="s">
        <v>47905</v>
      </c>
      <c r="L7659" t="s">
        <v>47899</v>
      </c>
    </row>
    <row r="7660" spans="1:12" x14ac:dyDescent="0.25">
      <c r="A7660">
        <v>1328498</v>
      </c>
      <c r="B7660">
        <v>1814446</v>
      </c>
      <c r="D7660">
        <v>0</v>
      </c>
      <c r="F7660">
        <v>2097990</v>
      </c>
      <c r="G7660">
        <v>1328498</v>
      </c>
      <c r="H7660" t="e" vm="572">
        <f>_FV(0,"021")</f>
        <v>#VALUE!</v>
      </c>
      <c r="I7660">
        <v>1814446</v>
      </c>
      <c r="J7660" t="s">
        <v>1536</v>
      </c>
      <c r="K7660" t="s">
        <v>47906</v>
      </c>
      <c r="L7660" t="e" vm="572">
        <f>_FV(0,"021")</f>
        <v>#VALUE!</v>
      </c>
    </row>
    <row r="7661" spans="1:12" x14ac:dyDescent="0.25">
      <c r="A7661">
        <v>1328541</v>
      </c>
      <c r="B7661">
        <v>1328543</v>
      </c>
      <c r="D7661">
        <v>0</v>
      </c>
      <c r="E7661" t="s">
        <v>47907</v>
      </c>
      <c r="F7661" t="s">
        <v>47908</v>
      </c>
      <c r="G7661" t="s">
        <v>47909</v>
      </c>
      <c r="H7661" t="e" vm="3318">
        <f>_FV(0,"022719749408912145")</f>
        <v>#VALUE!</v>
      </c>
      <c r="I7661" t="s">
        <v>47910</v>
      </c>
      <c r="J7661" t="s">
        <v>20788</v>
      </c>
      <c r="K7661" t="s">
        <v>47911</v>
      </c>
      <c r="L7661" t="s">
        <v>20783</v>
      </c>
    </row>
    <row r="7662" spans="1:12" x14ac:dyDescent="0.25">
      <c r="A7662">
        <v>1328541</v>
      </c>
      <c r="B7662">
        <v>1814446</v>
      </c>
      <c r="D7662">
        <v>0</v>
      </c>
      <c r="E7662" t="s">
        <v>47913</v>
      </c>
      <c r="F7662" t="s">
        <v>47914</v>
      </c>
      <c r="G7662" t="s">
        <v>47915</v>
      </c>
      <c r="H7662" t="s">
        <v>47916</v>
      </c>
      <c r="I7662" t="s">
        <v>47917</v>
      </c>
      <c r="J7662" t="s">
        <v>47912</v>
      </c>
      <c r="K7662" t="s">
        <v>47918</v>
      </c>
      <c r="L7662" t="s">
        <v>47912</v>
      </c>
    </row>
    <row r="7663" spans="1:12" x14ac:dyDescent="0.25">
      <c r="A7663">
        <v>1328541</v>
      </c>
      <c r="B7663">
        <v>1328558</v>
      </c>
      <c r="D7663">
        <v>0</v>
      </c>
      <c r="E7663" t="s">
        <v>47920</v>
      </c>
      <c r="F7663" t="s">
        <v>47921</v>
      </c>
      <c r="G7663" t="s">
        <v>47922</v>
      </c>
      <c r="H7663" t="s">
        <v>47923</v>
      </c>
      <c r="I7663" t="s">
        <v>47924</v>
      </c>
      <c r="J7663" t="s">
        <v>47925</v>
      </c>
      <c r="K7663" t="s">
        <v>47926</v>
      </c>
      <c r="L7663" t="s">
        <v>47919</v>
      </c>
    </row>
    <row r="7664" spans="1:12" x14ac:dyDescent="0.25">
      <c r="A7664">
        <v>1328543</v>
      </c>
      <c r="B7664">
        <v>1814446</v>
      </c>
      <c r="D7664">
        <v>0</v>
      </c>
      <c r="E7664" t="s">
        <v>47928</v>
      </c>
      <c r="F7664" t="s">
        <v>47929</v>
      </c>
      <c r="G7664" t="s">
        <v>47930</v>
      </c>
      <c r="H7664" t="s">
        <v>47931</v>
      </c>
      <c r="I7664" t="s">
        <v>47932</v>
      </c>
      <c r="J7664" t="s">
        <v>47927</v>
      </c>
      <c r="K7664" t="s">
        <v>47933</v>
      </c>
      <c r="L7664" t="s">
        <v>47927</v>
      </c>
    </row>
    <row r="7665" spans="1:12" x14ac:dyDescent="0.25">
      <c r="A7665">
        <v>1337201</v>
      </c>
      <c r="B7665">
        <v>1337213</v>
      </c>
      <c r="D7665">
        <v>0</v>
      </c>
      <c r="F7665">
        <v>1476296</v>
      </c>
      <c r="G7665">
        <v>1337201</v>
      </c>
      <c r="H7665" t="s">
        <v>187</v>
      </c>
      <c r="I7665">
        <v>1337213</v>
      </c>
      <c r="J7665" t="s">
        <v>187</v>
      </c>
      <c r="K7665" t="s">
        <v>47934</v>
      </c>
      <c r="L7665" t="s">
        <v>187</v>
      </c>
    </row>
    <row r="7666" spans="1:12" x14ac:dyDescent="0.25">
      <c r="A7666">
        <v>1337201</v>
      </c>
      <c r="B7666">
        <v>1357088</v>
      </c>
      <c r="D7666">
        <v>0</v>
      </c>
      <c r="E7666" t="s">
        <v>47936</v>
      </c>
      <c r="F7666" t="s">
        <v>47937</v>
      </c>
      <c r="G7666" t="s">
        <v>47938</v>
      </c>
      <c r="H7666" t="s">
        <v>47939</v>
      </c>
      <c r="I7666" t="s">
        <v>47940</v>
      </c>
      <c r="J7666" t="s">
        <v>47941</v>
      </c>
      <c r="K7666" t="s">
        <v>47942</v>
      </c>
      <c r="L7666" t="s">
        <v>47935</v>
      </c>
    </row>
    <row r="7667" spans="1:12" x14ac:dyDescent="0.25">
      <c r="A7667">
        <v>1337201</v>
      </c>
      <c r="B7667">
        <v>1357088</v>
      </c>
      <c r="D7667">
        <v>0</v>
      </c>
      <c r="E7667" t="s">
        <v>47944</v>
      </c>
      <c r="F7667" t="s">
        <v>47945</v>
      </c>
      <c r="G7667" t="s">
        <v>47946</v>
      </c>
      <c r="H7667" t="s">
        <v>47947</v>
      </c>
      <c r="I7667" t="s">
        <v>47948</v>
      </c>
      <c r="J7667" t="s">
        <v>47943</v>
      </c>
      <c r="K7667" t="s">
        <v>47949</v>
      </c>
      <c r="L7667" t="s">
        <v>47943</v>
      </c>
    </row>
    <row r="7668" spans="1:12" x14ac:dyDescent="0.25">
      <c r="A7668">
        <v>1337213</v>
      </c>
      <c r="B7668">
        <v>1358090</v>
      </c>
      <c r="D7668">
        <v>0</v>
      </c>
      <c r="E7668" t="s">
        <v>47951</v>
      </c>
      <c r="F7668" t="s">
        <v>47952</v>
      </c>
      <c r="G7668" t="s">
        <v>47953</v>
      </c>
      <c r="H7668" t="s">
        <v>47954</v>
      </c>
      <c r="I7668" t="s">
        <v>47955</v>
      </c>
      <c r="J7668" t="s">
        <v>47956</v>
      </c>
      <c r="K7668" t="s">
        <v>47957</v>
      </c>
      <c r="L7668" t="s">
        <v>47950</v>
      </c>
    </row>
    <row r="7669" spans="1:12" x14ac:dyDescent="0.25">
      <c r="A7669">
        <v>1353166</v>
      </c>
      <c r="B7669">
        <v>1353167</v>
      </c>
      <c r="D7669">
        <v>0</v>
      </c>
      <c r="F7669">
        <v>1494795</v>
      </c>
      <c r="G7669">
        <v>1353167</v>
      </c>
      <c r="H7669" t="e" vm="44">
        <f>_FV(0,"053")</f>
        <v>#VALUE!</v>
      </c>
      <c r="I7669">
        <v>1353166</v>
      </c>
      <c r="J7669" t="s">
        <v>688</v>
      </c>
      <c r="K7669" t="s">
        <v>47958</v>
      </c>
      <c r="L7669" t="e" vm="44">
        <f>_FV(0,"053")</f>
        <v>#VALUE!</v>
      </c>
    </row>
    <row r="7670" spans="1:12" x14ac:dyDescent="0.25">
      <c r="A7670">
        <v>1353166</v>
      </c>
      <c r="B7670">
        <v>1362910</v>
      </c>
      <c r="D7670">
        <v>0</v>
      </c>
      <c r="E7670" t="s">
        <v>47960</v>
      </c>
      <c r="F7670" t="s">
        <v>47961</v>
      </c>
      <c r="G7670" t="s">
        <v>47962</v>
      </c>
      <c r="H7670" t="e" vm="3319">
        <f>_FV(0,"0030458025826886454")</f>
        <v>#VALUE!</v>
      </c>
      <c r="I7670" t="s">
        <v>47963</v>
      </c>
      <c r="J7670" t="s">
        <v>47964</v>
      </c>
      <c r="K7670" t="s">
        <v>47965</v>
      </c>
      <c r="L7670" t="s">
        <v>47959</v>
      </c>
    </row>
    <row r="7671" spans="1:12" x14ac:dyDescent="0.25">
      <c r="A7671">
        <v>1353166</v>
      </c>
      <c r="B7671">
        <v>1362917</v>
      </c>
      <c r="D7671">
        <v>0</v>
      </c>
      <c r="E7671" t="s">
        <v>47967</v>
      </c>
      <c r="F7671" t="s">
        <v>47968</v>
      </c>
      <c r="G7671" t="s">
        <v>47969</v>
      </c>
      <c r="H7671" t="e" vm="3320">
        <f>_FV(0,"0009374962590254947")</f>
        <v>#VALUE!</v>
      </c>
      <c r="I7671" t="s">
        <v>47970</v>
      </c>
      <c r="J7671" t="s">
        <v>47971</v>
      </c>
      <c r="K7671" t="s">
        <v>47972</v>
      </c>
      <c r="L7671" t="s">
        <v>47966</v>
      </c>
    </row>
    <row r="7672" spans="1:12" x14ac:dyDescent="0.25">
      <c r="A7672">
        <v>1353167</v>
      </c>
      <c r="B7672">
        <v>1353172</v>
      </c>
      <c r="C7672" t="s">
        <v>47973</v>
      </c>
      <c r="D7672">
        <v>0</v>
      </c>
      <c r="F7672">
        <v>2069359</v>
      </c>
      <c r="G7672">
        <v>1353172</v>
      </c>
      <c r="H7672" t="e" vm="44">
        <f>_FV(0,"053")</f>
        <v>#VALUE!</v>
      </c>
      <c r="I7672">
        <v>1353167</v>
      </c>
      <c r="J7672" t="s">
        <v>688</v>
      </c>
      <c r="K7672" t="s">
        <v>47974</v>
      </c>
      <c r="L7672" t="e" vm="44">
        <f>_FV(0,"053")</f>
        <v>#VALUE!</v>
      </c>
    </row>
    <row r="7673" spans="1:12" x14ac:dyDescent="0.25">
      <c r="A7673">
        <v>1353167</v>
      </c>
      <c r="B7673">
        <v>1353172</v>
      </c>
      <c r="D7673">
        <v>0</v>
      </c>
      <c r="E7673" t="s">
        <v>47976</v>
      </c>
      <c r="F7673" t="s">
        <v>47977</v>
      </c>
      <c r="G7673" t="s">
        <v>47978</v>
      </c>
      <c r="H7673" t="e" vm="3321">
        <f>_FV(0,"05548406882549416")</f>
        <v>#VALUE!</v>
      </c>
      <c r="I7673" t="s">
        <v>47979</v>
      </c>
      <c r="J7673" t="s">
        <v>47980</v>
      </c>
      <c r="K7673" t="s">
        <v>47981</v>
      </c>
      <c r="L7673" t="s">
        <v>47975</v>
      </c>
    </row>
    <row r="7674" spans="1:12" x14ac:dyDescent="0.25">
      <c r="A7674">
        <v>1353283</v>
      </c>
      <c r="B7674">
        <v>1353307</v>
      </c>
      <c r="D7674">
        <v>0</v>
      </c>
      <c r="E7674" t="s">
        <v>47983</v>
      </c>
      <c r="F7674" t="s">
        <v>47984</v>
      </c>
      <c r="G7674" t="s">
        <v>47985</v>
      </c>
      <c r="H7674" t="e" vm="3322">
        <f>_FV(0,"012716940205949146")</f>
        <v>#VALUE!</v>
      </c>
      <c r="I7674" t="s">
        <v>47986</v>
      </c>
      <c r="J7674" t="s">
        <v>47987</v>
      </c>
      <c r="K7674" t="s">
        <v>47988</v>
      </c>
      <c r="L7674" t="s">
        <v>47982</v>
      </c>
    </row>
    <row r="7675" spans="1:12" x14ac:dyDescent="0.25">
      <c r="A7675">
        <v>1353283</v>
      </c>
      <c r="B7675">
        <v>1353354</v>
      </c>
      <c r="D7675">
        <v>0</v>
      </c>
      <c r="E7675" t="s">
        <v>47990</v>
      </c>
      <c r="F7675" t="s">
        <v>47991</v>
      </c>
      <c r="G7675" t="s">
        <v>47992</v>
      </c>
      <c r="H7675" t="e" vm="3323">
        <f>_FV(0,"04150030917551044")</f>
        <v>#VALUE!</v>
      </c>
      <c r="I7675" t="s">
        <v>47993</v>
      </c>
      <c r="J7675" t="s">
        <v>47994</v>
      </c>
      <c r="K7675" t="s">
        <v>47995</v>
      </c>
      <c r="L7675" t="s">
        <v>47989</v>
      </c>
    </row>
    <row r="7676" spans="1:12" x14ac:dyDescent="0.25">
      <c r="A7676">
        <v>1353283</v>
      </c>
      <c r="B7676">
        <v>1359857</v>
      </c>
      <c r="D7676">
        <v>0</v>
      </c>
      <c r="E7676" t="s">
        <v>47996</v>
      </c>
      <c r="F7676" t="s">
        <v>47997</v>
      </c>
      <c r="G7676" t="s">
        <v>47998</v>
      </c>
      <c r="H7676" t="s">
        <v>2884</v>
      </c>
      <c r="I7676" t="s">
        <v>47999</v>
      </c>
      <c r="J7676" t="s">
        <v>2884</v>
      </c>
      <c r="K7676" t="s">
        <v>48000</v>
      </c>
      <c r="L7676" t="s">
        <v>2884</v>
      </c>
    </row>
    <row r="7677" spans="1:12" x14ac:dyDescent="0.25">
      <c r="A7677">
        <v>1353307</v>
      </c>
      <c r="B7677">
        <v>1353323</v>
      </c>
      <c r="D7677">
        <v>0</v>
      </c>
      <c r="E7677" t="s">
        <v>48002</v>
      </c>
      <c r="F7677" t="s">
        <v>48003</v>
      </c>
      <c r="G7677" t="s">
        <v>48004</v>
      </c>
      <c r="H7677" t="s">
        <v>48005</v>
      </c>
      <c r="I7677" t="s">
        <v>48006</v>
      </c>
      <c r="J7677" t="s">
        <v>48007</v>
      </c>
      <c r="K7677" t="s">
        <v>48008</v>
      </c>
      <c r="L7677" t="s">
        <v>48001</v>
      </c>
    </row>
    <row r="7678" spans="1:12" x14ac:dyDescent="0.25">
      <c r="A7678">
        <v>1353307</v>
      </c>
      <c r="B7678">
        <v>1389037</v>
      </c>
      <c r="D7678">
        <v>0</v>
      </c>
      <c r="E7678" t="s">
        <v>48010</v>
      </c>
      <c r="F7678" t="s">
        <v>48011</v>
      </c>
      <c r="G7678" t="s">
        <v>48012</v>
      </c>
      <c r="H7678" t="s">
        <v>48013</v>
      </c>
      <c r="I7678" t="s">
        <v>48014</v>
      </c>
      <c r="J7678" t="s">
        <v>48015</v>
      </c>
      <c r="K7678" t="s">
        <v>48016</v>
      </c>
      <c r="L7678" t="s">
        <v>48009</v>
      </c>
    </row>
    <row r="7679" spans="1:12" x14ac:dyDescent="0.25">
      <c r="A7679">
        <v>1353323</v>
      </c>
      <c r="B7679">
        <v>1353354</v>
      </c>
      <c r="D7679">
        <v>0</v>
      </c>
      <c r="E7679" t="s">
        <v>48018</v>
      </c>
      <c r="F7679" t="s">
        <v>48019</v>
      </c>
      <c r="G7679" t="s">
        <v>48020</v>
      </c>
      <c r="H7679" t="s">
        <v>48021</v>
      </c>
      <c r="I7679" t="s">
        <v>48022</v>
      </c>
      <c r="J7679" t="s">
        <v>48023</v>
      </c>
      <c r="K7679" t="s">
        <v>48024</v>
      </c>
      <c r="L7679" t="s">
        <v>48017</v>
      </c>
    </row>
    <row r="7680" spans="1:12" x14ac:dyDescent="0.25">
      <c r="A7680">
        <v>1353323</v>
      </c>
      <c r="B7680">
        <v>1389037</v>
      </c>
      <c r="D7680">
        <v>0</v>
      </c>
      <c r="E7680" t="s">
        <v>48026</v>
      </c>
      <c r="F7680" t="s">
        <v>48027</v>
      </c>
      <c r="G7680" t="s">
        <v>48028</v>
      </c>
      <c r="H7680" t="s">
        <v>48029</v>
      </c>
      <c r="I7680" t="s">
        <v>48030</v>
      </c>
      <c r="J7680" t="s">
        <v>48025</v>
      </c>
      <c r="K7680" t="s">
        <v>48031</v>
      </c>
      <c r="L7680" t="s">
        <v>48025</v>
      </c>
    </row>
    <row r="7681" spans="1:12" x14ac:dyDescent="0.25">
      <c r="A7681">
        <v>1353354</v>
      </c>
      <c r="B7681">
        <v>1359857</v>
      </c>
      <c r="D7681">
        <v>0</v>
      </c>
      <c r="E7681" t="s">
        <v>48033</v>
      </c>
      <c r="F7681" t="s">
        <v>48034</v>
      </c>
      <c r="G7681" t="s">
        <v>48035</v>
      </c>
      <c r="H7681" t="s">
        <v>48036</v>
      </c>
      <c r="I7681" t="s">
        <v>48037</v>
      </c>
      <c r="J7681" t="s">
        <v>48032</v>
      </c>
      <c r="K7681" t="s">
        <v>48038</v>
      </c>
      <c r="L7681" t="s">
        <v>48032</v>
      </c>
    </row>
    <row r="7682" spans="1:12" x14ac:dyDescent="0.25">
      <c r="A7682">
        <v>1353406</v>
      </c>
      <c r="B7682">
        <v>1353413</v>
      </c>
      <c r="D7682">
        <v>0</v>
      </c>
      <c r="F7682">
        <v>1495047</v>
      </c>
      <c r="G7682">
        <v>1353413</v>
      </c>
      <c r="H7682" t="e" vm="102">
        <f>_FV(0,"034")</f>
        <v>#VALUE!</v>
      </c>
      <c r="I7682">
        <v>1353406</v>
      </c>
      <c r="J7682" t="s">
        <v>1599</v>
      </c>
      <c r="K7682" t="s">
        <v>48039</v>
      </c>
      <c r="L7682" t="e" vm="102">
        <f>_FV(0,"034")</f>
        <v>#VALUE!</v>
      </c>
    </row>
    <row r="7683" spans="1:12" x14ac:dyDescent="0.25">
      <c r="A7683">
        <v>1353406</v>
      </c>
      <c r="B7683">
        <v>1353435</v>
      </c>
      <c r="D7683">
        <v>0</v>
      </c>
      <c r="E7683" t="s">
        <v>48041</v>
      </c>
      <c r="F7683" t="s">
        <v>48042</v>
      </c>
      <c r="G7683" t="s">
        <v>48043</v>
      </c>
      <c r="H7683" t="s">
        <v>48044</v>
      </c>
      <c r="I7683" t="s">
        <v>48045</v>
      </c>
      <c r="J7683" t="s">
        <v>48046</v>
      </c>
      <c r="K7683" t="s">
        <v>48047</v>
      </c>
      <c r="L7683" t="s">
        <v>48040</v>
      </c>
    </row>
    <row r="7684" spans="1:12" x14ac:dyDescent="0.25">
      <c r="A7684">
        <v>1353413</v>
      </c>
      <c r="B7684">
        <v>1353510</v>
      </c>
      <c r="D7684">
        <v>0</v>
      </c>
      <c r="E7684" t="s">
        <v>48049</v>
      </c>
      <c r="F7684" t="s">
        <v>48050</v>
      </c>
      <c r="G7684" t="s">
        <v>48051</v>
      </c>
      <c r="H7684" t="e" vm="3324">
        <f>_FV(0,"02917018538262742")</f>
        <v>#VALUE!</v>
      </c>
      <c r="I7684" t="s">
        <v>48052</v>
      </c>
      <c r="J7684" t="s">
        <v>48053</v>
      </c>
      <c r="K7684" t="s">
        <v>48054</v>
      </c>
      <c r="L7684" t="s">
        <v>48048</v>
      </c>
    </row>
    <row r="7685" spans="1:12" x14ac:dyDescent="0.25">
      <c r="A7685">
        <v>1353435</v>
      </c>
      <c r="B7685">
        <v>1353478</v>
      </c>
      <c r="D7685">
        <v>0</v>
      </c>
      <c r="E7685" t="s">
        <v>48056</v>
      </c>
      <c r="F7685" t="s">
        <v>48057</v>
      </c>
      <c r="G7685" t="s">
        <v>48058</v>
      </c>
      <c r="H7685" t="s">
        <v>48059</v>
      </c>
      <c r="I7685" t="s">
        <v>48060</v>
      </c>
      <c r="J7685" t="s">
        <v>48055</v>
      </c>
      <c r="K7685" t="s">
        <v>48061</v>
      </c>
      <c r="L7685" t="s">
        <v>48055</v>
      </c>
    </row>
    <row r="7686" spans="1:12" x14ac:dyDescent="0.25">
      <c r="A7686">
        <v>1353435</v>
      </c>
      <c r="B7686">
        <v>1353510</v>
      </c>
      <c r="D7686">
        <v>0</v>
      </c>
      <c r="F7686">
        <v>1495167</v>
      </c>
      <c r="G7686">
        <v>1353435</v>
      </c>
      <c r="H7686" t="s">
        <v>2068</v>
      </c>
      <c r="I7686">
        <v>1353510</v>
      </c>
      <c r="J7686" t="s">
        <v>2068</v>
      </c>
      <c r="K7686" t="s">
        <v>48062</v>
      </c>
      <c r="L7686" t="s">
        <v>2068</v>
      </c>
    </row>
    <row r="7687" spans="1:12" x14ac:dyDescent="0.25">
      <c r="A7687">
        <v>1353478</v>
      </c>
      <c r="B7687">
        <v>1353488</v>
      </c>
      <c r="D7687">
        <v>0</v>
      </c>
      <c r="F7687">
        <v>1495127</v>
      </c>
      <c r="G7687">
        <v>1353488</v>
      </c>
      <c r="H7687" t="e" vm="1300">
        <f>_FV(0,"013")</f>
        <v>#VALUE!</v>
      </c>
      <c r="I7687">
        <v>1353478</v>
      </c>
      <c r="J7687" t="s">
        <v>30</v>
      </c>
      <c r="K7687" t="s">
        <v>48063</v>
      </c>
      <c r="L7687" t="e" vm="1300">
        <f>_FV(0,"013")</f>
        <v>#VALUE!</v>
      </c>
    </row>
    <row r="7688" spans="1:12" x14ac:dyDescent="0.25">
      <c r="A7688">
        <v>1353478</v>
      </c>
      <c r="B7688">
        <v>1360158</v>
      </c>
      <c r="D7688">
        <v>0</v>
      </c>
      <c r="E7688" t="s">
        <v>48065</v>
      </c>
      <c r="F7688" t="s">
        <v>48066</v>
      </c>
      <c r="G7688" t="s">
        <v>48067</v>
      </c>
      <c r="H7688" t="s">
        <v>48068</v>
      </c>
      <c r="I7688" t="s">
        <v>48069</v>
      </c>
      <c r="J7688" t="s">
        <v>48070</v>
      </c>
      <c r="K7688" t="s">
        <v>48071</v>
      </c>
      <c r="L7688" t="s">
        <v>48064</v>
      </c>
    </row>
    <row r="7689" spans="1:12" x14ac:dyDescent="0.25">
      <c r="A7689">
        <v>1353488</v>
      </c>
      <c r="B7689">
        <v>1353510</v>
      </c>
      <c r="D7689">
        <v>0</v>
      </c>
      <c r="E7689" t="s">
        <v>48073</v>
      </c>
      <c r="F7689" t="s">
        <v>48074</v>
      </c>
      <c r="G7689" t="s">
        <v>48075</v>
      </c>
      <c r="H7689" t="e" vm="3325">
        <f>_FV(0,"022281841933842306")</f>
        <v>#VALUE!</v>
      </c>
      <c r="I7689" t="s">
        <v>48076</v>
      </c>
      <c r="J7689" t="s">
        <v>48077</v>
      </c>
      <c r="K7689" t="s">
        <v>48078</v>
      </c>
      <c r="L7689" t="s">
        <v>48072</v>
      </c>
    </row>
    <row r="7690" spans="1:12" x14ac:dyDescent="0.25">
      <c r="A7690">
        <v>1353488</v>
      </c>
      <c r="B7690">
        <v>1360233</v>
      </c>
      <c r="D7690">
        <v>0</v>
      </c>
      <c r="E7690" t="s">
        <v>48080</v>
      </c>
      <c r="F7690" t="s">
        <v>48081</v>
      </c>
      <c r="G7690" t="s">
        <v>48082</v>
      </c>
      <c r="H7690" t="s">
        <v>48083</v>
      </c>
      <c r="I7690" t="s">
        <v>48084</v>
      </c>
      <c r="J7690" t="s">
        <v>48085</v>
      </c>
      <c r="K7690" t="s">
        <v>48086</v>
      </c>
      <c r="L7690" t="s">
        <v>48079</v>
      </c>
    </row>
    <row r="7691" spans="1:12" x14ac:dyDescent="0.25">
      <c r="A7691">
        <v>1353539</v>
      </c>
      <c r="B7691">
        <v>1353540</v>
      </c>
      <c r="D7691">
        <v>0</v>
      </c>
      <c r="F7691">
        <v>1495199</v>
      </c>
      <c r="G7691">
        <v>1353540</v>
      </c>
      <c r="H7691" t="e" vm="56">
        <f>_FV(0,"023")</f>
        <v>#VALUE!</v>
      </c>
      <c r="I7691">
        <v>1353539</v>
      </c>
      <c r="J7691" t="s">
        <v>890</v>
      </c>
      <c r="K7691" t="s">
        <v>48087</v>
      </c>
      <c r="L7691" t="e" vm="56">
        <f>_FV(0,"023")</f>
        <v>#VALUE!</v>
      </c>
    </row>
    <row r="7692" spans="1:12" x14ac:dyDescent="0.25">
      <c r="A7692">
        <v>1353539</v>
      </c>
      <c r="B7692">
        <v>1353611</v>
      </c>
      <c r="D7692">
        <v>0</v>
      </c>
      <c r="E7692" t="s">
        <v>48088</v>
      </c>
      <c r="F7692" t="s">
        <v>48089</v>
      </c>
      <c r="G7692" t="s">
        <v>48090</v>
      </c>
      <c r="H7692" t="e" vm="219">
        <f>_FV(0,"026")</f>
        <v>#VALUE!</v>
      </c>
      <c r="I7692" t="s">
        <v>48091</v>
      </c>
      <c r="J7692" t="s">
        <v>2841</v>
      </c>
      <c r="K7692" t="s">
        <v>48092</v>
      </c>
      <c r="L7692" t="e" vm="219">
        <f>_FV(0,"026")</f>
        <v>#VALUE!</v>
      </c>
    </row>
    <row r="7693" spans="1:12" x14ac:dyDescent="0.25">
      <c r="A7693">
        <v>1353539</v>
      </c>
      <c r="B7693">
        <v>1360773</v>
      </c>
      <c r="D7693">
        <v>0</v>
      </c>
      <c r="E7693" t="s">
        <v>48094</v>
      </c>
      <c r="F7693" t="s">
        <v>48095</v>
      </c>
      <c r="G7693" t="s">
        <v>48096</v>
      </c>
      <c r="H7693" t="s">
        <v>48097</v>
      </c>
      <c r="I7693" t="s">
        <v>48098</v>
      </c>
      <c r="J7693" t="s">
        <v>48093</v>
      </c>
      <c r="K7693" t="s">
        <v>48099</v>
      </c>
      <c r="L7693" t="s">
        <v>48093</v>
      </c>
    </row>
    <row r="7694" spans="1:12" x14ac:dyDescent="0.25">
      <c r="A7694">
        <v>1353540</v>
      </c>
      <c r="B7694">
        <v>1353554</v>
      </c>
      <c r="D7694">
        <v>0</v>
      </c>
      <c r="E7694" t="s">
        <v>48101</v>
      </c>
      <c r="F7694" t="s">
        <v>48102</v>
      </c>
      <c r="G7694" t="s">
        <v>48103</v>
      </c>
      <c r="H7694" t="e" vm="3326">
        <f>_FV(0,"010212390654979938")</f>
        <v>#VALUE!</v>
      </c>
      <c r="I7694" t="s">
        <v>48104</v>
      </c>
      <c r="J7694" t="s">
        <v>48105</v>
      </c>
      <c r="K7694" t="s">
        <v>48106</v>
      </c>
      <c r="L7694" t="s">
        <v>48100</v>
      </c>
    </row>
    <row r="7695" spans="1:12" x14ac:dyDescent="0.25">
      <c r="A7695">
        <v>1353540</v>
      </c>
      <c r="B7695">
        <v>1360779</v>
      </c>
      <c r="D7695">
        <v>0</v>
      </c>
      <c r="E7695" t="s">
        <v>48108</v>
      </c>
      <c r="F7695" t="s">
        <v>48109</v>
      </c>
      <c r="G7695" t="s">
        <v>48110</v>
      </c>
      <c r="H7695" t="e" vm="3327">
        <f>_FV(0,"19139803783836334")</f>
        <v>#VALUE!</v>
      </c>
      <c r="I7695" t="s">
        <v>48111</v>
      </c>
      <c r="J7695" t="s">
        <v>48112</v>
      </c>
      <c r="K7695" t="s">
        <v>48113</v>
      </c>
      <c r="L7695" t="s">
        <v>48107</v>
      </c>
    </row>
    <row r="7696" spans="1:12" x14ac:dyDescent="0.25">
      <c r="A7696">
        <v>1353554</v>
      </c>
      <c r="B7696">
        <v>1353611</v>
      </c>
      <c r="D7696">
        <v>0</v>
      </c>
      <c r="E7696" t="s">
        <v>48115</v>
      </c>
      <c r="F7696" t="s">
        <v>48116</v>
      </c>
      <c r="G7696" t="s">
        <v>48117</v>
      </c>
      <c r="H7696" t="s">
        <v>48118</v>
      </c>
      <c r="I7696" t="s">
        <v>48119</v>
      </c>
      <c r="J7696" t="s">
        <v>48120</v>
      </c>
      <c r="K7696" t="s">
        <v>48121</v>
      </c>
      <c r="L7696" t="s">
        <v>48114</v>
      </c>
    </row>
    <row r="7697" spans="1:12" x14ac:dyDescent="0.25">
      <c r="A7697">
        <v>1353554</v>
      </c>
      <c r="B7697">
        <v>1360779</v>
      </c>
      <c r="D7697">
        <v>0</v>
      </c>
      <c r="E7697" t="s">
        <v>48123</v>
      </c>
      <c r="F7697" t="s">
        <v>48124</v>
      </c>
      <c r="G7697" t="s">
        <v>48125</v>
      </c>
      <c r="H7697" t="e" vm="3328">
        <f>_FV(0,"18294325897068384")</f>
        <v>#VALUE!</v>
      </c>
      <c r="I7697" t="s">
        <v>48126</v>
      </c>
      <c r="J7697" t="s">
        <v>48127</v>
      </c>
      <c r="K7697" t="s">
        <v>48128</v>
      </c>
      <c r="L7697" t="s">
        <v>48122</v>
      </c>
    </row>
    <row r="7698" spans="1:12" x14ac:dyDescent="0.25">
      <c r="A7698">
        <v>1353611</v>
      </c>
      <c r="B7698">
        <v>1360773</v>
      </c>
      <c r="D7698">
        <v>0</v>
      </c>
      <c r="E7698" t="s">
        <v>48130</v>
      </c>
      <c r="F7698" t="s">
        <v>48131</v>
      </c>
      <c r="G7698" t="s">
        <v>48132</v>
      </c>
      <c r="H7698" t="s">
        <v>48133</v>
      </c>
      <c r="I7698" t="s">
        <v>48134</v>
      </c>
      <c r="J7698" t="s">
        <v>48129</v>
      </c>
      <c r="K7698" t="s">
        <v>48135</v>
      </c>
      <c r="L7698" t="s">
        <v>48129</v>
      </c>
    </row>
    <row r="7699" spans="1:12" x14ac:dyDescent="0.25">
      <c r="A7699">
        <v>1353683</v>
      </c>
      <c r="B7699">
        <v>1353683</v>
      </c>
      <c r="D7699">
        <v>0</v>
      </c>
      <c r="E7699" t="s">
        <v>48137</v>
      </c>
      <c r="F7699" t="s">
        <v>48138</v>
      </c>
      <c r="G7699" t="s">
        <v>48139</v>
      </c>
      <c r="H7699" t="e" vm="3329">
        <f>_FV(-3,"5940640135619233e")-5</f>
        <v>#VALUE!</v>
      </c>
      <c r="I7699" t="s">
        <v>48140</v>
      </c>
      <c r="J7699" t="s">
        <v>48141</v>
      </c>
      <c r="K7699" t="s">
        <v>48142</v>
      </c>
      <c r="L7699" t="s">
        <v>48136</v>
      </c>
    </row>
    <row r="7700" spans="1:12" x14ac:dyDescent="0.25">
      <c r="A7700">
        <v>1353683</v>
      </c>
      <c r="B7700">
        <v>1401584</v>
      </c>
      <c r="D7700">
        <v>0</v>
      </c>
      <c r="E7700" t="s">
        <v>48144</v>
      </c>
      <c r="F7700" t="s">
        <v>48145</v>
      </c>
      <c r="G7700" t="s">
        <v>48146</v>
      </c>
      <c r="H7700" t="e" vm="3330">
        <f>_FV(0,"0031293544977644286")</f>
        <v>#VALUE!</v>
      </c>
      <c r="I7700" t="s">
        <v>48147</v>
      </c>
      <c r="J7700" t="s">
        <v>48148</v>
      </c>
      <c r="K7700" t="s">
        <v>48149</v>
      </c>
      <c r="L7700" t="s">
        <v>48143</v>
      </c>
    </row>
    <row r="7701" spans="1:12" x14ac:dyDescent="0.25">
      <c r="A7701">
        <v>1353722</v>
      </c>
      <c r="B7701">
        <v>1353723</v>
      </c>
      <c r="D7701">
        <v>0</v>
      </c>
      <c r="F7701">
        <v>1495406</v>
      </c>
      <c r="G7701">
        <v>1353723</v>
      </c>
      <c r="H7701" t="s">
        <v>1783</v>
      </c>
      <c r="I7701">
        <v>1353722</v>
      </c>
      <c r="J7701" t="s">
        <v>1783</v>
      </c>
      <c r="K7701" t="s">
        <v>48150</v>
      </c>
      <c r="L7701" t="s">
        <v>1783</v>
      </c>
    </row>
    <row r="7702" spans="1:12" x14ac:dyDescent="0.25">
      <c r="A7702">
        <v>1353722</v>
      </c>
      <c r="B7702">
        <v>1353760</v>
      </c>
      <c r="D7702">
        <v>0</v>
      </c>
      <c r="F7702">
        <v>1495454</v>
      </c>
      <c r="G7702">
        <v>1353722</v>
      </c>
      <c r="H7702" t="e" vm="109">
        <f>_FV(0,"01")</f>
        <v>#VALUE!</v>
      </c>
      <c r="I7702">
        <v>1353760</v>
      </c>
      <c r="J7702" t="s">
        <v>761</v>
      </c>
      <c r="K7702" t="s">
        <v>48151</v>
      </c>
      <c r="L7702" t="e" vm="109">
        <f>_FV(0,"01")</f>
        <v>#VALUE!</v>
      </c>
    </row>
    <row r="7703" spans="1:12" x14ac:dyDescent="0.25">
      <c r="A7703">
        <v>1353722</v>
      </c>
      <c r="B7703">
        <v>1394062</v>
      </c>
      <c r="D7703" t="s">
        <v>4380</v>
      </c>
      <c r="E7703" t="s">
        <v>48153</v>
      </c>
      <c r="F7703" t="s">
        <v>48154</v>
      </c>
      <c r="G7703" t="s">
        <v>48155</v>
      </c>
      <c r="H7703" t="e" vm="3331">
        <f>_FV(0,"0051238024343073715")</f>
        <v>#VALUE!</v>
      </c>
      <c r="I7703" t="s">
        <v>48156</v>
      </c>
      <c r="J7703" t="s">
        <v>48157</v>
      </c>
      <c r="K7703" t="s">
        <v>48158</v>
      </c>
      <c r="L7703" t="s">
        <v>48152</v>
      </c>
    </row>
    <row r="7704" spans="1:12" x14ac:dyDescent="0.25">
      <c r="A7704">
        <v>1353723</v>
      </c>
      <c r="B7704">
        <v>1353738</v>
      </c>
      <c r="D7704">
        <v>0</v>
      </c>
      <c r="E7704" t="s">
        <v>48159</v>
      </c>
      <c r="F7704" t="s">
        <v>48160</v>
      </c>
      <c r="G7704" t="s">
        <v>48161</v>
      </c>
      <c r="H7704" t="s">
        <v>48162</v>
      </c>
      <c r="I7704" t="s">
        <v>48163</v>
      </c>
      <c r="J7704" t="s">
        <v>1518</v>
      </c>
      <c r="K7704" t="s">
        <v>48164</v>
      </c>
      <c r="L7704" t="s">
        <v>1518</v>
      </c>
    </row>
    <row r="7705" spans="1:12" x14ac:dyDescent="0.25">
      <c r="A7705">
        <v>1353723</v>
      </c>
      <c r="B7705">
        <v>1357632</v>
      </c>
      <c r="D7705">
        <v>0</v>
      </c>
      <c r="E7705" t="s">
        <v>48166</v>
      </c>
      <c r="F7705" t="s">
        <v>48167</v>
      </c>
      <c r="G7705" t="s">
        <v>48168</v>
      </c>
      <c r="H7705" t="s">
        <v>48169</v>
      </c>
      <c r="I7705" t="s">
        <v>48170</v>
      </c>
      <c r="J7705" t="s">
        <v>48165</v>
      </c>
      <c r="K7705" t="s">
        <v>48171</v>
      </c>
      <c r="L7705" t="s">
        <v>48165</v>
      </c>
    </row>
    <row r="7706" spans="1:12" x14ac:dyDescent="0.25">
      <c r="A7706">
        <v>1353738</v>
      </c>
      <c r="B7706">
        <v>1353744</v>
      </c>
      <c r="D7706">
        <v>0</v>
      </c>
      <c r="F7706">
        <v>1495430</v>
      </c>
      <c r="G7706">
        <v>1353744</v>
      </c>
      <c r="H7706" t="s">
        <v>1939</v>
      </c>
      <c r="I7706">
        <v>1353738</v>
      </c>
      <c r="J7706" t="s">
        <v>1939</v>
      </c>
      <c r="K7706" t="s">
        <v>48172</v>
      </c>
      <c r="L7706" t="s">
        <v>1939</v>
      </c>
    </row>
    <row r="7707" spans="1:12" x14ac:dyDescent="0.25">
      <c r="A7707">
        <v>1353738</v>
      </c>
      <c r="B7707">
        <v>1357621</v>
      </c>
      <c r="D7707">
        <v>0</v>
      </c>
      <c r="E7707" t="s">
        <v>48174</v>
      </c>
      <c r="F7707" t="s">
        <v>48175</v>
      </c>
      <c r="G7707" t="s">
        <v>48176</v>
      </c>
      <c r="H7707" t="s">
        <v>48177</v>
      </c>
      <c r="I7707" t="s">
        <v>48178</v>
      </c>
      <c r="J7707" t="s">
        <v>48173</v>
      </c>
      <c r="K7707" t="s">
        <v>48179</v>
      </c>
      <c r="L7707" t="s">
        <v>48173</v>
      </c>
    </row>
    <row r="7708" spans="1:12" x14ac:dyDescent="0.25">
      <c r="A7708">
        <v>1353744</v>
      </c>
      <c r="B7708">
        <v>1353753</v>
      </c>
      <c r="D7708">
        <v>0</v>
      </c>
      <c r="F7708">
        <v>1495438</v>
      </c>
      <c r="G7708">
        <v>1353753</v>
      </c>
      <c r="H7708" t="s">
        <v>1333</v>
      </c>
      <c r="I7708">
        <v>1353744</v>
      </c>
      <c r="J7708" t="s">
        <v>1333</v>
      </c>
      <c r="K7708" t="s">
        <v>48180</v>
      </c>
      <c r="L7708" t="s">
        <v>1333</v>
      </c>
    </row>
    <row r="7709" spans="1:12" x14ac:dyDescent="0.25">
      <c r="A7709">
        <v>1353753</v>
      </c>
      <c r="B7709">
        <v>1353760</v>
      </c>
      <c r="D7709">
        <v>0</v>
      </c>
      <c r="F7709">
        <v>1495446</v>
      </c>
      <c r="G7709">
        <v>1353760</v>
      </c>
      <c r="H7709" t="e" vm="184">
        <f>_FV(0,"031")</f>
        <v>#VALUE!</v>
      </c>
      <c r="I7709">
        <v>1353753</v>
      </c>
      <c r="J7709" t="s">
        <v>2871</v>
      </c>
      <c r="K7709" t="s">
        <v>48181</v>
      </c>
      <c r="L7709" t="e" vm="184">
        <f>_FV(0,"031")</f>
        <v>#VALUE!</v>
      </c>
    </row>
    <row r="7710" spans="1:12" x14ac:dyDescent="0.25">
      <c r="A7710">
        <v>1353753</v>
      </c>
      <c r="B7710">
        <v>1361333</v>
      </c>
      <c r="D7710">
        <v>0</v>
      </c>
      <c r="E7710" t="s">
        <v>48183</v>
      </c>
      <c r="F7710" t="s">
        <v>48184</v>
      </c>
      <c r="G7710" t="s">
        <v>48185</v>
      </c>
      <c r="H7710" t="s">
        <v>48186</v>
      </c>
      <c r="I7710" t="s">
        <v>48187</v>
      </c>
      <c r="J7710" t="s">
        <v>48188</v>
      </c>
      <c r="K7710" t="s">
        <v>48189</v>
      </c>
      <c r="L7710" t="s">
        <v>48182</v>
      </c>
    </row>
    <row r="7711" spans="1:12" x14ac:dyDescent="0.25">
      <c r="A7711">
        <v>1353760</v>
      </c>
      <c r="B7711">
        <v>1361274</v>
      </c>
      <c r="D7711">
        <v>0</v>
      </c>
      <c r="E7711" t="s">
        <v>48191</v>
      </c>
      <c r="F7711" t="s">
        <v>48192</v>
      </c>
      <c r="G7711" t="s">
        <v>48193</v>
      </c>
      <c r="H7711" t="s">
        <v>48194</v>
      </c>
      <c r="I7711" t="s">
        <v>48195</v>
      </c>
      <c r="J7711" t="s">
        <v>48196</v>
      </c>
      <c r="K7711" t="s">
        <v>48197</v>
      </c>
      <c r="L7711" t="s">
        <v>48190</v>
      </c>
    </row>
    <row r="7712" spans="1:12" x14ac:dyDescent="0.25">
      <c r="A7712">
        <v>1353773</v>
      </c>
      <c r="B7712">
        <v>1353774</v>
      </c>
      <c r="D7712">
        <v>0</v>
      </c>
      <c r="F7712">
        <v>1495462</v>
      </c>
      <c r="G7712">
        <v>1353774</v>
      </c>
      <c r="H7712" t="s">
        <v>194</v>
      </c>
      <c r="I7712">
        <v>1353773</v>
      </c>
      <c r="J7712" t="s">
        <v>194</v>
      </c>
      <c r="K7712" t="s">
        <v>48198</v>
      </c>
      <c r="L7712" t="s">
        <v>194</v>
      </c>
    </row>
    <row r="7713" spans="1:12" x14ac:dyDescent="0.25">
      <c r="A7713">
        <v>1353773</v>
      </c>
      <c r="B7713">
        <v>1353828</v>
      </c>
      <c r="D7713">
        <v>0</v>
      </c>
      <c r="E7713" t="s">
        <v>48200</v>
      </c>
      <c r="F7713" t="s">
        <v>48201</v>
      </c>
      <c r="G7713" t="s">
        <v>48202</v>
      </c>
      <c r="H7713" t="e" vm="3332">
        <f>_FV(0,"008331248370946074")</f>
        <v>#VALUE!</v>
      </c>
      <c r="I7713" t="s">
        <v>48203</v>
      </c>
      <c r="J7713" t="s">
        <v>48204</v>
      </c>
      <c r="K7713" t="s">
        <v>48205</v>
      </c>
      <c r="L7713" t="s">
        <v>48199</v>
      </c>
    </row>
    <row r="7714" spans="1:12" x14ac:dyDescent="0.25">
      <c r="A7714">
        <v>1353773</v>
      </c>
      <c r="B7714">
        <v>1361481</v>
      </c>
      <c r="D7714" t="s">
        <v>1839</v>
      </c>
      <c r="E7714" t="s">
        <v>48207</v>
      </c>
      <c r="F7714" t="s">
        <v>48208</v>
      </c>
      <c r="G7714" t="s">
        <v>48209</v>
      </c>
      <c r="H7714" t="s">
        <v>48210</v>
      </c>
      <c r="I7714" t="s">
        <v>48211</v>
      </c>
      <c r="J7714" t="s">
        <v>48206</v>
      </c>
      <c r="K7714" t="s">
        <v>48212</v>
      </c>
      <c r="L7714" t="s">
        <v>48206</v>
      </c>
    </row>
    <row r="7715" spans="1:12" x14ac:dyDescent="0.25">
      <c r="A7715">
        <v>1353774</v>
      </c>
      <c r="B7715">
        <v>1353780</v>
      </c>
      <c r="D7715">
        <v>0</v>
      </c>
      <c r="F7715">
        <v>1495470</v>
      </c>
      <c r="G7715">
        <v>1353780</v>
      </c>
      <c r="H7715" t="s">
        <v>1536</v>
      </c>
      <c r="I7715">
        <v>1353774</v>
      </c>
      <c r="J7715" t="s">
        <v>1536</v>
      </c>
      <c r="K7715" t="s">
        <v>48213</v>
      </c>
      <c r="L7715" t="s">
        <v>1536</v>
      </c>
    </row>
    <row r="7716" spans="1:12" x14ac:dyDescent="0.25">
      <c r="A7716">
        <v>1353774</v>
      </c>
      <c r="B7716">
        <v>1391741</v>
      </c>
      <c r="D7716">
        <v>0</v>
      </c>
      <c r="E7716" t="s">
        <v>48215</v>
      </c>
      <c r="F7716" t="s">
        <v>48216</v>
      </c>
      <c r="G7716" t="s">
        <v>48217</v>
      </c>
      <c r="H7716" t="s">
        <v>48218</v>
      </c>
      <c r="I7716" t="s">
        <v>48219</v>
      </c>
      <c r="J7716" t="s">
        <v>48220</v>
      </c>
      <c r="K7716" t="s">
        <v>48221</v>
      </c>
      <c r="L7716" t="s">
        <v>48214</v>
      </c>
    </row>
    <row r="7717" spans="1:12" x14ac:dyDescent="0.25">
      <c r="A7717">
        <v>1353780</v>
      </c>
      <c r="B7717">
        <v>1353787</v>
      </c>
      <c r="D7717">
        <v>0</v>
      </c>
      <c r="F7717">
        <v>1495479</v>
      </c>
      <c r="G7717">
        <v>1353787</v>
      </c>
      <c r="H7717" t="s">
        <v>899</v>
      </c>
      <c r="I7717">
        <v>1353780</v>
      </c>
      <c r="J7717" t="s">
        <v>899</v>
      </c>
      <c r="K7717" t="s">
        <v>48222</v>
      </c>
      <c r="L7717" t="s">
        <v>899</v>
      </c>
    </row>
    <row r="7718" spans="1:12" x14ac:dyDescent="0.25">
      <c r="A7718">
        <v>1353780</v>
      </c>
      <c r="B7718">
        <v>1391725</v>
      </c>
      <c r="D7718">
        <v>0</v>
      </c>
      <c r="E7718" t="s">
        <v>48224</v>
      </c>
      <c r="F7718" t="s">
        <v>48225</v>
      </c>
      <c r="G7718" t="s">
        <v>48226</v>
      </c>
      <c r="H7718" t="s">
        <v>48227</v>
      </c>
      <c r="I7718" t="s">
        <v>48228</v>
      </c>
      <c r="J7718" t="s">
        <v>48229</v>
      </c>
      <c r="K7718" t="s">
        <v>48230</v>
      </c>
      <c r="L7718" t="s">
        <v>48223</v>
      </c>
    </row>
    <row r="7719" spans="1:12" x14ac:dyDescent="0.25">
      <c r="A7719">
        <v>1353787</v>
      </c>
      <c r="B7719">
        <v>1353801</v>
      </c>
      <c r="D7719">
        <v>0</v>
      </c>
      <c r="E7719" t="s">
        <v>48231</v>
      </c>
      <c r="F7719" t="s">
        <v>48232</v>
      </c>
      <c r="G7719" t="s">
        <v>48233</v>
      </c>
      <c r="H7719" t="s">
        <v>48234</v>
      </c>
      <c r="I7719" t="s">
        <v>48235</v>
      </c>
      <c r="J7719" t="s">
        <v>34502</v>
      </c>
      <c r="K7719" t="s">
        <v>48236</v>
      </c>
      <c r="L7719" t="s">
        <v>34502</v>
      </c>
    </row>
    <row r="7720" spans="1:12" x14ac:dyDescent="0.25">
      <c r="A7720">
        <v>1353787</v>
      </c>
      <c r="B7720">
        <v>1358175</v>
      </c>
      <c r="D7720">
        <v>0</v>
      </c>
      <c r="E7720" t="s">
        <v>48238</v>
      </c>
      <c r="F7720" t="s">
        <v>48239</v>
      </c>
      <c r="G7720" t="s">
        <v>48240</v>
      </c>
      <c r="H7720" t="e" vm="3333">
        <f>_FV(0,"004099662024762517")</f>
        <v>#VALUE!</v>
      </c>
      <c r="I7720" t="s">
        <v>48241</v>
      </c>
      <c r="J7720" t="s">
        <v>48242</v>
      </c>
      <c r="K7720" t="s">
        <v>48243</v>
      </c>
      <c r="L7720" t="s">
        <v>48237</v>
      </c>
    </row>
    <row r="7721" spans="1:12" x14ac:dyDescent="0.25">
      <c r="A7721">
        <v>1353801</v>
      </c>
      <c r="B7721">
        <v>1353828</v>
      </c>
      <c r="D7721">
        <v>0</v>
      </c>
      <c r="E7721" t="s">
        <v>48245</v>
      </c>
      <c r="F7721" t="s">
        <v>48246</v>
      </c>
      <c r="G7721" t="s">
        <v>48247</v>
      </c>
      <c r="H7721" t="e" vm="3334">
        <f>_FV(0,"018478523439759927")</f>
        <v>#VALUE!</v>
      </c>
      <c r="I7721" t="s">
        <v>48248</v>
      </c>
      <c r="J7721" t="s">
        <v>48249</v>
      </c>
      <c r="K7721" t="s">
        <v>48250</v>
      </c>
      <c r="L7721" t="s">
        <v>48244</v>
      </c>
    </row>
    <row r="7722" spans="1:12" x14ac:dyDescent="0.25">
      <c r="A7722">
        <v>1353801</v>
      </c>
      <c r="B7722">
        <v>1358163</v>
      </c>
      <c r="D7722">
        <v>0</v>
      </c>
      <c r="E7722" t="s">
        <v>48252</v>
      </c>
      <c r="F7722" t="s">
        <v>48253</v>
      </c>
      <c r="G7722" t="s">
        <v>48254</v>
      </c>
      <c r="H7722" t="e" vm="3335">
        <f>_FV(0,"011901408071346856")</f>
        <v>#VALUE!</v>
      </c>
      <c r="I7722" t="s">
        <v>48255</v>
      </c>
      <c r="J7722" t="s">
        <v>48256</v>
      </c>
      <c r="K7722" t="s">
        <v>48257</v>
      </c>
      <c r="L7722" t="s">
        <v>48251</v>
      </c>
    </row>
    <row r="7723" spans="1:12" x14ac:dyDescent="0.25">
      <c r="A7723">
        <v>1353828</v>
      </c>
      <c r="B7723">
        <v>1361481</v>
      </c>
      <c r="D7723" t="s">
        <v>1839</v>
      </c>
      <c r="E7723" t="s">
        <v>48259</v>
      </c>
      <c r="F7723" t="s">
        <v>48260</v>
      </c>
      <c r="G7723" t="s">
        <v>48261</v>
      </c>
      <c r="H7723" t="s">
        <v>48262</v>
      </c>
      <c r="I7723" t="s">
        <v>48263</v>
      </c>
      <c r="J7723" t="s">
        <v>48258</v>
      </c>
      <c r="K7723" t="s">
        <v>48264</v>
      </c>
      <c r="L7723" t="s">
        <v>48258</v>
      </c>
    </row>
    <row r="7724" spans="1:12" x14ac:dyDescent="0.25">
      <c r="A7724">
        <v>1353846</v>
      </c>
      <c r="B7724">
        <v>1353867</v>
      </c>
      <c r="D7724">
        <v>0</v>
      </c>
      <c r="E7724" t="s">
        <v>48266</v>
      </c>
      <c r="F7724" t="s">
        <v>48267</v>
      </c>
      <c r="G7724" t="s">
        <v>48268</v>
      </c>
      <c r="H7724" t="e" vm="3336">
        <f>_FV(0,"04421179940654537")</f>
        <v>#VALUE!</v>
      </c>
      <c r="I7724" t="s">
        <v>48269</v>
      </c>
      <c r="J7724" t="s">
        <v>48270</v>
      </c>
      <c r="K7724" t="s">
        <v>48271</v>
      </c>
      <c r="L7724" t="s">
        <v>48265</v>
      </c>
    </row>
    <row r="7725" spans="1:12" x14ac:dyDescent="0.25">
      <c r="A7725">
        <v>1353846</v>
      </c>
      <c r="B7725">
        <v>1353889</v>
      </c>
      <c r="D7725">
        <v>0</v>
      </c>
      <c r="F7725">
        <v>1495609</v>
      </c>
      <c r="G7725">
        <v>1353846</v>
      </c>
      <c r="H7725" t="s">
        <v>1359</v>
      </c>
      <c r="I7725">
        <v>1353889</v>
      </c>
      <c r="J7725" t="s">
        <v>1359</v>
      </c>
      <c r="K7725" t="s">
        <v>48272</v>
      </c>
      <c r="L7725" t="s">
        <v>1359</v>
      </c>
    </row>
    <row r="7726" spans="1:12" x14ac:dyDescent="0.25">
      <c r="A7726">
        <v>1353846</v>
      </c>
      <c r="B7726">
        <v>1391750</v>
      </c>
      <c r="D7726">
        <v>0</v>
      </c>
      <c r="E7726" t="s">
        <v>48274</v>
      </c>
      <c r="F7726" t="s">
        <v>48275</v>
      </c>
      <c r="G7726" t="s">
        <v>48276</v>
      </c>
      <c r="H7726" t="e" vm="3337">
        <f>_FV(0,"030912834438415086")</f>
        <v>#VALUE!</v>
      </c>
      <c r="I7726" t="s">
        <v>48277</v>
      </c>
      <c r="J7726" t="s">
        <v>48278</v>
      </c>
      <c r="K7726" t="s">
        <v>48279</v>
      </c>
      <c r="L7726" t="s">
        <v>48273</v>
      </c>
    </row>
    <row r="7727" spans="1:12" x14ac:dyDescent="0.25">
      <c r="A7727">
        <v>1353867</v>
      </c>
      <c r="B7727">
        <v>1353882</v>
      </c>
      <c r="D7727">
        <v>0</v>
      </c>
      <c r="E7727" t="s">
        <v>48281</v>
      </c>
      <c r="F7727" t="s">
        <v>48282</v>
      </c>
      <c r="G7727" t="s">
        <v>48283</v>
      </c>
      <c r="H7727" t="s">
        <v>48284</v>
      </c>
      <c r="I7727" t="s">
        <v>48285</v>
      </c>
      <c r="J7727" t="s">
        <v>48280</v>
      </c>
      <c r="K7727" t="s">
        <v>48286</v>
      </c>
      <c r="L7727" t="s">
        <v>48280</v>
      </c>
    </row>
    <row r="7728" spans="1:12" x14ac:dyDescent="0.25">
      <c r="A7728">
        <v>1353867</v>
      </c>
      <c r="B7728">
        <v>1361480</v>
      </c>
      <c r="D7728" t="s">
        <v>1119</v>
      </c>
      <c r="E7728" t="s">
        <v>48288</v>
      </c>
      <c r="F7728" t="s">
        <v>48289</v>
      </c>
      <c r="G7728" t="s">
        <v>48290</v>
      </c>
      <c r="H7728" t="e" vm="3338">
        <f>_FV(0,"017393817647850418")</f>
        <v>#VALUE!</v>
      </c>
      <c r="I7728" t="s">
        <v>48291</v>
      </c>
      <c r="J7728" t="s">
        <v>48292</v>
      </c>
      <c r="K7728" t="s">
        <v>48293</v>
      </c>
      <c r="L7728" t="s">
        <v>48287</v>
      </c>
    </row>
    <row r="7729" spans="1:12" x14ac:dyDescent="0.25">
      <c r="A7729">
        <v>1353882</v>
      </c>
      <c r="B7729">
        <v>1353889</v>
      </c>
      <c r="D7729">
        <v>0</v>
      </c>
      <c r="F7729">
        <v>1495599</v>
      </c>
      <c r="G7729">
        <v>1353889</v>
      </c>
      <c r="H7729" t="s">
        <v>12</v>
      </c>
      <c r="I7729">
        <v>1353882</v>
      </c>
      <c r="J7729" t="s">
        <v>12</v>
      </c>
      <c r="K7729" t="s">
        <v>48294</v>
      </c>
      <c r="L7729" t="s">
        <v>12</v>
      </c>
    </row>
    <row r="7730" spans="1:12" x14ac:dyDescent="0.25">
      <c r="A7730">
        <v>1353882</v>
      </c>
      <c r="B7730">
        <v>1361480</v>
      </c>
      <c r="D7730" t="s">
        <v>1119</v>
      </c>
      <c r="E7730" t="s">
        <v>48296</v>
      </c>
      <c r="F7730" t="s">
        <v>48297</v>
      </c>
      <c r="G7730" t="s">
        <v>48298</v>
      </c>
      <c r="H7730" t="e" vm="3339">
        <f>_FV(0,"022216796023475944")</f>
        <v>#VALUE!</v>
      </c>
      <c r="I7730" t="s">
        <v>48299</v>
      </c>
      <c r="J7730" t="s">
        <v>3319</v>
      </c>
      <c r="K7730" t="s">
        <v>48300</v>
      </c>
      <c r="L7730" t="s">
        <v>48295</v>
      </c>
    </row>
    <row r="7731" spans="1:12" x14ac:dyDescent="0.25">
      <c r="A7731">
        <v>1353889</v>
      </c>
      <c r="B7731">
        <v>1391796</v>
      </c>
      <c r="D7731">
        <v>0</v>
      </c>
      <c r="E7731" t="s">
        <v>48302</v>
      </c>
      <c r="F7731" t="s">
        <v>48303</v>
      </c>
      <c r="G7731" t="s">
        <v>48304</v>
      </c>
      <c r="H7731" t="e" vm="3340">
        <f>_FV(0,"007239813330455419")</f>
        <v>#VALUE!</v>
      </c>
      <c r="I7731" t="s">
        <v>48305</v>
      </c>
      <c r="J7731" t="s">
        <v>48306</v>
      </c>
      <c r="K7731" t="s">
        <v>48307</v>
      </c>
      <c r="L7731" t="s">
        <v>48301</v>
      </c>
    </row>
    <row r="7732" spans="1:12" x14ac:dyDescent="0.25">
      <c r="A7732">
        <v>1354120</v>
      </c>
      <c r="B7732">
        <v>1354126</v>
      </c>
      <c r="D7732">
        <v>0</v>
      </c>
      <c r="E7732" t="s">
        <v>48309</v>
      </c>
      <c r="F7732" t="s">
        <v>48310</v>
      </c>
      <c r="G7732" t="s">
        <v>48311</v>
      </c>
      <c r="H7732" t="e" vm="3341">
        <f>_FV(0,"05020541570365533")</f>
        <v>#VALUE!</v>
      </c>
      <c r="I7732" t="s">
        <v>48312</v>
      </c>
      <c r="J7732" t="s">
        <v>48313</v>
      </c>
      <c r="K7732" t="s">
        <v>48314</v>
      </c>
      <c r="L7732" t="s">
        <v>48308</v>
      </c>
    </row>
    <row r="7733" spans="1:12" x14ac:dyDescent="0.25">
      <c r="A7733">
        <v>1354120</v>
      </c>
      <c r="B7733">
        <v>1354126</v>
      </c>
      <c r="D7733">
        <v>0</v>
      </c>
      <c r="E7733" t="s">
        <v>48316</v>
      </c>
      <c r="F7733" t="s">
        <v>48317</v>
      </c>
      <c r="G7733" t="s">
        <v>48318</v>
      </c>
      <c r="H7733" t="e" vm="3342">
        <f>_FV(0,"04982721162737252")</f>
        <v>#VALUE!</v>
      </c>
      <c r="I7733" t="s">
        <v>48319</v>
      </c>
      <c r="J7733" t="s">
        <v>48320</v>
      </c>
      <c r="K7733" t="s">
        <v>48321</v>
      </c>
      <c r="L7733" t="s">
        <v>48315</v>
      </c>
    </row>
    <row r="7734" spans="1:12" x14ac:dyDescent="0.25">
      <c r="A7734">
        <v>1354126</v>
      </c>
      <c r="B7734">
        <v>1354127</v>
      </c>
      <c r="D7734">
        <v>0</v>
      </c>
      <c r="F7734">
        <v>1495886</v>
      </c>
      <c r="G7734">
        <v>1354127</v>
      </c>
      <c r="H7734" t="e" vm="488">
        <f>_FV(0,"047")</f>
        <v>#VALUE!</v>
      </c>
      <c r="I7734">
        <v>1354126</v>
      </c>
      <c r="J7734" t="s">
        <v>2292</v>
      </c>
      <c r="K7734" t="s">
        <v>48322</v>
      </c>
      <c r="L7734" t="e" vm="488">
        <f>_FV(0,"047")</f>
        <v>#VALUE!</v>
      </c>
    </row>
    <row r="7735" spans="1:12" x14ac:dyDescent="0.25">
      <c r="A7735">
        <v>1354127</v>
      </c>
      <c r="B7735">
        <v>1390187</v>
      </c>
      <c r="D7735">
        <v>0</v>
      </c>
      <c r="E7735" t="s">
        <v>48324</v>
      </c>
      <c r="F7735" t="s">
        <v>48325</v>
      </c>
      <c r="G7735" t="s">
        <v>48326</v>
      </c>
      <c r="H7735" t="e" vm="3343">
        <f>_FV(0,"027875328003898716")</f>
        <v>#VALUE!</v>
      </c>
      <c r="I7735" t="s">
        <v>48327</v>
      </c>
      <c r="J7735" t="s">
        <v>48328</v>
      </c>
      <c r="K7735" t="s">
        <v>48329</v>
      </c>
      <c r="L7735" t="s">
        <v>48323</v>
      </c>
    </row>
    <row r="7736" spans="1:12" x14ac:dyDescent="0.25">
      <c r="A7736">
        <v>1354127</v>
      </c>
      <c r="B7736">
        <v>1390114</v>
      </c>
      <c r="D7736">
        <v>0</v>
      </c>
      <c r="E7736" t="s">
        <v>48331</v>
      </c>
      <c r="F7736" t="s">
        <v>48332</v>
      </c>
      <c r="G7736" t="s">
        <v>48333</v>
      </c>
      <c r="H7736" t="e" vm="3344">
        <f>_FV(0,"022703438794985053")</f>
        <v>#VALUE!</v>
      </c>
      <c r="I7736" t="s">
        <v>48334</v>
      </c>
      <c r="J7736" t="s">
        <v>48335</v>
      </c>
      <c r="K7736" t="s">
        <v>48336</v>
      </c>
      <c r="L7736" t="s">
        <v>48330</v>
      </c>
    </row>
    <row r="7737" spans="1:12" x14ac:dyDescent="0.25">
      <c r="A7737">
        <v>1354139</v>
      </c>
      <c r="B7737">
        <v>1354510</v>
      </c>
      <c r="C7737" t="s">
        <v>48338</v>
      </c>
      <c r="D7737" t="s">
        <v>48339</v>
      </c>
      <c r="E7737" t="s">
        <v>48340</v>
      </c>
      <c r="F7737" t="s">
        <v>48341</v>
      </c>
      <c r="G7737" t="s">
        <v>48342</v>
      </c>
      <c r="H7737" t="s">
        <v>48343</v>
      </c>
      <c r="I7737" t="s">
        <v>48344</v>
      </c>
      <c r="J7737" t="s">
        <v>48345</v>
      </c>
      <c r="K7737" t="s">
        <v>48346</v>
      </c>
      <c r="L7737" t="s">
        <v>48337</v>
      </c>
    </row>
    <row r="7738" spans="1:12" x14ac:dyDescent="0.25">
      <c r="A7738">
        <v>1354139</v>
      </c>
      <c r="B7738">
        <v>1355108</v>
      </c>
      <c r="D7738">
        <v>0</v>
      </c>
      <c r="E7738" t="s">
        <v>48347</v>
      </c>
      <c r="F7738" t="s">
        <v>48348</v>
      </c>
      <c r="G7738" t="s">
        <v>48349</v>
      </c>
      <c r="H7738" t="e" vm="3345">
        <f>_FV(0,"007368132813608992")</f>
        <v>#VALUE!</v>
      </c>
      <c r="I7738" t="s">
        <v>48350</v>
      </c>
      <c r="J7738" t="s">
        <v>5572</v>
      </c>
      <c r="K7738" t="s">
        <v>48351</v>
      </c>
      <c r="L7738" t="s">
        <v>5567</v>
      </c>
    </row>
    <row r="7739" spans="1:12" x14ac:dyDescent="0.25">
      <c r="A7739">
        <v>1354139</v>
      </c>
      <c r="B7739">
        <v>1355133</v>
      </c>
      <c r="D7739">
        <v>0</v>
      </c>
      <c r="E7739" t="s">
        <v>48352</v>
      </c>
      <c r="F7739" t="s">
        <v>48353</v>
      </c>
      <c r="G7739" t="s">
        <v>48354</v>
      </c>
      <c r="H7739" t="e" vm="3346">
        <f>_FV(0,"015745143768106925")</f>
        <v>#VALUE!</v>
      </c>
      <c r="I7739" t="s">
        <v>48355</v>
      </c>
      <c r="J7739" t="s">
        <v>34385</v>
      </c>
      <c r="K7739" t="s">
        <v>48356</v>
      </c>
      <c r="L7739" t="s">
        <v>34380</v>
      </c>
    </row>
    <row r="7740" spans="1:12" x14ac:dyDescent="0.25">
      <c r="A7740">
        <v>1354510</v>
      </c>
      <c r="B7740">
        <v>1354512</v>
      </c>
      <c r="D7740">
        <v>0</v>
      </c>
      <c r="E7740" t="s">
        <v>48358</v>
      </c>
      <c r="F7740" t="s">
        <v>48359</v>
      </c>
      <c r="G7740" t="s">
        <v>48360</v>
      </c>
      <c r="H7740" t="s">
        <v>48361</v>
      </c>
      <c r="I7740" t="s">
        <v>48362</v>
      </c>
      <c r="J7740" t="s">
        <v>48357</v>
      </c>
      <c r="K7740" t="s">
        <v>48363</v>
      </c>
      <c r="L7740" t="s">
        <v>48357</v>
      </c>
    </row>
    <row r="7741" spans="1:12" x14ac:dyDescent="0.25">
      <c r="A7741">
        <v>1354510</v>
      </c>
      <c r="B7741">
        <v>1354512</v>
      </c>
      <c r="D7741">
        <v>0</v>
      </c>
      <c r="E7741" t="s">
        <v>48365</v>
      </c>
      <c r="F7741" t="s">
        <v>48366</v>
      </c>
      <c r="G7741" t="s">
        <v>48367</v>
      </c>
      <c r="H7741" t="s">
        <v>48368</v>
      </c>
      <c r="I7741" t="s">
        <v>48369</v>
      </c>
      <c r="J7741" t="s">
        <v>7433</v>
      </c>
      <c r="K7741" t="s">
        <v>48370</v>
      </c>
      <c r="L7741" t="s">
        <v>48364</v>
      </c>
    </row>
    <row r="7742" spans="1:12" x14ac:dyDescent="0.25">
      <c r="A7742">
        <v>1354512</v>
      </c>
      <c r="B7742">
        <v>1354548</v>
      </c>
      <c r="D7742">
        <v>0</v>
      </c>
      <c r="E7742" t="s">
        <v>48372</v>
      </c>
      <c r="F7742" t="s">
        <v>48373</v>
      </c>
      <c r="G7742" t="s">
        <v>48374</v>
      </c>
      <c r="H7742" t="s">
        <v>48375</v>
      </c>
      <c r="I7742" t="s">
        <v>48376</v>
      </c>
      <c r="J7742" t="s">
        <v>48377</v>
      </c>
      <c r="K7742" t="s">
        <v>48378</v>
      </c>
      <c r="L7742" t="s">
        <v>48371</v>
      </c>
    </row>
    <row r="7743" spans="1:12" x14ac:dyDescent="0.25">
      <c r="A7743">
        <v>1354548</v>
      </c>
      <c r="B7743">
        <v>487460</v>
      </c>
      <c r="D7743">
        <v>0</v>
      </c>
      <c r="E7743" t="s">
        <v>48380</v>
      </c>
      <c r="F7743" t="s">
        <v>48381</v>
      </c>
      <c r="G7743" t="s">
        <v>48382</v>
      </c>
      <c r="H7743" t="e" vm="3347">
        <f>_FV(0,"01859419211254277")</f>
        <v>#VALUE!</v>
      </c>
      <c r="I7743" t="s">
        <v>48383</v>
      </c>
      <c r="J7743" t="s">
        <v>48384</v>
      </c>
      <c r="K7743" t="s">
        <v>48385</v>
      </c>
      <c r="L7743" t="s">
        <v>48379</v>
      </c>
    </row>
    <row r="7744" spans="1:12" x14ac:dyDescent="0.25">
      <c r="A7744">
        <v>1354548</v>
      </c>
      <c r="B7744">
        <v>487460</v>
      </c>
      <c r="D7744">
        <v>0</v>
      </c>
      <c r="E7744" t="s">
        <v>48387</v>
      </c>
      <c r="F7744" t="s">
        <v>48388</v>
      </c>
      <c r="G7744" t="s">
        <v>48389</v>
      </c>
      <c r="H7744" t="e" vm="3348">
        <f>_FV(0,"018822890606986834")</f>
        <v>#VALUE!</v>
      </c>
      <c r="I7744" t="s">
        <v>48390</v>
      </c>
      <c r="J7744" t="s">
        <v>48391</v>
      </c>
      <c r="K7744" t="s">
        <v>48392</v>
      </c>
      <c r="L7744" t="s">
        <v>48386</v>
      </c>
    </row>
    <row r="7745" spans="1:12" x14ac:dyDescent="0.25">
      <c r="A7745">
        <v>487460</v>
      </c>
      <c r="B7745">
        <v>1354580</v>
      </c>
      <c r="D7745">
        <v>0</v>
      </c>
      <c r="E7745" t="s">
        <v>48394</v>
      </c>
      <c r="F7745" t="s">
        <v>48395</v>
      </c>
      <c r="G7745" t="s">
        <v>48396</v>
      </c>
      <c r="H7745" t="s">
        <v>48397</v>
      </c>
      <c r="I7745" t="s">
        <v>48398</v>
      </c>
      <c r="J7745" t="s">
        <v>48399</v>
      </c>
      <c r="K7745" t="s">
        <v>48400</v>
      </c>
      <c r="L7745" t="s">
        <v>48393</v>
      </c>
    </row>
    <row r="7746" spans="1:12" x14ac:dyDescent="0.25">
      <c r="A7746">
        <v>1354580</v>
      </c>
      <c r="B7746">
        <v>1354589</v>
      </c>
      <c r="D7746">
        <v>0</v>
      </c>
      <c r="E7746" t="s">
        <v>48402</v>
      </c>
      <c r="F7746" t="s">
        <v>48403</v>
      </c>
      <c r="G7746" t="s">
        <v>48404</v>
      </c>
      <c r="H7746" t="s">
        <v>48405</v>
      </c>
      <c r="I7746" t="s">
        <v>48406</v>
      </c>
      <c r="J7746" t="s">
        <v>48407</v>
      </c>
      <c r="K7746" t="s">
        <v>48408</v>
      </c>
      <c r="L7746" t="s">
        <v>48401</v>
      </c>
    </row>
    <row r="7747" spans="1:12" x14ac:dyDescent="0.25">
      <c r="A7747">
        <v>1354580</v>
      </c>
      <c r="B7747">
        <v>1354589</v>
      </c>
      <c r="D7747">
        <v>0</v>
      </c>
      <c r="E7747" t="s">
        <v>48410</v>
      </c>
      <c r="F7747" t="s">
        <v>48411</v>
      </c>
      <c r="G7747" t="s">
        <v>48412</v>
      </c>
      <c r="H7747" t="s">
        <v>48413</v>
      </c>
      <c r="I7747" t="s">
        <v>48414</v>
      </c>
      <c r="J7747" t="s">
        <v>48415</v>
      </c>
      <c r="K7747" t="s">
        <v>48416</v>
      </c>
      <c r="L7747" t="s">
        <v>48409</v>
      </c>
    </row>
    <row r="7748" spans="1:12" x14ac:dyDescent="0.25">
      <c r="A7748">
        <v>1354748</v>
      </c>
      <c r="B7748">
        <v>1354753</v>
      </c>
      <c r="D7748">
        <v>0</v>
      </c>
      <c r="E7748" t="s">
        <v>48418</v>
      </c>
      <c r="F7748" t="s">
        <v>48419</v>
      </c>
      <c r="G7748" t="s">
        <v>48420</v>
      </c>
      <c r="H7748" t="s">
        <v>48421</v>
      </c>
      <c r="I7748" t="s">
        <v>48422</v>
      </c>
      <c r="J7748" t="s">
        <v>48417</v>
      </c>
      <c r="K7748" t="s">
        <v>48423</v>
      </c>
      <c r="L7748" t="s">
        <v>48417</v>
      </c>
    </row>
    <row r="7749" spans="1:12" x14ac:dyDescent="0.25">
      <c r="A7749">
        <v>1354748</v>
      </c>
      <c r="B7749">
        <v>1354816</v>
      </c>
      <c r="D7749" t="s">
        <v>4380</v>
      </c>
      <c r="E7749" t="s">
        <v>48425</v>
      </c>
      <c r="F7749" t="s">
        <v>48426</v>
      </c>
      <c r="G7749" t="s">
        <v>48427</v>
      </c>
      <c r="H7749" t="e" vm="3349">
        <f>_FV(0,"025971121833338932")</f>
        <v>#VALUE!</v>
      </c>
      <c r="I7749" t="s">
        <v>48428</v>
      </c>
      <c r="J7749" t="s">
        <v>48429</v>
      </c>
      <c r="K7749" t="s">
        <v>48430</v>
      </c>
      <c r="L7749" t="s">
        <v>48424</v>
      </c>
    </row>
    <row r="7750" spans="1:12" x14ac:dyDescent="0.25">
      <c r="A7750">
        <v>1354748</v>
      </c>
      <c r="B7750">
        <v>1354773</v>
      </c>
      <c r="D7750">
        <v>0</v>
      </c>
      <c r="E7750" t="s">
        <v>48432</v>
      </c>
      <c r="F7750" t="s">
        <v>48433</v>
      </c>
      <c r="G7750" t="s">
        <v>48434</v>
      </c>
      <c r="H7750" t="e" vm="3350">
        <f>_FV(0,"03059783931516584")</f>
        <v>#VALUE!</v>
      </c>
      <c r="I7750" t="s">
        <v>48435</v>
      </c>
      <c r="J7750" t="s">
        <v>48436</v>
      </c>
      <c r="K7750" t="s">
        <v>48437</v>
      </c>
      <c r="L7750" t="s">
        <v>48431</v>
      </c>
    </row>
    <row r="7751" spans="1:12" x14ac:dyDescent="0.25">
      <c r="A7751">
        <v>1354753</v>
      </c>
      <c r="B7751">
        <v>1354756</v>
      </c>
      <c r="D7751">
        <v>0</v>
      </c>
      <c r="F7751">
        <v>1496636</v>
      </c>
      <c r="G7751">
        <v>1354756</v>
      </c>
      <c r="H7751" t="s">
        <v>8186</v>
      </c>
      <c r="I7751">
        <v>1354753</v>
      </c>
      <c r="J7751" t="s">
        <v>8186</v>
      </c>
      <c r="K7751" t="s">
        <v>48438</v>
      </c>
      <c r="L7751" t="s">
        <v>8186</v>
      </c>
    </row>
    <row r="7752" spans="1:12" x14ac:dyDescent="0.25">
      <c r="A7752">
        <v>1354753</v>
      </c>
      <c r="B7752">
        <v>1354859</v>
      </c>
      <c r="D7752" t="s">
        <v>4380</v>
      </c>
      <c r="E7752" t="s">
        <v>48440</v>
      </c>
      <c r="F7752" t="s">
        <v>48441</v>
      </c>
      <c r="G7752" t="s">
        <v>48442</v>
      </c>
      <c r="H7752" t="e" vm="3351">
        <f>_FV(0,"027721653551612133")</f>
        <v>#VALUE!</v>
      </c>
      <c r="I7752" t="s">
        <v>48443</v>
      </c>
      <c r="J7752" t="s">
        <v>48444</v>
      </c>
      <c r="K7752" t="s">
        <v>48445</v>
      </c>
      <c r="L7752" t="s">
        <v>48439</v>
      </c>
    </row>
    <row r="7753" spans="1:12" x14ac:dyDescent="0.25">
      <c r="A7753">
        <v>1354756</v>
      </c>
      <c r="B7753">
        <v>1354773</v>
      </c>
      <c r="D7753">
        <v>0</v>
      </c>
      <c r="F7753">
        <v>1496659</v>
      </c>
      <c r="G7753">
        <v>1354773</v>
      </c>
      <c r="H7753" t="s">
        <v>2292</v>
      </c>
      <c r="I7753">
        <v>1354756</v>
      </c>
      <c r="J7753" t="s">
        <v>2292</v>
      </c>
      <c r="K7753" t="s">
        <v>48446</v>
      </c>
      <c r="L7753" t="s">
        <v>2292</v>
      </c>
    </row>
    <row r="7754" spans="1:12" x14ac:dyDescent="0.25">
      <c r="A7754">
        <v>1354756</v>
      </c>
      <c r="B7754">
        <v>1357264</v>
      </c>
      <c r="D7754">
        <v>0</v>
      </c>
      <c r="E7754" t="s">
        <v>48448</v>
      </c>
      <c r="F7754" t="s">
        <v>48449</v>
      </c>
      <c r="G7754" t="s">
        <v>48450</v>
      </c>
      <c r="H7754" t="e" vm="3352">
        <f>_FV(0,"030079841929765004")</f>
        <v>#VALUE!</v>
      </c>
      <c r="I7754" t="s">
        <v>48451</v>
      </c>
      <c r="J7754" t="s">
        <v>48452</v>
      </c>
      <c r="K7754" t="s">
        <v>48453</v>
      </c>
      <c r="L7754" t="s">
        <v>48447</v>
      </c>
    </row>
    <row r="7755" spans="1:12" x14ac:dyDescent="0.25">
      <c r="A7755">
        <v>1354773</v>
      </c>
      <c r="B7755">
        <v>1357271</v>
      </c>
      <c r="D7755">
        <v>0</v>
      </c>
      <c r="E7755" t="s">
        <v>48455</v>
      </c>
      <c r="F7755" t="s">
        <v>48456</v>
      </c>
      <c r="G7755" t="s">
        <v>48457</v>
      </c>
      <c r="H7755" t="s">
        <v>48458</v>
      </c>
      <c r="I7755" t="s">
        <v>48459</v>
      </c>
      <c r="J7755" t="s">
        <v>48460</v>
      </c>
      <c r="K7755" t="s">
        <v>48461</v>
      </c>
      <c r="L7755" t="s">
        <v>48454</v>
      </c>
    </row>
    <row r="7756" spans="1:12" x14ac:dyDescent="0.25">
      <c r="A7756">
        <v>1354816</v>
      </c>
      <c r="B7756">
        <v>1354817</v>
      </c>
      <c r="D7756">
        <v>0</v>
      </c>
      <c r="F7756">
        <v>1496708</v>
      </c>
      <c r="G7756">
        <v>1354817</v>
      </c>
      <c r="H7756" t="s">
        <v>697</v>
      </c>
      <c r="I7756">
        <v>1354816</v>
      </c>
      <c r="J7756" t="s">
        <v>697</v>
      </c>
      <c r="K7756" t="s">
        <v>48462</v>
      </c>
      <c r="L7756" t="s">
        <v>697</v>
      </c>
    </row>
    <row r="7757" spans="1:12" x14ac:dyDescent="0.25">
      <c r="A7757">
        <v>1354816</v>
      </c>
      <c r="B7757">
        <v>1354859</v>
      </c>
      <c r="D7757">
        <v>0</v>
      </c>
      <c r="E7757" t="s">
        <v>48463</v>
      </c>
      <c r="F7757" t="s">
        <v>48464</v>
      </c>
      <c r="G7757" t="s">
        <v>48465</v>
      </c>
      <c r="H7757" t="s">
        <v>48466</v>
      </c>
      <c r="I7757" t="s">
        <v>48467</v>
      </c>
      <c r="J7757" t="s">
        <v>38726</v>
      </c>
      <c r="K7757" t="s">
        <v>48468</v>
      </c>
      <c r="L7757" t="s">
        <v>38726</v>
      </c>
    </row>
    <row r="7758" spans="1:12" x14ac:dyDescent="0.25">
      <c r="A7758">
        <v>1354817</v>
      </c>
      <c r="B7758">
        <v>1354830</v>
      </c>
      <c r="D7758">
        <v>0</v>
      </c>
      <c r="F7758">
        <v>1496723</v>
      </c>
      <c r="G7758">
        <v>1354830</v>
      </c>
      <c r="H7758" t="s">
        <v>1333</v>
      </c>
      <c r="I7758">
        <v>1354817</v>
      </c>
      <c r="J7758" t="s">
        <v>1333</v>
      </c>
      <c r="K7758" t="s">
        <v>48469</v>
      </c>
      <c r="L7758" t="s">
        <v>1333</v>
      </c>
    </row>
    <row r="7759" spans="1:12" x14ac:dyDescent="0.25">
      <c r="A7759">
        <v>1354817</v>
      </c>
      <c r="B7759">
        <v>1363242</v>
      </c>
      <c r="D7759">
        <v>0</v>
      </c>
      <c r="E7759" t="s">
        <v>48471</v>
      </c>
      <c r="F7759" t="s">
        <v>48472</v>
      </c>
      <c r="G7759" t="s">
        <v>48473</v>
      </c>
      <c r="H7759" t="e" vm="3353">
        <f>_FV(0,"0026490080528422024")</f>
        <v>#VALUE!</v>
      </c>
      <c r="I7759" t="s">
        <v>48474</v>
      </c>
      <c r="J7759" t="s">
        <v>48475</v>
      </c>
      <c r="K7759" t="s">
        <v>48476</v>
      </c>
      <c r="L7759" t="s">
        <v>48470</v>
      </c>
    </row>
    <row r="7760" spans="1:12" x14ac:dyDescent="0.25">
      <c r="A7760">
        <v>1354830</v>
      </c>
      <c r="B7760">
        <v>1354835</v>
      </c>
      <c r="D7760">
        <v>0</v>
      </c>
      <c r="F7760">
        <v>1496730</v>
      </c>
      <c r="G7760">
        <v>1354835</v>
      </c>
      <c r="H7760" t="e" vm="131">
        <f>_FV(0,"012")</f>
        <v>#VALUE!</v>
      </c>
      <c r="I7760">
        <v>1354830</v>
      </c>
      <c r="J7760" t="s">
        <v>1939</v>
      </c>
      <c r="K7760" t="s">
        <v>48477</v>
      </c>
      <c r="L7760" t="e" vm="131">
        <f>_FV(0,"012")</f>
        <v>#VALUE!</v>
      </c>
    </row>
    <row r="7761" spans="1:12" x14ac:dyDescent="0.25">
      <c r="A7761">
        <v>1354830</v>
      </c>
      <c r="B7761">
        <v>1357251</v>
      </c>
      <c r="D7761">
        <v>0</v>
      </c>
      <c r="E7761" t="s">
        <v>48479</v>
      </c>
      <c r="F7761" t="s">
        <v>48480</v>
      </c>
      <c r="G7761" t="s">
        <v>48481</v>
      </c>
      <c r="H7761" t="e" vm="3354">
        <f>_FV(0,"02174034960054238")</f>
        <v>#VALUE!</v>
      </c>
      <c r="I7761" t="s">
        <v>48482</v>
      </c>
      <c r="J7761" t="s">
        <v>48483</v>
      </c>
      <c r="K7761" t="s">
        <v>48484</v>
      </c>
      <c r="L7761" t="s">
        <v>48478</v>
      </c>
    </row>
    <row r="7762" spans="1:12" x14ac:dyDescent="0.25">
      <c r="A7762">
        <v>1354835</v>
      </c>
      <c r="B7762">
        <v>1354848</v>
      </c>
      <c r="D7762">
        <v>0</v>
      </c>
      <c r="E7762" t="s">
        <v>48486</v>
      </c>
      <c r="F7762" t="s">
        <v>48487</v>
      </c>
      <c r="G7762" t="s">
        <v>48488</v>
      </c>
      <c r="H7762" t="e" vm="3355">
        <f>_FV(0,"016570419873769136")</f>
        <v>#VALUE!</v>
      </c>
      <c r="I7762" t="s">
        <v>48489</v>
      </c>
      <c r="J7762" t="s">
        <v>48490</v>
      </c>
      <c r="K7762" t="s">
        <v>48491</v>
      </c>
      <c r="L7762" t="s">
        <v>48485</v>
      </c>
    </row>
    <row r="7763" spans="1:12" x14ac:dyDescent="0.25">
      <c r="A7763">
        <v>1354835</v>
      </c>
      <c r="B7763">
        <v>1391983</v>
      </c>
      <c r="D7763">
        <v>0</v>
      </c>
      <c r="E7763" t="s">
        <v>48493</v>
      </c>
      <c r="F7763" t="s">
        <v>48494</v>
      </c>
      <c r="G7763" t="s">
        <v>48495</v>
      </c>
      <c r="H7763" t="e" vm="3356">
        <f>_FV(0,"01432289843641821")</f>
        <v>#VALUE!</v>
      </c>
      <c r="I7763" t="s">
        <v>48496</v>
      </c>
      <c r="J7763" t="s">
        <v>48497</v>
      </c>
      <c r="K7763" t="s">
        <v>48498</v>
      </c>
      <c r="L7763" t="s">
        <v>48492</v>
      </c>
    </row>
    <row r="7764" spans="1:12" x14ac:dyDescent="0.25">
      <c r="A7764">
        <v>1354848</v>
      </c>
      <c r="B7764">
        <v>1354859</v>
      </c>
      <c r="D7764">
        <v>0</v>
      </c>
      <c r="E7764" t="s">
        <v>48500</v>
      </c>
      <c r="F7764" t="s">
        <v>48501</v>
      </c>
      <c r="G7764" t="s">
        <v>48502</v>
      </c>
      <c r="H7764" t="e" vm="3357">
        <f>_FV(0,"005688398520899426")</f>
        <v>#VALUE!</v>
      </c>
      <c r="I7764" t="s">
        <v>48503</v>
      </c>
      <c r="J7764" t="s">
        <v>48504</v>
      </c>
      <c r="K7764" t="s">
        <v>48505</v>
      </c>
      <c r="L7764" t="s">
        <v>48499</v>
      </c>
    </row>
    <row r="7765" spans="1:12" x14ac:dyDescent="0.25">
      <c r="A7765">
        <v>1354848</v>
      </c>
      <c r="B7765">
        <v>1355006</v>
      </c>
      <c r="D7765">
        <v>0</v>
      </c>
      <c r="E7765" t="s">
        <v>48507</v>
      </c>
      <c r="F7765" t="s">
        <v>48508</v>
      </c>
      <c r="G7765" t="s">
        <v>48509</v>
      </c>
      <c r="H7765" t="e" vm="3358">
        <f>_FV(0,"029325879846188813")</f>
        <v>#VALUE!</v>
      </c>
      <c r="I7765" t="s">
        <v>48510</v>
      </c>
      <c r="J7765" t="s">
        <v>48511</v>
      </c>
      <c r="K7765" t="s">
        <v>48512</v>
      </c>
      <c r="L7765" t="s">
        <v>48506</v>
      </c>
    </row>
    <row r="7766" spans="1:12" x14ac:dyDescent="0.25">
      <c r="A7766">
        <v>1354917</v>
      </c>
      <c r="B7766">
        <v>1355006</v>
      </c>
      <c r="D7766">
        <v>0</v>
      </c>
      <c r="E7766" t="s">
        <v>48514</v>
      </c>
      <c r="F7766" t="s">
        <v>48515</v>
      </c>
      <c r="G7766" t="s">
        <v>48516</v>
      </c>
      <c r="H7766" t="s">
        <v>48517</v>
      </c>
      <c r="I7766" t="s">
        <v>48518</v>
      </c>
      <c r="J7766" t="s">
        <v>27978</v>
      </c>
      <c r="K7766" t="s">
        <v>48519</v>
      </c>
      <c r="L7766" t="s">
        <v>48513</v>
      </c>
    </row>
    <row r="7767" spans="1:12" x14ac:dyDescent="0.25">
      <c r="A7767">
        <v>1354917</v>
      </c>
      <c r="B7767">
        <v>1391983</v>
      </c>
      <c r="D7767">
        <v>0</v>
      </c>
      <c r="E7767" t="s">
        <v>48521</v>
      </c>
      <c r="F7767" t="s">
        <v>48522</v>
      </c>
      <c r="G7767" t="s">
        <v>48523</v>
      </c>
      <c r="H7767" t="e" vm="3359">
        <f>_FV(0,"04267484232327053")</f>
        <v>#VALUE!</v>
      </c>
      <c r="I7767" t="s">
        <v>48524</v>
      </c>
      <c r="J7767" t="s">
        <v>48525</v>
      </c>
      <c r="K7767" t="s">
        <v>48526</v>
      </c>
      <c r="L7767" t="s">
        <v>48520</v>
      </c>
    </row>
    <row r="7768" spans="1:12" x14ac:dyDescent="0.25">
      <c r="A7768">
        <v>1355042</v>
      </c>
      <c r="B7768">
        <v>1355067</v>
      </c>
      <c r="D7768">
        <v>0</v>
      </c>
      <c r="E7768" t="s">
        <v>48528</v>
      </c>
      <c r="F7768" t="s">
        <v>48529</v>
      </c>
      <c r="G7768" t="s">
        <v>48530</v>
      </c>
      <c r="H7768" t="e" vm="3360">
        <f>_FV(0,"00402870903436406")</f>
        <v>#VALUE!</v>
      </c>
      <c r="I7768" t="s">
        <v>48531</v>
      </c>
      <c r="J7768" t="s">
        <v>48532</v>
      </c>
      <c r="K7768" t="s">
        <v>48533</v>
      </c>
      <c r="L7768" t="s">
        <v>48527</v>
      </c>
    </row>
    <row r="7769" spans="1:12" x14ac:dyDescent="0.25">
      <c r="A7769">
        <v>1355107</v>
      </c>
      <c r="B7769">
        <v>1355108</v>
      </c>
      <c r="D7769">
        <v>0</v>
      </c>
      <c r="F7769">
        <v>1497026</v>
      </c>
      <c r="G7769">
        <v>1355108</v>
      </c>
      <c r="H7769" t="e" vm="109">
        <f>_FV(0,"01")</f>
        <v>#VALUE!</v>
      </c>
      <c r="I7769">
        <v>1355107</v>
      </c>
      <c r="J7769" t="s">
        <v>761</v>
      </c>
      <c r="K7769" t="s">
        <v>48534</v>
      </c>
      <c r="L7769" t="e" vm="109">
        <f>_FV(0,"01")</f>
        <v>#VALUE!</v>
      </c>
    </row>
    <row r="7770" spans="1:12" x14ac:dyDescent="0.25">
      <c r="A7770">
        <v>1355107</v>
      </c>
      <c r="B7770">
        <v>1355183</v>
      </c>
      <c r="D7770">
        <v>0</v>
      </c>
      <c r="E7770" t="s">
        <v>48536</v>
      </c>
      <c r="F7770" t="s">
        <v>48537</v>
      </c>
      <c r="G7770" t="s">
        <v>48538</v>
      </c>
      <c r="H7770" t="e" vm="3361">
        <f>_FV(0,"013500330965825702")</f>
        <v>#VALUE!</v>
      </c>
      <c r="I7770" t="s">
        <v>48539</v>
      </c>
      <c r="J7770" t="s">
        <v>739</v>
      </c>
      <c r="K7770" t="s">
        <v>48540</v>
      </c>
      <c r="L7770" t="s">
        <v>48535</v>
      </c>
    </row>
    <row r="7771" spans="1:12" x14ac:dyDescent="0.25">
      <c r="A7771">
        <v>1355107</v>
      </c>
      <c r="B7771">
        <v>1390107</v>
      </c>
      <c r="D7771">
        <v>0</v>
      </c>
      <c r="E7771" t="s">
        <v>48541</v>
      </c>
      <c r="F7771" t="s">
        <v>48542</v>
      </c>
      <c r="G7771" t="s">
        <v>48543</v>
      </c>
      <c r="H7771" t="e" vm="3362">
        <f>_FV(0,"008670412153031144")</f>
        <v>#VALUE!</v>
      </c>
      <c r="I7771" t="s">
        <v>48544</v>
      </c>
      <c r="J7771" t="s">
        <v>6029</v>
      </c>
      <c r="K7771" t="s">
        <v>48545</v>
      </c>
      <c r="L7771" t="s">
        <v>6024</v>
      </c>
    </row>
    <row r="7772" spans="1:12" x14ac:dyDescent="0.25">
      <c r="A7772">
        <v>1355108</v>
      </c>
      <c r="B7772">
        <v>1355133</v>
      </c>
      <c r="D7772">
        <v>0</v>
      </c>
      <c r="E7772" t="s">
        <v>48547</v>
      </c>
      <c r="F7772" t="s">
        <v>48548</v>
      </c>
      <c r="G7772" t="s">
        <v>48549</v>
      </c>
      <c r="H7772" t="s">
        <v>48550</v>
      </c>
      <c r="I7772" t="s">
        <v>48551</v>
      </c>
      <c r="J7772" t="s">
        <v>48546</v>
      </c>
      <c r="K7772" t="s">
        <v>48552</v>
      </c>
      <c r="L7772" t="s">
        <v>48546</v>
      </c>
    </row>
    <row r="7773" spans="1:12" x14ac:dyDescent="0.25">
      <c r="A7773">
        <v>1355133</v>
      </c>
      <c r="B7773">
        <v>1355183</v>
      </c>
      <c r="D7773">
        <v>0</v>
      </c>
      <c r="E7773" t="s">
        <v>48554</v>
      </c>
      <c r="F7773" t="s">
        <v>48555</v>
      </c>
      <c r="G7773" t="s">
        <v>48556</v>
      </c>
      <c r="H7773" t="s">
        <v>48557</v>
      </c>
      <c r="I7773" t="s">
        <v>48558</v>
      </c>
      <c r="J7773" t="s">
        <v>48559</v>
      </c>
      <c r="K7773" t="s">
        <v>48560</v>
      </c>
      <c r="L7773" t="s">
        <v>48553</v>
      </c>
    </row>
    <row r="7774" spans="1:12" x14ac:dyDescent="0.25">
      <c r="A7774">
        <v>1355183</v>
      </c>
      <c r="B7774">
        <v>1390107</v>
      </c>
      <c r="D7774">
        <v>0</v>
      </c>
      <c r="E7774" t="s">
        <v>48561</v>
      </c>
      <c r="F7774" t="s">
        <v>48562</v>
      </c>
      <c r="G7774" t="s">
        <v>48563</v>
      </c>
      <c r="H7774" t="e" vm="3363">
        <f>_FV(0,"002728932846815193")</f>
        <v>#VALUE!</v>
      </c>
      <c r="I7774" t="s">
        <v>48564</v>
      </c>
      <c r="J7774" t="s">
        <v>1829</v>
      </c>
      <c r="K7774" t="s">
        <v>48565</v>
      </c>
      <c r="L7774" t="s">
        <v>1823</v>
      </c>
    </row>
    <row r="7775" spans="1:12" x14ac:dyDescent="0.25">
      <c r="A7775">
        <v>1356102</v>
      </c>
      <c r="B7775">
        <v>1356103</v>
      </c>
      <c r="D7775">
        <v>0</v>
      </c>
      <c r="F7775">
        <v>1501145</v>
      </c>
      <c r="G7775">
        <v>1356102</v>
      </c>
      <c r="H7775" t="s">
        <v>1534</v>
      </c>
      <c r="I7775">
        <v>1356103</v>
      </c>
      <c r="J7775" t="s">
        <v>1534</v>
      </c>
      <c r="K7775" t="s">
        <v>48566</v>
      </c>
      <c r="L7775" t="s">
        <v>1534</v>
      </c>
    </row>
    <row r="7776" spans="1:12" x14ac:dyDescent="0.25">
      <c r="A7776">
        <v>1356102</v>
      </c>
      <c r="B7776">
        <v>1363690</v>
      </c>
      <c r="D7776">
        <v>0</v>
      </c>
      <c r="E7776" t="s">
        <v>48568</v>
      </c>
      <c r="F7776" t="s">
        <v>48569</v>
      </c>
      <c r="G7776" t="s">
        <v>48570</v>
      </c>
      <c r="H7776" t="e" vm="3364">
        <f>_FV(0,"015894436189693703")</f>
        <v>#VALUE!</v>
      </c>
      <c r="I7776" t="s">
        <v>48571</v>
      </c>
      <c r="J7776" t="s">
        <v>48572</v>
      </c>
      <c r="K7776" t="s">
        <v>48573</v>
      </c>
      <c r="L7776" t="s">
        <v>48567</v>
      </c>
    </row>
    <row r="7777" spans="1:12" x14ac:dyDescent="0.25">
      <c r="A7777">
        <v>1356103</v>
      </c>
      <c r="B7777">
        <v>1356131</v>
      </c>
      <c r="D7777">
        <v>0</v>
      </c>
      <c r="F7777">
        <v>1501141</v>
      </c>
      <c r="G7777">
        <v>1356103</v>
      </c>
      <c r="H7777" t="s">
        <v>4331</v>
      </c>
      <c r="I7777">
        <v>1356131</v>
      </c>
      <c r="J7777" t="s">
        <v>4331</v>
      </c>
      <c r="K7777" t="s">
        <v>48574</v>
      </c>
      <c r="L7777" t="s">
        <v>4331</v>
      </c>
    </row>
    <row r="7778" spans="1:12" x14ac:dyDescent="0.25">
      <c r="A7778">
        <v>1356131</v>
      </c>
      <c r="B7778">
        <v>1362035</v>
      </c>
      <c r="D7778">
        <v>0</v>
      </c>
      <c r="E7778" t="s">
        <v>48576</v>
      </c>
      <c r="F7778" t="s">
        <v>48577</v>
      </c>
      <c r="G7778" t="s">
        <v>48578</v>
      </c>
      <c r="H7778" t="s">
        <v>48579</v>
      </c>
      <c r="I7778" t="s">
        <v>48580</v>
      </c>
      <c r="J7778" t="s">
        <v>48581</v>
      </c>
      <c r="K7778" t="s">
        <v>48582</v>
      </c>
      <c r="L7778" t="s">
        <v>48575</v>
      </c>
    </row>
    <row r="7779" spans="1:12" x14ac:dyDescent="0.25">
      <c r="A7779">
        <v>1356177</v>
      </c>
      <c r="B7779">
        <v>1357883</v>
      </c>
      <c r="D7779">
        <v>0</v>
      </c>
      <c r="F7779">
        <v>1500926</v>
      </c>
      <c r="G7779">
        <v>1357883</v>
      </c>
      <c r="H7779" t="e" vm="498">
        <f>_FV(0,"037")</f>
        <v>#VALUE!</v>
      </c>
      <c r="I7779">
        <v>1356177</v>
      </c>
      <c r="J7779" t="s">
        <v>1589</v>
      </c>
      <c r="K7779" t="s">
        <v>48583</v>
      </c>
      <c r="L7779" t="e" vm="498">
        <f>_FV(0,"037")</f>
        <v>#VALUE!</v>
      </c>
    </row>
    <row r="7780" spans="1:12" x14ac:dyDescent="0.25">
      <c r="A7780">
        <v>1356177</v>
      </c>
      <c r="B7780">
        <v>1356207</v>
      </c>
      <c r="D7780">
        <v>0</v>
      </c>
      <c r="F7780">
        <v>1500919</v>
      </c>
      <c r="G7780">
        <v>1356177</v>
      </c>
      <c r="H7780" t="e" vm="632">
        <f>_FV(0,"035")</f>
        <v>#VALUE!</v>
      </c>
      <c r="I7780">
        <v>1356207</v>
      </c>
      <c r="J7780" t="s">
        <v>7225</v>
      </c>
      <c r="K7780" t="s">
        <v>48584</v>
      </c>
      <c r="L7780" t="e" vm="632">
        <f>_FV(0,"035")</f>
        <v>#VALUE!</v>
      </c>
    </row>
    <row r="7781" spans="1:12" x14ac:dyDescent="0.25">
      <c r="A7781">
        <v>1356177</v>
      </c>
      <c r="B7781">
        <v>1361335</v>
      </c>
      <c r="D7781">
        <v>0</v>
      </c>
      <c r="E7781" t="s">
        <v>48586</v>
      </c>
      <c r="F7781" t="s">
        <v>48587</v>
      </c>
      <c r="G7781" t="s">
        <v>48588</v>
      </c>
      <c r="H7781" t="s">
        <v>48589</v>
      </c>
      <c r="I7781" t="s">
        <v>48590</v>
      </c>
      <c r="J7781" t="s">
        <v>48591</v>
      </c>
      <c r="K7781" t="s">
        <v>48592</v>
      </c>
      <c r="L7781" t="s">
        <v>48585</v>
      </c>
    </row>
    <row r="7782" spans="1:12" x14ac:dyDescent="0.25">
      <c r="A7782">
        <v>1356185</v>
      </c>
      <c r="B7782">
        <v>1357805</v>
      </c>
      <c r="D7782">
        <v>0</v>
      </c>
      <c r="E7782" t="s">
        <v>48594</v>
      </c>
      <c r="F7782" t="s">
        <v>48595</v>
      </c>
      <c r="G7782" t="s">
        <v>48596</v>
      </c>
      <c r="H7782" t="e" vm="3365">
        <f>_FV(0,"011317065650812676")</f>
        <v>#VALUE!</v>
      </c>
      <c r="I7782" t="s">
        <v>48597</v>
      </c>
      <c r="J7782" t="s">
        <v>48598</v>
      </c>
      <c r="K7782" t="s">
        <v>48599</v>
      </c>
      <c r="L7782" t="s">
        <v>48593</v>
      </c>
    </row>
    <row r="7783" spans="1:12" x14ac:dyDescent="0.25">
      <c r="A7783">
        <v>1356185</v>
      </c>
      <c r="B7783">
        <v>1356192</v>
      </c>
      <c r="D7783">
        <v>0</v>
      </c>
      <c r="F7783">
        <v>1500823</v>
      </c>
      <c r="G7783">
        <v>1356185</v>
      </c>
      <c r="H7783" t="s">
        <v>19420</v>
      </c>
      <c r="I7783">
        <v>1356192</v>
      </c>
      <c r="J7783" t="s">
        <v>19420</v>
      </c>
      <c r="K7783" t="s">
        <v>48600</v>
      </c>
      <c r="L7783" t="s">
        <v>19420</v>
      </c>
    </row>
    <row r="7784" spans="1:12" x14ac:dyDescent="0.25">
      <c r="A7784">
        <v>1356185</v>
      </c>
      <c r="B7784">
        <v>1363745</v>
      </c>
      <c r="D7784">
        <v>0</v>
      </c>
      <c r="E7784" t="s">
        <v>48602</v>
      </c>
      <c r="F7784" t="s">
        <v>48603</v>
      </c>
      <c r="G7784" t="s">
        <v>48604</v>
      </c>
      <c r="H7784" t="s">
        <v>48605</v>
      </c>
      <c r="I7784" t="s">
        <v>48606</v>
      </c>
      <c r="J7784" t="s">
        <v>48601</v>
      </c>
      <c r="K7784" t="s">
        <v>48607</v>
      </c>
      <c r="L7784" t="s">
        <v>48601</v>
      </c>
    </row>
    <row r="7785" spans="1:12" x14ac:dyDescent="0.25">
      <c r="A7785">
        <v>1356190</v>
      </c>
      <c r="B7785">
        <v>1356191</v>
      </c>
      <c r="D7785">
        <v>1</v>
      </c>
      <c r="F7785">
        <v>1498317</v>
      </c>
      <c r="G7785">
        <v>1356191</v>
      </c>
      <c r="H7785" t="e" vm="493">
        <f>_FV(0,"025")</f>
        <v>#VALUE!</v>
      </c>
      <c r="I7785">
        <v>1356190</v>
      </c>
      <c r="J7785" t="s">
        <v>899</v>
      </c>
      <c r="K7785" t="s">
        <v>48608</v>
      </c>
      <c r="L7785" t="e" vm="493">
        <f>_FV(0,"025")</f>
        <v>#VALUE!</v>
      </c>
    </row>
    <row r="7786" spans="1:12" x14ac:dyDescent="0.25">
      <c r="A7786">
        <v>1356190</v>
      </c>
      <c r="B7786">
        <v>1357805</v>
      </c>
      <c r="D7786">
        <v>0</v>
      </c>
      <c r="E7786" t="s">
        <v>48610</v>
      </c>
      <c r="F7786" t="s">
        <v>48611</v>
      </c>
      <c r="G7786" t="s">
        <v>48612</v>
      </c>
      <c r="H7786" t="e" vm="3366">
        <f>_FV(0,"05512999150013556")</f>
        <v>#VALUE!</v>
      </c>
      <c r="I7786" t="s">
        <v>48613</v>
      </c>
      <c r="J7786" t="s">
        <v>48614</v>
      </c>
      <c r="K7786" t="s">
        <v>48615</v>
      </c>
      <c r="L7786" t="s">
        <v>48609</v>
      </c>
    </row>
    <row r="7787" spans="1:12" x14ac:dyDescent="0.25">
      <c r="A7787">
        <v>1356190</v>
      </c>
      <c r="B7787">
        <v>1357811</v>
      </c>
      <c r="D7787">
        <v>0</v>
      </c>
      <c r="E7787" t="s">
        <v>48617</v>
      </c>
      <c r="F7787" t="s">
        <v>48618</v>
      </c>
      <c r="G7787" t="s">
        <v>48619</v>
      </c>
      <c r="H7787" t="e" vm="3367">
        <f>_FV(0,"03509302605849312")</f>
        <v>#VALUE!</v>
      </c>
      <c r="I7787" t="s">
        <v>48620</v>
      </c>
      <c r="J7787" t="s">
        <v>48621</v>
      </c>
      <c r="K7787" t="s">
        <v>48622</v>
      </c>
      <c r="L7787" t="s">
        <v>48616</v>
      </c>
    </row>
    <row r="7788" spans="1:12" x14ac:dyDescent="0.25">
      <c r="A7788">
        <v>1356191</v>
      </c>
      <c r="B7788">
        <v>1357826</v>
      </c>
      <c r="D7788">
        <v>0</v>
      </c>
      <c r="E7788" t="s">
        <v>48624</v>
      </c>
      <c r="F7788" t="s">
        <v>48625</v>
      </c>
      <c r="G7788" t="s">
        <v>48626</v>
      </c>
      <c r="H7788" t="e" vm="3368">
        <f>_FV(0,"0034571885547030642")</f>
        <v>#VALUE!</v>
      </c>
      <c r="I7788" t="s">
        <v>48627</v>
      </c>
      <c r="J7788" t="s">
        <v>48628</v>
      </c>
      <c r="K7788" t="s">
        <v>48629</v>
      </c>
      <c r="L7788" t="s">
        <v>48623</v>
      </c>
    </row>
    <row r="7789" spans="1:12" x14ac:dyDescent="0.25">
      <c r="A7789">
        <v>1356191</v>
      </c>
      <c r="B7789">
        <v>1357883</v>
      </c>
      <c r="D7789">
        <v>0</v>
      </c>
      <c r="E7789" t="s">
        <v>48631</v>
      </c>
      <c r="F7789" t="s">
        <v>48632</v>
      </c>
      <c r="G7789" t="s">
        <v>48633</v>
      </c>
      <c r="H7789" t="s">
        <v>48634</v>
      </c>
      <c r="I7789" t="s">
        <v>48635</v>
      </c>
      <c r="J7789" t="s">
        <v>48630</v>
      </c>
      <c r="K7789" t="s">
        <v>48636</v>
      </c>
      <c r="L7789" t="s">
        <v>48630</v>
      </c>
    </row>
    <row r="7790" spans="1:12" x14ac:dyDescent="0.25">
      <c r="A7790">
        <v>1356192</v>
      </c>
      <c r="B7790">
        <v>1363794</v>
      </c>
      <c r="D7790">
        <v>0</v>
      </c>
      <c r="E7790" t="s">
        <v>48638</v>
      </c>
      <c r="F7790" t="s">
        <v>48639</v>
      </c>
      <c r="G7790" t="s">
        <v>48640</v>
      </c>
      <c r="H7790" t="e" vm="3369">
        <f>_FV(0,"03792402021783397")</f>
        <v>#VALUE!</v>
      </c>
      <c r="I7790" t="s">
        <v>48641</v>
      </c>
      <c r="J7790" t="s">
        <v>48642</v>
      </c>
      <c r="K7790" t="s">
        <v>48643</v>
      </c>
      <c r="L7790" t="s">
        <v>48637</v>
      </c>
    </row>
    <row r="7791" spans="1:12" x14ac:dyDescent="0.25">
      <c r="A7791">
        <v>1356192</v>
      </c>
      <c r="B7791">
        <v>1357811</v>
      </c>
      <c r="D7791">
        <v>0</v>
      </c>
      <c r="F7791">
        <v>1500815</v>
      </c>
      <c r="G7791">
        <v>1356192</v>
      </c>
      <c r="H7791" t="s">
        <v>1783</v>
      </c>
      <c r="I7791">
        <v>1357811</v>
      </c>
      <c r="J7791" t="s">
        <v>1783</v>
      </c>
      <c r="K7791" t="s">
        <v>48644</v>
      </c>
      <c r="L7791" t="s">
        <v>1783</v>
      </c>
    </row>
    <row r="7792" spans="1:12" x14ac:dyDescent="0.25">
      <c r="A7792">
        <v>1356207</v>
      </c>
      <c r="B7792">
        <v>1361383</v>
      </c>
      <c r="D7792">
        <v>0</v>
      </c>
      <c r="E7792" t="s">
        <v>48646</v>
      </c>
      <c r="F7792" t="s">
        <v>48647</v>
      </c>
      <c r="G7792" t="s">
        <v>48648</v>
      </c>
      <c r="H7792" t="s">
        <v>48649</v>
      </c>
      <c r="I7792" t="s">
        <v>48650</v>
      </c>
      <c r="J7792" t="s">
        <v>48651</v>
      </c>
      <c r="K7792" t="s">
        <v>48652</v>
      </c>
      <c r="L7792" t="s">
        <v>48645</v>
      </c>
    </row>
    <row r="7793" spans="1:12" x14ac:dyDescent="0.25">
      <c r="A7793">
        <v>1356207</v>
      </c>
      <c r="B7793">
        <v>1357826</v>
      </c>
      <c r="D7793">
        <v>0</v>
      </c>
      <c r="E7793" t="s">
        <v>48654</v>
      </c>
      <c r="F7793" t="s">
        <v>48655</v>
      </c>
      <c r="G7793" t="s">
        <v>48656</v>
      </c>
      <c r="H7793" t="s">
        <v>48657</v>
      </c>
      <c r="I7793" t="s">
        <v>48658</v>
      </c>
      <c r="J7793" t="s">
        <v>48659</v>
      </c>
      <c r="K7793" t="s">
        <v>48660</v>
      </c>
      <c r="L7793" t="s">
        <v>48653</v>
      </c>
    </row>
    <row r="7794" spans="1:12" x14ac:dyDescent="0.25">
      <c r="A7794">
        <v>1356237</v>
      </c>
      <c r="B7794">
        <v>1357967</v>
      </c>
      <c r="D7794">
        <v>0</v>
      </c>
      <c r="E7794" t="s">
        <v>48662</v>
      </c>
      <c r="F7794" t="s">
        <v>48663</v>
      </c>
      <c r="G7794" t="s">
        <v>48664</v>
      </c>
      <c r="H7794" t="s">
        <v>48665</v>
      </c>
      <c r="I7794" t="s">
        <v>48666</v>
      </c>
      <c r="J7794" t="s">
        <v>48667</v>
      </c>
      <c r="K7794" t="s">
        <v>48668</v>
      </c>
      <c r="L7794" t="s">
        <v>48661</v>
      </c>
    </row>
    <row r="7795" spans="1:12" x14ac:dyDescent="0.25">
      <c r="A7795">
        <v>1356237</v>
      </c>
      <c r="B7795">
        <v>1356350</v>
      </c>
      <c r="D7795">
        <v>0</v>
      </c>
      <c r="F7795">
        <v>1501073</v>
      </c>
      <c r="G7795">
        <v>1356237</v>
      </c>
      <c r="H7795" t="s">
        <v>4848</v>
      </c>
      <c r="I7795">
        <v>1356350</v>
      </c>
      <c r="J7795" t="s">
        <v>4848</v>
      </c>
      <c r="K7795" t="s">
        <v>48669</v>
      </c>
      <c r="L7795" t="s">
        <v>4848</v>
      </c>
    </row>
    <row r="7796" spans="1:12" x14ac:dyDescent="0.25">
      <c r="A7796">
        <v>1356237</v>
      </c>
      <c r="B7796">
        <v>1361411</v>
      </c>
      <c r="D7796">
        <v>0</v>
      </c>
      <c r="E7796" t="s">
        <v>48671</v>
      </c>
      <c r="F7796" t="s">
        <v>48672</v>
      </c>
      <c r="G7796" t="s">
        <v>48673</v>
      </c>
      <c r="H7796" t="s">
        <v>48674</v>
      </c>
      <c r="I7796" t="s">
        <v>48675</v>
      </c>
      <c r="J7796" t="s">
        <v>48676</v>
      </c>
      <c r="K7796" t="s">
        <v>48677</v>
      </c>
      <c r="L7796" t="s">
        <v>48670</v>
      </c>
    </row>
    <row r="7797" spans="1:12" x14ac:dyDescent="0.25">
      <c r="A7797">
        <v>1356298</v>
      </c>
      <c r="B7797">
        <v>1356315</v>
      </c>
      <c r="D7797">
        <v>0</v>
      </c>
      <c r="E7797" t="s">
        <v>48679</v>
      </c>
      <c r="F7797" t="s">
        <v>48680</v>
      </c>
      <c r="G7797" t="s">
        <v>48681</v>
      </c>
      <c r="H7797" t="s">
        <v>48682</v>
      </c>
      <c r="I7797" t="s">
        <v>48683</v>
      </c>
      <c r="J7797" t="s">
        <v>48684</v>
      </c>
      <c r="K7797" t="s">
        <v>48685</v>
      </c>
      <c r="L7797" t="s">
        <v>48678</v>
      </c>
    </row>
    <row r="7798" spans="1:12" x14ac:dyDescent="0.25">
      <c r="A7798">
        <v>1356298</v>
      </c>
      <c r="B7798">
        <v>1357949</v>
      </c>
      <c r="D7798">
        <v>0</v>
      </c>
      <c r="F7798">
        <v>1501057</v>
      </c>
      <c r="G7798">
        <v>1356298</v>
      </c>
      <c r="H7798" t="s">
        <v>2916</v>
      </c>
      <c r="I7798">
        <v>1357949</v>
      </c>
      <c r="J7798" t="s">
        <v>2916</v>
      </c>
      <c r="K7798" t="s">
        <v>48686</v>
      </c>
      <c r="L7798" t="s">
        <v>2916</v>
      </c>
    </row>
    <row r="7799" spans="1:12" x14ac:dyDescent="0.25">
      <c r="A7799">
        <v>1356298</v>
      </c>
      <c r="B7799">
        <v>1363807</v>
      </c>
      <c r="D7799">
        <v>0</v>
      </c>
      <c r="E7799" t="s">
        <v>48688</v>
      </c>
      <c r="F7799" t="s">
        <v>48689</v>
      </c>
      <c r="G7799" t="s">
        <v>48690</v>
      </c>
      <c r="H7799" t="s">
        <v>48691</v>
      </c>
      <c r="I7799" t="s">
        <v>48692</v>
      </c>
      <c r="J7799" t="s">
        <v>48687</v>
      </c>
      <c r="K7799" t="s">
        <v>48693</v>
      </c>
      <c r="L7799" t="s">
        <v>48687</v>
      </c>
    </row>
    <row r="7800" spans="1:12" x14ac:dyDescent="0.25">
      <c r="A7800">
        <v>1356305</v>
      </c>
      <c r="B7800">
        <v>1356309</v>
      </c>
      <c r="D7800" t="s">
        <v>1839</v>
      </c>
      <c r="E7800" t="s">
        <v>48695</v>
      </c>
      <c r="F7800" t="s">
        <v>48696</v>
      </c>
      <c r="G7800" t="s">
        <v>48697</v>
      </c>
      <c r="H7800" t="s">
        <v>48698</v>
      </c>
      <c r="I7800" t="s">
        <v>48699</v>
      </c>
      <c r="J7800" t="s">
        <v>48694</v>
      </c>
      <c r="K7800" t="s">
        <v>48700</v>
      </c>
      <c r="L7800" t="s">
        <v>48694</v>
      </c>
    </row>
    <row r="7801" spans="1:12" x14ac:dyDescent="0.25">
      <c r="A7801">
        <v>1356305</v>
      </c>
      <c r="B7801">
        <v>1357942</v>
      </c>
      <c r="D7801">
        <v>0</v>
      </c>
      <c r="E7801" t="s">
        <v>48702</v>
      </c>
      <c r="F7801" t="s">
        <v>48703</v>
      </c>
      <c r="G7801" t="s">
        <v>48704</v>
      </c>
      <c r="H7801" t="e" vm="3370">
        <f>_FV(0,"10227544204160549")</f>
        <v>#VALUE!</v>
      </c>
      <c r="I7801" t="s">
        <v>48705</v>
      </c>
      <c r="J7801" t="s">
        <v>48706</v>
      </c>
      <c r="K7801" t="s">
        <v>48707</v>
      </c>
      <c r="L7801" t="s">
        <v>48701</v>
      </c>
    </row>
    <row r="7802" spans="1:12" x14ac:dyDescent="0.25">
      <c r="A7802">
        <v>1356305</v>
      </c>
      <c r="B7802">
        <v>1357949</v>
      </c>
      <c r="D7802">
        <v>0</v>
      </c>
      <c r="E7802" t="s">
        <v>48709</v>
      </c>
      <c r="F7802" t="s">
        <v>48710</v>
      </c>
      <c r="G7802" t="s">
        <v>48711</v>
      </c>
      <c r="H7802" t="e" vm="3371">
        <f>_FV(0,"10329483168587497")</f>
        <v>#VALUE!</v>
      </c>
      <c r="I7802" t="s">
        <v>48712</v>
      </c>
      <c r="J7802" t="s">
        <v>48713</v>
      </c>
      <c r="K7802" t="s">
        <v>48714</v>
      </c>
      <c r="L7802" t="s">
        <v>48708</v>
      </c>
    </row>
    <row r="7803" spans="1:12" x14ac:dyDescent="0.25">
      <c r="A7803">
        <v>1356309</v>
      </c>
      <c r="B7803">
        <v>1357957</v>
      </c>
      <c r="D7803">
        <v>0</v>
      </c>
      <c r="E7803" t="s">
        <v>48715</v>
      </c>
      <c r="F7803" t="s">
        <v>48716</v>
      </c>
      <c r="G7803" t="s">
        <v>48717</v>
      </c>
      <c r="H7803" t="s">
        <v>48718</v>
      </c>
      <c r="I7803" t="s">
        <v>48719</v>
      </c>
      <c r="J7803" t="s">
        <v>1281</v>
      </c>
      <c r="K7803" t="s">
        <v>48720</v>
      </c>
      <c r="L7803" t="s">
        <v>1281</v>
      </c>
    </row>
    <row r="7804" spans="1:12" x14ac:dyDescent="0.25">
      <c r="A7804">
        <v>1356309</v>
      </c>
      <c r="B7804">
        <v>1357967</v>
      </c>
      <c r="D7804">
        <v>0</v>
      </c>
      <c r="E7804" t="s">
        <v>48722</v>
      </c>
      <c r="F7804" t="s">
        <v>48723</v>
      </c>
      <c r="G7804" t="s">
        <v>48724</v>
      </c>
      <c r="H7804" t="s">
        <v>48725</v>
      </c>
      <c r="I7804" t="s">
        <v>48726</v>
      </c>
      <c r="J7804" t="s">
        <v>48721</v>
      </c>
      <c r="K7804" t="s">
        <v>48727</v>
      </c>
      <c r="L7804" t="s">
        <v>48721</v>
      </c>
    </row>
    <row r="7805" spans="1:12" x14ac:dyDescent="0.25">
      <c r="A7805">
        <v>1356315</v>
      </c>
      <c r="B7805">
        <v>1357942</v>
      </c>
      <c r="D7805">
        <v>0</v>
      </c>
      <c r="F7805">
        <v>1501026</v>
      </c>
      <c r="G7805">
        <v>1357942</v>
      </c>
      <c r="H7805" t="e" vm="298">
        <f>_FV(0,"044")</f>
        <v>#VALUE!</v>
      </c>
      <c r="I7805">
        <v>1356315</v>
      </c>
      <c r="J7805" t="s">
        <v>4331</v>
      </c>
      <c r="K7805" t="s">
        <v>48728</v>
      </c>
      <c r="L7805" t="e" vm="298">
        <f>_FV(0,"044")</f>
        <v>#VALUE!</v>
      </c>
    </row>
    <row r="7806" spans="1:12" x14ac:dyDescent="0.25">
      <c r="A7806">
        <v>1356315</v>
      </c>
      <c r="B7806">
        <v>1364700</v>
      </c>
      <c r="D7806">
        <v>0</v>
      </c>
      <c r="E7806" t="s">
        <v>48730</v>
      </c>
      <c r="F7806" t="s">
        <v>48731</v>
      </c>
      <c r="G7806" t="s">
        <v>48732</v>
      </c>
      <c r="H7806" t="e" vm="3372">
        <f>_FV(0,"014214102951710049")</f>
        <v>#VALUE!</v>
      </c>
      <c r="I7806" t="s">
        <v>48733</v>
      </c>
      <c r="J7806" t="s">
        <v>48734</v>
      </c>
      <c r="K7806" t="s">
        <v>48735</v>
      </c>
      <c r="L7806" t="s">
        <v>48729</v>
      </c>
    </row>
    <row r="7807" spans="1:12" x14ac:dyDescent="0.25">
      <c r="A7807">
        <v>1356350</v>
      </c>
      <c r="B7807">
        <v>1361508</v>
      </c>
      <c r="D7807">
        <v>0</v>
      </c>
      <c r="E7807" t="s">
        <v>48737</v>
      </c>
      <c r="F7807" t="s">
        <v>48738</v>
      </c>
      <c r="G7807" t="s">
        <v>48739</v>
      </c>
      <c r="H7807" t="e" vm="3373">
        <f>_FV(0,"014963314137606104")</f>
        <v>#VALUE!</v>
      </c>
      <c r="I7807" t="s">
        <v>48740</v>
      </c>
      <c r="J7807" t="s">
        <v>48741</v>
      </c>
      <c r="K7807" t="s">
        <v>48742</v>
      </c>
      <c r="L7807" t="s">
        <v>48736</v>
      </c>
    </row>
    <row r="7808" spans="1:12" x14ac:dyDescent="0.25">
      <c r="A7808">
        <v>1356350</v>
      </c>
      <c r="B7808">
        <v>1357957</v>
      </c>
      <c r="D7808">
        <v>0</v>
      </c>
      <c r="F7808">
        <v>1501064</v>
      </c>
      <c r="G7808">
        <v>1356350</v>
      </c>
      <c r="H7808" t="e" vm="201">
        <f>_FV(0,"002")</f>
        <v>#VALUE!</v>
      </c>
      <c r="I7808">
        <v>1357957</v>
      </c>
      <c r="J7808" t="s">
        <v>1534</v>
      </c>
      <c r="K7808" t="s">
        <v>48743</v>
      </c>
      <c r="L7808" t="e" vm="201">
        <f>_FV(0,"002")</f>
        <v>#VALUE!</v>
      </c>
    </row>
    <row r="7809" spans="1:12" x14ac:dyDescent="0.25">
      <c r="A7809">
        <v>1356471</v>
      </c>
      <c r="B7809">
        <v>1356486</v>
      </c>
      <c r="D7809">
        <v>0</v>
      </c>
      <c r="E7809" t="s">
        <v>48745</v>
      </c>
      <c r="F7809" t="s">
        <v>48746</v>
      </c>
      <c r="G7809" t="s">
        <v>48747</v>
      </c>
      <c r="H7809" t="e" vm="3374">
        <f>_FV(0,"0027239740905928163")</f>
        <v>#VALUE!</v>
      </c>
      <c r="I7809" t="s">
        <v>48748</v>
      </c>
      <c r="J7809" t="s">
        <v>48749</v>
      </c>
      <c r="K7809" t="s">
        <v>48750</v>
      </c>
      <c r="L7809" t="s">
        <v>48744</v>
      </c>
    </row>
    <row r="7810" spans="1:12" x14ac:dyDescent="0.25">
      <c r="A7810">
        <v>1356471</v>
      </c>
      <c r="B7810">
        <v>1361793</v>
      </c>
      <c r="C7810" t="s">
        <v>48752</v>
      </c>
      <c r="D7810" t="s">
        <v>12024</v>
      </c>
      <c r="E7810" t="s">
        <v>48753</v>
      </c>
      <c r="F7810" t="s">
        <v>48754</v>
      </c>
      <c r="G7810" t="s">
        <v>48755</v>
      </c>
      <c r="H7810" t="e" vm="3375">
        <f>_FV(0,"008109277134300555")</f>
        <v>#VALUE!</v>
      </c>
      <c r="I7810" t="s">
        <v>48756</v>
      </c>
      <c r="J7810" t="s">
        <v>48757</v>
      </c>
      <c r="K7810" t="s">
        <v>48758</v>
      </c>
      <c r="L7810" t="s">
        <v>48751</v>
      </c>
    </row>
    <row r="7811" spans="1:12" x14ac:dyDescent="0.25">
      <c r="A7811">
        <v>1356486</v>
      </c>
      <c r="B7811">
        <v>1360034</v>
      </c>
      <c r="D7811">
        <v>0</v>
      </c>
      <c r="E7811" t="s">
        <v>48760</v>
      </c>
      <c r="F7811" t="s">
        <v>48761</v>
      </c>
      <c r="G7811" t="s">
        <v>48762</v>
      </c>
      <c r="H7811" t="e" vm="3376">
        <f>_FV(0,"029534134055153392")</f>
        <v>#VALUE!</v>
      </c>
      <c r="I7811" t="s">
        <v>48763</v>
      </c>
      <c r="J7811" t="s">
        <v>48764</v>
      </c>
      <c r="K7811" t="s">
        <v>48765</v>
      </c>
      <c r="L7811" t="s">
        <v>48759</v>
      </c>
    </row>
    <row r="7812" spans="1:12" x14ac:dyDescent="0.25">
      <c r="A7812">
        <v>1356486</v>
      </c>
      <c r="B7812">
        <v>1356545</v>
      </c>
      <c r="D7812">
        <v>0</v>
      </c>
      <c r="F7812">
        <v>1503934</v>
      </c>
      <c r="G7812">
        <v>1356486</v>
      </c>
      <c r="H7812" t="s">
        <v>12580</v>
      </c>
      <c r="I7812">
        <v>1356545</v>
      </c>
      <c r="J7812" t="s">
        <v>12580</v>
      </c>
      <c r="K7812" t="s">
        <v>48766</v>
      </c>
      <c r="L7812" t="s">
        <v>12580</v>
      </c>
    </row>
    <row r="7813" spans="1:12" x14ac:dyDescent="0.25">
      <c r="A7813">
        <v>1356527</v>
      </c>
      <c r="B7813">
        <v>1356596</v>
      </c>
      <c r="D7813">
        <v>0</v>
      </c>
      <c r="E7813" t="s">
        <v>48768</v>
      </c>
      <c r="F7813" t="s">
        <v>48769</v>
      </c>
      <c r="G7813" t="s">
        <v>48770</v>
      </c>
      <c r="H7813" t="s">
        <v>48771</v>
      </c>
      <c r="I7813" t="s">
        <v>48772</v>
      </c>
      <c r="J7813" t="s">
        <v>48767</v>
      </c>
      <c r="K7813" t="s">
        <v>48773</v>
      </c>
      <c r="L7813" t="s">
        <v>48767</v>
      </c>
    </row>
    <row r="7814" spans="1:12" x14ac:dyDescent="0.25">
      <c r="A7814">
        <v>1356545</v>
      </c>
      <c r="B7814">
        <v>1360052</v>
      </c>
      <c r="D7814">
        <v>0</v>
      </c>
      <c r="F7814">
        <v>1503933</v>
      </c>
      <c r="G7814">
        <v>1356545</v>
      </c>
      <c r="H7814" t="s">
        <v>737</v>
      </c>
      <c r="I7814">
        <v>1360052</v>
      </c>
      <c r="J7814" t="s">
        <v>737</v>
      </c>
      <c r="K7814" t="s">
        <v>48774</v>
      </c>
      <c r="L7814" t="s">
        <v>737</v>
      </c>
    </row>
    <row r="7815" spans="1:12" x14ac:dyDescent="0.25">
      <c r="A7815">
        <v>1356596</v>
      </c>
      <c r="B7815">
        <v>523317</v>
      </c>
      <c r="D7815">
        <v>0</v>
      </c>
      <c r="E7815" t="s">
        <v>48776</v>
      </c>
      <c r="F7815" t="s">
        <v>48777</v>
      </c>
      <c r="G7815" t="s">
        <v>48778</v>
      </c>
      <c r="H7815" t="e" vm="3377">
        <f>_FV(0,"15125809917552868")</f>
        <v>#VALUE!</v>
      </c>
      <c r="I7815" t="s">
        <v>48779</v>
      </c>
      <c r="J7815" t="s">
        <v>48780</v>
      </c>
      <c r="K7815" t="s">
        <v>48781</v>
      </c>
      <c r="L7815" t="s">
        <v>48775</v>
      </c>
    </row>
    <row r="7816" spans="1:12" x14ac:dyDescent="0.25">
      <c r="A7816">
        <v>1356596</v>
      </c>
      <c r="B7816">
        <v>1372311</v>
      </c>
      <c r="D7816">
        <v>0</v>
      </c>
      <c r="E7816" t="s">
        <v>48783</v>
      </c>
      <c r="F7816" t="s">
        <v>48784</v>
      </c>
      <c r="G7816" t="s">
        <v>48785</v>
      </c>
      <c r="H7816" t="e" vm="3378">
        <f>_FV(0,"3778335538353356")</f>
        <v>#VALUE!</v>
      </c>
      <c r="I7816" t="s">
        <v>48786</v>
      </c>
      <c r="J7816" t="s">
        <v>48787</v>
      </c>
      <c r="K7816" t="s">
        <v>48788</v>
      </c>
      <c r="L7816" t="s">
        <v>48782</v>
      </c>
    </row>
    <row r="7817" spans="1:12" x14ac:dyDescent="0.25">
      <c r="A7817">
        <v>1356628</v>
      </c>
      <c r="B7817">
        <v>1356641</v>
      </c>
      <c r="D7817">
        <v>0</v>
      </c>
      <c r="E7817" t="s">
        <v>48790</v>
      </c>
      <c r="F7817" t="s">
        <v>48791</v>
      </c>
      <c r="G7817" t="s">
        <v>48792</v>
      </c>
      <c r="H7817" t="s">
        <v>48793</v>
      </c>
      <c r="I7817" t="s">
        <v>48794</v>
      </c>
      <c r="J7817" t="s">
        <v>48795</v>
      </c>
      <c r="K7817" t="s">
        <v>48796</v>
      </c>
      <c r="L7817" t="s">
        <v>48789</v>
      </c>
    </row>
    <row r="7818" spans="1:12" x14ac:dyDescent="0.25">
      <c r="A7818">
        <v>1356628</v>
      </c>
      <c r="B7818">
        <v>1356654</v>
      </c>
      <c r="D7818">
        <v>0</v>
      </c>
      <c r="F7818">
        <v>1536442</v>
      </c>
      <c r="G7818">
        <v>1356628</v>
      </c>
      <c r="H7818" t="s">
        <v>4038</v>
      </c>
      <c r="I7818">
        <v>1356654</v>
      </c>
      <c r="J7818" t="s">
        <v>4038</v>
      </c>
      <c r="K7818" t="s">
        <v>48797</v>
      </c>
      <c r="L7818" t="s">
        <v>4038</v>
      </c>
    </row>
    <row r="7819" spans="1:12" x14ac:dyDescent="0.25">
      <c r="A7819">
        <v>1356641</v>
      </c>
      <c r="B7819">
        <v>1356715</v>
      </c>
      <c r="D7819">
        <v>0</v>
      </c>
      <c r="F7819">
        <v>1536402</v>
      </c>
      <c r="G7819">
        <v>1356715</v>
      </c>
      <c r="H7819" t="e" vm="221">
        <f>_FV(0,"052")</f>
        <v>#VALUE!</v>
      </c>
      <c r="I7819">
        <v>1356641</v>
      </c>
      <c r="J7819" t="s">
        <v>3378</v>
      </c>
      <c r="K7819" t="s">
        <v>48798</v>
      </c>
      <c r="L7819" t="e" vm="221">
        <f>_FV(0,"052")</f>
        <v>#VALUE!</v>
      </c>
    </row>
    <row r="7820" spans="1:12" x14ac:dyDescent="0.25">
      <c r="A7820">
        <v>1356654</v>
      </c>
      <c r="B7820">
        <v>1356687</v>
      </c>
      <c r="D7820">
        <v>0</v>
      </c>
      <c r="E7820" t="s">
        <v>48800</v>
      </c>
      <c r="F7820" t="s">
        <v>48801</v>
      </c>
      <c r="G7820" t="s">
        <v>48802</v>
      </c>
      <c r="H7820" t="e" vm="3379">
        <f>_FV(0,"027239001466452")</f>
        <v>#VALUE!</v>
      </c>
      <c r="I7820" t="s">
        <v>48803</v>
      </c>
      <c r="J7820" t="s">
        <v>48804</v>
      </c>
      <c r="K7820" t="s">
        <v>48805</v>
      </c>
      <c r="L7820" t="s">
        <v>48799</v>
      </c>
    </row>
    <row r="7821" spans="1:12" x14ac:dyDescent="0.25">
      <c r="A7821">
        <v>1356654</v>
      </c>
      <c r="B7821">
        <v>1388481</v>
      </c>
      <c r="D7821">
        <v>0</v>
      </c>
      <c r="F7821">
        <v>1536434</v>
      </c>
      <c r="G7821">
        <v>1356654</v>
      </c>
      <c r="H7821" t="s">
        <v>21527</v>
      </c>
      <c r="I7821">
        <v>1388481</v>
      </c>
      <c r="J7821" t="s">
        <v>21527</v>
      </c>
      <c r="K7821" t="s">
        <v>48806</v>
      </c>
      <c r="L7821" t="s">
        <v>21527</v>
      </c>
    </row>
    <row r="7822" spans="1:12" x14ac:dyDescent="0.25">
      <c r="A7822">
        <v>1356700</v>
      </c>
      <c r="B7822">
        <v>1356706</v>
      </c>
      <c r="D7822">
        <v>0</v>
      </c>
      <c r="E7822" t="s">
        <v>48808</v>
      </c>
      <c r="F7822" t="s">
        <v>48809</v>
      </c>
      <c r="G7822" t="s">
        <v>48810</v>
      </c>
      <c r="H7822" t="s">
        <v>48811</v>
      </c>
      <c r="I7822" t="s">
        <v>48812</v>
      </c>
      <c r="J7822" t="s">
        <v>48807</v>
      </c>
      <c r="K7822" t="s">
        <v>48813</v>
      </c>
      <c r="L7822" t="s">
        <v>48807</v>
      </c>
    </row>
    <row r="7823" spans="1:12" x14ac:dyDescent="0.25">
      <c r="A7823">
        <v>1356706</v>
      </c>
      <c r="B7823">
        <v>1386221</v>
      </c>
      <c r="D7823">
        <v>0</v>
      </c>
      <c r="E7823" t="s">
        <v>48815</v>
      </c>
      <c r="F7823" t="s">
        <v>48816</v>
      </c>
      <c r="G7823" t="s">
        <v>48817</v>
      </c>
      <c r="H7823" t="e" vm="3380">
        <f>_FV(0,"027565846680764776")</f>
        <v>#VALUE!</v>
      </c>
      <c r="I7823" t="s">
        <v>48818</v>
      </c>
      <c r="J7823" t="s">
        <v>48819</v>
      </c>
      <c r="K7823" t="s">
        <v>48820</v>
      </c>
      <c r="L7823" t="s">
        <v>48814</v>
      </c>
    </row>
    <row r="7824" spans="1:12" x14ac:dyDescent="0.25">
      <c r="A7824">
        <v>1356706</v>
      </c>
      <c r="B7824">
        <v>1356730</v>
      </c>
      <c r="D7824">
        <v>0</v>
      </c>
      <c r="F7824">
        <v>1533714</v>
      </c>
      <c r="G7824">
        <v>1356706</v>
      </c>
      <c r="H7824" t="s">
        <v>4552</v>
      </c>
      <c r="I7824">
        <v>1356730</v>
      </c>
      <c r="J7824" t="s">
        <v>4552</v>
      </c>
      <c r="K7824" t="s">
        <v>48821</v>
      </c>
      <c r="L7824" t="s">
        <v>4552</v>
      </c>
    </row>
    <row r="7825" spans="1:12" x14ac:dyDescent="0.25">
      <c r="A7825">
        <v>1356715</v>
      </c>
      <c r="B7825">
        <v>1364787</v>
      </c>
      <c r="D7825">
        <v>0</v>
      </c>
      <c r="F7825">
        <v>1536410</v>
      </c>
      <c r="G7825">
        <v>1364787</v>
      </c>
      <c r="H7825" t="e" vm="464">
        <f>_FV(0,"05")</f>
        <v>#VALUE!</v>
      </c>
      <c r="I7825">
        <v>1356715</v>
      </c>
      <c r="J7825" t="s">
        <v>6429</v>
      </c>
      <c r="K7825" t="s">
        <v>48822</v>
      </c>
      <c r="L7825" t="e" vm="464">
        <f>_FV(0,"05")</f>
        <v>#VALUE!</v>
      </c>
    </row>
    <row r="7826" spans="1:12" x14ac:dyDescent="0.25">
      <c r="A7826">
        <v>1356720</v>
      </c>
      <c r="B7826">
        <v>1356721</v>
      </c>
      <c r="D7826">
        <v>1</v>
      </c>
      <c r="F7826">
        <v>1499100</v>
      </c>
      <c r="G7826">
        <v>1356721</v>
      </c>
      <c r="H7826" t="e" vm="62">
        <f>_FV(0,"008")</f>
        <v>#VALUE!</v>
      </c>
      <c r="I7826">
        <v>1356720</v>
      </c>
      <c r="J7826" t="s">
        <v>241</v>
      </c>
      <c r="K7826" t="s">
        <v>48823</v>
      </c>
      <c r="L7826" t="e" vm="62">
        <f>_FV(0,"008")</f>
        <v>#VALUE!</v>
      </c>
    </row>
    <row r="7827" spans="1:12" x14ac:dyDescent="0.25">
      <c r="A7827">
        <v>1356720</v>
      </c>
      <c r="B7827">
        <v>1364787</v>
      </c>
      <c r="D7827">
        <v>0</v>
      </c>
      <c r="E7827" t="s">
        <v>48825</v>
      </c>
      <c r="F7827" t="s">
        <v>48826</v>
      </c>
      <c r="G7827" t="s">
        <v>48827</v>
      </c>
      <c r="H7827" t="e" vm="3381">
        <f>_FV(0,"07921830995471375")</f>
        <v>#VALUE!</v>
      </c>
      <c r="I7827" t="s">
        <v>48828</v>
      </c>
      <c r="J7827" t="s">
        <v>48829</v>
      </c>
      <c r="K7827" t="s">
        <v>48830</v>
      </c>
      <c r="L7827" t="s">
        <v>48824</v>
      </c>
    </row>
    <row r="7828" spans="1:12" x14ac:dyDescent="0.25">
      <c r="A7828">
        <v>1356720</v>
      </c>
      <c r="B7828">
        <v>1388481</v>
      </c>
      <c r="D7828">
        <v>0</v>
      </c>
      <c r="E7828" t="s">
        <v>48832</v>
      </c>
      <c r="F7828" t="s">
        <v>48833</v>
      </c>
      <c r="G7828" t="s">
        <v>48834</v>
      </c>
      <c r="H7828" t="e" vm="3382">
        <f>_FV(0,"08080887787467005")</f>
        <v>#VALUE!</v>
      </c>
      <c r="I7828" t="s">
        <v>48835</v>
      </c>
      <c r="J7828" t="s">
        <v>48836</v>
      </c>
      <c r="K7828" t="s">
        <v>48837</v>
      </c>
      <c r="L7828" t="s">
        <v>48831</v>
      </c>
    </row>
    <row r="7829" spans="1:12" x14ac:dyDescent="0.25">
      <c r="A7829">
        <v>1356721</v>
      </c>
      <c r="B7829">
        <v>1364822</v>
      </c>
      <c r="D7829">
        <v>0</v>
      </c>
      <c r="E7829" t="s">
        <v>48839</v>
      </c>
      <c r="F7829" t="s">
        <v>48840</v>
      </c>
      <c r="G7829" t="s">
        <v>48841</v>
      </c>
      <c r="H7829" t="s">
        <v>48842</v>
      </c>
      <c r="I7829" t="s">
        <v>48843</v>
      </c>
      <c r="J7829" t="s">
        <v>48838</v>
      </c>
      <c r="K7829" t="s">
        <v>48844</v>
      </c>
      <c r="L7829" t="s">
        <v>48838</v>
      </c>
    </row>
    <row r="7830" spans="1:12" x14ac:dyDescent="0.25">
      <c r="A7830">
        <v>1356721</v>
      </c>
      <c r="B7830">
        <v>1386221</v>
      </c>
      <c r="D7830">
        <v>0</v>
      </c>
      <c r="E7830" t="s">
        <v>48846</v>
      </c>
      <c r="F7830" t="s">
        <v>48847</v>
      </c>
      <c r="G7830" t="s">
        <v>48848</v>
      </c>
      <c r="H7830" t="s">
        <v>48849</v>
      </c>
      <c r="I7830" t="s">
        <v>48850</v>
      </c>
      <c r="J7830" t="s">
        <v>48845</v>
      </c>
      <c r="K7830" t="s">
        <v>48851</v>
      </c>
      <c r="L7830" t="s">
        <v>48845</v>
      </c>
    </row>
    <row r="7831" spans="1:12" x14ac:dyDescent="0.25">
      <c r="A7831">
        <v>1356730</v>
      </c>
      <c r="B7831">
        <v>1364822</v>
      </c>
      <c r="D7831">
        <v>0</v>
      </c>
      <c r="F7831">
        <v>1533706</v>
      </c>
      <c r="G7831">
        <v>1356730</v>
      </c>
      <c r="H7831" t="s">
        <v>6429</v>
      </c>
      <c r="I7831">
        <v>1364822</v>
      </c>
      <c r="J7831" t="s">
        <v>6429</v>
      </c>
      <c r="K7831" t="s">
        <v>48852</v>
      </c>
      <c r="L7831" t="s">
        <v>6429</v>
      </c>
    </row>
    <row r="7832" spans="1:12" x14ac:dyDescent="0.25">
      <c r="A7832">
        <v>1356754</v>
      </c>
      <c r="B7832">
        <v>1356762</v>
      </c>
      <c r="D7832">
        <v>0</v>
      </c>
      <c r="F7832">
        <v>1536490</v>
      </c>
      <c r="G7832">
        <v>1356754</v>
      </c>
      <c r="H7832" t="s">
        <v>3317</v>
      </c>
      <c r="I7832">
        <v>1356762</v>
      </c>
      <c r="J7832" t="s">
        <v>3317</v>
      </c>
      <c r="K7832" t="s">
        <v>48853</v>
      </c>
      <c r="L7832" t="s">
        <v>3317</v>
      </c>
    </row>
    <row r="7833" spans="1:12" x14ac:dyDescent="0.25">
      <c r="A7833">
        <v>1356762</v>
      </c>
      <c r="B7833">
        <v>1356777</v>
      </c>
      <c r="D7833">
        <v>0</v>
      </c>
      <c r="E7833" t="s">
        <v>48855</v>
      </c>
      <c r="F7833" t="s">
        <v>48856</v>
      </c>
      <c r="G7833" t="s">
        <v>48857</v>
      </c>
      <c r="H7833" t="s">
        <v>48858</v>
      </c>
      <c r="I7833" t="s">
        <v>48859</v>
      </c>
      <c r="J7833" t="s">
        <v>48860</v>
      </c>
      <c r="K7833" t="s">
        <v>48861</v>
      </c>
      <c r="L7833" t="s">
        <v>48854</v>
      </c>
    </row>
    <row r="7834" spans="1:12" x14ac:dyDescent="0.25">
      <c r="A7834">
        <v>1356777</v>
      </c>
      <c r="B7834">
        <v>1401200</v>
      </c>
      <c r="D7834" t="s">
        <v>48863</v>
      </c>
      <c r="E7834" t="s">
        <v>48864</v>
      </c>
      <c r="F7834" t="s">
        <v>48865</v>
      </c>
      <c r="G7834" t="s">
        <v>48866</v>
      </c>
      <c r="H7834" t="s">
        <v>48867</v>
      </c>
      <c r="I7834" t="s">
        <v>48868</v>
      </c>
      <c r="J7834" t="s">
        <v>48869</v>
      </c>
      <c r="K7834" t="s">
        <v>48870</v>
      </c>
      <c r="L7834" t="s">
        <v>48862</v>
      </c>
    </row>
    <row r="7835" spans="1:12" x14ac:dyDescent="0.25">
      <c r="A7835">
        <v>1356777</v>
      </c>
      <c r="B7835">
        <v>1613340</v>
      </c>
      <c r="D7835" t="s">
        <v>1839</v>
      </c>
      <c r="E7835" t="s">
        <v>48872</v>
      </c>
      <c r="F7835" t="s">
        <v>48873</v>
      </c>
      <c r="G7835" t="s">
        <v>48874</v>
      </c>
      <c r="H7835" t="s">
        <v>48875</v>
      </c>
      <c r="I7835" t="s">
        <v>48876</v>
      </c>
      <c r="J7835" t="s">
        <v>48871</v>
      </c>
      <c r="K7835" t="s">
        <v>48877</v>
      </c>
      <c r="L7835" t="s">
        <v>48871</v>
      </c>
    </row>
    <row r="7836" spans="1:12" x14ac:dyDescent="0.25">
      <c r="A7836">
        <v>1356889</v>
      </c>
      <c r="B7836">
        <v>1356899</v>
      </c>
      <c r="D7836">
        <v>0</v>
      </c>
      <c r="E7836" t="s">
        <v>48879</v>
      </c>
      <c r="F7836" t="s">
        <v>48880</v>
      </c>
      <c r="G7836" t="s">
        <v>48881</v>
      </c>
      <c r="H7836" t="e" vm="3383">
        <f>_FV(0,"02499127133204981")</f>
        <v>#VALUE!</v>
      </c>
      <c r="I7836" t="s">
        <v>48882</v>
      </c>
      <c r="J7836" t="s">
        <v>48883</v>
      </c>
      <c r="K7836" t="s">
        <v>48884</v>
      </c>
      <c r="L7836" t="s">
        <v>48878</v>
      </c>
    </row>
    <row r="7837" spans="1:12" x14ac:dyDescent="0.25">
      <c r="A7837">
        <v>1356889</v>
      </c>
      <c r="B7837">
        <v>1362133</v>
      </c>
      <c r="D7837" t="s">
        <v>514</v>
      </c>
      <c r="E7837" t="s">
        <v>48886</v>
      </c>
      <c r="F7837" t="s">
        <v>48887</v>
      </c>
      <c r="G7837" t="s">
        <v>48888</v>
      </c>
      <c r="H7837" t="s">
        <v>48889</v>
      </c>
      <c r="I7837" t="s">
        <v>48890</v>
      </c>
      <c r="J7837" t="s">
        <v>48891</v>
      </c>
      <c r="K7837" t="s">
        <v>48892</v>
      </c>
      <c r="L7837" t="s">
        <v>48885</v>
      </c>
    </row>
    <row r="7838" spans="1:12" x14ac:dyDescent="0.25">
      <c r="A7838">
        <v>1356889</v>
      </c>
      <c r="B7838">
        <v>1362060</v>
      </c>
      <c r="D7838">
        <v>0</v>
      </c>
      <c r="E7838" t="s">
        <v>48894</v>
      </c>
      <c r="F7838" t="s">
        <v>48895</v>
      </c>
      <c r="G7838" t="s">
        <v>48896</v>
      </c>
      <c r="H7838" t="e" vm="3384">
        <f>_FV(0,"012327613198185039")</f>
        <v>#VALUE!</v>
      </c>
      <c r="I7838" t="s">
        <v>48897</v>
      </c>
      <c r="J7838" t="s">
        <v>444</v>
      </c>
      <c r="K7838" t="s">
        <v>48898</v>
      </c>
      <c r="L7838" t="s">
        <v>48893</v>
      </c>
    </row>
    <row r="7839" spans="1:12" x14ac:dyDescent="0.25">
      <c r="A7839">
        <v>1356899</v>
      </c>
      <c r="B7839">
        <v>1357999</v>
      </c>
      <c r="D7839">
        <v>0</v>
      </c>
      <c r="E7839" t="s">
        <v>48899</v>
      </c>
      <c r="F7839" t="s">
        <v>48900</v>
      </c>
      <c r="G7839" t="s">
        <v>48901</v>
      </c>
      <c r="H7839" t="e" vm="3385">
        <f>_FV(0,"03475802511953494")</f>
        <v>#VALUE!</v>
      </c>
      <c r="I7839" t="s">
        <v>48902</v>
      </c>
      <c r="J7839" t="s">
        <v>47033</v>
      </c>
      <c r="K7839" t="s">
        <v>48903</v>
      </c>
      <c r="L7839" t="s">
        <v>47028</v>
      </c>
    </row>
    <row r="7840" spans="1:12" x14ac:dyDescent="0.25">
      <c r="A7840">
        <v>1356899</v>
      </c>
      <c r="B7840">
        <v>1358019</v>
      </c>
      <c r="D7840">
        <v>0</v>
      </c>
      <c r="E7840" t="s">
        <v>48905</v>
      </c>
      <c r="F7840" t="s">
        <v>48906</v>
      </c>
      <c r="G7840" t="s">
        <v>48907</v>
      </c>
      <c r="H7840" t="e" vm="3386">
        <f>_FV(0,"025889844434152706")</f>
        <v>#VALUE!</v>
      </c>
      <c r="I7840" t="s">
        <v>48908</v>
      </c>
      <c r="J7840" t="s">
        <v>25281</v>
      </c>
      <c r="K7840" t="s">
        <v>48909</v>
      </c>
      <c r="L7840" t="s">
        <v>48904</v>
      </c>
    </row>
    <row r="7841" spans="1:12" x14ac:dyDescent="0.25">
      <c r="A7841">
        <v>1356908</v>
      </c>
      <c r="B7841">
        <v>1356936</v>
      </c>
      <c r="D7841">
        <v>0</v>
      </c>
      <c r="F7841">
        <v>1501201</v>
      </c>
      <c r="G7841">
        <v>1356936</v>
      </c>
      <c r="H7841" t="s">
        <v>1687</v>
      </c>
      <c r="I7841">
        <v>1356908</v>
      </c>
      <c r="J7841" t="s">
        <v>1687</v>
      </c>
      <c r="K7841" t="s">
        <v>48910</v>
      </c>
      <c r="L7841" t="s">
        <v>1687</v>
      </c>
    </row>
    <row r="7842" spans="1:12" x14ac:dyDescent="0.25">
      <c r="A7842">
        <v>1356908</v>
      </c>
      <c r="B7842">
        <v>1364868</v>
      </c>
      <c r="D7842">
        <v>0</v>
      </c>
      <c r="E7842" t="s">
        <v>48912</v>
      </c>
      <c r="F7842" t="s">
        <v>48913</v>
      </c>
      <c r="G7842" t="s">
        <v>48914</v>
      </c>
      <c r="H7842" t="s">
        <v>48915</v>
      </c>
      <c r="I7842" t="s">
        <v>48916</v>
      </c>
      <c r="J7842" t="s">
        <v>48911</v>
      </c>
      <c r="K7842" t="s">
        <v>48917</v>
      </c>
      <c r="L7842" t="s">
        <v>48911</v>
      </c>
    </row>
    <row r="7843" spans="1:12" x14ac:dyDescent="0.25">
      <c r="A7843">
        <v>1356908</v>
      </c>
      <c r="B7843">
        <v>1357999</v>
      </c>
      <c r="D7843">
        <v>0</v>
      </c>
      <c r="E7843" t="s">
        <v>48919</v>
      </c>
      <c r="F7843" t="s">
        <v>48920</v>
      </c>
      <c r="G7843" t="s">
        <v>48921</v>
      </c>
      <c r="H7843" t="e" vm="3387">
        <f>_FV(0,"012516150595286659")</f>
        <v>#VALUE!</v>
      </c>
      <c r="I7843" t="s">
        <v>48922</v>
      </c>
      <c r="J7843" t="s">
        <v>48923</v>
      </c>
      <c r="K7843" t="s">
        <v>48924</v>
      </c>
      <c r="L7843" t="s">
        <v>48918</v>
      </c>
    </row>
    <row r="7844" spans="1:12" x14ac:dyDescent="0.25">
      <c r="A7844">
        <v>1356936</v>
      </c>
      <c r="B7844">
        <v>1358019</v>
      </c>
      <c r="D7844">
        <v>0</v>
      </c>
      <c r="F7844">
        <v>1501202</v>
      </c>
      <c r="G7844">
        <v>1358019</v>
      </c>
      <c r="H7844" t="s">
        <v>24389</v>
      </c>
      <c r="I7844">
        <v>1356936</v>
      </c>
      <c r="J7844" t="s">
        <v>24389</v>
      </c>
      <c r="K7844" t="s">
        <v>48925</v>
      </c>
      <c r="L7844" t="s">
        <v>24389</v>
      </c>
    </row>
    <row r="7845" spans="1:12" x14ac:dyDescent="0.25">
      <c r="A7845">
        <v>1356936</v>
      </c>
      <c r="B7845">
        <v>1364887</v>
      </c>
      <c r="D7845" t="s">
        <v>514</v>
      </c>
      <c r="E7845" t="s">
        <v>48927</v>
      </c>
      <c r="F7845" t="s">
        <v>48928</v>
      </c>
      <c r="G7845" t="s">
        <v>48929</v>
      </c>
      <c r="H7845" t="e" vm="3388">
        <f>_FV(0,"020344889570552617")</f>
        <v>#VALUE!</v>
      </c>
      <c r="I7845" t="s">
        <v>48930</v>
      </c>
      <c r="J7845" t="s">
        <v>48931</v>
      </c>
      <c r="K7845" t="s">
        <v>48932</v>
      </c>
      <c r="L7845" t="s">
        <v>48926</v>
      </c>
    </row>
    <row r="7846" spans="1:12" x14ac:dyDescent="0.25">
      <c r="A7846">
        <v>1356940</v>
      </c>
      <c r="B7846">
        <v>1356946</v>
      </c>
      <c r="D7846">
        <v>0</v>
      </c>
      <c r="E7846" t="s">
        <v>48933</v>
      </c>
      <c r="F7846" t="s">
        <v>48934</v>
      </c>
      <c r="G7846" t="s">
        <v>48935</v>
      </c>
      <c r="H7846" t="s">
        <v>48936</v>
      </c>
      <c r="I7846" t="s">
        <v>48937</v>
      </c>
      <c r="J7846" t="s">
        <v>6123</v>
      </c>
      <c r="K7846" t="s">
        <v>48938</v>
      </c>
      <c r="L7846" t="s">
        <v>6117</v>
      </c>
    </row>
    <row r="7847" spans="1:12" x14ac:dyDescent="0.25">
      <c r="A7847">
        <v>1356940</v>
      </c>
      <c r="B7847">
        <v>1364901</v>
      </c>
      <c r="D7847">
        <v>0</v>
      </c>
      <c r="E7847" t="s">
        <v>48940</v>
      </c>
      <c r="F7847" t="s">
        <v>48941</v>
      </c>
      <c r="G7847" t="s">
        <v>48942</v>
      </c>
      <c r="H7847" t="e" vm="3389">
        <f>_FV(0,"012266420090825255")</f>
        <v>#VALUE!</v>
      </c>
      <c r="I7847" t="s">
        <v>48943</v>
      </c>
      <c r="J7847" t="s">
        <v>48944</v>
      </c>
      <c r="K7847" t="s">
        <v>48945</v>
      </c>
      <c r="L7847" t="s">
        <v>48939</v>
      </c>
    </row>
    <row r="7848" spans="1:12" x14ac:dyDescent="0.25">
      <c r="A7848">
        <v>1356940</v>
      </c>
      <c r="B7848">
        <v>1362327</v>
      </c>
      <c r="D7848">
        <v>0</v>
      </c>
      <c r="E7848" t="s">
        <v>48947</v>
      </c>
      <c r="F7848" t="s">
        <v>48948</v>
      </c>
      <c r="G7848" t="s">
        <v>48949</v>
      </c>
      <c r="H7848" t="s">
        <v>48950</v>
      </c>
      <c r="I7848" t="s">
        <v>48951</v>
      </c>
      <c r="J7848" t="s">
        <v>48952</v>
      </c>
      <c r="K7848" t="s">
        <v>48953</v>
      </c>
      <c r="L7848" t="s">
        <v>48946</v>
      </c>
    </row>
    <row r="7849" spans="1:12" x14ac:dyDescent="0.25">
      <c r="A7849">
        <v>1356946</v>
      </c>
      <c r="B7849">
        <v>1359360</v>
      </c>
      <c r="D7849">
        <v>0</v>
      </c>
      <c r="F7849">
        <v>1503054</v>
      </c>
      <c r="G7849">
        <v>1359360</v>
      </c>
      <c r="H7849" t="e" vm="109">
        <f>_FV(0,"01")</f>
        <v>#VALUE!</v>
      </c>
      <c r="I7849">
        <v>1356946</v>
      </c>
      <c r="J7849" t="s">
        <v>761</v>
      </c>
      <c r="K7849" t="s">
        <v>48954</v>
      </c>
      <c r="L7849" t="e" vm="109">
        <f>_FV(0,"01")</f>
        <v>#VALUE!</v>
      </c>
    </row>
    <row r="7850" spans="1:12" x14ac:dyDescent="0.25">
      <c r="A7850">
        <v>1356946</v>
      </c>
      <c r="B7850">
        <v>1356979</v>
      </c>
      <c r="D7850">
        <v>0</v>
      </c>
      <c r="F7850">
        <v>1503049</v>
      </c>
      <c r="G7850">
        <v>1356946</v>
      </c>
      <c r="H7850" t="e" vm="572">
        <f>_FV(0,"021")</f>
        <v>#VALUE!</v>
      </c>
      <c r="I7850">
        <v>1356979</v>
      </c>
      <c r="J7850" t="s">
        <v>1536</v>
      </c>
      <c r="K7850" t="s">
        <v>48955</v>
      </c>
      <c r="L7850" t="e" vm="572">
        <f>_FV(0,"021")</f>
        <v>#VALUE!</v>
      </c>
    </row>
    <row r="7851" spans="1:12" x14ac:dyDescent="0.25">
      <c r="A7851">
        <v>1356960</v>
      </c>
      <c r="B7851">
        <v>1357022</v>
      </c>
      <c r="D7851">
        <v>0</v>
      </c>
      <c r="F7851">
        <v>1503567</v>
      </c>
      <c r="G7851">
        <v>1357022</v>
      </c>
      <c r="H7851" t="s">
        <v>1939</v>
      </c>
      <c r="I7851">
        <v>1356960</v>
      </c>
      <c r="J7851" t="s">
        <v>1939</v>
      </c>
      <c r="K7851" t="s">
        <v>48956</v>
      </c>
      <c r="L7851" t="s">
        <v>1939</v>
      </c>
    </row>
    <row r="7852" spans="1:12" x14ac:dyDescent="0.25">
      <c r="A7852">
        <v>1356960</v>
      </c>
      <c r="B7852">
        <v>1364909</v>
      </c>
      <c r="D7852">
        <v>0</v>
      </c>
      <c r="E7852" t="s">
        <v>48958</v>
      </c>
      <c r="F7852" t="s">
        <v>48959</v>
      </c>
      <c r="G7852" t="s">
        <v>48960</v>
      </c>
      <c r="H7852" t="e" vm="3390">
        <f>_FV(0,"018751224604445577")</f>
        <v>#VALUE!</v>
      </c>
      <c r="I7852" t="s">
        <v>48961</v>
      </c>
      <c r="J7852" t="s">
        <v>48962</v>
      </c>
      <c r="K7852" t="s">
        <v>48963</v>
      </c>
      <c r="L7852" t="s">
        <v>48957</v>
      </c>
    </row>
    <row r="7853" spans="1:12" x14ac:dyDescent="0.25">
      <c r="A7853">
        <v>1356960</v>
      </c>
      <c r="B7853">
        <v>1359757</v>
      </c>
      <c r="D7853">
        <v>0</v>
      </c>
      <c r="F7853">
        <v>1503566</v>
      </c>
      <c r="G7853">
        <v>1356960</v>
      </c>
      <c r="H7853" t="s">
        <v>5696</v>
      </c>
      <c r="I7853">
        <v>1359757</v>
      </c>
      <c r="J7853" t="s">
        <v>5696</v>
      </c>
      <c r="K7853" t="s">
        <v>48964</v>
      </c>
      <c r="L7853" t="s">
        <v>5696</v>
      </c>
    </row>
    <row r="7854" spans="1:12" x14ac:dyDescent="0.25">
      <c r="A7854">
        <v>1356979</v>
      </c>
      <c r="B7854">
        <v>1362403</v>
      </c>
      <c r="D7854">
        <v>0</v>
      </c>
      <c r="E7854" t="s">
        <v>48966</v>
      </c>
      <c r="F7854" t="s">
        <v>48967</v>
      </c>
      <c r="G7854" t="s">
        <v>48968</v>
      </c>
      <c r="H7854" t="e" vm="3391">
        <f>_FV(0,"012906161482897308")</f>
        <v>#VALUE!</v>
      </c>
      <c r="I7854" t="s">
        <v>48969</v>
      </c>
      <c r="J7854" t="s">
        <v>48970</v>
      </c>
      <c r="K7854" t="s">
        <v>48971</v>
      </c>
      <c r="L7854" t="s">
        <v>48965</v>
      </c>
    </row>
    <row r="7855" spans="1:12" x14ac:dyDescent="0.25">
      <c r="A7855">
        <v>1356979</v>
      </c>
      <c r="B7855">
        <v>1359352</v>
      </c>
      <c r="D7855">
        <v>0</v>
      </c>
      <c r="F7855">
        <v>1503041</v>
      </c>
      <c r="G7855">
        <v>1356979</v>
      </c>
      <c r="H7855" t="e" vm="47">
        <f>_FV(0,"016")</f>
        <v>#VALUE!</v>
      </c>
      <c r="I7855">
        <v>1359352</v>
      </c>
      <c r="J7855" t="s">
        <v>737</v>
      </c>
      <c r="K7855" t="s">
        <v>48972</v>
      </c>
      <c r="L7855" t="e" vm="47">
        <f>_FV(0,"016")</f>
        <v>#VALUE!</v>
      </c>
    </row>
    <row r="7856" spans="1:12" x14ac:dyDescent="0.25">
      <c r="A7856">
        <v>1357022</v>
      </c>
      <c r="B7856">
        <v>1359748</v>
      </c>
      <c r="D7856">
        <v>0</v>
      </c>
      <c r="E7856" t="s">
        <v>48974</v>
      </c>
      <c r="F7856" t="s">
        <v>48975</v>
      </c>
      <c r="G7856" t="s">
        <v>48976</v>
      </c>
      <c r="H7856" t="e" vm="3392">
        <f>_FV(0,"029167563872743083")</f>
        <v>#VALUE!</v>
      </c>
      <c r="I7856" t="s">
        <v>48977</v>
      </c>
      <c r="J7856" t="s">
        <v>48978</v>
      </c>
      <c r="K7856" t="s">
        <v>48979</v>
      </c>
      <c r="L7856" t="s">
        <v>48973</v>
      </c>
    </row>
    <row r="7857" spans="1:12" x14ac:dyDescent="0.25">
      <c r="A7857">
        <v>1357022</v>
      </c>
      <c r="B7857">
        <v>1364924</v>
      </c>
      <c r="D7857">
        <v>0</v>
      </c>
      <c r="E7857" t="s">
        <v>48981</v>
      </c>
      <c r="F7857" t="s">
        <v>48982</v>
      </c>
      <c r="G7857" t="s">
        <v>48983</v>
      </c>
      <c r="H7857" t="s">
        <v>48984</v>
      </c>
      <c r="I7857" t="s">
        <v>48985</v>
      </c>
      <c r="J7857" t="s">
        <v>48980</v>
      </c>
      <c r="K7857" t="s">
        <v>48986</v>
      </c>
      <c r="L7857" t="s">
        <v>48980</v>
      </c>
    </row>
    <row r="7858" spans="1:12" x14ac:dyDescent="0.25">
      <c r="A7858">
        <v>1357034</v>
      </c>
      <c r="B7858">
        <v>1365501</v>
      </c>
      <c r="D7858">
        <v>0</v>
      </c>
      <c r="E7858" t="s">
        <v>48988</v>
      </c>
      <c r="F7858" t="s">
        <v>48989</v>
      </c>
      <c r="G7858" t="s">
        <v>48990</v>
      </c>
      <c r="H7858" t="s">
        <v>48991</v>
      </c>
      <c r="I7858" t="s">
        <v>48992</v>
      </c>
      <c r="J7858" t="s">
        <v>48993</v>
      </c>
      <c r="K7858" t="s">
        <v>48994</v>
      </c>
      <c r="L7858" t="s">
        <v>48987</v>
      </c>
    </row>
    <row r="7859" spans="1:12" x14ac:dyDescent="0.25">
      <c r="A7859">
        <v>1357034</v>
      </c>
      <c r="B7859">
        <v>1357077</v>
      </c>
      <c r="D7859">
        <v>0</v>
      </c>
      <c r="F7859">
        <v>1531530</v>
      </c>
      <c r="G7859">
        <v>1357034</v>
      </c>
      <c r="H7859" t="e" vm="62">
        <f>_FV(0,"008")</f>
        <v>#VALUE!</v>
      </c>
      <c r="I7859">
        <v>1357077</v>
      </c>
      <c r="J7859" t="s">
        <v>241</v>
      </c>
      <c r="K7859" t="s">
        <v>48995</v>
      </c>
      <c r="L7859" t="e" vm="62">
        <f>_FV(0,"008")</f>
        <v>#VALUE!</v>
      </c>
    </row>
    <row r="7860" spans="1:12" x14ac:dyDescent="0.25">
      <c r="A7860">
        <v>1357034</v>
      </c>
      <c r="B7860">
        <v>1362632</v>
      </c>
      <c r="D7860">
        <v>0</v>
      </c>
      <c r="E7860" t="s">
        <v>48997</v>
      </c>
      <c r="F7860" t="s">
        <v>48998</v>
      </c>
      <c r="G7860" t="s">
        <v>48999</v>
      </c>
      <c r="H7860" t="s">
        <v>49000</v>
      </c>
      <c r="I7860" t="s">
        <v>49001</v>
      </c>
      <c r="J7860" t="s">
        <v>48996</v>
      </c>
      <c r="K7860" t="s">
        <v>49002</v>
      </c>
      <c r="L7860" t="s">
        <v>48996</v>
      </c>
    </row>
    <row r="7861" spans="1:12" x14ac:dyDescent="0.25">
      <c r="A7861">
        <v>1357040</v>
      </c>
      <c r="B7861">
        <v>1357107</v>
      </c>
      <c r="D7861">
        <v>0</v>
      </c>
      <c r="F7861">
        <v>1531618</v>
      </c>
      <c r="G7861">
        <v>1357107</v>
      </c>
      <c r="H7861" t="e" vm="342">
        <f>_FV(0,"011")</f>
        <v>#VALUE!</v>
      </c>
      <c r="I7861">
        <v>1357040</v>
      </c>
      <c r="J7861" t="s">
        <v>4848</v>
      </c>
      <c r="K7861" t="s">
        <v>49003</v>
      </c>
      <c r="L7861" t="e" vm="342">
        <f>_FV(0,"011")</f>
        <v>#VALUE!</v>
      </c>
    </row>
    <row r="7862" spans="1:12" x14ac:dyDescent="0.25">
      <c r="A7862">
        <v>1357040</v>
      </c>
      <c r="B7862">
        <v>1365009</v>
      </c>
      <c r="D7862">
        <v>0</v>
      </c>
      <c r="E7862" t="s">
        <v>49005</v>
      </c>
      <c r="F7862" t="s">
        <v>49006</v>
      </c>
      <c r="G7862" t="s">
        <v>49007</v>
      </c>
      <c r="H7862" t="e" vm="3393">
        <f>_FV(0,"04391471054134424")</f>
        <v>#VALUE!</v>
      </c>
      <c r="I7862" t="s">
        <v>49008</v>
      </c>
      <c r="J7862" t="s">
        <v>49009</v>
      </c>
      <c r="K7862" t="s">
        <v>49010</v>
      </c>
      <c r="L7862" t="s">
        <v>49004</v>
      </c>
    </row>
    <row r="7863" spans="1:12" x14ac:dyDescent="0.25">
      <c r="A7863">
        <v>1357040</v>
      </c>
      <c r="B7863">
        <v>1365544</v>
      </c>
      <c r="D7863">
        <v>0</v>
      </c>
      <c r="E7863" t="s">
        <v>49012</v>
      </c>
      <c r="F7863" t="s">
        <v>49013</v>
      </c>
      <c r="G7863" t="s">
        <v>49014</v>
      </c>
      <c r="H7863" t="e" vm="3394">
        <f>_FV(0,"003665357715362308")</f>
        <v>#VALUE!</v>
      </c>
      <c r="I7863" t="s">
        <v>49015</v>
      </c>
      <c r="J7863" t="s">
        <v>49016</v>
      </c>
      <c r="K7863" t="s">
        <v>49017</v>
      </c>
      <c r="L7863" t="s">
        <v>49011</v>
      </c>
    </row>
    <row r="7864" spans="1:12" x14ac:dyDescent="0.25">
      <c r="A7864">
        <v>1357058</v>
      </c>
      <c r="B7864">
        <v>1365576</v>
      </c>
      <c r="D7864">
        <v>0</v>
      </c>
      <c r="E7864" t="s">
        <v>49019</v>
      </c>
      <c r="F7864" t="s">
        <v>49020</v>
      </c>
      <c r="G7864" t="s">
        <v>49021</v>
      </c>
      <c r="H7864" t="s">
        <v>49022</v>
      </c>
      <c r="I7864" t="s">
        <v>49023</v>
      </c>
      <c r="J7864" t="s">
        <v>49024</v>
      </c>
      <c r="K7864" t="s">
        <v>49025</v>
      </c>
      <c r="L7864" t="s">
        <v>49018</v>
      </c>
    </row>
    <row r="7865" spans="1:12" x14ac:dyDescent="0.25">
      <c r="A7865">
        <v>1357058</v>
      </c>
      <c r="B7865">
        <v>1365600</v>
      </c>
      <c r="D7865">
        <v>0</v>
      </c>
      <c r="E7865" t="s">
        <v>49027</v>
      </c>
      <c r="F7865" t="s">
        <v>49028</v>
      </c>
      <c r="G7865" t="s">
        <v>49029</v>
      </c>
      <c r="H7865" t="s">
        <v>49030</v>
      </c>
      <c r="I7865" t="s">
        <v>49031</v>
      </c>
      <c r="J7865" t="s">
        <v>49032</v>
      </c>
      <c r="K7865" t="s">
        <v>49033</v>
      </c>
      <c r="L7865" t="s">
        <v>49026</v>
      </c>
    </row>
    <row r="7866" spans="1:12" x14ac:dyDescent="0.25">
      <c r="A7866">
        <v>1357058</v>
      </c>
      <c r="B7866">
        <v>1368219</v>
      </c>
      <c r="D7866">
        <v>0</v>
      </c>
      <c r="F7866">
        <v>1536258</v>
      </c>
      <c r="G7866">
        <v>1357058</v>
      </c>
      <c r="H7866" t="e" vm="56">
        <f>_FV(0,"023")</f>
        <v>#VALUE!</v>
      </c>
      <c r="I7866">
        <v>1368219</v>
      </c>
      <c r="J7866" t="s">
        <v>890</v>
      </c>
      <c r="K7866" t="s">
        <v>49034</v>
      </c>
      <c r="L7866" t="e" vm="56">
        <f>_FV(0,"023")</f>
        <v>#VALUE!</v>
      </c>
    </row>
    <row r="7867" spans="1:12" x14ac:dyDescent="0.25">
      <c r="A7867">
        <v>1357064</v>
      </c>
      <c r="B7867">
        <v>1357073</v>
      </c>
      <c r="D7867">
        <v>0</v>
      </c>
      <c r="E7867" t="s">
        <v>49035</v>
      </c>
      <c r="F7867">
        <v>1506425</v>
      </c>
      <c r="G7867">
        <v>1357064</v>
      </c>
      <c r="H7867" t="s">
        <v>194</v>
      </c>
      <c r="I7867">
        <v>1357073</v>
      </c>
      <c r="J7867" t="s">
        <v>194</v>
      </c>
      <c r="K7867" t="s">
        <v>49036</v>
      </c>
      <c r="L7867" t="s">
        <v>194</v>
      </c>
    </row>
    <row r="7868" spans="1:12" x14ac:dyDescent="0.25">
      <c r="A7868">
        <v>1357064</v>
      </c>
      <c r="B7868">
        <v>1365610</v>
      </c>
      <c r="D7868">
        <v>0</v>
      </c>
      <c r="E7868" t="s">
        <v>49038</v>
      </c>
      <c r="F7868" t="s">
        <v>49039</v>
      </c>
      <c r="G7868" t="s">
        <v>49040</v>
      </c>
      <c r="H7868" t="e" vm="3395">
        <f>_FV(-6,"596155568669754e")-5</f>
        <v>#VALUE!</v>
      </c>
      <c r="I7868" t="s">
        <v>49041</v>
      </c>
      <c r="J7868" t="s">
        <v>49042</v>
      </c>
      <c r="K7868" t="s">
        <v>49043</v>
      </c>
      <c r="L7868" t="s">
        <v>49037</v>
      </c>
    </row>
    <row r="7869" spans="1:12" x14ac:dyDescent="0.25">
      <c r="A7869">
        <v>1357073</v>
      </c>
      <c r="B7869">
        <v>1365628</v>
      </c>
      <c r="D7869">
        <v>0</v>
      </c>
      <c r="E7869" t="s">
        <v>49045</v>
      </c>
      <c r="F7869" t="s">
        <v>49046</v>
      </c>
      <c r="G7869" t="s">
        <v>49047</v>
      </c>
      <c r="H7869" t="e" vm="3396">
        <f>_FV(0,"000857018259105082")</f>
        <v>#VALUE!</v>
      </c>
      <c r="I7869" t="s">
        <v>49048</v>
      </c>
      <c r="J7869" t="s">
        <v>49049</v>
      </c>
      <c r="K7869" t="s">
        <v>49050</v>
      </c>
      <c r="L7869" t="s">
        <v>49044</v>
      </c>
    </row>
    <row r="7870" spans="1:12" x14ac:dyDescent="0.25">
      <c r="A7870">
        <v>1357077</v>
      </c>
      <c r="B7870">
        <v>1362713</v>
      </c>
      <c r="D7870">
        <v>0</v>
      </c>
      <c r="E7870" t="s">
        <v>49052</v>
      </c>
      <c r="F7870" t="s">
        <v>49053</v>
      </c>
      <c r="G7870" t="s">
        <v>49054</v>
      </c>
      <c r="H7870" t="e" vm="3397">
        <f>_FV(0,"012060359079824067")</f>
        <v>#VALUE!</v>
      </c>
      <c r="I7870" t="s">
        <v>49055</v>
      </c>
      <c r="J7870" t="s">
        <v>49056</v>
      </c>
      <c r="K7870" t="s">
        <v>49057</v>
      </c>
      <c r="L7870" t="s">
        <v>49051</v>
      </c>
    </row>
    <row r="7871" spans="1:12" x14ac:dyDescent="0.25">
      <c r="A7871">
        <v>1357077</v>
      </c>
      <c r="B7871">
        <v>1371041</v>
      </c>
      <c r="D7871">
        <v>0</v>
      </c>
      <c r="F7871">
        <v>1531522</v>
      </c>
      <c r="G7871">
        <v>1357077</v>
      </c>
      <c r="H7871" t="e" vm="47">
        <f>_FV(0,"016")</f>
        <v>#VALUE!</v>
      </c>
      <c r="I7871">
        <v>1371041</v>
      </c>
      <c r="J7871" t="s">
        <v>737</v>
      </c>
      <c r="K7871" t="s">
        <v>49058</v>
      </c>
      <c r="L7871" t="e" vm="47">
        <f>_FV(0,"016")</f>
        <v>#VALUE!</v>
      </c>
    </row>
    <row r="7872" spans="1:12" x14ac:dyDescent="0.25">
      <c r="A7872">
        <v>1357094</v>
      </c>
      <c r="B7872">
        <v>1357097</v>
      </c>
      <c r="D7872">
        <v>0</v>
      </c>
      <c r="E7872" t="s">
        <v>49059</v>
      </c>
      <c r="F7872" t="s">
        <v>49060</v>
      </c>
      <c r="G7872" t="s">
        <v>49061</v>
      </c>
      <c r="H7872" t="s">
        <v>49062</v>
      </c>
      <c r="I7872" t="s">
        <v>49063</v>
      </c>
      <c r="J7872" t="s">
        <v>6029</v>
      </c>
      <c r="K7872" t="s">
        <v>49064</v>
      </c>
      <c r="L7872" t="s">
        <v>6029</v>
      </c>
    </row>
    <row r="7873" spans="1:12" x14ac:dyDescent="0.25">
      <c r="A7873">
        <v>1357094</v>
      </c>
      <c r="B7873">
        <v>1365668</v>
      </c>
      <c r="D7873">
        <v>0</v>
      </c>
      <c r="E7873" t="s">
        <v>49066</v>
      </c>
      <c r="F7873" t="s">
        <v>49067</v>
      </c>
      <c r="G7873" t="s">
        <v>49068</v>
      </c>
      <c r="H7873" t="e" vm="3398">
        <f>_FV(0,"011277869943571913")</f>
        <v>#VALUE!</v>
      </c>
      <c r="I7873" t="s">
        <v>49069</v>
      </c>
      <c r="J7873" t="s">
        <v>49070</v>
      </c>
      <c r="K7873" t="s">
        <v>49071</v>
      </c>
      <c r="L7873" t="s">
        <v>49065</v>
      </c>
    </row>
    <row r="7874" spans="1:12" x14ac:dyDescent="0.25">
      <c r="A7874">
        <v>1357094</v>
      </c>
      <c r="B7874">
        <v>1365636</v>
      </c>
      <c r="D7874">
        <v>0</v>
      </c>
      <c r="E7874" t="s">
        <v>49073</v>
      </c>
      <c r="F7874" t="s">
        <v>49074</v>
      </c>
      <c r="G7874" t="s">
        <v>49075</v>
      </c>
      <c r="H7874" t="s">
        <v>49076</v>
      </c>
      <c r="I7874" t="s">
        <v>49077</v>
      </c>
      <c r="J7874" t="s">
        <v>49078</v>
      </c>
      <c r="K7874" t="s">
        <v>49079</v>
      </c>
      <c r="L7874" t="s">
        <v>49072</v>
      </c>
    </row>
    <row r="7875" spans="1:12" x14ac:dyDescent="0.25">
      <c r="A7875">
        <v>1357097</v>
      </c>
      <c r="B7875">
        <v>1359269</v>
      </c>
      <c r="D7875">
        <v>0</v>
      </c>
      <c r="E7875" t="s">
        <v>49081</v>
      </c>
      <c r="F7875" t="s">
        <v>49082</v>
      </c>
      <c r="G7875" t="s">
        <v>49083</v>
      </c>
      <c r="H7875" t="s">
        <v>49084</v>
      </c>
      <c r="I7875" t="s">
        <v>49085</v>
      </c>
      <c r="J7875" t="s">
        <v>49080</v>
      </c>
      <c r="K7875" t="s">
        <v>49086</v>
      </c>
      <c r="L7875" t="s">
        <v>49080</v>
      </c>
    </row>
    <row r="7876" spans="1:12" x14ac:dyDescent="0.25">
      <c r="A7876">
        <v>1357097</v>
      </c>
      <c r="B7876">
        <v>1359263</v>
      </c>
      <c r="D7876">
        <v>0</v>
      </c>
      <c r="E7876" t="s">
        <v>49088</v>
      </c>
      <c r="F7876" t="s">
        <v>49089</v>
      </c>
      <c r="G7876" t="s">
        <v>49090</v>
      </c>
      <c r="H7876" t="s">
        <v>49091</v>
      </c>
      <c r="I7876" t="s">
        <v>49092</v>
      </c>
      <c r="J7876" t="s">
        <v>49087</v>
      </c>
      <c r="K7876" t="s">
        <v>49093</v>
      </c>
      <c r="L7876" t="s">
        <v>49087</v>
      </c>
    </row>
    <row r="7877" spans="1:12" x14ac:dyDescent="0.25">
      <c r="A7877">
        <v>1357098</v>
      </c>
      <c r="B7877">
        <v>1361281</v>
      </c>
      <c r="D7877">
        <v>0</v>
      </c>
      <c r="E7877" t="s">
        <v>49095</v>
      </c>
      <c r="F7877" t="s">
        <v>49096</v>
      </c>
      <c r="G7877" t="s">
        <v>49097</v>
      </c>
      <c r="H7877" t="s">
        <v>49098</v>
      </c>
      <c r="I7877" t="s">
        <v>49099</v>
      </c>
      <c r="J7877" t="s">
        <v>49100</v>
      </c>
      <c r="K7877" t="s">
        <v>49101</v>
      </c>
      <c r="L7877" t="s">
        <v>49094</v>
      </c>
    </row>
    <row r="7878" spans="1:12" x14ac:dyDescent="0.25">
      <c r="A7878">
        <v>1357098</v>
      </c>
      <c r="B7878">
        <v>1365666</v>
      </c>
      <c r="D7878">
        <v>0</v>
      </c>
      <c r="E7878" t="s">
        <v>49103</v>
      </c>
      <c r="F7878" t="s">
        <v>49104</v>
      </c>
      <c r="G7878" t="s">
        <v>49105</v>
      </c>
      <c r="H7878" t="e" vm="3399">
        <f>_FV(0,"019599647474643253")</f>
        <v>#VALUE!</v>
      </c>
      <c r="I7878" t="s">
        <v>49106</v>
      </c>
      <c r="J7878" t="s">
        <v>49107</v>
      </c>
      <c r="K7878" t="s">
        <v>49108</v>
      </c>
      <c r="L7878" t="s">
        <v>49102</v>
      </c>
    </row>
    <row r="7879" spans="1:12" x14ac:dyDescent="0.25">
      <c r="A7879">
        <v>1357101</v>
      </c>
      <c r="B7879">
        <v>1357111</v>
      </c>
      <c r="D7879">
        <v>0</v>
      </c>
      <c r="E7879" t="s">
        <v>49110</v>
      </c>
      <c r="F7879" t="s">
        <v>49111</v>
      </c>
      <c r="G7879" t="s">
        <v>49112</v>
      </c>
      <c r="H7879" t="e" vm="3400">
        <f>_FV(0,"001017964851837334")</f>
        <v>#VALUE!</v>
      </c>
      <c r="I7879" t="s">
        <v>49113</v>
      </c>
      <c r="J7879" t="s">
        <v>49114</v>
      </c>
      <c r="K7879" t="s">
        <v>49115</v>
      </c>
      <c r="L7879" t="s">
        <v>49109</v>
      </c>
    </row>
    <row r="7880" spans="1:12" x14ac:dyDescent="0.25">
      <c r="A7880">
        <v>1357101</v>
      </c>
      <c r="B7880">
        <v>1399836</v>
      </c>
      <c r="D7880" t="s">
        <v>49117</v>
      </c>
      <c r="E7880" t="s">
        <v>49118</v>
      </c>
      <c r="F7880" t="s">
        <v>49119</v>
      </c>
      <c r="G7880" t="s">
        <v>49120</v>
      </c>
      <c r="H7880" t="s">
        <v>49121</v>
      </c>
      <c r="I7880" t="s">
        <v>49122</v>
      </c>
      <c r="J7880" t="s">
        <v>49123</v>
      </c>
      <c r="K7880" t="s">
        <v>49124</v>
      </c>
      <c r="L7880" t="s">
        <v>49116</v>
      </c>
    </row>
    <row r="7881" spans="1:12" x14ac:dyDescent="0.25">
      <c r="A7881">
        <v>1357101</v>
      </c>
      <c r="B7881">
        <v>1357128</v>
      </c>
      <c r="D7881">
        <v>0</v>
      </c>
      <c r="F7881">
        <v>1550378</v>
      </c>
      <c r="G7881">
        <v>1357101</v>
      </c>
      <c r="H7881" t="e" vm="87">
        <f>_FV(0,"001")</f>
        <v>#VALUE!</v>
      </c>
      <c r="I7881">
        <v>1357128</v>
      </c>
      <c r="J7881" t="s">
        <v>1333</v>
      </c>
      <c r="K7881" t="s">
        <v>49125</v>
      </c>
      <c r="L7881" t="e" vm="87">
        <f>_FV(0,"001")</f>
        <v>#VALUE!</v>
      </c>
    </row>
    <row r="7882" spans="1:12" x14ac:dyDescent="0.25">
      <c r="A7882">
        <v>1357107</v>
      </c>
      <c r="B7882">
        <v>1371092</v>
      </c>
      <c r="D7882">
        <v>0</v>
      </c>
      <c r="F7882">
        <v>1531626</v>
      </c>
      <c r="G7882">
        <v>1371092</v>
      </c>
      <c r="H7882" t="s">
        <v>1333</v>
      </c>
      <c r="I7882">
        <v>1357107</v>
      </c>
      <c r="J7882" t="s">
        <v>1333</v>
      </c>
      <c r="K7882" t="s">
        <v>49126</v>
      </c>
      <c r="L7882" t="s">
        <v>1333</v>
      </c>
    </row>
    <row r="7883" spans="1:12" x14ac:dyDescent="0.25">
      <c r="A7883">
        <v>1357107</v>
      </c>
      <c r="B7883">
        <v>1365023</v>
      </c>
      <c r="D7883">
        <v>0</v>
      </c>
      <c r="E7883" t="s">
        <v>49128</v>
      </c>
      <c r="F7883" t="s">
        <v>49129</v>
      </c>
      <c r="G7883" t="s">
        <v>49130</v>
      </c>
      <c r="H7883" t="s">
        <v>49131</v>
      </c>
      <c r="I7883" t="s">
        <v>49132</v>
      </c>
      <c r="J7883" t="s">
        <v>49127</v>
      </c>
      <c r="K7883" t="s">
        <v>49133</v>
      </c>
      <c r="L7883" t="s">
        <v>49127</v>
      </c>
    </row>
    <row r="7884" spans="1:12" x14ac:dyDescent="0.25">
      <c r="A7884">
        <v>1357114</v>
      </c>
      <c r="B7884">
        <v>1357115</v>
      </c>
      <c r="D7884">
        <v>0</v>
      </c>
      <c r="F7884">
        <v>1499778</v>
      </c>
      <c r="G7884">
        <v>1357115</v>
      </c>
      <c r="H7884" t="s">
        <v>5022</v>
      </c>
      <c r="I7884">
        <v>1357114</v>
      </c>
      <c r="J7884" t="s">
        <v>5022</v>
      </c>
      <c r="K7884" t="s">
        <v>49134</v>
      </c>
      <c r="L7884" t="s">
        <v>5022</v>
      </c>
    </row>
    <row r="7885" spans="1:12" x14ac:dyDescent="0.25">
      <c r="A7885">
        <v>1357114</v>
      </c>
      <c r="B7885">
        <v>1358025</v>
      </c>
      <c r="D7885">
        <v>0</v>
      </c>
      <c r="E7885" t="s">
        <v>49136</v>
      </c>
      <c r="F7885" t="s">
        <v>49137</v>
      </c>
      <c r="G7885" t="s">
        <v>49138</v>
      </c>
      <c r="H7885" t="e" vm="3401">
        <f>_FV(0,"018090511314309898")</f>
        <v>#VALUE!</v>
      </c>
      <c r="I7885" t="s">
        <v>49139</v>
      </c>
      <c r="J7885" t="s">
        <v>49140</v>
      </c>
      <c r="K7885" t="s">
        <v>49141</v>
      </c>
      <c r="L7885" t="s">
        <v>49135</v>
      </c>
    </row>
    <row r="7886" spans="1:12" x14ac:dyDescent="0.25">
      <c r="A7886">
        <v>1357114</v>
      </c>
      <c r="B7886">
        <v>1358029</v>
      </c>
      <c r="D7886">
        <v>0</v>
      </c>
      <c r="E7886" t="s">
        <v>49143</v>
      </c>
      <c r="F7886" t="s">
        <v>49144</v>
      </c>
      <c r="G7886" t="s">
        <v>49145</v>
      </c>
      <c r="H7886" t="e" vm="3402">
        <f>_FV(0,"0330249396458544")</f>
        <v>#VALUE!</v>
      </c>
      <c r="I7886" t="s">
        <v>49146</v>
      </c>
      <c r="J7886" t="s">
        <v>49147</v>
      </c>
      <c r="K7886" t="s">
        <v>49148</v>
      </c>
      <c r="L7886" t="s">
        <v>49142</v>
      </c>
    </row>
    <row r="7887" spans="1:12" x14ac:dyDescent="0.25">
      <c r="A7887">
        <v>1357115</v>
      </c>
      <c r="B7887">
        <v>1358048</v>
      </c>
      <c r="D7887">
        <v>0</v>
      </c>
      <c r="E7887" t="s">
        <v>49150</v>
      </c>
      <c r="F7887" t="s">
        <v>49151</v>
      </c>
      <c r="G7887" t="s">
        <v>49152</v>
      </c>
      <c r="H7887" t="s">
        <v>49153</v>
      </c>
      <c r="I7887" t="s">
        <v>49154</v>
      </c>
      <c r="J7887" t="s">
        <v>49155</v>
      </c>
      <c r="K7887" t="s">
        <v>49156</v>
      </c>
      <c r="L7887" t="s">
        <v>49149</v>
      </c>
    </row>
    <row r="7888" spans="1:12" x14ac:dyDescent="0.25">
      <c r="A7888">
        <v>1357115</v>
      </c>
      <c r="B7888">
        <v>1358084</v>
      </c>
      <c r="D7888">
        <v>0</v>
      </c>
      <c r="E7888" t="s">
        <v>49158</v>
      </c>
      <c r="F7888" t="s">
        <v>49159</v>
      </c>
      <c r="G7888" t="s">
        <v>49160</v>
      </c>
      <c r="H7888" t="e" vm="3403">
        <f>_FV(0,"020928912977962993")</f>
        <v>#VALUE!</v>
      </c>
      <c r="I7888" t="s">
        <v>49161</v>
      </c>
      <c r="J7888" t="s">
        <v>34976</v>
      </c>
      <c r="K7888" t="s">
        <v>49162</v>
      </c>
      <c r="L7888" t="s">
        <v>49157</v>
      </c>
    </row>
    <row r="7889" spans="1:12" x14ac:dyDescent="0.25">
      <c r="A7889">
        <v>1357122</v>
      </c>
      <c r="B7889">
        <v>1357128</v>
      </c>
      <c r="D7889">
        <v>0</v>
      </c>
      <c r="E7889" t="s">
        <v>49164</v>
      </c>
      <c r="F7889" t="s">
        <v>49165</v>
      </c>
      <c r="G7889" t="s">
        <v>49166</v>
      </c>
      <c r="H7889" t="s">
        <v>49167</v>
      </c>
      <c r="I7889" t="s">
        <v>49168</v>
      </c>
      <c r="J7889" t="s">
        <v>49169</v>
      </c>
      <c r="K7889" t="s">
        <v>49170</v>
      </c>
      <c r="L7889" t="s">
        <v>49163</v>
      </c>
    </row>
    <row r="7890" spans="1:12" x14ac:dyDescent="0.25">
      <c r="A7890">
        <v>1357122</v>
      </c>
      <c r="B7890">
        <v>1357122</v>
      </c>
      <c r="D7890">
        <v>0</v>
      </c>
      <c r="E7890" t="s">
        <v>49172</v>
      </c>
      <c r="F7890" t="s">
        <v>49173</v>
      </c>
      <c r="G7890" t="s">
        <v>49174</v>
      </c>
      <c r="H7890" t="e" vm="3404">
        <f>_FV(-4,"389112100067809e")-5</f>
        <v>#VALUE!</v>
      </c>
      <c r="I7890" t="s">
        <v>49175</v>
      </c>
      <c r="J7890" t="s">
        <v>49176</v>
      </c>
      <c r="K7890" t="s">
        <v>49177</v>
      </c>
      <c r="L7890" t="s">
        <v>49171</v>
      </c>
    </row>
    <row r="7891" spans="1:12" x14ac:dyDescent="0.25">
      <c r="A7891">
        <v>1357127</v>
      </c>
      <c r="B7891">
        <v>1357138</v>
      </c>
      <c r="D7891">
        <v>0</v>
      </c>
      <c r="E7891" t="s">
        <v>49179</v>
      </c>
      <c r="F7891" t="s">
        <v>49180</v>
      </c>
      <c r="G7891" t="s">
        <v>49181</v>
      </c>
      <c r="H7891" t="e" vm="3405">
        <f>_FV(0,"021942786980338466")</f>
        <v>#VALUE!</v>
      </c>
      <c r="I7891" t="s">
        <v>49182</v>
      </c>
      <c r="J7891" t="s">
        <v>49183</v>
      </c>
      <c r="K7891" t="s">
        <v>49184</v>
      </c>
      <c r="L7891" t="s">
        <v>49178</v>
      </c>
    </row>
    <row r="7892" spans="1:12" x14ac:dyDescent="0.25">
      <c r="A7892">
        <v>1357127</v>
      </c>
      <c r="B7892">
        <v>1358029</v>
      </c>
      <c r="D7892">
        <v>0</v>
      </c>
      <c r="F7892">
        <v>1501218</v>
      </c>
      <c r="G7892">
        <v>1357127</v>
      </c>
      <c r="H7892" t="s">
        <v>467</v>
      </c>
      <c r="I7892">
        <v>1358029</v>
      </c>
      <c r="J7892" t="s">
        <v>467</v>
      </c>
      <c r="K7892" t="s">
        <v>49185</v>
      </c>
      <c r="L7892" t="s">
        <v>467</v>
      </c>
    </row>
    <row r="7893" spans="1:12" x14ac:dyDescent="0.25">
      <c r="A7893">
        <v>1357127</v>
      </c>
      <c r="B7893">
        <v>1362746</v>
      </c>
      <c r="D7893">
        <v>0</v>
      </c>
      <c r="E7893" t="s">
        <v>49187</v>
      </c>
      <c r="F7893" t="s">
        <v>49188</v>
      </c>
      <c r="G7893" t="s">
        <v>49189</v>
      </c>
      <c r="H7893" t="e" vm="3406">
        <f>_FV(0,"010776555276948688")</f>
        <v>#VALUE!</v>
      </c>
      <c r="I7893" t="s">
        <v>49190</v>
      </c>
      <c r="J7893" t="s">
        <v>49191</v>
      </c>
      <c r="K7893" t="s">
        <v>49192</v>
      </c>
      <c r="L7893" t="s">
        <v>49186</v>
      </c>
    </row>
    <row r="7894" spans="1:12" x14ac:dyDescent="0.25">
      <c r="A7894">
        <v>1357128</v>
      </c>
      <c r="B7894">
        <v>1367571</v>
      </c>
      <c r="D7894">
        <v>0</v>
      </c>
      <c r="E7894" t="s">
        <v>49194</v>
      </c>
      <c r="F7894" t="s">
        <v>49195</v>
      </c>
      <c r="G7894" t="s">
        <v>49196</v>
      </c>
      <c r="H7894" t="s">
        <v>49197</v>
      </c>
      <c r="I7894" t="s">
        <v>49198</v>
      </c>
      <c r="J7894" t="s">
        <v>49193</v>
      </c>
      <c r="K7894" t="s">
        <v>49199</v>
      </c>
      <c r="L7894" t="s">
        <v>49193</v>
      </c>
    </row>
    <row r="7895" spans="1:12" x14ac:dyDescent="0.25">
      <c r="A7895">
        <v>1357131</v>
      </c>
      <c r="B7895">
        <v>1357147</v>
      </c>
      <c r="D7895">
        <v>0</v>
      </c>
      <c r="E7895" t="s">
        <v>49201</v>
      </c>
      <c r="F7895" t="s">
        <v>49202</v>
      </c>
      <c r="G7895" t="s">
        <v>49203</v>
      </c>
      <c r="H7895" t="e" vm="3407">
        <f>_FV(0,"07539198786348696")</f>
        <v>#VALUE!</v>
      </c>
      <c r="I7895" t="s">
        <v>49204</v>
      </c>
      <c r="J7895" t="s">
        <v>49205</v>
      </c>
      <c r="K7895" t="s">
        <v>49206</v>
      </c>
      <c r="L7895" t="s">
        <v>49200</v>
      </c>
    </row>
    <row r="7896" spans="1:12" x14ac:dyDescent="0.25">
      <c r="A7896">
        <v>1357131</v>
      </c>
      <c r="B7896">
        <v>1357161</v>
      </c>
      <c r="D7896">
        <v>0</v>
      </c>
      <c r="E7896" t="s">
        <v>49208</v>
      </c>
      <c r="F7896" t="s">
        <v>49209</v>
      </c>
      <c r="G7896" t="s">
        <v>49210</v>
      </c>
      <c r="H7896" t="s">
        <v>49211</v>
      </c>
      <c r="I7896" t="s">
        <v>49212</v>
      </c>
      <c r="J7896" t="s">
        <v>49207</v>
      </c>
      <c r="K7896" t="s">
        <v>49213</v>
      </c>
      <c r="L7896" t="s">
        <v>49207</v>
      </c>
    </row>
    <row r="7897" spans="1:12" x14ac:dyDescent="0.25">
      <c r="A7897">
        <v>1357138</v>
      </c>
      <c r="B7897">
        <v>1362817</v>
      </c>
      <c r="D7897">
        <v>0</v>
      </c>
      <c r="E7897" t="s">
        <v>49215</v>
      </c>
      <c r="F7897" t="s">
        <v>49216</v>
      </c>
      <c r="G7897" t="s">
        <v>49217</v>
      </c>
      <c r="H7897" t="s">
        <v>49218</v>
      </c>
      <c r="I7897" t="s">
        <v>49219</v>
      </c>
      <c r="J7897" t="s">
        <v>49220</v>
      </c>
      <c r="K7897" t="s">
        <v>49221</v>
      </c>
      <c r="L7897" t="s">
        <v>49214</v>
      </c>
    </row>
    <row r="7898" spans="1:12" x14ac:dyDescent="0.25">
      <c r="A7898">
        <v>1357138</v>
      </c>
      <c r="B7898">
        <v>1358025</v>
      </c>
      <c r="D7898">
        <v>0</v>
      </c>
      <c r="E7898" t="s">
        <v>49223</v>
      </c>
      <c r="F7898" t="s">
        <v>49224</v>
      </c>
      <c r="G7898" t="s">
        <v>49225</v>
      </c>
      <c r="H7898" t="e" vm="3408">
        <f>_FV(0,"0058814681474970145")</f>
        <v>#VALUE!</v>
      </c>
      <c r="I7898" t="s">
        <v>49226</v>
      </c>
      <c r="J7898" t="s">
        <v>49227</v>
      </c>
      <c r="K7898" t="s">
        <v>49228</v>
      </c>
      <c r="L7898" t="s">
        <v>49222</v>
      </c>
    </row>
    <row r="7899" spans="1:12" x14ac:dyDescent="0.25">
      <c r="A7899">
        <v>1357147</v>
      </c>
      <c r="B7899">
        <v>1357149</v>
      </c>
      <c r="D7899">
        <v>0</v>
      </c>
      <c r="E7899" t="s">
        <v>49230</v>
      </c>
      <c r="F7899" t="s">
        <v>49231</v>
      </c>
      <c r="G7899" t="s">
        <v>49232</v>
      </c>
      <c r="H7899" t="e" vm="3409">
        <f>_FV(0,"003160308934610317")</f>
        <v>#VALUE!</v>
      </c>
      <c r="I7899" t="s">
        <v>49233</v>
      </c>
      <c r="J7899" t="s">
        <v>49234</v>
      </c>
      <c r="K7899" t="s">
        <v>49235</v>
      </c>
      <c r="L7899" t="s">
        <v>49229</v>
      </c>
    </row>
    <row r="7900" spans="1:12" x14ac:dyDescent="0.25">
      <c r="A7900">
        <v>1357147</v>
      </c>
      <c r="B7900">
        <v>1357185</v>
      </c>
      <c r="D7900" t="s">
        <v>26058</v>
      </c>
      <c r="E7900" t="s">
        <v>49237</v>
      </c>
      <c r="F7900" t="s">
        <v>49238</v>
      </c>
      <c r="G7900" t="s">
        <v>49239</v>
      </c>
      <c r="H7900" t="s">
        <v>49240</v>
      </c>
      <c r="I7900" t="s">
        <v>49241</v>
      </c>
      <c r="J7900" t="s">
        <v>49242</v>
      </c>
      <c r="K7900" t="s">
        <v>49243</v>
      </c>
      <c r="L7900" t="s">
        <v>49236</v>
      </c>
    </row>
    <row r="7901" spans="1:12" x14ac:dyDescent="0.25">
      <c r="A7901">
        <v>1357149</v>
      </c>
      <c r="B7901">
        <v>1357161</v>
      </c>
      <c r="D7901">
        <v>0</v>
      </c>
      <c r="E7901" t="s">
        <v>49245</v>
      </c>
      <c r="F7901" t="s">
        <v>49246</v>
      </c>
      <c r="G7901" t="s">
        <v>49247</v>
      </c>
      <c r="H7901" t="s">
        <v>49248</v>
      </c>
      <c r="I7901" t="s">
        <v>49249</v>
      </c>
      <c r="J7901" t="s">
        <v>49244</v>
      </c>
      <c r="K7901" t="s">
        <v>49250</v>
      </c>
      <c r="L7901" t="s">
        <v>49244</v>
      </c>
    </row>
    <row r="7902" spans="1:12" x14ac:dyDescent="0.25">
      <c r="A7902">
        <v>1357149</v>
      </c>
      <c r="B7902">
        <v>1357244</v>
      </c>
      <c r="D7902" t="s">
        <v>26058</v>
      </c>
      <c r="E7902" t="s">
        <v>49252</v>
      </c>
      <c r="F7902" t="s">
        <v>49253</v>
      </c>
      <c r="G7902" t="s">
        <v>49254</v>
      </c>
      <c r="H7902" t="s">
        <v>49255</v>
      </c>
      <c r="I7902" t="s">
        <v>49256</v>
      </c>
      <c r="J7902" t="s">
        <v>49257</v>
      </c>
      <c r="K7902" t="s">
        <v>49258</v>
      </c>
      <c r="L7902" t="s">
        <v>49251</v>
      </c>
    </row>
    <row r="7903" spans="1:12" x14ac:dyDescent="0.25">
      <c r="A7903">
        <v>1357161</v>
      </c>
      <c r="B7903">
        <v>1365675</v>
      </c>
      <c r="D7903">
        <v>0</v>
      </c>
      <c r="E7903" t="s">
        <v>49260</v>
      </c>
      <c r="F7903" t="s">
        <v>49261</v>
      </c>
      <c r="G7903" t="s">
        <v>49262</v>
      </c>
      <c r="H7903" t="e" vm="3410">
        <f>_FV(0,"03227201366202818")</f>
        <v>#VALUE!</v>
      </c>
      <c r="I7903" t="s">
        <v>49263</v>
      </c>
      <c r="J7903" t="s">
        <v>49264</v>
      </c>
      <c r="K7903" t="s">
        <v>49265</v>
      </c>
      <c r="L7903" t="s">
        <v>49259</v>
      </c>
    </row>
    <row r="7904" spans="1:12" x14ac:dyDescent="0.25">
      <c r="A7904">
        <v>1357162</v>
      </c>
      <c r="B7904">
        <v>1358075</v>
      </c>
      <c r="D7904">
        <v>0</v>
      </c>
      <c r="E7904" t="s">
        <v>49267</v>
      </c>
      <c r="F7904" t="s">
        <v>49268</v>
      </c>
      <c r="G7904" t="s">
        <v>49269</v>
      </c>
      <c r="H7904" t="e" vm="3411">
        <f>_FV(0,"07359156353003243")</f>
        <v>#VALUE!</v>
      </c>
      <c r="I7904" t="s">
        <v>49270</v>
      </c>
      <c r="J7904" t="s">
        <v>49271</v>
      </c>
      <c r="K7904" t="s">
        <v>49272</v>
      </c>
      <c r="L7904" t="s">
        <v>49266</v>
      </c>
    </row>
    <row r="7905" spans="1:12" x14ac:dyDescent="0.25">
      <c r="A7905">
        <v>1357162</v>
      </c>
      <c r="B7905">
        <v>1358048</v>
      </c>
      <c r="D7905">
        <v>0</v>
      </c>
      <c r="F7905">
        <v>1501259</v>
      </c>
      <c r="G7905">
        <v>1357162</v>
      </c>
      <c r="H7905" t="s">
        <v>7542</v>
      </c>
      <c r="I7905">
        <v>1358048</v>
      </c>
      <c r="J7905" t="s">
        <v>7542</v>
      </c>
      <c r="K7905" t="s">
        <v>49273</v>
      </c>
      <c r="L7905" t="s">
        <v>7542</v>
      </c>
    </row>
    <row r="7906" spans="1:12" x14ac:dyDescent="0.25">
      <c r="A7906">
        <v>1357162</v>
      </c>
      <c r="B7906">
        <v>1400855</v>
      </c>
      <c r="D7906">
        <v>0</v>
      </c>
      <c r="E7906" t="s">
        <v>49275</v>
      </c>
      <c r="F7906" t="s">
        <v>49276</v>
      </c>
      <c r="G7906" t="s">
        <v>49277</v>
      </c>
      <c r="H7906" t="s">
        <v>49278</v>
      </c>
      <c r="I7906" t="s">
        <v>49279</v>
      </c>
      <c r="J7906" t="s">
        <v>49280</v>
      </c>
      <c r="K7906" t="s">
        <v>49281</v>
      </c>
      <c r="L7906" t="s">
        <v>49274</v>
      </c>
    </row>
    <row r="7907" spans="1:12" x14ac:dyDescent="0.25">
      <c r="A7907">
        <v>1357174</v>
      </c>
      <c r="B7907">
        <v>1363061</v>
      </c>
      <c r="D7907">
        <v>0</v>
      </c>
      <c r="E7907" t="s">
        <v>49283</v>
      </c>
      <c r="F7907" t="s">
        <v>49284</v>
      </c>
      <c r="G7907" t="s">
        <v>49285</v>
      </c>
      <c r="H7907" t="s">
        <v>49286</v>
      </c>
      <c r="I7907" t="s">
        <v>49287</v>
      </c>
      <c r="J7907" t="s">
        <v>49288</v>
      </c>
      <c r="K7907" t="s">
        <v>49289</v>
      </c>
      <c r="L7907" t="s">
        <v>49282</v>
      </c>
    </row>
    <row r="7908" spans="1:12" x14ac:dyDescent="0.25">
      <c r="A7908">
        <v>1357174</v>
      </c>
      <c r="B7908">
        <v>1357181</v>
      </c>
      <c r="D7908">
        <v>0</v>
      </c>
      <c r="E7908" t="s">
        <v>49291</v>
      </c>
      <c r="F7908" t="s">
        <v>49292</v>
      </c>
      <c r="G7908" t="s">
        <v>49293</v>
      </c>
      <c r="H7908" t="s">
        <v>49294</v>
      </c>
      <c r="I7908" t="s">
        <v>49295</v>
      </c>
      <c r="J7908" t="s">
        <v>49290</v>
      </c>
      <c r="K7908" t="s">
        <v>49296</v>
      </c>
      <c r="L7908" t="s">
        <v>49290</v>
      </c>
    </row>
    <row r="7909" spans="1:12" x14ac:dyDescent="0.25">
      <c r="A7909">
        <v>1357174</v>
      </c>
      <c r="B7909">
        <v>1362920</v>
      </c>
      <c r="D7909">
        <v>0</v>
      </c>
      <c r="E7909" t="s">
        <v>49298</v>
      </c>
      <c r="F7909" t="s">
        <v>49299</v>
      </c>
      <c r="G7909" t="s">
        <v>49300</v>
      </c>
      <c r="H7909" t="s">
        <v>49301</v>
      </c>
      <c r="I7909" t="s">
        <v>49302</v>
      </c>
      <c r="J7909" t="s">
        <v>49297</v>
      </c>
      <c r="K7909" t="s">
        <v>49303</v>
      </c>
      <c r="L7909" t="s">
        <v>49297</v>
      </c>
    </row>
    <row r="7910" spans="1:12" x14ac:dyDescent="0.25">
      <c r="A7910">
        <v>1357181</v>
      </c>
      <c r="B7910">
        <v>1400875</v>
      </c>
      <c r="D7910">
        <v>0</v>
      </c>
      <c r="E7910" t="s">
        <v>49305</v>
      </c>
      <c r="F7910" t="s">
        <v>49306</v>
      </c>
      <c r="G7910" t="s">
        <v>49307</v>
      </c>
      <c r="H7910" t="e" vm="3412">
        <f>_FV(0,"0024812760668075397")</f>
        <v>#VALUE!</v>
      </c>
      <c r="I7910" t="s">
        <v>49308</v>
      </c>
      <c r="J7910" t="s">
        <v>49309</v>
      </c>
      <c r="K7910" t="s">
        <v>49310</v>
      </c>
      <c r="L7910" t="s">
        <v>49304</v>
      </c>
    </row>
    <row r="7911" spans="1:12" x14ac:dyDescent="0.25">
      <c r="A7911">
        <v>1357181</v>
      </c>
      <c r="B7911">
        <v>1400869</v>
      </c>
      <c r="D7911" t="s">
        <v>514</v>
      </c>
      <c r="E7911" t="s">
        <v>49312</v>
      </c>
      <c r="F7911" t="s">
        <v>49313</v>
      </c>
      <c r="G7911" t="s">
        <v>49314</v>
      </c>
      <c r="H7911" t="e" vm="3413">
        <f>_FV(0,"02307475601435451")</f>
        <v>#VALUE!</v>
      </c>
      <c r="I7911" t="s">
        <v>49315</v>
      </c>
      <c r="J7911" t="s">
        <v>49316</v>
      </c>
      <c r="K7911" t="s">
        <v>49317</v>
      </c>
      <c r="L7911" t="s">
        <v>49311</v>
      </c>
    </row>
    <row r="7912" spans="1:12" x14ac:dyDescent="0.25">
      <c r="A7912">
        <v>1357185</v>
      </c>
      <c r="B7912">
        <v>1357186</v>
      </c>
      <c r="D7912">
        <v>0</v>
      </c>
      <c r="F7912">
        <v>1499877</v>
      </c>
      <c r="G7912">
        <v>1357186</v>
      </c>
      <c r="H7912" t="s">
        <v>1534</v>
      </c>
      <c r="I7912">
        <v>1357185</v>
      </c>
      <c r="J7912" t="s">
        <v>1534</v>
      </c>
      <c r="K7912" t="s">
        <v>49318</v>
      </c>
      <c r="L7912" t="s">
        <v>1534</v>
      </c>
    </row>
    <row r="7913" spans="1:12" x14ac:dyDescent="0.25">
      <c r="A7913">
        <v>1357185</v>
      </c>
      <c r="B7913">
        <v>1357244</v>
      </c>
      <c r="D7913">
        <v>0</v>
      </c>
      <c r="E7913" t="s">
        <v>49320</v>
      </c>
      <c r="F7913" t="s">
        <v>49321</v>
      </c>
      <c r="G7913" t="s">
        <v>49322</v>
      </c>
      <c r="H7913" t="s">
        <v>49323</v>
      </c>
      <c r="I7913" t="s">
        <v>49324</v>
      </c>
      <c r="J7913" t="s">
        <v>31581</v>
      </c>
      <c r="K7913" t="s">
        <v>49325</v>
      </c>
      <c r="L7913" t="s">
        <v>49319</v>
      </c>
    </row>
    <row r="7914" spans="1:12" x14ac:dyDescent="0.25">
      <c r="A7914">
        <v>1357186</v>
      </c>
      <c r="B7914">
        <v>1357189</v>
      </c>
      <c r="D7914">
        <v>0</v>
      </c>
      <c r="E7914" t="s">
        <v>49326</v>
      </c>
      <c r="F7914" t="s">
        <v>49327</v>
      </c>
      <c r="G7914" t="s">
        <v>49328</v>
      </c>
      <c r="H7914" t="s">
        <v>49329</v>
      </c>
      <c r="I7914" t="s">
        <v>49330</v>
      </c>
      <c r="J7914" t="s">
        <v>4084</v>
      </c>
      <c r="K7914" t="s">
        <v>49331</v>
      </c>
      <c r="L7914" t="s">
        <v>4084</v>
      </c>
    </row>
    <row r="7915" spans="1:12" x14ac:dyDescent="0.25">
      <c r="A7915">
        <v>1357186</v>
      </c>
      <c r="B7915">
        <v>1367571</v>
      </c>
      <c r="D7915">
        <v>0</v>
      </c>
      <c r="E7915" t="s">
        <v>49332</v>
      </c>
      <c r="F7915" t="s">
        <v>49333</v>
      </c>
      <c r="G7915" t="s">
        <v>49334</v>
      </c>
      <c r="H7915" t="e" vm="3414">
        <f>_FV(0,"004357642414931529")</f>
        <v>#VALUE!</v>
      </c>
      <c r="I7915" t="s">
        <v>49335</v>
      </c>
      <c r="J7915" t="s">
        <v>7624</v>
      </c>
      <c r="K7915" t="s">
        <v>49336</v>
      </c>
      <c r="L7915" t="s">
        <v>15078</v>
      </c>
    </row>
    <row r="7916" spans="1:12" x14ac:dyDescent="0.25">
      <c r="A7916">
        <v>1357189</v>
      </c>
      <c r="B7916">
        <v>1357244</v>
      </c>
      <c r="D7916">
        <v>0</v>
      </c>
      <c r="E7916" t="s">
        <v>49338</v>
      </c>
      <c r="F7916" t="s">
        <v>49339</v>
      </c>
      <c r="G7916" t="s">
        <v>49340</v>
      </c>
      <c r="H7916" t="e" vm="3415">
        <f>_FV(0,"013838424348444745")</f>
        <v>#VALUE!</v>
      </c>
      <c r="I7916" t="s">
        <v>49341</v>
      </c>
      <c r="J7916" t="s">
        <v>49342</v>
      </c>
      <c r="K7916" t="s">
        <v>49343</v>
      </c>
      <c r="L7916" t="s">
        <v>49337</v>
      </c>
    </row>
    <row r="7917" spans="1:12" x14ac:dyDescent="0.25">
      <c r="A7917">
        <v>1357189</v>
      </c>
      <c r="B7917">
        <v>1367571</v>
      </c>
      <c r="D7917">
        <v>0</v>
      </c>
      <c r="E7917" t="s">
        <v>49345</v>
      </c>
      <c r="F7917" t="s">
        <v>49346</v>
      </c>
      <c r="G7917" t="s">
        <v>49347</v>
      </c>
      <c r="H7917" t="e" vm="3416">
        <f>_FV(0,"012045106273353517")</f>
        <v>#VALUE!</v>
      </c>
      <c r="I7917" t="s">
        <v>49348</v>
      </c>
      <c r="J7917" t="s">
        <v>49349</v>
      </c>
      <c r="K7917" t="s">
        <v>49350</v>
      </c>
      <c r="L7917" t="s">
        <v>49344</v>
      </c>
    </row>
    <row r="7918" spans="1:12" x14ac:dyDescent="0.25">
      <c r="A7918">
        <v>1357250</v>
      </c>
      <c r="B7918">
        <v>1357256</v>
      </c>
      <c r="D7918">
        <v>0</v>
      </c>
      <c r="F7918">
        <v>1499985</v>
      </c>
      <c r="G7918">
        <v>1357256</v>
      </c>
      <c r="H7918" t="e" vm="342">
        <f>_FV(0,"011")</f>
        <v>#VALUE!</v>
      </c>
      <c r="I7918">
        <v>1357250</v>
      </c>
      <c r="J7918" t="s">
        <v>4848</v>
      </c>
      <c r="K7918" t="s">
        <v>49351</v>
      </c>
      <c r="L7918" t="e" vm="342">
        <f>_FV(0,"011")</f>
        <v>#VALUE!</v>
      </c>
    </row>
    <row r="7919" spans="1:12" x14ac:dyDescent="0.25">
      <c r="A7919">
        <v>1357250</v>
      </c>
      <c r="B7919">
        <v>1368021</v>
      </c>
      <c r="D7919">
        <v>0</v>
      </c>
      <c r="E7919" t="s">
        <v>49353</v>
      </c>
      <c r="F7919" t="s">
        <v>49354</v>
      </c>
      <c r="G7919" t="s">
        <v>49355</v>
      </c>
      <c r="H7919" t="s">
        <v>49356</v>
      </c>
      <c r="I7919" t="s">
        <v>49357</v>
      </c>
      <c r="J7919" t="s">
        <v>49358</v>
      </c>
      <c r="K7919" t="s">
        <v>49359</v>
      </c>
      <c r="L7919" t="s">
        <v>49352</v>
      </c>
    </row>
    <row r="7920" spans="1:12" x14ac:dyDescent="0.25">
      <c r="A7920">
        <v>1357250</v>
      </c>
      <c r="B7920">
        <v>1357276</v>
      </c>
      <c r="D7920">
        <v>0</v>
      </c>
      <c r="E7920" t="s">
        <v>49361</v>
      </c>
      <c r="F7920" t="s">
        <v>49362</v>
      </c>
      <c r="G7920" t="s">
        <v>49363</v>
      </c>
      <c r="H7920" t="s">
        <v>49364</v>
      </c>
      <c r="I7920" t="s">
        <v>49365</v>
      </c>
      <c r="J7920" t="s">
        <v>49366</v>
      </c>
      <c r="K7920" t="s">
        <v>49367</v>
      </c>
      <c r="L7920" t="s">
        <v>49360</v>
      </c>
    </row>
    <row r="7921" spans="1:12" x14ac:dyDescent="0.25">
      <c r="A7921">
        <v>1357251</v>
      </c>
      <c r="B7921">
        <v>1391983</v>
      </c>
      <c r="D7921">
        <v>0</v>
      </c>
      <c r="E7921" t="s">
        <v>49369</v>
      </c>
      <c r="F7921" t="s">
        <v>49370</v>
      </c>
      <c r="G7921" t="s">
        <v>49371</v>
      </c>
      <c r="H7921" t="e" vm="3417">
        <f>_FV(0,"019686848023959556")</f>
        <v>#VALUE!</v>
      </c>
      <c r="I7921" t="s">
        <v>49372</v>
      </c>
      <c r="J7921" t="s">
        <v>49373</v>
      </c>
      <c r="K7921" t="s">
        <v>49374</v>
      </c>
      <c r="L7921" t="s">
        <v>49368</v>
      </c>
    </row>
    <row r="7922" spans="1:12" x14ac:dyDescent="0.25">
      <c r="A7922">
        <v>1357251</v>
      </c>
      <c r="B7922">
        <v>1363127</v>
      </c>
      <c r="D7922">
        <v>0</v>
      </c>
      <c r="E7922" t="s">
        <v>49376</v>
      </c>
      <c r="F7922" t="s">
        <v>49377</v>
      </c>
      <c r="G7922" t="s">
        <v>49378</v>
      </c>
      <c r="H7922" t="e" vm="3418">
        <f>_FV(0,"005755245092646854")</f>
        <v>#VALUE!</v>
      </c>
      <c r="I7922" t="s">
        <v>49379</v>
      </c>
      <c r="J7922" t="s">
        <v>49380</v>
      </c>
      <c r="K7922" t="s">
        <v>49381</v>
      </c>
      <c r="L7922" t="s">
        <v>49375</v>
      </c>
    </row>
    <row r="7923" spans="1:12" x14ac:dyDescent="0.25">
      <c r="A7923">
        <v>1357256</v>
      </c>
      <c r="B7923">
        <v>1357274</v>
      </c>
      <c r="D7923">
        <v>0</v>
      </c>
      <c r="E7923" t="s">
        <v>49382</v>
      </c>
      <c r="F7923" t="s">
        <v>49383</v>
      </c>
      <c r="G7923" t="s">
        <v>49384</v>
      </c>
      <c r="H7923" t="e" vm="3419">
        <f>_FV(0,"02935142230550076")</f>
        <v>#VALUE!</v>
      </c>
      <c r="I7923" t="s">
        <v>49385</v>
      </c>
      <c r="J7923" t="s">
        <v>20209</v>
      </c>
      <c r="K7923" t="s">
        <v>49386</v>
      </c>
      <c r="L7923" t="s">
        <v>20204</v>
      </c>
    </row>
    <row r="7924" spans="1:12" x14ac:dyDescent="0.25">
      <c r="A7924">
        <v>1357256</v>
      </c>
      <c r="B7924">
        <v>1357342</v>
      </c>
      <c r="D7924" t="s">
        <v>7856</v>
      </c>
      <c r="E7924" t="s">
        <v>49388</v>
      </c>
      <c r="F7924" t="s">
        <v>49389</v>
      </c>
      <c r="G7924" t="s">
        <v>49390</v>
      </c>
      <c r="H7924" t="s">
        <v>49391</v>
      </c>
      <c r="I7924" t="s">
        <v>49392</v>
      </c>
      <c r="J7924" t="s">
        <v>49393</v>
      </c>
      <c r="K7924" t="s">
        <v>49394</v>
      </c>
      <c r="L7924" t="s">
        <v>49387</v>
      </c>
    </row>
    <row r="7925" spans="1:12" x14ac:dyDescent="0.25">
      <c r="A7925">
        <v>1357264</v>
      </c>
      <c r="B7925">
        <v>1400900</v>
      </c>
      <c r="D7925">
        <v>0</v>
      </c>
      <c r="E7925" t="s">
        <v>49396</v>
      </c>
      <c r="F7925" t="s">
        <v>49397</v>
      </c>
      <c r="G7925" t="s">
        <v>49398</v>
      </c>
      <c r="H7925" t="e" vm="3420">
        <f>_FV(0,"0006529777793840808")</f>
        <v>#VALUE!</v>
      </c>
      <c r="I7925" t="s">
        <v>49399</v>
      </c>
      <c r="J7925" t="s">
        <v>49400</v>
      </c>
      <c r="K7925" t="s">
        <v>49401</v>
      </c>
      <c r="L7925" t="s">
        <v>49395</v>
      </c>
    </row>
    <row r="7926" spans="1:12" x14ac:dyDescent="0.25">
      <c r="A7926">
        <v>1357264</v>
      </c>
      <c r="B7926">
        <v>1357271</v>
      </c>
      <c r="D7926">
        <v>0</v>
      </c>
      <c r="E7926" t="s">
        <v>49403</v>
      </c>
      <c r="F7926" t="s">
        <v>49404</v>
      </c>
      <c r="G7926" t="s">
        <v>49405</v>
      </c>
      <c r="H7926" t="e" vm="3421">
        <f>_FV(0,"001230833031321784")</f>
        <v>#VALUE!</v>
      </c>
      <c r="I7926" t="s">
        <v>49406</v>
      </c>
      <c r="J7926" t="s">
        <v>49407</v>
      </c>
      <c r="K7926" t="s">
        <v>49408</v>
      </c>
      <c r="L7926" t="s">
        <v>49402</v>
      </c>
    </row>
    <row r="7927" spans="1:12" x14ac:dyDescent="0.25">
      <c r="A7927">
        <v>1357271</v>
      </c>
      <c r="B7927">
        <v>1400906</v>
      </c>
      <c r="D7927">
        <v>0</v>
      </c>
      <c r="E7927" t="s">
        <v>49409</v>
      </c>
      <c r="F7927" t="s">
        <v>49410</v>
      </c>
      <c r="G7927" t="s">
        <v>49411</v>
      </c>
      <c r="H7927" t="s">
        <v>49412</v>
      </c>
      <c r="I7927" t="s">
        <v>49413</v>
      </c>
      <c r="J7927" t="s">
        <v>20290</v>
      </c>
      <c r="K7927" t="s">
        <v>49414</v>
      </c>
      <c r="L7927" t="s">
        <v>20290</v>
      </c>
    </row>
    <row r="7928" spans="1:12" x14ac:dyDescent="0.25">
      <c r="A7928">
        <v>1357274</v>
      </c>
      <c r="B7928">
        <v>1357276</v>
      </c>
      <c r="D7928">
        <v>0</v>
      </c>
      <c r="F7928">
        <v>1500024</v>
      </c>
      <c r="G7928">
        <v>1357276</v>
      </c>
      <c r="H7928" t="e" vm="109">
        <f>_FV(0,"01")</f>
        <v>#VALUE!</v>
      </c>
      <c r="I7928">
        <v>1357274</v>
      </c>
      <c r="J7928" t="s">
        <v>761</v>
      </c>
      <c r="K7928" t="s">
        <v>49415</v>
      </c>
      <c r="L7928" t="e" vm="109">
        <f>_FV(0,"01")</f>
        <v>#VALUE!</v>
      </c>
    </row>
    <row r="7929" spans="1:12" x14ac:dyDescent="0.25">
      <c r="A7929">
        <v>1357274</v>
      </c>
      <c r="B7929">
        <v>1357362</v>
      </c>
      <c r="D7929" t="s">
        <v>330</v>
      </c>
      <c r="E7929" t="s">
        <v>49417</v>
      </c>
      <c r="F7929" t="s">
        <v>49418</v>
      </c>
      <c r="G7929" t="s">
        <v>49419</v>
      </c>
      <c r="H7929" t="s">
        <v>49420</v>
      </c>
      <c r="I7929" t="s">
        <v>49421</v>
      </c>
      <c r="J7929" t="s">
        <v>49416</v>
      </c>
      <c r="K7929" t="s">
        <v>49422</v>
      </c>
      <c r="L7929" t="s">
        <v>49416</v>
      </c>
    </row>
    <row r="7930" spans="1:12" x14ac:dyDescent="0.25">
      <c r="A7930">
        <v>1357330</v>
      </c>
      <c r="B7930">
        <v>1370379</v>
      </c>
      <c r="D7930">
        <v>0</v>
      </c>
      <c r="F7930">
        <v>1526770</v>
      </c>
      <c r="G7930">
        <v>1370379</v>
      </c>
      <c r="H7930" t="s">
        <v>1783</v>
      </c>
      <c r="I7930">
        <v>1357330</v>
      </c>
      <c r="J7930" t="s">
        <v>1783</v>
      </c>
      <c r="K7930" t="s">
        <v>49423</v>
      </c>
      <c r="L7930" t="s">
        <v>1783</v>
      </c>
    </row>
    <row r="7931" spans="1:12" x14ac:dyDescent="0.25">
      <c r="A7931">
        <v>1357330</v>
      </c>
      <c r="B7931">
        <v>1357347</v>
      </c>
      <c r="D7931">
        <v>0</v>
      </c>
      <c r="F7931">
        <v>1526762</v>
      </c>
      <c r="G7931">
        <v>1357330</v>
      </c>
      <c r="H7931" t="e" vm="87">
        <f>_FV(0,"001")</f>
        <v>#VALUE!</v>
      </c>
      <c r="I7931">
        <v>1357347</v>
      </c>
      <c r="J7931" t="s">
        <v>1333</v>
      </c>
      <c r="K7931" t="s">
        <v>49424</v>
      </c>
      <c r="L7931" t="e" vm="87">
        <f>_FV(0,"001")</f>
        <v>#VALUE!</v>
      </c>
    </row>
    <row r="7932" spans="1:12" x14ac:dyDescent="0.25">
      <c r="A7932">
        <v>1357330</v>
      </c>
      <c r="B7932">
        <v>1807729</v>
      </c>
      <c r="D7932">
        <v>0</v>
      </c>
      <c r="E7932" t="s">
        <v>49426</v>
      </c>
      <c r="F7932" t="s">
        <v>49427</v>
      </c>
      <c r="G7932" t="s">
        <v>49428</v>
      </c>
      <c r="H7932" t="e" vm="3422">
        <f>_FV(0,"0027672675092954182")</f>
        <v>#VALUE!</v>
      </c>
      <c r="I7932" t="s">
        <v>49429</v>
      </c>
      <c r="J7932" t="s">
        <v>49430</v>
      </c>
      <c r="K7932" t="s">
        <v>49431</v>
      </c>
      <c r="L7932" t="s">
        <v>49425</v>
      </c>
    </row>
    <row r="7933" spans="1:12" x14ac:dyDescent="0.25">
      <c r="A7933">
        <v>1357338</v>
      </c>
      <c r="B7933">
        <v>1370331</v>
      </c>
      <c r="D7933">
        <v>0</v>
      </c>
      <c r="E7933" t="s">
        <v>49433</v>
      </c>
      <c r="F7933" t="s">
        <v>49434</v>
      </c>
      <c r="G7933" t="s">
        <v>49435</v>
      </c>
      <c r="H7933" t="e" vm="3423">
        <f>_FV(0,"01657543393838599")</f>
        <v>#VALUE!</v>
      </c>
      <c r="I7933" t="s">
        <v>49436</v>
      </c>
      <c r="J7933" t="s">
        <v>49437</v>
      </c>
      <c r="K7933" t="s">
        <v>49438</v>
      </c>
      <c r="L7933" t="s">
        <v>49432</v>
      </c>
    </row>
    <row r="7934" spans="1:12" x14ac:dyDescent="0.25">
      <c r="A7934">
        <v>1357338</v>
      </c>
      <c r="B7934">
        <v>1357339</v>
      </c>
      <c r="D7934">
        <v>0</v>
      </c>
      <c r="F7934">
        <v>1526650</v>
      </c>
      <c r="G7934">
        <v>1357338</v>
      </c>
      <c r="H7934" t="e" vm="18">
        <f>_FV(0,"004")</f>
        <v>#VALUE!</v>
      </c>
      <c r="I7934">
        <v>1357339</v>
      </c>
      <c r="J7934" t="s">
        <v>239</v>
      </c>
      <c r="K7934" t="s">
        <v>49439</v>
      </c>
      <c r="L7934" t="e" vm="18">
        <f>_FV(0,"004")</f>
        <v>#VALUE!</v>
      </c>
    </row>
    <row r="7935" spans="1:12" x14ac:dyDescent="0.25">
      <c r="A7935">
        <v>1357338</v>
      </c>
      <c r="B7935">
        <v>1400977</v>
      </c>
      <c r="D7935">
        <v>0</v>
      </c>
      <c r="E7935" t="s">
        <v>49441</v>
      </c>
      <c r="F7935" t="s">
        <v>49442</v>
      </c>
      <c r="G7935" t="s">
        <v>49443</v>
      </c>
      <c r="H7935" t="s">
        <v>49444</v>
      </c>
      <c r="I7935" t="s">
        <v>49445</v>
      </c>
      <c r="J7935" t="s">
        <v>49446</v>
      </c>
      <c r="K7935" t="s">
        <v>49447</v>
      </c>
      <c r="L7935" t="s">
        <v>49440</v>
      </c>
    </row>
    <row r="7936" spans="1:12" x14ac:dyDescent="0.25">
      <c r="A7936">
        <v>1357339</v>
      </c>
      <c r="B7936">
        <v>1807730</v>
      </c>
      <c r="D7936">
        <v>0</v>
      </c>
      <c r="E7936" t="s">
        <v>49449</v>
      </c>
      <c r="F7936" t="s">
        <v>49450</v>
      </c>
      <c r="G7936" t="s">
        <v>49451</v>
      </c>
      <c r="H7936" t="s">
        <v>49452</v>
      </c>
      <c r="I7936" t="s">
        <v>49453</v>
      </c>
      <c r="J7936" t="s">
        <v>49454</v>
      </c>
      <c r="K7936" t="s">
        <v>49455</v>
      </c>
      <c r="L7936" t="s">
        <v>49448</v>
      </c>
    </row>
    <row r="7937" spans="1:12" x14ac:dyDescent="0.25">
      <c r="A7937">
        <v>1357339</v>
      </c>
      <c r="B7937">
        <v>1370337</v>
      </c>
      <c r="D7937">
        <v>0</v>
      </c>
      <c r="F7937">
        <v>1526642</v>
      </c>
      <c r="G7937">
        <v>1357339</v>
      </c>
      <c r="H7937" t="s">
        <v>226</v>
      </c>
      <c r="I7937">
        <v>1370337</v>
      </c>
      <c r="J7937" t="s">
        <v>226</v>
      </c>
      <c r="K7937" t="s">
        <v>49456</v>
      </c>
      <c r="L7937" t="s">
        <v>226</v>
      </c>
    </row>
    <row r="7938" spans="1:12" x14ac:dyDescent="0.25">
      <c r="A7938">
        <v>1357342</v>
      </c>
      <c r="B7938">
        <v>1357343</v>
      </c>
      <c r="D7938">
        <v>0</v>
      </c>
      <c r="F7938">
        <v>1500133</v>
      </c>
      <c r="G7938">
        <v>1357343</v>
      </c>
      <c r="H7938" t="s">
        <v>3004</v>
      </c>
      <c r="I7938">
        <v>1357342</v>
      </c>
      <c r="J7938" t="s">
        <v>3004</v>
      </c>
      <c r="K7938" t="s">
        <v>49457</v>
      </c>
      <c r="L7938" t="s">
        <v>3004</v>
      </c>
    </row>
    <row r="7939" spans="1:12" x14ac:dyDescent="0.25">
      <c r="A7939">
        <v>1357342</v>
      </c>
      <c r="B7939">
        <v>1357362</v>
      </c>
      <c r="D7939">
        <v>0</v>
      </c>
      <c r="E7939" t="s">
        <v>49459</v>
      </c>
      <c r="F7939" t="s">
        <v>49460</v>
      </c>
      <c r="G7939" t="s">
        <v>49461</v>
      </c>
      <c r="H7939" t="s">
        <v>49462</v>
      </c>
      <c r="I7939" t="s">
        <v>49463</v>
      </c>
      <c r="J7939" t="s">
        <v>49464</v>
      </c>
      <c r="K7939" t="s">
        <v>49465</v>
      </c>
      <c r="L7939" t="s">
        <v>49458</v>
      </c>
    </row>
    <row r="7940" spans="1:12" x14ac:dyDescent="0.25">
      <c r="A7940">
        <v>1357343</v>
      </c>
      <c r="B7940">
        <v>1357361</v>
      </c>
      <c r="D7940">
        <v>0</v>
      </c>
      <c r="E7940" t="s">
        <v>49467</v>
      </c>
      <c r="F7940" t="s">
        <v>49468</v>
      </c>
      <c r="G7940" t="s">
        <v>49469</v>
      </c>
      <c r="H7940" t="e" vm="3424">
        <f>_FV(0,"05110958929652768")</f>
        <v>#VALUE!</v>
      </c>
      <c r="I7940" t="s">
        <v>49470</v>
      </c>
      <c r="J7940" t="s">
        <v>49471</v>
      </c>
      <c r="K7940" t="s">
        <v>49472</v>
      </c>
      <c r="L7940" t="s">
        <v>49466</v>
      </c>
    </row>
    <row r="7941" spans="1:12" x14ac:dyDescent="0.25">
      <c r="A7941">
        <v>1357343</v>
      </c>
      <c r="B7941">
        <v>1368061</v>
      </c>
      <c r="D7941">
        <v>0</v>
      </c>
      <c r="E7941" t="s">
        <v>49474</v>
      </c>
      <c r="F7941" t="s">
        <v>49475</v>
      </c>
      <c r="G7941" t="s">
        <v>49476</v>
      </c>
      <c r="H7941" t="e" vm="3425">
        <f>_FV(0,"01122766034794574")</f>
        <v>#VALUE!</v>
      </c>
      <c r="I7941" t="s">
        <v>49477</v>
      </c>
      <c r="J7941" t="s">
        <v>49478</v>
      </c>
      <c r="K7941" t="s">
        <v>49479</v>
      </c>
      <c r="L7941" t="s">
        <v>49473</v>
      </c>
    </row>
    <row r="7942" spans="1:12" x14ac:dyDescent="0.25">
      <c r="A7942">
        <v>1357347</v>
      </c>
      <c r="B7942">
        <v>1363644</v>
      </c>
      <c r="D7942">
        <v>0</v>
      </c>
      <c r="E7942" t="s">
        <v>49481</v>
      </c>
      <c r="F7942" t="s">
        <v>49482</v>
      </c>
      <c r="G7942" t="s">
        <v>49483</v>
      </c>
      <c r="H7942" t="e" vm="3426">
        <f>_FV(0,"00395652979806394")</f>
        <v>#VALUE!</v>
      </c>
      <c r="I7942" t="s">
        <v>49484</v>
      </c>
      <c r="J7942" t="s">
        <v>49485</v>
      </c>
      <c r="K7942" t="s">
        <v>49486</v>
      </c>
      <c r="L7942" t="s">
        <v>49480</v>
      </c>
    </row>
    <row r="7943" spans="1:12" x14ac:dyDescent="0.25">
      <c r="A7943">
        <v>1357347</v>
      </c>
      <c r="B7943">
        <v>1365133</v>
      </c>
      <c r="D7943">
        <v>0</v>
      </c>
      <c r="E7943" t="s">
        <v>49488</v>
      </c>
      <c r="F7943" t="s">
        <v>49489</v>
      </c>
      <c r="G7943" t="s">
        <v>49490</v>
      </c>
      <c r="H7943" t="e" vm="3427">
        <f>_FV(0,"0015130146853244188")</f>
        <v>#VALUE!</v>
      </c>
      <c r="I7943" t="s">
        <v>49491</v>
      </c>
      <c r="J7943" t="s">
        <v>49492</v>
      </c>
      <c r="K7943" t="s">
        <v>49493</v>
      </c>
      <c r="L7943" t="s">
        <v>49487</v>
      </c>
    </row>
    <row r="7944" spans="1:12" x14ac:dyDescent="0.25">
      <c r="A7944">
        <v>1357361</v>
      </c>
      <c r="B7944">
        <v>1357362</v>
      </c>
      <c r="D7944">
        <v>0</v>
      </c>
      <c r="F7944">
        <v>1500160</v>
      </c>
      <c r="G7944">
        <v>1357362</v>
      </c>
      <c r="H7944" t="e" vm="1352">
        <f>_FV(0,"055")</f>
        <v>#VALUE!</v>
      </c>
      <c r="I7944">
        <v>1357361</v>
      </c>
      <c r="J7944" t="s">
        <v>19420</v>
      </c>
      <c r="K7944" t="s">
        <v>49494</v>
      </c>
      <c r="L7944" t="e" vm="1352">
        <f>_FV(0,"055")</f>
        <v>#VALUE!</v>
      </c>
    </row>
    <row r="7945" spans="1:12" x14ac:dyDescent="0.25">
      <c r="A7945">
        <v>1357621</v>
      </c>
      <c r="B7945">
        <v>1357632</v>
      </c>
      <c r="D7945">
        <v>0</v>
      </c>
      <c r="E7945" t="s">
        <v>49496</v>
      </c>
      <c r="F7945" t="s">
        <v>49497</v>
      </c>
      <c r="G7945" t="s">
        <v>49498</v>
      </c>
      <c r="H7945" t="e" vm="3428">
        <f>_FV(0,"001301009724809089")</f>
        <v>#VALUE!</v>
      </c>
      <c r="I7945" t="s">
        <v>49499</v>
      </c>
      <c r="J7945" t="s">
        <v>49500</v>
      </c>
      <c r="K7945" t="s">
        <v>49501</v>
      </c>
      <c r="L7945" t="s">
        <v>49495</v>
      </c>
    </row>
    <row r="7946" spans="1:12" x14ac:dyDescent="0.25">
      <c r="A7946">
        <v>1357805</v>
      </c>
      <c r="B7946">
        <v>1357811</v>
      </c>
      <c r="D7946">
        <v>0</v>
      </c>
      <c r="E7946" t="s">
        <v>49503</v>
      </c>
      <c r="F7946" t="s">
        <v>49504</v>
      </c>
      <c r="G7946" t="s">
        <v>49505</v>
      </c>
      <c r="H7946" t="e" vm="3429">
        <f>_FV(0,"0437732742209422")</f>
        <v>#VALUE!</v>
      </c>
      <c r="I7946" t="s">
        <v>49506</v>
      </c>
      <c r="J7946" t="s">
        <v>31986</v>
      </c>
      <c r="K7946" t="s">
        <v>49507</v>
      </c>
      <c r="L7946" t="s">
        <v>49502</v>
      </c>
    </row>
    <row r="7947" spans="1:12" x14ac:dyDescent="0.25">
      <c r="A7947">
        <v>1357826</v>
      </c>
      <c r="B7947">
        <v>1357883</v>
      </c>
      <c r="D7947">
        <v>0</v>
      </c>
      <c r="E7947" t="s">
        <v>49509</v>
      </c>
      <c r="F7947" t="s">
        <v>49510</v>
      </c>
      <c r="G7947" t="s">
        <v>49511</v>
      </c>
      <c r="H7947" t="e" vm="3430">
        <f>_FV(0,"03614807725519457")</f>
        <v>#VALUE!</v>
      </c>
      <c r="I7947" t="s">
        <v>49512</v>
      </c>
      <c r="J7947" t="s">
        <v>49513</v>
      </c>
      <c r="K7947" t="s">
        <v>49514</v>
      </c>
      <c r="L7947" t="s">
        <v>49508</v>
      </c>
    </row>
    <row r="7948" spans="1:12" x14ac:dyDescent="0.25">
      <c r="A7948">
        <v>1357942</v>
      </c>
      <c r="B7948">
        <v>1357949</v>
      </c>
      <c r="D7948">
        <v>0</v>
      </c>
      <c r="E7948" t="s">
        <v>49516</v>
      </c>
      <c r="F7948" t="s">
        <v>49517</v>
      </c>
      <c r="G7948" t="s">
        <v>49518</v>
      </c>
      <c r="H7948" t="e" vm="3431">
        <f>_FV(0,"014583647384964593")</f>
        <v>#VALUE!</v>
      </c>
      <c r="I7948" t="s">
        <v>49519</v>
      </c>
      <c r="J7948" t="s">
        <v>49520</v>
      </c>
      <c r="K7948" t="s">
        <v>49521</v>
      </c>
      <c r="L7948" t="s">
        <v>49515</v>
      </c>
    </row>
    <row r="7949" spans="1:12" x14ac:dyDescent="0.25">
      <c r="A7949">
        <v>1357957</v>
      </c>
      <c r="B7949">
        <v>1357967</v>
      </c>
      <c r="D7949">
        <v>0</v>
      </c>
      <c r="E7949" t="s">
        <v>49522</v>
      </c>
      <c r="F7949" t="s">
        <v>49523</v>
      </c>
      <c r="G7949" t="s">
        <v>49524</v>
      </c>
      <c r="H7949" t="e" vm="3432">
        <f>_FV(0,"012491566538621818")</f>
        <v>#VALUE!</v>
      </c>
      <c r="I7949" t="s">
        <v>49525</v>
      </c>
      <c r="J7949" t="s">
        <v>37277</v>
      </c>
      <c r="K7949" t="s">
        <v>49526</v>
      </c>
      <c r="L7949" t="s">
        <v>37272</v>
      </c>
    </row>
    <row r="7950" spans="1:12" x14ac:dyDescent="0.25">
      <c r="A7950">
        <v>1357999</v>
      </c>
      <c r="B7950">
        <v>1358019</v>
      </c>
      <c r="D7950">
        <v>0</v>
      </c>
      <c r="E7950" t="s">
        <v>49527</v>
      </c>
      <c r="F7950" t="s">
        <v>49528</v>
      </c>
      <c r="G7950" t="s">
        <v>49529</v>
      </c>
      <c r="H7950" t="e" vm="572">
        <f>_FV(0,"021")</f>
        <v>#VALUE!</v>
      </c>
      <c r="I7950" t="s">
        <v>49530</v>
      </c>
      <c r="J7950" t="s">
        <v>1536</v>
      </c>
      <c r="K7950" t="s">
        <v>49531</v>
      </c>
      <c r="L7950" t="e" vm="572">
        <f>_FV(0,"021")</f>
        <v>#VALUE!</v>
      </c>
    </row>
    <row r="7951" spans="1:12" x14ac:dyDescent="0.25">
      <c r="A7951">
        <v>1358025</v>
      </c>
      <c r="B7951">
        <v>1358029</v>
      </c>
      <c r="D7951">
        <v>0</v>
      </c>
      <c r="E7951" t="s">
        <v>49533</v>
      </c>
      <c r="F7951" t="s">
        <v>49534</v>
      </c>
      <c r="G7951" t="s">
        <v>49535</v>
      </c>
      <c r="H7951" t="s">
        <v>49536</v>
      </c>
      <c r="I7951" t="s">
        <v>49537</v>
      </c>
      <c r="J7951" t="s">
        <v>49532</v>
      </c>
      <c r="K7951" t="s">
        <v>49538</v>
      </c>
      <c r="L7951" t="s">
        <v>49532</v>
      </c>
    </row>
    <row r="7952" spans="1:12" x14ac:dyDescent="0.25">
      <c r="A7952">
        <v>1358048</v>
      </c>
      <c r="B7952">
        <v>1358084</v>
      </c>
      <c r="D7952">
        <v>0</v>
      </c>
      <c r="E7952" t="s">
        <v>49539</v>
      </c>
      <c r="F7952" t="s">
        <v>49540</v>
      </c>
      <c r="G7952" t="s">
        <v>49541</v>
      </c>
      <c r="H7952" t="s">
        <v>49542</v>
      </c>
      <c r="I7952" t="s">
        <v>49543</v>
      </c>
      <c r="J7952" t="s">
        <v>49087</v>
      </c>
      <c r="K7952" t="s">
        <v>49544</v>
      </c>
      <c r="L7952" t="s">
        <v>49087</v>
      </c>
    </row>
    <row r="7953" spans="1:12" x14ac:dyDescent="0.25">
      <c r="A7953">
        <v>1358062</v>
      </c>
      <c r="B7953">
        <v>1358062</v>
      </c>
      <c r="D7953">
        <v>0</v>
      </c>
      <c r="E7953" t="s">
        <v>49546</v>
      </c>
      <c r="F7953" t="s">
        <v>49547</v>
      </c>
      <c r="G7953" t="s">
        <v>49548</v>
      </c>
      <c r="H7953" t="s">
        <v>49549</v>
      </c>
      <c r="I7953" t="s">
        <v>49550</v>
      </c>
      <c r="J7953" t="s">
        <v>49551</v>
      </c>
      <c r="K7953" t="s">
        <v>49552</v>
      </c>
      <c r="L7953" t="s">
        <v>49545</v>
      </c>
    </row>
    <row r="7954" spans="1:12" x14ac:dyDescent="0.25">
      <c r="A7954">
        <v>1358062</v>
      </c>
      <c r="B7954">
        <v>1391733</v>
      </c>
      <c r="D7954">
        <v>0</v>
      </c>
      <c r="E7954" t="s">
        <v>49554</v>
      </c>
      <c r="F7954" t="s">
        <v>49555</v>
      </c>
      <c r="G7954" t="s">
        <v>49556</v>
      </c>
      <c r="H7954" t="s">
        <v>49557</v>
      </c>
      <c r="I7954" t="s">
        <v>49558</v>
      </c>
      <c r="J7954" t="s">
        <v>49553</v>
      </c>
      <c r="K7954" t="s">
        <v>49559</v>
      </c>
      <c r="L7954" t="s">
        <v>49553</v>
      </c>
    </row>
    <row r="7955" spans="1:12" x14ac:dyDescent="0.25">
      <c r="A7955">
        <v>1358075</v>
      </c>
      <c r="B7955">
        <v>1358083</v>
      </c>
      <c r="D7955">
        <v>0</v>
      </c>
      <c r="E7955" t="s">
        <v>49561</v>
      </c>
      <c r="F7955" t="s">
        <v>49562</v>
      </c>
      <c r="G7955" t="s">
        <v>49563</v>
      </c>
      <c r="H7955" t="s">
        <v>49564</v>
      </c>
      <c r="I7955" t="s">
        <v>49565</v>
      </c>
      <c r="J7955" t="s">
        <v>49560</v>
      </c>
      <c r="K7955" t="s">
        <v>49566</v>
      </c>
      <c r="L7955" t="s">
        <v>49560</v>
      </c>
    </row>
    <row r="7956" spans="1:12" x14ac:dyDescent="0.25">
      <c r="A7956">
        <v>1358075</v>
      </c>
      <c r="B7956">
        <v>1534588</v>
      </c>
      <c r="D7956">
        <v>0</v>
      </c>
      <c r="E7956" t="s">
        <v>49568</v>
      </c>
      <c r="F7956" t="s">
        <v>49569</v>
      </c>
      <c r="G7956" t="s">
        <v>49570</v>
      </c>
      <c r="H7956" t="s">
        <v>49571</v>
      </c>
      <c r="I7956" t="s">
        <v>49572</v>
      </c>
      <c r="J7956" t="s">
        <v>49573</v>
      </c>
      <c r="K7956" t="s">
        <v>49574</v>
      </c>
      <c r="L7956" t="s">
        <v>49567</v>
      </c>
    </row>
    <row r="7957" spans="1:12" x14ac:dyDescent="0.25">
      <c r="A7957">
        <v>1358083</v>
      </c>
      <c r="B7957">
        <v>1358084</v>
      </c>
      <c r="D7957">
        <v>0</v>
      </c>
      <c r="F7957">
        <v>1501317</v>
      </c>
      <c r="G7957">
        <v>1358084</v>
      </c>
      <c r="H7957" t="s">
        <v>688</v>
      </c>
      <c r="I7957">
        <v>1358083</v>
      </c>
      <c r="J7957" t="s">
        <v>688</v>
      </c>
      <c r="K7957" t="s">
        <v>49575</v>
      </c>
      <c r="L7957" t="s">
        <v>688</v>
      </c>
    </row>
    <row r="7958" spans="1:12" x14ac:dyDescent="0.25">
      <c r="A7958">
        <v>1358083</v>
      </c>
      <c r="B7958">
        <v>1534588</v>
      </c>
      <c r="D7958">
        <v>0</v>
      </c>
      <c r="E7958" t="s">
        <v>49577</v>
      </c>
      <c r="F7958" t="s">
        <v>49578</v>
      </c>
      <c r="G7958" t="s">
        <v>49579</v>
      </c>
      <c r="H7958" t="s">
        <v>49580</v>
      </c>
      <c r="I7958" t="s">
        <v>49581</v>
      </c>
      <c r="J7958" t="s">
        <v>49582</v>
      </c>
      <c r="K7958" t="s">
        <v>49583</v>
      </c>
      <c r="L7958" t="s">
        <v>49576</v>
      </c>
    </row>
    <row r="7959" spans="1:12" x14ac:dyDescent="0.25">
      <c r="A7959">
        <v>1358090</v>
      </c>
      <c r="B7959">
        <v>1358093</v>
      </c>
      <c r="D7959">
        <v>0</v>
      </c>
      <c r="E7959" t="s">
        <v>49585</v>
      </c>
      <c r="F7959" t="s">
        <v>49586</v>
      </c>
      <c r="G7959" t="s">
        <v>49587</v>
      </c>
      <c r="H7959" t="s">
        <v>49588</v>
      </c>
      <c r="I7959" t="s">
        <v>49589</v>
      </c>
      <c r="J7959" t="s">
        <v>49584</v>
      </c>
      <c r="K7959" t="s">
        <v>49590</v>
      </c>
      <c r="L7959" t="s">
        <v>49584</v>
      </c>
    </row>
    <row r="7960" spans="1:12" x14ac:dyDescent="0.25">
      <c r="A7960">
        <v>1358090</v>
      </c>
      <c r="B7960">
        <v>1358093</v>
      </c>
      <c r="D7960">
        <v>0</v>
      </c>
      <c r="E7960" t="s">
        <v>49592</v>
      </c>
      <c r="F7960" t="s">
        <v>49593</v>
      </c>
      <c r="G7960" t="s">
        <v>49594</v>
      </c>
      <c r="H7960" t="s">
        <v>49595</v>
      </c>
      <c r="I7960" t="s">
        <v>49596</v>
      </c>
      <c r="J7960" t="s">
        <v>49591</v>
      </c>
      <c r="K7960" t="s">
        <v>49597</v>
      </c>
      <c r="L7960" t="s">
        <v>49591</v>
      </c>
    </row>
    <row r="7961" spans="1:12" x14ac:dyDescent="0.25">
      <c r="A7961">
        <v>1358093</v>
      </c>
      <c r="B7961">
        <v>1358098</v>
      </c>
      <c r="D7961">
        <v>0</v>
      </c>
      <c r="E7961" t="s">
        <v>49599</v>
      </c>
      <c r="F7961" t="s">
        <v>49600</v>
      </c>
      <c r="G7961" t="s">
        <v>49601</v>
      </c>
      <c r="H7961" t="s">
        <v>49602</v>
      </c>
      <c r="I7961" t="s">
        <v>49603</v>
      </c>
      <c r="J7961" t="s">
        <v>49598</v>
      </c>
      <c r="K7961" t="s">
        <v>49604</v>
      </c>
      <c r="L7961" t="s">
        <v>49598</v>
      </c>
    </row>
    <row r="7962" spans="1:12" x14ac:dyDescent="0.25">
      <c r="A7962">
        <v>1358163</v>
      </c>
      <c r="B7962">
        <v>1358175</v>
      </c>
      <c r="D7962">
        <v>0</v>
      </c>
      <c r="E7962" t="s">
        <v>49606</v>
      </c>
      <c r="F7962" t="s">
        <v>49607</v>
      </c>
      <c r="G7962" t="s">
        <v>49608</v>
      </c>
      <c r="H7962" t="e" vm="3433">
        <f>_FV(0,"007895087190526711")</f>
        <v>#VALUE!</v>
      </c>
      <c r="I7962" t="s">
        <v>49609</v>
      </c>
      <c r="J7962" t="s">
        <v>49610</v>
      </c>
      <c r="K7962" t="s">
        <v>49611</v>
      </c>
      <c r="L7962" t="s">
        <v>49605</v>
      </c>
    </row>
    <row r="7963" spans="1:12" x14ac:dyDescent="0.25">
      <c r="A7963">
        <v>1358378</v>
      </c>
      <c r="B7963">
        <v>1358386</v>
      </c>
      <c r="D7963">
        <v>0</v>
      </c>
      <c r="E7963" t="s">
        <v>49613</v>
      </c>
      <c r="F7963" t="s">
        <v>49614</v>
      </c>
      <c r="G7963" t="s">
        <v>49615</v>
      </c>
      <c r="H7963" t="e" vm="3434">
        <f>_FV(0,"017715343806506415")</f>
        <v>#VALUE!</v>
      </c>
      <c r="I7963" t="s">
        <v>49616</v>
      </c>
      <c r="J7963" t="s">
        <v>49617</v>
      </c>
      <c r="K7963" t="s">
        <v>49618</v>
      </c>
      <c r="L7963" t="s">
        <v>49612</v>
      </c>
    </row>
    <row r="7964" spans="1:12" x14ac:dyDescent="0.25">
      <c r="A7964">
        <v>1358378</v>
      </c>
      <c r="B7964">
        <v>1358461</v>
      </c>
      <c r="D7964">
        <v>0</v>
      </c>
      <c r="E7964" t="s">
        <v>49620</v>
      </c>
      <c r="F7964" t="s">
        <v>49621</v>
      </c>
      <c r="G7964" t="s">
        <v>49622</v>
      </c>
      <c r="H7964" t="s">
        <v>49623</v>
      </c>
      <c r="I7964" t="s">
        <v>49624</v>
      </c>
      <c r="J7964" t="s">
        <v>49619</v>
      </c>
      <c r="K7964" t="s">
        <v>49625</v>
      </c>
      <c r="L7964" t="s">
        <v>49619</v>
      </c>
    </row>
    <row r="7965" spans="1:12" x14ac:dyDescent="0.25">
      <c r="A7965">
        <v>1358378</v>
      </c>
      <c r="B7965">
        <v>1358404</v>
      </c>
      <c r="D7965">
        <v>0</v>
      </c>
      <c r="E7965" t="s">
        <v>49627</v>
      </c>
      <c r="F7965" t="s">
        <v>49628</v>
      </c>
      <c r="G7965" t="s">
        <v>49629</v>
      </c>
      <c r="H7965" t="s">
        <v>49630</v>
      </c>
      <c r="I7965" t="s">
        <v>49631</v>
      </c>
      <c r="J7965" t="s">
        <v>49632</v>
      </c>
      <c r="K7965" t="s">
        <v>49633</v>
      </c>
      <c r="L7965" t="s">
        <v>49626</v>
      </c>
    </row>
    <row r="7966" spans="1:12" x14ac:dyDescent="0.25">
      <c r="A7966">
        <v>1358386</v>
      </c>
      <c r="B7966">
        <v>1358395</v>
      </c>
      <c r="D7966">
        <v>0</v>
      </c>
      <c r="F7966">
        <v>1501810</v>
      </c>
      <c r="G7966">
        <v>1358395</v>
      </c>
      <c r="H7966" t="e" vm="1352">
        <f>_FV(0,"055")</f>
        <v>#VALUE!</v>
      </c>
      <c r="I7966">
        <v>1358386</v>
      </c>
      <c r="J7966" t="s">
        <v>19420</v>
      </c>
      <c r="K7966" t="s">
        <v>49634</v>
      </c>
      <c r="L7966" t="e" vm="1352">
        <f>_FV(0,"055")</f>
        <v>#VALUE!</v>
      </c>
    </row>
    <row r="7967" spans="1:12" x14ac:dyDescent="0.25">
      <c r="A7967">
        <v>1358386</v>
      </c>
      <c r="B7967">
        <v>1358513</v>
      </c>
      <c r="D7967">
        <v>0</v>
      </c>
      <c r="E7967" t="s">
        <v>49636</v>
      </c>
      <c r="F7967" t="s">
        <v>49637</v>
      </c>
      <c r="G7967" t="s">
        <v>49638</v>
      </c>
      <c r="H7967" t="s">
        <v>49639</v>
      </c>
      <c r="I7967" t="s">
        <v>49640</v>
      </c>
      <c r="J7967" t="s">
        <v>49635</v>
      </c>
      <c r="K7967" t="s">
        <v>49641</v>
      </c>
      <c r="L7967" t="s">
        <v>49635</v>
      </c>
    </row>
    <row r="7968" spans="1:12" x14ac:dyDescent="0.25">
      <c r="A7968">
        <v>1358395</v>
      </c>
      <c r="B7968">
        <v>1358404</v>
      </c>
      <c r="D7968">
        <v>0</v>
      </c>
      <c r="F7968">
        <v>1501822</v>
      </c>
      <c r="G7968">
        <v>1358404</v>
      </c>
      <c r="H7968" t="e" vm="759">
        <f>_FV(0,"079")</f>
        <v>#VALUE!</v>
      </c>
      <c r="I7968">
        <v>1358395</v>
      </c>
      <c r="J7968" t="s">
        <v>4536</v>
      </c>
      <c r="K7968" t="s">
        <v>49642</v>
      </c>
      <c r="L7968" t="e" vm="759">
        <f>_FV(0,"079")</f>
        <v>#VALUE!</v>
      </c>
    </row>
    <row r="7969" spans="1:12" x14ac:dyDescent="0.25">
      <c r="A7969">
        <v>1358395</v>
      </c>
      <c r="B7969">
        <v>1393854</v>
      </c>
      <c r="D7969" t="s">
        <v>12980</v>
      </c>
      <c r="E7969" t="s">
        <v>49644</v>
      </c>
      <c r="F7969" t="s">
        <v>49645</v>
      </c>
      <c r="G7969" t="s">
        <v>49646</v>
      </c>
      <c r="H7969" t="s">
        <v>49647</v>
      </c>
      <c r="I7969" t="s">
        <v>49648</v>
      </c>
      <c r="J7969" t="s">
        <v>49649</v>
      </c>
      <c r="K7969" t="s">
        <v>49650</v>
      </c>
      <c r="L7969" t="s">
        <v>49643</v>
      </c>
    </row>
    <row r="7970" spans="1:12" x14ac:dyDescent="0.25">
      <c r="A7970">
        <v>1358404</v>
      </c>
      <c r="B7970">
        <v>1393902</v>
      </c>
      <c r="D7970">
        <v>0</v>
      </c>
      <c r="E7970" t="s">
        <v>49652</v>
      </c>
      <c r="F7970" t="s">
        <v>49653</v>
      </c>
      <c r="G7970" t="s">
        <v>49654</v>
      </c>
      <c r="H7970" t="e" vm="3435">
        <f>_FV(0,"03620661342617851")</f>
        <v>#VALUE!</v>
      </c>
      <c r="I7970" t="s">
        <v>49655</v>
      </c>
      <c r="J7970" t="s">
        <v>49656</v>
      </c>
      <c r="K7970" t="s">
        <v>49657</v>
      </c>
      <c r="L7970" t="s">
        <v>49651</v>
      </c>
    </row>
    <row r="7971" spans="1:12" x14ac:dyDescent="0.25">
      <c r="A7971">
        <v>1358461</v>
      </c>
      <c r="B7971">
        <v>1358487</v>
      </c>
      <c r="D7971">
        <v>0</v>
      </c>
      <c r="E7971" t="s">
        <v>49659</v>
      </c>
      <c r="F7971" t="s">
        <v>49660</v>
      </c>
      <c r="G7971" t="s">
        <v>49661</v>
      </c>
      <c r="H7971" t="s">
        <v>49662</v>
      </c>
      <c r="I7971" t="s">
        <v>49663</v>
      </c>
      <c r="J7971" t="s">
        <v>49658</v>
      </c>
      <c r="K7971" t="s">
        <v>49664</v>
      </c>
      <c r="L7971" t="s">
        <v>49658</v>
      </c>
    </row>
    <row r="7972" spans="1:12" x14ac:dyDescent="0.25">
      <c r="A7972">
        <v>1358461</v>
      </c>
      <c r="B7972">
        <v>1358513</v>
      </c>
      <c r="D7972">
        <v>0</v>
      </c>
      <c r="E7972" t="s">
        <v>49666</v>
      </c>
      <c r="F7972" t="s">
        <v>49667</v>
      </c>
      <c r="G7972" t="s">
        <v>49668</v>
      </c>
      <c r="H7972" t="s">
        <v>49669</v>
      </c>
      <c r="I7972" t="s">
        <v>49670</v>
      </c>
      <c r="J7972" t="s">
        <v>49665</v>
      </c>
      <c r="K7972" t="s">
        <v>49671</v>
      </c>
      <c r="L7972" t="s">
        <v>49665</v>
      </c>
    </row>
    <row r="7973" spans="1:12" x14ac:dyDescent="0.25">
      <c r="A7973">
        <v>1358487</v>
      </c>
      <c r="B7973">
        <v>1358507</v>
      </c>
      <c r="D7973">
        <v>0</v>
      </c>
      <c r="E7973" t="s">
        <v>49673</v>
      </c>
      <c r="F7973" t="s">
        <v>49674</v>
      </c>
      <c r="G7973" t="s">
        <v>49675</v>
      </c>
      <c r="H7973" t="e" vm="3436">
        <f>_FV(0,"08764804403860152")</f>
        <v>#VALUE!</v>
      </c>
      <c r="I7973" t="s">
        <v>49676</v>
      </c>
      <c r="J7973" t="s">
        <v>49677</v>
      </c>
      <c r="K7973" t="s">
        <v>49678</v>
      </c>
      <c r="L7973" t="s">
        <v>49672</v>
      </c>
    </row>
    <row r="7974" spans="1:12" x14ac:dyDescent="0.25">
      <c r="A7974">
        <v>1358487</v>
      </c>
      <c r="B7974">
        <v>1358519</v>
      </c>
      <c r="D7974">
        <v>0</v>
      </c>
      <c r="E7974" t="s">
        <v>49680</v>
      </c>
      <c r="F7974" t="s">
        <v>49681</v>
      </c>
      <c r="G7974" t="s">
        <v>49682</v>
      </c>
      <c r="H7974" t="s">
        <v>49683</v>
      </c>
      <c r="I7974" t="s">
        <v>49684</v>
      </c>
      <c r="J7974" t="s">
        <v>49679</v>
      </c>
      <c r="K7974" t="s">
        <v>49685</v>
      </c>
      <c r="L7974" t="s">
        <v>49679</v>
      </c>
    </row>
    <row r="7975" spans="1:12" x14ac:dyDescent="0.25">
      <c r="A7975">
        <v>1358507</v>
      </c>
      <c r="B7975">
        <v>1358513</v>
      </c>
      <c r="D7975">
        <v>0</v>
      </c>
      <c r="F7975">
        <v>1501935</v>
      </c>
      <c r="G7975">
        <v>1358513</v>
      </c>
      <c r="H7975" t="e" vm="353">
        <f>_FV(0,"045")</f>
        <v>#VALUE!</v>
      </c>
      <c r="I7975">
        <v>1358507</v>
      </c>
      <c r="J7975" t="s">
        <v>4979</v>
      </c>
      <c r="K7975" t="s">
        <v>49686</v>
      </c>
      <c r="L7975" t="e" vm="353">
        <f>_FV(0,"045")</f>
        <v>#VALUE!</v>
      </c>
    </row>
    <row r="7976" spans="1:12" x14ac:dyDescent="0.25">
      <c r="A7976">
        <v>1358507</v>
      </c>
      <c r="B7976">
        <v>1361036</v>
      </c>
      <c r="D7976">
        <v>0</v>
      </c>
      <c r="E7976" t="s">
        <v>49688</v>
      </c>
      <c r="F7976" t="s">
        <v>49689</v>
      </c>
      <c r="G7976" t="s">
        <v>49690</v>
      </c>
      <c r="H7976" t="s">
        <v>49691</v>
      </c>
      <c r="I7976" t="s">
        <v>49692</v>
      </c>
      <c r="J7976" t="s">
        <v>49687</v>
      </c>
      <c r="K7976" t="s">
        <v>49693</v>
      </c>
      <c r="L7976" t="s">
        <v>49687</v>
      </c>
    </row>
    <row r="7977" spans="1:12" x14ac:dyDescent="0.25">
      <c r="A7977">
        <v>1358519</v>
      </c>
      <c r="B7977">
        <v>1358556</v>
      </c>
      <c r="D7977">
        <v>0</v>
      </c>
      <c r="E7977" t="s">
        <v>49695</v>
      </c>
      <c r="F7977" t="s">
        <v>49696</v>
      </c>
      <c r="G7977" t="s">
        <v>49697</v>
      </c>
      <c r="H7977" t="e" vm="3437">
        <f>_FV(0,"027768883176675606")</f>
        <v>#VALUE!</v>
      </c>
      <c r="I7977" t="s">
        <v>49698</v>
      </c>
      <c r="J7977" t="s">
        <v>49699</v>
      </c>
      <c r="K7977" t="s">
        <v>49700</v>
      </c>
      <c r="L7977" t="s">
        <v>49694</v>
      </c>
    </row>
    <row r="7978" spans="1:12" x14ac:dyDescent="0.25">
      <c r="A7978">
        <v>1358519</v>
      </c>
      <c r="B7978">
        <v>1358574</v>
      </c>
      <c r="D7978">
        <v>0</v>
      </c>
      <c r="E7978" t="s">
        <v>49702</v>
      </c>
      <c r="F7978" t="s">
        <v>49703</v>
      </c>
      <c r="G7978" t="s">
        <v>49704</v>
      </c>
      <c r="H7978" t="s">
        <v>49705</v>
      </c>
      <c r="I7978" t="s">
        <v>49706</v>
      </c>
      <c r="J7978" t="s">
        <v>49701</v>
      </c>
      <c r="K7978" t="s">
        <v>49707</v>
      </c>
      <c r="L7978" t="s">
        <v>49701</v>
      </c>
    </row>
    <row r="7979" spans="1:12" x14ac:dyDescent="0.25">
      <c r="A7979">
        <v>1358556</v>
      </c>
      <c r="B7979">
        <v>1358557</v>
      </c>
      <c r="D7979">
        <v>0</v>
      </c>
      <c r="F7979">
        <v>1502001</v>
      </c>
      <c r="G7979">
        <v>1358557</v>
      </c>
      <c r="H7979" t="e" vm="481">
        <f>_FV(0,"029")</f>
        <v>#VALUE!</v>
      </c>
      <c r="I7979">
        <v>1358556</v>
      </c>
      <c r="J7979" t="s">
        <v>5410</v>
      </c>
      <c r="K7979" t="s">
        <v>49708</v>
      </c>
      <c r="L7979" t="e" vm="481">
        <f>_FV(0,"029")</f>
        <v>#VALUE!</v>
      </c>
    </row>
    <row r="7980" spans="1:12" x14ac:dyDescent="0.25">
      <c r="A7980">
        <v>1358556</v>
      </c>
      <c r="B7980">
        <v>1401750</v>
      </c>
      <c r="D7980">
        <v>0</v>
      </c>
      <c r="E7980" t="s">
        <v>49710</v>
      </c>
      <c r="F7980" t="s">
        <v>49711</v>
      </c>
      <c r="G7980" t="s">
        <v>49712</v>
      </c>
      <c r="H7980" t="s">
        <v>49713</v>
      </c>
      <c r="I7980" t="s">
        <v>49714</v>
      </c>
      <c r="J7980" t="s">
        <v>49715</v>
      </c>
      <c r="K7980" t="s">
        <v>49716</v>
      </c>
      <c r="L7980" t="s">
        <v>49709</v>
      </c>
    </row>
    <row r="7981" spans="1:12" x14ac:dyDescent="0.25">
      <c r="A7981">
        <v>1358557</v>
      </c>
      <c r="B7981">
        <v>1358574</v>
      </c>
      <c r="D7981">
        <v>0</v>
      </c>
      <c r="F7981">
        <v>1502020</v>
      </c>
      <c r="G7981">
        <v>1358574</v>
      </c>
      <c r="H7981" t="s">
        <v>21527</v>
      </c>
      <c r="I7981">
        <v>1358557</v>
      </c>
      <c r="J7981" t="s">
        <v>21527</v>
      </c>
      <c r="K7981" t="s">
        <v>49717</v>
      </c>
      <c r="L7981" t="s">
        <v>21527</v>
      </c>
    </row>
    <row r="7982" spans="1:12" x14ac:dyDescent="0.25">
      <c r="A7982">
        <v>1358557</v>
      </c>
      <c r="B7982">
        <v>1360997</v>
      </c>
      <c r="D7982">
        <v>0</v>
      </c>
      <c r="E7982" t="s">
        <v>49719</v>
      </c>
      <c r="F7982" t="s">
        <v>49720</v>
      </c>
      <c r="G7982" t="s">
        <v>49721</v>
      </c>
      <c r="H7982" t="s">
        <v>49722</v>
      </c>
      <c r="I7982" t="s">
        <v>49723</v>
      </c>
      <c r="J7982" t="s">
        <v>49718</v>
      </c>
      <c r="K7982" t="s">
        <v>49724</v>
      </c>
      <c r="L7982" t="s">
        <v>49718</v>
      </c>
    </row>
    <row r="7983" spans="1:12" x14ac:dyDescent="0.25">
      <c r="A7983">
        <v>1358574</v>
      </c>
      <c r="B7983">
        <v>1361036</v>
      </c>
      <c r="D7983">
        <v>0</v>
      </c>
      <c r="E7983" t="s">
        <v>49726</v>
      </c>
      <c r="F7983" t="s">
        <v>49727</v>
      </c>
      <c r="G7983" t="s">
        <v>49728</v>
      </c>
      <c r="H7983" t="s">
        <v>49729</v>
      </c>
      <c r="I7983" t="s">
        <v>49730</v>
      </c>
      <c r="J7983" t="s">
        <v>49725</v>
      </c>
      <c r="K7983" t="s">
        <v>49731</v>
      </c>
      <c r="L7983" t="s">
        <v>49725</v>
      </c>
    </row>
    <row r="7984" spans="1:12" x14ac:dyDescent="0.25">
      <c r="A7984">
        <v>1359263</v>
      </c>
      <c r="B7984">
        <v>1359269</v>
      </c>
      <c r="D7984">
        <v>0</v>
      </c>
      <c r="E7984" t="s">
        <v>49733</v>
      </c>
      <c r="F7984" t="s">
        <v>49734</v>
      </c>
      <c r="G7984" t="s">
        <v>49735</v>
      </c>
      <c r="H7984" t="e" vm="3438">
        <f>_FV(0,"01473856149434294")</f>
        <v>#VALUE!</v>
      </c>
      <c r="I7984" t="s">
        <v>49736</v>
      </c>
      <c r="J7984" t="s">
        <v>49737</v>
      </c>
      <c r="K7984" t="s">
        <v>49738</v>
      </c>
      <c r="L7984" t="s">
        <v>49732</v>
      </c>
    </row>
    <row r="7985" spans="1:12" x14ac:dyDescent="0.25">
      <c r="A7985">
        <v>1359352</v>
      </c>
      <c r="B7985">
        <v>1359379</v>
      </c>
      <c r="D7985">
        <v>0</v>
      </c>
      <c r="E7985" t="s">
        <v>49740</v>
      </c>
      <c r="F7985" t="s">
        <v>49741</v>
      </c>
      <c r="G7985" t="s">
        <v>49742</v>
      </c>
      <c r="H7985" t="e" vm="3439">
        <f>_FV(0,"0020260164280488154")</f>
        <v>#VALUE!</v>
      </c>
      <c r="I7985" t="s">
        <v>49743</v>
      </c>
      <c r="J7985" t="s">
        <v>49744</v>
      </c>
      <c r="K7985" t="s">
        <v>49745</v>
      </c>
      <c r="L7985" t="s">
        <v>49739</v>
      </c>
    </row>
    <row r="7986" spans="1:12" x14ac:dyDescent="0.25">
      <c r="A7986">
        <v>1359352</v>
      </c>
      <c r="B7986">
        <v>1359749</v>
      </c>
      <c r="D7986" t="s">
        <v>15313</v>
      </c>
      <c r="E7986" t="s">
        <v>49747</v>
      </c>
      <c r="F7986" t="s">
        <v>49748</v>
      </c>
      <c r="G7986" t="s">
        <v>49749</v>
      </c>
      <c r="H7986" t="e" vm="3440">
        <f>_FV(0,"00593656365121353")</f>
        <v>#VALUE!</v>
      </c>
      <c r="I7986" t="s">
        <v>49750</v>
      </c>
      <c r="J7986" t="s">
        <v>49751</v>
      </c>
      <c r="K7986" t="s">
        <v>49752</v>
      </c>
      <c r="L7986" t="s">
        <v>49746</v>
      </c>
    </row>
    <row r="7987" spans="1:12" x14ac:dyDescent="0.25">
      <c r="A7987">
        <v>1359360</v>
      </c>
      <c r="B7987">
        <v>1359375</v>
      </c>
      <c r="D7987">
        <v>0</v>
      </c>
      <c r="E7987" t="s">
        <v>49754</v>
      </c>
      <c r="F7987" t="s">
        <v>49755</v>
      </c>
      <c r="G7987" t="s">
        <v>49756</v>
      </c>
      <c r="H7987" t="s">
        <v>49757</v>
      </c>
      <c r="I7987" t="s">
        <v>49758</v>
      </c>
      <c r="J7987" t="s">
        <v>49759</v>
      </c>
      <c r="K7987" t="s">
        <v>49760</v>
      </c>
      <c r="L7987" t="s">
        <v>49753</v>
      </c>
    </row>
    <row r="7988" spans="1:12" x14ac:dyDescent="0.25">
      <c r="A7988">
        <v>1359360</v>
      </c>
      <c r="B7988">
        <v>1364901</v>
      </c>
      <c r="D7988">
        <v>0</v>
      </c>
      <c r="E7988" t="s">
        <v>49762</v>
      </c>
      <c r="F7988" t="s">
        <v>49763</v>
      </c>
      <c r="G7988" t="s">
        <v>49764</v>
      </c>
      <c r="H7988" t="e" vm="3441">
        <f>_FV(0,"021515955070558607")</f>
        <v>#VALUE!</v>
      </c>
      <c r="I7988" t="s">
        <v>49765</v>
      </c>
      <c r="J7988" t="s">
        <v>49766</v>
      </c>
      <c r="K7988" t="s">
        <v>49767</v>
      </c>
      <c r="L7988" t="s">
        <v>49761</v>
      </c>
    </row>
    <row r="7989" spans="1:12" x14ac:dyDescent="0.25">
      <c r="A7989">
        <v>1359375</v>
      </c>
      <c r="B7989">
        <v>1359379</v>
      </c>
      <c r="D7989">
        <v>0</v>
      </c>
      <c r="F7989">
        <v>1503087</v>
      </c>
      <c r="G7989">
        <v>1359379</v>
      </c>
      <c r="H7989" t="s">
        <v>899</v>
      </c>
      <c r="I7989">
        <v>1359375</v>
      </c>
      <c r="J7989" t="s">
        <v>899</v>
      </c>
      <c r="K7989" t="s">
        <v>49768</v>
      </c>
      <c r="L7989" t="s">
        <v>899</v>
      </c>
    </row>
    <row r="7990" spans="1:12" x14ac:dyDescent="0.25">
      <c r="A7990">
        <v>1359375</v>
      </c>
      <c r="B7990">
        <v>1392718</v>
      </c>
      <c r="D7990">
        <v>0</v>
      </c>
      <c r="E7990" t="s">
        <v>49770</v>
      </c>
      <c r="F7990" t="s">
        <v>49771</v>
      </c>
      <c r="G7990" t="s">
        <v>49772</v>
      </c>
      <c r="H7990" t="e" vm="3442">
        <f>_FV(0,"023494336211177563")</f>
        <v>#VALUE!</v>
      </c>
      <c r="I7990" t="s">
        <v>49773</v>
      </c>
      <c r="J7990" t="s">
        <v>49774</v>
      </c>
      <c r="K7990" t="s">
        <v>49775</v>
      </c>
      <c r="L7990" t="s">
        <v>49769</v>
      </c>
    </row>
    <row r="7991" spans="1:12" x14ac:dyDescent="0.25">
      <c r="A7991">
        <v>1359379</v>
      </c>
      <c r="B7991">
        <v>1359757</v>
      </c>
      <c r="D7991" t="s">
        <v>514</v>
      </c>
      <c r="E7991" t="s">
        <v>49777</v>
      </c>
      <c r="F7991" t="s">
        <v>49778</v>
      </c>
      <c r="G7991" t="s">
        <v>49779</v>
      </c>
      <c r="H7991" t="e" vm="3443">
        <f>_FV(0,"006021335399289873")</f>
        <v>#VALUE!</v>
      </c>
      <c r="I7991" t="s">
        <v>49780</v>
      </c>
      <c r="J7991" t="s">
        <v>49781</v>
      </c>
      <c r="K7991" t="s">
        <v>49782</v>
      </c>
      <c r="L7991" t="s">
        <v>49776</v>
      </c>
    </row>
    <row r="7992" spans="1:12" x14ac:dyDescent="0.25">
      <c r="A7992">
        <v>1359667</v>
      </c>
      <c r="B7992">
        <v>1359673</v>
      </c>
      <c r="D7992">
        <v>0</v>
      </c>
      <c r="E7992" t="s">
        <v>49784</v>
      </c>
      <c r="F7992" t="s">
        <v>49785</v>
      </c>
      <c r="G7992" t="s">
        <v>49786</v>
      </c>
      <c r="H7992" t="s">
        <v>49787</v>
      </c>
      <c r="I7992" t="s">
        <v>49788</v>
      </c>
      <c r="J7992" t="s">
        <v>49783</v>
      </c>
      <c r="K7992" t="s">
        <v>49789</v>
      </c>
      <c r="L7992" t="s">
        <v>49783</v>
      </c>
    </row>
    <row r="7993" spans="1:12" x14ac:dyDescent="0.25">
      <c r="A7993">
        <v>1359667</v>
      </c>
      <c r="B7993">
        <v>1359673</v>
      </c>
      <c r="D7993">
        <v>0</v>
      </c>
      <c r="E7993" t="s">
        <v>49791</v>
      </c>
      <c r="F7993" t="s">
        <v>49792</v>
      </c>
      <c r="G7993" t="s">
        <v>49793</v>
      </c>
      <c r="H7993" t="s">
        <v>49794</v>
      </c>
      <c r="I7993" t="s">
        <v>49795</v>
      </c>
      <c r="J7993" t="s">
        <v>49796</v>
      </c>
      <c r="K7993" t="s">
        <v>49797</v>
      </c>
      <c r="L7993" t="s">
        <v>49790</v>
      </c>
    </row>
    <row r="7994" spans="1:12" x14ac:dyDescent="0.25">
      <c r="A7994">
        <v>1359673</v>
      </c>
      <c r="B7994">
        <v>1359857</v>
      </c>
      <c r="C7994" t="s">
        <v>49799</v>
      </c>
      <c r="D7994">
        <v>0</v>
      </c>
      <c r="E7994" t="s">
        <v>49800</v>
      </c>
      <c r="F7994" t="s">
        <v>49801</v>
      </c>
      <c r="G7994" t="s">
        <v>49802</v>
      </c>
      <c r="H7994" t="e" vm="3444">
        <f>_FV(0,"0019085328577662006")</f>
        <v>#VALUE!</v>
      </c>
      <c r="I7994" t="s">
        <v>49803</v>
      </c>
      <c r="J7994" t="s">
        <v>49804</v>
      </c>
      <c r="K7994" t="s">
        <v>49805</v>
      </c>
      <c r="L7994" t="s">
        <v>49798</v>
      </c>
    </row>
    <row r="7995" spans="1:12" x14ac:dyDescent="0.25">
      <c r="A7995">
        <v>1359748</v>
      </c>
      <c r="B7995">
        <v>1359749</v>
      </c>
      <c r="D7995">
        <v>0</v>
      </c>
      <c r="F7995">
        <v>1503553</v>
      </c>
      <c r="G7995">
        <v>1359749</v>
      </c>
      <c r="H7995" t="s">
        <v>697</v>
      </c>
      <c r="I7995">
        <v>1359748</v>
      </c>
      <c r="J7995" t="s">
        <v>697</v>
      </c>
      <c r="K7995" t="s">
        <v>49806</v>
      </c>
      <c r="L7995" t="s">
        <v>697</v>
      </c>
    </row>
    <row r="7996" spans="1:12" x14ac:dyDescent="0.25">
      <c r="A7996">
        <v>1359748</v>
      </c>
      <c r="B7996">
        <v>1406400</v>
      </c>
      <c r="D7996">
        <v>0</v>
      </c>
      <c r="E7996" t="s">
        <v>49808</v>
      </c>
      <c r="F7996" t="s">
        <v>49809</v>
      </c>
      <c r="G7996" t="s">
        <v>49810</v>
      </c>
      <c r="H7996" t="e" vm="3445">
        <f>_FV(0,"004414202607019506")</f>
        <v>#VALUE!</v>
      </c>
      <c r="I7996" t="s">
        <v>49811</v>
      </c>
      <c r="J7996" t="s">
        <v>49812</v>
      </c>
      <c r="K7996" t="s">
        <v>49813</v>
      </c>
      <c r="L7996" t="s">
        <v>49807</v>
      </c>
    </row>
    <row r="7997" spans="1:12" x14ac:dyDescent="0.25">
      <c r="A7997">
        <v>1359749</v>
      </c>
      <c r="B7997">
        <v>1359757</v>
      </c>
      <c r="D7997">
        <v>0</v>
      </c>
      <c r="E7997" t="s">
        <v>49815</v>
      </c>
      <c r="F7997" t="s">
        <v>49816</v>
      </c>
      <c r="G7997" t="s">
        <v>49817</v>
      </c>
      <c r="H7997" t="s">
        <v>49818</v>
      </c>
      <c r="I7997" t="s">
        <v>49819</v>
      </c>
      <c r="J7997" t="s">
        <v>38923</v>
      </c>
      <c r="K7997" t="s">
        <v>49820</v>
      </c>
      <c r="L7997" t="s">
        <v>49814</v>
      </c>
    </row>
    <row r="7998" spans="1:12" x14ac:dyDescent="0.25">
      <c r="A7998">
        <v>1359872</v>
      </c>
      <c r="B7998">
        <v>1359964</v>
      </c>
      <c r="C7998" t="s">
        <v>49822</v>
      </c>
      <c r="D7998" t="s">
        <v>49823</v>
      </c>
      <c r="E7998" t="s">
        <v>49824</v>
      </c>
      <c r="F7998" t="s">
        <v>49825</v>
      </c>
      <c r="G7998" t="s">
        <v>49826</v>
      </c>
      <c r="H7998" t="s">
        <v>49827</v>
      </c>
      <c r="I7998" t="s">
        <v>49828</v>
      </c>
      <c r="J7998" t="s">
        <v>49829</v>
      </c>
      <c r="K7998" t="s">
        <v>49830</v>
      </c>
      <c r="L7998" t="s">
        <v>49821</v>
      </c>
    </row>
    <row r="7999" spans="1:12" x14ac:dyDescent="0.25">
      <c r="A7999">
        <v>1359872</v>
      </c>
      <c r="B7999">
        <v>1360975</v>
      </c>
      <c r="D7999">
        <v>0</v>
      </c>
      <c r="E7999" t="s">
        <v>49832</v>
      </c>
      <c r="F7999" t="s">
        <v>49833</v>
      </c>
      <c r="G7999" t="s">
        <v>49834</v>
      </c>
      <c r="H7999" t="s">
        <v>49835</v>
      </c>
      <c r="I7999" t="s">
        <v>49836</v>
      </c>
      <c r="J7999" t="s">
        <v>49837</v>
      </c>
      <c r="K7999" t="s">
        <v>49838</v>
      </c>
      <c r="L7999" t="s">
        <v>49831</v>
      </c>
    </row>
    <row r="8000" spans="1:12" x14ac:dyDescent="0.25">
      <c r="A8000">
        <v>1359887</v>
      </c>
      <c r="B8000">
        <v>1359923</v>
      </c>
      <c r="D8000">
        <v>0</v>
      </c>
      <c r="F8000">
        <v>1532802</v>
      </c>
      <c r="G8000">
        <v>1359887</v>
      </c>
      <c r="H8000" t="e" vm="1084">
        <f>_FV(0,"018")</f>
        <v>#VALUE!</v>
      </c>
      <c r="I8000">
        <v>1359923</v>
      </c>
      <c r="J8000" t="s">
        <v>697</v>
      </c>
      <c r="K8000" t="s">
        <v>49839</v>
      </c>
      <c r="L8000" t="e" vm="1084">
        <f>_FV(0,"018")</f>
        <v>#VALUE!</v>
      </c>
    </row>
    <row r="8001" spans="1:12" x14ac:dyDescent="0.25">
      <c r="A8001">
        <v>1359964</v>
      </c>
      <c r="B8001">
        <v>1360062</v>
      </c>
      <c r="D8001">
        <v>0</v>
      </c>
      <c r="E8001" t="s">
        <v>49841</v>
      </c>
      <c r="F8001" t="s">
        <v>49842</v>
      </c>
      <c r="G8001" t="s">
        <v>49843</v>
      </c>
      <c r="H8001" t="e" vm="3446">
        <f>_FV(0,"001236536705672468")</f>
        <v>#VALUE!</v>
      </c>
      <c r="I8001" t="s">
        <v>49844</v>
      </c>
      <c r="J8001" t="s">
        <v>49845</v>
      </c>
      <c r="K8001" t="s">
        <v>49846</v>
      </c>
      <c r="L8001" t="s">
        <v>49840</v>
      </c>
    </row>
    <row r="8002" spans="1:12" x14ac:dyDescent="0.25">
      <c r="A8002">
        <v>1359964</v>
      </c>
      <c r="B8002">
        <v>1360124</v>
      </c>
      <c r="D8002">
        <v>0</v>
      </c>
      <c r="E8002" t="s">
        <v>49847</v>
      </c>
      <c r="F8002" t="s">
        <v>49848</v>
      </c>
      <c r="G8002" t="s">
        <v>49849</v>
      </c>
      <c r="H8002" t="s">
        <v>49850</v>
      </c>
      <c r="I8002" t="s">
        <v>49851</v>
      </c>
      <c r="J8002" t="s">
        <v>18248</v>
      </c>
      <c r="K8002" t="s">
        <v>49852</v>
      </c>
      <c r="L8002" t="s">
        <v>18248</v>
      </c>
    </row>
    <row r="8003" spans="1:12" x14ac:dyDescent="0.25">
      <c r="A8003">
        <v>1359965</v>
      </c>
      <c r="B8003">
        <v>1359977</v>
      </c>
      <c r="D8003">
        <v>0</v>
      </c>
      <c r="E8003" t="s">
        <v>49854</v>
      </c>
      <c r="F8003" t="s">
        <v>49855</v>
      </c>
      <c r="G8003" t="s">
        <v>49856</v>
      </c>
      <c r="H8003" t="s">
        <v>49857</v>
      </c>
      <c r="I8003" t="s">
        <v>49858</v>
      </c>
      <c r="J8003" t="s">
        <v>49853</v>
      </c>
      <c r="K8003" t="s">
        <v>49859</v>
      </c>
      <c r="L8003" t="s">
        <v>49853</v>
      </c>
    </row>
    <row r="8004" spans="1:12" x14ac:dyDescent="0.25">
      <c r="A8004">
        <v>1359965</v>
      </c>
      <c r="B8004">
        <v>1360083</v>
      </c>
      <c r="D8004">
        <v>0</v>
      </c>
      <c r="E8004" t="s">
        <v>49861</v>
      </c>
      <c r="F8004" t="s">
        <v>49862</v>
      </c>
      <c r="G8004" t="s">
        <v>49863</v>
      </c>
      <c r="H8004" t="e" vm="3447">
        <f>_FV(0,"0008751767289074149")</f>
        <v>#VALUE!</v>
      </c>
      <c r="I8004" t="s">
        <v>49864</v>
      </c>
      <c r="J8004" t="s">
        <v>49865</v>
      </c>
      <c r="K8004" t="s">
        <v>49866</v>
      </c>
      <c r="L8004" t="s">
        <v>49860</v>
      </c>
    </row>
    <row r="8005" spans="1:12" x14ac:dyDescent="0.25">
      <c r="A8005">
        <v>1359965</v>
      </c>
      <c r="B8005">
        <v>1360096</v>
      </c>
      <c r="D8005">
        <v>0</v>
      </c>
      <c r="E8005" t="s">
        <v>49868</v>
      </c>
      <c r="F8005" t="s">
        <v>49869</v>
      </c>
      <c r="G8005" t="s">
        <v>49870</v>
      </c>
      <c r="H8005" t="e" vm="3448">
        <f>_FV(0,"014189647584330969")</f>
        <v>#VALUE!</v>
      </c>
      <c r="I8005" t="s">
        <v>49871</v>
      </c>
      <c r="J8005" t="s">
        <v>49872</v>
      </c>
      <c r="K8005" t="s">
        <v>49873</v>
      </c>
      <c r="L8005" t="s">
        <v>49867</v>
      </c>
    </row>
    <row r="8006" spans="1:12" x14ac:dyDescent="0.25">
      <c r="A8006">
        <v>1359977</v>
      </c>
      <c r="B8006">
        <v>1359979</v>
      </c>
      <c r="D8006">
        <v>0</v>
      </c>
      <c r="E8006" t="s">
        <v>49875</v>
      </c>
      <c r="F8006" t="s">
        <v>49876</v>
      </c>
      <c r="G8006" t="s">
        <v>49877</v>
      </c>
      <c r="H8006" t="e" vm="3449">
        <f>_FV(0,"005082341191261499")</f>
        <v>#VALUE!</v>
      </c>
      <c r="I8006" t="s">
        <v>49878</v>
      </c>
      <c r="J8006" t="s">
        <v>49879</v>
      </c>
      <c r="K8006" t="s">
        <v>49880</v>
      </c>
      <c r="L8006" t="s">
        <v>49874</v>
      </c>
    </row>
    <row r="8007" spans="1:12" x14ac:dyDescent="0.25">
      <c r="A8007">
        <v>1359977</v>
      </c>
      <c r="B8007">
        <v>1359979</v>
      </c>
      <c r="D8007">
        <v>0</v>
      </c>
      <c r="E8007" t="s">
        <v>49882</v>
      </c>
      <c r="F8007" t="s">
        <v>49883</v>
      </c>
      <c r="G8007" t="s">
        <v>49884</v>
      </c>
      <c r="H8007" t="e" vm="3450">
        <f>_FV(0,"0051011390191391314")</f>
        <v>#VALUE!</v>
      </c>
      <c r="I8007" t="s">
        <v>49885</v>
      </c>
      <c r="J8007" t="s">
        <v>49886</v>
      </c>
      <c r="K8007" t="s">
        <v>49887</v>
      </c>
      <c r="L8007" t="s">
        <v>49881</v>
      </c>
    </row>
    <row r="8008" spans="1:12" x14ac:dyDescent="0.25">
      <c r="A8008">
        <v>1359996</v>
      </c>
      <c r="B8008">
        <v>1360022</v>
      </c>
      <c r="D8008">
        <v>0</v>
      </c>
      <c r="E8008" t="s">
        <v>49889</v>
      </c>
      <c r="F8008" t="s">
        <v>49890</v>
      </c>
      <c r="G8008" t="s">
        <v>49891</v>
      </c>
      <c r="H8008" t="s">
        <v>49892</v>
      </c>
      <c r="I8008" t="s">
        <v>49893</v>
      </c>
      <c r="J8008" t="s">
        <v>49894</v>
      </c>
      <c r="K8008" t="s">
        <v>49895</v>
      </c>
      <c r="L8008" t="s">
        <v>49888</v>
      </c>
    </row>
    <row r="8009" spans="1:12" x14ac:dyDescent="0.25">
      <c r="A8009">
        <v>1359996</v>
      </c>
      <c r="B8009">
        <v>1401200</v>
      </c>
      <c r="D8009">
        <v>0</v>
      </c>
      <c r="E8009" t="s">
        <v>49897</v>
      </c>
      <c r="F8009" t="s">
        <v>49898</v>
      </c>
      <c r="G8009" t="s">
        <v>49899</v>
      </c>
      <c r="H8009" t="e" vm="3451">
        <f>_FV(0,"021212745410899115")</f>
        <v>#VALUE!</v>
      </c>
      <c r="I8009" t="s">
        <v>49900</v>
      </c>
      <c r="J8009" t="s">
        <v>49901</v>
      </c>
      <c r="K8009" t="s">
        <v>49902</v>
      </c>
      <c r="L8009" t="s">
        <v>49896</v>
      </c>
    </row>
    <row r="8010" spans="1:12" x14ac:dyDescent="0.25">
      <c r="A8010">
        <v>1360022</v>
      </c>
      <c r="B8010">
        <v>1393358</v>
      </c>
      <c r="D8010" t="s">
        <v>49904</v>
      </c>
      <c r="E8010" t="s">
        <v>49905</v>
      </c>
      <c r="F8010" t="s">
        <v>49906</v>
      </c>
      <c r="G8010" t="s">
        <v>49907</v>
      </c>
      <c r="H8010" t="s">
        <v>49908</v>
      </c>
      <c r="I8010" t="s">
        <v>49909</v>
      </c>
      <c r="J8010" t="s">
        <v>49910</v>
      </c>
      <c r="K8010" t="s">
        <v>49911</v>
      </c>
      <c r="L8010" t="s">
        <v>49903</v>
      </c>
    </row>
    <row r="8011" spans="1:12" x14ac:dyDescent="0.25">
      <c r="A8011">
        <v>1360034</v>
      </c>
      <c r="B8011">
        <v>1360052</v>
      </c>
      <c r="D8011">
        <v>0</v>
      </c>
      <c r="E8011" t="s">
        <v>49913</v>
      </c>
      <c r="F8011" t="s">
        <v>49914</v>
      </c>
      <c r="G8011" t="s">
        <v>49915</v>
      </c>
      <c r="H8011" t="e" vm="3452">
        <f>_FV(0,"09172217823662258")</f>
        <v>#VALUE!</v>
      </c>
      <c r="I8011" t="s">
        <v>49916</v>
      </c>
      <c r="J8011" t="s">
        <v>49917</v>
      </c>
      <c r="K8011" t="s">
        <v>49918</v>
      </c>
      <c r="L8011" t="s">
        <v>49912</v>
      </c>
    </row>
    <row r="8012" spans="1:12" x14ac:dyDescent="0.25">
      <c r="A8012">
        <v>1360034</v>
      </c>
      <c r="B8012">
        <v>1360975</v>
      </c>
      <c r="D8012" t="s">
        <v>5359</v>
      </c>
      <c r="E8012" t="s">
        <v>49920</v>
      </c>
      <c r="F8012" t="s">
        <v>49921</v>
      </c>
      <c r="G8012" t="s">
        <v>49922</v>
      </c>
      <c r="H8012" t="s">
        <v>49923</v>
      </c>
      <c r="I8012" t="s">
        <v>49924</v>
      </c>
      <c r="J8012" t="s">
        <v>49925</v>
      </c>
      <c r="K8012" t="s">
        <v>49926</v>
      </c>
      <c r="L8012" t="s">
        <v>49919</v>
      </c>
    </row>
    <row r="8013" spans="1:12" x14ac:dyDescent="0.25">
      <c r="A8013">
        <v>1360062</v>
      </c>
      <c r="B8013">
        <v>1360083</v>
      </c>
      <c r="D8013">
        <v>0</v>
      </c>
      <c r="E8013" t="s">
        <v>49928</v>
      </c>
      <c r="F8013" t="s">
        <v>49929</v>
      </c>
      <c r="G8013" t="s">
        <v>49930</v>
      </c>
      <c r="H8013" t="e" vm="3453">
        <f>_FV(0,"0054055131630825785")</f>
        <v>#VALUE!</v>
      </c>
      <c r="I8013" t="s">
        <v>49931</v>
      </c>
      <c r="J8013" t="s">
        <v>49932</v>
      </c>
      <c r="K8013" t="s">
        <v>49933</v>
      </c>
      <c r="L8013" t="s">
        <v>49927</v>
      </c>
    </row>
    <row r="8014" spans="1:12" x14ac:dyDescent="0.25">
      <c r="A8014">
        <v>1360062</v>
      </c>
      <c r="B8014">
        <v>1360124</v>
      </c>
      <c r="D8014">
        <v>0</v>
      </c>
      <c r="E8014" t="s">
        <v>49935</v>
      </c>
      <c r="F8014" t="s">
        <v>49936</v>
      </c>
      <c r="G8014" t="s">
        <v>49937</v>
      </c>
      <c r="H8014" t="e" vm="3454">
        <f>_FV(0,"019983615323837724")</f>
        <v>#VALUE!</v>
      </c>
      <c r="I8014" t="s">
        <v>49938</v>
      </c>
      <c r="J8014" t="s">
        <v>49939</v>
      </c>
      <c r="K8014" t="s">
        <v>49940</v>
      </c>
      <c r="L8014" t="s">
        <v>49934</v>
      </c>
    </row>
    <row r="8015" spans="1:12" x14ac:dyDescent="0.25">
      <c r="A8015">
        <v>1360083</v>
      </c>
      <c r="B8015">
        <v>1360096</v>
      </c>
      <c r="D8015">
        <v>0</v>
      </c>
      <c r="E8015" t="s">
        <v>49942</v>
      </c>
      <c r="F8015" t="s">
        <v>49943</v>
      </c>
      <c r="G8015" t="s">
        <v>49944</v>
      </c>
      <c r="H8015" t="s">
        <v>49945</v>
      </c>
      <c r="I8015" t="s">
        <v>49946</v>
      </c>
      <c r="J8015" t="s">
        <v>49941</v>
      </c>
      <c r="K8015" t="s">
        <v>49947</v>
      </c>
      <c r="L8015" t="s">
        <v>49941</v>
      </c>
    </row>
    <row r="8016" spans="1:12" x14ac:dyDescent="0.25">
      <c r="A8016">
        <v>1360096</v>
      </c>
      <c r="B8016">
        <v>1360124</v>
      </c>
      <c r="D8016">
        <v>0</v>
      </c>
      <c r="E8016" t="s">
        <v>49949</v>
      </c>
      <c r="F8016" t="s">
        <v>49950</v>
      </c>
      <c r="G8016" t="s">
        <v>49951</v>
      </c>
      <c r="H8016" t="s">
        <v>49952</v>
      </c>
      <c r="I8016" t="s">
        <v>49953</v>
      </c>
      <c r="J8016" t="s">
        <v>49954</v>
      </c>
      <c r="K8016" t="s">
        <v>49955</v>
      </c>
      <c r="L8016" t="s">
        <v>49948</v>
      </c>
    </row>
    <row r="8017" spans="1:12" x14ac:dyDescent="0.25">
      <c r="A8017">
        <v>1360158</v>
      </c>
      <c r="B8017">
        <v>1360161</v>
      </c>
      <c r="D8017">
        <v>0</v>
      </c>
      <c r="F8017">
        <v>1537418</v>
      </c>
      <c r="G8017">
        <v>1360161</v>
      </c>
      <c r="H8017" t="s">
        <v>18409</v>
      </c>
      <c r="I8017">
        <v>1360158</v>
      </c>
      <c r="J8017" t="s">
        <v>18409</v>
      </c>
      <c r="K8017" t="s">
        <v>49956</v>
      </c>
      <c r="L8017" t="s">
        <v>18409</v>
      </c>
    </row>
    <row r="8018" spans="1:12" x14ac:dyDescent="0.25">
      <c r="A8018">
        <v>1360158</v>
      </c>
      <c r="B8018">
        <v>1360233</v>
      </c>
      <c r="D8018">
        <v>0</v>
      </c>
      <c r="F8018">
        <v>1537466</v>
      </c>
      <c r="G8018">
        <v>1360158</v>
      </c>
      <c r="H8018" t="s">
        <v>14045</v>
      </c>
      <c r="I8018">
        <v>1360233</v>
      </c>
      <c r="J8018" t="s">
        <v>14045</v>
      </c>
      <c r="K8018" t="s">
        <v>49957</v>
      </c>
      <c r="L8018" t="s">
        <v>14045</v>
      </c>
    </row>
    <row r="8019" spans="1:12" x14ac:dyDescent="0.25">
      <c r="A8019">
        <v>1360161</v>
      </c>
      <c r="B8019">
        <v>1360373</v>
      </c>
      <c r="D8019">
        <v>0</v>
      </c>
      <c r="F8019">
        <v>1537426</v>
      </c>
      <c r="G8019">
        <v>1360373</v>
      </c>
      <c r="H8019" t="s">
        <v>30628</v>
      </c>
      <c r="I8019">
        <v>1360161</v>
      </c>
      <c r="J8019" t="s">
        <v>30628</v>
      </c>
      <c r="K8019" t="s">
        <v>49958</v>
      </c>
      <c r="L8019" t="s">
        <v>30628</v>
      </c>
    </row>
    <row r="8020" spans="1:12" x14ac:dyDescent="0.25">
      <c r="A8020">
        <v>1360161</v>
      </c>
      <c r="B8020">
        <v>1393480</v>
      </c>
      <c r="D8020">
        <v>0</v>
      </c>
      <c r="E8020" t="s">
        <v>49960</v>
      </c>
      <c r="F8020" t="s">
        <v>49961</v>
      </c>
      <c r="G8020" t="s">
        <v>49962</v>
      </c>
      <c r="H8020" t="s">
        <v>49963</v>
      </c>
      <c r="I8020" t="s">
        <v>49964</v>
      </c>
      <c r="J8020" t="s">
        <v>49965</v>
      </c>
      <c r="K8020" t="s">
        <v>49966</v>
      </c>
      <c r="L8020" t="s">
        <v>49959</v>
      </c>
    </row>
    <row r="8021" spans="1:12" x14ac:dyDescent="0.25">
      <c r="A8021">
        <v>1360233</v>
      </c>
      <c r="B8021">
        <v>1360373</v>
      </c>
      <c r="D8021">
        <v>0</v>
      </c>
      <c r="E8021" t="s">
        <v>49968</v>
      </c>
      <c r="F8021" t="s">
        <v>49969</v>
      </c>
      <c r="G8021" t="s">
        <v>49970</v>
      </c>
      <c r="H8021" t="e" vm="3455">
        <f>_FV(0,"062033342242804754")</f>
        <v>#VALUE!</v>
      </c>
      <c r="I8021" t="s">
        <v>49971</v>
      </c>
      <c r="J8021" t="s">
        <v>49972</v>
      </c>
      <c r="K8021" t="s">
        <v>49973</v>
      </c>
      <c r="L8021" t="s">
        <v>49967</v>
      </c>
    </row>
    <row r="8022" spans="1:12" x14ac:dyDescent="0.25">
      <c r="A8022">
        <v>1360373</v>
      </c>
      <c r="B8022">
        <v>1360509</v>
      </c>
      <c r="D8022">
        <v>0</v>
      </c>
      <c r="E8022" t="s">
        <v>49975</v>
      </c>
      <c r="F8022" t="s">
        <v>49976</v>
      </c>
      <c r="G8022" t="s">
        <v>49977</v>
      </c>
      <c r="H8022" t="s">
        <v>49978</v>
      </c>
      <c r="I8022" t="s">
        <v>49979</v>
      </c>
      <c r="J8022" t="s">
        <v>49980</v>
      </c>
      <c r="K8022" t="s">
        <v>49981</v>
      </c>
      <c r="L8022" t="s">
        <v>49974</v>
      </c>
    </row>
    <row r="8023" spans="1:12" x14ac:dyDescent="0.25">
      <c r="A8023">
        <v>1360509</v>
      </c>
      <c r="B8023">
        <v>1393621</v>
      </c>
      <c r="D8023" t="s">
        <v>1875</v>
      </c>
      <c r="E8023" t="s">
        <v>49983</v>
      </c>
      <c r="F8023" t="s">
        <v>49984</v>
      </c>
      <c r="G8023" t="s">
        <v>49985</v>
      </c>
      <c r="H8023" t="e" vm="3456">
        <f>_FV(0,"012861988627905422")</f>
        <v>#VALUE!</v>
      </c>
      <c r="I8023" t="s">
        <v>49986</v>
      </c>
      <c r="J8023" t="s">
        <v>49987</v>
      </c>
      <c r="K8023" t="s">
        <v>49988</v>
      </c>
      <c r="L8023" t="s">
        <v>49982</v>
      </c>
    </row>
    <row r="8024" spans="1:12" x14ac:dyDescent="0.25">
      <c r="A8024">
        <v>1360509</v>
      </c>
      <c r="B8024">
        <v>1365968</v>
      </c>
      <c r="D8024">
        <v>0</v>
      </c>
      <c r="E8024" t="s">
        <v>49990</v>
      </c>
      <c r="F8024" t="s">
        <v>49991</v>
      </c>
      <c r="G8024" t="s">
        <v>49992</v>
      </c>
      <c r="H8024" t="e" vm="3457">
        <f>_FV(0,"07225174802737427")</f>
        <v>#VALUE!</v>
      </c>
      <c r="I8024" t="s">
        <v>49993</v>
      </c>
      <c r="J8024" t="s">
        <v>49994</v>
      </c>
      <c r="K8024" t="s">
        <v>49995</v>
      </c>
      <c r="L8024" t="s">
        <v>49989</v>
      </c>
    </row>
    <row r="8025" spans="1:12" x14ac:dyDescent="0.25">
      <c r="A8025">
        <v>1360613</v>
      </c>
      <c r="B8025">
        <v>1378834</v>
      </c>
      <c r="D8025">
        <v>0</v>
      </c>
      <c r="E8025" t="s">
        <v>49997</v>
      </c>
      <c r="F8025" t="s">
        <v>49998</v>
      </c>
      <c r="G8025" t="s">
        <v>49999</v>
      </c>
      <c r="H8025" t="s">
        <v>50000</v>
      </c>
      <c r="I8025" t="s">
        <v>50001</v>
      </c>
      <c r="J8025" t="s">
        <v>50002</v>
      </c>
      <c r="K8025" t="s">
        <v>50003</v>
      </c>
      <c r="L8025" t="s">
        <v>49996</v>
      </c>
    </row>
    <row r="8026" spans="1:12" x14ac:dyDescent="0.25">
      <c r="A8026">
        <v>1360613</v>
      </c>
      <c r="B8026">
        <v>1360681</v>
      </c>
      <c r="D8026" t="s">
        <v>18208</v>
      </c>
      <c r="E8026" t="s">
        <v>50005</v>
      </c>
      <c r="F8026" t="s">
        <v>50006</v>
      </c>
      <c r="G8026" t="s">
        <v>50007</v>
      </c>
      <c r="H8026" t="e" vm="3458">
        <f>_FV(0,"00921105840959558")</f>
        <v>#VALUE!</v>
      </c>
      <c r="I8026" t="s">
        <v>50008</v>
      </c>
      <c r="J8026" t="s">
        <v>50009</v>
      </c>
      <c r="K8026" t="s">
        <v>50010</v>
      </c>
      <c r="L8026" t="s">
        <v>50004</v>
      </c>
    </row>
    <row r="8027" spans="1:12" x14ac:dyDescent="0.25">
      <c r="A8027">
        <v>1360708</v>
      </c>
      <c r="B8027">
        <v>1820460</v>
      </c>
      <c r="D8027">
        <v>0</v>
      </c>
      <c r="E8027" t="s">
        <v>50012</v>
      </c>
      <c r="F8027" t="s">
        <v>50013</v>
      </c>
      <c r="G8027" t="s">
        <v>50014</v>
      </c>
      <c r="H8027" t="s">
        <v>50015</v>
      </c>
      <c r="I8027" t="s">
        <v>50016</v>
      </c>
      <c r="J8027" t="s">
        <v>50017</v>
      </c>
      <c r="K8027" t="s">
        <v>50018</v>
      </c>
      <c r="L8027" t="s">
        <v>50011</v>
      </c>
    </row>
    <row r="8028" spans="1:12" x14ac:dyDescent="0.25">
      <c r="A8028">
        <v>1360708</v>
      </c>
      <c r="B8028">
        <v>1820477</v>
      </c>
      <c r="D8028">
        <v>0</v>
      </c>
      <c r="E8028" t="s">
        <v>50020</v>
      </c>
      <c r="F8028" t="s">
        <v>50021</v>
      </c>
      <c r="G8028" t="s">
        <v>50022</v>
      </c>
      <c r="H8028" t="s">
        <v>50023</v>
      </c>
      <c r="I8028" t="s">
        <v>50024</v>
      </c>
      <c r="J8028" t="s">
        <v>50025</v>
      </c>
      <c r="K8028" t="s">
        <v>50026</v>
      </c>
      <c r="L8028" t="s">
        <v>50019</v>
      </c>
    </row>
    <row r="8029" spans="1:12" x14ac:dyDescent="0.25">
      <c r="A8029">
        <v>1360713</v>
      </c>
      <c r="B8029">
        <v>1360742</v>
      </c>
      <c r="D8029" t="s">
        <v>28448</v>
      </c>
      <c r="E8029" t="s">
        <v>50028</v>
      </c>
      <c r="F8029" t="s">
        <v>50029</v>
      </c>
      <c r="G8029" t="s">
        <v>50030</v>
      </c>
      <c r="H8029" t="e" vm="3459">
        <f>_FV(0,"004005795414700995")</f>
        <v>#VALUE!</v>
      </c>
      <c r="I8029" t="s">
        <v>50031</v>
      </c>
      <c r="J8029" t="s">
        <v>50032</v>
      </c>
      <c r="K8029" t="s">
        <v>50033</v>
      </c>
      <c r="L8029" t="s">
        <v>50027</v>
      </c>
    </row>
    <row r="8030" spans="1:12" x14ac:dyDescent="0.25">
      <c r="A8030">
        <v>1360713</v>
      </c>
      <c r="B8030">
        <v>1820462</v>
      </c>
      <c r="D8030">
        <v>0</v>
      </c>
      <c r="F8030">
        <v>2107970</v>
      </c>
      <c r="G8030">
        <v>1360713</v>
      </c>
      <c r="H8030" t="e" vm="171">
        <f>_FV(0,"04")</f>
        <v>#VALUE!</v>
      </c>
      <c r="I8030">
        <v>1820462</v>
      </c>
      <c r="J8030" t="s">
        <v>2674</v>
      </c>
      <c r="K8030" t="s">
        <v>50034</v>
      </c>
      <c r="L8030" t="e" vm="171">
        <f>_FV(0,"04")</f>
        <v>#VALUE!</v>
      </c>
    </row>
    <row r="8031" spans="1:12" x14ac:dyDescent="0.25">
      <c r="A8031">
        <v>1360713</v>
      </c>
      <c r="B8031">
        <v>1820483</v>
      </c>
      <c r="D8031">
        <v>0</v>
      </c>
      <c r="F8031">
        <v>2108030</v>
      </c>
      <c r="G8031">
        <v>1360713</v>
      </c>
      <c r="H8031" t="e" vm="1209">
        <f>_FV(0,"042")</f>
        <v>#VALUE!</v>
      </c>
      <c r="I8031">
        <v>1820483</v>
      </c>
      <c r="J8031" t="s">
        <v>3161</v>
      </c>
      <c r="K8031" t="s">
        <v>50035</v>
      </c>
      <c r="L8031" t="e" vm="1209">
        <f>_FV(0,"042")</f>
        <v>#VALUE!</v>
      </c>
    </row>
    <row r="8032" spans="1:12" x14ac:dyDescent="0.25">
      <c r="A8032">
        <v>1360742</v>
      </c>
      <c r="B8032">
        <v>1361059</v>
      </c>
      <c r="D8032">
        <v>0</v>
      </c>
      <c r="E8032" t="s">
        <v>50037</v>
      </c>
      <c r="F8032" t="s">
        <v>50038</v>
      </c>
      <c r="G8032" t="s">
        <v>50039</v>
      </c>
      <c r="H8032" t="e" vm="3460">
        <f>_FV(0,"01841997898642349")</f>
        <v>#VALUE!</v>
      </c>
      <c r="I8032" t="s">
        <v>50040</v>
      </c>
      <c r="J8032" t="s">
        <v>50041</v>
      </c>
      <c r="K8032" t="s">
        <v>50042</v>
      </c>
      <c r="L8032" t="s">
        <v>50036</v>
      </c>
    </row>
    <row r="8033" spans="1:12" x14ac:dyDescent="0.25">
      <c r="A8033">
        <v>1360742</v>
      </c>
      <c r="B8033">
        <v>1362932</v>
      </c>
      <c r="D8033">
        <v>0</v>
      </c>
      <c r="E8033" t="s">
        <v>50043</v>
      </c>
      <c r="F8033" t="s">
        <v>50044</v>
      </c>
      <c r="G8033" t="s">
        <v>50045</v>
      </c>
      <c r="H8033" t="e" vm="3461">
        <f>_FV(0,"015262968387262653")</f>
        <v>#VALUE!</v>
      </c>
      <c r="I8033" t="s">
        <v>50046</v>
      </c>
      <c r="J8033" t="s">
        <v>9876</v>
      </c>
      <c r="K8033" t="s">
        <v>50047</v>
      </c>
      <c r="L8033" t="s">
        <v>9871</v>
      </c>
    </row>
    <row r="8034" spans="1:12" x14ac:dyDescent="0.25">
      <c r="A8034">
        <v>1360758</v>
      </c>
      <c r="B8034">
        <v>1360826</v>
      </c>
      <c r="C8034" t="s">
        <v>50049</v>
      </c>
      <c r="D8034">
        <v>0</v>
      </c>
      <c r="E8034" t="s">
        <v>50050</v>
      </c>
      <c r="F8034" t="s">
        <v>50051</v>
      </c>
      <c r="G8034" t="s">
        <v>50052</v>
      </c>
      <c r="H8034" t="s">
        <v>50053</v>
      </c>
      <c r="I8034" t="s">
        <v>50054</v>
      </c>
      <c r="J8034" t="s">
        <v>50055</v>
      </c>
      <c r="K8034" t="s">
        <v>50056</v>
      </c>
      <c r="L8034" t="s">
        <v>50048</v>
      </c>
    </row>
    <row r="8035" spans="1:12" x14ac:dyDescent="0.25">
      <c r="A8035">
        <v>1360758</v>
      </c>
      <c r="B8035">
        <v>1361060</v>
      </c>
      <c r="D8035">
        <v>0</v>
      </c>
      <c r="E8035" t="s">
        <v>50058</v>
      </c>
      <c r="F8035" t="s">
        <v>50059</v>
      </c>
      <c r="G8035" t="s">
        <v>50060</v>
      </c>
      <c r="H8035" t="e" vm="3462">
        <f>_FV(0,"005314904417628079")</f>
        <v>#VALUE!</v>
      </c>
      <c r="I8035" t="s">
        <v>50061</v>
      </c>
      <c r="J8035" t="s">
        <v>11776</v>
      </c>
      <c r="K8035" t="s">
        <v>50062</v>
      </c>
      <c r="L8035" t="s">
        <v>50057</v>
      </c>
    </row>
    <row r="8036" spans="1:12" x14ac:dyDescent="0.25">
      <c r="A8036">
        <v>1360758</v>
      </c>
      <c r="B8036">
        <v>1362938</v>
      </c>
      <c r="D8036">
        <v>0</v>
      </c>
      <c r="E8036" t="s">
        <v>50063</v>
      </c>
      <c r="F8036" t="s">
        <v>50064</v>
      </c>
      <c r="G8036" t="s">
        <v>50065</v>
      </c>
      <c r="H8036" t="e" vm="3463">
        <f>_FV(0,"018037478033405947")</f>
        <v>#VALUE!</v>
      </c>
      <c r="I8036" t="s">
        <v>50066</v>
      </c>
      <c r="J8036" t="s">
        <v>6150</v>
      </c>
      <c r="K8036" t="s">
        <v>50067</v>
      </c>
      <c r="L8036" t="s">
        <v>6145</v>
      </c>
    </row>
    <row r="8037" spans="1:12" x14ac:dyDescent="0.25">
      <c r="A8037">
        <v>1360764</v>
      </c>
      <c r="B8037">
        <v>1360765</v>
      </c>
      <c r="D8037">
        <v>0</v>
      </c>
      <c r="F8037">
        <v>1504775</v>
      </c>
      <c r="G8037">
        <v>1360765</v>
      </c>
      <c r="H8037" t="s">
        <v>187</v>
      </c>
      <c r="I8037">
        <v>1360764</v>
      </c>
      <c r="J8037" t="s">
        <v>187</v>
      </c>
      <c r="K8037" t="s">
        <v>50068</v>
      </c>
      <c r="L8037" t="s">
        <v>187</v>
      </c>
    </row>
    <row r="8038" spans="1:12" x14ac:dyDescent="0.25">
      <c r="A8038">
        <v>1360765</v>
      </c>
      <c r="B8038">
        <v>1360772</v>
      </c>
      <c r="D8038">
        <v>0</v>
      </c>
      <c r="F8038">
        <v>1504783</v>
      </c>
      <c r="G8038">
        <v>1360772</v>
      </c>
      <c r="H8038" t="e" vm="215">
        <f>_FV(0,"02")</f>
        <v>#VALUE!</v>
      </c>
      <c r="I8038">
        <v>1360765</v>
      </c>
      <c r="J8038" t="s">
        <v>3317</v>
      </c>
      <c r="K8038" t="s">
        <v>50069</v>
      </c>
      <c r="L8038" t="e" vm="215">
        <f>_FV(0,"02")</f>
        <v>#VALUE!</v>
      </c>
    </row>
    <row r="8039" spans="1:12" x14ac:dyDescent="0.25">
      <c r="A8039">
        <v>1360765</v>
      </c>
      <c r="B8039">
        <v>1360844</v>
      </c>
      <c r="D8039">
        <v>0</v>
      </c>
      <c r="E8039" t="s">
        <v>50071</v>
      </c>
      <c r="F8039" t="s">
        <v>50072</v>
      </c>
      <c r="G8039" t="s">
        <v>50073</v>
      </c>
      <c r="H8039" t="s">
        <v>50074</v>
      </c>
      <c r="I8039" t="s">
        <v>50075</v>
      </c>
      <c r="J8039" t="s">
        <v>50070</v>
      </c>
      <c r="K8039" t="s">
        <v>50076</v>
      </c>
      <c r="L8039" t="s">
        <v>50070</v>
      </c>
    </row>
    <row r="8040" spans="1:12" x14ac:dyDescent="0.25">
      <c r="A8040">
        <v>1360772</v>
      </c>
      <c r="B8040">
        <v>1360773</v>
      </c>
      <c r="D8040">
        <v>0</v>
      </c>
      <c r="F8040">
        <v>1504784</v>
      </c>
      <c r="G8040">
        <v>1360773</v>
      </c>
      <c r="H8040" t="e" vm="353">
        <f>_FV(0,"045")</f>
        <v>#VALUE!</v>
      </c>
      <c r="I8040">
        <v>1360772</v>
      </c>
      <c r="J8040" t="s">
        <v>4979</v>
      </c>
      <c r="K8040" t="s">
        <v>50077</v>
      </c>
      <c r="L8040" t="e" vm="353">
        <f>_FV(0,"045")</f>
        <v>#VALUE!</v>
      </c>
    </row>
    <row r="8041" spans="1:12" x14ac:dyDescent="0.25">
      <c r="A8041">
        <v>1360772</v>
      </c>
      <c r="B8041">
        <v>1360844</v>
      </c>
      <c r="D8041">
        <v>0</v>
      </c>
      <c r="E8041" t="s">
        <v>50079</v>
      </c>
      <c r="F8041" t="s">
        <v>50080</v>
      </c>
      <c r="G8041" t="s">
        <v>50081</v>
      </c>
      <c r="H8041" t="s">
        <v>50082</v>
      </c>
      <c r="I8041" t="s">
        <v>50083</v>
      </c>
      <c r="J8041" t="s">
        <v>50078</v>
      </c>
      <c r="K8041" t="s">
        <v>50084</v>
      </c>
      <c r="L8041" t="s">
        <v>50078</v>
      </c>
    </row>
    <row r="8042" spans="1:12" x14ac:dyDescent="0.25">
      <c r="A8042">
        <v>1360779</v>
      </c>
      <c r="B8042">
        <v>1360799</v>
      </c>
      <c r="D8042">
        <v>0</v>
      </c>
      <c r="E8042" t="s">
        <v>50086</v>
      </c>
      <c r="F8042" t="s">
        <v>50087</v>
      </c>
      <c r="G8042" t="s">
        <v>50088</v>
      </c>
      <c r="H8042" t="s">
        <v>50089</v>
      </c>
      <c r="I8042" t="s">
        <v>50090</v>
      </c>
      <c r="J8042" t="s">
        <v>50085</v>
      </c>
      <c r="K8042" t="s">
        <v>50091</v>
      </c>
      <c r="L8042" t="s">
        <v>50085</v>
      </c>
    </row>
    <row r="8043" spans="1:12" x14ac:dyDescent="0.25">
      <c r="A8043">
        <v>1360799</v>
      </c>
      <c r="B8043">
        <v>1360800</v>
      </c>
      <c r="D8043">
        <v>0</v>
      </c>
      <c r="F8043">
        <v>1504815</v>
      </c>
      <c r="G8043">
        <v>1360800</v>
      </c>
      <c r="H8043" t="e" vm="263">
        <f>_FV(0,"024")</f>
        <v>#VALUE!</v>
      </c>
      <c r="I8043">
        <v>1360799</v>
      </c>
      <c r="J8043" t="s">
        <v>2916</v>
      </c>
      <c r="K8043" t="s">
        <v>50092</v>
      </c>
      <c r="L8043" t="e" vm="263">
        <f>_FV(0,"024")</f>
        <v>#VALUE!</v>
      </c>
    </row>
    <row r="8044" spans="1:12" x14ac:dyDescent="0.25">
      <c r="A8044">
        <v>1360799</v>
      </c>
      <c r="B8044">
        <v>1806748</v>
      </c>
      <c r="D8044">
        <v>0</v>
      </c>
      <c r="F8044">
        <v>2085257</v>
      </c>
      <c r="G8044">
        <v>1806748</v>
      </c>
      <c r="H8044" t="s">
        <v>50093</v>
      </c>
      <c r="I8044">
        <v>1360799</v>
      </c>
      <c r="J8044" t="s">
        <v>50093</v>
      </c>
      <c r="K8044" t="s">
        <v>50094</v>
      </c>
      <c r="L8044" t="s">
        <v>50093</v>
      </c>
    </row>
    <row r="8045" spans="1:12" x14ac:dyDescent="0.25">
      <c r="A8045">
        <v>1360826</v>
      </c>
      <c r="B8045">
        <v>1361080</v>
      </c>
      <c r="D8045">
        <v>0</v>
      </c>
      <c r="E8045" t="s">
        <v>50096</v>
      </c>
      <c r="F8045" t="s">
        <v>50097</v>
      </c>
      <c r="G8045" t="s">
        <v>50098</v>
      </c>
      <c r="H8045" t="e" vm="3464">
        <f>_FV(0,"020468260448839034")</f>
        <v>#VALUE!</v>
      </c>
      <c r="I8045" t="s">
        <v>50099</v>
      </c>
      <c r="J8045" t="s">
        <v>50100</v>
      </c>
      <c r="K8045" t="s">
        <v>50101</v>
      </c>
      <c r="L8045" t="s">
        <v>50095</v>
      </c>
    </row>
    <row r="8046" spans="1:12" x14ac:dyDescent="0.25">
      <c r="A8046">
        <v>1360826</v>
      </c>
      <c r="B8046">
        <v>1362969</v>
      </c>
      <c r="D8046">
        <v>0</v>
      </c>
      <c r="E8046" t="s">
        <v>50103</v>
      </c>
      <c r="F8046" t="s">
        <v>50104</v>
      </c>
      <c r="G8046" t="s">
        <v>50105</v>
      </c>
      <c r="H8046" t="e" vm="3465">
        <f>_FV(0,"01884111801586251")</f>
        <v>#VALUE!</v>
      </c>
      <c r="I8046" t="s">
        <v>50106</v>
      </c>
      <c r="J8046" t="s">
        <v>50107</v>
      </c>
      <c r="K8046" t="s">
        <v>50108</v>
      </c>
      <c r="L8046" t="s">
        <v>50102</v>
      </c>
    </row>
    <row r="8047" spans="1:12" x14ac:dyDescent="0.25">
      <c r="A8047">
        <v>1360844</v>
      </c>
      <c r="B8047">
        <v>1401504</v>
      </c>
      <c r="D8047">
        <v>0</v>
      </c>
      <c r="E8047" t="s">
        <v>50110</v>
      </c>
      <c r="F8047" t="s">
        <v>50111</v>
      </c>
      <c r="G8047" t="s">
        <v>50112</v>
      </c>
      <c r="H8047" t="s">
        <v>50113</v>
      </c>
      <c r="I8047" t="s">
        <v>50114</v>
      </c>
      <c r="J8047" t="s">
        <v>50109</v>
      </c>
      <c r="K8047" t="s">
        <v>50115</v>
      </c>
      <c r="L8047" t="s">
        <v>50109</v>
      </c>
    </row>
    <row r="8048" spans="1:12" x14ac:dyDescent="0.25">
      <c r="A8048">
        <v>1360957</v>
      </c>
      <c r="B8048">
        <v>1393732</v>
      </c>
      <c r="D8048">
        <v>0</v>
      </c>
      <c r="E8048" t="s">
        <v>50117</v>
      </c>
      <c r="F8048" t="s">
        <v>50118</v>
      </c>
      <c r="G8048" t="s">
        <v>50119</v>
      </c>
      <c r="H8048" t="s">
        <v>50120</v>
      </c>
      <c r="I8048" t="s">
        <v>50121</v>
      </c>
      <c r="J8048" t="s">
        <v>50116</v>
      </c>
      <c r="K8048" t="s">
        <v>50122</v>
      </c>
      <c r="L8048" t="s">
        <v>50116</v>
      </c>
    </row>
    <row r="8049" spans="1:12" x14ac:dyDescent="0.25">
      <c r="A8049">
        <v>1360990</v>
      </c>
      <c r="B8049">
        <v>1393746</v>
      </c>
      <c r="D8049">
        <v>0</v>
      </c>
      <c r="E8049" t="s">
        <v>50124</v>
      </c>
      <c r="F8049" t="s">
        <v>50125</v>
      </c>
      <c r="G8049" t="s">
        <v>50126</v>
      </c>
      <c r="H8049" t="e" vm="3466">
        <f>_FV(0,"004153094634667722")</f>
        <v>#VALUE!</v>
      </c>
      <c r="I8049" t="s">
        <v>50127</v>
      </c>
      <c r="J8049" t="s">
        <v>50128</v>
      </c>
      <c r="K8049" t="s">
        <v>50129</v>
      </c>
      <c r="L8049" t="s">
        <v>50123</v>
      </c>
    </row>
    <row r="8050" spans="1:12" x14ac:dyDescent="0.25">
      <c r="A8050">
        <v>1360997</v>
      </c>
      <c r="B8050">
        <v>1361036</v>
      </c>
      <c r="D8050">
        <v>0</v>
      </c>
      <c r="E8050" t="s">
        <v>50131</v>
      </c>
      <c r="F8050" t="s">
        <v>50132</v>
      </c>
      <c r="G8050" t="s">
        <v>50133</v>
      </c>
      <c r="H8050" t="s">
        <v>50134</v>
      </c>
      <c r="I8050" t="s">
        <v>50135</v>
      </c>
      <c r="J8050" t="s">
        <v>50130</v>
      </c>
      <c r="K8050" t="s">
        <v>50136</v>
      </c>
      <c r="L8050" t="s">
        <v>50130</v>
      </c>
    </row>
    <row r="8051" spans="1:12" x14ac:dyDescent="0.25">
      <c r="A8051">
        <v>1360997</v>
      </c>
      <c r="B8051">
        <v>1401706</v>
      </c>
      <c r="D8051" t="s">
        <v>2793</v>
      </c>
      <c r="E8051" t="s">
        <v>50138</v>
      </c>
      <c r="F8051" t="s">
        <v>50139</v>
      </c>
      <c r="G8051" t="s">
        <v>50140</v>
      </c>
      <c r="H8051" t="s">
        <v>50141</v>
      </c>
      <c r="I8051" t="s">
        <v>50142</v>
      </c>
      <c r="J8051" t="s">
        <v>50143</v>
      </c>
      <c r="K8051" t="s">
        <v>50144</v>
      </c>
      <c r="L8051" t="s">
        <v>50137</v>
      </c>
    </row>
    <row r="8052" spans="1:12" x14ac:dyDescent="0.25">
      <c r="A8052">
        <v>1361059</v>
      </c>
      <c r="B8052">
        <v>1361060</v>
      </c>
      <c r="D8052">
        <v>0</v>
      </c>
      <c r="E8052" t="s">
        <v>50146</v>
      </c>
      <c r="F8052" t="s">
        <v>50147</v>
      </c>
      <c r="G8052" t="s">
        <v>50148</v>
      </c>
      <c r="H8052" t="e" vm="3467">
        <f>_FV(0,"001250246774174415")</f>
        <v>#VALUE!</v>
      </c>
      <c r="I8052" t="s">
        <v>50149</v>
      </c>
      <c r="J8052" t="s">
        <v>50150</v>
      </c>
      <c r="K8052" t="s">
        <v>50151</v>
      </c>
      <c r="L8052" t="s">
        <v>50145</v>
      </c>
    </row>
    <row r="8053" spans="1:12" x14ac:dyDescent="0.25">
      <c r="A8053">
        <v>1361059</v>
      </c>
      <c r="B8053">
        <v>1362932</v>
      </c>
      <c r="D8053">
        <v>0</v>
      </c>
      <c r="E8053" t="s">
        <v>50153</v>
      </c>
      <c r="F8053" t="s">
        <v>50154</v>
      </c>
      <c r="G8053" t="s">
        <v>50155</v>
      </c>
      <c r="H8053" t="e" vm="3468">
        <f>_FV(0,"007540249381920798")</f>
        <v>#VALUE!</v>
      </c>
      <c r="I8053" t="s">
        <v>50156</v>
      </c>
      <c r="J8053" t="s">
        <v>50157</v>
      </c>
      <c r="K8053" t="s">
        <v>50158</v>
      </c>
      <c r="L8053" t="s">
        <v>50152</v>
      </c>
    </row>
    <row r="8054" spans="1:12" x14ac:dyDescent="0.25">
      <c r="A8054">
        <v>1361060</v>
      </c>
      <c r="B8054">
        <v>1362938</v>
      </c>
      <c r="D8054">
        <v>0</v>
      </c>
      <c r="E8054" t="s">
        <v>50160</v>
      </c>
      <c r="F8054" t="s">
        <v>50161</v>
      </c>
      <c r="G8054" t="s">
        <v>50162</v>
      </c>
      <c r="H8054" t="s">
        <v>50163</v>
      </c>
      <c r="I8054" t="s">
        <v>50164</v>
      </c>
      <c r="J8054" t="s">
        <v>50159</v>
      </c>
      <c r="K8054" t="s">
        <v>50165</v>
      </c>
      <c r="L8054" t="s">
        <v>50159</v>
      </c>
    </row>
    <row r="8055" spans="1:12" x14ac:dyDescent="0.25">
      <c r="A8055">
        <v>1361080</v>
      </c>
      <c r="B8055">
        <v>1361081</v>
      </c>
      <c r="D8055">
        <v>0</v>
      </c>
      <c r="E8055" t="s">
        <v>50167</v>
      </c>
      <c r="F8055" t="s">
        <v>50168</v>
      </c>
      <c r="G8055" t="s">
        <v>50169</v>
      </c>
      <c r="H8055" t="e" vm="3469">
        <f>_FV(0,"014124533204893612")</f>
        <v>#VALUE!</v>
      </c>
      <c r="I8055" t="s">
        <v>50170</v>
      </c>
      <c r="J8055" t="s">
        <v>50171</v>
      </c>
      <c r="K8055" t="s">
        <v>50172</v>
      </c>
      <c r="L8055" t="s">
        <v>50166</v>
      </c>
    </row>
    <row r="8056" spans="1:12" x14ac:dyDescent="0.25">
      <c r="A8056">
        <v>1361080</v>
      </c>
      <c r="B8056">
        <v>1362969</v>
      </c>
      <c r="D8056">
        <v>0</v>
      </c>
      <c r="E8056" t="s">
        <v>50174</v>
      </c>
      <c r="F8056" t="s">
        <v>50175</v>
      </c>
      <c r="G8056" t="s">
        <v>50176</v>
      </c>
      <c r="H8056" t="e" vm="3470">
        <f>_FV(0,"004469655356643506")</f>
        <v>#VALUE!</v>
      </c>
      <c r="I8056" t="s">
        <v>50177</v>
      </c>
      <c r="J8056" t="s">
        <v>50178</v>
      </c>
      <c r="K8056" t="s">
        <v>50179</v>
      </c>
      <c r="L8056" t="s">
        <v>50173</v>
      </c>
    </row>
    <row r="8057" spans="1:12" x14ac:dyDescent="0.25">
      <c r="A8057">
        <v>1361081</v>
      </c>
      <c r="B8057">
        <v>1361083</v>
      </c>
      <c r="D8057">
        <v>0</v>
      </c>
      <c r="E8057" t="s">
        <v>50181</v>
      </c>
      <c r="F8057" t="s">
        <v>50182</v>
      </c>
      <c r="G8057" t="s">
        <v>50183</v>
      </c>
      <c r="H8057" t="s">
        <v>50184</v>
      </c>
      <c r="I8057" t="s">
        <v>50185</v>
      </c>
      <c r="J8057" t="s">
        <v>18616</v>
      </c>
      <c r="K8057" t="s">
        <v>50186</v>
      </c>
      <c r="L8057" t="s">
        <v>50180</v>
      </c>
    </row>
    <row r="8058" spans="1:12" x14ac:dyDescent="0.25">
      <c r="A8058">
        <v>1361081</v>
      </c>
      <c r="B8058">
        <v>1362985</v>
      </c>
      <c r="D8058">
        <v>0</v>
      </c>
      <c r="E8058" t="s">
        <v>50188</v>
      </c>
      <c r="F8058" t="s">
        <v>50189</v>
      </c>
      <c r="G8058" t="s">
        <v>50190</v>
      </c>
      <c r="H8058" t="s">
        <v>50191</v>
      </c>
      <c r="I8058" t="s">
        <v>50192</v>
      </c>
      <c r="J8058" t="s">
        <v>50193</v>
      </c>
      <c r="K8058" t="s">
        <v>50194</v>
      </c>
      <c r="L8058" t="s">
        <v>50187</v>
      </c>
    </row>
    <row r="8059" spans="1:12" x14ac:dyDescent="0.25">
      <c r="A8059">
        <v>1361083</v>
      </c>
      <c r="B8059">
        <v>1361084</v>
      </c>
      <c r="D8059" t="s">
        <v>330</v>
      </c>
      <c r="E8059" t="s">
        <v>50196</v>
      </c>
      <c r="F8059" t="s">
        <v>50197</v>
      </c>
      <c r="G8059" t="s">
        <v>50198</v>
      </c>
      <c r="H8059" t="e" vm="3471">
        <f>_FV(0,"002576036299775276")</f>
        <v>#VALUE!</v>
      </c>
      <c r="I8059" t="s">
        <v>50199</v>
      </c>
      <c r="J8059" t="s">
        <v>50200</v>
      </c>
      <c r="K8059" t="s">
        <v>50201</v>
      </c>
      <c r="L8059" t="s">
        <v>50195</v>
      </c>
    </row>
    <row r="8060" spans="1:12" x14ac:dyDescent="0.25">
      <c r="A8060">
        <v>1361083</v>
      </c>
      <c r="B8060">
        <v>1362985</v>
      </c>
      <c r="D8060">
        <v>0</v>
      </c>
      <c r="E8060" t="s">
        <v>50202</v>
      </c>
      <c r="F8060" t="s">
        <v>50203</v>
      </c>
      <c r="G8060" t="s">
        <v>50204</v>
      </c>
      <c r="H8060" t="e" vm="3472">
        <f>_FV(0,"007895812365553768")</f>
        <v>#VALUE!</v>
      </c>
      <c r="I8060" t="s">
        <v>50205</v>
      </c>
      <c r="J8060" t="s">
        <v>11686</v>
      </c>
      <c r="K8060" t="s">
        <v>50206</v>
      </c>
      <c r="L8060" t="s">
        <v>32993</v>
      </c>
    </row>
    <row r="8061" spans="1:12" x14ac:dyDescent="0.25">
      <c r="A8061">
        <v>1361084</v>
      </c>
      <c r="B8061">
        <v>1361092</v>
      </c>
      <c r="D8061">
        <v>0</v>
      </c>
      <c r="E8061" t="s">
        <v>50208</v>
      </c>
      <c r="F8061" t="s">
        <v>50209</v>
      </c>
      <c r="G8061" t="s">
        <v>50210</v>
      </c>
      <c r="H8061" t="s">
        <v>50211</v>
      </c>
      <c r="I8061" t="s">
        <v>50212</v>
      </c>
      <c r="J8061" t="s">
        <v>50207</v>
      </c>
      <c r="K8061" t="s">
        <v>50213</v>
      </c>
      <c r="L8061" t="s">
        <v>50207</v>
      </c>
    </row>
    <row r="8062" spans="1:12" x14ac:dyDescent="0.25">
      <c r="A8062">
        <v>1361084</v>
      </c>
      <c r="B8062">
        <v>1363017</v>
      </c>
      <c r="D8062">
        <v>0</v>
      </c>
      <c r="E8062" t="s">
        <v>50215</v>
      </c>
      <c r="F8062" t="s">
        <v>50216</v>
      </c>
      <c r="G8062" t="s">
        <v>50217</v>
      </c>
      <c r="H8062" t="s">
        <v>50218</v>
      </c>
      <c r="I8062" t="s">
        <v>50219</v>
      </c>
      <c r="J8062" t="s">
        <v>50220</v>
      </c>
      <c r="K8062" t="s">
        <v>50221</v>
      </c>
      <c r="L8062" t="s">
        <v>50214</v>
      </c>
    </row>
    <row r="8063" spans="1:12" x14ac:dyDescent="0.25">
      <c r="A8063">
        <v>1361092</v>
      </c>
      <c r="B8063">
        <v>1361101</v>
      </c>
      <c r="D8063">
        <v>0</v>
      </c>
      <c r="F8063">
        <v>1526186</v>
      </c>
      <c r="G8063">
        <v>1361101</v>
      </c>
      <c r="H8063" t="s">
        <v>2841</v>
      </c>
      <c r="I8063">
        <v>1361092</v>
      </c>
      <c r="J8063" t="s">
        <v>2841</v>
      </c>
      <c r="K8063" t="s">
        <v>50222</v>
      </c>
      <c r="L8063" t="s">
        <v>2841</v>
      </c>
    </row>
    <row r="8064" spans="1:12" x14ac:dyDescent="0.25">
      <c r="A8064">
        <v>1361092</v>
      </c>
      <c r="B8064">
        <v>1363017</v>
      </c>
      <c r="D8064">
        <v>0</v>
      </c>
      <c r="E8064" t="s">
        <v>50223</v>
      </c>
      <c r="F8064" t="s">
        <v>50224</v>
      </c>
      <c r="G8064" t="s">
        <v>50225</v>
      </c>
      <c r="H8064" t="s">
        <v>50226</v>
      </c>
      <c r="I8064" t="s">
        <v>50227</v>
      </c>
      <c r="J8064" t="s">
        <v>29528</v>
      </c>
      <c r="K8064" t="s">
        <v>50228</v>
      </c>
      <c r="L8064" t="s">
        <v>29528</v>
      </c>
    </row>
    <row r="8065" spans="1:12" x14ac:dyDescent="0.25">
      <c r="A8065">
        <v>1361096</v>
      </c>
      <c r="B8065">
        <v>1361153</v>
      </c>
      <c r="D8065">
        <v>0</v>
      </c>
      <c r="E8065" t="s">
        <v>50230</v>
      </c>
      <c r="F8065" t="s">
        <v>50231</v>
      </c>
      <c r="G8065" t="s">
        <v>50232</v>
      </c>
      <c r="H8065" t="s">
        <v>50233</v>
      </c>
      <c r="I8065" t="s">
        <v>50234</v>
      </c>
      <c r="J8065" t="s">
        <v>50235</v>
      </c>
      <c r="K8065" t="s">
        <v>50236</v>
      </c>
      <c r="L8065" t="s">
        <v>50229</v>
      </c>
    </row>
    <row r="8066" spans="1:12" x14ac:dyDescent="0.25">
      <c r="A8066">
        <v>1361101</v>
      </c>
      <c r="B8066">
        <v>1361116</v>
      </c>
      <c r="D8066">
        <v>0</v>
      </c>
      <c r="E8066" t="s">
        <v>50238</v>
      </c>
      <c r="F8066" t="s">
        <v>50239</v>
      </c>
      <c r="G8066" t="s">
        <v>50240</v>
      </c>
      <c r="H8066" t="s">
        <v>50241</v>
      </c>
      <c r="I8066" t="s">
        <v>50242</v>
      </c>
      <c r="J8066" t="s">
        <v>50237</v>
      </c>
      <c r="K8066" t="s">
        <v>50243</v>
      </c>
      <c r="L8066" t="s">
        <v>50237</v>
      </c>
    </row>
    <row r="8067" spans="1:12" x14ac:dyDescent="0.25">
      <c r="A8067">
        <v>1361101</v>
      </c>
      <c r="B8067">
        <v>1363024</v>
      </c>
      <c r="D8067">
        <v>0</v>
      </c>
      <c r="E8067" t="s">
        <v>50244</v>
      </c>
      <c r="F8067" t="s">
        <v>50245</v>
      </c>
      <c r="G8067" t="s">
        <v>50246</v>
      </c>
      <c r="H8067" t="e" vm="3473">
        <f>_FV(0,"02879774178564018")</f>
        <v>#VALUE!</v>
      </c>
      <c r="I8067" t="s">
        <v>50247</v>
      </c>
      <c r="J8067" t="s">
        <v>45243</v>
      </c>
      <c r="K8067" t="s">
        <v>50248</v>
      </c>
      <c r="L8067" t="s">
        <v>45238</v>
      </c>
    </row>
    <row r="8068" spans="1:12" x14ac:dyDescent="0.25">
      <c r="A8068">
        <v>1361116</v>
      </c>
      <c r="B8068">
        <v>1361117</v>
      </c>
      <c r="C8068" t="s">
        <v>50250</v>
      </c>
      <c r="D8068">
        <v>0</v>
      </c>
      <c r="E8068" t="s">
        <v>50251</v>
      </c>
      <c r="F8068" t="s">
        <v>50252</v>
      </c>
      <c r="G8068" t="s">
        <v>50253</v>
      </c>
      <c r="H8068" t="s">
        <v>50254</v>
      </c>
      <c r="I8068" t="s">
        <v>50255</v>
      </c>
      <c r="J8068" t="s">
        <v>50256</v>
      </c>
      <c r="K8068" t="s">
        <v>50257</v>
      </c>
      <c r="L8068" t="s">
        <v>50249</v>
      </c>
    </row>
    <row r="8069" spans="1:12" x14ac:dyDescent="0.25">
      <c r="A8069">
        <v>1361116</v>
      </c>
      <c r="B8069">
        <v>1363024</v>
      </c>
      <c r="D8069">
        <v>0</v>
      </c>
      <c r="E8069" t="s">
        <v>50259</v>
      </c>
      <c r="F8069" t="s">
        <v>50260</v>
      </c>
      <c r="G8069" t="s">
        <v>50261</v>
      </c>
      <c r="H8069" t="s">
        <v>50262</v>
      </c>
      <c r="I8069" t="s">
        <v>50263</v>
      </c>
      <c r="J8069" t="s">
        <v>50258</v>
      </c>
      <c r="K8069" t="s">
        <v>50264</v>
      </c>
      <c r="L8069" t="s">
        <v>50258</v>
      </c>
    </row>
    <row r="8070" spans="1:12" x14ac:dyDescent="0.25">
      <c r="A8070">
        <v>1361117</v>
      </c>
      <c r="B8070">
        <v>1361126</v>
      </c>
      <c r="D8070">
        <v>0</v>
      </c>
      <c r="E8070" t="s">
        <v>50266</v>
      </c>
      <c r="F8070" t="s">
        <v>50267</v>
      </c>
      <c r="G8070" t="s">
        <v>50268</v>
      </c>
      <c r="H8070" t="e" vm="3474">
        <f>_FV(0,"015754404862043495")</f>
        <v>#VALUE!</v>
      </c>
      <c r="I8070" t="s">
        <v>50269</v>
      </c>
      <c r="J8070" t="s">
        <v>50270</v>
      </c>
      <c r="K8070" t="s">
        <v>50271</v>
      </c>
      <c r="L8070" t="s">
        <v>50265</v>
      </c>
    </row>
    <row r="8071" spans="1:12" x14ac:dyDescent="0.25">
      <c r="A8071">
        <v>1361117</v>
      </c>
      <c r="B8071">
        <v>1363042</v>
      </c>
      <c r="D8071">
        <v>0</v>
      </c>
      <c r="E8071" t="s">
        <v>50273</v>
      </c>
      <c r="F8071" t="s">
        <v>50274</v>
      </c>
      <c r="G8071" t="s">
        <v>50275</v>
      </c>
      <c r="H8071" t="e" vm="3475">
        <f>_FV(0,"01629263533515476")</f>
        <v>#VALUE!</v>
      </c>
      <c r="I8071" t="s">
        <v>50276</v>
      </c>
      <c r="J8071" t="s">
        <v>50277</v>
      </c>
      <c r="K8071" t="s">
        <v>50278</v>
      </c>
      <c r="L8071" t="s">
        <v>50272</v>
      </c>
    </row>
    <row r="8072" spans="1:12" x14ac:dyDescent="0.25">
      <c r="A8072">
        <v>1361126</v>
      </c>
      <c r="B8072">
        <v>1361141</v>
      </c>
      <c r="D8072">
        <v>0</v>
      </c>
      <c r="F8072">
        <v>1526354</v>
      </c>
      <c r="G8072">
        <v>1361141</v>
      </c>
      <c r="H8072" t="e" vm="16">
        <f>_FV(0,"007")</f>
        <v>#VALUE!</v>
      </c>
      <c r="I8072">
        <v>1361126</v>
      </c>
      <c r="J8072" t="s">
        <v>226</v>
      </c>
      <c r="K8072" t="s">
        <v>50279</v>
      </c>
      <c r="L8072" t="e" vm="16">
        <f>_FV(0,"007")</f>
        <v>#VALUE!</v>
      </c>
    </row>
    <row r="8073" spans="1:12" x14ac:dyDescent="0.25">
      <c r="A8073">
        <v>1361126</v>
      </c>
      <c r="B8073">
        <v>1363042</v>
      </c>
      <c r="D8073">
        <v>0</v>
      </c>
      <c r="E8073" t="s">
        <v>50281</v>
      </c>
      <c r="F8073" t="s">
        <v>50282</v>
      </c>
      <c r="G8073" t="s">
        <v>50283</v>
      </c>
      <c r="H8073" t="e" vm="3476">
        <f>_FV(0,"0049096706423043")</f>
        <v>#VALUE!</v>
      </c>
      <c r="I8073" t="s">
        <v>50284</v>
      </c>
      <c r="J8073" t="s">
        <v>44367</v>
      </c>
      <c r="K8073" t="s">
        <v>50285</v>
      </c>
      <c r="L8073" t="s">
        <v>50280</v>
      </c>
    </row>
    <row r="8074" spans="1:12" x14ac:dyDescent="0.25">
      <c r="A8074">
        <v>1361141</v>
      </c>
      <c r="B8074">
        <v>1361150</v>
      </c>
      <c r="D8074">
        <v>0</v>
      </c>
      <c r="E8074" t="s">
        <v>50286</v>
      </c>
      <c r="F8074" t="s">
        <v>50287</v>
      </c>
      <c r="G8074" t="s">
        <v>50288</v>
      </c>
      <c r="H8074" t="s">
        <v>50289</v>
      </c>
      <c r="I8074" t="s">
        <v>50290</v>
      </c>
      <c r="J8074" t="s">
        <v>46758</v>
      </c>
      <c r="K8074" t="s">
        <v>50291</v>
      </c>
      <c r="L8074" t="s">
        <v>46758</v>
      </c>
    </row>
    <row r="8075" spans="1:12" x14ac:dyDescent="0.25">
      <c r="A8075">
        <v>1361141</v>
      </c>
      <c r="B8075">
        <v>1363051</v>
      </c>
      <c r="D8075">
        <v>0</v>
      </c>
      <c r="E8075" t="s">
        <v>50292</v>
      </c>
      <c r="F8075" t="s">
        <v>50293</v>
      </c>
      <c r="G8075" t="s">
        <v>50294</v>
      </c>
      <c r="H8075" t="e" vm="3477">
        <f>_FV(0,"005993695190732509")</f>
        <v>#VALUE!</v>
      </c>
      <c r="I8075" t="s">
        <v>50295</v>
      </c>
      <c r="J8075" t="s">
        <v>30960</v>
      </c>
      <c r="K8075" t="s">
        <v>50296</v>
      </c>
      <c r="L8075" t="s">
        <v>30955</v>
      </c>
    </row>
    <row r="8076" spans="1:12" x14ac:dyDescent="0.25">
      <c r="A8076">
        <v>1361150</v>
      </c>
      <c r="B8076">
        <v>1361158</v>
      </c>
      <c r="D8076">
        <v>0</v>
      </c>
      <c r="F8076">
        <v>1525090</v>
      </c>
      <c r="G8076">
        <v>1361158</v>
      </c>
      <c r="H8076" t="s">
        <v>1783</v>
      </c>
      <c r="I8076">
        <v>1361150</v>
      </c>
      <c r="J8076" t="s">
        <v>1783</v>
      </c>
      <c r="K8076" t="s">
        <v>50297</v>
      </c>
      <c r="L8076" t="s">
        <v>1783</v>
      </c>
    </row>
    <row r="8077" spans="1:12" x14ac:dyDescent="0.25">
      <c r="A8077">
        <v>1361150</v>
      </c>
      <c r="B8077">
        <v>1363051</v>
      </c>
      <c r="D8077">
        <v>0</v>
      </c>
      <c r="E8077" t="s">
        <v>50298</v>
      </c>
      <c r="F8077" t="s">
        <v>50299</v>
      </c>
      <c r="G8077" t="s">
        <v>50300</v>
      </c>
      <c r="H8077" t="s">
        <v>50301</v>
      </c>
      <c r="I8077" t="s">
        <v>50302</v>
      </c>
      <c r="J8077" t="s">
        <v>10879</v>
      </c>
      <c r="K8077" t="s">
        <v>50303</v>
      </c>
      <c r="L8077" t="s">
        <v>10879</v>
      </c>
    </row>
    <row r="8078" spans="1:12" x14ac:dyDescent="0.25">
      <c r="A8078">
        <v>1361153</v>
      </c>
      <c r="B8078">
        <v>1361335</v>
      </c>
      <c r="D8078" t="s">
        <v>50305</v>
      </c>
      <c r="E8078" t="s">
        <v>50306</v>
      </c>
      <c r="F8078" t="s">
        <v>50307</v>
      </c>
      <c r="G8078" t="s">
        <v>50308</v>
      </c>
      <c r="H8078" t="s">
        <v>50309</v>
      </c>
      <c r="I8078" t="s">
        <v>50310</v>
      </c>
      <c r="J8078" t="s">
        <v>50311</v>
      </c>
      <c r="K8078" t="s">
        <v>50312</v>
      </c>
      <c r="L8078" t="s">
        <v>50304</v>
      </c>
    </row>
    <row r="8079" spans="1:12" x14ac:dyDescent="0.25">
      <c r="A8079">
        <v>1361158</v>
      </c>
      <c r="B8079">
        <v>1361160</v>
      </c>
      <c r="D8079">
        <v>0</v>
      </c>
      <c r="E8079" t="s">
        <v>50314</v>
      </c>
      <c r="F8079" t="s">
        <v>50315</v>
      </c>
      <c r="G8079" t="s">
        <v>50316</v>
      </c>
      <c r="H8079" t="e" vm="3478">
        <f>_FV(0,"002724670360811972")</f>
        <v>#VALUE!</v>
      </c>
      <c r="I8079" t="s">
        <v>50317</v>
      </c>
      <c r="J8079" t="s">
        <v>1783</v>
      </c>
      <c r="K8079" t="s">
        <v>50318</v>
      </c>
      <c r="L8079" t="s">
        <v>50313</v>
      </c>
    </row>
    <row r="8080" spans="1:12" x14ac:dyDescent="0.25">
      <c r="A8080">
        <v>1361158</v>
      </c>
      <c r="B8080">
        <v>1363075</v>
      </c>
      <c r="D8080">
        <v>0</v>
      </c>
      <c r="E8080" t="s">
        <v>50320</v>
      </c>
      <c r="F8080" t="s">
        <v>50321</v>
      </c>
      <c r="G8080" t="s">
        <v>50322</v>
      </c>
      <c r="H8080" t="e" vm="3479">
        <f>_FV(0,"0024867754750457194")</f>
        <v>#VALUE!</v>
      </c>
      <c r="I8080" t="s">
        <v>50323</v>
      </c>
      <c r="J8080" t="s">
        <v>50324</v>
      </c>
      <c r="K8080" t="s">
        <v>50325</v>
      </c>
      <c r="L8080" t="s">
        <v>50319</v>
      </c>
    </row>
    <row r="8081" spans="1:12" x14ac:dyDescent="0.25">
      <c r="A8081">
        <v>1361160</v>
      </c>
      <c r="B8081">
        <v>1361180</v>
      </c>
      <c r="D8081">
        <v>0</v>
      </c>
      <c r="E8081" t="s">
        <v>50327</v>
      </c>
      <c r="F8081" t="s">
        <v>50328</v>
      </c>
      <c r="G8081" t="s">
        <v>50329</v>
      </c>
      <c r="H8081" t="e" vm="3480">
        <f>_FV(0,"00037448346276243904")</f>
        <v>#VALUE!</v>
      </c>
      <c r="I8081" t="s">
        <v>50330</v>
      </c>
      <c r="J8081" t="s">
        <v>50331</v>
      </c>
      <c r="K8081" t="s">
        <v>50332</v>
      </c>
      <c r="L8081" t="s">
        <v>50326</v>
      </c>
    </row>
    <row r="8082" spans="1:12" x14ac:dyDescent="0.25">
      <c r="A8082">
        <v>1361160</v>
      </c>
      <c r="B8082">
        <v>1363075</v>
      </c>
      <c r="D8082">
        <v>0</v>
      </c>
      <c r="E8082" t="s">
        <v>50334</v>
      </c>
      <c r="F8082" t="s">
        <v>50335</v>
      </c>
      <c r="G8082" t="s">
        <v>50336</v>
      </c>
      <c r="H8082" t="s">
        <v>50337</v>
      </c>
      <c r="I8082" t="s">
        <v>50338</v>
      </c>
      <c r="J8082" t="s">
        <v>50339</v>
      </c>
      <c r="K8082" t="s">
        <v>50340</v>
      </c>
      <c r="L8082" t="s">
        <v>50333</v>
      </c>
    </row>
    <row r="8083" spans="1:12" x14ac:dyDescent="0.25">
      <c r="A8083">
        <v>1361178</v>
      </c>
      <c r="B8083">
        <v>1361201</v>
      </c>
      <c r="D8083" t="s">
        <v>330</v>
      </c>
      <c r="E8083" t="s">
        <v>50342</v>
      </c>
      <c r="F8083" t="s">
        <v>50343</v>
      </c>
      <c r="G8083" t="s">
        <v>50344</v>
      </c>
      <c r="H8083" t="s">
        <v>50345</v>
      </c>
      <c r="I8083" t="s">
        <v>50346</v>
      </c>
      <c r="J8083" t="s">
        <v>50347</v>
      </c>
      <c r="K8083" t="s">
        <v>50348</v>
      </c>
      <c r="L8083" t="s">
        <v>50341</v>
      </c>
    </row>
    <row r="8084" spans="1:12" x14ac:dyDescent="0.25">
      <c r="A8084">
        <v>1361178</v>
      </c>
      <c r="B8084">
        <v>1401797</v>
      </c>
      <c r="D8084" t="s">
        <v>18083</v>
      </c>
      <c r="E8084" t="s">
        <v>50350</v>
      </c>
      <c r="F8084" t="s">
        <v>50351</v>
      </c>
      <c r="G8084" t="s">
        <v>50352</v>
      </c>
      <c r="H8084" t="s">
        <v>50353</v>
      </c>
      <c r="I8084" t="s">
        <v>50354</v>
      </c>
      <c r="J8084" t="s">
        <v>50355</v>
      </c>
      <c r="K8084" t="s">
        <v>50356</v>
      </c>
      <c r="L8084" t="s">
        <v>50349</v>
      </c>
    </row>
    <row r="8085" spans="1:12" x14ac:dyDescent="0.25">
      <c r="A8085">
        <v>1361180</v>
      </c>
      <c r="B8085">
        <v>1361195</v>
      </c>
      <c r="D8085">
        <v>0</v>
      </c>
      <c r="E8085" t="s">
        <v>50358</v>
      </c>
      <c r="F8085" t="s">
        <v>50359</v>
      </c>
      <c r="G8085" t="s">
        <v>50360</v>
      </c>
      <c r="H8085" t="s">
        <v>50361</v>
      </c>
      <c r="I8085" t="s">
        <v>50362</v>
      </c>
      <c r="J8085" t="s">
        <v>50363</v>
      </c>
      <c r="K8085" t="s">
        <v>50364</v>
      </c>
      <c r="L8085" t="s">
        <v>50357</v>
      </c>
    </row>
    <row r="8086" spans="1:12" x14ac:dyDescent="0.25">
      <c r="A8086">
        <v>1361180</v>
      </c>
      <c r="B8086">
        <v>1370250</v>
      </c>
      <c r="D8086">
        <v>0</v>
      </c>
      <c r="E8086" t="s">
        <v>50365</v>
      </c>
      <c r="F8086" t="s">
        <v>50366</v>
      </c>
      <c r="G8086" t="s">
        <v>50367</v>
      </c>
      <c r="H8086" t="s">
        <v>1783</v>
      </c>
      <c r="I8086" t="s">
        <v>50368</v>
      </c>
      <c r="J8086" t="s">
        <v>1783</v>
      </c>
      <c r="K8086" t="s">
        <v>50369</v>
      </c>
      <c r="L8086" t="s">
        <v>1783</v>
      </c>
    </row>
    <row r="8087" spans="1:12" x14ac:dyDescent="0.25">
      <c r="A8087">
        <v>1361195</v>
      </c>
      <c r="B8087">
        <v>1361196</v>
      </c>
      <c r="D8087">
        <v>0</v>
      </c>
      <c r="F8087">
        <v>1525098</v>
      </c>
      <c r="G8087">
        <v>1361196</v>
      </c>
      <c r="H8087" t="s">
        <v>1333</v>
      </c>
      <c r="I8087">
        <v>1361195</v>
      </c>
      <c r="J8087" t="s">
        <v>1333</v>
      </c>
      <c r="K8087" t="s">
        <v>50370</v>
      </c>
      <c r="L8087" t="s">
        <v>1333</v>
      </c>
    </row>
    <row r="8088" spans="1:12" x14ac:dyDescent="0.25">
      <c r="A8088">
        <v>1361195</v>
      </c>
      <c r="B8088">
        <v>1370250</v>
      </c>
      <c r="D8088">
        <v>0</v>
      </c>
      <c r="E8088" t="s">
        <v>50371</v>
      </c>
      <c r="F8088" t="s">
        <v>50372</v>
      </c>
      <c r="G8088" t="s">
        <v>50373</v>
      </c>
      <c r="H8088" t="s">
        <v>50374</v>
      </c>
      <c r="I8088" t="s">
        <v>50375</v>
      </c>
      <c r="J8088" t="s">
        <v>763</v>
      </c>
      <c r="K8088" t="s">
        <v>50376</v>
      </c>
      <c r="L8088" t="s">
        <v>763</v>
      </c>
    </row>
    <row r="8089" spans="1:12" x14ac:dyDescent="0.25">
      <c r="A8089">
        <v>1361196</v>
      </c>
      <c r="B8089">
        <v>1361240</v>
      </c>
      <c r="D8089">
        <v>0</v>
      </c>
      <c r="E8089" t="s">
        <v>50378</v>
      </c>
      <c r="F8089" t="s">
        <v>50379</v>
      </c>
      <c r="G8089" t="s">
        <v>50380</v>
      </c>
      <c r="H8089" t="e" vm="3481">
        <f>_FV(0,"0047532238459129725")</f>
        <v>#VALUE!</v>
      </c>
      <c r="I8089" t="s">
        <v>50381</v>
      </c>
      <c r="J8089" t="s">
        <v>50382</v>
      </c>
      <c r="K8089" t="s">
        <v>50383</v>
      </c>
      <c r="L8089" t="s">
        <v>50377</v>
      </c>
    </row>
    <row r="8090" spans="1:12" x14ac:dyDescent="0.25">
      <c r="A8090">
        <v>1361196</v>
      </c>
      <c r="B8090">
        <v>1361240</v>
      </c>
      <c r="D8090">
        <v>0</v>
      </c>
      <c r="E8090" t="s">
        <v>50385</v>
      </c>
      <c r="F8090" t="s">
        <v>50386</v>
      </c>
      <c r="G8090" t="s">
        <v>50387</v>
      </c>
      <c r="H8090" t="e" vm="3482">
        <f>_FV(0,"005470449125105471")</f>
        <v>#VALUE!</v>
      </c>
      <c r="I8090" t="s">
        <v>50388</v>
      </c>
      <c r="J8090" t="s">
        <v>50389</v>
      </c>
      <c r="K8090" t="s">
        <v>50390</v>
      </c>
      <c r="L8090" t="s">
        <v>50384</v>
      </c>
    </row>
    <row r="8091" spans="1:12" x14ac:dyDescent="0.25">
      <c r="A8091">
        <v>1361201</v>
      </c>
      <c r="B8091">
        <v>1361228</v>
      </c>
      <c r="D8091">
        <v>0</v>
      </c>
      <c r="E8091" t="s">
        <v>50392</v>
      </c>
      <c r="F8091" t="s">
        <v>50393</v>
      </c>
      <c r="G8091" t="s">
        <v>50394</v>
      </c>
      <c r="H8091" t="s">
        <v>50395</v>
      </c>
      <c r="I8091" t="s">
        <v>50396</v>
      </c>
      <c r="J8091" t="s">
        <v>50397</v>
      </c>
      <c r="K8091" t="s">
        <v>50398</v>
      </c>
      <c r="L8091" t="s">
        <v>50391</v>
      </c>
    </row>
    <row r="8092" spans="1:12" x14ac:dyDescent="0.25">
      <c r="A8092">
        <v>1361228</v>
      </c>
      <c r="B8092">
        <v>1361244</v>
      </c>
      <c r="D8092">
        <v>0</v>
      </c>
      <c r="E8092" t="s">
        <v>50400</v>
      </c>
      <c r="F8092" t="s">
        <v>50401</v>
      </c>
      <c r="G8092" t="s">
        <v>50402</v>
      </c>
      <c r="H8092" t="e" vm="3483">
        <f>_FV(0,"011174699334619407")</f>
        <v>#VALUE!</v>
      </c>
      <c r="I8092" t="s">
        <v>50403</v>
      </c>
      <c r="J8092" t="s">
        <v>50404</v>
      </c>
      <c r="K8092" t="s">
        <v>50405</v>
      </c>
      <c r="L8092" t="s">
        <v>50399</v>
      </c>
    </row>
    <row r="8093" spans="1:12" x14ac:dyDescent="0.25">
      <c r="A8093">
        <v>1361244</v>
      </c>
      <c r="B8093">
        <v>1401860</v>
      </c>
      <c r="D8093" t="s">
        <v>19055</v>
      </c>
      <c r="E8093" t="s">
        <v>50407</v>
      </c>
      <c r="F8093" t="s">
        <v>50408</v>
      </c>
      <c r="G8093" t="s">
        <v>50409</v>
      </c>
      <c r="H8093" t="e" vm="3484">
        <f>_FV(0,"010598383648889848")</f>
        <v>#VALUE!</v>
      </c>
      <c r="I8093" t="s">
        <v>50410</v>
      </c>
      <c r="J8093" t="s">
        <v>50411</v>
      </c>
      <c r="K8093" t="s">
        <v>50412</v>
      </c>
      <c r="L8093" t="s">
        <v>50406</v>
      </c>
    </row>
    <row r="8094" spans="1:12" x14ac:dyDescent="0.25">
      <c r="A8094">
        <v>1361247</v>
      </c>
      <c r="B8094">
        <v>1361249</v>
      </c>
      <c r="D8094">
        <v>0</v>
      </c>
      <c r="E8094" t="s">
        <v>50413</v>
      </c>
      <c r="F8094" t="s">
        <v>50414</v>
      </c>
      <c r="G8094" t="s">
        <v>50415</v>
      </c>
      <c r="H8094" t="s">
        <v>50416</v>
      </c>
      <c r="I8094" t="s">
        <v>50417</v>
      </c>
      <c r="J8094" t="s">
        <v>27755</v>
      </c>
      <c r="K8094" t="s">
        <v>50418</v>
      </c>
      <c r="L8094" t="s">
        <v>27755</v>
      </c>
    </row>
    <row r="8095" spans="1:12" x14ac:dyDescent="0.25">
      <c r="A8095">
        <v>1361247</v>
      </c>
      <c r="B8095">
        <v>1370304</v>
      </c>
      <c r="D8095">
        <v>0</v>
      </c>
      <c r="E8095" t="s">
        <v>50419</v>
      </c>
      <c r="F8095" t="s">
        <v>50420</v>
      </c>
      <c r="G8095" t="s">
        <v>50421</v>
      </c>
      <c r="H8095" t="s">
        <v>50422</v>
      </c>
      <c r="I8095" t="s">
        <v>50423</v>
      </c>
      <c r="J8095" t="s">
        <v>12951</v>
      </c>
      <c r="K8095" t="s">
        <v>50424</v>
      </c>
      <c r="L8095" t="s">
        <v>12951</v>
      </c>
    </row>
    <row r="8096" spans="1:12" x14ac:dyDescent="0.25">
      <c r="A8096">
        <v>1361249</v>
      </c>
      <c r="B8096">
        <v>1361262</v>
      </c>
      <c r="D8096">
        <v>0</v>
      </c>
      <c r="E8096" t="s">
        <v>50426</v>
      </c>
      <c r="F8096" t="s">
        <v>50427</v>
      </c>
      <c r="G8096" t="s">
        <v>50428</v>
      </c>
      <c r="H8096" t="s">
        <v>50429</v>
      </c>
      <c r="I8096" t="s">
        <v>50430</v>
      </c>
      <c r="J8096" t="s">
        <v>50431</v>
      </c>
      <c r="K8096" t="s">
        <v>50432</v>
      </c>
      <c r="L8096" t="s">
        <v>50425</v>
      </c>
    </row>
    <row r="8097" spans="1:12" x14ac:dyDescent="0.25">
      <c r="A8097">
        <v>1361249</v>
      </c>
      <c r="B8097">
        <v>1370304</v>
      </c>
      <c r="D8097">
        <v>0</v>
      </c>
      <c r="E8097" t="s">
        <v>50434</v>
      </c>
      <c r="F8097" t="s">
        <v>50435</v>
      </c>
      <c r="G8097" t="s">
        <v>50436</v>
      </c>
      <c r="H8097" t="e" vm="3485">
        <f>_FV(0,"002280207527785066")</f>
        <v>#VALUE!</v>
      </c>
      <c r="I8097" t="s">
        <v>50437</v>
      </c>
      <c r="J8097" t="s">
        <v>50438</v>
      </c>
      <c r="K8097" t="s">
        <v>50439</v>
      </c>
      <c r="L8097" t="s">
        <v>50433</v>
      </c>
    </row>
    <row r="8098" spans="1:12" x14ac:dyDescent="0.25">
      <c r="A8098">
        <v>1361262</v>
      </c>
      <c r="B8098">
        <v>1361285</v>
      </c>
      <c r="D8098">
        <v>0</v>
      </c>
      <c r="E8098" t="s">
        <v>50441</v>
      </c>
      <c r="F8098" t="s">
        <v>50442</v>
      </c>
      <c r="G8098" t="s">
        <v>50443</v>
      </c>
      <c r="H8098" t="e" vm="3486">
        <f>_FV(0,"0016132955380902551")</f>
        <v>#VALUE!</v>
      </c>
      <c r="I8098" t="s">
        <v>50444</v>
      </c>
      <c r="J8098" t="s">
        <v>50445</v>
      </c>
      <c r="K8098" t="s">
        <v>50446</v>
      </c>
      <c r="L8098" t="s">
        <v>50440</v>
      </c>
    </row>
    <row r="8099" spans="1:12" x14ac:dyDescent="0.25">
      <c r="A8099">
        <v>1361262</v>
      </c>
      <c r="B8099">
        <v>1370305</v>
      </c>
      <c r="D8099">
        <v>0</v>
      </c>
      <c r="E8099" t="s">
        <v>50448</v>
      </c>
      <c r="F8099" t="s">
        <v>50449</v>
      </c>
      <c r="G8099" t="s">
        <v>50450</v>
      </c>
      <c r="H8099" t="s">
        <v>50451</v>
      </c>
      <c r="I8099" t="s">
        <v>50452</v>
      </c>
      <c r="J8099" t="s">
        <v>50453</v>
      </c>
      <c r="K8099" t="s">
        <v>50454</v>
      </c>
      <c r="L8099" t="s">
        <v>50447</v>
      </c>
    </row>
    <row r="8100" spans="1:12" x14ac:dyDescent="0.25">
      <c r="A8100">
        <v>1361274</v>
      </c>
      <c r="B8100">
        <v>1391722</v>
      </c>
      <c r="D8100" t="s">
        <v>514</v>
      </c>
      <c r="E8100" t="s">
        <v>50456</v>
      </c>
      <c r="F8100" t="s">
        <v>50457</v>
      </c>
      <c r="G8100" t="s">
        <v>50458</v>
      </c>
      <c r="H8100" t="s">
        <v>50459</v>
      </c>
      <c r="I8100" t="s">
        <v>50460</v>
      </c>
      <c r="J8100" t="s">
        <v>50461</v>
      </c>
      <c r="K8100" t="s">
        <v>50462</v>
      </c>
      <c r="L8100" t="s">
        <v>50455</v>
      </c>
    </row>
    <row r="8101" spans="1:12" x14ac:dyDescent="0.25">
      <c r="A8101">
        <v>1361274</v>
      </c>
      <c r="B8101">
        <v>1361333</v>
      </c>
      <c r="D8101">
        <v>0</v>
      </c>
      <c r="E8101" t="s">
        <v>50464</v>
      </c>
      <c r="F8101" t="s">
        <v>50465</v>
      </c>
      <c r="G8101" t="s">
        <v>50466</v>
      </c>
      <c r="H8101" t="e" vm="3487">
        <f>_FV(0,"004123855179286425")</f>
        <v>#VALUE!</v>
      </c>
      <c r="I8101" t="s">
        <v>50467</v>
      </c>
      <c r="J8101" t="s">
        <v>50468</v>
      </c>
      <c r="K8101" t="s">
        <v>50469</v>
      </c>
      <c r="L8101" t="s">
        <v>50463</v>
      </c>
    </row>
    <row r="8102" spans="1:12" x14ac:dyDescent="0.25">
      <c r="A8102">
        <v>1361281</v>
      </c>
      <c r="B8102">
        <v>1365675</v>
      </c>
      <c r="D8102">
        <v>0</v>
      </c>
      <c r="E8102" t="s">
        <v>50471</v>
      </c>
      <c r="F8102" t="s">
        <v>50472</v>
      </c>
      <c r="G8102" t="s">
        <v>50473</v>
      </c>
      <c r="H8102" t="s">
        <v>50474</v>
      </c>
      <c r="I8102" t="s">
        <v>50475</v>
      </c>
      <c r="J8102" t="s">
        <v>50470</v>
      </c>
      <c r="K8102" t="s">
        <v>50476</v>
      </c>
      <c r="L8102" t="s">
        <v>50470</v>
      </c>
    </row>
    <row r="8103" spans="1:12" x14ac:dyDescent="0.25">
      <c r="A8103">
        <v>1361285</v>
      </c>
      <c r="B8103">
        <v>1379036</v>
      </c>
      <c r="D8103">
        <v>0</v>
      </c>
      <c r="F8103">
        <v>1525178</v>
      </c>
      <c r="G8103">
        <v>1379036</v>
      </c>
      <c r="H8103" t="e" vm="87">
        <f>_FV(0,"001")</f>
        <v>#VALUE!</v>
      </c>
      <c r="I8103">
        <v>1361285</v>
      </c>
      <c r="J8103" t="s">
        <v>1333</v>
      </c>
      <c r="K8103" t="s">
        <v>50477</v>
      </c>
      <c r="L8103" t="e" vm="87">
        <f>_FV(0,"001")</f>
        <v>#VALUE!</v>
      </c>
    </row>
    <row r="8104" spans="1:12" x14ac:dyDescent="0.25">
      <c r="A8104">
        <v>1361285</v>
      </c>
      <c r="B8104">
        <v>1370305</v>
      </c>
      <c r="D8104">
        <v>0</v>
      </c>
      <c r="E8104" t="s">
        <v>50479</v>
      </c>
      <c r="F8104" t="s">
        <v>50480</v>
      </c>
      <c r="G8104" t="s">
        <v>50481</v>
      </c>
      <c r="H8104" t="e" vm="3488">
        <f>_FV(0,"004135096481987583")</f>
        <v>#VALUE!</v>
      </c>
      <c r="I8104" t="s">
        <v>50482</v>
      </c>
      <c r="J8104" t="s">
        <v>50483</v>
      </c>
      <c r="K8104" t="s">
        <v>50484</v>
      </c>
      <c r="L8104" t="s">
        <v>50478</v>
      </c>
    </row>
    <row r="8105" spans="1:12" x14ac:dyDescent="0.25">
      <c r="A8105">
        <v>1361297</v>
      </c>
      <c r="B8105">
        <v>1407349</v>
      </c>
      <c r="C8105" t="s">
        <v>50486</v>
      </c>
      <c r="D8105">
        <v>0</v>
      </c>
      <c r="E8105" t="s">
        <v>50487</v>
      </c>
      <c r="F8105" t="s">
        <v>50488</v>
      </c>
      <c r="G8105" t="s">
        <v>50489</v>
      </c>
      <c r="H8105" t="s">
        <v>50490</v>
      </c>
      <c r="I8105" t="s">
        <v>50491</v>
      </c>
      <c r="J8105" t="s">
        <v>50492</v>
      </c>
      <c r="K8105" t="s">
        <v>50493</v>
      </c>
      <c r="L8105" t="s">
        <v>50485</v>
      </c>
    </row>
    <row r="8106" spans="1:12" x14ac:dyDescent="0.25">
      <c r="A8106">
        <v>1361297</v>
      </c>
      <c r="B8106">
        <v>1400965</v>
      </c>
      <c r="C8106" t="s">
        <v>50495</v>
      </c>
      <c r="D8106" t="s">
        <v>50496</v>
      </c>
      <c r="E8106" t="s">
        <v>50497</v>
      </c>
      <c r="F8106" t="s">
        <v>50498</v>
      </c>
      <c r="G8106" t="s">
        <v>50499</v>
      </c>
      <c r="H8106" t="s">
        <v>50500</v>
      </c>
      <c r="I8106" t="s">
        <v>50501</v>
      </c>
      <c r="J8106" t="s">
        <v>50502</v>
      </c>
      <c r="K8106" t="s">
        <v>50503</v>
      </c>
      <c r="L8106" t="s">
        <v>50494</v>
      </c>
    </row>
    <row r="8107" spans="1:12" x14ac:dyDescent="0.25">
      <c r="A8107">
        <v>1361297</v>
      </c>
      <c r="B8107">
        <v>1820937</v>
      </c>
      <c r="D8107">
        <v>0</v>
      </c>
      <c r="E8107" t="s">
        <v>50505</v>
      </c>
      <c r="F8107" t="s">
        <v>50506</v>
      </c>
      <c r="G8107" t="s">
        <v>50507</v>
      </c>
      <c r="H8107" t="e" vm="3489">
        <f>_FV(0,"006018197191259563")</f>
        <v>#VALUE!</v>
      </c>
      <c r="I8107" t="s">
        <v>50508</v>
      </c>
      <c r="J8107" t="s">
        <v>50509</v>
      </c>
      <c r="K8107" t="s">
        <v>50510</v>
      </c>
      <c r="L8107" t="s">
        <v>50504</v>
      </c>
    </row>
    <row r="8108" spans="1:12" x14ac:dyDescent="0.25">
      <c r="A8108">
        <v>1361318</v>
      </c>
      <c r="B8108">
        <v>1363575</v>
      </c>
      <c r="D8108">
        <v>0</v>
      </c>
      <c r="E8108" t="s">
        <v>50512</v>
      </c>
      <c r="F8108" t="s">
        <v>50513</v>
      </c>
      <c r="G8108" t="s">
        <v>50514</v>
      </c>
      <c r="H8108" t="s">
        <v>50515</v>
      </c>
      <c r="I8108" t="s">
        <v>50516</v>
      </c>
      <c r="J8108" t="s">
        <v>50517</v>
      </c>
      <c r="K8108" t="s">
        <v>50518</v>
      </c>
      <c r="L8108" t="s">
        <v>50511</v>
      </c>
    </row>
    <row r="8109" spans="1:12" x14ac:dyDescent="0.25">
      <c r="A8109">
        <v>1361318</v>
      </c>
      <c r="B8109">
        <v>1363364</v>
      </c>
      <c r="D8109" t="s">
        <v>50520</v>
      </c>
      <c r="E8109" t="s">
        <v>50521</v>
      </c>
      <c r="F8109" t="s">
        <v>50522</v>
      </c>
      <c r="G8109" t="s">
        <v>50523</v>
      </c>
      <c r="H8109" t="s">
        <v>50524</v>
      </c>
      <c r="I8109" t="s">
        <v>50525</v>
      </c>
      <c r="J8109" t="s">
        <v>50526</v>
      </c>
      <c r="K8109" t="s">
        <v>50527</v>
      </c>
      <c r="L8109" t="s">
        <v>50519</v>
      </c>
    </row>
    <row r="8110" spans="1:12" x14ac:dyDescent="0.25">
      <c r="A8110">
        <v>1361328</v>
      </c>
      <c r="B8110">
        <v>1361355</v>
      </c>
      <c r="D8110">
        <v>0</v>
      </c>
      <c r="E8110" t="s">
        <v>50529</v>
      </c>
      <c r="F8110" t="s">
        <v>50530</v>
      </c>
      <c r="G8110" t="s">
        <v>50531</v>
      </c>
      <c r="H8110" t="s">
        <v>50532</v>
      </c>
      <c r="I8110" t="s">
        <v>50533</v>
      </c>
      <c r="J8110" t="s">
        <v>50528</v>
      </c>
      <c r="K8110" t="s">
        <v>50534</v>
      </c>
      <c r="L8110" t="s">
        <v>50528</v>
      </c>
    </row>
    <row r="8111" spans="1:12" x14ac:dyDescent="0.25">
      <c r="A8111">
        <v>1361328</v>
      </c>
      <c r="B8111">
        <v>1370331</v>
      </c>
      <c r="D8111">
        <v>0</v>
      </c>
      <c r="E8111" t="s">
        <v>50535</v>
      </c>
      <c r="F8111" t="s">
        <v>50536</v>
      </c>
      <c r="G8111" t="s">
        <v>50537</v>
      </c>
      <c r="H8111" t="e" vm="3490">
        <f>_FV(0,"0003320589506823895")</f>
        <v>#VALUE!</v>
      </c>
      <c r="I8111" t="s">
        <v>50538</v>
      </c>
      <c r="J8111" t="s">
        <v>28543</v>
      </c>
      <c r="K8111" t="s">
        <v>50539</v>
      </c>
      <c r="L8111" t="s">
        <v>28537</v>
      </c>
    </row>
    <row r="8112" spans="1:12" x14ac:dyDescent="0.25">
      <c r="A8112">
        <v>1361328</v>
      </c>
      <c r="B8112">
        <v>1379282</v>
      </c>
      <c r="D8112">
        <v>0</v>
      </c>
      <c r="E8112" t="s">
        <v>50541</v>
      </c>
      <c r="F8112" t="s">
        <v>50542</v>
      </c>
      <c r="G8112" t="s">
        <v>50543</v>
      </c>
      <c r="H8112" t="s">
        <v>50544</v>
      </c>
      <c r="I8112" t="s">
        <v>50545</v>
      </c>
      <c r="J8112" t="s">
        <v>46094</v>
      </c>
      <c r="K8112" t="s">
        <v>50546</v>
      </c>
      <c r="L8112" t="s">
        <v>50540</v>
      </c>
    </row>
    <row r="8113" spans="1:12" x14ac:dyDescent="0.25">
      <c r="A8113">
        <v>1361335</v>
      </c>
      <c r="B8113">
        <v>1361383</v>
      </c>
      <c r="D8113">
        <v>0</v>
      </c>
      <c r="E8113" t="s">
        <v>50548</v>
      </c>
      <c r="F8113" t="s">
        <v>50549</v>
      </c>
      <c r="G8113" t="s">
        <v>50550</v>
      </c>
      <c r="H8113" t="s">
        <v>50551</v>
      </c>
      <c r="I8113" t="s">
        <v>50552</v>
      </c>
      <c r="J8113" t="s">
        <v>50547</v>
      </c>
      <c r="K8113" t="s">
        <v>50553</v>
      </c>
      <c r="L8113" t="s">
        <v>50547</v>
      </c>
    </row>
    <row r="8114" spans="1:12" x14ac:dyDescent="0.25">
      <c r="A8114">
        <v>1361355</v>
      </c>
      <c r="B8114">
        <v>1361356</v>
      </c>
      <c r="D8114">
        <v>0</v>
      </c>
      <c r="F8114">
        <v>1526618</v>
      </c>
      <c r="G8114">
        <v>1361356</v>
      </c>
      <c r="H8114" t="e" vm="1006">
        <f>_FV(0,"006")</f>
        <v>#VALUE!</v>
      </c>
      <c r="I8114">
        <v>1361355</v>
      </c>
      <c r="J8114" t="s">
        <v>250</v>
      </c>
      <c r="K8114" t="s">
        <v>50554</v>
      </c>
      <c r="L8114" t="e" vm="1006">
        <f>_FV(0,"006")</f>
        <v>#VALUE!</v>
      </c>
    </row>
    <row r="8115" spans="1:12" x14ac:dyDescent="0.25">
      <c r="A8115">
        <v>1361355</v>
      </c>
      <c r="B8115">
        <v>1370331</v>
      </c>
      <c r="D8115">
        <v>0</v>
      </c>
      <c r="E8115" t="s">
        <v>50556</v>
      </c>
      <c r="F8115" t="s">
        <v>50557</v>
      </c>
      <c r="G8115" t="s">
        <v>50558</v>
      </c>
      <c r="H8115" t="s">
        <v>50559</v>
      </c>
      <c r="I8115" t="s">
        <v>50560</v>
      </c>
      <c r="J8115" t="s">
        <v>50561</v>
      </c>
      <c r="K8115" t="s">
        <v>50562</v>
      </c>
      <c r="L8115" t="s">
        <v>50555</v>
      </c>
    </row>
    <row r="8116" spans="1:12" x14ac:dyDescent="0.25">
      <c r="A8116">
        <v>1361356</v>
      </c>
      <c r="B8116">
        <v>1361363</v>
      </c>
      <c r="D8116">
        <v>0</v>
      </c>
      <c r="E8116" t="s">
        <v>50564</v>
      </c>
      <c r="F8116" t="s">
        <v>50565</v>
      </c>
      <c r="G8116" t="s">
        <v>50566</v>
      </c>
      <c r="H8116" t="e" vm="3491">
        <f>_FV(0,"016967044055681335")</f>
        <v>#VALUE!</v>
      </c>
      <c r="I8116" t="s">
        <v>50567</v>
      </c>
      <c r="J8116" t="s">
        <v>50568</v>
      </c>
      <c r="K8116" t="s">
        <v>50569</v>
      </c>
      <c r="L8116" t="s">
        <v>50563</v>
      </c>
    </row>
    <row r="8117" spans="1:12" x14ac:dyDescent="0.25">
      <c r="A8117">
        <v>1361356</v>
      </c>
      <c r="B8117">
        <v>1370337</v>
      </c>
      <c r="D8117">
        <v>0</v>
      </c>
      <c r="E8117" t="s">
        <v>50571</v>
      </c>
      <c r="F8117" t="s">
        <v>50572</v>
      </c>
      <c r="G8117" t="s">
        <v>50573</v>
      </c>
      <c r="H8117" t="e" vm="3492">
        <f>_FV(0,"0016347083559941624")</f>
        <v>#VALUE!</v>
      </c>
      <c r="I8117" t="s">
        <v>50574</v>
      </c>
      <c r="J8117" t="s">
        <v>50575</v>
      </c>
      <c r="K8117" t="s">
        <v>50576</v>
      </c>
      <c r="L8117" t="s">
        <v>50570</v>
      </c>
    </row>
    <row r="8118" spans="1:12" x14ac:dyDescent="0.25">
      <c r="A8118">
        <v>1361363</v>
      </c>
      <c r="B8118">
        <v>1365121</v>
      </c>
      <c r="D8118" t="s">
        <v>204</v>
      </c>
      <c r="E8118" t="s">
        <v>50578</v>
      </c>
      <c r="F8118" t="s">
        <v>50579</v>
      </c>
      <c r="G8118" t="s">
        <v>50580</v>
      </c>
      <c r="H8118" t="e" vm="3493">
        <f>_FV(0,"003220447103915274")</f>
        <v>#VALUE!</v>
      </c>
      <c r="I8118" t="s">
        <v>50581</v>
      </c>
      <c r="J8118" t="s">
        <v>50582</v>
      </c>
      <c r="K8118" t="s">
        <v>50583</v>
      </c>
      <c r="L8118" t="s">
        <v>50577</v>
      </c>
    </row>
    <row r="8119" spans="1:12" x14ac:dyDescent="0.25">
      <c r="A8119">
        <v>1361363</v>
      </c>
      <c r="B8119">
        <v>1370337</v>
      </c>
      <c r="D8119">
        <v>0</v>
      </c>
      <c r="E8119" t="s">
        <v>50585</v>
      </c>
      <c r="F8119" t="s">
        <v>50586</v>
      </c>
      <c r="G8119" t="s">
        <v>50587</v>
      </c>
      <c r="H8119" t="e" vm="3494">
        <f>_FV(0,"016958864086870334")</f>
        <v>#VALUE!</v>
      </c>
      <c r="I8119" t="s">
        <v>50588</v>
      </c>
      <c r="J8119" t="s">
        <v>48546</v>
      </c>
      <c r="K8119" t="s">
        <v>50589</v>
      </c>
      <c r="L8119" t="s">
        <v>50584</v>
      </c>
    </row>
    <row r="8120" spans="1:12" x14ac:dyDescent="0.25">
      <c r="A8120">
        <v>1361383</v>
      </c>
      <c r="B8120">
        <v>1361411</v>
      </c>
      <c r="D8120">
        <v>0</v>
      </c>
      <c r="E8120" t="s">
        <v>50591</v>
      </c>
      <c r="F8120" t="s">
        <v>50592</v>
      </c>
      <c r="G8120" t="s">
        <v>50593</v>
      </c>
      <c r="H8120" t="s">
        <v>50594</v>
      </c>
      <c r="I8120" t="s">
        <v>50595</v>
      </c>
      <c r="J8120" t="s">
        <v>50596</v>
      </c>
      <c r="K8120" t="s">
        <v>50597</v>
      </c>
      <c r="L8120" t="s">
        <v>50590</v>
      </c>
    </row>
    <row r="8121" spans="1:12" x14ac:dyDescent="0.25">
      <c r="A8121">
        <v>1361411</v>
      </c>
      <c r="B8121">
        <v>1361508</v>
      </c>
      <c r="D8121">
        <v>0</v>
      </c>
      <c r="E8121" t="s">
        <v>50599</v>
      </c>
      <c r="F8121" t="s">
        <v>50600</v>
      </c>
      <c r="G8121" t="s">
        <v>50601</v>
      </c>
      <c r="H8121" t="s">
        <v>50602</v>
      </c>
      <c r="I8121" t="s">
        <v>50603</v>
      </c>
      <c r="J8121" t="s">
        <v>50604</v>
      </c>
      <c r="K8121" t="s">
        <v>50605</v>
      </c>
      <c r="L8121" t="s">
        <v>50598</v>
      </c>
    </row>
    <row r="8122" spans="1:12" x14ac:dyDescent="0.25">
      <c r="A8122">
        <v>1361480</v>
      </c>
      <c r="B8122">
        <v>1361481</v>
      </c>
      <c r="D8122">
        <v>1</v>
      </c>
      <c r="F8122">
        <v>1505548</v>
      </c>
      <c r="G8122">
        <v>1361481</v>
      </c>
      <c r="H8122" t="e" vm="47">
        <f>_FV(0,"016")</f>
        <v>#VALUE!</v>
      </c>
      <c r="I8122">
        <v>1361480</v>
      </c>
      <c r="J8122" t="s">
        <v>737</v>
      </c>
      <c r="K8122" t="s">
        <v>50606</v>
      </c>
      <c r="L8122" t="e" vm="47">
        <f>_FV(0,"016")</f>
        <v>#VALUE!</v>
      </c>
    </row>
    <row r="8123" spans="1:12" x14ac:dyDescent="0.25">
      <c r="A8123">
        <v>1361508</v>
      </c>
      <c r="B8123">
        <v>1361685</v>
      </c>
      <c r="D8123" t="s">
        <v>50608</v>
      </c>
      <c r="E8123" t="s">
        <v>50609</v>
      </c>
      <c r="F8123" t="s">
        <v>50610</v>
      </c>
      <c r="G8123" t="s">
        <v>50611</v>
      </c>
      <c r="H8123" t="e" vm="3495">
        <f>_FV(0,"0031204067289587133")</f>
        <v>#VALUE!</v>
      </c>
      <c r="I8123" t="s">
        <v>50612</v>
      </c>
      <c r="J8123" t="s">
        <v>50613</v>
      </c>
      <c r="K8123" t="s">
        <v>50614</v>
      </c>
      <c r="L8123" t="s">
        <v>50607</v>
      </c>
    </row>
    <row r="8124" spans="1:12" x14ac:dyDescent="0.25">
      <c r="A8124">
        <v>1361523</v>
      </c>
      <c r="B8124">
        <v>1362037</v>
      </c>
      <c r="D8124">
        <v>0</v>
      </c>
      <c r="E8124" t="s">
        <v>50616</v>
      </c>
      <c r="F8124" t="s">
        <v>50617</v>
      </c>
      <c r="G8124" t="s">
        <v>50618</v>
      </c>
      <c r="H8124" t="e" vm="3496">
        <f>_FV(0,"028306530361022486")</f>
        <v>#VALUE!</v>
      </c>
      <c r="I8124" t="s">
        <v>50619</v>
      </c>
      <c r="J8124" t="s">
        <v>50620</v>
      </c>
      <c r="K8124" t="s">
        <v>50621</v>
      </c>
      <c r="L8124" t="s">
        <v>50615</v>
      </c>
    </row>
    <row r="8125" spans="1:12" x14ac:dyDescent="0.25">
      <c r="A8125">
        <v>1361523</v>
      </c>
      <c r="B8125">
        <v>1361559</v>
      </c>
      <c r="D8125">
        <v>0</v>
      </c>
      <c r="F8125">
        <v>1506128</v>
      </c>
      <c r="G8125">
        <v>1361523</v>
      </c>
      <c r="H8125" t="s">
        <v>14436</v>
      </c>
      <c r="I8125">
        <v>1361559</v>
      </c>
      <c r="J8125" t="s">
        <v>14436</v>
      </c>
      <c r="K8125" t="s">
        <v>50622</v>
      </c>
      <c r="L8125" t="s">
        <v>14436</v>
      </c>
    </row>
    <row r="8126" spans="1:12" x14ac:dyDescent="0.25">
      <c r="A8126">
        <v>1361523</v>
      </c>
      <c r="B8126">
        <v>1391803</v>
      </c>
      <c r="D8126">
        <v>0</v>
      </c>
      <c r="E8126" t="s">
        <v>50624</v>
      </c>
      <c r="F8126" t="s">
        <v>50625</v>
      </c>
      <c r="G8126" t="s">
        <v>50626</v>
      </c>
      <c r="H8126" t="e" vm="3497">
        <f>_FV(0,"029205814355841513")</f>
        <v>#VALUE!</v>
      </c>
      <c r="I8126" t="s">
        <v>50627</v>
      </c>
      <c r="J8126" t="s">
        <v>50628</v>
      </c>
      <c r="K8126" t="s">
        <v>50629</v>
      </c>
      <c r="L8126" t="s">
        <v>50623</v>
      </c>
    </row>
    <row r="8127" spans="1:12" x14ac:dyDescent="0.25">
      <c r="A8127">
        <v>1361541</v>
      </c>
      <c r="B8127">
        <v>1391817</v>
      </c>
      <c r="D8127">
        <v>0</v>
      </c>
      <c r="E8127" t="s">
        <v>50631</v>
      </c>
      <c r="F8127" t="s">
        <v>50632</v>
      </c>
      <c r="G8127" t="s">
        <v>50633</v>
      </c>
      <c r="H8127" t="s">
        <v>50634</v>
      </c>
      <c r="I8127" t="s">
        <v>50635</v>
      </c>
      <c r="J8127" t="s">
        <v>50636</v>
      </c>
      <c r="K8127" t="s">
        <v>50637</v>
      </c>
      <c r="L8127" t="s">
        <v>50630</v>
      </c>
    </row>
    <row r="8128" spans="1:12" x14ac:dyDescent="0.25">
      <c r="A8128">
        <v>1361541</v>
      </c>
      <c r="B8128">
        <v>1381277</v>
      </c>
      <c r="D8128">
        <v>0</v>
      </c>
      <c r="E8128" t="s">
        <v>50639</v>
      </c>
      <c r="F8128" t="s">
        <v>50640</v>
      </c>
      <c r="G8128" t="s">
        <v>50641</v>
      </c>
      <c r="H8128" t="e" vm="3498">
        <f>_FV(0,"03178649094677302")</f>
        <v>#VALUE!</v>
      </c>
      <c r="I8128" t="s">
        <v>50642</v>
      </c>
      <c r="J8128" t="s">
        <v>50643</v>
      </c>
      <c r="K8128" t="s">
        <v>50644</v>
      </c>
      <c r="L8128" t="s">
        <v>50638</v>
      </c>
    </row>
    <row r="8129" spans="1:12" x14ac:dyDescent="0.25">
      <c r="A8129">
        <v>1361541</v>
      </c>
      <c r="B8129">
        <v>1381277</v>
      </c>
      <c r="D8129">
        <v>0</v>
      </c>
      <c r="E8129" t="s">
        <v>50646</v>
      </c>
      <c r="F8129" t="s">
        <v>50647</v>
      </c>
      <c r="G8129" t="s">
        <v>50648</v>
      </c>
      <c r="H8129" t="e" vm="3499">
        <f>_FV(0,"11458147240103522")</f>
        <v>#VALUE!</v>
      </c>
      <c r="I8129" t="s">
        <v>50649</v>
      </c>
      <c r="J8129" t="s">
        <v>50650</v>
      </c>
      <c r="K8129" t="s">
        <v>50651</v>
      </c>
      <c r="L8129" t="s">
        <v>50645</v>
      </c>
    </row>
    <row r="8130" spans="1:12" x14ac:dyDescent="0.25">
      <c r="A8130">
        <v>1361559</v>
      </c>
      <c r="B8130">
        <v>1391824</v>
      </c>
      <c r="D8130" t="s">
        <v>514</v>
      </c>
      <c r="E8130" t="s">
        <v>50653</v>
      </c>
      <c r="F8130" t="s">
        <v>50654</v>
      </c>
      <c r="G8130" t="s">
        <v>50655</v>
      </c>
      <c r="H8130" t="s">
        <v>50656</v>
      </c>
      <c r="I8130" t="s">
        <v>50657</v>
      </c>
      <c r="J8130" t="s">
        <v>50658</v>
      </c>
      <c r="K8130" t="s">
        <v>50659</v>
      </c>
      <c r="L8130" t="s">
        <v>50652</v>
      </c>
    </row>
    <row r="8131" spans="1:12" x14ac:dyDescent="0.25">
      <c r="A8131">
        <v>1361559</v>
      </c>
      <c r="B8131">
        <v>1362039</v>
      </c>
      <c r="D8131">
        <v>0</v>
      </c>
      <c r="F8131">
        <v>1506127</v>
      </c>
      <c r="G8131">
        <v>1361559</v>
      </c>
      <c r="H8131" t="s">
        <v>2871</v>
      </c>
      <c r="I8131">
        <v>1362039</v>
      </c>
      <c r="J8131" t="s">
        <v>2871</v>
      </c>
      <c r="K8131" t="s">
        <v>50660</v>
      </c>
      <c r="L8131" t="s">
        <v>2871</v>
      </c>
    </row>
    <row r="8132" spans="1:12" x14ac:dyDescent="0.25">
      <c r="A8132">
        <v>1361685</v>
      </c>
      <c r="B8132">
        <v>1361738</v>
      </c>
      <c r="D8132">
        <v>0</v>
      </c>
      <c r="E8132" t="s">
        <v>50662</v>
      </c>
      <c r="F8132" t="s">
        <v>50663</v>
      </c>
      <c r="G8132" t="s">
        <v>50664</v>
      </c>
      <c r="H8132" t="e" vm="3500">
        <f>_FV(0,"009791412237905231")</f>
        <v>#VALUE!</v>
      </c>
      <c r="I8132" t="s">
        <v>50665</v>
      </c>
      <c r="J8132" t="s">
        <v>50666</v>
      </c>
      <c r="K8132" t="s">
        <v>50667</v>
      </c>
      <c r="L8132" t="s">
        <v>50661</v>
      </c>
    </row>
    <row r="8133" spans="1:12" x14ac:dyDescent="0.25">
      <c r="A8133">
        <v>1361731</v>
      </c>
      <c r="B8133">
        <v>1361858</v>
      </c>
      <c r="D8133">
        <v>0</v>
      </c>
      <c r="E8133" t="s">
        <v>50669</v>
      </c>
      <c r="F8133" t="s">
        <v>50670</v>
      </c>
      <c r="G8133" t="s">
        <v>50671</v>
      </c>
      <c r="H8133" t="s">
        <v>50672</v>
      </c>
      <c r="I8133" t="s">
        <v>50673</v>
      </c>
      <c r="J8133" t="s">
        <v>50668</v>
      </c>
      <c r="K8133" t="s">
        <v>50674</v>
      </c>
      <c r="L8133" t="s">
        <v>50668</v>
      </c>
    </row>
    <row r="8134" spans="1:12" x14ac:dyDescent="0.25">
      <c r="A8134">
        <v>1361731</v>
      </c>
      <c r="B8134">
        <v>1368075</v>
      </c>
      <c r="D8134">
        <v>0</v>
      </c>
      <c r="E8134" t="s">
        <v>50676</v>
      </c>
      <c r="F8134" t="s">
        <v>50677</v>
      </c>
      <c r="G8134" t="s">
        <v>50678</v>
      </c>
      <c r="H8134" t="e" vm="3501">
        <f>_FV(0,"0025191474014986614")</f>
        <v>#VALUE!</v>
      </c>
      <c r="I8134" t="s">
        <v>50679</v>
      </c>
      <c r="J8134" t="s">
        <v>50680</v>
      </c>
      <c r="K8134" t="s">
        <v>50681</v>
      </c>
      <c r="L8134" t="s">
        <v>50675</v>
      </c>
    </row>
    <row r="8135" spans="1:12" x14ac:dyDescent="0.25">
      <c r="A8135">
        <v>1361738</v>
      </c>
      <c r="B8135">
        <v>1361793</v>
      </c>
      <c r="C8135" t="s">
        <v>50683</v>
      </c>
      <c r="D8135" t="s">
        <v>50684</v>
      </c>
      <c r="E8135" t="s">
        <v>50685</v>
      </c>
      <c r="F8135" t="s">
        <v>50686</v>
      </c>
      <c r="G8135" t="s">
        <v>50687</v>
      </c>
      <c r="H8135" t="e" vm="3502">
        <f>_FV(0,"01118899371196291")</f>
        <v>#VALUE!</v>
      </c>
      <c r="I8135" t="s">
        <v>50688</v>
      </c>
      <c r="J8135" t="s">
        <v>50689</v>
      </c>
      <c r="K8135" t="s">
        <v>50690</v>
      </c>
      <c r="L8135" t="s">
        <v>50682</v>
      </c>
    </row>
    <row r="8136" spans="1:12" x14ac:dyDescent="0.25">
      <c r="A8136">
        <v>1361793</v>
      </c>
      <c r="B8136">
        <v>1361908</v>
      </c>
      <c r="D8136" t="s">
        <v>36937</v>
      </c>
      <c r="E8136" t="s">
        <v>50692</v>
      </c>
      <c r="F8136" t="s">
        <v>50693</v>
      </c>
      <c r="G8136" t="s">
        <v>50694</v>
      </c>
      <c r="H8136" t="s">
        <v>50695</v>
      </c>
      <c r="I8136" t="s">
        <v>50696</v>
      </c>
      <c r="J8136" t="s">
        <v>50697</v>
      </c>
      <c r="K8136" t="s">
        <v>50698</v>
      </c>
      <c r="L8136" t="s">
        <v>50691</v>
      </c>
    </row>
    <row r="8137" spans="1:12" x14ac:dyDescent="0.25">
      <c r="A8137">
        <v>1361858</v>
      </c>
      <c r="B8137">
        <v>1368169</v>
      </c>
      <c r="D8137">
        <v>0</v>
      </c>
      <c r="E8137" t="s">
        <v>50700</v>
      </c>
      <c r="F8137" t="s">
        <v>50701</v>
      </c>
      <c r="G8137" t="s">
        <v>50702</v>
      </c>
      <c r="H8137" t="e" vm="3503">
        <f>_FV(0,"005849044692314052")</f>
        <v>#VALUE!</v>
      </c>
      <c r="I8137" t="s">
        <v>50703</v>
      </c>
      <c r="J8137" t="s">
        <v>50704</v>
      </c>
      <c r="K8137" t="s">
        <v>50705</v>
      </c>
      <c r="L8137" t="s">
        <v>50699</v>
      </c>
    </row>
    <row r="8138" spans="1:12" x14ac:dyDescent="0.25">
      <c r="A8138">
        <v>1361908</v>
      </c>
      <c r="B8138">
        <v>1364730</v>
      </c>
      <c r="D8138" t="s">
        <v>50707</v>
      </c>
      <c r="E8138" t="s">
        <v>50708</v>
      </c>
      <c r="F8138" t="s">
        <v>50709</v>
      </c>
      <c r="G8138" t="s">
        <v>50710</v>
      </c>
      <c r="H8138" t="e" vm="3504">
        <f>_FV(0,"011928167193153837")</f>
        <v>#VALUE!</v>
      </c>
      <c r="I8138" t="s">
        <v>50711</v>
      </c>
      <c r="J8138" t="s">
        <v>50712</v>
      </c>
      <c r="K8138" t="s">
        <v>50713</v>
      </c>
      <c r="L8138" t="s">
        <v>50706</v>
      </c>
    </row>
    <row r="8139" spans="1:12" x14ac:dyDescent="0.25">
      <c r="A8139">
        <v>1362035</v>
      </c>
      <c r="B8139">
        <v>1362060</v>
      </c>
      <c r="D8139">
        <v>0</v>
      </c>
      <c r="E8139" t="s">
        <v>50715</v>
      </c>
      <c r="F8139" t="s">
        <v>50716</v>
      </c>
      <c r="G8139" t="s">
        <v>50717</v>
      </c>
      <c r="H8139" t="e" vm="3505">
        <f>_FV(0,"012945552827587118")</f>
        <v>#VALUE!</v>
      </c>
      <c r="I8139" t="s">
        <v>50718</v>
      </c>
      <c r="J8139" t="s">
        <v>50719</v>
      </c>
      <c r="K8139" t="s">
        <v>50720</v>
      </c>
      <c r="L8139" t="s">
        <v>50714</v>
      </c>
    </row>
    <row r="8140" spans="1:12" x14ac:dyDescent="0.25">
      <c r="A8140">
        <v>1362037</v>
      </c>
      <c r="B8140">
        <v>1362039</v>
      </c>
      <c r="D8140">
        <v>0</v>
      </c>
      <c r="E8140" t="s">
        <v>50722</v>
      </c>
      <c r="F8140" t="s">
        <v>50723</v>
      </c>
      <c r="G8140" t="s">
        <v>50724</v>
      </c>
      <c r="H8140" t="e" vm="3506">
        <f>_FV(0,"02506636741143609")</f>
        <v>#VALUE!</v>
      </c>
      <c r="I8140" t="s">
        <v>50725</v>
      </c>
      <c r="J8140" t="s">
        <v>50726</v>
      </c>
      <c r="K8140" t="s">
        <v>50727</v>
      </c>
      <c r="L8140" t="s">
        <v>50721</v>
      </c>
    </row>
    <row r="8141" spans="1:12" x14ac:dyDescent="0.25">
      <c r="A8141">
        <v>1362037</v>
      </c>
      <c r="B8141">
        <v>1378343</v>
      </c>
      <c r="D8141">
        <v>0</v>
      </c>
      <c r="E8141" t="s">
        <v>50729</v>
      </c>
      <c r="F8141" t="s">
        <v>50730</v>
      </c>
      <c r="G8141" t="s">
        <v>50731</v>
      </c>
      <c r="H8141" t="e" vm="3507">
        <f>_FV(0,"028457478778473873")</f>
        <v>#VALUE!</v>
      </c>
      <c r="I8141" t="s">
        <v>50732</v>
      </c>
      <c r="J8141" t="s">
        <v>50733</v>
      </c>
      <c r="K8141" t="s">
        <v>50734</v>
      </c>
      <c r="L8141" t="s">
        <v>50728</v>
      </c>
    </row>
    <row r="8142" spans="1:12" x14ac:dyDescent="0.25">
      <c r="A8142">
        <v>1362039</v>
      </c>
      <c r="B8142">
        <v>1381277</v>
      </c>
      <c r="D8142">
        <v>0</v>
      </c>
      <c r="E8142" t="s">
        <v>50736</v>
      </c>
      <c r="F8142" t="s">
        <v>50737</v>
      </c>
      <c r="G8142" t="s">
        <v>50738</v>
      </c>
      <c r="H8142" t="e" vm="3508">
        <f>_FV(0,"0164376822701103")</f>
        <v>#VALUE!</v>
      </c>
      <c r="I8142" t="s">
        <v>50739</v>
      </c>
      <c r="J8142" t="s">
        <v>50740</v>
      </c>
      <c r="K8142" t="s">
        <v>50741</v>
      </c>
      <c r="L8142" t="s">
        <v>50735</v>
      </c>
    </row>
    <row r="8143" spans="1:12" x14ac:dyDescent="0.25">
      <c r="A8143">
        <v>1362060</v>
      </c>
      <c r="B8143">
        <v>1362133</v>
      </c>
      <c r="C8143" t="s">
        <v>50743</v>
      </c>
      <c r="D8143" t="s">
        <v>514</v>
      </c>
      <c r="E8143" t="s">
        <v>50744</v>
      </c>
      <c r="F8143" t="s">
        <v>50745</v>
      </c>
      <c r="G8143" t="s">
        <v>50746</v>
      </c>
      <c r="H8143" t="e" vm="3509">
        <f>_FV(0,"0029383641728558795")</f>
        <v>#VALUE!</v>
      </c>
      <c r="I8143" t="s">
        <v>50747</v>
      </c>
      <c r="J8143" t="s">
        <v>50748</v>
      </c>
      <c r="K8143" t="s">
        <v>50749</v>
      </c>
      <c r="L8143" t="s">
        <v>50742</v>
      </c>
    </row>
    <row r="8144" spans="1:12" x14ac:dyDescent="0.25">
      <c r="A8144">
        <v>1362125</v>
      </c>
      <c r="B8144">
        <v>1362126</v>
      </c>
      <c r="D8144">
        <v>0</v>
      </c>
      <c r="E8144" t="s">
        <v>50751</v>
      </c>
      <c r="F8144" t="s">
        <v>50752</v>
      </c>
      <c r="G8144" t="s">
        <v>50753</v>
      </c>
      <c r="H8144" t="e" vm="3510">
        <f>_FV(0,"012871978182757416")</f>
        <v>#VALUE!</v>
      </c>
      <c r="I8144" t="s">
        <v>50754</v>
      </c>
      <c r="J8144" t="s">
        <v>50755</v>
      </c>
      <c r="K8144" t="s">
        <v>50756</v>
      </c>
      <c r="L8144" t="s">
        <v>50750</v>
      </c>
    </row>
    <row r="8145" spans="1:12" x14ac:dyDescent="0.25">
      <c r="A8145">
        <v>1362125</v>
      </c>
      <c r="B8145">
        <v>1365585</v>
      </c>
      <c r="D8145">
        <v>0</v>
      </c>
      <c r="E8145" t="s">
        <v>50758</v>
      </c>
      <c r="F8145" t="s">
        <v>50759</v>
      </c>
      <c r="G8145" t="s">
        <v>50760</v>
      </c>
      <c r="H8145" t="s">
        <v>50761</v>
      </c>
      <c r="I8145" t="s">
        <v>50762</v>
      </c>
      <c r="J8145" t="s">
        <v>50763</v>
      </c>
      <c r="K8145" t="s">
        <v>50764</v>
      </c>
      <c r="L8145" t="s">
        <v>50757</v>
      </c>
    </row>
    <row r="8146" spans="1:12" x14ac:dyDescent="0.25">
      <c r="A8146">
        <v>1362126</v>
      </c>
      <c r="B8146">
        <v>1367076</v>
      </c>
      <c r="D8146">
        <v>0</v>
      </c>
      <c r="E8146" t="s">
        <v>50766</v>
      </c>
      <c r="F8146" t="s">
        <v>50767</v>
      </c>
      <c r="G8146" t="s">
        <v>50768</v>
      </c>
      <c r="H8146" t="e" vm="3511">
        <f>_FV(0,"00045632288285601665")</f>
        <v>#VALUE!</v>
      </c>
      <c r="I8146" t="s">
        <v>50769</v>
      </c>
      <c r="J8146" t="s">
        <v>50770</v>
      </c>
      <c r="K8146" t="s">
        <v>50771</v>
      </c>
      <c r="L8146" t="s">
        <v>50765</v>
      </c>
    </row>
    <row r="8147" spans="1:12" x14ac:dyDescent="0.25">
      <c r="A8147">
        <v>1362327</v>
      </c>
      <c r="B8147">
        <v>1362403</v>
      </c>
      <c r="D8147">
        <v>0</v>
      </c>
      <c r="E8147" t="s">
        <v>50773</v>
      </c>
      <c r="F8147" t="s">
        <v>50774</v>
      </c>
      <c r="G8147" t="s">
        <v>50775</v>
      </c>
      <c r="H8147" t="e" vm="3512">
        <f>_FV(0,"006732264408101595")</f>
        <v>#VALUE!</v>
      </c>
      <c r="I8147" t="s">
        <v>50776</v>
      </c>
      <c r="J8147" t="s">
        <v>50777</v>
      </c>
      <c r="K8147" t="s">
        <v>50778</v>
      </c>
      <c r="L8147" t="s">
        <v>50772</v>
      </c>
    </row>
    <row r="8148" spans="1:12" x14ac:dyDescent="0.25">
      <c r="A8148">
        <v>1362403</v>
      </c>
      <c r="B8148">
        <v>1362632</v>
      </c>
      <c r="C8148" t="s">
        <v>50780</v>
      </c>
      <c r="D8148" t="s">
        <v>50781</v>
      </c>
      <c r="E8148" t="s">
        <v>50782</v>
      </c>
      <c r="F8148" t="s">
        <v>50783</v>
      </c>
      <c r="G8148" t="s">
        <v>50784</v>
      </c>
      <c r="H8148" t="s">
        <v>50785</v>
      </c>
      <c r="I8148" t="s">
        <v>50786</v>
      </c>
      <c r="J8148" t="s">
        <v>50787</v>
      </c>
      <c r="K8148" t="s">
        <v>50788</v>
      </c>
      <c r="L8148" t="s">
        <v>50779</v>
      </c>
    </row>
    <row r="8149" spans="1:12" x14ac:dyDescent="0.25">
      <c r="A8149">
        <v>1362557</v>
      </c>
      <c r="B8149">
        <v>1362564</v>
      </c>
      <c r="D8149">
        <v>0</v>
      </c>
      <c r="E8149" t="s">
        <v>50790</v>
      </c>
      <c r="F8149" t="s">
        <v>50791</v>
      </c>
      <c r="G8149" t="s">
        <v>50792</v>
      </c>
      <c r="H8149" t="s">
        <v>50793</v>
      </c>
      <c r="I8149" t="s">
        <v>50794</v>
      </c>
      <c r="J8149" t="s">
        <v>50795</v>
      </c>
      <c r="K8149" t="s">
        <v>50796</v>
      </c>
      <c r="L8149" t="s">
        <v>50789</v>
      </c>
    </row>
    <row r="8150" spans="1:12" x14ac:dyDescent="0.25">
      <c r="A8150">
        <v>1362557</v>
      </c>
      <c r="B8150">
        <v>1368219</v>
      </c>
      <c r="D8150">
        <v>0</v>
      </c>
      <c r="E8150" t="s">
        <v>50797</v>
      </c>
      <c r="F8150" t="s">
        <v>50798</v>
      </c>
      <c r="G8150" t="s">
        <v>50799</v>
      </c>
      <c r="H8150" t="s">
        <v>226</v>
      </c>
      <c r="I8150" t="s">
        <v>50800</v>
      </c>
      <c r="J8150" t="s">
        <v>226</v>
      </c>
      <c r="K8150" t="s">
        <v>50801</v>
      </c>
      <c r="L8150" t="s">
        <v>226</v>
      </c>
    </row>
    <row r="8151" spans="1:12" x14ac:dyDescent="0.25">
      <c r="A8151">
        <v>1362564</v>
      </c>
      <c r="B8151">
        <v>1368219</v>
      </c>
      <c r="D8151">
        <v>0</v>
      </c>
      <c r="E8151" t="s">
        <v>50802</v>
      </c>
      <c r="F8151" t="s">
        <v>50803</v>
      </c>
      <c r="G8151" t="s">
        <v>50804</v>
      </c>
      <c r="H8151" t="s">
        <v>50805</v>
      </c>
      <c r="I8151" t="s">
        <v>50806</v>
      </c>
      <c r="J8151" t="s">
        <v>37595</v>
      </c>
      <c r="K8151" t="s">
        <v>50807</v>
      </c>
      <c r="L8151" t="s">
        <v>37595</v>
      </c>
    </row>
    <row r="8152" spans="1:12" x14ac:dyDescent="0.25">
      <c r="A8152">
        <v>1362632</v>
      </c>
      <c r="B8152">
        <v>1362713</v>
      </c>
      <c r="D8152">
        <v>0</v>
      </c>
      <c r="E8152" t="s">
        <v>50809</v>
      </c>
      <c r="F8152" t="s">
        <v>50810</v>
      </c>
      <c r="G8152" t="s">
        <v>50811</v>
      </c>
      <c r="H8152" t="s">
        <v>50812</v>
      </c>
      <c r="I8152" t="s">
        <v>50813</v>
      </c>
      <c r="J8152" t="s">
        <v>50814</v>
      </c>
      <c r="K8152" t="s">
        <v>50815</v>
      </c>
      <c r="L8152" t="s">
        <v>50808</v>
      </c>
    </row>
    <row r="8153" spans="1:12" x14ac:dyDescent="0.25">
      <c r="A8153">
        <v>1362713</v>
      </c>
      <c r="B8153">
        <v>1362746</v>
      </c>
      <c r="D8153">
        <v>0</v>
      </c>
      <c r="E8153" t="s">
        <v>50817</v>
      </c>
      <c r="F8153" t="s">
        <v>50818</v>
      </c>
      <c r="G8153" t="s">
        <v>50819</v>
      </c>
      <c r="H8153" t="e" vm="3513">
        <f>_FV(0,"0059189733530855375")</f>
        <v>#VALUE!</v>
      </c>
      <c r="I8153" t="s">
        <v>50820</v>
      </c>
      <c r="J8153" t="s">
        <v>50821</v>
      </c>
      <c r="K8153" t="s">
        <v>50822</v>
      </c>
      <c r="L8153" t="s">
        <v>50816</v>
      </c>
    </row>
    <row r="8154" spans="1:12" x14ac:dyDescent="0.25">
      <c r="A8154">
        <v>1362746</v>
      </c>
      <c r="B8154">
        <v>1362817</v>
      </c>
      <c r="D8154" t="s">
        <v>15909</v>
      </c>
      <c r="E8154" t="s">
        <v>50824</v>
      </c>
      <c r="F8154" t="s">
        <v>50825</v>
      </c>
      <c r="G8154" t="s">
        <v>50826</v>
      </c>
      <c r="H8154" t="e" vm="3514">
        <f>_FV(0,"002660218949447988")</f>
        <v>#VALUE!</v>
      </c>
      <c r="I8154" t="s">
        <v>50827</v>
      </c>
      <c r="J8154" t="s">
        <v>50828</v>
      </c>
      <c r="K8154" t="s">
        <v>50829</v>
      </c>
      <c r="L8154" t="s">
        <v>50823</v>
      </c>
    </row>
    <row r="8155" spans="1:12" x14ac:dyDescent="0.25">
      <c r="A8155">
        <v>1362799</v>
      </c>
      <c r="B8155">
        <v>1362819</v>
      </c>
      <c r="D8155">
        <v>0</v>
      </c>
      <c r="E8155" t="s">
        <v>50831</v>
      </c>
      <c r="F8155" t="s">
        <v>50832</v>
      </c>
      <c r="G8155" t="s">
        <v>50833</v>
      </c>
      <c r="H8155" t="e" vm="3515">
        <f>_FV(0,"019314569250965127")</f>
        <v>#VALUE!</v>
      </c>
      <c r="I8155" t="s">
        <v>50834</v>
      </c>
      <c r="J8155" t="s">
        <v>50835</v>
      </c>
      <c r="K8155" t="s">
        <v>50836</v>
      </c>
      <c r="L8155" t="s">
        <v>50830</v>
      </c>
    </row>
    <row r="8156" spans="1:12" x14ac:dyDescent="0.25">
      <c r="A8156">
        <v>1362799</v>
      </c>
      <c r="B8156">
        <v>1362873</v>
      </c>
      <c r="D8156" t="s">
        <v>7856</v>
      </c>
      <c r="E8156" t="s">
        <v>50838</v>
      </c>
      <c r="F8156" t="s">
        <v>50839</v>
      </c>
      <c r="G8156" t="s">
        <v>50840</v>
      </c>
      <c r="H8156" t="s">
        <v>50841</v>
      </c>
      <c r="I8156" t="s">
        <v>50842</v>
      </c>
      <c r="J8156" t="s">
        <v>50843</v>
      </c>
      <c r="K8156" t="s">
        <v>50844</v>
      </c>
      <c r="L8156" t="s">
        <v>50837</v>
      </c>
    </row>
    <row r="8157" spans="1:12" x14ac:dyDescent="0.25">
      <c r="A8157">
        <v>1362817</v>
      </c>
      <c r="B8157">
        <v>1362920</v>
      </c>
      <c r="C8157" t="s">
        <v>50846</v>
      </c>
      <c r="D8157" t="s">
        <v>16334</v>
      </c>
      <c r="E8157" t="s">
        <v>50847</v>
      </c>
      <c r="F8157" t="s">
        <v>50848</v>
      </c>
      <c r="G8157" t="s">
        <v>50849</v>
      </c>
      <c r="H8157" t="e" vm="3516">
        <f>_FV(0,"022993775629677735")</f>
        <v>#VALUE!</v>
      </c>
      <c r="I8157" t="s">
        <v>50850</v>
      </c>
      <c r="J8157" t="s">
        <v>50851</v>
      </c>
      <c r="K8157" t="s">
        <v>50852</v>
      </c>
      <c r="L8157" t="s">
        <v>50845</v>
      </c>
    </row>
    <row r="8158" spans="1:12" x14ac:dyDescent="0.25">
      <c r="A8158">
        <v>1362819</v>
      </c>
      <c r="B8158">
        <v>1362923</v>
      </c>
      <c r="D8158" t="s">
        <v>7856</v>
      </c>
      <c r="E8158" t="s">
        <v>50854</v>
      </c>
      <c r="F8158" t="s">
        <v>50855</v>
      </c>
      <c r="G8158" t="s">
        <v>50856</v>
      </c>
      <c r="H8158" t="s">
        <v>50857</v>
      </c>
      <c r="I8158" t="s">
        <v>50858</v>
      </c>
      <c r="J8158" t="s">
        <v>50853</v>
      </c>
      <c r="K8158" t="s">
        <v>50859</v>
      </c>
      <c r="L8158" t="s">
        <v>50853</v>
      </c>
    </row>
    <row r="8159" spans="1:12" x14ac:dyDescent="0.25">
      <c r="A8159">
        <v>1362873</v>
      </c>
      <c r="B8159">
        <v>1362910</v>
      </c>
      <c r="D8159">
        <v>0</v>
      </c>
      <c r="E8159" t="s">
        <v>50861</v>
      </c>
      <c r="F8159" t="s">
        <v>50862</v>
      </c>
      <c r="G8159" t="s">
        <v>50863</v>
      </c>
      <c r="H8159" t="e" vm="3517">
        <f>_FV(0,"010345797167672758")</f>
        <v>#VALUE!</v>
      </c>
      <c r="I8159" t="s">
        <v>50864</v>
      </c>
      <c r="J8159" t="s">
        <v>50865</v>
      </c>
      <c r="K8159" t="s">
        <v>50866</v>
      </c>
      <c r="L8159" t="s">
        <v>50860</v>
      </c>
    </row>
    <row r="8160" spans="1:12" x14ac:dyDescent="0.25">
      <c r="A8160">
        <v>1362873</v>
      </c>
      <c r="B8160">
        <v>1362923</v>
      </c>
      <c r="D8160">
        <v>0</v>
      </c>
      <c r="E8160" t="s">
        <v>50868</v>
      </c>
      <c r="F8160" t="s">
        <v>50869</v>
      </c>
      <c r="G8160" t="s">
        <v>50870</v>
      </c>
      <c r="H8160" t="s">
        <v>50871</v>
      </c>
      <c r="I8160" t="s">
        <v>50872</v>
      </c>
      <c r="J8160" t="s">
        <v>50867</v>
      </c>
      <c r="K8160" t="s">
        <v>50873</v>
      </c>
      <c r="L8160" t="s">
        <v>50867</v>
      </c>
    </row>
    <row r="8161" spans="1:12" x14ac:dyDescent="0.25">
      <c r="A8161">
        <v>1362910</v>
      </c>
      <c r="B8161">
        <v>1362917</v>
      </c>
      <c r="D8161">
        <v>0</v>
      </c>
      <c r="E8161" t="s">
        <v>50875</v>
      </c>
      <c r="F8161" t="s">
        <v>50876</v>
      </c>
      <c r="G8161" t="s">
        <v>50877</v>
      </c>
      <c r="H8161" t="e" vm="3518">
        <f>_FV(0,"007003804042727312")</f>
        <v>#VALUE!</v>
      </c>
      <c r="I8161" t="s">
        <v>50878</v>
      </c>
      <c r="J8161" t="s">
        <v>50879</v>
      </c>
      <c r="K8161" t="s">
        <v>50880</v>
      </c>
      <c r="L8161" t="s">
        <v>50874</v>
      </c>
    </row>
    <row r="8162" spans="1:12" x14ac:dyDescent="0.25">
      <c r="A8162">
        <v>1362917</v>
      </c>
      <c r="B8162">
        <v>1362923</v>
      </c>
      <c r="D8162">
        <v>0</v>
      </c>
      <c r="F8162">
        <v>1507129</v>
      </c>
      <c r="G8162">
        <v>1362923</v>
      </c>
      <c r="H8162" t="s">
        <v>2916</v>
      </c>
      <c r="I8162">
        <v>1362917</v>
      </c>
      <c r="J8162" t="s">
        <v>2916</v>
      </c>
      <c r="K8162" t="s">
        <v>50881</v>
      </c>
      <c r="L8162" t="s">
        <v>2916</v>
      </c>
    </row>
    <row r="8163" spans="1:12" x14ac:dyDescent="0.25">
      <c r="A8163">
        <v>1362920</v>
      </c>
      <c r="B8163">
        <v>1363061</v>
      </c>
      <c r="D8163" t="s">
        <v>8603</v>
      </c>
      <c r="E8163" t="s">
        <v>50883</v>
      </c>
      <c r="F8163" t="s">
        <v>50884</v>
      </c>
      <c r="G8163" t="s">
        <v>50885</v>
      </c>
      <c r="H8163" t="s">
        <v>50886</v>
      </c>
      <c r="I8163" t="s">
        <v>50887</v>
      </c>
      <c r="J8163" t="s">
        <v>50888</v>
      </c>
      <c r="K8163" t="s">
        <v>50889</v>
      </c>
      <c r="L8163" t="s">
        <v>50882</v>
      </c>
    </row>
    <row r="8164" spans="1:12" x14ac:dyDescent="0.25">
      <c r="A8164">
        <v>1362932</v>
      </c>
      <c r="B8164">
        <v>1362938</v>
      </c>
      <c r="D8164">
        <v>0</v>
      </c>
      <c r="E8164" t="s">
        <v>50891</v>
      </c>
      <c r="F8164" t="s">
        <v>50892</v>
      </c>
      <c r="G8164" t="s">
        <v>50893</v>
      </c>
      <c r="H8164" t="e" vm="3519">
        <f>_FV(0,"009833843179786273")</f>
        <v>#VALUE!</v>
      </c>
      <c r="I8164" t="s">
        <v>50894</v>
      </c>
      <c r="J8164" t="s">
        <v>50895</v>
      </c>
      <c r="K8164" t="s">
        <v>50896</v>
      </c>
      <c r="L8164" t="s">
        <v>50890</v>
      </c>
    </row>
    <row r="8165" spans="1:12" x14ac:dyDescent="0.25">
      <c r="A8165">
        <v>1362969</v>
      </c>
      <c r="B8165">
        <v>1362985</v>
      </c>
      <c r="D8165">
        <v>0</v>
      </c>
      <c r="E8165" t="s">
        <v>50898</v>
      </c>
      <c r="F8165" t="s">
        <v>50899</v>
      </c>
      <c r="G8165" t="s">
        <v>50900</v>
      </c>
      <c r="H8165" t="s">
        <v>50901</v>
      </c>
      <c r="I8165" t="s">
        <v>50902</v>
      </c>
      <c r="J8165" t="s">
        <v>50903</v>
      </c>
      <c r="K8165" t="s">
        <v>50904</v>
      </c>
      <c r="L8165" t="s">
        <v>50897</v>
      </c>
    </row>
    <row r="8166" spans="1:12" x14ac:dyDescent="0.25">
      <c r="A8166">
        <v>1363017</v>
      </c>
      <c r="B8166">
        <v>1363024</v>
      </c>
      <c r="D8166">
        <v>0</v>
      </c>
      <c r="E8166" t="s">
        <v>50906</v>
      </c>
      <c r="F8166" t="s">
        <v>50907</v>
      </c>
      <c r="G8166" t="s">
        <v>50908</v>
      </c>
      <c r="H8166" t="e" vm="3520">
        <f>_FV(0,"015416120786796977")</f>
        <v>#VALUE!</v>
      </c>
      <c r="I8166" t="s">
        <v>50909</v>
      </c>
      <c r="J8166" t="s">
        <v>50910</v>
      </c>
      <c r="K8166" t="s">
        <v>50911</v>
      </c>
      <c r="L8166" t="s">
        <v>50905</v>
      </c>
    </row>
    <row r="8167" spans="1:12" x14ac:dyDescent="0.25">
      <c r="A8167">
        <v>1363042</v>
      </c>
      <c r="B8167">
        <v>1363051</v>
      </c>
      <c r="D8167">
        <v>0</v>
      </c>
      <c r="E8167" t="s">
        <v>50913</v>
      </c>
      <c r="F8167" t="s">
        <v>50914</v>
      </c>
      <c r="G8167" t="s">
        <v>50915</v>
      </c>
      <c r="H8167" t="s">
        <v>50916</v>
      </c>
      <c r="I8167" t="s">
        <v>50917</v>
      </c>
      <c r="J8167" t="s">
        <v>50918</v>
      </c>
      <c r="K8167" t="s">
        <v>50919</v>
      </c>
      <c r="L8167" t="s">
        <v>50912</v>
      </c>
    </row>
    <row r="8168" spans="1:12" x14ac:dyDescent="0.25">
      <c r="A8168">
        <v>1363061</v>
      </c>
      <c r="B8168">
        <v>1363127</v>
      </c>
      <c r="C8168" t="s">
        <v>50921</v>
      </c>
      <c r="D8168" t="s">
        <v>50922</v>
      </c>
      <c r="E8168" t="s">
        <v>50923</v>
      </c>
      <c r="F8168" t="s">
        <v>50924</v>
      </c>
      <c r="G8168" t="s">
        <v>50925</v>
      </c>
      <c r="H8168" t="s">
        <v>50926</v>
      </c>
      <c r="I8168" t="s">
        <v>50927</v>
      </c>
      <c r="J8168" t="s">
        <v>50928</v>
      </c>
      <c r="K8168" t="s">
        <v>50929</v>
      </c>
      <c r="L8168" t="s">
        <v>50920</v>
      </c>
    </row>
    <row r="8169" spans="1:12" x14ac:dyDescent="0.25">
      <c r="A8169">
        <v>1363075</v>
      </c>
      <c r="B8169">
        <v>1370250</v>
      </c>
      <c r="D8169">
        <v>0</v>
      </c>
      <c r="E8169" t="s">
        <v>50931</v>
      </c>
      <c r="F8169" t="s">
        <v>50932</v>
      </c>
      <c r="G8169" t="s">
        <v>50933</v>
      </c>
      <c r="H8169" t="e" vm="3521">
        <f>_FV(0,"006259692535608715")</f>
        <v>#VALUE!</v>
      </c>
      <c r="I8169" t="s">
        <v>50934</v>
      </c>
      <c r="J8169" t="s">
        <v>50935</v>
      </c>
      <c r="K8169" t="s">
        <v>50936</v>
      </c>
      <c r="L8169" t="s">
        <v>50930</v>
      </c>
    </row>
    <row r="8170" spans="1:12" x14ac:dyDescent="0.25">
      <c r="A8170">
        <v>1363127</v>
      </c>
      <c r="B8170">
        <v>1363242</v>
      </c>
      <c r="D8170">
        <v>0</v>
      </c>
      <c r="E8170" t="s">
        <v>50938</v>
      </c>
      <c r="F8170" t="s">
        <v>50939</v>
      </c>
      <c r="G8170" t="s">
        <v>50940</v>
      </c>
      <c r="H8170" t="e" vm="3522">
        <f>_FV(0,"00610473072868903")</f>
        <v>#VALUE!</v>
      </c>
      <c r="I8170" t="s">
        <v>50941</v>
      </c>
      <c r="J8170" t="s">
        <v>50942</v>
      </c>
      <c r="K8170" t="s">
        <v>50943</v>
      </c>
      <c r="L8170" t="s">
        <v>50937</v>
      </c>
    </row>
    <row r="8171" spans="1:12" x14ac:dyDescent="0.25">
      <c r="A8171">
        <v>1363242</v>
      </c>
      <c r="B8171">
        <v>1363300</v>
      </c>
      <c r="D8171" t="s">
        <v>3182</v>
      </c>
      <c r="E8171" t="s">
        <v>50945</v>
      </c>
      <c r="F8171" t="s">
        <v>50946</v>
      </c>
      <c r="G8171" t="s">
        <v>50947</v>
      </c>
      <c r="H8171" t="s">
        <v>50948</v>
      </c>
      <c r="I8171" t="s">
        <v>50949</v>
      </c>
      <c r="J8171" t="s">
        <v>50950</v>
      </c>
      <c r="K8171" t="s">
        <v>50951</v>
      </c>
      <c r="L8171" t="s">
        <v>50944</v>
      </c>
    </row>
    <row r="8172" spans="1:12" x14ac:dyDescent="0.25">
      <c r="A8172">
        <v>1363300</v>
      </c>
      <c r="B8172">
        <v>1363364</v>
      </c>
      <c r="D8172">
        <v>0</v>
      </c>
      <c r="E8172" t="s">
        <v>50953</v>
      </c>
      <c r="F8172" t="s">
        <v>50954</v>
      </c>
      <c r="G8172" t="s">
        <v>50955</v>
      </c>
      <c r="H8172" t="e" vm="3523">
        <f>_FV(0,"00972047242363306")</f>
        <v>#VALUE!</v>
      </c>
      <c r="I8172" t="s">
        <v>50956</v>
      </c>
      <c r="J8172" t="s">
        <v>50957</v>
      </c>
      <c r="K8172" t="s">
        <v>50958</v>
      </c>
      <c r="L8172" t="s">
        <v>50952</v>
      </c>
    </row>
    <row r="8173" spans="1:12" x14ac:dyDescent="0.25">
      <c r="A8173">
        <v>1363300</v>
      </c>
      <c r="B8173">
        <v>1391813</v>
      </c>
      <c r="D8173">
        <v>0</v>
      </c>
      <c r="E8173" t="s">
        <v>50960</v>
      </c>
      <c r="F8173" t="s">
        <v>50961</v>
      </c>
      <c r="G8173" t="s">
        <v>50962</v>
      </c>
      <c r="H8173" t="s">
        <v>50963</v>
      </c>
      <c r="I8173" t="s">
        <v>50964</v>
      </c>
      <c r="J8173" t="s">
        <v>50965</v>
      </c>
      <c r="K8173" t="s">
        <v>50966</v>
      </c>
      <c r="L8173" t="s">
        <v>50959</v>
      </c>
    </row>
    <row r="8174" spans="1:12" x14ac:dyDescent="0.25">
      <c r="A8174">
        <v>1363364</v>
      </c>
      <c r="B8174">
        <v>1393271</v>
      </c>
      <c r="D8174">
        <v>0</v>
      </c>
      <c r="E8174" t="s">
        <v>50968</v>
      </c>
      <c r="F8174" t="s">
        <v>50969</v>
      </c>
      <c r="G8174" t="s">
        <v>50970</v>
      </c>
      <c r="H8174" t="e" vm="3524">
        <f>_FV(0,"022705904913090203")</f>
        <v>#VALUE!</v>
      </c>
      <c r="I8174" t="s">
        <v>50971</v>
      </c>
      <c r="J8174" t="s">
        <v>50972</v>
      </c>
      <c r="K8174" t="s">
        <v>50973</v>
      </c>
      <c r="L8174" t="s">
        <v>50967</v>
      </c>
    </row>
    <row r="8175" spans="1:12" x14ac:dyDescent="0.25">
      <c r="A8175">
        <v>1363575</v>
      </c>
      <c r="B8175">
        <v>1807729</v>
      </c>
      <c r="D8175">
        <v>0</v>
      </c>
      <c r="F8175">
        <v>2086982</v>
      </c>
      <c r="G8175">
        <v>1807729</v>
      </c>
      <c r="H8175" t="s">
        <v>50974</v>
      </c>
      <c r="I8175">
        <v>1363575</v>
      </c>
      <c r="J8175" t="s">
        <v>50974</v>
      </c>
      <c r="K8175" t="s">
        <v>50975</v>
      </c>
      <c r="L8175" t="s">
        <v>50974</v>
      </c>
    </row>
    <row r="8176" spans="1:12" x14ac:dyDescent="0.25">
      <c r="A8176">
        <v>1363575</v>
      </c>
      <c r="B8176">
        <v>1363598</v>
      </c>
      <c r="D8176">
        <v>0</v>
      </c>
      <c r="E8176" t="s">
        <v>50977</v>
      </c>
      <c r="F8176" t="s">
        <v>50978</v>
      </c>
      <c r="G8176" t="s">
        <v>50979</v>
      </c>
      <c r="H8176" t="s">
        <v>50980</v>
      </c>
      <c r="I8176" t="s">
        <v>50981</v>
      </c>
      <c r="J8176" t="s">
        <v>50982</v>
      </c>
      <c r="K8176" t="s">
        <v>50983</v>
      </c>
      <c r="L8176" t="s">
        <v>50976</v>
      </c>
    </row>
    <row r="8177" spans="1:12" x14ac:dyDescent="0.25">
      <c r="A8177">
        <v>1363598</v>
      </c>
      <c r="B8177">
        <v>1363644</v>
      </c>
      <c r="D8177">
        <v>0</v>
      </c>
      <c r="E8177" t="s">
        <v>50985</v>
      </c>
      <c r="F8177" t="s">
        <v>50986</v>
      </c>
      <c r="G8177" t="s">
        <v>50987</v>
      </c>
      <c r="H8177" t="s">
        <v>50988</v>
      </c>
      <c r="I8177" t="s">
        <v>50989</v>
      </c>
      <c r="J8177" t="s">
        <v>50990</v>
      </c>
      <c r="K8177" t="s">
        <v>50991</v>
      </c>
      <c r="L8177" t="s">
        <v>50984</v>
      </c>
    </row>
    <row r="8178" spans="1:12" x14ac:dyDescent="0.25">
      <c r="A8178">
        <v>1363598</v>
      </c>
      <c r="B8178">
        <v>1807729</v>
      </c>
      <c r="D8178">
        <v>0</v>
      </c>
      <c r="F8178">
        <v>2086980</v>
      </c>
      <c r="G8178">
        <v>1363598</v>
      </c>
      <c r="H8178" t="e" vm="3525">
        <f>_FV(0,"449")</f>
        <v>#VALUE!</v>
      </c>
      <c r="I8178">
        <v>1807729</v>
      </c>
      <c r="J8178" t="s">
        <v>50992</v>
      </c>
      <c r="K8178" t="s">
        <v>50993</v>
      </c>
      <c r="L8178" t="e" vm="3525">
        <f>_FV(0,"449")</f>
        <v>#VALUE!</v>
      </c>
    </row>
    <row r="8179" spans="1:12" x14ac:dyDescent="0.25">
      <c r="A8179">
        <v>1363657</v>
      </c>
      <c r="B8179">
        <v>1363664</v>
      </c>
      <c r="D8179">
        <v>0</v>
      </c>
      <c r="E8179" t="s">
        <v>50995</v>
      </c>
      <c r="F8179" t="s">
        <v>50996</v>
      </c>
      <c r="G8179" t="s">
        <v>50997</v>
      </c>
      <c r="H8179" t="s">
        <v>50998</v>
      </c>
      <c r="I8179" t="s">
        <v>50999</v>
      </c>
      <c r="J8179" t="s">
        <v>51000</v>
      </c>
      <c r="K8179" t="s">
        <v>51001</v>
      </c>
      <c r="L8179" t="s">
        <v>50994</v>
      </c>
    </row>
    <row r="8180" spans="1:12" x14ac:dyDescent="0.25">
      <c r="A8180">
        <v>1363672</v>
      </c>
      <c r="B8180">
        <v>1364887</v>
      </c>
      <c r="D8180">
        <v>0</v>
      </c>
      <c r="E8180" t="s">
        <v>51003</v>
      </c>
      <c r="F8180" t="s">
        <v>51004</v>
      </c>
      <c r="G8180" t="s">
        <v>51005</v>
      </c>
      <c r="H8180" t="s">
        <v>51006</v>
      </c>
      <c r="I8180" t="s">
        <v>51007</v>
      </c>
      <c r="J8180" t="s">
        <v>51002</v>
      </c>
      <c r="K8180" t="s">
        <v>51008</v>
      </c>
      <c r="L8180" t="s">
        <v>51002</v>
      </c>
    </row>
    <row r="8181" spans="1:12" x14ac:dyDescent="0.25">
      <c r="A8181">
        <v>1363690</v>
      </c>
      <c r="B8181">
        <v>1364868</v>
      </c>
      <c r="D8181">
        <v>0</v>
      </c>
      <c r="E8181" t="s">
        <v>51010</v>
      </c>
      <c r="F8181" t="s">
        <v>51011</v>
      </c>
      <c r="G8181" t="s">
        <v>51012</v>
      </c>
      <c r="H8181" t="e" vm="3526">
        <f>_FV(0,"009653203596605195")</f>
        <v>#VALUE!</v>
      </c>
      <c r="I8181" t="s">
        <v>51013</v>
      </c>
      <c r="J8181" t="s">
        <v>51014</v>
      </c>
      <c r="K8181" t="s">
        <v>51015</v>
      </c>
      <c r="L8181" t="s">
        <v>51009</v>
      </c>
    </row>
    <row r="8182" spans="1:12" x14ac:dyDescent="0.25">
      <c r="A8182">
        <v>1363745</v>
      </c>
      <c r="B8182">
        <v>1364700</v>
      </c>
      <c r="C8182" t="s">
        <v>51017</v>
      </c>
      <c r="D8182">
        <v>0</v>
      </c>
      <c r="E8182" t="s">
        <v>51018</v>
      </c>
      <c r="F8182" t="s">
        <v>51019</v>
      </c>
      <c r="G8182" t="s">
        <v>51020</v>
      </c>
      <c r="H8182" t="s">
        <v>51021</v>
      </c>
      <c r="I8182" t="s">
        <v>51022</v>
      </c>
      <c r="J8182" t="s">
        <v>51023</v>
      </c>
      <c r="K8182" t="s">
        <v>51024</v>
      </c>
      <c r="L8182" t="s">
        <v>51016</v>
      </c>
    </row>
    <row r="8183" spans="1:12" x14ac:dyDescent="0.25">
      <c r="A8183">
        <v>1363745</v>
      </c>
      <c r="B8183">
        <v>1363794</v>
      </c>
      <c r="D8183">
        <v>0</v>
      </c>
      <c r="E8183" t="s">
        <v>51026</v>
      </c>
      <c r="F8183" t="s">
        <v>51027</v>
      </c>
      <c r="G8183" t="s">
        <v>51028</v>
      </c>
      <c r="H8183" t="s">
        <v>51029</v>
      </c>
      <c r="I8183" t="s">
        <v>51030</v>
      </c>
      <c r="J8183" t="s">
        <v>51025</v>
      </c>
      <c r="K8183" t="s">
        <v>51031</v>
      </c>
      <c r="L8183" t="s">
        <v>51025</v>
      </c>
    </row>
    <row r="8184" spans="1:12" x14ac:dyDescent="0.25">
      <c r="A8184">
        <v>1363792</v>
      </c>
      <c r="B8184">
        <v>1363149</v>
      </c>
      <c r="D8184">
        <v>0</v>
      </c>
      <c r="E8184" t="s">
        <v>51033</v>
      </c>
      <c r="F8184" t="s">
        <v>51034</v>
      </c>
      <c r="G8184" t="s">
        <v>51035</v>
      </c>
      <c r="H8184" t="s">
        <v>51036</v>
      </c>
      <c r="I8184" t="s">
        <v>51037</v>
      </c>
      <c r="J8184" t="s">
        <v>51032</v>
      </c>
      <c r="K8184" t="s">
        <v>51038</v>
      </c>
      <c r="L8184" t="s">
        <v>51032</v>
      </c>
    </row>
    <row r="8185" spans="1:12" x14ac:dyDescent="0.25">
      <c r="A8185">
        <v>1363792</v>
      </c>
      <c r="B8185">
        <v>1363169</v>
      </c>
      <c r="D8185">
        <v>0</v>
      </c>
      <c r="E8185" t="s">
        <v>51040</v>
      </c>
      <c r="F8185" t="s">
        <v>51041</v>
      </c>
      <c r="G8185" t="s">
        <v>51042</v>
      </c>
      <c r="H8185" t="s">
        <v>51043</v>
      </c>
      <c r="I8185" t="s">
        <v>51044</v>
      </c>
      <c r="J8185" t="s">
        <v>51039</v>
      </c>
      <c r="K8185" t="s">
        <v>51045</v>
      </c>
      <c r="L8185" t="s">
        <v>51039</v>
      </c>
    </row>
    <row r="8186" spans="1:12" x14ac:dyDescent="0.25">
      <c r="A8186">
        <v>1363807</v>
      </c>
      <c r="B8186">
        <v>1364713</v>
      </c>
      <c r="D8186" t="s">
        <v>51047</v>
      </c>
      <c r="E8186" t="s">
        <v>51048</v>
      </c>
      <c r="F8186" t="s">
        <v>51049</v>
      </c>
      <c r="G8186" t="s">
        <v>51050</v>
      </c>
      <c r="H8186" t="e" vm="3527">
        <f>_FV(0,"0027218948284118715")</f>
        <v>#VALUE!</v>
      </c>
      <c r="I8186" t="s">
        <v>51051</v>
      </c>
      <c r="J8186" t="s">
        <v>51052</v>
      </c>
      <c r="K8186" t="s">
        <v>51053</v>
      </c>
      <c r="L8186" t="s">
        <v>51046</v>
      </c>
    </row>
    <row r="8187" spans="1:12" x14ac:dyDescent="0.25">
      <c r="A8187">
        <v>1363807</v>
      </c>
      <c r="B8187">
        <v>1364700</v>
      </c>
      <c r="D8187">
        <v>0</v>
      </c>
      <c r="E8187" t="s">
        <v>51055</v>
      </c>
      <c r="F8187" t="s">
        <v>51056</v>
      </c>
      <c r="G8187" t="s">
        <v>51057</v>
      </c>
      <c r="H8187" t="e" vm="3528">
        <f>_FV(-2,"5565259343052764e")-5</f>
        <v>#VALUE!</v>
      </c>
      <c r="I8187" t="s">
        <v>51058</v>
      </c>
      <c r="J8187" t="s">
        <v>51059</v>
      </c>
      <c r="K8187" t="s">
        <v>51060</v>
      </c>
      <c r="L8187" t="s">
        <v>51054</v>
      </c>
    </row>
    <row r="8188" spans="1:12" x14ac:dyDescent="0.25">
      <c r="A8188">
        <v>1364713</v>
      </c>
      <c r="B8188">
        <v>1364730</v>
      </c>
      <c r="D8188">
        <v>0</v>
      </c>
      <c r="E8188" t="s">
        <v>51062</v>
      </c>
      <c r="F8188" t="s">
        <v>51063</v>
      </c>
      <c r="G8188" t="s">
        <v>51064</v>
      </c>
      <c r="H8188" t="e" vm="3529">
        <f>_FV(0,"009101914797199588")</f>
        <v>#VALUE!</v>
      </c>
      <c r="I8188" t="s">
        <v>51065</v>
      </c>
      <c r="J8188" t="s">
        <v>51066</v>
      </c>
      <c r="K8188" t="s">
        <v>51067</v>
      </c>
      <c r="L8188" t="s">
        <v>51061</v>
      </c>
    </row>
    <row r="8189" spans="1:12" x14ac:dyDescent="0.25">
      <c r="A8189">
        <v>1364787</v>
      </c>
      <c r="B8189">
        <v>1388481</v>
      </c>
      <c r="D8189">
        <v>0</v>
      </c>
      <c r="E8189" t="s">
        <v>51069</v>
      </c>
      <c r="F8189" t="s">
        <v>51070</v>
      </c>
      <c r="G8189" t="s">
        <v>51071</v>
      </c>
      <c r="H8189" t="e" vm="3530">
        <f>_FV(0,"004724683698678801")</f>
        <v>#VALUE!</v>
      </c>
      <c r="I8189" t="s">
        <v>51072</v>
      </c>
      <c r="J8189" t="s">
        <v>51073</v>
      </c>
      <c r="K8189" t="s">
        <v>51074</v>
      </c>
      <c r="L8189" t="s">
        <v>51068</v>
      </c>
    </row>
    <row r="8190" spans="1:12" x14ac:dyDescent="0.25">
      <c r="A8190">
        <v>1364822</v>
      </c>
      <c r="B8190">
        <v>1386221</v>
      </c>
      <c r="D8190">
        <v>0</v>
      </c>
      <c r="E8190" t="s">
        <v>51076</v>
      </c>
      <c r="F8190" t="s">
        <v>51077</v>
      </c>
      <c r="G8190" t="s">
        <v>51078</v>
      </c>
      <c r="H8190" t="e" vm="3531">
        <f>_FV(0,"00256731590671436")</f>
        <v>#VALUE!</v>
      </c>
      <c r="I8190" t="s">
        <v>51079</v>
      </c>
      <c r="J8190" t="s">
        <v>50041</v>
      </c>
      <c r="K8190" t="s">
        <v>51080</v>
      </c>
      <c r="L8190" t="s">
        <v>51075</v>
      </c>
    </row>
    <row r="8191" spans="1:12" x14ac:dyDescent="0.25">
      <c r="A8191">
        <v>1364868</v>
      </c>
      <c r="B8191">
        <v>1364887</v>
      </c>
      <c r="C8191" t="s">
        <v>51082</v>
      </c>
      <c r="D8191" t="s">
        <v>6367</v>
      </c>
      <c r="E8191" t="s">
        <v>51083</v>
      </c>
      <c r="F8191" t="s">
        <v>51084</v>
      </c>
      <c r="G8191" t="s">
        <v>51085</v>
      </c>
      <c r="H8191" t="e" vm="3532">
        <f>_FV(0,"006973089354854495")</f>
        <v>#VALUE!</v>
      </c>
      <c r="I8191" t="s">
        <v>51086</v>
      </c>
      <c r="J8191" t="s">
        <v>51087</v>
      </c>
      <c r="K8191" t="s">
        <v>51088</v>
      </c>
      <c r="L8191" t="s">
        <v>51081</v>
      </c>
    </row>
    <row r="8192" spans="1:12" x14ac:dyDescent="0.25">
      <c r="A8192">
        <v>1364901</v>
      </c>
      <c r="B8192">
        <v>1390053</v>
      </c>
      <c r="D8192">
        <v>0</v>
      </c>
      <c r="F8192">
        <v>1538160</v>
      </c>
      <c r="G8192">
        <v>1390053</v>
      </c>
      <c r="H8192" t="s">
        <v>1534</v>
      </c>
      <c r="I8192">
        <v>1364901</v>
      </c>
      <c r="J8192" t="s">
        <v>1534</v>
      </c>
      <c r="K8192" t="s">
        <v>51089</v>
      </c>
      <c r="L8192" t="s">
        <v>1534</v>
      </c>
    </row>
    <row r="8193" spans="1:12" x14ac:dyDescent="0.25">
      <c r="A8193">
        <v>1364909</v>
      </c>
      <c r="B8193">
        <v>1364924</v>
      </c>
      <c r="D8193">
        <v>0</v>
      </c>
      <c r="E8193" t="s">
        <v>51091</v>
      </c>
      <c r="F8193" t="s">
        <v>51092</v>
      </c>
      <c r="G8193" t="s">
        <v>51093</v>
      </c>
      <c r="H8193" t="e" vm="3533">
        <f>_FV(0,"01170313440653507")</f>
        <v>#VALUE!</v>
      </c>
      <c r="I8193" t="s">
        <v>51094</v>
      </c>
      <c r="J8193" t="s">
        <v>51095</v>
      </c>
      <c r="K8193" t="s">
        <v>51096</v>
      </c>
      <c r="L8193" t="s">
        <v>51090</v>
      </c>
    </row>
    <row r="8194" spans="1:12" x14ac:dyDescent="0.25">
      <c r="A8194">
        <v>1364909</v>
      </c>
      <c r="B8194">
        <v>1406400</v>
      </c>
      <c r="D8194">
        <v>0</v>
      </c>
      <c r="E8194" t="s">
        <v>51098</v>
      </c>
      <c r="F8194" t="s">
        <v>51099</v>
      </c>
      <c r="G8194" t="s">
        <v>51100</v>
      </c>
      <c r="H8194" t="e" vm="3534">
        <f>_FV(0,"005980566614589465")</f>
        <v>#VALUE!</v>
      </c>
      <c r="I8194" t="s">
        <v>51101</v>
      </c>
      <c r="J8194" t="s">
        <v>51102</v>
      </c>
      <c r="K8194" t="s">
        <v>51103</v>
      </c>
      <c r="L8194" t="s">
        <v>51097</v>
      </c>
    </row>
    <row r="8195" spans="1:12" x14ac:dyDescent="0.25">
      <c r="A8195">
        <v>1364924</v>
      </c>
      <c r="B8195">
        <v>1365009</v>
      </c>
      <c r="D8195" t="s">
        <v>51105</v>
      </c>
      <c r="E8195" t="s">
        <v>51106</v>
      </c>
      <c r="F8195" t="s">
        <v>51107</v>
      </c>
      <c r="G8195" t="s">
        <v>51108</v>
      </c>
      <c r="H8195" t="s">
        <v>51109</v>
      </c>
      <c r="I8195" t="s">
        <v>51110</v>
      </c>
      <c r="J8195" t="s">
        <v>51111</v>
      </c>
      <c r="K8195" t="s">
        <v>51112</v>
      </c>
      <c r="L8195" t="s">
        <v>51104</v>
      </c>
    </row>
    <row r="8196" spans="1:12" x14ac:dyDescent="0.25">
      <c r="A8196">
        <v>1365009</v>
      </c>
      <c r="B8196">
        <v>1365023</v>
      </c>
      <c r="D8196">
        <v>0</v>
      </c>
      <c r="E8196" t="s">
        <v>51114</v>
      </c>
      <c r="F8196" t="s">
        <v>51115</v>
      </c>
      <c r="G8196" t="s">
        <v>51116</v>
      </c>
      <c r="H8196" t="s">
        <v>51117</v>
      </c>
      <c r="I8196" t="s">
        <v>51118</v>
      </c>
      <c r="J8196" t="s">
        <v>51119</v>
      </c>
      <c r="K8196" t="s">
        <v>51120</v>
      </c>
      <c r="L8196" t="s">
        <v>51113</v>
      </c>
    </row>
    <row r="8197" spans="1:12" x14ac:dyDescent="0.25">
      <c r="A8197">
        <v>1365023</v>
      </c>
      <c r="B8197">
        <v>1406676</v>
      </c>
      <c r="C8197" t="s">
        <v>51122</v>
      </c>
      <c r="D8197">
        <v>0</v>
      </c>
      <c r="E8197" t="s">
        <v>51123</v>
      </c>
      <c r="F8197" t="s">
        <v>51124</v>
      </c>
      <c r="G8197" t="s">
        <v>51125</v>
      </c>
      <c r="H8197" t="e" vm="3535">
        <f>_FV(0,"006173431493995416")</f>
        <v>#VALUE!</v>
      </c>
      <c r="I8197" t="s">
        <v>51126</v>
      </c>
      <c r="J8197" t="s">
        <v>51127</v>
      </c>
      <c r="K8197" t="s">
        <v>51128</v>
      </c>
      <c r="L8197" t="s">
        <v>51121</v>
      </c>
    </row>
    <row r="8198" spans="1:12" x14ac:dyDescent="0.25">
      <c r="A8198">
        <v>1365121</v>
      </c>
      <c r="B8198">
        <v>1365133</v>
      </c>
      <c r="D8198">
        <v>0</v>
      </c>
      <c r="E8198" t="s">
        <v>51129</v>
      </c>
      <c r="F8198" t="s">
        <v>51130</v>
      </c>
      <c r="G8198" t="s">
        <v>51131</v>
      </c>
      <c r="H8198" t="s">
        <v>51132</v>
      </c>
      <c r="I8198" t="s">
        <v>51133</v>
      </c>
      <c r="J8198" t="s">
        <v>48504</v>
      </c>
      <c r="K8198" t="s">
        <v>51134</v>
      </c>
      <c r="L8198" t="s">
        <v>48504</v>
      </c>
    </row>
    <row r="8199" spans="1:12" x14ac:dyDescent="0.25">
      <c r="A8199">
        <v>1365121</v>
      </c>
      <c r="B8199">
        <v>1370379</v>
      </c>
      <c r="D8199">
        <v>0</v>
      </c>
      <c r="E8199" t="s">
        <v>51135</v>
      </c>
      <c r="F8199" t="s">
        <v>51136</v>
      </c>
      <c r="G8199" t="s">
        <v>51137</v>
      </c>
      <c r="H8199" t="s">
        <v>51138</v>
      </c>
      <c r="I8199" t="s">
        <v>51139</v>
      </c>
      <c r="J8199" t="s">
        <v>23437</v>
      </c>
      <c r="K8199" t="s">
        <v>51140</v>
      </c>
      <c r="L8199" t="s">
        <v>23437</v>
      </c>
    </row>
    <row r="8200" spans="1:12" x14ac:dyDescent="0.25">
      <c r="A8200">
        <v>1365133</v>
      </c>
      <c r="B8200">
        <v>1370379</v>
      </c>
      <c r="D8200">
        <v>0</v>
      </c>
      <c r="E8200" t="s">
        <v>51142</v>
      </c>
      <c r="F8200" t="s">
        <v>51143</v>
      </c>
      <c r="G8200" t="s">
        <v>51144</v>
      </c>
      <c r="H8200" t="s">
        <v>51145</v>
      </c>
      <c r="I8200" t="s">
        <v>51146</v>
      </c>
      <c r="J8200" t="s">
        <v>4021</v>
      </c>
      <c r="K8200" t="s">
        <v>51147</v>
      </c>
      <c r="L8200" t="s">
        <v>51141</v>
      </c>
    </row>
    <row r="8201" spans="1:12" x14ac:dyDescent="0.25">
      <c r="A8201">
        <v>1365501</v>
      </c>
      <c r="B8201">
        <v>1365544</v>
      </c>
      <c r="D8201" t="s">
        <v>17470</v>
      </c>
      <c r="E8201" t="s">
        <v>51149</v>
      </c>
      <c r="F8201" t="s">
        <v>51150</v>
      </c>
      <c r="G8201" t="s">
        <v>51151</v>
      </c>
      <c r="H8201" t="s">
        <v>51152</v>
      </c>
      <c r="I8201" t="s">
        <v>51153</v>
      </c>
      <c r="J8201" t="s">
        <v>51154</v>
      </c>
      <c r="K8201" t="s">
        <v>51155</v>
      </c>
      <c r="L8201" t="s">
        <v>51148</v>
      </c>
    </row>
    <row r="8202" spans="1:12" x14ac:dyDescent="0.25">
      <c r="A8202">
        <v>1365501</v>
      </c>
      <c r="B8202">
        <v>1371041</v>
      </c>
      <c r="D8202">
        <v>0</v>
      </c>
      <c r="E8202" t="s">
        <v>51157</v>
      </c>
      <c r="F8202" t="s">
        <v>51158</v>
      </c>
      <c r="G8202" t="s">
        <v>51159</v>
      </c>
      <c r="H8202" t="s">
        <v>51160</v>
      </c>
      <c r="I8202" t="s">
        <v>51161</v>
      </c>
      <c r="J8202" t="s">
        <v>8840</v>
      </c>
      <c r="K8202" t="s">
        <v>51162</v>
      </c>
      <c r="L8202" t="s">
        <v>51156</v>
      </c>
    </row>
    <row r="8203" spans="1:12" x14ac:dyDescent="0.25">
      <c r="A8203">
        <v>1365544</v>
      </c>
      <c r="B8203">
        <v>1371092</v>
      </c>
      <c r="D8203">
        <v>0</v>
      </c>
      <c r="E8203" t="s">
        <v>51164</v>
      </c>
      <c r="F8203" t="s">
        <v>51165</v>
      </c>
      <c r="G8203" t="s">
        <v>51166</v>
      </c>
      <c r="H8203" t="s">
        <v>51167</v>
      </c>
      <c r="I8203" t="s">
        <v>51168</v>
      </c>
      <c r="J8203" t="s">
        <v>51163</v>
      </c>
      <c r="K8203" t="s">
        <v>51169</v>
      </c>
      <c r="L8203" t="s">
        <v>51163</v>
      </c>
    </row>
    <row r="8204" spans="1:12" x14ac:dyDescent="0.25">
      <c r="A8204">
        <v>1365576</v>
      </c>
      <c r="B8204">
        <v>1365600</v>
      </c>
      <c r="D8204">
        <v>0</v>
      </c>
      <c r="E8204" t="s">
        <v>51171</v>
      </c>
      <c r="F8204" t="s">
        <v>51172</v>
      </c>
      <c r="G8204" t="s">
        <v>51173</v>
      </c>
      <c r="H8204" t="e" vm="3536">
        <f>_FV(0,"007630392655718678")</f>
        <v>#VALUE!</v>
      </c>
      <c r="I8204" t="s">
        <v>51174</v>
      </c>
      <c r="J8204" t="s">
        <v>51175</v>
      </c>
      <c r="K8204" t="s">
        <v>51176</v>
      </c>
      <c r="L8204" t="s">
        <v>51170</v>
      </c>
    </row>
    <row r="8205" spans="1:12" x14ac:dyDescent="0.25">
      <c r="A8205">
        <v>1365576</v>
      </c>
      <c r="B8205">
        <v>1367557</v>
      </c>
      <c r="D8205">
        <v>0</v>
      </c>
      <c r="E8205" t="s">
        <v>51178</v>
      </c>
      <c r="F8205" t="s">
        <v>51179</v>
      </c>
      <c r="G8205" t="s">
        <v>51180</v>
      </c>
      <c r="H8205" t="e" vm="3537">
        <f>_FV(0,"01384423322393389")</f>
        <v>#VALUE!</v>
      </c>
      <c r="I8205" t="s">
        <v>51181</v>
      </c>
      <c r="J8205" t="s">
        <v>51182</v>
      </c>
      <c r="K8205" t="s">
        <v>51183</v>
      </c>
      <c r="L8205" t="s">
        <v>51177</v>
      </c>
    </row>
    <row r="8206" spans="1:12" x14ac:dyDescent="0.25">
      <c r="A8206">
        <v>1365585</v>
      </c>
      <c r="B8206">
        <v>1365610</v>
      </c>
      <c r="D8206">
        <v>0</v>
      </c>
      <c r="E8206" t="s">
        <v>51185</v>
      </c>
      <c r="F8206" t="s">
        <v>51186</v>
      </c>
      <c r="G8206" t="s">
        <v>51187</v>
      </c>
      <c r="H8206" t="s">
        <v>51188</v>
      </c>
      <c r="I8206" t="s">
        <v>51189</v>
      </c>
      <c r="J8206" t="s">
        <v>51190</v>
      </c>
      <c r="K8206" t="s">
        <v>51191</v>
      </c>
      <c r="L8206" t="s">
        <v>51184</v>
      </c>
    </row>
    <row r="8207" spans="1:12" x14ac:dyDescent="0.25">
      <c r="A8207">
        <v>1365585</v>
      </c>
      <c r="B8207">
        <v>1367076</v>
      </c>
      <c r="D8207">
        <v>0</v>
      </c>
      <c r="E8207" t="s">
        <v>51193</v>
      </c>
      <c r="F8207" t="s">
        <v>51194</v>
      </c>
      <c r="G8207" t="s">
        <v>51195</v>
      </c>
      <c r="H8207" t="e" vm="3538">
        <f>_FV(0,"0015352444831330265")</f>
        <v>#VALUE!</v>
      </c>
      <c r="I8207" t="s">
        <v>51196</v>
      </c>
      <c r="J8207" t="s">
        <v>51197</v>
      </c>
      <c r="K8207" t="s">
        <v>51198</v>
      </c>
      <c r="L8207" t="s">
        <v>51192</v>
      </c>
    </row>
    <row r="8208" spans="1:12" x14ac:dyDescent="0.25">
      <c r="A8208">
        <v>1365610</v>
      </c>
      <c r="B8208">
        <v>1365628</v>
      </c>
      <c r="D8208">
        <v>0</v>
      </c>
      <c r="E8208" t="s">
        <v>51200</v>
      </c>
      <c r="F8208" t="s">
        <v>51201</v>
      </c>
      <c r="G8208" t="s">
        <v>51202</v>
      </c>
      <c r="H8208" t="e" vm="3539">
        <f>_FV(0,"0009002422570162399")</f>
        <v>#VALUE!</v>
      </c>
      <c r="I8208" t="s">
        <v>51203</v>
      </c>
      <c r="J8208" t="s">
        <v>51204</v>
      </c>
      <c r="K8208" t="s">
        <v>51205</v>
      </c>
      <c r="L8208" t="s">
        <v>51199</v>
      </c>
    </row>
    <row r="8209" spans="1:12" x14ac:dyDescent="0.25">
      <c r="A8209">
        <v>1365628</v>
      </c>
      <c r="B8209">
        <v>1365636</v>
      </c>
      <c r="D8209">
        <v>0</v>
      </c>
      <c r="E8209" t="s">
        <v>51207</v>
      </c>
      <c r="F8209" t="s">
        <v>51208</v>
      </c>
      <c r="G8209" t="s">
        <v>51209</v>
      </c>
      <c r="H8209" t="s">
        <v>51210</v>
      </c>
      <c r="I8209" t="s">
        <v>51211</v>
      </c>
      <c r="J8209" t="s">
        <v>51212</v>
      </c>
      <c r="K8209" t="s">
        <v>51213</v>
      </c>
      <c r="L8209" t="s">
        <v>51206</v>
      </c>
    </row>
    <row r="8210" spans="1:12" x14ac:dyDescent="0.25">
      <c r="A8210">
        <v>1365636</v>
      </c>
      <c r="B8210">
        <v>1365668</v>
      </c>
      <c r="D8210">
        <v>0</v>
      </c>
      <c r="E8210" t="s">
        <v>51215</v>
      </c>
      <c r="F8210" t="s">
        <v>51216</v>
      </c>
      <c r="G8210" t="s">
        <v>51217</v>
      </c>
      <c r="H8210" t="e" vm="3540">
        <f>_FV(0,"004780083704208754")</f>
        <v>#VALUE!</v>
      </c>
      <c r="I8210" t="s">
        <v>51218</v>
      </c>
      <c r="J8210" t="s">
        <v>51219</v>
      </c>
      <c r="K8210" t="s">
        <v>51220</v>
      </c>
      <c r="L8210" t="s">
        <v>51214</v>
      </c>
    </row>
    <row r="8211" spans="1:12" x14ac:dyDescent="0.25">
      <c r="A8211">
        <v>1365666</v>
      </c>
      <c r="B8211">
        <v>1365675</v>
      </c>
      <c r="D8211">
        <v>0</v>
      </c>
      <c r="E8211" t="s">
        <v>51222</v>
      </c>
      <c r="F8211" t="s">
        <v>51223</v>
      </c>
      <c r="G8211" t="s">
        <v>51224</v>
      </c>
      <c r="H8211" t="s">
        <v>51225</v>
      </c>
      <c r="I8211" t="s">
        <v>51226</v>
      </c>
      <c r="J8211" t="s">
        <v>51227</v>
      </c>
      <c r="K8211" t="s">
        <v>51228</v>
      </c>
      <c r="L8211" t="s">
        <v>51221</v>
      </c>
    </row>
    <row r="8212" spans="1:12" x14ac:dyDescent="0.25">
      <c r="A8212">
        <v>1366887</v>
      </c>
      <c r="B8212">
        <v>1368021</v>
      </c>
      <c r="D8212">
        <v>0</v>
      </c>
      <c r="F8212">
        <v>1512864</v>
      </c>
      <c r="G8212">
        <v>1368021</v>
      </c>
      <c r="H8212" t="e" vm="3541">
        <f>_FV(0,"065")</f>
        <v>#VALUE!</v>
      </c>
      <c r="I8212">
        <v>1366887</v>
      </c>
      <c r="J8212" t="s">
        <v>288</v>
      </c>
      <c r="K8212" t="s">
        <v>51229</v>
      </c>
      <c r="L8212" t="e" vm="3541">
        <f>_FV(0,"065")</f>
        <v>#VALUE!</v>
      </c>
    </row>
    <row r="8213" spans="1:12" x14ac:dyDescent="0.25">
      <c r="A8213">
        <v>1366887</v>
      </c>
      <c r="B8213">
        <v>1366902</v>
      </c>
      <c r="D8213">
        <v>0</v>
      </c>
      <c r="E8213" t="s">
        <v>51231</v>
      </c>
      <c r="F8213" t="s">
        <v>51232</v>
      </c>
      <c r="G8213" t="s">
        <v>51233</v>
      </c>
      <c r="H8213" t="e" vm="3542">
        <f>_FV(0,"0360335964717032")</f>
        <v>#VALUE!</v>
      </c>
      <c r="I8213" t="s">
        <v>51234</v>
      </c>
      <c r="J8213" t="s">
        <v>51235</v>
      </c>
      <c r="K8213" t="s">
        <v>51236</v>
      </c>
      <c r="L8213" t="s">
        <v>51230</v>
      </c>
    </row>
    <row r="8214" spans="1:12" x14ac:dyDescent="0.25">
      <c r="A8214">
        <v>1366902</v>
      </c>
      <c r="B8214">
        <v>1366977</v>
      </c>
      <c r="D8214">
        <v>0</v>
      </c>
      <c r="E8214" t="s">
        <v>51238</v>
      </c>
      <c r="F8214" t="s">
        <v>51239</v>
      </c>
      <c r="G8214" t="s">
        <v>51240</v>
      </c>
      <c r="H8214" t="e" vm="3543">
        <f>_FV(0,"009176300857810356")</f>
        <v>#VALUE!</v>
      </c>
      <c r="I8214" t="s">
        <v>51241</v>
      </c>
      <c r="J8214" t="s">
        <v>51242</v>
      </c>
      <c r="K8214" t="s">
        <v>51243</v>
      </c>
      <c r="L8214" t="s">
        <v>51237</v>
      </c>
    </row>
    <row r="8215" spans="1:12" x14ac:dyDescent="0.25">
      <c r="A8215">
        <v>1366902</v>
      </c>
      <c r="B8215">
        <v>1368021</v>
      </c>
      <c r="D8215">
        <v>0</v>
      </c>
      <c r="F8215">
        <v>1512808</v>
      </c>
      <c r="G8215">
        <v>1366902</v>
      </c>
      <c r="H8215" t="e" vm="87">
        <f>_FV(0,"001")</f>
        <v>#VALUE!</v>
      </c>
      <c r="I8215">
        <v>1368021</v>
      </c>
      <c r="J8215" t="s">
        <v>1333</v>
      </c>
      <c r="K8215" t="s">
        <v>51244</v>
      </c>
      <c r="L8215" t="e" vm="87">
        <f>_FV(0,"001")</f>
        <v>#VALUE!</v>
      </c>
    </row>
    <row r="8216" spans="1:12" x14ac:dyDescent="0.25">
      <c r="A8216">
        <v>1366977</v>
      </c>
      <c r="B8216">
        <v>1367076</v>
      </c>
      <c r="D8216">
        <v>0</v>
      </c>
      <c r="E8216" t="s">
        <v>51246</v>
      </c>
      <c r="F8216" t="s">
        <v>51247</v>
      </c>
      <c r="G8216" t="s">
        <v>51248</v>
      </c>
      <c r="H8216" t="e" vm="3544">
        <f>_FV(0,"010254133650722091")</f>
        <v>#VALUE!</v>
      </c>
      <c r="I8216" t="s">
        <v>51249</v>
      </c>
      <c r="J8216" t="s">
        <v>51250</v>
      </c>
      <c r="K8216" t="s">
        <v>51251</v>
      </c>
      <c r="L8216" t="s">
        <v>51245</v>
      </c>
    </row>
    <row r="8217" spans="1:12" x14ac:dyDescent="0.25">
      <c r="A8217">
        <v>1366977</v>
      </c>
      <c r="B8217">
        <v>1368169</v>
      </c>
      <c r="D8217">
        <v>0</v>
      </c>
      <c r="E8217" t="s">
        <v>51253</v>
      </c>
      <c r="F8217" t="s">
        <v>51254</v>
      </c>
      <c r="G8217" t="s">
        <v>51255</v>
      </c>
      <c r="H8217" t="e" vm="3545">
        <f>_FV(0,"020140278181874294")</f>
        <v>#VALUE!</v>
      </c>
      <c r="I8217" t="s">
        <v>51256</v>
      </c>
      <c r="J8217" t="s">
        <v>51257</v>
      </c>
      <c r="K8217" t="s">
        <v>51258</v>
      </c>
      <c r="L8217" t="s">
        <v>51252</v>
      </c>
    </row>
    <row r="8218" spans="1:12" x14ac:dyDescent="0.25">
      <c r="A8218">
        <v>1367534</v>
      </c>
      <c r="B8218">
        <v>1367541</v>
      </c>
      <c r="D8218">
        <v>0</v>
      </c>
      <c r="E8218" t="s">
        <v>51260</v>
      </c>
      <c r="F8218" t="s">
        <v>51261</v>
      </c>
      <c r="G8218" t="s">
        <v>51262</v>
      </c>
      <c r="H8218" t="e" vm="3546">
        <f>_FV(0,"0206374366913453")</f>
        <v>#VALUE!</v>
      </c>
      <c r="I8218" t="s">
        <v>51263</v>
      </c>
      <c r="J8218" t="s">
        <v>51264</v>
      </c>
      <c r="K8218" t="s">
        <v>51265</v>
      </c>
      <c r="L8218" t="s">
        <v>51259</v>
      </c>
    </row>
    <row r="8219" spans="1:12" x14ac:dyDescent="0.25">
      <c r="A8219">
        <v>1367534</v>
      </c>
      <c r="B8219">
        <v>1368061</v>
      </c>
      <c r="D8219">
        <v>0</v>
      </c>
      <c r="F8219">
        <v>1512953</v>
      </c>
      <c r="G8219">
        <v>1367534</v>
      </c>
      <c r="H8219" t="e" vm="219">
        <f>_FV(0,"026")</f>
        <v>#VALUE!</v>
      </c>
      <c r="I8219">
        <v>1368061</v>
      </c>
      <c r="J8219" t="s">
        <v>2841</v>
      </c>
      <c r="K8219" t="s">
        <v>51266</v>
      </c>
      <c r="L8219" t="e" vm="219">
        <f>_FV(0,"026")</f>
        <v>#VALUE!</v>
      </c>
    </row>
    <row r="8220" spans="1:12" x14ac:dyDescent="0.25">
      <c r="A8220">
        <v>1367541</v>
      </c>
      <c r="B8220">
        <v>1368061</v>
      </c>
      <c r="D8220">
        <v>0</v>
      </c>
      <c r="F8220">
        <v>1512856</v>
      </c>
      <c r="G8220">
        <v>1368061</v>
      </c>
      <c r="H8220" t="s">
        <v>29228</v>
      </c>
      <c r="I8220">
        <v>1367541</v>
      </c>
      <c r="J8220" t="s">
        <v>29228</v>
      </c>
      <c r="K8220" t="s">
        <v>51267</v>
      </c>
      <c r="L8220" t="s">
        <v>29228</v>
      </c>
    </row>
    <row r="8221" spans="1:12" x14ac:dyDescent="0.25">
      <c r="A8221">
        <v>1367541</v>
      </c>
      <c r="B8221">
        <v>1367557</v>
      </c>
      <c r="D8221">
        <v>0</v>
      </c>
      <c r="E8221" t="s">
        <v>51269</v>
      </c>
      <c r="F8221" t="s">
        <v>51270</v>
      </c>
      <c r="G8221" t="s">
        <v>51271</v>
      </c>
      <c r="H8221" t="e" vm="3547">
        <f>_FV(0,"0013843090073166783")</f>
        <v>#VALUE!</v>
      </c>
      <c r="I8221" t="s">
        <v>51272</v>
      </c>
      <c r="J8221" t="s">
        <v>51273</v>
      </c>
      <c r="K8221" t="s">
        <v>51274</v>
      </c>
      <c r="L8221" t="s">
        <v>51268</v>
      </c>
    </row>
    <row r="8222" spans="1:12" x14ac:dyDescent="0.25">
      <c r="A8222">
        <v>1367557</v>
      </c>
      <c r="B8222">
        <v>1388276</v>
      </c>
      <c r="D8222">
        <v>0</v>
      </c>
      <c r="E8222" t="s">
        <v>51276</v>
      </c>
      <c r="F8222" t="s">
        <v>51277</v>
      </c>
      <c r="G8222" t="s">
        <v>51278</v>
      </c>
      <c r="H8222" t="s">
        <v>51279</v>
      </c>
      <c r="I8222" t="s">
        <v>51280</v>
      </c>
      <c r="J8222" t="s">
        <v>51275</v>
      </c>
      <c r="K8222" t="s">
        <v>51281</v>
      </c>
      <c r="L8222" t="s">
        <v>51275</v>
      </c>
    </row>
    <row r="8223" spans="1:12" x14ac:dyDescent="0.25">
      <c r="A8223">
        <v>1368021</v>
      </c>
      <c r="B8223">
        <v>1368075</v>
      </c>
      <c r="D8223">
        <v>0</v>
      </c>
      <c r="E8223" t="s">
        <v>51282</v>
      </c>
      <c r="F8223" t="s">
        <v>51283</v>
      </c>
      <c r="G8223" t="s">
        <v>51284</v>
      </c>
      <c r="H8223" t="e" vm="3548">
        <f>_FV(-3,"666399505979445e")-5</f>
        <v>#VALUE!</v>
      </c>
      <c r="I8223" t="s">
        <v>51285</v>
      </c>
      <c r="J8223" t="s">
        <v>1438</v>
      </c>
      <c r="K8223" t="s">
        <v>51286</v>
      </c>
      <c r="L8223" t="s">
        <v>1433</v>
      </c>
    </row>
    <row r="8224" spans="1:12" x14ac:dyDescent="0.25">
      <c r="A8224">
        <v>1368061</v>
      </c>
      <c r="B8224">
        <v>1388276</v>
      </c>
      <c r="D8224">
        <v>0</v>
      </c>
      <c r="E8224" t="s">
        <v>51288</v>
      </c>
      <c r="F8224" t="s">
        <v>51289</v>
      </c>
      <c r="G8224" t="s">
        <v>51290</v>
      </c>
      <c r="H8224" t="e" vm="3549">
        <f>_FV(0,"0023122295983819016")</f>
        <v>#VALUE!</v>
      </c>
      <c r="I8224" t="s">
        <v>51291</v>
      </c>
      <c r="J8224" t="s">
        <v>51292</v>
      </c>
      <c r="K8224" t="s">
        <v>51293</v>
      </c>
      <c r="L8224" t="s">
        <v>51287</v>
      </c>
    </row>
    <row r="8225" spans="1:12" x14ac:dyDescent="0.25">
      <c r="A8225">
        <v>1368075</v>
      </c>
      <c r="B8225">
        <v>1368091</v>
      </c>
      <c r="D8225">
        <v>0</v>
      </c>
      <c r="E8225" t="s">
        <v>51294</v>
      </c>
      <c r="F8225" t="s">
        <v>51295</v>
      </c>
      <c r="G8225" t="s">
        <v>51296</v>
      </c>
      <c r="H8225" t="s">
        <v>51297</v>
      </c>
      <c r="I8225" t="s">
        <v>51298</v>
      </c>
      <c r="J8225" t="s">
        <v>28248</v>
      </c>
      <c r="K8225" t="s">
        <v>51299</v>
      </c>
      <c r="L8225" t="s">
        <v>28242</v>
      </c>
    </row>
    <row r="8226" spans="1:12" x14ac:dyDescent="0.25">
      <c r="A8226">
        <v>1368091</v>
      </c>
      <c r="B8226">
        <v>1368169</v>
      </c>
      <c r="D8226">
        <v>0</v>
      </c>
      <c r="E8226" t="s">
        <v>51301</v>
      </c>
      <c r="F8226" t="s">
        <v>51302</v>
      </c>
      <c r="G8226" t="s">
        <v>51303</v>
      </c>
      <c r="H8226" t="s">
        <v>51304</v>
      </c>
      <c r="I8226" t="s">
        <v>51305</v>
      </c>
      <c r="J8226" t="s">
        <v>51306</v>
      </c>
      <c r="K8226" t="s">
        <v>51307</v>
      </c>
      <c r="L8226" t="s">
        <v>51300</v>
      </c>
    </row>
    <row r="8227" spans="1:12" x14ac:dyDescent="0.25">
      <c r="A8227">
        <v>1368091</v>
      </c>
      <c r="B8227">
        <v>1388276</v>
      </c>
      <c r="D8227" t="s">
        <v>1119</v>
      </c>
      <c r="E8227" t="s">
        <v>51309</v>
      </c>
      <c r="F8227" t="s">
        <v>51310</v>
      </c>
      <c r="G8227" t="s">
        <v>51311</v>
      </c>
      <c r="H8227" t="e" vm="3550">
        <f>_FV(0,"02436545124964638")</f>
        <v>#VALUE!</v>
      </c>
      <c r="I8227" t="s">
        <v>51312</v>
      </c>
      <c r="J8227" t="s">
        <v>51313</v>
      </c>
      <c r="K8227" t="s">
        <v>51314</v>
      </c>
      <c r="L8227" t="s">
        <v>51308</v>
      </c>
    </row>
    <row r="8228" spans="1:12" x14ac:dyDescent="0.25">
      <c r="A8228">
        <v>1370304</v>
      </c>
      <c r="B8228">
        <v>1370305</v>
      </c>
      <c r="D8228">
        <v>0</v>
      </c>
      <c r="E8228" t="s">
        <v>51316</v>
      </c>
      <c r="F8228" t="s">
        <v>51317</v>
      </c>
      <c r="G8228" t="s">
        <v>51318</v>
      </c>
      <c r="H8228" t="e" vm="3551">
        <f>_FV(0,"010985793377635621")</f>
        <v>#VALUE!</v>
      </c>
      <c r="I8228" t="s">
        <v>51319</v>
      </c>
      <c r="J8228" t="s">
        <v>51320</v>
      </c>
      <c r="K8228" t="s">
        <v>51321</v>
      </c>
      <c r="L8228" t="s">
        <v>51315</v>
      </c>
    </row>
    <row r="8229" spans="1:12" x14ac:dyDescent="0.25">
      <c r="A8229">
        <v>1371041</v>
      </c>
      <c r="B8229">
        <v>1371092</v>
      </c>
      <c r="D8229" t="s">
        <v>19976</v>
      </c>
      <c r="E8229" t="s">
        <v>51323</v>
      </c>
      <c r="F8229" t="s">
        <v>51324</v>
      </c>
      <c r="G8229" t="s">
        <v>51325</v>
      </c>
      <c r="H8229" t="s">
        <v>51326</v>
      </c>
      <c r="I8229" t="s">
        <v>51327</v>
      </c>
      <c r="J8229" t="s">
        <v>51328</v>
      </c>
      <c r="K8229" t="s">
        <v>51329</v>
      </c>
      <c r="L8229" t="s">
        <v>51322</v>
      </c>
    </row>
    <row r="8230" spans="1:12" x14ac:dyDescent="0.25">
      <c r="A8230">
        <v>1378343</v>
      </c>
      <c r="B8230">
        <v>1381277</v>
      </c>
      <c r="D8230">
        <v>0</v>
      </c>
      <c r="F8230">
        <v>1540404</v>
      </c>
      <c r="G8230">
        <v>1381277</v>
      </c>
      <c r="H8230" t="s">
        <v>3767</v>
      </c>
      <c r="I8230">
        <v>1378343</v>
      </c>
      <c r="J8230" t="s">
        <v>3767</v>
      </c>
      <c r="K8230" t="s">
        <v>51330</v>
      </c>
      <c r="L8230" t="s">
        <v>3767</v>
      </c>
    </row>
    <row r="8231" spans="1:12" x14ac:dyDescent="0.25">
      <c r="A8231">
        <v>1378343</v>
      </c>
      <c r="B8231">
        <v>1378367</v>
      </c>
      <c r="D8231">
        <v>0</v>
      </c>
      <c r="E8231" t="s">
        <v>51332</v>
      </c>
      <c r="F8231" t="s">
        <v>51333</v>
      </c>
      <c r="G8231" t="s">
        <v>51334</v>
      </c>
      <c r="H8231" t="e" vm="3552">
        <f>_FV(0,"0903137012901961")</f>
        <v>#VALUE!</v>
      </c>
      <c r="I8231" t="s">
        <v>51335</v>
      </c>
      <c r="J8231" t="s">
        <v>51336</v>
      </c>
      <c r="K8231" t="s">
        <v>51337</v>
      </c>
      <c r="L8231" t="s">
        <v>51331</v>
      </c>
    </row>
    <row r="8232" spans="1:12" x14ac:dyDescent="0.25">
      <c r="A8232">
        <v>1378367</v>
      </c>
      <c r="B8232">
        <v>1378380</v>
      </c>
      <c r="D8232">
        <v>0</v>
      </c>
      <c r="E8232" t="s">
        <v>51339</v>
      </c>
      <c r="F8232" t="s">
        <v>51340</v>
      </c>
      <c r="G8232" t="s">
        <v>51341</v>
      </c>
      <c r="H8232" t="e" vm="3553">
        <f>_FV(0,"03299709783299402")</f>
        <v>#VALUE!</v>
      </c>
      <c r="I8232" t="s">
        <v>51342</v>
      </c>
      <c r="J8232" t="s">
        <v>51343</v>
      </c>
      <c r="K8232" t="s">
        <v>51344</v>
      </c>
      <c r="L8232" t="s">
        <v>51338</v>
      </c>
    </row>
    <row r="8233" spans="1:12" x14ac:dyDescent="0.25">
      <c r="A8233">
        <v>1378367</v>
      </c>
      <c r="B8233">
        <v>1391833</v>
      </c>
      <c r="D8233">
        <v>0</v>
      </c>
      <c r="E8233" t="s">
        <v>51346</v>
      </c>
      <c r="F8233" t="s">
        <v>51347</v>
      </c>
      <c r="G8233" t="s">
        <v>51348</v>
      </c>
      <c r="H8233" t="e" vm="3554">
        <f>_FV(0,"014588862222671872")</f>
        <v>#VALUE!</v>
      </c>
      <c r="I8233" t="s">
        <v>51349</v>
      </c>
      <c r="J8233" t="s">
        <v>51350</v>
      </c>
      <c r="K8233" t="s">
        <v>51351</v>
      </c>
      <c r="L8233" t="s">
        <v>51345</v>
      </c>
    </row>
    <row r="8234" spans="1:12" x14ac:dyDescent="0.25">
      <c r="A8234">
        <v>1379036</v>
      </c>
      <c r="B8234">
        <v>1379046</v>
      </c>
      <c r="D8234">
        <v>0</v>
      </c>
      <c r="F8234">
        <v>1525186</v>
      </c>
      <c r="G8234">
        <v>1379046</v>
      </c>
      <c r="H8234" t="s">
        <v>187</v>
      </c>
      <c r="I8234">
        <v>1379036</v>
      </c>
      <c r="J8234" t="s">
        <v>187</v>
      </c>
      <c r="K8234" t="s">
        <v>51352</v>
      </c>
      <c r="L8234" t="s">
        <v>187</v>
      </c>
    </row>
    <row r="8235" spans="1:12" x14ac:dyDescent="0.25">
      <c r="A8235">
        <v>1379036</v>
      </c>
      <c r="B8235">
        <v>1379415</v>
      </c>
      <c r="D8235">
        <v>0</v>
      </c>
      <c r="E8235" t="s">
        <v>51354</v>
      </c>
      <c r="F8235" t="s">
        <v>51355</v>
      </c>
      <c r="G8235" t="s">
        <v>51356</v>
      </c>
      <c r="H8235" t="e" vm="3555">
        <f>_FV(0,"0036965677912198388")</f>
        <v>#VALUE!</v>
      </c>
      <c r="I8235" t="s">
        <v>51357</v>
      </c>
      <c r="J8235" t="s">
        <v>51358</v>
      </c>
      <c r="K8235" t="s">
        <v>51359</v>
      </c>
      <c r="L8235" t="s">
        <v>51353</v>
      </c>
    </row>
    <row r="8236" spans="1:12" x14ac:dyDescent="0.25">
      <c r="A8236">
        <v>1379046</v>
      </c>
      <c r="B8236">
        <v>1379075</v>
      </c>
      <c r="D8236">
        <v>0</v>
      </c>
      <c r="E8236" t="s">
        <v>51361</v>
      </c>
      <c r="F8236" t="s">
        <v>51362</v>
      </c>
      <c r="G8236" t="s">
        <v>51363</v>
      </c>
      <c r="H8236" t="s">
        <v>51364</v>
      </c>
      <c r="I8236" t="s">
        <v>51365</v>
      </c>
      <c r="J8236" t="s">
        <v>51366</v>
      </c>
      <c r="K8236" t="s">
        <v>51367</v>
      </c>
      <c r="L8236" t="s">
        <v>51360</v>
      </c>
    </row>
    <row r="8237" spans="1:12" x14ac:dyDescent="0.25">
      <c r="A8237">
        <v>1379046</v>
      </c>
      <c r="B8237">
        <v>1379398</v>
      </c>
      <c r="D8237" t="s">
        <v>1875</v>
      </c>
      <c r="E8237" t="s">
        <v>51369</v>
      </c>
      <c r="F8237" t="s">
        <v>51370</v>
      </c>
      <c r="G8237" t="s">
        <v>51371</v>
      </c>
      <c r="H8237" t="s">
        <v>51372</v>
      </c>
      <c r="I8237" t="s">
        <v>51373</v>
      </c>
      <c r="J8237" t="s">
        <v>51374</v>
      </c>
      <c r="K8237" t="s">
        <v>51375</v>
      </c>
      <c r="L8237" t="s">
        <v>51368</v>
      </c>
    </row>
    <row r="8238" spans="1:12" x14ac:dyDescent="0.25">
      <c r="A8238">
        <v>1379075</v>
      </c>
      <c r="B8238">
        <v>1820937</v>
      </c>
      <c r="D8238">
        <v>0</v>
      </c>
      <c r="E8238" t="s">
        <v>51377</v>
      </c>
      <c r="F8238" t="s">
        <v>51378</v>
      </c>
      <c r="G8238" t="s">
        <v>51379</v>
      </c>
      <c r="H8238" t="e" vm="3556">
        <f>_FV(0,"001293993351625256")</f>
        <v>#VALUE!</v>
      </c>
      <c r="I8238" t="s">
        <v>51380</v>
      </c>
      <c r="J8238" t="s">
        <v>51381</v>
      </c>
      <c r="K8238" t="s">
        <v>51382</v>
      </c>
      <c r="L8238" t="s">
        <v>51376</v>
      </c>
    </row>
    <row r="8239" spans="1:12" x14ac:dyDescent="0.25">
      <c r="A8239">
        <v>1379075</v>
      </c>
      <c r="B8239">
        <v>1379517</v>
      </c>
      <c r="D8239" t="s">
        <v>330</v>
      </c>
      <c r="E8239" t="s">
        <v>51384</v>
      </c>
      <c r="F8239" t="s">
        <v>51385</v>
      </c>
      <c r="G8239" t="s">
        <v>51386</v>
      </c>
      <c r="H8239" t="s">
        <v>51387</v>
      </c>
      <c r="I8239" t="s">
        <v>51388</v>
      </c>
      <c r="J8239" t="s">
        <v>51389</v>
      </c>
      <c r="K8239" t="s">
        <v>51390</v>
      </c>
      <c r="L8239" t="s">
        <v>51383</v>
      </c>
    </row>
    <row r="8240" spans="1:12" x14ac:dyDescent="0.25">
      <c r="A8240">
        <v>1379247</v>
      </c>
      <c r="B8240">
        <v>1379248</v>
      </c>
      <c r="D8240">
        <v>0</v>
      </c>
      <c r="F8240">
        <v>1525402</v>
      </c>
      <c r="G8240">
        <v>1379248</v>
      </c>
      <c r="H8240" t="s">
        <v>241</v>
      </c>
      <c r="I8240">
        <v>1379247</v>
      </c>
      <c r="J8240" t="s">
        <v>241</v>
      </c>
      <c r="K8240" t="s">
        <v>51391</v>
      </c>
      <c r="L8240" t="s">
        <v>241</v>
      </c>
    </row>
    <row r="8241" spans="1:12" x14ac:dyDescent="0.25">
      <c r="A8241">
        <v>1379247</v>
      </c>
      <c r="B8241">
        <v>1820460</v>
      </c>
      <c r="D8241">
        <v>0</v>
      </c>
      <c r="E8241" t="s">
        <v>51393</v>
      </c>
      <c r="F8241" t="s">
        <v>51394</v>
      </c>
      <c r="G8241" t="s">
        <v>51395</v>
      </c>
      <c r="H8241" t="e" vm="3557">
        <f>_FV(0,"1632289534143342")</f>
        <v>#VALUE!</v>
      </c>
      <c r="I8241" t="s">
        <v>51396</v>
      </c>
      <c r="J8241" t="s">
        <v>51397</v>
      </c>
      <c r="K8241" t="s">
        <v>51398</v>
      </c>
      <c r="L8241" t="s">
        <v>51392</v>
      </c>
    </row>
    <row r="8242" spans="1:12" x14ac:dyDescent="0.25">
      <c r="A8242">
        <v>1379247</v>
      </c>
      <c r="B8242">
        <v>1820462</v>
      </c>
      <c r="D8242">
        <v>0</v>
      </c>
      <c r="E8242" t="s">
        <v>51400</v>
      </c>
      <c r="F8242" t="s">
        <v>51401</v>
      </c>
      <c r="G8242" t="s">
        <v>51402</v>
      </c>
      <c r="H8242" t="e" vm="3558">
        <f>_FV(0,"15852828171250902")</f>
        <v>#VALUE!</v>
      </c>
      <c r="I8242" t="s">
        <v>51403</v>
      </c>
      <c r="J8242" t="s">
        <v>51404</v>
      </c>
      <c r="K8242" t="s">
        <v>51405</v>
      </c>
      <c r="L8242" t="s">
        <v>51399</v>
      </c>
    </row>
    <row r="8243" spans="1:12" x14ac:dyDescent="0.25">
      <c r="A8243">
        <v>1379248</v>
      </c>
      <c r="B8243">
        <v>1377343</v>
      </c>
      <c r="D8243">
        <v>0</v>
      </c>
      <c r="E8243" t="s">
        <v>51407</v>
      </c>
      <c r="F8243" t="s">
        <v>51408</v>
      </c>
      <c r="G8243" t="s">
        <v>51409</v>
      </c>
      <c r="H8243" t="e" vm="3559">
        <f>_FV(0,"06002844316177518")</f>
        <v>#VALUE!</v>
      </c>
      <c r="I8243" t="s">
        <v>51410</v>
      </c>
      <c r="J8243" t="s">
        <v>51411</v>
      </c>
      <c r="K8243" t="s">
        <v>51412</v>
      </c>
      <c r="L8243" t="s">
        <v>51406</v>
      </c>
    </row>
    <row r="8244" spans="1:12" x14ac:dyDescent="0.25">
      <c r="A8244">
        <v>1379248</v>
      </c>
      <c r="B8244">
        <v>1377331</v>
      </c>
      <c r="D8244">
        <v>0</v>
      </c>
      <c r="E8244" t="s">
        <v>51414</v>
      </c>
      <c r="F8244" t="s">
        <v>51415</v>
      </c>
      <c r="G8244" t="s">
        <v>51416</v>
      </c>
      <c r="H8244" t="e" vm="3560">
        <f>_FV(0,"062475913389766144")</f>
        <v>#VALUE!</v>
      </c>
      <c r="I8244" t="s">
        <v>51417</v>
      </c>
      <c r="J8244" t="s">
        <v>51418</v>
      </c>
      <c r="K8244" t="s">
        <v>51419</v>
      </c>
      <c r="L8244" t="s">
        <v>51413</v>
      </c>
    </row>
    <row r="8245" spans="1:12" x14ac:dyDescent="0.25">
      <c r="A8245">
        <v>1379254</v>
      </c>
      <c r="B8245">
        <v>1379282</v>
      </c>
      <c r="D8245" t="s">
        <v>2793</v>
      </c>
      <c r="E8245" t="s">
        <v>51421</v>
      </c>
      <c r="F8245" t="s">
        <v>51422</v>
      </c>
      <c r="G8245" t="s">
        <v>51423</v>
      </c>
      <c r="H8245" t="s">
        <v>51424</v>
      </c>
      <c r="I8245" t="s">
        <v>51425</v>
      </c>
      <c r="J8245" t="s">
        <v>51426</v>
      </c>
      <c r="K8245" t="s">
        <v>51427</v>
      </c>
      <c r="L8245" t="s">
        <v>51420</v>
      </c>
    </row>
    <row r="8246" spans="1:12" x14ac:dyDescent="0.25">
      <c r="A8246">
        <v>1379254</v>
      </c>
      <c r="B8246">
        <v>1807729</v>
      </c>
      <c r="D8246" t="s">
        <v>330</v>
      </c>
      <c r="E8246" t="s">
        <v>51429</v>
      </c>
      <c r="F8246" t="s">
        <v>51430</v>
      </c>
      <c r="G8246" t="s">
        <v>51431</v>
      </c>
      <c r="H8246" t="s">
        <v>51432</v>
      </c>
      <c r="I8246" t="s">
        <v>51433</v>
      </c>
      <c r="J8246" t="s">
        <v>51428</v>
      </c>
      <c r="K8246" t="s">
        <v>51434</v>
      </c>
      <c r="L8246" t="s">
        <v>51428</v>
      </c>
    </row>
    <row r="8247" spans="1:12" x14ac:dyDescent="0.25">
      <c r="A8247">
        <v>1379254</v>
      </c>
      <c r="B8247">
        <v>1820937</v>
      </c>
      <c r="D8247">
        <v>0</v>
      </c>
      <c r="E8247" t="s">
        <v>51436</v>
      </c>
      <c r="F8247" t="s">
        <v>51437</v>
      </c>
      <c r="G8247" t="s">
        <v>51438</v>
      </c>
      <c r="H8247" t="e" vm="3561">
        <f>_FV(0,"021127780351066692")</f>
        <v>#VALUE!</v>
      </c>
      <c r="I8247" t="s">
        <v>51439</v>
      </c>
      <c r="J8247" t="s">
        <v>51440</v>
      </c>
      <c r="K8247" t="s">
        <v>51441</v>
      </c>
      <c r="L8247" t="s">
        <v>51435</v>
      </c>
    </row>
    <row r="8248" spans="1:12" x14ac:dyDescent="0.25">
      <c r="A8248">
        <v>1379282</v>
      </c>
      <c r="B8248">
        <v>1821039</v>
      </c>
      <c r="D8248">
        <v>0</v>
      </c>
      <c r="E8248" t="s">
        <v>51443</v>
      </c>
      <c r="F8248" t="s">
        <v>51444</v>
      </c>
      <c r="G8248" t="s">
        <v>51445</v>
      </c>
      <c r="H8248" t="e" vm="3562">
        <f>_FV(0,"005674490686793177")</f>
        <v>#VALUE!</v>
      </c>
      <c r="I8248" t="s">
        <v>51446</v>
      </c>
      <c r="J8248" t="s">
        <v>51447</v>
      </c>
      <c r="K8248" t="s">
        <v>51448</v>
      </c>
      <c r="L8248" t="s">
        <v>51442</v>
      </c>
    </row>
    <row r="8249" spans="1:12" x14ac:dyDescent="0.25">
      <c r="A8249">
        <v>1379398</v>
      </c>
      <c r="B8249">
        <v>1379407</v>
      </c>
      <c r="D8249">
        <v>0</v>
      </c>
      <c r="F8249">
        <v>1525594</v>
      </c>
      <c r="G8249">
        <v>1379407</v>
      </c>
      <c r="H8249" t="s">
        <v>761</v>
      </c>
      <c r="I8249">
        <v>1379398</v>
      </c>
      <c r="J8249" t="s">
        <v>761</v>
      </c>
      <c r="K8249" t="s">
        <v>51449</v>
      </c>
      <c r="L8249" t="s">
        <v>761</v>
      </c>
    </row>
    <row r="8250" spans="1:12" x14ac:dyDescent="0.25">
      <c r="A8250">
        <v>1379398</v>
      </c>
      <c r="B8250">
        <v>479774</v>
      </c>
      <c r="C8250" t="s">
        <v>51451</v>
      </c>
      <c r="D8250">
        <v>0</v>
      </c>
      <c r="E8250" t="s">
        <v>51452</v>
      </c>
      <c r="F8250" t="s">
        <v>51453</v>
      </c>
      <c r="G8250" t="s">
        <v>51454</v>
      </c>
      <c r="H8250" t="s">
        <v>51455</v>
      </c>
      <c r="I8250" t="s">
        <v>51456</v>
      </c>
      <c r="J8250" t="s">
        <v>51457</v>
      </c>
      <c r="K8250" t="s">
        <v>51458</v>
      </c>
      <c r="L8250" t="s">
        <v>51450</v>
      </c>
    </row>
    <row r="8251" spans="1:12" x14ac:dyDescent="0.25">
      <c r="A8251">
        <v>1379398</v>
      </c>
      <c r="B8251">
        <v>1379580</v>
      </c>
      <c r="D8251">
        <v>0</v>
      </c>
      <c r="F8251">
        <v>1525954</v>
      </c>
      <c r="G8251">
        <v>1379398</v>
      </c>
      <c r="H8251" t="e" vm="16">
        <f>_FV(0,"007")</f>
        <v>#VALUE!</v>
      </c>
      <c r="I8251">
        <v>1379580</v>
      </c>
      <c r="J8251" t="s">
        <v>226</v>
      </c>
      <c r="K8251" t="s">
        <v>51459</v>
      </c>
      <c r="L8251" t="e" vm="16">
        <f>_FV(0,"007")</f>
        <v>#VALUE!</v>
      </c>
    </row>
    <row r="8252" spans="1:12" x14ac:dyDescent="0.25">
      <c r="A8252">
        <v>1379407</v>
      </c>
      <c r="B8252">
        <v>1379580</v>
      </c>
      <c r="D8252">
        <v>0</v>
      </c>
      <c r="F8252">
        <v>1525802</v>
      </c>
      <c r="G8252">
        <v>1379407</v>
      </c>
      <c r="H8252" t="s">
        <v>1333</v>
      </c>
      <c r="I8252">
        <v>1379580</v>
      </c>
      <c r="J8252" t="s">
        <v>1333</v>
      </c>
      <c r="K8252" t="s">
        <v>51460</v>
      </c>
      <c r="L8252" t="s">
        <v>1333</v>
      </c>
    </row>
    <row r="8253" spans="1:12" x14ac:dyDescent="0.25">
      <c r="A8253">
        <v>1379414</v>
      </c>
      <c r="B8253">
        <v>1379415</v>
      </c>
      <c r="D8253">
        <v>0</v>
      </c>
      <c r="F8253">
        <v>1525602</v>
      </c>
      <c r="G8253">
        <v>1379415</v>
      </c>
      <c r="H8253" t="e" vm="1084">
        <f>_FV(0,"018")</f>
        <v>#VALUE!</v>
      </c>
      <c r="I8253">
        <v>1379414</v>
      </c>
      <c r="J8253" t="s">
        <v>697</v>
      </c>
      <c r="K8253" t="s">
        <v>51461</v>
      </c>
      <c r="L8253" t="e" vm="1084">
        <f>_FV(0,"018")</f>
        <v>#VALUE!</v>
      </c>
    </row>
    <row r="8254" spans="1:12" x14ac:dyDescent="0.25">
      <c r="A8254">
        <v>1379414</v>
      </c>
      <c r="B8254">
        <v>1379517</v>
      </c>
      <c r="D8254">
        <v>0</v>
      </c>
      <c r="F8254">
        <v>1525722</v>
      </c>
      <c r="G8254">
        <v>1379517</v>
      </c>
      <c r="H8254" t="e" vm="201">
        <f>_FV(0,"002")</f>
        <v>#VALUE!</v>
      </c>
      <c r="I8254">
        <v>1379414</v>
      </c>
      <c r="J8254" t="s">
        <v>1534</v>
      </c>
      <c r="K8254" t="s">
        <v>51462</v>
      </c>
      <c r="L8254" t="e" vm="201">
        <f>_FV(0,"002")</f>
        <v>#VALUE!</v>
      </c>
    </row>
    <row r="8255" spans="1:12" x14ac:dyDescent="0.25">
      <c r="A8255">
        <v>1379415</v>
      </c>
      <c r="B8255">
        <v>1379517</v>
      </c>
      <c r="D8255">
        <v>0</v>
      </c>
      <c r="F8255">
        <v>1526058</v>
      </c>
      <c r="G8255">
        <v>1379517</v>
      </c>
      <c r="H8255" t="s">
        <v>4848</v>
      </c>
      <c r="I8255">
        <v>1379415</v>
      </c>
      <c r="J8255" t="s">
        <v>4848</v>
      </c>
      <c r="K8255" t="s">
        <v>51463</v>
      </c>
      <c r="L8255" t="s">
        <v>4848</v>
      </c>
    </row>
    <row r="8256" spans="1:12" x14ac:dyDescent="0.25">
      <c r="A8256">
        <v>1379415</v>
      </c>
      <c r="B8256">
        <v>479789</v>
      </c>
      <c r="C8256" t="s">
        <v>51465</v>
      </c>
      <c r="D8256">
        <v>0</v>
      </c>
      <c r="E8256" t="s">
        <v>51466</v>
      </c>
      <c r="F8256" t="s">
        <v>51467</v>
      </c>
      <c r="G8256" t="s">
        <v>51468</v>
      </c>
      <c r="H8256" t="s">
        <v>51469</v>
      </c>
      <c r="I8256" t="s">
        <v>51470</v>
      </c>
      <c r="J8256" t="s">
        <v>51471</v>
      </c>
      <c r="K8256" t="s">
        <v>51472</v>
      </c>
      <c r="L8256" t="s">
        <v>51464</v>
      </c>
    </row>
    <row r="8257" spans="1:12" x14ac:dyDescent="0.25">
      <c r="A8257">
        <v>1388976</v>
      </c>
      <c r="B8257">
        <v>1357088</v>
      </c>
      <c r="D8257">
        <v>0</v>
      </c>
      <c r="E8257" t="s">
        <v>51474</v>
      </c>
      <c r="F8257" t="s">
        <v>51475</v>
      </c>
      <c r="G8257" t="s">
        <v>51476</v>
      </c>
      <c r="H8257" t="s">
        <v>51477</v>
      </c>
      <c r="I8257" t="s">
        <v>51478</v>
      </c>
      <c r="J8257" t="s">
        <v>51473</v>
      </c>
      <c r="K8257" t="s">
        <v>51479</v>
      </c>
      <c r="L8257" t="s">
        <v>51473</v>
      </c>
    </row>
    <row r="8258" spans="1:12" x14ac:dyDescent="0.25">
      <c r="A8258">
        <v>1389037</v>
      </c>
      <c r="B8258">
        <v>1389176</v>
      </c>
      <c r="D8258" t="s">
        <v>51481</v>
      </c>
      <c r="E8258" t="s">
        <v>51482</v>
      </c>
      <c r="F8258" t="s">
        <v>51483</v>
      </c>
      <c r="G8258" t="s">
        <v>51484</v>
      </c>
      <c r="H8258" t="s">
        <v>51485</v>
      </c>
      <c r="I8258" t="s">
        <v>51486</v>
      </c>
      <c r="J8258" t="s">
        <v>51487</v>
      </c>
      <c r="K8258" t="s">
        <v>51488</v>
      </c>
      <c r="L8258" t="s">
        <v>51480</v>
      </c>
    </row>
    <row r="8259" spans="1:12" x14ac:dyDescent="0.25">
      <c r="A8259">
        <v>1389176</v>
      </c>
      <c r="B8259">
        <v>463799</v>
      </c>
      <c r="D8259">
        <v>0</v>
      </c>
      <c r="F8259">
        <v>2070067</v>
      </c>
      <c r="G8259">
        <v>463799</v>
      </c>
      <c r="H8259" t="e" vm="41">
        <f>_FV(0,"058")</f>
        <v>#VALUE!</v>
      </c>
      <c r="I8259">
        <v>1389176</v>
      </c>
      <c r="J8259" t="s">
        <v>668</v>
      </c>
      <c r="K8259" t="s">
        <v>51489</v>
      </c>
      <c r="L8259" t="e" vm="41">
        <f>_FV(0,"058")</f>
        <v>#VALUE!</v>
      </c>
    </row>
    <row r="8260" spans="1:12" x14ac:dyDescent="0.25">
      <c r="A8260">
        <v>1389176</v>
      </c>
      <c r="B8260">
        <v>1389190</v>
      </c>
      <c r="D8260">
        <v>0</v>
      </c>
      <c r="E8260" t="s">
        <v>51491</v>
      </c>
      <c r="F8260" t="s">
        <v>51492</v>
      </c>
      <c r="G8260" t="s">
        <v>51493</v>
      </c>
      <c r="H8260" t="s">
        <v>51494</v>
      </c>
      <c r="I8260" t="s">
        <v>51495</v>
      </c>
      <c r="J8260" t="s">
        <v>51490</v>
      </c>
      <c r="K8260" t="s">
        <v>51496</v>
      </c>
      <c r="L8260" t="s">
        <v>51490</v>
      </c>
    </row>
    <row r="8261" spans="1:12" x14ac:dyDescent="0.25">
      <c r="A8261">
        <v>1389190</v>
      </c>
      <c r="B8261">
        <v>1389205</v>
      </c>
      <c r="D8261">
        <v>0</v>
      </c>
      <c r="E8261" t="s">
        <v>51498</v>
      </c>
      <c r="F8261" t="s">
        <v>51499</v>
      </c>
      <c r="G8261" t="s">
        <v>51500</v>
      </c>
      <c r="H8261" t="e" vm="3563">
        <f>_FV(0,"008193934037691952")</f>
        <v>#VALUE!</v>
      </c>
      <c r="I8261" t="s">
        <v>51501</v>
      </c>
      <c r="J8261" t="s">
        <v>51502</v>
      </c>
      <c r="K8261" t="s">
        <v>51503</v>
      </c>
      <c r="L8261" t="s">
        <v>51497</v>
      </c>
    </row>
    <row r="8262" spans="1:12" x14ac:dyDescent="0.25">
      <c r="A8262">
        <v>1389190</v>
      </c>
      <c r="B8262">
        <v>463800</v>
      </c>
      <c r="D8262">
        <v>0</v>
      </c>
      <c r="F8262">
        <v>2070075</v>
      </c>
      <c r="G8262">
        <v>1389190</v>
      </c>
      <c r="H8262" t="s">
        <v>170</v>
      </c>
      <c r="I8262">
        <v>463800</v>
      </c>
      <c r="J8262" t="s">
        <v>170</v>
      </c>
      <c r="K8262" t="s">
        <v>51504</v>
      </c>
      <c r="L8262" t="s">
        <v>170</v>
      </c>
    </row>
    <row r="8263" spans="1:12" x14ac:dyDescent="0.25">
      <c r="A8263">
        <v>1390081</v>
      </c>
      <c r="B8263">
        <v>1390107</v>
      </c>
      <c r="D8263" t="s">
        <v>12317</v>
      </c>
      <c r="E8263" t="s">
        <v>51506</v>
      </c>
      <c r="F8263" t="s">
        <v>51507</v>
      </c>
      <c r="G8263" t="s">
        <v>51508</v>
      </c>
      <c r="H8263" t="s">
        <v>51509</v>
      </c>
      <c r="I8263" t="s">
        <v>51510</v>
      </c>
      <c r="J8263" t="s">
        <v>51505</v>
      </c>
      <c r="K8263" t="s">
        <v>51511</v>
      </c>
      <c r="L8263" t="s">
        <v>51505</v>
      </c>
    </row>
    <row r="8264" spans="1:12" x14ac:dyDescent="0.25">
      <c r="A8264">
        <v>1390081</v>
      </c>
      <c r="B8264">
        <v>1390141</v>
      </c>
      <c r="D8264">
        <v>1</v>
      </c>
      <c r="E8264" t="s">
        <v>51513</v>
      </c>
      <c r="F8264" t="s">
        <v>51514</v>
      </c>
      <c r="G8264" t="s">
        <v>51515</v>
      </c>
      <c r="H8264" t="e" vm="3564">
        <f>_FV(0,"07334094065878076")</f>
        <v>#VALUE!</v>
      </c>
      <c r="I8264" t="s">
        <v>51516</v>
      </c>
      <c r="J8264" t="s">
        <v>51517</v>
      </c>
      <c r="K8264" t="s">
        <v>51518</v>
      </c>
      <c r="L8264" t="s">
        <v>51512</v>
      </c>
    </row>
    <row r="8265" spans="1:12" x14ac:dyDescent="0.25">
      <c r="A8265">
        <v>1390081</v>
      </c>
      <c r="B8265">
        <v>1390158</v>
      </c>
      <c r="D8265">
        <v>1</v>
      </c>
      <c r="E8265" t="s">
        <v>51520</v>
      </c>
      <c r="F8265" t="s">
        <v>51521</v>
      </c>
      <c r="G8265" t="s">
        <v>51522</v>
      </c>
      <c r="H8265" t="e" vm="3565">
        <f>_FV(0,"06615880521293248")</f>
        <v>#VALUE!</v>
      </c>
      <c r="I8265" t="s">
        <v>51523</v>
      </c>
      <c r="J8265" t="s">
        <v>51524</v>
      </c>
      <c r="K8265" t="s">
        <v>51525</v>
      </c>
      <c r="L8265" t="s">
        <v>51519</v>
      </c>
    </row>
    <row r="8266" spans="1:12" x14ac:dyDescent="0.25">
      <c r="A8266">
        <v>1390114</v>
      </c>
      <c r="B8266">
        <v>1390141</v>
      </c>
      <c r="D8266">
        <v>0</v>
      </c>
      <c r="E8266" t="s">
        <v>51527</v>
      </c>
      <c r="F8266" t="s">
        <v>51528</v>
      </c>
      <c r="G8266" t="s">
        <v>51529</v>
      </c>
      <c r="H8266" t="e" vm="3566">
        <f>_FV(0,"03225115163791952")</f>
        <v>#VALUE!</v>
      </c>
      <c r="I8266" t="s">
        <v>51530</v>
      </c>
      <c r="J8266" t="s">
        <v>51531</v>
      </c>
      <c r="K8266" t="s">
        <v>51532</v>
      </c>
      <c r="L8266" t="s">
        <v>51526</v>
      </c>
    </row>
    <row r="8267" spans="1:12" x14ac:dyDescent="0.25">
      <c r="A8267">
        <v>1390114</v>
      </c>
      <c r="B8267">
        <v>1390187</v>
      </c>
      <c r="D8267">
        <v>0</v>
      </c>
      <c r="E8267" t="s">
        <v>51534</v>
      </c>
      <c r="F8267" t="s">
        <v>51535</v>
      </c>
      <c r="G8267" t="s">
        <v>51536</v>
      </c>
      <c r="H8267" t="s">
        <v>51537</v>
      </c>
      <c r="I8267" t="s">
        <v>51538</v>
      </c>
      <c r="J8267" t="s">
        <v>51533</v>
      </c>
      <c r="K8267" t="s">
        <v>51539</v>
      </c>
      <c r="L8267" t="s">
        <v>51533</v>
      </c>
    </row>
    <row r="8268" spans="1:12" x14ac:dyDescent="0.25">
      <c r="A8268">
        <v>1390141</v>
      </c>
      <c r="B8268">
        <v>1390158</v>
      </c>
      <c r="D8268">
        <v>0</v>
      </c>
      <c r="E8268" t="s">
        <v>51541</v>
      </c>
      <c r="F8268" t="s">
        <v>51542</v>
      </c>
      <c r="G8268" t="s">
        <v>51543</v>
      </c>
      <c r="H8268" t="e" vm="3567">
        <f>_FV(0,"009503229979742015")</f>
        <v>#VALUE!</v>
      </c>
      <c r="I8268" t="s">
        <v>51544</v>
      </c>
      <c r="J8268" t="s">
        <v>44153</v>
      </c>
      <c r="K8268" t="s">
        <v>51545</v>
      </c>
      <c r="L8268" t="s">
        <v>51540</v>
      </c>
    </row>
    <row r="8269" spans="1:12" x14ac:dyDescent="0.25">
      <c r="A8269">
        <v>1390158</v>
      </c>
      <c r="B8269">
        <v>1390187</v>
      </c>
      <c r="D8269">
        <v>0</v>
      </c>
      <c r="E8269" t="s">
        <v>51547</v>
      </c>
      <c r="F8269" t="s">
        <v>51548</v>
      </c>
      <c r="G8269" t="s">
        <v>51549</v>
      </c>
      <c r="H8269" t="s">
        <v>51550</v>
      </c>
      <c r="I8269" t="s">
        <v>51551</v>
      </c>
      <c r="J8269" t="s">
        <v>51546</v>
      </c>
      <c r="K8269" t="s">
        <v>51552</v>
      </c>
      <c r="L8269" t="s">
        <v>51546</v>
      </c>
    </row>
    <row r="8270" spans="1:12" x14ac:dyDescent="0.25">
      <c r="A8270">
        <v>1391722</v>
      </c>
      <c r="B8270">
        <v>1394062</v>
      </c>
      <c r="D8270" t="s">
        <v>51554</v>
      </c>
      <c r="E8270" t="s">
        <v>51555</v>
      </c>
      <c r="F8270" t="s">
        <v>51556</v>
      </c>
      <c r="G8270" t="s">
        <v>51557</v>
      </c>
      <c r="H8270" t="s">
        <v>51558</v>
      </c>
      <c r="I8270" t="s">
        <v>51559</v>
      </c>
      <c r="J8270" t="s">
        <v>51560</v>
      </c>
      <c r="K8270" t="s">
        <v>51561</v>
      </c>
      <c r="L8270" t="s">
        <v>51553</v>
      </c>
    </row>
    <row r="8271" spans="1:12" x14ac:dyDescent="0.25">
      <c r="A8271">
        <v>1391722</v>
      </c>
      <c r="B8271">
        <v>1393902</v>
      </c>
      <c r="D8271" t="s">
        <v>51563</v>
      </c>
      <c r="E8271" t="s">
        <v>51564</v>
      </c>
      <c r="F8271" t="s">
        <v>51565</v>
      </c>
      <c r="G8271" t="s">
        <v>51566</v>
      </c>
      <c r="H8271" t="e" vm="3568">
        <f>_FV(0,"004750283360539548")</f>
        <v>#VALUE!</v>
      </c>
      <c r="I8271" t="s">
        <v>51567</v>
      </c>
      <c r="J8271" t="s">
        <v>51568</v>
      </c>
      <c r="K8271" t="s">
        <v>51569</v>
      </c>
      <c r="L8271" t="s">
        <v>51562</v>
      </c>
    </row>
    <row r="8272" spans="1:12" x14ac:dyDescent="0.25">
      <c r="A8272">
        <v>1391725</v>
      </c>
      <c r="B8272">
        <v>1391741</v>
      </c>
      <c r="D8272">
        <v>0</v>
      </c>
      <c r="E8272" t="s">
        <v>51571</v>
      </c>
      <c r="F8272" t="s">
        <v>51572</v>
      </c>
      <c r="G8272" t="s">
        <v>51573</v>
      </c>
      <c r="H8272" t="s">
        <v>51574</v>
      </c>
      <c r="I8272" t="s">
        <v>51575</v>
      </c>
      <c r="J8272" t="s">
        <v>51576</v>
      </c>
      <c r="K8272" t="s">
        <v>51577</v>
      </c>
      <c r="L8272" t="s">
        <v>51570</v>
      </c>
    </row>
    <row r="8273" spans="1:12" x14ac:dyDescent="0.25">
      <c r="A8273">
        <v>1391725</v>
      </c>
      <c r="B8273">
        <v>1391733</v>
      </c>
      <c r="D8273">
        <v>0</v>
      </c>
      <c r="E8273" t="s">
        <v>51579</v>
      </c>
      <c r="F8273" t="s">
        <v>51580</v>
      </c>
      <c r="G8273" t="s">
        <v>51581</v>
      </c>
      <c r="H8273" t="s">
        <v>51582</v>
      </c>
      <c r="I8273" t="s">
        <v>51583</v>
      </c>
      <c r="J8273" t="s">
        <v>51584</v>
      </c>
      <c r="K8273" t="s">
        <v>51585</v>
      </c>
      <c r="L8273" t="s">
        <v>51578</v>
      </c>
    </row>
    <row r="8274" spans="1:12" x14ac:dyDescent="0.25">
      <c r="A8274">
        <v>1391733</v>
      </c>
      <c r="B8274">
        <v>1401860</v>
      </c>
      <c r="D8274" t="s">
        <v>51587</v>
      </c>
      <c r="E8274" t="s">
        <v>51588</v>
      </c>
      <c r="F8274" t="s">
        <v>51589</v>
      </c>
      <c r="G8274" t="s">
        <v>51590</v>
      </c>
      <c r="H8274" t="e" vm="3569">
        <f>_FV(0,"002011806450897112")</f>
        <v>#VALUE!</v>
      </c>
      <c r="I8274" t="s">
        <v>51591</v>
      </c>
      <c r="J8274" t="s">
        <v>51592</v>
      </c>
      <c r="K8274" t="s">
        <v>51593</v>
      </c>
      <c r="L8274" t="s">
        <v>51586</v>
      </c>
    </row>
    <row r="8275" spans="1:12" x14ac:dyDescent="0.25">
      <c r="A8275">
        <v>1391741</v>
      </c>
      <c r="B8275">
        <v>1391803</v>
      </c>
      <c r="C8275" t="s">
        <v>51595</v>
      </c>
      <c r="D8275" t="s">
        <v>26726</v>
      </c>
      <c r="E8275" t="s">
        <v>51596</v>
      </c>
      <c r="F8275" t="s">
        <v>51597</v>
      </c>
      <c r="G8275" t="s">
        <v>51598</v>
      </c>
      <c r="H8275" t="s">
        <v>51599</v>
      </c>
      <c r="I8275" t="s">
        <v>51600</v>
      </c>
      <c r="J8275" t="s">
        <v>51601</v>
      </c>
      <c r="K8275" t="s">
        <v>51602</v>
      </c>
      <c r="L8275" t="s">
        <v>51594</v>
      </c>
    </row>
    <row r="8276" spans="1:12" x14ac:dyDescent="0.25">
      <c r="A8276">
        <v>1391750</v>
      </c>
      <c r="B8276">
        <v>1391817</v>
      </c>
      <c r="D8276" t="s">
        <v>51604</v>
      </c>
      <c r="E8276" t="s">
        <v>51605</v>
      </c>
      <c r="F8276" t="s">
        <v>51606</v>
      </c>
      <c r="G8276" t="s">
        <v>51607</v>
      </c>
      <c r="H8276" t="s">
        <v>51608</v>
      </c>
      <c r="I8276" t="s">
        <v>51609</v>
      </c>
      <c r="J8276" t="s">
        <v>51610</v>
      </c>
      <c r="K8276" t="s">
        <v>51611</v>
      </c>
      <c r="L8276" t="s">
        <v>51603</v>
      </c>
    </row>
    <row r="8277" spans="1:12" x14ac:dyDescent="0.25">
      <c r="A8277">
        <v>1391750</v>
      </c>
      <c r="B8277">
        <v>1391796</v>
      </c>
      <c r="D8277">
        <v>0</v>
      </c>
      <c r="E8277" t="s">
        <v>51613</v>
      </c>
      <c r="F8277" t="s">
        <v>51614</v>
      </c>
      <c r="G8277" t="s">
        <v>51615</v>
      </c>
      <c r="H8277" t="s">
        <v>51616</v>
      </c>
      <c r="I8277" t="s">
        <v>51617</v>
      </c>
      <c r="J8277" t="s">
        <v>51618</v>
      </c>
      <c r="K8277" t="s">
        <v>51619</v>
      </c>
      <c r="L8277" t="s">
        <v>51612</v>
      </c>
    </row>
    <row r="8278" spans="1:12" x14ac:dyDescent="0.25">
      <c r="A8278">
        <v>1391779</v>
      </c>
      <c r="B8278">
        <v>1391813</v>
      </c>
      <c r="D8278">
        <v>1</v>
      </c>
      <c r="E8278" t="s">
        <v>51621</v>
      </c>
      <c r="F8278" t="s">
        <v>51622</v>
      </c>
      <c r="G8278" t="s">
        <v>51623</v>
      </c>
      <c r="H8278" t="s">
        <v>51624</v>
      </c>
      <c r="I8278" t="s">
        <v>51625</v>
      </c>
      <c r="J8278" t="s">
        <v>51626</v>
      </c>
      <c r="K8278" t="s">
        <v>51627</v>
      </c>
      <c r="L8278" t="s">
        <v>51620</v>
      </c>
    </row>
    <row r="8279" spans="1:12" x14ac:dyDescent="0.25">
      <c r="A8279">
        <v>1391779</v>
      </c>
      <c r="B8279">
        <v>1400950</v>
      </c>
      <c r="D8279">
        <v>0</v>
      </c>
      <c r="E8279" t="s">
        <v>51629</v>
      </c>
      <c r="F8279" t="s">
        <v>51630</v>
      </c>
      <c r="G8279" t="s">
        <v>51631</v>
      </c>
      <c r="H8279" t="e" vm="3570">
        <f>_FV(0,"0021648898917587312")</f>
        <v>#VALUE!</v>
      </c>
      <c r="I8279" t="s">
        <v>51632</v>
      </c>
      <c r="J8279" t="s">
        <v>51633</v>
      </c>
      <c r="K8279" t="s">
        <v>51634</v>
      </c>
      <c r="L8279" t="s">
        <v>51628</v>
      </c>
    </row>
    <row r="8280" spans="1:12" x14ac:dyDescent="0.25">
      <c r="A8280">
        <v>1391779</v>
      </c>
      <c r="B8280">
        <v>1393239</v>
      </c>
      <c r="D8280">
        <v>0</v>
      </c>
      <c r="F8280">
        <v>1551991</v>
      </c>
      <c r="G8280">
        <v>1391779</v>
      </c>
      <c r="H8280" t="s">
        <v>8186</v>
      </c>
      <c r="I8280">
        <v>1393239</v>
      </c>
      <c r="J8280" t="s">
        <v>8186</v>
      </c>
      <c r="K8280" t="s">
        <v>51635</v>
      </c>
      <c r="L8280" t="s">
        <v>8186</v>
      </c>
    </row>
    <row r="8281" spans="1:12" x14ac:dyDescent="0.25">
      <c r="A8281">
        <v>1391796</v>
      </c>
      <c r="B8281">
        <v>1394062</v>
      </c>
      <c r="C8281" t="s">
        <v>51637</v>
      </c>
      <c r="D8281" t="s">
        <v>51638</v>
      </c>
      <c r="E8281" t="s">
        <v>51639</v>
      </c>
      <c r="F8281" t="s">
        <v>51640</v>
      </c>
      <c r="G8281" t="s">
        <v>51641</v>
      </c>
      <c r="H8281" t="e" vm="3571">
        <f>_FV(0,"0009171500447812021")</f>
        <v>#VALUE!</v>
      </c>
      <c r="I8281" t="s">
        <v>51642</v>
      </c>
      <c r="J8281" t="s">
        <v>51643</v>
      </c>
      <c r="K8281" t="s">
        <v>51644</v>
      </c>
      <c r="L8281" t="s">
        <v>51636</v>
      </c>
    </row>
    <row r="8282" spans="1:12" x14ac:dyDescent="0.25">
      <c r="A8282">
        <v>1391803</v>
      </c>
      <c r="B8282">
        <v>1391824</v>
      </c>
      <c r="D8282" t="s">
        <v>7142</v>
      </c>
      <c r="E8282" t="s">
        <v>51646</v>
      </c>
      <c r="F8282" t="s">
        <v>51647</v>
      </c>
      <c r="G8282" t="s">
        <v>51648</v>
      </c>
      <c r="H8282" t="e" vm="3572">
        <f>_FV(0,"015906189071633006")</f>
        <v>#VALUE!</v>
      </c>
      <c r="I8282" t="s">
        <v>51649</v>
      </c>
      <c r="J8282" t="s">
        <v>51650</v>
      </c>
      <c r="K8282" t="s">
        <v>51651</v>
      </c>
      <c r="L8282" t="s">
        <v>51645</v>
      </c>
    </row>
    <row r="8283" spans="1:12" x14ac:dyDescent="0.25">
      <c r="A8283">
        <v>1391813</v>
      </c>
      <c r="B8283">
        <v>1393271</v>
      </c>
      <c r="D8283">
        <v>0</v>
      </c>
      <c r="F8283">
        <v>1551983</v>
      </c>
      <c r="G8283">
        <v>1393271</v>
      </c>
      <c r="H8283" t="s">
        <v>1534</v>
      </c>
      <c r="I8283">
        <v>1391813</v>
      </c>
      <c r="J8283" t="s">
        <v>1534</v>
      </c>
      <c r="K8283" t="s">
        <v>51652</v>
      </c>
      <c r="L8283" t="s">
        <v>1534</v>
      </c>
    </row>
    <row r="8284" spans="1:12" x14ac:dyDescent="0.25">
      <c r="A8284">
        <v>1391817</v>
      </c>
      <c r="B8284">
        <v>1391833</v>
      </c>
      <c r="D8284" t="s">
        <v>51563</v>
      </c>
      <c r="E8284" t="s">
        <v>51654</v>
      </c>
      <c r="F8284" t="s">
        <v>51655</v>
      </c>
      <c r="G8284" t="s">
        <v>51656</v>
      </c>
      <c r="H8284" t="e" vm="3573">
        <f>_FV(0,"012131031620321347")</f>
        <v>#VALUE!</v>
      </c>
      <c r="I8284" t="s">
        <v>51657</v>
      </c>
      <c r="J8284" t="s">
        <v>51658</v>
      </c>
      <c r="K8284" t="s">
        <v>51659</v>
      </c>
      <c r="L8284" t="s">
        <v>51653</v>
      </c>
    </row>
    <row r="8285" spans="1:12" x14ac:dyDescent="0.25">
      <c r="A8285">
        <v>1391824</v>
      </c>
      <c r="B8285">
        <v>1391852</v>
      </c>
      <c r="D8285">
        <v>0</v>
      </c>
      <c r="E8285" t="s">
        <v>51661</v>
      </c>
      <c r="F8285" t="s">
        <v>51662</v>
      </c>
      <c r="G8285" t="s">
        <v>51663</v>
      </c>
      <c r="H8285" t="s">
        <v>51664</v>
      </c>
      <c r="I8285" t="s">
        <v>51665</v>
      </c>
      <c r="J8285" t="s">
        <v>51666</v>
      </c>
      <c r="K8285" t="s">
        <v>51667</v>
      </c>
      <c r="L8285" t="s">
        <v>51660</v>
      </c>
    </row>
    <row r="8286" spans="1:12" x14ac:dyDescent="0.25">
      <c r="A8286">
        <v>1391852</v>
      </c>
      <c r="B8286">
        <v>1391875</v>
      </c>
      <c r="D8286" t="s">
        <v>51669</v>
      </c>
      <c r="E8286" t="s">
        <v>51670</v>
      </c>
      <c r="F8286" t="s">
        <v>51671</v>
      </c>
      <c r="G8286" t="s">
        <v>51672</v>
      </c>
      <c r="H8286" t="s">
        <v>51673</v>
      </c>
      <c r="I8286" t="s">
        <v>51674</v>
      </c>
      <c r="J8286" t="s">
        <v>51675</v>
      </c>
      <c r="K8286" t="s">
        <v>51676</v>
      </c>
      <c r="L8286" t="s">
        <v>51668</v>
      </c>
    </row>
    <row r="8287" spans="1:12" x14ac:dyDescent="0.25">
      <c r="A8287">
        <v>1391875</v>
      </c>
      <c r="B8287">
        <v>1391901</v>
      </c>
      <c r="D8287" t="s">
        <v>51678</v>
      </c>
      <c r="E8287" t="s">
        <v>51679</v>
      </c>
      <c r="F8287" t="s">
        <v>51680</v>
      </c>
      <c r="G8287" t="s">
        <v>51681</v>
      </c>
      <c r="H8287" t="s">
        <v>51682</v>
      </c>
      <c r="I8287" t="s">
        <v>51683</v>
      </c>
      <c r="J8287" t="s">
        <v>51684</v>
      </c>
      <c r="K8287" t="s">
        <v>51685</v>
      </c>
      <c r="L8287" t="s">
        <v>51677</v>
      </c>
    </row>
    <row r="8288" spans="1:12" x14ac:dyDescent="0.25">
      <c r="A8288">
        <v>1391882</v>
      </c>
      <c r="B8288">
        <v>1391887</v>
      </c>
      <c r="D8288">
        <v>0</v>
      </c>
      <c r="E8288" t="s">
        <v>51687</v>
      </c>
      <c r="F8288" t="s">
        <v>51688</v>
      </c>
      <c r="G8288" t="s">
        <v>51689</v>
      </c>
      <c r="H8288" t="s">
        <v>51690</v>
      </c>
      <c r="I8288" t="s">
        <v>51691</v>
      </c>
      <c r="J8288" t="s">
        <v>51692</v>
      </c>
      <c r="K8288" t="s">
        <v>51693</v>
      </c>
      <c r="L8288" t="s">
        <v>51686</v>
      </c>
    </row>
    <row r="8289" spans="1:12" x14ac:dyDescent="0.25">
      <c r="A8289">
        <v>1365373</v>
      </c>
      <c r="B8289">
        <v>1391901</v>
      </c>
      <c r="D8289">
        <v>0</v>
      </c>
      <c r="E8289" t="s">
        <v>51695</v>
      </c>
      <c r="F8289" t="s">
        <v>51696</v>
      </c>
      <c r="G8289" t="s">
        <v>51697</v>
      </c>
      <c r="H8289" t="s">
        <v>51698</v>
      </c>
      <c r="I8289" t="s">
        <v>51699</v>
      </c>
      <c r="J8289" t="s">
        <v>51700</v>
      </c>
      <c r="K8289" t="s">
        <v>51701</v>
      </c>
      <c r="L8289" t="s">
        <v>51694</v>
      </c>
    </row>
    <row r="8290" spans="1:12" x14ac:dyDescent="0.25">
      <c r="A8290">
        <v>1393234</v>
      </c>
      <c r="B8290">
        <v>1393239</v>
      </c>
      <c r="D8290">
        <v>0</v>
      </c>
      <c r="F8290">
        <v>1542200</v>
      </c>
      <c r="G8290">
        <v>1393239</v>
      </c>
      <c r="H8290" t="s">
        <v>187</v>
      </c>
      <c r="I8290">
        <v>1393234</v>
      </c>
      <c r="J8290" t="s">
        <v>187</v>
      </c>
      <c r="K8290" t="s">
        <v>51702</v>
      </c>
      <c r="L8290" t="s">
        <v>187</v>
      </c>
    </row>
    <row r="8291" spans="1:12" x14ac:dyDescent="0.25">
      <c r="A8291">
        <v>1393239</v>
      </c>
      <c r="B8291">
        <v>1393271</v>
      </c>
      <c r="D8291">
        <v>1</v>
      </c>
      <c r="E8291" t="s">
        <v>51704</v>
      </c>
      <c r="F8291" t="s">
        <v>51705</v>
      </c>
      <c r="G8291" t="s">
        <v>51706</v>
      </c>
      <c r="H8291" t="s">
        <v>51707</v>
      </c>
      <c r="I8291" t="s">
        <v>51708</v>
      </c>
      <c r="J8291" t="s">
        <v>51709</v>
      </c>
      <c r="K8291" t="s">
        <v>51710</v>
      </c>
      <c r="L8291" t="s">
        <v>51703</v>
      </c>
    </row>
    <row r="8292" spans="1:12" x14ac:dyDescent="0.25">
      <c r="A8292">
        <v>1393239</v>
      </c>
      <c r="B8292">
        <v>1400965</v>
      </c>
      <c r="D8292">
        <v>0</v>
      </c>
      <c r="E8292" t="s">
        <v>51712</v>
      </c>
      <c r="F8292" t="s">
        <v>51713</v>
      </c>
      <c r="G8292" t="s">
        <v>51714</v>
      </c>
      <c r="H8292" t="s">
        <v>51715</v>
      </c>
      <c r="I8292" t="s">
        <v>51716</v>
      </c>
      <c r="J8292" t="s">
        <v>51717</v>
      </c>
      <c r="K8292" t="s">
        <v>51718</v>
      </c>
      <c r="L8292" t="s">
        <v>51711</v>
      </c>
    </row>
    <row r="8293" spans="1:12" x14ac:dyDescent="0.25">
      <c r="A8293">
        <v>1393358</v>
      </c>
      <c r="B8293">
        <v>1613340</v>
      </c>
      <c r="C8293" t="s">
        <v>51720</v>
      </c>
      <c r="D8293" t="s">
        <v>51721</v>
      </c>
      <c r="E8293" t="s">
        <v>51722</v>
      </c>
      <c r="F8293" t="s">
        <v>51723</v>
      </c>
      <c r="G8293" t="s">
        <v>51724</v>
      </c>
      <c r="H8293" t="e" vm="3574">
        <f>_FV(0,"0013329786824280616")</f>
        <v>#VALUE!</v>
      </c>
      <c r="I8293" t="s">
        <v>51725</v>
      </c>
      <c r="J8293" t="s">
        <v>51726</v>
      </c>
      <c r="K8293" t="s">
        <v>51727</v>
      </c>
      <c r="L8293" t="s">
        <v>51719</v>
      </c>
    </row>
    <row r="8294" spans="1:12" x14ac:dyDescent="0.25">
      <c r="A8294">
        <v>1393480</v>
      </c>
      <c r="B8294">
        <v>1393573</v>
      </c>
      <c r="C8294" t="s">
        <v>51729</v>
      </c>
      <c r="D8294">
        <v>0</v>
      </c>
      <c r="E8294" t="s">
        <v>51730</v>
      </c>
      <c r="F8294" t="s">
        <v>51731</v>
      </c>
      <c r="G8294" t="s">
        <v>51732</v>
      </c>
      <c r="H8294" t="e" vm="3575">
        <f>_FV(0,"007894201043002248")</f>
        <v>#VALUE!</v>
      </c>
      <c r="I8294" t="s">
        <v>51733</v>
      </c>
      <c r="J8294" t="s">
        <v>51734</v>
      </c>
      <c r="K8294" t="s">
        <v>51735</v>
      </c>
      <c r="L8294" t="s">
        <v>51728</v>
      </c>
    </row>
    <row r="8295" spans="1:12" x14ac:dyDescent="0.25">
      <c r="A8295">
        <v>1393573</v>
      </c>
      <c r="B8295">
        <v>1393621</v>
      </c>
      <c r="D8295" t="s">
        <v>37883</v>
      </c>
      <c r="E8295" t="s">
        <v>51737</v>
      </c>
      <c r="F8295" t="s">
        <v>51738</v>
      </c>
      <c r="G8295" t="s">
        <v>51739</v>
      </c>
      <c r="H8295" t="s">
        <v>51740</v>
      </c>
      <c r="I8295" t="s">
        <v>51741</v>
      </c>
      <c r="J8295" t="s">
        <v>51742</v>
      </c>
      <c r="K8295" t="s">
        <v>51743</v>
      </c>
      <c r="L8295" t="s">
        <v>51736</v>
      </c>
    </row>
    <row r="8296" spans="1:12" x14ac:dyDescent="0.25">
      <c r="A8296">
        <v>1393573</v>
      </c>
      <c r="B8296">
        <v>1365968</v>
      </c>
      <c r="D8296" t="s">
        <v>2086</v>
      </c>
      <c r="E8296" t="s">
        <v>51745</v>
      </c>
      <c r="F8296" t="s">
        <v>51746</v>
      </c>
      <c r="G8296" t="s">
        <v>51747</v>
      </c>
      <c r="H8296" t="e" vm="3576">
        <f>_FV(0,"028405376984170755")</f>
        <v>#VALUE!</v>
      </c>
      <c r="I8296" t="s">
        <v>51748</v>
      </c>
      <c r="J8296" t="s">
        <v>51749</v>
      </c>
      <c r="K8296" t="s">
        <v>51750</v>
      </c>
      <c r="L8296" t="s">
        <v>51744</v>
      </c>
    </row>
    <row r="8297" spans="1:12" x14ac:dyDescent="0.25">
      <c r="A8297">
        <v>1393732</v>
      </c>
      <c r="B8297">
        <v>1393746</v>
      </c>
      <c r="D8297">
        <v>0</v>
      </c>
      <c r="E8297" t="s">
        <v>51752</v>
      </c>
      <c r="F8297" t="s">
        <v>51753</v>
      </c>
      <c r="G8297" t="s">
        <v>51754</v>
      </c>
      <c r="H8297" t="e" vm="3577">
        <f>_FV(0,"026846132812880577")</f>
        <v>#VALUE!</v>
      </c>
      <c r="I8297" t="s">
        <v>51755</v>
      </c>
      <c r="J8297" t="s">
        <v>42114</v>
      </c>
      <c r="K8297" t="s">
        <v>51756</v>
      </c>
      <c r="L8297" t="s">
        <v>51751</v>
      </c>
    </row>
    <row r="8298" spans="1:12" x14ac:dyDescent="0.25">
      <c r="A8298">
        <v>1393746</v>
      </c>
      <c r="B8298">
        <v>1393854</v>
      </c>
      <c r="C8298" t="s">
        <v>51758</v>
      </c>
      <c r="D8298" t="s">
        <v>51759</v>
      </c>
      <c r="E8298" t="s">
        <v>51760</v>
      </c>
      <c r="F8298" t="s">
        <v>51761</v>
      </c>
      <c r="G8298" t="s">
        <v>51762</v>
      </c>
      <c r="H8298" t="e" vm="3578">
        <f>_FV(0,"006816998033753099")</f>
        <v>#VALUE!</v>
      </c>
      <c r="I8298" t="s">
        <v>51763</v>
      </c>
      <c r="J8298" t="s">
        <v>51764</v>
      </c>
      <c r="K8298" t="s">
        <v>51765</v>
      </c>
      <c r="L8298" t="s">
        <v>51757</v>
      </c>
    </row>
    <row r="8299" spans="1:12" x14ac:dyDescent="0.25">
      <c r="A8299">
        <v>1393854</v>
      </c>
      <c r="B8299">
        <v>1393902</v>
      </c>
      <c r="D8299" t="s">
        <v>12980</v>
      </c>
      <c r="E8299" t="s">
        <v>51767</v>
      </c>
      <c r="F8299" t="s">
        <v>51768</v>
      </c>
      <c r="G8299" t="s">
        <v>51769</v>
      </c>
      <c r="H8299" t="s">
        <v>51770</v>
      </c>
      <c r="I8299" t="s">
        <v>51771</v>
      </c>
      <c r="J8299" t="s">
        <v>51772</v>
      </c>
      <c r="K8299" t="s">
        <v>51773</v>
      </c>
      <c r="L8299" t="s">
        <v>51766</v>
      </c>
    </row>
    <row r="8300" spans="1:12" x14ac:dyDescent="0.25">
      <c r="A8300">
        <v>1400855</v>
      </c>
      <c r="B8300">
        <v>1400875</v>
      </c>
      <c r="D8300" t="s">
        <v>51775</v>
      </c>
      <c r="E8300" t="s">
        <v>51776</v>
      </c>
      <c r="F8300" t="s">
        <v>51777</v>
      </c>
      <c r="G8300" t="s">
        <v>51778</v>
      </c>
      <c r="H8300" t="e" vm="3579">
        <f>_FV(0,"023057239910005904")</f>
        <v>#VALUE!</v>
      </c>
      <c r="I8300" t="s">
        <v>51779</v>
      </c>
      <c r="J8300" t="s">
        <v>51780</v>
      </c>
      <c r="K8300" t="s">
        <v>51781</v>
      </c>
      <c r="L8300" t="s">
        <v>51774</v>
      </c>
    </row>
    <row r="8301" spans="1:12" x14ac:dyDescent="0.25">
      <c r="A8301">
        <v>1400855</v>
      </c>
      <c r="B8301">
        <v>1406676</v>
      </c>
      <c r="D8301" t="s">
        <v>7151</v>
      </c>
      <c r="E8301" t="s">
        <v>51783</v>
      </c>
      <c r="F8301" t="s">
        <v>51784</v>
      </c>
      <c r="G8301" t="s">
        <v>51785</v>
      </c>
      <c r="H8301" t="e" vm="3580">
        <f>_FV(0,"004888224884974002")</f>
        <v>#VALUE!</v>
      </c>
      <c r="I8301" t="s">
        <v>51786</v>
      </c>
      <c r="J8301" t="s">
        <v>51787</v>
      </c>
      <c r="K8301" t="s">
        <v>51788</v>
      </c>
      <c r="L8301" t="s">
        <v>51782</v>
      </c>
    </row>
    <row r="8302" spans="1:12" x14ac:dyDescent="0.25">
      <c r="A8302">
        <v>1400869</v>
      </c>
      <c r="B8302">
        <v>1400900</v>
      </c>
      <c r="D8302" t="s">
        <v>51790</v>
      </c>
      <c r="E8302" t="s">
        <v>51791</v>
      </c>
      <c r="F8302" t="s">
        <v>51792</v>
      </c>
      <c r="G8302" t="s">
        <v>51793</v>
      </c>
      <c r="H8302" t="s">
        <v>51794</v>
      </c>
      <c r="I8302" t="s">
        <v>51795</v>
      </c>
      <c r="J8302" t="s">
        <v>51796</v>
      </c>
      <c r="K8302" t="s">
        <v>51797</v>
      </c>
      <c r="L8302" t="s">
        <v>51789</v>
      </c>
    </row>
    <row r="8303" spans="1:12" x14ac:dyDescent="0.25">
      <c r="A8303">
        <v>1400869</v>
      </c>
      <c r="B8303">
        <v>1400875</v>
      </c>
      <c r="D8303" t="s">
        <v>1972</v>
      </c>
      <c r="E8303" t="s">
        <v>51799</v>
      </c>
      <c r="F8303" t="s">
        <v>51800</v>
      </c>
      <c r="G8303" t="s">
        <v>51801</v>
      </c>
      <c r="H8303" t="s">
        <v>51802</v>
      </c>
      <c r="I8303" t="s">
        <v>51803</v>
      </c>
      <c r="J8303" t="s">
        <v>51804</v>
      </c>
      <c r="K8303" t="s">
        <v>51805</v>
      </c>
      <c r="L8303" t="s">
        <v>51798</v>
      </c>
    </row>
    <row r="8304" spans="1:12" x14ac:dyDescent="0.25">
      <c r="A8304">
        <v>1400900</v>
      </c>
      <c r="B8304">
        <v>1400906</v>
      </c>
      <c r="D8304">
        <v>0</v>
      </c>
      <c r="E8304" t="s">
        <v>51807</v>
      </c>
      <c r="F8304" t="s">
        <v>51808</v>
      </c>
      <c r="G8304" t="s">
        <v>51809</v>
      </c>
      <c r="H8304" t="e" vm="3581">
        <f>_FV(0,"003736791605938295")</f>
        <v>#VALUE!</v>
      </c>
      <c r="I8304" t="s">
        <v>51810</v>
      </c>
      <c r="J8304" t="s">
        <v>51811</v>
      </c>
      <c r="K8304" t="s">
        <v>51812</v>
      </c>
      <c r="L8304" t="s">
        <v>51806</v>
      </c>
    </row>
    <row r="8305" spans="1:12" x14ac:dyDescent="0.25">
      <c r="A8305">
        <v>1400906</v>
      </c>
      <c r="B8305">
        <v>1400950</v>
      </c>
      <c r="D8305" t="s">
        <v>51814</v>
      </c>
      <c r="E8305" t="s">
        <v>51815</v>
      </c>
      <c r="F8305" t="s">
        <v>51816</v>
      </c>
      <c r="G8305" t="s">
        <v>51817</v>
      </c>
      <c r="H8305" t="s">
        <v>51818</v>
      </c>
      <c r="I8305" t="s">
        <v>51819</v>
      </c>
      <c r="J8305" t="s">
        <v>51820</v>
      </c>
      <c r="K8305" t="s">
        <v>51821</v>
      </c>
      <c r="L8305" t="s">
        <v>51813</v>
      </c>
    </row>
    <row r="8306" spans="1:12" x14ac:dyDescent="0.25">
      <c r="A8306">
        <v>1400950</v>
      </c>
      <c r="B8306">
        <v>1400965</v>
      </c>
      <c r="D8306">
        <v>0</v>
      </c>
      <c r="E8306" t="s">
        <v>51823</v>
      </c>
      <c r="F8306" t="s">
        <v>51824</v>
      </c>
      <c r="G8306" t="s">
        <v>51825</v>
      </c>
      <c r="H8306" t="e" vm="3582">
        <f>_FV(0,"009487147073455073")</f>
        <v>#VALUE!</v>
      </c>
      <c r="I8306" t="s">
        <v>51826</v>
      </c>
      <c r="J8306" t="s">
        <v>51827</v>
      </c>
      <c r="K8306" t="s">
        <v>51828</v>
      </c>
      <c r="L8306" t="s">
        <v>51822</v>
      </c>
    </row>
    <row r="8307" spans="1:12" x14ac:dyDescent="0.25">
      <c r="A8307">
        <v>1400977</v>
      </c>
      <c r="B8307">
        <v>1407349</v>
      </c>
      <c r="D8307">
        <v>0</v>
      </c>
      <c r="E8307" t="s">
        <v>51830</v>
      </c>
      <c r="F8307" t="s">
        <v>51831</v>
      </c>
      <c r="G8307" t="s">
        <v>51832</v>
      </c>
      <c r="H8307" t="e" vm="3583">
        <f>_FV(0,"004822136313092107")</f>
        <v>#VALUE!</v>
      </c>
      <c r="I8307" t="s">
        <v>51833</v>
      </c>
      <c r="J8307" t="s">
        <v>51834</v>
      </c>
      <c r="K8307" t="s">
        <v>51835</v>
      </c>
      <c r="L8307" t="s">
        <v>51829</v>
      </c>
    </row>
    <row r="8308" spans="1:12" x14ac:dyDescent="0.25">
      <c r="A8308">
        <v>1401426</v>
      </c>
      <c r="B8308">
        <v>1365968</v>
      </c>
      <c r="D8308">
        <v>0</v>
      </c>
      <c r="E8308" t="s">
        <v>51837</v>
      </c>
      <c r="F8308" t="s">
        <v>51838</v>
      </c>
      <c r="G8308" t="s">
        <v>51839</v>
      </c>
      <c r="H8308" t="e" vm="3584">
        <f>_FV(0,"02648467755848502")</f>
        <v>#VALUE!</v>
      </c>
      <c r="I8308" t="s">
        <v>51840</v>
      </c>
      <c r="J8308" t="s">
        <v>51841</v>
      </c>
      <c r="K8308" t="s">
        <v>51842</v>
      </c>
      <c r="L8308" t="s">
        <v>51836</v>
      </c>
    </row>
    <row r="8309" spans="1:12" x14ac:dyDescent="0.25">
      <c r="A8309">
        <v>1401584</v>
      </c>
      <c r="B8309">
        <v>1401597</v>
      </c>
      <c r="D8309">
        <v>0</v>
      </c>
      <c r="E8309" t="s">
        <v>51844</v>
      </c>
      <c r="F8309" t="s">
        <v>51845</v>
      </c>
      <c r="G8309" t="s">
        <v>51846</v>
      </c>
      <c r="H8309" t="e" vm="3585">
        <f>_FV(0,"028373581716627485")</f>
        <v>#VALUE!</v>
      </c>
      <c r="I8309" t="s">
        <v>51847</v>
      </c>
      <c r="J8309" t="s">
        <v>51848</v>
      </c>
      <c r="K8309" t="s">
        <v>51849</v>
      </c>
      <c r="L8309" t="s">
        <v>51843</v>
      </c>
    </row>
    <row r="8310" spans="1:12" x14ac:dyDescent="0.25">
      <c r="A8310">
        <v>1401597</v>
      </c>
      <c r="B8310">
        <v>1401624</v>
      </c>
      <c r="C8310" t="s">
        <v>51851</v>
      </c>
      <c r="D8310" t="s">
        <v>330</v>
      </c>
      <c r="E8310" t="s">
        <v>51852</v>
      </c>
      <c r="F8310" t="s">
        <v>51853</v>
      </c>
      <c r="G8310" t="s">
        <v>51854</v>
      </c>
      <c r="H8310" t="e" vm="3586">
        <f>_FV(0,"011376053445718166")</f>
        <v>#VALUE!</v>
      </c>
      <c r="I8310" t="s">
        <v>51855</v>
      </c>
      <c r="J8310" t="s">
        <v>51856</v>
      </c>
      <c r="K8310" t="s">
        <v>51857</v>
      </c>
      <c r="L8310" t="s">
        <v>51850</v>
      </c>
    </row>
    <row r="8311" spans="1:12" x14ac:dyDescent="0.25">
      <c r="A8311">
        <v>1401597</v>
      </c>
      <c r="B8311">
        <v>1401624</v>
      </c>
      <c r="D8311" t="s">
        <v>23595</v>
      </c>
      <c r="E8311" t="s">
        <v>51859</v>
      </c>
      <c r="F8311" t="s">
        <v>51860</v>
      </c>
      <c r="G8311" t="s">
        <v>51861</v>
      </c>
      <c r="H8311" t="e" vm="3587">
        <f>_FV(0,"010881102002765158")</f>
        <v>#VALUE!</v>
      </c>
      <c r="I8311" t="s">
        <v>51862</v>
      </c>
      <c r="J8311" t="s">
        <v>51863</v>
      </c>
      <c r="K8311" t="s">
        <v>51864</v>
      </c>
      <c r="L8311" t="s">
        <v>51858</v>
      </c>
    </row>
    <row r="8312" spans="1:12" x14ac:dyDescent="0.25">
      <c r="A8312">
        <v>1401624</v>
      </c>
      <c r="B8312">
        <v>1401706</v>
      </c>
      <c r="D8312" t="s">
        <v>51866</v>
      </c>
      <c r="E8312" t="s">
        <v>51867</v>
      </c>
      <c r="F8312" t="s">
        <v>51868</v>
      </c>
      <c r="G8312" t="s">
        <v>51869</v>
      </c>
      <c r="H8312" t="e" vm="3588">
        <f>_FV(0,"001377863841732664")</f>
        <v>#VALUE!</v>
      </c>
      <c r="I8312" t="s">
        <v>51870</v>
      </c>
      <c r="J8312" t="s">
        <v>51871</v>
      </c>
      <c r="K8312" t="s">
        <v>51872</v>
      </c>
      <c r="L8312" t="s">
        <v>51865</v>
      </c>
    </row>
    <row r="8313" spans="1:12" x14ac:dyDescent="0.25">
      <c r="A8313">
        <v>1401706</v>
      </c>
      <c r="B8313">
        <v>1401750</v>
      </c>
      <c r="D8313" t="s">
        <v>36215</v>
      </c>
      <c r="E8313" t="s">
        <v>51874</v>
      </c>
      <c r="F8313" t="s">
        <v>51875</v>
      </c>
      <c r="G8313" t="s">
        <v>51876</v>
      </c>
      <c r="H8313" t="s">
        <v>51877</v>
      </c>
      <c r="I8313" t="s">
        <v>51878</v>
      </c>
      <c r="J8313" t="s">
        <v>51879</v>
      </c>
      <c r="K8313" t="s">
        <v>51880</v>
      </c>
      <c r="L8313" t="s">
        <v>51873</v>
      </c>
    </row>
    <row r="8314" spans="1:12" x14ac:dyDescent="0.25">
      <c r="A8314">
        <v>1401750</v>
      </c>
      <c r="B8314">
        <v>1401797</v>
      </c>
      <c r="C8314" t="s">
        <v>51882</v>
      </c>
      <c r="D8314" t="s">
        <v>10007</v>
      </c>
      <c r="E8314" t="s">
        <v>51883</v>
      </c>
      <c r="F8314" t="s">
        <v>51884</v>
      </c>
      <c r="G8314" t="s">
        <v>51885</v>
      </c>
      <c r="H8314" t="e" vm="3589">
        <f>_FV(0,"013650937113599984")</f>
        <v>#VALUE!</v>
      </c>
      <c r="I8314" t="s">
        <v>51886</v>
      </c>
      <c r="J8314" t="s">
        <v>51887</v>
      </c>
      <c r="K8314" t="s">
        <v>51888</v>
      </c>
      <c r="L8314" t="s">
        <v>51881</v>
      </c>
    </row>
    <row r="8315" spans="1:12" x14ac:dyDescent="0.25">
      <c r="A8315">
        <v>1401797</v>
      </c>
      <c r="B8315">
        <v>1401860</v>
      </c>
      <c r="D8315" t="s">
        <v>51890</v>
      </c>
      <c r="E8315" t="s">
        <v>51891</v>
      </c>
      <c r="F8315" t="s">
        <v>51892</v>
      </c>
      <c r="G8315" t="s">
        <v>51893</v>
      </c>
      <c r="H8315" t="s">
        <v>51894</v>
      </c>
      <c r="I8315" t="s">
        <v>51895</v>
      </c>
      <c r="J8315" t="s">
        <v>51896</v>
      </c>
      <c r="K8315" t="s">
        <v>51897</v>
      </c>
      <c r="L8315" t="s">
        <v>51889</v>
      </c>
    </row>
    <row r="8316" spans="1:12" x14ac:dyDescent="0.25">
      <c r="A8316">
        <v>1406676</v>
      </c>
      <c r="B8316">
        <v>1534541</v>
      </c>
      <c r="D8316">
        <v>0</v>
      </c>
      <c r="E8316" t="s">
        <v>51899</v>
      </c>
      <c r="F8316" t="s">
        <v>51900</v>
      </c>
      <c r="G8316" t="s">
        <v>51901</v>
      </c>
      <c r="H8316" t="s">
        <v>51902</v>
      </c>
      <c r="I8316" t="s">
        <v>51903</v>
      </c>
      <c r="J8316" t="s">
        <v>51898</v>
      </c>
      <c r="K8316" t="s">
        <v>51904</v>
      </c>
      <c r="L8316" t="s">
        <v>51898</v>
      </c>
    </row>
    <row r="8317" spans="1:12" x14ac:dyDescent="0.25">
      <c r="A8317">
        <v>1407349</v>
      </c>
      <c r="B8317">
        <v>1807730</v>
      </c>
      <c r="D8317">
        <v>0</v>
      </c>
      <c r="F8317">
        <v>2086991</v>
      </c>
      <c r="G8317">
        <v>1407349</v>
      </c>
      <c r="H8317" t="e" vm="144">
        <f>_FV(0,"003")</f>
        <v>#VALUE!</v>
      </c>
      <c r="I8317">
        <v>1807730</v>
      </c>
      <c r="J8317" t="s">
        <v>1783</v>
      </c>
      <c r="K8317" t="s">
        <v>51905</v>
      </c>
      <c r="L8317" t="e" vm="144">
        <f>_FV(0,"003")</f>
        <v>#VALUE!</v>
      </c>
    </row>
    <row r="8318" spans="1:12" x14ac:dyDescent="0.25">
      <c r="A8318">
        <v>1432449</v>
      </c>
      <c r="B8318">
        <v>1432508</v>
      </c>
      <c r="D8318">
        <v>1</v>
      </c>
      <c r="F8318">
        <v>2095037</v>
      </c>
      <c r="G8318">
        <v>1432508</v>
      </c>
      <c r="H8318" t="s">
        <v>30</v>
      </c>
      <c r="I8318">
        <v>1432449</v>
      </c>
      <c r="J8318" t="s">
        <v>30</v>
      </c>
      <c r="K8318" t="s">
        <v>51906</v>
      </c>
      <c r="L8318" t="s">
        <v>30</v>
      </c>
    </row>
    <row r="8319" spans="1:12" x14ac:dyDescent="0.25">
      <c r="A8319">
        <v>1432935</v>
      </c>
      <c r="B8319">
        <v>1461895</v>
      </c>
      <c r="D8319">
        <v>0</v>
      </c>
      <c r="E8319" t="s">
        <v>51908</v>
      </c>
      <c r="F8319" t="s">
        <v>51909</v>
      </c>
      <c r="G8319" t="s">
        <v>51910</v>
      </c>
      <c r="H8319" t="e" vm="3590">
        <f>_FV(0,"03501619631686873")</f>
        <v>#VALUE!</v>
      </c>
      <c r="I8319" t="s">
        <v>51911</v>
      </c>
      <c r="J8319" t="s">
        <v>51912</v>
      </c>
      <c r="K8319" t="s">
        <v>51913</v>
      </c>
      <c r="L8319" t="s">
        <v>51907</v>
      </c>
    </row>
    <row r="8320" spans="1:12" x14ac:dyDescent="0.25">
      <c r="A8320">
        <v>1435151</v>
      </c>
      <c r="B8320">
        <v>1435166</v>
      </c>
      <c r="D8320">
        <v>0</v>
      </c>
      <c r="E8320" t="s">
        <v>51915</v>
      </c>
      <c r="F8320" t="s">
        <v>51916</v>
      </c>
      <c r="G8320" t="s">
        <v>51917</v>
      </c>
      <c r="H8320" t="e" vm="3591">
        <f>_FV(0,"007291079844795427")</f>
        <v>#VALUE!</v>
      </c>
      <c r="I8320" t="s">
        <v>51918</v>
      </c>
      <c r="J8320" t="s">
        <v>51919</v>
      </c>
      <c r="K8320" t="s">
        <v>51920</v>
      </c>
      <c r="L8320" t="s">
        <v>51914</v>
      </c>
    </row>
    <row r="8321" spans="1:12" x14ac:dyDescent="0.25">
      <c r="A8321">
        <v>1435151</v>
      </c>
      <c r="B8321">
        <v>1435186</v>
      </c>
      <c r="D8321">
        <v>0</v>
      </c>
      <c r="E8321" t="s">
        <v>51922</v>
      </c>
      <c r="F8321" t="s">
        <v>51923</v>
      </c>
      <c r="G8321" t="s">
        <v>51924</v>
      </c>
      <c r="H8321" t="e" vm="3592">
        <f>_FV(0,"02996028634442371")</f>
        <v>#VALUE!</v>
      </c>
      <c r="I8321" t="s">
        <v>51925</v>
      </c>
      <c r="J8321" t="s">
        <v>51926</v>
      </c>
      <c r="K8321" t="s">
        <v>51927</v>
      </c>
      <c r="L8321" t="s">
        <v>51921</v>
      </c>
    </row>
    <row r="8322" spans="1:12" x14ac:dyDescent="0.25">
      <c r="A8322">
        <v>1435166</v>
      </c>
      <c r="B8322">
        <v>1435176</v>
      </c>
      <c r="D8322">
        <v>0</v>
      </c>
      <c r="E8322" t="s">
        <v>51929</v>
      </c>
      <c r="F8322" t="s">
        <v>51930</v>
      </c>
      <c r="G8322" t="s">
        <v>51931</v>
      </c>
      <c r="H8322" t="s">
        <v>51932</v>
      </c>
      <c r="I8322" t="s">
        <v>51933</v>
      </c>
      <c r="J8322" t="s">
        <v>51928</v>
      </c>
      <c r="K8322" t="s">
        <v>51934</v>
      </c>
      <c r="L8322" t="s">
        <v>51928</v>
      </c>
    </row>
    <row r="8323" spans="1:12" x14ac:dyDescent="0.25">
      <c r="A8323">
        <v>1435176</v>
      </c>
      <c r="B8323">
        <v>1435186</v>
      </c>
      <c r="D8323">
        <v>0</v>
      </c>
      <c r="E8323" t="s">
        <v>51936</v>
      </c>
      <c r="F8323" t="s">
        <v>51937</v>
      </c>
      <c r="G8323" t="s">
        <v>51938</v>
      </c>
      <c r="H8323" t="s">
        <v>51939</v>
      </c>
      <c r="I8323" t="s">
        <v>51940</v>
      </c>
      <c r="J8323" t="s">
        <v>51941</v>
      </c>
      <c r="K8323" t="s">
        <v>51942</v>
      </c>
      <c r="L8323" t="s">
        <v>51935</v>
      </c>
    </row>
    <row r="8324" spans="1:12" x14ac:dyDescent="0.25">
      <c r="A8324">
        <v>1445308</v>
      </c>
      <c r="B8324">
        <v>1583727</v>
      </c>
      <c r="D8324">
        <v>0</v>
      </c>
      <c r="E8324" t="s">
        <v>51944</v>
      </c>
      <c r="F8324" t="s">
        <v>51945</v>
      </c>
      <c r="G8324" t="s">
        <v>51946</v>
      </c>
      <c r="H8324" t="e" vm="3593">
        <f>_FV(0,"04237539445322832")</f>
        <v>#VALUE!</v>
      </c>
      <c r="I8324" t="s">
        <v>51947</v>
      </c>
      <c r="J8324" t="s">
        <v>51948</v>
      </c>
      <c r="K8324" t="s">
        <v>51949</v>
      </c>
      <c r="L8324" t="s">
        <v>51943</v>
      </c>
    </row>
    <row r="8325" spans="1:12" x14ac:dyDescent="0.25">
      <c r="A8325">
        <v>1445308</v>
      </c>
      <c r="B8325">
        <v>1445349</v>
      </c>
      <c r="D8325">
        <v>0</v>
      </c>
      <c r="E8325" t="s">
        <v>51951</v>
      </c>
      <c r="F8325" t="s">
        <v>51952</v>
      </c>
      <c r="G8325" t="s">
        <v>51953</v>
      </c>
      <c r="H8325" t="s">
        <v>51954</v>
      </c>
      <c r="I8325" t="s">
        <v>51955</v>
      </c>
      <c r="J8325" t="s">
        <v>51950</v>
      </c>
      <c r="K8325" t="s">
        <v>51956</v>
      </c>
      <c r="L8325" t="s">
        <v>51950</v>
      </c>
    </row>
    <row r="8326" spans="1:12" x14ac:dyDescent="0.25">
      <c r="A8326">
        <v>1445349</v>
      </c>
      <c r="B8326">
        <v>1583780</v>
      </c>
      <c r="D8326">
        <v>0</v>
      </c>
      <c r="E8326" t="s">
        <v>51958</v>
      </c>
      <c r="F8326" t="s">
        <v>51959</v>
      </c>
      <c r="G8326" t="s">
        <v>51960</v>
      </c>
      <c r="H8326" t="s">
        <v>51961</v>
      </c>
      <c r="I8326" t="s">
        <v>51962</v>
      </c>
      <c r="J8326" t="s">
        <v>51957</v>
      </c>
      <c r="K8326" t="s">
        <v>51963</v>
      </c>
      <c r="L8326" t="s">
        <v>51957</v>
      </c>
    </row>
    <row r="8327" spans="1:12" x14ac:dyDescent="0.25">
      <c r="A8327">
        <v>1445376</v>
      </c>
      <c r="B8327">
        <v>1445385</v>
      </c>
      <c r="D8327">
        <v>0</v>
      </c>
      <c r="E8327" t="s">
        <v>51965</v>
      </c>
      <c r="F8327" t="s">
        <v>51966</v>
      </c>
      <c r="G8327" t="s">
        <v>51967</v>
      </c>
      <c r="H8327" t="s">
        <v>51968</v>
      </c>
      <c r="I8327" t="s">
        <v>51969</v>
      </c>
      <c r="J8327" t="s">
        <v>51970</v>
      </c>
      <c r="K8327" t="s">
        <v>51971</v>
      </c>
      <c r="L8327" t="s">
        <v>51964</v>
      </c>
    </row>
    <row r="8328" spans="1:12" x14ac:dyDescent="0.25">
      <c r="A8328">
        <v>1445376</v>
      </c>
      <c r="B8328">
        <v>1445398</v>
      </c>
      <c r="D8328">
        <v>0</v>
      </c>
      <c r="E8328" t="s">
        <v>51973</v>
      </c>
      <c r="F8328" t="s">
        <v>51974</v>
      </c>
      <c r="G8328" t="s">
        <v>51975</v>
      </c>
      <c r="H8328" t="s">
        <v>51976</v>
      </c>
      <c r="I8328" t="s">
        <v>51977</v>
      </c>
      <c r="J8328" t="s">
        <v>51978</v>
      </c>
      <c r="K8328" t="s">
        <v>51979</v>
      </c>
      <c r="L8328" t="s">
        <v>51972</v>
      </c>
    </row>
    <row r="8329" spans="1:12" x14ac:dyDescent="0.25">
      <c r="A8329">
        <v>1445376</v>
      </c>
      <c r="B8329">
        <v>1446638</v>
      </c>
      <c r="D8329">
        <v>0</v>
      </c>
      <c r="E8329" t="s">
        <v>51981</v>
      </c>
      <c r="F8329" t="s">
        <v>51982</v>
      </c>
      <c r="G8329" t="s">
        <v>51983</v>
      </c>
      <c r="H8329" t="e" vm="3594">
        <f>_FV(0,"04792257206353274")</f>
        <v>#VALUE!</v>
      </c>
      <c r="I8329" t="s">
        <v>51984</v>
      </c>
      <c r="J8329" t="s">
        <v>51985</v>
      </c>
      <c r="K8329" t="s">
        <v>51986</v>
      </c>
      <c r="L8329" t="s">
        <v>51980</v>
      </c>
    </row>
    <row r="8330" spans="1:12" x14ac:dyDescent="0.25">
      <c r="A8330">
        <v>1445385</v>
      </c>
      <c r="B8330">
        <v>1445392</v>
      </c>
      <c r="D8330">
        <v>0</v>
      </c>
      <c r="F8330">
        <v>1610953</v>
      </c>
      <c r="G8330">
        <v>1445392</v>
      </c>
      <c r="H8330" t="e" vm="30">
        <f>_FV(0,"027")</f>
        <v>#VALUE!</v>
      </c>
      <c r="I8330">
        <v>1445385</v>
      </c>
      <c r="J8330" t="s">
        <v>467</v>
      </c>
      <c r="K8330" t="s">
        <v>51987</v>
      </c>
      <c r="L8330" t="e" vm="30">
        <f>_FV(0,"027")</f>
        <v>#VALUE!</v>
      </c>
    </row>
    <row r="8331" spans="1:12" x14ac:dyDescent="0.25">
      <c r="A8331">
        <v>1445385</v>
      </c>
      <c r="B8331">
        <v>1446638</v>
      </c>
      <c r="D8331">
        <v>0</v>
      </c>
      <c r="E8331" t="s">
        <v>51989</v>
      </c>
      <c r="F8331" t="s">
        <v>51990</v>
      </c>
      <c r="G8331" t="s">
        <v>51991</v>
      </c>
      <c r="H8331" t="e" vm="3595">
        <f>_FV(0,"04513402643045144")</f>
        <v>#VALUE!</v>
      </c>
      <c r="I8331" t="s">
        <v>51992</v>
      </c>
      <c r="J8331" t="s">
        <v>51993</v>
      </c>
      <c r="K8331" t="s">
        <v>51994</v>
      </c>
      <c r="L8331" t="s">
        <v>51988</v>
      </c>
    </row>
    <row r="8332" spans="1:12" x14ac:dyDescent="0.25">
      <c r="A8332">
        <v>1445392</v>
      </c>
      <c r="B8332">
        <v>1445398</v>
      </c>
      <c r="D8332">
        <v>0</v>
      </c>
      <c r="F8332">
        <v>1610960</v>
      </c>
      <c r="G8332">
        <v>1445398</v>
      </c>
      <c r="H8332" t="e" vm="939">
        <f>_FV(0,"043")</f>
        <v>#VALUE!</v>
      </c>
      <c r="I8332">
        <v>1445392</v>
      </c>
      <c r="J8332" t="s">
        <v>12171</v>
      </c>
      <c r="K8332" t="s">
        <v>51995</v>
      </c>
      <c r="L8332" t="e" vm="939">
        <f>_FV(0,"043")</f>
        <v>#VALUE!</v>
      </c>
    </row>
    <row r="8333" spans="1:12" x14ac:dyDescent="0.25">
      <c r="A8333">
        <v>1445392</v>
      </c>
      <c r="B8333">
        <v>1446492</v>
      </c>
      <c r="D8333">
        <v>0</v>
      </c>
      <c r="E8333" t="s">
        <v>51997</v>
      </c>
      <c r="F8333" t="s">
        <v>51998</v>
      </c>
      <c r="G8333" t="s">
        <v>51999</v>
      </c>
      <c r="H8333" t="e" vm="3596">
        <f>_FV(0,"007143546501456297")</f>
        <v>#VALUE!</v>
      </c>
      <c r="I8333" t="s">
        <v>52000</v>
      </c>
      <c r="J8333" t="s">
        <v>52001</v>
      </c>
      <c r="K8333" t="s">
        <v>52002</v>
      </c>
      <c r="L8333" t="s">
        <v>51996</v>
      </c>
    </row>
    <row r="8334" spans="1:12" x14ac:dyDescent="0.25">
      <c r="A8334">
        <v>1445398</v>
      </c>
      <c r="B8334">
        <v>1446494</v>
      </c>
      <c r="D8334">
        <v>0</v>
      </c>
      <c r="E8334" t="s">
        <v>52004</v>
      </c>
      <c r="F8334" t="s">
        <v>52005</v>
      </c>
      <c r="G8334" t="s">
        <v>52006</v>
      </c>
      <c r="H8334" t="e" vm="3597">
        <f>_FV(0,"0019440337480977274")</f>
        <v>#VALUE!</v>
      </c>
      <c r="I8334" t="s">
        <v>52007</v>
      </c>
      <c r="J8334" t="s">
        <v>52008</v>
      </c>
      <c r="K8334" t="s">
        <v>52009</v>
      </c>
      <c r="L8334" t="s">
        <v>52003</v>
      </c>
    </row>
    <row r="8335" spans="1:12" x14ac:dyDescent="0.25">
      <c r="A8335">
        <v>1445425</v>
      </c>
      <c r="B8335">
        <v>1445426</v>
      </c>
      <c r="D8335">
        <v>0</v>
      </c>
      <c r="F8335">
        <v>1610996</v>
      </c>
      <c r="G8335">
        <v>1445426</v>
      </c>
      <c r="H8335" t="s">
        <v>7670</v>
      </c>
      <c r="I8335">
        <v>1445425</v>
      </c>
      <c r="J8335" t="s">
        <v>7670</v>
      </c>
      <c r="K8335" t="s">
        <v>52010</v>
      </c>
      <c r="L8335" t="s">
        <v>7670</v>
      </c>
    </row>
    <row r="8336" spans="1:12" x14ac:dyDescent="0.25">
      <c r="A8336">
        <v>1445425</v>
      </c>
      <c r="B8336">
        <v>1446614</v>
      </c>
      <c r="D8336">
        <v>0</v>
      </c>
      <c r="E8336" t="s">
        <v>52012</v>
      </c>
      <c r="F8336" t="s">
        <v>52013</v>
      </c>
      <c r="G8336" t="s">
        <v>52014</v>
      </c>
      <c r="H8336" t="e" vm="3598">
        <f>_FV(0,"06150071496899003")</f>
        <v>#VALUE!</v>
      </c>
      <c r="I8336" t="s">
        <v>52015</v>
      </c>
      <c r="J8336" t="s">
        <v>52016</v>
      </c>
      <c r="K8336" t="s">
        <v>52017</v>
      </c>
      <c r="L8336" t="s">
        <v>52011</v>
      </c>
    </row>
    <row r="8337" spans="1:12" x14ac:dyDescent="0.25">
      <c r="A8337">
        <v>1445425</v>
      </c>
      <c r="B8337">
        <v>1445470</v>
      </c>
      <c r="D8337">
        <v>0</v>
      </c>
      <c r="E8337" t="s">
        <v>52019</v>
      </c>
      <c r="F8337" t="s">
        <v>52020</v>
      </c>
      <c r="G8337" t="s">
        <v>52021</v>
      </c>
      <c r="H8337" t="e" vm="3599">
        <f>_FV(-1,"6324495404357846e")-7</f>
        <v>#VALUE!</v>
      </c>
      <c r="I8337" t="s">
        <v>52022</v>
      </c>
      <c r="J8337" t="s">
        <v>241</v>
      </c>
      <c r="K8337" t="s">
        <v>52023</v>
      </c>
      <c r="L8337" t="s">
        <v>52018</v>
      </c>
    </row>
    <row r="8338" spans="1:12" x14ac:dyDescent="0.25">
      <c r="A8338">
        <v>1445426</v>
      </c>
      <c r="B8338">
        <v>1445433</v>
      </c>
      <c r="D8338">
        <v>0</v>
      </c>
      <c r="F8338">
        <v>1611004</v>
      </c>
      <c r="G8338">
        <v>1445433</v>
      </c>
      <c r="H8338" t="s">
        <v>8057</v>
      </c>
      <c r="I8338">
        <v>1445426</v>
      </c>
      <c r="J8338" t="s">
        <v>8057</v>
      </c>
      <c r="K8338" t="s">
        <v>52024</v>
      </c>
      <c r="L8338" t="s">
        <v>8057</v>
      </c>
    </row>
    <row r="8339" spans="1:12" x14ac:dyDescent="0.25">
      <c r="A8339">
        <v>1445433</v>
      </c>
      <c r="B8339">
        <v>1445470</v>
      </c>
      <c r="D8339">
        <v>0</v>
      </c>
      <c r="E8339" t="s">
        <v>52026</v>
      </c>
      <c r="F8339" t="s">
        <v>52027</v>
      </c>
      <c r="G8339" t="s">
        <v>52028</v>
      </c>
      <c r="H8339" t="e" vm="3600">
        <f>_FV(0,"022487237208498833")</f>
        <v>#VALUE!</v>
      </c>
      <c r="I8339" t="s">
        <v>52029</v>
      </c>
      <c r="J8339" t="s">
        <v>52030</v>
      </c>
      <c r="K8339" t="s">
        <v>52031</v>
      </c>
      <c r="L8339" t="s">
        <v>52025</v>
      </c>
    </row>
    <row r="8340" spans="1:12" x14ac:dyDescent="0.25">
      <c r="A8340">
        <v>1445433</v>
      </c>
      <c r="B8340">
        <v>1446350</v>
      </c>
      <c r="D8340">
        <v>0</v>
      </c>
      <c r="E8340" t="s">
        <v>52033</v>
      </c>
      <c r="F8340" t="s">
        <v>52034</v>
      </c>
      <c r="G8340" t="s">
        <v>52035</v>
      </c>
      <c r="H8340" t="s">
        <v>52036</v>
      </c>
      <c r="I8340" t="s">
        <v>52037</v>
      </c>
      <c r="J8340" t="s">
        <v>52038</v>
      </c>
      <c r="K8340" t="s">
        <v>52039</v>
      </c>
      <c r="L8340" t="s">
        <v>52032</v>
      </c>
    </row>
    <row r="8341" spans="1:12" x14ac:dyDescent="0.25">
      <c r="A8341">
        <v>1445470</v>
      </c>
      <c r="B8341">
        <v>1446614</v>
      </c>
      <c r="D8341">
        <v>0</v>
      </c>
      <c r="E8341" t="s">
        <v>52041</v>
      </c>
      <c r="F8341" t="s">
        <v>52042</v>
      </c>
      <c r="G8341" t="s">
        <v>52043</v>
      </c>
      <c r="H8341" t="e" vm="3601">
        <f>_FV(0,"06397440512665048")</f>
        <v>#VALUE!</v>
      </c>
      <c r="I8341" t="s">
        <v>52044</v>
      </c>
      <c r="J8341" t="s">
        <v>52045</v>
      </c>
      <c r="K8341" t="s">
        <v>52046</v>
      </c>
      <c r="L8341" t="s">
        <v>52040</v>
      </c>
    </row>
    <row r="8342" spans="1:12" x14ac:dyDescent="0.25">
      <c r="A8342">
        <v>1446350</v>
      </c>
      <c r="B8342">
        <v>1583718</v>
      </c>
      <c r="D8342" t="s">
        <v>9957</v>
      </c>
      <c r="E8342" t="s">
        <v>52048</v>
      </c>
      <c r="F8342" t="s">
        <v>52049</v>
      </c>
      <c r="G8342" t="s">
        <v>52050</v>
      </c>
      <c r="H8342" t="s">
        <v>52051</v>
      </c>
      <c r="I8342" t="s">
        <v>52052</v>
      </c>
      <c r="J8342" t="s">
        <v>52053</v>
      </c>
      <c r="K8342" t="s">
        <v>52054</v>
      </c>
      <c r="L8342" t="s">
        <v>52047</v>
      </c>
    </row>
    <row r="8343" spans="1:12" x14ac:dyDescent="0.25">
      <c r="A8343">
        <v>1446492</v>
      </c>
      <c r="B8343">
        <v>1446494</v>
      </c>
      <c r="D8343">
        <v>0</v>
      </c>
      <c r="E8343" t="s">
        <v>52056</v>
      </c>
      <c r="F8343" t="s">
        <v>52057</v>
      </c>
      <c r="G8343" t="s">
        <v>52058</v>
      </c>
      <c r="H8343" t="s">
        <v>52059</v>
      </c>
      <c r="I8343" t="s">
        <v>52060</v>
      </c>
      <c r="J8343" t="s">
        <v>43738</v>
      </c>
      <c r="K8343" t="s">
        <v>52061</v>
      </c>
      <c r="L8343" t="s">
        <v>52055</v>
      </c>
    </row>
    <row r="8344" spans="1:12" x14ac:dyDescent="0.25">
      <c r="A8344">
        <v>1446492</v>
      </c>
      <c r="B8344">
        <v>1583780</v>
      </c>
      <c r="D8344" t="s">
        <v>32500</v>
      </c>
      <c r="E8344" t="s">
        <v>52063</v>
      </c>
      <c r="F8344" t="s">
        <v>52064</v>
      </c>
      <c r="G8344" t="s">
        <v>52065</v>
      </c>
      <c r="H8344" t="s">
        <v>52066</v>
      </c>
      <c r="I8344" t="s">
        <v>52067</v>
      </c>
      <c r="J8344" t="s">
        <v>52068</v>
      </c>
      <c r="K8344" t="s">
        <v>52069</v>
      </c>
      <c r="L8344" t="s">
        <v>52062</v>
      </c>
    </row>
    <row r="8345" spans="1:12" x14ac:dyDescent="0.25">
      <c r="A8345">
        <v>1446494</v>
      </c>
      <c r="B8345">
        <v>1447015</v>
      </c>
      <c r="D8345" t="s">
        <v>52071</v>
      </c>
      <c r="E8345" t="s">
        <v>52072</v>
      </c>
      <c r="F8345" t="s">
        <v>52073</v>
      </c>
      <c r="G8345" t="s">
        <v>52074</v>
      </c>
      <c r="H8345" t="e" vm="3602">
        <f>_FV(0,"011203716771815413")</f>
        <v>#VALUE!</v>
      </c>
      <c r="I8345" t="s">
        <v>52075</v>
      </c>
      <c r="J8345" t="s">
        <v>52076</v>
      </c>
      <c r="K8345" t="s">
        <v>52077</v>
      </c>
      <c r="L8345" t="s">
        <v>52070</v>
      </c>
    </row>
    <row r="8346" spans="1:12" x14ac:dyDescent="0.25">
      <c r="A8346">
        <v>1446614</v>
      </c>
      <c r="B8346">
        <v>1446638</v>
      </c>
      <c r="D8346" t="s">
        <v>330</v>
      </c>
      <c r="E8346" t="s">
        <v>52079</v>
      </c>
      <c r="F8346" t="s">
        <v>52080</v>
      </c>
      <c r="G8346" t="s">
        <v>52081</v>
      </c>
      <c r="H8346" t="e" vm="3603">
        <f>_FV(0,"04916688050999548")</f>
        <v>#VALUE!</v>
      </c>
      <c r="I8346" t="s">
        <v>52082</v>
      </c>
      <c r="J8346" t="s">
        <v>52083</v>
      </c>
      <c r="K8346" t="s">
        <v>52084</v>
      </c>
      <c r="L8346" t="s">
        <v>52078</v>
      </c>
    </row>
    <row r="8347" spans="1:12" x14ac:dyDescent="0.25">
      <c r="A8347">
        <v>1446976</v>
      </c>
      <c r="B8347">
        <v>1446992</v>
      </c>
      <c r="D8347" t="s">
        <v>12915</v>
      </c>
      <c r="E8347" t="s">
        <v>52086</v>
      </c>
      <c r="F8347" t="s">
        <v>52087</v>
      </c>
      <c r="G8347" t="s">
        <v>52088</v>
      </c>
      <c r="H8347" t="s">
        <v>52089</v>
      </c>
      <c r="I8347" t="s">
        <v>52090</v>
      </c>
      <c r="J8347" t="s">
        <v>52085</v>
      </c>
      <c r="K8347" t="s">
        <v>52091</v>
      </c>
      <c r="L8347" t="s">
        <v>52085</v>
      </c>
    </row>
    <row r="8348" spans="1:12" x14ac:dyDescent="0.25">
      <c r="A8348">
        <v>1446976</v>
      </c>
      <c r="B8348">
        <v>1447067</v>
      </c>
      <c r="D8348">
        <v>0</v>
      </c>
      <c r="E8348" t="s">
        <v>52093</v>
      </c>
      <c r="F8348" t="s">
        <v>52094</v>
      </c>
      <c r="G8348" t="s">
        <v>52095</v>
      </c>
      <c r="H8348" t="s">
        <v>52096</v>
      </c>
      <c r="I8348" t="s">
        <v>52097</v>
      </c>
      <c r="J8348" t="s">
        <v>52092</v>
      </c>
      <c r="K8348" t="s">
        <v>52098</v>
      </c>
      <c r="L8348" t="s">
        <v>52092</v>
      </c>
    </row>
    <row r="8349" spans="1:12" x14ac:dyDescent="0.25">
      <c r="A8349">
        <v>1446992</v>
      </c>
      <c r="B8349">
        <v>1497902</v>
      </c>
      <c r="D8349" t="s">
        <v>963</v>
      </c>
      <c r="E8349" t="s">
        <v>52100</v>
      </c>
      <c r="F8349" t="s">
        <v>52101</v>
      </c>
      <c r="G8349" t="s">
        <v>52102</v>
      </c>
      <c r="H8349" t="e" vm="3604">
        <f>_FV(0,"014793962592893724")</f>
        <v>#VALUE!</v>
      </c>
      <c r="I8349" t="s">
        <v>52103</v>
      </c>
      <c r="J8349" t="s">
        <v>52104</v>
      </c>
      <c r="K8349" t="s">
        <v>52105</v>
      </c>
      <c r="L8349" t="s">
        <v>52099</v>
      </c>
    </row>
    <row r="8350" spans="1:12" x14ac:dyDescent="0.25">
      <c r="A8350">
        <v>1446992</v>
      </c>
      <c r="B8350">
        <v>1503135</v>
      </c>
      <c r="D8350" t="s">
        <v>19976</v>
      </c>
      <c r="E8350" t="s">
        <v>52107</v>
      </c>
      <c r="F8350" t="s">
        <v>52108</v>
      </c>
      <c r="G8350" t="s">
        <v>52109</v>
      </c>
      <c r="H8350" t="s">
        <v>52110</v>
      </c>
      <c r="I8350" t="s">
        <v>52111</v>
      </c>
      <c r="J8350" t="s">
        <v>52112</v>
      </c>
      <c r="K8350" t="s">
        <v>52113</v>
      </c>
      <c r="L8350" t="s">
        <v>52106</v>
      </c>
    </row>
    <row r="8351" spans="1:12" x14ac:dyDescent="0.25">
      <c r="A8351">
        <v>1447015</v>
      </c>
      <c r="B8351">
        <v>1447043</v>
      </c>
      <c r="D8351" t="s">
        <v>15313</v>
      </c>
      <c r="E8351" t="s">
        <v>52115</v>
      </c>
      <c r="F8351" t="s">
        <v>52116</v>
      </c>
      <c r="G8351" t="s">
        <v>52117</v>
      </c>
      <c r="H8351" t="s">
        <v>52118</v>
      </c>
      <c r="I8351" t="s">
        <v>52119</v>
      </c>
      <c r="J8351" t="s">
        <v>52114</v>
      </c>
      <c r="K8351" t="s">
        <v>52120</v>
      </c>
      <c r="L8351" t="s">
        <v>52114</v>
      </c>
    </row>
    <row r="8352" spans="1:12" x14ac:dyDescent="0.25">
      <c r="A8352">
        <v>1447015</v>
      </c>
      <c r="B8352">
        <v>1447072</v>
      </c>
      <c r="D8352">
        <v>0</v>
      </c>
      <c r="E8352" t="s">
        <v>52122</v>
      </c>
      <c r="F8352" t="s">
        <v>52123</v>
      </c>
      <c r="G8352" t="s">
        <v>52124</v>
      </c>
      <c r="H8352" t="e" vm="3605">
        <f>_FV(0,"03580039741882704")</f>
        <v>#VALUE!</v>
      </c>
      <c r="I8352" t="s">
        <v>52125</v>
      </c>
      <c r="J8352" t="s">
        <v>52126</v>
      </c>
      <c r="K8352" t="s">
        <v>52127</v>
      </c>
      <c r="L8352" t="s">
        <v>52121</v>
      </c>
    </row>
    <row r="8353" spans="1:12" x14ac:dyDescent="0.25">
      <c r="A8353">
        <v>1447043</v>
      </c>
      <c r="B8353">
        <v>1499593</v>
      </c>
      <c r="D8353" t="s">
        <v>1494</v>
      </c>
      <c r="E8353" t="s">
        <v>52129</v>
      </c>
      <c r="F8353" t="s">
        <v>52130</v>
      </c>
      <c r="G8353" t="s">
        <v>52131</v>
      </c>
      <c r="H8353" t="e" vm="3606">
        <f>_FV(0,"016397573502797035")</f>
        <v>#VALUE!</v>
      </c>
      <c r="I8353" t="s">
        <v>52132</v>
      </c>
      <c r="J8353" t="s">
        <v>52133</v>
      </c>
      <c r="K8353" t="s">
        <v>52134</v>
      </c>
      <c r="L8353" t="s">
        <v>52128</v>
      </c>
    </row>
    <row r="8354" spans="1:12" x14ac:dyDescent="0.25">
      <c r="A8354">
        <v>1447043</v>
      </c>
      <c r="B8354">
        <v>1503331</v>
      </c>
      <c r="D8354" t="s">
        <v>19976</v>
      </c>
      <c r="E8354" t="s">
        <v>52136</v>
      </c>
      <c r="F8354" t="s">
        <v>52137</v>
      </c>
      <c r="G8354" t="s">
        <v>52138</v>
      </c>
      <c r="H8354" t="e" vm="3607">
        <f>_FV(0,"00380407061514583")</f>
        <v>#VALUE!</v>
      </c>
      <c r="I8354" t="s">
        <v>52139</v>
      </c>
      <c r="J8354" t="s">
        <v>52140</v>
      </c>
      <c r="K8354" t="s">
        <v>52141</v>
      </c>
      <c r="L8354" t="s">
        <v>52135</v>
      </c>
    </row>
    <row r="8355" spans="1:12" x14ac:dyDescent="0.25">
      <c r="A8355">
        <v>1447067</v>
      </c>
      <c r="B8355">
        <v>1503135</v>
      </c>
      <c r="D8355">
        <v>0</v>
      </c>
      <c r="E8355" t="s">
        <v>52143</v>
      </c>
      <c r="F8355" t="s">
        <v>52144</v>
      </c>
      <c r="G8355" t="s">
        <v>52145</v>
      </c>
      <c r="H8355" t="s">
        <v>52146</v>
      </c>
      <c r="I8355" t="s">
        <v>52147</v>
      </c>
      <c r="J8355" t="s">
        <v>52148</v>
      </c>
      <c r="K8355" t="s">
        <v>52149</v>
      </c>
      <c r="L8355" t="s">
        <v>52142</v>
      </c>
    </row>
    <row r="8356" spans="1:12" x14ac:dyDescent="0.25">
      <c r="A8356">
        <v>1447067</v>
      </c>
      <c r="B8356">
        <v>1498062</v>
      </c>
      <c r="D8356">
        <v>0</v>
      </c>
      <c r="F8356">
        <v>1676908</v>
      </c>
      <c r="G8356">
        <v>1447067</v>
      </c>
      <c r="H8356" t="e" vm="224">
        <f>_FV(0,"084")</f>
        <v>#VALUE!</v>
      </c>
      <c r="I8356">
        <v>1498062</v>
      </c>
      <c r="J8356" t="s">
        <v>3418</v>
      </c>
      <c r="K8356" t="s">
        <v>52150</v>
      </c>
      <c r="L8356" t="e" vm="224">
        <f>_FV(0,"084")</f>
        <v>#VALUE!</v>
      </c>
    </row>
    <row r="8357" spans="1:12" x14ac:dyDescent="0.25">
      <c r="A8357">
        <v>1447072</v>
      </c>
      <c r="B8357">
        <v>1498039</v>
      </c>
      <c r="D8357">
        <v>0</v>
      </c>
      <c r="F8357">
        <v>1676988</v>
      </c>
      <c r="G8357">
        <v>1498039</v>
      </c>
      <c r="H8357" t="s">
        <v>12</v>
      </c>
      <c r="I8357">
        <v>1447072</v>
      </c>
      <c r="J8357" t="s">
        <v>12</v>
      </c>
      <c r="K8357" t="s">
        <v>52151</v>
      </c>
      <c r="L8357" t="s">
        <v>12</v>
      </c>
    </row>
    <row r="8358" spans="1:12" x14ac:dyDescent="0.25">
      <c r="A8358">
        <v>1447072</v>
      </c>
      <c r="B8358">
        <v>1503331</v>
      </c>
      <c r="D8358">
        <v>0</v>
      </c>
      <c r="E8358" t="s">
        <v>52153</v>
      </c>
      <c r="F8358" t="s">
        <v>52154</v>
      </c>
      <c r="G8358" t="s">
        <v>52155</v>
      </c>
      <c r="H8358" t="e" vm="3608">
        <f>_FV(0,"009581446573688956")</f>
        <v>#VALUE!</v>
      </c>
      <c r="I8358" t="s">
        <v>52156</v>
      </c>
      <c r="J8358" t="s">
        <v>52157</v>
      </c>
      <c r="K8358" t="s">
        <v>52158</v>
      </c>
      <c r="L8358" t="s">
        <v>52152</v>
      </c>
    </row>
    <row r="8359" spans="1:12" x14ac:dyDescent="0.25">
      <c r="A8359">
        <v>1447325</v>
      </c>
      <c r="B8359">
        <v>1447438</v>
      </c>
      <c r="C8359" t="s">
        <v>52160</v>
      </c>
      <c r="D8359">
        <v>0</v>
      </c>
      <c r="E8359" t="s">
        <v>52161</v>
      </c>
      <c r="F8359" t="s">
        <v>52162</v>
      </c>
      <c r="G8359" t="s">
        <v>52163</v>
      </c>
      <c r="H8359" t="s">
        <v>52164</v>
      </c>
      <c r="I8359" t="s">
        <v>52165</v>
      </c>
      <c r="J8359" t="s">
        <v>52159</v>
      </c>
      <c r="K8359" t="s">
        <v>52166</v>
      </c>
      <c r="L8359" t="s">
        <v>52159</v>
      </c>
    </row>
    <row r="8360" spans="1:12" x14ac:dyDescent="0.25">
      <c r="A8360">
        <v>1447325</v>
      </c>
      <c r="B8360">
        <v>1804261</v>
      </c>
      <c r="D8360">
        <v>0</v>
      </c>
      <c r="E8360" t="s">
        <v>52168</v>
      </c>
      <c r="F8360" t="s">
        <v>52169</v>
      </c>
      <c r="G8360" t="s">
        <v>52170</v>
      </c>
      <c r="H8360" t="s">
        <v>52171</v>
      </c>
      <c r="I8360" t="s">
        <v>52172</v>
      </c>
      <c r="J8360" t="s">
        <v>52167</v>
      </c>
      <c r="K8360" t="s">
        <v>52173</v>
      </c>
      <c r="L8360" t="s">
        <v>52167</v>
      </c>
    </row>
    <row r="8361" spans="1:12" x14ac:dyDescent="0.25">
      <c r="A8361">
        <v>1447394</v>
      </c>
      <c r="B8361">
        <v>1761470</v>
      </c>
      <c r="D8361">
        <v>0</v>
      </c>
      <c r="E8361" t="s">
        <v>52175</v>
      </c>
      <c r="F8361" t="s">
        <v>52176</v>
      </c>
      <c r="G8361" t="s">
        <v>52177</v>
      </c>
      <c r="H8361" t="e" vm="3609">
        <f>_FV(0,"053081599453930914")</f>
        <v>#VALUE!</v>
      </c>
      <c r="I8361" t="s">
        <v>52178</v>
      </c>
      <c r="J8361" t="s">
        <v>52179</v>
      </c>
      <c r="K8361" t="s">
        <v>52180</v>
      </c>
      <c r="L8361" t="s">
        <v>52174</v>
      </c>
    </row>
    <row r="8362" spans="1:12" x14ac:dyDescent="0.25">
      <c r="A8362">
        <v>1447394</v>
      </c>
      <c r="B8362">
        <v>1754195</v>
      </c>
      <c r="C8362" t="s">
        <v>52182</v>
      </c>
      <c r="D8362">
        <v>0</v>
      </c>
      <c r="E8362" t="s">
        <v>52183</v>
      </c>
      <c r="F8362" t="s">
        <v>52184</v>
      </c>
      <c r="G8362" t="s">
        <v>52185</v>
      </c>
      <c r="H8362" t="s">
        <v>52186</v>
      </c>
      <c r="I8362" t="s">
        <v>52187</v>
      </c>
      <c r="J8362" t="s">
        <v>52181</v>
      </c>
      <c r="K8362" t="s">
        <v>52188</v>
      </c>
      <c r="L8362" t="s">
        <v>52181</v>
      </c>
    </row>
    <row r="8363" spans="1:12" x14ac:dyDescent="0.25">
      <c r="A8363">
        <v>1447426</v>
      </c>
      <c r="B8363">
        <v>1753126</v>
      </c>
      <c r="D8363">
        <v>0</v>
      </c>
      <c r="E8363" t="s">
        <v>52190</v>
      </c>
      <c r="F8363" t="s">
        <v>52191</v>
      </c>
      <c r="G8363" t="s">
        <v>52192</v>
      </c>
      <c r="H8363" t="e" vm="3610">
        <f>_FV(0,"13823253435933705")</f>
        <v>#VALUE!</v>
      </c>
      <c r="I8363" t="s">
        <v>52193</v>
      </c>
      <c r="J8363" t="s">
        <v>52194</v>
      </c>
      <c r="K8363" t="s">
        <v>52195</v>
      </c>
      <c r="L8363" t="s">
        <v>52189</v>
      </c>
    </row>
    <row r="8364" spans="1:12" x14ac:dyDescent="0.25">
      <c r="A8364">
        <v>1447896</v>
      </c>
      <c r="B8364">
        <v>1447984</v>
      </c>
      <c r="D8364">
        <v>0</v>
      </c>
      <c r="F8364">
        <v>1614725</v>
      </c>
      <c r="G8364">
        <v>1447984</v>
      </c>
      <c r="H8364" t="s">
        <v>239</v>
      </c>
      <c r="I8364">
        <v>1447896</v>
      </c>
      <c r="J8364" t="s">
        <v>239</v>
      </c>
      <c r="K8364" t="s">
        <v>52196</v>
      </c>
      <c r="L8364" t="s">
        <v>239</v>
      </c>
    </row>
    <row r="8365" spans="1:12" x14ac:dyDescent="0.25">
      <c r="A8365">
        <v>1447902</v>
      </c>
      <c r="B8365">
        <v>1447961</v>
      </c>
      <c r="D8365">
        <v>0</v>
      </c>
      <c r="F8365">
        <v>1614688</v>
      </c>
      <c r="G8365">
        <v>1447961</v>
      </c>
      <c r="H8365" t="e" vm="201">
        <f>_FV(0,"002")</f>
        <v>#VALUE!</v>
      </c>
      <c r="I8365">
        <v>1447902</v>
      </c>
      <c r="J8365" t="s">
        <v>1534</v>
      </c>
      <c r="K8365" t="s">
        <v>52197</v>
      </c>
      <c r="L8365" t="e" vm="201">
        <f>_FV(0,"002")</f>
        <v>#VALUE!</v>
      </c>
    </row>
    <row r="8366" spans="1:12" x14ac:dyDescent="0.25">
      <c r="A8366">
        <v>1447902</v>
      </c>
      <c r="B8366">
        <v>1447909</v>
      </c>
      <c r="D8366">
        <v>0</v>
      </c>
      <c r="E8366" t="s">
        <v>52199</v>
      </c>
      <c r="F8366" t="s">
        <v>52200</v>
      </c>
      <c r="G8366" t="s">
        <v>52201</v>
      </c>
      <c r="H8366" t="s">
        <v>52202</v>
      </c>
      <c r="I8366" t="s">
        <v>52203</v>
      </c>
      <c r="J8366" t="s">
        <v>52198</v>
      </c>
      <c r="K8366" t="s">
        <v>52204</v>
      </c>
      <c r="L8366" t="s">
        <v>52198</v>
      </c>
    </row>
    <row r="8367" spans="1:12" x14ac:dyDescent="0.25">
      <c r="A8367">
        <v>1447909</v>
      </c>
      <c r="B8367">
        <v>1447939</v>
      </c>
      <c r="D8367">
        <v>0</v>
      </c>
      <c r="F8367">
        <v>1614648</v>
      </c>
      <c r="G8367">
        <v>1447909</v>
      </c>
      <c r="H8367" t="s">
        <v>1599</v>
      </c>
      <c r="I8367">
        <v>1447939</v>
      </c>
      <c r="J8367" t="s">
        <v>1599</v>
      </c>
      <c r="K8367" t="s">
        <v>52205</v>
      </c>
      <c r="L8367" t="s">
        <v>1599</v>
      </c>
    </row>
    <row r="8368" spans="1:12" x14ac:dyDescent="0.25">
      <c r="A8368">
        <v>1447939</v>
      </c>
      <c r="B8368">
        <v>1448118</v>
      </c>
      <c r="D8368">
        <v>0</v>
      </c>
      <c r="E8368" t="s">
        <v>52207</v>
      </c>
      <c r="F8368" t="s">
        <v>52208</v>
      </c>
      <c r="G8368" t="s">
        <v>52209</v>
      </c>
      <c r="H8368" t="e" vm="3611">
        <f>_FV(0,"004562767265819142")</f>
        <v>#VALUE!</v>
      </c>
      <c r="I8368" t="s">
        <v>52210</v>
      </c>
      <c r="J8368" t="s">
        <v>52211</v>
      </c>
      <c r="K8368" t="s">
        <v>52212</v>
      </c>
      <c r="L8368" t="s">
        <v>52206</v>
      </c>
    </row>
    <row r="8369" spans="1:12" x14ac:dyDescent="0.25">
      <c r="A8369">
        <v>1447939</v>
      </c>
      <c r="B8369">
        <v>1447961</v>
      </c>
      <c r="D8369">
        <v>0</v>
      </c>
      <c r="E8369" t="s">
        <v>52214</v>
      </c>
      <c r="F8369" t="s">
        <v>52215</v>
      </c>
      <c r="G8369" t="s">
        <v>52216</v>
      </c>
      <c r="H8369" t="e" vm="3612">
        <f>_FV(0,"01803018717919621")</f>
        <v>#VALUE!</v>
      </c>
      <c r="I8369" t="s">
        <v>52217</v>
      </c>
      <c r="J8369" t="s">
        <v>52218</v>
      </c>
      <c r="K8369" t="s">
        <v>52219</v>
      </c>
      <c r="L8369" t="s">
        <v>52213</v>
      </c>
    </row>
    <row r="8370" spans="1:12" x14ac:dyDescent="0.25">
      <c r="A8370">
        <v>1447961</v>
      </c>
      <c r="B8370">
        <v>1448013</v>
      </c>
      <c r="D8370">
        <v>0</v>
      </c>
      <c r="E8370" t="s">
        <v>52221</v>
      </c>
      <c r="F8370" t="s">
        <v>52222</v>
      </c>
      <c r="G8370" t="s">
        <v>52223</v>
      </c>
      <c r="H8370" t="s">
        <v>52224</v>
      </c>
      <c r="I8370" t="s">
        <v>52225</v>
      </c>
      <c r="J8370" t="s">
        <v>52226</v>
      </c>
      <c r="K8370" t="s">
        <v>52227</v>
      </c>
      <c r="L8370" t="s">
        <v>52220</v>
      </c>
    </row>
    <row r="8371" spans="1:12" x14ac:dyDescent="0.25">
      <c r="A8371">
        <v>1447984</v>
      </c>
      <c r="B8371">
        <v>1448006</v>
      </c>
      <c r="D8371">
        <v>0</v>
      </c>
      <c r="E8371" t="s">
        <v>52229</v>
      </c>
      <c r="F8371" t="s">
        <v>52230</v>
      </c>
      <c r="G8371" t="s">
        <v>52231</v>
      </c>
      <c r="H8371" t="s">
        <v>52232</v>
      </c>
      <c r="I8371" t="s">
        <v>52233</v>
      </c>
      <c r="J8371" t="s">
        <v>52234</v>
      </c>
      <c r="K8371" t="s">
        <v>52235</v>
      </c>
      <c r="L8371" t="s">
        <v>52228</v>
      </c>
    </row>
    <row r="8372" spans="1:12" x14ac:dyDescent="0.25">
      <c r="A8372">
        <v>1447984</v>
      </c>
      <c r="B8372">
        <v>1448119</v>
      </c>
      <c r="D8372">
        <v>0</v>
      </c>
      <c r="E8372" t="s">
        <v>52237</v>
      </c>
      <c r="F8372" t="s">
        <v>52238</v>
      </c>
      <c r="G8372" t="s">
        <v>52239</v>
      </c>
      <c r="H8372" t="s">
        <v>52240</v>
      </c>
      <c r="I8372" t="s">
        <v>52241</v>
      </c>
      <c r="J8372" t="s">
        <v>52236</v>
      </c>
      <c r="K8372" t="s">
        <v>52242</v>
      </c>
      <c r="L8372" t="s">
        <v>52236</v>
      </c>
    </row>
    <row r="8373" spans="1:12" x14ac:dyDescent="0.25">
      <c r="A8373">
        <v>1448006</v>
      </c>
      <c r="B8373">
        <v>1448019</v>
      </c>
      <c r="D8373">
        <v>0</v>
      </c>
      <c r="E8373" t="s">
        <v>52244</v>
      </c>
      <c r="F8373" t="s">
        <v>52245</v>
      </c>
      <c r="G8373" t="s">
        <v>52246</v>
      </c>
      <c r="H8373" t="e" vm="3613">
        <f>_FV(0,"008821764661033163")</f>
        <v>#VALUE!</v>
      </c>
      <c r="I8373" t="s">
        <v>52247</v>
      </c>
      <c r="J8373" t="s">
        <v>52248</v>
      </c>
      <c r="K8373" t="s">
        <v>52249</v>
      </c>
      <c r="L8373" t="s">
        <v>52243</v>
      </c>
    </row>
    <row r="8374" spans="1:12" x14ac:dyDescent="0.25">
      <c r="A8374">
        <v>1448013</v>
      </c>
      <c r="B8374">
        <v>1448118</v>
      </c>
      <c r="D8374">
        <v>0</v>
      </c>
      <c r="E8374" t="s">
        <v>52251</v>
      </c>
      <c r="F8374" t="s">
        <v>52252</v>
      </c>
      <c r="G8374" t="s">
        <v>52253</v>
      </c>
      <c r="H8374" t="e" vm="3614">
        <f>_FV(0,"00150160516910269")</f>
        <v>#VALUE!</v>
      </c>
      <c r="I8374" t="s">
        <v>52254</v>
      </c>
      <c r="J8374" t="s">
        <v>8253</v>
      </c>
      <c r="K8374" t="s">
        <v>52255</v>
      </c>
      <c r="L8374" t="s">
        <v>52250</v>
      </c>
    </row>
    <row r="8375" spans="1:12" x14ac:dyDescent="0.25">
      <c r="A8375">
        <v>1448019</v>
      </c>
      <c r="B8375">
        <v>1448119</v>
      </c>
      <c r="D8375">
        <v>0</v>
      </c>
      <c r="F8375">
        <v>1614996</v>
      </c>
      <c r="G8375">
        <v>1448119</v>
      </c>
      <c r="H8375" t="e" vm="87">
        <f>_FV(0,"001")</f>
        <v>#VALUE!</v>
      </c>
      <c r="I8375">
        <v>1448019</v>
      </c>
      <c r="J8375" t="s">
        <v>1333</v>
      </c>
      <c r="K8375" t="s">
        <v>52256</v>
      </c>
      <c r="L8375" t="e" vm="87">
        <f>_FV(0,"001")</f>
        <v>#VALUE!</v>
      </c>
    </row>
    <row r="8376" spans="1:12" x14ac:dyDescent="0.25">
      <c r="A8376">
        <v>1448118</v>
      </c>
      <c r="B8376">
        <v>1448228</v>
      </c>
      <c r="D8376" t="s">
        <v>39056</v>
      </c>
      <c r="E8376" t="s">
        <v>52258</v>
      </c>
      <c r="F8376" t="s">
        <v>52259</v>
      </c>
      <c r="G8376" t="s">
        <v>52260</v>
      </c>
      <c r="H8376" t="s">
        <v>52261</v>
      </c>
      <c r="I8376" t="s">
        <v>52262</v>
      </c>
      <c r="J8376" t="s">
        <v>52257</v>
      </c>
      <c r="K8376" t="s">
        <v>52263</v>
      </c>
      <c r="L8376" t="s">
        <v>52257</v>
      </c>
    </row>
    <row r="8377" spans="1:12" x14ac:dyDescent="0.25">
      <c r="A8377">
        <v>1448119</v>
      </c>
      <c r="B8377">
        <v>1448278</v>
      </c>
      <c r="C8377" t="s">
        <v>52265</v>
      </c>
      <c r="D8377" t="s">
        <v>31460</v>
      </c>
      <c r="E8377" t="s">
        <v>52266</v>
      </c>
      <c r="F8377" t="s">
        <v>52267</v>
      </c>
      <c r="G8377" t="s">
        <v>52268</v>
      </c>
      <c r="H8377" t="s">
        <v>52269</v>
      </c>
      <c r="I8377" t="s">
        <v>52270</v>
      </c>
      <c r="J8377" t="s">
        <v>52264</v>
      </c>
      <c r="K8377" t="s">
        <v>52271</v>
      </c>
      <c r="L8377" t="s">
        <v>52264</v>
      </c>
    </row>
    <row r="8378" spans="1:12" x14ac:dyDescent="0.25">
      <c r="A8378">
        <v>1448228</v>
      </c>
      <c r="B8378">
        <v>1448271</v>
      </c>
      <c r="D8378">
        <v>0</v>
      </c>
      <c r="E8378" t="s">
        <v>52273</v>
      </c>
      <c r="F8378" t="s">
        <v>52274</v>
      </c>
      <c r="G8378" t="s">
        <v>52275</v>
      </c>
      <c r="H8378" t="s">
        <v>52276</v>
      </c>
      <c r="I8378" t="s">
        <v>52277</v>
      </c>
      <c r="J8378" t="s">
        <v>52278</v>
      </c>
      <c r="K8378" t="s">
        <v>52279</v>
      </c>
      <c r="L8378" t="s">
        <v>52272</v>
      </c>
    </row>
    <row r="8379" spans="1:12" x14ac:dyDescent="0.25">
      <c r="A8379">
        <v>1448228</v>
      </c>
      <c r="B8379">
        <v>1562114</v>
      </c>
      <c r="D8379">
        <v>0</v>
      </c>
      <c r="E8379" t="s">
        <v>52281</v>
      </c>
      <c r="F8379" t="s">
        <v>52282</v>
      </c>
      <c r="G8379" t="s">
        <v>52283</v>
      </c>
      <c r="H8379" t="e" vm="3615">
        <f>_FV(0,"014453720899580897")</f>
        <v>#VALUE!</v>
      </c>
      <c r="I8379" t="s">
        <v>52284</v>
      </c>
      <c r="J8379" t="s">
        <v>52285</v>
      </c>
      <c r="K8379" t="s">
        <v>52286</v>
      </c>
      <c r="L8379" t="s">
        <v>52280</v>
      </c>
    </row>
    <row r="8380" spans="1:12" x14ac:dyDescent="0.25">
      <c r="A8380">
        <v>1448271</v>
      </c>
      <c r="B8380">
        <v>1562218</v>
      </c>
      <c r="D8380">
        <v>0</v>
      </c>
      <c r="E8380" t="s">
        <v>52288</v>
      </c>
      <c r="F8380" t="s">
        <v>52289</v>
      </c>
      <c r="G8380" t="s">
        <v>52290</v>
      </c>
      <c r="H8380" t="s">
        <v>52291</v>
      </c>
      <c r="I8380" t="s">
        <v>52292</v>
      </c>
      <c r="J8380" t="s">
        <v>52293</v>
      </c>
      <c r="K8380" t="s">
        <v>52294</v>
      </c>
      <c r="L8380" t="s">
        <v>52287</v>
      </c>
    </row>
    <row r="8381" spans="1:12" x14ac:dyDescent="0.25">
      <c r="A8381">
        <v>1448278</v>
      </c>
      <c r="B8381">
        <v>1448301</v>
      </c>
      <c r="D8381">
        <v>0</v>
      </c>
      <c r="E8381" t="s">
        <v>52296</v>
      </c>
      <c r="F8381" t="s">
        <v>52297</v>
      </c>
      <c r="G8381" t="s">
        <v>52298</v>
      </c>
      <c r="H8381" t="s">
        <v>52299</v>
      </c>
      <c r="I8381" t="s">
        <v>52300</v>
      </c>
      <c r="J8381" t="s">
        <v>52301</v>
      </c>
      <c r="K8381" t="s">
        <v>52302</v>
      </c>
      <c r="L8381" t="s">
        <v>52295</v>
      </c>
    </row>
    <row r="8382" spans="1:12" x14ac:dyDescent="0.25">
      <c r="A8382">
        <v>1448278</v>
      </c>
      <c r="B8382">
        <v>1562177</v>
      </c>
      <c r="D8382">
        <v>0</v>
      </c>
      <c r="E8382" t="s">
        <v>52304</v>
      </c>
      <c r="F8382" t="s">
        <v>52305</v>
      </c>
      <c r="G8382" t="s">
        <v>52306</v>
      </c>
      <c r="H8382" t="e" vm="3616">
        <f>_FV(0,"012626445916555732")</f>
        <v>#VALUE!</v>
      </c>
      <c r="I8382" t="s">
        <v>52307</v>
      </c>
      <c r="J8382" t="s">
        <v>52308</v>
      </c>
      <c r="K8382" t="s">
        <v>52309</v>
      </c>
      <c r="L8382" t="s">
        <v>52303</v>
      </c>
    </row>
    <row r="8383" spans="1:12" x14ac:dyDescent="0.25">
      <c r="A8383">
        <v>1448301</v>
      </c>
      <c r="B8383">
        <v>1562156</v>
      </c>
      <c r="D8383">
        <v>0</v>
      </c>
      <c r="E8383" t="s">
        <v>52311</v>
      </c>
      <c r="F8383" t="s">
        <v>52312</v>
      </c>
      <c r="G8383" t="s">
        <v>52313</v>
      </c>
      <c r="H8383" t="s">
        <v>52314</v>
      </c>
      <c r="I8383" t="s">
        <v>52315</v>
      </c>
      <c r="J8383" t="s">
        <v>52310</v>
      </c>
      <c r="K8383" t="s">
        <v>52316</v>
      </c>
      <c r="L8383" t="s">
        <v>52310</v>
      </c>
    </row>
    <row r="8384" spans="1:12" x14ac:dyDescent="0.25">
      <c r="A8384">
        <v>1448639</v>
      </c>
      <c r="B8384">
        <v>1502308</v>
      </c>
      <c r="D8384">
        <v>0</v>
      </c>
      <c r="E8384" t="s">
        <v>52318</v>
      </c>
      <c r="F8384" t="s">
        <v>52319</v>
      </c>
      <c r="G8384" t="s">
        <v>52320</v>
      </c>
      <c r="H8384" t="s">
        <v>52321</v>
      </c>
      <c r="I8384" t="s">
        <v>52322</v>
      </c>
      <c r="J8384" t="s">
        <v>52323</v>
      </c>
      <c r="K8384" t="s">
        <v>52324</v>
      </c>
      <c r="L8384" t="s">
        <v>52317</v>
      </c>
    </row>
    <row r="8385" spans="1:12" x14ac:dyDescent="0.25">
      <c r="A8385">
        <v>1448654</v>
      </c>
      <c r="B8385">
        <v>1502293</v>
      </c>
      <c r="D8385">
        <v>0</v>
      </c>
      <c r="E8385" t="s">
        <v>52326</v>
      </c>
      <c r="F8385" t="s">
        <v>52327</v>
      </c>
      <c r="G8385" t="s">
        <v>52328</v>
      </c>
      <c r="H8385" t="e" vm="3617">
        <f>_FV(0,"005658615201465826")</f>
        <v>#VALUE!</v>
      </c>
      <c r="I8385" t="s">
        <v>52329</v>
      </c>
      <c r="J8385" t="s">
        <v>52330</v>
      </c>
      <c r="K8385" t="s">
        <v>52331</v>
      </c>
      <c r="L8385" t="s">
        <v>52325</v>
      </c>
    </row>
    <row r="8386" spans="1:12" x14ac:dyDescent="0.25">
      <c r="A8386">
        <v>1448879</v>
      </c>
      <c r="B8386">
        <v>1448901</v>
      </c>
      <c r="D8386" t="s">
        <v>2793</v>
      </c>
      <c r="E8386" t="s">
        <v>52333</v>
      </c>
      <c r="F8386" t="s">
        <v>52334</v>
      </c>
      <c r="G8386" t="s">
        <v>52335</v>
      </c>
      <c r="H8386" t="e" vm="3618">
        <f>_FV(0,"0012843013030545659")</f>
        <v>#VALUE!</v>
      </c>
      <c r="I8386" t="s">
        <v>52336</v>
      </c>
      <c r="J8386" t="s">
        <v>52337</v>
      </c>
      <c r="K8386" t="s">
        <v>52338</v>
      </c>
      <c r="L8386" t="s">
        <v>52332</v>
      </c>
    </row>
    <row r="8387" spans="1:12" x14ac:dyDescent="0.25">
      <c r="A8387">
        <v>1448879</v>
      </c>
      <c r="B8387">
        <v>1457640</v>
      </c>
      <c r="D8387">
        <v>0</v>
      </c>
      <c r="E8387" t="s">
        <v>52340</v>
      </c>
      <c r="F8387" t="s">
        <v>52341</v>
      </c>
      <c r="G8387" t="s">
        <v>52342</v>
      </c>
      <c r="H8387" t="s">
        <v>52343</v>
      </c>
      <c r="I8387" t="s">
        <v>52344</v>
      </c>
      <c r="J8387" t="s">
        <v>52345</v>
      </c>
      <c r="K8387" t="s">
        <v>52346</v>
      </c>
      <c r="L8387" t="s">
        <v>52339</v>
      </c>
    </row>
    <row r="8388" spans="1:12" x14ac:dyDescent="0.25">
      <c r="A8388">
        <v>1448901</v>
      </c>
      <c r="B8388">
        <v>1457698</v>
      </c>
      <c r="D8388">
        <v>0</v>
      </c>
      <c r="E8388" t="s">
        <v>52348</v>
      </c>
      <c r="F8388" t="s">
        <v>52349</v>
      </c>
      <c r="G8388" t="s">
        <v>52350</v>
      </c>
      <c r="H8388" t="e" vm="3619">
        <f>_FV(0,"01378689455956534")</f>
        <v>#VALUE!</v>
      </c>
      <c r="I8388" t="s">
        <v>52351</v>
      </c>
      <c r="J8388" t="s">
        <v>52352</v>
      </c>
      <c r="K8388" t="s">
        <v>52353</v>
      </c>
      <c r="L8388" t="s">
        <v>52347</v>
      </c>
    </row>
    <row r="8389" spans="1:12" x14ac:dyDescent="0.25">
      <c r="A8389">
        <v>1448929</v>
      </c>
      <c r="B8389">
        <v>1448943</v>
      </c>
      <c r="D8389" t="s">
        <v>330</v>
      </c>
      <c r="E8389" t="s">
        <v>52355</v>
      </c>
      <c r="F8389" t="s">
        <v>52356</v>
      </c>
      <c r="G8389" t="s">
        <v>52357</v>
      </c>
      <c r="H8389" t="s">
        <v>52358</v>
      </c>
      <c r="I8389" t="s">
        <v>52359</v>
      </c>
      <c r="J8389" t="s">
        <v>52360</v>
      </c>
      <c r="K8389" t="s">
        <v>52361</v>
      </c>
      <c r="L8389" t="s">
        <v>52354</v>
      </c>
    </row>
    <row r="8390" spans="1:12" x14ac:dyDescent="0.25">
      <c r="A8390">
        <v>1448929</v>
      </c>
      <c r="B8390">
        <v>1457626</v>
      </c>
      <c r="D8390" t="s">
        <v>514</v>
      </c>
      <c r="E8390" t="s">
        <v>52363</v>
      </c>
      <c r="F8390" t="s">
        <v>52364</v>
      </c>
      <c r="G8390" t="s">
        <v>52365</v>
      </c>
      <c r="H8390" t="e" vm="3620">
        <f>_FV(0,"014496816976764039")</f>
        <v>#VALUE!</v>
      </c>
      <c r="I8390" t="s">
        <v>52366</v>
      </c>
      <c r="J8390" t="s">
        <v>52367</v>
      </c>
      <c r="K8390" t="s">
        <v>52368</v>
      </c>
      <c r="L8390" t="s">
        <v>52362</v>
      </c>
    </row>
    <row r="8391" spans="1:12" x14ac:dyDescent="0.25">
      <c r="A8391">
        <v>1448943</v>
      </c>
      <c r="B8391">
        <v>1457507</v>
      </c>
      <c r="D8391">
        <v>0</v>
      </c>
      <c r="E8391" t="s">
        <v>52370</v>
      </c>
      <c r="F8391" t="s">
        <v>52371</v>
      </c>
      <c r="G8391" t="s">
        <v>52372</v>
      </c>
      <c r="H8391" t="s">
        <v>52373</v>
      </c>
      <c r="I8391" t="s">
        <v>52374</v>
      </c>
      <c r="J8391" t="s">
        <v>52375</v>
      </c>
      <c r="K8391" t="s">
        <v>52376</v>
      </c>
      <c r="L8391" t="s">
        <v>52369</v>
      </c>
    </row>
    <row r="8392" spans="1:12" x14ac:dyDescent="0.25">
      <c r="A8392">
        <v>1449292</v>
      </c>
      <c r="B8392">
        <v>1449306</v>
      </c>
      <c r="D8392" t="s">
        <v>204</v>
      </c>
      <c r="E8392" t="s">
        <v>52378</v>
      </c>
      <c r="F8392" t="s">
        <v>52379</v>
      </c>
      <c r="G8392" t="s">
        <v>52380</v>
      </c>
      <c r="H8392" t="s">
        <v>52381</v>
      </c>
      <c r="I8392" t="s">
        <v>52382</v>
      </c>
      <c r="J8392" t="s">
        <v>52383</v>
      </c>
      <c r="K8392" t="s">
        <v>52384</v>
      </c>
      <c r="L8392" t="s">
        <v>52377</v>
      </c>
    </row>
    <row r="8393" spans="1:12" x14ac:dyDescent="0.25">
      <c r="A8393">
        <v>1451103</v>
      </c>
      <c r="B8393">
        <v>1451397</v>
      </c>
      <c r="D8393">
        <v>0</v>
      </c>
      <c r="E8393" t="s">
        <v>52386</v>
      </c>
      <c r="F8393" t="s">
        <v>52387</v>
      </c>
      <c r="G8393" t="s">
        <v>52388</v>
      </c>
      <c r="H8393" t="e" vm="3621">
        <f>_FV(0,"02908320704164889")</f>
        <v>#VALUE!</v>
      </c>
      <c r="I8393" t="s">
        <v>52389</v>
      </c>
      <c r="J8393" t="s">
        <v>52390</v>
      </c>
      <c r="K8393" t="s">
        <v>52391</v>
      </c>
      <c r="L8393" t="s">
        <v>52385</v>
      </c>
    </row>
    <row r="8394" spans="1:12" x14ac:dyDescent="0.25">
      <c r="A8394">
        <v>1451103</v>
      </c>
      <c r="B8394">
        <v>1451131</v>
      </c>
      <c r="D8394" t="s">
        <v>204</v>
      </c>
      <c r="E8394" t="s">
        <v>52393</v>
      </c>
      <c r="F8394" t="s">
        <v>52394</v>
      </c>
      <c r="G8394" t="s">
        <v>52395</v>
      </c>
      <c r="H8394" t="e" vm="3622">
        <f>_FV(0,"04205681647230908")</f>
        <v>#VALUE!</v>
      </c>
      <c r="I8394" t="s">
        <v>52396</v>
      </c>
      <c r="J8394" t="s">
        <v>52397</v>
      </c>
      <c r="K8394" t="s">
        <v>52398</v>
      </c>
      <c r="L8394" t="s">
        <v>52392</v>
      </c>
    </row>
    <row r="8395" spans="1:12" x14ac:dyDescent="0.25">
      <c r="A8395">
        <v>1451103</v>
      </c>
      <c r="B8395">
        <v>1451175</v>
      </c>
      <c r="D8395">
        <v>1</v>
      </c>
      <c r="E8395" t="s">
        <v>52400</v>
      </c>
      <c r="F8395" t="s">
        <v>52401</v>
      </c>
      <c r="G8395" t="s">
        <v>52402</v>
      </c>
      <c r="H8395" t="e" vm="3623">
        <f>_FV(0,"04294054288555499")</f>
        <v>#VALUE!</v>
      </c>
      <c r="I8395" t="s">
        <v>52403</v>
      </c>
      <c r="J8395" t="s">
        <v>52404</v>
      </c>
      <c r="K8395" t="s">
        <v>52405</v>
      </c>
      <c r="L8395" t="s">
        <v>52399</v>
      </c>
    </row>
    <row r="8396" spans="1:12" x14ac:dyDescent="0.25">
      <c r="A8396">
        <v>1451131</v>
      </c>
      <c r="B8396">
        <v>1451179</v>
      </c>
      <c r="D8396">
        <v>1</v>
      </c>
      <c r="E8396" t="s">
        <v>52407</v>
      </c>
      <c r="F8396" t="s">
        <v>52408</v>
      </c>
      <c r="G8396" t="s">
        <v>52409</v>
      </c>
      <c r="H8396" t="s">
        <v>52410</v>
      </c>
      <c r="I8396" t="s">
        <v>52411</v>
      </c>
      <c r="J8396" t="s">
        <v>52412</v>
      </c>
      <c r="K8396" t="s">
        <v>52413</v>
      </c>
      <c r="L8396" t="s">
        <v>52406</v>
      </c>
    </row>
    <row r="8397" spans="1:12" x14ac:dyDescent="0.25">
      <c r="A8397">
        <v>1451175</v>
      </c>
      <c r="B8397">
        <v>1451179</v>
      </c>
      <c r="D8397" t="s">
        <v>204</v>
      </c>
      <c r="E8397" t="s">
        <v>52415</v>
      </c>
      <c r="F8397" t="s">
        <v>52416</v>
      </c>
      <c r="G8397" t="s">
        <v>52417</v>
      </c>
      <c r="H8397" t="s">
        <v>52418</v>
      </c>
      <c r="I8397" t="s">
        <v>52419</v>
      </c>
      <c r="J8397" t="s">
        <v>52420</v>
      </c>
      <c r="K8397" t="s">
        <v>52421</v>
      </c>
      <c r="L8397" t="s">
        <v>52414</v>
      </c>
    </row>
    <row r="8398" spans="1:12" x14ac:dyDescent="0.25">
      <c r="A8398">
        <v>1451175</v>
      </c>
      <c r="B8398">
        <v>1549128</v>
      </c>
      <c r="D8398">
        <v>0</v>
      </c>
      <c r="E8398" t="s">
        <v>52423</v>
      </c>
      <c r="F8398" t="s">
        <v>52424</v>
      </c>
      <c r="G8398" t="s">
        <v>52425</v>
      </c>
      <c r="H8398" t="e" vm="3624">
        <f>_FV(0,"005597819969947221")</f>
        <v>#VALUE!</v>
      </c>
      <c r="I8398" t="s">
        <v>52426</v>
      </c>
      <c r="J8398" t="s">
        <v>52427</v>
      </c>
      <c r="K8398" t="s">
        <v>52428</v>
      </c>
      <c r="L8398" t="s">
        <v>52422</v>
      </c>
    </row>
    <row r="8399" spans="1:12" x14ac:dyDescent="0.25">
      <c r="A8399">
        <v>1451179</v>
      </c>
      <c r="B8399">
        <v>1549146</v>
      </c>
      <c r="C8399" t="s">
        <v>52430</v>
      </c>
      <c r="D8399">
        <v>0</v>
      </c>
      <c r="E8399" t="s">
        <v>52431</v>
      </c>
      <c r="F8399" t="s">
        <v>52432</v>
      </c>
      <c r="G8399" t="s">
        <v>52433</v>
      </c>
      <c r="H8399" t="s">
        <v>52434</v>
      </c>
      <c r="I8399" t="s">
        <v>52435</v>
      </c>
      <c r="J8399" t="s">
        <v>52436</v>
      </c>
      <c r="K8399" t="s">
        <v>52437</v>
      </c>
      <c r="L8399" t="s">
        <v>52429</v>
      </c>
    </row>
    <row r="8400" spans="1:12" x14ac:dyDescent="0.25">
      <c r="A8400">
        <v>1451397</v>
      </c>
      <c r="B8400">
        <v>1549128</v>
      </c>
      <c r="D8400">
        <v>0</v>
      </c>
      <c r="E8400" t="s">
        <v>52439</v>
      </c>
      <c r="F8400" t="s">
        <v>52440</v>
      </c>
      <c r="G8400" t="s">
        <v>52441</v>
      </c>
      <c r="H8400" t="s">
        <v>52442</v>
      </c>
      <c r="I8400" t="s">
        <v>52443</v>
      </c>
      <c r="J8400" t="s">
        <v>52444</v>
      </c>
      <c r="K8400" t="s">
        <v>52445</v>
      </c>
      <c r="L8400" t="s">
        <v>52438</v>
      </c>
    </row>
    <row r="8401" spans="1:12" x14ac:dyDescent="0.25">
      <c r="A8401">
        <v>1451473</v>
      </c>
      <c r="B8401">
        <v>1548618</v>
      </c>
      <c r="D8401">
        <v>0</v>
      </c>
      <c r="E8401" t="s">
        <v>52447</v>
      </c>
      <c r="F8401" t="s">
        <v>52448</v>
      </c>
      <c r="G8401" t="s">
        <v>52449</v>
      </c>
      <c r="H8401" t="e" vm="3625">
        <f>_FV(0,"005527404156914877")</f>
        <v>#VALUE!</v>
      </c>
      <c r="I8401" t="s">
        <v>52450</v>
      </c>
      <c r="J8401" t="s">
        <v>52451</v>
      </c>
      <c r="K8401" t="s">
        <v>52452</v>
      </c>
      <c r="L8401" t="s">
        <v>52446</v>
      </c>
    </row>
    <row r="8402" spans="1:12" x14ac:dyDescent="0.25">
      <c r="A8402">
        <v>1452372</v>
      </c>
      <c r="B8402">
        <v>1452380</v>
      </c>
      <c r="D8402">
        <v>0</v>
      </c>
      <c r="E8402" t="s">
        <v>52454</v>
      </c>
      <c r="F8402" t="s">
        <v>52455</v>
      </c>
      <c r="G8402" t="s">
        <v>52456</v>
      </c>
      <c r="H8402" t="s">
        <v>52457</v>
      </c>
      <c r="I8402" t="s">
        <v>52458</v>
      </c>
      <c r="J8402" t="s">
        <v>52459</v>
      </c>
      <c r="K8402" t="s">
        <v>52460</v>
      </c>
      <c r="L8402" t="s">
        <v>52453</v>
      </c>
    </row>
    <row r="8403" spans="1:12" x14ac:dyDescent="0.25">
      <c r="A8403">
        <v>1452372</v>
      </c>
      <c r="B8403">
        <v>1452388</v>
      </c>
      <c r="D8403">
        <v>0</v>
      </c>
      <c r="E8403" t="s">
        <v>52462</v>
      </c>
      <c r="F8403" t="s">
        <v>52463</v>
      </c>
      <c r="G8403" t="s">
        <v>52464</v>
      </c>
      <c r="H8403" t="s">
        <v>52465</v>
      </c>
      <c r="I8403" t="s">
        <v>52466</v>
      </c>
      <c r="J8403" t="s">
        <v>52467</v>
      </c>
      <c r="K8403" t="s">
        <v>52468</v>
      </c>
      <c r="L8403" t="s">
        <v>52461</v>
      </c>
    </row>
    <row r="8404" spans="1:12" x14ac:dyDescent="0.25">
      <c r="A8404">
        <v>1452372</v>
      </c>
      <c r="B8404">
        <v>1517735</v>
      </c>
      <c r="D8404" t="s">
        <v>52470</v>
      </c>
      <c r="E8404" t="s">
        <v>52471</v>
      </c>
      <c r="F8404" t="s">
        <v>52472</v>
      </c>
      <c r="G8404" t="s">
        <v>52473</v>
      </c>
      <c r="H8404" t="e" vm="3626">
        <f>_FV(0,"001663922119226541")</f>
        <v>#VALUE!</v>
      </c>
      <c r="I8404" t="s">
        <v>52474</v>
      </c>
      <c r="J8404" t="s">
        <v>52475</v>
      </c>
      <c r="K8404" t="s">
        <v>52476</v>
      </c>
      <c r="L8404" t="s">
        <v>52469</v>
      </c>
    </row>
    <row r="8405" spans="1:12" x14ac:dyDescent="0.25">
      <c r="A8405">
        <v>1452388</v>
      </c>
      <c r="B8405">
        <v>1452399</v>
      </c>
      <c r="D8405">
        <v>0</v>
      </c>
      <c r="E8405" t="s">
        <v>52478</v>
      </c>
      <c r="F8405" t="s">
        <v>52479</v>
      </c>
      <c r="G8405" t="s">
        <v>52480</v>
      </c>
      <c r="H8405" t="s">
        <v>52481</v>
      </c>
      <c r="I8405" t="s">
        <v>52482</v>
      </c>
      <c r="J8405" t="s">
        <v>52483</v>
      </c>
      <c r="K8405" t="s">
        <v>52484</v>
      </c>
      <c r="L8405" t="s">
        <v>52477</v>
      </c>
    </row>
    <row r="8406" spans="1:12" x14ac:dyDescent="0.25">
      <c r="A8406">
        <v>1452388</v>
      </c>
      <c r="B8406">
        <v>1517784</v>
      </c>
      <c r="D8406">
        <v>0</v>
      </c>
      <c r="E8406" t="s">
        <v>52486</v>
      </c>
      <c r="F8406" t="s">
        <v>52487</v>
      </c>
      <c r="G8406" t="s">
        <v>52488</v>
      </c>
      <c r="H8406" t="s">
        <v>52489</v>
      </c>
      <c r="I8406" t="s">
        <v>52490</v>
      </c>
      <c r="J8406" t="s">
        <v>52491</v>
      </c>
      <c r="K8406" t="s">
        <v>52492</v>
      </c>
      <c r="L8406" t="s">
        <v>52485</v>
      </c>
    </row>
    <row r="8407" spans="1:12" x14ac:dyDescent="0.25">
      <c r="A8407">
        <v>1453439</v>
      </c>
      <c r="B8407">
        <v>1453455</v>
      </c>
      <c r="C8407" t="s">
        <v>52494</v>
      </c>
      <c r="D8407">
        <v>0</v>
      </c>
      <c r="E8407" t="s">
        <v>52495</v>
      </c>
      <c r="F8407" t="s">
        <v>52496</v>
      </c>
      <c r="G8407" t="s">
        <v>52497</v>
      </c>
      <c r="H8407" t="e" vm="3627">
        <f>_FV(0,"06520362552371747")</f>
        <v>#VALUE!</v>
      </c>
      <c r="I8407" t="s">
        <v>52498</v>
      </c>
      <c r="J8407" t="s">
        <v>52499</v>
      </c>
      <c r="K8407" t="s">
        <v>52500</v>
      </c>
      <c r="L8407" t="s">
        <v>52493</v>
      </c>
    </row>
    <row r="8408" spans="1:12" x14ac:dyDescent="0.25">
      <c r="A8408">
        <v>1454836</v>
      </c>
      <c r="B8408">
        <v>1602641</v>
      </c>
      <c r="D8408" t="s">
        <v>52502</v>
      </c>
      <c r="E8408" t="s">
        <v>52503</v>
      </c>
      <c r="F8408" t="s">
        <v>52504</v>
      </c>
      <c r="G8408" t="s">
        <v>52505</v>
      </c>
      <c r="H8408" t="s">
        <v>52506</v>
      </c>
      <c r="I8408" t="s">
        <v>52507</v>
      </c>
      <c r="J8408" t="s">
        <v>52508</v>
      </c>
      <c r="K8408" t="s">
        <v>52509</v>
      </c>
      <c r="L8408" t="s">
        <v>52501</v>
      </c>
    </row>
    <row r="8409" spans="1:12" x14ac:dyDescent="0.25">
      <c r="A8409">
        <v>1454836</v>
      </c>
      <c r="B8409">
        <v>1498856</v>
      </c>
      <c r="D8409" t="s">
        <v>5007</v>
      </c>
      <c r="E8409" t="s">
        <v>52511</v>
      </c>
      <c r="F8409" t="s">
        <v>52512</v>
      </c>
      <c r="G8409" t="s">
        <v>52513</v>
      </c>
      <c r="H8409" t="e" vm="3628">
        <f>_FV(0,"03226967622027544")</f>
        <v>#VALUE!</v>
      </c>
      <c r="I8409" t="s">
        <v>52514</v>
      </c>
      <c r="J8409" t="s">
        <v>52515</v>
      </c>
      <c r="K8409" t="s">
        <v>52516</v>
      </c>
      <c r="L8409" t="s">
        <v>52510</v>
      </c>
    </row>
    <row r="8410" spans="1:12" x14ac:dyDescent="0.25">
      <c r="A8410">
        <v>1455225</v>
      </c>
      <c r="B8410">
        <v>1662627</v>
      </c>
      <c r="D8410">
        <v>0</v>
      </c>
      <c r="E8410" t="s">
        <v>52518</v>
      </c>
      <c r="F8410" t="s">
        <v>52519</v>
      </c>
      <c r="G8410" t="s">
        <v>52520</v>
      </c>
      <c r="H8410" t="s">
        <v>52521</v>
      </c>
      <c r="I8410" t="s">
        <v>52522</v>
      </c>
      <c r="J8410" t="s">
        <v>52523</v>
      </c>
      <c r="K8410" t="s">
        <v>52524</v>
      </c>
      <c r="L8410" t="s">
        <v>52517</v>
      </c>
    </row>
    <row r="8411" spans="1:12" x14ac:dyDescent="0.25">
      <c r="A8411">
        <v>1455254</v>
      </c>
      <c r="B8411">
        <v>1854841</v>
      </c>
      <c r="C8411" t="s">
        <v>52525</v>
      </c>
      <c r="D8411">
        <v>0</v>
      </c>
      <c r="E8411" t="s">
        <v>52526</v>
      </c>
      <c r="H8411" t="s">
        <v>187</v>
      </c>
      <c r="J8411">
        <v>0</v>
      </c>
      <c r="K8411" t="s">
        <v>34213</v>
      </c>
      <c r="L8411">
        <v>0</v>
      </c>
    </row>
    <row r="8412" spans="1:12" x14ac:dyDescent="0.25">
      <c r="A8412">
        <v>1457385</v>
      </c>
      <c r="B8412">
        <v>1457419</v>
      </c>
      <c r="D8412">
        <v>0</v>
      </c>
      <c r="F8412">
        <v>1629774</v>
      </c>
      <c r="G8412">
        <v>1457385</v>
      </c>
      <c r="H8412" t="s">
        <v>2152</v>
      </c>
      <c r="I8412">
        <v>1457419</v>
      </c>
      <c r="J8412" t="s">
        <v>2152</v>
      </c>
      <c r="K8412" t="s">
        <v>52527</v>
      </c>
      <c r="L8412" t="s">
        <v>2152</v>
      </c>
    </row>
    <row r="8413" spans="1:12" x14ac:dyDescent="0.25">
      <c r="A8413">
        <v>1457404</v>
      </c>
      <c r="B8413">
        <v>1457419</v>
      </c>
      <c r="D8413">
        <v>0</v>
      </c>
      <c r="E8413" t="s">
        <v>52529</v>
      </c>
      <c r="F8413" t="s">
        <v>52530</v>
      </c>
      <c r="G8413" t="s">
        <v>52531</v>
      </c>
      <c r="H8413" t="s">
        <v>52532</v>
      </c>
      <c r="I8413" t="s">
        <v>52533</v>
      </c>
      <c r="J8413" t="s">
        <v>52528</v>
      </c>
      <c r="K8413" t="s">
        <v>52534</v>
      </c>
      <c r="L8413" t="s">
        <v>52528</v>
      </c>
    </row>
    <row r="8414" spans="1:12" x14ac:dyDescent="0.25">
      <c r="A8414">
        <v>1457404</v>
      </c>
      <c r="B8414">
        <v>1457436</v>
      </c>
      <c r="D8414">
        <v>0</v>
      </c>
      <c r="E8414" t="s">
        <v>52535</v>
      </c>
      <c r="F8414" t="s">
        <v>52536</v>
      </c>
      <c r="G8414" t="s">
        <v>52537</v>
      </c>
      <c r="H8414" t="e" vm="3629">
        <f>_FV(0,"03730013557475149")</f>
        <v>#VALUE!</v>
      </c>
      <c r="I8414" t="s">
        <v>52538</v>
      </c>
      <c r="J8414" t="s">
        <v>25899</v>
      </c>
      <c r="K8414" t="s">
        <v>52539</v>
      </c>
      <c r="L8414" t="s">
        <v>25894</v>
      </c>
    </row>
    <row r="8415" spans="1:12" x14ac:dyDescent="0.25">
      <c r="A8415">
        <v>1457419</v>
      </c>
      <c r="B8415">
        <v>1457436</v>
      </c>
      <c r="D8415">
        <v>0</v>
      </c>
      <c r="E8415" t="s">
        <v>52540</v>
      </c>
      <c r="F8415" t="s">
        <v>52541</v>
      </c>
      <c r="G8415" t="s">
        <v>52542</v>
      </c>
      <c r="H8415" t="e" vm="1209">
        <f>_FV(0,"042")</f>
        <v>#VALUE!</v>
      </c>
      <c r="I8415" t="s">
        <v>52543</v>
      </c>
      <c r="J8415" t="s">
        <v>3161</v>
      </c>
      <c r="K8415" t="s">
        <v>52544</v>
      </c>
      <c r="L8415" t="e" vm="1209">
        <f>_FV(0,"042")</f>
        <v>#VALUE!</v>
      </c>
    </row>
    <row r="8416" spans="1:12" x14ac:dyDescent="0.25">
      <c r="A8416">
        <v>1457436</v>
      </c>
      <c r="B8416">
        <v>1457447</v>
      </c>
      <c r="D8416" t="s">
        <v>1839</v>
      </c>
      <c r="E8416" t="s">
        <v>52545</v>
      </c>
      <c r="F8416" t="s">
        <v>52546</v>
      </c>
      <c r="G8416" t="s">
        <v>52547</v>
      </c>
      <c r="H8416" t="e" vm="298">
        <f>_FV(0,"044")</f>
        <v>#VALUE!</v>
      </c>
      <c r="I8416" t="s">
        <v>52548</v>
      </c>
      <c r="J8416" t="s">
        <v>4331</v>
      </c>
      <c r="K8416" t="s">
        <v>52549</v>
      </c>
      <c r="L8416" t="e" vm="298">
        <f>_FV(0,"044")</f>
        <v>#VALUE!</v>
      </c>
    </row>
    <row r="8417" spans="1:12" x14ac:dyDescent="0.25">
      <c r="A8417">
        <v>1457507</v>
      </c>
      <c r="B8417">
        <v>1457626</v>
      </c>
      <c r="D8417">
        <v>0</v>
      </c>
      <c r="F8417">
        <v>1630156</v>
      </c>
      <c r="G8417">
        <v>1457626</v>
      </c>
      <c r="H8417" t="e" vm="481">
        <f>_FV(0,"029")</f>
        <v>#VALUE!</v>
      </c>
      <c r="I8417">
        <v>1457507</v>
      </c>
      <c r="J8417" t="s">
        <v>5410</v>
      </c>
      <c r="K8417" t="s">
        <v>52550</v>
      </c>
      <c r="L8417" t="e" vm="481">
        <f>_FV(0,"029")</f>
        <v>#VALUE!</v>
      </c>
    </row>
    <row r="8418" spans="1:12" x14ac:dyDescent="0.25">
      <c r="A8418">
        <v>1457507</v>
      </c>
      <c r="B8418">
        <v>1457545</v>
      </c>
      <c r="D8418">
        <v>0</v>
      </c>
      <c r="E8418" t="s">
        <v>52552</v>
      </c>
      <c r="F8418" t="s">
        <v>52553</v>
      </c>
      <c r="G8418" t="s">
        <v>52554</v>
      </c>
      <c r="H8418" t="e" vm="3630">
        <f>_FV(0,"005963148429327047")</f>
        <v>#VALUE!</v>
      </c>
      <c r="I8418" t="s">
        <v>52555</v>
      </c>
      <c r="J8418" t="s">
        <v>52556</v>
      </c>
      <c r="K8418" t="s">
        <v>52557</v>
      </c>
      <c r="L8418" t="s">
        <v>52551</v>
      </c>
    </row>
    <row r="8419" spans="1:12" x14ac:dyDescent="0.25">
      <c r="A8419">
        <v>1457543</v>
      </c>
      <c r="B8419">
        <v>1457545</v>
      </c>
      <c r="D8419">
        <v>0</v>
      </c>
      <c r="E8419" t="s">
        <v>52558</v>
      </c>
      <c r="F8419" t="s">
        <v>52559</v>
      </c>
      <c r="G8419" t="s">
        <v>52560</v>
      </c>
      <c r="H8419" t="e" vm="3631">
        <f>_FV(0,"024027634415020798")</f>
        <v>#VALUE!</v>
      </c>
      <c r="I8419" t="s">
        <v>52561</v>
      </c>
      <c r="J8419" t="s">
        <v>1426</v>
      </c>
      <c r="K8419" t="s">
        <v>52562</v>
      </c>
      <c r="L8419" t="s">
        <v>32971</v>
      </c>
    </row>
    <row r="8420" spans="1:12" x14ac:dyDescent="0.25">
      <c r="A8420">
        <v>1457543</v>
      </c>
      <c r="B8420">
        <v>1457581</v>
      </c>
      <c r="D8420">
        <v>0</v>
      </c>
      <c r="E8420" t="s">
        <v>52563</v>
      </c>
      <c r="F8420" t="s">
        <v>52564</v>
      </c>
      <c r="G8420" t="s">
        <v>52565</v>
      </c>
      <c r="H8420" t="e" vm="3632">
        <f>_FV(0,"018295375273493064")</f>
        <v>#VALUE!</v>
      </c>
      <c r="I8420" t="s">
        <v>52566</v>
      </c>
      <c r="J8420" t="s">
        <v>11633</v>
      </c>
      <c r="K8420" t="s">
        <v>52567</v>
      </c>
      <c r="L8420" t="s">
        <v>11628</v>
      </c>
    </row>
    <row r="8421" spans="1:12" x14ac:dyDescent="0.25">
      <c r="A8421">
        <v>1457543</v>
      </c>
      <c r="B8421">
        <v>1457552</v>
      </c>
      <c r="D8421">
        <v>0</v>
      </c>
      <c r="E8421" t="s">
        <v>52569</v>
      </c>
      <c r="F8421" t="s">
        <v>52570</v>
      </c>
      <c r="G8421" t="s">
        <v>52571</v>
      </c>
      <c r="H8421" t="e" vm="3633">
        <f>_FV(0,"0019077757017250088")</f>
        <v>#VALUE!</v>
      </c>
      <c r="I8421" t="s">
        <v>52572</v>
      </c>
      <c r="J8421" t="s">
        <v>761</v>
      </c>
      <c r="K8421" t="s">
        <v>52573</v>
      </c>
      <c r="L8421" t="s">
        <v>52568</v>
      </c>
    </row>
    <row r="8422" spans="1:12" x14ac:dyDescent="0.25">
      <c r="A8422">
        <v>1457545</v>
      </c>
      <c r="B8422">
        <v>1457581</v>
      </c>
      <c r="D8422">
        <v>0</v>
      </c>
      <c r="E8422" t="s">
        <v>52575</v>
      </c>
      <c r="F8422" t="s">
        <v>52576</v>
      </c>
      <c r="G8422" t="s">
        <v>52577</v>
      </c>
      <c r="H8422" t="e" vm="3634">
        <f>_FV(0,"01171689215708341")</f>
        <v>#VALUE!</v>
      </c>
      <c r="I8422" t="s">
        <v>52578</v>
      </c>
      <c r="J8422" t="s">
        <v>52579</v>
      </c>
      <c r="K8422" t="s">
        <v>52580</v>
      </c>
      <c r="L8422" t="s">
        <v>52574</v>
      </c>
    </row>
    <row r="8423" spans="1:12" x14ac:dyDescent="0.25">
      <c r="A8423">
        <v>1457552</v>
      </c>
      <c r="B8423">
        <v>1457671</v>
      </c>
      <c r="D8423">
        <v>0</v>
      </c>
      <c r="E8423" t="s">
        <v>52581</v>
      </c>
      <c r="F8423" t="s">
        <v>52582</v>
      </c>
      <c r="G8423" t="s">
        <v>52583</v>
      </c>
      <c r="H8423" t="s">
        <v>52584</v>
      </c>
      <c r="I8423" t="s">
        <v>52585</v>
      </c>
      <c r="J8423" t="s">
        <v>38923</v>
      </c>
      <c r="K8423" t="s">
        <v>52586</v>
      </c>
      <c r="L8423" t="s">
        <v>38923</v>
      </c>
    </row>
    <row r="8424" spans="1:12" x14ac:dyDescent="0.25">
      <c r="A8424">
        <v>1457552</v>
      </c>
      <c r="B8424">
        <v>1457688</v>
      </c>
      <c r="D8424">
        <v>0</v>
      </c>
      <c r="E8424" t="s">
        <v>52588</v>
      </c>
      <c r="F8424" t="s">
        <v>52589</v>
      </c>
      <c r="G8424" t="s">
        <v>52590</v>
      </c>
      <c r="H8424" t="e" vm="3635">
        <f>_FV(0,"0043747914913036074")</f>
        <v>#VALUE!</v>
      </c>
      <c r="I8424" t="s">
        <v>52591</v>
      </c>
      <c r="J8424" t="s">
        <v>52592</v>
      </c>
      <c r="K8424" t="s">
        <v>52593</v>
      </c>
      <c r="L8424" t="s">
        <v>52587</v>
      </c>
    </row>
    <row r="8425" spans="1:12" x14ac:dyDescent="0.25">
      <c r="A8425">
        <v>1457581</v>
      </c>
      <c r="B8425">
        <v>1457626</v>
      </c>
      <c r="D8425">
        <v>0</v>
      </c>
      <c r="F8425">
        <v>1630174</v>
      </c>
      <c r="G8425">
        <v>1457581</v>
      </c>
      <c r="H8425" t="s">
        <v>43001</v>
      </c>
      <c r="I8425">
        <v>1457626</v>
      </c>
      <c r="J8425" t="s">
        <v>43001</v>
      </c>
      <c r="K8425" t="s">
        <v>52594</v>
      </c>
      <c r="L8425" t="s">
        <v>43001</v>
      </c>
    </row>
    <row r="8426" spans="1:12" x14ac:dyDescent="0.25">
      <c r="A8426">
        <v>1457640</v>
      </c>
      <c r="B8426">
        <v>1457671</v>
      </c>
      <c r="D8426">
        <v>0</v>
      </c>
      <c r="F8426">
        <v>1630059</v>
      </c>
      <c r="G8426">
        <v>1457671</v>
      </c>
      <c r="H8426" t="s">
        <v>30</v>
      </c>
      <c r="I8426">
        <v>1457640</v>
      </c>
      <c r="J8426" t="s">
        <v>30</v>
      </c>
      <c r="K8426" t="s">
        <v>52595</v>
      </c>
      <c r="L8426" t="s">
        <v>30</v>
      </c>
    </row>
    <row r="8427" spans="1:12" x14ac:dyDescent="0.25">
      <c r="A8427">
        <v>1457640</v>
      </c>
      <c r="B8427">
        <v>1457698</v>
      </c>
      <c r="D8427">
        <v>0</v>
      </c>
      <c r="E8427" t="s">
        <v>52597</v>
      </c>
      <c r="F8427" t="s">
        <v>52598</v>
      </c>
      <c r="G8427" t="s">
        <v>52599</v>
      </c>
      <c r="H8427" t="e" vm="3636">
        <f>_FV(0,"011436290924160191")</f>
        <v>#VALUE!</v>
      </c>
      <c r="I8427" t="s">
        <v>52600</v>
      </c>
      <c r="J8427" t="s">
        <v>52601</v>
      </c>
      <c r="K8427" t="s">
        <v>52602</v>
      </c>
      <c r="L8427" t="s">
        <v>52596</v>
      </c>
    </row>
    <row r="8428" spans="1:12" x14ac:dyDescent="0.25">
      <c r="A8428">
        <v>1457671</v>
      </c>
      <c r="B8428">
        <v>1457688</v>
      </c>
      <c r="D8428">
        <v>0</v>
      </c>
      <c r="E8428" t="s">
        <v>52604</v>
      </c>
      <c r="F8428" t="s">
        <v>52605</v>
      </c>
      <c r="G8428" t="s">
        <v>52606</v>
      </c>
      <c r="H8428" t="s">
        <v>52607</v>
      </c>
      <c r="I8428" t="s">
        <v>52608</v>
      </c>
      <c r="J8428" t="s">
        <v>52603</v>
      </c>
      <c r="K8428" t="s">
        <v>52609</v>
      </c>
      <c r="L8428" t="s">
        <v>52603</v>
      </c>
    </row>
    <row r="8429" spans="1:12" x14ac:dyDescent="0.25">
      <c r="A8429">
        <v>1457688</v>
      </c>
      <c r="B8429">
        <v>1457698</v>
      </c>
      <c r="D8429">
        <v>0</v>
      </c>
      <c r="F8429">
        <v>1630083</v>
      </c>
      <c r="G8429">
        <v>1457698</v>
      </c>
      <c r="H8429" t="s">
        <v>239</v>
      </c>
      <c r="I8429">
        <v>1457688</v>
      </c>
      <c r="J8429" t="s">
        <v>239</v>
      </c>
      <c r="K8429" t="s">
        <v>52610</v>
      </c>
      <c r="L8429" t="s">
        <v>239</v>
      </c>
    </row>
    <row r="8430" spans="1:12" x14ac:dyDescent="0.25">
      <c r="A8430">
        <v>1457792</v>
      </c>
      <c r="B8430">
        <v>1457801</v>
      </c>
      <c r="D8430">
        <v>0</v>
      </c>
      <c r="F8430">
        <v>1630209</v>
      </c>
      <c r="G8430">
        <v>1457801</v>
      </c>
      <c r="H8430" t="s">
        <v>1783</v>
      </c>
      <c r="I8430">
        <v>1457792</v>
      </c>
      <c r="J8430" t="s">
        <v>1783</v>
      </c>
      <c r="K8430" t="s">
        <v>52611</v>
      </c>
      <c r="L8430" t="s">
        <v>1783</v>
      </c>
    </row>
    <row r="8431" spans="1:12" x14ac:dyDescent="0.25">
      <c r="A8431">
        <v>1457792</v>
      </c>
      <c r="B8431">
        <v>1457814</v>
      </c>
      <c r="D8431">
        <v>0</v>
      </c>
      <c r="E8431" t="s">
        <v>52613</v>
      </c>
      <c r="F8431" t="s">
        <v>52614</v>
      </c>
      <c r="G8431" t="s">
        <v>52615</v>
      </c>
      <c r="H8431" t="s">
        <v>52616</v>
      </c>
      <c r="I8431" t="s">
        <v>52617</v>
      </c>
      <c r="J8431" t="s">
        <v>52618</v>
      </c>
      <c r="K8431" t="s">
        <v>52619</v>
      </c>
      <c r="L8431" t="s">
        <v>52612</v>
      </c>
    </row>
    <row r="8432" spans="1:12" x14ac:dyDescent="0.25">
      <c r="A8432">
        <v>1459275</v>
      </c>
      <c r="B8432">
        <v>1459284</v>
      </c>
      <c r="D8432">
        <v>0</v>
      </c>
      <c r="E8432" t="s">
        <v>52621</v>
      </c>
      <c r="F8432" t="s">
        <v>52622</v>
      </c>
      <c r="G8432" t="s">
        <v>52623</v>
      </c>
      <c r="H8432" t="e" vm="3637">
        <f>_FV(0,"003494657040871462")</f>
        <v>#VALUE!</v>
      </c>
      <c r="I8432" t="s">
        <v>52624</v>
      </c>
      <c r="J8432" t="s">
        <v>52625</v>
      </c>
      <c r="K8432" t="s">
        <v>52626</v>
      </c>
      <c r="L8432" t="s">
        <v>52620</v>
      </c>
    </row>
    <row r="8433" spans="1:12" x14ac:dyDescent="0.25">
      <c r="A8433">
        <v>1459316</v>
      </c>
      <c r="B8433">
        <v>1459320</v>
      </c>
      <c r="D8433">
        <v>0</v>
      </c>
      <c r="F8433">
        <v>1632058</v>
      </c>
      <c r="G8433">
        <v>1459320</v>
      </c>
      <c r="H8433" t="e" vm="1006">
        <f>_FV(0,"006")</f>
        <v>#VALUE!</v>
      </c>
      <c r="I8433">
        <v>1459316</v>
      </c>
      <c r="J8433" t="s">
        <v>250</v>
      </c>
      <c r="K8433" t="s">
        <v>52627</v>
      </c>
      <c r="L8433" t="e" vm="1006">
        <f>_FV(0,"006")</f>
        <v>#VALUE!</v>
      </c>
    </row>
    <row r="8434" spans="1:12" x14ac:dyDescent="0.25">
      <c r="A8434">
        <v>1461371</v>
      </c>
      <c r="B8434">
        <v>1461385</v>
      </c>
      <c r="D8434">
        <v>0</v>
      </c>
      <c r="E8434" t="s">
        <v>52629</v>
      </c>
      <c r="F8434" t="s">
        <v>52630</v>
      </c>
      <c r="G8434" t="s">
        <v>52631</v>
      </c>
      <c r="H8434" t="s">
        <v>52632</v>
      </c>
      <c r="I8434" t="s">
        <v>52633</v>
      </c>
      <c r="J8434" t="s">
        <v>52634</v>
      </c>
      <c r="K8434" t="s">
        <v>52635</v>
      </c>
      <c r="L8434" t="s">
        <v>52628</v>
      </c>
    </row>
    <row r="8435" spans="1:12" x14ac:dyDescent="0.25">
      <c r="A8435">
        <v>1461773</v>
      </c>
      <c r="B8435">
        <v>1465541</v>
      </c>
      <c r="D8435">
        <v>0</v>
      </c>
      <c r="E8435" t="s">
        <v>52637</v>
      </c>
      <c r="F8435" t="s">
        <v>52638</v>
      </c>
      <c r="G8435" t="s">
        <v>52639</v>
      </c>
      <c r="H8435" t="s">
        <v>52640</v>
      </c>
      <c r="I8435" t="s">
        <v>52641</v>
      </c>
      <c r="J8435" t="s">
        <v>52642</v>
      </c>
      <c r="K8435" t="s">
        <v>52643</v>
      </c>
      <c r="L8435" t="s">
        <v>52636</v>
      </c>
    </row>
    <row r="8436" spans="1:12" x14ac:dyDescent="0.25">
      <c r="A8436">
        <v>1461895</v>
      </c>
      <c r="B8436">
        <v>1465770</v>
      </c>
      <c r="D8436">
        <v>0</v>
      </c>
      <c r="E8436" t="s">
        <v>52645</v>
      </c>
      <c r="F8436" t="s">
        <v>52646</v>
      </c>
      <c r="G8436" t="s">
        <v>52647</v>
      </c>
      <c r="H8436" t="s">
        <v>52648</v>
      </c>
      <c r="I8436" t="s">
        <v>52649</v>
      </c>
      <c r="J8436" t="s">
        <v>52650</v>
      </c>
      <c r="K8436" t="s">
        <v>52651</v>
      </c>
      <c r="L8436" t="s">
        <v>52644</v>
      </c>
    </row>
    <row r="8437" spans="1:12" x14ac:dyDescent="0.25">
      <c r="A8437">
        <v>1465541</v>
      </c>
      <c r="B8437">
        <v>1531845</v>
      </c>
      <c r="D8437">
        <v>0</v>
      </c>
      <c r="F8437">
        <v>2094480</v>
      </c>
      <c r="G8437">
        <v>1465541</v>
      </c>
      <c r="H8437" t="s">
        <v>11783</v>
      </c>
      <c r="I8437">
        <v>1531845</v>
      </c>
      <c r="J8437" t="s">
        <v>11783</v>
      </c>
      <c r="K8437" t="s">
        <v>52652</v>
      </c>
      <c r="L8437" t="s">
        <v>11783</v>
      </c>
    </row>
    <row r="8438" spans="1:12" x14ac:dyDescent="0.25">
      <c r="A8438">
        <v>1465770</v>
      </c>
      <c r="B8438">
        <v>1531927</v>
      </c>
      <c r="D8438">
        <v>0</v>
      </c>
      <c r="F8438">
        <v>2094562</v>
      </c>
      <c r="G8438">
        <v>1531927</v>
      </c>
      <c r="H8438" t="e" vm="412">
        <f>_FV(0,"046")</f>
        <v>#VALUE!</v>
      </c>
      <c r="I8438">
        <v>1465770</v>
      </c>
      <c r="J8438" t="s">
        <v>5837</v>
      </c>
      <c r="K8438" t="s">
        <v>52653</v>
      </c>
      <c r="L8438" t="e" vm="412">
        <f>_FV(0,"046")</f>
        <v>#VALUE!</v>
      </c>
    </row>
    <row r="8439" spans="1:12" x14ac:dyDescent="0.25">
      <c r="A8439">
        <v>1497902</v>
      </c>
      <c r="B8439">
        <v>1497984</v>
      </c>
      <c r="D8439" t="s">
        <v>52655</v>
      </c>
      <c r="E8439" t="s">
        <v>52656</v>
      </c>
      <c r="F8439" t="s">
        <v>52657</v>
      </c>
      <c r="G8439" t="s">
        <v>52658</v>
      </c>
      <c r="H8439" t="e" vm="3638">
        <f>_FV(0,"010089024992912348")</f>
        <v>#VALUE!</v>
      </c>
      <c r="I8439" t="s">
        <v>52659</v>
      </c>
      <c r="J8439" t="s">
        <v>52660</v>
      </c>
      <c r="K8439" t="s">
        <v>52661</v>
      </c>
      <c r="L8439" t="s">
        <v>52654</v>
      </c>
    </row>
    <row r="8440" spans="1:12" x14ac:dyDescent="0.25">
      <c r="A8440">
        <v>1497984</v>
      </c>
      <c r="B8440">
        <v>1498010</v>
      </c>
      <c r="D8440" t="s">
        <v>257</v>
      </c>
      <c r="E8440" t="s">
        <v>52663</v>
      </c>
      <c r="F8440" t="s">
        <v>52664</v>
      </c>
      <c r="G8440" t="s">
        <v>52665</v>
      </c>
      <c r="H8440" t="s">
        <v>52666</v>
      </c>
      <c r="I8440" t="s">
        <v>52667</v>
      </c>
      <c r="J8440" t="s">
        <v>52668</v>
      </c>
      <c r="K8440" t="s">
        <v>52669</v>
      </c>
      <c r="L8440" t="s">
        <v>52662</v>
      </c>
    </row>
    <row r="8441" spans="1:12" x14ac:dyDescent="0.25">
      <c r="A8441">
        <v>1498010</v>
      </c>
      <c r="B8441">
        <v>1535594</v>
      </c>
      <c r="D8441">
        <v>0</v>
      </c>
      <c r="E8441" t="s">
        <v>52671</v>
      </c>
      <c r="F8441" t="s">
        <v>52672</v>
      </c>
      <c r="G8441" t="s">
        <v>52673</v>
      </c>
      <c r="H8441" t="e" vm="3639">
        <f>_FV(0,"013972489637471986")</f>
        <v>#VALUE!</v>
      </c>
      <c r="I8441" t="s">
        <v>52674</v>
      </c>
      <c r="J8441" t="s">
        <v>52675</v>
      </c>
      <c r="K8441" t="s">
        <v>52676</v>
      </c>
      <c r="L8441" t="s">
        <v>52670</v>
      </c>
    </row>
    <row r="8442" spans="1:12" x14ac:dyDescent="0.25">
      <c r="A8442">
        <v>1498010</v>
      </c>
      <c r="B8442">
        <v>1535507</v>
      </c>
      <c r="D8442">
        <v>0</v>
      </c>
      <c r="E8442" t="s">
        <v>52678</v>
      </c>
      <c r="F8442" t="s">
        <v>52679</v>
      </c>
      <c r="G8442" t="s">
        <v>52680</v>
      </c>
      <c r="H8442" t="s">
        <v>52681</v>
      </c>
      <c r="I8442" t="s">
        <v>52682</v>
      </c>
      <c r="J8442" t="s">
        <v>52683</v>
      </c>
      <c r="K8442" t="s">
        <v>52684</v>
      </c>
      <c r="L8442" t="s">
        <v>52677</v>
      </c>
    </row>
    <row r="8443" spans="1:12" x14ac:dyDescent="0.25">
      <c r="A8443">
        <v>1498039</v>
      </c>
      <c r="B8443">
        <v>1498046</v>
      </c>
      <c r="D8443">
        <v>0</v>
      </c>
      <c r="E8443" t="s">
        <v>52686</v>
      </c>
      <c r="F8443" t="s">
        <v>52687</v>
      </c>
      <c r="G8443" t="s">
        <v>52688</v>
      </c>
      <c r="H8443" t="s">
        <v>52689</v>
      </c>
      <c r="I8443" t="s">
        <v>52690</v>
      </c>
      <c r="J8443" t="s">
        <v>52685</v>
      </c>
      <c r="K8443" t="s">
        <v>52691</v>
      </c>
      <c r="L8443" t="s">
        <v>52685</v>
      </c>
    </row>
    <row r="8444" spans="1:12" x14ac:dyDescent="0.25">
      <c r="A8444">
        <v>1498039</v>
      </c>
      <c r="B8444">
        <v>1499783</v>
      </c>
      <c r="D8444">
        <v>0</v>
      </c>
      <c r="E8444" t="s">
        <v>52693</v>
      </c>
      <c r="F8444" t="s">
        <v>52694</v>
      </c>
      <c r="G8444" t="s">
        <v>52695</v>
      </c>
      <c r="H8444" t="s">
        <v>52696</v>
      </c>
      <c r="I8444" t="s">
        <v>52697</v>
      </c>
      <c r="J8444" t="s">
        <v>52692</v>
      </c>
      <c r="K8444" t="s">
        <v>52698</v>
      </c>
      <c r="L8444" t="s">
        <v>52692</v>
      </c>
    </row>
    <row r="8445" spans="1:12" x14ac:dyDescent="0.25">
      <c r="A8445">
        <v>1498046</v>
      </c>
      <c r="B8445">
        <v>1498054</v>
      </c>
      <c r="D8445">
        <v>0</v>
      </c>
      <c r="F8445">
        <v>1676308</v>
      </c>
      <c r="G8445">
        <v>1498054</v>
      </c>
      <c r="H8445" t="e" vm="201">
        <f>_FV(0,"002")</f>
        <v>#VALUE!</v>
      </c>
      <c r="I8445">
        <v>1498046</v>
      </c>
      <c r="J8445" t="s">
        <v>1534</v>
      </c>
      <c r="K8445" t="s">
        <v>52699</v>
      </c>
      <c r="L8445" t="e" vm="201">
        <f>_FV(0,"002")</f>
        <v>#VALUE!</v>
      </c>
    </row>
    <row r="8446" spans="1:12" x14ac:dyDescent="0.25">
      <c r="A8446">
        <v>1498046</v>
      </c>
      <c r="B8446">
        <v>1499783</v>
      </c>
      <c r="D8446">
        <v>0</v>
      </c>
      <c r="E8446" t="s">
        <v>52701</v>
      </c>
      <c r="F8446" t="s">
        <v>52702</v>
      </c>
      <c r="G8446" t="s">
        <v>52703</v>
      </c>
      <c r="H8446" t="s">
        <v>52704</v>
      </c>
      <c r="I8446" t="s">
        <v>52705</v>
      </c>
      <c r="J8446" t="s">
        <v>52706</v>
      </c>
      <c r="K8446" t="s">
        <v>52707</v>
      </c>
      <c r="L8446" t="s">
        <v>52700</v>
      </c>
    </row>
    <row r="8447" spans="1:12" x14ac:dyDescent="0.25">
      <c r="A8447">
        <v>1498054</v>
      </c>
      <c r="B8447">
        <v>1498062</v>
      </c>
      <c r="D8447">
        <v>0</v>
      </c>
      <c r="E8447" t="s">
        <v>52708</v>
      </c>
      <c r="F8447" t="s">
        <v>52709</v>
      </c>
      <c r="G8447" t="s">
        <v>52710</v>
      </c>
      <c r="H8447" t="s">
        <v>52711</v>
      </c>
      <c r="I8447" t="s">
        <v>52712</v>
      </c>
      <c r="J8447" t="s">
        <v>38286</v>
      </c>
      <c r="K8447" t="s">
        <v>52713</v>
      </c>
      <c r="L8447" t="s">
        <v>38286</v>
      </c>
    </row>
    <row r="8448" spans="1:12" x14ac:dyDescent="0.25">
      <c r="A8448">
        <v>1498054</v>
      </c>
      <c r="B8448">
        <v>1499807</v>
      </c>
      <c r="D8448">
        <v>0</v>
      </c>
      <c r="E8448" t="s">
        <v>52714</v>
      </c>
      <c r="F8448" t="s">
        <v>52715</v>
      </c>
      <c r="G8448" t="s">
        <v>52716</v>
      </c>
      <c r="H8448" t="s">
        <v>1939</v>
      </c>
      <c r="I8448" t="s">
        <v>52717</v>
      </c>
      <c r="J8448" t="s">
        <v>1939</v>
      </c>
      <c r="K8448" t="s">
        <v>52718</v>
      </c>
      <c r="L8448" t="s">
        <v>1939</v>
      </c>
    </row>
    <row r="8449" spans="1:12" x14ac:dyDescent="0.25">
      <c r="A8449">
        <v>1498062</v>
      </c>
      <c r="B8449">
        <v>1499807</v>
      </c>
      <c r="D8449">
        <v>0</v>
      </c>
      <c r="E8449" t="s">
        <v>52719</v>
      </c>
      <c r="F8449" t="s">
        <v>52720</v>
      </c>
      <c r="G8449" t="s">
        <v>52721</v>
      </c>
      <c r="H8449" t="e" vm="3640">
        <f>_FV(0,"009384667386672454")</f>
        <v>#VALUE!</v>
      </c>
      <c r="I8449" t="s">
        <v>52722</v>
      </c>
      <c r="J8449" t="s">
        <v>15463</v>
      </c>
      <c r="K8449" t="s">
        <v>52723</v>
      </c>
      <c r="L8449" t="s">
        <v>37705</v>
      </c>
    </row>
    <row r="8450" spans="1:12" x14ac:dyDescent="0.25">
      <c r="A8450">
        <v>1498126</v>
      </c>
      <c r="B8450">
        <v>1498142</v>
      </c>
      <c r="D8450">
        <v>0</v>
      </c>
      <c r="E8450" t="s">
        <v>52725</v>
      </c>
      <c r="F8450" t="s">
        <v>52726</v>
      </c>
      <c r="G8450" t="s">
        <v>52727</v>
      </c>
      <c r="H8450" t="s">
        <v>52728</v>
      </c>
      <c r="I8450" t="s">
        <v>52729</v>
      </c>
      <c r="J8450" t="s">
        <v>52730</v>
      </c>
      <c r="K8450" t="s">
        <v>52731</v>
      </c>
      <c r="L8450" t="s">
        <v>52724</v>
      </c>
    </row>
    <row r="8451" spans="1:12" x14ac:dyDescent="0.25">
      <c r="A8451">
        <v>1498126</v>
      </c>
      <c r="B8451">
        <v>1499884</v>
      </c>
      <c r="D8451">
        <v>0</v>
      </c>
      <c r="E8451" t="s">
        <v>52732</v>
      </c>
      <c r="F8451" t="s">
        <v>52733</v>
      </c>
      <c r="G8451" t="s">
        <v>52734</v>
      </c>
      <c r="H8451" t="s">
        <v>8186</v>
      </c>
      <c r="I8451" t="s">
        <v>52735</v>
      </c>
      <c r="J8451" t="s">
        <v>8186</v>
      </c>
      <c r="K8451" t="s">
        <v>52736</v>
      </c>
      <c r="L8451" t="s">
        <v>8186</v>
      </c>
    </row>
    <row r="8452" spans="1:12" x14ac:dyDescent="0.25">
      <c r="A8452">
        <v>1498126</v>
      </c>
      <c r="B8452">
        <v>1502600</v>
      </c>
      <c r="D8452">
        <v>0</v>
      </c>
      <c r="E8452" t="s">
        <v>52738</v>
      </c>
      <c r="F8452" t="s">
        <v>52739</v>
      </c>
      <c r="G8452" t="s">
        <v>52740</v>
      </c>
      <c r="H8452" t="e" vm="3641">
        <f>_FV(0,"02005763972967133")</f>
        <v>#VALUE!</v>
      </c>
      <c r="I8452" t="s">
        <v>52741</v>
      </c>
      <c r="J8452" t="s">
        <v>52742</v>
      </c>
      <c r="K8452" t="s">
        <v>52743</v>
      </c>
      <c r="L8452" t="s">
        <v>52737</v>
      </c>
    </row>
    <row r="8453" spans="1:12" x14ac:dyDescent="0.25">
      <c r="A8453">
        <v>1498142</v>
      </c>
      <c r="B8453">
        <v>1502606</v>
      </c>
      <c r="D8453">
        <v>0</v>
      </c>
      <c r="F8453">
        <v>1677604</v>
      </c>
      <c r="G8453">
        <v>1502606</v>
      </c>
      <c r="H8453" t="e" vm="18">
        <f>_FV(0,"004")</f>
        <v>#VALUE!</v>
      </c>
      <c r="I8453">
        <v>1498142</v>
      </c>
      <c r="J8453" t="s">
        <v>239</v>
      </c>
      <c r="K8453" t="s">
        <v>52744</v>
      </c>
      <c r="L8453" t="e" vm="18">
        <f>_FV(0,"004")</f>
        <v>#VALUE!</v>
      </c>
    </row>
    <row r="8454" spans="1:12" x14ac:dyDescent="0.25">
      <c r="A8454">
        <v>1498142</v>
      </c>
      <c r="B8454">
        <v>1499900</v>
      </c>
      <c r="D8454">
        <v>0</v>
      </c>
      <c r="E8454" t="s">
        <v>52746</v>
      </c>
      <c r="F8454" t="s">
        <v>52747</v>
      </c>
      <c r="G8454" t="s">
        <v>52748</v>
      </c>
      <c r="H8454" t="e" vm="3642">
        <f>_FV(0,"033091827938875114")</f>
        <v>#VALUE!</v>
      </c>
      <c r="I8454" t="s">
        <v>52749</v>
      </c>
      <c r="J8454" t="s">
        <v>52750</v>
      </c>
      <c r="K8454" t="s">
        <v>52751</v>
      </c>
      <c r="L8454" t="s">
        <v>52745</v>
      </c>
    </row>
    <row r="8455" spans="1:12" x14ac:dyDescent="0.25">
      <c r="A8455">
        <v>1498817</v>
      </c>
      <c r="B8455">
        <v>1498856</v>
      </c>
      <c r="D8455" t="s">
        <v>10799</v>
      </c>
      <c r="E8455" t="s">
        <v>52753</v>
      </c>
      <c r="F8455" t="s">
        <v>52754</v>
      </c>
      <c r="G8455" t="s">
        <v>52755</v>
      </c>
      <c r="H8455" t="e" vm="3643">
        <f>_FV(0,"02271504784380512")</f>
        <v>#VALUE!</v>
      </c>
      <c r="I8455" t="s">
        <v>52756</v>
      </c>
      <c r="J8455" t="s">
        <v>52757</v>
      </c>
      <c r="K8455" t="s">
        <v>52758</v>
      </c>
      <c r="L8455" t="s">
        <v>52752</v>
      </c>
    </row>
    <row r="8456" spans="1:12" x14ac:dyDescent="0.25">
      <c r="A8456">
        <v>1498817</v>
      </c>
      <c r="B8456">
        <v>1501718</v>
      </c>
      <c r="D8456">
        <v>0</v>
      </c>
      <c r="E8456" t="s">
        <v>52760</v>
      </c>
      <c r="F8456" t="s">
        <v>52761</v>
      </c>
      <c r="G8456" t="s">
        <v>52762</v>
      </c>
      <c r="H8456" t="s">
        <v>52763</v>
      </c>
      <c r="I8456" t="s">
        <v>52764</v>
      </c>
      <c r="J8456" t="s">
        <v>52759</v>
      </c>
      <c r="K8456" t="s">
        <v>52765</v>
      </c>
      <c r="L8456" t="s">
        <v>52759</v>
      </c>
    </row>
    <row r="8457" spans="1:12" x14ac:dyDescent="0.25">
      <c r="A8457">
        <v>1498929</v>
      </c>
      <c r="B8457">
        <v>1498985</v>
      </c>
      <c r="D8457">
        <v>0</v>
      </c>
      <c r="E8457" t="s">
        <v>52767</v>
      </c>
      <c r="F8457" t="s">
        <v>52768</v>
      </c>
      <c r="G8457" t="s">
        <v>52769</v>
      </c>
      <c r="H8457" t="s">
        <v>52770</v>
      </c>
      <c r="I8457" t="s">
        <v>52771</v>
      </c>
      <c r="J8457" t="s">
        <v>52772</v>
      </c>
      <c r="K8457" t="s">
        <v>52773</v>
      </c>
      <c r="L8457" t="s">
        <v>52766</v>
      </c>
    </row>
    <row r="8458" spans="1:12" x14ac:dyDescent="0.25">
      <c r="A8458">
        <v>1498929</v>
      </c>
      <c r="B8458">
        <v>1502437</v>
      </c>
      <c r="D8458">
        <v>0</v>
      </c>
      <c r="E8458" t="s">
        <v>52775</v>
      </c>
      <c r="F8458" t="s">
        <v>52776</v>
      </c>
      <c r="G8458" t="s">
        <v>52777</v>
      </c>
      <c r="H8458" t="e" vm="3644">
        <f>_FV(0,"011390292266288009")</f>
        <v>#VALUE!</v>
      </c>
      <c r="I8458" t="s">
        <v>52778</v>
      </c>
      <c r="J8458" t="s">
        <v>52779</v>
      </c>
      <c r="K8458" t="s">
        <v>52780</v>
      </c>
      <c r="L8458" t="s">
        <v>52774</v>
      </c>
    </row>
    <row r="8459" spans="1:12" x14ac:dyDescent="0.25">
      <c r="A8459">
        <v>1498985</v>
      </c>
      <c r="B8459">
        <v>1499042</v>
      </c>
      <c r="D8459" t="s">
        <v>52782</v>
      </c>
      <c r="E8459" t="s">
        <v>52783</v>
      </c>
      <c r="F8459" t="s">
        <v>52784</v>
      </c>
      <c r="G8459" t="s">
        <v>52785</v>
      </c>
      <c r="H8459" t="s">
        <v>52786</v>
      </c>
      <c r="I8459" t="s">
        <v>52787</v>
      </c>
      <c r="J8459" t="s">
        <v>52788</v>
      </c>
      <c r="K8459" t="s">
        <v>52789</v>
      </c>
      <c r="L8459" t="s">
        <v>52781</v>
      </c>
    </row>
    <row r="8460" spans="1:12" x14ac:dyDescent="0.25">
      <c r="A8460">
        <v>1498985</v>
      </c>
      <c r="B8460">
        <v>1502400</v>
      </c>
      <c r="D8460">
        <v>0</v>
      </c>
      <c r="E8460" t="s">
        <v>52791</v>
      </c>
      <c r="F8460" t="s">
        <v>52792</v>
      </c>
      <c r="G8460" t="s">
        <v>52793</v>
      </c>
      <c r="H8460" t="s">
        <v>52794</v>
      </c>
      <c r="I8460" t="s">
        <v>52795</v>
      </c>
      <c r="J8460" t="s">
        <v>52790</v>
      </c>
      <c r="K8460" t="s">
        <v>52796</v>
      </c>
      <c r="L8460" t="s">
        <v>52790</v>
      </c>
    </row>
    <row r="8461" spans="1:12" x14ac:dyDescent="0.25">
      <c r="A8461">
        <v>1499042</v>
      </c>
      <c r="B8461">
        <v>1499074</v>
      </c>
      <c r="D8461">
        <v>0</v>
      </c>
      <c r="E8461" t="s">
        <v>52798</v>
      </c>
      <c r="F8461" t="s">
        <v>52799</v>
      </c>
      <c r="G8461" t="s">
        <v>52800</v>
      </c>
      <c r="H8461" t="e" vm="3645">
        <f>_FV(0,"01115879228003666")</f>
        <v>#VALUE!</v>
      </c>
      <c r="I8461" t="s">
        <v>52801</v>
      </c>
      <c r="J8461" t="s">
        <v>52802</v>
      </c>
      <c r="K8461" t="s">
        <v>52803</v>
      </c>
      <c r="L8461" t="s">
        <v>52797</v>
      </c>
    </row>
    <row r="8462" spans="1:12" x14ac:dyDescent="0.25">
      <c r="A8462">
        <v>1499042</v>
      </c>
      <c r="B8462">
        <v>1502492</v>
      </c>
      <c r="D8462">
        <v>0</v>
      </c>
      <c r="E8462" t="s">
        <v>52805</v>
      </c>
      <c r="F8462" t="s">
        <v>52806</v>
      </c>
      <c r="G8462" t="s">
        <v>52807</v>
      </c>
      <c r="H8462" t="s">
        <v>52808</v>
      </c>
      <c r="I8462" t="s">
        <v>52809</v>
      </c>
      <c r="J8462" t="s">
        <v>52804</v>
      </c>
      <c r="K8462" t="s">
        <v>52810</v>
      </c>
      <c r="L8462" t="s">
        <v>52804</v>
      </c>
    </row>
    <row r="8463" spans="1:12" x14ac:dyDescent="0.25">
      <c r="A8463">
        <v>1499074</v>
      </c>
      <c r="B8463">
        <v>1502533</v>
      </c>
      <c r="D8463">
        <v>0</v>
      </c>
      <c r="E8463" t="s">
        <v>52812</v>
      </c>
      <c r="F8463" t="s">
        <v>52813</v>
      </c>
      <c r="G8463" t="s">
        <v>52814</v>
      </c>
      <c r="H8463" t="s">
        <v>52815</v>
      </c>
      <c r="I8463" t="s">
        <v>52816</v>
      </c>
      <c r="J8463" t="s">
        <v>52817</v>
      </c>
      <c r="K8463" t="s">
        <v>52818</v>
      </c>
      <c r="L8463" t="s">
        <v>52811</v>
      </c>
    </row>
    <row r="8464" spans="1:12" x14ac:dyDescent="0.25">
      <c r="A8464">
        <v>1499753</v>
      </c>
      <c r="B8464">
        <v>1535514</v>
      </c>
      <c r="D8464">
        <v>0</v>
      </c>
      <c r="F8464">
        <v>1725399</v>
      </c>
      <c r="G8464">
        <v>1535514</v>
      </c>
      <c r="H8464" t="e" vm="106">
        <f>_FV(0,"019")</f>
        <v>#VALUE!</v>
      </c>
      <c r="I8464">
        <v>1499753</v>
      </c>
      <c r="J8464" t="s">
        <v>1629</v>
      </c>
      <c r="K8464" t="s">
        <v>52819</v>
      </c>
      <c r="L8464" t="e" vm="106">
        <f>_FV(0,"019")</f>
        <v>#VALUE!</v>
      </c>
    </row>
    <row r="8465" spans="1:12" x14ac:dyDescent="0.25">
      <c r="A8465">
        <v>1499753</v>
      </c>
      <c r="B8465">
        <v>1535485</v>
      </c>
      <c r="D8465">
        <v>0</v>
      </c>
      <c r="E8465" t="s">
        <v>52821</v>
      </c>
      <c r="F8465" t="s">
        <v>52822</v>
      </c>
      <c r="G8465" t="s">
        <v>52823</v>
      </c>
      <c r="H8465" t="e" vm="3646">
        <f>_FV(0,"010900421459808709")</f>
        <v>#VALUE!</v>
      </c>
      <c r="I8465" t="s">
        <v>52824</v>
      </c>
      <c r="J8465" t="s">
        <v>52825</v>
      </c>
      <c r="K8465" t="s">
        <v>52826</v>
      </c>
      <c r="L8465" t="s">
        <v>52820</v>
      </c>
    </row>
    <row r="8466" spans="1:12" x14ac:dyDescent="0.25">
      <c r="A8466">
        <v>1499783</v>
      </c>
      <c r="B8466">
        <v>1503331</v>
      </c>
      <c r="D8466">
        <v>0</v>
      </c>
      <c r="F8466">
        <v>1677012</v>
      </c>
      <c r="G8466">
        <v>1503331</v>
      </c>
      <c r="H8466" t="e" vm="62">
        <f>_FV(0,"008")</f>
        <v>#VALUE!</v>
      </c>
      <c r="I8466">
        <v>1499783</v>
      </c>
      <c r="J8466" t="s">
        <v>241</v>
      </c>
      <c r="K8466" t="s">
        <v>52827</v>
      </c>
      <c r="L8466" t="e" vm="62">
        <f>_FV(0,"008")</f>
        <v>#VALUE!</v>
      </c>
    </row>
    <row r="8467" spans="1:12" x14ac:dyDescent="0.25">
      <c r="A8467">
        <v>1499807</v>
      </c>
      <c r="B8467">
        <v>1503135</v>
      </c>
      <c r="D8467">
        <v>0</v>
      </c>
      <c r="F8467">
        <v>1676884</v>
      </c>
      <c r="G8467">
        <v>1499807</v>
      </c>
      <c r="H8467" t="e" vm="342">
        <f>_FV(0,"011")</f>
        <v>#VALUE!</v>
      </c>
      <c r="I8467">
        <v>1503135</v>
      </c>
      <c r="J8467" t="s">
        <v>4848</v>
      </c>
      <c r="K8467" t="s">
        <v>52828</v>
      </c>
      <c r="L8467" t="e" vm="342">
        <f>_FV(0,"011")</f>
        <v>#VALUE!</v>
      </c>
    </row>
    <row r="8468" spans="1:12" x14ac:dyDescent="0.25">
      <c r="A8468">
        <v>1499884</v>
      </c>
      <c r="B8468">
        <v>1502634</v>
      </c>
      <c r="D8468">
        <v>0</v>
      </c>
      <c r="F8468">
        <v>1677556</v>
      </c>
      <c r="G8468">
        <v>1502634</v>
      </c>
      <c r="H8468" t="s">
        <v>2884</v>
      </c>
      <c r="I8468">
        <v>1499884</v>
      </c>
      <c r="J8468" t="s">
        <v>2884</v>
      </c>
      <c r="K8468" t="s">
        <v>52829</v>
      </c>
      <c r="L8468" t="s">
        <v>2884</v>
      </c>
    </row>
    <row r="8469" spans="1:12" x14ac:dyDescent="0.25">
      <c r="A8469">
        <v>1499884</v>
      </c>
      <c r="B8469">
        <v>1499900</v>
      </c>
      <c r="D8469">
        <v>0</v>
      </c>
      <c r="E8469" t="s">
        <v>52831</v>
      </c>
      <c r="F8469" t="s">
        <v>52832</v>
      </c>
      <c r="G8469" t="s">
        <v>52833</v>
      </c>
      <c r="H8469" t="s">
        <v>52834</v>
      </c>
      <c r="I8469" t="s">
        <v>52835</v>
      </c>
      <c r="J8469" t="s">
        <v>52836</v>
      </c>
      <c r="K8469" t="s">
        <v>52837</v>
      </c>
      <c r="L8469" t="s">
        <v>52830</v>
      </c>
    </row>
    <row r="8470" spans="1:12" x14ac:dyDescent="0.25">
      <c r="A8470">
        <v>1499900</v>
      </c>
      <c r="B8470">
        <v>1502661</v>
      </c>
      <c r="D8470">
        <v>0</v>
      </c>
      <c r="E8470" t="s">
        <v>52839</v>
      </c>
      <c r="F8470" t="s">
        <v>52840</v>
      </c>
      <c r="G8470" t="s">
        <v>52841</v>
      </c>
      <c r="H8470" t="s">
        <v>52842</v>
      </c>
      <c r="I8470" t="s">
        <v>52843</v>
      </c>
      <c r="J8470" t="s">
        <v>52844</v>
      </c>
      <c r="K8470" t="s">
        <v>52845</v>
      </c>
      <c r="L8470" t="s">
        <v>52838</v>
      </c>
    </row>
    <row r="8471" spans="1:12" x14ac:dyDescent="0.25">
      <c r="A8471">
        <v>1500456</v>
      </c>
      <c r="B8471">
        <v>1500485</v>
      </c>
      <c r="D8471">
        <v>0</v>
      </c>
      <c r="E8471" t="s">
        <v>52847</v>
      </c>
      <c r="F8471" t="s">
        <v>52848</v>
      </c>
      <c r="G8471" t="s">
        <v>52849</v>
      </c>
      <c r="H8471" t="s">
        <v>52850</v>
      </c>
      <c r="I8471" t="s">
        <v>52851</v>
      </c>
      <c r="J8471" t="s">
        <v>52852</v>
      </c>
      <c r="K8471" t="s">
        <v>52853</v>
      </c>
      <c r="L8471" t="s">
        <v>52846</v>
      </c>
    </row>
    <row r="8472" spans="1:12" x14ac:dyDescent="0.25">
      <c r="A8472">
        <v>1500456</v>
      </c>
      <c r="B8472">
        <v>1502689</v>
      </c>
      <c r="D8472">
        <v>0</v>
      </c>
      <c r="E8472" t="s">
        <v>52855</v>
      </c>
      <c r="F8472" t="s">
        <v>52856</v>
      </c>
      <c r="G8472" t="s">
        <v>52857</v>
      </c>
      <c r="H8472" t="e" vm="3647">
        <f>_FV(0,"006752909074445795")</f>
        <v>#VALUE!</v>
      </c>
      <c r="I8472" t="s">
        <v>52858</v>
      </c>
      <c r="J8472" t="s">
        <v>52859</v>
      </c>
      <c r="K8472" t="s">
        <v>52860</v>
      </c>
      <c r="L8472" t="s">
        <v>52854</v>
      </c>
    </row>
    <row r="8473" spans="1:12" x14ac:dyDescent="0.25">
      <c r="A8473">
        <v>1500485</v>
      </c>
      <c r="B8473">
        <v>1502721</v>
      </c>
      <c r="D8473">
        <v>0</v>
      </c>
      <c r="E8473" t="s">
        <v>52862</v>
      </c>
      <c r="F8473" t="s">
        <v>52863</v>
      </c>
      <c r="G8473" t="s">
        <v>52864</v>
      </c>
      <c r="H8473" t="s">
        <v>52865</v>
      </c>
      <c r="I8473" t="s">
        <v>52866</v>
      </c>
      <c r="J8473" t="s">
        <v>52861</v>
      </c>
      <c r="K8473" t="s">
        <v>52867</v>
      </c>
      <c r="L8473" t="s">
        <v>52861</v>
      </c>
    </row>
    <row r="8474" spans="1:12" x14ac:dyDescent="0.25">
      <c r="A8474">
        <v>1501712</v>
      </c>
      <c r="B8474">
        <v>1520306</v>
      </c>
      <c r="D8474">
        <v>0</v>
      </c>
      <c r="F8474">
        <v>1701091</v>
      </c>
      <c r="G8474">
        <v>1520306</v>
      </c>
      <c r="H8474" t="s">
        <v>52868</v>
      </c>
      <c r="I8474">
        <v>1501712</v>
      </c>
      <c r="J8474" t="s">
        <v>52868</v>
      </c>
      <c r="K8474" t="s">
        <v>52869</v>
      </c>
      <c r="L8474" t="s">
        <v>52868</v>
      </c>
    </row>
    <row r="8475" spans="1:12" x14ac:dyDescent="0.25">
      <c r="A8475">
        <v>1501712</v>
      </c>
      <c r="B8475">
        <v>1501744</v>
      </c>
      <c r="D8475">
        <v>0</v>
      </c>
      <c r="F8475">
        <v>1701083</v>
      </c>
      <c r="G8475">
        <v>1501712</v>
      </c>
      <c r="H8475" t="e" vm="12">
        <f>_FV(0,"005")</f>
        <v>#VALUE!</v>
      </c>
      <c r="I8475">
        <v>1501744</v>
      </c>
      <c r="J8475" t="s">
        <v>194</v>
      </c>
      <c r="K8475" t="s">
        <v>52870</v>
      </c>
      <c r="L8475" t="e" vm="12">
        <f>_FV(0,"005")</f>
        <v>#VALUE!</v>
      </c>
    </row>
    <row r="8476" spans="1:12" x14ac:dyDescent="0.25">
      <c r="A8476">
        <v>1501712</v>
      </c>
      <c r="B8476">
        <v>1517784</v>
      </c>
      <c r="D8476">
        <v>0</v>
      </c>
      <c r="E8476" t="s">
        <v>52872</v>
      </c>
      <c r="F8476" t="s">
        <v>52873</v>
      </c>
      <c r="G8476" t="s">
        <v>52874</v>
      </c>
      <c r="H8476" t="e" vm="3648">
        <f>_FV(0,"021654944975378804")</f>
        <v>#VALUE!</v>
      </c>
      <c r="I8476" t="s">
        <v>52875</v>
      </c>
      <c r="J8476" t="s">
        <v>52876</v>
      </c>
      <c r="K8476" t="s">
        <v>52877</v>
      </c>
      <c r="L8476" t="s">
        <v>52871</v>
      </c>
    </row>
    <row r="8477" spans="1:12" x14ac:dyDescent="0.25">
      <c r="A8477">
        <v>1501718</v>
      </c>
      <c r="B8477">
        <v>1520073</v>
      </c>
      <c r="D8477" t="s">
        <v>204</v>
      </c>
      <c r="E8477" t="s">
        <v>52879</v>
      </c>
      <c r="F8477" t="s">
        <v>52880</v>
      </c>
      <c r="G8477" t="s">
        <v>52881</v>
      </c>
      <c r="H8477" t="s">
        <v>52882</v>
      </c>
      <c r="I8477" t="s">
        <v>52883</v>
      </c>
      <c r="J8477" t="s">
        <v>52884</v>
      </c>
      <c r="K8477" t="s">
        <v>52885</v>
      </c>
      <c r="L8477" t="s">
        <v>52878</v>
      </c>
    </row>
    <row r="8478" spans="1:12" x14ac:dyDescent="0.25">
      <c r="A8478">
        <v>1501744</v>
      </c>
      <c r="B8478">
        <v>1517807</v>
      </c>
      <c r="D8478">
        <v>0</v>
      </c>
      <c r="E8478" t="s">
        <v>52887</v>
      </c>
      <c r="F8478" t="s">
        <v>52888</v>
      </c>
      <c r="G8478" t="s">
        <v>52889</v>
      </c>
      <c r="H8478" t="s">
        <v>52890</v>
      </c>
      <c r="I8478" t="s">
        <v>52891</v>
      </c>
      <c r="J8478" t="s">
        <v>52886</v>
      </c>
      <c r="K8478" t="s">
        <v>52892</v>
      </c>
      <c r="L8478" t="s">
        <v>52886</v>
      </c>
    </row>
    <row r="8479" spans="1:12" x14ac:dyDescent="0.25">
      <c r="A8479">
        <v>1501744</v>
      </c>
      <c r="B8479">
        <v>1520315</v>
      </c>
      <c r="D8479">
        <v>0</v>
      </c>
      <c r="E8479" t="s">
        <v>52894</v>
      </c>
      <c r="F8479" t="s">
        <v>52895</v>
      </c>
      <c r="G8479" t="s">
        <v>52896</v>
      </c>
      <c r="H8479" t="e" vm="3649">
        <f>_FV(0,"023570626688445742")</f>
        <v>#VALUE!</v>
      </c>
      <c r="I8479" t="s">
        <v>52897</v>
      </c>
      <c r="J8479" t="s">
        <v>52898</v>
      </c>
      <c r="K8479" t="s">
        <v>52899</v>
      </c>
      <c r="L8479" t="s">
        <v>52893</v>
      </c>
    </row>
    <row r="8480" spans="1:12" x14ac:dyDescent="0.25">
      <c r="A8480">
        <v>1501842</v>
      </c>
      <c r="B8480">
        <v>1520441</v>
      </c>
      <c r="D8480">
        <v>0</v>
      </c>
      <c r="F8480">
        <v>1701331</v>
      </c>
      <c r="G8480">
        <v>1520441</v>
      </c>
      <c r="H8480" t="s">
        <v>52900</v>
      </c>
      <c r="I8480">
        <v>1501842</v>
      </c>
      <c r="J8480" t="s">
        <v>52900</v>
      </c>
      <c r="K8480" t="s">
        <v>52901</v>
      </c>
      <c r="L8480" t="s">
        <v>52900</v>
      </c>
    </row>
    <row r="8481" spans="1:12" x14ac:dyDescent="0.25">
      <c r="A8481">
        <v>1501842</v>
      </c>
      <c r="B8481">
        <v>1501851</v>
      </c>
      <c r="D8481">
        <v>0</v>
      </c>
      <c r="F8481">
        <v>1701323</v>
      </c>
      <c r="G8481">
        <v>1501842</v>
      </c>
      <c r="H8481" t="e" vm="2594">
        <f>_FV(0,"07")</f>
        <v>#VALUE!</v>
      </c>
      <c r="I8481">
        <v>1501851</v>
      </c>
      <c r="J8481" t="s">
        <v>24389</v>
      </c>
      <c r="K8481" t="s">
        <v>52902</v>
      </c>
      <c r="L8481" t="e" vm="2594">
        <f>_FV(0,"07")</f>
        <v>#VALUE!</v>
      </c>
    </row>
    <row r="8482" spans="1:12" x14ac:dyDescent="0.25">
      <c r="A8482">
        <v>1501846</v>
      </c>
      <c r="B8482">
        <v>1501861</v>
      </c>
      <c r="D8482">
        <v>0</v>
      </c>
      <c r="F8482">
        <v>1701251</v>
      </c>
      <c r="G8482">
        <v>1501861</v>
      </c>
      <c r="H8482" t="s">
        <v>239</v>
      </c>
      <c r="I8482">
        <v>1501846</v>
      </c>
      <c r="J8482" t="s">
        <v>239</v>
      </c>
      <c r="K8482" t="s">
        <v>52903</v>
      </c>
      <c r="L8482" t="s">
        <v>239</v>
      </c>
    </row>
    <row r="8483" spans="1:12" x14ac:dyDescent="0.25">
      <c r="A8483">
        <v>1501846</v>
      </c>
      <c r="B8483">
        <v>1520384</v>
      </c>
      <c r="D8483">
        <v>0</v>
      </c>
      <c r="F8483">
        <v>1701243</v>
      </c>
      <c r="G8483">
        <v>1501846</v>
      </c>
      <c r="H8483" t="e" vm="1697">
        <f>_FV(0,"063")</f>
        <v>#VALUE!</v>
      </c>
      <c r="I8483">
        <v>1520384</v>
      </c>
      <c r="J8483" t="s">
        <v>7542</v>
      </c>
      <c r="K8483" t="s">
        <v>52904</v>
      </c>
      <c r="L8483" t="e" vm="1697">
        <f>_FV(0,"063")</f>
        <v>#VALUE!</v>
      </c>
    </row>
    <row r="8484" spans="1:12" x14ac:dyDescent="0.25">
      <c r="A8484">
        <v>1501851</v>
      </c>
      <c r="B8484">
        <v>1520452</v>
      </c>
      <c r="D8484">
        <v>0</v>
      </c>
      <c r="E8484" t="s">
        <v>52906</v>
      </c>
      <c r="F8484" t="s">
        <v>52907</v>
      </c>
      <c r="G8484" t="s">
        <v>52908</v>
      </c>
      <c r="H8484" t="e" vm="3650">
        <f>_FV(0,"0825249007137863")</f>
        <v>#VALUE!</v>
      </c>
      <c r="I8484" t="s">
        <v>52909</v>
      </c>
      <c r="J8484" t="s">
        <v>52910</v>
      </c>
      <c r="K8484" t="s">
        <v>52911</v>
      </c>
      <c r="L8484" t="s">
        <v>52905</v>
      </c>
    </row>
    <row r="8485" spans="1:12" x14ac:dyDescent="0.25">
      <c r="A8485">
        <v>1501861</v>
      </c>
      <c r="B8485">
        <v>1520405</v>
      </c>
      <c r="D8485">
        <v>0</v>
      </c>
      <c r="E8485" t="s">
        <v>52913</v>
      </c>
      <c r="F8485" t="s">
        <v>52914</v>
      </c>
      <c r="G8485" t="s">
        <v>52915</v>
      </c>
      <c r="H8485" t="s">
        <v>52916</v>
      </c>
      <c r="I8485" t="s">
        <v>52917</v>
      </c>
      <c r="J8485" t="s">
        <v>52918</v>
      </c>
      <c r="K8485" t="s">
        <v>52919</v>
      </c>
      <c r="L8485" t="s">
        <v>52912</v>
      </c>
    </row>
    <row r="8486" spans="1:12" x14ac:dyDescent="0.25">
      <c r="A8486">
        <v>1502137</v>
      </c>
      <c r="B8486">
        <v>1502144</v>
      </c>
      <c r="D8486">
        <v>0</v>
      </c>
      <c r="E8486" t="s">
        <v>52920</v>
      </c>
      <c r="F8486" t="s">
        <v>52921</v>
      </c>
      <c r="G8486" t="s">
        <v>52922</v>
      </c>
      <c r="H8486" t="s">
        <v>30</v>
      </c>
      <c r="I8486" t="s">
        <v>52923</v>
      </c>
      <c r="J8486" t="s">
        <v>30</v>
      </c>
      <c r="K8486" t="s">
        <v>52924</v>
      </c>
      <c r="L8486" t="s">
        <v>30</v>
      </c>
    </row>
    <row r="8487" spans="1:12" x14ac:dyDescent="0.25">
      <c r="A8487">
        <v>1502137</v>
      </c>
      <c r="B8487">
        <v>1503281</v>
      </c>
      <c r="D8487">
        <v>0</v>
      </c>
      <c r="E8487" t="s">
        <v>52926</v>
      </c>
      <c r="F8487" t="s">
        <v>52927</v>
      </c>
      <c r="G8487" t="s">
        <v>52928</v>
      </c>
      <c r="H8487" t="s">
        <v>52929</v>
      </c>
      <c r="I8487" t="s">
        <v>52930</v>
      </c>
      <c r="J8487" t="s">
        <v>52931</v>
      </c>
      <c r="K8487" t="s">
        <v>52932</v>
      </c>
      <c r="L8487" t="s">
        <v>52925</v>
      </c>
    </row>
    <row r="8488" spans="1:12" x14ac:dyDescent="0.25">
      <c r="A8488">
        <v>1502137</v>
      </c>
      <c r="B8488">
        <v>1502308</v>
      </c>
      <c r="D8488">
        <v>0</v>
      </c>
      <c r="E8488" t="s">
        <v>52934</v>
      </c>
      <c r="F8488" t="s">
        <v>52935</v>
      </c>
      <c r="G8488" t="s">
        <v>52936</v>
      </c>
      <c r="H8488" t="e" vm="3651">
        <f>_FV(0,"0043572688650862865")</f>
        <v>#VALUE!</v>
      </c>
      <c r="I8488" t="s">
        <v>52937</v>
      </c>
      <c r="J8488" t="s">
        <v>52938</v>
      </c>
      <c r="K8488" t="s">
        <v>52939</v>
      </c>
      <c r="L8488" t="s">
        <v>52933</v>
      </c>
    </row>
    <row r="8489" spans="1:12" x14ac:dyDescent="0.25">
      <c r="A8489">
        <v>1502144</v>
      </c>
      <c r="B8489">
        <v>1502152</v>
      </c>
      <c r="D8489" t="s">
        <v>204</v>
      </c>
      <c r="E8489" t="s">
        <v>52941</v>
      </c>
      <c r="F8489" t="s">
        <v>52942</v>
      </c>
      <c r="G8489" t="s">
        <v>52943</v>
      </c>
      <c r="H8489" t="s">
        <v>52944</v>
      </c>
      <c r="I8489" t="s">
        <v>52945</v>
      </c>
      <c r="J8489" t="s">
        <v>52940</v>
      </c>
      <c r="K8489" t="s">
        <v>52946</v>
      </c>
      <c r="L8489" t="s">
        <v>52940</v>
      </c>
    </row>
    <row r="8490" spans="1:12" x14ac:dyDescent="0.25">
      <c r="A8490">
        <v>1502144</v>
      </c>
      <c r="B8490">
        <v>1503281</v>
      </c>
      <c r="D8490">
        <v>0</v>
      </c>
      <c r="E8490" t="s">
        <v>52948</v>
      </c>
      <c r="F8490" t="s">
        <v>52949</v>
      </c>
      <c r="G8490" t="s">
        <v>52950</v>
      </c>
      <c r="H8490" t="s">
        <v>52951</v>
      </c>
      <c r="I8490" t="s">
        <v>52952</v>
      </c>
      <c r="J8490" t="s">
        <v>52947</v>
      </c>
      <c r="K8490" t="s">
        <v>52953</v>
      </c>
      <c r="L8490" t="s">
        <v>52947</v>
      </c>
    </row>
    <row r="8491" spans="1:12" x14ac:dyDescent="0.25">
      <c r="A8491">
        <v>1502152</v>
      </c>
      <c r="B8491">
        <v>1502160</v>
      </c>
      <c r="D8491">
        <v>0</v>
      </c>
      <c r="E8491" t="s">
        <v>52955</v>
      </c>
      <c r="F8491" t="s">
        <v>52956</v>
      </c>
      <c r="G8491" t="s">
        <v>52957</v>
      </c>
      <c r="H8491" t="e" vm="3652">
        <f>_FV(0,"023616576322985756")</f>
        <v>#VALUE!</v>
      </c>
      <c r="I8491" t="s">
        <v>52958</v>
      </c>
      <c r="J8491" t="s">
        <v>52959</v>
      </c>
      <c r="K8491" t="s">
        <v>52960</v>
      </c>
      <c r="L8491" t="s">
        <v>52954</v>
      </c>
    </row>
    <row r="8492" spans="1:12" x14ac:dyDescent="0.25">
      <c r="A8492">
        <v>1502152</v>
      </c>
      <c r="B8492">
        <v>1503301</v>
      </c>
      <c r="D8492">
        <v>0</v>
      </c>
      <c r="E8492" t="s">
        <v>52961</v>
      </c>
      <c r="F8492" t="s">
        <v>52962</v>
      </c>
      <c r="G8492" t="s">
        <v>52963</v>
      </c>
      <c r="H8492" t="e" vm="3653">
        <f>_FV(0,"048722295011583476")</f>
        <v>#VALUE!</v>
      </c>
      <c r="I8492" t="s">
        <v>52964</v>
      </c>
      <c r="J8492" t="s">
        <v>51235</v>
      </c>
      <c r="K8492" t="s">
        <v>52965</v>
      </c>
      <c r="L8492" t="s">
        <v>51230</v>
      </c>
    </row>
    <row r="8493" spans="1:12" x14ac:dyDescent="0.25">
      <c r="A8493">
        <v>1502160</v>
      </c>
      <c r="B8493">
        <v>1502293</v>
      </c>
      <c r="D8493">
        <v>0</v>
      </c>
      <c r="F8493">
        <v>1694400</v>
      </c>
      <c r="G8493">
        <v>1502293</v>
      </c>
      <c r="H8493" t="e" vm="529">
        <f>_FV(0,"089")</f>
        <v>#VALUE!</v>
      </c>
      <c r="I8493">
        <v>1502160</v>
      </c>
      <c r="J8493" t="s">
        <v>7523</v>
      </c>
      <c r="K8493" t="s">
        <v>52966</v>
      </c>
      <c r="L8493" t="e" vm="529">
        <f>_FV(0,"089")</f>
        <v>#VALUE!</v>
      </c>
    </row>
    <row r="8494" spans="1:12" x14ac:dyDescent="0.25">
      <c r="A8494">
        <v>1502160</v>
      </c>
      <c r="B8494">
        <v>1503301</v>
      </c>
      <c r="D8494">
        <v>0</v>
      </c>
      <c r="E8494" t="s">
        <v>52968</v>
      </c>
      <c r="F8494" t="s">
        <v>52969</v>
      </c>
      <c r="G8494" t="s">
        <v>52970</v>
      </c>
      <c r="H8494" t="s">
        <v>52971</v>
      </c>
      <c r="I8494" t="s">
        <v>52972</v>
      </c>
      <c r="J8494" t="s">
        <v>52967</v>
      </c>
      <c r="K8494" t="s">
        <v>52973</v>
      </c>
      <c r="L8494" t="s">
        <v>52967</v>
      </c>
    </row>
    <row r="8495" spans="1:12" x14ac:dyDescent="0.25">
      <c r="A8495">
        <v>1502271</v>
      </c>
      <c r="B8495">
        <v>1503301</v>
      </c>
      <c r="D8495">
        <v>0</v>
      </c>
      <c r="E8495" t="s">
        <v>52975</v>
      </c>
      <c r="F8495" t="s">
        <v>52976</v>
      </c>
      <c r="G8495" t="s">
        <v>52977</v>
      </c>
      <c r="H8495" t="s">
        <v>52978</v>
      </c>
      <c r="I8495" t="s">
        <v>52979</v>
      </c>
      <c r="J8495" t="s">
        <v>52980</v>
      </c>
      <c r="K8495" t="s">
        <v>52981</v>
      </c>
      <c r="L8495" t="s">
        <v>52974</v>
      </c>
    </row>
    <row r="8496" spans="1:12" x14ac:dyDescent="0.25">
      <c r="A8496">
        <v>1502271</v>
      </c>
      <c r="B8496">
        <v>1502293</v>
      </c>
      <c r="D8496">
        <v>0</v>
      </c>
      <c r="F8496">
        <v>1694408</v>
      </c>
      <c r="G8496">
        <v>1502271</v>
      </c>
      <c r="H8496" t="s">
        <v>1534</v>
      </c>
      <c r="I8496">
        <v>1502293</v>
      </c>
      <c r="J8496" t="s">
        <v>1534</v>
      </c>
      <c r="K8496" t="s">
        <v>52982</v>
      </c>
      <c r="L8496" t="s">
        <v>1534</v>
      </c>
    </row>
    <row r="8497" spans="1:12" x14ac:dyDescent="0.25">
      <c r="A8497">
        <v>1502277</v>
      </c>
      <c r="B8497">
        <v>1502308</v>
      </c>
      <c r="D8497">
        <v>0</v>
      </c>
      <c r="F8497">
        <v>1694344</v>
      </c>
      <c r="G8497">
        <v>1502308</v>
      </c>
      <c r="H8497" t="s">
        <v>250</v>
      </c>
      <c r="I8497">
        <v>1502277</v>
      </c>
      <c r="J8497" t="s">
        <v>250</v>
      </c>
      <c r="K8497" t="s">
        <v>52983</v>
      </c>
      <c r="L8497" t="s">
        <v>250</v>
      </c>
    </row>
    <row r="8498" spans="1:12" x14ac:dyDescent="0.25">
      <c r="A8498">
        <v>1502277</v>
      </c>
      <c r="B8498">
        <v>1503281</v>
      </c>
      <c r="D8498">
        <v>0</v>
      </c>
      <c r="F8498">
        <v>1694336</v>
      </c>
      <c r="G8498">
        <v>1502277</v>
      </c>
      <c r="H8498" t="e" vm="56">
        <f>_FV(0,"023")</f>
        <v>#VALUE!</v>
      </c>
      <c r="I8498">
        <v>1503281</v>
      </c>
      <c r="J8498" t="s">
        <v>890</v>
      </c>
      <c r="K8498" t="s">
        <v>52984</v>
      </c>
      <c r="L8498" t="e" vm="56">
        <f>_FV(0,"023")</f>
        <v>#VALUE!</v>
      </c>
    </row>
    <row r="8499" spans="1:12" x14ac:dyDescent="0.25">
      <c r="A8499">
        <v>1502333</v>
      </c>
      <c r="B8499">
        <v>1502374</v>
      </c>
      <c r="D8499">
        <v>0</v>
      </c>
      <c r="F8499">
        <v>1701019</v>
      </c>
      <c r="G8499">
        <v>1502374</v>
      </c>
      <c r="H8499" t="s">
        <v>2068</v>
      </c>
      <c r="I8499">
        <v>1502333</v>
      </c>
      <c r="J8499" t="s">
        <v>2068</v>
      </c>
      <c r="K8499" t="s">
        <v>52985</v>
      </c>
      <c r="L8499" t="s">
        <v>2068</v>
      </c>
    </row>
    <row r="8500" spans="1:12" x14ac:dyDescent="0.25">
      <c r="A8500">
        <v>1502333</v>
      </c>
      <c r="B8500">
        <v>1505458</v>
      </c>
      <c r="D8500">
        <v>0</v>
      </c>
      <c r="F8500">
        <v>1701011</v>
      </c>
      <c r="G8500">
        <v>1502333</v>
      </c>
      <c r="H8500" t="e" vm="3654">
        <f>_FV(0,"067")</f>
        <v>#VALUE!</v>
      </c>
      <c r="I8500">
        <v>1505458</v>
      </c>
      <c r="J8500" t="s">
        <v>8132</v>
      </c>
      <c r="K8500" t="s">
        <v>52986</v>
      </c>
      <c r="L8500" t="e" vm="3654">
        <f>_FV(0,"067")</f>
        <v>#VALUE!</v>
      </c>
    </row>
    <row r="8501" spans="1:12" x14ac:dyDescent="0.25">
      <c r="A8501">
        <v>1502352</v>
      </c>
      <c r="B8501">
        <v>1471994</v>
      </c>
      <c r="D8501" t="s">
        <v>204</v>
      </c>
      <c r="E8501" t="s">
        <v>52988</v>
      </c>
      <c r="F8501" t="s">
        <v>52989</v>
      </c>
      <c r="G8501" t="s">
        <v>52990</v>
      </c>
      <c r="H8501" t="s">
        <v>52991</v>
      </c>
      <c r="I8501" t="s">
        <v>52992</v>
      </c>
      <c r="J8501" t="s">
        <v>52993</v>
      </c>
      <c r="K8501" t="s">
        <v>52994</v>
      </c>
      <c r="L8501" t="s">
        <v>52987</v>
      </c>
    </row>
    <row r="8502" spans="1:12" x14ac:dyDescent="0.25">
      <c r="A8502">
        <v>1502374</v>
      </c>
      <c r="B8502">
        <v>1506210</v>
      </c>
      <c r="D8502">
        <v>0</v>
      </c>
      <c r="E8502" t="s">
        <v>52996</v>
      </c>
      <c r="F8502" t="s">
        <v>52997</v>
      </c>
      <c r="G8502" t="s">
        <v>52998</v>
      </c>
      <c r="H8502" t="s">
        <v>52999</v>
      </c>
      <c r="I8502" t="s">
        <v>53000</v>
      </c>
      <c r="J8502" t="s">
        <v>53001</v>
      </c>
      <c r="K8502" t="s">
        <v>53002</v>
      </c>
      <c r="L8502" t="s">
        <v>52995</v>
      </c>
    </row>
    <row r="8503" spans="1:12" x14ac:dyDescent="0.25">
      <c r="A8503">
        <v>1502400</v>
      </c>
      <c r="B8503">
        <v>1502413</v>
      </c>
      <c r="D8503">
        <v>0</v>
      </c>
      <c r="E8503" t="s">
        <v>53003</v>
      </c>
      <c r="F8503" t="s">
        <v>53004</v>
      </c>
      <c r="G8503" t="s">
        <v>53005</v>
      </c>
      <c r="H8503" t="s">
        <v>53006</v>
      </c>
      <c r="I8503" t="s">
        <v>53007</v>
      </c>
      <c r="J8503" t="s">
        <v>14529</v>
      </c>
      <c r="K8503" t="s">
        <v>53008</v>
      </c>
      <c r="L8503" t="s">
        <v>14529</v>
      </c>
    </row>
    <row r="8504" spans="1:12" x14ac:dyDescent="0.25">
      <c r="A8504">
        <v>1502400</v>
      </c>
      <c r="B8504">
        <v>1517915</v>
      </c>
      <c r="D8504" t="s">
        <v>3298</v>
      </c>
      <c r="E8504" t="s">
        <v>53010</v>
      </c>
      <c r="F8504" t="s">
        <v>53011</v>
      </c>
      <c r="G8504" t="s">
        <v>53012</v>
      </c>
      <c r="H8504" t="s">
        <v>53013</v>
      </c>
      <c r="I8504" t="s">
        <v>53014</v>
      </c>
      <c r="J8504" t="s">
        <v>53015</v>
      </c>
      <c r="K8504" t="s">
        <v>53016</v>
      </c>
      <c r="L8504" t="s">
        <v>53009</v>
      </c>
    </row>
    <row r="8505" spans="1:12" x14ac:dyDescent="0.25">
      <c r="A8505">
        <v>1502413</v>
      </c>
      <c r="B8505">
        <v>1502428</v>
      </c>
      <c r="D8505">
        <v>0</v>
      </c>
      <c r="E8505" t="s">
        <v>53017</v>
      </c>
      <c r="F8505">
        <v>1701179</v>
      </c>
      <c r="G8505">
        <v>1502413</v>
      </c>
      <c r="H8505" t="s">
        <v>697</v>
      </c>
      <c r="I8505">
        <v>1502428</v>
      </c>
      <c r="J8505" t="s">
        <v>697</v>
      </c>
      <c r="K8505" t="s">
        <v>53018</v>
      </c>
      <c r="L8505" t="s">
        <v>697</v>
      </c>
    </row>
    <row r="8506" spans="1:12" x14ac:dyDescent="0.25">
      <c r="A8506">
        <v>1502428</v>
      </c>
      <c r="B8506">
        <v>1502437</v>
      </c>
      <c r="D8506">
        <v>0</v>
      </c>
      <c r="E8506" t="s">
        <v>53020</v>
      </c>
      <c r="F8506" t="s">
        <v>53021</v>
      </c>
      <c r="G8506" t="s">
        <v>53022</v>
      </c>
      <c r="H8506" t="e" vm="3655">
        <f>_FV(0,"00724511326757628")</f>
        <v>#VALUE!</v>
      </c>
      <c r="I8506" t="s">
        <v>53023</v>
      </c>
      <c r="J8506" t="s">
        <v>53024</v>
      </c>
      <c r="K8506" t="s">
        <v>53025</v>
      </c>
      <c r="L8506" t="s">
        <v>53019</v>
      </c>
    </row>
    <row r="8507" spans="1:12" x14ac:dyDescent="0.25">
      <c r="A8507">
        <v>1502437</v>
      </c>
      <c r="B8507">
        <v>1517945</v>
      </c>
      <c r="D8507" t="s">
        <v>257</v>
      </c>
      <c r="E8507" t="s">
        <v>53027</v>
      </c>
      <c r="F8507" t="s">
        <v>53028</v>
      </c>
      <c r="G8507" t="s">
        <v>53029</v>
      </c>
      <c r="H8507" t="e" vm="3656">
        <f>_FV(0,"013506023110494949")</f>
        <v>#VALUE!</v>
      </c>
      <c r="I8507" t="s">
        <v>53030</v>
      </c>
      <c r="J8507" t="s">
        <v>53031</v>
      </c>
      <c r="K8507" t="s">
        <v>53032</v>
      </c>
      <c r="L8507" t="s">
        <v>53026</v>
      </c>
    </row>
    <row r="8508" spans="1:12" x14ac:dyDescent="0.25">
      <c r="A8508">
        <v>1502487</v>
      </c>
      <c r="B8508">
        <v>1517997</v>
      </c>
      <c r="D8508">
        <v>0</v>
      </c>
      <c r="E8508" t="s">
        <v>53034</v>
      </c>
      <c r="F8508" t="s">
        <v>53035</v>
      </c>
      <c r="G8508" t="s">
        <v>53036</v>
      </c>
      <c r="H8508" t="e" vm="3657">
        <f>_FV(0,"009333483842001708")</f>
        <v>#VALUE!</v>
      </c>
      <c r="I8508" t="s">
        <v>53037</v>
      </c>
      <c r="J8508" t="s">
        <v>53038</v>
      </c>
      <c r="K8508" t="s">
        <v>53039</v>
      </c>
      <c r="L8508" t="s">
        <v>53033</v>
      </c>
    </row>
    <row r="8509" spans="1:12" x14ac:dyDescent="0.25">
      <c r="A8509">
        <v>1502487</v>
      </c>
      <c r="B8509">
        <v>1520568</v>
      </c>
      <c r="D8509">
        <v>0</v>
      </c>
      <c r="F8509">
        <v>1701515</v>
      </c>
      <c r="G8509">
        <v>1502487</v>
      </c>
      <c r="H8509" t="s">
        <v>3094</v>
      </c>
      <c r="I8509">
        <v>1520568</v>
      </c>
      <c r="J8509" t="s">
        <v>3094</v>
      </c>
      <c r="K8509" t="s">
        <v>53040</v>
      </c>
      <c r="L8509" t="s">
        <v>3094</v>
      </c>
    </row>
    <row r="8510" spans="1:12" x14ac:dyDescent="0.25">
      <c r="A8510">
        <v>1502492</v>
      </c>
      <c r="B8510">
        <v>1520525</v>
      </c>
      <c r="D8510">
        <v>0</v>
      </c>
      <c r="F8510">
        <v>1701459</v>
      </c>
      <c r="G8510">
        <v>1520525</v>
      </c>
      <c r="H8510" t="e" vm="3658">
        <f>_FV(0,"132")</f>
        <v>#VALUE!</v>
      </c>
      <c r="I8510">
        <v>1502492</v>
      </c>
      <c r="J8510" t="s">
        <v>5698</v>
      </c>
      <c r="K8510" t="s">
        <v>53041</v>
      </c>
      <c r="L8510" t="e" vm="3658">
        <f>_FV(0,"132")</f>
        <v>#VALUE!</v>
      </c>
    </row>
    <row r="8511" spans="1:12" x14ac:dyDescent="0.25">
      <c r="A8511">
        <v>1502492</v>
      </c>
      <c r="B8511">
        <v>1502533</v>
      </c>
      <c r="D8511">
        <v>0</v>
      </c>
      <c r="E8511" t="s">
        <v>53043</v>
      </c>
      <c r="F8511" t="s">
        <v>53044</v>
      </c>
      <c r="G8511" t="s">
        <v>53045</v>
      </c>
      <c r="H8511" t="s">
        <v>53046</v>
      </c>
      <c r="I8511" t="s">
        <v>53047</v>
      </c>
      <c r="J8511" t="s">
        <v>53048</v>
      </c>
      <c r="K8511" t="s">
        <v>53049</v>
      </c>
      <c r="L8511" t="s">
        <v>53042</v>
      </c>
    </row>
    <row r="8512" spans="1:12" x14ac:dyDescent="0.25">
      <c r="A8512">
        <v>1502506</v>
      </c>
      <c r="B8512">
        <v>1520595</v>
      </c>
      <c r="D8512">
        <v>0</v>
      </c>
      <c r="F8512">
        <v>1701563</v>
      </c>
      <c r="G8512">
        <v>1520595</v>
      </c>
      <c r="H8512" t="e" vm="2972">
        <f>_FV(0,"106")</f>
        <v>#VALUE!</v>
      </c>
      <c r="I8512">
        <v>1502506</v>
      </c>
      <c r="J8512" t="s">
        <v>6014</v>
      </c>
      <c r="K8512" t="s">
        <v>53050</v>
      </c>
      <c r="L8512" t="e" vm="2972">
        <f>_FV(0,"106")</f>
        <v>#VALUE!</v>
      </c>
    </row>
    <row r="8513" spans="1:12" x14ac:dyDescent="0.25">
      <c r="A8513">
        <v>1502506</v>
      </c>
      <c r="B8513">
        <v>1518033</v>
      </c>
      <c r="D8513">
        <v>0</v>
      </c>
      <c r="E8513" t="s">
        <v>53052</v>
      </c>
      <c r="F8513" t="s">
        <v>53053</v>
      </c>
      <c r="G8513" t="s">
        <v>53054</v>
      </c>
      <c r="H8513" t="e" vm="3659">
        <f>_FV(0,"013119700527589942")</f>
        <v>#VALUE!</v>
      </c>
      <c r="I8513" t="s">
        <v>53055</v>
      </c>
      <c r="J8513" t="s">
        <v>53056</v>
      </c>
      <c r="K8513" t="s">
        <v>53057</v>
      </c>
      <c r="L8513" t="s">
        <v>53051</v>
      </c>
    </row>
    <row r="8514" spans="1:12" x14ac:dyDescent="0.25">
      <c r="A8514">
        <v>1502533</v>
      </c>
      <c r="B8514">
        <v>1520536</v>
      </c>
      <c r="D8514">
        <v>0</v>
      </c>
      <c r="F8514">
        <v>1701483</v>
      </c>
      <c r="G8514">
        <v>1502533</v>
      </c>
      <c r="H8514" t="s">
        <v>4536</v>
      </c>
      <c r="I8514">
        <v>1520536</v>
      </c>
      <c r="J8514" t="s">
        <v>4536</v>
      </c>
      <c r="K8514" t="s">
        <v>53058</v>
      </c>
      <c r="L8514" t="s">
        <v>4536</v>
      </c>
    </row>
    <row r="8515" spans="1:12" x14ac:dyDescent="0.25">
      <c r="A8515">
        <v>1502547</v>
      </c>
      <c r="B8515">
        <v>1502554</v>
      </c>
      <c r="D8515" t="s">
        <v>204</v>
      </c>
      <c r="E8515" t="s">
        <v>53060</v>
      </c>
      <c r="F8515" t="s">
        <v>53061</v>
      </c>
      <c r="G8515" t="s">
        <v>53062</v>
      </c>
      <c r="H8515" t="e" vm="3660">
        <f>_FV(0,"05476413656653297")</f>
        <v>#VALUE!</v>
      </c>
      <c r="I8515" t="s">
        <v>53063</v>
      </c>
      <c r="J8515" t="s">
        <v>53064</v>
      </c>
      <c r="K8515" t="s">
        <v>53065</v>
      </c>
      <c r="L8515" t="s">
        <v>53059</v>
      </c>
    </row>
    <row r="8516" spans="1:12" x14ac:dyDescent="0.25">
      <c r="A8516">
        <v>1502600</v>
      </c>
      <c r="B8516">
        <v>1502634</v>
      </c>
      <c r="D8516">
        <v>0</v>
      </c>
      <c r="F8516">
        <v>1677564</v>
      </c>
      <c r="G8516">
        <v>1502600</v>
      </c>
      <c r="H8516" t="e" vm="87">
        <f>_FV(0,"001")</f>
        <v>#VALUE!</v>
      </c>
      <c r="I8516">
        <v>1502634</v>
      </c>
      <c r="J8516" t="s">
        <v>1333</v>
      </c>
      <c r="K8516" t="s">
        <v>53066</v>
      </c>
      <c r="L8516" t="e" vm="87">
        <f>_FV(0,"001")</f>
        <v>#VALUE!</v>
      </c>
    </row>
    <row r="8517" spans="1:12" x14ac:dyDescent="0.25">
      <c r="A8517">
        <v>1502606</v>
      </c>
      <c r="B8517">
        <v>1502661</v>
      </c>
      <c r="D8517">
        <v>0</v>
      </c>
      <c r="F8517">
        <v>1677612</v>
      </c>
      <c r="G8517">
        <v>1502661</v>
      </c>
      <c r="H8517" t="s">
        <v>890</v>
      </c>
      <c r="I8517">
        <v>1502606</v>
      </c>
      <c r="J8517" t="s">
        <v>890</v>
      </c>
      <c r="K8517" t="s">
        <v>53067</v>
      </c>
      <c r="L8517" t="s">
        <v>890</v>
      </c>
    </row>
    <row r="8518" spans="1:12" x14ac:dyDescent="0.25">
      <c r="A8518">
        <v>1502689</v>
      </c>
      <c r="B8518">
        <v>1502721</v>
      </c>
      <c r="D8518">
        <v>0</v>
      </c>
      <c r="E8518" t="s">
        <v>53069</v>
      </c>
      <c r="F8518" t="s">
        <v>53070</v>
      </c>
      <c r="G8518" t="s">
        <v>53071</v>
      </c>
      <c r="H8518" t="s">
        <v>53072</v>
      </c>
      <c r="I8518" t="s">
        <v>53073</v>
      </c>
      <c r="J8518" t="s">
        <v>53074</v>
      </c>
      <c r="K8518" t="s">
        <v>53075</v>
      </c>
      <c r="L8518" t="s">
        <v>53068</v>
      </c>
    </row>
    <row r="8519" spans="1:12" x14ac:dyDescent="0.25">
      <c r="A8519">
        <v>1502713</v>
      </c>
      <c r="B8519">
        <v>1502720</v>
      </c>
      <c r="D8519">
        <v>0</v>
      </c>
      <c r="F8519">
        <v>1675532</v>
      </c>
      <c r="G8519">
        <v>1502720</v>
      </c>
      <c r="H8519" t="s">
        <v>5918</v>
      </c>
      <c r="I8519">
        <v>1502713</v>
      </c>
      <c r="J8519" t="s">
        <v>5918</v>
      </c>
      <c r="K8519" t="s">
        <v>53076</v>
      </c>
      <c r="L8519" t="s">
        <v>5918</v>
      </c>
    </row>
    <row r="8520" spans="1:12" x14ac:dyDescent="0.25">
      <c r="A8520">
        <v>1502713</v>
      </c>
      <c r="B8520">
        <v>1503578</v>
      </c>
      <c r="D8520">
        <v>0</v>
      </c>
      <c r="E8520" t="s">
        <v>53078</v>
      </c>
      <c r="F8520" t="s">
        <v>53079</v>
      </c>
      <c r="G8520" t="s">
        <v>53080</v>
      </c>
      <c r="H8520" t="e" vm="3661">
        <f>_FV(0,"031440277750840386")</f>
        <v>#VALUE!</v>
      </c>
      <c r="I8520" t="s">
        <v>53081</v>
      </c>
      <c r="J8520" t="s">
        <v>53082</v>
      </c>
      <c r="K8520" t="s">
        <v>53083</v>
      </c>
      <c r="L8520" t="s">
        <v>53077</v>
      </c>
    </row>
    <row r="8521" spans="1:12" x14ac:dyDescent="0.25">
      <c r="A8521">
        <v>1502713</v>
      </c>
      <c r="B8521">
        <v>1506520</v>
      </c>
      <c r="C8521" t="s">
        <v>53085</v>
      </c>
      <c r="D8521" t="s">
        <v>6886</v>
      </c>
      <c r="E8521" t="s">
        <v>53086</v>
      </c>
      <c r="F8521" t="s">
        <v>53087</v>
      </c>
      <c r="G8521" t="s">
        <v>53088</v>
      </c>
      <c r="H8521" t="s">
        <v>53089</v>
      </c>
      <c r="I8521" t="s">
        <v>53090</v>
      </c>
      <c r="J8521" t="s">
        <v>53091</v>
      </c>
      <c r="K8521" t="s">
        <v>53092</v>
      </c>
      <c r="L8521" t="s">
        <v>53084</v>
      </c>
    </row>
    <row r="8522" spans="1:12" x14ac:dyDescent="0.25">
      <c r="A8522">
        <v>1502720</v>
      </c>
      <c r="B8522">
        <v>1502735</v>
      </c>
      <c r="D8522">
        <v>0</v>
      </c>
      <c r="E8522" t="s">
        <v>53094</v>
      </c>
      <c r="F8522" t="s">
        <v>53095</v>
      </c>
      <c r="G8522" t="s">
        <v>53096</v>
      </c>
      <c r="H8522" t="e" vm="3662">
        <f>_FV(0,"013222639842944606")</f>
        <v>#VALUE!</v>
      </c>
      <c r="I8522" t="s">
        <v>53097</v>
      </c>
      <c r="J8522" t="s">
        <v>53098</v>
      </c>
      <c r="K8522" t="s">
        <v>53099</v>
      </c>
      <c r="L8522" t="s">
        <v>53093</v>
      </c>
    </row>
    <row r="8523" spans="1:12" x14ac:dyDescent="0.25">
      <c r="A8523">
        <v>1502720</v>
      </c>
      <c r="B8523">
        <v>1503571</v>
      </c>
      <c r="D8523">
        <v>0</v>
      </c>
      <c r="E8523" t="s">
        <v>53101</v>
      </c>
      <c r="F8523" t="s">
        <v>53102</v>
      </c>
      <c r="G8523" t="s">
        <v>53103</v>
      </c>
      <c r="H8523" t="e" vm="3663">
        <f>_FV(0,"02174474432225681")</f>
        <v>#VALUE!</v>
      </c>
      <c r="I8523" t="s">
        <v>53104</v>
      </c>
      <c r="J8523" t="s">
        <v>53105</v>
      </c>
      <c r="K8523" t="s">
        <v>53106</v>
      </c>
      <c r="L8523" t="s">
        <v>53100</v>
      </c>
    </row>
    <row r="8524" spans="1:12" x14ac:dyDescent="0.25">
      <c r="A8524">
        <v>1502735</v>
      </c>
      <c r="B8524">
        <v>1502741</v>
      </c>
      <c r="D8524">
        <v>0</v>
      </c>
      <c r="F8524">
        <v>1675556</v>
      </c>
      <c r="G8524">
        <v>1502741</v>
      </c>
      <c r="H8524" t="s">
        <v>1783</v>
      </c>
      <c r="I8524">
        <v>1502735</v>
      </c>
      <c r="J8524" t="s">
        <v>1783</v>
      </c>
      <c r="K8524" t="s">
        <v>53107</v>
      </c>
      <c r="L8524" t="s">
        <v>1783</v>
      </c>
    </row>
    <row r="8525" spans="1:12" x14ac:dyDescent="0.25">
      <c r="A8525">
        <v>1502735</v>
      </c>
      <c r="B8525">
        <v>1503628</v>
      </c>
      <c r="D8525">
        <v>0</v>
      </c>
      <c r="E8525" t="s">
        <v>53109</v>
      </c>
      <c r="F8525" t="s">
        <v>53110</v>
      </c>
      <c r="G8525" t="s">
        <v>53111</v>
      </c>
      <c r="H8525" t="s">
        <v>53112</v>
      </c>
      <c r="I8525" t="s">
        <v>53113</v>
      </c>
      <c r="J8525" t="s">
        <v>53108</v>
      </c>
      <c r="K8525" t="s">
        <v>53114</v>
      </c>
      <c r="L8525" t="s">
        <v>53108</v>
      </c>
    </row>
    <row r="8526" spans="1:12" x14ac:dyDescent="0.25">
      <c r="A8526">
        <v>1502741</v>
      </c>
      <c r="B8526">
        <v>1503663</v>
      </c>
      <c r="C8526" t="s">
        <v>53116</v>
      </c>
      <c r="D8526" t="s">
        <v>4656</v>
      </c>
      <c r="E8526" t="s">
        <v>53117</v>
      </c>
      <c r="F8526" t="s">
        <v>53118</v>
      </c>
      <c r="G8526" t="s">
        <v>53119</v>
      </c>
      <c r="H8526" t="e" vm="3664">
        <f>_FV(0,"004817883617708965")</f>
        <v>#VALUE!</v>
      </c>
      <c r="I8526" t="s">
        <v>53120</v>
      </c>
      <c r="J8526" t="s">
        <v>53121</v>
      </c>
      <c r="K8526" t="s">
        <v>53122</v>
      </c>
      <c r="L8526" t="s">
        <v>53115</v>
      </c>
    </row>
    <row r="8527" spans="1:12" x14ac:dyDescent="0.25">
      <c r="A8527">
        <v>1502741</v>
      </c>
      <c r="B8527">
        <v>1503571</v>
      </c>
      <c r="D8527">
        <v>0</v>
      </c>
      <c r="E8527" t="s">
        <v>53124</v>
      </c>
      <c r="F8527" t="s">
        <v>53125</v>
      </c>
      <c r="G8527" t="s">
        <v>53126</v>
      </c>
      <c r="H8527" t="e" vm="3665">
        <f>_FV(0,"0016214590164392243")</f>
        <v>#VALUE!</v>
      </c>
      <c r="I8527" t="s">
        <v>53127</v>
      </c>
      <c r="J8527" t="s">
        <v>53128</v>
      </c>
      <c r="K8527" t="s">
        <v>53129</v>
      </c>
      <c r="L8527" t="s">
        <v>53123</v>
      </c>
    </row>
    <row r="8528" spans="1:12" x14ac:dyDescent="0.25">
      <c r="A8528">
        <v>1503571</v>
      </c>
      <c r="B8528">
        <v>1503578</v>
      </c>
      <c r="D8528" t="s">
        <v>204</v>
      </c>
      <c r="E8528" t="s">
        <v>53131</v>
      </c>
      <c r="F8528" t="s">
        <v>53132</v>
      </c>
      <c r="G8528" t="s">
        <v>53133</v>
      </c>
      <c r="H8528" t="s">
        <v>53134</v>
      </c>
      <c r="I8528" t="s">
        <v>53135</v>
      </c>
      <c r="J8528" t="s">
        <v>53130</v>
      </c>
      <c r="K8528" t="s">
        <v>53136</v>
      </c>
      <c r="L8528" t="s">
        <v>53130</v>
      </c>
    </row>
    <row r="8529" spans="1:12" x14ac:dyDescent="0.25">
      <c r="A8529">
        <v>1503578</v>
      </c>
      <c r="B8529">
        <v>1503628</v>
      </c>
      <c r="D8529">
        <v>0</v>
      </c>
      <c r="F8529">
        <v>1702681</v>
      </c>
      <c r="G8529">
        <v>1503628</v>
      </c>
      <c r="H8529" t="s">
        <v>3758</v>
      </c>
      <c r="I8529">
        <v>1503578</v>
      </c>
      <c r="J8529" t="s">
        <v>3758</v>
      </c>
      <c r="K8529" t="s">
        <v>53137</v>
      </c>
      <c r="L8529" t="s">
        <v>3758</v>
      </c>
    </row>
    <row r="8530" spans="1:12" x14ac:dyDescent="0.25">
      <c r="A8530">
        <v>1503634</v>
      </c>
      <c r="B8530">
        <v>1503646</v>
      </c>
      <c r="D8530">
        <v>0</v>
      </c>
      <c r="E8530" t="s">
        <v>53139</v>
      </c>
      <c r="F8530" t="s">
        <v>53140</v>
      </c>
      <c r="G8530" t="s">
        <v>53141</v>
      </c>
      <c r="H8530" t="e" vm="3666">
        <f>_FV(0,"03992483611832884")</f>
        <v>#VALUE!</v>
      </c>
      <c r="I8530" t="s">
        <v>53142</v>
      </c>
      <c r="J8530" t="s">
        <v>53143</v>
      </c>
      <c r="K8530" t="s">
        <v>53144</v>
      </c>
      <c r="L8530" t="s">
        <v>53138</v>
      </c>
    </row>
    <row r="8531" spans="1:12" x14ac:dyDescent="0.25">
      <c r="A8531">
        <v>1503634</v>
      </c>
      <c r="B8531">
        <v>1503695</v>
      </c>
      <c r="D8531" t="s">
        <v>204</v>
      </c>
      <c r="E8531" t="s">
        <v>53146</v>
      </c>
      <c r="F8531" t="s">
        <v>53147</v>
      </c>
      <c r="G8531" t="s">
        <v>53148</v>
      </c>
      <c r="H8531" t="e" vm="3667">
        <f>_FV(0,"02173065399343258")</f>
        <v>#VALUE!</v>
      </c>
      <c r="I8531" t="s">
        <v>53149</v>
      </c>
      <c r="J8531" t="s">
        <v>53150</v>
      </c>
      <c r="K8531" t="s">
        <v>53151</v>
      </c>
      <c r="L8531" t="s">
        <v>53145</v>
      </c>
    </row>
    <row r="8532" spans="1:12" x14ac:dyDescent="0.25">
      <c r="A8532">
        <v>1503634</v>
      </c>
      <c r="B8532">
        <v>1503663</v>
      </c>
      <c r="D8532">
        <v>0</v>
      </c>
      <c r="F8532">
        <v>1680685</v>
      </c>
      <c r="G8532">
        <v>1503634</v>
      </c>
      <c r="H8532" t="e" vm="201">
        <f>_FV(0,"002")</f>
        <v>#VALUE!</v>
      </c>
      <c r="I8532">
        <v>1503663</v>
      </c>
      <c r="J8532" t="s">
        <v>1534</v>
      </c>
      <c r="K8532" t="s">
        <v>53152</v>
      </c>
      <c r="L8532" t="e" vm="201">
        <f>_FV(0,"002")</f>
        <v>#VALUE!</v>
      </c>
    </row>
    <row r="8533" spans="1:12" x14ac:dyDescent="0.25">
      <c r="A8533">
        <v>1503646</v>
      </c>
      <c r="B8533">
        <v>1503670</v>
      </c>
      <c r="D8533">
        <v>0</v>
      </c>
      <c r="E8533" t="s">
        <v>53154</v>
      </c>
      <c r="F8533" t="s">
        <v>53155</v>
      </c>
      <c r="G8533" t="s">
        <v>53156</v>
      </c>
      <c r="H8533" t="e" vm="3668">
        <f>_FV(0,"003949926597608866")</f>
        <v>#VALUE!</v>
      </c>
      <c r="I8533" t="s">
        <v>53157</v>
      </c>
      <c r="J8533" t="s">
        <v>53158</v>
      </c>
      <c r="K8533" t="s">
        <v>53159</v>
      </c>
      <c r="L8533" t="s">
        <v>53153</v>
      </c>
    </row>
    <row r="8534" spans="1:12" x14ac:dyDescent="0.25">
      <c r="A8534">
        <v>1503646</v>
      </c>
      <c r="B8534">
        <v>1521301</v>
      </c>
      <c r="D8534">
        <v>0</v>
      </c>
      <c r="F8534">
        <v>1702745</v>
      </c>
      <c r="G8534">
        <v>1503646</v>
      </c>
      <c r="H8534" t="e" vm="342">
        <f>_FV(0,"011")</f>
        <v>#VALUE!</v>
      </c>
      <c r="I8534">
        <v>1521301</v>
      </c>
      <c r="J8534" t="s">
        <v>4848</v>
      </c>
      <c r="K8534" t="s">
        <v>53160</v>
      </c>
      <c r="L8534" t="e" vm="342">
        <f>_FV(0,"011")</f>
        <v>#VALUE!</v>
      </c>
    </row>
    <row r="8535" spans="1:12" x14ac:dyDescent="0.25">
      <c r="A8535">
        <v>1503651</v>
      </c>
      <c r="B8535">
        <v>1521346</v>
      </c>
      <c r="D8535">
        <v>0</v>
      </c>
      <c r="F8535">
        <v>1702809</v>
      </c>
      <c r="G8535">
        <v>1521346</v>
      </c>
      <c r="H8535" t="s">
        <v>53161</v>
      </c>
      <c r="I8535">
        <v>1503651</v>
      </c>
      <c r="J8535" t="s">
        <v>53161</v>
      </c>
      <c r="K8535" t="s">
        <v>53162</v>
      </c>
      <c r="L8535" t="s">
        <v>53161</v>
      </c>
    </row>
    <row r="8536" spans="1:12" x14ac:dyDescent="0.25">
      <c r="A8536">
        <v>1503651</v>
      </c>
      <c r="B8536">
        <v>1503663</v>
      </c>
      <c r="D8536">
        <v>0</v>
      </c>
      <c r="E8536" t="s">
        <v>53164</v>
      </c>
      <c r="F8536" t="s">
        <v>53165</v>
      </c>
      <c r="G8536" t="s">
        <v>53166</v>
      </c>
      <c r="H8536" t="s">
        <v>53167</v>
      </c>
      <c r="I8536" t="s">
        <v>53168</v>
      </c>
      <c r="J8536" t="s">
        <v>53169</v>
      </c>
      <c r="K8536" t="s">
        <v>53170</v>
      </c>
      <c r="L8536" t="s">
        <v>53163</v>
      </c>
    </row>
    <row r="8537" spans="1:12" x14ac:dyDescent="0.25">
      <c r="A8537">
        <v>1503651</v>
      </c>
      <c r="B8537">
        <v>1503707</v>
      </c>
      <c r="D8537">
        <v>0</v>
      </c>
      <c r="E8537" t="s">
        <v>53172</v>
      </c>
      <c r="F8537" t="s">
        <v>53173</v>
      </c>
      <c r="G8537" t="s">
        <v>53174</v>
      </c>
      <c r="H8537" t="s">
        <v>53175</v>
      </c>
      <c r="I8537" t="s">
        <v>53176</v>
      </c>
      <c r="J8537" t="s">
        <v>53177</v>
      </c>
      <c r="K8537" t="s">
        <v>53178</v>
      </c>
      <c r="L8537" t="s">
        <v>53171</v>
      </c>
    </row>
    <row r="8538" spans="1:12" x14ac:dyDescent="0.25">
      <c r="A8538">
        <v>1503670</v>
      </c>
      <c r="B8538">
        <v>1509891</v>
      </c>
      <c r="D8538">
        <v>0</v>
      </c>
      <c r="F8538">
        <v>1702721</v>
      </c>
      <c r="G8538">
        <v>1509891</v>
      </c>
      <c r="H8538" t="e" vm="481">
        <f>_FV(0,"029")</f>
        <v>#VALUE!</v>
      </c>
      <c r="I8538">
        <v>1503670</v>
      </c>
      <c r="J8538" t="s">
        <v>5410</v>
      </c>
      <c r="K8538" t="s">
        <v>53179</v>
      </c>
      <c r="L8538" t="e" vm="481">
        <f>_FV(0,"029")</f>
        <v>#VALUE!</v>
      </c>
    </row>
    <row r="8539" spans="1:12" x14ac:dyDescent="0.25">
      <c r="A8539">
        <v>1503670</v>
      </c>
      <c r="B8539">
        <v>1503688</v>
      </c>
      <c r="D8539">
        <v>0</v>
      </c>
      <c r="E8539" t="s">
        <v>53181</v>
      </c>
      <c r="F8539" t="s">
        <v>53182</v>
      </c>
      <c r="G8539" t="s">
        <v>53183</v>
      </c>
      <c r="H8539" t="e" vm="3669">
        <f>_FV(0,"0020107217695570323")</f>
        <v>#VALUE!</v>
      </c>
      <c r="I8539" t="s">
        <v>53184</v>
      </c>
      <c r="J8539" t="s">
        <v>53185</v>
      </c>
      <c r="K8539" t="s">
        <v>53186</v>
      </c>
      <c r="L8539" t="s">
        <v>53180</v>
      </c>
    </row>
    <row r="8540" spans="1:12" x14ac:dyDescent="0.25">
      <c r="A8540">
        <v>1503688</v>
      </c>
      <c r="B8540">
        <v>1786815</v>
      </c>
      <c r="C8540" t="s">
        <v>53188</v>
      </c>
      <c r="D8540" t="s">
        <v>19177</v>
      </c>
      <c r="E8540" t="s">
        <v>53189</v>
      </c>
      <c r="F8540" t="s">
        <v>53190</v>
      </c>
      <c r="G8540" t="s">
        <v>53191</v>
      </c>
      <c r="H8540" t="s">
        <v>53192</v>
      </c>
      <c r="I8540" t="s">
        <v>53193</v>
      </c>
      <c r="J8540" t="s">
        <v>53187</v>
      </c>
      <c r="K8540" t="s">
        <v>53194</v>
      </c>
      <c r="L8540" t="s">
        <v>53187</v>
      </c>
    </row>
    <row r="8541" spans="1:12" x14ac:dyDescent="0.25">
      <c r="A8541">
        <v>1503688</v>
      </c>
      <c r="B8541">
        <v>1503695</v>
      </c>
      <c r="D8541">
        <v>0</v>
      </c>
      <c r="F8541">
        <v>1680717</v>
      </c>
      <c r="G8541">
        <v>1503688</v>
      </c>
      <c r="H8541" t="e" vm="342">
        <f>_FV(0,"011")</f>
        <v>#VALUE!</v>
      </c>
      <c r="I8541">
        <v>1503695</v>
      </c>
      <c r="J8541" t="s">
        <v>4848</v>
      </c>
      <c r="K8541" t="s">
        <v>53195</v>
      </c>
      <c r="L8541" t="e" vm="342">
        <f>_FV(0,"011")</f>
        <v>#VALUE!</v>
      </c>
    </row>
    <row r="8542" spans="1:12" x14ac:dyDescent="0.25">
      <c r="A8542">
        <v>1503695</v>
      </c>
      <c r="B8542">
        <v>1503707</v>
      </c>
      <c r="D8542">
        <v>0</v>
      </c>
      <c r="E8542" t="s">
        <v>53197</v>
      </c>
      <c r="F8542" t="s">
        <v>53198</v>
      </c>
      <c r="G8542" t="s">
        <v>53199</v>
      </c>
      <c r="H8542" t="s">
        <v>53200</v>
      </c>
      <c r="I8542" t="s">
        <v>53201</v>
      </c>
      <c r="J8542" t="s">
        <v>53196</v>
      </c>
      <c r="K8542" t="s">
        <v>53202</v>
      </c>
      <c r="L8542" t="s">
        <v>53196</v>
      </c>
    </row>
    <row r="8543" spans="1:12" x14ac:dyDescent="0.25">
      <c r="A8543">
        <v>1503707</v>
      </c>
      <c r="B8543">
        <v>1509905</v>
      </c>
      <c r="D8543">
        <v>0</v>
      </c>
      <c r="F8543">
        <v>1702769</v>
      </c>
      <c r="G8543">
        <v>1503707</v>
      </c>
      <c r="H8543" t="s">
        <v>1333</v>
      </c>
      <c r="I8543">
        <v>1509905</v>
      </c>
      <c r="J8543" t="s">
        <v>1333</v>
      </c>
      <c r="K8543" t="s">
        <v>53203</v>
      </c>
      <c r="L8543" t="s">
        <v>1333</v>
      </c>
    </row>
    <row r="8544" spans="1:12" x14ac:dyDescent="0.25">
      <c r="A8544">
        <v>1471994</v>
      </c>
      <c r="B8544">
        <v>1505441</v>
      </c>
      <c r="D8544">
        <v>0</v>
      </c>
      <c r="E8544" t="s">
        <v>53204</v>
      </c>
      <c r="F8544" t="s">
        <v>53205</v>
      </c>
      <c r="G8544" t="s">
        <v>53206</v>
      </c>
      <c r="H8544" t="e" vm="3670">
        <f>_FV(0,"0005534777351963251")</f>
        <v>#VALUE!</v>
      </c>
      <c r="I8544" t="s">
        <v>53207</v>
      </c>
      <c r="J8544" t="s">
        <v>1829</v>
      </c>
      <c r="K8544" t="s">
        <v>53208</v>
      </c>
      <c r="L8544" t="s">
        <v>29780</v>
      </c>
    </row>
    <row r="8545" spans="1:12" x14ac:dyDescent="0.25">
      <c r="A8545">
        <v>1471994</v>
      </c>
      <c r="B8545">
        <v>1505441</v>
      </c>
      <c r="D8545">
        <v>0</v>
      </c>
      <c r="E8545" t="s">
        <v>53209</v>
      </c>
      <c r="F8545" t="s">
        <v>53210</v>
      </c>
      <c r="G8545" t="s">
        <v>53211</v>
      </c>
      <c r="H8545" t="e" vm="3671">
        <f>_FV(0,"0004417350892515993")</f>
        <v>#VALUE!</v>
      </c>
      <c r="I8545" t="s">
        <v>53212</v>
      </c>
      <c r="J8545" t="s">
        <v>13113</v>
      </c>
      <c r="K8545" t="s">
        <v>53213</v>
      </c>
      <c r="L8545" t="s">
        <v>13939</v>
      </c>
    </row>
    <row r="8546" spans="1:12" x14ac:dyDescent="0.25">
      <c r="A8546">
        <v>1505441</v>
      </c>
      <c r="B8546">
        <v>1505446</v>
      </c>
      <c r="D8546">
        <v>0</v>
      </c>
      <c r="F8546">
        <v>1699154</v>
      </c>
      <c r="G8546">
        <v>1505446</v>
      </c>
      <c r="H8546" t="s">
        <v>2674</v>
      </c>
      <c r="I8546">
        <v>1505441</v>
      </c>
      <c r="J8546" t="s">
        <v>2674</v>
      </c>
      <c r="K8546" t="s">
        <v>53214</v>
      </c>
      <c r="L8546" t="s">
        <v>2674</v>
      </c>
    </row>
    <row r="8547" spans="1:12" x14ac:dyDescent="0.25">
      <c r="A8547">
        <v>1505446</v>
      </c>
      <c r="B8547">
        <v>1505458</v>
      </c>
      <c r="D8547">
        <v>0</v>
      </c>
      <c r="E8547" t="s">
        <v>53216</v>
      </c>
      <c r="F8547" t="s">
        <v>53217</v>
      </c>
      <c r="G8547" t="s">
        <v>53218</v>
      </c>
      <c r="H8547" t="e" vm="3672">
        <f>_FV(0,"02920195785475652")</f>
        <v>#VALUE!</v>
      </c>
      <c r="I8547" t="s">
        <v>53219</v>
      </c>
      <c r="J8547" t="s">
        <v>42137</v>
      </c>
      <c r="K8547" t="s">
        <v>53220</v>
      </c>
      <c r="L8547" t="s">
        <v>53215</v>
      </c>
    </row>
    <row r="8548" spans="1:12" x14ac:dyDescent="0.25">
      <c r="A8548">
        <v>1505446</v>
      </c>
      <c r="B8548">
        <v>1506210</v>
      </c>
      <c r="D8548">
        <v>0</v>
      </c>
      <c r="E8548" t="s">
        <v>53222</v>
      </c>
      <c r="F8548" t="s">
        <v>53223</v>
      </c>
      <c r="G8548" t="s">
        <v>53224</v>
      </c>
      <c r="H8548" t="e" vm="3673">
        <f>_FV(0,"007781048964759093")</f>
        <v>#VALUE!</v>
      </c>
      <c r="I8548" t="s">
        <v>53225</v>
      </c>
      <c r="J8548" t="s">
        <v>53226</v>
      </c>
      <c r="K8548" t="s">
        <v>53227</v>
      </c>
      <c r="L8548" t="s">
        <v>53221</v>
      </c>
    </row>
    <row r="8549" spans="1:12" x14ac:dyDescent="0.25">
      <c r="A8549">
        <v>1505458</v>
      </c>
      <c r="B8549">
        <v>1506210</v>
      </c>
      <c r="D8549">
        <v>0</v>
      </c>
      <c r="E8549" t="s">
        <v>53229</v>
      </c>
      <c r="F8549" t="s">
        <v>53230</v>
      </c>
      <c r="G8549" t="s">
        <v>53231</v>
      </c>
      <c r="H8549" t="e" vm="3674">
        <f>_FV(0,"062381826640605084")</f>
        <v>#VALUE!</v>
      </c>
      <c r="I8549" t="s">
        <v>53232</v>
      </c>
      <c r="J8549" t="s">
        <v>53233</v>
      </c>
      <c r="K8549" t="s">
        <v>53234</v>
      </c>
      <c r="L8549" t="s">
        <v>53228</v>
      </c>
    </row>
    <row r="8550" spans="1:12" x14ac:dyDescent="0.25">
      <c r="A8550">
        <v>1509891</v>
      </c>
      <c r="B8550">
        <v>1509905</v>
      </c>
      <c r="D8550">
        <v>0</v>
      </c>
      <c r="E8550" t="s">
        <v>53236</v>
      </c>
      <c r="F8550" t="s">
        <v>53237</v>
      </c>
      <c r="G8550" t="s">
        <v>53238</v>
      </c>
      <c r="H8550" t="s">
        <v>53239</v>
      </c>
      <c r="I8550" t="s">
        <v>53240</v>
      </c>
      <c r="J8550" t="s">
        <v>53241</v>
      </c>
      <c r="K8550" t="s">
        <v>53242</v>
      </c>
      <c r="L8550" t="s">
        <v>53235</v>
      </c>
    </row>
    <row r="8551" spans="1:12" x14ac:dyDescent="0.25">
      <c r="A8551">
        <v>1509891</v>
      </c>
      <c r="B8551">
        <v>1521301</v>
      </c>
      <c r="D8551">
        <v>0</v>
      </c>
      <c r="E8551" t="s">
        <v>53244</v>
      </c>
      <c r="F8551" t="s">
        <v>53245</v>
      </c>
      <c r="G8551" t="s">
        <v>53246</v>
      </c>
      <c r="H8551" t="s">
        <v>53247</v>
      </c>
      <c r="I8551" t="s">
        <v>53248</v>
      </c>
      <c r="J8551" t="s">
        <v>53243</v>
      </c>
      <c r="K8551" t="s">
        <v>53249</v>
      </c>
      <c r="L8551" t="s">
        <v>53243</v>
      </c>
    </row>
    <row r="8552" spans="1:12" x14ac:dyDescent="0.25">
      <c r="A8552">
        <v>1509905</v>
      </c>
      <c r="B8552">
        <v>1521346</v>
      </c>
      <c r="D8552">
        <v>0</v>
      </c>
      <c r="E8552" t="s">
        <v>53251</v>
      </c>
      <c r="F8552" t="s">
        <v>53252</v>
      </c>
      <c r="G8552" t="s">
        <v>53253</v>
      </c>
      <c r="H8552" t="e" vm="3675">
        <f>_FV(0,"40862126036918356")</f>
        <v>#VALUE!</v>
      </c>
      <c r="I8552" t="s">
        <v>53254</v>
      </c>
      <c r="J8552" t="s">
        <v>53255</v>
      </c>
      <c r="K8552" t="s">
        <v>53256</v>
      </c>
      <c r="L8552" t="s">
        <v>53250</v>
      </c>
    </row>
    <row r="8553" spans="1:12" x14ac:dyDescent="0.25">
      <c r="A8553">
        <v>1517784</v>
      </c>
      <c r="B8553">
        <v>1517807</v>
      </c>
      <c r="D8553">
        <v>0</v>
      </c>
      <c r="E8553" t="s">
        <v>53258</v>
      </c>
      <c r="F8553" t="s">
        <v>53259</v>
      </c>
      <c r="G8553" t="s">
        <v>53260</v>
      </c>
      <c r="H8553" t="e" vm="3676">
        <f>_FV(0,"009395402515083305")</f>
        <v>#VALUE!</v>
      </c>
      <c r="I8553" t="s">
        <v>53261</v>
      </c>
      <c r="J8553" t="s">
        <v>53262</v>
      </c>
      <c r="K8553" t="s">
        <v>53263</v>
      </c>
      <c r="L8553" t="s">
        <v>53257</v>
      </c>
    </row>
    <row r="8554" spans="1:12" x14ac:dyDescent="0.25">
      <c r="A8554">
        <v>1517807</v>
      </c>
      <c r="B8554">
        <v>1517822</v>
      </c>
      <c r="D8554" t="s">
        <v>700</v>
      </c>
      <c r="E8554" t="s">
        <v>53265</v>
      </c>
      <c r="F8554" t="s">
        <v>53266</v>
      </c>
      <c r="G8554" t="s">
        <v>53267</v>
      </c>
      <c r="H8554" t="e" vm="3677">
        <f>_FV(0,"04042639196099022")</f>
        <v>#VALUE!</v>
      </c>
      <c r="I8554" t="s">
        <v>53268</v>
      </c>
      <c r="J8554" t="s">
        <v>53269</v>
      </c>
      <c r="K8554" t="s">
        <v>53270</v>
      </c>
      <c r="L8554" t="s">
        <v>53264</v>
      </c>
    </row>
    <row r="8555" spans="1:12" x14ac:dyDescent="0.25">
      <c r="A8555">
        <v>1517822</v>
      </c>
      <c r="B8555">
        <v>1602638</v>
      </c>
      <c r="D8555" t="s">
        <v>12284</v>
      </c>
      <c r="E8555" t="s">
        <v>53272</v>
      </c>
      <c r="F8555" t="s">
        <v>53273</v>
      </c>
      <c r="G8555" t="s">
        <v>53274</v>
      </c>
      <c r="H8555" t="s">
        <v>53275</v>
      </c>
      <c r="I8555" t="s">
        <v>53276</v>
      </c>
      <c r="J8555" t="s">
        <v>53277</v>
      </c>
      <c r="K8555" t="s">
        <v>53278</v>
      </c>
      <c r="L8555" t="s">
        <v>53271</v>
      </c>
    </row>
    <row r="8556" spans="1:12" x14ac:dyDescent="0.25">
      <c r="A8556">
        <v>1517915</v>
      </c>
      <c r="B8556">
        <v>1517945</v>
      </c>
      <c r="D8556" t="s">
        <v>1307</v>
      </c>
      <c r="E8556" t="s">
        <v>53280</v>
      </c>
      <c r="F8556" t="s">
        <v>53281</v>
      </c>
      <c r="G8556" t="s">
        <v>53282</v>
      </c>
      <c r="H8556" t="e" vm="3678">
        <f>_FV(0,"012997855548743992")</f>
        <v>#VALUE!</v>
      </c>
      <c r="I8556" t="s">
        <v>53283</v>
      </c>
      <c r="J8556" t="s">
        <v>53284</v>
      </c>
      <c r="K8556" t="s">
        <v>53285</v>
      </c>
      <c r="L8556" t="s">
        <v>53279</v>
      </c>
    </row>
    <row r="8557" spans="1:12" x14ac:dyDescent="0.25">
      <c r="A8557">
        <v>1517945</v>
      </c>
      <c r="B8557">
        <v>1517997</v>
      </c>
      <c r="C8557" t="s">
        <v>53287</v>
      </c>
      <c r="D8557">
        <v>0</v>
      </c>
      <c r="E8557" t="s">
        <v>53288</v>
      </c>
      <c r="F8557" t="s">
        <v>53289</v>
      </c>
      <c r="G8557" t="s">
        <v>53290</v>
      </c>
      <c r="H8557" t="s">
        <v>53291</v>
      </c>
      <c r="I8557" t="s">
        <v>53292</v>
      </c>
      <c r="J8557" t="s">
        <v>53293</v>
      </c>
      <c r="K8557" t="s">
        <v>53294</v>
      </c>
      <c r="L8557" t="s">
        <v>53286</v>
      </c>
    </row>
    <row r="8558" spans="1:12" x14ac:dyDescent="0.25">
      <c r="A8558">
        <v>1517997</v>
      </c>
      <c r="B8558">
        <v>1518033</v>
      </c>
      <c r="D8558">
        <v>0</v>
      </c>
      <c r="E8558" t="s">
        <v>53296</v>
      </c>
      <c r="F8558" t="s">
        <v>53297</v>
      </c>
      <c r="G8558" t="s">
        <v>53298</v>
      </c>
      <c r="H8558" t="e" vm="3679">
        <f>_FV(0,"011119820469848728")</f>
        <v>#VALUE!</v>
      </c>
      <c r="I8558" t="s">
        <v>53299</v>
      </c>
      <c r="J8558" t="s">
        <v>53300</v>
      </c>
      <c r="K8558" t="s">
        <v>53301</v>
      </c>
      <c r="L8558" t="s">
        <v>53295</v>
      </c>
    </row>
    <row r="8559" spans="1:12" x14ac:dyDescent="0.25">
      <c r="A8559">
        <v>1519913</v>
      </c>
      <c r="B8559">
        <v>1519914</v>
      </c>
      <c r="D8559">
        <v>1</v>
      </c>
      <c r="F8559">
        <v>1700539</v>
      </c>
      <c r="G8559">
        <v>1519914</v>
      </c>
      <c r="H8559" t="s">
        <v>4979</v>
      </c>
      <c r="I8559">
        <v>1519913</v>
      </c>
      <c r="J8559" t="s">
        <v>4979</v>
      </c>
      <c r="K8559" t="s">
        <v>53302</v>
      </c>
      <c r="L8559" t="s">
        <v>4979</v>
      </c>
    </row>
    <row r="8560" spans="1:12" x14ac:dyDescent="0.25">
      <c r="A8560">
        <v>1519913</v>
      </c>
      <c r="B8560">
        <v>1520525</v>
      </c>
      <c r="D8560">
        <v>0</v>
      </c>
      <c r="E8560" t="s">
        <v>53304</v>
      </c>
      <c r="F8560" t="s">
        <v>53305</v>
      </c>
      <c r="G8560" t="s">
        <v>53306</v>
      </c>
      <c r="H8560" t="s">
        <v>53307</v>
      </c>
      <c r="I8560" t="s">
        <v>53308</v>
      </c>
      <c r="J8560" t="s">
        <v>53303</v>
      </c>
      <c r="K8560" t="s">
        <v>53309</v>
      </c>
      <c r="L8560" t="s">
        <v>53303</v>
      </c>
    </row>
    <row r="8561" spans="1:12" x14ac:dyDescent="0.25">
      <c r="A8561">
        <v>1519913</v>
      </c>
      <c r="B8561">
        <v>1520536</v>
      </c>
      <c r="D8561">
        <v>0</v>
      </c>
      <c r="E8561" t="s">
        <v>53310</v>
      </c>
      <c r="F8561" t="s">
        <v>53311</v>
      </c>
      <c r="G8561" t="s">
        <v>53312</v>
      </c>
      <c r="H8561" t="s">
        <v>5837</v>
      </c>
      <c r="I8561" t="s">
        <v>53313</v>
      </c>
      <c r="J8561" t="s">
        <v>5837</v>
      </c>
      <c r="K8561" t="s">
        <v>53314</v>
      </c>
      <c r="L8561" t="s">
        <v>5837</v>
      </c>
    </row>
    <row r="8562" spans="1:12" x14ac:dyDescent="0.25">
      <c r="A8562">
        <v>1519914</v>
      </c>
      <c r="B8562">
        <v>1520568</v>
      </c>
      <c r="D8562">
        <v>0</v>
      </c>
      <c r="E8562" t="s">
        <v>53315</v>
      </c>
      <c r="F8562" t="s">
        <v>53316</v>
      </c>
      <c r="G8562" t="s">
        <v>53317</v>
      </c>
      <c r="H8562" t="s">
        <v>53318</v>
      </c>
      <c r="I8562" t="s">
        <v>53319</v>
      </c>
      <c r="J8562" t="s">
        <v>7556</v>
      </c>
      <c r="K8562" t="s">
        <v>53320</v>
      </c>
      <c r="L8562" t="s">
        <v>7556</v>
      </c>
    </row>
    <row r="8563" spans="1:12" x14ac:dyDescent="0.25">
      <c r="A8563">
        <v>1519914</v>
      </c>
      <c r="B8563">
        <v>1520595</v>
      </c>
      <c r="D8563">
        <v>0</v>
      </c>
      <c r="E8563" t="s">
        <v>53322</v>
      </c>
      <c r="F8563" t="s">
        <v>53323</v>
      </c>
      <c r="G8563" t="s">
        <v>53324</v>
      </c>
      <c r="H8563" t="s">
        <v>53325</v>
      </c>
      <c r="I8563" t="s">
        <v>53326</v>
      </c>
      <c r="J8563" t="s">
        <v>53321</v>
      </c>
      <c r="K8563" t="s">
        <v>53327</v>
      </c>
      <c r="L8563" t="s">
        <v>53321</v>
      </c>
    </row>
    <row r="8564" spans="1:12" x14ac:dyDescent="0.25">
      <c r="A8564">
        <v>1519987</v>
      </c>
      <c r="B8564">
        <v>1520018</v>
      </c>
      <c r="D8564">
        <v>0</v>
      </c>
      <c r="E8564" t="s">
        <v>53329</v>
      </c>
      <c r="F8564" t="s">
        <v>53330</v>
      </c>
      <c r="G8564" t="s">
        <v>53331</v>
      </c>
      <c r="H8564" t="e" vm="3680">
        <f>_FV(0,"010372034173684038")</f>
        <v>#VALUE!</v>
      </c>
      <c r="I8564" t="s">
        <v>53332</v>
      </c>
      <c r="J8564" t="s">
        <v>53333</v>
      </c>
      <c r="K8564" t="s">
        <v>53334</v>
      </c>
      <c r="L8564" t="s">
        <v>53328</v>
      </c>
    </row>
    <row r="8565" spans="1:12" x14ac:dyDescent="0.25">
      <c r="A8565">
        <v>1519987</v>
      </c>
      <c r="B8565">
        <v>1520441</v>
      </c>
      <c r="D8565">
        <v>0</v>
      </c>
      <c r="E8565" t="s">
        <v>53336</v>
      </c>
      <c r="F8565" t="s">
        <v>53337</v>
      </c>
      <c r="G8565" t="s">
        <v>53338</v>
      </c>
      <c r="H8565" t="e" vm="3681">
        <f>_FV(0,"03982273365140654")</f>
        <v>#VALUE!</v>
      </c>
      <c r="I8565" t="s">
        <v>53339</v>
      </c>
      <c r="J8565" t="s">
        <v>53340</v>
      </c>
      <c r="K8565" t="s">
        <v>53341</v>
      </c>
      <c r="L8565" t="s">
        <v>53335</v>
      </c>
    </row>
    <row r="8566" spans="1:12" x14ac:dyDescent="0.25">
      <c r="A8566">
        <v>1519987</v>
      </c>
      <c r="B8566">
        <v>1520452</v>
      </c>
      <c r="D8566">
        <v>0</v>
      </c>
      <c r="E8566" t="s">
        <v>53342</v>
      </c>
      <c r="F8566" t="s">
        <v>53343</v>
      </c>
      <c r="G8566" t="s">
        <v>53344</v>
      </c>
      <c r="H8566" t="e" vm="3682">
        <f>_FV(0,"03985184552221772")</f>
        <v>#VALUE!</v>
      </c>
      <c r="I8566" t="s">
        <v>53345</v>
      </c>
      <c r="J8566" t="s">
        <v>53340</v>
      </c>
      <c r="K8566" t="s">
        <v>53346</v>
      </c>
      <c r="L8566" t="s">
        <v>53335</v>
      </c>
    </row>
    <row r="8567" spans="1:12" x14ac:dyDescent="0.25">
      <c r="A8567">
        <v>1520018</v>
      </c>
      <c r="B8567">
        <v>1520384</v>
      </c>
      <c r="D8567">
        <v>0</v>
      </c>
      <c r="E8567" t="s">
        <v>53347</v>
      </c>
      <c r="F8567" t="s">
        <v>53348</v>
      </c>
      <c r="G8567" t="s">
        <v>53349</v>
      </c>
      <c r="H8567" t="s">
        <v>53350</v>
      </c>
      <c r="I8567" t="s">
        <v>53351</v>
      </c>
      <c r="J8567" t="s">
        <v>4329</v>
      </c>
      <c r="K8567" t="s">
        <v>53352</v>
      </c>
      <c r="L8567" t="s">
        <v>4329</v>
      </c>
    </row>
    <row r="8568" spans="1:12" x14ac:dyDescent="0.25">
      <c r="A8568">
        <v>1520018</v>
      </c>
      <c r="B8568">
        <v>1520405</v>
      </c>
      <c r="D8568">
        <v>0</v>
      </c>
      <c r="E8568" t="s">
        <v>53353</v>
      </c>
      <c r="F8568" t="s">
        <v>53354</v>
      </c>
      <c r="G8568" t="s">
        <v>53355</v>
      </c>
      <c r="H8568" t="s">
        <v>53356</v>
      </c>
      <c r="I8568" t="s">
        <v>53357</v>
      </c>
      <c r="J8568" t="s">
        <v>13113</v>
      </c>
      <c r="K8568" t="s">
        <v>53358</v>
      </c>
      <c r="L8568" t="s">
        <v>13113</v>
      </c>
    </row>
    <row r="8569" spans="1:12" x14ac:dyDescent="0.25">
      <c r="A8569">
        <v>1520073</v>
      </c>
      <c r="B8569">
        <v>1520306</v>
      </c>
      <c r="D8569">
        <v>0</v>
      </c>
      <c r="E8569" t="s">
        <v>53359</v>
      </c>
      <c r="F8569" t="s">
        <v>53360</v>
      </c>
      <c r="G8569" t="s">
        <v>53361</v>
      </c>
      <c r="H8569" t="s">
        <v>53362</v>
      </c>
      <c r="I8569" t="s">
        <v>53363</v>
      </c>
      <c r="J8569" t="s">
        <v>9054</v>
      </c>
      <c r="K8569" t="s">
        <v>53364</v>
      </c>
      <c r="L8569" t="s">
        <v>9054</v>
      </c>
    </row>
    <row r="8570" spans="1:12" x14ac:dyDescent="0.25">
      <c r="A8570">
        <v>1520073</v>
      </c>
      <c r="B8570">
        <v>1520315</v>
      </c>
      <c r="D8570">
        <v>0</v>
      </c>
      <c r="E8570" t="s">
        <v>53365</v>
      </c>
      <c r="F8570" t="s">
        <v>53366</v>
      </c>
      <c r="G8570" t="s">
        <v>53367</v>
      </c>
      <c r="H8570" t="s">
        <v>922</v>
      </c>
      <c r="I8570" t="s">
        <v>53368</v>
      </c>
      <c r="J8570" t="s">
        <v>922</v>
      </c>
      <c r="K8570" t="s">
        <v>53369</v>
      </c>
      <c r="L8570" t="s">
        <v>922</v>
      </c>
    </row>
    <row r="8571" spans="1:12" x14ac:dyDescent="0.25">
      <c r="A8571">
        <v>1520306</v>
      </c>
      <c r="B8571">
        <v>1520315</v>
      </c>
      <c r="D8571">
        <v>0</v>
      </c>
      <c r="E8571" t="s">
        <v>53371</v>
      </c>
      <c r="F8571" t="s">
        <v>53372</v>
      </c>
      <c r="G8571" t="s">
        <v>53373</v>
      </c>
      <c r="H8571" t="e" vm="3683">
        <f>_FV(0,"010298474626725687")</f>
        <v>#VALUE!</v>
      </c>
      <c r="I8571" t="s">
        <v>53374</v>
      </c>
      <c r="J8571" t="s">
        <v>1597</v>
      </c>
      <c r="K8571" t="s">
        <v>53375</v>
      </c>
      <c r="L8571" t="s">
        <v>53370</v>
      </c>
    </row>
    <row r="8572" spans="1:12" x14ac:dyDescent="0.25">
      <c r="A8572">
        <v>1520384</v>
      </c>
      <c r="B8572">
        <v>1520405</v>
      </c>
      <c r="D8572">
        <v>0</v>
      </c>
      <c r="E8572" t="s">
        <v>53377</v>
      </c>
      <c r="F8572" t="s">
        <v>53378</v>
      </c>
      <c r="G8572" t="s">
        <v>53379</v>
      </c>
      <c r="H8572" t="s">
        <v>53380</v>
      </c>
      <c r="I8572" t="s">
        <v>53381</v>
      </c>
      <c r="J8572" t="s">
        <v>53376</v>
      </c>
      <c r="K8572" t="s">
        <v>53382</v>
      </c>
      <c r="L8572" t="s">
        <v>53376</v>
      </c>
    </row>
    <row r="8573" spans="1:12" x14ac:dyDescent="0.25">
      <c r="A8573">
        <v>1520441</v>
      </c>
      <c r="B8573">
        <v>1520452</v>
      </c>
      <c r="D8573">
        <v>0</v>
      </c>
      <c r="E8573" t="s">
        <v>53384</v>
      </c>
      <c r="F8573" t="s">
        <v>53385</v>
      </c>
      <c r="G8573" t="s">
        <v>53386</v>
      </c>
      <c r="H8573" t="e" vm="3684">
        <f>_FV(0,"0010624219107318463")</f>
        <v>#VALUE!</v>
      </c>
      <c r="I8573" t="s">
        <v>53387</v>
      </c>
      <c r="J8573" t="s">
        <v>53388</v>
      </c>
      <c r="K8573" t="s">
        <v>53389</v>
      </c>
      <c r="L8573" t="s">
        <v>53383</v>
      </c>
    </row>
    <row r="8574" spans="1:12" x14ac:dyDescent="0.25">
      <c r="A8574">
        <v>1520525</v>
      </c>
      <c r="B8574">
        <v>1520536</v>
      </c>
      <c r="D8574">
        <v>0</v>
      </c>
      <c r="E8574" t="s">
        <v>53391</v>
      </c>
      <c r="F8574" t="s">
        <v>53392</v>
      </c>
      <c r="G8574" t="s">
        <v>53393</v>
      </c>
      <c r="H8574" t="e" vm="3685">
        <f>_FV(0,"012467488349778923")</f>
        <v>#VALUE!</v>
      </c>
      <c r="I8574" t="s">
        <v>53394</v>
      </c>
      <c r="J8574" t="s">
        <v>7110</v>
      </c>
      <c r="K8574" t="s">
        <v>53395</v>
      </c>
      <c r="L8574" t="s">
        <v>53390</v>
      </c>
    </row>
    <row r="8575" spans="1:12" x14ac:dyDescent="0.25">
      <c r="A8575">
        <v>1520568</v>
      </c>
      <c r="B8575">
        <v>1520595</v>
      </c>
      <c r="D8575">
        <v>0</v>
      </c>
      <c r="E8575" t="s">
        <v>53397</v>
      </c>
      <c r="F8575" t="s">
        <v>53398</v>
      </c>
      <c r="G8575" t="s">
        <v>53399</v>
      </c>
      <c r="H8575" t="s">
        <v>53400</v>
      </c>
      <c r="I8575" t="s">
        <v>53401</v>
      </c>
      <c r="J8575" t="s">
        <v>53396</v>
      </c>
      <c r="K8575" t="s">
        <v>53402</v>
      </c>
      <c r="L8575" t="s">
        <v>53396</v>
      </c>
    </row>
    <row r="8576" spans="1:12" x14ac:dyDescent="0.25">
      <c r="A8576">
        <v>1521301</v>
      </c>
      <c r="B8576">
        <v>1521346</v>
      </c>
      <c r="D8576">
        <v>0</v>
      </c>
      <c r="E8576" t="s">
        <v>53404</v>
      </c>
      <c r="F8576" t="s">
        <v>53405</v>
      </c>
      <c r="G8576" t="s">
        <v>53406</v>
      </c>
      <c r="H8576" t="s">
        <v>53407</v>
      </c>
      <c r="I8576" t="s">
        <v>53408</v>
      </c>
      <c r="J8576" t="s">
        <v>53409</v>
      </c>
      <c r="K8576" t="s">
        <v>53410</v>
      </c>
      <c r="L8576" t="s">
        <v>53403</v>
      </c>
    </row>
    <row r="8577" spans="1:12" x14ac:dyDescent="0.25">
      <c r="A8577">
        <v>1524312</v>
      </c>
      <c r="B8577">
        <v>1524334</v>
      </c>
      <c r="D8577">
        <v>0</v>
      </c>
      <c r="E8577" t="s">
        <v>53412</v>
      </c>
      <c r="F8577" t="s">
        <v>53413</v>
      </c>
      <c r="G8577" t="s">
        <v>53414</v>
      </c>
      <c r="H8577" t="e" vm="3686">
        <f>_FV(0,"0023913389072863244")</f>
        <v>#VALUE!</v>
      </c>
      <c r="I8577" t="s">
        <v>53415</v>
      </c>
      <c r="J8577" t="s">
        <v>53416</v>
      </c>
      <c r="K8577" t="s">
        <v>53417</v>
      </c>
      <c r="L8577" t="s">
        <v>53411</v>
      </c>
    </row>
    <row r="8578" spans="1:12" x14ac:dyDescent="0.25">
      <c r="A8578">
        <v>1524312</v>
      </c>
      <c r="B8578">
        <v>1524367</v>
      </c>
      <c r="D8578">
        <v>0</v>
      </c>
      <c r="E8578" t="s">
        <v>53418</v>
      </c>
      <c r="F8578" t="s">
        <v>53419</v>
      </c>
      <c r="G8578" t="s">
        <v>53420</v>
      </c>
      <c r="H8578" t="s">
        <v>53421</v>
      </c>
      <c r="I8578" t="s">
        <v>53422</v>
      </c>
      <c r="J8578" t="s">
        <v>53376</v>
      </c>
      <c r="K8578" t="s">
        <v>53423</v>
      </c>
      <c r="L8578" t="s">
        <v>53376</v>
      </c>
    </row>
    <row r="8579" spans="1:12" x14ac:dyDescent="0.25">
      <c r="A8579">
        <v>1524312</v>
      </c>
      <c r="B8579">
        <v>1524382</v>
      </c>
      <c r="D8579">
        <v>0</v>
      </c>
      <c r="F8579">
        <v>1707542</v>
      </c>
      <c r="G8579">
        <v>1524312</v>
      </c>
      <c r="H8579" t="s">
        <v>187</v>
      </c>
      <c r="I8579">
        <v>1524382</v>
      </c>
      <c r="J8579" t="s">
        <v>187</v>
      </c>
      <c r="K8579" t="s">
        <v>53424</v>
      </c>
      <c r="L8579" t="s">
        <v>187</v>
      </c>
    </row>
    <row r="8580" spans="1:12" x14ac:dyDescent="0.25">
      <c r="A8580">
        <v>1524334</v>
      </c>
      <c r="B8580">
        <v>1524386</v>
      </c>
      <c r="D8580">
        <v>0</v>
      </c>
      <c r="F8580">
        <v>1707485</v>
      </c>
      <c r="G8580">
        <v>1524386</v>
      </c>
      <c r="H8580" t="e" vm="62">
        <f>_FV(0,"008")</f>
        <v>#VALUE!</v>
      </c>
      <c r="I8580">
        <v>1524334</v>
      </c>
      <c r="J8580" t="s">
        <v>241</v>
      </c>
      <c r="K8580" t="s">
        <v>53425</v>
      </c>
      <c r="L8580" t="e" vm="62">
        <f>_FV(0,"008")</f>
        <v>#VALUE!</v>
      </c>
    </row>
    <row r="8581" spans="1:12" x14ac:dyDescent="0.25">
      <c r="A8581">
        <v>1524334</v>
      </c>
      <c r="B8581">
        <v>1524347</v>
      </c>
      <c r="D8581">
        <v>0</v>
      </c>
      <c r="E8581" t="s">
        <v>53427</v>
      </c>
      <c r="F8581" t="s">
        <v>53428</v>
      </c>
      <c r="G8581" t="s">
        <v>53429</v>
      </c>
      <c r="H8581" t="e" vm="3687">
        <f>_FV(0,"02062759941055433")</f>
        <v>#VALUE!</v>
      </c>
      <c r="I8581" t="s">
        <v>53430</v>
      </c>
      <c r="J8581" t="s">
        <v>53431</v>
      </c>
      <c r="K8581" t="s">
        <v>53432</v>
      </c>
      <c r="L8581" t="s">
        <v>53426</v>
      </c>
    </row>
    <row r="8582" spans="1:12" x14ac:dyDescent="0.25">
      <c r="A8582">
        <v>1524347</v>
      </c>
      <c r="B8582">
        <v>1524386</v>
      </c>
      <c r="D8582">
        <v>0</v>
      </c>
      <c r="F8582">
        <v>1707509</v>
      </c>
      <c r="G8582">
        <v>1524386</v>
      </c>
      <c r="H8582" t="s">
        <v>1333</v>
      </c>
      <c r="I8582">
        <v>1524347</v>
      </c>
      <c r="J8582" t="s">
        <v>1333</v>
      </c>
      <c r="K8582" t="s">
        <v>53433</v>
      </c>
      <c r="L8582" t="s">
        <v>1333</v>
      </c>
    </row>
    <row r="8583" spans="1:12" x14ac:dyDescent="0.25">
      <c r="A8583">
        <v>1524347</v>
      </c>
      <c r="B8583">
        <v>1524367</v>
      </c>
      <c r="D8583">
        <v>0</v>
      </c>
      <c r="E8583" t="s">
        <v>53435</v>
      </c>
      <c r="F8583" t="s">
        <v>53436</v>
      </c>
      <c r="G8583" t="s">
        <v>53437</v>
      </c>
      <c r="H8583" t="s">
        <v>53438</v>
      </c>
      <c r="I8583" t="s">
        <v>53439</v>
      </c>
      <c r="J8583" t="s">
        <v>53440</v>
      </c>
      <c r="K8583" t="s">
        <v>53441</v>
      </c>
      <c r="L8583" t="s">
        <v>53434</v>
      </c>
    </row>
    <row r="8584" spans="1:12" x14ac:dyDescent="0.25">
      <c r="A8584">
        <v>1524367</v>
      </c>
      <c r="B8584">
        <v>1524382</v>
      </c>
      <c r="D8584">
        <v>0</v>
      </c>
      <c r="F8584">
        <v>1707550</v>
      </c>
      <c r="G8584">
        <v>1524367</v>
      </c>
      <c r="H8584" t="e" vm="62">
        <f>_FV(0,"008")</f>
        <v>#VALUE!</v>
      </c>
      <c r="I8584">
        <v>1524382</v>
      </c>
      <c r="J8584" t="s">
        <v>241</v>
      </c>
      <c r="K8584" t="s">
        <v>53442</v>
      </c>
      <c r="L8584" t="e" vm="62">
        <f>_FV(0,"008")</f>
        <v>#VALUE!</v>
      </c>
    </row>
    <row r="8585" spans="1:12" x14ac:dyDescent="0.25">
      <c r="A8585">
        <v>1524966</v>
      </c>
      <c r="B8585">
        <v>1525144</v>
      </c>
      <c r="D8585">
        <v>0</v>
      </c>
      <c r="E8585" t="s">
        <v>53444</v>
      </c>
      <c r="F8585" t="s">
        <v>53445</v>
      </c>
      <c r="G8585" t="s">
        <v>53446</v>
      </c>
      <c r="H8585" t="e" vm="3688">
        <f>_FV(0,"02379517475247162")</f>
        <v>#VALUE!</v>
      </c>
      <c r="I8585" t="s">
        <v>53447</v>
      </c>
      <c r="J8585" t="s">
        <v>53448</v>
      </c>
      <c r="K8585" t="s">
        <v>53449</v>
      </c>
      <c r="L8585" t="s">
        <v>53443</v>
      </c>
    </row>
    <row r="8586" spans="1:12" x14ac:dyDescent="0.25">
      <c r="A8586">
        <v>1524978</v>
      </c>
      <c r="B8586">
        <v>1525237</v>
      </c>
      <c r="D8586">
        <v>0</v>
      </c>
      <c r="E8586" t="s">
        <v>53451</v>
      </c>
      <c r="F8586" t="s">
        <v>53452</v>
      </c>
      <c r="G8586" t="s">
        <v>53453</v>
      </c>
      <c r="H8586" t="e" vm="3689">
        <f>_FV(0,"000862111114114169")</f>
        <v>#VALUE!</v>
      </c>
      <c r="I8586" t="s">
        <v>53454</v>
      </c>
      <c r="J8586" t="s">
        <v>53455</v>
      </c>
      <c r="K8586" t="s">
        <v>53456</v>
      </c>
      <c r="L8586" t="s">
        <v>53450</v>
      </c>
    </row>
    <row r="8587" spans="1:12" x14ac:dyDescent="0.25">
      <c r="A8587">
        <v>1524978</v>
      </c>
      <c r="B8587">
        <v>1524982</v>
      </c>
      <c r="D8587">
        <v>0</v>
      </c>
      <c r="E8587" t="s">
        <v>53458</v>
      </c>
      <c r="F8587" t="s">
        <v>53459</v>
      </c>
      <c r="G8587" t="s">
        <v>53460</v>
      </c>
      <c r="H8587" t="s">
        <v>53461</v>
      </c>
      <c r="I8587" t="s">
        <v>53462</v>
      </c>
      <c r="J8587" t="s">
        <v>53463</v>
      </c>
      <c r="K8587" t="s">
        <v>53464</v>
      </c>
      <c r="L8587" t="s">
        <v>53457</v>
      </c>
    </row>
    <row r="8588" spans="1:12" x14ac:dyDescent="0.25">
      <c r="A8588">
        <v>1524978</v>
      </c>
      <c r="B8588">
        <v>1525144</v>
      </c>
      <c r="D8588" t="s">
        <v>204</v>
      </c>
      <c r="E8588" t="s">
        <v>53466</v>
      </c>
      <c r="F8588" t="s">
        <v>53467</v>
      </c>
      <c r="G8588" t="s">
        <v>53468</v>
      </c>
      <c r="H8588" t="e" vm="3690">
        <f>_FV(0,"02909252440607367")</f>
        <v>#VALUE!</v>
      </c>
      <c r="I8588" t="s">
        <v>53469</v>
      </c>
      <c r="J8588" t="s">
        <v>53470</v>
      </c>
      <c r="K8588" t="s">
        <v>53471</v>
      </c>
      <c r="L8588" t="s">
        <v>53465</v>
      </c>
    </row>
    <row r="8589" spans="1:12" x14ac:dyDescent="0.25">
      <c r="A8589">
        <v>1524982</v>
      </c>
      <c r="B8589">
        <v>1525037</v>
      </c>
      <c r="D8589">
        <v>0</v>
      </c>
      <c r="F8589">
        <v>1708857</v>
      </c>
      <c r="G8589">
        <v>1525037</v>
      </c>
      <c r="H8589" t="e" vm="87">
        <f>_FV(0,"001")</f>
        <v>#VALUE!</v>
      </c>
      <c r="I8589">
        <v>1524982</v>
      </c>
      <c r="J8589" t="s">
        <v>1333</v>
      </c>
      <c r="K8589" t="s">
        <v>53472</v>
      </c>
      <c r="L8589" t="e" vm="87">
        <f>_FV(0,"001")</f>
        <v>#VALUE!</v>
      </c>
    </row>
    <row r="8590" spans="1:12" x14ac:dyDescent="0.25">
      <c r="A8590">
        <v>1525037</v>
      </c>
      <c r="B8590">
        <v>1525237</v>
      </c>
      <c r="D8590">
        <v>0</v>
      </c>
      <c r="E8590" t="s">
        <v>53474</v>
      </c>
      <c r="F8590" t="s">
        <v>53475</v>
      </c>
      <c r="G8590" t="s">
        <v>53476</v>
      </c>
      <c r="H8590" t="e" vm="3691">
        <f>_FV(0,"011664400810176343")</f>
        <v>#VALUE!</v>
      </c>
      <c r="I8590" t="s">
        <v>53477</v>
      </c>
      <c r="J8590" t="s">
        <v>53478</v>
      </c>
      <c r="K8590" t="s">
        <v>53479</v>
      </c>
      <c r="L8590" t="s">
        <v>53473</v>
      </c>
    </row>
    <row r="8591" spans="1:12" x14ac:dyDescent="0.25">
      <c r="A8591">
        <v>1525045</v>
      </c>
      <c r="B8591">
        <v>1525049</v>
      </c>
      <c r="D8591">
        <v>0</v>
      </c>
      <c r="F8591">
        <v>1708435</v>
      </c>
      <c r="G8591">
        <v>1525049</v>
      </c>
      <c r="H8591" t="e" vm="1006">
        <f>_FV(0,"006")</f>
        <v>#VALUE!</v>
      </c>
      <c r="I8591">
        <v>1525045</v>
      </c>
      <c r="J8591" t="s">
        <v>250</v>
      </c>
      <c r="K8591" t="s">
        <v>53480</v>
      </c>
      <c r="L8591" t="e" vm="1006">
        <f>_FV(0,"006")</f>
        <v>#VALUE!</v>
      </c>
    </row>
    <row r="8592" spans="1:12" x14ac:dyDescent="0.25">
      <c r="A8592">
        <v>1525144</v>
      </c>
      <c r="B8592">
        <v>1525217</v>
      </c>
      <c r="D8592">
        <v>0</v>
      </c>
      <c r="F8592">
        <v>2115029</v>
      </c>
      <c r="G8592">
        <v>1525144</v>
      </c>
      <c r="H8592" t="e" vm="481">
        <f>_FV(0,"029")</f>
        <v>#VALUE!</v>
      </c>
      <c r="I8592">
        <v>1525217</v>
      </c>
      <c r="J8592" t="s">
        <v>5410</v>
      </c>
      <c r="K8592" t="s">
        <v>53481</v>
      </c>
      <c r="L8592" t="e" vm="481">
        <f>_FV(0,"029")</f>
        <v>#VALUE!</v>
      </c>
    </row>
    <row r="8593" spans="1:12" x14ac:dyDescent="0.25">
      <c r="A8593">
        <v>1525158</v>
      </c>
      <c r="B8593">
        <v>1525165</v>
      </c>
      <c r="D8593">
        <v>0</v>
      </c>
      <c r="E8593" t="s">
        <v>53483</v>
      </c>
      <c r="F8593" t="s">
        <v>53484</v>
      </c>
      <c r="G8593" t="s">
        <v>53485</v>
      </c>
      <c r="H8593" t="e" vm="3692">
        <f>_FV(0,"009613226428900515")</f>
        <v>#VALUE!</v>
      </c>
      <c r="I8593" t="s">
        <v>53486</v>
      </c>
      <c r="J8593" t="s">
        <v>39213</v>
      </c>
      <c r="K8593" t="s">
        <v>53487</v>
      </c>
      <c r="L8593" t="s">
        <v>53482</v>
      </c>
    </row>
    <row r="8594" spans="1:12" x14ac:dyDescent="0.25">
      <c r="A8594">
        <v>1525158</v>
      </c>
      <c r="B8594">
        <v>1525177</v>
      </c>
      <c r="D8594">
        <v>0</v>
      </c>
      <c r="E8594" t="s">
        <v>53488</v>
      </c>
      <c r="F8594" t="s">
        <v>53489</v>
      </c>
      <c r="G8594" t="s">
        <v>53490</v>
      </c>
      <c r="H8594" t="e" vm="109">
        <f>_FV(0,"01")</f>
        <v>#VALUE!</v>
      </c>
      <c r="I8594" t="s">
        <v>53491</v>
      </c>
      <c r="J8594" t="s">
        <v>761</v>
      </c>
      <c r="K8594" t="s">
        <v>53492</v>
      </c>
      <c r="L8594" t="e" vm="109">
        <f>_FV(0,"01")</f>
        <v>#VALUE!</v>
      </c>
    </row>
    <row r="8595" spans="1:12" x14ac:dyDescent="0.25">
      <c r="A8595">
        <v>1525165</v>
      </c>
      <c r="B8595">
        <v>1525230</v>
      </c>
      <c r="D8595">
        <v>0</v>
      </c>
      <c r="E8595" t="s">
        <v>53494</v>
      </c>
      <c r="F8595" t="s">
        <v>53495</v>
      </c>
      <c r="G8595" t="s">
        <v>53496</v>
      </c>
      <c r="H8595" t="e" vm="3693">
        <f>_FV(0,"024531666276379243")</f>
        <v>#VALUE!</v>
      </c>
      <c r="I8595" t="s">
        <v>53497</v>
      </c>
      <c r="J8595" t="s">
        <v>53498</v>
      </c>
      <c r="K8595" t="s">
        <v>53499</v>
      </c>
      <c r="L8595" t="s">
        <v>53493</v>
      </c>
    </row>
    <row r="8596" spans="1:12" x14ac:dyDescent="0.25">
      <c r="A8596">
        <v>1525165</v>
      </c>
      <c r="B8596">
        <v>1525177</v>
      </c>
      <c r="D8596">
        <v>0</v>
      </c>
      <c r="E8596" t="s">
        <v>53501</v>
      </c>
      <c r="F8596" t="s">
        <v>53502</v>
      </c>
      <c r="G8596" t="s">
        <v>53503</v>
      </c>
      <c r="H8596" t="e" vm="3694">
        <f>_FV(0,"0013271303106232428")</f>
        <v>#VALUE!</v>
      </c>
      <c r="I8596" t="s">
        <v>53504</v>
      </c>
      <c r="J8596" t="s">
        <v>53505</v>
      </c>
      <c r="K8596" t="s">
        <v>53506</v>
      </c>
      <c r="L8596" t="s">
        <v>53500</v>
      </c>
    </row>
    <row r="8597" spans="1:12" x14ac:dyDescent="0.25">
      <c r="A8597">
        <v>1525177</v>
      </c>
      <c r="B8597">
        <v>1525210</v>
      </c>
      <c r="D8597">
        <v>0</v>
      </c>
      <c r="E8597" t="s">
        <v>53508</v>
      </c>
      <c r="F8597" t="s">
        <v>53509</v>
      </c>
      <c r="G8597" t="s">
        <v>53510</v>
      </c>
      <c r="H8597" t="s">
        <v>53511</v>
      </c>
      <c r="I8597" t="s">
        <v>53512</v>
      </c>
      <c r="J8597" t="s">
        <v>53513</v>
      </c>
      <c r="K8597" t="s">
        <v>53514</v>
      </c>
      <c r="L8597" t="s">
        <v>53507</v>
      </c>
    </row>
    <row r="8598" spans="1:12" x14ac:dyDescent="0.25">
      <c r="A8598">
        <v>1525198</v>
      </c>
      <c r="B8598">
        <v>1525210</v>
      </c>
      <c r="D8598">
        <v>0</v>
      </c>
      <c r="E8598" t="s">
        <v>53516</v>
      </c>
      <c r="F8598" t="s">
        <v>53517</v>
      </c>
      <c r="G8598" t="s">
        <v>53518</v>
      </c>
      <c r="H8598" t="s">
        <v>53519</v>
      </c>
      <c r="I8598" t="s">
        <v>53520</v>
      </c>
      <c r="J8598" t="s">
        <v>53515</v>
      </c>
      <c r="K8598" t="s">
        <v>53521</v>
      </c>
      <c r="L8598" t="s">
        <v>53515</v>
      </c>
    </row>
    <row r="8599" spans="1:12" x14ac:dyDescent="0.25">
      <c r="A8599">
        <v>1525198</v>
      </c>
      <c r="B8599">
        <v>1525217</v>
      </c>
      <c r="D8599">
        <v>0</v>
      </c>
      <c r="E8599" t="s">
        <v>53523</v>
      </c>
      <c r="F8599" t="s">
        <v>53524</v>
      </c>
      <c r="G8599" t="s">
        <v>53525</v>
      </c>
      <c r="H8599" t="e" vm="3695">
        <f>_FV(0,"004426692487819169")</f>
        <v>#VALUE!</v>
      </c>
      <c r="I8599" t="s">
        <v>53526</v>
      </c>
      <c r="J8599" t="s">
        <v>53527</v>
      </c>
      <c r="K8599" t="s">
        <v>53528</v>
      </c>
      <c r="L8599" t="s">
        <v>53522</v>
      </c>
    </row>
    <row r="8600" spans="1:12" x14ac:dyDescent="0.25">
      <c r="A8600">
        <v>1525210</v>
      </c>
      <c r="B8600">
        <v>1525230</v>
      </c>
      <c r="D8600">
        <v>0</v>
      </c>
      <c r="E8600" t="s">
        <v>53530</v>
      </c>
      <c r="F8600" t="s">
        <v>53531</v>
      </c>
      <c r="G8600" t="s">
        <v>53532</v>
      </c>
      <c r="H8600" t="s">
        <v>53533</v>
      </c>
      <c r="I8600" t="s">
        <v>53534</v>
      </c>
      <c r="J8600" t="s">
        <v>53535</v>
      </c>
      <c r="K8600" t="s">
        <v>53536</v>
      </c>
      <c r="L8600" t="s">
        <v>53529</v>
      </c>
    </row>
    <row r="8601" spans="1:12" x14ac:dyDescent="0.25">
      <c r="A8601">
        <v>1525217</v>
      </c>
      <c r="B8601">
        <v>1525230</v>
      </c>
      <c r="D8601">
        <v>0</v>
      </c>
      <c r="E8601" t="s">
        <v>53538</v>
      </c>
      <c r="F8601" t="s">
        <v>53539</v>
      </c>
      <c r="G8601" t="s">
        <v>53540</v>
      </c>
      <c r="H8601" t="s">
        <v>53541</v>
      </c>
      <c r="I8601" t="s">
        <v>53542</v>
      </c>
      <c r="J8601" t="s">
        <v>53537</v>
      </c>
      <c r="K8601" t="s">
        <v>53543</v>
      </c>
      <c r="L8601" t="s">
        <v>53537</v>
      </c>
    </row>
    <row r="8602" spans="1:12" x14ac:dyDescent="0.25">
      <c r="A8602">
        <v>1530636</v>
      </c>
      <c r="B8602">
        <v>1267201</v>
      </c>
      <c r="D8602">
        <v>0</v>
      </c>
      <c r="E8602" t="s">
        <v>53545</v>
      </c>
      <c r="F8602" t="s">
        <v>53546</v>
      </c>
      <c r="G8602" t="s">
        <v>53547</v>
      </c>
      <c r="H8602" t="s">
        <v>53548</v>
      </c>
      <c r="I8602" t="s">
        <v>53549</v>
      </c>
      <c r="J8602" t="s">
        <v>53550</v>
      </c>
      <c r="K8602" t="s">
        <v>53551</v>
      </c>
      <c r="L8602" t="s">
        <v>53544</v>
      </c>
    </row>
    <row r="8603" spans="1:12" x14ac:dyDescent="0.25">
      <c r="A8603">
        <v>1530636</v>
      </c>
      <c r="B8603">
        <v>1267201</v>
      </c>
      <c r="D8603">
        <v>0</v>
      </c>
      <c r="E8603" t="s">
        <v>53553</v>
      </c>
      <c r="F8603" t="s">
        <v>53554</v>
      </c>
      <c r="G8603" t="s">
        <v>53555</v>
      </c>
      <c r="H8603" t="s">
        <v>53556</v>
      </c>
      <c r="I8603" t="s">
        <v>53557</v>
      </c>
      <c r="J8603" t="s">
        <v>53558</v>
      </c>
      <c r="K8603" t="s">
        <v>53559</v>
      </c>
      <c r="L8603" t="s">
        <v>53552</v>
      </c>
    </row>
    <row r="8604" spans="1:12" x14ac:dyDescent="0.25">
      <c r="A8604">
        <v>1530636</v>
      </c>
      <c r="B8604">
        <v>1530645</v>
      </c>
      <c r="D8604">
        <v>0</v>
      </c>
      <c r="F8604">
        <v>1716720</v>
      </c>
      <c r="G8604">
        <v>1530636</v>
      </c>
      <c r="H8604" t="s">
        <v>2841</v>
      </c>
      <c r="I8604">
        <v>1530645</v>
      </c>
      <c r="J8604" t="s">
        <v>2841</v>
      </c>
      <c r="K8604" t="s">
        <v>53560</v>
      </c>
      <c r="L8604" t="s">
        <v>2841</v>
      </c>
    </row>
    <row r="8605" spans="1:12" x14ac:dyDescent="0.25">
      <c r="A8605">
        <v>1530645</v>
      </c>
      <c r="B8605">
        <v>1530717</v>
      </c>
      <c r="D8605">
        <v>0</v>
      </c>
      <c r="E8605" t="s">
        <v>53562</v>
      </c>
      <c r="F8605" t="s">
        <v>53563</v>
      </c>
      <c r="G8605" t="s">
        <v>53564</v>
      </c>
      <c r="H8605" t="e" vm="3696">
        <f>_FV(0,"019645058113008543")</f>
        <v>#VALUE!</v>
      </c>
      <c r="I8605" t="s">
        <v>53565</v>
      </c>
      <c r="J8605" t="s">
        <v>53566</v>
      </c>
      <c r="K8605" t="s">
        <v>53567</v>
      </c>
      <c r="L8605" t="s">
        <v>53561</v>
      </c>
    </row>
    <row r="8606" spans="1:12" x14ac:dyDescent="0.25">
      <c r="A8606">
        <v>1530672</v>
      </c>
      <c r="B8606">
        <v>1530673</v>
      </c>
      <c r="D8606">
        <v>0</v>
      </c>
      <c r="F8606">
        <v>1716761</v>
      </c>
      <c r="G8606">
        <v>1530673</v>
      </c>
      <c r="H8606" t="s">
        <v>32776</v>
      </c>
      <c r="I8606">
        <v>1530672</v>
      </c>
      <c r="J8606" t="s">
        <v>32776</v>
      </c>
      <c r="K8606" t="s">
        <v>53568</v>
      </c>
      <c r="L8606" t="s">
        <v>32776</v>
      </c>
    </row>
    <row r="8607" spans="1:12" x14ac:dyDescent="0.25">
      <c r="A8607">
        <v>1530673</v>
      </c>
      <c r="B8607">
        <v>1530772</v>
      </c>
      <c r="D8607">
        <v>0</v>
      </c>
      <c r="E8607" t="s">
        <v>53570</v>
      </c>
      <c r="F8607" t="s">
        <v>53571</v>
      </c>
      <c r="G8607" t="s">
        <v>53572</v>
      </c>
      <c r="H8607" t="e" vm="3697">
        <f>_FV(0,"01362047826764544")</f>
        <v>#VALUE!</v>
      </c>
      <c r="I8607" t="s">
        <v>53573</v>
      </c>
      <c r="J8607" t="s">
        <v>53574</v>
      </c>
      <c r="K8607" t="s">
        <v>53575</v>
      </c>
      <c r="L8607" t="s">
        <v>53569</v>
      </c>
    </row>
    <row r="8608" spans="1:12" x14ac:dyDescent="0.25">
      <c r="A8608">
        <v>1530673</v>
      </c>
      <c r="B8608">
        <v>1530707</v>
      </c>
      <c r="D8608">
        <v>0</v>
      </c>
      <c r="E8608" t="s">
        <v>53576</v>
      </c>
      <c r="F8608" t="s">
        <v>53577</v>
      </c>
      <c r="G8608" t="s">
        <v>53578</v>
      </c>
      <c r="H8608" t="s">
        <v>53579</v>
      </c>
      <c r="I8608" t="s">
        <v>53580</v>
      </c>
      <c r="J8608" t="s">
        <v>28647</v>
      </c>
      <c r="K8608" t="s">
        <v>53581</v>
      </c>
      <c r="L8608" t="s">
        <v>28647</v>
      </c>
    </row>
    <row r="8609" spans="1:12" x14ac:dyDescent="0.25">
      <c r="A8609">
        <v>1530707</v>
      </c>
      <c r="B8609">
        <v>1530713</v>
      </c>
      <c r="D8609">
        <v>0</v>
      </c>
      <c r="F8609">
        <v>1716841</v>
      </c>
      <c r="G8609">
        <v>1530713</v>
      </c>
      <c r="H8609" t="s">
        <v>1333</v>
      </c>
      <c r="I8609">
        <v>1530707</v>
      </c>
      <c r="J8609" t="s">
        <v>1333</v>
      </c>
      <c r="K8609" t="s">
        <v>53582</v>
      </c>
      <c r="L8609" t="s">
        <v>1333</v>
      </c>
    </row>
    <row r="8610" spans="1:12" x14ac:dyDescent="0.25">
      <c r="A8610">
        <v>1530713</v>
      </c>
      <c r="B8610">
        <v>1530719</v>
      </c>
      <c r="D8610">
        <v>0</v>
      </c>
      <c r="E8610" t="s">
        <v>53584</v>
      </c>
      <c r="F8610" t="s">
        <v>53585</v>
      </c>
      <c r="G8610" t="s">
        <v>53586</v>
      </c>
      <c r="H8610" t="e" vm="3698">
        <f>_FV(0,"02287930650344356")</f>
        <v>#VALUE!</v>
      </c>
      <c r="I8610" t="s">
        <v>53587</v>
      </c>
      <c r="J8610" t="s">
        <v>53588</v>
      </c>
      <c r="K8610" t="s">
        <v>53589</v>
      </c>
      <c r="L8610" t="s">
        <v>53583</v>
      </c>
    </row>
    <row r="8611" spans="1:12" x14ac:dyDescent="0.25">
      <c r="A8611">
        <v>1530713</v>
      </c>
      <c r="B8611">
        <v>1530721</v>
      </c>
      <c r="D8611">
        <v>0</v>
      </c>
      <c r="E8611" t="s">
        <v>53590</v>
      </c>
      <c r="F8611" t="s">
        <v>53591</v>
      </c>
      <c r="G8611" t="s">
        <v>53592</v>
      </c>
      <c r="H8611" t="e" vm="3699">
        <f>_FV(0,"041361496954670486")</f>
        <v>#VALUE!</v>
      </c>
      <c r="I8611" t="s">
        <v>53593</v>
      </c>
      <c r="J8611" t="s">
        <v>9745</v>
      </c>
      <c r="K8611" t="s">
        <v>53594</v>
      </c>
      <c r="L8611" t="s">
        <v>9740</v>
      </c>
    </row>
    <row r="8612" spans="1:12" x14ac:dyDescent="0.25">
      <c r="A8612">
        <v>1530717</v>
      </c>
      <c r="B8612">
        <v>1530772</v>
      </c>
      <c r="D8612">
        <v>0</v>
      </c>
      <c r="F8612">
        <v>1716951</v>
      </c>
      <c r="G8612">
        <v>1530772</v>
      </c>
      <c r="H8612" t="e" vm="572">
        <f>_FV(0,"021")</f>
        <v>#VALUE!</v>
      </c>
      <c r="I8612">
        <v>1530717</v>
      </c>
      <c r="J8612" t="s">
        <v>1536</v>
      </c>
      <c r="K8612" t="s">
        <v>53595</v>
      </c>
      <c r="L8612" t="e" vm="572">
        <f>_FV(0,"021")</f>
        <v>#VALUE!</v>
      </c>
    </row>
    <row r="8613" spans="1:12" x14ac:dyDescent="0.25">
      <c r="A8613">
        <v>1531268</v>
      </c>
      <c r="B8613">
        <v>1531269</v>
      </c>
      <c r="D8613">
        <v>0</v>
      </c>
      <c r="F8613">
        <v>1717708</v>
      </c>
      <c r="G8613">
        <v>1531269</v>
      </c>
      <c r="H8613" t="s">
        <v>1536</v>
      </c>
      <c r="I8613">
        <v>1531268</v>
      </c>
      <c r="J8613" t="s">
        <v>1536</v>
      </c>
      <c r="K8613" t="s">
        <v>53596</v>
      </c>
      <c r="L8613" t="s">
        <v>1536</v>
      </c>
    </row>
    <row r="8614" spans="1:12" x14ac:dyDescent="0.25">
      <c r="A8614">
        <v>1531268</v>
      </c>
      <c r="B8614">
        <v>1531303</v>
      </c>
      <c r="D8614">
        <v>0</v>
      </c>
      <c r="E8614" t="s">
        <v>53598</v>
      </c>
      <c r="F8614" t="s">
        <v>53599</v>
      </c>
      <c r="G8614" t="s">
        <v>53600</v>
      </c>
      <c r="H8614" t="s">
        <v>53601</v>
      </c>
      <c r="I8614" t="s">
        <v>53602</v>
      </c>
      <c r="J8614" t="s">
        <v>53597</v>
      </c>
      <c r="K8614" t="s">
        <v>53603</v>
      </c>
      <c r="L8614" t="s">
        <v>53597</v>
      </c>
    </row>
    <row r="8615" spans="1:12" x14ac:dyDescent="0.25">
      <c r="A8615">
        <v>1531269</v>
      </c>
      <c r="B8615">
        <v>1531281</v>
      </c>
      <c r="D8615">
        <v>0</v>
      </c>
      <c r="E8615" t="s">
        <v>53605</v>
      </c>
      <c r="F8615" t="s">
        <v>53606</v>
      </c>
      <c r="G8615" t="s">
        <v>53607</v>
      </c>
      <c r="H8615" t="e" vm="3700">
        <f>_FV(0,"22103391243098836")</f>
        <v>#VALUE!</v>
      </c>
      <c r="I8615" t="s">
        <v>53608</v>
      </c>
      <c r="J8615" t="s">
        <v>53609</v>
      </c>
      <c r="K8615" t="s">
        <v>53610</v>
      </c>
      <c r="L8615" t="s">
        <v>53604</v>
      </c>
    </row>
    <row r="8616" spans="1:12" x14ac:dyDescent="0.25">
      <c r="A8616">
        <v>1531281</v>
      </c>
      <c r="B8616">
        <v>1531303</v>
      </c>
      <c r="D8616">
        <v>0</v>
      </c>
      <c r="E8616" t="s">
        <v>53612</v>
      </c>
      <c r="F8616" t="s">
        <v>53613</v>
      </c>
      <c r="G8616" t="s">
        <v>53614</v>
      </c>
      <c r="H8616" t="e" vm="3701">
        <f>_FV(0,"015607872626374213")</f>
        <v>#VALUE!</v>
      </c>
      <c r="I8616" t="s">
        <v>53615</v>
      </c>
      <c r="J8616" t="s">
        <v>53616</v>
      </c>
      <c r="K8616" t="s">
        <v>53617</v>
      </c>
      <c r="L8616" t="s">
        <v>53611</v>
      </c>
    </row>
    <row r="8617" spans="1:12" x14ac:dyDescent="0.25">
      <c r="A8617">
        <v>1532406</v>
      </c>
      <c r="B8617">
        <v>1532429</v>
      </c>
      <c r="D8617">
        <v>0</v>
      </c>
      <c r="E8617" t="s">
        <v>53619</v>
      </c>
      <c r="F8617" t="s">
        <v>53620</v>
      </c>
      <c r="G8617" t="s">
        <v>53621</v>
      </c>
      <c r="H8617" t="e" vm="3702">
        <f>_FV(0,"0012988939796643964")</f>
        <v>#VALUE!</v>
      </c>
      <c r="I8617" t="s">
        <v>53622</v>
      </c>
      <c r="J8617" t="s">
        <v>53623</v>
      </c>
      <c r="K8617" t="s">
        <v>53624</v>
      </c>
      <c r="L8617" t="s">
        <v>53618</v>
      </c>
    </row>
    <row r="8618" spans="1:12" x14ac:dyDescent="0.25">
      <c r="A8618">
        <v>1532429</v>
      </c>
      <c r="B8618">
        <v>1757324</v>
      </c>
      <c r="D8618">
        <v>0</v>
      </c>
      <c r="E8618" t="s">
        <v>53626</v>
      </c>
      <c r="F8618" t="s">
        <v>53627</v>
      </c>
      <c r="G8618" t="s">
        <v>53628</v>
      </c>
      <c r="H8618" t="s">
        <v>53629</v>
      </c>
      <c r="I8618" t="s">
        <v>53630</v>
      </c>
      <c r="J8618" t="s">
        <v>53625</v>
      </c>
      <c r="K8618" t="s">
        <v>53631</v>
      </c>
      <c r="L8618" t="s">
        <v>53625</v>
      </c>
    </row>
    <row r="8619" spans="1:12" x14ac:dyDescent="0.25">
      <c r="A8619">
        <v>1534536</v>
      </c>
      <c r="B8619">
        <v>1534541</v>
      </c>
      <c r="D8619">
        <v>0</v>
      </c>
      <c r="E8619" t="s">
        <v>53633</v>
      </c>
      <c r="F8619" t="s">
        <v>53634</v>
      </c>
      <c r="G8619" t="s">
        <v>53635</v>
      </c>
      <c r="H8619" t="s">
        <v>53636</v>
      </c>
      <c r="I8619" t="s">
        <v>53637</v>
      </c>
      <c r="J8619" t="s">
        <v>53638</v>
      </c>
      <c r="K8619" t="s">
        <v>53639</v>
      </c>
      <c r="L8619" t="s">
        <v>53632</v>
      </c>
    </row>
    <row r="8620" spans="1:12" x14ac:dyDescent="0.25">
      <c r="A8620">
        <v>1534536</v>
      </c>
      <c r="B8620">
        <v>1534546</v>
      </c>
      <c r="D8620">
        <v>0</v>
      </c>
      <c r="E8620" t="s">
        <v>53641</v>
      </c>
      <c r="F8620" t="s">
        <v>53642</v>
      </c>
      <c r="G8620" t="s">
        <v>53643</v>
      </c>
      <c r="H8620" t="e" vm="3703">
        <f>_FV(0,"03528182525557967")</f>
        <v>#VALUE!</v>
      </c>
      <c r="I8620" t="s">
        <v>53644</v>
      </c>
      <c r="J8620" t="s">
        <v>38008</v>
      </c>
      <c r="K8620" t="s">
        <v>53645</v>
      </c>
      <c r="L8620" t="s">
        <v>53640</v>
      </c>
    </row>
    <row r="8621" spans="1:12" x14ac:dyDescent="0.25">
      <c r="A8621">
        <v>1534536</v>
      </c>
      <c r="B8621">
        <v>1534595</v>
      </c>
      <c r="D8621">
        <v>0</v>
      </c>
      <c r="E8621" t="s">
        <v>53646</v>
      </c>
      <c r="F8621" t="s">
        <v>53647</v>
      </c>
      <c r="G8621" t="s">
        <v>53648</v>
      </c>
      <c r="H8621" t="e" vm="3704">
        <f>_FV(0,"012155750431094306")</f>
        <v>#VALUE!</v>
      </c>
      <c r="I8621" t="s">
        <v>53649</v>
      </c>
      <c r="J8621" t="s">
        <v>4480</v>
      </c>
      <c r="K8621" t="s">
        <v>53650</v>
      </c>
      <c r="L8621" t="s">
        <v>4475</v>
      </c>
    </row>
    <row r="8622" spans="1:12" x14ac:dyDescent="0.25">
      <c r="A8622">
        <v>1534541</v>
      </c>
      <c r="B8622">
        <v>1534546</v>
      </c>
      <c r="D8622">
        <v>0</v>
      </c>
      <c r="F8622">
        <v>1723965</v>
      </c>
      <c r="G8622">
        <v>1534546</v>
      </c>
      <c r="H8622" t="s">
        <v>194</v>
      </c>
      <c r="I8622">
        <v>1534541</v>
      </c>
      <c r="J8622" t="s">
        <v>194</v>
      </c>
      <c r="K8622" t="s">
        <v>53651</v>
      </c>
      <c r="L8622" t="s">
        <v>194</v>
      </c>
    </row>
    <row r="8623" spans="1:12" x14ac:dyDescent="0.25">
      <c r="A8623">
        <v>1534546</v>
      </c>
      <c r="B8623">
        <v>1534595</v>
      </c>
      <c r="D8623">
        <v>0</v>
      </c>
      <c r="E8623" t="s">
        <v>53652</v>
      </c>
      <c r="F8623" t="s">
        <v>53653</v>
      </c>
      <c r="G8623" t="s">
        <v>53654</v>
      </c>
      <c r="H8623" t="s">
        <v>53655</v>
      </c>
      <c r="I8623" t="s">
        <v>53656</v>
      </c>
      <c r="J8623" t="s">
        <v>51502</v>
      </c>
      <c r="K8623" t="s">
        <v>53657</v>
      </c>
      <c r="L8623" t="s">
        <v>51502</v>
      </c>
    </row>
    <row r="8624" spans="1:12" x14ac:dyDescent="0.25">
      <c r="A8624">
        <v>1534588</v>
      </c>
      <c r="B8624">
        <v>1534595</v>
      </c>
      <c r="D8624">
        <v>0</v>
      </c>
      <c r="F8624">
        <v>1724032</v>
      </c>
      <c r="G8624">
        <v>1534595</v>
      </c>
      <c r="H8624" t="e" vm="215">
        <f>_FV(0,"02")</f>
        <v>#VALUE!</v>
      </c>
      <c r="I8624">
        <v>1534588</v>
      </c>
      <c r="J8624" t="s">
        <v>3317</v>
      </c>
      <c r="K8624" t="s">
        <v>53658</v>
      </c>
      <c r="L8624" t="e" vm="215">
        <f>_FV(0,"02")</f>
        <v>#VALUE!</v>
      </c>
    </row>
    <row r="8625" spans="1:12" x14ac:dyDescent="0.25">
      <c r="A8625">
        <v>1535485</v>
      </c>
      <c r="B8625">
        <v>1535840</v>
      </c>
      <c r="D8625">
        <v>0</v>
      </c>
      <c r="F8625">
        <v>1725941</v>
      </c>
      <c r="G8625">
        <v>1535840</v>
      </c>
      <c r="H8625" t="e" vm="353">
        <f>_FV(0,"045")</f>
        <v>#VALUE!</v>
      </c>
      <c r="I8625">
        <v>1535485</v>
      </c>
      <c r="J8625" t="s">
        <v>4979</v>
      </c>
      <c r="K8625" t="s">
        <v>53659</v>
      </c>
      <c r="L8625" t="e" vm="353">
        <f>_FV(0,"045")</f>
        <v>#VALUE!</v>
      </c>
    </row>
    <row r="8626" spans="1:12" x14ac:dyDescent="0.25">
      <c r="A8626">
        <v>1535485</v>
      </c>
      <c r="B8626">
        <v>1535536</v>
      </c>
      <c r="D8626">
        <v>0</v>
      </c>
      <c r="F8626">
        <v>1725925</v>
      </c>
      <c r="G8626">
        <v>1535485</v>
      </c>
      <c r="H8626" t="s">
        <v>9730</v>
      </c>
      <c r="I8626">
        <v>1535536</v>
      </c>
      <c r="J8626" t="s">
        <v>9730</v>
      </c>
      <c r="K8626" t="s">
        <v>53660</v>
      </c>
      <c r="L8626" t="s">
        <v>9730</v>
      </c>
    </row>
    <row r="8627" spans="1:12" x14ac:dyDescent="0.25">
      <c r="A8627">
        <v>1535507</v>
      </c>
      <c r="B8627">
        <v>1535517</v>
      </c>
      <c r="D8627">
        <v>0</v>
      </c>
      <c r="E8627" t="s">
        <v>53662</v>
      </c>
      <c r="F8627" t="s">
        <v>53663</v>
      </c>
      <c r="G8627" t="s">
        <v>53664</v>
      </c>
      <c r="H8627" t="e" vm="3705">
        <f>_FV(0,"018880672465530206")</f>
        <v>#VALUE!</v>
      </c>
      <c r="I8627" t="s">
        <v>53665</v>
      </c>
      <c r="J8627" t="s">
        <v>53666</v>
      </c>
      <c r="K8627" t="s">
        <v>53667</v>
      </c>
      <c r="L8627" t="s">
        <v>53661</v>
      </c>
    </row>
    <row r="8628" spans="1:12" x14ac:dyDescent="0.25">
      <c r="A8628">
        <v>1535507</v>
      </c>
      <c r="B8628">
        <v>1535885</v>
      </c>
      <c r="D8628">
        <v>0</v>
      </c>
      <c r="F8628">
        <v>1726113</v>
      </c>
      <c r="G8628">
        <v>1535507</v>
      </c>
      <c r="H8628" t="e" vm="2770">
        <f>_FV(0,"075")</f>
        <v>#VALUE!</v>
      </c>
      <c r="I8628">
        <v>1535885</v>
      </c>
      <c r="J8628" t="s">
        <v>30628</v>
      </c>
      <c r="K8628" t="s">
        <v>53668</v>
      </c>
      <c r="L8628" t="e" vm="2770">
        <f>_FV(0,"075")</f>
        <v>#VALUE!</v>
      </c>
    </row>
    <row r="8629" spans="1:12" x14ac:dyDescent="0.25">
      <c r="A8629">
        <v>1535514</v>
      </c>
      <c r="B8629">
        <v>1535536</v>
      </c>
      <c r="D8629">
        <v>0</v>
      </c>
      <c r="E8629" t="s">
        <v>53670</v>
      </c>
      <c r="F8629" t="s">
        <v>53671</v>
      </c>
      <c r="G8629" t="s">
        <v>53672</v>
      </c>
      <c r="H8629" t="s">
        <v>53673</v>
      </c>
      <c r="I8629" t="s">
        <v>53674</v>
      </c>
      <c r="J8629" t="s">
        <v>53675</v>
      </c>
      <c r="K8629" t="s">
        <v>53676</v>
      </c>
      <c r="L8629" t="s">
        <v>53669</v>
      </c>
    </row>
    <row r="8630" spans="1:12" x14ac:dyDescent="0.25">
      <c r="A8630">
        <v>1535517</v>
      </c>
      <c r="B8630">
        <v>1535901</v>
      </c>
      <c r="D8630">
        <v>0</v>
      </c>
      <c r="F8630">
        <v>1726089</v>
      </c>
      <c r="G8630">
        <v>1535901</v>
      </c>
      <c r="H8630" t="s">
        <v>3758</v>
      </c>
      <c r="I8630">
        <v>1535517</v>
      </c>
      <c r="J8630" t="s">
        <v>3758</v>
      </c>
      <c r="K8630" t="s">
        <v>53677</v>
      </c>
      <c r="L8630" t="s">
        <v>3758</v>
      </c>
    </row>
    <row r="8631" spans="1:12" x14ac:dyDescent="0.25">
      <c r="A8631">
        <v>1535517</v>
      </c>
      <c r="B8631">
        <v>1535594</v>
      </c>
      <c r="D8631">
        <v>0</v>
      </c>
      <c r="E8631" t="s">
        <v>53679</v>
      </c>
      <c r="F8631" t="s">
        <v>53680</v>
      </c>
      <c r="G8631" t="s">
        <v>53681</v>
      </c>
      <c r="H8631" t="e" vm="3706">
        <f>_FV(0,"031631478997677084")</f>
        <v>#VALUE!</v>
      </c>
      <c r="I8631" t="s">
        <v>53682</v>
      </c>
      <c r="J8631" t="s">
        <v>53683</v>
      </c>
      <c r="K8631" t="s">
        <v>53684</v>
      </c>
      <c r="L8631" t="s">
        <v>53678</v>
      </c>
    </row>
    <row r="8632" spans="1:12" x14ac:dyDescent="0.25">
      <c r="A8632">
        <v>1535536</v>
      </c>
      <c r="B8632">
        <v>1535829</v>
      </c>
      <c r="D8632">
        <v>0</v>
      </c>
      <c r="F8632">
        <v>1725917</v>
      </c>
      <c r="G8632">
        <v>1535536</v>
      </c>
      <c r="H8632" t="e" vm="1084">
        <f>_FV(0,"018")</f>
        <v>#VALUE!</v>
      </c>
      <c r="I8632">
        <v>1535829</v>
      </c>
      <c r="J8632" t="s">
        <v>697</v>
      </c>
      <c r="K8632" t="s">
        <v>53685</v>
      </c>
      <c r="L8632" t="e" vm="1084">
        <f>_FV(0,"018")</f>
        <v>#VALUE!</v>
      </c>
    </row>
    <row r="8633" spans="1:12" x14ac:dyDescent="0.25">
      <c r="A8633">
        <v>1535594</v>
      </c>
      <c r="B8633">
        <v>1535744</v>
      </c>
      <c r="D8633" t="s">
        <v>53687</v>
      </c>
      <c r="E8633" t="s">
        <v>53688</v>
      </c>
      <c r="F8633" t="s">
        <v>53689</v>
      </c>
      <c r="G8633" t="s">
        <v>53690</v>
      </c>
      <c r="H8633" t="s">
        <v>53691</v>
      </c>
      <c r="I8633" t="s">
        <v>53692</v>
      </c>
      <c r="J8633" t="s">
        <v>53693</v>
      </c>
      <c r="K8633" t="s">
        <v>53694</v>
      </c>
      <c r="L8633" t="s">
        <v>53686</v>
      </c>
    </row>
    <row r="8634" spans="1:12" x14ac:dyDescent="0.25">
      <c r="A8634">
        <v>1535744</v>
      </c>
      <c r="B8634">
        <v>1600416</v>
      </c>
      <c r="D8634">
        <v>0</v>
      </c>
      <c r="E8634" t="s">
        <v>53696</v>
      </c>
      <c r="F8634" t="s">
        <v>53697</v>
      </c>
      <c r="G8634" t="s">
        <v>53698</v>
      </c>
      <c r="H8634" t="e" vm="3707">
        <f>_FV(0,"047168130996273865")</f>
        <v>#VALUE!</v>
      </c>
      <c r="I8634" t="s">
        <v>53699</v>
      </c>
      <c r="J8634" t="s">
        <v>53700</v>
      </c>
      <c r="K8634" t="s">
        <v>53701</v>
      </c>
      <c r="L8634" t="s">
        <v>53695</v>
      </c>
    </row>
    <row r="8635" spans="1:12" x14ac:dyDescent="0.25">
      <c r="A8635">
        <v>1535829</v>
      </c>
      <c r="B8635">
        <v>1535840</v>
      </c>
      <c r="D8635">
        <v>0</v>
      </c>
      <c r="E8635" t="s">
        <v>53703</v>
      </c>
      <c r="F8635" t="s">
        <v>53704</v>
      </c>
      <c r="G8635" t="s">
        <v>53705</v>
      </c>
      <c r="H8635" t="e" vm="3708">
        <f>_FV(0,"07947455875978106")</f>
        <v>#VALUE!</v>
      </c>
      <c r="I8635" t="s">
        <v>53706</v>
      </c>
      <c r="J8635" t="s">
        <v>53707</v>
      </c>
      <c r="K8635" t="s">
        <v>53708</v>
      </c>
      <c r="L8635" t="s">
        <v>53702</v>
      </c>
    </row>
    <row r="8636" spans="1:12" x14ac:dyDescent="0.25">
      <c r="A8636">
        <v>1535829</v>
      </c>
      <c r="B8636">
        <v>1535852</v>
      </c>
      <c r="D8636" t="s">
        <v>715</v>
      </c>
      <c r="E8636" t="s">
        <v>53710</v>
      </c>
      <c r="F8636" t="s">
        <v>53711</v>
      </c>
      <c r="G8636" t="s">
        <v>53712</v>
      </c>
      <c r="H8636" t="e" vm="3709">
        <f>_FV(0,"012693244514622698")</f>
        <v>#VALUE!</v>
      </c>
      <c r="I8636" t="s">
        <v>53713</v>
      </c>
      <c r="J8636" t="s">
        <v>53714</v>
      </c>
      <c r="K8636" t="s">
        <v>53715</v>
      </c>
      <c r="L8636" t="s">
        <v>53709</v>
      </c>
    </row>
    <row r="8637" spans="1:12" x14ac:dyDescent="0.25">
      <c r="A8637">
        <v>1535840</v>
      </c>
      <c r="B8637">
        <v>1535852</v>
      </c>
      <c r="D8637" t="s">
        <v>715</v>
      </c>
      <c r="E8637" t="s">
        <v>53717</v>
      </c>
      <c r="F8637" t="s">
        <v>53718</v>
      </c>
      <c r="G8637" t="s">
        <v>53719</v>
      </c>
      <c r="H8637" t="s">
        <v>53720</v>
      </c>
      <c r="I8637" t="s">
        <v>53721</v>
      </c>
      <c r="J8637" t="s">
        <v>53716</v>
      </c>
      <c r="K8637" t="s">
        <v>53722</v>
      </c>
      <c r="L8637" t="s">
        <v>53716</v>
      </c>
    </row>
    <row r="8638" spans="1:12" x14ac:dyDescent="0.25">
      <c r="A8638">
        <v>1535852</v>
      </c>
      <c r="B8638">
        <v>1535866</v>
      </c>
      <c r="D8638">
        <v>1</v>
      </c>
      <c r="F8638">
        <v>1725987</v>
      </c>
      <c r="G8638">
        <v>1535852</v>
      </c>
      <c r="H8638" t="s">
        <v>30</v>
      </c>
      <c r="I8638">
        <v>1535866</v>
      </c>
      <c r="J8638" t="s">
        <v>30</v>
      </c>
      <c r="K8638" t="s">
        <v>53723</v>
      </c>
      <c r="L8638" t="s">
        <v>30</v>
      </c>
    </row>
    <row r="8639" spans="1:12" x14ac:dyDescent="0.25">
      <c r="A8639">
        <v>1535866</v>
      </c>
      <c r="B8639">
        <v>1535885</v>
      </c>
      <c r="D8639" t="s">
        <v>700</v>
      </c>
      <c r="E8639" t="s">
        <v>53725</v>
      </c>
      <c r="F8639" t="s">
        <v>53726</v>
      </c>
      <c r="G8639" t="s">
        <v>53727</v>
      </c>
      <c r="H8639" t="e" vm="3710">
        <f>_FV(0,"0033730191114267217")</f>
        <v>#VALUE!</v>
      </c>
      <c r="I8639" t="s">
        <v>53728</v>
      </c>
      <c r="J8639" t="s">
        <v>53729</v>
      </c>
      <c r="K8639" t="s">
        <v>53730</v>
      </c>
      <c r="L8639" t="s">
        <v>53724</v>
      </c>
    </row>
    <row r="8640" spans="1:12" x14ac:dyDescent="0.25">
      <c r="A8640">
        <v>1535866</v>
      </c>
      <c r="B8640">
        <v>1535901</v>
      </c>
      <c r="D8640" t="s">
        <v>700</v>
      </c>
      <c r="E8640" t="s">
        <v>53732</v>
      </c>
      <c r="F8640" t="s">
        <v>53733</v>
      </c>
      <c r="G8640" t="s">
        <v>53734</v>
      </c>
      <c r="H8640" t="s">
        <v>53735</v>
      </c>
      <c r="I8640" t="s">
        <v>53736</v>
      </c>
      <c r="J8640" t="s">
        <v>53731</v>
      </c>
      <c r="K8640" t="s">
        <v>53737</v>
      </c>
      <c r="L8640" t="s">
        <v>53731</v>
      </c>
    </row>
    <row r="8641" spans="1:12" x14ac:dyDescent="0.25">
      <c r="A8641">
        <v>1535885</v>
      </c>
      <c r="B8641">
        <v>1535901</v>
      </c>
      <c r="D8641">
        <v>0</v>
      </c>
      <c r="E8641" t="s">
        <v>53739</v>
      </c>
      <c r="F8641" t="s">
        <v>53740</v>
      </c>
      <c r="G8641" t="s">
        <v>53741</v>
      </c>
      <c r="H8641" t="s">
        <v>53742</v>
      </c>
      <c r="I8641" t="s">
        <v>53743</v>
      </c>
      <c r="J8641" t="s">
        <v>53738</v>
      </c>
      <c r="K8641" t="s">
        <v>53744</v>
      </c>
      <c r="L8641" t="s">
        <v>53738</v>
      </c>
    </row>
    <row r="8642" spans="1:12" x14ac:dyDescent="0.25">
      <c r="A8642">
        <v>1540872</v>
      </c>
      <c r="B8642">
        <v>1540897</v>
      </c>
      <c r="D8642">
        <v>0</v>
      </c>
      <c r="E8642" t="s">
        <v>53745</v>
      </c>
      <c r="F8642" t="s">
        <v>53746</v>
      </c>
      <c r="G8642" t="s">
        <v>53747</v>
      </c>
      <c r="H8642" t="s">
        <v>194</v>
      </c>
      <c r="I8642" t="s">
        <v>53748</v>
      </c>
      <c r="J8642" t="s">
        <v>194</v>
      </c>
      <c r="K8642" t="s">
        <v>53749</v>
      </c>
      <c r="L8642" t="s">
        <v>194</v>
      </c>
    </row>
    <row r="8643" spans="1:12" x14ac:dyDescent="0.25">
      <c r="A8643">
        <v>1540872</v>
      </c>
      <c r="B8643">
        <v>1540899</v>
      </c>
      <c r="D8643">
        <v>0</v>
      </c>
      <c r="E8643" t="s">
        <v>53750</v>
      </c>
      <c r="F8643" t="s">
        <v>53751</v>
      </c>
      <c r="G8643" t="s">
        <v>53752</v>
      </c>
      <c r="H8643" t="s">
        <v>53753</v>
      </c>
      <c r="I8643" t="s">
        <v>53754</v>
      </c>
      <c r="J8643" t="s">
        <v>32920</v>
      </c>
      <c r="K8643" t="s">
        <v>53755</v>
      </c>
      <c r="L8643" t="s">
        <v>32920</v>
      </c>
    </row>
    <row r="8644" spans="1:12" x14ac:dyDescent="0.25">
      <c r="A8644">
        <v>1540897</v>
      </c>
      <c r="B8644">
        <v>1540900</v>
      </c>
      <c r="D8644">
        <v>0</v>
      </c>
      <c r="E8644" t="s">
        <v>53757</v>
      </c>
      <c r="F8644" t="s">
        <v>53758</v>
      </c>
      <c r="G8644" t="s">
        <v>53759</v>
      </c>
      <c r="H8644" t="s">
        <v>53760</v>
      </c>
      <c r="I8644" t="s">
        <v>53761</v>
      </c>
      <c r="J8644" t="s">
        <v>53756</v>
      </c>
      <c r="K8644" t="s">
        <v>53762</v>
      </c>
      <c r="L8644" t="s">
        <v>53756</v>
      </c>
    </row>
    <row r="8645" spans="1:12" x14ac:dyDescent="0.25">
      <c r="A8645">
        <v>1540897</v>
      </c>
      <c r="B8645">
        <v>1540899</v>
      </c>
      <c r="D8645">
        <v>0</v>
      </c>
      <c r="E8645" t="s">
        <v>53764</v>
      </c>
      <c r="F8645" t="s">
        <v>53765</v>
      </c>
      <c r="G8645" t="s">
        <v>53766</v>
      </c>
      <c r="H8645" t="e" vm="3711">
        <f>_FV(0,"010503343870009904")</f>
        <v>#VALUE!</v>
      </c>
      <c r="I8645" t="s">
        <v>53767</v>
      </c>
      <c r="J8645" t="s">
        <v>53768</v>
      </c>
      <c r="K8645" t="s">
        <v>53769</v>
      </c>
      <c r="L8645" t="s">
        <v>53763</v>
      </c>
    </row>
    <row r="8646" spans="1:12" x14ac:dyDescent="0.25">
      <c r="A8646">
        <v>1540899</v>
      </c>
      <c r="B8646">
        <v>1540904</v>
      </c>
      <c r="D8646">
        <v>0</v>
      </c>
      <c r="F8646">
        <v>1734130</v>
      </c>
      <c r="G8646">
        <v>1540899</v>
      </c>
      <c r="H8646" t="e" vm="62">
        <f>_FV(0,"008")</f>
        <v>#VALUE!</v>
      </c>
      <c r="I8646">
        <v>1540904</v>
      </c>
      <c r="J8646" t="s">
        <v>241</v>
      </c>
      <c r="K8646" t="s">
        <v>53770</v>
      </c>
      <c r="L8646" t="e" vm="62">
        <f>_FV(0,"008")</f>
        <v>#VALUE!</v>
      </c>
    </row>
    <row r="8647" spans="1:12" x14ac:dyDescent="0.25">
      <c r="A8647">
        <v>1540900</v>
      </c>
      <c r="B8647">
        <v>1540904</v>
      </c>
      <c r="D8647">
        <v>0</v>
      </c>
      <c r="E8647" t="s">
        <v>53771</v>
      </c>
      <c r="F8647" t="s">
        <v>53772</v>
      </c>
      <c r="G8647" t="s">
        <v>53773</v>
      </c>
      <c r="H8647" t="s">
        <v>53774</v>
      </c>
      <c r="I8647" t="s">
        <v>53775</v>
      </c>
      <c r="J8647" t="s">
        <v>50528</v>
      </c>
      <c r="K8647" t="s">
        <v>53776</v>
      </c>
      <c r="L8647" t="s">
        <v>50528</v>
      </c>
    </row>
    <row r="8648" spans="1:12" x14ac:dyDescent="0.25">
      <c r="A8648">
        <v>1541059</v>
      </c>
      <c r="B8648">
        <v>1541064</v>
      </c>
      <c r="D8648">
        <v>0</v>
      </c>
      <c r="F8648">
        <v>1734293</v>
      </c>
      <c r="G8648">
        <v>1541064</v>
      </c>
      <c r="H8648" t="s">
        <v>40716</v>
      </c>
      <c r="I8648">
        <v>1541059</v>
      </c>
      <c r="J8648" t="s">
        <v>40716</v>
      </c>
      <c r="K8648" t="s">
        <v>53777</v>
      </c>
      <c r="L8648" t="s">
        <v>40716</v>
      </c>
    </row>
    <row r="8649" spans="1:12" x14ac:dyDescent="0.25">
      <c r="A8649">
        <v>1541059</v>
      </c>
      <c r="B8649">
        <v>1541073</v>
      </c>
      <c r="D8649">
        <v>0</v>
      </c>
      <c r="E8649" t="s">
        <v>53778</v>
      </c>
      <c r="F8649" t="s">
        <v>53779</v>
      </c>
      <c r="G8649" t="s">
        <v>53780</v>
      </c>
      <c r="H8649" t="s">
        <v>53781</v>
      </c>
      <c r="I8649" t="s">
        <v>53782</v>
      </c>
      <c r="J8649" t="s">
        <v>1366</v>
      </c>
      <c r="K8649" t="s">
        <v>53783</v>
      </c>
      <c r="L8649" t="s">
        <v>1366</v>
      </c>
    </row>
    <row r="8650" spans="1:12" x14ac:dyDescent="0.25">
      <c r="A8650">
        <v>1547260</v>
      </c>
      <c r="B8650">
        <v>1547272</v>
      </c>
      <c r="D8650">
        <v>0</v>
      </c>
      <c r="E8650" t="s">
        <v>53785</v>
      </c>
      <c r="F8650" t="s">
        <v>53786</v>
      </c>
      <c r="G8650" t="s">
        <v>53787</v>
      </c>
      <c r="H8650" t="s">
        <v>53788</v>
      </c>
      <c r="I8650" t="s">
        <v>53789</v>
      </c>
      <c r="J8650" t="s">
        <v>53784</v>
      </c>
      <c r="K8650" t="s">
        <v>53790</v>
      </c>
      <c r="L8650" t="s">
        <v>53784</v>
      </c>
    </row>
    <row r="8651" spans="1:12" x14ac:dyDescent="0.25">
      <c r="A8651">
        <v>1547260</v>
      </c>
      <c r="B8651">
        <v>1549053</v>
      </c>
      <c r="D8651">
        <v>0</v>
      </c>
      <c r="E8651" t="s">
        <v>53792</v>
      </c>
      <c r="F8651" t="s">
        <v>53793</v>
      </c>
      <c r="G8651" t="s">
        <v>53794</v>
      </c>
      <c r="H8651" t="e" vm="3712">
        <f>_FV(0,"012049307899081436")</f>
        <v>#VALUE!</v>
      </c>
      <c r="I8651" t="s">
        <v>53795</v>
      </c>
      <c r="J8651" t="s">
        <v>53796</v>
      </c>
      <c r="K8651" t="s">
        <v>53797</v>
      </c>
      <c r="L8651" t="s">
        <v>53791</v>
      </c>
    </row>
    <row r="8652" spans="1:12" x14ac:dyDescent="0.25">
      <c r="A8652">
        <v>1547260</v>
      </c>
      <c r="B8652">
        <v>1549260</v>
      </c>
      <c r="D8652" t="s">
        <v>53799</v>
      </c>
      <c r="E8652" t="s">
        <v>53800</v>
      </c>
      <c r="F8652" t="s">
        <v>53801</v>
      </c>
      <c r="G8652" t="s">
        <v>53802</v>
      </c>
      <c r="H8652" t="s">
        <v>53803</v>
      </c>
      <c r="I8652" t="s">
        <v>53804</v>
      </c>
      <c r="J8652" t="s">
        <v>53805</v>
      </c>
      <c r="K8652" t="s">
        <v>53806</v>
      </c>
      <c r="L8652" t="s">
        <v>53798</v>
      </c>
    </row>
    <row r="8653" spans="1:12" x14ac:dyDescent="0.25">
      <c r="A8653">
        <v>1547266</v>
      </c>
      <c r="B8653">
        <v>1547420</v>
      </c>
      <c r="D8653">
        <v>0</v>
      </c>
      <c r="E8653" t="s">
        <v>53808</v>
      </c>
      <c r="F8653" t="s">
        <v>53809</v>
      </c>
      <c r="G8653" t="s">
        <v>53810</v>
      </c>
      <c r="H8653" t="s">
        <v>53811</v>
      </c>
      <c r="I8653" t="s">
        <v>53812</v>
      </c>
      <c r="J8653" t="s">
        <v>53807</v>
      </c>
      <c r="K8653" t="s">
        <v>53813</v>
      </c>
      <c r="L8653" t="s">
        <v>53807</v>
      </c>
    </row>
    <row r="8654" spans="1:12" x14ac:dyDescent="0.25">
      <c r="A8654">
        <v>1547266</v>
      </c>
      <c r="B8654">
        <v>1549088</v>
      </c>
      <c r="D8654">
        <v>0</v>
      </c>
      <c r="E8654" t="s">
        <v>53815</v>
      </c>
      <c r="F8654" t="s">
        <v>53816</v>
      </c>
      <c r="G8654" t="s">
        <v>53817</v>
      </c>
      <c r="H8654" t="s">
        <v>53818</v>
      </c>
      <c r="I8654" t="s">
        <v>53819</v>
      </c>
      <c r="J8654" t="s">
        <v>53814</v>
      </c>
      <c r="K8654" t="s">
        <v>53820</v>
      </c>
      <c r="L8654" t="s">
        <v>53814</v>
      </c>
    </row>
    <row r="8655" spans="1:12" x14ac:dyDescent="0.25">
      <c r="A8655">
        <v>1547272</v>
      </c>
      <c r="B8655">
        <v>1549053</v>
      </c>
      <c r="D8655">
        <v>0</v>
      </c>
      <c r="E8655" t="s">
        <v>53822</v>
      </c>
      <c r="F8655" t="s">
        <v>53823</v>
      </c>
      <c r="G8655" t="s">
        <v>53824</v>
      </c>
      <c r="H8655" t="e" vm="3713">
        <f>_FV(0,"015445046843225734")</f>
        <v>#VALUE!</v>
      </c>
      <c r="I8655" t="s">
        <v>53825</v>
      </c>
      <c r="J8655" t="s">
        <v>53826</v>
      </c>
      <c r="K8655" t="s">
        <v>53827</v>
      </c>
      <c r="L8655" t="s">
        <v>53821</v>
      </c>
    </row>
    <row r="8656" spans="1:12" x14ac:dyDescent="0.25">
      <c r="A8656">
        <v>1547278</v>
      </c>
      <c r="B8656">
        <v>1547279</v>
      </c>
      <c r="D8656">
        <v>0</v>
      </c>
      <c r="F8656">
        <v>1744331</v>
      </c>
      <c r="G8656">
        <v>1547279</v>
      </c>
      <c r="H8656" t="s">
        <v>187</v>
      </c>
      <c r="I8656">
        <v>1547278</v>
      </c>
      <c r="J8656" t="s">
        <v>187</v>
      </c>
      <c r="K8656" t="s">
        <v>53828</v>
      </c>
      <c r="L8656" t="s">
        <v>187</v>
      </c>
    </row>
    <row r="8657" spans="1:12" x14ac:dyDescent="0.25">
      <c r="A8657">
        <v>1547279</v>
      </c>
      <c r="B8657">
        <v>1547285</v>
      </c>
      <c r="D8657">
        <v>0</v>
      </c>
      <c r="F8657">
        <v>1744339</v>
      </c>
      <c r="G8657">
        <v>1547285</v>
      </c>
      <c r="H8657" t="e" vm="382">
        <f>_FV(0,"085")</f>
        <v>#VALUE!</v>
      </c>
      <c r="I8657">
        <v>1547279</v>
      </c>
      <c r="J8657" t="s">
        <v>5443</v>
      </c>
      <c r="K8657" t="s">
        <v>53829</v>
      </c>
      <c r="L8657" t="e" vm="382">
        <f>_FV(0,"085")</f>
        <v>#VALUE!</v>
      </c>
    </row>
    <row r="8658" spans="1:12" x14ac:dyDescent="0.25">
      <c r="A8658">
        <v>1547279</v>
      </c>
      <c r="B8658">
        <v>1611932</v>
      </c>
      <c r="D8658">
        <v>0</v>
      </c>
      <c r="F8658">
        <v>1838484</v>
      </c>
      <c r="G8658">
        <v>1547279</v>
      </c>
      <c r="H8658" t="e" vm="3714">
        <f>_FV(-1,"633")</f>
        <v>#VALUE!</v>
      </c>
      <c r="I8658">
        <v>1611932</v>
      </c>
      <c r="J8658" t="s">
        <v>53830</v>
      </c>
      <c r="K8658" t="s">
        <v>53831</v>
      </c>
      <c r="L8658" t="e" vm="3714">
        <f>_FV(-1,"633")</f>
        <v>#VALUE!</v>
      </c>
    </row>
    <row r="8659" spans="1:12" x14ac:dyDescent="0.25">
      <c r="A8659">
        <v>1547285</v>
      </c>
      <c r="B8659">
        <v>1547291</v>
      </c>
      <c r="D8659">
        <v>0</v>
      </c>
      <c r="F8659">
        <v>1744347</v>
      </c>
      <c r="G8659">
        <v>1547291</v>
      </c>
      <c r="H8659" t="e" vm="939">
        <f>_FV(0,"043")</f>
        <v>#VALUE!</v>
      </c>
      <c r="I8659">
        <v>1547285</v>
      </c>
      <c r="J8659" t="s">
        <v>12171</v>
      </c>
      <c r="K8659" t="s">
        <v>53832</v>
      </c>
      <c r="L8659" t="e" vm="939">
        <f>_FV(0,"043")</f>
        <v>#VALUE!</v>
      </c>
    </row>
    <row r="8660" spans="1:12" x14ac:dyDescent="0.25">
      <c r="A8660">
        <v>1547285</v>
      </c>
      <c r="B8660">
        <v>1611947</v>
      </c>
      <c r="D8660">
        <v>0</v>
      </c>
      <c r="E8660" t="s">
        <v>53834</v>
      </c>
      <c r="F8660" t="s">
        <v>53835</v>
      </c>
      <c r="G8660" t="s">
        <v>53836</v>
      </c>
      <c r="H8660" t="e" vm="3715">
        <f>_FV(0,"411885430073439")</f>
        <v>#VALUE!</v>
      </c>
      <c r="I8660" t="s">
        <v>53837</v>
      </c>
      <c r="J8660" t="s">
        <v>53838</v>
      </c>
      <c r="K8660" t="s">
        <v>53839</v>
      </c>
      <c r="L8660" t="s">
        <v>53833</v>
      </c>
    </row>
    <row r="8661" spans="1:12" x14ac:dyDescent="0.25">
      <c r="A8661">
        <v>1547291</v>
      </c>
      <c r="B8661">
        <v>1547449</v>
      </c>
      <c r="D8661" t="s">
        <v>17470</v>
      </c>
      <c r="E8661" t="s">
        <v>53841</v>
      </c>
      <c r="F8661" t="s">
        <v>53842</v>
      </c>
      <c r="G8661" t="s">
        <v>53843</v>
      </c>
      <c r="H8661" t="e" vm="3716">
        <f>_FV(0,"006811319564717416")</f>
        <v>#VALUE!</v>
      </c>
      <c r="I8661" t="s">
        <v>53844</v>
      </c>
      <c r="J8661" t="s">
        <v>53845</v>
      </c>
      <c r="K8661" t="s">
        <v>53846</v>
      </c>
      <c r="L8661" t="s">
        <v>53840</v>
      </c>
    </row>
    <row r="8662" spans="1:12" x14ac:dyDescent="0.25">
      <c r="A8662">
        <v>1547291</v>
      </c>
      <c r="B8662">
        <v>1612180</v>
      </c>
      <c r="D8662">
        <v>0</v>
      </c>
      <c r="F8662">
        <v>1838956</v>
      </c>
      <c r="G8662">
        <v>1547291</v>
      </c>
      <c r="H8662" t="e" vm="3717">
        <f>_FV(-2,"3")</f>
        <v>#VALUE!</v>
      </c>
      <c r="I8662">
        <v>1612180</v>
      </c>
      <c r="J8662" t="s">
        <v>53847</v>
      </c>
      <c r="K8662" t="s">
        <v>53848</v>
      </c>
      <c r="L8662" t="e" vm="3717">
        <f>_FV(-2,"3")</f>
        <v>#VALUE!</v>
      </c>
    </row>
    <row r="8663" spans="1:12" x14ac:dyDescent="0.25">
      <c r="A8663">
        <v>1547380</v>
      </c>
      <c r="B8663">
        <v>1547394</v>
      </c>
      <c r="D8663">
        <v>0</v>
      </c>
      <c r="E8663" t="s">
        <v>53850</v>
      </c>
      <c r="F8663" t="s">
        <v>53851</v>
      </c>
      <c r="G8663" t="s">
        <v>53852</v>
      </c>
      <c r="H8663" t="e" vm="3718">
        <f>_FV(0,"019704192046974125")</f>
        <v>#VALUE!</v>
      </c>
      <c r="I8663" t="s">
        <v>53853</v>
      </c>
      <c r="J8663" t="s">
        <v>53854</v>
      </c>
      <c r="K8663" t="s">
        <v>53855</v>
      </c>
      <c r="L8663" t="s">
        <v>53849</v>
      </c>
    </row>
    <row r="8664" spans="1:12" x14ac:dyDescent="0.25">
      <c r="A8664">
        <v>1547380</v>
      </c>
      <c r="B8664">
        <v>1547465</v>
      </c>
      <c r="D8664">
        <v>0</v>
      </c>
      <c r="E8664" t="s">
        <v>53857</v>
      </c>
      <c r="F8664" t="s">
        <v>53858</v>
      </c>
      <c r="G8664" t="s">
        <v>53859</v>
      </c>
      <c r="H8664" t="s">
        <v>53860</v>
      </c>
      <c r="I8664" t="s">
        <v>53861</v>
      </c>
      <c r="J8664" t="s">
        <v>53862</v>
      </c>
      <c r="K8664" t="s">
        <v>53863</v>
      </c>
      <c r="L8664" t="s">
        <v>53856</v>
      </c>
    </row>
    <row r="8665" spans="1:12" x14ac:dyDescent="0.25">
      <c r="A8665">
        <v>1547380</v>
      </c>
      <c r="B8665">
        <v>1549341</v>
      </c>
      <c r="D8665" t="s">
        <v>10522</v>
      </c>
      <c r="E8665" t="s">
        <v>53865</v>
      </c>
      <c r="F8665" t="s">
        <v>53866</v>
      </c>
      <c r="G8665" t="s">
        <v>53867</v>
      </c>
      <c r="H8665" t="e" vm="3719">
        <f>_FV(0,"006040890792915817")</f>
        <v>#VALUE!</v>
      </c>
      <c r="I8665" t="s">
        <v>53868</v>
      </c>
      <c r="J8665" t="s">
        <v>53869</v>
      </c>
      <c r="K8665" t="s">
        <v>53870</v>
      </c>
      <c r="L8665" t="s">
        <v>53864</v>
      </c>
    </row>
    <row r="8666" spans="1:12" x14ac:dyDescent="0.25">
      <c r="A8666">
        <v>1547394</v>
      </c>
      <c r="B8666">
        <v>1819018</v>
      </c>
      <c r="D8666" t="s">
        <v>330</v>
      </c>
      <c r="E8666" t="s">
        <v>53872</v>
      </c>
      <c r="F8666" t="s">
        <v>53873</v>
      </c>
      <c r="G8666" t="s">
        <v>53874</v>
      </c>
      <c r="H8666" t="e" vm="3720">
        <f>_FV(0,"016622961477574603")</f>
        <v>#VALUE!</v>
      </c>
      <c r="I8666" t="s">
        <v>53875</v>
      </c>
      <c r="J8666" t="s">
        <v>53876</v>
      </c>
      <c r="K8666" t="s">
        <v>53877</v>
      </c>
      <c r="L8666" t="s">
        <v>53871</v>
      </c>
    </row>
    <row r="8667" spans="1:12" x14ac:dyDescent="0.25">
      <c r="A8667">
        <v>1547394</v>
      </c>
      <c r="B8667">
        <v>1549096</v>
      </c>
      <c r="D8667">
        <v>0</v>
      </c>
      <c r="E8667" t="s">
        <v>53879</v>
      </c>
      <c r="F8667" t="s">
        <v>53880</v>
      </c>
      <c r="G8667" t="s">
        <v>53881</v>
      </c>
      <c r="H8667" t="e" vm="3721">
        <f>_FV(0,"03363058950378429")</f>
        <v>#VALUE!</v>
      </c>
      <c r="I8667" t="s">
        <v>53882</v>
      </c>
      <c r="J8667" t="s">
        <v>53883</v>
      </c>
      <c r="K8667" t="s">
        <v>53884</v>
      </c>
      <c r="L8667" t="s">
        <v>53878</v>
      </c>
    </row>
    <row r="8668" spans="1:12" x14ac:dyDescent="0.25">
      <c r="A8668">
        <v>1547420</v>
      </c>
      <c r="B8668">
        <v>1395655</v>
      </c>
      <c r="D8668">
        <v>0</v>
      </c>
      <c r="E8668" t="s">
        <v>53886</v>
      </c>
      <c r="F8668" t="s">
        <v>53887</v>
      </c>
      <c r="G8668" t="s">
        <v>53888</v>
      </c>
      <c r="H8668" t="s">
        <v>53889</v>
      </c>
      <c r="I8668" t="s">
        <v>53890</v>
      </c>
      <c r="J8668" t="s">
        <v>53891</v>
      </c>
      <c r="K8668" t="s">
        <v>53892</v>
      </c>
      <c r="L8668" t="s">
        <v>53885</v>
      </c>
    </row>
    <row r="8669" spans="1:12" x14ac:dyDescent="0.25">
      <c r="A8669">
        <v>1547420</v>
      </c>
      <c r="B8669">
        <v>1549608</v>
      </c>
      <c r="D8669" t="s">
        <v>28448</v>
      </c>
      <c r="E8669" t="s">
        <v>53894</v>
      </c>
      <c r="F8669" t="s">
        <v>53895</v>
      </c>
      <c r="G8669" t="s">
        <v>53896</v>
      </c>
      <c r="H8669" t="e" vm="3722">
        <f>_FV(0,"006998040962270612")</f>
        <v>#VALUE!</v>
      </c>
      <c r="I8669" t="s">
        <v>53897</v>
      </c>
      <c r="J8669" t="s">
        <v>53898</v>
      </c>
      <c r="K8669" t="s">
        <v>53899</v>
      </c>
      <c r="L8669" t="s">
        <v>53893</v>
      </c>
    </row>
    <row r="8670" spans="1:12" x14ac:dyDescent="0.25">
      <c r="A8670">
        <v>1547449</v>
      </c>
      <c r="B8670">
        <v>1549934</v>
      </c>
      <c r="C8670" t="s">
        <v>53901</v>
      </c>
      <c r="D8670">
        <v>0</v>
      </c>
      <c r="E8670" t="s">
        <v>53902</v>
      </c>
      <c r="F8670" t="s">
        <v>53903</v>
      </c>
      <c r="G8670" t="s">
        <v>53904</v>
      </c>
      <c r="H8670" t="e" vm="3723">
        <f>_FV(0,"017561180822728152")</f>
        <v>#VALUE!</v>
      </c>
      <c r="I8670" t="s">
        <v>53905</v>
      </c>
      <c r="J8670" t="s">
        <v>53906</v>
      </c>
      <c r="K8670" t="s">
        <v>53907</v>
      </c>
      <c r="L8670" t="s">
        <v>53900</v>
      </c>
    </row>
    <row r="8671" spans="1:12" x14ac:dyDescent="0.25">
      <c r="A8671">
        <v>1547449</v>
      </c>
      <c r="B8671">
        <v>1549109</v>
      </c>
      <c r="D8671">
        <v>0</v>
      </c>
      <c r="E8671" t="s">
        <v>53909</v>
      </c>
      <c r="F8671" t="s">
        <v>53910</v>
      </c>
      <c r="G8671" t="s">
        <v>53911</v>
      </c>
      <c r="H8671" t="s">
        <v>53912</v>
      </c>
      <c r="I8671" t="s">
        <v>53913</v>
      </c>
      <c r="J8671" t="s">
        <v>53914</v>
      </c>
      <c r="K8671" t="s">
        <v>53915</v>
      </c>
      <c r="L8671" t="s">
        <v>53908</v>
      </c>
    </row>
    <row r="8672" spans="1:12" x14ac:dyDescent="0.25">
      <c r="A8672">
        <v>1547465</v>
      </c>
      <c r="B8672">
        <v>1549096</v>
      </c>
      <c r="D8672">
        <v>0</v>
      </c>
      <c r="E8672" t="s">
        <v>53917</v>
      </c>
      <c r="F8672" t="s">
        <v>53918</v>
      </c>
      <c r="G8672" t="s">
        <v>53919</v>
      </c>
      <c r="H8672" t="e" vm="3724">
        <f>_FV(0,"021060830772071413")</f>
        <v>#VALUE!</v>
      </c>
      <c r="I8672" t="s">
        <v>53920</v>
      </c>
      <c r="J8672" t="s">
        <v>53921</v>
      </c>
      <c r="K8672" t="s">
        <v>53922</v>
      </c>
      <c r="L8672" t="s">
        <v>53916</v>
      </c>
    </row>
    <row r="8673" spans="1:12" x14ac:dyDescent="0.25">
      <c r="A8673">
        <v>1547465</v>
      </c>
      <c r="B8673">
        <v>1550083</v>
      </c>
      <c r="D8673">
        <v>0</v>
      </c>
      <c r="F8673">
        <v>1748885</v>
      </c>
      <c r="G8673">
        <v>1547465</v>
      </c>
      <c r="H8673" t="s">
        <v>304</v>
      </c>
      <c r="I8673">
        <v>1550083</v>
      </c>
      <c r="J8673" t="s">
        <v>304</v>
      </c>
      <c r="K8673" t="s">
        <v>53923</v>
      </c>
      <c r="L8673" t="s">
        <v>304</v>
      </c>
    </row>
    <row r="8674" spans="1:12" x14ac:dyDescent="0.25">
      <c r="A8674">
        <v>1547873</v>
      </c>
      <c r="B8674">
        <v>1547897</v>
      </c>
      <c r="D8674">
        <v>0</v>
      </c>
      <c r="E8674" t="s">
        <v>53925</v>
      </c>
      <c r="F8674" t="s">
        <v>53926</v>
      </c>
      <c r="G8674" t="s">
        <v>53927</v>
      </c>
      <c r="H8674" t="e" vm="3725">
        <f>_FV(0,"00015228992394941638")</f>
        <v>#VALUE!</v>
      </c>
      <c r="I8674" t="s">
        <v>53928</v>
      </c>
      <c r="J8674" t="s">
        <v>53929</v>
      </c>
      <c r="K8674" t="s">
        <v>53930</v>
      </c>
      <c r="L8674" t="s">
        <v>53924</v>
      </c>
    </row>
    <row r="8675" spans="1:12" x14ac:dyDescent="0.25">
      <c r="A8675">
        <v>1548053</v>
      </c>
      <c r="B8675">
        <v>1548056</v>
      </c>
      <c r="D8675">
        <v>0</v>
      </c>
      <c r="E8675" t="s">
        <v>53932</v>
      </c>
      <c r="F8675" t="s">
        <v>53933</v>
      </c>
      <c r="G8675" t="s">
        <v>53934</v>
      </c>
      <c r="H8675" t="s">
        <v>53935</v>
      </c>
      <c r="I8675" t="s">
        <v>53936</v>
      </c>
      <c r="J8675" t="s">
        <v>53937</v>
      </c>
      <c r="K8675" t="s">
        <v>53938</v>
      </c>
      <c r="L8675" t="s">
        <v>53931</v>
      </c>
    </row>
    <row r="8676" spans="1:12" x14ac:dyDescent="0.25">
      <c r="A8676">
        <v>1548129</v>
      </c>
      <c r="B8676">
        <v>1548470</v>
      </c>
      <c r="D8676">
        <v>0</v>
      </c>
      <c r="F8676">
        <v>1746373</v>
      </c>
      <c r="G8676">
        <v>1548470</v>
      </c>
      <c r="H8676" t="s">
        <v>899</v>
      </c>
      <c r="I8676">
        <v>1548129</v>
      </c>
      <c r="J8676" t="s">
        <v>899</v>
      </c>
      <c r="K8676" t="s">
        <v>53939</v>
      </c>
      <c r="L8676" t="s">
        <v>899</v>
      </c>
    </row>
    <row r="8677" spans="1:12" x14ac:dyDescent="0.25">
      <c r="A8677">
        <v>1548129</v>
      </c>
      <c r="B8677">
        <v>1548618</v>
      </c>
      <c r="D8677">
        <v>0</v>
      </c>
      <c r="E8677" t="s">
        <v>53941</v>
      </c>
      <c r="F8677" t="s">
        <v>53942</v>
      </c>
      <c r="G8677" t="s">
        <v>53943</v>
      </c>
      <c r="H8677" t="e" vm="3726">
        <f>_FV(0,"009296918556598926")</f>
        <v>#VALUE!</v>
      </c>
      <c r="I8677" t="s">
        <v>53944</v>
      </c>
      <c r="J8677" t="s">
        <v>53945</v>
      </c>
      <c r="K8677" t="s">
        <v>53946</v>
      </c>
      <c r="L8677" t="s">
        <v>53940</v>
      </c>
    </row>
    <row r="8678" spans="1:12" x14ac:dyDescent="0.25">
      <c r="A8678">
        <v>1548140</v>
      </c>
      <c r="B8678">
        <v>1548402</v>
      </c>
      <c r="D8678">
        <v>0</v>
      </c>
      <c r="E8678" t="s">
        <v>53947</v>
      </c>
      <c r="F8678" t="s">
        <v>53948</v>
      </c>
      <c r="G8678" t="s">
        <v>53949</v>
      </c>
      <c r="H8678" t="s">
        <v>53950</v>
      </c>
      <c r="I8678" t="s">
        <v>53951</v>
      </c>
      <c r="J8678" t="s">
        <v>29737</v>
      </c>
      <c r="K8678" t="s">
        <v>53952</v>
      </c>
      <c r="L8678" t="s">
        <v>29731</v>
      </c>
    </row>
    <row r="8679" spans="1:12" x14ac:dyDescent="0.25">
      <c r="A8679">
        <v>1548140</v>
      </c>
      <c r="B8679">
        <v>1548405</v>
      </c>
      <c r="D8679">
        <v>0</v>
      </c>
      <c r="F8679">
        <v>1746025</v>
      </c>
      <c r="G8679">
        <v>1548140</v>
      </c>
      <c r="H8679" t="s">
        <v>1534</v>
      </c>
      <c r="I8679">
        <v>1548405</v>
      </c>
      <c r="J8679" t="s">
        <v>1534</v>
      </c>
      <c r="K8679" t="s">
        <v>53953</v>
      </c>
      <c r="L8679" t="s">
        <v>1534</v>
      </c>
    </row>
    <row r="8680" spans="1:12" x14ac:dyDescent="0.25">
      <c r="A8680">
        <v>1548402</v>
      </c>
      <c r="B8680">
        <v>1548403</v>
      </c>
      <c r="D8680">
        <v>0</v>
      </c>
      <c r="F8680">
        <v>1746008</v>
      </c>
      <c r="G8680">
        <v>1548403</v>
      </c>
      <c r="H8680" t="e" vm="12">
        <f>_FV(0,"005")</f>
        <v>#VALUE!</v>
      </c>
      <c r="I8680">
        <v>1548402</v>
      </c>
      <c r="J8680" t="s">
        <v>194</v>
      </c>
      <c r="K8680" t="s">
        <v>53954</v>
      </c>
      <c r="L8680" t="e" vm="12">
        <f>_FV(0,"005")</f>
        <v>#VALUE!</v>
      </c>
    </row>
    <row r="8681" spans="1:12" x14ac:dyDescent="0.25">
      <c r="A8681">
        <v>1548403</v>
      </c>
      <c r="B8681">
        <v>1548457</v>
      </c>
      <c r="D8681">
        <v>0</v>
      </c>
      <c r="F8681">
        <v>1746105</v>
      </c>
      <c r="G8681">
        <v>1548457</v>
      </c>
      <c r="H8681" t="e" vm="201">
        <f>_FV(0,"002")</f>
        <v>#VALUE!</v>
      </c>
      <c r="I8681">
        <v>1548403</v>
      </c>
      <c r="J8681" t="s">
        <v>1534</v>
      </c>
      <c r="K8681" t="s">
        <v>53955</v>
      </c>
      <c r="L8681" t="e" vm="201">
        <f>_FV(0,"002")</f>
        <v>#VALUE!</v>
      </c>
    </row>
    <row r="8682" spans="1:12" x14ac:dyDescent="0.25">
      <c r="A8682">
        <v>1548403</v>
      </c>
      <c r="B8682">
        <v>1548405</v>
      </c>
      <c r="D8682">
        <v>0</v>
      </c>
      <c r="E8682" t="s">
        <v>53956</v>
      </c>
      <c r="F8682" t="s">
        <v>53957</v>
      </c>
      <c r="G8682" t="s">
        <v>53958</v>
      </c>
      <c r="H8682" t="e" vm="3727">
        <f>_FV(0,"0024707052933160404")</f>
        <v>#VALUE!</v>
      </c>
      <c r="I8682" t="s">
        <v>53959</v>
      </c>
      <c r="J8682" t="s">
        <v>1829</v>
      </c>
      <c r="K8682" t="s">
        <v>53960</v>
      </c>
      <c r="L8682" t="s">
        <v>1823</v>
      </c>
    </row>
    <row r="8683" spans="1:12" x14ac:dyDescent="0.25">
      <c r="A8683">
        <v>1548405</v>
      </c>
      <c r="B8683">
        <v>1548457</v>
      </c>
      <c r="D8683">
        <v>0</v>
      </c>
      <c r="F8683">
        <v>1746106</v>
      </c>
      <c r="G8683">
        <v>1548457</v>
      </c>
      <c r="H8683" t="e" vm="87">
        <f>_FV(0,"001")</f>
        <v>#VALUE!</v>
      </c>
      <c r="I8683">
        <v>1548405</v>
      </c>
      <c r="J8683" t="s">
        <v>1333</v>
      </c>
      <c r="K8683" t="s">
        <v>53961</v>
      </c>
      <c r="L8683" t="e" vm="87">
        <f>_FV(0,"001")</f>
        <v>#VALUE!</v>
      </c>
    </row>
    <row r="8684" spans="1:12" x14ac:dyDescent="0.25">
      <c r="A8684">
        <v>1548457</v>
      </c>
      <c r="B8684">
        <v>1548458</v>
      </c>
      <c r="D8684">
        <v>0</v>
      </c>
      <c r="F8684">
        <v>1746097</v>
      </c>
      <c r="G8684">
        <v>1548458</v>
      </c>
      <c r="H8684" t="e" vm="215">
        <f>_FV(0,"02")</f>
        <v>#VALUE!</v>
      </c>
      <c r="I8684">
        <v>1548457</v>
      </c>
      <c r="J8684" t="s">
        <v>3317</v>
      </c>
      <c r="K8684" t="s">
        <v>53962</v>
      </c>
      <c r="L8684" t="e" vm="215">
        <f>_FV(0,"02")</f>
        <v>#VALUE!</v>
      </c>
    </row>
    <row r="8685" spans="1:12" x14ac:dyDescent="0.25">
      <c r="A8685">
        <v>1548458</v>
      </c>
      <c r="B8685">
        <v>1548469</v>
      </c>
      <c r="D8685">
        <v>0</v>
      </c>
      <c r="F8685">
        <v>1746115</v>
      </c>
      <c r="G8685">
        <v>1548469</v>
      </c>
      <c r="H8685" t="e" vm="498">
        <f>_FV(0,"037")</f>
        <v>#VALUE!</v>
      </c>
      <c r="I8685">
        <v>1548458</v>
      </c>
      <c r="J8685" t="s">
        <v>1589</v>
      </c>
      <c r="K8685" t="s">
        <v>53963</v>
      </c>
      <c r="L8685" t="e" vm="498">
        <f>_FV(0,"037")</f>
        <v>#VALUE!</v>
      </c>
    </row>
    <row r="8686" spans="1:12" x14ac:dyDescent="0.25">
      <c r="A8686">
        <v>1548458</v>
      </c>
      <c r="B8686">
        <v>1548470</v>
      </c>
      <c r="D8686">
        <v>0</v>
      </c>
      <c r="F8686">
        <v>1746116</v>
      </c>
      <c r="G8686">
        <v>1548470</v>
      </c>
      <c r="H8686" t="e" vm="1">
        <f>_FV(0,"03")</f>
        <v>#VALUE!</v>
      </c>
      <c r="I8686">
        <v>1548458</v>
      </c>
      <c r="J8686" t="s">
        <v>12</v>
      </c>
      <c r="K8686" t="s">
        <v>53964</v>
      </c>
      <c r="L8686" t="e" vm="1">
        <f>_FV(0,"03")</f>
        <v>#VALUE!</v>
      </c>
    </row>
    <row r="8687" spans="1:12" x14ac:dyDescent="0.25">
      <c r="A8687">
        <v>1548469</v>
      </c>
      <c r="B8687">
        <v>1548618</v>
      </c>
      <c r="D8687">
        <v>0</v>
      </c>
      <c r="F8687">
        <v>1746340</v>
      </c>
      <c r="G8687">
        <v>1548618</v>
      </c>
      <c r="H8687" t="s">
        <v>194</v>
      </c>
      <c r="I8687">
        <v>1548469</v>
      </c>
      <c r="J8687" t="s">
        <v>194</v>
      </c>
      <c r="K8687" t="s">
        <v>53965</v>
      </c>
      <c r="L8687" t="s">
        <v>194</v>
      </c>
    </row>
    <row r="8688" spans="1:12" x14ac:dyDescent="0.25">
      <c r="A8688">
        <v>1548469</v>
      </c>
      <c r="B8688">
        <v>1548470</v>
      </c>
      <c r="D8688">
        <v>0</v>
      </c>
      <c r="E8688" t="s">
        <v>53967</v>
      </c>
      <c r="F8688" t="s">
        <v>53968</v>
      </c>
      <c r="G8688" t="s">
        <v>53969</v>
      </c>
      <c r="H8688" t="e" vm="3728">
        <f>_FV(0,"01746259844098189")</f>
        <v>#VALUE!</v>
      </c>
      <c r="I8688" t="s">
        <v>53970</v>
      </c>
      <c r="J8688" t="s">
        <v>53971</v>
      </c>
      <c r="K8688" t="s">
        <v>53972</v>
      </c>
      <c r="L8688" t="s">
        <v>53966</v>
      </c>
    </row>
    <row r="8689" spans="1:12" x14ac:dyDescent="0.25">
      <c r="A8689">
        <v>1549053</v>
      </c>
      <c r="B8689">
        <v>1549088</v>
      </c>
      <c r="C8689" t="s">
        <v>53974</v>
      </c>
      <c r="D8689" t="s">
        <v>204</v>
      </c>
      <c r="E8689" t="s">
        <v>53975</v>
      </c>
      <c r="F8689" t="s">
        <v>53976</v>
      </c>
      <c r="G8689" t="s">
        <v>53977</v>
      </c>
      <c r="H8689" t="e" vm="3729">
        <f>_FV(0,"006684915259827973")</f>
        <v>#VALUE!</v>
      </c>
      <c r="I8689" t="s">
        <v>53978</v>
      </c>
      <c r="J8689" t="s">
        <v>53979</v>
      </c>
      <c r="K8689" t="s">
        <v>53980</v>
      </c>
      <c r="L8689" t="s">
        <v>53973</v>
      </c>
    </row>
    <row r="8690" spans="1:12" x14ac:dyDescent="0.25">
      <c r="A8690">
        <v>1549058</v>
      </c>
      <c r="B8690">
        <v>1549239</v>
      </c>
      <c r="D8690">
        <v>0</v>
      </c>
      <c r="F8690">
        <v>1749339</v>
      </c>
      <c r="G8690">
        <v>1549239</v>
      </c>
      <c r="H8690" t="s">
        <v>187</v>
      </c>
      <c r="I8690">
        <v>1549058</v>
      </c>
      <c r="J8690" t="s">
        <v>187</v>
      </c>
      <c r="K8690" t="s">
        <v>53981</v>
      </c>
      <c r="L8690" t="s">
        <v>187</v>
      </c>
    </row>
    <row r="8691" spans="1:12" x14ac:dyDescent="0.25">
      <c r="A8691">
        <v>1549058</v>
      </c>
      <c r="B8691">
        <v>1549608</v>
      </c>
      <c r="D8691">
        <v>0</v>
      </c>
      <c r="E8691" t="s">
        <v>53983</v>
      </c>
      <c r="F8691" t="s">
        <v>53984</v>
      </c>
      <c r="G8691" t="s">
        <v>53985</v>
      </c>
      <c r="H8691" t="e" vm="3730">
        <f>_FV(0,"03067880618253528")</f>
        <v>#VALUE!</v>
      </c>
      <c r="I8691" t="s">
        <v>53986</v>
      </c>
      <c r="J8691" t="s">
        <v>53987</v>
      </c>
      <c r="K8691" t="s">
        <v>53988</v>
      </c>
      <c r="L8691" t="s">
        <v>53982</v>
      </c>
    </row>
    <row r="8692" spans="1:12" x14ac:dyDescent="0.25">
      <c r="A8692">
        <v>1549058</v>
      </c>
      <c r="B8692">
        <v>1549602</v>
      </c>
      <c r="D8692">
        <v>0</v>
      </c>
      <c r="E8692" t="s">
        <v>53990</v>
      </c>
      <c r="F8692" t="s">
        <v>53991</v>
      </c>
      <c r="G8692" t="s">
        <v>53992</v>
      </c>
      <c r="H8692" t="e" vm="3731">
        <f>_FV(0,"001316265057014678")</f>
        <v>#VALUE!</v>
      </c>
      <c r="I8692" t="s">
        <v>53993</v>
      </c>
      <c r="J8692" t="s">
        <v>53994</v>
      </c>
      <c r="K8692" t="s">
        <v>53995</v>
      </c>
      <c r="L8692" t="s">
        <v>53989</v>
      </c>
    </row>
    <row r="8693" spans="1:12" x14ac:dyDescent="0.25">
      <c r="A8693">
        <v>1549088</v>
      </c>
      <c r="B8693">
        <v>1395655</v>
      </c>
      <c r="D8693">
        <v>0</v>
      </c>
      <c r="F8693">
        <v>1749333</v>
      </c>
      <c r="G8693">
        <v>1395655</v>
      </c>
      <c r="H8693" t="e" vm="56">
        <f>_FV(0,"023")</f>
        <v>#VALUE!</v>
      </c>
      <c r="I8693">
        <v>1549088</v>
      </c>
      <c r="J8693" t="s">
        <v>890</v>
      </c>
      <c r="K8693" t="s">
        <v>53996</v>
      </c>
      <c r="L8693" t="e" vm="56">
        <f>_FV(0,"023")</f>
        <v>#VALUE!</v>
      </c>
    </row>
    <row r="8694" spans="1:12" x14ac:dyDescent="0.25">
      <c r="A8694">
        <v>1549096</v>
      </c>
      <c r="B8694">
        <v>1550072</v>
      </c>
      <c r="D8694">
        <v>0</v>
      </c>
      <c r="F8694">
        <v>1748860</v>
      </c>
      <c r="G8694">
        <v>1550072</v>
      </c>
      <c r="H8694" t="e" vm="201">
        <f>_FV(0,"002")</f>
        <v>#VALUE!</v>
      </c>
      <c r="I8694">
        <v>1549096</v>
      </c>
      <c r="J8694" t="s">
        <v>1534</v>
      </c>
      <c r="K8694" t="s">
        <v>53997</v>
      </c>
      <c r="L8694" t="e" vm="201">
        <f>_FV(0,"002")</f>
        <v>#VALUE!</v>
      </c>
    </row>
    <row r="8695" spans="1:12" x14ac:dyDescent="0.25">
      <c r="A8695">
        <v>1549109</v>
      </c>
      <c r="B8695">
        <v>1550113</v>
      </c>
      <c r="D8695">
        <v>0</v>
      </c>
      <c r="F8695">
        <v>1748994</v>
      </c>
      <c r="G8695">
        <v>1550113</v>
      </c>
      <c r="H8695" t="e" vm="47">
        <f>_FV(0,"016")</f>
        <v>#VALUE!</v>
      </c>
      <c r="I8695">
        <v>1549109</v>
      </c>
      <c r="J8695" t="s">
        <v>737</v>
      </c>
      <c r="K8695" t="s">
        <v>53998</v>
      </c>
      <c r="L8695" t="e" vm="47">
        <f>_FV(0,"016")</f>
        <v>#VALUE!</v>
      </c>
    </row>
    <row r="8696" spans="1:12" x14ac:dyDescent="0.25">
      <c r="A8696">
        <v>1549109</v>
      </c>
      <c r="B8696">
        <v>1550023</v>
      </c>
      <c r="D8696">
        <v>0</v>
      </c>
      <c r="E8696" t="s">
        <v>54000</v>
      </c>
      <c r="F8696" t="s">
        <v>54001</v>
      </c>
      <c r="G8696" t="s">
        <v>54002</v>
      </c>
      <c r="H8696" t="s">
        <v>54003</v>
      </c>
      <c r="I8696" t="s">
        <v>54004</v>
      </c>
      <c r="J8696" t="s">
        <v>53999</v>
      </c>
      <c r="K8696" t="s">
        <v>54005</v>
      </c>
      <c r="L8696" t="s">
        <v>53999</v>
      </c>
    </row>
    <row r="8697" spans="1:12" x14ac:dyDescent="0.25">
      <c r="A8697">
        <v>1549128</v>
      </c>
      <c r="B8697">
        <v>1549532</v>
      </c>
      <c r="D8697" t="s">
        <v>54007</v>
      </c>
      <c r="E8697" t="s">
        <v>54008</v>
      </c>
      <c r="F8697" t="s">
        <v>54009</v>
      </c>
      <c r="G8697" t="s">
        <v>54010</v>
      </c>
      <c r="H8697" t="e" vm="3732">
        <f>_FV(0,"00133760854411581")</f>
        <v>#VALUE!</v>
      </c>
      <c r="I8697" t="s">
        <v>54011</v>
      </c>
      <c r="J8697" t="s">
        <v>54012</v>
      </c>
      <c r="K8697" t="s">
        <v>54013</v>
      </c>
      <c r="L8697" t="s">
        <v>54006</v>
      </c>
    </row>
    <row r="8698" spans="1:12" x14ac:dyDescent="0.25">
      <c r="A8698">
        <v>1549146</v>
      </c>
      <c r="B8698">
        <v>1549528</v>
      </c>
      <c r="D8698" t="s">
        <v>54015</v>
      </c>
      <c r="E8698" t="s">
        <v>54016</v>
      </c>
      <c r="F8698" t="s">
        <v>54017</v>
      </c>
      <c r="G8698" t="s">
        <v>54018</v>
      </c>
      <c r="H8698" t="e" vm="3733">
        <f>_FV(0,"0010958610617670583")</f>
        <v>#VALUE!</v>
      </c>
      <c r="I8698" t="s">
        <v>54019</v>
      </c>
      <c r="J8698" t="s">
        <v>54020</v>
      </c>
      <c r="K8698" t="s">
        <v>54021</v>
      </c>
      <c r="L8698" t="s">
        <v>54014</v>
      </c>
    </row>
    <row r="8699" spans="1:12" x14ac:dyDescent="0.25">
      <c r="A8699">
        <v>1549234</v>
      </c>
      <c r="B8699">
        <v>1549602</v>
      </c>
      <c r="D8699">
        <v>0</v>
      </c>
      <c r="F8699">
        <v>1749361</v>
      </c>
      <c r="G8699">
        <v>1549602</v>
      </c>
      <c r="H8699" t="e" vm="18">
        <f>_FV(0,"004")</f>
        <v>#VALUE!</v>
      </c>
      <c r="I8699">
        <v>1549234</v>
      </c>
      <c r="J8699" t="s">
        <v>239</v>
      </c>
      <c r="K8699" t="s">
        <v>54022</v>
      </c>
      <c r="L8699" t="e" vm="18">
        <f>_FV(0,"004")</f>
        <v>#VALUE!</v>
      </c>
    </row>
    <row r="8700" spans="1:12" x14ac:dyDescent="0.25">
      <c r="A8700">
        <v>1549234</v>
      </c>
      <c r="B8700">
        <v>1549238</v>
      </c>
      <c r="D8700">
        <v>0</v>
      </c>
      <c r="E8700" t="s">
        <v>54023</v>
      </c>
      <c r="F8700" t="s">
        <v>54024</v>
      </c>
      <c r="G8700" t="s">
        <v>54025</v>
      </c>
      <c r="H8700" t="e" vm="3734">
        <f>_FV(0,"005734093702660649")</f>
        <v>#VALUE!</v>
      </c>
      <c r="I8700" t="s">
        <v>54026</v>
      </c>
      <c r="J8700" t="s">
        <v>31050</v>
      </c>
      <c r="K8700" t="s">
        <v>54027</v>
      </c>
      <c r="L8700" t="s">
        <v>43821</v>
      </c>
    </row>
    <row r="8701" spans="1:12" x14ac:dyDescent="0.25">
      <c r="A8701">
        <v>1549234</v>
      </c>
      <c r="B8701">
        <v>1549239</v>
      </c>
      <c r="D8701">
        <v>0</v>
      </c>
      <c r="E8701" t="s">
        <v>54028</v>
      </c>
      <c r="F8701" t="s">
        <v>54029</v>
      </c>
      <c r="G8701" t="s">
        <v>54030</v>
      </c>
      <c r="H8701" t="s">
        <v>54031</v>
      </c>
      <c r="I8701" t="s">
        <v>54032</v>
      </c>
      <c r="J8701" t="s">
        <v>6029</v>
      </c>
      <c r="K8701" t="s">
        <v>54033</v>
      </c>
      <c r="L8701" t="s">
        <v>6029</v>
      </c>
    </row>
    <row r="8702" spans="1:12" x14ac:dyDescent="0.25">
      <c r="A8702">
        <v>1549238</v>
      </c>
      <c r="B8702">
        <v>1549820</v>
      </c>
      <c r="D8702">
        <v>1</v>
      </c>
      <c r="F8702">
        <v>1748496</v>
      </c>
      <c r="G8702">
        <v>1549820</v>
      </c>
      <c r="H8702" t="s">
        <v>187</v>
      </c>
      <c r="I8702">
        <v>1549238</v>
      </c>
      <c r="J8702" t="s">
        <v>187</v>
      </c>
      <c r="K8702" t="s">
        <v>54034</v>
      </c>
      <c r="L8702" t="s">
        <v>187</v>
      </c>
    </row>
    <row r="8703" spans="1:12" x14ac:dyDescent="0.25">
      <c r="A8703">
        <v>1549238</v>
      </c>
      <c r="B8703">
        <v>1549239</v>
      </c>
      <c r="D8703">
        <v>0</v>
      </c>
      <c r="E8703" t="s">
        <v>54036</v>
      </c>
      <c r="F8703" t="s">
        <v>54037</v>
      </c>
      <c r="G8703" t="s">
        <v>54038</v>
      </c>
      <c r="H8703" t="e" vm="3735">
        <f>_FV(0,"0002468668645755657")</f>
        <v>#VALUE!</v>
      </c>
      <c r="I8703" t="s">
        <v>54039</v>
      </c>
      <c r="J8703" t="s">
        <v>4947</v>
      </c>
      <c r="K8703" t="s">
        <v>54040</v>
      </c>
      <c r="L8703" t="s">
        <v>54035</v>
      </c>
    </row>
    <row r="8704" spans="1:12" x14ac:dyDescent="0.25">
      <c r="A8704">
        <v>1549260</v>
      </c>
      <c r="B8704">
        <v>1549867</v>
      </c>
      <c r="C8704" t="s">
        <v>54042</v>
      </c>
      <c r="D8704">
        <v>0</v>
      </c>
      <c r="E8704" t="s">
        <v>54043</v>
      </c>
      <c r="F8704" t="s">
        <v>54044</v>
      </c>
      <c r="G8704" t="s">
        <v>54045</v>
      </c>
      <c r="H8704" t="s">
        <v>54046</v>
      </c>
      <c r="I8704" t="s">
        <v>54047</v>
      </c>
      <c r="J8704" t="s">
        <v>54041</v>
      </c>
      <c r="K8704" t="s">
        <v>54048</v>
      </c>
      <c r="L8704" t="s">
        <v>54041</v>
      </c>
    </row>
    <row r="8705" spans="1:12" x14ac:dyDescent="0.25">
      <c r="A8705">
        <v>1549260</v>
      </c>
      <c r="B8705">
        <v>1549532</v>
      </c>
      <c r="C8705" t="s">
        <v>54050</v>
      </c>
      <c r="D8705">
        <v>0</v>
      </c>
      <c r="E8705" t="s">
        <v>54051</v>
      </c>
      <c r="F8705" t="s">
        <v>54052</v>
      </c>
      <c r="G8705" t="s">
        <v>54053</v>
      </c>
      <c r="H8705" t="e" vm="3736">
        <f>_FV(0,"017814925019802853")</f>
        <v>#VALUE!</v>
      </c>
      <c r="I8705" t="s">
        <v>54054</v>
      </c>
      <c r="J8705" t="s">
        <v>54055</v>
      </c>
      <c r="K8705" t="s">
        <v>54056</v>
      </c>
      <c r="L8705" t="s">
        <v>54049</v>
      </c>
    </row>
    <row r="8706" spans="1:12" x14ac:dyDescent="0.25">
      <c r="A8706">
        <v>1549335</v>
      </c>
      <c r="B8706">
        <v>1549340</v>
      </c>
      <c r="D8706">
        <v>0</v>
      </c>
      <c r="F8706">
        <v>1747635</v>
      </c>
      <c r="G8706">
        <v>1549340</v>
      </c>
      <c r="H8706" t="e" vm="1212">
        <f>_FV(0,"054")</f>
        <v>#VALUE!</v>
      </c>
      <c r="I8706">
        <v>1549335</v>
      </c>
      <c r="J8706" t="s">
        <v>8186</v>
      </c>
      <c r="K8706" t="s">
        <v>54057</v>
      </c>
      <c r="L8706" t="e" vm="1212">
        <f>_FV(0,"054")</f>
        <v>#VALUE!</v>
      </c>
    </row>
    <row r="8707" spans="1:12" x14ac:dyDescent="0.25">
      <c r="A8707">
        <v>1549335</v>
      </c>
      <c r="B8707">
        <v>1611915</v>
      </c>
      <c r="D8707">
        <v>0</v>
      </c>
      <c r="F8707">
        <v>1838444</v>
      </c>
      <c r="G8707">
        <v>1611915</v>
      </c>
      <c r="H8707" t="s">
        <v>54058</v>
      </c>
      <c r="I8707">
        <v>1549335</v>
      </c>
      <c r="J8707" t="s">
        <v>54058</v>
      </c>
      <c r="K8707" t="s">
        <v>54059</v>
      </c>
      <c r="L8707" t="s">
        <v>54058</v>
      </c>
    </row>
    <row r="8708" spans="1:12" x14ac:dyDescent="0.25">
      <c r="A8708">
        <v>1549340</v>
      </c>
      <c r="B8708">
        <v>1549341</v>
      </c>
      <c r="D8708">
        <v>0</v>
      </c>
      <c r="F8708">
        <v>1747636</v>
      </c>
      <c r="G8708">
        <v>1549341</v>
      </c>
      <c r="H8708" t="e" vm="481">
        <f>_FV(0,"029")</f>
        <v>#VALUE!</v>
      </c>
      <c r="I8708">
        <v>1549340</v>
      </c>
      <c r="J8708" t="s">
        <v>5410</v>
      </c>
      <c r="K8708" t="s">
        <v>54060</v>
      </c>
      <c r="L8708" t="e" vm="481">
        <f>_FV(0,"029")</f>
        <v>#VALUE!</v>
      </c>
    </row>
    <row r="8709" spans="1:12" x14ac:dyDescent="0.25">
      <c r="A8709">
        <v>1549340</v>
      </c>
      <c r="B8709">
        <v>1611936</v>
      </c>
      <c r="D8709">
        <v>0</v>
      </c>
      <c r="F8709">
        <v>1838492</v>
      </c>
      <c r="G8709">
        <v>1611936</v>
      </c>
      <c r="H8709" t="s">
        <v>54061</v>
      </c>
      <c r="I8709">
        <v>1549340</v>
      </c>
      <c r="J8709" t="s">
        <v>54061</v>
      </c>
      <c r="K8709" t="s">
        <v>54062</v>
      </c>
      <c r="L8709" t="s">
        <v>54061</v>
      </c>
    </row>
    <row r="8710" spans="1:12" x14ac:dyDescent="0.25">
      <c r="A8710">
        <v>1549341</v>
      </c>
      <c r="B8710">
        <v>1612171</v>
      </c>
      <c r="D8710">
        <v>0</v>
      </c>
      <c r="E8710" t="s">
        <v>54064</v>
      </c>
      <c r="F8710" t="s">
        <v>54065</v>
      </c>
      <c r="G8710" t="s">
        <v>54066</v>
      </c>
      <c r="H8710" t="s">
        <v>54067</v>
      </c>
      <c r="I8710" t="s">
        <v>54068</v>
      </c>
      <c r="J8710" t="s">
        <v>54063</v>
      </c>
      <c r="K8710" t="s">
        <v>54069</v>
      </c>
      <c r="L8710" t="s">
        <v>54063</v>
      </c>
    </row>
    <row r="8711" spans="1:12" x14ac:dyDescent="0.25">
      <c r="A8711">
        <v>1549528</v>
      </c>
      <c r="B8711">
        <v>1549602</v>
      </c>
      <c r="D8711">
        <v>0</v>
      </c>
      <c r="E8711" t="s">
        <v>54071</v>
      </c>
      <c r="F8711" t="s">
        <v>54072</v>
      </c>
      <c r="G8711" t="s">
        <v>54073</v>
      </c>
      <c r="H8711" t="e" vm="3737">
        <f>_FV(0,"002137238788152808")</f>
        <v>#VALUE!</v>
      </c>
      <c r="I8711" t="s">
        <v>54074</v>
      </c>
      <c r="J8711" t="s">
        <v>54075</v>
      </c>
      <c r="K8711" t="s">
        <v>54076</v>
      </c>
      <c r="L8711" t="s">
        <v>54070</v>
      </c>
    </row>
    <row r="8712" spans="1:12" x14ac:dyDescent="0.25">
      <c r="A8712">
        <v>1549528</v>
      </c>
      <c r="B8712">
        <v>1549608</v>
      </c>
      <c r="D8712">
        <v>0</v>
      </c>
      <c r="E8712" t="s">
        <v>54078</v>
      </c>
      <c r="F8712" t="s">
        <v>54079</v>
      </c>
      <c r="G8712" t="s">
        <v>54080</v>
      </c>
      <c r="H8712" t="e" vm="3738">
        <f>_FV(0,"011936462276494801")</f>
        <v>#VALUE!</v>
      </c>
      <c r="I8712" t="s">
        <v>54081</v>
      </c>
      <c r="J8712" t="s">
        <v>54082</v>
      </c>
      <c r="K8712" t="s">
        <v>54083</v>
      </c>
      <c r="L8712" t="s">
        <v>54077</v>
      </c>
    </row>
    <row r="8713" spans="1:12" x14ac:dyDescent="0.25">
      <c r="A8713">
        <v>1549532</v>
      </c>
      <c r="B8713">
        <v>1549757</v>
      </c>
      <c r="D8713">
        <v>0</v>
      </c>
      <c r="E8713" t="s">
        <v>54085</v>
      </c>
      <c r="F8713" t="s">
        <v>54086</v>
      </c>
      <c r="G8713" t="s">
        <v>54087</v>
      </c>
      <c r="H8713" t="e" vm="3739">
        <f>_FV(0,"0025008738090209967")</f>
        <v>#VALUE!</v>
      </c>
      <c r="I8713" t="s">
        <v>54088</v>
      </c>
      <c r="J8713" t="s">
        <v>54089</v>
      </c>
      <c r="K8713" t="s">
        <v>54090</v>
      </c>
      <c r="L8713" t="s">
        <v>54084</v>
      </c>
    </row>
    <row r="8714" spans="1:12" x14ac:dyDescent="0.25">
      <c r="A8714">
        <v>1549757</v>
      </c>
      <c r="B8714">
        <v>1549832</v>
      </c>
      <c r="D8714">
        <v>0</v>
      </c>
      <c r="F8714">
        <v>1748559</v>
      </c>
      <c r="G8714">
        <v>1549832</v>
      </c>
      <c r="H8714" t="e" vm="87">
        <f>_FV(0,"001")</f>
        <v>#VALUE!</v>
      </c>
      <c r="I8714">
        <v>1549757</v>
      </c>
      <c r="J8714" t="s">
        <v>1333</v>
      </c>
      <c r="K8714" t="s">
        <v>54091</v>
      </c>
      <c r="L8714" t="e" vm="87">
        <f>_FV(0,"001")</f>
        <v>#VALUE!</v>
      </c>
    </row>
    <row r="8715" spans="1:12" x14ac:dyDescent="0.25">
      <c r="A8715">
        <v>1549757</v>
      </c>
      <c r="B8715">
        <v>1549867</v>
      </c>
      <c r="D8715">
        <v>0</v>
      </c>
      <c r="E8715" t="s">
        <v>54093</v>
      </c>
      <c r="F8715" t="s">
        <v>54094</v>
      </c>
      <c r="G8715" t="s">
        <v>54095</v>
      </c>
      <c r="H8715" t="e" vm="3740">
        <f>_FV(0,"002873799380925687")</f>
        <v>#VALUE!</v>
      </c>
      <c r="I8715" t="s">
        <v>54096</v>
      </c>
      <c r="J8715" t="s">
        <v>54097</v>
      </c>
      <c r="K8715" t="s">
        <v>54098</v>
      </c>
      <c r="L8715" t="s">
        <v>54092</v>
      </c>
    </row>
    <row r="8716" spans="1:12" x14ac:dyDescent="0.25">
      <c r="A8716">
        <v>1549820</v>
      </c>
      <c r="B8716">
        <v>1549832</v>
      </c>
      <c r="D8716">
        <v>0</v>
      </c>
      <c r="E8716" t="s">
        <v>54099</v>
      </c>
      <c r="F8716" t="s">
        <v>54100</v>
      </c>
      <c r="G8716" t="s">
        <v>54101</v>
      </c>
      <c r="H8716" t="s">
        <v>54102</v>
      </c>
      <c r="I8716" t="s">
        <v>54103</v>
      </c>
      <c r="J8716" t="s">
        <v>4786</v>
      </c>
      <c r="K8716" t="s">
        <v>54104</v>
      </c>
      <c r="L8716" t="s">
        <v>4786</v>
      </c>
    </row>
    <row r="8717" spans="1:12" x14ac:dyDescent="0.25">
      <c r="A8717">
        <v>1549820</v>
      </c>
      <c r="B8717">
        <v>1549839</v>
      </c>
      <c r="D8717">
        <v>0</v>
      </c>
      <c r="E8717" t="s">
        <v>54105</v>
      </c>
      <c r="F8717" t="s">
        <v>54106</v>
      </c>
      <c r="G8717" t="s">
        <v>54107</v>
      </c>
      <c r="H8717" t="s">
        <v>54108</v>
      </c>
      <c r="I8717" t="s">
        <v>54109</v>
      </c>
      <c r="J8717" t="s">
        <v>30925</v>
      </c>
      <c r="K8717" t="s">
        <v>54110</v>
      </c>
      <c r="L8717" t="s">
        <v>30925</v>
      </c>
    </row>
    <row r="8718" spans="1:12" x14ac:dyDescent="0.25">
      <c r="A8718">
        <v>1549832</v>
      </c>
      <c r="B8718">
        <v>1549839</v>
      </c>
      <c r="D8718">
        <v>0</v>
      </c>
      <c r="E8718" t="s">
        <v>54111</v>
      </c>
      <c r="F8718" t="s">
        <v>54112</v>
      </c>
      <c r="G8718" t="s">
        <v>54113</v>
      </c>
      <c r="H8718" t="s">
        <v>54114</v>
      </c>
      <c r="I8718" t="s">
        <v>54115</v>
      </c>
      <c r="J8718" t="s">
        <v>4897</v>
      </c>
      <c r="K8718" t="s">
        <v>54116</v>
      </c>
      <c r="L8718" t="s">
        <v>4897</v>
      </c>
    </row>
    <row r="8719" spans="1:12" x14ac:dyDescent="0.25">
      <c r="A8719">
        <v>1549839</v>
      </c>
      <c r="B8719">
        <v>1549867</v>
      </c>
      <c r="D8719">
        <v>0</v>
      </c>
      <c r="F8719">
        <v>1748542</v>
      </c>
      <c r="G8719">
        <v>1549867</v>
      </c>
      <c r="H8719" t="s">
        <v>241</v>
      </c>
      <c r="I8719">
        <v>1549839</v>
      </c>
      <c r="J8719" t="s">
        <v>241</v>
      </c>
      <c r="K8719" t="s">
        <v>54117</v>
      </c>
      <c r="L8719" t="s">
        <v>241</v>
      </c>
    </row>
    <row r="8720" spans="1:12" x14ac:dyDescent="0.25">
      <c r="A8720">
        <v>1549934</v>
      </c>
      <c r="B8720">
        <v>1819007</v>
      </c>
      <c r="D8720" t="s">
        <v>257</v>
      </c>
      <c r="E8720" t="s">
        <v>54119</v>
      </c>
      <c r="F8720" t="s">
        <v>54120</v>
      </c>
      <c r="G8720" t="s">
        <v>54121</v>
      </c>
      <c r="H8720" t="e" vm="3741">
        <f>_FV(0,"015972392834751895")</f>
        <v>#VALUE!</v>
      </c>
      <c r="I8720" t="s">
        <v>54122</v>
      </c>
      <c r="J8720" t="s">
        <v>54123</v>
      </c>
      <c r="K8720" t="s">
        <v>54124</v>
      </c>
      <c r="L8720" t="s">
        <v>54118</v>
      </c>
    </row>
    <row r="8721" spans="1:12" x14ac:dyDescent="0.25">
      <c r="A8721">
        <v>1549934</v>
      </c>
      <c r="B8721">
        <v>1550023</v>
      </c>
      <c r="C8721" t="s">
        <v>54126</v>
      </c>
      <c r="D8721">
        <v>0</v>
      </c>
      <c r="E8721" t="s">
        <v>54127</v>
      </c>
      <c r="F8721" t="s">
        <v>54128</v>
      </c>
      <c r="G8721" t="s">
        <v>54129</v>
      </c>
      <c r="H8721" t="s">
        <v>54130</v>
      </c>
      <c r="I8721" t="s">
        <v>54131</v>
      </c>
      <c r="J8721" t="s">
        <v>54125</v>
      </c>
      <c r="K8721" t="s">
        <v>54132</v>
      </c>
      <c r="L8721" t="s">
        <v>54125</v>
      </c>
    </row>
    <row r="8722" spans="1:12" x14ac:dyDescent="0.25">
      <c r="A8722">
        <v>1550023</v>
      </c>
      <c r="B8722">
        <v>1550099</v>
      </c>
      <c r="D8722">
        <v>0</v>
      </c>
      <c r="F8722">
        <v>1748969</v>
      </c>
      <c r="G8722">
        <v>1550023</v>
      </c>
      <c r="H8722" t="e" vm="131">
        <f>_FV(0,"012")</f>
        <v>#VALUE!</v>
      </c>
      <c r="I8722">
        <v>1550099</v>
      </c>
      <c r="J8722" t="s">
        <v>1939</v>
      </c>
      <c r="K8722" t="s">
        <v>54133</v>
      </c>
      <c r="L8722" t="e" vm="131">
        <f>_FV(0,"012")</f>
        <v>#VALUE!</v>
      </c>
    </row>
    <row r="8723" spans="1:12" x14ac:dyDescent="0.25">
      <c r="A8723">
        <v>1550072</v>
      </c>
      <c r="B8723">
        <v>1550083</v>
      </c>
      <c r="D8723">
        <v>0</v>
      </c>
      <c r="E8723" t="s">
        <v>54135</v>
      </c>
      <c r="F8723" t="s">
        <v>54136</v>
      </c>
      <c r="G8723" t="s">
        <v>54137</v>
      </c>
      <c r="H8723" t="s">
        <v>54138</v>
      </c>
      <c r="I8723" t="s">
        <v>54139</v>
      </c>
      <c r="J8723" t="s">
        <v>54134</v>
      </c>
      <c r="K8723" t="s">
        <v>54140</v>
      </c>
      <c r="L8723" t="s">
        <v>54134</v>
      </c>
    </row>
    <row r="8724" spans="1:12" x14ac:dyDescent="0.25">
      <c r="A8724">
        <v>1550072</v>
      </c>
      <c r="B8724">
        <v>1550104</v>
      </c>
      <c r="D8724">
        <v>0</v>
      </c>
      <c r="E8724" t="s">
        <v>54142</v>
      </c>
      <c r="F8724" t="s">
        <v>54143</v>
      </c>
      <c r="G8724" t="s">
        <v>54144</v>
      </c>
      <c r="H8724" t="e" vm="3742">
        <f>_FV(0,"012080791109219693")</f>
        <v>#VALUE!</v>
      </c>
      <c r="I8724" t="s">
        <v>54145</v>
      </c>
      <c r="J8724" t="s">
        <v>54146</v>
      </c>
      <c r="K8724" t="s">
        <v>54147</v>
      </c>
      <c r="L8724" t="s">
        <v>54141</v>
      </c>
    </row>
    <row r="8725" spans="1:12" x14ac:dyDescent="0.25">
      <c r="A8725">
        <v>1550083</v>
      </c>
      <c r="B8725">
        <v>1550104</v>
      </c>
      <c r="D8725">
        <v>0</v>
      </c>
      <c r="E8725" t="s">
        <v>54149</v>
      </c>
      <c r="F8725" t="s">
        <v>54150</v>
      </c>
      <c r="G8725" t="s">
        <v>54151</v>
      </c>
      <c r="H8725" t="e" vm="3743">
        <f>_FV(0,"02573533607150682")</f>
        <v>#VALUE!</v>
      </c>
      <c r="I8725" t="s">
        <v>54152</v>
      </c>
      <c r="J8725" t="s">
        <v>54153</v>
      </c>
      <c r="K8725" t="s">
        <v>54154</v>
      </c>
      <c r="L8725" t="s">
        <v>54148</v>
      </c>
    </row>
    <row r="8726" spans="1:12" x14ac:dyDescent="0.25">
      <c r="A8726">
        <v>1550089</v>
      </c>
      <c r="B8726">
        <v>1550099</v>
      </c>
      <c r="D8726">
        <v>0</v>
      </c>
      <c r="E8726" t="s">
        <v>54155</v>
      </c>
      <c r="F8726" t="s">
        <v>54156</v>
      </c>
      <c r="G8726" t="s">
        <v>54157</v>
      </c>
      <c r="H8726" t="e" vm="3744">
        <f>_FV(0,"004803850938822829")</f>
        <v>#VALUE!</v>
      </c>
      <c r="I8726" t="s">
        <v>54158</v>
      </c>
      <c r="J8726" t="s">
        <v>4817</v>
      </c>
      <c r="K8726" t="s">
        <v>54159</v>
      </c>
      <c r="L8726" t="s">
        <v>13856</v>
      </c>
    </row>
    <row r="8727" spans="1:12" x14ac:dyDescent="0.25">
      <c r="A8727">
        <v>1550089</v>
      </c>
      <c r="B8727">
        <v>1550113</v>
      </c>
      <c r="D8727">
        <v>0</v>
      </c>
      <c r="E8727" t="s">
        <v>54160</v>
      </c>
      <c r="F8727" t="s">
        <v>54161</v>
      </c>
      <c r="G8727" t="s">
        <v>54162</v>
      </c>
      <c r="H8727" t="s">
        <v>54163</v>
      </c>
      <c r="I8727" t="s">
        <v>54164</v>
      </c>
      <c r="J8727" t="s">
        <v>27755</v>
      </c>
      <c r="K8727" t="s">
        <v>54165</v>
      </c>
      <c r="L8727" t="s">
        <v>27755</v>
      </c>
    </row>
    <row r="8728" spans="1:12" x14ac:dyDescent="0.25">
      <c r="A8728">
        <v>1550089</v>
      </c>
      <c r="B8728">
        <v>1550104</v>
      </c>
      <c r="D8728">
        <v>1</v>
      </c>
      <c r="F8728">
        <v>1748899</v>
      </c>
      <c r="G8728">
        <v>1550089</v>
      </c>
      <c r="H8728" t="e" vm="1006">
        <f>_FV(0,"006")</f>
        <v>#VALUE!</v>
      </c>
      <c r="I8728">
        <v>1550104</v>
      </c>
      <c r="J8728" t="s">
        <v>250</v>
      </c>
      <c r="K8728" t="s">
        <v>54166</v>
      </c>
      <c r="L8728" t="e" vm="1006">
        <f>_FV(0,"006")</f>
        <v>#VALUE!</v>
      </c>
    </row>
    <row r="8729" spans="1:12" x14ac:dyDescent="0.25">
      <c r="A8729">
        <v>1550099</v>
      </c>
      <c r="B8729">
        <v>1550113</v>
      </c>
      <c r="D8729">
        <v>0</v>
      </c>
      <c r="E8729" t="s">
        <v>54168</v>
      </c>
      <c r="F8729" t="s">
        <v>54169</v>
      </c>
      <c r="G8729" t="s">
        <v>54170</v>
      </c>
      <c r="H8729" t="e" vm="3745">
        <f>_FV(0,"026201832703080085")</f>
        <v>#VALUE!</v>
      </c>
      <c r="I8729" t="s">
        <v>54171</v>
      </c>
      <c r="J8729" t="s">
        <v>23688</v>
      </c>
      <c r="K8729" t="s">
        <v>54172</v>
      </c>
      <c r="L8729" t="s">
        <v>54167</v>
      </c>
    </row>
    <row r="8730" spans="1:12" x14ac:dyDescent="0.25">
      <c r="A8730">
        <v>1550885</v>
      </c>
      <c r="B8730">
        <v>1550914</v>
      </c>
      <c r="C8730" t="s">
        <v>54174</v>
      </c>
      <c r="D8730">
        <v>0</v>
      </c>
      <c r="E8730" t="s">
        <v>54175</v>
      </c>
      <c r="F8730" t="s">
        <v>54176</v>
      </c>
      <c r="G8730" t="s">
        <v>54177</v>
      </c>
      <c r="H8730" t="s">
        <v>54178</v>
      </c>
      <c r="I8730" t="s">
        <v>54179</v>
      </c>
      <c r="J8730" t="s">
        <v>54180</v>
      </c>
      <c r="K8730" t="s">
        <v>54181</v>
      </c>
      <c r="L8730" t="s">
        <v>54173</v>
      </c>
    </row>
    <row r="8731" spans="1:12" x14ac:dyDescent="0.25">
      <c r="A8731">
        <v>1550904</v>
      </c>
      <c r="B8731">
        <v>1550910</v>
      </c>
      <c r="D8731">
        <v>0</v>
      </c>
      <c r="E8731" t="s">
        <v>54183</v>
      </c>
      <c r="F8731" t="s">
        <v>54184</v>
      </c>
      <c r="G8731" t="s">
        <v>54185</v>
      </c>
      <c r="H8731" t="s">
        <v>54186</v>
      </c>
      <c r="I8731" t="s">
        <v>54187</v>
      </c>
      <c r="J8731" t="s">
        <v>54188</v>
      </c>
      <c r="K8731" t="s">
        <v>54189</v>
      </c>
      <c r="L8731" t="s">
        <v>54182</v>
      </c>
    </row>
    <row r="8732" spans="1:12" x14ac:dyDescent="0.25">
      <c r="A8732">
        <v>1552524</v>
      </c>
      <c r="B8732">
        <v>1552535</v>
      </c>
      <c r="D8732">
        <v>0</v>
      </c>
      <c r="F8732">
        <v>1753256</v>
      </c>
      <c r="G8732">
        <v>1552535</v>
      </c>
      <c r="H8732" t="s">
        <v>4038</v>
      </c>
      <c r="I8732">
        <v>1552524</v>
      </c>
      <c r="J8732" t="s">
        <v>4038</v>
      </c>
      <c r="K8732" t="s">
        <v>54190</v>
      </c>
      <c r="L8732" t="s">
        <v>4038</v>
      </c>
    </row>
    <row r="8733" spans="1:12" x14ac:dyDescent="0.25">
      <c r="A8733">
        <v>1552524</v>
      </c>
      <c r="B8733">
        <v>1552659</v>
      </c>
      <c r="D8733">
        <v>0</v>
      </c>
      <c r="E8733" t="s">
        <v>54192</v>
      </c>
      <c r="F8733" t="s">
        <v>54193</v>
      </c>
      <c r="G8733" t="s">
        <v>54194</v>
      </c>
      <c r="H8733" t="s">
        <v>54195</v>
      </c>
      <c r="I8733" t="s">
        <v>54196</v>
      </c>
      <c r="J8733" t="s">
        <v>54191</v>
      </c>
      <c r="K8733" t="s">
        <v>54197</v>
      </c>
      <c r="L8733" t="s">
        <v>54191</v>
      </c>
    </row>
    <row r="8734" spans="1:12" x14ac:dyDescent="0.25">
      <c r="A8734">
        <v>1552524</v>
      </c>
      <c r="B8734">
        <v>1552556</v>
      </c>
      <c r="D8734">
        <v>0</v>
      </c>
      <c r="E8734" t="s">
        <v>54199</v>
      </c>
      <c r="F8734" t="s">
        <v>54200</v>
      </c>
      <c r="G8734" t="s">
        <v>54201</v>
      </c>
      <c r="H8734" t="e" vm="3746">
        <f>_FV(0,"007207402796213104")</f>
        <v>#VALUE!</v>
      </c>
      <c r="I8734" t="s">
        <v>54202</v>
      </c>
      <c r="J8734" t="s">
        <v>54203</v>
      </c>
      <c r="K8734" t="s">
        <v>54204</v>
      </c>
      <c r="L8734" t="s">
        <v>54198</v>
      </c>
    </row>
    <row r="8735" spans="1:12" x14ac:dyDescent="0.25">
      <c r="A8735">
        <v>1552535</v>
      </c>
      <c r="B8735">
        <v>1552547</v>
      </c>
      <c r="D8735">
        <v>0</v>
      </c>
      <c r="F8735">
        <v>1753298</v>
      </c>
      <c r="G8735">
        <v>1552547</v>
      </c>
      <c r="H8735" t="s">
        <v>1939</v>
      </c>
      <c r="I8735">
        <v>1552535</v>
      </c>
      <c r="J8735" t="s">
        <v>1939</v>
      </c>
      <c r="K8735" t="s">
        <v>54205</v>
      </c>
      <c r="L8735" t="s">
        <v>1939</v>
      </c>
    </row>
    <row r="8736" spans="1:12" x14ac:dyDescent="0.25">
      <c r="A8736">
        <v>1552535</v>
      </c>
      <c r="B8736">
        <v>1552677</v>
      </c>
      <c r="D8736">
        <v>0</v>
      </c>
      <c r="E8736" t="s">
        <v>54207</v>
      </c>
      <c r="F8736" t="s">
        <v>54208</v>
      </c>
      <c r="G8736" t="s">
        <v>54209</v>
      </c>
      <c r="H8736" t="e" vm="3747">
        <f>_FV(0,"034702571489542006")</f>
        <v>#VALUE!</v>
      </c>
      <c r="I8736" t="s">
        <v>54210</v>
      </c>
      <c r="J8736" t="s">
        <v>54211</v>
      </c>
      <c r="K8736" t="s">
        <v>54212</v>
      </c>
      <c r="L8736" t="s">
        <v>54206</v>
      </c>
    </row>
    <row r="8737" spans="1:12" x14ac:dyDescent="0.25">
      <c r="A8737">
        <v>1552547</v>
      </c>
      <c r="B8737">
        <v>1552556</v>
      </c>
      <c r="D8737">
        <v>0</v>
      </c>
      <c r="E8737" t="s">
        <v>54214</v>
      </c>
      <c r="F8737" t="s">
        <v>54215</v>
      </c>
      <c r="G8737" t="s">
        <v>54216</v>
      </c>
      <c r="H8737" t="e" vm="3748">
        <f>_FV(0,"043514798159604434")</f>
        <v>#VALUE!</v>
      </c>
      <c r="I8737" t="s">
        <v>54217</v>
      </c>
      <c r="J8737" t="s">
        <v>54218</v>
      </c>
      <c r="K8737" t="s">
        <v>54219</v>
      </c>
      <c r="L8737" t="s">
        <v>54213</v>
      </c>
    </row>
    <row r="8738" spans="1:12" x14ac:dyDescent="0.25">
      <c r="A8738">
        <v>1552547</v>
      </c>
      <c r="B8738">
        <v>1552646</v>
      </c>
      <c r="D8738">
        <v>0</v>
      </c>
      <c r="E8738" t="s">
        <v>54220</v>
      </c>
      <c r="F8738" t="s">
        <v>54221</v>
      </c>
      <c r="G8738" t="s">
        <v>54222</v>
      </c>
      <c r="H8738" t="e" vm="3749">
        <f>_FV(0,"0539110065334219")</f>
        <v>#VALUE!</v>
      </c>
      <c r="I8738" t="s">
        <v>54223</v>
      </c>
      <c r="J8738" t="s">
        <v>32553</v>
      </c>
      <c r="K8738" t="s">
        <v>54224</v>
      </c>
      <c r="L8738" t="s">
        <v>32548</v>
      </c>
    </row>
    <row r="8739" spans="1:12" x14ac:dyDescent="0.25">
      <c r="A8739">
        <v>1552556</v>
      </c>
      <c r="B8739">
        <v>1552646</v>
      </c>
      <c r="D8739">
        <v>0</v>
      </c>
      <c r="E8739" t="s">
        <v>54225</v>
      </c>
      <c r="F8739" t="s">
        <v>54226</v>
      </c>
      <c r="G8739" t="s">
        <v>54227</v>
      </c>
      <c r="H8739" t="e" vm="3126">
        <f>_FV(0,"073")</f>
        <v>#VALUE!</v>
      </c>
      <c r="I8739" t="s">
        <v>54228</v>
      </c>
      <c r="J8739" t="s">
        <v>27706</v>
      </c>
      <c r="K8739" t="s">
        <v>54229</v>
      </c>
      <c r="L8739" t="e" vm="3126">
        <f>_FV(0,"073")</f>
        <v>#VALUE!</v>
      </c>
    </row>
    <row r="8740" spans="1:12" x14ac:dyDescent="0.25">
      <c r="A8740">
        <v>1552646</v>
      </c>
      <c r="B8740">
        <v>1552669</v>
      </c>
      <c r="D8740" t="s">
        <v>204</v>
      </c>
      <c r="E8740" t="s">
        <v>54231</v>
      </c>
      <c r="F8740" t="s">
        <v>54232</v>
      </c>
      <c r="G8740" t="s">
        <v>54233</v>
      </c>
      <c r="H8740" t="e" vm="3750">
        <f>_FV(0,"09971271569937173")</f>
        <v>#VALUE!</v>
      </c>
      <c r="I8740" t="s">
        <v>54234</v>
      </c>
      <c r="J8740" t="s">
        <v>54235</v>
      </c>
      <c r="K8740" t="s">
        <v>54236</v>
      </c>
      <c r="L8740" t="s">
        <v>54230</v>
      </c>
    </row>
    <row r="8741" spans="1:12" x14ac:dyDescent="0.25">
      <c r="A8741">
        <v>1552659</v>
      </c>
      <c r="B8741">
        <v>1552667</v>
      </c>
      <c r="D8741">
        <v>0</v>
      </c>
      <c r="F8741">
        <v>1753606</v>
      </c>
      <c r="G8741">
        <v>1552667</v>
      </c>
      <c r="H8741" t="e" vm="666">
        <f>_FV(0,"059")</f>
        <v>#VALUE!</v>
      </c>
      <c r="I8741">
        <v>1552659</v>
      </c>
      <c r="J8741" t="s">
        <v>9730</v>
      </c>
      <c r="K8741" t="s">
        <v>54237</v>
      </c>
      <c r="L8741" t="e" vm="666">
        <f>_FV(0,"059")</f>
        <v>#VALUE!</v>
      </c>
    </row>
    <row r="8742" spans="1:12" x14ac:dyDescent="0.25">
      <c r="A8742">
        <v>1552667</v>
      </c>
      <c r="B8742">
        <v>1552669</v>
      </c>
      <c r="D8742">
        <v>0</v>
      </c>
      <c r="E8742" t="s">
        <v>54239</v>
      </c>
      <c r="F8742" t="s">
        <v>54240</v>
      </c>
      <c r="G8742" t="s">
        <v>54241</v>
      </c>
      <c r="H8742" t="e" vm="3751">
        <f>_FV(0,"04134986958693878")</f>
        <v>#VALUE!</v>
      </c>
      <c r="I8742" t="s">
        <v>54242</v>
      </c>
      <c r="J8742" t="s">
        <v>54243</v>
      </c>
      <c r="K8742" t="s">
        <v>54244</v>
      </c>
      <c r="L8742" t="s">
        <v>54238</v>
      </c>
    </row>
    <row r="8743" spans="1:12" x14ac:dyDescent="0.25">
      <c r="A8743">
        <v>1552667</v>
      </c>
      <c r="B8743">
        <v>1552677</v>
      </c>
      <c r="D8743">
        <v>0</v>
      </c>
      <c r="E8743" t="s">
        <v>54246</v>
      </c>
      <c r="F8743" t="s">
        <v>54247</v>
      </c>
      <c r="G8743" t="s">
        <v>54248</v>
      </c>
      <c r="H8743" t="e" vm="3752">
        <f>_FV(0,"0544104595001746")</f>
        <v>#VALUE!</v>
      </c>
      <c r="I8743" t="s">
        <v>54249</v>
      </c>
      <c r="J8743" t="s">
        <v>54250</v>
      </c>
      <c r="K8743" t="s">
        <v>54251</v>
      </c>
      <c r="L8743" t="s">
        <v>54245</v>
      </c>
    </row>
    <row r="8744" spans="1:12" x14ac:dyDescent="0.25">
      <c r="A8744">
        <v>1552669</v>
      </c>
      <c r="B8744">
        <v>1552676</v>
      </c>
      <c r="D8744">
        <v>0</v>
      </c>
      <c r="E8744" t="s">
        <v>54253</v>
      </c>
      <c r="F8744" t="s">
        <v>54254</v>
      </c>
      <c r="G8744" t="s">
        <v>54255</v>
      </c>
      <c r="H8744" t="e" vm="3753">
        <f>_FV(0,"03953453477268493")</f>
        <v>#VALUE!</v>
      </c>
      <c r="I8744" t="s">
        <v>54256</v>
      </c>
      <c r="J8744" t="s">
        <v>54257</v>
      </c>
      <c r="K8744" t="s">
        <v>54258</v>
      </c>
      <c r="L8744" t="s">
        <v>54252</v>
      </c>
    </row>
    <row r="8745" spans="1:12" x14ac:dyDescent="0.25">
      <c r="A8745">
        <v>1552676</v>
      </c>
      <c r="B8745">
        <v>1552677</v>
      </c>
      <c r="D8745">
        <v>0</v>
      </c>
      <c r="F8745">
        <v>1753613</v>
      </c>
      <c r="G8745">
        <v>1552676</v>
      </c>
      <c r="H8745" t="s">
        <v>1783</v>
      </c>
      <c r="I8745">
        <v>1552677</v>
      </c>
      <c r="J8745" t="s">
        <v>1783</v>
      </c>
      <c r="K8745" t="s">
        <v>54259</v>
      </c>
      <c r="L8745" t="s">
        <v>1783</v>
      </c>
    </row>
    <row r="8746" spans="1:12" x14ac:dyDescent="0.25">
      <c r="A8746">
        <v>1555803</v>
      </c>
      <c r="B8746">
        <v>1825981</v>
      </c>
      <c r="D8746">
        <v>0</v>
      </c>
      <c r="E8746" t="s">
        <v>54261</v>
      </c>
      <c r="F8746" t="s">
        <v>54262</v>
      </c>
      <c r="G8746" t="s">
        <v>54263</v>
      </c>
      <c r="H8746" t="e" vm="3754">
        <f>_FV(0,"011337121373741437")</f>
        <v>#VALUE!</v>
      </c>
      <c r="I8746" t="s">
        <v>54264</v>
      </c>
      <c r="J8746" t="s">
        <v>54265</v>
      </c>
      <c r="K8746" t="s">
        <v>54266</v>
      </c>
      <c r="L8746" t="s">
        <v>54260</v>
      </c>
    </row>
    <row r="8747" spans="1:12" x14ac:dyDescent="0.25">
      <c r="A8747">
        <v>1555803</v>
      </c>
      <c r="B8747">
        <v>1826318</v>
      </c>
      <c r="D8747">
        <v>0</v>
      </c>
      <c r="E8747" t="s">
        <v>54268</v>
      </c>
      <c r="F8747" t="s">
        <v>54269</v>
      </c>
      <c r="G8747" t="s">
        <v>54270</v>
      </c>
      <c r="H8747" t="e" vm="3755">
        <f>_FV(0,"04815100604635991")</f>
        <v>#VALUE!</v>
      </c>
      <c r="I8747" t="s">
        <v>54271</v>
      </c>
      <c r="J8747" t="s">
        <v>54272</v>
      </c>
      <c r="K8747" t="s">
        <v>54273</v>
      </c>
      <c r="L8747" t="s">
        <v>54267</v>
      </c>
    </row>
    <row r="8748" spans="1:12" x14ac:dyDescent="0.25">
      <c r="A8748">
        <v>1555803</v>
      </c>
      <c r="B8748">
        <v>1826329</v>
      </c>
      <c r="D8748">
        <v>0</v>
      </c>
      <c r="E8748" t="s">
        <v>54275</v>
      </c>
      <c r="F8748" t="s">
        <v>54276</v>
      </c>
      <c r="G8748" t="s">
        <v>54277</v>
      </c>
      <c r="H8748" t="e" vm="3756">
        <f>_FV(0,"05393904518339221")</f>
        <v>#VALUE!</v>
      </c>
      <c r="I8748" t="s">
        <v>54278</v>
      </c>
      <c r="J8748" t="s">
        <v>54279</v>
      </c>
      <c r="K8748" t="s">
        <v>54280</v>
      </c>
      <c r="L8748" t="s">
        <v>54274</v>
      </c>
    </row>
    <row r="8749" spans="1:12" x14ac:dyDescent="0.25">
      <c r="A8749">
        <v>109767</v>
      </c>
      <c r="B8749">
        <v>113916</v>
      </c>
      <c r="D8749" t="s">
        <v>330</v>
      </c>
      <c r="E8749" t="s">
        <v>54282</v>
      </c>
      <c r="F8749" t="s">
        <v>54283</v>
      </c>
      <c r="G8749" t="s">
        <v>54284</v>
      </c>
      <c r="H8749" t="s">
        <v>54285</v>
      </c>
      <c r="I8749" t="s">
        <v>54286</v>
      </c>
      <c r="J8749" t="s">
        <v>54287</v>
      </c>
      <c r="K8749" t="s">
        <v>54288</v>
      </c>
      <c r="L8749" t="s">
        <v>54281</v>
      </c>
    </row>
    <row r="8750" spans="1:12" x14ac:dyDescent="0.25">
      <c r="A8750">
        <v>1558481</v>
      </c>
      <c r="B8750">
        <v>1558489</v>
      </c>
      <c r="D8750">
        <v>0</v>
      </c>
      <c r="E8750" t="s">
        <v>54289</v>
      </c>
      <c r="F8750" t="s">
        <v>54290</v>
      </c>
      <c r="G8750" t="s">
        <v>54291</v>
      </c>
      <c r="H8750" t="e" vm="3757">
        <f>_FV(0,"006382288058788737")</f>
        <v>#VALUE!</v>
      </c>
      <c r="I8750" t="s">
        <v>54292</v>
      </c>
      <c r="J8750" t="s">
        <v>48204</v>
      </c>
      <c r="K8750" t="s">
        <v>54293</v>
      </c>
      <c r="L8750" t="s">
        <v>48199</v>
      </c>
    </row>
    <row r="8751" spans="1:12" x14ac:dyDescent="0.25">
      <c r="A8751">
        <v>1558481</v>
      </c>
      <c r="B8751">
        <v>1558500</v>
      </c>
      <c r="D8751">
        <v>0</v>
      </c>
      <c r="E8751" t="s">
        <v>54294</v>
      </c>
      <c r="F8751" t="s">
        <v>54295</v>
      </c>
      <c r="G8751" t="s">
        <v>54296</v>
      </c>
      <c r="H8751" t="s">
        <v>54297</v>
      </c>
      <c r="I8751" t="s">
        <v>54298</v>
      </c>
      <c r="J8751" t="s">
        <v>33528</v>
      </c>
      <c r="K8751" t="s">
        <v>54299</v>
      </c>
      <c r="L8751" t="s">
        <v>33528</v>
      </c>
    </row>
    <row r="8752" spans="1:12" x14ac:dyDescent="0.25">
      <c r="A8752">
        <v>1558489</v>
      </c>
      <c r="B8752">
        <v>1558500</v>
      </c>
      <c r="D8752">
        <v>0</v>
      </c>
      <c r="E8752" t="s">
        <v>54301</v>
      </c>
      <c r="F8752" t="s">
        <v>54302</v>
      </c>
      <c r="G8752" t="s">
        <v>54303</v>
      </c>
      <c r="H8752" t="e" vm="3758">
        <f>_FV(0,"09710153355176175")</f>
        <v>#VALUE!</v>
      </c>
      <c r="I8752" t="s">
        <v>54304</v>
      </c>
      <c r="J8752" t="s">
        <v>54305</v>
      </c>
      <c r="K8752" t="s">
        <v>54306</v>
      </c>
      <c r="L8752" t="s">
        <v>54300</v>
      </c>
    </row>
    <row r="8753" spans="1:12" x14ac:dyDescent="0.25">
      <c r="A8753">
        <v>1558489</v>
      </c>
      <c r="B8753">
        <v>1558513</v>
      </c>
      <c r="D8753">
        <v>0</v>
      </c>
      <c r="E8753" t="s">
        <v>54308</v>
      </c>
      <c r="F8753" t="s">
        <v>54309</v>
      </c>
      <c r="G8753" t="s">
        <v>54310</v>
      </c>
      <c r="H8753" t="s">
        <v>54311</v>
      </c>
      <c r="I8753" t="s">
        <v>54312</v>
      </c>
      <c r="J8753" t="s">
        <v>54313</v>
      </c>
      <c r="K8753" t="s">
        <v>54314</v>
      </c>
      <c r="L8753" t="s">
        <v>54307</v>
      </c>
    </row>
    <row r="8754" spans="1:12" x14ac:dyDescent="0.25">
      <c r="A8754">
        <v>1558500</v>
      </c>
      <c r="B8754">
        <v>1558527</v>
      </c>
      <c r="D8754">
        <v>0</v>
      </c>
      <c r="E8754" t="s">
        <v>54316</v>
      </c>
      <c r="F8754" t="s">
        <v>54317</v>
      </c>
      <c r="G8754" t="s">
        <v>54318</v>
      </c>
      <c r="H8754" t="e" vm="3759">
        <f>_FV(0,"031627295829111016")</f>
        <v>#VALUE!</v>
      </c>
      <c r="I8754" t="s">
        <v>54319</v>
      </c>
      <c r="J8754" t="s">
        <v>54320</v>
      </c>
      <c r="K8754" t="s">
        <v>54321</v>
      </c>
      <c r="L8754" t="s">
        <v>54315</v>
      </c>
    </row>
    <row r="8755" spans="1:12" x14ac:dyDescent="0.25">
      <c r="A8755">
        <v>1558508</v>
      </c>
      <c r="B8755">
        <v>1558513</v>
      </c>
      <c r="D8755">
        <v>0</v>
      </c>
      <c r="E8755" t="s">
        <v>54323</v>
      </c>
      <c r="F8755" t="s">
        <v>54324</v>
      </c>
      <c r="G8755" t="s">
        <v>54325</v>
      </c>
      <c r="H8755" t="s">
        <v>54326</v>
      </c>
      <c r="I8755" t="s">
        <v>54327</v>
      </c>
      <c r="J8755" t="s">
        <v>54322</v>
      </c>
      <c r="K8755" t="s">
        <v>54328</v>
      </c>
      <c r="L8755" t="s">
        <v>54322</v>
      </c>
    </row>
    <row r="8756" spans="1:12" x14ac:dyDescent="0.25">
      <c r="A8756">
        <v>1558508</v>
      </c>
      <c r="B8756">
        <v>1558527</v>
      </c>
      <c r="D8756">
        <v>0</v>
      </c>
      <c r="E8756" t="s">
        <v>54329</v>
      </c>
      <c r="F8756" t="s">
        <v>54330</v>
      </c>
      <c r="G8756" t="s">
        <v>54331</v>
      </c>
      <c r="H8756" t="s">
        <v>54332</v>
      </c>
      <c r="I8756" t="s">
        <v>54333</v>
      </c>
      <c r="J8756" t="s">
        <v>18248</v>
      </c>
      <c r="K8756" t="s">
        <v>54334</v>
      </c>
      <c r="L8756" t="s">
        <v>18248</v>
      </c>
    </row>
    <row r="8757" spans="1:12" x14ac:dyDescent="0.25">
      <c r="A8757">
        <v>1558513</v>
      </c>
      <c r="B8757">
        <v>1558527</v>
      </c>
      <c r="D8757">
        <v>0</v>
      </c>
      <c r="E8757" t="s">
        <v>54336</v>
      </c>
      <c r="F8757" t="s">
        <v>54337</v>
      </c>
      <c r="G8757" t="s">
        <v>54338</v>
      </c>
      <c r="H8757" t="s">
        <v>54339</v>
      </c>
      <c r="I8757" t="s">
        <v>54340</v>
      </c>
      <c r="J8757" t="s">
        <v>54335</v>
      </c>
      <c r="K8757" t="s">
        <v>54341</v>
      </c>
      <c r="L8757" t="s">
        <v>54335</v>
      </c>
    </row>
    <row r="8758" spans="1:12" x14ac:dyDescent="0.25">
      <c r="A8758">
        <v>1561941</v>
      </c>
      <c r="B8758">
        <v>1561951</v>
      </c>
      <c r="D8758">
        <v>0</v>
      </c>
      <c r="E8758" t="s">
        <v>54343</v>
      </c>
      <c r="F8758" t="s">
        <v>54344</v>
      </c>
      <c r="G8758" t="s">
        <v>54345</v>
      </c>
      <c r="H8758" t="s">
        <v>54346</v>
      </c>
      <c r="I8758" t="s">
        <v>54347</v>
      </c>
      <c r="J8758" t="s">
        <v>54342</v>
      </c>
      <c r="K8758" t="s">
        <v>54348</v>
      </c>
      <c r="L8758" t="s">
        <v>54342</v>
      </c>
    </row>
    <row r="8759" spans="1:12" x14ac:dyDescent="0.25">
      <c r="A8759">
        <v>1561941</v>
      </c>
      <c r="B8759">
        <v>1561984</v>
      </c>
      <c r="D8759">
        <v>0</v>
      </c>
      <c r="E8759" t="s">
        <v>54350</v>
      </c>
      <c r="F8759" t="s">
        <v>54351</v>
      </c>
      <c r="G8759" t="s">
        <v>54352</v>
      </c>
      <c r="H8759" t="e" vm="3760">
        <f>_FV(0,"01569842188965657")</f>
        <v>#VALUE!</v>
      </c>
      <c r="I8759" t="s">
        <v>54353</v>
      </c>
      <c r="J8759" t="s">
        <v>682</v>
      </c>
      <c r="K8759" t="s">
        <v>54354</v>
      </c>
      <c r="L8759" t="s">
        <v>54349</v>
      </c>
    </row>
    <row r="8760" spans="1:12" x14ac:dyDescent="0.25">
      <c r="A8760">
        <v>1561951</v>
      </c>
      <c r="B8760">
        <v>1561984</v>
      </c>
      <c r="D8760">
        <v>0</v>
      </c>
      <c r="E8760" t="s">
        <v>54356</v>
      </c>
      <c r="F8760" t="s">
        <v>54357</v>
      </c>
      <c r="G8760" t="s">
        <v>54358</v>
      </c>
      <c r="H8760" t="e" vm="3761">
        <f>_FV(0,"03876130075207164")</f>
        <v>#VALUE!</v>
      </c>
      <c r="I8760" t="s">
        <v>54359</v>
      </c>
      <c r="J8760" t="s">
        <v>54360</v>
      </c>
      <c r="K8760" t="s">
        <v>54361</v>
      </c>
      <c r="L8760" t="s">
        <v>54355</v>
      </c>
    </row>
    <row r="8761" spans="1:12" x14ac:dyDescent="0.25">
      <c r="A8761">
        <v>1561984</v>
      </c>
      <c r="B8761">
        <v>1561996</v>
      </c>
      <c r="D8761">
        <v>0</v>
      </c>
      <c r="E8761" t="s">
        <v>54363</v>
      </c>
      <c r="F8761" t="s">
        <v>54364</v>
      </c>
      <c r="G8761" t="s">
        <v>54365</v>
      </c>
      <c r="H8761" t="e" vm="3762">
        <f>_FV(0,"02995064070279495")</f>
        <v>#VALUE!</v>
      </c>
      <c r="I8761" t="s">
        <v>54366</v>
      </c>
      <c r="J8761" t="s">
        <v>54367</v>
      </c>
      <c r="K8761" t="s">
        <v>54368</v>
      </c>
      <c r="L8761" t="s">
        <v>54362</v>
      </c>
    </row>
    <row r="8762" spans="1:12" x14ac:dyDescent="0.25">
      <c r="A8762">
        <v>1561996</v>
      </c>
      <c r="B8762">
        <v>1562057</v>
      </c>
      <c r="D8762">
        <v>0</v>
      </c>
      <c r="E8762" t="s">
        <v>54370</v>
      </c>
      <c r="F8762" t="s">
        <v>54371</v>
      </c>
      <c r="G8762" t="s">
        <v>54372</v>
      </c>
      <c r="H8762" t="e" vm="3763">
        <f>_FV(0,"018730106221504353")</f>
        <v>#VALUE!</v>
      </c>
      <c r="I8762" t="s">
        <v>54373</v>
      </c>
      <c r="J8762" t="s">
        <v>54374</v>
      </c>
      <c r="K8762" t="s">
        <v>54375</v>
      </c>
      <c r="L8762" t="s">
        <v>54369</v>
      </c>
    </row>
    <row r="8763" spans="1:12" x14ac:dyDescent="0.25">
      <c r="A8763">
        <v>1561996</v>
      </c>
      <c r="B8763">
        <v>1562066</v>
      </c>
      <c r="D8763">
        <v>0</v>
      </c>
      <c r="E8763" t="s">
        <v>54377</v>
      </c>
      <c r="F8763" t="s">
        <v>54378</v>
      </c>
      <c r="G8763" t="s">
        <v>54379</v>
      </c>
      <c r="H8763" t="e" vm="3764">
        <f>_FV(0,"026207353093538707")</f>
        <v>#VALUE!</v>
      </c>
      <c r="I8763" t="s">
        <v>54380</v>
      </c>
      <c r="J8763" t="s">
        <v>54381</v>
      </c>
      <c r="K8763" t="s">
        <v>54382</v>
      </c>
      <c r="L8763" t="s">
        <v>54376</v>
      </c>
    </row>
    <row r="8764" spans="1:12" x14ac:dyDescent="0.25">
      <c r="A8764">
        <v>1562057</v>
      </c>
      <c r="B8764">
        <v>1562066</v>
      </c>
      <c r="D8764">
        <v>0</v>
      </c>
      <c r="E8764" t="s">
        <v>54384</v>
      </c>
      <c r="F8764" t="s">
        <v>54385</v>
      </c>
      <c r="G8764" t="s">
        <v>54386</v>
      </c>
      <c r="H8764" t="e" vm="3765">
        <f>_FV(0,"015669599180873767")</f>
        <v>#VALUE!</v>
      </c>
      <c r="I8764" t="s">
        <v>54387</v>
      </c>
      <c r="J8764" t="s">
        <v>54388</v>
      </c>
      <c r="K8764" t="s">
        <v>54389</v>
      </c>
      <c r="L8764" t="s">
        <v>54383</v>
      </c>
    </row>
    <row r="8765" spans="1:12" x14ac:dyDescent="0.25">
      <c r="A8765">
        <v>1562057</v>
      </c>
      <c r="B8765">
        <v>1562218</v>
      </c>
      <c r="D8765">
        <v>0</v>
      </c>
      <c r="F8765">
        <v>1770021</v>
      </c>
      <c r="G8765">
        <v>1562057</v>
      </c>
      <c r="H8765" t="s">
        <v>6474</v>
      </c>
      <c r="I8765">
        <v>1562218</v>
      </c>
      <c r="J8765" t="s">
        <v>6474</v>
      </c>
      <c r="K8765" t="s">
        <v>54390</v>
      </c>
      <c r="L8765" t="s">
        <v>6474</v>
      </c>
    </row>
    <row r="8766" spans="1:12" x14ac:dyDescent="0.25">
      <c r="A8766">
        <v>1562066</v>
      </c>
      <c r="B8766">
        <v>1562218</v>
      </c>
      <c r="D8766">
        <v>0</v>
      </c>
      <c r="E8766" t="s">
        <v>54392</v>
      </c>
      <c r="F8766" t="s">
        <v>54393</v>
      </c>
      <c r="G8766" t="s">
        <v>54394</v>
      </c>
      <c r="H8766" t="e" vm="3766">
        <f>_FV(0,"0015190703923089193")</f>
        <v>#VALUE!</v>
      </c>
      <c r="I8766" t="s">
        <v>54395</v>
      </c>
      <c r="J8766" t="s">
        <v>54396</v>
      </c>
      <c r="K8766" t="s">
        <v>54397</v>
      </c>
      <c r="L8766" t="s">
        <v>54391</v>
      </c>
    </row>
    <row r="8767" spans="1:12" x14ac:dyDescent="0.25">
      <c r="A8767">
        <v>1562156</v>
      </c>
      <c r="B8767">
        <v>1562177</v>
      </c>
      <c r="D8767">
        <v>0</v>
      </c>
      <c r="E8767" t="s">
        <v>54399</v>
      </c>
      <c r="F8767" t="s">
        <v>54400</v>
      </c>
      <c r="G8767" t="s">
        <v>54401</v>
      </c>
      <c r="H8767" t="s">
        <v>54402</v>
      </c>
      <c r="I8767" t="s">
        <v>54403</v>
      </c>
      <c r="J8767" t="s">
        <v>54398</v>
      </c>
      <c r="K8767" t="s">
        <v>54404</v>
      </c>
      <c r="L8767" t="s">
        <v>54398</v>
      </c>
    </row>
    <row r="8768" spans="1:12" x14ac:dyDescent="0.25">
      <c r="A8768">
        <v>1566940</v>
      </c>
      <c r="B8768">
        <v>1566973</v>
      </c>
      <c r="D8768">
        <v>0</v>
      </c>
      <c r="E8768" t="s">
        <v>54406</v>
      </c>
      <c r="F8768" t="s">
        <v>54407</v>
      </c>
      <c r="G8768" t="s">
        <v>54408</v>
      </c>
      <c r="H8768" t="s">
        <v>54409</v>
      </c>
      <c r="I8768" t="s">
        <v>54410</v>
      </c>
      <c r="J8768" t="s">
        <v>54405</v>
      </c>
      <c r="K8768" t="s">
        <v>54411</v>
      </c>
      <c r="L8768" t="s">
        <v>54405</v>
      </c>
    </row>
    <row r="8769" spans="1:12" x14ac:dyDescent="0.25">
      <c r="A8769">
        <v>1566940</v>
      </c>
      <c r="B8769">
        <v>1566973</v>
      </c>
      <c r="D8769">
        <v>0</v>
      </c>
      <c r="E8769" t="s">
        <v>54413</v>
      </c>
      <c r="F8769" t="s">
        <v>54414</v>
      </c>
      <c r="G8769" t="s">
        <v>54415</v>
      </c>
      <c r="H8769" t="s">
        <v>54416</v>
      </c>
      <c r="I8769" t="s">
        <v>54417</v>
      </c>
      <c r="J8769" t="s">
        <v>54412</v>
      </c>
      <c r="K8769" t="s">
        <v>54418</v>
      </c>
      <c r="L8769" t="s">
        <v>54412</v>
      </c>
    </row>
    <row r="8770" spans="1:12" x14ac:dyDescent="0.25">
      <c r="A8770">
        <v>1566940</v>
      </c>
      <c r="B8770">
        <v>1808626</v>
      </c>
      <c r="D8770">
        <v>0</v>
      </c>
      <c r="F8770">
        <v>2088471</v>
      </c>
      <c r="G8770">
        <v>1566940</v>
      </c>
      <c r="H8770" t="s">
        <v>697</v>
      </c>
      <c r="I8770">
        <v>1808626</v>
      </c>
      <c r="J8770" t="s">
        <v>697</v>
      </c>
      <c r="K8770" t="s">
        <v>54419</v>
      </c>
      <c r="L8770" t="s">
        <v>697</v>
      </c>
    </row>
    <row r="8771" spans="1:12" x14ac:dyDescent="0.25">
      <c r="A8771">
        <v>1567587</v>
      </c>
      <c r="B8771">
        <v>1567594</v>
      </c>
      <c r="D8771">
        <v>0</v>
      </c>
      <c r="E8771" t="s">
        <v>54421</v>
      </c>
      <c r="F8771" t="s">
        <v>54422</v>
      </c>
      <c r="G8771" t="s">
        <v>54423</v>
      </c>
      <c r="H8771" t="e" vm="3767">
        <f>_FV(0,"020766248762345833")</f>
        <v>#VALUE!</v>
      </c>
      <c r="I8771" t="s">
        <v>54424</v>
      </c>
      <c r="J8771" t="s">
        <v>54425</v>
      </c>
      <c r="K8771" t="s">
        <v>54426</v>
      </c>
      <c r="L8771" t="s">
        <v>54420</v>
      </c>
    </row>
    <row r="8772" spans="1:12" x14ac:dyDescent="0.25">
      <c r="A8772">
        <v>1567587</v>
      </c>
      <c r="B8772">
        <v>1567594</v>
      </c>
      <c r="D8772">
        <v>0</v>
      </c>
      <c r="E8772" t="s">
        <v>54428</v>
      </c>
      <c r="F8772" t="s">
        <v>54429</v>
      </c>
      <c r="G8772" t="s">
        <v>54430</v>
      </c>
      <c r="H8772" t="e" vm="3768">
        <f>_FV(0,"019786905209441156")</f>
        <v>#VALUE!</v>
      </c>
      <c r="I8772" t="s">
        <v>54431</v>
      </c>
      <c r="J8772" t="s">
        <v>54432</v>
      </c>
      <c r="K8772" t="s">
        <v>54433</v>
      </c>
      <c r="L8772" t="s">
        <v>54427</v>
      </c>
    </row>
    <row r="8773" spans="1:12" x14ac:dyDescent="0.25">
      <c r="A8773">
        <v>1569101</v>
      </c>
      <c r="B8773">
        <v>1569293</v>
      </c>
      <c r="D8773">
        <v>0</v>
      </c>
      <c r="F8773">
        <v>1779146</v>
      </c>
      <c r="G8773">
        <v>1569101</v>
      </c>
      <c r="H8773" t="e" vm="1006">
        <f>_FV(0,"006")</f>
        <v>#VALUE!</v>
      </c>
      <c r="I8773">
        <v>1569293</v>
      </c>
      <c r="J8773" t="s">
        <v>250</v>
      </c>
      <c r="K8773" t="s">
        <v>54434</v>
      </c>
      <c r="L8773" t="e" vm="1006">
        <f>_FV(0,"006")</f>
        <v>#VALUE!</v>
      </c>
    </row>
    <row r="8774" spans="1:12" x14ac:dyDescent="0.25">
      <c r="A8774">
        <v>1569267</v>
      </c>
      <c r="B8774">
        <v>1569293</v>
      </c>
      <c r="D8774">
        <v>0</v>
      </c>
      <c r="E8774" t="s">
        <v>54436</v>
      </c>
      <c r="F8774" t="s">
        <v>54437</v>
      </c>
      <c r="G8774" t="s">
        <v>54438</v>
      </c>
      <c r="H8774" t="s">
        <v>54439</v>
      </c>
      <c r="I8774" t="s">
        <v>54440</v>
      </c>
      <c r="J8774" t="s">
        <v>54441</v>
      </c>
      <c r="K8774" t="s">
        <v>54442</v>
      </c>
      <c r="L8774" t="s">
        <v>54435</v>
      </c>
    </row>
    <row r="8775" spans="1:12" x14ac:dyDescent="0.25">
      <c r="A8775">
        <v>1570377</v>
      </c>
      <c r="B8775">
        <v>1570410</v>
      </c>
      <c r="D8775">
        <v>0</v>
      </c>
      <c r="E8775" t="s">
        <v>54444</v>
      </c>
      <c r="F8775" t="s">
        <v>54445</v>
      </c>
      <c r="G8775" t="s">
        <v>54446</v>
      </c>
      <c r="H8775" t="e" vm="3769">
        <f>_FV(0,"05443968596334749")</f>
        <v>#VALUE!</v>
      </c>
      <c r="I8775" t="s">
        <v>54447</v>
      </c>
      <c r="J8775" t="s">
        <v>54448</v>
      </c>
      <c r="K8775" t="s">
        <v>54449</v>
      </c>
      <c r="L8775" t="s">
        <v>54443</v>
      </c>
    </row>
    <row r="8776" spans="1:12" x14ac:dyDescent="0.25">
      <c r="A8776">
        <v>1570377</v>
      </c>
      <c r="B8776">
        <v>1570410</v>
      </c>
      <c r="D8776">
        <v>0</v>
      </c>
      <c r="E8776" t="s">
        <v>54451</v>
      </c>
      <c r="F8776" t="s">
        <v>54452</v>
      </c>
      <c r="G8776" t="s">
        <v>54453</v>
      </c>
      <c r="H8776" t="e" vm="3770">
        <f>_FV(0,"05447731779121306")</f>
        <v>#VALUE!</v>
      </c>
      <c r="I8776" t="s">
        <v>54454</v>
      </c>
      <c r="J8776" t="s">
        <v>54455</v>
      </c>
      <c r="K8776" t="s">
        <v>54456</v>
      </c>
      <c r="L8776" t="s">
        <v>54450</v>
      </c>
    </row>
    <row r="8777" spans="1:12" x14ac:dyDescent="0.25">
      <c r="A8777">
        <v>1570410</v>
      </c>
      <c r="B8777">
        <v>1808622</v>
      </c>
      <c r="D8777">
        <v>0</v>
      </c>
      <c r="F8777">
        <v>2088455</v>
      </c>
      <c r="G8777">
        <v>1808622</v>
      </c>
      <c r="H8777" t="e" vm="59">
        <f>_FV(0,"014")</f>
        <v>#VALUE!</v>
      </c>
      <c r="I8777">
        <v>1570410</v>
      </c>
      <c r="J8777" t="s">
        <v>922</v>
      </c>
      <c r="K8777" t="s">
        <v>54457</v>
      </c>
      <c r="L8777" t="e" vm="59">
        <f>_FV(0,"014")</f>
        <v>#VALUE!</v>
      </c>
    </row>
    <row r="8778" spans="1:12" x14ac:dyDescent="0.25">
      <c r="A8778">
        <v>1571099</v>
      </c>
      <c r="B8778">
        <v>1571197</v>
      </c>
      <c r="D8778">
        <v>0</v>
      </c>
      <c r="F8778">
        <v>1781341</v>
      </c>
      <c r="G8778">
        <v>1571197</v>
      </c>
      <c r="H8778" t="s">
        <v>3317</v>
      </c>
      <c r="I8778">
        <v>1571099</v>
      </c>
      <c r="J8778" t="s">
        <v>3317</v>
      </c>
      <c r="K8778" t="s">
        <v>54458</v>
      </c>
      <c r="L8778" t="s">
        <v>3317</v>
      </c>
    </row>
    <row r="8779" spans="1:12" x14ac:dyDescent="0.25">
      <c r="A8779">
        <v>1571099</v>
      </c>
      <c r="B8779">
        <v>1571111</v>
      </c>
      <c r="D8779">
        <v>0</v>
      </c>
      <c r="E8779" t="s">
        <v>54460</v>
      </c>
      <c r="F8779" t="s">
        <v>54461</v>
      </c>
      <c r="G8779" t="s">
        <v>54462</v>
      </c>
      <c r="H8779" t="e" vm="3771">
        <f>_FV(0,"06290806566922279")</f>
        <v>#VALUE!</v>
      </c>
      <c r="I8779" t="s">
        <v>54463</v>
      </c>
      <c r="J8779" t="s">
        <v>54464</v>
      </c>
      <c r="K8779" t="s">
        <v>54465</v>
      </c>
      <c r="L8779" t="s">
        <v>54459</v>
      </c>
    </row>
    <row r="8780" spans="1:12" x14ac:dyDescent="0.25">
      <c r="A8780">
        <v>1571111</v>
      </c>
      <c r="B8780">
        <v>1571131</v>
      </c>
      <c r="D8780">
        <v>0</v>
      </c>
      <c r="E8780" t="s">
        <v>54467</v>
      </c>
      <c r="F8780" t="s">
        <v>54468</v>
      </c>
      <c r="G8780" t="s">
        <v>54469</v>
      </c>
      <c r="H8780" t="e" vm="3772">
        <f>_FV(0,"022666551074141193")</f>
        <v>#VALUE!</v>
      </c>
      <c r="I8780" t="s">
        <v>54470</v>
      </c>
      <c r="J8780" t="s">
        <v>54471</v>
      </c>
      <c r="K8780" t="s">
        <v>54472</v>
      </c>
      <c r="L8780" t="s">
        <v>54466</v>
      </c>
    </row>
    <row r="8781" spans="1:12" x14ac:dyDescent="0.25">
      <c r="A8781">
        <v>1571131</v>
      </c>
      <c r="B8781">
        <v>1571197</v>
      </c>
      <c r="D8781">
        <v>0</v>
      </c>
      <c r="E8781" t="s">
        <v>54474</v>
      </c>
      <c r="F8781" t="s">
        <v>54475</v>
      </c>
      <c r="G8781" t="s">
        <v>54476</v>
      </c>
      <c r="H8781" t="s">
        <v>54477</v>
      </c>
      <c r="I8781" t="s">
        <v>54478</v>
      </c>
      <c r="J8781" t="s">
        <v>54473</v>
      </c>
      <c r="K8781" t="s">
        <v>54479</v>
      </c>
      <c r="L8781" t="s">
        <v>54473</v>
      </c>
    </row>
    <row r="8782" spans="1:12" x14ac:dyDescent="0.25">
      <c r="A8782">
        <v>1571298</v>
      </c>
      <c r="B8782">
        <v>1571331</v>
      </c>
      <c r="D8782">
        <v>0</v>
      </c>
      <c r="E8782" t="s">
        <v>54481</v>
      </c>
      <c r="F8782" t="s">
        <v>54482</v>
      </c>
      <c r="G8782" t="s">
        <v>54483</v>
      </c>
      <c r="H8782" t="s">
        <v>54484</v>
      </c>
      <c r="I8782" t="s">
        <v>54485</v>
      </c>
      <c r="J8782" t="s">
        <v>54486</v>
      </c>
      <c r="K8782" t="s">
        <v>54487</v>
      </c>
      <c r="L8782" t="s">
        <v>54480</v>
      </c>
    </row>
    <row r="8783" spans="1:12" x14ac:dyDescent="0.25">
      <c r="A8783">
        <v>1571298</v>
      </c>
      <c r="B8783">
        <v>1571331</v>
      </c>
      <c r="D8783">
        <v>0</v>
      </c>
      <c r="E8783" t="s">
        <v>54489</v>
      </c>
      <c r="F8783" t="s">
        <v>54490</v>
      </c>
      <c r="G8783" t="s">
        <v>54491</v>
      </c>
      <c r="H8783" t="s">
        <v>54492</v>
      </c>
      <c r="I8783" t="s">
        <v>54493</v>
      </c>
      <c r="J8783" t="s">
        <v>54488</v>
      </c>
      <c r="K8783" t="s">
        <v>54494</v>
      </c>
      <c r="L8783" t="s">
        <v>54488</v>
      </c>
    </row>
    <row r="8784" spans="1:12" x14ac:dyDescent="0.25">
      <c r="A8784">
        <v>1571835</v>
      </c>
      <c r="B8784">
        <v>1571858</v>
      </c>
      <c r="D8784">
        <v>0</v>
      </c>
      <c r="E8784" t="s">
        <v>54496</v>
      </c>
      <c r="F8784" t="s">
        <v>54497</v>
      </c>
      <c r="G8784" t="s">
        <v>54498</v>
      </c>
      <c r="H8784" t="e" vm="3773">
        <f>_FV(0,"02875835367199102")</f>
        <v>#VALUE!</v>
      </c>
      <c r="I8784" t="s">
        <v>54499</v>
      </c>
      <c r="J8784" t="s">
        <v>54500</v>
      </c>
      <c r="K8784" t="s">
        <v>54501</v>
      </c>
      <c r="L8784" t="s">
        <v>54495</v>
      </c>
    </row>
    <row r="8785" spans="1:12" x14ac:dyDescent="0.25">
      <c r="A8785">
        <v>1571835</v>
      </c>
      <c r="B8785">
        <v>1571858</v>
      </c>
      <c r="D8785">
        <v>0</v>
      </c>
      <c r="E8785" t="s">
        <v>54503</v>
      </c>
      <c r="F8785" t="s">
        <v>54504</v>
      </c>
      <c r="G8785" t="s">
        <v>54505</v>
      </c>
      <c r="H8785" t="e" vm="3774">
        <f>_FV(0,"028383559965497303")</f>
        <v>#VALUE!</v>
      </c>
      <c r="I8785" t="s">
        <v>54506</v>
      </c>
      <c r="J8785" t="s">
        <v>54507</v>
      </c>
      <c r="K8785" t="s">
        <v>54508</v>
      </c>
      <c r="L8785" t="s">
        <v>54502</v>
      </c>
    </row>
    <row r="8786" spans="1:12" x14ac:dyDescent="0.25">
      <c r="A8786">
        <v>1571849</v>
      </c>
      <c r="B8786">
        <v>1571856</v>
      </c>
      <c r="D8786">
        <v>0</v>
      </c>
      <c r="E8786" t="s">
        <v>54510</v>
      </c>
      <c r="F8786" t="s">
        <v>54511</v>
      </c>
      <c r="G8786" t="s">
        <v>54512</v>
      </c>
      <c r="H8786" t="e" vm="3775">
        <f>_FV(0,"02713514707813729")</f>
        <v>#VALUE!</v>
      </c>
      <c r="I8786" t="s">
        <v>54513</v>
      </c>
      <c r="J8786" t="s">
        <v>54514</v>
      </c>
      <c r="K8786" t="s">
        <v>54515</v>
      </c>
      <c r="L8786" t="s">
        <v>54509</v>
      </c>
    </row>
    <row r="8787" spans="1:12" x14ac:dyDescent="0.25">
      <c r="A8787">
        <v>1571856</v>
      </c>
      <c r="B8787">
        <v>1571895</v>
      </c>
      <c r="D8787">
        <v>0</v>
      </c>
      <c r="E8787" t="s">
        <v>54517</v>
      </c>
      <c r="F8787" t="s">
        <v>54518</v>
      </c>
      <c r="G8787" t="s">
        <v>54519</v>
      </c>
      <c r="H8787" t="s">
        <v>54520</v>
      </c>
      <c r="I8787" t="s">
        <v>54521</v>
      </c>
      <c r="J8787" t="s">
        <v>54516</v>
      </c>
      <c r="K8787" t="s">
        <v>54522</v>
      </c>
      <c r="L8787" t="s">
        <v>54516</v>
      </c>
    </row>
    <row r="8788" spans="1:12" x14ac:dyDescent="0.25">
      <c r="A8788">
        <v>1571856</v>
      </c>
      <c r="B8788">
        <v>1571882</v>
      </c>
      <c r="D8788">
        <v>0</v>
      </c>
      <c r="E8788" t="s">
        <v>54523</v>
      </c>
      <c r="F8788" t="s">
        <v>54524</v>
      </c>
      <c r="G8788" t="s">
        <v>54525</v>
      </c>
      <c r="H8788" t="e" vm="3776">
        <f>_FV(0,"018899642558599068")</f>
        <v>#VALUE!</v>
      </c>
      <c r="I8788" t="s">
        <v>54526</v>
      </c>
      <c r="J8788" t="s">
        <v>20796</v>
      </c>
      <c r="K8788" t="s">
        <v>54527</v>
      </c>
      <c r="L8788" t="s">
        <v>20791</v>
      </c>
    </row>
    <row r="8789" spans="1:12" x14ac:dyDescent="0.25">
      <c r="A8789">
        <v>1571863</v>
      </c>
      <c r="B8789">
        <v>1571882</v>
      </c>
      <c r="D8789">
        <v>0</v>
      </c>
      <c r="E8789" t="s">
        <v>54529</v>
      </c>
      <c r="F8789" t="s">
        <v>54530</v>
      </c>
      <c r="G8789" t="s">
        <v>54531</v>
      </c>
      <c r="H8789" t="e" vm="3777">
        <f>_FV(0,"0011036260634186004")</f>
        <v>#VALUE!</v>
      </c>
      <c r="I8789" t="s">
        <v>54532</v>
      </c>
      <c r="J8789" t="s">
        <v>54533</v>
      </c>
      <c r="K8789" t="s">
        <v>54534</v>
      </c>
      <c r="L8789" t="s">
        <v>54528</v>
      </c>
    </row>
    <row r="8790" spans="1:12" x14ac:dyDescent="0.25">
      <c r="A8790">
        <v>1571863</v>
      </c>
      <c r="B8790">
        <v>1571968</v>
      </c>
      <c r="D8790">
        <v>0</v>
      </c>
      <c r="E8790" t="s">
        <v>54536</v>
      </c>
      <c r="F8790" t="s">
        <v>54537</v>
      </c>
      <c r="G8790" t="s">
        <v>54538</v>
      </c>
      <c r="H8790" t="s">
        <v>54539</v>
      </c>
      <c r="I8790" t="s">
        <v>54540</v>
      </c>
      <c r="J8790" t="s">
        <v>54535</v>
      </c>
      <c r="K8790" t="s">
        <v>54541</v>
      </c>
      <c r="L8790" t="s">
        <v>54535</v>
      </c>
    </row>
    <row r="8791" spans="1:12" x14ac:dyDescent="0.25">
      <c r="A8791">
        <v>1571863</v>
      </c>
      <c r="B8791">
        <v>1571923</v>
      </c>
      <c r="D8791">
        <v>0</v>
      </c>
      <c r="F8791">
        <v>1782125</v>
      </c>
      <c r="G8791">
        <v>1571863</v>
      </c>
      <c r="H8791" t="e" vm="3778">
        <f>_FV(0,"105")</f>
        <v>#VALUE!</v>
      </c>
      <c r="I8791">
        <v>1571923</v>
      </c>
      <c r="J8791" t="s">
        <v>28710</v>
      </c>
      <c r="K8791" t="s">
        <v>54542</v>
      </c>
      <c r="L8791" t="e" vm="3778">
        <f>_FV(0,"105")</f>
        <v>#VALUE!</v>
      </c>
    </row>
    <row r="8792" spans="1:12" x14ac:dyDescent="0.25">
      <c r="A8792">
        <v>1571882</v>
      </c>
      <c r="B8792">
        <v>1571895</v>
      </c>
      <c r="D8792">
        <v>0</v>
      </c>
      <c r="E8792" t="s">
        <v>54544</v>
      </c>
      <c r="F8792" t="s">
        <v>54545</v>
      </c>
      <c r="G8792" t="s">
        <v>54546</v>
      </c>
      <c r="H8792" t="s">
        <v>54547</v>
      </c>
      <c r="I8792" t="s">
        <v>54548</v>
      </c>
      <c r="J8792" t="s">
        <v>54543</v>
      </c>
      <c r="K8792" t="s">
        <v>54549</v>
      </c>
      <c r="L8792" t="s">
        <v>54543</v>
      </c>
    </row>
    <row r="8793" spans="1:12" x14ac:dyDescent="0.25">
      <c r="A8793">
        <v>1571895</v>
      </c>
      <c r="B8793">
        <v>1571923</v>
      </c>
      <c r="D8793">
        <v>0</v>
      </c>
      <c r="E8793" t="s">
        <v>54551</v>
      </c>
      <c r="F8793" t="s">
        <v>54552</v>
      </c>
      <c r="G8793" t="s">
        <v>54553</v>
      </c>
      <c r="H8793" t="e" vm="3779">
        <f>_FV(0,"0010682896642811189")</f>
        <v>#VALUE!</v>
      </c>
      <c r="I8793" t="s">
        <v>54554</v>
      </c>
      <c r="J8793" t="s">
        <v>54555</v>
      </c>
      <c r="K8793" t="s">
        <v>54556</v>
      </c>
      <c r="L8793" t="s">
        <v>54550</v>
      </c>
    </row>
    <row r="8794" spans="1:12" x14ac:dyDescent="0.25">
      <c r="A8794">
        <v>1571923</v>
      </c>
      <c r="B8794">
        <v>1571968</v>
      </c>
      <c r="D8794">
        <v>0</v>
      </c>
      <c r="E8794" t="s">
        <v>54558</v>
      </c>
      <c r="F8794" t="s">
        <v>54559</v>
      </c>
      <c r="G8794" t="s">
        <v>54560</v>
      </c>
      <c r="H8794" t="e" vm="3780">
        <f>_FV(0,"0253695364648914")</f>
        <v>#VALUE!</v>
      </c>
      <c r="I8794" t="s">
        <v>54561</v>
      </c>
      <c r="J8794" t="s">
        <v>54562</v>
      </c>
      <c r="K8794" t="s">
        <v>54563</v>
      </c>
      <c r="L8794" t="s">
        <v>54557</v>
      </c>
    </row>
    <row r="8795" spans="1:12" x14ac:dyDescent="0.25">
      <c r="A8795">
        <v>1572066</v>
      </c>
      <c r="B8795">
        <v>1572082</v>
      </c>
      <c r="D8795">
        <v>0</v>
      </c>
      <c r="E8795" t="s">
        <v>54565</v>
      </c>
      <c r="F8795" t="s">
        <v>54566</v>
      </c>
      <c r="G8795" t="s">
        <v>54567</v>
      </c>
      <c r="H8795" t="e" vm="3781">
        <f>_FV(0,"024837802236202636")</f>
        <v>#VALUE!</v>
      </c>
      <c r="I8795" t="s">
        <v>54568</v>
      </c>
      <c r="J8795" t="s">
        <v>54569</v>
      </c>
      <c r="K8795" t="s">
        <v>54570</v>
      </c>
      <c r="L8795" t="s">
        <v>54564</v>
      </c>
    </row>
    <row r="8796" spans="1:12" x14ac:dyDescent="0.25">
      <c r="A8796">
        <v>1572066</v>
      </c>
      <c r="B8796">
        <v>1572150</v>
      </c>
      <c r="D8796">
        <v>0</v>
      </c>
      <c r="E8796" t="s">
        <v>54572</v>
      </c>
      <c r="F8796" t="s">
        <v>54573</v>
      </c>
      <c r="G8796" t="s">
        <v>54574</v>
      </c>
      <c r="H8796" t="s">
        <v>54575</v>
      </c>
      <c r="I8796" t="s">
        <v>54576</v>
      </c>
      <c r="J8796" t="s">
        <v>54571</v>
      </c>
      <c r="K8796" t="s">
        <v>54577</v>
      </c>
      <c r="L8796" t="s">
        <v>54571</v>
      </c>
    </row>
    <row r="8797" spans="1:12" x14ac:dyDescent="0.25">
      <c r="A8797">
        <v>1572066</v>
      </c>
      <c r="B8797">
        <v>1572106</v>
      </c>
      <c r="D8797">
        <v>0</v>
      </c>
      <c r="E8797" t="s">
        <v>54579</v>
      </c>
      <c r="F8797" t="s">
        <v>54580</v>
      </c>
      <c r="G8797" t="s">
        <v>54581</v>
      </c>
      <c r="H8797" t="e" vm="3782">
        <f>_FV(0,"021481646362703964")</f>
        <v>#VALUE!</v>
      </c>
      <c r="I8797" t="s">
        <v>54582</v>
      </c>
      <c r="J8797" t="s">
        <v>8162</v>
      </c>
      <c r="K8797" t="s">
        <v>54583</v>
      </c>
      <c r="L8797" t="s">
        <v>54578</v>
      </c>
    </row>
    <row r="8798" spans="1:12" x14ac:dyDescent="0.25">
      <c r="A8798">
        <v>1572082</v>
      </c>
      <c r="B8798">
        <v>1854842</v>
      </c>
      <c r="C8798" t="s">
        <v>54584</v>
      </c>
      <c r="D8798">
        <v>0</v>
      </c>
      <c r="E8798" t="s">
        <v>54585</v>
      </c>
      <c r="H8798" t="s">
        <v>187</v>
      </c>
      <c r="J8798">
        <v>0</v>
      </c>
      <c r="K8798" t="s">
        <v>5297</v>
      </c>
      <c r="L8798">
        <v>0</v>
      </c>
    </row>
    <row r="8799" spans="1:12" x14ac:dyDescent="0.25">
      <c r="A8799">
        <v>1572082</v>
      </c>
      <c r="B8799">
        <v>1572106</v>
      </c>
      <c r="D8799">
        <v>0</v>
      </c>
      <c r="E8799" t="s">
        <v>54587</v>
      </c>
      <c r="F8799" t="s">
        <v>54588</v>
      </c>
      <c r="G8799" t="s">
        <v>54589</v>
      </c>
      <c r="H8799" t="e" vm="3783">
        <f>_FV(0,"03923650189279959")</f>
        <v>#VALUE!</v>
      </c>
      <c r="I8799" t="s">
        <v>54590</v>
      </c>
      <c r="J8799" t="s">
        <v>54591</v>
      </c>
      <c r="K8799" t="s">
        <v>54592</v>
      </c>
      <c r="L8799" t="s">
        <v>54586</v>
      </c>
    </row>
    <row r="8800" spans="1:12" x14ac:dyDescent="0.25">
      <c r="A8800">
        <v>1572106</v>
      </c>
      <c r="B8800">
        <v>1572138</v>
      </c>
      <c r="D8800">
        <v>0</v>
      </c>
      <c r="E8800" t="s">
        <v>54594</v>
      </c>
      <c r="F8800" t="s">
        <v>54595</v>
      </c>
      <c r="G8800" t="s">
        <v>54596</v>
      </c>
      <c r="H8800" t="e" vm="3784">
        <f>_FV(0,"028893777796158166")</f>
        <v>#VALUE!</v>
      </c>
      <c r="I8800" t="s">
        <v>54597</v>
      </c>
      <c r="J8800" t="s">
        <v>54598</v>
      </c>
      <c r="K8800" t="s">
        <v>54599</v>
      </c>
      <c r="L8800" t="s">
        <v>54593</v>
      </c>
    </row>
    <row r="8801" spans="1:12" x14ac:dyDescent="0.25">
      <c r="A8801">
        <v>1572128</v>
      </c>
      <c r="B8801">
        <v>1572138</v>
      </c>
      <c r="D8801">
        <v>0</v>
      </c>
      <c r="E8801" t="s">
        <v>54601</v>
      </c>
      <c r="F8801" t="s">
        <v>54602</v>
      </c>
      <c r="G8801" t="s">
        <v>54603</v>
      </c>
      <c r="H8801" t="e" vm="3785">
        <f>_FV(0,"026329320140541748")</f>
        <v>#VALUE!</v>
      </c>
      <c r="I8801" t="s">
        <v>54604</v>
      </c>
      <c r="J8801" t="s">
        <v>54605</v>
      </c>
      <c r="K8801" t="s">
        <v>54606</v>
      </c>
      <c r="L8801" t="s">
        <v>54600</v>
      </c>
    </row>
    <row r="8802" spans="1:12" x14ac:dyDescent="0.25">
      <c r="A8802">
        <v>1572128</v>
      </c>
      <c r="B8802">
        <v>1572150</v>
      </c>
      <c r="D8802">
        <v>0</v>
      </c>
      <c r="E8802" t="s">
        <v>54607</v>
      </c>
      <c r="F8802" t="s">
        <v>54608</v>
      </c>
      <c r="G8802" t="s">
        <v>54609</v>
      </c>
      <c r="H8802" t="e" vm="171">
        <f>_FV(0,"04")</f>
        <v>#VALUE!</v>
      </c>
      <c r="I8802" t="s">
        <v>54610</v>
      </c>
      <c r="J8802" t="s">
        <v>2674</v>
      </c>
      <c r="K8802" t="s">
        <v>54611</v>
      </c>
      <c r="L8802" t="e" vm="171">
        <f>_FV(0,"04")</f>
        <v>#VALUE!</v>
      </c>
    </row>
    <row r="8803" spans="1:12" x14ac:dyDescent="0.25">
      <c r="A8803">
        <v>1572138</v>
      </c>
      <c r="B8803">
        <v>1572150</v>
      </c>
      <c r="D8803">
        <v>0</v>
      </c>
      <c r="E8803" t="s">
        <v>54612</v>
      </c>
      <c r="F8803" t="s">
        <v>54613</v>
      </c>
      <c r="G8803" t="s">
        <v>54614</v>
      </c>
      <c r="H8803" t="s">
        <v>54615</v>
      </c>
      <c r="I8803" t="s">
        <v>54616</v>
      </c>
      <c r="J8803" t="s">
        <v>14021</v>
      </c>
      <c r="K8803" t="s">
        <v>54617</v>
      </c>
      <c r="L8803" t="s">
        <v>14021</v>
      </c>
    </row>
    <row r="8804" spans="1:12" x14ac:dyDescent="0.25">
      <c r="A8804">
        <v>1577151</v>
      </c>
      <c r="B8804">
        <v>1577178</v>
      </c>
      <c r="D8804">
        <v>0</v>
      </c>
      <c r="E8804" t="s">
        <v>54618</v>
      </c>
      <c r="F8804" t="s">
        <v>54619</v>
      </c>
      <c r="G8804" t="s">
        <v>54620</v>
      </c>
      <c r="H8804" t="e" vm="3786">
        <f>_FV(0,"00799965946750088")</f>
        <v>#VALUE!</v>
      </c>
      <c r="I8804" t="s">
        <v>54621</v>
      </c>
      <c r="J8804" t="s">
        <v>1685</v>
      </c>
      <c r="K8804" t="s">
        <v>54622</v>
      </c>
      <c r="L8804" t="s">
        <v>1680</v>
      </c>
    </row>
    <row r="8805" spans="1:12" x14ac:dyDescent="0.25">
      <c r="A8805">
        <v>1577642</v>
      </c>
      <c r="B8805">
        <v>1577652</v>
      </c>
      <c r="D8805">
        <v>0</v>
      </c>
      <c r="E8805" t="s">
        <v>54624</v>
      </c>
      <c r="F8805" t="s">
        <v>54625</v>
      </c>
      <c r="G8805" t="s">
        <v>54626</v>
      </c>
      <c r="H8805" t="e" vm="3787">
        <f>_FV(0,"03948808767705079")</f>
        <v>#VALUE!</v>
      </c>
      <c r="I8805" t="s">
        <v>54627</v>
      </c>
      <c r="J8805" t="s">
        <v>54628</v>
      </c>
      <c r="K8805" t="s">
        <v>54629</v>
      </c>
      <c r="L8805" t="s">
        <v>54623</v>
      </c>
    </row>
    <row r="8806" spans="1:12" x14ac:dyDescent="0.25">
      <c r="A8806">
        <v>1577652</v>
      </c>
      <c r="B8806">
        <v>1577710</v>
      </c>
      <c r="C8806" t="s">
        <v>54631</v>
      </c>
      <c r="D8806" t="s">
        <v>9879</v>
      </c>
      <c r="E8806" t="s">
        <v>54632</v>
      </c>
      <c r="F8806" t="s">
        <v>54633</v>
      </c>
      <c r="G8806" t="s">
        <v>54634</v>
      </c>
      <c r="H8806" t="e" vm="3788">
        <f>_FV(0,"003042021722650436")</f>
        <v>#VALUE!</v>
      </c>
      <c r="I8806" t="s">
        <v>54635</v>
      </c>
      <c r="J8806" t="s">
        <v>54636</v>
      </c>
      <c r="K8806" t="s">
        <v>54637</v>
      </c>
      <c r="L8806" t="s">
        <v>54630</v>
      </c>
    </row>
    <row r="8807" spans="1:12" x14ac:dyDescent="0.25">
      <c r="A8807">
        <v>1581675</v>
      </c>
      <c r="B8807">
        <v>1178154</v>
      </c>
      <c r="D8807">
        <v>0</v>
      </c>
      <c r="F8807">
        <v>2067811</v>
      </c>
      <c r="G8807">
        <v>1178154</v>
      </c>
      <c r="H8807" t="s">
        <v>40083</v>
      </c>
      <c r="I8807">
        <v>1581675</v>
      </c>
      <c r="J8807" t="s">
        <v>40083</v>
      </c>
      <c r="K8807" t="s">
        <v>54638</v>
      </c>
      <c r="L8807" t="s">
        <v>40083</v>
      </c>
    </row>
    <row r="8808" spans="1:12" x14ac:dyDescent="0.25">
      <c r="A8808">
        <v>1581675</v>
      </c>
      <c r="B8808">
        <v>1178154</v>
      </c>
      <c r="D8808">
        <v>0</v>
      </c>
      <c r="E8808" t="s">
        <v>54640</v>
      </c>
      <c r="F8808" t="s">
        <v>54641</v>
      </c>
      <c r="G8808" t="s">
        <v>54642</v>
      </c>
      <c r="H8808" t="s">
        <v>54643</v>
      </c>
      <c r="I8808" t="s">
        <v>54644</v>
      </c>
      <c r="J8808" t="s">
        <v>54645</v>
      </c>
      <c r="K8808" t="s">
        <v>54646</v>
      </c>
      <c r="L8808" t="s">
        <v>54639</v>
      </c>
    </row>
    <row r="8809" spans="1:12" x14ac:dyDescent="0.25">
      <c r="A8809">
        <v>1581675</v>
      </c>
      <c r="B8809">
        <v>1757294</v>
      </c>
      <c r="C8809" t="s">
        <v>54648</v>
      </c>
      <c r="D8809" t="s">
        <v>54649</v>
      </c>
      <c r="E8809" t="s">
        <v>54650</v>
      </c>
      <c r="F8809" t="s">
        <v>54651</v>
      </c>
      <c r="G8809" t="s">
        <v>54652</v>
      </c>
      <c r="H8809" t="e" vm="3789">
        <f>_FV(0,"009912036362517425")</f>
        <v>#VALUE!</v>
      </c>
      <c r="I8809" t="s">
        <v>54653</v>
      </c>
      <c r="J8809" t="s">
        <v>54654</v>
      </c>
      <c r="K8809" t="s">
        <v>54655</v>
      </c>
      <c r="L8809" t="s">
        <v>54647</v>
      </c>
    </row>
    <row r="8810" spans="1:12" x14ac:dyDescent="0.25">
      <c r="A8810">
        <v>1581707</v>
      </c>
      <c r="B8810">
        <v>1581732</v>
      </c>
      <c r="D8810">
        <v>0</v>
      </c>
      <c r="F8810">
        <v>2068556</v>
      </c>
      <c r="G8810">
        <v>1581732</v>
      </c>
      <c r="H8810" t="e" vm="3541">
        <f>_FV(0,"065")</f>
        <v>#VALUE!</v>
      </c>
      <c r="I8810">
        <v>1581707</v>
      </c>
      <c r="J8810" t="s">
        <v>288</v>
      </c>
      <c r="K8810" t="s">
        <v>54656</v>
      </c>
      <c r="L8810" t="e" vm="3541">
        <f>_FV(0,"065")</f>
        <v>#VALUE!</v>
      </c>
    </row>
    <row r="8811" spans="1:12" x14ac:dyDescent="0.25">
      <c r="A8811">
        <v>1581707</v>
      </c>
      <c r="B8811">
        <v>1581732</v>
      </c>
      <c r="D8811">
        <v>0</v>
      </c>
      <c r="E8811" t="s">
        <v>54658</v>
      </c>
      <c r="F8811" t="s">
        <v>54659</v>
      </c>
      <c r="G8811" t="s">
        <v>54660</v>
      </c>
      <c r="H8811" t="e" vm="3790">
        <f>_FV(0,"051147575064047136")</f>
        <v>#VALUE!</v>
      </c>
      <c r="I8811" t="s">
        <v>54661</v>
      </c>
      <c r="J8811" t="s">
        <v>54662</v>
      </c>
      <c r="K8811" t="s">
        <v>54663</v>
      </c>
      <c r="L8811" t="s">
        <v>54657</v>
      </c>
    </row>
    <row r="8812" spans="1:12" x14ac:dyDescent="0.25">
      <c r="A8812">
        <v>1583025</v>
      </c>
      <c r="B8812">
        <v>1583026</v>
      </c>
      <c r="D8812">
        <v>0</v>
      </c>
      <c r="F8812">
        <v>1794987</v>
      </c>
      <c r="G8812">
        <v>1583026</v>
      </c>
      <c r="H8812" t="e" vm="62">
        <f>_FV(0,"008")</f>
        <v>#VALUE!</v>
      </c>
      <c r="I8812">
        <v>1583025</v>
      </c>
      <c r="J8812" t="s">
        <v>241</v>
      </c>
      <c r="K8812" t="s">
        <v>54664</v>
      </c>
      <c r="L8812" t="e" vm="62">
        <f>_FV(0,"008")</f>
        <v>#VALUE!</v>
      </c>
    </row>
    <row r="8813" spans="1:12" x14ac:dyDescent="0.25">
      <c r="A8813">
        <v>1583025</v>
      </c>
      <c r="B8813">
        <v>1583060</v>
      </c>
      <c r="D8813">
        <v>0</v>
      </c>
      <c r="E8813" t="s">
        <v>54666</v>
      </c>
      <c r="F8813" t="s">
        <v>54667</v>
      </c>
      <c r="G8813" t="s">
        <v>54668</v>
      </c>
      <c r="H8813" t="e" vm="3791">
        <f>_FV(0,"0085603549253876")</f>
        <v>#VALUE!</v>
      </c>
      <c r="I8813" t="s">
        <v>54669</v>
      </c>
      <c r="J8813" t="s">
        <v>51502</v>
      </c>
      <c r="K8813" t="s">
        <v>54670</v>
      </c>
      <c r="L8813" t="s">
        <v>54665</v>
      </c>
    </row>
    <row r="8814" spans="1:12" x14ac:dyDescent="0.25">
      <c r="A8814">
        <v>1583025</v>
      </c>
      <c r="B8814">
        <v>1583217</v>
      </c>
      <c r="D8814">
        <v>0</v>
      </c>
      <c r="E8814" t="s">
        <v>54671</v>
      </c>
      <c r="F8814" t="s">
        <v>54672</v>
      </c>
      <c r="G8814" t="s">
        <v>54673</v>
      </c>
      <c r="H8814" t="e" vm="3792">
        <f>_FV(0,"007273211102380195")</f>
        <v>#VALUE!</v>
      </c>
      <c r="I8814" t="s">
        <v>54674</v>
      </c>
      <c r="J8814" t="s">
        <v>5579</v>
      </c>
      <c r="K8814" t="s">
        <v>54675</v>
      </c>
      <c r="L8814" t="s">
        <v>5574</v>
      </c>
    </row>
    <row r="8815" spans="1:12" x14ac:dyDescent="0.25">
      <c r="A8815">
        <v>1583026</v>
      </c>
      <c r="B8815">
        <v>1583052</v>
      </c>
      <c r="D8815">
        <v>0</v>
      </c>
      <c r="E8815" t="s">
        <v>54677</v>
      </c>
      <c r="F8815" t="s">
        <v>54678</v>
      </c>
      <c r="G8815" t="s">
        <v>54679</v>
      </c>
      <c r="H8815" t="s">
        <v>54680</v>
      </c>
      <c r="I8815" t="s">
        <v>54681</v>
      </c>
      <c r="J8815" t="s">
        <v>54682</v>
      </c>
      <c r="K8815" t="s">
        <v>54683</v>
      </c>
      <c r="L8815" t="s">
        <v>54676</v>
      </c>
    </row>
    <row r="8816" spans="1:12" x14ac:dyDescent="0.25">
      <c r="A8816">
        <v>1583026</v>
      </c>
      <c r="B8816">
        <v>1583770</v>
      </c>
      <c r="D8816" t="s">
        <v>7856</v>
      </c>
      <c r="E8816" t="s">
        <v>54685</v>
      </c>
      <c r="F8816" t="s">
        <v>54686</v>
      </c>
      <c r="G8816" t="s">
        <v>54687</v>
      </c>
      <c r="H8816" t="e" vm="3793">
        <f>_FV(0,"0016175667499424998")</f>
        <v>#VALUE!</v>
      </c>
      <c r="I8816" t="s">
        <v>54688</v>
      </c>
      <c r="J8816" t="s">
        <v>54689</v>
      </c>
      <c r="K8816" t="s">
        <v>54690</v>
      </c>
      <c r="L8816" t="s">
        <v>54684</v>
      </c>
    </row>
    <row r="8817" spans="1:12" x14ac:dyDescent="0.25">
      <c r="A8817">
        <v>1583052</v>
      </c>
      <c r="B8817">
        <v>1583060</v>
      </c>
      <c r="D8817">
        <v>0</v>
      </c>
      <c r="F8817">
        <v>1795027</v>
      </c>
      <c r="G8817">
        <v>1583060</v>
      </c>
      <c r="H8817" t="e" vm="87">
        <f>_FV(0,"001")</f>
        <v>#VALUE!</v>
      </c>
      <c r="I8817">
        <v>1583052</v>
      </c>
      <c r="J8817" t="s">
        <v>1333</v>
      </c>
      <c r="K8817" t="s">
        <v>54691</v>
      </c>
      <c r="L8817" t="e" vm="87">
        <f>_FV(0,"001")</f>
        <v>#VALUE!</v>
      </c>
    </row>
    <row r="8818" spans="1:12" x14ac:dyDescent="0.25">
      <c r="A8818">
        <v>1583052</v>
      </c>
      <c r="B8818">
        <v>1583736</v>
      </c>
      <c r="D8818">
        <v>0</v>
      </c>
      <c r="E8818" t="s">
        <v>54693</v>
      </c>
      <c r="F8818" t="s">
        <v>54694</v>
      </c>
      <c r="G8818" t="s">
        <v>54695</v>
      </c>
      <c r="H8818" t="s">
        <v>54696</v>
      </c>
      <c r="I8818" t="s">
        <v>54697</v>
      </c>
      <c r="J8818" t="s">
        <v>54692</v>
      </c>
      <c r="K8818" t="s">
        <v>54698</v>
      </c>
      <c r="L8818" t="s">
        <v>54692</v>
      </c>
    </row>
    <row r="8819" spans="1:12" x14ac:dyDescent="0.25">
      <c r="A8819">
        <v>1583060</v>
      </c>
      <c r="B8819">
        <v>1583217</v>
      </c>
      <c r="D8819">
        <v>0</v>
      </c>
      <c r="E8819" t="s">
        <v>54699</v>
      </c>
      <c r="F8819" t="s">
        <v>54700</v>
      </c>
      <c r="G8819" t="s">
        <v>54701</v>
      </c>
      <c r="H8819" t="e" vm="201">
        <f>_FV(0,"002")</f>
        <v>#VALUE!</v>
      </c>
      <c r="I8819" t="s">
        <v>54702</v>
      </c>
      <c r="J8819" t="s">
        <v>1534</v>
      </c>
      <c r="K8819" t="s">
        <v>54703</v>
      </c>
      <c r="L8819" t="e" vm="201">
        <f>_FV(0,"002")</f>
        <v>#VALUE!</v>
      </c>
    </row>
    <row r="8820" spans="1:12" x14ac:dyDescent="0.25">
      <c r="A8820">
        <v>1583083</v>
      </c>
      <c r="B8820">
        <v>1583089</v>
      </c>
      <c r="D8820">
        <v>0</v>
      </c>
      <c r="F8820">
        <v>1795060</v>
      </c>
      <c r="G8820">
        <v>1583089</v>
      </c>
      <c r="H8820" t="s">
        <v>1534</v>
      </c>
      <c r="I8820">
        <v>1583083</v>
      </c>
      <c r="J8820" t="s">
        <v>1534</v>
      </c>
      <c r="K8820" t="s">
        <v>54704</v>
      </c>
      <c r="L8820" t="s">
        <v>1534</v>
      </c>
    </row>
    <row r="8821" spans="1:12" x14ac:dyDescent="0.25">
      <c r="A8821">
        <v>1583083</v>
      </c>
      <c r="B8821">
        <v>1583762</v>
      </c>
      <c r="D8821" t="s">
        <v>2086</v>
      </c>
      <c r="E8821" t="s">
        <v>54706</v>
      </c>
      <c r="F8821" t="s">
        <v>54707</v>
      </c>
      <c r="G8821" t="s">
        <v>54708</v>
      </c>
      <c r="H8821" t="e" vm="3794">
        <f>_FV(0,"004132873704504614")</f>
        <v>#VALUE!</v>
      </c>
      <c r="I8821" t="s">
        <v>54709</v>
      </c>
      <c r="J8821" t="s">
        <v>54710</v>
      </c>
      <c r="K8821" t="s">
        <v>54711</v>
      </c>
      <c r="L8821" t="s">
        <v>54705</v>
      </c>
    </row>
    <row r="8822" spans="1:12" x14ac:dyDescent="0.25">
      <c r="A8822">
        <v>1583083</v>
      </c>
      <c r="B8822">
        <v>1583106</v>
      </c>
      <c r="D8822">
        <v>0</v>
      </c>
      <c r="E8822" t="s">
        <v>54713</v>
      </c>
      <c r="F8822" t="s">
        <v>54714</v>
      </c>
      <c r="G8822" t="s">
        <v>54715</v>
      </c>
      <c r="H8822" t="e" vm="3795">
        <f>_FV(0,"03048535499403088")</f>
        <v>#VALUE!</v>
      </c>
      <c r="I8822" t="s">
        <v>54716</v>
      </c>
      <c r="J8822" t="s">
        <v>54717</v>
      </c>
      <c r="K8822" t="s">
        <v>54718</v>
      </c>
      <c r="L8822" t="s">
        <v>54712</v>
      </c>
    </row>
    <row r="8823" spans="1:12" x14ac:dyDescent="0.25">
      <c r="A8823">
        <v>1583089</v>
      </c>
      <c r="B8823">
        <v>1583100</v>
      </c>
      <c r="D8823">
        <v>0</v>
      </c>
      <c r="E8823" t="s">
        <v>54720</v>
      </c>
      <c r="F8823" t="s">
        <v>54721</v>
      </c>
      <c r="G8823" t="s">
        <v>54722</v>
      </c>
      <c r="H8823" t="s">
        <v>54723</v>
      </c>
      <c r="I8823" t="s">
        <v>54724</v>
      </c>
      <c r="J8823" t="s">
        <v>54719</v>
      </c>
      <c r="K8823" t="s">
        <v>54725</v>
      </c>
      <c r="L8823" t="s">
        <v>54719</v>
      </c>
    </row>
    <row r="8824" spans="1:12" x14ac:dyDescent="0.25">
      <c r="A8824">
        <v>1583089</v>
      </c>
      <c r="B8824">
        <v>1583201</v>
      </c>
      <c r="D8824">
        <v>0</v>
      </c>
      <c r="E8824" t="s">
        <v>54727</v>
      </c>
      <c r="F8824" t="s">
        <v>54728</v>
      </c>
      <c r="G8824" t="s">
        <v>54729</v>
      </c>
      <c r="H8824" t="e" vm="3796">
        <f>_FV(0,"010067266440893652")</f>
        <v>#VALUE!</v>
      </c>
      <c r="I8824" t="s">
        <v>54730</v>
      </c>
      <c r="J8824" t="s">
        <v>27755</v>
      </c>
      <c r="K8824" t="s">
        <v>54731</v>
      </c>
      <c r="L8824" t="s">
        <v>54726</v>
      </c>
    </row>
    <row r="8825" spans="1:12" x14ac:dyDescent="0.25">
      <c r="A8825">
        <v>1583100</v>
      </c>
      <c r="B8825">
        <v>1583106</v>
      </c>
      <c r="D8825">
        <v>0</v>
      </c>
      <c r="F8825">
        <v>1795084</v>
      </c>
      <c r="G8825">
        <v>1583106</v>
      </c>
      <c r="H8825" t="s">
        <v>5410</v>
      </c>
      <c r="I8825">
        <v>1583100</v>
      </c>
      <c r="J8825" t="s">
        <v>5410</v>
      </c>
      <c r="K8825" t="s">
        <v>54732</v>
      </c>
      <c r="L8825" t="s">
        <v>5410</v>
      </c>
    </row>
    <row r="8826" spans="1:12" x14ac:dyDescent="0.25">
      <c r="A8826">
        <v>1583100</v>
      </c>
      <c r="B8826">
        <v>1583201</v>
      </c>
      <c r="D8826">
        <v>0</v>
      </c>
      <c r="E8826" t="s">
        <v>54734</v>
      </c>
      <c r="F8826" t="s">
        <v>54735</v>
      </c>
      <c r="G8826" t="s">
        <v>54736</v>
      </c>
      <c r="H8826" t="e" vm="3797">
        <f>_FV(0,"030519843585469074")</f>
        <v>#VALUE!</v>
      </c>
      <c r="I8826" t="s">
        <v>54737</v>
      </c>
      <c r="J8826" t="s">
        <v>54738</v>
      </c>
      <c r="K8826" t="s">
        <v>54739</v>
      </c>
      <c r="L8826" t="s">
        <v>54733</v>
      </c>
    </row>
    <row r="8827" spans="1:12" x14ac:dyDescent="0.25">
      <c r="A8827">
        <v>1583106</v>
      </c>
      <c r="B8827">
        <v>1583743</v>
      </c>
      <c r="D8827">
        <v>0</v>
      </c>
      <c r="E8827" t="s">
        <v>54741</v>
      </c>
      <c r="F8827" t="s">
        <v>54742</v>
      </c>
      <c r="G8827" t="s">
        <v>54743</v>
      </c>
      <c r="H8827" t="e" vm="3798">
        <f>_FV(0,"047067078725403")</f>
        <v>#VALUE!</v>
      </c>
      <c r="I8827" t="s">
        <v>54744</v>
      </c>
      <c r="J8827" t="s">
        <v>54745</v>
      </c>
      <c r="K8827" t="s">
        <v>54746</v>
      </c>
      <c r="L8827" t="s">
        <v>54740</v>
      </c>
    </row>
    <row r="8828" spans="1:12" x14ac:dyDescent="0.25">
      <c r="A8828">
        <v>1583201</v>
      </c>
      <c r="B8828">
        <v>1583217</v>
      </c>
      <c r="D8828" t="s">
        <v>514</v>
      </c>
      <c r="E8828" t="s">
        <v>54748</v>
      </c>
      <c r="F8828" t="s">
        <v>54749</v>
      </c>
      <c r="G8828" t="s">
        <v>54750</v>
      </c>
      <c r="H8828" t="e" vm="3799">
        <f>_FV(0,"013408650764259109")</f>
        <v>#VALUE!</v>
      </c>
      <c r="I8828" t="s">
        <v>54751</v>
      </c>
      <c r="J8828" t="s">
        <v>54752</v>
      </c>
      <c r="K8828" t="s">
        <v>54753</v>
      </c>
      <c r="L8828" t="s">
        <v>54747</v>
      </c>
    </row>
    <row r="8829" spans="1:12" x14ac:dyDescent="0.25">
      <c r="A8829">
        <v>1583718</v>
      </c>
      <c r="B8829">
        <v>1583790</v>
      </c>
      <c r="D8829">
        <v>0</v>
      </c>
      <c r="E8829" t="s">
        <v>54755</v>
      </c>
      <c r="F8829" t="s">
        <v>54756</v>
      </c>
      <c r="G8829" t="s">
        <v>54757</v>
      </c>
      <c r="H8829" t="e" vm="3800">
        <f>_FV(0,"01826182231488364")</f>
        <v>#VALUE!</v>
      </c>
      <c r="I8829" t="s">
        <v>54758</v>
      </c>
      <c r="J8829" t="s">
        <v>54759</v>
      </c>
      <c r="K8829" t="s">
        <v>54760</v>
      </c>
      <c r="L8829" t="s">
        <v>54754</v>
      </c>
    </row>
    <row r="8830" spans="1:12" x14ac:dyDescent="0.25">
      <c r="A8830">
        <v>1583727</v>
      </c>
      <c r="B8830">
        <v>1583780</v>
      </c>
      <c r="D8830">
        <v>0</v>
      </c>
      <c r="E8830" t="s">
        <v>54762</v>
      </c>
      <c r="F8830" t="s">
        <v>54763</v>
      </c>
      <c r="G8830" t="s">
        <v>54764</v>
      </c>
      <c r="H8830" t="e" vm="3801">
        <f>_FV(0,"007479228515584842")</f>
        <v>#VALUE!</v>
      </c>
      <c r="I8830" t="s">
        <v>54765</v>
      </c>
      <c r="J8830" t="s">
        <v>54766</v>
      </c>
      <c r="K8830" t="s">
        <v>54767</v>
      </c>
      <c r="L8830" t="s">
        <v>54761</v>
      </c>
    </row>
    <row r="8831" spans="1:12" x14ac:dyDescent="0.25">
      <c r="A8831">
        <v>1583727</v>
      </c>
      <c r="B8831">
        <v>1583743</v>
      </c>
      <c r="D8831" t="s">
        <v>2086</v>
      </c>
      <c r="E8831" t="s">
        <v>54769</v>
      </c>
      <c r="F8831" t="s">
        <v>54770</v>
      </c>
      <c r="G8831" t="s">
        <v>54771</v>
      </c>
      <c r="H8831" t="s">
        <v>54772</v>
      </c>
      <c r="I8831" t="s">
        <v>54773</v>
      </c>
      <c r="J8831" t="s">
        <v>54774</v>
      </c>
      <c r="K8831" t="s">
        <v>54775</v>
      </c>
      <c r="L8831" t="s">
        <v>54768</v>
      </c>
    </row>
    <row r="8832" spans="1:12" x14ac:dyDescent="0.25">
      <c r="A8832">
        <v>1583736</v>
      </c>
      <c r="B8832">
        <v>1583790</v>
      </c>
      <c r="D8832" t="s">
        <v>7856</v>
      </c>
      <c r="E8832" t="s">
        <v>54777</v>
      </c>
      <c r="F8832" t="s">
        <v>54778</v>
      </c>
      <c r="G8832" t="s">
        <v>54779</v>
      </c>
      <c r="H8832" t="s">
        <v>54780</v>
      </c>
      <c r="I8832" t="s">
        <v>54781</v>
      </c>
      <c r="J8832" t="s">
        <v>54782</v>
      </c>
      <c r="K8832" t="s">
        <v>54783</v>
      </c>
      <c r="L8832" t="s">
        <v>54776</v>
      </c>
    </row>
    <row r="8833" spans="1:12" x14ac:dyDescent="0.25">
      <c r="A8833">
        <v>1583736</v>
      </c>
      <c r="B8833">
        <v>1583770</v>
      </c>
      <c r="D8833" t="s">
        <v>514</v>
      </c>
      <c r="E8833" t="s">
        <v>54785</v>
      </c>
      <c r="F8833" t="s">
        <v>54786</v>
      </c>
      <c r="G8833" t="s">
        <v>54787</v>
      </c>
      <c r="H8833" t="s">
        <v>54788</v>
      </c>
      <c r="I8833" t="s">
        <v>54789</v>
      </c>
      <c r="J8833" t="s">
        <v>54790</v>
      </c>
      <c r="K8833" t="s">
        <v>54791</v>
      </c>
      <c r="L8833" t="s">
        <v>54784</v>
      </c>
    </row>
    <row r="8834" spans="1:12" x14ac:dyDescent="0.25">
      <c r="A8834">
        <v>1583743</v>
      </c>
      <c r="B8834">
        <v>1583762</v>
      </c>
      <c r="D8834" t="s">
        <v>204</v>
      </c>
      <c r="E8834" t="s">
        <v>54793</v>
      </c>
      <c r="F8834" t="s">
        <v>54794</v>
      </c>
      <c r="G8834" t="s">
        <v>54795</v>
      </c>
      <c r="H8834" t="s">
        <v>54796</v>
      </c>
      <c r="I8834" t="s">
        <v>54797</v>
      </c>
      <c r="J8834" t="s">
        <v>54798</v>
      </c>
      <c r="K8834" t="s">
        <v>54799</v>
      </c>
      <c r="L8834" t="s">
        <v>54792</v>
      </c>
    </row>
    <row r="8835" spans="1:12" x14ac:dyDescent="0.25">
      <c r="A8835">
        <v>1583762</v>
      </c>
      <c r="B8835">
        <v>1786815</v>
      </c>
      <c r="D8835" t="s">
        <v>54801</v>
      </c>
      <c r="E8835" t="s">
        <v>54802</v>
      </c>
      <c r="F8835" t="s">
        <v>54803</v>
      </c>
      <c r="G8835" t="s">
        <v>54804</v>
      </c>
      <c r="H8835" t="e" vm="3802">
        <f>_FV(0,"01250981511616721")</f>
        <v>#VALUE!</v>
      </c>
      <c r="I8835" t="s">
        <v>54805</v>
      </c>
      <c r="J8835" t="s">
        <v>54806</v>
      </c>
      <c r="K8835" t="s">
        <v>54807</v>
      </c>
      <c r="L8835" t="s">
        <v>54800</v>
      </c>
    </row>
    <row r="8836" spans="1:12" x14ac:dyDescent="0.25">
      <c r="A8836">
        <v>1583770</v>
      </c>
      <c r="B8836">
        <v>1786815</v>
      </c>
      <c r="D8836" t="s">
        <v>49823</v>
      </c>
      <c r="E8836" t="s">
        <v>54809</v>
      </c>
      <c r="F8836" t="s">
        <v>54810</v>
      </c>
      <c r="G8836" t="s">
        <v>54811</v>
      </c>
      <c r="H8836" t="e" vm="3803">
        <f>_FV(0,"012537997648028853")</f>
        <v>#VALUE!</v>
      </c>
      <c r="I8836" t="s">
        <v>54812</v>
      </c>
      <c r="J8836" t="s">
        <v>54813</v>
      </c>
      <c r="K8836" t="s">
        <v>54814</v>
      </c>
      <c r="L8836" t="s">
        <v>54808</v>
      </c>
    </row>
    <row r="8837" spans="1:12" x14ac:dyDescent="0.25">
      <c r="A8837">
        <v>1584581</v>
      </c>
      <c r="B8837">
        <v>1584597</v>
      </c>
      <c r="D8837">
        <v>0</v>
      </c>
      <c r="E8837" t="s">
        <v>54816</v>
      </c>
      <c r="F8837" t="s">
        <v>54817</v>
      </c>
      <c r="G8837" t="s">
        <v>54818</v>
      </c>
      <c r="H8837" t="e" vm="3804">
        <f>_FV(0,"004386386458540961")</f>
        <v>#VALUE!</v>
      </c>
      <c r="I8837" t="s">
        <v>54819</v>
      </c>
      <c r="J8837" t="s">
        <v>54820</v>
      </c>
      <c r="K8837" t="s">
        <v>54821</v>
      </c>
      <c r="L8837" t="s">
        <v>54815</v>
      </c>
    </row>
    <row r="8838" spans="1:12" x14ac:dyDescent="0.25">
      <c r="A8838">
        <v>1584581</v>
      </c>
      <c r="B8838">
        <v>1584640</v>
      </c>
      <c r="D8838">
        <v>0</v>
      </c>
      <c r="E8838" t="s">
        <v>54822</v>
      </c>
      <c r="F8838" t="s">
        <v>54823</v>
      </c>
      <c r="G8838" t="s">
        <v>54824</v>
      </c>
      <c r="H8838" t="s">
        <v>54825</v>
      </c>
      <c r="I8838" t="s">
        <v>54826</v>
      </c>
      <c r="J8838" t="s">
        <v>14498</v>
      </c>
      <c r="K8838" t="s">
        <v>54827</v>
      </c>
      <c r="L8838" t="s">
        <v>14498</v>
      </c>
    </row>
    <row r="8839" spans="1:12" x14ac:dyDescent="0.25">
      <c r="A8839">
        <v>1584597</v>
      </c>
      <c r="B8839">
        <v>1584608</v>
      </c>
      <c r="D8839">
        <v>0</v>
      </c>
      <c r="E8839" t="s">
        <v>54829</v>
      </c>
      <c r="F8839" t="s">
        <v>54830</v>
      </c>
      <c r="G8839" t="s">
        <v>54831</v>
      </c>
      <c r="H8839" t="e" vm="3805">
        <f>_FV(0,"017653698639830698")</f>
        <v>#VALUE!</v>
      </c>
      <c r="I8839" t="s">
        <v>54832</v>
      </c>
      <c r="J8839" t="s">
        <v>54833</v>
      </c>
      <c r="K8839" t="s">
        <v>54834</v>
      </c>
      <c r="L8839" t="s">
        <v>54828</v>
      </c>
    </row>
    <row r="8840" spans="1:12" x14ac:dyDescent="0.25">
      <c r="A8840">
        <v>1584608</v>
      </c>
      <c r="B8840">
        <v>1584640</v>
      </c>
      <c r="D8840">
        <v>0</v>
      </c>
      <c r="E8840" t="s">
        <v>54836</v>
      </c>
      <c r="F8840" t="s">
        <v>54837</v>
      </c>
      <c r="G8840" t="s">
        <v>54838</v>
      </c>
      <c r="H8840" t="s">
        <v>54839</v>
      </c>
      <c r="I8840" t="s">
        <v>54840</v>
      </c>
      <c r="J8840" t="s">
        <v>54841</v>
      </c>
      <c r="K8840" t="s">
        <v>54842</v>
      </c>
      <c r="L8840" t="s">
        <v>54835</v>
      </c>
    </row>
    <row r="8841" spans="1:12" x14ac:dyDescent="0.25">
      <c r="A8841">
        <v>1589663</v>
      </c>
      <c r="B8841">
        <v>1847354</v>
      </c>
      <c r="D8841">
        <v>0</v>
      </c>
      <c r="E8841" t="s">
        <v>54844</v>
      </c>
      <c r="F8841" t="s">
        <v>54845</v>
      </c>
      <c r="G8841" t="s">
        <v>54846</v>
      </c>
      <c r="H8841" t="s">
        <v>54847</v>
      </c>
      <c r="I8841" t="s">
        <v>54848</v>
      </c>
      <c r="J8841" t="s">
        <v>54849</v>
      </c>
      <c r="K8841" t="s">
        <v>54850</v>
      </c>
      <c r="L8841" t="s">
        <v>54843</v>
      </c>
    </row>
    <row r="8842" spans="1:12" x14ac:dyDescent="0.25">
      <c r="A8842">
        <v>1589663</v>
      </c>
      <c r="B8842">
        <v>1847604</v>
      </c>
      <c r="D8842">
        <v>0</v>
      </c>
      <c r="F8842">
        <v>2156179</v>
      </c>
      <c r="G8842">
        <v>1589663</v>
      </c>
      <c r="H8842" t="e" vm="214">
        <f>_FV(0,"039")</f>
        <v>#VALUE!</v>
      </c>
      <c r="I8842">
        <v>1847604</v>
      </c>
      <c r="J8842" t="s">
        <v>3279</v>
      </c>
      <c r="K8842" t="s">
        <v>54851</v>
      </c>
      <c r="L8842" t="e" vm="214">
        <f>_FV(0,"039")</f>
        <v>#VALUE!</v>
      </c>
    </row>
    <row r="8843" spans="1:12" x14ac:dyDescent="0.25">
      <c r="A8843">
        <v>1589759</v>
      </c>
      <c r="B8843">
        <v>1589773</v>
      </c>
      <c r="D8843">
        <v>0</v>
      </c>
      <c r="E8843" t="s">
        <v>54853</v>
      </c>
      <c r="F8843" t="s">
        <v>54854</v>
      </c>
      <c r="G8843" t="s">
        <v>54855</v>
      </c>
      <c r="H8843" t="e" vm="3806">
        <f>_FV(0,"09319710747613691")</f>
        <v>#VALUE!</v>
      </c>
      <c r="I8843" t="s">
        <v>54856</v>
      </c>
      <c r="J8843" t="s">
        <v>54857</v>
      </c>
      <c r="K8843" t="s">
        <v>54858</v>
      </c>
      <c r="L8843" t="s">
        <v>54852</v>
      </c>
    </row>
    <row r="8844" spans="1:12" x14ac:dyDescent="0.25">
      <c r="A8844">
        <v>1589759</v>
      </c>
      <c r="B8844">
        <v>1847598</v>
      </c>
      <c r="D8844">
        <v>0</v>
      </c>
      <c r="E8844" t="s">
        <v>54860</v>
      </c>
      <c r="F8844" t="s">
        <v>54861</v>
      </c>
      <c r="G8844" t="s">
        <v>54862</v>
      </c>
      <c r="H8844" t="e" vm="3807">
        <f>_FV(0,"06942117990709433")</f>
        <v>#VALUE!</v>
      </c>
      <c r="I8844" t="s">
        <v>54863</v>
      </c>
      <c r="J8844" t="s">
        <v>54864</v>
      </c>
      <c r="K8844" t="s">
        <v>54865</v>
      </c>
      <c r="L8844" t="s">
        <v>54859</v>
      </c>
    </row>
    <row r="8845" spans="1:12" x14ac:dyDescent="0.25">
      <c r="A8845">
        <v>1589759</v>
      </c>
      <c r="B8845">
        <v>1589889</v>
      </c>
      <c r="C8845" t="s">
        <v>54867</v>
      </c>
      <c r="D8845">
        <v>0</v>
      </c>
      <c r="E8845" t="s">
        <v>54868</v>
      </c>
      <c r="F8845" t="s">
        <v>54869</v>
      </c>
      <c r="G8845" t="s">
        <v>54870</v>
      </c>
      <c r="H8845" t="s">
        <v>54871</v>
      </c>
      <c r="I8845" t="s">
        <v>54872</v>
      </c>
      <c r="J8845" t="s">
        <v>54873</v>
      </c>
      <c r="K8845" t="s">
        <v>54874</v>
      </c>
      <c r="L8845" t="s">
        <v>54866</v>
      </c>
    </row>
    <row r="8846" spans="1:12" x14ac:dyDescent="0.25">
      <c r="A8846">
        <v>1589773</v>
      </c>
      <c r="B8846">
        <v>1590005</v>
      </c>
      <c r="D8846">
        <v>0</v>
      </c>
      <c r="E8846" t="s">
        <v>54876</v>
      </c>
      <c r="F8846" t="s">
        <v>54877</v>
      </c>
      <c r="G8846" t="s">
        <v>54878</v>
      </c>
      <c r="H8846" t="e" vm="3808">
        <f>_FV(0,"025934589053489537")</f>
        <v>#VALUE!</v>
      </c>
      <c r="I8846" t="s">
        <v>54879</v>
      </c>
      <c r="J8846" t="s">
        <v>54880</v>
      </c>
      <c r="K8846" t="s">
        <v>54881</v>
      </c>
      <c r="L8846" t="s">
        <v>54875</v>
      </c>
    </row>
    <row r="8847" spans="1:12" x14ac:dyDescent="0.25">
      <c r="A8847">
        <v>1589773</v>
      </c>
      <c r="B8847">
        <v>1847604</v>
      </c>
      <c r="D8847">
        <v>0</v>
      </c>
      <c r="E8847" t="s">
        <v>54883</v>
      </c>
      <c r="F8847" t="s">
        <v>54884</v>
      </c>
      <c r="G8847" t="s">
        <v>54885</v>
      </c>
      <c r="H8847" t="e" vm="3809">
        <f>_FV(0,"1159550173921117")</f>
        <v>#VALUE!</v>
      </c>
      <c r="I8847" t="s">
        <v>54886</v>
      </c>
      <c r="J8847" t="s">
        <v>54887</v>
      </c>
      <c r="K8847" t="s">
        <v>54888</v>
      </c>
      <c r="L8847" t="s">
        <v>54882</v>
      </c>
    </row>
    <row r="8848" spans="1:12" x14ac:dyDescent="0.25">
      <c r="A8848">
        <v>1589818</v>
      </c>
      <c r="B8848">
        <v>1589985</v>
      </c>
      <c r="C8848" t="s">
        <v>54890</v>
      </c>
      <c r="D8848">
        <v>0</v>
      </c>
      <c r="E8848" t="s">
        <v>54891</v>
      </c>
      <c r="F8848" t="s">
        <v>54892</v>
      </c>
      <c r="G8848" t="s">
        <v>54893</v>
      </c>
      <c r="H8848" t="e" vm="3810">
        <f>_FV(0,"03140187268909026")</f>
        <v>#VALUE!</v>
      </c>
      <c r="I8848" t="s">
        <v>54894</v>
      </c>
      <c r="J8848" t="s">
        <v>54895</v>
      </c>
      <c r="K8848" t="s">
        <v>54896</v>
      </c>
      <c r="L8848" t="s">
        <v>54889</v>
      </c>
    </row>
    <row r="8849" spans="1:12" x14ac:dyDescent="0.25">
      <c r="A8849">
        <v>1589818</v>
      </c>
      <c r="B8849">
        <v>1847592</v>
      </c>
      <c r="D8849">
        <v>0</v>
      </c>
      <c r="E8849" t="s">
        <v>54898</v>
      </c>
      <c r="F8849" t="s">
        <v>54899</v>
      </c>
      <c r="G8849" t="s">
        <v>54900</v>
      </c>
      <c r="H8849" t="s">
        <v>54901</v>
      </c>
      <c r="I8849" t="s">
        <v>54902</v>
      </c>
      <c r="J8849" t="s">
        <v>54903</v>
      </c>
      <c r="K8849" t="s">
        <v>54904</v>
      </c>
      <c r="L8849" t="s">
        <v>54897</v>
      </c>
    </row>
    <row r="8850" spans="1:12" x14ac:dyDescent="0.25">
      <c r="A8850">
        <v>1589889</v>
      </c>
      <c r="B8850">
        <v>1589925</v>
      </c>
      <c r="D8850">
        <v>0</v>
      </c>
      <c r="E8850" t="s">
        <v>54906</v>
      </c>
      <c r="F8850" t="s">
        <v>54907</v>
      </c>
      <c r="G8850" t="s">
        <v>54908</v>
      </c>
      <c r="H8850" t="e" vm="3811">
        <f>_FV(0,"04248569949774522")</f>
        <v>#VALUE!</v>
      </c>
      <c r="I8850" t="s">
        <v>54909</v>
      </c>
      <c r="J8850" t="s">
        <v>54910</v>
      </c>
      <c r="K8850" t="s">
        <v>54911</v>
      </c>
      <c r="L8850" t="s">
        <v>54905</v>
      </c>
    </row>
    <row r="8851" spans="1:12" x14ac:dyDescent="0.25">
      <c r="A8851">
        <v>1589925</v>
      </c>
      <c r="B8851">
        <v>1589985</v>
      </c>
      <c r="D8851">
        <v>0</v>
      </c>
      <c r="E8851" t="s">
        <v>54913</v>
      </c>
      <c r="F8851" t="s">
        <v>54914</v>
      </c>
      <c r="G8851" t="s">
        <v>54915</v>
      </c>
      <c r="H8851" t="e" vm="3812">
        <f>_FV(0,"003979708643585937")</f>
        <v>#VALUE!</v>
      </c>
      <c r="I8851" t="s">
        <v>54916</v>
      </c>
      <c r="J8851" t="s">
        <v>54917</v>
      </c>
      <c r="K8851" t="s">
        <v>54918</v>
      </c>
      <c r="L8851" t="s">
        <v>54912</v>
      </c>
    </row>
    <row r="8852" spans="1:12" x14ac:dyDescent="0.25">
      <c r="A8852">
        <v>1589925</v>
      </c>
      <c r="B8852">
        <v>1847506</v>
      </c>
      <c r="D8852">
        <v>0</v>
      </c>
      <c r="E8852" t="s">
        <v>54920</v>
      </c>
      <c r="F8852" t="s">
        <v>54921</v>
      </c>
      <c r="G8852" t="s">
        <v>54922</v>
      </c>
      <c r="H8852" t="s">
        <v>54923</v>
      </c>
      <c r="I8852" t="s">
        <v>54924</v>
      </c>
      <c r="J8852" t="s">
        <v>54925</v>
      </c>
      <c r="K8852" t="s">
        <v>54926</v>
      </c>
      <c r="L8852" t="s">
        <v>54919</v>
      </c>
    </row>
    <row r="8853" spans="1:12" x14ac:dyDescent="0.25">
      <c r="A8853">
        <v>1592206</v>
      </c>
      <c r="B8853">
        <v>1797143</v>
      </c>
      <c r="D8853">
        <v>0</v>
      </c>
      <c r="E8853" t="s">
        <v>54928</v>
      </c>
      <c r="F8853" t="s">
        <v>54929</v>
      </c>
      <c r="G8853" t="s">
        <v>54930</v>
      </c>
      <c r="H8853" t="s">
        <v>54931</v>
      </c>
      <c r="I8853" t="s">
        <v>54932</v>
      </c>
      <c r="J8853" t="s">
        <v>54933</v>
      </c>
      <c r="K8853" t="s">
        <v>54934</v>
      </c>
      <c r="L8853" t="s">
        <v>54927</v>
      </c>
    </row>
    <row r="8854" spans="1:12" x14ac:dyDescent="0.25">
      <c r="A8854">
        <v>1593026</v>
      </c>
      <c r="B8854">
        <v>1593028</v>
      </c>
      <c r="D8854">
        <v>0</v>
      </c>
      <c r="E8854" t="s">
        <v>54936</v>
      </c>
      <c r="F8854" t="s">
        <v>54937</v>
      </c>
      <c r="G8854" t="s">
        <v>54938</v>
      </c>
      <c r="H8854" t="s">
        <v>54939</v>
      </c>
      <c r="I8854" t="s">
        <v>54940</v>
      </c>
      <c r="J8854" t="s">
        <v>54935</v>
      </c>
      <c r="K8854" t="s">
        <v>54941</v>
      </c>
      <c r="L8854" t="s">
        <v>54935</v>
      </c>
    </row>
    <row r="8855" spans="1:12" x14ac:dyDescent="0.25">
      <c r="A8855">
        <v>1593026</v>
      </c>
      <c r="B8855">
        <v>1593176</v>
      </c>
      <c r="D8855">
        <v>0</v>
      </c>
      <c r="E8855" t="s">
        <v>54943</v>
      </c>
      <c r="F8855" t="s">
        <v>54944</v>
      </c>
      <c r="G8855" t="s">
        <v>54945</v>
      </c>
      <c r="H8855" t="e" vm="3813">
        <f>_FV(0,"027628984881185592")</f>
        <v>#VALUE!</v>
      </c>
      <c r="I8855" t="s">
        <v>54946</v>
      </c>
      <c r="J8855" t="s">
        <v>54947</v>
      </c>
      <c r="K8855" t="s">
        <v>54948</v>
      </c>
      <c r="L8855" t="s">
        <v>54942</v>
      </c>
    </row>
    <row r="8856" spans="1:12" x14ac:dyDescent="0.25">
      <c r="A8856">
        <v>1593028</v>
      </c>
      <c r="B8856">
        <v>1593029</v>
      </c>
      <c r="D8856">
        <v>0</v>
      </c>
      <c r="F8856">
        <v>1808307</v>
      </c>
      <c r="G8856">
        <v>1593029</v>
      </c>
      <c r="H8856" t="s">
        <v>688</v>
      </c>
      <c r="I8856">
        <v>1593028</v>
      </c>
      <c r="J8856" t="s">
        <v>688</v>
      </c>
      <c r="K8856" t="s">
        <v>54949</v>
      </c>
      <c r="L8856" t="s">
        <v>688</v>
      </c>
    </row>
    <row r="8857" spans="1:12" x14ac:dyDescent="0.25">
      <c r="A8857">
        <v>1593028</v>
      </c>
      <c r="B8857">
        <v>1593176</v>
      </c>
      <c r="D8857">
        <v>0</v>
      </c>
      <c r="E8857" t="s">
        <v>54951</v>
      </c>
      <c r="F8857" t="s">
        <v>54952</v>
      </c>
      <c r="G8857" t="s">
        <v>54953</v>
      </c>
      <c r="H8857" t="e" vm="3814">
        <f>_FV(0,"04002023803148099")</f>
        <v>#VALUE!</v>
      </c>
      <c r="I8857" t="s">
        <v>54954</v>
      </c>
      <c r="J8857" t="s">
        <v>54955</v>
      </c>
      <c r="K8857" t="s">
        <v>54956</v>
      </c>
      <c r="L8857" t="s">
        <v>54950</v>
      </c>
    </row>
    <row r="8858" spans="1:12" x14ac:dyDescent="0.25">
      <c r="A8858">
        <v>1593176</v>
      </c>
      <c r="B8858">
        <v>1813584</v>
      </c>
      <c r="D8858" t="s">
        <v>1852</v>
      </c>
      <c r="E8858" t="s">
        <v>54958</v>
      </c>
      <c r="F8858" t="s">
        <v>54959</v>
      </c>
      <c r="G8858" t="s">
        <v>54960</v>
      </c>
      <c r="H8858" t="e" vm="3815">
        <f>_FV(0,"026717232242254085")</f>
        <v>#VALUE!</v>
      </c>
      <c r="I8858" t="s">
        <v>54961</v>
      </c>
      <c r="J8858" t="s">
        <v>54962</v>
      </c>
      <c r="K8858" t="s">
        <v>54963</v>
      </c>
      <c r="L8858" t="s">
        <v>54957</v>
      </c>
    </row>
    <row r="8859" spans="1:12" x14ac:dyDescent="0.25">
      <c r="A8859">
        <v>1596697</v>
      </c>
      <c r="B8859">
        <v>1596703</v>
      </c>
      <c r="D8859">
        <v>0</v>
      </c>
      <c r="E8859" t="s">
        <v>54964</v>
      </c>
      <c r="F8859" t="s">
        <v>54965</v>
      </c>
      <c r="G8859" t="s">
        <v>54966</v>
      </c>
      <c r="H8859" t="e" vm="3816">
        <f>_FV(0,"00044908958855552003")</f>
        <v>#VALUE!</v>
      </c>
      <c r="I8859" t="s">
        <v>54967</v>
      </c>
      <c r="J8859" t="s">
        <v>1333</v>
      </c>
      <c r="K8859" t="s">
        <v>54968</v>
      </c>
      <c r="L8859" t="s">
        <v>46744</v>
      </c>
    </row>
    <row r="8860" spans="1:12" x14ac:dyDescent="0.25">
      <c r="A8860">
        <v>1596697</v>
      </c>
      <c r="B8860">
        <v>1596708</v>
      </c>
      <c r="D8860">
        <v>0</v>
      </c>
      <c r="E8860" t="s">
        <v>54969</v>
      </c>
      <c r="F8860" t="s">
        <v>54970</v>
      </c>
      <c r="G8860" t="s">
        <v>54971</v>
      </c>
      <c r="H8860" t="s">
        <v>54972</v>
      </c>
      <c r="I8860" t="s">
        <v>54973</v>
      </c>
      <c r="J8860" t="s">
        <v>17062</v>
      </c>
      <c r="K8860" t="s">
        <v>54974</v>
      </c>
      <c r="L8860" t="s">
        <v>17062</v>
      </c>
    </row>
    <row r="8861" spans="1:12" x14ac:dyDescent="0.25">
      <c r="A8861">
        <v>1596697</v>
      </c>
      <c r="B8861">
        <v>1596725</v>
      </c>
      <c r="D8861">
        <v>0</v>
      </c>
      <c r="E8861" t="s">
        <v>54976</v>
      </c>
      <c r="F8861" t="s">
        <v>54977</v>
      </c>
      <c r="G8861" t="s">
        <v>54978</v>
      </c>
      <c r="H8861" t="e" vm="3817">
        <f>_FV(0,"006662833605940185")</f>
        <v>#VALUE!</v>
      </c>
      <c r="I8861" t="s">
        <v>54979</v>
      </c>
      <c r="J8861" t="s">
        <v>54980</v>
      </c>
      <c r="K8861" t="s">
        <v>54981</v>
      </c>
      <c r="L8861" t="s">
        <v>54975</v>
      </c>
    </row>
    <row r="8862" spans="1:12" x14ac:dyDescent="0.25">
      <c r="A8862">
        <v>1596703</v>
      </c>
      <c r="B8862">
        <v>1596708</v>
      </c>
      <c r="D8862">
        <v>0</v>
      </c>
      <c r="E8862" t="s">
        <v>54982</v>
      </c>
      <c r="F8862" t="s">
        <v>54983</v>
      </c>
      <c r="G8862" t="s">
        <v>54984</v>
      </c>
      <c r="H8862" t="e" vm="3818">
        <f>_FV(0,"012748512592278632")</f>
        <v>#VALUE!</v>
      </c>
      <c r="I8862" t="s">
        <v>54985</v>
      </c>
      <c r="J8862" t="s">
        <v>46907</v>
      </c>
      <c r="K8862" t="s">
        <v>54986</v>
      </c>
      <c r="L8862" t="s">
        <v>46902</v>
      </c>
    </row>
    <row r="8863" spans="1:12" x14ac:dyDescent="0.25">
      <c r="A8863">
        <v>1596708</v>
      </c>
      <c r="B8863">
        <v>1596734</v>
      </c>
      <c r="D8863">
        <v>0</v>
      </c>
      <c r="E8863" t="s">
        <v>54988</v>
      </c>
      <c r="F8863" t="s">
        <v>54989</v>
      </c>
      <c r="G8863" t="s">
        <v>54990</v>
      </c>
      <c r="H8863" t="s">
        <v>54991</v>
      </c>
      <c r="I8863" t="s">
        <v>54992</v>
      </c>
      <c r="J8863" t="s">
        <v>54993</v>
      </c>
      <c r="K8863" t="s">
        <v>54994</v>
      </c>
      <c r="L8863" t="s">
        <v>54987</v>
      </c>
    </row>
    <row r="8864" spans="1:12" x14ac:dyDescent="0.25">
      <c r="A8864">
        <v>1596719</v>
      </c>
      <c r="B8864">
        <v>1596725</v>
      </c>
      <c r="D8864">
        <v>0</v>
      </c>
      <c r="E8864" t="s">
        <v>54995</v>
      </c>
      <c r="F8864" t="s">
        <v>54996</v>
      </c>
      <c r="G8864" t="s">
        <v>54997</v>
      </c>
      <c r="H8864" t="e" vm="131">
        <f>_FV(0,"012")</f>
        <v>#VALUE!</v>
      </c>
      <c r="I8864" t="s">
        <v>54998</v>
      </c>
      <c r="J8864" t="s">
        <v>1939</v>
      </c>
      <c r="K8864" t="s">
        <v>54999</v>
      </c>
      <c r="L8864" t="e" vm="131">
        <f>_FV(0,"012")</f>
        <v>#VALUE!</v>
      </c>
    </row>
    <row r="8865" spans="1:12" x14ac:dyDescent="0.25">
      <c r="A8865">
        <v>1596719</v>
      </c>
      <c r="B8865">
        <v>1596734</v>
      </c>
      <c r="D8865">
        <v>0</v>
      </c>
      <c r="E8865" t="s">
        <v>55000</v>
      </c>
      <c r="F8865" t="s">
        <v>55001</v>
      </c>
      <c r="G8865" t="s">
        <v>55002</v>
      </c>
      <c r="H8865" t="e" vm="3819">
        <f>_FV(0,"0013277226939987393")</f>
        <v>#VALUE!</v>
      </c>
      <c r="I8865" t="s">
        <v>55003</v>
      </c>
      <c r="J8865" t="s">
        <v>44770</v>
      </c>
      <c r="K8865" t="s">
        <v>55004</v>
      </c>
      <c r="L8865" t="s">
        <v>44765</v>
      </c>
    </row>
    <row r="8866" spans="1:12" x14ac:dyDescent="0.25">
      <c r="A8866">
        <v>1596725</v>
      </c>
      <c r="B8866">
        <v>1596734</v>
      </c>
      <c r="D8866">
        <v>0</v>
      </c>
      <c r="E8866" t="s">
        <v>55005</v>
      </c>
      <c r="F8866" t="s">
        <v>55006</v>
      </c>
      <c r="G8866" t="s">
        <v>55007</v>
      </c>
      <c r="H8866" t="e" vm="3820">
        <f>_FV(0,"021549098370036875")</f>
        <v>#VALUE!</v>
      </c>
      <c r="I8866" t="s">
        <v>55008</v>
      </c>
      <c r="J8866" t="s">
        <v>6081</v>
      </c>
      <c r="K8866" t="s">
        <v>55009</v>
      </c>
      <c r="L8866" t="s">
        <v>6076</v>
      </c>
    </row>
    <row r="8867" spans="1:12" x14ac:dyDescent="0.25">
      <c r="A8867">
        <v>1600416</v>
      </c>
      <c r="B8867">
        <v>1600436</v>
      </c>
      <c r="D8867">
        <v>0</v>
      </c>
      <c r="F8867">
        <v>1820410</v>
      </c>
      <c r="G8867">
        <v>1600416</v>
      </c>
      <c r="H8867" t="e" vm="102">
        <f>_FV(0,"034")</f>
        <v>#VALUE!</v>
      </c>
      <c r="I8867">
        <v>1600436</v>
      </c>
      <c r="J8867" t="s">
        <v>1599</v>
      </c>
      <c r="K8867" t="s">
        <v>55010</v>
      </c>
      <c r="L8867" t="e" vm="102">
        <f>_FV(0,"034")</f>
        <v>#VALUE!</v>
      </c>
    </row>
    <row r="8868" spans="1:12" x14ac:dyDescent="0.25">
      <c r="A8868">
        <v>1600423</v>
      </c>
      <c r="B8868">
        <v>1600436</v>
      </c>
      <c r="D8868">
        <v>0</v>
      </c>
      <c r="E8868" t="s">
        <v>55012</v>
      </c>
      <c r="F8868" t="s">
        <v>55013</v>
      </c>
      <c r="G8868" t="s">
        <v>55014</v>
      </c>
      <c r="H8868" t="s">
        <v>55015</v>
      </c>
      <c r="I8868" t="s">
        <v>55016</v>
      </c>
      <c r="J8868" t="s">
        <v>48204</v>
      </c>
      <c r="K8868" t="s">
        <v>55017</v>
      </c>
      <c r="L8868" t="s">
        <v>55011</v>
      </c>
    </row>
    <row r="8869" spans="1:12" x14ac:dyDescent="0.25">
      <c r="A8869">
        <v>1602247</v>
      </c>
      <c r="B8869">
        <v>1752930</v>
      </c>
      <c r="D8869" t="s">
        <v>1852</v>
      </c>
      <c r="E8869" t="s">
        <v>55019</v>
      </c>
      <c r="F8869" t="s">
        <v>55020</v>
      </c>
      <c r="G8869" t="s">
        <v>55021</v>
      </c>
      <c r="H8869" t="s">
        <v>55022</v>
      </c>
      <c r="I8869" t="s">
        <v>55023</v>
      </c>
      <c r="J8869" t="s">
        <v>55024</v>
      </c>
      <c r="K8869" t="s">
        <v>55025</v>
      </c>
      <c r="L8869" t="s">
        <v>55018</v>
      </c>
    </row>
    <row r="8870" spans="1:12" x14ac:dyDescent="0.25">
      <c r="A8870">
        <v>1602638</v>
      </c>
      <c r="B8870">
        <v>1602649</v>
      </c>
      <c r="D8870">
        <v>0</v>
      </c>
      <c r="E8870" t="s">
        <v>55027</v>
      </c>
      <c r="F8870" t="s">
        <v>55028</v>
      </c>
      <c r="G8870" t="s">
        <v>55029</v>
      </c>
      <c r="H8870" t="s">
        <v>55030</v>
      </c>
      <c r="I8870" t="s">
        <v>55031</v>
      </c>
      <c r="J8870" t="s">
        <v>55032</v>
      </c>
      <c r="K8870" t="s">
        <v>55033</v>
      </c>
      <c r="L8870" t="s">
        <v>55026</v>
      </c>
    </row>
    <row r="8871" spans="1:12" x14ac:dyDescent="0.25">
      <c r="A8871">
        <v>1602638</v>
      </c>
      <c r="B8871">
        <v>1602641</v>
      </c>
      <c r="D8871">
        <v>0</v>
      </c>
      <c r="F8871">
        <v>1823540</v>
      </c>
      <c r="G8871">
        <v>1602638</v>
      </c>
      <c r="H8871" t="e" vm="572">
        <f>_FV(0,"021")</f>
        <v>#VALUE!</v>
      </c>
      <c r="I8871">
        <v>1602641</v>
      </c>
      <c r="J8871" t="s">
        <v>1536</v>
      </c>
      <c r="K8871" t="s">
        <v>55034</v>
      </c>
      <c r="L8871" t="e" vm="572">
        <f>_FV(0,"021")</f>
        <v>#VALUE!</v>
      </c>
    </row>
    <row r="8872" spans="1:12" x14ac:dyDescent="0.25">
      <c r="A8872">
        <v>1605390</v>
      </c>
      <c r="B8872">
        <v>1605391</v>
      </c>
      <c r="D8872">
        <v>0</v>
      </c>
      <c r="F8872">
        <v>1827657</v>
      </c>
      <c r="G8872">
        <v>1605391</v>
      </c>
      <c r="H8872" t="s">
        <v>6474</v>
      </c>
      <c r="I8872">
        <v>1605390</v>
      </c>
      <c r="J8872" t="s">
        <v>6474</v>
      </c>
      <c r="K8872" t="s">
        <v>55035</v>
      </c>
      <c r="L8872" t="s">
        <v>6474</v>
      </c>
    </row>
    <row r="8873" spans="1:12" x14ac:dyDescent="0.25">
      <c r="A8873">
        <v>1605390</v>
      </c>
      <c r="B8873">
        <v>1605420</v>
      </c>
      <c r="D8873">
        <v>0</v>
      </c>
      <c r="F8873">
        <v>1827702</v>
      </c>
      <c r="G8873">
        <v>1605390</v>
      </c>
      <c r="H8873" t="e" vm="16">
        <f>_FV(0,"007")</f>
        <v>#VALUE!</v>
      </c>
      <c r="I8873">
        <v>1605420</v>
      </c>
      <c r="J8873" t="s">
        <v>226</v>
      </c>
      <c r="K8873" t="s">
        <v>55036</v>
      </c>
      <c r="L8873" t="e" vm="16">
        <f>_FV(0,"007")</f>
        <v>#VALUE!</v>
      </c>
    </row>
    <row r="8874" spans="1:12" x14ac:dyDescent="0.25">
      <c r="A8874">
        <v>1605390</v>
      </c>
      <c r="B8874">
        <v>1605730</v>
      </c>
      <c r="D8874" t="s">
        <v>514</v>
      </c>
      <c r="E8874" t="s">
        <v>55038</v>
      </c>
      <c r="F8874" t="s">
        <v>55039</v>
      </c>
      <c r="G8874" t="s">
        <v>55040</v>
      </c>
      <c r="H8874" t="e" vm="3821">
        <f>_FV(0,"01995240988766524")</f>
        <v>#VALUE!</v>
      </c>
      <c r="I8874" t="s">
        <v>55041</v>
      </c>
      <c r="J8874" t="s">
        <v>55042</v>
      </c>
      <c r="K8874" t="s">
        <v>55043</v>
      </c>
      <c r="L8874" t="s">
        <v>55037</v>
      </c>
    </row>
    <row r="8875" spans="1:12" x14ac:dyDescent="0.25">
      <c r="A8875">
        <v>1605391</v>
      </c>
      <c r="B8875">
        <v>1605405</v>
      </c>
      <c r="D8875">
        <v>0</v>
      </c>
      <c r="E8875" t="s">
        <v>55044</v>
      </c>
      <c r="F8875" t="s">
        <v>55045</v>
      </c>
      <c r="G8875" t="s">
        <v>55046</v>
      </c>
      <c r="H8875" t="s">
        <v>55047</v>
      </c>
      <c r="I8875" t="s">
        <v>55048</v>
      </c>
      <c r="J8875" t="s">
        <v>45105</v>
      </c>
      <c r="K8875" t="s">
        <v>55049</v>
      </c>
      <c r="L8875" t="s">
        <v>45105</v>
      </c>
    </row>
    <row r="8876" spans="1:12" x14ac:dyDescent="0.25">
      <c r="A8876">
        <v>1605391</v>
      </c>
      <c r="B8876">
        <v>1605734</v>
      </c>
      <c r="D8876">
        <v>0</v>
      </c>
      <c r="E8876" t="s">
        <v>55050</v>
      </c>
      <c r="F8876" t="s">
        <v>55051</v>
      </c>
      <c r="G8876" t="s">
        <v>55052</v>
      </c>
      <c r="H8876" t="e" vm="3822">
        <f>_FV(0,"0048096703953457885")</f>
        <v>#VALUE!</v>
      </c>
      <c r="I8876" t="s">
        <v>55053</v>
      </c>
      <c r="J8876" t="s">
        <v>4817</v>
      </c>
      <c r="K8876" t="s">
        <v>55054</v>
      </c>
      <c r="L8876" t="s">
        <v>13856</v>
      </c>
    </row>
    <row r="8877" spans="1:12" x14ac:dyDescent="0.25">
      <c r="A8877">
        <v>1605405</v>
      </c>
      <c r="B8877">
        <v>1605420</v>
      </c>
      <c r="D8877">
        <v>0</v>
      </c>
      <c r="E8877" t="s">
        <v>55056</v>
      </c>
      <c r="F8877" t="s">
        <v>55057</v>
      </c>
      <c r="G8877" t="s">
        <v>55058</v>
      </c>
      <c r="H8877" t="e" vm="3823">
        <f>_FV(0,"008103079725215062")</f>
        <v>#VALUE!</v>
      </c>
      <c r="I8877" t="s">
        <v>55059</v>
      </c>
      <c r="J8877" t="s">
        <v>55060</v>
      </c>
      <c r="K8877" t="s">
        <v>55061</v>
      </c>
      <c r="L8877" t="s">
        <v>55055</v>
      </c>
    </row>
    <row r="8878" spans="1:12" x14ac:dyDescent="0.25">
      <c r="A8878">
        <v>1605405</v>
      </c>
      <c r="B8878">
        <v>1605734</v>
      </c>
      <c r="D8878">
        <v>0</v>
      </c>
      <c r="E8878" t="s">
        <v>55062</v>
      </c>
      <c r="F8878" t="s">
        <v>55063</v>
      </c>
      <c r="G8878" t="s">
        <v>55064</v>
      </c>
      <c r="H8878" t="s">
        <v>4848</v>
      </c>
      <c r="I8878" t="s">
        <v>55065</v>
      </c>
      <c r="J8878" t="s">
        <v>4848</v>
      </c>
      <c r="K8878" t="s">
        <v>55066</v>
      </c>
      <c r="L8878" t="s">
        <v>4848</v>
      </c>
    </row>
    <row r="8879" spans="1:12" x14ac:dyDescent="0.25">
      <c r="A8879">
        <v>1605420</v>
      </c>
      <c r="B8879">
        <v>1605707</v>
      </c>
      <c r="D8879">
        <v>0</v>
      </c>
      <c r="E8879" t="s">
        <v>55068</v>
      </c>
      <c r="F8879" t="s">
        <v>55069</v>
      </c>
      <c r="G8879" t="s">
        <v>55070</v>
      </c>
      <c r="H8879" t="e" vm="3824">
        <f>_FV(0,"017210295086067966")</f>
        <v>#VALUE!</v>
      </c>
      <c r="I8879" t="s">
        <v>55071</v>
      </c>
      <c r="J8879" t="s">
        <v>55072</v>
      </c>
      <c r="K8879" t="s">
        <v>55073</v>
      </c>
      <c r="L8879" t="s">
        <v>55067</v>
      </c>
    </row>
    <row r="8880" spans="1:12" x14ac:dyDescent="0.25">
      <c r="A8880">
        <v>1605433</v>
      </c>
      <c r="B8880">
        <v>1605707</v>
      </c>
      <c r="D8880" t="s">
        <v>2086</v>
      </c>
      <c r="E8880" t="s">
        <v>55075</v>
      </c>
      <c r="F8880" t="s">
        <v>55076</v>
      </c>
      <c r="G8880" t="s">
        <v>55077</v>
      </c>
      <c r="H8880" t="s">
        <v>55078</v>
      </c>
      <c r="I8880" t="s">
        <v>55079</v>
      </c>
      <c r="J8880" t="s">
        <v>55080</v>
      </c>
      <c r="K8880" t="s">
        <v>55081</v>
      </c>
      <c r="L8880" t="s">
        <v>55074</v>
      </c>
    </row>
    <row r="8881" spans="1:12" x14ac:dyDescent="0.25">
      <c r="A8881">
        <v>1605433</v>
      </c>
      <c r="B8881">
        <v>1605702</v>
      </c>
      <c r="D8881" t="s">
        <v>36937</v>
      </c>
      <c r="E8881" t="s">
        <v>55083</v>
      </c>
      <c r="F8881" t="s">
        <v>55084</v>
      </c>
      <c r="G8881" t="s">
        <v>55085</v>
      </c>
      <c r="H8881" t="s">
        <v>55086</v>
      </c>
      <c r="I8881" t="s">
        <v>55087</v>
      </c>
      <c r="J8881" t="s">
        <v>55088</v>
      </c>
      <c r="K8881" t="s">
        <v>55089</v>
      </c>
      <c r="L8881" t="s">
        <v>55082</v>
      </c>
    </row>
    <row r="8882" spans="1:12" x14ac:dyDescent="0.25">
      <c r="A8882">
        <v>1605483</v>
      </c>
      <c r="B8882">
        <v>1605662</v>
      </c>
      <c r="D8882">
        <v>0</v>
      </c>
      <c r="E8882" t="s">
        <v>55091</v>
      </c>
      <c r="F8882" t="s">
        <v>55092</v>
      </c>
      <c r="G8882" t="s">
        <v>55093</v>
      </c>
      <c r="H8882" t="s">
        <v>55094</v>
      </c>
      <c r="I8882" t="s">
        <v>55095</v>
      </c>
      <c r="J8882" t="s">
        <v>55096</v>
      </c>
      <c r="K8882" t="s">
        <v>55097</v>
      </c>
      <c r="L8882" t="s">
        <v>55090</v>
      </c>
    </row>
    <row r="8883" spans="1:12" x14ac:dyDescent="0.25">
      <c r="A8883">
        <v>1605483</v>
      </c>
      <c r="B8883">
        <v>1605487</v>
      </c>
      <c r="D8883">
        <v>0</v>
      </c>
      <c r="F8883">
        <v>1828549</v>
      </c>
      <c r="G8883">
        <v>1605483</v>
      </c>
      <c r="H8883" t="s">
        <v>761</v>
      </c>
      <c r="I8883">
        <v>1605487</v>
      </c>
      <c r="J8883" t="s">
        <v>761</v>
      </c>
      <c r="K8883" t="s">
        <v>55098</v>
      </c>
      <c r="L8883" t="s">
        <v>761</v>
      </c>
    </row>
    <row r="8884" spans="1:12" x14ac:dyDescent="0.25">
      <c r="A8884">
        <v>1605483</v>
      </c>
      <c r="B8884">
        <v>1605702</v>
      </c>
      <c r="D8884">
        <v>0</v>
      </c>
      <c r="E8884" t="s">
        <v>55100</v>
      </c>
      <c r="F8884" t="s">
        <v>55101</v>
      </c>
      <c r="G8884" t="s">
        <v>55102</v>
      </c>
      <c r="H8884" t="s">
        <v>55103</v>
      </c>
      <c r="I8884" t="s">
        <v>55104</v>
      </c>
      <c r="J8884" t="s">
        <v>55099</v>
      </c>
      <c r="K8884" t="s">
        <v>55105</v>
      </c>
      <c r="L8884" t="s">
        <v>55099</v>
      </c>
    </row>
    <row r="8885" spans="1:12" x14ac:dyDescent="0.25">
      <c r="A8885">
        <v>1605487</v>
      </c>
      <c r="B8885">
        <v>1605767</v>
      </c>
      <c r="D8885" t="s">
        <v>514</v>
      </c>
      <c r="E8885" t="s">
        <v>55107</v>
      </c>
      <c r="F8885" t="s">
        <v>55108</v>
      </c>
      <c r="G8885" t="s">
        <v>55109</v>
      </c>
      <c r="H8885" t="s">
        <v>55110</v>
      </c>
      <c r="I8885" t="s">
        <v>55111</v>
      </c>
      <c r="J8885" t="s">
        <v>55112</v>
      </c>
      <c r="K8885" t="s">
        <v>55113</v>
      </c>
      <c r="L8885" t="s">
        <v>55106</v>
      </c>
    </row>
    <row r="8886" spans="1:12" x14ac:dyDescent="0.25">
      <c r="A8886">
        <v>1605487</v>
      </c>
      <c r="B8886">
        <v>1605683</v>
      </c>
      <c r="D8886">
        <v>0</v>
      </c>
      <c r="F8886">
        <v>1828541</v>
      </c>
      <c r="G8886">
        <v>1605487</v>
      </c>
      <c r="H8886" t="e" vm="498">
        <f>_FV(0,"037")</f>
        <v>#VALUE!</v>
      </c>
      <c r="I8886">
        <v>1605683</v>
      </c>
      <c r="J8886" t="s">
        <v>1589</v>
      </c>
      <c r="K8886" t="s">
        <v>55114</v>
      </c>
      <c r="L8886" t="e" vm="498">
        <f>_FV(0,"037")</f>
        <v>#VALUE!</v>
      </c>
    </row>
    <row r="8887" spans="1:12" x14ac:dyDescent="0.25">
      <c r="A8887">
        <v>1605662</v>
      </c>
      <c r="B8887">
        <v>1605677</v>
      </c>
      <c r="D8887">
        <v>0</v>
      </c>
      <c r="E8887" t="s">
        <v>55116</v>
      </c>
      <c r="F8887" t="s">
        <v>55117</v>
      </c>
      <c r="G8887" t="s">
        <v>55118</v>
      </c>
      <c r="H8887" t="e" vm="3825">
        <f>_FV(0,"05528248071837951")</f>
        <v>#VALUE!</v>
      </c>
      <c r="I8887" t="s">
        <v>55119</v>
      </c>
      <c r="J8887" t="s">
        <v>55120</v>
      </c>
      <c r="K8887" t="s">
        <v>55121</v>
      </c>
      <c r="L8887" t="s">
        <v>55115</v>
      </c>
    </row>
    <row r="8888" spans="1:12" x14ac:dyDescent="0.25">
      <c r="A8888">
        <v>1605662</v>
      </c>
      <c r="B8888">
        <v>1605683</v>
      </c>
      <c r="D8888">
        <v>0</v>
      </c>
      <c r="E8888" t="s">
        <v>55123</v>
      </c>
      <c r="F8888" t="s">
        <v>55124</v>
      </c>
      <c r="G8888" t="s">
        <v>55125</v>
      </c>
      <c r="H8888" t="e" vm="3826">
        <f>_FV(0,"06799356141974158")</f>
        <v>#VALUE!</v>
      </c>
      <c r="I8888" t="s">
        <v>55126</v>
      </c>
      <c r="J8888" t="s">
        <v>55127</v>
      </c>
      <c r="K8888" t="s">
        <v>55128</v>
      </c>
      <c r="L8888" t="s">
        <v>55122</v>
      </c>
    </row>
    <row r="8889" spans="1:12" x14ac:dyDescent="0.25">
      <c r="A8889">
        <v>1605677</v>
      </c>
      <c r="B8889">
        <v>1605734</v>
      </c>
      <c r="D8889">
        <v>0</v>
      </c>
      <c r="F8889">
        <v>1828129</v>
      </c>
      <c r="G8889">
        <v>1605734</v>
      </c>
      <c r="H8889" t="e" vm="62">
        <f>_FV(0,"008")</f>
        <v>#VALUE!</v>
      </c>
      <c r="I8889">
        <v>1605677</v>
      </c>
      <c r="J8889" t="s">
        <v>241</v>
      </c>
      <c r="K8889" t="s">
        <v>55129</v>
      </c>
      <c r="L8889" t="e" vm="62">
        <f>_FV(0,"008")</f>
        <v>#VALUE!</v>
      </c>
    </row>
    <row r="8890" spans="1:12" x14ac:dyDescent="0.25">
      <c r="A8890">
        <v>1605677</v>
      </c>
      <c r="B8890">
        <v>1605683</v>
      </c>
      <c r="D8890">
        <v>0</v>
      </c>
      <c r="E8890" t="s">
        <v>55131</v>
      </c>
      <c r="F8890" t="s">
        <v>55132</v>
      </c>
      <c r="G8890" t="s">
        <v>55133</v>
      </c>
      <c r="H8890" t="e" vm="3827">
        <f>_FV(0,"019092631168771343")</f>
        <v>#VALUE!</v>
      </c>
      <c r="I8890" t="s">
        <v>55134</v>
      </c>
      <c r="J8890" t="s">
        <v>55135</v>
      </c>
      <c r="K8890" t="s">
        <v>55136</v>
      </c>
      <c r="L8890" t="s">
        <v>55130</v>
      </c>
    </row>
    <row r="8891" spans="1:12" x14ac:dyDescent="0.25">
      <c r="A8891">
        <v>1605702</v>
      </c>
      <c r="B8891">
        <v>1605767</v>
      </c>
      <c r="D8891" t="s">
        <v>330</v>
      </c>
      <c r="E8891" t="s">
        <v>55138</v>
      </c>
      <c r="F8891" t="s">
        <v>55139</v>
      </c>
      <c r="G8891" t="s">
        <v>55140</v>
      </c>
      <c r="H8891" t="s">
        <v>55141</v>
      </c>
      <c r="I8891" t="s">
        <v>55142</v>
      </c>
      <c r="J8891" t="s">
        <v>55137</v>
      </c>
      <c r="K8891" t="s">
        <v>55143</v>
      </c>
      <c r="L8891" t="s">
        <v>55137</v>
      </c>
    </row>
    <row r="8892" spans="1:12" x14ac:dyDescent="0.25">
      <c r="A8892">
        <v>1605707</v>
      </c>
      <c r="B8892">
        <v>1605730</v>
      </c>
      <c r="D8892" t="s">
        <v>2793</v>
      </c>
      <c r="E8892" t="s">
        <v>55145</v>
      </c>
      <c r="F8892" t="s">
        <v>55146</v>
      </c>
      <c r="G8892" t="s">
        <v>55147</v>
      </c>
      <c r="H8892" t="s">
        <v>55148</v>
      </c>
      <c r="I8892" t="s">
        <v>55149</v>
      </c>
      <c r="J8892" t="s">
        <v>55144</v>
      </c>
      <c r="K8892" t="s">
        <v>55150</v>
      </c>
      <c r="L8892" t="s">
        <v>55144</v>
      </c>
    </row>
    <row r="8893" spans="1:12" x14ac:dyDescent="0.25">
      <c r="A8893">
        <v>1605730</v>
      </c>
      <c r="B8893">
        <v>1605828</v>
      </c>
      <c r="D8893">
        <v>0</v>
      </c>
      <c r="E8893" t="s">
        <v>55151</v>
      </c>
      <c r="F8893" t="s">
        <v>55152</v>
      </c>
      <c r="G8893" t="s">
        <v>55153</v>
      </c>
      <c r="H8893" t="s">
        <v>55154</v>
      </c>
      <c r="I8893" t="s">
        <v>55155</v>
      </c>
      <c r="J8893" t="s">
        <v>15139</v>
      </c>
      <c r="K8893" t="s">
        <v>55156</v>
      </c>
      <c r="L8893" t="s">
        <v>15139</v>
      </c>
    </row>
    <row r="8894" spans="1:12" x14ac:dyDescent="0.25">
      <c r="A8894">
        <v>1607688</v>
      </c>
      <c r="B8894">
        <v>1607698</v>
      </c>
      <c r="D8894">
        <v>0</v>
      </c>
      <c r="E8894" t="s">
        <v>55158</v>
      </c>
      <c r="F8894" t="s">
        <v>55159</v>
      </c>
      <c r="G8894" t="s">
        <v>55160</v>
      </c>
      <c r="H8894" t="e" vm="3828">
        <f>_FV(0,"0018468286743722083")</f>
        <v>#VALUE!</v>
      </c>
      <c r="I8894" t="s">
        <v>55161</v>
      </c>
      <c r="J8894" t="s">
        <v>55162</v>
      </c>
      <c r="K8894" t="s">
        <v>55163</v>
      </c>
      <c r="L8894" t="s">
        <v>55157</v>
      </c>
    </row>
    <row r="8895" spans="1:12" x14ac:dyDescent="0.25">
      <c r="A8895">
        <v>1607698</v>
      </c>
      <c r="B8895">
        <v>1834417</v>
      </c>
      <c r="D8895" t="s">
        <v>55165</v>
      </c>
      <c r="E8895" t="s">
        <v>55166</v>
      </c>
      <c r="F8895" t="s">
        <v>55167</v>
      </c>
      <c r="G8895" t="s">
        <v>55168</v>
      </c>
      <c r="H8895" t="e" vm="3829">
        <f>_FV(0,"0048934188324857445")</f>
        <v>#VALUE!</v>
      </c>
      <c r="I8895" t="s">
        <v>55169</v>
      </c>
      <c r="J8895" t="s">
        <v>55170</v>
      </c>
      <c r="K8895" t="s">
        <v>55171</v>
      </c>
      <c r="L8895" t="s">
        <v>55164</v>
      </c>
    </row>
    <row r="8896" spans="1:12" x14ac:dyDescent="0.25">
      <c r="A8896">
        <v>1607704</v>
      </c>
      <c r="B8896">
        <v>1607720</v>
      </c>
      <c r="D8896">
        <v>0</v>
      </c>
      <c r="E8896" t="s">
        <v>55173</v>
      </c>
      <c r="F8896" t="s">
        <v>55174</v>
      </c>
      <c r="G8896" t="s">
        <v>55175</v>
      </c>
      <c r="H8896" t="s">
        <v>55176</v>
      </c>
      <c r="I8896" t="s">
        <v>55177</v>
      </c>
      <c r="J8896" t="s">
        <v>55178</v>
      </c>
      <c r="K8896" t="s">
        <v>55179</v>
      </c>
      <c r="L8896" t="s">
        <v>55172</v>
      </c>
    </row>
    <row r="8897" spans="1:12" x14ac:dyDescent="0.25">
      <c r="A8897">
        <v>1609037</v>
      </c>
      <c r="B8897">
        <v>1609056</v>
      </c>
      <c r="D8897">
        <v>0</v>
      </c>
      <c r="E8897" t="s">
        <v>55181</v>
      </c>
      <c r="F8897" t="s">
        <v>55182</v>
      </c>
      <c r="G8897" t="s">
        <v>55183</v>
      </c>
      <c r="H8897" t="e" vm="3830">
        <f>_FV(0,"0022773456251043243")</f>
        <v>#VALUE!</v>
      </c>
      <c r="I8897" t="s">
        <v>55184</v>
      </c>
      <c r="J8897" t="s">
        <v>55185</v>
      </c>
      <c r="K8897" t="s">
        <v>55186</v>
      </c>
      <c r="L8897" t="s">
        <v>55180</v>
      </c>
    </row>
    <row r="8898" spans="1:12" x14ac:dyDescent="0.25">
      <c r="A8898">
        <v>1609037</v>
      </c>
      <c r="B8898">
        <v>1761256</v>
      </c>
      <c r="D8898">
        <v>0</v>
      </c>
      <c r="E8898" t="s">
        <v>55188</v>
      </c>
      <c r="F8898" t="s">
        <v>55189</v>
      </c>
      <c r="G8898" t="s">
        <v>55190</v>
      </c>
      <c r="H8898" t="e" vm="3831">
        <f>_FV(0,"0071679974801653595")</f>
        <v>#VALUE!</v>
      </c>
      <c r="I8898" t="s">
        <v>55191</v>
      </c>
      <c r="J8898" t="s">
        <v>55192</v>
      </c>
      <c r="K8898" t="s">
        <v>55193</v>
      </c>
      <c r="L8898" t="s">
        <v>55187</v>
      </c>
    </row>
    <row r="8899" spans="1:12" x14ac:dyDescent="0.25">
      <c r="A8899">
        <v>1609037</v>
      </c>
      <c r="B8899">
        <v>1802282</v>
      </c>
      <c r="D8899">
        <v>0</v>
      </c>
      <c r="E8899" t="s">
        <v>55195</v>
      </c>
      <c r="F8899" t="s">
        <v>55196</v>
      </c>
      <c r="G8899" t="s">
        <v>55197</v>
      </c>
      <c r="H8899" t="s">
        <v>55198</v>
      </c>
      <c r="I8899" t="s">
        <v>55199</v>
      </c>
      <c r="J8899" t="s">
        <v>55200</v>
      </c>
      <c r="K8899" t="s">
        <v>55201</v>
      </c>
      <c r="L8899" t="s">
        <v>55194</v>
      </c>
    </row>
    <row r="8900" spans="1:12" x14ac:dyDescent="0.25">
      <c r="A8900">
        <v>1609056</v>
      </c>
      <c r="B8900">
        <v>1802249</v>
      </c>
      <c r="C8900" t="s">
        <v>55203</v>
      </c>
      <c r="D8900">
        <v>0</v>
      </c>
      <c r="E8900" t="s">
        <v>55204</v>
      </c>
      <c r="F8900" t="s">
        <v>55205</v>
      </c>
      <c r="G8900" t="s">
        <v>55206</v>
      </c>
      <c r="H8900" t="e" vm="3832">
        <f>_FV(0,"007364500208631679")</f>
        <v>#VALUE!</v>
      </c>
      <c r="I8900" t="s">
        <v>55207</v>
      </c>
      <c r="J8900" t="s">
        <v>55208</v>
      </c>
      <c r="K8900" t="s">
        <v>55209</v>
      </c>
      <c r="L8900" t="s">
        <v>55202</v>
      </c>
    </row>
    <row r="8901" spans="1:12" x14ac:dyDescent="0.25">
      <c r="A8901">
        <v>1609056</v>
      </c>
      <c r="B8901">
        <v>1761249</v>
      </c>
      <c r="D8901">
        <v>0</v>
      </c>
      <c r="F8901">
        <v>2060895</v>
      </c>
      <c r="G8901">
        <v>1609056</v>
      </c>
      <c r="H8901" t="s">
        <v>4331</v>
      </c>
      <c r="I8901">
        <v>1761249</v>
      </c>
      <c r="J8901" t="s">
        <v>4331</v>
      </c>
      <c r="K8901" t="s">
        <v>55210</v>
      </c>
      <c r="L8901" t="s">
        <v>4331</v>
      </c>
    </row>
    <row r="8902" spans="1:12" x14ac:dyDescent="0.25">
      <c r="A8902">
        <v>1610274</v>
      </c>
      <c r="B8902">
        <v>1610340</v>
      </c>
      <c r="D8902">
        <v>0</v>
      </c>
      <c r="E8902" t="s">
        <v>55212</v>
      </c>
      <c r="F8902" t="s">
        <v>55213</v>
      </c>
      <c r="G8902" t="s">
        <v>55214</v>
      </c>
      <c r="H8902" t="e" vm="3833">
        <f>_FV(0,"024239885400244614")</f>
        <v>#VALUE!</v>
      </c>
      <c r="I8902" t="s">
        <v>55215</v>
      </c>
      <c r="J8902" t="s">
        <v>55216</v>
      </c>
      <c r="K8902" t="s">
        <v>55217</v>
      </c>
      <c r="L8902" t="s">
        <v>55211</v>
      </c>
    </row>
    <row r="8903" spans="1:12" x14ac:dyDescent="0.25">
      <c r="A8903">
        <v>1610274</v>
      </c>
      <c r="B8903">
        <v>1610288</v>
      </c>
      <c r="D8903">
        <v>0</v>
      </c>
      <c r="E8903" t="s">
        <v>55219</v>
      </c>
      <c r="F8903" t="s">
        <v>55220</v>
      </c>
      <c r="G8903" t="s">
        <v>55221</v>
      </c>
      <c r="H8903" t="e" vm="3834">
        <f>_FV(0,"01622351823236755")</f>
        <v>#VALUE!</v>
      </c>
      <c r="I8903" t="s">
        <v>55222</v>
      </c>
      <c r="J8903" t="s">
        <v>55223</v>
      </c>
      <c r="K8903" t="s">
        <v>55224</v>
      </c>
      <c r="L8903" t="s">
        <v>55218</v>
      </c>
    </row>
    <row r="8904" spans="1:12" x14ac:dyDescent="0.25">
      <c r="A8904">
        <v>1610280</v>
      </c>
      <c r="B8904">
        <v>347578</v>
      </c>
      <c r="C8904" t="s">
        <v>55225</v>
      </c>
      <c r="D8904">
        <v>0</v>
      </c>
      <c r="F8904">
        <v>1835414</v>
      </c>
      <c r="G8904">
        <v>347578</v>
      </c>
      <c r="H8904" t="e" vm="350">
        <f>_FV(0,"009")</f>
        <v>#VALUE!</v>
      </c>
      <c r="I8904">
        <v>1610280</v>
      </c>
      <c r="J8904" t="s">
        <v>2068</v>
      </c>
      <c r="K8904" t="s">
        <v>55226</v>
      </c>
      <c r="L8904" t="e" vm="350">
        <f>_FV(0,"009")</f>
        <v>#VALUE!</v>
      </c>
    </row>
    <row r="8905" spans="1:12" x14ac:dyDescent="0.25">
      <c r="A8905">
        <v>1610280</v>
      </c>
      <c r="B8905">
        <v>1610328</v>
      </c>
      <c r="D8905">
        <v>0</v>
      </c>
      <c r="E8905" t="s">
        <v>55228</v>
      </c>
      <c r="F8905" t="s">
        <v>55229</v>
      </c>
      <c r="G8905" t="s">
        <v>55230</v>
      </c>
      <c r="H8905" t="e" vm="3835">
        <f>_FV(0,"017359055631263293")</f>
        <v>#VALUE!</v>
      </c>
      <c r="I8905" t="s">
        <v>55231</v>
      </c>
      <c r="J8905" t="s">
        <v>55232</v>
      </c>
      <c r="K8905" t="s">
        <v>55233</v>
      </c>
      <c r="L8905" t="s">
        <v>55227</v>
      </c>
    </row>
    <row r="8906" spans="1:12" x14ac:dyDescent="0.25">
      <c r="A8906">
        <v>1610280</v>
      </c>
      <c r="B8906">
        <v>1610336</v>
      </c>
      <c r="D8906">
        <v>0</v>
      </c>
      <c r="E8906" t="s">
        <v>55235</v>
      </c>
      <c r="F8906" t="s">
        <v>55236</v>
      </c>
      <c r="G8906" t="s">
        <v>55237</v>
      </c>
      <c r="H8906" t="e" vm="3836">
        <f>_FV(0,"021540316593315588")</f>
        <v>#VALUE!</v>
      </c>
      <c r="I8906" t="s">
        <v>55238</v>
      </c>
      <c r="J8906" t="s">
        <v>55239</v>
      </c>
      <c r="K8906" t="s">
        <v>55240</v>
      </c>
      <c r="L8906" t="s">
        <v>55234</v>
      </c>
    </row>
    <row r="8907" spans="1:12" x14ac:dyDescent="0.25">
      <c r="A8907">
        <v>1610288</v>
      </c>
      <c r="B8907">
        <v>1610340</v>
      </c>
      <c r="D8907">
        <v>0</v>
      </c>
      <c r="E8907" t="s">
        <v>55242</v>
      </c>
      <c r="F8907" t="s">
        <v>55243</v>
      </c>
      <c r="G8907" t="s">
        <v>55244</v>
      </c>
      <c r="H8907" t="s">
        <v>55245</v>
      </c>
      <c r="I8907" t="s">
        <v>55246</v>
      </c>
      <c r="J8907" t="s">
        <v>55241</v>
      </c>
      <c r="K8907" t="s">
        <v>55247</v>
      </c>
      <c r="L8907" t="s">
        <v>55241</v>
      </c>
    </row>
    <row r="8908" spans="1:12" x14ac:dyDescent="0.25">
      <c r="A8908">
        <v>1610328</v>
      </c>
      <c r="B8908">
        <v>1610336</v>
      </c>
      <c r="D8908">
        <v>0</v>
      </c>
      <c r="E8908" t="s">
        <v>55249</v>
      </c>
      <c r="F8908" t="s">
        <v>55250</v>
      </c>
      <c r="G8908" t="s">
        <v>55251</v>
      </c>
      <c r="H8908" t="s">
        <v>55252</v>
      </c>
      <c r="I8908" t="s">
        <v>55253</v>
      </c>
      <c r="J8908" t="s">
        <v>55248</v>
      </c>
      <c r="K8908" t="s">
        <v>55254</v>
      </c>
      <c r="L8908" t="s">
        <v>55248</v>
      </c>
    </row>
    <row r="8909" spans="1:12" x14ac:dyDescent="0.25">
      <c r="A8909">
        <v>1610336</v>
      </c>
      <c r="B8909">
        <v>1610340</v>
      </c>
      <c r="D8909">
        <v>0</v>
      </c>
      <c r="F8909">
        <v>1835510</v>
      </c>
      <c r="G8909">
        <v>1610340</v>
      </c>
      <c r="H8909" t="s">
        <v>1194</v>
      </c>
      <c r="I8909">
        <v>1610336</v>
      </c>
      <c r="J8909" t="s">
        <v>1194</v>
      </c>
      <c r="K8909" t="s">
        <v>55255</v>
      </c>
      <c r="L8909" t="s">
        <v>1194</v>
      </c>
    </row>
    <row r="8910" spans="1:12" x14ac:dyDescent="0.25">
      <c r="A8910">
        <v>1614721</v>
      </c>
      <c r="B8910">
        <v>1614734</v>
      </c>
      <c r="C8910" t="s">
        <v>2320</v>
      </c>
      <c r="D8910">
        <v>0</v>
      </c>
      <c r="E8910" t="s">
        <v>55257</v>
      </c>
      <c r="F8910" t="s">
        <v>55258</v>
      </c>
      <c r="G8910" t="s">
        <v>55259</v>
      </c>
      <c r="H8910" t="s">
        <v>55260</v>
      </c>
      <c r="I8910" t="s">
        <v>55261</v>
      </c>
      <c r="J8910" t="s">
        <v>55262</v>
      </c>
      <c r="K8910" t="s">
        <v>55263</v>
      </c>
      <c r="L8910" t="s">
        <v>55256</v>
      </c>
    </row>
    <row r="8911" spans="1:12" x14ac:dyDescent="0.25">
      <c r="A8911">
        <v>1614721</v>
      </c>
      <c r="B8911">
        <v>1614734</v>
      </c>
      <c r="D8911">
        <v>0</v>
      </c>
      <c r="E8911" t="s">
        <v>55265</v>
      </c>
      <c r="F8911" t="s">
        <v>55266</v>
      </c>
      <c r="G8911" t="s">
        <v>55267</v>
      </c>
      <c r="H8911" t="s">
        <v>55268</v>
      </c>
      <c r="I8911" t="s">
        <v>55269</v>
      </c>
      <c r="J8911" t="s">
        <v>55270</v>
      </c>
      <c r="K8911" t="s">
        <v>55271</v>
      </c>
      <c r="L8911" t="s">
        <v>55264</v>
      </c>
    </row>
    <row r="8912" spans="1:12" x14ac:dyDescent="0.25">
      <c r="A8912">
        <v>1616003</v>
      </c>
      <c r="B8912">
        <v>1616028</v>
      </c>
      <c r="D8912">
        <v>0</v>
      </c>
      <c r="E8912" t="s">
        <v>55273</v>
      </c>
      <c r="F8912" t="s">
        <v>55274</v>
      </c>
      <c r="G8912" t="s">
        <v>55275</v>
      </c>
      <c r="H8912" t="e" vm="3837">
        <f>_FV(0,"02950850251430268")</f>
        <v>#VALUE!</v>
      </c>
      <c r="I8912" t="s">
        <v>55276</v>
      </c>
      <c r="J8912" t="s">
        <v>55277</v>
      </c>
      <c r="K8912" t="s">
        <v>55278</v>
      </c>
      <c r="L8912" t="s">
        <v>55272</v>
      </c>
    </row>
    <row r="8913" spans="1:12" x14ac:dyDescent="0.25">
      <c r="A8913">
        <v>1616024</v>
      </c>
      <c r="B8913">
        <v>1616028</v>
      </c>
      <c r="D8913">
        <v>0</v>
      </c>
      <c r="F8913">
        <v>1844935</v>
      </c>
      <c r="G8913">
        <v>1616028</v>
      </c>
      <c r="H8913" t="e" vm="2594">
        <f>_FV(0,"07")</f>
        <v>#VALUE!</v>
      </c>
      <c r="I8913">
        <v>1616024</v>
      </c>
      <c r="J8913" t="s">
        <v>24389</v>
      </c>
      <c r="K8913" t="s">
        <v>55279</v>
      </c>
      <c r="L8913" t="e" vm="2594">
        <f>_FV(0,"07")</f>
        <v>#VALUE!</v>
      </c>
    </row>
    <row r="8914" spans="1:12" x14ac:dyDescent="0.25">
      <c r="A8914">
        <v>1616024</v>
      </c>
      <c r="B8914">
        <v>1616251</v>
      </c>
      <c r="D8914" t="s">
        <v>514</v>
      </c>
      <c r="E8914" t="s">
        <v>55281</v>
      </c>
      <c r="F8914" t="s">
        <v>55282</v>
      </c>
      <c r="G8914" t="s">
        <v>55283</v>
      </c>
      <c r="H8914" t="e" vm="3838">
        <f>_FV(0,"015755683867259673")</f>
        <v>#VALUE!</v>
      </c>
      <c r="I8914" t="s">
        <v>55284</v>
      </c>
      <c r="J8914" t="s">
        <v>55285</v>
      </c>
      <c r="K8914" t="s">
        <v>55286</v>
      </c>
      <c r="L8914" t="s">
        <v>55280</v>
      </c>
    </row>
    <row r="8915" spans="1:12" x14ac:dyDescent="0.25">
      <c r="A8915">
        <v>1616121</v>
      </c>
      <c r="B8915">
        <v>1616139</v>
      </c>
      <c r="D8915" t="s">
        <v>715</v>
      </c>
      <c r="E8915" t="s">
        <v>55288</v>
      </c>
      <c r="F8915" t="s">
        <v>55289</v>
      </c>
      <c r="G8915" t="s">
        <v>55290</v>
      </c>
      <c r="H8915" t="s">
        <v>55291</v>
      </c>
      <c r="I8915" t="s">
        <v>55292</v>
      </c>
      <c r="J8915" t="s">
        <v>55287</v>
      </c>
      <c r="K8915" t="s">
        <v>55293</v>
      </c>
      <c r="L8915" t="s">
        <v>55287</v>
      </c>
    </row>
    <row r="8916" spans="1:12" x14ac:dyDescent="0.25">
      <c r="A8916">
        <v>1616251</v>
      </c>
      <c r="B8916">
        <v>1616282</v>
      </c>
      <c r="D8916" t="s">
        <v>6367</v>
      </c>
      <c r="E8916" t="s">
        <v>55295</v>
      </c>
      <c r="F8916" t="s">
        <v>55296</v>
      </c>
      <c r="G8916" t="s">
        <v>55297</v>
      </c>
      <c r="H8916" t="s">
        <v>55298</v>
      </c>
      <c r="I8916" t="s">
        <v>55299</v>
      </c>
      <c r="J8916" t="s">
        <v>55300</v>
      </c>
      <c r="K8916" t="s">
        <v>55301</v>
      </c>
      <c r="L8916" t="s">
        <v>55294</v>
      </c>
    </row>
    <row r="8917" spans="1:12" x14ac:dyDescent="0.25">
      <c r="A8917">
        <v>1616391</v>
      </c>
      <c r="B8917">
        <v>1616408</v>
      </c>
      <c r="D8917">
        <v>0</v>
      </c>
      <c r="E8917" t="s">
        <v>55303</v>
      </c>
      <c r="F8917" t="s">
        <v>55304</v>
      </c>
      <c r="G8917" t="s">
        <v>55305</v>
      </c>
      <c r="H8917" t="e" vm="3839">
        <f>_FV(0,"009163698891496565")</f>
        <v>#VALUE!</v>
      </c>
      <c r="I8917" t="s">
        <v>55306</v>
      </c>
      <c r="J8917" t="s">
        <v>55307</v>
      </c>
      <c r="K8917" t="s">
        <v>55308</v>
      </c>
      <c r="L8917" t="s">
        <v>55302</v>
      </c>
    </row>
    <row r="8918" spans="1:12" x14ac:dyDescent="0.25">
      <c r="A8918">
        <v>1616627</v>
      </c>
      <c r="B8918">
        <v>1616643</v>
      </c>
      <c r="D8918">
        <v>0</v>
      </c>
      <c r="E8918" t="s">
        <v>55310</v>
      </c>
      <c r="F8918" t="s">
        <v>55311</v>
      </c>
      <c r="G8918" t="s">
        <v>55312</v>
      </c>
      <c r="H8918" t="s">
        <v>55313</v>
      </c>
      <c r="I8918" t="s">
        <v>55314</v>
      </c>
      <c r="J8918" t="s">
        <v>55315</v>
      </c>
      <c r="K8918" t="s">
        <v>55316</v>
      </c>
      <c r="L8918" t="s">
        <v>55309</v>
      </c>
    </row>
    <row r="8919" spans="1:12" x14ac:dyDescent="0.25">
      <c r="A8919">
        <v>1616627</v>
      </c>
      <c r="B8919">
        <v>1616668</v>
      </c>
      <c r="D8919">
        <v>0</v>
      </c>
      <c r="E8919" t="s">
        <v>55318</v>
      </c>
      <c r="F8919" t="s">
        <v>55319</v>
      </c>
      <c r="G8919" t="s">
        <v>55320</v>
      </c>
      <c r="H8919" t="e" vm="3840">
        <f>_FV(0,"05166432193947708")</f>
        <v>#VALUE!</v>
      </c>
      <c r="I8919" t="s">
        <v>55321</v>
      </c>
      <c r="J8919" t="s">
        <v>29899</v>
      </c>
      <c r="K8919" t="s">
        <v>55322</v>
      </c>
      <c r="L8919" t="s">
        <v>55317</v>
      </c>
    </row>
    <row r="8920" spans="1:12" x14ac:dyDescent="0.25">
      <c r="A8920">
        <v>1616627</v>
      </c>
      <c r="B8920">
        <v>1616680</v>
      </c>
      <c r="D8920">
        <v>0</v>
      </c>
      <c r="E8920" t="s">
        <v>55324</v>
      </c>
      <c r="F8920" t="s">
        <v>55325</v>
      </c>
      <c r="G8920" t="s">
        <v>55326</v>
      </c>
      <c r="H8920" t="e" vm="3841">
        <f>_FV(0,"03309160229709233")</f>
        <v>#VALUE!</v>
      </c>
      <c r="I8920" t="s">
        <v>55327</v>
      </c>
      <c r="J8920" t="s">
        <v>55328</v>
      </c>
      <c r="K8920" t="s">
        <v>55329</v>
      </c>
      <c r="L8920" t="s">
        <v>55323</v>
      </c>
    </row>
    <row r="8921" spans="1:12" x14ac:dyDescent="0.25">
      <c r="A8921">
        <v>1616643</v>
      </c>
      <c r="B8921">
        <v>1616651</v>
      </c>
      <c r="D8921">
        <v>0</v>
      </c>
      <c r="E8921" t="s">
        <v>55331</v>
      </c>
      <c r="F8921" t="s">
        <v>55332</v>
      </c>
      <c r="G8921" t="s">
        <v>55333</v>
      </c>
      <c r="H8921" t="s">
        <v>55334</v>
      </c>
      <c r="I8921" t="s">
        <v>55335</v>
      </c>
      <c r="J8921" t="s">
        <v>55330</v>
      </c>
      <c r="K8921" t="s">
        <v>55336</v>
      </c>
      <c r="L8921" t="s">
        <v>55330</v>
      </c>
    </row>
    <row r="8922" spans="1:12" x14ac:dyDescent="0.25">
      <c r="A8922">
        <v>1616643</v>
      </c>
      <c r="B8922">
        <v>1616684</v>
      </c>
      <c r="D8922">
        <v>0</v>
      </c>
      <c r="E8922" t="s">
        <v>55337</v>
      </c>
      <c r="F8922" t="s">
        <v>55338</v>
      </c>
      <c r="G8922" t="s">
        <v>55339</v>
      </c>
      <c r="H8922" t="s">
        <v>55340</v>
      </c>
      <c r="I8922" t="s">
        <v>55341</v>
      </c>
      <c r="J8922" t="s">
        <v>9276</v>
      </c>
      <c r="K8922" t="s">
        <v>55342</v>
      </c>
      <c r="L8922" t="s">
        <v>9276</v>
      </c>
    </row>
    <row r="8923" spans="1:12" x14ac:dyDescent="0.25">
      <c r="A8923">
        <v>1616651</v>
      </c>
      <c r="B8923">
        <v>1616668</v>
      </c>
      <c r="D8923">
        <v>0</v>
      </c>
      <c r="E8923" t="s">
        <v>55344</v>
      </c>
      <c r="F8923" t="s">
        <v>55345</v>
      </c>
      <c r="G8923" t="s">
        <v>55346</v>
      </c>
      <c r="H8923" t="e" vm="3842">
        <f>_FV(0,"0019543082799716523")</f>
        <v>#VALUE!</v>
      </c>
      <c r="I8923" t="s">
        <v>55347</v>
      </c>
      <c r="J8923" t="s">
        <v>55348</v>
      </c>
      <c r="K8923" t="s">
        <v>55349</v>
      </c>
      <c r="L8923" t="s">
        <v>55343</v>
      </c>
    </row>
    <row r="8924" spans="1:12" x14ac:dyDescent="0.25">
      <c r="A8924">
        <v>1616651</v>
      </c>
      <c r="B8924">
        <v>1616684</v>
      </c>
      <c r="D8924">
        <v>0</v>
      </c>
      <c r="E8924" t="s">
        <v>55350</v>
      </c>
      <c r="F8924" t="s">
        <v>55351</v>
      </c>
      <c r="G8924" t="s">
        <v>55352</v>
      </c>
      <c r="H8924" t="e" vm="3843">
        <f>_FV(0,"0060370846761958336")</f>
        <v>#VALUE!</v>
      </c>
      <c r="I8924" t="s">
        <v>55353</v>
      </c>
      <c r="J8924" t="s">
        <v>41206</v>
      </c>
      <c r="K8924" t="s">
        <v>55354</v>
      </c>
      <c r="L8924" t="s">
        <v>41201</v>
      </c>
    </row>
    <row r="8925" spans="1:12" x14ac:dyDescent="0.25">
      <c r="A8925">
        <v>1616668</v>
      </c>
      <c r="B8925">
        <v>1616680</v>
      </c>
      <c r="D8925">
        <v>0</v>
      </c>
      <c r="E8925" t="s">
        <v>55356</v>
      </c>
      <c r="F8925" t="s">
        <v>55357</v>
      </c>
      <c r="G8925" t="s">
        <v>55358</v>
      </c>
      <c r="H8925" t="e" vm="3844">
        <f>_FV(0,"009822667504047412")</f>
        <v>#VALUE!</v>
      </c>
      <c r="I8925" t="s">
        <v>55359</v>
      </c>
      <c r="J8925" t="s">
        <v>55360</v>
      </c>
      <c r="K8925" t="s">
        <v>55361</v>
      </c>
      <c r="L8925" t="s">
        <v>55355</v>
      </c>
    </row>
    <row r="8926" spans="1:12" x14ac:dyDescent="0.25">
      <c r="A8926">
        <v>1617533</v>
      </c>
      <c r="B8926">
        <v>1622165</v>
      </c>
      <c r="D8926">
        <v>0</v>
      </c>
      <c r="E8926" t="s">
        <v>55363</v>
      </c>
      <c r="F8926" t="s">
        <v>55364</v>
      </c>
      <c r="G8926" t="s">
        <v>55365</v>
      </c>
      <c r="H8926" t="e" vm="3845">
        <f>_FV(0,"06282081946532764")</f>
        <v>#VALUE!</v>
      </c>
      <c r="I8926" t="s">
        <v>55366</v>
      </c>
      <c r="J8926" t="s">
        <v>55367</v>
      </c>
      <c r="K8926" t="s">
        <v>55368</v>
      </c>
      <c r="L8926" t="s">
        <v>55362</v>
      </c>
    </row>
    <row r="8927" spans="1:12" x14ac:dyDescent="0.25">
      <c r="A8927">
        <v>1617533</v>
      </c>
      <c r="B8927">
        <v>1621272</v>
      </c>
      <c r="C8927" t="s">
        <v>55370</v>
      </c>
      <c r="D8927" t="s">
        <v>55371</v>
      </c>
      <c r="E8927" t="s">
        <v>55372</v>
      </c>
      <c r="F8927" t="s">
        <v>55373</v>
      </c>
      <c r="G8927" t="s">
        <v>55374</v>
      </c>
      <c r="H8927" t="s">
        <v>55375</v>
      </c>
      <c r="I8927" t="s">
        <v>55376</v>
      </c>
      <c r="J8927" t="s">
        <v>55377</v>
      </c>
      <c r="K8927" t="s">
        <v>55378</v>
      </c>
      <c r="L8927" t="s">
        <v>55369</v>
      </c>
    </row>
    <row r="8928" spans="1:12" x14ac:dyDescent="0.25">
      <c r="A8928">
        <v>1617533</v>
      </c>
      <c r="B8928">
        <v>1620881</v>
      </c>
      <c r="D8928">
        <v>0</v>
      </c>
      <c r="F8928">
        <v>1851422</v>
      </c>
      <c r="G8928">
        <v>1617533</v>
      </c>
      <c r="H8928" t="s">
        <v>2292</v>
      </c>
      <c r="I8928">
        <v>1620881</v>
      </c>
      <c r="J8928" t="s">
        <v>2292</v>
      </c>
      <c r="K8928" t="s">
        <v>55379</v>
      </c>
      <c r="L8928" t="s">
        <v>2292</v>
      </c>
    </row>
    <row r="8929" spans="1:12" x14ac:dyDescent="0.25">
      <c r="A8929">
        <v>1617561</v>
      </c>
      <c r="B8929">
        <v>1622127</v>
      </c>
      <c r="D8929" t="s">
        <v>55371</v>
      </c>
      <c r="E8929" t="s">
        <v>55381</v>
      </c>
      <c r="F8929" t="s">
        <v>55382</v>
      </c>
      <c r="G8929" t="s">
        <v>55383</v>
      </c>
      <c r="H8929" t="s">
        <v>55384</v>
      </c>
      <c r="I8929" t="s">
        <v>55385</v>
      </c>
      <c r="J8929" t="s">
        <v>55386</v>
      </c>
      <c r="K8929" t="s">
        <v>55387</v>
      </c>
      <c r="L8929" t="s">
        <v>55380</v>
      </c>
    </row>
    <row r="8930" spans="1:12" x14ac:dyDescent="0.25">
      <c r="A8930">
        <v>1617561</v>
      </c>
      <c r="B8930">
        <v>1620872</v>
      </c>
      <c r="D8930">
        <v>0</v>
      </c>
      <c r="E8930" t="s">
        <v>55389</v>
      </c>
      <c r="F8930" t="s">
        <v>55390</v>
      </c>
      <c r="G8930" t="s">
        <v>55391</v>
      </c>
      <c r="H8930" t="s">
        <v>55392</v>
      </c>
      <c r="I8930" t="s">
        <v>55393</v>
      </c>
      <c r="J8930" t="s">
        <v>55388</v>
      </c>
      <c r="K8930" t="s">
        <v>55394</v>
      </c>
      <c r="L8930" t="s">
        <v>55388</v>
      </c>
    </row>
    <row r="8931" spans="1:12" x14ac:dyDescent="0.25">
      <c r="A8931">
        <v>1617561</v>
      </c>
      <c r="B8931">
        <v>1621415</v>
      </c>
      <c r="D8931">
        <v>0</v>
      </c>
      <c r="E8931" t="s">
        <v>55396</v>
      </c>
      <c r="F8931" t="s">
        <v>55397</v>
      </c>
      <c r="G8931" t="s">
        <v>55398</v>
      </c>
      <c r="H8931" t="s">
        <v>55399</v>
      </c>
      <c r="I8931" t="s">
        <v>55400</v>
      </c>
      <c r="J8931" t="s">
        <v>55401</v>
      </c>
      <c r="K8931" t="s">
        <v>55402</v>
      </c>
      <c r="L8931" t="s">
        <v>55395</v>
      </c>
    </row>
    <row r="8932" spans="1:12" x14ac:dyDescent="0.25">
      <c r="A8932">
        <v>1620526</v>
      </c>
      <c r="B8932">
        <v>1176971</v>
      </c>
      <c r="D8932">
        <v>0</v>
      </c>
      <c r="E8932" t="s">
        <v>55404</v>
      </c>
      <c r="F8932" t="s">
        <v>55405</v>
      </c>
      <c r="G8932" t="s">
        <v>55406</v>
      </c>
      <c r="H8932" t="s">
        <v>55407</v>
      </c>
      <c r="I8932" t="s">
        <v>55408</v>
      </c>
      <c r="J8932" t="s">
        <v>55409</v>
      </c>
      <c r="K8932" t="s">
        <v>55410</v>
      </c>
      <c r="L8932" t="s">
        <v>55403</v>
      </c>
    </row>
    <row r="8933" spans="1:12" x14ac:dyDescent="0.25">
      <c r="A8933">
        <v>1620872</v>
      </c>
      <c r="B8933">
        <v>1621483</v>
      </c>
      <c r="D8933">
        <v>0</v>
      </c>
      <c r="E8933" t="s">
        <v>55412</v>
      </c>
      <c r="F8933" t="s">
        <v>55413</v>
      </c>
      <c r="G8933" t="s">
        <v>55414</v>
      </c>
      <c r="H8933" t="s">
        <v>55415</v>
      </c>
      <c r="I8933" t="s">
        <v>55416</v>
      </c>
      <c r="J8933" t="s">
        <v>55417</v>
      </c>
      <c r="K8933" t="s">
        <v>55418</v>
      </c>
      <c r="L8933" t="s">
        <v>55411</v>
      </c>
    </row>
    <row r="8934" spans="1:12" x14ac:dyDescent="0.25">
      <c r="A8934">
        <v>1620872</v>
      </c>
      <c r="B8934">
        <v>1620910</v>
      </c>
      <c r="D8934" t="s">
        <v>55420</v>
      </c>
      <c r="E8934" t="s">
        <v>55421</v>
      </c>
      <c r="F8934" t="s">
        <v>55422</v>
      </c>
      <c r="G8934" t="s">
        <v>55423</v>
      </c>
      <c r="H8934" t="e" vm="3846">
        <f>_FV(0,"004182476406829831")</f>
        <v>#VALUE!</v>
      </c>
      <c r="I8934" t="s">
        <v>55424</v>
      </c>
      <c r="J8934" t="s">
        <v>55425</v>
      </c>
      <c r="K8934" t="s">
        <v>55426</v>
      </c>
      <c r="L8934" t="s">
        <v>55419</v>
      </c>
    </row>
    <row r="8935" spans="1:12" x14ac:dyDescent="0.25">
      <c r="A8935">
        <v>1620881</v>
      </c>
      <c r="B8935">
        <v>1620967</v>
      </c>
      <c r="C8935" t="s">
        <v>55428</v>
      </c>
      <c r="D8935" t="s">
        <v>55420</v>
      </c>
      <c r="E8935" t="s">
        <v>55429</v>
      </c>
      <c r="F8935" t="s">
        <v>55430</v>
      </c>
      <c r="G8935" t="s">
        <v>55431</v>
      </c>
      <c r="H8935" t="e" vm="3847">
        <f>_FV(0,"007182006239403613")</f>
        <v>#VALUE!</v>
      </c>
      <c r="I8935" t="s">
        <v>55432</v>
      </c>
      <c r="J8935" t="s">
        <v>55433</v>
      </c>
      <c r="K8935" t="s">
        <v>55434</v>
      </c>
      <c r="L8935" t="s">
        <v>55427</v>
      </c>
    </row>
    <row r="8936" spans="1:12" x14ac:dyDescent="0.25">
      <c r="A8936">
        <v>1620881</v>
      </c>
      <c r="B8936">
        <v>1622142</v>
      </c>
      <c r="D8936">
        <v>0</v>
      </c>
      <c r="E8936" t="s">
        <v>55436</v>
      </c>
      <c r="F8936" t="s">
        <v>55437</v>
      </c>
      <c r="G8936" t="s">
        <v>55438</v>
      </c>
      <c r="H8936" t="e" vm="3848">
        <f>_FV(0,"013476850766656763")</f>
        <v>#VALUE!</v>
      </c>
      <c r="I8936" t="s">
        <v>55439</v>
      </c>
      <c r="J8936" t="s">
        <v>55440</v>
      </c>
      <c r="K8936" t="s">
        <v>55441</v>
      </c>
      <c r="L8936" t="s">
        <v>55435</v>
      </c>
    </row>
    <row r="8937" spans="1:12" x14ac:dyDescent="0.25">
      <c r="A8937">
        <v>1620910</v>
      </c>
      <c r="B8937">
        <v>1620967</v>
      </c>
      <c r="D8937">
        <v>0</v>
      </c>
      <c r="E8937" t="s">
        <v>55443</v>
      </c>
      <c r="F8937" t="s">
        <v>55444</v>
      </c>
      <c r="G8937" t="s">
        <v>55445</v>
      </c>
      <c r="H8937" t="e" vm="3849">
        <f>_FV(0,"006980733550855105")</f>
        <v>#VALUE!</v>
      </c>
      <c r="I8937" t="s">
        <v>55446</v>
      </c>
      <c r="J8937" t="s">
        <v>18616</v>
      </c>
      <c r="K8937" t="s">
        <v>55447</v>
      </c>
      <c r="L8937" t="s">
        <v>55442</v>
      </c>
    </row>
    <row r="8938" spans="1:12" x14ac:dyDescent="0.25">
      <c r="A8938">
        <v>1620910</v>
      </c>
      <c r="B8938">
        <v>1620947</v>
      </c>
      <c r="D8938">
        <v>0</v>
      </c>
      <c r="F8938">
        <v>1853002</v>
      </c>
      <c r="G8938">
        <v>1620910</v>
      </c>
      <c r="H8938" t="e" vm="1084">
        <f>_FV(0,"018")</f>
        <v>#VALUE!</v>
      </c>
      <c r="I8938">
        <v>1620947</v>
      </c>
      <c r="J8938" t="s">
        <v>697</v>
      </c>
      <c r="K8938" t="s">
        <v>55448</v>
      </c>
      <c r="L8938" t="e" vm="1084">
        <f>_FV(0,"018")</f>
        <v>#VALUE!</v>
      </c>
    </row>
    <row r="8939" spans="1:12" x14ac:dyDescent="0.25">
      <c r="A8939">
        <v>1620935</v>
      </c>
      <c r="B8939">
        <v>1620947</v>
      </c>
      <c r="D8939">
        <v>0</v>
      </c>
      <c r="E8939" t="s">
        <v>55450</v>
      </c>
      <c r="F8939" t="s">
        <v>55451</v>
      </c>
      <c r="G8939" t="s">
        <v>55452</v>
      </c>
      <c r="H8939" t="e" vm="3850">
        <f>_FV(0,"0247746914035037")</f>
        <v>#VALUE!</v>
      </c>
      <c r="I8939" t="s">
        <v>55453</v>
      </c>
      <c r="J8939" t="s">
        <v>55454</v>
      </c>
      <c r="K8939" t="s">
        <v>55455</v>
      </c>
      <c r="L8939" t="s">
        <v>55449</v>
      </c>
    </row>
    <row r="8940" spans="1:12" x14ac:dyDescent="0.25">
      <c r="A8940">
        <v>1620935</v>
      </c>
      <c r="B8940">
        <v>1620951</v>
      </c>
      <c r="D8940">
        <v>0</v>
      </c>
      <c r="E8940" t="s">
        <v>55457</v>
      </c>
      <c r="F8940" t="s">
        <v>55458</v>
      </c>
      <c r="G8940" t="s">
        <v>55459</v>
      </c>
      <c r="H8940" t="e" vm="3851">
        <f>_FV(0,"02588655027953625")</f>
        <v>#VALUE!</v>
      </c>
      <c r="I8940" t="s">
        <v>55460</v>
      </c>
      <c r="J8940" t="s">
        <v>20458</v>
      </c>
      <c r="K8940" t="s">
        <v>55461</v>
      </c>
      <c r="L8940" t="s">
        <v>55456</v>
      </c>
    </row>
    <row r="8941" spans="1:12" x14ac:dyDescent="0.25">
      <c r="A8941">
        <v>1620947</v>
      </c>
      <c r="B8941">
        <v>1620951</v>
      </c>
      <c r="D8941">
        <v>0</v>
      </c>
      <c r="E8941" t="s">
        <v>55462</v>
      </c>
      <c r="F8941" t="s">
        <v>55463</v>
      </c>
      <c r="G8941" t="s">
        <v>55464</v>
      </c>
      <c r="H8941" t="s">
        <v>55465</v>
      </c>
      <c r="I8941" t="s">
        <v>55466</v>
      </c>
      <c r="J8941" t="s">
        <v>1776</v>
      </c>
      <c r="K8941" t="s">
        <v>55467</v>
      </c>
      <c r="L8941" t="s">
        <v>1776</v>
      </c>
    </row>
    <row r="8942" spans="1:12" x14ac:dyDescent="0.25">
      <c r="A8942">
        <v>1620951</v>
      </c>
      <c r="B8942">
        <v>1620967</v>
      </c>
      <c r="D8942">
        <v>0</v>
      </c>
      <c r="E8942" t="s">
        <v>55469</v>
      </c>
      <c r="F8942" t="s">
        <v>55470</v>
      </c>
      <c r="G8942" t="s">
        <v>55471</v>
      </c>
      <c r="H8942" t="s">
        <v>55472</v>
      </c>
      <c r="I8942" t="s">
        <v>55473</v>
      </c>
      <c r="J8942" t="s">
        <v>55468</v>
      </c>
      <c r="K8942" t="s">
        <v>55474</v>
      </c>
      <c r="L8942" t="s">
        <v>55468</v>
      </c>
    </row>
    <row r="8943" spans="1:12" x14ac:dyDescent="0.25">
      <c r="A8943">
        <v>1621272</v>
      </c>
      <c r="B8943">
        <v>1621301</v>
      </c>
      <c r="D8943" t="s">
        <v>2793</v>
      </c>
      <c r="E8943" t="s">
        <v>55476</v>
      </c>
      <c r="F8943" t="s">
        <v>55477</v>
      </c>
      <c r="G8943" t="s">
        <v>55478</v>
      </c>
      <c r="H8943" t="s">
        <v>55479</v>
      </c>
      <c r="I8943" t="s">
        <v>55480</v>
      </c>
      <c r="J8943" t="s">
        <v>55481</v>
      </c>
      <c r="K8943" t="s">
        <v>55482</v>
      </c>
      <c r="L8943" t="s">
        <v>55475</v>
      </c>
    </row>
    <row r="8944" spans="1:12" x14ac:dyDescent="0.25">
      <c r="A8944">
        <v>1621272</v>
      </c>
      <c r="B8944">
        <v>1621813</v>
      </c>
      <c r="D8944">
        <v>0</v>
      </c>
      <c r="E8944" t="s">
        <v>55484</v>
      </c>
      <c r="F8944" t="s">
        <v>55485</v>
      </c>
      <c r="G8944" t="s">
        <v>55486</v>
      </c>
      <c r="H8944" t="e" vm="3852">
        <f>_FV(0,"0776562058321345")</f>
        <v>#VALUE!</v>
      </c>
      <c r="I8944" t="s">
        <v>55487</v>
      </c>
      <c r="J8944" t="s">
        <v>55488</v>
      </c>
      <c r="K8944" t="s">
        <v>55489</v>
      </c>
      <c r="L8944" t="s">
        <v>55483</v>
      </c>
    </row>
    <row r="8945" spans="1:12" x14ac:dyDescent="0.25">
      <c r="A8945">
        <v>1621301</v>
      </c>
      <c r="B8945">
        <v>1621843</v>
      </c>
      <c r="D8945" t="s">
        <v>514</v>
      </c>
      <c r="E8945" t="s">
        <v>55491</v>
      </c>
      <c r="F8945" t="s">
        <v>55492</v>
      </c>
      <c r="G8945" t="s">
        <v>55493</v>
      </c>
      <c r="H8945" t="e" vm="3853">
        <f>_FV(0,"00011968866156980933")</f>
        <v>#VALUE!</v>
      </c>
      <c r="I8945" t="s">
        <v>55494</v>
      </c>
      <c r="J8945" t="s">
        <v>55495</v>
      </c>
      <c r="K8945" t="s">
        <v>55496</v>
      </c>
      <c r="L8945" t="s">
        <v>55490</v>
      </c>
    </row>
    <row r="8946" spans="1:12" x14ac:dyDescent="0.25">
      <c r="A8946">
        <v>1621735</v>
      </c>
      <c r="B8946">
        <v>1703067</v>
      </c>
      <c r="D8946">
        <v>0</v>
      </c>
      <c r="E8946" t="s">
        <v>55497</v>
      </c>
      <c r="F8946" t="s">
        <v>55498</v>
      </c>
      <c r="G8946" t="s">
        <v>55499</v>
      </c>
      <c r="H8946" t="s">
        <v>55500</v>
      </c>
      <c r="I8946" t="s">
        <v>55501</v>
      </c>
      <c r="J8946" t="s">
        <v>9762</v>
      </c>
      <c r="K8946" t="s">
        <v>55502</v>
      </c>
      <c r="L8946" t="s">
        <v>9762</v>
      </c>
    </row>
    <row r="8947" spans="1:12" x14ac:dyDescent="0.25">
      <c r="A8947">
        <v>1621735</v>
      </c>
      <c r="B8947">
        <v>1754462</v>
      </c>
      <c r="D8947">
        <v>0</v>
      </c>
      <c r="E8947" t="s">
        <v>55504</v>
      </c>
      <c r="F8947" t="s">
        <v>55505</v>
      </c>
      <c r="G8947" t="s">
        <v>55506</v>
      </c>
      <c r="H8947" t="e" vm="3854">
        <f>_FV(0,"10385775184868788")</f>
        <v>#VALUE!</v>
      </c>
      <c r="I8947" t="s">
        <v>55507</v>
      </c>
      <c r="J8947" t="s">
        <v>55508</v>
      </c>
      <c r="K8947" t="s">
        <v>55509</v>
      </c>
      <c r="L8947" t="s">
        <v>55503</v>
      </c>
    </row>
    <row r="8948" spans="1:12" x14ac:dyDescent="0.25">
      <c r="A8948">
        <v>1621844</v>
      </c>
      <c r="B8948">
        <v>1621916</v>
      </c>
      <c r="D8948" t="s">
        <v>514</v>
      </c>
      <c r="E8948" t="s">
        <v>55511</v>
      </c>
      <c r="F8948" t="s">
        <v>55512</v>
      </c>
      <c r="G8948" t="s">
        <v>55513</v>
      </c>
      <c r="H8948" t="s">
        <v>55514</v>
      </c>
      <c r="I8948" t="s">
        <v>55515</v>
      </c>
      <c r="J8948" t="s">
        <v>55516</v>
      </c>
      <c r="K8948" t="s">
        <v>55517</v>
      </c>
      <c r="L8948" t="s">
        <v>55510</v>
      </c>
    </row>
    <row r="8949" spans="1:12" x14ac:dyDescent="0.25">
      <c r="A8949">
        <v>1621882</v>
      </c>
      <c r="B8949">
        <v>1622127</v>
      </c>
      <c r="D8949">
        <v>0</v>
      </c>
      <c r="E8949" t="s">
        <v>55519</v>
      </c>
      <c r="F8949" t="s">
        <v>55520</v>
      </c>
      <c r="G8949" t="s">
        <v>55521</v>
      </c>
      <c r="H8949" t="s">
        <v>55522</v>
      </c>
      <c r="I8949" t="s">
        <v>55523</v>
      </c>
      <c r="J8949" t="s">
        <v>55518</v>
      </c>
      <c r="K8949" t="s">
        <v>55524</v>
      </c>
      <c r="L8949" t="s">
        <v>55518</v>
      </c>
    </row>
    <row r="8950" spans="1:12" x14ac:dyDescent="0.25">
      <c r="A8950">
        <v>1621916</v>
      </c>
      <c r="B8950">
        <v>1622127</v>
      </c>
      <c r="D8950" t="s">
        <v>2793</v>
      </c>
      <c r="E8950" t="s">
        <v>55526</v>
      </c>
      <c r="F8950" t="s">
        <v>55527</v>
      </c>
      <c r="G8950" t="s">
        <v>55528</v>
      </c>
      <c r="H8950" t="s">
        <v>55529</v>
      </c>
      <c r="I8950" t="s">
        <v>55530</v>
      </c>
      <c r="J8950" t="s">
        <v>55531</v>
      </c>
      <c r="K8950" t="s">
        <v>55532</v>
      </c>
      <c r="L8950" t="s">
        <v>55525</v>
      </c>
    </row>
    <row r="8951" spans="1:12" x14ac:dyDescent="0.25">
      <c r="A8951">
        <v>1622330</v>
      </c>
      <c r="B8951">
        <v>1622331</v>
      </c>
      <c r="D8951">
        <v>0</v>
      </c>
      <c r="F8951">
        <v>1852779</v>
      </c>
      <c r="G8951">
        <v>1622331</v>
      </c>
      <c r="H8951" t="e" vm="215">
        <f>_FV(0,"02")</f>
        <v>#VALUE!</v>
      </c>
      <c r="I8951">
        <v>1622330</v>
      </c>
      <c r="J8951" t="s">
        <v>3317</v>
      </c>
      <c r="K8951" t="s">
        <v>55533</v>
      </c>
      <c r="L8951" t="e" vm="215">
        <f>_FV(0,"02")</f>
        <v>#VALUE!</v>
      </c>
    </row>
    <row r="8952" spans="1:12" x14ac:dyDescent="0.25">
      <c r="A8952">
        <v>1622330</v>
      </c>
      <c r="B8952">
        <v>1622366</v>
      </c>
      <c r="D8952">
        <v>0</v>
      </c>
      <c r="E8952" t="s">
        <v>55535</v>
      </c>
      <c r="F8952" t="s">
        <v>55536</v>
      </c>
      <c r="G8952" t="s">
        <v>55537</v>
      </c>
      <c r="H8952" t="e" vm="3855">
        <f>_FV(0,"026296546775458007")</f>
        <v>#VALUE!</v>
      </c>
      <c r="I8952" t="s">
        <v>55538</v>
      </c>
      <c r="J8952" t="s">
        <v>55539</v>
      </c>
      <c r="K8952" t="s">
        <v>55540</v>
      </c>
      <c r="L8952" t="s">
        <v>55534</v>
      </c>
    </row>
    <row r="8953" spans="1:12" x14ac:dyDescent="0.25">
      <c r="A8953">
        <v>1622330</v>
      </c>
      <c r="B8953">
        <v>1622377</v>
      </c>
      <c r="D8953">
        <v>0</v>
      </c>
      <c r="E8953" t="s">
        <v>55542</v>
      </c>
      <c r="F8953" t="s">
        <v>55543</v>
      </c>
      <c r="G8953" t="s">
        <v>55544</v>
      </c>
      <c r="H8953" t="e" vm="3856">
        <f>_FV(0,"024271389501502108")</f>
        <v>#VALUE!</v>
      </c>
      <c r="I8953" t="s">
        <v>55545</v>
      </c>
      <c r="J8953" t="s">
        <v>55546</v>
      </c>
      <c r="K8953" t="s">
        <v>55547</v>
      </c>
      <c r="L8953" t="s">
        <v>55541</v>
      </c>
    </row>
    <row r="8954" spans="1:12" x14ac:dyDescent="0.25">
      <c r="A8954">
        <v>1622331</v>
      </c>
      <c r="B8954">
        <v>1716430</v>
      </c>
      <c r="D8954">
        <v>0</v>
      </c>
      <c r="E8954" t="s">
        <v>55549</v>
      </c>
      <c r="F8954" t="s">
        <v>55550</v>
      </c>
      <c r="G8954" t="s">
        <v>55551</v>
      </c>
      <c r="H8954" t="s">
        <v>55552</v>
      </c>
      <c r="I8954" t="s">
        <v>55553</v>
      </c>
      <c r="J8954" t="s">
        <v>55548</v>
      </c>
      <c r="K8954" t="s">
        <v>55554</v>
      </c>
      <c r="L8954" t="s">
        <v>55548</v>
      </c>
    </row>
    <row r="8955" spans="1:12" x14ac:dyDescent="0.25">
      <c r="A8955">
        <v>1622331</v>
      </c>
      <c r="B8955">
        <v>1716456</v>
      </c>
      <c r="D8955">
        <v>0</v>
      </c>
      <c r="E8955" t="s">
        <v>55555</v>
      </c>
      <c r="F8955" t="s">
        <v>55556</v>
      </c>
      <c r="G8955" t="s">
        <v>55557</v>
      </c>
      <c r="H8955" t="e" vm="3857">
        <f>_FV(0,"0001360135177433064")</f>
        <v>#VALUE!</v>
      </c>
      <c r="I8955" t="s">
        <v>55558</v>
      </c>
      <c r="J8955" t="s">
        <v>31346</v>
      </c>
      <c r="K8955" t="s">
        <v>55559</v>
      </c>
      <c r="L8955" t="s">
        <v>31340</v>
      </c>
    </row>
    <row r="8956" spans="1:12" x14ac:dyDescent="0.25">
      <c r="A8956">
        <v>1622346</v>
      </c>
      <c r="B8956">
        <v>1622366</v>
      </c>
      <c r="D8956">
        <v>0</v>
      </c>
      <c r="E8956" t="s">
        <v>55561</v>
      </c>
      <c r="F8956" t="s">
        <v>55562</v>
      </c>
      <c r="G8956" t="s">
        <v>55563</v>
      </c>
      <c r="H8956" t="e" vm="3858">
        <f>_FV(0,"02016656584913314")</f>
        <v>#VALUE!</v>
      </c>
      <c r="I8956" t="s">
        <v>55564</v>
      </c>
      <c r="J8956" t="s">
        <v>55565</v>
      </c>
      <c r="K8956" t="s">
        <v>55566</v>
      </c>
      <c r="L8956" t="s">
        <v>55560</v>
      </c>
    </row>
    <row r="8957" spans="1:12" x14ac:dyDescent="0.25">
      <c r="A8957">
        <v>1622346</v>
      </c>
      <c r="B8957">
        <v>1622386</v>
      </c>
      <c r="D8957">
        <v>0</v>
      </c>
      <c r="E8957" t="s">
        <v>55567</v>
      </c>
      <c r="F8957" t="s">
        <v>55568</v>
      </c>
      <c r="G8957" t="s">
        <v>55569</v>
      </c>
      <c r="H8957" t="s">
        <v>668</v>
      </c>
      <c r="I8957" t="s">
        <v>55570</v>
      </c>
      <c r="J8957" t="s">
        <v>668</v>
      </c>
      <c r="K8957" t="s">
        <v>55571</v>
      </c>
      <c r="L8957" t="s">
        <v>668</v>
      </c>
    </row>
    <row r="8958" spans="1:12" x14ac:dyDescent="0.25">
      <c r="A8958">
        <v>1622346</v>
      </c>
      <c r="B8958">
        <v>1622422</v>
      </c>
      <c r="D8958">
        <v>0</v>
      </c>
      <c r="E8958" t="s">
        <v>55573</v>
      </c>
      <c r="F8958" t="s">
        <v>55574</v>
      </c>
      <c r="G8958" t="s">
        <v>55575</v>
      </c>
      <c r="H8958" t="e" vm="3859">
        <f>_FV(0,"00054263369011767")</f>
        <v>#VALUE!</v>
      </c>
      <c r="I8958" t="s">
        <v>55576</v>
      </c>
      <c r="J8958" t="s">
        <v>1438</v>
      </c>
      <c r="K8958" t="s">
        <v>55577</v>
      </c>
      <c r="L8958" t="s">
        <v>55572</v>
      </c>
    </row>
    <row r="8959" spans="1:12" x14ac:dyDescent="0.25">
      <c r="A8959">
        <v>1622366</v>
      </c>
      <c r="B8959">
        <v>1622377</v>
      </c>
      <c r="D8959">
        <v>0</v>
      </c>
      <c r="E8959" t="s">
        <v>55579</v>
      </c>
      <c r="F8959" t="s">
        <v>55580</v>
      </c>
      <c r="G8959" t="s">
        <v>55581</v>
      </c>
      <c r="H8959" t="e" vm="3860">
        <f>_FV(0,"0260618943238391")</f>
        <v>#VALUE!</v>
      </c>
      <c r="I8959" t="s">
        <v>55582</v>
      </c>
      <c r="J8959" t="s">
        <v>13672</v>
      </c>
      <c r="K8959" t="s">
        <v>55583</v>
      </c>
      <c r="L8959" t="s">
        <v>55578</v>
      </c>
    </row>
    <row r="8960" spans="1:12" x14ac:dyDescent="0.25">
      <c r="A8960">
        <v>1622377</v>
      </c>
      <c r="B8960">
        <v>1622386</v>
      </c>
      <c r="D8960">
        <v>0</v>
      </c>
      <c r="F8960">
        <v>1852828</v>
      </c>
      <c r="G8960">
        <v>1622386</v>
      </c>
      <c r="H8960" t="s">
        <v>2704</v>
      </c>
      <c r="I8960">
        <v>1622377</v>
      </c>
      <c r="J8960" t="s">
        <v>2704</v>
      </c>
      <c r="K8960" t="s">
        <v>55584</v>
      </c>
      <c r="L8960" t="s">
        <v>2704</v>
      </c>
    </row>
    <row r="8961" spans="1:12" x14ac:dyDescent="0.25">
      <c r="A8961">
        <v>1622386</v>
      </c>
      <c r="B8961">
        <v>1622422</v>
      </c>
      <c r="D8961">
        <v>0</v>
      </c>
      <c r="E8961" t="s">
        <v>55586</v>
      </c>
      <c r="F8961" t="s">
        <v>55587</v>
      </c>
      <c r="G8961" t="s">
        <v>55588</v>
      </c>
      <c r="H8961" t="e" vm="3861">
        <f>_FV(0,"028685424318734092")</f>
        <v>#VALUE!</v>
      </c>
      <c r="I8961" t="s">
        <v>55589</v>
      </c>
      <c r="J8961" t="s">
        <v>55590</v>
      </c>
      <c r="K8961" t="s">
        <v>55591</v>
      </c>
      <c r="L8961" t="s">
        <v>55585</v>
      </c>
    </row>
    <row r="8962" spans="1:12" x14ac:dyDescent="0.25">
      <c r="A8962">
        <v>1622421</v>
      </c>
      <c r="B8962">
        <v>1622422</v>
      </c>
      <c r="D8962">
        <v>0</v>
      </c>
      <c r="F8962">
        <v>1852861</v>
      </c>
      <c r="G8962">
        <v>1622422</v>
      </c>
      <c r="H8962" t="s">
        <v>187</v>
      </c>
      <c r="I8962">
        <v>1622421</v>
      </c>
      <c r="J8962" t="s">
        <v>187</v>
      </c>
      <c r="K8962" t="s">
        <v>55592</v>
      </c>
      <c r="L8962" t="s">
        <v>187</v>
      </c>
    </row>
    <row r="8963" spans="1:12" x14ac:dyDescent="0.25">
      <c r="A8963">
        <v>1622421</v>
      </c>
      <c r="B8963">
        <v>1757013</v>
      </c>
      <c r="D8963" t="s">
        <v>55594</v>
      </c>
      <c r="E8963" t="s">
        <v>55595</v>
      </c>
      <c r="F8963" t="s">
        <v>55596</v>
      </c>
      <c r="G8963" t="s">
        <v>55597</v>
      </c>
      <c r="H8963" t="e" vm="3862">
        <f>_FV(0,"0012311903791880601")</f>
        <v>#VALUE!</v>
      </c>
      <c r="I8963" t="s">
        <v>55598</v>
      </c>
      <c r="J8963" t="s">
        <v>55599</v>
      </c>
      <c r="K8963" t="s">
        <v>55600</v>
      </c>
      <c r="L8963" t="s">
        <v>55593</v>
      </c>
    </row>
    <row r="8964" spans="1:12" x14ac:dyDescent="0.25">
      <c r="A8964">
        <v>1633182</v>
      </c>
      <c r="B8964">
        <v>1633215</v>
      </c>
      <c r="D8964">
        <v>0</v>
      </c>
      <c r="E8964" t="s">
        <v>55602</v>
      </c>
      <c r="F8964" t="s">
        <v>55603</v>
      </c>
      <c r="G8964" t="s">
        <v>55604</v>
      </c>
      <c r="H8964" t="e" vm="3863">
        <f>_FV(0,"05535945509654834")</f>
        <v>#VALUE!</v>
      </c>
      <c r="I8964" t="s">
        <v>55605</v>
      </c>
      <c r="J8964" t="s">
        <v>55606</v>
      </c>
      <c r="K8964" t="s">
        <v>55607</v>
      </c>
      <c r="L8964" t="s">
        <v>55601</v>
      </c>
    </row>
    <row r="8965" spans="1:12" x14ac:dyDescent="0.25">
      <c r="A8965">
        <v>1633182</v>
      </c>
      <c r="B8965">
        <v>1754016</v>
      </c>
      <c r="C8965" t="s">
        <v>55609</v>
      </c>
      <c r="D8965">
        <v>0</v>
      </c>
      <c r="E8965" t="s">
        <v>55610</v>
      </c>
      <c r="F8965" t="s">
        <v>55611</v>
      </c>
      <c r="G8965" t="s">
        <v>55612</v>
      </c>
      <c r="H8965" t="s">
        <v>55613</v>
      </c>
      <c r="I8965" t="s">
        <v>55614</v>
      </c>
      <c r="J8965" t="s">
        <v>55615</v>
      </c>
      <c r="K8965" t="s">
        <v>55616</v>
      </c>
      <c r="L8965" t="s">
        <v>55608</v>
      </c>
    </row>
    <row r="8966" spans="1:12" x14ac:dyDescent="0.25">
      <c r="A8966">
        <v>1654994</v>
      </c>
      <c r="B8966">
        <v>1655024</v>
      </c>
      <c r="D8966" t="s">
        <v>12317</v>
      </c>
      <c r="E8966" t="s">
        <v>55618</v>
      </c>
      <c r="F8966" t="s">
        <v>55619</v>
      </c>
      <c r="G8966" t="s">
        <v>55620</v>
      </c>
      <c r="H8966" t="s">
        <v>55621</v>
      </c>
      <c r="I8966" t="s">
        <v>55622</v>
      </c>
      <c r="J8966" t="s">
        <v>55617</v>
      </c>
      <c r="K8966" t="s">
        <v>55623</v>
      </c>
      <c r="L8966" t="s">
        <v>55617</v>
      </c>
    </row>
    <row r="8967" spans="1:12" x14ac:dyDescent="0.25">
      <c r="A8967">
        <v>1654994</v>
      </c>
      <c r="B8967">
        <v>1667799</v>
      </c>
      <c r="D8967" t="s">
        <v>715</v>
      </c>
      <c r="E8967" t="s">
        <v>55625</v>
      </c>
      <c r="F8967" t="s">
        <v>55626</v>
      </c>
      <c r="G8967" t="s">
        <v>55627</v>
      </c>
      <c r="H8967" t="s">
        <v>55628</v>
      </c>
      <c r="I8967" t="s">
        <v>55629</v>
      </c>
      <c r="J8967" t="s">
        <v>55624</v>
      </c>
      <c r="K8967" t="s">
        <v>55630</v>
      </c>
      <c r="L8967" t="s">
        <v>55624</v>
      </c>
    </row>
    <row r="8968" spans="1:12" x14ac:dyDescent="0.25">
      <c r="A8968">
        <v>1654994</v>
      </c>
      <c r="B8968">
        <v>1854844</v>
      </c>
      <c r="D8968">
        <v>0</v>
      </c>
      <c r="E8968" t="s">
        <v>55631</v>
      </c>
      <c r="H8968" t="s">
        <v>187</v>
      </c>
      <c r="J8968">
        <v>0</v>
      </c>
      <c r="K8968" t="s">
        <v>55632</v>
      </c>
      <c r="L8968">
        <v>0</v>
      </c>
    </row>
    <row r="8969" spans="1:12" x14ac:dyDescent="0.25">
      <c r="A8969">
        <v>1655024</v>
      </c>
      <c r="B8969">
        <v>1656268</v>
      </c>
      <c r="D8969">
        <v>0</v>
      </c>
      <c r="E8969" t="s">
        <v>55634</v>
      </c>
      <c r="F8969" t="s">
        <v>55635</v>
      </c>
      <c r="G8969" t="s">
        <v>55636</v>
      </c>
      <c r="H8969" t="s">
        <v>55637</v>
      </c>
      <c r="I8969" t="s">
        <v>55638</v>
      </c>
      <c r="J8969" t="s">
        <v>55633</v>
      </c>
      <c r="K8969" t="s">
        <v>55639</v>
      </c>
      <c r="L8969" t="s">
        <v>55633</v>
      </c>
    </row>
    <row r="8970" spans="1:12" x14ac:dyDescent="0.25">
      <c r="A8970">
        <v>1655024</v>
      </c>
      <c r="B8970">
        <v>1667799</v>
      </c>
      <c r="D8970">
        <v>0</v>
      </c>
      <c r="F8970">
        <v>1900478</v>
      </c>
      <c r="G8970">
        <v>1655024</v>
      </c>
      <c r="H8970" t="s">
        <v>55640</v>
      </c>
      <c r="I8970">
        <v>1667799</v>
      </c>
      <c r="J8970" t="s">
        <v>55640</v>
      </c>
      <c r="K8970" t="s">
        <v>55641</v>
      </c>
      <c r="L8970" t="s">
        <v>55640</v>
      </c>
    </row>
    <row r="8971" spans="1:12" x14ac:dyDescent="0.25">
      <c r="A8971">
        <v>1655220</v>
      </c>
      <c r="B8971">
        <v>1655234</v>
      </c>
      <c r="D8971">
        <v>0</v>
      </c>
      <c r="E8971" t="s">
        <v>55643</v>
      </c>
      <c r="F8971" t="s">
        <v>55644</v>
      </c>
      <c r="G8971" t="s">
        <v>55645</v>
      </c>
      <c r="H8971" t="e" vm="3864">
        <f>_FV(0,"03268367114098477")</f>
        <v>#VALUE!</v>
      </c>
      <c r="I8971" t="s">
        <v>55646</v>
      </c>
      <c r="J8971" t="s">
        <v>55647</v>
      </c>
      <c r="K8971" t="s">
        <v>55648</v>
      </c>
      <c r="L8971" t="s">
        <v>55642</v>
      </c>
    </row>
    <row r="8972" spans="1:12" x14ac:dyDescent="0.25">
      <c r="A8972">
        <v>1655234</v>
      </c>
      <c r="B8972">
        <v>1659666</v>
      </c>
      <c r="C8972" t="s">
        <v>393</v>
      </c>
      <c r="D8972" t="s">
        <v>55650</v>
      </c>
      <c r="E8972" t="s">
        <v>55651</v>
      </c>
      <c r="F8972" t="s">
        <v>55652</v>
      </c>
      <c r="G8972" t="s">
        <v>55653</v>
      </c>
      <c r="H8972" t="s">
        <v>55654</v>
      </c>
      <c r="I8972" t="s">
        <v>55655</v>
      </c>
      <c r="J8972" t="s">
        <v>55656</v>
      </c>
      <c r="K8972" t="s">
        <v>55657</v>
      </c>
      <c r="L8972" t="s">
        <v>55649</v>
      </c>
    </row>
    <row r="8973" spans="1:12" x14ac:dyDescent="0.25">
      <c r="A8973">
        <v>1655234</v>
      </c>
      <c r="B8973">
        <v>1670339</v>
      </c>
      <c r="D8973">
        <v>0</v>
      </c>
      <c r="E8973" t="s">
        <v>55658</v>
      </c>
      <c r="F8973" t="s">
        <v>55659</v>
      </c>
      <c r="G8973" t="s">
        <v>55660</v>
      </c>
      <c r="H8973" t="e" vm="221">
        <f>_FV(0,"052")</f>
        <v>#VALUE!</v>
      </c>
      <c r="I8973" t="s">
        <v>55661</v>
      </c>
      <c r="J8973" t="s">
        <v>3378</v>
      </c>
      <c r="K8973" t="s">
        <v>55662</v>
      </c>
      <c r="L8973" t="e" vm="221">
        <f>_FV(0,"052")</f>
        <v>#VALUE!</v>
      </c>
    </row>
    <row r="8974" spans="1:12" x14ac:dyDescent="0.25">
      <c r="A8974">
        <v>1655832</v>
      </c>
      <c r="B8974">
        <v>1854843</v>
      </c>
      <c r="C8974" t="s">
        <v>55663</v>
      </c>
      <c r="D8974">
        <v>0</v>
      </c>
      <c r="E8974" t="s">
        <v>55664</v>
      </c>
      <c r="H8974" t="s">
        <v>187</v>
      </c>
      <c r="J8974">
        <v>0</v>
      </c>
      <c r="K8974" t="s">
        <v>55665</v>
      </c>
      <c r="L8974">
        <v>0</v>
      </c>
    </row>
    <row r="8975" spans="1:12" x14ac:dyDescent="0.25">
      <c r="A8975">
        <v>1655845</v>
      </c>
      <c r="B8975">
        <v>1662585</v>
      </c>
      <c r="D8975">
        <v>0</v>
      </c>
      <c r="E8975" t="s">
        <v>55667</v>
      </c>
      <c r="F8975" t="s">
        <v>55668</v>
      </c>
      <c r="G8975" t="s">
        <v>55669</v>
      </c>
      <c r="H8975" t="s">
        <v>55670</v>
      </c>
      <c r="I8975" t="s">
        <v>55671</v>
      </c>
      <c r="J8975" t="s">
        <v>55672</v>
      </c>
      <c r="K8975" t="s">
        <v>55673</v>
      </c>
      <c r="L8975" t="s">
        <v>55666</v>
      </c>
    </row>
    <row r="8976" spans="1:12" x14ac:dyDescent="0.25">
      <c r="A8976">
        <v>1655933</v>
      </c>
      <c r="B8976">
        <v>1655940</v>
      </c>
      <c r="D8976">
        <v>0</v>
      </c>
      <c r="F8976">
        <v>1891411</v>
      </c>
      <c r="G8976">
        <v>1655940</v>
      </c>
      <c r="H8976" t="s">
        <v>1687</v>
      </c>
      <c r="I8976">
        <v>1655933</v>
      </c>
      <c r="J8976" t="s">
        <v>1687</v>
      </c>
      <c r="K8976" t="s">
        <v>55674</v>
      </c>
      <c r="L8976" t="s">
        <v>1687</v>
      </c>
    </row>
    <row r="8977" spans="1:12" x14ac:dyDescent="0.25">
      <c r="A8977">
        <v>1655940</v>
      </c>
      <c r="B8977">
        <v>1648617</v>
      </c>
      <c r="C8977" t="s">
        <v>55676</v>
      </c>
      <c r="D8977">
        <v>0</v>
      </c>
      <c r="E8977" t="s">
        <v>55677</v>
      </c>
      <c r="F8977" t="s">
        <v>55678</v>
      </c>
      <c r="G8977" t="s">
        <v>55679</v>
      </c>
      <c r="H8977" t="e" vm="3865">
        <f>_FV(0,"0059136246060336")</f>
        <v>#VALUE!</v>
      </c>
      <c r="I8977" t="s">
        <v>55680</v>
      </c>
      <c r="J8977" t="s">
        <v>55681</v>
      </c>
      <c r="K8977" t="s">
        <v>55682</v>
      </c>
      <c r="L8977" t="s">
        <v>55675</v>
      </c>
    </row>
    <row r="8978" spans="1:12" x14ac:dyDescent="0.25">
      <c r="A8978">
        <v>1655940</v>
      </c>
      <c r="B8978">
        <v>1648617</v>
      </c>
      <c r="D8978">
        <v>0</v>
      </c>
      <c r="E8978" t="s">
        <v>55684</v>
      </c>
      <c r="F8978" t="s">
        <v>55685</v>
      </c>
      <c r="G8978" t="s">
        <v>55686</v>
      </c>
      <c r="H8978" t="e" vm="3866">
        <f>_FV(0,"005782812935869432")</f>
        <v>#VALUE!</v>
      </c>
      <c r="I8978" t="s">
        <v>55687</v>
      </c>
      <c r="J8978" t="s">
        <v>55688</v>
      </c>
      <c r="K8978" t="s">
        <v>55689</v>
      </c>
      <c r="L8978" t="s">
        <v>55683</v>
      </c>
    </row>
    <row r="8979" spans="1:12" x14ac:dyDescent="0.25">
      <c r="A8979">
        <v>1648617</v>
      </c>
      <c r="B8979">
        <v>1585017</v>
      </c>
      <c r="D8979">
        <v>0</v>
      </c>
      <c r="E8979" t="s">
        <v>55691</v>
      </c>
      <c r="F8979" t="s">
        <v>55692</v>
      </c>
      <c r="G8979" t="s">
        <v>55693</v>
      </c>
      <c r="H8979" t="e" vm="3867">
        <f>_FV(0,"053253705459692255")</f>
        <v>#VALUE!</v>
      </c>
      <c r="I8979" t="s">
        <v>55694</v>
      </c>
      <c r="J8979" t="s">
        <v>55695</v>
      </c>
      <c r="K8979" t="s">
        <v>55696</v>
      </c>
      <c r="L8979" t="s">
        <v>55690</v>
      </c>
    </row>
    <row r="8980" spans="1:12" x14ac:dyDescent="0.25">
      <c r="A8980">
        <v>1585017</v>
      </c>
      <c r="B8980">
        <v>1589383</v>
      </c>
      <c r="C8980" t="s">
        <v>55698</v>
      </c>
      <c r="D8980">
        <v>0</v>
      </c>
      <c r="E8980" t="s">
        <v>55699</v>
      </c>
      <c r="F8980" t="s">
        <v>55700</v>
      </c>
      <c r="G8980" t="s">
        <v>55701</v>
      </c>
      <c r="H8980" t="e" vm="3868">
        <f>_FV(0,"043294713186804")</f>
        <v>#VALUE!</v>
      </c>
      <c r="I8980" t="s">
        <v>55702</v>
      </c>
      <c r="J8980" t="s">
        <v>55703</v>
      </c>
      <c r="K8980" t="s">
        <v>55704</v>
      </c>
      <c r="L8980" t="s">
        <v>55697</v>
      </c>
    </row>
    <row r="8981" spans="1:12" x14ac:dyDescent="0.25">
      <c r="A8981">
        <v>1585017</v>
      </c>
      <c r="B8981">
        <v>1589383</v>
      </c>
      <c r="D8981">
        <v>0</v>
      </c>
      <c r="E8981" t="s">
        <v>55706</v>
      </c>
      <c r="F8981" t="s">
        <v>55707</v>
      </c>
      <c r="G8981" t="s">
        <v>55708</v>
      </c>
      <c r="H8981" t="e" vm="3869">
        <f>_FV(0,"04411131741343078")</f>
        <v>#VALUE!</v>
      </c>
      <c r="I8981" t="s">
        <v>55709</v>
      </c>
      <c r="J8981" t="s">
        <v>55710</v>
      </c>
      <c r="K8981" t="s">
        <v>55711</v>
      </c>
      <c r="L8981" t="s">
        <v>55705</v>
      </c>
    </row>
    <row r="8982" spans="1:12" x14ac:dyDescent="0.25">
      <c r="A8982">
        <v>1589383</v>
      </c>
      <c r="B8982">
        <v>1747695</v>
      </c>
      <c r="C8982" t="s">
        <v>55713</v>
      </c>
      <c r="D8982">
        <v>0</v>
      </c>
      <c r="E8982" t="s">
        <v>55714</v>
      </c>
      <c r="F8982" t="s">
        <v>55715</v>
      </c>
      <c r="G8982" t="s">
        <v>55716</v>
      </c>
      <c r="H8982" t="e" vm="3870">
        <f>_FV(0,"10677451125834268")</f>
        <v>#VALUE!</v>
      </c>
      <c r="I8982" t="s">
        <v>55717</v>
      </c>
      <c r="J8982" t="s">
        <v>55718</v>
      </c>
      <c r="K8982" t="s">
        <v>55719</v>
      </c>
      <c r="L8982" t="s">
        <v>55712</v>
      </c>
    </row>
    <row r="8983" spans="1:12" x14ac:dyDescent="0.25">
      <c r="A8983">
        <v>1656047</v>
      </c>
      <c r="B8983">
        <v>1656091</v>
      </c>
      <c r="D8983">
        <v>0</v>
      </c>
      <c r="E8983" t="s">
        <v>55721</v>
      </c>
      <c r="F8983" t="s">
        <v>55722</v>
      </c>
      <c r="G8983" t="s">
        <v>55723</v>
      </c>
      <c r="H8983" t="s">
        <v>55724</v>
      </c>
      <c r="I8983" t="s">
        <v>55725</v>
      </c>
      <c r="J8983" t="s">
        <v>55720</v>
      </c>
      <c r="K8983" t="s">
        <v>55726</v>
      </c>
      <c r="L8983" t="s">
        <v>55720</v>
      </c>
    </row>
    <row r="8984" spans="1:12" x14ac:dyDescent="0.25">
      <c r="A8984">
        <v>1656047</v>
      </c>
      <c r="B8984">
        <v>1656091</v>
      </c>
      <c r="D8984">
        <v>0</v>
      </c>
      <c r="E8984" t="s">
        <v>55728</v>
      </c>
      <c r="F8984" t="s">
        <v>55729</v>
      </c>
      <c r="G8984" t="s">
        <v>55730</v>
      </c>
      <c r="H8984" t="s">
        <v>55731</v>
      </c>
      <c r="I8984" t="s">
        <v>55732</v>
      </c>
      <c r="J8984" t="s">
        <v>55733</v>
      </c>
      <c r="K8984" t="s">
        <v>55734</v>
      </c>
      <c r="L8984" t="s">
        <v>55727</v>
      </c>
    </row>
    <row r="8985" spans="1:12" x14ac:dyDescent="0.25">
      <c r="A8985">
        <v>1656047</v>
      </c>
      <c r="B8985">
        <v>1854835</v>
      </c>
      <c r="D8985">
        <v>0</v>
      </c>
      <c r="E8985" t="s">
        <v>55735</v>
      </c>
      <c r="H8985" t="s">
        <v>187</v>
      </c>
      <c r="J8985">
        <v>0</v>
      </c>
      <c r="K8985" t="s">
        <v>39567</v>
      </c>
      <c r="L8985">
        <v>0</v>
      </c>
    </row>
    <row r="8986" spans="1:12" x14ac:dyDescent="0.25">
      <c r="A8986">
        <v>1656091</v>
      </c>
      <c r="B8986">
        <v>1656101</v>
      </c>
      <c r="D8986" t="s">
        <v>55737</v>
      </c>
      <c r="E8986" t="s">
        <v>55738</v>
      </c>
      <c r="F8986" t="s">
        <v>55739</v>
      </c>
      <c r="G8986" t="s">
        <v>55740</v>
      </c>
      <c r="H8986" t="e" vm="3871">
        <f>_FV(0,"0009787088209190005")</f>
        <v>#VALUE!</v>
      </c>
      <c r="I8986" t="s">
        <v>55741</v>
      </c>
      <c r="J8986" t="s">
        <v>55742</v>
      </c>
      <c r="K8986" t="s">
        <v>55743</v>
      </c>
      <c r="L8986" t="s">
        <v>55736</v>
      </c>
    </row>
    <row r="8987" spans="1:12" x14ac:dyDescent="0.25">
      <c r="A8987">
        <v>1656101</v>
      </c>
      <c r="B8987">
        <v>1656115</v>
      </c>
      <c r="D8987">
        <v>0</v>
      </c>
      <c r="E8987" t="s">
        <v>55745</v>
      </c>
      <c r="F8987" t="s">
        <v>55746</v>
      </c>
      <c r="G8987" t="s">
        <v>55747</v>
      </c>
      <c r="H8987" t="s">
        <v>55748</v>
      </c>
      <c r="I8987" t="s">
        <v>55749</v>
      </c>
      <c r="J8987" t="s">
        <v>55750</v>
      </c>
      <c r="K8987" t="s">
        <v>55751</v>
      </c>
      <c r="L8987" t="s">
        <v>55744</v>
      </c>
    </row>
    <row r="8988" spans="1:12" x14ac:dyDescent="0.25">
      <c r="A8988">
        <v>1656101</v>
      </c>
      <c r="B8988">
        <v>1656115</v>
      </c>
      <c r="D8988">
        <v>0</v>
      </c>
      <c r="E8988" t="s">
        <v>55753</v>
      </c>
      <c r="F8988" t="s">
        <v>55754</v>
      </c>
      <c r="G8988" t="s">
        <v>55755</v>
      </c>
      <c r="H8988" t="s">
        <v>55756</v>
      </c>
      <c r="I8988" t="s">
        <v>55757</v>
      </c>
      <c r="J8988" t="s">
        <v>55758</v>
      </c>
      <c r="K8988" t="s">
        <v>55759</v>
      </c>
      <c r="L8988" t="s">
        <v>55752</v>
      </c>
    </row>
    <row r="8989" spans="1:12" x14ac:dyDescent="0.25">
      <c r="A8989">
        <v>1656205</v>
      </c>
      <c r="B8989">
        <v>1664980</v>
      </c>
      <c r="D8989">
        <v>0</v>
      </c>
      <c r="E8989" t="s">
        <v>55760</v>
      </c>
      <c r="F8989" t="s">
        <v>55761</v>
      </c>
      <c r="G8989" t="s">
        <v>55762</v>
      </c>
      <c r="H8989" t="s">
        <v>55763</v>
      </c>
      <c r="I8989" t="s">
        <v>55764</v>
      </c>
      <c r="J8989" t="s">
        <v>46264</v>
      </c>
      <c r="K8989" t="s">
        <v>55765</v>
      </c>
      <c r="L8989" t="s">
        <v>46264</v>
      </c>
    </row>
    <row r="8990" spans="1:12" x14ac:dyDescent="0.25">
      <c r="A8990">
        <v>1656205</v>
      </c>
      <c r="B8990">
        <v>1656207</v>
      </c>
      <c r="D8990">
        <v>0</v>
      </c>
      <c r="E8990" t="s">
        <v>55767</v>
      </c>
      <c r="F8990" t="s">
        <v>55768</v>
      </c>
      <c r="G8990" t="s">
        <v>55769</v>
      </c>
      <c r="H8990" t="e" vm="3872">
        <f>_FV(0,"026304663011792382")</f>
        <v>#VALUE!</v>
      </c>
      <c r="I8990" t="s">
        <v>55770</v>
      </c>
      <c r="J8990" t="s">
        <v>55771</v>
      </c>
      <c r="K8990" t="s">
        <v>55772</v>
      </c>
      <c r="L8990" t="s">
        <v>55766</v>
      </c>
    </row>
    <row r="8991" spans="1:12" x14ac:dyDescent="0.25">
      <c r="A8991">
        <v>1656207</v>
      </c>
      <c r="B8991">
        <v>1656217</v>
      </c>
      <c r="D8991">
        <v>0</v>
      </c>
      <c r="E8991" t="s">
        <v>55774</v>
      </c>
      <c r="F8991" t="s">
        <v>55775</v>
      </c>
      <c r="G8991" t="s">
        <v>55776</v>
      </c>
      <c r="H8991" t="s">
        <v>55777</v>
      </c>
      <c r="I8991" t="s">
        <v>55778</v>
      </c>
      <c r="J8991" t="s">
        <v>55773</v>
      </c>
      <c r="K8991" t="s">
        <v>55779</v>
      </c>
      <c r="L8991" t="s">
        <v>55773</v>
      </c>
    </row>
    <row r="8992" spans="1:12" x14ac:dyDescent="0.25">
      <c r="A8992">
        <v>1656207</v>
      </c>
      <c r="B8992">
        <v>1664981</v>
      </c>
      <c r="D8992">
        <v>0</v>
      </c>
      <c r="E8992" t="s">
        <v>55781</v>
      </c>
      <c r="F8992" t="s">
        <v>55782</v>
      </c>
      <c r="G8992" t="s">
        <v>55783</v>
      </c>
      <c r="H8992" t="s">
        <v>55784</v>
      </c>
      <c r="I8992" t="s">
        <v>55785</v>
      </c>
      <c r="J8992" t="s">
        <v>55780</v>
      </c>
      <c r="K8992" t="s">
        <v>55786</v>
      </c>
      <c r="L8992" t="s">
        <v>55780</v>
      </c>
    </row>
    <row r="8993" spans="1:12" x14ac:dyDescent="0.25">
      <c r="A8993">
        <v>1656217</v>
      </c>
      <c r="B8993">
        <v>1656222</v>
      </c>
      <c r="C8993" t="s">
        <v>55788</v>
      </c>
      <c r="D8993">
        <v>0</v>
      </c>
      <c r="E8993" t="s">
        <v>55789</v>
      </c>
      <c r="F8993" t="s">
        <v>55790</v>
      </c>
      <c r="G8993" t="s">
        <v>55791</v>
      </c>
      <c r="H8993" t="s">
        <v>55792</v>
      </c>
      <c r="I8993" t="s">
        <v>55793</v>
      </c>
      <c r="J8993" t="s">
        <v>55794</v>
      </c>
      <c r="K8993" t="s">
        <v>55795</v>
      </c>
      <c r="L8993" t="s">
        <v>55787</v>
      </c>
    </row>
    <row r="8994" spans="1:12" x14ac:dyDescent="0.25">
      <c r="A8994">
        <v>1656217</v>
      </c>
      <c r="B8994">
        <v>1664981</v>
      </c>
      <c r="D8994">
        <v>0</v>
      </c>
      <c r="E8994" t="s">
        <v>55796</v>
      </c>
      <c r="F8994" t="s">
        <v>55797</v>
      </c>
      <c r="G8994" t="s">
        <v>55798</v>
      </c>
      <c r="H8994" t="s">
        <v>55799</v>
      </c>
      <c r="I8994" t="s">
        <v>55800</v>
      </c>
      <c r="J8994" t="s">
        <v>23100</v>
      </c>
      <c r="K8994" t="s">
        <v>55801</v>
      </c>
      <c r="L8994" t="s">
        <v>23100</v>
      </c>
    </row>
    <row r="8995" spans="1:12" x14ac:dyDescent="0.25">
      <c r="A8995">
        <v>1656258</v>
      </c>
      <c r="B8995">
        <v>1656268</v>
      </c>
      <c r="C8995" t="s">
        <v>55803</v>
      </c>
      <c r="D8995" t="s">
        <v>55804</v>
      </c>
      <c r="E8995" t="s">
        <v>55805</v>
      </c>
      <c r="F8995" t="s">
        <v>55806</v>
      </c>
      <c r="G8995" t="s">
        <v>55807</v>
      </c>
      <c r="H8995" t="s">
        <v>55808</v>
      </c>
      <c r="I8995" t="s">
        <v>55809</v>
      </c>
      <c r="J8995" t="s">
        <v>55810</v>
      </c>
      <c r="K8995" t="s">
        <v>55811</v>
      </c>
      <c r="L8995" t="s">
        <v>55802</v>
      </c>
    </row>
    <row r="8996" spans="1:12" x14ac:dyDescent="0.25">
      <c r="A8996">
        <v>1656268</v>
      </c>
      <c r="B8996">
        <v>1667799</v>
      </c>
      <c r="D8996">
        <v>0</v>
      </c>
      <c r="E8996" t="s">
        <v>55813</v>
      </c>
      <c r="F8996" t="s">
        <v>55814</v>
      </c>
      <c r="G8996" t="s">
        <v>55815</v>
      </c>
      <c r="H8996" t="s">
        <v>55816</v>
      </c>
      <c r="I8996" t="s">
        <v>55817</v>
      </c>
      <c r="J8996" t="s">
        <v>55812</v>
      </c>
      <c r="K8996" t="s">
        <v>55818</v>
      </c>
      <c r="L8996" t="s">
        <v>55812</v>
      </c>
    </row>
    <row r="8997" spans="1:12" x14ac:dyDescent="0.25">
      <c r="A8997">
        <v>1659666</v>
      </c>
      <c r="B8997">
        <v>1659672</v>
      </c>
      <c r="D8997">
        <v>0</v>
      </c>
      <c r="F8997">
        <v>1886678</v>
      </c>
      <c r="G8997">
        <v>1659672</v>
      </c>
      <c r="H8997" t="e" vm="2065">
        <f>_FV(0,"072")</f>
        <v>#VALUE!</v>
      </c>
      <c r="I8997">
        <v>1659666</v>
      </c>
      <c r="J8997" t="s">
        <v>29799</v>
      </c>
      <c r="K8997" t="s">
        <v>55819</v>
      </c>
      <c r="L8997" t="e" vm="2065">
        <f>_FV(0,"072")</f>
        <v>#VALUE!</v>
      </c>
    </row>
    <row r="8998" spans="1:12" x14ac:dyDescent="0.25">
      <c r="A8998">
        <v>1659666</v>
      </c>
      <c r="B8998">
        <v>1659672</v>
      </c>
      <c r="D8998">
        <v>0</v>
      </c>
      <c r="E8998" t="s">
        <v>55821</v>
      </c>
      <c r="F8998" t="s">
        <v>55822</v>
      </c>
      <c r="G8998" t="s">
        <v>55823</v>
      </c>
      <c r="H8998" t="e" vm="3873">
        <f>_FV(0,"06462812440226012")</f>
        <v>#VALUE!</v>
      </c>
      <c r="I8998" t="s">
        <v>55824</v>
      </c>
      <c r="J8998" t="s">
        <v>55825</v>
      </c>
      <c r="K8998" t="s">
        <v>55826</v>
      </c>
      <c r="L8998" t="s">
        <v>55820</v>
      </c>
    </row>
    <row r="8999" spans="1:12" x14ac:dyDescent="0.25">
      <c r="A8999">
        <v>1659672</v>
      </c>
      <c r="B8999">
        <v>1819808</v>
      </c>
      <c r="D8999" t="s">
        <v>55828</v>
      </c>
      <c r="E8999" t="s">
        <v>55829</v>
      </c>
      <c r="F8999" t="s">
        <v>55830</v>
      </c>
      <c r="G8999" t="s">
        <v>55831</v>
      </c>
      <c r="H8999" t="s">
        <v>55832</v>
      </c>
      <c r="I8999" t="s">
        <v>55833</v>
      </c>
      <c r="J8999" t="s">
        <v>55834</v>
      </c>
      <c r="K8999" t="s">
        <v>55835</v>
      </c>
      <c r="L8999" t="s">
        <v>55827</v>
      </c>
    </row>
    <row r="9000" spans="1:12" x14ac:dyDescent="0.25">
      <c r="A9000">
        <v>1661302</v>
      </c>
      <c r="B9000">
        <v>1661337</v>
      </c>
      <c r="D9000" t="s">
        <v>963</v>
      </c>
      <c r="E9000" t="s">
        <v>55837</v>
      </c>
      <c r="F9000" t="s">
        <v>55838</v>
      </c>
      <c r="G9000" t="s">
        <v>55839</v>
      </c>
      <c r="H9000" t="e" vm="3874">
        <f>_FV(0,"0064861310408437555")</f>
        <v>#VALUE!</v>
      </c>
      <c r="I9000" t="s">
        <v>55840</v>
      </c>
      <c r="J9000" t="s">
        <v>55841</v>
      </c>
      <c r="K9000" t="s">
        <v>55842</v>
      </c>
      <c r="L9000" t="s">
        <v>55836</v>
      </c>
    </row>
    <row r="9001" spans="1:12" x14ac:dyDescent="0.25">
      <c r="A9001">
        <v>1661302</v>
      </c>
      <c r="B9001">
        <v>1757098</v>
      </c>
      <c r="C9001" t="s">
        <v>55844</v>
      </c>
      <c r="D9001" t="s">
        <v>55845</v>
      </c>
      <c r="E9001" t="s">
        <v>55846</v>
      </c>
      <c r="F9001" t="s">
        <v>55847</v>
      </c>
      <c r="G9001" t="s">
        <v>55848</v>
      </c>
      <c r="H9001" t="e" vm="3875">
        <f>_FV(0,"015736492279688614")</f>
        <v>#VALUE!</v>
      </c>
      <c r="I9001" t="s">
        <v>55849</v>
      </c>
      <c r="J9001" t="s">
        <v>55850</v>
      </c>
      <c r="K9001" t="s">
        <v>55851</v>
      </c>
      <c r="L9001" t="s">
        <v>55843</v>
      </c>
    </row>
    <row r="9002" spans="1:12" x14ac:dyDescent="0.25">
      <c r="A9002">
        <v>1662585</v>
      </c>
      <c r="B9002">
        <v>1762112</v>
      </c>
      <c r="C9002" t="s">
        <v>55853</v>
      </c>
      <c r="D9002" t="s">
        <v>55854</v>
      </c>
      <c r="E9002" t="s">
        <v>55855</v>
      </c>
      <c r="F9002" t="s">
        <v>55856</v>
      </c>
      <c r="G9002" t="s">
        <v>55857</v>
      </c>
      <c r="H9002" t="e" vm="3876">
        <f>_FV(0,"0017111856316637285")</f>
        <v>#VALUE!</v>
      </c>
      <c r="I9002" t="s">
        <v>55858</v>
      </c>
      <c r="J9002" t="s">
        <v>55859</v>
      </c>
      <c r="K9002" t="s">
        <v>55860</v>
      </c>
      <c r="L9002" t="s">
        <v>55852</v>
      </c>
    </row>
    <row r="9003" spans="1:12" x14ac:dyDescent="0.25">
      <c r="A9003">
        <v>1662627</v>
      </c>
      <c r="B9003">
        <v>1771994</v>
      </c>
      <c r="D9003">
        <v>0</v>
      </c>
      <c r="E9003" t="s">
        <v>55862</v>
      </c>
      <c r="F9003" t="s">
        <v>55863</v>
      </c>
      <c r="G9003" t="s">
        <v>55864</v>
      </c>
      <c r="H9003" t="s">
        <v>55865</v>
      </c>
      <c r="I9003" t="s">
        <v>55866</v>
      </c>
      <c r="J9003" t="s">
        <v>55861</v>
      </c>
      <c r="K9003" t="s">
        <v>55867</v>
      </c>
      <c r="L9003" t="s">
        <v>55861</v>
      </c>
    </row>
    <row r="9004" spans="1:12" x14ac:dyDescent="0.25">
      <c r="A9004">
        <v>1664980</v>
      </c>
      <c r="B9004">
        <v>1664981</v>
      </c>
      <c r="D9004">
        <v>0</v>
      </c>
      <c r="F9004">
        <v>1894984</v>
      </c>
      <c r="G9004">
        <v>1664981</v>
      </c>
      <c r="H9004" t="s">
        <v>1194</v>
      </c>
      <c r="I9004">
        <v>1664980</v>
      </c>
      <c r="J9004" t="s">
        <v>1194</v>
      </c>
      <c r="K9004" t="s">
        <v>55868</v>
      </c>
      <c r="L9004" t="s">
        <v>1194</v>
      </c>
    </row>
    <row r="9005" spans="1:12" x14ac:dyDescent="0.25">
      <c r="A9005">
        <v>1670325</v>
      </c>
      <c r="B9005">
        <v>1670339</v>
      </c>
      <c r="D9005">
        <v>0</v>
      </c>
      <c r="E9005" t="s">
        <v>55869</v>
      </c>
      <c r="F9005" t="s">
        <v>55870</v>
      </c>
      <c r="G9005" t="s">
        <v>55871</v>
      </c>
      <c r="H9005" t="s">
        <v>187</v>
      </c>
      <c r="I9005" t="s">
        <v>55872</v>
      </c>
      <c r="J9005" t="s">
        <v>187</v>
      </c>
      <c r="K9005" t="s">
        <v>55873</v>
      </c>
      <c r="L9005" t="s">
        <v>187</v>
      </c>
    </row>
    <row r="9006" spans="1:12" x14ac:dyDescent="0.25">
      <c r="A9006">
        <v>1670339</v>
      </c>
      <c r="B9006">
        <v>1854844</v>
      </c>
      <c r="C9006" t="s">
        <v>55874</v>
      </c>
      <c r="D9006">
        <v>0</v>
      </c>
      <c r="E9006" t="s">
        <v>55875</v>
      </c>
      <c r="H9006" t="s">
        <v>187</v>
      </c>
      <c r="J9006">
        <v>0</v>
      </c>
      <c r="K9006" t="s">
        <v>55632</v>
      </c>
      <c r="L9006">
        <v>0</v>
      </c>
    </row>
    <row r="9007" spans="1:12" x14ac:dyDescent="0.25">
      <c r="A9007">
        <v>1692454</v>
      </c>
      <c r="B9007">
        <v>1692549</v>
      </c>
      <c r="D9007">
        <v>0</v>
      </c>
      <c r="E9007" t="s">
        <v>55877</v>
      </c>
      <c r="F9007" t="s">
        <v>55878</v>
      </c>
      <c r="G9007" t="s">
        <v>55879</v>
      </c>
      <c r="H9007" t="e" vm="3877">
        <f>_FV(0,"03378083999577063")</f>
        <v>#VALUE!</v>
      </c>
      <c r="I9007" t="s">
        <v>55880</v>
      </c>
      <c r="J9007" t="s">
        <v>55881</v>
      </c>
      <c r="K9007" t="s">
        <v>55882</v>
      </c>
      <c r="L9007" t="s">
        <v>55876</v>
      </c>
    </row>
    <row r="9008" spans="1:12" x14ac:dyDescent="0.25">
      <c r="A9008">
        <v>1703037</v>
      </c>
      <c r="B9008">
        <v>1703051</v>
      </c>
      <c r="D9008">
        <v>0</v>
      </c>
      <c r="E9008" t="s">
        <v>55884</v>
      </c>
      <c r="F9008" t="s">
        <v>55885</v>
      </c>
      <c r="G9008" t="s">
        <v>55886</v>
      </c>
      <c r="H9008" t="s">
        <v>55887</v>
      </c>
      <c r="I9008" t="s">
        <v>55888</v>
      </c>
      <c r="J9008" t="s">
        <v>55889</v>
      </c>
      <c r="K9008" t="s">
        <v>55890</v>
      </c>
      <c r="L9008" t="s">
        <v>55883</v>
      </c>
    </row>
    <row r="9009" spans="1:12" x14ac:dyDescent="0.25">
      <c r="A9009">
        <v>1703037</v>
      </c>
      <c r="B9009">
        <v>1760981</v>
      </c>
      <c r="C9009" t="s">
        <v>55892</v>
      </c>
      <c r="D9009" t="s">
        <v>55893</v>
      </c>
      <c r="E9009" t="s">
        <v>55894</v>
      </c>
      <c r="F9009" t="s">
        <v>55895</v>
      </c>
      <c r="G9009" t="s">
        <v>55896</v>
      </c>
      <c r="H9009" t="s">
        <v>55897</v>
      </c>
      <c r="I9009" t="s">
        <v>55898</v>
      </c>
      <c r="J9009" t="s">
        <v>55899</v>
      </c>
      <c r="K9009" t="s">
        <v>55900</v>
      </c>
      <c r="L9009" t="s">
        <v>55891</v>
      </c>
    </row>
    <row r="9010" spans="1:12" x14ac:dyDescent="0.25">
      <c r="A9010">
        <v>1703067</v>
      </c>
      <c r="B9010">
        <v>1754529</v>
      </c>
      <c r="D9010">
        <v>0</v>
      </c>
      <c r="F9010">
        <v>2005915</v>
      </c>
      <c r="G9010">
        <v>1754529</v>
      </c>
      <c r="H9010" t="e" vm="3878">
        <f>_FV(0,"137")</f>
        <v>#VALUE!</v>
      </c>
      <c r="I9010">
        <v>1703067</v>
      </c>
      <c r="J9010" t="s">
        <v>5696</v>
      </c>
      <c r="K9010" t="s">
        <v>55901</v>
      </c>
      <c r="L9010" t="e" vm="3878">
        <f>_FV(0,"137")</f>
        <v>#VALUE!</v>
      </c>
    </row>
    <row r="9011" spans="1:12" x14ac:dyDescent="0.25">
      <c r="A9011">
        <v>1714759</v>
      </c>
      <c r="B9011">
        <v>1714782</v>
      </c>
      <c r="D9011">
        <v>0</v>
      </c>
      <c r="E9011" t="s">
        <v>55903</v>
      </c>
      <c r="F9011" t="s">
        <v>55904</v>
      </c>
      <c r="G9011" t="s">
        <v>55905</v>
      </c>
      <c r="H9011" t="s">
        <v>55906</v>
      </c>
      <c r="I9011" t="s">
        <v>55907</v>
      </c>
      <c r="J9011" t="s">
        <v>55908</v>
      </c>
      <c r="K9011" t="s">
        <v>55909</v>
      </c>
      <c r="L9011" t="s">
        <v>55902</v>
      </c>
    </row>
    <row r="9012" spans="1:12" x14ac:dyDescent="0.25">
      <c r="A9012">
        <v>1714759</v>
      </c>
      <c r="B9012">
        <v>1714821</v>
      </c>
      <c r="D9012">
        <v>0</v>
      </c>
      <c r="E9012" t="s">
        <v>55911</v>
      </c>
      <c r="F9012" t="s">
        <v>55912</v>
      </c>
      <c r="G9012" t="s">
        <v>55913</v>
      </c>
      <c r="H9012" t="e" vm="3879">
        <f>_FV(0,"21574795522873436")</f>
        <v>#VALUE!</v>
      </c>
      <c r="I9012" t="s">
        <v>55914</v>
      </c>
      <c r="J9012" t="s">
        <v>55915</v>
      </c>
      <c r="K9012" t="s">
        <v>55916</v>
      </c>
      <c r="L9012" t="s">
        <v>55910</v>
      </c>
    </row>
    <row r="9013" spans="1:12" x14ac:dyDescent="0.25">
      <c r="A9013">
        <v>1714759</v>
      </c>
      <c r="B9013">
        <v>1714915</v>
      </c>
      <c r="D9013">
        <v>0</v>
      </c>
      <c r="E9013" t="s">
        <v>55918</v>
      </c>
      <c r="F9013" t="s">
        <v>55919</v>
      </c>
      <c r="G9013" t="s">
        <v>55920</v>
      </c>
      <c r="H9013" t="e" vm="3880">
        <f>_FV(0,"0205402434342847")</f>
        <v>#VALUE!</v>
      </c>
      <c r="I9013" t="s">
        <v>55921</v>
      </c>
      <c r="J9013" t="s">
        <v>2130</v>
      </c>
      <c r="K9013" t="s">
        <v>55922</v>
      </c>
      <c r="L9013" t="s">
        <v>55917</v>
      </c>
    </row>
    <row r="9014" spans="1:12" x14ac:dyDescent="0.25">
      <c r="A9014">
        <v>1714782</v>
      </c>
      <c r="B9014">
        <v>1714798</v>
      </c>
      <c r="D9014">
        <v>0</v>
      </c>
      <c r="E9014" t="s">
        <v>55924</v>
      </c>
      <c r="F9014" t="s">
        <v>55925</v>
      </c>
      <c r="G9014" t="s">
        <v>55926</v>
      </c>
      <c r="H9014" t="s">
        <v>55927</v>
      </c>
      <c r="I9014" t="s">
        <v>55928</v>
      </c>
      <c r="J9014" t="s">
        <v>55923</v>
      </c>
      <c r="K9014" t="s">
        <v>55929</v>
      </c>
      <c r="L9014" t="s">
        <v>55923</v>
      </c>
    </row>
    <row r="9015" spans="1:12" x14ac:dyDescent="0.25">
      <c r="A9015">
        <v>1714798</v>
      </c>
      <c r="B9015">
        <v>1714821</v>
      </c>
      <c r="D9015">
        <v>0</v>
      </c>
      <c r="E9015" t="s">
        <v>55931</v>
      </c>
      <c r="F9015" t="s">
        <v>55932</v>
      </c>
      <c r="G9015" t="s">
        <v>55933</v>
      </c>
      <c r="H9015" t="e" vm="3881">
        <f>_FV(0,"05627809350118681")</f>
        <v>#VALUE!</v>
      </c>
      <c r="I9015" t="s">
        <v>55934</v>
      </c>
      <c r="J9015" t="s">
        <v>55935</v>
      </c>
      <c r="K9015" t="s">
        <v>55936</v>
      </c>
      <c r="L9015" t="s">
        <v>55930</v>
      </c>
    </row>
    <row r="9016" spans="1:12" x14ac:dyDescent="0.25">
      <c r="A9016">
        <v>1714821</v>
      </c>
      <c r="B9016">
        <v>1714915</v>
      </c>
      <c r="D9016">
        <v>0</v>
      </c>
      <c r="E9016" t="s">
        <v>55938</v>
      </c>
      <c r="F9016" t="s">
        <v>55939</v>
      </c>
      <c r="G9016" t="s">
        <v>55940</v>
      </c>
      <c r="H9016" t="s">
        <v>55941</v>
      </c>
      <c r="I9016" t="s">
        <v>55942</v>
      </c>
      <c r="J9016" t="s">
        <v>55937</v>
      </c>
      <c r="K9016" t="s">
        <v>55943</v>
      </c>
      <c r="L9016" t="s">
        <v>55937</v>
      </c>
    </row>
    <row r="9017" spans="1:12" x14ac:dyDescent="0.25">
      <c r="A9017">
        <v>1716430</v>
      </c>
      <c r="B9017">
        <v>1716456</v>
      </c>
      <c r="D9017">
        <v>0</v>
      </c>
      <c r="E9017" t="s">
        <v>55945</v>
      </c>
      <c r="F9017" t="s">
        <v>55946</v>
      </c>
      <c r="G9017" t="s">
        <v>55947</v>
      </c>
      <c r="H9017" t="s">
        <v>55948</v>
      </c>
      <c r="I9017" t="s">
        <v>55949</v>
      </c>
      <c r="J9017" t="s">
        <v>55944</v>
      </c>
      <c r="K9017" t="s">
        <v>55950</v>
      </c>
      <c r="L9017" t="s">
        <v>55944</v>
      </c>
    </row>
    <row r="9018" spans="1:12" x14ac:dyDescent="0.25">
      <c r="A9018">
        <v>1716430</v>
      </c>
      <c r="B9018">
        <v>1716500</v>
      </c>
      <c r="D9018">
        <v>0</v>
      </c>
      <c r="E9018" t="s">
        <v>55952</v>
      </c>
      <c r="F9018" t="s">
        <v>55953</v>
      </c>
      <c r="G9018" t="s">
        <v>55954</v>
      </c>
      <c r="H9018" t="s">
        <v>55955</v>
      </c>
      <c r="I9018" t="s">
        <v>55956</v>
      </c>
      <c r="J9018" t="s">
        <v>55957</v>
      </c>
      <c r="K9018" t="s">
        <v>55958</v>
      </c>
      <c r="L9018" t="s">
        <v>55951</v>
      </c>
    </row>
    <row r="9019" spans="1:12" x14ac:dyDescent="0.25">
      <c r="A9019">
        <v>1716456</v>
      </c>
      <c r="B9019">
        <v>1716465</v>
      </c>
      <c r="D9019">
        <v>0</v>
      </c>
      <c r="E9019" t="s">
        <v>55960</v>
      </c>
      <c r="F9019" t="s">
        <v>55961</v>
      </c>
      <c r="G9019" t="s">
        <v>55962</v>
      </c>
      <c r="H9019" t="e" vm="3882">
        <f>_FV(0,"015578039467393773")</f>
        <v>#VALUE!</v>
      </c>
      <c r="I9019" t="s">
        <v>55963</v>
      </c>
      <c r="J9019" t="s">
        <v>55964</v>
      </c>
      <c r="K9019" t="s">
        <v>55965</v>
      </c>
      <c r="L9019" t="s">
        <v>55959</v>
      </c>
    </row>
    <row r="9020" spans="1:12" x14ac:dyDescent="0.25">
      <c r="A9020">
        <v>1716462</v>
      </c>
      <c r="B9020">
        <v>1716465</v>
      </c>
      <c r="D9020">
        <v>0</v>
      </c>
      <c r="E9020" t="s">
        <v>55967</v>
      </c>
      <c r="F9020" t="s">
        <v>55968</v>
      </c>
      <c r="G9020" t="s">
        <v>55969</v>
      </c>
      <c r="H9020" t="s">
        <v>55970</v>
      </c>
      <c r="I9020" t="s">
        <v>55971</v>
      </c>
      <c r="J9020" t="s">
        <v>55966</v>
      </c>
      <c r="K9020" t="s">
        <v>55972</v>
      </c>
      <c r="L9020" t="s">
        <v>55966</v>
      </c>
    </row>
    <row r="9021" spans="1:12" x14ac:dyDescent="0.25">
      <c r="A9021">
        <v>1716462</v>
      </c>
      <c r="B9021">
        <v>1716500</v>
      </c>
      <c r="D9021">
        <v>0</v>
      </c>
      <c r="E9021" t="s">
        <v>55973</v>
      </c>
      <c r="F9021" t="s">
        <v>55974</v>
      </c>
      <c r="G9021" t="s">
        <v>55975</v>
      </c>
      <c r="H9021" t="s">
        <v>55976</v>
      </c>
      <c r="I9021" t="s">
        <v>55977</v>
      </c>
      <c r="J9021" t="s">
        <v>46094</v>
      </c>
      <c r="K9021" t="s">
        <v>55978</v>
      </c>
      <c r="L9021" t="s">
        <v>46094</v>
      </c>
    </row>
    <row r="9022" spans="1:12" x14ac:dyDescent="0.25">
      <c r="A9022">
        <v>1716462</v>
      </c>
      <c r="B9022">
        <v>1716481</v>
      </c>
      <c r="D9022">
        <v>0</v>
      </c>
      <c r="F9022">
        <v>1957158</v>
      </c>
      <c r="G9022">
        <v>1716462</v>
      </c>
      <c r="H9022" t="s">
        <v>2841</v>
      </c>
      <c r="I9022">
        <v>1716481</v>
      </c>
      <c r="J9022" t="s">
        <v>2841</v>
      </c>
      <c r="K9022" t="s">
        <v>55979</v>
      </c>
      <c r="L9022" t="s">
        <v>2841</v>
      </c>
    </row>
    <row r="9023" spans="1:12" x14ac:dyDescent="0.25">
      <c r="A9023">
        <v>1716465</v>
      </c>
      <c r="B9023">
        <v>1716500</v>
      </c>
      <c r="D9023">
        <v>0</v>
      </c>
      <c r="E9023" t="s">
        <v>55981</v>
      </c>
      <c r="F9023" t="s">
        <v>55982</v>
      </c>
      <c r="G9023" t="s">
        <v>55983</v>
      </c>
      <c r="H9023" t="e" vm="3883">
        <f>_FV(0,"04069341224525974")</f>
        <v>#VALUE!</v>
      </c>
      <c r="I9023" t="s">
        <v>55984</v>
      </c>
      <c r="J9023" t="s">
        <v>55985</v>
      </c>
      <c r="K9023" t="s">
        <v>55986</v>
      </c>
      <c r="L9023" t="s">
        <v>55980</v>
      </c>
    </row>
    <row r="9024" spans="1:12" x14ac:dyDescent="0.25">
      <c r="A9024">
        <v>1716481</v>
      </c>
      <c r="B9024">
        <v>1752942</v>
      </c>
      <c r="D9024">
        <v>0</v>
      </c>
      <c r="E9024" t="s">
        <v>55988</v>
      </c>
      <c r="F9024" t="s">
        <v>55989</v>
      </c>
      <c r="G9024" t="s">
        <v>55990</v>
      </c>
      <c r="H9024" t="e" vm="3884">
        <f>_FV(0,"017350981133067656")</f>
        <v>#VALUE!</v>
      </c>
      <c r="I9024" t="s">
        <v>55991</v>
      </c>
      <c r="J9024" t="s">
        <v>55992</v>
      </c>
      <c r="K9024" t="s">
        <v>55993</v>
      </c>
      <c r="L9024" t="s">
        <v>55987</v>
      </c>
    </row>
    <row r="9025" spans="1:12" x14ac:dyDescent="0.25">
      <c r="A9025">
        <v>1716481</v>
      </c>
      <c r="B9025">
        <v>1757502</v>
      </c>
      <c r="D9025">
        <v>0</v>
      </c>
      <c r="E9025" t="s">
        <v>55995</v>
      </c>
      <c r="F9025" t="s">
        <v>55996</v>
      </c>
      <c r="G9025" t="s">
        <v>55997</v>
      </c>
      <c r="H9025" t="s">
        <v>55998</v>
      </c>
      <c r="I9025" t="s">
        <v>55999</v>
      </c>
      <c r="J9025" t="s">
        <v>56000</v>
      </c>
      <c r="K9025" t="s">
        <v>56001</v>
      </c>
      <c r="L9025" t="s">
        <v>55994</v>
      </c>
    </row>
    <row r="9026" spans="1:12" x14ac:dyDescent="0.25">
      <c r="A9026">
        <v>1742442</v>
      </c>
      <c r="B9026">
        <v>1742443</v>
      </c>
      <c r="D9026" t="s">
        <v>1875</v>
      </c>
      <c r="E9026" t="s">
        <v>56003</v>
      </c>
      <c r="F9026" t="s">
        <v>56004</v>
      </c>
      <c r="G9026" t="s">
        <v>56005</v>
      </c>
      <c r="H9026" t="s">
        <v>56006</v>
      </c>
      <c r="I9026" t="s">
        <v>56007</v>
      </c>
      <c r="J9026" t="s">
        <v>56008</v>
      </c>
      <c r="K9026" t="s">
        <v>56009</v>
      </c>
      <c r="L9026" t="s">
        <v>56002</v>
      </c>
    </row>
    <row r="9027" spans="1:12" x14ac:dyDescent="0.25">
      <c r="A9027">
        <v>1742442</v>
      </c>
      <c r="B9027">
        <v>1742443</v>
      </c>
      <c r="D9027" t="s">
        <v>3298</v>
      </c>
      <c r="E9027" t="s">
        <v>56011</v>
      </c>
      <c r="F9027" t="s">
        <v>56012</v>
      </c>
      <c r="G9027" t="s">
        <v>56013</v>
      </c>
      <c r="H9027" t="s">
        <v>56014</v>
      </c>
      <c r="I9027" t="s">
        <v>56015</v>
      </c>
      <c r="J9027" t="s">
        <v>56016</v>
      </c>
      <c r="K9027" t="s">
        <v>56017</v>
      </c>
      <c r="L9027" t="s">
        <v>56010</v>
      </c>
    </row>
    <row r="9028" spans="1:12" x14ac:dyDescent="0.25">
      <c r="A9028">
        <v>1747695</v>
      </c>
      <c r="B9028">
        <v>1747699</v>
      </c>
      <c r="D9028">
        <v>0</v>
      </c>
      <c r="E9028" t="s">
        <v>56019</v>
      </c>
      <c r="F9028" t="s">
        <v>56020</v>
      </c>
      <c r="G9028" t="s">
        <v>56021</v>
      </c>
      <c r="H9028" t="e" vm="3885">
        <f>_FV(0,"012359138674948648")</f>
        <v>#VALUE!</v>
      </c>
      <c r="I9028" t="s">
        <v>56022</v>
      </c>
      <c r="J9028" t="s">
        <v>56023</v>
      </c>
      <c r="K9028" t="s">
        <v>56024</v>
      </c>
      <c r="L9028" t="s">
        <v>56018</v>
      </c>
    </row>
    <row r="9029" spans="1:12" x14ac:dyDescent="0.25">
      <c r="A9029">
        <v>1747695</v>
      </c>
      <c r="B9029">
        <v>1747722</v>
      </c>
      <c r="D9029">
        <v>0</v>
      </c>
      <c r="E9029" t="s">
        <v>56026</v>
      </c>
      <c r="F9029" t="s">
        <v>56027</v>
      </c>
      <c r="G9029" t="s">
        <v>56028</v>
      </c>
      <c r="H9029" t="s">
        <v>56029</v>
      </c>
      <c r="I9029" t="s">
        <v>56030</v>
      </c>
      <c r="J9029" t="s">
        <v>56031</v>
      </c>
      <c r="K9029" t="s">
        <v>56032</v>
      </c>
      <c r="L9029" t="s">
        <v>56025</v>
      </c>
    </row>
    <row r="9030" spans="1:12" x14ac:dyDescent="0.25">
      <c r="A9030">
        <v>1747699</v>
      </c>
      <c r="B9030">
        <v>1747722</v>
      </c>
      <c r="D9030">
        <v>0</v>
      </c>
      <c r="E9030" t="s">
        <v>56034</v>
      </c>
      <c r="F9030" t="s">
        <v>56035</v>
      </c>
      <c r="G9030" t="s">
        <v>56036</v>
      </c>
      <c r="H9030" t="s">
        <v>56037</v>
      </c>
      <c r="I9030" t="s">
        <v>56038</v>
      </c>
      <c r="J9030" t="s">
        <v>56033</v>
      </c>
      <c r="K9030" t="s">
        <v>56039</v>
      </c>
      <c r="L9030" t="s">
        <v>56033</v>
      </c>
    </row>
    <row r="9031" spans="1:12" x14ac:dyDescent="0.25">
      <c r="A9031">
        <v>1747699</v>
      </c>
      <c r="B9031">
        <v>1747768</v>
      </c>
      <c r="D9031">
        <v>0</v>
      </c>
      <c r="E9031" t="s">
        <v>56041</v>
      </c>
      <c r="F9031" t="s">
        <v>56042</v>
      </c>
      <c r="G9031" t="s">
        <v>56043</v>
      </c>
      <c r="H9031" t="e" vm="3886">
        <f>_FV(0,"010077111116285136")</f>
        <v>#VALUE!</v>
      </c>
      <c r="I9031" t="s">
        <v>56044</v>
      </c>
      <c r="J9031" t="s">
        <v>56045</v>
      </c>
      <c r="K9031" t="s">
        <v>56046</v>
      </c>
      <c r="L9031" t="s">
        <v>56040</v>
      </c>
    </row>
    <row r="9032" spans="1:12" x14ac:dyDescent="0.25">
      <c r="A9032">
        <v>1747722</v>
      </c>
      <c r="B9032">
        <v>1747760</v>
      </c>
      <c r="D9032">
        <v>0</v>
      </c>
      <c r="E9032" t="s">
        <v>56048</v>
      </c>
      <c r="F9032" t="s">
        <v>56049</v>
      </c>
      <c r="G9032" t="s">
        <v>56050</v>
      </c>
      <c r="H9032" t="s">
        <v>56051</v>
      </c>
      <c r="I9032" t="s">
        <v>56052</v>
      </c>
      <c r="J9032" t="s">
        <v>56053</v>
      </c>
      <c r="K9032" t="s">
        <v>56054</v>
      </c>
      <c r="L9032" t="s">
        <v>56047</v>
      </c>
    </row>
    <row r="9033" spans="1:12" x14ac:dyDescent="0.25">
      <c r="A9033">
        <v>1747760</v>
      </c>
      <c r="B9033">
        <v>1747768</v>
      </c>
      <c r="D9033">
        <v>0</v>
      </c>
      <c r="E9033" t="s">
        <v>56056</v>
      </c>
      <c r="F9033" t="s">
        <v>56057</v>
      </c>
      <c r="G9033" t="s">
        <v>56058</v>
      </c>
      <c r="H9033" t="e" vm="3887">
        <f>_FV(0,"1511821834779145")</f>
        <v>#VALUE!</v>
      </c>
      <c r="I9033" t="s">
        <v>56059</v>
      </c>
      <c r="J9033" t="s">
        <v>56060</v>
      </c>
      <c r="K9033" t="s">
        <v>56061</v>
      </c>
      <c r="L9033" t="s">
        <v>56055</v>
      </c>
    </row>
    <row r="9034" spans="1:12" x14ac:dyDescent="0.25">
      <c r="A9034">
        <v>1747760</v>
      </c>
      <c r="B9034">
        <v>1747779</v>
      </c>
      <c r="D9034">
        <v>0</v>
      </c>
      <c r="E9034" t="s">
        <v>56063</v>
      </c>
      <c r="F9034" t="s">
        <v>56064</v>
      </c>
      <c r="G9034" t="s">
        <v>56065</v>
      </c>
      <c r="H9034" t="e" vm="3888">
        <f>_FV(0,"021410673815968954")</f>
        <v>#VALUE!</v>
      </c>
      <c r="I9034" t="s">
        <v>56066</v>
      </c>
      <c r="J9034" t="s">
        <v>56067</v>
      </c>
      <c r="K9034" t="s">
        <v>56068</v>
      </c>
      <c r="L9034" t="s">
        <v>56062</v>
      </c>
    </row>
    <row r="9035" spans="1:12" x14ac:dyDescent="0.25">
      <c r="A9035">
        <v>1747768</v>
      </c>
      <c r="B9035">
        <v>1747779</v>
      </c>
      <c r="D9035">
        <v>0</v>
      </c>
      <c r="E9035" t="s">
        <v>56070</v>
      </c>
      <c r="F9035" t="s">
        <v>56071</v>
      </c>
      <c r="G9035" t="s">
        <v>56072</v>
      </c>
      <c r="H9035" t="s">
        <v>56073</v>
      </c>
      <c r="I9035" t="s">
        <v>56074</v>
      </c>
      <c r="J9035" t="s">
        <v>56069</v>
      </c>
      <c r="K9035" t="s">
        <v>56075</v>
      </c>
      <c r="L9035" t="s">
        <v>56069</v>
      </c>
    </row>
    <row r="9036" spans="1:12" x14ac:dyDescent="0.25">
      <c r="A9036">
        <v>1747779</v>
      </c>
      <c r="B9036">
        <v>1772035</v>
      </c>
      <c r="C9036" t="s">
        <v>56077</v>
      </c>
      <c r="D9036">
        <v>0</v>
      </c>
      <c r="E9036" t="s">
        <v>56078</v>
      </c>
      <c r="F9036" t="s">
        <v>56079</v>
      </c>
      <c r="G9036" t="s">
        <v>56080</v>
      </c>
      <c r="H9036" t="e" vm="3889">
        <f>_FV(0,"19618611662558796")</f>
        <v>#VALUE!</v>
      </c>
      <c r="I9036" t="s">
        <v>56081</v>
      </c>
      <c r="J9036" t="s">
        <v>56082</v>
      </c>
      <c r="K9036" t="s">
        <v>56083</v>
      </c>
      <c r="L9036" t="s">
        <v>56076</v>
      </c>
    </row>
    <row r="9037" spans="1:12" x14ac:dyDescent="0.25">
      <c r="A9037">
        <v>1748295</v>
      </c>
      <c r="B9037">
        <v>1748302</v>
      </c>
      <c r="D9037">
        <v>0</v>
      </c>
      <c r="E9037" t="s">
        <v>56085</v>
      </c>
      <c r="F9037" t="s">
        <v>56086</v>
      </c>
      <c r="G9037" t="s">
        <v>56087</v>
      </c>
      <c r="H9037" t="e" vm="3890">
        <f>_FV(0,"14180563186593745")</f>
        <v>#VALUE!</v>
      </c>
      <c r="I9037" t="s">
        <v>56088</v>
      </c>
      <c r="J9037" t="s">
        <v>56089</v>
      </c>
      <c r="K9037" t="s">
        <v>56090</v>
      </c>
      <c r="L9037" t="s">
        <v>56084</v>
      </c>
    </row>
    <row r="9038" spans="1:12" x14ac:dyDescent="0.25">
      <c r="A9038">
        <v>1748295</v>
      </c>
      <c r="B9038">
        <v>1752121</v>
      </c>
      <c r="D9038">
        <v>0</v>
      </c>
      <c r="E9038" t="s">
        <v>56092</v>
      </c>
      <c r="F9038" t="s">
        <v>56093</v>
      </c>
      <c r="G9038" t="s">
        <v>56094</v>
      </c>
      <c r="H9038" t="e" vm="3891">
        <f>_FV(0,"23245805853048485")</f>
        <v>#VALUE!</v>
      </c>
      <c r="I9038" t="s">
        <v>56095</v>
      </c>
      <c r="J9038" t="s">
        <v>56096</v>
      </c>
      <c r="K9038" t="s">
        <v>56097</v>
      </c>
      <c r="L9038" t="s">
        <v>56091</v>
      </c>
    </row>
    <row r="9039" spans="1:12" x14ac:dyDescent="0.25">
      <c r="A9039">
        <v>1748295</v>
      </c>
      <c r="B9039">
        <v>1762143</v>
      </c>
      <c r="D9039">
        <v>0</v>
      </c>
      <c r="E9039" t="s">
        <v>56099</v>
      </c>
      <c r="F9039" t="s">
        <v>56100</v>
      </c>
      <c r="G9039" t="s">
        <v>56101</v>
      </c>
      <c r="H9039" t="e" vm="3892">
        <f>_FV(0,"13027309348179664")</f>
        <v>#VALUE!</v>
      </c>
      <c r="I9039" t="s">
        <v>56102</v>
      </c>
      <c r="J9039" t="s">
        <v>56103</v>
      </c>
      <c r="K9039" t="s">
        <v>56104</v>
      </c>
      <c r="L9039" t="s">
        <v>56098</v>
      </c>
    </row>
    <row r="9040" spans="1:12" x14ac:dyDescent="0.25">
      <c r="A9040">
        <v>1748302</v>
      </c>
      <c r="B9040">
        <v>1762198</v>
      </c>
      <c r="D9040">
        <v>0</v>
      </c>
      <c r="E9040" t="s">
        <v>56106</v>
      </c>
      <c r="F9040" t="s">
        <v>56107</v>
      </c>
      <c r="G9040" t="s">
        <v>56108</v>
      </c>
      <c r="H9040" t="e" vm="3893">
        <f>_FV(0,"025889089660769443")</f>
        <v>#VALUE!</v>
      </c>
      <c r="I9040" t="s">
        <v>56109</v>
      </c>
      <c r="J9040" t="s">
        <v>56110</v>
      </c>
      <c r="K9040" t="s">
        <v>56111</v>
      </c>
      <c r="L9040" t="s">
        <v>56105</v>
      </c>
    </row>
    <row r="9041" spans="1:12" x14ac:dyDescent="0.25">
      <c r="A9041">
        <v>1748302</v>
      </c>
      <c r="B9041">
        <v>1748354</v>
      </c>
      <c r="D9041">
        <v>0</v>
      </c>
      <c r="E9041" t="s">
        <v>56112</v>
      </c>
      <c r="F9041" t="s">
        <v>56113</v>
      </c>
      <c r="G9041" t="s">
        <v>56114</v>
      </c>
      <c r="H9041" t="s">
        <v>56115</v>
      </c>
      <c r="I9041" t="s">
        <v>56116</v>
      </c>
      <c r="J9041" t="s">
        <v>2899</v>
      </c>
      <c r="K9041" t="s">
        <v>56117</v>
      </c>
      <c r="L9041" t="s">
        <v>2899</v>
      </c>
    </row>
    <row r="9042" spans="1:12" x14ac:dyDescent="0.25">
      <c r="A9042">
        <v>1748306</v>
      </c>
      <c r="B9042">
        <v>1748456</v>
      </c>
      <c r="D9042">
        <v>0</v>
      </c>
      <c r="F9042">
        <v>1997123</v>
      </c>
      <c r="G9042">
        <v>1748456</v>
      </c>
      <c r="H9042" t="e" vm="355">
        <f>_FV(0,"048")</f>
        <v>#VALUE!</v>
      </c>
      <c r="I9042">
        <v>1748306</v>
      </c>
      <c r="J9042" t="s">
        <v>3758</v>
      </c>
      <c r="K9042" t="s">
        <v>56118</v>
      </c>
      <c r="L9042" t="e" vm="355">
        <f>_FV(0,"048")</f>
        <v>#VALUE!</v>
      </c>
    </row>
    <row r="9043" spans="1:12" x14ac:dyDescent="0.25">
      <c r="A9043">
        <v>1748306</v>
      </c>
      <c r="B9043">
        <v>1621513</v>
      </c>
      <c r="D9043">
        <v>0</v>
      </c>
      <c r="E9043" t="s">
        <v>56120</v>
      </c>
      <c r="F9043" t="s">
        <v>56121</v>
      </c>
      <c r="G9043" t="s">
        <v>56122</v>
      </c>
      <c r="H9043" t="e" vm="3894">
        <f>_FV(0,"014233492922502842")</f>
        <v>#VALUE!</v>
      </c>
      <c r="I9043" t="s">
        <v>56123</v>
      </c>
      <c r="J9043" t="s">
        <v>56124</v>
      </c>
      <c r="K9043" t="s">
        <v>56125</v>
      </c>
      <c r="L9043" t="s">
        <v>56119</v>
      </c>
    </row>
    <row r="9044" spans="1:12" x14ac:dyDescent="0.25">
      <c r="A9044">
        <v>1748306</v>
      </c>
      <c r="B9044">
        <v>1752135</v>
      </c>
      <c r="D9044">
        <v>0</v>
      </c>
      <c r="F9044">
        <v>1997115</v>
      </c>
      <c r="G9044">
        <v>1748306</v>
      </c>
      <c r="H9044" t="s">
        <v>56126</v>
      </c>
      <c r="I9044">
        <v>1752135</v>
      </c>
      <c r="J9044" t="s">
        <v>56126</v>
      </c>
      <c r="K9044" t="s">
        <v>56127</v>
      </c>
      <c r="L9044" t="s">
        <v>56126</v>
      </c>
    </row>
    <row r="9045" spans="1:12" x14ac:dyDescent="0.25">
      <c r="A9045">
        <v>1621513</v>
      </c>
      <c r="B9045">
        <v>1763910</v>
      </c>
      <c r="D9045">
        <v>0</v>
      </c>
      <c r="E9045" t="s">
        <v>56129</v>
      </c>
      <c r="F9045" t="s">
        <v>56130</v>
      </c>
      <c r="G9045" t="s">
        <v>56131</v>
      </c>
      <c r="H9045" t="s">
        <v>56132</v>
      </c>
      <c r="I9045" t="s">
        <v>56133</v>
      </c>
      <c r="J9045" t="s">
        <v>56128</v>
      </c>
      <c r="K9045" t="s">
        <v>56134</v>
      </c>
      <c r="L9045" t="s">
        <v>56128</v>
      </c>
    </row>
    <row r="9046" spans="1:12" x14ac:dyDescent="0.25">
      <c r="A9046">
        <v>1621513</v>
      </c>
      <c r="B9046">
        <v>1748450</v>
      </c>
      <c r="D9046">
        <v>0</v>
      </c>
      <c r="E9046" t="s">
        <v>56136</v>
      </c>
      <c r="F9046" t="s">
        <v>56137</v>
      </c>
      <c r="G9046" t="s">
        <v>56138</v>
      </c>
      <c r="H9046" t="s">
        <v>56139</v>
      </c>
      <c r="I9046" t="s">
        <v>56140</v>
      </c>
      <c r="J9046" t="s">
        <v>56141</v>
      </c>
      <c r="K9046" t="s">
        <v>56142</v>
      </c>
      <c r="L9046" t="s">
        <v>56135</v>
      </c>
    </row>
    <row r="9047" spans="1:12" x14ac:dyDescent="0.25">
      <c r="A9047">
        <v>1748354</v>
      </c>
      <c r="B9047">
        <v>1752121</v>
      </c>
      <c r="D9047">
        <v>0</v>
      </c>
      <c r="F9047">
        <v>1997083</v>
      </c>
      <c r="G9047">
        <v>1752121</v>
      </c>
      <c r="H9047" t="e" vm="3895">
        <f>_FV(0,"482")</f>
        <v>#VALUE!</v>
      </c>
      <c r="I9047">
        <v>1748354</v>
      </c>
      <c r="J9047" t="s">
        <v>56143</v>
      </c>
      <c r="K9047" t="s">
        <v>56144</v>
      </c>
      <c r="L9047" t="e" vm="3895">
        <f>_FV(0,"482")</f>
        <v>#VALUE!</v>
      </c>
    </row>
    <row r="9048" spans="1:12" x14ac:dyDescent="0.25">
      <c r="A9048">
        <v>1748354</v>
      </c>
      <c r="B9048">
        <v>1752111</v>
      </c>
      <c r="D9048">
        <v>0</v>
      </c>
      <c r="F9048">
        <v>1997075</v>
      </c>
      <c r="G9048">
        <v>1748354</v>
      </c>
      <c r="H9048" t="s">
        <v>43008</v>
      </c>
      <c r="I9048">
        <v>1752111</v>
      </c>
      <c r="J9048" t="s">
        <v>43008</v>
      </c>
      <c r="K9048" t="s">
        <v>56145</v>
      </c>
      <c r="L9048" t="s">
        <v>43008</v>
      </c>
    </row>
    <row r="9049" spans="1:12" x14ac:dyDescent="0.25">
      <c r="A9049">
        <v>1748450</v>
      </c>
      <c r="B9049">
        <v>1748456</v>
      </c>
      <c r="D9049">
        <v>0</v>
      </c>
      <c r="E9049" t="s">
        <v>56147</v>
      </c>
      <c r="F9049" t="s">
        <v>56148</v>
      </c>
      <c r="G9049" t="s">
        <v>56149</v>
      </c>
      <c r="H9049" t="s">
        <v>56150</v>
      </c>
      <c r="I9049" t="s">
        <v>56151</v>
      </c>
      <c r="J9049" t="s">
        <v>56146</v>
      </c>
      <c r="K9049" t="s">
        <v>56152</v>
      </c>
      <c r="L9049" t="s">
        <v>56146</v>
      </c>
    </row>
    <row r="9050" spans="1:12" x14ac:dyDescent="0.25">
      <c r="A9050">
        <v>1748450</v>
      </c>
      <c r="B9050">
        <v>1763918</v>
      </c>
      <c r="D9050">
        <v>0</v>
      </c>
      <c r="E9050" t="s">
        <v>56154</v>
      </c>
      <c r="F9050" t="s">
        <v>56155</v>
      </c>
      <c r="G9050" t="s">
        <v>56156</v>
      </c>
      <c r="H9050" t="e" vm="3896">
        <f>_FV(0,"034811149298532365")</f>
        <v>#VALUE!</v>
      </c>
      <c r="I9050" t="s">
        <v>56157</v>
      </c>
      <c r="J9050" t="s">
        <v>56158</v>
      </c>
      <c r="K9050" t="s">
        <v>56159</v>
      </c>
      <c r="L9050" t="s">
        <v>56153</v>
      </c>
    </row>
    <row r="9051" spans="1:12" x14ac:dyDescent="0.25">
      <c r="A9051">
        <v>1748456</v>
      </c>
      <c r="B9051">
        <v>1752158</v>
      </c>
      <c r="D9051">
        <v>0</v>
      </c>
      <c r="E9051" t="s">
        <v>56161</v>
      </c>
      <c r="F9051" t="s">
        <v>56162</v>
      </c>
      <c r="G9051" t="s">
        <v>56163</v>
      </c>
      <c r="H9051" t="e" vm="3897">
        <f>_FV(0,"030559841812169662")</f>
        <v>#VALUE!</v>
      </c>
      <c r="I9051" t="s">
        <v>56164</v>
      </c>
      <c r="J9051" t="s">
        <v>56165</v>
      </c>
      <c r="K9051" t="s">
        <v>56166</v>
      </c>
      <c r="L9051" t="s">
        <v>56160</v>
      </c>
    </row>
    <row r="9052" spans="1:12" x14ac:dyDescent="0.25">
      <c r="A9052">
        <v>1748510</v>
      </c>
      <c r="B9052">
        <v>1748537</v>
      </c>
      <c r="D9052">
        <v>0</v>
      </c>
      <c r="E9052" t="s">
        <v>56168</v>
      </c>
      <c r="F9052" t="s">
        <v>56169</v>
      </c>
      <c r="G9052" t="s">
        <v>56170</v>
      </c>
      <c r="H9052" t="s">
        <v>56171</v>
      </c>
      <c r="I9052" t="s">
        <v>56172</v>
      </c>
      <c r="J9052" t="s">
        <v>56167</v>
      </c>
      <c r="K9052" t="s">
        <v>56173</v>
      </c>
      <c r="L9052" t="s">
        <v>56167</v>
      </c>
    </row>
    <row r="9053" spans="1:12" x14ac:dyDescent="0.25">
      <c r="A9053">
        <v>1748510</v>
      </c>
      <c r="B9053">
        <v>1748558</v>
      </c>
      <c r="D9053">
        <v>0</v>
      </c>
      <c r="E9053" t="s">
        <v>56175</v>
      </c>
      <c r="F9053" t="s">
        <v>56176</v>
      </c>
      <c r="G9053" t="s">
        <v>56177</v>
      </c>
      <c r="H9053" t="s">
        <v>56178</v>
      </c>
      <c r="I9053" t="s">
        <v>56179</v>
      </c>
      <c r="J9053" t="s">
        <v>56180</v>
      </c>
      <c r="K9053" t="s">
        <v>56181</v>
      </c>
      <c r="L9053" t="s">
        <v>56174</v>
      </c>
    </row>
    <row r="9054" spans="1:12" x14ac:dyDescent="0.25">
      <c r="A9054">
        <v>1748510</v>
      </c>
      <c r="B9054">
        <v>1762334</v>
      </c>
      <c r="D9054">
        <v>0</v>
      </c>
      <c r="E9054" t="s">
        <v>56183</v>
      </c>
      <c r="F9054" t="s">
        <v>56184</v>
      </c>
      <c r="G9054" t="s">
        <v>56185</v>
      </c>
      <c r="H9054" t="s">
        <v>56186</v>
      </c>
      <c r="I9054" t="s">
        <v>56187</v>
      </c>
      <c r="J9054" t="s">
        <v>56188</v>
      </c>
      <c r="K9054" t="s">
        <v>56189</v>
      </c>
      <c r="L9054" t="s">
        <v>56182</v>
      </c>
    </row>
    <row r="9055" spans="1:12" x14ac:dyDescent="0.25">
      <c r="A9055">
        <v>1748537</v>
      </c>
      <c r="B9055">
        <v>1751465</v>
      </c>
      <c r="D9055">
        <v>0</v>
      </c>
      <c r="E9055" t="s">
        <v>56191</v>
      </c>
      <c r="F9055" t="s">
        <v>56192</v>
      </c>
      <c r="G9055" t="s">
        <v>56193</v>
      </c>
      <c r="H9055" t="e" vm="3898">
        <f>_FV(0,"1378979394122488")</f>
        <v>#VALUE!</v>
      </c>
      <c r="I9055" t="s">
        <v>56194</v>
      </c>
      <c r="J9055" t="s">
        <v>56195</v>
      </c>
      <c r="K9055" t="s">
        <v>56196</v>
      </c>
      <c r="L9055" t="s">
        <v>56190</v>
      </c>
    </row>
    <row r="9056" spans="1:12" x14ac:dyDescent="0.25">
      <c r="A9056">
        <v>1748537</v>
      </c>
      <c r="B9056">
        <v>1748594</v>
      </c>
      <c r="D9056">
        <v>0</v>
      </c>
      <c r="F9056">
        <v>1995994</v>
      </c>
      <c r="G9056">
        <v>1748537</v>
      </c>
      <c r="H9056" t="s">
        <v>56197</v>
      </c>
      <c r="I9056">
        <v>1748594</v>
      </c>
      <c r="J9056" t="s">
        <v>56197</v>
      </c>
      <c r="K9056" t="s">
        <v>56198</v>
      </c>
      <c r="L9056" t="s">
        <v>56197</v>
      </c>
    </row>
    <row r="9057" spans="1:12" x14ac:dyDescent="0.25">
      <c r="A9057">
        <v>1748558</v>
      </c>
      <c r="B9057">
        <v>1762371</v>
      </c>
      <c r="D9057">
        <v>0</v>
      </c>
      <c r="E9057" t="s">
        <v>56200</v>
      </c>
      <c r="F9057" t="s">
        <v>56201</v>
      </c>
      <c r="G9057" t="s">
        <v>56202</v>
      </c>
      <c r="H9057" t="s">
        <v>56203</v>
      </c>
      <c r="I9057" t="s">
        <v>56204</v>
      </c>
      <c r="J9057" t="s">
        <v>56205</v>
      </c>
      <c r="K9057" t="s">
        <v>56206</v>
      </c>
      <c r="L9057" t="s">
        <v>56199</v>
      </c>
    </row>
    <row r="9058" spans="1:12" x14ac:dyDescent="0.25">
      <c r="A9058">
        <v>1748558</v>
      </c>
      <c r="B9058">
        <v>1748594</v>
      </c>
      <c r="D9058">
        <v>0</v>
      </c>
      <c r="E9058" t="s">
        <v>56208</v>
      </c>
      <c r="F9058" t="s">
        <v>56209</v>
      </c>
      <c r="G9058" t="s">
        <v>56210</v>
      </c>
      <c r="H9058" t="e" vm="3899">
        <f>_FV(0,"10013984654726761")</f>
        <v>#VALUE!</v>
      </c>
      <c r="I9058" t="s">
        <v>56211</v>
      </c>
      <c r="J9058" t="s">
        <v>56212</v>
      </c>
      <c r="K9058" t="s">
        <v>56213</v>
      </c>
      <c r="L9058" t="s">
        <v>56207</v>
      </c>
    </row>
    <row r="9059" spans="1:12" x14ac:dyDescent="0.25">
      <c r="A9059">
        <v>1748580</v>
      </c>
      <c r="B9059">
        <v>1748697</v>
      </c>
      <c r="D9059">
        <v>0</v>
      </c>
      <c r="F9059">
        <v>1995943</v>
      </c>
      <c r="G9059">
        <v>1748697</v>
      </c>
      <c r="H9059" t="e" vm="263">
        <f>_FV(0,"024")</f>
        <v>#VALUE!</v>
      </c>
      <c r="I9059">
        <v>1748580</v>
      </c>
      <c r="J9059" t="s">
        <v>2916</v>
      </c>
      <c r="K9059" t="s">
        <v>56214</v>
      </c>
      <c r="L9059" t="e" vm="263">
        <f>_FV(0,"024")</f>
        <v>#VALUE!</v>
      </c>
    </row>
    <row r="9060" spans="1:12" x14ac:dyDescent="0.25">
      <c r="A9060">
        <v>1748580</v>
      </c>
      <c r="B9060">
        <v>1748584</v>
      </c>
      <c r="D9060">
        <v>0</v>
      </c>
      <c r="E9060" t="s">
        <v>56215</v>
      </c>
      <c r="F9060" t="s">
        <v>56216</v>
      </c>
      <c r="G9060" t="s">
        <v>56217</v>
      </c>
      <c r="H9060" t="s">
        <v>5837</v>
      </c>
      <c r="I9060" t="s">
        <v>56218</v>
      </c>
      <c r="J9060" t="s">
        <v>5837</v>
      </c>
      <c r="K9060" t="s">
        <v>56219</v>
      </c>
      <c r="L9060" t="s">
        <v>5837</v>
      </c>
    </row>
    <row r="9061" spans="1:12" x14ac:dyDescent="0.25">
      <c r="A9061">
        <v>1748580</v>
      </c>
      <c r="B9061">
        <v>1751388</v>
      </c>
      <c r="D9061">
        <v>0</v>
      </c>
      <c r="F9061">
        <v>1995933</v>
      </c>
      <c r="G9061">
        <v>1748580</v>
      </c>
      <c r="H9061" t="s">
        <v>56220</v>
      </c>
      <c r="I9061">
        <v>1751388</v>
      </c>
      <c r="J9061" t="s">
        <v>56220</v>
      </c>
      <c r="K9061" t="s">
        <v>56221</v>
      </c>
      <c r="L9061" t="s">
        <v>56220</v>
      </c>
    </row>
    <row r="9062" spans="1:12" x14ac:dyDescent="0.25">
      <c r="A9062">
        <v>1748584</v>
      </c>
      <c r="B9062">
        <v>1763940</v>
      </c>
      <c r="D9062">
        <v>0</v>
      </c>
      <c r="E9062" t="s">
        <v>56223</v>
      </c>
      <c r="F9062" t="s">
        <v>56224</v>
      </c>
      <c r="G9062" t="s">
        <v>56225</v>
      </c>
      <c r="H9062" t="e" vm="3900">
        <f>_FV(0,"04900302835870649")</f>
        <v>#VALUE!</v>
      </c>
      <c r="I9062" t="s">
        <v>56226</v>
      </c>
      <c r="J9062" t="s">
        <v>8814</v>
      </c>
      <c r="K9062" t="s">
        <v>56227</v>
      </c>
      <c r="L9062" t="s">
        <v>56222</v>
      </c>
    </row>
    <row r="9063" spans="1:12" x14ac:dyDescent="0.25">
      <c r="A9063">
        <v>1748584</v>
      </c>
      <c r="B9063">
        <v>1748641</v>
      </c>
      <c r="D9063">
        <v>0</v>
      </c>
      <c r="E9063" t="s">
        <v>56229</v>
      </c>
      <c r="F9063" t="s">
        <v>56230</v>
      </c>
      <c r="G9063" t="s">
        <v>56231</v>
      </c>
      <c r="H9063" t="e" vm="3901">
        <f>_FV(0,"05542192400077904")</f>
        <v>#VALUE!</v>
      </c>
      <c r="I9063" t="s">
        <v>56232</v>
      </c>
      <c r="J9063" t="s">
        <v>56233</v>
      </c>
      <c r="K9063" t="s">
        <v>56234</v>
      </c>
      <c r="L9063" t="s">
        <v>56228</v>
      </c>
    </row>
    <row r="9064" spans="1:12" x14ac:dyDescent="0.25">
      <c r="A9064">
        <v>1748594</v>
      </c>
      <c r="B9064">
        <v>1751418</v>
      </c>
      <c r="D9064">
        <v>0</v>
      </c>
      <c r="F9064">
        <v>1995976</v>
      </c>
      <c r="G9064">
        <v>1748594</v>
      </c>
      <c r="H9064" t="s">
        <v>56235</v>
      </c>
      <c r="I9064">
        <v>1751418</v>
      </c>
      <c r="J9064" t="s">
        <v>56235</v>
      </c>
      <c r="K9064" t="s">
        <v>56236</v>
      </c>
      <c r="L9064" t="s">
        <v>56235</v>
      </c>
    </row>
    <row r="9065" spans="1:12" x14ac:dyDescent="0.25">
      <c r="A9065">
        <v>1748641</v>
      </c>
      <c r="B9065">
        <v>1748697</v>
      </c>
      <c r="D9065">
        <v>0</v>
      </c>
      <c r="E9065" t="s">
        <v>56238</v>
      </c>
      <c r="F9065" t="s">
        <v>56239</v>
      </c>
      <c r="G9065" t="s">
        <v>56240</v>
      </c>
      <c r="H9065" t="e" vm="3902">
        <f>_FV(0,"06313570251007894")</f>
        <v>#VALUE!</v>
      </c>
      <c r="I9065" t="s">
        <v>56241</v>
      </c>
      <c r="J9065" t="s">
        <v>56242</v>
      </c>
      <c r="K9065" t="s">
        <v>56243</v>
      </c>
      <c r="L9065" t="s">
        <v>56237</v>
      </c>
    </row>
    <row r="9066" spans="1:12" x14ac:dyDescent="0.25">
      <c r="A9066">
        <v>1748641</v>
      </c>
      <c r="B9066">
        <v>1763954</v>
      </c>
      <c r="D9066">
        <v>0</v>
      </c>
      <c r="E9066" t="s">
        <v>56245</v>
      </c>
      <c r="F9066" t="s">
        <v>56246</v>
      </c>
      <c r="G9066" t="s">
        <v>56247</v>
      </c>
      <c r="H9066" t="e" vm="3903">
        <f>_FV(0,"04267973924882431")</f>
        <v>#VALUE!</v>
      </c>
      <c r="I9066" t="s">
        <v>56248</v>
      </c>
      <c r="J9066" t="s">
        <v>56249</v>
      </c>
      <c r="K9066" t="s">
        <v>56250</v>
      </c>
      <c r="L9066" t="s">
        <v>56244</v>
      </c>
    </row>
    <row r="9067" spans="1:12" x14ac:dyDescent="0.25">
      <c r="A9067">
        <v>1748697</v>
      </c>
      <c r="B9067">
        <v>1751374</v>
      </c>
      <c r="D9067">
        <v>0</v>
      </c>
      <c r="E9067" t="s">
        <v>56252</v>
      </c>
      <c r="F9067" t="s">
        <v>56253</v>
      </c>
      <c r="G9067" t="s">
        <v>56254</v>
      </c>
      <c r="H9067" t="e" vm="3904">
        <f>_FV(0,"02460411267547828")</f>
        <v>#VALUE!</v>
      </c>
      <c r="I9067" t="s">
        <v>56255</v>
      </c>
      <c r="J9067" t="s">
        <v>56256</v>
      </c>
      <c r="K9067" t="s">
        <v>56257</v>
      </c>
      <c r="L9067" t="s">
        <v>56251</v>
      </c>
    </row>
    <row r="9068" spans="1:12" x14ac:dyDescent="0.25">
      <c r="A9068">
        <v>1748745</v>
      </c>
      <c r="B9068">
        <v>1748797</v>
      </c>
      <c r="D9068">
        <v>0</v>
      </c>
      <c r="E9068" t="s">
        <v>56259</v>
      </c>
      <c r="F9068" t="s">
        <v>56260</v>
      </c>
      <c r="G9068" t="s">
        <v>56261</v>
      </c>
      <c r="H9068" t="s">
        <v>56262</v>
      </c>
      <c r="I9068" t="s">
        <v>56263</v>
      </c>
      <c r="J9068" t="s">
        <v>56258</v>
      </c>
      <c r="K9068" t="s">
        <v>56264</v>
      </c>
      <c r="L9068" t="s">
        <v>56258</v>
      </c>
    </row>
    <row r="9069" spans="1:12" x14ac:dyDescent="0.25">
      <c r="A9069">
        <v>1748745</v>
      </c>
      <c r="B9069">
        <v>1748828</v>
      </c>
      <c r="D9069" t="s">
        <v>514</v>
      </c>
      <c r="E9069" t="s">
        <v>56266</v>
      </c>
      <c r="F9069" t="s">
        <v>56267</v>
      </c>
      <c r="G9069" t="s">
        <v>56268</v>
      </c>
      <c r="H9069" t="e" vm="3905">
        <f>_FV(0,"07833363939109518")</f>
        <v>#VALUE!</v>
      </c>
      <c r="I9069" t="s">
        <v>56269</v>
      </c>
      <c r="J9069" t="s">
        <v>56270</v>
      </c>
      <c r="K9069" t="s">
        <v>56271</v>
      </c>
      <c r="L9069" t="s">
        <v>56265</v>
      </c>
    </row>
    <row r="9070" spans="1:12" x14ac:dyDescent="0.25">
      <c r="A9070">
        <v>1748745</v>
      </c>
      <c r="B9070">
        <v>1762382</v>
      </c>
      <c r="D9070">
        <v>0</v>
      </c>
      <c r="E9070" t="s">
        <v>56273</v>
      </c>
      <c r="F9070" t="s">
        <v>56274</v>
      </c>
      <c r="G9070" t="s">
        <v>56275</v>
      </c>
      <c r="H9070" t="e" vm="3906">
        <f>_FV(0,"008550455768695998")</f>
        <v>#VALUE!</v>
      </c>
      <c r="I9070" t="s">
        <v>56276</v>
      </c>
      <c r="J9070" t="s">
        <v>56277</v>
      </c>
      <c r="K9070" t="s">
        <v>56278</v>
      </c>
      <c r="L9070" t="s">
        <v>56272</v>
      </c>
    </row>
    <row r="9071" spans="1:12" x14ac:dyDescent="0.25">
      <c r="A9071">
        <v>1748797</v>
      </c>
      <c r="B9071">
        <v>1748877</v>
      </c>
      <c r="D9071">
        <v>0</v>
      </c>
      <c r="E9071" t="s">
        <v>56279</v>
      </c>
      <c r="F9071">
        <v>2024475</v>
      </c>
      <c r="G9071">
        <v>1748797</v>
      </c>
      <c r="H9071" t="e" vm="452">
        <f>_FV(0,"16")</f>
        <v>#VALUE!</v>
      </c>
      <c r="I9071">
        <v>1748877</v>
      </c>
      <c r="J9071" t="s">
        <v>6301</v>
      </c>
      <c r="K9071" t="s">
        <v>56280</v>
      </c>
      <c r="L9071" t="e" vm="452">
        <f>_FV(0,"16")</f>
        <v>#VALUE!</v>
      </c>
    </row>
    <row r="9072" spans="1:12" x14ac:dyDescent="0.25">
      <c r="A9072">
        <v>1748828</v>
      </c>
      <c r="B9072">
        <v>1774526</v>
      </c>
      <c r="D9072">
        <v>0</v>
      </c>
      <c r="E9072" t="s">
        <v>56282</v>
      </c>
      <c r="F9072" t="s">
        <v>56283</v>
      </c>
      <c r="G9072" t="s">
        <v>56284</v>
      </c>
      <c r="H9072" t="s">
        <v>56285</v>
      </c>
      <c r="I9072" t="s">
        <v>56286</v>
      </c>
      <c r="J9072" t="s">
        <v>56287</v>
      </c>
      <c r="K9072" t="s">
        <v>56288</v>
      </c>
      <c r="L9072" t="s">
        <v>56281</v>
      </c>
    </row>
    <row r="9073" spans="1:12" x14ac:dyDescent="0.25">
      <c r="A9073">
        <v>1748828</v>
      </c>
      <c r="B9073">
        <v>1748932</v>
      </c>
      <c r="D9073">
        <v>0</v>
      </c>
      <c r="E9073" t="s">
        <v>56290</v>
      </c>
      <c r="F9073" t="s">
        <v>56291</v>
      </c>
      <c r="G9073" t="s">
        <v>56292</v>
      </c>
      <c r="H9073" t="s">
        <v>56293</v>
      </c>
      <c r="I9073" t="s">
        <v>56294</v>
      </c>
      <c r="J9073" t="s">
        <v>56289</v>
      </c>
      <c r="K9073" t="s">
        <v>56295</v>
      </c>
      <c r="L9073" t="s">
        <v>56289</v>
      </c>
    </row>
    <row r="9074" spans="1:12" x14ac:dyDescent="0.25">
      <c r="A9074">
        <v>1748877</v>
      </c>
      <c r="B9074">
        <v>1763967</v>
      </c>
      <c r="D9074">
        <v>0</v>
      </c>
      <c r="E9074" t="s">
        <v>56297</v>
      </c>
      <c r="F9074" t="s">
        <v>56298</v>
      </c>
      <c r="G9074" t="s">
        <v>56299</v>
      </c>
      <c r="H9074" t="e" vm="3907">
        <f>_FV(0,"018784918784213525")</f>
        <v>#VALUE!</v>
      </c>
      <c r="I9074" t="s">
        <v>56300</v>
      </c>
      <c r="J9074" t="s">
        <v>56301</v>
      </c>
      <c r="K9074" t="s">
        <v>56302</v>
      </c>
      <c r="L9074" t="s">
        <v>56296</v>
      </c>
    </row>
    <row r="9075" spans="1:12" x14ac:dyDescent="0.25">
      <c r="A9075">
        <v>1748932</v>
      </c>
      <c r="B9075">
        <v>1762413</v>
      </c>
      <c r="D9075">
        <v>0</v>
      </c>
      <c r="F9075">
        <v>2033456</v>
      </c>
      <c r="G9075">
        <v>1748932</v>
      </c>
      <c r="H9075" t="s">
        <v>56303</v>
      </c>
      <c r="I9075">
        <v>1762413</v>
      </c>
      <c r="J9075" t="s">
        <v>56303</v>
      </c>
      <c r="K9075" t="s">
        <v>56304</v>
      </c>
      <c r="L9075" t="s">
        <v>56303</v>
      </c>
    </row>
    <row r="9076" spans="1:12" x14ac:dyDescent="0.25">
      <c r="A9076">
        <v>1748932</v>
      </c>
      <c r="B9076">
        <v>1763974</v>
      </c>
      <c r="D9076" t="s">
        <v>514</v>
      </c>
      <c r="E9076" t="s">
        <v>56306</v>
      </c>
      <c r="F9076" t="s">
        <v>56307</v>
      </c>
      <c r="G9076" t="s">
        <v>56308</v>
      </c>
      <c r="H9076" t="s">
        <v>56309</v>
      </c>
      <c r="I9076" t="s">
        <v>56310</v>
      </c>
      <c r="J9076" t="s">
        <v>56311</v>
      </c>
      <c r="K9076" t="s">
        <v>56312</v>
      </c>
      <c r="L9076" t="s">
        <v>56305</v>
      </c>
    </row>
    <row r="9077" spans="1:12" x14ac:dyDescent="0.25">
      <c r="A9077">
        <v>1750921</v>
      </c>
      <c r="B9077">
        <v>1751902</v>
      </c>
      <c r="D9077">
        <v>0</v>
      </c>
      <c r="E9077" t="s">
        <v>56314</v>
      </c>
      <c r="F9077" t="s">
        <v>56315</v>
      </c>
      <c r="G9077" t="s">
        <v>56316</v>
      </c>
      <c r="H9077" t="e" vm="3908">
        <f>_FV(0,"16507492943263646")</f>
        <v>#VALUE!</v>
      </c>
      <c r="I9077" t="s">
        <v>56317</v>
      </c>
      <c r="J9077" t="s">
        <v>56318</v>
      </c>
      <c r="K9077" t="s">
        <v>56319</v>
      </c>
      <c r="L9077" t="s">
        <v>56313</v>
      </c>
    </row>
    <row r="9078" spans="1:12" x14ac:dyDescent="0.25">
      <c r="A9078">
        <v>1750921</v>
      </c>
      <c r="B9078">
        <v>1751958</v>
      </c>
      <c r="D9078">
        <v>0</v>
      </c>
      <c r="E9078" t="s">
        <v>56321</v>
      </c>
      <c r="F9078" t="s">
        <v>56322</v>
      </c>
      <c r="G9078" t="s">
        <v>56323</v>
      </c>
      <c r="H9078" t="e" vm="3909">
        <f>_FV(0,"044680552793392544")</f>
        <v>#VALUE!</v>
      </c>
      <c r="I9078" t="s">
        <v>56324</v>
      </c>
      <c r="J9078" t="s">
        <v>56325</v>
      </c>
      <c r="K9078" t="s">
        <v>56326</v>
      </c>
      <c r="L9078" t="s">
        <v>56320</v>
      </c>
    </row>
    <row r="9079" spans="1:12" x14ac:dyDescent="0.25">
      <c r="A9079">
        <v>1750921</v>
      </c>
      <c r="B9079">
        <v>1761012</v>
      </c>
      <c r="C9079" t="s">
        <v>56328</v>
      </c>
      <c r="D9079" t="s">
        <v>56329</v>
      </c>
      <c r="E9079" t="s">
        <v>56330</v>
      </c>
      <c r="F9079" t="s">
        <v>56331</v>
      </c>
      <c r="G9079" t="s">
        <v>56332</v>
      </c>
      <c r="H9079" t="s">
        <v>56333</v>
      </c>
      <c r="I9079" t="s">
        <v>56334</v>
      </c>
      <c r="J9079" t="s">
        <v>56335</v>
      </c>
      <c r="K9079" t="s">
        <v>56336</v>
      </c>
      <c r="L9079" t="s">
        <v>56327</v>
      </c>
    </row>
    <row r="9080" spans="1:12" x14ac:dyDescent="0.25">
      <c r="A9080">
        <v>1750922</v>
      </c>
      <c r="B9080">
        <v>1751141</v>
      </c>
      <c r="C9080" t="s">
        <v>56338</v>
      </c>
      <c r="D9080" t="s">
        <v>56339</v>
      </c>
      <c r="E9080" t="s">
        <v>56340</v>
      </c>
      <c r="F9080" t="s">
        <v>56341</v>
      </c>
      <c r="G9080" t="s">
        <v>56342</v>
      </c>
      <c r="H9080" t="s">
        <v>56343</v>
      </c>
      <c r="I9080" t="s">
        <v>56344</v>
      </c>
      <c r="J9080" t="s">
        <v>56345</v>
      </c>
      <c r="K9080" t="s">
        <v>56346</v>
      </c>
      <c r="L9080" t="s">
        <v>56337</v>
      </c>
    </row>
    <row r="9081" spans="1:12" x14ac:dyDescent="0.25">
      <c r="A9081">
        <v>1750922</v>
      </c>
      <c r="B9081">
        <v>1752032</v>
      </c>
      <c r="D9081">
        <v>0</v>
      </c>
      <c r="E9081" t="s">
        <v>56348</v>
      </c>
      <c r="F9081" t="s">
        <v>56349</v>
      </c>
      <c r="G9081" t="s">
        <v>56350</v>
      </c>
      <c r="H9081" t="s">
        <v>56351</v>
      </c>
      <c r="I9081" t="s">
        <v>56352</v>
      </c>
      <c r="J9081" t="s">
        <v>56353</v>
      </c>
      <c r="K9081" t="s">
        <v>56354</v>
      </c>
      <c r="L9081" t="s">
        <v>56347</v>
      </c>
    </row>
    <row r="9082" spans="1:12" x14ac:dyDescent="0.25">
      <c r="A9082">
        <v>1750922</v>
      </c>
      <c r="B9082">
        <v>1752040</v>
      </c>
      <c r="D9082">
        <v>0</v>
      </c>
      <c r="E9082" t="s">
        <v>56356</v>
      </c>
      <c r="F9082" t="s">
        <v>56357</v>
      </c>
      <c r="G9082" t="s">
        <v>56358</v>
      </c>
      <c r="H9082" t="s">
        <v>56359</v>
      </c>
      <c r="I9082" t="s">
        <v>56360</v>
      </c>
      <c r="J9082" t="s">
        <v>56361</v>
      </c>
      <c r="K9082" t="s">
        <v>56362</v>
      </c>
      <c r="L9082" t="s">
        <v>56355</v>
      </c>
    </row>
    <row r="9083" spans="1:12" x14ac:dyDescent="0.25">
      <c r="A9083">
        <v>1751141</v>
      </c>
      <c r="B9083">
        <v>1847354</v>
      </c>
      <c r="D9083">
        <v>0</v>
      </c>
      <c r="E9083" t="s">
        <v>56364</v>
      </c>
      <c r="F9083" t="s">
        <v>56365</v>
      </c>
      <c r="G9083" t="s">
        <v>56366</v>
      </c>
      <c r="H9083" t="s">
        <v>56367</v>
      </c>
      <c r="I9083" t="s">
        <v>56368</v>
      </c>
      <c r="J9083" t="s">
        <v>56369</v>
      </c>
      <c r="K9083" t="s">
        <v>56370</v>
      </c>
      <c r="L9083" t="s">
        <v>56363</v>
      </c>
    </row>
    <row r="9084" spans="1:12" x14ac:dyDescent="0.25">
      <c r="A9084">
        <v>1751141</v>
      </c>
      <c r="B9084">
        <v>1847362</v>
      </c>
      <c r="D9084">
        <v>0</v>
      </c>
      <c r="E9084" t="s">
        <v>56372</v>
      </c>
      <c r="F9084" t="s">
        <v>56373</v>
      </c>
      <c r="G9084" t="s">
        <v>56374</v>
      </c>
      <c r="H9084" t="s">
        <v>56375</v>
      </c>
      <c r="I9084" t="s">
        <v>56376</v>
      </c>
      <c r="J9084" t="s">
        <v>56377</v>
      </c>
      <c r="K9084" t="s">
        <v>56378</v>
      </c>
      <c r="L9084" t="s">
        <v>56371</v>
      </c>
    </row>
    <row r="9085" spans="1:12" x14ac:dyDescent="0.25">
      <c r="A9085">
        <v>1751142</v>
      </c>
      <c r="B9085">
        <v>1751145</v>
      </c>
      <c r="D9085" t="s">
        <v>18083</v>
      </c>
      <c r="E9085" t="s">
        <v>56380</v>
      </c>
      <c r="F9085" t="s">
        <v>56381</v>
      </c>
      <c r="G9085" t="s">
        <v>56382</v>
      </c>
      <c r="H9085" t="s">
        <v>56383</v>
      </c>
      <c r="I9085" t="s">
        <v>56384</v>
      </c>
      <c r="J9085" t="s">
        <v>56385</v>
      </c>
      <c r="K9085" t="s">
        <v>56386</v>
      </c>
      <c r="L9085" t="s">
        <v>56379</v>
      </c>
    </row>
    <row r="9086" spans="1:12" x14ac:dyDescent="0.25">
      <c r="A9086">
        <v>1751142</v>
      </c>
      <c r="B9086">
        <v>1757097</v>
      </c>
      <c r="D9086" t="s">
        <v>56388</v>
      </c>
      <c r="E9086" t="s">
        <v>56389</v>
      </c>
      <c r="F9086" t="s">
        <v>56390</v>
      </c>
      <c r="G9086" t="s">
        <v>56391</v>
      </c>
      <c r="H9086" t="s">
        <v>56392</v>
      </c>
      <c r="I9086" t="s">
        <v>56393</v>
      </c>
      <c r="J9086" t="s">
        <v>56394</v>
      </c>
      <c r="K9086" t="s">
        <v>56395</v>
      </c>
      <c r="L9086" t="s">
        <v>56387</v>
      </c>
    </row>
    <row r="9087" spans="1:12" x14ac:dyDescent="0.25">
      <c r="A9087">
        <v>1751142</v>
      </c>
      <c r="B9087">
        <v>1754392</v>
      </c>
      <c r="D9087" t="s">
        <v>43996</v>
      </c>
      <c r="E9087" t="s">
        <v>56397</v>
      </c>
      <c r="F9087" t="s">
        <v>56398</v>
      </c>
      <c r="G9087" t="s">
        <v>56399</v>
      </c>
      <c r="H9087" t="e" vm="3910">
        <f>_FV(0,"0112051522849122")</f>
        <v>#VALUE!</v>
      </c>
      <c r="I9087" t="s">
        <v>56400</v>
      </c>
      <c r="J9087" t="s">
        <v>56401</v>
      </c>
      <c r="K9087" t="s">
        <v>56402</v>
      </c>
      <c r="L9087" t="s">
        <v>56396</v>
      </c>
    </row>
    <row r="9088" spans="1:12" x14ac:dyDescent="0.25">
      <c r="A9088">
        <v>1751145</v>
      </c>
      <c r="B9088">
        <v>1751155</v>
      </c>
      <c r="C9088" t="s">
        <v>56404</v>
      </c>
      <c r="D9088">
        <v>0</v>
      </c>
      <c r="E9088" t="s">
        <v>56405</v>
      </c>
      <c r="F9088" t="s">
        <v>56406</v>
      </c>
      <c r="G9088" t="s">
        <v>56407</v>
      </c>
      <c r="H9088" t="s">
        <v>56408</v>
      </c>
      <c r="I9088" t="s">
        <v>56409</v>
      </c>
      <c r="J9088" t="s">
        <v>56403</v>
      </c>
      <c r="K9088" t="s">
        <v>56410</v>
      </c>
      <c r="L9088" t="s">
        <v>56403</v>
      </c>
    </row>
    <row r="9089" spans="1:12" x14ac:dyDescent="0.25">
      <c r="A9089">
        <v>1751145</v>
      </c>
      <c r="B9089">
        <v>1754298</v>
      </c>
      <c r="D9089">
        <v>0</v>
      </c>
      <c r="E9089" t="s">
        <v>56412</v>
      </c>
      <c r="F9089" t="s">
        <v>56413</v>
      </c>
      <c r="G9089" t="s">
        <v>56414</v>
      </c>
      <c r="H9089" t="s">
        <v>56415</v>
      </c>
      <c r="I9089" t="s">
        <v>56416</v>
      </c>
      <c r="J9089" t="s">
        <v>56417</v>
      </c>
      <c r="K9089" t="s">
        <v>56418</v>
      </c>
      <c r="L9089" t="s">
        <v>56411</v>
      </c>
    </row>
    <row r="9090" spans="1:12" x14ac:dyDescent="0.25">
      <c r="A9090">
        <v>1751155</v>
      </c>
      <c r="B9090">
        <v>1757087</v>
      </c>
      <c r="D9090">
        <v>0</v>
      </c>
      <c r="E9090" t="s">
        <v>56420</v>
      </c>
      <c r="F9090" t="s">
        <v>56421</v>
      </c>
      <c r="G9090" t="s">
        <v>56422</v>
      </c>
      <c r="H9090" t="e" vm="3911">
        <f>_FV(0,"002390231374220076")</f>
        <v>#VALUE!</v>
      </c>
      <c r="I9090" t="s">
        <v>56423</v>
      </c>
      <c r="J9090" t="s">
        <v>56424</v>
      </c>
      <c r="K9090" t="s">
        <v>56425</v>
      </c>
      <c r="L9090" t="s">
        <v>56419</v>
      </c>
    </row>
    <row r="9091" spans="1:12" x14ac:dyDescent="0.25">
      <c r="A9091">
        <v>1751155</v>
      </c>
      <c r="B9091">
        <v>1754321</v>
      </c>
      <c r="C9091" t="s">
        <v>56427</v>
      </c>
      <c r="D9091">
        <v>0</v>
      </c>
      <c r="E9091" t="s">
        <v>56428</v>
      </c>
      <c r="F9091" t="s">
        <v>56429</v>
      </c>
      <c r="G9091" t="s">
        <v>56430</v>
      </c>
      <c r="H9091" t="s">
        <v>56431</v>
      </c>
      <c r="I9091" t="s">
        <v>56432</v>
      </c>
      <c r="J9091" t="s">
        <v>56433</v>
      </c>
      <c r="K9091" t="s">
        <v>56434</v>
      </c>
      <c r="L9091" t="s">
        <v>56426</v>
      </c>
    </row>
    <row r="9092" spans="1:12" x14ac:dyDescent="0.25">
      <c r="A9092">
        <v>1751190</v>
      </c>
      <c r="B9092">
        <v>1751204</v>
      </c>
      <c r="D9092">
        <v>0</v>
      </c>
      <c r="E9092" t="s">
        <v>56436</v>
      </c>
      <c r="F9092" t="s">
        <v>56437</v>
      </c>
      <c r="G9092" t="s">
        <v>56438</v>
      </c>
      <c r="H9092" t="e" vm="3912">
        <f>_FV(0,"005476527026462292")</f>
        <v>#VALUE!</v>
      </c>
      <c r="I9092" t="s">
        <v>56439</v>
      </c>
      <c r="J9092" t="s">
        <v>56440</v>
      </c>
      <c r="K9092" t="s">
        <v>56441</v>
      </c>
      <c r="L9092" t="s">
        <v>56435</v>
      </c>
    </row>
    <row r="9093" spans="1:12" x14ac:dyDescent="0.25">
      <c r="A9093">
        <v>1751190</v>
      </c>
      <c r="B9093">
        <v>1751363</v>
      </c>
      <c r="D9093">
        <v>0</v>
      </c>
      <c r="E9093" t="s">
        <v>56443</v>
      </c>
      <c r="F9093" t="s">
        <v>56444</v>
      </c>
      <c r="G9093" t="s">
        <v>56445</v>
      </c>
      <c r="H9093" t="e" vm="3913">
        <f>_FV(0,"0006274313263703832")</f>
        <v>#VALUE!</v>
      </c>
      <c r="I9093" t="s">
        <v>56446</v>
      </c>
      <c r="J9093" t="s">
        <v>56447</v>
      </c>
      <c r="K9093" t="s">
        <v>56448</v>
      </c>
      <c r="L9093" t="s">
        <v>56442</v>
      </c>
    </row>
    <row r="9094" spans="1:12" x14ac:dyDescent="0.25">
      <c r="A9094">
        <v>1751190</v>
      </c>
      <c r="B9094">
        <v>1757087</v>
      </c>
      <c r="D9094">
        <v>0</v>
      </c>
      <c r="E9094" t="s">
        <v>56450</v>
      </c>
      <c r="F9094" t="s">
        <v>56451</v>
      </c>
      <c r="G9094" t="s">
        <v>56452</v>
      </c>
      <c r="H9094" t="e" vm="3914">
        <f>_FV(0,"0026758900933587554")</f>
        <v>#VALUE!</v>
      </c>
      <c r="I9094" t="s">
        <v>56453</v>
      </c>
      <c r="J9094" t="s">
        <v>56454</v>
      </c>
      <c r="K9094" t="s">
        <v>56455</v>
      </c>
      <c r="L9094" t="s">
        <v>56449</v>
      </c>
    </row>
    <row r="9095" spans="1:12" x14ac:dyDescent="0.25">
      <c r="A9095">
        <v>1751204</v>
      </c>
      <c r="B9095">
        <v>1751213</v>
      </c>
      <c r="D9095">
        <v>0</v>
      </c>
      <c r="E9095" t="s">
        <v>56456</v>
      </c>
      <c r="F9095" t="s">
        <v>56457</v>
      </c>
      <c r="G9095" t="s">
        <v>56458</v>
      </c>
      <c r="H9095" t="e" vm="3915">
        <f>_FV(0,"00256859058009166")</f>
        <v>#VALUE!</v>
      </c>
      <c r="I9095" t="s">
        <v>56459</v>
      </c>
      <c r="J9095" t="s">
        <v>13113</v>
      </c>
      <c r="K9095" t="s">
        <v>56460</v>
      </c>
      <c r="L9095" t="s">
        <v>44574</v>
      </c>
    </row>
    <row r="9096" spans="1:12" x14ac:dyDescent="0.25">
      <c r="A9096">
        <v>1751204</v>
      </c>
      <c r="B9096">
        <v>1698817</v>
      </c>
      <c r="D9096">
        <v>0</v>
      </c>
      <c r="E9096" t="s">
        <v>56462</v>
      </c>
      <c r="F9096" t="s">
        <v>56463</v>
      </c>
      <c r="G9096" t="s">
        <v>56464</v>
      </c>
      <c r="H9096" t="s">
        <v>56465</v>
      </c>
      <c r="I9096" t="s">
        <v>56466</v>
      </c>
      <c r="J9096" t="s">
        <v>56461</v>
      </c>
      <c r="K9096" t="s">
        <v>56467</v>
      </c>
      <c r="L9096" t="s">
        <v>56461</v>
      </c>
    </row>
    <row r="9097" spans="1:12" x14ac:dyDescent="0.25">
      <c r="A9097">
        <v>1751213</v>
      </c>
      <c r="B9097">
        <v>1751216</v>
      </c>
      <c r="D9097">
        <v>0</v>
      </c>
      <c r="F9097">
        <v>1995573</v>
      </c>
      <c r="G9097">
        <v>1751216</v>
      </c>
      <c r="H9097" t="s">
        <v>1333</v>
      </c>
      <c r="I9097">
        <v>1751213</v>
      </c>
      <c r="J9097" t="s">
        <v>1333</v>
      </c>
      <c r="K9097" t="s">
        <v>56468</v>
      </c>
      <c r="L9097" t="s">
        <v>1333</v>
      </c>
    </row>
    <row r="9098" spans="1:12" x14ac:dyDescent="0.25">
      <c r="A9098">
        <v>1751213</v>
      </c>
      <c r="B9098">
        <v>1698817</v>
      </c>
      <c r="D9098">
        <v>0</v>
      </c>
      <c r="E9098" t="s">
        <v>56470</v>
      </c>
      <c r="F9098" t="s">
        <v>56471</v>
      </c>
      <c r="G9098" t="s">
        <v>56472</v>
      </c>
      <c r="H9098" t="s">
        <v>56473</v>
      </c>
      <c r="I9098" t="s">
        <v>56474</v>
      </c>
      <c r="J9098" t="s">
        <v>56469</v>
      </c>
      <c r="K9098" t="s">
        <v>56475</v>
      </c>
      <c r="L9098" t="s">
        <v>56469</v>
      </c>
    </row>
    <row r="9099" spans="1:12" x14ac:dyDescent="0.25">
      <c r="A9099">
        <v>1751216</v>
      </c>
      <c r="B9099">
        <v>1751285</v>
      </c>
      <c r="D9099">
        <v>0</v>
      </c>
      <c r="E9099" t="s">
        <v>56477</v>
      </c>
      <c r="F9099" t="s">
        <v>56478</v>
      </c>
      <c r="G9099" t="s">
        <v>56479</v>
      </c>
      <c r="H9099" t="s">
        <v>56480</v>
      </c>
      <c r="I9099" t="s">
        <v>56481</v>
      </c>
      <c r="J9099" t="s">
        <v>56482</v>
      </c>
      <c r="K9099" t="s">
        <v>56483</v>
      </c>
      <c r="L9099" t="s">
        <v>56476</v>
      </c>
    </row>
    <row r="9100" spans="1:12" x14ac:dyDescent="0.25">
      <c r="A9100">
        <v>1751216</v>
      </c>
      <c r="B9100">
        <v>1751363</v>
      </c>
      <c r="D9100">
        <v>0</v>
      </c>
      <c r="E9100" t="s">
        <v>56485</v>
      </c>
      <c r="F9100" t="s">
        <v>56486</v>
      </c>
      <c r="G9100" t="s">
        <v>56487</v>
      </c>
      <c r="H9100" t="s">
        <v>56488</v>
      </c>
      <c r="I9100" t="s">
        <v>56489</v>
      </c>
      <c r="J9100" t="s">
        <v>56484</v>
      </c>
      <c r="K9100" t="s">
        <v>56490</v>
      </c>
      <c r="L9100" t="s">
        <v>56484</v>
      </c>
    </row>
    <row r="9101" spans="1:12" x14ac:dyDescent="0.25">
      <c r="A9101">
        <v>1751216</v>
      </c>
      <c r="B9101">
        <v>1751327</v>
      </c>
      <c r="D9101">
        <v>0</v>
      </c>
      <c r="E9101" t="s">
        <v>56492</v>
      </c>
      <c r="F9101" t="s">
        <v>56493</v>
      </c>
      <c r="G9101" t="s">
        <v>56494</v>
      </c>
      <c r="H9101" t="e" vm="3916">
        <f>_FV(0,"009018993438784954")</f>
        <v>#VALUE!</v>
      </c>
      <c r="I9101" t="s">
        <v>56495</v>
      </c>
      <c r="J9101" t="s">
        <v>56496</v>
      </c>
      <c r="K9101" t="s">
        <v>56497</v>
      </c>
      <c r="L9101" t="s">
        <v>56491</v>
      </c>
    </row>
    <row r="9102" spans="1:12" x14ac:dyDescent="0.25">
      <c r="A9102">
        <v>1751240</v>
      </c>
      <c r="B9102">
        <v>1751243</v>
      </c>
      <c r="D9102" t="s">
        <v>1119</v>
      </c>
      <c r="E9102" t="s">
        <v>56499</v>
      </c>
      <c r="F9102" t="s">
        <v>56500</v>
      </c>
      <c r="G9102" t="s">
        <v>56501</v>
      </c>
      <c r="H9102" t="e" vm="3917">
        <f>_FV(0,"008364097872860516")</f>
        <v>#VALUE!</v>
      </c>
      <c r="I9102" t="s">
        <v>56502</v>
      </c>
      <c r="J9102" t="s">
        <v>23384</v>
      </c>
      <c r="K9102" t="s">
        <v>56503</v>
      </c>
      <c r="L9102" t="s">
        <v>56498</v>
      </c>
    </row>
    <row r="9103" spans="1:12" x14ac:dyDescent="0.25">
      <c r="A9103">
        <v>1751240</v>
      </c>
      <c r="B9103">
        <v>1751374</v>
      </c>
      <c r="D9103">
        <v>0</v>
      </c>
      <c r="E9103" t="s">
        <v>56505</v>
      </c>
      <c r="F9103" t="s">
        <v>56506</v>
      </c>
      <c r="G9103" t="s">
        <v>56507</v>
      </c>
      <c r="H9103" t="e" vm="3918">
        <f>_FV(0,"10172185200495633")</f>
        <v>#VALUE!</v>
      </c>
      <c r="I9103" t="s">
        <v>56508</v>
      </c>
      <c r="J9103" t="s">
        <v>56509</v>
      </c>
      <c r="K9103" t="s">
        <v>56510</v>
      </c>
      <c r="L9103" t="s">
        <v>56504</v>
      </c>
    </row>
    <row r="9104" spans="1:12" x14ac:dyDescent="0.25">
      <c r="A9104">
        <v>1751240</v>
      </c>
      <c r="B9104">
        <v>1751388</v>
      </c>
      <c r="D9104">
        <v>0</v>
      </c>
      <c r="E9104" t="s">
        <v>56512</v>
      </c>
      <c r="F9104" t="s">
        <v>56513</v>
      </c>
      <c r="G9104" t="s">
        <v>56514</v>
      </c>
      <c r="H9104" t="e" vm="3919">
        <f>_FV(0,"008703349925068665")</f>
        <v>#VALUE!</v>
      </c>
      <c r="I9104" t="s">
        <v>56515</v>
      </c>
      <c r="J9104" t="s">
        <v>56516</v>
      </c>
      <c r="K9104" t="s">
        <v>56517</v>
      </c>
      <c r="L9104" t="s">
        <v>56511</v>
      </c>
    </row>
    <row r="9105" spans="1:12" x14ac:dyDescent="0.25">
      <c r="A9105">
        <v>1751243</v>
      </c>
      <c r="B9105">
        <v>1751418</v>
      </c>
      <c r="D9105">
        <v>0</v>
      </c>
      <c r="E9105" t="s">
        <v>56519</v>
      </c>
      <c r="F9105" t="s">
        <v>56520</v>
      </c>
      <c r="G9105" t="s">
        <v>56521</v>
      </c>
      <c r="H9105" t="s">
        <v>56522</v>
      </c>
      <c r="I9105" t="s">
        <v>56523</v>
      </c>
      <c r="J9105" t="s">
        <v>56524</v>
      </c>
      <c r="K9105" t="s">
        <v>56525</v>
      </c>
      <c r="L9105" t="s">
        <v>56518</v>
      </c>
    </row>
    <row r="9106" spans="1:12" x14ac:dyDescent="0.25">
      <c r="A9106">
        <v>1751243</v>
      </c>
      <c r="B9106">
        <v>1751465</v>
      </c>
      <c r="D9106">
        <v>0</v>
      </c>
      <c r="E9106" t="s">
        <v>56527</v>
      </c>
      <c r="F9106" t="s">
        <v>56528</v>
      </c>
      <c r="G9106" t="s">
        <v>56529</v>
      </c>
      <c r="H9106" t="s">
        <v>56530</v>
      </c>
      <c r="I9106" t="s">
        <v>56531</v>
      </c>
      <c r="J9106" t="s">
        <v>56532</v>
      </c>
      <c r="K9106" t="s">
        <v>56533</v>
      </c>
      <c r="L9106" t="s">
        <v>56526</v>
      </c>
    </row>
    <row r="9107" spans="1:12" x14ac:dyDescent="0.25">
      <c r="A9107">
        <v>1751285</v>
      </c>
      <c r="B9107">
        <v>1751303</v>
      </c>
      <c r="C9107" t="s">
        <v>56535</v>
      </c>
      <c r="D9107">
        <v>0</v>
      </c>
      <c r="E9107" t="s">
        <v>56536</v>
      </c>
      <c r="F9107" t="s">
        <v>56537</v>
      </c>
      <c r="G9107" t="s">
        <v>56538</v>
      </c>
      <c r="H9107" t="e" vm="3920">
        <f>_FV(-8,"786764623910096e")-5</f>
        <v>#VALUE!</v>
      </c>
      <c r="I9107" t="s">
        <v>56539</v>
      </c>
      <c r="J9107" t="s">
        <v>56540</v>
      </c>
      <c r="K9107" t="s">
        <v>56541</v>
      </c>
      <c r="L9107" t="s">
        <v>56534</v>
      </c>
    </row>
    <row r="9108" spans="1:12" x14ac:dyDescent="0.25">
      <c r="A9108">
        <v>1751285</v>
      </c>
      <c r="B9108">
        <v>1751315</v>
      </c>
      <c r="D9108">
        <v>0</v>
      </c>
      <c r="E9108" t="s">
        <v>56543</v>
      </c>
      <c r="F9108" t="s">
        <v>56544</v>
      </c>
      <c r="G9108" t="s">
        <v>56545</v>
      </c>
      <c r="H9108" t="s">
        <v>56546</v>
      </c>
      <c r="I9108" t="s">
        <v>56547</v>
      </c>
      <c r="J9108" t="s">
        <v>56542</v>
      </c>
      <c r="K9108" t="s">
        <v>56548</v>
      </c>
      <c r="L9108" t="s">
        <v>56542</v>
      </c>
    </row>
    <row r="9109" spans="1:12" x14ac:dyDescent="0.25">
      <c r="A9109">
        <v>1751285</v>
      </c>
      <c r="B9109">
        <v>1751327</v>
      </c>
      <c r="D9109">
        <v>0</v>
      </c>
      <c r="E9109" t="s">
        <v>56550</v>
      </c>
      <c r="F9109" t="s">
        <v>56551</v>
      </c>
      <c r="G9109" t="s">
        <v>56552</v>
      </c>
      <c r="H9109" t="e" vm="3921">
        <f>_FV(0,"04332570896657144")</f>
        <v>#VALUE!</v>
      </c>
      <c r="I9109" t="s">
        <v>56553</v>
      </c>
      <c r="J9109" t="s">
        <v>56554</v>
      </c>
      <c r="K9109" t="s">
        <v>56555</v>
      </c>
      <c r="L9109" t="s">
        <v>56549</v>
      </c>
    </row>
    <row r="9110" spans="1:12" x14ac:dyDescent="0.25">
      <c r="A9110">
        <v>1751307</v>
      </c>
      <c r="B9110">
        <v>1751315</v>
      </c>
      <c r="D9110">
        <v>0</v>
      </c>
      <c r="E9110" t="s">
        <v>56557</v>
      </c>
      <c r="F9110" t="s">
        <v>56558</v>
      </c>
      <c r="G9110" t="s">
        <v>56559</v>
      </c>
      <c r="H9110" t="s">
        <v>56560</v>
      </c>
      <c r="I9110" t="s">
        <v>56561</v>
      </c>
      <c r="J9110" t="s">
        <v>56562</v>
      </c>
      <c r="K9110" t="s">
        <v>56563</v>
      </c>
      <c r="L9110" t="s">
        <v>56556</v>
      </c>
    </row>
    <row r="9111" spans="1:12" x14ac:dyDescent="0.25">
      <c r="A9111">
        <v>1751315</v>
      </c>
      <c r="B9111">
        <v>1751327</v>
      </c>
      <c r="D9111">
        <v>0</v>
      </c>
      <c r="E9111" t="s">
        <v>56565</v>
      </c>
      <c r="F9111" t="s">
        <v>56566</v>
      </c>
      <c r="G9111" t="s">
        <v>56567</v>
      </c>
      <c r="H9111" t="s">
        <v>56568</v>
      </c>
      <c r="I9111" t="s">
        <v>56569</v>
      </c>
      <c r="J9111" t="s">
        <v>56570</v>
      </c>
      <c r="K9111" t="s">
        <v>56571</v>
      </c>
      <c r="L9111" t="s">
        <v>56564</v>
      </c>
    </row>
    <row r="9112" spans="1:12" x14ac:dyDescent="0.25">
      <c r="A9112">
        <v>1751363</v>
      </c>
      <c r="B9112">
        <v>1757102</v>
      </c>
      <c r="D9112">
        <v>0</v>
      </c>
      <c r="E9112" t="s">
        <v>56573</v>
      </c>
      <c r="F9112" t="s">
        <v>56574</v>
      </c>
      <c r="G9112" t="s">
        <v>56575</v>
      </c>
      <c r="H9112" t="e" vm="3922">
        <f>_FV(-8,"73930472805951e")-5</f>
        <v>#VALUE!</v>
      </c>
      <c r="I9112" t="s">
        <v>56576</v>
      </c>
      <c r="J9112" t="s">
        <v>56577</v>
      </c>
      <c r="K9112" t="s">
        <v>56578</v>
      </c>
      <c r="L9112" t="s">
        <v>56572</v>
      </c>
    </row>
    <row r="9113" spans="1:12" x14ac:dyDescent="0.25">
      <c r="A9113">
        <v>1751368</v>
      </c>
      <c r="B9113">
        <v>1751389</v>
      </c>
      <c r="D9113" t="s">
        <v>19055</v>
      </c>
      <c r="E9113" t="s">
        <v>56580</v>
      </c>
      <c r="F9113" t="s">
        <v>56581</v>
      </c>
      <c r="G9113" t="s">
        <v>56582</v>
      </c>
      <c r="H9113" t="e" vm="3923">
        <f>_FV(0,"003937690632647926")</f>
        <v>#VALUE!</v>
      </c>
      <c r="I9113" t="s">
        <v>56583</v>
      </c>
      <c r="J9113" t="s">
        <v>56584</v>
      </c>
      <c r="K9113" t="s">
        <v>56585</v>
      </c>
      <c r="L9113" t="s">
        <v>56579</v>
      </c>
    </row>
    <row r="9114" spans="1:12" x14ac:dyDescent="0.25">
      <c r="A9114">
        <v>1751368</v>
      </c>
      <c r="B9114">
        <v>1757097</v>
      </c>
      <c r="D9114" t="s">
        <v>15313</v>
      </c>
      <c r="E9114" t="s">
        <v>56587</v>
      </c>
      <c r="F9114" t="s">
        <v>56588</v>
      </c>
      <c r="G9114" t="s">
        <v>56589</v>
      </c>
      <c r="H9114" t="s">
        <v>56590</v>
      </c>
      <c r="I9114" t="s">
        <v>56591</v>
      </c>
      <c r="J9114" t="s">
        <v>56592</v>
      </c>
      <c r="K9114" t="s">
        <v>56593</v>
      </c>
      <c r="L9114" t="s">
        <v>56586</v>
      </c>
    </row>
    <row r="9115" spans="1:12" x14ac:dyDescent="0.25">
      <c r="A9115">
        <v>1751368</v>
      </c>
      <c r="B9115">
        <v>1761200</v>
      </c>
      <c r="D9115">
        <v>0</v>
      </c>
      <c r="E9115" t="s">
        <v>56594</v>
      </c>
      <c r="F9115" t="s">
        <v>56595</v>
      </c>
      <c r="G9115" t="s">
        <v>56596</v>
      </c>
      <c r="H9115" t="s">
        <v>56597</v>
      </c>
      <c r="I9115" t="s">
        <v>56598</v>
      </c>
      <c r="J9115" t="s">
        <v>997</v>
      </c>
      <c r="K9115" t="s">
        <v>56599</v>
      </c>
      <c r="L9115" t="s">
        <v>997</v>
      </c>
    </row>
    <row r="9116" spans="1:12" x14ac:dyDescent="0.25">
      <c r="A9116">
        <v>1751374</v>
      </c>
      <c r="B9116">
        <v>1751388</v>
      </c>
      <c r="D9116">
        <v>0</v>
      </c>
      <c r="E9116" t="s">
        <v>56601</v>
      </c>
      <c r="F9116" t="s">
        <v>56602</v>
      </c>
      <c r="G9116" t="s">
        <v>56603</v>
      </c>
      <c r="H9116" t="e" vm="3924">
        <f>_FV(0,"13170143786769156")</f>
        <v>#VALUE!</v>
      </c>
      <c r="I9116" t="s">
        <v>56604</v>
      </c>
      <c r="J9116" t="s">
        <v>56605</v>
      </c>
      <c r="K9116" t="s">
        <v>56606</v>
      </c>
      <c r="L9116" t="s">
        <v>56600</v>
      </c>
    </row>
    <row r="9117" spans="1:12" x14ac:dyDescent="0.25">
      <c r="A9117">
        <v>1751389</v>
      </c>
      <c r="B9117">
        <v>1621743</v>
      </c>
      <c r="C9117" t="s">
        <v>56608</v>
      </c>
      <c r="D9117" t="s">
        <v>56609</v>
      </c>
      <c r="E9117" t="s">
        <v>56610</v>
      </c>
      <c r="F9117" t="s">
        <v>56611</v>
      </c>
      <c r="G9117" t="s">
        <v>56612</v>
      </c>
      <c r="H9117" t="s">
        <v>56613</v>
      </c>
      <c r="I9117" t="s">
        <v>56614</v>
      </c>
      <c r="J9117" t="s">
        <v>56615</v>
      </c>
      <c r="K9117" t="s">
        <v>56616</v>
      </c>
      <c r="L9117" t="s">
        <v>56607</v>
      </c>
    </row>
    <row r="9118" spans="1:12" x14ac:dyDescent="0.25">
      <c r="A9118">
        <v>1751389</v>
      </c>
      <c r="B9118">
        <v>1754328</v>
      </c>
      <c r="D9118">
        <v>1</v>
      </c>
      <c r="F9118">
        <v>2062905</v>
      </c>
      <c r="G9118">
        <v>1751389</v>
      </c>
      <c r="H9118" t="e" vm="1300">
        <f>_FV(0,"013")</f>
        <v>#VALUE!</v>
      </c>
      <c r="I9118">
        <v>1754328</v>
      </c>
      <c r="J9118" t="s">
        <v>30</v>
      </c>
      <c r="K9118" t="s">
        <v>56617</v>
      </c>
      <c r="L9118" t="e" vm="1300">
        <f>_FV(0,"013")</f>
        <v>#VALUE!</v>
      </c>
    </row>
    <row r="9119" spans="1:12" x14ac:dyDescent="0.25">
      <c r="A9119">
        <v>1751399</v>
      </c>
      <c r="B9119">
        <v>1695865</v>
      </c>
      <c r="D9119" t="s">
        <v>514</v>
      </c>
      <c r="E9119" t="s">
        <v>56619</v>
      </c>
      <c r="F9119" t="s">
        <v>56620</v>
      </c>
      <c r="G9119" t="s">
        <v>56621</v>
      </c>
      <c r="H9119" t="s">
        <v>56622</v>
      </c>
      <c r="I9119" t="s">
        <v>56623</v>
      </c>
      <c r="J9119" t="s">
        <v>56624</v>
      </c>
      <c r="K9119" t="s">
        <v>56625</v>
      </c>
      <c r="L9119" t="s">
        <v>56618</v>
      </c>
    </row>
    <row r="9120" spans="1:12" x14ac:dyDescent="0.25">
      <c r="A9120">
        <v>1751399</v>
      </c>
      <c r="B9120">
        <v>1760912</v>
      </c>
      <c r="D9120" t="s">
        <v>56627</v>
      </c>
      <c r="E9120" t="s">
        <v>56628</v>
      </c>
      <c r="F9120" t="s">
        <v>56629</v>
      </c>
      <c r="G9120" t="s">
        <v>56630</v>
      </c>
      <c r="H9120" t="s">
        <v>56631</v>
      </c>
      <c r="I9120" t="s">
        <v>56632</v>
      </c>
      <c r="J9120" t="s">
        <v>56633</v>
      </c>
      <c r="K9120" t="s">
        <v>56634</v>
      </c>
      <c r="L9120" t="s">
        <v>56626</v>
      </c>
    </row>
    <row r="9121" spans="1:12" x14ac:dyDescent="0.25">
      <c r="A9121">
        <v>1751399</v>
      </c>
      <c r="B9121">
        <v>1854843</v>
      </c>
      <c r="C9121" t="s">
        <v>56635</v>
      </c>
      <c r="D9121">
        <v>0</v>
      </c>
      <c r="E9121" t="s">
        <v>56636</v>
      </c>
      <c r="H9121" t="s">
        <v>187</v>
      </c>
      <c r="J9121">
        <v>0</v>
      </c>
      <c r="K9121" t="s">
        <v>55665</v>
      </c>
      <c r="L9121">
        <v>0</v>
      </c>
    </row>
    <row r="9122" spans="1:12" x14ac:dyDescent="0.25">
      <c r="A9122">
        <v>1751418</v>
      </c>
      <c r="B9122">
        <v>1751465</v>
      </c>
      <c r="D9122">
        <v>0</v>
      </c>
      <c r="E9122" t="s">
        <v>56638</v>
      </c>
      <c r="F9122" t="s">
        <v>56639</v>
      </c>
      <c r="G9122" t="s">
        <v>56640</v>
      </c>
      <c r="H9122" t="e" vm="3925">
        <f>_FV(0,"02951191973644533")</f>
        <v>#VALUE!</v>
      </c>
      <c r="I9122" t="s">
        <v>56641</v>
      </c>
      <c r="J9122" t="s">
        <v>56642</v>
      </c>
      <c r="K9122" t="s">
        <v>56643</v>
      </c>
      <c r="L9122" t="s">
        <v>56637</v>
      </c>
    </row>
    <row r="9123" spans="1:12" x14ac:dyDescent="0.25">
      <c r="A9123">
        <v>1751443</v>
      </c>
      <c r="B9123">
        <v>1696606</v>
      </c>
      <c r="D9123">
        <v>0</v>
      </c>
      <c r="E9123" t="s">
        <v>56645</v>
      </c>
      <c r="F9123" t="s">
        <v>56646</v>
      </c>
      <c r="G9123" t="s">
        <v>56647</v>
      </c>
      <c r="H9123" t="s">
        <v>56648</v>
      </c>
      <c r="I9123" t="s">
        <v>56649</v>
      </c>
      <c r="J9123" t="s">
        <v>56650</v>
      </c>
      <c r="K9123" t="s">
        <v>56651</v>
      </c>
      <c r="L9123" t="s">
        <v>56644</v>
      </c>
    </row>
    <row r="9124" spans="1:12" x14ac:dyDescent="0.25">
      <c r="A9124">
        <v>1751443</v>
      </c>
      <c r="B9124">
        <v>1751528</v>
      </c>
      <c r="D9124">
        <v>0</v>
      </c>
      <c r="E9124" t="s">
        <v>56652</v>
      </c>
      <c r="F9124" t="s">
        <v>56653</v>
      </c>
      <c r="G9124" t="s">
        <v>56654</v>
      </c>
      <c r="H9124" t="s">
        <v>56655</v>
      </c>
      <c r="I9124" t="s">
        <v>56656</v>
      </c>
      <c r="J9124" t="s">
        <v>30764</v>
      </c>
      <c r="K9124" t="s">
        <v>56657</v>
      </c>
      <c r="L9124" t="s">
        <v>30764</v>
      </c>
    </row>
    <row r="9125" spans="1:12" x14ac:dyDescent="0.25">
      <c r="A9125">
        <v>1751443</v>
      </c>
      <c r="B9125">
        <v>1823013</v>
      </c>
      <c r="D9125">
        <v>0</v>
      </c>
      <c r="E9125" t="s">
        <v>56659</v>
      </c>
      <c r="F9125" t="s">
        <v>56660</v>
      </c>
      <c r="G9125" t="s">
        <v>56661</v>
      </c>
      <c r="H9125" t="e" vm="3926">
        <f>_FV(0,"014469109030506529")</f>
        <v>#VALUE!</v>
      </c>
      <c r="I9125" t="s">
        <v>56662</v>
      </c>
      <c r="J9125" t="s">
        <v>56663</v>
      </c>
      <c r="K9125" t="s">
        <v>56664</v>
      </c>
      <c r="L9125" t="s">
        <v>56658</v>
      </c>
    </row>
    <row r="9126" spans="1:12" x14ac:dyDescent="0.25">
      <c r="A9126">
        <v>1751459</v>
      </c>
      <c r="B9126">
        <v>1751461</v>
      </c>
      <c r="D9126">
        <v>0</v>
      </c>
      <c r="E9126" t="s">
        <v>56666</v>
      </c>
      <c r="F9126" t="s">
        <v>56667</v>
      </c>
      <c r="G9126" t="s">
        <v>56668</v>
      </c>
      <c r="H9126" t="s">
        <v>56669</v>
      </c>
      <c r="I9126" t="s">
        <v>56670</v>
      </c>
      <c r="J9126" t="s">
        <v>56671</v>
      </c>
      <c r="K9126" t="s">
        <v>56672</v>
      </c>
      <c r="L9126" t="s">
        <v>56665</v>
      </c>
    </row>
    <row r="9127" spans="1:12" x14ac:dyDescent="0.25">
      <c r="A9127">
        <v>1751459</v>
      </c>
      <c r="B9127">
        <v>1751557</v>
      </c>
      <c r="C9127" t="s">
        <v>56674</v>
      </c>
      <c r="D9127" t="s">
        <v>56675</v>
      </c>
      <c r="E9127" t="s">
        <v>56676</v>
      </c>
      <c r="F9127" t="s">
        <v>56677</v>
      </c>
      <c r="G9127" t="s">
        <v>56678</v>
      </c>
      <c r="H9127" t="s">
        <v>56679</v>
      </c>
      <c r="I9127" t="s">
        <v>56680</v>
      </c>
      <c r="J9127" t="s">
        <v>56681</v>
      </c>
      <c r="K9127" t="s">
        <v>56682</v>
      </c>
      <c r="L9127" t="s">
        <v>56673</v>
      </c>
    </row>
    <row r="9128" spans="1:12" x14ac:dyDescent="0.25">
      <c r="A9128">
        <v>1751459</v>
      </c>
      <c r="B9128">
        <v>1751556</v>
      </c>
      <c r="D9128">
        <v>0</v>
      </c>
      <c r="F9128">
        <v>2056265</v>
      </c>
      <c r="G9128">
        <v>1751459</v>
      </c>
      <c r="H9128" t="s">
        <v>922</v>
      </c>
      <c r="I9128">
        <v>1751556</v>
      </c>
      <c r="J9128" t="s">
        <v>922</v>
      </c>
      <c r="K9128" t="s">
        <v>56683</v>
      </c>
      <c r="L9128" t="s">
        <v>922</v>
      </c>
    </row>
    <row r="9129" spans="1:12" x14ac:dyDescent="0.25">
      <c r="A9129">
        <v>1751461</v>
      </c>
      <c r="B9129">
        <v>1751528</v>
      </c>
      <c r="D9129">
        <v>0</v>
      </c>
      <c r="E9129" t="s">
        <v>56685</v>
      </c>
      <c r="F9129" t="s">
        <v>56686</v>
      </c>
      <c r="G9129" t="s">
        <v>56687</v>
      </c>
      <c r="H9129" t="s">
        <v>56688</v>
      </c>
      <c r="I9129" t="s">
        <v>56689</v>
      </c>
      <c r="J9129" t="s">
        <v>56684</v>
      </c>
      <c r="K9129" t="s">
        <v>56690</v>
      </c>
      <c r="L9129" t="s">
        <v>56684</v>
      </c>
    </row>
    <row r="9130" spans="1:12" x14ac:dyDescent="0.25">
      <c r="A9130">
        <v>1751528</v>
      </c>
      <c r="B9130">
        <v>1751556</v>
      </c>
      <c r="D9130">
        <v>0</v>
      </c>
      <c r="F9130">
        <v>2056257</v>
      </c>
      <c r="G9130">
        <v>1751556</v>
      </c>
      <c r="H9130" t="e" vm="298">
        <f>_FV(0,"044")</f>
        <v>#VALUE!</v>
      </c>
      <c r="I9130">
        <v>1751528</v>
      </c>
      <c r="J9130" t="s">
        <v>4331</v>
      </c>
      <c r="K9130" t="s">
        <v>56691</v>
      </c>
      <c r="L9130" t="e" vm="298">
        <f>_FV(0,"044")</f>
        <v>#VALUE!</v>
      </c>
    </row>
    <row r="9131" spans="1:12" x14ac:dyDescent="0.25">
      <c r="A9131">
        <v>1696613</v>
      </c>
      <c r="B9131">
        <v>1751556</v>
      </c>
      <c r="D9131">
        <v>0</v>
      </c>
      <c r="E9131" t="s">
        <v>56693</v>
      </c>
      <c r="F9131" t="s">
        <v>56694</v>
      </c>
      <c r="G9131" t="s">
        <v>56695</v>
      </c>
      <c r="H9131" t="e" vm="3927">
        <f>_FV(0,"09613251830331197")</f>
        <v>#VALUE!</v>
      </c>
      <c r="I9131" t="s">
        <v>56696</v>
      </c>
      <c r="J9131" t="s">
        <v>56697</v>
      </c>
      <c r="K9131" t="s">
        <v>56698</v>
      </c>
      <c r="L9131" t="s">
        <v>56692</v>
      </c>
    </row>
    <row r="9132" spans="1:12" x14ac:dyDescent="0.25">
      <c r="A9132">
        <v>1751557</v>
      </c>
      <c r="B9132">
        <v>1751560</v>
      </c>
      <c r="D9132">
        <v>0</v>
      </c>
      <c r="E9132" t="s">
        <v>56700</v>
      </c>
      <c r="F9132" t="s">
        <v>56701</v>
      </c>
      <c r="G9132" t="s">
        <v>56702</v>
      </c>
      <c r="H9132" t="s">
        <v>56703</v>
      </c>
      <c r="I9132" t="s">
        <v>56704</v>
      </c>
      <c r="J9132" t="s">
        <v>56699</v>
      </c>
      <c r="K9132" t="s">
        <v>56705</v>
      </c>
      <c r="L9132" t="s">
        <v>56699</v>
      </c>
    </row>
    <row r="9133" spans="1:12" x14ac:dyDescent="0.25">
      <c r="A9133">
        <v>1751587</v>
      </c>
      <c r="B9133">
        <v>1751691</v>
      </c>
      <c r="D9133">
        <v>0</v>
      </c>
      <c r="F9133">
        <v>2058491</v>
      </c>
      <c r="G9133">
        <v>1751691</v>
      </c>
      <c r="H9133" t="e" vm="1">
        <f>_FV(0,"03")</f>
        <v>#VALUE!</v>
      </c>
      <c r="I9133">
        <v>1751587</v>
      </c>
      <c r="J9133" t="s">
        <v>12</v>
      </c>
      <c r="K9133" t="s">
        <v>56706</v>
      </c>
      <c r="L9133" t="e" vm="1">
        <f>_FV(0,"03")</f>
        <v>#VALUE!</v>
      </c>
    </row>
    <row r="9134" spans="1:12" x14ac:dyDescent="0.25">
      <c r="A9134">
        <v>1751587</v>
      </c>
      <c r="B9134">
        <v>1751589</v>
      </c>
      <c r="D9134">
        <v>0</v>
      </c>
      <c r="E9134" t="s">
        <v>56708</v>
      </c>
      <c r="F9134" t="s">
        <v>56709</v>
      </c>
      <c r="G9134" t="s">
        <v>56710</v>
      </c>
      <c r="H9134" t="e" vm="3928">
        <f>_FV(0,"137281676217253")</f>
        <v>#VALUE!</v>
      </c>
      <c r="I9134" t="s">
        <v>56711</v>
      </c>
      <c r="J9134" t="s">
        <v>56712</v>
      </c>
      <c r="K9134" t="s">
        <v>56713</v>
      </c>
      <c r="L9134" t="s">
        <v>56707</v>
      </c>
    </row>
    <row r="9135" spans="1:12" x14ac:dyDescent="0.25">
      <c r="A9135">
        <v>1751587</v>
      </c>
      <c r="B9135">
        <v>1761024</v>
      </c>
      <c r="D9135">
        <v>0</v>
      </c>
      <c r="E9135" t="s">
        <v>56715</v>
      </c>
      <c r="F9135" t="s">
        <v>56716</v>
      </c>
      <c r="G9135" t="s">
        <v>56717</v>
      </c>
      <c r="H9135" t="e" vm="3929">
        <f>_FV(0,"028277101434960764")</f>
        <v>#VALUE!</v>
      </c>
      <c r="I9135" t="s">
        <v>56718</v>
      </c>
      <c r="J9135" t="s">
        <v>56719</v>
      </c>
      <c r="K9135" t="s">
        <v>56720</v>
      </c>
      <c r="L9135" t="s">
        <v>56714</v>
      </c>
    </row>
    <row r="9136" spans="1:12" x14ac:dyDescent="0.25">
      <c r="A9136">
        <v>1751589</v>
      </c>
      <c r="B9136">
        <v>1751608</v>
      </c>
      <c r="D9136">
        <v>0</v>
      </c>
      <c r="F9136">
        <v>1996261</v>
      </c>
      <c r="G9136">
        <v>1751608</v>
      </c>
      <c r="H9136" t="e" vm="3930">
        <f>_FV(0,"236")</f>
        <v>#VALUE!</v>
      </c>
      <c r="I9136">
        <v>1751589</v>
      </c>
      <c r="J9136" t="s">
        <v>56721</v>
      </c>
      <c r="K9136" t="s">
        <v>56722</v>
      </c>
      <c r="L9136" t="e" vm="3930">
        <f>_FV(0,"236")</f>
        <v>#VALUE!</v>
      </c>
    </row>
    <row r="9137" spans="1:12" x14ac:dyDescent="0.25">
      <c r="A9137">
        <v>1751589</v>
      </c>
      <c r="B9137">
        <v>1751667</v>
      </c>
      <c r="D9137">
        <v>0</v>
      </c>
      <c r="E9137" t="s">
        <v>56724</v>
      </c>
      <c r="F9137" t="s">
        <v>56725</v>
      </c>
      <c r="G9137" t="s">
        <v>56726</v>
      </c>
      <c r="H9137" t="e" vm="3931">
        <f>_FV(0,"05190650377885931")</f>
        <v>#VALUE!</v>
      </c>
      <c r="I9137" t="s">
        <v>56727</v>
      </c>
      <c r="J9137" t="s">
        <v>56728</v>
      </c>
      <c r="K9137" t="s">
        <v>56729</v>
      </c>
      <c r="L9137" t="s">
        <v>56723</v>
      </c>
    </row>
    <row r="9138" spans="1:12" x14ac:dyDescent="0.25">
      <c r="A9138">
        <v>1751608</v>
      </c>
      <c r="B9138">
        <v>1678317</v>
      </c>
      <c r="D9138">
        <v>0</v>
      </c>
      <c r="E9138" t="s">
        <v>56731</v>
      </c>
      <c r="F9138" t="s">
        <v>56732</v>
      </c>
      <c r="G9138" t="s">
        <v>56733</v>
      </c>
      <c r="H9138" t="s">
        <v>56734</v>
      </c>
      <c r="I9138" t="s">
        <v>56735</v>
      </c>
      <c r="J9138" t="s">
        <v>56730</v>
      </c>
      <c r="K9138" t="s">
        <v>56736</v>
      </c>
      <c r="L9138" t="s">
        <v>56730</v>
      </c>
    </row>
    <row r="9139" spans="1:12" x14ac:dyDescent="0.25">
      <c r="A9139">
        <v>1751608</v>
      </c>
      <c r="B9139">
        <v>1751667</v>
      </c>
      <c r="D9139">
        <v>0</v>
      </c>
      <c r="E9139" t="s">
        <v>56738</v>
      </c>
      <c r="F9139" t="s">
        <v>56739</v>
      </c>
      <c r="G9139" t="s">
        <v>56740</v>
      </c>
      <c r="H9139" t="s">
        <v>56741</v>
      </c>
      <c r="I9139" t="s">
        <v>56742</v>
      </c>
      <c r="J9139" t="s">
        <v>56737</v>
      </c>
      <c r="K9139" t="s">
        <v>56743</v>
      </c>
      <c r="L9139" t="s">
        <v>56737</v>
      </c>
    </row>
    <row r="9140" spans="1:12" x14ac:dyDescent="0.25">
      <c r="A9140">
        <v>1751667</v>
      </c>
      <c r="B9140">
        <v>1751691</v>
      </c>
      <c r="D9140">
        <v>0</v>
      </c>
      <c r="E9140" t="s">
        <v>56745</v>
      </c>
      <c r="F9140" t="s">
        <v>56746</v>
      </c>
      <c r="G9140" t="s">
        <v>56747</v>
      </c>
      <c r="H9140" t="s">
        <v>56748</v>
      </c>
      <c r="I9140" t="s">
        <v>56749</v>
      </c>
      <c r="J9140" t="s">
        <v>56744</v>
      </c>
      <c r="K9140" t="s">
        <v>56750</v>
      </c>
      <c r="L9140" t="s">
        <v>56744</v>
      </c>
    </row>
    <row r="9141" spans="1:12" x14ac:dyDescent="0.25">
      <c r="A9141">
        <v>1751672</v>
      </c>
      <c r="B9141">
        <v>1751674</v>
      </c>
      <c r="D9141">
        <v>0</v>
      </c>
      <c r="E9141" t="s">
        <v>56752</v>
      </c>
      <c r="F9141" t="s">
        <v>56753</v>
      </c>
      <c r="G9141" t="s">
        <v>56754</v>
      </c>
      <c r="H9141" t="e" vm="3932">
        <f>_FV(0,"3738407946477012")</f>
        <v>#VALUE!</v>
      </c>
      <c r="I9141" t="s">
        <v>56755</v>
      </c>
      <c r="J9141" t="s">
        <v>56756</v>
      </c>
      <c r="K9141" t="s">
        <v>56757</v>
      </c>
      <c r="L9141" t="s">
        <v>56751</v>
      </c>
    </row>
    <row r="9142" spans="1:12" x14ac:dyDescent="0.25">
      <c r="A9142">
        <v>1751672</v>
      </c>
      <c r="B9142">
        <v>1678309</v>
      </c>
      <c r="D9142">
        <v>0</v>
      </c>
      <c r="E9142" t="s">
        <v>56759</v>
      </c>
      <c r="F9142" t="s">
        <v>56760</v>
      </c>
      <c r="G9142" t="s">
        <v>56761</v>
      </c>
      <c r="H9142" t="s">
        <v>56762</v>
      </c>
      <c r="I9142" t="s">
        <v>56763</v>
      </c>
      <c r="J9142" t="s">
        <v>56764</v>
      </c>
      <c r="K9142" t="s">
        <v>56765</v>
      </c>
      <c r="L9142" t="s">
        <v>56758</v>
      </c>
    </row>
    <row r="9143" spans="1:12" x14ac:dyDescent="0.25">
      <c r="A9143">
        <v>1751672</v>
      </c>
      <c r="B9143">
        <v>1751696</v>
      </c>
      <c r="D9143">
        <v>0</v>
      </c>
      <c r="F9143">
        <v>1996418</v>
      </c>
      <c r="G9143">
        <v>1751672</v>
      </c>
      <c r="H9143" t="s">
        <v>12580</v>
      </c>
      <c r="I9143">
        <v>1751696</v>
      </c>
      <c r="J9143" t="s">
        <v>12580</v>
      </c>
      <c r="K9143" t="s">
        <v>56766</v>
      </c>
      <c r="L9143" t="s">
        <v>12580</v>
      </c>
    </row>
    <row r="9144" spans="1:12" x14ac:dyDescent="0.25">
      <c r="A9144">
        <v>1751674</v>
      </c>
      <c r="B9144">
        <v>1751682</v>
      </c>
      <c r="D9144">
        <v>0</v>
      </c>
      <c r="E9144" t="s">
        <v>56768</v>
      </c>
      <c r="F9144" t="s">
        <v>56769</v>
      </c>
      <c r="G9144" t="s">
        <v>56770</v>
      </c>
      <c r="H9144" t="e" vm="3933">
        <f>_FV(0,"0487569351527904")</f>
        <v>#VALUE!</v>
      </c>
      <c r="I9144" t="s">
        <v>56771</v>
      </c>
      <c r="J9144" t="s">
        <v>379</v>
      </c>
      <c r="K9144" t="s">
        <v>56772</v>
      </c>
      <c r="L9144" t="s">
        <v>56767</v>
      </c>
    </row>
    <row r="9145" spans="1:12" x14ac:dyDescent="0.25">
      <c r="A9145">
        <v>1751674</v>
      </c>
      <c r="B9145">
        <v>1751696</v>
      </c>
      <c r="D9145">
        <v>0</v>
      </c>
      <c r="E9145" t="s">
        <v>56774</v>
      </c>
      <c r="F9145" t="s">
        <v>56775</v>
      </c>
      <c r="G9145" t="s">
        <v>56776</v>
      </c>
      <c r="H9145" t="e" vm="3934">
        <f>_FV(0,"10990502247330818")</f>
        <v>#VALUE!</v>
      </c>
      <c r="I9145" t="s">
        <v>56777</v>
      </c>
      <c r="J9145" t="s">
        <v>56778</v>
      </c>
      <c r="K9145" t="s">
        <v>56779</v>
      </c>
      <c r="L9145" t="s">
        <v>56773</v>
      </c>
    </row>
    <row r="9146" spans="1:12" x14ac:dyDescent="0.25">
      <c r="A9146">
        <v>1751682</v>
      </c>
      <c r="B9146">
        <v>1751706</v>
      </c>
      <c r="D9146">
        <v>0</v>
      </c>
      <c r="F9146">
        <v>2058507</v>
      </c>
      <c r="G9146">
        <v>1751706</v>
      </c>
      <c r="H9146" t="s">
        <v>279</v>
      </c>
      <c r="I9146">
        <v>1751682</v>
      </c>
      <c r="J9146" t="s">
        <v>279</v>
      </c>
      <c r="K9146" t="s">
        <v>56780</v>
      </c>
      <c r="L9146" t="s">
        <v>279</v>
      </c>
    </row>
    <row r="9147" spans="1:12" x14ac:dyDescent="0.25">
      <c r="A9147">
        <v>1751682</v>
      </c>
      <c r="B9147">
        <v>1751691</v>
      </c>
      <c r="D9147">
        <v>0</v>
      </c>
      <c r="F9147">
        <v>2058499</v>
      </c>
      <c r="G9147">
        <v>1751682</v>
      </c>
      <c r="H9147" t="e" vm="298">
        <f>_FV(0,"044")</f>
        <v>#VALUE!</v>
      </c>
      <c r="I9147">
        <v>1751691</v>
      </c>
      <c r="J9147" t="s">
        <v>4331</v>
      </c>
      <c r="K9147" t="s">
        <v>56781</v>
      </c>
      <c r="L9147" t="e" vm="298">
        <f>_FV(0,"044")</f>
        <v>#VALUE!</v>
      </c>
    </row>
    <row r="9148" spans="1:12" x14ac:dyDescent="0.25">
      <c r="A9148">
        <v>1751696</v>
      </c>
      <c r="B9148">
        <v>1751706</v>
      </c>
      <c r="D9148">
        <v>0</v>
      </c>
      <c r="E9148" t="s">
        <v>56783</v>
      </c>
      <c r="F9148" t="s">
        <v>56784</v>
      </c>
      <c r="G9148" t="s">
        <v>56785</v>
      </c>
      <c r="H9148" t="s">
        <v>56786</v>
      </c>
      <c r="I9148" t="s">
        <v>56787</v>
      </c>
      <c r="J9148" t="s">
        <v>56782</v>
      </c>
      <c r="K9148" t="s">
        <v>56788</v>
      </c>
      <c r="L9148" t="s">
        <v>56782</v>
      </c>
    </row>
    <row r="9149" spans="1:12" x14ac:dyDescent="0.25">
      <c r="A9149">
        <v>1751706</v>
      </c>
      <c r="B9149">
        <v>1751748</v>
      </c>
      <c r="D9149">
        <v>0</v>
      </c>
      <c r="E9149" t="s">
        <v>56790</v>
      </c>
      <c r="F9149" t="s">
        <v>56791</v>
      </c>
      <c r="G9149" t="s">
        <v>56792</v>
      </c>
      <c r="H9149" t="s">
        <v>56793</v>
      </c>
      <c r="I9149" t="s">
        <v>56794</v>
      </c>
      <c r="J9149" t="s">
        <v>56795</v>
      </c>
      <c r="K9149" t="s">
        <v>56796</v>
      </c>
      <c r="L9149" t="s">
        <v>56789</v>
      </c>
    </row>
    <row r="9150" spans="1:12" x14ac:dyDescent="0.25">
      <c r="A9150">
        <v>1751732</v>
      </c>
      <c r="B9150">
        <v>1751743</v>
      </c>
      <c r="C9150" t="s">
        <v>56798</v>
      </c>
      <c r="D9150">
        <v>0</v>
      </c>
      <c r="E9150" t="s">
        <v>56799</v>
      </c>
      <c r="F9150" t="s">
        <v>56800</v>
      </c>
      <c r="G9150" t="s">
        <v>56801</v>
      </c>
      <c r="H9150" t="e" vm="3935">
        <f>_FV(0,"023085792546860155")</f>
        <v>#VALUE!</v>
      </c>
      <c r="I9150" t="s">
        <v>56802</v>
      </c>
      <c r="J9150" t="s">
        <v>56803</v>
      </c>
      <c r="K9150" t="s">
        <v>56804</v>
      </c>
      <c r="L9150" t="s">
        <v>56797</v>
      </c>
    </row>
    <row r="9151" spans="1:12" x14ac:dyDescent="0.25">
      <c r="A9151">
        <v>1751732</v>
      </c>
      <c r="B9151">
        <v>1751743</v>
      </c>
      <c r="D9151">
        <v>0</v>
      </c>
      <c r="E9151" t="s">
        <v>56806</v>
      </c>
      <c r="F9151" t="s">
        <v>56807</v>
      </c>
      <c r="G9151" t="s">
        <v>56808</v>
      </c>
      <c r="H9151" t="e" vm="3936">
        <f>_FV(0,"024365253507036715")</f>
        <v>#VALUE!</v>
      </c>
      <c r="I9151" t="s">
        <v>56809</v>
      </c>
      <c r="J9151" t="s">
        <v>56810</v>
      </c>
      <c r="K9151" t="s">
        <v>56811</v>
      </c>
      <c r="L9151" t="s">
        <v>56805</v>
      </c>
    </row>
    <row r="9152" spans="1:12" x14ac:dyDescent="0.25">
      <c r="A9152">
        <v>1751732</v>
      </c>
      <c r="B9152">
        <v>1751815</v>
      </c>
      <c r="D9152">
        <v>0</v>
      </c>
      <c r="F9152">
        <v>2058627</v>
      </c>
      <c r="G9152">
        <v>1751732</v>
      </c>
      <c r="H9152" t="s">
        <v>1939</v>
      </c>
      <c r="I9152">
        <v>1751815</v>
      </c>
      <c r="J9152" t="s">
        <v>1939</v>
      </c>
      <c r="K9152" t="s">
        <v>56812</v>
      </c>
      <c r="L9152" t="s">
        <v>1939</v>
      </c>
    </row>
    <row r="9153" spans="1:12" x14ac:dyDescent="0.25">
      <c r="A9153">
        <v>1751743</v>
      </c>
      <c r="B9153">
        <v>1751774</v>
      </c>
      <c r="C9153" t="s">
        <v>56814</v>
      </c>
      <c r="D9153">
        <v>0</v>
      </c>
      <c r="E9153" t="s">
        <v>56815</v>
      </c>
      <c r="F9153" t="s">
        <v>56816</v>
      </c>
      <c r="G9153" t="s">
        <v>56817</v>
      </c>
      <c r="H9153" t="e" vm="3937">
        <f>_FV(0,"03460961630045188")</f>
        <v>#VALUE!</v>
      </c>
      <c r="I9153" t="s">
        <v>56818</v>
      </c>
      <c r="J9153" t="s">
        <v>56819</v>
      </c>
      <c r="K9153" t="s">
        <v>56820</v>
      </c>
      <c r="L9153" t="s">
        <v>56813</v>
      </c>
    </row>
    <row r="9154" spans="1:12" x14ac:dyDescent="0.25">
      <c r="A9154">
        <v>1751748</v>
      </c>
      <c r="B9154">
        <v>1751815</v>
      </c>
      <c r="D9154">
        <v>0</v>
      </c>
      <c r="F9154">
        <v>2058619</v>
      </c>
      <c r="G9154">
        <v>1751815</v>
      </c>
      <c r="H9154" t="e" vm="973">
        <f>_FV(0,"14")</f>
        <v>#VALUE!</v>
      </c>
      <c r="I9154">
        <v>1751748</v>
      </c>
      <c r="J9154" t="s">
        <v>14032</v>
      </c>
      <c r="K9154" t="s">
        <v>56821</v>
      </c>
      <c r="L9154" t="e" vm="973">
        <f>_FV(0,"14")</f>
        <v>#VALUE!</v>
      </c>
    </row>
    <row r="9155" spans="1:12" x14ac:dyDescent="0.25">
      <c r="A9155">
        <v>1751748</v>
      </c>
      <c r="B9155">
        <v>1751770</v>
      </c>
      <c r="C9155" t="s">
        <v>56823</v>
      </c>
      <c r="D9155" t="s">
        <v>1845</v>
      </c>
      <c r="E9155" t="s">
        <v>56824</v>
      </c>
      <c r="F9155" t="s">
        <v>56825</v>
      </c>
      <c r="G9155" t="s">
        <v>56826</v>
      </c>
      <c r="H9155" t="e" vm="3938">
        <f>_FV(0,"06141439021179431")</f>
        <v>#VALUE!</v>
      </c>
      <c r="I9155" t="s">
        <v>56827</v>
      </c>
      <c r="J9155" t="s">
        <v>56828</v>
      </c>
      <c r="K9155" t="s">
        <v>56829</v>
      </c>
      <c r="L9155" t="s">
        <v>56822</v>
      </c>
    </row>
    <row r="9156" spans="1:12" x14ac:dyDescent="0.25">
      <c r="A9156">
        <v>1751770</v>
      </c>
      <c r="B9156">
        <v>1751797</v>
      </c>
      <c r="D9156">
        <v>1</v>
      </c>
      <c r="F9156">
        <v>1996543</v>
      </c>
      <c r="G9156">
        <v>1751797</v>
      </c>
      <c r="H9156" t="e" vm="3939">
        <f>_FV(0,"287")</f>
        <v>#VALUE!</v>
      </c>
      <c r="I9156">
        <v>1751770</v>
      </c>
      <c r="J9156" t="s">
        <v>15366</v>
      </c>
      <c r="K9156" t="s">
        <v>56830</v>
      </c>
      <c r="L9156" t="e" vm="3939">
        <f>_FV(0,"287")</f>
        <v>#VALUE!</v>
      </c>
    </row>
    <row r="9157" spans="1:12" x14ac:dyDescent="0.25">
      <c r="A9157">
        <v>1751770</v>
      </c>
      <c r="B9157">
        <v>1751781</v>
      </c>
      <c r="D9157" t="s">
        <v>1119</v>
      </c>
      <c r="E9157" t="s">
        <v>56832</v>
      </c>
      <c r="F9157" t="s">
        <v>56833</v>
      </c>
      <c r="G9157" t="s">
        <v>56834</v>
      </c>
      <c r="H9157" t="e" vm="3940">
        <f>_FV(0,"29182644791975804")</f>
        <v>#VALUE!</v>
      </c>
      <c r="I9157" t="s">
        <v>56835</v>
      </c>
      <c r="J9157" t="s">
        <v>56836</v>
      </c>
      <c r="K9157" t="s">
        <v>56837</v>
      </c>
      <c r="L9157" t="s">
        <v>56831</v>
      </c>
    </row>
    <row r="9158" spans="1:12" x14ac:dyDescent="0.25">
      <c r="A9158">
        <v>1751774</v>
      </c>
      <c r="B9158">
        <v>1751838</v>
      </c>
      <c r="D9158">
        <v>0</v>
      </c>
      <c r="F9158">
        <v>2058699</v>
      </c>
      <c r="G9158">
        <v>1751838</v>
      </c>
      <c r="H9158" t="e" vm="3941">
        <f>_FV(0,"171")</f>
        <v>#VALUE!</v>
      </c>
      <c r="I9158">
        <v>1751774</v>
      </c>
      <c r="J9158" t="s">
        <v>56838</v>
      </c>
      <c r="K9158" t="s">
        <v>56839</v>
      </c>
      <c r="L9158" t="e" vm="3941">
        <f>_FV(0,"171")</f>
        <v>#VALUE!</v>
      </c>
    </row>
    <row r="9159" spans="1:12" x14ac:dyDescent="0.25">
      <c r="A9159">
        <v>1751774</v>
      </c>
      <c r="B9159">
        <v>1751781</v>
      </c>
      <c r="D9159">
        <v>0</v>
      </c>
      <c r="E9159" t="s">
        <v>56841</v>
      </c>
      <c r="F9159" t="s">
        <v>56842</v>
      </c>
      <c r="G9159" t="s">
        <v>56843</v>
      </c>
      <c r="H9159" t="s">
        <v>56844</v>
      </c>
      <c r="I9159" t="s">
        <v>56845</v>
      </c>
      <c r="J9159" t="s">
        <v>56840</v>
      </c>
      <c r="K9159" t="s">
        <v>56846</v>
      </c>
      <c r="L9159" t="s">
        <v>56840</v>
      </c>
    </row>
    <row r="9160" spans="1:12" x14ac:dyDescent="0.25">
      <c r="A9160">
        <v>1751781</v>
      </c>
      <c r="B9160">
        <v>1751815</v>
      </c>
      <c r="D9160">
        <v>0</v>
      </c>
      <c r="E9160" t="s">
        <v>56848</v>
      </c>
      <c r="F9160" t="s">
        <v>56849</v>
      </c>
      <c r="G9160" t="s">
        <v>56850</v>
      </c>
      <c r="H9160" t="e" vm="3942">
        <f>_FV(0,"06209386952332197")</f>
        <v>#VALUE!</v>
      </c>
      <c r="I9160" t="s">
        <v>56851</v>
      </c>
      <c r="J9160" t="s">
        <v>56852</v>
      </c>
      <c r="K9160" t="s">
        <v>56853</v>
      </c>
      <c r="L9160" t="s">
        <v>56847</v>
      </c>
    </row>
    <row r="9161" spans="1:12" x14ac:dyDescent="0.25">
      <c r="A9161">
        <v>1751818</v>
      </c>
      <c r="B9161">
        <v>1751838</v>
      </c>
      <c r="D9161" t="s">
        <v>12284</v>
      </c>
      <c r="E9161" t="s">
        <v>56855</v>
      </c>
      <c r="F9161" t="s">
        <v>56856</v>
      </c>
      <c r="G9161" t="s">
        <v>56857</v>
      </c>
      <c r="H9161" t="s">
        <v>56858</v>
      </c>
      <c r="I9161" t="s">
        <v>56859</v>
      </c>
      <c r="J9161" t="s">
        <v>56860</v>
      </c>
      <c r="K9161" t="s">
        <v>56861</v>
      </c>
      <c r="L9161" t="s">
        <v>56854</v>
      </c>
    </row>
    <row r="9162" spans="1:12" x14ac:dyDescent="0.25">
      <c r="A9162">
        <v>1751838</v>
      </c>
      <c r="B9162">
        <v>1761028</v>
      </c>
      <c r="D9162">
        <v>0</v>
      </c>
      <c r="E9162" t="s">
        <v>56863</v>
      </c>
      <c r="F9162" t="s">
        <v>56864</v>
      </c>
      <c r="G9162" t="s">
        <v>56865</v>
      </c>
      <c r="H9162" t="s">
        <v>56866</v>
      </c>
      <c r="I9162" t="s">
        <v>56867</v>
      </c>
      <c r="J9162" t="s">
        <v>56868</v>
      </c>
      <c r="K9162" t="s">
        <v>56869</v>
      </c>
      <c r="L9162" t="s">
        <v>56862</v>
      </c>
    </row>
    <row r="9163" spans="1:12" x14ac:dyDescent="0.25">
      <c r="A9163">
        <v>1751842</v>
      </c>
      <c r="B9163">
        <v>1751857</v>
      </c>
      <c r="D9163">
        <v>0</v>
      </c>
      <c r="E9163" t="s">
        <v>56871</v>
      </c>
      <c r="F9163" t="s">
        <v>56872</v>
      </c>
      <c r="G9163" t="s">
        <v>56873</v>
      </c>
      <c r="H9163" t="e" vm="3943">
        <f>_FV(0,"07686839837617909")</f>
        <v>#VALUE!</v>
      </c>
      <c r="I9163" t="s">
        <v>56874</v>
      </c>
      <c r="J9163" t="s">
        <v>56875</v>
      </c>
      <c r="K9163" t="s">
        <v>56876</v>
      </c>
      <c r="L9163" t="s">
        <v>56870</v>
      </c>
    </row>
    <row r="9164" spans="1:12" x14ac:dyDescent="0.25">
      <c r="A9164">
        <v>1751842</v>
      </c>
      <c r="B9164">
        <v>1751890</v>
      </c>
      <c r="D9164">
        <v>0</v>
      </c>
      <c r="E9164" t="s">
        <v>56878</v>
      </c>
      <c r="F9164" t="s">
        <v>56879</v>
      </c>
      <c r="G9164" t="s">
        <v>56880</v>
      </c>
      <c r="H9164" t="s">
        <v>56881</v>
      </c>
      <c r="I9164" t="s">
        <v>56882</v>
      </c>
      <c r="J9164" t="s">
        <v>56877</v>
      </c>
      <c r="K9164" t="s">
        <v>56883</v>
      </c>
      <c r="L9164" t="s">
        <v>56877</v>
      </c>
    </row>
    <row r="9165" spans="1:12" x14ac:dyDescent="0.25">
      <c r="A9165">
        <v>1751842</v>
      </c>
      <c r="B9165">
        <v>1760912</v>
      </c>
      <c r="D9165">
        <v>0</v>
      </c>
      <c r="E9165" t="s">
        <v>56885</v>
      </c>
      <c r="F9165" t="s">
        <v>56886</v>
      </c>
      <c r="G9165" t="s">
        <v>56887</v>
      </c>
      <c r="H9165" t="e" vm="3944">
        <f>_FV(0,"18640503150123425")</f>
        <v>#VALUE!</v>
      </c>
      <c r="I9165" t="s">
        <v>56888</v>
      </c>
      <c r="J9165" t="s">
        <v>56889</v>
      </c>
      <c r="K9165" t="s">
        <v>56890</v>
      </c>
      <c r="L9165" t="s">
        <v>56884</v>
      </c>
    </row>
    <row r="9166" spans="1:12" x14ac:dyDescent="0.25">
      <c r="A9166">
        <v>1751857</v>
      </c>
      <c r="B9166">
        <v>1751871</v>
      </c>
      <c r="D9166">
        <v>0</v>
      </c>
      <c r="E9166" t="s">
        <v>56892</v>
      </c>
      <c r="F9166" t="s">
        <v>56893</v>
      </c>
      <c r="G9166" t="s">
        <v>56894</v>
      </c>
      <c r="H9166" t="e" vm="3945">
        <f>_FV(0,"02035441366101266")</f>
        <v>#VALUE!</v>
      </c>
      <c r="I9166" t="s">
        <v>56895</v>
      </c>
      <c r="J9166" t="s">
        <v>56896</v>
      </c>
      <c r="K9166" t="s">
        <v>56897</v>
      </c>
      <c r="L9166" t="s">
        <v>56891</v>
      </c>
    </row>
    <row r="9167" spans="1:12" x14ac:dyDescent="0.25">
      <c r="A9167">
        <v>1751857</v>
      </c>
      <c r="B9167">
        <v>1760937</v>
      </c>
      <c r="D9167">
        <v>0</v>
      </c>
      <c r="E9167" t="s">
        <v>56899</v>
      </c>
      <c r="F9167" t="s">
        <v>56900</v>
      </c>
      <c r="G9167" t="s">
        <v>56901</v>
      </c>
      <c r="H9167" t="e" vm="3946">
        <f>_FV(0,"005357606315147096")</f>
        <v>#VALUE!</v>
      </c>
      <c r="I9167" t="s">
        <v>56902</v>
      </c>
      <c r="J9167" t="s">
        <v>56903</v>
      </c>
      <c r="K9167" t="s">
        <v>56904</v>
      </c>
      <c r="L9167" t="s">
        <v>56898</v>
      </c>
    </row>
    <row r="9168" spans="1:12" x14ac:dyDescent="0.25">
      <c r="A9168">
        <v>1751862</v>
      </c>
      <c r="B9168">
        <v>1751901</v>
      </c>
      <c r="D9168" t="s">
        <v>36937</v>
      </c>
      <c r="E9168" t="s">
        <v>56906</v>
      </c>
      <c r="F9168" t="s">
        <v>56907</v>
      </c>
      <c r="G9168" t="s">
        <v>56908</v>
      </c>
      <c r="H9168" t="e" vm="3947">
        <f>_FV(0,"01386991957100871")</f>
        <v>#VALUE!</v>
      </c>
      <c r="I9168" t="s">
        <v>56909</v>
      </c>
      <c r="J9168" t="s">
        <v>56910</v>
      </c>
      <c r="K9168" t="s">
        <v>56911</v>
      </c>
      <c r="L9168" t="s">
        <v>56905</v>
      </c>
    </row>
    <row r="9169" spans="1:12" x14ac:dyDescent="0.25">
      <c r="A9169">
        <v>1751862</v>
      </c>
      <c r="B9169">
        <v>1752101</v>
      </c>
      <c r="D9169">
        <v>0</v>
      </c>
      <c r="E9169" t="s">
        <v>56913</v>
      </c>
      <c r="F9169" t="s">
        <v>56914</v>
      </c>
      <c r="G9169" t="s">
        <v>56915</v>
      </c>
      <c r="H9169" t="s">
        <v>56916</v>
      </c>
      <c r="I9169" t="s">
        <v>56917</v>
      </c>
      <c r="J9169" t="s">
        <v>56918</v>
      </c>
      <c r="K9169" t="s">
        <v>56919</v>
      </c>
      <c r="L9169" t="s">
        <v>56912</v>
      </c>
    </row>
    <row r="9170" spans="1:12" x14ac:dyDescent="0.25">
      <c r="A9170">
        <v>1751862</v>
      </c>
      <c r="B9170">
        <v>1752111</v>
      </c>
      <c r="D9170">
        <v>0</v>
      </c>
      <c r="E9170" t="s">
        <v>56921</v>
      </c>
      <c r="F9170" t="s">
        <v>56922</v>
      </c>
      <c r="G9170" t="s">
        <v>56923</v>
      </c>
      <c r="H9170" t="s">
        <v>56924</v>
      </c>
      <c r="I9170" t="s">
        <v>56925</v>
      </c>
      <c r="J9170" t="s">
        <v>56920</v>
      </c>
      <c r="K9170" t="s">
        <v>56926</v>
      </c>
      <c r="L9170" t="s">
        <v>56920</v>
      </c>
    </row>
    <row r="9171" spans="1:12" x14ac:dyDescent="0.25">
      <c r="A9171">
        <v>1751871</v>
      </c>
      <c r="B9171">
        <v>1751890</v>
      </c>
      <c r="D9171">
        <v>0</v>
      </c>
      <c r="E9171" t="s">
        <v>56928</v>
      </c>
      <c r="F9171" t="s">
        <v>56929</v>
      </c>
      <c r="G9171" t="s">
        <v>56930</v>
      </c>
      <c r="H9171" t="s">
        <v>56931</v>
      </c>
      <c r="I9171" t="s">
        <v>56932</v>
      </c>
      <c r="J9171" t="s">
        <v>56927</v>
      </c>
      <c r="K9171" t="s">
        <v>56933</v>
      </c>
      <c r="L9171" t="s">
        <v>56927</v>
      </c>
    </row>
    <row r="9172" spans="1:12" x14ac:dyDescent="0.25">
      <c r="A9172">
        <v>1751871</v>
      </c>
      <c r="B9172">
        <v>1760937</v>
      </c>
      <c r="D9172">
        <v>0</v>
      </c>
      <c r="E9172" t="s">
        <v>56935</v>
      </c>
      <c r="F9172" t="s">
        <v>56936</v>
      </c>
      <c r="G9172" t="s">
        <v>56937</v>
      </c>
      <c r="H9172" t="s">
        <v>56938</v>
      </c>
      <c r="I9172" t="s">
        <v>56939</v>
      </c>
      <c r="J9172" t="s">
        <v>56940</v>
      </c>
      <c r="K9172" t="s">
        <v>56941</v>
      </c>
      <c r="L9172" t="s">
        <v>56934</v>
      </c>
    </row>
    <row r="9173" spans="1:12" x14ac:dyDescent="0.25">
      <c r="A9173">
        <v>1751890</v>
      </c>
      <c r="B9173">
        <v>1760912</v>
      </c>
      <c r="D9173">
        <v>0</v>
      </c>
      <c r="E9173" t="s">
        <v>56943</v>
      </c>
      <c r="F9173" t="s">
        <v>56944</v>
      </c>
      <c r="G9173" t="s">
        <v>56945</v>
      </c>
      <c r="H9173" t="e" vm="3948">
        <f>_FV(0,"21433738265650398")</f>
        <v>#VALUE!</v>
      </c>
      <c r="I9173" t="s">
        <v>56946</v>
      </c>
      <c r="J9173" t="s">
        <v>56947</v>
      </c>
      <c r="K9173" t="s">
        <v>56948</v>
      </c>
      <c r="L9173" t="s">
        <v>56942</v>
      </c>
    </row>
    <row r="9174" spans="1:12" x14ac:dyDescent="0.25">
      <c r="A9174">
        <v>1751901</v>
      </c>
      <c r="B9174">
        <v>1752158</v>
      </c>
      <c r="D9174">
        <v>0</v>
      </c>
      <c r="E9174" t="s">
        <v>56950</v>
      </c>
      <c r="F9174" t="s">
        <v>56951</v>
      </c>
      <c r="G9174" t="s">
        <v>56952</v>
      </c>
      <c r="H9174" t="e" vm="3949">
        <f>_FV(0,"03267442984603315")</f>
        <v>#VALUE!</v>
      </c>
      <c r="I9174" t="s">
        <v>56953</v>
      </c>
      <c r="J9174" t="s">
        <v>56954</v>
      </c>
      <c r="K9174" t="s">
        <v>56955</v>
      </c>
      <c r="L9174" t="s">
        <v>56949</v>
      </c>
    </row>
    <row r="9175" spans="1:12" x14ac:dyDescent="0.25">
      <c r="A9175">
        <v>1751901</v>
      </c>
      <c r="B9175">
        <v>1752135</v>
      </c>
      <c r="D9175">
        <v>0</v>
      </c>
      <c r="E9175" t="s">
        <v>56957</v>
      </c>
      <c r="F9175" t="s">
        <v>56958</v>
      </c>
      <c r="G9175" t="s">
        <v>56959</v>
      </c>
      <c r="H9175" t="e" vm="3950">
        <f>_FV(0,"028448614894529368")</f>
        <v>#VALUE!</v>
      </c>
      <c r="I9175" t="s">
        <v>56960</v>
      </c>
      <c r="J9175" t="s">
        <v>56961</v>
      </c>
      <c r="K9175" t="s">
        <v>56962</v>
      </c>
      <c r="L9175" t="s">
        <v>56956</v>
      </c>
    </row>
    <row r="9176" spans="1:12" x14ac:dyDescent="0.25">
      <c r="A9176">
        <v>1751902</v>
      </c>
      <c r="B9176">
        <v>1751923</v>
      </c>
      <c r="D9176">
        <v>0</v>
      </c>
      <c r="E9176" t="s">
        <v>56964</v>
      </c>
      <c r="F9176" t="s">
        <v>56965</v>
      </c>
      <c r="G9176" t="s">
        <v>56966</v>
      </c>
      <c r="H9176" t="e" vm="3951">
        <f>_FV(0,"1052453313963441")</f>
        <v>#VALUE!</v>
      </c>
      <c r="I9176" t="s">
        <v>56967</v>
      </c>
      <c r="J9176" t="s">
        <v>56968</v>
      </c>
      <c r="K9176" t="s">
        <v>56969</v>
      </c>
      <c r="L9176" t="s">
        <v>56963</v>
      </c>
    </row>
    <row r="9177" spans="1:12" x14ac:dyDescent="0.25">
      <c r="A9177">
        <v>1751902</v>
      </c>
      <c r="B9177">
        <v>1751958</v>
      </c>
      <c r="D9177">
        <v>0</v>
      </c>
      <c r="E9177" t="s">
        <v>56971</v>
      </c>
      <c r="F9177" t="s">
        <v>56972</v>
      </c>
      <c r="G9177" t="s">
        <v>56973</v>
      </c>
      <c r="H9177" t="e" vm="3952">
        <f>_FV(0,"252967455824578")</f>
        <v>#VALUE!</v>
      </c>
      <c r="I9177" t="s">
        <v>56974</v>
      </c>
      <c r="J9177" t="s">
        <v>56975</v>
      </c>
      <c r="K9177" t="s">
        <v>56976</v>
      </c>
      <c r="L9177" t="s">
        <v>56970</v>
      </c>
    </row>
    <row r="9178" spans="1:12" x14ac:dyDescent="0.25">
      <c r="A9178">
        <v>1751923</v>
      </c>
      <c r="B9178">
        <v>1751940</v>
      </c>
      <c r="D9178">
        <v>0</v>
      </c>
      <c r="E9178" t="s">
        <v>56978</v>
      </c>
      <c r="F9178" t="s">
        <v>56979</v>
      </c>
      <c r="G9178" t="s">
        <v>56980</v>
      </c>
      <c r="H9178" t="s">
        <v>56981</v>
      </c>
      <c r="I9178" t="s">
        <v>56982</v>
      </c>
      <c r="J9178" t="s">
        <v>56977</v>
      </c>
      <c r="K9178" t="s">
        <v>56983</v>
      </c>
      <c r="L9178" t="s">
        <v>56977</v>
      </c>
    </row>
    <row r="9179" spans="1:12" x14ac:dyDescent="0.25">
      <c r="A9179">
        <v>1751923</v>
      </c>
      <c r="B9179">
        <v>1761024</v>
      </c>
      <c r="D9179">
        <v>0</v>
      </c>
      <c r="E9179" t="s">
        <v>56985</v>
      </c>
      <c r="F9179" t="s">
        <v>56986</v>
      </c>
      <c r="G9179" t="s">
        <v>56987</v>
      </c>
      <c r="H9179" t="e" vm="3953">
        <f>_FV(0,"06201292660723542")</f>
        <v>#VALUE!</v>
      </c>
      <c r="I9179" t="s">
        <v>56988</v>
      </c>
      <c r="J9179" t="s">
        <v>56989</v>
      </c>
      <c r="K9179" t="s">
        <v>56990</v>
      </c>
      <c r="L9179" t="s">
        <v>56984</v>
      </c>
    </row>
    <row r="9180" spans="1:12" x14ac:dyDescent="0.25">
      <c r="A9180">
        <v>1751940</v>
      </c>
      <c r="B9180">
        <v>1751958</v>
      </c>
      <c r="D9180">
        <v>0</v>
      </c>
      <c r="E9180" t="s">
        <v>56992</v>
      </c>
      <c r="F9180" t="s">
        <v>56993</v>
      </c>
      <c r="G9180" t="s">
        <v>56994</v>
      </c>
      <c r="H9180" t="s">
        <v>56995</v>
      </c>
      <c r="I9180" t="s">
        <v>56996</v>
      </c>
      <c r="J9180" t="s">
        <v>56997</v>
      </c>
      <c r="K9180" t="s">
        <v>56998</v>
      </c>
      <c r="L9180" t="s">
        <v>56991</v>
      </c>
    </row>
    <row r="9181" spans="1:12" x14ac:dyDescent="0.25">
      <c r="A9181">
        <v>1751940</v>
      </c>
      <c r="B9181">
        <v>1761024</v>
      </c>
      <c r="D9181">
        <v>0</v>
      </c>
      <c r="E9181" t="s">
        <v>57000</v>
      </c>
      <c r="F9181" t="s">
        <v>57001</v>
      </c>
      <c r="G9181" t="s">
        <v>57002</v>
      </c>
      <c r="H9181" t="e" vm="3954">
        <f>_FV(0,"1681615940984")</f>
        <v>#VALUE!</v>
      </c>
      <c r="I9181" t="s">
        <v>57003</v>
      </c>
      <c r="J9181" t="s">
        <v>57004</v>
      </c>
      <c r="K9181" t="s">
        <v>57005</v>
      </c>
      <c r="L9181" t="s">
        <v>56999</v>
      </c>
    </row>
    <row r="9182" spans="1:12" x14ac:dyDescent="0.25">
      <c r="A9182">
        <v>1751967</v>
      </c>
      <c r="B9182">
        <v>1751968</v>
      </c>
      <c r="D9182">
        <v>0</v>
      </c>
      <c r="F9182">
        <v>1996823</v>
      </c>
      <c r="G9182">
        <v>1751968</v>
      </c>
      <c r="H9182" t="s">
        <v>57006</v>
      </c>
      <c r="I9182">
        <v>1751967</v>
      </c>
      <c r="J9182" t="s">
        <v>57006</v>
      </c>
      <c r="K9182" t="s">
        <v>57007</v>
      </c>
      <c r="L9182" t="s">
        <v>57006</v>
      </c>
    </row>
    <row r="9183" spans="1:12" x14ac:dyDescent="0.25">
      <c r="A9183">
        <v>1751967</v>
      </c>
      <c r="B9183">
        <v>1752000</v>
      </c>
      <c r="D9183">
        <v>0</v>
      </c>
      <c r="E9183" t="s">
        <v>57009</v>
      </c>
      <c r="F9183" t="s">
        <v>57010</v>
      </c>
      <c r="G9183" t="s">
        <v>57011</v>
      </c>
      <c r="H9183" t="e" vm="3955">
        <f>_FV(0,"008281376832181957")</f>
        <v>#VALUE!</v>
      </c>
      <c r="I9183" t="s">
        <v>57012</v>
      </c>
      <c r="J9183" t="s">
        <v>57013</v>
      </c>
      <c r="K9183" t="s">
        <v>57014</v>
      </c>
      <c r="L9183" t="s">
        <v>57008</v>
      </c>
    </row>
    <row r="9184" spans="1:12" x14ac:dyDescent="0.25">
      <c r="A9184">
        <v>1751967</v>
      </c>
      <c r="B9184">
        <v>1761062</v>
      </c>
      <c r="D9184">
        <v>0</v>
      </c>
      <c r="E9184" t="s">
        <v>57016</v>
      </c>
      <c r="F9184" t="s">
        <v>57017</v>
      </c>
      <c r="G9184" t="s">
        <v>57018</v>
      </c>
      <c r="H9184" t="s">
        <v>57019</v>
      </c>
      <c r="I9184" t="s">
        <v>57020</v>
      </c>
      <c r="J9184" t="s">
        <v>57015</v>
      </c>
      <c r="K9184" t="s">
        <v>57021</v>
      </c>
      <c r="L9184" t="s">
        <v>57015</v>
      </c>
    </row>
    <row r="9185" spans="1:12" x14ac:dyDescent="0.25">
      <c r="A9185">
        <v>1751968</v>
      </c>
      <c r="B9185">
        <v>1751983</v>
      </c>
      <c r="D9185">
        <v>0</v>
      </c>
      <c r="E9185" t="s">
        <v>57023</v>
      </c>
      <c r="F9185" t="s">
        <v>57024</v>
      </c>
      <c r="G9185" t="s">
        <v>57025</v>
      </c>
      <c r="H9185" t="s">
        <v>57026</v>
      </c>
      <c r="I9185" t="s">
        <v>57027</v>
      </c>
      <c r="J9185" t="s">
        <v>57022</v>
      </c>
      <c r="K9185" t="s">
        <v>57028</v>
      </c>
      <c r="L9185" t="s">
        <v>57022</v>
      </c>
    </row>
    <row r="9186" spans="1:12" x14ac:dyDescent="0.25">
      <c r="A9186">
        <v>1751968</v>
      </c>
      <c r="B9186">
        <v>1752012</v>
      </c>
      <c r="D9186">
        <v>0</v>
      </c>
      <c r="E9186" t="s">
        <v>57030</v>
      </c>
      <c r="F9186" t="s">
        <v>57031</v>
      </c>
      <c r="G9186" t="s">
        <v>57032</v>
      </c>
      <c r="H9186" t="e" vm="3956">
        <f>_FV(0,"02164293811964958")</f>
        <v>#VALUE!</v>
      </c>
      <c r="I9186" t="s">
        <v>57033</v>
      </c>
      <c r="J9186" t="s">
        <v>57034</v>
      </c>
      <c r="K9186" t="s">
        <v>57035</v>
      </c>
      <c r="L9186" t="s">
        <v>57029</v>
      </c>
    </row>
    <row r="9187" spans="1:12" x14ac:dyDescent="0.25">
      <c r="A9187">
        <v>1751983</v>
      </c>
      <c r="B9187">
        <v>1752000</v>
      </c>
      <c r="D9187">
        <v>0</v>
      </c>
      <c r="E9187" t="s">
        <v>57037</v>
      </c>
      <c r="F9187" t="s">
        <v>57038</v>
      </c>
      <c r="G9187" t="s">
        <v>57039</v>
      </c>
      <c r="H9187" t="e" vm="3957">
        <f>_FV(0,"07789447136654633")</f>
        <v>#VALUE!</v>
      </c>
      <c r="I9187" t="s">
        <v>57040</v>
      </c>
      <c r="J9187" t="s">
        <v>57041</v>
      </c>
      <c r="K9187" t="s">
        <v>57042</v>
      </c>
      <c r="L9187" t="s">
        <v>57036</v>
      </c>
    </row>
    <row r="9188" spans="1:12" x14ac:dyDescent="0.25">
      <c r="A9188">
        <v>1751983</v>
      </c>
      <c r="B9188">
        <v>1752045</v>
      </c>
      <c r="C9188" t="s">
        <v>57044</v>
      </c>
      <c r="D9188">
        <v>0</v>
      </c>
      <c r="E9188" t="s">
        <v>57045</v>
      </c>
      <c r="F9188" t="s">
        <v>57046</v>
      </c>
      <c r="G9188" t="s">
        <v>57047</v>
      </c>
      <c r="H9188" t="e" vm="3958">
        <f>_FV(0,"021859578839910913")</f>
        <v>#VALUE!</v>
      </c>
      <c r="I9188" t="s">
        <v>57048</v>
      </c>
      <c r="J9188" t="s">
        <v>57049</v>
      </c>
      <c r="K9188" t="s">
        <v>57050</v>
      </c>
      <c r="L9188" t="s">
        <v>57043</v>
      </c>
    </row>
    <row r="9189" spans="1:12" x14ac:dyDescent="0.25">
      <c r="A9189">
        <v>1752000</v>
      </c>
      <c r="B9189">
        <v>1761062</v>
      </c>
      <c r="D9189">
        <v>0</v>
      </c>
      <c r="E9189" t="s">
        <v>57052</v>
      </c>
      <c r="F9189" t="s">
        <v>57053</v>
      </c>
      <c r="G9189" t="s">
        <v>57054</v>
      </c>
      <c r="H9189" t="s">
        <v>57055</v>
      </c>
      <c r="I9189" t="s">
        <v>57056</v>
      </c>
      <c r="J9189" t="s">
        <v>57051</v>
      </c>
      <c r="K9189" t="s">
        <v>57057</v>
      </c>
      <c r="L9189" t="s">
        <v>57051</v>
      </c>
    </row>
    <row r="9190" spans="1:12" x14ac:dyDescent="0.25">
      <c r="A9190">
        <v>1752012</v>
      </c>
      <c r="B9190">
        <v>1752032</v>
      </c>
      <c r="D9190">
        <v>0</v>
      </c>
      <c r="E9190" t="s">
        <v>57059</v>
      </c>
      <c r="F9190" t="s">
        <v>57060</v>
      </c>
      <c r="G9190" t="s">
        <v>57061</v>
      </c>
      <c r="H9190" t="e" vm="3959">
        <f>_FV(0,"05535916730488477")</f>
        <v>#VALUE!</v>
      </c>
      <c r="I9190" t="s">
        <v>57062</v>
      </c>
      <c r="J9190" t="s">
        <v>57063</v>
      </c>
      <c r="K9190" t="s">
        <v>57064</v>
      </c>
      <c r="L9190" t="s">
        <v>57058</v>
      </c>
    </row>
    <row r="9191" spans="1:12" x14ac:dyDescent="0.25">
      <c r="A9191">
        <v>1752012</v>
      </c>
      <c r="B9191">
        <v>1752045</v>
      </c>
      <c r="D9191">
        <v>0</v>
      </c>
      <c r="E9191" t="s">
        <v>57066</v>
      </c>
      <c r="F9191" t="s">
        <v>57067</v>
      </c>
      <c r="G9191" t="s">
        <v>57068</v>
      </c>
      <c r="H9191" t="e" vm="3960">
        <f>_FV(0,"15661323241584263")</f>
        <v>#VALUE!</v>
      </c>
      <c r="I9191" t="s">
        <v>57069</v>
      </c>
      <c r="J9191" t="s">
        <v>57070</v>
      </c>
      <c r="K9191" t="s">
        <v>57071</v>
      </c>
      <c r="L9191" t="s">
        <v>57065</v>
      </c>
    </row>
    <row r="9192" spans="1:12" x14ac:dyDescent="0.25">
      <c r="A9192">
        <v>1752032</v>
      </c>
      <c r="B9192">
        <v>1752040</v>
      </c>
      <c r="D9192">
        <v>0</v>
      </c>
      <c r="E9192" t="s">
        <v>57073</v>
      </c>
      <c r="F9192" t="s">
        <v>57074</v>
      </c>
      <c r="G9192" t="s">
        <v>57075</v>
      </c>
      <c r="H9192" t="s">
        <v>57076</v>
      </c>
      <c r="I9192" t="s">
        <v>57077</v>
      </c>
      <c r="J9192" t="s">
        <v>57072</v>
      </c>
      <c r="K9192" t="s">
        <v>57078</v>
      </c>
      <c r="L9192" t="s">
        <v>57072</v>
      </c>
    </row>
    <row r="9193" spans="1:12" x14ac:dyDescent="0.25">
      <c r="A9193">
        <v>1752040</v>
      </c>
      <c r="B9193">
        <v>1752045</v>
      </c>
      <c r="D9193">
        <v>0</v>
      </c>
      <c r="F9193">
        <v>1996959</v>
      </c>
      <c r="G9193">
        <v>1752045</v>
      </c>
      <c r="H9193" t="s">
        <v>14034</v>
      </c>
      <c r="I9193">
        <v>1752040</v>
      </c>
      <c r="J9193" t="s">
        <v>14034</v>
      </c>
      <c r="K9193" t="s">
        <v>57079</v>
      </c>
      <c r="L9193" t="s">
        <v>14034</v>
      </c>
    </row>
    <row r="9194" spans="1:12" x14ac:dyDescent="0.25">
      <c r="A9194">
        <v>1752101</v>
      </c>
      <c r="B9194">
        <v>1752111</v>
      </c>
      <c r="D9194">
        <v>0</v>
      </c>
      <c r="E9194" t="s">
        <v>57081</v>
      </c>
      <c r="F9194" t="s">
        <v>57082</v>
      </c>
      <c r="G9194" t="s">
        <v>57083</v>
      </c>
      <c r="H9194" t="e" vm="3961">
        <f>_FV(0,"011030967217493574")</f>
        <v>#VALUE!</v>
      </c>
      <c r="I9194" t="s">
        <v>57084</v>
      </c>
      <c r="J9194" t="s">
        <v>1131</v>
      </c>
      <c r="K9194" t="s">
        <v>57085</v>
      </c>
      <c r="L9194" t="s">
        <v>57080</v>
      </c>
    </row>
    <row r="9195" spans="1:12" x14ac:dyDescent="0.25">
      <c r="A9195">
        <v>1752101</v>
      </c>
      <c r="B9195">
        <v>1752121</v>
      </c>
      <c r="D9195">
        <v>0</v>
      </c>
      <c r="E9195" t="s">
        <v>57087</v>
      </c>
      <c r="F9195" t="s">
        <v>57088</v>
      </c>
      <c r="G9195" t="s">
        <v>57089</v>
      </c>
      <c r="H9195" t="s">
        <v>57090</v>
      </c>
      <c r="I9195" t="s">
        <v>57091</v>
      </c>
      <c r="J9195" t="s">
        <v>57092</v>
      </c>
      <c r="K9195" t="s">
        <v>57093</v>
      </c>
      <c r="L9195" t="s">
        <v>57086</v>
      </c>
    </row>
    <row r="9196" spans="1:12" x14ac:dyDescent="0.25">
      <c r="A9196">
        <v>1752135</v>
      </c>
      <c r="B9196">
        <v>1752158</v>
      </c>
      <c r="D9196">
        <v>0</v>
      </c>
      <c r="E9196" t="s">
        <v>57095</v>
      </c>
      <c r="F9196" t="s">
        <v>57096</v>
      </c>
      <c r="G9196" t="s">
        <v>57097</v>
      </c>
      <c r="H9196" t="s">
        <v>57098</v>
      </c>
      <c r="I9196" t="s">
        <v>57099</v>
      </c>
      <c r="J9196" t="s">
        <v>20541</v>
      </c>
      <c r="K9196" t="s">
        <v>57100</v>
      </c>
      <c r="L9196" t="s">
        <v>57094</v>
      </c>
    </row>
    <row r="9197" spans="1:12" x14ac:dyDescent="0.25">
      <c r="A9197">
        <v>1752379</v>
      </c>
      <c r="B9197">
        <v>1754161</v>
      </c>
      <c r="C9197" t="s">
        <v>57101</v>
      </c>
      <c r="D9197">
        <v>0</v>
      </c>
      <c r="F9197">
        <v>2066043</v>
      </c>
      <c r="G9197">
        <v>1754161</v>
      </c>
      <c r="H9197" t="e" vm="198">
        <f>_FV(0,"087")</f>
        <v>#VALUE!</v>
      </c>
      <c r="I9197">
        <v>1752379</v>
      </c>
      <c r="J9197" t="s">
        <v>3049</v>
      </c>
      <c r="K9197" t="s">
        <v>57102</v>
      </c>
      <c r="L9197" t="e" vm="198">
        <f>_FV(0,"087")</f>
        <v>#VALUE!</v>
      </c>
    </row>
    <row r="9198" spans="1:12" x14ac:dyDescent="0.25">
      <c r="A9198">
        <v>1752379</v>
      </c>
      <c r="B9198">
        <v>1752382</v>
      </c>
      <c r="D9198">
        <v>0</v>
      </c>
      <c r="E9198" t="s">
        <v>57104</v>
      </c>
      <c r="F9198" t="s">
        <v>57105</v>
      </c>
      <c r="G9198" t="s">
        <v>57106</v>
      </c>
      <c r="H9198" t="e" vm="3962">
        <f>_FV(0,"03712382791533021")</f>
        <v>#VALUE!</v>
      </c>
      <c r="I9198" t="s">
        <v>57107</v>
      </c>
      <c r="J9198" t="s">
        <v>57108</v>
      </c>
      <c r="K9198" t="s">
        <v>57109</v>
      </c>
      <c r="L9198" t="s">
        <v>57103</v>
      </c>
    </row>
    <row r="9199" spans="1:12" x14ac:dyDescent="0.25">
      <c r="A9199">
        <v>1752379</v>
      </c>
      <c r="B9199">
        <v>1752415</v>
      </c>
      <c r="D9199">
        <v>0</v>
      </c>
      <c r="E9199" t="s">
        <v>57111</v>
      </c>
      <c r="F9199" t="s">
        <v>57112</v>
      </c>
      <c r="G9199" t="s">
        <v>57113</v>
      </c>
      <c r="H9199" t="s">
        <v>57114</v>
      </c>
      <c r="I9199" t="s">
        <v>57115</v>
      </c>
      <c r="J9199" t="s">
        <v>57116</v>
      </c>
      <c r="K9199" t="s">
        <v>57117</v>
      </c>
      <c r="L9199" t="s">
        <v>57110</v>
      </c>
    </row>
    <row r="9200" spans="1:12" x14ac:dyDescent="0.25">
      <c r="A9200">
        <v>1752382</v>
      </c>
      <c r="B9200">
        <v>1752383</v>
      </c>
      <c r="C9200" t="s">
        <v>57118</v>
      </c>
      <c r="D9200">
        <v>0</v>
      </c>
      <c r="F9200">
        <v>1997743</v>
      </c>
      <c r="G9200">
        <v>1752383</v>
      </c>
      <c r="H9200" t="e" vm="1981">
        <f>_FV(0,"08")</f>
        <v>#VALUE!</v>
      </c>
      <c r="I9200">
        <v>1752382</v>
      </c>
      <c r="J9200" t="s">
        <v>5022</v>
      </c>
      <c r="K9200" t="s">
        <v>57119</v>
      </c>
      <c r="L9200" t="e" vm="1981">
        <f>_FV(0,"08")</f>
        <v>#VALUE!</v>
      </c>
    </row>
    <row r="9201" spans="1:12" x14ac:dyDescent="0.25">
      <c r="A9201">
        <v>1752382</v>
      </c>
      <c r="B9201">
        <v>1754172</v>
      </c>
      <c r="D9201">
        <v>0</v>
      </c>
      <c r="E9201" t="s">
        <v>57121</v>
      </c>
      <c r="F9201" t="s">
        <v>57122</v>
      </c>
      <c r="G9201" t="s">
        <v>57123</v>
      </c>
      <c r="H9201" t="e" vm="3963">
        <f>_FV(0,"07178232859926093")</f>
        <v>#VALUE!</v>
      </c>
      <c r="I9201" t="s">
        <v>57124</v>
      </c>
      <c r="J9201" t="s">
        <v>57125</v>
      </c>
      <c r="K9201" t="s">
        <v>57126</v>
      </c>
      <c r="L9201" t="s">
        <v>57120</v>
      </c>
    </row>
    <row r="9202" spans="1:12" x14ac:dyDescent="0.25">
      <c r="A9202">
        <v>1752383</v>
      </c>
      <c r="B9202">
        <v>1754172</v>
      </c>
      <c r="D9202">
        <v>0</v>
      </c>
      <c r="F9202">
        <v>2001558</v>
      </c>
      <c r="G9202">
        <v>1754172</v>
      </c>
      <c r="H9202" t="e" vm="263">
        <f>_FV(0,"024")</f>
        <v>#VALUE!</v>
      </c>
      <c r="I9202">
        <v>1752383</v>
      </c>
      <c r="J9202" t="s">
        <v>2916</v>
      </c>
      <c r="K9202" t="s">
        <v>57127</v>
      </c>
      <c r="L9202" t="e" vm="263">
        <f>_FV(0,"024")</f>
        <v>#VALUE!</v>
      </c>
    </row>
    <row r="9203" spans="1:12" x14ac:dyDescent="0.25">
      <c r="A9203">
        <v>1752383</v>
      </c>
      <c r="B9203">
        <v>1752388</v>
      </c>
      <c r="D9203">
        <v>0</v>
      </c>
      <c r="E9203" t="s">
        <v>57129</v>
      </c>
      <c r="F9203" t="s">
        <v>57130</v>
      </c>
      <c r="G9203" t="s">
        <v>57131</v>
      </c>
      <c r="H9203" t="e" vm="3964">
        <f>_FV(0,"03775365690268323")</f>
        <v>#VALUE!</v>
      </c>
      <c r="I9203" t="s">
        <v>57132</v>
      </c>
      <c r="J9203" t="s">
        <v>57133</v>
      </c>
      <c r="K9203" t="s">
        <v>57134</v>
      </c>
      <c r="L9203" t="s">
        <v>57128</v>
      </c>
    </row>
    <row r="9204" spans="1:12" x14ac:dyDescent="0.25">
      <c r="A9204">
        <v>1752383</v>
      </c>
      <c r="B9204">
        <v>1754151</v>
      </c>
      <c r="C9204" t="s">
        <v>57136</v>
      </c>
      <c r="D9204">
        <v>0</v>
      </c>
      <c r="E9204" t="s">
        <v>57137</v>
      </c>
      <c r="F9204" t="s">
        <v>57138</v>
      </c>
      <c r="G9204" t="s">
        <v>57139</v>
      </c>
      <c r="H9204" t="e" vm="3965">
        <f>_FV(0,"0018593723661312132")</f>
        <v>#VALUE!</v>
      </c>
      <c r="I9204" t="s">
        <v>57140</v>
      </c>
      <c r="J9204" t="s">
        <v>11052</v>
      </c>
      <c r="K9204" t="s">
        <v>57141</v>
      </c>
      <c r="L9204" t="s">
        <v>57135</v>
      </c>
    </row>
    <row r="9205" spans="1:12" x14ac:dyDescent="0.25">
      <c r="A9205">
        <v>1752388</v>
      </c>
      <c r="B9205">
        <v>1753142</v>
      </c>
      <c r="D9205">
        <v>0</v>
      </c>
      <c r="E9205" t="s">
        <v>57143</v>
      </c>
      <c r="F9205" t="s">
        <v>57144</v>
      </c>
      <c r="G9205" t="s">
        <v>57145</v>
      </c>
      <c r="H9205" t="e" vm="3966">
        <f>_FV(0,"02296635864162302")</f>
        <v>#VALUE!</v>
      </c>
      <c r="I9205" t="s">
        <v>57146</v>
      </c>
      <c r="J9205" t="s">
        <v>57147</v>
      </c>
      <c r="K9205" t="s">
        <v>57148</v>
      </c>
      <c r="L9205" t="s">
        <v>57142</v>
      </c>
    </row>
    <row r="9206" spans="1:12" x14ac:dyDescent="0.25">
      <c r="A9206">
        <v>1752388</v>
      </c>
      <c r="B9206">
        <v>1754172</v>
      </c>
      <c r="D9206">
        <v>0</v>
      </c>
      <c r="E9206" t="s">
        <v>57150</v>
      </c>
      <c r="F9206" t="s">
        <v>57151</v>
      </c>
      <c r="G9206" t="s">
        <v>57152</v>
      </c>
      <c r="H9206" t="e" vm="3967">
        <f>_FV(0,"03870059547374131")</f>
        <v>#VALUE!</v>
      </c>
      <c r="I9206" t="s">
        <v>57153</v>
      </c>
      <c r="J9206" t="s">
        <v>57154</v>
      </c>
      <c r="K9206" t="s">
        <v>57155</v>
      </c>
      <c r="L9206" t="s">
        <v>57149</v>
      </c>
    </row>
    <row r="9207" spans="1:12" x14ac:dyDescent="0.25">
      <c r="A9207">
        <v>1752397</v>
      </c>
      <c r="B9207">
        <v>1752415</v>
      </c>
      <c r="D9207" t="s">
        <v>514</v>
      </c>
      <c r="E9207" t="s">
        <v>57157</v>
      </c>
      <c r="F9207" t="s">
        <v>57158</v>
      </c>
      <c r="G9207" t="s">
        <v>57159</v>
      </c>
      <c r="H9207" t="s">
        <v>57160</v>
      </c>
      <c r="I9207" t="s">
        <v>57161</v>
      </c>
      <c r="J9207" t="s">
        <v>57162</v>
      </c>
      <c r="K9207" t="s">
        <v>57163</v>
      </c>
      <c r="L9207" t="s">
        <v>57156</v>
      </c>
    </row>
    <row r="9208" spans="1:12" x14ac:dyDescent="0.25">
      <c r="A9208">
        <v>1752397</v>
      </c>
      <c r="B9208">
        <v>1754195</v>
      </c>
      <c r="D9208">
        <v>0</v>
      </c>
      <c r="E9208" t="s">
        <v>57165</v>
      </c>
      <c r="F9208" t="s">
        <v>57166</v>
      </c>
      <c r="G9208" t="s">
        <v>57167</v>
      </c>
      <c r="H9208" t="s">
        <v>57168</v>
      </c>
      <c r="I9208" t="s">
        <v>57169</v>
      </c>
      <c r="J9208" t="s">
        <v>57164</v>
      </c>
      <c r="K9208" t="s">
        <v>57170</v>
      </c>
      <c r="L9208" t="s">
        <v>57164</v>
      </c>
    </row>
    <row r="9209" spans="1:12" x14ac:dyDescent="0.25">
      <c r="A9209">
        <v>1752397</v>
      </c>
      <c r="B9209">
        <v>1761470</v>
      </c>
      <c r="D9209">
        <v>0</v>
      </c>
      <c r="E9209" t="s">
        <v>57172</v>
      </c>
      <c r="F9209" t="s">
        <v>57173</v>
      </c>
      <c r="G9209" t="s">
        <v>57174</v>
      </c>
      <c r="H9209" t="s">
        <v>57175</v>
      </c>
      <c r="I9209" t="s">
        <v>57176</v>
      </c>
      <c r="J9209" t="s">
        <v>57171</v>
      </c>
      <c r="K9209" t="s">
        <v>57177</v>
      </c>
      <c r="L9209" t="s">
        <v>57171</v>
      </c>
    </row>
    <row r="9210" spans="1:12" x14ac:dyDescent="0.25">
      <c r="A9210">
        <v>1752415</v>
      </c>
      <c r="B9210">
        <v>1754182</v>
      </c>
      <c r="D9210">
        <v>0</v>
      </c>
      <c r="F9210">
        <v>2066059</v>
      </c>
      <c r="G9210">
        <v>1752415</v>
      </c>
      <c r="H9210" t="e" vm="572">
        <f>_FV(0,"021")</f>
        <v>#VALUE!</v>
      </c>
      <c r="I9210">
        <v>1754182</v>
      </c>
      <c r="J9210" t="s">
        <v>1536</v>
      </c>
      <c r="K9210" t="s">
        <v>57178</v>
      </c>
      <c r="L9210" t="e" vm="572">
        <f>_FV(0,"021")</f>
        <v>#VALUE!</v>
      </c>
    </row>
    <row r="9211" spans="1:12" x14ac:dyDescent="0.25">
      <c r="A9211">
        <v>1752552</v>
      </c>
      <c r="B9211">
        <v>1752561</v>
      </c>
      <c r="D9211" t="s">
        <v>204</v>
      </c>
      <c r="E9211" t="s">
        <v>57180</v>
      </c>
      <c r="F9211" t="s">
        <v>57181</v>
      </c>
      <c r="G9211" t="s">
        <v>57182</v>
      </c>
      <c r="H9211" t="e" vm="3968">
        <f>_FV(0,"0012145148243184328")</f>
        <v>#VALUE!</v>
      </c>
      <c r="I9211" t="s">
        <v>57183</v>
      </c>
      <c r="J9211" t="s">
        <v>57184</v>
      </c>
      <c r="K9211" t="s">
        <v>57185</v>
      </c>
      <c r="L9211" t="s">
        <v>57179</v>
      </c>
    </row>
    <row r="9212" spans="1:12" x14ac:dyDescent="0.25">
      <c r="A9212">
        <v>1752552</v>
      </c>
      <c r="B9212">
        <v>1754976</v>
      </c>
      <c r="D9212">
        <v>0</v>
      </c>
      <c r="E9212" t="s">
        <v>57187</v>
      </c>
      <c r="F9212" t="s">
        <v>57188</v>
      </c>
      <c r="G9212" t="s">
        <v>57189</v>
      </c>
      <c r="H9212" t="e" vm="3969">
        <f>_FV(0,"015816002877415143")</f>
        <v>#VALUE!</v>
      </c>
      <c r="I9212" t="s">
        <v>57190</v>
      </c>
      <c r="J9212" t="s">
        <v>57191</v>
      </c>
      <c r="K9212" t="s">
        <v>57192</v>
      </c>
      <c r="L9212" t="s">
        <v>57186</v>
      </c>
    </row>
    <row r="9213" spans="1:12" x14ac:dyDescent="0.25">
      <c r="A9213">
        <v>1752552</v>
      </c>
      <c r="B9213">
        <v>1754986</v>
      </c>
      <c r="D9213">
        <v>0</v>
      </c>
      <c r="E9213" t="s">
        <v>57194</v>
      </c>
      <c r="F9213" t="s">
        <v>57195</v>
      </c>
      <c r="G9213" t="s">
        <v>57196</v>
      </c>
      <c r="H9213" t="e" vm="3970">
        <f>_FV(0,"012685775126662082")</f>
        <v>#VALUE!</v>
      </c>
      <c r="I9213" t="s">
        <v>57197</v>
      </c>
      <c r="J9213" t="s">
        <v>57198</v>
      </c>
      <c r="K9213" t="s">
        <v>57199</v>
      </c>
      <c r="L9213" t="s">
        <v>57193</v>
      </c>
    </row>
    <row r="9214" spans="1:12" x14ac:dyDescent="0.25">
      <c r="A9214">
        <v>1752561</v>
      </c>
      <c r="B9214">
        <v>1752887</v>
      </c>
      <c r="D9214">
        <v>0</v>
      </c>
      <c r="E9214" t="s">
        <v>57201</v>
      </c>
      <c r="F9214" t="s">
        <v>57202</v>
      </c>
      <c r="G9214" t="s">
        <v>57203</v>
      </c>
      <c r="H9214" t="e" vm="3971">
        <f>_FV(-7,"491850355576056e")-5</f>
        <v>#VALUE!</v>
      </c>
      <c r="I9214" t="s">
        <v>57204</v>
      </c>
      <c r="J9214" t="s">
        <v>27129</v>
      </c>
      <c r="K9214" t="s">
        <v>57205</v>
      </c>
      <c r="L9214" t="s">
        <v>57200</v>
      </c>
    </row>
    <row r="9215" spans="1:12" x14ac:dyDescent="0.25">
      <c r="A9215">
        <v>1752561</v>
      </c>
      <c r="B9215">
        <v>1752837</v>
      </c>
      <c r="D9215">
        <v>0</v>
      </c>
      <c r="E9215" t="s">
        <v>57207</v>
      </c>
      <c r="F9215" t="s">
        <v>57208</v>
      </c>
      <c r="G9215" t="s">
        <v>57209</v>
      </c>
      <c r="H9215" t="e" vm="3972">
        <f>_FV(0,"002031627892780925")</f>
        <v>#VALUE!</v>
      </c>
      <c r="I9215" t="s">
        <v>57210</v>
      </c>
      <c r="J9215" t="s">
        <v>11776</v>
      </c>
      <c r="K9215" t="s">
        <v>57211</v>
      </c>
      <c r="L9215" t="s">
        <v>57206</v>
      </c>
    </row>
    <row r="9216" spans="1:12" x14ac:dyDescent="0.25">
      <c r="A9216">
        <v>1752837</v>
      </c>
      <c r="B9216">
        <v>1752864</v>
      </c>
      <c r="D9216">
        <v>0</v>
      </c>
      <c r="E9216" t="s">
        <v>57213</v>
      </c>
      <c r="F9216" t="s">
        <v>57214</v>
      </c>
      <c r="G9216" t="s">
        <v>57215</v>
      </c>
      <c r="H9216" t="s">
        <v>57216</v>
      </c>
      <c r="I9216" t="s">
        <v>57217</v>
      </c>
      <c r="J9216" t="s">
        <v>57218</v>
      </c>
      <c r="K9216" t="s">
        <v>57219</v>
      </c>
      <c r="L9216" t="s">
        <v>57212</v>
      </c>
    </row>
    <row r="9217" spans="1:12" x14ac:dyDescent="0.25">
      <c r="A9217">
        <v>1752837</v>
      </c>
      <c r="B9217">
        <v>1752887</v>
      </c>
      <c r="D9217">
        <v>0</v>
      </c>
      <c r="E9217" t="s">
        <v>57220</v>
      </c>
      <c r="F9217" t="s">
        <v>57221</v>
      </c>
      <c r="G9217" t="s">
        <v>57222</v>
      </c>
      <c r="H9217" t="e" vm="3973">
        <f>_FV(0,"004511857234258846")</f>
        <v>#VALUE!</v>
      </c>
      <c r="I9217" t="s">
        <v>57223</v>
      </c>
      <c r="J9217" t="s">
        <v>1776</v>
      </c>
      <c r="K9217" t="s">
        <v>57224</v>
      </c>
      <c r="L9217" t="s">
        <v>36951</v>
      </c>
    </row>
    <row r="9218" spans="1:12" x14ac:dyDescent="0.25">
      <c r="A9218">
        <v>1752864</v>
      </c>
      <c r="B9218">
        <v>1752875</v>
      </c>
      <c r="D9218">
        <v>0</v>
      </c>
      <c r="F9218">
        <v>1999158</v>
      </c>
      <c r="G9218">
        <v>1752875</v>
      </c>
      <c r="H9218" t="e" vm="16">
        <f>_FV(0,"007")</f>
        <v>#VALUE!</v>
      </c>
      <c r="I9218">
        <v>1752864</v>
      </c>
      <c r="J9218" t="s">
        <v>226</v>
      </c>
      <c r="K9218" t="s">
        <v>57225</v>
      </c>
      <c r="L9218" t="e" vm="16">
        <f>_FV(0,"007")</f>
        <v>#VALUE!</v>
      </c>
    </row>
    <row r="9219" spans="1:12" x14ac:dyDescent="0.25">
      <c r="A9219">
        <v>1752864</v>
      </c>
      <c r="B9219">
        <v>1757199</v>
      </c>
      <c r="D9219">
        <v>0</v>
      </c>
      <c r="E9219" t="s">
        <v>57227</v>
      </c>
      <c r="F9219" t="s">
        <v>57228</v>
      </c>
      <c r="G9219" t="s">
        <v>57229</v>
      </c>
      <c r="H9219" t="s">
        <v>57230</v>
      </c>
      <c r="I9219" t="s">
        <v>57231</v>
      </c>
      <c r="J9219" t="s">
        <v>57226</v>
      </c>
      <c r="K9219" t="s">
        <v>57232</v>
      </c>
      <c r="L9219" t="s">
        <v>57226</v>
      </c>
    </row>
    <row r="9220" spans="1:12" x14ac:dyDescent="0.25">
      <c r="A9220">
        <v>1752875</v>
      </c>
      <c r="B9220">
        <v>1752887</v>
      </c>
      <c r="D9220">
        <v>0</v>
      </c>
      <c r="F9220">
        <v>1999188</v>
      </c>
      <c r="G9220">
        <v>1752887</v>
      </c>
      <c r="H9220" t="e" vm="62">
        <f>_FV(0,"008")</f>
        <v>#VALUE!</v>
      </c>
      <c r="I9220">
        <v>1752875</v>
      </c>
      <c r="J9220" t="s">
        <v>241</v>
      </c>
      <c r="K9220" t="s">
        <v>57233</v>
      </c>
      <c r="L9220" t="e" vm="62">
        <f>_FV(0,"008")</f>
        <v>#VALUE!</v>
      </c>
    </row>
    <row r="9221" spans="1:12" x14ac:dyDescent="0.25">
      <c r="A9221">
        <v>1752875</v>
      </c>
      <c r="B9221">
        <v>1757211</v>
      </c>
      <c r="D9221">
        <v>0</v>
      </c>
      <c r="E9221" t="s">
        <v>57235</v>
      </c>
      <c r="F9221" t="s">
        <v>57236</v>
      </c>
      <c r="G9221" t="s">
        <v>57237</v>
      </c>
      <c r="H9221" t="s">
        <v>57238</v>
      </c>
      <c r="I9221" t="s">
        <v>57239</v>
      </c>
      <c r="J9221" t="s">
        <v>57240</v>
      </c>
      <c r="K9221" t="s">
        <v>57241</v>
      </c>
      <c r="L9221" t="s">
        <v>57234</v>
      </c>
    </row>
    <row r="9222" spans="1:12" x14ac:dyDescent="0.25">
      <c r="A9222">
        <v>1752913</v>
      </c>
      <c r="B9222">
        <v>1752929</v>
      </c>
      <c r="D9222">
        <v>0</v>
      </c>
      <c r="E9222" t="s">
        <v>57243</v>
      </c>
      <c r="F9222" t="s">
        <v>57244</v>
      </c>
      <c r="G9222" t="s">
        <v>57245</v>
      </c>
      <c r="H9222" t="s">
        <v>57246</v>
      </c>
      <c r="I9222" t="s">
        <v>57247</v>
      </c>
      <c r="J9222" t="s">
        <v>57248</v>
      </c>
      <c r="K9222" t="s">
        <v>57249</v>
      </c>
      <c r="L9222" t="s">
        <v>57242</v>
      </c>
    </row>
    <row r="9223" spans="1:12" x14ac:dyDescent="0.25">
      <c r="A9223">
        <v>1752913</v>
      </c>
      <c r="B9223">
        <v>1752929</v>
      </c>
      <c r="D9223">
        <v>0</v>
      </c>
      <c r="E9223" t="s">
        <v>57251</v>
      </c>
      <c r="F9223" t="s">
        <v>57252</v>
      </c>
      <c r="G9223" t="s">
        <v>57253</v>
      </c>
      <c r="H9223" t="s">
        <v>57254</v>
      </c>
      <c r="I9223" t="s">
        <v>57255</v>
      </c>
      <c r="J9223" t="s">
        <v>57256</v>
      </c>
      <c r="K9223" t="s">
        <v>57257</v>
      </c>
      <c r="L9223" t="s">
        <v>57250</v>
      </c>
    </row>
    <row r="9224" spans="1:12" x14ac:dyDescent="0.25">
      <c r="A9224">
        <v>1752929</v>
      </c>
      <c r="B9224">
        <v>1756892</v>
      </c>
      <c r="D9224">
        <v>0</v>
      </c>
      <c r="E9224" t="s">
        <v>57259</v>
      </c>
      <c r="F9224" t="s">
        <v>57260</v>
      </c>
      <c r="G9224" t="s">
        <v>57261</v>
      </c>
      <c r="H9224" t="e" vm="3974">
        <f>_FV(0,"0015583616016136214")</f>
        <v>#VALUE!</v>
      </c>
      <c r="I9224" t="s">
        <v>57262</v>
      </c>
      <c r="J9224" t="s">
        <v>57263</v>
      </c>
      <c r="K9224" t="s">
        <v>57264</v>
      </c>
      <c r="L9224" t="s">
        <v>57258</v>
      </c>
    </row>
    <row r="9225" spans="1:12" x14ac:dyDescent="0.25">
      <c r="A9225">
        <v>1752930</v>
      </c>
      <c r="B9225">
        <v>1752932</v>
      </c>
      <c r="D9225">
        <v>0</v>
      </c>
      <c r="E9225" t="s">
        <v>57266</v>
      </c>
      <c r="F9225" t="s">
        <v>57267</v>
      </c>
      <c r="G9225" t="s">
        <v>57268</v>
      </c>
      <c r="H9225" t="s">
        <v>57269</v>
      </c>
      <c r="I9225" t="s">
        <v>57270</v>
      </c>
      <c r="J9225" t="s">
        <v>57265</v>
      </c>
      <c r="K9225" t="s">
        <v>57271</v>
      </c>
      <c r="L9225" t="s">
        <v>57265</v>
      </c>
    </row>
    <row r="9226" spans="1:12" x14ac:dyDescent="0.25">
      <c r="A9226">
        <v>1752930</v>
      </c>
      <c r="B9226">
        <v>1757524</v>
      </c>
      <c r="D9226">
        <v>0</v>
      </c>
      <c r="E9226" t="s">
        <v>57273</v>
      </c>
      <c r="F9226" t="s">
        <v>57274</v>
      </c>
      <c r="G9226" t="s">
        <v>57275</v>
      </c>
      <c r="H9226" t="e" vm="3975">
        <f>_FV(0,"01583308215696139")</f>
        <v>#VALUE!</v>
      </c>
      <c r="I9226" t="s">
        <v>57276</v>
      </c>
      <c r="J9226" t="s">
        <v>57277</v>
      </c>
      <c r="K9226" t="s">
        <v>57278</v>
      </c>
      <c r="L9226" t="s">
        <v>57272</v>
      </c>
    </row>
    <row r="9227" spans="1:12" x14ac:dyDescent="0.25">
      <c r="A9227">
        <v>1752932</v>
      </c>
      <c r="B9227">
        <v>1752942</v>
      </c>
      <c r="D9227">
        <v>0</v>
      </c>
      <c r="F9227">
        <v>2007600</v>
      </c>
      <c r="G9227">
        <v>1752942</v>
      </c>
      <c r="H9227" t="s">
        <v>1589</v>
      </c>
      <c r="I9227">
        <v>1752932</v>
      </c>
      <c r="J9227" t="s">
        <v>1589</v>
      </c>
      <c r="K9227" t="s">
        <v>57279</v>
      </c>
      <c r="L9227" t="s">
        <v>1589</v>
      </c>
    </row>
    <row r="9228" spans="1:12" x14ac:dyDescent="0.25">
      <c r="A9228">
        <v>1752932</v>
      </c>
      <c r="B9228">
        <v>1757524</v>
      </c>
      <c r="D9228">
        <v>0</v>
      </c>
      <c r="E9228" t="s">
        <v>57281</v>
      </c>
      <c r="F9228" t="s">
        <v>57282</v>
      </c>
      <c r="G9228" t="s">
        <v>57283</v>
      </c>
      <c r="H9228" t="s">
        <v>57284</v>
      </c>
      <c r="I9228" t="s">
        <v>57285</v>
      </c>
      <c r="J9228" t="s">
        <v>57286</v>
      </c>
      <c r="K9228" t="s">
        <v>57287</v>
      </c>
      <c r="L9228" t="s">
        <v>57280</v>
      </c>
    </row>
    <row r="9229" spans="1:12" x14ac:dyDescent="0.25">
      <c r="A9229">
        <v>1752942</v>
      </c>
      <c r="B9229">
        <v>1757502</v>
      </c>
      <c r="D9229">
        <v>0</v>
      </c>
      <c r="E9229" t="s">
        <v>57289</v>
      </c>
      <c r="F9229" t="s">
        <v>57290</v>
      </c>
      <c r="G9229" t="s">
        <v>57291</v>
      </c>
      <c r="H9229" t="e" vm="3976">
        <f>_FV(0,"2594325064593225")</f>
        <v>#VALUE!</v>
      </c>
      <c r="I9229" t="s">
        <v>57292</v>
      </c>
      <c r="J9229" t="s">
        <v>57293</v>
      </c>
      <c r="K9229" t="s">
        <v>57294</v>
      </c>
      <c r="L9229" t="s">
        <v>57288</v>
      </c>
    </row>
    <row r="9230" spans="1:12" x14ac:dyDescent="0.25">
      <c r="A9230">
        <v>1752953</v>
      </c>
      <c r="B9230">
        <v>1757665</v>
      </c>
      <c r="D9230">
        <v>0</v>
      </c>
      <c r="E9230" t="s">
        <v>57296</v>
      </c>
      <c r="F9230" t="s">
        <v>57297</v>
      </c>
      <c r="G9230" t="s">
        <v>57298</v>
      </c>
      <c r="H9230" t="s">
        <v>57299</v>
      </c>
      <c r="I9230" t="s">
        <v>57300</v>
      </c>
      <c r="J9230" t="s">
        <v>57295</v>
      </c>
      <c r="K9230" t="s">
        <v>57301</v>
      </c>
      <c r="L9230" t="s">
        <v>57295</v>
      </c>
    </row>
    <row r="9231" spans="1:12" x14ac:dyDescent="0.25">
      <c r="A9231">
        <v>1752953</v>
      </c>
      <c r="B9231">
        <v>1753110</v>
      </c>
      <c r="D9231">
        <v>0</v>
      </c>
      <c r="F9231">
        <v>2007880</v>
      </c>
      <c r="G9231">
        <v>1752953</v>
      </c>
      <c r="H9231" t="s">
        <v>3317</v>
      </c>
      <c r="I9231">
        <v>1753110</v>
      </c>
      <c r="J9231" t="s">
        <v>3317</v>
      </c>
      <c r="K9231" t="s">
        <v>57302</v>
      </c>
      <c r="L9231" t="s">
        <v>3317</v>
      </c>
    </row>
    <row r="9232" spans="1:12" x14ac:dyDescent="0.25">
      <c r="A9232">
        <v>1753056</v>
      </c>
      <c r="B9232">
        <v>1753059</v>
      </c>
      <c r="D9232">
        <v>0</v>
      </c>
      <c r="E9232" t="s">
        <v>57304</v>
      </c>
      <c r="F9232" t="s">
        <v>57305</v>
      </c>
      <c r="G9232" t="s">
        <v>57306</v>
      </c>
      <c r="H9232" t="s">
        <v>57307</v>
      </c>
      <c r="I9232" t="s">
        <v>57308</v>
      </c>
      <c r="J9232" t="s">
        <v>57303</v>
      </c>
      <c r="K9232" t="s">
        <v>57309</v>
      </c>
      <c r="L9232" t="s">
        <v>57303</v>
      </c>
    </row>
    <row r="9233" spans="1:12" x14ac:dyDescent="0.25">
      <c r="A9233">
        <v>1753056</v>
      </c>
      <c r="B9233">
        <v>1757592</v>
      </c>
      <c r="D9233">
        <v>0</v>
      </c>
      <c r="E9233" t="s">
        <v>57311</v>
      </c>
      <c r="F9233" t="s">
        <v>57312</v>
      </c>
      <c r="G9233" t="s">
        <v>57313</v>
      </c>
      <c r="H9233" t="s">
        <v>57314</v>
      </c>
      <c r="I9233" t="s">
        <v>57315</v>
      </c>
      <c r="J9233" t="s">
        <v>57310</v>
      </c>
      <c r="K9233" t="s">
        <v>57316</v>
      </c>
      <c r="L9233" t="s">
        <v>57310</v>
      </c>
    </row>
    <row r="9234" spans="1:12" x14ac:dyDescent="0.25">
      <c r="A9234">
        <v>1753056</v>
      </c>
      <c r="B9234">
        <v>1753865</v>
      </c>
      <c r="D9234">
        <v>0</v>
      </c>
      <c r="E9234" t="s">
        <v>57318</v>
      </c>
      <c r="F9234" t="s">
        <v>57319</v>
      </c>
      <c r="G9234" t="s">
        <v>57320</v>
      </c>
      <c r="H9234" t="s">
        <v>57321</v>
      </c>
      <c r="I9234" t="s">
        <v>57322</v>
      </c>
      <c r="J9234" t="s">
        <v>57323</v>
      </c>
      <c r="K9234" t="s">
        <v>57324</v>
      </c>
      <c r="L9234" t="s">
        <v>57317</v>
      </c>
    </row>
    <row r="9235" spans="1:12" x14ac:dyDescent="0.25">
      <c r="A9235">
        <v>1753059</v>
      </c>
      <c r="B9235">
        <v>1753914</v>
      </c>
      <c r="D9235">
        <v>0</v>
      </c>
      <c r="F9235">
        <v>2007800</v>
      </c>
      <c r="G9235">
        <v>1753914</v>
      </c>
      <c r="H9235" t="s">
        <v>29799</v>
      </c>
      <c r="I9235">
        <v>1753059</v>
      </c>
      <c r="J9235" t="s">
        <v>29799</v>
      </c>
      <c r="K9235" t="s">
        <v>57325</v>
      </c>
      <c r="L9235" t="s">
        <v>29799</v>
      </c>
    </row>
    <row r="9236" spans="1:12" x14ac:dyDescent="0.25">
      <c r="A9236">
        <v>1753059</v>
      </c>
      <c r="B9236">
        <v>1757592</v>
      </c>
      <c r="D9236">
        <v>0</v>
      </c>
      <c r="E9236" t="s">
        <v>57327</v>
      </c>
      <c r="F9236" t="s">
        <v>57328</v>
      </c>
      <c r="G9236" t="s">
        <v>57329</v>
      </c>
      <c r="H9236" t="e" vm="3977">
        <f>_FV(0,"5177416856385292")</f>
        <v>#VALUE!</v>
      </c>
      <c r="I9236" t="s">
        <v>57330</v>
      </c>
      <c r="J9236" t="s">
        <v>57331</v>
      </c>
      <c r="K9236" t="s">
        <v>57332</v>
      </c>
      <c r="L9236" t="s">
        <v>57326</v>
      </c>
    </row>
    <row r="9237" spans="1:12" x14ac:dyDescent="0.25">
      <c r="A9237">
        <v>1753068</v>
      </c>
      <c r="B9237">
        <v>1753075</v>
      </c>
      <c r="D9237">
        <v>0</v>
      </c>
      <c r="E9237" t="s">
        <v>57334</v>
      </c>
      <c r="F9237" t="s">
        <v>57335</v>
      </c>
      <c r="G9237" t="s">
        <v>57336</v>
      </c>
      <c r="H9237" t="e" vm="3978">
        <f>_FV(0,"00034074092120849585")</f>
        <v>#VALUE!</v>
      </c>
      <c r="I9237" t="s">
        <v>57337</v>
      </c>
      <c r="J9237" t="s">
        <v>6157</v>
      </c>
      <c r="K9237" t="s">
        <v>57338</v>
      </c>
      <c r="L9237" t="s">
        <v>57333</v>
      </c>
    </row>
    <row r="9238" spans="1:12" x14ac:dyDescent="0.25">
      <c r="A9238">
        <v>1753068</v>
      </c>
      <c r="B9238">
        <v>1757641</v>
      </c>
      <c r="D9238">
        <v>0</v>
      </c>
      <c r="E9238" t="s">
        <v>57340</v>
      </c>
      <c r="F9238" t="s">
        <v>57341</v>
      </c>
      <c r="G9238" t="s">
        <v>57342</v>
      </c>
      <c r="H9238" t="e" vm="3979">
        <f>_FV(0,"06365733144345616")</f>
        <v>#VALUE!</v>
      </c>
      <c r="I9238" t="s">
        <v>57343</v>
      </c>
      <c r="J9238" t="s">
        <v>57344</v>
      </c>
      <c r="K9238" t="s">
        <v>57345</v>
      </c>
      <c r="L9238" t="s">
        <v>57339</v>
      </c>
    </row>
    <row r="9239" spans="1:12" x14ac:dyDescent="0.25">
      <c r="A9239">
        <v>1753068</v>
      </c>
      <c r="B9239">
        <v>1753950</v>
      </c>
      <c r="D9239">
        <v>0</v>
      </c>
      <c r="F9239">
        <v>2001162</v>
      </c>
      <c r="G9239">
        <v>1753068</v>
      </c>
      <c r="H9239" t="e" vm="201">
        <f>_FV(0,"002")</f>
        <v>#VALUE!</v>
      </c>
      <c r="I9239">
        <v>1753950</v>
      </c>
      <c r="J9239" t="s">
        <v>1534</v>
      </c>
      <c r="K9239" t="s">
        <v>57346</v>
      </c>
      <c r="L9239" t="e" vm="201">
        <f>_FV(0,"002")</f>
        <v>#VALUE!</v>
      </c>
    </row>
    <row r="9240" spans="1:12" x14ac:dyDescent="0.25">
      <c r="A9240">
        <v>1753075</v>
      </c>
      <c r="B9240">
        <v>1753953</v>
      </c>
      <c r="D9240">
        <v>0</v>
      </c>
      <c r="F9240">
        <v>2007816</v>
      </c>
      <c r="G9240">
        <v>1753953</v>
      </c>
      <c r="H9240" t="e" vm="16">
        <f>_FV(0,"007")</f>
        <v>#VALUE!</v>
      </c>
      <c r="I9240">
        <v>1753075</v>
      </c>
      <c r="J9240" t="s">
        <v>226</v>
      </c>
      <c r="K9240" t="s">
        <v>57347</v>
      </c>
      <c r="L9240" t="e" vm="16">
        <f>_FV(0,"007")</f>
        <v>#VALUE!</v>
      </c>
    </row>
    <row r="9241" spans="1:12" x14ac:dyDescent="0.25">
      <c r="A9241">
        <v>1753075</v>
      </c>
      <c r="B9241">
        <v>1757641</v>
      </c>
      <c r="D9241">
        <v>0</v>
      </c>
      <c r="E9241" t="s">
        <v>57349</v>
      </c>
      <c r="F9241" t="s">
        <v>57350</v>
      </c>
      <c r="G9241" t="s">
        <v>57351</v>
      </c>
      <c r="H9241" t="s">
        <v>57352</v>
      </c>
      <c r="I9241" t="s">
        <v>57353</v>
      </c>
      <c r="J9241" t="s">
        <v>57348</v>
      </c>
      <c r="K9241" t="s">
        <v>57354</v>
      </c>
      <c r="L9241" t="s">
        <v>57348</v>
      </c>
    </row>
    <row r="9242" spans="1:12" x14ac:dyDescent="0.25">
      <c r="A9242">
        <v>1753088</v>
      </c>
      <c r="B9242">
        <v>1753092</v>
      </c>
      <c r="D9242">
        <v>0</v>
      </c>
      <c r="E9242" t="s">
        <v>57356</v>
      </c>
      <c r="F9242" t="s">
        <v>57357</v>
      </c>
      <c r="G9242" t="s">
        <v>57358</v>
      </c>
      <c r="H9242" t="e" vm="3980">
        <f>_FV(0,"010608843609725643")</f>
        <v>#VALUE!</v>
      </c>
      <c r="I9242" t="s">
        <v>57359</v>
      </c>
      <c r="J9242" t="s">
        <v>57360</v>
      </c>
      <c r="K9242" t="s">
        <v>57361</v>
      </c>
      <c r="L9242" t="s">
        <v>57355</v>
      </c>
    </row>
    <row r="9243" spans="1:12" x14ac:dyDescent="0.25">
      <c r="A9243">
        <v>1753088</v>
      </c>
      <c r="B9243">
        <v>1765725</v>
      </c>
      <c r="D9243">
        <v>0</v>
      </c>
      <c r="E9243" t="s">
        <v>57363</v>
      </c>
      <c r="F9243" t="s">
        <v>57364</v>
      </c>
      <c r="G9243" t="s">
        <v>57365</v>
      </c>
      <c r="H9243" t="s">
        <v>57366</v>
      </c>
      <c r="I9243" t="s">
        <v>57367</v>
      </c>
      <c r="J9243" t="s">
        <v>57368</v>
      </c>
      <c r="K9243" t="s">
        <v>57369</v>
      </c>
      <c r="L9243" t="s">
        <v>57362</v>
      </c>
    </row>
    <row r="9244" spans="1:12" x14ac:dyDescent="0.25">
      <c r="A9244">
        <v>1753088</v>
      </c>
      <c r="B9244">
        <v>1754057</v>
      </c>
      <c r="D9244">
        <v>0</v>
      </c>
      <c r="F9244">
        <v>2050416</v>
      </c>
      <c r="G9244">
        <v>1753088</v>
      </c>
      <c r="H9244" t="e" vm="1300">
        <f>_FV(0,"013")</f>
        <v>#VALUE!</v>
      </c>
      <c r="I9244">
        <v>1754057</v>
      </c>
      <c r="J9244" t="s">
        <v>30</v>
      </c>
      <c r="K9244" t="s">
        <v>57370</v>
      </c>
      <c r="L9244" t="e" vm="1300">
        <f>_FV(0,"013")</f>
        <v>#VALUE!</v>
      </c>
    </row>
    <row r="9245" spans="1:12" x14ac:dyDescent="0.25">
      <c r="A9245">
        <v>1753092</v>
      </c>
      <c r="B9245">
        <v>1753106</v>
      </c>
      <c r="D9245" t="s">
        <v>204</v>
      </c>
      <c r="E9245" t="s">
        <v>57372</v>
      </c>
      <c r="F9245" t="s">
        <v>57373</v>
      </c>
      <c r="G9245" t="s">
        <v>57374</v>
      </c>
      <c r="H9245" t="s">
        <v>57375</v>
      </c>
      <c r="I9245" t="s">
        <v>57376</v>
      </c>
      <c r="J9245" t="s">
        <v>57371</v>
      </c>
      <c r="K9245" t="s">
        <v>57377</v>
      </c>
      <c r="L9245" t="s">
        <v>57371</v>
      </c>
    </row>
    <row r="9246" spans="1:12" x14ac:dyDescent="0.25">
      <c r="A9246">
        <v>1753092</v>
      </c>
      <c r="B9246">
        <v>1765725</v>
      </c>
      <c r="D9246">
        <v>0</v>
      </c>
      <c r="E9246" t="s">
        <v>57379</v>
      </c>
      <c r="F9246" t="s">
        <v>57380</v>
      </c>
      <c r="G9246" t="s">
        <v>57381</v>
      </c>
      <c r="H9246" t="e" vm="3981">
        <f>_FV(0,"19655361049719905")</f>
        <v>#VALUE!</v>
      </c>
      <c r="I9246" t="s">
        <v>57382</v>
      </c>
      <c r="J9246" t="s">
        <v>57383</v>
      </c>
      <c r="K9246" t="s">
        <v>57384</v>
      </c>
      <c r="L9246" t="s">
        <v>57378</v>
      </c>
    </row>
    <row r="9247" spans="1:12" x14ac:dyDescent="0.25">
      <c r="A9247">
        <v>1753106</v>
      </c>
      <c r="B9247">
        <v>1753110</v>
      </c>
      <c r="D9247">
        <v>0</v>
      </c>
      <c r="E9247" t="s">
        <v>57386</v>
      </c>
      <c r="F9247" t="s">
        <v>57387</v>
      </c>
      <c r="G9247" t="s">
        <v>57388</v>
      </c>
      <c r="H9247" t="s">
        <v>57389</v>
      </c>
      <c r="I9247" t="s">
        <v>57390</v>
      </c>
      <c r="J9247" t="s">
        <v>57385</v>
      </c>
      <c r="K9247" t="s">
        <v>57391</v>
      </c>
      <c r="L9247" t="s">
        <v>57385</v>
      </c>
    </row>
    <row r="9248" spans="1:12" x14ac:dyDescent="0.25">
      <c r="A9248">
        <v>1753106</v>
      </c>
      <c r="B9248">
        <v>1757693</v>
      </c>
      <c r="D9248">
        <v>0</v>
      </c>
      <c r="E9248" t="s">
        <v>57393</v>
      </c>
      <c r="F9248" t="s">
        <v>57394</v>
      </c>
      <c r="G9248" t="s">
        <v>57395</v>
      </c>
      <c r="H9248" t="s">
        <v>57396</v>
      </c>
      <c r="I9248" t="s">
        <v>57397</v>
      </c>
      <c r="J9248" t="s">
        <v>57392</v>
      </c>
      <c r="K9248" t="s">
        <v>57398</v>
      </c>
      <c r="L9248" t="s">
        <v>57392</v>
      </c>
    </row>
    <row r="9249" spans="1:12" x14ac:dyDescent="0.25">
      <c r="A9249">
        <v>1753110</v>
      </c>
      <c r="B9249">
        <v>1757693</v>
      </c>
      <c r="D9249">
        <v>0</v>
      </c>
      <c r="E9249" t="s">
        <v>57400</v>
      </c>
      <c r="F9249" t="s">
        <v>57401</v>
      </c>
      <c r="G9249" t="s">
        <v>57402</v>
      </c>
      <c r="H9249" t="e" vm="3982">
        <f>_FV(0,"14603537037731606")</f>
        <v>#VALUE!</v>
      </c>
      <c r="I9249" t="s">
        <v>57403</v>
      </c>
      <c r="J9249" t="s">
        <v>57404</v>
      </c>
      <c r="K9249" t="s">
        <v>57405</v>
      </c>
      <c r="L9249" t="s">
        <v>57399</v>
      </c>
    </row>
    <row r="9250" spans="1:12" x14ac:dyDescent="0.25">
      <c r="A9250">
        <v>1753118</v>
      </c>
      <c r="B9250">
        <v>1753123</v>
      </c>
      <c r="D9250">
        <v>0</v>
      </c>
      <c r="E9250" t="s">
        <v>57406</v>
      </c>
      <c r="F9250" t="s">
        <v>57407</v>
      </c>
      <c r="G9250" t="s">
        <v>57408</v>
      </c>
      <c r="H9250" t="s">
        <v>57409</v>
      </c>
      <c r="I9250" t="s">
        <v>57410</v>
      </c>
      <c r="J9250" t="s">
        <v>3368</v>
      </c>
      <c r="K9250" t="s">
        <v>57411</v>
      </c>
      <c r="L9250" t="s">
        <v>3368</v>
      </c>
    </row>
    <row r="9251" spans="1:12" x14ac:dyDescent="0.25">
      <c r="A9251">
        <v>1753118</v>
      </c>
      <c r="B9251">
        <v>1757718</v>
      </c>
      <c r="D9251">
        <v>0</v>
      </c>
      <c r="E9251" t="s">
        <v>57413</v>
      </c>
      <c r="F9251" t="s">
        <v>57414</v>
      </c>
      <c r="G9251" t="s">
        <v>57415</v>
      </c>
      <c r="H9251" t="e" vm="3983">
        <f>_FV(0,"018517773000730365")</f>
        <v>#VALUE!</v>
      </c>
      <c r="I9251" t="s">
        <v>57416</v>
      </c>
      <c r="J9251" t="s">
        <v>57417</v>
      </c>
      <c r="K9251" t="s">
        <v>57418</v>
      </c>
      <c r="L9251" t="s">
        <v>57412</v>
      </c>
    </row>
    <row r="9252" spans="1:12" x14ac:dyDescent="0.25">
      <c r="A9252">
        <v>1753118</v>
      </c>
      <c r="B9252">
        <v>1754071</v>
      </c>
      <c r="D9252">
        <v>0</v>
      </c>
      <c r="F9252">
        <v>2007968</v>
      </c>
      <c r="G9252">
        <v>1753118</v>
      </c>
      <c r="H9252" t="s">
        <v>1599</v>
      </c>
      <c r="I9252">
        <v>1754071</v>
      </c>
      <c r="J9252" t="s">
        <v>1599</v>
      </c>
      <c r="K9252" t="s">
        <v>57419</v>
      </c>
      <c r="L9252" t="s">
        <v>1599</v>
      </c>
    </row>
    <row r="9253" spans="1:12" x14ac:dyDescent="0.25">
      <c r="A9253">
        <v>1753123</v>
      </c>
      <c r="B9253">
        <v>1754098</v>
      </c>
      <c r="D9253" t="s">
        <v>204</v>
      </c>
      <c r="E9253" t="s">
        <v>57421</v>
      </c>
      <c r="F9253" t="s">
        <v>57422</v>
      </c>
      <c r="G9253" t="s">
        <v>57423</v>
      </c>
      <c r="H9253" t="s">
        <v>57424</v>
      </c>
      <c r="I9253" t="s">
        <v>57425</v>
      </c>
      <c r="J9253" t="s">
        <v>57420</v>
      </c>
      <c r="K9253" t="s">
        <v>57426</v>
      </c>
      <c r="L9253" t="s">
        <v>57420</v>
      </c>
    </row>
    <row r="9254" spans="1:12" x14ac:dyDescent="0.25">
      <c r="A9254">
        <v>1753123</v>
      </c>
      <c r="B9254">
        <v>1757718</v>
      </c>
      <c r="D9254">
        <v>0</v>
      </c>
      <c r="E9254" t="s">
        <v>57428</v>
      </c>
      <c r="F9254" t="s">
        <v>57429</v>
      </c>
      <c r="G9254" t="s">
        <v>57430</v>
      </c>
      <c r="H9254" t="s">
        <v>57431</v>
      </c>
      <c r="I9254" t="s">
        <v>57432</v>
      </c>
      <c r="J9254" t="s">
        <v>57427</v>
      </c>
      <c r="K9254" t="s">
        <v>57433</v>
      </c>
      <c r="L9254" t="s">
        <v>57427</v>
      </c>
    </row>
    <row r="9255" spans="1:12" x14ac:dyDescent="0.25">
      <c r="A9255">
        <v>1753126</v>
      </c>
      <c r="B9255">
        <v>1753142</v>
      </c>
      <c r="D9255">
        <v>0</v>
      </c>
      <c r="E9255" t="s">
        <v>57435</v>
      </c>
      <c r="F9255" t="s">
        <v>57436</v>
      </c>
      <c r="G9255" t="s">
        <v>57437</v>
      </c>
      <c r="H9255" t="e" vm="3984">
        <f>_FV(0,"04093237710877223")</f>
        <v>#VALUE!</v>
      </c>
      <c r="I9255" t="s">
        <v>57438</v>
      </c>
      <c r="J9255" t="s">
        <v>57439</v>
      </c>
      <c r="K9255" t="s">
        <v>57440</v>
      </c>
      <c r="L9255" t="s">
        <v>57434</v>
      </c>
    </row>
    <row r="9256" spans="1:12" x14ac:dyDescent="0.25">
      <c r="A9256">
        <v>1753126</v>
      </c>
      <c r="B9256">
        <v>1754151</v>
      </c>
      <c r="D9256">
        <v>0</v>
      </c>
      <c r="E9256" t="s">
        <v>57442</v>
      </c>
      <c r="F9256" t="s">
        <v>57443</v>
      </c>
      <c r="G9256" t="s">
        <v>57444</v>
      </c>
      <c r="H9256" t="e" vm="3985">
        <f>_FV(0,"06822041962613874")</f>
        <v>#VALUE!</v>
      </c>
      <c r="I9256" t="s">
        <v>57445</v>
      </c>
      <c r="J9256" t="s">
        <v>57446</v>
      </c>
      <c r="K9256" t="s">
        <v>57447</v>
      </c>
      <c r="L9256" t="s">
        <v>57441</v>
      </c>
    </row>
    <row r="9257" spans="1:12" x14ac:dyDescent="0.25">
      <c r="A9257">
        <v>1753142</v>
      </c>
      <c r="B9257">
        <v>1753151</v>
      </c>
      <c r="D9257" t="s">
        <v>55737</v>
      </c>
      <c r="E9257" t="s">
        <v>57449</v>
      </c>
      <c r="F9257" t="s">
        <v>57450</v>
      </c>
      <c r="G9257" t="s">
        <v>57451</v>
      </c>
      <c r="H9257" t="s">
        <v>57452</v>
      </c>
      <c r="I9257" t="s">
        <v>57453</v>
      </c>
      <c r="J9257" t="s">
        <v>57454</v>
      </c>
      <c r="K9257" t="s">
        <v>57455</v>
      </c>
      <c r="L9257" t="s">
        <v>57448</v>
      </c>
    </row>
    <row r="9258" spans="1:12" x14ac:dyDescent="0.25">
      <c r="A9258">
        <v>1753151</v>
      </c>
      <c r="B9258">
        <v>1754230</v>
      </c>
      <c r="D9258">
        <v>0</v>
      </c>
      <c r="E9258" t="s">
        <v>57457</v>
      </c>
      <c r="F9258" t="s">
        <v>57458</v>
      </c>
      <c r="G9258" t="s">
        <v>57459</v>
      </c>
      <c r="H9258" t="e" vm="3986">
        <f>_FV(0,"00016205246295481168")</f>
        <v>#VALUE!</v>
      </c>
      <c r="I9258" t="s">
        <v>57460</v>
      </c>
      <c r="J9258" t="s">
        <v>57461</v>
      </c>
      <c r="K9258" t="s">
        <v>57462</v>
      </c>
      <c r="L9258" t="s">
        <v>57456</v>
      </c>
    </row>
    <row r="9259" spans="1:12" x14ac:dyDescent="0.25">
      <c r="A9259">
        <v>1753151</v>
      </c>
      <c r="B9259">
        <v>1753161</v>
      </c>
      <c r="D9259">
        <v>0</v>
      </c>
      <c r="E9259" t="s">
        <v>57464</v>
      </c>
      <c r="F9259" t="s">
        <v>57465</v>
      </c>
      <c r="G9259" t="s">
        <v>57466</v>
      </c>
      <c r="H9259" t="s">
        <v>57467</v>
      </c>
      <c r="I9259" t="s">
        <v>57468</v>
      </c>
      <c r="J9259" t="s">
        <v>57469</v>
      </c>
      <c r="K9259" t="s">
        <v>57470</v>
      </c>
      <c r="L9259" t="s">
        <v>57463</v>
      </c>
    </row>
    <row r="9260" spans="1:12" x14ac:dyDescent="0.25">
      <c r="A9260">
        <v>1753157</v>
      </c>
      <c r="B9260">
        <v>1753164</v>
      </c>
      <c r="D9260">
        <v>0</v>
      </c>
      <c r="E9260" t="s">
        <v>57472</v>
      </c>
      <c r="F9260" t="s">
        <v>57473</v>
      </c>
      <c r="G9260" t="s">
        <v>57474</v>
      </c>
      <c r="H9260" t="s">
        <v>57475</v>
      </c>
      <c r="I9260" t="s">
        <v>57476</v>
      </c>
      <c r="J9260" t="s">
        <v>57477</v>
      </c>
      <c r="K9260" t="s">
        <v>57478</v>
      </c>
      <c r="L9260" t="s">
        <v>57471</v>
      </c>
    </row>
    <row r="9261" spans="1:12" x14ac:dyDescent="0.25">
      <c r="A9261">
        <v>1753157</v>
      </c>
      <c r="B9261">
        <v>1754253</v>
      </c>
      <c r="D9261">
        <v>0</v>
      </c>
      <c r="E9261" t="s">
        <v>57480</v>
      </c>
      <c r="F9261" t="s">
        <v>57481</v>
      </c>
      <c r="G9261" t="s">
        <v>57482</v>
      </c>
      <c r="H9261" t="e" vm="3987">
        <f>_FV(0,"0021215325211903307")</f>
        <v>#VALUE!</v>
      </c>
      <c r="I9261" t="s">
        <v>57483</v>
      </c>
      <c r="J9261" t="s">
        <v>57484</v>
      </c>
      <c r="K9261" t="s">
        <v>57485</v>
      </c>
      <c r="L9261" t="s">
        <v>57479</v>
      </c>
    </row>
    <row r="9262" spans="1:12" x14ac:dyDescent="0.25">
      <c r="A9262">
        <v>1753157</v>
      </c>
      <c r="B9262">
        <v>1761470</v>
      </c>
      <c r="C9262" t="s">
        <v>57487</v>
      </c>
      <c r="D9262" t="s">
        <v>32484</v>
      </c>
      <c r="E9262" t="s">
        <v>57488</v>
      </c>
      <c r="F9262" t="s">
        <v>57489</v>
      </c>
      <c r="G9262" t="s">
        <v>57490</v>
      </c>
      <c r="H9262" t="s">
        <v>57491</v>
      </c>
      <c r="I9262" t="s">
        <v>57492</v>
      </c>
      <c r="J9262" t="s">
        <v>57493</v>
      </c>
      <c r="K9262" t="s">
        <v>57494</v>
      </c>
      <c r="L9262" t="s">
        <v>57486</v>
      </c>
    </row>
    <row r="9263" spans="1:12" x14ac:dyDescent="0.25">
      <c r="A9263">
        <v>1753161</v>
      </c>
      <c r="B9263">
        <v>1757380</v>
      </c>
      <c r="C9263" t="s">
        <v>57496</v>
      </c>
      <c r="D9263">
        <v>0</v>
      </c>
      <c r="E9263" t="s">
        <v>57497</v>
      </c>
      <c r="F9263" t="s">
        <v>57498</v>
      </c>
      <c r="G9263" t="s">
        <v>57499</v>
      </c>
      <c r="H9263" t="e" vm="3988">
        <f>_FV(0,"0056984644132175395")</f>
        <v>#VALUE!</v>
      </c>
      <c r="I9263" t="s">
        <v>57500</v>
      </c>
      <c r="J9263" t="s">
        <v>57501</v>
      </c>
      <c r="K9263" t="s">
        <v>57502</v>
      </c>
      <c r="L9263" t="s">
        <v>57495</v>
      </c>
    </row>
    <row r="9264" spans="1:12" x14ac:dyDescent="0.25">
      <c r="A9264">
        <v>1753161</v>
      </c>
      <c r="B9264">
        <v>1754247</v>
      </c>
      <c r="D9264">
        <v>0</v>
      </c>
      <c r="E9264" t="s">
        <v>57504</v>
      </c>
      <c r="F9264" t="s">
        <v>57505</v>
      </c>
      <c r="G9264" t="s">
        <v>57506</v>
      </c>
      <c r="H9264" t="s">
        <v>57507</v>
      </c>
      <c r="I9264" t="s">
        <v>57508</v>
      </c>
      <c r="J9264" t="s">
        <v>57509</v>
      </c>
      <c r="K9264" t="s">
        <v>57510</v>
      </c>
      <c r="L9264" t="s">
        <v>57503</v>
      </c>
    </row>
    <row r="9265" spans="1:12" x14ac:dyDescent="0.25">
      <c r="A9265">
        <v>1753164</v>
      </c>
      <c r="B9265">
        <v>1754274</v>
      </c>
      <c r="D9265">
        <v>0</v>
      </c>
      <c r="E9265" t="s">
        <v>57512</v>
      </c>
      <c r="F9265" t="s">
        <v>57513</v>
      </c>
      <c r="G9265" t="s">
        <v>57514</v>
      </c>
      <c r="H9265" t="e" vm="3989">
        <f>_FV(0,"049164629072459415")</f>
        <v>#VALUE!</v>
      </c>
      <c r="I9265" t="s">
        <v>57515</v>
      </c>
      <c r="J9265" t="s">
        <v>48845</v>
      </c>
      <c r="K9265" t="s">
        <v>57516</v>
      </c>
      <c r="L9265" t="s">
        <v>57511</v>
      </c>
    </row>
    <row r="9266" spans="1:12" x14ac:dyDescent="0.25">
      <c r="A9266">
        <v>1753164</v>
      </c>
      <c r="B9266">
        <v>1757410</v>
      </c>
      <c r="C9266" t="s">
        <v>57518</v>
      </c>
      <c r="D9266">
        <v>0</v>
      </c>
      <c r="E9266" t="s">
        <v>57519</v>
      </c>
      <c r="F9266" t="s">
        <v>57520</v>
      </c>
      <c r="G9266" t="s">
        <v>57521</v>
      </c>
      <c r="H9266" t="e" vm="3990">
        <f>_FV(0,"000694455602421015")</f>
        <v>#VALUE!</v>
      </c>
      <c r="I9266" t="s">
        <v>57522</v>
      </c>
      <c r="J9266" t="s">
        <v>57523</v>
      </c>
      <c r="K9266" t="s">
        <v>57524</v>
      </c>
      <c r="L9266" t="s">
        <v>57517</v>
      </c>
    </row>
    <row r="9267" spans="1:12" x14ac:dyDescent="0.25">
      <c r="A9267">
        <v>1753172</v>
      </c>
      <c r="B9267">
        <v>1754274</v>
      </c>
      <c r="D9267">
        <v>0</v>
      </c>
      <c r="E9267" t="s">
        <v>57526</v>
      </c>
      <c r="F9267" t="s">
        <v>57527</v>
      </c>
      <c r="G9267" t="s">
        <v>57528</v>
      </c>
      <c r="H9267" t="s">
        <v>57529</v>
      </c>
      <c r="I9267" t="s">
        <v>57530</v>
      </c>
      <c r="J9267" t="s">
        <v>57525</v>
      </c>
      <c r="K9267" t="s">
        <v>57531</v>
      </c>
      <c r="L9267" t="s">
        <v>57525</v>
      </c>
    </row>
    <row r="9268" spans="1:12" x14ac:dyDescent="0.25">
      <c r="A9268">
        <v>1753292</v>
      </c>
      <c r="B9268">
        <v>1753306</v>
      </c>
      <c r="D9268">
        <v>0</v>
      </c>
      <c r="F9268">
        <v>2000051</v>
      </c>
      <c r="G9268">
        <v>1753306</v>
      </c>
      <c r="H9268" t="s">
        <v>288</v>
      </c>
      <c r="I9268">
        <v>1753292</v>
      </c>
      <c r="J9268" t="s">
        <v>288</v>
      </c>
      <c r="K9268" t="s">
        <v>57532</v>
      </c>
      <c r="L9268" t="s">
        <v>288</v>
      </c>
    </row>
    <row r="9269" spans="1:12" x14ac:dyDescent="0.25">
      <c r="A9269">
        <v>1753292</v>
      </c>
      <c r="B9269">
        <v>1756944</v>
      </c>
      <c r="D9269" t="s">
        <v>12915</v>
      </c>
      <c r="E9269" t="s">
        <v>57534</v>
      </c>
      <c r="F9269" t="s">
        <v>57535</v>
      </c>
      <c r="G9269" t="s">
        <v>57536</v>
      </c>
      <c r="H9269" t="e" vm="3991">
        <f>_FV(0,"0758986402034227")</f>
        <v>#VALUE!</v>
      </c>
      <c r="I9269" t="s">
        <v>57537</v>
      </c>
      <c r="J9269" t="s">
        <v>57538</v>
      </c>
      <c r="K9269" t="s">
        <v>57539</v>
      </c>
      <c r="L9269" t="s">
        <v>57533</v>
      </c>
    </row>
    <row r="9270" spans="1:12" x14ac:dyDescent="0.25">
      <c r="A9270">
        <v>1753292</v>
      </c>
      <c r="B9270">
        <v>1756949</v>
      </c>
      <c r="D9270">
        <v>0</v>
      </c>
      <c r="E9270" t="s">
        <v>57541</v>
      </c>
      <c r="F9270" t="s">
        <v>57542</v>
      </c>
      <c r="G9270" t="s">
        <v>57543</v>
      </c>
      <c r="H9270" t="e" vm="3992">
        <f>_FV(0,"052574164904498795")</f>
        <v>#VALUE!</v>
      </c>
      <c r="I9270" t="s">
        <v>57544</v>
      </c>
      <c r="J9270" t="s">
        <v>57545</v>
      </c>
      <c r="K9270" t="s">
        <v>57546</v>
      </c>
      <c r="L9270" t="s">
        <v>57540</v>
      </c>
    </row>
    <row r="9271" spans="1:12" x14ac:dyDescent="0.25">
      <c r="A9271">
        <v>1753306</v>
      </c>
      <c r="B9271">
        <v>1753512</v>
      </c>
      <c r="D9271">
        <v>0</v>
      </c>
      <c r="E9271" t="s">
        <v>57548</v>
      </c>
      <c r="F9271" t="s">
        <v>57549</v>
      </c>
      <c r="G9271" t="s">
        <v>57550</v>
      </c>
      <c r="H9271" t="s">
        <v>57551</v>
      </c>
      <c r="I9271" t="s">
        <v>57552</v>
      </c>
      <c r="J9271" t="s">
        <v>57553</v>
      </c>
      <c r="K9271" t="s">
        <v>57554</v>
      </c>
      <c r="L9271" t="s">
        <v>57547</v>
      </c>
    </row>
    <row r="9272" spans="1:12" x14ac:dyDescent="0.25">
      <c r="A9272">
        <v>1675726</v>
      </c>
      <c r="B9272">
        <v>1762655</v>
      </c>
      <c r="D9272">
        <v>0</v>
      </c>
      <c r="F9272">
        <v>2082157</v>
      </c>
      <c r="G9272">
        <v>1762655</v>
      </c>
      <c r="H9272" t="e" vm="488">
        <f>_FV(0,"047")</f>
        <v>#VALUE!</v>
      </c>
      <c r="I9272">
        <v>1675726</v>
      </c>
      <c r="J9272" t="s">
        <v>2292</v>
      </c>
      <c r="K9272" t="s">
        <v>57555</v>
      </c>
      <c r="L9272" t="e" vm="488">
        <f>_FV(0,"047")</f>
        <v>#VALUE!</v>
      </c>
    </row>
    <row r="9273" spans="1:12" x14ac:dyDescent="0.25">
      <c r="A9273">
        <v>1675726</v>
      </c>
      <c r="B9273">
        <v>1753440</v>
      </c>
      <c r="D9273">
        <v>0</v>
      </c>
      <c r="E9273" t="s">
        <v>57557</v>
      </c>
      <c r="F9273" t="s">
        <v>57558</v>
      </c>
      <c r="G9273" t="s">
        <v>57559</v>
      </c>
      <c r="H9273" t="e" vm="3993">
        <f>_FV(0,"0877047094350705")</f>
        <v>#VALUE!</v>
      </c>
      <c r="I9273" t="s">
        <v>57560</v>
      </c>
      <c r="J9273" t="s">
        <v>57561</v>
      </c>
      <c r="K9273" t="s">
        <v>57562</v>
      </c>
      <c r="L9273" t="s">
        <v>57556</v>
      </c>
    </row>
    <row r="9274" spans="1:12" x14ac:dyDescent="0.25">
      <c r="A9274">
        <v>1675726</v>
      </c>
      <c r="B9274">
        <v>1762650</v>
      </c>
      <c r="D9274">
        <v>0</v>
      </c>
      <c r="E9274" t="s">
        <v>57564</v>
      </c>
      <c r="F9274" t="s">
        <v>57565</v>
      </c>
      <c r="G9274" t="s">
        <v>57566</v>
      </c>
      <c r="H9274" t="e" vm="3994">
        <f>_FV(0,"019394580881730336")</f>
        <v>#VALUE!</v>
      </c>
      <c r="I9274" t="s">
        <v>57567</v>
      </c>
      <c r="J9274" t="s">
        <v>57568</v>
      </c>
      <c r="K9274" t="s">
        <v>57569</v>
      </c>
      <c r="L9274" t="s">
        <v>57563</v>
      </c>
    </row>
    <row r="9275" spans="1:12" x14ac:dyDescent="0.25">
      <c r="A9275">
        <v>1753440</v>
      </c>
      <c r="B9275">
        <v>1753446</v>
      </c>
      <c r="D9275">
        <v>0</v>
      </c>
      <c r="F9275">
        <v>2003478</v>
      </c>
      <c r="G9275">
        <v>1753446</v>
      </c>
      <c r="H9275" t="e" vm="122">
        <f>_FV(0,"017")</f>
        <v>#VALUE!</v>
      </c>
      <c r="I9275">
        <v>1753440</v>
      </c>
      <c r="J9275" t="s">
        <v>1814</v>
      </c>
      <c r="K9275" t="s">
        <v>57570</v>
      </c>
      <c r="L9275" t="e" vm="122">
        <f>_FV(0,"017")</f>
        <v>#VALUE!</v>
      </c>
    </row>
    <row r="9276" spans="1:12" x14ac:dyDescent="0.25">
      <c r="A9276">
        <v>1753440</v>
      </c>
      <c r="B9276">
        <v>1762655</v>
      </c>
      <c r="D9276">
        <v>0</v>
      </c>
      <c r="E9276" t="s">
        <v>57572</v>
      </c>
      <c r="F9276" t="s">
        <v>57573</v>
      </c>
      <c r="G9276" t="s">
        <v>57574</v>
      </c>
      <c r="H9276" t="e" vm="3995">
        <f>_FV(0,"0019816884556809983")</f>
        <v>#VALUE!</v>
      </c>
      <c r="I9276" t="s">
        <v>57575</v>
      </c>
      <c r="J9276" t="s">
        <v>10501</v>
      </c>
      <c r="K9276" t="s">
        <v>57576</v>
      </c>
      <c r="L9276" t="s">
        <v>57571</v>
      </c>
    </row>
    <row r="9277" spans="1:12" x14ac:dyDescent="0.25">
      <c r="A9277">
        <v>1753446</v>
      </c>
      <c r="B9277">
        <v>1753452</v>
      </c>
      <c r="D9277">
        <v>0</v>
      </c>
      <c r="E9277" t="s">
        <v>57578</v>
      </c>
      <c r="F9277" t="s">
        <v>57579</v>
      </c>
      <c r="G9277" t="s">
        <v>57580</v>
      </c>
      <c r="H9277" t="e" vm="3996">
        <f>_FV(0,"040439941549647064")</f>
        <v>#VALUE!</v>
      </c>
      <c r="I9277" t="s">
        <v>57581</v>
      </c>
      <c r="J9277" t="s">
        <v>57582</v>
      </c>
      <c r="K9277" t="s">
        <v>57583</v>
      </c>
      <c r="L9277" t="s">
        <v>57577</v>
      </c>
    </row>
    <row r="9278" spans="1:12" x14ac:dyDescent="0.25">
      <c r="A9278">
        <v>1753446</v>
      </c>
      <c r="B9278">
        <v>1755195</v>
      </c>
      <c r="D9278">
        <v>0</v>
      </c>
      <c r="E9278" t="s">
        <v>57585</v>
      </c>
      <c r="F9278" t="s">
        <v>57586</v>
      </c>
      <c r="G9278" t="s">
        <v>57587</v>
      </c>
      <c r="H9278" t="e" vm="3997">
        <f>_FV(0,"04436048468506084")</f>
        <v>#VALUE!</v>
      </c>
      <c r="I9278" t="s">
        <v>57588</v>
      </c>
      <c r="J9278" t="s">
        <v>57589</v>
      </c>
      <c r="K9278" t="s">
        <v>57590</v>
      </c>
      <c r="L9278" t="s">
        <v>57584</v>
      </c>
    </row>
    <row r="9279" spans="1:12" x14ac:dyDescent="0.25">
      <c r="A9279">
        <v>1753452</v>
      </c>
      <c r="B9279">
        <v>1755195</v>
      </c>
      <c r="D9279">
        <v>0</v>
      </c>
      <c r="E9279" t="s">
        <v>57592</v>
      </c>
      <c r="F9279" t="s">
        <v>57593</v>
      </c>
      <c r="G9279" t="s">
        <v>57594</v>
      </c>
      <c r="H9279" t="e" vm="3998">
        <f>_FV(0,"0064247467325188636")</f>
        <v>#VALUE!</v>
      </c>
      <c r="I9279" t="s">
        <v>57595</v>
      </c>
      <c r="J9279" t="s">
        <v>57596</v>
      </c>
      <c r="K9279" t="s">
        <v>57597</v>
      </c>
      <c r="L9279" t="s">
        <v>57591</v>
      </c>
    </row>
    <row r="9280" spans="1:12" x14ac:dyDescent="0.25">
      <c r="A9280">
        <v>1753452</v>
      </c>
      <c r="B9280">
        <v>1753470</v>
      </c>
      <c r="D9280">
        <v>0</v>
      </c>
      <c r="F9280">
        <v>2003678</v>
      </c>
      <c r="G9280">
        <v>1753452</v>
      </c>
      <c r="H9280" t="e" vm="1">
        <f>_FV(0,"03")</f>
        <v>#VALUE!</v>
      </c>
      <c r="I9280">
        <v>1753470</v>
      </c>
      <c r="J9280" t="s">
        <v>12</v>
      </c>
      <c r="K9280" t="s">
        <v>57598</v>
      </c>
      <c r="L9280" t="e" vm="1">
        <f>_FV(0,"03")</f>
        <v>#VALUE!</v>
      </c>
    </row>
    <row r="9281" spans="1:12" x14ac:dyDescent="0.25">
      <c r="A9281">
        <v>1753470</v>
      </c>
      <c r="B9281">
        <v>1753486</v>
      </c>
      <c r="D9281">
        <v>0</v>
      </c>
      <c r="E9281" t="s">
        <v>57600</v>
      </c>
      <c r="F9281" t="s">
        <v>57601</v>
      </c>
      <c r="G9281" t="s">
        <v>57602</v>
      </c>
      <c r="H9281" t="s">
        <v>57603</v>
      </c>
      <c r="I9281" t="s">
        <v>57604</v>
      </c>
      <c r="J9281" t="s">
        <v>57605</v>
      </c>
      <c r="K9281" t="s">
        <v>57606</v>
      </c>
      <c r="L9281" t="s">
        <v>57599</v>
      </c>
    </row>
    <row r="9282" spans="1:12" x14ac:dyDescent="0.25">
      <c r="A9282">
        <v>1753470</v>
      </c>
      <c r="B9282">
        <v>1755208</v>
      </c>
      <c r="D9282">
        <v>0</v>
      </c>
      <c r="E9282" t="s">
        <v>57608</v>
      </c>
      <c r="F9282" t="s">
        <v>57609</v>
      </c>
      <c r="G9282" t="s">
        <v>57610</v>
      </c>
      <c r="H9282" t="s">
        <v>57611</v>
      </c>
      <c r="I9282" t="s">
        <v>57612</v>
      </c>
      <c r="J9282" t="s">
        <v>57607</v>
      </c>
      <c r="K9282" t="s">
        <v>57613</v>
      </c>
      <c r="L9282" t="s">
        <v>57607</v>
      </c>
    </row>
    <row r="9283" spans="1:12" x14ac:dyDescent="0.25">
      <c r="A9283">
        <v>1753486</v>
      </c>
      <c r="B9283">
        <v>1762030</v>
      </c>
      <c r="D9283">
        <v>0</v>
      </c>
      <c r="E9283" t="s">
        <v>57615</v>
      </c>
      <c r="F9283" t="s">
        <v>57616</v>
      </c>
      <c r="G9283" t="s">
        <v>57617</v>
      </c>
      <c r="H9283" t="e" vm="3999">
        <f>_FV(0,"029318417149732764")</f>
        <v>#VALUE!</v>
      </c>
      <c r="I9283" t="s">
        <v>57618</v>
      </c>
      <c r="J9283" t="s">
        <v>57619</v>
      </c>
      <c r="K9283" t="s">
        <v>57620</v>
      </c>
      <c r="L9283" t="s">
        <v>57614</v>
      </c>
    </row>
    <row r="9284" spans="1:12" x14ac:dyDescent="0.25">
      <c r="A9284">
        <v>1753506</v>
      </c>
      <c r="B9284">
        <v>1753512</v>
      </c>
      <c r="D9284">
        <v>0</v>
      </c>
      <c r="E9284" t="s">
        <v>57622</v>
      </c>
      <c r="F9284" t="s">
        <v>57623</v>
      </c>
      <c r="G9284" t="s">
        <v>57624</v>
      </c>
      <c r="H9284" t="s">
        <v>57625</v>
      </c>
      <c r="I9284" t="s">
        <v>57626</v>
      </c>
      <c r="J9284" t="s">
        <v>57627</v>
      </c>
      <c r="K9284" t="s">
        <v>57628</v>
      </c>
      <c r="L9284" t="s">
        <v>57621</v>
      </c>
    </row>
    <row r="9285" spans="1:12" x14ac:dyDescent="0.25">
      <c r="A9285">
        <v>1753506</v>
      </c>
      <c r="B9285">
        <v>1756944</v>
      </c>
      <c r="D9285">
        <v>0</v>
      </c>
      <c r="E9285" t="s">
        <v>57630</v>
      </c>
      <c r="F9285" t="s">
        <v>57631</v>
      </c>
      <c r="G9285" t="s">
        <v>57632</v>
      </c>
      <c r="H9285" t="s">
        <v>57633</v>
      </c>
      <c r="I9285" t="s">
        <v>57634</v>
      </c>
      <c r="J9285" t="s">
        <v>57635</v>
      </c>
      <c r="K9285" t="s">
        <v>57636</v>
      </c>
      <c r="L9285" t="s">
        <v>57629</v>
      </c>
    </row>
    <row r="9286" spans="1:12" x14ac:dyDescent="0.25">
      <c r="A9286">
        <v>1753813</v>
      </c>
      <c r="B9286">
        <v>1753826</v>
      </c>
      <c r="D9286">
        <v>0</v>
      </c>
      <c r="E9286" t="s">
        <v>57638</v>
      </c>
      <c r="F9286" t="s">
        <v>57639</v>
      </c>
      <c r="G9286" t="s">
        <v>57640</v>
      </c>
      <c r="H9286" t="e" vm="4000">
        <f>_FV(0,"059356761816053594")</f>
        <v>#VALUE!</v>
      </c>
      <c r="I9286" t="s">
        <v>57641</v>
      </c>
      <c r="J9286" t="s">
        <v>57642</v>
      </c>
      <c r="K9286" t="s">
        <v>57643</v>
      </c>
      <c r="L9286" t="s">
        <v>57637</v>
      </c>
    </row>
    <row r="9287" spans="1:12" x14ac:dyDescent="0.25">
      <c r="A9287">
        <v>1753813</v>
      </c>
      <c r="B9287">
        <v>1753845</v>
      </c>
      <c r="D9287">
        <v>0</v>
      </c>
      <c r="E9287" t="s">
        <v>57645</v>
      </c>
      <c r="F9287" t="s">
        <v>57646</v>
      </c>
      <c r="G9287" t="s">
        <v>57647</v>
      </c>
      <c r="H9287" t="s">
        <v>57648</v>
      </c>
      <c r="I9287" t="s">
        <v>57649</v>
      </c>
      <c r="J9287" t="s">
        <v>57644</v>
      </c>
      <c r="K9287" t="s">
        <v>57650</v>
      </c>
      <c r="L9287" t="s">
        <v>57644</v>
      </c>
    </row>
    <row r="9288" spans="1:12" x14ac:dyDescent="0.25">
      <c r="A9288">
        <v>1753813</v>
      </c>
      <c r="B9288">
        <v>1753832</v>
      </c>
      <c r="D9288">
        <v>0</v>
      </c>
      <c r="E9288" t="s">
        <v>57652</v>
      </c>
      <c r="F9288" t="s">
        <v>57653</v>
      </c>
      <c r="G9288" t="s">
        <v>57654</v>
      </c>
      <c r="H9288" t="e" vm="4001">
        <f>_FV(0,"017104041134717436")</f>
        <v>#VALUE!</v>
      </c>
      <c r="I9288" t="s">
        <v>57655</v>
      </c>
      <c r="J9288" t="s">
        <v>27946</v>
      </c>
      <c r="K9288" t="s">
        <v>57656</v>
      </c>
      <c r="L9288" t="s">
        <v>57651</v>
      </c>
    </row>
    <row r="9289" spans="1:12" x14ac:dyDescent="0.25">
      <c r="A9289">
        <v>1753826</v>
      </c>
      <c r="B9289">
        <v>1753932</v>
      </c>
      <c r="D9289" t="s">
        <v>8934</v>
      </c>
      <c r="E9289" t="s">
        <v>57658</v>
      </c>
      <c r="F9289" t="s">
        <v>57659</v>
      </c>
      <c r="G9289" t="s">
        <v>57660</v>
      </c>
      <c r="H9289" t="e" vm="4002">
        <f>_FV(0,"03503292153136329")</f>
        <v>#VALUE!</v>
      </c>
      <c r="I9289" t="s">
        <v>57661</v>
      </c>
      <c r="J9289" t="s">
        <v>57662</v>
      </c>
      <c r="K9289" t="s">
        <v>57663</v>
      </c>
      <c r="L9289" t="s">
        <v>57657</v>
      </c>
    </row>
    <row r="9290" spans="1:12" x14ac:dyDescent="0.25">
      <c r="A9290">
        <v>1753826</v>
      </c>
      <c r="B9290">
        <v>1753914</v>
      </c>
      <c r="D9290">
        <v>0</v>
      </c>
      <c r="E9290" t="s">
        <v>57665</v>
      </c>
      <c r="F9290" t="s">
        <v>57666</v>
      </c>
      <c r="G9290" t="s">
        <v>57667</v>
      </c>
      <c r="H9290" t="e" vm="4003">
        <f>_FV(0,"13423603459988837")</f>
        <v>#VALUE!</v>
      </c>
      <c r="I9290" t="s">
        <v>57668</v>
      </c>
      <c r="J9290" t="s">
        <v>57669</v>
      </c>
      <c r="K9290" t="s">
        <v>57670</v>
      </c>
      <c r="L9290" t="s">
        <v>57664</v>
      </c>
    </row>
    <row r="9291" spans="1:12" x14ac:dyDescent="0.25">
      <c r="A9291">
        <v>1753832</v>
      </c>
      <c r="B9291">
        <v>1753909</v>
      </c>
      <c r="D9291">
        <v>0</v>
      </c>
      <c r="E9291" t="s">
        <v>57672</v>
      </c>
      <c r="F9291" t="s">
        <v>57673</v>
      </c>
      <c r="G9291" t="s">
        <v>57674</v>
      </c>
      <c r="H9291" t="e" vm="4004">
        <f>_FV(0,"047813543350841814")</f>
        <v>#VALUE!</v>
      </c>
      <c r="I9291" t="s">
        <v>57675</v>
      </c>
      <c r="J9291" t="s">
        <v>57676</v>
      </c>
      <c r="K9291" t="s">
        <v>57677</v>
      </c>
      <c r="L9291" t="s">
        <v>57671</v>
      </c>
    </row>
    <row r="9292" spans="1:12" x14ac:dyDescent="0.25">
      <c r="A9292">
        <v>1753832</v>
      </c>
      <c r="B9292">
        <v>1790721</v>
      </c>
      <c r="C9292" t="s">
        <v>57679</v>
      </c>
      <c r="D9292" t="s">
        <v>57680</v>
      </c>
      <c r="E9292" t="s">
        <v>57681</v>
      </c>
      <c r="F9292" t="s">
        <v>57682</v>
      </c>
      <c r="G9292" t="s">
        <v>57683</v>
      </c>
      <c r="H9292" t="s">
        <v>57684</v>
      </c>
      <c r="I9292" t="s">
        <v>57685</v>
      </c>
      <c r="J9292" t="s">
        <v>57686</v>
      </c>
      <c r="K9292" t="s">
        <v>57687</v>
      </c>
      <c r="L9292" t="s">
        <v>57678</v>
      </c>
    </row>
    <row r="9293" spans="1:12" x14ac:dyDescent="0.25">
      <c r="A9293">
        <v>1753845</v>
      </c>
      <c r="B9293">
        <v>1757592</v>
      </c>
      <c r="D9293">
        <v>0</v>
      </c>
      <c r="E9293" t="s">
        <v>57689</v>
      </c>
      <c r="F9293" t="s">
        <v>57690</v>
      </c>
      <c r="G9293" t="s">
        <v>57691</v>
      </c>
      <c r="H9293" t="s">
        <v>57692</v>
      </c>
      <c r="I9293" t="s">
        <v>57693</v>
      </c>
      <c r="J9293" t="s">
        <v>57694</v>
      </c>
      <c r="K9293" t="s">
        <v>57695</v>
      </c>
      <c r="L9293" t="s">
        <v>57688</v>
      </c>
    </row>
    <row r="9294" spans="1:12" x14ac:dyDescent="0.25">
      <c r="A9294">
        <v>1753845</v>
      </c>
      <c r="B9294">
        <v>1753914</v>
      </c>
      <c r="D9294">
        <v>0</v>
      </c>
      <c r="F9294">
        <v>2007808</v>
      </c>
      <c r="G9294">
        <v>1753845</v>
      </c>
      <c r="H9294" t="s">
        <v>57696</v>
      </c>
      <c r="I9294">
        <v>1753914</v>
      </c>
      <c r="J9294" t="s">
        <v>57696</v>
      </c>
      <c r="K9294" t="s">
        <v>57697</v>
      </c>
      <c r="L9294" t="s">
        <v>57696</v>
      </c>
    </row>
    <row r="9295" spans="1:12" x14ac:dyDescent="0.25">
      <c r="A9295">
        <v>1753847</v>
      </c>
      <c r="B9295">
        <v>1753865</v>
      </c>
      <c r="D9295">
        <v>0</v>
      </c>
      <c r="F9295">
        <v>2000977</v>
      </c>
      <c r="G9295">
        <v>1753865</v>
      </c>
      <c r="H9295" t="e" vm="2873">
        <f>_FV(0,"077")</f>
        <v>#VALUE!</v>
      </c>
      <c r="I9295">
        <v>1753847</v>
      </c>
      <c r="J9295" t="s">
        <v>31924</v>
      </c>
      <c r="K9295" t="s">
        <v>57698</v>
      </c>
      <c r="L9295" t="e" vm="2873">
        <f>_FV(0,"077")</f>
        <v>#VALUE!</v>
      </c>
    </row>
    <row r="9296" spans="1:12" x14ac:dyDescent="0.25">
      <c r="A9296">
        <v>1753847</v>
      </c>
      <c r="B9296">
        <v>1753855</v>
      </c>
      <c r="D9296">
        <v>0</v>
      </c>
      <c r="E9296" t="s">
        <v>57700</v>
      </c>
      <c r="F9296" t="s">
        <v>57701</v>
      </c>
      <c r="G9296" t="s">
        <v>57702</v>
      </c>
      <c r="H9296" t="s">
        <v>57703</v>
      </c>
      <c r="I9296" t="s">
        <v>57704</v>
      </c>
      <c r="J9296" t="s">
        <v>57699</v>
      </c>
      <c r="K9296" t="s">
        <v>57705</v>
      </c>
      <c r="L9296" t="s">
        <v>57699</v>
      </c>
    </row>
    <row r="9297" spans="1:12" x14ac:dyDescent="0.25">
      <c r="A9297">
        <v>1753847</v>
      </c>
      <c r="B9297">
        <v>1753857</v>
      </c>
      <c r="D9297" t="s">
        <v>18083</v>
      </c>
      <c r="E9297" t="s">
        <v>57707</v>
      </c>
      <c r="F9297" t="s">
        <v>57708</v>
      </c>
      <c r="G9297" t="s">
        <v>57709</v>
      </c>
      <c r="H9297" t="s">
        <v>57710</v>
      </c>
      <c r="I9297" t="s">
        <v>57711</v>
      </c>
      <c r="J9297" t="s">
        <v>57712</v>
      </c>
      <c r="K9297" t="s">
        <v>57713</v>
      </c>
      <c r="L9297" t="s">
        <v>57706</v>
      </c>
    </row>
    <row r="9298" spans="1:12" x14ac:dyDescent="0.25">
      <c r="A9298">
        <v>1753855</v>
      </c>
      <c r="B9298">
        <v>1753909</v>
      </c>
      <c r="D9298" t="s">
        <v>330</v>
      </c>
      <c r="E9298" t="s">
        <v>57715</v>
      </c>
      <c r="F9298" t="s">
        <v>57716</v>
      </c>
      <c r="G9298" t="s">
        <v>57717</v>
      </c>
      <c r="H9298" t="s">
        <v>57718</v>
      </c>
      <c r="I9298" t="s">
        <v>57719</v>
      </c>
      <c r="J9298" t="s">
        <v>57714</v>
      </c>
      <c r="K9298" t="s">
        <v>57720</v>
      </c>
      <c r="L9298" t="s">
        <v>57714</v>
      </c>
    </row>
    <row r="9299" spans="1:12" x14ac:dyDescent="0.25">
      <c r="A9299">
        <v>1753855</v>
      </c>
      <c r="B9299">
        <v>1753865</v>
      </c>
      <c r="D9299">
        <v>0</v>
      </c>
      <c r="E9299" t="s">
        <v>57722</v>
      </c>
      <c r="F9299" t="s">
        <v>57723</v>
      </c>
      <c r="G9299" t="s">
        <v>57724</v>
      </c>
      <c r="H9299" t="s">
        <v>57725</v>
      </c>
      <c r="I9299" t="s">
        <v>57726</v>
      </c>
      <c r="J9299" t="s">
        <v>57721</v>
      </c>
      <c r="K9299" t="s">
        <v>57727</v>
      </c>
      <c r="L9299" t="s">
        <v>57721</v>
      </c>
    </row>
    <row r="9300" spans="1:12" x14ac:dyDescent="0.25">
      <c r="A9300">
        <v>1753857</v>
      </c>
      <c r="B9300">
        <v>1753932</v>
      </c>
      <c r="D9300">
        <v>1</v>
      </c>
      <c r="F9300">
        <v>2060321</v>
      </c>
      <c r="G9300">
        <v>1753932</v>
      </c>
      <c r="H9300" t="e" vm="109">
        <f>_FV(0,"01")</f>
        <v>#VALUE!</v>
      </c>
      <c r="I9300">
        <v>1753857</v>
      </c>
      <c r="J9300" t="s">
        <v>761</v>
      </c>
      <c r="K9300" t="s">
        <v>57728</v>
      </c>
      <c r="L9300" t="e" vm="109">
        <f>_FV(0,"01")</f>
        <v>#VALUE!</v>
      </c>
    </row>
    <row r="9301" spans="1:12" x14ac:dyDescent="0.25">
      <c r="A9301">
        <v>1753857</v>
      </c>
      <c r="B9301">
        <v>1753909</v>
      </c>
      <c r="D9301" t="s">
        <v>57730</v>
      </c>
      <c r="E9301" t="s">
        <v>57731</v>
      </c>
      <c r="F9301" t="s">
        <v>57732</v>
      </c>
      <c r="G9301" t="s">
        <v>57733</v>
      </c>
      <c r="H9301" t="e" vm="4005">
        <f>_FV(0,"03402190579865467")</f>
        <v>#VALUE!</v>
      </c>
      <c r="I9301" t="s">
        <v>57734</v>
      </c>
      <c r="J9301" t="s">
        <v>57735</v>
      </c>
      <c r="K9301" t="s">
        <v>57736</v>
      </c>
      <c r="L9301" t="s">
        <v>57729</v>
      </c>
    </row>
    <row r="9302" spans="1:12" x14ac:dyDescent="0.25">
      <c r="A9302">
        <v>1753986</v>
      </c>
      <c r="B9302">
        <v>1754004</v>
      </c>
      <c r="D9302">
        <v>0</v>
      </c>
      <c r="E9302" t="s">
        <v>57738</v>
      </c>
      <c r="F9302" t="s">
        <v>57739</v>
      </c>
      <c r="G9302" t="s">
        <v>57740</v>
      </c>
      <c r="H9302" t="e" vm="4006">
        <f>_FV(0,"002498737556180464")</f>
        <v>#VALUE!</v>
      </c>
      <c r="I9302" t="s">
        <v>57741</v>
      </c>
      <c r="J9302" t="s">
        <v>57742</v>
      </c>
      <c r="K9302" t="s">
        <v>57743</v>
      </c>
      <c r="L9302" t="s">
        <v>57737</v>
      </c>
    </row>
    <row r="9303" spans="1:12" x14ac:dyDescent="0.25">
      <c r="A9303">
        <v>1753986</v>
      </c>
      <c r="B9303">
        <v>1754042</v>
      </c>
      <c r="D9303">
        <v>0</v>
      </c>
      <c r="E9303" t="s">
        <v>57745</v>
      </c>
      <c r="F9303" t="s">
        <v>57746</v>
      </c>
      <c r="G9303" t="s">
        <v>57747</v>
      </c>
      <c r="H9303" t="e" vm="4007">
        <f>_FV(0,"0039692112632427655")</f>
        <v>#VALUE!</v>
      </c>
      <c r="I9303" t="s">
        <v>57748</v>
      </c>
      <c r="J9303" t="s">
        <v>41206</v>
      </c>
      <c r="K9303" t="s">
        <v>57749</v>
      </c>
      <c r="L9303" t="s">
        <v>57744</v>
      </c>
    </row>
    <row r="9304" spans="1:12" x14ac:dyDescent="0.25">
      <c r="A9304">
        <v>1753986</v>
      </c>
      <c r="B9304">
        <v>1754016</v>
      </c>
      <c r="D9304">
        <v>0</v>
      </c>
      <c r="F9304">
        <v>2060807</v>
      </c>
      <c r="G9304">
        <v>1753986</v>
      </c>
      <c r="H9304" t="s">
        <v>226</v>
      </c>
      <c r="I9304">
        <v>1754016</v>
      </c>
      <c r="J9304" t="s">
        <v>226</v>
      </c>
      <c r="K9304" t="s">
        <v>57750</v>
      </c>
      <c r="L9304" t="s">
        <v>226</v>
      </c>
    </row>
    <row r="9305" spans="1:12" x14ac:dyDescent="0.25">
      <c r="A9305">
        <v>1754004</v>
      </c>
      <c r="B9305">
        <v>1757693</v>
      </c>
      <c r="D9305">
        <v>0</v>
      </c>
      <c r="F9305">
        <v>2007944</v>
      </c>
      <c r="G9305">
        <v>1757693</v>
      </c>
      <c r="H9305" t="s">
        <v>57751</v>
      </c>
      <c r="I9305">
        <v>1754004</v>
      </c>
      <c r="J9305" t="s">
        <v>57751</v>
      </c>
      <c r="K9305" t="s">
        <v>57752</v>
      </c>
      <c r="L9305" t="s">
        <v>57751</v>
      </c>
    </row>
    <row r="9306" spans="1:12" x14ac:dyDescent="0.25">
      <c r="A9306">
        <v>1754004</v>
      </c>
      <c r="B9306">
        <v>1754026</v>
      </c>
      <c r="D9306">
        <v>0</v>
      </c>
      <c r="F9306">
        <v>2007936</v>
      </c>
      <c r="G9306">
        <v>1754004</v>
      </c>
      <c r="H9306" t="e" vm="201">
        <f>_FV(0,"002")</f>
        <v>#VALUE!</v>
      </c>
      <c r="I9306">
        <v>1754026</v>
      </c>
      <c r="J9306" t="s">
        <v>1534</v>
      </c>
      <c r="K9306" t="s">
        <v>57753</v>
      </c>
      <c r="L9306" t="e" vm="201">
        <f>_FV(0,"002")</f>
        <v>#VALUE!</v>
      </c>
    </row>
    <row r="9307" spans="1:12" x14ac:dyDescent="0.25">
      <c r="A9307">
        <v>1754009</v>
      </c>
      <c r="B9307">
        <v>1754057</v>
      </c>
      <c r="C9307" t="s">
        <v>57754</v>
      </c>
      <c r="D9307">
        <v>0</v>
      </c>
      <c r="F9307">
        <v>2050408</v>
      </c>
      <c r="G9307">
        <v>1754057</v>
      </c>
      <c r="H9307" t="s">
        <v>1333</v>
      </c>
      <c r="I9307">
        <v>1754009</v>
      </c>
      <c r="J9307" t="s">
        <v>1333</v>
      </c>
      <c r="K9307" t="s">
        <v>57755</v>
      </c>
      <c r="L9307" t="s">
        <v>1333</v>
      </c>
    </row>
    <row r="9308" spans="1:12" x14ac:dyDescent="0.25">
      <c r="A9308">
        <v>1754009</v>
      </c>
      <c r="B9308">
        <v>1754016</v>
      </c>
      <c r="D9308">
        <v>0</v>
      </c>
      <c r="E9308" t="s">
        <v>57757</v>
      </c>
      <c r="F9308" t="s">
        <v>57758</v>
      </c>
      <c r="G9308" t="s">
        <v>57759</v>
      </c>
      <c r="H9308" t="s">
        <v>57760</v>
      </c>
      <c r="I9308" t="s">
        <v>57761</v>
      </c>
      <c r="J9308" t="s">
        <v>57756</v>
      </c>
      <c r="K9308" t="s">
        <v>57762</v>
      </c>
      <c r="L9308" t="s">
        <v>57756</v>
      </c>
    </row>
    <row r="9309" spans="1:12" x14ac:dyDescent="0.25">
      <c r="A9309">
        <v>1754009</v>
      </c>
      <c r="B9309">
        <v>1765725</v>
      </c>
      <c r="D9309">
        <v>0</v>
      </c>
      <c r="E9309" t="s">
        <v>57764</v>
      </c>
      <c r="F9309" t="s">
        <v>57765</v>
      </c>
      <c r="G9309" t="s">
        <v>57766</v>
      </c>
      <c r="H9309" t="e" vm="4008">
        <f>_FV(0,"08428125955048102")</f>
        <v>#VALUE!</v>
      </c>
      <c r="I9309" t="s">
        <v>57767</v>
      </c>
      <c r="J9309" t="s">
        <v>57768</v>
      </c>
      <c r="K9309" t="s">
        <v>57769</v>
      </c>
      <c r="L9309" t="s">
        <v>57763</v>
      </c>
    </row>
    <row r="9310" spans="1:12" x14ac:dyDescent="0.25">
      <c r="A9310">
        <v>1754026</v>
      </c>
      <c r="B9310">
        <v>1754035</v>
      </c>
      <c r="D9310">
        <v>0</v>
      </c>
      <c r="E9310" t="s">
        <v>57771</v>
      </c>
      <c r="F9310" t="s">
        <v>57772</v>
      </c>
      <c r="G9310" t="s">
        <v>57773</v>
      </c>
      <c r="H9310" t="s">
        <v>57774</v>
      </c>
      <c r="I9310" t="s">
        <v>57775</v>
      </c>
      <c r="J9310" t="s">
        <v>57776</v>
      </c>
      <c r="K9310" t="s">
        <v>57777</v>
      </c>
      <c r="L9310" t="s">
        <v>57770</v>
      </c>
    </row>
    <row r="9311" spans="1:12" x14ac:dyDescent="0.25">
      <c r="A9311">
        <v>1754026</v>
      </c>
      <c r="B9311">
        <v>1757665</v>
      </c>
      <c r="D9311">
        <v>0</v>
      </c>
      <c r="E9311" t="s">
        <v>57779</v>
      </c>
      <c r="F9311" t="s">
        <v>57780</v>
      </c>
      <c r="G9311" t="s">
        <v>57781</v>
      </c>
      <c r="H9311" t="e" vm="4009">
        <f>_FV(0,"07061752591261203")</f>
        <v>#VALUE!</v>
      </c>
      <c r="I9311" t="s">
        <v>57782</v>
      </c>
      <c r="J9311" t="s">
        <v>57783</v>
      </c>
      <c r="K9311" t="s">
        <v>57784</v>
      </c>
      <c r="L9311" t="s">
        <v>57778</v>
      </c>
    </row>
    <row r="9312" spans="1:12" x14ac:dyDescent="0.25">
      <c r="A9312">
        <v>1754035</v>
      </c>
      <c r="B9312">
        <v>1761221</v>
      </c>
      <c r="D9312">
        <v>0</v>
      </c>
      <c r="E9312" t="s">
        <v>57786</v>
      </c>
      <c r="F9312" t="s">
        <v>57787</v>
      </c>
      <c r="G9312" t="s">
        <v>57788</v>
      </c>
      <c r="H9312" t="s">
        <v>57789</v>
      </c>
      <c r="I9312" t="s">
        <v>57790</v>
      </c>
      <c r="J9312" t="s">
        <v>57791</v>
      </c>
      <c r="K9312" t="s">
        <v>57792</v>
      </c>
      <c r="L9312" t="s">
        <v>57785</v>
      </c>
    </row>
    <row r="9313" spans="1:12" x14ac:dyDescent="0.25">
      <c r="A9313">
        <v>1754035</v>
      </c>
      <c r="B9313">
        <v>1754042</v>
      </c>
      <c r="D9313">
        <v>0</v>
      </c>
      <c r="E9313" t="s">
        <v>57794</v>
      </c>
      <c r="F9313" t="s">
        <v>57795</v>
      </c>
      <c r="G9313" t="s">
        <v>57796</v>
      </c>
      <c r="H9313" t="s">
        <v>57797</v>
      </c>
      <c r="I9313" t="s">
        <v>57798</v>
      </c>
      <c r="J9313" t="s">
        <v>57799</v>
      </c>
      <c r="K9313" t="s">
        <v>57800</v>
      </c>
      <c r="L9313" t="s">
        <v>57793</v>
      </c>
    </row>
    <row r="9314" spans="1:12" x14ac:dyDescent="0.25">
      <c r="A9314">
        <v>1754042</v>
      </c>
      <c r="B9314">
        <v>1754057</v>
      </c>
      <c r="C9314" t="s">
        <v>57802</v>
      </c>
      <c r="D9314">
        <v>0</v>
      </c>
      <c r="E9314" t="s">
        <v>57803</v>
      </c>
      <c r="F9314" t="s">
        <v>57804</v>
      </c>
      <c r="G9314" t="s">
        <v>57805</v>
      </c>
      <c r="H9314" t="e" vm="4010">
        <f>_FV(0,"004991470695109962")</f>
        <v>#VALUE!</v>
      </c>
      <c r="I9314" t="s">
        <v>57806</v>
      </c>
      <c r="J9314" t="s">
        <v>57807</v>
      </c>
      <c r="K9314" t="s">
        <v>57808</v>
      </c>
      <c r="L9314" t="s">
        <v>57801</v>
      </c>
    </row>
    <row r="9315" spans="1:12" x14ac:dyDescent="0.25">
      <c r="A9315">
        <v>1754058</v>
      </c>
      <c r="B9315">
        <v>1754071</v>
      </c>
      <c r="D9315">
        <v>0</v>
      </c>
      <c r="E9315" t="s">
        <v>57810</v>
      </c>
      <c r="F9315" t="s">
        <v>57811</v>
      </c>
      <c r="G9315" t="s">
        <v>57812</v>
      </c>
      <c r="H9315" t="e" vm="4011">
        <f>_FV(0,"013163769580853947")</f>
        <v>#VALUE!</v>
      </c>
      <c r="I9315" t="s">
        <v>57813</v>
      </c>
      <c r="J9315" t="s">
        <v>57814</v>
      </c>
      <c r="K9315" t="s">
        <v>57815</v>
      </c>
      <c r="L9315" t="s">
        <v>57809</v>
      </c>
    </row>
    <row r="9316" spans="1:12" x14ac:dyDescent="0.25">
      <c r="A9316">
        <v>1754058</v>
      </c>
      <c r="B9316">
        <v>1754075</v>
      </c>
      <c r="D9316">
        <v>0</v>
      </c>
      <c r="E9316" t="s">
        <v>57817</v>
      </c>
      <c r="F9316" t="s">
        <v>57818</v>
      </c>
      <c r="G9316" t="s">
        <v>57819</v>
      </c>
      <c r="H9316" t="e" vm="4012">
        <f>_FV(0,"0017469925472137552")</f>
        <v>#VALUE!</v>
      </c>
      <c r="I9316" t="s">
        <v>57820</v>
      </c>
      <c r="J9316" t="s">
        <v>57821</v>
      </c>
      <c r="K9316" t="s">
        <v>57822</v>
      </c>
      <c r="L9316" t="s">
        <v>57816</v>
      </c>
    </row>
    <row r="9317" spans="1:12" x14ac:dyDescent="0.25">
      <c r="A9317">
        <v>1754058</v>
      </c>
      <c r="B9317">
        <v>1754129</v>
      </c>
      <c r="D9317">
        <v>0</v>
      </c>
      <c r="F9317">
        <v>2061928</v>
      </c>
      <c r="G9317">
        <v>1754058</v>
      </c>
      <c r="H9317" t="s">
        <v>1687</v>
      </c>
      <c r="I9317">
        <v>1754129</v>
      </c>
      <c r="J9317" t="s">
        <v>1687</v>
      </c>
      <c r="K9317" t="s">
        <v>57823</v>
      </c>
      <c r="L9317" t="s">
        <v>1687</v>
      </c>
    </row>
    <row r="9318" spans="1:12" x14ac:dyDescent="0.25">
      <c r="A9318">
        <v>1754071</v>
      </c>
      <c r="B9318">
        <v>1754133</v>
      </c>
      <c r="D9318">
        <v>0</v>
      </c>
      <c r="F9318">
        <v>2008048</v>
      </c>
      <c r="G9318">
        <v>1754071</v>
      </c>
      <c r="H9318" t="s">
        <v>2916</v>
      </c>
      <c r="I9318">
        <v>1754133</v>
      </c>
      <c r="J9318" t="s">
        <v>2916</v>
      </c>
      <c r="K9318" t="s">
        <v>57824</v>
      </c>
      <c r="L9318" t="s">
        <v>2916</v>
      </c>
    </row>
    <row r="9319" spans="1:12" x14ac:dyDescent="0.25">
      <c r="A9319">
        <v>1754075</v>
      </c>
      <c r="B9319">
        <v>1754147</v>
      </c>
      <c r="D9319">
        <v>0</v>
      </c>
      <c r="F9319">
        <v>2061960</v>
      </c>
      <c r="G9319">
        <v>1754147</v>
      </c>
      <c r="H9319" t="e" vm="4013">
        <f>_FV(0,"095")</f>
        <v>#VALUE!</v>
      </c>
      <c r="I9319">
        <v>1754075</v>
      </c>
      <c r="J9319" t="s">
        <v>26408</v>
      </c>
      <c r="K9319" t="s">
        <v>57825</v>
      </c>
      <c r="L9319" t="e" vm="4013">
        <f>_FV(0,"095")</f>
        <v>#VALUE!</v>
      </c>
    </row>
    <row r="9320" spans="1:12" x14ac:dyDescent="0.25">
      <c r="A9320">
        <v>1754075</v>
      </c>
      <c r="B9320">
        <v>1754098</v>
      </c>
      <c r="D9320">
        <v>0</v>
      </c>
      <c r="E9320" t="s">
        <v>57827</v>
      </c>
      <c r="F9320" t="s">
        <v>57828</v>
      </c>
      <c r="G9320" t="s">
        <v>57829</v>
      </c>
      <c r="H9320" t="s">
        <v>57830</v>
      </c>
      <c r="I9320" t="s">
        <v>57831</v>
      </c>
      <c r="J9320" t="s">
        <v>57832</v>
      </c>
      <c r="K9320" t="s">
        <v>57833</v>
      </c>
      <c r="L9320" t="s">
        <v>57826</v>
      </c>
    </row>
    <row r="9321" spans="1:12" x14ac:dyDescent="0.25">
      <c r="A9321">
        <v>1754098</v>
      </c>
      <c r="B9321">
        <v>1754129</v>
      </c>
      <c r="D9321">
        <v>0</v>
      </c>
      <c r="E9321" t="s">
        <v>57835</v>
      </c>
      <c r="F9321" t="s">
        <v>57836</v>
      </c>
      <c r="G9321" t="s">
        <v>57837</v>
      </c>
      <c r="H9321" t="e" vm="4014">
        <f>_FV(0,"056241143849950735")</f>
        <v>#VALUE!</v>
      </c>
      <c r="I9321" t="s">
        <v>57838</v>
      </c>
      <c r="J9321" t="s">
        <v>57839</v>
      </c>
      <c r="K9321" t="s">
        <v>57840</v>
      </c>
      <c r="L9321" t="s">
        <v>57834</v>
      </c>
    </row>
    <row r="9322" spans="1:12" x14ac:dyDescent="0.25">
      <c r="A9322">
        <v>1754133</v>
      </c>
      <c r="B9322">
        <v>1754147</v>
      </c>
      <c r="D9322">
        <v>0</v>
      </c>
      <c r="E9322" t="s">
        <v>57842</v>
      </c>
      <c r="F9322" t="s">
        <v>57843</v>
      </c>
      <c r="G9322" t="s">
        <v>57844</v>
      </c>
      <c r="H9322" t="s">
        <v>57845</v>
      </c>
      <c r="I9322" t="s">
        <v>57846</v>
      </c>
      <c r="J9322" t="s">
        <v>57847</v>
      </c>
      <c r="K9322" t="s">
        <v>57848</v>
      </c>
      <c r="L9322" t="s">
        <v>57841</v>
      </c>
    </row>
    <row r="9323" spans="1:12" x14ac:dyDescent="0.25">
      <c r="A9323">
        <v>1754133</v>
      </c>
      <c r="B9323">
        <v>1757718</v>
      </c>
      <c r="D9323">
        <v>0</v>
      </c>
      <c r="E9323" t="s">
        <v>57850</v>
      </c>
      <c r="F9323" t="s">
        <v>57851</v>
      </c>
      <c r="G9323" t="s">
        <v>57852</v>
      </c>
      <c r="H9323" t="e" vm="4015">
        <f>_FV(0,"0074456642880715235")</f>
        <v>#VALUE!</v>
      </c>
      <c r="I9323" t="s">
        <v>57853</v>
      </c>
      <c r="J9323" t="s">
        <v>57854</v>
      </c>
      <c r="K9323" t="s">
        <v>57855</v>
      </c>
      <c r="L9323" t="s">
        <v>57849</v>
      </c>
    </row>
    <row r="9324" spans="1:12" x14ac:dyDescent="0.25">
      <c r="A9324">
        <v>1754151</v>
      </c>
      <c r="B9324">
        <v>1754161</v>
      </c>
      <c r="D9324">
        <v>0</v>
      </c>
      <c r="E9324" t="s">
        <v>57857</v>
      </c>
      <c r="F9324" t="s">
        <v>57858</v>
      </c>
      <c r="G9324" t="s">
        <v>57859</v>
      </c>
      <c r="H9324" t="s">
        <v>57860</v>
      </c>
      <c r="I9324" t="s">
        <v>57861</v>
      </c>
      <c r="J9324" t="s">
        <v>28226</v>
      </c>
      <c r="K9324" t="s">
        <v>57862</v>
      </c>
      <c r="L9324" t="s">
        <v>57856</v>
      </c>
    </row>
    <row r="9325" spans="1:12" x14ac:dyDescent="0.25">
      <c r="A9325">
        <v>1754161</v>
      </c>
      <c r="B9325">
        <v>1754182</v>
      </c>
      <c r="D9325">
        <v>0</v>
      </c>
      <c r="F9325">
        <v>2066051</v>
      </c>
      <c r="G9325">
        <v>1754182</v>
      </c>
      <c r="H9325" t="e" vm="1334">
        <f>_FV(0,"074")</f>
        <v>#VALUE!</v>
      </c>
      <c r="I9325">
        <v>1754161</v>
      </c>
      <c r="J9325" t="s">
        <v>19206</v>
      </c>
      <c r="K9325" t="s">
        <v>57863</v>
      </c>
      <c r="L9325" t="e" vm="1334">
        <f>_FV(0,"074")</f>
        <v>#VALUE!</v>
      </c>
    </row>
    <row r="9326" spans="1:12" x14ac:dyDescent="0.25">
      <c r="A9326">
        <v>1754182</v>
      </c>
      <c r="B9326">
        <v>1754195</v>
      </c>
      <c r="D9326" t="s">
        <v>514</v>
      </c>
      <c r="E9326" t="s">
        <v>57865</v>
      </c>
      <c r="F9326" t="s">
        <v>57866</v>
      </c>
      <c r="G9326" t="s">
        <v>57867</v>
      </c>
      <c r="H9326" t="e" vm="4016">
        <f>_FV(0,"02802179433550115")</f>
        <v>#VALUE!</v>
      </c>
      <c r="I9326" t="s">
        <v>57868</v>
      </c>
      <c r="J9326" t="s">
        <v>57869</v>
      </c>
      <c r="K9326" t="s">
        <v>57870</v>
      </c>
      <c r="L9326" t="s">
        <v>57864</v>
      </c>
    </row>
    <row r="9327" spans="1:12" x14ac:dyDescent="0.25">
      <c r="A9327">
        <v>1754230</v>
      </c>
      <c r="B9327">
        <v>1754266</v>
      </c>
      <c r="D9327">
        <v>0</v>
      </c>
      <c r="E9327" t="s">
        <v>57872</v>
      </c>
      <c r="F9327" t="s">
        <v>57873</v>
      </c>
      <c r="G9327" t="s">
        <v>57874</v>
      </c>
      <c r="H9327" t="s">
        <v>57875</v>
      </c>
      <c r="I9327" t="s">
        <v>57876</v>
      </c>
      <c r="J9327" t="s">
        <v>57877</v>
      </c>
      <c r="K9327" t="s">
        <v>57878</v>
      </c>
      <c r="L9327" t="s">
        <v>57871</v>
      </c>
    </row>
    <row r="9328" spans="1:12" x14ac:dyDescent="0.25">
      <c r="A9328">
        <v>1754230</v>
      </c>
      <c r="B9328">
        <v>1754253</v>
      </c>
      <c r="D9328">
        <v>0</v>
      </c>
      <c r="F9328">
        <v>2007408</v>
      </c>
      <c r="G9328">
        <v>1754230</v>
      </c>
      <c r="H9328" t="s">
        <v>1333</v>
      </c>
      <c r="I9328">
        <v>1754253</v>
      </c>
      <c r="J9328" t="s">
        <v>1333</v>
      </c>
      <c r="K9328" t="s">
        <v>57879</v>
      </c>
      <c r="L9328" t="s">
        <v>1333</v>
      </c>
    </row>
    <row r="9329" spans="1:12" x14ac:dyDescent="0.25">
      <c r="A9329">
        <v>1754232</v>
      </c>
      <c r="B9329">
        <v>1754247</v>
      </c>
      <c r="D9329">
        <v>0</v>
      </c>
      <c r="F9329">
        <v>2001798</v>
      </c>
      <c r="G9329">
        <v>1754247</v>
      </c>
      <c r="H9329" t="s">
        <v>1194</v>
      </c>
      <c r="I9329">
        <v>1754232</v>
      </c>
      <c r="J9329" t="s">
        <v>1194</v>
      </c>
      <c r="K9329" t="s">
        <v>57880</v>
      </c>
      <c r="L9329" t="s">
        <v>1194</v>
      </c>
    </row>
    <row r="9330" spans="1:12" x14ac:dyDescent="0.25">
      <c r="A9330">
        <v>1754232</v>
      </c>
      <c r="B9330">
        <v>1754247</v>
      </c>
      <c r="D9330">
        <v>0</v>
      </c>
      <c r="E9330" t="s">
        <v>57882</v>
      </c>
      <c r="F9330" t="s">
        <v>57883</v>
      </c>
      <c r="G9330" t="s">
        <v>57884</v>
      </c>
      <c r="H9330" t="s">
        <v>57885</v>
      </c>
      <c r="I9330" t="s">
        <v>57886</v>
      </c>
      <c r="J9330" t="s">
        <v>57881</v>
      </c>
      <c r="K9330" t="s">
        <v>57887</v>
      </c>
      <c r="L9330" t="s">
        <v>57881</v>
      </c>
    </row>
    <row r="9331" spans="1:12" x14ac:dyDescent="0.25">
      <c r="A9331">
        <v>1754232</v>
      </c>
      <c r="B9331">
        <v>1754266</v>
      </c>
      <c r="D9331">
        <v>0</v>
      </c>
      <c r="F9331">
        <v>2001790</v>
      </c>
      <c r="G9331">
        <v>1754232</v>
      </c>
      <c r="H9331" t="s">
        <v>4848</v>
      </c>
      <c r="I9331">
        <v>1754266</v>
      </c>
      <c r="J9331" t="s">
        <v>4848</v>
      </c>
      <c r="K9331" t="s">
        <v>57888</v>
      </c>
      <c r="L9331" t="s">
        <v>4848</v>
      </c>
    </row>
    <row r="9332" spans="1:12" x14ac:dyDescent="0.25">
      <c r="A9332">
        <v>1754253</v>
      </c>
      <c r="B9332">
        <v>1754284</v>
      </c>
      <c r="D9332">
        <v>0</v>
      </c>
      <c r="E9332" t="s">
        <v>57890</v>
      </c>
      <c r="F9332" t="s">
        <v>57891</v>
      </c>
      <c r="G9332" t="s">
        <v>57892</v>
      </c>
      <c r="H9332" t="e" vm="4017">
        <f>_FV(0,"01361613745960604")</f>
        <v>#VALUE!</v>
      </c>
      <c r="I9332" t="s">
        <v>57893</v>
      </c>
      <c r="J9332" t="s">
        <v>57894</v>
      </c>
      <c r="K9332" t="s">
        <v>57895</v>
      </c>
      <c r="L9332" t="s">
        <v>57889</v>
      </c>
    </row>
    <row r="9333" spans="1:12" x14ac:dyDescent="0.25">
      <c r="A9333">
        <v>1754266</v>
      </c>
      <c r="B9333">
        <v>1754284</v>
      </c>
      <c r="D9333">
        <v>0</v>
      </c>
      <c r="F9333">
        <v>2007368</v>
      </c>
      <c r="G9333">
        <v>1754284</v>
      </c>
      <c r="H9333" t="e" vm="464">
        <f>_FV(0,"05")</f>
        <v>#VALUE!</v>
      </c>
      <c r="I9333">
        <v>1754266</v>
      </c>
      <c r="J9333" t="s">
        <v>6429</v>
      </c>
      <c r="K9333" t="s">
        <v>57896</v>
      </c>
      <c r="L9333" t="e" vm="464">
        <f>_FV(0,"05")</f>
        <v>#VALUE!</v>
      </c>
    </row>
    <row r="9334" spans="1:12" x14ac:dyDescent="0.25">
      <c r="A9334">
        <v>1754274</v>
      </c>
      <c r="B9334">
        <v>1754284</v>
      </c>
      <c r="D9334">
        <v>0</v>
      </c>
      <c r="E9334" t="s">
        <v>57898</v>
      </c>
      <c r="F9334" t="s">
        <v>57899</v>
      </c>
      <c r="G9334" t="s">
        <v>57900</v>
      </c>
      <c r="H9334" t="s">
        <v>57901</v>
      </c>
      <c r="I9334" t="s">
        <v>57902</v>
      </c>
      <c r="J9334" t="s">
        <v>57903</v>
      </c>
      <c r="K9334" t="s">
        <v>57904</v>
      </c>
      <c r="L9334" t="s">
        <v>57897</v>
      </c>
    </row>
    <row r="9335" spans="1:12" x14ac:dyDescent="0.25">
      <c r="A9335">
        <v>1754298</v>
      </c>
      <c r="B9335">
        <v>1762019</v>
      </c>
      <c r="C9335" t="s">
        <v>57906</v>
      </c>
      <c r="D9335">
        <v>0</v>
      </c>
      <c r="E9335" t="s">
        <v>57907</v>
      </c>
      <c r="F9335" t="s">
        <v>57908</v>
      </c>
      <c r="G9335" t="s">
        <v>57909</v>
      </c>
      <c r="H9335" t="s">
        <v>57910</v>
      </c>
      <c r="I9335" t="s">
        <v>57911</v>
      </c>
      <c r="J9335" t="s">
        <v>57912</v>
      </c>
      <c r="K9335" t="s">
        <v>57913</v>
      </c>
      <c r="L9335" t="s">
        <v>57905</v>
      </c>
    </row>
    <row r="9336" spans="1:12" x14ac:dyDescent="0.25">
      <c r="A9336">
        <v>1754298</v>
      </c>
      <c r="B9336">
        <v>1757079</v>
      </c>
      <c r="D9336" t="s">
        <v>514</v>
      </c>
      <c r="E9336" t="s">
        <v>57915</v>
      </c>
      <c r="F9336" t="s">
        <v>57916</v>
      </c>
      <c r="G9336" t="s">
        <v>57917</v>
      </c>
      <c r="H9336" t="e" vm="4018">
        <f>_FV(0,"0008231427711898029")</f>
        <v>#VALUE!</v>
      </c>
      <c r="I9336" t="s">
        <v>57918</v>
      </c>
      <c r="J9336" t="s">
        <v>57919</v>
      </c>
      <c r="K9336" t="s">
        <v>57920</v>
      </c>
      <c r="L9336" t="s">
        <v>57914</v>
      </c>
    </row>
    <row r="9337" spans="1:12" x14ac:dyDescent="0.25">
      <c r="A9337">
        <v>1754301</v>
      </c>
      <c r="B9337">
        <v>1757087</v>
      </c>
      <c r="D9337" t="s">
        <v>4380</v>
      </c>
      <c r="E9337" t="s">
        <v>57922</v>
      </c>
      <c r="F9337" t="s">
        <v>57923</v>
      </c>
      <c r="G9337" t="s">
        <v>57924</v>
      </c>
      <c r="H9337" t="e" vm="4019">
        <f>_FV(0,"006025830767120229")</f>
        <v>#VALUE!</v>
      </c>
      <c r="I9337" t="s">
        <v>57925</v>
      </c>
      <c r="J9337" t="s">
        <v>57926</v>
      </c>
      <c r="K9337" t="s">
        <v>57927</v>
      </c>
      <c r="L9337" t="s">
        <v>57921</v>
      </c>
    </row>
    <row r="9338" spans="1:12" x14ac:dyDescent="0.25">
      <c r="A9338">
        <v>1754301</v>
      </c>
      <c r="B9338">
        <v>1754328</v>
      </c>
      <c r="C9338" t="s">
        <v>57929</v>
      </c>
      <c r="D9338">
        <v>1</v>
      </c>
      <c r="E9338" t="s">
        <v>57930</v>
      </c>
      <c r="F9338" t="s">
        <v>57931</v>
      </c>
      <c r="G9338" t="s">
        <v>57932</v>
      </c>
      <c r="H9338" t="e" vm="4020">
        <f>_FV(0,"012523191899630616")</f>
        <v>#VALUE!</v>
      </c>
      <c r="I9338" t="s">
        <v>57933</v>
      </c>
      <c r="J9338" t="s">
        <v>901</v>
      </c>
      <c r="K9338" t="s">
        <v>57934</v>
      </c>
      <c r="L9338" t="s">
        <v>57928</v>
      </c>
    </row>
    <row r="9339" spans="1:12" x14ac:dyDescent="0.25">
      <c r="A9339">
        <v>1754301</v>
      </c>
      <c r="B9339">
        <v>1757079</v>
      </c>
      <c r="D9339" t="s">
        <v>4181</v>
      </c>
      <c r="E9339" t="s">
        <v>57936</v>
      </c>
      <c r="F9339" t="s">
        <v>57937</v>
      </c>
      <c r="G9339" t="s">
        <v>57938</v>
      </c>
      <c r="H9339" t="s">
        <v>57939</v>
      </c>
      <c r="I9339" t="s">
        <v>57940</v>
      </c>
      <c r="J9339" t="s">
        <v>57941</v>
      </c>
      <c r="K9339" t="s">
        <v>57942</v>
      </c>
      <c r="L9339" t="s">
        <v>57935</v>
      </c>
    </row>
    <row r="9340" spans="1:12" x14ac:dyDescent="0.25">
      <c r="A9340">
        <v>1754321</v>
      </c>
      <c r="B9340">
        <v>1754328</v>
      </c>
      <c r="C9340" t="s">
        <v>57944</v>
      </c>
      <c r="D9340" t="s">
        <v>19055</v>
      </c>
      <c r="E9340" t="s">
        <v>57945</v>
      </c>
      <c r="F9340" t="s">
        <v>57946</v>
      </c>
      <c r="G9340" t="s">
        <v>57947</v>
      </c>
      <c r="H9340" t="e" vm="4021">
        <f>_FV(0,"0008097276933225529")</f>
        <v>#VALUE!</v>
      </c>
      <c r="I9340" t="s">
        <v>57948</v>
      </c>
      <c r="J9340" t="s">
        <v>57949</v>
      </c>
      <c r="K9340" t="s">
        <v>57950</v>
      </c>
      <c r="L9340" t="s">
        <v>57943</v>
      </c>
    </row>
    <row r="9341" spans="1:12" x14ac:dyDescent="0.25">
      <c r="A9341">
        <v>1754321</v>
      </c>
      <c r="B9341">
        <v>1757094</v>
      </c>
      <c r="C9341" t="s">
        <v>57952</v>
      </c>
      <c r="D9341">
        <v>0</v>
      </c>
      <c r="E9341" t="s">
        <v>57953</v>
      </c>
      <c r="F9341" t="s">
        <v>57954</v>
      </c>
      <c r="G9341" t="s">
        <v>57955</v>
      </c>
      <c r="H9341" t="e" vm="4022">
        <f>_FV(0,"01222050777321584")</f>
        <v>#VALUE!</v>
      </c>
      <c r="I9341" t="s">
        <v>57956</v>
      </c>
      <c r="J9341" t="s">
        <v>25168</v>
      </c>
      <c r="K9341" t="s">
        <v>57957</v>
      </c>
      <c r="L9341" t="s">
        <v>57951</v>
      </c>
    </row>
    <row r="9342" spans="1:12" x14ac:dyDescent="0.25">
      <c r="A9342">
        <v>1752222</v>
      </c>
      <c r="B9342">
        <v>1754392</v>
      </c>
      <c r="D9342">
        <v>0</v>
      </c>
      <c r="E9342" t="s">
        <v>57959</v>
      </c>
      <c r="F9342" t="s">
        <v>57960</v>
      </c>
      <c r="G9342" t="s">
        <v>57961</v>
      </c>
      <c r="H9342" t="s">
        <v>57962</v>
      </c>
      <c r="I9342" t="s">
        <v>57963</v>
      </c>
      <c r="J9342" t="s">
        <v>57958</v>
      </c>
      <c r="K9342" t="s">
        <v>57964</v>
      </c>
      <c r="L9342" t="s">
        <v>57958</v>
      </c>
    </row>
    <row r="9343" spans="1:12" x14ac:dyDescent="0.25">
      <c r="A9343">
        <v>1754392</v>
      </c>
      <c r="B9343">
        <v>1754437</v>
      </c>
      <c r="D9343">
        <v>0</v>
      </c>
      <c r="E9343" t="s">
        <v>57966</v>
      </c>
      <c r="F9343" t="s">
        <v>57967</v>
      </c>
      <c r="G9343" t="s">
        <v>57968</v>
      </c>
      <c r="H9343" t="s">
        <v>57969</v>
      </c>
      <c r="I9343" t="s">
        <v>57970</v>
      </c>
      <c r="J9343" t="s">
        <v>57971</v>
      </c>
      <c r="K9343" t="s">
        <v>57972</v>
      </c>
      <c r="L9343" t="s">
        <v>57965</v>
      </c>
    </row>
    <row r="9344" spans="1:12" x14ac:dyDescent="0.25">
      <c r="A9344">
        <v>1752226</v>
      </c>
      <c r="B9344">
        <v>1621743</v>
      </c>
      <c r="C9344" t="s">
        <v>57974</v>
      </c>
      <c r="D9344">
        <v>0</v>
      </c>
      <c r="E9344" t="s">
        <v>57975</v>
      </c>
      <c r="F9344" t="s">
        <v>57976</v>
      </c>
      <c r="G9344" t="s">
        <v>57977</v>
      </c>
      <c r="H9344" t="s">
        <v>57978</v>
      </c>
      <c r="I9344" t="s">
        <v>57979</v>
      </c>
      <c r="J9344" t="s">
        <v>57980</v>
      </c>
      <c r="K9344" t="s">
        <v>57981</v>
      </c>
      <c r="L9344" t="s">
        <v>57973</v>
      </c>
    </row>
    <row r="9345" spans="1:12" x14ac:dyDescent="0.25">
      <c r="A9345">
        <v>1621743</v>
      </c>
      <c r="B9345">
        <v>1757107</v>
      </c>
      <c r="D9345">
        <v>0</v>
      </c>
      <c r="E9345" t="s">
        <v>57982</v>
      </c>
      <c r="F9345" t="s">
        <v>57983</v>
      </c>
      <c r="G9345" t="s">
        <v>57984</v>
      </c>
      <c r="H9345" t="e" vm="4023">
        <f>_FV(0,"030407317447958226")</f>
        <v>#VALUE!</v>
      </c>
      <c r="I9345" t="s">
        <v>57985</v>
      </c>
      <c r="J9345" t="s">
        <v>1417</v>
      </c>
      <c r="K9345" t="s">
        <v>57986</v>
      </c>
      <c r="L9345" t="s">
        <v>1412</v>
      </c>
    </row>
    <row r="9346" spans="1:12" x14ac:dyDescent="0.25">
      <c r="A9346">
        <v>1754437</v>
      </c>
      <c r="B9346">
        <v>1752219</v>
      </c>
      <c r="C9346" t="s">
        <v>57988</v>
      </c>
      <c r="D9346">
        <v>0</v>
      </c>
      <c r="E9346" t="s">
        <v>57989</v>
      </c>
      <c r="F9346" t="s">
        <v>57990</v>
      </c>
      <c r="G9346" t="s">
        <v>57991</v>
      </c>
      <c r="H9346" t="e" vm="4024">
        <f>_FV(0,"09336055738474217")</f>
        <v>#VALUE!</v>
      </c>
      <c r="I9346" t="s">
        <v>57992</v>
      </c>
      <c r="J9346" t="s">
        <v>57993</v>
      </c>
      <c r="K9346" t="s">
        <v>57994</v>
      </c>
      <c r="L9346" t="s">
        <v>57987</v>
      </c>
    </row>
    <row r="9347" spans="1:12" x14ac:dyDescent="0.25">
      <c r="A9347">
        <v>1754437</v>
      </c>
      <c r="B9347">
        <v>1754488</v>
      </c>
      <c r="D9347">
        <v>0</v>
      </c>
      <c r="E9347" t="s">
        <v>57996</v>
      </c>
      <c r="F9347" t="s">
        <v>57997</v>
      </c>
      <c r="G9347" t="s">
        <v>57998</v>
      </c>
      <c r="H9347" t="s">
        <v>57999</v>
      </c>
      <c r="I9347" t="s">
        <v>58000</v>
      </c>
      <c r="J9347" t="s">
        <v>58001</v>
      </c>
      <c r="K9347" t="s">
        <v>58002</v>
      </c>
      <c r="L9347" t="s">
        <v>57995</v>
      </c>
    </row>
    <row r="9348" spans="1:12" x14ac:dyDescent="0.25">
      <c r="A9348">
        <v>1754462</v>
      </c>
      <c r="B9348">
        <v>1757112</v>
      </c>
      <c r="D9348">
        <v>0</v>
      </c>
      <c r="E9348" t="s">
        <v>58004</v>
      </c>
      <c r="F9348" t="s">
        <v>58005</v>
      </c>
      <c r="G9348" t="s">
        <v>58006</v>
      </c>
      <c r="H9348" t="e" vm="4025">
        <f>_FV(0,"10933062165984385")</f>
        <v>#VALUE!</v>
      </c>
      <c r="I9348" t="s">
        <v>58007</v>
      </c>
      <c r="J9348" t="s">
        <v>58008</v>
      </c>
      <c r="K9348" t="s">
        <v>58009</v>
      </c>
      <c r="L9348" t="s">
        <v>58003</v>
      </c>
    </row>
    <row r="9349" spans="1:12" x14ac:dyDescent="0.25">
      <c r="A9349">
        <v>1754462</v>
      </c>
      <c r="B9349">
        <v>1757107</v>
      </c>
      <c r="D9349">
        <v>0</v>
      </c>
      <c r="E9349" t="s">
        <v>58011</v>
      </c>
      <c r="F9349" t="s">
        <v>58012</v>
      </c>
      <c r="G9349" t="s">
        <v>58013</v>
      </c>
      <c r="H9349" t="s">
        <v>58014</v>
      </c>
      <c r="I9349" t="s">
        <v>58015</v>
      </c>
      <c r="J9349" t="s">
        <v>58010</v>
      </c>
      <c r="K9349" t="s">
        <v>58016</v>
      </c>
      <c r="L9349" t="s">
        <v>58010</v>
      </c>
    </row>
    <row r="9350" spans="1:12" x14ac:dyDescent="0.25">
      <c r="A9350">
        <v>1754488</v>
      </c>
      <c r="B9350">
        <v>1754529</v>
      </c>
      <c r="D9350">
        <v>0</v>
      </c>
      <c r="E9350" t="s">
        <v>58018</v>
      </c>
      <c r="F9350" t="s">
        <v>58019</v>
      </c>
      <c r="G9350" t="s">
        <v>58020</v>
      </c>
      <c r="H9350" t="s">
        <v>58021</v>
      </c>
      <c r="I9350" t="s">
        <v>58022</v>
      </c>
      <c r="J9350" t="s">
        <v>58023</v>
      </c>
      <c r="K9350" t="s">
        <v>58024</v>
      </c>
      <c r="L9350" t="s">
        <v>58017</v>
      </c>
    </row>
    <row r="9351" spans="1:12" x14ac:dyDescent="0.25">
      <c r="A9351">
        <v>1754488</v>
      </c>
      <c r="B9351">
        <v>1761799</v>
      </c>
      <c r="D9351">
        <v>0</v>
      </c>
      <c r="E9351" t="s">
        <v>58026</v>
      </c>
      <c r="F9351" t="s">
        <v>58027</v>
      </c>
      <c r="G9351" t="s">
        <v>58028</v>
      </c>
      <c r="H9351" t="e" vm="4026">
        <f>_FV(0,"016315684002587618")</f>
        <v>#VALUE!</v>
      </c>
      <c r="I9351" t="s">
        <v>58029</v>
      </c>
      <c r="J9351" t="s">
        <v>58030</v>
      </c>
      <c r="K9351" t="s">
        <v>58031</v>
      </c>
      <c r="L9351" t="s">
        <v>58025</v>
      </c>
    </row>
    <row r="9352" spans="1:12" x14ac:dyDescent="0.25">
      <c r="A9352">
        <v>1754529</v>
      </c>
      <c r="B9352">
        <v>1757117</v>
      </c>
      <c r="D9352">
        <v>0</v>
      </c>
      <c r="E9352" t="s">
        <v>58033</v>
      </c>
      <c r="F9352" t="s">
        <v>58034</v>
      </c>
      <c r="G9352" t="s">
        <v>58035</v>
      </c>
      <c r="H9352" t="e" vm="4027">
        <f>_FV(0,"04689696699731784")</f>
        <v>#VALUE!</v>
      </c>
      <c r="I9352" t="s">
        <v>58036</v>
      </c>
      <c r="J9352" t="s">
        <v>58037</v>
      </c>
      <c r="K9352" t="s">
        <v>58038</v>
      </c>
      <c r="L9352" t="s">
        <v>58032</v>
      </c>
    </row>
    <row r="9353" spans="1:12" x14ac:dyDescent="0.25">
      <c r="A9353">
        <v>1754535</v>
      </c>
      <c r="B9353">
        <v>1754548</v>
      </c>
      <c r="D9353">
        <v>0</v>
      </c>
      <c r="E9353" t="s">
        <v>58039</v>
      </c>
      <c r="F9353" t="s">
        <v>58040</v>
      </c>
      <c r="G9353" t="s">
        <v>58041</v>
      </c>
      <c r="H9353" t="s">
        <v>58042</v>
      </c>
      <c r="I9353" t="s">
        <v>58043</v>
      </c>
      <c r="J9353" t="s">
        <v>13966</v>
      </c>
      <c r="K9353" t="s">
        <v>58044</v>
      </c>
      <c r="L9353" t="s">
        <v>13966</v>
      </c>
    </row>
    <row r="9354" spans="1:12" x14ac:dyDescent="0.25">
      <c r="A9354">
        <v>1754535</v>
      </c>
      <c r="B9354">
        <v>1754548</v>
      </c>
      <c r="D9354">
        <v>0</v>
      </c>
      <c r="E9354" t="s">
        <v>58046</v>
      </c>
      <c r="F9354" t="s">
        <v>58047</v>
      </c>
      <c r="G9354" t="s">
        <v>58048</v>
      </c>
      <c r="H9354" t="s">
        <v>58049</v>
      </c>
      <c r="I9354" t="s">
        <v>58050</v>
      </c>
      <c r="J9354" t="s">
        <v>58045</v>
      </c>
      <c r="K9354" t="s">
        <v>58051</v>
      </c>
      <c r="L9354" t="s">
        <v>58045</v>
      </c>
    </row>
    <row r="9355" spans="1:12" x14ac:dyDescent="0.25">
      <c r="A9355">
        <v>1754535</v>
      </c>
      <c r="B9355">
        <v>1757122</v>
      </c>
      <c r="D9355">
        <v>0</v>
      </c>
      <c r="E9355" t="s">
        <v>58053</v>
      </c>
      <c r="F9355" t="s">
        <v>58054</v>
      </c>
      <c r="G9355" t="s">
        <v>58055</v>
      </c>
      <c r="H9355" t="s">
        <v>58056</v>
      </c>
      <c r="I9355" t="s">
        <v>58057</v>
      </c>
      <c r="J9355" t="s">
        <v>58058</v>
      </c>
      <c r="K9355" t="s">
        <v>58059</v>
      </c>
      <c r="L9355" t="s">
        <v>58052</v>
      </c>
    </row>
    <row r="9356" spans="1:12" x14ac:dyDescent="0.25">
      <c r="A9356">
        <v>1754548</v>
      </c>
      <c r="B9356">
        <v>1757138</v>
      </c>
      <c r="D9356">
        <v>0</v>
      </c>
      <c r="E9356" t="s">
        <v>58061</v>
      </c>
      <c r="F9356" t="s">
        <v>58062</v>
      </c>
      <c r="G9356" t="s">
        <v>58063</v>
      </c>
      <c r="H9356" t="s">
        <v>58064</v>
      </c>
      <c r="I9356" t="s">
        <v>58065</v>
      </c>
      <c r="J9356" t="s">
        <v>58060</v>
      </c>
      <c r="K9356" t="s">
        <v>58066</v>
      </c>
      <c r="L9356" t="s">
        <v>58060</v>
      </c>
    </row>
    <row r="9357" spans="1:12" x14ac:dyDescent="0.25">
      <c r="A9357">
        <v>1754571</v>
      </c>
      <c r="B9357">
        <v>1757144</v>
      </c>
      <c r="D9357">
        <v>0</v>
      </c>
      <c r="E9357" t="s">
        <v>58068</v>
      </c>
      <c r="F9357" t="s">
        <v>58069</v>
      </c>
      <c r="G9357" t="s">
        <v>58070</v>
      </c>
      <c r="H9357" t="e" vm="4028">
        <f>_FV(0,"01651670626764906")</f>
        <v>#VALUE!</v>
      </c>
      <c r="I9357" t="s">
        <v>58071</v>
      </c>
      <c r="J9357" t="s">
        <v>58072</v>
      </c>
      <c r="K9357" t="s">
        <v>58073</v>
      </c>
      <c r="L9357" t="s">
        <v>58067</v>
      </c>
    </row>
    <row r="9358" spans="1:12" x14ac:dyDescent="0.25">
      <c r="A9358">
        <v>1754571</v>
      </c>
      <c r="B9358">
        <v>1757134</v>
      </c>
      <c r="D9358">
        <v>0</v>
      </c>
      <c r="E9358" t="s">
        <v>58075</v>
      </c>
      <c r="F9358" t="s">
        <v>58076</v>
      </c>
      <c r="G9358" t="s">
        <v>58077</v>
      </c>
      <c r="H9358" t="e" vm="4029">
        <f>_FV(0,"0386199657631746")</f>
        <v>#VALUE!</v>
      </c>
      <c r="I9358" t="s">
        <v>58078</v>
      </c>
      <c r="J9358" t="s">
        <v>58079</v>
      </c>
      <c r="K9358" t="s">
        <v>58080</v>
      </c>
      <c r="L9358" t="s">
        <v>58074</v>
      </c>
    </row>
    <row r="9359" spans="1:12" x14ac:dyDescent="0.25">
      <c r="A9359">
        <v>1754571</v>
      </c>
      <c r="B9359">
        <v>1757151</v>
      </c>
      <c r="D9359">
        <v>0</v>
      </c>
      <c r="E9359" t="s">
        <v>58082</v>
      </c>
      <c r="F9359" t="s">
        <v>58083</v>
      </c>
      <c r="G9359" t="s">
        <v>58084</v>
      </c>
      <c r="H9359" t="e" vm="4030">
        <f>_FV(0,"0761205908323273")</f>
        <v>#VALUE!</v>
      </c>
      <c r="I9359" t="s">
        <v>58085</v>
      </c>
      <c r="J9359" t="s">
        <v>58086</v>
      </c>
      <c r="K9359" t="s">
        <v>58087</v>
      </c>
      <c r="L9359" t="s">
        <v>58081</v>
      </c>
    </row>
    <row r="9360" spans="1:12" x14ac:dyDescent="0.25">
      <c r="A9360">
        <v>1754589</v>
      </c>
      <c r="B9360">
        <v>1753373</v>
      </c>
      <c r="D9360">
        <v>0</v>
      </c>
      <c r="E9360" t="s">
        <v>58089</v>
      </c>
      <c r="F9360" t="s">
        <v>58090</v>
      </c>
      <c r="G9360" t="s">
        <v>58091</v>
      </c>
      <c r="H9360" t="s">
        <v>58092</v>
      </c>
      <c r="I9360" t="s">
        <v>58093</v>
      </c>
      <c r="J9360" t="s">
        <v>58094</v>
      </c>
      <c r="K9360" t="s">
        <v>58095</v>
      </c>
      <c r="L9360" t="s">
        <v>58088</v>
      </c>
    </row>
    <row r="9361" spans="1:12" x14ac:dyDescent="0.25">
      <c r="A9361">
        <v>1754589</v>
      </c>
      <c r="B9361">
        <v>1754602</v>
      </c>
      <c r="D9361">
        <v>0</v>
      </c>
      <c r="E9361" t="s">
        <v>58097</v>
      </c>
      <c r="F9361" t="s">
        <v>58098</v>
      </c>
      <c r="G9361" t="s">
        <v>58099</v>
      </c>
      <c r="H9361" t="e" vm="4031">
        <f>_FV(0,"08196011629861036")</f>
        <v>#VALUE!</v>
      </c>
      <c r="I9361" t="s">
        <v>58100</v>
      </c>
      <c r="J9361" t="s">
        <v>58101</v>
      </c>
      <c r="K9361" t="s">
        <v>58102</v>
      </c>
      <c r="L9361" t="s">
        <v>58096</v>
      </c>
    </row>
    <row r="9362" spans="1:12" x14ac:dyDescent="0.25">
      <c r="A9362">
        <v>1754589</v>
      </c>
      <c r="B9362">
        <v>1757160</v>
      </c>
      <c r="D9362">
        <v>0</v>
      </c>
      <c r="E9362" t="s">
        <v>58104</v>
      </c>
      <c r="F9362" t="s">
        <v>58105</v>
      </c>
      <c r="G9362" t="s">
        <v>58106</v>
      </c>
      <c r="H9362" t="e" vm="4032">
        <f>_FV(0,"07591697867020639")</f>
        <v>#VALUE!</v>
      </c>
      <c r="I9362" t="s">
        <v>58107</v>
      </c>
      <c r="J9362" t="s">
        <v>58108</v>
      </c>
      <c r="K9362" t="s">
        <v>58109</v>
      </c>
      <c r="L9362" t="s">
        <v>58103</v>
      </c>
    </row>
    <row r="9363" spans="1:12" x14ac:dyDescent="0.25">
      <c r="A9363">
        <v>1754602</v>
      </c>
      <c r="B9363">
        <v>1757177</v>
      </c>
      <c r="D9363">
        <v>0</v>
      </c>
      <c r="E9363" t="s">
        <v>58111</v>
      </c>
      <c r="F9363" t="s">
        <v>58112</v>
      </c>
      <c r="G9363" t="s">
        <v>58113</v>
      </c>
      <c r="H9363" t="s">
        <v>58114</v>
      </c>
      <c r="I9363" t="s">
        <v>58115</v>
      </c>
      <c r="J9363" t="s">
        <v>58116</v>
      </c>
      <c r="K9363" t="s">
        <v>58117</v>
      </c>
      <c r="L9363" t="s">
        <v>58110</v>
      </c>
    </row>
    <row r="9364" spans="1:12" x14ac:dyDescent="0.25">
      <c r="A9364">
        <v>1754602</v>
      </c>
      <c r="B9364">
        <v>1753386</v>
      </c>
      <c r="D9364">
        <v>0</v>
      </c>
      <c r="E9364" t="s">
        <v>58119</v>
      </c>
      <c r="F9364" t="s">
        <v>58120</v>
      </c>
      <c r="G9364" t="s">
        <v>58121</v>
      </c>
      <c r="H9364" t="e" vm="4033">
        <f>_FV(0,"061207752188567936")</f>
        <v>#VALUE!</v>
      </c>
      <c r="I9364" t="s">
        <v>58122</v>
      </c>
      <c r="J9364" t="s">
        <v>58123</v>
      </c>
      <c r="K9364" t="s">
        <v>58124</v>
      </c>
      <c r="L9364" t="s">
        <v>58118</v>
      </c>
    </row>
    <row r="9365" spans="1:12" x14ac:dyDescent="0.25">
      <c r="A9365">
        <v>1754609</v>
      </c>
      <c r="B9365">
        <v>1757170</v>
      </c>
      <c r="D9365">
        <v>0</v>
      </c>
      <c r="E9365" t="s">
        <v>58126</v>
      </c>
      <c r="F9365" t="s">
        <v>58127</v>
      </c>
      <c r="G9365" t="s">
        <v>58128</v>
      </c>
      <c r="H9365" t="s">
        <v>58129</v>
      </c>
      <c r="I9365" t="s">
        <v>58130</v>
      </c>
      <c r="J9365" t="s">
        <v>58131</v>
      </c>
      <c r="K9365" t="s">
        <v>58132</v>
      </c>
      <c r="L9365" t="s">
        <v>58125</v>
      </c>
    </row>
    <row r="9366" spans="1:12" x14ac:dyDescent="0.25">
      <c r="A9366">
        <v>1754609</v>
      </c>
      <c r="B9366">
        <v>1754640</v>
      </c>
      <c r="D9366">
        <v>0</v>
      </c>
      <c r="E9366" t="s">
        <v>58134</v>
      </c>
      <c r="F9366" t="s">
        <v>58135</v>
      </c>
      <c r="G9366" t="s">
        <v>58136</v>
      </c>
      <c r="H9366" t="e" vm="4034">
        <f>_FV(0,"09334074454421974")</f>
        <v>#VALUE!</v>
      </c>
      <c r="I9366" t="s">
        <v>58137</v>
      </c>
      <c r="J9366" t="s">
        <v>58138</v>
      </c>
      <c r="K9366" t="s">
        <v>58139</v>
      </c>
      <c r="L9366" t="s">
        <v>58133</v>
      </c>
    </row>
    <row r="9367" spans="1:12" x14ac:dyDescent="0.25">
      <c r="A9367">
        <v>1754609</v>
      </c>
      <c r="B9367">
        <v>1754640</v>
      </c>
      <c r="D9367">
        <v>0</v>
      </c>
      <c r="E9367" t="s">
        <v>58141</v>
      </c>
      <c r="F9367" t="s">
        <v>58142</v>
      </c>
      <c r="G9367" t="s">
        <v>58143</v>
      </c>
      <c r="H9367" t="e" vm="4035">
        <f>_FV(0,"03257533608022247")</f>
        <v>#VALUE!</v>
      </c>
      <c r="I9367" t="s">
        <v>58144</v>
      </c>
      <c r="J9367" t="s">
        <v>58145</v>
      </c>
      <c r="K9367" t="s">
        <v>58146</v>
      </c>
      <c r="L9367" t="s">
        <v>58140</v>
      </c>
    </row>
    <row r="9368" spans="1:12" x14ac:dyDescent="0.25">
      <c r="A9368">
        <v>1754640</v>
      </c>
      <c r="B9368">
        <v>1757182</v>
      </c>
      <c r="D9368">
        <v>0</v>
      </c>
      <c r="E9368" t="s">
        <v>58148</v>
      </c>
      <c r="F9368" t="s">
        <v>58149</v>
      </c>
      <c r="G9368" t="s">
        <v>58150</v>
      </c>
      <c r="H9368" t="e" vm="4036">
        <f>_FV(0,"028030801803910706")</f>
        <v>#VALUE!</v>
      </c>
      <c r="I9368" t="s">
        <v>58151</v>
      </c>
      <c r="J9368" t="s">
        <v>58152</v>
      </c>
      <c r="K9368" t="s">
        <v>58153</v>
      </c>
      <c r="L9368" t="s">
        <v>58147</v>
      </c>
    </row>
    <row r="9369" spans="1:12" x14ac:dyDescent="0.25">
      <c r="A9369">
        <v>1754699</v>
      </c>
      <c r="B9369">
        <v>1754702</v>
      </c>
      <c r="D9369">
        <v>0</v>
      </c>
      <c r="E9369" t="s">
        <v>58154</v>
      </c>
      <c r="F9369">
        <v>2003118</v>
      </c>
      <c r="G9369">
        <v>1754699</v>
      </c>
      <c r="H9369" t="s">
        <v>4331</v>
      </c>
      <c r="I9369">
        <v>1754702</v>
      </c>
      <c r="J9369" t="s">
        <v>4331</v>
      </c>
      <c r="K9369" t="s">
        <v>58155</v>
      </c>
      <c r="L9369" t="s">
        <v>4331</v>
      </c>
    </row>
    <row r="9370" spans="1:12" x14ac:dyDescent="0.25">
      <c r="A9370">
        <v>1754699</v>
      </c>
      <c r="B9370">
        <v>1757186</v>
      </c>
      <c r="D9370" t="s">
        <v>963</v>
      </c>
      <c r="E9370" t="s">
        <v>58157</v>
      </c>
      <c r="F9370" t="s">
        <v>58158</v>
      </c>
      <c r="G9370" t="s">
        <v>58159</v>
      </c>
      <c r="H9370" t="e" vm="4037">
        <f>_FV(0,"002720005735824167")</f>
        <v>#VALUE!</v>
      </c>
      <c r="I9370" t="s">
        <v>58160</v>
      </c>
      <c r="J9370" t="s">
        <v>58161</v>
      </c>
      <c r="K9370" t="s">
        <v>58162</v>
      </c>
      <c r="L9370" t="s">
        <v>58156</v>
      </c>
    </row>
    <row r="9371" spans="1:12" x14ac:dyDescent="0.25">
      <c r="A9371">
        <v>1754702</v>
      </c>
      <c r="B9371">
        <v>1757190</v>
      </c>
      <c r="D9371">
        <v>0</v>
      </c>
      <c r="E9371" t="s">
        <v>58164</v>
      </c>
      <c r="F9371" t="s">
        <v>58165</v>
      </c>
      <c r="G9371" t="s">
        <v>58166</v>
      </c>
      <c r="H9371" t="s">
        <v>58167</v>
      </c>
      <c r="I9371" t="s">
        <v>58168</v>
      </c>
      <c r="J9371" t="s">
        <v>58169</v>
      </c>
      <c r="K9371" t="s">
        <v>58170</v>
      </c>
      <c r="L9371" t="s">
        <v>58163</v>
      </c>
    </row>
    <row r="9372" spans="1:12" x14ac:dyDescent="0.25">
      <c r="A9372">
        <v>1754734</v>
      </c>
      <c r="B9372">
        <v>1754976</v>
      </c>
      <c r="D9372">
        <v>0</v>
      </c>
      <c r="F9372">
        <v>2003214</v>
      </c>
      <c r="G9372">
        <v>1754976</v>
      </c>
      <c r="H9372" t="e" vm="353">
        <f>_FV(0,"045")</f>
        <v>#VALUE!</v>
      </c>
      <c r="I9372">
        <v>1754734</v>
      </c>
      <c r="J9372" t="s">
        <v>4979</v>
      </c>
      <c r="K9372" t="s">
        <v>58171</v>
      </c>
      <c r="L9372" t="e" vm="353">
        <f>_FV(0,"045")</f>
        <v>#VALUE!</v>
      </c>
    </row>
    <row r="9373" spans="1:12" x14ac:dyDescent="0.25">
      <c r="A9373">
        <v>1754734</v>
      </c>
      <c r="B9373">
        <v>1754757</v>
      </c>
      <c r="D9373">
        <v>0</v>
      </c>
      <c r="F9373">
        <v>2003206</v>
      </c>
      <c r="G9373">
        <v>1754734</v>
      </c>
      <c r="H9373" t="e" vm="77">
        <f>_FV(0,"056")</f>
        <v>#VALUE!</v>
      </c>
      <c r="I9373">
        <v>1754757</v>
      </c>
      <c r="J9373" t="s">
        <v>1194</v>
      </c>
      <c r="K9373" t="s">
        <v>58172</v>
      </c>
      <c r="L9373" t="e" vm="77">
        <f>_FV(0,"056")</f>
        <v>#VALUE!</v>
      </c>
    </row>
    <row r="9374" spans="1:12" x14ac:dyDescent="0.25">
      <c r="A9374">
        <v>1754734</v>
      </c>
      <c r="B9374">
        <v>1757195</v>
      </c>
      <c r="D9374">
        <v>0</v>
      </c>
      <c r="E9374" t="s">
        <v>58174</v>
      </c>
      <c r="F9374" t="s">
        <v>58175</v>
      </c>
      <c r="G9374" t="s">
        <v>58176</v>
      </c>
      <c r="H9374" t="e" vm="4038">
        <f>_FV(0,"006250220267849826")</f>
        <v>#VALUE!</v>
      </c>
      <c r="I9374" t="s">
        <v>58177</v>
      </c>
      <c r="J9374" t="s">
        <v>58178</v>
      </c>
      <c r="K9374" t="s">
        <v>58179</v>
      </c>
      <c r="L9374" t="s">
        <v>58173</v>
      </c>
    </row>
    <row r="9375" spans="1:12" x14ac:dyDescent="0.25">
      <c r="A9375">
        <v>1754757</v>
      </c>
      <c r="B9375">
        <v>1757203</v>
      </c>
      <c r="D9375">
        <v>0</v>
      </c>
      <c r="E9375" t="s">
        <v>58181</v>
      </c>
      <c r="F9375" t="s">
        <v>58182</v>
      </c>
      <c r="G9375" t="s">
        <v>58183</v>
      </c>
      <c r="H9375" t="e" vm="4039">
        <f>_FV(0,"0042276747608630694")</f>
        <v>#VALUE!</v>
      </c>
      <c r="I9375" t="s">
        <v>58184</v>
      </c>
      <c r="J9375" t="s">
        <v>58185</v>
      </c>
      <c r="K9375" t="s">
        <v>58186</v>
      </c>
      <c r="L9375" t="s">
        <v>58180</v>
      </c>
    </row>
    <row r="9376" spans="1:12" x14ac:dyDescent="0.25">
      <c r="A9376">
        <v>1754757</v>
      </c>
      <c r="B9376">
        <v>1754986</v>
      </c>
      <c r="D9376">
        <v>0</v>
      </c>
      <c r="E9376" t="s">
        <v>58188</v>
      </c>
      <c r="F9376" t="s">
        <v>58189</v>
      </c>
      <c r="G9376" t="s">
        <v>58190</v>
      </c>
      <c r="H9376" t="s">
        <v>58191</v>
      </c>
      <c r="I9376" t="s">
        <v>58192</v>
      </c>
      <c r="J9376" t="s">
        <v>58193</v>
      </c>
      <c r="K9376" t="s">
        <v>58194</v>
      </c>
      <c r="L9376" t="s">
        <v>58187</v>
      </c>
    </row>
    <row r="9377" spans="1:12" x14ac:dyDescent="0.25">
      <c r="A9377">
        <v>1754976</v>
      </c>
      <c r="B9377">
        <v>1754986</v>
      </c>
      <c r="D9377">
        <v>0</v>
      </c>
      <c r="E9377" t="s">
        <v>58196</v>
      </c>
      <c r="F9377" t="s">
        <v>58197</v>
      </c>
      <c r="G9377" t="s">
        <v>58198</v>
      </c>
      <c r="H9377" t="e" vm="4040">
        <f>_FV(0,"0054679827731185056")</f>
        <v>#VALUE!</v>
      </c>
      <c r="I9377" t="s">
        <v>58199</v>
      </c>
      <c r="J9377" t="s">
        <v>58200</v>
      </c>
      <c r="K9377" t="s">
        <v>58201</v>
      </c>
      <c r="L9377" t="s">
        <v>58195</v>
      </c>
    </row>
    <row r="9378" spans="1:12" x14ac:dyDescent="0.25">
      <c r="A9378">
        <v>1755195</v>
      </c>
      <c r="B9378">
        <v>1755208</v>
      </c>
      <c r="D9378">
        <v>0</v>
      </c>
      <c r="E9378" t="s">
        <v>58203</v>
      </c>
      <c r="F9378" t="s">
        <v>58204</v>
      </c>
      <c r="G9378" t="s">
        <v>58205</v>
      </c>
      <c r="H9378" t="e" vm="4041">
        <f>_FV(0,"009108417710361812")</f>
        <v>#VALUE!</v>
      </c>
      <c r="I9378" t="s">
        <v>58206</v>
      </c>
      <c r="J9378" t="s">
        <v>58207</v>
      </c>
      <c r="K9378" t="s">
        <v>58208</v>
      </c>
      <c r="L9378" t="s">
        <v>58202</v>
      </c>
    </row>
    <row r="9379" spans="1:12" x14ac:dyDescent="0.25">
      <c r="A9379">
        <v>1755208</v>
      </c>
      <c r="B9379">
        <v>1762779</v>
      </c>
      <c r="D9379">
        <v>0</v>
      </c>
      <c r="E9379" t="s">
        <v>58210</v>
      </c>
      <c r="F9379" t="s">
        <v>58211</v>
      </c>
      <c r="G9379" t="s">
        <v>58212</v>
      </c>
      <c r="H9379" t="s">
        <v>58213</v>
      </c>
      <c r="I9379" t="s">
        <v>58214</v>
      </c>
      <c r="J9379" t="s">
        <v>58215</v>
      </c>
      <c r="K9379" t="s">
        <v>58216</v>
      </c>
      <c r="L9379" t="s">
        <v>58209</v>
      </c>
    </row>
    <row r="9380" spans="1:12" x14ac:dyDescent="0.25">
      <c r="A9380">
        <v>1756892</v>
      </c>
      <c r="B9380">
        <v>1756944</v>
      </c>
      <c r="D9380">
        <v>0</v>
      </c>
      <c r="F9380">
        <v>2063646</v>
      </c>
      <c r="G9380">
        <v>1756944</v>
      </c>
      <c r="H9380" t="e" vm="4042">
        <f>_FV(0,"117")</f>
        <v>#VALUE!</v>
      </c>
      <c r="I9380">
        <v>1756892</v>
      </c>
      <c r="J9380" t="s">
        <v>58217</v>
      </c>
      <c r="K9380" t="s">
        <v>58218</v>
      </c>
      <c r="L9380" t="e" vm="4042">
        <f>_FV(0,"117")</f>
        <v>#VALUE!</v>
      </c>
    </row>
    <row r="9381" spans="1:12" x14ac:dyDescent="0.25">
      <c r="A9381">
        <v>1756892</v>
      </c>
      <c r="B9381">
        <v>1756906</v>
      </c>
      <c r="D9381">
        <v>0</v>
      </c>
      <c r="E9381" t="s">
        <v>58220</v>
      </c>
      <c r="F9381" t="s">
        <v>58221</v>
      </c>
      <c r="G9381" t="s">
        <v>58222</v>
      </c>
      <c r="H9381" t="e" vm="4043">
        <f>_FV(0,"055342280790723626")</f>
        <v>#VALUE!</v>
      </c>
      <c r="I9381" t="s">
        <v>58223</v>
      </c>
      <c r="J9381" t="s">
        <v>58224</v>
      </c>
      <c r="K9381" t="s">
        <v>58225</v>
      </c>
      <c r="L9381" t="s">
        <v>58219</v>
      </c>
    </row>
    <row r="9382" spans="1:12" x14ac:dyDescent="0.25">
      <c r="A9382">
        <v>1756906</v>
      </c>
      <c r="B9382">
        <v>1756949</v>
      </c>
      <c r="D9382">
        <v>0</v>
      </c>
      <c r="E9382" t="s">
        <v>58226</v>
      </c>
      <c r="F9382">
        <v>2008120</v>
      </c>
      <c r="G9382">
        <v>1756906</v>
      </c>
      <c r="H9382" t="s">
        <v>8186</v>
      </c>
      <c r="I9382">
        <v>1756949</v>
      </c>
      <c r="J9382" t="s">
        <v>8186</v>
      </c>
      <c r="K9382" t="s">
        <v>58227</v>
      </c>
      <c r="L9382" t="s">
        <v>8186</v>
      </c>
    </row>
    <row r="9383" spans="1:12" x14ac:dyDescent="0.25">
      <c r="A9383">
        <v>1757013</v>
      </c>
      <c r="B9383">
        <v>1757026</v>
      </c>
      <c r="D9383">
        <v>0</v>
      </c>
      <c r="E9383" t="s">
        <v>58229</v>
      </c>
      <c r="F9383" t="s">
        <v>58230</v>
      </c>
      <c r="G9383" t="s">
        <v>58231</v>
      </c>
      <c r="H9383" t="e" vm="4044">
        <f>_FV(0,"1134345156059513")</f>
        <v>#VALUE!</v>
      </c>
      <c r="I9383" t="s">
        <v>58232</v>
      </c>
      <c r="J9383" t="s">
        <v>58233</v>
      </c>
      <c r="K9383" t="s">
        <v>58234</v>
      </c>
      <c r="L9383" t="s">
        <v>58228</v>
      </c>
    </row>
    <row r="9384" spans="1:12" x14ac:dyDescent="0.25">
      <c r="A9384">
        <v>1757013</v>
      </c>
      <c r="B9384">
        <v>1757030</v>
      </c>
      <c r="D9384" t="s">
        <v>58236</v>
      </c>
      <c r="E9384" t="s">
        <v>58237</v>
      </c>
      <c r="F9384" t="s">
        <v>58238</v>
      </c>
      <c r="G9384" t="s">
        <v>58239</v>
      </c>
      <c r="H9384" t="e" vm="4045">
        <f>_FV(0,"006724035475985289")</f>
        <v>#VALUE!</v>
      </c>
      <c r="I9384" t="s">
        <v>58240</v>
      </c>
      <c r="J9384" t="s">
        <v>58241</v>
      </c>
      <c r="K9384" t="s">
        <v>58242</v>
      </c>
      <c r="L9384" t="s">
        <v>58235</v>
      </c>
    </row>
    <row r="9385" spans="1:12" x14ac:dyDescent="0.25">
      <c r="A9385">
        <v>1757030</v>
      </c>
      <c r="B9385">
        <v>1757048</v>
      </c>
      <c r="D9385">
        <v>0</v>
      </c>
      <c r="E9385" t="s">
        <v>58244</v>
      </c>
      <c r="F9385" t="s">
        <v>58245</v>
      </c>
      <c r="G9385" t="s">
        <v>58246</v>
      </c>
      <c r="H9385" t="s">
        <v>58247</v>
      </c>
      <c r="I9385" t="s">
        <v>58248</v>
      </c>
      <c r="J9385" t="s">
        <v>58249</v>
      </c>
      <c r="K9385" t="s">
        <v>58250</v>
      </c>
      <c r="L9385" t="s">
        <v>58243</v>
      </c>
    </row>
    <row r="9386" spans="1:12" x14ac:dyDescent="0.25">
      <c r="A9386">
        <v>1757030</v>
      </c>
      <c r="B9386">
        <v>1757052</v>
      </c>
      <c r="D9386" t="s">
        <v>58252</v>
      </c>
      <c r="E9386" t="s">
        <v>58253</v>
      </c>
      <c r="F9386" t="s">
        <v>58254</v>
      </c>
      <c r="G9386" t="s">
        <v>58255</v>
      </c>
      <c r="H9386" t="s">
        <v>58256</v>
      </c>
      <c r="I9386" t="s">
        <v>58257</v>
      </c>
      <c r="J9386" t="s">
        <v>58258</v>
      </c>
      <c r="K9386" t="s">
        <v>58259</v>
      </c>
      <c r="L9386" t="s">
        <v>58251</v>
      </c>
    </row>
    <row r="9387" spans="1:12" x14ac:dyDescent="0.25">
      <c r="A9387">
        <v>1757052</v>
      </c>
      <c r="B9387">
        <v>1757061</v>
      </c>
      <c r="D9387">
        <v>0</v>
      </c>
      <c r="E9387" t="s">
        <v>58261</v>
      </c>
      <c r="F9387" t="s">
        <v>58262</v>
      </c>
      <c r="G9387" t="s">
        <v>58263</v>
      </c>
      <c r="H9387" t="s">
        <v>58264</v>
      </c>
      <c r="I9387" t="s">
        <v>58265</v>
      </c>
      <c r="J9387" t="s">
        <v>58266</v>
      </c>
      <c r="K9387" t="s">
        <v>58267</v>
      </c>
      <c r="L9387" t="s">
        <v>58260</v>
      </c>
    </row>
    <row r="9388" spans="1:12" x14ac:dyDescent="0.25">
      <c r="A9388">
        <v>1757052</v>
      </c>
      <c r="B9388">
        <v>1757063</v>
      </c>
      <c r="C9388" t="s">
        <v>58269</v>
      </c>
      <c r="D9388">
        <v>0</v>
      </c>
      <c r="E9388" t="s">
        <v>58270</v>
      </c>
      <c r="F9388" t="s">
        <v>58271</v>
      </c>
      <c r="G9388" t="s">
        <v>58272</v>
      </c>
      <c r="H9388" t="s">
        <v>58273</v>
      </c>
      <c r="I9388" t="s">
        <v>58274</v>
      </c>
      <c r="J9388" t="s">
        <v>58275</v>
      </c>
      <c r="K9388" t="s">
        <v>58276</v>
      </c>
      <c r="L9388" t="s">
        <v>58268</v>
      </c>
    </row>
    <row r="9389" spans="1:12" x14ac:dyDescent="0.25">
      <c r="A9389">
        <v>1757063</v>
      </c>
      <c r="B9389">
        <v>1757073</v>
      </c>
      <c r="D9389">
        <v>0</v>
      </c>
      <c r="E9389" t="s">
        <v>58278</v>
      </c>
      <c r="F9389" t="s">
        <v>58279</v>
      </c>
      <c r="G9389" t="s">
        <v>58280</v>
      </c>
      <c r="H9389" t="s">
        <v>58281</v>
      </c>
      <c r="I9389" t="s">
        <v>58282</v>
      </c>
      <c r="J9389" t="s">
        <v>58283</v>
      </c>
      <c r="K9389" t="s">
        <v>58284</v>
      </c>
      <c r="L9389" t="s">
        <v>58277</v>
      </c>
    </row>
    <row r="9390" spans="1:12" x14ac:dyDescent="0.25">
      <c r="A9390">
        <v>1757063</v>
      </c>
      <c r="B9390">
        <v>1854845</v>
      </c>
      <c r="D9390">
        <v>0</v>
      </c>
      <c r="E9390" t="s">
        <v>58285</v>
      </c>
      <c r="H9390" t="s">
        <v>187</v>
      </c>
      <c r="J9390">
        <v>0</v>
      </c>
      <c r="K9390" t="s">
        <v>24835</v>
      </c>
      <c r="L9390">
        <v>0</v>
      </c>
    </row>
    <row r="9391" spans="1:12" x14ac:dyDescent="0.25">
      <c r="A9391">
        <v>1757073</v>
      </c>
      <c r="B9391">
        <v>1757073</v>
      </c>
      <c r="D9391">
        <v>0</v>
      </c>
      <c r="E9391" t="s">
        <v>58287</v>
      </c>
      <c r="F9391" t="s">
        <v>58288</v>
      </c>
      <c r="G9391" t="s">
        <v>58289</v>
      </c>
      <c r="H9391" t="s">
        <v>58290</v>
      </c>
      <c r="I9391" t="s">
        <v>58291</v>
      </c>
      <c r="J9391" t="s">
        <v>58292</v>
      </c>
      <c r="K9391" t="s">
        <v>58293</v>
      </c>
      <c r="L9391" t="s">
        <v>58286</v>
      </c>
    </row>
    <row r="9392" spans="1:12" x14ac:dyDescent="0.25">
      <c r="A9392">
        <v>1757075</v>
      </c>
      <c r="B9392">
        <v>1757091</v>
      </c>
      <c r="D9392" t="s">
        <v>3336</v>
      </c>
      <c r="E9392" t="s">
        <v>58295</v>
      </c>
      <c r="F9392" t="s">
        <v>58296</v>
      </c>
      <c r="G9392" t="s">
        <v>58297</v>
      </c>
      <c r="H9392" t="e" vm="4046">
        <f>_FV(0,"011282673901425006")</f>
        <v>#VALUE!</v>
      </c>
      <c r="I9392" t="s">
        <v>58298</v>
      </c>
      <c r="J9392" t="s">
        <v>58299</v>
      </c>
      <c r="K9392" t="s">
        <v>58300</v>
      </c>
      <c r="L9392" t="s">
        <v>58294</v>
      </c>
    </row>
    <row r="9393" spans="1:12" x14ac:dyDescent="0.25">
      <c r="A9393">
        <v>1757076</v>
      </c>
      <c r="B9393">
        <v>1757098</v>
      </c>
      <c r="D9393">
        <v>0</v>
      </c>
      <c r="E9393" t="s">
        <v>58302</v>
      </c>
      <c r="F9393" t="s">
        <v>58303</v>
      </c>
      <c r="G9393" t="s">
        <v>58304</v>
      </c>
      <c r="H9393" t="s">
        <v>58305</v>
      </c>
      <c r="I9393" t="s">
        <v>58306</v>
      </c>
      <c r="J9393" t="s">
        <v>58307</v>
      </c>
      <c r="K9393" t="s">
        <v>58308</v>
      </c>
      <c r="L9393" t="s">
        <v>58301</v>
      </c>
    </row>
    <row r="9394" spans="1:12" x14ac:dyDescent="0.25">
      <c r="A9394">
        <v>1757076</v>
      </c>
      <c r="B9394">
        <v>1757098</v>
      </c>
      <c r="D9394">
        <v>0</v>
      </c>
      <c r="E9394" t="s">
        <v>58310</v>
      </c>
      <c r="F9394" t="s">
        <v>58311</v>
      </c>
      <c r="G9394" t="s">
        <v>58312</v>
      </c>
      <c r="H9394" t="s">
        <v>58313</v>
      </c>
      <c r="I9394" t="s">
        <v>58314</v>
      </c>
      <c r="J9394" t="s">
        <v>58315</v>
      </c>
      <c r="K9394" t="s">
        <v>58316</v>
      </c>
      <c r="L9394" t="s">
        <v>58309</v>
      </c>
    </row>
    <row r="9395" spans="1:12" x14ac:dyDescent="0.25">
      <c r="A9395">
        <v>1757079</v>
      </c>
      <c r="B9395">
        <v>1761636</v>
      </c>
      <c r="D9395" t="s">
        <v>58318</v>
      </c>
      <c r="E9395" t="s">
        <v>58319</v>
      </c>
      <c r="F9395" t="s">
        <v>58320</v>
      </c>
      <c r="G9395" t="s">
        <v>58321</v>
      </c>
      <c r="H9395" t="e" vm="4047">
        <f>_FV(0,"017759053988031313")</f>
        <v>#VALUE!</v>
      </c>
      <c r="I9395" t="s">
        <v>58322</v>
      </c>
      <c r="J9395" t="s">
        <v>58323</v>
      </c>
      <c r="K9395" t="s">
        <v>58324</v>
      </c>
      <c r="L9395" t="s">
        <v>58317</v>
      </c>
    </row>
    <row r="9396" spans="1:12" x14ac:dyDescent="0.25">
      <c r="A9396">
        <v>1757091</v>
      </c>
      <c r="B9396">
        <v>1757097</v>
      </c>
      <c r="D9396">
        <v>0</v>
      </c>
      <c r="E9396" t="s">
        <v>58326</v>
      </c>
      <c r="F9396" t="s">
        <v>58327</v>
      </c>
      <c r="G9396" t="s">
        <v>58328</v>
      </c>
      <c r="H9396" t="s">
        <v>58329</v>
      </c>
      <c r="I9396" t="s">
        <v>58330</v>
      </c>
      <c r="J9396" t="s">
        <v>58325</v>
      </c>
      <c r="K9396" t="s">
        <v>58331</v>
      </c>
      <c r="L9396" t="s">
        <v>58325</v>
      </c>
    </row>
    <row r="9397" spans="1:12" x14ac:dyDescent="0.25">
      <c r="A9397">
        <v>1757091</v>
      </c>
      <c r="B9397">
        <v>1766377</v>
      </c>
      <c r="D9397">
        <v>0</v>
      </c>
      <c r="E9397" t="s">
        <v>58333</v>
      </c>
      <c r="F9397" t="s">
        <v>58334</v>
      </c>
      <c r="G9397" t="s">
        <v>58335</v>
      </c>
      <c r="H9397" t="e" vm="4048">
        <f>_FV(0,"0026541828905839245")</f>
        <v>#VALUE!</v>
      </c>
      <c r="I9397" t="s">
        <v>58336</v>
      </c>
      <c r="J9397" t="s">
        <v>58337</v>
      </c>
      <c r="K9397" t="s">
        <v>58338</v>
      </c>
      <c r="L9397" t="s">
        <v>58332</v>
      </c>
    </row>
    <row r="9398" spans="1:12" x14ac:dyDescent="0.25">
      <c r="A9398">
        <v>1757094</v>
      </c>
      <c r="B9398">
        <v>1766377</v>
      </c>
      <c r="D9398">
        <v>0</v>
      </c>
      <c r="E9398" t="s">
        <v>58340</v>
      </c>
      <c r="F9398" t="s">
        <v>58341</v>
      </c>
      <c r="G9398" t="s">
        <v>58342</v>
      </c>
      <c r="H9398" t="e" vm="4049">
        <f>_FV(0,"024254985792151375")</f>
        <v>#VALUE!</v>
      </c>
      <c r="I9398" t="s">
        <v>58343</v>
      </c>
      <c r="J9398" t="s">
        <v>58344</v>
      </c>
      <c r="K9398" t="s">
        <v>58345</v>
      </c>
      <c r="L9398" t="s">
        <v>58339</v>
      </c>
    </row>
    <row r="9399" spans="1:12" x14ac:dyDescent="0.25">
      <c r="A9399">
        <v>1757102</v>
      </c>
      <c r="B9399">
        <v>1762019</v>
      </c>
      <c r="D9399">
        <v>0</v>
      </c>
      <c r="E9399" t="s">
        <v>58347</v>
      </c>
      <c r="F9399" t="s">
        <v>58348</v>
      </c>
      <c r="G9399" t="s">
        <v>58349</v>
      </c>
      <c r="H9399" t="s">
        <v>58350</v>
      </c>
      <c r="I9399" t="s">
        <v>58351</v>
      </c>
      <c r="J9399" t="s">
        <v>58352</v>
      </c>
      <c r="K9399" t="s">
        <v>58353</v>
      </c>
      <c r="L9399" t="s">
        <v>58346</v>
      </c>
    </row>
    <row r="9400" spans="1:12" x14ac:dyDescent="0.25">
      <c r="A9400">
        <v>1757102</v>
      </c>
      <c r="B9400">
        <v>1761200</v>
      </c>
      <c r="D9400">
        <v>0</v>
      </c>
      <c r="E9400" t="s">
        <v>58355</v>
      </c>
      <c r="F9400" t="s">
        <v>58356</v>
      </c>
      <c r="G9400" t="s">
        <v>58357</v>
      </c>
      <c r="H9400" t="s">
        <v>58358</v>
      </c>
      <c r="I9400" t="s">
        <v>58359</v>
      </c>
      <c r="J9400" t="s">
        <v>58360</v>
      </c>
      <c r="K9400" t="s">
        <v>58361</v>
      </c>
      <c r="L9400" t="s">
        <v>58354</v>
      </c>
    </row>
    <row r="9401" spans="1:12" x14ac:dyDescent="0.25">
      <c r="A9401">
        <v>1757107</v>
      </c>
      <c r="B9401">
        <v>1757112</v>
      </c>
      <c r="D9401">
        <v>0</v>
      </c>
      <c r="F9401">
        <v>2014989</v>
      </c>
      <c r="G9401">
        <v>1757112</v>
      </c>
      <c r="H9401" t="s">
        <v>29799</v>
      </c>
      <c r="I9401">
        <v>1757107</v>
      </c>
      <c r="J9401" t="s">
        <v>29799</v>
      </c>
      <c r="K9401" t="s">
        <v>58362</v>
      </c>
      <c r="L9401" t="s">
        <v>29799</v>
      </c>
    </row>
    <row r="9402" spans="1:12" x14ac:dyDescent="0.25">
      <c r="A9402">
        <v>1757112</v>
      </c>
      <c r="B9402">
        <v>1757122</v>
      </c>
      <c r="D9402">
        <v>0</v>
      </c>
      <c r="E9402" t="s">
        <v>58364</v>
      </c>
      <c r="F9402" t="s">
        <v>58365</v>
      </c>
      <c r="G9402" t="s">
        <v>58366</v>
      </c>
      <c r="H9402" t="s">
        <v>58367</v>
      </c>
      <c r="I9402" t="s">
        <v>58368</v>
      </c>
      <c r="J9402" t="s">
        <v>58369</v>
      </c>
      <c r="K9402" t="s">
        <v>58370</v>
      </c>
      <c r="L9402" t="s">
        <v>58363</v>
      </c>
    </row>
    <row r="9403" spans="1:12" x14ac:dyDescent="0.25">
      <c r="A9403">
        <v>1757117</v>
      </c>
      <c r="B9403">
        <v>1757134</v>
      </c>
      <c r="D9403">
        <v>0</v>
      </c>
      <c r="F9403">
        <v>2020435</v>
      </c>
      <c r="G9403">
        <v>1757134</v>
      </c>
      <c r="H9403" t="s">
        <v>2674</v>
      </c>
      <c r="I9403">
        <v>1757117</v>
      </c>
      <c r="J9403" t="s">
        <v>2674</v>
      </c>
      <c r="K9403" t="s">
        <v>58371</v>
      </c>
      <c r="L9403" t="s">
        <v>2674</v>
      </c>
    </row>
    <row r="9404" spans="1:12" x14ac:dyDescent="0.25">
      <c r="A9404">
        <v>1757117</v>
      </c>
      <c r="B9404">
        <v>1761799</v>
      </c>
      <c r="D9404">
        <v>0</v>
      </c>
      <c r="E9404" t="s">
        <v>58373</v>
      </c>
      <c r="F9404" t="s">
        <v>58374</v>
      </c>
      <c r="G9404" t="s">
        <v>58375</v>
      </c>
      <c r="H9404" t="s">
        <v>58376</v>
      </c>
      <c r="I9404" t="s">
        <v>58377</v>
      </c>
      <c r="J9404" t="s">
        <v>58378</v>
      </c>
      <c r="K9404" t="s">
        <v>58379</v>
      </c>
      <c r="L9404" t="s">
        <v>58372</v>
      </c>
    </row>
    <row r="9405" spans="1:12" x14ac:dyDescent="0.25">
      <c r="A9405">
        <v>1757122</v>
      </c>
      <c r="B9405">
        <v>1757138</v>
      </c>
      <c r="D9405">
        <v>0</v>
      </c>
      <c r="E9405" t="s">
        <v>58381</v>
      </c>
      <c r="F9405" t="s">
        <v>58382</v>
      </c>
      <c r="G9405" t="s">
        <v>58383</v>
      </c>
      <c r="H9405" t="s">
        <v>58384</v>
      </c>
      <c r="I9405" t="s">
        <v>58385</v>
      </c>
      <c r="J9405" t="s">
        <v>58380</v>
      </c>
      <c r="K9405" t="s">
        <v>58386</v>
      </c>
      <c r="L9405" t="s">
        <v>58380</v>
      </c>
    </row>
    <row r="9406" spans="1:12" x14ac:dyDescent="0.25">
      <c r="A9406">
        <v>1757134</v>
      </c>
      <c r="B9406">
        <v>1757151</v>
      </c>
      <c r="D9406">
        <v>0</v>
      </c>
      <c r="E9406" t="s">
        <v>58388</v>
      </c>
      <c r="F9406" t="s">
        <v>58389</v>
      </c>
      <c r="G9406" t="s">
        <v>58390</v>
      </c>
      <c r="H9406" t="s">
        <v>58391</v>
      </c>
      <c r="I9406" t="s">
        <v>58392</v>
      </c>
      <c r="J9406" t="s">
        <v>58387</v>
      </c>
      <c r="K9406" t="s">
        <v>58393</v>
      </c>
      <c r="L9406" t="s">
        <v>58387</v>
      </c>
    </row>
    <row r="9407" spans="1:12" x14ac:dyDescent="0.25">
      <c r="A9407">
        <v>1757138</v>
      </c>
      <c r="B9407">
        <v>1757160</v>
      </c>
      <c r="D9407">
        <v>0</v>
      </c>
      <c r="E9407" t="s">
        <v>58395</v>
      </c>
      <c r="F9407" t="s">
        <v>58396</v>
      </c>
      <c r="G9407" t="s">
        <v>58397</v>
      </c>
      <c r="H9407" t="e" vm="4050">
        <f>_FV(0,"02828458624732373")</f>
        <v>#VALUE!</v>
      </c>
      <c r="I9407" t="s">
        <v>58398</v>
      </c>
      <c r="J9407" t="s">
        <v>58399</v>
      </c>
      <c r="K9407" t="s">
        <v>58400</v>
      </c>
      <c r="L9407" t="s">
        <v>58394</v>
      </c>
    </row>
    <row r="9408" spans="1:12" x14ac:dyDescent="0.25">
      <c r="A9408">
        <v>1757151</v>
      </c>
      <c r="B9408">
        <v>1757170</v>
      </c>
      <c r="C9408" t="s">
        <v>58402</v>
      </c>
      <c r="D9408">
        <v>0</v>
      </c>
      <c r="E9408" t="s">
        <v>58403</v>
      </c>
      <c r="F9408" t="s">
        <v>58404</v>
      </c>
      <c r="G9408" t="s">
        <v>58405</v>
      </c>
      <c r="H9408" t="e" vm="4051">
        <f>_FV(0,"025788099982555008")</f>
        <v>#VALUE!</v>
      </c>
      <c r="I9408" t="s">
        <v>58406</v>
      </c>
      <c r="J9408" t="s">
        <v>58407</v>
      </c>
      <c r="K9408" t="s">
        <v>58408</v>
      </c>
      <c r="L9408" t="s">
        <v>58401</v>
      </c>
    </row>
    <row r="9409" spans="1:12" x14ac:dyDescent="0.25">
      <c r="A9409">
        <v>1757160</v>
      </c>
      <c r="B9409">
        <v>1757177</v>
      </c>
      <c r="D9409">
        <v>0</v>
      </c>
      <c r="E9409" t="s">
        <v>58410</v>
      </c>
      <c r="F9409" t="s">
        <v>58411</v>
      </c>
      <c r="G9409" t="s">
        <v>58412</v>
      </c>
      <c r="H9409" t="e" vm="4052">
        <f>_FV(0,"005973367274502396")</f>
        <v>#VALUE!</v>
      </c>
      <c r="I9409" t="s">
        <v>58413</v>
      </c>
      <c r="J9409" t="s">
        <v>58414</v>
      </c>
      <c r="K9409" t="s">
        <v>58415</v>
      </c>
      <c r="L9409" t="s">
        <v>58409</v>
      </c>
    </row>
    <row r="9410" spans="1:12" x14ac:dyDescent="0.25">
      <c r="A9410">
        <v>1757170</v>
      </c>
      <c r="B9410">
        <v>1757182</v>
      </c>
      <c r="D9410">
        <v>0</v>
      </c>
      <c r="E9410" t="s">
        <v>58417</v>
      </c>
      <c r="F9410" t="s">
        <v>58418</v>
      </c>
      <c r="G9410" t="s">
        <v>58419</v>
      </c>
      <c r="H9410" t="e" vm="4053">
        <f>_FV(0,"01046630739432652")</f>
        <v>#VALUE!</v>
      </c>
      <c r="I9410" t="s">
        <v>58420</v>
      </c>
      <c r="J9410" t="s">
        <v>58421</v>
      </c>
      <c r="K9410" t="s">
        <v>58422</v>
      </c>
      <c r="L9410" t="s">
        <v>58416</v>
      </c>
    </row>
    <row r="9411" spans="1:12" x14ac:dyDescent="0.25">
      <c r="A9411">
        <v>1757177</v>
      </c>
      <c r="B9411">
        <v>1757186</v>
      </c>
      <c r="D9411">
        <v>0</v>
      </c>
      <c r="E9411" t="s">
        <v>58424</v>
      </c>
      <c r="F9411" t="s">
        <v>58425</v>
      </c>
      <c r="G9411" t="s">
        <v>58426</v>
      </c>
      <c r="H9411" t="s">
        <v>58427</v>
      </c>
      <c r="I9411" t="s">
        <v>58428</v>
      </c>
      <c r="J9411" t="s">
        <v>58429</v>
      </c>
      <c r="K9411" t="s">
        <v>58430</v>
      </c>
      <c r="L9411" t="s">
        <v>58423</v>
      </c>
    </row>
    <row r="9412" spans="1:12" x14ac:dyDescent="0.25">
      <c r="A9412">
        <v>1757182</v>
      </c>
      <c r="B9412">
        <v>1757190</v>
      </c>
      <c r="D9412">
        <v>0</v>
      </c>
      <c r="E9412" t="s">
        <v>58432</v>
      </c>
      <c r="F9412" t="s">
        <v>58433</v>
      </c>
      <c r="G9412" t="s">
        <v>58434</v>
      </c>
      <c r="H9412" t="s">
        <v>58435</v>
      </c>
      <c r="I9412" t="s">
        <v>58436</v>
      </c>
      <c r="J9412" t="s">
        <v>58437</v>
      </c>
      <c r="K9412" t="s">
        <v>58438</v>
      </c>
      <c r="L9412" t="s">
        <v>58431</v>
      </c>
    </row>
    <row r="9413" spans="1:12" x14ac:dyDescent="0.25">
      <c r="A9413">
        <v>1757186</v>
      </c>
      <c r="B9413">
        <v>1757195</v>
      </c>
      <c r="D9413">
        <v>0</v>
      </c>
      <c r="E9413" t="s">
        <v>58440</v>
      </c>
      <c r="F9413" t="s">
        <v>58441</v>
      </c>
      <c r="G9413" t="s">
        <v>58442</v>
      </c>
      <c r="H9413" t="s">
        <v>58443</v>
      </c>
      <c r="I9413" t="s">
        <v>58444</v>
      </c>
      <c r="J9413" t="s">
        <v>58445</v>
      </c>
      <c r="K9413" t="s">
        <v>58446</v>
      </c>
      <c r="L9413" t="s">
        <v>58439</v>
      </c>
    </row>
    <row r="9414" spans="1:12" x14ac:dyDescent="0.25">
      <c r="A9414">
        <v>1757190</v>
      </c>
      <c r="B9414">
        <v>1757199</v>
      </c>
      <c r="D9414">
        <v>0</v>
      </c>
      <c r="E9414" t="s">
        <v>58448</v>
      </c>
      <c r="F9414" t="s">
        <v>58449</v>
      </c>
      <c r="G9414" t="s">
        <v>58450</v>
      </c>
      <c r="H9414" t="s">
        <v>58451</v>
      </c>
      <c r="I9414" t="s">
        <v>58452</v>
      </c>
      <c r="J9414" t="s">
        <v>58453</v>
      </c>
      <c r="K9414" t="s">
        <v>58454</v>
      </c>
      <c r="L9414" t="s">
        <v>58447</v>
      </c>
    </row>
    <row r="9415" spans="1:12" x14ac:dyDescent="0.25">
      <c r="A9415">
        <v>1757195</v>
      </c>
      <c r="B9415">
        <v>1757203</v>
      </c>
      <c r="D9415">
        <v>0</v>
      </c>
      <c r="E9415" t="s">
        <v>58456</v>
      </c>
      <c r="F9415" t="s">
        <v>58457</v>
      </c>
      <c r="G9415" t="s">
        <v>58458</v>
      </c>
      <c r="H9415" t="e" vm="4054">
        <f>_FV(0,"005606000705566759")</f>
        <v>#VALUE!</v>
      </c>
      <c r="I9415" t="s">
        <v>58459</v>
      </c>
      <c r="J9415" t="s">
        <v>58460</v>
      </c>
      <c r="K9415" t="s">
        <v>58461</v>
      </c>
      <c r="L9415" t="s">
        <v>58455</v>
      </c>
    </row>
    <row r="9416" spans="1:12" x14ac:dyDescent="0.25">
      <c r="A9416">
        <v>1757199</v>
      </c>
      <c r="B9416">
        <v>1757211</v>
      </c>
      <c r="D9416">
        <v>0</v>
      </c>
      <c r="E9416" t="s">
        <v>58463</v>
      </c>
      <c r="F9416" t="s">
        <v>58464</v>
      </c>
      <c r="G9416" t="s">
        <v>58465</v>
      </c>
      <c r="H9416" t="e" vm="4055">
        <f>_FV(0,"03658242241257845")</f>
        <v>#VALUE!</v>
      </c>
      <c r="I9416" t="s">
        <v>58466</v>
      </c>
      <c r="J9416" t="s">
        <v>58467</v>
      </c>
      <c r="K9416" t="s">
        <v>58468</v>
      </c>
      <c r="L9416" t="s">
        <v>58462</v>
      </c>
    </row>
    <row r="9417" spans="1:12" x14ac:dyDescent="0.25">
      <c r="A9417">
        <v>1757203</v>
      </c>
      <c r="B9417">
        <v>1761962</v>
      </c>
      <c r="D9417">
        <v>0</v>
      </c>
      <c r="E9417" t="s">
        <v>58470</v>
      </c>
      <c r="F9417" t="s">
        <v>58471</v>
      </c>
      <c r="G9417" t="s">
        <v>58472</v>
      </c>
      <c r="H9417" t="s">
        <v>58473</v>
      </c>
      <c r="I9417" t="s">
        <v>58474</v>
      </c>
      <c r="J9417" t="s">
        <v>58475</v>
      </c>
      <c r="K9417" t="s">
        <v>58476</v>
      </c>
      <c r="L9417" t="s">
        <v>58469</v>
      </c>
    </row>
    <row r="9418" spans="1:12" x14ac:dyDescent="0.25">
      <c r="A9418">
        <v>1757211</v>
      </c>
      <c r="B9418">
        <v>1765453</v>
      </c>
      <c r="D9418">
        <v>0</v>
      </c>
      <c r="E9418" t="s">
        <v>58478</v>
      </c>
      <c r="F9418" t="s">
        <v>58479</v>
      </c>
      <c r="G9418" t="s">
        <v>58480</v>
      </c>
      <c r="H9418" t="s">
        <v>58481</v>
      </c>
      <c r="I9418" t="s">
        <v>58482</v>
      </c>
      <c r="J9418" t="s">
        <v>58483</v>
      </c>
      <c r="K9418" t="s">
        <v>58484</v>
      </c>
      <c r="L9418" t="s">
        <v>58477</v>
      </c>
    </row>
    <row r="9419" spans="1:12" x14ac:dyDescent="0.25">
      <c r="A9419">
        <v>1757217</v>
      </c>
      <c r="B9419">
        <v>1757223</v>
      </c>
      <c r="D9419">
        <v>0</v>
      </c>
      <c r="E9419" t="s">
        <v>58486</v>
      </c>
      <c r="F9419" t="s">
        <v>58487</v>
      </c>
      <c r="G9419" t="s">
        <v>58488</v>
      </c>
      <c r="H9419" t="e" vm="4056">
        <f>_FV(0,"03709693360924324")</f>
        <v>#VALUE!</v>
      </c>
      <c r="I9419" t="s">
        <v>58489</v>
      </c>
      <c r="J9419" t="s">
        <v>58490</v>
      </c>
      <c r="K9419" t="s">
        <v>58491</v>
      </c>
      <c r="L9419" t="s">
        <v>58485</v>
      </c>
    </row>
    <row r="9420" spans="1:12" x14ac:dyDescent="0.25">
      <c r="A9420">
        <v>1757217</v>
      </c>
      <c r="B9420">
        <v>1757223</v>
      </c>
      <c r="D9420">
        <v>0</v>
      </c>
      <c r="E9420" t="s">
        <v>58493</v>
      </c>
      <c r="F9420" t="s">
        <v>58494</v>
      </c>
      <c r="G9420" t="s">
        <v>58495</v>
      </c>
      <c r="H9420" t="e" vm="4057">
        <f>_FV(0,"03682993029175639")</f>
        <v>#VALUE!</v>
      </c>
      <c r="I9420" t="s">
        <v>58496</v>
      </c>
      <c r="J9420" t="s">
        <v>58497</v>
      </c>
      <c r="K9420" t="s">
        <v>58498</v>
      </c>
      <c r="L9420" t="s">
        <v>58492</v>
      </c>
    </row>
    <row r="9421" spans="1:12" x14ac:dyDescent="0.25">
      <c r="A9421">
        <v>1757217</v>
      </c>
      <c r="B9421">
        <v>1854873</v>
      </c>
      <c r="D9421">
        <v>0</v>
      </c>
      <c r="E9421" t="s">
        <v>58499</v>
      </c>
      <c r="H9421" t="s">
        <v>187</v>
      </c>
      <c r="J9421">
        <v>0</v>
      </c>
      <c r="K9421" t="s">
        <v>18379</v>
      </c>
      <c r="L9421">
        <v>0</v>
      </c>
    </row>
    <row r="9422" spans="1:12" x14ac:dyDescent="0.25">
      <c r="A9422">
        <v>1757223</v>
      </c>
      <c r="B9422">
        <v>1757227</v>
      </c>
      <c r="D9422">
        <v>0</v>
      </c>
      <c r="E9422" t="s">
        <v>58501</v>
      </c>
      <c r="F9422" t="s">
        <v>58502</v>
      </c>
      <c r="G9422" t="s">
        <v>58503</v>
      </c>
      <c r="H9422" t="e" vm="4058">
        <f>_FV(0,"07154217410379057")</f>
        <v>#VALUE!</v>
      </c>
      <c r="I9422" t="s">
        <v>58504</v>
      </c>
      <c r="J9422" t="s">
        <v>58505</v>
      </c>
      <c r="K9422" t="s">
        <v>58506</v>
      </c>
      <c r="L9422" t="s">
        <v>58500</v>
      </c>
    </row>
    <row r="9423" spans="1:12" x14ac:dyDescent="0.25">
      <c r="A9423">
        <v>1757227</v>
      </c>
      <c r="B9423">
        <v>1757237</v>
      </c>
      <c r="D9423">
        <v>0</v>
      </c>
      <c r="E9423" t="s">
        <v>58508</v>
      </c>
      <c r="F9423" t="s">
        <v>58509</v>
      </c>
      <c r="G9423" t="s">
        <v>58510</v>
      </c>
      <c r="H9423" t="s">
        <v>58511</v>
      </c>
      <c r="I9423" t="s">
        <v>58512</v>
      </c>
      <c r="J9423" t="s">
        <v>58513</v>
      </c>
      <c r="K9423" t="s">
        <v>58514</v>
      </c>
      <c r="L9423" t="s">
        <v>58507</v>
      </c>
    </row>
    <row r="9424" spans="1:12" x14ac:dyDescent="0.25">
      <c r="A9424">
        <v>1757227</v>
      </c>
      <c r="B9424">
        <v>1757237</v>
      </c>
      <c r="D9424">
        <v>0</v>
      </c>
      <c r="E9424" t="s">
        <v>58516</v>
      </c>
      <c r="F9424" t="s">
        <v>58517</v>
      </c>
      <c r="G9424" t="s">
        <v>58518</v>
      </c>
      <c r="H9424" t="s">
        <v>58519</v>
      </c>
      <c r="I9424" t="s">
        <v>58520</v>
      </c>
      <c r="J9424" t="s">
        <v>58521</v>
      </c>
      <c r="K9424" t="s">
        <v>58522</v>
      </c>
      <c r="L9424" t="s">
        <v>58515</v>
      </c>
    </row>
    <row r="9425" spans="1:12" x14ac:dyDescent="0.25">
      <c r="A9425">
        <v>1757237</v>
      </c>
      <c r="B9425">
        <v>1757242</v>
      </c>
      <c r="D9425">
        <v>0</v>
      </c>
      <c r="E9425" t="s">
        <v>58524</v>
      </c>
      <c r="F9425" t="s">
        <v>58525</v>
      </c>
      <c r="G9425" t="s">
        <v>58526</v>
      </c>
      <c r="H9425" t="e" vm="4059">
        <f>_FV(0,"03777214733158508")</f>
        <v>#VALUE!</v>
      </c>
      <c r="I9425" t="s">
        <v>58527</v>
      </c>
      <c r="J9425" t="s">
        <v>58528</v>
      </c>
      <c r="K9425" t="s">
        <v>58529</v>
      </c>
      <c r="L9425" t="s">
        <v>58523</v>
      </c>
    </row>
    <row r="9426" spans="1:12" x14ac:dyDescent="0.25">
      <c r="A9426">
        <v>1757242</v>
      </c>
      <c r="B9426">
        <v>1757265</v>
      </c>
      <c r="D9426" t="s">
        <v>58531</v>
      </c>
      <c r="E9426" t="s">
        <v>58532</v>
      </c>
      <c r="F9426" t="s">
        <v>58533</v>
      </c>
      <c r="G9426" t="s">
        <v>58534</v>
      </c>
      <c r="H9426" t="e" vm="4060">
        <f>_FV(0,"03331310888703811")</f>
        <v>#VALUE!</v>
      </c>
      <c r="I9426" t="s">
        <v>58535</v>
      </c>
      <c r="J9426" t="s">
        <v>58536</v>
      </c>
      <c r="K9426" t="s">
        <v>58537</v>
      </c>
      <c r="L9426" t="s">
        <v>58530</v>
      </c>
    </row>
    <row r="9427" spans="1:12" x14ac:dyDescent="0.25">
      <c r="A9427">
        <v>1757242</v>
      </c>
      <c r="B9427">
        <v>1757265</v>
      </c>
      <c r="D9427" t="s">
        <v>12940</v>
      </c>
      <c r="E9427" t="s">
        <v>58539</v>
      </c>
      <c r="F9427" t="s">
        <v>58540</v>
      </c>
      <c r="G9427" t="s">
        <v>58541</v>
      </c>
      <c r="H9427" t="e" vm="4061">
        <f>_FV(0,"03337110412834764")</f>
        <v>#VALUE!</v>
      </c>
      <c r="I9427" t="s">
        <v>58542</v>
      </c>
      <c r="J9427" t="s">
        <v>58543</v>
      </c>
      <c r="K9427" t="s">
        <v>58544</v>
      </c>
      <c r="L9427" t="s">
        <v>58538</v>
      </c>
    </row>
    <row r="9428" spans="1:12" x14ac:dyDescent="0.25">
      <c r="A9428">
        <v>1757265</v>
      </c>
      <c r="B9428">
        <v>1757270</v>
      </c>
      <c r="C9428" t="s">
        <v>58546</v>
      </c>
      <c r="D9428" t="s">
        <v>58547</v>
      </c>
      <c r="E9428" t="s">
        <v>58548</v>
      </c>
      <c r="F9428" t="s">
        <v>58549</v>
      </c>
      <c r="G9428" t="s">
        <v>58550</v>
      </c>
      <c r="H9428" t="e" vm="4062">
        <f>_FV(0,"03842595614591207")</f>
        <v>#VALUE!</v>
      </c>
      <c r="I9428" t="s">
        <v>58551</v>
      </c>
      <c r="J9428" t="s">
        <v>58552</v>
      </c>
      <c r="K9428" t="s">
        <v>58553</v>
      </c>
      <c r="L9428" t="s">
        <v>58545</v>
      </c>
    </row>
    <row r="9429" spans="1:12" x14ac:dyDescent="0.25">
      <c r="A9429">
        <v>1757270</v>
      </c>
      <c r="B9429">
        <v>1757294</v>
      </c>
      <c r="D9429">
        <v>0</v>
      </c>
      <c r="E9429" t="s">
        <v>58555</v>
      </c>
      <c r="F9429" t="s">
        <v>58556</v>
      </c>
      <c r="G9429" t="s">
        <v>58557</v>
      </c>
      <c r="H9429" t="s">
        <v>58558</v>
      </c>
      <c r="I9429" t="s">
        <v>58559</v>
      </c>
      <c r="J9429" t="s">
        <v>58554</v>
      </c>
      <c r="K9429" t="s">
        <v>58560</v>
      </c>
      <c r="L9429" t="s">
        <v>58554</v>
      </c>
    </row>
    <row r="9430" spans="1:12" x14ac:dyDescent="0.25">
      <c r="A9430">
        <v>1757270</v>
      </c>
      <c r="B9430">
        <v>1757294</v>
      </c>
      <c r="D9430">
        <v>0</v>
      </c>
      <c r="E9430" t="s">
        <v>58562</v>
      </c>
      <c r="F9430" t="s">
        <v>58563</v>
      </c>
      <c r="G9430" t="s">
        <v>58564</v>
      </c>
      <c r="H9430" t="s">
        <v>58565</v>
      </c>
      <c r="I9430" t="s">
        <v>58566</v>
      </c>
      <c r="J9430" t="s">
        <v>58567</v>
      </c>
      <c r="K9430" t="s">
        <v>58568</v>
      </c>
      <c r="L9430" t="s">
        <v>58561</v>
      </c>
    </row>
    <row r="9431" spans="1:12" x14ac:dyDescent="0.25">
      <c r="A9431">
        <v>1757380</v>
      </c>
      <c r="B9431">
        <v>1757396</v>
      </c>
      <c r="D9431">
        <v>0</v>
      </c>
      <c r="E9431" t="s">
        <v>58570</v>
      </c>
      <c r="F9431" t="s">
        <v>58571</v>
      </c>
      <c r="G9431" t="s">
        <v>58572</v>
      </c>
      <c r="H9431" t="s">
        <v>58573</v>
      </c>
      <c r="I9431" t="s">
        <v>58574</v>
      </c>
      <c r="J9431" t="s">
        <v>58575</v>
      </c>
      <c r="K9431" t="s">
        <v>58576</v>
      </c>
      <c r="L9431" t="s">
        <v>58569</v>
      </c>
    </row>
    <row r="9432" spans="1:12" x14ac:dyDescent="0.25">
      <c r="A9432">
        <v>1757380</v>
      </c>
      <c r="B9432">
        <v>1757410</v>
      </c>
      <c r="D9432">
        <v>0</v>
      </c>
      <c r="E9432" t="s">
        <v>58577</v>
      </c>
      <c r="F9432" t="s">
        <v>58578</v>
      </c>
      <c r="G9432" t="s">
        <v>58579</v>
      </c>
      <c r="H9432" t="e" vm="4063">
        <f>_FV(0,"042684143573224836")</f>
        <v>#VALUE!</v>
      </c>
      <c r="I9432" t="s">
        <v>58580</v>
      </c>
      <c r="J9432" t="s">
        <v>28256</v>
      </c>
      <c r="K9432" t="s">
        <v>58581</v>
      </c>
      <c r="L9432" t="s">
        <v>28251</v>
      </c>
    </row>
    <row r="9433" spans="1:12" x14ac:dyDescent="0.25">
      <c r="A9433">
        <v>1757396</v>
      </c>
      <c r="B9433">
        <v>1757406</v>
      </c>
      <c r="D9433">
        <v>0</v>
      </c>
      <c r="E9433" t="s">
        <v>58583</v>
      </c>
      <c r="F9433" t="s">
        <v>58584</v>
      </c>
      <c r="G9433" t="s">
        <v>58585</v>
      </c>
      <c r="H9433" t="s">
        <v>58586</v>
      </c>
      <c r="I9433" t="s">
        <v>58587</v>
      </c>
      <c r="J9433" t="s">
        <v>58582</v>
      </c>
      <c r="K9433" t="s">
        <v>58588</v>
      </c>
      <c r="L9433" t="s">
        <v>58582</v>
      </c>
    </row>
    <row r="9434" spans="1:12" x14ac:dyDescent="0.25">
      <c r="A9434">
        <v>1757406</v>
      </c>
      <c r="B9434">
        <v>1757410</v>
      </c>
      <c r="D9434">
        <v>0</v>
      </c>
      <c r="F9434">
        <v>2007464</v>
      </c>
      <c r="G9434">
        <v>1757410</v>
      </c>
      <c r="H9434" t="e" vm="122">
        <f>_FV(0,"017")</f>
        <v>#VALUE!</v>
      </c>
      <c r="I9434">
        <v>1757406</v>
      </c>
      <c r="J9434" t="s">
        <v>1814</v>
      </c>
      <c r="K9434" t="s">
        <v>58589</v>
      </c>
      <c r="L9434" t="e" vm="122">
        <f>_FV(0,"017")</f>
        <v>#VALUE!</v>
      </c>
    </row>
    <row r="9435" spans="1:12" x14ac:dyDescent="0.25">
      <c r="A9435">
        <v>1757502</v>
      </c>
      <c r="B9435">
        <v>1757524</v>
      </c>
      <c r="D9435">
        <v>0</v>
      </c>
      <c r="E9435" t="s">
        <v>58591</v>
      </c>
      <c r="F9435" t="s">
        <v>58592</v>
      </c>
      <c r="G9435" t="s">
        <v>58593</v>
      </c>
      <c r="H9435" t="e" vm="4064">
        <f>_FV(0,"02006368344999681")</f>
        <v>#VALUE!</v>
      </c>
      <c r="I9435" t="s">
        <v>58594</v>
      </c>
      <c r="J9435" t="s">
        <v>58595</v>
      </c>
      <c r="K9435" t="s">
        <v>58596</v>
      </c>
      <c r="L9435" t="s">
        <v>58590</v>
      </c>
    </row>
    <row r="9436" spans="1:12" x14ac:dyDescent="0.25">
      <c r="A9436">
        <v>1757535</v>
      </c>
      <c r="B9436">
        <v>1757568</v>
      </c>
      <c r="D9436">
        <v>0</v>
      </c>
      <c r="E9436" t="s">
        <v>58597</v>
      </c>
      <c r="F9436">
        <v>2007744</v>
      </c>
      <c r="G9436">
        <v>1757535</v>
      </c>
      <c r="H9436" t="e" vm="827">
        <f>_FV(0,"294")</f>
        <v>#VALUE!</v>
      </c>
      <c r="I9436">
        <v>1757568</v>
      </c>
      <c r="J9436" t="s">
        <v>12039</v>
      </c>
      <c r="K9436" t="s">
        <v>58598</v>
      </c>
      <c r="L9436" t="e" vm="827">
        <f>_FV(0,"294")</f>
        <v>#VALUE!</v>
      </c>
    </row>
    <row r="9437" spans="1:12" x14ac:dyDescent="0.25">
      <c r="A9437">
        <v>1760937</v>
      </c>
      <c r="B9437">
        <v>1791946</v>
      </c>
      <c r="C9437" t="s">
        <v>58600</v>
      </c>
      <c r="D9437" t="s">
        <v>58601</v>
      </c>
      <c r="E9437" t="s">
        <v>58602</v>
      </c>
      <c r="F9437" t="s">
        <v>58603</v>
      </c>
      <c r="G9437" t="s">
        <v>58604</v>
      </c>
      <c r="H9437" t="e" vm="4065">
        <f>_FV(0,"008495253189080803")</f>
        <v>#VALUE!</v>
      </c>
      <c r="I9437" t="s">
        <v>58605</v>
      </c>
      <c r="J9437" t="s">
        <v>58606</v>
      </c>
      <c r="K9437" t="s">
        <v>58607</v>
      </c>
      <c r="L9437" t="s">
        <v>58599</v>
      </c>
    </row>
    <row r="9438" spans="1:12" x14ac:dyDescent="0.25">
      <c r="A9438">
        <v>1760943</v>
      </c>
      <c r="B9438">
        <v>1797356</v>
      </c>
      <c r="D9438">
        <v>0</v>
      </c>
      <c r="E9438" t="s">
        <v>58609</v>
      </c>
      <c r="F9438" t="s">
        <v>58610</v>
      </c>
      <c r="G9438" t="s">
        <v>58611</v>
      </c>
      <c r="H9438" t="s">
        <v>58612</v>
      </c>
      <c r="I9438" t="s">
        <v>58613</v>
      </c>
      <c r="J9438" t="s">
        <v>58614</v>
      </c>
      <c r="K9438" t="s">
        <v>58615</v>
      </c>
      <c r="L9438" t="s">
        <v>58608</v>
      </c>
    </row>
    <row r="9439" spans="1:12" x14ac:dyDescent="0.25">
      <c r="A9439">
        <v>1760943</v>
      </c>
      <c r="B9439">
        <v>1797345</v>
      </c>
      <c r="D9439">
        <v>0</v>
      </c>
      <c r="E9439" t="s">
        <v>58617</v>
      </c>
      <c r="F9439" t="s">
        <v>58618</v>
      </c>
      <c r="G9439" t="s">
        <v>58619</v>
      </c>
      <c r="H9439" t="s">
        <v>58620</v>
      </c>
      <c r="I9439" t="s">
        <v>58621</v>
      </c>
      <c r="J9439" t="s">
        <v>58622</v>
      </c>
      <c r="K9439" t="s">
        <v>58623</v>
      </c>
      <c r="L9439" t="s">
        <v>58616</v>
      </c>
    </row>
    <row r="9440" spans="1:12" x14ac:dyDescent="0.25">
      <c r="A9440">
        <v>1760943</v>
      </c>
      <c r="B9440">
        <v>1824435</v>
      </c>
      <c r="D9440">
        <v>0</v>
      </c>
      <c r="E9440" t="s">
        <v>58625</v>
      </c>
      <c r="F9440" t="s">
        <v>58626</v>
      </c>
      <c r="G9440" t="s">
        <v>58627</v>
      </c>
      <c r="H9440" t="e" vm="4066">
        <f>_FV(0,"01632740355606297")</f>
        <v>#VALUE!</v>
      </c>
      <c r="I9440" t="s">
        <v>58628</v>
      </c>
      <c r="J9440" t="s">
        <v>58629</v>
      </c>
      <c r="K9440" t="s">
        <v>58630</v>
      </c>
      <c r="L9440" t="s">
        <v>58624</v>
      </c>
    </row>
    <row r="9441" spans="1:12" x14ac:dyDescent="0.25">
      <c r="A9441">
        <v>1760961</v>
      </c>
      <c r="B9441">
        <v>1694778</v>
      </c>
      <c r="D9441">
        <v>0</v>
      </c>
      <c r="E9441" t="s">
        <v>58632</v>
      </c>
      <c r="F9441" t="s">
        <v>58633</v>
      </c>
      <c r="G9441" t="s">
        <v>58634</v>
      </c>
      <c r="H9441" t="s">
        <v>58635</v>
      </c>
      <c r="I9441" t="s">
        <v>58636</v>
      </c>
      <c r="J9441" t="s">
        <v>58637</v>
      </c>
      <c r="K9441" t="s">
        <v>58638</v>
      </c>
      <c r="L9441" t="s">
        <v>58631</v>
      </c>
    </row>
    <row r="9442" spans="1:12" x14ac:dyDescent="0.25">
      <c r="A9442">
        <v>1760961</v>
      </c>
      <c r="B9442">
        <v>1055039</v>
      </c>
      <c r="D9442">
        <v>0</v>
      </c>
      <c r="E9442" t="s">
        <v>58640</v>
      </c>
      <c r="F9442" t="s">
        <v>58641</v>
      </c>
      <c r="G9442" t="s">
        <v>58642</v>
      </c>
      <c r="H9442" t="e" vm="4067">
        <f>_FV(0,"08310845003330952")</f>
        <v>#VALUE!</v>
      </c>
      <c r="I9442" t="s">
        <v>58643</v>
      </c>
      <c r="J9442" t="s">
        <v>58644</v>
      </c>
      <c r="K9442" t="s">
        <v>58645</v>
      </c>
      <c r="L9442" t="s">
        <v>58639</v>
      </c>
    </row>
    <row r="9443" spans="1:12" x14ac:dyDescent="0.25">
      <c r="A9443">
        <v>1760961</v>
      </c>
      <c r="B9443">
        <v>1797356</v>
      </c>
      <c r="D9443">
        <v>0</v>
      </c>
      <c r="E9443" t="s">
        <v>58647</v>
      </c>
      <c r="F9443" t="s">
        <v>58648</v>
      </c>
      <c r="G9443" t="s">
        <v>58649</v>
      </c>
      <c r="H9443" t="e" vm="4068">
        <f>_FV(0,"09591214730896476")</f>
        <v>#VALUE!</v>
      </c>
      <c r="I9443" t="s">
        <v>58650</v>
      </c>
      <c r="J9443" t="s">
        <v>58651</v>
      </c>
      <c r="K9443" t="s">
        <v>58652</v>
      </c>
      <c r="L9443" t="s">
        <v>58646</v>
      </c>
    </row>
    <row r="9444" spans="1:12" x14ac:dyDescent="0.25">
      <c r="A9444">
        <v>1760981</v>
      </c>
      <c r="B9444">
        <v>1761012</v>
      </c>
      <c r="D9444" t="s">
        <v>58654</v>
      </c>
      <c r="E9444" t="s">
        <v>58655</v>
      </c>
      <c r="F9444" t="s">
        <v>58656</v>
      </c>
      <c r="G9444" t="s">
        <v>58657</v>
      </c>
      <c r="H9444" t="e" vm="4069">
        <f>_FV(0,"00262748427907918")</f>
        <v>#VALUE!</v>
      </c>
      <c r="I9444" t="s">
        <v>58658</v>
      </c>
      <c r="J9444" t="s">
        <v>58659</v>
      </c>
      <c r="K9444" t="s">
        <v>58660</v>
      </c>
      <c r="L9444" t="s">
        <v>58653</v>
      </c>
    </row>
    <row r="9445" spans="1:12" x14ac:dyDescent="0.25">
      <c r="A9445">
        <v>1760981</v>
      </c>
      <c r="B9445">
        <v>1761012</v>
      </c>
      <c r="D9445" t="s">
        <v>58662</v>
      </c>
      <c r="E9445" t="s">
        <v>58663</v>
      </c>
      <c r="F9445" t="s">
        <v>58664</v>
      </c>
      <c r="G9445" t="s">
        <v>58665</v>
      </c>
      <c r="H9445" t="e" vm="4070">
        <f>_FV(0,"0023626092060234074")</f>
        <v>#VALUE!</v>
      </c>
      <c r="I9445" t="s">
        <v>58666</v>
      </c>
      <c r="J9445" t="s">
        <v>58667</v>
      </c>
      <c r="K9445" t="s">
        <v>58668</v>
      </c>
      <c r="L9445" t="s">
        <v>58661</v>
      </c>
    </row>
    <row r="9446" spans="1:12" x14ac:dyDescent="0.25">
      <c r="A9446">
        <v>1761028</v>
      </c>
      <c r="B9446">
        <v>1761060</v>
      </c>
      <c r="D9446">
        <v>0</v>
      </c>
      <c r="E9446" t="s">
        <v>58670</v>
      </c>
      <c r="F9446" t="s">
        <v>58671</v>
      </c>
      <c r="G9446" t="s">
        <v>58672</v>
      </c>
      <c r="H9446" t="s">
        <v>58673</v>
      </c>
      <c r="I9446" t="s">
        <v>58674</v>
      </c>
      <c r="J9446" t="s">
        <v>58675</v>
      </c>
      <c r="K9446" t="s">
        <v>58676</v>
      </c>
      <c r="L9446" t="s">
        <v>58669</v>
      </c>
    </row>
    <row r="9447" spans="1:12" x14ac:dyDescent="0.25">
      <c r="A9447">
        <v>1761028</v>
      </c>
      <c r="B9447">
        <v>1761060</v>
      </c>
      <c r="D9447">
        <v>0</v>
      </c>
      <c r="E9447" t="s">
        <v>58678</v>
      </c>
      <c r="F9447" t="s">
        <v>58679</v>
      </c>
      <c r="G9447" t="s">
        <v>58680</v>
      </c>
      <c r="H9447" t="s">
        <v>58681</v>
      </c>
      <c r="I9447" t="s">
        <v>58682</v>
      </c>
      <c r="J9447" t="s">
        <v>58683</v>
      </c>
      <c r="K9447" t="s">
        <v>58684</v>
      </c>
      <c r="L9447" t="s">
        <v>58677</v>
      </c>
    </row>
    <row r="9448" spans="1:12" x14ac:dyDescent="0.25">
      <c r="A9448">
        <v>1761060</v>
      </c>
      <c r="B9448">
        <v>1761062</v>
      </c>
      <c r="D9448" t="s">
        <v>58686</v>
      </c>
      <c r="E9448" t="s">
        <v>58687</v>
      </c>
      <c r="F9448" t="s">
        <v>58688</v>
      </c>
      <c r="G9448" t="s">
        <v>58689</v>
      </c>
      <c r="H9448" t="e" vm="4071">
        <f>_FV(0,"016499940745878357")</f>
        <v>#VALUE!</v>
      </c>
      <c r="I9448" t="s">
        <v>58690</v>
      </c>
      <c r="J9448" t="s">
        <v>58691</v>
      </c>
      <c r="K9448" t="s">
        <v>58692</v>
      </c>
      <c r="L9448" t="s">
        <v>58685</v>
      </c>
    </row>
    <row r="9449" spans="1:12" x14ac:dyDescent="0.25">
      <c r="A9449">
        <v>1761221</v>
      </c>
      <c r="B9449">
        <v>1761249</v>
      </c>
      <c r="D9449">
        <v>0</v>
      </c>
      <c r="E9449" t="s">
        <v>58694</v>
      </c>
      <c r="F9449" t="s">
        <v>58695</v>
      </c>
      <c r="G9449" t="s">
        <v>58696</v>
      </c>
      <c r="H9449" t="e" vm="4072">
        <f>_FV(0,"008477684327782231")</f>
        <v>#VALUE!</v>
      </c>
      <c r="I9449" t="s">
        <v>58697</v>
      </c>
      <c r="J9449" t="s">
        <v>58698</v>
      </c>
      <c r="K9449" t="s">
        <v>58699</v>
      </c>
      <c r="L9449" t="s">
        <v>58693</v>
      </c>
    </row>
    <row r="9450" spans="1:12" x14ac:dyDescent="0.25">
      <c r="A9450">
        <v>1761221</v>
      </c>
      <c r="B9450">
        <v>1761249</v>
      </c>
      <c r="D9450">
        <v>0</v>
      </c>
      <c r="E9450" t="s">
        <v>58701</v>
      </c>
      <c r="F9450" t="s">
        <v>58702</v>
      </c>
      <c r="G9450" t="s">
        <v>58703</v>
      </c>
      <c r="H9450" t="e" vm="4073">
        <f>_FV(0,"008676896605581927")</f>
        <v>#VALUE!</v>
      </c>
      <c r="I9450" t="s">
        <v>58704</v>
      </c>
      <c r="J9450" t="s">
        <v>58705</v>
      </c>
      <c r="K9450" t="s">
        <v>58706</v>
      </c>
      <c r="L9450" t="s">
        <v>58700</v>
      </c>
    </row>
    <row r="9451" spans="1:12" x14ac:dyDescent="0.25">
      <c r="A9451">
        <v>1761256</v>
      </c>
      <c r="B9451">
        <v>1761273</v>
      </c>
      <c r="D9451">
        <v>0</v>
      </c>
      <c r="E9451" t="s">
        <v>58708</v>
      </c>
      <c r="F9451" t="s">
        <v>58709</v>
      </c>
      <c r="G9451" t="s">
        <v>58710</v>
      </c>
      <c r="H9451" t="e" vm="4074">
        <f>_FV(0,"0031494003778635314")</f>
        <v>#VALUE!</v>
      </c>
      <c r="I9451" t="s">
        <v>58711</v>
      </c>
      <c r="J9451" t="s">
        <v>58712</v>
      </c>
      <c r="K9451" t="s">
        <v>58713</v>
      </c>
      <c r="L9451" t="s">
        <v>58707</v>
      </c>
    </row>
    <row r="9452" spans="1:12" x14ac:dyDescent="0.25">
      <c r="A9452">
        <v>1761256</v>
      </c>
      <c r="B9452">
        <v>1761273</v>
      </c>
      <c r="D9452">
        <v>0</v>
      </c>
      <c r="E9452" t="s">
        <v>58715</v>
      </c>
      <c r="F9452" t="s">
        <v>58716</v>
      </c>
      <c r="G9452" t="s">
        <v>58717</v>
      </c>
      <c r="H9452" t="e" vm="4075">
        <f>_FV(0,"0033870678295085084")</f>
        <v>#VALUE!</v>
      </c>
      <c r="I9452" t="s">
        <v>58718</v>
      </c>
      <c r="J9452" t="s">
        <v>58719</v>
      </c>
      <c r="K9452" t="s">
        <v>58720</v>
      </c>
      <c r="L9452" t="s">
        <v>58714</v>
      </c>
    </row>
    <row r="9453" spans="1:12" x14ac:dyDescent="0.25">
      <c r="A9453">
        <v>1761962</v>
      </c>
      <c r="B9453">
        <v>1780685</v>
      </c>
      <c r="D9453">
        <v>0</v>
      </c>
      <c r="E9453" t="s">
        <v>58722</v>
      </c>
      <c r="F9453" t="s">
        <v>58723</v>
      </c>
      <c r="G9453" t="s">
        <v>58724</v>
      </c>
      <c r="H9453" t="e" vm="4076">
        <f>_FV(0,"017846056692300105")</f>
        <v>#VALUE!</v>
      </c>
      <c r="I9453" t="s">
        <v>58725</v>
      </c>
      <c r="J9453" t="s">
        <v>58726</v>
      </c>
      <c r="K9453" t="s">
        <v>58727</v>
      </c>
      <c r="L9453" t="s">
        <v>58721</v>
      </c>
    </row>
    <row r="9454" spans="1:12" x14ac:dyDescent="0.25">
      <c r="A9454">
        <v>1762019</v>
      </c>
      <c r="B9454">
        <v>1762030</v>
      </c>
      <c r="D9454">
        <v>0</v>
      </c>
      <c r="E9454" t="s">
        <v>58729</v>
      </c>
      <c r="F9454" t="s">
        <v>58730</v>
      </c>
      <c r="G9454" t="s">
        <v>58731</v>
      </c>
      <c r="H9454" t="s">
        <v>58732</v>
      </c>
      <c r="I9454" t="s">
        <v>58733</v>
      </c>
      <c r="J9454" t="s">
        <v>58734</v>
      </c>
      <c r="K9454" t="s">
        <v>58735</v>
      </c>
      <c r="L9454" t="s">
        <v>58728</v>
      </c>
    </row>
    <row r="9455" spans="1:12" x14ac:dyDescent="0.25">
      <c r="A9455">
        <v>1762030</v>
      </c>
      <c r="B9455">
        <v>1762062</v>
      </c>
      <c r="D9455">
        <v>0</v>
      </c>
      <c r="E9455" t="s">
        <v>58737</v>
      </c>
      <c r="F9455" t="s">
        <v>58738</v>
      </c>
      <c r="G9455" t="s">
        <v>58739</v>
      </c>
      <c r="H9455" t="e" vm="4077">
        <f>_FV(0,"02980359126938528")</f>
        <v>#VALUE!</v>
      </c>
      <c r="I9455" t="s">
        <v>58740</v>
      </c>
      <c r="J9455" t="s">
        <v>58741</v>
      </c>
      <c r="K9455" t="s">
        <v>58742</v>
      </c>
      <c r="L9455" t="s">
        <v>58736</v>
      </c>
    </row>
    <row r="9456" spans="1:12" x14ac:dyDescent="0.25">
      <c r="A9456">
        <v>1762062</v>
      </c>
      <c r="B9456">
        <v>1762071</v>
      </c>
      <c r="D9456">
        <v>1</v>
      </c>
      <c r="E9456" t="s">
        <v>58744</v>
      </c>
      <c r="F9456" t="s">
        <v>58745</v>
      </c>
      <c r="G9456" t="s">
        <v>58746</v>
      </c>
      <c r="H9456" t="e" vm="4078">
        <f>_FV(0,"0006499106593107785")</f>
        <v>#VALUE!</v>
      </c>
      <c r="I9456" t="s">
        <v>58747</v>
      </c>
      <c r="J9456" t="s">
        <v>58748</v>
      </c>
      <c r="K9456" t="s">
        <v>58749</v>
      </c>
      <c r="L9456" t="s">
        <v>58743</v>
      </c>
    </row>
    <row r="9457" spans="1:12" x14ac:dyDescent="0.25">
      <c r="A9457">
        <v>1762062</v>
      </c>
      <c r="B9457">
        <v>1762785</v>
      </c>
      <c r="D9457">
        <v>0</v>
      </c>
      <c r="E9457" t="s">
        <v>58751</v>
      </c>
      <c r="F9457" t="s">
        <v>58752</v>
      </c>
      <c r="G9457" t="s">
        <v>58753</v>
      </c>
      <c r="H9457" t="e" vm="4079">
        <f>_FV(0,"013089123418909668")</f>
        <v>#VALUE!</v>
      </c>
      <c r="I9457" t="s">
        <v>58754</v>
      </c>
      <c r="J9457" t="s">
        <v>58755</v>
      </c>
      <c r="K9457" t="s">
        <v>58756</v>
      </c>
      <c r="L9457" t="s">
        <v>58750</v>
      </c>
    </row>
    <row r="9458" spans="1:12" x14ac:dyDescent="0.25">
      <c r="A9458">
        <v>1762071</v>
      </c>
      <c r="B9458">
        <v>1762120</v>
      </c>
      <c r="D9458" t="s">
        <v>19681</v>
      </c>
      <c r="E9458" t="s">
        <v>58758</v>
      </c>
      <c r="F9458" t="s">
        <v>58759</v>
      </c>
      <c r="G9458" t="s">
        <v>58760</v>
      </c>
      <c r="H9458" t="s">
        <v>58761</v>
      </c>
      <c r="I9458" t="s">
        <v>58762</v>
      </c>
      <c r="J9458" t="s">
        <v>58757</v>
      </c>
      <c r="K9458" t="s">
        <v>58763</v>
      </c>
      <c r="L9458" t="s">
        <v>58757</v>
      </c>
    </row>
    <row r="9459" spans="1:12" x14ac:dyDescent="0.25">
      <c r="A9459">
        <v>1762071</v>
      </c>
      <c r="B9459">
        <v>1787249</v>
      </c>
      <c r="D9459">
        <v>1</v>
      </c>
      <c r="E9459" t="s">
        <v>58765</v>
      </c>
      <c r="F9459" t="s">
        <v>58766</v>
      </c>
      <c r="G9459" t="s">
        <v>58767</v>
      </c>
      <c r="H9459" t="s">
        <v>58768</v>
      </c>
      <c r="I9459" t="s">
        <v>58769</v>
      </c>
      <c r="J9459" t="s">
        <v>58764</v>
      </c>
      <c r="K9459" t="s">
        <v>58770</v>
      </c>
      <c r="L9459" t="s">
        <v>58764</v>
      </c>
    </row>
    <row r="9460" spans="1:12" x14ac:dyDescent="0.25">
      <c r="A9460">
        <v>1762099</v>
      </c>
      <c r="B9460">
        <v>1236298</v>
      </c>
      <c r="C9460" t="s">
        <v>58772</v>
      </c>
      <c r="D9460">
        <v>0</v>
      </c>
      <c r="E9460" t="s">
        <v>58773</v>
      </c>
      <c r="F9460" t="s">
        <v>58774</v>
      </c>
      <c r="G9460" t="s">
        <v>58775</v>
      </c>
      <c r="H9460" t="e" vm="4080">
        <f>_FV(0,"03979134916391114")</f>
        <v>#VALUE!</v>
      </c>
      <c r="I9460" t="s">
        <v>58776</v>
      </c>
      <c r="J9460" t="s">
        <v>58777</v>
      </c>
      <c r="K9460" t="s">
        <v>58778</v>
      </c>
      <c r="L9460" t="s">
        <v>58771</v>
      </c>
    </row>
    <row r="9461" spans="1:12" x14ac:dyDescent="0.25">
      <c r="A9461">
        <v>1762099</v>
      </c>
      <c r="B9461">
        <v>1762112</v>
      </c>
      <c r="D9461">
        <v>0</v>
      </c>
      <c r="E9461" t="s">
        <v>58780</v>
      </c>
      <c r="F9461" t="s">
        <v>58781</v>
      </c>
      <c r="G9461" t="s">
        <v>58782</v>
      </c>
      <c r="H9461" t="e" vm="4081">
        <f>_FV(0,"027534047747462913")</f>
        <v>#VALUE!</v>
      </c>
      <c r="I9461" t="s">
        <v>58783</v>
      </c>
      <c r="J9461" t="s">
        <v>58784</v>
      </c>
      <c r="K9461" t="s">
        <v>58785</v>
      </c>
      <c r="L9461" t="s">
        <v>58779</v>
      </c>
    </row>
    <row r="9462" spans="1:12" x14ac:dyDescent="0.25">
      <c r="A9462">
        <v>1762099</v>
      </c>
      <c r="B9462">
        <v>1854801</v>
      </c>
      <c r="C9462" t="s">
        <v>58786</v>
      </c>
      <c r="D9462">
        <v>0</v>
      </c>
      <c r="E9462" t="s">
        <v>58787</v>
      </c>
      <c r="H9462" t="s">
        <v>187</v>
      </c>
      <c r="J9462">
        <v>0</v>
      </c>
      <c r="K9462" t="s">
        <v>15547</v>
      </c>
      <c r="L9462">
        <v>0</v>
      </c>
    </row>
    <row r="9463" spans="1:12" x14ac:dyDescent="0.25">
      <c r="A9463">
        <v>1236298</v>
      </c>
      <c r="B9463">
        <v>1811243</v>
      </c>
      <c r="D9463">
        <v>0</v>
      </c>
      <c r="E9463" t="s">
        <v>58789</v>
      </c>
      <c r="F9463" t="s">
        <v>58790</v>
      </c>
      <c r="G9463" t="s">
        <v>58791</v>
      </c>
      <c r="H9463" t="s">
        <v>58792</v>
      </c>
      <c r="I9463" t="s">
        <v>58793</v>
      </c>
      <c r="J9463" t="s">
        <v>58794</v>
      </c>
      <c r="K9463" t="s">
        <v>58795</v>
      </c>
      <c r="L9463" t="s">
        <v>58788</v>
      </c>
    </row>
    <row r="9464" spans="1:12" x14ac:dyDescent="0.25">
      <c r="A9464">
        <v>1236298</v>
      </c>
      <c r="B9464">
        <v>1762112</v>
      </c>
      <c r="D9464">
        <v>0</v>
      </c>
      <c r="E9464" t="s">
        <v>58797</v>
      </c>
      <c r="F9464" t="s">
        <v>58798</v>
      </c>
      <c r="G9464" t="s">
        <v>58799</v>
      </c>
      <c r="H9464" t="e" vm="4082">
        <f>_FV(0,"033003693407347816")</f>
        <v>#VALUE!</v>
      </c>
      <c r="I9464" t="s">
        <v>58800</v>
      </c>
      <c r="J9464" t="s">
        <v>58801</v>
      </c>
      <c r="K9464" t="s">
        <v>58802</v>
      </c>
      <c r="L9464" t="s">
        <v>58796</v>
      </c>
    </row>
    <row r="9465" spans="1:12" x14ac:dyDescent="0.25">
      <c r="A9465">
        <v>1762120</v>
      </c>
      <c r="B9465">
        <v>1762143</v>
      </c>
      <c r="D9465">
        <v>0</v>
      </c>
      <c r="E9465" t="s">
        <v>58804</v>
      </c>
      <c r="F9465" t="s">
        <v>58805</v>
      </c>
      <c r="G9465" t="s">
        <v>58806</v>
      </c>
      <c r="H9465" t="e" vm="4083">
        <f>_FV(0,"011979713548171629")</f>
        <v>#VALUE!</v>
      </c>
      <c r="I9465" t="s">
        <v>58807</v>
      </c>
      <c r="J9465" t="s">
        <v>58808</v>
      </c>
      <c r="K9465" t="s">
        <v>58809</v>
      </c>
      <c r="L9465" t="s">
        <v>58803</v>
      </c>
    </row>
    <row r="9466" spans="1:12" x14ac:dyDescent="0.25">
      <c r="A9466">
        <v>1762120</v>
      </c>
      <c r="B9466">
        <v>1763857</v>
      </c>
      <c r="D9466">
        <v>0</v>
      </c>
      <c r="E9466" t="s">
        <v>58811</v>
      </c>
      <c r="F9466" t="s">
        <v>58812</v>
      </c>
      <c r="G9466" t="s">
        <v>58813</v>
      </c>
      <c r="H9466" t="s">
        <v>58814</v>
      </c>
      <c r="I9466" t="s">
        <v>58815</v>
      </c>
      <c r="J9466" t="s">
        <v>58816</v>
      </c>
      <c r="K9466" t="s">
        <v>58817</v>
      </c>
      <c r="L9466" t="s">
        <v>58810</v>
      </c>
    </row>
    <row r="9467" spans="1:12" x14ac:dyDescent="0.25">
      <c r="A9467">
        <v>1762143</v>
      </c>
      <c r="B9467">
        <v>1762198</v>
      </c>
      <c r="D9467">
        <v>0</v>
      </c>
      <c r="E9467" t="s">
        <v>58819</v>
      </c>
      <c r="F9467" t="s">
        <v>58820</v>
      </c>
      <c r="G9467" t="s">
        <v>58821</v>
      </c>
      <c r="H9467" t="e" vm="4084">
        <f>_FV(0,"06565393056209472")</f>
        <v>#VALUE!</v>
      </c>
      <c r="I9467" t="s">
        <v>58822</v>
      </c>
      <c r="J9467" t="s">
        <v>58823</v>
      </c>
      <c r="K9467" t="s">
        <v>58824</v>
      </c>
      <c r="L9467" t="s">
        <v>58818</v>
      </c>
    </row>
    <row r="9468" spans="1:12" x14ac:dyDescent="0.25">
      <c r="A9468">
        <v>1762198</v>
      </c>
      <c r="B9468">
        <v>1762250</v>
      </c>
      <c r="D9468">
        <v>0</v>
      </c>
      <c r="E9468" t="s">
        <v>58826</v>
      </c>
      <c r="F9468" t="s">
        <v>58827</v>
      </c>
      <c r="G9468" t="s">
        <v>58828</v>
      </c>
      <c r="H9468" t="s">
        <v>58829</v>
      </c>
      <c r="I9468" t="s">
        <v>58830</v>
      </c>
      <c r="J9468" t="s">
        <v>58831</v>
      </c>
      <c r="K9468" t="s">
        <v>58832</v>
      </c>
      <c r="L9468" t="s">
        <v>58825</v>
      </c>
    </row>
    <row r="9469" spans="1:12" x14ac:dyDescent="0.25">
      <c r="A9469">
        <v>1762250</v>
      </c>
      <c r="B9469">
        <v>1762265</v>
      </c>
      <c r="D9469">
        <v>0</v>
      </c>
      <c r="E9469" t="s">
        <v>58834</v>
      </c>
      <c r="F9469" t="s">
        <v>58835</v>
      </c>
      <c r="G9469" t="s">
        <v>58836</v>
      </c>
      <c r="H9469" t="e" vm="4085">
        <f>_FV(0,"0046737281570180525")</f>
        <v>#VALUE!</v>
      </c>
      <c r="I9469" t="s">
        <v>58837</v>
      </c>
      <c r="J9469" t="s">
        <v>58838</v>
      </c>
      <c r="K9469" t="s">
        <v>58839</v>
      </c>
      <c r="L9469" t="s">
        <v>58833</v>
      </c>
    </row>
    <row r="9470" spans="1:12" x14ac:dyDescent="0.25">
      <c r="A9470">
        <v>1762250</v>
      </c>
      <c r="B9470">
        <v>1797910</v>
      </c>
      <c r="D9470">
        <v>0</v>
      </c>
      <c r="E9470" t="s">
        <v>58841</v>
      </c>
      <c r="F9470" t="s">
        <v>58842</v>
      </c>
      <c r="G9470" t="s">
        <v>58843</v>
      </c>
      <c r="H9470" t="s">
        <v>58844</v>
      </c>
      <c r="I9470" t="s">
        <v>58845</v>
      </c>
      <c r="J9470" t="s">
        <v>58846</v>
      </c>
      <c r="K9470" t="s">
        <v>58847</v>
      </c>
      <c r="L9470" t="s">
        <v>58840</v>
      </c>
    </row>
    <row r="9471" spans="1:12" x14ac:dyDescent="0.25">
      <c r="A9471">
        <v>1762265</v>
      </c>
      <c r="B9471">
        <v>1762334</v>
      </c>
      <c r="D9471">
        <v>0</v>
      </c>
      <c r="E9471" t="s">
        <v>58849</v>
      </c>
      <c r="F9471" t="s">
        <v>58850</v>
      </c>
      <c r="G9471" t="s">
        <v>58851</v>
      </c>
      <c r="H9471" t="s">
        <v>58852</v>
      </c>
      <c r="I9471" t="s">
        <v>58853</v>
      </c>
      <c r="J9471" t="s">
        <v>58854</v>
      </c>
      <c r="K9471" t="s">
        <v>58855</v>
      </c>
      <c r="L9471" t="s">
        <v>58848</v>
      </c>
    </row>
    <row r="9472" spans="1:12" x14ac:dyDescent="0.25">
      <c r="A9472">
        <v>1762265</v>
      </c>
      <c r="B9472">
        <v>1798422</v>
      </c>
      <c r="D9472" t="s">
        <v>2961</v>
      </c>
      <c r="E9472" t="s">
        <v>58857</v>
      </c>
      <c r="F9472" t="s">
        <v>58858</v>
      </c>
      <c r="G9472" t="s">
        <v>58859</v>
      </c>
      <c r="H9472" t="e" vm="4086">
        <f>_FV(0,"06526890505980935")</f>
        <v>#VALUE!</v>
      </c>
      <c r="I9472" t="s">
        <v>58860</v>
      </c>
      <c r="J9472" t="s">
        <v>58861</v>
      </c>
      <c r="K9472" t="s">
        <v>58862</v>
      </c>
      <c r="L9472" t="s">
        <v>58856</v>
      </c>
    </row>
    <row r="9473" spans="1:12" x14ac:dyDescent="0.25">
      <c r="A9473">
        <v>1762334</v>
      </c>
      <c r="B9473">
        <v>1762371</v>
      </c>
      <c r="D9473">
        <v>0</v>
      </c>
      <c r="E9473" t="s">
        <v>58864</v>
      </c>
      <c r="F9473" t="s">
        <v>58865</v>
      </c>
      <c r="G9473" t="s">
        <v>58866</v>
      </c>
      <c r="H9473" t="s">
        <v>58867</v>
      </c>
      <c r="I9473" t="s">
        <v>58868</v>
      </c>
      <c r="J9473" t="s">
        <v>58869</v>
      </c>
      <c r="K9473" t="s">
        <v>58870</v>
      </c>
      <c r="L9473" t="s">
        <v>58863</v>
      </c>
    </row>
    <row r="9474" spans="1:12" x14ac:dyDescent="0.25">
      <c r="A9474">
        <v>1762371</v>
      </c>
      <c r="B9474">
        <v>1762382</v>
      </c>
      <c r="D9474">
        <v>0</v>
      </c>
      <c r="E9474" t="s">
        <v>58872</v>
      </c>
      <c r="F9474" t="s">
        <v>58873</v>
      </c>
      <c r="G9474" t="s">
        <v>58874</v>
      </c>
      <c r="H9474" t="e" vm="4087">
        <f>_FV(0,"06748547745481634")</f>
        <v>#VALUE!</v>
      </c>
      <c r="I9474" t="s">
        <v>58875</v>
      </c>
      <c r="J9474" t="s">
        <v>58876</v>
      </c>
      <c r="K9474" t="s">
        <v>58877</v>
      </c>
      <c r="L9474" t="s">
        <v>58871</v>
      </c>
    </row>
    <row r="9475" spans="1:12" x14ac:dyDescent="0.25">
      <c r="A9475">
        <v>1762382</v>
      </c>
      <c r="B9475">
        <v>1762413</v>
      </c>
      <c r="D9475" t="s">
        <v>1875</v>
      </c>
      <c r="E9475" t="s">
        <v>58879</v>
      </c>
      <c r="F9475" t="s">
        <v>58880</v>
      </c>
      <c r="G9475" t="s">
        <v>58881</v>
      </c>
      <c r="H9475" t="s">
        <v>58882</v>
      </c>
      <c r="I9475" t="s">
        <v>58883</v>
      </c>
      <c r="J9475" t="s">
        <v>58884</v>
      </c>
      <c r="K9475" t="s">
        <v>58885</v>
      </c>
      <c r="L9475" t="s">
        <v>58878</v>
      </c>
    </row>
    <row r="9476" spans="1:12" x14ac:dyDescent="0.25">
      <c r="A9476">
        <v>1762413</v>
      </c>
      <c r="B9476">
        <v>1763967</v>
      </c>
      <c r="D9476" t="s">
        <v>2793</v>
      </c>
      <c r="E9476" t="s">
        <v>58887</v>
      </c>
      <c r="F9476" t="s">
        <v>58888</v>
      </c>
      <c r="G9476" t="s">
        <v>58889</v>
      </c>
      <c r="H9476" t="s">
        <v>58890</v>
      </c>
      <c r="I9476" t="s">
        <v>58891</v>
      </c>
      <c r="J9476" t="s">
        <v>58892</v>
      </c>
      <c r="K9476" t="s">
        <v>58893</v>
      </c>
      <c r="L9476" t="s">
        <v>58886</v>
      </c>
    </row>
    <row r="9477" spans="1:12" x14ac:dyDescent="0.25">
      <c r="A9477">
        <v>1762650</v>
      </c>
      <c r="B9477">
        <v>1762785</v>
      </c>
      <c r="D9477">
        <v>0</v>
      </c>
      <c r="E9477" t="s">
        <v>58895</v>
      </c>
      <c r="F9477" t="s">
        <v>58896</v>
      </c>
      <c r="G9477" t="s">
        <v>58897</v>
      </c>
      <c r="H9477" t="e" vm="4088">
        <f>_FV(0,"09289414635163436")</f>
        <v>#VALUE!</v>
      </c>
      <c r="I9477" t="s">
        <v>58898</v>
      </c>
      <c r="J9477" t="s">
        <v>58899</v>
      </c>
      <c r="K9477" t="s">
        <v>58900</v>
      </c>
      <c r="L9477" t="s">
        <v>58894</v>
      </c>
    </row>
    <row r="9478" spans="1:12" x14ac:dyDescent="0.25">
      <c r="A9478">
        <v>1762650</v>
      </c>
      <c r="B9478">
        <v>1763819</v>
      </c>
      <c r="D9478" t="s">
        <v>624</v>
      </c>
      <c r="E9478" t="s">
        <v>58902</v>
      </c>
      <c r="F9478" t="s">
        <v>58903</v>
      </c>
      <c r="G9478" t="s">
        <v>58904</v>
      </c>
      <c r="H9478" t="s">
        <v>58905</v>
      </c>
      <c r="I9478" t="s">
        <v>58906</v>
      </c>
      <c r="J9478" t="s">
        <v>58907</v>
      </c>
      <c r="K9478" t="s">
        <v>58908</v>
      </c>
      <c r="L9478" t="s">
        <v>58901</v>
      </c>
    </row>
    <row r="9479" spans="1:12" x14ac:dyDescent="0.25">
      <c r="A9479">
        <v>1762655</v>
      </c>
      <c r="B9479">
        <v>1762663</v>
      </c>
      <c r="D9479">
        <v>0</v>
      </c>
      <c r="E9479" t="s">
        <v>58910</v>
      </c>
      <c r="F9479" t="s">
        <v>58911</v>
      </c>
      <c r="G9479" t="s">
        <v>58912</v>
      </c>
      <c r="H9479" t="e" vm="4089">
        <f>_FV(0,"007943183348359239")</f>
        <v>#VALUE!</v>
      </c>
      <c r="I9479" t="s">
        <v>58913</v>
      </c>
      <c r="J9479" t="s">
        <v>58914</v>
      </c>
      <c r="K9479" t="s">
        <v>58915</v>
      </c>
      <c r="L9479" t="s">
        <v>58909</v>
      </c>
    </row>
    <row r="9480" spans="1:12" x14ac:dyDescent="0.25">
      <c r="A9480">
        <v>1762779</v>
      </c>
      <c r="B9480">
        <v>1763819</v>
      </c>
      <c r="D9480" t="s">
        <v>8068</v>
      </c>
      <c r="E9480" t="s">
        <v>58917</v>
      </c>
      <c r="F9480" t="s">
        <v>58918</v>
      </c>
      <c r="G9480" t="s">
        <v>58919</v>
      </c>
      <c r="H9480" t="e" vm="4090">
        <f>_FV(0,"031330307582832874")</f>
        <v>#VALUE!</v>
      </c>
      <c r="I9480" t="s">
        <v>58920</v>
      </c>
      <c r="J9480" t="s">
        <v>58921</v>
      </c>
      <c r="K9480" t="s">
        <v>58922</v>
      </c>
      <c r="L9480" t="s">
        <v>58916</v>
      </c>
    </row>
    <row r="9481" spans="1:12" x14ac:dyDescent="0.25">
      <c r="A9481">
        <v>1762779</v>
      </c>
      <c r="B9481">
        <v>1766377</v>
      </c>
      <c r="D9481">
        <v>0</v>
      </c>
      <c r="E9481" t="s">
        <v>58924</v>
      </c>
      <c r="F9481" t="s">
        <v>58925</v>
      </c>
      <c r="G9481" t="s">
        <v>58926</v>
      </c>
      <c r="H9481" t="s">
        <v>58927</v>
      </c>
      <c r="I9481" t="s">
        <v>58928</v>
      </c>
      <c r="J9481" t="s">
        <v>58923</v>
      </c>
      <c r="K9481" t="s">
        <v>58929</v>
      </c>
      <c r="L9481" t="s">
        <v>58923</v>
      </c>
    </row>
    <row r="9482" spans="1:12" x14ac:dyDescent="0.25">
      <c r="A9482">
        <v>1763819</v>
      </c>
      <c r="B9482">
        <v>1763877</v>
      </c>
      <c r="D9482">
        <v>1</v>
      </c>
      <c r="E9482" t="s">
        <v>58931</v>
      </c>
      <c r="F9482" t="s">
        <v>58932</v>
      </c>
      <c r="G9482" t="s">
        <v>58933</v>
      </c>
      <c r="H9482" t="s">
        <v>58934</v>
      </c>
      <c r="I9482" t="s">
        <v>58935</v>
      </c>
      <c r="J9482" t="s">
        <v>58930</v>
      </c>
      <c r="K9482" t="s">
        <v>58936</v>
      </c>
      <c r="L9482" t="s">
        <v>58930</v>
      </c>
    </row>
    <row r="9483" spans="1:12" x14ac:dyDescent="0.25">
      <c r="A9483">
        <v>1763857</v>
      </c>
      <c r="B9483">
        <v>1763910</v>
      </c>
      <c r="D9483">
        <v>0</v>
      </c>
      <c r="E9483" t="s">
        <v>58938</v>
      </c>
      <c r="F9483" t="s">
        <v>58939</v>
      </c>
      <c r="G9483" t="s">
        <v>58940</v>
      </c>
      <c r="H9483" t="e" vm="4091">
        <f>_FV(0,"018986405800497323")</f>
        <v>#VALUE!</v>
      </c>
      <c r="I9483" t="s">
        <v>58941</v>
      </c>
      <c r="J9483" t="s">
        <v>58942</v>
      </c>
      <c r="K9483" t="s">
        <v>58943</v>
      </c>
      <c r="L9483" t="s">
        <v>58937</v>
      </c>
    </row>
    <row r="9484" spans="1:12" x14ac:dyDescent="0.25">
      <c r="A9484">
        <v>1763857</v>
      </c>
      <c r="B9484">
        <v>1763877</v>
      </c>
      <c r="D9484" t="s">
        <v>2437</v>
      </c>
      <c r="E9484" t="s">
        <v>58945</v>
      </c>
      <c r="F9484" t="s">
        <v>58946</v>
      </c>
      <c r="G9484" t="s">
        <v>58947</v>
      </c>
      <c r="H9484" t="s">
        <v>58948</v>
      </c>
      <c r="I9484" t="s">
        <v>58949</v>
      </c>
      <c r="J9484" t="s">
        <v>58944</v>
      </c>
      <c r="K9484" t="s">
        <v>58950</v>
      </c>
      <c r="L9484" t="s">
        <v>58944</v>
      </c>
    </row>
    <row r="9485" spans="1:12" x14ac:dyDescent="0.25">
      <c r="A9485">
        <v>1763877</v>
      </c>
      <c r="B9485">
        <v>1783321</v>
      </c>
      <c r="D9485" t="s">
        <v>1845</v>
      </c>
      <c r="E9485" t="s">
        <v>58952</v>
      </c>
      <c r="F9485" t="s">
        <v>58953</v>
      </c>
      <c r="G9485" t="s">
        <v>58954</v>
      </c>
      <c r="H9485" t="e" vm="4092">
        <f>_FV(0,"20601744382687773")</f>
        <v>#VALUE!</v>
      </c>
      <c r="I9485" t="s">
        <v>58955</v>
      </c>
      <c r="J9485" t="s">
        <v>58956</v>
      </c>
      <c r="K9485" t="s">
        <v>58957</v>
      </c>
      <c r="L9485" t="s">
        <v>58951</v>
      </c>
    </row>
    <row r="9486" spans="1:12" x14ac:dyDescent="0.25">
      <c r="A9486">
        <v>1763910</v>
      </c>
      <c r="B9486">
        <v>1763918</v>
      </c>
      <c r="D9486">
        <v>0</v>
      </c>
      <c r="E9486" t="s">
        <v>58959</v>
      </c>
      <c r="F9486" t="s">
        <v>58960</v>
      </c>
      <c r="G9486" t="s">
        <v>58961</v>
      </c>
      <c r="H9486" t="e" vm="4093">
        <f>_FV(0,"02989457694566412")</f>
        <v>#VALUE!</v>
      </c>
      <c r="I9486" t="s">
        <v>58962</v>
      </c>
      <c r="J9486" t="s">
        <v>58963</v>
      </c>
      <c r="K9486" t="s">
        <v>58964</v>
      </c>
      <c r="L9486" t="s">
        <v>58958</v>
      </c>
    </row>
    <row r="9487" spans="1:12" x14ac:dyDescent="0.25">
      <c r="A9487">
        <v>1763918</v>
      </c>
      <c r="B9487">
        <v>1798465</v>
      </c>
      <c r="D9487">
        <v>0</v>
      </c>
      <c r="E9487" t="s">
        <v>58966</v>
      </c>
      <c r="F9487" t="s">
        <v>58967</v>
      </c>
      <c r="G9487" t="s">
        <v>58968</v>
      </c>
      <c r="H9487" t="s">
        <v>58969</v>
      </c>
      <c r="I9487" t="s">
        <v>58970</v>
      </c>
      <c r="J9487" t="s">
        <v>58971</v>
      </c>
      <c r="K9487" t="s">
        <v>58972</v>
      </c>
      <c r="L9487" t="s">
        <v>58965</v>
      </c>
    </row>
    <row r="9488" spans="1:12" x14ac:dyDescent="0.25">
      <c r="A9488">
        <v>1763940</v>
      </c>
      <c r="B9488">
        <v>1763954</v>
      </c>
      <c r="D9488">
        <v>0</v>
      </c>
      <c r="E9488" t="s">
        <v>58974</v>
      </c>
      <c r="F9488" t="s">
        <v>58975</v>
      </c>
      <c r="G9488" t="s">
        <v>58976</v>
      </c>
      <c r="H9488" t="s">
        <v>58977</v>
      </c>
      <c r="I9488" t="s">
        <v>58978</v>
      </c>
      <c r="J9488" t="s">
        <v>58973</v>
      </c>
      <c r="K9488" t="s">
        <v>58979</v>
      </c>
      <c r="L9488" t="s">
        <v>58973</v>
      </c>
    </row>
    <row r="9489" spans="1:12" x14ac:dyDescent="0.25">
      <c r="A9489">
        <v>1763940</v>
      </c>
      <c r="B9489">
        <v>1798465</v>
      </c>
      <c r="D9489">
        <v>0</v>
      </c>
      <c r="E9489" t="s">
        <v>58981</v>
      </c>
      <c r="F9489" t="s">
        <v>58982</v>
      </c>
      <c r="G9489" t="s">
        <v>58983</v>
      </c>
      <c r="H9489" t="e" vm="4094">
        <f>_FV(0,"009961203908982206")</f>
        <v>#VALUE!</v>
      </c>
      <c r="I9489" t="s">
        <v>58984</v>
      </c>
      <c r="J9489" t="s">
        <v>58985</v>
      </c>
      <c r="K9489" t="s">
        <v>58986</v>
      </c>
      <c r="L9489" t="s">
        <v>58980</v>
      </c>
    </row>
    <row r="9490" spans="1:12" x14ac:dyDescent="0.25">
      <c r="A9490">
        <v>1763954</v>
      </c>
      <c r="B9490">
        <v>1763967</v>
      </c>
      <c r="D9490">
        <v>0</v>
      </c>
      <c r="E9490" t="s">
        <v>58988</v>
      </c>
      <c r="F9490" t="s">
        <v>58989</v>
      </c>
      <c r="G9490" t="s">
        <v>58990</v>
      </c>
      <c r="H9490" t="e" vm="4095">
        <f>_FV(0,"13037530428641023")</f>
        <v>#VALUE!</v>
      </c>
      <c r="I9490" t="s">
        <v>58991</v>
      </c>
      <c r="J9490" t="s">
        <v>58992</v>
      </c>
      <c r="K9490" t="s">
        <v>58993</v>
      </c>
      <c r="L9490" t="s">
        <v>58987</v>
      </c>
    </row>
    <row r="9491" spans="1:12" x14ac:dyDescent="0.25">
      <c r="A9491">
        <v>1764735</v>
      </c>
      <c r="B9491">
        <v>1764767</v>
      </c>
      <c r="D9491">
        <v>0</v>
      </c>
      <c r="E9491" t="s">
        <v>58995</v>
      </c>
      <c r="F9491" t="s">
        <v>58996</v>
      </c>
      <c r="G9491" t="s">
        <v>58997</v>
      </c>
      <c r="H9491" t="e" vm="4096">
        <f>_FV(0,"05364553616873974")</f>
        <v>#VALUE!</v>
      </c>
      <c r="I9491" t="s">
        <v>58998</v>
      </c>
      <c r="J9491" t="s">
        <v>58999</v>
      </c>
      <c r="K9491" t="s">
        <v>59000</v>
      </c>
      <c r="L9491" t="s">
        <v>58994</v>
      </c>
    </row>
    <row r="9492" spans="1:12" x14ac:dyDescent="0.25">
      <c r="A9492">
        <v>1764735</v>
      </c>
      <c r="B9492">
        <v>1764767</v>
      </c>
      <c r="D9492">
        <v>0</v>
      </c>
      <c r="E9492" t="s">
        <v>59002</v>
      </c>
      <c r="F9492" t="s">
        <v>59003</v>
      </c>
      <c r="G9492" t="s">
        <v>59004</v>
      </c>
      <c r="H9492" t="e" vm="4097">
        <f>_FV(0,"053618743951378604")</f>
        <v>#VALUE!</v>
      </c>
      <c r="I9492" t="s">
        <v>59005</v>
      </c>
      <c r="J9492" t="s">
        <v>59006</v>
      </c>
      <c r="K9492" t="s">
        <v>59007</v>
      </c>
      <c r="L9492" t="s">
        <v>59001</v>
      </c>
    </row>
    <row r="9493" spans="1:12" x14ac:dyDescent="0.25">
      <c r="A9493">
        <v>1765032</v>
      </c>
      <c r="B9493">
        <v>1765038</v>
      </c>
      <c r="D9493">
        <v>0</v>
      </c>
      <c r="E9493" t="s">
        <v>59009</v>
      </c>
      <c r="F9493" t="s">
        <v>59010</v>
      </c>
      <c r="G9493" t="s">
        <v>59011</v>
      </c>
      <c r="H9493" t="s">
        <v>59012</v>
      </c>
      <c r="I9493" t="s">
        <v>59013</v>
      </c>
      <c r="J9493" t="s">
        <v>59008</v>
      </c>
      <c r="K9493" t="s">
        <v>59014</v>
      </c>
      <c r="L9493" t="s">
        <v>59008</v>
      </c>
    </row>
    <row r="9494" spans="1:12" x14ac:dyDescent="0.25">
      <c r="A9494">
        <v>1765032</v>
      </c>
      <c r="B9494">
        <v>1765050</v>
      </c>
      <c r="D9494">
        <v>0</v>
      </c>
      <c r="E9494" t="s">
        <v>59016</v>
      </c>
      <c r="F9494" t="s">
        <v>59017</v>
      </c>
      <c r="G9494" t="s">
        <v>59018</v>
      </c>
      <c r="H9494" t="s">
        <v>59019</v>
      </c>
      <c r="I9494" t="s">
        <v>59020</v>
      </c>
      <c r="J9494" t="s">
        <v>4837</v>
      </c>
      <c r="K9494" t="s">
        <v>59021</v>
      </c>
      <c r="L9494" t="s">
        <v>59015</v>
      </c>
    </row>
    <row r="9495" spans="1:12" x14ac:dyDescent="0.25">
      <c r="A9495">
        <v>1765032</v>
      </c>
      <c r="B9495">
        <v>1765105</v>
      </c>
      <c r="D9495">
        <v>0</v>
      </c>
      <c r="F9495">
        <v>2020446</v>
      </c>
      <c r="G9495">
        <v>1765032</v>
      </c>
      <c r="H9495" t="s">
        <v>2871</v>
      </c>
      <c r="I9495">
        <v>1765105</v>
      </c>
      <c r="J9495" t="s">
        <v>2871</v>
      </c>
      <c r="K9495" t="s">
        <v>59022</v>
      </c>
      <c r="L9495" t="s">
        <v>2871</v>
      </c>
    </row>
    <row r="9496" spans="1:12" x14ac:dyDescent="0.25">
      <c r="A9496">
        <v>1765038</v>
      </c>
      <c r="B9496">
        <v>1765050</v>
      </c>
      <c r="D9496">
        <v>0</v>
      </c>
      <c r="E9496" t="s">
        <v>59024</v>
      </c>
      <c r="F9496" t="s">
        <v>59025</v>
      </c>
      <c r="G9496" t="s">
        <v>59026</v>
      </c>
      <c r="H9496" t="s">
        <v>59027</v>
      </c>
      <c r="I9496" t="s">
        <v>59028</v>
      </c>
      <c r="J9496" t="s">
        <v>59023</v>
      </c>
      <c r="K9496" t="s">
        <v>59029</v>
      </c>
      <c r="L9496" t="s">
        <v>59023</v>
      </c>
    </row>
    <row r="9497" spans="1:12" x14ac:dyDescent="0.25">
      <c r="A9497">
        <v>1765453</v>
      </c>
      <c r="B9497">
        <v>1780781</v>
      </c>
      <c r="D9497">
        <v>0</v>
      </c>
      <c r="E9497" t="s">
        <v>59031</v>
      </c>
      <c r="F9497" t="s">
        <v>59032</v>
      </c>
      <c r="G9497" t="s">
        <v>59033</v>
      </c>
      <c r="H9497" t="e" vm="4098">
        <f>_FV(0,"0023779110713801985")</f>
        <v>#VALUE!</v>
      </c>
      <c r="I9497" t="s">
        <v>59034</v>
      </c>
      <c r="J9497" t="s">
        <v>59035</v>
      </c>
      <c r="K9497" t="s">
        <v>59036</v>
      </c>
      <c r="L9497" t="s">
        <v>59030</v>
      </c>
    </row>
    <row r="9498" spans="1:12" x14ac:dyDescent="0.25">
      <c r="A9498">
        <v>1770592</v>
      </c>
      <c r="B9498">
        <v>1770608</v>
      </c>
      <c r="D9498">
        <v>0</v>
      </c>
      <c r="E9498" t="s">
        <v>59038</v>
      </c>
      <c r="F9498" t="s">
        <v>59039</v>
      </c>
      <c r="G9498" t="s">
        <v>59040</v>
      </c>
      <c r="H9498" t="e" vm="4099">
        <f>_FV(0,"18831602084321003")</f>
        <v>#VALUE!</v>
      </c>
      <c r="I9498" t="s">
        <v>59041</v>
      </c>
      <c r="J9498" t="s">
        <v>59042</v>
      </c>
      <c r="K9498" t="s">
        <v>59043</v>
      </c>
      <c r="L9498" t="s">
        <v>59037</v>
      </c>
    </row>
    <row r="9499" spans="1:12" x14ac:dyDescent="0.25">
      <c r="A9499">
        <v>1770592</v>
      </c>
      <c r="B9499">
        <v>1770623</v>
      </c>
      <c r="D9499">
        <v>0</v>
      </c>
      <c r="E9499" t="s">
        <v>59045</v>
      </c>
      <c r="F9499" t="s">
        <v>59046</v>
      </c>
      <c r="G9499" t="s">
        <v>59047</v>
      </c>
      <c r="H9499" t="s">
        <v>59048</v>
      </c>
      <c r="I9499" t="s">
        <v>59049</v>
      </c>
      <c r="J9499" t="s">
        <v>59050</v>
      </c>
      <c r="K9499" t="s">
        <v>59051</v>
      </c>
      <c r="L9499" t="s">
        <v>59044</v>
      </c>
    </row>
    <row r="9500" spans="1:12" x14ac:dyDescent="0.25">
      <c r="A9500">
        <v>1770608</v>
      </c>
      <c r="B9500">
        <v>1770637</v>
      </c>
      <c r="D9500">
        <v>0</v>
      </c>
      <c r="F9500">
        <v>2028316</v>
      </c>
      <c r="G9500">
        <v>1770637</v>
      </c>
      <c r="H9500" t="e" vm="59">
        <f>_FV(0,"014")</f>
        <v>#VALUE!</v>
      </c>
      <c r="I9500">
        <v>1770608</v>
      </c>
      <c r="J9500" t="s">
        <v>922</v>
      </c>
      <c r="K9500" t="s">
        <v>59052</v>
      </c>
      <c r="L9500" t="e" vm="59">
        <f>_FV(0,"014")</f>
        <v>#VALUE!</v>
      </c>
    </row>
    <row r="9501" spans="1:12" x14ac:dyDescent="0.25">
      <c r="A9501">
        <v>1770623</v>
      </c>
      <c r="B9501">
        <v>1770637</v>
      </c>
      <c r="D9501">
        <v>0</v>
      </c>
      <c r="E9501" t="s">
        <v>59054</v>
      </c>
      <c r="F9501" t="s">
        <v>59055</v>
      </c>
      <c r="G9501" t="s">
        <v>59056</v>
      </c>
      <c r="H9501" t="s">
        <v>59057</v>
      </c>
      <c r="I9501" t="s">
        <v>59058</v>
      </c>
      <c r="J9501" t="s">
        <v>59053</v>
      </c>
      <c r="K9501" t="s">
        <v>59059</v>
      </c>
      <c r="L9501" t="s">
        <v>59053</v>
      </c>
    </row>
    <row r="9502" spans="1:12" x14ac:dyDescent="0.25">
      <c r="A9502">
        <v>1771994</v>
      </c>
      <c r="B9502">
        <v>1772035</v>
      </c>
      <c r="D9502">
        <v>0</v>
      </c>
      <c r="E9502" t="s">
        <v>59061</v>
      </c>
      <c r="F9502" t="s">
        <v>59062</v>
      </c>
      <c r="G9502" t="s">
        <v>59063</v>
      </c>
      <c r="H9502" t="e" vm="4100">
        <f>_FV(0,"007804245173803171")</f>
        <v>#VALUE!</v>
      </c>
      <c r="I9502" t="s">
        <v>59064</v>
      </c>
      <c r="J9502" t="s">
        <v>59065</v>
      </c>
      <c r="K9502" t="s">
        <v>59066</v>
      </c>
      <c r="L9502" t="s">
        <v>59060</v>
      </c>
    </row>
    <row r="9503" spans="1:12" x14ac:dyDescent="0.25">
      <c r="A9503">
        <v>1771994</v>
      </c>
      <c r="B9503">
        <v>1772035</v>
      </c>
      <c r="D9503">
        <v>0</v>
      </c>
      <c r="E9503" t="s">
        <v>59068</v>
      </c>
      <c r="F9503" t="s">
        <v>59069</v>
      </c>
      <c r="G9503" t="s">
        <v>59070</v>
      </c>
      <c r="H9503" t="e" vm="4101">
        <f>_FV(0,"008079506908679566")</f>
        <v>#VALUE!</v>
      </c>
      <c r="I9503" t="s">
        <v>59071</v>
      </c>
      <c r="J9503" t="s">
        <v>59072</v>
      </c>
      <c r="K9503" t="s">
        <v>59073</v>
      </c>
      <c r="L9503" t="s">
        <v>59067</v>
      </c>
    </row>
    <row r="9504" spans="1:12" x14ac:dyDescent="0.25">
      <c r="A9504">
        <v>1780661</v>
      </c>
      <c r="B9504">
        <v>1780685</v>
      </c>
      <c r="D9504">
        <v>0</v>
      </c>
      <c r="F9504">
        <v>2043319</v>
      </c>
      <c r="G9504">
        <v>1780685</v>
      </c>
      <c r="H9504" t="s">
        <v>899</v>
      </c>
      <c r="I9504">
        <v>1780661</v>
      </c>
      <c r="J9504" t="s">
        <v>899</v>
      </c>
      <c r="K9504" t="s">
        <v>59074</v>
      </c>
      <c r="L9504" t="s">
        <v>899</v>
      </c>
    </row>
    <row r="9505" spans="1:12" x14ac:dyDescent="0.25">
      <c r="A9505">
        <v>1780661</v>
      </c>
      <c r="B9505">
        <v>1780694</v>
      </c>
      <c r="D9505">
        <v>0</v>
      </c>
      <c r="E9505" t="s">
        <v>59076</v>
      </c>
      <c r="F9505" t="s">
        <v>59077</v>
      </c>
      <c r="G9505" t="s">
        <v>59078</v>
      </c>
      <c r="H9505" t="e" vm="4102">
        <f>_FV(0,"01139255037784423")</f>
        <v>#VALUE!</v>
      </c>
      <c r="I9505" t="s">
        <v>59079</v>
      </c>
      <c r="J9505" t="s">
        <v>59080</v>
      </c>
      <c r="K9505" t="s">
        <v>59081</v>
      </c>
      <c r="L9505" t="s">
        <v>59075</v>
      </c>
    </row>
    <row r="9506" spans="1:12" x14ac:dyDescent="0.25">
      <c r="A9506">
        <v>1780685</v>
      </c>
      <c r="B9506">
        <v>1780744</v>
      </c>
      <c r="D9506">
        <v>0</v>
      </c>
      <c r="F9506">
        <v>2043327</v>
      </c>
      <c r="G9506">
        <v>1780744</v>
      </c>
      <c r="H9506" t="s">
        <v>1687</v>
      </c>
      <c r="I9506">
        <v>1780685</v>
      </c>
      <c r="J9506" t="s">
        <v>1687</v>
      </c>
      <c r="K9506" t="s">
        <v>59082</v>
      </c>
      <c r="L9506" t="s">
        <v>1687</v>
      </c>
    </row>
    <row r="9507" spans="1:12" x14ac:dyDescent="0.25">
      <c r="A9507">
        <v>1780694</v>
      </c>
      <c r="B9507">
        <v>1780744</v>
      </c>
      <c r="D9507">
        <v>0</v>
      </c>
      <c r="E9507" t="s">
        <v>59084</v>
      </c>
      <c r="F9507" t="s">
        <v>59085</v>
      </c>
      <c r="G9507" t="s">
        <v>59086</v>
      </c>
      <c r="H9507" t="s">
        <v>59087</v>
      </c>
      <c r="I9507" t="s">
        <v>59088</v>
      </c>
      <c r="J9507" t="s">
        <v>59089</v>
      </c>
      <c r="K9507" t="s">
        <v>59090</v>
      </c>
      <c r="L9507" t="s">
        <v>59083</v>
      </c>
    </row>
    <row r="9508" spans="1:12" x14ac:dyDescent="0.25">
      <c r="A9508">
        <v>1780694</v>
      </c>
      <c r="B9508">
        <v>1780851</v>
      </c>
      <c r="D9508" t="s">
        <v>514</v>
      </c>
      <c r="E9508" t="s">
        <v>59092</v>
      </c>
      <c r="F9508" t="s">
        <v>59093</v>
      </c>
      <c r="G9508" t="s">
        <v>59094</v>
      </c>
      <c r="H9508" t="e" vm="4103">
        <f>_FV(0,"037047302556028325")</f>
        <v>#VALUE!</v>
      </c>
      <c r="I9508" t="s">
        <v>59095</v>
      </c>
      <c r="J9508" t="s">
        <v>59096</v>
      </c>
      <c r="K9508" t="s">
        <v>59097</v>
      </c>
      <c r="L9508" t="s">
        <v>59091</v>
      </c>
    </row>
    <row r="9509" spans="1:12" x14ac:dyDescent="0.25">
      <c r="A9509">
        <v>1780744</v>
      </c>
      <c r="B9509">
        <v>1780756</v>
      </c>
      <c r="D9509" t="s">
        <v>514</v>
      </c>
      <c r="E9509" t="s">
        <v>59099</v>
      </c>
      <c r="F9509" t="s">
        <v>59100</v>
      </c>
      <c r="G9509" t="s">
        <v>59101</v>
      </c>
      <c r="H9509" t="e" vm="4104">
        <f>_FV(0,"038067515614210755")</f>
        <v>#VALUE!</v>
      </c>
      <c r="I9509" t="s">
        <v>59102</v>
      </c>
      <c r="J9509" t="s">
        <v>59103</v>
      </c>
      <c r="K9509" t="s">
        <v>59104</v>
      </c>
      <c r="L9509" t="s">
        <v>59098</v>
      </c>
    </row>
    <row r="9510" spans="1:12" x14ac:dyDescent="0.25">
      <c r="A9510">
        <v>1783321</v>
      </c>
      <c r="B9510">
        <v>1749295</v>
      </c>
      <c r="D9510">
        <v>0</v>
      </c>
      <c r="E9510" t="s">
        <v>59106</v>
      </c>
      <c r="F9510" t="s">
        <v>59107</v>
      </c>
      <c r="G9510" t="s">
        <v>59108</v>
      </c>
      <c r="H9510" t="s">
        <v>59109</v>
      </c>
      <c r="I9510" t="s">
        <v>59110</v>
      </c>
      <c r="J9510" t="s">
        <v>59105</v>
      </c>
      <c r="K9510" t="s">
        <v>59111</v>
      </c>
      <c r="L9510" t="s">
        <v>59105</v>
      </c>
    </row>
    <row r="9511" spans="1:12" x14ac:dyDescent="0.25">
      <c r="A9511">
        <v>1785504</v>
      </c>
      <c r="B9511">
        <v>1785515</v>
      </c>
      <c r="D9511">
        <v>0</v>
      </c>
      <c r="E9511" t="s">
        <v>59113</v>
      </c>
      <c r="F9511" t="s">
        <v>59114</v>
      </c>
      <c r="G9511" t="s">
        <v>59115</v>
      </c>
      <c r="H9511" t="e" vm="4105">
        <f>_FV(0,"0072964475684461245")</f>
        <v>#VALUE!</v>
      </c>
      <c r="I9511" t="s">
        <v>59116</v>
      </c>
      <c r="J9511" t="s">
        <v>59117</v>
      </c>
      <c r="K9511" t="s">
        <v>59118</v>
      </c>
      <c r="L9511" t="s">
        <v>59112</v>
      </c>
    </row>
    <row r="9512" spans="1:12" x14ac:dyDescent="0.25">
      <c r="A9512">
        <v>1785504</v>
      </c>
      <c r="B9512">
        <v>1835660</v>
      </c>
      <c r="D9512">
        <v>0</v>
      </c>
      <c r="E9512" t="s">
        <v>59120</v>
      </c>
      <c r="F9512" t="s">
        <v>59121</v>
      </c>
      <c r="G9512" t="s">
        <v>59122</v>
      </c>
      <c r="H9512" t="s">
        <v>59123</v>
      </c>
      <c r="I9512" t="s">
        <v>59124</v>
      </c>
      <c r="J9512" t="s">
        <v>59119</v>
      </c>
      <c r="K9512" t="s">
        <v>59125</v>
      </c>
      <c r="L9512" t="s">
        <v>59119</v>
      </c>
    </row>
    <row r="9513" spans="1:12" x14ac:dyDescent="0.25">
      <c r="A9513">
        <v>1785515</v>
      </c>
      <c r="B9513">
        <v>1835632</v>
      </c>
      <c r="D9513">
        <v>0</v>
      </c>
      <c r="E9513" t="s">
        <v>59127</v>
      </c>
      <c r="F9513" t="s">
        <v>59128</v>
      </c>
      <c r="G9513" t="s">
        <v>59129</v>
      </c>
      <c r="H9513" t="s">
        <v>59130</v>
      </c>
      <c r="I9513" t="s">
        <v>59131</v>
      </c>
      <c r="J9513" t="s">
        <v>59126</v>
      </c>
      <c r="K9513" t="s">
        <v>59132</v>
      </c>
      <c r="L9513" t="s">
        <v>59126</v>
      </c>
    </row>
    <row r="9514" spans="1:12" x14ac:dyDescent="0.25">
      <c r="A9514">
        <v>1789466</v>
      </c>
      <c r="B9514">
        <v>1789467</v>
      </c>
      <c r="D9514">
        <v>0</v>
      </c>
      <c r="F9514">
        <v>2057673</v>
      </c>
      <c r="G9514">
        <v>1789467</v>
      </c>
      <c r="H9514" t="e" vm="952">
        <f>_FV(0,"066")</f>
        <v>#VALUE!</v>
      </c>
      <c r="I9514">
        <v>1789466</v>
      </c>
      <c r="J9514" t="s">
        <v>8057</v>
      </c>
      <c r="K9514" t="s">
        <v>59133</v>
      </c>
      <c r="L9514" t="e" vm="952">
        <f>_FV(0,"066")</f>
        <v>#VALUE!</v>
      </c>
    </row>
    <row r="9515" spans="1:12" x14ac:dyDescent="0.25">
      <c r="A9515">
        <v>1789466</v>
      </c>
      <c r="B9515">
        <v>1789500</v>
      </c>
      <c r="D9515">
        <v>0</v>
      </c>
      <c r="E9515" t="s">
        <v>59135</v>
      </c>
      <c r="F9515" t="s">
        <v>59136</v>
      </c>
      <c r="G9515" t="s">
        <v>59137</v>
      </c>
      <c r="H9515" t="s">
        <v>59138</v>
      </c>
      <c r="I9515" t="s">
        <v>59139</v>
      </c>
      <c r="J9515" t="s">
        <v>59134</v>
      </c>
      <c r="K9515" t="s">
        <v>59140</v>
      </c>
      <c r="L9515" t="s">
        <v>59134</v>
      </c>
    </row>
    <row r="9516" spans="1:12" x14ac:dyDescent="0.25">
      <c r="A9516">
        <v>1789466</v>
      </c>
      <c r="B9516">
        <v>1822981</v>
      </c>
      <c r="D9516">
        <v>0</v>
      </c>
      <c r="E9516" t="s">
        <v>59142</v>
      </c>
      <c r="F9516" t="s">
        <v>59143</v>
      </c>
      <c r="G9516" t="s">
        <v>59144</v>
      </c>
      <c r="H9516" t="e" vm="4106">
        <f>_FV(0,"5013227345411579")</f>
        <v>#VALUE!</v>
      </c>
      <c r="I9516" t="s">
        <v>59145</v>
      </c>
      <c r="J9516" t="s">
        <v>59146</v>
      </c>
      <c r="K9516" t="s">
        <v>59147</v>
      </c>
      <c r="L9516" t="s">
        <v>59141</v>
      </c>
    </row>
    <row r="9517" spans="1:12" x14ac:dyDescent="0.25">
      <c r="A9517">
        <v>1789467</v>
      </c>
      <c r="B9517">
        <v>1789479</v>
      </c>
      <c r="D9517">
        <v>0</v>
      </c>
      <c r="E9517" t="s">
        <v>59149</v>
      </c>
      <c r="F9517" t="s">
        <v>59150</v>
      </c>
      <c r="G9517" t="s">
        <v>59151</v>
      </c>
      <c r="H9517" t="e" vm="4107">
        <f>_FV(0,"1479992260060862")</f>
        <v>#VALUE!</v>
      </c>
      <c r="I9517" t="s">
        <v>59152</v>
      </c>
      <c r="J9517" t="s">
        <v>59153</v>
      </c>
      <c r="K9517" t="s">
        <v>59154</v>
      </c>
      <c r="L9517" t="s">
        <v>59148</v>
      </c>
    </row>
    <row r="9518" spans="1:12" x14ac:dyDescent="0.25">
      <c r="A9518">
        <v>1789467</v>
      </c>
      <c r="B9518">
        <v>1823013</v>
      </c>
      <c r="D9518">
        <v>0</v>
      </c>
      <c r="E9518" t="s">
        <v>59156</v>
      </c>
      <c r="F9518" t="s">
        <v>59157</v>
      </c>
      <c r="G9518" t="s">
        <v>59158</v>
      </c>
      <c r="H9518" t="s">
        <v>59159</v>
      </c>
      <c r="I9518" t="s">
        <v>59160</v>
      </c>
      <c r="J9518" t="s">
        <v>59161</v>
      </c>
      <c r="K9518" t="s">
        <v>59162</v>
      </c>
      <c r="L9518" t="s">
        <v>59155</v>
      </c>
    </row>
    <row r="9519" spans="1:12" x14ac:dyDescent="0.25">
      <c r="A9519">
        <v>1789479</v>
      </c>
      <c r="B9519">
        <v>1789485</v>
      </c>
      <c r="D9519">
        <v>0</v>
      </c>
      <c r="F9519">
        <v>2057697</v>
      </c>
      <c r="G9519">
        <v>1789485</v>
      </c>
      <c r="H9519" t="e" vm="171">
        <f>_FV(0,"04")</f>
        <v>#VALUE!</v>
      </c>
      <c r="I9519">
        <v>1789479</v>
      </c>
      <c r="J9519" t="s">
        <v>2674</v>
      </c>
      <c r="K9519" t="s">
        <v>59163</v>
      </c>
      <c r="L9519" t="e" vm="171">
        <f>_FV(0,"04")</f>
        <v>#VALUE!</v>
      </c>
    </row>
    <row r="9520" spans="1:12" x14ac:dyDescent="0.25">
      <c r="A9520">
        <v>1789479</v>
      </c>
      <c r="B9520">
        <v>1823013</v>
      </c>
      <c r="D9520">
        <v>0</v>
      </c>
      <c r="E9520" t="s">
        <v>59165</v>
      </c>
      <c r="F9520" t="s">
        <v>59166</v>
      </c>
      <c r="G9520" t="s">
        <v>59167</v>
      </c>
      <c r="H9520" t="s">
        <v>59168</v>
      </c>
      <c r="I9520" t="s">
        <v>59169</v>
      </c>
      <c r="J9520" t="s">
        <v>59164</v>
      </c>
      <c r="K9520" t="s">
        <v>59170</v>
      </c>
      <c r="L9520" t="s">
        <v>59164</v>
      </c>
    </row>
    <row r="9521" spans="1:12" x14ac:dyDescent="0.25">
      <c r="A9521">
        <v>1789485</v>
      </c>
      <c r="B9521">
        <v>1789494</v>
      </c>
      <c r="D9521">
        <v>0</v>
      </c>
      <c r="E9521" t="s">
        <v>59172</v>
      </c>
      <c r="F9521" t="s">
        <v>59173</v>
      </c>
      <c r="G9521" t="s">
        <v>59174</v>
      </c>
      <c r="H9521" t="s">
        <v>59175</v>
      </c>
      <c r="I9521" t="s">
        <v>59176</v>
      </c>
      <c r="J9521" t="s">
        <v>59171</v>
      </c>
      <c r="K9521" t="s">
        <v>59177</v>
      </c>
      <c r="L9521" t="s">
        <v>59171</v>
      </c>
    </row>
    <row r="9522" spans="1:12" x14ac:dyDescent="0.25">
      <c r="A9522">
        <v>1789485</v>
      </c>
      <c r="B9522">
        <v>1822960</v>
      </c>
      <c r="D9522">
        <v>0</v>
      </c>
      <c r="E9522" t="s">
        <v>59179</v>
      </c>
      <c r="F9522" t="s">
        <v>59180</v>
      </c>
      <c r="G9522" t="s">
        <v>59181</v>
      </c>
      <c r="H9522" t="e" vm="4108">
        <f>_FV(0,"3484380193961048")</f>
        <v>#VALUE!</v>
      </c>
      <c r="I9522" t="s">
        <v>59182</v>
      </c>
      <c r="J9522" t="s">
        <v>59183</v>
      </c>
      <c r="K9522" t="s">
        <v>59184</v>
      </c>
      <c r="L9522" t="s">
        <v>59178</v>
      </c>
    </row>
    <row r="9523" spans="1:12" x14ac:dyDescent="0.25">
      <c r="A9523">
        <v>1789494</v>
      </c>
      <c r="B9523">
        <v>1789500</v>
      </c>
      <c r="D9523">
        <v>0</v>
      </c>
      <c r="F9523">
        <v>2057721</v>
      </c>
      <c r="G9523">
        <v>1789500</v>
      </c>
      <c r="H9523" t="s">
        <v>59185</v>
      </c>
      <c r="I9523">
        <v>1789494</v>
      </c>
      <c r="J9523" t="s">
        <v>59185</v>
      </c>
      <c r="K9523" t="s">
        <v>59186</v>
      </c>
      <c r="L9523" t="s">
        <v>59185</v>
      </c>
    </row>
    <row r="9524" spans="1:12" x14ac:dyDescent="0.25">
      <c r="A9524">
        <v>1789494</v>
      </c>
      <c r="B9524">
        <v>1822960</v>
      </c>
      <c r="D9524">
        <v>0</v>
      </c>
      <c r="E9524" t="s">
        <v>59188</v>
      </c>
      <c r="F9524" t="s">
        <v>59189</v>
      </c>
      <c r="G9524" t="s">
        <v>59190</v>
      </c>
      <c r="H9524" t="e" vm="4109">
        <f>_FV(0,"4232653639683649")</f>
        <v>#VALUE!</v>
      </c>
      <c r="I9524" t="s">
        <v>59191</v>
      </c>
      <c r="J9524" t="s">
        <v>59192</v>
      </c>
      <c r="K9524" t="s">
        <v>59193</v>
      </c>
      <c r="L9524" t="s">
        <v>59187</v>
      </c>
    </row>
    <row r="9525" spans="1:12" x14ac:dyDescent="0.25">
      <c r="A9525">
        <v>1789500</v>
      </c>
      <c r="B9525">
        <v>1822981</v>
      </c>
      <c r="D9525">
        <v>0</v>
      </c>
      <c r="E9525" t="s">
        <v>59195</v>
      </c>
      <c r="F9525" t="s">
        <v>59196</v>
      </c>
      <c r="G9525" t="s">
        <v>59197</v>
      </c>
      <c r="H9525" t="e" vm="4110">
        <f>_FV(0,"5484398449644767")</f>
        <v>#VALUE!</v>
      </c>
      <c r="I9525" t="s">
        <v>59198</v>
      </c>
      <c r="J9525" t="s">
        <v>59199</v>
      </c>
      <c r="K9525" t="s">
        <v>59200</v>
      </c>
      <c r="L9525" t="s">
        <v>59194</v>
      </c>
    </row>
    <row r="9526" spans="1:12" x14ac:dyDescent="0.25">
      <c r="A9526">
        <v>1790694</v>
      </c>
      <c r="B9526">
        <v>1790721</v>
      </c>
      <c r="D9526">
        <v>0</v>
      </c>
      <c r="E9526" t="s">
        <v>59202</v>
      </c>
      <c r="F9526" t="s">
        <v>59203</v>
      </c>
      <c r="G9526" t="s">
        <v>59204</v>
      </c>
      <c r="H9526" t="e" vm="4111">
        <f>_FV(0,"019545613382749242")</f>
        <v>#VALUE!</v>
      </c>
      <c r="I9526" t="s">
        <v>59205</v>
      </c>
      <c r="J9526" t="s">
        <v>59206</v>
      </c>
      <c r="K9526" t="s">
        <v>59207</v>
      </c>
      <c r="L9526" t="s">
        <v>59201</v>
      </c>
    </row>
    <row r="9527" spans="1:12" x14ac:dyDescent="0.25">
      <c r="A9527">
        <v>1791787</v>
      </c>
      <c r="B9527">
        <v>1791807</v>
      </c>
      <c r="D9527">
        <v>0</v>
      </c>
      <c r="E9527" t="s">
        <v>59209</v>
      </c>
      <c r="F9527" t="s">
        <v>59210</v>
      </c>
      <c r="G9527" t="s">
        <v>59211</v>
      </c>
      <c r="H9527" t="s">
        <v>59212</v>
      </c>
      <c r="I9527" t="s">
        <v>59213</v>
      </c>
      <c r="J9527" t="s">
        <v>59214</v>
      </c>
      <c r="K9527" t="s">
        <v>59215</v>
      </c>
      <c r="L9527" t="s">
        <v>59208</v>
      </c>
    </row>
    <row r="9528" spans="1:12" x14ac:dyDescent="0.25">
      <c r="A9528">
        <v>1791787</v>
      </c>
      <c r="B9528">
        <v>1791839</v>
      </c>
      <c r="D9528">
        <v>0</v>
      </c>
      <c r="E9528" t="s">
        <v>59216</v>
      </c>
      <c r="F9528" t="s">
        <v>59217</v>
      </c>
      <c r="G9528" t="s">
        <v>59218</v>
      </c>
      <c r="H9528" t="s">
        <v>2841</v>
      </c>
      <c r="I9528" t="s">
        <v>59219</v>
      </c>
      <c r="J9528" t="s">
        <v>2841</v>
      </c>
      <c r="K9528" t="s">
        <v>59220</v>
      </c>
      <c r="L9528" t="s">
        <v>2841</v>
      </c>
    </row>
    <row r="9529" spans="1:12" x14ac:dyDescent="0.25">
      <c r="A9529">
        <v>1791787</v>
      </c>
      <c r="B9529">
        <v>1791946</v>
      </c>
      <c r="D9529">
        <v>0</v>
      </c>
      <c r="E9529" t="s">
        <v>59221</v>
      </c>
      <c r="F9529" t="s">
        <v>59222</v>
      </c>
      <c r="G9529" t="s">
        <v>59223</v>
      </c>
      <c r="H9529" t="s">
        <v>239</v>
      </c>
      <c r="I9529" t="s">
        <v>59224</v>
      </c>
      <c r="J9529" t="s">
        <v>239</v>
      </c>
      <c r="K9529" t="s">
        <v>59225</v>
      </c>
      <c r="L9529" t="s">
        <v>239</v>
      </c>
    </row>
    <row r="9530" spans="1:12" x14ac:dyDescent="0.25">
      <c r="A9530">
        <v>1791807</v>
      </c>
      <c r="B9530">
        <v>1791818</v>
      </c>
      <c r="D9530">
        <v>0</v>
      </c>
      <c r="E9530" t="s">
        <v>59227</v>
      </c>
      <c r="F9530" t="s">
        <v>59228</v>
      </c>
      <c r="G9530" t="s">
        <v>59229</v>
      </c>
      <c r="H9530" t="e" vm="4112">
        <f>_FV(0,"024972824605736365")</f>
        <v>#VALUE!</v>
      </c>
      <c r="I9530" t="s">
        <v>59230</v>
      </c>
      <c r="J9530" t="s">
        <v>59231</v>
      </c>
      <c r="K9530" t="s">
        <v>59232</v>
      </c>
      <c r="L9530" t="s">
        <v>59226</v>
      </c>
    </row>
    <row r="9531" spans="1:12" x14ac:dyDescent="0.25">
      <c r="A9531">
        <v>1791807</v>
      </c>
      <c r="B9531">
        <v>1791967</v>
      </c>
      <c r="D9531">
        <v>0</v>
      </c>
      <c r="E9531" t="s">
        <v>59233</v>
      </c>
      <c r="F9531" t="s">
        <v>59234</v>
      </c>
      <c r="G9531" t="s">
        <v>59235</v>
      </c>
      <c r="H9531" t="e" vm="4113">
        <f>_FV(0,"005502729593679125")</f>
        <v>#VALUE!</v>
      </c>
      <c r="I9531" t="s">
        <v>59236</v>
      </c>
      <c r="J9531" t="s">
        <v>47645</v>
      </c>
      <c r="K9531" t="s">
        <v>59237</v>
      </c>
      <c r="L9531" t="s">
        <v>47640</v>
      </c>
    </row>
    <row r="9532" spans="1:12" x14ac:dyDescent="0.25">
      <c r="A9532">
        <v>1791818</v>
      </c>
      <c r="B9532">
        <v>1791839</v>
      </c>
      <c r="D9532">
        <v>0</v>
      </c>
      <c r="E9532" t="s">
        <v>59239</v>
      </c>
      <c r="F9532" t="s">
        <v>59240</v>
      </c>
      <c r="G9532" t="s">
        <v>59241</v>
      </c>
      <c r="H9532" t="e" vm="4114">
        <f>_FV(0,"0013748616731327475")</f>
        <v>#VALUE!</v>
      </c>
      <c r="I9532" t="s">
        <v>59242</v>
      </c>
      <c r="J9532" t="s">
        <v>59243</v>
      </c>
      <c r="K9532" t="s">
        <v>59244</v>
      </c>
      <c r="L9532" t="s">
        <v>59238</v>
      </c>
    </row>
    <row r="9533" spans="1:12" x14ac:dyDescent="0.25">
      <c r="A9533">
        <v>1791818</v>
      </c>
      <c r="B9533">
        <v>1791967</v>
      </c>
      <c r="D9533">
        <v>0</v>
      </c>
      <c r="E9533" t="s">
        <v>59245</v>
      </c>
      <c r="F9533" t="s">
        <v>59246</v>
      </c>
      <c r="G9533" t="s">
        <v>59247</v>
      </c>
      <c r="H9533" t="s">
        <v>59248</v>
      </c>
      <c r="I9533" t="s">
        <v>59249</v>
      </c>
      <c r="J9533" t="s">
        <v>5583</v>
      </c>
      <c r="K9533" t="s">
        <v>59250</v>
      </c>
      <c r="L9533" t="s">
        <v>5583</v>
      </c>
    </row>
    <row r="9534" spans="1:12" x14ac:dyDescent="0.25">
      <c r="A9534">
        <v>1791839</v>
      </c>
      <c r="B9534">
        <v>1791946</v>
      </c>
      <c r="D9534">
        <v>0</v>
      </c>
      <c r="E9534" t="s">
        <v>59251</v>
      </c>
      <c r="F9534" t="s">
        <v>59252</v>
      </c>
      <c r="G9534" t="s">
        <v>59253</v>
      </c>
      <c r="H9534" t="e" vm="4115">
        <f>_FV(0,"0058494061384330226")</f>
        <v>#VALUE!</v>
      </c>
      <c r="I9534" t="s">
        <v>59254</v>
      </c>
      <c r="J9534" t="s">
        <v>4972</v>
      </c>
      <c r="K9534" t="s">
        <v>59255</v>
      </c>
      <c r="L9534" t="s">
        <v>31377</v>
      </c>
    </row>
    <row r="9535" spans="1:12" x14ac:dyDescent="0.25">
      <c r="A9535">
        <v>1791967</v>
      </c>
      <c r="B9535">
        <v>1791972</v>
      </c>
      <c r="D9535">
        <v>0</v>
      </c>
      <c r="E9535" t="s">
        <v>59256</v>
      </c>
      <c r="F9535" t="s">
        <v>59257</v>
      </c>
      <c r="G9535" t="s">
        <v>59258</v>
      </c>
      <c r="H9535" t="s">
        <v>59259</v>
      </c>
      <c r="I9535" t="s">
        <v>59260</v>
      </c>
      <c r="J9535" t="s">
        <v>24587</v>
      </c>
      <c r="K9535" t="s">
        <v>59261</v>
      </c>
      <c r="L9535" t="s">
        <v>24587</v>
      </c>
    </row>
    <row r="9536" spans="1:12" x14ac:dyDescent="0.25">
      <c r="A9536">
        <v>1791972</v>
      </c>
      <c r="B9536">
        <v>1796340</v>
      </c>
      <c r="D9536">
        <v>0</v>
      </c>
      <c r="E9536" t="s">
        <v>59262</v>
      </c>
      <c r="F9536" t="s">
        <v>59263</v>
      </c>
      <c r="G9536" t="s">
        <v>59264</v>
      </c>
      <c r="H9536" t="s">
        <v>59265</v>
      </c>
      <c r="I9536" t="s">
        <v>59266</v>
      </c>
      <c r="J9536" t="s">
        <v>48204</v>
      </c>
      <c r="K9536" t="s">
        <v>59267</v>
      </c>
      <c r="L9536" t="s">
        <v>48204</v>
      </c>
    </row>
    <row r="9537" spans="1:12" x14ac:dyDescent="0.25">
      <c r="A9537">
        <v>1791972</v>
      </c>
      <c r="B9537">
        <v>1796351</v>
      </c>
      <c r="D9537">
        <v>0</v>
      </c>
      <c r="E9537" t="s">
        <v>59268</v>
      </c>
      <c r="F9537" t="s">
        <v>59269</v>
      </c>
      <c r="G9537" t="s">
        <v>59270</v>
      </c>
      <c r="H9537" t="e" vm="4116">
        <f>_FV(0,"008849377756888693")</f>
        <v>#VALUE!</v>
      </c>
      <c r="I9537" t="s">
        <v>59271</v>
      </c>
      <c r="J9537" t="s">
        <v>1597</v>
      </c>
      <c r="K9537" t="s">
        <v>59272</v>
      </c>
      <c r="L9537" t="s">
        <v>53370</v>
      </c>
    </row>
    <row r="9538" spans="1:12" x14ac:dyDescent="0.25">
      <c r="A9538">
        <v>1796340</v>
      </c>
      <c r="B9538">
        <v>1796527</v>
      </c>
      <c r="D9538">
        <v>0</v>
      </c>
      <c r="E9538" t="s">
        <v>59274</v>
      </c>
      <c r="F9538" t="s">
        <v>59275</v>
      </c>
      <c r="G9538" t="s">
        <v>59276</v>
      </c>
      <c r="H9538" t="e" vm="4117">
        <f>_FV(0,"0037075413187562405")</f>
        <v>#VALUE!</v>
      </c>
      <c r="I9538" t="s">
        <v>59277</v>
      </c>
      <c r="J9538" t="s">
        <v>59278</v>
      </c>
      <c r="K9538" t="s">
        <v>59279</v>
      </c>
      <c r="L9538" t="s">
        <v>59273</v>
      </c>
    </row>
    <row r="9539" spans="1:12" x14ac:dyDescent="0.25">
      <c r="A9539">
        <v>1796340</v>
      </c>
      <c r="B9539">
        <v>1796351</v>
      </c>
      <c r="D9539">
        <v>0</v>
      </c>
      <c r="E9539" t="s">
        <v>59281</v>
      </c>
      <c r="F9539" t="s">
        <v>59282</v>
      </c>
      <c r="G9539" t="s">
        <v>59283</v>
      </c>
      <c r="H9539" t="s">
        <v>59284</v>
      </c>
      <c r="I9539" t="s">
        <v>59285</v>
      </c>
      <c r="J9539" t="s">
        <v>59286</v>
      </c>
      <c r="K9539" t="s">
        <v>59287</v>
      </c>
      <c r="L9539" t="s">
        <v>59280</v>
      </c>
    </row>
    <row r="9540" spans="1:12" x14ac:dyDescent="0.25">
      <c r="A9540">
        <v>1796351</v>
      </c>
      <c r="B9540">
        <v>1796539</v>
      </c>
      <c r="D9540">
        <v>0</v>
      </c>
      <c r="E9540" t="s">
        <v>59289</v>
      </c>
      <c r="F9540" t="s">
        <v>59290</v>
      </c>
      <c r="G9540" t="s">
        <v>59291</v>
      </c>
      <c r="H9540" t="e" vm="4118">
        <f>_FV(0,"2643884979991238")</f>
        <v>#VALUE!</v>
      </c>
      <c r="I9540" t="s">
        <v>59292</v>
      </c>
      <c r="J9540" t="s">
        <v>59293</v>
      </c>
      <c r="K9540" t="s">
        <v>59294</v>
      </c>
      <c r="L9540" t="s">
        <v>59288</v>
      </c>
    </row>
    <row r="9541" spans="1:12" x14ac:dyDescent="0.25">
      <c r="A9541">
        <v>1796527</v>
      </c>
      <c r="B9541">
        <v>1796539</v>
      </c>
      <c r="D9541">
        <v>0</v>
      </c>
      <c r="E9541" t="s">
        <v>59296</v>
      </c>
      <c r="F9541" t="s">
        <v>59297</v>
      </c>
      <c r="G9541" t="s">
        <v>59298</v>
      </c>
      <c r="H9541" t="s">
        <v>59299</v>
      </c>
      <c r="I9541" t="s">
        <v>59300</v>
      </c>
      <c r="J9541" t="s">
        <v>59301</v>
      </c>
      <c r="K9541" t="s">
        <v>59302</v>
      </c>
      <c r="L9541" t="s">
        <v>59295</v>
      </c>
    </row>
    <row r="9542" spans="1:12" x14ac:dyDescent="0.25">
      <c r="A9542">
        <v>1796527</v>
      </c>
      <c r="B9542">
        <v>1796826</v>
      </c>
      <c r="D9542">
        <v>0</v>
      </c>
      <c r="E9542" t="s">
        <v>59304</v>
      </c>
      <c r="F9542" t="s">
        <v>59305</v>
      </c>
      <c r="G9542" t="s">
        <v>59306</v>
      </c>
      <c r="H9542" t="s">
        <v>59307</v>
      </c>
      <c r="I9542" t="s">
        <v>59308</v>
      </c>
      <c r="J9542" t="s">
        <v>59309</v>
      </c>
      <c r="K9542" t="s">
        <v>59310</v>
      </c>
      <c r="L9542" t="s">
        <v>59303</v>
      </c>
    </row>
    <row r="9543" spans="1:12" x14ac:dyDescent="0.25">
      <c r="A9543">
        <v>1796539</v>
      </c>
      <c r="B9543">
        <v>1796826</v>
      </c>
      <c r="D9543">
        <v>0</v>
      </c>
      <c r="E9543" t="s">
        <v>59312</v>
      </c>
      <c r="F9543" t="s">
        <v>59313</v>
      </c>
      <c r="G9543" t="s">
        <v>59314</v>
      </c>
      <c r="H9543" t="s">
        <v>59315</v>
      </c>
      <c r="I9543" t="s">
        <v>59316</v>
      </c>
      <c r="J9543" t="s">
        <v>2697</v>
      </c>
      <c r="K9543" t="s">
        <v>59317</v>
      </c>
      <c r="L9543" t="s">
        <v>59311</v>
      </c>
    </row>
    <row r="9544" spans="1:12" x14ac:dyDescent="0.25">
      <c r="A9544">
        <v>1796578</v>
      </c>
      <c r="B9544">
        <v>1796593</v>
      </c>
      <c r="D9544">
        <v>0</v>
      </c>
      <c r="E9544" t="s">
        <v>59319</v>
      </c>
      <c r="F9544" t="s">
        <v>59320</v>
      </c>
      <c r="G9544" t="s">
        <v>59321</v>
      </c>
      <c r="H9544" t="s">
        <v>59322</v>
      </c>
      <c r="I9544" t="s">
        <v>59323</v>
      </c>
      <c r="J9544" t="s">
        <v>59324</v>
      </c>
      <c r="K9544" t="s">
        <v>59325</v>
      </c>
      <c r="L9544" t="s">
        <v>59318</v>
      </c>
    </row>
    <row r="9545" spans="1:12" x14ac:dyDescent="0.25">
      <c r="A9545">
        <v>1796578</v>
      </c>
      <c r="B9545">
        <v>1796629</v>
      </c>
      <c r="D9545">
        <v>0</v>
      </c>
      <c r="E9545" t="s">
        <v>59327</v>
      </c>
      <c r="F9545" t="s">
        <v>59328</v>
      </c>
      <c r="G9545" t="s">
        <v>59329</v>
      </c>
      <c r="H9545" t="s">
        <v>59330</v>
      </c>
      <c r="I9545" t="s">
        <v>59331</v>
      </c>
      <c r="J9545" t="s">
        <v>59326</v>
      </c>
      <c r="K9545" t="s">
        <v>59332</v>
      </c>
      <c r="L9545" t="s">
        <v>59326</v>
      </c>
    </row>
    <row r="9546" spans="1:12" x14ac:dyDescent="0.25">
      <c r="A9546">
        <v>1796578</v>
      </c>
      <c r="B9546">
        <v>1796815</v>
      </c>
      <c r="D9546">
        <v>0</v>
      </c>
      <c r="E9546" t="s">
        <v>59334</v>
      </c>
      <c r="F9546" t="s">
        <v>59335</v>
      </c>
      <c r="G9546" t="s">
        <v>59336</v>
      </c>
      <c r="H9546" t="s">
        <v>59337</v>
      </c>
      <c r="I9546" t="s">
        <v>59338</v>
      </c>
      <c r="J9546" t="s">
        <v>59333</v>
      </c>
      <c r="K9546" t="s">
        <v>59339</v>
      </c>
      <c r="L9546" t="s">
        <v>59333</v>
      </c>
    </row>
    <row r="9547" spans="1:12" x14ac:dyDescent="0.25">
      <c r="A9547">
        <v>1796593</v>
      </c>
      <c r="B9547">
        <v>1796607</v>
      </c>
      <c r="D9547">
        <v>0</v>
      </c>
      <c r="E9547" t="s">
        <v>59341</v>
      </c>
      <c r="F9547" t="s">
        <v>59342</v>
      </c>
      <c r="G9547" t="s">
        <v>59343</v>
      </c>
      <c r="H9547" t="e" vm="4119">
        <f>_FV(0,"11978315016256186")</f>
        <v>#VALUE!</v>
      </c>
      <c r="I9547" t="s">
        <v>59344</v>
      </c>
      <c r="J9547" t="s">
        <v>59345</v>
      </c>
      <c r="K9547" t="s">
        <v>59346</v>
      </c>
      <c r="L9547" t="s">
        <v>59340</v>
      </c>
    </row>
    <row r="9548" spans="1:12" x14ac:dyDescent="0.25">
      <c r="A9548">
        <v>1796593</v>
      </c>
      <c r="B9548">
        <v>1796779</v>
      </c>
      <c r="D9548">
        <v>0</v>
      </c>
      <c r="E9548" t="s">
        <v>59348</v>
      </c>
      <c r="F9548" t="s">
        <v>59349</v>
      </c>
      <c r="G9548" t="s">
        <v>59350</v>
      </c>
      <c r="H9548" t="e" vm="4120">
        <f>_FV(0,"026133350348975834")</f>
        <v>#VALUE!</v>
      </c>
      <c r="I9548" t="s">
        <v>59351</v>
      </c>
      <c r="J9548" t="s">
        <v>22314</v>
      </c>
      <c r="K9548" t="s">
        <v>59352</v>
      </c>
      <c r="L9548" t="s">
        <v>59347</v>
      </c>
    </row>
    <row r="9549" spans="1:12" x14ac:dyDescent="0.25">
      <c r="A9549">
        <v>1796607</v>
      </c>
      <c r="B9549">
        <v>1796629</v>
      </c>
      <c r="D9549">
        <v>0</v>
      </c>
      <c r="E9549" t="s">
        <v>59354</v>
      </c>
      <c r="F9549" t="s">
        <v>59355</v>
      </c>
      <c r="G9549" t="s">
        <v>59356</v>
      </c>
      <c r="H9549" t="e" vm="4121">
        <f>_FV(0,"021982028291136626")</f>
        <v>#VALUE!</v>
      </c>
      <c r="I9549" t="s">
        <v>59357</v>
      </c>
      <c r="J9549" t="s">
        <v>59358</v>
      </c>
      <c r="K9549" t="s">
        <v>59359</v>
      </c>
      <c r="L9549" t="s">
        <v>59353</v>
      </c>
    </row>
    <row r="9550" spans="1:12" x14ac:dyDescent="0.25">
      <c r="A9550">
        <v>1796607</v>
      </c>
      <c r="B9550">
        <v>1796779</v>
      </c>
      <c r="D9550">
        <v>0</v>
      </c>
      <c r="E9550" t="s">
        <v>59361</v>
      </c>
      <c r="F9550" t="s">
        <v>59362</v>
      </c>
      <c r="G9550" t="s">
        <v>59363</v>
      </c>
      <c r="H9550" t="s">
        <v>59364</v>
      </c>
      <c r="I9550" t="s">
        <v>59365</v>
      </c>
      <c r="J9550" t="s">
        <v>59360</v>
      </c>
      <c r="K9550" t="s">
        <v>59366</v>
      </c>
      <c r="L9550" t="s">
        <v>59360</v>
      </c>
    </row>
    <row r="9551" spans="1:12" x14ac:dyDescent="0.25">
      <c r="A9551">
        <v>1796629</v>
      </c>
      <c r="B9551">
        <v>1796815</v>
      </c>
      <c r="D9551">
        <v>0</v>
      </c>
      <c r="E9551" t="s">
        <v>59368</v>
      </c>
      <c r="F9551" t="s">
        <v>59369</v>
      </c>
      <c r="G9551" t="s">
        <v>59370</v>
      </c>
      <c r="H9551" t="e" vm="4122">
        <f>_FV(0,"027460583435342273")</f>
        <v>#VALUE!</v>
      </c>
      <c r="I9551" t="s">
        <v>59371</v>
      </c>
      <c r="J9551" t="s">
        <v>59372</v>
      </c>
      <c r="K9551" t="s">
        <v>59373</v>
      </c>
      <c r="L9551" t="s">
        <v>59367</v>
      </c>
    </row>
    <row r="9552" spans="1:12" x14ac:dyDescent="0.25">
      <c r="A9552">
        <v>1796779</v>
      </c>
      <c r="B9552">
        <v>1824379</v>
      </c>
      <c r="D9552">
        <v>0</v>
      </c>
      <c r="E9552" t="s">
        <v>59375</v>
      </c>
      <c r="F9552" t="s">
        <v>59376</v>
      </c>
      <c r="G9552" t="s">
        <v>59377</v>
      </c>
      <c r="H9552" t="s">
        <v>59378</v>
      </c>
      <c r="I9552" t="s">
        <v>59379</v>
      </c>
      <c r="J9552" t="s">
        <v>59380</v>
      </c>
      <c r="K9552" t="s">
        <v>59381</v>
      </c>
      <c r="L9552" t="s">
        <v>59374</v>
      </c>
    </row>
    <row r="9553" spans="1:12" x14ac:dyDescent="0.25">
      <c r="A9553">
        <v>1796815</v>
      </c>
      <c r="B9553">
        <v>1796826</v>
      </c>
      <c r="D9553">
        <v>0</v>
      </c>
      <c r="E9553" t="s">
        <v>59383</v>
      </c>
      <c r="F9553" t="s">
        <v>59384</v>
      </c>
      <c r="G9553" t="s">
        <v>59385</v>
      </c>
      <c r="H9553" t="e" vm="4123">
        <f>_FV(0,"013220628754208995")</f>
        <v>#VALUE!</v>
      </c>
      <c r="I9553" t="s">
        <v>59386</v>
      </c>
      <c r="J9553" t="s">
        <v>59387</v>
      </c>
      <c r="K9553" t="s">
        <v>59388</v>
      </c>
      <c r="L9553" t="s">
        <v>59382</v>
      </c>
    </row>
    <row r="9554" spans="1:12" x14ac:dyDescent="0.25">
      <c r="A9554">
        <v>1797143</v>
      </c>
      <c r="B9554">
        <v>1797154</v>
      </c>
      <c r="D9554">
        <v>0</v>
      </c>
      <c r="F9554">
        <v>2154544</v>
      </c>
      <c r="G9554">
        <v>1797154</v>
      </c>
      <c r="H9554" t="s">
        <v>890</v>
      </c>
      <c r="I9554">
        <v>1797143</v>
      </c>
      <c r="J9554" t="s">
        <v>890</v>
      </c>
      <c r="K9554" t="s">
        <v>59389</v>
      </c>
      <c r="L9554" t="s">
        <v>890</v>
      </c>
    </row>
    <row r="9555" spans="1:12" x14ac:dyDescent="0.25">
      <c r="A9555">
        <v>1055039</v>
      </c>
      <c r="B9555">
        <v>1797345</v>
      </c>
      <c r="D9555">
        <v>0</v>
      </c>
      <c r="F9555">
        <v>2069919</v>
      </c>
      <c r="G9555">
        <v>1055039</v>
      </c>
      <c r="H9555" t="e" vm="557">
        <f>_FV(0,"108")</f>
        <v>#VALUE!</v>
      </c>
      <c r="I9555">
        <v>1797345</v>
      </c>
      <c r="J9555" t="s">
        <v>8033</v>
      </c>
      <c r="K9555" t="s">
        <v>59390</v>
      </c>
      <c r="L9555" t="e" vm="557">
        <f>_FV(0,"108")</f>
        <v>#VALUE!</v>
      </c>
    </row>
    <row r="9556" spans="1:12" x14ac:dyDescent="0.25">
      <c r="A9556">
        <v>1055039</v>
      </c>
      <c r="B9556">
        <v>1797356</v>
      </c>
      <c r="D9556">
        <v>0</v>
      </c>
      <c r="F9556">
        <v>2069935</v>
      </c>
      <c r="G9556">
        <v>1055039</v>
      </c>
      <c r="H9556" t="e" vm="19">
        <f>_FV(0,"036")</f>
        <v>#VALUE!</v>
      </c>
      <c r="I9556">
        <v>1797356</v>
      </c>
      <c r="J9556" t="s">
        <v>279</v>
      </c>
      <c r="K9556" t="s">
        <v>59391</v>
      </c>
      <c r="L9556" t="e" vm="19">
        <f>_FV(0,"036")</f>
        <v>#VALUE!</v>
      </c>
    </row>
    <row r="9557" spans="1:12" x14ac:dyDescent="0.25">
      <c r="A9557">
        <v>1797345</v>
      </c>
      <c r="B9557">
        <v>1797356</v>
      </c>
      <c r="D9557">
        <v>0</v>
      </c>
      <c r="F9557">
        <v>2069951</v>
      </c>
      <c r="G9557">
        <v>1797356</v>
      </c>
      <c r="H9557" t="e" vm="355">
        <f>_FV(0,"048")</f>
        <v>#VALUE!</v>
      </c>
      <c r="I9557">
        <v>1797345</v>
      </c>
      <c r="J9557" t="s">
        <v>3758</v>
      </c>
      <c r="K9557" t="s">
        <v>59392</v>
      </c>
      <c r="L9557" t="e" vm="355">
        <f>_FV(0,"048")</f>
        <v>#VALUE!</v>
      </c>
    </row>
    <row r="9558" spans="1:12" x14ac:dyDescent="0.25">
      <c r="A9558">
        <v>1797387</v>
      </c>
      <c r="B9558">
        <v>1797401</v>
      </c>
      <c r="D9558">
        <v>0</v>
      </c>
      <c r="E9558" t="s">
        <v>59393</v>
      </c>
      <c r="F9558" t="s">
        <v>59394</v>
      </c>
      <c r="G9558" t="s">
        <v>59395</v>
      </c>
      <c r="H9558" t="s">
        <v>59396</v>
      </c>
      <c r="I9558" t="s">
        <v>59397</v>
      </c>
      <c r="J9558" t="s">
        <v>48721</v>
      </c>
      <c r="K9558" t="s">
        <v>59398</v>
      </c>
      <c r="L9558" t="s">
        <v>48721</v>
      </c>
    </row>
    <row r="9559" spans="1:12" x14ac:dyDescent="0.25">
      <c r="A9559">
        <v>1797387</v>
      </c>
      <c r="B9559">
        <v>1797462</v>
      </c>
      <c r="D9559">
        <v>0</v>
      </c>
      <c r="E9559" t="s">
        <v>59400</v>
      </c>
      <c r="F9559" t="s">
        <v>59401</v>
      </c>
      <c r="G9559" t="s">
        <v>59402</v>
      </c>
      <c r="H9559" t="e" vm="4124">
        <f>_FV(0,"0059120956078536095")</f>
        <v>#VALUE!</v>
      </c>
      <c r="I9559" t="s">
        <v>59403</v>
      </c>
      <c r="J9559" t="s">
        <v>59404</v>
      </c>
      <c r="K9559" t="s">
        <v>59405</v>
      </c>
      <c r="L9559" t="s">
        <v>59399</v>
      </c>
    </row>
    <row r="9560" spans="1:12" x14ac:dyDescent="0.25">
      <c r="A9560">
        <v>1797401</v>
      </c>
      <c r="B9560">
        <v>1797417</v>
      </c>
      <c r="D9560">
        <v>0</v>
      </c>
      <c r="E9560" t="s">
        <v>59407</v>
      </c>
      <c r="F9560" t="s">
        <v>59408</v>
      </c>
      <c r="G9560" t="s">
        <v>59409</v>
      </c>
      <c r="H9560" t="s">
        <v>59410</v>
      </c>
      <c r="I9560" t="s">
        <v>59411</v>
      </c>
      <c r="J9560" t="s">
        <v>59406</v>
      </c>
      <c r="K9560" t="s">
        <v>59412</v>
      </c>
      <c r="L9560" t="s">
        <v>59406</v>
      </c>
    </row>
    <row r="9561" spans="1:12" x14ac:dyDescent="0.25">
      <c r="A9561">
        <v>1797417</v>
      </c>
      <c r="B9561">
        <v>1831177</v>
      </c>
      <c r="D9561">
        <v>0</v>
      </c>
      <c r="F9561">
        <v>2126906</v>
      </c>
      <c r="G9561">
        <v>1831177</v>
      </c>
      <c r="H9561" t="s">
        <v>1599</v>
      </c>
      <c r="I9561">
        <v>1797417</v>
      </c>
      <c r="J9561" t="s">
        <v>1599</v>
      </c>
      <c r="K9561" t="s">
        <v>59413</v>
      </c>
      <c r="L9561" t="s">
        <v>1599</v>
      </c>
    </row>
    <row r="9562" spans="1:12" x14ac:dyDescent="0.25">
      <c r="A9562">
        <v>1797417</v>
      </c>
      <c r="B9562">
        <v>1797462</v>
      </c>
      <c r="D9562">
        <v>0</v>
      </c>
      <c r="E9562" t="s">
        <v>59415</v>
      </c>
      <c r="F9562" t="s">
        <v>59416</v>
      </c>
      <c r="G9562" t="s">
        <v>59417</v>
      </c>
      <c r="H9562" t="s">
        <v>59418</v>
      </c>
      <c r="I9562" t="s">
        <v>59419</v>
      </c>
      <c r="J9562" t="s">
        <v>59420</v>
      </c>
      <c r="K9562" t="s">
        <v>59421</v>
      </c>
      <c r="L9562" t="s">
        <v>59414</v>
      </c>
    </row>
    <row r="9563" spans="1:12" x14ac:dyDescent="0.25">
      <c r="A9563">
        <v>1797437</v>
      </c>
      <c r="B9563">
        <v>1831224</v>
      </c>
      <c r="D9563">
        <v>0</v>
      </c>
      <c r="F9563">
        <v>2127002</v>
      </c>
      <c r="G9563">
        <v>1831224</v>
      </c>
      <c r="H9563" t="e" vm="171">
        <f>_FV(0,"04")</f>
        <v>#VALUE!</v>
      </c>
      <c r="I9563">
        <v>1797437</v>
      </c>
      <c r="J9563" t="s">
        <v>2674</v>
      </c>
      <c r="K9563" t="s">
        <v>59422</v>
      </c>
      <c r="L9563" t="e" vm="171">
        <f>_FV(0,"04")</f>
        <v>#VALUE!</v>
      </c>
    </row>
    <row r="9564" spans="1:12" x14ac:dyDescent="0.25">
      <c r="A9564">
        <v>1797437</v>
      </c>
      <c r="B9564">
        <v>1797491</v>
      </c>
      <c r="D9564">
        <v>0</v>
      </c>
      <c r="E9564" t="s">
        <v>59424</v>
      </c>
      <c r="F9564" t="s">
        <v>59425</v>
      </c>
      <c r="G9564" t="s">
        <v>59426</v>
      </c>
      <c r="H9564" t="e" vm="4125">
        <f>_FV(0,"018353838435910323")</f>
        <v>#VALUE!</v>
      </c>
      <c r="I9564" t="s">
        <v>59427</v>
      </c>
      <c r="J9564" t="s">
        <v>59428</v>
      </c>
      <c r="K9564" t="s">
        <v>59429</v>
      </c>
      <c r="L9564" t="s">
        <v>59423</v>
      </c>
    </row>
    <row r="9565" spans="1:12" x14ac:dyDescent="0.25">
      <c r="A9565">
        <v>1797462</v>
      </c>
      <c r="B9565">
        <v>1831185</v>
      </c>
      <c r="D9565">
        <v>0</v>
      </c>
      <c r="F9565">
        <v>2126930</v>
      </c>
      <c r="G9565">
        <v>1797462</v>
      </c>
      <c r="H9565" t="e" vm="3541">
        <f>_FV(0,"065")</f>
        <v>#VALUE!</v>
      </c>
      <c r="I9565">
        <v>1831185</v>
      </c>
      <c r="J9565" t="s">
        <v>288</v>
      </c>
      <c r="K9565" t="s">
        <v>59430</v>
      </c>
      <c r="L9565" t="e" vm="3541">
        <f>_FV(0,"065")</f>
        <v>#VALUE!</v>
      </c>
    </row>
    <row r="9566" spans="1:12" x14ac:dyDescent="0.25">
      <c r="A9566">
        <v>1797491</v>
      </c>
      <c r="B9566">
        <v>1831205</v>
      </c>
      <c r="D9566">
        <v>0</v>
      </c>
      <c r="F9566">
        <v>2126962</v>
      </c>
      <c r="G9566">
        <v>1797491</v>
      </c>
      <c r="H9566" t="s">
        <v>6299</v>
      </c>
      <c r="I9566">
        <v>1831205</v>
      </c>
      <c r="J9566" t="s">
        <v>6299</v>
      </c>
      <c r="K9566" t="s">
        <v>59431</v>
      </c>
      <c r="L9566" t="s">
        <v>6299</v>
      </c>
    </row>
    <row r="9567" spans="1:12" x14ac:dyDescent="0.25">
      <c r="A9567">
        <v>1797846</v>
      </c>
      <c r="B9567">
        <v>1797857</v>
      </c>
      <c r="D9567">
        <v>0</v>
      </c>
      <c r="E9567" t="s">
        <v>59433</v>
      </c>
      <c r="F9567" t="s">
        <v>59434</v>
      </c>
      <c r="G9567" t="s">
        <v>59435</v>
      </c>
      <c r="H9567" t="s">
        <v>59436</v>
      </c>
      <c r="I9567" t="s">
        <v>59437</v>
      </c>
      <c r="J9567" t="s">
        <v>59432</v>
      </c>
      <c r="K9567" t="s">
        <v>59438</v>
      </c>
      <c r="L9567" t="s">
        <v>59432</v>
      </c>
    </row>
    <row r="9568" spans="1:12" x14ac:dyDescent="0.25">
      <c r="A9568">
        <v>1797846</v>
      </c>
      <c r="B9568">
        <v>1798359</v>
      </c>
      <c r="D9568" t="s">
        <v>1119</v>
      </c>
      <c r="E9568" t="s">
        <v>59439</v>
      </c>
      <c r="F9568" t="s">
        <v>59440</v>
      </c>
      <c r="G9568" t="s">
        <v>59441</v>
      </c>
      <c r="H9568" t="e" vm="4126">
        <f>_FV(0,"039103236983394005")</f>
        <v>#VALUE!</v>
      </c>
      <c r="I9568" t="s">
        <v>59442</v>
      </c>
      <c r="J9568" t="s">
        <v>53340</v>
      </c>
      <c r="K9568" t="s">
        <v>59443</v>
      </c>
      <c r="L9568" t="s">
        <v>53335</v>
      </c>
    </row>
    <row r="9569" spans="1:12" x14ac:dyDescent="0.25">
      <c r="A9569">
        <v>1797846</v>
      </c>
      <c r="B9569">
        <v>1797875</v>
      </c>
      <c r="D9569">
        <v>0</v>
      </c>
      <c r="E9569" t="s">
        <v>59445</v>
      </c>
      <c r="F9569" t="s">
        <v>59446</v>
      </c>
      <c r="G9569" t="s">
        <v>59447</v>
      </c>
      <c r="H9569" t="e" vm="4127">
        <f>_FV(0,"03428972600838477")</f>
        <v>#VALUE!</v>
      </c>
      <c r="I9569" t="s">
        <v>59448</v>
      </c>
      <c r="J9569" t="s">
        <v>59449</v>
      </c>
      <c r="K9569" t="s">
        <v>59450</v>
      </c>
      <c r="L9569" t="s">
        <v>59444</v>
      </c>
    </row>
    <row r="9570" spans="1:12" x14ac:dyDescent="0.25">
      <c r="A9570">
        <v>1797857</v>
      </c>
      <c r="B9570">
        <v>1797864</v>
      </c>
      <c r="D9570">
        <v>0</v>
      </c>
      <c r="F9570">
        <v>2070611</v>
      </c>
      <c r="G9570">
        <v>1797864</v>
      </c>
      <c r="H9570" t="s">
        <v>8057</v>
      </c>
      <c r="I9570">
        <v>1797857</v>
      </c>
      <c r="J9570" t="s">
        <v>8057</v>
      </c>
      <c r="K9570" t="s">
        <v>59451</v>
      </c>
      <c r="L9570" t="s">
        <v>8057</v>
      </c>
    </row>
    <row r="9571" spans="1:12" x14ac:dyDescent="0.25">
      <c r="A9571">
        <v>1797857</v>
      </c>
      <c r="B9571">
        <v>1798359</v>
      </c>
      <c r="D9571" t="s">
        <v>1119</v>
      </c>
      <c r="E9571" t="s">
        <v>59453</v>
      </c>
      <c r="F9571" t="s">
        <v>59454</v>
      </c>
      <c r="G9571" t="s">
        <v>59455</v>
      </c>
      <c r="H9571" t="e" vm="4128">
        <f>_FV(0,"04258494288473831")</f>
        <v>#VALUE!</v>
      </c>
      <c r="I9571" t="s">
        <v>59456</v>
      </c>
      <c r="J9571" t="s">
        <v>59457</v>
      </c>
      <c r="K9571" t="s">
        <v>59458</v>
      </c>
      <c r="L9571" t="s">
        <v>59452</v>
      </c>
    </row>
    <row r="9572" spans="1:12" x14ac:dyDescent="0.25">
      <c r="A9572">
        <v>1797864</v>
      </c>
      <c r="B9572">
        <v>1797875</v>
      </c>
      <c r="D9572">
        <v>0</v>
      </c>
      <c r="E9572" t="s">
        <v>59460</v>
      </c>
      <c r="F9572" t="s">
        <v>59461</v>
      </c>
      <c r="G9572" t="s">
        <v>59462</v>
      </c>
      <c r="H9572" t="s">
        <v>59463</v>
      </c>
      <c r="I9572" t="s">
        <v>59464</v>
      </c>
      <c r="J9572" t="s">
        <v>59459</v>
      </c>
      <c r="K9572" t="s">
        <v>59465</v>
      </c>
      <c r="L9572" t="s">
        <v>59459</v>
      </c>
    </row>
    <row r="9573" spans="1:12" x14ac:dyDescent="0.25">
      <c r="A9573">
        <v>1797864</v>
      </c>
      <c r="B9573">
        <v>1797893</v>
      </c>
      <c r="D9573">
        <v>0</v>
      </c>
      <c r="E9573" t="s">
        <v>59466</v>
      </c>
      <c r="F9573" t="s">
        <v>59467</v>
      </c>
      <c r="G9573" t="s">
        <v>59468</v>
      </c>
      <c r="H9573" t="s">
        <v>23519</v>
      </c>
      <c r="I9573" t="s">
        <v>59469</v>
      </c>
      <c r="J9573" t="s">
        <v>23519</v>
      </c>
      <c r="K9573" t="s">
        <v>59470</v>
      </c>
      <c r="L9573" t="s">
        <v>23519</v>
      </c>
    </row>
    <row r="9574" spans="1:12" x14ac:dyDescent="0.25">
      <c r="A9574">
        <v>1797875</v>
      </c>
      <c r="B9574">
        <v>1797893</v>
      </c>
      <c r="D9574">
        <v>0</v>
      </c>
      <c r="E9574" t="s">
        <v>59472</v>
      </c>
      <c r="F9574" t="s">
        <v>59473</v>
      </c>
      <c r="G9574" t="s">
        <v>59474</v>
      </c>
      <c r="H9574" t="s">
        <v>59475</v>
      </c>
      <c r="I9574" t="s">
        <v>59476</v>
      </c>
      <c r="J9574" t="s">
        <v>59471</v>
      </c>
      <c r="K9574" t="s">
        <v>59477</v>
      </c>
      <c r="L9574" t="s">
        <v>59471</v>
      </c>
    </row>
    <row r="9575" spans="1:12" x14ac:dyDescent="0.25">
      <c r="A9575">
        <v>1797893</v>
      </c>
      <c r="B9575">
        <v>1797894</v>
      </c>
      <c r="D9575">
        <v>0</v>
      </c>
      <c r="F9575">
        <v>2070659</v>
      </c>
      <c r="G9575">
        <v>1797894</v>
      </c>
      <c r="H9575" t="e" vm="1851">
        <f>_FV(0,"051")</f>
        <v>#VALUE!</v>
      </c>
      <c r="I9575">
        <v>1797893</v>
      </c>
      <c r="J9575" t="s">
        <v>7670</v>
      </c>
      <c r="K9575" t="s">
        <v>59478</v>
      </c>
      <c r="L9575" t="e" vm="1851">
        <f>_FV(0,"051")</f>
        <v>#VALUE!</v>
      </c>
    </row>
    <row r="9576" spans="1:12" x14ac:dyDescent="0.25">
      <c r="A9576">
        <v>1797894</v>
      </c>
      <c r="B9576">
        <v>1797939</v>
      </c>
      <c r="D9576">
        <v>0</v>
      </c>
      <c r="E9576" t="s">
        <v>59480</v>
      </c>
      <c r="F9576" t="s">
        <v>59481</v>
      </c>
      <c r="G9576" t="s">
        <v>59482</v>
      </c>
      <c r="H9576" t="e" vm="4129">
        <f>_FV(0,"02279857952796466")</f>
        <v>#VALUE!</v>
      </c>
      <c r="I9576" t="s">
        <v>59483</v>
      </c>
      <c r="J9576" t="s">
        <v>59484</v>
      </c>
      <c r="K9576" t="s">
        <v>59485</v>
      </c>
      <c r="L9576" t="s">
        <v>59479</v>
      </c>
    </row>
    <row r="9577" spans="1:12" x14ac:dyDescent="0.25">
      <c r="A9577">
        <v>1797894</v>
      </c>
      <c r="B9577">
        <v>1797899</v>
      </c>
      <c r="D9577">
        <v>0</v>
      </c>
      <c r="E9577" t="s">
        <v>59487</v>
      </c>
      <c r="F9577" t="s">
        <v>59488</v>
      </c>
      <c r="G9577" t="s">
        <v>59489</v>
      </c>
      <c r="H9577" t="e" vm="4130">
        <f>_FV(0,"1305252312958028")</f>
        <v>#VALUE!</v>
      </c>
      <c r="I9577" t="s">
        <v>59490</v>
      </c>
      <c r="J9577" t="s">
        <v>59491</v>
      </c>
      <c r="K9577" t="s">
        <v>59492</v>
      </c>
      <c r="L9577" t="s">
        <v>59486</v>
      </c>
    </row>
    <row r="9578" spans="1:12" x14ac:dyDescent="0.25">
      <c r="A9578">
        <v>1797899</v>
      </c>
      <c r="B9578">
        <v>1797910</v>
      </c>
      <c r="D9578">
        <v>0</v>
      </c>
      <c r="E9578" t="s">
        <v>59494</v>
      </c>
      <c r="F9578" t="s">
        <v>59495</v>
      </c>
      <c r="G9578" t="s">
        <v>59496</v>
      </c>
      <c r="H9578" t="e" vm="4131">
        <f>_FV(0,"12597601964886007")</f>
        <v>#VALUE!</v>
      </c>
      <c r="I9578" t="s">
        <v>59497</v>
      </c>
      <c r="J9578" t="s">
        <v>59498</v>
      </c>
      <c r="K9578" t="s">
        <v>59499</v>
      </c>
      <c r="L9578" t="s">
        <v>59493</v>
      </c>
    </row>
    <row r="9579" spans="1:12" x14ac:dyDescent="0.25">
      <c r="A9579">
        <v>1797899</v>
      </c>
      <c r="B9579">
        <v>1797939</v>
      </c>
      <c r="D9579">
        <v>0</v>
      </c>
      <c r="E9579" t="s">
        <v>59501</v>
      </c>
      <c r="F9579" t="s">
        <v>59502</v>
      </c>
      <c r="G9579" t="s">
        <v>59503</v>
      </c>
      <c r="H9579" t="e" vm="4132">
        <f>_FV(0,"21371006361192185")</f>
        <v>#VALUE!</v>
      </c>
      <c r="I9579" t="s">
        <v>59504</v>
      </c>
      <c r="J9579" t="s">
        <v>59505</v>
      </c>
      <c r="K9579" t="s">
        <v>59506</v>
      </c>
      <c r="L9579" t="s">
        <v>59500</v>
      </c>
    </row>
    <row r="9580" spans="1:12" x14ac:dyDescent="0.25">
      <c r="A9580">
        <v>1797910</v>
      </c>
      <c r="B9580">
        <v>1797939</v>
      </c>
      <c r="D9580">
        <v>0</v>
      </c>
      <c r="E9580" t="s">
        <v>59508</v>
      </c>
      <c r="F9580" t="s">
        <v>59509</v>
      </c>
      <c r="G9580" t="s">
        <v>59510</v>
      </c>
      <c r="H9580" t="s">
        <v>59511</v>
      </c>
      <c r="I9580" t="s">
        <v>59512</v>
      </c>
      <c r="J9580" t="s">
        <v>59507</v>
      </c>
      <c r="K9580" t="s">
        <v>59513</v>
      </c>
      <c r="L9580" t="s">
        <v>59507</v>
      </c>
    </row>
    <row r="9581" spans="1:12" x14ac:dyDescent="0.25">
      <c r="A9581">
        <v>1798359</v>
      </c>
      <c r="B9581">
        <v>1798465</v>
      </c>
      <c r="D9581">
        <v>0</v>
      </c>
      <c r="E9581" t="s">
        <v>59515</v>
      </c>
      <c r="F9581" t="s">
        <v>59516</v>
      </c>
      <c r="G9581" t="s">
        <v>59517</v>
      </c>
      <c r="H9581" t="e" vm="4133">
        <f>_FV(0,"013700003040597802")</f>
        <v>#VALUE!</v>
      </c>
      <c r="I9581" t="s">
        <v>59518</v>
      </c>
      <c r="J9581" t="s">
        <v>59519</v>
      </c>
      <c r="K9581" t="s">
        <v>59520</v>
      </c>
      <c r="L9581" t="s">
        <v>59514</v>
      </c>
    </row>
    <row r="9582" spans="1:12" x14ac:dyDescent="0.25">
      <c r="A9582">
        <v>1802108</v>
      </c>
      <c r="B9582">
        <v>1802122</v>
      </c>
      <c r="D9582">
        <v>0</v>
      </c>
      <c r="E9582" t="s">
        <v>59522</v>
      </c>
      <c r="F9582" t="s">
        <v>59523</v>
      </c>
      <c r="G9582" t="s">
        <v>59524</v>
      </c>
      <c r="H9582" t="e" vm="4134">
        <f>_FV(0,"0003915690422755052")</f>
        <v>#VALUE!</v>
      </c>
      <c r="I9582" t="s">
        <v>59525</v>
      </c>
      <c r="J9582" t="s">
        <v>59526</v>
      </c>
      <c r="K9582" t="s">
        <v>59527</v>
      </c>
      <c r="L9582" t="s">
        <v>59521</v>
      </c>
    </row>
    <row r="9583" spans="1:12" x14ac:dyDescent="0.25">
      <c r="A9583">
        <v>1802108</v>
      </c>
      <c r="B9583">
        <v>1802136</v>
      </c>
      <c r="D9583">
        <v>0</v>
      </c>
      <c r="E9583" t="s">
        <v>59529</v>
      </c>
      <c r="F9583" t="s">
        <v>59530</v>
      </c>
      <c r="G9583" t="s">
        <v>59531</v>
      </c>
      <c r="H9583" t="e" vm="4135">
        <f>_FV(0,"03288093093613584")</f>
        <v>#VALUE!</v>
      </c>
      <c r="I9583" t="s">
        <v>59532</v>
      </c>
      <c r="J9583" t="s">
        <v>14945</v>
      </c>
      <c r="K9583" t="s">
        <v>59533</v>
      </c>
      <c r="L9583" t="s">
        <v>59528</v>
      </c>
    </row>
    <row r="9584" spans="1:12" x14ac:dyDescent="0.25">
      <c r="A9584">
        <v>1802108</v>
      </c>
      <c r="B9584">
        <v>1802249</v>
      </c>
      <c r="C9584" t="s">
        <v>59535</v>
      </c>
      <c r="D9584">
        <v>0</v>
      </c>
      <c r="E9584" t="s">
        <v>59536</v>
      </c>
      <c r="F9584" t="s">
        <v>59537</v>
      </c>
      <c r="G9584" t="s">
        <v>59538</v>
      </c>
      <c r="H9584" t="e" vm="4136">
        <f>_FV(0,"019448231537822384")</f>
        <v>#VALUE!</v>
      </c>
      <c r="I9584" t="s">
        <v>59539</v>
      </c>
      <c r="J9584" t="s">
        <v>59540</v>
      </c>
      <c r="K9584" t="s">
        <v>59541</v>
      </c>
      <c r="L9584" t="s">
        <v>59534</v>
      </c>
    </row>
    <row r="9585" spans="1:12" x14ac:dyDescent="0.25">
      <c r="A9585">
        <v>1802122</v>
      </c>
      <c r="B9585">
        <v>1802132</v>
      </c>
      <c r="D9585">
        <v>0</v>
      </c>
      <c r="E9585" t="s">
        <v>59543</v>
      </c>
      <c r="F9585" t="s">
        <v>59544</v>
      </c>
      <c r="G9585" t="s">
        <v>59545</v>
      </c>
      <c r="H9585" t="s">
        <v>59546</v>
      </c>
      <c r="I9585" t="s">
        <v>59547</v>
      </c>
      <c r="J9585" t="s">
        <v>59542</v>
      </c>
      <c r="K9585" t="s">
        <v>59548</v>
      </c>
      <c r="L9585" t="s">
        <v>59542</v>
      </c>
    </row>
    <row r="9586" spans="1:12" x14ac:dyDescent="0.25">
      <c r="A9586">
        <v>1802122</v>
      </c>
      <c r="B9586">
        <v>1802282</v>
      </c>
      <c r="D9586">
        <v>0</v>
      </c>
      <c r="E9586" t="s">
        <v>59550</v>
      </c>
      <c r="F9586" t="s">
        <v>59551</v>
      </c>
      <c r="G9586" t="s">
        <v>59552</v>
      </c>
      <c r="H9586" t="s">
        <v>59553</v>
      </c>
      <c r="I9586" t="s">
        <v>59554</v>
      </c>
      <c r="J9586" t="s">
        <v>59549</v>
      </c>
      <c r="K9586" t="s">
        <v>59555</v>
      </c>
      <c r="L9586" t="s">
        <v>59549</v>
      </c>
    </row>
    <row r="9587" spans="1:12" x14ac:dyDescent="0.25">
      <c r="A9587">
        <v>1802132</v>
      </c>
      <c r="B9587">
        <v>1802136</v>
      </c>
      <c r="D9587">
        <v>0</v>
      </c>
      <c r="F9587">
        <v>2077745</v>
      </c>
      <c r="G9587">
        <v>1802136</v>
      </c>
      <c r="H9587" t="s">
        <v>239</v>
      </c>
      <c r="I9587">
        <v>1802132</v>
      </c>
      <c r="J9587" t="s">
        <v>239</v>
      </c>
      <c r="K9587" t="s">
        <v>59556</v>
      </c>
      <c r="L9587" t="s">
        <v>239</v>
      </c>
    </row>
    <row r="9588" spans="1:12" x14ac:dyDescent="0.25">
      <c r="A9588">
        <v>1802132</v>
      </c>
      <c r="B9588">
        <v>1802282</v>
      </c>
      <c r="D9588">
        <v>0</v>
      </c>
      <c r="E9588" t="s">
        <v>59558</v>
      </c>
      <c r="F9588" t="s">
        <v>59559</v>
      </c>
      <c r="G9588" t="s">
        <v>59560</v>
      </c>
      <c r="H9588" t="e" vm="4137">
        <f>_FV(0,"014370859631920158")</f>
        <v>#VALUE!</v>
      </c>
      <c r="I9588" t="s">
        <v>59561</v>
      </c>
      <c r="J9588" t="s">
        <v>59562</v>
      </c>
      <c r="K9588" t="s">
        <v>59563</v>
      </c>
      <c r="L9588" t="s">
        <v>59557</v>
      </c>
    </row>
    <row r="9589" spans="1:12" x14ac:dyDescent="0.25">
      <c r="A9589">
        <v>1802136</v>
      </c>
      <c r="B9589">
        <v>1802249</v>
      </c>
      <c r="D9589">
        <v>0</v>
      </c>
      <c r="E9589" t="s">
        <v>59564</v>
      </c>
      <c r="F9589" t="s">
        <v>59565</v>
      </c>
      <c r="G9589" t="s">
        <v>59566</v>
      </c>
      <c r="H9589" t="s">
        <v>59567</v>
      </c>
      <c r="I9589" t="s">
        <v>59568</v>
      </c>
      <c r="J9589" t="s">
        <v>30469</v>
      </c>
      <c r="K9589" t="s">
        <v>59569</v>
      </c>
      <c r="L9589" t="s">
        <v>30469</v>
      </c>
    </row>
    <row r="9590" spans="1:12" x14ac:dyDescent="0.25">
      <c r="A9590">
        <v>1803815</v>
      </c>
      <c r="B9590">
        <v>1803824</v>
      </c>
      <c r="D9590">
        <v>0</v>
      </c>
      <c r="E9590" t="s">
        <v>59571</v>
      </c>
      <c r="F9590" t="s">
        <v>59572</v>
      </c>
      <c r="G9590" t="s">
        <v>59573</v>
      </c>
      <c r="H9590" t="s">
        <v>59574</v>
      </c>
      <c r="I9590" t="s">
        <v>59575</v>
      </c>
      <c r="J9590" t="s">
        <v>59570</v>
      </c>
      <c r="K9590" t="s">
        <v>59576</v>
      </c>
      <c r="L9590" t="s">
        <v>59570</v>
      </c>
    </row>
    <row r="9591" spans="1:12" x14ac:dyDescent="0.25">
      <c r="A9591">
        <v>1803815</v>
      </c>
      <c r="B9591">
        <v>1803836</v>
      </c>
      <c r="D9591">
        <v>0</v>
      </c>
      <c r="E9591" t="s">
        <v>59578</v>
      </c>
      <c r="F9591" t="s">
        <v>59579</v>
      </c>
      <c r="G9591" t="s">
        <v>59580</v>
      </c>
      <c r="H9591" t="s">
        <v>59581</v>
      </c>
      <c r="I9591" t="s">
        <v>59582</v>
      </c>
      <c r="J9591" t="s">
        <v>59577</v>
      </c>
      <c r="K9591" t="s">
        <v>59583</v>
      </c>
      <c r="L9591" t="s">
        <v>59577</v>
      </c>
    </row>
    <row r="9592" spans="1:12" x14ac:dyDescent="0.25">
      <c r="A9592">
        <v>1803824</v>
      </c>
      <c r="B9592">
        <v>1803836</v>
      </c>
      <c r="D9592">
        <v>0</v>
      </c>
      <c r="E9592" t="s">
        <v>59585</v>
      </c>
      <c r="F9592" t="s">
        <v>59586</v>
      </c>
      <c r="G9592" t="s">
        <v>59587</v>
      </c>
      <c r="H9592" t="e" vm="4138">
        <f>_FV(0,"0790537388924341")</f>
        <v>#VALUE!</v>
      </c>
      <c r="I9592" t="s">
        <v>59588</v>
      </c>
      <c r="J9592" t="s">
        <v>59589</v>
      </c>
      <c r="K9592" t="s">
        <v>59590</v>
      </c>
      <c r="L9592" t="s">
        <v>59584</v>
      </c>
    </row>
    <row r="9593" spans="1:12" x14ac:dyDescent="0.25">
      <c r="A9593">
        <v>1803824</v>
      </c>
      <c r="B9593">
        <v>1803881</v>
      </c>
      <c r="D9593">
        <v>0</v>
      </c>
      <c r="E9593" t="s">
        <v>59592</v>
      </c>
      <c r="F9593" t="s">
        <v>59593</v>
      </c>
      <c r="G9593" t="s">
        <v>59594</v>
      </c>
      <c r="H9593" t="e" vm="4139">
        <f>_FV(0,"00030807573518673326")</f>
        <v>#VALUE!</v>
      </c>
      <c r="I9593" t="s">
        <v>59595</v>
      </c>
      <c r="J9593" t="s">
        <v>59596</v>
      </c>
      <c r="K9593" t="s">
        <v>59597</v>
      </c>
      <c r="L9593" t="s">
        <v>59591</v>
      </c>
    </row>
    <row r="9594" spans="1:12" x14ac:dyDescent="0.25">
      <c r="A9594">
        <v>1803836</v>
      </c>
      <c r="B9594">
        <v>1803894</v>
      </c>
      <c r="D9594">
        <v>0</v>
      </c>
      <c r="F9594">
        <v>2080466</v>
      </c>
      <c r="G9594">
        <v>1803894</v>
      </c>
      <c r="H9594" t="s">
        <v>1333</v>
      </c>
      <c r="I9594">
        <v>1803836</v>
      </c>
      <c r="J9594" t="s">
        <v>1333</v>
      </c>
      <c r="K9594" t="s">
        <v>59598</v>
      </c>
      <c r="L9594" t="s">
        <v>1333</v>
      </c>
    </row>
    <row r="9595" spans="1:12" x14ac:dyDescent="0.25">
      <c r="A9595">
        <v>1803881</v>
      </c>
      <c r="B9595">
        <v>1803888</v>
      </c>
      <c r="D9595">
        <v>0</v>
      </c>
      <c r="E9595" t="s">
        <v>59600</v>
      </c>
      <c r="F9595" t="s">
        <v>59601</v>
      </c>
      <c r="G9595" t="s">
        <v>59602</v>
      </c>
      <c r="H9595" t="e" vm="4140">
        <f>_FV(0,"020220690623931132")</f>
        <v>#VALUE!</v>
      </c>
      <c r="I9595" t="s">
        <v>59603</v>
      </c>
      <c r="J9595" t="s">
        <v>59604</v>
      </c>
      <c r="K9595" t="s">
        <v>59605</v>
      </c>
      <c r="L9595" t="s">
        <v>59599</v>
      </c>
    </row>
    <row r="9596" spans="1:12" x14ac:dyDescent="0.25">
      <c r="A9596">
        <v>1803881</v>
      </c>
      <c r="B9596">
        <v>1803894</v>
      </c>
      <c r="D9596">
        <v>0</v>
      </c>
      <c r="E9596" t="s">
        <v>59607</v>
      </c>
      <c r="F9596" t="s">
        <v>59608</v>
      </c>
      <c r="G9596" t="s">
        <v>59609</v>
      </c>
      <c r="H9596" t="s">
        <v>59610</v>
      </c>
      <c r="I9596" t="s">
        <v>59611</v>
      </c>
      <c r="J9596" t="s">
        <v>59606</v>
      </c>
      <c r="K9596" t="s">
        <v>59612</v>
      </c>
      <c r="L9596" t="s">
        <v>59606</v>
      </c>
    </row>
    <row r="9597" spans="1:12" x14ac:dyDescent="0.25">
      <c r="A9597">
        <v>1803888</v>
      </c>
      <c r="B9597">
        <v>1803894</v>
      </c>
      <c r="D9597">
        <v>0</v>
      </c>
      <c r="E9597" t="s">
        <v>59613</v>
      </c>
      <c r="F9597" t="s">
        <v>59614</v>
      </c>
      <c r="G9597" t="s">
        <v>59615</v>
      </c>
      <c r="H9597" t="s">
        <v>59616</v>
      </c>
      <c r="I9597" t="s">
        <v>59617</v>
      </c>
      <c r="J9597" t="s">
        <v>7467</v>
      </c>
      <c r="K9597" t="s">
        <v>59618</v>
      </c>
      <c r="L9597" t="s">
        <v>7467</v>
      </c>
    </row>
    <row r="9598" spans="1:12" x14ac:dyDescent="0.25">
      <c r="A9598">
        <v>1804949</v>
      </c>
      <c r="B9598">
        <v>1804954</v>
      </c>
      <c r="D9598">
        <v>0</v>
      </c>
      <c r="E9598" t="s">
        <v>59620</v>
      </c>
      <c r="F9598" t="s">
        <v>59621</v>
      </c>
      <c r="G9598" t="s">
        <v>59622</v>
      </c>
      <c r="H9598" t="e" vm="4141">
        <f>_FV(0,"005697564140338424")</f>
        <v>#VALUE!</v>
      </c>
      <c r="I9598" t="s">
        <v>59623</v>
      </c>
      <c r="J9598" t="s">
        <v>59624</v>
      </c>
      <c r="K9598" t="s">
        <v>59625</v>
      </c>
      <c r="L9598" t="s">
        <v>59619</v>
      </c>
    </row>
    <row r="9599" spans="1:12" x14ac:dyDescent="0.25">
      <c r="A9599">
        <v>1806461</v>
      </c>
      <c r="B9599">
        <v>1806469</v>
      </c>
      <c r="D9599">
        <v>0</v>
      </c>
      <c r="E9599" t="s">
        <v>59627</v>
      </c>
      <c r="F9599" t="s">
        <v>59628</v>
      </c>
      <c r="G9599" t="s">
        <v>59629</v>
      </c>
      <c r="H9599" t="s">
        <v>59630</v>
      </c>
      <c r="I9599" t="s">
        <v>59631</v>
      </c>
      <c r="J9599" t="s">
        <v>59626</v>
      </c>
      <c r="K9599" t="s">
        <v>59632</v>
      </c>
      <c r="L9599" t="s">
        <v>59626</v>
      </c>
    </row>
    <row r="9600" spans="1:12" x14ac:dyDescent="0.25">
      <c r="A9600">
        <v>1806461</v>
      </c>
      <c r="B9600">
        <v>1806469</v>
      </c>
      <c r="D9600">
        <v>0</v>
      </c>
      <c r="E9600" t="s">
        <v>59634</v>
      </c>
      <c r="F9600" t="s">
        <v>59635</v>
      </c>
      <c r="G9600" t="s">
        <v>59636</v>
      </c>
      <c r="H9600" t="s">
        <v>59637</v>
      </c>
      <c r="I9600" t="s">
        <v>59638</v>
      </c>
      <c r="J9600" t="s">
        <v>59633</v>
      </c>
      <c r="K9600" t="s">
        <v>59639</v>
      </c>
      <c r="L9600" t="s">
        <v>59633</v>
      </c>
    </row>
    <row r="9601" spans="1:12" x14ac:dyDescent="0.25">
      <c r="A9601">
        <v>1807730</v>
      </c>
      <c r="B9601">
        <v>1807739</v>
      </c>
      <c r="D9601">
        <v>0</v>
      </c>
      <c r="E9601" t="s">
        <v>59641</v>
      </c>
      <c r="F9601" t="s">
        <v>59642</v>
      </c>
      <c r="G9601" t="s">
        <v>59643</v>
      </c>
      <c r="H9601" t="e" vm="4142">
        <f>_FV(0,"008875754261199497")</f>
        <v>#VALUE!</v>
      </c>
      <c r="I9601" t="s">
        <v>59644</v>
      </c>
      <c r="J9601" t="s">
        <v>59645</v>
      </c>
      <c r="K9601" t="s">
        <v>59646</v>
      </c>
      <c r="L9601" t="s">
        <v>59640</v>
      </c>
    </row>
    <row r="9602" spans="1:12" x14ac:dyDescent="0.25">
      <c r="A9602">
        <v>1807739</v>
      </c>
      <c r="B9602">
        <v>1821039</v>
      </c>
      <c r="D9602">
        <v>0</v>
      </c>
      <c r="E9602" t="s">
        <v>59648</v>
      </c>
      <c r="F9602" t="s">
        <v>59649</v>
      </c>
      <c r="G9602" t="s">
        <v>59650</v>
      </c>
      <c r="H9602" t="e" vm="4143">
        <f>_FV(0,"0028164421217998416")</f>
        <v>#VALUE!</v>
      </c>
      <c r="I9602" t="s">
        <v>59651</v>
      </c>
      <c r="J9602" t="s">
        <v>53098</v>
      </c>
      <c r="K9602" t="s">
        <v>59652</v>
      </c>
      <c r="L9602" t="s">
        <v>59647</v>
      </c>
    </row>
    <row r="9603" spans="1:12" x14ac:dyDescent="0.25">
      <c r="A9603">
        <v>1808622</v>
      </c>
      <c r="B9603">
        <v>1808626</v>
      </c>
      <c r="D9603">
        <v>0</v>
      </c>
      <c r="E9603" t="s">
        <v>59654</v>
      </c>
      <c r="F9603" t="s">
        <v>59655</v>
      </c>
      <c r="G9603" t="s">
        <v>59656</v>
      </c>
      <c r="H9603" t="e" vm="4144">
        <f>_FV(0,"005877163080346185")</f>
        <v>#VALUE!</v>
      </c>
      <c r="I9603" t="s">
        <v>59657</v>
      </c>
      <c r="J9603" t="s">
        <v>59658</v>
      </c>
      <c r="K9603" t="s">
        <v>59659</v>
      </c>
      <c r="L9603" t="s">
        <v>59653</v>
      </c>
    </row>
    <row r="9604" spans="1:12" x14ac:dyDescent="0.25">
      <c r="A9604">
        <v>1808899</v>
      </c>
      <c r="B9604">
        <v>1808945</v>
      </c>
      <c r="D9604">
        <v>0</v>
      </c>
      <c r="E9604" t="s">
        <v>59661</v>
      </c>
      <c r="F9604" t="s">
        <v>59662</v>
      </c>
      <c r="G9604" t="s">
        <v>59663</v>
      </c>
      <c r="H9604" t="s">
        <v>59664</v>
      </c>
      <c r="I9604" t="s">
        <v>59665</v>
      </c>
      <c r="J9604" t="s">
        <v>59660</v>
      </c>
      <c r="K9604" t="s">
        <v>59666</v>
      </c>
      <c r="L9604" t="s">
        <v>59660</v>
      </c>
    </row>
    <row r="9605" spans="1:12" x14ac:dyDescent="0.25">
      <c r="A9605">
        <v>1808899</v>
      </c>
      <c r="B9605">
        <v>1808945</v>
      </c>
      <c r="D9605">
        <v>0</v>
      </c>
      <c r="E9605" t="s">
        <v>59668</v>
      </c>
      <c r="F9605" t="s">
        <v>59669</v>
      </c>
      <c r="G9605" t="s">
        <v>59670</v>
      </c>
      <c r="H9605" t="s">
        <v>59671</v>
      </c>
      <c r="I9605" t="s">
        <v>59672</v>
      </c>
      <c r="J9605" t="s">
        <v>59667</v>
      </c>
      <c r="K9605" t="s">
        <v>59673</v>
      </c>
      <c r="L9605" t="s">
        <v>59667</v>
      </c>
    </row>
    <row r="9606" spans="1:12" x14ac:dyDescent="0.25">
      <c r="A9606">
        <v>1808899</v>
      </c>
      <c r="B9606">
        <v>1854871</v>
      </c>
      <c r="D9606">
        <v>0</v>
      </c>
      <c r="E9606" t="s">
        <v>59674</v>
      </c>
      <c r="H9606" t="s">
        <v>187</v>
      </c>
      <c r="J9606">
        <v>0</v>
      </c>
      <c r="K9606" t="s">
        <v>12372</v>
      </c>
      <c r="L9606">
        <v>0</v>
      </c>
    </row>
    <row r="9607" spans="1:12" x14ac:dyDescent="0.25">
      <c r="A9607">
        <v>1810123</v>
      </c>
      <c r="B9607">
        <v>1810129</v>
      </c>
      <c r="D9607">
        <v>0</v>
      </c>
      <c r="F9607">
        <v>2090959</v>
      </c>
      <c r="G9607">
        <v>1810129</v>
      </c>
      <c r="H9607" t="e" vm="106">
        <f>_FV(0,"019")</f>
        <v>#VALUE!</v>
      </c>
      <c r="I9607">
        <v>1810123</v>
      </c>
      <c r="J9607" t="s">
        <v>1629</v>
      </c>
      <c r="K9607" t="s">
        <v>59675</v>
      </c>
      <c r="L9607" t="e" vm="106">
        <f>_FV(0,"019")</f>
        <v>#VALUE!</v>
      </c>
    </row>
    <row r="9608" spans="1:12" x14ac:dyDescent="0.25">
      <c r="A9608">
        <v>1810201</v>
      </c>
      <c r="B9608">
        <v>1810208</v>
      </c>
      <c r="D9608">
        <v>0</v>
      </c>
      <c r="F9608">
        <v>2091091</v>
      </c>
      <c r="G9608">
        <v>1810208</v>
      </c>
      <c r="H9608" t="e" vm="498">
        <f>_FV(0,"037")</f>
        <v>#VALUE!</v>
      </c>
      <c r="I9608">
        <v>1810201</v>
      </c>
      <c r="J9608" t="s">
        <v>1589</v>
      </c>
      <c r="K9608" t="s">
        <v>59676</v>
      </c>
      <c r="L9608" t="e" vm="498">
        <f>_FV(0,"037")</f>
        <v>#VALUE!</v>
      </c>
    </row>
    <row r="9609" spans="1:12" x14ac:dyDescent="0.25">
      <c r="A9609">
        <v>1811151</v>
      </c>
      <c r="B9609">
        <v>1811156</v>
      </c>
      <c r="D9609">
        <v>0</v>
      </c>
      <c r="E9609" t="s">
        <v>59678</v>
      </c>
      <c r="F9609" t="s">
        <v>59679</v>
      </c>
      <c r="G9609" t="s">
        <v>59680</v>
      </c>
      <c r="H9609" t="s">
        <v>59681</v>
      </c>
      <c r="I9609" t="s">
        <v>59682</v>
      </c>
      <c r="J9609" t="s">
        <v>59683</v>
      </c>
      <c r="K9609" t="s">
        <v>59684</v>
      </c>
      <c r="L9609" t="s">
        <v>59677</v>
      </c>
    </row>
    <row r="9610" spans="1:12" x14ac:dyDescent="0.25">
      <c r="A9610">
        <v>1811151</v>
      </c>
      <c r="B9610">
        <v>1811243</v>
      </c>
      <c r="D9610">
        <v>0</v>
      </c>
      <c r="E9610" t="s">
        <v>59686</v>
      </c>
      <c r="F9610" t="s">
        <v>59687</v>
      </c>
      <c r="G9610" t="s">
        <v>59688</v>
      </c>
      <c r="H9610" t="e" vm="4145">
        <f>_FV(0,"016112178544912457")</f>
        <v>#VALUE!</v>
      </c>
      <c r="I9610" t="s">
        <v>59689</v>
      </c>
      <c r="J9610" t="s">
        <v>59690</v>
      </c>
      <c r="K9610" t="s">
        <v>59691</v>
      </c>
      <c r="L9610" t="s">
        <v>59685</v>
      </c>
    </row>
    <row r="9611" spans="1:12" x14ac:dyDescent="0.25">
      <c r="A9611">
        <v>1811156</v>
      </c>
      <c r="B9611">
        <v>1811243</v>
      </c>
      <c r="D9611">
        <v>0</v>
      </c>
      <c r="E9611" t="s">
        <v>59693</v>
      </c>
      <c r="F9611" t="s">
        <v>59694</v>
      </c>
      <c r="G9611" t="s">
        <v>59695</v>
      </c>
      <c r="H9611" t="e" vm="4146">
        <f>_FV(0,"021538701287869458")</f>
        <v>#VALUE!</v>
      </c>
      <c r="I9611" t="s">
        <v>59696</v>
      </c>
      <c r="J9611" t="s">
        <v>14989</v>
      </c>
      <c r="K9611" t="s">
        <v>59697</v>
      </c>
      <c r="L9611" t="s">
        <v>59692</v>
      </c>
    </row>
    <row r="9612" spans="1:12" x14ac:dyDescent="0.25">
      <c r="A9612">
        <v>1812047</v>
      </c>
      <c r="B9612">
        <v>1812048</v>
      </c>
      <c r="D9612">
        <v>0</v>
      </c>
      <c r="F9612">
        <v>2094172</v>
      </c>
      <c r="G9612">
        <v>1812048</v>
      </c>
      <c r="H9612" t="e" vm="298">
        <f>_FV(0,"044")</f>
        <v>#VALUE!</v>
      </c>
      <c r="I9612">
        <v>1812047</v>
      </c>
      <c r="J9612" t="s">
        <v>4331</v>
      </c>
      <c r="K9612" t="s">
        <v>59698</v>
      </c>
      <c r="L9612" t="e" vm="298">
        <f>_FV(0,"044")</f>
        <v>#VALUE!</v>
      </c>
    </row>
    <row r="9613" spans="1:12" x14ac:dyDescent="0.25">
      <c r="A9613">
        <v>1812047</v>
      </c>
      <c r="B9613">
        <v>1812100</v>
      </c>
      <c r="D9613">
        <v>0</v>
      </c>
      <c r="E9613" t="s">
        <v>59700</v>
      </c>
      <c r="F9613" t="s">
        <v>59701</v>
      </c>
      <c r="G9613" t="s">
        <v>59702</v>
      </c>
      <c r="H9613" t="e" vm="4147">
        <f>_FV(0,"04054660451437375")</f>
        <v>#VALUE!</v>
      </c>
      <c r="I9613" t="s">
        <v>59703</v>
      </c>
      <c r="J9613" t="s">
        <v>59704</v>
      </c>
      <c r="K9613" t="s">
        <v>59705</v>
      </c>
      <c r="L9613" t="s">
        <v>59699</v>
      </c>
    </row>
    <row r="9614" spans="1:12" x14ac:dyDescent="0.25">
      <c r="A9614">
        <v>1812047</v>
      </c>
      <c r="B9614">
        <v>1812089</v>
      </c>
      <c r="D9614">
        <v>0</v>
      </c>
      <c r="E9614" t="s">
        <v>59707</v>
      </c>
      <c r="F9614" t="s">
        <v>59708</v>
      </c>
      <c r="G9614" t="s">
        <v>59709</v>
      </c>
      <c r="H9614" t="e" vm="4148">
        <f>_FV(0,"03764430818304602")</f>
        <v>#VALUE!</v>
      </c>
      <c r="I9614" t="s">
        <v>59710</v>
      </c>
      <c r="J9614" t="s">
        <v>59711</v>
      </c>
      <c r="K9614" t="s">
        <v>59712</v>
      </c>
      <c r="L9614" t="s">
        <v>59706</v>
      </c>
    </row>
    <row r="9615" spans="1:12" x14ac:dyDescent="0.25">
      <c r="A9615">
        <v>1812048</v>
      </c>
      <c r="B9615">
        <v>1812162</v>
      </c>
      <c r="D9615">
        <v>0</v>
      </c>
      <c r="E9615" t="s">
        <v>59714</v>
      </c>
      <c r="F9615" t="s">
        <v>59715</v>
      </c>
      <c r="G9615" t="s">
        <v>59716</v>
      </c>
      <c r="H9615" t="s">
        <v>59717</v>
      </c>
      <c r="I9615" t="s">
        <v>59718</v>
      </c>
      <c r="J9615" t="s">
        <v>59719</v>
      </c>
      <c r="K9615" t="s">
        <v>59720</v>
      </c>
      <c r="L9615" t="s">
        <v>59713</v>
      </c>
    </row>
    <row r="9616" spans="1:12" x14ac:dyDescent="0.25">
      <c r="A9616">
        <v>1812094</v>
      </c>
      <c r="B9616">
        <v>1812095</v>
      </c>
      <c r="D9616">
        <v>0</v>
      </c>
      <c r="F9616">
        <v>2094249</v>
      </c>
      <c r="G9616">
        <v>1812095</v>
      </c>
      <c r="H9616" t="e" vm="41">
        <f>_FV(0,"058")</f>
        <v>#VALUE!</v>
      </c>
      <c r="I9616">
        <v>1812094</v>
      </c>
      <c r="J9616" t="s">
        <v>668</v>
      </c>
      <c r="K9616" t="s">
        <v>59721</v>
      </c>
      <c r="L9616" t="e" vm="41">
        <f>_FV(0,"058")</f>
        <v>#VALUE!</v>
      </c>
    </row>
    <row r="9617" spans="1:12" x14ac:dyDescent="0.25">
      <c r="A9617">
        <v>1812094</v>
      </c>
      <c r="B9617">
        <v>1812154</v>
      </c>
      <c r="D9617">
        <v>0</v>
      </c>
      <c r="E9617" t="s">
        <v>59723</v>
      </c>
      <c r="F9617" t="s">
        <v>59724</v>
      </c>
      <c r="G9617" t="s">
        <v>59725</v>
      </c>
      <c r="H9617" t="s">
        <v>59726</v>
      </c>
      <c r="I9617" t="s">
        <v>59727</v>
      </c>
      <c r="J9617" t="s">
        <v>59728</v>
      </c>
      <c r="K9617" t="s">
        <v>59729</v>
      </c>
      <c r="L9617" t="s">
        <v>59722</v>
      </c>
    </row>
    <row r="9618" spans="1:12" x14ac:dyDescent="0.25">
      <c r="A9618">
        <v>1812551</v>
      </c>
      <c r="B9618">
        <v>1812565</v>
      </c>
      <c r="D9618">
        <v>0</v>
      </c>
      <c r="E9618" t="s">
        <v>59731</v>
      </c>
      <c r="F9618" t="s">
        <v>59732</v>
      </c>
      <c r="G9618" t="s">
        <v>59733</v>
      </c>
      <c r="H9618" t="s">
        <v>59734</v>
      </c>
      <c r="I9618" t="s">
        <v>59735</v>
      </c>
      <c r="J9618" t="s">
        <v>59736</v>
      </c>
      <c r="K9618" t="s">
        <v>59737</v>
      </c>
      <c r="L9618" t="s">
        <v>59730</v>
      </c>
    </row>
    <row r="9619" spans="1:12" x14ac:dyDescent="0.25">
      <c r="A9619">
        <v>1812551</v>
      </c>
      <c r="B9619">
        <v>1812580</v>
      </c>
      <c r="D9619">
        <v>0</v>
      </c>
      <c r="E9619" t="s">
        <v>59739</v>
      </c>
      <c r="F9619" t="s">
        <v>59740</v>
      </c>
      <c r="G9619" t="s">
        <v>59741</v>
      </c>
      <c r="H9619" t="e" vm="4149">
        <f>_FV(0,"03574597722076")</f>
        <v>#VALUE!</v>
      </c>
      <c r="I9619" t="s">
        <v>59742</v>
      </c>
      <c r="J9619" t="s">
        <v>59743</v>
      </c>
      <c r="K9619" t="s">
        <v>59744</v>
      </c>
      <c r="L9619" t="s">
        <v>59738</v>
      </c>
    </row>
    <row r="9620" spans="1:12" x14ac:dyDescent="0.25">
      <c r="A9620">
        <v>1812551</v>
      </c>
      <c r="B9620">
        <v>1812615</v>
      </c>
      <c r="D9620">
        <v>0</v>
      </c>
      <c r="E9620" t="s">
        <v>59745</v>
      </c>
      <c r="F9620" t="s">
        <v>59746</v>
      </c>
      <c r="G9620" t="s">
        <v>59747</v>
      </c>
      <c r="H9620" t="s">
        <v>59748</v>
      </c>
      <c r="I9620" t="s">
        <v>59749</v>
      </c>
      <c r="J9620" t="s">
        <v>15617</v>
      </c>
      <c r="K9620" t="s">
        <v>59750</v>
      </c>
      <c r="L9620" t="s">
        <v>15617</v>
      </c>
    </row>
    <row r="9621" spans="1:12" x14ac:dyDescent="0.25">
      <c r="A9621">
        <v>1812565</v>
      </c>
      <c r="B9621">
        <v>1812577</v>
      </c>
      <c r="D9621">
        <v>0</v>
      </c>
      <c r="E9621" t="s">
        <v>59752</v>
      </c>
      <c r="F9621" t="s">
        <v>59753</v>
      </c>
      <c r="G9621" t="s">
        <v>59754</v>
      </c>
      <c r="H9621" t="s">
        <v>59755</v>
      </c>
      <c r="I9621" t="s">
        <v>59756</v>
      </c>
      <c r="J9621" t="s">
        <v>59751</v>
      </c>
      <c r="K9621" t="s">
        <v>59757</v>
      </c>
      <c r="L9621" t="s">
        <v>59751</v>
      </c>
    </row>
    <row r="9622" spans="1:12" x14ac:dyDescent="0.25">
      <c r="A9622">
        <v>1812565</v>
      </c>
      <c r="B9622">
        <v>1812596</v>
      </c>
      <c r="D9622">
        <v>0</v>
      </c>
      <c r="E9622" t="s">
        <v>59759</v>
      </c>
      <c r="F9622" t="s">
        <v>59760</v>
      </c>
      <c r="G9622" t="s">
        <v>59761</v>
      </c>
      <c r="H9622" t="s">
        <v>59762</v>
      </c>
      <c r="I9622" t="s">
        <v>59763</v>
      </c>
      <c r="J9622" t="s">
        <v>59758</v>
      </c>
      <c r="K9622" t="s">
        <v>59764</v>
      </c>
      <c r="L9622" t="s">
        <v>59758</v>
      </c>
    </row>
    <row r="9623" spans="1:12" x14ac:dyDescent="0.25">
      <c r="A9623">
        <v>1812577</v>
      </c>
      <c r="B9623">
        <v>1812580</v>
      </c>
      <c r="D9623">
        <v>0</v>
      </c>
      <c r="F9623">
        <v>2095109</v>
      </c>
      <c r="G9623">
        <v>1812580</v>
      </c>
      <c r="H9623" t="e" vm="122">
        <f>_FV(0,"017")</f>
        <v>#VALUE!</v>
      </c>
      <c r="I9623">
        <v>1812577</v>
      </c>
      <c r="J9623" t="s">
        <v>1814</v>
      </c>
      <c r="K9623" t="s">
        <v>59765</v>
      </c>
      <c r="L9623" t="e" vm="122">
        <f>_FV(0,"017")</f>
        <v>#VALUE!</v>
      </c>
    </row>
    <row r="9624" spans="1:12" x14ac:dyDescent="0.25">
      <c r="A9624">
        <v>1812577</v>
      </c>
      <c r="B9624">
        <v>1812596</v>
      </c>
      <c r="D9624">
        <v>0</v>
      </c>
      <c r="E9624" t="s">
        <v>59767</v>
      </c>
      <c r="F9624" t="s">
        <v>59768</v>
      </c>
      <c r="G9624" t="s">
        <v>59769</v>
      </c>
      <c r="H9624" t="s">
        <v>59770</v>
      </c>
      <c r="I9624" t="s">
        <v>59771</v>
      </c>
      <c r="J9624" t="s">
        <v>59766</v>
      </c>
      <c r="K9624" t="s">
        <v>59772</v>
      </c>
      <c r="L9624" t="s">
        <v>59766</v>
      </c>
    </row>
    <row r="9625" spans="1:12" x14ac:dyDescent="0.25">
      <c r="A9625">
        <v>1812580</v>
      </c>
      <c r="B9625">
        <v>1812615</v>
      </c>
      <c r="D9625">
        <v>0</v>
      </c>
      <c r="E9625" t="s">
        <v>59774</v>
      </c>
      <c r="F9625" t="s">
        <v>59775</v>
      </c>
      <c r="G9625" t="s">
        <v>59776</v>
      </c>
      <c r="H9625" t="s">
        <v>59777</v>
      </c>
      <c r="I9625" t="s">
        <v>59778</v>
      </c>
      <c r="J9625" t="s">
        <v>59773</v>
      </c>
      <c r="K9625" t="s">
        <v>59779</v>
      </c>
      <c r="L9625" t="s">
        <v>59773</v>
      </c>
    </row>
    <row r="9626" spans="1:12" x14ac:dyDescent="0.25">
      <c r="A9626">
        <v>1813576</v>
      </c>
      <c r="B9626">
        <v>1813576</v>
      </c>
      <c r="D9626">
        <v>0</v>
      </c>
      <c r="E9626" t="s">
        <v>59781</v>
      </c>
      <c r="F9626" t="s">
        <v>59782</v>
      </c>
      <c r="G9626" t="s">
        <v>59783</v>
      </c>
      <c r="H9626" t="e" vm="4150">
        <f>_FV(0,"00025677572782754963")</f>
        <v>#VALUE!</v>
      </c>
      <c r="I9626" t="s">
        <v>59784</v>
      </c>
      <c r="J9626" t="s">
        <v>59785</v>
      </c>
      <c r="K9626" t="s">
        <v>59786</v>
      </c>
      <c r="L9626" t="s">
        <v>59780</v>
      </c>
    </row>
    <row r="9627" spans="1:12" x14ac:dyDescent="0.25">
      <c r="A9627">
        <v>1813584</v>
      </c>
      <c r="B9627">
        <v>1813606</v>
      </c>
      <c r="D9627">
        <v>0</v>
      </c>
      <c r="E9627" t="s">
        <v>59788</v>
      </c>
      <c r="F9627" t="s">
        <v>59789</v>
      </c>
      <c r="G9627" t="s">
        <v>59790</v>
      </c>
      <c r="H9627" t="s">
        <v>59791</v>
      </c>
      <c r="I9627" t="s">
        <v>59792</v>
      </c>
      <c r="J9627" t="s">
        <v>59787</v>
      </c>
      <c r="K9627" t="s">
        <v>59793</v>
      </c>
      <c r="L9627" t="s">
        <v>59787</v>
      </c>
    </row>
    <row r="9628" spans="1:12" x14ac:dyDescent="0.25">
      <c r="A9628">
        <v>1813584</v>
      </c>
      <c r="B9628">
        <v>1813586</v>
      </c>
      <c r="D9628">
        <v>0</v>
      </c>
      <c r="E9628" t="s">
        <v>59794</v>
      </c>
      <c r="F9628" t="s">
        <v>59795</v>
      </c>
      <c r="G9628" t="s">
        <v>59796</v>
      </c>
      <c r="H9628" t="s">
        <v>59797</v>
      </c>
      <c r="I9628" t="s">
        <v>59798</v>
      </c>
      <c r="J9628" t="s">
        <v>14669</v>
      </c>
      <c r="K9628" t="s">
        <v>59799</v>
      </c>
      <c r="L9628" t="s">
        <v>14669</v>
      </c>
    </row>
    <row r="9629" spans="1:12" x14ac:dyDescent="0.25">
      <c r="A9629">
        <v>1813586</v>
      </c>
      <c r="B9629">
        <v>1813587</v>
      </c>
      <c r="D9629">
        <v>0</v>
      </c>
      <c r="F9629">
        <v>2096768</v>
      </c>
      <c r="G9629">
        <v>1813587</v>
      </c>
      <c r="H9629" t="s">
        <v>737</v>
      </c>
      <c r="I9629">
        <v>1813586</v>
      </c>
      <c r="J9629" t="s">
        <v>737</v>
      </c>
      <c r="K9629" t="s">
        <v>59800</v>
      </c>
      <c r="L9629" t="s">
        <v>737</v>
      </c>
    </row>
    <row r="9630" spans="1:12" x14ac:dyDescent="0.25">
      <c r="A9630">
        <v>1813586</v>
      </c>
      <c r="B9630">
        <v>1813606</v>
      </c>
      <c r="D9630">
        <v>0</v>
      </c>
      <c r="E9630" t="s">
        <v>59802</v>
      </c>
      <c r="F9630" t="s">
        <v>59803</v>
      </c>
      <c r="G9630" t="s">
        <v>59804</v>
      </c>
      <c r="H9630" t="e" vm="4151">
        <f>_FV(0,"01891788988722728")</f>
        <v>#VALUE!</v>
      </c>
      <c r="I9630" t="s">
        <v>59805</v>
      </c>
      <c r="J9630" t="s">
        <v>59806</v>
      </c>
      <c r="K9630" t="s">
        <v>59807</v>
      </c>
      <c r="L9630" t="s">
        <v>59801</v>
      </c>
    </row>
    <row r="9631" spans="1:12" x14ac:dyDescent="0.25">
      <c r="A9631">
        <v>1813587</v>
      </c>
      <c r="B9631">
        <v>1813604</v>
      </c>
      <c r="D9631">
        <v>0</v>
      </c>
      <c r="E9631" t="s">
        <v>59809</v>
      </c>
      <c r="F9631" t="s">
        <v>59810</v>
      </c>
      <c r="G9631" t="s">
        <v>59811</v>
      </c>
      <c r="H9631" t="s">
        <v>59812</v>
      </c>
      <c r="I9631" t="s">
        <v>59813</v>
      </c>
      <c r="J9631" t="s">
        <v>59814</v>
      </c>
      <c r="K9631" t="s">
        <v>59815</v>
      </c>
      <c r="L9631" t="s">
        <v>59808</v>
      </c>
    </row>
    <row r="9632" spans="1:12" x14ac:dyDescent="0.25">
      <c r="A9632">
        <v>1813604</v>
      </c>
      <c r="B9632">
        <v>1813606</v>
      </c>
      <c r="D9632">
        <v>0</v>
      </c>
      <c r="F9632">
        <v>2096799</v>
      </c>
      <c r="G9632">
        <v>1813606</v>
      </c>
      <c r="H9632" t="e" vm="185">
        <f>_FV(0,"033")</f>
        <v>#VALUE!</v>
      </c>
      <c r="I9632">
        <v>1813604</v>
      </c>
      <c r="J9632" t="s">
        <v>2884</v>
      </c>
      <c r="K9632" t="s">
        <v>59816</v>
      </c>
      <c r="L9632" t="e" vm="185">
        <f>_FV(0,"033")</f>
        <v>#VALUE!</v>
      </c>
    </row>
    <row r="9633" spans="1:12" x14ac:dyDescent="0.25">
      <c r="A9633">
        <v>1815147</v>
      </c>
      <c r="B9633">
        <v>1815164</v>
      </c>
      <c r="D9633">
        <v>0</v>
      </c>
      <c r="E9633" t="s">
        <v>59818</v>
      </c>
      <c r="F9633" t="s">
        <v>59819</v>
      </c>
      <c r="G9633" t="s">
        <v>59820</v>
      </c>
      <c r="H9633" t="e" vm="4152">
        <f>_FV(0,"00020722365804355525")</f>
        <v>#VALUE!</v>
      </c>
      <c r="I9633" t="s">
        <v>59821</v>
      </c>
      <c r="J9633" t="s">
        <v>59822</v>
      </c>
      <c r="K9633" t="s">
        <v>59823</v>
      </c>
      <c r="L9633" t="s">
        <v>59817</v>
      </c>
    </row>
    <row r="9634" spans="1:12" x14ac:dyDescent="0.25">
      <c r="A9634">
        <v>1815147</v>
      </c>
      <c r="B9634">
        <v>1815206</v>
      </c>
      <c r="D9634">
        <v>0</v>
      </c>
      <c r="E9634" t="s">
        <v>59824</v>
      </c>
      <c r="F9634" t="s">
        <v>59825</v>
      </c>
      <c r="G9634" t="s">
        <v>59826</v>
      </c>
      <c r="H9634" t="e" vm="1300">
        <f>_FV(0,"013")</f>
        <v>#VALUE!</v>
      </c>
      <c r="I9634" t="s">
        <v>59827</v>
      </c>
      <c r="J9634" t="s">
        <v>30</v>
      </c>
      <c r="K9634" t="s">
        <v>59828</v>
      </c>
      <c r="L9634" t="e" vm="1300">
        <f>_FV(0,"013")</f>
        <v>#VALUE!</v>
      </c>
    </row>
    <row r="9635" spans="1:12" x14ac:dyDescent="0.25">
      <c r="A9635">
        <v>1815164</v>
      </c>
      <c r="B9635">
        <v>1815168</v>
      </c>
      <c r="D9635">
        <v>0</v>
      </c>
      <c r="E9635" t="s">
        <v>59829</v>
      </c>
      <c r="F9635" t="s">
        <v>59830</v>
      </c>
      <c r="G9635" t="s">
        <v>59831</v>
      </c>
      <c r="H9635" t="s">
        <v>59832</v>
      </c>
      <c r="I9635" t="s">
        <v>59833</v>
      </c>
      <c r="J9635" t="s">
        <v>27139</v>
      </c>
      <c r="K9635" t="s">
        <v>59834</v>
      </c>
      <c r="L9635" t="s">
        <v>27139</v>
      </c>
    </row>
    <row r="9636" spans="1:12" x14ac:dyDescent="0.25">
      <c r="A9636">
        <v>1815164</v>
      </c>
      <c r="B9636">
        <v>1815310</v>
      </c>
      <c r="D9636">
        <v>0</v>
      </c>
      <c r="E9636" t="s">
        <v>59835</v>
      </c>
      <c r="F9636" t="s">
        <v>59836</v>
      </c>
      <c r="G9636" t="s">
        <v>59837</v>
      </c>
      <c r="H9636" t="s">
        <v>59838</v>
      </c>
      <c r="I9636" t="s">
        <v>59839</v>
      </c>
      <c r="J9636" t="s">
        <v>5116</v>
      </c>
      <c r="K9636" t="s">
        <v>59840</v>
      </c>
      <c r="L9636" t="s">
        <v>5116</v>
      </c>
    </row>
    <row r="9637" spans="1:12" x14ac:dyDescent="0.25">
      <c r="A9637">
        <v>1815168</v>
      </c>
      <c r="B9637">
        <v>1815172</v>
      </c>
      <c r="D9637">
        <v>0</v>
      </c>
      <c r="F9637">
        <v>2099116</v>
      </c>
      <c r="G9637">
        <v>1815172</v>
      </c>
      <c r="H9637" t="s">
        <v>2068</v>
      </c>
      <c r="I9637">
        <v>1815168</v>
      </c>
      <c r="J9637" t="s">
        <v>2068</v>
      </c>
      <c r="K9637" t="s">
        <v>59841</v>
      </c>
      <c r="L9637" t="s">
        <v>2068</v>
      </c>
    </row>
    <row r="9638" spans="1:12" x14ac:dyDescent="0.25">
      <c r="A9638">
        <v>1815168</v>
      </c>
      <c r="B9638">
        <v>1815310</v>
      </c>
      <c r="D9638">
        <v>0</v>
      </c>
      <c r="E9638" t="s">
        <v>59843</v>
      </c>
      <c r="F9638" t="s">
        <v>59844</v>
      </c>
      <c r="G9638" t="s">
        <v>59845</v>
      </c>
      <c r="H9638" t="e" vm="4153">
        <f>_FV(0,"0011931953916264374")</f>
        <v>#VALUE!</v>
      </c>
      <c r="I9638" t="s">
        <v>59846</v>
      </c>
      <c r="J9638" t="s">
        <v>44770</v>
      </c>
      <c r="K9638" t="s">
        <v>59847</v>
      </c>
      <c r="L9638" t="s">
        <v>59842</v>
      </c>
    </row>
    <row r="9639" spans="1:12" x14ac:dyDescent="0.25">
      <c r="A9639">
        <v>1815172</v>
      </c>
      <c r="B9639">
        <v>1815199</v>
      </c>
      <c r="D9639">
        <v>0</v>
      </c>
      <c r="E9639" t="s">
        <v>59848</v>
      </c>
      <c r="F9639" t="s">
        <v>59849</v>
      </c>
      <c r="G9639" t="s">
        <v>59850</v>
      </c>
      <c r="H9639" t="s">
        <v>59851</v>
      </c>
      <c r="I9639" t="s">
        <v>59852</v>
      </c>
      <c r="J9639" t="s">
        <v>239</v>
      </c>
      <c r="K9639" t="s">
        <v>59853</v>
      </c>
      <c r="L9639" t="s">
        <v>20863</v>
      </c>
    </row>
    <row r="9640" spans="1:12" x14ac:dyDescent="0.25">
      <c r="A9640">
        <v>1815172</v>
      </c>
      <c r="B9640">
        <v>1815304</v>
      </c>
      <c r="D9640">
        <v>0</v>
      </c>
      <c r="E9640" t="s">
        <v>59854</v>
      </c>
      <c r="F9640" t="s">
        <v>59855</v>
      </c>
      <c r="G9640" t="s">
        <v>59856</v>
      </c>
      <c r="H9640" t="s">
        <v>59857</v>
      </c>
      <c r="I9640" t="s">
        <v>59858</v>
      </c>
      <c r="J9640" t="s">
        <v>43738</v>
      </c>
      <c r="K9640" t="s">
        <v>59859</v>
      </c>
      <c r="L9640" t="s">
        <v>43738</v>
      </c>
    </row>
    <row r="9641" spans="1:12" x14ac:dyDescent="0.25">
      <c r="A9641">
        <v>1815199</v>
      </c>
      <c r="B9641">
        <v>1815206</v>
      </c>
      <c r="D9641">
        <v>0</v>
      </c>
      <c r="F9641">
        <v>2099166</v>
      </c>
      <c r="G9641">
        <v>1815206</v>
      </c>
      <c r="H9641" t="e" vm="109">
        <f>_FV(0,"01")</f>
        <v>#VALUE!</v>
      </c>
      <c r="I9641">
        <v>1815199</v>
      </c>
      <c r="J9641" t="s">
        <v>761</v>
      </c>
      <c r="K9641" t="s">
        <v>59860</v>
      </c>
      <c r="L9641" t="e" vm="109">
        <f>_FV(0,"01")</f>
        <v>#VALUE!</v>
      </c>
    </row>
    <row r="9642" spans="1:12" x14ac:dyDescent="0.25">
      <c r="A9642">
        <v>1815199</v>
      </c>
      <c r="B9642">
        <v>1815304</v>
      </c>
      <c r="D9642">
        <v>0</v>
      </c>
      <c r="E9642" t="s">
        <v>59861</v>
      </c>
      <c r="F9642" t="s">
        <v>59862</v>
      </c>
      <c r="G9642" t="s">
        <v>59863</v>
      </c>
      <c r="H9642" t="s">
        <v>59864</v>
      </c>
      <c r="I9642" t="s">
        <v>59865</v>
      </c>
      <c r="J9642" t="s">
        <v>1518</v>
      </c>
      <c r="K9642" t="s">
        <v>59866</v>
      </c>
      <c r="L9642" t="s">
        <v>1518</v>
      </c>
    </row>
    <row r="9643" spans="1:12" x14ac:dyDescent="0.25">
      <c r="A9643">
        <v>1815331</v>
      </c>
      <c r="B9643">
        <v>1815419</v>
      </c>
      <c r="D9643">
        <v>0</v>
      </c>
      <c r="F9643">
        <v>2103374</v>
      </c>
      <c r="G9643">
        <v>1815331</v>
      </c>
      <c r="H9643" t="e" vm="1006">
        <f>_FV(0,"006")</f>
        <v>#VALUE!</v>
      </c>
      <c r="I9643">
        <v>1815419</v>
      </c>
      <c r="J9643" t="s">
        <v>250</v>
      </c>
      <c r="K9643" t="s">
        <v>59867</v>
      </c>
      <c r="L9643" t="e" vm="1006">
        <f>_FV(0,"006")</f>
        <v>#VALUE!</v>
      </c>
    </row>
    <row r="9644" spans="1:12" x14ac:dyDescent="0.25">
      <c r="A9644">
        <v>1815348</v>
      </c>
      <c r="B9644">
        <v>1815492</v>
      </c>
      <c r="D9644">
        <v>0</v>
      </c>
      <c r="F9644">
        <v>2103595</v>
      </c>
      <c r="G9644">
        <v>1815492</v>
      </c>
      <c r="H9644" t="e" vm="342">
        <f>_FV(0,"011")</f>
        <v>#VALUE!</v>
      </c>
      <c r="I9644">
        <v>1815348</v>
      </c>
      <c r="J9644" t="s">
        <v>4848</v>
      </c>
      <c r="K9644" t="s">
        <v>59868</v>
      </c>
      <c r="L9644" t="e" vm="342">
        <f>_FV(0,"011")</f>
        <v>#VALUE!</v>
      </c>
    </row>
    <row r="9645" spans="1:12" x14ac:dyDescent="0.25">
      <c r="A9645">
        <v>1817674</v>
      </c>
      <c r="B9645">
        <v>1817674</v>
      </c>
      <c r="D9645">
        <v>0</v>
      </c>
      <c r="E9645" t="s">
        <v>59870</v>
      </c>
      <c r="F9645" t="s">
        <v>59871</v>
      </c>
      <c r="G9645" t="s">
        <v>59872</v>
      </c>
      <c r="H9645" t="s">
        <v>59873</v>
      </c>
      <c r="I9645" t="s">
        <v>59874</v>
      </c>
      <c r="J9645" t="s">
        <v>59875</v>
      </c>
      <c r="K9645" t="s">
        <v>59876</v>
      </c>
      <c r="L9645" t="s">
        <v>59869</v>
      </c>
    </row>
    <row r="9646" spans="1:12" x14ac:dyDescent="0.25">
      <c r="A9646">
        <v>1819007</v>
      </c>
      <c r="B9646">
        <v>1819047</v>
      </c>
      <c r="D9646">
        <v>0</v>
      </c>
      <c r="E9646" t="s">
        <v>59878</v>
      </c>
      <c r="F9646" t="s">
        <v>59879</v>
      </c>
      <c r="G9646" t="s">
        <v>59880</v>
      </c>
      <c r="H9646" t="s">
        <v>59881</v>
      </c>
      <c r="I9646" t="s">
        <v>59882</v>
      </c>
      <c r="J9646" t="s">
        <v>44668</v>
      </c>
      <c r="K9646" t="s">
        <v>59883</v>
      </c>
      <c r="L9646" t="s">
        <v>59877</v>
      </c>
    </row>
    <row r="9647" spans="1:12" x14ac:dyDescent="0.25">
      <c r="A9647">
        <v>1819018</v>
      </c>
      <c r="B9647">
        <v>1819033</v>
      </c>
      <c r="C9647" t="s">
        <v>59885</v>
      </c>
      <c r="D9647">
        <v>0</v>
      </c>
      <c r="E9647" t="s">
        <v>59886</v>
      </c>
      <c r="F9647" t="s">
        <v>59887</v>
      </c>
      <c r="G9647" t="s">
        <v>59888</v>
      </c>
      <c r="H9647" t="s">
        <v>59889</v>
      </c>
      <c r="I9647" t="s">
        <v>59890</v>
      </c>
      <c r="J9647" t="s">
        <v>59884</v>
      </c>
      <c r="K9647" t="s">
        <v>59891</v>
      </c>
      <c r="L9647" t="s">
        <v>59884</v>
      </c>
    </row>
    <row r="9648" spans="1:12" x14ac:dyDescent="0.25">
      <c r="A9648">
        <v>1819073</v>
      </c>
      <c r="B9648">
        <v>1819103</v>
      </c>
      <c r="D9648">
        <v>0</v>
      </c>
      <c r="E9648" t="s">
        <v>59893</v>
      </c>
      <c r="F9648" t="s">
        <v>59894</v>
      </c>
      <c r="G9648" t="s">
        <v>59895</v>
      </c>
      <c r="H9648" t="s">
        <v>59896</v>
      </c>
      <c r="I9648" t="s">
        <v>59897</v>
      </c>
      <c r="J9648" t="s">
        <v>59898</v>
      </c>
      <c r="K9648" t="s">
        <v>59899</v>
      </c>
      <c r="L9648" t="s">
        <v>59892</v>
      </c>
    </row>
    <row r="9649" spans="1:12" x14ac:dyDescent="0.25">
      <c r="A9649">
        <v>1819103</v>
      </c>
      <c r="B9649">
        <v>1819179</v>
      </c>
      <c r="C9649" t="s">
        <v>59901</v>
      </c>
      <c r="D9649">
        <v>0</v>
      </c>
      <c r="E9649" t="s">
        <v>59902</v>
      </c>
      <c r="F9649" t="s">
        <v>59903</v>
      </c>
      <c r="G9649" t="s">
        <v>59904</v>
      </c>
      <c r="H9649" t="e" vm="4154">
        <f>_FV(0,"0035529820789379136")</f>
        <v>#VALUE!</v>
      </c>
      <c r="I9649" t="s">
        <v>59905</v>
      </c>
      <c r="J9649" t="s">
        <v>59906</v>
      </c>
      <c r="K9649" t="s">
        <v>59907</v>
      </c>
      <c r="L9649" t="s">
        <v>59900</v>
      </c>
    </row>
    <row r="9650" spans="1:12" x14ac:dyDescent="0.25">
      <c r="A9650">
        <v>1819130</v>
      </c>
      <c r="B9650">
        <v>1819189</v>
      </c>
      <c r="D9650">
        <v>0</v>
      </c>
      <c r="E9650" t="s">
        <v>59909</v>
      </c>
      <c r="F9650" t="s">
        <v>59910</v>
      </c>
      <c r="G9650" t="s">
        <v>59911</v>
      </c>
      <c r="H9650" t="e" vm="4155">
        <f>_FV(0,"003686889891108972")</f>
        <v>#VALUE!</v>
      </c>
      <c r="I9650" t="s">
        <v>59912</v>
      </c>
      <c r="J9650" t="s">
        <v>59913</v>
      </c>
      <c r="K9650" t="s">
        <v>59914</v>
      </c>
      <c r="L9650" t="s">
        <v>59908</v>
      </c>
    </row>
    <row r="9651" spans="1:12" x14ac:dyDescent="0.25">
      <c r="A9651">
        <v>1819179</v>
      </c>
      <c r="B9651">
        <v>1819224</v>
      </c>
      <c r="D9651">
        <v>0</v>
      </c>
      <c r="F9651">
        <v>2105802</v>
      </c>
      <c r="G9651">
        <v>1819224</v>
      </c>
      <c r="H9651" t="s">
        <v>761</v>
      </c>
      <c r="I9651">
        <v>1819179</v>
      </c>
      <c r="J9651" t="s">
        <v>761</v>
      </c>
      <c r="K9651" t="s">
        <v>59915</v>
      </c>
      <c r="L9651" t="s">
        <v>761</v>
      </c>
    </row>
    <row r="9652" spans="1:12" x14ac:dyDescent="0.25">
      <c r="A9652">
        <v>1819808</v>
      </c>
      <c r="B9652">
        <v>1819833</v>
      </c>
      <c r="D9652" t="s">
        <v>21830</v>
      </c>
      <c r="E9652" t="s">
        <v>59917</v>
      </c>
      <c r="F9652" t="s">
        <v>59918</v>
      </c>
      <c r="G9652" t="s">
        <v>59919</v>
      </c>
      <c r="H9652" t="s">
        <v>59920</v>
      </c>
      <c r="I9652" t="s">
        <v>59921</v>
      </c>
      <c r="J9652" t="s">
        <v>59916</v>
      </c>
      <c r="K9652" t="s">
        <v>59922</v>
      </c>
      <c r="L9652" t="s">
        <v>59916</v>
      </c>
    </row>
    <row r="9653" spans="1:12" x14ac:dyDescent="0.25">
      <c r="A9653">
        <v>1819808</v>
      </c>
      <c r="B9653">
        <v>1819833</v>
      </c>
      <c r="D9653" t="s">
        <v>8076</v>
      </c>
      <c r="E9653" t="s">
        <v>59924</v>
      </c>
      <c r="F9653" t="s">
        <v>59925</v>
      </c>
      <c r="G9653" t="s">
        <v>59926</v>
      </c>
      <c r="H9653" t="s">
        <v>59927</v>
      </c>
      <c r="I9653" t="s">
        <v>59928</v>
      </c>
      <c r="J9653" t="s">
        <v>59923</v>
      </c>
      <c r="K9653" t="s">
        <v>59929</v>
      </c>
      <c r="L9653" t="s">
        <v>59923</v>
      </c>
    </row>
    <row r="9654" spans="1:12" x14ac:dyDescent="0.25">
      <c r="A9654">
        <v>1820460</v>
      </c>
      <c r="B9654">
        <v>1820462</v>
      </c>
      <c r="D9654">
        <v>0</v>
      </c>
      <c r="E9654" t="s">
        <v>59930</v>
      </c>
      <c r="F9654" t="s">
        <v>59931</v>
      </c>
      <c r="G9654" t="s">
        <v>59932</v>
      </c>
      <c r="H9654" t="e" vm="30">
        <f>_FV(0,"027")</f>
        <v>#VALUE!</v>
      </c>
      <c r="I9654" t="s">
        <v>59933</v>
      </c>
      <c r="J9654" t="s">
        <v>467</v>
      </c>
      <c r="K9654" t="s">
        <v>59934</v>
      </c>
      <c r="L9654" t="e" vm="30">
        <f>_FV(0,"027")</f>
        <v>#VALUE!</v>
      </c>
    </row>
    <row r="9655" spans="1:12" x14ac:dyDescent="0.25">
      <c r="A9655">
        <v>1820460</v>
      </c>
      <c r="B9655">
        <v>1820477</v>
      </c>
      <c r="D9655">
        <v>0</v>
      </c>
      <c r="F9655">
        <v>2107971</v>
      </c>
      <c r="G9655">
        <v>1820460</v>
      </c>
      <c r="H9655" t="e" vm="498">
        <f>_FV(0,"037")</f>
        <v>#VALUE!</v>
      </c>
      <c r="I9655">
        <v>1820477</v>
      </c>
      <c r="J9655" t="s">
        <v>1589</v>
      </c>
      <c r="K9655" t="s">
        <v>59935</v>
      </c>
      <c r="L9655" t="e" vm="498">
        <f>_FV(0,"037")</f>
        <v>#VALUE!</v>
      </c>
    </row>
    <row r="9656" spans="1:12" x14ac:dyDescent="0.25">
      <c r="A9656">
        <v>1820462</v>
      </c>
      <c r="B9656">
        <v>1820483</v>
      </c>
      <c r="D9656">
        <v>0</v>
      </c>
      <c r="F9656">
        <v>2107981</v>
      </c>
      <c r="G9656">
        <v>1820462</v>
      </c>
      <c r="H9656" t="e" vm="185">
        <f>_FV(0,"033")</f>
        <v>#VALUE!</v>
      </c>
      <c r="I9656">
        <v>1820483</v>
      </c>
      <c r="J9656" t="s">
        <v>2884</v>
      </c>
      <c r="K9656" t="s">
        <v>59936</v>
      </c>
      <c r="L9656" t="e" vm="185">
        <f>_FV(0,"033")</f>
        <v>#VALUE!</v>
      </c>
    </row>
    <row r="9657" spans="1:12" x14ac:dyDescent="0.25">
      <c r="A9657">
        <v>1820477</v>
      </c>
      <c r="B9657">
        <v>1820483</v>
      </c>
      <c r="D9657">
        <v>0</v>
      </c>
      <c r="E9657" t="s">
        <v>59938</v>
      </c>
      <c r="F9657" t="s">
        <v>59939</v>
      </c>
      <c r="G9657" t="s">
        <v>59940</v>
      </c>
      <c r="H9657" t="e" vm="4156">
        <f>_FV(0,"030361644252613208")</f>
        <v>#VALUE!</v>
      </c>
      <c r="I9657" t="s">
        <v>59941</v>
      </c>
      <c r="J9657" t="s">
        <v>59126</v>
      </c>
      <c r="K9657" t="s">
        <v>59942</v>
      </c>
      <c r="L9657" t="s">
        <v>59937</v>
      </c>
    </row>
    <row r="9658" spans="1:12" x14ac:dyDescent="0.25">
      <c r="A9658">
        <v>1822981</v>
      </c>
      <c r="B9658">
        <v>1824399</v>
      </c>
      <c r="C9658" t="s">
        <v>59944</v>
      </c>
      <c r="D9658">
        <v>0</v>
      </c>
      <c r="E9658" t="s">
        <v>59945</v>
      </c>
      <c r="F9658" t="s">
        <v>59946</v>
      </c>
      <c r="G9658" t="s">
        <v>59947</v>
      </c>
      <c r="H9658" t="e" vm="4157">
        <f>_FV(0,"0030646222517970874")</f>
        <v>#VALUE!</v>
      </c>
      <c r="I9658" t="s">
        <v>59948</v>
      </c>
      <c r="J9658" t="s">
        <v>59949</v>
      </c>
      <c r="K9658" t="s">
        <v>59950</v>
      </c>
      <c r="L9658" t="s">
        <v>59943</v>
      </c>
    </row>
    <row r="9659" spans="1:12" x14ac:dyDescent="0.25">
      <c r="A9659">
        <v>1824379</v>
      </c>
      <c r="B9659">
        <v>1824388</v>
      </c>
      <c r="D9659">
        <v>0</v>
      </c>
      <c r="E9659" t="s">
        <v>59952</v>
      </c>
      <c r="F9659" t="s">
        <v>59953</v>
      </c>
      <c r="G9659" t="s">
        <v>59954</v>
      </c>
      <c r="H9659" t="s">
        <v>59955</v>
      </c>
      <c r="I9659" t="s">
        <v>59956</v>
      </c>
      <c r="J9659" t="s">
        <v>59951</v>
      </c>
      <c r="K9659" t="s">
        <v>59957</v>
      </c>
      <c r="L9659" t="s">
        <v>59951</v>
      </c>
    </row>
    <row r="9660" spans="1:12" x14ac:dyDescent="0.25">
      <c r="A9660">
        <v>1824379</v>
      </c>
      <c r="B9660">
        <v>1824394</v>
      </c>
      <c r="D9660">
        <v>0</v>
      </c>
      <c r="E9660" t="s">
        <v>59959</v>
      </c>
      <c r="F9660" t="s">
        <v>59960</v>
      </c>
      <c r="G9660" t="s">
        <v>59961</v>
      </c>
      <c r="H9660" t="e" vm="4158">
        <f>_FV(0,"04677877956088245")</f>
        <v>#VALUE!</v>
      </c>
      <c r="I9660" t="s">
        <v>59962</v>
      </c>
      <c r="J9660" t="s">
        <v>59963</v>
      </c>
      <c r="K9660" t="s">
        <v>59964</v>
      </c>
      <c r="L9660" t="s">
        <v>59958</v>
      </c>
    </row>
    <row r="9661" spans="1:12" x14ac:dyDescent="0.25">
      <c r="A9661">
        <v>1824388</v>
      </c>
      <c r="B9661">
        <v>1824414</v>
      </c>
      <c r="D9661">
        <v>0</v>
      </c>
      <c r="F9661">
        <v>2141021</v>
      </c>
      <c r="G9661">
        <v>1824414</v>
      </c>
      <c r="H9661" t="s">
        <v>5022</v>
      </c>
      <c r="I9661">
        <v>1824388</v>
      </c>
      <c r="J9661" t="s">
        <v>5022</v>
      </c>
      <c r="K9661" t="s">
        <v>59965</v>
      </c>
      <c r="L9661" t="s">
        <v>5022</v>
      </c>
    </row>
    <row r="9662" spans="1:12" x14ac:dyDescent="0.25">
      <c r="A9662">
        <v>1824388</v>
      </c>
      <c r="B9662">
        <v>1824394</v>
      </c>
      <c r="D9662">
        <v>0</v>
      </c>
      <c r="E9662" t="s">
        <v>59967</v>
      </c>
      <c r="F9662" t="s">
        <v>59968</v>
      </c>
      <c r="G9662" t="s">
        <v>59969</v>
      </c>
      <c r="H9662" t="s">
        <v>59970</v>
      </c>
      <c r="I9662" t="s">
        <v>59971</v>
      </c>
      <c r="J9662" t="s">
        <v>59966</v>
      </c>
      <c r="K9662" t="s">
        <v>59972</v>
      </c>
      <c r="L9662" t="s">
        <v>59966</v>
      </c>
    </row>
    <row r="9663" spans="1:12" x14ac:dyDescent="0.25">
      <c r="A9663">
        <v>1824394</v>
      </c>
      <c r="B9663">
        <v>1824490</v>
      </c>
      <c r="D9663">
        <v>0</v>
      </c>
      <c r="F9663">
        <v>2141069</v>
      </c>
      <c r="G9663">
        <v>1824394</v>
      </c>
      <c r="H9663" t="e" vm="572">
        <f>_FV(0,"021")</f>
        <v>#VALUE!</v>
      </c>
      <c r="I9663">
        <v>1824490</v>
      </c>
      <c r="J9663" t="s">
        <v>1536</v>
      </c>
      <c r="K9663" t="s">
        <v>59973</v>
      </c>
      <c r="L9663" t="e" vm="572">
        <f>_FV(0,"021")</f>
        <v>#VALUE!</v>
      </c>
    </row>
    <row r="9664" spans="1:12" x14ac:dyDescent="0.25">
      <c r="A9664">
        <v>1824399</v>
      </c>
      <c r="B9664">
        <v>1824414</v>
      </c>
      <c r="D9664">
        <v>0</v>
      </c>
      <c r="E9664" t="s">
        <v>59975</v>
      </c>
      <c r="F9664" t="s">
        <v>59976</v>
      </c>
      <c r="G9664" t="s">
        <v>59977</v>
      </c>
      <c r="H9664" t="s">
        <v>59978</v>
      </c>
      <c r="I9664" t="s">
        <v>59979</v>
      </c>
      <c r="J9664" t="s">
        <v>59974</v>
      </c>
      <c r="K9664" t="s">
        <v>59980</v>
      </c>
      <c r="L9664" t="s">
        <v>59974</v>
      </c>
    </row>
    <row r="9665" spans="1:12" x14ac:dyDescent="0.25">
      <c r="A9665">
        <v>1824399</v>
      </c>
      <c r="B9665">
        <v>1824425</v>
      </c>
      <c r="D9665">
        <v>0</v>
      </c>
      <c r="E9665" t="s">
        <v>59982</v>
      </c>
      <c r="F9665" t="s">
        <v>59983</v>
      </c>
      <c r="G9665" t="s">
        <v>59984</v>
      </c>
      <c r="H9665" t="s">
        <v>59985</v>
      </c>
      <c r="I9665" t="s">
        <v>59986</v>
      </c>
      <c r="J9665" t="s">
        <v>59981</v>
      </c>
      <c r="K9665" t="s">
        <v>59987</v>
      </c>
      <c r="L9665" t="s">
        <v>59981</v>
      </c>
    </row>
    <row r="9666" spans="1:12" x14ac:dyDescent="0.25">
      <c r="A9666">
        <v>1824414</v>
      </c>
      <c r="B9666">
        <v>1824425</v>
      </c>
      <c r="D9666">
        <v>0</v>
      </c>
      <c r="E9666" t="s">
        <v>59989</v>
      </c>
      <c r="F9666" t="s">
        <v>59990</v>
      </c>
      <c r="G9666" t="s">
        <v>59991</v>
      </c>
      <c r="H9666" t="e" vm="4159">
        <f>_FV(0,"008784663207654735")</f>
        <v>#VALUE!</v>
      </c>
      <c r="I9666" t="s">
        <v>59992</v>
      </c>
      <c r="J9666" t="s">
        <v>59993</v>
      </c>
      <c r="K9666" t="s">
        <v>59994</v>
      </c>
      <c r="L9666" t="s">
        <v>59988</v>
      </c>
    </row>
    <row r="9667" spans="1:12" x14ac:dyDescent="0.25">
      <c r="A9667">
        <v>1824425</v>
      </c>
      <c r="B9667">
        <v>1824448</v>
      </c>
      <c r="D9667">
        <v>0</v>
      </c>
      <c r="F9667">
        <v>2141045</v>
      </c>
      <c r="G9667">
        <v>1824448</v>
      </c>
      <c r="H9667" t="e" vm="4160">
        <f>_FV(0,"104")</f>
        <v>#VALUE!</v>
      </c>
      <c r="I9667">
        <v>1824425</v>
      </c>
      <c r="J9667" t="s">
        <v>18409</v>
      </c>
      <c r="K9667" t="s">
        <v>59995</v>
      </c>
      <c r="L9667" t="e" vm="4160">
        <f>_FV(0,"104")</f>
        <v>#VALUE!</v>
      </c>
    </row>
    <row r="9668" spans="1:12" x14ac:dyDescent="0.25">
      <c r="A9668">
        <v>1824435</v>
      </c>
      <c r="B9668">
        <v>1824448</v>
      </c>
      <c r="D9668">
        <v>0</v>
      </c>
      <c r="E9668" t="s">
        <v>59997</v>
      </c>
      <c r="F9668" t="s">
        <v>59998</v>
      </c>
      <c r="G9668" t="s">
        <v>59999</v>
      </c>
      <c r="H9668" t="e" vm="4161">
        <f>_FV(0,"08638050558866979")</f>
        <v>#VALUE!</v>
      </c>
      <c r="I9668" t="s">
        <v>60000</v>
      </c>
      <c r="J9668" t="s">
        <v>60001</v>
      </c>
      <c r="K9668" t="s">
        <v>60002</v>
      </c>
      <c r="L9668" t="s">
        <v>59996</v>
      </c>
    </row>
    <row r="9669" spans="1:12" x14ac:dyDescent="0.25">
      <c r="A9669">
        <v>1824435</v>
      </c>
      <c r="B9669">
        <v>1824490</v>
      </c>
      <c r="D9669">
        <v>0</v>
      </c>
      <c r="E9669" t="s">
        <v>60004</v>
      </c>
      <c r="F9669" t="s">
        <v>60005</v>
      </c>
      <c r="G9669" t="s">
        <v>60006</v>
      </c>
      <c r="H9669" t="e" vm="4162">
        <f>_FV(0,"1228843056998162")</f>
        <v>#VALUE!</v>
      </c>
      <c r="I9669" t="s">
        <v>60007</v>
      </c>
      <c r="J9669" t="s">
        <v>60008</v>
      </c>
      <c r="K9669" t="s">
        <v>60009</v>
      </c>
      <c r="L9669" t="s">
        <v>60003</v>
      </c>
    </row>
    <row r="9670" spans="1:12" x14ac:dyDescent="0.25">
      <c r="A9670">
        <v>1824448</v>
      </c>
      <c r="B9670">
        <v>1824490</v>
      </c>
      <c r="D9670">
        <v>0</v>
      </c>
      <c r="E9670" t="s">
        <v>60011</v>
      </c>
      <c r="F9670" t="s">
        <v>60012</v>
      </c>
      <c r="G9670" t="s">
        <v>60013</v>
      </c>
      <c r="H9670" t="s">
        <v>60014</v>
      </c>
      <c r="I9670" t="s">
        <v>60015</v>
      </c>
      <c r="J9670" t="s">
        <v>60016</v>
      </c>
      <c r="K9670" t="s">
        <v>60017</v>
      </c>
      <c r="L9670" t="s">
        <v>60010</v>
      </c>
    </row>
    <row r="9671" spans="1:12" x14ac:dyDescent="0.25">
      <c r="A9671">
        <v>1825897</v>
      </c>
      <c r="B9671">
        <v>1826318</v>
      </c>
      <c r="D9671">
        <v>0</v>
      </c>
      <c r="E9671" t="s">
        <v>60019</v>
      </c>
      <c r="F9671" t="s">
        <v>60020</v>
      </c>
      <c r="G9671" t="s">
        <v>60021</v>
      </c>
      <c r="H9671" t="s">
        <v>60022</v>
      </c>
      <c r="I9671" t="s">
        <v>60023</v>
      </c>
      <c r="J9671" t="s">
        <v>60024</v>
      </c>
      <c r="K9671" t="s">
        <v>60025</v>
      </c>
      <c r="L9671" t="s">
        <v>60018</v>
      </c>
    </row>
    <row r="9672" spans="1:12" x14ac:dyDescent="0.25">
      <c r="A9672">
        <v>1825897</v>
      </c>
      <c r="B9672">
        <v>1826329</v>
      </c>
      <c r="D9672">
        <v>0</v>
      </c>
      <c r="E9672" t="s">
        <v>60027</v>
      </c>
      <c r="F9672" t="s">
        <v>60028</v>
      </c>
      <c r="G9672" t="s">
        <v>60029</v>
      </c>
      <c r="H9672" t="s">
        <v>60030</v>
      </c>
      <c r="I9672" t="s">
        <v>60031</v>
      </c>
      <c r="J9672" t="s">
        <v>60032</v>
      </c>
      <c r="K9672" t="s">
        <v>60033</v>
      </c>
      <c r="L9672" t="s">
        <v>60026</v>
      </c>
    </row>
    <row r="9673" spans="1:12" x14ac:dyDescent="0.25">
      <c r="A9673">
        <v>1300832</v>
      </c>
      <c r="B9673">
        <v>1825996</v>
      </c>
      <c r="D9673">
        <v>0</v>
      </c>
      <c r="E9673" t="s">
        <v>60035</v>
      </c>
      <c r="F9673" t="s">
        <v>60036</v>
      </c>
      <c r="G9673" t="s">
        <v>60037</v>
      </c>
      <c r="H9673" t="s">
        <v>60038</v>
      </c>
      <c r="I9673" t="s">
        <v>60039</v>
      </c>
      <c r="J9673" t="s">
        <v>60040</v>
      </c>
      <c r="K9673" t="s">
        <v>60041</v>
      </c>
      <c r="L9673" t="s">
        <v>60034</v>
      </c>
    </row>
    <row r="9674" spans="1:12" x14ac:dyDescent="0.25">
      <c r="A9674">
        <v>1825996</v>
      </c>
      <c r="B9674">
        <v>1826007</v>
      </c>
      <c r="D9674">
        <v>0</v>
      </c>
      <c r="E9674" t="s">
        <v>60043</v>
      </c>
      <c r="F9674" t="s">
        <v>60044</v>
      </c>
      <c r="G9674" t="s">
        <v>60045</v>
      </c>
      <c r="H9674" t="e" vm="4163">
        <f>_FV(0,"01962734224480732")</f>
        <v>#VALUE!</v>
      </c>
      <c r="I9674" t="s">
        <v>60046</v>
      </c>
      <c r="J9674" t="s">
        <v>24026</v>
      </c>
      <c r="K9674" t="s">
        <v>60047</v>
      </c>
      <c r="L9674" t="s">
        <v>60042</v>
      </c>
    </row>
    <row r="9675" spans="1:12" x14ac:dyDescent="0.25">
      <c r="A9675">
        <v>1826007</v>
      </c>
      <c r="B9675">
        <v>1300825</v>
      </c>
      <c r="D9675">
        <v>0</v>
      </c>
      <c r="E9675" t="s">
        <v>60049</v>
      </c>
      <c r="F9675" t="s">
        <v>60050</v>
      </c>
      <c r="G9675" t="s">
        <v>60051</v>
      </c>
      <c r="H9675" t="s">
        <v>60052</v>
      </c>
      <c r="I9675" t="s">
        <v>60053</v>
      </c>
      <c r="J9675" t="s">
        <v>60054</v>
      </c>
      <c r="K9675" t="s">
        <v>60055</v>
      </c>
      <c r="L9675" t="s">
        <v>60048</v>
      </c>
    </row>
    <row r="9676" spans="1:12" x14ac:dyDescent="0.25">
      <c r="A9676">
        <v>1826318</v>
      </c>
      <c r="B9676">
        <v>1826329</v>
      </c>
      <c r="D9676">
        <v>0</v>
      </c>
      <c r="E9676" t="s">
        <v>60057</v>
      </c>
      <c r="F9676" t="s">
        <v>60058</v>
      </c>
      <c r="G9676" t="s">
        <v>60059</v>
      </c>
      <c r="H9676" t="e" vm="4164">
        <f>_FV(0,"00918291042405312")</f>
        <v>#VALUE!</v>
      </c>
      <c r="I9676" t="s">
        <v>60060</v>
      </c>
      <c r="J9676" t="s">
        <v>60061</v>
      </c>
      <c r="K9676" t="s">
        <v>60062</v>
      </c>
      <c r="L9676" t="s">
        <v>60056</v>
      </c>
    </row>
    <row r="9677" spans="1:12" x14ac:dyDescent="0.25">
      <c r="A9677">
        <v>1827940</v>
      </c>
      <c r="B9677">
        <v>1827971</v>
      </c>
      <c r="D9677">
        <v>0</v>
      </c>
      <c r="F9677">
        <v>2121690</v>
      </c>
      <c r="G9677">
        <v>1827971</v>
      </c>
      <c r="H9677" t="e" vm="350">
        <f>_FV(0,"009")</f>
        <v>#VALUE!</v>
      </c>
      <c r="I9677">
        <v>1827940</v>
      </c>
      <c r="J9677" t="s">
        <v>2068</v>
      </c>
      <c r="K9677" t="s">
        <v>60063</v>
      </c>
      <c r="L9677" t="e" vm="350">
        <f>_FV(0,"009")</f>
        <v>#VALUE!</v>
      </c>
    </row>
    <row r="9678" spans="1:12" x14ac:dyDescent="0.25">
      <c r="A9678">
        <v>1827940</v>
      </c>
      <c r="B9678">
        <v>1827948</v>
      </c>
      <c r="D9678">
        <v>0</v>
      </c>
      <c r="E9678" t="s">
        <v>60065</v>
      </c>
      <c r="F9678" t="s">
        <v>60066</v>
      </c>
      <c r="G9678" t="s">
        <v>60067</v>
      </c>
      <c r="H9678" t="s">
        <v>60068</v>
      </c>
      <c r="I9678" t="s">
        <v>60069</v>
      </c>
      <c r="J9678" t="s">
        <v>60064</v>
      </c>
      <c r="K9678" t="s">
        <v>60070</v>
      </c>
      <c r="L9678" t="s">
        <v>60064</v>
      </c>
    </row>
    <row r="9679" spans="1:12" x14ac:dyDescent="0.25">
      <c r="A9679">
        <v>1827948</v>
      </c>
      <c r="B9679">
        <v>1827985</v>
      </c>
      <c r="D9679">
        <v>0</v>
      </c>
      <c r="F9679">
        <v>2121698</v>
      </c>
      <c r="G9679">
        <v>1827985</v>
      </c>
      <c r="H9679" t="e" vm="16">
        <f>_FV(0,"007")</f>
        <v>#VALUE!</v>
      </c>
      <c r="I9679">
        <v>1827948</v>
      </c>
      <c r="J9679" t="s">
        <v>226</v>
      </c>
      <c r="K9679" t="s">
        <v>60071</v>
      </c>
      <c r="L9679" t="e" vm="16">
        <f>_FV(0,"007")</f>
        <v>#VALUE!</v>
      </c>
    </row>
    <row r="9680" spans="1:12" x14ac:dyDescent="0.25">
      <c r="A9680">
        <v>1827971</v>
      </c>
      <c r="B9680">
        <v>1827985</v>
      </c>
      <c r="D9680">
        <v>0</v>
      </c>
      <c r="E9680" t="s">
        <v>60073</v>
      </c>
      <c r="F9680" t="s">
        <v>60074</v>
      </c>
      <c r="G9680" t="s">
        <v>60075</v>
      </c>
      <c r="H9680" t="e" vm="4165">
        <f>_FV(0,"025454957492718935")</f>
        <v>#VALUE!</v>
      </c>
      <c r="I9680" t="s">
        <v>60076</v>
      </c>
      <c r="J9680" t="s">
        <v>15721</v>
      </c>
      <c r="K9680" t="s">
        <v>60077</v>
      </c>
      <c r="L9680" t="s">
        <v>60072</v>
      </c>
    </row>
    <row r="9681" spans="1:12" x14ac:dyDescent="0.25">
      <c r="A9681">
        <v>1831177</v>
      </c>
      <c r="B9681">
        <v>1831185</v>
      </c>
      <c r="D9681">
        <v>0</v>
      </c>
      <c r="E9681" t="s">
        <v>60079</v>
      </c>
      <c r="F9681" t="s">
        <v>60080</v>
      </c>
      <c r="G9681" t="s">
        <v>60081</v>
      </c>
      <c r="H9681" t="e" vm="4166">
        <f>_FV(0,"02363944669428369")</f>
        <v>#VALUE!</v>
      </c>
      <c r="I9681" t="s">
        <v>60082</v>
      </c>
      <c r="J9681" t="s">
        <v>60083</v>
      </c>
      <c r="K9681" t="s">
        <v>60084</v>
      </c>
      <c r="L9681" t="s">
        <v>60078</v>
      </c>
    </row>
    <row r="9682" spans="1:12" x14ac:dyDescent="0.25">
      <c r="A9682">
        <v>1831177</v>
      </c>
      <c r="B9682">
        <v>1831258</v>
      </c>
      <c r="D9682">
        <v>0</v>
      </c>
      <c r="E9682" t="s">
        <v>60085</v>
      </c>
      <c r="F9682" t="s">
        <v>60086</v>
      </c>
      <c r="G9682" t="s">
        <v>60087</v>
      </c>
      <c r="H9682" t="s">
        <v>60088</v>
      </c>
      <c r="I9682" t="s">
        <v>60089</v>
      </c>
      <c r="J9682" t="s">
        <v>29899</v>
      </c>
      <c r="K9682" t="s">
        <v>60090</v>
      </c>
      <c r="L9682" t="s">
        <v>29899</v>
      </c>
    </row>
    <row r="9683" spans="1:12" x14ac:dyDescent="0.25">
      <c r="A9683">
        <v>1831185</v>
      </c>
      <c r="B9683">
        <v>1831258</v>
      </c>
      <c r="D9683">
        <v>0</v>
      </c>
      <c r="E9683" t="s">
        <v>60091</v>
      </c>
      <c r="F9683" t="s">
        <v>60092</v>
      </c>
      <c r="G9683" t="s">
        <v>60093</v>
      </c>
      <c r="H9683" t="s">
        <v>4038</v>
      </c>
      <c r="I9683" t="s">
        <v>60094</v>
      </c>
      <c r="J9683" t="s">
        <v>4038</v>
      </c>
      <c r="K9683" t="s">
        <v>60095</v>
      </c>
      <c r="L9683" t="s">
        <v>4038</v>
      </c>
    </row>
    <row r="9684" spans="1:12" x14ac:dyDescent="0.25">
      <c r="A9684">
        <v>1831205</v>
      </c>
      <c r="B9684">
        <v>1831224</v>
      </c>
      <c r="D9684">
        <v>0</v>
      </c>
      <c r="E9684" t="s">
        <v>60097</v>
      </c>
      <c r="F9684" t="s">
        <v>60098</v>
      </c>
      <c r="G9684" t="s">
        <v>60099</v>
      </c>
      <c r="H9684" t="s">
        <v>60100</v>
      </c>
      <c r="I9684" t="s">
        <v>60101</v>
      </c>
      <c r="J9684" t="s">
        <v>60096</v>
      </c>
      <c r="K9684" t="s">
        <v>60102</v>
      </c>
      <c r="L9684" t="s">
        <v>60096</v>
      </c>
    </row>
    <row r="9685" spans="1:12" x14ac:dyDescent="0.25">
      <c r="A9685">
        <v>1831205</v>
      </c>
      <c r="B9685">
        <v>1831247</v>
      </c>
      <c r="D9685">
        <v>0</v>
      </c>
      <c r="E9685" t="s">
        <v>60104</v>
      </c>
      <c r="F9685" t="s">
        <v>60105</v>
      </c>
      <c r="G9685" t="s">
        <v>60106</v>
      </c>
      <c r="H9685" t="s">
        <v>60107</v>
      </c>
      <c r="I9685" t="s">
        <v>60108</v>
      </c>
      <c r="J9685" t="s">
        <v>60103</v>
      </c>
      <c r="K9685" t="s">
        <v>60109</v>
      </c>
      <c r="L9685" t="s">
        <v>60103</v>
      </c>
    </row>
    <row r="9686" spans="1:12" x14ac:dyDescent="0.25">
      <c r="A9686">
        <v>1831224</v>
      </c>
      <c r="B9686">
        <v>1831247</v>
      </c>
      <c r="D9686">
        <v>0</v>
      </c>
      <c r="E9686" t="s">
        <v>60111</v>
      </c>
      <c r="F9686" t="s">
        <v>60112</v>
      </c>
      <c r="G9686" t="s">
        <v>60113</v>
      </c>
      <c r="H9686" t="s">
        <v>60114</v>
      </c>
      <c r="I9686" t="s">
        <v>60115</v>
      </c>
      <c r="J9686" t="s">
        <v>60110</v>
      </c>
      <c r="K9686" t="s">
        <v>60116</v>
      </c>
      <c r="L9686" t="s">
        <v>60110</v>
      </c>
    </row>
    <row r="9687" spans="1:12" x14ac:dyDescent="0.25">
      <c r="A9687">
        <v>1831247</v>
      </c>
      <c r="B9687">
        <v>1831258</v>
      </c>
      <c r="D9687" t="s">
        <v>204</v>
      </c>
      <c r="E9687" t="s">
        <v>60118</v>
      </c>
      <c r="F9687" t="s">
        <v>60119</v>
      </c>
      <c r="G9687" t="s">
        <v>60120</v>
      </c>
      <c r="H9687" t="s">
        <v>60121</v>
      </c>
      <c r="I9687" t="s">
        <v>60122</v>
      </c>
      <c r="J9687" t="s">
        <v>60117</v>
      </c>
      <c r="K9687" t="s">
        <v>60123</v>
      </c>
      <c r="L9687" t="s">
        <v>60117</v>
      </c>
    </row>
    <row r="9688" spans="1:12" x14ac:dyDescent="0.25">
      <c r="A9688">
        <v>1831880</v>
      </c>
      <c r="B9688">
        <v>1831888</v>
      </c>
      <c r="D9688">
        <v>0</v>
      </c>
      <c r="E9688" t="s">
        <v>60125</v>
      </c>
      <c r="F9688" t="s">
        <v>60126</v>
      </c>
      <c r="G9688" t="s">
        <v>60127</v>
      </c>
      <c r="H9688" t="e" vm="4167">
        <f>_FV(0,"026097276621131416")</f>
        <v>#VALUE!</v>
      </c>
      <c r="I9688" t="s">
        <v>60128</v>
      </c>
      <c r="J9688" t="s">
        <v>20260</v>
      </c>
      <c r="K9688" t="s">
        <v>60129</v>
      </c>
      <c r="L9688" t="s">
        <v>60124</v>
      </c>
    </row>
    <row r="9689" spans="1:12" x14ac:dyDescent="0.25">
      <c r="A9689">
        <v>1831880</v>
      </c>
      <c r="B9689">
        <v>1831911</v>
      </c>
      <c r="D9689" t="s">
        <v>330</v>
      </c>
      <c r="E9689" t="s">
        <v>60131</v>
      </c>
      <c r="F9689" t="s">
        <v>60132</v>
      </c>
      <c r="G9689" t="s">
        <v>60133</v>
      </c>
      <c r="H9689" t="s">
        <v>60134</v>
      </c>
      <c r="I9689" t="s">
        <v>60135</v>
      </c>
      <c r="J9689" t="s">
        <v>60136</v>
      </c>
      <c r="K9689" t="s">
        <v>60137</v>
      </c>
      <c r="L9689" t="s">
        <v>60130</v>
      </c>
    </row>
    <row r="9690" spans="1:12" x14ac:dyDescent="0.25">
      <c r="A9690">
        <v>1831888</v>
      </c>
      <c r="B9690">
        <v>1831943</v>
      </c>
      <c r="D9690" t="s">
        <v>330</v>
      </c>
      <c r="E9690" t="s">
        <v>60139</v>
      </c>
      <c r="F9690" t="s">
        <v>60140</v>
      </c>
      <c r="G9690" t="s">
        <v>60141</v>
      </c>
      <c r="H9690" t="s">
        <v>60142</v>
      </c>
      <c r="I9690" t="s">
        <v>60143</v>
      </c>
      <c r="J9690" t="s">
        <v>60144</v>
      </c>
      <c r="K9690" t="s">
        <v>60145</v>
      </c>
      <c r="L9690" t="s">
        <v>60138</v>
      </c>
    </row>
    <row r="9691" spans="1:12" x14ac:dyDescent="0.25">
      <c r="A9691">
        <v>1831911</v>
      </c>
      <c r="B9691">
        <v>1831943</v>
      </c>
      <c r="D9691">
        <v>0</v>
      </c>
      <c r="E9691" t="s">
        <v>60147</v>
      </c>
      <c r="F9691" t="s">
        <v>60148</v>
      </c>
      <c r="G9691" t="s">
        <v>60149</v>
      </c>
      <c r="H9691" t="s">
        <v>60150</v>
      </c>
      <c r="I9691" t="s">
        <v>60151</v>
      </c>
      <c r="J9691" t="s">
        <v>60146</v>
      </c>
      <c r="K9691" t="s">
        <v>60152</v>
      </c>
      <c r="L9691" t="s">
        <v>60146</v>
      </c>
    </row>
    <row r="9692" spans="1:12" x14ac:dyDescent="0.25">
      <c r="A9692">
        <v>1834979</v>
      </c>
      <c r="B9692">
        <v>1834993</v>
      </c>
      <c r="D9692">
        <v>0</v>
      </c>
      <c r="E9692" t="s">
        <v>60154</v>
      </c>
      <c r="F9692" t="s">
        <v>60155</v>
      </c>
      <c r="G9692" t="s">
        <v>60156</v>
      </c>
      <c r="H9692" t="s">
        <v>60157</v>
      </c>
      <c r="I9692" t="s">
        <v>60158</v>
      </c>
      <c r="J9692" t="s">
        <v>60153</v>
      </c>
      <c r="K9692" t="s">
        <v>60159</v>
      </c>
      <c r="L9692" t="s">
        <v>60153</v>
      </c>
    </row>
    <row r="9693" spans="1:12" x14ac:dyDescent="0.25">
      <c r="A9693">
        <v>1835024</v>
      </c>
      <c r="B9693">
        <v>1835047</v>
      </c>
      <c r="D9693">
        <v>0</v>
      </c>
      <c r="E9693" t="s">
        <v>60161</v>
      </c>
      <c r="F9693" t="s">
        <v>60162</v>
      </c>
      <c r="G9693" t="s">
        <v>60163</v>
      </c>
      <c r="H9693" t="s">
        <v>60164</v>
      </c>
      <c r="I9693" t="s">
        <v>60165</v>
      </c>
      <c r="J9693" t="s">
        <v>60160</v>
      </c>
      <c r="K9693" t="s">
        <v>60166</v>
      </c>
      <c r="L9693" t="s">
        <v>60160</v>
      </c>
    </row>
    <row r="9694" spans="1:12" x14ac:dyDescent="0.25">
      <c r="A9694">
        <v>1835632</v>
      </c>
      <c r="B9694">
        <v>1835717</v>
      </c>
      <c r="D9694">
        <v>0</v>
      </c>
      <c r="E9694" t="s">
        <v>60167</v>
      </c>
      <c r="F9694" t="s">
        <v>60168</v>
      </c>
      <c r="G9694" t="s">
        <v>60169</v>
      </c>
      <c r="H9694" t="s">
        <v>60170</v>
      </c>
      <c r="I9694" t="s">
        <v>60171</v>
      </c>
      <c r="J9694" t="s">
        <v>14552</v>
      </c>
      <c r="K9694" t="s">
        <v>60172</v>
      </c>
      <c r="L9694" t="s">
        <v>14552</v>
      </c>
    </row>
    <row r="9695" spans="1:12" x14ac:dyDescent="0.25">
      <c r="A9695">
        <v>1835660</v>
      </c>
      <c r="B9695">
        <v>1835745</v>
      </c>
      <c r="D9695">
        <v>0</v>
      </c>
      <c r="E9695" t="s">
        <v>60174</v>
      </c>
      <c r="F9695" t="s">
        <v>60175</v>
      </c>
      <c r="G9695" t="s">
        <v>60176</v>
      </c>
      <c r="H9695" t="s">
        <v>60177</v>
      </c>
      <c r="I9695" t="s">
        <v>60178</v>
      </c>
      <c r="J9695" t="s">
        <v>60173</v>
      </c>
      <c r="K9695" t="s">
        <v>60179</v>
      </c>
      <c r="L9695" t="s">
        <v>60173</v>
      </c>
    </row>
    <row r="9696" spans="1:12" x14ac:dyDescent="0.25">
      <c r="A9696">
        <v>1835717</v>
      </c>
      <c r="B9696">
        <v>1835745</v>
      </c>
      <c r="D9696">
        <v>0</v>
      </c>
      <c r="E9696" t="s">
        <v>60181</v>
      </c>
      <c r="F9696" t="s">
        <v>60182</v>
      </c>
      <c r="G9696" t="s">
        <v>60183</v>
      </c>
      <c r="H9696" t="s">
        <v>60184</v>
      </c>
      <c r="I9696" t="s">
        <v>60185</v>
      </c>
      <c r="J9696" t="s">
        <v>5579</v>
      </c>
      <c r="K9696" t="s">
        <v>60186</v>
      </c>
      <c r="L9696" t="s">
        <v>60180</v>
      </c>
    </row>
    <row r="9697" spans="1:12" x14ac:dyDescent="0.25">
      <c r="A9697">
        <v>1835717</v>
      </c>
      <c r="B9697">
        <v>1835761</v>
      </c>
      <c r="D9697">
        <v>0</v>
      </c>
      <c r="E9697" t="s">
        <v>60188</v>
      </c>
      <c r="F9697" t="s">
        <v>60189</v>
      </c>
      <c r="G9697" t="s">
        <v>60190</v>
      </c>
      <c r="H9697" t="e" vm="4168">
        <f>_FV(0,"010580066200773437")</f>
        <v>#VALUE!</v>
      </c>
      <c r="I9697" t="s">
        <v>60191</v>
      </c>
      <c r="J9697" t="s">
        <v>60192</v>
      </c>
      <c r="K9697" t="s">
        <v>60193</v>
      </c>
      <c r="L9697" t="s">
        <v>60187</v>
      </c>
    </row>
    <row r="9698" spans="1:12" x14ac:dyDescent="0.25">
      <c r="A9698">
        <v>1835745</v>
      </c>
      <c r="B9698">
        <v>1835749</v>
      </c>
      <c r="D9698">
        <v>0</v>
      </c>
      <c r="F9698">
        <v>2135044</v>
      </c>
      <c r="G9698">
        <v>1835749</v>
      </c>
      <c r="H9698" t="s">
        <v>4848</v>
      </c>
      <c r="I9698">
        <v>1835745</v>
      </c>
      <c r="J9698" t="s">
        <v>4848</v>
      </c>
      <c r="K9698" t="s">
        <v>60194</v>
      </c>
      <c r="L9698" t="s">
        <v>4848</v>
      </c>
    </row>
    <row r="9699" spans="1:12" x14ac:dyDescent="0.25">
      <c r="A9699">
        <v>1835749</v>
      </c>
      <c r="B9699">
        <v>1835761</v>
      </c>
      <c r="D9699">
        <v>0</v>
      </c>
      <c r="E9699" t="s">
        <v>60196</v>
      </c>
      <c r="F9699" t="s">
        <v>60197</v>
      </c>
      <c r="G9699" t="s">
        <v>60198</v>
      </c>
      <c r="H9699" t="e" vm="4169">
        <f>_FV(0,"0010258028591701581")</f>
        <v>#VALUE!</v>
      </c>
      <c r="I9699" t="s">
        <v>60199</v>
      </c>
      <c r="J9699" t="s">
        <v>48357</v>
      </c>
      <c r="K9699" t="s">
        <v>60200</v>
      </c>
      <c r="L9699" t="s">
        <v>60195</v>
      </c>
    </row>
    <row r="9700" spans="1:12" x14ac:dyDescent="0.25">
      <c r="A9700">
        <v>1837088</v>
      </c>
      <c r="B9700">
        <v>1837105</v>
      </c>
      <c r="D9700">
        <v>0</v>
      </c>
      <c r="E9700" t="s">
        <v>60202</v>
      </c>
      <c r="F9700" t="s">
        <v>60203</v>
      </c>
      <c r="G9700" t="s">
        <v>60204</v>
      </c>
      <c r="H9700" t="e" vm="4170">
        <f>_FV(0,"016327843336443864")</f>
        <v>#VALUE!</v>
      </c>
      <c r="I9700" t="s">
        <v>60205</v>
      </c>
      <c r="J9700" t="s">
        <v>60206</v>
      </c>
      <c r="K9700" t="s">
        <v>60207</v>
      </c>
      <c r="L9700" t="s">
        <v>60201</v>
      </c>
    </row>
    <row r="9701" spans="1:12" x14ac:dyDescent="0.25">
      <c r="A9701">
        <v>1837088</v>
      </c>
      <c r="B9701">
        <v>1837095</v>
      </c>
      <c r="D9701">
        <v>0</v>
      </c>
      <c r="E9701" t="s">
        <v>60208</v>
      </c>
      <c r="F9701" t="s">
        <v>60209</v>
      </c>
      <c r="G9701" t="s">
        <v>60210</v>
      </c>
      <c r="H9701" t="s">
        <v>60211</v>
      </c>
      <c r="I9701" t="s">
        <v>60212</v>
      </c>
      <c r="J9701" t="s">
        <v>53768</v>
      </c>
      <c r="K9701" t="s">
        <v>60213</v>
      </c>
      <c r="L9701" t="s">
        <v>53768</v>
      </c>
    </row>
    <row r="9702" spans="1:12" x14ac:dyDescent="0.25">
      <c r="A9702">
        <v>1837095</v>
      </c>
      <c r="B9702">
        <v>1837115</v>
      </c>
      <c r="D9702">
        <v>0</v>
      </c>
      <c r="E9702" t="s">
        <v>60215</v>
      </c>
      <c r="F9702" t="s">
        <v>60216</v>
      </c>
      <c r="G9702" t="s">
        <v>60217</v>
      </c>
      <c r="H9702" t="s">
        <v>60218</v>
      </c>
      <c r="I9702" t="s">
        <v>60219</v>
      </c>
      <c r="J9702" t="s">
        <v>60214</v>
      </c>
      <c r="K9702" t="s">
        <v>60220</v>
      </c>
      <c r="L9702" t="s">
        <v>60214</v>
      </c>
    </row>
    <row r="9703" spans="1:12" x14ac:dyDescent="0.25">
      <c r="A9703">
        <v>1837105</v>
      </c>
      <c r="B9703">
        <v>1837115</v>
      </c>
      <c r="D9703">
        <v>0</v>
      </c>
      <c r="E9703" t="s">
        <v>60222</v>
      </c>
      <c r="F9703" t="s">
        <v>60223</v>
      </c>
      <c r="G9703" t="s">
        <v>60224</v>
      </c>
      <c r="H9703" t="e" vm="4171">
        <f>_FV(0,"009500985803987175")</f>
        <v>#VALUE!</v>
      </c>
      <c r="I9703" t="s">
        <v>60225</v>
      </c>
      <c r="J9703" t="s">
        <v>52685</v>
      </c>
      <c r="K9703" t="s">
        <v>60226</v>
      </c>
      <c r="L9703" t="s">
        <v>60221</v>
      </c>
    </row>
    <row r="9704" spans="1:12" x14ac:dyDescent="0.25">
      <c r="A9704">
        <v>1842312</v>
      </c>
      <c r="B9704">
        <v>1842313</v>
      </c>
      <c r="D9704">
        <v>0</v>
      </c>
      <c r="F9704">
        <v>2146812</v>
      </c>
      <c r="G9704">
        <v>1842313</v>
      </c>
      <c r="H9704" t="s">
        <v>12171</v>
      </c>
      <c r="I9704">
        <v>1842312</v>
      </c>
      <c r="J9704" t="s">
        <v>12171</v>
      </c>
      <c r="K9704" t="s">
        <v>60227</v>
      </c>
      <c r="L9704" t="s">
        <v>12171</v>
      </c>
    </row>
    <row r="9705" spans="1:12" x14ac:dyDescent="0.25">
      <c r="A9705">
        <v>1842312</v>
      </c>
      <c r="B9705">
        <v>1842341</v>
      </c>
      <c r="D9705">
        <v>0</v>
      </c>
      <c r="E9705" t="s">
        <v>60229</v>
      </c>
      <c r="F9705" t="s">
        <v>60230</v>
      </c>
      <c r="G9705" t="s">
        <v>60231</v>
      </c>
      <c r="H9705" t="e" vm="4172">
        <f>_FV(0,"03349921112737024")</f>
        <v>#VALUE!</v>
      </c>
      <c r="I9705" t="s">
        <v>60232</v>
      </c>
      <c r="J9705" t="s">
        <v>60233</v>
      </c>
      <c r="K9705" t="s">
        <v>60234</v>
      </c>
      <c r="L9705" t="s">
        <v>60228</v>
      </c>
    </row>
    <row r="9706" spans="1:12" x14ac:dyDescent="0.25">
      <c r="A9706">
        <v>1842312</v>
      </c>
      <c r="B9706">
        <v>1842415</v>
      </c>
      <c r="D9706">
        <v>0</v>
      </c>
      <c r="E9706" t="s">
        <v>60236</v>
      </c>
      <c r="F9706" t="s">
        <v>60237</v>
      </c>
      <c r="G9706" t="s">
        <v>60238</v>
      </c>
      <c r="H9706" t="s">
        <v>60239</v>
      </c>
      <c r="I9706" t="s">
        <v>60240</v>
      </c>
      <c r="J9706" t="s">
        <v>60235</v>
      </c>
      <c r="K9706" t="s">
        <v>60241</v>
      </c>
      <c r="L9706" t="s">
        <v>60235</v>
      </c>
    </row>
    <row r="9707" spans="1:12" x14ac:dyDescent="0.25">
      <c r="A9707">
        <v>1842313</v>
      </c>
      <c r="B9707">
        <v>1842323</v>
      </c>
      <c r="D9707">
        <v>0</v>
      </c>
      <c r="E9707" t="s">
        <v>60243</v>
      </c>
      <c r="F9707" t="s">
        <v>60244</v>
      </c>
      <c r="G9707" t="s">
        <v>60245</v>
      </c>
      <c r="H9707" t="s">
        <v>60246</v>
      </c>
      <c r="I9707" t="s">
        <v>60247</v>
      </c>
      <c r="J9707" t="s">
        <v>60242</v>
      </c>
      <c r="K9707" t="s">
        <v>60248</v>
      </c>
      <c r="L9707" t="s">
        <v>60242</v>
      </c>
    </row>
    <row r="9708" spans="1:12" x14ac:dyDescent="0.25">
      <c r="A9708">
        <v>1842313</v>
      </c>
      <c r="B9708">
        <v>1842526</v>
      </c>
      <c r="D9708">
        <v>0</v>
      </c>
      <c r="E9708" t="s">
        <v>60250</v>
      </c>
      <c r="F9708" t="s">
        <v>60251</v>
      </c>
      <c r="G9708" t="s">
        <v>60252</v>
      </c>
      <c r="H9708" t="s">
        <v>60253</v>
      </c>
      <c r="I9708" t="s">
        <v>60254</v>
      </c>
      <c r="J9708" t="s">
        <v>60249</v>
      </c>
      <c r="K9708" t="s">
        <v>60255</v>
      </c>
      <c r="L9708" t="s">
        <v>60249</v>
      </c>
    </row>
    <row r="9709" spans="1:12" x14ac:dyDescent="0.25">
      <c r="A9709">
        <v>1842323</v>
      </c>
      <c r="B9709">
        <v>1842341</v>
      </c>
      <c r="D9709">
        <v>0</v>
      </c>
      <c r="E9709" t="s">
        <v>60257</v>
      </c>
      <c r="F9709" t="s">
        <v>60258</v>
      </c>
      <c r="G9709" t="s">
        <v>60259</v>
      </c>
      <c r="H9709" t="e" vm="4173">
        <f>_FV(0,"0435691797774267")</f>
        <v>#VALUE!</v>
      </c>
      <c r="I9709" t="s">
        <v>60260</v>
      </c>
      <c r="J9709" t="s">
        <v>60261</v>
      </c>
      <c r="K9709" t="s">
        <v>60262</v>
      </c>
      <c r="L9709" t="s">
        <v>60256</v>
      </c>
    </row>
    <row r="9710" spans="1:12" x14ac:dyDescent="0.25">
      <c r="A9710">
        <v>1842323</v>
      </c>
      <c r="B9710">
        <v>1842526</v>
      </c>
      <c r="D9710">
        <v>0</v>
      </c>
      <c r="E9710" t="s">
        <v>60263</v>
      </c>
      <c r="F9710" t="s">
        <v>60264</v>
      </c>
      <c r="G9710" t="s">
        <v>60265</v>
      </c>
      <c r="H9710" t="s">
        <v>60266</v>
      </c>
      <c r="I9710" t="s">
        <v>60267</v>
      </c>
      <c r="J9710" t="s">
        <v>434</v>
      </c>
      <c r="K9710" t="s">
        <v>60268</v>
      </c>
      <c r="L9710" t="s">
        <v>434</v>
      </c>
    </row>
    <row r="9711" spans="1:12" x14ac:dyDescent="0.25">
      <c r="A9711">
        <v>1842341</v>
      </c>
      <c r="B9711">
        <v>1842415</v>
      </c>
      <c r="D9711">
        <v>0</v>
      </c>
      <c r="E9711" t="s">
        <v>60270</v>
      </c>
      <c r="F9711" t="s">
        <v>60271</v>
      </c>
      <c r="G9711" t="s">
        <v>60272</v>
      </c>
      <c r="H9711" t="s">
        <v>60273</v>
      </c>
      <c r="I9711" t="s">
        <v>60274</v>
      </c>
      <c r="J9711" t="s">
        <v>60269</v>
      </c>
      <c r="K9711" t="s">
        <v>60275</v>
      </c>
      <c r="L9711" t="s">
        <v>60269</v>
      </c>
    </row>
    <row r="9712" spans="1:12" x14ac:dyDescent="0.25">
      <c r="A9712">
        <v>1847354</v>
      </c>
      <c r="B9712">
        <v>1847362</v>
      </c>
      <c r="D9712">
        <v>0</v>
      </c>
      <c r="E9712" t="s">
        <v>60277</v>
      </c>
      <c r="F9712" t="s">
        <v>60278</v>
      </c>
      <c r="G9712" t="s">
        <v>60279</v>
      </c>
      <c r="H9712" t="e" vm="4174">
        <f>_FV(0,"05475668156171014")</f>
        <v>#VALUE!</v>
      </c>
      <c r="I9712" t="s">
        <v>60280</v>
      </c>
      <c r="J9712" t="s">
        <v>60281</v>
      </c>
      <c r="K9712" t="s">
        <v>60282</v>
      </c>
      <c r="L9712" t="s">
        <v>60276</v>
      </c>
    </row>
    <row r="9713" spans="1:12" x14ac:dyDescent="0.25">
      <c r="A9713">
        <v>1847362</v>
      </c>
      <c r="B9713">
        <v>1847592</v>
      </c>
      <c r="D9713">
        <v>0</v>
      </c>
      <c r="E9713" t="s">
        <v>60284</v>
      </c>
      <c r="F9713" t="s">
        <v>60285</v>
      </c>
      <c r="G9713" t="s">
        <v>60286</v>
      </c>
      <c r="H9713" t="e" vm="4175">
        <f>_FV(0,"039340590441858725")</f>
        <v>#VALUE!</v>
      </c>
      <c r="I9713" t="s">
        <v>60287</v>
      </c>
      <c r="J9713" t="s">
        <v>60288</v>
      </c>
      <c r="K9713" t="s">
        <v>60289</v>
      </c>
      <c r="L9713" t="s">
        <v>60283</v>
      </c>
    </row>
    <row r="9714" spans="1:12" x14ac:dyDescent="0.25">
      <c r="A9714">
        <v>1847592</v>
      </c>
      <c r="B9714">
        <v>1847598</v>
      </c>
      <c r="D9714">
        <v>0</v>
      </c>
      <c r="F9714">
        <v>2156163</v>
      </c>
      <c r="G9714">
        <v>1847598</v>
      </c>
      <c r="H9714" t="s">
        <v>1536</v>
      </c>
      <c r="I9714">
        <v>1847592</v>
      </c>
      <c r="J9714" t="s">
        <v>1536</v>
      </c>
      <c r="K9714" t="s">
        <v>60290</v>
      </c>
      <c r="L9714" t="s">
        <v>1536</v>
      </c>
    </row>
    <row r="9715" spans="1:12" x14ac:dyDescent="0.25">
      <c r="A9715">
        <v>1847598</v>
      </c>
      <c r="B9715">
        <v>1847604</v>
      </c>
      <c r="D9715">
        <v>0</v>
      </c>
      <c r="F9715">
        <v>2156171</v>
      </c>
      <c r="G9715">
        <v>1847604</v>
      </c>
      <c r="H9715" t="s">
        <v>6429</v>
      </c>
      <c r="I9715">
        <v>1847598</v>
      </c>
      <c r="J9715" t="s">
        <v>6429</v>
      </c>
      <c r="K9715" t="s">
        <v>60291</v>
      </c>
      <c r="L9715" t="s">
        <v>6429</v>
      </c>
    </row>
    <row r="9716" spans="1:12" x14ac:dyDescent="0.25">
      <c r="A9716">
        <v>1850554</v>
      </c>
      <c r="B9716">
        <v>1850801</v>
      </c>
      <c r="D9716">
        <v>0</v>
      </c>
      <c r="E9716" t="s">
        <v>60293</v>
      </c>
      <c r="F9716" t="s">
        <v>60294</v>
      </c>
      <c r="G9716" t="s">
        <v>60295</v>
      </c>
      <c r="H9716" t="s">
        <v>60296</v>
      </c>
      <c r="I9716" t="s">
        <v>60297</v>
      </c>
      <c r="J9716" t="s">
        <v>60292</v>
      </c>
      <c r="K9716" t="s">
        <v>60298</v>
      </c>
      <c r="L9716" t="s">
        <v>60292</v>
      </c>
    </row>
    <row r="9717" spans="1:12" x14ac:dyDescent="0.25">
      <c r="A9717">
        <v>1850591</v>
      </c>
      <c r="B9717">
        <v>1850595</v>
      </c>
      <c r="D9717">
        <v>0</v>
      </c>
      <c r="E9717" t="s">
        <v>60300</v>
      </c>
      <c r="F9717" t="s">
        <v>60301</v>
      </c>
      <c r="G9717" t="s">
        <v>60302</v>
      </c>
      <c r="H9717" t="s">
        <v>60303</v>
      </c>
      <c r="I9717" t="s">
        <v>60304</v>
      </c>
      <c r="J9717" t="s">
        <v>60299</v>
      </c>
      <c r="K9717" t="s">
        <v>60305</v>
      </c>
      <c r="L9717" t="s">
        <v>60299</v>
      </c>
    </row>
    <row r="9718" spans="1:12" x14ac:dyDescent="0.25">
      <c r="A9718">
        <v>1853430</v>
      </c>
      <c r="B9718">
        <v>1853458</v>
      </c>
      <c r="D9718">
        <v>0</v>
      </c>
      <c r="E9718" t="s">
        <v>60307</v>
      </c>
      <c r="F9718" t="s">
        <v>60308</v>
      </c>
      <c r="G9718" t="s">
        <v>60309</v>
      </c>
      <c r="H9718" t="e" vm="4176">
        <f>_FV(0,"02550718350828527")</f>
        <v>#VALUE!</v>
      </c>
      <c r="I9718" t="s">
        <v>60310</v>
      </c>
      <c r="J9718" t="s">
        <v>60311</v>
      </c>
      <c r="K9718" t="s">
        <v>60312</v>
      </c>
      <c r="L9718" t="s">
        <v>60306</v>
      </c>
    </row>
    <row r="9719" spans="1:12" x14ac:dyDescent="0.25">
      <c r="A9719">
        <v>1853430</v>
      </c>
      <c r="B9719">
        <v>1853434</v>
      </c>
      <c r="D9719">
        <v>0</v>
      </c>
      <c r="E9719" t="s">
        <v>60314</v>
      </c>
      <c r="F9719" t="s">
        <v>60315</v>
      </c>
      <c r="G9719" t="s">
        <v>60316</v>
      </c>
      <c r="H9719" t="e" vm="4177">
        <f>_FV(0,"033124722848471164")</f>
        <v>#VALUE!</v>
      </c>
      <c r="I9719" t="s">
        <v>60317</v>
      </c>
      <c r="J9719" t="s">
        <v>60318</v>
      </c>
      <c r="K9719" t="s">
        <v>60319</v>
      </c>
      <c r="L9719" t="s">
        <v>60313</v>
      </c>
    </row>
    <row r="9720" spans="1:12" x14ac:dyDescent="0.25">
      <c r="A9720">
        <v>1853434</v>
      </c>
      <c r="B9720">
        <v>1853435</v>
      </c>
      <c r="D9720">
        <v>0</v>
      </c>
      <c r="F9720">
        <v>2165913</v>
      </c>
      <c r="G9720">
        <v>1853435</v>
      </c>
      <c r="H9720" t="e" vm="4178">
        <f>_FV(0,"068")</f>
        <v>#VALUE!</v>
      </c>
      <c r="I9720">
        <v>1853434</v>
      </c>
      <c r="J9720" t="s">
        <v>40716</v>
      </c>
      <c r="K9720" t="s">
        <v>60320</v>
      </c>
      <c r="L9720" t="e" vm="4178">
        <f>_FV(0,"068")</f>
        <v>#VALUE!</v>
      </c>
    </row>
    <row r="9721" spans="1:12" x14ac:dyDescent="0.25">
      <c r="A9721">
        <v>1853434</v>
      </c>
      <c r="B9721">
        <v>1853458</v>
      </c>
      <c r="D9721">
        <v>0</v>
      </c>
      <c r="E9721" t="s">
        <v>60322</v>
      </c>
      <c r="F9721" t="s">
        <v>60323</v>
      </c>
      <c r="G9721" t="s">
        <v>60324</v>
      </c>
      <c r="H9721" t="e" vm="4179">
        <f>_FV(0,"09690612046235304")</f>
        <v>#VALUE!</v>
      </c>
      <c r="I9721" t="s">
        <v>60325</v>
      </c>
      <c r="J9721" t="s">
        <v>60326</v>
      </c>
      <c r="K9721" t="s">
        <v>60327</v>
      </c>
      <c r="L9721" t="s">
        <v>60321</v>
      </c>
    </row>
    <row r="9722" spans="1:12" x14ac:dyDescent="0.25">
      <c r="A9722">
        <v>1853435</v>
      </c>
      <c r="B9722">
        <v>1853443</v>
      </c>
      <c r="D9722">
        <v>0</v>
      </c>
      <c r="E9722" t="s">
        <v>60329</v>
      </c>
      <c r="F9722" t="s">
        <v>60330</v>
      </c>
      <c r="G9722" t="s">
        <v>60331</v>
      </c>
      <c r="H9722" t="e" vm="4180">
        <f>_FV(0,"005714283251721375")</f>
        <v>#VALUE!</v>
      </c>
      <c r="I9722" t="s">
        <v>60332</v>
      </c>
      <c r="J9722" t="s">
        <v>60333</v>
      </c>
      <c r="K9722" t="s">
        <v>60334</v>
      </c>
      <c r="L9722" t="s">
        <v>60328</v>
      </c>
    </row>
    <row r="9723" spans="1:12" x14ac:dyDescent="0.25">
      <c r="A9723">
        <v>1853435</v>
      </c>
      <c r="B9723">
        <v>1853502</v>
      </c>
      <c r="D9723" t="s">
        <v>204</v>
      </c>
      <c r="E9723" t="s">
        <v>60336</v>
      </c>
      <c r="F9723" t="s">
        <v>60337</v>
      </c>
      <c r="G9723" t="s">
        <v>60338</v>
      </c>
      <c r="H9723" t="s">
        <v>60339</v>
      </c>
      <c r="I9723" t="s">
        <v>60340</v>
      </c>
      <c r="J9723" t="s">
        <v>60335</v>
      </c>
      <c r="K9723" t="s">
        <v>60341</v>
      </c>
      <c r="L9723" t="s">
        <v>60335</v>
      </c>
    </row>
    <row r="9724" spans="1:12" x14ac:dyDescent="0.25">
      <c r="A9724">
        <v>1853443</v>
      </c>
      <c r="B9724">
        <v>1853446</v>
      </c>
      <c r="D9724">
        <v>0</v>
      </c>
      <c r="F9724">
        <v>2165931</v>
      </c>
      <c r="G9724">
        <v>1853446</v>
      </c>
      <c r="H9724" t="s">
        <v>288</v>
      </c>
      <c r="I9724">
        <v>1853443</v>
      </c>
      <c r="J9724" t="s">
        <v>288</v>
      </c>
      <c r="K9724" t="s">
        <v>60342</v>
      </c>
      <c r="L9724" t="s">
        <v>288</v>
      </c>
    </row>
    <row r="9725" spans="1:12" x14ac:dyDescent="0.25">
      <c r="A9725">
        <v>1853443</v>
      </c>
      <c r="B9725">
        <v>1853502</v>
      </c>
      <c r="D9725" t="s">
        <v>204</v>
      </c>
      <c r="E9725" t="s">
        <v>60344</v>
      </c>
      <c r="F9725" t="s">
        <v>60345</v>
      </c>
      <c r="G9725" t="s">
        <v>60346</v>
      </c>
      <c r="H9725" t="s">
        <v>60347</v>
      </c>
      <c r="I9725" t="s">
        <v>60348</v>
      </c>
      <c r="J9725" t="s">
        <v>60343</v>
      </c>
      <c r="K9725" t="s">
        <v>60349</v>
      </c>
      <c r="L9725" t="s">
        <v>60343</v>
      </c>
    </row>
    <row r="9726" spans="1:12" x14ac:dyDescent="0.25">
      <c r="A9726">
        <v>1853446</v>
      </c>
      <c r="B9726">
        <v>1853454</v>
      </c>
      <c r="D9726">
        <v>0</v>
      </c>
      <c r="E9726" t="s">
        <v>60351</v>
      </c>
      <c r="F9726" t="s">
        <v>60352</v>
      </c>
      <c r="G9726" t="s">
        <v>60353</v>
      </c>
      <c r="H9726" t="s">
        <v>60354</v>
      </c>
      <c r="I9726" t="s">
        <v>60355</v>
      </c>
      <c r="J9726" t="s">
        <v>60350</v>
      </c>
      <c r="K9726" t="s">
        <v>60356</v>
      </c>
      <c r="L9726" t="s">
        <v>60350</v>
      </c>
    </row>
    <row r="9727" spans="1:12" x14ac:dyDescent="0.25">
      <c r="A9727">
        <v>1853446</v>
      </c>
      <c r="B9727">
        <v>1853468</v>
      </c>
      <c r="D9727" t="s">
        <v>2793</v>
      </c>
      <c r="E9727" t="s">
        <v>60358</v>
      </c>
      <c r="F9727" t="s">
        <v>60359</v>
      </c>
      <c r="G9727" t="s">
        <v>60360</v>
      </c>
      <c r="H9727" t="s">
        <v>60361</v>
      </c>
      <c r="I9727" t="s">
        <v>60362</v>
      </c>
      <c r="J9727" t="s">
        <v>60357</v>
      </c>
      <c r="K9727" t="s">
        <v>60363</v>
      </c>
      <c r="L9727" t="s">
        <v>60357</v>
      </c>
    </row>
    <row r="9728" spans="1:12" x14ac:dyDescent="0.25">
      <c r="A9728">
        <v>1853454</v>
      </c>
      <c r="B9728">
        <v>1853458</v>
      </c>
      <c r="D9728">
        <v>0</v>
      </c>
      <c r="F9728">
        <v>2165949</v>
      </c>
      <c r="G9728">
        <v>1853458</v>
      </c>
      <c r="H9728" t="e" vm="201">
        <f>_FV(0,"002")</f>
        <v>#VALUE!</v>
      </c>
      <c r="I9728">
        <v>1853454</v>
      </c>
      <c r="J9728" t="s">
        <v>1534</v>
      </c>
      <c r="K9728" t="s">
        <v>60364</v>
      </c>
      <c r="L9728" t="e" vm="201">
        <f>_FV(0,"002")</f>
        <v>#VALUE!</v>
      </c>
    </row>
    <row r="9729" spans="1:12" x14ac:dyDescent="0.25">
      <c r="A9729">
        <v>1853454</v>
      </c>
      <c r="B9729">
        <v>1853468</v>
      </c>
      <c r="D9729" t="s">
        <v>2793</v>
      </c>
      <c r="E9729" t="s">
        <v>60366</v>
      </c>
      <c r="F9729" t="s">
        <v>60367</v>
      </c>
      <c r="G9729" t="s">
        <v>60368</v>
      </c>
      <c r="H9729" t="s">
        <v>60369</v>
      </c>
      <c r="I9729" t="s">
        <v>60370</v>
      </c>
      <c r="J9729" t="s">
        <v>60371</v>
      </c>
      <c r="K9729" t="s">
        <v>60372</v>
      </c>
      <c r="L9729" t="s">
        <v>60365</v>
      </c>
    </row>
    <row r="9730" spans="1:12" x14ac:dyDescent="0.25">
      <c r="A9730">
        <v>1853486</v>
      </c>
      <c r="B9730">
        <v>1853502</v>
      </c>
      <c r="D9730" t="s">
        <v>12915</v>
      </c>
      <c r="E9730" t="s">
        <v>60374</v>
      </c>
      <c r="F9730" t="s">
        <v>60375</v>
      </c>
      <c r="G9730" t="s">
        <v>60376</v>
      </c>
      <c r="H9730" t="s">
        <v>60377</v>
      </c>
      <c r="I9730" t="s">
        <v>60378</v>
      </c>
      <c r="J9730" t="s">
        <v>60379</v>
      </c>
      <c r="K9730" t="s">
        <v>60380</v>
      </c>
      <c r="L9730" t="s">
        <v>60373</v>
      </c>
    </row>
    <row r="9731" spans="1:12" x14ac:dyDescent="0.25">
      <c r="A9731">
        <v>1853888</v>
      </c>
      <c r="B9731">
        <v>1853895</v>
      </c>
      <c r="D9731">
        <v>0</v>
      </c>
      <c r="F9731">
        <v>2166770</v>
      </c>
      <c r="G9731">
        <v>1853888</v>
      </c>
      <c r="H9731" t="s">
        <v>2674</v>
      </c>
      <c r="I9731">
        <v>1853895</v>
      </c>
      <c r="J9731" t="s">
        <v>2674</v>
      </c>
      <c r="K9731" t="s">
        <v>60381</v>
      </c>
      <c r="L9731" t="s">
        <v>2674</v>
      </c>
    </row>
    <row r="9732" spans="1:12" x14ac:dyDescent="0.25">
      <c r="A9732">
        <v>1854774</v>
      </c>
      <c r="B9732">
        <v>1854780</v>
      </c>
      <c r="D9732">
        <v>0</v>
      </c>
      <c r="E9732" t="s">
        <v>60383</v>
      </c>
      <c r="F9732" t="s">
        <v>60384</v>
      </c>
      <c r="G9732" t="s">
        <v>60385</v>
      </c>
      <c r="H9732" t="s">
        <v>60386</v>
      </c>
      <c r="I9732" t="s">
        <v>60387</v>
      </c>
      <c r="J9732" t="s">
        <v>60388</v>
      </c>
      <c r="K9732" t="s">
        <v>60389</v>
      </c>
      <c r="L9732" t="s">
        <v>60382</v>
      </c>
    </row>
    <row r="9733" spans="1:12" x14ac:dyDescent="0.25">
      <c r="A9733">
        <v>1854776</v>
      </c>
      <c r="B9733">
        <v>1854790</v>
      </c>
      <c r="D9733">
        <v>0</v>
      </c>
      <c r="E9733" t="s">
        <v>60391</v>
      </c>
      <c r="F9733" t="s">
        <v>60392</v>
      </c>
      <c r="G9733" t="s">
        <v>60393</v>
      </c>
      <c r="H9733" t="e" vm="4181">
        <f>_FV(0,"014662556424615981")</f>
        <v>#VALUE!</v>
      </c>
      <c r="I9733" t="s">
        <v>60394</v>
      </c>
      <c r="J9733" t="s">
        <v>60395</v>
      </c>
      <c r="K9733" t="s">
        <v>60396</v>
      </c>
      <c r="L9733" t="s">
        <v>60390</v>
      </c>
    </row>
    <row r="9734" spans="1:12" x14ac:dyDescent="0.25">
      <c r="A9734">
        <v>1854793</v>
      </c>
      <c r="B9734">
        <v>1854869</v>
      </c>
      <c r="C9734" t="s">
        <v>10461</v>
      </c>
      <c r="D9734">
        <v>0</v>
      </c>
      <c r="E9734" t="s">
        <v>60397</v>
      </c>
      <c r="H9734" t="s">
        <v>187</v>
      </c>
      <c r="J9734">
        <v>0</v>
      </c>
      <c r="K9734" t="s">
        <v>2934</v>
      </c>
      <c r="L9734">
        <v>0</v>
      </c>
    </row>
    <row r="9735" spans="1:12" x14ac:dyDescent="0.25">
      <c r="A9735">
        <v>1854793</v>
      </c>
      <c r="B9735">
        <v>1854846</v>
      </c>
      <c r="C9735" t="s">
        <v>60398</v>
      </c>
      <c r="D9735">
        <v>0</v>
      </c>
      <c r="E9735" t="s">
        <v>60399</v>
      </c>
      <c r="H9735" t="s">
        <v>187</v>
      </c>
      <c r="J9735">
        <v>0</v>
      </c>
      <c r="K9735" t="s">
        <v>2934</v>
      </c>
      <c r="L9735">
        <v>0</v>
      </c>
    </row>
    <row r="9736" spans="1:12" x14ac:dyDescent="0.25">
      <c r="A9736">
        <v>1854794</v>
      </c>
      <c r="B9736">
        <v>1854870</v>
      </c>
      <c r="C9736" t="s">
        <v>60400</v>
      </c>
      <c r="D9736">
        <v>0</v>
      </c>
      <c r="E9736" t="s">
        <v>60401</v>
      </c>
      <c r="H9736" t="s">
        <v>187</v>
      </c>
      <c r="J9736">
        <v>0</v>
      </c>
      <c r="K9736" t="s">
        <v>5592</v>
      </c>
      <c r="L9736">
        <v>0</v>
      </c>
    </row>
    <row r="9737" spans="1:12" x14ac:dyDescent="0.25">
      <c r="A9737">
        <v>1854794</v>
      </c>
      <c r="B9737">
        <v>1854847</v>
      </c>
      <c r="D9737">
        <v>0</v>
      </c>
      <c r="E9737" t="s">
        <v>60402</v>
      </c>
      <c r="H9737" t="s">
        <v>187</v>
      </c>
      <c r="J9737">
        <v>0</v>
      </c>
      <c r="K9737" t="s">
        <v>5592</v>
      </c>
      <c r="L9737">
        <v>0</v>
      </c>
    </row>
    <row r="9738" spans="1:12" x14ac:dyDescent="0.25">
      <c r="A9738">
        <v>1854798</v>
      </c>
      <c r="B9738">
        <v>1854871</v>
      </c>
      <c r="D9738">
        <v>0</v>
      </c>
      <c r="E9738" t="s">
        <v>60403</v>
      </c>
      <c r="H9738" t="s">
        <v>187</v>
      </c>
      <c r="J9738">
        <v>0</v>
      </c>
      <c r="K9738" t="s">
        <v>12372</v>
      </c>
      <c r="L9738">
        <v>0</v>
      </c>
    </row>
    <row r="9739" spans="1:12" x14ac:dyDescent="0.25">
      <c r="A9739">
        <v>1854798</v>
      </c>
      <c r="B9739">
        <v>1854848</v>
      </c>
      <c r="D9739">
        <v>0</v>
      </c>
      <c r="E9739" t="s">
        <v>60404</v>
      </c>
      <c r="H9739" t="s">
        <v>187</v>
      </c>
      <c r="J9739">
        <v>0</v>
      </c>
      <c r="K9739" t="s">
        <v>12372</v>
      </c>
      <c r="L9739">
        <v>0</v>
      </c>
    </row>
    <row r="9740" spans="1:12" x14ac:dyDescent="0.25">
      <c r="A9740">
        <v>1854803</v>
      </c>
      <c r="B9740">
        <v>1854872</v>
      </c>
      <c r="D9740">
        <v>0</v>
      </c>
      <c r="E9740" t="s">
        <v>60405</v>
      </c>
      <c r="H9740" t="s">
        <v>187</v>
      </c>
      <c r="J9740">
        <v>0</v>
      </c>
      <c r="K9740" t="s">
        <v>4853</v>
      </c>
      <c r="L9740">
        <v>0</v>
      </c>
    </row>
    <row r="9741" spans="1:12" x14ac:dyDescent="0.25">
      <c r="A9741">
        <v>1854803</v>
      </c>
      <c r="B9741">
        <v>1854849</v>
      </c>
      <c r="C9741" t="s">
        <v>60406</v>
      </c>
      <c r="D9741">
        <v>0</v>
      </c>
      <c r="E9741" t="s">
        <v>60407</v>
      </c>
      <c r="H9741" t="s">
        <v>187</v>
      </c>
      <c r="J9741">
        <v>0</v>
      </c>
      <c r="K9741" t="s">
        <v>4853</v>
      </c>
      <c r="L9741">
        <v>0</v>
      </c>
    </row>
    <row r="9742" spans="1:12" x14ac:dyDescent="0.25">
      <c r="A9742">
        <v>1854805</v>
      </c>
      <c r="B9742">
        <v>1854873</v>
      </c>
      <c r="D9742">
        <v>0</v>
      </c>
      <c r="E9742" t="s">
        <v>60408</v>
      </c>
      <c r="H9742" t="s">
        <v>187</v>
      </c>
      <c r="J9742">
        <v>0</v>
      </c>
      <c r="K9742" t="s">
        <v>18379</v>
      </c>
      <c r="L9742">
        <v>0</v>
      </c>
    </row>
    <row r="9743" spans="1:12" x14ac:dyDescent="0.25">
      <c r="A9743">
        <v>1854805</v>
      </c>
      <c r="B9743">
        <v>1854850</v>
      </c>
      <c r="D9743">
        <v>0</v>
      </c>
      <c r="E9743" t="s">
        <v>60409</v>
      </c>
      <c r="H9743" t="s">
        <v>187</v>
      </c>
      <c r="J9743">
        <v>0</v>
      </c>
      <c r="K9743" t="s">
        <v>18379</v>
      </c>
      <c r="L9743">
        <v>0</v>
      </c>
    </row>
    <row r="9744" spans="1:12" x14ac:dyDescent="0.25">
      <c r="A9744">
        <v>1854807</v>
      </c>
      <c r="B9744">
        <v>1854874</v>
      </c>
      <c r="D9744">
        <v>0</v>
      </c>
      <c r="E9744" t="s">
        <v>60410</v>
      </c>
      <c r="H9744" t="s">
        <v>187</v>
      </c>
      <c r="J9744">
        <v>0</v>
      </c>
      <c r="K9744" t="s">
        <v>21791</v>
      </c>
      <c r="L9744">
        <v>0</v>
      </c>
    </row>
    <row r="9745" spans="1:12" x14ac:dyDescent="0.25">
      <c r="A9745">
        <v>1854807</v>
      </c>
      <c r="B9745">
        <v>1854851</v>
      </c>
      <c r="D9745">
        <v>0</v>
      </c>
      <c r="E9745" t="s">
        <v>60411</v>
      </c>
      <c r="H9745" t="s">
        <v>187</v>
      </c>
      <c r="J9745">
        <v>0</v>
      </c>
      <c r="K9745" t="s">
        <v>21791</v>
      </c>
      <c r="L9745">
        <v>0</v>
      </c>
    </row>
    <row r="9746" spans="1:12" x14ac:dyDescent="0.25">
      <c r="A9746">
        <v>1854808</v>
      </c>
      <c r="B9746">
        <v>1854875</v>
      </c>
      <c r="D9746">
        <v>0</v>
      </c>
      <c r="E9746" t="s">
        <v>60412</v>
      </c>
      <c r="H9746" t="s">
        <v>187</v>
      </c>
      <c r="J9746">
        <v>0</v>
      </c>
      <c r="K9746" t="s">
        <v>21900</v>
      </c>
      <c r="L9746">
        <v>0</v>
      </c>
    </row>
    <row r="9747" spans="1:12" x14ac:dyDescent="0.25">
      <c r="A9747">
        <v>1854808</v>
      </c>
      <c r="B9747">
        <v>1854852</v>
      </c>
      <c r="C9747" t="s">
        <v>60413</v>
      </c>
      <c r="D9747">
        <v>0</v>
      </c>
      <c r="E9747" t="s">
        <v>60414</v>
      </c>
      <c r="H9747" t="s">
        <v>187</v>
      </c>
      <c r="J9747">
        <v>0</v>
      </c>
      <c r="K9747" t="s">
        <v>21900</v>
      </c>
      <c r="L9747">
        <v>0</v>
      </c>
    </row>
    <row r="9748" spans="1:12" x14ac:dyDescent="0.25">
      <c r="A9748">
        <v>1854812</v>
      </c>
      <c r="B9748">
        <v>1854899</v>
      </c>
      <c r="D9748">
        <v>0</v>
      </c>
      <c r="E9748" t="s">
        <v>60415</v>
      </c>
      <c r="H9748" t="s">
        <v>187</v>
      </c>
      <c r="J9748">
        <v>0</v>
      </c>
      <c r="K9748" t="s">
        <v>33094</v>
      </c>
      <c r="L9748">
        <v>0</v>
      </c>
    </row>
    <row r="9749" spans="1:12" x14ac:dyDescent="0.25">
      <c r="A9749">
        <v>1854812</v>
      </c>
      <c r="B9749">
        <v>1854906</v>
      </c>
      <c r="C9749" t="s">
        <v>60416</v>
      </c>
      <c r="D9749">
        <v>0</v>
      </c>
      <c r="E9749" t="s">
        <v>60417</v>
      </c>
      <c r="H9749" t="s">
        <v>187</v>
      </c>
      <c r="J9749">
        <v>0</v>
      </c>
      <c r="K9749" t="s">
        <v>33094</v>
      </c>
      <c r="L9749">
        <v>0</v>
      </c>
    </row>
    <row r="9750" spans="1:12" x14ac:dyDescent="0.25">
      <c r="A9750">
        <v>1854813</v>
      </c>
      <c r="B9750">
        <v>1854877</v>
      </c>
      <c r="D9750">
        <v>0</v>
      </c>
      <c r="E9750" t="s">
        <v>60418</v>
      </c>
      <c r="H9750" t="s">
        <v>187</v>
      </c>
      <c r="J9750">
        <v>0</v>
      </c>
      <c r="K9750" t="s">
        <v>33120</v>
      </c>
      <c r="L9750">
        <v>0</v>
      </c>
    </row>
    <row r="9751" spans="1:12" x14ac:dyDescent="0.25">
      <c r="A9751">
        <v>1854813</v>
      </c>
      <c r="B9751">
        <v>1854854</v>
      </c>
      <c r="D9751">
        <v>0</v>
      </c>
      <c r="E9751" t="s">
        <v>60419</v>
      </c>
      <c r="H9751" t="s">
        <v>187</v>
      </c>
      <c r="J9751">
        <v>0</v>
      </c>
      <c r="K9751" t="s">
        <v>33120</v>
      </c>
      <c r="L9751">
        <v>0</v>
      </c>
    </row>
    <row r="9752" spans="1:12" x14ac:dyDescent="0.25">
      <c r="A9752">
        <v>1854814</v>
      </c>
      <c r="B9752">
        <v>1854900</v>
      </c>
      <c r="C9752" t="s">
        <v>60420</v>
      </c>
      <c r="D9752">
        <v>0</v>
      </c>
      <c r="E9752" t="s">
        <v>60421</v>
      </c>
      <c r="H9752" t="s">
        <v>187</v>
      </c>
      <c r="J9752">
        <v>0</v>
      </c>
      <c r="K9752" t="s">
        <v>33123</v>
      </c>
      <c r="L9752">
        <v>0</v>
      </c>
    </row>
    <row r="9753" spans="1:12" x14ac:dyDescent="0.25">
      <c r="A9753">
        <v>1854814</v>
      </c>
      <c r="B9753">
        <v>1854907</v>
      </c>
      <c r="D9753">
        <v>0</v>
      </c>
      <c r="E9753" t="s">
        <v>60422</v>
      </c>
      <c r="H9753" t="s">
        <v>187</v>
      </c>
      <c r="J9753">
        <v>0</v>
      </c>
      <c r="K9753" t="s">
        <v>33123</v>
      </c>
      <c r="L9753">
        <v>0</v>
      </c>
    </row>
    <row r="9754" spans="1:12" x14ac:dyDescent="0.25">
      <c r="A9754">
        <v>1854816</v>
      </c>
      <c r="B9754">
        <v>1854901</v>
      </c>
      <c r="D9754">
        <v>0</v>
      </c>
      <c r="E9754" t="s">
        <v>60423</v>
      </c>
      <c r="H9754" t="s">
        <v>187</v>
      </c>
      <c r="J9754">
        <v>0</v>
      </c>
      <c r="K9754" t="s">
        <v>33417</v>
      </c>
      <c r="L9754">
        <v>0</v>
      </c>
    </row>
    <row r="9755" spans="1:12" x14ac:dyDescent="0.25">
      <c r="A9755">
        <v>1854816</v>
      </c>
      <c r="B9755">
        <v>1854908</v>
      </c>
      <c r="D9755">
        <v>0</v>
      </c>
      <c r="E9755" t="s">
        <v>60424</v>
      </c>
      <c r="H9755" t="s">
        <v>187</v>
      </c>
      <c r="J9755">
        <v>0</v>
      </c>
      <c r="K9755" t="s">
        <v>33417</v>
      </c>
      <c r="L9755">
        <v>0</v>
      </c>
    </row>
    <row r="9756" spans="1:12" x14ac:dyDescent="0.25">
      <c r="A9756">
        <v>1854817</v>
      </c>
      <c r="B9756">
        <v>1854880</v>
      </c>
      <c r="D9756">
        <v>0</v>
      </c>
      <c r="E9756" t="s">
        <v>60425</v>
      </c>
      <c r="H9756" t="s">
        <v>187</v>
      </c>
      <c r="J9756">
        <v>0</v>
      </c>
      <c r="K9756" t="s">
        <v>33818</v>
      </c>
      <c r="L9756">
        <v>0</v>
      </c>
    </row>
    <row r="9757" spans="1:12" x14ac:dyDescent="0.25">
      <c r="A9757">
        <v>1854817</v>
      </c>
      <c r="B9757">
        <v>1854857</v>
      </c>
      <c r="D9757">
        <v>0</v>
      </c>
      <c r="E9757" t="s">
        <v>60426</v>
      </c>
      <c r="H9757" t="s">
        <v>187</v>
      </c>
      <c r="J9757">
        <v>0</v>
      </c>
      <c r="K9757" t="s">
        <v>33818</v>
      </c>
      <c r="L9757">
        <v>0</v>
      </c>
    </row>
    <row r="9758" spans="1:12" x14ac:dyDescent="0.25">
      <c r="A9758">
        <v>1854818</v>
      </c>
      <c r="B9758">
        <v>1854902</v>
      </c>
      <c r="D9758">
        <v>0</v>
      </c>
      <c r="E9758" t="s">
        <v>60427</v>
      </c>
      <c r="H9758" t="s">
        <v>187</v>
      </c>
      <c r="J9758">
        <v>0</v>
      </c>
      <c r="K9758" t="s">
        <v>33360</v>
      </c>
      <c r="L9758">
        <v>0</v>
      </c>
    </row>
    <row r="9759" spans="1:12" x14ac:dyDescent="0.25">
      <c r="A9759">
        <v>1854818</v>
      </c>
      <c r="B9759">
        <v>1854909</v>
      </c>
      <c r="C9759" t="s">
        <v>60428</v>
      </c>
      <c r="D9759">
        <v>0</v>
      </c>
      <c r="E9759" t="s">
        <v>60429</v>
      </c>
      <c r="H9759" t="s">
        <v>187</v>
      </c>
      <c r="J9759">
        <v>0</v>
      </c>
      <c r="K9759" t="s">
        <v>33360</v>
      </c>
      <c r="L9759">
        <v>0</v>
      </c>
    </row>
    <row r="9760" spans="1:12" x14ac:dyDescent="0.25">
      <c r="A9760">
        <v>1854820</v>
      </c>
      <c r="B9760">
        <v>1854882</v>
      </c>
      <c r="C9760" t="s">
        <v>60430</v>
      </c>
      <c r="D9760">
        <v>0</v>
      </c>
      <c r="E9760" t="s">
        <v>60431</v>
      </c>
      <c r="H9760" t="s">
        <v>187</v>
      </c>
      <c r="J9760">
        <v>0</v>
      </c>
      <c r="K9760" t="s">
        <v>21033</v>
      </c>
      <c r="L9760">
        <v>0</v>
      </c>
    </row>
    <row r="9761" spans="1:12" x14ac:dyDescent="0.25">
      <c r="A9761">
        <v>1854820</v>
      </c>
      <c r="B9761">
        <v>1854859</v>
      </c>
      <c r="D9761">
        <v>0</v>
      </c>
      <c r="E9761" t="s">
        <v>60432</v>
      </c>
      <c r="H9761" t="s">
        <v>187</v>
      </c>
      <c r="J9761">
        <v>0</v>
      </c>
      <c r="K9761" t="s">
        <v>21033</v>
      </c>
      <c r="L9761">
        <v>0</v>
      </c>
    </row>
    <row r="9762" spans="1:12" x14ac:dyDescent="0.25">
      <c r="A9762">
        <v>1854824</v>
      </c>
      <c r="B9762">
        <v>1854903</v>
      </c>
      <c r="C9762" t="s">
        <v>60433</v>
      </c>
      <c r="D9762">
        <v>0</v>
      </c>
      <c r="E9762" t="s">
        <v>60434</v>
      </c>
      <c r="H9762" t="s">
        <v>187</v>
      </c>
      <c r="J9762">
        <v>0</v>
      </c>
      <c r="K9762" t="s">
        <v>31755</v>
      </c>
      <c r="L9762">
        <v>0</v>
      </c>
    </row>
    <row r="9763" spans="1:12" x14ac:dyDescent="0.25">
      <c r="A9763">
        <v>1854824</v>
      </c>
      <c r="B9763">
        <v>1854910</v>
      </c>
      <c r="D9763">
        <v>0</v>
      </c>
      <c r="E9763" t="s">
        <v>60435</v>
      </c>
      <c r="H9763" t="s">
        <v>187</v>
      </c>
      <c r="J9763">
        <v>0</v>
      </c>
      <c r="K9763" t="s">
        <v>31755</v>
      </c>
      <c r="L9763">
        <v>0</v>
      </c>
    </row>
    <row r="9764" spans="1:12" x14ac:dyDescent="0.25">
      <c r="A9764">
        <v>1854828</v>
      </c>
      <c r="B9764">
        <v>1854884</v>
      </c>
      <c r="C9764" t="s">
        <v>60436</v>
      </c>
      <c r="D9764">
        <v>0</v>
      </c>
      <c r="E9764" t="s">
        <v>60437</v>
      </c>
      <c r="H9764" t="s">
        <v>187</v>
      </c>
      <c r="J9764">
        <v>0</v>
      </c>
      <c r="K9764" t="s">
        <v>36017</v>
      </c>
      <c r="L9764">
        <v>0</v>
      </c>
    </row>
    <row r="9765" spans="1:12" x14ac:dyDescent="0.25">
      <c r="A9765">
        <v>1854828</v>
      </c>
      <c r="B9765">
        <v>1854861</v>
      </c>
      <c r="D9765">
        <v>0</v>
      </c>
      <c r="E9765" t="s">
        <v>60438</v>
      </c>
      <c r="H9765" t="s">
        <v>187</v>
      </c>
      <c r="J9765">
        <v>0</v>
      </c>
      <c r="K9765" t="s">
        <v>36017</v>
      </c>
      <c r="L9765">
        <v>0</v>
      </c>
    </row>
    <row r="9766" spans="1:12" x14ac:dyDescent="0.25">
      <c r="A9766">
        <v>1854830</v>
      </c>
      <c r="B9766">
        <v>1854904</v>
      </c>
      <c r="D9766">
        <v>0</v>
      </c>
      <c r="E9766" t="s">
        <v>60439</v>
      </c>
      <c r="H9766" t="s">
        <v>187</v>
      </c>
      <c r="J9766">
        <v>0</v>
      </c>
      <c r="K9766" t="s">
        <v>36689</v>
      </c>
      <c r="L9766">
        <v>0</v>
      </c>
    </row>
    <row r="9767" spans="1:12" x14ac:dyDescent="0.25">
      <c r="A9767">
        <v>1854830</v>
      </c>
      <c r="B9767">
        <v>1854911</v>
      </c>
      <c r="D9767">
        <v>0</v>
      </c>
      <c r="E9767" t="s">
        <v>60440</v>
      </c>
      <c r="H9767" t="s">
        <v>187</v>
      </c>
      <c r="J9767">
        <v>0</v>
      </c>
      <c r="K9767" t="s">
        <v>36689</v>
      </c>
      <c r="L9767">
        <v>0</v>
      </c>
    </row>
    <row r="9768" spans="1:12" x14ac:dyDescent="0.25">
      <c r="A9768">
        <v>1854831</v>
      </c>
      <c r="B9768">
        <v>1854886</v>
      </c>
      <c r="D9768">
        <v>0</v>
      </c>
      <c r="E9768" t="s">
        <v>60441</v>
      </c>
      <c r="H9768" t="s">
        <v>187</v>
      </c>
      <c r="J9768">
        <v>0</v>
      </c>
      <c r="K9768" t="s">
        <v>39250</v>
      </c>
      <c r="L9768">
        <v>0</v>
      </c>
    </row>
    <row r="9769" spans="1:12" x14ac:dyDescent="0.25">
      <c r="A9769">
        <v>1854831</v>
      </c>
      <c r="B9769">
        <v>1854863</v>
      </c>
      <c r="D9769">
        <v>0</v>
      </c>
      <c r="E9769" t="s">
        <v>60442</v>
      </c>
      <c r="H9769" t="s">
        <v>187</v>
      </c>
      <c r="J9769">
        <v>0</v>
      </c>
      <c r="K9769" t="s">
        <v>39250</v>
      </c>
      <c r="L9769">
        <v>0</v>
      </c>
    </row>
    <row r="9770" spans="1:12" x14ac:dyDescent="0.25">
      <c r="A9770">
        <v>1854832</v>
      </c>
      <c r="B9770">
        <v>1854887</v>
      </c>
      <c r="C9770" t="s">
        <v>60443</v>
      </c>
      <c r="D9770">
        <v>0</v>
      </c>
      <c r="E9770" t="s">
        <v>60444</v>
      </c>
      <c r="H9770" t="s">
        <v>187</v>
      </c>
      <c r="J9770">
        <v>0</v>
      </c>
      <c r="K9770" t="s">
        <v>32954</v>
      </c>
      <c r="L9770">
        <v>0</v>
      </c>
    </row>
    <row r="9771" spans="1:12" x14ac:dyDescent="0.25">
      <c r="A9771">
        <v>1854832</v>
      </c>
      <c r="B9771">
        <v>1854864</v>
      </c>
      <c r="D9771">
        <v>0</v>
      </c>
      <c r="E9771" t="s">
        <v>60445</v>
      </c>
      <c r="H9771" t="s">
        <v>187</v>
      </c>
      <c r="J9771">
        <v>0</v>
      </c>
      <c r="K9771" t="s">
        <v>32954</v>
      </c>
      <c r="L9771">
        <v>0</v>
      </c>
    </row>
    <row r="9772" spans="1:12" x14ac:dyDescent="0.25">
      <c r="A9772">
        <v>1854833</v>
      </c>
      <c r="B9772">
        <v>1854905</v>
      </c>
      <c r="D9772">
        <v>0</v>
      </c>
      <c r="E9772" t="s">
        <v>60446</v>
      </c>
      <c r="H9772" t="s">
        <v>187</v>
      </c>
      <c r="J9772">
        <v>0</v>
      </c>
      <c r="K9772" t="s">
        <v>13520</v>
      </c>
      <c r="L9772">
        <v>0</v>
      </c>
    </row>
    <row r="9773" spans="1:12" x14ac:dyDescent="0.25">
      <c r="A9773">
        <v>1854833</v>
      </c>
      <c r="B9773">
        <v>1854912</v>
      </c>
      <c r="D9773">
        <v>0</v>
      </c>
      <c r="E9773" t="s">
        <v>60447</v>
      </c>
      <c r="H9773" t="s">
        <v>187</v>
      </c>
      <c r="J9773">
        <v>0</v>
      </c>
      <c r="K9773" t="s">
        <v>13520</v>
      </c>
      <c r="L9773">
        <v>0</v>
      </c>
    </row>
    <row r="9774" spans="1:12" x14ac:dyDescent="0.25">
      <c r="A9774">
        <v>1854837</v>
      </c>
      <c r="B9774">
        <v>1854889</v>
      </c>
      <c r="D9774">
        <v>0</v>
      </c>
      <c r="E9774" t="s">
        <v>60448</v>
      </c>
      <c r="H9774" t="s">
        <v>187</v>
      </c>
      <c r="J9774">
        <v>0</v>
      </c>
      <c r="K9774" t="s">
        <v>19762</v>
      </c>
      <c r="L9774">
        <v>0</v>
      </c>
    </row>
    <row r="9775" spans="1:12" x14ac:dyDescent="0.25">
      <c r="A9775">
        <v>1854837</v>
      </c>
      <c r="B9775">
        <v>1854866</v>
      </c>
      <c r="C9775" t="s">
        <v>60449</v>
      </c>
      <c r="D9775">
        <v>0</v>
      </c>
      <c r="E9775" t="s">
        <v>60450</v>
      </c>
      <c r="H9775" t="s">
        <v>187</v>
      </c>
      <c r="J9775">
        <v>0</v>
      </c>
      <c r="K9775" t="s">
        <v>19762</v>
      </c>
      <c r="L9775">
        <v>0</v>
      </c>
    </row>
    <row r="9776" spans="1:12" x14ac:dyDescent="0.25">
      <c r="A9776">
        <v>1854838</v>
      </c>
      <c r="B9776">
        <v>1854890</v>
      </c>
      <c r="C9776" t="s">
        <v>60451</v>
      </c>
      <c r="D9776">
        <v>0</v>
      </c>
      <c r="E9776" t="s">
        <v>60452</v>
      </c>
      <c r="H9776" t="s">
        <v>187</v>
      </c>
      <c r="J9776">
        <v>0</v>
      </c>
      <c r="K9776" t="s">
        <v>14659</v>
      </c>
      <c r="L9776">
        <v>0</v>
      </c>
    </row>
    <row r="9777" spans="1:12" x14ac:dyDescent="0.25">
      <c r="A9777">
        <v>1854838</v>
      </c>
      <c r="B9777">
        <v>1854867</v>
      </c>
      <c r="C9777" t="s">
        <v>60453</v>
      </c>
      <c r="D9777">
        <v>0</v>
      </c>
      <c r="E9777" t="s">
        <v>60454</v>
      </c>
      <c r="H9777" t="s">
        <v>187</v>
      </c>
      <c r="J9777">
        <v>0</v>
      </c>
      <c r="K9777" t="s">
        <v>14659</v>
      </c>
      <c r="L9777">
        <v>0</v>
      </c>
    </row>
    <row r="9778" spans="1:12" x14ac:dyDescent="0.25">
      <c r="A9778">
        <v>1854839</v>
      </c>
      <c r="B9778">
        <v>1854891</v>
      </c>
      <c r="C9778" t="s">
        <v>60455</v>
      </c>
      <c r="D9778">
        <v>0</v>
      </c>
      <c r="E9778" t="s">
        <v>60456</v>
      </c>
      <c r="H9778" t="s">
        <v>187</v>
      </c>
      <c r="J9778">
        <v>0</v>
      </c>
      <c r="K9778" t="s">
        <v>13544</v>
      </c>
      <c r="L9778">
        <v>0</v>
      </c>
    </row>
    <row r="9779" spans="1:12" x14ac:dyDescent="0.25">
      <c r="A9779">
        <v>1854839</v>
      </c>
      <c r="B9779">
        <v>1854868</v>
      </c>
      <c r="D9779">
        <v>0</v>
      </c>
      <c r="E9779" t="s">
        <v>60457</v>
      </c>
      <c r="H9779" t="s">
        <v>187</v>
      </c>
      <c r="J9779">
        <v>0</v>
      </c>
      <c r="K9779" t="s">
        <v>13544</v>
      </c>
      <c r="L9779">
        <v>0</v>
      </c>
    </row>
    <row r="9780" spans="1:12" x14ac:dyDescent="0.25">
      <c r="A9780">
        <v>1854853</v>
      </c>
      <c r="B9780">
        <v>1854906</v>
      </c>
      <c r="D9780">
        <v>0</v>
      </c>
      <c r="E9780" t="s">
        <v>60458</v>
      </c>
      <c r="H9780" t="s">
        <v>187</v>
      </c>
      <c r="J9780">
        <v>0</v>
      </c>
      <c r="K9780" t="s">
        <v>33094</v>
      </c>
      <c r="L9780">
        <v>0</v>
      </c>
    </row>
    <row r="9781" spans="1:12" x14ac:dyDescent="0.25">
      <c r="A9781">
        <v>1854853</v>
      </c>
      <c r="B9781">
        <v>1854892</v>
      </c>
      <c r="D9781">
        <v>0</v>
      </c>
      <c r="E9781" t="s">
        <v>60459</v>
      </c>
      <c r="H9781" t="s">
        <v>187</v>
      </c>
      <c r="J9781">
        <v>0</v>
      </c>
      <c r="K9781" t="s">
        <v>33094</v>
      </c>
      <c r="L9781">
        <v>0</v>
      </c>
    </row>
    <row r="9782" spans="1:12" x14ac:dyDescent="0.25">
      <c r="A9782">
        <v>1854855</v>
      </c>
      <c r="B9782">
        <v>1854907</v>
      </c>
      <c r="D9782">
        <v>0</v>
      </c>
      <c r="E9782" t="s">
        <v>60460</v>
      </c>
      <c r="H9782" t="s">
        <v>187</v>
      </c>
      <c r="J9782">
        <v>0</v>
      </c>
      <c r="K9782" t="s">
        <v>33123</v>
      </c>
      <c r="L9782">
        <v>0</v>
      </c>
    </row>
    <row r="9783" spans="1:12" x14ac:dyDescent="0.25">
      <c r="A9783">
        <v>1854855</v>
      </c>
      <c r="B9783">
        <v>1854893</v>
      </c>
      <c r="D9783">
        <v>0</v>
      </c>
      <c r="E9783" t="s">
        <v>60461</v>
      </c>
      <c r="H9783" t="s">
        <v>187</v>
      </c>
      <c r="J9783">
        <v>0</v>
      </c>
      <c r="K9783" t="s">
        <v>33123</v>
      </c>
      <c r="L9783">
        <v>0</v>
      </c>
    </row>
    <row r="9784" spans="1:12" x14ac:dyDescent="0.25">
      <c r="A9784">
        <v>1854856</v>
      </c>
      <c r="B9784">
        <v>1854908</v>
      </c>
      <c r="D9784">
        <v>0</v>
      </c>
      <c r="E9784" t="s">
        <v>60462</v>
      </c>
      <c r="H9784" t="s">
        <v>187</v>
      </c>
      <c r="J9784">
        <v>0</v>
      </c>
      <c r="K9784" t="s">
        <v>33417</v>
      </c>
      <c r="L9784">
        <v>0</v>
      </c>
    </row>
    <row r="9785" spans="1:12" x14ac:dyDescent="0.25">
      <c r="A9785">
        <v>1854856</v>
      </c>
      <c r="B9785">
        <v>1854894</v>
      </c>
      <c r="C9785" t="s">
        <v>60463</v>
      </c>
      <c r="D9785">
        <v>0</v>
      </c>
      <c r="E9785" t="s">
        <v>60464</v>
      </c>
      <c r="H9785" t="s">
        <v>187</v>
      </c>
      <c r="J9785">
        <v>0</v>
      </c>
      <c r="K9785" t="s">
        <v>33417</v>
      </c>
      <c r="L9785">
        <v>0</v>
      </c>
    </row>
    <row r="9786" spans="1:12" x14ac:dyDescent="0.25">
      <c r="A9786">
        <v>1854858</v>
      </c>
      <c r="B9786">
        <v>1854909</v>
      </c>
      <c r="D9786">
        <v>0</v>
      </c>
      <c r="E9786" t="s">
        <v>60465</v>
      </c>
      <c r="H9786" t="s">
        <v>187</v>
      </c>
      <c r="J9786">
        <v>0</v>
      </c>
      <c r="K9786" t="s">
        <v>33360</v>
      </c>
      <c r="L9786">
        <v>0</v>
      </c>
    </row>
    <row r="9787" spans="1:12" x14ac:dyDescent="0.25">
      <c r="A9787">
        <v>1854858</v>
      </c>
      <c r="B9787">
        <v>1854895</v>
      </c>
      <c r="D9787">
        <v>0</v>
      </c>
      <c r="E9787" t="s">
        <v>60466</v>
      </c>
      <c r="H9787" t="s">
        <v>187</v>
      </c>
      <c r="J9787">
        <v>0</v>
      </c>
      <c r="K9787" t="s">
        <v>33360</v>
      </c>
      <c r="L9787">
        <v>0</v>
      </c>
    </row>
    <row r="9788" spans="1:12" x14ac:dyDescent="0.25">
      <c r="A9788">
        <v>1854860</v>
      </c>
      <c r="B9788">
        <v>1854910</v>
      </c>
      <c r="C9788" t="s">
        <v>60467</v>
      </c>
      <c r="D9788">
        <v>0</v>
      </c>
      <c r="E9788" t="s">
        <v>60468</v>
      </c>
      <c r="H9788" t="s">
        <v>187</v>
      </c>
      <c r="J9788">
        <v>0</v>
      </c>
      <c r="K9788" t="s">
        <v>31755</v>
      </c>
      <c r="L9788">
        <v>0</v>
      </c>
    </row>
    <row r="9789" spans="1:12" x14ac:dyDescent="0.25">
      <c r="A9789">
        <v>1854860</v>
      </c>
      <c r="B9789">
        <v>1854896</v>
      </c>
      <c r="D9789">
        <v>0</v>
      </c>
      <c r="E9789" t="s">
        <v>60469</v>
      </c>
      <c r="H9789" t="s">
        <v>187</v>
      </c>
      <c r="J9789">
        <v>0</v>
      </c>
      <c r="K9789" t="s">
        <v>31755</v>
      </c>
      <c r="L9789">
        <v>0</v>
      </c>
    </row>
    <row r="9790" spans="1:12" x14ac:dyDescent="0.25">
      <c r="A9790">
        <v>1854862</v>
      </c>
      <c r="B9790">
        <v>1854911</v>
      </c>
      <c r="C9790" t="s">
        <v>60470</v>
      </c>
      <c r="D9790">
        <v>0</v>
      </c>
      <c r="E9790" t="s">
        <v>60471</v>
      </c>
      <c r="H9790" t="s">
        <v>187</v>
      </c>
      <c r="J9790">
        <v>0</v>
      </c>
      <c r="K9790" t="s">
        <v>36689</v>
      </c>
      <c r="L9790">
        <v>0</v>
      </c>
    </row>
    <row r="9791" spans="1:12" x14ac:dyDescent="0.25">
      <c r="A9791">
        <v>1854862</v>
      </c>
      <c r="B9791">
        <v>1854897</v>
      </c>
      <c r="D9791">
        <v>0</v>
      </c>
      <c r="E9791" t="s">
        <v>60472</v>
      </c>
      <c r="H9791" t="s">
        <v>187</v>
      </c>
      <c r="J9791">
        <v>0</v>
      </c>
      <c r="K9791" t="s">
        <v>36689</v>
      </c>
      <c r="L9791">
        <v>0</v>
      </c>
    </row>
    <row r="9792" spans="1:12" x14ac:dyDescent="0.25">
      <c r="A9792">
        <v>1854865</v>
      </c>
      <c r="B9792">
        <v>1854912</v>
      </c>
      <c r="D9792">
        <v>0</v>
      </c>
      <c r="E9792" t="s">
        <v>60473</v>
      </c>
      <c r="H9792" t="s">
        <v>187</v>
      </c>
      <c r="J9792">
        <v>0</v>
      </c>
      <c r="K9792" t="s">
        <v>13520</v>
      </c>
      <c r="L9792">
        <v>0</v>
      </c>
    </row>
    <row r="9793" spans="1:12" x14ac:dyDescent="0.25">
      <c r="A9793">
        <v>1854865</v>
      </c>
      <c r="B9793">
        <v>1854898</v>
      </c>
      <c r="D9793">
        <v>0</v>
      </c>
      <c r="E9793" t="s">
        <v>60474</v>
      </c>
      <c r="H9793" t="s">
        <v>187</v>
      </c>
      <c r="J9793">
        <v>0</v>
      </c>
      <c r="K9793" t="s">
        <v>13520</v>
      </c>
      <c r="L9793">
        <v>0</v>
      </c>
    </row>
    <row r="9794" spans="1:12" x14ac:dyDescent="0.25">
      <c r="A9794">
        <v>1854876</v>
      </c>
      <c r="B9794">
        <v>1854913</v>
      </c>
      <c r="D9794">
        <v>0</v>
      </c>
      <c r="E9794" t="s">
        <v>60475</v>
      </c>
      <c r="H9794" t="s">
        <v>187</v>
      </c>
      <c r="J9794">
        <v>0</v>
      </c>
      <c r="K9794" t="s">
        <v>33094</v>
      </c>
      <c r="L9794">
        <v>0</v>
      </c>
    </row>
    <row r="9795" spans="1:12" x14ac:dyDescent="0.25">
      <c r="A9795">
        <v>1854876</v>
      </c>
      <c r="B9795">
        <v>1854899</v>
      </c>
      <c r="C9795" t="s">
        <v>60476</v>
      </c>
      <c r="D9795">
        <v>0</v>
      </c>
      <c r="E9795" t="s">
        <v>60477</v>
      </c>
      <c r="H9795" t="s">
        <v>187</v>
      </c>
      <c r="J9795">
        <v>0</v>
      </c>
      <c r="K9795" t="s">
        <v>33094</v>
      </c>
      <c r="L9795">
        <v>0</v>
      </c>
    </row>
    <row r="9796" spans="1:12" x14ac:dyDescent="0.25">
      <c r="A9796">
        <v>1854878</v>
      </c>
      <c r="B9796">
        <v>1854914</v>
      </c>
      <c r="D9796">
        <v>0</v>
      </c>
      <c r="E9796" t="s">
        <v>60478</v>
      </c>
      <c r="H9796" t="s">
        <v>187</v>
      </c>
      <c r="J9796">
        <v>0</v>
      </c>
      <c r="K9796" t="s">
        <v>33123</v>
      </c>
      <c r="L9796">
        <v>0</v>
      </c>
    </row>
    <row r="9797" spans="1:12" x14ac:dyDescent="0.25">
      <c r="A9797">
        <v>1854878</v>
      </c>
      <c r="B9797">
        <v>1854900</v>
      </c>
      <c r="D9797">
        <v>0</v>
      </c>
      <c r="E9797" t="s">
        <v>60479</v>
      </c>
      <c r="H9797" t="s">
        <v>187</v>
      </c>
      <c r="J9797">
        <v>0</v>
      </c>
      <c r="K9797" t="s">
        <v>33123</v>
      </c>
      <c r="L9797">
        <v>0</v>
      </c>
    </row>
    <row r="9798" spans="1:12" x14ac:dyDescent="0.25">
      <c r="A9798">
        <v>1854879</v>
      </c>
      <c r="B9798">
        <v>1854915</v>
      </c>
      <c r="D9798">
        <v>0</v>
      </c>
      <c r="E9798" t="s">
        <v>60480</v>
      </c>
      <c r="H9798" t="s">
        <v>187</v>
      </c>
      <c r="J9798">
        <v>0</v>
      </c>
      <c r="K9798" t="s">
        <v>33417</v>
      </c>
      <c r="L9798">
        <v>0</v>
      </c>
    </row>
    <row r="9799" spans="1:12" x14ac:dyDescent="0.25">
      <c r="A9799">
        <v>1854879</v>
      </c>
      <c r="B9799">
        <v>1854901</v>
      </c>
      <c r="D9799">
        <v>0</v>
      </c>
      <c r="E9799" t="s">
        <v>60481</v>
      </c>
      <c r="H9799" t="s">
        <v>187</v>
      </c>
      <c r="J9799">
        <v>0</v>
      </c>
      <c r="K9799" t="s">
        <v>33417</v>
      </c>
      <c r="L9799">
        <v>0</v>
      </c>
    </row>
    <row r="9800" spans="1:12" x14ac:dyDescent="0.25">
      <c r="A9800">
        <v>1854881</v>
      </c>
      <c r="B9800">
        <v>1854916</v>
      </c>
      <c r="D9800">
        <v>0</v>
      </c>
      <c r="E9800" t="s">
        <v>60482</v>
      </c>
      <c r="H9800" t="s">
        <v>187</v>
      </c>
      <c r="J9800">
        <v>0</v>
      </c>
      <c r="K9800" t="s">
        <v>33360</v>
      </c>
      <c r="L9800">
        <v>0</v>
      </c>
    </row>
    <row r="9801" spans="1:12" x14ac:dyDescent="0.25">
      <c r="A9801">
        <v>1854881</v>
      </c>
      <c r="B9801">
        <v>1854902</v>
      </c>
      <c r="D9801">
        <v>0</v>
      </c>
      <c r="E9801" t="s">
        <v>60483</v>
      </c>
      <c r="H9801" t="s">
        <v>187</v>
      </c>
      <c r="J9801">
        <v>0</v>
      </c>
      <c r="K9801" t="s">
        <v>33360</v>
      </c>
      <c r="L9801">
        <v>0</v>
      </c>
    </row>
    <row r="9802" spans="1:12" x14ac:dyDescent="0.25">
      <c r="A9802">
        <v>1854883</v>
      </c>
      <c r="B9802">
        <v>1854917</v>
      </c>
      <c r="D9802">
        <v>0</v>
      </c>
      <c r="E9802" t="s">
        <v>60484</v>
      </c>
      <c r="H9802" t="s">
        <v>187</v>
      </c>
      <c r="J9802">
        <v>0</v>
      </c>
      <c r="K9802" t="s">
        <v>31755</v>
      </c>
      <c r="L9802">
        <v>0</v>
      </c>
    </row>
    <row r="9803" spans="1:12" x14ac:dyDescent="0.25">
      <c r="A9803">
        <v>1854883</v>
      </c>
      <c r="B9803">
        <v>1854903</v>
      </c>
      <c r="D9803">
        <v>0</v>
      </c>
      <c r="E9803" t="s">
        <v>60485</v>
      </c>
      <c r="H9803" t="s">
        <v>187</v>
      </c>
      <c r="J9803">
        <v>0</v>
      </c>
      <c r="K9803" t="s">
        <v>31755</v>
      </c>
      <c r="L9803">
        <v>0</v>
      </c>
    </row>
    <row r="9804" spans="1:12" x14ac:dyDescent="0.25">
      <c r="A9804">
        <v>1854885</v>
      </c>
      <c r="B9804">
        <v>1854918</v>
      </c>
      <c r="D9804">
        <v>0</v>
      </c>
      <c r="E9804" t="s">
        <v>60486</v>
      </c>
      <c r="H9804" t="s">
        <v>187</v>
      </c>
      <c r="J9804">
        <v>0</v>
      </c>
      <c r="K9804" t="s">
        <v>36689</v>
      </c>
      <c r="L9804">
        <v>0</v>
      </c>
    </row>
    <row r="9805" spans="1:12" x14ac:dyDescent="0.25">
      <c r="A9805">
        <v>1854885</v>
      </c>
      <c r="B9805">
        <v>1854904</v>
      </c>
      <c r="D9805">
        <v>0</v>
      </c>
      <c r="E9805" t="s">
        <v>60487</v>
      </c>
      <c r="H9805" t="s">
        <v>187</v>
      </c>
      <c r="J9805">
        <v>0</v>
      </c>
      <c r="K9805" t="s">
        <v>36689</v>
      </c>
      <c r="L9805">
        <v>0</v>
      </c>
    </row>
    <row r="9806" spans="1:12" x14ac:dyDescent="0.25">
      <c r="A9806">
        <v>1854888</v>
      </c>
      <c r="B9806">
        <v>1854919</v>
      </c>
      <c r="D9806">
        <v>0</v>
      </c>
      <c r="E9806" t="s">
        <v>60488</v>
      </c>
      <c r="H9806" t="s">
        <v>187</v>
      </c>
      <c r="J9806">
        <v>0</v>
      </c>
      <c r="K9806" t="s">
        <v>13520</v>
      </c>
      <c r="L9806">
        <v>0</v>
      </c>
    </row>
    <row r="9807" spans="1:12" x14ac:dyDescent="0.25">
      <c r="A9807">
        <v>1854888</v>
      </c>
      <c r="B9807">
        <v>1854905</v>
      </c>
      <c r="D9807">
        <v>0</v>
      </c>
      <c r="E9807" t="s">
        <v>60489</v>
      </c>
      <c r="H9807" t="s">
        <v>187</v>
      </c>
      <c r="J9807">
        <v>0</v>
      </c>
      <c r="K9807" t="s">
        <v>13520</v>
      </c>
      <c r="L9807">
        <v>0</v>
      </c>
    </row>
    <row r="9808" spans="1:12" x14ac:dyDescent="0.25">
      <c r="A9808">
        <v>1854918</v>
      </c>
      <c r="B9808">
        <v>1854920</v>
      </c>
      <c r="C9808" t="s">
        <v>60490</v>
      </c>
      <c r="D9808">
        <v>0</v>
      </c>
      <c r="E9808" t="s">
        <v>60491</v>
      </c>
      <c r="H9808" t="s">
        <v>187</v>
      </c>
      <c r="J9808">
        <v>0</v>
      </c>
      <c r="K9808" t="s">
        <v>33118</v>
      </c>
      <c r="L980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Sheet2</vt:lpstr>
      <vt:lpstr>Sheet1</vt:lpstr>
      <vt:lpstr>Sheet1!road_network_with_volume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 Glad</dc:creator>
  <cp:lastModifiedBy>Anton Glad</cp:lastModifiedBy>
  <dcterms:created xsi:type="dcterms:W3CDTF">2023-03-03T12:26:39Z</dcterms:created>
  <dcterms:modified xsi:type="dcterms:W3CDTF">2023-03-03T12:49:27Z</dcterms:modified>
</cp:coreProperties>
</file>